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worksheets/sheet18.xml" ContentType="application/vnd.openxmlformats-officedocument.spreadsheetml.worksheet+xml"/>
  <Override PartName="/xl/tables/table11.xml" ContentType="application/vnd.openxmlformats-officedocument.spreadsheetml.table+xml"/>
  <Override PartName="/xl/worksheets/sheet19.xml" ContentType="application/vnd.openxmlformats-officedocument.spreadsheetml.worksheet+xml"/>
  <Override PartName="/xl/tables/table12.xml" ContentType="application/vnd.openxmlformats-officedocument.spreadsheetml.table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tables/table15.xml" ContentType="application/vnd.openxmlformats-officedocument.spreadsheetml.table+xml"/>
  <Override PartName="/xl/worksheets/sheet24.xml" ContentType="application/vnd.openxmlformats-officedocument.spreadsheetml.worksheet+xml"/>
  <Override PartName="/xl/comments/comment1.xml" ContentType="application/vnd.openxmlformats-officedocument.spreadsheetml.comments+xml"/>
  <Override PartName="/xl/tables/table16.xml" ContentType="application/vnd.openxmlformats-officedocument.spreadsheetml.table+xml"/>
  <Override PartName="/xl/worksheets/sheet25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9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3.xml" ContentType="application/vnd.openxmlformats-officedocument.spreadsheetml.table+xml"/>
  <Override PartName="/xl/worksheets/sheet33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ables/table26.xml" ContentType="application/vnd.openxmlformats-officedocument.spreadsheetml.table+xml"/>
  <Override PartName="/xl/worksheets/sheet39.xml" ContentType="application/vnd.openxmlformats-officedocument.spreadsheetml.worksheet+xml"/>
  <Override PartName="/xl/tables/table27.xml" ContentType="application/vnd.openxmlformats-officedocument.spreadsheetml.table+xml"/>
  <Override PartName="/xl/worksheets/sheet40.xml" ContentType="application/vnd.openxmlformats-officedocument.spreadsheetml.worksheet+xml"/>
  <Override PartName="/xl/tables/table28.xml" ContentType="application/vnd.openxmlformats-officedocument.spreadsheetml.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41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42.xml" ContentType="application/vnd.openxmlformats-officedocument.spreadsheetml.worksheet+xml"/>
  <Override PartName="/xl/tables/table32.xml" ContentType="application/vnd.openxmlformats-officedocument.spreadsheetml.table+xml"/>
  <Override PartName="/xl/worksheets/sheet43.xml" ContentType="application/vnd.openxmlformats-officedocument.spreadsheetml.worksheet+xml"/>
  <Override PartName="/xl/tables/table33.xml" ContentType="application/vnd.openxmlformats-officedocument.spreadsheetml.table+xml"/>
  <Override PartName="/xl/worksheets/sheet44.xml" ContentType="application/vnd.openxmlformats-officedocument.spreadsheetml.worksheet+xml"/>
  <Override PartName="/xl/tables/table34.xml" ContentType="application/vnd.openxmlformats-officedocument.spreadsheetml.table+xml"/>
  <Override PartName="/xl/worksheets/sheet45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ables/table38.xml" ContentType="application/vnd.openxmlformats-officedocument.spreadsheetml.table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comments/comment2.xml" ContentType="application/vnd.openxmlformats-officedocument.spreadsheetml.comments+xml"/>
  <Override PartName="/xl/worksheets/sheet56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68" firstSheet="19" activeTab="24" autoFilterDateGrouping="1"/>
  </bookViews>
  <sheets>
    <sheet name="Sheet2" sheetId="1" state="visible" r:id="rId1"/>
    <sheet name="OEM_key_1_rev codes" sheetId="2" state="visible" r:id="rId2"/>
    <sheet name="RM Coil" sheetId="3" state="visible" r:id="rId3"/>
    <sheet name="saleswipstock_matnos" sheetId="4" state="visible" r:id="rId4"/>
    <sheet name="Methodology" sheetId="5" state="visible" r:id="rId5"/>
    <sheet name="saleswipstock_customer" sheetId="6" state="visible" r:id="rId6"/>
    <sheet name="OEM_key" sheetId="7" state="visible" r:id="rId7"/>
    <sheet name="Pivot_schedule" sheetId="8" state="visible" r:id="rId8"/>
    <sheet name="Schedule Pivot" sheetId="9" state="visible" r:id="rId9"/>
    <sheet name="nov indent" sheetId="10" state="visible" r:id="rId10"/>
    <sheet name="salesTVS" sheetId="11" state="visible" r:id="rId11"/>
    <sheet name="pivot schedule copy check" sheetId="12" state="visible" r:id="rId12"/>
    <sheet name="Schedule for Printing" sheetId="13" state="visible" r:id="rId13"/>
    <sheet name="RM Tracker" sheetId="14" state="visible" r:id="rId14"/>
    <sheet name="dec indent" sheetId="15" state="visible" r:id="rId15"/>
    <sheet name="Chamferring and Angle cut" sheetId="16" state="visible" r:id="rId16"/>
    <sheet name="RM Tracker Pasted" sheetId="17" state="visible" r:id="rId17"/>
    <sheet name="wip_ystockn_newest_codes_bucket" sheetId="18" state="visible" r:id="rId18"/>
    <sheet name="4318_ll_req" sheetId="19" state="visible" r:id="rId19"/>
    <sheet name="Schedule July" sheetId="20" state="visible" r:id="rId20"/>
    <sheet name="4318 CTL" sheetId="21" state="visible" r:id="rId21"/>
    <sheet name="4731 CTL" sheetId="22" state="visible" r:id="rId22"/>
    <sheet name="stock" sheetId="23" state="visible" r:id="rId23"/>
    <sheet name="Sales Forecast TVS" sheetId="24" state="visible" r:id="rId24"/>
    <sheet name="Bucketting" sheetId="25" state="visible" r:id="rId25"/>
    <sheet name="Sheet1" sheetId="26" state="visible" r:id="rId26"/>
    <sheet name="wip" sheetId="27" state="visible" r:id="rId27"/>
    <sheet name="Printing Forecast" sheetId="28" state="visible" r:id="rId28"/>
    <sheet name="Sales Loss" sheetId="29" state="visible" r:id="rId29"/>
    <sheet name="SOB" sheetId="30" state="visible" r:id="rId30"/>
    <sheet name="All Chamferring" sheetId="31" state="visible" r:id="rId31"/>
    <sheet name="salesALL" sheetId="32" state="visible" r:id="rId32"/>
    <sheet name="Chamferring Sizes" sheetId="33" state="visible" r:id="rId33"/>
    <sheet name="rm types" sheetId="34" state="visible" r:id="rId34"/>
    <sheet name="Sales Forecast For Printing" sheetId="35" state="visible" r:id="rId35"/>
    <sheet name="Apr VSM Schedule" sheetId="36" state="hidden" r:id="rId36"/>
    <sheet name="VSM May Indent" sheetId="37" state="hidden" r:id="rId37"/>
    <sheet name="VSM June Indent" sheetId="38" state="hidden" r:id="rId38"/>
    <sheet name="VSM July Indent" sheetId="39" state="hidden" r:id="rId39"/>
    <sheet name="Aug Indent" sheetId="40" state="hidden" r:id="rId40"/>
    <sheet name="Sep Indent" sheetId="41" state="hidden" r:id="rId41"/>
    <sheet name="MeghSteel Buckets_use file" sheetId="42" state="visible" r:id="rId42"/>
    <sheet name="meghsteelsales" sheetId="43" state="visible" r:id="rId43"/>
    <sheet name="meghsteelsales_previous month" sheetId="44" state="visible" r:id="rId44"/>
    <sheet name="oct indent" sheetId="45" state="visible" r:id="rId45"/>
    <sheet name="Sheet3" sheetId="46" state="visible" r:id="rId46"/>
    <sheet name="Megh Value Added SKU Tracker" sheetId="47" state="visible" r:id="rId47"/>
    <sheet name="Knitvel Sizes" sheetId="48" state="visible" r:id="rId48"/>
    <sheet name="PCR" sheetId="49" state="visible" r:id="rId49"/>
    <sheet name="MeghSteel Buckets_refresh file" sheetId="50" state="visible" r:id="rId50"/>
    <sheet name="helper sheet" sheetId="51" state="visible" r:id="rId51"/>
    <sheet name="Schedule Ampere" sheetId="52" state="visible" r:id="rId52"/>
    <sheet name="Customer view of Sales Forecast" sheetId="53" state="visible" r:id="rId53"/>
    <sheet name="NMPL Schedule vs Sales" sheetId="54" state="visible" r:id="rId54"/>
    <sheet name="Critical sizes 27012025" sheetId="55" state="visible" r:id="rId55"/>
    <sheet name="Pivot" sheetId="56" state="visible" r:id="rId56"/>
    <sheet name="Bucket and Schedule Matching" sheetId="57" state="visible" r:id="rId57"/>
    <sheet name="ERW 2 and ERW 2 MAHS" sheetId="58" state="visible" r:id="rId58"/>
  </sheets>
  <externalReferences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Slicer_ACTUAL_OD">#N/A</definedName>
    <definedName name="Slicer_Bucket">#N/A</definedName>
    <definedName name="Slicer_CUSTOMER_NAME1">#N/A</definedName>
    <definedName name="Slicer_GRADE">#N/A</definedName>
    <definedName name="Slicer_Grade1">#N/A</definedName>
    <definedName name="Slicer_ID">#N/A</definedName>
    <definedName name="Slicer_ID1">#N/A</definedName>
    <definedName name="Slicer_Length">#N/A</definedName>
    <definedName name="Slicer_LENGTH1">#N/A</definedName>
    <definedName name="Slicer_Material_Type">#N/A</definedName>
    <definedName name="Slicer_OD">#N/A</definedName>
    <definedName name="Slicer_OD2">#N/A</definedName>
    <definedName name="Slicer_Plant">#N/A</definedName>
    <definedName name="Slicer_SCHEDULE">#N/A</definedName>
    <definedName name="Slicer_TDC">#N/A</definedName>
    <definedName name="Slicer_Thickness">#N/A</definedName>
    <definedName name="Slicer_THIK">#N/A</definedName>
    <definedName name="Slicer_THK">#N/A</definedName>
    <definedName name="Slicer_TICKNESS">#N/A</definedName>
    <definedName name="ExternalData_1" localSheetId="1" hidden="1">'OEM_key_1_rev codes'!#REF!</definedName>
    <definedName name="ExternalData_2" localSheetId="3" hidden="1">saleswipstock_matnos!$A$1:$E$6</definedName>
    <definedName name="ExternalData_1" localSheetId="5" hidden="1">saleswipstock_customer!$A$1:$B$2</definedName>
    <definedName name="ExternalData_1" localSheetId="6" hidden="1">OEM_key!#REF!</definedName>
    <definedName name="ExternalData_3" localSheetId="10" hidden="1">salesTVS!$A$1:$K$1827</definedName>
    <definedName name="_xlnm.Print_Area" localSheetId="12">'Schedule for Printing'!$A$3:$O$55</definedName>
    <definedName name="_xlnm._FilterDatabase" localSheetId="13" hidden="1">'RM Tracker'!$A$4:$AL$196</definedName>
    <definedName name="_xlnm._FilterDatabase" localSheetId="14" hidden="1">'dec indent'!$A$1:$X$71</definedName>
    <definedName name="_xlnm.Print_Area" localSheetId="16">'RM Tracker Pasted'!$J$1:$Y$101</definedName>
    <definedName name="ExternalData_2" localSheetId="17" hidden="1">wip_ystockn_newest_codes_bucket!$A$1:$C$95</definedName>
    <definedName name="ExternalData_1" localSheetId="18" hidden="1">'4318_ll_req'!$A$1:$I$22</definedName>
    <definedName name="ExternalData_2" localSheetId="18" hidden="1">'4318_ll_req'!#REF!</definedName>
    <definedName name="ExternalData_1" localSheetId="22" hidden="1">stock!$A$1:$K$1512</definedName>
    <definedName name="ExternalData_2" localSheetId="26" hidden="1">wip!$A$1:$N$415</definedName>
    <definedName name="_xlnm.Print_Titles" localSheetId="27">'Printing Forecast'!$1:$1</definedName>
    <definedName name="_xlnm.Print_Area" localSheetId="27">'Printing Forecast'!$A$1:$J$113</definedName>
    <definedName name="ExternalData_4" localSheetId="31" hidden="1">salesALL!$A$1:$H$3538</definedName>
    <definedName name="_xlnm._FilterDatabase" localSheetId="32" hidden="1">'Chamferring Sizes'!$A$134:$J$145</definedName>
    <definedName name="_xlnm._FilterDatabase" localSheetId="35" hidden="1">'Apr VSM Schedule'!$A$1:$AA$72</definedName>
    <definedName name="_xlnm._FilterDatabase" localSheetId="36" hidden="1">'VSM May Indent'!$A$1:$Z$62</definedName>
    <definedName name="_xlnm._FilterDatabase" localSheetId="37" hidden="1">'VSM June Indent'!$A$71:$AG$105</definedName>
    <definedName name="_xlnm._FilterDatabase" localSheetId="39" hidden="1">'Aug Indent'!$A$82:$H$149</definedName>
    <definedName name="ExternalData_4" localSheetId="42" hidden="1">meghsteelsales!$A$1:$O$569</definedName>
    <definedName name="ExternalData_5" localSheetId="43" hidden="1">'meghsteelsales_previous month'!$A$1:$P$561</definedName>
    <definedName name="_xlnm._FilterDatabase" localSheetId="49" hidden="1">'MeghSteel Buckets_refresh file'!$A$1:$G$39</definedName>
    <definedName name="_xlnm._FilterDatabase" localSheetId="50" hidden="1">'helper sheet'!$A$1:$BC$386</definedName>
  </definedNames>
  <calcPr calcId="191028" fullCalcOnLoad="1"/>
  <pivotCaches>
    <pivotCache cacheId="4" r:id="rId59"/>
    <pivotCache cacheId="3" r:id="rId60"/>
    <pivotCache cacheId="5" r:id="rId61"/>
  </pivotCaches>
</workbook>
</file>

<file path=xl/styles.xml><?xml version="1.0" encoding="utf-8"?>
<styleSheet xmlns="http://schemas.openxmlformats.org/spreadsheetml/2006/main">
  <numFmts count="11">
    <numFmt numFmtId="164" formatCode="0.000"/>
    <numFmt numFmtId="165" formatCode="#,##0.000"/>
    <numFmt numFmtId="166" formatCode="_ * #,##0_ ;_ * \-#,##0_ ;_ * &quot;-&quot;??_ ;_ @_ "/>
    <numFmt numFmtId="167" formatCode="_ &quot;₹&quot;\ * #,##0.00_ ;_ &quot;₹&quot;\ * \-#,##0.00_ ;_ &quot;₹&quot;\ * &quot;-&quot;??_ ;_ @_ "/>
    <numFmt numFmtId="168" formatCode="0.0"/>
    <numFmt numFmtId="169" formatCode="0.0000"/>
    <numFmt numFmtId="170" formatCode="_ * #,##0.00_ ;_ * \-#,##0.00_ ;_ * &quot;-&quot;??_ ;_ @_ "/>
    <numFmt numFmtId="171" formatCode="_(* #,##0_);_(* \(#,##0\);_(* &quot;-&quot;??_);_(@_)"/>
    <numFmt numFmtId="172" formatCode="#,##0\ ;&quot; (&quot;#,##0\);\-#\ ;@\ "/>
    <numFmt numFmtId="173" formatCode="#,##0.0000"/>
    <numFmt numFmtId="174" formatCode="#,##0.00\ ;&quot; (&quot;#,##0.00\);\-#\ ;@\ "/>
  </numFmts>
  <fonts count="5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color theme="1"/>
      <sz val="10"/>
    </font>
    <font>
      <name val="Calibri"/>
      <family val="2"/>
      <b val="1"/>
      <color theme="1"/>
      <sz val="14"/>
      <scheme val="minor"/>
    </font>
    <font>
      <name val="Arial"/>
      <family val="2"/>
      <color theme="1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80"/>
      <sz val="13.5"/>
    </font>
    <font>
      <name val="Calibri"/>
      <family val="2"/>
      <color indexed="8"/>
      <sz val="10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sz val="9"/>
    </font>
    <font>
      <name val="Calibri"/>
      <family val="2"/>
      <b val="1"/>
      <color rgb="FF000000"/>
      <sz val="11"/>
    </font>
    <font>
      <name val="Times New Roman"/>
      <family val="1"/>
      <color theme="1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6"/>
    </font>
    <font>
      <name val="Times New Roman"/>
      <family val="1"/>
      <color rgb="FF000000"/>
      <sz val="10"/>
    </font>
    <font>
      <name val="Calibri"/>
      <family val="2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theme="1"/>
      <sz val="16"/>
      <scheme val="minor"/>
    </font>
    <font>
      <name val="Calibri"/>
      <family val="2"/>
      <color rgb="FFFF0000"/>
      <sz val="10"/>
    </font>
    <font>
      <name val="Calibri"/>
      <family val="2"/>
      <b val="1"/>
      <color rgb="FF000000"/>
      <sz val="12"/>
      <u val="single"/>
    </font>
    <font>
      <name val="Calibri"/>
      <family val="2"/>
      <color theme="0"/>
      <sz val="11"/>
      <scheme val="minor"/>
    </font>
    <font>
      <name val="Calibri"/>
      <family val="2"/>
      <color theme="0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rgb="FF00B050"/>
      <sz val="10"/>
    </font>
    <font>
      <name val="Times New Roman"/>
      <family val="1"/>
      <color indexed="8"/>
      <sz val="11"/>
    </font>
    <font>
      <name val="Calibri"/>
      <family val="2"/>
      <color indexed="12"/>
      <sz val="7.7"/>
      <u val="single"/>
    </font>
    <font>
      <name val="Times New Roman"/>
      <family val="1"/>
      <b val="1"/>
      <color indexed="8"/>
      <sz val="11"/>
    </font>
    <font>
      <name val="Times New Roman"/>
      <family val="1"/>
      <sz val="11"/>
    </font>
    <font>
      <name val="Mangal"/>
      <family val="2"/>
      <sz val="10"/>
    </font>
    <font>
      <name val="Aptos Narrow"/>
      <family val="2"/>
      <b val="1"/>
      <color rgb="FF000000"/>
      <sz val="12"/>
    </font>
    <font>
      <name val="Aptos Narrow"/>
      <family val="2"/>
      <color rgb="FF000000"/>
      <sz val="12"/>
    </font>
    <font>
      <name val="Arial"/>
      <family val="2"/>
      <color theme="1"/>
      <sz val="12"/>
    </font>
    <font>
      <name val="Aptos Narrow"/>
      <family val="2"/>
      <b val="1"/>
      <color rgb="FF000000"/>
      <sz val="14"/>
    </font>
    <font>
      <name val="Calibri"/>
      <family val="2"/>
      <b val="1"/>
      <color rgb="FF000000"/>
      <sz val="14"/>
    </font>
    <font>
      <name val="Aptos"/>
      <family val="2"/>
      <color rgb="FF000000"/>
      <sz val="12"/>
    </font>
    <font>
      <name val="Aptos"/>
      <family val="2"/>
      <b val="1"/>
      <color rgb="FF000000"/>
      <sz val="12"/>
    </font>
    <font>
      <name val="Arial"/>
      <family val="2"/>
      <b val="1"/>
      <color rgb="FF0000CC"/>
      <sz val="10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0"/>
      <sz val="10"/>
    </font>
    <font>
      <name val="Calibri"/>
      <family val="2"/>
      <color rgb="FFFF0000"/>
      <sz val="11"/>
    </font>
    <font>
      <name val="Segoe UI"/>
      <family val="2"/>
      <color rgb="FF172033"/>
      <sz val="9"/>
    </font>
  </fonts>
  <fills count="3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799981688894314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4" fillId="0" borderId="0"/>
    <xf numFmtId="0" fontId="4" fillId="0" borderId="0"/>
    <xf numFmtId="9" fontId="4" fillId="0" borderId="0"/>
    <xf numFmtId="43" fontId="4" fillId="0" borderId="0"/>
    <xf numFmtId="44" fontId="4" fillId="0" borderId="0"/>
    <xf numFmtId="0" fontId="15" fillId="0" borderId="0"/>
    <xf numFmtId="0" fontId="15" fillId="0" borderId="0"/>
    <xf numFmtId="174" fontId="45" fillId="0" borderId="0"/>
    <xf numFmtId="0" fontId="42" fillId="0" borderId="0"/>
    <xf numFmtId="44" fontId="4" fillId="0" borderId="0"/>
    <xf numFmtId="44" fontId="4" fillId="0" borderId="0"/>
  </cellStyleXfs>
  <cellXfs count="621">
    <xf numFmtId="0" fontId="0" fillId="0" borderId="0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2" fontId="6" fillId="0" borderId="1" applyAlignment="1" pivotButton="0" quotePrefix="0" xfId="0">
      <alignment horizontal="center" shrinkToFit="1"/>
    </xf>
    <xf numFmtId="1" fontId="6" fillId="0" borderId="1" applyAlignment="1" pivotButton="0" quotePrefix="0" xfId="0">
      <alignment horizontal="center" shrinkToFit="1"/>
    </xf>
    <xf numFmtId="2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" fontId="11" fillId="2" borderId="1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 shrinkToFit="1"/>
    </xf>
    <xf numFmtId="0" fontId="12" fillId="0" borderId="1" applyAlignment="1" pivotButton="0" quotePrefix="0" xfId="0">
      <alignment horizontal="center" vertical="center"/>
    </xf>
    <xf numFmtId="1" fontId="12" fillId="8" borderId="1" applyAlignment="1" pivotButton="0" quotePrefix="0" xfId="0">
      <alignment horizontal="center" vertical="center" shrinkToFit="1"/>
    </xf>
    <xf numFmtId="1" fontId="12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top"/>
    </xf>
    <xf numFmtId="1" fontId="12" fillId="2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49" fontId="5" fillId="7" borderId="5" applyAlignment="1" pivotButton="0" quotePrefix="0" xfId="0">
      <alignment horizontal="center" vertical="center" wrapText="1"/>
    </xf>
    <xf numFmtId="2" fontId="0" fillId="5" borderId="5" applyAlignment="1" pivotButton="0" quotePrefix="0" xfId="0">
      <alignment horizontal="center" vertical="center" shrinkToFit="1"/>
    </xf>
    <xf numFmtId="3" fontId="0" fillId="8" borderId="5" applyAlignment="1" pivotButton="0" quotePrefix="0" xfId="0">
      <alignment horizontal="center" vertical="center"/>
    </xf>
    <xf numFmtId="164" fontId="5" fillId="4" borderId="5" applyAlignment="1" pivotButton="0" quotePrefix="0" xfId="0">
      <alignment horizontal="center" vertical="center" shrinkToFit="1"/>
    </xf>
    <xf numFmtId="1" fontId="5" fillId="9" borderId="5" applyAlignment="1" pivotButton="0" quotePrefix="0" xfId="0">
      <alignment horizontal="center" vertical="center" shrinkToFit="1"/>
    </xf>
    <xf numFmtId="0" fontId="0" fillId="0" borderId="0" pivotButton="1" quotePrefix="0" xfId="0"/>
    <xf numFmtId="2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2" applyAlignment="1" pivotButton="0" quotePrefix="0" xfId="0">
      <alignment vertical="top"/>
    </xf>
    <xf numFmtId="0" fontId="0" fillId="0" borderId="0" pivotButton="0" quotePrefix="1" xfId="0"/>
    <xf numFmtId="0" fontId="0" fillId="0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0" pivotButton="0" quotePrefix="0" xfId="0"/>
    <xf numFmtId="0" fontId="0" fillId="11" borderId="1" applyAlignment="1" pivotButton="0" quotePrefix="0" xfId="0">
      <alignment horizontal="center" vertical="center"/>
    </xf>
    <xf numFmtId="1" fontId="0" fillId="0" borderId="0" pivotButton="0" quotePrefix="0" xfId="0"/>
    <xf numFmtId="0" fontId="15" fillId="12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165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3" fontId="15" fillId="0" borderId="1" applyAlignment="1" pivotButton="0" quotePrefix="0" xfId="0">
      <alignment horizontal="left" vertical="top"/>
    </xf>
    <xf numFmtId="0" fontId="15" fillId="0" borderId="1" applyAlignment="1" pivotButton="0" quotePrefix="0" xfId="0">
      <alignment horizontal="left" vertical="top"/>
    </xf>
    <xf numFmtId="0" fontId="0" fillId="0" borderId="1" pivotButton="0" quotePrefix="1" xfId="0"/>
    <xf numFmtId="1" fontId="0" fillId="0" borderId="1" pivotButton="0" quotePrefix="0" xfId="0"/>
    <xf numFmtId="0" fontId="15" fillId="0" borderId="0" applyAlignment="1" pivotButton="0" quotePrefix="0" xfId="0">
      <alignment vertical="top"/>
    </xf>
    <xf numFmtId="2" fontId="0" fillId="8" borderId="0" pivotButton="0" quotePrefix="0" xfId="0"/>
    <xf numFmtId="0" fontId="14" fillId="10" borderId="0" pivotButton="0" quotePrefix="0" xfId="0"/>
    <xf numFmtId="0" fontId="0" fillId="0" borderId="0" applyAlignment="1" pivotButton="0" quotePrefix="0" xfId="0">
      <alignment wrapText="1"/>
    </xf>
    <xf numFmtId="2" fontId="0" fillId="2" borderId="0" pivotButton="0" quotePrefix="0" xfId="0"/>
    <xf numFmtId="0" fontId="0" fillId="2" borderId="0" pivotButton="0" quotePrefix="1" xfId="0"/>
    <xf numFmtId="1" fontId="0" fillId="2" borderId="0" pivotButton="0" quotePrefix="0" xfId="0"/>
    <xf numFmtId="2" fontId="0" fillId="13" borderId="0" pivotButton="0" quotePrefix="0" xfId="0"/>
    <xf numFmtId="0" fontId="14" fillId="10" borderId="1" applyAlignment="1" pivotButton="0" quotePrefix="0" xfId="0">
      <alignment horizontal="center" vertical="center"/>
    </xf>
    <xf numFmtId="2" fontId="0" fillId="0" borderId="1" pivotButton="0" quotePrefix="0" xfId="0"/>
    <xf numFmtId="0" fontId="14" fillId="10" borderId="1" pivotButton="0" quotePrefix="0" xfId="0"/>
    <xf numFmtId="0" fontId="0" fillId="9" borderId="0" pivotButton="0" quotePrefix="0" xfId="0"/>
    <xf numFmtId="2" fontId="0" fillId="9" borderId="0" pivotButton="0" quotePrefix="0" xfId="0"/>
    <xf numFmtId="0" fontId="0" fillId="9" borderId="0" pivotButton="0" quotePrefix="1" xfId="0"/>
    <xf numFmtId="1" fontId="0" fillId="9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2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 shrinkToFit="1"/>
    </xf>
    <xf numFmtId="0" fontId="17" fillId="0" borderId="0" pivotButton="0" quotePrefix="0" xfId="0"/>
    <xf numFmtId="0" fontId="18" fillId="14" borderId="1" applyAlignment="1" pivotButton="0" quotePrefix="0" xfId="1">
      <alignment horizontal="center"/>
    </xf>
    <xf numFmtId="1" fontId="0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top"/>
    </xf>
    <xf numFmtId="0" fontId="19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2" fontId="0" fillId="0" borderId="3" pivotButton="0" quotePrefix="0" xfId="0"/>
    <xf numFmtId="2" fontId="0" fillId="2" borderId="3" pivotButton="0" quotePrefix="0" xfId="0"/>
    <xf numFmtId="2" fontId="0" fillId="4" borderId="3" pivotButton="0" quotePrefix="0" xfId="0"/>
    <xf numFmtId="2" fontId="0" fillId="8" borderId="3" pivotButton="0" quotePrefix="0" xfId="0"/>
    <xf numFmtId="2" fontId="0" fillId="9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0" fillId="0" borderId="7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shrinkToFit="1"/>
    </xf>
    <xf numFmtId="3" fontId="0" fillId="8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2" fontId="5" fillId="2" borderId="5" applyAlignment="1" pivotButton="0" quotePrefix="0" xfId="0">
      <alignment horizontal="center" vertical="center" wrapText="1"/>
    </xf>
    <xf numFmtId="2" fontId="5" fillId="8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top"/>
    </xf>
    <xf numFmtId="14" fontId="0" fillId="0" borderId="0" applyAlignment="1" pivotButton="0" quotePrefix="0" xfId="0">
      <alignment horizontal="center"/>
    </xf>
    <xf numFmtId="166" fontId="0" fillId="0" borderId="0" pivotButton="0" quotePrefix="0" xfId="3"/>
    <xf numFmtId="166" fontId="0" fillId="0" borderId="1" pivotButton="0" quotePrefix="0" xfId="3"/>
    <xf numFmtId="0" fontId="0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2" fontId="0" fillId="15" borderId="1" applyAlignment="1" pivotButton="0" quotePrefix="0" xfId="0">
      <alignment horizontal="center" vertical="center"/>
    </xf>
    <xf numFmtId="2" fontId="0" fillId="15" borderId="1" applyAlignment="1" pivotButton="0" quotePrefix="0" xfId="0">
      <alignment horizontal="center" vertical="center" shrinkToFit="1"/>
    </xf>
    <xf numFmtId="1" fontId="12" fillId="15" borderId="1" applyAlignment="1" pivotButton="0" quotePrefix="0" xfId="0">
      <alignment horizontal="center" vertical="center"/>
    </xf>
    <xf numFmtId="1" fontId="0" fillId="15" borderId="1" applyAlignment="1" pivotButton="0" quotePrefix="0" xfId="0">
      <alignment horizontal="center" vertical="center"/>
    </xf>
    <xf numFmtId="1" fontId="0" fillId="15" borderId="1" applyAlignment="1" pivotButton="0" quotePrefix="0" xfId="0">
      <alignment horizontal="center" vertical="center" shrinkToFit="1"/>
    </xf>
    <xf numFmtId="2" fontId="5" fillId="8" borderId="6" applyAlignment="1" pivotButton="0" quotePrefix="0" xfId="0">
      <alignment horizontal="center" vertical="center" wrapText="1"/>
    </xf>
    <xf numFmtId="9" fontId="0" fillId="0" borderId="3" applyAlignment="1" pivotButton="0" quotePrefix="0" xfId="2">
      <alignment horizontal="center" vertical="center"/>
    </xf>
    <xf numFmtId="0" fontId="0" fillId="15" borderId="1" applyAlignment="1" pivotButton="0" quotePrefix="0" xfId="0">
      <alignment horizontal="center" vertical="top"/>
    </xf>
    <xf numFmtId="9" fontId="0" fillId="15" borderId="3" applyAlignment="1" pivotButton="0" quotePrefix="0" xfId="2">
      <alignment horizontal="center" vertical="center"/>
    </xf>
    <xf numFmtId="0" fontId="0" fillId="0" borderId="3" applyAlignment="1" pivotButton="0" quotePrefix="0" xfId="0">
      <alignment horizontal="center"/>
    </xf>
    <xf numFmtId="0" fontId="18" fillId="2" borderId="1" applyAlignment="1" pivotButton="0" quotePrefix="0" xfId="1">
      <alignment horizontal="center"/>
    </xf>
    <xf numFmtId="0" fontId="0" fillId="15" borderId="1" applyAlignment="1" pivotButton="0" quotePrefix="0" xfId="0">
      <alignment horizontal="center"/>
    </xf>
    <xf numFmtId="2" fontId="0" fillId="15" borderId="1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2" borderId="7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1" fontId="12" fillId="0" borderId="7" applyAlignment="1" pivotButton="0" quotePrefix="0" xfId="0">
      <alignment horizontal="center" vertical="center" shrinkToFit="1"/>
    </xf>
    <xf numFmtId="1" fontId="0" fillId="0" borderId="7" applyAlignment="1" pivotButton="0" quotePrefix="0" xfId="0">
      <alignment horizontal="center" vertical="center" shrinkToFit="1"/>
    </xf>
    <xf numFmtId="9" fontId="0" fillId="0" borderId="8" applyAlignment="1" pivotButton="0" quotePrefix="0" xfId="2">
      <alignment horizontal="center" vertical="center"/>
    </xf>
    <xf numFmtId="0" fontId="14" fillId="4" borderId="1" applyAlignment="1" pivotButton="0" quotePrefix="0" xfId="0">
      <alignment horizontal="center" vertical="center"/>
    </xf>
    <xf numFmtId="166" fontId="0" fillId="0" borderId="1" pivotButton="0" quotePrefix="0" xfId="0"/>
    <xf numFmtId="1" fontId="5" fillId="0" borderId="0" pivotButton="0" quotePrefix="0" xfId="0"/>
    <xf numFmtId="2" fontId="5" fillId="0" borderId="0" pivotButton="0" quotePrefix="0" xfId="0"/>
    <xf numFmtId="2" fontId="5" fillId="0" borderId="11" pivotButton="0" quotePrefix="0" xfId="0"/>
    <xf numFmtId="0" fontId="21" fillId="2" borderId="1" applyAlignment="1" pivotButton="0" quotePrefix="0" xfId="0">
      <alignment vertical="center"/>
    </xf>
    <xf numFmtId="167" fontId="21" fillId="2" borderId="1" applyAlignment="1" pivotButton="0" quotePrefix="0" xfId="4">
      <alignment vertical="center" wrapText="1"/>
    </xf>
    <xf numFmtId="0" fontId="21" fillId="2" borderId="1" applyAlignment="1" pivotButton="0" quotePrefix="0" xfId="0">
      <alignment vertical="center" wrapText="1"/>
    </xf>
    <xf numFmtId="2" fontId="21" fillId="2" borderId="1" applyAlignment="1" pivotButton="0" quotePrefix="0" xfId="0">
      <alignment vertical="center"/>
    </xf>
    <xf numFmtId="0" fontId="21" fillId="16" borderId="1" applyAlignment="1" pivotButton="0" quotePrefix="0" xfId="0">
      <alignment vertical="center"/>
    </xf>
    <xf numFmtId="17" fontId="21" fillId="2" borderId="1" applyAlignment="1" pivotButton="0" quotePrefix="0" xfId="4">
      <alignment vertical="center"/>
    </xf>
    <xf numFmtId="0" fontId="21" fillId="7" borderId="1" applyAlignment="1" pivotButton="0" quotePrefix="0" xfId="0">
      <alignment vertical="center" wrapText="1"/>
    </xf>
    <xf numFmtId="0" fontId="0" fillId="16" borderId="1" applyAlignment="1" pivotButton="0" quotePrefix="0" xfId="0">
      <alignment vertical="center" wrapText="1"/>
    </xf>
    <xf numFmtId="0" fontId="21" fillId="17" borderId="1" applyAlignment="1" pivotButton="0" quotePrefix="0" xfId="0">
      <alignment vertical="center" wrapText="1"/>
    </xf>
    <xf numFmtId="0" fontId="21" fillId="0" borderId="1" applyAlignment="1" pivotButton="0" quotePrefix="0" xfId="0">
      <alignment horizontal="left"/>
    </xf>
    <xf numFmtId="2" fontId="21" fillId="0" borderId="1" applyAlignment="1" pivotButton="0" quotePrefix="0" xfId="0">
      <alignment horizontal="left"/>
    </xf>
    <xf numFmtId="0" fontId="21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 vertical="top"/>
    </xf>
    <xf numFmtId="49" fontId="2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22" fillId="0" borderId="1" applyAlignment="1" pivotButton="0" quotePrefix="0" xfId="0">
      <alignment horizontal="left"/>
    </xf>
    <xf numFmtId="2" fontId="21" fillId="0" borderId="1" applyAlignment="1" pivotButton="0" quotePrefix="0" xfId="5">
      <alignment horizontal="left" vertical="top"/>
    </xf>
    <xf numFmtId="0" fontId="21" fillId="0" borderId="1" applyAlignment="1" pivotButton="0" quotePrefix="0" xfId="5">
      <alignment horizontal="left" vertical="top"/>
    </xf>
    <xf numFmtId="0" fontId="21" fillId="2" borderId="1" applyAlignment="1" pivotButton="0" quotePrefix="0" xfId="0">
      <alignment horizontal="left"/>
    </xf>
    <xf numFmtId="0" fontId="22" fillId="2" borderId="1" applyAlignment="1" pivotButton="0" quotePrefix="0" xfId="0">
      <alignment horizontal="left"/>
    </xf>
    <xf numFmtId="0" fontId="21" fillId="0" borderId="1" applyAlignment="1" pivotButton="0" quotePrefix="1" xfId="0">
      <alignment horizontal="center"/>
    </xf>
    <xf numFmtId="0" fontId="24" fillId="0" borderId="1" applyAlignment="1" pivotButton="0" quotePrefix="0" xfId="0">
      <alignment horizontal="left" vertical="center"/>
    </xf>
    <xf numFmtId="0" fontId="21" fillId="0" borderId="5" applyAlignment="1" pivotButton="0" quotePrefix="0" xfId="0">
      <alignment horizontal="left"/>
    </xf>
    <xf numFmtId="0" fontId="0" fillId="16" borderId="0" pivotButton="0" quotePrefix="0" xfId="0"/>
    <xf numFmtId="0" fontId="0" fillId="18" borderId="0" pivotButton="0" quotePrefix="0" xfId="0"/>
    <xf numFmtId="0" fontId="14" fillId="19" borderId="12" pivotButton="0" quotePrefix="0" xfId="0"/>
    <xf numFmtId="0" fontId="14" fillId="19" borderId="13" pivotButton="0" quotePrefix="0" xfId="0"/>
    <xf numFmtId="49" fontId="21" fillId="0" borderId="1" applyAlignment="1" pivotButton="0" quotePrefix="1" xfId="0">
      <alignment horizontal="center"/>
    </xf>
    <xf numFmtId="0" fontId="14" fillId="19" borderId="0" pivotButton="0" quotePrefix="0" xfId="0"/>
    <xf numFmtId="0" fontId="0" fillId="0" borderId="1" applyAlignment="1" pivotButton="0" quotePrefix="0" xfId="0">
      <alignment horizontal="left" vertical="center"/>
    </xf>
    <xf numFmtId="2" fontId="21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3" fillId="2" borderId="1" applyAlignment="1" pivotButton="0" quotePrefix="0" xfId="0">
      <alignment horizontal="left"/>
    </xf>
    <xf numFmtId="0" fontId="10" fillId="2" borderId="0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18" borderId="0" applyAlignment="1" pivotButton="0" quotePrefix="0" xfId="0">
      <alignment vertical="center"/>
    </xf>
    <xf numFmtId="0" fontId="14" fillId="19" borderId="14" pivotButton="0" quotePrefix="0" xfId="0"/>
    <xf numFmtId="2" fontId="0" fillId="0" borderId="2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 shrinkToFit="1"/>
    </xf>
    <xf numFmtId="2" fontId="0" fillId="5" borderId="4" applyAlignment="1" pivotButton="0" quotePrefix="0" xfId="0">
      <alignment horizontal="center" vertical="center" shrinkToFit="1"/>
    </xf>
    <xf numFmtId="1" fontId="5" fillId="9" borderId="6" applyAlignment="1" pivotButton="0" quotePrefix="0" xfId="0">
      <alignment horizontal="center" vertical="center" shrinkToFit="1"/>
    </xf>
    <xf numFmtId="2" fontId="0" fillId="0" borderId="10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1" fontId="12" fillId="0" borderId="7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 shrinkToFit="1"/>
    </xf>
    <xf numFmtId="1" fontId="0" fillId="0" borderId="1" applyAlignment="1" pivotButton="0" quotePrefix="0" xfId="0">
      <alignment horizontal="left"/>
    </xf>
    <xf numFmtId="0" fontId="0" fillId="0" borderId="15" pivotButton="0" quotePrefix="0" xfId="0"/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2" fontId="21" fillId="0" borderId="0" applyAlignment="1" pivotButton="0" quotePrefix="0" xfId="0">
      <alignment horizontal="left"/>
    </xf>
    <xf numFmtId="168" fontId="0" fillId="0" borderId="0" pivotButton="0" quotePrefix="0" xfId="0"/>
    <xf numFmtId="1" fontId="5" fillId="9" borderId="1" applyAlignment="1" pivotButton="0" quotePrefix="0" xfId="0">
      <alignment horizontal="center" vertical="center" shrinkToFit="1"/>
    </xf>
    <xf numFmtId="1" fontId="0" fillId="0" borderId="5" applyAlignment="1" pivotButton="0" quotePrefix="0" xfId="0">
      <alignment horizontal="center" vertical="center"/>
    </xf>
    <xf numFmtId="9" fontId="0" fillId="0" borderId="0" pivotButton="0" quotePrefix="0" xfId="2"/>
    <xf numFmtId="14" fontId="0" fillId="5" borderId="1" applyAlignment="1" pivotButton="0" quotePrefix="0" xfId="0">
      <alignment horizontal="center" vertical="center" shrinkToFit="1"/>
    </xf>
    <xf numFmtId="0" fontId="21" fillId="16" borderId="1" applyAlignment="1" pivotButton="0" quotePrefix="0" xfId="0">
      <alignment horizontal="center" vertical="center"/>
    </xf>
    <xf numFmtId="0" fontId="25" fillId="18" borderId="0" applyAlignment="1" pivotButton="0" quotePrefix="0" xfId="6">
      <alignment horizontal="center"/>
    </xf>
    <xf numFmtId="0" fontId="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21" fillId="2" borderId="1" applyAlignment="1" pivotButton="0" quotePrefix="0" xfId="0">
      <alignment horizontal="center"/>
    </xf>
    <xf numFmtId="49" fontId="21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shrinkToFit="1"/>
    </xf>
    <xf numFmtId="2" fontId="5" fillId="2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20" borderId="1" pivotButton="0" quotePrefix="0" xfId="0"/>
    <xf numFmtId="2" fontId="0" fillId="9" borderId="2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 shrinkToFit="1"/>
    </xf>
    <xf numFmtId="1" fontId="0" fillId="9" borderId="3" applyAlignment="1" pivotButton="0" quotePrefix="0" xfId="0">
      <alignment horizontal="center" vertical="center" shrinkToFit="1"/>
    </xf>
    <xf numFmtId="0" fontId="0" fillId="9" borderId="1" pivotButton="0" quotePrefix="0" xfId="0"/>
    <xf numFmtId="0" fontId="14" fillId="10" borderId="1" applyAlignment="1" pivotButton="0" quotePrefix="0" xfId="0">
      <alignment horizontal="center" vertical="center" wrapText="1"/>
    </xf>
    <xf numFmtId="168" fontId="0" fillId="0" borderId="1" pivotButton="0" quotePrefix="0" xfId="0"/>
    <xf numFmtId="2" fontId="0" fillId="4" borderId="3" applyAlignment="1" pivotButton="0" quotePrefix="0" xfId="0">
      <alignment wrapText="1"/>
    </xf>
    <xf numFmtId="169" fontId="0" fillId="2" borderId="3" pivotButton="0" quotePrefix="0" xfId="0"/>
    <xf numFmtId="169" fontId="0" fillId="8" borderId="3" pivotButton="0" quotePrefix="0" xfId="0"/>
    <xf numFmtId="0" fontId="26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vertical="center"/>
    </xf>
    <xf numFmtId="0" fontId="26" fillId="11" borderId="1" applyAlignment="1" pivotButton="0" quotePrefix="0" xfId="0">
      <alignment horizontal="center" vertical="center"/>
    </xf>
    <xf numFmtId="9" fontId="26" fillId="11" borderId="1" applyAlignment="1" pivotButton="0" quotePrefix="0" xfId="2">
      <alignment horizontal="center" vertical="center"/>
    </xf>
    <xf numFmtId="0" fontId="26" fillId="2" borderId="1" applyAlignment="1" pivotButton="0" quotePrefix="0" xfId="0">
      <alignment vertical="center"/>
    </xf>
    <xf numFmtId="0" fontId="26" fillId="2" borderId="1" applyAlignment="1" pivotButton="0" quotePrefix="0" xfId="0">
      <alignment horizontal="center" vertical="center"/>
    </xf>
    <xf numFmtId="9" fontId="26" fillId="2" borderId="1" applyAlignment="1" pivotButton="0" quotePrefix="0" xfId="2">
      <alignment horizontal="center" vertical="center"/>
    </xf>
    <xf numFmtId="0" fontId="26" fillId="4" borderId="1" applyAlignment="1" pivotButton="0" quotePrefix="0" xfId="0">
      <alignment vertical="center"/>
    </xf>
    <xf numFmtId="0" fontId="26" fillId="4" borderId="1" applyAlignment="1" pivotButton="0" quotePrefix="0" xfId="0">
      <alignment horizontal="center" vertical="center"/>
    </xf>
    <xf numFmtId="9" fontId="26" fillId="4" borderId="1" applyAlignment="1" pivotButton="0" quotePrefix="0" xfId="2">
      <alignment horizontal="center" vertical="center"/>
    </xf>
    <xf numFmtId="0" fontId="26" fillId="21" borderId="1" applyAlignment="1" pivotButton="0" quotePrefix="0" xfId="0">
      <alignment vertical="center"/>
    </xf>
    <xf numFmtId="0" fontId="26" fillId="21" borderId="1" applyAlignment="1" pivotButton="0" quotePrefix="0" xfId="0">
      <alignment horizontal="center" vertical="center"/>
    </xf>
    <xf numFmtId="9" fontId="26" fillId="21" borderId="1" applyAlignment="1" pivotButton="0" quotePrefix="0" xfId="2">
      <alignment horizontal="center" vertical="center"/>
    </xf>
    <xf numFmtId="0" fontId="26" fillId="0" borderId="1" applyAlignment="1" pivotButton="0" quotePrefix="0" xfId="0">
      <alignment vertical="center"/>
    </xf>
    <xf numFmtId="0" fontId="20" fillId="0" borderId="1" applyAlignment="1" pivotButton="0" quotePrefix="0" xfId="0">
      <alignment horizontal="right" vertical="center"/>
    </xf>
    <xf numFmtId="0" fontId="28" fillId="22" borderId="1" applyAlignment="1" pivotButton="0" quotePrefix="0" xfId="0">
      <alignment vertical="center"/>
    </xf>
    <xf numFmtId="0" fontId="28" fillId="22" borderId="1" applyAlignment="1" pivotButton="0" quotePrefix="0" xfId="0">
      <alignment horizontal="center" vertical="center"/>
    </xf>
    <xf numFmtId="9" fontId="28" fillId="22" borderId="1" applyAlignment="1" pivotButton="0" quotePrefix="0" xfId="2">
      <alignment horizontal="center" vertical="center"/>
    </xf>
    <xf numFmtId="0" fontId="26" fillId="23" borderId="1" applyAlignment="1" pivotButton="0" quotePrefix="0" xfId="0">
      <alignment vertical="center"/>
    </xf>
    <xf numFmtId="0" fontId="26" fillId="23" borderId="1" applyAlignment="1" pivotButton="0" quotePrefix="0" xfId="0">
      <alignment horizontal="center" vertical="center"/>
    </xf>
    <xf numFmtId="9" fontId="26" fillId="23" borderId="1" applyAlignment="1" pivotButton="0" quotePrefix="0" xfId="2">
      <alignment horizontal="center" vertical="center"/>
    </xf>
    <xf numFmtId="2" fontId="21" fillId="2" borderId="1" applyAlignment="1" pivotButton="0" quotePrefix="0" xfId="5">
      <alignment horizontal="left" vertical="top"/>
    </xf>
    <xf numFmtId="0" fontId="21" fillId="2" borderId="1" applyAlignment="1" pivotButton="0" quotePrefix="0" xfId="5">
      <alignment horizontal="left" vertical="top"/>
    </xf>
    <xf numFmtId="0" fontId="21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vertical="center"/>
    </xf>
    <xf numFmtId="2" fontId="21" fillId="2" borderId="1" applyAlignment="1" pivotButton="0" quotePrefix="0" xfId="0">
      <alignment horizontal="left"/>
    </xf>
    <xf numFmtId="0" fontId="21" fillId="2" borderId="1" applyAlignment="1" pivotButton="0" quotePrefix="1" xfId="0">
      <alignment horizontal="center" vertical="top"/>
    </xf>
    <xf numFmtId="49" fontId="21" fillId="2" borderId="1" applyAlignment="1" pivotButton="0" quotePrefix="1" xfId="0">
      <alignment horizontal="center"/>
    </xf>
    <xf numFmtId="0" fontId="21" fillId="2" borderId="1" applyAlignment="1" pivotButton="0" quotePrefix="1" xfId="0">
      <alignment horizontal="center"/>
    </xf>
    <xf numFmtId="0" fontId="0" fillId="24" borderId="1" applyAlignment="1" pivotButton="0" quotePrefix="0" xfId="0">
      <alignment horizontal="center" vertical="center"/>
    </xf>
    <xf numFmtId="2" fontId="0" fillId="24" borderId="1" applyAlignment="1" pivotButton="0" quotePrefix="0" xfId="0">
      <alignment horizontal="center" vertical="center"/>
    </xf>
    <xf numFmtId="2" fontId="0" fillId="24" borderId="1" applyAlignment="1" pivotButton="0" quotePrefix="0" xfId="0">
      <alignment horizontal="center" vertical="center" shrinkToFit="1"/>
    </xf>
    <xf numFmtId="0" fontId="29" fillId="2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center" vertical="center" wrapText="1"/>
    </xf>
    <xf numFmtId="0" fontId="29" fillId="25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/>
    </xf>
    <xf numFmtId="0" fontId="21" fillId="2" borderId="2" applyAlignment="1" pivotButton="0" quotePrefix="0" xfId="0">
      <alignment horizontal="left"/>
    </xf>
    <xf numFmtId="1" fontId="0" fillId="0" borderId="3" applyAlignment="1" pivotButton="0" quotePrefix="0" xfId="0">
      <alignment horizontal="left"/>
    </xf>
    <xf numFmtId="0" fontId="21" fillId="2" borderId="4" applyAlignment="1" pivotButton="0" quotePrefix="0" xfId="0">
      <alignment vertical="center"/>
    </xf>
    <xf numFmtId="0" fontId="21" fillId="2" borderId="5" applyAlignment="1" pivotButton="0" quotePrefix="0" xfId="0">
      <alignment vertical="center"/>
    </xf>
    <xf numFmtId="167" fontId="21" fillId="2" borderId="5" applyAlignment="1" pivotButton="0" quotePrefix="0" xfId="4">
      <alignment vertical="center" wrapText="1"/>
    </xf>
    <xf numFmtId="0" fontId="21" fillId="2" borderId="5" applyAlignment="1" pivotButton="0" quotePrefix="0" xfId="0">
      <alignment vertical="center" wrapText="1"/>
    </xf>
    <xf numFmtId="2" fontId="21" fillId="2" borderId="5" applyAlignment="1" pivotButton="0" quotePrefix="0" xfId="0">
      <alignment vertical="center"/>
    </xf>
    <xf numFmtId="0" fontId="21" fillId="16" borderId="5" applyAlignment="1" pivotButton="0" quotePrefix="0" xfId="0">
      <alignment horizontal="center" vertical="center"/>
    </xf>
    <xf numFmtId="17" fontId="21" fillId="2" borderId="5" applyAlignment="1" pivotButton="0" quotePrefix="0" xfId="4">
      <alignment vertical="center"/>
    </xf>
    <xf numFmtId="0" fontId="21" fillId="7" borderId="5" applyAlignment="1" pivotButton="0" quotePrefix="0" xfId="0">
      <alignment vertical="center" wrapText="1"/>
    </xf>
    <xf numFmtId="0" fontId="0" fillId="16" borderId="5" applyAlignment="1" pivotButton="0" quotePrefix="0" xfId="0">
      <alignment vertical="center" wrapText="1"/>
    </xf>
    <xf numFmtId="0" fontId="21" fillId="17" borderId="5" applyAlignment="1" pivotButton="0" quotePrefix="0" xfId="0">
      <alignment vertical="center" wrapText="1"/>
    </xf>
    <xf numFmtId="0" fontId="5" fillId="20" borderId="5" applyAlignment="1" pivotButton="0" quotePrefix="0" xfId="0">
      <alignment horizontal="center" vertical="center"/>
    </xf>
    <xf numFmtId="0" fontId="5" fillId="18" borderId="5" applyAlignment="1" pivotButton="0" quotePrefix="0" xfId="0">
      <alignment horizontal="center" vertical="center"/>
    </xf>
    <xf numFmtId="0" fontId="5" fillId="18" borderId="6" applyAlignment="1" pivotButton="0" quotePrefix="0" xfId="0">
      <alignment horizontal="center" vertical="center"/>
    </xf>
    <xf numFmtId="0" fontId="21" fillId="2" borderId="10" applyAlignment="1" pivotButton="0" quotePrefix="0" xfId="0">
      <alignment horizontal="left"/>
    </xf>
    <xf numFmtId="0" fontId="21" fillId="2" borderId="7" applyAlignment="1" pivotButton="0" quotePrefix="0" xfId="0">
      <alignment horizontal="left"/>
    </xf>
    <xf numFmtId="0" fontId="22" fillId="2" borderId="7" applyAlignment="1" pivotButton="0" quotePrefix="0" xfId="0">
      <alignment horizontal="left"/>
    </xf>
    <xf numFmtId="2" fontId="21" fillId="2" borderId="7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49" fontId="21" fillId="2" borderId="7" applyAlignment="1" pivotButton="0" quotePrefix="0" xfId="0">
      <alignment horizontal="center"/>
    </xf>
    <xf numFmtId="0" fontId="21" fillId="2" borderId="7" applyAlignment="1" pivotButton="0" quotePrefix="0" xfId="0">
      <alignment horizontal="center" vertical="top"/>
    </xf>
    <xf numFmtId="0" fontId="0" fillId="2" borderId="7" applyAlignment="1" pivotButton="0" quotePrefix="0" xfId="0">
      <alignment horizontal="left"/>
    </xf>
    <xf numFmtId="0" fontId="0" fillId="2" borderId="7" applyAlignment="1" pivotButton="0" quotePrefix="0" xfId="0">
      <alignment horizontal="left" vertical="center"/>
    </xf>
    <xf numFmtId="1" fontId="0" fillId="0" borderId="7" applyAlignment="1" pivotButton="0" quotePrefix="0" xfId="0">
      <alignment horizontal="left"/>
    </xf>
    <xf numFmtId="1" fontId="0" fillId="0" borderId="8" applyAlignment="1" pivotButton="0" quotePrefix="0" xfId="0">
      <alignment horizontal="left"/>
    </xf>
    <xf numFmtId="1" fontId="0" fillId="2" borderId="1" applyAlignment="1" pivotButton="0" quotePrefix="0" xfId="0">
      <alignment horizontal="left"/>
    </xf>
    <xf numFmtId="1" fontId="10" fillId="2" borderId="1" applyAlignment="1" pivotButton="0" quotePrefix="0" xfId="0">
      <alignment horizontal="left"/>
    </xf>
    <xf numFmtId="1" fontId="0" fillId="0" borderId="5" applyAlignment="1" pivotButton="0" quotePrefix="0" xfId="0">
      <alignment horizontal="left"/>
    </xf>
    <xf numFmtId="1" fontId="0" fillId="2" borderId="7" applyAlignment="1" pivotButton="0" quotePrefix="0" xfId="0">
      <alignment horizontal="left"/>
    </xf>
    <xf numFmtId="0" fontId="0" fillId="18" borderId="5" applyAlignment="1" pivotButton="0" quotePrefix="0" xfId="0">
      <alignment vertical="center" wrapText="1"/>
    </xf>
    <xf numFmtId="0" fontId="0" fillId="18" borderId="1" applyAlignment="1" pivotButton="0" quotePrefix="0" xfId="0">
      <alignment horizontal="left" vertical="center"/>
    </xf>
    <xf numFmtId="0" fontId="0" fillId="18" borderId="7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21" fillId="27" borderId="5" applyAlignment="1" pivotButton="0" quotePrefix="0" xfId="0">
      <alignment vertical="center" wrapText="1"/>
    </xf>
    <xf numFmtId="0" fontId="21" fillId="27" borderId="1" applyAlignment="1" pivotButton="0" quotePrefix="0" xfId="0">
      <alignment horizontal="left"/>
    </xf>
    <xf numFmtId="0" fontId="21" fillId="27" borderId="7" applyAlignment="1" pivotButton="0" quotePrefix="0" xfId="0">
      <alignment horizontal="left"/>
    </xf>
    <xf numFmtId="0" fontId="5" fillId="27" borderId="1" applyAlignment="1" pivotButton="0" quotePrefix="0" xfId="0">
      <alignment horizontal="left"/>
    </xf>
    <xf numFmtId="0" fontId="0" fillId="27" borderId="0" pivotButton="0" quotePrefix="0" xfId="0"/>
    <xf numFmtId="170" fontId="0" fillId="0" borderId="0" pivotButton="0" quotePrefix="0" xfId="0"/>
    <xf numFmtId="170" fontId="0" fillId="0" borderId="1" pivotButton="0" quotePrefix="0" xfId="0"/>
    <xf numFmtId="171" fontId="15" fillId="0" borderId="1" applyAlignment="1" applyProtection="1" pivotButton="0" quotePrefix="0" xfId="3">
      <alignment horizontal="right" vertical="top" readingOrder="1"/>
      <protection locked="0" hidden="0"/>
    </xf>
    <xf numFmtId="166" fontId="5" fillId="0" borderId="1" pivotButton="0" quotePrefix="0" xfId="0"/>
    <xf numFmtId="0" fontId="5" fillId="2" borderId="1" pivotButton="0" quotePrefix="0" xfId="0"/>
    <xf numFmtId="0" fontId="5" fillId="0" borderId="0" pivotButton="0" quotePrefix="0" xfId="0"/>
    <xf numFmtId="170" fontId="5" fillId="0" borderId="0" pivotButton="0" quotePrefix="0" xfId="0"/>
    <xf numFmtId="166" fontId="5" fillId="0" borderId="0" pivotButton="0" quotePrefix="0" xfId="0"/>
    <xf numFmtId="0" fontId="0" fillId="20" borderId="1" pivotButton="0" quotePrefix="0" xfId="0"/>
    <xf numFmtId="9" fontId="5" fillId="20" borderId="1" pivotButton="0" quotePrefix="0" xfId="2"/>
    <xf numFmtId="0" fontId="0" fillId="0" borderId="17" pivotButton="0" quotePrefix="0" xfId="0"/>
    <xf numFmtId="0" fontId="25" fillId="18" borderId="1" applyAlignment="1" pivotButton="0" quotePrefix="0" xfId="6">
      <alignment horizontal="center"/>
    </xf>
    <xf numFmtId="0" fontId="21" fillId="0" borderId="0" applyAlignment="1" pivotButton="0" quotePrefix="0" xfId="0">
      <alignment horizontal="center" vertical="top"/>
    </xf>
    <xf numFmtId="0" fontId="21" fillId="2" borderId="0" applyAlignment="1" pivotButton="0" quotePrefix="1" xfId="0">
      <alignment horizontal="center" vertical="top"/>
    </xf>
    <xf numFmtId="0" fontId="34" fillId="0" borderId="0" applyAlignment="1" pivotButton="0" quotePrefix="0" xfId="0">
      <alignment vertical="center"/>
    </xf>
    <xf numFmtId="0" fontId="29" fillId="2" borderId="18" applyAlignment="1" pivotButton="0" quotePrefix="0" xfId="0">
      <alignment horizontal="center" vertical="center"/>
    </xf>
    <xf numFmtId="0" fontId="29" fillId="2" borderId="19" applyAlignment="1" pivotButton="0" quotePrefix="0" xfId="0">
      <alignment horizontal="center" vertical="center"/>
    </xf>
    <xf numFmtId="0" fontId="29" fillId="2" borderId="19" applyAlignment="1" pivotButton="0" quotePrefix="0" xfId="0">
      <alignment horizontal="center" vertical="center" wrapText="1"/>
    </xf>
    <xf numFmtId="0" fontId="29" fillId="25" borderId="19" applyAlignment="1" pivotButton="0" quotePrefix="0" xfId="0">
      <alignment horizontal="center" vertical="center"/>
    </xf>
    <xf numFmtId="0" fontId="29" fillId="21" borderId="20" applyAlignment="1" pivotButton="0" quotePrefix="0" xfId="0">
      <alignment horizontal="center" vertical="center" wrapText="1"/>
    </xf>
    <xf numFmtId="0" fontId="29" fillId="25" borderId="21" applyAlignment="1" pivotButton="0" quotePrefix="0" xfId="0">
      <alignment horizontal="center" vertical="center"/>
    </xf>
    <xf numFmtId="0" fontId="29" fillId="25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21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23" borderId="23" applyAlignment="1" pivotButton="0" quotePrefix="0" xfId="0">
      <alignment horizontal="center" vertical="center"/>
    </xf>
    <xf numFmtId="0" fontId="29" fillId="23" borderId="24" applyAlignment="1" pivotButton="0" quotePrefix="0" xfId="0">
      <alignment horizontal="center" vertical="center"/>
    </xf>
    <xf numFmtId="0" fontId="29" fillId="23" borderId="0" applyAlignment="1" pivotButton="0" quotePrefix="0" xfId="0">
      <alignment horizontal="center" vertical="center"/>
    </xf>
    <xf numFmtId="0" fontId="29" fillId="21" borderId="24" applyAlignment="1" pivotButton="0" quotePrefix="0" xfId="0">
      <alignment horizontal="center" vertical="center"/>
    </xf>
    <xf numFmtId="0" fontId="27" fillId="0" borderId="0" pivotButton="0" quotePrefix="0" xfId="0"/>
    <xf numFmtId="0" fontId="29" fillId="2" borderId="0" applyAlignment="1" pivotButton="0" quotePrefix="0" xfId="0">
      <alignment horizontal="center" vertical="center"/>
    </xf>
    <xf numFmtId="0" fontId="29" fillId="23" borderId="22" applyAlignment="1" pivotButton="0" quotePrefix="0" xfId="0">
      <alignment horizontal="center" vertical="center"/>
    </xf>
    <xf numFmtId="0" fontId="29" fillId="0" borderId="21" applyAlignment="1" pivotButton="0" quotePrefix="0" xfId="0">
      <alignment horizontal="center" vertical="center"/>
    </xf>
    <xf numFmtId="0" fontId="35" fillId="23" borderId="24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21" borderId="29" applyAlignment="1" pivotButton="0" quotePrefix="0" xfId="0">
      <alignment horizontal="center" vertical="center"/>
    </xf>
    <xf numFmtId="0" fontId="33" fillId="0" borderId="26" applyAlignment="1" pivotButton="0" quotePrefix="0" xfId="0">
      <alignment horizontal="center" vertical="center"/>
    </xf>
    <xf numFmtId="0" fontId="33" fillId="0" borderId="24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/>
    </xf>
    <xf numFmtId="0" fontId="29" fillId="21" borderId="19" applyAlignment="1" pivotButton="0" quotePrefix="0" xfId="0">
      <alignment horizontal="center" vertical="center" wrapText="1"/>
    </xf>
    <xf numFmtId="0" fontId="29" fillId="2" borderId="24" applyAlignment="1" pivotButton="0" quotePrefix="0" xfId="0">
      <alignment horizontal="center" vertical="center"/>
    </xf>
    <xf numFmtId="0" fontId="14" fillId="1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15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indent="5"/>
    </xf>
    <xf numFmtId="0" fontId="28" fillId="28" borderId="21" applyAlignment="1" pivotButton="0" quotePrefix="0" xfId="0">
      <alignment vertical="center"/>
    </xf>
    <xf numFmtId="0" fontId="28" fillId="28" borderId="22" applyAlignment="1" pivotButton="0" quotePrefix="0" xfId="0">
      <alignment vertical="center" wrapText="1"/>
    </xf>
    <xf numFmtId="0" fontId="28" fillId="28" borderId="22" applyAlignment="1" pivotButton="0" quotePrefix="0" xfId="0">
      <alignment vertical="center"/>
    </xf>
    <xf numFmtId="0" fontId="20" fillId="0" borderId="26" applyAlignment="1" pivotButton="0" quotePrefix="0" xfId="0">
      <alignment vertical="center" wrapText="1"/>
    </xf>
    <xf numFmtId="0" fontId="20" fillId="0" borderId="24" applyAlignment="1" pivotButton="0" quotePrefix="0" xfId="0">
      <alignment vertical="center" wrapText="1"/>
    </xf>
    <xf numFmtId="0" fontId="20" fillId="0" borderId="24" applyAlignment="1" pivotButton="0" quotePrefix="0" xfId="0">
      <alignment vertical="center"/>
    </xf>
    <xf numFmtId="0" fontId="20" fillId="0" borderId="24" applyAlignment="1" pivotButton="0" quotePrefix="0" xfId="0">
      <alignment horizontal="right" vertical="center"/>
    </xf>
    <xf numFmtId="0" fontId="27" fillId="0" borderId="0" applyAlignment="1" pivotButton="0" quotePrefix="0" xfId="0">
      <alignment wrapText="1"/>
    </xf>
    <xf numFmtId="0" fontId="20" fillId="0" borderId="0" applyAlignment="1" pivotButton="0" quotePrefix="0" xfId="0">
      <alignment horizontal="right" vertical="center"/>
    </xf>
    <xf numFmtId="0" fontId="26" fillId="29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wrapText="1"/>
    </xf>
    <xf numFmtId="0" fontId="20" fillId="0" borderId="1" applyAlignment="1" pivotButton="0" quotePrefix="0" xfId="0">
      <alignment horizontal="right" vertical="center" wrapText="1"/>
    </xf>
    <xf numFmtId="0" fontId="0" fillId="0" borderId="2" pivotButton="0" quotePrefix="1" xfId="0"/>
    <xf numFmtId="0" fontId="14" fillId="4" borderId="4" pivotButton="0" quotePrefix="0" xfId="0"/>
    <xf numFmtId="0" fontId="14" fillId="4" borderId="5" pivotButton="0" quotePrefix="0" xfId="0"/>
    <xf numFmtId="0" fontId="14" fillId="4" borderId="6" pivotButton="0" quotePrefix="0" xfId="0"/>
    <xf numFmtId="1" fontId="20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right" vertical="center"/>
    </xf>
    <xf numFmtId="1" fontId="26" fillId="0" borderId="1" applyAlignment="1" pivotButton="0" quotePrefix="0" xfId="0">
      <alignment horizontal="right" vertical="center"/>
    </xf>
    <xf numFmtId="0" fontId="29" fillId="2" borderId="21" applyAlignment="1" pivotButton="0" quotePrefix="0" xfId="0">
      <alignment horizontal="center" vertical="center"/>
    </xf>
    <xf numFmtId="0" fontId="29" fillId="2" borderId="22" applyAlignment="1" pivotButton="0" quotePrefix="0" xfId="0">
      <alignment horizontal="center" vertical="center"/>
    </xf>
    <xf numFmtId="0" fontId="29" fillId="2" borderId="22" applyAlignment="1" pivotButton="0" quotePrefix="0" xfId="0">
      <alignment horizontal="center" vertical="center" wrapText="1"/>
    </xf>
    <xf numFmtId="0" fontId="29" fillId="21" borderId="22" applyAlignment="1" pivotButton="0" quotePrefix="0" xfId="0">
      <alignment horizontal="center" vertical="center" wrapText="1"/>
    </xf>
    <xf numFmtId="0" fontId="29" fillId="23" borderId="26" applyAlignment="1" pivotButton="0" quotePrefix="0" xfId="0">
      <alignment horizontal="center" vertical="center"/>
    </xf>
    <xf numFmtId="0" fontId="31" fillId="0" borderId="26" applyAlignment="1" pivotButton="0" quotePrefix="0" xfId="0">
      <alignment horizontal="center" vertical="center"/>
    </xf>
    <xf numFmtId="0" fontId="31" fillId="0" borderId="24" applyAlignment="1" pivotButton="0" quotePrefix="0" xfId="0">
      <alignment horizontal="center" vertical="center"/>
    </xf>
    <xf numFmtId="0" fontId="35" fillId="0" borderId="26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0" fontId="25" fillId="0" borderId="0" applyAlignment="1" pivotButton="0" quotePrefix="0" xfId="6">
      <alignment horizontal="center"/>
    </xf>
    <xf numFmtId="0" fontId="1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2" borderId="3" applyAlignment="1" pivotButton="0" quotePrefix="0" xfId="0">
      <alignment horizontal="left" vertical="center"/>
    </xf>
    <xf numFmtId="0" fontId="21" fillId="0" borderId="10" applyAlignment="1" pivotButton="0" quotePrefix="0" xfId="0">
      <alignment horizontal="left"/>
    </xf>
    <xf numFmtId="0" fontId="22" fillId="0" borderId="7" applyAlignment="1" pivotButton="0" quotePrefix="0" xfId="0">
      <alignment horizontal="left"/>
    </xf>
    <xf numFmtId="2" fontId="21" fillId="0" borderId="7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left" vertical="center"/>
    </xf>
    <xf numFmtId="167" fontId="38" fillId="30" borderId="5" applyAlignment="1" pivotButton="0" quotePrefix="0" xfId="4">
      <alignment vertical="center" wrapText="1"/>
    </xf>
    <xf numFmtId="0" fontId="38" fillId="30" borderId="5" applyAlignment="1" pivotButton="0" quotePrefix="0" xfId="0">
      <alignment vertical="center" wrapText="1"/>
    </xf>
    <xf numFmtId="0" fontId="37" fillId="30" borderId="5" applyAlignment="1" pivotButton="0" quotePrefix="0" xfId="0">
      <alignment vertical="center" wrapText="1"/>
    </xf>
    <xf numFmtId="0" fontId="37" fillId="30" borderId="6" applyAlignment="1" pivotButton="0" quotePrefix="0" xfId="0">
      <alignment vertical="center" wrapText="1"/>
    </xf>
    <xf numFmtId="2" fontId="21" fillId="2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/>
    </xf>
    <xf numFmtId="0" fontId="21" fillId="0" borderId="1" applyAlignment="1" pivotButton="0" quotePrefix="1" xfId="0">
      <alignment horizontal="left"/>
    </xf>
    <xf numFmtId="0" fontId="33" fillId="2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0" fillId="2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vertical="center"/>
    </xf>
    <xf numFmtId="0" fontId="29" fillId="0" borderId="1" applyAlignment="1" pivotButton="0" quotePrefix="1" xfId="0">
      <alignment horizontal="center" vertical="center"/>
    </xf>
    <xf numFmtId="0" fontId="29" fillId="0" borderId="31" applyAlignment="1" pivotButton="0" quotePrefix="0" xfId="0">
      <alignment horizontal="center" vertical="center"/>
    </xf>
    <xf numFmtId="0" fontId="38" fillId="30" borderId="4" applyAlignment="1" pivotButton="0" quotePrefix="0" xfId="0">
      <alignment vertical="center" wrapText="1"/>
    </xf>
    <xf numFmtId="2" fontId="38" fillId="30" borderId="5" applyAlignment="1" pivotButton="0" quotePrefix="0" xfId="0">
      <alignment vertical="center" wrapText="1"/>
    </xf>
    <xf numFmtId="0" fontId="38" fillId="30" borderId="5" applyAlignment="1" pivotButton="0" quotePrefix="0" xfId="0">
      <alignment horizontal="center" vertical="center" wrapText="1"/>
    </xf>
    <xf numFmtId="17" fontId="38" fillId="30" borderId="5" applyAlignment="1" pivotButton="0" quotePrefix="0" xfId="4">
      <alignment vertical="center" wrapText="1"/>
    </xf>
    <xf numFmtId="0" fontId="9" fillId="0" borderId="9" pivotButton="0" quotePrefix="0" xfId="0"/>
    <xf numFmtId="1" fontId="21" fillId="0" borderId="5" applyAlignment="1" pivotButton="0" quotePrefix="0" xfId="0">
      <alignment horizontal="left"/>
    </xf>
    <xf numFmtId="1" fontId="21" fillId="0" borderId="1" applyAlignment="1" pivotButton="0" quotePrefix="0" xfId="0">
      <alignment horizontal="left"/>
    </xf>
    <xf numFmtId="1" fontId="21" fillId="0" borderId="7" applyAlignment="1" pivotButton="0" quotePrefix="0" xfId="0">
      <alignment horizontal="left"/>
    </xf>
    <xf numFmtId="0" fontId="0" fillId="0" borderId="10" pivotButton="0" quotePrefix="0" xfId="0"/>
    <xf numFmtId="0" fontId="0" fillId="0" borderId="3" applyAlignment="1" pivotButton="0" quotePrefix="0" xfId="0">
      <alignment horizontal="left"/>
    </xf>
    <xf numFmtId="0" fontId="21" fillId="17" borderId="6" applyAlignment="1" pivotButton="0" quotePrefix="0" xfId="0">
      <alignment vertical="center" wrapText="1"/>
    </xf>
    <xf numFmtId="0" fontId="2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29" fillId="2" borderId="4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0" fillId="0" borderId="5" pivotButton="0" quotePrefix="0" xfId="0"/>
    <xf numFmtId="1" fontId="21" fillId="0" borderId="0" applyAlignment="1" pivotButton="0" quotePrefix="0" xfId="0">
      <alignment horizontal="left"/>
    </xf>
    <xf numFmtId="0" fontId="41" fillId="0" borderId="1" pivotButton="0" quotePrefix="0" xfId="6"/>
    <xf numFmtId="0" fontId="43" fillId="31" borderId="1" applyAlignment="1" pivotButton="0" quotePrefix="0" xfId="6">
      <alignment horizontal="center" vertical="center" wrapText="1"/>
    </xf>
    <xf numFmtId="0" fontId="44" fillId="0" borderId="1" applyAlignment="1" pivotButton="0" quotePrefix="0" xfId="6">
      <alignment horizontal="left" vertical="center"/>
    </xf>
    <xf numFmtId="0" fontId="44" fillId="0" borderId="1" applyAlignment="1" pivotButton="0" quotePrefix="0" xfId="6">
      <alignment vertical="center"/>
    </xf>
    <xf numFmtId="172" fontId="41" fillId="0" borderId="1" pivotButton="0" quotePrefix="0" xfId="7"/>
    <xf numFmtId="0" fontId="20" fillId="0" borderId="1" applyAlignment="1" pivotButton="0" quotePrefix="0" xfId="0">
      <alignment horizontal="center" vertical="center" wrapText="1"/>
    </xf>
    <xf numFmtId="0" fontId="46" fillId="28" borderId="1" applyAlignment="1" pivotButton="0" quotePrefix="0" xfId="0">
      <alignment horizontal="center" vertical="center" wrapText="1"/>
    </xf>
    <xf numFmtId="0" fontId="20" fillId="28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center" vertical="center" wrapText="1"/>
    </xf>
    <xf numFmtId="166" fontId="47" fillId="0" borderId="1" applyAlignment="1" pivotButton="0" quotePrefix="0" xfId="3">
      <alignment horizontal="center" vertical="center" wrapText="1"/>
    </xf>
    <xf numFmtId="166" fontId="49" fillId="0" borderId="1" applyAlignment="1" pivotButton="0" quotePrefix="0" xfId="3">
      <alignment horizontal="center" vertical="center" wrapText="1"/>
    </xf>
    <xf numFmtId="0" fontId="46" fillId="28" borderId="31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/>
    </xf>
    <xf numFmtId="1" fontId="0" fillId="0" borderId="5" pivotButton="0" quotePrefix="0" xfId="0"/>
    <xf numFmtId="0" fontId="51" fillId="0" borderId="1" applyAlignment="1" pivotButton="0" quotePrefix="0" xfId="0">
      <alignment vertical="center" wrapText="1"/>
    </xf>
    <xf numFmtId="0" fontId="52" fillId="0" borderId="1" applyAlignment="1" pivotButton="0" quotePrefix="0" xfId="0">
      <alignment horizontal="right" vertical="center"/>
    </xf>
    <xf numFmtId="0" fontId="51" fillId="2" borderId="1" applyAlignment="1" pivotButton="0" quotePrefix="0" xfId="0">
      <alignment vertical="center" wrapText="1"/>
    </xf>
    <xf numFmtId="0" fontId="51" fillId="0" borderId="5" applyAlignment="1" pivotButton="0" quotePrefix="0" xfId="0">
      <alignment vertical="center" wrapText="1"/>
    </xf>
    <xf numFmtId="0" fontId="52" fillId="0" borderId="5" applyAlignment="1" pivotButton="0" quotePrefix="0" xfId="0">
      <alignment horizontal="right" vertical="center"/>
    </xf>
    <xf numFmtId="0" fontId="51" fillId="0" borderId="7" applyAlignment="1" pivotButton="0" quotePrefix="0" xfId="0">
      <alignment vertical="center" wrapText="1"/>
    </xf>
    <xf numFmtId="0" fontId="52" fillId="0" borderId="7" applyAlignment="1" pivotButton="0" quotePrefix="0" xfId="0">
      <alignment horizontal="right" vertical="center"/>
    </xf>
    <xf numFmtId="0" fontId="0" fillId="0" borderId="32" pivotButton="0" quotePrefix="0" xfId="0"/>
    <xf numFmtId="0" fontId="0" fillId="0" borderId="8" pivotButton="0" quotePrefix="0" xfId="0"/>
    <xf numFmtId="0" fontId="5" fillId="2" borderId="4" pivotButton="0" quotePrefix="0" xfId="0"/>
    <xf numFmtId="0" fontId="5" fillId="2" borderId="5" pivotButton="0" quotePrefix="0" xfId="0"/>
    <xf numFmtId="0" fontId="5" fillId="2" borderId="6" pivotButton="0" quotePrefix="0" xfId="0"/>
    <xf numFmtId="0" fontId="5" fillId="0" borderId="2" pivotButton="0" quotePrefix="0" xfId="0"/>
    <xf numFmtId="0" fontId="5" fillId="0" borderId="1" pivotButton="0" quotePrefix="0" xfId="0"/>
    <xf numFmtId="0" fontId="5" fillId="18" borderId="2" pivotButton="0" quotePrefix="0" xfId="0"/>
    <xf numFmtId="0" fontId="5" fillId="18" borderId="1" pivotButton="0" quotePrefix="0" xfId="0"/>
    <xf numFmtId="0" fontId="0" fillId="18" borderId="1" pivotButton="0" quotePrefix="0" xfId="0"/>
    <xf numFmtId="0" fontId="0" fillId="18" borderId="3" pivotButton="0" quotePrefix="0" xfId="0"/>
    <xf numFmtId="0" fontId="5" fillId="0" borderId="10" pivotButton="0" quotePrefix="0" xfId="0"/>
    <xf numFmtId="0" fontId="5" fillId="0" borderId="7" pivotButton="0" quotePrefix="0" xfId="0"/>
    <xf numFmtId="2" fontId="0" fillId="0" borderId="33" pivotButton="0" quotePrefix="0" xfId="0"/>
    <xf numFmtId="2" fontId="0" fillId="0" borderId="6" pivotButton="0" quotePrefix="0" xfId="0"/>
    <xf numFmtId="2" fontId="0" fillId="0" borderId="16" pivotButton="0" quotePrefix="0" xfId="0"/>
    <xf numFmtId="2" fontId="0" fillId="0" borderId="8" pivotButton="0" quotePrefix="0" xfId="0"/>
    <xf numFmtId="2" fontId="0" fillId="0" borderId="15" pivotButton="0" quotePrefix="0" xfId="0"/>
    <xf numFmtId="0" fontId="5" fillId="0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15" fillId="0" borderId="1" pivotButton="0" quotePrefix="0" xfId="0"/>
    <xf numFmtId="2" fontId="0" fillId="0" borderId="1" applyAlignment="1" pivotButton="0" quotePrefix="0" xfId="0">
      <alignment shrinkToFit="1"/>
    </xf>
    <xf numFmtId="164" fontId="0" fillId="0" borderId="1" applyAlignment="1" pivotButton="0" quotePrefix="0" xfId="0">
      <alignment horizontal="center" shrinkToFit="1"/>
    </xf>
    <xf numFmtId="49" fontId="21" fillId="0" borderId="7" applyAlignment="1" pivotButton="0" quotePrefix="0" xfId="0">
      <alignment horizontal="center"/>
    </xf>
    <xf numFmtId="0" fontId="21" fillId="0" borderId="7" applyAlignment="1" pivotButton="0" quotePrefix="0" xfId="0">
      <alignment horizontal="center" vertical="top"/>
    </xf>
    <xf numFmtId="17" fontId="22" fillId="2" borderId="5" applyAlignment="1" pivotButton="0" quotePrefix="0" xfId="4">
      <alignment vertical="center" wrapText="1"/>
    </xf>
    <xf numFmtId="0" fontId="22" fillId="2" borderId="5" applyAlignment="1" pivotButton="0" quotePrefix="0" xfId="0">
      <alignment vertical="center" wrapText="1"/>
    </xf>
    <xf numFmtId="0" fontId="22" fillId="7" borderId="5" applyAlignment="1" pivotButton="0" quotePrefix="0" xfId="0">
      <alignment vertical="center" wrapText="1"/>
    </xf>
    <xf numFmtId="0" fontId="12" fillId="16" borderId="5" applyAlignment="1" pivotButton="0" quotePrefix="0" xfId="0">
      <alignment vertical="center" wrapText="1"/>
    </xf>
    <xf numFmtId="0" fontId="22" fillId="2" borderId="4" applyAlignment="1" pivotButton="0" quotePrefix="0" xfId="0">
      <alignment vertical="center"/>
    </xf>
    <xf numFmtId="167" fontId="22" fillId="2" borderId="5" applyAlignment="1" pivotButton="0" quotePrefix="0" xfId="4">
      <alignment vertical="center" wrapText="1"/>
    </xf>
    <xf numFmtId="0" fontId="22" fillId="2" borderId="5" applyAlignment="1" pivotButton="0" quotePrefix="0" xfId="0">
      <alignment vertical="center"/>
    </xf>
    <xf numFmtId="2" fontId="22" fillId="2" borderId="5" applyAlignment="1" pivotButton="0" quotePrefix="0" xfId="0">
      <alignment vertical="center"/>
    </xf>
    <xf numFmtId="0" fontId="22" fillId="16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left"/>
    </xf>
    <xf numFmtId="164" fontId="53" fillId="0" borderId="3" applyAlignment="1" pivotButton="0" quotePrefix="0" xfId="0">
      <alignment horizontal="center"/>
    </xf>
    <xf numFmtId="0" fontId="15" fillId="0" borderId="5" pivotButton="0" quotePrefix="0" xfId="0"/>
    <xf numFmtId="2" fontId="0" fillId="0" borderId="5" applyAlignment="1" pivotButton="0" quotePrefix="0" xfId="0">
      <alignment shrinkToFit="1"/>
    </xf>
    <xf numFmtId="164" fontId="0" fillId="0" borderId="5" applyAlignment="1" pivotButton="0" quotePrefix="0" xfId="0">
      <alignment horizontal="center" shrinkToFit="1"/>
    </xf>
    <xf numFmtId="0" fontId="15" fillId="0" borderId="7" pivotButton="0" quotePrefix="0" xfId="0"/>
    <xf numFmtId="2" fontId="0" fillId="0" borderId="7" applyAlignment="1" pivotButton="0" quotePrefix="0" xfId="0">
      <alignment shrinkToFit="1"/>
    </xf>
    <xf numFmtId="164" fontId="0" fillId="0" borderId="7" applyAlignment="1" pivotButton="0" quotePrefix="0" xfId="0">
      <alignment horizontal="center" shrinkToFit="1"/>
    </xf>
    <xf numFmtId="164" fontId="53" fillId="0" borderId="8" applyAlignment="1" pivotButton="0" quotePrefix="0" xfId="0">
      <alignment horizontal="center"/>
    </xf>
    <xf numFmtId="0" fontId="21" fillId="20" borderId="1" applyAlignment="1" pivotButton="0" quotePrefix="0" xfId="0">
      <alignment horizontal="left"/>
    </xf>
    <xf numFmtId="0" fontId="21" fillId="0" borderId="1" applyAlignment="1" pivotButton="0" quotePrefix="1" xfId="0">
      <alignment horizontal="center" vertical="top"/>
    </xf>
    <xf numFmtId="0" fontId="55" fillId="0" borderId="5" applyAlignment="1" pivotButton="0" quotePrefix="0" xfId="0">
      <alignment horizontal="center" vertical="center"/>
    </xf>
    <xf numFmtId="0" fontId="54" fillId="0" borderId="5" applyAlignment="1" pivotButton="0" quotePrefix="0" xfId="0">
      <alignment vertical="center"/>
    </xf>
    <xf numFmtId="2" fontId="54" fillId="0" borderId="5" applyAlignment="1" pivotButton="0" quotePrefix="0" xfId="0">
      <alignment vertical="center"/>
    </xf>
    <xf numFmtId="167" fontId="54" fillId="0" borderId="5" applyAlignment="1" pivotButton="0" quotePrefix="0" xfId="4">
      <alignment vertical="center" wrapText="1"/>
    </xf>
    <xf numFmtId="0" fontId="54" fillId="0" borderId="5" applyAlignment="1" pivotButton="0" quotePrefix="0" xfId="0">
      <alignment vertical="center" wrapText="1"/>
    </xf>
    <xf numFmtId="1" fontId="0" fillId="0" borderId="0" applyAlignment="1" pivotButton="0" quotePrefix="0" xfId="0">
      <alignment horizontal="center" vertical="top"/>
    </xf>
    <xf numFmtId="1" fontId="7" fillId="0" borderId="0" applyAlignment="1" pivotButton="0" quotePrefix="0" xfId="0">
      <alignment vertical="top"/>
    </xf>
    <xf numFmtId="1" fontId="19" fillId="0" borderId="0" applyAlignment="1" pivotButton="0" quotePrefix="0" xfId="0">
      <alignment horizontal="center"/>
    </xf>
    <xf numFmtId="1" fontId="18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left" vertical="top"/>
    </xf>
    <xf numFmtId="0" fontId="21" fillId="0" borderId="4" applyAlignment="1" pivotButton="0" quotePrefix="0" xfId="0">
      <alignment vertical="center"/>
    </xf>
    <xf numFmtId="0" fontId="21" fillId="0" borderId="5" applyAlignment="1" pivotButton="0" quotePrefix="0" xfId="0">
      <alignment vertical="center"/>
    </xf>
    <xf numFmtId="167" fontId="21" fillId="0" borderId="5" applyAlignment="1" pivotButton="0" quotePrefix="0" xfId="9">
      <alignment vertical="center" wrapText="1"/>
    </xf>
    <xf numFmtId="0" fontId="21" fillId="0" borderId="5" applyAlignment="1" pivotButton="0" quotePrefix="0" xfId="0">
      <alignment vertical="center" wrapText="1"/>
    </xf>
    <xf numFmtId="2" fontId="21" fillId="0" borderId="5" applyAlignment="1" pivotButton="0" quotePrefix="0" xfId="0">
      <alignment vertical="center"/>
    </xf>
    <xf numFmtId="0" fontId="21" fillId="0" borderId="5" applyAlignment="1" pivotButton="0" quotePrefix="0" xfId="0">
      <alignment horizontal="center" vertical="center"/>
    </xf>
    <xf numFmtId="17" fontId="21" fillId="0" borderId="5" applyAlignment="1" pivotButton="0" quotePrefix="0" xfId="9">
      <alignment vertical="center" wrapText="1"/>
    </xf>
    <xf numFmtId="0" fontId="0" fillId="0" borderId="5" applyAlignment="1" pivotButton="0" quotePrefix="0" xfId="0">
      <alignment vertical="center" wrapText="1"/>
    </xf>
    <xf numFmtId="0" fontId="21" fillId="0" borderId="6" applyAlignment="1" pivotButton="0" quotePrefix="0" xfId="0">
      <alignment vertical="center" wrapText="1"/>
    </xf>
    <xf numFmtId="0" fontId="21" fillId="0" borderId="16" applyAlignment="1" pivotButton="0" quotePrefix="0" xfId="0">
      <alignment vertical="center" wrapText="1"/>
    </xf>
    <xf numFmtId="9" fontId="11" fillId="2" borderId="1" applyAlignment="1" pivotButton="0" quotePrefix="0" xfId="2">
      <alignment horizontal="center" vertical="center"/>
    </xf>
    <xf numFmtId="0" fontId="20" fillId="0" borderId="1" pivotButton="0" quotePrefix="0" xfId="0"/>
    <xf numFmtId="167" fontId="21" fillId="2" borderId="1" applyAlignment="1" pivotButton="0" quotePrefix="0" xfId="10">
      <alignment vertical="center" wrapText="1"/>
    </xf>
    <xf numFmtId="17" fontId="21" fillId="2" borderId="1" applyAlignment="1" pivotButton="0" quotePrefix="0" xfId="10">
      <alignment vertical="center" wrapText="1"/>
    </xf>
    <xf numFmtId="0" fontId="10" fillId="0" borderId="1" pivotButton="0" quotePrefix="0" xfId="0"/>
    <xf numFmtId="0" fontId="6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2" fontId="0" fillId="0" borderId="1" applyAlignment="1" pivotButton="0" quotePrefix="0" xfId="2">
      <alignment horizontal="center" vertical="center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4" fillId="32" borderId="7" applyAlignment="1" pivotButton="0" quotePrefix="0" xfId="0">
      <alignment horizontal="center" vertical="center"/>
    </xf>
    <xf numFmtId="0" fontId="14" fillId="32" borderId="7" applyAlignment="1" pivotButton="0" quotePrefix="0" xfId="0">
      <alignment horizontal="center" vertical="center" wrapText="1"/>
    </xf>
    <xf numFmtId="0" fontId="14" fillId="32" borderId="31" applyAlignment="1" pivotButton="0" quotePrefix="0" xfId="0">
      <alignment horizontal="center" vertical="center"/>
    </xf>
    <xf numFmtId="0" fontId="14" fillId="32" borderId="10" applyAlignment="1" pivotButton="0" quotePrefix="0" xfId="0">
      <alignment horizontal="center" vertical="center"/>
    </xf>
    <xf numFmtId="0" fontId="0" fillId="20" borderId="2" pivotButton="0" quotePrefix="0" xfId="0"/>
    <xf numFmtId="1" fontId="9" fillId="0" borderId="0" applyAlignment="1" pivotButton="0" quotePrefix="0" xfId="0">
      <alignment vertical="top"/>
    </xf>
    <xf numFmtId="1" fontId="12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9" fontId="17" fillId="0" borderId="3" applyAlignment="1" pivotButton="0" quotePrefix="0" xfId="2">
      <alignment horizontal="center" vertical="center"/>
    </xf>
    <xf numFmtId="0" fontId="2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top"/>
    </xf>
    <xf numFmtId="0" fontId="56" fillId="0" borderId="1" pivotButton="0" quotePrefix="0" xfId="0"/>
    <xf numFmtId="166" fontId="11" fillId="2" borderId="1" applyAlignment="1" pivotButton="0" quotePrefix="0" xfId="3">
      <alignment horizontal="center" vertical="center"/>
    </xf>
    <xf numFmtId="4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73" fontId="0" fillId="0" borderId="0" applyAlignment="1" pivotButton="0" quotePrefix="0" xfId="0">
      <alignment horizontal="right" vertical="top"/>
    </xf>
    <xf numFmtId="0" fontId="0" fillId="0" borderId="7" applyAlignment="1" pivotButton="0" quotePrefix="0" xfId="0">
      <alignment horizontal="center" vertical="top"/>
    </xf>
    <xf numFmtId="0" fontId="20" fillId="0" borderId="7" pivotButton="0" quotePrefix="0" xfId="0"/>
    <xf numFmtId="49" fontId="5" fillId="7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49" fontId="5" fillId="7" borderId="4" applyAlignment="1" pivotButton="0" quotePrefix="0" xfId="0">
      <alignment horizontal="center" vertical="center" wrapText="1"/>
    </xf>
    <xf numFmtId="166" fontId="5" fillId="0" borderId="0" pivotButton="0" quotePrefix="0" xfId="3"/>
    <xf numFmtId="1" fontId="0" fillId="0" borderId="7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 shrinkToFit="1"/>
    </xf>
    <xf numFmtId="2" fontId="1" fillId="2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2" fontId="1" fillId="0" borderId="7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/>
    </xf>
    <xf numFmtId="2" fontId="1" fillId="15" borderId="1" applyAlignment="1" pivotButton="0" quotePrefix="0" xfId="0">
      <alignment horizontal="center" vertical="center"/>
    </xf>
    <xf numFmtId="1" fontId="1" fillId="15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/>
    </xf>
    <xf numFmtId="1" fontId="1" fillId="2" borderId="1" applyAlignment="1" pivotButton="0" quotePrefix="0" xfId="0">
      <alignment horizontal="center" vertical="center" shrinkToFit="1"/>
    </xf>
    <xf numFmtId="0" fontId="2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5" fillId="0" borderId="0" pivotButton="0" quotePrefix="0" xfId="0"/>
    <xf numFmtId="1" fontId="1" fillId="0" borderId="7" applyAlignment="1" pivotButton="0" quotePrefix="0" xfId="0">
      <alignment horizontal="center" vertical="center"/>
    </xf>
    <xf numFmtId="1" fontId="12" fillId="2" borderId="1" applyAlignment="1" pivotButton="0" quotePrefix="0" xfId="0">
      <alignment horizontal="center" vertical="center"/>
    </xf>
    <xf numFmtId="0" fontId="17" fillId="0" borderId="3" pivotButton="0" quotePrefix="0" xfId="0"/>
    <xf numFmtId="9" fontId="0" fillId="0" borderId="0" applyAlignment="1" pivotButton="0" quotePrefix="0" xfId="2">
      <alignment horizontal="center" vertical="center"/>
    </xf>
    <xf numFmtId="0" fontId="0" fillId="15" borderId="5" applyAlignment="1" pivotButton="0" quotePrefix="0" xfId="0">
      <alignment horizontal="center" vertical="top"/>
    </xf>
    <xf numFmtId="0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" fontId="0" fillId="0" borderId="0" pivotButton="0" quotePrefix="0" xfId="0"/>
    <xf numFmtId="1" fontId="12" fillId="0" borderId="0" pivotButton="0" quotePrefix="0" xfId="0"/>
    <xf numFmtId="1" fontId="0" fillId="0" borderId="0" applyAlignment="1" pivotButton="0" quotePrefix="0" xfId="0">
      <alignment vertical="top"/>
    </xf>
    <xf numFmtId="1" fontId="57" fillId="0" borderId="0" pivotButton="0" quotePrefix="0" xfId="0"/>
    <xf numFmtId="0" fontId="20" fillId="0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27" fillId="0" borderId="30" pivotButton="0" quotePrefix="0" xfId="0"/>
    <xf numFmtId="0" fontId="27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horizontal="center"/>
    </xf>
    <xf numFmtId="168" fontId="0" fillId="0" borderId="0" pivotButton="0" quotePrefix="0" xfId="0"/>
    <xf numFmtId="167" fontId="21" fillId="0" borderId="5" applyAlignment="1" pivotButton="0" quotePrefix="0" xfId="9">
      <alignment vertical="center" wrapText="1"/>
    </xf>
    <xf numFmtId="167" fontId="21" fillId="2" borderId="1" applyAlignment="1" pivotButton="0" quotePrefix="0" xfId="10">
      <alignment vertical="center" wrapText="1"/>
    </xf>
    <xf numFmtId="168" fontId="0" fillId="0" borderId="1" pivotButton="0" quotePrefix="0" xfId="0"/>
    <xf numFmtId="169" fontId="0" fillId="2" borderId="3" pivotButton="0" quotePrefix="0" xfId="0"/>
    <xf numFmtId="169" fontId="0" fillId="8" borderId="3" pivotButton="0" quotePrefix="0" xfId="0"/>
    <xf numFmtId="173" fontId="0" fillId="0" borderId="0" applyAlignment="1" pivotButton="0" quotePrefix="0" xfId="0">
      <alignment horizontal="right" vertical="top"/>
    </xf>
    <xf numFmtId="170" fontId="0" fillId="0" borderId="1" pivotButton="0" quotePrefix="0" xfId="0"/>
    <xf numFmtId="170" fontId="0" fillId="0" borderId="0" pivotButton="0" quotePrefix="0" xfId="0"/>
    <xf numFmtId="171" fontId="15" fillId="0" borderId="1" applyAlignment="1" applyProtection="1" pivotButton="0" quotePrefix="0" xfId="3">
      <alignment horizontal="right" vertical="top" readingOrder="1"/>
      <protection locked="0" hidden="0"/>
    </xf>
    <xf numFmtId="170" fontId="5" fillId="0" borderId="0" pivotButton="0" quotePrefix="0" xfId="0"/>
    <xf numFmtId="167" fontId="21" fillId="2" borderId="1" applyAlignment="1" pivotButton="0" quotePrefix="0" xfId="4">
      <alignment vertical="center" wrapText="1"/>
    </xf>
    <xf numFmtId="167" fontId="21" fillId="2" borderId="5" applyAlignment="1" pivotButton="0" quotePrefix="0" xfId="4">
      <alignment vertical="center" wrapText="1"/>
    </xf>
    <xf numFmtId="167" fontId="38" fillId="30" borderId="5" applyAlignment="1" pivotButton="0" quotePrefix="0" xfId="4">
      <alignment vertical="center" wrapText="1"/>
    </xf>
    <xf numFmtId="167" fontId="22" fillId="2" borderId="5" applyAlignment="1" pivotButton="0" quotePrefix="0" xfId="4">
      <alignment vertical="center" wrapText="1"/>
    </xf>
    <xf numFmtId="167" fontId="54" fillId="0" borderId="5" applyAlignment="1" pivotButton="0" quotePrefix="0" xfId="4">
      <alignment vertical="center" wrapText="1"/>
    </xf>
    <xf numFmtId="172" fontId="41" fillId="0" borderId="1" pivotButton="0" quotePrefix="0" xfId="7"/>
  </cellXfs>
  <cellStyles count="11">
    <cellStyle name="Normal" xfId="0" builtinId="0"/>
    <cellStyle name="Normal 2" xfId="1"/>
    <cellStyle name="Percent" xfId="2" builtinId="5"/>
    <cellStyle name="Comma" xfId="3" builtinId="3"/>
    <cellStyle name="Currency 2" xfId="4"/>
    <cellStyle name="Normal_Sheet1" xfId="5"/>
    <cellStyle name="Normal 2 2" xfId="6"/>
    <cellStyle name="Comma 2" xfId="7"/>
    <cellStyle name="Hyperlink 2" xfId="8"/>
    <cellStyle name="Currency 2 2" xfId="9"/>
    <cellStyle name="Currency 2 3" xfId="10"/>
  </cellStyles>
  <dxfs count="7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i val="1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 shrinkToFi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9BC2E6"/>
          <bgColor rgb="FF000000"/>
        </patternFill>
      </fill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>
        <bottom style="thin">
          <color rgb="FF000000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  <alignment horizontal="center" vertical="bottom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bottom"/>
    </dxf>
    <dxf>
      <border outline="0">
        <top style="thin">
          <color indexed="64"/>
        </top>
      </border>
    </dxf>
    <dxf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rgb="FF0000CC"/>
        <extend val="0"/>
        <sz val="10"/>
        <vertAlign val="baseline"/>
      </font>
      <numFmt numFmtId="164" formatCode="0.000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alignment horizontal="center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general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general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general" vertical="bottom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FFFF00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left style="thin">
          <color indexed="64"/>
        </left>
        <right/>
        <top style="thin">
          <color indexed="64"/>
        </top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 outline="0">
        <left/>
        <right/>
        <top style="thin">
          <color indexed="64"/>
        </top>
        <bottom/>
      </border>
    </dxf>
    <dxf>
      <font>
        <name val="Aptos"/>
        <family val="2"/>
        <color rgb="FF000000"/>
        <sz val="12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/>
        <right/>
        <top style="thin">
          <color indexed="64"/>
        </top>
        <bottom/>
      </border>
    </dxf>
    <dxf>
      <font>
        <name val="Aptos"/>
        <family val="2"/>
        <b val="1"/>
        <color rgb="FF000000"/>
        <sz val="12"/>
      </font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4" tint="0.5999938962981048"/>
        </patternFill>
      </fill>
      <alignment horizontal="center" vertical="bottom"/>
      <border outline="0">
        <left/>
        <right/>
        <top style="thin">
          <color indexed="64"/>
        </top>
        <bottom/>
      </border>
    </dxf>
    <dxf>
      <font>
        <name val="Aptos"/>
        <family val="2"/>
        <color rgb="FF000000"/>
        <sz val="12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/>
        <top style="thin">
          <color indexed="64"/>
        </top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/>
        <right style="thin">
          <color indexed="64"/>
        </right>
        <top style="thin">
          <color indexed="64"/>
        </top>
        <bottom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" formatCode="0"/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0"/>
        <vertAlign val="baseline"/>
        <scheme val="minor"/>
      </font>
      <fill>
        <patternFill patternType="solid">
          <fgColor indexed="64"/>
          <bgColor theme="1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/>
    </dxf>
    <dxf>
      <border outline="0">
        <bottom style="thin">
          <color rgb="FF000000"/>
        </bottom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 shrinkToFi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/>
        <right/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 shrinkToFi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/>
        <right/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solid">
          <fgColor indexed="64"/>
          <bgColor theme="7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70C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</dxf>
    <dxf>
      <alignment horizontal="general" vertical="bottom" wrapText="1"/>
    </dxf>
    <dxf>
      <alignment horizontal="general" vertical="bottom" wrapText="1"/>
    </dxf>
    <dxf>
      <alignment horizontal="center" vertical="center" wrapText="1"/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B0F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" formatCode="0"/>
      <fill>
        <patternFill>
          <fgColor indexed="64"/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>
          <fgColor indexed="64"/>
          <bgColor indexed="65"/>
        </patternFill>
      </fill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1"/>
      </font>
      <border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vertical="bottom"/>
    </dxf>
    <dxf>
      <alignment horizontal="left" vertical="bottom"/>
    </dxf>
    <dxf>
      <alignment horizontal="left" vertical="bottom"/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" formatCode="0.00"/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numFmt numFmtId="167" formatCode="0.0"/>
    </dxf>
    <dxf>
      <numFmt numFmtId="1" formatCode="0"/>
    </dxf>
    <dxf>
      <numFmt numFmtId="1" formatCode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/>
    </dxf>
    <dxf>
      <fill>
        <patternFill>
          <bgColor auto="1"/>
        </patternFill>
      </fill>
    </dxf>
    <dxf>
      <numFmt numFmtId="0" formatCode="General"/>
    </dxf>
    <dxf>
      <numFmt numFmtId="0" formatCode="General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general" vertical="top"/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pivotCacheDefinition" Target="/xl/pivotCache/pivotCacheDefinition1.xml" Id="rId59" /><Relationship Type="http://schemas.openxmlformats.org/officeDocument/2006/relationships/pivotCacheDefinition" Target="/xl/pivotCache/pivotCacheDefinition2.xml" Id="rId60" /><Relationship Type="http://schemas.openxmlformats.org/officeDocument/2006/relationships/pivotCacheDefinition" Target="/xl/pivotCache/pivotCacheDefinition3.xml" Id="rId61" /><Relationship Type="http://schemas.openxmlformats.org/officeDocument/2006/relationships/externalLink" Target="/xl/externalLinks/externalLink1.xml" Id="rId62" /><Relationship Type="http://schemas.openxmlformats.org/officeDocument/2006/relationships/externalLink" Target="/xl/externalLinks/externalLink2.xml" Id="rId63" /><Relationship Type="http://schemas.openxmlformats.org/officeDocument/2006/relationships/externalLink" Target="/xl/externalLinks/externalLink3.xml" Id="rId64" /><Relationship Type="http://schemas.openxmlformats.org/officeDocument/2006/relationships/externalLink" Target="/xl/externalLinks/externalLink4.xml" Id="rId65" /><Relationship Type="http://schemas.openxmlformats.org/officeDocument/2006/relationships/externalLink" Target="/xl/externalLinks/externalLink5.xml" Id="rId66" /><Relationship Type="http://schemas.openxmlformats.org/officeDocument/2006/relationships/externalLink" Target="/xl/externalLinks/externalLink6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'Sales Loss'!$C$16</f>
              <strCache>
                <ptCount val="1"/>
                <pt idx="0">
                  <v>Volume (MT)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'Sales Loss'!$B$17:$B$23</f>
              <strCache>
                <ptCount val="7"/>
                <pt idx="0">
                  <v>RM Unavailability</v>
                </pt>
                <pt idx="1">
                  <v>Customer Clearance</v>
                </pt>
                <pt idx="2">
                  <v>SY Chamfering Processing Constraint</v>
                </pt>
                <pt idx="3">
                  <v>Delay in Rolling</v>
                </pt>
                <pt idx="4">
                  <v>SY Angle Cutting Processing Constraint</v>
                </pt>
                <pt idx="5">
                  <v>Payment Issue</v>
                </pt>
                <pt idx="6">
                  <v>Credit Issue</v>
                </pt>
              </strCache>
            </strRef>
          </cat>
          <val>
            <numRef>
              <f>'Sales Loss'!$C$17:$C$23</f>
              <numCache>
                <formatCode>0</formatCode>
                <ptCount val="7"/>
                <pt idx="0">
                  <v>43.186428110375</v>
                </pt>
                <pt idx="1">
                  <v>19.94460623136</v>
                </pt>
                <pt idx="2">
                  <v>69.67880358354239</v>
                </pt>
                <pt idx="3">
                  <v>25.74081663369218</v>
                </pt>
                <pt idx="4">
                  <v>43.40696622365613</v>
                </pt>
                <pt idx="5">
                  <v>16</v>
                </pt>
                <pt idx="6">
                  <v>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6398440"/>
        <axId val="816393760"/>
      </barChart>
      <catAx>
        <axId val="816398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16393760"/>
        <crosses val="autoZero"/>
        <auto val="1"/>
        <lblAlgn val="ctr"/>
        <lblOffset val="100"/>
        <noMultiLvlLbl val="0"/>
      </catAx>
      <valAx>
        <axId val="816393760"/>
        <scaling>
          <orientation val="minMax"/>
        </scaling>
        <delete val="1"/>
        <axPos val="l"/>
        <numFmt formatCode="0" sourceLinked="1"/>
        <majorTickMark val="none"/>
        <minorTickMark val="none"/>
        <tickLblPos val="nextTo"/>
        <crossAx val="816398440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2"/>
          <order val="0"/>
          <tx>
            <strRef>
              <f>'Sales Loss'!$D$133</f>
              <strCache>
                <ptCount val="1"/>
                <pt idx="0">
                  <v>Sales Loss Volume (MT) in June'25</v>
                </pt>
              </strCache>
            </strRef>
          </tx>
          <spPr>
            <a:solidFill>
              <a:schemeClr val="accent1"/>
            </a:solidFill>
            <a:ln>
              <a:solidFill>
                <a:schemeClr val="accent1"/>
              </a:solidFill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'Sales Loss'!$A$134:$A$141</f>
              <strCache>
                <ptCount val="8"/>
                <pt idx="0">
                  <v>RM Unavailability</v>
                </pt>
                <pt idx="1">
                  <v>Delay in Rolling</v>
                </pt>
                <pt idx="2">
                  <v>SY Chamfering Processing Constraint</v>
                </pt>
                <pt idx="3">
                  <v>SY Angle Cutting Processing Constraint</v>
                </pt>
                <pt idx="4">
                  <v>Customer Clearance</v>
                </pt>
                <pt idx="5">
                  <v>Payment Issue</v>
                </pt>
                <pt idx="6">
                  <v>Credit Issue</v>
                </pt>
                <pt idx="7">
                  <v>SY Cutting Constraint</v>
                </pt>
              </strCache>
            </strRef>
          </cat>
          <val>
            <numRef>
              <f>'Sales Loss'!$D$134:$D$141</f>
              <numCache>
                <formatCode>0</formatCode>
                <ptCount val="8"/>
                <pt idx="0">
                  <v>12.77852578947499</v>
                </pt>
                <pt idx="1">
                  <v>307.2585170236175</v>
                </pt>
                <pt idx="2">
                  <v>14.8612706945625</v>
                </pt>
                <pt idx="3">
                  <v>0</v>
                </pt>
                <pt idx="4">
                  <v>47.94413959550913</v>
                </pt>
                <pt idx="5">
                  <v>1.886400376250002</v>
                </pt>
                <pt idx="6">
                  <v>0</v>
                </pt>
                <pt idx="7">
                  <v>16.46713503936151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946063144"/>
        <axId val="946067104"/>
      </barChart>
      <catAx>
        <axId val="9460631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46067104"/>
        <crosses val="autoZero"/>
        <auto val="1"/>
        <lblAlgn val="ctr"/>
        <lblOffset val="100"/>
        <noMultiLvlLbl val="0"/>
      </catAx>
      <valAx>
        <axId val="946067104"/>
        <scaling>
          <orientation val="minMax"/>
        </scaling>
        <delete val="1"/>
        <axPos val="l"/>
        <numFmt formatCode="0" sourceLinked="1"/>
        <majorTickMark val="none"/>
        <minorTickMark val="none"/>
        <tickLblPos val="nextTo"/>
        <crossAx val="94606314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tc={04CCD3E8-3EC0-4278-968E-EE2B04326CC9}</author>
  </authors>
  <commentList>
    <comment ref="A4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new intro by sandhar</t>
      </text>
    </comment>
  </commentList>
</comments>
</file>

<file path=xl/comments/comment2.xml><?xml version="1.0" encoding="utf-8"?>
<comments xmlns="http://schemas.openxmlformats.org/spreadsheetml/2006/main">
  <authors>
    <author>tc={095CF645-D8CE-44C1-B2ED-A2B68ECC4A2F}</author>
  </authors>
  <commentList>
    <comment ref="A3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new intro by sandhar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9525</colOff>
      <row>23</row>
      <rowOff>9525</rowOff>
    </from>
    <to>
      <col>1</col>
      <colOff>1895475</colOff>
      <row>37</row>
      <rowOff>85725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990600</colOff>
      <row>142</row>
      <rowOff>128587</rowOff>
    </from>
    <to>
      <col>2</col>
      <colOff>190500</colOff>
      <row>157</row>
      <rowOff>14287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2</col>
      <colOff>1009650</colOff>
      <row>23</row>
      <rowOff>171450</rowOff>
    </from>
    <to>
      <col>6</col>
      <colOff>104775</colOff>
      <row>38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6381750" y="5505450"/>
          <a:ext cx="4572000" cy="2743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sample%20files/zma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163559\Desktop\scehdule%20file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163559\Desktop\TVSM%20August%20Schedule.2025_v2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personal/163559_tatasteel_com/Documents/Tubes/DM/Mar'26/pq/Jan26%20rm%20tracker%20v2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lin-my.sharepoint.com/personal/163559_tatasteel_com/Documents/Tubes/DM/Material%20Mapping%20Sheet/zmat_tube%20material%20master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Users\163559\OneDrive%20-%20Tata%20Steel%20Limited\Tubes\DM\Material%20Mapping%20Sheet\zmat_tube%20material%20mast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zmat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OEM_key_1_rev codes"/>
      <sheetName val="Methodology"/>
      <sheetName val="saleswipstock_matnos"/>
      <sheetName val="saleswipstock_customer"/>
      <sheetName val="OEM_key"/>
      <sheetName val="Chamferring and Angle cut"/>
      <sheetName val="stock"/>
      <sheetName val="Pivot_schedule"/>
      <sheetName val="Schedule Pivot"/>
      <sheetName val="RM Tracker"/>
      <sheetName val="RM Tracker Pasted"/>
      <sheetName val="OMS_v2"/>
      <sheetName val="Schedule aug"/>
      <sheetName val="salesTVS"/>
      <sheetName val="pivot schedule copy check"/>
      <sheetName val="Bucketting"/>
      <sheetName val="Schedule for Printing"/>
      <sheetName val="Sales Forecast TVS"/>
      <sheetName val="Printing Forecast"/>
      <sheetName val="Sales Loss"/>
      <sheetName val="SOB"/>
      <sheetName val="All Chamferring"/>
      <sheetName val="salesALL"/>
      <sheetName val="Chamferring Sizes"/>
      <sheetName val="rm types"/>
      <sheetName val="Sales Forecast For Printing"/>
      <sheetName val="Apr VSM Schedule"/>
      <sheetName val="VSM May Indent"/>
      <sheetName val="VSM June Indent"/>
      <sheetName val="VSM July Indent"/>
      <sheetName val="Aug Indent"/>
      <sheetName val="MeghSteel Buckets_use file"/>
      <sheetName val="Sep Indent"/>
      <sheetName val="Megh Value Added SKU Tracker"/>
      <sheetName val="OMS_TsubramaniG"/>
      <sheetName val="Knitvel Sizes"/>
      <sheetName val="PCR"/>
      <sheetName val="meghsteelsales"/>
      <sheetName val="meghsteelsales_previous month"/>
      <sheetName val="MeghSteel Buckets_refresh file"/>
      <sheetName val="helper sheet"/>
      <sheetName val="Schedule Ampere"/>
      <sheetName val="wip"/>
      <sheetName val="Customer view of Sales Forecast"/>
      <sheetName val="NMPL Schedule vs Sales"/>
      <sheetName val="Critical sizes 27012025"/>
      <sheetName val="Pivot"/>
      <sheetName val="Bucket and Schedule Matching"/>
      <sheetName val="ERW 2 and ERW 2 MAHS"/>
      <sheetName val="scehdule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aleswipstock_matnos"/>
      <sheetName val="saleswipstock_customer"/>
      <sheetName val="OEM_key"/>
      <sheetName val="Methodology"/>
      <sheetName val="Alf and Ampere"/>
      <sheetName val="Chamferring and Angle cut"/>
      <sheetName val="stock"/>
      <sheetName val="Pivot_schedule"/>
      <sheetName val="Schedule Pivot"/>
      <sheetName val="RM Tracker"/>
      <sheetName val="salesTVS"/>
      <sheetName val="RM Tracker Pasted"/>
      <sheetName val="pivot schedule copy check"/>
      <sheetName val="Bucketting"/>
      <sheetName val="Schedule apr"/>
      <sheetName val="Schedule for Printing"/>
      <sheetName val="Sales Forecast TVS"/>
      <sheetName val="Sheet1"/>
      <sheetName val="OMS_TsubramaniG"/>
      <sheetName val="Printing Forecast"/>
      <sheetName val="Sales Loss"/>
      <sheetName val="SOB"/>
      <sheetName val="All Chamferring"/>
      <sheetName val="Sheet5"/>
      <sheetName val="salesALL"/>
      <sheetName val="Cutting Plan 4731 june"/>
      <sheetName val="Chamferring Sizes"/>
      <sheetName val="rm types"/>
      <sheetName val="Sales Forecast For Printing"/>
      <sheetName val="Apr VSM Schedule"/>
      <sheetName val="VSM May Indent"/>
      <sheetName val="VSM June Indent"/>
      <sheetName val="VSM July Indent"/>
      <sheetName val="Aug Indent"/>
      <sheetName val="MeghSteel Buckets_use file"/>
      <sheetName val="JSR_OMS_REFRESH FILE"/>
      <sheetName val="meghsteelsales"/>
      <sheetName val="meghsteelsales_previous month"/>
      <sheetName val="MeghSteel Buckets_refresh file"/>
      <sheetName val="helper sheet"/>
      <sheetName val="Pivot_schedule_ampere"/>
      <sheetName val="Schedule Ampere"/>
      <sheetName val="wip"/>
      <sheetName val="NMPL Rajsriya Rucha Hosur Order"/>
      <sheetName val="ERW 2 and ERW 2 MAHS"/>
      <sheetName val="Customer view of Sales Forecast"/>
      <sheetName val="NMPL Schedule vs Sales"/>
      <sheetName val="Critical sizes 27012025"/>
      <sheetName val="Pivot"/>
      <sheetName val="Bucket and Schedule Matching"/>
      <sheetName val="TVSM August Schedule.2025_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Jan26 rm tracker v2"/>
    </sheetNames>
    <sheetDataSet>
      <sheetData sheetId="0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zmat_tube material mas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3"/>
      <sheetName val="Sheet2"/>
      <sheetName val="zmat_tube material master"/>
      <sheetName val=""/>
    </sheetNames>
    <sheetDataSet>
      <sheetData sheetId="0">
        <row r="1">
          <cell r="A1" t="str">
            <v>Column1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poorv Gupta" refreshedDate="46227.57632743056" createdVersion="8" refreshedVersion="8" minRefreshableVersion="3" recordCount="742" r:id="rId1">
  <cacheSource type="worksheet">
    <worksheetSource name="scheduleapr"/>
  </cacheSource>
  <cacheFields count="45">
    <cacheField name="SNO" uniqueList="1" numFmtId="0" sqlType="0" hierarchy="0" level="0" databaseField="1">
      <sharedItems count="0" containsBlank="1" containsInteger="1" containsNumber="1" containsString="0" minValue="1" maxValue="778"/>
    </cacheField>
    <cacheField name="RM Loaction" uniqueList="1" numFmtId="0" sqlType="0" hierarchy="0" level="0" databaseField="1">
      <sharedItems count="0" containsBlank="1"/>
    </cacheField>
    <cacheField name="CUSTOMER NAME" uniqueList="1" numFmtId="0" sqlType="0" hierarchy="0" level="0" databaseField="1">
      <sharedItems count="36" containsBlank="1">
        <s v="Balaji press product"/>
        <s v="ELKAYEM AUTO"/>
        <s v="ELKAYEM AUTO MYSORE "/>
        <s v="KAY JAY"/>
        <s v="KNITVEL NEEDLES P LTD"/>
        <s v="Laxmi"/>
        <s v="Marathwada"/>
        <s v="Marathwada v7"/>
        <s v="Metalman"/>
        <s v="Narasipur Auto Component(P)Ltd"/>
        <s v="NMPL TVSM"/>
        <s v="NMPL HUB"/>
        <s v="Rajsriya Automotive"/>
        <s v="Rajsriya Unit 5"/>
        <s v="Rajsriya Unit 8"/>
        <s v="Rajsriya Unit 1"/>
        <s v="Rajsriya Unit 2"/>
        <s v="Rajsriya Unit 4"/>
        <s v="Rajsriya Mysore "/>
        <s v="RUCHA"/>
        <s v="SANDHAR ENGINEERING PVT LTD."/>
        <s v="Sandhar Engg Mysore "/>
        <s v="Sandhar Automach"/>
        <s v="SRI BALAJI GEARS V4"/>
        <s v="SRI BALAJI GEARS V7"/>
        <s v="Balaji Gears V3"/>
        <s v="SRIKAM HITECH"/>
        <s v="TVS MOTOR COMPANY LIMITED"/>
        <m u="1"/>
        <s v="NMPL (HUB)" u="1"/>
        <s v="NMPL 1" u="1"/>
        <s v="ELKAYEM AUTO ANCILLARIES (PVT)" u="1"/>
        <s v="SRI BALAJI GEARS V3" u="1"/>
        <s v="NEEL METAL PRODUCTS LIMITED" u="1"/>
        <s v="ELKAYEM mysore" u="1"/>
        <s v="NMPL Plant" u="1"/>
      </sharedItems>
    </cacheField>
    <cacheField name="Helper Customer" uniqueList="1" numFmtId="0" sqlType="0" hierarchy="0" level="0" databaseField="1">
      <sharedItems count="0"/>
    </cacheField>
    <cacheField name="CUSTOMER CODE" uniqueList="1" numFmtId="0" sqlType="0" hierarchy="0" level="0" databaseField="1">
      <sharedItems count="22" containsInteger="1" containsMixedTypes="1" containsNumber="1" minValue="185254" maxValue="945539">
        <n v="189287"/>
        <s v="129663|948721"/>
        <s v="129663|948722"/>
        <n v="940921"/>
        <n v="188934"/>
        <n v="819045"/>
        <n v="185254"/>
        <n v="189002"/>
        <n v="188647"/>
        <n v="187546"/>
        <s v="189226|930794"/>
        <s v="930801|189227"/>
        <n v="189226"/>
        <s v="129695|187884|188415|189239|189240"/>
        <s v="930883|189481"/>
        <n v="188534"/>
        <n v="941496"/>
        <n v="945539"/>
        <n v="187702"/>
        <n v="188595"/>
        <n v="944141"/>
        <n v="187268"/>
      </sharedItems>
    </cacheField>
    <cacheField name="MATERIAL NO" uniqueList="1" numFmtId="0" sqlType="0" hierarchy="0" level="0" databaseField="1">
      <sharedItems count="0" containsBlank="1" containsInteger="1" containsMixedTypes="1" containsNumber="1" minValue="234926" maxValue="4228296"/>
    </cacheField>
    <cacheField name="Key" uniqueList="1" numFmtId="0" sqlType="0" hierarchy="0" level="0" databaseField="1">
      <sharedItems count="0"/>
    </cacheField>
    <cacheField name="MATERIAL DES" uniqueList="1" numFmtId="0" sqlType="0" hierarchy="0" level="0" databaseField="1">
      <sharedItems count="0" containsBlank="1"/>
    </cacheField>
    <cacheField name="Grade" uniqueList="1" numFmtId="0" sqlType="0" hierarchy="0" level="0" databaseField="1">
      <sharedItems count="10" containsBlank="1">
        <s v="ERW 1"/>
        <s v="CEW"/>
        <m/>
        <s v="CEW "/>
        <s v="CEW STKM 13C"/>
        <s v="ERW 2 MAHS"/>
        <s v="ERW 2"/>
        <s v="CRFH"/>
        <s v="ERW" u="1"/>
        <s v="ERW1" u="1"/>
      </sharedItems>
    </cacheField>
    <cacheField name="h" uniqueList="1" numFmtId="0" sqlType="0" hierarchy="0" level="0" databaseField="1">
      <sharedItems count="0" containsBlank="1"/>
    </cacheField>
    <cacheField name="FC/NFC" uniqueList="1" numFmtId="0" sqlType="0" hierarchy="0" level="0" databaseField="1">
      <sharedItems count="6" containsBlank="1">
        <s v="PE"/>
        <m/>
        <s v="FC"/>
        <s v="CEW"/>
        <s v="FIN CUT"/>
        <s v="CEW "/>
      </sharedItems>
    </cacheField>
    <cacheField name="HR/CR" uniqueList="1" numFmtId="0" sqlType="0" hierarchy="0" level="0" databaseField="1">
      <sharedItems count="0" containsBlank="1"/>
    </cacheField>
    <cacheField name="HR/CR Check" uniqueList="1" numFmtId="0" sqlType="0" hierarchy="0" level="0" databaseField="1">
      <sharedItems count="0" containsBlank="1"/>
    </cacheField>
    <cacheField name="Chamferring " uniqueList="1" numFmtId="0" sqlType="0" hierarchy="0" level="0" databaseField="1">
      <sharedItems count="0" containsBlank="1"/>
    </cacheField>
    <cacheField name="Angle Cut" uniqueList="1" numFmtId="0" sqlType="0" hierarchy="0" level="0" databaseField="1">
      <sharedItems count="0" containsBlank="1"/>
    </cacheField>
    <cacheField name="Surface Critical" uniqueList="1" numFmtId="0" sqlType="0" hierarchy="0" level="0" databaseField="1">
      <sharedItems count="0" containsBlank="1"/>
    </cacheField>
    <cacheField name="Bucket" uniqueList="1" numFmtId="0" sqlType="0" hierarchy="0" level="0" databaseField="1">
      <sharedItems count="223" containsBlank="1">
        <s v="12.7-0-1.6-ERW 1-PE"/>
        <m/>
        <s v="15.88-0-1.2-ERW 1-PE"/>
        <s v="19.05-0-1-ERW 1-PE"/>
        <s v="19.05-0-1.2-ERW 1-PE"/>
        <s v="25.4-0-1.6-ERW 1-PE"/>
        <s v="50-30-1.6-ERW 1-FC"/>
        <s v="14-0-1.6-CEW-CEW"/>
        <s v="16.1-0-2.8-CEW-CEW"/>
        <s v="16.1-10.7-2.95-CEW-CEW"/>
        <s v="17.3-0-1.6-CEW-"/>
        <s v="28.6-0-2.65-CEW-CEW"/>
        <s v="29.28-0-3.4-CEW-CEW"/>
        <s v="31.75-25-3.37-CEW-CEW"/>
        <s v="12.7-0-1.2-ERW 1-PE"/>
        <s v="15.88-0-1.6-ERW 1-PE"/>
        <s v="15.88-0-2-ERW 1-PE"/>
        <s v="17.3-0-1.6-ERW 1-PE"/>
        <s v="19.05-0-2-ERW 1-PE"/>
        <s v="19.05-0-2.3-ERW 1-PE"/>
        <s v="22.23-0-1.2-ERW 1-PE"/>
        <s v="22.23-0-1.6-ERW 1-PE"/>
        <s v="22.23-0-2-ERW 1-"/>
        <s v="22.23-0-2-ERW 1-FC"/>
        <s v="22.23-0-2.3-ERW 1-PE"/>
        <s v="25.4-0-2-ERW 1-FC"/>
        <s v="28.58-0-1.6-ERW 1-FC"/>
        <s v="28.58-0-2-ERW 1-FC"/>
        <s v="25-25-2-ERW 1-"/>
        <s v="34.93-0-1.6-ERW 1-FC"/>
        <s v="34.93-0-2-ERW 1-FC"/>
        <s v="34.93-0-2.5-ERW 1-FC"/>
        <s v="40-20-1.6-ERW 1-FC"/>
        <s v="40-25-1.6-ERW 1-FC"/>
        <s v="40-25-2-ERW 1-FC"/>
        <s v="42.7-0-4-ERW 1-FC"/>
        <s v="40-30-1.6-ERW 1-FC"/>
        <s v="40-30-2-ERW 1-FC"/>
        <s v="48.6-0-2-ERW 1-"/>
        <s v="48.6-0-4-ERW 1-"/>
        <s v="59-30-1.6-ERW 1-FIN CUT"/>
        <s v="57.15-0-2-ERW 1-"/>
        <s v="19.05-0-1.6--"/>
        <s v="19.05-0-1.63--"/>
        <s v="25.4-0-2--"/>
        <s v="37.6-31.2-3.2--"/>
        <s v="34.93-0-2--"/>
        <s v="28.6-0-2.6-CEW-CEW"/>
        <s v="37.6-31.2-3.2-CEW-CEW"/>
        <s v="22.23-0-2-ERW 1-PE"/>
        <s v="34.93-0-2.6-ERW 1-FC"/>
        <s v="57.15-0-2-ERW 1-FC"/>
        <s v="29.4-20.4-4.5-CEW-CEW"/>
        <s v="29.35-20.4-4.4-CEW STKM 13C-CEW"/>
        <s v="29.4-20.4-4.5-CEW STKM 13C-CEW"/>
        <s v="34.93-0-1.2-ERW 1-FC"/>
        <s v="42.7-0-4-ERW 1-"/>
        <s v="22.23-0-2-ERW 2 MAHS-PE"/>
        <s v="22.23-0-2--"/>
        <s v="48.6-0-3.5--"/>
        <s v="20-17.16-1.42-CEW-CEW"/>
        <s v="63.5-0-4-ERW 1-FC"/>
        <s v="54-0-3-ERW 2-FC"/>
        <s v="50-50-1.6-ERW 2-PE"/>
        <s v="70-0-3.2-ERW 2-FC"/>
        <s v="25.4-0-2.5-CEW-CEW"/>
        <s v="25.4-20.4-2.5-CEW-"/>
        <s v="30-25.5-2.25-CEW-"/>
        <s v="30-25.5-2.25-CEW-CEW"/>
        <s v="39-34-2.5-CEW-CEW"/>
        <s v="39-34-2.5-CEW-"/>
        <s v="19.05-0-1.2-CRFH-PE"/>
        <s v="19-19-1-CRFH-PE"/>
        <s v="25-25-1.2-CRFH-PE"/>
        <s v="30-30-1.2-CRFH-PE"/>
        <s v="40-20-1.2-CRFH-PE"/>
        <s v="40-40-1.2-CRFH-PE"/>
        <s v="15.88-0-1-ERW 1-PE"/>
        <s v="25.4-0-1.2-ERW 1-PE"/>
        <s v="38.1-0-3.66-ERW 1-FC"/>
        <s v="14-9.1-2.45-CEW-"/>
        <s v="19-12.5-3.25-CEW-CEW"/>
        <s v="21.75-0-3.5-CEW-"/>
        <s v="42.7-0-3.5-CEW-"/>
        <s v="42.7-0-4-CEW-"/>
        <s v="19.05-0-1.6-ERW 1-PE"/>
        <s v="25.4-0-1.6-ERW 1-FC"/>
        <s v="25.4-0-2.5-ERW 1-"/>
        <s v="28.58-0-1.6-ERW 1-"/>
        <s v="38.1-0-1.6-ERW 1-FC"/>
        <s v="38.1-0-2-ERW 1-"/>
        <s v="41.28-0-3.2-ERW 1-FC"/>
        <s v="0-0-4-ERW 1-"/>
        <s v="42.7-0-3.5-ERW 1-FC"/>
        <s v="40-30-1.6-ERW 1-"/>
        <s v="48.6-0-1.2-ERW 1-FC"/>
        <s v="50-30-2.5-ERW 1-FC"/>
        <s v="57.15-0-2.5-ERW 1-FC"/>
        <s v="57.15-0-2.5-ERW 1-"/>
        <s v="60.3-0-2-ERW 1-FC"/>
        <s v="38.1-0-1.6-ERW 2 MAHS-FC"/>
        <s v="38.1-0-2-ERW 2 MAHS-"/>
        <s v="38.1-0-2.5-ERW 2 MAHS-FC"/>
        <s v="26-18-4-CEW-"/>
        <s v="25.4-18.4-3.5-CEW-CEW"/>
        <s v="25.4-18.4-3.5-CEW-"/>
        <s v="25.6-16.6-4.5-CEW-"/>
        <s v="32-0-4.5-CEW-"/>
        <s v="14-0-2.45-CEW-CEW"/>
        <s v="16.1-0-2-CEW-CEW"/>
        <s v="17.3-0-1.2-CEW-"/>
        <s v="20-12.4-4.5-CEW-CEW"/>
        <s v="21.7-16.2-2.75-CEW-CEW"/>
        <s v="21.75-0-3.5-CEW-CEW"/>
        <s v="25.4-19-3.2-CEW-CEW"/>
        <s v="0.0960109875294564-0-2-CEW-"/>
        <s v="2.29999955264502-29.3-2-CEW-"/>
        <s v="37.95-32-2.95-CEW-CEW"/>
        <s v="12.7-0-2-ERW 1-PE"/>
        <s v="17.3-0-1.2-ERW 1-PE"/>
        <s v="18.2-0-1-ERW 1-PE"/>
        <s v="19.05-0-1.6-ERW 1-"/>
        <s v="25.4-0-2-ERW 1-PE"/>
        <s v="28.58-0-1.2-ERW 1-PE"/>
        <s v="31.75-0-1.2-ERW 1-FC"/>
        <s v="34.93-0-1.2-ERW 1-"/>
        <s v="38.1-0-1.6-ERW 1-"/>
        <s v="38.1-0-2-ERW 1-FC"/>
        <s v="48.6-0-3.5-ERW 1-FC"/>
        <s v="50-30-2-ERW 1-FC"/>
        <s v="50.8-0-1.6-ERW 1-FC"/>
        <s v="22.23-0-2-ERW 2-FC"/>
        <s v="28.58-0-1.6-ERW 2-PE"/>
        <s v="57.15-0-2.3-ERW 2-FC"/>
        <s v="41.28-0-2.9--"/>
        <s v="16.1-10.4-2.7-CEW-CEW"/>
        <s v="17.3-0-1.2-CEW-CEW"/>
        <s v="18.2-12.3-2.95-CEW-CEW"/>
        <s v="25.4-20.4-2.5-CEW-CEW"/>
        <s v="30.15-25.5-2.32-CEW-CEW"/>
        <s v="36-34-0.91-CEW-CEW"/>
        <s v="36-34-0.91-CEW-"/>
        <s v="42.7-0-4-CEW-CEW"/>
        <s v="60.3-0-2-CEW-CEW"/>
        <s v="19.05-0-2-ERW 1-"/>
        <s v="19.05-0-2.3-ERW 1-"/>
        <s v="19.05-0-2.34-ERW 1-"/>
        <s v="22.23-0-1.6-ERW 1-"/>
        <s v="25.4-0-2.6-ERW 1-"/>
        <s v="31.75-0-2.5-ERW 1-FC"/>
        <s v="41.28-0-2.6-ERW 1-FC"/>
        <s v="41.28-0-3.2-ERW 1-"/>
        <s v="19.05-0-2.5-ERW 2-"/>
        <s v="19.05-0-1.6-ERW 2 MAHS-PE"/>
        <s v="22.2-0-1.2--"/>
        <s v="57.15-0-2.5--"/>
        <s v="60.3-0-2--"/>
        <s v="14-0-2.45-CEW-"/>
        <s v="25.4-19-3.2-CEW-"/>
        <s v="17.3-0-1.2-ERW 1-"/>
        <s v="25.4-0-2-ERW 1-"/>
        <s v="31.75-0-2.3-ERW 1-FC"/>
        <s v="33.3-29.3-2-CEW-CEW"/>
        <s v="31.75-0-1.6-ERW 1-FC"/>
        <s v="40-40-1.2-ERW 1-PE"/>
        <s v="20-12.4-3.8-CEW-CEW"/>
        <s v="25.4-0-2.5-ERW 1-FC"/>
        <s v="22.23-0-1.6-ERW 2 MAHS-PE"/>
        <s v="22.23-0-2-ERW 2 MAHS-FC"/>
        <s v="14-10.1-1.95-CEW-CEW"/>
        <s v="19-12.5-3.25-CEW-"/>
        <s v="22.23-0-1.2-ERW 1-"/>
        <s v="28.58-0-1.6-ERW 1-PE"/>
        <s v="19.05-0-2--"/>
        <s v="22.23-0-1.2--"/>
        <s v="22.23-0-2.3--PE"/>
        <s v="31.75-0-1.2-ERW 1-PE" u="1"/>
        <s v="31.75-0-1.2--" u="1"/>
        <s v="31.75-0-1.2-ERW 1-" u="1"/>
        <s v="29.28-0-3.4-CEW-" u="1"/>
        <s v="25.4-0-1.6-ERW 1-" u="1"/>
        <s v="19.05--1.2-ERW 1-PE" u="1"/>
        <s v="15.88-0-1.2-CRFH-PE" u="1"/>
        <s v="25.4-0-1.22-ERW 1-PE" u="1"/>
        <s v="15.88-0-1.2--" u="1"/>
        <s v="59-30-1.6-ERW 1-" u="1"/>
        <s v="22.23-0-2.3-ERW 1-" u="1"/>
        <s v="59-30-1.6-ERW 1-FC" u="1"/>
        <s v="19.05-19.05-1.2-CRFH-PE" u="1"/>
        <s v="31.75-0-2.3--FC" u="1"/>
        <s v="15.88--1.2-ERW 1-PE" u="1"/>
        <s v="25.4-0-2--FC" u="1"/>
        <s v="31.75-0-2.3--" u="1"/>
        <s v="29.4-20.4-4.5-CEW -CEW" u="1"/>
        <s v="40-20-1.6-ERW 2-FC" u="1"/>
        <s v="40-25-1.6-ERW 2-FC" u="1"/>
        <s v="11-8-1.5-CEW-CEW" u="1"/>
        <s v="37.95-32-2.95-CEW-" u="1"/>
        <s v="ara-0-2.5-ERW 1-FC" u="1"/>
        <s v="22.23-0-1.6-ERW 1-FC" u="1"/>
        <s v="----" u="1"/>
        <s v="12.7-0-1.2-ERW 1-" u="1"/>
        <s v="15.88-0-2--PE" u="1"/>
        <s v="12-0-1.6-CEW-CEW" u="1"/>
        <s v="48.6-0-4--" u="1"/>
        <s v="34.93-0-2-ERW 1-" u="1"/>
        <s v="70-0-3.2-ERW 2-" u="1"/>
        <s v="40-0-1.2-ERW 1-PE" u="1"/>
        <s v="57.15-0-2--" u="1"/>
        <s v="50-30-1.6-ERW 2-FC" u="1"/>
        <s v="14-0-2.5-CEW-CEW" u="1"/>
        <s v="31.75-0-2.3-ERW1-FC" u="1"/>
        <s v="11-8-1.5-CEW-" u="1"/>
        <s v="12.7-0-1.6-ERW 1-" u="1"/>
        <s v="19-19-1-CRFH-" u="1"/>
        <s v="40-30-2-ERW 1-" u="1"/>
        <s v="22.23-0-2-ERW 2 MAHS-" u="1"/>
        <s v="48.6-0-2--" u="1"/>
        <s v="57.15-0-2.5--FC" u="1"/>
        <s v="18.2-12.3-2.95-CEW-" u="1"/>
        <s v="15.88-0-1.6-ERW 1-" u="1"/>
        <s v="40-0-1.2-ERW 1-" u="1"/>
        <s v="12.7-0-2-ERW 1-" u="1"/>
      </sharedItems>
    </cacheField>
    <cacheField name="CTL Bucket" uniqueList="1" numFmtId="0" sqlType="0" hierarchy="0" level="0" databaseField="1">
      <sharedItems count="0" containsBlank="1"/>
    </cacheField>
    <cacheField name="Check if CTL bucket is in sales sheet or not" uniqueList="1" numFmtId="0" sqlType="0" hierarchy="0" level="0" databaseField="1">
      <sharedItems count="0" containsBlank="1" containsInteger="1" containsMixedTypes="1" containsNumber="1" minValue="1" maxValue="6"/>
    </cacheField>
    <cacheField name="Plant" uniqueList="1" numFmtId="0" sqlType="0" hierarchy="0" level="0" databaseField="1">
      <sharedItems count="0" containsBlank="1"/>
    </cacheField>
    <cacheField name="4731 LL Stock" uniqueList="1" numFmtId="0" sqlType="0" hierarchy="0" level="0" databaseField="1">
      <sharedItems count="0" containsBlank="1" containsMixedTypes="1" containsNumber="1" minValue="0" maxValue="30.65065100000001"/>
    </cacheField>
    <cacheField name="4318 + 8406 stock" uniqueList="1" numFmtId="0" sqlType="0" hierarchy="0" level="0" databaseField="1">
      <sharedItems count="0" containsBlank="1" containsNumber="1" containsString="0" minValue="0" maxValue="60.82106499999999"/>
    </cacheField>
    <cacheField name="Application" uniqueList="1" numFmtId="0" sqlType="0" hierarchy="0" level="0" databaseField="1">
      <sharedItems count="0" containsBlank="1"/>
    </cacheField>
    <cacheField name="ACTUAL OD" uniqueList="1" numFmtId="2" sqlType="0" hierarchy="0" level="0" databaseField="1">
      <sharedItems count="47" containsNumber="1" containsSemiMixedTypes="0" containsString="0" minValue="11" maxValue="70">
        <n v="12.7"/>
        <n v="15.88"/>
        <n v="19.05"/>
        <n v="25.4"/>
        <n v="50.8"/>
        <n v="14"/>
        <n v="16.1"/>
        <n v="17.3"/>
        <n v="28.6"/>
        <n v="29.28"/>
        <n v="31.75"/>
        <n v="22.23"/>
        <n v="28.58"/>
        <n v="34.93"/>
        <n v="38.1"/>
        <n v="41.28"/>
        <n v="42.7"/>
        <n v="44.45"/>
        <n v="48.6"/>
        <n v="57.15"/>
        <n v="31.2"/>
        <n v="37.6"/>
        <n v="29.4"/>
        <n v="29.35"/>
        <n v="20"/>
        <n v="63.5"/>
        <n v="54"/>
        <n v="70"/>
        <n v="30"/>
        <n v="30.15"/>
        <n v="39"/>
        <n v="23.42"/>
        <n v="19"/>
        <n v="21.75"/>
        <n v="60.3"/>
        <n v="18"/>
        <n v="25.6"/>
        <n v="32"/>
        <n v="21.7"/>
        <n v="33.3"/>
        <n v="37.95"/>
        <n v="18.2"/>
        <n v="25.5"/>
        <n v="36"/>
        <n v="40"/>
        <n v="11" u="1"/>
        <n v="12" u="1"/>
      </sharedItems>
    </cacheField>
    <cacheField name="OD" uniqueList="1" numFmtId="2" sqlType="0" hierarchy="0" level="0" databaseField="1">
      <sharedItems count="50" containsNumber="1" containsSemiMixedTypes="0" containsString="0" minValue="0" maxValue="70">
        <n v="12.7"/>
        <n v="15.88"/>
        <n v="19.05"/>
        <n v="25.4"/>
        <n v="50"/>
        <n v="14"/>
        <n v="16.1"/>
        <n v="17.3"/>
        <n v="28.6"/>
        <n v="29.28"/>
        <n v="31.75"/>
        <n v="22.23"/>
        <n v="28.58"/>
        <n v="25"/>
        <n v="34.93"/>
        <n v="40"/>
        <n v="42.7"/>
        <n v="48.6"/>
        <n v="59"/>
        <n v="57.15"/>
        <n v="37.6"/>
        <n v="29.4"/>
        <n v="29.35"/>
        <n v="20"/>
        <n v="63.5"/>
        <n v="54"/>
        <n v="70"/>
        <n v="30"/>
        <n v="39"/>
        <n v="19"/>
        <n v="38.1"/>
        <n v="21.75"/>
        <n v="41.28"/>
        <n v="0"/>
        <n v="60.3"/>
        <n v="26"/>
        <n v="25.6"/>
        <n v="32"/>
        <n v="21.7"/>
        <n v="0.09601098752945636"/>
        <n v="2.299999552645019"/>
        <n v="37.95"/>
        <n v="18.2"/>
        <n v="50.8"/>
        <n v="30.15"/>
        <n v="36"/>
        <n v="22.2"/>
        <n v="33.3"/>
        <n v="11" u="1"/>
        <n v="12" u="1"/>
      </sharedItems>
    </cacheField>
    <cacheField name="ID" uniqueList="1" numFmtId="2" sqlType="0" hierarchy="0" level="0" databaseField="1">
      <sharedItems count="27" containsNumber="1" containsSemiMixedTypes="0" containsString="0" minValue="0" maxValue="50">
        <n v="0"/>
        <n v="30"/>
        <n v="10.7"/>
        <n v="25"/>
        <n v="20"/>
        <n v="31.2"/>
        <n v="20.4"/>
        <n v="17.16"/>
        <n v="50"/>
        <n v="25.5"/>
        <n v="34"/>
        <n v="19"/>
        <n v="40"/>
        <n v="9.1"/>
        <n v="12.5"/>
        <n v="18"/>
        <n v="18.4"/>
        <n v="16.6"/>
        <n v="12.4"/>
        <n v="16.2"/>
        <n v="29.3"/>
        <n v="32"/>
        <n v="10.4"/>
        <n v="12.3"/>
        <n v="10.1"/>
        <n v="19.05" u="1"/>
        <n v="8" u="1"/>
      </sharedItems>
    </cacheField>
    <cacheField name="TICKNESS" uniqueList="1" numFmtId="2" sqlType="0" hierarchy="0" level="0" databaseField="1">
      <sharedItems count="34" containsNumber="1" containsSemiMixedTypes="0" containsString="0" minValue="0.91" maxValue="4.5">
        <n v="1.6"/>
        <n v="1"/>
        <n v="1.2"/>
        <n v="2.8"/>
        <n v="2.95"/>
        <n v="2.65"/>
        <n v="3.4"/>
        <n v="3.37"/>
        <n v="2"/>
        <n v="2.3"/>
        <n v="2.5"/>
        <n v="4"/>
        <n v="1.63"/>
        <n v="3.2"/>
        <n v="2.6"/>
        <n v="4.5"/>
        <n v="4.4"/>
        <n v="3.5"/>
        <n v="1.42"/>
        <n v="3"/>
        <n v="2.25"/>
        <n v="3.66"/>
        <n v="2.45"/>
        <n v="3.25"/>
        <n v="2.75"/>
        <n v="2.9"/>
        <n v="2.7"/>
        <n v="2.32"/>
        <n v="0.91"/>
        <n v="2.34"/>
        <n v="3.8"/>
        <n v="1.95"/>
        <n v="1.22" u="1"/>
        <n v="1.5" u="1"/>
      </sharedItems>
    </cacheField>
    <cacheField name="LENGTH" uniqueList="1" numFmtId="0" sqlType="0" hierarchy="0" level="0" databaseField="1">
      <sharedItems count="0" containsNumber="1" containsSemiMixedTypes="0" containsString="0" minValue="85" maxValue="6455"/>
    </cacheField>
    <cacheField name="UoM" uniqueList="1" numFmtId="0" sqlType="0" hierarchy="0" level="0" databaseField="1">
      <sharedItems count="0" containsBlank="1"/>
    </cacheField>
    <cacheField name="Source Plant" uniqueList="1" numFmtId="0" sqlType="0" hierarchy="0" level="0" databaseField="1">
      <sharedItems count="0" containsBlank="1"/>
    </cacheField>
    <cacheField name="Commitment Date" uniqueList="1" numFmtId="0" sqlType="0" hierarchy="0" level="0" databaseField="1">
      <sharedItems count="0" containsBlank="1" containsInteger="1" containsNumber="1" containsString="0" minValue="1000" maxValue="8000"/>
    </cacheField>
    <cacheField name="SCHEDULE in nos" uniqueList="1" numFmtId="0" sqlType="0" hierarchy="0" level="0" databaseField="1">
      <sharedItems count="0" containsBlank="1" containsInteger="1" containsNumber="1" containsString="0" minValue="500" maxValue="80000"/>
    </cacheField>
    <cacheField name="Customer remarks" uniqueList="1" numFmtId="0" sqlType="0" hierarchy="0" level="0" databaseField="1">
      <sharedItems count="0" containsBlank="1"/>
    </cacheField>
    <cacheField name="DISPATCH" uniqueList="1" numFmtId="0" sqlType="0" hierarchy="0" level="0" databaseField="1">
      <sharedItems count="0" containsMixedTypes="1" containsNumber="1" minValue="0" maxValue="44250"/>
    </cacheField>
    <cacheField name="BAL IN NOS" uniqueList="1" numFmtId="1" sqlType="0" hierarchy="0" level="0" databaseField="1">
      <sharedItems count="0" containsMixedTypes="1" containsNumber="1" minValue="-27000" maxValue="70000"/>
    </cacheField>
    <cacheField name="SCHEDULE IN MT" uniqueList="1" numFmtId="2" sqlType="0" hierarchy="0" level="0" databaseField="1">
      <sharedItems count="0" containsNumber="1" containsSemiMixedTypes="0" containsString="0" minValue="0" maxValue="66.7054807766776"/>
    </cacheField>
    <cacheField name="DISPATCH MT" uniqueList="1" numFmtId="2" sqlType="0" hierarchy="0" level="0" databaseField="1">
      <sharedItems count="0" containsMixedTypes="1" containsNumber="1" minValue="0" maxValue="50.7993323741904"/>
    </cacheField>
    <cacheField name="BALANCE FOR DISP" uniqueList="1" numFmtId="2" sqlType="0" hierarchy="0" level="0" databaseField="1">
      <sharedItems count="0" containsMixedTypes="1" containsNumber="1" minValue="-19.434020140832" maxValue="63.178862509"/>
    </cacheField>
    <cacheField name="CTL stock in nos" uniqueList="1" numFmtId="2" sqlType="0" hierarchy="0" level="0" databaseField="1">
      <sharedItems count="0" containsMixedTypes="1" containsNumber="1" minValue="0" maxValue="71783.07070882687"/>
    </cacheField>
    <cacheField name="CTL Stock" uniqueList="1" numFmtId="2" sqlType="0" hierarchy="0" level="0" databaseField="1">
      <sharedItems count="0" containsNumber="1" containsSemiMixedTypes="0" containsString="0" minValue="0" maxValue="30.749381"/>
    </cacheField>
    <cacheField name="Total Long Stock in MT" uniqueList="1" numFmtId="2" sqlType="0" hierarchy="0" level="0" databaseField="1">
      <sharedItems count="0" containsBlank="1" containsNumber="1" containsString="0" minValue="16.086" maxValue="129.152"/>
    </cacheField>
    <cacheField name="LL Stock" uniqueList="1" numFmtId="2" sqlType="0" hierarchy="0" level="0" databaseField="1">
      <sharedItems count="0" containsNumber="1" containsSemiMixedTypes="0" containsString="0" minValue="-5.041168125840001" maxValue="21995.57895536"/>
    </cacheField>
    <cacheField name="WIP" uniqueList="1" numFmtId="2" sqlType="0" hierarchy="0" level="0" databaseField="1">
      <sharedItems count="0" containsNumber="1" containsSemiMixedTypes="0" containsString="0" minValue="0" maxValue="129.152"/>
    </cacheField>
    <cacheField name="BALANCE REQUIRED IN MT" uniqueList="1" numFmtId="2" sqlType="0" hierarchy="0" level="0" databaseField="1">
      <sharedItems count="0" containsMixedTypes="1" containsNumber="1" minValue="-30.749381" maxValue="65.81948077667761"/>
    </cacheField>
    <cacheField name="% COMP" uniqueList="1" numFmtId="0" sqlType="0" hierarchy="0" level="0" databaseField="1">
      <sharedItems count="0" containsBlank="1" containsNonDate="0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Apoorv Gupta" refreshedDate="45814.56704108796" createdVersion="8" refreshedVersion="8" minRefreshableVersion="3" recordCount="585" r:id="rId1">
  <cacheSource type="worksheet">
    <worksheetSource name="schedule"/>
  </cacheSource>
  <cacheFields count="35">
    <cacheField name="SNO" uniqueList="1" numFmtId="0" sqlType="0" hierarchy="0" level="0" databaseField="1">
      <sharedItems count="0" containsBlank="1" containsInteger="1" containsNumber="1" containsString="0" minValue="1" maxValue="583"/>
    </cacheField>
    <cacheField name="RM Loaction" uniqueList="1" numFmtId="0" sqlType="0" hierarchy="0" level="0" databaseField="1">
      <sharedItems count="0" containsBlank="1"/>
    </cacheField>
    <cacheField name="CUSTOMER NAME" uniqueList="1" numFmtId="0" sqlType="0" hierarchy="0" level="0" databaseField="1">
      <sharedItems count="30" containsBlank="1">
        <s v="Balaji press product"/>
        <s v="ELKAYEM AUTO"/>
        <s v="ELKAYEM AUTO ANCILLARIES (PVT)"/>
        <s v="ELKAYEM AUTO MYSORE "/>
        <s v="KAY JAY"/>
        <m/>
        <s v="KNITVEL NEEDLES P LTD"/>
        <s v="Marathwada"/>
        <s v="Metalman"/>
        <s v="Narasipur Auto Component(P)Ltd"/>
        <s v="NEEL METAL PRODUCTS LIMITED"/>
        <s v="NMPL (HUB)"/>
        <s v="NMPL 1"/>
        <s v="Rajsriya Automotive"/>
        <s v="Rajsriya Mysore "/>
        <s v="Rajsriya Unit 1"/>
        <s v="Rajsriya Unit 2"/>
        <s v="Rajsriya Unit 4"/>
        <s v="Rajsriya Unit 5"/>
        <s v="Rajsriya Unit 8"/>
        <s v="RUCHA"/>
        <s v="Sandhar Automach"/>
        <s v="Sandhar Engg Mysore "/>
        <s v="SANDHAR ENGINEERING PVT LTD."/>
        <s v="SRI BALAJI GEARS V3"/>
        <s v="SRI BALAJI GEARS V4"/>
        <s v="SRIKAM HITECH"/>
        <s v="TVS MOTOR COMPANY LIMITED"/>
        <s v="Sri Balaji Gear" u="1"/>
        <s v="ELKAYEM AMPERE" u="1"/>
      </sharedItems>
    </cacheField>
    <cacheField name="Helper Customer" uniqueList="1" numFmtId="0" sqlType="0" hierarchy="0" level="0" databaseField="1">
      <sharedItems count="0" containsBlank="1" containsInteger="1" containsMixedTypes="1" containsNumber="1" minValue="189226" maxValue="189226"/>
    </cacheField>
    <cacheField name="CUSTOMER CODE" uniqueList="1" numFmtId="0" sqlType="0" hierarchy="0" level="0" databaseField="1">
      <sharedItems count="0" containsBlank="1" containsInteger="1" containsMixedTypes="1" containsNumber="1" minValue="129663" maxValue="945539"/>
    </cacheField>
    <cacheField name="MATERIAL NO" uniqueList="1" numFmtId="0" sqlType="0" hierarchy="0" level="0" databaseField="1">
      <sharedItems count="0" containsBlank="1" containsInteger="1" containsMixedTypes="1" containsNumber="1" minValue="234926" maxValue="3974533"/>
    </cacheField>
    <cacheField name="." uniqueList="1" numFmtId="0" sqlType="0" hierarchy="0" level="0" databaseField="1">
      <sharedItems count="0" containsBlank="1"/>
    </cacheField>
    <cacheField name="GRADE" uniqueList="1" numFmtId="0" sqlType="0" hierarchy="0" level="0" databaseField="1">
      <sharedItems count="8" containsBlank="1">
        <s v="ERW 1"/>
        <m/>
        <s v="CEW"/>
        <s v="CEW STKM 13C"/>
        <s v="ERW 2 MAHS"/>
        <s v="CRFH"/>
        <s v="ERW 2"/>
        <s v="CEW STKM 13" u="1"/>
      </sharedItems>
    </cacheField>
    <cacheField name="Annealed/Unannealed" uniqueList="1" numFmtId="0" sqlType="0" hierarchy="0" level="0" databaseField="1">
      <sharedItems count="0" containsBlank="1"/>
    </cacheField>
    <cacheField name="FC/NFC" uniqueList="1" numFmtId="0" sqlType="0" hierarchy="0" level="0" databaseField="1">
      <sharedItems count="6" containsBlank="1" containsMixedTypes="1" containsNumber="1" minValue="21.75" maxValue="21.75">
        <s v="PE"/>
        <s v="FC"/>
        <s v="CEW"/>
        <m/>
        <s v="FIN CUT"/>
        <n v="21.75" u="1"/>
      </sharedItems>
    </cacheField>
    <cacheField name="HR/CR" uniqueList="1" numFmtId="0" sqlType="0" hierarchy="0" level="0" databaseField="1">
      <sharedItems count="4" containsBlank="1" containsInteger="1" containsMixedTypes="1" containsNumber="1" minValue="0" maxValue="0">
        <s v="CR"/>
        <s v="HR"/>
        <m/>
        <n v="0" u="1"/>
      </sharedItems>
    </cacheField>
    <cacheField name="HR/CR Check" uniqueList="1" numFmtId="0" sqlType="0" hierarchy="0" level="0" databaseField="1">
      <sharedItems count="0" containsBlank="1"/>
    </cacheField>
    <cacheField name="Chamferring " uniqueList="1" numFmtId="0" sqlType="0" hierarchy="0" level="0" databaseField="1">
      <sharedItems count="0" containsBlank="1"/>
    </cacheField>
    <cacheField name="Angle Cut" uniqueList="1" numFmtId="0" sqlType="0" hierarchy="0" level="0" databaseField="1">
      <sharedItems count="0" containsBlank="1"/>
    </cacheField>
    <cacheField name="Surface Critical" uniqueList="1" numFmtId="0" sqlType="0" hierarchy="0" level="0" databaseField="1">
      <sharedItems count="0" containsBlank="1"/>
    </cacheField>
    <cacheField name="Bucket" uniqueList="1" numFmtId="0" sqlType="0" hierarchy="0" level="0" databaseField="1">
      <sharedItems count="0"/>
    </cacheField>
    <cacheField name="CTL Bucket" uniqueList="1" numFmtId="0" sqlType="0" hierarchy="0" level="0" databaseField="1">
      <sharedItems count="0" containsBlank="1"/>
    </cacheField>
    <cacheField name="Check if CTL bucket is in sales sheet or not" uniqueList="1" numFmtId="0" sqlType="0" hierarchy="0" level="0" databaseField="1">
      <sharedItems count="0" containsBlank="1" containsInteger="1" containsNumber="1" containsString="0" minValue="0" maxValue="5"/>
    </cacheField>
    <cacheField name="ACTUAL OD" uniqueList="1" numFmtId="2" sqlType="0" hierarchy="0" level="0" databaseField="1">
      <sharedItems count="48" containsBlank="1" containsNumber="1" containsString="0" minValue="11" maxValue="70">
        <n v="12.7"/>
        <n v="15.88"/>
        <n v="19.05"/>
        <n v="25.4"/>
        <n v="50.8"/>
        <n v="14"/>
        <n v="16.1"/>
        <n v="17.3"/>
        <n v="22.23"/>
        <n v="28.58"/>
        <n v="28.6"/>
        <n v="31.2"/>
        <n v="31.75"/>
        <n v="34.93"/>
        <n v="38.1"/>
        <n v="41.28"/>
        <n v="42.7"/>
        <n v="44.45"/>
        <n v="48.6"/>
        <n v="57.15"/>
        <n v="37.6"/>
        <n v="29.4"/>
        <m/>
        <n v="23.42"/>
        <n v="30"/>
        <n v="30.15"/>
        <n v="39"/>
        <n v="19"/>
        <n v="21.75"/>
        <n v="60.3"/>
        <n v="18"/>
        <n v="25.6"/>
        <n v="32"/>
        <n v="54"/>
        <n v="63.5"/>
        <n v="70"/>
        <n v="18.2"/>
        <n v="20"/>
        <n v="33.3"/>
        <n v="11"/>
        <n v="21.7"/>
        <n v="37.95"/>
        <n v="25.5"/>
        <n v="36"/>
        <n v="12"/>
        <n v="40"/>
        <n v="16" u="1"/>
        <n v="50" u="1"/>
      </sharedItems>
    </cacheField>
    <cacheField name="OD" uniqueList="1" numFmtId="2" sqlType="0" hierarchy="0" level="0" databaseField="1">
      <sharedItems count="57" containsBlank="1" containsNumber="1" containsString="0" minValue="0" maxValue="70">
        <n v="12.7"/>
        <n v="15.88"/>
        <n v="19.05"/>
        <n v="25.4"/>
        <n v="50"/>
        <n v="14"/>
        <n v="16.1"/>
        <n v="17.3"/>
        <n v="22.23"/>
        <n v="28.58"/>
        <n v="28.6"/>
        <n v="37.6"/>
        <n v="25"/>
        <n v="31.75"/>
        <n v="34.93"/>
        <n v="40"/>
        <n v="42.7"/>
        <n v="48.6"/>
        <n v="59"/>
        <n v="57.15"/>
        <n v="29.4"/>
        <m/>
        <n v="19"/>
        <n v="30"/>
        <n v="38.1"/>
        <n v="39"/>
        <n v="21.75"/>
        <n v="41.28"/>
        <n v="0"/>
        <n v="60.3"/>
        <n v="26"/>
        <n v="25.6"/>
        <n v="32"/>
        <n v="54"/>
        <n v="63.5"/>
        <n v="70"/>
        <n v="18.2"/>
        <n v="20"/>
        <n v="2.299999552645019"/>
        <n v="50.8"/>
        <n v="11"/>
        <n v="21.7"/>
        <n v="0.09601098752945636"/>
        <n v="37.95"/>
        <n v="22.2"/>
        <n v="30.15"/>
        <n v="36"/>
        <n v="12"/>
        <n v="33.3"/>
        <n v="16.09999336941351" u="1"/>
        <n v="2.299999382315299" u="1"/>
        <n v="16" u="1"/>
        <n v="16.0999933694055" u="1"/>
        <n v="16.09999084472656" u="1"/>
        <n v="10.5" u="1"/>
        <n v="31.2" u="1"/>
        <n v="33.29999284231513" u="1"/>
      </sharedItems>
    </cacheField>
    <cacheField name="ID" uniqueList="1" numFmtId="2" sqlType="0" hierarchy="0" level="0" databaseField="1">
      <sharedItems count="30" containsBlank="1" containsNumber="1" containsString="0" minValue="0" maxValue="50">
        <n v="0"/>
        <n v="30"/>
        <n v="10.7"/>
        <n v="31.2"/>
        <n v="25"/>
        <n v="20"/>
        <n v="20.4"/>
        <m/>
        <n v="19"/>
        <n v="25.5"/>
        <n v="34"/>
        <n v="40"/>
        <n v="9.1"/>
        <n v="12.5"/>
        <n v="18"/>
        <n v="18.4"/>
        <n v="16.6"/>
        <n v="12.4"/>
        <n v="29.3"/>
        <n v="8"/>
        <n v="17.16"/>
        <n v="16.2"/>
        <n v="32"/>
        <n v="50"/>
        <n v="10.4"/>
        <n v="12.3"/>
        <n v="10.1"/>
        <n v="22.23" u="1"/>
        <n v="23.3" u="1"/>
        <n v="10" u="1"/>
      </sharedItems>
    </cacheField>
    <cacheField name="TICKNESS" uniqueList="1" numFmtId="2" sqlType="0" hierarchy="0" level="0" databaseField="1">
      <sharedItems count="36" containsBlank="1" containsNumber="1" containsString="0" minValue="0.91" maxValue="4.5">
        <n v="1.6"/>
        <n v="1.2"/>
        <n v="1"/>
        <n v="2"/>
        <n v="2.8"/>
        <n v="2.95"/>
        <n v="1.63"/>
        <n v="2.3"/>
        <n v="2.65"/>
        <n v="3.2"/>
        <n v="3.37"/>
        <n v="2.5"/>
        <n v="4"/>
        <n v="2.6"/>
        <n v="4.5"/>
        <m/>
        <n v="3.5"/>
        <n v="1.22"/>
        <n v="2.25"/>
        <n v="3.66"/>
        <n v="2.45"/>
        <n v="3.25"/>
        <n v="3"/>
        <n v="3.8"/>
        <n v="1.5"/>
        <n v="1.42"/>
        <n v="2.75"/>
        <n v="2.9"/>
        <n v="2.34"/>
        <n v="2.32"/>
        <n v="0.91"/>
        <n v="2.7"/>
        <n v="1.95"/>
        <n v="1.21" u="1"/>
        <n v="3.275" u="1"/>
        <n v="3.4" u="1"/>
      </sharedItems>
    </cacheField>
    <cacheField name="LENGTH" uniqueList="1" numFmtId="0" sqlType="0" hierarchy="0" level="0" databaseField="1">
      <sharedItems count="0" containsBlank="1" containsNumber="1" containsString="0" minValue="85" maxValue="7000"/>
    </cacheField>
    <cacheField name="UoM" uniqueList="1" numFmtId="0" sqlType="0" hierarchy="0" level="0" databaseField="1">
      <sharedItems count="0" containsBlank="1"/>
    </cacheField>
    <cacheField name="SCHEDULE" uniqueList="1" numFmtId="0" sqlType="0" hierarchy="0" level="0" databaseField="1">
      <sharedItems count="196" containsBlank="1" containsNumber="1" containsString="0" minValue="0" maxValue="55000">
        <n v="40000"/>
        <n v="1500"/>
        <n v="4000"/>
        <n v="8000"/>
        <n v="10000"/>
        <m/>
        <n v="5000"/>
        <n v="2000"/>
        <n v="9000"/>
        <n v="1000"/>
        <n v="25000"/>
        <n v="3000"/>
        <n v="6000"/>
        <n v="11000"/>
        <n v="2500"/>
        <n v="12500"/>
        <n v="7500"/>
        <n v="7000"/>
        <n v="12000"/>
        <n v="28000"/>
        <n v="14000"/>
        <n v="34000"/>
        <n v="10200"/>
        <n v="17700"/>
        <n v="2950"/>
        <n v="2550"/>
        <n v="5300"/>
        <n v="20200"/>
        <n v="5550"/>
        <n v="4250"/>
        <n v="0"/>
        <n v="20000"/>
        <n v="4500"/>
        <n v="27000"/>
        <n v="14346"/>
        <n v="12110"/>
        <n v="33320"/>
        <n v="13500"/>
        <n v="18000"/>
        <n v="3504"/>
        <n v="30240"/>
        <n v="2802"/>
        <n v="7350"/>
        <n v="6900"/>
        <n v="1002"/>
        <n v="2880"/>
        <n v="13000"/>
        <n v="30000"/>
        <n v="3500"/>
        <n v="15000"/>
        <n v="100"/>
        <n v="504"/>
        <n v="500"/>
        <n v="9500"/>
        <n v="5004"/>
        <n v="14500"/>
        <n v="19580"/>
        <n v="19318"/>
        <n v="7337"/>
        <n v="7457"/>
        <n v="24814"/>
        <n v="12129"/>
        <n v="10670"/>
        <n v="7247"/>
        <n v="7412"/>
        <n v="355"/>
        <n v="144"/>
        <n v="526.5"/>
        <n v="990"/>
        <n v="19645"/>
        <n v="13553"/>
        <n v="10356"/>
        <n v="426"/>
        <n v="616.5"/>
        <n v="16779"/>
        <n v="27167"/>
        <n v="7389"/>
        <n v="11830"/>
        <n v="22000"/>
        <n v="5500"/>
        <n v="16500"/>
        <n v="3001.5"/>
        <n v="45000"/>
        <n v="55000"/>
        <n v="1700" u="1"/>
        <n v="6882" u="1"/>
        <n v="12961" u="1"/>
        <n v="79" u="1"/>
        <n v="800" u="1"/>
        <n v="5084" u="1"/>
        <n v="761" u="1"/>
        <n v="1776" u="1"/>
        <n v="11500" u="1"/>
        <n v="108" u="1"/>
        <n v="27500" u="1"/>
        <n v="209" u="1"/>
        <n v="87" u="1"/>
        <n v="2200" u="1"/>
        <n v="112" u="1"/>
        <n v="167" u="1"/>
        <n v="217" u="1"/>
        <n v="3800" u="1"/>
        <n v="9750" u="1"/>
        <n v="11170" u="1"/>
        <n v="420" u="1"/>
        <n v="9400" u="1"/>
        <n v="11200" u="1"/>
        <n v="889" u="1"/>
        <n v="50000" u="1"/>
        <n v="9648" u="1"/>
        <n v="220" u="1"/>
        <n v="397" u="1"/>
        <n v="6762" u="1"/>
        <n v="1334" u="1"/>
        <n v="9100" u="1"/>
        <n v="3550" u="1"/>
        <n v="1850" u="1"/>
        <n v="8400" u="1"/>
        <n v="11600" u="1"/>
        <n v="445" u="1"/>
        <n v="520" u="1"/>
        <n v="223" u="1"/>
        <n v="3825" u="1"/>
        <n v="32000" u="1"/>
        <n v="1100" u="1"/>
        <n v="13547" u="1"/>
        <n v="1900" u="1"/>
        <n v="4700" u="1"/>
        <n v="9728" u="1"/>
        <n v="5874" u="1"/>
        <n v="6300" u="1"/>
        <n v="1112" u="1"/>
        <n v="1254" u="1"/>
        <n v="4350" u="1"/>
        <n v="8389" u="1"/>
        <n v="218" u="1"/>
        <n v="127" u="1"/>
        <n v="280" u="1"/>
        <n v="1" u="1"/>
        <n v="1692" u="1"/>
        <n v="85" u="1"/>
        <n v="9915" u="1"/>
        <n v="2600" u="1"/>
        <n v="6500" u="1"/>
        <n v="8500" u="1"/>
        <n v="667" u="1"/>
        <n v="4550" u="1"/>
        <n v="370" u="1"/>
        <n v="1002.8" u="1"/>
        <n v="7002" u="1"/>
        <n v="17960" u="1"/>
        <n v="221" u="1"/>
        <n v="257" u="1"/>
        <n v="4006" u="1"/>
        <n v="7750" u="1"/>
        <n v="5800" u="1"/>
        <n v="8001" u="1"/>
        <n v="10650" u="1"/>
        <n v="11289" u="1"/>
        <n v="35000" u="1"/>
        <n v="250" u="1"/>
        <n v="544" u="1"/>
        <n v="1200" u="1"/>
        <n v="137" u="1"/>
        <n v="6837" u="1"/>
        <n v="17016" u="1"/>
        <n v="17300" u="1"/>
        <n v="16000" u="1"/>
        <n v="834" u="1"/>
        <n v="6099" u="1"/>
        <n v="29400" u="1"/>
        <n v="33700" u="1"/>
        <n v="750" u="1"/>
        <n v="2002.5" u="1"/>
        <n v="6672" u="1"/>
        <n v="38000" u="1"/>
        <n v="334" u="1"/>
        <n v="4864" u="1"/>
        <n v="10553" u="1"/>
        <n v="15807" u="1"/>
        <n v="556" u="1"/>
        <n v="350" u="1"/>
        <n v="22512" u="1"/>
        <n v="24500" u="1"/>
        <n v="23800" u="1"/>
        <n v="3600" u="1"/>
        <n v="1778" u="1"/>
        <n v="2502" u="1"/>
        <n v="117" u="1"/>
        <n v="2450" u="1"/>
        <n v="6200" u="1"/>
        <n v="32" u="1"/>
        <n v="71" u="1"/>
        <n v="523" u="1"/>
        <n v="7800" u="1"/>
        <n v="8331" u="1"/>
      </sharedItems>
    </cacheField>
    <cacheField name="DISPATCH" uniqueList="1" numFmtId="0" sqlType="0" hierarchy="0" level="0" databaseField="1">
      <sharedItems count="0" containsMixedTypes="1" containsNumber="1" minValue="0" maxValue="14865"/>
    </cacheField>
    <cacheField name="BAL IN NOS" uniqueList="1" numFmtId="1" sqlType="0" hierarchy="0" level="0" databaseField="1">
      <sharedItems count="0" containsMixedTypes="1" containsNumber="1" minValue="-6482" maxValue="45000"/>
    </cacheField>
    <cacheField name="SCHEDULE IN MT" uniqueList="1" numFmtId="2" sqlType="0" hierarchy="0" level="0" databaseField="1">
      <sharedItems count="0" containsNumber="1" containsSemiMixedTypes="0" containsString="0" minValue="0" maxValue="63.668949332625"/>
    </cacheField>
    <cacheField name="DISPATCH MT" uniqueList="1" numFmtId="2" sqlType="0" hierarchy="0" level="0" databaseField="1">
      <sharedItems count="0" containsMixedTypes="1" containsNumber="1" minValue="0" maxValue="8.885339006975999"/>
    </cacheField>
    <cacheField name="BALANCE FOR DISP" uniqueList="1" numFmtId="2" sqlType="0" hierarchy="0" level="0" databaseField="1">
      <sharedItems count="0" containsMixedTypes="1" containsNumber="1" minValue="-3.5085351721665" maxValue="56.02867541271"/>
    </cacheField>
    <cacheField name="CTL stock Numbers" uniqueList="1" numFmtId="2" sqlType="0" hierarchy="0" level="0" databaseField="1">
      <sharedItems count="0" containsMixedTypes="1" containsNumber="1" minValue="0" maxValue="36970.17257644697"/>
    </cacheField>
    <cacheField name="CTL Stock" uniqueList="1" numFmtId="2" sqlType="0" hierarchy="0" level="0" databaseField="1">
      <sharedItems count="0" containsNumber="1" containsSemiMixedTypes="0" containsString="0" minValue="0" maxValue="62.66629499999998"/>
    </cacheField>
    <cacheField name="LL Stock" uniqueList="1" numFmtId="2" sqlType="0" hierarchy="0" level="0" databaseField="1">
      <sharedItems count="0" containsNumber="1" containsSemiMixedTypes="0" containsString="0" minValue="0" maxValue="108.008921"/>
    </cacheField>
    <cacheField name="BALANCE REQUIRED IN MT" uniqueList="1" numFmtId="0" sqlType="0" hierarchy="0" level="0" databaseField="1">
      <sharedItems count="0" containsBlank="1" containsMixedTypes="1" containsNumber="1" minValue="-58.23797659415624" maxValue="63.668949332625"/>
    </cacheField>
    <cacheField name="% COMP" uniqueList="1" numFmtId="0" sqlType="0" hierarchy="0" level="0" databaseField="1">
      <sharedItems count="0" containsBlank="1" containsMixedTypes="1" containsNumber="1" minValue="0" maxValue="27.861827736822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Apoorv Gupta" refreshedDate="46227.57632951389" createdVersion="8" refreshedVersion="8" minRefreshableVersion="3" recordCount="67" r:id="rId1">
  <cacheSource type="worksheet">
    <worksheetSource name="aug"/>
  </cacheSource>
  <cacheFields count="36">
    <cacheField name="OEM" uniqueList="1" numFmtId="0" sqlType="0" hierarchy="0" level="0" databaseField="1">
      <sharedItems count="4" containsInteger="1" containsMixedTypes="1" containsNumber="1" minValue="0" maxValue="0">
        <s v="TVS"/>
        <s v="HMSI"/>
        <s v="RE"/>
        <n v="0"/>
      </sharedItems>
    </cacheField>
    <cacheField name="Customer" uniqueList="1" numFmtId="0" sqlType="0" hierarchy="0" level="0" databaseField="1">
      <sharedItems count="0"/>
    </cacheField>
    <cacheField name="Metallurgy condition" uniqueList="1" numFmtId="0" sqlType="0" hierarchy="0" level="0" databaseField="1">
      <sharedItems count="0"/>
    </cacheField>
    <cacheField name="Material Type" uniqueList="1" numFmtId="0" sqlType="0" hierarchy="0" level="0" databaseField="1">
      <sharedItems count="0"/>
    </cacheField>
    <cacheField name="GRADE" uniqueList="1" numFmtId="0" sqlType="0" hierarchy="0" level="0" databaseField="1">
      <sharedItems count="0"/>
    </cacheField>
    <cacheField name="OD" uniqueList="1" numFmtId="2" sqlType="0" hierarchy="0" level="0" databaseField="1">
      <sharedItems count="26" containsMixedTypes="1" containsNumber="1" minValue="11" maxValue="60.3">
        <n v="11"/>
        <n v="12.7"/>
        <n v="15.88"/>
        <n v="18.3"/>
        <n v="19.05"/>
        <n v="21.4"/>
        <n v="22.2"/>
        <n v="25.4"/>
        <n v="28.6"/>
        <n v="31.75"/>
        <n v="34.93"/>
        <n v="34"/>
        <n v="38.1"/>
        <n v="41.28"/>
        <s v="40x25"/>
        <n v="42.7"/>
        <s v="40x30"/>
        <n v="45"/>
        <n v="47.63"/>
        <n v="48"/>
        <n v="48.6"/>
        <s v="59x30"/>
        <s v="50X50"/>
        <n v="50.8"/>
        <n v="57.15"/>
        <n v="60.3"/>
      </sharedItems>
    </cacheField>
    <cacheField name="ID" uniqueList="1" numFmtId="2" sqlType="0" hierarchy="0" level="0" databaseField="1">
      <sharedItems count="0" containsBlank="1" containsNumber="1" containsString="0" minValue="45.6" maxValue="45.6"/>
    </cacheField>
    <cacheField name="THK" uniqueList="1" numFmtId="2" sqlType="0" hierarchy="0" level="0" databaseField="1">
      <sharedItems count="14" containsNumber="1" containsSemiMixedTypes="0" containsString="0" minValue="1" maxValue="4">
        <n v="1.5"/>
        <n v="1.2"/>
        <n v="1.4"/>
        <n v="1.6"/>
        <n v="2"/>
        <n v="1"/>
        <n v="2.3"/>
        <n v="2.5"/>
        <n v="2.65"/>
        <n v="2.6"/>
        <n v="3.15"/>
        <n v="3.5"/>
        <n v="4"/>
        <n v="3"/>
      </sharedItems>
    </cacheField>
    <cacheField name="LENGTH" uniqueList="1" numFmtId="0" sqlType="0" hierarchy="0" level="0" databaseField="1">
      <sharedItems count="30" containsNumber="1" containsSemiMixedTypes="0" containsString="0" minValue="572.5" maxValue="7000">
        <n v="6000"/>
        <n v="5800"/>
        <n v="7000"/>
        <n v="5870"/>
        <n v="5270"/>
        <n v="5670"/>
        <n v="5950"/>
        <n v="5100"/>
        <n v="5390"/>
        <n v="5531"/>
        <n v="6060"/>
        <n v="5840"/>
        <n v="6050"/>
        <n v="5530"/>
        <n v="5920"/>
        <n v="620"/>
        <n v="700"/>
        <n v="5660"/>
        <n v="6190"/>
        <n v="5650"/>
        <n v="6130"/>
        <n v="5860"/>
        <n v="5900"/>
        <n v="6400"/>
        <n v="5700"/>
        <n v="6040"/>
        <n v="6270"/>
        <n v="572.5"/>
        <n v="5710"/>
        <n v="6100"/>
      </sharedItems>
    </cacheField>
    <cacheField name="Length in Mtrs" uniqueList="1" numFmtId="0" sqlType="0" hierarchy="0" level="0" databaseField="1">
      <sharedItems count="31" containsNumber="1" containsSemiMixedTypes="0" containsString="0" minValue="0.5725" maxValue="6000">
        <n v="6"/>
        <n v="5.8"/>
        <n v="7"/>
        <n v="5.87"/>
        <n v="5.27"/>
        <n v="5.67"/>
        <n v="5.95"/>
        <n v="5.1"/>
        <n v="6000"/>
        <n v="5.39"/>
        <n v="5.531"/>
        <n v="6.06"/>
        <n v="5.82"/>
        <n v="6.05"/>
        <n v="5.53"/>
        <n v="5.92"/>
        <n v="0.62"/>
        <n v="0.7"/>
        <n v="5.66"/>
        <n v="6.19"/>
        <n v="5.65"/>
        <n v="6.13"/>
        <n v="5.86"/>
        <n v="5.9"/>
        <n v="6.42"/>
        <n v="5.7"/>
        <n v="6.04"/>
        <n v="6.27"/>
        <n v="0.5725"/>
        <n v="5.71"/>
        <n v="6.1"/>
      </sharedItems>
    </cacheField>
    <cacheField name="count of " uniqueList="1" numFmtId="0" sqlType="0" hierarchy="0" level="0" databaseField="1">
      <sharedItems count="0" containsInteger="1" containsNumber="1" containsSemiMixedTypes="0" containsString="0" minValue="0" maxValue="0"/>
    </cacheField>
    <cacheField name="Column1" uniqueList="1" numFmtId="0" sqlType="0" hierarchy="0" level="0" databaseField="1">
      <sharedItems count="0" containsBlank="1" containsNonDate="0" containsString="0"/>
    </cacheField>
    <cacheField name="Key" uniqueList="1" numFmtId="0" sqlType="0" hierarchy="0" level="0" databaseField="1">
      <sharedItems count="0"/>
    </cacheField>
    <cacheField name="Bucket" uniqueList="1" numFmtId="0" sqlType="0" hierarchy="0" level="0" databaseField="1">
      <sharedItems count="0" containsInteger="1" containsMixedTypes="1" containsNumber="1" minValue="0" maxValue="0"/>
    </cacheField>
    <cacheField name="Bucket CTL" uniqueList="1" numFmtId="0" sqlType="0" hierarchy="0" level="0" databaseField="1">
      <sharedItems count="0"/>
    </cacheField>
    <cacheField name="Value added" uniqueList="1" numFmtId="0" sqlType="0" hierarchy="0" level="0" databaseField="1">
      <sharedItems count="0" containsBlank="1"/>
    </cacheField>
    <cacheField name="plant july" uniqueList="1" numFmtId="0" sqlType="0" hierarchy="0" level="0" databaseField="1">
      <sharedItems count="4">
        <s v="0788"/>
        <s v="0789"/>
        <s v="056"/>
        <e v="#N/A"/>
      </sharedItems>
    </cacheField>
    <cacheField name="Material code july" uniqueList="1" numFmtId="0" sqlType="0" hierarchy="0" level="0" databaseField="1">
      <sharedItems count="0" containsBlank="1" containsInteger="1" containsMixedTypes="1" containsNumber="1" minValue="236166" maxValue="4055022"/>
    </cacheField>
    <cacheField name="Exact" uniqueList="1" numFmtId="0" sqlType="0" hierarchy="0" level="0" databaseField="1">
      <sharedItems count="0" containsBlank="1"/>
    </cacheField>
    <cacheField name="plant" uniqueList="1" numFmtId="0" sqlType="0" hierarchy="0" level="0" databaseField="1">
      <sharedItems count="5" containsBlank="1">
        <s v="0788"/>
        <s v="0789"/>
        <s v="056"/>
        <m u="1"/>
        <s v="788" u="1"/>
      </sharedItems>
    </cacheField>
    <cacheField name="TSL Material Code" uniqueList="1" numFmtId="0" sqlType="0" hierarchy="0" level="0" databaseField="1">
      <sharedItems count="66" containsInteger="1" containsMixedTypes="1" containsNumber="1" minValue="236166" maxValue="4055022">
        <n v="2442390"/>
        <n v="1939985"/>
        <n v="1931117"/>
        <n v="1931154"/>
        <n v="236166"/>
        <n v="1940054"/>
        <n v="1900224"/>
        <n v="1940120"/>
        <n v="2288945"/>
        <n v="3498997"/>
        <n v="3891285"/>
        <n v="3212868"/>
        <n v="3500582"/>
        <n v="3219710"/>
        <n v="3882110"/>
        <n v="3829175"/>
        <n v="3575894"/>
        <n v="4055022"/>
        <n v="3905466"/>
        <n v="3500554"/>
        <n v="3502494"/>
        <n v="2431251"/>
        <n v="3501900"/>
        <n v="3557792"/>
        <n v="3500097"/>
        <n v="3240023"/>
        <n v="4055021"/>
        <n v="3502256"/>
        <n v="3702101"/>
        <n v="2410388"/>
        <n v="3884381"/>
        <n v="1931387"/>
        <s v="MCR 42136"/>
        <n v="1940701"/>
        <n v="2397073"/>
        <n v="3649699"/>
        <n v="3702855"/>
        <n v="3502254"/>
        <n v="3500959"/>
        <n v="3502007"/>
        <n v="3500699"/>
        <n v="3974563"/>
        <n v="3919144"/>
        <n v="3673889"/>
        <n v="2396465"/>
        <n v="3501985"/>
        <n v="3836440"/>
        <n v="3502343"/>
        <n v="3545558"/>
        <n v="3502388"/>
        <n v="3500635"/>
        <n v="2397072"/>
        <n v="3649700"/>
        <n v="3502301"/>
        <n v="3549720"/>
        <n v="3502422"/>
        <n v="1940925"/>
        <n v="2420716"/>
        <n v="3751498"/>
        <n v="3518437"/>
        <n v="3500695"/>
        <n v="3907863"/>
        <n v="4054700"/>
        <n v="3910001"/>
        <n v="3501105"/>
        <n v="3905049"/>
      </sharedItems>
    </cacheField>
    <cacheField name="SCH AUG- 25" uniqueList="1" numFmtId="0" sqlType="0" hierarchy="0" level="0" databaseField="1">
      <sharedItems count="0" containsInteger="1" containsNumber="1" containsSemiMixedTypes="0" containsString="0" minValue="1" maxValue="80"/>
    </cacheField>
    <cacheField name="BALANCE TO BE SUPPLY" uniqueList="1" numFmtId="0" sqlType="0" hierarchy="0" level="0" databaseField="1">
      <sharedItems count="0" containsBlank="1" containsInteger="1" containsNumber="1" containsString="0" minValue="0" maxValue="30"/>
    </cacheField>
    <cacheField name="Stock     22-07-25" uniqueList="1" numFmtId="0" sqlType="0" hierarchy="0" level="0" databaseField="1">
      <sharedItems count="0" containsNumber="1" containsSemiMixedTypes="0" containsString="0" minValue="0" maxValue="69"/>
    </cacheField>
    <cacheField name="intransist " uniqueList="1" numFmtId="0" sqlType="0" hierarchy="0" level="0" databaseField="1">
      <sharedItems count="0" containsBlank="1" containsInteger="1" containsNumber="1" containsString="0" minValue="0" maxValue="101"/>
    </cacheField>
    <cacheField name="OPENIG STOCK FOR AUG-2025" uniqueList="1" numFmtId="0" sqlType="0" hierarchy="0" level="0" databaseField="1">
      <sharedItems count="0" containsNumber="1" containsSemiMixedTypes="0" containsString="0" minValue="-30" maxValue="54"/>
    </cacheField>
    <cacheField name="order logg " uniqueList="1" numFmtId="0" sqlType="0" hierarchy="0" level="0" databaseField="1">
      <sharedItems count="0" containsBlank="1" containsNumber="1" containsString="0" minValue="0" maxValue="147"/>
    </cacheField>
    <cacheField name="Opening stock including order logger" uniqueList="1" numFmtId="0" sqlType="0" hierarchy="0" level="0" databaseField="1">
      <sharedItems count="0" containsNumber="1" containsSemiMixedTypes="0" containsString="0" minValue="-20" maxValue="155"/>
    </cacheField>
    <cacheField name="    INDENT  FOR AUG-25 as per VSM" uniqueList="1" numFmtId="0" sqlType="0" hierarchy="0" level="0" databaseField="1">
      <sharedItems count="0" containsNumber="1" containsSemiMixedTypes="0" containsString="0" minValue="-135" maxValue="73.7"/>
    </cacheField>
    <cacheField name=" INDENT  FOR AUG-25 recommended" uniqueList="1" numFmtId="0" sqlType="0" hierarchy="0" level="0" databaseField="1">
      <sharedItems count="0" containsNumber="1" containsSemiMixedTypes="0" containsString="0" minValue="0" maxValue="73.7"/>
    </cacheField>
    <cacheField name="Before 20th" uniqueList="1" numFmtId="1" sqlType="0" hierarchy="0" level="0" databaseField="1">
      <sharedItems count="0" containsNumber="1" containsSemiMixedTypes="0" containsString="0" minValue="0" maxValue="105.755076"/>
    </cacheField>
    <cacheField name="ofter 20th" uniqueList="1" numFmtId="0" sqlType="0" hierarchy="0" level="0" databaseField="1">
      <sharedItems count="0" containsNumber="1" containsSemiMixedTypes="0" containsString="0" minValue="0" maxValue="206.77805"/>
    </cacheField>
    <cacheField name="Total Indent" uniqueList="1" numFmtId="0" sqlType="0" hierarchy="0" level="0" databaseField="1">
      <sharedItems count="0" containsNumber="1" containsSemiMixedTypes="0" containsString="0" minValue="0" maxValue="147"/>
    </cacheField>
    <cacheField name="Total Delivered" uniqueList="1" numFmtId="1" sqlType="0" hierarchy="0" level="0" databaseField="1">
      <sharedItems count="0" containsNumber="1" containsSemiMixedTypes="0" containsString="0" minValue="0" maxValue="222.916154"/>
    </cacheField>
    <cacheField name="GAP" uniqueList="1" numFmtId="1" sqlType="0" hierarchy="0" level="0" databaseField="1">
      <sharedItems count="0" containsNumber="1" containsSemiMixedTypes="0" containsString="0" minValue="0" maxValue="140.367336"/>
    </cacheField>
    <cacheField name="Todays Stock" uniqueList="1" numFmtId="0" sqlType="0" hierarchy="0" level="0" databaseField="1">
      <sharedItems count="0" containsBlank="1" containsInteger="1" containsNumber="1" containsString="0" minValue="0" maxValue="80"/>
    </cacheField>
  </cacheFields>
</pivotCacheDefinition>
</file>

<file path=xl/pivotCache/pivotCacheRecords1.xml><?xml version="1.0" encoding="utf-8"?>
<pivotCacheRecords xmlns="http://schemas.openxmlformats.org/spreadsheetml/2006/main" count="742">
  <r>
    <n v="1"/>
    <s v="Hosur"/>
    <x v="0"/>
    <s v="Balaji Press Product"/>
    <x v="0"/>
    <n v="3432081"/>
    <s v="189287-3432081"/>
    <s v="TUB-O-N-AUT-AW-PE-12.70X1.600X0.1890"/>
    <x v="0"/>
    <m/>
    <x v="0"/>
    <s v="CR"/>
    <s v="HROP"/>
    <m/>
    <m/>
    <m/>
    <x v="0"/>
    <s v="12.7-0-1.6-ERW 1-PE-0.189"/>
    <n v="1"/>
    <s v="Hosur"/>
    <n v="0"/>
    <n v="0"/>
    <m/>
    <x v="0"/>
    <x v="0"/>
    <x v="0"/>
    <x v="0"/>
    <n v="189"/>
    <s v="NOS"/>
    <s v="Hosur Plant"/>
    <m/>
    <n v="35000"/>
    <m/>
    <n v="11400"/>
    <n v="23600"/>
    <n v="2.8958236776"/>
    <n v="0.943211140704"/>
    <n v="1.952612536896"/>
    <n v="293.4087481127929"/>
    <n v="0.024276"/>
    <m/>
    <n v="0.06565699999999999"/>
    <n v="8.986000000000001"/>
    <n v="2.8715476776"/>
    <m/>
  </r>
  <r>
    <m/>
    <s v="Hosur"/>
    <x v="0"/>
    <s v="Balaji Press Product"/>
    <x v="0"/>
    <m/>
    <s v="189287-"/>
    <m/>
    <x v="0"/>
    <m/>
    <x v="1"/>
    <m/>
    <m/>
    <m/>
    <m/>
    <m/>
    <x v="1"/>
    <m/>
    <m/>
    <m/>
    <m/>
    <m/>
    <m/>
    <x v="1"/>
    <x v="1"/>
    <x v="0"/>
    <x v="1"/>
    <n v="585"/>
    <s v="NOS"/>
    <m/>
    <m/>
    <n v="10000"/>
    <m/>
    <n v="0"/>
    <n v="10000"/>
    <n v="2.145646152"/>
    <n v="0"/>
    <n v="2.145646152"/>
    <n v="0"/>
    <n v="0"/>
    <m/>
    <n v="0"/>
    <n v="0"/>
    <n v="2.145646152"/>
    <m/>
  </r>
  <r>
    <m/>
    <s v="Hosur"/>
    <x v="0"/>
    <s v="Balaji Press Product"/>
    <x v="0"/>
    <m/>
    <s v="189287-"/>
    <m/>
    <x v="0"/>
    <m/>
    <x v="1"/>
    <m/>
    <m/>
    <m/>
    <m/>
    <m/>
    <x v="1"/>
    <m/>
    <m/>
    <m/>
    <m/>
    <m/>
    <m/>
    <x v="1"/>
    <x v="1"/>
    <x v="0"/>
    <x v="1"/>
    <n v="1233"/>
    <s v="NOS"/>
    <m/>
    <m/>
    <n v="10000"/>
    <m/>
    <n v="0"/>
    <n v="10000"/>
    <n v="4.522361889600001"/>
    <n v="0"/>
    <n v="4.522361889600001"/>
    <n v="0"/>
    <n v="0"/>
    <m/>
    <n v="0"/>
    <n v="0"/>
    <n v="4.522361889600001"/>
    <m/>
  </r>
  <r>
    <n v="2"/>
    <s v="Hosur"/>
    <x v="0"/>
    <s v="Balaji Press Product"/>
    <x v="0"/>
    <n v="1940034"/>
    <s v="189287-1940034"/>
    <s v="TUB-O-O-AUT-AW-PE-15.88X1.200X0.5400"/>
    <x v="0"/>
    <m/>
    <x v="0"/>
    <s v="HR"/>
    <m/>
    <m/>
    <m/>
    <m/>
    <x v="2"/>
    <s v="15.88-0-1.2-ERW 1-PE-0.54"/>
    <n v="1"/>
    <s v="Hosur"/>
    <n v="0.170849"/>
    <n v="0"/>
    <m/>
    <x v="1"/>
    <x v="1"/>
    <x v="0"/>
    <x v="2"/>
    <n v="540"/>
    <s v="NOS"/>
    <s v="Hosur Plant"/>
    <n v="2000"/>
    <n v="3000"/>
    <m/>
    <n v="3000"/>
    <n v="0"/>
    <n v="0.70343119008"/>
    <n v="0.70343119008"/>
    <n v="0"/>
    <n v="5670.452286237639"/>
    <n v="1.329591"/>
    <m/>
    <n v="6.069591"/>
    <n v="7.386"/>
    <n v="-0.6261598099199998"/>
    <m/>
  </r>
  <r>
    <n v="3"/>
    <s v="Hosur"/>
    <x v="0"/>
    <s v="Balaji Press Product"/>
    <x v="0"/>
    <n v="1940038"/>
    <s v="189287-1940038"/>
    <s v="TUB-O-O-AUT-AW-PE-15.88X1.200X0.6800"/>
    <x v="0"/>
    <m/>
    <x v="0"/>
    <s v="HR"/>
    <m/>
    <m/>
    <m/>
    <m/>
    <x v="2"/>
    <s v="15.88-0-1.2-ERW 1-PE-0.68"/>
    <n v="1"/>
    <s v="Hosur"/>
    <n v="0.170849"/>
    <n v="0"/>
    <m/>
    <x v="1"/>
    <x v="1"/>
    <x v="0"/>
    <x v="2"/>
    <n v="680"/>
    <s v="NOS"/>
    <s v="Hosur Plant"/>
    <m/>
    <n v="3000"/>
    <m/>
    <n v="0"/>
    <n v="3000"/>
    <n v="0.8858022393600001"/>
    <n v="0"/>
    <n v="0.8858022393600001"/>
    <n v="0"/>
    <n v="0"/>
    <m/>
    <n v="6.069591"/>
    <n v="7.386"/>
    <n v="0.8858022393600001"/>
    <m/>
  </r>
  <r>
    <m/>
    <s v="Hosur"/>
    <x v="0"/>
    <s v="Balaji Press Product"/>
    <x v="0"/>
    <m/>
    <s v="189287-"/>
    <m/>
    <x v="0"/>
    <m/>
    <x v="0"/>
    <s v="HR"/>
    <m/>
    <m/>
    <m/>
    <m/>
    <x v="2"/>
    <s v="15.88-0-1.2-ERW 1-PE-0.73"/>
    <m/>
    <m/>
    <n v="0.170849"/>
    <n v="0"/>
    <m/>
    <x v="1"/>
    <x v="1"/>
    <x v="0"/>
    <x v="2"/>
    <n v="730"/>
    <s v="NOS"/>
    <s v="Hosur Plant"/>
    <m/>
    <n v="7000"/>
    <m/>
    <n v="0"/>
    <n v="7000"/>
    <n v="2.218847766240001"/>
    <n v="0"/>
    <n v="2.218847766240001"/>
    <n v="0"/>
    <n v="0"/>
    <m/>
    <n v="6.069591"/>
    <n v="7.386"/>
    <n v="2.218847766240001"/>
    <m/>
  </r>
  <r>
    <n v="4"/>
    <s v="Hosur"/>
    <x v="0"/>
    <s v="Balaji Press Product"/>
    <x v="0"/>
    <n v="3715199"/>
    <s v="189287-3715199"/>
    <s v="TUB-O-O-AUT-AW-PE-15.88X1.200X0.7550"/>
    <x v="0"/>
    <m/>
    <x v="0"/>
    <s v="CR"/>
    <m/>
    <m/>
    <m/>
    <m/>
    <x v="2"/>
    <s v="15.88-0-1.2-ERW 1-PE-0.755"/>
    <n v="1"/>
    <s v="Hosur"/>
    <m/>
    <m/>
    <m/>
    <x v="1"/>
    <x v="1"/>
    <x v="0"/>
    <x v="2"/>
    <n v="755"/>
    <s v="NOS"/>
    <m/>
    <m/>
    <m/>
    <m/>
    <n v="0"/>
    <n v="0"/>
    <n v="0"/>
    <n v="0"/>
    <n v="0"/>
    <e v="#DIV/0!"/>
    <n v="0.001211"/>
    <m/>
    <n v="6.069591"/>
    <n v="7.386"/>
    <n v="-0.001211"/>
    <m/>
  </r>
  <r>
    <n v="5"/>
    <s v="Hosur"/>
    <x v="0"/>
    <s v="Balaji Press Product"/>
    <x v="0"/>
    <n v="1940045"/>
    <s v="189287-1940045"/>
    <s v="TUB-O-O-AUT-AW-PE-15.88X1.200X1.1300"/>
    <x v="0"/>
    <m/>
    <x v="0"/>
    <s v="HR"/>
    <m/>
    <m/>
    <m/>
    <m/>
    <x v="2"/>
    <s v="15.88-0-1.2-ERW 1-PE-1.13"/>
    <n v="1"/>
    <s v="Hosur"/>
    <n v="0.170849"/>
    <n v="0"/>
    <m/>
    <x v="1"/>
    <x v="1"/>
    <x v="0"/>
    <x v="2"/>
    <n v="1130"/>
    <s v="NOS"/>
    <s v="Hosur Plant"/>
    <m/>
    <m/>
    <m/>
    <n v="0"/>
    <n v="0"/>
    <n v="0"/>
    <n v="0"/>
    <n v="0"/>
    <e v="#DIV/0!"/>
    <n v="0.008984000000000001"/>
    <m/>
    <n v="6.069591"/>
    <n v="7.386"/>
    <n v="-0.008984000000000001"/>
    <m/>
  </r>
  <r>
    <n v="6"/>
    <s v="Hosur"/>
    <x v="0"/>
    <s v="Balaji Press Product"/>
    <x v="0"/>
    <n v="1940046"/>
    <s v="189287-1940046"/>
    <s v="TUB-O-O-AUT-AW-PE-15.88X1.200X1.3100"/>
    <x v="0"/>
    <m/>
    <x v="0"/>
    <s v="HR"/>
    <m/>
    <m/>
    <m/>
    <m/>
    <x v="2"/>
    <s v="15.88-0-1.2-ERW 1-PE-1.31"/>
    <n v="1"/>
    <s v="Hosur"/>
    <n v="0.170849"/>
    <n v="0"/>
    <m/>
    <x v="1"/>
    <x v="1"/>
    <x v="0"/>
    <x v="2"/>
    <n v="1310"/>
    <s v="NOS"/>
    <s v="Hosur Plant"/>
    <n v="2000"/>
    <n v="3000"/>
    <m/>
    <n v="3000"/>
    <n v="0"/>
    <n v="1.70647196112"/>
    <n v="1.70647196112"/>
    <n v="0"/>
    <n v="351.4479075333757"/>
    <n v="0.199912"/>
    <m/>
    <n v="6.069591"/>
    <n v="7.386"/>
    <n v="1.50655996112"/>
    <m/>
  </r>
  <r>
    <n v="7"/>
    <s v="Hosur"/>
    <x v="0"/>
    <s v="Balaji Press Product"/>
    <x v="0"/>
    <n v="3635694"/>
    <s v="189287-3635694"/>
    <s v="TUB-O-N-AUT-AW-PE-19.05X1.000X1.2000"/>
    <x v="0"/>
    <m/>
    <x v="0"/>
    <s v="CR"/>
    <m/>
    <m/>
    <m/>
    <m/>
    <x v="3"/>
    <s v="19.05-0-1-ERW 1-PE-1.2"/>
    <n v="2"/>
    <s v="Hosur"/>
    <n v="0"/>
    <n v="0"/>
    <m/>
    <x v="2"/>
    <x v="2"/>
    <x v="0"/>
    <x v="1"/>
    <n v="1200"/>
    <s v="NOS"/>
    <s v="Hosur Plant"/>
    <m/>
    <n v="16000"/>
    <m/>
    <n v="0"/>
    <n v="16000"/>
    <n v="8.542357440000002"/>
    <n v="0"/>
    <n v="8.542357440000002"/>
    <n v="4000.048024213793"/>
    <n v="2.135615"/>
    <m/>
    <n v="0"/>
    <n v="18.324"/>
    <n v="6.406742440000002"/>
    <m/>
  </r>
  <r>
    <n v="8"/>
    <s v="Hosur"/>
    <x v="0"/>
    <s v="Balaji Press Product"/>
    <x v="0"/>
    <n v="3409366"/>
    <s v="189287-3409366"/>
    <s v="TUB-O-N-AUT-AW-PE-19.05X1.200X0.1090"/>
    <x v="0"/>
    <m/>
    <x v="0"/>
    <s v="CR"/>
    <m/>
    <m/>
    <m/>
    <m/>
    <x v="4"/>
    <s v="19.05-0-1.2-ERW 1-PE-0.109"/>
    <n v="1"/>
    <s v="Hosur"/>
    <n v="0"/>
    <n v="0"/>
    <m/>
    <x v="2"/>
    <x v="2"/>
    <x v="0"/>
    <x v="2"/>
    <n v="109"/>
    <s v="NOS"/>
    <s v="Hosur Plant"/>
    <m/>
    <n v="10000"/>
    <m/>
    <n v="0"/>
    <n v="10000"/>
    <n v="0.5754999222"/>
    <n v="0"/>
    <n v="0.5754999222"/>
    <n v="275.4127218542307"/>
    <n v="0.01585"/>
    <m/>
    <n v="0"/>
    <n v="20.588"/>
    <n v="0.5596499222"/>
    <m/>
  </r>
  <r>
    <m/>
    <s v="Hosur"/>
    <x v="0"/>
    <s v="Balaji Press Product"/>
    <x v="0"/>
    <m/>
    <s v="189287-"/>
    <m/>
    <x v="0"/>
    <m/>
    <x v="1"/>
    <m/>
    <m/>
    <m/>
    <m/>
    <m/>
    <x v="1"/>
    <m/>
    <m/>
    <m/>
    <m/>
    <m/>
    <m/>
    <x v="2"/>
    <x v="2"/>
    <x v="0"/>
    <x v="2"/>
    <n v="175"/>
    <s v="NOS"/>
    <m/>
    <m/>
    <n v="3000"/>
    <m/>
    <n v="0"/>
    <n v="3000"/>
    <n v="0.2771903295"/>
    <n v="0"/>
    <n v="0.2771903295"/>
    <n v="0"/>
    <n v="0"/>
    <m/>
    <n v="0"/>
    <n v="0"/>
    <n v="0.2771903295"/>
    <m/>
  </r>
  <r>
    <n v="9"/>
    <s v="Hosur"/>
    <x v="0"/>
    <s v="Balaji Press Product"/>
    <x v="0"/>
    <n v="3239890"/>
    <s v="189287-3239890"/>
    <s v="TUB-O-N-AUT-AW-PE-19.05X1.200X0.3300"/>
    <x v="0"/>
    <m/>
    <x v="0"/>
    <s v="CR"/>
    <m/>
    <m/>
    <m/>
    <m/>
    <x v="4"/>
    <s v="19.05-0-1.2-ERW 1-PE-0.33"/>
    <n v="3"/>
    <s v="Hosur"/>
    <n v="0"/>
    <n v="0"/>
    <m/>
    <x v="2"/>
    <x v="2"/>
    <x v="0"/>
    <x v="2"/>
    <n v="330"/>
    <s v="NOS"/>
    <s v="Hosur Plant"/>
    <m/>
    <n v="16000"/>
    <m/>
    <n v="0"/>
    <n v="16000"/>
    <n v="2.7877427424"/>
    <n v="0"/>
    <n v="2.7877427424"/>
    <n v="3428.05806814608"/>
    <n v="0.597284"/>
    <m/>
    <n v="0"/>
    <n v="20.588"/>
    <n v="2.1904587424"/>
    <m/>
  </r>
  <r>
    <n v="10"/>
    <s v="Hosur"/>
    <x v="0"/>
    <s v="Balaji Press Product"/>
    <x v="0"/>
    <n v="3929662"/>
    <s v="189287-3929662"/>
    <s v="CUT-O-N-AUT-AW-PE-19.05X1.200X0.4030"/>
    <x v="0"/>
    <m/>
    <x v="0"/>
    <s v="CR"/>
    <m/>
    <m/>
    <m/>
    <m/>
    <x v="4"/>
    <s v="19.05-0-1.2-ERW 1-PE-0.403"/>
    <n v="1"/>
    <s v="Hosur"/>
    <m/>
    <m/>
    <m/>
    <x v="2"/>
    <x v="2"/>
    <x v="0"/>
    <x v="2"/>
    <n v="403"/>
    <s v="NOS"/>
    <m/>
    <m/>
    <m/>
    <m/>
    <n v="0"/>
    <n v="0"/>
    <n v="0"/>
    <n v="0"/>
    <n v="0"/>
    <e v="#DIV/0!"/>
    <n v="0"/>
    <m/>
    <n v="0"/>
    <n v="20.588"/>
    <n v="0"/>
    <m/>
  </r>
  <r>
    <n v="11"/>
    <s v="Hosur"/>
    <x v="0"/>
    <s v="Balaji Press Product"/>
    <x v="0"/>
    <n v="2409616"/>
    <s v="189287-2409616"/>
    <s v="TUB-O-N-AUT-AW-PE-19.05X1.200X0.5130"/>
    <x v="0"/>
    <m/>
    <x v="0"/>
    <s v="CR"/>
    <m/>
    <m/>
    <m/>
    <m/>
    <x v="4"/>
    <s v="19.05-0-1.2-ERW 1-PE-0.513"/>
    <n v="1"/>
    <s v="Hosur"/>
    <n v="0"/>
    <n v="0"/>
    <m/>
    <x v="2"/>
    <x v="2"/>
    <x v="0"/>
    <x v="2"/>
    <n v="513"/>
    <s v="NOS"/>
    <s v="Hosur Plant"/>
    <m/>
    <n v="12000"/>
    <m/>
    <n v="0"/>
    <n v="12000"/>
    <n v="3.25025460648"/>
    <n v="0"/>
    <n v="3.25025460648"/>
    <n v="39.75565475467162"/>
    <n v="0.010768"/>
    <m/>
    <n v="0"/>
    <n v="20.588"/>
    <n v="3.23948660648"/>
    <m/>
  </r>
  <r>
    <m/>
    <s v="Hosur"/>
    <x v="0"/>
    <s v="Balaji Press Product"/>
    <x v="0"/>
    <m/>
    <s v="189287-"/>
    <m/>
    <x v="0"/>
    <m/>
    <x v="1"/>
    <m/>
    <m/>
    <m/>
    <m/>
    <m/>
    <x v="1"/>
    <m/>
    <m/>
    <m/>
    <m/>
    <m/>
    <m/>
    <x v="2"/>
    <x v="2"/>
    <x v="0"/>
    <x v="2"/>
    <n v="665"/>
    <s v="NOS"/>
    <m/>
    <m/>
    <n v="5000"/>
    <m/>
    <n v="0"/>
    <n v="5000"/>
    <n v="1.7555387535"/>
    <n v="0"/>
    <n v="1.7555387535"/>
    <n v="0"/>
    <n v="0"/>
    <m/>
    <n v="0"/>
    <n v="0"/>
    <n v="1.7555387535"/>
    <m/>
  </r>
  <r>
    <n v="12"/>
    <s v="Hosur"/>
    <x v="0"/>
    <s v="Balaji Press Product"/>
    <x v="0"/>
    <n v="3229740"/>
    <s v="189287-3229740"/>
    <s v="TUB-O-N-AUT-AW-PE-19.05X1.200X1.0750"/>
    <x v="0"/>
    <m/>
    <x v="0"/>
    <s v="CR"/>
    <m/>
    <m/>
    <m/>
    <m/>
    <x v="4"/>
    <s v="19.05-0-1.2-ERW 1-PE-1.075"/>
    <n v="1"/>
    <s v="Hosur"/>
    <n v="0"/>
    <n v="0"/>
    <m/>
    <x v="2"/>
    <x v="2"/>
    <x v="0"/>
    <x v="2"/>
    <n v="1075"/>
    <s v="NOS"/>
    <s v="Hosur Plant"/>
    <m/>
    <n v="10000"/>
    <m/>
    <n v="3900"/>
    <n v="6100"/>
    <n v="5.675801985000001"/>
    <n v="2.21356277415"/>
    <n v="3.46223921085"/>
    <n v="216.3764703641259"/>
    <n v="0.122811"/>
    <m/>
    <n v="0"/>
    <n v="20.588"/>
    <n v="5.552990985000001"/>
    <m/>
  </r>
  <r>
    <n v="13"/>
    <s v="Hosur"/>
    <x v="0"/>
    <s v="ara"/>
    <x v="0"/>
    <n v="3229739"/>
    <s v="189287-3229739"/>
    <s v="TUB-O-N-AUT-AW-PE-19.05X1.200X1.1300"/>
    <x v="0"/>
    <m/>
    <x v="0"/>
    <s v="CR"/>
    <m/>
    <m/>
    <m/>
    <m/>
    <x v="4"/>
    <s v="19.05-0-1.2-ERW 1-PE-1.13"/>
    <n v="1"/>
    <s v="Hosur"/>
    <m/>
    <m/>
    <m/>
    <x v="2"/>
    <x v="2"/>
    <x v="0"/>
    <x v="2"/>
    <n v="1130"/>
    <s v="NOS"/>
    <m/>
    <m/>
    <n v="3000"/>
    <m/>
    <n v="0"/>
    <n v="3000"/>
    <n v="1.7898575562"/>
    <n v="0"/>
    <n v="1.7898575562"/>
    <n v="2279.799297919124"/>
    <n v="1.360172"/>
    <m/>
    <n v="0"/>
    <n v="20.588"/>
    <n v="0.4296855561999999"/>
    <m/>
  </r>
  <r>
    <m/>
    <s v="Hosur"/>
    <x v="0"/>
    <s v="Balaji Press Product"/>
    <x v="0"/>
    <m/>
    <s v="189287-"/>
    <m/>
    <x v="0"/>
    <m/>
    <x v="0"/>
    <m/>
    <m/>
    <m/>
    <m/>
    <m/>
    <x v="4"/>
    <s v="19.05-0-1.2-ERW 1-PE-1.145"/>
    <m/>
    <m/>
    <n v="0"/>
    <n v="0"/>
    <m/>
    <x v="2"/>
    <x v="2"/>
    <x v="0"/>
    <x v="2"/>
    <n v="1145"/>
    <s v="NOS"/>
    <s v="Hosur Plant"/>
    <m/>
    <n v="8000"/>
    <m/>
    <n v="0"/>
    <n v="8000"/>
    <n v="4.836311272800001"/>
    <n v="0"/>
    <n v="4.836311272800001"/>
    <n v="0"/>
    <n v="0"/>
    <m/>
    <n v="0"/>
    <n v="20.588"/>
    <n v="4.836311272800001"/>
    <m/>
  </r>
  <r>
    <n v="14"/>
    <s v="Hosur"/>
    <x v="0"/>
    <s v="Balaji Press Product"/>
    <x v="0"/>
    <n v="3409367"/>
    <s v="189287-3409367"/>
    <s v="TUB-O-N-AUT-AW-PE-19.05X1.200X1.2750"/>
    <x v="0"/>
    <m/>
    <x v="0"/>
    <s v="CR"/>
    <m/>
    <m/>
    <m/>
    <m/>
    <x v="4"/>
    <s v="19.05-0-1.2-ERW 1-PE-1.275"/>
    <n v="1"/>
    <s v="Hosur"/>
    <n v="0"/>
    <n v="0"/>
    <m/>
    <x v="2"/>
    <x v="2"/>
    <x v="0"/>
    <x v="2"/>
    <n v="1275"/>
    <s v="NOS"/>
    <s v="Hosur Plant"/>
    <m/>
    <n v="8000"/>
    <m/>
    <n v="3400"/>
    <n v="4600"/>
    <n v="5.385412116"/>
    <n v="2.2888001493"/>
    <n v="3.0966119667"/>
    <n v="279.6740467689029"/>
    <n v="0.18827"/>
    <m/>
    <n v="0"/>
    <n v="20.588"/>
    <n v="5.197142116"/>
    <m/>
  </r>
  <r>
    <m/>
    <s v="Hosur"/>
    <x v="0"/>
    <s v="Balaji Press Product"/>
    <x v="0"/>
    <m/>
    <s v="189287-"/>
    <m/>
    <x v="0"/>
    <m/>
    <x v="1"/>
    <m/>
    <m/>
    <m/>
    <m/>
    <m/>
    <x v="1"/>
    <m/>
    <m/>
    <m/>
    <m/>
    <m/>
    <m/>
    <x v="2"/>
    <x v="2"/>
    <x v="0"/>
    <x v="2"/>
    <n v="1365"/>
    <s v="NOS"/>
    <m/>
    <m/>
    <n v="3000"/>
    <m/>
    <n v="0"/>
    <n v="3000"/>
    <n v="2.1620845701"/>
    <n v="0"/>
    <n v="2.1620845701"/>
    <n v="0"/>
    <n v="0"/>
    <m/>
    <n v="0"/>
    <n v="0"/>
    <n v="2.1620845701"/>
    <m/>
  </r>
  <r>
    <n v="15"/>
    <s v="Hosur"/>
    <x v="0"/>
    <s v="Balaji Press Product"/>
    <x v="0"/>
    <n v="2409618"/>
    <s v="189287-2409618"/>
    <s v="TUB-O-N-AUT-AW-PE-25.40X1.600X2.5900"/>
    <x v="0"/>
    <m/>
    <x v="0"/>
    <s v="CR"/>
    <s v="HROP"/>
    <m/>
    <m/>
    <m/>
    <x v="5"/>
    <s v="25.4-0-1.6-ERW 1-PE-2.59"/>
    <n v="1"/>
    <s v="Hosur"/>
    <n v="0"/>
    <n v="1.628933"/>
    <m/>
    <x v="3"/>
    <x v="3"/>
    <x v="0"/>
    <x v="0"/>
    <n v="2590"/>
    <s v="NOS"/>
    <s v="Hosur Plant"/>
    <n v="1000"/>
    <n v="8000"/>
    <m/>
    <n v="4264"/>
    <n v="3736"/>
    <n v="19.4484948224"/>
    <n v="10.3660477403392"/>
    <n v="9.082447082060801"/>
    <n v="1722.199702643452"/>
    <n v="4.186774"/>
    <m/>
    <n v="0"/>
    <n v="3.646"/>
    <n v="15.2617208224"/>
    <m/>
  </r>
  <r>
    <n v="16"/>
    <s v="Hosur"/>
    <x v="0"/>
    <s v="Balaji Press Product"/>
    <x v="0"/>
    <n v="2430128"/>
    <s v="189287-2430128"/>
    <s v="TUB-R-AW-AUT-50.00X30.00X1.600X1.1000"/>
    <x v="0"/>
    <m/>
    <x v="2"/>
    <s v="HR"/>
    <s v="HROP"/>
    <m/>
    <m/>
    <m/>
    <x v="6"/>
    <s v="50-30-1.6-ERW 1-FC-1.1"/>
    <n v="1"/>
    <s v="Hosur"/>
    <n v="0"/>
    <n v="0"/>
    <m/>
    <x v="4"/>
    <x v="4"/>
    <x v="1"/>
    <x v="0"/>
    <n v="1100"/>
    <s v="NOS"/>
    <s v="Hosur Plant"/>
    <m/>
    <n v="5000"/>
    <m/>
    <n v="999"/>
    <n v="4001"/>
    <n v="10.67203104"/>
    <n v="2.132271801792"/>
    <n v="8.539759238207999"/>
    <n v="3.124990910821039"/>
    <n v="0.006670000000000001"/>
    <m/>
    <n v="0"/>
    <n v="24.911"/>
    <n v="10.66536104"/>
    <m/>
  </r>
  <r>
    <n v="26"/>
    <s v="Khopoli "/>
    <x v="1"/>
    <s v="ELKAYEM AUTO Hosur"/>
    <x v="1"/>
    <n v="2410389"/>
    <s v="129663|948721-2410389"/>
    <s v="TUB-O-C-AUT-AN-FC-14.00X1.600X04-05"/>
    <x v="1"/>
    <m/>
    <x v="3"/>
    <s v="CR"/>
    <s v="KGR2"/>
    <m/>
    <m/>
    <m/>
    <x v="7"/>
    <s v="14-0-1.6-CEW-CEW-1"/>
    <s v="#REF!"/>
    <s v="Khopoli"/>
    <m/>
    <m/>
    <m/>
    <x v="5"/>
    <x v="5"/>
    <x v="0"/>
    <x v="0"/>
    <n v="1000"/>
    <s v="M"/>
    <m/>
    <m/>
    <m/>
    <m/>
    <n v="0"/>
    <n v="0"/>
    <n v="0"/>
    <n v="0"/>
    <n v="0"/>
    <e v="#DIV/0!"/>
    <n v="0"/>
    <m/>
    <n v="0"/>
    <n v="0"/>
    <n v="0"/>
    <m/>
  </r>
  <r>
    <n v="31"/>
    <s v="Khopoli "/>
    <x v="1"/>
    <s v="ELKAYEM AUTO Hosur"/>
    <x v="1"/>
    <n v="3188792"/>
    <s v="129663|948721-3188792"/>
    <s v="TUB-O-C-AUT-AD-FC-16.00X2.800X04-06"/>
    <x v="1"/>
    <m/>
    <x v="3"/>
    <s v="HR"/>
    <m/>
    <m/>
    <m/>
    <m/>
    <x v="8"/>
    <s v="16.1-0-2.8-CEW-CEW-1"/>
    <n v="1"/>
    <s v="Khopoli"/>
    <m/>
    <m/>
    <m/>
    <x v="6"/>
    <x v="6"/>
    <x v="0"/>
    <x v="3"/>
    <n v="1000"/>
    <s v="M"/>
    <m/>
    <m/>
    <m/>
    <m/>
    <n v="0"/>
    <n v="0"/>
    <n v="0"/>
    <n v="0"/>
    <n v="0"/>
    <e v="#DIV/0!"/>
    <n v="0"/>
    <m/>
    <n v="1.89743"/>
    <n v="0"/>
    <n v="0"/>
    <m/>
  </r>
  <r>
    <n v="32"/>
    <s v="Hosur"/>
    <x v="1"/>
    <s v="ELKAYEM AUTO Hosur"/>
    <x v="1"/>
    <n v="2410995"/>
    <s v="129663|948721-2410995"/>
    <s v="TUB-O-C-AUT-AD-FC-16.10X2.950X04-05"/>
    <x v="1"/>
    <m/>
    <x v="3"/>
    <s v="HR"/>
    <m/>
    <m/>
    <m/>
    <m/>
    <x v="9"/>
    <s v="16.1-10.7-2.95-CEW-CEW-1"/>
    <n v="1"/>
    <s v="Khopoli"/>
    <m/>
    <m/>
    <m/>
    <x v="6"/>
    <x v="6"/>
    <x v="2"/>
    <x v="4"/>
    <n v="1000"/>
    <s v="M"/>
    <m/>
    <m/>
    <m/>
    <m/>
    <n v="0"/>
    <n v="0"/>
    <n v="0"/>
    <n v="0"/>
    <n v="0"/>
    <e v="#DIV/0!"/>
    <n v="0"/>
    <m/>
    <n v="0"/>
    <n v="0"/>
    <n v="0"/>
    <m/>
  </r>
  <r>
    <n v="86"/>
    <s v="Khopoli "/>
    <x v="1"/>
    <s v="ELKAYEM AUTO Hosur"/>
    <x v="1"/>
    <n v="1931823"/>
    <s v="129663|948721-1931823"/>
    <s v="TUB-O-N-AUT-AW-PE-17.30X1.600X6.0000"/>
    <x v="1"/>
    <m/>
    <x v="1"/>
    <s v="HR"/>
    <m/>
    <m/>
    <m/>
    <m/>
    <x v="10"/>
    <s v="17.3-0-1.6-CEW--6"/>
    <s v="#REF!"/>
    <m/>
    <m/>
    <m/>
    <m/>
    <x v="7"/>
    <x v="7"/>
    <x v="0"/>
    <x v="0"/>
    <n v="6000"/>
    <s v="NOS"/>
    <m/>
    <m/>
    <m/>
    <m/>
    <n v="0"/>
    <n v="0"/>
    <n v="0"/>
    <n v="0"/>
    <n v="0"/>
    <e v="#DIV/0!"/>
    <n v="0"/>
    <m/>
    <n v="0"/>
    <n v="0"/>
    <n v="0"/>
    <m/>
  </r>
  <r>
    <n v="59"/>
    <s v="Khopoli "/>
    <x v="1"/>
    <s v="ELKAYEM AUTO Hosur"/>
    <x v="1"/>
    <n v="3617058"/>
    <s v="129663|948721-3617058"/>
    <s v="TUB-O-C-AUT-AD-FC-28.60X2.650X0.2090"/>
    <x v="1"/>
    <m/>
    <x v="3"/>
    <s v="HR"/>
    <m/>
    <m/>
    <m/>
    <m/>
    <x v="11"/>
    <s v="28.6-0-2.65-CEW-CEW-0.209"/>
    <n v="1"/>
    <s v="Khopoli"/>
    <n v="0.950682"/>
    <n v="1.728399"/>
    <m/>
    <x v="8"/>
    <x v="8"/>
    <x v="0"/>
    <x v="5"/>
    <n v="209"/>
    <s v="NOS"/>
    <m/>
    <m/>
    <n v="20000"/>
    <m/>
    <n v="9188"/>
    <n v="10812"/>
    <n v="7.085309449350001"/>
    <n v="3.254991161031391"/>
    <n v="3.83031828831861"/>
    <n v="0"/>
    <n v="0"/>
    <m/>
    <n v="0.950682"/>
    <n v="0"/>
    <n v="7.085309449350001"/>
    <m/>
  </r>
  <r>
    <n v="60"/>
    <s v="Khopoli "/>
    <x v="1"/>
    <s v="ELKAYEM AUTO Hosur"/>
    <x v="1"/>
    <n v="2410388"/>
    <s v="129663|948721-2410388"/>
    <s v="TUB-O-C-AUT-AD-FC-28.60X2.650X04-05"/>
    <x v="1"/>
    <m/>
    <x v="3"/>
    <s v="HR"/>
    <m/>
    <m/>
    <m/>
    <m/>
    <x v="11"/>
    <s v="28.6-0-2.65-CEW-CEW-1"/>
    <n v="3"/>
    <s v="Khopoli"/>
    <n v="0.950682"/>
    <n v="1.728399"/>
    <m/>
    <x v="8"/>
    <x v="8"/>
    <x v="0"/>
    <x v="5"/>
    <n v="1000"/>
    <s v="M"/>
    <m/>
    <m/>
    <n v="9000"/>
    <m/>
    <n v="9031.998"/>
    <n v="-31.99799999999959"/>
    <n v="15.2554509675"/>
    <n v="15.30968918083979"/>
    <n v="-0.05423821333978474"/>
    <n v="0"/>
    <n v="0"/>
    <m/>
    <n v="0.950682"/>
    <n v="0"/>
    <n v="15.2554509675"/>
    <m/>
  </r>
  <r>
    <n v="63"/>
    <s v="Khopoli "/>
    <x v="1"/>
    <s v="ELKAYEM AUTO Hosur"/>
    <x v="1"/>
    <n v="2426240"/>
    <s v="129663|948721-2426240"/>
    <s v="TUB-O-C-AUT-AD-FC-29.28X3.400X3.5000"/>
    <x v="1"/>
    <m/>
    <x v="3"/>
    <s v="HR"/>
    <m/>
    <m/>
    <m/>
    <m/>
    <x v="12"/>
    <s v="29.28-0-3.4-CEW-CEW-1"/>
    <n v="1"/>
    <m/>
    <n v="2.338224"/>
    <m/>
    <m/>
    <x v="9"/>
    <x v="9"/>
    <x v="0"/>
    <x v="6"/>
    <n v="1000"/>
    <s v="M"/>
    <m/>
    <m/>
    <m/>
    <m/>
    <n v="0"/>
    <n v="0"/>
    <n v="0"/>
    <n v="0"/>
    <n v="0"/>
    <e v="#DIV/0!"/>
    <n v="0"/>
    <m/>
    <n v="2.338224"/>
    <n v="0"/>
    <n v="0"/>
    <m/>
  </r>
  <r>
    <n v="64"/>
    <s v="Khopoli "/>
    <x v="1"/>
    <s v="ELKAYEM AUTO Hosur"/>
    <x v="1"/>
    <n v="2410960"/>
    <s v="129663|948721-2410960"/>
    <s v="TUB-O-C-AUT-AD-FC-31.75X3.375X04-05"/>
    <x v="1"/>
    <m/>
    <x v="3"/>
    <s v="HR"/>
    <m/>
    <m/>
    <m/>
    <m/>
    <x v="13"/>
    <s v="31.75-25-3.37-CEW-CEW-1"/>
    <n v="2"/>
    <s v="Khopoli"/>
    <n v="0.053089"/>
    <n v="0"/>
    <m/>
    <x v="10"/>
    <x v="10"/>
    <x v="3"/>
    <x v="7"/>
    <n v="1000"/>
    <s v="M"/>
    <m/>
    <m/>
    <n v="2500"/>
    <m/>
    <n v="3621.195"/>
    <n v="-1121.195"/>
    <n v="5.8936128735"/>
    <n v="8.536768587781532"/>
    <n v="-2.643155714281532"/>
    <n v="0"/>
    <n v="0"/>
    <m/>
    <n v="0.053089"/>
    <n v="0"/>
    <n v="5.8936128735"/>
    <m/>
  </r>
  <r>
    <n v="17"/>
    <s v="Hosur"/>
    <x v="1"/>
    <s v="ELKAYEM AUTO Hosur"/>
    <x v="1"/>
    <n v="1939966"/>
    <s v="129663|948721-1939966"/>
    <s v="TUB-O-O-AUT-AW-PE-12.70X1.200X0.4080"/>
    <x v="0"/>
    <m/>
    <x v="0"/>
    <s v="CR"/>
    <m/>
    <m/>
    <m/>
    <m/>
    <x v="14"/>
    <s v="12.7-0-1.2-ERW 1-PE-0.408"/>
    <n v="1"/>
    <s v="Hosur"/>
    <n v="0"/>
    <n v="0"/>
    <m/>
    <x v="0"/>
    <x v="0"/>
    <x v="0"/>
    <x v="2"/>
    <n v="408"/>
    <s v="NOS"/>
    <m/>
    <m/>
    <n v="27000"/>
    <m/>
    <n v="21400"/>
    <n v="5600"/>
    <n v="3.747160699200001"/>
    <n v="2.96997181344"/>
    <n v="0.7771888857600002"/>
    <n v="198.5751505556887"/>
    <n v="0.027559"/>
    <m/>
    <n v="20.176453"/>
    <n v="0"/>
    <n v="3.7196016992"/>
    <m/>
  </r>
  <r>
    <n v="19"/>
    <s v="Hosur"/>
    <x v="1"/>
    <s v="ELKAYEM AUTO Hosur"/>
    <x v="1"/>
    <n v="1939974"/>
    <s v="129663|948721-1939974"/>
    <s v="TUB-O-O-AUT-AW-PE-12.70X1.200X0.7720"/>
    <x v="0"/>
    <m/>
    <x v="0"/>
    <s v="CR"/>
    <m/>
    <m/>
    <m/>
    <m/>
    <x v="14"/>
    <s v="12.7-0-1.2-ERW 1-PE-0.772"/>
    <n v="1"/>
    <s v="Hosur"/>
    <n v="0"/>
    <n v="0"/>
    <m/>
    <x v="0"/>
    <x v="0"/>
    <x v="0"/>
    <x v="2"/>
    <n v="772"/>
    <s v="NOS"/>
    <m/>
    <m/>
    <n v="1000"/>
    <m/>
    <n v="0"/>
    <n v="1000"/>
    <n v="0.2626005864"/>
    <n v="0"/>
    <n v="0.2626005864"/>
    <n v="379.7059304662695"/>
    <n v="0.09971099999999999"/>
    <m/>
    <n v="20.176453"/>
    <n v="0"/>
    <n v="0.1628895864"/>
    <m/>
  </r>
  <r>
    <n v="18"/>
    <s v="Hosur"/>
    <x v="1"/>
    <s v="ELKAYEM AUTO Hosur"/>
    <x v="1"/>
    <m/>
    <s v="129663|948721-"/>
    <m/>
    <x v="0"/>
    <m/>
    <x v="0"/>
    <s v="CR"/>
    <m/>
    <m/>
    <m/>
    <m/>
    <x v="14"/>
    <s v="12.7-0-1.2-ERW 1-PE-1"/>
    <s v="#REF!"/>
    <m/>
    <m/>
    <m/>
    <m/>
    <x v="0"/>
    <x v="0"/>
    <x v="0"/>
    <x v="2"/>
    <n v="1000"/>
    <s v="NOS"/>
    <m/>
    <m/>
    <m/>
    <m/>
    <n v="0"/>
    <n v="0"/>
    <n v="0"/>
    <n v="0"/>
    <n v="0"/>
    <e v="#DIV/0!"/>
    <n v="20.176453"/>
    <m/>
    <n v="20.176453"/>
    <n v="0"/>
    <n v="-20.176453"/>
    <m/>
  </r>
  <r>
    <n v="20"/>
    <s v="Hosur"/>
    <x v="1"/>
    <s v="ELKAYEM AUTO Hosur"/>
    <x v="1"/>
    <s v="NO MATERIAL CODE"/>
    <s v="129663|948721-NO MATERIAL CODE"/>
    <m/>
    <x v="0"/>
    <m/>
    <x v="0"/>
    <s v="HR"/>
    <m/>
    <m/>
    <m/>
    <m/>
    <x v="0"/>
    <s v="12.7-0-1.6-ERW 1-PE-0.252"/>
    <n v="1"/>
    <s v="Hosur"/>
    <n v="0"/>
    <n v="0"/>
    <m/>
    <x v="0"/>
    <x v="0"/>
    <x v="0"/>
    <x v="0"/>
    <n v="252"/>
    <s v="NOS"/>
    <m/>
    <m/>
    <n v="5000"/>
    <m/>
    <n v="0"/>
    <n v="5000"/>
    <n v="0.5515854623999999"/>
    <n v="0"/>
    <n v="0.5515854623999999"/>
    <n v="651.0051922644726"/>
    <n v="0.07181699999999999"/>
    <m/>
    <n v="0.06565699999999999"/>
    <n v="8.986000000000001"/>
    <n v="0.4797684623999999"/>
    <m/>
  </r>
  <r>
    <n v="21"/>
    <s v="Hosur"/>
    <x v="1"/>
    <s v="ELKAYEM AUTO Hosur"/>
    <x v="1"/>
    <m/>
    <s v="129663|948721-"/>
    <m/>
    <x v="0"/>
    <m/>
    <x v="0"/>
    <s v="CR"/>
    <m/>
    <m/>
    <m/>
    <m/>
    <x v="0"/>
    <s v="12.7-0-1.6-ERW 1-PE-0.32"/>
    <n v="2"/>
    <s v="Hosur"/>
    <n v="0"/>
    <n v="0"/>
    <m/>
    <x v="0"/>
    <x v="0"/>
    <x v="0"/>
    <x v="0"/>
    <n v="320"/>
    <s v="NOS"/>
    <m/>
    <m/>
    <n v="5000"/>
    <m/>
    <n v="0"/>
    <n v="5000"/>
    <n v="0.7004259839999999"/>
    <n v="0"/>
    <n v="0.7004259839999999"/>
    <n v="139.0082638624669"/>
    <n v="0.019473"/>
    <m/>
    <n v="0.06565699999999999"/>
    <n v="8.986000000000001"/>
    <n v="0.6809529839999999"/>
    <m/>
  </r>
  <r>
    <m/>
    <s v="Hosur"/>
    <x v="1"/>
    <s v="ELKAYEM AUTO Hosur"/>
    <x v="1"/>
    <n v="4151968"/>
    <s v="129663|948721-4151968"/>
    <s v="TUB-O-N-AUT-AW-PE-12.70X1.600X0.9070"/>
    <x v="0"/>
    <m/>
    <x v="0"/>
    <s v="CR"/>
    <m/>
    <m/>
    <m/>
    <m/>
    <x v="0"/>
    <s v="12.7-0-1.6-ERW 1-PE-0.907"/>
    <n v="1"/>
    <s v="Hosur"/>
    <n v="0"/>
    <n v="0"/>
    <m/>
    <x v="0"/>
    <x v="0"/>
    <x v="0"/>
    <x v="0"/>
    <n v="907"/>
    <s v="NOS"/>
    <m/>
    <m/>
    <n v="7500"/>
    <m/>
    <n v="0"/>
    <n v="7500"/>
    <n v="2.9779048476"/>
    <n v="0"/>
    <n v="2.9779048476"/>
    <n v="0"/>
    <n v="0"/>
    <m/>
    <n v="0.06565699999999999"/>
    <n v="8.986000000000001"/>
    <n v="2.9779048476"/>
    <m/>
  </r>
  <r>
    <n v="22"/>
    <s v="Hosur"/>
    <x v="1"/>
    <s v="ELKAYEM AUTO Hosur"/>
    <x v="1"/>
    <n v="3172238"/>
    <s v="129663|948721-3172238"/>
    <s v="TUB-O-N-AUT-AW-PE-12.70X1.600X0.9500"/>
    <x v="0"/>
    <m/>
    <x v="0"/>
    <s v="CR"/>
    <s v="HROP"/>
    <m/>
    <m/>
    <m/>
    <x v="0"/>
    <s v="12.7-0-1.6-ERW 1-PE-0.95"/>
    <n v="2"/>
    <s v="Hosur"/>
    <n v="0"/>
    <n v="0"/>
    <m/>
    <x v="0"/>
    <x v="0"/>
    <x v="0"/>
    <x v="0"/>
    <n v="950"/>
    <s v="NOS"/>
    <m/>
    <m/>
    <n v="7500"/>
    <m/>
    <n v="7600"/>
    <n v="-100"/>
    <n v="3.11908446"/>
    <n v="3.1606722528"/>
    <n v="-0.04158779280000013"/>
    <n v="33.16117319888157"/>
    <n v="0.013791"/>
    <m/>
    <n v="0.06565699999999999"/>
    <n v="8.986000000000001"/>
    <n v="3.10529346"/>
    <m/>
  </r>
  <r>
    <n v="25"/>
    <s v="Hosur"/>
    <x v="1"/>
    <s v="ELKAYEM AUTO Hosur"/>
    <x v="1"/>
    <n v="1940014"/>
    <s v="129663|948721-1940014"/>
    <s v="TUB-O-O-GEN-AW-PE-12.70X1.600X6.0000"/>
    <x v="0"/>
    <m/>
    <x v="0"/>
    <s v="HR"/>
    <m/>
    <m/>
    <m/>
    <m/>
    <x v="0"/>
    <s v="12.7-0-1.6-ERW 1-PE-6"/>
    <s v="#REF!"/>
    <m/>
    <m/>
    <m/>
    <m/>
    <x v="0"/>
    <x v="0"/>
    <x v="0"/>
    <x v="0"/>
    <n v="6000"/>
    <s v="M"/>
    <m/>
    <m/>
    <m/>
    <m/>
    <n v="0"/>
    <n v="0"/>
    <n v="0"/>
    <n v="0"/>
    <n v="0"/>
    <e v="#DIV/0!"/>
    <n v="0"/>
    <m/>
    <n v="0.06565699999999999"/>
    <n v="8.986000000000001"/>
    <n v="0"/>
    <m/>
  </r>
  <r>
    <n v="27"/>
    <s v="Hosur"/>
    <x v="1"/>
    <s v="ELKAYEM AUTO Hosur"/>
    <x v="1"/>
    <m/>
    <s v="129663|948721-"/>
    <s v="TUB-O-O-AUT-AW-PE-15.88X1.6.000X6.0000"/>
    <x v="0"/>
    <m/>
    <x v="0"/>
    <s v="CR"/>
    <s v="WG"/>
    <m/>
    <m/>
    <m/>
    <x v="15"/>
    <s v="15.88-0-1.6-ERW 1-PE-0.15"/>
    <n v="1"/>
    <s v="Hosur"/>
    <n v="0"/>
    <n v="0"/>
    <m/>
    <x v="1"/>
    <x v="1"/>
    <x v="0"/>
    <x v="0"/>
    <n v="150"/>
    <s v="NOS"/>
    <m/>
    <m/>
    <n v="30000"/>
    <m/>
    <n v="0"/>
    <n v="30000"/>
    <n v="2.534311584"/>
    <n v="0"/>
    <n v="2.534311584"/>
    <n v="26.87120259006006"/>
    <n v="0.00227"/>
    <m/>
    <n v="0"/>
    <n v="3.888"/>
    <n v="2.532041584"/>
    <m/>
  </r>
  <r>
    <n v="28"/>
    <s v="Hosur"/>
    <x v="1"/>
    <s v="ELKAYEM AUTO Hosur"/>
    <x v="1"/>
    <m/>
    <s v="129663|948721-"/>
    <s v="TUB-O-O-AUT-AW-PE-15.88X1.6.000X6.0000"/>
    <x v="0"/>
    <m/>
    <x v="0"/>
    <s v="CR"/>
    <s v="WG"/>
    <m/>
    <m/>
    <m/>
    <x v="15"/>
    <s v="15.88-0-1.6-ERW 1-PE-0.154"/>
    <n v="1"/>
    <s v="Hosur"/>
    <n v="0"/>
    <n v="0"/>
    <m/>
    <x v="1"/>
    <x v="1"/>
    <x v="0"/>
    <x v="0"/>
    <n v="154"/>
    <s v="NOS"/>
    <m/>
    <m/>
    <n v="30000"/>
    <m/>
    <n v="0"/>
    <n v="30000"/>
    <n v="2.60189322624"/>
    <n v="0"/>
    <n v="2.60189322624"/>
    <n v="22.84106027128653"/>
    <n v="0.001981"/>
    <m/>
    <n v="0"/>
    <n v="3.888"/>
    <n v="2.59991222624"/>
    <m/>
  </r>
  <r>
    <n v="29"/>
    <s v="Hosur"/>
    <x v="1"/>
    <s v="ELKAYEM AUTO Hosur"/>
    <x v="1"/>
    <n v="1900224"/>
    <s v="129663|948721-1900224"/>
    <s v="TUB-O-O-AUT-AW-PE-15.88X1.6.000X6.0000"/>
    <x v="0"/>
    <m/>
    <x v="0"/>
    <s v="CR"/>
    <s v="HROP"/>
    <m/>
    <m/>
    <m/>
    <x v="15"/>
    <s v="15.88-0-1.6-ERW 1-PE-1"/>
    <n v="6"/>
    <s v="Hosur"/>
    <m/>
    <m/>
    <m/>
    <x v="1"/>
    <x v="1"/>
    <x v="0"/>
    <x v="0"/>
    <n v="1000"/>
    <s v="M"/>
    <m/>
    <m/>
    <m/>
    <m/>
    <n v="0"/>
    <n v="0"/>
    <n v="0"/>
    <n v="0"/>
    <n v="0"/>
    <e v="#DIV/0!"/>
    <n v="0"/>
    <m/>
    <n v="0"/>
    <n v="3.888"/>
    <n v="0"/>
    <m/>
  </r>
  <r>
    <n v="30"/>
    <s v="Hosur"/>
    <x v="1"/>
    <s v="ELKAYEM AUTO Hosur"/>
    <x v="1"/>
    <n v="468311"/>
    <s v="129663|948721-468311"/>
    <s v="TUB-O-N-AUT-AW-PE-15.88X2.000X0.291"/>
    <x v="0"/>
    <m/>
    <x v="0"/>
    <s v="HR"/>
    <m/>
    <m/>
    <m/>
    <m/>
    <x v="16"/>
    <s v="15.88-0-2-ERW 1-PE-0.291"/>
    <n v="5"/>
    <s v="Hosur"/>
    <m/>
    <m/>
    <m/>
    <x v="1"/>
    <x v="1"/>
    <x v="0"/>
    <x v="8"/>
    <n v="291"/>
    <s v="NOS"/>
    <m/>
    <m/>
    <m/>
    <m/>
    <n v="0"/>
    <n v="0"/>
    <n v="0"/>
    <n v="0"/>
    <n v="0"/>
    <e v="#DIV/0!"/>
    <n v="0.293634"/>
    <m/>
    <n v="0"/>
    <n v="0.244"/>
    <n v="-0.293634"/>
    <m/>
  </r>
  <r>
    <n v="33"/>
    <s v="Khopoli "/>
    <x v="1"/>
    <s v="ELKAYEM AUTO Hosur"/>
    <x v="1"/>
    <n v="1938118"/>
    <s v="129663|948721-1938118"/>
    <s v="TUB-O-N-AUT-AW-PE-17.30X1.600X0.3550"/>
    <x v="0"/>
    <m/>
    <x v="0"/>
    <s v="CR"/>
    <s v="D"/>
    <m/>
    <m/>
    <m/>
    <x v="17"/>
    <s v="17.3-0-1.6-ERW 1-PE-0.355"/>
    <n v="2"/>
    <s v="Khopoli"/>
    <n v="0.09304000000000001"/>
    <n v="0"/>
    <m/>
    <x v="7"/>
    <x v="7"/>
    <x v="0"/>
    <x v="0"/>
    <n v="355"/>
    <s v="NOS"/>
    <m/>
    <m/>
    <n v="20000"/>
    <m/>
    <n v="0"/>
    <n v="20000"/>
    <n v="4.396198448"/>
    <n v="0"/>
    <n v="4.396198448"/>
    <n v="0"/>
    <n v="0"/>
    <m/>
    <n v="0.09304000000000001"/>
    <n v="0"/>
    <n v="4.396198448"/>
    <m/>
  </r>
  <r>
    <n v="34"/>
    <s v="Khopoli "/>
    <x v="1"/>
    <s v="ELKAYEM AUTO Hosur"/>
    <x v="1"/>
    <m/>
    <s v="129663|948721-"/>
    <s v="TUB-O-N-AUT-AW-PE-17.30X1.600X0.3850"/>
    <x v="0"/>
    <m/>
    <x v="0"/>
    <s v="HR"/>
    <m/>
    <m/>
    <m/>
    <m/>
    <x v="17"/>
    <s v="17.3-0-1.6-ERW 1-PE-0.385"/>
    <n v="1"/>
    <m/>
    <m/>
    <m/>
    <m/>
    <x v="7"/>
    <x v="7"/>
    <x v="0"/>
    <x v="0"/>
    <n v="385"/>
    <s v="NOS"/>
    <m/>
    <m/>
    <m/>
    <m/>
    <n v="0"/>
    <n v="0"/>
    <n v="0"/>
    <n v="0"/>
    <n v="0"/>
    <e v="#DIV/0!"/>
    <n v="0"/>
    <m/>
    <n v="0.09304000000000001"/>
    <n v="0"/>
    <n v="0"/>
    <m/>
  </r>
  <r>
    <n v="35"/>
    <s v="Khopoli "/>
    <x v="1"/>
    <s v="ELKAYEM AUTO Hosur"/>
    <x v="1"/>
    <n v="1938119"/>
    <s v="129663|948721-1938119"/>
    <s v="TUB-O-N-AUT-AW-PE-17.30X1.600X0.4000"/>
    <x v="0"/>
    <m/>
    <x v="0"/>
    <s v="CR"/>
    <s v="D"/>
    <m/>
    <m/>
    <m/>
    <x v="17"/>
    <s v="17.3-0-1.6-ERW 1-PE-0.4"/>
    <n v="3"/>
    <s v="Khopoli"/>
    <n v="0.09304000000000001"/>
    <n v="0"/>
    <m/>
    <x v="7"/>
    <x v="7"/>
    <x v="0"/>
    <x v="0"/>
    <n v="400"/>
    <s v="NOS"/>
    <m/>
    <m/>
    <n v="20000"/>
    <m/>
    <n v="1000"/>
    <n v="19000"/>
    <n v="4.953463040000001"/>
    <n v="0.247673152"/>
    <n v="4.705789888000001"/>
    <n v="0"/>
    <n v="0"/>
    <m/>
    <n v="0.09304000000000001"/>
    <n v="0"/>
    <n v="4.953463040000001"/>
    <m/>
  </r>
  <r>
    <n v="43"/>
    <s v="Hosur"/>
    <x v="1"/>
    <s v="ELKAYEM AUTO Hosur"/>
    <x v="1"/>
    <n v="1940284"/>
    <s v="129663|948721-1940284"/>
    <s v="TUB-O-O-AUT-AW-PE-19.05X2.000X0.7850"/>
    <x v="0"/>
    <m/>
    <x v="0"/>
    <s v="HR"/>
    <m/>
    <m/>
    <m/>
    <m/>
    <x v="18"/>
    <s v="19.05-0-2-ERW 1-PE-0.785"/>
    <n v="1"/>
    <s v="Hosur"/>
    <n v="0"/>
    <n v="0"/>
    <m/>
    <x v="2"/>
    <x v="2"/>
    <x v="0"/>
    <x v="8"/>
    <n v="785"/>
    <s v="NOS"/>
    <m/>
    <m/>
    <n v="1000"/>
    <m/>
    <n v="0"/>
    <n v="1000"/>
    <n v="0.6598167565"/>
    <n v="0"/>
    <n v="0.6598167565"/>
    <n v="0"/>
    <n v="0"/>
    <m/>
    <n v="0"/>
    <n v="11.189"/>
    <n v="0.6598167565"/>
    <m/>
  </r>
  <r>
    <n v="44"/>
    <s v="Hosur"/>
    <x v="1"/>
    <s v="ELKAYEM AUTO Hosur"/>
    <x v="1"/>
    <n v="1937438"/>
    <s v="129663|948721-1937438"/>
    <s v="TUB-O-N-AUT-AW-PE-19.05X2.030X0.8300"/>
    <x v="0"/>
    <m/>
    <x v="0"/>
    <s v="HR"/>
    <m/>
    <m/>
    <m/>
    <m/>
    <x v="18"/>
    <s v="19.05-0-2-ERW 1-PE-0.83"/>
    <n v="2"/>
    <s v="Hosur"/>
    <n v="0"/>
    <n v="0"/>
    <m/>
    <x v="2"/>
    <x v="2"/>
    <x v="0"/>
    <x v="8"/>
    <n v="830"/>
    <s v="NOS"/>
    <m/>
    <m/>
    <n v="1000"/>
    <m/>
    <n v="0"/>
    <n v="1000"/>
    <n v="0.6976406470000001"/>
    <n v="0"/>
    <n v="0.6976406470000001"/>
    <n v="0"/>
    <n v="0"/>
    <m/>
    <n v="0"/>
    <n v="11.189"/>
    <n v="0.6976406470000001"/>
    <m/>
  </r>
  <r>
    <n v="45"/>
    <s v="Hosur"/>
    <x v="1"/>
    <s v="ELKAYEM AUTO Hosur"/>
    <x v="1"/>
    <n v="2427712"/>
    <s v="129663|948721-2427712"/>
    <s v="TUB-O-N-AUT-AW-PE-19.05X2.300X0.2550"/>
    <x v="0"/>
    <m/>
    <x v="0"/>
    <s v="HR"/>
    <m/>
    <m/>
    <m/>
    <m/>
    <x v="19"/>
    <s v="19.05-0-2.3-ERW 1-PE-0.255"/>
    <n v="1"/>
    <s v="Hosur"/>
    <n v="28.35719099999999"/>
    <n v="41.353167"/>
    <m/>
    <x v="2"/>
    <x v="2"/>
    <x v="0"/>
    <x v="9"/>
    <n v="255"/>
    <s v="NOS"/>
    <m/>
    <m/>
    <n v="8500"/>
    <m/>
    <n v="1000"/>
    <n v="7500"/>
    <n v="2.0582639064375"/>
    <n v="0.242148694875"/>
    <n v="1.8161152115625"/>
    <n v="31.49717574954161"/>
    <n v="0.007627"/>
    <m/>
    <n v="79.22211800000001"/>
    <n v="6.015"/>
    <n v="2.0506369064375"/>
    <m/>
  </r>
  <r>
    <n v="46"/>
    <s v="Hosur"/>
    <x v="1"/>
    <s v="ELKAYEM AUTO Hosur"/>
    <x v="1"/>
    <n v="2427711"/>
    <s v="129663|948721-2427711"/>
    <s v="TUB-O-N-AUT-AW-PE-19.05X2.300X0.2850"/>
    <x v="0"/>
    <m/>
    <x v="0"/>
    <s v="HR"/>
    <m/>
    <m/>
    <m/>
    <m/>
    <x v="19"/>
    <s v="19.05-0-2.3-ERW 1-PE-0.285"/>
    <n v="1"/>
    <s v="Hosur"/>
    <n v="28.35719099999999"/>
    <n v="41.353167"/>
    <m/>
    <x v="2"/>
    <x v="2"/>
    <x v="0"/>
    <x v="9"/>
    <n v="285"/>
    <s v="NOS"/>
    <m/>
    <m/>
    <n v="5000"/>
    <m/>
    <n v="2000"/>
    <n v="3000"/>
    <n v="1.353183883125"/>
    <n v="0.54127355325"/>
    <n v="0.8119103298750002"/>
    <n v="39.25187157663886"/>
    <n v="0.010623"/>
    <m/>
    <n v="79.22211800000001"/>
    <n v="6.015"/>
    <n v="1.342560883125"/>
    <m/>
  </r>
  <r>
    <n v="47"/>
    <s v="Hosur"/>
    <x v="1"/>
    <s v="ELKAYEM AUTO Hosur"/>
    <x v="1"/>
    <n v="1940313"/>
    <s v="129663|948721-1940313"/>
    <s v="TUB-O-O-AUT-AW-PE-19.05X2.300X0.3030"/>
    <x v="0"/>
    <m/>
    <x v="0"/>
    <s v="HR"/>
    <m/>
    <m/>
    <m/>
    <m/>
    <x v="19"/>
    <s v="19.05-0-2.3-ERW 1-PE-0.303"/>
    <n v="2"/>
    <s v="Hosur"/>
    <n v="28.35719099999999"/>
    <n v="41.353167"/>
    <m/>
    <x v="2"/>
    <x v="2"/>
    <x v="0"/>
    <x v="9"/>
    <n v="303"/>
    <s v="NOS"/>
    <m/>
    <m/>
    <n v="11000"/>
    <m/>
    <n v="2000"/>
    <n v="9000"/>
    <n v="3.165025882424999"/>
    <n v="0.5754592513499999"/>
    <n v="2.589566631074999"/>
    <n v="234.8037670486919"/>
    <n v="0.06756"/>
    <m/>
    <n v="79.22211800000001"/>
    <n v="6.015"/>
    <n v="3.097465882424999"/>
    <m/>
  </r>
  <r>
    <n v="48"/>
    <s v="Hosur"/>
    <x v="1"/>
    <s v="ELKAYEM AUTO Hosur"/>
    <x v="1"/>
    <n v="1940363"/>
    <s v="129663|948721-1940363"/>
    <s v="TUB-O-O-AUT-AW-PE-22.23X1.200X1.1620"/>
    <x v="0"/>
    <m/>
    <x v="0"/>
    <s v="CR"/>
    <m/>
    <m/>
    <m/>
    <m/>
    <x v="20"/>
    <s v="22.23-0-1.2-ERW 1-PE-1.162"/>
    <n v="1"/>
    <s v="Hosur"/>
    <n v="0"/>
    <n v="0.24294"/>
    <m/>
    <x v="11"/>
    <x v="11"/>
    <x v="0"/>
    <x v="2"/>
    <n v="1162"/>
    <s v="NOS"/>
    <m/>
    <m/>
    <n v="9000"/>
    <m/>
    <n v="0"/>
    <n v="9000"/>
    <n v="6.505316951112"/>
    <n v="0"/>
    <n v="6.505316951112"/>
    <n v="832.4421455090401"/>
    <n v="0.6017"/>
    <m/>
    <n v="0.08500000000000001"/>
    <n v="3.104"/>
    <n v="5.903616951112"/>
    <m/>
  </r>
  <r>
    <n v="49"/>
    <s v="Hosur"/>
    <x v="1"/>
    <s v="ELKAYEM AUTO Hosur"/>
    <x v="1"/>
    <n v="3599863"/>
    <s v="129663|948721-3599863"/>
    <s v="TUB-O-N-AUT-AW-PE-22.23X1.600X0.9450"/>
    <x v="0"/>
    <m/>
    <x v="0"/>
    <s v="CR"/>
    <s v="HROP"/>
    <m/>
    <m/>
    <m/>
    <x v="21"/>
    <s v="22.23-0-1.6-ERW 1-PE-0.945"/>
    <n v="1"/>
    <s v="Hosur"/>
    <m/>
    <m/>
    <m/>
    <x v="11"/>
    <x v="11"/>
    <x v="0"/>
    <x v="0"/>
    <n v="945"/>
    <s v="NOS"/>
    <m/>
    <m/>
    <m/>
    <m/>
    <n v="0"/>
    <n v="0"/>
    <n v="0"/>
    <n v="0"/>
    <n v="0"/>
    <e v="#DIV/0!"/>
    <n v="0"/>
    <m/>
    <n v="10.773162"/>
    <n v="0"/>
    <n v="0"/>
    <m/>
  </r>
  <r>
    <n v="50"/>
    <s v="Hosur"/>
    <x v="1"/>
    <s v="ELKAYEM AUTO Hosur"/>
    <x v="1"/>
    <n v="288719"/>
    <s v="129663|948721-288719"/>
    <s v="PT2-O-N-AUT-AW-PE-22.20X2.000X0.715"/>
    <x v="0"/>
    <m/>
    <x v="1"/>
    <s v="HR"/>
    <m/>
    <m/>
    <m/>
    <m/>
    <x v="22"/>
    <s v="22.23-0-2-ERW 1--0.715"/>
    <s v="#REF!"/>
    <m/>
    <m/>
    <m/>
    <m/>
    <x v="11"/>
    <x v="11"/>
    <x v="0"/>
    <x v="8"/>
    <n v="715"/>
    <m/>
    <m/>
    <m/>
    <m/>
    <m/>
    <e v="#N/A"/>
    <e v="#N/A"/>
    <n v="0"/>
    <e v="#N/A"/>
    <e v="#N/A"/>
    <e v="#DIV/0!"/>
    <n v="0"/>
    <m/>
    <n v="0"/>
    <n v="0"/>
    <n v="0"/>
    <m/>
  </r>
  <r>
    <n v="23"/>
    <s v="Hosur"/>
    <x v="1"/>
    <s v="ELKAYEM AUTO Hosur"/>
    <x v="2"/>
    <n v="1940494"/>
    <s v="129663|948722-1940494"/>
    <s v="TUB-O-O-AUT-AW-PE-22.23X2.000X6.0000"/>
    <x v="0"/>
    <m/>
    <x v="2"/>
    <s v="HR"/>
    <m/>
    <m/>
    <m/>
    <m/>
    <x v="23"/>
    <s v="22.23-0-2-ERW 1-FC-1"/>
    <s v="#REF!"/>
    <m/>
    <m/>
    <m/>
    <m/>
    <x v="11"/>
    <x v="11"/>
    <x v="0"/>
    <x v="8"/>
    <n v="1000"/>
    <s v="M"/>
    <m/>
    <m/>
    <m/>
    <m/>
    <n v="0"/>
    <n v="0"/>
    <n v="0"/>
    <n v="0"/>
    <n v="0"/>
    <e v="#DIV/0!"/>
    <n v="0"/>
    <m/>
    <n v="9.168176999999998"/>
    <n v="2.713"/>
    <n v="0"/>
    <m/>
  </r>
  <r>
    <n v="24"/>
    <s v="Hosur"/>
    <x v="1"/>
    <s v="ELKAYEM AUTO Hosur"/>
    <x v="1"/>
    <s v="NO MATERIAL CODE"/>
    <s v="129663|948721-NO MATERIAL CODE"/>
    <m/>
    <x v="0"/>
    <m/>
    <x v="0"/>
    <s v="HR"/>
    <m/>
    <m/>
    <m/>
    <m/>
    <x v="24"/>
    <s v="22.23-0-2.3-ERW 1-PE-0.22"/>
    <n v="1"/>
    <m/>
    <n v="6.810974000000001"/>
    <n v="0"/>
    <m/>
    <x v="11"/>
    <x v="11"/>
    <x v="0"/>
    <x v="9"/>
    <n v="220"/>
    <s v="NOS"/>
    <m/>
    <m/>
    <m/>
    <m/>
    <n v="0"/>
    <n v="0"/>
    <n v="0"/>
    <n v="0"/>
    <n v="0"/>
    <e v="#DIV/0!"/>
    <n v="0"/>
    <m/>
    <n v="6.810974"/>
    <n v="0"/>
    <n v="0"/>
    <m/>
  </r>
  <r>
    <n v="51"/>
    <s v="Hosur"/>
    <x v="1"/>
    <s v="ELKAYEM AUTO Hosur"/>
    <x v="1"/>
    <n v="1413976"/>
    <s v="129663|948721-1413976"/>
    <s v="TUB-O-N-AUT-AH-PE-25.40X2.000X0.3150 HST"/>
    <x v="0"/>
    <m/>
    <x v="2"/>
    <s v="HR"/>
    <m/>
    <m/>
    <m/>
    <m/>
    <x v="25"/>
    <s v="25.4-0-2-ERW 1-FC-0.315"/>
    <s v="#REF!"/>
    <m/>
    <m/>
    <m/>
    <m/>
    <x v="3"/>
    <x v="3"/>
    <x v="0"/>
    <x v="8"/>
    <n v="315"/>
    <s v="NOS"/>
    <m/>
    <m/>
    <m/>
    <m/>
    <n v="0"/>
    <n v="0"/>
    <n v="0"/>
    <n v="0"/>
    <n v="0"/>
    <e v="#DIV/0!"/>
    <n v="0"/>
    <m/>
    <n v="10.739"/>
    <n v="25.931"/>
    <n v="0"/>
    <m/>
  </r>
  <r>
    <n v="52"/>
    <s v="Hosur"/>
    <x v="1"/>
    <s v="ELKAYEM AUTO Hosur"/>
    <x v="1"/>
    <n v="1940588"/>
    <s v="129663|948721-1940588"/>
    <s v="TUB-O-O-AUT-AW-FC-25.40X2.000X0.3550"/>
    <x v="0"/>
    <m/>
    <x v="2"/>
    <s v="HR"/>
    <m/>
    <m/>
    <m/>
    <m/>
    <x v="25"/>
    <s v="25.4-0-2-ERW 1-FC-0.355"/>
    <n v="3"/>
    <s v="Hosur"/>
    <n v="10.051"/>
    <n v="0"/>
    <m/>
    <x v="3"/>
    <x v="3"/>
    <x v="0"/>
    <x v="8"/>
    <n v="355"/>
    <s v="NOS"/>
    <m/>
    <m/>
    <m/>
    <m/>
    <n v="11325"/>
    <n v="-11325"/>
    <n v="0"/>
    <n v="4.637796853949999"/>
    <n v="-4.637796853949999"/>
    <e v="#DIV/0!"/>
    <n v="0.00205"/>
    <m/>
    <n v="10.739"/>
    <n v="25.931"/>
    <n v="-0.00205"/>
    <m/>
  </r>
  <r>
    <n v="55"/>
    <s v="Hosur"/>
    <x v="1"/>
    <s v="ELKAYEM AUTO Hosur"/>
    <x v="1"/>
    <n v="3727212"/>
    <s v="129663|948721-3727212"/>
    <s v="TUB-O-N-AUT-AW-FC-28.58X1.600X0.2150"/>
    <x v="0"/>
    <m/>
    <x v="2"/>
    <s v="CR"/>
    <s v="HROP"/>
    <m/>
    <m/>
    <m/>
    <x v="26"/>
    <s v="28.58-0-1.6-ERW 1-FC-0.215"/>
    <n v="1"/>
    <s v="Hosur"/>
    <n v="0"/>
    <n v="0"/>
    <m/>
    <x v="12"/>
    <x v="12"/>
    <x v="0"/>
    <x v="0"/>
    <n v="215"/>
    <s v="NOS"/>
    <m/>
    <m/>
    <n v="5000"/>
    <m/>
    <n v="2425"/>
    <n v="2575"/>
    <n v="1.1438516344"/>
    <n v="0.5547680426839999"/>
    <n v="0.5890835917160001"/>
    <n v="49.13224609717793"/>
    <n v="0.01124"/>
    <m/>
    <n v="0"/>
    <n v="11.99"/>
    <n v="1.1326116344"/>
    <m/>
  </r>
  <r>
    <n v="56"/>
    <s v="Hosur"/>
    <x v="1"/>
    <s v="ELKAYEM AUTO Hosur"/>
    <x v="1"/>
    <n v="3598957"/>
    <s v="129663|948721-3598957"/>
    <s v="TUB-O-N-AUT-AW-FC-28.58X1.600X0.4140"/>
    <x v="0"/>
    <m/>
    <x v="2"/>
    <s v="CR"/>
    <s v="HROP"/>
    <m/>
    <m/>
    <m/>
    <x v="26"/>
    <s v="28.58-0-1.6-ERW 1-FC-0.414"/>
    <n v="1"/>
    <s v="Hosur"/>
    <n v="0"/>
    <n v="0"/>
    <m/>
    <x v="12"/>
    <x v="12"/>
    <x v="0"/>
    <x v="0"/>
    <n v="414"/>
    <s v="NOS"/>
    <m/>
    <m/>
    <n v="10000"/>
    <m/>
    <n v="21035"/>
    <n v="-11035"/>
    <n v="4.405158852479999"/>
    <n v="9.266251646191678"/>
    <n v="-4.86109279371168"/>
    <n v="17.90627821641266"/>
    <n v="0.007887999999999999"/>
    <m/>
    <n v="0"/>
    <n v="11.99"/>
    <n v="4.397270852479998"/>
    <m/>
  </r>
  <r>
    <n v="57"/>
    <s v="Hosur"/>
    <x v="1"/>
    <s v="ELKAYEM AUTO Hosur"/>
    <x v="1"/>
    <n v="2397074"/>
    <s v="129663|948721-2397074"/>
    <s v="TUB-O-N-AUT-AW-FC-28.58X2.000X0.4690"/>
    <x v="0"/>
    <m/>
    <x v="2"/>
    <s v="HR"/>
    <m/>
    <m/>
    <m/>
    <m/>
    <x v="27"/>
    <s v="28.58-0-2-ERW 1-FC-0.469"/>
    <s v="#REF!"/>
    <m/>
    <m/>
    <m/>
    <m/>
    <x v="12"/>
    <x v="12"/>
    <x v="0"/>
    <x v="8"/>
    <n v="469"/>
    <s v="NOS"/>
    <m/>
    <m/>
    <m/>
    <m/>
    <n v="0"/>
    <n v="0"/>
    <n v="0"/>
    <n v="0"/>
    <n v="0"/>
    <e v="#DIV/0!"/>
    <n v="0"/>
    <m/>
    <n v="6.122461"/>
    <n v="7.87"/>
    <n v="0"/>
    <m/>
  </r>
  <r>
    <n v="58"/>
    <s v="Hosur"/>
    <x v="1"/>
    <s v="ELKAYEM AUTO Hosur"/>
    <x v="1"/>
    <e v="#REF!"/>
    <e v="#REF!"/>
    <s v="TUB-O-N-AUT-AW-FC-28.58X2.000X0.475"/>
    <x v="0"/>
    <m/>
    <x v="2"/>
    <s v="HR"/>
    <m/>
    <m/>
    <m/>
    <m/>
    <x v="27"/>
    <s v="28.58-0-2-ERW 1-FC-0.475"/>
    <n v="1"/>
    <s v="Hosur"/>
    <n v="6.122461"/>
    <n v="0"/>
    <m/>
    <x v="12"/>
    <x v="12"/>
    <x v="0"/>
    <x v="8"/>
    <n v="475"/>
    <s v="NOS"/>
    <m/>
    <m/>
    <n v="11000"/>
    <m/>
    <n v="0"/>
    <n v="11000"/>
    <n v="6.846530888999998"/>
    <n v="0"/>
    <n v="6.846530888999998"/>
    <n v="3.455910793890527"/>
    <n v="0.002151"/>
    <m/>
    <n v="6.122461"/>
    <n v="7.87"/>
    <n v="6.844379888999998"/>
    <m/>
  </r>
  <r>
    <n v="62"/>
    <s v="Hosur"/>
    <x v="1"/>
    <s v="ELKAYEM AUTO Hosur"/>
    <x v="1"/>
    <n v="1932548"/>
    <s v="129663|948721-1932548"/>
    <s v="TUB-S-AW-SHS-25.00X25.00X2.000X6.0000"/>
    <x v="0"/>
    <m/>
    <x v="1"/>
    <s v="HR"/>
    <m/>
    <m/>
    <m/>
    <m/>
    <x v="28"/>
    <s v="25-25-2-ERW 1--6"/>
    <s v="#REF!"/>
    <m/>
    <m/>
    <m/>
    <m/>
    <x v="10"/>
    <x v="13"/>
    <x v="3"/>
    <x v="8"/>
    <n v="6000"/>
    <m/>
    <m/>
    <m/>
    <m/>
    <m/>
    <e v="#N/A"/>
    <e v="#N/A"/>
    <n v="0"/>
    <e v="#N/A"/>
    <e v="#N/A"/>
    <e v="#DIV/0!"/>
    <n v="0"/>
    <m/>
    <n v="0"/>
    <n v="0"/>
    <n v="0"/>
    <m/>
  </r>
  <r>
    <n v="65"/>
    <s v="Hosur"/>
    <x v="1"/>
    <s v="ELKAYEM AUTO Hosur"/>
    <x v="1"/>
    <n v="1155165"/>
    <s v="129663|948721-1155165"/>
    <s v="TUB-O-N-AUT-AW-PE-34.93X1.600X1.726"/>
    <x v="0"/>
    <m/>
    <x v="2"/>
    <s v="HR"/>
    <m/>
    <m/>
    <m/>
    <m/>
    <x v="29"/>
    <s v="34.93-0-1.6-ERW 1-FC-1.726"/>
    <s v="#REF!"/>
    <m/>
    <m/>
    <m/>
    <m/>
    <x v="13"/>
    <x v="14"/>
    <x v="0"/>
    <x v="0"/>
    <n v="1726"/>
    <m/>
    <m/>
    <m/>
    <m/>
    <m/>
    <e v="#N/A"/>
    <e v="#N/A"/>
    <n v="0"/>
    <e v="#N/A"/>
    <e v="#N/A"/>
    <e v="#DIV/0!"/>
    <n v="1.414608"/>
    <m/>
    <n v="0"/>
    <n v="0"/>
    <n v="-1.414608"/>
    <m/>
  </r>
  <r>
    <n v="68"/>
    <s v="Hosur"/>
    <x v="1"/>
    <s v="ELKAYEM AUTO Hosur"/>
    <x v="1"/>
    <n v="3210056"/>
    <s v="129663|948721-3210056"/>
    <s v="TUB-O-N-AUT-AW-PE-34.93X2.000X1.1750"/>
    <x v="0"/>
    <m/>
    <x v="2"/>
    <s v="HR"/>
    <m/>
    <m/>
    <m/>
    <m/>
    <x v="30"/>
    <s v="34.93-0-2-ERW 1-FC-1.175"/>
    <s v="#REF!"/>
    <m/>
    <n v="0"/>
    <m/>
    <m/>
    <x v="13"/>
    <x v="14"/>
    <x v="0"/>
    <x v="8"/>
    <n v="1175"/>
    <s v="NOS"/>
    <m/>
    <m/>
    <m/>
    <m/>
    <n v="0"/>
    <n v="0"/>
    <n v="0"/>
    <n v="0"/>
    <n v="0"/>
    <e v="#DIV/0!"/>
    <n v="0"/>
    <m/>
    <n v="0"/>
    <n v="0"/>
    <n v="0"/>
    <m/>
  </r>
  <r>
    <n v="69"/>
    <s v="Khopoli "/>
    <x v="1"/>
    <s v="ELKAYEM AUTO Hosur"/>
    <x v="1"/>
    <n v="1155164"/>
    <s v="129663|948721-1155164"/>
    <s v="TUB-O-N-AUT-NR-PE-34.93X2.500X1.723"/>
    <x v="0"/>
    <m/>
    <x v="2"/>
    <s v="HR"/>
    <m/>
    <m/>
    <m/>
    <m/>
    <x v="31"/>
    <s v="34.93-0-2.5-ERW 1-FC-1.723"/>
    <s v="#REF!"/>
    <m/>
    <m/>
    <m/>
    <m/>
    <x v="13"/>
    <x v="14"/>
    <x v="0"/>
    <x v="10"/>
    <n v="1723"/>
    <m/>
    <m/>
    <m/>
    <m/>
    <m/>
    <e v="#N/A"/>
    <e v="#N/A"/>
    <n v="0"/>
    <e v="#N/A"/>
    <e v="#N/A"/>
    <e v="#DIV/0!"/>
    <n v="0"/>
    <m/>
    <n v="0"/>
    <n v="0"/>
    <n v="0"/>
    <m/>
  </r>
  <r>
    <n v="70"/>
    <s v="Hosur"/>
    <x v="1"/>
    <s v="ELKAYEM AUTO Hosur"/>
    <x v="1"/>
    <n v="1940815"/>
    <s v="129663|948721-1940815"/>
    <s v="TUB-R-AW-RHS-40.00X20.00X1.600X0.4800"/>
    <x v="0"/>
    <m/>
    <x v="2"/>
    <s v="HR"/>
    <s v="GR1"/>
    <m/>
    <m/>
    <s v="SC"/>
    <x v="32"/>
    <s v="40-20-1.6-ERW 1-FC-0.48"/>
    <n v="1"/>
    <s v="Hosur"/>
    <n v="0"/>
    <n v="0"/>
    <m/>
    <x v="14"/>
    <x v="15"/>
    <x v="4"/>
    <x v="0"/>
    <n v="480"/>
    <s v="NOS"/>
    <m/>
    <m/>
    <n v="10000"/>
    <m/>
    <n v="9940"/>
    <n v="60"/>
    <n v="6.909607679999999"/>
    <n v="6.868150033919999"/>
    <n v="0.04145764607999958"/>
    <n v="23.06932714304266"/>
    <n v="0.01594"/>
    <m/>
    <n v="5.328992"/>
    <n v="1.27"/>
    <n v="6.893667679999999"/>
    <m/>
  </r>
  <r>
    <n v="71"/>
    <s v="Hosur"/>
    <x v="1"/>
    <s v="ELKAYEM AUTO Hosur"/>
    <x v="1"/>
    <n v="1940821"/>
    <s v="129663|948721-1940821"/>
    <s v="TUB-R-AW-RHS-40.00X25.00X1.600X0.5130"/>
    <x v="0"/>
    <m/>
    <x v="2"/>
    <s v="CR"/>
    <s v="GR1"/>
    <m/>
    <m/>
    <s v="SC"/>
    <x v="33"/>
    <s v="40-25-1.6-ERW 1-FC-0.513"/>
    <n v="2"/>
    <s v="Hosur"/>
    <n v="0.618274"/>
    <n v="0"/>
    <m/>
    <x v="15"/>
    <x v="15"/>
    <x v="3"/>
    <x v="0"/>
    <n v="513"/>
    <s v="NOS"/>
    <m/>
    <m/>
    <n v="7500"/>
    <m/>
    <n v="13680"/>
    <n v="-6180"/>
    <n v="6.021013201920001"/>
    <n v="10.98232808030208"/>
    <n v="-4.961314878382082"/>
    <n v="92.39267235331855"/>
    <n v="0.074173"/>
    <m/>
    <n v="0.618274"/>
    <n v="0"/>
    <n v="5.946840201920001"/>
    <m/>
  </r>
  <r>
    <n v="72"/>
    <s v="Hosur"/>
    <x v="1"/>
    <s v="ELKAYEM AUTO Hosur"/>
    <x v="1"/>
    <n v="1940822"/>
    <s v="129663|948721-1940822"/>
    <s v="TUB-R-AW-RHS-40.00X25.00X1.600X0.5360"/>
    <x v="0"/>
    <m/>
    <x v="2"/>
    <s v="CR"/>
    <s v="GR1"/>
    <m/>
    <m/>
    <s v="SC"/>
    <x v="33"/>
    <s v="40-25-1.6-ERW 1-FC-0.536"/>
    <n v="2"/>
    <s v="Hosur"/>
    <n v="0.618274"/>
    <n v="0"/>
    <m/>
    <x v="15"/>
    <x v="15"/>
    <x v="3"/>
    <x v="0"/>
    <n v="536"/>
    <s v="NOS"/>
    <m/>
    <m/>
    <n v="40000"/>
    <m/>
    <n v="21520"/>
    <n v="18480"/>
    <n v="33.55179286528001"/>
    <n v="18.05086456152064"/>
    <n v="15.50092830375937"/>
    <n v="31.09222819146341"/>
    <n v="0.02608"/>
    <m/>
    <n v="0.618274"/>
    <n v="0"/>
    <n v="33.52571286528001"/>
    <m/>
  </r>
  <r>
    <n v="73"/>
    <s v="Hosur"/>
    <x v="1"/>
    <s v="ELKAYEM AUTO Hosur"/>
    <x v="1"/>
    <n v="1940823"/>
    <s v="129663|948721-1940823"/>
    <s v="TUB-R-AW-RHS-40.00X25.00X1.600X0.5600"/>
    <x v="0"/>
    <m/>
    <x v="2"/>
    <s v="CR"/>
    <s v="GR1"/>
    <m/>
    <m/>
    <s v="SC"/>
    <x v="33"/>
    <s v="40-25-1.6-ERW 1-FC-0.56"/>
    <n v="1"/>
    <s v="Hosur"/>
    <n v="0.618274"/>
    <n v="0"/>
    <m/>
    <x v="15"/>
    <x v="15"/>
    <x v="3"/>
    <x v="0"/>
    <n v="560"/>
    <s v="NOS"/>
    <m/>
    <m/>
    <n v="25000"/>
    <m/>
    <n v="15000"/>
    <n v="10000"/>
    <n v="21.908819968"/>
    <n v="13.1452919808"/>
    <n v="8.7635279872"/>
    <n v="9.422004485020379"/>
    <n v="0.008257"/>
    <m/>
    <n v="0.618274"/>
    <n v="0"/>
    <n v="21.900562968"/>
    <m/>
  </r>
  <r>
    <n v="74"/>
    <s v="Hosur"/>
    <x v="1"/>
    <s v="ELKAYEM AUTO Hosur"/>
    <x v="1"/>
    <n v="1940825"/>
    <s v="129663|948721-1940825"/>
    <s v="TUB-R-AW-RHS-40.00X25.00X1.600X0.5850"/>
    <x v="0"/>
    <m/>
    <x v="2"/>
    <s v="CR"/>
    <s v="GR1"/>
    <m/>
    <m/>
    <s v="SC"/>
    <x v="33"/>
    <s v="40-25-1.6-ERW 1-FC-0.585"/>
    <n v="1"/>
    <s v="Hosur"/>
    <n v="0.618274"/>
    <n v="0"/>
    <m/>
    <x v="15"/>
    <x v="15"/>
    <x v="3"/>
    <x v="0"/>
    <n v="585"/>
    <s v="NOS"/>
    <m/>
    <m/>
    <n v="13000"/>
    <m/>
    <n v="2740"/>
    <n v="10260"/>
    <n v="11.90118398976"/>
    <n v="2.5084033947648"/>
    <n v="9.3927805949952"/>
    <n v="11.47818570971902"/>
    <n v="0.010508"/>
    <m/>
    <n v="0.618274"/>
    <n v="0"/>
    <n v="11.89067598976"/>
    <m/>
  </r>
  <r>
    <n v="75"/>
    <s v="Hosur"/>
    <x v="1"/>
    <s v="ELKAYEM AUTO Hosur"/>
    <x v="1"/>
    <n v="1932559"/>
    <s v="129663|948721-1932559"/>
    <s v="TUB-R-AW-RHS-40.00X25.00X2.000X6.0000"/>
    <x v="0"/>
    <m/>
    <x v="2"/>
    <s v="HR"/>
    <m/>
    <m/>
    <m/>
    <s v="SC"/>
    <x v="34"/>
    <s v="40-25-2-ERW 1-FC-1"/>
    <s v="#REF!"/>
    <m/>
    <m/>
    <m/>
    <m/>
    <x v="15"/>
    <x v="15"/>
    <x v="3"/>
    <x v="8"/>
    <n v="1000"/>
    <s v="M"/>
    <m/>
    <m/>
    <m/>
    <m/>
    <n v="0"/>
    <n v="0"/>
    <n v="0"/>
    <n v="0"/>
    <n v="0"/>
    <e v="#DIV/0!"/>
    <n v="0"/>
    <m/>
    <n v="0"/>
    <n v="0"/>
    <n v="0"/>
    <m/>
  </r>
  <r>
    <n v="76"/>
    <s v="Hosur"/>
    <x v="1"/>
    <s v="ELKAYEM AUTO Hosur"/>
    <x v="1"/>
    <n v="3499121"/>
    <s v="129663|948721-3499121"/>
    <s v="TUB-N-AUT-BH-FC-42.70X4.000X0.2900"/>
    <x v="0"/>
    <s v="Annealed"/>
    <x v="2"/>
    <s v="HR"/>
    <m/>
    <m/>
    <m/>
    <m/>
    <x v="35"/>
    <s v="42.7-0-4-ERW 1-FC-0.29"/>
    <s v="#REF!"/>
    <s v="Khopoli"/>
    <m/>
    <m/>
    <m/>
    <x v="16"/>
    <x v="16"/>
    <x v="0"/>
    <x v="11"/>
    <n v="290"/>
    <s v="NOS"/>
    <m/>
    <m/>
    <m/>
    <m/>
    <n v="3200"/>
    <n v="-3200"/>
    <n v="0"/>
    <n v="3.5409373056"/>
    <n v="-3.5409373056"/>
    <e v="#DIV/0!"/>
    <n v="0"/>
    <m/>
    <n v="236.024487"/>
    <n v="0"/>
    <n v="0"/>
    <m/>
  </r>
  <r>
    <n v="77"/>
    <s v="Hosur"/>
    <x v="1"/>
    <s v="ELKAYEM AUTO Hosur"/>
    <x v="1"/>
    <n v="3441727"/>
    <s v="129663|948721-3441727"/>
    <s v="TUB-R-AW-AUT-40.00X30.00X1.600X6.0000"/>
    <x v="0"/>
    <m/>
    <x v="2"/>
    <s v="HR"/>
    <m/>
    <m/>
    <m/>
    <m/>
    <x v="36"/>
    <s v="40-30-1.6-ERW 1-FC-1"/>
    <n v="1"/>
    <m/>
    <m/>
    <m/>
    <m/>
    <x v="17"/>
    <x v="15"/>
    <x v="1"/>
    <x v="0"/>
    <n v="1000"/>
    <s v="M"/>
    <m/>
    <m/>
    <m/>
    <m/>
    <n v="0"/>
    <n v="0"/>
    <n v="0"/>
    <n v="0"/>
    <n v="0"/>
    <e v="#DIV/0!"/>
    <n v="0"/>
    <m/>
    <n v="0.957863"/>
    <n v="0"/>
    <n v="0"/>
    <m/>
  </r>
  <r>
    <n v="78"/>
    <s v="Hosur"/>
    <x v="1"/>
    <s v="ELKAYEM AUTO Hosur"/>
    <x v="1"/>
    <n v="4098592"/>
    <s v="129663|948721-4098592"/>
    <s v="TUB-R-AW-AUT-40.00X30.00X2.000X0.1480"/>
    <x v="0"/>
    <m/>
    <x v="2"/>
    <s v="HR"/>
    <m/>
    <m/>
    <s v="AG"/>
    <m/>
    <x v="37"/>
    <s v="40-30-2-ERW 1-FC-0.149"/>
    <n v="2"/>
    <m/>
    <n v="0"/>
    <n v="0"/>
    <m/>
    <x v="17"/>
    <x v="15"/>
    <x v="1"/>
    <x v="8"/>
    <n v="149"/>
    <s v="NOS"/>
    <m/>
    <m/>
    <n v="40000"/>
    <m/>
    <n v="0"/>
    <n v="40000"/>
    <n v="12.472492596"/>
    <n v="0"/>
    <n v="12.472492596"/>
    <n v="0"/>
    <n v="0"/>
    <m/>
    <n v="0"/>
    <n v="26.636"/>
    <n v="12.472492596"/>
    <m/>
  </r>
  <r>
    <n v="79"/>
    <s v="Hosur"/>
    <x v="1"/>
    <s v="ELKAYEM AUTO Hosur"/>
    <x v="1"/>
    <n v="4098593"/>
    <s v="129663|948721-4098593"/>
    <s v="TUB-R-AW-AUT-40.00X30.00X2.000X0.1620"/>
    <x v="0"/>
    <m/>
    <x v="2"/>
    <s v="HR"/>
    <m/>
    <m/>
    <s v="AG"/>
    <m/>
    <x v="37"/>
    <s v="40-30-2-ERW 1-FC-0.162"/>
    <n v="2"/>
    <m/>
    <n v="0"/>
    <n v="0"/>
    <m/>
    <x v="17"/>
    <x v="15"/>
    <x v="1"/>
    <x v="8"/>
    <n v="162"/>
    <s v="NOS"/>
    <m/>
    <m/>
    <n v="10000"/>
    <m/>
    <n v="1180"/>
    <n v="8820"/>
    <n v="3.390174162"/>
    <n v="0.400040551116"/>
    <n v="2.990133610884"/>
    <n v="1053.762971838731"/>
    <n v="0.357244"/>
    <m/>
    <n v="0"/>
    <n v="26.636"/>
    <n v="3.032930162"/>
    <m/>
  </r>
  <r>
    <n v="80"/>
    <s v="Hosur"/>
    <x v="1"/>
    <s v="ELKAYEM AUTO Hosur"/>
    <x v="1"/>
    <n v="1940840"/>
    <s v="129663|948721-1940840"/>
    <s v="TUB-R-AW-RHS-40.00X30.00X2.000X6.0000"/>
    <x v="0"/>
    <m/>
    <x v="2"/>
    <s v="HR"/>
    <m/>
    <m/>
    <m/>
    <m/>
    <x v="37"/>
    <s v="40-30-2-ERW 1-FC-1"/>
    <s v="#REF!"/>
    <s v="Hosur"/>
    <m/>
    <m/>
    <m/>
    <x v="17"/>
    <x v="15"/>
    <x v="1"/>
    <x v="8"/>
    <n v="1000"/>
    <s v="M"/>
    <m/>
    <m/>
    <m/>
    <m/>
    <n v="0"/>
    <n v="0"/>
    <n v="0"/>
    <n v="0"/>
    <n v="0"/>
    <e v="#DIV/0!"/>
    <n v="0"/>
    <m/>
    <n v="0"/>
    <n v="26.636"/>
    <n v="0"/>
    <m/>
  </r>
  <r>
    <n v="81"/>
    <s v="Hosur"/>
    <x v="1"/>
    <s v="ELKAYEM AUTO Hosur"/>
    <x v="1"/>
    <n v="3453634"/>
    <s v="129663|948721-3453634"/>
    <s v="TUB-O-N-AUT-AW-FC-48.60X2.000X0.5450"/>
    <x v="0"/>
    <m/>
    <x v="1"/>
    <s v="HR"/>
    <m/>
    <m/>
    <m/>
    <m/>
    <x v="38"/>
    <s v="48.6-0-2-ERW 1--0.545"/>
    <s v="#REF!"/>
    <m/>
    <m/>
    <m/>
    <m/>
    <x v="18"/>
    <x v="17"/>
    <x v="0"/>
    <x v="8"/>
    <n v="545"/>
    <s v="NOS"/>
    <m/>
    <m/>
    <m/>
    <m/>
    <n v="0"/>
    <n v="0"/>
    <n v="0"/>
    <n v="0"/>
    <n v="0"/>
    <e v="#DIV/0!"/>
    <n v="0"/>
    <m/>
    <n v="0"/>
    <n v="0"/>
    <n v="0"/>
    <m/>
  </r>
  <r>
    <n v="82"/>
    <s v="Hosur"/>
    <x v="1"/>
    <s v="ELKAYEM AUTO Hosur"/>
    <x v="1"/>
    <n v="3545983"/>
    <s v="129663|948721-3545983"/>
    <s v="CUT-N-AUT-AW-FC-48.60X4.000X0.5950"/>
    <x v="0"/>
    <m/>
    <x v="1"/>
    <s v="HR"/>
    <m/>
    <m/>
    <m/>
    <m/>
    <x v="39"/>
    <s v="48.6-0-4-ERW 1--0.595"/>
    <s v="#REF!"/>
    <m/>
    <m/>
    <m/>
    <m/>
    <x v="18"/>
    <x v="17"/>
    <x v="0"/>
    <x v="11"/>
    <n v="595"/>
    <s v="NOS"/>
    <m/>
    <m/>
    <m/>
    <m/>
    <n v="0"/>
    <n v="0"/>
    <n v="0"/>
    <n v="0"/>
    <n v="0"/>
    <e v="#DIV/0!"/>
    <n v="0"/>
    <m/>
    <n v="0"/>
    <n v="0"/>
    <n v="0"/>
    <m/>
  </r>
  <r>
    <n v="83"/>
    <s v="Hosur"/>
    <x v="1"/>
    <s v="ELKAYEM AUTO Hosur"/>
    <x v="1"/>
    <n v="3164112"/>
    <s v="129663|948721-3164112"/>
    <s v="TUB-E-AW-AUT-59.00X30.00X1.600X0.6410"/>
    <x v="0"/>
    <m/>
    <x v="4"/>
    <s v="HR"/>
    <m/>
    <m/>
    <m/>
    <m/>
    <x v="40"/>
    <s v="59-30-1.6-ERW 1-FIN CUT-0.641"/>
    <s v="#REF!"/>
    <m/>
    <m/>
    <m/>
    <m/>
    <x v="18"/>
    <x v="18"/>
    <x v="1"/>
    <x v="0"/>
    <n v="641"/>
    <s v="NOS"/>
    <m/>
    <m/>
    <m/>
    <m/>
    <n v="0"/>
    <n v="0"/>
    <n v="0"/>
    <n v="0"/>
    <n v="0"/>
    <e v="#DIV/0!"/>
    <n v="17.97494"/>
    <m/>
    <n v="0"/>
    <n v="0.951"/>
    <n v="-17.97494"/>
    <m/>
  </r>
  <r>
    <n v="84"/>
    <s v="Hosur"/>
    <x v="1"/>
    <s v="ELKAYEM AUTO Hosur"/>
    <x v="1"/>
    <n v="2427158"/>
    <s v="129663|948721-2427158"/>
    <s v="TUB-R-AW-AUT-50.00X30.00X1.600X0.6040"/>
    <x v="0"/>
    <m/>
    <x v="2"/>
    <s v="HR"/>
    <s v="HROP"/>
    <m/>
    <m/>
    <m/>
    <x v="6"/>
    <s v="50-30-1.6-ERW 1-FC-0.604"/>
    <n v="1"/>
    <s v="Hosur"/>
    <n v="0"/>
    <n v="0"/>
    <m/>
    <x v="4"/>
    <x v="4"/>
    <x v="1"/>
    <x v="0"/>
    <n v="604"/>
    <s v="NOS"/>
    <m/>
    <m/>
    <n v="32000"/>
    <m/>
    <n v="28275"/>
    <n v="3725"/>
    <n v="37.50345744384"/>
    <n v="33.13782060076799"/>
    <n v="4.365636843072004"/>
    <n v="198.9593629113678"/>
    <n v="0.233177"/>
    <m/>
    <n v="0"/>
    <n v="24.911"/>
    <n v="37.27028044384"/>
    <m/>
  </r>
  <r>
    <n v="85"/>
    <s v="Khopoli "/>
    <x v="1"/>
    <s v="ELKAYEM AUTO Hosur"/>
    <x v="1"/>
    <n v="460176"/>
    <s v="129663|948721-460176"/>
    <s v="PT4-O-N-AUT-NR-AG-57.15X2.000X0.713"/>
    <x v="0"/>
    <m/>
    <x v="1"/>
    <s v="HR"/>
    <m/>
    <m/>
    <m/>
    <m/>
    <x v="41"/>
    <s v="57.15-0-2-ERW 1--0.713"/>
    <s v="#REF!"/>
    <m/>
    <m/>
    <m/>
    <m/>
    <x v="19"/>
    <x v="19"/>
    <x v="0"/>
    <x v="8"/>
    <n v="713"/>
    <s v="NOS"/>
    <m/>
    <m/>
    <m/>
    <m/>
    <n v="0"/>
    <n v="0"/>
    <n v="0"/>
    <n v="0"/>
    <n v="0"/>
    <e v="#DIV/0!"/>
    <n v="0"/>
    <m/>
    <n v="0"/>
    <n v="0"/>
    <n v="0"/>
    <m/>
  </r>
  <r>
    <n v="36"/>
    <s v="Hosur"/>
    <x v="1"/>
    <s v="ELKAYEM AUTO Hosur"/>
    <x v="1"/>
    <n v="3510169"/>
    <s v="129663|948721-3510169"/>
    <s v="CUT-O-N-AUT-AW-FC-19.05X1.600X0.2380"/>
    <x v="2"/>
    <m/>
    <x v="1"/>
    <s v="HR"/>
    <m/>
    <m/>
    <m/>
    <m/>
    <x v="42"/>
    <s v="19.05-0-1.6---0.238"/>
    <s v="#REF!"/>
    <m/>
    <m/>
    <m/>
    <m/>
    <x v="2"/>
    <x v="2"/>
    <x v="0"/>
    <x v="0"/>
    <n v="238"/>
    <m/>
    <m/>
    <m/>
    <m/>
    <m/>
    <e v="#N/A"/>
    <e v="#N/A"/>
    <n v="0"/>
    <e v="#N/A"/>
    <e v="#N/A"/>
    <e v="#DIV/0!"/>
    <n v="0"/>
    <m/>
    <n v="0"/>
    <n v="0"/>
    <n v="0"/>
    <m/>
  </r>
  <r>
    <n v="37"/>
    <s v="Hosur"/>
    <x v="1"/>
    <s v="ELKAYEM AUTO Hosur"/>
    <x v="1"/>
    <n v="464578"/>
    <s v="129663|948721-464578"/>
    <s v="PT2-O-N-AUT-AW-PE-19.05X1.600X0.310"/>
    <x v="2"/>
    <m/>
    <x v="1"/>
    <s v="HR"/>
    <m/>
    <m/>
    <m/>
    <m/>
    <x v="42"/>
    <s v="19.05-0-1.6---0.31"/>
    <s v="#REF!"/>
    <m/>
    <m/>
    <m/>
    <m/>
    <x v="2"/>
    <x v="2"/>
    <x v="0"/>
    <x v="0"/>
    <n v="310"/>
    <m/>
    <m/>
    <m/>
    <m/>
    <m/>
    <e v="#N/A"/>
    <e v="#N/A"/>
    <n v="0"/>
    <e v="#N/A"/>
    <e v="#N/A"/>
    <e v="#DIV/0!"/>
    <n v="0"/>
    <m/>
    <n v="0"/>
    <n v="0"/>
    <n v="0"/>
    <m/>
  </r>
  <r>
    <n v="38"/>
    <s v="Hosur"/>
    <x v="1"/>
    <s v="ELKAYEM AUTO Hosur"/>
    <x v="1"/>
    <n v="3453631"/>
    <s v="129663|948721-3453631"/>
    <s v="TUB-O-N-AUT-AW-FC-19.05X1.600X0.3500"/>
    <x v="2"/>
    <m/>
    <x v="1"/>
    <s v="HR"/>
    <m/>
    <m/>
    <m/>
    <m/>
    <x v="42"/>
    <s v="19.05-0-1.6---0.35"/>
    <s v="#REF!"/>
    <m/>
    <m/>
    <m/>
    <m/>
    <x v="2"/>
    <x v="2"/>
    <x v="0"/>
    <x v="0"/>
    <n v="350"/>
    <m/>
    <m/>
    <m/>
    <m/>
    <m/>
    <e v="#N/A"/>
    <e v="#N/A"/>
    <n v="0"/>
    <e v="#N/A"/>
    <e v="#N/A"/>
    <e v="#DIV/0!"/>
    <n v="0"/>
    <m/>
    <n v="0"/>
    <n v="0"/>
    <n v="0"/>
    <m/>
  </r>
  <r>
    <n v="39"/>
    <s v="Hosur"/>
    <x v="1"/>
    <s v="ELKAYEM AUTO Hosur"/>
    <x v="1"/>
    <n v="1531612"/>
    <s v="129663|948721-1531612"/>
    <s v="TUB-O-N-AUT-AW-PE-19.05X1.600X0.3800"/>
    <x v="2"/>
    <m/>
    <x v="1"/>
    <s v="HR"/>
    <m/>
    <m/>
    <m/>
    <m/>
    <x v="42"/>
    <s v="19.05-0-1.6---0.38"/>
    <s v="#REF!"/>
    <m/>
    <m/>
    <m/>
    <m/>
    <x v="2"/>
    <x v="2"/>
    <x v="0"/>
    <x v="0"/>
    <n v="380"/>
    <m/>
    <m/>
    <m/>
    <m/>
    <m/>
    <e v="#N/A"/>
    <e v="#N/A"/>
    <n v="0"/>
    <e v="#N/A"/>
    <e v="#N/A"/>
    <e v="#DIV/0!"/>
    <n v="0"/>
    <m/>
    <n v="0"/>
    <n v="0"/>
    <n v="0"/>
    <m/>
  </r>
  <r>
    <n v="40"/>
    <s v="Hosur"/>
    <x v="1"/>
    <s v="ELKAYEM AUTO Hosur"/>
    <x v="1"/>
    <n v="3510171"/>
    <s v="129663|948721-3510171"/>
    <s v="CUT-O-N-AUT-AW-FC-19.05X1.600X0.4690"/>
    <x v="2"/>
    <m/>
    <x v="1"/>
    <s v="HR"/>
    <m/>
    <m/>
    <m/>
    <m/>
    <x v="42"/>
    <s v="19.05-0-1.6---0.469"/>
    <s v="#REF!"/>
    <m/>
    <m/>
    <m/>
    <m/>
    <x v="2"/>
    <x v="2"/>
    <x v="0"/>
    <x v="0"/>
    <n v="469"/>
    <m/>
    <m/>
    <m/>
    <m/>
    <m/>
    <e v="#N/A"/>
    <e v="#N/A"/>
    <n v="0"/>
    <e v="#N/A"/>
    <e v="#N/A"/>
    <e v="#DIV/0!"/>
    <n v="0"/>
    <m/>
    <n v="0"/>
    <n v="0"/>
    <n v="0"/>
    <m/>
  </r>
  <r>
    <n v="41"/>
    <s v="Hosur"/>
    <x v="1"/>
    <s v="ELKAYEM AUTO Hosur"/>
    <x v="1"/>
    <n v="3213875"/>
    <s v="129663|948721-3213875"/>
    <s v="TUB-O-N-AUT-AW-PE-19.05X1.60X0.485-MAHS"/>
    <x v="2"/>
    <m/>
    <x v="1"/>
    <s v="HR"/>
    <m/>
    <m/>
    <m/>
    <m/>
    <x v="42"/>
    <s v="19.05-0-1.6---0.485"/>
    <s v="#REF!"/>
    <m/>
    <m/>
    <m/>
    <m/>
    <x v="2"/>
    <x v="2"/>
    <x v="0"/>
    <x v="0"/>
    <n v="485"/>
    <m/>
    <m/>
    <m/>
    <m/>
    <m/>
    <e v="#N/A"/>
    <e v="#N/A"/>
    <n v="0"/>
    <e v="#N/A"/>
    <e v="#N/A"/>
    <e v="#DIV/0!"/>
    <n v="0"/>
    <m/>
    <n v="0"/>
    <n v="0"/>
    <n v="0"/>
    <m/>
  </r>
  <r>
    <n v="42"/>
    <s v="Hosur"/>
    <x v="1"/>
    <s v="ELKAYEM AUTO Hosur"/>
    <x v="1"/>
    <n v="319456"/>
    <s v="129663|948721-319456"/>
    <s v="PT2-O-N-AUT-AW-PE-19.05X1.630X0.336"/>
    <x v="2"/>
    <m/>
    <x v="1"/>
    <s v="HR"/>
    <m/>
    <m/>
    <m/>
    <m/>
    <x v="43"/>
    <s v="19.05-0-1.63---0.336"/>
    <s v="#REF!"/>
    <m/>
    <m/>
    <m/>
    <m/>
    <x v="2"/>
    <x v="2"/>
    <x v="0"/>
    <x v="12"/>
    <n v="336"/>
    <m/>
    <m/>
    <m/>
    <m/>
    <m/>
    <e v="#N/A"/>
    <e v="#N/A"/>
    <n v="0"/>
    <e v="#N/A"/>
    <e v="#N/A"/>
    <e v="#DIV/0!"/>
    <n v="0"/>
    <m/>
    <n v="0"/>
    <n v="0"/>
    <n v="0"/>
    <m/>
  </r>
  <r>
    <n v="53"/>
    <s v="Hosur"/>
    <x v="1"/>
    <s v="ELKAYEM AUTO Hosur"/>
    <x v="1"/>
    <n v="1482265"/>
    <s v="129663|948721-1482265"/>
    <s v="TUB-O-N-AUT-AW-PE-25.40X2.000X0.4780"/>
    <x v="2"/>
    <m/>
    <x v="1"/>
    <s v="HR"/>
    <m/>
    <m/>
    <m/>
    <m/>
    <x v="44"/>
    <s v="25.4-0-2---0.478"/>
    <s v="#REF!"/>
    <m/>
    <m/>
    <m/>
    <m/>
    <x v="3"/>
    <x v="3"/>
    <x v="0"/>
    <x v="8"/>
    <n v="478"/>
    <m/>
    <m/>
    <m/>
    <m/>
    <m/>
    <e v="#N/A"/>
    <e v="#N/A"/>
    <n v="0"/>
    <e v="#N/A"/>
    <e v="#N/A"/>
    <e v="#DIV/0!"/>
    <n v="0"/>
    <m/>
    <n v="0"/>
    <n v="0"/>
    <n v="0"/>
    <m/>
  </r>
  <r>
    <n v="54"/>
    <s v="Hosur"/>
    <x v="1"/>
    <s v="ELKAYEM AUTO Hosur"/>
    <x v="1"/>
    <n v="3218520"/>
    <s v="129663|948721-3218520"/>
    <s v="TUB-O-N-AUT-AW-PE-25.40X2.000X0.4960"/>
    <x v="2"/>
    <m/>
    <x v="1"/>
    <s v="HR"/>
    <m/>
    <m/>
    <m/>
    <m/>
    <x v="44"/>
    <s v="25.4-0-2---0.496"/>
    <s v="#REF!"/>
    <m/>
    <m/>
    <m/>
    <m/>
    <x v="3"/>
    <x v="3"/>
    <x v="0"/>
    <x v="8"/>
    <n v="496"/>
    <m/>
    <m/>
    <m/>
    <m/>
    <m/>
    <e v="#N/A"/>
    <e v="#N/A"/>
    <n v="0"/>
    <e v="#N/A"/>
    <e v="#N/A"/>
    <e v="#DIV/0!"/>
    <n v="0"/>
    <m/>
    <n v="0"/>
    <n v="0"/>
    <n v="0"/>
    <m/>
  </r>
  <r>
    <n v="61"/>
    <s v="Khopoli "/>
    <x v="1"/>
    <s v="ELKAYEM AUTO Hosur"/>
    <x v="1"/>
    <n v="403039"/>
    <s v="129663|948721-403039"/>
    <s v="PT3-I-C-AUT-AD-CH-31.20X3.200X0.295"/>
    <x v="2"/>
    <m/>
    <x v="1"/>
    <s v="HR"/>
    <m/>
    <m/>
    <m/>
    <m/>
    <x v="45"/>
    <s v="37.6-31.2-3.2---0.295"/>
    <s v="#REF!"/>
    <m/>
    <m/>
    <m/>
    <m/>
    <x v="20"/>
    <x v="20"/>
    <x v="5"/>
    <x v="13"/>
    <n v="295"/>
    <m/>
    <m/>
    <m/>
    <m/>
    <m/>
    <e v="#N/A"/>
    <e v="#N/A"/>
    <n v="0"/>
    <e v="#N/A"/>
    <e v="#N/A"/>
    <e v="#DIV/0!"/>
    <n v="0"/>
    <m/>
    <n v="0"/>
    <n v="0"/>
    <n v="0"/>
    <m/>
  </r>
  <r>
    <n v="66"/>
    <s v="Hosur"/>
    <x v="1"/>
    <s v="ELKAYEM AUTO Hosur"/>
    <x v="1"/>
    <n v="1551280"/>
    <s v="129663|948721-1551280"/>
    <s v="TUB-O-N-AUT-AW-PE-34.93X2.000X0.2840"/>
    <x v="2"/>
    <m/>
    <x v="1"/>
    <s v="HR"/>
    <m/>
    <m/>
    <m/>
    <m/>
    <x v="46"/>
    <s v="34.93-0-2---0.284"/>
    <s v="#REF!"/>
    <m/>
    <m/>
    <m/>
    <m/>
    <x v="13"/>
    <x v="14"/>
    <x v="0"/>
    <x v="8"/>
    <n v="284"/>
    <m/>
    <m/>
    <m/>
    <m/>
    <m/>
    <e v="#N/A"/>
    <e v="#N/A"/>
    <n v="0"/>
    <e v="#N/A"/>
    <e v="#N/A"/>
    <e v="#DIV/0!"/>
    <n v="0"/>
    <m/>
    <n v="0"/>
    <n v="0"/>
    <n v="0"/>
    <m/>
  </r>
  <r>
    <n v="67"/>
    <s v="Hosur"/>
    <x v="1"/>
    <s v="ELKAYEM AUTO Hosur"/>
    <x v="1"/>
    <n v="1236370"/>
    <s v="129663|948721-1236370"/>
    <s v="TUB-O-N-AUT-AW-FC-34.93X2.000X0.339"/>
    <x v="2"/>
    <m/>
    <x v="1"/>
    <s v="HR"/>
    <m/>
    <m/>
    <m/>
    <m/>
    <x v="46"/>
    <s v="34.93-0-2---0.339"/>
    <s v="#REF!"/>
    <m/>
    <m/>
    <m/>
    <m/>
    <x v="13"/>
    <x v="14"/>
    <x v="0"/>
    <x v="8"/>
    <n v="339"/>
    <m/>
    <m/>
    <m/>
    <m/>
    <m/>
    <e v="#N/A"/>
    <e v="#N/A"/>
    <n v="0"/>
    <e v="#N/A"/>
    <e v="#N/A"/>
    <e v="#DIV/0!"/>
    <n v="0"/>
    <m/>
    <n v="0"/>
    <n v="0"/>
    <n v="0"/>
    <m/>
  </r>
  <r>
    <m/>
    <s v="Hosur"/>
    <x v="2"/>
    <s v="ELKAYEM AUTO Mysore"/>
    <x v="3"/>
    <m/>
    <s v="940921-"/>
    <m/>
    <x v="1"/>
    <m/>
    <x v="1"/>
    <m/>
    <m/>
    <m/>
    <m/>
    <m/>
    <x v="1"/>
    <m/>
    <m/>
    <m/>
    <m/>
    <m/>
    <m/>
    <x v="6"/>
    <x v="6"/>
    <x v="0"/>
    <x v="3"/>
    <n v="1000"/>
    <s v="M"/>
    <m/>
    <m/>
    <n v="7500"/>
    <m/>
    <n v="0"/>
    <n v="7500"/>
    <n v="6.884465699999999"/>
    <n v="0"/>
    <n v="6.884465699999999"/>
    <n v="0"/>
    <n v="0"/>
    <m/>
    <n v="0"/>
    <n v="0"/>
    <n v="6.884465699999999"/>
    <m/>
  </r>
  <r>
    <m/>
    <s v="Hosur"/>
    <x v="2"/>
    <s v="ELKAYEM AUTO Mysore"/>
    <x v="3"/>
    <m/>
    <s v="940921-"/>
    <m/>
    <x v="1"/>
    <m/>
    <x v="3"/>
    <s v="CEW"/>
    <m/>
    <m/>
    <m/>
    <m/>
    <x v="47"/>
    <s v="28.6-0-2.65-CEW-CEW-1"/>
    <m/>
    <m/>
    <m/>
    <m/>
    <m/>
    <x v="8"/>
    <x v="8"/>
    <x v="0"/>
    <x v="14"/>
    <n v="1000"/>
    <s v="M"/>
    <m/>
    <m/>
    <m/>
    <m/>
    <n v="0"/>
    <n v="0"/>
    <n v="0"/>
    <n v="0"/>
    <n v="0"/>
    <e v="#DIV/0!"/>
    <n v="0"/>
    <m/>
    <n v="0"/>
    <n v="0"/>
    <n v="0"/>
    <m/>
  </r>
  <r>
    <n v="92"/>
    <s v="Hosur"/>
    <x v="2"/>
    <s v="ELKAYEM AUTO Mysore"/>
    <x v="3"/>
    <n v="403039"/>
    <s v="940921-403039"/>
    <s v="PT3-I-C-AUT-AD-CH-31.20X3.200X0.295"/>
    <x v="1"/>
    <m/>
    <x v="3"/>
    <s v="HR"/>
    <m/>
    <s v="Chamferring"/>
    <m/>
    <m/>
    <x v="48"/>
    <s v="37.6-31.2-3.2-CEW-CEW-0.295"/>
    <n v="1"/>
    <s v="Khopoli"/>
    <n v="0"/>
    <n v="0"/>
    <m/>
    <x v="21"/>
    <x v="20"/>
    <x v="5"/>
    <x v="13"/>
    <n v="295"/>
    <s v="NOS"/>
    <m/>
    <m/>
    <n v="5650"/>
    <m/>
    <n v="0"/>
    <n v="5650"/>
    <n v="4.52249598016"/>
    <n v="0"/>
    <n v="4.52249598016"/>
    <n v="0"/>
    <n v="0"/>
    <m/>
    <n v="0"/>
    <n v="0"/>
    <n v="4.52249598016"/>
    <m/>
  </r>
  <r>
    <m/>
    <s v="Hosur"/>
    <x v="2"/>
    <s v="ELKAYEM AUTO Mysore"/>
    <x v="3"/>
    <n v="1900224"/>
    <s v="940921-1900224"/>
    <s v="TUB-O-N-AUT-AP-PE-15.88X1.600X6.0000"/>
    <x v="0"/>
    <m/>
    <x v="0"/>
    <s v="CR"/>
    <m/>
    <m/>
    <m/>
    <m/>
    <x v="15"/>
    <s v="15.88-0-1.6-ERW 1-PE-1"/>
    <n v="6"/>
    <s v="Hosur"/>
    <m/>
    <m/>
    <m/>
    <x v="1"/>
    <x v="1"/>
    <x v="0"/>
    <x v="0"/>
    <n v="1000"/>
    <s v="M"/>
    <m/>
    <m/>
    <n v="4250"/>
    <m/>
    <n v="4248"/>
    <n v="2"/>
    <n v="2.393516496"/>
    <n v="2.392390135296"/>
    <n v="0.001126360704000184"/>
    <n v="0"/>
    <n v="0"/>
    <m/>
    <n v="0"/>
    <n v="3.888"/>
    <n v="2.393516496"/>
    <m/>
  </r>
  <r>
    <m/>
    <s v="Hosur"/>
    <x v="2"/>
    <s v="ELKAYEM AUTO Mysore"/>
    <x v="3"/>
    <m/>
    <s v="940921-"/>
    <m/>
    <x v="0"/>
    <m/>
    <x v="0"/>
    <s v="CR"/>
    <s v="WG"/>
    <m/>
    <m/>
    <m/>
    <x v="15"/>
    <s v="15.88-0-1.6-ERW 1-PE-1"/>
    <n v="6"/>
    <s v="Hosur"/>
    <m/>
    <m/>
    <m/>
    <x v="1"/>
    <x v="1"/>
    <x v="0"/>
    <x v="0"/>
    <n v="1000"/>
    <s v="M"/>
    <m/>
    <m/>
    <m/>
    <m/>
    <n v="4248"/>
    <n v="-4248"/>
    <n v="0"/>
    <n v="2.392390135296"/>
    <n v="-2.392390135296"/>
    <e v="#DIV/0!"/>
    <n v="0"/>
    <m/>
    <n v="0"/>
    <n v="3.888"/>
    <n v="0"/>
    <m/>
  </r>
  <r>
    <n v="87"/>
    <s v="Hosur"/>
    <x v="2"/>
    <s v="ELKAYEM AUTO Mysore"/>
    <x v="3"/>
    <n v="468311"/>
    <s v="940921-468311"/>
    <s v="TUB-O-N-AUT-AW-PE-15.88X2.000X0.291"/>
    <x v="0"/>
    <m/>
    <x v="0"/>
    <s v="HR"/>
    <m/>
    <m/>
    <m/>
    <m/>
    <x v="16"/>
    <s v="15.88-0-2-ERW 1-PE-0.291"/>
    <n v="5"/>
    <s v="Hosur"/>
    <n v="0"/>
    <n v="0"/>
    <m/>
    <x v="1"/>
    <x v="1"/>
    <x v="0"/>
    <x v="8"/>
    <n v="291"/>
    <s v="NOS"/>
    <m/>
    <m/>
    <n v="12400"/>
    <m/>
    <n v="12400"/>
    <n v="0"/>
    <n v="2.469070216416"/>
    <n v="2.469070216416"/>
    <n v="0"/>
    <n v="1474.669118679506"/>
    <n v="0.293634"/>
    <m/>
    <n v="0"/>
    <n v="0.244"/>
    <n v="2.175436216416"/>
    <m/>
  </r>
  <r>
    <n v="88"/>
    <s v="Hosur"/>
    <x v="2"/>
    <s v="ELKAYEM AUTO Mysore"/>
    <x v="3"/>
    <m/>
    <s v="940921-"/>
    <m/>
    <x v="0"/>
    <m/>
    <x v="2"/>
    <s v="HR"/>
    <m/>
    <s v="Chamferring"/>
    <m/>
    <m/>
    <x v="23"/>
    <s v="22.23-0-2-ERW 1-FC-0.706"/>
    <s v="#REF!"/>
    <m/>
    <m/>
    <m/>
    <m/>
    <x v="11"/>
    <x v="11"/>
    <x v="0"/>
    <x v="8"/>
    <n v="706"/>
    <s v="NOS"/>
    <m/>
    <m/>
    <m/>
    <m/>
    <n v="0"/>
    <n v="0"/>
    <n v="0"/>
    <n v="0"/>
    <n v="0"/>
    <e v="#DIV/0!"/>
    <n v="0"/>
    <m/>
    <n v="9.168176999999998"/>
    <n v="2.713"/>
    <n v="0"/>
    <m/>
  </r>
  <r>
    <n v="89"/>
    <s v="Hosur"/>
    <x v="2"/>
    <s v="ELKAYEM AUTO Mysore"/>
    <x v="3"/>
    <n v="288719"/>
    <s v="940921-288719"/>
    <s v="PT2-O-N-AUT-AW-PE-22.20X2.000X0.715"/>
    <x v="0"/>
    <m/>
    <x v="2"/>
    <s v="HR"/>
    <m/>
    <m/>
    <m/>
    <m/>
    <x v="23"/>
    <s v="22.23-0-2-ERW 1-FC-0.715"/>
    <n v="1"/>
    <s v="Hosur"/>
    <n v="7.636460999999999"/>
    <n v="1.531716"/>
    <m/>
    <x v="11"/>
    <x v="11"/>
    <x v="0"/>
    <x v="8"/>
    <n v="715"/>
    <s v="NOS"/>
    <m/>
    <m/>
    <n v="24600"/>
    <m/>
    <n v="4975"/>
    <n v="19625"/>
    <n v="17.54148402006"/>
    <n v="3.5475155690975"/>
    <n v="13.9939684509625"/>
    <n v="6063.381380866555"/>
    <n v="4.323606"/>
    <m/>
    <n v="9.168176999999998"/>
    <n v="2.713"/>
    <n v="13.21787802006"/>
    <m/>
  </r>
  <r>
    <m/>
    <s v="Hosur"/>
    <x v="2"/>
    <s v="ELKAYEM AUTO Mysore"/>
    <x v="3"/>
    <m/>
    <s v="940921-"/>
    <m/>
    <x v="0"/>
    <m/>
    <x v="0"/>
    <s v="HR"/>
    <m/>
    <m/>
    <m/>
    <m/>
    <x v="49"/>
    <s v="22.23-0-2-ERW 1-PE-1"/>
    <m/>
    <m/>
    <n v="5.503906"/>
    <n v="1.047"/>
    <m/>
    <x v="11"/>
    <x v="11"/>
    <x v="0"/>
    <x v="8"/>
    <n v="1000"/>
    <s v="M"/>
    <m/>
    <m/>
    <n v="13700"/>
    <m/>
    <n v="12930"/>
    <n v="769.9999999999982"/>
    <n v="13.662989998"/>
    <n v="12.8950701222"/>
    <n v="0.7679198757999988"/>
    <n v="5153.1620611818"/>
    <n v="5.139241"/>
    <m/>
    <n v="11.690147"/>
    <n v="1.629"/>
    <n v="8.523748998"/>
    <m/>
  </r>
  <r>
    <m/>
    <s v="Hosur"/>
    <x v="2"/>
    <s v="ELKAYEM AUTO Mysore"/>
    <x v="3"/>
    <n v="2404326"/>
    <s v="940921-2404326"/>
    <s v="TUB-O-N-AUT-AW-PE-22.23X2.000X5.5300"/>
    <x v="0"/>
    <m/>
    <x v="2"/>
    <s v="HR"/>
    <m/>
    <m/>
    <m/>
    <m/>
    <x v="23"/>
    <s v="22.23-0-2-ERW 1-FC-1"/>
    <n v="2"/>
    <s v="Hosur"/>
    <s v="Plan"/>
    <m/>
    <m/>
    <x v="11"/>
    <x v="11"/>
    <x v="0"/>
    <x v="8"/>
    <n v="1000"/>
    <s v="M"/>
    <m/>
    <m/>
    <m/>
    <m/>
    <n v="0"/>
    <n v="0"/>
    <n v="0"/>
    <n v="0"/>
    <n v="0"/>
    <e v="#DIV/0!"/>
    <n v="0"/>
    <m/>
    <n v="9.168176999999998"/>
    <n v="2.713"/>
    <n v="0"/>
    <m/>
  </r>
  <r>
    <m/>
    <s v="Hosur"/>
    <x v="2"/>
    <s v="ELKAYEM AUTO Mysore"/>
    <x v="3"/>
    <m/>
    <s v="940921-"/>
    <m/>
    <x v="0"/>
    <m/>
    <x v="2"/>
    <s v="HR"/>
    <m/>
    <m/>
    <m/>
    <m/>
    <x v="25"/>
    <s v="25.4-0-2-ERW 1-FC-0.35"/>
    <n v="1"/>
    <s v="Hosur"/>
    <n v="10.051"/>
    <n v="0"/>
    <m/>
    <x v="3"/>
    <x v="3"/>
    <x v="0"/>
    <x v="8"/>
    <n v="350"/>
    <s v="NOS"/>
    <m/>
    <m/>
    <n v="10400"/>
    <m/>
    <n v="15425"/>
    <n v="-5025"/>
    <n v="4.199006448"/>
    <n v="6.227853313499999"/>
    <n v="-2.028846865499999"/>
    <n v="318.7858881801841"/>
    <n v="0.12871"/>
    <m/>
    <n v="10.739"/>
    <n v="25.931"/>
    <n v="4.070296448"/>
    <m/>
  </r>
  <r>
    <m/>
    <s v="Hosur"/>
    <x v="2"/>
    <s v="ELKAYEM AUTO Mysore"/>
    <x v="3"/>
    <m/>
    <s v="940921-"/>
    <m/>
    <x v="0"/>
    <m/>
    <x v="2"/>
    <m/>
    <m/>
    <m/>
    <m/>
    <m/>
    <x v="1"/>
    <m/>
    <m/>
    <m/>
    <n v="0"/>
    <m/>
    <m/>
    <x v="10"/>
    <x v="10"/>
    <x v="0"/>
    <x v="10"/>
    <n v="193"/>
    <s v="NOS"/>
    <m/>
    <m/>
    <n v="24450"/>
    <m/>
    <n v="0"/>
    <n v="24450"/>
    <n v="8.505529523156248"/>
    <n v="0"/>
    <n v="8.505529523156248"/>
    <n v="0"/>
    <n v="0"/>
    <m/>
    <n v="0"/>
    <n v="0"/>
    <n v="8.505529523156248"/>
    <m/>
  </r>
  <r>
    <n v="90"/>
    <s v="Hosur"/>
    <x v="2"/>
    <s v="ELKAYEM AUTO Mysore"/>
    <x v="3"/>
    <n v="1155165"/>
    <s v="940921-1155165"/>
    <s v="TUB-O-N-AUT-AW-PE-34.93X1.600X1.726"/>
    <x v="0"/>
    <m/>
    <x v="2"/>
    <s v="CR"/>
    <s v=""/>
    <m/>
    <m/>
    <m/>
    <x v="29"/>
    <s v="34.93-0-1.6-ERW 1-FC-1.726"/>
    <n v="2"/>
    <s v="Hosur"/>
    <n v="0"/>
    <n v="0"/>
    <m/>
    <x v="13"/>
    <x v="14"/>
    <x v="0"/>
    <x v="0"/>
    <n v="1726"/>
    <s v="NOS"/>
    <m/>
    <m/>
    <n v="2800"/>
    <m/>
    <n v="1590"/>
    <n v="1210"/>
    <n v="6.352627991001599"/>
    <n v="3.60738518060448"/>
    <n v="2.745242810397119"/>
    <n v="623.5061152031188"/>
    <n v="1.414608"/>
    <m/>
    <n v="0"/>
    <n v="0"/>
    <n v="4.938019991001599"/>
    <m/>
  </r>
  <r>
    <n v="91"/>
    <s v="Hosur"/>
    <x v="2"/>
    <s v="ELKAYEM AUTO Mysore"/>
    <x v="3"/>
    <n v="1940718"/>
    <s v="940921-1940718"/>
    <s v="TUB-O-O-AUT-AW-FC-34.93X2.600X1.7210"/>
    <x v="0"/>
    <m/>
    <x v="2"/>
    <s v="HR"/>
    <m/>
    <m/>
    <m/>
    <m/>
    <x v="50"/>
    <s v="34.93-0-2.6-ERW 1-FC-1.721"/>
    <n v="1"/>
    <s v="Hosur"/>
    <n v="0.759"/>
    <n v="0"/>
    <m/>
    <x v="13"/>
    <x v="14"/>
    <x v="0"/>
    <x v="14"/>
    <n v="1721"/>
    <s v="NOS"/>
    <m/>
    <m/>
    <n v="3000"/>
    <m/>
    <n v="3000"/>
    <n v="0"/>
    <n v="10.697455349646"/>
    <n v="10.697455349646"/>
    <n v="0"/>
    <n v="1452.135624058862"/>
    <n v="5.178052000000001"/>
    <m/>
    <n v="0.759"/>
    <n v="0"/>
    <n v="5.519403349645998"/>
    <m/>
  </r>
  <r>
    <m/>
    <s v="Hosur"/>
    <x v="2"/>
    <s v="ELKAYEM AUTO Mysore"/>
    <x v="3"/>
    <m/>
    <s v="940921-"/>
    <m/>
    <x v="0"/>
    <m/>
    <x v="2"/>
    <m/>
    <m/>
    <m/>
    <m/>
    <m/>
    <x v="1"/>
    <m/>
    <m/>
    <m/>
    <n v="0"/>
    <m/>
    <m/>
    <x v="17"/>
    <x v="15"/>
    <x v="1"/>
    <x v="0"/>
    <n v="264"/>
    <s v="NOS"/>
    <m/>
    <m/>
    <m/>
    <m/>
    <n v="0"/>
    <n v="0"/>
    <n v="0"/>
    <n v="0"/>
    <n v="0"/>
    <e v="#DIV/0!"/>
    <n v="0"/>
    <m/>
    <n v="0"/>
    <n v="0"/>
    <n v="0"/>
    <m/>
  </r>
  <r>
    <m/>
    <s v="Hosur"/>
    <x v="2"/>
    <s v="ELKAYEM AUTO Mysore"/>
    <x v="3"/>
    <m/>
    <s v="940921-"/>
    <m/>
    <x v="0"/>
    <m/>
    <x v="2"/>
    <m/>
    <m/>
    <m/>
    <s v="AG"/>
    <m/>
    <x v="37"/>
    <s v="40-30-2-ERW 1-FC-0.149"/>
    <m/>
    <m/>
    <n v="0"/>
    <n v="0"/>
    <m/>
    <x v="17"/>
    <x v="15"/>
    <x v="1"/>
    <x v="8"/>
    <n v="149"/>
    <s v="NOS"/>
    <m/>
    <m/>
    <n v="25750"/>
    <m/>
    <n v="0"/>
    <n v="25750"/>
    <n v="8.029167108675001"/>
    <n v="0"/>
    <n v="8.029167108675001"/>
    <n v="0"/>
    <n v="0"/>
    <m/>
    <n v="0"/>
    <n v="26.636"/>
    <n v="8.029167108675001"/>
    <m/>
  </r>
  <r>
    <m/>
    <s v="Hosur"/>
    <x v="2"/>
    <s v="ELKAYEM AUTO Mysore"/>
    <x v="3"/>
    <m/>
    <s v="940921-"/>
    <m/>
    <x v="0"/>
    <m/>
    <x v="2"/>
    <m/>
    <m/>
    <m/>
    <s v="AG"/>
    <m/>
    <x v="1"/>
    <m/>
    <m/>
    <m/>
    <n v="0"/>
    <m/>
    <m/>
    <x v="17"/>
    <x v="15"/>
    <x v="1"/>
    <x v="8"/>
    <n v="162"/>
    <s v="NOS"/>
    <m/>
    <m/>
    <n v="3100"/>
    <m/>
    <n v="0"/>
    <n v="3100"/>
    <n v="1.05095399022"/>
    <n v="0"/>
    <n v="1.05095399022"/>
    <n v="0"/>
    <n v="0"/>
    <m/>
    <n v="0"/>
    <n v="0"/>
    <n v="1.05095399022"/>
    <m/>
  </r>
  <r>
    <m/>
    <s v="Hosur"/>
    <x v="2"/>
    <s v="ELKAYEM AUTO Mysore"/>
    <x v="3"/>
    <m/>
    <s v="940921-"/>
    <m/>
    <x v="0"/>
    <m/>
    <x v="2"/>
    <m/>
    <m/>
    <m/>
    <s v="AG"/>
    <m/>
    <x v="37"/>
    <s v="40-30-2-ERW 1-FC-0.162"/>
    <m/>
    <m/>
    <n v="0"/>
    <n v="0"/>
    <m/>
    <x v="17"/>
    <x v="15"/>
    <x v="1"/>
    <x v="8"/>
    <n v="162"/>
    <s v="NOS"/>
    <m/>
    <m/>
    <m/>
    <m/>
    <n v="0"/>
    <n v="0"/>
    <n v="0"/>
    <n v="0"/>
    <n v="0"/>
    <e v="#DIV/0!"/>
    <n v="0.357244"/>
    <m/>
    <n v="0"/>
    <n v="26.636"/>
    <n v="-0.357244"/>
    <m/>
  </r>
  <r>
    <n v="93"/>
    <s v="Hosur"/>
    <x v="2"/>
    <s v="ELKAYEM AUTO Mysore"/>
    <x v="3"/>
    <n v="3164112"/>
    <s v="940921-3164112"/>
    <s v="TUB-E-AW-AUT-59.00X30.00X1.600X0.6410"/>
    <x v="0"/>
    <m/>
    <x v="4"/>
    <s v="HR"/>
    <m/>
    <m/>
    <m/>
    <m/>
    <x v="40"/>
    <s v="59-30-1.6-ERW 1-FIN CUT-0.641"/>
    <n v="2"/>
    <s v="Hosur"/>
    <n v="0"/>
    <n v="0"/>
    <m/>
    <x v="18"/>
    <x v="18"/>
    <x v="1"/>
    <x v="0"/>
    <n v="641"/>
    <s v="NOS"/>
    <m/>
    <m/>
    <n v="13700"/>
    <m/>
    <n v="3320"/>
    <n v="10380"/>
    <n v="16.27780127216"/>
    <n v="3.944693446976"/>
    <n v="12.333107825184"/>
    <n v="15128.37476528074"/>
    <n v="17.97494"/>
    <m/>
    <n v="0"/>
    <n v="0.951"/>
    <n v="-1.697138727839999"/>
    <m/>
  </r>
  <r>
    <n v="94"/>
    <s v="Hosur"/>
    <x v="2"/>
    <s v="ELKAYEM AUTO Mysore"/>
    <x v="3"/>
    <n v="1940879"/>
    <s v="940921-1940879"/>
    <s v="TUB-R-AW-RHS-50.00X30.00X1.600X0.6360"/>
    <x v="0"/>
    <m/>
    <x v="2"/>
    <s v="HR"/>
    <s v="GR1"/>
    <m/>
    <m/>
    <m/>
    <x v="6"/>
    <s v="50-30-1.6-ERW 1-FC-0.636"/>
    <n v="1"/>
    <s v="Hosur"/>
    <n v="0"/>
    <n v="0"/>
    <m/>
    <x v="4"/>
    <x v="4"/>
    <x v="1"/>
    <x v="0"/>
    <n v="636"/>
    <s v="NOS"/>
    <m/>
    <m/>
    <n v="23250"/>
    <m/>
    <n v="7530"/>
    <n v="15720"/>
    <n v="28.69224054336"/>
    <n v="9.292583711462399"/>
    <n v="19.3996568318976"/>
    <n v="1972.335775398213"/>
    <n v="2.43401"/>
    <m/>
    <n v="0"/>
    <n v="24.911"/>
    <n v="26.25823054336"/>
    <m/>
  </r>
  <r>
    <n v="95"/>
    <s v="Hosur"/>
    <x v="2"/>
    <s v="ELKAYEM AUTO Mysore"/>
    <x v="3"/>
    <n v="460176"/>
    <s v="940921-460176"/>
    <s v="PT4-O-N-AUT-NR-AG-57.15X2.000X0.713"/>
    <x v="0"/>
    <m/>
    <x v="2"/>
    <s v="HR"/>
    <m/>
    <m/>
    <s v="AG"/>
    <m/>
    <x v="51"/>
    <s v="57.15-0-2-ERW 1-FC-0.713"/>
    <n v="1"/>
    <s v="Hosur"/>
    <n v="2.455098"/>
    <n v="0.125917"/>
    <m/>
    <x v="19"/>
    <x v="19"/>
    <x v="0"/>
    <x v="8"/>
    <n v="713"/>
    <s v="NOS"/>
    <m/>
    <m/>
    <n v="7150"/>
    <m/>
    <n v="3314"/>
    <n v="3836"/>
    <n v="13.860228461365"/>
    <n v="6.424167429505399"/>
    <n v="7.4360610318596"/>
    <n v="0"/>
    <n v="0"/>
    <m/>
    <n v="2.455098"/>
    <n v="0"/>
    <n v="13.860228461365"/>
    <m/>
  </r>
  <r>
    <n v="97"/>
    <s v="Khopoli "/>
    <x v="3"/>
    <s v="Kay Jay"/>
    <x v="4"/>
    <n v="3940551"/>
    <s v="188934-3940551"/>
    <s v="CUT-O-C-AUT-AD-FC-29.40X4.500X0.3600"/>
    <x v="1"/>
    <m/>
    <x v="3"/>
    <s v="HR"/>
    <m/>
    <s v="Chamferring"/>
    <m/>
    <m/>
    <x v="52"/>
    <s v="29.4-20.4-4.5-CEW-CEW-0.36"/>
    <n v="1"/>
    <s v="Khopoli"/>
    <m/>
    <m/>
    <m/>
    <x v="22"/>
    <x v="21"/>
    <x v="6"/>
    <x v="15"/>
    <n v="360"/>
    <s v="NOS"/>
    <m/>
    <m/>
    <m/>
    <m/>
    <n v="0"/>
    <n v="0"/>
    <n v="0"/>
    <n v="0"/>
    <n v="0"/>
    <e v="#DIV/0!"/>
    <n v="0"/>
    <m/>
    <n v="23.440662"/>
    <n v="0"/>
    <n v="0"/>
    <m/>
  </r>
  <r>
    <n v="104"/>
    <s v="Khopoli "/>
    <x v="3"/>
    <s v="Kay Jay"/>
    <x v="4"/>
    <n v="1930110"/>
    <s v="188934-1930110"/>
    <s v="TUB-O-C-CEW-AD-FC-29.40X4.500X5.2000"/>
    <x v="1"/>
    <m/>
    <x v="3"/>
    <s v="HR"/>
    <m/>
    <m/>
    <m/>
    <m/>
    <x v="52"/>
    <s v="29.4-20.4-4.5-CEW-CEW-5.2"/>
    <s v="#REF!"/>
    <m/>
    <m/>
    <m/>
    <m/>
    <x v="22"/>
    <x v="21"/>
    <x v="6"/>
    <x v="15"/>
    <n v="5200"/>
    <m/>
    <m/>
    <m/>
    <m/>
    <m/>
    <e v="#N/A"/>
    <e v="#N/A"/>
    <n v="0"/>
    <e v="#N/A"/>
    <e v="#N/A"/>
    <e v="#DIV/0!"/>
    <n v="0"/>
    <m/>
    <n v="23.440662"/>
    <n v="0"/>
    <n v="0"/>
    <m/>
  </r>
  <r>
    <n v="96"/>
    <s v="Khopoli "/>
    <x v="3"/>
    <s v="Kay Jay"/>
    <x v="4"/>
    <n v="3190072"/>
    <s v="188934-3190072"/>
    <s v="TUB-O-C-AUT-AD-FC-29.40X4.500X0.3570"/>
    <x v="3"/>
    <m/>
    <x v="3"/>
    <s v="HR"/>
    <m/>
    <s v="Chamferring"/>
    <m/>
    <m/>
    <x v="52"/>
    <s v="29.4-20.4-4.5-CEW-CEW-0.357"/>
    <s v="#REF!"/>
    <m/>
    <n v="23.440662"/>
    <m/>
    <m/>
    <x v="22"/>
    <x v="21"/>
    <x v="6"/>
    <x v="15"/>
    <n v="357"/>
    <s v="NOS"/>
    <m/>
    <m/>
    <n v="45000"/>
    <m/>
    <n v="20730"/>
    <n v="24270"/>
    <n v="44.37025202925"/>
    <n v="20.4398961014745"/>
    <n v="23.9303559277755"/>
    <n v="0"/>
    <n v="0"/>
    <m/>
    <n v="23.440662"/>
    <n v="0"/>
    <n v="44.37025202925"/>
    <m/>
  </r>
  <r>
    <n v="101"/>
    <s v="Khopoli "/>
    <x v="3"/>
    <s v="Kay Jay"/>
    <x v="4"/>
    <n v="3983443"/>
    <s v="188934-3983443"/>
    <s v="CUT-O-C-AUT-AN-FC-29.35X4.400X0.3780"/>
    <x v="4"/>
    <m/>
    <x v="3"/>
    <m/>
    <m/>
    <m/>
    <m/>
    <m/>
    <x v="53"/>
    <s v="29.35-20.4-4.4-CEW STKM 13C-CEW-0.378"/>
    <s v="#REF!"/>
    <m/>
    <m/>
    <m/>
    <m/>
    <x v="23"/>
    <x v="22"/>
    <x v="6"/>
    <x v="16"/>
    <n v="378"/>
    <s v="NOS"/>
    <m/>
    <m/>
    <m/>
    <m/>
    <n v="0"/>
    <n v="0"/>
    <n v="0"/>
    <n v="0"/>
    <n v="0"/>
    <e v="#DIV/0!"/>
    <n v="0"/>
    <m/>
    <n v="0"/>
    <n v="0"/>
    <n v="0"/>
    <m/>
  </r>
  <r>
    <n v="98"/>
    <s v="Khopoli "/>
    <x v="3"/>
    <s v="Kay Jay"/>
    <x v="4"/>
    <n v="1941303"/>
    <s v="188934-1941303"/>
    <s v="TUB-O-C-AUT-AD-FC-29.40X4.500X0.3610"/>
    <x v="4"/>
    <m/>
    <x v="3"/>
    <s v="HR"/>
    <m/>
    <s v="Chamferring"/>
    <m/>
    <m/>
    <x v="54"/>
    <s v="29.4-20.4-4.5-CEW STKM 13C-CEW-0.361"/>
    <n v="1"/>
    <s v="Khopoli"/>
    <n v="10.55328"/>
    <m/>
    <m/>
    <x v="22"/>
    <x v="21"/>
    <x v="6"/>
    <x v="15"/>
    <n v="361"/>
    <s v="NOS"/>
    <m/>
    <m/>
    <n v="20000"/>
    <m/>
    <n v="0"/>
    <n v="20000"/>
    <n v="19.941065649"/>
    <n v="0"/>
    <n v="19.941065649"/>
    <n v="0"/>
    <n v="0"/>
    <m/>
    <n v="102.42428"/>
    <n v="0"/>
    <n v="19.941065649"/>
    <m/>
  </r>
  <r>
    <n v="99"/>
    <s v="Khopoli "/>
    <x v="3"/>
    <s v="Kay Jay"/>
    <x v="4"/>
    <n v="3974533"/>
    <s v="188934-3974533"/>
    <s v="CUT-O-C-AUT-AN-FC-29.35X4.400X0.3630"/>
    <x v="4"/>
    <m/>
    <x v="3"/>
    <s v="HR"/>
    <m/>
    <s v="Chamferring"/>
    <m/>
    <m/>
    <x v="54"/>
    <s v="29.4-20.4-4.5-CEW STKM 13C-CEW-0.363"/>
    <s v="#REF!"/>
    <m/>
    <m/>
    <m/>
    <m/>
    <x v="22"/>
    <x v="21"/>
    <x v="6"/>
    <x v="15"/>
    <n v="363"/>
    <s v="NOS"/>
    <m/>
    <m/>
    <m/>
    <m/>
    <n v="0"/>
    <n v="0"/>
    <n v="0"/>
    <n v="0"/>
    <n v="0"/>
    <e v="#DIV/0!"/>
    <n v="0"/>
    <m/>
    <n v="102.42428"/>
    <n v="0"/>
    <n v="0"/>
    <m/>
  </r>
  <r>
    <n v="100"/>
    <s v="Khopoli "/>
    <x v="3"/>
    <s v="Kay Jay"/>
    <x v="4"/>
    <n v="2359912"/>
    <s v="188934-2359912"/>
    <s v="TUB-O-C-CEW-AD-FC-29.40X4.500X0.3760"/>
    <x v="4"/>
    <m/>
    <x v="3"/>
    <s v="HR"/>
    <m/>
    <s v="Chamferring"/>
    <m/>
    <m/>
    <x v="54"/>
    <s v="29.4-20.4-4.5-CEW STKM 13C-CEW-0.376"/>
    <n v="1"/>
    <s v="Khopoli"/>
    <n v="10.55328"/>
    <m/>
    <m/>
    <x v="22"/>
    <x v="21"/>
    <x v="6"/>
    <x v="15"/>
    <n v="376"/>
    <s v="NOS"/>
    <m/>
    <m/>
    <n v="25000"/>
    <m/>
    <n v="1135"/>
    <n v="23865"/>
    <n v="25.96205223"/>
    <n v="1.178677171242"/>
    <n v="24.783375058758"/>
    <n v="0"/>
    <n v="0"/>
    <m/>
    <n v="102.42428"/>
    <n v="0"/>
    <n v="25.96205223"/>
    <m/>
  </r>
  <r>
    <n v="102"/>
    <s v="Khopoli "/>
    <x v="3"/>
    <s v="Kay Jay"/>
    <x v="4"/>
    <n v="3190073"/>
    <s v="188934-3190073"/>
    <s v="TUB-O-C-AUT-AD-FC-29.40X4.500X0.3850"/>
    <x v="4"/>
    <m/>
    <x v="3"/>
    <s v="HR"/>
    <m/>
    <m/>
    <m/>
    <m/>
    <x v="54"/>
    <s v="29.4-20.4-4.5-CEW STKM 13C-CEW-0.385"/>
    <n v="1"/>
    <m/>
    <n v="10.55328"/>
    <m/>
    <m/>
    <x v="22"/>
    <x v="21"/>
    <x v="6"/>
    <x v="15"/>
    <n v="385"/>
    <s v="NOS"/>
    <m/>
    <m/>
    <n v="6000"/>
    <m/>
    <n v="0"/>
    <n v="6000"/>
    <n v="6.3800362395"/>
    <n v="0"/>
    <n v="6.3800362395"/>
    <n v="0"/>
    <n v="0"/>
    <m/>
    <n v="102.42428"/>
    <n v="0"/>
    <n v="6.3800362395"/>
    <m/>
  </r>
  <r>
    <n v="103"/>
    <s v="Khopoli "/>
    <x v="3"/>
    <s v="Kay Jay"/>
    <x v="4"/>
    <n v="1939282"/>
    <s v="188934-1939282"/>
    <s v="TUB-O-C-CEW-AD-FC-29.40X4.500X0.4500"/>
    <x v="4"/>
    <m/>
    <x v="3"/>
    <s v="HR"/>
    <m/>
    <m/>
    <m/>
    <m/>
    <x v="54"/>
    <s v="29.4-20.4-4.5-CEW STKM 13C-CEW-0.45"/>
    <n v="1"/>
    <s v="Khopoli"/>
    <n v="10.55328"/>
    <m/>
    <m/>
    <x v="22"/>
    <x v="21"/>
    <x v="6"/>
    <x v="15"/>
    <n v="450"/>
    <s v="NOS"/>
    <m/>
    <m/>
    <n v="4000"/>
    <m/>
    <n v="0"/>
    <n v="4000"/>
    <n v="4.971456809999999"/>
    <n v="0"/>
    <n v="4.971456809999999"/>
    <n v="0"/>
    <n v="0"/>
    <m/>
    <n v="102.42428"/>
    <n v="0"/>
    <n v="4.971456809999999"/>
    <m/>
  </r>
  <r>
    <n v="105"/>
    <s v="Hosur"/>
    <x v="4"/>
    <s v="Knitvel"/>
    <x v="5"/>
    <n v="235292"/>
    <s v="819045-235292"/>
    <s v="TUB-O-N-AUT-AW-PE-19.05X2.00X6.000-ERW 1"/>
    <x v="0"/>
    <m/>
    <x v="0"/>
    <s v="HR"/>
    <m/>
    <m/>
    <m/>
    <m/>
    <x v="18"/>
    <s v="19.05-0-2-ERW 1-PE-1"/>
    <n v="1"/>
    <s v="Hosur"/>
    <m/>
    <m/>
    <m/>
    <x v="2"/>
    <x v="2"/>
    <x v="0"/>
    <x v="8"/>
    <n v="1000"/>
    <s v="M"/>
    <m/>
    <m/>
    <n v="4000"/>
    <m/>
    <n v="0"/>
    <n v="4000"/>
    <n v="3.3621236"/>
    <n v="0"/>
    <n v="3.3621236"/>
    <n v="0"/>
    <n v="0"/>
    <m/>
    <n v="0"/>
    <n v="11.189"/>
    <n v="3.3621236"/>
    <m/>
  </r>
  <r>
    <n v="106"/>
    <s v="Hosur"/>
    <x v="4"/>
    <s v="Knitvel"/>
    <x v="5"/>
    <n v="3533249"/>
    <s v="819045-3533249"/>
    <s v="CUT-O-N-AUT-AW-PE-22.20X1.600X1.2220"/>
    <x v="0"/>
    <m/>
    <x v="0"/>
    <s v="CR"/>
    <s v="GR1"/>
    <m/>
    <m/>
    <m/>
    <x v="21"/>
    <s v="22.23-0-1.6-ERW 1-PE-1.222"/>
    <n v="1"/>
    <s v="Hosur"/>
    <m/>
    <m/>
    <m/>
    <x v="11"/>
    <x v="11"/>
    <x v="0"/>
    <x v="0"/>
    <n v="1222"/>
    <s v="NOS"/>
    <m/>
    <m/>
    <m/>
    <m/>
    <n v="7380"/>
    <n v="-7380"/>
    <n v="0"/>
    <n v="7.33746568456512"/>
    <n v="-7.33746568456512"/>
    <e v="#DIV/0!"/>
    <n v="0"/>
    <m/>
    <n v="10.773162"/>
    <n v="0"/>
    <n v="0"/>
    <m/>
  </r>
  <r>
    <n v="107"/>
    <s v="Hosur"/>
    <x v="4"/>
    <s v="Knitvel"/>
    <x v="5"/>
    <n v="3533248"/>
    <s v="819045-3533248"/>
    <s v="CUT-O-N-AUT-AW-PE-22.20X1.600X1.2900"/>
    <x v="0"/>
    <m/>
    <x v="0"/>
    <s v="CR"/>
    <s v="GR1"/>
    <m/>
    <m/>
    <m/>
    <x v="21"/>
    <s v="22.23-0-1.6-ERW 1-PE-1.29"/>
    <n v="1"/>
    <s v="Hosur"/>
    <m/>
    <m/>
    <m/>
    <x v="11"/>
    <x v="11"/>
    <x v="0"/>
    <x v="0"/>
    <n v="1290"/>
    <s v="NOS"/>
    <m/>
    <m/>
    <n v="10000"/>
    <m/>
    <n v="6013"/>
    <n v="3987"/>
    <n v="10.4956230768"/>
    <n v="6.31101815607984"/>
    <n v="4.184604920720161"/>
    <n v="0"/>
    <n v="0"/>
    <m/>
    <n v="10.773162"/>
    <n v="0"/>
    <n v="10.4956230768"/>
    <m/>
  </r>
  <r>
    <n v="111"/>
    <s v="Hosur"/>
    <x v="4"/>
    <s v="Knitvel"/>
    <x v="5"/>
    <n v="3138219"/>
    <s v="819045-3138219"/>
    <s v="TUB-O-N-AUT-AW-FC-34.93X1.200X0.3900"/>
    <x v="0"/>
    <m/>
    <x v="2"/>
    <s v="CR"/>
    <m/>
    <m/>
    <m/>
    <m/>
    <x v="55"/>
    <s v="34.93-0-1.2-ERW 1-FC-0.39"/>
    <s v="#REF!"/>
    <s v="Hosur"/>
    <m/>
    <m/>
    <m/>
    <x v="13"/>
    <x v="14"/>
    <x v="0"/>
    <x v="2"/>
    <n v="390"/>
    <s v="NOS"/>
    <m/>
    <m/>
    <m/>
    <m/>
    <n v="0"/>
    <n v="0"/>
    <n v="0"/>
    <n v="0"/>
    <n v="0"/>
    <e v="#DIV/0!"/>
    <n v="0"/>
    <m/>
    <n v="0"/>
    <n v="0"/>
    <n v="0"/>
    <m/>
  </r>
  <r>
    <n v="113"/>
    <s v="Khopoli "/>
    <x v="4"/>
    <s v="Knitvel"/>
    <x v="5"/>
    <n v="3500714"/>
    <s v="819045-3500714"/>
    <s v="TUB-O-N-AUT-BH-FC-42.70X4.000X5.50-ERW 1"/>
    <x v="0"/>
    <s v="Annealed"/>
    <x v="1"/>
    <s v="HR"/>
    <m/>
    <m/>
    <m/>
    <m/>
    <x v="56"/>
    <s v="42.7-0-4-ERW 1--5.5"/>
    <s v="#REF!"/>
    <m/>
    <m/>
    <m/>
    <m/>
    <x v="16"/>
    <x v="16"/>
    <x v="0"/>
    <x v="11"/>
    <n v="5500"/>
    <m/>
    <m/>
    <m/>
    <m/>
    <m/>
    <e v="#N/A"/>
    <e v="#N/A"/>
    <n v="0"/>
    <e v="#N/A"/>
    <e v="#N/A"/>
    <e v="#DIV/0!"/>
    <n v="0"/>
    <m/>
    <n v="0"/>
    <n v="0"/>
    <n v="0"/>
    <m/>
  </r>
  <r>
    <n v="109"/>
    <s v="Hosur"/>
    <x v="4"/>
    <s v="Knitvel"/>
    <x v="5"/>
    <n v="1940467"/>
    <s v="819045-1940467"/>
    <s v="TUB-O-O-AUT-AW-PE-22.23X2.000X0.8120"/>
    <x v="5"/>
    <m/>
    <x v="0"/>
    <s v="HR"/>
    <s v="ST52AL"/>
    <m/>
    <m/>
    <m/>
    <x v="57"/>
    <s v="22.23-0-2-ERW 2 MAHS-PE-0.812"/>
    <n v="1"/>
    <m/>
    <m/>
    <m/>
    <m/>
    <x v="11"/>
    <x v="11"/>
    <x v="0"/>
    <x v="8"/>
    <n v="812"/>
    <s v="NOS"/>
    <m/>
    <m/>
    <n v="1000"/>
    <m/>
    <n v="500"/>
    <n v="500"/>
    <n v="0.80980641448"/>
    <n v="0.40490320724"/>
    <n v="0.40490320724"/>
    <n v="0"/>
    <n v="0"/>
    <m/>
    <n v="15.668"/>
    <n v="0"/>
    <n v="0.80980641448"/>
    <m/>
  </r>
  <r>
    <n v="108"/>
    <s v="Hosur"/>
    <x v="4"/>
    <s v="Knitvel"/>
    <x v="5"/>
    <n v="3775108"/>
    <s v="819045-3775108"/>
    <s v="CUT-O-N-AUT-AW-PE-22.20X2.000X0.7720"/>
    <x v="2"/>
    <m/>
    <x v="1"/>
    <s v="HR"/>
    <m/>
    <m/>
    <m/>
    <m/>
    <x v="58"/>
    <s v="22.23-0-2---0.772"/>
    <s v="#REF!"/>
    <m/>
    <m/>
    <m/>
    <m/>
    <x v="11"/>
    <x v="11"/>
    <x v="0"/>
    <x v="8"/>
    <n v="772"/>
    <m/>
    <m/>
    <m/>
    <m/>
    <m/>
    <e v="#N/A"/>
    <e v="#N/A"/>
    <n v="0"/>
    <e v="#N/A"/>
    <e v="#N/A"/>
    <e v="#DIV/0!"/>
    <n v="0"/>
    <m/>
    <n v="0"/>
    <n v="0"/>
    <n v="0"/>
    <m/>
  </r>
  <r>
    <n v="110"/>
    <s v="Hosur"/>
    <x v="4"/>
    <s v="Knitvel"/>
    <x v="5"/>
    <m/>
    <s v="819045-"/>
    <m/>
    <x v="2"/>
    <m/>
    <x v="1"/>
    <s v="HR"/>
    <m/>
    <m/>
    <m/>
    <m/>
    <x v="44"/>
    <s v="25.4-0-2---0.6"/>
    <s v="#REF!"/>
    <m/>
    <m/>
    <m/>
    <m/>
    <x v="3"/>
    <x v="3"/>
    <x v="0"/>
    <x v="8"/>
    <n v="600"/>
    <m/>
    <m/>
    <m/>
    <m/>
    <m/>
    <e v="#N/A"/>
    <e v="#N/A"/>
    <n v="0"/>
    <e v="#N/A"/>
    <e v="#N/A"/>
    <e v="#DIV/0!"/>
    <n v="0"/>
    <m/>
    <n v="0"/>
    <n v="0"/>
    <n v="0"/>
    <m/>
  </r>
  <r>
    <n v="112"/>
    <s v="Hosur"/>
    <x v="4"/>
    <s v="Knitvel"/>
    <x v="5"/>
    <n v="3484654"/>
    <s v="819045-3484654"/>
    <s v="TUB-O-N-AUT-AW-PE-34.93X2.000X1.2800"/>
    <x v="2"/>
    <m/>
    <x v="1"/>
    <s v="HR"/>
    <m/>
    <m/>
    <m/>
    <m/>
    <x v="46"/>
    <s v="34.93-0-2---1.28"/>
    <s v="#REF!"/>
    <m/>
    <m/>
    <m/>
    <m/>
    <x v="13"/>
    <x v="14"/>
    <x v="0"/>
    <x v="8"/>
    <n v="1280"/>
    <m/>
    <m/>
    <m/>
    <m/>
    <m/>
    <e v="#N/A"/>
    <e v="#N/A"/>
    <n v="0"/>
    <e v="#N/A"/>
    <e v="#N/A"/>
    <e v="#DIV/0!"/>
    <n v="0"/>
    <m/>
    <n v="0"/>
    <n v="0"/>
    <n v="0"/>
    <m/>
  </r>
  <r>
    <n v="114"/>
    <s v="Hosur"/>
    <x v="4"/>
    <s v="Knitvel"/>
    <x v="5"/>
    <m/>
    <s v="819045-"/>
    <s v="CUT-N-AUT-AW-FC-48.60X3.500X0.5950"/>
    <x v="2"/>
    <m/>
    <x v="1"/>
    <s v="HR"/>
    <m/>
    <m/>
    <m/>
    <m/>
    <x v="59"/>
    <s v="48.6-0-3.5---0.595"/>
    <s v="#REF!"/>
    <m/>
    <m/>
    <m/>
    <m/>
    <x v="18"/>
    <x v="17"/>
    <x v="0"/>
    <x v="17"/>
    <n v="595"/>
    <m/>
    <m/>
    <m/>
    <m/>
    <m/>
    <e v="#N/A"/>
    <e v="#N/A"/>
    <n v="0"/>
    <e v="#N/A"/>
    <e v="#N/A"/>
    <e v="#DIV/0!"/>
    <n v="0"/>
    <m/>
    <n v="0"/>
    <n v="0"/>
    <n v="0"/>
    <m/>
  </r>
  <r>
    <n v="629"/>
    <s v="Khopoli "/>
    <x v="5"/>
    <s v="Laxmi"/>
    <x v="6"/>
    <n v="3228788"/>
    <s v="185254-3228788"/>
    <s v="TUB-O-C-AUT-AD-FC-20.00X1.420X0.2730"/>
    <x v="1"/>
    <m/>
    <x v="3"/>
    <s v="HR"/>
    <m/>
    <m/>
    <m/>
    <m/>
    <x v="60"/>
    <s v="20-17.16-1.42-CEW-CEW-0.273"/>
    <n v="1"/>
    <s v="Khopoli"/>
    <n v="0"/>
    <n v="0"/>
    <m/>
    <x v="24"/>
    <x v="23"/>
    <x v="7"/>
    <x v="18"/>
    <n v="273"/>
    <s v="NOS"/>
    <m/>
    <m/>
    <n v="14000"/>
    <m/>
    <n v="8999.999999999998"/>
    <n v="5000.000000000002"/>
    <n v="2.4855588001608"/>
    <n v="1.597859228674799"/>
    <n v="0.8876995714860003"/>
    <n v="0"/>
    <n v="0"/>
    <m/>
    <n v="0"/>
    <n v="0"/>
    <n v="2.4855588001608"/>
    <m/>
  </r>
  <r>
    <n v="630"/>
    <s v="Khopoli "/>
    <x v="5"/>
    <s v="Laxmi"/>
    <x v="6"/>
    <n v="2256692"/>
    <s v="185254-2256692"/>
    <s v="TUB-O-C-AUT-AD-FC-20.00X1.420X0.2730"/>
    <x v="0"/>
    <m/>
    <x v="4"/>
    <s v="HR"/>
    <m/>
    <m/>
    <m/>
    <m/>
    <x v="40"/>
    <s v="59-30-1.6-ERW 1-FIN CUT-0.645"/>
    <s v="#REF!"/>
    <m/>
    <m/>
    <m/>
    <m/>
    <x v="18"/>
    <x v="18"/>
    <x v="1"/>
    <x v="0"/>
    <n v="645"/>
    <s v="NOS"/>
    <m/>
    <m/>
    <m/>
    <m/>
    <n v="0"/>
    <n v="0"/>
    <n v="0"/>
    <n v="0"/>
    <n v="0"/>
    <e v="#DIV/0!"/>
    <n v="0"/>
    <m/>
    <n v="0"/>
    <n v="0.951"/>
    <n v="0"/>
    <m/>
  </r>
  <r>
    <n v="627"/>
    <s v="Khopoli "/>
    <x v="5"/>
    <s v="Laxmi"/>
    <x v="6"/>
    <n v="3746291"/>
    <s v="185254-3746291"/>
    <s v="CUT-O-N-AUT-BH-FC-63.50X4.000X0.2340"/>
    <x v="0"/>
    <s v="Annealed"/>
    <x v="2"/>
    <s v="HR"/>
    <m/>
    <m/>
    <m/>
    <m/>
    <x v="61"/>
    <s v="63.5-0-4-ERW 1-FC-0.234"/>
    <n v="2"/>
    <s v="Khopoli"/>
    <n v="22.158319"/>
    <n v="5.390000000000001"/>
    <m/>
    <x v="25"/>
    <x v="24"/>
    <x v="0"/>
    <x v="11"/>
    <n v="234"/>
    <s v="NOS"/>
    <m/>
    <m/>
    <n v="10000"/>
    <m/>
    <n v="3539"/>
    <n v="6461"/>
    <n v="13.72752108"/>
    <n v="4.858169710212"/>
    <n v="8.869351369788001"/>
    <n v="0"/>
    <n v="0"/>
    <m/>
    <n v="72.06031900000002"/>
    <n v="0"/>
    <n v="13.72752108"/>
    <m/>
  </r>
  <r>
    <m/>
    <s v="Khopoli "/>
    <x v="5"/>
    <s v="Laxmi"/>
    <x v="6"/>
    <m/>
    <s v="185254-"/>
    <m/>
    <x v="0"/>
    <m/>
    <x v="2"/>
    <m/>
    <m/>
    <m/>
    <m/>
    <m/>
    <x v="61"/>
    <s v="63.5-0-4-ERW 1-FC-0.263"/>
    <m/>
    <m/>
    <n v="22.158319"/>
    <m/>
    <m/>
    <x v="25"/>
    <x v="24"/>
    <x v="0"/>
    <x v="11"/>
    <n v="263"/>
    <s v="NOS"/>
    <m/>
    <m/>
    <n v="1500"/>
    <m/>
    <n v="1105"/>
    <n v="395"/>
    <n v="2.314319259"/>
    <n v="1.70488185413"/>
    <n v="0.60943740487"/>
    <n v="0"/>
    <n v="0"/>
    <m/>
    <n v="72.06031900000002"/>
    <n v="0"/>
    <n v="2.314319259"/>
    <m/>
  </r>
  <r>
    <n v="625"/>
    <s v="Khopoli "/>
    <x v="5"/>
    <s v="Laxmi"/>
    <x v="6"/>
    <n v="4032114"/>
    <s v="185254-4032114"/>
    <s v="TUB-O-N-AUT-AN-FC-54.00X3.000X1.1400"/>
    <x v="6"/>
    <m/>
    <x v="2"/>
    <s v="HR"/>
    <m/>
    <m/>
    <m/>
    <m/>
    <x v="62"/>
    <s v="54-0-3-ERW 2-FC-1.14"/>
    <n v="4"/>
    <s v="Khopoli"/>
    <n v="6.823"/>
    <n v="23.695"/>
    <m/>
    <x v="26"/>
    <x v="25"/>
    <x v="0"/>
    <x v="19"/>
    <n v="1140"/>
    <s v="NOS"/>
    <m/>
    <m/>
    <n v="3000"/>
    <m/>
    <n v="5130"/>
    <n v="-2130"/>
    <n v="12.89783574"/>
    <n v="22.0552991154"/>
    <n v="-9.157463375400001"/>
    <n v="0"/>
    <n v="0"/>
    <m/>
    <n v="44.07900000000001"/>
    <n v="0"/>
    <n v="12.89783574"/>
    <m/>
  </r>
  <r>
    <n v="626"/>
    <s v="Khopoli "/>
    <x v="5"/>
    <s v="Laxmi"/>
    <x v="6"/>
    <n v="1938127"/>
    <s v="185254-1938127"/>
    <s v="TUB-S-AW-SHS-50.00X50.00X1.600X0.8470"/>
    <x v="6"/>
    <m/>
    <x v="0"/>
    <s v="CR"/>
    <s v="D"/>
    <m/>
    <m/>
    <m/>
    <x v="63"/>
    <s v="50-50-1.6-ERW 2-PE-0.847"/>
    <n v="1"/>
    <s v="JSR"/>
    <n v="1.350002999999999"/>
    <n v="12.8511"/>
    <m/>
    <x v="25"/>
    <x v="4"/>
    <x v="8"/>
    <x v="0"/>
    <n v="847"/>
    <s v="NOS"/>
    <m/>
    <m/>
    <n v="2100"/>
    <m/>
    <n v="2115"/>
    <n v="-15"/>
    <n v="4.342228180752"/>
    <n v="4.373244096328801"/>
    <n v="-0.03101591557680017"/>
    <n v="0"/>
    <n v="0"/>
    <m/>
    <n v="14.201103"/>
    <n v="0"/>
    <n v="4.342228180752"/>
    <m/>
  </r>
  <r>
    <n v="628"/>
    <s v="Khopoli "/>
    <x v="5"/>
    <s v="Laxmi"/>
    <x v="6"/>
    <n v="3801263"/>
    <s v="185254-3801263"/>
    <s v="CUT-N-AUT-AN-FC-70.00X3.200X0.5120"/>
    <x v="6"/>
    <s v="Annealed"/>
    <x v="2"/>
    <s v="HR"/>
    <m/>
    <m/>
    <s v="AG"/>
    <m/>
    <x v="64"/>
    <s v="70-0-3.2-ERW 2-FC-0.49"/>
    <n v="1"/>
    <s v="Khopoli"/>
    <m/>
    <m/>
    <m/>
    <x v="27"/>
    <x v="26"/>
    <x v="0"/>
    <x v="13"/>
    <n v="490"/>
    <s v="NOS"/>
    <m/>
    <m/>
    <m/>
    <m/>
    <n v="0"/>
    <n v="0"/>
    <n v="0"/>
    <n v="0"/>
    <n v="0"/>
    <e v="#DIV/0!"/>
    <n v="0"/>
    <m/>
    <n v="38.37393"/>
    <n v="0"/>
    <n v="0"/>
    <m/>
  </r>
  <r>
    <n v="631"/>
    <s v="Khopoli "/>
    <x v="5"/>
    <s v="Laxmi"/>
    <x v="6"/>
    <n v="3801263"/>
    <s v="185254-3801263"/>
    <s v="CUT-N-AUT-AN-FC-70.00X3.200X0.5120"/>
    <x v="6"/>
    <s v="Annealed"/>
    <x v="2"/>
    <s v="HR"/>
    <m/>
    <m/>
    <s v="AG"/>
    <m/>
    <x v="64"/>
    <s v="70-0-3.2-ERW 2-FC-0.512"/>
    <s v="#REF!"/>
    <s v="Khopoli"/>
    <n v="3.577916000000001"/>
    <n v="8.523014"/>
    <m/>
    <x v="27"/>
    <x v="26"/>
    <x v="0"/>
    <x v="13"/>
    <n v="512"/>
    <s v="NOS"/>
    <m/>
    <m/>
    <n v="3000"/>
    <m/>
    <n v="2750"/>
    <n v="250"/>
    <n v="8.093138288639999"/>
    <n v="7.418710097919999"/>
    <n v="0.6744281907199996"/>
    <n v="0"/>
    <n v="0"/>
    <m/>
    <n v="38.37393"/>
    <n v="0"/>
    <n v="8.093138288639999"/>
    <m/>
  </r>
  <r>
    <n v="148"/>
    <s v="Khopoli "/>
    <x v="6"/>
    <s v="Marathwada"/>
    <x v="7"/>
    <n v="1939544"/>
    <s v="189002-1939544"/>
    <s v="TUB-O-C-CEW-AD-FC-25.40X2.500X0.2170"/>
    <x v="1"/>
    <m/>
    <x v="3"/>
    <s v="HR"/>
    <m/>
    <m/>
    <m/>
    <m/>
    <x v="65"/>
    <s v="25.4-0-2.5-CEW-CEW-0.217"/>
    <n v="2"/>
    <s v="Khopoli"/>
    <n v="6.246775000000001"/>
    <n v="0.9916509999999999"/>
    <m/>
    <x v="3"/>
    <x v="3"/>
    <x v="0"/>
    <x v="10"/>
    <n v="217"/>
    <s v="NOS"/>
    <m/>
    <m/>
    <n v="30000"/>
    <m/>
    <n v="17950"/>
    <n v="12050"/>
    <n v="9.186620677499999"/>
    <n v="5.496661372037499"/>
    <n v="3.6899593054625"/>
    <n v="0"/>
    <n v="0"/>
    <m/>
    <n v="6.246775"/>
    <n v="0"/>
    <n v="9.186620677499999"/>
    <m/>
  </r>
  <r>
    <n v="149"/>
    <s v="Khopoli "/>
    <x v="6"/>
    <s v="Marathwada"/>
    <x v="7"/>
    <n v="1941408"/>
    <s v="189002-1941408"/>
    <s v="TUB-O-C-AUT-AD-FC-25.40X2.500X3.7300"/>
    <x v="1"/>
    <m/>
    <x v="1"/>
    <s v="HR"/>
    <m/>
    <m/>
    <m/>
    <m/>
    <x v="66"/>
    <s v="25.4-20.4-2.5-CEW--3.73"/>
    <s v="#REF!"/>
    <m/>
    <m/>
    <m/>
    <m/>
    <x v="3"/>
    <x v="3"/>
    <x v="6"/>
    <x v="10"/>
    <n v="3730"/>
    <s v="NOS"/>
    <m/>
    <m/>
    <m/>
    <m/>
    <n v="0"/>
    <n v="0"/>
    <n v="0"/>
    <n v="0"/>
    <n v="0"/>
    <e v="#DIV/0!"/>
    <n v="0"/>
    <m/>
    <n v="0"/>
    <n v="0"/>
    <n v="0"/>
    <m/>
  </r>
  <r>
    <n v="150"/>
    <s v="Hosur"/>
    <x v="6"/>
    <s v="Marathwada"/>
    <x v="7"/>
    <n v="2410388"/>
    <s v="189002-2410388"/>
    <s v="TUB-O-C-AUT-AD-FC-28.60X2.650X04-05"/>
    <x v="1"/>
    <m/>
    <x v="3"/>
    <s v="HR"/>
    <m/>
    <m/>
    <m/>
    <m/>
    <x v="11"/>
    <s v="28.6-0-2.65-CEW-CEW-1"/>
    <s v="#REF!"/>
    <s v="Khopoli"/>
    <m/>
    <m/>
    <m/>
    <x v="8"/>
    <x v="8"/>
    <x v="0"/>
    <x v="5"/>
    <n v="1000"/>
    <s v="M"/>
    <m/>
    <m/>
    <m/>
    <m/>
    <n v="0"/>
    <n v="0"/>
    <n v="0"/>
    <n v="0"/>
    <n v="0"/>
    <e v="#DIV/0!"/>
    <n v="0"/>
    <m/>
    <n v="0.950682"/>
    <n v="0"/>
    <n v="0"/>
    <m/>
  </r>
  <r>
    <n v="151"/>
    <s v="Khopoli "/>
    <x v="6"/>
    <s v="Marathwada"/>
    <x v="7"/>
    <n v="1942166"/>
    <s v="189002-1942166"/>
    <s v="TUB-O-C-AUT-AD-FC-30.00X2.250X5.9300"/>
    <x v="1"/>
    <m/>
    <x v="1"/>
    <s v="HR"/>
    <m/>
    <m/>
    <m/>
    <m/>
    <x v="67"/>
    <s v="30-25.5-2.25-CEW--1"/>
    <s v="#REF!"/>
    <m/>
    <m/>
    <m/>
    <m/>
    <x v="28"/>
    <x v="27"/>
    <x v="9"/>
    <x v="20"/>
    <n v="1000"/>
    <s v="M"/>
    <m/>
    <m/>
    <m/>
    <m/>
    <n v="0"/>
    <n v="0"/>
    <n v="0"/>
    <n v="0"/>
    <n v="0"/>
    <e v="#DIV/0!"/>
    <n v="0"/>
    <m/>
    <n v="0"/>
    <n v="0"/>
    <n v="0"/>
    <m/>
  </r>
  <r>
    <n v="152"/>
    <s v="Khopoli "/>
    <x v="6"/>
    <s v="Marathwada"/>
    <x v="7"/>
    <n v="2359755"/>
    <s v="189002-2359755"/>
    <s v="TUB-O-C-AUT-AD-FC-30.00X2.250X0.4850"/>
    <x v="1"/>
    <m/>
    <x v="3"/>
    <s v="HR"/>
    <m/>
    <s v="Chamferring"/>
    <m/>
    <m/>
    <x v="68"/>
    <s v="30-25.5-2.25-CEW-CEW-0.485"/>
    <n v="2"/>
    <s v="Khopoli"/>
    <n v="12.114797"/>
    <n v="0"/>
    <m/>
    <x v="29"/>
    <x v="27"/>
    <x v="9"/>
    <x v="20"/>
    <n v="485"/>
    <s v="NOS"/>
    <m/>
    <m/>
    <n v="60000"/>
    <m/>
    <n v="12500"/>
    <n v="47500"/>
    <n v="45.02762237250001"/>
    <n v="9.3807546609375"/>
    <n v="35.64686771156251"/>
    <n v="0"/>
    <n v="0"/>
    <m/>
    <n v="13.387797"/>
    <n v="0"/>
    <n v="45.02762237250001"/>
    <m/>
  </r>
  <r>
    <n v="166"/>
    <s v="Khopoli "/>
    <x v="6"/>
    <s v="Marathwada"/>
    <x v="7"/>
    <n v="1938125"/>
    <s v="189002-1938125"/>
    <s v="TUB-I-C-AUT-AN-FC-34.00X2.500X0.2720"/>
    <x v="1"/>
    <m/>
    <x v="3"/>
    <s v="HR"/>
    <m/>
    <s v="Chamferring"/>
    <m/>
    <m/>
    <x v="69"/>
    <s v="39-34-2.5-CEW-CEW-0.272"/>
    <n v="2"/>
    <s v="Khopoli"/>
    <n v="6.342168"/>
    <n v="0"/>
    <m/>
    <x v="30"/>
    <x v="28"/>
    <x v="10"/>
    <x v="10"/>
    <n v="272"/>
    <s v="NOS"/>
    <m/>
    <m/>
    <n v="60000"/>
    <m/>
    <n v="18580"/>
    <n v="41420"/>
    <n v="36.7072908"/>
    <n v="11.3670243844"/>
    <n v="25.3402664156"/>
    <n v="0"/>
    <n v="0"/>
    <m/>
    <n v="7.421168"/>
    <n v="0"/>
    <n v="36.7072908"/>
    <m/>
  </r>
  <r>
    <n v="167"/>
    <s v="Khopoli "/>
    <x v="6"/>
    <s v="Marathwada"/>
    <x v="7"/>
    <n v="1930116"/>
    <s v="189002-1930116"/>
    <s v="TUB-I-C-AUT-AN-FC-39.00X34.00X4.5000"/>
    <x v="1"/>
    <m/>
    <x v="1"/>
    <s v="HR"/>
    <m/>
    <m/>
    <m/>
    <m/>
    <x v="70"/>
    <s v="39-34-2.5-CEW--1"/>
    <s v="#REF!"/>
    <m/>
    <m/>
    <m/>
    <m/>
    <x v="30"/>
    <x v="28"/>
    <x v="10"/>
    <x v="10"/>
    <n v="1000"/>
    <s v="M"/>
    <m/>
    <m/>
    <m/>
    <m/>
    <n v="0"/>
    <n v="0"/>
    <n v="0"/>
    <n v="0"/>
    <n v="0"/>
    <e v="#DIV/0!"/>
    <n v="0"/>
    <m/>
    <n v="0"/>
    <n v="0"/>
    <n v="0"/>
    <m/>
  </r>
  <r>
    <n v="772"/>
    <s v="Hosur"/>
    <x v="7"/>
    <s v="Marathwada"/>
    <x v="7"/>
    <n v="3239890"/>
    <s v="189002-3239890"/>
    <s v="TUB-O-N-AUT-AW-PE-19.05X1.200X0.3300"/>
    <x v="7"/>
    <m/>
    <x v="0"/>
    <m/>
    <m/>
    <m/>
    <m/>
    <m/>
    <x v="71"/>
    <s v="19.05-0-1.2-CRFH-PE-0.33"/>
    <n v="2"/>
    <s v="Hosur"/>
    <m/>
    <m/>
    <m/>
    <x v="2"/>
    <x v="2"/>
    <x v="0"/>
    <x v="2"/>
    <n v="330"/>
    <s v="NOS"/>
    <m/>
    <m/>
    <n v="2000"/>
    <m/>
    <n v="3500"/>
    <n v="-1500"/>
    <n v="0.3484678428"/>
    <n v="0.6098187249000001"/>
    <n v="-0.2613508821000001"/>
    <n v="0"/>
    <n v="0"/>
    <n v="16.086"/>
    <n v="3500.2613508821"/>
    <n v="16.086"/>
    <n v="0.3484678428"/>
    <m/>
  </r>
  <r>
    <n v="767"/>
    <s v="Hosur"/>
    <x v="7"/>
    <s v="Marathwada"/>
    <x v="7"/>
    <n v="3929540"/>
    <s v="189002-3929540"/>
    <s v="CUT-O-N-AUT-AW-PE-19.05X1.200X0.6820"/>
    <x v="7"/>
    <m/>
    <x v="0"/>
    <m/>
    <m/>
    <m/>
    <m/>
    <m/>
    <x v="71"/>
    <s v="19.05-0-1.2-CRFH-PE-0.682"/>
    <n v="1"/>
    <s v="Hosur"/>
    <m/>
    <m/>
    <m/>
    <x v="2"/>
    <x v="2"/>
    <x v="0"/>
    <x v="2"/>
    <n v="682"/>
    <s v="NOS"/>
    <m/>
    <m/>
    <n v="14000"/>
    <m/>
    <n v="0"/>
    <n v="14000"/>
    <n v="5.041168125840001"/>
    <n v="0"/>
    <n v="5.041168125840001"/>
    <n v="0"/>
    <n v="0"/>
    <n v="16.086"/>
    <n v="-5.041168125840001"/>
    <n v="16.086"/>
    <n v="5.041168125840001"/>
    <m/>
  </r>
  <r>
    <n v="778"/>
    <s v="Hosur"/>
    <x v="7"/>
    <s v="Marathwada"/>
    <x v="7"/>
    <n v="3929692"/>
    <s v="189002-3929692"/>
    <s v="CUT-O-N-AUT-AW-PE-19.05X1.200X1.2300"/>
    <x v="7"/>
    <m/>
    <x v="0"/>
    <m/>
    <m/>
    <m/>
    <m/>
    <m/>
    <x v="71"/>
    <s v="19.05-0-1.2-CRFH-PE-1.23"/>
    <n v="3"/>
    <s v="Hosur"/>
    <m/>
    <m/>
    <m/>
    <x v="2"/>
    <x v="2"/>
    <x v="0"/>
    <x v="2"/>
    <n v="1230"/>
    <s v="NOS"/>
    <m/>
    <m/>
    <n v="7000"/>
    <m/>
    <n v="3500"/>
    <n v="3500"/>
    <n v="4.5459214038"/>
    <n v="2.2729607019"/>
    <n v="2.2729607019"/>
    <n v="0"/>
    <n v="0"/>
    <n v="16.086"/>
    <n v="3497.7270392981"/>
    <n v="16.086"/>
    <n v="4.5459214038"/>
    <m/>
  </r>
  <r>
    <n v="758"/>
    <s v="Hosur"/>
    <x v="7"/>
    <s v="Marathwada"/>
    <x v="7"/>
    <n v="3931834"/>
    <s v="189002-3931834"/>
    <s v="CUT-R-AW-AUT-19.00X19.00X1.000X0.1000"/>
    <x v="7"/>
    <m/>
    <x v="0"/>
    <s v="CR"/>
    <m/>
    <m/>
    <m/>
    <m/>
    <x v="72"/>
    <s v="19-19-1-CRFH-PE-0.1"/>
    <n v="3"/>
    <s v="Hosur"/>
    <m/>
    <m/>
    <m/>
    <x v="31"/>
    <x v="29"/>
    <x v="11"/>
    <x v="1"/>
    <n v="100"/>
    <s v="NOS"/>
    <m/>
    <m/>
    <m/>
    <m/>
    <n v="2000"/>
    <n v="-2000"/>
    <n v="0"/>
    <n v="0.110526116"/>
    <n v="-0.110526116"/>
    <e v="#DIV/0!"/>
    <n v="15.867808"/>
    <n v="41.765"/>
    <n v="2000.110526116"/>
    <n v="41.765"/>
    <n v="-15.867808"/>
    <m/>
  </r>
  <r>
    <n v="765"/>
    <s v="Hosur"/>
    <x v="7"/>
    <s v="Marathwada"/>
    <x v="7"/>
    <n v="3931835"/>
    <s v="189002-3931835"/>
    <s v="CUT-R-AW-AUT-19.00X19.00X1.000X0.1100"/>
    <x v="7"/>
    <m/>
    <x v="0"/>
    <s v="CR"/>
    <m/>
    <m/>
    <m/>
    <m/>
    <x v="72"/>
    <s v="19-19-1-CRFH-PE-0.11"/>
    <n v="4"/>
    <s v="Hosur"/>
    <m/>
    <m/>
    <m/>
    <x v="31"/>
    <x v="29"/>
    <x v="11"/>
    <x v="1"/>
    <n v="110"/>
    <s v="NOS"/>
    <m/>
    <m/>
    <m/>
    <m/>
    <n v="1000"/>
    <n v="-1000"/>
    <n v="0"/>
    <n v="0.06078936380000001"/>
    <n v="-0.06078936380000001"/>
    <e v="#DIV/0!"/>
    <n v="15.867808"/>
    <n v="41.765"/>
    <n v="1000.0607893638"/>
    <n v="41.765"/>
    <n v="-15.867808"/>
    <m/>
  </r>
  <r>
    <n v="759"/>
    <s v="Hosur"/>
    <x v="7"/>
    <s v="Marathwada"/>
    <x v="7"/>
    <n v="4151428"/>
    <s v="189002-4151428"/>
    <s v="TUB-S-AW-AUT-19.00X19.00X1.000X0.1150"/>
    <x v="7"/>
    <m/>
    <x v="0"/>
    <s v="CR"/>
    <m/>
    <m/>
    <m/>
    <m/>
    <x v="72"/>
    <s v="19-19-1-CRFH-PE-0.115"/>
    <n v="2"/>
    <s v="Hosur"/>
    <m/>
    <m/>
    <m/>
    <x v="31"/>
    <x v="29"/>
    <x v="11"/>
    <x v="1"/>
    <n v="115"/>
    <s v="NOS"/>
    <m/>
    <m/>
    <m/>
    <m/>
    <n v="1000"/>
    <n v="-1000"/>
    <n v="0"/>
    <n v="0.06355251670000001"/>
    <n v="-0.06355251670000001"/>
    <e v="#DIV/0!"/>
    <n v="15.867808"/>
    <n v="41.765"/>
    <n v="1000.0635525167"/>
    <n v="41.765"/>
    <n v="-15.867808"/>
    <m/>
  </r>
  <r>
    <n v="773"/>
    <s v="Hosur"/>
    <x v="7"/>
    <s v="Marathwada"/>
    <x v="7"/>
    <n v="3938687"/>
    <s v="189002-3938687"/>
    <s v="TUB-S-AW-AUT-19.00X19.00X1.000X0.1290"/>
    <x v="7"/>
    <m/>
    <x v="0"/>
    <s v="CR"/>
    <m/>
    <m/>
    <m/>
    <m/>
    <x v="72"/>
    <s v="19-19-1-CRFH-PE-0.129"/>
    <n v="4"/>
    <s v="Hosur"/>
    <m/>
    <m/>
    <m/>
    <x v="31"/>
    <x v="29"/>
    <x v="11"/>
    <x v="1"/>
    <n v="129"/>
    <s v="NOS"/>
    <m/>
    <m/>
    <m/>
    <m/>
    <n v="1000"/>
    <n v="-1000"/>
    <n v="0"/>
    <n v="0.07128934482000002"/>
    <n v="-0.07128934482000002"/>
    <e v="#DIV/0!"/>
    <n v="15.867808"/>
    <n v="41.765"/>
    <n v="1000.07128934482"/>
    <n v="41.765"/>
    <n v="-15.867808"/>
    <m/>
  </r>
  <r>
    <n v="130"/>
    <s v="Hosur"/>
    <x v="6"/>
    <s v="Marathwada"/>
    <x v="7"/>
    <n v="3432217"/>
    <s v="189002-3432217"/>
    <s v="TUB-S-AW-AUT-19.00X19.00X1.210X0.3300"/>
    <x v="7"/>
    <m/>
    <x v="0"/>
    <s v="CR"/>
    <m/>
    <m/>
    <m/>
    <m/>
    <x v="72"/>
    <s v="19-19-1-CRFH-PE-0.33"/>
    <n v="1"/>
    <s v="Hosur"/>
    <m/>
    <m/>
    <m/>
    <x v="31"/>
    <x v="29"/>
    <x v="11"/>
    <x v="1"/>
    <n v="330"/>
    <s v="NOS"/>
    <m/>
    <m/>
    <m/>
    <m/>
    <n v="0"/>
    <n v="0"/>
    <n v="0"/>
    <n v="0"/>
    <n v="0"/>
    <e v="#DIV/0!"/>
    <n v="0"/>
    <m/>
    <n v="15.867808"/>
    <n v="41.765"/>
    <n v="0"/>
    <m/>
  </r>
  <r>
    <m/>
    <s v="Hosur"/>
    <x v="6"/>
    <s v="Marathwada"/>
    <x v="7"/>
    <n v="3230490"/>
    <s v="189002-3230490"/>
    <s v="TUB-S-AW-AUT-19.00X19.00X1.000X0.3550"/>
    <x v="7"/>
    <m/>
    <x v="0"/>
    <s v="CR"/>
    <m/>
    <m/>
    <m/>
    <m/>
    <x v="72"/>
    <s v="19-19-1-CRFH-PE-0.355"/>
    <n v="5"/>
    <s v="Hosur"/>
    <m/>
    <m/>
    <m/>
    <x v="31"/>
    <x v="29"/>
    <x v="11"/>
    <x v="1"/>
    <n v="355"/>
    <s v="NOS"/>
    <m/>
    <m/>
    <m/>
    <m/>
    <n v="7000"/>
    <n v="-7000"/>
    <n v="0"/>
    <n v="1.3732869913"/>
    <n v="-1.3732869913"/>
    <e v="#DIV/0!"/>
    <n v="0.8258479999999999"/>
    <m/>
    <n v="15.867808"/>
    <n v="41.765"/>
    <n v="-0.8258479999999999"/>
    <m/>
  </r>
  <r>
    <n v="132"/>
    <s v="Hosur"/>
    <x v="7"/>
    <s v="Marathwada"/>
    <x v="7"/>
    <n v="3230490"/>
    <s v="189002-3230490"/>
    <s v="TUB-S-AW-AUT-19.00X19.00X1.000X0.3550"/>
    <x v="7"/>
    <m/>
    <x v="0"/>
    <s v="CR"/>
    <m/>
    <m/>
    <m/>
    <m/>
    <x v="72"/>
    <s v="19-19-1-CRFH-PE-0.355"/>
    <n v="5"/>
    <s v="Hosur"/>
    <m/>
    <m/>
    <m/>
    <x v="31"/>
    <x v="29"/>
    <x v="11"/>
    <x v="1"/>
    <n v="355"/>
    <s v="NOS"/>
    <m/>
    <m/>
    <n v="14000"/>
    <m/>
    <n v="7000"/>
    <n v="7000"/>
    <n v="2.7465739826"/>
    <n v="1.3732869913"/>
    <n v="1.3732869913"/>
    <n v="4209.561465755653"/>
    <n v="0.8258479999999999"/>
    <m/>
    <n v="15.867808"/>
    <n v="41.765"/>
    <n v="1.9207259826"/>
    <m/>
  </r>
  <r>
    <n v="762"/>
    <s v="Hosur"/>
    <x v="7"/>
    <s v="Marathwada"/>
    <x v="7"/>
    <n v="3230490"/>
    <s v="189002-3230490"/>
    <s v="TUB-S-AW-AUT-19.00X19.00X1.000X0.3550"/>
    <x v="7"/>
    <m/>
    <x v="0"/>
    <s v="CR"/>
    <m/>
    <m/>
    <m/>
    <m/>
    <x v="72"/>
    <s v="19-19-1-CRFH-PE-0.355"/>
    <n v="5"/>
    <s v="Hosur"/>
    <m/>
    <m/>
    <m/>
    <x v="31"/>
    <x v="29"/>
    <x v="11"/>
    <x v="1"/>
    <n v="355"/>
    <s v="NOS"/>
    <m/>
    <m/>
    <m/>
    <m/>
    <n v="7000"/>
    <n v="-7000"/>
    <n v="0"/>
    <n v="1.3732869913"/>
    <n v="-1.3732869913"/>
    <e v="#DIV/0!"/>
    <n v="15.867808"/>
    <n v="41.765"/>
    <n v="7001.3732869913"/>
    <n v="41.765"/>
    <n v="-15.867808"/>
    <m/>
  </r>
  <r>
    <n v="133"/>
    <s v="Hosur"/>
    <x v="6"/>
    <s v="Marathwada"/>
    <x v="7"/>
    <n v="3230487"/>
    <s v="189002-3230487"/>
    <s v="TUB-S-AW-AUT-19.00X19.00X1.000X0.4000"/>
    <x v="7"/>
    <m/>
    <x v="0"/>
    <s v="CR"/>
    <m/>
    <m/>
    <m/>
    <m/>
    <x v="72"/>
    <s v="19-19-1-CRFH-PE-0.4"/>
    <n v="4"/>
    <s v="Hosur"/>
    <m/>
    <m/>
    <m/>
    <x v="31"/>
    <x v="29"/>
    <x v="11"/>
    <x v="1"/>
    <n v="400"/>
    <s v="NOS"/>
    <m/>
    <m/>
    <m/>
    <m/>
    <n v="22000"/>
    <n v="-22000"/>
    <n v="0"/>
    <n v="4.863149104"/>
    <n v="-4.863149104"/>
    <e v="#DIV/0!"/>
    <n v="1.702484"/>
    <m/>
    <n v="15.867808"/>
    <n v="41.765"/>
    <n v="-1.702484"/>
    <m/>
  </r>
  <r>
    <n v="757"/>
    <s v="Hosur"/>
    <x v="7"/>
    <s v="Marathwada"/>
    <x v="7"/>
    <n v="3230487"/>
    <s v="189002-3230487"/>
    <s v="TUB-S-AW-AUT-19.00X19.00X1.000X0.4000"/>
    <x v="7"/>
    <m/>
    <x v="0"/>
    <s v="CR"/>
    <m/>
    <m/>
    <m/>
    <m/>
    <x v="72"/>
    <s v="19-19-1-CRFH-PE-0.4"/>
    <n v="4"/>
    <s v="Hosur"/>
    <m/>
    <m/>
    <m/>
    <x v="31"/>
    <x v="29"/>
    <x v="11"/>
    <x v="1"/>
    <n v="400"/>
    <s v="NOS"/>
    <m/>
    <m/>
    <n v="42000"/>
    <m/>
    <n v="22000"/>
    <n v="20000"/>
    <n v="9.284193744"/>
    <n v="4.863149104"/>
    <n v="4.42104464"/>
    <n v="71783.07070882687"/>
    <n v="15.867808"/>
    <n v="41.765"/>
    <n v="21995.57895536"/>
    <n v="41.765"/>
    <n v="-6.583614256000001"/>
    <m/>
  </r>
  <r>
    <n v="135"/>
    <s v="Hosur"/>
    <x v="7"/>
    <s v="Marathwada"/>
    <x v="7"/>
    <n v="3230488"/>
    <s v="189002-3230488"/>
    <s v="TUB-S-AW-AUT-19.00X19.00X1.000X0.4700"/>
    <x v="7"/>
    <m/>
    <x v="0"/>
    <s v="CR"/>
    <m/>
    <m/>
    <m/>
    <m/>
    <x v="72"/>
    <s v="19-19-1-CRFH-PE-0.47"/>
    <n v="4"/>
    <s v="Hosur"/>
    <m/>
    <m/>
    <m/>
    <x v="31"/>
    <x v="29"/>
    <x v="11"/>
    <x v="1"/>
    <n v="470"/>
    <s v="NOS"/>
    <m/>
    <m/>
    <m/>
    <m/>
    <n v="7000"/>
    <n v="-7000"/>
    <n v="0"/>
    <n v="1.8181546082"/>
    <n v="-1.8181546082"/>
    <e v="#DIV/0!"/>
    <n v="0.25398"/>
    <m/>
    <n v="15.867808"/>
    <n v="41.765"/>
    <n v="-0.25398"/>
    <m/>
  </r>
  <r>
    <n v="756"/>
    <s v="Hosur"/>
    <x v="7"/>
    <s v="Marathwada"/>
    <x v="7"/>
    <n v="3230488"/>
    <s v="189002-3230488"/>
    <s v="TUB-S-AW-AUT-19.00X19.00X1.000X0.4700"/>
    <x v="7"/>
    <m/>
    <x v="0"/>
    <s v="CR"/>
    <m/>
    <m/>
    <m/>
    <m/>
    <x v="72"/>
    <s v="19-19-1-CRFH-PE-0.47"/>
    <n v="4"/>
    <s v="Hosur"/>
    <m/>
    <m/>
    <m/>
    <x v="31"/>
    <x v="29"/>
    <x v="11"/>
    <x v="1"/>
    <n v="470"/>
    <s v="NOS"/>
    <m/>
    <m/>
    <n v="14000"/>
    <m/>
    <n v="7000"/>
    <n v="7000"/>
    <n v="3.6363092164"/>
    <n v="1.8181546082"/>
    <n v="1.8181546082"/>
    <n v="61091.97507134201"/>
    <n v="15.867808"/>
    <n v="41.765"/>
    <n v="6998.1818453918"/>
    <n v="41.765"/>
    <n v="-12.2314987836"/>
    <m/>
  </r>
  <r>
    <n v="134"/>
    <s v="Hosur"/>
    <x v="7"/>
    <s v="Marathwada"/>
    <x v="7"/>
    <n v="3234371"/>
    <s v="189002-3234371"/>
    <s v="TUB-S-AW-AUT-19.00X19.00X1.000X0.4620"/>
    <x v="7"/>
    <m/>
    <x v="0"/>
    <s v="CR"/>
    <m/>
    <m/>
    <m/>
    <m/>
    <x v="72"/>
    <s v="19-19-1-CRFH-PE-0.54"/>
    <n v="5"/>
    <s v="Hosur"/>
    <m/>
    <m/>
    <m/>
    <x v="31"/>
    <x v="29"/>
    <x v="11"/>
    <x v="1"/>
    <n v="540"/>
    <s v="NOS"/>
    <m/>
    <m/>
    <m/>
    <m/>
    <n v="7000"/>
    <n v="-7000"/>
    <n v="0"/>
    <n v="2.088943592400001"/>
    <n v="-2.088943592400001"/>
    <e v="#DIV/0!"/>
    <n v="0.294429"/>
    <m/>
    <n v="15.867808"/>
    <n v="41.765"/>
    <n v="-0.294429"/>
    <m/>
  </r>
  <r>
    <n v="776"/>
    <s v="Hosur"/>
    <x v="7"/>
    <s v="Marathwada"/>
    <x v="7"/>
    <n v="3571870"/>
    <s v="189002-3571870"/>
    <s v="TUB-S-AW-AUT-19.00X19.00X1.000X0.5400"/>
    <x v="7"/>
    <m/>
    <x v="0"/>
    <s v="CR"/>
    <m/>
    <m/>
    <m/>
    <m/>
    <x v="72"/>
    <s v="19-19-1-CRFH-PE-0.54"/>
    <n v="5"/>
    <s v="Hosur"/>
    <m/>
    <m/>
    <m/>
    <x v="31"/>
    <x v="29"/>
    <x v="11"/>
    <x v="1"/>
    <n v="540"/>
    <s v="NOS"/>
    <m/>
    <m/>
    <n v="14000"/>
    <m/>
    <n v="7000"/>
    <n v="7000"/>
    <n v="4.177887184800001"/>
    <n v="2.088943592400001"/>
    <n v="2.088943592400001"/>
    <n v="53172.64496950137"/>
    <n v="15.867808"/>
    <n v="41.765"/>
    <n v="6997.9110564076"/>
    <n v="41.765"/>
    <n v="-11.6899208152"/>
    <m/>
  </r>
  <r>
    <n v="136"/>
    <s v="Hosur"/>
    <x v="6"/>
    <s v="Marathwada"/>
    <x v="7"/>
    <n v="3605740"/>
    <s v="189002-3605740"/>
    <s v="TUB-S-AW-AUT-19.00X19.00X1.010X0.6750"/>
    <x v="7"/>
    <m/>
    <x v="0"/>
    <s v="CR"/>
    <m/>
    <m/>
    <m/>
    <m/>
    <x v="72"/>
    <s v="19-19-1-CRFH-PE-0.675"/>
    <n v="1"/>
    <s v="Hosur"/>
    <m/>
    <m/>
    <m/>
    <x v="31"/>
    <x v="29"/>
    <x v="11"/>
    <x v="1"/>
    <n v="675"/>
    <s v="NOS"/>
    <m/>
    <m/>
    <m/>
    <m/>
    <n v="0"/>
    <n v="0"/>
    <n v="0"/>
    <n v="0"/>
    <n v="0"/>
    <e v="#DIV/0!"/>
    <n v="0.257344"/>
    <m/>
    <n v="15.867808"/>
    <n v="41.765"/>
    <n v="-0.257344"/>
    <m/>
  </r>
  <r>
    <n v="137"/>
    <s v="Hosur"/>
    <x v="7"/>
    <s v="Marathwada"/>
    <x v="7"/>
    <n v="3230491"/>
    <s v="189002-3230491"/>
    <s v="TUB-S-AW-AUT-19.00X19.00X1.000X0.6820"/>
    <x v="7"/>
    <m/>
    <x v="0"/>
    <s v="CR"/>
    <m/>
    <m/>
    <m/>
    <m/>
    <x v="72"/>
    <s v="19-19-1-CRFH-PE-0.682"/>
    <n v="1"/>
    <s v="Hosur"/>
    <m/>
    <m/>
    <m/>
    <x v="31"/>
    <x v="29"/>
    <x v="11"/>
    <x v="1"/>
    <n v="682"/>
    <s v="NOS"/>
    <m/>
    <m/>
    <m/>
    <m/>
    <n v="0"/>
    <n v="0"/>
    <n v="0"/>
    <n v="0"/>
    <n v="0"/>
    <e v="#DIV/0!"/>
    <n v="0"/>
    <m/>
    <n v="15.867808"/>
    <n v="41.765"/>
    <n v="0"/>
    <m/>
  </r>
  <r>
    <n v="761"/>
    <s v="Hosur"/>
    <x v="7"/>
    <s v="Marathwada"/>
    <x v="7"/>
    <n v="4151426"/>
    <s v="189002-4151426"/>
    <s v="TUB-S-AW-AUT-19.00X19.00X1.000X0.7550"/>
    <x v="7"/>
    <m/>
    <x v="0"/>
    <s v="CR"/>
    <m/>
    <m/>
    <m/>
    <m/>
    <x v="72"/>
    <s v="19-19-1-CRFH-PE-0.755"/>
    <n v="2"/>
    <s v="Hosur"/>
    <m/>
    <m/>
    <m/>
    <x v="31"/>
    <x v="29"/>
    <x v="11"/>
    <x v="1"/>
    <n v="755"/>
    <s v="NOS"/>
    <m/>
    <m/>
    <m/>
    <m/>
    <n v="1000"/>
    <n v="-1000"/>
    <n v="0"/>
    <n v="0.4172360879000001"/>
    <n v="-0.4172360879000001"/>
    <e v="#DIV/0!"/>
    <n v="15.867808"/>
    <n v="41.765"/>
    <n v="1000.4172360879"/>
    <n v="41.765"/>
    <n v="-15.867808"/>
    <m/>
  </r>
  <r>
    <n v="755"/>
    <s v="Hosur"/>
    <x v="7"/>
    <s v="Marathwada"/>
    <x v="7"/>
    <n v="4151429"/>
    <s v="189002-4151429"/>
    <s v="TUB-S-AW-AUT-19.00X19.00X1.000X0.7950"/>
    <x v="7"/>
    <m/>
    <x v="0"/>
    <s v="CR"/>
    <m/>
    <m/>
    <m/>
    <m/>
    <x v="72"/>
    <s v="19-19-1-CRFH-PE-0.795"/>
    <n v="2"/>
    <s v="Hosur"/>
    <m/>
    <m/>
    <m/>
    <x v="31"/>
    <x v="29"/>
    <x v="11"/>
    <x v="1"/>
    <n v="795"/>
    <s v="NOS"/>
    <m/>
    <m/>
    <m/>
    <m/>
    <n v="1000"/>
    <n v="-1000"/>
    <n v="0"/>
    <n v="0.4393413111000001"/>
    <n v="-0.4393413111000001"/>
    <e v="#DIV/0!"/>
    <n v="15.867808"/>
    <n v="41.765"/>
    <n v="1000.4393413111"/>
    <n v="41.765"/>
    <n v="-15.867808"/>
    <m/>
  </r>
  <r>
    <n v="139"/>
    <s v="Hosur"/>
    <x v="7"/>
    <s v="Marathwada"/>
    <x v="7"/>
    <n v="3605739"/>
    <s v="189002-3605739"/>
    <s v="TUB-S-AW-AUT-19.00X19.00X1.010X0.800"/>
    <x v="7"/>
    <m/>
    <x v="0"/>
    <s v="CR"/>
    <m/>
    <m/>
    <m/>
    <m/>
    <x v="72"/>
    <s v="19-19-1-CRFH-PE-0.8"/>
    <n v="2"/>
    <s v="Hosur"/>
    <m/>
    <m/>
    <m/>
    <x v="31"/>
    <x v="29"/>
    <x v="11"/>
    <x v="1"/>
    <n v="800"/>
    <s v="NOS"/>
    <m/>
    <m/>
    <n v="14000"/>
    <m/>
    <n v="6000"/>
    <n v="8000"/>
    <n v="6.189462496"/>
    <n v="2.652626784"/>
    <n v="3.536835712"/>
    <n v="1953.841388943768"/>
    <n v="0.863802"/>
    <m/>
    <n v="15.867808"/>
    <n v="41.765"/>
    <n v="5.325660496"/>
    <m/>
  </r>
  <r>
    <n v="764"/>
    <s v="Hosur"/>
    <x v="7"/>
    <s v="Marathwada"/>
    <x v="7"/>
    <n v="4151425"/>
    <s v="189002-4151425"/>
    <s v="TUB-S-AW-AUT-19.00X19.00X1.000X0.8350"/>
    <x v="7"/>
    <m/>
    <x v="0"/>
    <s v="CR"/>
    <m/>
    <m/>
    <m/>
    <m/>
    <x v="72"/>
    <s v="19-19-1-CRFH-PE-0.835"/>
    <n v="2"/>
    <s v="Hosur"/>
    <m/>
    <m/>
    <m/>
    <x v="31"/>
    <x v="29"/>
    <x v="11"/>
    <x v="1"/>
    <n v="835"/>
    <s v="NOS"/>
    <m/>
    <m/>
    <m/>
    <m/>
    <n v="1000"/>
    <n v="-1000"/>
    <n v="0"/>
    <n v="0.4614465343"/>
    <n v="-0.4614465343"/>
    <e v="#DIV/0!"/>
    <n v="15.867808"/>
    <n v="41.765"/>
    <n v="1000.4614465343"/>
    <n v="41.765"/>
    <n v="-15.867808"/>
    <m/>
  </r>
  <r>
    <n v="138"/>
    <s v="Hosur"/>
    <x v="7"/>
    <s v="Marathwada"/>
    <x v="7"/>
    <n v="3230485"/>
    <s v="189002-3230485"/>
    <s v="TUB-S-AW-AUT-19.00X19.00X1.000X0.8400"/>
    <x v="7"/>
    <m/>
    <x v="0"/>
    <s v="CR"/>
    <m/>
    <m/>
    <m/>
    <m/>
    <x v="72"/>
    <s v="19-19-1-CRFH-PE-0.84"/>
    <n v="2"/>
    <s v="Hosur"/>
    <m/>
    <m/>
    <m/>
    <x v="31"/>
    <x v="29"/>
    <x v="11"/>
    <x v="1"/>
    <n v="840"/>
    <s v="NOS"/>
    <m/>
    <m/>
    <n v="14000"/>
    <m/>
    <n v="6000"/>
    <n v="8000"/>
    <n v="6.498935620800001"/>
    <n v="2.7852581232"/>
    <n v="3.713677497600001"/>
    <n v="1812.381394008961"/>
    <n v="0.841325"/>
    <m/>
    <n v="15.867808"/>
    <n v="41.765"/>
    <n v="5.657610620800001"/>
    <m/>
  </r>
  <r>
    <n v="140"/>
    <s v="Hosur"/>
    <x v="7"/>
    <s v="Marathwada"/>
    <x v="7"/>
    <n v="3233560"/>
    <s v="189002-3233560"/>
    <s v="TUB-S-AW-AUT-19.00X19.00X1.000X0.871"/>
    <x v="7"/>
    <m/>
    <x v="0"/>
    <s v="CR"/>
    <m/>
    <m/>
    <m/>
    <m/>
    <x v="72"/>
    <s v="19-19-1-CRFH-PE-0.871"/>
    <n v="1"/>
    <s v="Hosur"/>
    <m/>
    <m/>
    <m/>
    <x v="31"/>
    <x v="29"/>
    <x v="11"/>
    <x v="1"/>
    <n v="871"/>
    <s v="NOS"/>
    <m/>
    <m/>
    <n v="14000"/>
    <m/>
    <n v="6000"/>
    <n v="8000"/>
    <n v="6.73877729252"/>
    <n v="2.88804741108"/>
    <n v="3.85072988144"/>
    <n v="0"/>
    <n v="0"/>
    <m/>
    <n v="15.867808"/>
    <n v="41.765"/>
    <n v="6.73877729252"/>
    <m/>
  </r>
  <r>
    <n v="141"/>
    <s v="Hosur"/>
    <x v="7"/>
    <s v="Marathwada"/>
    <x v="7"/>
    <n v="3230492"/>
    <s v="189002-3230492"/>
    <s v="TUB-S-AW-AUT-19.00X19.00X1.000X0.8800"/>
    <x v="7"/>
    <m/>
    <x v="0"/>
    <s v="CR"/>
    <m/>
    <m/>
    <m/>
    <m/>
    <x v="72"/>
    <s v="19-19-1-CRFH-PE-0.88"/>
    <n v="3"/>
    <s v="Hosur"/>
    <m/>
    <m/>
    <m/>
    <x v="31"/>
    <x v="29"/>
    <x v="11"/>
    <x v="1"/>
    <n v="880"/>
    <s v="NOS"/>
    <m/>
    <m/>
    <m/>
    <m/>
    <n v="9000"/>
    <n v="-9000"/>
    <n v="0"/>
    <n v="4.376834193600001"/>
    <n v="-4.376834193600001"/>
    <e v="#DIV/0!"/>
    <n v="0.731322"/>
    <m/>
    <n v="15.867808"/>
    <n v="41.765"/>
    <n v="-0.731322"/>
    <m/>
  </r>
  <r>
    <n v="774"/>
    <s v="Hosur"/>
    <x v="7"/>
    <s v="Marathwada"/>
    <x v="7"/>
    <n v="4177673"/>
    <s v="189002-4177673"/>
    <s v="TUB-R-AW-AUT-19.00X19.00X1.000X0.8800"/>
    <x v="7"/>
    <m/>
    <x v="0"/>
    <s v="CR"/>
    <m/>
    <m/>
    <m/>
    <m/>
    <x v="72"/>
    <s v="19-19-1-CRFH-PE-0.88"/>
    <n v="3"/>
    <s v="Hosur"/>
    <m/>
    <m/>
    <m/>
    <x v="31"/>
    <x v="29"/>
    <x v="11"/>
    <x v="1"/>
    <n v="880"/>
    <s v="NOS"/>
    <m/>
    <m/>
    <n v="21000"/>
    <m/>
    <n v="9000"/>
    <n v="12000"/>
    <n v="10.2126131184"/>
    <n v="4.376834193600001"/>
    <n v="5.835778924800001"/>
    <n v="32628.6685040122"/>
    <n v="15.867808"/>
    <n v="41.765"/>
    <n v="8994.1642210752"/>
    <n v="41.765"/>
    <n v="-5.655194881599998"/>
    <m/>
  </r>
  <r>
    <n v="760"/>
    <s v="Hosur"/>
    <x v="7"/>
    <s v="Marathwada"/>
    <x v="7"/>
    <n v="4151427"/>
    <s v="189002-4151427"/>
    <s v="TUB-S-AW-AUT-19.00X19.00X1.000X0.9630"/>
    <x v="7"/>
    <m/>
    <x v="0"/>
    <s v="CR"/>
    <m/>
    <m/>
    <m/>
    <m/>
    <x v="72"/>
    <s v="19-19-1-CRFH-PE-0.963"/>
    <n v="2"/>
    <s v="Hosur"/>
    <m/>
    <m/>
    <m/>
    <x v="31"/>
    <x v="29"/>
    <x v="11"/>
    <x v="1"/>
    <n v="963"/>
    <s v="NOS"/>
    <m/>
    <m/>
    <m/>
    <m/>
    <n v="1000"/>
    <n v="-1000"/>
    <n v="0"/>
    <n v="0.5321832485400001"/>
    <n v="-0.5321832485400001"/>
    <e v="#DIV/0!"/>
    <n v="15.867808"/>
    <n v="41.765"/>
    <n v="1000.53218324854"/>
    <n v="41.765"/>
    <n v="-15.867808"/>
    <m/>
  </r>
  <r>
    <n v="142"/>
    <s v="Hosur"/>
    <x v="6"/>
    <s v="Marathwada"/>
    <x v="7"/>
    <n v="1940146"/>
    <s v="189002-1940146"/>
    <s v="TUB-S-AW-SHS-19.00X19.00X1.000X6.0000"/>
    <x v="7"/>
    <m/>
    <x v="0"/>
    <s v="CR"/>
    <m/>
    <m/>
    <m/>
    <m/>
    <x v="72"/>
    <s v="19-19-1-CRFH-PE-1"/>
    <n v="2"/>
    <s v="Hosur"/>
    <m/>
    <m/>
    <m/>
    <x v="31"/>
    <x v="29"/>
    <x v="11"/>
    <x v="1"/>
    <n v="1000"/>
    <s v="M"/>
    <m/>
    <m/>
    <m/>
    <m/>
    <n v="19782"/>
    <n v="-19782"/>
    <n v="0"/>
    <n v="10.93213813356"/>
    <n v="-10.93213813356"/>
    <e v="#DIV/0!"/>
    <n v="15.867808"/>
    <m/>
    <n v="15.867808"/>
    <n v="41.765"/>
    <n v="-15.867808"/>
    <m/>
  </r>
  <r>
    <n v="143"/>
    <s v="Hosur"/>
    <x v="6"/>
    <s v="Marathwada"/>
    <x v="7"/>
    <n v="3597679"/>
    <s v="189002-3597679"/>
    <s v="TUB-S-AW-AUT-19.00X19.00X1.000X6.1400"/>
    <x v="7"/>
    <m/>
    <x v="0"/>
    <s v="CR"/>
    <m/>
    <m/>
    <m/>
    <m/>
    <x v="72"/>
    <s v="19-19-1-CRFH-PE-1"/>
    <n v="2"/>
    <s v="Hosur"/>
    <m/>
    <m/>
    <m/>
    <x v="31"/>
    <x v="29"/>
    <x v="11"/>
    <x v="1"/>
    <n v="1000"/>
    <s v="M"/>
    <m/>
    <m/>
    <m/>
    <m/>
    <n v="19782"/>
    <n v="-19782"/>
    <n v="0"/>
    <n v="10.93213813356"/>
    <n v="-10.93213813356"/>
    <e v="#DIV/0!"/>
    <n v="15.867808"/>
    <m/>
    <n v="15.867808"/>
    <n v="41.765"/>
    <n v="-15.867808"/>
    <m/>
  </r>
  <r>
    <n v="145"/>
    <s v="Hosur"/>
    <x v="6"/>
    <s v="Marathwada"/>
    <x v="7"/>
    <n v="3230494"/>
    <s v="189002-3230494"/>
    <s v="TUB-S-AW-AUT-19.00X19.00X1.000X1.3000"/>
    <x v="7"/>
    <m/>
    <x v="0"/>
    <s v="CR"/>
    <m/>
    <m/>
    <m/>
    <m/>
    <x v="72"/>
    <s v="19-19-1-CRFH-PE-1.007"/>
    <n v="6"/>
    <s v="Hosur"/>
    <m/>
    <m/>
    <m/>
    <x v="31"/>
    <x v="29"/>
    <x v="11"/>
    <x v="1"/>
    <n v="1007"/>
    <s v="NOS"/>
    <m/>
    <m/>
    <m/>
    <m/>
    <n v="3500"/>
    <n v="-3500"/>
    <n v="0"/>
    <n v="1.94774647921"/>
    <n v="-1.94774647921"/>
    <e v="#DIV/0!"/>
    <n v="1.983454"/>
    <m/>
    <n v="15.867808"/>
    <n v="41.765"/>
    <n v="-1.983454"/>
    <m/>
  </r>
  <r>
    <m/>
    <s v="Hosur"/>
    <x v="7"/>
    <s v="Marathwada"/>
    <x v="7"/>
    <n v="4100796"/>
    <s v="189002-4100796"/>
    <s v="CUT-R-AW-AUT-19.00X19.00X1.000X1.0070"/>
    <x v="7"/>
    <m/>
    <x v="0"/>
    <s v="CR"/>
    <m/>
    <m/>
    <m/>
    <m/>
    <x v="72"/>
    <s v="19-19-1-CRFH-PE-1.007"/>
    <n v="6"/>
    <s v="Hosur"/>
    <m/>
    <m/>
    <m/>
    <x v="31"/>
    <x v="29"/>
    <x v="11"/>
    <x v="1"/>
    <n v="1007"/>
    <s v="NOS"/>
    <m/>
    <m/>
    <n v="7000"/>
    <m/>
    <n v="3500"/>
    <n v="3500"/>
    <n v="3.89549295842"/>
    <n v="1.94774647921"/>
    <n v="1.94774647921"/>
    <n v="3564.164573828771"/>
    <n v="1.983454"/>
    <m/>
    <n v="15.867808"/>
    <n v="41.765"/>
    <n v="1.91203895842"/>
    <m/>
  </r>
  <r>
    <n v="770"/>
    <s v="Hosur"/>
    <x v="7"/>
    <s v="Marathwada"/>
    <x v="7"/>
    <n v="4100796"/>
    <s v="189002-4100796"/>
    <s v="CUT-R-AW-AUT-19.00X19.00X1.000X1.0070"/>
    <x v="7"/>
    <m/>
    <x v="0"/>
    <s v="CR"/>
    <m/>
    <m/>
    <m/>
    <m/>
    <x v="72"/>
    <s v="19-19-1-CRFH-PE-1.007"/>
    <n v="6"/>
    <s v="Hosur"/>
    <m/>
    <m/>
    <m/>
    <x v="31"/>
    <x v="29"/>
    <x v="11"/>
    <x v="1"/>
    <n v="1007"/>
    <s v="NOS"/>
    <m/>
    <m/>
    <m/>
    <m/>
    <n v="3500"/>
    <n v="-3500"/>
    <n v="0"/>
    <n v="1.94774647921"/>
    <n v="-1.94774647921"/>
    <e v="#DIV/0!"/>
    <n v="15.867808"/>
    <n v="41.765"/>
    <n v="3501.94774647921"/>
    <n v="41.765"/>
    <n v="-15.867808"/>
    <m/>
  </r>
  <r>
    <m/>
    <s v="Hosur"/>
    <x v="6"/>
    <s v="Marathwada"/>
    <x v="7"/>
    <n v="3572038"/>
    <s v="189002-3572038"/>
    <s v="TUB-S-AW-AUT-19.00X19.00X1.000X1.2460"/>
    <x v="7"/>
    <m/>
    <x v="0"/>
    <s v="CR"/>
    <m/>
    <m/>
    <m/>
    <m/>
    <x v="72"/>
    <s v="19-19-1-CRFH-PE-1.246"/>
    <n v="5"/>
    <s v="Hosur"/>
    <m/>
    <m/>
    <m/>
    <x v="31"/>
    <x v="29"/>
    <x v="11"/>
    <x v="1"/>
    <n v="1246"/>
    <s v="NOS"/>
    <m/>
    <m/>
    <m/>
    <m/>
    <n v="3500"/>
    <n v="-3500"/>
    <n v="0"/>
    <n v="2.41002195938"/>
    <n v="-2.41002195938"/>
    <e v="#DIV/0!"/>
    <n v="0.91689"/>
    <m/>
    <n v="15.867808"/>
    <n v="41.765"/>
    <n v="-0.91689"/>
    <m/>
  </r>
  <r>
    <n v="769"/>
    <s v="Hosur"/>
    <x v="7"/>
    <s v="Marathwada"/>
    <x v="7"/>
    <n v="3572038"/>
    <s v="189002-3572038"/>
    <s v="TUB-S-AW-AUT-19.00X19.00X1.000X1.2460"/>
    <x v="7"/>
    <m/>
    <x v="0"/>
    <s v="CR"/>
    <m/>
    <m/>
    <m/>
    <m/>
    <x v="72"/>
    <s v="19-19-1-CRFH-PE-1.246"/>
    <n v="5"/>
    <s v="Hosur"/>
    <m/>
    <m/>
    <m/>
    <x v="31"/>
    <x v="29"/>
    <x v="11"/>
    <x v="1"/>
    <n v="1246"/>
    <s v="NOS"/>
    <m/>
    <m/>
    <n v="7000"/>
    <m/>
    <n v="3500"/>
    <n v="3500"/>
    <n v="4.82004391876"/>
    <n v="2.41002195938"/>
    <n v="2.41002195938"/>
    <n v="23044.32446511296"/>
    <n v="15.867808"/>
    <n v="41.765"/>
    <n v="3497.58997804062"/>
    <n v="41.765"/>
    <n v="-11.04776408124"/>
    <m/>
  </r>
  <r>
    <n v="763"/>
    <s v="Hosur"/>
    <x v="7"/>
    <s v="Marathwada"/>
    <x v="7"/>
    <n v="3572039"/>
    <s v="189002-3572039"/>
    <s v="TUB-S-AW-AUT-19.00X19.00X1.000X1.3040"/>
    <x v="7"/>
    <m/>
    <x v="0"/>
    <s v="CR"/>
    <m/>
    <m/>
    <m/>
    <m/>
    <x v="72"/>
    <s v="19-19-1-CRFH-PE-1.304"/>
    <n v="3"/>
    <s v="Hosur"/>
    <m/>
    <m/>
    <m/>
    <x v="31"/>
    <x v="29"/>
    <x v="11"/>
    <x v="1"/>
    <n v="1304"/>
    <s v="NOS"/>
    <m/>
    <m/>
    <m/>
    <m/>
    <n v="1000"/>
    <n v="-1000"/>
    <n v="0"/>
    <n v="0.7206302763200001"/>
    <n v="-0.7206302763200001"/>
    <e v="#DIV/0!"/>
    <n v="15.867808"/>
    <n v="41.765"/>
    <n v="1000.72063027632"/>
    <n v="41.765"/>
    <n v="-15.867808"/>
    <m/>
  </r>
  <r>
    <n v="153"/>
    <s v="Hosur"/>
    <x v="7"/>
    <s v="Marathwada"/>
    <x v="7"/>
    <n v="3230483"/>
    <s v="189002-3230483"/>
    <s v="TUB-S-AW-AUT-25.00X25.00X1.200X0.3300"/>
    <x v="7"/>
    <m/>
    <x v="0"/>
    <s v="CR"/>
    <m/>
    <m/>
    <m/>
    <m/>
    <x v="73"/>
    <s v="25-25-1.2-CRFH-PE-0.33"/>
    <s v="#REF!"/>
    <m/>
    <m/>
    <m/>
    <m/>
    <x v="10"/>
    <x v="13"/>
    <x v="3"/>
    <x v="2"/>
    <n v="330"/>
    <s v="NOS"/>
    <m/>
    <m/>
    <m/>
    <m/>
    <n v="0"/>
    <n v="0"/>
    <n v="0"/>
    <n v="0"/>
    <n v="0"/>
    <e v="#DIV/0!"/>
    <n v="0"/>
    <m/>
    <n v="2.546"/>
    <n v="25.729"/>
    <n v="0"/>
    <m/>
  </r>
  <r>
    <n v="766"/>
    <s v="Hosur"/>
    <x v="7"/>
    <s v="Marathwada"/>
    <x v="7"/>
    <n v="4151430"/>
    <s v="189002-4151430"/>
    <s v="TUB-S-AW-AUT-25.00X25.00X1.200X0.6400"/>
    <x v="7"/>
    <m/>
    <x v="0"/>
    <s v="CR"/>
    <m/>
    <m/>
    <m/>
    <m/>
    <x v="73"/>
    <s v="25-25-1.2-CRFH-PE-0.64"/>
    <n v="2"/>
    <s v="Hosur"/>
    <m/>
    <m/>
    <m/>
    <x v="10"/>
    <x v="13"/>
    <x v="3"/>
    <x v="2"/>
    <n v="640"/>
    <s v="NOS"/>
    <m/>
    <m/>
    <m/>
    <m/>
    <n v="1000"/>
    <n v="-1000"/>
    <n v="0"/>
    <n v="0.5783246975999999"/>
    <n v="-0.5783246975999999"/>
    <e v="#DIV/0!"/>
    <n v="2.546"/>
    <n v="25.729"/>
    <n v="1000.5783246976"/>
    <n v="25.729"/>
    <n v="-2.546"/>
    <m/>
  </r>
  <r>
    <n v="154"/>
    <s v="Hosur"/>
    <x v="7"/>
    <s v="Marathwada"/>
    <x v="7"/>
    <n v="3230482"/>
    <s v="189002-3230482"/>
    <s v="TUB-S-AW-AUT-25.00X25.00X1.200X0.7870"/>
    <x v="7"/>
    <m/>
    <x v="0"/>
    <s v="CR"/>
    <m/>
    <m/>
    <m/>
    <m/>
    <x v="73"/>
    <s v="25-25-1.2-CRFH-PE-0.787"/>
    <n v="2"/>
    <s v="Hosur"/>
    <m/>
    <m/>
    <m/>
    <x v="10"/>
    <x v="13"/>
    <x v="3"/>
    <x v="2"/>
    <n v="787"/>
    <s v="NOS"/>
    <m/>
    <m/>
    <n v="14000"/>
    <m/>
    <n v="6000"/>
    <n v="8000"/>
    <n v="9.956221122119999"/>
    <n v="4.266951909479999"/>
    <n v="5.689269212639999"/>
    <n v="725.7564804327485"/>
    <n v="0.516128"/>
    <m/>
    <n v="2.546"/>
    <n v="25.729"/>
    <n v="9.440093122119999"/>
    <m/>
  </r>
  <r>
    <n v="155"/>
    <s v="Hosur"/>
    <x v="7"/>
    <s v="Marathwada"/>
    <x v="7"/>
    <n v="3935311"/>
    <s v="189002-3935311"/>
    <s v="CUT-S-AW-AUT-25.00X25.00X1.200X1.2980"/>
    <x v="7"/>
    <m/>
    <x v="0"/>
    <s v="CR"/>
    <m/>
    <m/>
    <m/>
    <m/>
    <x v="73"/>
    <s v="25-25-1.2-CRFH-PE-1.298"/>
    <s v="#REF!"/>
    <s v="Hosur"/>
    <m/>
    <m/>
    <m/>
    <x v="10"/>
    <x v="13"/>
    <x v="3"/>
    <x v="2"/>
    <n v="1298"/>
    <s v="NOS"/>
    <m/>
    <m/>
    <n v="7000"/>
    <m/>
    <n v="3000"/>
    <n v="4000"/>
    <n v="8.21040344124"/>
    <n v="3.51874433196"/>
    <n v="4.691659109280001"/>
    <n v="659.4528562146122"/>
    <n v="0.773482"/>
    <m/>
    <n v="2.546"/>
    <n v="25.729"/>
    <n v="7.436921441240001"/>
    <m/>
  </r>
  <r>
    <n v="768"/>
    <s v="Hosur"/>
    <x v="7"/>
    <s v="Marathwada"/>
    <x v="7"/>
    <n v="4151424"/>
    <s v="189002-4151424"/>
    <s v="TUB-S-AW-AUT-30.00X30.00X1.200X0.1900"/>
    <x v="7"/>
    <m/>
    <x v="0"/>
    <s v="CR"/>
    <m/>
    <m/>
    <m/>
    <m/>
    <x v="74"/>
    <s v="30-30-1.2-CRFH-PE-0.19"/>
    <n v="2"/>
    <s v="Hosur"/>
    <m/>
    <m/>
    <m/>
    <x v="14"/>
    <x v="27"/>
    <x v="1"/>
    <x v="2"/>
    <n v="190"/>
    <s v="NOS"/>
    <m/>
    <m/>
    <m/>
    <m/>
    <n v="1000"/>
    <n v="-1000"/>
    <n v="0"/>
    <n v="0.2073769668"/>
    <n v="-0.2073769668"/>
    <e v="#DIV/0!"/>
    <n v="0"/>
    <n v="22.942"/>
    <n v="1000.2073769668"/>
    <n v="22.942"/>
    <n v="0"/>
    <m/>
  </r>
  <r>
    <n v="156"/>
    <s v="Hosur"/>
    <x v="7"/>
    <s v="Marathwada"/>
    <x v="7"/>
    <n v="3230495"/>
    <s v="189002-3230495"/>
    <s v="TUB-S-AW-AUT-30.00X30.00X1.200X0.2200"/>
    <x v="7"/>
    <m/>
    <x v="0"/>
    <s v="CR"/>
    <m/>
    <m/>
    <m/>
    <m/>
    <x v="74"/>
    <s v="30-30-1.2-CRFH-PE-0.22"/>
    <s v="#REF!"/>
    <s v="Hosur"/>
    <m/>
    <m/>
    <m/>
    <x v="14"/>
    <x v="27"/>
    <x v="1"/>
    <x v="2"/>
    <n v="220"/>
    <s v="NOS"/>
    <m/>
    <m/>
    <n v="14000"/>
    <m/>
    <n v="6000"/>
    <n v="8000"/>
    <n v="3.3616897776"/>
    <n v="1.4407241904"/>
    <n v="1.9209655872"/>
    <n v="1.303511117890368"/>
    <n v="0.000313"/>
    <m/>
    <n v="0"/>
    <n v="22.942"/>
    <n v="3.3613767776"/>
    <m/>
  </r>
  <r>
    <n v="754"/>
    <s v="Hosur"/>
    <x v="7"/>
    <s v="Marathwada"/>
    <x v="7"/>
    <n v="3572047"/>
    <s v="189002-3572047"/>
    <s v="TUB-R-AW-AUT-40.00X20.00X1.200X0.1100"/>
    <x v="7"/>
    <m/>
    <x v="0"/>
    <s v="CR"/>
    <m/>
    <m/>
    <m/>
    <m/>
    <x v="75"/>
    <s v="40-20-1.2-CRFH-PE-0.11"/>
    <n v="3"/>
    <s v="Hosur"/>
    <m/>
    <m/>
    <m/>
    <x v="14"/>
    <x v="15"/>
    <x v="4"/>
    <x v="2"/>
    <n v="110"/>
    <s v="NOS"/>
    <m/>
    <m/>
    <m/>
    <m/>
    <n v="1000"/>
    <n v="-1000"/>
    <n v="0"/>
    <n v="0.1200603492"/>
    <n v="-0.1200603492"/>
    <e v="#DIV/0!"/>
    <n v="30.749381"/>
    <n v="129.152"/>
    <n v="1000.1200603492"/>
    <n v="129.152"/>
    <n v="-30.749381"/>
    <m/>
  </r>
  <r>
    <n v="753"/>
    <s v="Hosur"/>
    <x v="7"/>
    <s v="Marathwada"/>
    <x v="7"/>
    <n v="3233559"/>
    <s v="189002-3233559"/>
    <s v="TUB-R-AW-AUT-40.00X20.00X1.210X0.1200"/>
    <x v="7"/>
    <m/>
    <x v="0"/>
    <s v="CR"/>
    <m/>
    <m/>
    <m/>
    <m/>
    <x v="75"/>
    <s v="40-20-1.2-CRFH-PE-0.12"/>
    <n v="4"/>
    <s v="Hosur"/>
    <m/>
    <m/>
    <m/>
    <x v="14"/>
    <x v="15"/>
    <x v="4"/>
    <x v="2"/>
    <n v="120"/>
    <s v="NOS"/>
    <m/>
    <m/>
    <m/>
    <m/>
    <n v="2000"/>
    <n v="-2000"/>
    <n v="0"/>
    <n v="0.2619498527999999"/>
    <n v="-0.2619498527999999"/>
    <e v="#DIV/0!"/>
    <n v="30.749381"/>
    <n v="129.152"/>
    <n v="2000.2619498528"/>
    <n v="129.152"/>
    <n v="-30.749381"/>
    <m/>
  </r>
  <r>
    <n v="775"/>
    <s v="Hosur"/>
    <x v="7"/>
    <s v="Marathwada"/>
    <x v="7"/>
    <n v="4151472"/>
    <s v="189002-4151472"/>
    <s v="TUB-R-AW-AUT-40.00X20.00X1.200X0.7550"/>
    <x v="7"/>
    <m/>
    <x v="0"/>
    <s v="CR"/>
    <m/>
    <m/>
    <m/>
    <m/>
    <x v="75"/>
    <s v="40-20-1.2-CRFH-PE-0.755"/>
    <n v="2"/>
    <s v="Hosur"/>
    <m/>
    <m/>
    <m/>
    <x v="14"/>
    <x v="15"/>
    <x v="4"/>
    <x v="2"/>
    <n v="755"/>
    <s v="NOS"/>
    <m/>
    <m/>
    <m/>
    <m/>
    <n v="1000"/>
    <n v="-1000"/>
    <n v="0"/>
    <n v="0.8240505785999999"/>
    <n v="-0.8240505785999999"/>
    <e v="#DIV/0!"/>
    <n v="30.749381"/>
    <n v="129.152"/>
    <n v="1000.8240505786"/>
    <n v="129.152"/>
    <n v="-30.749381"/>
    <m/>
  </r>
  <r>
    <n v="158"/>
    <s v="Hosur"/>
    <x v="7"/>
    <s v="Marathwada"/>
    <x v="7"/>
    <n v="3233557"/>
    <s v="189002-3233557"/>
    <s v="TUB-R-AW-AUT-40.00X20.00X1.210X0.8000"/>
    <x v="7"/>
    <m/>
    <x v="0"/>
    <s v="CR"/>
    <m/>
    <m/>
    <m/>
    <m/>
    <x v="75"/>
    <s v="40-20-1.2-CRFH-PE-0.8"/>
    <n v="2"/>
    <s v="Hosur"/>
    <n v="8.802900000000001"/>
    <n v="0"/>
    <m/>
    <x v="14"/>
    <x v="15"/>
    <x v="4"/>
    <x v="2"/>
    <n v="800"/>
    <s v="NOS"/>
    <m/>
    <m/>
    <n v="14000"/>
    <m/>
    <n v="6000"/>
    <n v="8000"/>
    <n v="12.224326464"/>
    <n v="5.238997056000001"/>
    <n v="6.985329407999998"/>
    <n v="985.5329073122504"/>
    <n v="0.860534"/>
    <m/>
    <n v="30.749381"/>
    <n v="129.152"/>
    <n v="11.363792464"/>
    <m/>
  </r>
  <r>
    <n v="159"/>
    <s v="Hosur"/>
    <x v="6"/>
    <s v="Marathwada"/>
    <x v="7"/>
    <n v="3233556"/>
    <s v="189002-3233556"/>
    <s v="TUB-R-AW-AUT-40.00X20.00X1.210X0.860"/>
    <x v="7"/>
    <m/>
    <x v="0"/>
    <s v="CR"/>
    <m/>
    <m/>
    <m/>
    <m/>
    <x v="75"/>
    <s v="40-20-1.2-CRFH-PE-0.86"/>
    <n v="5"/>
    <s v="Hosur"/>
    <m/>
    <m/>
    <m/>
    <x v="14"/>
    <x v="15"/>
    <x v="4"/>
    <x v="2"/>
    <n v="860"/>
    <s v="NOS"/>
    <m/>
    <m/>
    <m/>
    <m/>
    <n v="13000"/>
    <n v="-13000"/>
    <n v="0"/>
    <n v="12.2024973096"/>
    <n v="-12.2024973096"/>
    <e v="#DIV/0!"/>
    <n v="3.51612"/>
    <m/>
    <n v="30.749381"/>
    <n v="129.152"/>
    <n v="-3.51612"/>
    <m/>
  </r>
  <r>
    <n v="777"/>
    <s v="Hosur"/>
    <x v="7"/>
    <s v="Marathwada"/>
    <x v="7"/>
    <n v="3572051"/>
    <s v="189002-3572051"/>
    <s v="TUB-R-AW-AUT-40.00X20.00X1.200X0.8600"/>
    <x v="7"/>
    <m/>
    <x v="0"/>
    <s v="CR"/>
    <m/>
    <m/>
    <m/>
    <m/>
    <x v="75"/>
    <s v="40-20-1.2-CRFH-PE-0.86"/>
    <n v="5"/>
    <s v="Hosur"/>
    <n v="8.802900000000001"/>
    <n v="0"/>
    <m/>
    <x v="14"/>
    <x v="15"/>
    <x v="4"/>
    <x v="2"/>
    <n v="860"/>
    <s v="NOS"/>
    <m/>
    <m/>
    <n v="28000"/>
    <m/>
    <n v="13000"/>
    <n v="15000"/>
    <n v="26.2823018976"/>
    <n v="12.2024973096"/>
    <n v="14.079804588"/>
    <n v="32759.02816102351"/>
    <n v="30.749381"/>
    <n v="129.152"/>
    <n v="12985.920195412"/>
    <n v="129.152"/>
    <n v="-4.467079102399996"/>
    <m/>
  </r>
  <r>
    <n v="160"/>
    <s v="Hosur"/>
    <x v="6"/>
    <s v="Marathwada"/>
    <x v="7"/>
    <n v="3597713"/>
    <s v="189002-3597713"/>
    <s v="TUB-R-AW-AUT-40.00X20.00X1.200X5.2600"/>
    <x v="7"/>
    <m/>
    <x v="0"/>
    <s v="CR"/>
    <m/>
    <m/>
    <m/>
    <m/>
    <x v="75"/>
    <s v="40-20-1.2-CRFH-PE-1"/>
    <n v="2"/>
    <s v="Hosur"/>
    <m/>
    <m/>
    <m/>
    <x v="14"/>
    <x v="15"/>
    <x v="4"/>
    <x v="2"/>
    <n v="1000"/>
    <s v="M"/>
    <m/>
    <m/>
    <m/>
    <m/>
    <n v="2840"/>
    <n v="-2840"/>
    <n v="0"/>
    <n v="3.099739924799999"/>
    <n v="-3.099739924799999"/>
    <e v="#DIV/0!"/>
    <n v="12.762481"/>
    <m/>
    <n v="30.749381"/>
    <n v="129.152"/>
    <n v="-12.762481"/>
    <m/>
  </r>
  <r>
    <n v="161"/>
    <s v="Hosur"/>
    <x v="6"/>
    <s v="Marathwada"/>
    <x v="7"/>
    <n v="1940807"/>
    <s v="189002-1940807"/>
    <s v="TUB-R-AW-RHS-40.00X20.00X1.210X6.0000"/>
    <x v="7"/>
    <m/>
    <x v="0"/>
    <s v="CR"/>
    <m/>
    <m/>
    <m/>
    <m/>
    <x v="75"/>
    <s v="40-20-1.2-CRFH-PE-1"/>
    <n v="2"/>
    <s v="Hosur"/>
    <m/>
    <m/>
    <m/>
    <x v="14"/>
    <x v="15"/>
    <x v="4"/>
    <x v="2"/>
    <n v="1000"/>
    <s v="M"/>
    <m/>
    <m/>
    <m/>
    <m/>
    <n v="2840"/>
    <n v="-2840"/>
    <n v="0"/>
    <n v="3.099739924799999"/>
    <n v="-3.099739924799999"/>
    <e v="#DIV/0!"/>
    <n v="12.762481"/>
    <m/>
    <n v="30.749381"/>
    <n v="129.152"/>
    <n v="-12.762481"/>
    <m/>
  </r>
  <r>
    <n v="162"/>
    <s v="Hosur"/>
    <x v="6"/>
    <s v="Marathwada"/>
    <x v="7"/>
    <n v="3233555"/>
    <s v="189002-3233555"/>
    <s v="TUB-R-AW-AUT-40.00X20.00X1.210X1.1200"/>
    <x v="7"/>
    <m/>
    <x v="0"/>
    <s v="CR"/>
    <m/>
    <m/>
    <m/>
    <m/>
    <x v="75"/>
    <s v="40-20-1.2-CRFH-PE-1.12"/>
    <n v="5"/>
    <s v="Hosur"/>
    <m/>
    <m/>
    <m/>
    <x v="14"/>
    <x v="15"/>
    <x v="4"/>
    <x v="2"/>
    <n v="1120"/>
    <s v="NOS"/>
    <m/>
    <m/>
    <m/>
    <m/>
    <n v="14000"/>
    <n v="-14000"/>
    <n v="0"/>
    <n v="17.1140570496"/>
    <n v="-17.1140570496"/>
    <e v="#DIV/0!"/>
    <n v="2.979598"/>
    <m/>
    <n v="30.749381"/>
    <n v="129.152"/>
    <n v="-2.979598"/>
    <m/>
  </r>
  <r>
    <n v="752"/>
    <s v="Hosur"/>
    <x v="7"/>
    <s v="Marathwada"/>
    <x v="7"/>
    <n v="3233555"/>
    <s v="189002-3233555"/>
    <s v="TUB-R-AW-AUT-40.00X20.00X1.210X1.1200"/>
    <x v="7"/>
    <m/>
    <x v="0"/>
    <s v="CR"/>
    <m/>
    <m/>
    <m/>
    <m/>
    <x v="75"/>
    <s v="40-20-1.2-CRFH-PE-1.12"/>
    <n v="5"/>
    <s v="Hosur"/>
    <n v="8.802900000000001"/>
    <n v="0"/>
    <m/>
    <x v="14"/>
    <x v="15"/>
    <x v="4"/>
    <x v="2"/>
    <n v="1120"/>
    <s v="NOS"/>
    <m/>
    <m/>
    <n v="28000"/>
    <m/>
    <n v="14000"/>
    <n v="14000"/>
    <n v="34.22811409919999"/>
    <n v="17.1140570496"/>
    <n v="17.1140570496"/>
    <n v="25154.25376650019"/>
    <n v="30.749381"/>
    <n v="129.152"/>
    <n v="13982.8859429504"/>
    <n v="129.152"/>
    <n v="3.478733099199996"/>
    <m/>
  </r>
  <r>
    <n v="163"/>
    <s v="Hosur"/>
    <x v="6"/>
    <s v="Marathwada"/>
    <x v="7"/>
    <n v="3233554"/>
    <s v="189002-3233554"/>
    <s v="TUB-R-AW-AUT-40.00X20.00X1.210X1.2460"/>
    <x v="7"/>
    <m/>
    <x v="0"/>
    <s v="CR"/>
    <m/>
    <m/>
    <m/>
    <m/>
    <x v="75"/>
    <s v="40-20-1.2-CRFH-PE-1.246"/>
    <n v="5"/>
    <s v="Hosur"/>
    <m/>
    <m/>
    <m/>
    <x v="14"/>
    <x v="15"/>
    <x v="4"/>
    <x v="2"/>
    <n v="1246"/>
    <s v="NOS"/>
    <m/>
    <m/>
    <m/>
    <m/>
    <n v="3500"/>
    <n v="-3500"/>
    <n v="0"/>
    <n v="4.75984711692"/>
    <n v="-4.75984711692"/>
    <e v="#DIV/0!"/>
    <n v="2.698602"/>
    <m/>
    <n v="30.749381"/>
    <n v="129.152"/>
    <n v="-2.698602"/>
    <m/>
  </r>
  <r>
    <n v="771"/>
    <s v="Hosur"/>
    <x v="7"/>
    <s v="Marathwada"/>
    <x v="7"/>
    <n v="3233554"/>
    <s v="189002-3233554"/>
    <s v="TUB-R-AW-AUT-40.00X20.00X1.210X1.2460"/>
    <x v="7"/>
    <m/>
    <x v="0"/>
    <s v="CR"/>
    <m/>
    <m/>
    <m/>
    <m/>
    <x v="75"/>
    <s v="40-20-1.2-CRFH-PE-1.246"/>
    <n v="5"/>
    <s v="Hosur"/>
    <n v="8.802900000000001"/>
    <n v="0"/>
    <m/>
    <x v="14"/>
    <x v="15"/>
    <x v="4"/>
    <x v="2"/>
    <n v="1246"/>
    <s v="NOS"/>
    <m/>
    <m/>
    <n v="7000"/>
    <m/>
    <n v="3500"/>
    <n v="3500"/>
    <n v="9.519694233839999"/>
    <n v="4.75984711692"/>
    <n v="4.75984711692"/>
    <n v="22610.56518337096"/>
    <n v="30.749381"/>
    <n v="129.152"/>
    <n v="3495.24015288308"/>
    <n v="129.152"/>
    <n v="-21.22968676616"/>
    <m/>
  </r>
  <r>
    <n v="164"/>
    <s v="Hosur"/>
    <x v="6"/>
    <s v="Marathwada"/>
    <x v="7"/>
    <n v="3233553"/>
    <s v="189002-3233553"/>
    <s v="TUB-R-AW-AUT-40.00X20.00X1.210X1.2980"/>
    <x v="7"/>
    <m/>
    <x v="0"/>
    <s v="CR"/>
    <m/>
    <m/>
    <m/>
    <m/>
    <x v="75"/>
    <s v="40-20-1.2-CRFH-PE-1.298"/>
    <n v="1"/>
    <s v="Hosur"/>
    <m/>
    <m/>
    <m/>
    <x v="14"/>
    <x v="15"/>
    <x v="4"/>
    <x v="2"/>
    <n v="1298"/>
    <s v="NOS"/>
    <m/>
    <m/>
    <m/>
    <m/>
    <n v="0"/>
    <n v="0"/>
    <n v="0"/>
    <n v="0"/>
    <n v="0"/>
    <e v="#DIV/0!"/>
    <n v="0"/>
    <m/>
    <n v="30.749381"/>
    <n v="129.152"/>
    <n v="0"/>
    <m/>
  </r>
  <r>
    <n v="165"/>
    <s v="Hosur"/>
    <x v="6"/>
    <s v="Marathwada"/>
    <x v="7"/>
    <n v="1940801"/>
    <s v="189002-1940801"/>
    <s v="TUB-R-AW-RHS-40.00X20.00X1.210X1.3100"/>
    <x v="7"/>
    <m/>
    <x v="0"/>
    <s v="CR"/>
    <m/>
    <m/>
    <m/>
    <m/>
    <x v="75"/>
    <s v="40-20-1.2-CRFH-PE-1.31"/>
    <n v="5"/>
    <s v="Hosur"/>
    <m/>
    <m/>
    <m/>
    <x v="14"/>
    <x v="15"/>
    <x v="4"/>
    <x v="2"/>
    <n v="1310"/>
    <s v="NOS"/>
    <m/>
    <m/>
    <m/>
    <m/>
    <n v="10500"/>
    <n v="-10500"/>
    <n v="0"/>
    <n v="15.0130009386"/>
    <n v="-15.0130009386"/>
    <e v="#DIV/0!"/>
    <n v="3.186563"/>
    <m/>
    <n v="30.749381"/>
    <n v="129.152"/>
    <n v="-3.186563"/>
    <m/>
  </r>
  <r>
    <n v="751"/>
    <s v="Hosur"/>
    <x v="7"/>
    <s v="Marathwada"/>
    <x v="7"/>
    <n v="1940801"/>
    <s v="189002-1940801"/>
    <s v="TUB-R-AW-RHS-40.00X20.00X1.210X1.3100"/>
    <x v="7"/>
    <m/>
    <x v="0"/>
    <s v="CR"/>
    <m/>
    <m/>
    <m/>
    <m/>
    <x v="75"/>
    <s v="40-20-1.2-CRFH-PE-1.31"/>
    <n v="5"/>
    <s v="Hosur"/>
    <n v="8.802900000000001"/>
    <n v="0"/>
    <m/>
    <x v="14"/>
    <x v="15"/>
    <x v="4"/>
    <x v="2"/>
    <n v="1310"/>
    <s v="NOS"/>
    <m/>
    <m/>
    <n v="21000"/>
    <m/>
    <n v="10500"/>
    <n v="10500"/>
    <n v="30.0260018772"/>
    <n v="15.0130009386"/>
    <n v="15.0130009386"/>
    <n v="21505.92688433604"/>
    <n v="30.749381"/>
    <n v="129.152"/>
    <n v="10484.9869990614"/>
    <n v="129.152"/>
    <n v="-0.7233791228000008"/>
    <m/>
  </r>
  <r>
    <n v="172"/>
    <s v="Hosur"/>
    <x v="6"/>
    <s v="Marathwada"/>
    <x v="7"/>
    <n v="1940852"/>
    <s v="189002-1940852"/>
    <s v="TUB-S-AW-SHS-40.00X40.00X1.200X6.0000"/>
    <x v="7"/>
    <m/>
    <x v="0"/>
    <s v="CR"/>
    <m/>
    <m/>
    <m/>
    <m/>
    <x v="76"/>
    <s v="40-40-1.2-CRFH-PE-1"/>
    <s v="#REF!"/>
    <s v="Hosur"/>
    <m/>
    <m/>
    <m/>
    <x v="4"/>
    <x v="15"/>
    <x v="12"/>
    <x v="2"/>
    <n v="1000"/>
    <s v="M"/>
    <m/>
    <m/>
    <m/>
    <m/>
    <n v="4500"/>
    <n v="-4500"/>
    <n v="0"/>
    <n v="6.601988159999999"/>
    <n v="-6.601988159999999"/>
    <e v="#DIV/0!"/>
    <n v="1.450949"/>
    <m/>
    <n v="1.450949"/>
    <n v="10.451"/>
    <n v="-1.450949"/>
    <m/>
  </r>
  <r>
    <m/>
    <s v="Hosur"/>
    <x v="6"/>
    <s v="Marathwada"/>
    <x v="7"/>
    <m/>
    <s v="189002-"/>
    <m/>
    <x v="0"/>
    <m/>
    <x v="0"/>
    <s v="HR"/>
    <m/>
    <m/>
    <m/>
    <m/>
    <x v="77"/>
    <s v="15.88-0-1-ERW 1-PE-1.603"/>
    <n v="2"/>
    <s v="Hosur"/>
    <n v="0"/>
    <n v="0"/>
    <m/>
    <x v="1"/>
    <x v="1"/>
    <x v="0"/>
    <x v="1"/>
    <n v="1603"/>
    <s v="NOS"/>
    <m/>
    <m/>
    <n v="15000"/>
    <m/>
    <n v="5950"/>
    <n v="9050"/>
    <n v="8.819155850399998"/>
    <n v="3.498265153992"/>
    <n v="5.320890696407998"/>
    <n v="2569.810578749675"/>
    <n v="1.510904"/>
    <m/>
    <n v="0.179"/>
    <n v="0"/>
    <n v="7.308251850399998"/>
    <m/>
  </r>
  <r>
    <n v="123"/>
    <s v="Hosur"/>
    <x v="6"/>
    <s v="Marathwada"/>
    <x v="7"/>
    <n v="3672607"/>
    <s v="189002-3672607"/>
    <s v="TUB-O-N-AUT-AW-PE-15.88X1.000X1.7150"/>
    <x v="0"/>
    <m/>
    <x v="0"/>
    <s v="CR"/>
    <m/>
    <m/>
    <m/>
    <m/>
    <x v="77"/>
    <s v="15.88-0-1-ERW 1-PE-1.715"/>
    <n v="1"/>
    <s v="Hosur"/>
    <n v="0"/>
    <n v="0"/>
    <m/>
    <x v="1"/>
    <x v="1"/>
    <x v="0"/>
    <x v="1"/>
    <n v="1715"/>
    <s v="NOS"/>
    <m/>
    <m/>
    <n v="2000"/>
    <m/>
    <n v="2400"/>
    <n v="-400"/>
    <n v="1.2580455216"/>
    <n v="1.50965462592"/>
    <n v="-0.2516091043199999"/>
    <n v="154.7638751198588"/>
    <n v="0.09735000000000001"/>
    <m/>
    <n v="0.179"/>
    <n v="0"/>
    <n v="1.1606955216"/>
    <m/>
  </r>
  <r>
    <n v="124"/>
    <s v="Hosur"/>
    <x v="6"/>
    <s v="Marathwada"/>
    <x v="7"/>
    <n v="3672606"/>
    <s v="189002-3672606"/>
    <s v="TUB-O-N-AUT-AW-PE-15.88X1.000X1.7450"/>
    <x v="0"/>
    <m/>
    <x v="0"/>
    <s v="CR"/>
    <m/>
    <m/>
    <m/>
    <m/>
    <x v="77"/>
    <s v="15.88-0-1-ERW 1-PE-1.745"/>
    <n v="1"/>
    <s v="Hosur"/>
    <n v="0"/>
    <n v="0"/>
    <m/>
    <x v="1"/>
    <x v="1"/>
    <x v="0"/>
    <x v="1"/>
    <n v="1745"/>
    <s v="NOS"/>
    <m/>
    <m/>
    <n v="3000"/>
    <m/>
    <n v="2000"/>
    <n v="1000"/>
    <n v="1.9200782232"/>
    <n v="1.2800521488"/>
    <n v="0.6400260744000001"/>
    <n v="22.52564477707472"/>
    <n v="0.014417"/>
    <m/>
    <n v="0.179"/>
    <n v="0"/>
    <n v="1.9056612232"/>
    <m/>
  </r>
  <r>
    <m/>
    <s v="Hosur"/>
    <x v="6"/>
    <s v="Marathwada"/>
    <x v="7"/>
    <m/>
    <s v="189002-"/>
    <m/>
    <x v="0"/>
    <m/>
    <x v="0"/>
    <s v="HR"/>
    <m/>
    <m/>
    <m/>
    <m/>
    <x v="77"/>
    <s v="15.88-0-1-ERW 1-PE-2.185"/>
    <n v="2"/>
    <s v="Hosur"/>
    <n v="0"/>
    <n v="0"/>
    <m/>
    <x v="1"/>
    <x v="1"/>
    <x v="0"/>
    <x v="1"/>
    <n v="2185"/>
    <s v="NOS"/>
    <m/>
    <m/>
    <n v="7500"/>
    <m/>
    <n v="1775"/>
    <n v="5725"/>
    <n v="6.010560054"/>
    <n v="1.42249921278"/>
    <n v="4.58806084122"/>
    <n v="4296.218616568871"/>
    <n v="3.443024"/>
    <m/>
    <n v="0.179"/>
    <n v="0"/>
    <n v="2.567536054"/>
    <m/>
  </r>
  <r>
    <n v="126"/>
    <s v="Hosur"/>
    <x v="6"/>
    <s v="Marathwada"/>
    <x v="7"/>
    <n v="3672608"/>
    <s v="189002-3672608"/>
    <s v="TUB-O-N-AUT-AW-PE-15.88X1.000X2.3400"/>
    <x v="0"/>
    <m/>
    <x v="0"/>
    <s v="CR"/>
    <m/>
    <m/>
    <m/>
    <m/>
    <x v="77"/>
    <s v="15.88-0-1-ERW 1-PE-2.34"/>
    <n v="1"/>
    <s v="Hosur"/>
    <n v="0"/>
    <n v="0"/>
    <m/>
    <x v="1"/>
    <x v="1"/>
    <x v="0"/>
    <x v="1"/>
    <n v="2340"/>
    <s v="NOS"/>
    <m/>
    <m/>
    <n v="3000"/>
    <m/>
    <n v="0"/>
    <n v="3000"/>
    <n v="2.5747753824"/>
    <n v="0"/>
    <n v="2.5747753824"/>
    <n v="1866.901490847499"/>
    <n v="1.602284"/>
    <m/>
    <n v="0.179"/>
    <n v="0"/>
    <n v="0.9724913824000003"/>
    <m/>
  </r>
  <r>
    <n v="115"/>
    <s v="Hosur"/>
    <x v="6"/>
    <s v="Marathwada"/>
    <x v="7"/>
    <m/>
    <s v="189002-"/>
    <m/>
    <x v="0"/>
    <m/>
    <x v="0"/>
    <s v="CR"/>
    <s v="WG"/>
    <m/>
    <m/>
    <m/>
    <x v="15"/>
    <s v="15.88-0-1.6-ERW 1-PE-1"/>
    <n v="6"/>
    <s v="Hosur"/>
    <m/>
    <m/>
    <m/>
    <x v="1"/>
    <x v="1"/>
    <x v="0"/>
    <x v="0"/>
    <n v="1000"/>
    <s v="M"/>
    <m/>
    <m/>
    <m/>
    <m/>
    <n v="2100"/>
    <n v="-2100"/>
    <n v="0"/>
    <n v="1.1826787392"/>
    <n v="-1.1826787392"/>
    <e v="#DIV/0!"/>
    <n v="0"/>
    <m/>
    <n v="0"/>
    <n v="3.888"/>
    <n v="0"/>
    <m/>
  </r>
  <r>
    <n v="129"/>
    <s v="Hosur"/>
    <x v="6"/>
    <s v="Marathwada"/>
    <x v="7"/>
    <m/>
    <s v="189002-"/>
    <m/>
    <x v="0"/>
    <m/>
    <x v="0"/>
    <s v="CR"/>
    <m/>
    <m/>
    <m/>
    <m/>
    <x v="17"/>
    <s v="17.3-0-1.6-ERW 1-PE-0.363"/>
    <n v="1"/>
    <m/>
    <m/>
    <m/>
    <m/>
    <x v="7"/>
    <x v="7"/>
    <x v="0"/>
    <x v="0"/>
    <n v="363"/>
    <s v="NOS"/>
    <m/>
    <m/>
    <m/>
    <m/>
    <n v="0"/>
    <n v="0"/>
    <n v="0"/>
    <n v="0"/>
    <n v="0"/>
    <e v="#DIV/0!"/>
    <n v="0"/>
    <m/>
    <n v="0.09304000000000001"/>
    <n v="0"/>
    <n v="0"/>
    <m/>
  </r>
  <r>
    <n v="131"/>
    <s v="Hosur"/>
    <x v="6"/>
    <s v="Marathwada"/>
    <x v="7"/>
    <m/>
    <s v="189002-"/>
    <m/>
    <x v="0"/>
    <m/>
    <x v="0"/>
    <s v="CR"/>
    <s v="D"/>
    <m/>
    <m/>
    <m/>
    <x v="17"/>
    <s v="17.3-0-1.6-ERW 1-PE-0.415"/>
    <m/>
    <m/>
    <m/>
    <m/>
    <m/>
    <x v="7"/>
    <x v="7"/>
    <x v="0"/>
    <x v="0"/>
    <n v="415"/>
    <s v="NOS"/>
    <m/>
    <m/>
    <m/>
    <m/>
    <n v="0"/>
    <n v="0"/>
    <n v="0"/>
    <n v="0"/>
    <n v="0"/>
    <e v="#DIV/0!"/>
    <n v="0"/>
    <m/>
    <n v="0.09304000000000001"/>
    <n v="0"/>
    <n v="0"/>
    <m/>
  </r>
  <r>
    <n v="122"/>
    <s v="Hosur"/>
    <x v="6"/>
    <s v="Marathwada"/>
    <x v="7"/>
    <n v="3635694"/>
    <s v="189002-3635694"/>
    <s v="TUB-O-N-AUT-AW-PE-19.05X1.000X1.2000"/>
    <x v="0"/>
    <m/>
    <x v="0"/>
    <s v="CR"/>
    <m/>
    <m/>
    <m/>
    <m/>
    <x v="3"/>
    <s v="19.05-0-1-ERW 1-PE-1.2"/>
    <n v="2"/>
    <m/>
    <n v="0"/>
    <n v="0"/>
    <m/>
    <x v="2"/>
    <x v="2"/>
    <x v="0"/>
    <x v="1"/>
    <n v="1200"/>
    <s v="NOS"/>
    <m/>
    <m/>
    <n v="10000"/>
    <m/>
    <n v="5725"/>
    <n v="4275"/>
    <n v="5.3389734"/>
    <n v="3.0565622715"/>
    <n v="2.2824111285"/>
    <n v="4000.048024213794"/>
    <n v="2.135615"/>
    <m/>
    <n v="0"/>
    <n v="18.324"/>
    <n v="3.2033584"/>
    <m/>
  </r>
  <r>
    <n v="116"/>
    <s v="Hosur"/>
    <x v="6"/>
    <s v="Marathwada"/>
    <x v="7"/>
    <n v="3929691"/>
    <s v="189002-3929691"/>
    <s v="CUT-O-N-AUT-AW-PE-19.05X1.200X0.2000"/>
    <x v="0"/>
    <m/>
    <x v="0"/>
    <s v="HR"/>
    <m/>
    <m/>
    <m/>
    <m/>
    <x v="4"/>
    <s v="19.05-0-1.2-ERW 1-PE-0.2"/>
    <n v="3"/>
    <s v="Hosur"/>
    <m/>
    <m/>
    <m/>
    <x v="2"/>
    <x v="2"/>
    <x v="0"/>
    <x v="2"/>
    <n v="200"/>
    <s v="NOS"/>
    <m/>
    <m/>
    <m/>
    <m/>
    <n v="0"/>
    <n v="0"/>
    <n v="0"/>
    <n v="0"/>
    <n v="0"/>
    <e v="#DIV/0!"/>
    <n v="0"/>
    <m/>
    <n v="0"/>
    <n v="20.588"/>
    <n v="0"/>
    <m/>
  </r>
  <r>
    <m/>
    <s v="Hosur"/>
    <x v="6"/>
    <s v="Marathwada"/>
    <x v="7"/>
    <n v="3929691"/>
    <s v="189002-3929691"/>
    <s v="CUT-O-N-AUT-AW-PE-19.05X1.200X0.2000"/>
    <x v="0"/>
    <m/>
    <x v="0"/>
    <s v="CR"/>
    <m/>
    <m/>
    <m/>
    <m/>
    <x v="4"/>
    <s v="19.05-0-1.2-ERW 1-PE-0.2"/>
    <n v="3"/>
    <s v="Hosur"/>
    <m/>
    <m/>
    <m/>
    <x v="2"/>
    <x v="2"/>
    <x v="0"/>
    <x v="2"/>
    <n v="200"/>
    <s v="NOS"/>
    <m/>
    <m/>
    <m/>
    <m/>
    <n v="0"/>
    <n v="0"/>
    <n v="0"/>
    <n v="0"/>
    <n v="0"/>
    <e v="#DIV/0!"/>
    <n v="0"/>
    <m/>
    <n v="0"/>
    <n v="20.588"/>
    <n v="0"/>
    <m/>
  </r>
  <r>
    <m/>
    <s v="Hosur"/>
    <x v="6"/>
    <s v="Marathwada"/>
    <x v="7"/>
    <n v="3935313"/>
    <s v="189002-3935313"/>
    <s v="CUT-O-N-AUT-AW-PE-19.05X1.200X0.33"/>
    <x v="0"/>
    <m/>
    <x v="0"/>
    <s v="CR"/>
    <m/>
    <m/>
    <m/>
    <m/>
    <x v="4"/>
    <s v="19.05-0-1.2-ERW 1-PE-0.33"/>
    <n v="3"/>
    <s v="Hosur"/>
    <m/>
    <m/>
    <m/>
    <x v="2"/>
    <x v="2"/>
    <x v="0"/>
    <x v="2"/>
    <n v="330"/>
    <s v="NOS"/>
    <m/>
    <m/>
    <m/>
    <m/>
    <n v="0"/>
    <n v="0"/>
    <n v="0"/>
    <n v="0"/>
    <n v="0"/>
    <e v="#DIV/0!"/>
    <n v="0.597284"/>
    <m/>
    <n v="0"/>
    <n v="20.588"/>
    <n v="-0.597284"/>
    <m/>
  </r>
  <r>
    <m/>
    <s v="Hosur"/>
    <x v="6"/>
    <s v="Marathwada"/>
    <x v="7"/>
    <n v="3929540"/>
    <s v="189002-3929540"/>
    <s v="CUT-O-N-AUT-AW-PE-19.05X1.200X0.6820"/>
    <x v="0"/>
    <m/>
    <x v="0"/>
    <s v="CR"/>
    <m/>
    <m/>
    <m/>
    <m/>
    <x v="4"/>
    <s v="19.05-0-1.2-ERW 1-PE-0.682"/>
    <n v="2"/>
    <s v="Hosur"/>
    <m/>
    <m/>
    <m/>
    <x v="2"/>
    <x v="2"/>
    <x v="0"/>
    <x v="2"/>
    <n v="682"/>
    <s v="NOS"/>
    <m/>
    <m/>
    <m/>
    <m/>
    <n v="0"/>
    <n v="0"/>
    <n v="0"/>
    <n v="0"/>
    <n v="0"/>
    <e v="#DIV/0!"/>
    <n v="0"/>
    <m/>
    <n v="0"/>
    <n v="20.588"/>
    <n v="0"/>
    <m/>
  </r>
  <r>
    <m/>
    <s v="Hosur"/>
    <x v="6"/>
    <s v="Marathwada"/>
    <x v="7"/>
    <n v="3929692"/>
    <s v="189002-3929692"/>
    <s v="CUT-O-N-AUT-AW-PE-19.05X1.200X1.2300"/>
    <x v="0"/>
    <m/>
    <x v="0"/>
    <s v="CR"/>
    <m/>
    <m/>
    <m/>
    <m/>
    <x v="4"/>
    <s v="19.05-0-1.2-ERW 1-PE-1.23"/>
    <n v="2"/>
    <s v="Hosur"/>
    <m/>
    <m/>
    <m/>
    <x v="2"/>
    <x v="2"/>
    <x v="0"/>
    <x v="2"/>
    <n v="1230"/>
    <s v="NOS"/>
    <m/>
    <m/>
    <m/>
    <m/>
    <n v="0"/>
    <n v="0"/>
    <n v="0"/>
    <n v="0"/>
    <n v="0"/>
    <e v="#DIV/0!"/>
    <n v="0"/>
    <m/>
    <n v="0"/>
    <n v="20.588"/>
    <n v="0"/>
    <m/>
  </r>
  <r>
    <n v="117"/>
    <s v="Hosur"/>
    <x v="6"/>
    <s v="Marathwada"/>
    <x v="7"/>
    <n v="1940391"/>
    <s v="189002-1940391"/>
    <s v="TUB-O-O-AUT-AW-PE-22.23X1.600X0.2850"/>
    <x v="0"/>
    <m/>
    <x v="0"/>
    <s v="CR"/>
    <m/>
    <m/>
    <m/>
    <m/>
    <x v="21"/>
    <s v="22.23-0-1.6-ERW 1-PE-0.285"/>
    <n v="2"/>
    <s v="Hosur"/>
    <m/>
    <m/>
    <m/>
    <x v="11"/>
    <x v="11"/>
    <x v="0"/>
    <x v="0"/>
    <n v="285"/>
    <s v="NOS"/>
    <m/>
    <m/>
    <m/>
    <m/>
    <n v="0"/>
    <n v="0"/>
    <n v="0"/>
    <n v="0"/>
    <n v="0"/>
    <e v="#DIV/0!"/>
    <n v="0.09472800000000001"/>
    <m/>
    <n v="10.773162"/>
    <n v="0"/>
    <n v="-0.09472800000000001"/>
    <m/>
  </r>
  <r>
    <n v="118"/>
    <s v="Hosur"/>
    <x v="6"/>
    <s v="Marathwada"/>
    <x v="7"/>
    <n v="4095225"/>
    <s v="CUT-O-N-AUT-AW-PE-22.23X2.300X0.1880"/>
    <s v="CUT-O-N-AUT-AW-PE-22.23X2.300X0.1880"/>
    <x v="0"/>
    <m/>
    <x v="0"/>
    <s v="HR"/>
    <m/>
    <m/>
    <m/>
    <m/>
    <x v="24"/>
    <s v="22.23-0-2.3-ERW 1-PE-0.188"/>
    <s v="#REF!"/>
    <m/>
    <m/>
    <m/>
    <m/>
    <x v="11"/>
    <x v="11"/>
    <x v="0"/>
    <x v="9"/>
    <n v="188"/>
    <s v="NOS"/>
    <m/>
    <m/>
    <m/>
    <m/>
    <n v="0"/>
    <n v="0"/>
    <n v="0"/>
    <n v="0"/>
    <n v="0"/>
    <e v="#DIV/0!"/>
    <n v="0"/>
    <m/>
    <n v="6.810974"/>
    <n v="0"/>
    <n v="0"/>
    <m/>
  </r>
  <r>
    <n v="119"/>
    <s v="Hosur"/>
    <x v="6"/>
    <s v="Marathwada"/>
    <x v="7"/>
    <n v="4095224"/>
    <s v="189002-4095224"/>
    <s v="CUT-O-N-AUT-AW-PE-22.23X2.310X0.2950"/>
    <x v="0"/>
    <m/>
    <x v="0"/>
    <s v="HR"/>
    <m/>
    <m/>
    <m/>
    <m/>
    <x v="24"/>
    <s v="22.23-0-2.3-ERW 1-PE-0.295"/>
    <n v="1"/>
    <m/>
    <m/>
    <m/>
    <m/>
    <x v="11"/>
    <x v="11"/>
    <x v="0"/>
    <x v="9"/>
    <n v="295"/>
    <s v="NOS"/>
    <m/>
    <m/>
    <m/>
    <m/>
    <n v="0"/>
    <n v="0"/>
    <n v="0"/>
    <n v="0"/>
    <n v="0"/>
    <e v="#DIV/0!"/>
    <n v="0"/>
    <m/>
    <n v="6.810974"/>
    <n v="0"/>
    <n v="0"/>
    <m/>
  </r>
  <r>
    <n v="128"/>
    <s v="Hosur"/>
    <x v="6"/>
    <s v="Marathwada"/>
    <x v="7"/>
    <n v="2426142"/>
    <s v="189002-2426142"/>
    <s v="TUB-O-N-AUT-AW-PE-25.40X1.200X2.5500"/>
    <x v="0"/>
    <m/>
    <x v="0"/>
    <s v="CR"/>
    <m/>
    <m/>
    <m/>
    <m/>
    <x v="78"/>
    <s v="25.4-0-1.2-ERW 1-PE-2.55"/>
    <n v="1"/>
    <m/>
    <n v="0"/>
    <n v="0"/>
    <m/>
    <x v="3"/>
    <x v="3"/>
    <x v="0"/>
    <x v="2"/>
    <n v="2550"/>
    <s v="NOS"/>
    <m/>
    <m/>
    <n v="3000"/>
    <m/>
    <n v="2640"/>
    <n v="360"/>
    <n v="5.475923244"/>
    <n v="4.81881245472"/>
    <n v="0.6571107892799999"/>
    <n v="843.0424960865286"/>
    <n v="1.538812"/>
    <m/>
    <n v="0"/>
    <n v="18.564"/>
    <n v="3.937111244"/>
    <m/>
  </r>
  <r>
    <n v="127"/>
    <s v="Hosur"/>
    <x v="6"/>
    <s v="Marathwada"/>
    <x v="7"/>
    <n v="3672610"/>
    <s v="189002-3672610"/>
    <s v="TUB-O-N-AUT-AW-PE-25.40X1.200X2.5850"/>
    <x v="0"/>
    <m/>
    <x v="0"/>
    <s v="CR"/>
    <m/>
    <m/>
    <m/>
    <m/>
    <x v="78"/>
    <s v="25.4-0-1.2-ERW 1-PE-2.585"/>
    <n v="1"/>
    <m/>
    <n v="0"/>
    <n v="0"/>
    <m/>
    <x v="3"/>
    <x v="3"/>
    <x v="0"/>
    <x v="2"/>
    <n v="2585"/>
    <s v="NOS"/>
    <m/>
    <m/>
    <n v="2000"/>
    <m/>
    <n v="0"/>
    <n v="2000"/>
    <n v="3.7007219832"/>
    <n v="0"/>
    <n v="3.7007219832"/>
    <n v="2.732439790371984"/>
    <n v="0.005056"/>
    <m/>
    <n v="0"/>
    <n v="18.564"/>
    <n v="3.6956659832"/>
    <m/>
  </r>
  <r>
    <n v="125"/>
    <s v="Hosur"/>
    <x v="6"/>
    <s v="Marathwada"/>
    <x v="7"/>
    <n v="3673031"/>
    <s v="189002-3673031"/>
    <s v="TUB-O-N-AUT-AW-PE-25.40X1.630X2.5800"/>
    <x v="0"/>
    <m/>
    <x v="0"/>
    <s v="CR"/>
    <m/>
    <m/>
    <m/>
    <m/>
    <x v="5"/>
    <s v="25.4-0-1.6-ERW 1-PE-2.58"/>
    <n v="1"/>
    <m/>
    <n v="0"/>
    <n v="1.628933"/>
    <m/>
    <x v="3"/>
    <x v="3"/>
    <x v="0"/>
    <x v="0"/>
    <n v="2580"/>
    <s v="NOS"/>
    <m/>
    <m/>
    <n v="2000"/>
    <m/>
    <n v="3999"/>
    <n v="-1999"/>
    <n v="4.8433510272"/>
    <n v="9.684280378886401"/>
    <n v="-4.840929351686401"/>
    <n v="731.9510768661885"/>
    <n v="1.772548"/>
    <m/>
    <n v="0"/>
    <n v="3.646"/>
    <n v="3.0708030272"/>
    <m/>
  </r>
  <r>
    <n v="147"/>
    <s v="Khopoli "/>
    <x v="6"/>
    <s v="Marathwada"/>
    <x v="7"/>
    <m/>
    <s v="189002-"/>
    <m/>
    <x v="0"/>
    <m/>
    <x v="2"/>
    <s v="HR"/>
    <m/>
    <m/>
    <m/>
    <m/>
    <x v="25"/>
    <s v="25.4-0-2-ERW 1-FC-0.29"/>
    <n v="1"/>
    <m/>
    <n v="10.051"/>
    <n v="0"/>
    <m/>
    <x v="3"/>
    <x v="3"/>
    <x v="0"/>
    <x v="8"/>
    <n v="290"/>
    <s v="NOS"/>
    <m/>
    <m/>
    <n v="20000"/>
    <m/>
    <n v="0"/>
    <n v="20000"/>
    <n v="6.69072456"/>
    <n v="0"/>
    <n v="6.69072456"/>
    <n v="0"/>
    <n v="0"/>
    <m/>
    <n v="10.739"/>
    <n v="25.931"/>
    <n v="6.69072456"/>
    <m/>
  </r>
  <r>
    <n v="157"/>
    <s v="Khopoli "/>
    <x v="6"/>
    <s v="Marathwada"/>
    <x v="7"/>
    <n v="3784540"/>
    <s v="189002-3784540"/>
    <s v="PT3-O-N-AUT-AW-FC-38.10X3.660X0.2010"/>
    <x v="0"/>
    <m/>
    <x v="2"/>
    <s v="HR"/>
    <m/>
    <m/>
    <m/>
    <m/>
    <x v="79"/>
    <s v="38.1-0-3.66-ERW 1-FC-0.201"/>
    <n v="1"/>
    <s v="Khopoli"/>
    <m/>
    <m/>
    <m/>
    <x v="14"/>
    <x v="30"/>
    <x v="0"/>
    <x v="21"/>
    <n v="201"/>
    <s v="NOS"/>
    <m/>
    <m/>
    <m/>
    <m/>
    <n v="0"/>
    <n v="0"/>
    <n v="0"/>
    <n v="0"/>
    <n v="0"/>
    <e v="#DIV/0!"/>
    <n v="0"/>
    <m/>
    <n v="16.522"/>
    <n v="0"/>
    <n v="0"/>
    <m/>
  </r>
  <r>
    <n v="121"/>
    <s v="Hosur"/>
    <x v="6"/>
    <s v="Marathwada"/>
    <x v="7"/>
    <n v="4100177"/>
    <s v="189002-4100177"/>
    <s v="TUB-R-AW-AUT-40.00X20.00X1.600X0.3560"/>
    <x v="0"/>
    <m/>
    <x v="2"/>
    <s v="HR"/>
    <s v="GR1"/>
    <m/>
    <m/>
    <m/>
    <x v="32"/>
    <s v="40-20-1.6-ERW 1-FC-0.356"/>
    <n v="1"/>
    <m/>
    <n v="0"/>
    <n v="0"/>
    <m/>
    <x v="14"/>
    <x v="15"/>
    <x v="4"/>
    <x v="0"/>
    <n v="356"/>
    <s v="NOS"/>
    <m/>
    <m/>
    <n v="18000"/>
    <m/>
    <n v="4080"/>
    <n v="13920"/>
    <n v="9.224326252800001"/>
    <n v="2.090847283968"/>
    <n v="7.133478968832001"/>
    <n v="992.5759073429116"/>
    <n v="0.5086580000000001"/>
    <m/>
    <n v="5.328992"/>
    <n v="1.27"/>
    <n v="8.7156682528"/>
    <m/>
  </r>
  <r>
    <n v="120"/>
    <s v="Hosur"/>
    <x v="6"/>
    <s v="Marathwada"/>
    <x v="7"/>
    <n v="3652441"/>
    <s v="189002-3652441"/>
    <s v="TUB-S-FH-RHS-40.00X20.00X1.600X6.0000"/>
    <x v="0"/>
    <m/>
    <x v="2"/>
    <s v="HR"/>
    <s v="GR1"/>
    <m/>
    <m/>
    <m/>
    <x v="32"/>
    <s v="40-20-1.6-ERW 1-FC-1"/>
    <n v="1"/>
    <m/>
    <m/>
    <m/>
    <m/>
    <x v="14"/>
    <x v="15"/>
    <x v="4"/>
    <x v="0"/>
    <n v="1000"/>
    <s v="M"/>
    <m/>
    <m/>
    <m/>
    <m/>
    <n v="3633.2"/>
    <n v="-3633.2"/>
    <n v="0"/>
    <n v="5.229997213119999"/>
    <n v="-5.229997213119999"/>
    <e v="#DIV/0!"/>
    <n v="5.328992"/>
    <m/>
    <n v="5.328992"/>
    <n v="1.27"/>
    <n v="-5.328992"/>
    <m/>
  </r>
  <r>
    <n v="168"/>
    <s v="Hosur"/>
    <x v="6"/>
    <s v="Marathwada"/>
    <x v="7"/>
    <n v="3438761"/>
    <s v="189002-3438761"/>
    <s v="TUB-R-AW-AUT-40.00X25.00X1.600X0.5140"/>
    <x v="0"/>
    <m/>
    <x v="2"/>
    <s v="CR"/>
    <s v="HROP"/>
    <m/>
    <m/>
    <m/>
    <x v="33"/>
    <s v="40-25-1.6-ERW 1-FC-0.514"/>
    <n v="1"/>
    <s v="Hosur"/>
    <n v="0.618274"/>
    <n v="0"/>
    <m/>
    <x v="15"/>
    <x v="15"/>
    <x v="3"/>
    <x v="0"/>
    <n v="514"/>
    <s v="NOS"/>
    <m/>
    <m/>
    <n v="6000"/>
    <m/>
    <n v="3080"/>
    <n v="2920"/>
    <n v="4.826200055808"/>
    <n v="2.47744936198144"/>
    <n v="2.34875069382656"/>
    <n v="471.6555413529998"/>
    <n v="0.379384"/>
    <m/>
    <n v="0.618274"/>
    <n v="0"/>
    <n v="4.446816055808"/>
    <m/>
  </r>
  <r>
    <n v="169"/>
    <s v="Hosur"/>
    <x v="6"/>
    <s v="Marathwada"/>
    <x v="7"/>
    <n v="3786201"/>
    <s v="189002-3786201"/>
    <s v="TUB-R-AW-RHS-40.00X25.00X1.600X0.5380"/>
    <x v="0"/>
    <m/>
    <x v="2"/>
    <s v="CR"/>
    <s v="KGR2"/>
    <m/>
    <m/>
    <m/>
    <x v="33"/>
    <s v="40-25-1.6-ERW 1-FC-0.538"/>
    <n v="1"/>
    <s v="Hosur"/>
    <n v="0.618274"/>
    <n v="0"/>
    <m/>
    <x v="15"/>
    <x v="15"/>
    <x v="3"/>
    <x v="0"/>
    <n v="538"/>
    <s v="NOS"/>
    <m/>
    <m/>
    <n v="12000"/>
    <m/>
    <n v="8000"/>
    <n v="4000"/>
    <n v="10.103095836672"/>
    <n v="6.735397224448"/>
    <n v="3.367698612224"/>
    <n v="10.14580101555933"/>
    <n v="0.008541999999999999"/>
    <m/>
    <n v="0.618274"/>
    <n v="0"/>
    <n v="10.094553836672"/>
    <m/>
  </r>
  <r>
    <n v="170"/>
    <s v="Hosur"/>
    <x v="6"/>
    <s v="Marathwada"/>
    <x v="7"/>
    <n v="3786202"/>
    <s v="189002-3786202"/>
    <s v="TUB-R-AW-RHS-40.00X25.00X1.600X0.5870"/>
    <x v="0"/>
    <m/>
    <x v="2"/>
    <s v="CR"/>
    <s v="KGR2"/>
    <m/>
    <m/>
    <m/>
    <x v="33"/>
    <s v="40-25-1.6-ERW 1-FC-0.587"/>
    <n v="1"/>
    <s v="Hosur"/>
    <n v="0.618274"/>
    <n v="0"/>
    <m/>
    <x v="15"/>
    <x v="15"/>
    <x v="3"/>
    <x v="0"/>
    <n v="587"/>
    <s v="NOS"/>
    <m/>
    <m/>
    <n v="8000"/>
    <m/>
    <n v="5440"/>
    <n v="2560"/>
    <n v="7.348844183552001"/>
    <n v="4.997214044815361"/>
    <n v="2.35163013873664"/>
    <n v="15.83704826134261"/>
    <n v="0.014548"/>
    <m/>
    <n v="0.618274"/>
    <n v="0"/>
    <n v="7.334296183552001"/>
    <m/>
  </r>
  <r>
    <n v="171"/>
    <s v="Hosur"/>
    <x v="6"/>
    <s v="Marathwada"/>
    <x v="7"/>
    <n v="1940840"/>
    <s v="189002-1940840"/>
    <s v="TUB-R-AW-RHS-40.00X30.00X2.000X6.0000"/>
    <x v="0"/>
    <m/>
    <x v="2"/>
    <s v="HR"/>
    <m/>
    <m/>
    <m/>
    <m/>
    <x v="37"/>
    <s v="40-30-2-ERW 1-FC-1"/>
    <n v="2"/>
    <s v="Hosur"/>
    <m/>
    <m/>
    <m/>
    <x v="17"/>
    <x v="15"/>
    <x v="1"/>
    <x v="8"/>
    <n v="1000"/>
    <s v="M"/>
    <m/>
    <m/>
    <m/>
    <m/>
    <n v="0"/>
    <n v="0"/>
    <n v="0"/>
    <n v="0"/>
    <n v="0"/>
    <e v="#DIV/0!"/>
    <n v="0"/>
    <m/>
    <n v="0"/>
    <n v="26.636"/>
    <n v="0"/>
    <m/>
  </r>
  <r>
    <n v="173"/>
    <s v="Khopoli "/>
    <x v="8"/>
    <s v="Metalman"/>
    <x v="8"/>
    <n v="2363145"/>
    <s v="188647-2363145"/>
    <s v="TUB-O-C-AUT-AN-FC-14.00X2.450X5.0000"/>
    <x v="1"/>
    <m/>
    <x v="1"/>
    <s v="HR"/>
    <m/>
    <m/>
    <m/>
    <m/>
    <x v="80"/>
    <s v="14-9.1-2.45-CEW--5"/>
    <s v="#REF!"/>
    <m/>
    <m/>
    <m/>
    <m/>
    <x v="5"/>
    <x v="5"/>
    <x v="13"/>
    <x v="22"/>
    <n v="5000"/>
    <m/>
    <m/>
    <m/>
    <m/>
    <m/>
    <e v="#N/A"/>
    <e v="#N/A"/>
    <n v="0"/>
    <e v="#N/A"/>
    <e v="#N/A"/>
    <e v="#DIV/0!"/>
    <n v="0"/>
    <m/>
    <n v="0"/>
    <n v="0"/>
    <n v="0"/>
    <m/>
  </r>
  <r>
    <n v="174"/>
    <s v="Khopoli "/>
    <x v="8"/>
    <s v="Metalman"/>
    <x v="8"/>
    <n v="3545493"/>
    <s v="188647-3545493"/>
    <s v="TUB-O-C-AUT-AD-FC-19.00X3.250X0.1800"/>
    <x v="1"/>
    <m/>
    <x v="3"/>
    <m/>
    <m/>
    <m/>
    <m/>
    <m/>
    <x v="81"/>
    <s v="19-12.5-3.25-CEW-CEW-0.18"/>
    <s v="#REF!"/>
    <s v="Khopoli"/>
    <n v="2.95579"/>
    <m/>
    <m/>
    <x v="32"/>
    <x v="29"/>
    <x v="14"/>
    <x v="23"/>
    <n v="180"/>
    <s v="NOS"/>
    <m/>
    <m/>
    <n v="6000"/>
    <m/>
    <n v="0"/>
    <n v="6000"/>
    <n v="1.3626583425"/>
    <n v="0"/>
    <n v="1.3626583425"/>
    <n v="0"/>
    <n v="0"/>
    <m/>
    <n v="6.334790000000001"/>
    <n v="0"/>
    <n v="1.3626583425"/>
    <m/>
  </r>
  <r>
    <n v="175"/>
    <s v="Khopoli "/>
    <x v="8"/>
    <s v="Metalman"/>
    <x v="8"/>
    <n v="3545492"/>
    <s v="188647-3545492"/>
    <s v="TUB-O-C-AUT-AD-FC-19.00X3.250X0.1950"/>
    <x v="1"/>
    <m/>
    <x v="3"/>
    <m/>
    <m/>
    <m/>
    <m/>
    <m/>
    <x v="81"/>
    <s v="19-12.5-3.25-CEW-CEW-0.195"/>
    <s v="#REF!"/>
    <s v="Khopoli"/>
    <s v="Plan"/>
    <m/>
    <m/>
    <x v="32"/>
    <x v="29"/>
    <x v="14"/>
    <x v="23"/>
    <n v="195"/>
    <s v="NOS"/>
    <m/>
    <m/>
    <m/>
    <m/>
    <n v="0"/>
    <n v="0"/>
    <n v="0"/>
    <n v="0"/>
    <n v="0"/>
    <e v="#DIV/0!"/>
    <n v="0"/>
    <m/>
    <n v="6.334790000000001"/>
    <n v="0"/>
    <n v="0"/>
    <m/>
  </r>
  <r>
    <n v="177"/>
    <s v="Khopoli "/>
    <x v="8"/>
    <s v="Metalman"/>
    <x v="8"/>
    <n v="2410994"/>
    <s v="188647-2410994"/>
    <s v="TUB-O-C-AUT-AD-FC-21.75X3.500X04-05"/>
    <x v="1"/>
    <m/>
    <x v="1"/>
    <s v="HR"/>
    <m/>
    <m/>
    <m/>
    <m/>
    <x v="82"/>
    <s v="21.75-0-3.5-CEW--4.5"/>
    <s v="#REF!"/>
    <m/>
    <m/>
    <m/>
    <m/>
    <x v="33"/>
    <x v="31"/>
    <x v="0"/>
    <x v="17"/>
    <n v="4500"/>
    <s v="M"/>
    <m/>
    <m/>
    <m/>
    <m/>
    <n v="0"/>
    <n v="0"/>
    <n v="0"/>
    <n v="0"/>
    <n v="0"/>
    <e v="#DIV/0!"/>
    <n v="0"/>
    <m/>
    <n v="0"/>
    <n v="0"/>
    <n v="0"/>
    <m/>
  </r>
  <r>
    <n v="193"/>
    <s v="Khopoli "/>
    <x v="8"/>
    <s v="Metalman"/>
    <x v="8"/>
    <n v="2396465"/>
    <s v="188647-2396465"/>
    <s v="TUB-O-N-AUT-AN-FC-42.70X3.500X6.0000"/>
    <x v="1"/>
    <s v="Annealed"/>
    <x v="1"/>
    <s v="HR"/>
    <m/>
    <m/>
    <m/>
    <m/>
    <x v="83"/>
    <s v="42.7-0-3.5-CEW--6"/>
    <s v="#REF!"/>
    <m/>
    <m/>
    <m/>
    <m/>
    <x v="16"/>
    <x v="16"/>
    <x v="0"/>
    <x v="17"/>
    <n v="6000"/>
    <m/>
    <m/>
    <m/>
    <m/>
    <m/>
    <e v="#N/A"/>
    <e v="#N/A"/>
    <n v="0"/>
    <e v="#N/A"/>
    <e v="#N/A"/>
    <e v="#DIV/0!"/>
    <n v="0"/>
    <m/>
    <n v="0"/>
    <n v="0"/>
    <n v="0"/>
    <m/>
  </r>
  <r>
    <n v="195"/>
    <s v="Khopoli "/>
    <x v="8"/>
    <s v="Metalman"/>
    <x v="8"/>
    <n v="2426233"/>
    <s v="188647-2426233"/>
    <s v="TUB-O-N-AUT-AN-FC-42.70X4.000X5.7300"/>
    <x v="1"/>
    <s v="Annealed"/>
    <x v="1"/>
    <s v="HR"/>
    <m/>
    <m/>
    <m/>
    <m/>
    <x v="84"/>
    <s v="42.7-0-4-CEW--5.73"/>
    <s v="#REF!"/>
    <m/>
    <m/>
    <m/>
    <m/>
    <x v="16"/>
    <x v="16"/>
    <x v="0"/>
    <x v="11"/>
    <n v="5730"/>
    <m/>
    <m/>
    <m/>
    <m/>
    <m/>
    <e v="#N/A"/>
    <e v="#N/A"/>
    <n v="0"/>
    <e v="#N/A"/>
    <e v="#N/A"/>
    <e v="#DIV/0!"/>
    <n v="0"/>
    <m/>
    <n v="0"/>
    <n v="0"/>
    <n v="0"/>
    <m/>
  </r>
  <r>
    <n v="176"/>
    <s v="Hosur"/>
    <x v="8"/>
    <s v="Metalman"/>
    <x v="8"/>
    <n v="2418569"/>
    <s v="188647-2418569"/>
    <s v="TUB-O-N-AUT-AW-PE-19.05X1.600X1.4050"/>
    <x v="0"/>
    <m/>
    <x v="0"/>
    <s v="CR"/>
    <s v="WG"/>
    <m/>
    <m/>
    <m/>
    <x v="85"/>
    <s v="19.05-0-1.6-ERW 1-PE-1.405"/>
    <s v="#REF!"/>
    <s v="Hosur"/>
    <m/>
    <m/>
    <m/>
    <x v="2"/>
    <x v="2"/>
    <x v="0"/>
    <x v="0"/>
    <n v="1405"/>
    <s v="NOS"/>
    <m/>
    <m/>
    <m/>
    <m/>
    <n v="0"/>
    <n v="0"/>
    <n v="0"/>
    <n v="0"/>
    <n v="0"/>
    <e v="#DIV/0!"/>
    <n v="0"/>
    <m/>
    <n v="0"/>
    <n v="2.886"/>
    <n v="0"/>
    <m/>
  </r>
  <r>
    <n v="178"/>
    <s v="Hosur"/>
    <x v="8"/>
    <s v="Metalman"/>
    <x v="8"/>
    <n v="1940407"/>
    <s v="188647-1940407"/>
    <s v="TUB-O-O-AUT-AW-PE-22.23X1.600X0.7400"/>
    <x v="0"/>
    <m/>
    <x v="0"/>
    <s v="CR"/>
    <s v="GR1"/>
    <m/>
    <m/>
    <m/>
    <x v="21"/>
    <s v="22.23-0-1.6-ERW 1-PE-0.74"/>
    <s v="#REF!"/>
    <s v="Hosur"/>
    <n v="0.05916199999999994"/>
    <n v="0"/>
    <m/>
    <x v="11"/>
    <x v="11"/>
    <x v="0"/>
    <x v="0"/>
    <n v="740"/>
    <s v="NOS"/>
    <m/>
    <m/>
    <n v="3000"/>
    <m/>
    <n v="0"/>
    <n v="3000"/>
    <n v="1.80622350624"/>
    <n v="0"/>
    <n v="1.80622350624"/>
    <n v="0"/>
    <n v="0"/>
    <m/>
    <n v="10.773162"/>
    <n v="0"/>
    <n v="1.80622350624"/>
    <m/>
  </r>
  <r>
    <n v="179"/>
    <s v="Hosur"/>
    <x v="8"/>
    <s v="Metalman"/>
    <x v="8"/>
    <n v="2418687"/>
    <s v="188647-2418687"/>
    <s v="TUB-O-N-AUT-AW-PE-22.23X1.600X0.8800"/>
    <x v="0"/>
    <m/>
    <x v="0"/>
    <s v="CR"/>
    <s v="GR1"/>
    <m/>
    <m/>
    <m/>
    <x v="21"/>
    <s v="22.23-0-1.6-ERW 1-PE-0.88"/>
    <s v="#REF!"/>
    <s v="Hosur"/>
    <n v="0.05916199999999994"/>
    <n v="0"/>
    <m/>
    <x v="11"/>
    <x v="11"/>
    <x v="0"/>
    <x v="0"/>
    <n v="880"/>
    <s v="NOS"/>
    <m/>
    <m/>
    <n v="3000"/>
    <m/>
    <n v="0"/>
    <n v="3000"/>
    <n v="2.14794146688"/>
    <n v="0"/>
    <n v="2.14794146688"/>
    <n v="0"/>
    <n v="0"/>
    <m/>
    <n v="10.773162"/>
    <n v="0"/>
    <n v="2.14794146688"/>
    <m/>
  </r>
  <r>
    <n v="180"/>
    <s v="Hosur"/>
    <x v="8"/>
    <s v="Metalman"/>
    <x v="8"/>
    <n v="3732180"/>
    <s v="188647-3732180"/>
    <s v="TUB-O-O-AUT-AW-FC-25.40X1.600X0.2080"/>
    <x v="0"/>
    <m/>
    <x v="2"/>
    <s v="CR"/>
    <s v="NORMAL"/>
    <m/>
    <m/>
    <m/>
    <x v="86"/>
    <s v="25.4-0-1.6-ERW 1-FC-0.208"/>
    <s v="#REF!"/>
    <m/>
    <m/>
    <m/>
    <m/>
    <x v="3"/>
    <x v="3"/>
    <x v="0"/>
    <x v="0"/>
    <n v="208"/>
    <s v="NOS"/>
    <m/>
    <m/>
    <m/>
    <m/>
    <n v="0"/>
    <n v="0"/>
    <n v="0"/>
    <n v="0"/>
    <n v="0"/>
    <e v="#DIV/0!"/>
    <n v="0.001075"/>
    <m/>
    <n v="0"/>
    <n v="0"/>
    <n v="-0.001075"/>
    <m/>
  </r>
  <r>
    <n v="181"/>
    <s v="Hosur"/>
    <x v="8"/>
    <s v="Metalman"/>
    <x v="8"/>
    <n v="1940595"/>
    <s v="188647-1940595"/>
    <s v="TUB-O-O-AUT-AW-FC-25.40X2.500X0.3220"/>
    <x v="0"/>
    <m/>
    <x v="1"/>
    <s v="HR"/>
    <m/>
    <m/>
    <m/>
    <m/>
    <x v="87"/>
    <s v="25.4-0-2.5-ERW 1--0.322"/>
    <s v="#REF!"/>
    <m/>
    <m/>
    <m/>
    <m/>
    <x v="3"/>
    <x v="3"/>
    <x v="0"/>
    <x v="10"/>
    <n v="322"/>
    <m/>
    <m/>
    <m/>
    <m/>
    <m/>
    <e v="#N/A"/>
    <e v="#N/A"/>
    <n v="0"/>
    <e v="#N/A"/>
    <e v="#N/A"/>
    <e v="#DIV/0!"/>
    <n v="0"/>
    <m/>
    <n v="0"/>
    <n v="0"/>
    <n v="0"/>
    <m/>
  </r>
  <r>
    <n v="182"/>
    <s v="Hosur"/>
    <x v="8"/>
    <s v="Metalman"/>
    <x v="8"/>
    <m/>
    <s v="188647-"/>
    <m/>
    <x v="0"/>
    <m/>
    <x v="1"/>
    <s v="CR"/>
    <m/>
    <m/>
    <m/>
    <m/>
    <x v="88"/>
    <s v="28.58-0-1.6-ERW 1--6"/>
    <s v="#REF!"/>
    <m/>
    <m/>
    <m/>
    <m/>
    <x v="12"/>
    <x v="12"/>
    <x v="0"/>
    <x v="0"/>
    <n v="6000"/>
    <m/>
    <m/>
    <m/>
    <m/>
    <m/>
    <e v="#N/A"/>
    <e v="#N/A"/>
    <n v="0"/>
    <e v="#N/A"/>
    <e v="#N/A"/>
    <e v="#DIV/0!"/>
    <n v="0"/>
    <m/>
    <n v="0"/>
    <n v="0"/>
    <n v="0"/>
    <m/>
  </r>
  <r>
    <n v="183"/>
    <s v="Hosur"/>
    <x v="8"/>
    <s v="Metalman"/>
    <x v="8"/>
    <n v="1940732"/>
    <s v="188647-1940732"/>
    <s v="TUB-O-O-AUT-AW-FC-38.10X1.600X0.8210"/>
    <x v="0"/>
    <m/>
    <x v="2"/>
    <s v="HR"/>
    <s v="GR1"/>
    <m/>
    <m/>
    <m/>
    <x v="89"/>
    <s v="38.1-0-1.6-ERW 1-FC-0.821"/>
    <s v="#REF!"/>
    <s v="Hosur"/>
    <n v="5.180177"/>
    <n v="6.82818"/>
    <m/>
    <x v="14"/>
    <x v="30"/>
    <x v="0"/>
    <x v="0"/>
    <n v="821"/>
    <s v="NOS"/>
    <m/>
    <m/>
    <n v="3500"/>
    <m/>
    <n v="0"/>
    <n v="3500"/>
    <n v="4.136407847599999"/>
    <n v="0"/>
    <n v="4.136407847599999"/>
    <n v="0"/>
    <n v="0"/>
    <m/>
    <n v="8.149357"/>
    <n v="0"/>
    <n v="4.136407847599999"/>
    <m/>
  </r>
  <r>
    <n v="186"/>
    <s v="Hosur"/>
    <x v="8"/>
    <s v="Metalman"/>
    <x v="8"/>
    <n v="3768902"/>
    <s v="188647-3768902"/>
    <s v="CUT-O-N-AUT-AW-FC-38.10X2.000X0.2770 "/>
    <x v="0"/>
    <m/>
    <x v="1"/>
    <s v="HR"/>
    <m/>
    <m/>
    <m/>
    <m/>
    <x v="90"/>
    <s v="38.1-0-2-ERW 1--0.2765"/>
    <s v="#REF!"/>
    <m/>
    <m/>
    <m/>
    <m/>
    <x v="14"/>
    <x v="30"/>
    <x v="0"/>
    <x v="8"/>
    <n v="276.5"/>
    <m/>
    <m/>
    <m/>
    <m/>
    <m/>
    <e v="#N/A"/>
    <e v="#N/A"/>
    <n v="0"/>
    <e v="#N/A"/>
    <e v="#N/A"/>
    <e v="#DIV/0!"/>
    <n v="0"/>
    <m/>
    <n v="0"/>
    <n v="0"/>
    <n v="0"/>
    <m/>
  </r>
  <r>
    <n v="189"/>
    <s v="Hosur"/>
    <x v="8"/>
    <s v="Metalman"/>
    <x v="8"/>
    <n v="3768905"/>
    <s v="188647-3768905"/>
    <s v="CUT-R-AW-AUT-40.00X25.00X1.600X0.3220"/>
    <x v="0"/>
    <m/>
    <x v="2"/>
    <s v="CR"/>
    <s v="KGR2"/>
    <m/>
    <m/>
    <m/>
    <x v="33"/>
    <s v="40-25-1.6-ERW 1-FC-0.322"/>
    <n v="1"/>
    <m/>
    <m/>
    <m/>
    <m/>
    <x v="15"/>
    <x v="15"/>
    <x v="3"/>
    <x v="0"/>
    <n v="322"/>
    <s v="NOS"/>
    <m/>
    <m/>
    <m/>
    <m/>
    <n v="0"/>
    <n v="0"/>
    <n v="0"/>
    <n v="0"/>
    <n v="0"/>
    <e v="#DIV/0!"/>
    <n v="0"/>
    <m/>
    <n v="0.618274"/>
    <n v="0"/>
    <n v="0"/>
    <m/>
  </r>
  <r>
    <n v="190"/>
    <s v="Hosur"/>
    <x v="8"/>
    <s v="Metalman"/>
    <x v="8"/>
    <n v="3768907"/>
    <s v="188647-3768907"/>
    <s v="CUT-O-N-AUT-AW-FC-41.28X3.200X0.2460"/>
    <x v="0"/>
    <m/>
    <x v="2"/>
    <s v="HR"/>
    <m/>
    <s v="Chamferring"/>
    <m/>
    <m/>
    <x v="91"/>
    <s v="41.28-0-3.2-ERW 1-FC-0.246"/>
    <s v="#REF!"/>
    <s v="Hosur"/>
    <n v="0"/>
    <n v="0"/>
    <m/>
    <x v="15"/>
    <x v="32"/>
    <x v="0"/>
    <x v="13"/>
    <n v="246"/>
    <s v="NOS"/>
    <m/>
    <m/>
    <n v="8000"/>
    <m/>
    <n v="1000"/>
    <n v="7000"/>
    <n v="5.911140974592"/>
    <n v="0.7388926218240001"/>
    <n v="5.172248352768"/>
    <n v="300.7338190107535"/>
    <n v="0.22221"/>
    <m/>
    <n v="0"/>
    <n v="7.141"/>
    <s v=" "/>
    <m/>
  </r>
  <r>
    <n v="191"/>
    <s v="Khopoli "/>
    <x v="8"/>
    <s v="Metalman"/>
    <x v="8"/>
    <m/>
    <s v="188647-"/>
    <m/>
    <x v="0"/>
    <s v="Annealed"/>
    <x v="1"/>
    <s v="HR"/>
    <m/>
    <m/>
    <m/>
    <m/>
    <x v="92"/>
    <s v="0-0-4-ERW 1--0.266"/>
    <s v="#REF!"/>
    <m/>
    <m/>
    <m/>
    <m/>
    <x v="16"/>
    <x v="33"/>
    <x v="0"/>
    <x v="11"/>
    <n v="266"/>
    <m/>
    <m/>
    <m/>
    <m/>
    <m/>
    <e v="#N/A"/>
    <e v="#N/A"/>
    <n v="0"/>
    <e v="#N/A"/>
    <e v="#N/A"/>
    <e v="#DIV/0!"/>
    <n v="0"/>
    <m/>
    <n v="0"/>
    <n v="0"/>
    <n v="0"/>
    <m/>
  </r>
  <r>
    <n v="192"/>
    <s v="Khopoli "/>
    <x v="8"/>
    <s v="Metalman"/>
    <x v="8"/>
    <n v="2417648"/>
    <s v="188647-2417648"/>
    <s v="TUB-O-N-AUT-AN-FC-42.70X3.500X0.2100"/>
    <x v="0"/>
    <s v="Annealed"/>
    <x v="2"/>
    <s v="HR"/>
    <m/>
    <s v="Chamferring"/>
    <m/>
    <m/>
    <x v="93"/>
    <s v="42.7-0-3.5-ERW 1-FC-0.21"/>
    <s v="#REF!"/>
    <s v="Khopoli"/>
    <n v="4.818421000000001"/>
    <n v="5.208107"/>
    <m/>
    <x v="16"/>
    <x v="16"/>
    <x v="0"/>
    <x v="17"/>
    <n v="210"/>
    <s v="NOS"/>
    <m/>
    <m/>
    <n v="3000"/>
    <m/>
    <n v="500"/>
    <n v="2500"/>
    <n v="2.130560964"/>
    <n v="0.355093494"/>
    <n v="1.77546747"/>
    <n v="0"/>
    <n v="0"/>
    <m/>
    <n v="12.367421"/>
    <n v="0"/>
    <n v="2.130560964"/>
    <m/>
  </r>
  <r>
    <n v="194"/>
    <s v="Khopoli "/>
    <x v="8"/>
    <s v="Metalman"/>
    <x v="8"/>
    <n v="2428441"/>
    <s v="188647-2428441"/>
    <s v="TUB-O-N-AUT-AN-FC-42.70X4.000X0.2350"/>
    <x v="0"/>
    <s v="Annealed"/>
    <x v="2"/>
    <s v="HR"/>
    <m/>
    <s v="Chamferring"/>
    <m/>
    <m/>
    <x v="35"/>
    <s v="42.7-0-4-ERW 1-FC-0.235"/>
    <s v="#REF!"/>
    <s v="Khopoli"/>
    <n v="0.2833830000000002"/>
    <n v="29.067884"/>
    <m/>
    <x v="16"/>
    <x v="16"/>
    <x v="0"/>
    <x v="11"/>
    <n v="235"/>
    <s v="NOS"/>
    <m/>
    <m/>
    <n v="7000"/>
    <m/>
    <n v="0"/>
    <n v="7000"/>
    <n v="6.276769254"/>
    <n v="0"/>
    <n v="6.276769254"/>
    <n v="0"/>
    <n v="0"/>
    <m/>
    <n v="236.024487"/>
    <n v="0"/>
    <n v="6.276769254"/>
    <m/>
  </r>
  <r>
    <n v="196"/>
    <s v="Hosur"/>
    <x v="8"/>
    <s v="Metalman"/>
    <x v="8"/>
    <n v="1940829"/>
    <s v="188647-1940829"/>
    <s v="TUB-R-AW-RHS-40.00X30.00X1.600X0.3140"/>
    <x v="0"/>
    <m/>
    <x v="1"/>
    <s v="HR"/>
    <m/>
    <m/>
    <m/>
    <m/>
    <x v="94"/>
    <s v="40-30-1.6-ERW 1--0.314"/>
    <n v="2"/>
    <m/>
    <m/>
    <m/>
    <m/>
    <x v="17"/>
    <x v="15"/>
    <x v="1"/>
    <x v="0"/>
    <n v="314"/>
    <s v="NOS"/>
    <m/>
    <m/>
    <m/>
    <m/>
    <n v="0"/>
    <n v="0"/>
    <n v="0"/>
    <n v="0"/>
    <n v="0"/>
    <e v="#DIV/0!"/>
    <n v="0"/>
    <m/>
    <n v="0"/>
    <n v="0"/>
    <n v="0"/>
    <m/>
  </r>
  <r>
    <n v="197"/>
    <s v="Hosur"/>
    <x v="8"/>
    <s v="Metalman"/>
    <x v="8"/>
    <n v="3712521"/>
    <s v="188647-3712521"/>
    <s v="CUT-R-AW-RHS-40.00X30.00X1.600X0.8350"/>
    <x v="0"/>
    <m/>
    <x v="2"/>
    <s v="CR"/>
    <s v="HROP"/>
    <m/>
    <m/>
    <m/>
    <x v="36"/>
    <s v="40-30-1.6-ERW 1-FC-0.835"/>
    <n v="2"/>
    <s v="Hosur"/>
    <n v="0.9578630000000001"/>
    <n v="0"/>
    <m/>
    <x v="17"/>
    <x v="15"/>
    <x v="1"/>
    <x v="0"/>
    <n v="835"/>
    <s v="NOS"/>
    <m/>
    <m/>
    <n v="14000"/>
    <m/>
    <n v="0"/>
    <n v="14000"/>
    <n v="19.7553452936"/>
    <n v="0"/>
    <n v="19.7553452936"/>
    <n v="24.12592606793898"/>
    <n v="0.034044"/>
    <m/>
    <n v="0.957863"/>
    <n v="0"/>
    <n v="19.7213012936"/>
    <m/>
  </r>
  <r>
    <n v="198"/>
    <s v="Hosur"/>
    <x v="8"/>
    <s v="Metalman"/>
    <x v="8"/>
    <n v="1940831"/>
    <s v="188647-1940831"/>
    <s v="TUB-R-AW-RHS-40.00X30.00X1.600X0.8800"/>
    <x v="0"/>
    <m/>
    <x v="2"/>
    <s v="CR"/>
    <s v="GR1"/>
    <m/>
    <m/>
    <m/>
    <x v="36"/>
    <s v="40-30-1.6-ERW 1-FC-0.88"/>
    <n v="1"/>
    <s v="Hosur"/>
    <n v="0.9578630000000001"/>
    <n v="0"/>
    <m/>
    <x v="17"/>
    <x v="15"/>
    <x v="1"/>
    <x v="0"/>
    <n v="880"/>
    <s v="NOS"/>
    <m/>
    <m/>
    <n v="3000"/>
    <m/>
    <n v="4320"/>
    <n v="-1320"/>
    <n v="4.4614295616"/>
    <n v="6.424458568704"/>
    <n v="-1.963029007104"/>
    <n v="66.0111284810652"/>
    <n v="0.09816800000000001"/>
    <m/>
    <n v="0.957863"/>
    <n v="0"/>
    <n v="4.3632615616"/>
    <m/>
  </r>
  <r>
    <m/>
    <s v="Hosur"/>
    <x v="8"/>
    <s v="Metalman"/>
    <x v="8"/>
    <m/>
    <s v="188647-"/>
    <m/>
    <x v="0"/>
    <m/>
    <x v="2"/>
    <m/>
    <m/>
    <m/>
    <m/>
    <m/>
    <x v="37"/>
    <s v="40-30-2-ERW 1-FC-0.88"/>
    <m/>
    <m/>
    <n v="0"/>
    <n v="0"/>
    <m/>
    <x v="17"/>
    <x v="15"/>
    <x v="1"/>
    <x v="8"/>
    <n v="880"/>
    <s v="NOS"/>
    <m/>
    <m/>
    <m/>
    <m/>
    <n v="2832"/>
    <n v="-2832"/>
    <n v="0"/>
    <n v="5.215343481216"/>
    <n v="-5.215343481216"/>
    <e v="#DIV/0!"/>
    <n v="7.606556"/>
    <m/>
    <n v="0"/>
    <n v="26.636"/>
    <n v="-7.606556"/>
    <m/>
  </r>
  <r>
    <n v="199"/>
    <s v="Hosur"/>
    <x v="8"/>
    <s v="Metalman"/>
    <x v="8"/>
    <n v="2325421"/>
    <s v="188647-2325421"/>
    <s v="TUB-O-N-AUT-AW-FC-48.60X1.200X0.3360"/>
    <x v="0"/>
    <m/>
    <x v="2"/>
    <s v="CR"/>
    <m/>
    <m/>
    <m/>
    <m/>
    <x v="95"/>
    <s v="48.6-0-1.2-ERW 1-FC-0.336"/>
    <s v="#REF!"/>
    <s v="Hosur"/>
    <n v="3.946783"/>
    <n v="0"/>
    <m/>
    <x v="18"/>
    <x v="17"/>
    <x v="0"/>
    <x v="2"/>
    <n v="336"/>
    <s v="NOS"/>
    <m/>
    <m/>
    <n v="15000"/>
    <m/>
    <n v="7218"/>
    <n v="7782"/>
    <n v="7.066257004800001"/>
    <n v="3.40028287070976"/>
    <n v="3.665974134090241"/>
    <n v="5901.438338808382"/>
    <n v="2.780072"/>
    <m/>
    <n v="3.946783"/>
    <n v="17.024"/>
    <n v="4.2861850048"/>
    <m/>
  </r>
  <r>
    <m/>
    <s v="Hosur"/>
    <x v="8"/>
    <s v="Metalman"/>
    <x v="8"/>
    <m/>
    <s v="188647-"/>
    <m/>
    <x v="0"/>
    <m/>
    <x v="2"/>
    <m/>
    <m/>
    <m/>
    <m/>
    <m/>
    <x v="96"/>
    <s v="50-30-2.5-ERW 1-FC-0.765"/>
    <m/>
    <m/>
    <n v="0"/>
    <n v="0"/>
    <m/>
    <x v="4"/>
    <x v="4"/>
    <x v="1"/>
    <x v="10"/>
    <n v="765"/>
    <s v="NOS"/>
    <m/>
    <m/>
    <n v="3000"/>
    <m/>
    <n v="0"/>
    <n v="3000"/>
    <n v="6.83076169125"/>
    <n v="0"/>
    <n v="6.83076169125"/>
    <n v="0"/>
    <n v="0"/>
    <m/>
    <n v="0"/>
    <n v="0"/>
    <n v="6.83076169125"/>
    <m/>
  </r>
  <r>
    <n v="200"/>
    <s v="Hosur"/>
    <x v="8"/>
    <s v="Metalman"/>
    <x v="8"/>
    <n v="3768906"/>
    <s v="188647-3768906"/>
    <s v="CUT-O-N-AUT-AW-AG-57.15X2.500X0.3460"/>
    <x v="0"/>
    <m/>
    <x v="2"/>
    <s v="HR"/>
    <m/>
    <m/>
    <s v="AG"/>
    <m/>
    <x v="97"/>
    <s v="57.15-0-2.5-ERW 1-FC-0.346"/>
    <s v="#REF!"/>
    <m/>
    <m/>
    <m/>
    <m/>
    <x v="19"/>
    <x v="19"/>
    <x v="0"/>
    <x v="10"/>
    <n v="346"/>
    <s v="NOS"/>
    <m/>
    <m/>
    <m/>
    <m/>
    <n v="0"/>
    <n v="0"/>
    <n v="0"/>
    <n v="0"/>
    <n v="0"/>
    <e v="#DIV/0!"/>
    <n v="0"/>
    <m/>
    <n v="18.554922"/>
    <n v="0"/>
    <n v="0"/>
    <m/>
  </r>
  <r>
    <n v="201"/>
    <s v="Hosur"/>
    <x v="8"/>
    <s v="Metalman"/>
    <x v="8"/>
    <n v="2440972"/>
    <s v="188647-2440972"/>
    <s v="TUB-O-N-AUT-AW-FC-57.15X2.500X0.3750"/>
    <x v="0"/>
    <m/>
    <x v="2"/>
    <s v="HR"/>
    <m/>
    <m/>
    <m/>
    <m/>
    <x v="97"/>
    <s v="57.15-0-2.5-ERW 1-FC-0.375"/>
    <s v="#REF!"/>
    <m/>
    <m/>
    <m/>
    <m/>
    <x v="19"/>
    <x v="19"/>
    <x v="0"/>
    <x v="10"/>
    <n v="375"/>
    <m/>
    <m/>
    <m/>
    <m/>
    <m/>
    <e v="#N/A"/>
    <e v="#N/A"/>
    <n v="0"/>
    <e v="#N/A"/>
    <e v="#N/A"/>
    <e v="#DIV/0!"/>
    <n v="0"/>
    <m/>
    <n v="18.554922"/>
    <n v="0"/>
    <n v="0"/>
    <m/>
  </r>
  <r>
    <n v="202"/>
    <s v="Hosur"/>
    <x v="8"/>
    <s v="Metalman"/>
    <x v="8"/>
    <n v="3542857"/>
    <s v="188647-3542857"/>
    <s v="TUB-O-N-AUT-AW-AG-57.15X2.500X0.8120"/>
    <x v="0"/>
    <m/>
    <x v="1"/>
    <s v="HR"/>
    <m/>
    <m/>
    <m/>
    <m/>
    <x v="98"/>
    <s v="57.15-0-2.5-ERW 1--0.812"/>
    <s v="#REF!"/>
    <m/>
    <m/>
    <m/>
    <m/>
    <x v="19"/>
    <x v="19"/>
    <x v="0"/>
    <x v="10"/>
    <n v="812"/>
    <m/>
    <m/>
    <m/>
    <m/>
    <m/>
    <e v="#N/A"/>
    <e v="#N/A"/>
    <n v="0"/>
    <e v="#N/A"/>
    <e v="#N/A"/>
    <e v="#DIV/0!"/>
    <n v="0"/>
    <m/>
    <n v="0"/>
    <n v="0"/>
    <n v="0"/>
    <m/>
  </r>
  <r>
    <n v="203"/>
    <s v="Khopoli "/>
    <x v="8"/>
    <s v="Metalman"/>
    <x v="8"/>
    <n v="3768903"/>
    <s v="188647-3768903"/>
    <s v="CUT-O-N-AUT-AW-FC-60.30X2.000X0.5250"/>
    <x v="0"/>
    <m/>
    <x v="2"/>
    <s v="HR"/>
    <m/>
    <m/>
    <s v="AG"/>
    <m/>
    <x v="99"/>
    <s v="60.3-0-2-ERW 1-FC-0.525"/>
    <s v="#REF!"/>
    <s v="Khopoli"/>
    <n v="0.089057"/>
    <n v="15.965"/>
    <m/>
    <x v="34"/>
    <x v="34"/>
    <x v="0"/>
    <x v="8"/>
    <n v="525"/>
    <s v="NOS"/>
    <m/>
    <m/>
    <n v="5000"/>
    <m/>
    <n v="0"/>
    <n v="5000"/>
    <n v="7.544442674999999"/>
    <n v="0"/>
    <n v="7.544442674999999"/>
    <n v="0"/>
    <n v="0"/>
    <m/>
    <n v="34.146057"/>
    <n v="0"/>
    <n v="7.544442674999999"/>
    <m/>
  </r>
  <r>
    <n v="184"/>
    <s v="Hosur"/>
    <x v="8"/>
    <s v="Metalman"/>
    <x v="8"/>
    <n v="3768904"/>
    <s v="188647-3768904"/>
    <s v="CUT-O-N-AUT-AW-FC-38.10X1.600X0.8780"/>
    <x v="5"/>
    <m/>
    <x v="2"/>
    <s v="CR"/>
    <s v="ST52AL"/>
    <m/>
    <m/>
    <m/>
    <x v="100"/>
    <s v="38.1-0-1.6-ERW 2 MAHS-FC-0.878"/>
    <s v="#REF!"/>
    <s v="JSR"/>
    <m/>
    <m/>
    <m/>
    <x v="14"/>
    <x v="30"/>
    <x v="0"/>
    <x v="0"/>
    <n v="878"/>
    <s v="NOS"/>
    <m/>
    <m/>
    <m/>
    <m/>
    <n v="0"/>
    <n v="0"/>
    <n v="0"/>
    <n v="0"/>
    <n v="0"/>
    <e v="#DIV/0!"/>
    <n v="0"/>
    <m/>
    <n v="0.371211"/>
    <n v="3.142"/>
    <n v="0"/>
    <m/>
  </r>
  <r>
    <n v="185"/>
    <s v="Hosur"/>
    <x v="8"/>
    <s v="Metalman"/>
    <x v="8"/>
    <n v="3191747"/>
    <s v="188647-3191747"/>
    <s v="TUB-O-N-AUT-AW-FC-38.10X1.600X0.9300"/>
    <x v="5"/>
    <m/>
    <x v="2"/>
    <s v="HR"/>
    <s v="ST52AL"/>
    <m/>
    <m/>
    <m/>
    <x v="100"/>
    <s v="38.1-0-1.6-ERW 2 MAHS-FC-0.93"/>
    <s v="#REF!"/>
    <s v="JSR"/>
    <m/>
    <m/>
    <m/>
    <x v="14"/>
    <x v="30"/>
    <x v="0"/>
    <x v="0"/>
    <n v="930"/>
    <m/>
    <m/>
    <m/>
    <m/>
    <m/>
    <e v="#N/A"/>
    <e v="#N/A"/>
    <n v="0"/>
    <e v="#N/A"/>
    <e v="#N/A"/>
    <e v="#DIV/0!"/>
    <n v="0"/>
    <m/>
    <n v="0.371211"/>
    <n v="3.142"/>
    <n v="0"/>
    <m/>
  </r>
  <r>
    <m/>
    <s v="Hosur"/>
    <x v="8"/>
    <s v="Metalman"/>
    <x v="8"/>
    <n v="3931304"/>
    <s v="188647-3931304"/>
    <s v="TUB-O-N-AUT-AW-FC-38.10X1.600X5.3500"/>
    <x v="5"/>
    <m/>
    <x v="2"/>
    <s v="CR"/>
    <s v="ST52AL"/>
    <m/>
    <m/>
    <m/>
    <x v="100"/>
    <s v="38.1-0-1.6-ERW 2 MAHS-FC-1"/>
    <m/>
    <s v="JSR"/>
    <n v="0"/>
    <n v="0"/>
    <m/>
    <x v="14"/>
    <x v="30"/>
    <x v="0"/>
    <x v="0"/>
    <n v="1000"/>
    <s v="M"/>
    <m/>
    <m/>
    <n v="7000"/>
    <m/>
    <n v="0"/>
    <n v="7000"/>
    <n v="10.0765112"/>
    <n v="0"/>
    <n v="10.0765112"/>
    <n v="257.8746699552123"/>
    <n v="0.371211"/>
    <m/>
    <n v="0.371211"/>
    <n v="3.142"/>
    <n v="9.705300199999998"/>
    <m/>
  </r>
  <r>
    <n v="187"/>
    <s v="Hosur"/>
    <x v="8"/>
    <s v="Metalman"/>
    <x v="8"/>
    <n v="3191748"/>
    <s v="188647-3191748"/>
    <s v="TUB-O-N-AUT-AW-FC-38.10X2.000X0.9300"/>
    <x v="5"/>
    <m/>
    <x v="1"/>
    <s v="HR"/>
    <s v="ST52AL"/>
    <m/>
    <m/>
    <m/>
    <x v="101"/>
    <s v="38.1-0-2-ERW 2 MAHS--0.93"/>
    <s v="#REF!"/>
    <m/>
    <m/>
    <m/>
    <m/>
    <x v="14"/>
    <x v="30"/>
    <x v="0"/>
    <x v="8"/>
    <n v="930"/>
    <m/>
    <m/>
    <m/>
    <m/>
    <m/>
    <e v="#N/A"/>
    <e v="#N/A"/>
    <n v="0"/>
    <e v="#N/A"/>
    <e v="#N/A"/>
    <e v="#DIV/0!"/>
    <n v="0"/>
    <m/>
    <n v="0"/>
    <n v="0"/>
    <n v="0"/>
    <m/>
  </r>
  <r>
    <n v="188"/>
    <s v="JSR"/>
    <x v="8"/>
    <s v="Metalman"/>
    <x v="8"/>
    <n v="3768904"/>
    <s v="188647-3768904"/>
    <s v="CUT-O-N-AUT-AW-FC-38.10X2.500X0.8780"/>
    <x v="5"/>
    <m/>
    <x v="2"/>
    <s v="HR"/>
    <s v="ST52AL"/>
    <m/>
    <m/>
    <m/>
    <x v="102"/>
    <s v="38.1-0-2.5-ERW 2 MAHS-FC-0.878"/>
    <s v="#REF!"/>
    <s v="JSR"/>
    <m/>
    <m/>
    <m/>
    <x v="14"/>
    <x v="30"/>
    <x v="0"/>
    <x v="10"/>
    <n v="878"/>
    <s v="NOS"/>
    <m/>
    <m/>
    <m/>
    <m/>
    <n v="0"/>
    <n v="0"/>
    <n v="0"/>
    <n v="0"/>
    <n v="0"/>
    <e v="#DIV/0!"/>
    <n v="0"/>
    <m/>
    <n v="0.58"/>
    <n v="0"/>
    <n v="0"/>
    <m/>
  </r>
  <r>
    <m/>
    <s v="Hosur"/>
    <x v="8"/>
    <s v="Metalman"/>
    <x v="8"/>
    <m/>
    <s v="188647-"/>
    <s v="TUB-O-N-AUT-AW-FC-38.10X2.500X5.3500"/>
    <x v="5"/>
    <m/>
    <x v="2"/>
    <s v="HR"/>
    <s v="ST52AL"/>
    <m/>
    <m/>
    <m/>
    <x v="102"/>
    <s v="38.1-0-2.5-ERW 2 MAHS-FC-1"/>
    <m/>
    <s v="JSR"/>
    <n v="0.58"/>
    <n v="0"/>
    <m/>
    <x v="14"/>
    <x v="30"/>
    <x v="0"/>
    <x v="10"/>
    <n v="1000"/>
    <s v="M"/>
    <m/>
    <m/>
    <n v="7000"/>
    <m/>
    <n v="0"/>
    <n v="7000"/>
    <n v="15.356327"/>
    <n v="0"/>
    <n v="15.356327"/>
    <n v="0"/>
    <n v="0"/>
    <m/>
    <n v="0.58"/>
    <n v="0"/>
    <n v="15.356327"/>
    <m/>
  </r>
  <r>
    <n v="204"/>
    <s v="Khopoli "/>
    <x v="9"/>
    <s v="Narasipur Auto Component(P)Ltd"/>
    <x v="9"/>
    <n v="1938483"/>
    <s v="187546-1938483"/>
    <s v="TUB-I-C-AUT-AD-FC-18.00X4.000X3.7000"/>
    <x v="1"/>
    <m/>
    <x v="1"/>
    <s v="HR"/>
    <m/>
    <m/>
    <m/>
    <m/>
    <x v="103"/>
    <s v="26-18-4-CEW--3.7"/>
    <s v="#REF!"/>
    <m/>
    <m/>
    <m/>
    <m/>
    <x v="35"/>
    <x v="35"/>
    <x v="15"/>
    <x v="11"/>
    <n v="3700"/>
    <m/>
    <m/>
    <m/>
    <m/>
    <m/>
    <e v="#N/A"/>
    <e v="#N/A"/>
    <n v="0"/>
    <e v="#N/A"/>
    <e v="#N/A"/>
    <e v="#DIV/0!"/>
    <n v="0"/>
    <m/>
    <n v="0"/>
    <n v="0"/>
    <n v="0"/>
    <m/>
  </r>
  <r>
    <n v="205"/>
    <s v="Khopoli "/>
    <x v="9"/>
    <s v="Narasipur Auto Component(P)Ltd"/>
    <x v="9"/>
    <n v="2418610"/>
    <s v="187546-2418610"/>
    <s v="TUB-O-C-AUT-AD-FC-25.40X3.500X04-05"/>
    <x v="1"/>
    <m/>
    <x v="3"/>
    <m/>
    <m/>
    <m/>
    <m/>
    <m/>
    <x v="104"/>
    <s v="25.4-18.4-3.5-CEW-CEW-0.247"/>
    <n v="1"/>
    <s v="Khopoli"/>
    <n v="10.700597"/>
    <n v="0"/>
    <m/>
    <x v="3"/>
    <x v="3"/>
    <x v="16"/>
    <x v="17"/>
    <n v="247"/>
    <s v="NOS"/>
    <m/>
    <m/>
    <n v="48000"/>
    <m/>
    <n v="0"/>
    <n v="48000"/>
    <n v="22.4000843976"/>
    <n v="0"/>
    <n v="22.4000843976"/>
    <n v="0"/>
    <n v="0"/>
    <m/>
    <n v="83.414597"/>
    <n v="0"/>
    <n v="22.4000843976"/>
    <m/>
  </r>
  <r>
    <n v="206"/>
    <s v="Khopoli "/>
    <x v="9"/>
    <s v="Narasipur Auto Component(P)Ltd"/>
    <x v="9"/>
    <e v="#REF!"/>
    <e v="#REF!"/>
    <s v="TUB-O-C-AUT-AD-FC-25.40X3.500X.26300"/>
    <x v="1"/>
    <m/>
    <x v="3"/>
    <m/>
    <m/>
    <m/>
    <m/>
    <m/>
    <x v="104"/>
    <s v="25.4-18.4-3.5-CEW-CEW-0.263"/>
    <n v="1"/>
    <s v="Khopoli"/>
    <n v="10.700597"/>
    <n v="0"/>
    <m/>
    <x v="3"/>
    <x v="3"/>
    <x v="16"/>
    <x v="17"/>
    <n v="263"/>
    <s v="NOS"/>
    <m/>
    <m/>
    <n v="26000"/>
    <m/>
    <n v="0"/>
    <n v="26000"/>
    <n v="12.9193469223"/>
    <n v="0"/>
    <n v="12.9193469223"/>
    <n v="0"/>
    <n v="0"/>
    <m/>
    <n v="83.414597"/>
    <n v="0"/>
    <n v="12.9193469223"/>
    <m/>
  </r>
  <r>
    <n v="207"/>
    <s v="Khopoli "/>
    <x v="9"/>
    <s v="Narasipur Auto Component(P)Ltd"/>
    <x v="9"/>
    <e v="#REF!"/>
    <e v="#REF!"/>
    <s v="TUB-O-C-AUT-AD-FC-25.40X3.500X04-05"/>
    <x v="1"/>
    <m/>
    <x v="1"/>
    <s v="HR"/>
    <m/>
    <m/>
    <m/>
    <m/>
    <x v="105"/>
    <s v="25.4-18.4-3.5-CEW--4.5"/>
    <s v="#REF!"/>
    <m/>
    <m/>
    <m/>
    <m/>
    <x v="3"/>
    <x v="3"/>
    <x v="16"/>
    <x v="17"/>
    <n v="4500"/>
    <m/>
    <m/>
    <m/>
    <m/>
    <m/>
    <e v="#N/A"/>
    <e v="#N/A"/>
    <n v="0"/>
    <e v="#N/A"/>
    <e v="#N/A"/>
    <e v="#DIV/0!"/>
    <n v="0"/>
    <m/>
    <n v="0"/>
    <n v="0"/>
    <n v="0"/>
    <m/>
  </r>
  <r>
    <n v="208"/>
    <s v="Khopoli "/>
    <x v="9"/>
    <s v="Narasipur Auto Component(P)Ltd"/>
    <x v="9"/>
    <n v="2426241"/>
    <s v="187546-2426241"/>
    <s v="TUB-O-C-AUT-AD-FC-25.60X4.500X4.2000"/>
    <x v="1"/>
    <m/>
    <x v="1"/>
    <s v="HR"/>
    <m/>
    <m/>
    <m/>
    <m/>
    <x v="106"/>
    <s v="25.6-16.6-4.5-CEW--4.2"/>
    <s v="#REF!"/>
    <m/>
    <m/>
    <m/>
    <m/>
    <x v="36"/>
    <x v="36"/>
    <x v="17"/>
    <x v="15"/>
    <n v="4200"/>
    <m/>
    <m/>
    <m/>
    <m/>
    <m/>
    <e v="#N/A"/>
    <e v="#N/A"/>
    <n v="0"/>
    <e v="#N/A"/>
    <e v="#N/A"/>
    <e v="#DIV/0!"/>
    <n v="0"/>
    <m/>
    <n v="0"/>
    <n v="0"/>
    <n v="0"/>
    <m/>
  </r>
  <r>
    <n v="211"/>
    <s v="Khopoli "/>
    <x v="9"/>
    <s v="Narasipur Auto Component(P)Ltd"/>
    <x v="9"/>
    <n v="1939872"/>
    <s v="187546-1939872"/>
    <s v="TUB-O-C-CEW-AD-FC-32.00X4.500X3.3000"/>
    <x v="1"/>
    <m/>
    <x v="1"/>
    <s v="HR"/>
    <m/>
    <m/>
    <m/>
    <m/>
    <x v="107"/>
    <s v="32-0-4.5-CEW--3.3"/>
    <s v="#REF!"/>
    <m/>
    <m/>
    <m/>
    <m/>
    <x v="37"/>
    <x v="37"/>
    <x v="0"/>
    <x v="15"/>
    <n v="3300"/>
    <m/>
    <m/>
    <m/>
    <m/>
    <m/>
    <e v="#N/A"/>
    <e v="#N/A"/>
    <n v="0"/>
    <e v="#N/A"/>
    <e v="#N/A"/>
    <e v="#DIV/0!"/>
    <n v="0"/>
    <m/>
    <n v="0"/>
    <n v="0"/>
    <n v="0"/>
    <m/>
  </r>
  <r>
    <n v="209"/>
    <s v="Khopoli "/>
    <x v="9"/>
    <s v="Narasipur Auto Component(P)Ltd"/>
    <x v="9"/>
    <n v="3190072"/>
    <s v="187546-3190072"/>
    <s v="TUB-O-C-AUT-AD-FC-29.40X4.500X0.3570"/>
    <x v="3"/>
    <m/>
    <x v="5"/>
    <s v="HR"/>
    <m/>
    <s v="Chamferring"/>
    <m/>
    <m/>
    <x v="52"/>
    <s v="29.4-20.4-4.5-CEW-CEW-0.357"/>
    <n v="2"/>
    <s v="Khopoli"/>
    <n v="23.440662"/>
    <n v="0"/>
    <m/>
    <x v="22"/>
    <x v="21"/>
    <x v="6"/>
    <x v="15"/>
    <n v="357"/>
    <s v="NOS"/>
    <m/>
    <m/>
    <n v="3400"/>
    <m/>
    <n v="0"/>
    <n v="3400"/>
    <n v="3.35241904221"/>
    <n v="0"/>
    <n v="3.35241904221"/>
    <n v="0"/>
    <n v="0"/>
    <m/>
    <n v="23.440662"/>
    <n v="0"/>
    <n v="3.35241904221"/>
    <m/>
  </r>
  <r>
    <n v="210"/>
    <s v="Khopoli "/>
    <x v="9"/>
    <s v="Narasipur Auto Component(P)Ltd"/>
    <x v="9"/>
    <n v="1941303"/>
    <s v="187546-1941303"/>
    <s v="TUB-O-C-AUT-AD-FC-29.40X4.500X0.3610"/>
    <x v="3"/>
    <m/>
    <x v="5"/>
    <s v="HR"/>
    <m/>
    <s v="Chamferring"/>
    <m/>
    <m/>
    <x v="52"/>
    <s v="29.4-20.4-4.5-CEW-CEW-0.361"/>
    <s v="#REF!"/>
    <s v="Khopoli"/>
    <n v="23.440662"/>
    <n v="0"/>
    <m/>
    <x v="22"/>
    <x v="21"/>
    <x v="6"/>
    <x v="15"/>
    <n v="361"/>
    <s v="NOS"/>
    <m/>
    <m/>
    <n v="26000"/>
    <m/>
    <n v="0"/>
    <n v="26000"/>
    <n v="25.9233853437"/>
    <n v="0"/>
    <n v="25.9233853437"/>
    <n v="0"/>
    <n v="0"/>
    <m/>
    <n v="23.440662"/>
    <n v="0"/>
    <n v="25.9233853437"/>
    <m/>
  </r>
  <r>
    <n v="250"/>
    <s v="Khopoli "/>
    <x v="10"/>
    <s v="NMPL"/>
    <x v="10"/>
    <n v="2363145"/>
    <s v="189226|930794-2363145"/>
    <s v="TUB-O-C-AUT-AN-FC-14.00X2.450X5.0000"/>
    <x v="1"/>
    <m/>
    <x v="3"/>
    <s v="HR"/>
    <m/>
    <m/>
    <m/>
    <m/>
    <x v="108"/>
    <s v="14-0-2.45-CEW-CEW"/>
    <n v="1"/>
    <s v="Khopoli"/>
    <n v="0"/>
    <n v="0"/>
    <m/>
    <x v="5"/>
    <x v="5"/>
    <x v="0"/>
    <x v="22"/>
    <n v="1000"/>
    <s v="M"/>
    <m/>
    <m/>
    <n v="6000"/>
    <m/>
    <n v="0"/>
    <n v="6000"/>
    <n v="4.185030465000001"/>
    <n v="0"/>
    <n v="4.185030465000001"/>
    <n v="0"/>
    <n v="0"/>
    <m/>
    <n v="2.002"/>
    <n v="0"/>
    <n v="4.185030465000001"/>
    <m/>
  </r>
  <r>
    <n v="240"/>
    <s v="Khopoli "/>
    <x v="11"/>
    <s v="NMPL"/>
    <x v="11"/>
    <e v="#REF!"/>
    <e v="#REF!"/>
    <m/>
    <x v="1"/>
    <m/>
    <x v="3"/>
    <m/>
    <m/>
    <m/>
    <m/>
    <m/>
    <x v="109"/>
    <s v="16.1-0-2-CEW-CEW-1"/>
    <n v="1"/>
    <s v="Khopoli"/>
    <n v="0"/>
    <n v="0"/>
    <m/>
    <x v="6"/>
    <x v="6"/>
    <x v="0"/>
    <x v="8"/>
    <n v="1000"/>
    <s v="M"/>
    <m/>
    <m/>
    <m/>
    <m/>
    <n v="0"/>
    <n v="0"/>
    <n v="0"/>
    <n v="0"/>
    <n v="0"/>
    <e v="#DIV/0!"/>
    <n v="0"/>
    <m/>
    <n v="0"/>
    <n v="0"/>
    <n v="0"/>
    <m/>
  </r>
  <r>
    <n v="212"/>
    <s v="Khopoli "/>
    <x v="10"/>
    <s v="NMPL"/>
    <x v="12"/>
    <n v="1931824"/>
    <s v="189226-1931824"/>
    <s v="TUB-O-N-AUT-AW-PE-17.30X1.200X6.0000"/>
    <x v="1"/>
    <m/>
    <x v="1"/>
    <s v="HR"/>
    <m/>
    <m/>
    <m/>
    <m/>
    <x v="110"/>
    <s v="17.3-0-1.2-CEW--6"/>
    <s v="#REF!"/>
    <m/>
    <m/>
    <m/>
    <m/>
    <x v="7"/>
    <x v="7"/>
    <x v="0"/>
    <x v="2"/>
    <n v="6000"/>
    <m/>
    <m/>
    <m/>
    <m/>
    <m/>
    <e v="#N/A"/>
    <e v="#N/A"/>
    <n v="0"/>
    <e v="#N/A"/>
    <e v="#N/A"/>
    <e v="#DIV/0!"/>
    <n v="0"/>
    <m/>
    <n v="0"/>
    <n v="0"/>
    <n v="0"/>
    <m/>
  </r>
  <r>
    <n v="221"/>
    <s v="Khopoli "/>
    <x v="11"/>
    <s v="NMPL"/>
    <x v="11"/>
    <n v="2439535"/>
    <s v="930801|189227-2439535"/>
    <s v="TUB-O-C-AUT-AD-FC-20.00X4.500X04-05"/>
    <x v="1"/>
    <m/>
    <x v="3"/>
    <s v="HR"/>
    <m/>
    <m/>
    <m/>
    <m/>
    <x v="111"/>
    <s v="20-12.4-4.5-CEW-CEW-1"/>
    <n v="2"/>
    <s v="Khopoli"/>
    <n v="0"/>
    <n v="0"/>
    <m/>
    <x v="24"/>
    <x v="23"/>
    <x v="18"/>
    <x v="15"/>
    <n v="1000"/>
    <s v="M"/>
    <m/>
    <m/>
    <n v="2000"/>
    <m/>
    <n v="0"/>
    <n v="2000"/>
    <n v="3.4385355"/>
    <n v="0"/>
    <n v="3.4385355"/>
    <n v="0"/>
    <n v="0"/>
    <m/>
    <n v="0"/>
    <n v="0"/>
    <n v="3.4385355"/>
    <m/>
  </r>
  <r>
    <n v="264"/>
    <s v="Khopoli "/>
    <x v="10"/>
    <s v="NMPL"/>
    <x v="10"/>
    <n v="3228788"/>
    <s v="189226|930794-3228788"/>
    <s v="TUB-O-C-AUT-AD-FC-20.00X1.420X0.2730"/>
    <x v="1"/>
    <m/>
    <x v="3"/>
    <s v="HR"/>
    <m/>
    <m/>
    <m/>
    <m/>
    <x v="60"/>
    <s v="20-17.16-1.42-CEW-CEW-0.273"/>
    <n v="2"/>
    <s v="Khopoli"/>
    <n v="0"/>
    <n v="0"/>
    <m/>
    <x v="24"/>
    <x v="23"/>
    <x v="7"/>
    <x v="18"/>
    <n v="273"/>
    <s v="NOS"/>
    <m/>
    <m/>
    <n v="20000"/>
    <m/>
    <n v="0"/>
    <n v="20000"/>
    <n v="3.550798285943999"/>
    <n v="0"/>
    <n v="3.550798285943999"/>
    <n v="0"/>
    <n v="0"/>
    <m/>
    <n v="0"/>
    <n v="0"/>
    <n v="3.550798285943999"/>
    <m/>
  </r>
  <r>
    <n v="265"/>
    <s v="Khopoli "/>
    <x v="10"/>
    <s v="NMPL"/>
    <x v="10"/>
    <n v="2410994"/>
    <s v="189226|930794-2410994"/>
    <s v="TUB-O-C-AUT-AD-FC-21.75X3.500X04-05"/>
    <x v="1"/>
    <m/>
    <x v="3"/>
    <s v="HR"/>
    <m/>
    <m/>
    <m/>
    <m/>
    <x v="112"/>
    <s v="21.7-16.2-2.75-CEW-CEW-1"/>
    <s v="#REF!"/>
    <m/>
    <m/>
    <m/>
    <m/>
    <x v="38"/>
    <x v="38"/>
    <x v="19"/>
    <x v="24"/>
    <n v="1000"/>
    <s v="M"/>
    <m/>
    <m/>
    <m/>
    <m/>
    <n v="0"/>
    <n v="0"/>
    <n v="0"/>
    <n v="0"/>
    <n v="0"/>
    <e v="#DIV/0!"/>
    <n v="0"/>
    <m/>
    <n v="1.867743"/>
    <n v="0"/>
    <n v="0"/>
    <m/>
  </r>
  <r>
    <n v="266"/>
    <s v="Khopoli "/>
    <x v="10"/>
    <s v="NMPL"/>
    <x v="10"/>
    <n v="2410994"/>
    <s v="189226|930794-2410994"/>
    <s v="TUB-O-C-AUT-AD-FC-21.75X3.500X04-05"/>
    <x v="1"/>
    <m/>
    <x v="3"/>
    <m/>
    <m/>
    <m/>
    <m/>
    <m/>
    <x v="113"/>
    <s v="21.75-0-3.5-CEW-CEW-1"/>
    <s v="#REF!"/>
    <m/>
    <m/>
    <m/>
    <m/>
    <x v="33"/>
    <x v="31"/>
    <x v="0"/>
    <x v="17"/>
    <n v="1000"/>
    <s v="M"/>
    <m/>
    <m/>
    <m/>
    <m/>
    <n v="0"/>
    <n v="0"/>
    <n v="0"/>
    <n v="0"/>
    <n v="0"/>
    <e v="#DIV/0!"/>
    <n v="0"/>
    <m/>
    <n v="0"/>
    <n v="0"/>
    <n v="0"/>
    <m/>
  </r>
  <r>
    <n v="275"/>
    <s v="Khopoli "/>
    <x v="10"/>
    <s v="NMPL"/>
    <x v="10"/>
    <n v="2410997"/>
    <s v="189226|930794-2410997"/>
    <s v="TUB-O-C-AUT-AD-FC-25.40X3.200X04-05"/>
    <x v="1"/>
    <m/>
    <x v="3"/>
    <s v="HR"/>
    <m/>
    <m/>
    <m/>
    <m/>
    <x v="114"/>
    <s v="25.4-19-3.2-CEW-CEW-1"/>
    <s v="#REF!"/>
    <m/>
    <m/>
    <m/>
    <m/>
    <x v="3"/>
    <x v="3"/>
    <x v="11"/>
    <x v="13"/>
    <n v="1000"/>
    <s v="M"/>
    <m/>
    <m/>
    <m/>
    <m/>
    <n v="0"/>
    <n v="0"/>
    <n v="0"/>
    <n v="0"/>
    <n v="0"/>
    <e v="#DIV/0!"/>
    <n v="0"/>
    <m/>
    <n v="0.198385"/>
    <n v="0"/>
    <n v="0"/>
    <m/>
  </r>
  <r>
    <n v="231"/>
    <s v="Khopoli "/>
    <x v="11"/>
    <s v="NMPL"/>
    <x v="11"/>
    <n v="2410997"/>
    <s v="930801|189227-2410997"/>
    <s v="TUB-O-C-AUT-AD-FC-25.40X3.200X04-05"/>
    <x v="1"/>
    <m/>
    <x v="3"/>
    <s v="HR"/>
    <m/>
    <m/>
    <m/>
    <m/>
    <x v="114"/>
    <s v="25.4-19-3.2-CEW-CEW-1"/>
    <n v="3"/>
    <s v="Khopoli"/>
    <n v="0.198385"/>
    <n v="0"/>
    <m/>
    <x v="3"/>
    <x v="3"/>
    <x v="11"/>
    <x v="13"/>
    <n v="1000"/>
    <s v="M"/>
    <m/>
    <m/>
    <n v="2000"/>
    <m/>
    <n v="2400"/>
    <n v="-399.9999999999995"/>
    <n v="3.50212992"/>
    <n v="4.202555903999999"/>
    <n v="-0.7004259839999989"/>
    <n v="0"/>
    <n v="0"/>
    <m/>
    <n v="0.198385"/>
    <n v="0"/>
    <n v="3.50212992"/>
    <m/>
  </r>
  <r>
    <n v="278"/>
    <s v="Khopoli "/>
    <x v="10"/>
    <s v="NMPL"/>
    <x v="10"/>
    <n v="2412748"/>
    <s v="189226|930794-2412748"/>
    <s v="TUB-O-C-AUT-AD-FC-33.30X2.000X4.3000"/>
    <x v="1"/>
    <m/>
    <x v="1"/>
    <s v="HR"/>
    <m/>
    <m/>
    <m/>
    <m/>
    <x v="115"/>
    <s v="0.0960109875294564-0-2-CEW--4.3"/>
    <s v="#REF!"/>
    <m/>
    <m/>
    <m/>
    <m/>
    <x v="39"/>
    <x v="39"/>
    <x v="0"/>
    <x v="8"/>
    <n v="4300"/>
    <m/>
    <m/>
    <m/>
    <m/>
    <m/>
    <e v="#N/A"/>
    <e v="#N/A"/>
    <n v="0"/>
    <e v="#N/A"/>
    <e v="#N/A"/>
    <e v="#DIV/0!"/>
    <n v="0"/>
    <m/>
    <n v="0"/>
    <n v="0"/>
    <n v="0"/>
    <m/>
  </r>
  <r>
    <n v="233"/>
    <s v="Hosur"/>
    <x v="11"/>
    <s v="NMPL"/>
    <x v="11"/>
    <n v="2410993"/>
    <s v="930801|189227-2410993"/>
    <s v="TUB-O-C-AUT-AD-FC-33.30X2.000X04-05"/>
    <x v="1"/>
    <m/>
    <x v="1"/>
    <s v="HR"/>
    <m/>
    <m/>
    <m/>
    <m/>
    <x v="116"/>
    <s v="2.29999955264502-29.3-2-CEW--4.5"/>
    <s v="#REF!"/>
    <m/>
    <m/>
    <m/>
    <m/>
    <x v="39"/>
    <x v="40"/>
    <x v="20"/>
    <x v="8"/>
    <n v="4500"/>
    <m/>
    <m/>
    <m/>
    <m/>
    <m/>
    <e v="#N/A"/>
    <e v="#N/A"/>
    <n v="0"/>
    <e v="#N/A"/>
    <e v="#N/A"/>
    <e v="#DIV/0!"/>
    <n v="0"/>
    <m/>
    <n v="0"/>
    <n v="0"/>
    <n v="0"/>
    <m/>
  </r>
  <r>
    <n v="234"/>
    <s v="Hosur"/>
    <x v="11"/>
    <s v="NMPL"/>
    <x v="11"/>
    <n v="238413"/>
    <s v="930801|189227-238413"/>
    <m/>
    <x v="1"/>
    <m/>
    <x v="3"/>
    <s v="HR"/>
    <m/>
    <m/>
    <m/>
    <m/>
    <x v="117"/>
    <s v="37.95-32-2.95-CEW-CEW-0.94"/>
    <s v="#REF!"/>
    <m/>
    <m/>
    <m/>
    <m/>
    <x v="40"/>
    <x v="41"/>
    <x v="21"/>
    <x v="4"/>
    <n v="940"/>
    <s v="NOS"/>
    <m/>
    <m/>
    <m/>
    <m/>
    <n v="0"/>
    <n v="0"/>
    <n v="0"/>
    <n v="0"/>
    <n v="0"/>
    <e v="#DIV/0!"/>
    <n v="0"/>
    <m/>
    <n v="27.475126"/>
    <n v="0"/>
    <n v="0"/>
    <m/>
  </r>
  <r>
    <n v="249"/>
    <m/>
    <x v="10"/>
    <s v="NMPL"/>
    <x v="10"/>
    <n v="238413"/>
    <s v="189226|930794-238413"/>
    <s v="TUB-I-C-AUT-AD-PE-32.00X2.950X0.940"/>
    <x v="1"/>
    <m/>
    <x v="3"/>
    <m/>
    <m/>
    <m/>
    <m/>
    <m/>
    <x v="117"/>
    <s v="37.95-32-2.95-CEW-CEW-0.94"/>
    <s v="#REF!"/>
    <s v="Khopoli"/>
    <m/>
    <m/>
    <m/>
    <x v="40"/>
    <x v="41"/>
    <x v="21"/>
    <x v="4"/>
    <n v="940"/>
    <s v="NOS"/>
    <m/>
    <m/>
    <m/>
    <m/>
    <n v="0"/>
    <n v="0"/>
    <n v="0"/>
    <n v="0"/>
    <n v="0"/>
    <e v="#DIV/0!"/>
    <n v="0"/>
    <m/>
    <n v="27.475126"/>
    <n v="0"/>
    <n v="0"/>
    <m/>
  </r>
  <r>
    <n v="280"/>
    <s v="JSR"/>
    <x v="11"/>
    <s v="NMPL"/>
    <x v="11"/>
    <n v="238413"/>
    <s v="930801|189227-238413"/>
    <s v="TUB-I-C-AUT-AD-PE-32.00X2.950X0.940"/>
    <x v="1"/>
    <m/>
    <x v="3"/>
    <s v="HR"/>
    <m/>
    <m/>
    <m/>
    <m/>
    <x v="117"/>
    <s v="37.95-32-2.95-CEW-CEW-1"/>
    <n v="1"/>
    <s v="Khopoli"/>
    <n v="14.742126"/>
    <n v="0"/>
    <m/>
    <x v="40"/>
    <x v="41"/>
    <x v="21"/>
    <x v="4"/>
    <n v="1000"/>
    <s v="M"/>
    <m/>
    <m/>
    <n v="3000"/>
    <m/>
    <n v="0"/>
    <n v="3000"/>
    <n v="7.635027750000002"/>
    <n v="0"/>
    <n v="7.635027750000002"/>
    <n v="0"/>
    <n v="0"/>
    <m/>
    <n v="27.475126"/>
    <n v="0"/>
    <n v="7.635027750000002"/>
    <m/>
  </r>
  <r>
    <n v="247"/>
    <s v="Hosur"/>
    <x v="10"/>
    <s v="NMPL"/>
    <x v="10"/>
    <n v="1939991"/>
    <s v="189226|930794-1939991"/>
    <s v="TUB-O-O-AUT-AW-PE-12.70X1.600X0.1450"/>
    <x v="0"/>
    <m/>
    <x v="0"/>
    <s v="CR"/>
    <s v="WG"/>
    <m/>
    <m/>
    <m/>
    <x v="0"/>
    <s v="12.7-0-1.6-ERW 1-PE-0.145"/>
    <n v="1"/>
    <s v="Hosur"/>
    <n v="0"/>
    <n v="0"/>
    <m/>
    <x v="0"/>
    <x v="0"/>
    <x v="0"/>
    <x v="0"/>
    <n v="145"/>
    <s v="NOS"/>
    <m/>
    <m/>
    <n v="15000"/>
    <m/>
    <n v="0"/>
    <n v="15000"/>
    <n v="0.952141572"/>
    <n v="0"/>
    <n v="0.952141572"/>
    <n v="0"/>
    <n v="0"/>
    <m/>
    <n v="0.06565699999999999"/>
    <n v="8.986000000000001"/>
    <n v="0.952141572"/>
    <m/>
  </r>
  <r>
    <n v="248"/>
    <s v="Hosur"/>
    <x v="11"/>
    <s v="NMPL"/>
    <x v="10"/>
    <n v="1931237"/>
    <s v="189226|930794-1931237"/>
    <s v="TUB-O-N-GEN-AW-PE-12.70X2.000X5.0500"/>
    <x v="0"/>
    <m/>
    <x v="0"/>
    <s v="HR"/>
    <m/>
    <m/>
    <m/>
    <m/>
    <x v="118"/>
    <s v="12.7-0-2-ERW 1-PE-1"/>
    <s v="#REF!"/>
    <m/>
    <n v="0"/>
    <n v="0"/>
    <m/>
    <x v="0"/>
    <x v="0"/>
    <x v="0"/>
    <x v="8"/>
    <n v="1000"/>
    <s v="M"/>
    <m/>
    <m/>
    <m/>
    <m/>
    <n v="0"/>
    <n v="0"/>
    <n v="0"/>
    <n v="0"/>
    <n v="0"/>
    <e v="#DIV/0!"/>
    <n v="0"/>
    <m/>
    <n v="0"/>
    <n v="0"/>
    <n v="0"/>
    <m/>
  </r>
  <r>
    <n v="216"/>
    <s v="Hosur"/>
    <x v="11"/>
    <s v="NMPL"/>
    <x v="11"/>
    <n v="1940019"/>
    <s v="930801|189227-1940019"/>
    <s v="TUB-O-O-GEN-AW-PE-15.88X1.000X0.1400"/>
    <x v="0"/>
    <m/>
    <x v="0"/>
    <s v="CR"/>
    <m/>
    <m/>
    <m/>
    <m/>
    <x v="77"/>
    <s v="15.88-0-1-ERW 1-PE-0.14"/>
    <n v="1"/>
    <s v="Hosur"/>
    <n v="0"/>
    <n v="0"/>
    <m/>
    <x v="1"/>
    <x v="1"/>
    <x v="0"/>
    <x v="1"/>
    <n v="140"/>
    <s v="NOS"/>
    <m/>
    <m/>
    <n v="6000"/>
    <m/>
    <n v="0"/>
    <n v="6000"/>
    <n v="0.3080927808"/>
    <n v="0"/>
    <n v="0.3080927808"/>
    <n v="0"/>
    <n v="0"/>
    <m/>
    <n v="0.179"/>
    <n v="0"/>
    <n v="0.3080927808"/>
    <m/>
  </r>
  <r>
    <m/>
    <s v="Hosur"/>
    <x v="10"/>
    <s v="NMPL"/>
    <x v="10"/>
    <m/>
    <s v="189226|930794-"/>
    <m/>
    <x v="0"/>
    <m/>
    <x v="0"/>
    <s v="CR"/>
    <m/>
    <m/>
    <m/>
    <m/>
    <x v="77"/>
    <s v="15.88-0-1-ERW 1-PE-0.592"/>
    <n v="1"/>
    <s v="Hosur"/>
    <n v="0"/>
    <n v="0"/>
    <m/>
    <x v="1"/>
    <x v="1"/>
    <x v="0"/>
    <x v="1"/>
    <n v="592"/>
    <s v="NOS"/>
    <m/>
    <m/>
    <n v="1000"/>
    <m/>
    <n v="0"/>
    <n v="1000"/>
    <n v="0.21713205504"/>
    <n v="0"/>
    <n v="0.21713205504"/>
    <n v="0"/>
    <n v="0"/>
    <m/>
    <n v="0.179"/>
    <n v="0"/>
    <n v="0.21713205504"/>
    <m/>
  </r>
  <r>
    <n v="251"/>
    <s v="Hosur"/>
    <x v="10"/>
    <s v="NMPL"/>
    <x v="10"/>
    <n v="1941845"/>
    <s v="189226|930794-1941845"/>
    <s v="TUB-E-O-AUT-AW-FC-15.88X1.000X1.2340"/>
    <x v="0"/>
    <m/>
    <x v="0"/>
    <s v="HR"/>
    <m/>
    <m/>
    <m/>
    <m/>
    <x v="77"/>
    <s v="15.88-0-1-ERW 1-PE-1.234"/>
    <n v="1"/>
    <s v="Hosur"/>
    <n v="0"/>
    <n v="0"/>
    <m/>
    <x v="1"/>
    <x v="1"/>
    <x v="0"/>
    <x v="1"/>
    <n v="1234"/>
    <s v="NOS"/>
    <m/>
    <m/>
    <n v="10000"/>
    <m/>
    <n v="7625"/>
    <n v="2375"/>
    <n v="4.526029660800001"/>
    <n v="3.45109761636"/>
    <n v="1.074932044440001"/>
    <n v="615.8068348821546"/>
    <n v="0.278716"/>
    <m/>
    <n v="0.179"/>
    <n v="0"/>
    <n v="4.247313660800001"/>
    <m/>
  </r>
  <r>
    <n v="252"/>
    <s v="Hosur"/>
    <x v="10"/>
    <s v="NMPL"/>
    <x v="10"/>
    <n v="1941846"/>
    <s v="189226|930794-1941846"/>
    <s v="TUB-E-O-AUT-AW-FC-15.88X1.000X1.6030"/>
    <x v="0"/>
    <m/>
    <x v="0"/>
    <s v="HR"/>
    <m/>
    <m/>
    <m/>
    <m/>
    <x v="77"/>
    <s v="15.88-0-1-ERW 1-PE-1.603"/>
    <n v="2"/>
    <s v="Hosur"/>
    <n v="0"/>
    <n v="0"/>
    <m/>
    <x v="1"/>
    <x v="1"/>
    <x v="0"/>
    <x v="1"/>
    <n v="1603"/>
    <s v="NOS"/>
    <m/>
    <m/>
    <n v="4000"/>
    <m/>
    <n v="0"/>
    <n v="4000"/>
    <n v="2.35177489344"/>
    <n v="0"/>
    <n v="2.35177489344"/>
    <n v="2569.810578749674"/>
    <n v="1.510904"/>
    <m/>
    <n v="0.179"/>
    <n v="0"/>
    <n v="0.8408708934399998"/>
    <m/>
  </r>
  <r>
    <n v="253"/>
    <s v="Hosur"/>
    <x v="10"/>
    <s v="NMPL"/>
    <x v="10"/>
    <n v="1941847"/>
    <s v="189226|930794-1941847"/>
    <s v="TUB-E-O-AUT-AW-FC-15.88X1.000X2.1850"/>
    <x v="0"/>
    <m/>
    <x v="0"/>
    <s v="HR"/>
    <m/>
    <m/>
    <m/>
    <m/>
    <x v="77"/>
    <s v="15.88-0-1-ERW 1-PE-2.185"/>
    <n v="2"/>
    <s v="Hosur"/>
    <n v="0"/>
    <n v="0"/>
    <m/>
    <x v="1"/>
    <x v="1"/>
    <x v="0"/>
    <x v="1"/>
    <n v="2185"/>
    <s v="NOS"/>
    <m/>
    <m/>
    <n v="2000"/>
    <m/>
    <n v="0"/>
    <n v="2000"/>
    <n v="1.6028160144"/>
    <n v="0"/>
    <n v="1.6028160144"/>
    <n v="4296.218616568871"/>
    <n v="3.443024"/>
    <m/>
    <n v="0.179"/>
    <n v="0"/>
    <n v="-1.8402079856"/>
    <m/>
  </r>
  <r>
    <n v="254"/>
    <s v="Hosur"/>
    <x v="10"/>
    <s v="NMPL"/>
    <x v="10"/>
    <n v="1941848"/>
    <s v="189226|930794-1941848"/>
    <s v="TUB-E-O-AUT-AW-FC-15.88X1.000X2.4900"/>
    <x v="0"/>
    <m/>
    <x v="0"/>
    <s v="HR"/>
    <m/>
    <m/>
    <m/>
    <m/>
    <x v="77"/>
    <s v="15.88-0-1-ERW 1-PE-2.49"/>
    <n v="1"/>
    <s v="Hosur"/>
    <n v="0"/>
    <n v="0"/>
    <m/>
    <x v="1"/>
    <x v="1"/>
    <x v="0"/>
    <x v="1"/>
    <n v="2490"/>
    <s v="NOS"/>
    <m/>
    <m/>
    <n v="2000"/>
    <m/>
    <n v="0"/>
    <n v="2000"/>
    <n v="1.8265500576"/>
    <n v="0"/>
    <n v="1.8265500576"/>
    <n v="2835.833586080855"/>
    <n v="2.589896"/>
    <m/>
    <n v="0.179"/>
    <n v="0"/>
    <n v="-0.7633459423999998"/>
    <m/>
  </r>
  <r>
    <n v="255"/>
    <s v="Hosur"/>
    <x v="10"/>
    <s v="NMPL"/>
    <x v="10"/>
    <n v="3541434"/>
    <s v="189226|930794-3541434"/>
    <s v="TUB-O-N-AUT-AW-PE-15.88X1.000X2.9050"/>
    <x v="0"/>
    <m/>
    <x v="0"/>
    <s v="CR"/>
    <m/>
    <m/>
    <m/>
    <m/>
    <x v="77"/>
    <s v="15.88-0-1-ERW 1-PE-2.905"/>
    <n v="1"/>
    <s v="Hosur"/>
    <n v="0"/>
    <n v="0"/>
    <m/>
    <x v="1"/>
    <x v="1"/>
    <x v="0"/>
    <x v="1"/>
    <n v="2905"/>
    <s v="NOS"/>
    <m/>
    <m/>
    <n v="3000"/>
    <m/>
    <n v="1800"/>
    <n v="1200"/>
    <n v="3.1964626008"/>
    <n v="1.91787756048"/>
    <n v="1.27858504032"/>
    <n v="1388.520234489584"/>
    <n v="1.479451"/>
    <m/>
    <n v="0.179"/>
    <n v="0"/>
    <n v="1.7170116008"/>
    <m/>
  </r>
  <r>
    <m/>
    <s v="Khopli"/>
    <x v="11"/>
    <s v="NMPL"/>
    <x v="11"/>
    <n v="1938195"/>
    <s v="930801|189227-1938195"/>
    <s v="TUB-O-N-AUT-AW-PE-17.30X1.200X0.1500"/>
    <x v="0"/>
    <m/>
    <x v="0"/>
    <s v="CR"/>
    <m/>
    <m/>
    <m/>
    <m/>
    <x v="119"/>
    <s v="17.3-0-1.2-ERW 1-PE-0.15"/>
    <n v="2"/>
    <s v="Khopoli"/>
    <n v="3.29942"/>
    <m/>
    <m/>
    <x v="7"/>
    <x v="7"/>
    <x v="0"/>
    <x v="2"/>
    <n v="150"/>
    <s v="NOS"/>
    <m/>
    <m/>
    <n v="15200"/>
    <m/>
    <n v="8000"/>
    <n v="7200"/>
    <n v="1.0857785904"/>
    <n v="0.5714624160000001"/>
    <n v="0.5143161744"/>
    <n v="0"/>
    <n v="0"/>
    <m/>
    <n v="4.49552"/>
    <n v="0"/>
    <n v="1.0857785904"/>
    <m/>
  </r>
  <r>
    <n v="217"/>
    <s v="Khopoli "/>
    <x v="10"/>
    <s v="NMPL"/>
    <x v="11"/>
    <n v="1938195"/>
    <s v="930801|189227-1938195"/>
    <s v="TUB-O-N-AUT-AW-PE-17.30X1.200X0.1500"/>
    <x v="0"/>
    <m/>
    <x v="0"/>
    <s v="CR"/>
    <m/>
    <m/>
    <m/>
    <m/>
    <x v="119"/>
    <s v="17.3-0-1.2-ERW 1-PE-0.15"/>
    <n v="2"/>
    <s v="Khopoli"/>
    <n v="3.29942"/>
    <n v="1.1961"/>
    <m/>
    <x v="7"/>
    <x v="7"/>
    <x v="0"/>
    <x v="2"/>
    <n v="150"/>
    <s v="NOS"/>
    <m/>
    <m/>
    <n v="5000"/>
    <m/>
    <n v="8000"/>
    <n v="-3000"/>
    <n v="0.3571640100000001"/>
    <n v="0.5714624160000001"/>
    <n v="-0.2142984060000001"/>
    <n v="0"/>
    <n v="0"/>
    <m/>
    <n v="4.49552"/>
    <n v="0"/>
    <n v="0.3571640100000001"/>
    <m/>
  </r>
  <r>
    <n v="218"/>
    <s v="Khopoli "/>
    <x v="11"/>
    <s v="NMPL"/>
    <x v="11"/>
    <n v="1938116"/>
    <s v="930801|189227-1938116"/>
    <s v="TUB-O-N-GEN-AW-PE-18.20X1.000X0.1100"/>
    <x v="0"/>
    <m/>
    <x v="0"/>
    <s v="CR"/>
    <m/>
    <m/>
    <m/>
    <m/>
    <x v="120"/>
    <s v="18.2-0-1-ERW 1-PE-0.11"/>
    <n v="2"/>
    <s v="Khopoli"/>
    <n v="0.185903"/>
    <n v="0"/>
    <m/>
    <x v="41"/>
    <x v="42"/>
    <x v="0"/>
    <x v="1"/>
    <n v="110"/>
    <s v="NOS"/>
    <m/>
    <m/>
    <n v="40000"/>
    <m/>
    <n v="0"/>
    <n v="40000"/>
    <n v="1.86543632"/>
    <n v="0"/>
    <n v="1.86543632"/>
    <n v="0"/>
    <n v="0"/>
    <m/>
    <n v="0.185903"/>
    <n v="0"/>
    <n v="1.86543632"/>
    <m/>
  </r>
  <r>
    <n v="256"/>
    <s v="Khopoli "/>
    <x v="10"/>
    <s v="NMPL"/>
    <x v="10"/>
    <n v="1938116"/>
    <s v="189226|930794-1938116"/>
    <s v="TUB-O-N-GEN-AW-PE-18.20X1.000X0.1100"/>
    <x v="0"/>
    <m/>
    <x v="0"/>
    <s v="CR"/>
    <m/>
    <m/>
    <m/>
    <m/>
    <x v="120"/>
    <s v="18.2-0-1-ERW 1-PE-0.11"/>
    <n v="2"/>
    <s v="Khopoli"/>
    <n v="0.185903"/>
    <n v="0"/>
    <m/>
    <x v="41"/>
    <x v="42"/>
    <x v="0"/>
    <x v="1"/>
    <n v="110"/>
    <s v="NOS"/>
    <m/>
    <m/>
    <n v="5000"/>
    <m/>
    <n v="0"/>
    <n v="5000"/>
    <n v="0.23317954"/>
    <n v="0"/>
    <n v="0.23317954"/>
    <n v="0"/>
    <n v="0"/>
    <m/>
    <n v="0.185903"/>
    <n v="0"/>
    <n v="0.23317954"/>
    <m/>
  </r>
  <r>
    <n v="219"/>
    <s v="Khopoli "/>
    <x v="10"/>
    <s v="NMPL"/>
    <x v="11"/>
    <n v="1938117"/>
    <s v="930801|189227-1938117"/>
    <s v="TUB-O-N-GEN-AW-PE-18.20X1.000X0.1450"/>
    <x v="0"/>
    <m/>
    <x v="0"/>
    <s v="CR"/>
    <m/>
    <m/>
    <m/>
    <m/>
    <x v="120"/>
    <s v="18.2-0-1-ERW 1-PE-0.145"/>
    <n v="2"/>
    <s v="Khopoli"/>
    <n v="0.185903"/>
    <n v="0"/>
    <m/>
    <x v="41"/>
    <x v="42"/>
    <x v="0"/>
    <x v="1"/>
    <n v="145"/>
    <s v="NOS"/>
    <m/>
    <m/>
    <n v="5000"/>
    <m/>
    <n v="0"/>
    <n v="5000"/>
    <n v="0.30737303"/>
    <n v="0"/>
    <n v="0.30737303"/>
    <n v="0"/>
    <n v="0"/>
    <m/>
    <n v="0.185903"/>
    <n v="0"/>
    <n v="0.30737303"/>
    <m/>
  </r>
  <r>
    <m/>
    <s v="Khopoli "/>
    <x v="11"/>
    <s v="NMPL"/>
    <x v="11"/>
    <n v="1938117"/>
    <s v="930801|189227-1938117"/>
    <s v="TUB-O-N-GEN-AW-PE-18.20X1.000X0.1450"/>
    <x v="0"/>
    <m/>
    <x v="0"/>
    <s v="CR"/>
    <m/>
    <m/>
    <m/>
    <m/>
    <x v="120"/>
    <s v="18.2-0-1-ERW 1-PE-0.145"/>
    <n v="2"/>
    <s v="Khopoli"/>
    <n v="0.185903"/>
    <n v="0"/>
    <m/>
    <x v="41"/>
    <x v="42"/>
    <x v="0"/>
    <x v="1"/>
    <n v="145"/>
    <s v="NOS"/>
    <m/>
    <m/>
    <n v="24000"/>
    <m/>
    <n v="0"/>
    <n v="24000"/>
    <n v="1.475390544"/>
    <n v="0"/>
    <n v="1.475390544"/>
    <n v="0"/>
    <n v="0"/>
    <m/>
    <n v="0.185903"/>
    <n v="0"/>
    <n v="1.475390544"/>
    <m/>
  </r>
  <r>
    <n v="257"/>
    <s v="Hosur"/>
    <x v="10"/>
    <s v="NMPL"/>
    <x v="10"/>
    <n v="3518158"/>
    <s v="189226|930794-3518158"/>
    <s v="TUB-O-N-AUT-AW-PE-19.05X1.020X1.0950"/>
    <x v="0"/>
    <m/>
    <x v="0"/>
    <s v="CR"/>
    <m/>
    <m/>
    <m/>
    <m/>
    <x v="3"/>
    <s v="19.05-0-1-ERW 1-PE-1.095"/>
    <n v="1"/>
    <s v="Hosur"/>
    <n v="0"/>
    <n v="0"/>
    <m/>
    <x v="2"/>
    <x v="2"/>
    <x v="0"/>
    <x v="1"/>
    <n v="1095"/>
    <s v="NOS"/>
    <m/>
    <m/>
    <n v="4000"/>
    <m/>
    <n v="0"/>
    <n v="4000"/>
    <n v="1.948725291"/>
    <n v="0"/>
    <n v="1.948725291"/>
    <n v="143.6836691621713"/>
    <n v="0.07000000000000001"/>
    <m/>
    <n v="0"/>
    <n v="18.324"/>
    <n v="1.878725291"/>
    <m/>
  </r>
  <r>
    <m/>
    <s v="Hosur"/>
    <x v="10"/>
    <s v="NMPL"/>
    <x v="10"/>
    <m/>
    <s v="189226|930794-"/>
    <m/>
    <x v="0"/>
    <m/>
    <x v="0"/>
    <m/>
    <m/>
    <m/>
    <m/>
    <m/>
    <x v="4"/>
    <s v="19.05-0-1.2-ERW 1-PE-0.258"/>
    <m/>
    <m/>
    <n v="0"/>
    <n v="0"/>
    <m/>
    <x v="2"/>
    <x v="2"/>
    <x v="0"/>
    <x v="2"/>
    <n v="258"/>
    <s v="NOS"/>
    <m/>
    <m/>
    <n v="2500"/>
    <m/>
    <n v="0"/>
    <n v="2500"/>
    <n v="0.3405481191"/>
    <n v="0"/>
    <n v="0.3405481191"/>
    <n v="0"/>
    <n v="0"/>
    <m/>
    <n v="0"/>
    <n v="20.588"/>
    <n v="0.3405481191"/>
    <m/>
  </r>
  <r>
    <n v="258"/>
    <s v="Hosur"/>
    <x v="10"/>
    <s v="NMPL"/>
    <x v="10"/>
    <n v="1940188"/>
    <s v="189226|930794-1940188"/>
    <s v="TUB-O-O-AUT-AW-PE-19.05X1.200X0.6310"/>
    <x v="0"/>
    <m/>
    <x v="0"/>
    <s v="HR"/>
    <m/>
    <m/>
    <m/>
    <m/>
    <x v="4"/>
    <s v="19.05-0-1.2-ERW 1-PE-0.631"/>
    <n v="1"/>
    <s v="Hosur"/>
    <n v="0"/>
    <n v="0"/>
    <m/>
    <x v="2"/>
    <x v="2"/>
    <x v="0"/>
    <x v="2"/>
    <n v="631"/>
    <s v="NOS"/>
    <m/>
    <m/>
    <n v="12000"/>
    <m/>
    <n v="0"/>
    <n v="12000"/>
    <n v="3.99787652376"/>
    <n v="0"/>
    <n v="3.99787652376"/>
    <n v="8701.619420522251"/>
    <n v="2.899"/>
    <m/>
    <n v="0"/>
    <n v="20.588"/>
    <n v="1.09887652376"/>
    <m/>
  </r>
  <r>
    <n v="259"/>
    <s v="Hosur"/>
    <x v="10"/>
    <s v="NMPL"/>
    <x v="10"/>
    <n v="1940189"/>
    <s v="189226|930794-1940189"/>
    <s v="TUB-O-O-AUT-AW-PE-19.05X1.200X0.6800"/>
    <x v="0"/>
    <m/>
    <x v="0"/>
    <s v="CR"/>
    <m/>
    <m/>
    <m/>
    <m/>
    <x v="4"/>
    <s v="19.05-0-1.2-ERW 1-PE-0.68"/>
    <n v="1"/>
    <s v="Hosur"/>
    <n v="0"/>
    <n v="0"/>
    <m/>
    <x v="2"/>
    <x v="2"/>
    <x v="0"/>
    <x v="2"/>
    <n v="680"/>
    <s v="NOS"/>
    <m/>
    <m/>
    <n v="6000"/>
    <m/>
    <n v="0"/>
    <n v="6000"/>
    <n v="2.1541648464"/>
    <n v="0"/>
    <n v="2.1541648464"/>
    <n v="9829.289543641677"/>
    <n v="3.528985"/>
    <m/>
    <n v="0"/>
    <n v="20.588"/>
    <n v="-1.3748201536"/>
    <m/>
  </r>
  <r>
    <m/>
    <s v="Hosur"/>
    <x v="10"/>
    <s v="NMPL"/>
    <x v="10"/>
    <m/>
    <s v="189226|930794-"/>
    <m/>
    <x v="0"/>
    <m/>
    <x v="0"/>
    <m/>
    <m/>
    <m/>
    <m/>
    <m/>
    <x v="4"/>
    <s v="19.05-0-1.2-ERW 1-PE-1.615"/>
    <m/>
    <m/>
    <n v="0"/>
    <n v="0"/>
    <m/>
    <x v="2"/>
    <x v="2"/>
    <x v="0"/>
    <x v="2"/>
    <n v="1615"/>
    <s v="NOS"/>
    <m/>
    <m/>
    <n v="500"/>
    <m/>
    <n v="0"/>
    <n v="500"/>
    <n v="0.42634512585"/>
    <n v="0"/>
    <n v="0.42634512585"/>
    <n v="0"/>
    <n v="0"/>
    <m/>
    <n v="0"/>
    <n v="20.588"/>
    <n v="0.42634512585"/>
    <m/>
  </r>
  <r>
    <n v="260"/>
    <s v="Hosur"/>
    <x v="10"/>
    <s v="NMPL"/>
    <x v="10"/>
    <n v="236341"/>
    <s v="189226|930794-236341"/>
    <s v="TUB-O-N-AUT-AW-PE-19.05X1.600X0.610"/>
    <x v="0"/>
    <m/>
    <x v="0"/>
    <s v="HR"/>
    <m/>
    <m/>
    <m/>
    <m/>
    <x v="85"/>
    <s v="19.05-0-1.6-ERW 1-PE-0.61"/>
    <n v="1"/>
    <s v="Hosur"/>
    <n v="0"/>
    <n v="0"/>
    <m/>
    <x v="2"/>
    <x v="2"/>
    <x v="0"/>
    <x v="0"/>
    <n v="610"/>
    <s v="NOS"/>
    <m/>
    <m/>
    <n v="2000"/>
    <m/>
    <n v="0"/>
    <n v="2000"/>
    <n v="0.8396040975999999"/>
    <n v="0"/>
    <n v="0.8396040975999999"/>
    <n v="72.12685142093096"/>
    <n v="0.030279"/>
    <m/>
    <n v="0"/>
    <n v="2.886"/>
    <n v="0.8093250975999999"/>
    <m/>
  </r>
  <r>
    <n v="261"/>
    <s v="Hosur"/>
    <x v="10"/>
    <s v="NMPL"/>
    <x v="10"/>
    <n v="235953"/>
    <s v="189226|930794-235953"/>
    <s v="TUB-O-N-AUT-AW-PE-19.05X1.60X5.475-ERW 1"/>
    <x v="0"/>
    <m/>
    <x v="1"/>
    <s v="HR"/>
    <m/>
    <m/>
    <m/>
    <m/>
    <x v="121"/>
    <s v="19.05-0-1.6-ERW 1--5.475"/>
    <s v="#REF!"/>
    <m/>
    <m/>
    <m/>
    <m/>
    <x v="2"/>
    <x v="2"/>
    <x v="0"/>
    <x v="0"/>
    <n v="5475"/>
    <s v="M"/>
    <m/>
    <m/>
    <m/>
    <m/>
    <n v="0"/>
    <n v="0"/>
    <n v="0"/>
    <n v="0"/>
    <n v="0"/>
    <e v="#DIV/0!"/>
    <n v="0"/>
    <m/>
    <n v="0"/>
    <n v="0"/>
    <n v="0"/>
    <m/>
  </r>
  <r>
    <n v="262"/>
    <s v="Hosur"/>
    <x v="10"/>
    <s v="NMPL"/>
    <x v="10"/>
    <n v="1940318"/>
    <s v="189226|930794-1940318"/>
    <s v="TUB-O-O-AUT-AW-PE-19.05X2.300X0.3940"/>
    <x v="0"/>
    <m/>
    <x v="0"/>
    <s v="HR"/>
    <m/>
    <m/>
    <m/>
    <m/>
    <x v="19"/>
    <s v="19.05-0-2.3-ERW 1-PE-0.394"/>
    <n v="1"/>
    <s v="Hosur"/>
    <n v="28.35719099999999"/>
    <n v="41.353167"/>
    <m/>
    <x v="2"/>
    <x v="2"/>
    <x v="0"/>
    <x v="9"/>
    <n v="394"/>
    <s v="NOS"/>
    <m/>
    <m/>
    <n v="10000"/>
    <m/>
    <n v="19190"/>
    <n v="-9190"/>
    <n v="3.7414347365"/>
    <n v="7.179813259343501"/>
    <n v="-3.438378522843501"/>
    <n v="7.761728332903128"/>
    <n v="0.002904"/>
    <m/>
    <n v="79.22211800000001"/>
    <n v="6.015"/>
    <n v="3.7385307365"/>
    <m/>
  </r>
  <r>
    <n v="222"/>
    <s v="Hosur"/>
    <x v="11"/>
    <s v="NMPL"/>
    <x v="11"/>
    <n v="1940357"/>
    <s v="930801|189227-1940357"/>
    <s v="TUB-O-O-AUT-AW-PE-22.23X1.200X0.1400"/>
    <x v="0"/>
    <m/>
    <x v="0"/>
    <s v="CR"/>
    <m/>
    <m/>
    <m/>
    <m/>
    <x v="20"/>
    <s v="22.23-0-1.2-ERW 1-PE-0.14"/>
    <n v="1"/>
    <s v="Hosur"/>
    <n v="0"/>
    <n v="0.24294"/>
    <m/>
    <x v="11"/>
    <x v="11"/>
    <x v="0"/>
    <x v="2"/>
    <n v="140"/>
    <s v="NOS"/>
    <m/>
    <m/>
    <n v="6000"/>
    <m/>
    <n v="0"/>
    <n v="6000"/>
    <n v="0.52251541776"/>
    <n v="0"/>
    <n v="0.52251541776"/>
    <n v="0"/>
    <n v="0"/>
    <m/>
    <n v="0.08500000000000001"/>
    <n v="3.104"/>
    <n v="0.52251541776"/>
    <m/>
  </r>
  <r>
    <n v="267"/>
    <s v="Hosur"/>
    <x v="10"/>
    <s v="NMPL"/>
    <x v="10"/>
    <n v="1940392"/>
    <s v="189226|930794-1940392"/>
    <s v="TUB-O-O-AUT-AW-PE-22.23X1.600X0.2850"/>
    <x v="0"/>
    <m/>
    <x v="0"/>
    <s v="CR"/>
    <s v="GR1"/>
    <m/>
    <m/>
    <m/>
    <x v="21"/>
    <s v="22.23-0-1.6-ERW 1-PE-0.285"/>
    <n v="2"/>
    <s v="Hosur"/>
    <n v="0.05916199999999994"/>
    <n v="0"/>
    <m/>
    <x v="11"/>
    <x v="11"/>
    <x v="0"/>
    <x v="0"/>
    <n v="285"/>
    <s v="NOS"/>
    <m/>
    <m/>
    <n v="30000"/>
    <m/>
    <n v="0"/>
    <n v="30000"/>
    <n v="6.9564013416"/>
    <n v="0"/>
    <n v="6.9564013416"/>
    <n v="408.5215703420536"/>
    <n v="0.09472800000000001"/>
    <m/>
    <n v="10.773162"/>
    <n v="0"/>
    <n v="6.8616733416"/>
    <m/>
  </r>
  <r>
    <n v="223"/>
    <s v="Hosur"/>
    <x v="10"/>
    <s v="NMPL"/>
    <x v="11"/>
    <n v="1938251"/>
    <s v="930801|189227-1938251"/>
    <s v="TUB-O-N-AUT-AW-PE-22.23X1.600X0.3940"/>
    <x v="0"/>
    <m/>
    <x v="0"/>
    <s v="CR"/>
    <s v="D"/>
    <m/>
    <m/>
    <m/>
    <x v="21"/>
    <s v="22.23-0-1.6-ERW 1-PE-0.394"/>
    <n v="2"/>
    <s v="Hosur"/>
    <n v="0.05916199999999994"/>
    <n v="0"/>
    <m/>
    <x v="11"/>
    <x v="11"/>
    <x v="0"/>
    <x v="0"/>
    <n v="394"/>
    <s v="NOS"/>
    <m/>
    <m/>
    <n v="5000"/>
    <m/>
    <n v="0"/>
    <n v="5000"/>
    <n v="1.60281995824"/>
    <n v="0"/>
    <n v="1.60281995824"/>
    <n v="2789.293318327004"/>
    <n v="0.894147"/>
    <m/>
    <n v="10.773162"/>
    <n v="0"/>
    <n v="0.7086729582400002"/>
    <m/>
  </r>
  <r>
    <m/>
    <s v="Hosur"/>
    <x v="11"/>
    <s v="NMPL"/>
    <x v="11"/>
    <n v="1938251"/>
    <s v="930801|189227-1938251"/>
    <s v="TUB-O-N-AUT-AW-PE-22.23X1.600X0.3940"/>
    <x v="0"/>
    <m/>
    <x v="0"/>
    <s v="HR"/>
    <m/>
    <m/>
    <m/>
    <m/>
    <x v="21"/>
    <s v="22.23-0-1.6-ERW 1-PE-0.394"/>
    <n v="2"/>
    <s v="Hosur"/>
    <n v="0.05916199999999994"/>
    <n v="0"/>
    <m/>
    <x v="11"/>
    <x v="11"/>
    <x v="0"/>
    <x v="0"/>
    <n v="394"/>
    <s v="NOS"/>
    <m/>
    <m/>
    <n v="15200"/>
    <m/>
    <n v="0"/>
    <n v="15200"/>
    <n v="4.872572673049601"/>
    <n v="0"/>
    <n v="4.872572673049601"/>
    <n v="2789.293318327004"/>
    <n v="0.894147"/>
    <m/>
    <n v="10.773162"/>
    <n v="0"/>
    <n v="3.978425673049601"/>
    <m/>
  </r>
  <r>
    <n v="225"/>
    <s v="Hosur"/>
    <x v="11"/>
    <s v="NMPL"/>
    <x v="11"/>
    <n v="2427960"/>
    <s v="930801|189227-2427960"/>
    <s v="TUB-O-N-AUT-AW-PE-22.23X1.600X0.6700"/>
    <x v="0"/>
    <m/>
    <x v="0"/>
    <s v="CR"/>
    <s v="HROP"/>
    <m/>
    <m/>
    <m/>
    <x v="21"/>
    <s v="22.23-0-1.6-ERW 1-PE-0.67"/>
    <n v="1"/>
    <s v="Hosur"/>
    <n v="0.05916199999999994"/>
    <n v="0"/>
    <m/>
    <x v="11"/>
    <x v="11"/>
    <x v="0"/>
    <x v="0"/>
    <n v="670"/>
    <s v="NOS"/>
    <m/>
    <m/>
    <n v="18000"/>
    <m/>
    <n v="0"/>
    <n v="18000"/>
    <n v="9.81218715552"/>
    <n v="0"/>
    <n v="9.81218715552"/>
    <n v="1.981209662217228"/>
    <n v="0.00108"/>
    <m/>
    <n v="10.773162"/>
    <n v="0"/>
    <n v="9.81110715552"/>
    <m/>
  </r>
  <r>
    <n v="226"/>
    <s v="Hosur"/>
    <x v="11"/>
    <s v="NMPL"/>
    <x v="11"/>
    <n v="2427939"/>
    <s v="930801|189227-2427939"/>
    <s v="TUB-O-N-AUT-AW-PE-22.23X1.600X0.6750"/>
    <x v="0"/>
    <m/>
    <x v="0"/>
    <s v="CR"/>
    <s v="HROP"/>
    <m/>
    <s v="AG"/>
    <m/>
    <x v="21"/>
    <s v="22.23-0-1.6-ERW 1-PE-0.675"/>
    <n v="1"/>
    <s v="Hosur"/>
    <m/>
    <m/>
    <m/>
    <x v="11"/>
    <x v="11"/>
    <x v="0"/>
    <x v="0"/>
    <n v="675"/>
    <s v="NOS"/>
    <m/>
    <m/>
    <m/>
    <m/>
    <n v="0"/>
    <n v="0"/>
    <n v="0"/>
    <n v="0"/>
    <n v="0"/>
    <e v="#DIV/0!"/>
    <n v="0"/>
    <m/>
    <n v="10.773162"/>
    <n v="0"/>
    <n v="0"/>
    <m/>
  </r>
  <r>
    <m/>
    <s v="Hosur"/>
    <x v="11"/>
    <s v="NMPL"/>
    <x v="11"/>
    <m/>
    <s v="930801|189227-"/>
    <m/>
    <x v="0"/>
    <m/>
    <x v="0"/>
    <s v="CR"/>
    <m/>
    <m/>
    <s v="AG"/>
    <m/>
    <x v="21"/>
    <s v="22.23-0-1.6-ERW 1-PE-0.69"/>
    <n v="2"/>
    <s v="Hosur"/>
    <n v="0.05916199999999994"/>
    <n v="0"/>
    <m/>
    <x v="11"/>
    <x v="11"/>
    <x v="0"/>
    <x v="0"/>
    <n v="690"/>
    <s v="NOS"/>
    <m/>
    <m/>
    <n v="16000"/>
    <m/>
    <n v="0"/>
    <n v="16000"/>
    <n v="8.982300679680002"/>
    <n v="0"/>
    <n v="8.982300679680002"/>
    <n v="22.63295421182032"/>
    <n v="0.012706"/>
    <m/>
    <n v="10.773162"/>
    <n v="0"/>
    <n v="8.969594679680002"/>
    <m/>
  </r>
  <r>
    <n v="227"/>
    <s v="Hosur"/>
    <x v="11"/>
    <s v="NMPL"/>
    <x v="11"/>
    <n v="1940408"/>
    <s v="930801|189227-1940408"/>
    <s v="TUB-O-O-AUT-AW-PE-22.23X1.600X0.8090"/>
    <x v="0"/>
    <m/>
    <x v="0"/>
    <s v="CR"/>
    <s v="GR1"/>
    <m/>
    <m/>
    <m/>
    <x v="21"/>
    <s v="22.23-0-1.6-ERW 1-PE-0.809"/>
    <n v="3"/>
    <s v="Hosur"/>
    <m/>
    <m/>
    <m/>
    <x v="11"/>
    <x v="11"/>
    <x v="0"/>
    <x v="0"/>
    <n v="809"/>
    <s v="NOS"/>
    <m/>
    <m/>
    <m/>
    <m/>
    <n v="0"/>
    <n v="0"/>
    <n v="0"/>
    <n v="0"/>
    <n v="0"/>
    <e v="#DIV/0!"/>
    <n v="0"/>
    <m/>
    <n v="10.773162"/>
    <n v="0"/>
    <n v="0"/>
    <m/>
  </r>
  <r>
    <m/>
    <s v="Hosur"/>
    <x v="11"/>
    <s v="NMPL"/>
    <x v="11"/>
    <n v="1940408"/>
    <s v="930801|189227-1940408"/>
    <s v="TUB-O-O-AUT-AW-PE-22.23X1.600X0.8090"/>
    <x v="0"/>
    <m/>
    <x v="0"/>
    <s v="HR"/>
    <m/>
    <m/>
    <m/>
    <m/>
    <x v="21"/>
    <s v="22.23-0-1.6-ERW 1-PE-0.809"/>
    <n v="3"/>
    <s v="Hosur"/>
    <n v="0.05916199999999994"/>
    <n v="0"/>
    <m/>
    <x v="11"/>
    <x v="11"/>
    <x v="0"/>
    <x v="0"/>
    <n v="809"/>
    <s v="NOS"/>
    <m/>
    <m/>
    <n v="16000"/>
    <m/>
    <n v="0"/>
    <n v="16000"/>
    <n v="10.531422101248"/>
    <n v="0"/>
    <n v="10.531422101248"/>
    <n v="0"/>
    <n v="0"/>
    <m/>
    <n v="10.773162"/>
    <n v="0"/>
    <n v="10.531422101248"/>
    <m/>
  </r>
  <r>
    <n v="268"/>
    <s v="Hosur"/>
    <x v="10"/>
    <s v="NMPL"/>
    <x v="10"/>
    <n v="1940408"/>
    <s v="189226|930794-1940408"/>
    <s v="TUB-O-O-AUT-AW-PE-22.23X1.600X0.8090"/>
    <x v="0"/>
    <m/>
    <x v="0"/>
    <s v="CR"/>
    <s v="GR1"/>
    <m/>
    <m/>
    <m/>
    <x v="21"/>
    <s v="22.23-0-1.6-ERW 1-PE-0.809"/>
    <n v="3"/>
    <s v="Hosur"/>
    <n v="0.05916199999999994"/>
    <n v="0"/>
    <m/>
    <x v="11"/>
    <x v="11"/>
    <x v="0"/>
    <x v="0"/>
    <n v="809"/>
    <s v="NOS"/>
    <m/>
    <m/>
    <n v="1000"/>
    <m/>
    <n v="0"/>
    <n v="1000"/>
    <n v="0.658213881328"/>
    <n v="0"/>
    <n v="0.658213881328"/>
    <n v="0"/>
    <n v="0"/>
    <m/>
    <n v="10.773162"/>
    <n v="0"/>
    <n v="0.658213881328"/>
    <m/>
  </r>
  <r>
    <n v="269"/>
    <s v="Hosur"/>
    <x v="10"/>
    <s v="NMPL"/>
    <x v="10"/>
    <n v="1159568"/>
    <s v="189226|930794-1159568"/>
    <s v="TUB-O-N-AUT-AW-PE-22.20X2.000X0.180"/>
    <x v="0"/>
    <m/>
    <x v="0"/>
    <s v="HR"/>
    <m/>
    <m/>
    <m/>
    <m/>
    <x v="49"/>
    <s v="22.23-0-2-ERW 1-PE-0.18"/>
    <s v="#REF!"/>
    <m/>
    <m/>
    <m/>
    <m/>
    <x v="11"/>
    <x v="11"/>
    <x v="0"/>
    <x v="8"/>
    <n v="180"/>
    <s v="NOS"/>
    <m/>
    <m/>
    <m/>
    <m/>
    <n v="0"/>
    <n v="0"/>
    <n v="0"/>
    <n v="0"/>
    <n v="0"/>
    <e v="#DIV/0!"/>
    <n v="0"/>
    <m/>
    <n v="11.690147"/>
    <n v="1.629"/>
    <n v="0"/>
    <m/>
  </r>
  <r>
    <n v="228"/>
    <s v="Hosur"/>
    <x v="10"/>
    <s v="NMPL"/>
    <x v="11"/>
    <n v="1940437"/>
    <s v="930801|189227-1940437"/>
    <s v="TUB-O-O-AUT-AW-PE-22.23X2.000X0.3940"/>
    <x v="0"/>
    <m/>
    <x v="0"/>
    <s v="HR"/>
    <m/>
    <m/>
    <m/>
    <m/>
    <x v="49"/>
    <s v="22.23-0-2-ERW 1-PE-0.394"/>
    <n v="2"/>
    <s v="Hosur"/>
    <n v="5.503906"/>
    <n v="1.047"/>
    <m/>
    <x v="11"/>
    <x v="11"/>
    <x v="0"/>
    <x v="8"/>
    <n v="394"/>
    <s v="NOS"/>
    <m/>
    <m/>
    <m/>
    <m/>
    <n v="7500"/>
    <n v="-7500"/>
    <n v="0"/>
    <n v="2.9470171857"/>
    <n v="-2.9470171857"/>
    <e v="#DIV/0!"/>
    <n v="0.002348"/>
    <m/>
    <n v="11.690147"/>
    <n v="1.629"/>
    <n v="-0.002348"/>
    <m/>
  </r>
  <r>
    <n v="229"/>
    <s v="Hosur"/>
    <x v="11"/>
    <s v="NMPL"/>
    <x v="11"/>
    <n v="1940466"/>
    <s v="930801|189227-1940466"/>
    <s v="TUB-O-O-AUT-AW-PE-22.23X2.000X0.8090"/>
    <x v="0"/>
    <m/>
    <x v="0"/>
    <s v="HR"/>
    <m/>
    <m/>
    <m/>
    <m/>
    <x v="49"/>
    <s v="22.23-0-2-ERW 1-PE-0.809"/>
    <n v="2"/>
    <s v="Hosur"/>
    <n v="5.503906"/>
    <n v="1.047"/>
    <m/>
    <x v="11"/>
    <x v="11"/>
    <x v="0"/>
    <x v="8"/>
    <n v="809"/>
    <s v="NOS"/>
    <m/>
    <m/>
    <n v="10000"/>
    <m/>
    <n v="7881"/>
    <n v="2119"/>
    <n v="8.068145188600001"/>
    <n v="6.358505223135661"/>
    <n v="1.70963996546434"/>
    <n v="2207.62883954629"/>
    <n v="1.781147"/>
    <m/>
    <n v="11.690147"/>
    <n v="1.629"/>
    <n v="6.286998188600001"/>
    <m/>
  </r>
  <r>
    <n v="270"/>
    <s v="Hosur"/>
    <x v="10"/>
    <s v="NMPL"/>
    <x v="10"/>
    <n v="1940466"/>
    <s v="189226|930794-1940466"/>
    <s v="TUB-O-O-AUT-AW-PE-22.23X2.000X0.8090"/>
    <x v="0"/>
    <m/>
    <x v="0"/>
    <s v="HR"/>
    <m/>
    <m/>
    <m/>
    <m/>
    <x v="49"/>
    <s v="22.23-0-2-ERW 1-PE-0.809"/>
    <n v="2"/>
    <s v="Hosur"/>
    <n v="5.503906"/>
    <n v="1.047"/>
    <m/>
    <x v="11"/>
    <x v="11"/>
    <x v="0"/>
    <x v="8"/>
    <n v="809"/>
    <s v="NOS"/>
    <m/>
    <m/>
    <n v="8000"/>
    <m/>
    <n v="725"/>
    <n v="7275"/>
    <n v="6.454516150880001"/>
    <n v="0.5849405261735001"/>
    <n v="5.869575624706501"/>
    <n v="2207.62883954629"/>
    <n v="1.781147"/>
    <m/>
    <n v="11.690147"/>
    <n v="1.629"/>
    <n v="4.673369150880001"/>
    <m/>
  </r>
  <r>
    <n v="271"/>
    <s v="Hosur"/>
    <x v="10"/>
    <s v="NMPL"/>
    <x v="10"/>
    <n v="2413708"/>
    <s v="189226|930794-2413708"/>
    <s v="TUB-O-N-AUT-AW-PE-22.23X2.000X0.8150"/>
    <x v="0"/>
    <m/>
    <x v="0"/>
    <s v="HR"/>
    <m/>
    <m/>
    <m/>
    <m/>
    <x v="49"/>
    <s v="22.23-0-2-ERW 1-PE-0.815"/>
    <n v="2"/>
    <s v="Hosur"/>
    <n v="5.503906"/>
    <n v="1.047"/>
    <m/>
    <x v="11"/>
    <x v="11"/>
    <x v="0"/>
    <x v="8"/>
    <n v="815"/>
    <s v="NOS"/>
    <m/>
    <m/>
    <n v="6000"/>
    <m/>
    <n v="13000"/>
    <n v="-7000"/>
    <n v="4.8767898606"/>
    <n v="10.5663780313"/>
    <n v="-5.689588170700001"/>
    <n v="17.04235826757042"/>
    <n v="0.013852"/>
    <m/>
    <n v="11.690147"/>
    <n v="1.629"/>
    <n v="4.8629378606"/>
    <m/>
  </r>
  <r>
    <n v="244"/>
    <s v="Hosur"/>
    <x v="11"/>
    <s v="NMPL"/>
    <x v="11"/>
    <e v="#REF!"/>
    <e v="#REF!"/>
    <m/>
    <x v="0"/>
    <m/>
    <x v="0"/>
    <m/>
    <m/>
    <m/>
    <m/>
    <m/>
    <x v="49"/>
    <s v="22.23-0-2-ERW 1-PE-1"/>
    <s v="#REF!"/>
    <s v="Hosur"/>
    <m/>
    <m/>
    <m/>
    <x v="11"/>
    <x v="11"/>
    <x v="0"/>
    <x v="8"/>
    <n v="1000"/>
    <s v="M"/>
    <m/>
    <m/>
    <m/>
    <m/>
    <n v="0"/>
    <n v="0"/>
    <n v="0"/>
    <n v="0"/>
    <n v="0"/>
    <e v="#DIV/0!"/>
    <n v="5.139241"/>
    <m/>
    <n v="11.690147"/>
    <n v="1.629"/>
    <n v="-5.139241"/>
    <m/>
  </r>
  <r>
    <n v="272"/>
    <s v="Hosur"/>
    <x v="10"/>
    <s v="NMPL"/>
    <x v="10"/>
    <n v="3506579"/>
    <s v="189226|930794-3506579"/>
    <s v="CUT-O-N-AUT-AW-PE-22.20X2.300X0.430"/>
    <x v="0"/>
    <m/>
    <x v="0"/>
    <s v="HR"/>
    <m/>
    <m/>
    <m/>
    <m/>
    <x v="24"/>
    <s v="22.23-0-2.3-ERW 1-PE-0.43"/>
    <s v="#REF!"/>
    <m/>
    <m/>
    <m/>
    <m/>
    <x v="11"/>
    <x v="11"/>
    <x v="0"/>
    <x v="9"/>
    <n v="430"/>
    <s v="NOS"/>
    <m/>
    <m/>
    <m/>
    <m/>
    <n v="0"/>
    <n v="0"/>
    <n v="0"/>
    <n v="0"/>
    <n v="0"/>
    <e v="#DIV/0!"/>
    <n v="0"/>
    <m/>
    <n v="6.810974"/>
    <n v="0"/>
    <n v="0"/>
    <m/>
  </r>
  <r>
    <n v="273"/>
    <s v="Hosur"/>
    <x v="10"/>
    <s v="NMPL"/>
    <x v="10"/>
    <n v="1940538"/>
    <s v="189226|930794-1940538"/>
    <s v="TUB-O-O-AUT-AW-PE-25.40X1.200X0.8450"/>
    <x v="0"/>
    <m/>
    <x v="0"/>
    <s v="CR"/>
    <m/>
    <m/>
    <s v="AG"/>
    <m/>
    <x v="78"/>
    <s v="25.4-0-1.2-ERW 1-PE-0.845"/>
    <n v="1"/>
    <s v="Hosur"/>
    <n v="0"/>
    <n v="0"/>
    <m/>
    <x v="3"/>
    <x v="3"/>
    <x v="0"/>
    <x v="2"/>
    <n v="845"/>
    <s v="NOS"/>
    <m/>
    <m/>
    <n v="4000"/>
    <m/>
    <n v="0"/>
    <n v="4000"/>
    <n v="2.419427524799999"/>
    <n v="0"/>
    <n v="2.419427524799999"/>
    <n v="151.4821156010022"/>
    <n v="0.091625"/>
    <m/>
    <n v="0"/>
    <n v="18.564"/>
    <n v="2.327802524799999"/>
    <m/>
  </r>
  <r>
    <n v="241"/>
    <s v="Hosur"/>
    <x v="11"/>
    <s v="NMPL"/>
    <x v="11"/>
    <e v="#REF!"/>
    <e v="#REF!"/>
    <m/>
    <x v="0"/>
    <m/>
    <x v="0"/>
    <s v="CR"/>
    <m/>
    <m/>
    <m/>
    <m/>
    <x v="78"/>
    <s v="25.4-0-1.2-ERW 1-PE-1"/>
    <n v="1"/>
    <s v="Hosur"/>
    <m/>
    <m/>
    <m/>
    <x v="3"/>
    <x v="3"/>
    <x v="0"/>
    <x v="2"/>
    <n v="1000"/>
    <s v="M"/>
    <m/>
    <m/>
    <m/>
    <m/>
    <n v="0"/>
    <n v="0"/>
    <n v="0"/>
    <n v="0"/>
    <n v="0"/>
    <e v="#DIV/0!"/>
    <n v="0"/>
    <m/>
    <n v="0"/>
    <n v="18.564"/>
    <n v="0"/>
    <m/>
  </r>
  <r>
    <n v="274"/>
    <s v="Hosur"/>
    <x v="10"/>
    <s v="NMPL"/>
    <x v="10"/>
    <n v="3727130"/>
    <s v="189226|930794-3727130"/>
    <s v="CUT-O-N-AUT-AW-PE-25.40X1.600X0.5120"/>
    <x v="0"/>
    <m/>
    <x v="0"/>
    <s v="HR"/>
    <m/>
    <m/>
    <m/>
    <m/>
    <x v="5"/>
    <s v="25.4-0-1.6-ERW 1-PE-0.512"/>
    <s v="#REF!"/>
    <m/>
    <m/>
    <m/>
    <m/>
    <x v="3"/>
    <x v="3"/>
    <x v="0"/>
    <x v="0"/>
    <n v="512"/>
    <m/>
    <m/>
    <m/>
    <m/>
    <m/>
    <e v="#N/A"/>
    <e v="#N/A"/>
    <n v="0"/>
    <e v="#N/A"/>
    <e v="#N/A"/>
    <e v="#DIV/0!"/>
    <n v="0"/>
    <m/>
    <n v="0"/>
    <n v="3.646"/>
    <n v="0"/>
    <m/>
  </r>
  <r>
    <n v="230"/>
    <s v="Hosur"/>
    <x v="11"/>
    <s v="NMPL"/>
    <x v="11"/>
    <e v="#REF!"/>
    <e v="#REF!"/>
    <s v="TUB-O-O-AUT-AW-PE-25.40X2.00X0.4120"/>
    <x v="0"/>
    <m/>
    <x v="0"/>
    <s v="HR"/>
    <m/>
    <m/>
    <m/>
    <m/>
    <x v="122"/>
    <s v="25.4-0-2-ERW 1-PE-0.412"/>
    <n v="1"/>
    <s v="Hosur"/>
    <n v="1.14823"/>
    <n v="2.985"/>
    <m/>
    <x v="3"/>
    <x v="3"/>
    <x v="0"/>
    <x v="8"/>
    <n v="412"/>
    <s v="NOS"/>
    <m/>
    <m/>
    <n v="22000"/>
    <m/>
    <n v="0"/>
    <n v="22000"/>
    <n v="10.4559874848"/>
    <n v="0"/>
    <n v="10.4559874848"/>
    <n v="0"/>
    <n v="0"/>
    <m/>
    <n v="4.13323"/>
    <n v="5.56"/>
    <n v="10.4559874848"/>
    <m/>
  </r>
  <r>
    <n v="276"/>
    <s v="Hosur"/>
    <x v="10"/>
    <s v="NMPL"/>
    <x v="10"/>
    <n v="237726"/>
    <s v="189226|930794-237726"/>
    <s v="PT2-O-N-AUT-AW-FC-28.58X1.200X0.610"/>
    <x v="0"/>
    <m/>
    <x v="0"/>
    <s v="CR"/>
    <m/>
    <m/>
    <m/>
    <m/>
    <x v="123"/>
    <s v="28.58-0-1.2-ERW 1-PE-0.61"/>
    <n v="1"/>
    <m/>
    <n v="0.1009"/>
    <n v="0"/>
    <m/>
    <x v="12"/>
    <x v="12"/>
    <x v="0"/>
    <x v="2"/>
    <n v="610"/>
    <s v="NOS"/>
    <m/>
    <m/>
    <n v="2000"/>
    <m/>
    <n v="0"/>
    <n v="2000"/>
    <n v="0.98803840368"/>
    <n v="0"/>
    <n v="0.98803840368"/>
    <n v="3587.79576461493"/>
    <n v="1.77244"/>
    <m/>
    <n v="0.1009"/>
    <n v="5.888"/>
    <n v="-0.7844015963200001"/>
    <m/>
  </r>
  <r>
    <n v="277"/>
    <s v="Hosur"/>
    <x v="10"/>
    <s v="NMPL"/>
    <x v="10"/>
    <n v="1940653"/>
    <s v="189226|930794-1940653"/>
    <s v="TUB-O-O-AUT-AW-PE-31.75X1.200X0.6700"/>
    <x v="0"/>
    <m/>
    <x v="2"/>
    <s v="CR"/>
    <m/>
    <m/>
    <m/>
    <m/>
    <x v="124"/>
    <s v="31.75-0-1.2-ERW 1-FC-0.67"/>
    <n v="1"/>
    <s v="Hosur"/>
    <n v="0"/>
    <n v="0"/>
    <m/>
    <x v="10"/>
    <x v="10"/>
    <x v="0"/>
    <x v="2"/>
    <n v="670"/>
    <s v="NOS"/>
    <m/>
    <m/>
    <n v="12000"/>
    <m/>
    <n v="0"/>
    <n v="12000"/>
    <n v="7.265204013600001"/>
    <n v="0"/>
    <n v="7.265204013600001"/>
    <n v="0"/>
    <n v="0"/>
    <m/>
    <n v="0"/>
    <n v="0"/>
    <n v="7.265204013600001"/>
    <m/>
  </r>
  <r>
    <n v="242"/>
    <s v="Hosur"/>
    <x v="11"/>
    <s v="NMPL"/>
    <x v="11"/>
    <e v="#REF!"/>
    <e v="#REF!"/>
    <m/>
    <x v="0"/>
    <m/>
    <x v="2"/>
    <m/>
    <m/>
    <m/>
    <m/>
    <m/>
    <x v="55"/>
    <s v="34.93-0-1.2-ERW 1-FC-1"/>
    <n v="1"/>
    <s v="Hosur"/>
    <m/>
    <m/>
    <m/>
    <x v="13"/>
    <x v="14"/>
    <x v="0"/>
    <x v="2"/>
    <n v="1000"/>
    <s v="M"/>
    <m/>
    <m/>
    <m/>
    <m/>
    <n v="0"/>
    <n v="0"/>
    <n v="0"/>
    <n v="0"/>
    <n v="0"/>
    <e v="#DIV/0!"/>
    <n v="0"/>
    <m/>
    <n v="0"/>
    <n v="0"/>
    <n v="0"/>
    <m/>
  </r>
  <r>
    <n v="279"/>
    <s v="Hosur"/>
    <x v="10"/>
    <s v="NMPL"/>
    <x v="10"/>
    <n v="1940701"/>
    <s v="189226|930794-1940701"/>
    <s v="TUB-O-O-AUT-AW-FC-34.93X1.200X6.0000"/>
    <x v="0"/>
    <m/>
    <x v="1"/>
    <s v="HR"/>
    <m/>
    <m/>
    <m/>
    <m/>
    <x v="125"/>
    <s v="34.93-0-1.2-ERW 1--6"/>
    <s v="#REF!"/>
    <m/>
    <m/>
    <m/>
    <m/>
    <x v="13"/>
    <x v="14"/>
    <x v="0"/>
    <x v="2"/>
    <n v="6000"/>
    <m/>
    <m/>
    <m/>
    <m/>
    <m/>
    <e v="#N/A"/>
    <e v="#N/A"/>
    <n v="0"/>
    <e v="#N/A"/>
    <e v="#N/A"/>
    <e v="#DIV/0!"/>
    <n v="0"/>
    <m/>
    <n v="0"/>
    <n v="0"/>
    <n v="0"/>
    <m/>
  </r>
  <r>
    <n v="281"/>
    <s v="Hosur"/>
    <x v="10"/>
    <s v="NMPL"/>
    <x v="10"/>
    <n v="1940730"/>
    <s v="189226|930794-1940730"/>
    <s v="TUB-O-O-AUT-AW-FC-38.10X1.600X0.4880"/>
    <x v="0"/>
    <m/>
    <x v="2"/>
    <s v="HR"/>
    <m/>
    <m/>
    <m/>
    <m/>
    <x v="89"/>
    <s v="38.1-0-1.6-ERW 1-FC-0.488"/>
    <n v="1"/>
    <s v="Hosur"/>
    <n v="5.180177"/>
    <n v="6.82818"/>
    <m/>
    <x v="14"/>
    <x v="30"/>
    <x v="0"/>
    <x v="0"/>
    <n v="488"/>
    <s v="NOS"/>
    <m/>
    <m/>
    <n v="1000"/>
    <m/>
    <n v="0"/>
    <n v="1000"/>
    <n v="0.7024767808"/>
    <n v="0"/>
    <n v="0.7024767808"/>
    <n v="0"/>
    <n v="0"/>
    <m/>
    <n v="8.149357"/>
    <n v="0"/>
    <n v="0.7024767808"/>
    <m/>
  </r>
  <r>
    <n v="235"/>
    <s v="Hosur"/>
    <x v="11"/>
    <s v="NMPL"/>
    <x v="11"/>
    <n v="1940731"/>
    <s v="930801|189227-1940731"/>
    <s v="TUB-O-O-AUT-AW-FC-38.10X1.600X0.8120"/>
    <x v="0"/>
    <m/>
    <x v="2"/>
    <s v="HR"/>
    <s v="GR1"/>
    <m/>
    <m/>
    <m/>
    <x v="89"/>
    <s v="38.1-0-1.6-ERW 1-FC-0.812"/>
    <n v="2"/>
    <s v="Hosur"/>
    <n v="5.180177"/>
    <n v="6.82818"/>
    <m/>
    <x v="14"/>
    <x v="30"/>
    <x v="0"/>
    <x v="0"/>
    <n v="812"/>
    <s v="NOS"/>
    <m/>
    <m/>
    <n v="6000"/>
    <m/>
    <n v="0"/>
    <n v="6000"/>
    <n v="7.0132517952"/>
    <n v="0"/>
    <n v="7.0132517952"/>
    <n v="0"/>
    <n v="0"/>
    <m/>
    <n v="8.149357"/>
    <n v="0"/>
    <n v="7.0132517952"/>
    <m/>
  </r>
  <r>
    <n v="282"/>
    <s v="Hosur"/>
    <x v="10"/>
    <s v="NMPL"/>
    <x v="10"/>
    <n v="1940731"/>
    <s v="189226|930794-1940731"/>
    <s v="TUB-O-O-AUT-AW-FC-38.10X1.600X0.8120"/>
    <x v="0"/>
    <m/>
    <x v="2"/>
    <s v="HR"/>
    <s v="GR1"/>
    <m/>
    <m/>
    <m/>
    <x v="89"/>
    <s v="38.1-0-1.6-ERW 1-FC-0.812"/>
    <n v="2"/>
    <m/>
    <n v="5.180177"/>
    <n v="6.82818"/>
    <m/>
    <x v="14"/>
    <x v="30"/>
    <x v="0"/>
    <x v="0"/>
    <n v="812"/>
    <s v="NOS"/>
    <m/>
    <m/>
    <m/>
    <m/>
    <n v="0"/>
    <n v="0"/>
    <n v="0"/>
    <n v="0"/>
    <n v="0"/>
    <e v="#DIV/0!"/>
    <n v="0"/>
    <m/>
    <n v="8.149357"/>
    <n v="0"/>
    <n v="0"/>
    <m/>
  </r>
  <r>
    <n v="283"/>
    <s v="Hosur"/>
    <x v="10"/>
    <s v="NMPL"/>
    <x v="10"/>
    <n v="3507790"/>
    <s v="189226|930794-3507790"/>
    <s v="CUT-O-N-AUT-AW-FC-38.10X1.600X0.8150"/>
    <x v="0"/>
    <m/>
    <x v="2"/>
    <s v="HR"/>
    <m/>
    <m/>
    <m/>
    <m/>
    <x v="89"/>
    <s v="38.1-0-1.6-ERW 1-FC-0.815"/>
    <s v="#REF!"/>
    <s v="Hosur"/>
    <m/>
    <m/>
    <m/>
    <x v="14"/>
    <x v="30"/>
    <x v="0"/>
    <x v="0"/>
    <n v="815"/>
    <s v="NOS"/>
    <m/>
    <m/>
    <m/>
    <m/>
    <n v="0"/>
    <n v="0"/>
    <n v="0"/>
    <n v="0"/>
    <n v="0"/>
    <e v="#DIV/0!"/>
    <n v="0"/>
    <m/>
    <n v="8.149357"/>
    <n v="0"/>
    <n v="0"/>
    <m/>
  </r>
  <r>
    <n v="284"/>
    <s v="Hosur"/>
    <x v="10"/>
    <s v="NMPL"/>
    <x v="10"/>
    <n v="1194658"/>
    <s v="189226|930794-1194658"/>
    <s v="TUB-O-N-AUT-AW-FC-38.10X1.600X0.970"/>
    <x v="0"/>
    <m/>
    <x v="1"/>
    <s v="HR"/>
    <m/>
    <m/>
    <m/>
    <m/>
    <x v="126"/>
    <s v="38.1-0-1.6-ERW 1--0.97"/>
    <s v="#REF!"/>
    <m/>
    <m/>
    <m/>
    <m/>
    <x v="14"/>
    <x v="30"/>
    <x v="0"/>
    <x v="0"/>
    <n v="970"/>
    <s v="NOS"/>
    <m/>
    <m/>
    <m/>
    <m/>
    <n v="0"/>
    <n v="0"/>
    <n v="0"/>
    <n v="0"/>
    <n v="0"/>
    <e v="#DIV/0!"/>
    <n v="0"/>
    <m/>
    <n v="0"/>
    <n v="0"/>
    <n v="0"/>
    <m/>
  </r>
  <r>
    <n v="236"/>
    <s v="Hosur"/>
    <x v="11"/>
    <s v="NMPL"/>
    <x v="11"/>
    <n v="3509030"/>
    <s v="930801|189227-3509030"/>
    <s v="CUT-O-N-AUT-AW-PE-38.10X2.000X0.4060"/>
    <x v="0"/>
    <m/>
    <x v="2"/>
    <s v="HR"/>
    <m/>
    <m/>
    <m/>
    <m/>
    <x v="127"/>
    <s v="38.1-0-2-ERW 1-FC-0.406"/>
    <n v="1"/>
    <s v="Hosur"/>
    <n v="30.65065100000001"/>
    <n v="60.82106499999999"/>
    <m/>
    <x v="14"/>
    <x v="30"/>
    <x v="0"/>
    <x v="8"/>
    <n v="406"/>
    <s v="NOS"/>
    <m/>
    <m/>
    <n v="16000"/>
    <m/>
    <n v="0"/>
    <n v="16000"/>
    <n v="11.5606570688"/>
    <n v="0"/>
    <n v="11.5606570688"/>
    <n v="1228.995887988467"/>
    <n v="0.888"/>
    <m/>
    <n v="95.257248"/>
    <n v="1.995"/>
    <n v="10.6726570688"/>
    <m/>
  </r>
  <r>
    <n v="285"/>
    <s v="Hosur"/>
    <x v="10"/>
    <s v="NMPL"/>
    <x v="10"/>
    <n v="1940738"/>
    <s v="189226|930794-1940738"/>
    <s v="TUB-O-O-AUT-AW-FC-38.10X2.000X0.4250"/>
    <x v="0"/>
    <m/>
    <x v="2"/>
    <s v="HR"/>
    <m/>
    <m/>
    <m/>
    <m/>
    <x v="127"/>
    <s v="38.1-0-2-ERW 1-FC-0.425"/>
    <n v="1"/>
    <s v="Hosur"/>
    <n v="30.65065100000001"/>
    <m/>
    <m/>
    <x v="14"/>
    <x v="30"/>
    <x v="0"/>
    <x v="8"/>
    <n v="425"/>
    <s v="NOS"/>
    <m/>
    <m/>
    <n v="9000"/>
    <m/>
    <n v="12000"/>
    <n v="-3000"/>
    <n v="6.807191085"/>
    <n v="9.076254780000001"/>
    <n v="-2.269063695000001"/>
    <n v="0"/>
    <n v="0"/>
    <m/>
    <n v="95.257248"/>
    <n v="1.995"/>
    <n v="6.807191085"/>
    <m/>
  </r>
  <r>
    <n v="286"/>
    <s v="Hosur"/>
    <x v="10"/>
    <s v="NMPL"/>
    <x v="10"/>
    <n v="1940739"/>
    <s v="189226|930794-1940739"/>
    <s v="TUB-O-O-AUT-AW-FC-38.10X2.000X0.4880"/>
    <x v="0"/>
    <m/>
    <x v="2"/>
    <s v="HR"/>
    <m/>
    <m/>
    <m/>
    <m/>
    <x v="127"/>
    <s v="38.1-0-2-ERW 1-FC-0.488"/>
    <n v="1"/>
    <s v="Hosur"/>
    <n v="30.65065100000001"/>
    <n v="60.82106499999999"/>
    <m/>
    <x v="14"/>
    <x v="30"/>
    <x v="0"/>
    <x v="8"/>
    <n v="488"/>
    <s v="NOS"/>
    <m/>
    <m/>
    <n v="6000"/>
    <m/>
    <n v="0"/>
    <n v="6000"/>
    <n v="5.2108380384"/>
    <n v="0"/>
    <n v="5.2108380384"/>
    <n v="0"/>
    <n v="0"/>
    <m/>
    <n v="95.257248"/>
    <n v="1.995"/>
    <n v="5.2108380384"/>
    <m/>
  </r>
  <r>
    <n v="237"/>
    <s v="Hosur"/>
    <x v="11"/>
    <s v="NMPL"/>
    <x v="11"/>
    <n v="1940743"/>
    <s v="930801|189227-1940743"/>
    <s v="TUB-O-O-AUT-AW-FC-38.10X2.000X0.8120"/>
    <x v="0"/>
    <m/>
    <x v="2"/>
    <s v="HR"/>
    <m/>
    <m/>
    <m/>
    <m/>
    <x v="127"/>
    <s v="38.1-0-2-ERW 1-FC-0.812"/>
    <n v="3"/>
    <s v="Hosur"/>
    <n v="30.65065100000001"/>
    <n v="60.82106499999999"/>
    <m/>
    <x v="14"/>
    <x v="30"/>
    <x v="0"/>
    <x v="8"/>
    <n v="812"/>
    <s v="NOS"/>
    <m/>
    <m/>
    <n v="6000"/>
    <m/>
    <n v="0"/>
    <n v="6000"/>
    <n v="8.670492801600002"/>
    <n v="0"/>
    <n v="8.670492801600002"/>
    <n v="0"/>
    <n v="0"/>
    <m/>
    <n v="95.257248"/>
    <n v="1.995"/>
    <n v="8.670492801600002"/>
    <m/>
  </r>
  <r>
    <n v="287"/>
    <s v="Hosur"/>
    <x v="10"/>
    <s v="NMPL"/>
    <x v="10"/>
    <n v="1940743"/>
    <s v="189226|930794-1940743"/>
    <s v="TUB-O-O-AUT-AW-FC-38.10X2.000X0.8120"/>
    <x v="0"/>
    <m/>
    <x v="2"/>
    <s v="HR"/>
    <m/>
    <m/>
    <m/>
    <m/>
    <x v="127"/>
    <s v="38.1-0-2-ERW 1-FC-0.812"/>
    <n v="3"/>
    <s v="Hosur"/>
    <n v="30.65065100000001"/>
    <n v="60.82106499999999"/>
    <m/>
    <x v="14"/>
    <x v="30"/>
    <x v="0"/>
    <x v="8"/>
    <n v="812"/>
    <s v="NOS"/>
    <m/>
    <m/>
    <n v="18000"/>
    <m/>
    <n v="21458"/>
    <n v="-3458"/>
    <n v="26.01147840480001"/>
    <n v="31.0085724227888"/>
    <n v="-4.997094017988797"/>
    <n v="0"/>
    <n v="0"/>
    <m/>
    <n v="95.257248"/>
    <n v="1.995"/>
    <n v="26.01147840480001"/>
    <m/>
  </r>
  <r>
    <n v="238"/>
    <s v="Hosur"/>
    <x v="11"/>
    <s v="NMPL"/>
    <x v="11"/>
    <e v="#REF!"/>
    <e v="#REF!"/>
    <m/>
    <x v="0"/>
    <m/>
    <x v="2"/>
    <s v="HR"/>
    <m/>
    <m/>
    <m/>
    <m/>
    <x v="127"/>
    <s v="38.1-0-2-ERW 1-FC-1"/>
    <s v="#REF!"/>
    <m/>
    <n v="30.65065100000001"/>
    <n v="60.82106499999999"/>
    <m/>
    <x v="14"/>
    <x v="30"/>
    <x v="0"/>
    <x v="8"/>
    <n v="1000"/>
    <s v="NOS"/>
    <m/>
    <m/>
    <m/>
    <m/>
    <n v="0"/>
    <n v="0"/>
    <n v="0"/>
    <n v="0"/>
    <n v="0"/>
    <e v="#DIV/0!"/>
    <n v="5.442"/>
    <m/>
    <n v="95.257248"/>
    <n v="1.995"/>
    <n v="-5.442"/>
    <m/>
  </r>
  <r>
    <n v="243"/>
    <s v="Hosur"/>
    <x v="11"/>
    <s v="NMPL"/>
    <x v="11"/>
    <e v="#REF!"/>
    <e v="#REF!"/>
    <m/>
    <x v="0"/>
    <m/>
    <x v="2"/>
    <m/>
    <m/>
    <m/>
    <m/>
    <m/>
    <x v="127"/>
    <s v="38.1-0-2-ERW 1-FC-1"/>
    <n v="2"/>
    <s v="Hosur"/>
    <m/>
    <m/>
    <m/>
    <x v="14"/>
    <x v="30"/>
    <x v="0"/>
    <x v="8"/>
    <n v="1000"/>
    <s v="M"/>
    <m/>
    <m/>
    <n v="800"/>
    <m/>
    <n v="0"/>
    <n v="800"/>
    <n v="1.42372624"/>
    <n v="0"/>
    <n v="1.42372624"/>
    <n v="3057.891241788168"/>
    <n v="5.442"/>
    <m/>
    <n v="95.257248"/>
    <n v="1.995"/>
    <n v="-4.01827376"/>
    <m/>
  </r>
  <r>
    <n v="224"/>
    <s v="Khopoli "/>
    <x v="11"/>
    <s v="NMPL"/>
    <x v="11"/>
    <n v="2417647"/>
    <s v="930801|189227-2417647"/>
    <s v="TUB-O-N-AUT-AN-FC-42.70X3.500X0.2040"/>
    <x v="0"/>
    <s v="Annealed"/>
    <x v="2"/>
    <s v="HR"/>
    <m/>
    <s v="Chamferring"/>
    <m/>
    <m/>
    <x v="93"/>
    <s v="42.7-0-3.5-ERW 1-FC-0.2045"/>
    <n v="1"/>
    <m/>
    <m/>
    <m/>
    <m/>
    <x v="16"/>
    <x v="16"/>
    <x v="0"/>
    <x v="17"/>
    <n v="204.5"/>
    <s v="NOS"/>
    <m/>
    <m/>
    <n v="20000"/>
    <m/>
    <n v="0"/>
    <n v="20000"/>
    <n v="13.831737052"/>
    <n v="0"/>
    <n v="13.831737052"/>
    <n v="0"/>
    <n v="0"/>
    <m/>
    <n v="12.367421"/>
    <n v="0"/>
    <n v="13.831737052"/>
    <m/>
  </r>
  <r>
    <n v="289"/>
    <s v="Khopoli "/>
    <x v="10"/>
    <s v="NMPL"/>
    <x v="10"/>
    <n v="2417649"/>
    <s v="189226|930794-2417649"/>
    <s v="TUB-O-N-AUT-AN--42.70X3.500X0.2096"/>
    <x v="0"/>
    <s v="Annealed"/>
    <x v="2"/>
    <s v="HR"/>
    <m/>
    <s v="Chamferring"/>
    <m/>
    <m/>
    <x v="93"/>
    <s v="42.7-0-3.5-ERW 1-FC-0.21"/>
    <n v="2"/>
    <s v="Khopoli"/>
    <n v="4.818421000000001"/>
    <n v="5.208107"/>
    <m/>
    <x v="16"/>
    <x v="16"/>
    <x v="0"/>
    <x v="17"/>
    <n v="210"/>
    <s v="NOS"/>
    <m/>
    <m/>
    <n v="48000"/>
    <m/>
    <n v="31400"/>
    <n v="16600"/>
    <n v="34.088975424"/>
    <n v="22.2998714232"/>
    <n v="11.7891040008"/>
    <n v="0"/>
    <n v="0"/>
    <m/>
    <n v="12.367421"/>
    <n v="0"/>
    <n v="34.088975424"/>
    <m/>
  </r>
  <r>
    <n v="239"/>
    <s v="JSR"/>
    <x v="11"/>
    <s v="NMPL"/>
    <x v="11"/>
    <n v="1568170"/>
    <s v="930801|189227-1568170"/>
    <s v="TUB-O-N-AUT-BH-FC-48.60X3.500X0.1960"/>
    <x v="0"/>
    <s v="Annealed"/>
    <x v="2"/>
    <s v="HR"/>
    <m/>
    <s v="Chamferring"/>
    <m/>
    <m/>
    <x v="128"/>
    <s v="48.6-0-3.5-ERW 1-FC-0.196"/>
    <n v="1"/>
    <s v="Hosur"/>
    <n v="6.029311999999997"/>
    <n v="0"/>
    <m/>
    <x v="18"/>
    <x v="17"/>
    <x v="0"/>
    <x v="17"/>
    <n v="196"/>
    <s v="NOS"/>
    <m/>
    <m/>
    <n v="20000"/>
    <m/>
    <n v="5880"/>
    <n v="14120"/>
    <n v="15.252111028"/>
    <n v="4.484120642232"/>
    <n v="10.767990385768"/>
    <n v="34.72306220612703"/>
    <n v="0.02648"/>
    <m/>
    <n v="8.774312"/>
    <n v="0"/>
    <n v="15.225631028"/>
    <m/>
  </r>
  <r>
    <n v="290"/>
    <s v="Hosur"/>
    <x v="10"/>
    <s v="NMPL"/>
    <x v="10"/>
    <n v="2325414"/>
    <s v="189226|930794-2325414"/>
    <s v="TUB-O-AW-RHS-50.00X30.00X2.000X0.1400"/>
    <x v="0"/>
    <m/>
    <x v="2"/>
    <s v="HR"/>
    <m/>
    <m/>
    <m/>
    <m/>
    <x v="129"/>
    <s v="50-30-2-ERW 1-FC-0.14"/>
    <n v="1"/>
    <s v="Hosur"/>
    <n v="0"/>
    <n v="0"/>
    <m/>
    <x v="4"/>
    <x v="4"/>
    <x v="1"/>
    <x v="8"/>
    <n v="140"/>
    <s v="NOS"/>
    <m/>
    <m/>
    <n v="1000"/>
    <m/>
    <n v="0"/>
    <n v="1000"/>
    <n v="0.336803936"/>
    <n v="0"/>
    <n v="0.336803936"/>
    <n v="0"/>
    <n v="0"/>
    <m/>
    <n v="0"/>
    <n v="0"/>
    <n v="0.336803936"/>
    <m/>
  </r>
  <r>
    <n v="291"/>
    <s v="Hosur"/>
    <x v="10"/>
    <s v="NMPL"/>
    <x v="10"/>
    <n v="1940881"/>
    <s v="189226|930794-1940881"/>
    <s v="TUB-R-AW-RHS-50.00X30.00X2.000X0.7300"/>
    <x v="0"/>
    <m/>
    <x v="2"/>
    <s v="HR"/>
    <m/>
    <m/>
    <m/>
    <m/>
    <x v="129"/>
    <s v="50-30-2-ERW 1-FC-0.73"/>
    <n v="1"/>
    <s v="Hosur"/>
    <n v="0"/>
    <n v="0"/>
    <m/>
    <x v="4"/>
    <x v="4"/>
    <x v="1"/>
    <x v="8"/>
    <n v="730"/>
    <s v="NOS"/>
    <m/>
    <m/>
    <n v="12000"/>
    <m/>
    <n v="23066"/>
    <n v="-11066"/>
    <n v="21.074303424"/>
    <n v="40.508323564832"/>
    <n v="-19.434020140832"/>
    <n v="751.403056196217"/>
    <n v="1.319608"/>
    <m/>
    <n v="0"/>
    <n v="0"/>
    <n v="19.754695424"/>
    <m/>
  </r>
  <r>
    <n v="245"/>
    <s v="Hosur"/>
    <x v="11"/>
    <s v="NMPL"/>
    <x v="11"/>
    <n v="2353927"/>
    <s v="930801|189227-2353927"/>
    <s v="TUB-O-N-AUT-AW--50.80X1.600X0.3850"/>
    <x v="0"/>
    <m/>
    <x v="2"/>
    <s v="HR"/>
    <s v="HROP"/>
    <m/>
    <s v="AG"/>
    <m/>
    <x v="130"/>
    <s v="50.8-0-1.6-ERW 1-FC-0.385"/>
    <n v="1"/>
    <s v="Hosur"/>
    <n v="0"/>
    <n v="0"/>
    <m/>
    <x v="4"/>
    <x v="43"/>
    <x v="0"/>
    <x v="0"/>
    <n v="385"/>
    <s v="NOS"/>
    <m/>
    <m/>
    <n v="15000"/>
    <m/>
    <n v="0"/>
    <n v="15000"/>
    <n v="11.205632592"/>
    <n v="0"/>
    <n v="11.205632592"/>
    <n v="4815.042752563593"/>
    <n v="3.59704"/>
    <m/>
    <n v="0"/>
    <n v="1.456"/>
    <n v="7.608592592000003"/>
    <m/>
  </r>
  <r>
    <n v="294"/>
    <s v="Khopoli "/>
    <x v="10"/>
    <s v="NMPL"/>
    <x v="10"/>
    <n v="1470103"/>
    <s v="189226|930794-1470103"/>
    <s v="TUB-O-N-AUT-BH-FC-63.50X4.000X0.2360"/>
    <x v="0"/>
    <s v="Annealed"/>
    <x v="2"/>
    <s v="HR"/>
    <m/>
    <m/>
    <m/>
    <m/>
    <x v="61"/>
    <s v="63.5-0-4-ERW 1-FC-0.236"/>
    <n v="1"/>
    <s v="Khopoli"/>
    <n v="22.158319"/>
    <n v="5.390000000000001"/>
    <m/>
    <x v="25"/>
    <x v="24"/>
    <x v="0"/>
    <x v="11"/>
    <n v="236"/>
    <s v="NOS"/>
    <m/>
    <m/>
    <n v="16000"/>
    <m/>
    <n v="10357"/>
    <n v="5643"/>
    <n v="22.151760512"/>
    <n v="14.339111476424"/>
    <n v="7.812649035576001"/>
    <n v="0"/>
    <n v="0"/>
    <m/>
    <n v="72.06031900000002"/>
    <n v="0"/>
    <n v="22.151760512"/>
    <m/>
  </r>
  <r>
    <n v="214"/>
    <s v="Khopoli "/>
    <x v="10"/>
    <s v="NMPL"/>
    <x v="12"/>
    <n v="2429289"/>
    <s v="189226-2429289"/>
    <s v="TUB-O-N-AUT-AN-FC-63.50X4.000X5.0600"/>
    <x v="0"/>
    <s v="Annealed"/>
    <x v="2"/>
    <s v="HR"/>
    <m/>
    <m/>
    <m/>
    <m/>
    <x v="61"/>
    <s v="63.5-0-4-ERW 1-FC-5.06"/>
    <s v="#REF!"/>
    <m/>
    <m/>
    <m/>
    <m/>
    <x v="25"/>
    <x v="24"/>
    <x v="0"/>
    <x v="11"/>
    <n v="5060"/>
    <m/>
    <m/>
    <m/>
    <m/>
    <m/>
    <e v="#N/A"/>
    <e v="#N/A"/>
    <n v="0"/>
    <e v="#N/A"/>
    <e v="#N/A"/>
    <e v="#DIV/0!"/>
    <n v="0"/>
    <m/>
    <n v="72.06031900000002"/>
    <n v="0"/>
    <n v="0"/>
    <m/>
  </r>
  <r>
    <m/>
    <s v="Hosur"/>
    <x v="11"/>
    <s v="NMPL"/>
    <x v="11"/>
    <n v="1940437"/>
    <s v="930801|189227-1940437"/>
    <s v="TUB-O-O-AUT-AW-PE-22.23X2.000X0.3940"/>
    <x v="6"/>
    <m/>
    <x v="2"/>
    <s v="HR"/>
    <m/>
    <m/>
    <m/>
    <m/>
    <x v="131"/>
    <s v="22.23-0-2-ERW 2-FC-0.394"/>
    <m/>
    <m/>
    <n v="0"/>
    <m/>
    <m/>
    <x v="11"/>
    <x v="11"/>
    <x v="0"/>
    <x v="8"/>
    <n v="394"/>
    <s v="NOS"/>
    <m/>
    <m/>
    <n v="15200"/>
    <m/>
    <n v="0"/>
    <n v="15200"/>
    <n v="5.972621496352"/>
    <n v="0"/>
    <n v="5.972621496352"/>
    <n v="0"/>
    <n v="0"/>
    <m/>
    <n v="0"/>
    <n v="15.21"/>
    <n v="5.972621496352"/>
    <m/>
  </r>
  <r>
    <n v="232"/>
    <s v="Hosur"/>
    <x v="11"/>
    <s v="NMPL"/>
    <x v="11"/>
    <n v="1933557"/>
    <s v="930801|189227-1933557"/>
    <s v="TUB-O-N-AUT-AW-PE-28.58X1.600X0.8450"/>
    <x v="6"/>
    <m/>
    <x v="0"/>
    <s v="CR"/>
    <s v="ST52AL"/>
    <m/>
    <m/>
    <m/>
    <x v="132"/>
    <s v="28.58-0-1.6-ERW 2-PE-0.845"/>
    <s v="#REF!"/>
    <s v="Hosur"/>
    <m/>
    <m/>
    <m/>
    <x v="12"/>
    <x v="12"/>
    <x v="0"/>
    <x v="0"/>
    <n v="845"/>
    <s v="NOS"/>
    <m/>
    <m/>
    <m/>
    <m/>
    <n v="0"/>
    <n v="0"/>
    <n v="0"/>
    <n v="0"/>
    <n v="0"/>
    <e v="#DIV/0!"/>
    <n v="0"/>
    <m/>
    <n v="0"/>
    <n v="0"/>
    <n v="0"/>
    <m/>
  </r>
  <r>
    <n v="292"/>
    <s v="Khopoli "/>
    <x v="10"/>
    <s v="NMPL"/>
    <x v="10"/>
    <n v="2396464"/>
    <s v="189226|930794-2396464"/>
    <s v="TUB-O-N-AUT-AN-FC-54.00X3.000X1.1400"/>
    <x v="6"/>
    <m/>
    <x v="2"/>
    <s v="HR"/>
    <m/>
    <m/>
    <m/>
    <m/>
    <x v="62"/>
    <s v="54-0-3-ERW 2-FC-1.14"/>
    <n v="2"/>
    <s v="Khopoli"/>
    <n v="6.823"/>
    <n v="23.695"/>
    <m/>
    <x v="26"/>
    <x v="25"/>
    <x v="0"/>
    <x v="19"/>
    <n v="1140"/>
    <s v="NOS"/>
    <m/>
    <m/>
    <n v="6000"/>
    <m/>
    <n v="4600"/>
    <n v="1400"/>
    <n v="25.79567148"/>
    <n v="19.776681468"/>
    <n v="6.018990011999996"/>
    <n v="0"/>
    <n v="0"/>
    <m/>
    <n v="44.07900000000001"/>
    <n v="0"/>
    <n v="25.79567148"/>
    <m/>
  </r>
  <r>
    <n v="213"/>
    <s v="Khopoli "/>
    <x v="10"/>
    <s v="NMPL"/>
    <x v="12"/>
    <n v="2397139"/>
    <s v="189226-2397139"/>
    <s v="TUB-O-N-AUT-AN-FC-54.00X3.000X5.7500"/>
    <x v="6"/>
    <m/>
    <x v="2"/>
    <s v="HR"/>
    <m/>
    <m/>
    <m/>
    <m/>
    <x v="62"/>
    <s v="54-0-3-ERW 2-FC-5.75"/>
    <s v="#REF!"/>
    <m/>
    <m/>
    <m/>
    <m/>
    <x v="26"/>
    <x v="25"/>
    <x v="0"/>
    <x v="19"/>
    <n v="5750"/>
    <m/>
    <m/>
    <m/>
    <m/>
    <m/>
    <e v="#N/A"/>
    <e v="#N/A"/>
    <n v="0"/>
    <e v="#N/A"/>
    <e v="#N/A"/>
    <e v="#DIV/0!"/>
    <n v="0"/>
    <m/>
    <n v="44.07900000000001"/>
    <n v="0"/>
    <n v="0"/>
    <m/>
  </r>
  <r>
    <n v="246"/>
    <s v="JSR"/>
    <x v="11"/>
    <s v="NMPL"/>
    <x v="11"/>
    <n v="3157631"/>
    <s v="930801|189227-3157631"/>
    <s v="TUB-O-N-AUT-AW-FC-57.15X2.300X1.3650"/>
    <x v="6"/>
    <m/>
    <x v="2"/>
    <s v="CR"/>
    <m/>
    <m/>
    <s v="AG"/>
    <m/>
    <x v="133"/>
    <s v="57.15-0-2.3-ERW 2-FC-1.365"/>
    <n v="1"/>
    <s v="JSR"/>
    <n v="0.077157"/>
    <n v="21.993891"/>
    <m/>
    <x v="19"/>
    <x v="19"/>
    <x v="0"/>
    <x v="9"/>
    <n v="1365"/>
    <s v="NOS"/>
    <m/>
    <m/>
    <n v="12000"/>
    <m/>
    <n v="11968"/>
    <n v="32"/>
    <n v="50.9351594661"/>
    <n v="50.7993323741904"/>
    <n v="0.1358270919095972"/>
    <n v="0"/>
    <n v="0"/>
    <m/>
    <n v="19.938757"/>
    <n v="0"/>
    <n v="50.9351594661"/>
    <m/>
  </r>
  <r>
    <n v="293"/>
    <s v="Khopoli "/>
    <x v="10"/>
    <s v="NMPL"/>
    <x v="10"/>
    <n v="1938127"/>
    <s v="189226|930794-1938127"/>
    <s v="TUB-S-AW-SHS-50.00X50.00X1.600X0.8470"/>
    <x v="6"/>
    <m/>
    <x v="0"/>
    <s v="CR"/>
    <s v="D"/>
    <m/>
    <m/>
    <m/>
    <x v="63"/>
    <s v="50-50-1.6-ERW 2-PE-0.847"/>
    <n v="2"/>
    <s v="JSR"/>
    <n v="1.350002999999999"/>
    <n v="12.8511"/>
    <m/>
    <x v="25"/>
    <x v="4"/>
    <x v="8"/>
    <x v="0"/>
    <n v="847"/>
    <s v="NOS"/>
    <m/>
    <m/>
    <n v="6000"/>
    <m/>
    <n v="0"/>
    <n v="6000"/>
    <n v="12.40636623072"/>
    <n v="0"/>
    <n v="12.40636623072"/>
    <n v="0"/>
    <n v="0"/>
    <m/>
    <n v="14.201103"/>
    <n v="0"/>
    <n v="12.40636623072"/>
    <m/>
  </r>
  <r>
    <n v="295"/>
    <s v="Khopoli "/>
    <x v="10"/>
    <s v="NMPL"/>
    <x v="10"/>
    <n v="1938128"/>
    <s v="189226|930794-1938128"/>
    <s v="TUB-O-N-AUT-AN-FC-70.00X3.200X0.4900"/>
    <x v="6"/>
    <s v="Annealed"/>
    <x v="2"/>
    <s v="HR"/>
    <m/>
    <m/>
    <s v="AG"/>
    <m/>
    <x v="64"/>
    <s v="70-0-3.2-ERW 2-FC-0.49"/>
    <n v="2"/>
    <s v="Khopoli"/>
    <n v="3.577916000000001"/>
    <n v="8.523014"/>
    <m/>
    <x v="27"/>
    <x v="26"/>
    <x v="0"/>
    <x v="13"/>
    <n v="490"/>
    <s v="NOS"/>
    <m/>
    <m/>
    <n v="6000"/>
    <m/>
    <n v="1920"/>
    <n v="4080"/>
    <n v="15.4907725056"/>
    <n v="4.957047201792"/>
    <n v="10.533725303808"/>
    <n v="0"/>
    <n v="0"/>
    <m/>
    <n v="38.37393"/>
    <n v="0"/>
    <n v="15.4907725056"/>
    <m/>
  </r>
  <r>
    <n v="215"/>
    <s v="Khopoli "/>
    <x v="10"/>
    <s v="NMPL"/>
    <x v="12"/>
    <n v="3557967"/>
    <s v="189226-3557967"/>
    <s v="TUB-O-N-AUT-AN-FC-70.00X3.200X6.4550"/>
    <x v="6"/>
    <m/>
    <x v="2"/>
    <s v="HR"/>
    <m/>
    <m/>
    <m/>
    <m/>
    <x v="64"/>
    <s v="70-0-3.2-ERW 2-FC-6.455"/>
    <s v="#REF!"/>
    <m/>
    <m/>
    <m/>
    <m/>
    <x v="27"/>
    <x v="26"/>
    <x v="0"/>
    <x v="13"/>
    <n v="6455"/>
    <m/>
    <m/>
    <m/>
    <m/>
    <m/>
    <e v="#N/A"/>
    <e v="#N/A"/>
    <n v="0"/>
    <e v="#N/A"/>
    <e v="#N/A"/>
    <e v="#DIV/0!"/>
    <n v="0"/>
    <m/>
    <n v="38.37393"/>
    <n v="0"/>
    <n v="0"/>
    <m/>
  </r>
  <r>
    <n v="288"/>
    <s v="Hosur"/>
    <x v="10"/>
    <s v="NMPL"/>
    <x v="10"/>
    <n v="3539418"/>
    <s v="189226|930794-3539418"/>
    <s v="TUB-O-N-AUT-AW-PE-41.28X2.900X0.4200"/>
    <x v="2"/>
    <m/>
    <x v="1"/>
    <s v="HR"/>
    <m/>
    <m/>
    <m/>
    <m/>
    <x v="134"/>
    <s v="41.28-0-2.9---0.42"/>
    <s v="#REF!"/>
    <m/>
    <m/>
    <m/>
    <m/>
    <x v="15"/>
    <x v="32"/>
    <x v="0"/>
    <x v="25"/>
    <n v="420"/>
    <s v="NOS"/>
    <m/>
    <m/>
    <m/>
    <m/>
    <n v="0"/>
    <n v="0"/>
    <n v="0"/>
    <n v="0"/>
    <n v="0"/>
    <e v="#DIV/0!"/>
    <n v="0"/>
    <m/>
    <n v="0"/>
    <n v="0"/>
    <n v="0"/>
    <m/>
  </r>
  <r>
    <n v="299"/>
    <s v="Khopoli "/>
    <x v="12"/>
    <s v="Rajsriya Automotive Hosur"/>
    <x v="13"/>
    <m/>
    <s v="129695|187884|188415|189239|189240-"/>
    <m/>
    <x v="1"/>
    <m/>
    <x v="3"/>
    <s v="HR"/>
    <m/>
    <m/>
    <m/>
    <m/>
    <x v="8"/>
    <s v="16.1-0-2.8-CEW-CEW-4.5"/>
    <s v="#REF!"/>
    <m/>
    <m/>
    <m/>
    <m/>
    <x v="6"/>
    <x v="6"/>
    <x v="0"/>
    <x v="3"/>
    <n v="4500"/>
    <s v="M"/>
    <m/>
    <m/>
    <m/>
    <m/>
    <n v="0"/>
    <n v="0"/>
    <n v="0"/>
    <n v="0"/>
    <n v="0"/>
    <e v="#DIV/0!"/>
    <n v="0"/>
    <m/>
    <n v="1.89743"/>
    <n v="0"/>
    <n v="0"/>
    <m/>
  </r>
  <r>
    <n v="349"/>
    <s v="Khopoli "/>
    <x v="13"/>
    <s v="Rajsriya Automotive Hosur"/>
    <x v="13"/>
    <n v="2410996"/>
    <s v="129695|187884|188415|189239|189240-2410996"/>
    <s v="TUB-O-C-AUT-AD-FC-16.10X2.700X04-05"/>
    <x v="1"/>
    <m/>
    <x v="3"/>
    <s v="HR"/>
    <m/>
    <m/>
    <m/>
    <m/>
    <x v="135"/>
    <s v="16.1-10.4-2.7-CEW-CEW-1"/>
    <n v="2"/>
    <s v="Khopoli"/>
    <n v="6.250217"/>
    <n v="0"/>
    <m/>
    <x v="6"/>
    <x v="6"/>
    <x v="22"/>
    <x v="26"/>
    <n v="1000"/>
    <s v="M"/>
    <m/>
    <m/>
    <m/>
    <m/>
    <n v="0"/>
    <n v="0"/>
    <n v="0"/>
    <n v="0"/>
    <n v="0"/>
    <e v="#DIV/0!"/>
    <n v="0"/>
    <m/>
    <n v="7.438217"/>
    <n v="0"/>
    <n v="0"/>
    <m/>
  </r>
  <r>
    <n v="300"/>
    <s v="Khopoli "/>
    <x v="12"/>
    <s v="Rajsriya Automotive Hosur"/>
    <x v="13"/>
    <n v="1931824"/>
    <s v="129695|187884|188415|189239|189240-1931824"/>
    <s v="TUB-O-N-AUT-AW-PE-17.30X1.200X6.0000"/>
    <x v="1"/>
    <m/>
    <x v="3"/>
    <s v="HR"/>
    <m/>
    <m/>
    <m/>
    <m/>
    <x v="136"/>
    <s v="17.3-0-1.2-CEW-CEW-6"/>
    <s v="#REF!"/>
    <m/>
    <m/>
    <m/>
    <m/>
    <x v="7"/>
    <x v="7"/>
    <x v="0"/>
    <x v="2"/>
    <n v="6000"/>
    <m/>
    <m/>
    <m/>
    <m/>
    <m/>
    <e v="#N/A"/>
    <e v="#N/A"/>
    <n v="0"/>
    <e v="#N/A"/>
    <e v="#N/A"/>
    <e v="#DIV/0!"/>
    <n v="0"/>
    <m/>
    <n v="0"/>
    <n v="0"/>
    <n v="0"/>
    <m/>
  </r>
  <r>
    <n v="404"/>
    <s v="Khopoli "/>
    <x v="13"/>
    <s v="Rajsriya Automotive Hosur"/>
    <x v="13"/>
    <n v="2410998"/>
    <s v="129695|187884|188415|189239|189240-2410998"/>
    <s v="TUB-O-C-AUT-AD-FC-18.20X2.950X04-05"/>
    <x v="1"/>
    <m/>
    <x v="3"/>
    <s v="HR"/>
    <m/>
    <m/>
    <m/>
    <m/>
    <x v="137"/>
    <s v="18.2-12.3-2.95-CEW-CEW-1"/>
    <n v="1"/>
    <m/>
    <n v="0"/>
    <n v="0"/>
    <m/>
    <x v="41"/>
    <x v="42"/>
    <x v="23"/>
    <x v="4"/>
    <n v="1000"/>
    <s v="M"/>
    <m/>
    <m/>
    <n v="2500"/>
    <m/>
    <n v="0"/>
    <n v="2500"/>
    <n v="2.772242218750001"/>
    <n v="0"/>
    <n v="2.772242218750001"/>
    <n v="0"/>
    <n v="0"/>
    <m/>
    <n v="0"/>
    <n v="0"/>
    <n v="2.772242218750001"/>
    <m/>
  </r>
  <r>
    <n v="356"/>
    <s v="Khopoli "/>
    <x v="14"/>
    <s v="Rajsriya Automotive Hosur"/>
    <x v="13"/>
    <n v="3545492"/>
    <s v="129695|187884|188415|189239|189240-3545492"/>
    <s v="TUB-O-C-AUT-AD-FC-19.00X3.250X0.1950"/>
    <x v="1"/>
    <m/>
    <x v="3"/>
    <s v="HR"/>
    <m/>
    <m/>
    <m/>
    <m/>
    <x v="81"/>
    <s v="19-12.5-3.25-CEW-CEW-0.195"/>
    <n v="2"/>
    <s v="Khopoli"/>
    <n v="2.95579"/>
    <n v="1.505659"/>
    <m/>
    <x v="32"/>
    <x v="29"/>
    <x v="14"/>
    <x v="23"/>
    <n v="195"/>
    <s v="NOS"/>
    <m/>
    <m/>
    <n v="40000"/>
    <m/>
    <n v="0"/>
    <n v="40000"/>
    <n v="9.841421362500002"/>
    <n v="0"/>
    <n v="9.841421362500002"/>
    <n v="0"/>
    <n v="0"/>
    <m/>
    <n v="6.334790000000001"/>
    <n v="0"/>
    <n v="9.841421362500002"/>
    <m/>
  </r>
  <r>
    <n v="358"/>
    <s v="Khopoli "/>
    <x v="15"/>
    <s v="Rajsriya Automotive Hosur"/>
    <x v="13"/>
    <n v="1938191"/>
    <s v="129695|187884|188415|189239|189240-1938191"/>
    <s v="TUB-I-C-AUT-AD-FC-12.50X3.250X0.5880"/>
    <x v="1"/>
    <m/>
    <x v="3"/>
    <s v="HR"/>
    <m/>
    <m/>
    <m/>
    <m/>
    <x v="81"/>
    <s v="19-12.5-3.25-CEW-CEW-0.588"/>
    <n v="2"/>
    <s v="Khopoli"/>
    <n v="2.95579"/>
    <n v="1.505659"/>
    <m/>
    <x v="32"/>
    <x v="29"/>
    <x v="14"/>
    <x v="23"/>
    <n v="588"/>
    <s v="NOS"/>
    <m/>
    <m/>
    <m/>
    <m/>
    <n v="7748"/>
    <n v="-7748"/>
    <n v="0"/>
    <n v="5.748177389409"/>
    <n v="-5.748177389409"/>
    <e v="#DIV/0!"/>
    <n v="0"/>
    <m/>
    <n v="6.334790000000001"/>
    <n v="0"/>
    <n v="0"/>
    <m/>
  </r>
  <r>
    <n v="301"/>
    <s v="Khopoli "/>
    <x v="12"/>
    <s v="Rajsriya Automotive Hosur"/>
    <x v="13"/>
    <n v="3468207"/>
    <s v="129695|187884|188415|189239|189240-3468207"/>
    <s v="TUB-O-C-AUT-AD-FC-19.00X3.250X5.0000"/>
    <x v="1"/>
    <m/>
    <x v="3"/>
    <s v="HR"/>
    <m/>
    <m/>
    <m/>
    <m/>
    <x v="81"/>
    <s v="19-12.5-3.25-CEW-CEW-5"/>
    <s v="#REF!"/>
    <m/>
    <m/>
    <m/>
    <m/>
    <x v="32"/>
    <x v="29"/>
    <x v="14"/>
    <x v="23"/>
    <n v="5000"/>
    <m/>
    <m/>
    <m/>
    <m/>
    <m/>
    <e v="#N/A"/>
    <e v="#N/A"/>
    <n v="0"/>
    <e v="#N/A"/>
    <e v="#N/A"/>
    <e v="#DIV/0!"/>
    <n v="0"/>
    <m/>
    <n v="6.334790000000001"/>
    <n v="0"/>
    <n v="0"/>
    <m/>
  </r>
  <r>
    <n v="302"/>
    <s v="Khopoli "/>
    <x v="12"/>
    <s v="Rajsriya Automotive Hosur"/>
    <x v="13"/>
    <m/>
    <s v="129695|187884|188415|189239|189240-"/>
    <m/>
    <x v="1"/>
    <m/>
    <x v="3"/>
    <s v="HR"/>
    <m/>
    <m/>
    <m/>
    <m/>
    <x v="81"/>
    <s v="19-12.5-3.25-CEW-CEW-0.2"/>
    <s v="#REF!"/>
    <m/>
    <m/>
    <m/>
    <m/>
    <x v="2"/>
    <x v="29"/>
    <x v="14"/>
    <x v="23"/>
    <n v="200"/>
    <m/>
    <m/>
    <m/>
    <m/>
    <m/>
    <e v="#N/A"/>
    <e v="#N/A"/>
    <n v="0"/>
    <e v="#N/A"/>
    <e v="#N/A"/>
    <e v="#DIV/0!"/>
    <n v="0"/>
    <m/>
    <n v="6.334790000000001"/>
    <n v="0"/>
    <n v="0"/>
    <m/>
  </r>
  <r>
    <n v="303"/>
    <s v="Khopoli "/>
    <x v="12"/>
    <s v="Rajsriya Automotive Hosur"/>
    <x v="13"/>
    <n v="3545491"/>
    <s v="129695|187884|188415|189239|189240-3545491"/>
    <s v="TUB-I-C-AUT-AD-FC-12.50X3.250X0.3190"/>
    <x v="1"/>
    <m/>
    <x v="3"/>
    <s v="HR"/>
    <m/>
    <m/>
    <m/>
    <m/>
    <x v="81"/>
    <s v="19-12.5-3.25-CEW-CEW-0.319"/>
    <s v="#REF!"/>
    <m/>
    <m/>
    <m/>
    <m/>
    <x v="2"/>
    <x v="29"/>
    <x v="14"/>
    <x v="23"/>
    <n v="319"/>
    <m/>
    <m/>
    <m/>
    <m/>
    <m/>
    <e v="#N/A"/>
    <e v="#N/A"/>
    <n v="0"/>
    <e v="#N/A"/>
    <e v="#N/A"/>
    <e v="#DIV/0!"/>
    <n v="0"/>
    <m/>
    <n v="6.334790000000001"/>
    <n v="0"/>
    <n v="0"/>
    <m/>
  </r>
  <r>
    <n v="407"/>
    <s v="Khopoli "/>
    <x v="13"/>
    <s v="Rajsriya Automotive Hosur"/>
    <x v="13"/>
    <m/>
    <s v="129695|187884|188415|189239|189240-"/>
    <m/>
    <x v="1"/>
    <m/>
    <x v="3"/>
    <s v="HR"/>
    <m/>
    <m/>
    <m/>
    <m/>
    <x v="112"/>
    <s v="21.7-16.2-2.75-CEW-CEW-1"/>
    <s v="#REF!"/>
    <m/>
    <n v="0"/>
    <m/>
    <m/>
    <x v="38"/>
    <x v="38"/>
    <x v="19"/>
    <x v="24"/>
    <n v="1000"/>
    <s v="M"/>
    <m/>
    <m/>
    <n v="1500"/>
    <m/>
    <n v="0"/>
    <n v="1500"/>
    <n v="1.92678151875"/>
    <n v="0"/>
    <n v="1.92678151875"/>
    <n v="0"/>
    <n v="0"/>
    <m/>
    <n v="1.867743"/>
    <n v="0"/>
    <n v="1.92678151875"/>
    <m/>
  </r>
  <r>
    <n v="455"/>
    <s v="Khopoli "/>
    <x v="15"/>
    <s v="Rajsriya Automotive Hosur"/>
    <x v="13"/>
    <n v="1939544"/>
    <s v="129695|187884|188415|189239|189240-1939544"/>
    <s v="TUB-O-C-CEW-AD-FC-25.40X2.500X0.2170"/>
    <x v="1"/>
    <m/>
    <x v="3"/>
    <s v="HR"/>
    <m/>
    <m/>
    <m/>
    <m/>
    <x v="65"/>
    <s v="25.4-0-2.5-CEW-CEW-0.217"/>
    <n v="2"/>
    <s v="Khopoli"/>
    <n v="6.246775000000001"/>
    <n v="0.9916509999999999"/>
    <m/>
    <x v="3"/>
    <x v="3"/>
    <x v="0"/>
    <x v="10"/>
    <n v="217"/>
    <s v="NOS"/>
    <m/>
    <m/>
    <n v="20000"/>
    <m/>
    <n v="3940"/>
    <n v="16060"/>
    <n v="6.124413784999999"/>
    <n v="1.206509515645"/>
    <n v="4.917904269354999"/>
    <n v="0"/>
    <n v="0"/>
    <m/>
    <n v="6.246775"/>
    <n v="0"/>
    <n v="6.124413784999999"/>
    <m/>
  </r>
  <r>
    <n v="330"/>
    <s v="Khopoli "/>
    <x v="12"/>
    <s v="Rajsriya Automotive Hosur"/>
    <x v="13"/>
    <n v="1941408"/>
    <s v="129695|187884|188415|189239|189240-1941408"/>
    <s v="TUB-O-C-AUT-AD-FC-25.40X2.500X3.7300"/>
    <x v="1"/>
    <m/>
    <x v="3"/>
    <s v="HR"/>
    <m/>
    <m/>
    <m/>
    <m/>
    <x v="138"/>
    <s v="25.4-20.4-2.5-CEW-CEW-3.73"/>
    <s v="#REF!"/>
    <m/>
    <m/>
    <m/>
    <m/>
    <x v="3"/>
    <x v="3"/>
    <x v="6"/>
    <x v="10"/>
    <n v="3730"/>
    <m/>
    <m/>
    <m/>
    <m/>
    <m/>
    <e v="#N/A"/>
    <e v="#N/A"/>
    <n v="0"/>
    <e v="#N/A"/>
    <e v="#N/A"/>
    <e v="#DIV/0!"/>
    <n v="0"/>
    <m/>
    <n v="0"/>
    <n v="0"/>
    <n v="0"/>
    <m/>
  </r>
  <r>
    <n v="331"/>
    <s v="Khopoli "/>
    <x v="12"/>
    <s v="Rajsriya Automotive Hosur"/>
    <x v="13"/>
    <n v="503108"/>
    <s v="129695|187884|188415|189239|189240-503108"/>
    <s v="PT3-I-C-AUT-AD-CH-25.50X2.320X0.485"/>
    <x v="1"/>
    <m/>
    <x v="3"/>
    <s v="HR"/>
    <m/>
    <m/>
    <m/>
    <m/>
    <x v="139"/>
    <s v="30.15-25.5-2.32-CEW-CEW-0.485"/>
    <s v="#REF!"/>
    <m/>
    <m/>
    <m/>
    <m/>
    <x v="42"/>
    <x v="44"/>
    <x v="9"/>
    <x v="27"/>
    <n v="485"/>
    <m/>
    <m/>
    <m/>
    <m/>
    <m/>
    <e v="#N/A"/>
    <e v="#N/A"/>
    <n v="0"/>
    <e v="#N/A"/>
    <e v="#N/A"/>
    <e v="#DIV/0!"/>
    <n v="0"/>
    <m/>
    <n v="0"/>
    <n v="0"/>
    <n v="0"/>
    <m/>
  </r>
  <r>
    <n v="382"/>
    <s v="Khopoli "/>
    <x v="15"/>
    <s v="Rajsriya Automotive Hosur"/>
    <x v="13"/>
    <n v="403040"/>
    <s v="129695|187884|188415|189239|189240-403040"/>
    <s v="PT3-I-C-AUT-AD-CH-25.50X2.320X0.465"/>
    <x v="1"/>
    <m/>
    <x v="3"/>
    <s v="HR"/>
    <m/>
    <s v="Chamferring"/>
    <m/>
    <m/>
    <x v="68"/>
    <s v="30-25.5-2.25-CEW-CEW-0.465"/>
    <n v="1"/>
    <s v="Khopoli"/>
    <n v="12.114797"/>
    <n v="0"/>
    <m/>
    <x v="29"/>
    <x v="27"/>
    <x v="9"/>
    <x v="20"/>
    <n v="465"/>
    <s v="NOS"/>
    <m/>
    <m/>
    <n v="10000"/>
    <m/>
    <n v="5000"/>
    <n v="5000"/>
    <n v="7.195135533749999"/>
    <n v="3.597567766875"/>
    <n v="3.597567766875"/>
    <n v="0"/>
    <n v="0"/>
    <m/>
    <n v="13.387797"/>
    <n v="0"/>
    <n v="7.195135533749999"/>
    <m/>
  </r>
  <r>
    <n v="459"/>
    <s v="Khopoli "/>
    <x v="15"/>
    <s v="Rajsriya Automotive Hosur"/>
    <x v="13"/>
    <n v="2359755"/>
    <s v="129695|187884|188415|189239|189240-2359755"/>
    <s v="TUB-O-C-AUT-AD-FC-30.00X2.250X0.4850"/>
    <x v="1"/>
    <m/>
    <x v="3"/>
    <s v="HR"/>
    <m/>
    <s v="Chamferring"/>
    <m/>
    <m/>
    <x v="68"/>
    <s v="30-25.5-2.25-CEW-CEW-0.485"/>
    <n v="2"/>
    <s v="Khopoli"/>
    <n v="12.114797"/>
    <n v="0"/>
    <m/>
    <x v="29"/>
    <x v="27"/>
    <x v="9"/>
    <x v="20"/>
    <n v="485"/>
    <s v="NOS"/>
    <m/>
    <m/>
    <n v="25000"/>
    <m/>
    <n v="16300"/>
    <n v="8700"/>
    <n v="18.761509321875"/>
    <n v="12.2325040778625"/>
    <n v="6.529005244012499"/>
    <n v="0"/>
    <n v="0"/>
    <m/>
    <n v="13.387797"/>
    <n v="0"/>
    <n v="18.761509321875"/>
    <m/>
  </r>
  <r>
    <n v="333"/>
    <s v="Hosur"/>
    <x v="12"/>
    <s v="Rajsriya Automotive Hosur"/>
    <x v="13"/>
    <m/>
    <s v="129695|187884|188415|189239|189240-"/>
    <m/>
    <x v="1"/>
    <m/>
    <x v="3"/>
    <s v="HR"/>
    <m/>
    <m/>
    <m/>
    <m/>
    <x v="140"/>
    <s v="36-34-0.91-CEW-CEW-0.168"/>
    <s v="#REF!"/>
    <m/>
    <m/>
    <m/>
    <m/>
    <x v="43"/>
    <x v="45"/>
    <x v="10"/>
    <x v="28"/>
    <n v="168"/>
    <m/>
    <m/>
    <m/>
    <m/>
    <m/>
    <e v="#N/A"/>
    <e v="#N/A"/>
    <n v="0"/>
    <e v="#N/A"/>
    <e v="#N/A"/>
    <e v="#DIV/0!"/>
    <n v="0"/>
    <m/>
    <n v="0"/>
    <n v="0"/>
    <n v="0"/>
    <m/>
  </r>
  <r>
    <n v="380"/>
    <s v="Hosur"/>
    <x v="15"/>
    <s v="Rajsriya Automotive Hosur"/>
    <x v="13"/>
    <m/>
    <s v="129695|187884|188415|189239|189240-"/>
    <m/>
    <x v="1"/>
    <m/>
    <x v="1"/>
    <m/>
    <m/>
    <m/>
    <m/>
    <m/>
    <x v="141"/>
    <s v="36-34-0.91-CEW--0.168"/>
    <s v="#REF!"/>
    <m/>
    <m/>
    <m/>
    <m/>
    <x v="43"/>
    <x v="45"/>
    <x v="10"/>
    <x v="28"/>
    <n v="168"/>
    <s v="NOS"/>
    <m/>
    <m/>
    <m/>
    <m/>
    <n v="0"/>
    <n v="0"/>
    <n v="0"/>
    <n v="0"/>
    <n v="0"/>
    <e v="#DIV/0!"/>
    <n v="0"/>
    <m/>
    <n v="0"/>
    <n v="0"/>
    <n v="0"/>
    <m/>
  </r>
  <r>
    <n v="471"/>
    <s v="Khopoli "/>
    <x v="15"/>
    <s v="Rajsriya Automotive Hosur"/>
    <x v="13"/>
    <n v="1938125"/>
    <s v="129695|187884|188415|189239|189240-1938125"/>
    <s v="TUB-I-C-AUT-AN-FC-34.00X2.500X0.2720"/>
    <x v="1"/>
    <m/>
    <x v="3"/>
    <s v="HR"/>
    <m/>
    <s v="Chamferring"/>
    <m/>
    <m/>
    <x v="69"/>
    <s v="39-34-2.5-CEW-CEW-0.272"/>
    <n v="2"/>
    <s v="Khopoli"/>
    <n v="6.342168"/>
    <n v="0"/>
    <m/>
    <x v="30"/>
    <x v="28"/>
    <x v="10"/>
    <x v="10"/>
    <n v="272"/>
    <s v="NOS"/>
    <m/>
    <m/>
    <n v="25000"/>
    <m/>
    <n v="12350"/>
    <n v="12650"/>
    <n v="15.2947045"/>
    <n v="7.555584022999999"/>
    <n v="7.739120476999999"/>
    <n v="0"/>
    <n v="0"/>
    <m/>
    <n v="7.421168"/>
    <n v="0"/>
    <n v="15.2947045"/>
    <m/>
  </r>
  <r>
    <n v="338"/>
    <s v="Khopoli "/>
    <x v="12"/>
    <s v="Rajsriya Automotive Hosur"/>
    <x v="13"/>
    <n v="2426233"/>
    <s v="129695|187884|188415|189239|189240-2426233"/>
    <s v="TUB-O-N-AUT-AN-FC-42.70X4.000X5.7300"/>
    <x v="1"/>
    <s v="Annealed"/>
    <x v="3"/>
    <s v="HR"/>
    <m/>
    <m/>
    <m/>
    <m/>
    <x v="142"/>
    <s v="42.7-0-4-CEW-CEW-5.739"/>
    <s v="#REF!"/>
    <m/>
    <m/>
    <m/>
    <m/>
    <x v="16"/>
    <x v="16"/>
    <x v="0"/>
    <x v="11"/>
    <n v="5739"/>
    <m/>
    <m/>
    <m/>
    <m/>
    <m/>
    <e v="#N/A"/>
    <e v="#N/A"/>
    <n v="0"/>
    <e v="#N/A"/>
    <e v="#N/A"/>
    <e v="#DIV/0!"/>
    <n v="0"/>
    <m/>
    <n v="0"/>
    <n v="0"/>
    <n v="0"/>
    <m/>
  </r>
  <r>
    <n v="346"/>
    <s v="Khopoli "/>
    <x v="12"/>
    <s v="Rajsriya Automotive Hosur"/>
    <x v="13"/>
    <n v="3594528"/>
    <s v="129695|187884|188415|189239|189240-3594528"/>
    <s v="TUB-O-N-AUT-AW-FC-60.30X2.000X6.0000"/>
    <x v="1"/>
    <m/>
    <x v="3"/>
    <s v="HR"/>
    <m/>
    <m/>
    <m/>
    <m/>
    <x v="143"/>
    <s v="60.3-0-2-CEW-CEW-6"/>
    <s v="#REF!"/>
    <m/>
    <m/>
    <m/>
    <m/>
    <x v="34"/>
    <x v="34"/>
    <x v="0"/>
    <x v="8"/>
    <n v="6000"/>
    <m/>
    <m/>
    <m/>
    <m/>
    <m/>
    <e v="#N/A"/>
    <e v="#N/A"/>
    <n v="0"/>
    <e v="#N/A"/>
    <e v="#N/A"/>
    <e v="#DIV/0!"/>
    <n v="0"/>
    <m/>
    <n v="0"/>
    <n v="0"/>
    <n v="0"/>
    <m/>
  </r>
  <r>
    <n v="296"/>
    <s v="Hosur"/>
    <x v="16"/>
    <s v="Rajsriya Automotive Hosur"/>
    <x v="13"/>
    <n v="1939992"/>
    <s v="129695|187884|188415|189239|189240-1939992"/>
    <s v="TUB-O-O-AUT-AW-PE-12.70X1.600X0.1870"/>
    <x v="0"/>
    <m/>
    <x v="0"/>
    <s v="HR"/>
    <m/>
    <m/>
    <m/>
    <m/>
    <x v="0"/>
    <s v="12.7-0-1.6-ERW 1-PE-0.187"/>
    <n v="1"/>
    <m/>
    <m/>
    <m/>
    <m/>
    <x v="0"/>
    <x v="0"/>
    <x v="0"/>
    <x v="0"/>
    <n v="187"/>
    <s v="NOS"/>
    <m/>
    <m/>
    <m/>
    <m/>
    <n v="0"/>
    <n v="0"/>
    <n v="0"/>
    <n v="0"/>
    <n v="0"/>
    <e v="#DIV/0!"/>
    <n v="0"/>
    <m/>
    <n v="0.06565699999999999"/>
    <n v="8.986000000000001"/>
    <n v="0"/>
    <m/>
  </r>
  <r>
    <n v="318"/>
    <s v="Hosur"/>
    <x v="13"/>
    <s v="Rajsriya Automotive Hosur"/>
    <x v="13"/>
    <n v="3223304"/>
    <s v="129695|187884|188415|189239|189240-3223304"/>
    <s v="TUB-O-N-AUT-AW-PE-12.70X1.600X0.2550"/>
    <x v="0"/>
    <m/>
    <x v="0"/>
    <s v="CR"/>
    <s v="HROP"/>
    <m/>
    <m/>
    <m/>
    <x v="0"/>
    <s v="12.7-0-1.6-ERW 1-PE-0.255"/>
    <n v="1"/>
    <s v="Hosur"/>
    <n v="0"/>
    <n v="0"/>
    <m/>
    <x v="0"/>
    <x v="0"/>
    <x v="0"/>
    <x v="0"/>
    <n v="255"/>
    <s v="NOS"/>
    <m/>
    <m/>
    <n v="50000"/>
    <m/>
    <n v="0"/>
    <n v="50000"/>
    <n v="5.581519559999999"/>
    <n v="0"/>
    <n v="5.581519559999999"/>
    <n v="66.29019141160191"/>
    <n v="0.0074"/>
    <m/>
    <n v="0.06565699999999999"/>
    <n v="8.986000000000001"/>
    <n v="5.57411956"/>
    <m/>
  </r>
  <r>
    <n v="297"/>
    <s v="Hosur"/>
    <x v="12"/>
    <s v="Rajsriya Automotive Hosur"/>
    <x v="13"/>
    <n v="2440974"/>
    <s v="129695|187884|188415|189239|189240-2440974"/>
    <s v="TUB-O-O-AUT-AW-PE-12.70X1.600X0.2800"/>
    <x v="0"/>
    <m/>
    <x v="0"/>
    <s v="HR"/>
    <m/>
    <m/>
    <m/>
    <m/>
    <x v="0"/>
    <s v="12.7-0-1.6-ERW 1-PE-0.28"/>
    <s v="#REF!"/>
    <m/>
    <m/>
    <m/>
    <m/>
    <x v="0"/>
    <x v="0"/>
    <x v="0"/>
    <x v="0"/>
    <n v="280"/>
    <m/>
    <m/>
    <m/>
    <m/>
    <m/>
    <e v="#N/A"/>
    <e v="#N/A"/>
    <n v="0"/>
    <e v="#N/A"/>
    <e v="#N/A"/>
    <e v="#DIV/0!"/>
    <n v="0.005150999999999999"/>
    <m/>
    <n v="0.06565699999999999"/>
    <n v="8.986000000000001"/>
    <n v="-0.005150999999999999"/>
    <m/>
  </r>
  <r>
    <n v="385"/>
    <s v="Hosur"/>
    <x v="16"/>
    <s v="Rajsriya Automotive Hosur"/>
    <x v="13"/>
    <n v="1940003"/>
    <s v="129695|187884|188415|189239|189240-1940003"/>
    <s v="TUB-O-O-AUT-AW-PE-12.70X1.600X0.3930"/>
    <x v="0"/>
    <m/>
    <x v="0"/>
    <s v="CR"/>
    <s v="WG"/>
    <m/>
    <m/>
    <m/>
    <x v="0"/>
    <s v="12.7-0-1.6-ERW 1-PE-0.393"/>
    <n v="1"/>
    <m/>
    <m/>
    <m/>
    <m/>
    <x v="0"/>
    <x v="0"/>
    <x v="0"/>
    <x v="0"/>
    <n v="393"/>
    <s v="NOS"/>
    <m/>
    <m/>
    <n v="5000"/>
    <m/>
    <n v="0"/>
    <n v="5000"/>
    <n v="0.8602106616000001"/>
    <n v="0"/>
    <n v="0.8602106616000001"/>
    <n v="0"/>
    <n v="0"/>
    <m/>
    <n v="0.06565699999999999"/>
    <n v="8.986000000000001"/>
    <n v="0.8602106616000001"/>
    <m/>
  </r>
  <r>
    <n v="386"/>
    <s v="Hosur"/>
    <x v="16"/>
    <s v="Rajsriya Automotive Hosur"/>
    <x v="13"/>
    <n v="2387804"/>
    <s v="129695|187884|188415|189239|189240-2387804"/>
    <s v="TUB-O-N-AUT-AW-PE-15.88X1.600X0.4420"/>
    <x v="0"/>
    <m/>
    <x v="0"/>
    <s v="CR"/>
    <s v="WG"/>
    <m/>
    <m/>
    <m/>
    <x v="15"/>
    <s v="15.88-0-1.6-ERW 1-PE-0.442"/>
    <n v="1"/>
    <s v="Hosur"/>
    <n v="0"/>
    <n v="0"/>
    <m/>
    <x v="1"/>
    <x v="1"/>
    <x v="0"/>
    <x v="0"/>
    <n v="442"/>
    <s v="NOS"/>
    <m/>
    <m/>
    <n v="5000"/>
    <m/>
    <n v="0"/>
    <n v="5000"/>
    <n v="1.24462857792"/>
    <n v="0"/>
    <n v="1.24462857792"/>
    <n v="0"/>
    <n v="0"/>
    <m/>
    <n v="0"/>
    <n v="3.888"/>
    <n v="1.24462857792"/>
    <m/>
  </r>
  <r>
    <m/>
    <s v="Hosur"/>
    <x v="13"/>
    <s v="Rajsriya Automotive Hosur"/>
    <x v="13"/>
    <m/>
    <s v="129695|187884|188415|189239|189240-"/>
    <m/>
    <x v="0"/>
    <m/>
    <x v="0"/>
    <s v="CR"/>
    <s v="WG"/>
    <m/>
    <m/>
    <m/>
    <x v="15"/>
    <s v="15.88-0-1.6-ERW 1-PE-1"/>
    <m/>
    <m/>
    <n v="0"/>
    <n v="0"/>
    <m/>
    <x v="1"/>
    <x v="1"/>
    <x v="0"/>
    <x v="0"/>
    <n v="1000"/>
    <s v="M"/>
    <m/>
    <m/>
    <n v="2500"/>
    <m/>
    <n v="0"/>
    <n v="2500"/>
    <n v="1.40795088"/>
    <n v="0"/>
    <n v="1.40795088"/>
    <n v="0"/>
    <n v="0"/>
    <m/>
    <n v="0"/>
    <n v="3.888"/>
    <n v="1.40795088"/>
    <m/>
  </r>
  <r>
    <n v="298"/>
    <s v="Hosur"/>
    <x v="12"/>
    <s v="Rajsriya Automotive Hosur"/>
    <x v="13"/>
    <n v="1900224"/>
    <s v="129695|187884|188415|189239|189240-1900224"/>
    <s v="TUB-O-O-AUT-AW-PE-15.88X1.6.000X6.0000"/>
    <x v="0"/>
    <m/>
    <x v="0"/>
    <s v="HR"/>
    <m/>
    <m/>
    <m/>
    <m/>
    <x v="15"/>
    <s v="15.88-0-1.6-ERW 1-PE-6"/>
    <n v="1"/>
    <s v="Hosur"/>
    <m/>
    <m/>
    <m/>
    <x v="1"/>
    <x v="1"/>
    <x v="0"/>
    <x v="0"/>
    <n v="6000"/>
    <s v="M"/>
    <m/>
    <m/>
    <m/>
    <m/>
    <n v="0"/>
    <n v="0"/>
    <n v="0"/>
    <n v="0"/>
    <n v="0"/>
    <e v="#DIV/0!"/>
    <n v="0"/>
    <m/>
    <n v="0"/>
    <n v="3.888"/>
    <n v="0"/>
    <m/>
  </r>
  <r>
    <n v="412"/>
    <s v="Hosur"/>
    <x v="14"/>
    <s v="Rajsriya Automotive Hosur"/>
    <x v="13"/>
    <n v="1940090"/>
    <s v="129695|187884|188415|189239|189240-1940090"/>
    <s v="TUB-O-O-AUT-AW-PE-15.88X2.000X0.2910"/>
    <x v="0"/>
    <m/>
    <x v="0"/>
    <s v="HR"/>
    <m/>
    <m/>
    <m/>
    <m/>
    <x v="16"/>
    <s v="15.88-0-2-ERW 1-PE-0.291"/>
    <n v="5"/>
    <s v="Hosur"/>
    <n v="0"/>
    <n v="0"/>
    <m/>
    <x v="1"/>
    <x v="1"/>
    <x v="0"/>
    <x v="8"/>
    <n v="291"/>
    <s v="NOS"/>
    <m/>
    <m/>
    <n v="5000"/>
    <m/>
    <n v="0"/>
    <n v="5000"/>
    <n v="0.9955928292000001"/>
    <n v="0"/>
    <n v="0.9955928292000001"/>
    <n v="1474.669118679506"/>
    <n v="0.293634"/>
    <m/>
    <n v="0"/>
    <n v="0.244"/>
    <n v="0.7019588292000001"/>
    <m/>
  </r>
  <r>
    <n v="379"/>
    <s v="Hosur"/>
    <x v="15"/>
    <s v="Rajsriya Automotive Hosur"/>
    <x v="13"/>
    <m/>
    <s v="129695|187884|188415|189239|189240-"/>
    <m/>
    <x v="0"/>
    <m/>
    <x v="0"/>
    <s v="HR"/>
    <m/>
    <m/>
    <m/>
    <m/>
    <x v="16"/>
    <s v="15.88-0-2-ERW 1-PE-0.537"/>
    <n v="1"/>
    <s v="Hosur"/>
    <m/>
    <m/>
    <m/>
    <x v="1"/>
    <x v="1"/>
    <x v="0"/>
    <x v="8"/>
    <n v="537"/>
    <s v="NOS"/>
    <m/>
    <m/>
    <m/>
    <m/>
    <n v="0"/>
    <n v="0"/>
    <n v="0"/>
    <n v="0"/>
    <n v="0"/>
    <e v="#DIV/0!"/>
    <n v="0"/>
    <m/>
    <n v="0"/>
    <n v="0.244"/>
    <n v="0"/>
    <m/>
  </r>
  <r>
    <n v="304"/>
    <s v="Hosur"/>
    <x v="12"/>
    <s v="Rajsriya Automotive Hosur"/>
    <x v="13"/>
    <n v="1529261"/>
    <s v="129695|187884|188415|189239|189240-1529261"/>
    <s v="TUB-O-N-AUT-AW-PE-19.05X1.600X0.2890"/>
    <x v="0"/>
    <m/>
    <x v="1"/>
    <s v="HR"/>
    <m/>
    <m/>
    <m/>
    <m/>
    <x v="121"/>
    <s v="19.05-0-1.6-ERW 1--0.289"/>
    <s v="#REF!"/>
    <m/>
    <m/>
    <m/>
    <m/>
    <x v="2"/>
    <x v="2"/>
    <x v="0"/>
    <x v="0"/>
    <n v="289"/>
    <m/>
    <m/>
    <m/>
    <m/>
    <m/>
    <e v="#N/A"/>
    <e v="#N/A"/>
    <n v="0"/>
    <e v="#N/A"/>
    <e v="#N/A"/>
    <e v="#DIV/0!"/>
    <n v="0"/>
    <m/>
    <n v="0"/>
    <n v="0"/>
    <n v="0"/>
    <m/>
  </r>
  <r>
    <n v="305"/>
    <s v="Hosur"/>
    <x v="12"/>
    <s v="Rajsriya Automotive Hosur"/>
    <x v="13"/>
    <n v="1529260"/>
    <s v="129695|187884|188415|189239|189240-1529260"/>
    <s v="TUB-O-N-AUT-AW-PE-19.05X1.600X0.2990"/>
    <x v="0"/>
    <m/>
    <x v="1"/>
    <s v="HR"/>
    <m/>
    <m/>
    <m/>
    <m/>
    <x v="121"/>
    <s v="19.05-0-1.6-ERW 1--0.299"/>
    <s v="#REF!"/>
    <m/>
    <m/>
    <m/>
    <m/>
    <x v="2"/>
    <x v="2"/>
    <x v="0"/>
    <x v="0"/>
    <n v="299"/>
    <m/>
    <m/>
    <m/>
    <m/>
    <m/>
    <e v="#N/A"/>
    <e v="#N/A"/>
    <n v="0"/>
    <e v="#N/A"/>
    <e v="#N/A"/>
    <e v="#DIV/0!"/>
    <n v="0"/>
    <m/>
    <n v="0"/>
    <n v="0"/>
    <n v="0"/>
    <m/>
  </r>
  <r>
    <n v="373"/>
    <s v="Hosur"/>
    <x v="16"/>
    <s v="Rajsriya Automotive Hosur"/>
    <x v="13"/>
    <n v="1940266"/>
    <s v="129695|187884|188415|189239|189240-1940266"/>
    <s v="TUB-O-O-AUT-AW-PE-19.05X2.000X0.2130"/>
    <x v="0"/>
    <m/>
    <x v="0"/>
    <s v="HR"/>
    <m/>
    <m/>
    <m/>
    <m/>
    <x v="18"/>
    <s v="19.05-0-2-ERW 1-PE-0.213"/>
    <n v="1"/>
    <s v="Hosur"/>
    <n v="0"/>
    <n v="0"/>
    <m/>
    <x v="2"/>
    <x v="2"/>
    <x v="0"/>
    <x v="8"/>
    <n v="213"/>
    <s v="NOS"/>
    <m/>
    <m/>
    <n v="8000"/>
    <m/>
    <n v="0"/>
    <n v="8000"/>
    <n v="1.4322646536"/>
    <n v="0"/>
    <n v="1.4322646536"/>
    <n v="566.2137915374999"/>
    <n v="0.101371"/>
    <m/>
    <n v="0"/>
    <n v="11.189"/>
    <n v="1.3308936536"/>
    <m/>
  </r>
  <r>
    <n v="374"/>
    <s v="Hosur"/>
    <x v="16"/>
    <s v="Rajsriya Automotive Hosur"/>
    <x v="13"/>
    <n v="1940269"/>
    <s v="129695|187884|188415|189239|189240-1940269"/>
    <s v="TUB-O-O-AUT-AW-PE-19.05X2.000X0.2400"/>
    <x v="0"/>
    <m/>
    <x v="0"/>
    <s v="HR"/>
    <m/>
    <m/>
    <m/>
    <m/>
    <x v="18"/>
    <s v="19.05-0-2-ERW 1-PE-0.24"/>
    <n v="1"/>
    <s v="Hosur"/>
    <n v="0"/>
    <n v="0"/>
    <m/>
    <x v="2"/>
    <x v="2"/>
    <x v="0"/>
    <x v="8"/>
    <n v="240"/>
    <s v="NOS"/>
    <m/>
    <m/>
    <n v="8000"/>
    <m/>
    <n v="0"/>
    <n v="8000"/>
    <n v="1.613819328"/>
    <n v="0"/>
    <n v="1.613819328"/>
    <n v="280.4080928692409"/>
    <n v="0.05656600000000001"/>
    <m/>
    <n v="0"/>
    <n v="11.189"/>
    <n v="1.557253328"/>
    <m/>
  </r>
  <r>
    <n v="375"/>
    <s v="Hosur"/>
    <x v="16"/>
    <s v="Rajsriya Automotive Hosur"/>
    <x v="13"/>
    <n v="1940272"/>
    <s v="129695|187884|188415|189239|189240-1940272"/>
    <s v="TUB-O-O-AUT-AW-PE-19.05X2.000X0.2590"/>
    <x v="0"/>
    <m/>
    <x v="0"/>
    <s v="HR"/>
    <m/>
    <m/>
    <m/>
    <m/>
    <x v="18"/>
    <s v="19.05-0-2-ERW 1-PE-0.259"/>
    <n v="1"/>
    <s v="Hosur"/>
    <n v="0"/>
    <n v="0"/>
    <m/>
    <x v="2"/>
    <x v="2"/>
    <x v="0"/>
    <x v="8"/>
    <n v="259"/>
    <s v="NOS"/>
    <m/>
    <m/>
    <n v="8000"/>
    <m/>
    <n v="0"/>
    <n v="8000"/>
    <n v="1.7415800248"/>
    <n v="0"/>
    <n v="1.7415800248"/>
    <n v="43.30780034564393"/>
    <n v="0.009428000000000001"/>
    <m/>
    <n v="0"/>
    <n v="11.189"/>
    <n v="1.7321520248"/>
    <m/>
  </r>
  <r>
    <n v="381"/>
    <s v="Hosur"/>
    <x v="15"/>
    <s v="Rajsriya Automotive Hosur"/>
    <x v="13"/>
    <n v="2422190"/>
    <s v="129695|187884|188415|189239|189240-2422190"/>
    <s v="TUB-O-N-AUT-AW-PE-19.05X2.000X0.2650"/>
    <x v="0"/>
    <m/>
    <x v="0"/>
    <s v="HR"/>
    <m/>
    <m/>
    <m/>
    <m/>
    <x v="18"/>
    <s v="19.05-0-2-ERW 1-PE-0.265"/>
    <s v="#REF!"/>
    <s v="Hosur"/>
    <n v="0"/>
    <n v="0"/>
    <m/>
    <x v="2"/>
    <x v="2"/>
    <x v="0"/>
    <x v="8"/>
    <n v="265"/>
    <s v="NOS"/>
    <m/>
    <m/>
    <n v="20000"/>
    <m/>
    <n v="0"/>
    <n v="20000"/>
    <n v="4.454813769999999"/>
    <n v="0"/>
    <n v="4.454813769999999"/>
    <n v="47.3824520839622"/>
    <n v="0.010554"/>
    <m/>
    <n v="0"/>
    <n v="11.189"/>
    <n v="4.444259769999999"/>
    <m/>
  </r>
  <r>
    <n v="306"/>
    <s v="Hosur"/>
    <x v="13"/>
    <s v="Rajsriya Automotive Hosur"/>
    <x v="13"/>
    <n v="2403386"/>
    <s v="129695|187884|188415|189239|189240-2403386"/>
    <s v="TUB-O-N-AUT-AW-PE-19.05X2.000X0.3580"/>
    <x v="0"/>
    <m/>
    <x v="0"/>
    <s v="HR"/>
    <m/>
    <m/>
    <m/>
    <m/>
    <x v="18"/>
    <s v="19.05-0-2-ERW 1-PE-0.358"/>
    <n v="2"/>
    <m/>
    <n v="0"/>
    <n v="0"/>
    <m/>
    <x v="2"/>
    <x v="2"/>
    <x v="0"/>
    <x v="8"/>
    <n v="358"/>
    <s v="NOS"/>
    <m/>
    <m/>
    <n v="10000"/>
    <m/>
    <n v="0"/>
    <n v="10000"/>
    <n v="3.009100622000001"/>
    <n v="0"/>
    <n v="3.009100622000001"/>
    <n v="69.61548526109739"/>
    <n v="0.020948"/>
    <m/>
    <n v="0"/>
    <n v="11.189"/>
    <n v="2.988152622"/>
    <m/>
  </r>
  <r>
    <n v="307"/>
    <s v="Hosur"/>
    <x v="12"/>
    <s v="Rajsriya Automotive Hosur"/>
    <x v="13"/>
    <n v="1432169"/>
    <s v="129695|187884|188415|189239|189240-1432169"/>
    <s v="TUB-O-N-AUT-AW-PE-19.05X2.000X0.4300"/>
    <x v="0"/>
    <m/>
    <x v="1"/>
    <s v="HR"/>
    <m/>
    <m/>
    <m/>
    <m/>
    <x v="144"/>
    <s v="19.05-0-2-ERW 1--0.43"/>
    <s v="#REF!"/>
    <m/>
    <m/>
    <m/>
    <m/>
    <x v="2"/>
    <x v="2"/>
    <x v="0"/>
    <x v="8"/>
    <n v="430"/>
    <m/>
    <m/>
    <m/>
    <m/>
    <m/>
    <e v="#N/A"/>
    <e v="#N/A"/>
    <n v="0"/>
    <e v="#N/A"/>
    <e v="#N/A"/>
    <e v="#DIV/0!"/>
    <n v="0"/>
    <m/>
    <n v="0"/>
    <n v="0"/>
    <n v="0"/>
    <m/>
  </r>
  <r>
    <n v="308"/>
    <s v="Hosur"/>
    <x v="12"/>
    <s v="Rajsriya Automotive Hosur"/>
    <x v="13"/>
    <n v="2403384"/>
    <s v="129695|187884|188415|189239|189240-2403384"/>
    <s v="TUB-O-N-AUT-AW-PE-19.05X2.000X0.4490"/>
    <x v="0"/>
    <m/>
    <x v="1"/>
    <s v="HR"/>
    <m/>
    <m/>
    <m/>
    <m/>
    <x v="144"/>
    <s v="19.05-0-2-ERW 1--0.449"/>
    <s v="#REF!"/>
    <m/>
    <m/>
    <m/>
    <m/>
    <x v="2"/>
    <x v="2"/>
    <x v="0"/>
    <x v="8"/>
    <n v="449"/>
    <m/>
    <m/>
    <m/>
    <m/>
    <m/>
    <e v="#N/A"/>
    <e v="#N/A"/>
    <n v="0"/>
    <e v="#N/A"/>
    <e v="#N/A"/>
    <e v="#DIV/0!"/>
    <n v="0"/>
    <m/>
    <n v="0"/>
    <n v="0"/>
    <n v="0"/>
    <m/>
  </r>
  <r>
    <n v="378"/>
    <s v="Hosur"/>
    <x v="13"/>
    <s v="Rajsriya Automotive Hosur"/>
    <x v="13"/>
    <n v="2403383"/>
    <s v="129695|187884|188415|189239|189240-2403383"/>
    <s v="TUB-O-N-AUT-AW-PE-19.05X2.000X0.4750"/>
    <x v="0"/>
    <m/>
    <x v="0"/>
    <s v="HR"/>
    <m/>
    <m/>
    <m/>
    <m/>
    <x v="18"/>
    <s v="19.05-0-2-ERW 1-PE-0.475"/>
    <n v="2"/>
    <s v="Hosur"/>
    <n v="0"/>
    <n v="0"/>
    <m/>
    <x v="2"/>
    <x v="2"/>
    <x v="0"/>
    <x v="8"/>
    <n v="475"/>
    <s v="NOS"/>
    <m/>
    <m/>
    <n v="20000"/>
    <m/>
    <n v="0"/>
    <n v="20000"/>
    <n v="7.98504355"/>
    <n v="0"/>
    <n v="7.98504355"/>
    <n v="22.04120727682193"/>
    <n v="0.008800000000000001"/>
    <m/>
    <n v="0"/>
    <n v="11.189"/>
    <n v="7.97624355"/>
    <m/>
  </r>
  <r>
    <n v="369"/>
    <s v="Hosur"/>
    <x v="14"/>
    <s v="Rajsriya Automotive Hosur"/>
    <x v="13"/>
    <m/>
    <s v="129695|187884|188415|189239|189240-"/>
    <s v="TUB-O-N-AUT-AW-FC-19.05X2.00X0.7750"/>
    <x v="0"/>
    <m/>
    <x v="0"/>
    <s v="HR"/>
    <s v="ST52AL"/>
    <m/>
    <s v="AG"/>
    <m/>
    <x v="18"/>
    <s v="19.05-0-2-ERW 1-PE-0.775"/>
    <n v="1"/>
    <s v="Hosur"/>
    <n v="0"/>
    <n v="0"/>
    <m/>
    <x v="2"/>
    <x v="2"/>
    <x v="0"/>
    <x v="8"/>
    <n v="775"/>
    <s v="NOS"/>
    <m/>
    <m/>
    <n v="5000"/>
    <m/>
    <n v="0"/>
    <n v="5000"/>
    <n v="3.2570572375"/>
    <n v="0"/>
    <n v="3.2570572375"/>
    <n v="415.4793426469528"/>
    <n v="0.270648"/>
    <m/>
    <n v="0"/>
    <n v="11.189"/>
    <n v="2.9864092375"/>
    <m/>
  </r>
  <r>
    <n v="383"/>
    <s v="Hosur"/>
    <x v="16"/>
    <s v="Rajsriya Automotive Hosur"/>
    <x v="13"/>
    <n v="1940302"/>
    <s v="129695|187884|188415|189239|189240-1940302"/>
    <s v="TUB-O-O-AUT-AW-PE-19.05X2.300X0.1950"/>
    <x v="0"/>
    <m/>
    <x v="0"/>
    <s v="HR"/>
    <m/>
    <m/>
    <m/>
    <m/>
    <x v="19"/>
    <s v="19.05-0-2.3-ERW 1-PE-0.195"/>
    <n v="1"/>
    <s v="Hosur"/>
    <n v="28.35719099999999"/>
    <n v="41.353167"/>
    <m/>
    <x v="2"/>
    <x v="2"/>
    <x v="0"/>
    <x v="9"/>
    <n v="195"/>
    <s v="NOS"/>
    <m/>
    <m/>
    <n v="5000"/>
    <m/>
    <n v="0"/>
    <n v="5000"/>
    <n v="0.925862656875"/>
    <n v="0"/>
    <n v="0.925862656875"/>
    <n v="0"/>
    <n v="0"/>
    <m/>
    <n v="79.22211800000001"/>
    <n v="6.015"/>
    <n v="0.925862656875"/>
    <m/>
  </r>
  <r>
    <n v="309"/>
    <s v="Hosur"/>
    <x v="13"/>
    <s v="Rajsriya Automotive Hosur"/>
    <x v="13"/>
    <n v="508988"/>
    <s v="129695|187884|188415|189239|189240-508988"/>
    <s v="PT2-O-N-AUT-AW-PE-19.05X2.300X0.303"/>
    <x v="0"/>
    <m/>
    <x v="0"/>
    <s v="HR"/>
    <m/>
    <m/>
    <m/>
    <m/>
    <x v="19"/>
    <s v="19.05-0-2.3-ERW 1-PE-0.303"/>
    <s v="#REF!"/>
    <m/>
    <n v="28.35719099999999"/>
    <n v="41.353167"/>
    <m/>
    <x v="2"/>
    <x v="2"/>
    <x v="0"/>
    <x v="9"/>
    <n v="303"/>
    <s v="NOS"/>
    <m/>
    <m/>
    <n v="8000"/>
    <m/>
    <n v="0"/>
    <n v="8000"/>
    <n v="2.301837005399999"/>
    <n v="0"/>
    <n v="2.301837005399999"/>
    <n v="234.8037670486919"/>
    <n v="0.06756"/>
    <m/>
    <n v="79.22211800000001"/>
    <n v="6.015"/>
    <n v="2.2342770054"/>
    <m/>
  </r>
  <r>
    <n v="310"/>
    <s v="Hosur"/>
    <x v="12"/>
    <s v="Rajsriya Automotive Hosur"/>
    <x v="13"/>
    <n v="508992"/>
    <s v="129695|187884|188415|189239|189240-508992"/>
    <s v="PT2-O-N-AUT-AW-PE-19.05X2.300X0.459"/>
    <x v="0"/>
    <m/>
    <x v="1"/>
    <s v="HR"/>
    <m/>
    <m/>
    <m/>
    <m/>
    <x v="145"/>
    <s v="19.05-0-2.3-ERW 1--0.459"/>
    <s v="#REF!"/>
    <m/>
    <m/>
    <m/>
    <m/>
    <x v="2"/>
    <x v="2"/>
    <x v="0"/>
    <x v="9"/>
    <n v="459"/>
    <m/>
    <m/>
    <m/>
    <m/>
    <m/>
    <e v="#N/A"/>
    <e v="#N/A"/>
    <n v="0"/>
    <e v="#N/A"/>
    <e v="#N/A"/>
    <e v="#DIV/0!"/>
    <n v="0"/>
    <m/>
    <n v="0"/>
    <n v="0"/>
    <n v="0"/>
    <m/>
  </r>
  <r>
    <n v="384"/>
    <s v="Hosur"/>
    <x v="13"/>
    <s v="Rajsriya Automotive Hosur"/>
    <x v="13"/>
    <n v="1940324"/>
    <s v="129695|187884|188415|189239|189240-1940324"/>
    <s v="TUB-O-O-AUT-AW-PE-19.05X2.300X0.5540"/>
    <x v="0"/>
    <m/>
    <x v="0"/>
    <s v="HR"/>
    <m/>
    <m/>
    <m/>
    <m/>
    <x v="19"/>
    <s v="19.05-0-2.3-ERW 1-PE-0.554"/>
    <s v="#REF!"/>
    <s v="Hosur"/>
    <n v="28.35719099999999"/>
    <n v="41.353167"/>
    <m/>
    <x v="2"/>
    <x v="2"/>
    <x v="0"/>
    <x v="9"/>
    <n v="554"/>
    <s v="NOS"/>
    <m/>
    <m/>
    <n v="8000"/>
    <m/>
    <n v="0"/>
    <n v="8000"/>
    <n v="4.2086392772"/>
    <n v="0"/>
    <n v="4.2086392772"/>
    <n v="0"/>
    <n v="0"/>
    <m/>
    <n v="79.22211800000001"/>
    <n v="6.015"/>
    <n v="4.2086392772"/>
    <m/>
  </r>
  <r>
    <n v="311"/>
    <s v="Hosur"/>
    <x v="12"/>
    <s v="Rajsriya Automotive Hosur"/>
    <x v="13"/>
    <n v="437150"/>
    <s v="129695|187884|188415|189239|189240-437150"/>
    <s v="PT2-O-N-AUT-AW-PE-19.05X2.300X0.555"/>
    <x v="0"/>
    <m/>
    <x v="1"/>
    <s v="HR"/>
    <m/>
    <m/>
    <m/>
    <m/>
    <x v="145"/>
    <s v="19.05-0-2.3-ERW 1--0.555"/>
    <s v="#REF!"/>
    <m/>
    <m/>
    <m/>
    <m/>
    <x v="2"/>
    <x v="2"/>
    <x v="0"/>
    <x v="9"/>
    <n v="555"/>
    <m/>
    <m/>
    <m/>
    <m/>
    <m/>
    <e v="#N/A"/>
    <e v="#N/A"/>
    <n v="0"/>
    <e v="#N/A"/>
    <e v="#N/A"/>
    <e v="#DIV/0!"/>
    <n v="0"/>
    <m/>
    <n v="0"/>
    <n v="0"/>
    <n v="0"/>
    <m/>
  </r>
  <r>
    <n v="387"/>
    <s v="Hosur"/>
    <x v="16"/>
    <s v="Rajsriya Automotive Hosur"/>
    <x v="13"/>
    <n v="1940325"/>
    <s v="129695|187884|188415|189239|189240-1940325"/>
    <s v="TUB-O-O-AUT-AW-PE-19.05X2.300X0.5700"/>
    <x v="0"/>
    <m/>
    <x v="0"/>
    <s v="HR"/>
    <m/>
    <m/>
    <m/>
    <m/>
    <x v="19"/>
    <s v="19.05-0-2.3-ERW 1-PE-0.57"/>
    <s v="#REF!"/>
    <s v="Hosur"/>
    <n v="28.35719099999999"/>
    <n v="41.353167"/>
    <m/>
    <x v="2"/>
    <x v="2"/>
    <x v="0"/>
    <x v="9"/>
    <n v="570"/>
    <s v="NOS"/>
    <m/>
    <m/>
    <n v="5000"/>
    <m/>
    <n v="4835"/>
    <n v="165"/>
    <n v="2.706367766250001"/>
    <n v="2.61705762996375"/>
    <n v="0.08931013628625051"/>
    <n v="689.3002581777256"/>
    <n v="0.3731"/>
    <m/>
    <n v="79.22211800000001"/>
    <n v="6.015"/>
    <n v="2.333267766250001"/>
    <m/>
  </r>
  <r>
    <n v="388"/>
    <s v="Hosur"/>
    <x v="16"/>
    <s v="Rajsriya Automotive Hosur"/>
    <x v="13"/>
    <n v="1940327"/>
    <s v="129695|187884|188415|189239|189240-1940327"/>
    <s v="TUB-O-O-AUT-AW-PE-19.05X2.300X0.5850"/>
    <x v="0"/>
    <m/>
    <x v="0"/>
    <s v="HR"/>
    <m/>
    <m/>
    <m/>
    <m/>
    <x v="19"/>
    <s v="19.05-0-2.3-ERW 1-PE-0.585"/>
    <n v="1"/>
    <s v="Hosur"/>
    <n v="28.35719099999999"/>
    <n v="41.353167"/>
    <m/>
    <x v="2"/>
    <x v="2"/>
    <x v="0"/>
    <x v="9"/>
    <n v="585"/>
    <s v="NOS"/>
    <m/>
    <m/>
    <n v="4000"/>
    <m/>
    <n v="7000"/>
    <n v="-3000"/>
    <n v="2.2220703765"/>
    <n v="3.888623158874999"/>
    <n v="-1.666552782374999"/>
    <n v="0"/>
    <n v="0"/>
    <m/>
    <n v="79.22211800000001"/>
    <n v="6.015"/>
    <n v="2.2220703765"/>
    <m/>
  </r>
  <r>
    <n v="389"/>
    <s v="Hosur"/>
    <x v="15"/>
    <s v="Rajsriya Automotive Hosur"/>
    <x v="13"/>
    <n v="3535743"/>
    <s v="129695|187884|188415|189239|189240-3535743"/>
    <s v="TUB-O-N-AUT-AW-PE-19.05X2.300X0.6000"/>
    <x v="0"/>
    <m/>
    <x v="0"/>
    <s v="HR"/>
    <m/>
    <m/>
    <m/>
    <m/>
    <x v="19"/>
    <s v="19.05-0-2.3-ERW 1-PE-0.6"/>
    <s v="#REF!"/>
    <s v="Hosur"/>
    <n v="28.35719099999999"/>
    <n v="41.353167"/>
    <m/>
    <x v="2"/>
    <x v="2"/>
    <x v="0"/>
    <x v="9"/>
    <n v="600"/>
    <s v="NOS"/>
    <m/>
    <m/>
    <n v="6000"/>
    <m/>
    <n v="0"/>
    <n v="6000"/>
    <n v="3.418569809999999"/>
    <n v="0"/>
    <n v="3.418569809999999"/>
    <n v="0"/>
    <n v="0"/>
    <m/>
    <n v="79.22211800000001"/>
    <n v="6.015"/>
    <n v="3.418569809999999"/>
    <m/>
  </r>
  <r>
    <n v="391"/>
    <s v="Hosur"/>
    <x v="16"/>
    <s v="Rajsriya Automotive Hosur"/>
    <x v="13"/>
    <n v="1268694"/>
    <s v="129695|187884|188415|189239|189240-1268694"/>
    <s v="TUB-O-N-AUT-AW-PE-19.05X2.300X7.00-ERW 1"/>
    <x v="0"/>
    <m/>
    <x v="0"/>
    <s v="HR"/>
    <m/>
    <m/>
    <m/>
    <m/>
    <x v="19"/>
    <s v="19.05-0-2.3-ERW 1-PE-1"/>
    <s v="#REF!"/>
    <s v="Hosur"/>
    <n v="28.35719099999999"/>
    <n v="41.353167"/>
    <m/>
    <x v="2"/>
    <x v="2"/>
    <x v="0"/>
    <x v="9"/>
    <n v="1000"/>
    <s v="M"/>
    <m/>
    <m/>
    <n v="2000"/>
    <m/>
    <n v="0"/>
    <n v="2000"/>
    <n v="1.89920545"/>
    <n v="0"/>
    <n v="1.89920545"/>
    <n v="11544.82786472628"/>
    <n v="10.963"/>
    <m/>
    <n v="79.22211800000001"/>
    <n v="6.015"/>
    <n v="-9.063794550000001"/>
    <m/>
  </r>
  <r>
    <n v="390"/>
    <s v="Hosur"/>
    <x v="12"/>
    <s v="Rajsriya Automotive Hosur"/>
    <x v="13"/>
    <n v="1268694"/>
    <s v="129695|187884|188415|189239|189240-1268694"/>
    <s v="TUB-O-N-AUT-AW-PE-19.05X2.300X7.00-ERW 1"/>
    <x v="0"/>
    <m/>
    <x v="0"/>
    <s v="HR"/>
    <m/>
    <m/>
    <m/>
    <m/>
    <x v="19"/>
    <s v="19.05-0-2.3-ERW 1-PE-1"/>
    <s v="#REF!"/>
    <s v="Hosur"/>
    <m/>
    <m/>
    <m/>
    <x v="2"/>
    <x v="2"/>
    <x v="0"/>
    <x v="9"/>
    <n v="1000"/>
    <s v="M"/>
    <m/>
    <m/>
    <m/>
    <m/>
    <n v="0"/>
    <n v="0"/>
    <n v="0"/>
    <n v="0"/>
    <n v="0"/>
    <e v="#DIV/0!"/>
    <n v="10.963"/>
    <m/>
    <n v="79.22211800000001"/>
    <n v="6.015"/>
    <n v="-10.963"/>
    <m/>
  </r>
  <r>
    <n v="312"/>
    <s v="Hosur"/>
    <x v="12"/>
    <s v="Rajsriya Automotive Hosur"/>
    <x v="13"/>
    <n v="2332783"/>
    <s v="129695|187884|188415|189239|189240-2332783"/>
    <s v="TUB-O-N-AUT-AW-PE-19.05X2.300X0.5500"/>
    <x v="0"/>
    <m/>
    <x v="1"/>
    <s v="HR"/>
    <m/>
    <m/>
    <m/>
    <m/>
    <x v="146"/>
    <s v="19.05-0-2.34-ERW 1--0.55"/>
    <s v="#REF!"/>
    <m/>
    <m/>
    <m/>
    <m/>
    <x v="2"/>
    <x v="2"/>
    <x v="0"/>
    <x v="29"/>
    <n v="550"/>
    <m/>
    <m/>
    <m/>
    <m/>
    <m/>
    <e v="#N/A"/>
    <e v="#N/A"/>
    <n v="0"/>
    <e v="#N/A"/>
    <e v="#N/A"/>
    <e v="#DIV/0!"/>
    <n v="0"/>
    <m/>
    <n v="0"/>
    <n v="0"/>
    <n v="0"/>
    <m/>
  </r>
  <r>
    <n v="395"/>
    <s v="Hosur"/>
    <x v="17"/>
    <s v="Rajsriya Automotive Hosur"/>
    <x v="13"/>
    <n v="4083986"/>
    <s v="129695|187884|188415|189239|189240-4083986"/>
    <s v="HT1-O-N-AUT-AW-PE-22.23X1.200X0.2970"/>
    <x v="0"/>
    <m/>
    <x v="0"/>
    <s v="CR"/>
    <m/>
    <m/>
    <m/>
    <m/>
    <x v="20"/>
    <s v="22.23-0-1.2-ERW 1-PE-0.297"/>
    <n v="1"/>
    <s v="Hosur"/>
    <n v="0"/>
    <n v="0.24294"/>
    <m/>
    <x v="11"/>
    <x v="11"/>
    <x v="0"/>
    <x v="2"/>
    <n v="297"/>
    <s v="NOS"/>
    <m/>
    <m/>
    <n v="8000"/>
    <m/>
    <n v="0"/>
    <n v="8000"/>
    <n v="1.477972181664"/>
    <n v="0"/>
    <n v="1.477972181664"/>
    <n v="0"/>
    <n v="0"/>
    <m/>
    <n v="0.08500000000000001"/>
    <n v="3.104"/>
    <n v="1.477972181664"/>
    <m/>
  </r>
  <r>
    <n v="315"/>
    <s v="Hosur"/>
    <x v="16"/>
    <s v="Rajsriya Automotive Hosur"/>
    <x v="13"/>
    <n v="1940360"/>
    <s v="129695|187884|188415|189239|189240-1940360"/>
    <s v="TUB-O-O-AUT-AW-PE-22.23X1.200X0.6000"/>
    <x v="0"/>
    <m/>
    <x v="0"/>
    <s v="HR"/>
    <m/>
    <m/>
    <m/>
    <m/>
    <x v="20"/>
    <s v="22.23-0-1.2-ERW 1-PE-0.6"/>
    <n v="1"/>
    <m/>
    <m/>
    <m/>
    <m/>
    <x v="11"/>
    <x v="11"/>
    <x v="0"/>
    <x v="2"/>
    <n v="600"/>
    <s v="NOS"/>
    <m/>
    <m/>
    <m/>
    <m/>
    <n v="0"/>
    <n v="0"/>
    <n v="0"/>
    <n v="0"/>
    <n v="0"/>
    <e v="#DIV/0!"/>
    <n v="0"/>
    <m/>
    <n v="0.08500000000000001"/>
    <n v="3.104"/>
    <n v="0"/>
    <m/>
  </r>
  <r>
    <n v="398"/>
    <s v="Hosur"/>
    <x v="17"/>
    <s v="Rajsriya Automotive Hosur"/>
    <x v="13"/>
    <n v="3507568"/>
    <s v="129695|187884|188415|189239|189240-3507568"/>
    <s v="CUT-O-N-AUT-AW-PE-22.20X1.200X0.6810"/>
    <x v="0"/>
    <m/>
    <x v="0"/>
    <s v="CR"/>
    <m/>
    <m/>
    <m/>
    <m/>
    <x v="20"/>
    <s v="22.23-0-1.2-ERW 1-PE-0.681"/>
    <n v="1"/>
    <s v="Hosur"/>
    <n v="0"/>
    <n v="0.24294"/>
    <m/>
    <x v="11"/>
    <x v="11"/>
    <x v="0"/>
    <x v="2"/>
    <n v="681"/>
    <s v="NOS"/>
    <m/>
    <m/>
    <n v="5000"/>
    <m/>
    <n v="0"/>
    <n v="5000"/>
    <n v="2.118053568420001"/>
    <n v="0"/>
    <n v="2.118053568420001"/>
    <n v="470.2336214956871"/>
    <n v="0.199196"/>
    <m/>
    <n v="0.08500000000000001"/>
    <n v="3.104"/>
    <n v="1.918857568420001"/>
    <m/>
  </r>
  <r>
    <n v="316"/>
    <s v="Hosur"/>
    <x v="12"/>
    <s v="Rajsriya Automotive Hosur"/>
    <x v="13"/>
    <n v="3747395"/>
    <s v="129695|187884|188415|189239|189240-3747395"/>
    <s v="PT2-O-N-AUT-AW-PE-22.20X1.600X0.361"/>
    <x v="0"/>
    <m/>
    <x v="1"/>
    <s v="HR"/>
    <m/>
    <m/>
    <m/>
    <m/>
    <x v="147"/>
    <s v="22.23-0-1.6-ERW 1--0.361"/>
    <s v="#REF!"/>
    <m/>
    <m/>
    <m/>
    <m/>
    <x v="11"/>
    <x v="11"/>
    <x v="0"/>
    <x v="0"/>
    <n v="361"/>
    <m/>
    <m/>
    <m/>
    <m/>
    <m/>
    <e v="#N/A"/>
    <e v="#N/A"/>
    <n v="0"/>
    <e v="#N/A"/>
    <e v="#N/A"/>
    <e v="#DIV/0!"/>
    <n v="0"/>
    <m/>
    <n v="0"/>
    <n v="0"/>
    <n v="0"/>
    <m/>
  </r>
  <r>
    <n v="400"/>
    <s v="Hosur"/>
    <x v="16"/>
    <s v="Rajsriya Automotive Hosur"/>
    <x v="13"/>
    <n v="1940399"/>
    <s v="129695|187884|188415|189239|189240-1940399"/>
    <s v="TUB-O-O-AUT-AW-PE-22.23X1.600X0.4010"/>
    <x v="0"/>
    <m/>
    <x v="0"/>
    <s v="CR"/>
    <s v="WG"/>
    <m/>
    <m/>
    <m/>
    <x v="21"/>
    <s v="22.23-0-1.6-ERW 1-PE-0.401"/>
    <n v="1"/>
    <s v="Hosur"/>
    <n v="0.05916199999999994"/>
    <n v="0"/>
    <m/>
    <x v="11"/>
    <x v="11"/>
    <x v="0"/>
    <x v="0"/>
    <n v="401"/>
    <s v="NOS"/>
    <m/>
    <m/>
    <n v="6000"/>
    <m/>
    <n v="8300"/>
    <n v="-2300"/>
    <n v="1.957555745952"/>
    <n v="2.7079521152336"/>
    <n v="-0.7503963692816"/>
    <n v="73.75728650311466"/>
    <n v="0.024064"/>
    <m/>
    <n v="10.773162"/>
    <n v="0"/>
    <n v="1.933491745952"/>
    <m/>
  </r>
  <r>
    <n v="402"/>
    <s v="Hosur"/>
    <x v="16"/>
    <s v="Rajsriya Automotive Hosur"/>
    <x v="13"/>
    <n v="3556680"/>
    <s v="129695|187884|188415|189239|189240-3556680"/>
    <s v="TUB-N-AUT-AW-PE-22.20X1.600X0.6400"/>
    <x v="0"/>
    <m/>
    <x v="0"/>
    <s v="CR"/>
    <s v="GR1"/>
    <m/>
    <m/>
    <m/>
    <x v="21"/>
    <s v="22.23-0-1.6-ERW 1-PE-0.64"/>
    <n v="1"/>
    <s v="Hosur"/>
    <n v="0.05916199999999994"/>
    <n v="0"/>
    <m/>
    <x v="11"/>
    <x v="11"/>
    <x v="0"/>
    <x v="0"/>
    <n v="640"/>
    <s v="NOS"/>
    <m/>
    <m/>
    <n v="12000"/>
    <m/>
    <n v="3025"/>
    <n v="8975"/>
    <n v="6.248556994559999"/>
    <n v="1.575157075712"/>
    <n v="4.673399918847999"/>
    <n v="17.07274176947985"/>
    <n v="0.00889"/>
    <m/>
    <n v="10.773162"/>
    <n v="0"/>
    <n v="6.239666994559999"/>
    <m/>
  </r>
  <r>
    <n v="405"/>
    <s v="Hosur"/>
    <x v="13"/>
    <s v="Rajsriya Automotive Hosur"/>
    <x v="13"/>
    <n v="1940420"/>
    <s v="129695|187884|188415|189239|189240-1940420"/>
    <s v="TUB-O-O-AUT-AW-PE-22.23X1.600X1.1750"/>
    <x v="0"/>
    <m/>
    <x v="0"/>
    <s v="CR"/>
    <s v="GR1"/>
    <m/>
    <m/>
    <m/>
    <x v="21"/>
    <s v="22.23-0-1.6-ERW 1-PE-1.175"/>
    <n v="1"/>
    <s v="Hosur"/>
    <n v="0.05916199999999994"/>
    <n v="0"/>
    <m/>
    <x v="11"/>
    <x v="11"/>
    <x v="0"/>
    <x v="0"/>
    <n v="1175"/>
    <s v="NOS"/>
    <m/>
    <m/>
    <n v="15000"/>
    <m/>
    <n v="2077"/>
    <n v="12923"/>
    <n v="14.339950134"/>
    <n v="1.9856050952212"/>
    <n v="12.3543450387788"/>
    <n v="64.01800504336397"/>
    <n v="0.061201"/>
    <m/>
    <n v="10.773162"/>
    <n v="0"/>
    <n v="14.278749134"/>
    <m/>
  </r>
  <r>
    <n v="406"/>
    <s v="Hosur"/>
    <x v="16"/>
    <s v="Rajsriya Automotive Hosur"/>
    <x v="13"/>
    <n v="3509824"/>
    <s v="129695|187884|188415|189239|189240-3509824"/>
    <s v="CUT-O-N-AUT-AW-PE-22.20X1.600X1.2100"/>
    <x v="0"/>
    <m/>
    <x v="0"/>
    <s v="CR"/>
    <s v=""/>
    <m/>
    <m/>
    <m/>
    <x v="21"/>
    <s v="22.23-0-1.6-ERW 1-PE-1.21"/>
    <n v="1"/>
    <s v="Hosur"/>
    <n v="0.05916199999999994"/>
    <n v="0"/>
    <m/>
    <x v="11"/>
    <x v="11"/>
    <x v="0"/>
    <x v="0"/>
    <n v="1210"/>
    <s v="NOS"/>
    <m/>
    <m/>
    <n v="6000"/>
    <m/>
    <n v="0"/>
    <n v="6000"/>
    <n v="5.90683903392"/>
    <n v="0"/>
    <n v="5.90683903392"/>
    <n v="3.904626462233874"/>
    <n v="0.003844"/>
    <m/>
    <n v="10.773162"/>
    <n v="0"/>
    <n v="5.90299503392"/>
    <m/>
  </r>
  <r>
    <n v="408"/>
    <s v="Hosur"/>
    <x v="16"/>
    <s v="Rajsriya Automotive Hosur"/>
    <x v="13"/>
    <n v="1940430"/>
    <s v="129695|187884|188415|189239|189240-1940430"/>
    <s v="TUB-O-O-AUT-AW-PE-22.23X2.000X0.2200"/>
    <x v="0"/>
    <m/>
    <x v="0"/>
    <s v="HR"/>
    <m/>
    <m/>
    <m/>
    <m/>
    <x v="49"/>
    <s v="22.23-0-2-ERW 1-PE-0.22"/>
    <n v="2"/>
    <s v="Hosur"/>
    <n v="5.503906"/>
    <n v="1.047"/>
    <m/>
    <x v="11"/>
    <x v="11"/>
    <x v="0"/>
    <x v="8"/>
    <n v="220"/>
    <s v="NOS"/>
    <m/>
    <m/>
    <n v="10000"/>
    <m/>
    <n v="0"/>
    <n v="10000"/>
    <n v="2.194056788"/>
    <n v="0"/>
    <n v="2.194056788"/>
    <n v="75.24417822862659"/>
    <n v="0.016509"/>
    <m/>
    <n v="11.690147"/>
    <n v="1.629"/>
    <n v="2.177547788"/>
    <m/>
  </r>
  <r>
    <n v="409"/>
    <s v="Hosur"/>
    <x v="13"/>
    <s v="Rajsriya Automotive Hosur"/>
    <x v="13"/>
    <n v="1905990"/>
    <s v="129695|187884|188415|189239|189240-1905990"/>
    <s v="TUB-O-N-AUT-AW-PE-22.23X2.000X0.2360"/>
    <x v="0"/>
    <m/>
    <x v="0"/>
    <s v="HR"/>
    <m/>
    <m/>
    <m/>
    <m/>
    <x v="49"/>
    <s v="22.23-0-2-ERW 1-PE-0.236"/>
    <s v="#REF!"/>
    <s v="Hosur"/>
    <n v="5.503906"/>
    <n v="1.047"/>
    <m/>
    <x v="11"/>
    <x v="11"/>
    <x v="0"/>
    <x v="8"/>
    <n v="236"/>
    <s v="NOS"/>
    <m/>
    <m/>
    <n v="8000"/>
    <m/>
    <n v="0"/>
    <n v="8000"/>
    <n v="1.88289964352"/>
    <n v="0"/>
    <n v="1.88289964352"/>
    <n v="0"/>
    <n v="0"/>
    <m/>
    <n v="11.690147"/>
    <n v="1.629"/>
    <n v="1.88289964352"/>
    <m/>
  </r>
  <r>
    <n v="319"/>
    <s v="Hosur"/>
    <x v="12"/>
    <s v="Rajsriya Automotive Hosur"/>
    <x v="13"/>
    <n v="1174856"/>
    <s v="129695|187884|188415|189239|189240-1174856"/>
    <s v="TUB-O-N-AUT-AW-FC-22.20X2.000X0.505"/>
    <x v="0"/>
    <m/>
    <x v="1"/>
    <s v="HR"/>
    <m/>
    <m/>
    <m/>
    <m/>
    <x v="22"/>
    <s v="22.23-0-2-ERW 1--0.505"/>
    <s v="#REF!"/>
    <m/>
    <m/>
    <m/>
    <m/>
    <x v="11"/>
    <x v="11"/>
    <x v="0"/>
    <x v="8"/>
    <n v="505"/>
    <m/>
    <m/>
    <m/>
    <m/>
    <m/>
    <e v="#N/A"/>
    <e v="#N/A"/>
    <n v="0"/>
    <e v="#N/A"/>
    <e v="#N/A"/>
    <e v="#DIV/0!"/>
    <n v="0"/>
    <m/>
    <n v="0"/>
    <n v="0"/>
    <n v="0"/>
    <m/>
  </r>
  <r>
    <n v="320"/>
    <s v="Hosur"/>
    <x v="12"/>
    <s v="Rajsriya Automotive Hosur"/>
    <x v="13"/>
    <n v="1140411"/>
    <s v="129695|187884|188415|189239|189240-1140411"/>
    <s v="PT2-O-N-AUT-AW-PE-22.20X2.000X0.851"/>
    <x v="0"/>
    <m/>
    <x v="1"/>
    <s v="HR"/>
    <m/>
    <m/>
    <m/>
    <m/>
    <x v="22"/>
    <s v="22.23-0-2-ERW 1--0.851"/>
    <s v="#REF!"/>
    <m/>
    <m/>
    <m/>
    <m/>
    <x v="11"/>
    <x v="11"/>
    <x v="0"/>
    <x v="8"/>
    <n v="851"/>
    <m/>
    <m/>
    <m/>
    <m/>
    <m/>
    <e v="#N/A"/>
    <e v="#N/A"/>
    <n v="0"/>
    <e v="#N/A"/>
    <e v="#N/A"/>
    <e v="#DIV/0!"/>
    <n v="0"/>
    <m/>
    <n v="0"/>
    <n v="0"/>
    <n v="0"/>
    <m/>
  </r>
  <r>
    <n v="321"/>
    <s v="Hosur"/>
    <x v="12"/>
    <s v="Rajsriya Automotive Hosur"/>
    <x v="13"/>
    <n v="1361680"/>
    <s v="129695|187884|188415|189239|189240-1361680"/>
    <s v="TUB-O-N-AUT-AW-PE-22.20X2.000X0.8620"/>
    <x v="0"/>
    <m/>
    <x v="1"/>
    <s v="HR"/>
    <m/>
    <m/>
    <m/>
    <m/>
    <x v="22"/>
    <s v="22.23-0-2-ERW 1--0.862"/>
    <s v="#REF!"/>
    <m/>
    <m/>
    <m/>
    <m/>
    <x v="11"/>
    <x v="11"/>
    <x v="0"/>
    <x v="8"/>
    <n v="862"/>
    <m/>
    <m/>
    <m/>
    <m/>
    <m/>
    <e v="#N/A"/>
    <e v="#N/A"/>
    <n v="0"/>
    <e v="#N/A"/>
    <e v="#N/A"/>
    <e v="#DIV/0!"/>
    <n v="0"/>
    <m/>
    <n v="0"/>
    <n v="0"/>
    <n v="0"/>
    <m/>
  </r>
  <r>
    <n v="416"/>
    <s v="Hosur"/>
    <x v="16"/>
    <s v="Rajsriya Automotive Hosur"/>
    <x v="13"/>
    <n v="2420106"/>
    <s v="129695|187884|188415|189239|189240-2420106"/>
    <s v="TUB-O-N-AUT-AW-PE-22.23X2.000X1.3250"/>
    <x v="0"/>
    <m/>
    <x v="0"/>
    <s v="HR"/>
    <m/>
    <m/>
    <m/>
    <m/>
    <x v="49"/>
    <s v="22.23-0-2-ERW 1-PE-1.325"/>
    <n v="1"/>
    <s v="Hosur"/>
    <n v="5.503906"/>
    <n v="1.047"/>
    <m/>
    <x v="11"/>
    <x v="11"/>
    <x v="0"/>
    <x v="8"/>
    <n v="1325"/>
    <s v="NOS"/>
    <m/>
    <m/>
    <n v="3000"/>
    <m/>
    <n v="2340"/>
    <n v="660"/>
    <n v="3.9642616965"/>
    <n v="3.09212412327"/>
    <n v="0.8721375732299999"/>
    <n v="65.25553048841209"/>
    <n v="0.08623"/>
    <m/>
    <n v="11.690147"/>
    <n v="1.629"/>
    <n v="3.8780316965"/>
    <m/>
  </r>
  <r>
    <n v="322"/>
    <s v="Hosur"/>
    <x v="12"/>
    <s v="Rajsriya Automotive Hosur"/>
    <x v="13"/>
    <n v="1940500"/>
    <s v="129695|187884|188415|189239|189240-1940500"/>
    <s v="TUB-O-O-AUT-AW-PE-22.23X2.300X0.3500"/>
    <x v="0"/>
    <m/>
    <x v="0"/>
    <s v="HR"/>
    <m/>
    <m/>
    <m/>
    <m/>
    <x v="24"/>
    <s v="22.23-0-2.3-ERW 1-PE-0.35"/>
    <s v="#REF!"/>
    <m/>
    <m/>
    <m/>
    <m/>
    <x v="11"/>
    <x v="11"/>
    <x v="0"/>
    <x v="9"/>
    <n v="350"/>
    <m/>
    <m/>
    <m/>
    <m/>
    <m/>
    <e v="#N/A"/>
    <e v="#N/A"/>
    <n v="0"/>
    <e v="#N/A"/>
    <e v="#N/A"/>
    <e v="#DIV/0!"/>
    <n v="0"/>
    <m/>
    <n v="6.810974"/>
    <n v="0"/>
    <n v="0"/>
    <m/>
  </r>
  <r>
    <n v="397"/>
    <s v="Hosur"/>
    <x v="16"/>
    <s v="Rajsriya Automotive Hosur"/>
    <x v="13"/>
    <n v="3087645"/>
    <s v="129695|187884|188415|189239|189240-3087645"/>
    <s v="PT2-O-N-AUT-AW-PE-22.20X2.300X0.4250"/>
    <x v="0"/>
    <m/>
    <x v="0"/>
    <s v="HR"/>
    <m/>
    <m/>
    <m/>
    <m/>
    <x v="24"/>
    <s v="22.23-0-2.3-ERW 1-PE-0.425"/>
    <s v="#REF!"/>
    <m/>
    <m/>
    <m/>
    <m/>
    <x v="11"/>
    <x v="11"/>
    <x v="0"/>
    <x v="9"/>
    <n v="425"/>
    <s v="NOS"/>
    <m/>
    <m/>
    <m/>
    <m/>
    <n v="0"/>
    <n v="0"/>
    <n v="0"/>
    <n v="0"/>
    <n v="0"/>
    <e v="#DIV/0!"/>
    <n v="0"/>
    <m/>
    <n v="6.810974"/>
    <n v="0"/>
    <n v="0"/>
    <m/>
  </r>
  <r>
    <n v="323"/>
    <s v="Hosur"/>
    <x v="12"/>
    <s v="Rajsriya Automotive Hosur"/>
    <x v="13"/>
    <n v="1940504"/>
    <s v="129695|187884|188415|189239|189240-1940504"/>
    <s v="TUB-O-O-AUT-AW-PE-22.23X2.300X0.4990"/>
    <x v="0"/>
    <m/>
    <x v="0"/>
    <s v="HR"/>
    <m/>
    <m/>
    <m/>
    <m/>
    <x v="24"/>
    <s v="22.23-0-2.3-ERW 1-PE-0.499"/>
    <s v="#REF!"/>
    <m/>
    <m/>
    <m/>
    <m/>
    <x v="11"/>
    <x v="11"/>
    <x v="0"/>
    <x v="9"/>
    <n v="499"/>
    <m/>
    <m/>
    <m/>
    <m/>
    <m/>
    <e v="#N/A"/>
    <e v="#N/A"/>
    <n v="0"/>
    <e v="#N/A"/>
    <e v="#N/A"/>
    <e v="#DIV/0!"/>
    <n v="0"/>
    <m/>
    <n v="6.810974"/>
    <n v="0"/>
    <n v="0"/>
    <m/>
  </r>
  <r>
    <n v="419"/>
    <s v="Hosur"/>
    <x v="13"/>
    <s v="Rajsriya Automotive Hosur"/>
    <x v="13"/>
    <n v="1940510"/>
    <s v="129695|187884|188415|189239|189240-1940510"/>
    <s v="TUB-O-O-AUT-AW-PE-22.23X2.300X6.0000"/>
    <x v="0"/>
    <m/>
    <x v="0"/>
    <s v="HR"/>
    <m/>
    <m/>
    <m/>
    <m/>
    <x v="24"/>
    <s v="22.23-0-2.3-ERW 1-PE-1"/>
    <n v="2"/>
    <s v="Hosur"/>
    <n v="6.810974000000001"/>
    <n v="0"/>
    <m/>
    <x v="11"/>
    <x v="11"/>
    <x v="0"/>
    <x v="9"/>
    <n v="1000"/>
    <s v="M"/>
    <m/>
    <m/>
    <n v="6000"/>
    <m/>
    <n v="0"/>
    <n v="6000"/>
    <n v="6.779313065999999"/>
    <n v="0"/>
    <n v="6.779313065999999"/>
    <n v="0"/>
    <n v="0"/>
    <m/>
    <n v="6.810974"/>
    <n v="0"/>
    <n v="6.779313065999999"/>
    <m/>
  </r>
  <r>
    <n v="324"/>
    <s v="Hosur"/>
    <x v="12"/>
    <s v="Rajsriya Automotive Hosur"/>
    <x v="13"/>
    <n v="1119129"/>
    <s v="129695|187884|188415|189239|189240-1119129"/>
    <s v="PT2-O-N-AUT-AW-PE-25.40X1.600X0.360"/>
    <x v="0"/>
    <m/>
    <x v="0"/>
    <s v="HR"/>
    <m/>
    <m/>
    <m/>
    <m/>
    <x v="5"/>
    <s v="25.4-0-1.6-ERW 1-PE-0.36"/>
    <s v="#REF!"/>
    <m/>
    <m/>
    <m/>
    <m/>
    <x v="3"/>
    <x v="3"/>
    <x v="0"/>
    <x v="0"/>
    <n v="360"/>
    <m/>
    <m/>
    <m/>
    <m/>
    <m/>
    <e v="#N/A"/>
    <e v="#N/A"/>
    <n v="0"/>
    <e v="#N/A"/>
    <e v="#N/A"/>
    <e v="#DIV/0!"/>
    <n v="0"/>
    <m/>
    <n v="0"/>
    <n v="3.646"/>
    <n v="0"/>
    <m/>
  </r>
  <r>
    <m/>
    <s v="Hosur"/>
    <x v="14"/>
    <s v="Rajsriya Automotive Hosur"/>
    <x v="13"/>
    <m/>
    <s v="129695|187884|188415|189239|189240-"/>
    <m/>
    <x v="0"/>
    <m/>
    <x v="2"/>
    <m/>
    <m/>
    <m/>
    <m/>
    <m/>
    <x v="1"/>
    <m/>
    <m/>
    <m/>
    <n v="0"/>
    <m/>
    <m/>
    <x v="3"/>
    <x v="3"/>
    <x v="0"/>
    <x v="8"/>
    <n v="213"/>
    <s v="NOS"/>
    <m/>
    <m/>
    <n v="3000"/>
    <m/>
    <n v="0"/>
    <n v="3000"/>
    <n v="0.7371332748"/>
    <n v="0"/>
    <n v="0.7371332748"/>
    <n v="0"/>
    <n v="0"/>
    <m/>
    <n v="0"/>
    <n v="0"/>
    <n v="0.7371332748"/>
    <m/>
  </r>
  <r>
    <m/>
    <s v="Hosur"/>
    <x v="14"/>
    <s v="Rajsriya Automotive Hosur"/>
    <x v="13"/>
    <m/>
    <s v="129695|187884|188415|189239|189240-"/>
    <m/>
    <x v="0"/>
    <m/>
    <x v="2"/>
    <m/>
    <m/>
    <m/>
    <m/>
    <m/>
    <x v="1"/>
    <m/>
    <m/>
    <m/>
    <n v="0"/>
    <m/>
    <m/>
    <x v="3"/>
    <x v="3"/>
    <x v="0"/>
    <x v="8"/>
    <n v="310"/>
    <s v="NOS"/>
    <m/>
    <m/>
    <n v="3000"/>
    <m/>
    <n v="0"/>
    <n v="3000"/>
    <n v="1.072823076"/>
    <n v="0"/>
    <n v="1.072823076"/>
    <n v="0"/>
    <n v="0"/>
    <m/>
    <n v="0"/>
    <n v="0"/>
    <n v="1.072823076"/>
    <m/>
  </r>
  <r>
    <m/>
    <s v="Hosur"/>
    <x v="14"/>
    <s v="Rajsriya Automotive Hosur"/>
    <x v="13"/>
    <m/>
    <s v="129695|187884|188415|189239|189240-"/>
    <m/>
    <x v="0"/>
    <m/>
    <x v="2"/>
    <m/>
    <m/>
    <m/>
    <m/>
    <m/>
    <x v="25"/>
    <s v="25.4-0-2-ERW 1-FC-0.323"/>
    <m/>
    <m/>
    <n v="10.051"/>
    <n v="0"/>
    <m/>
    <x v="3"/>
    <x v="3"/>
    <x v="0"/>
    <x v="8"/>
    <n v="323"/>
    <s v="NOS"/>
    <m/>
    <m/>
    <n v="10000"/>
    <m/>
    <n v="0"/>
    <n v="10000"/>
    <n v="3.726041436"/>
    <n v="0"/>
    <n v="3.726041436"/>
    <n v="0"/>
    <n v="0"/>
    <m/>
    <n v="10.739"/>
    <n v="25.931"/>
    <n v="3.726041436"/>
    <m/>
  </r>
  <r>
    <m/>
    <s v="Hosur"/>
    <x v="14"/>
    <s v="Rajsriya Automotive Hosur"/>
    <x v="13"/>
    <m/>
    <s v="129695|187884|188415|189239|189240-"/>
    <m/>
    <x v="0"/>
    <m/>
    <x v="2"/>
    <m/>
    <m/>
    <m/>
    <m/>
    <m/>
    <x v="25"/>
    <s v="25.4-0-2-ERW 1-FC-0.355"/>
    <m/>
    <m/>
    <n v="10.051"/>
    <n v="0"/>
    <m/>
    <x v="3"/>
    <x v="3"/>
    <x v="0"/>
    <x v="8"/>
    <n v="355"/>
    <s v="NOS"/>
    <m/>
    <m/>
    <n v="10000"/>
    <m/>
    <n v="0"/>
    <n v="10000"/>
    <n v="4.09518486"/>
    <n v="0"/>
    <n v="4.09518486"/>
    <n v="5.005879026423242"/>
    <n v="0.00205"/>
    <m/>
    <n v="10.739"/>
    <n v="25.931"/>
    <n v="4.09313486"/>
    <m/>
  </r>
  <r>
    <n v="423"/>
    <s v="Hosur"/>
    <x v="16"/>
    <s v="Rajsriya Automotive Hosur"/>
    <x v="13"/>
    <s v="NEW SIZE"/>
    <s v="129695|187884|188415|189239|189240-NEW SIZE"/>
    <m/>
    <x v="0"/>
    <m/>
    <x v="0"/>
    <s v="HR"/>
    <m/>
    <m/>
    <m/>
    <m/>
    <x v="122"/>
    <s v="25.4-0-2-ERW 1-PE-0.567"/>
    <n v="1"/>
    <s v="Hosur"/>
    <n v="1.14823"/>
    <n v="2.985"/>
    <m/>
    <x v="3"/>
    <x v="3"/>
    <x v="0"/>
    <x v="8"/>
    <n v="567"/>
    <s v="NOS"/>
    <m/>
    <m/>
    <n v="10000"/>
    <m/>
    <n v="0"/>
    <n v="10000"/>
    <n v="6.540760044000001"/>
    <n v="0"/>
    <n v="6.540760044000001"/>
    <n v="0"/>
    <n v="0"/>
    <m/>
    <n v="4.13323"/>
    <n v="5.56"/>
    <n v="6.540760044000001"/>
    <m/>
  </r>
  <r>
    <n v="454"/>
    <s v="Hosur"/>
    <x v="12"/>
    <s v="Rajsriya Automotive Hosur"/>
    <x v="13"/>
    <s v="NEW SIZE"/>
    <s v="129695|187884|188415|189239|189240-NEW SIZE"/>
    <m/>
    <x v="0"/>
    <m/>
    <x v="2"/>
    <s v="HR"/>
    <m/>
    <m/>
    <m/>
    <m/>
    <x v="25"/>
    <s v="25.4-0-2-ERW 1-FC-0.66"/>
    <s v="#REF!"/>
    <s v="Hosur"/>
    <s v="Plan"/>
    <m/>
    <m/>
    <x v="3"/>
    <x v="3"/>
    <x v="0"/>
    <x v="8"/>
    <n v="660"/>
    <s v="NOS"/>
    <m/>
    <m/>
    <m/>
    <m/>
    <n v="0"/>
    <n v="0"/>
    <n v="0"/>
    <n v="0"/>
    <n v="0"/>
    <e v="#DIV/0!"/>
    <n v="0"/>
    <m/>
    <n v="10.739"/>
    <n v="25.931"/>
    <n v="0"/>
    <m/>
  </r>
  <r>
    <n v="329"/>
    <s v="Hosur"/>
    <x v="12"/>
    <s v="Rajsriya Automotive Hosur"/>
    <x v="13"/>
    <n v="1140302"/>
    <s v="129695|187884|188415|189239|189240-1140302"/>
    <s v="PT2-O-N-AUT-AW-PE-25.40X2.600X0.360"/>
    <x v="0"/>
    <m/>
    <x v="1"/>
    <s v="HR"/>
    <m/>
    <m/>
    <m/>
    <m/>
    <x v="148"/>
    <s v="25.4-0-2.6-ERW 1--0.36"/>
    <s v="#REF!"/>
    <m/>
    <m/>
    <m/>
    <m/>
    <x v="3"/>
    <x v="3"/>
    <x v="0"/>
    <x v="14"/>
    <n v="360"/>
    <m/>
    <m/>
    <m/>
    <m/>
    <m/>
    <e v="#N/A"/>
    <e v="#N/A"/>
    <n v="0"/>
    <e v="#N/A"/>
    <e v="#N/A"/>
    <e v="#DIV/0!"/>
    <n v="0"/>
    <m/>
    <n v="0"/>
    <n v="0"/>
    <n v="0"/>
    <m/>
  </r>
  <r>
    <n v="401"/>
    <s v="Hosur"/>
    <x v="17"/>
    <s v="Rajsriya Automotive Hosur"/>
    <x v="13"/>
    <m/>
    <s v="129695|187884|188415|189239|189240-"/>
    <m/>
    <x v="0"/>
    <m/>
    <x v="2"/>
    <s v="CR"/>
    <m/>
    <m/>
    <m/>
    <m/>
    <x v="124"/>
    <s v="31.75-0-1.2-ERW 1-FC-0.598"/>
    <n v="1"/>
    <m/>
    <n v="0"/>
    <n v="0"/>
    <m/>
    <x v="10"/>
    <x v="10"/>
    <x v="0"/>
    <x v="2"/>
    <n v="598"/>
    <s v="NOS"/>
    <m/>
    <m/>
    <n v="5000"/>
    <m/>
    <n v="1723"/>
    <n v="3277"/>
    <n v="2.7018606966"/>
    <n v="0.9310611960483601"/>
    <n v="1.77079950055164"/>
    <n v="1057.689615010923"/>
    <n v="0.571546"/>
    <m/>
    <n v="0"/>
    <n v="0"/>
    <n v="2.1303146966"/>
    <m/>
  </r>
  <r>
    <n v="463"/>
    <s v="Hosur"/>
    <x v="16"/>
    <s v="Rajsriya Automotive Hosur"/>
    <x v="13"/>
    <n v="3171772"/>
    <s v="129695|187884|188415|189239|189240-3171772"/>
    <s v="TUB-O-N-AUT-AW-PE-31.75X1.200X6.0000"/>
    <x v="0"/>
    <m/>
    <x v="2"/>
    <s v="CR"/>
    <m/>
    <m/>
    <m/>
    <m/>
    <x v="124"/>
    <s v="31.75-0-1.2-ERW 1-FC-1"/>
    <s v="#REF!"/>
    <m/>
    <n v="0"/>
    <n v="0"/>
    <m/>
    <x v="10"/>
    <x v="10"/>
    <x v="0"/>
    <x v="2"/>
    <n v="1000"/>
    <s v="M"/>
    <m/>
    <m/>
    <n v="3000"/>
    <m/>
    <n v="0"/>
    <n v="3000"/>
    <n v="2.71089702"/>
    <n v="0"/>
    <n v="2.71089702"/>
    <n v="0"/>
    <n v="0"/>
    <m/>
    <n v="0"/>
    <n v="0"/>
    <n v="2.71089702"/>
    <m/>
  </r>
  <r>
    <n v="466"/>
    <s v="Hosur"/>
    <x v="13"/>
    <s v="Rajsriya Automotive Hosur"/>
    <x v="13"/>
    <n v="1940686"/>
    <s v="129695|187884|188415|189239|189240-1940686"/>
    <s v="TUB-O-O-AUT-AW-FC-31.75X2.500X6.0000"/>
    <x v="0"/>
    <m/>
    <x v="2"/>
    <s v="HR"/>
    <m/>
    <m/>
    <m/>
    <m/>
    <x v="149"/>
    <s v="31.75-0-2.5-ERW 1-FC-1"/>
    <n v="2"/>
    <s v="Hosur"/>
    <n v="0.6083809999999999"/>
    <n v="4.431300999999999"/>
    <m/>
    <x v="10"/>
    <x v="10"/>
    <x v="0"/>
    <x v="10"/>
    <n v="1000"/>
    <s v="M"/>
    <m/>
    <m/>
    <n v="15000"/>
    <m/>
    <n v="0"/>
    <n v="15000"/>
    <n v="27.036871875"/>
    <n v="0"/>
    <n v="27.036871875"/>
    <n v="0"/>
    <n v="0"/>
    <m/>
    <n v="5.039682"/>
    <n v="0"/>
    <n v="27.036871875"/>
    <m/>
  </r>
  <r>
    <n v="334"/>
    <s v="Hosur"/>
    <x v="12"/>
    <s v="Rajsriya Automotive Hosur"/>
    <x v="13"/>
    <n v="1940745"/>
    <s v="129695|187884|188415|189239|189240-1940745"/>
    <s v="TUB-O-O-AUT-AW-FC-38.10X2.000X0.9270"/>
    <x v="0"/>
    <m/>
    <x v="1"/>
    <s v="HR"/>
    <m/>
    <m/>
    <m/>
    <m/>
    <x v="90"/>
    <s v="38.1-0-2-ERW 1--0.927"/>
    <s v="#REF!"/>
    <m/>
    <m/>
    <m/>
    <m/>
    <x v="14"/>
    <x v="30"/>
    <x v="0"/>
    <x v="8"/>
    <n v="927"/>
    <m/>
    <m/>
    <m/>
    <m/>
    <m/>
    <e v="#N/A"/>
    <e v="#N/A"/>
    <n v="0"/>
    <e v="#N/A"/>
    <e v="#N/A"/>
    <e v="#DIV/0!"/>
    <n v="0"/>
    <m/>
    <n v="0"/>
    <n v="0"/>
    <n v="0"/>
    <m/>
  </r>
  <r>
    <m/>
    <s v="Hosur"/>
    <x v="14"/>
    <s v="Rajsriya Automotive Hosur"/>
    <x v="13"/>
    <m/>
    <s v="129695|187884|188415|189239|189240-"/>
    <m/>
    <x v="0"/>
    <m/>
    <x v="2"/>
    <m/>
    <m/>
    <m/>
    <m/>
    <m/>
    <x v="1"/>
    <m/>
    <m/>
    <m/>
    <n v="0"/>
    <m/>
    <m/>
    <x v="15"/>
    <x v="15"/>
    <x v="3"/>
    <x v="0"/>
    <n v="647"/>
    <s v="NOS"/>
    <m/>
    <m/>
    <n v="8000"/>
    <m/>
    <n v="0"/>
    <n v="8000"/>
    <n v="8.100003725312"/>
    <n v="0"/>
    <n v="8.100003725312"/>
    <n v="0"/>
    <n v="0"/>
    <m/>
    <n v="0"/>
    <n v="0"/>
    <n v="8.100003725312"/>
    <m/>
  </r>
  <r>
    <n v="335"/>
    <s v="Hosur"/>
    <x v="12"/>
    <s v="Rajsriya Automotive Hosur"/>
    <x v="13"/>
    <n v="3087646"/>
    <s v="129695|187884|188415|189239|189240-3087646"/>
    <s v="PT4-O-N-AUT-AW-FC-41.28X2.600X0.8480"/>
    <x v="0"/>
    <m/>
    <x v="2"/>
    <s v="HR"/>
    <m/>
    <m/>
    <m/>
    <m/>
    <x v="150"/>
    <s v="41.28-0-2.6-ERW 1-FC-0.848"/>
    <s v="#REF!"/>
    <m/>
    <m/>
    <m/>
    <m/>
    <x v="15"/>
    <x v="32"/>
    <x v="0"/>
    <x v="14"/>
    <n v="848"/>
    <m/>
    <m/>
    <m/>
    <m/>
    <m/>
    <e v="#N/A"/>
    <e v="#N/A"/>
    <n v="0"/>
    <e v="#N/A"/>
    <e v="#N/A"/>
    <e v="#DIV/0!"/>
    <n v="0"/>
    <m/>
    <n v="0"/>
    <n v="0"/>
    <n v="0"/>
    <m/>
  </r>
  <r>
    <n v="476"/>
    <s v="Khopoli "/>
    <x v="14"/>
    <s v="Rajsriya Automotive Hosur"/>
    <x v="13"/>
    <n v="3605867"/>
    <s v="129695|187884|188415|189239|189240-3605867"/>
    <s v="TUB-O-N-AUT-AW-FC-41.28X3.200X0.2350"/>
    <x v="0"/>
    <m/>
    <x v="2"/>
    <s v="HR"/>
    <m/>
    <s v="Chamferring"/>
    <m/>
    <m/>
    <x v="91"/>
    <s v="41.28-0-3.2-ERW 1-FC-0.23"/>
    <n v="1"/>
    <s v="Hosur"/>
    <n v="0"/>
    <n v="0"/>
    <m/>
    <x v="15"/>
    <x v="32"/>
    <x v="0"/>
    <x v="13"/>
    <n v="230"/>
    <s v="NOS"/>
    <m/>
    <m/>
    <n v="10000"/>
    <m/>
    <n v="11196"/>
    <n v="-1196"/>
    <n v="6.908345651200001"/>
    <n v="7.734583791083521"/>
    <n v="-0.8262381398835199"/>
    <n v="59.24862777080379"/>
    <n v="0.040931"/>
    <m/>
    <n v="0"/>
    <n v="7.141"/>
    <n v="6.867414651200002"/>
    <m/>
  </r>
  <r>
    <n v="336"/>
    <s v="Hosur"/>
    <x v="12"/>
    <s v="Rajsriya Automotive Hosur"/>
    <x v="13"/>
    <n v="3605867"/>
    <s v="129695|187884|188415|189239|189240-3605867"/>
    <s v="TUB-O-N-AUT-AW-FC-41.28X3.200X0.2350"/>
    <x v="0"/>
    <m/>
    <x v="1"/>
    <s v="HR"/>
    <m/>
    <m/>
    <m/>
    <m/>
    <x v="151"/>
    <s v="41.28-0-3.2-ERW 1--0.235"/>
    <s v="#REF!"/>
    <m/>
    <m/>
    <m/>
    <m/>
    <x v="15"/>
    <x v="32"/>
    <x v="0"/>
    <x v="13"/>
    <n v="235"/>
    <m/>
    <m/>
    <m/>
    <m/>
    <m/>
    <e v="#N/A"/>
    <e v="#N/A"/>
    <n v="0"/>
    <e v="#N/A"/>
    <e v="#N/A"/>
    <e v="#DIV/0!"/>
    <n v="0"/>
    <m/>
    <n v="0"/>
    <n v="0"/>
    <n v="0"/>
    <m/>
  </r>
  <r>
    <n v="337"/>
    <s v="Hosur"/>
    <x v="12"/>
    <s v="Rajsriya Automotive Hosur"/>
    <x v="13"/>
    <n v="1511515"/>
    <s v="129695|187884|188415|189239|189240-1511515"/>
    <s v="TUB-O-N-AUT-BH-FC-42.70X4.000X0.2080"/>
    <x v="0"/>
    <s v="Annealed"/>
    <x v="1"/>
    <s v="HR"/>
    <m/>
    <m/>
    <m/>
    <m/>
    <x v="56"/>
    <s v="42.7-0-4-ERW 1--0.208"/>
    <s v="#REF!"/>
    <m/>
    <m/>
    <m/>
    <m/>
    <x v="16"/>
    <x v="16"/>
    <x v="0"/>
    <x v="11"/>
    <n v="208"/>
    <m/>
    <m/>
    <m/>
    <m/>
    <m/>
    <e v="#N/A"/>
    <e v="#N/A"/>
    <n v="0"/>
    <e v="#N/A"/>
    <e v="#N/A"/>
    <e v="#DIV/0!"/>
    <n v="0"/>
    <m/>
    <n v="0"/>
    <n v="0"/>
    <n v="0"/>
    <m/>
  </r>
  <r>
    <n v="482"/>
    <s v="Khopoli "/>
    <x v="14"/>
    <s v="Rajsriya Automotive Hosur"/>
    <x v="13"/>
    <n v="1938358"/>
    <s v="129695|187884|188415|189239|189240-1938358"/>
    <s v="TUB-O-N-AUT-AN-FC-42.70X4.000X0.2540"/>
    <x v="0"/>
    <s v="Annealed"/>
    <x v="2"/>
    <s v="HR"/>
    <m/>
    <s v="Chamferring"/>
    <m/>
    <m/>
    <x v="35"/>
    <s v="42.7-0-4-ERW 1-FC-0.254"/>
    <n v="2"/>
    <s v="Khopoli"/>
    <n v="0.2833830000000002"/>
    <n v="29.067884"/>
    <m/>
    <x v="16"/>
    <x v="16"/>
    <x v="0"/>
    <x v="11"/>
    <n v="254"/>
    <s v="NOS"/>
    <m/>
    <m/>
    <n v="7000"/>
    <m/>
    <n v="760"/>
    <n v="6240"/>
    <n v="6.7842527256"/>
    <n v="0.7365760102080001"/>
    <n v="6.047676715392"/>
    <n v="0"/>
    <n v="0"/>
    <m/>
    <n v="236.024487"/>
    <n v="0"/>
    <n v="6.7842527256"/>
    <m/>
  </r>
  <r>
    <n v="339"/>
    <s v="Hosur"/>
    <x v="12"/>
    <s v="Rajsriya Automotive Hosur"/>
    <x v="13"/>
    <n v="1940829"/>
    <s v="129695|187884|188415|189239|189240-1940829"/>
    <s v="TUB-R-AW-RHS-40.00X30.00X1.600X0.3140"/>
    <x v="0"/>
    <m/>
    <x v="1"/>
    <s v="HR"/>
    <m/>
    <m/>
    <m/>
    <m/>
    <x v="94"/>
    <s v="40-30-1.6-ERW 1--0.314"/>
    <n v="2"/>
    <m/>
    <m/>
    <m/>
    <m/>
    <x v="17"/>
    <x v="15"/>
    <x v="1"/>
    <x v="0"/>
    <n v="314"/>
    <m/>
    <m/>
    <m/>
    <m/>
    <m/>
    <e v="#N/A"/>
    <e v="#N/A"/>
    <n v="0"/>
    <e v="#N/A"/>
    <e v="#N/A"/>
    <e v="#DIV/0!"/>
    <n v="0"/>
    <m/>
    <n v="0"/>
    <n v="0"/>
    <n v="0"/>
    <m/>
  </r>
  <r>
    <n v="483"/>
    <s v="Hosur"/>
    <x v="14"/>
    <s v="Rajsriya Automotive Hosur"/>
    <x v="13"/>
    <n v="3712521"/>
    <s v="129695|187884|188415|189239|189240-3712521"/>
    <s v="CUT-R-AW-RHS-40.00X30.00X1.600X0.8350"/>
    <x v="0"/>
    <m/>
    <x v="2"/>
    <s v="CR"/>
    <s v="HROP"/>
    <m/>
    <m/>
    <m/>
    <x v="36"/>
    <s v="40-30-1.6-ERW 1-FC-0.835"/>
    <n v="2"/>
    <s v="Hosur"/>
    <n v="0.9578630000000001"/>
    <n v="0"/>
    <m/>
    <x v="17"/>
    <x v="15"/>
    <x v="1"/>
    <x v="0"/>
    <n v="835"/>
    <s v="NOS"/>
    <m/>
    <m/>
    <n v="40000"/>
    <m/>
    <n v="19751"/>
    <n v="20249"/>
    <n v="56.44384369600001"/>
    <n v="27.8705589209924"/>
    <n v="28.5732847750076"/>
    <n v="24.12592606793898"/>
    <n v="0.034044"/>
    <m/>
    <n v="0.957863"/>
    <n v="0"/>
    <n v="56.40979969600001"/>
    <m/>
  </r>
  <r>
    <n v="340"/>
    <s v="Hosur"/>
    <x v="12"/>
    <s v="Rajsriya Automotive Hosur"/>
    <x v="13"/>
    <n v="3616912"/>
    <s v="129695|187884|188415|189239|189240-3616912"/>
    <s v="TUB-R-AW-AUT-40.00X30.00X1.600X0.8520"/>
    <x v="0"/>
    <m/>
    <x v="1"/>
    <s v="HR"/>
    <m/>
    <m/>
    <m/>
    <m/>
    <x v="94"/>
    <s v="40-30-1.6-ERW 1--0.852"/>
    <n v="1"/>
    <m/>
    <m/>
    <m/>
    <m/>
    <x v="17"/>
    <x v="15"/>
    <x v="1"/>
    <x v="0"/>
    <n v="852"/>
    <m/>
    <m/>
    <m/>
    <m/>
    <m/>
    <e v="#N/A"/>
    <e v="#N/A"/>
    <n v="0"/>
    <e v="#N/A"/>
    <e v="#N/A"/>
    <e v="#DIV/0!"/>
    <n v="0"/>
    <m/>
    <n v="0"/>
    <n v="0"/>
    <n v="0"/>
    <m/>
  </r>
  <r>
    <n v="487"/>
    <s v="Hosur"/>
    <x v="14"/>
    <s v="Rajsriya Automotive Hosur"/>
    <x v="13"/>
    <n v="1940830"/>
    <s v="129695|187884|188415|189239|189240-1940830"/>
    <s v="TUB-R-AW-RHS-40.00X30.00X1.600X0.8600"/>
    <x v="0"/>
    <m/>
    <x v="2"/>
    <s v="CR"/>
    <s v="GR1"/>
    <m/>
    <m/>
    <m/>
    <x v="36"/>
    <s v="40-30-1.6-ERW 1-FC-0.86"/>
    <n v="2"/>
    <s v="Hosur"/>
    <n v="0.9578630000000001"/>
    <n v="0"/>
    <m/>
    <x v="17"/>
    <x v="15"/>
    <x v="1"/>
    <x v="0"/>
    <n v="860"/>
    <s v="NOS"/>
    <m/>
    <m/>
    <n v="5000"/>
    <m/>
    <n v="7920"/>
    <n v="-2920"/>
    <n v="7.266722392"/>
    <n v="11.510488268928"/>
    <n v="-4.243765876928"/>
    <n v="9.667357057335623"/>
    <n v="0.01405"/>
    <m/>
    <n v="0.957863"/>
    <n v="0"/>
    <n v="7.252672392"/>
    <m/>
  </r>
  <r>
    <n v="421"/>
    <s v="Hosur"/>
    <x v="14"/>
    <s v="Rajsriya Automotive Hosur"/>
    <x v="13"/>
    <n v="1940837"/>
    <s v="129695|187884|188415|189239|189240-1940837"/>
    <s v="TUB-R-AW-RHS-40.00X30.00X2.000X0.8700"/>
    <x v="0"/>
    <m/>
    <x v="2"/>
    <s v="HR"/>
    <m/>
    <m/>
    <m/>
    <m/>
    <x v="37"/>
    <s v="40-30-2-ERW 1-FC-0.87"/>
    <n v="2"/>
    <s v="Hosur"/>
    <n v="0"/>
    <n v="0"/>
    <m/>
    <x v="17"/>
    <x v="15"/>
    <x v="1"/>
    <x v="8"/>
    <n v="870"/>
    <s v="NOS"/>
    <m/>
    <m/>
    <n v="4000"/>
    <m/>
    <n v="3000"/>
    <n v="1000"/>
    <n v="7.282596348"/>
    <n v="5.461947261000001"/>
    <n v="1.820649087"/>
    <n v="5677.466390314895"/>
    <n v="10.336674"/>
    <m/>
    <n v="0"/>
    <n v="26.636"/>
    <n v="-3.054077651999998"/>
    <m/>
  </r>
  <r>
    <m/>
    <s v="Hosur"/>
    <x v="14"/>
    <s v="Rajsriya Automotive Hosur"/>
    <x v="13"/>
    <n v="4141595"/>
    <s v="129695|187884|188415|189239|189240-4141595"/>
    <m/>
    <x v="0"/>
    <m/>
    <x v="1"/>
    <m/>
    <m/>
    <m/>
    <m/>
    <m/>
    <x v="1"/>
    <m/>
    <m/>
    <m/>
    <m/>
    <m/>
    <m/>
    <x v="4"/>
    <x v="4"/>
    <x v="1"/>
    <x v="8"/>
    <n v="770"/>
    <s v="NOS"/>
    <m/>
    <m/>
    <n v="5000"/>
    <m/>
    <n v="0"/>
    <n v="5000"/>
    <n v="9.26210824"/>
    <n v="0"/>
    <n v="9.26210824"/>
    <n v="0"/>
    <n v="0"/>
    <m/>
    <n v="0"/>
    <n v="0"/>
    <n v="9.26210824"/>
    <m/>
  </r>
  <r>
    <n v="341"/>
    <s v="Hosur"/>
    <x v="14"/>
    <s v="Rajsriya Automotive Hosur"/>
    <x v="13"/>
    <m/>
    <s v="129695|187884|188415|189239|189240-"/>
    <s v="CUT-O-N-AUT-AW-FC-57.15X2.000X0.409"/>
    <x v="0"/>
    <m/>
    <x v="2"/>
    <s v="HR"/>
    <m/>
    <m/>
    <m/>
    <m/>
    <x v="51"/>
    <s v="57.15-0-2-ERW 1-FC-0.409"/>
    <n v="1"/>
    <m/>
    <n v="2.455098"/>
    <n v="0.125917"/>
    <m/>
    <x v="19"/>
    <x v="19"/>
    <x v="0"/>
    <x v="8"/>
    <n v="409"/>
    <s v="NOS"/>
    <m/>
    <m/>
    <n v="15000"/>
    <m/>
    <n v="5271"/>
    <n v="9729"/>
    <n v="16.6797441345"/>
    <n v="5.8612620888633"/>
    <n v="10.8184820456367"/>
    <n v="1031.948383692396"/>
    <n v="1.147509"/>
    <m/>
    <n v="2.455098"/>
    <n v="0"/>
    <n v="15.5322351345"/>
    <m/>
  </r>
  <r>
    <n v="342"/>
    <s v="Hosur"/>
    <x v="12"/>
    <s v="Rajsriya Automotive Hosur"/>
    <x v="13"/>
    <n v="3727461"/>
    <s v="129695|187884|188415|189239|189240-3727461"/>
    <s v="CUT-O-N-AUT-AW-FC-57.15X2.000X0.4130"/>
    <x v="0"/>
    <m/>
    <x v="1"/>
    <s v="HR"/>
    <m/>
    <m/>
    <m/>
    <m/>
    <x v="41"/>
    <s v="57.15-0-2-ERW 1--0.413"/>
    <s v="#REF!"/>
    <m/>
    <m/>
    <m/>
    <m/>
    <x v="19"/>
    <x v="19"/>
    <x v="0"/>
    <x v="8"/>
    <n v="413"/>
    <m/>
    <m/>
    <m/>
    <m/>
    <m/>
    <e v="#N/A"/>
    <e v="#N/A"/>
    <n v="0"/>
    <e v="#N/A"/>
    <e v="#N/A"/>
    <e v="#DIV/0!"/>
    <n v="0"/>
    <m/>
    <n v="0"/>
    <n v="0"/>
    <n v="0"/>
    <m/>
  </r>
  <r>
    <n v="343"/>
    <s v="Hosur"/>
    <x v="14"/>
    <s v="Rajsriya Automotive Hosur"/>
    <x v="13"/>
    <s v="NO MATERIAL CODE"/>
    <s v="129695|187884|188415|189239|189240-NO MATERIAL CODE"/>
    <s v="\"/>
    <x v="0"/>
    <m/>
    <x v="2"/>
    <s v="HR"/>
    <m/>
    <m/>
    <s v="AG"/>
    <m/>
    <x v="97"/>
    <s v="57.15-0-2.5-ERW 1-FC-0.376"/>
    <n v="1"/>
    <m/>
    <n v="0.806104"/>
    <n v="5.020818"/>
    <m/>
    <x v="19"/>
    <x v="19"/>
    <x v="0"/>
    <x v="10"/>
    <n v="376"/>
    <s v="NOS"/>
    <m/>
    <m/>
    <m/>
    <m/>
    <n v="0"/>
    <n v="0"/>
    <n v="0"/>
    <n v="0"/>
    <n v="0"/>
    <e v="#DIV/0!"/>
    <n v="0"/>
    <m/>
    <n v="18.554922"/>
    <n v="0"/>
    <n v="0"/>
    <m/>
  </r>
  <r>
    <n v="499"/>
    <s v="Hosur"/>
    <x v="14"/>
    <s v="Rajsriya Automotive Hosur"/>
    <x v="13"/>
    <n v="1940911"/>
    <s v="129695|187884|188415|189239|189240-1940911"/>
    <s v="TUB-O-O-AUT-AW-AG-57.15X2.500X0.7720"/>
    <x v="0"/>
    <m/>
    <x v="2"/>
    <s v="HR"/>
    <m/>
    <m/>
    <s v="AG"/>
    <m/>
    <x v="97"/>
    <s v="57.15-0-2.5-ERW 1-FC-0.772"/>
    <n v="2"/>
    <s v="Hosur"/>
    <n v="0.806104"/>
    <n v="5.020818"/>
    <m/>
    <x v="19"/>
    <x v="19"/>
    <x v="0"/>
    <x v="10"/>
    <n v="772"/>
    <s v="NOS"/>
    <m/>
    <m/>
    <n v="5000"/>
    <m/>
    <n v="0"/>
    <n v="5000"/>
    <n v="12.9992047525"/>
    <n v="0"/>
    <n v="12.9992047525"/>
    <n v="6.009598393699893"/>
    <n v="0.015624"/>
    <m/>
    <n v="18.554922"/>
    <n v="0"/>
    <n v="12.9835807525"/>
    <m/>
  </r>
  <r>
    <n v="500"/>
    <s v="Khopoli "/>
    <x v="14"/>
    <s v="Rajsriya Automotive Hosur"/>
    <x v="13"/>
    <s v="NO MATERIAL CODE"/>
    <s v="129695|187884|188415|189239|189240-NO MATERIAL CODE"/>
    <m/>
    <x v="0"/>
    <m/>
    <x v="2"/>
    <s v="HR"/>
    <m/>
    <m/>
    <s v="AG"/>
    <m/>
    <x v="99"/>
    <s v="60.3-0-2-ERW 1-FC-0.491"/>
    <n v="1"/>
    <s v="Khopoli"/>
    <n v="0.089057"/>
    <n v="15.965"/>
    <m/>
    <x v="34"/>
    <x v="34"/>
    <x v="0"/>
    <x v="8"/>
    <n v="491"/>
    <s v="NOS"/>
    <m/>
    <m/>
    <m/>
    <m/>
    <n v="0"/>
    <n v="0"/>
    <n v="0"/>
    <n v="0"/>
    <n v="0"/>
    <e v="#DIV/0!"/>
    <n v="0"/>
    <m/>
    <n v="34.146057"/>
    <n v="0"/>
    <n v="0"/>
    <m/>
  </r>
  <r>
    <n v="313"/>
    <s v="Hosur"/>
    <x v="12"/>
    <s v="Rajsriya Automotive Hosur"/>
    <x v="13"/>
    <m/>
    <s v="129695|187884|188415|189239|189240-"/>
    <m/>
    <x v="6"/>
    <m/>
    <x v="1"/>
    <s v="HR"/>
    <m/>
    <m/>
    <m/>
    <m/>
    <x v="152"/>
    <s v="19.05-0-2.5-ERW 2--0.319"/>
    <s v="#REF!"/>
    <m/>
    <m/>
    <m/>
    <m/>
    <x v="2"/>
    <x v="2"/>
    <x v="0"/>
    <x v="10"/>
    <n v="319"/>
    <m/>
    <m/>
    <m/>
    <m/>
    <m/>
    <e v="#N/A"/>
    <e v="#N/A"/>
    <n v="0"/>
    <e v="#N/A"/>
    <e v="#N/A"/>
    <e v="#DIV/0!"/>
    <n v="0"/>
    <m/>
    <n v="0"/>
    <n v="0"/>
    <n v="0"/>
    <m/>
  </r>
  <r>
    <m/>
    <s v="Hosur"/>
    <x v="13"/>
    <s v="Rajsriya Automotive Hosur"/>
    <x v="1"/>
    <n v="4228296"/>
    <s v="129663|948721-4228296"/>
    <m/>
    <x v="6"/>
    <m/>
    <x v="1"/>
    <m/>
    <m/>
    <m/>
    <m/>
    <m/>
    <x v="1"/>
    <m/>
    <m/>
    <m/>
    <m/>
    <m/>
    <m/>
    <x v="11"/>
    <x v="11"/>
    <x v="0"/>
    <x v="8"/>
    <n v="865"/>
    <s v="NOS"/>
    <m/>
    <m/>
    <n v="10000"/>
    <m/>
    <n v="0"/>
    <n v="10000"/>
    <n v="8.626632370999999"/>
    <n v="0"/>
    <n v="8.626632370999999"/>
    <n v="0"/>
    <n v="0"/>
    <m/>
    <n v="0"/>
    <n v="0"/>
    <n v="8.626632370999999"/>
    <m/>
  </r>
  <r>
    <n v="414"/>
    <s v="Hosur"/>
    <x v="14"/>
    <s v="Rajsriya Automotive Hosur"/>
    <x v="13"/>
    <n v="3122347"/>
    <s v="129695|187884|188415|189239|189240-3122347"/>
    <s v="TUB-O-N-AUT-AW-PE-19.05X1.600X0.3940"/>
    <x v="5"/>
    <m/>
    <x v="0"/>
    <s v="CR"/>
    <s v="ST52AL"/>
    <m/>
    <s v="AG"/>
    <m/>
    <x v="153"/>
    <s v="19.05-0-1.6-ERW 2 MAHS-PE-0.394"/>
    <s v="#REF!"/>
    <m/>
    <m/>
    <m/>
    <m/>
    <x v="2"/>
    <x v="2"/>
    <x v="0"/>
    <x v="0"/>
    <n v="394"/>
    <s v="NOS"/>
    <m/>
    <m/>
    <m/>
    <m/>
    <n v="0"/>
    <n v="0"/>
    <n v="0"/>
    <n v="0"/>
    <n v="0"/>
    <e v="#DIV/0!"/>
    <n v="1.881808"/>
    <m/>
    <n v="0"/>
    <n v="2.986"/>
    <n v="-1.881808"/>
    <m/>
  </r>
  <r>
    <n v="314"/>
    <s v="Hosur"/>
    <x v="12"/>
    <s v="Rajsriya Automotive Hosur"/>
    <x v="13"/>
    <n v="314118"/>
    <s v="129695|187884|188415|189239|189240-314118"/>
    <s v="TUB-O-N-AUT-AW-PE-22.20X1.200X0.300"/>
    <x v="2"/>
    <m/>
    <x v="1"/>
    <s v="HR"/>
    <m/>
    <m/>
    <m/>
    <m/>
    <x v="154"/>
    <s v="22.2-0-1.2---0.3"/>
    <s v="#REF!"/>
    <m/>
    <m/>
    <m/>
    <m/>
    <x v="11"/>
    <x v="46"/>
    <x v="0"/>
    <x v="2"/>
    <n v="300"/>
    <m/>
    <m/>
    <m/>
    <m/>
    <m/>
    <e v="#N/A"/>
    <e v="#N/A"/>
    <n v="0"/>
    <e v="#N/A"/>
    <e v="#N/A"/>
    <e v="#DIV/0!"/>
    <n v="0"/>
    <m/>
    <n v="0"/>
    <n v="0"/>
    <n v="0"/>
    <m/>
  </r>
  <r>
    <n v="326"/>
    <s v="Hosur"/>
    <x v="12"/>
    <s v="Rajsriya Automotive Hosur"/>
    <x v="13"/>
    <n v="1531609"/>
    <s v="129695|187884|188415|189239|189240-1531609"/>
    <s v="TUB-O-N-AUT-AW-FC-25.40X2.000X0.6000"/>
    <x v="2"/>
    <m/>
    <x v="1"/>
    <s v="HR"/>
    <m/>
    <m/>
    <m/>
    <m/>
    <x v="44"/>
    <s v="25.4-0-2---0.6"/>
    <s v="#REF!"/>
    <m/>
    <m/>
    <m/>
    <m/>
    <x v="3"/>
    <x v="3"/>
    <x v="0"/>
    <x v="8"/>
    <n v="600"/>
    <m/>
    <m/>
    <m/>
    <m/>
    <m/>
    <e v="#N/A"/>
    <e v="#N/A"/>
    <n v="0"/>
    <e v="#N/A"/>
    <e v="#N/A"/>
    <e v="#DIV/0!"/>
    <n v="0"/>
    <m/>
    <n v="0"/>
    <n v="0"/>
    <n v="0"/>
    <m/>
  </r>
  <r>
    <n v="327"/>
    <s v="Hosur"/>
    <x v="12"/>
    <s v="Rajsriya Automotive Hosur"/>
    <x v="13"/>
    <n v="1190412"/>
    <s v="129695|187884|188415|189239|189240-1190412"/>
    <s v="TUB-O-N-AUT-AW-PE-25.40X2.000X0.657"/>
    <x v="2"/>
    <m/>
    <x v="1"/>
    <s v="HR"/>
    <m/>
    <m/>
    <m/>
    <m/>
    <x v="44"/>
    <s v="25.4-0-2---0.657"/>
    <s v="#REF!"/>
    <m/>
    <m/>
    <m/>
    <m/>
    <x v="3"/>
    <x v="3"/>
    <x v="0"/>
    <x v="8"/>
    <n v="657"/>
    <m/>
    <m/>
    <m/>
    <m/>
    <m/>
    <e v="#N/A"/>
    <e v="#N/A"/>
    <n v="0"/>
    <e v="#N/A"/>
    <e v="#N/A"/>
    <e v="#DIV/0!"/>
    <n v="0"/>
    <m/>
    <n v="0"/>
    <n v="0"/>
    <n v="0"/>
    <m/>
  </r>
  <r>
    <n v="332"/>
    <s v="Hosur"/>
    <x v="12"/>
    <s v="Rajsriya Automotive Hosur"/>
    <x v="13"/>
    <n v="444028"/>
    <s v="129695|187884|188415|189239|189240-444028"/>
    <s v="PT2-O-N-AUT-AW-PE-31.75X1.200X0.600"/>
    <x v="0"/>
    <m/>
    <x v="2"/>
    <s v="HR"/>
    <m/>
    <m/>
    <m/>
    <m/>
    <x v="124"/>
    <s v="31.75-0-1.2-ERW 1-FC-0.6"/>
    <s v="#REF!"/>
    <m/>
    <m/>
    <m/>
    <m/>
    <x v="10"/>
    <x v="10"/>
    <x v="0"/>
    <x v="2"/>
    <n v="600"/>
    <m/>
    <m/>
    <m/>
    <m/>
    <m/>
    <e v="#N/A"/>
    <e v="#N/A"/>
    <n v="0"/>
    <e v="#N/A"/>
    <e v="#N/A"/>
    <e v="#DIV/0!"/>
    <n v="0"/>
    <m/>
    <n v="0"/>
    <n v="0"/>
    <n v="0"/>
    <m/>
  </r>
  <r>
    <n v="344"/>
    <s v="Hosur"/>
    <x v="12"/>
    <s v="Rajsriya Automotive Hosur"/>
    <x v="13"/>
    <n v="1940913"/>
    <s v="129695|187884|188415|189239|189240-1940913"/>
    <s v="TUB-O-O-AUT-AW-FC-57.15X2.500X0.8120"/>
    <x v="2"/>
    <m/>
    <x v="1"/>
    <s v="HR"/>
    <m/>
    <m/>
    <m/>
    <m/>
    <x v="155"/>
    <s v="57.15-0-2.5---0.812"/>
    <s v="#REF!"/>
    <m/>
    <m/>
    <m/>
    <m/>
    <x v="19"/>
    <x v="19"/>
    <x v="0"/>
    <x v="10"/>
    <n v="812"/>
    <m/>
    <m/>
    <m/>
    <m/>
    <m/>
    <e v="#N/A"/>
    <e v="#N/A"/>
    <n v="0"/>
    <e v="#N/A"/>
    <e v="#N/A"/>
    <e v="#DIV/0!"/>
    <n v="0"/>
    <m/>
    <n v="0"/>
    <n v="0"/>
    <n v="0"/>
    <m/>
  </r>
  <r>
    <n v="345"/>
    <s v="Khopoli "/>
    <x v="12"/>
    <s v="Rajsriya Automotive Hosur"/>
    <x v="13"/>
    <n v="3662752"/>
    <s v="129695|187884|188415|189239|189240-3662752"/>
    <s v="TUB-O-N-AUT-AW-FC-60.30X2.000X0.4930"/>
    <x v="2"/>
    <m/>
    <x v="1"/>
    <s v="HR"/>
    <m/>
    <m/>
    <m/>
    <m/>
    <x v="156"/>
    <s v="60.3-0-2---0.493"/>
    <s v="#REF!"/>
    <m/>
    <m/>
    <m/>
    <m/>
    <x v="34"/>
    <x v="34"/>
    <x v="0"/>
    <x v="8"/>
    <n v="493"/>
    <m/>
    <m/>
    <m/>
    <m/>
    <m/>
    <e v="#N/A"/>
    <e v="#N/A"/>
    <n v="0"/>
    <e v="#N/A"/>
    <e v="#N/A"/>
    <e v="#DIV/0!"/>
    <n v="0"/>
    <m/>
    <n v="0"/>
    <n v="0"/>
    <n v="0"/>
    <m/>
  </r>
  <r>
    <n v="350"/>
    <s v="Khopoli "/>
    <x v="18"/>
    <s v="Rajsriya Automotive Mysore"/>
    <x v="14"/>
    <n v="2363145"/>
    <s v="930883|189481-2363145"/>
    <s v="TUB-O-C-AUT-AN-FC-14.00X2.450X5.0000"/>
    <x v="1"/>
    <m/>
    <x v="1"/>
    <s v="HR"/>
    <m/>
    <m/>
    <m/>
    <m/>
    <x v="157"/>
    <s v="14-0-2.45-CEW--5"/>
    <s v="#REF!"/>
    <m/>
    <m/>
    <m/>
    <m/>
    <x v="5"/>
    <x v="5"/>
    <x v="0"/>
    <x v="22"/>
    <n v="5000"/>
    <s v="M"/>
    <m/>
    <m/>
    <m/>
    <m/>
    <n v="0"/>
    <n v="0"/>
    <n v="0"/>
    <n v="0"/>
    <n v="0"/>
    <e v="#DIV/0!"/>
    <n v="0"/>
    <m/>
    <n v="0"/>
    <n v="0"/>
    <n v="0"/>
    <m/>
  </r>
  <r>
    <n v="348"/>
    <s v="Khopoli "/>
    <x v="18"/>
    <s v="Rajsriya Automotive Mysore"/>
    <x v="14"/>
    <e v="#REF!"/>
    <e v="#REF!"/>
    <m/>
    <x v="1"/>
    <m/>
    <x v="3"/>
    <s v="HR"/>
    <m/>
    <m/>
    <m/>
    <m/>
    <x v="135"/>
    <s v="16.1-10.4-2.7-CEW-CEW-1"/>
    <n v="2"/>
    <s v="Khopoli"/>
    <n v="6.250217"/>
    <m/>
    <m/>
    <x v="6"/>
    <x v="6"/>
    <x v="22"/>
    <x v="26"/>
    <n v="1000"/>
    <s v="M"/>
    <m/>
    <m/>
    <n v="3000"/>
    <m/>
    <n v="0"/>
    <n v="3000"/>
    <n v="2.675402460000001"/>
    <n v="0"/>
    <n v="2.675402460000001"/>
    <n v="0"/>
    <n v="0"/>
    <m/>
    <n v="7.438217"/>
    <n v="0"/>
    <n v="2.675402460000001"/>
    <m/>
  </r>
  <r>
    <n v="355"/>
    <s v="Hosur"/>
    <x v="18"/>
    <s v="Rajsriya Automotive Mysore"/>
    <x v="14"/>
    <n v="2410998"/>
    <s v="930883|189481-2410998"/>
    <s v="TUB-O-C-AUT-AD-FC-18.20X2.950X04-05"/>
    <x v="1"/>
    <m/>
    <x v="3"/>
    <s v="HR"/>
    <m/>
    <m/>
    <m/>
    <m/>
    <x v="137"/>
    <s v="18.2-12.3-2.95-CEW-CEW-4.5"/>
    <s v="#REF!"/>
    <m/>
    <m/>
    <m/>
    <m/>
    <x v="41"/>
    <x v="42"/>
    <x v="23"/>
    <x v="4"/>
    <n v="4500"/>
    <s v="M"/>
    <m/>
    <m/>
    <m/>
    <m/>
    <n v="0"/>
    <n v="0"/>
    <n v="0"/>
    <n v="0"/>
    <n v="0"/>
    <e v="#DIV/0!"/>
    <n v="0"/>
    <m/>
    <n v="0"/>
    <n v="0"/>
    <n v="0"/>
    <m/>
  </r>
  <r>
    <n v="360"/>
    <s v="Khopoli "/>
    <x v="18"/>
    <s v="Rajsriya Automotive Mysore"/>
    <x v="14"/>
    <n v="234926"/>
    <s v="930883|189481-234926"/>
    <s v="TUB-O-C-AUT-AD-PE-21.70X3.500X5.000"/>
    <x v="1"/>
    <m/>
    <x v="1"/>
    <s v="HR"/>
    <m/>
    <m/>
    <m/>
    <m/>
    <x v="82"/>
    <s v="21.75-0-3.5-CEW--5"/>
    <s v="#REF!"/>
    <m/>
    <m/>
    <m/>
    <m/>
    <x v="33"/>
    <x v="31"/>
    <x v="0"/>
    <x v="17"/>
    <n v="5000"/>
    <s v="M"/>
    <m/>
    <m/>
    <m/>
    <m/>
    <n v="0"/>
    <n v="0"/>
    <n v="0"/>
    <n v="0"/>
    <n v="0"/>
    <e v="#DIV/0!"/>
    <n v="0"/>
    <m/>
    <n v="0"/>
    <n v="0"/>
    <n v="0"/>
    <m/>
  </r>
  <r>
    <n v="368"/>
    <s v="Khopoli "/>
    <x v="18"/>
    <s v="Rajsriya Automotive Mysore"/>
    <x v="14"/>
    <n v="2410997"/>
    <s v="930883|189481-2410997"/>
    <s v="TUB-O-C-AUT-AD-FC-25.40X3.200X04-05"/>
    <x v="1"/>
    <m/>
    <x v="1"/>
    <s v="HR"/>
    <m/>
    <m/>
    <m/>
    <m/>
    <x v="158"/>
    <s v="25.4-19-3.2-CEW--4.5"/>
    <s v="#REF!"/>
    <m/>
    <m/>
    <m/>
    <m/>
    <x v="3"/>
    <x v="3"/>
    <x v="11"/>
    <x v="13"/>
    <n v="4500"/>
    <s v="M"/>
    <m/>
    <m/>
    <m/>
    <m/>
    <n v="0"/>
    <n v="0"/>
    <n v="0"/>
    <n v="0"/>
    <n v="0"/>
    <e v="#DIV/0!"/>
    <n v="0"/>
    <m/>
    <n v="0"/>
    <n v="0"/>
    <n v="0"/>
    <m/>
  </r>
  <r>
    <n v="371"/>
    <s v="Khopoli "/>
    <x v="18"/>
    <s v="Rajsriya Automotive Mysore"/>
    <x v="14"/>
    <n v="2422135"/>
    <s v="930883|189481-2422135"/>
    <s v="TUB-O-N-AUT-AN-FC-42.70X4.000X0.2080"/>
    <x v="1"/>
    <s v="Annealed"/>
    <x v="1"/>
    <s v="HR"/>
    <m/>
    <m/>
    <m/>
    <m/>
    <x v="84"/>
    <s v="42.7-0-4-CEW--0.208"/>
    <s v="#REF!"/>
    <m/>
    <m/>
    <m/>
    <m/>
    <x v="16"/>
    <x v="16"/>
    <x v="0"/>
    <x v="11"/>
    <n v="208"/>
    <s v="NOS"/>
    <m/>
    <m/>
    <m/>
    <m/>
    <n v="0"/>
    <n v="0"/>
    <n v="0"/>
    <n v="0"/>
    <n v="0"/>
    <e v="#DIV/0!"/>
    <n v="0"/>
    <m/>
    <n v="0"/>
    <n v="0"/>
    <n v="0"/>
    <m/>
  </r>
  <r>
    <n v="317"/>
    <s v="Hosur"/>
    <x v="18"/>
    <s v="Rajsriya Automotive Mysore"/>
    <x v="14"/>
    <n v="1939993"/>
    <s v="930883|189481-1939993"/>
    <s v="TUB-O-O-AUT-AW-PE-12.70X1.600X0.2500"/>
    <x v="0"/>
    <m/>
    <x v="0"/>
    <s v="HR"/>
    <m/>
    <m/>
    <m/>
    <m/>
    <x v="0"/>
    <s v="12.7-0-1.6-ERW 1-PE-0.25"/>
    <n v="1"/>
    <s v="Hosur"/>
    <n v="0"/>
    <n v="0"/>
    <m/>
    <x v="0"/>
    <x v="0"/>
    <x v="0"/>
    <x v="0"/>
    <n v="250"/>
    <s v="NOS"/>
    <m/>
    <m/>
    <n v="20000"/>
    <m/>
    <n v="20900"/>
    <n v="-900"/>
    <n v="2.1888312"/>
    <n v="2.287328604"/>
    <n v="-0.09849740399999973"/>
    <n v="2643.785413877507"/>
    <n v="0.28934"/>
    <m/>
    <n v="0.06565699999999999"/>
    <n v="8.986000000000001"/>
    <n v="1.8994912"/>
    <m/>
  </r>
  <r>
    <n v="325"/>
    <s v="Hosur"/>
    <x v="18"/>
    <s v="Rajsriya Automotive Mysore"/>
    <x v="14"/>
    <n v="1939996"/>
    <s v="930883|189481-1939996"/>
    <s v="TUB-O-O-AUT-AW-PE-12.70X1.600X0.2950"/>
    <x v="0"/>
    <m/>
    <x v="0"/>
    <s v="HR"/>
    <m/>
    <m/>
    <m/>
    <m/>
    <x v="0"/>
    <s v="12.7-0-1.6-ERW 1-PE-0.295"/>
    <n v="1"/>
    <s v="Hosur"/>
    <n v="0"/>
    <n v="0"/>
    <m/>
    <x v="0"/>
    <x v="0"/>
    <x v="0"/>
    <x v="0"/>
    <n v="295"/>
    <s v="NOS"/>
    <m/>
    <m/>
    <n v="20000"/>
    <m/>
    <n v="11000"/>
    <n v="9000"/>
    <n v="2.582820816"/>
    <n v="1.4205514488"/>
    <n v="1.1622693672"/>
    <n v="679.1102151315478"/>
    <n v="0.08770099999999999"/>
    <m/>
    <n v="0.06565699999999999"/>
    <n v="8.986000000000001"/>
    <n v="2.495119816"/>
    <m/>
  </r>
  <r>
    <n v="347"/>
    <s v="Hosur"/>
    <x v="18"/>
    <s v="Rajsriya Automotive Mysore"/>
    <x v="14"/>
    <n v="1940090"/>
    <s v="930883|189481-1940090"/>
    <s v="TUB-O-O-AUT-AW-PE-15.88X2.000X0.2910"/>
    <x v="0"/>
    <m/>
    <x v="0"/>
    <s v="HR"/>
    <m/>
    <m/>
    <m/>
    <m/>
    <x v="16"/>
    <s v="15.88-0-2-ERW 1-PE-0.291"/>
    <n v="5"/>
    <s v="Hosur"/>
    <n v="0"/>
    <n v="0"/>
    <m/>
    <x v="1"/>
    <x v="1"/>
    <x v="0"/>
    <x v="8"/>
    <n v="291"/>
    <s v="NOS"/>
    <m/>
    <m/>
    <n v="20000"/>
    <m/>
    <n v="15250"/>
    <n v="4750"/>
    <n v="3.982371316800001"/>
    <n v="3.03655812906"/>
    <n v="0.9458131877400002"/>
    <n v="1474.669118679506"/>
    <n v="0.293634"/>
    <m/>
    <n v="0"/>
    <n v="0.244"/>
    <n v="3.688737316800001"/>
    <m/>
  </r>
  <r>
    <n v="352"/>
    <s v="Hosur"/>
    <x v="18"/>
    <s v="Rajsriya Automotive Mysore"/>
    <x v="14"/>
    <n v="2243845"/>
    <s v="930883|189481-2243845"/>
    <s v="TUB-O-N-AUT-HR-PE-15.88X2.000X0.4420"/>
    <x v="0"/>
    <m/>
    <x v="0"/>
    <s v="HR"/>
    <m/>
    <m/>
    <m/>
    <m/>
    <x v="16"/>
    <s v="15.88-0-2-ERW 1-PE-0.442"/>
    <n v="1"/>
    <s v="Hosur"/>
    <m/>
    <m/>
    <m/>
    <x v="1"/>
    <x v="1"/>
    <x v="0"/>
    <x v="8"/>
    <n v="442"/>
    <s v="NOS"/>
    <m/>
    <m/>
    <m/>
    <m/>
    <n v="0"/>
    <n v="0"/>
    <n v="0"/>
    <n v="0"/>
    <n v="0"/>
    <e v="#DIV/0!"/>
    <n v="0"/>
    <m/>
    <n v="0"/>
    <n v="0.244"/>
    <n v="0"/>
    <m/>
  </r>
  <r>
    <n v="354"/>
    <s v="Khopoli "/>
    <x v="18"/>
    <s v="Rajsriya Automotive Mysore"/>
    <x v="14"/>
    <n v="1931824"/>
    <s v="930883|189481-1931824"/>
    <s v="TUB-O-N-AUT-AW-PE-17.30X1.200X6.0000"/>
    <x v="0"/>
    <m/>
    <x v="1"/>
    <s v="HR"/>
    <m/>
    <m/>
    <m/>
    <m/>
    <x v="159"/>
    <s v="17.3-0-1.2-ERW 1--6"/>
    <s v="#REF!"/>
    <m/>
    <m/>
    <m/>
    <m/>
    <x v="7"/>
    <x v="7"/>
    <x v="0"/>
    <x v="2"/>
    <n v="6000"/>
    <s v="M"/>
    <m/>
    <m/>
    <m/>
    <m/>
    <n v="0"/>
    <n v="0"/>
    <n v="0"/>
    <n v="0"/>
    <n v="0"/>
    <e v="#DIV/0!"/>
    <n v="0"/>
    <m/>
    <n v="0"/>
    <n v="0"/>
    <n v="0"/>
    <m/>
  </r>
  <r>
    <n v="357"/>
    <s v="Hosur"/>
    <x v="18"/>
    <s v="Rajsriya Automotive Mysore"/>
    <x v="14"/>
    <n v="3122348"/>
    <s v="930883|189481-3122348"/>
    <s v="TUB-O-N-AUT-AW-PE-19.05X2.000X0.2385(Angle Cut)"/>
    <x v="0"/>
    <m/>
    <x v="1"/>
    <s v="HR"/>
    <m/>
    <m/>
    <m/>
    <m/>
    <x v="144"/>
    <s v="19.05-0-2-ERW 1--0.2385"/>
    <s v="#REF!"/>
    <m/>
    <m/>
    <m/>
    <m/>
    <x v="2"/>
    <x v="2"/>
    <x v="0"/>
    <x v="8"/>
    <n v="238.5"/>
    <s v="NOS"/>
    <m/>
    <m/>
    <m/>
    <m/>
    <n v="0"/>
    <n v="0"/>
    <n v="0"/>
    <n v="0"/>
    <n v="0"/>
    <e v="#DIV/0!"/>
    <n v="0"/>
    <m/>
    <n v="0"/>
    <n v="0"/>
    <n v="0"/>
    <m/>
  </r>
  <r>
    <n v="376"/>
    <s v="Hosur"/>
    <x v="18"/>
    <s v="Rajsriya Automotive Mysore"/>
    <x v="14"/>
    <n v="2403386"/>
    <s v="930883|189481-2403386"/>
    <s v="TUB-O-N-AUT-AW-PE-19.05X2.000X0.3580"/>
    <x v="0"/>
    <m/>
    <x v="0"/>
    <s v="HR"/>
    <m/>
    <m/>
    <m/>
    <m/>
    <x v="18"/>
    <s v="19.05-0-2-ERW 1-PE-0.358"/>
    <s v="#REF!"/>
    <s v="Hosur"/>
    <n v="0"/>
    <n v="0"/>
    <m/>
    <x v="2"/>
    <x v="2"/>
    <x v="0"/>
    <x v="8"/>
    <n v="358"/>
    <s v="NOS"/>
    <m/>
    <m/>
    <n v="10000"/>
    <m/>
    <n v="0"/>
    <n v="10000"/>
    <n v="3.009100622000001"/>
    <n v="0"/>
    <n v="3.009100622000001"/>
    <n v="69.61548526109739"/>
    <n v="0.020948"/>
    <m/>
    <n v="0"/>
    <n v="11.189"/>
    <n v="2.988152622"/>
    <m/>
  </r>
  <r>
    <n v="365"/>
    <s v="Hosur"/>
    <x v="18"/>
    <s v="Rajsriya Automotive Mysore"/>
    <x v="14"/>
    <m/>
    <s v="930883|189481-"/>
    <s v="TUB-O-N-AUT-AW-PE-19.05X2.000X0.3940"/>
    <x v="0"/>
    <m/>
    <x v="0"/>
    <s v="CR"/>
    <s v="ST52AL"/>
    <m/>
    <s v="AG"/>
    <m/>
    <x v="18"/>
    <s v="19.05-0-2-ERW 1-PE-0.394"/>
    <n v="1"/>
    <s v="Hosur"/>
    <n v="0"/>
    <n v="0"/>
    <m/>
    <x v="2"/>
    <x v="2"/>
    <x v="0"/>
    <x v="8"/>
    <n v="394"/>
    <s v="NOS"/>
    <m/>
    <m/>
    <m/>
    <m/>
    <n v="0"/>
    <n v="0"/>
    <n v="0"/>
    <n v="0"/>
    <n v="0"/>
    <e v="#DIV/0!"/>
    <n v="0"/>
    <m/>
    <n v="0"/>
    <n v="11.189"/>
    <n v="0"/>
    <m/>
  </r>
  <r>
    <n v="377"/>
    <s v="Hosur"/>
    <x v="18"/>
    <s v="Rajsriya Automotive Mysore"/>
    <x v="14"/>
    <n v="2403383"/>
    <s v="930883|189481-2403383"/>
    <s v="TUB-O-N-AUT-AW-PE-19.05X2.000X0.4750"/>
    <x v="0"/>
    <m/>
    <x v="0"/>
    <s v="HR"/>
    <m/>
    <m/>
    <m/>
    <m/>
    <x v="18"/>
    <s v="19.05-0-2-ERW 1-PE-0.475"/>
    <n v="2"/>
    <s v="Hosur"/>
    <n v="0"/>
    <n v="0"/>
    <m/>
    <x v="2"/>
    <x v="2"/>
    <x v="0"/>
    <x v="8"/>
    <n v="475"/>
    <s v="NOS"/>
    <m/>
    <m/>
    <n v="20000"/>
    <m/>
    <n v="0"/>
    <n v="20000"/>
    <n v="7.98504355"/>
    <n v="0"/>
    <n v="7.98504355"/>
    <n v="22.04120727682193"/>
    <n v="0.008800000000000001"/>
    <m/>
    <n v="0"/>
    <n v="11.189"/>
    <n v="7.97624355"/>
    <m/>
  </r>
  <r>
    <m/>
    <s v="Hosur"/>
    <x v="18"/>
    <s v="Rajsriya Automotive Mysore"/>
    <x v="14"/>
    <m/>
    <s v="930883|189481-"/>
    <m/>
    <x v="0"/>
    <m/>
    <x v="1"/>
    <m/>
    <m/>
    <m/>
    <m/>
    <m/>
    <x v="1"/>
    <m/>
    <m/>
    <m/>
    <m/>
    <m/>
    <m/>
    <x v="2"/>
    <x v="2"/>
    <x v="0"/>
    <x v="8"/>
    <n v="775"/>
    <s v="NOS"/>
    <m/>
    <m/>
    <n v="10000"/>
    <m/>
    <n v="0"/>
    <n v="10000"/>
    <n v="6.514114475"/>
    <n v="0"/>
    <n v="6.514114475"/>
    <n v="0"/>
    <n v="0"/>
    <m/>
    <n v="0"/>
    <n v="0"/>
    <n v="6.514114475"/>
    <m/>
  </r>
  <r>
    <n v="361"/>
    <s v="Hosur"/>
    <x v="18"/>
    <s v="Rajsriya Automotive Mysore"/>
    <x v="14"/>
    <n v="3747395"/>
    <s v="930883|189481-3747395"/>
    <s v="PT2-O-N-AUT-AW-PE-22.20X1.600X0.361"/>
    <x v="0"/>
    <m/>
    <x v="1"/>
    <s v="HR"/>
    <m/>
    <m/>
    <m/>
    <m/>
    <x v="147"/>
    <s v="22.23-0-1.6-ERW 1--0.361"/>
    <s v="#REF!"/>
    <m/>
    <m/>
    <m/>
    <m/>
    <x v="11"/>
    <x v="11"/>
    <x v="0"/>
    <x v="0"/>
    <n v="361"/>
    <s v="NOS"/>
    <m/>
    <m/>
    <m/>
    <m/>
    <n v="0"/>
    <n v="0"/>
    <n v="0"/>
    <n v="0"/>
    <n v="0"/>
    <e v="#DIV/0!"/>
    <n v="0"/>
    <m/>
    <n v="0"/>
    <n v="0"/>
    <n v="0"/>
    <m/>
  </r>
  <r>
    <n v="362"/>
    <s v="Hosur"/>
    <x v="18"/>
    <s v="Rajsriya Automotive Mysore"/>
    <x v="14"/>
    <n v="1940445"/>
    <s v="930883|189481-1940445"/>
    <s v="TUB-O-O-AUT-AW-PE-22.23X2.000X0.5050"/>
    <x v="0"/>
    <m/>
    <x v="1"/>
    <s v="HR"/>
    <m/>
    <m/>
    <m/>
    <m/>
    <x v="22"/>
    <s v="22.23-0-2-ERW 1--0.505"/>
    <s v="#REF!"/>
    <m/>
    <m/>
    <m/>
    <m/>
    <x v="11"/>
    <x v="11"/>
    <x v="0"/>
    <x v="8"/>
    <n v="505"/>
    <s v="NOS"/>
    <m/>
    <m/>
    <m/>
    <m/>
    <n v="0"/>
    <n v="0"/>
    <n v="0"/>
    <n v="0"/>
    <n v="0"/>
    <e v="#DIV/0!"/>
    <n v="0"/>
    <m/>
    <n v="0"/>
    <n v="0"/>
    <n v="0"/>
    <m/>
  </r>
  <r>
    <n v="363"/>
    <s v="Hosur"/>
    <x v="18"/>
    <s v="Rajsriya Automotive Mysore"/>
    <x v="14"/>
    <n v="1940470"/>
    <s v="930883|189481-1940470"/>
    <s v="TUB-O-O-AUT-AW-PE-22.23X2.000X0.8510"/>
    <x v="0"/>
    <m/>
    <x v="1"/>
    <s v="HR"/>
    <m/>
    <m/>
    <m/>
    <m/>
    <x v="22"/>
    <s v="22.23-0-2-ERW 1--0.851"/>
    <s v="#REF!"/>
    <m/>
    <m/>
    <m/>
    <m/>
    <x v="11"/>
    <x v="11"/>
    <x v="0"/>
    <x v="8"/>
    <n v="851"/>
    <s v="NOS"/>
    <m/>
    <m/>
    <m/>
    <m/>
    <n v="0"/>
    <n v="0"/>
    <n v="0"/>
    <n v="0"/>
    <n v="0"/>
    <e v="#DIV/0!"/>
    <n v="0"/>
    <m/>
    <n v="0"/>
    <n v="0"/>
    <n v="0"/>
    <m/>
  </r>
  <r>
    <n v="364"/>
    <s v="Hosur"/>
    <x v="18"/>
    <s v="Rajsriya Automotive Mysore"/>
    <x v="14"/>
    <n v="1940472"/>
    <s v="930883|189481-1940472"/>
    <s v="TUB-O-O-AUT-AW-PE-22.23X2.000X0.8620"/>
    <x v="0"/>
    <m/>
    <x v="1"/>
    <s v="HR"/>
    <m/>
    <m/>
    <m/>
    <m/>
    <x v="22"/>
    <s v="22.23-0-2-ERW 1--0.862"/>
    <s v="#REF!"/>
    <m/>
    <m/>
    <m/>
    <m/>
    <x v="11"/>
    <x v="11"/>
    <x v="0"/>
    <x v="8"/>
    <n v="862"/>
    <s v="NOS"/>
    <m/>
    <m/>
    <m/>
    <m/>
    <n v="0"/>
    <n v="0"/>
    <n v="0"/>
    <n v="0"/>
    <n v="0"/>
    <e v="#DIV/0!"/>
    <n v="0"/>
    <m/>
    <n v="0"/>
    <n v="0"/>
    <n v="0"/>
    <m/>
  </r>
  <r>
    <n v="417"/>
    <s v="Hosur"/>
    <x v="18"/>
    <s v="Rajsriya Automotive Mysore"/>
    <x v="14"/>
    <n v="3087645"/>
    <s v="930883|189481-3087645"/>
    <s v="TUB-O-N-AUT-AW-PE-22.20X2.300X0.4250"/>
    <x v="0"/>
    <m/>
    <x v="0"/>
    <s v="HR"/>
    <m/>
    <m/>
    <m/>
    <m/>
    <x v="24"/>
    <s v="22.23-0-2.3-ERW 1-PE-0.425"/>
    <n v="2"/>
    <m/>
    <n v="6.810974000000001"/>
    <n v="0"/>
    <m/>
    <x v="11"/>
    <x v="11"/>
    <x v="0"/>
    <x v="9"/>
    <n v="425"/>
    <s v="NOS"/>
    <m/>
    <m/>
    <n v="10000"/>
    <m/>
    <n v="0"/>
    <n v="10000"/>
    <n v="4.802013421749999"/>
    <n v="0"/>
    <n v="4.802013421749999"/>
    <n v="0"/>
    <n v="0"/>
    <m/>
    <n v="6.810974"/>
    <n v="0"/>
    <n v="4.802013421749999"/>
    <m/>
  </r>
  <r>
    <n v="418"/>
    <s v="Hosur"/>
    <x v="18"/>
    <s v="Rajsriya Automotive Mysore"/>
    <x v="14"/>
    <n v="1940510"/>
    <s v="930883|189481-1940510"/>
    <s v="TUB-O-O-AUT-AW-PE-22.23X2.300X6.0000"/>
    <x v="0"/>
    <m/>
    <x v="0"/>
    <s v="HR"/>
    <m/>
    <m/>
    <m/>
    <m/>
    <x v="24"/>
    <s v="22.23-0-2.3-ERW 1-PE-1"/>
    <s v="#REF!"/>
    <m/>
    <n v="6.810974000000001"/>
    <n v="0"/>
    <m/>
    <x v="11"/>
    <x v="11"/>
    <x v="0"/>
    <x v="9"/>
    <n v="1000"/>
    <s v="M"/>
    <m/>
    <m/>
    <n v="5000"/>
    <m/>
    <n v="2550"/>
    <n v="2450"/>
    <n v="5.649427554999999"/>
    <n v="2.88120805305"/>
    <n v="2.768219501949999"/>
    <n v="0"/>
    <n v="0"/>
    <m/>
    <n v="6.810974"/>
    <n v="0"/>
    <n v="5.649427554999999"/>
    <m/>
  </r>
  <r>
    <n v="366"/>
    <s v="Hosur"/>
    <x v="18"/>
    <s v="Rajsriya Automotive Mysore"/>
    <x v="14"/>
    <n v="1940562"/>
    <s v="930883|189481-1940562"/>
    <s v="TUB-O-O-AUT-AW-FC-25.40X1.600X0.3600"/>
    <x v="0"/>
    <m/>
    <x v="2"/>
    <s v="HR"/>
    <m/>
    <m/>
    <m/>
    <m/>
    <x v="86"/>
    <s v="25.4-0-1.6-ERW 1-FC-0.36"/>
    <s v="#REF!"/>
    <m/>
    <m/>
    <m/>
    <m/>
    <x v="3"/>
    <x v="3"/>
    <x v="0"/>
    <x v="0"/>
    <n v="360"/>
    <s v="NOS"/>
    <m/>
    <m/>
    <m/>
    <m/>
    <n v="0"/>
    <n v="0"/>
    <n v="0"/>
    <n v="0"/>
    <n v="0"/>
    <e v="#DIV/0!"/>
    <n v="0"/>
    <m/>
    <n v="0"/>
    <n v="0"/>
    <n v="0"/>
    <m/>
  </r>
  <r>
    <n v="367"/>
    <s v="Hosur"/>
    <x v="18"/>
    <s v="Rajsriya Automotive Mysore"/>
    <x v="14"/>
    <n v="1940603"/>
    <s v="930883|189481-1940603"/>
    <s v="TUB-O-O-AUT-AW-FC-25.40X2.600X0.3600"/>
    <x v="0"/>
    <m/>
    <x v="1"/>
    <s v="HR"/>
    <m/>
    <m/>
    <m/>
    <m/>
    <x v="148"/>
    <s v="25.4-0-2.6-ERW 1--0.36"/>
    <s v="#REF!"/>
    <m/>
    <m/>
    <m/>
    <m/>
    <x v="3"/>
    <x v="3"/>
    <x v="0"/>
    <x v="14"/>
    <n v="360"/>
    <s v="NOS"/>
    <m/>
    <m/>
    <m/>
    <m/>
    <n v="0"/>
    <n v="0"/>
    <n v="0"/>
    <n v="0"/>
    <n v="0"/>
    <e v="#DIV/0!"/>
    <n v="0"/>
    <m/>
    <n v="0"/>
    <n v="0"/>
    <n v="0"/>
    <m/>
  </r>
  <r>
    <n v="465"/>
    <s v="Hosur"/>
    <x v="18"/>
    <s v="Rajsriya Automotive Mysore"/>
    <x v="14"/>
    <n v="1941840"/>
    <s v="930883|189481-1941840"/>
    <s v="TUB-E-O-AUT-AW-FC-31.75X2.500X6.0000"/>
    <x v="0"/>
    <m/>
    <x v="2"/>
    <s v="HR"/>
    <m/>
    <m/>
    <m/>
    <m/>
    <x v="149"/>
    <s v="31.75-0-2.5-ERW 1-FC-1"/>
    <s v="#REF!"/>
    <s v="Hosur"/>
    <n v="0.6083809999999999"/>
    <m/>
    <m/>
    <x v="10"/>
    <x v="10"/>
    <x v="0"/>
    <x v="10"/>
    <n v="1000"/>
    <s v="M"/>
    <m/>
    <m/>
    <n v="3000"/>
    <m/>
    <n v="1775"/>
    <n v="1225"/>
    <n v="5.407374375000001"/>
    <n v="3.199363171875"/>
    <n v="2.208011203125"/>
    <n v="0"/>
    <n v="0"/>
    <m/>
    <n v="5.039682"/>
    <n v="0"/>
    <n v="5.407374375000001"/>
    <m/>
  </r>
  <r>
    <n v="370"/>
    <s v="Hosur"/>
    <x v="18"/>
    <s v="Rajsriya Automotive Mysore"/>
    <x v="14"/>
    <n v="3186831"/>
    <s v="930883|189481-3186831"/>
    <s v="TUB-O-N-AUT-AW-FC-41.28X2.600X0.8480"/>
    <x v="0"/>
    <m/>
    <x v="2"/>
    <s v="HR"/>
    <m/>
    <m/>
    <m/>
    <m/>
    <x v="150"/>
    <s v="41.28-0-2.6-ERW 1-FC-0.848"/>
    <s v="#REF!"/>
    <m/>
    <m/>
    <m/>
    <m/>
    <x v="15"/>
    <x v="32"/>
    <x v="0"/>
    <x v="14"/>
    <n v="848"/>
    <s v="NOS"/>
    <m/>
    <m/>
    <m/>
    <m/>
    <n v="0"/>
    <n v="0"/>
    <n v="0"/>
    <n v="0"/>
    <n v="0"/>
    <e v="#DIV/0!"/>
    <n v="0"/>
    <m/>
    <n v="0"/>
    <n v="0"/>
    <n v="0"/>
    <m/>
  </r>
  <r>
    <n v="372"/>
    <s v="Khopoli "/>
    <x v="18"/>
    <s v="Rajsriya Automotive Mysore"/>
    <x v="14"/>
    <n v="1938358"/>
    <s v="930883|189481-1938358"/>
    <s v="TUB-O-N-AUT-AN-FC-42.70X4.000X0.2540"/>
    <x v="0"/>
    <s v="Annealed"/>
    <x v="2"/>
    <s v="HR"/>
    <m/>
    <s v="Chamferring"/>
    <m/>
    <m/>
    <x v="35"/>
    <s v="42.7-0-4-ERW 1-FC-0.254"/>
    <s v="#REF!"/>
    <s v="Khopoli"/>
    <n v="0.2833830000000002"/>
    <n v="29.067884"/>
    <m/>
    <x v="16"/>
    <x v="16"/>
    <x v="0"/>
    <x v="11"/>
    <n v="254"/>
    <s v="NOS"/>
    <m/>
    <m/>
    <n v="10000"/>
    <m/>
    <n v="1855"/>
    <n v="8145"/>
    <n v="9.691789608000001"/>
    <n v="1.797826972284"/>
    <n v="7.893962635716"/>
    <n v="0"/>
    <n v="0"/>
    <m/>
    <n v="236.024487"/>
    <n v="0"/>
    <n v="9.691789608000001"/>
    <m/>
  </r>
  <r>
    <n v="486"/>
    <s v="Hosur"/>
    <x v="18"/>
    <s v="Rajsriya Automotive Mysore"/>
    <x v="14"/>
    <n v="1940830"/>
    <s v="930883|189481-1940830"/>
    <s v="TUB-R-AW-RHS-40.00X30.00X1.600X0.8600"/>
    <x v="0"/>
    <m/>
    <x v="2"/>
    <s v="CR"/>
    <s v="GR1"/>
    <m/>
    <m/>
    <m/>
    <x v="36"/>
    <s v="40-30-1.6-ERW 1-FC-0.86"/>
    <n v="2"/>
    <m/>
    <n v="0.9578630000000001"/>
    <n v="0"/>
    <m/>
    <x v="17"/>
    <x v="15"/>
    <x v="1"/>
    <x v="0"/>
    <n v="860"/>
    <s v="NOS"/>
    <m/>
    <m/>
    <n v="8000"/>
    <m/>
    <n v="0"/>
    <n v="8000"/>
    <n v="11.6267558272"/>
    <n v="0"/>
    <n v="11.6267558272"/>
    <n v="9.667357057335623"/>
    <n v="0.01405"/>
    <m/>
    <n v="0.957863"/>
    <n v="0"/>
    <n v="11.6127058272"/>
    <m/>
  </r>
  <r>
    <n v="488"/>
    <s v="Hosur"/>
    <x v="18"/>
    <s v="Rajsriya Automotive Mysore"/>
    <x v="14"/>
    <n v="1940837"/>
    <s v="930883|189481-1940837"/>
    <s v="TUB-R-AW-RHS-40.00X30.00X2.000X0.8700"/>
    <x v="0"/>
    <m/>
    <x v="2"/>
    <s v="HR"/>
    <m/>
    <m/>
    <m/>
    <m/>
    <x v="37"/>
    <s v="40-30-2-ERW 1-FC-0.87"/>
    <s v="#REF!"/>
    <s v="Hosur"/>
    <n v="0"/>
    <n v="0"/>
    <m/>
    <x v="17"/>
    <x v="15"/>
    <x v="1"/>
    <x v="8"/>
    <n v="870"/>
    <s v="NOS"/>
    <m/>
    <m/>
    <n v="8000"/>
    <m/>
    <n v="6984"/>
    <n v="1016"/>
    <n v="14.565192696"/>
    <n v="12.715413223608"/>
    <n v="1.849779472392001"/>
    <n v="5677.466390314895"/>
    <n v="10.336674"/>
    <m/>
    <n v="0"/>
    <n v="26.636"/>
    <n v="4.228518696000002"/>
    <m/>
  </r>
  <r>
    <n v="498"/>
    <s v="Hosur"/>
    <x v="18"/>
    <s v="Rajsriya Automotive Mysore"/>
    <x v="14"/>
    <n v="1940911"/>
    <s v="930883|189481-1940911"/>
    <s v="TUB-O-O-AUT-AW-AG-57.15X2.500X0.7720"/>
    <x v="0"/>
    <m/>
    <x v="2"/>
    <s v="HR"/>
    <m/>
    <m/>
    <s v="AG"/>
    <m/>
    <x v="97"/>
    <s v="57.15-0-2.5-ERW 1-FC-0.772"/>
    <n v="2"/>
    <s v="Hosur"/>
    <n v="0.806104"/>
    <n v="5.020818"/>
    <m/>
    <x v="19"/>
    <x v="19"/>
    <x v="0"/>
    <x v="10"/>
    <n v="772"/>
    <s v="NOS"/>
    <m/>
    <m/>
    <m/>
    <m/>
    <n v="1799"/>
    <n v="-1799"/>
    <n v="0"/>
    <n v="4.677113869949499"/>
    <n v="-4.677113869949499"/>
    <e v="#DIV/0!"/>
    <n v="0.015624"/>
    <m/>
    <n v="18.554922"/>
    <n v="0"/>
    <n v="-0.015624"/>
    <m/>
  </r>
  <r>
    <n v="424"/>
    <s v="Hosur"/>
    <x v="19"/>
    <s v="Rucha Hosur"/>
    <x v="15"/>
    <n v="1940043"/>
    <s v="188534-1940043"/>
    <s v="TUB-O-O-AUT-AW-PE-15.88X1.200X0.8880"/>
    <x v="0"/>
    <m/>
    <x v="0"/>
    <s v="HR"/>
    <m/>
    <m/>
    <m/>
    <m/>
    <x v="2"/>
    <s v="15.88-0-1.2-ERW 1-PE-0.888"/>
    <n v="2"/>
    <s v="Hosur"/>
    <m/>
    <m/>
    <m/>
    <x v="1"/>
    <x v="1"/>
    <x v="0"/>
    <x v="2"/>
    <n v="888"/>
    <s v="NOS"/>
    <m/>
    <m/>
    <m/>
    <m/>
    <n v="0"/>
    <n v="0"/>
    <n v="0"/>
    <n v="0"/>
    <n v="0"/>
    <e v="#DIV/0!"/>
    <n v="1.41873"/>
    <m/>
    <n v="6.069591"/>
    <n v="7.386"/>
    <n v="-1.41873"/>
    <m/>
  </r>
  <r>
    <n v="425"/>
    <s v="Hosur"/>
    <x v="19"/>
    <s v="Rucha Hosur"/>
    <x v="15"/>
    <n v="3506797"/>
    <s v="188534-3506797"/>
    <s v="CUT-O-N-AUT-AW-PE-15.88X2.000X0.291"/>
    <x v="0"/>
    <m/>
    <x v="0"/>
    <s v="HR"/>
    <m/>
    <m/>
    <m/>
    <m/>
    <x v="16"/>
    <s v="15.88-0-2-ERW 1-PE-0.291"/>
    <n v="5"/>
    <s v="Hosur"/>
    <m/>
    <m/>
    <m/>
    <x v="1"/>
    <x v="1"/>
    <x v="0"/>
    <x v="8"/>
    <n v="291"/>
    <s v="NOS"/>
    <m/>
    <m/>
    <m/>
    <m/>
    <n v="0"/>
    <n v="0"/>
    <n v="0"/>
    <n v="0"/>
    <n v="0"/>
    <e v="#DIV/0!"/>
    <n v="0.293634"/>
    <m/>
    <n v="0"/>
    <n v="0.244"/>
    <n v="-0.293634"/>
    <m/>
  </r>
  <r>
    <n v="427"/>
    <s v="Hosur"/>
    <x v="19"/>
    <s v="Rucha Hosur"/>
    <x v="15"/>
    <n v="3732182"/>
    <s v="188534-3732182"/>
    <s v="TUB-O-O-AUT-AW-PE-19.05X2.000X0.8200"/>
    <x v="0"/>
    <m/>
    <x v="0"/>
    <s v="HR"/>
    <m/>
    <m/>
    <m/>
    <m/>
    <x v="18"/>
    <s v="19.05-0-2-ERW 1-PE-0.82"/>
    <s v="#REF!"/>
    <s v="Hosur"/>
    <s v="Plan"/>
    <m/>
    <m/>
    <x v="2"/>
    <x v="2"/>
    <x v="0"/>
    <x v="8"/>
    <n v="820"/>
    <s v="NOS"/>
    <m/>
    <m/>
    <m/>
    <m/>
    <n v="0"/>
    <n v="0"/>
    <n v="0"/>
    <n v="0"/>
    <n v="0"/>
    <e v="#DIV/0!"/>
    <n v="0"/>
    <m/>
    <n v="0"/>
    <n v="11.189"/>
    <n v="0"/>
    <m/>
  </r>
  <r>
    <n v="428"/>
    <s v="Hosur"/>
    <x v="19"/>
    <s v="Rucha Hosur"/>
    <x v="15"/>
    <m/>
    <s v="188534-"/>
    <m/>
    <x v="0"/>
    <m/>
    <x v="0"/>
    <s v="HR"/>
    <m/>
    <m/>
    <m/>
    <m/>
    <x v="19"/>
    <s v="19.05-0-2.3-ERW 1-PE-0.25"/>
    <s v="#REF!"/>
    <m/>
    <m/>
    <m/>
    <m/>
    <x v="2"/>
    <x v="2"/>
    <x v="0"/>
    <x v="9"/>
    <n v="250"/>
    <s v="NOS"/>
    <m/>
    <m/>
    <m/>
    <m/>
    <n v="0"/>
    <n v="0"/>
    <n v="0"/>
    <n v="0"/>
    <n v="0"/>
    <e v="#DIV/0!"/>
    <n v="0"/>
    <m/>
    <n v="79.22211800000001"/>
    <n v="6.015"/>
    <n v="0"/>
    <m/>
  </r>
  <r>
    <n v="429"/>
    <s v="Hosur"/>
    <x v="19"/>
    <s v="Rucha Hosur"/>
    <x v="15"/>
    <n v="2427712"/>
    <s v="188534-2427712"/>
    <s v="TUB-O-N-AUT-AW-PE-19.05X2.300X0.2550"/>
    <x v="0"/>
    <m/>
    <x v="1"/>
    <s v="HR"/>
    <m/>
    <m/>
    <m/>
    <m/>
    <x v="145"/>
    <s v="19.05-0-2.3-ERW 1--0.255"/>
    <s v="#REF!"/>
    <m/>
    <m/>
    <m/>
    <m/>
    <x v="2"/>
    <x v="2"/>
    <x v="0"/>
    <x v="9"/>
    <n v="255"/>
    <s v="NOS"/>
    <m/>
    <m/>
    <m/>
    <m/>
    <n v="0"/>
    <n v="0"/>
    <n v="0"/>
    <n v="0"/>
    <n v="0"/>
    <e v="#DIV/0!"/>
    <n v="0"/>
    <m/>
    <n v="0"/>
    <n v="0"/>
    <n v="0"/>
    <m/>
  </r>
  <r>
    <n v="430"/>
    <s v="Hosur"/>
    <x v="19"/>
    <s v="Rucha Hosur"/>
    <x v="15"/>
    <m/>
    <s v="188534-"/>
    <m/>
    <x v="0"/>
    <m/>
    <x v="0"/>
    <s v="HR"/>
    <m/>
    <m/>
    <m/>
    <m/>
    <x v="19"/>
    <s v="19.05-0-2.3-ERW 1-PE-0.278"/>
    <s v="#REF!"/>
    <m/>
    <m/>
    <m/>
    <m/>
    <x v="2"/>
    <x v="2"/>
    <x v="0"/>
    <x v="9"/>
    <n v="278"/>
    <s v="NOS"/>
    <m/>
    <m/>
    <m/>
    <m/>
    <n v="0"/>
    <n v="0"/>
    <n v="0"/>
    <n v="0"/>
    <n v="0"/>
    <e v="#DIV/0!"/>
    <n v="0"/>
    <m/>
    <n v="79.22211800000001"/>
    <n v="6.015"/>
    <n v="0"/>
    <m/>
  </r>
  <r>
    <n v="431"/>
    <s v="Hosur"/>
    <x v="19"/>
    <s v="Rucha Hosur"/>
    <x v="15"/>
    <n v="1940312"/>
    <s v="188534-1940312"/>
    <s v="TUB-O-O-AUT-AW-PE-19.05X2.300X0.2950"/>
    <x v="0"/>
    <m/>
    <x v="0"/>
    <s v="HR"/>
    <m/>
    <m/>
    <m/>
    <m/>
    <x v="19"/>
    <s v="19.05-0-2.3-ERW 1-PE-0.295"/>
    <s v="#REF!"/>
    <s v="Hosur"/>
    <s v="Plan"/>
    <m/>
    <m/>
    <x v="2"/>
    <x v="2"/>
    <x v="0"/>
    <x v="9"/>
    <n v="295"/>
    <s v="NOS"/>
    <m/>
    <m/>
    <m/>
    <m/>
    <n v="0"/>
    <n v="0"/>
    <n v="0"/>
    <n v="0"/>
    <n v="0"/>
    <e v="#DIV/0!"/>
    <n v="2.06404"/>
    <m/>
    <n v="79.22211800000001"/>
    <n v="6.015"/>
    <n v="-2.06404"/>
    <m/>
  </r>
  <r>
    <n v="432"/>
    <s v="Hosur"/>
    <x v="19"/>
    <s v="Rucha Hosur"/>
    <x v="15"/>
    <n v="3732180"/>
    <s v="188534-3732180"/>
    <s v="TUB-O-O-AUT-AW-FC-25.40X1.600X0.2080"/>
    <x v="0"/>
    <m/>
    <x v="2"/>
    <s v="CR"/>
    <s v="NORMAL"/>
    <m/>
    <m/>
    <m/>
    <x v="86"/>
    <s v="25.4-0-1.6-ERW 1-FC-0.208"/>
    <s v="#REF!"/>
    <s v="Hosur"/>
    <m/>
    <m/>
    <m/>
    <x v="3"/>
    <x v="3"/>
    <x v="0"/>
    <x v="0"/>
    <n v="208"/>
    <s v="NOS"/>
    <m/>
    <m/>
    <m/>
    <m/>
    <n v="0"/>
    <n v="0"/>
    <n v="0"/>
    <n v="0"/>
    <n v="0"/>
    <e v="#DIV/0!"/>
    <n v="0.001075"/>
    <m/>
    <n v="0"/>
    <n v="0"/>
    <n v="-0.001075"/>
    <m/>
  </r>
  <r>
    <n v="433"/>
    <s v="Hosur"/>
    <x v="19"/>
    <s v="Rucha Hosur"/>
    <x v="15"/>
    <n v="3732181"/>
    <s v="188534-3732181"/>
    <s v="TUB-O-O-AUT-AW-FC-25.40X2.000X0.2830"/>
    <x v="0"/>
    <m/>
    <x v="1"/>
    <s v="HR"/>
    <m/>
    <m/>
    <m/>
    <m/>
    <x v="160"/>
    <s v="25.4-0-2-ERW 1--0.283"/>
    <s v="#REF!"/>
    <m/>
    <m/>
    <m/>
    <m/>
    <x v="3"/>
    <x v="3"/>
    <x v="0"/>
    <x v="8"/>
    <n v="283"/>
    <s v="NOS"/>
    <m/>
    <m/>
    <m/>
    <m/>
    <n v="0"/>
    <n v="0"/>
    <n v="0"/>
    <n v="0"/>
    <n v="0"/>
    <e v="#DIV/0!"/>
    <n v="0"/>
    <m/>
    <n v="0"/>
    <n v="0"/>
    <n v="0"/>
    <m/>
  </r>
  <r>
    <n v="434"/>
    <s v="Hosur"/>
    <x v="19"/>
    <s v="Rucha Hosur"/>
    <x v="15"/>
    <m/>
    <s v="188534-"/>
    <m/>
    <x v="0"/>
    <m/>
    <x v="2"/>
    <s v="HR"/>
    <m/>
    <m/>
    <m/>
    <m/>
    <x v="161"/>
    <s v="31.75-0-2.3-ERW 1-FC-0.193"/>
    <s v="#REF!"/>
    <m/>
    <n v="1.669"/>
    <n v="0"/>
    <m/>
    <x v="10"/>
    <x v="10"/>
    <x v="0"/>
    <x v="9"/>
    <n v="193"/>
    <s v="NOS"/>
    <m/>
    <m/>
    <m/>
    <m/>
    <n v="0"/>
    <n v="0"/>
    <n v="0"/>
    <n v="0"/>
    <n v="0"/>
    <e v="#DIV/0!"/>
    <n v="0"/>
    <m/>
    <n v="1.669"/>
    <n v="0"/>
    <n v="0"/>
    <m/>
  </r>
  <r>
    <n v="436"/>
    <s v="JSR "/>
    <x v="19"/>
    <s v="Rucha Hosur"/>
    <x v="15"/>
    <n v="3767397"/>
    <s v="188534-3767397"/>
    <m/>
    <x v="0"/>
    <m/>
    <x v="2"/>
    <s v="HR"/>
    <m/>
    <m/>
    <m/>
    <m/>
    <x v="127"/>
    <s v="38.1-0-2-ERW 1-FC-0.278"/>
    <s v="#REF!"/>
    <m/>
    <m/>
    <m/>
    <m/>
    <x v="14"/>
    <x v="30"/>
    <x v="0"/>
    <x v="8"/>
    <n v="278"/>
    <s v="NOS"/>
    <m/>
    <m/>
    <m/>
    <m/>
    <n v="0"/>
    <n v="0"/>
    <n v="0"/>
    <n v="0"/>
    <n v="0"/>
    <e v="#DIV/0!"/>
    <n v="0"/>
    <m/>
    <n v="95.257248"/>
    <n v="1.995"/>
    <n v="0"/>
    <m/>
  </r>
  <r>
    <n v="438"/>
    <s v="Hosur"/>
    <x v="19"/>
    <s v="Rucha Hosur"/>
    <x v="15"/>
    <n v="2440971"/>
    <s v="188534-2440971"/>
    <s v="TUB-R-AW-AUT-40.00X25.00X1.600X0.3180"/>
    <x v="0"/>
    <m/>
    <x v="2"/>
    <s v="CR"/>
    <s v="HROP"/>
    <m/>
    <m/>
    <m/>
    <x v="33"/>
    <s v="40-25-1.6-ERW 1-FC-0.318"/>
    <n v="1"/>
    <s v="Hosur"/>
    <m/>
    <m/>
    <m/>
    <x v="15"/>
    <x v="15"/>
    <x v="3"/>
    <x v="0"/>
    <n v="318"/>
    <s v="NOS"/>
    <m/>
    <m/>
    <m/>
    <m/>
    <n v="0"/>
    <n v="0"/>
    <n v="0"/>
    <n v="0"/>
    <n v="0"/>
    <e v="#DIV/0!"/>
    <n v="0"/>
    <m/>
    <n v="0.618274"/>
    <n v="0"/>
    <n v="0"/>
    <m/>
  </r>
  <r>
    <n v="439"/>
    <s v="Khopoli "/>
    <x v="19"/>
    <s v="Rucha Hosur"/>
    <x v="15"/>
    <n v="3433148"/>
    <s v="188534-3433148"/>
    <s v="TUB-O-N-AUT-BH-FC-42.70X3.500X0.2470"/>
    <x v="0"/>
    <s v="Annealed"/>
    <x v="2"/>
    <s v="HR"/>
    <m/>
    <s v="Chamferring"/>
    <m/>
    <m/>
    <x v="93"/>
    <s v="42.7-0-3.5-ERW 1-FC-0.247"/>
    <s v="#REF!"/>
    <s v="Khopoli"/>
    <s v="Plan"/>
    <m/>
    <m/>
    <x v="16"/>
    <x v="16"/>
    <x v="0"/>
    <x v="17"/>
    <n v="247"/>
    <s v="NOS"/>
    <m/>
    <m/>
    <m/>
    <m/>
    <n v="0"/>
    <n v="0"/>
    <n v="0"/>
    <n v="0"/>
    <n v="0"/>
    <e v="#DIV/0!"/>
    <n v="0"/>
    <m/>
    <n v="12.367421"/>
    <n v="0"/>
    <n v="0"/>
    <m/>
  </r>
  <r>
    <n v="441"/>
    <s v="Hosur"/>
    <x v="19"/>
    <s v="Rucha Hosur"/>
    <x v="15"/>
    <n v="3732177"/>
    <s v="188534-3732177"/>
    <s v="TUB-O-N-AUT-AW-AG-57.15X2.500X0.3260"/>
    <x v="0"/>
    <m/>
    <x v="2"/>
    <s v="HR"/>
    <m/>
    <m/>
    <s v="AG"/>
    <m/>
    <x v="97"/>
    <s v="57.15-0-2.5-ERW 1-FC-0.326"/>
    <s v="#REF!"/>
    <s v="Hosur"/>
    <s v="Plan"/>
    <m/>
    <m/>
    <x v="19"/>
    <x v="19"/>
    <x v="0"/>
    <x v="10"/>
    <n v="326"/>
    <s v="NOS"/>
    <m/>
    <m/>
    <m/>
    <m/>
    <n v="0"/>
    <n v="0"/>
    <n v="0"/>
    <n v="0"/>
    <n v="0"/>
    <e v="#DIV/0!"/>
    <n v="0"/>
    <m/>
    <n v="18.554922"/>
    <n v="0"/>
    <n v="0"/>
    <m/>
  </r>
  <r>
    <n v="442"/>
    <s v="Hosur"/>
    <x v="19"/>
    <s v="Rucha Hosur"/>
    <x v="15"/>
    <n v="2440972"/>
    <s v="188534-2440972"/>
    <s v="TUB-O-N-AUT-AW-FC-57.15X2.500X0.3750"/>
    <x v="0"/>
    <m/>
    <x v="2"/>
    <s v="HR"/>
    <m/>
    <m/>
    <m/>
    <m/>
    <x v="97"/>
    <s v="57.15-0-2.5-ERW 1-FC-0.375"/>
    <s v="#REF!"/>
    <s v="Hosur"/>
    <s v="Plan"/>
    <m/>
    <m/>
    <x v="19"/>
    <x v="19"/>
    <x v="0"/>
    <x v="10"/>
    <n v="375"/>
    <s v="NOS"/>
    <m/>
    <m/>
    <m/>
    <m/>
    <n v="0"/>
    <n v="0"/>
    <n v="0"/>
    <n v="0"/>
    <n v="0"/>
    <e v="#DIV/0!"/>
    <n v="0"/>
    <m/>
    <n v="18.554922"/>
    <n v="0"/>
    <n v="0"/>
    <m/>
  </r>
  <r>
    <n v="443"/>
    <s v="Hosur"/>
    <x v="19"/>
    <s v="Rucha Hosur"/>
    <x v="15"/>
    <n v="3731697"/>
    <s v="188534-3731697"/>
    <s v="CUT-O-N-AUT-AW-AG-57.15X2.500X0.5260"/>
    <x v="0"/>
    <m/>
    <x v="2"/>
    <s v="HR"/>
    <m/>
    <m/>
    <s v="AG"/>
    <m/>
    <x v="97"/>
    <s v="57.15-0-2.5-ERW 1-FC-0.526"/>
    <s v="#REF!"/>
    <s v="Hosur"/>
    <s v="Plan"/>
    <m/>
    <m/>
    <x v="19"/>
    <x v="19"/>
    <x v="0"/>
    <x v="10"/>
    <n v="526"/>
    <s v="NOS"/>
    <m/>
    <m/>
    <m/>
    <m/>
    <n v="0"/>
    <n v="0"/>
    <n v="0"/>
    <n v="0"/>
    <n v="0"/>
    <e v="#DIV/0!"/>
    <n v="0"/>
    <m/>
    <n v="18.554922"/>
    <n v="0"/>
    <n v="0"/>
    <m/>
  </r>
  <r>
    <n v="435"/>
    <s v="Hosur"/>
    <x v="19"/>
    <s v="Rucha Hosur"/>
    <x v="15"/>
    <n v="3841884"/>
    <s v="188534-3841884"/>
    <s v="TUB-O-N-AUT-AW-FC-38.10X1.600X0.8750"/>
    <x v="5"/>
    <m/>
    <x v="2"/>
    <s v="CR"/>
    <s v="ST52AL"/>
    <m/>
    <m/>
    <m/>
    <x v="100"/>
    <s v="38.1-0-1.6-ERW 2 MAHS-FC-0.875"/>
    <s v="#REF!"/>
    <s v="JSR"/>
    <m/>
    <m/>
    <m/>
    <x v="14"/>
    <x v="30"/>
    <x v="0"/>
    <x v="0"/>
    <n v="875"/>
    <s v="NOS"/>
    <m/>
    <m/>
    <m/>
    <m/>
    <n v="0"/>
    <n v="0"/>
    <n v="0"/>
    <n v="0"/>
    <n v="0"/>
    <e v="#DIV/0!"/>
    <n v="0"/>
    <m/>
    <n v="0.371211"/>
    <n v="3.142"/>
    <n v="0"/>
    <m/>
  </r>
  <r>
    <n v="437"/>
    <s v="JSR"/>
    <x v="19"/>
    <s v="Rucha Hosur"/>
    <x v="15"/>
    <n v="2436343"/>
    <s v="188534-2436343"/>
    <s v="TUB-O-N-AUT-AW-FC-38.10X2.500X0.8750"/>
    <x v="5"/>
    <m/>
    <x v="2"/>
    <s v="HR"/>
    <s v="ST52AL"/>
    <m/>
    <m/>
    <m/>
    <x v="102"/>
    <s v="38.1-0-2.5-ERW 2 MAHS-FC-0.875"/>
    <s v="#REF!"/>
    <s v="JSR"/>
    <m/>
    <m/>
    <m/>
    <x v="14"/>
    <x v="30"/>
    <x v="0"/>
    <x v="10"/>
    <n v="875"/>
    <s v="NOS"/>
    <m/>
    <m/>
    <m/>
    <m/>
    <n v="0"/>
    <n v="0"/>
    <n v="0"/>
    <n v="0"/>
    <n v="0"/>
    <e v="#DIV/0!"/>
    <n v="0"/>
    <m/>
    <n v="0.58"/>
    <n v="0"/>
    <n v="0"/>
    <m/>
  </r>
  <r>
    <n v="426"/>
    <s v="Hosur"/>
    <x v="19"/>
    <s v="Rucha Hosur"/>
    <x v="15"/>
    <n v="2384088"/>
    <s v="188534-2384088"/>
    <s v="TUB-O-N-AUT-AW-PE-19.05X1.600X0.3550"/>
    <x v="2"/>
    <m/>
    <x v="1"/>
    <s v="HR"/>
    <m/>
    <m/>
    <m/>
    <m/>
    <x v="42"/>
    <s v="19.05-0-1.6---0.355"/>
    <s v="#REF!"/>
    <m/>
    <m/>
    <m/>
    <m/>
    <x v="2"/>
    <x v="2"/>
    <x v="0"/>
    <x v="0"/>
    <n v="355"/>
    <s v="NOS"/>
    <m/>
    <m/>
    <m/>
    <m/>
    <n v="0"/>
    <n v="0"/>
    <n v="0"/>
    <n v="0"/>
    <n v="0"/>
    <e v="#DIV/0!"/>
    <n v="0"/>
    <m/>
    <n v="0"/>
    <n v="0"/>
    <n v="0"/>
    <m/>
  </r>
  <r>
    <n v="440"/>
    <s v="Hosur"/>
    <x v="19"/>
    <s v="Rucha Hosur"/>
    <x v="15"/>
    <n v="3732176"/>
    <s v="188534-3732176"/>
    <s v="TUB-O-N-AUT-AW-AG-57.15X2.500X0.2950"/>
    <x v="2"/>
    <m/>
    <x v="1"/>
    <s v="HR"/>
    <m/>
    <m/>
    <m/>
    <m/>
    <x v="155"/>
    <s v="57.15-0-2.5---0.295"/>
    <s v="#REF!"/>
    <m/>
    <m/>
    <m/>
    <m/>
    <x v="19"/>
    <x v="19"/>
    <x v="0"/>
    <x v="10"/>
    <n v="295"/>
    <m/>
    <m/>
    <m/>
    <m/>
    <m/>
    <e v="#N/A"/>
    <e v="#N/A"/>
    <n v="0"/>
    <e v="#N/A"/>
    <e v="#N/A"/>
    <e v="#DIV/0!"/>
    <n v="0"/>
    <m/>
    <n v="0"/>
    <n v="0"/>
    <n v="0"/>
    <m/>
  </r>
  <r>
    <n v="480"/>
    <s v="Khopoli "/>
    <x v="20"/>
    <s v="SANDHAR Hosur"/>
    <x v="16"/>
    <n v="2412748"/>
    <s v="941496-2412748"/>
    <s v="TUB-O-C-AUT-AD-FC-33.30X2.000X4.3000"/>
    <x v="1"/>
    <m/>
    <x v="3"/>
    <s v="HR"/>
    <m/>
    <m/>
    <m/>
    <m/>
    <x v="162"/>
    <s v="33.3-29.3-2-CEW-CEW-1"/>
    <n v="1"/>
    <s v="Khopoli"/>
    <m/>
    <m/>
    <m/>
    <x v="39"/>
    <x v="47"/>
    <x v="20"/>
    <x v="8"/>
    <n v="1000"/>
    <s v="M"/>
    <m/>
    <m/>
    <n v="1000"/>
    <m/>
    <n v="0"/>
    <n v="1000"/>
    <n v="1.5430274"/>
    <n v="0"/>
    <n v="1.5430274"/>
    <n v="0"/>
    <n v="0"/>
    <m/>
    <n v="0"/>
    <n v="0"/>
    <n v="1.5430274"/>
    <m/>
  </r>
  <r>
    <n v="351"/>
    <s v="Khopoli "/>
    <x v="20"/>
    <s v="SANDHAR Hosur"/>
    <x v="16"/>
    <n v="1938118"/>
    <s v="941496-1938118"/>
    <s v="TUB-O-N-AUT-AW-PE-17.30X1.600X0.3550"/>
    <x v="0"/>
    <m/>
    <x v="0"/>
    <s v="CR"/>
    <s v="D"/>
    <m/>
    <m/>
    <m/>
    <x v="17"/>
    <s v="17.3-0-1.6-ERW 1-PE-0.355"/>
    <n v="2"/>
    <s v="Khopoli"/>
    <n v="0.09304000000000001"/>
    <m/>
    <m/>
    <x v="7"/>
    <x v="7"/>
    <x v="0"/>
    <x v="0"/>
    <n v="355"/>
    <s v="NOS"/>
    <m/>
    <m/>
    <n v="20000"/>
    <m/>
    <n v="0"/>
    <n v="20000"/>
    <n v="4.396198448"/>
    <n v="0"/>
    <n v="4.396198448"/>
    <n v="0"/>
    <n v="0"/>
    <m/>
    <n v="0.09304000000000001"/>
    <n v="0"/>
    <n v="4.396198448"/>
    <m/>
  </r>
  <r>
    <n v="353"/>
    <s v="Khopoli "/>
    <x v="20"/>
    <s v="SANDHAR Hosur"/>
    <x v="16"/>
    <n v="1938119"/>
    <s v="941496-1938119"/>
    <s v="TUB-O-N-AUT-AW-PE-17.30X1.600X0.4000"/>
    <x v="0"/>
    <m/>
    <x v="0"/>
    <s v="HR"/>
    <m/>
    <m/>
    <m/>
    <m/>
    <x v="17"/>
    <s v="17.3-0-1.6-ERW 1-PE-0.4"/>
    <n v="3"/>
    <s v="Khopoli"/>
    <m/>
    <m/>
    <m/>
    <x v="7"/>
    <x v="7"/>
    <x v="0"/>
    <x v="0"/>
    <n v="400"/>
    <s v="NOS"/>
    <m/>
    <m/>
    <m/>
    <m/>
    <n v="0"/>
    <n v="0"/>
    <n v="0"/>
    <n v="0"/>
    <n v="0"/>
    <e v="#DIV/0!"/>
    <n v="0"/>
    <m/>
    <n v="0.09304000000000001"/>
    <n v="0"/>
    <n v="0"/>
    <m/>
  </r>
  <r>
    <n v="351"/>
    <s v="Khopoli "/>
    <x v="20"/>
    <s v="SANDHAR Hosur"/>
    <x v="16"/>
    <n v="1938118"/>
    <s v="941496-1938118"/>
    <s v="TUB-O-N-AUT-AW-PE-17.30X1.600X0.3550"/>
    <x v="0"/>
    <m/>
    <x v="0"/>
    <s v="CR"/>
    <s v="D"/>
    <m/>
    <m/>
    <m/>
    <x v="17"/>
    <s v="17.3-0-1.6-ERW 1-PE-0.4"/>
    <n v="3"/>
    <s v="Khopoli"/>
    <m/>
    <m/>
    <m/>
    <x v="7"/>
    <x v="7"/>
    <x v="0"/>
    <x v="0"/>
    <n v="400"/>
    <s v="NOS"/>
    <m/>
    <m/>
    <m/>
    <m/>
    <n v="0"/>
    <n v="0"/>
    <n v="0"/>
    <n v="0"/>
    <n v="0"/>
    <e v="#DIV/0!"/>
    <n v="0"/>
    <m/>
    <n v="0.09304000000000001"/>
    <n v="0"/>
    <n v="0"/>
    <m/>
  </r>
  <r>
    <n v="359"/>
    <s v="Hosur"/>
    <x v="20"/>
    <s v="SANDHAR Hosur"/>
    <x v="16"/>
    <n v="1937022"/>
    <s v="941496-1937022"/>
    <s v="TUB-O-N-GEN-AW-PE-19.05X1.200X0.6500"/>
    <x v="0"/>
    <m/>
    <x v="0"/>
    <s v="CR"/>
    <m/>
    <m/>
    <m/>
    <m/>
    <x v="4"/>
    <s v="19.05-0-1.2-ERW 1-PE-0.65"/>
    <n v="1"/>
    <s v="Hosur"/>
    <n v="0"/>
    <n v="0"/>
    <m/>
    <x v="2"/>
    <x v="2"/>
    <x v="0"/>
    <x v="2"/>
    <n v="650"/>
    <s v="NOS"/>
    <m/>
    <m/>
    <n v="25000"/>
    <m/>
    <n v="4000"/>
    <n v="21000"/>
    <n v="8.579700675000002"/>
    <n v="1.372752108"/>
    <n v="7.206948567000001"/>
    <n v="10495.38945599638"/>
    <n v="3.601892"/>
    <m/>
    <n v="0"/>
    <n v="20.588"/>
    <n v="4.977808675000001"/>
    <m/>
  </r>
  <r>
    <n v="396"/>
    <s v="Hosur"/>
    <x v="20"/>
    <s v="SANDHAR Hosur"/>
    <x v="16"/>
    <n v="1940247"/>
    <s v="941496-1940247"/>
    <s v="TUB-O-O-AUT-AW-PE-19.05X1.600X0.5950"/>
    <x v="0"/>
    <m/>
    <x v="0"/>
    <s v="CR"/>
    <s v="GR1"/>
    <m/>
    <m/>
    <m/>
    <x v="85"/>
    <s v="19.05-0-1.6-ERW 1-PE-0.595"/>
    <n v="1"/>
    <s v="Hosur"/>
    <n v="0"/>
    <n v="0"/>
    <s v="exhaust pipe"/>
    <x v="2"/>
    <x v="2"/>
    <x v="0"/>
    <x v="0"/>
    <n v="595"/>
    <s v="NOS"/>
    <m/>
    <m/>
    <n v="8000"/>
    <m/>
    <n v="4300"/>
    <n v="3700"/>
    <n v="3.2758323808"/>
    <n v="1.76075990468"/>
    <n v="1.51507247612"/>
    <n v="3.712033641059001"/>
    <n v="0.00152"/>
    <m/>
    <n v="0"/>
    <n v="2.886"/>
    <n v="3.2743123808"/>
    <m/>
  </r>
  <r>
    <n v="399"/>
    <s v="Hosur"/>
    <x v="20"/>
    <s v="SANDHAR Hosur"/>
    <x v="16"/>
    <n v="2320564"/>
    <s v="941496-2320564"/>
    <s v="TUB-O-N-AUT-AW-PE-19.05X2.300X0.4000"/>
    <x v="0"/>
    <m/>
    <x v="0"/>
    <s v="HR"/>
    <m/>
    <m/>
    <m/>
    <m/>
    <x v="19"/>
    <s v="19.05-0-2.3-ERW 1-PE-0.4"/>
    <s v="#REF!"/>
    <m/>
    <m/>
    <m/>
    <m/>
    <x v="2"/>
    <x v="2"/>
    <x v="0"/>
    <x v="9"/>
    <n v="400"/>
    <s v="NOS"/>
    <m/>
    <m/>
    <n v="10000"/>
    <m/>
    <n v="0"/>
    <n v="10000"/>
    <n v="3.798410899999999"/>
    <n v="0"/>
    <n v="3.798410899999999"/>
    <n v="0"/>
    <n v="0"/>
    <m/>
    <n v="79.22211800000001"/>
    <n v="6.015"/>
    <n v="3.798410899999999"/>
    <m/>
  </r>
  <r>
    <n v="410"/>
    <s v="Hosur"/>
    <x v="20"/>
    <s v="SANDHAR Hosur"/>
    <x v="16"/>
    <n v="3718926"/>
    <s v="941496-3718926"/>
    <s v="PT2-O-N-AUT-AW-PE-19.05X2.340X0.4020"/>
    <x v="0"/>
    <m/>
    <x v="1"/>
    <s v="HR"/>
    <m/>
    <m/>
    <m/>
    <m/>
    <x v="145"/>
    <s v="19.05-0-2.3-ERW 1--0.402"/>
    <s v="#REF!"/>
    <m/>
    <m/>
    <m/>
    <m/>
    <x v="2"/>
    <x v="2"/>
    <x v="0"/>
    <x v="9"/>
    <n v="402"/>
    <s v="NOS"/>
    <m/>
    <m/>
    <m/>
    <m/>
    <n v="0"/>
    <n v="0"/>
    <n v="0"/>
    <n v="0"/>
    <n v="0"/>
    <e v="#DIV/0!"/>
    <n v="0"/>
    <m/>
    <n v="0"/>
    <n v="0"/>
    <n v="0"/>
    <m/>
  </r>
  <r>
    <n v="411"/>
    <s v="Hosur"/>
    <x v="20"/>
    <s v="SANDHAR Hosur"/>
    <x v="16"/>
    <n v="3667938"/>
    <s v="941496-3667938"/>
    <s v="CUT-O-N-AUT-AW-PE-22.20X1.200X0.6730"/>
    <x v="0"/>
    <m/>
    <x v="0"/>
    <s v="HR"/>
    <m/>
    <m/>
    <m/>
    <m/>
    <x v="20"/>
    <s v="22.23-0-1.2-ERW 1-PE-0.673"/>
    <n v="1"/>
    <s v="Hosur"/>
    <m/>
    <m/>
    <m/>
    <x v="11"/>
    <x v="11"/>
    <x v="0"/>
    <x v="2"/>
    <n v="673"/>
    <s v="NOS"/>
    <m/>
    <m/>
    <m/>
    <m/>
    <n v="400"/>
    <n v="-400"/>
    <n v="0"/>
    <n v="0.1674537505488"/>
    <n v="-0.1674537505488"/>
    <e v="#DIV/0!"/>
    <n v="0.001357"/>
    <m/>
    <n v="0.08500000000000001"/>
    <n v="3.104"/>
    <n v="-0.001357"/>
    <m/>
  </r>
  <r>
    <n v="420"/>
    <s v="Hosur"/>
    <x v="20"/>
    <s v="SANDHAR Hosur"/>
    <x v="16"/>
    <n v="3553684"/>
    <s v="941496-3553684"/>
    <s v="TUB-O-N-AUT-AW-PE-22.23X1.600X0.2740"/>
    <x v="0"/>
    <m/>
    <x v="0"/>
    <s v="CR"/>
    <s v="HROP"/>
    <m/>
    <m/>
    <m/>
    <x v="21"/>
    <s v="22.23-0-1.6-ERW 1-PE-0.274"/>
    <n v="1"/>
    <s v="Hosur"/>
    <n v="0.05916199999999994"/>
    <n v="0"/>
    <m/>
    <x v="11"/>
    <x v="11"/>
    <x v="0"/>
    <x v="0"/>
    <n v="274"/>
    <s v="NOS"/>
    <m/>
    <m/>
    <n v="10000"/>
    <m/>
    <n v="600"/>
    <n v="9400"/>
    <n v="2.22930288608"/>
    <n v="0.1337581731648"/>
    <n v="2.0955447129152"/>
    <n v="3.445023127164425"/>
    <n v="0.000768"/>
    <m/>
    <n v="10.773162"/>
    <n v="0"/>
    <n v="2.22853488608"/>
    <m/>
  </r>
  <r>
    <n v="458"/>
    <s v="Hosur"/>
    <x v="20"/>
    <s v="SANDHAR Hosur"/>
    <x v="16"/>
    <n v="1940437"/>
    <s v="941496-1940437"/>
    <s v="TUB-O-O-AUT-AW-PE-22.23X2.000X0.3940"/>
    <x v="0"/>
    <m/>
    <x v="0"/>
    <s v="HR"/>
    <m/>
    <m/>
    <m/>
    <m/>
    <x v="49"/>
    <s v="22.23-0-2-ERW 1-PE-0.394"/>
    <n v="2"/>
    <s v="Hosur"/>
    <n v="5.503906"/>
    <n v="1.047"/>
    <m/>
    <x v="11"/>
    <x v="11"/>
    <x v="0"/>
    <x v="8"/>
    <n v="394"/>
    <s v="NOS"/>
    <m/>
    <m/>
    <n v="20000"/>
    <m/>
    <n v="7350"/>
    <n v="12650"/>
    <n v="7.8587124952"/>
    <n v="2.888076841986"/>
    <n v="4.970635653214"/>
    <n v="5.975533527748032"/>
    <n v="0.002348"/>
    <m/>
    <n v="11.690147"/>
    <n v="1.629"/>
    <n v="7.8563644952"/>
    <m/>
  </r>
  <r>
    <m/>
    <s v="Hosur"/>
    <x v="20"/>
    <s v="SANDHAR Hosur"/>
    <x v="16"/>
    <m/>
    <s v="941496-"/>
    <m/>
    <x v="0"/>
    <m/>
    <x v="0"/>
    <m/>
    <m/>
    <m/>
    <m/>
    <m/>
    <x v="49"/>
    <s v="22.23-0-2-ERW 1-PE-0.805"/>
    <m/>
    <m/>
    <n v="5.503906"/>
    <n v="1.047"/>
    <m/>
    <x v="11"/>
    <x v="11"/>
    <x v="0"/>
    <x v="8"/>
    <n v="805"/>
    <s v="NOS"/>
    <m/>
    <m/>
    <n v="10000"/>
    <m/>
    <n v="2153"/>
    <n v="7847"/>
    <n v="8.028253247000002"/>
    <n v="1.7284829240791"/>
    <n v="6.299770322920902"/>
    <n v="0"/>
    <n v="0"/>
    <m/>
    <n v="11.690147"/>
    <n v="1.629"/>
    <n v="8.028253247000002"/>
    <m/>
  </r>
  <r>
    <n v="460"/>
    <s v="Hosur"/>
    <x v="20"/>
    <s v="SANDHAR Hosur"/>
    <x v="16"/>
    <n v="2413708"/>
    <s v="941496-2413708"/>
    <s v="TUB-O-N-AUT-AW-PE-22.23X2.000X0.8150"/>
    <x v="0"/>
    <m/>
    <x v="0"/>
    <s v="HR"/>
    <m/>
    <m/>
    <m/>
    <m/>
    <x v="49"/>
    <s v="22.23-0-2-ERW 1-PE-0.815"/>
    <n v="2"/>
    <s v="Hosur"/>
    <n v="5.503906"/>
    <n v="1.047"/>
    <m/>
    <x v="11"/>
    <x v="11"/>
    <x v="0"/>
    <x v="8"/>
    <n v="815"/>
    <s v="NOS"/>
    <m/>
    <m/>
    <n v="15000"/>
    <m/>
    <n v="11492"/>
    <n v="3508"/>
    <n v="12.1919746515"/>
    <n v="9.340678179669201"/>
    <n v="2.8512964718308"/>
    <n v="17.04235826757042"/>
    <n v="0.013852"/>
    <m/>
    <n v="11.690147"/>
    <n v="1.629"/>
    <n v="12.1781226515"/>
    <m/>
  </r>
  <r>
    <n v="469"/>
    <s v="Hosur"/>
    <x v="20"/>
    <s v="SANDHAR Hosur"/>
    <x v="16"/>
    <n v="1940588"/>
    <s v="941496-1940588"/>
    <s v="TUB-O-O-AUT-AW-FC-25.40X2.000X0.3550"/>
    <x v="0"/>
    <m/>
    <x v="2"/>
    <s v="HR"/>
    <m/>
    <m/>
    <m/>
    <m/>
    <x v="25"/>
    <s v="25.4-0-2-ERW 1-FC-0.355"/>
    <n v="3"/>
    <s v="Hosur"/>
    <n v="10.051"/>
    <n v="0"/>
    <m/>
    <x v="3"/>
    <x v="3"/>
    <x v="0"/>
    <x v="8"/>
    <n v="355"/>
    <s v="NOS"/>
    <m/>
    <m/>
    <m/>
    <m/>
    <n v="6500"/>
    <n v="-6500"/>
    <n v="0"/>
    <n v="2.661870159"/>
    <n v="-2.661870159"/>
    <e v="#DIV/0!"/>
    <n v="0.00205"/>
    <m/>
    <n v="10.739"/>
    <n v="25.931"/>
    <n v="-0.00205"/>
    <m/>
  </r>
  <r>
    <n v="470"/>
    <s v="Hosur"/>
    <x v="20"/>
    <s v="SANDHAR Hosur"/>
    <x v="16"/>
    <n v="1940614"/>
    <s v="941496-1940614"/>
    <s v="TUB-O-O-AUT-AW-PE-28.58X1.200X0.5950"/>
    <x v="0"/>
    <m/>
    <x v="0"/>
    <s v="CR"/>
    <m/>
    <m/>
    <m/>
    <m/>
    <x v="123"/>
    <s v="28.58-0-1.2-ERW 1-PE-0.595"/>
    <n v="1"/>
    <s v="Hosur"/>
    <n v="0.1009"/>
    <n v="0"/>
    <m/>
    <x v="12"/>
    <x v="12"/>
    <x v="0"/>
    <x v="2"/>
    <n v="595"/>
    <s v="NOS"/>
    <m/>
    <m/>
    <n v="8000"/>
    <m/>
    <n v="5550"/>
    <n v="2450"/>
    <n v="3.85496950944"/>
    <n v="2.674385097174"/>
    <n v="1.180584412266"/>
    <n v="5.385256601683406"/>
    <n v="0.002595"/>
    <m/>
    <n v="0.1009"/>
    <n v="5.888"/>
    <n v="3.85237450944"/>
    <m/>
  </r>
  <r>
    <n v="473"/>
    <s v="Hosur"/>
    <x v="20"/>
    <s v="SANDHAR Hosur"/>
    <x v="16"/>
    <n v="2256593"/>
    <s v="941496-2256593"/>
    <s v="TUB-O-N-AUT-AW-FC-31.75X1.200X0.2100"/>
    <x v="0"/>
    <m/>
    <x v="2"/>
    <s v="CR"/>
    <m/>
    <m/>
    <m/>
    <m/>
    <x v="124"/>
    <s v="31.75-0-1.2-ERW 1-FC-0.21"/>
    <n v="1"/>
    <s v="Hosur"/>
    <n v="0"/>
    <n v="0"/>
    <m/>
    <x v="10"/>
    <x v="10"/>
    <x v="0"/>
    <x v="2"/>
    <n v="210"/>
    <s v="NOS"/>
    <m/>
    <m/>
    <n v="8000"/>
    <m/>
    <n v="650"/>
    <n v="7350"/>
    <n v="1.5181023312"/>
    <n v="0.12334581441"/>
    <n v="1.39475651679"/>
    <n v="2.424079012572957"/>
    <n v="0.00046"/>
    <m/>
    <n v="0"/>
    <n v="0"/>
    <n v="1.5176423312"/>
    <m/>
  </r>
  <r>
    <n v="477"/>
    <s v="Hosur"/>
    <x v="20"/>
    <s v="SANDHAR Hosur"/>
    <x v="16"/>
    <n v="3507795"/>
    <s v="941496-3507795"/>
    <s v="CUT-O-N-AUT-AW-PE-31.75X1.200X0.6570"/>
    <x v="0"/>
    <m/>
    <x v="2"/>
    <s v="HR"/>
    <m/>
    <m/>
    <m/>
    <m/>
    <x v="124"/>
    <s v="31.75-0-1.2-ERW 1-FC-0.657"/>
    <s v="#REF!"/>
    <m/>
    <m/>
    <m/>
    <m/>
    <x v="10"/>
    <x v="10"/>
    <x v="0"/>
    <x v="2"/>
    <n v="657"/>
    <s v="NOS"/>
    <m/>
    <m/>
    <m/>
    <m/>
    <n v="0"/>
    <n v="0"/>
    <n v="0"/>
    <n v="0"/>
    <n v="0"/>
    <e v="#DIV/0!"/>
    <n v="0"/>
    <m/>
    <n v="0"/>
    <n v="0"/>
    <n v="0"/>
    <m/>
  </r>
  <r>
    <n v="478"/>
    <s v="Hosur"/>
    <x v="20"/>
    <s v="SANDHAR Hosur"/>
    <x v="16"/>
    <n v="3819143"/>
    <s v="941496-3819143"/>
    <s v="TUB-O-N-AUT-AW-PE-31.75X1.200X0.6800"/>
    <x v="0"/>
    <m/>
    <x v="2"/>
    <s v="CR"/>
    <m/>
    <m/>
    <m/>
    <m/>
    <x v="124"/>
    <s v="31.75-0-1.2-ERW 1-FC-0.68"/>
    <n v="1"/>
    <s v="Hosur"/>
    <n v="0"/>
    <n v="0"/>
    <m/>
    <x v="10"/>
    <x v="10"/>
    <x v="0"/>
    <x v="2"/>
    <n v="680"/>
    <s v="NOS"/>
    <m/>
    <m/>
    <n v="15000"/>
    <m/>
    <n v="0"/>
    <n v="15000"/>
    <n v="9.217049867999998"/>
    <n v="0"/>
    <n v="9.217049867999998"/>
    <n v="0"/>
    <n v="0"/>
    <m/>
    <n v="0"/>
    <n v="0"/>
    <n v="9.217049867999998"/>
    <m/>
  </r>
  <r>
    <n v="479"/>
    <s v="Hosur"/>
    <x v="20"/>
    <s v="SANDHAR Hosur"/>
    <x v="16"/>
    <n v="3715133"/>
    <s v="941496-3715133"/>
    <s v="TUB-O-O-AUT-AW-FC-31.75X1.600X0.6580"/>
    <x v="0"/>
    <m/>
    <x v="2"/>
    <s v="HR"/>
    <m/>
    <m/>
    <m/>
    <m/>
    <x v="163"/>
    <s v="31.75-0-1.6-ERW 1-FC-0.658"/>
    <s v="#REF!"/>
    <s v="Hosur"/>
    <m/>
    <m/>
    <m/>
    <x v="10"/>
    <x v="10"/>
    <x v="0"/>
    <x v="0"/>
    <n v="658"/>
    <s v="NOS"/>
    <m/>
    <m/>
    <m/>
    <m/>
    <n v="0"/>
    <n v="0"/>
    <n v="0"/>
    <n v="0"/>
    <n v="0"/>
    <e v="#DIV/0!"/>
    <n v="0.013464"/>
    <m/>
    <n v="0"/>
    <n v="1.961"/>
    <n v="-0.013464"/>
    <m/>
  </r>
  <r>
    <n v="484"/>
    <s v="Hosur"/>
    <x v="20"/>
    <s v="SANDHAR Hosur"/>
    <x v="16"/>
    <n v="1903849"/>
    <s v="941496-1903849"/>
    <s v="TUB-O-N-AUT-AW-FC-38.10X2.000X0.4320"/>
    <x v="0"/>
    <m/>
    <x v="2"/>
    <s v="HR"/>
    <m/>
    <m/>
    <m/>
    <m/>
    <x v="127"/>
    <s v="38.1-0-2-ERW 1-FC-0.432"/>
    <n v="1"/>
    <s v="Hosur"/>
    <n v="30.65065100000001"/>
    <n v="60.82106499999999"/>
    <m/>
    <x v="14"/>
    <x v="30"/>
    <x v="0"/>
    <x v="8"/>
    <n v="432"/>
    <s v="NOS"/>
    <m/>
    <m/>
    <n v="15000"/>
    <m/>
    <n v="8741"/>
    <n v="6259"/>
    <n v="11.532182544"/>
    <n v="6.7201871744736"/>
    <n v="4.811995369526399"/>
    <n v="1.986180838935566"/>
    <n v="0.001527"/>
    <m/>
    <n v="95.257248"/>
    <n v="1.995"/>
    <n v="11.530655544"/>
    <m/>
  </r>
  <r>
    <n v="485"/>
    <s v="Hosur"/>
    <x v="20"/>
    <s v="SANDHAR Hosur"/>
    <x v="16"/>
    <n v="3516769"/>
    <s v="941496-3516769"/>
    <s v="TUB-O-N-AUT-AW-FC-38.10X2.000X0.4940"/>
    <x v="0"/>
    <m/>
    <x v="2"/>
    <s v="HR"/>
    <m/>
    <m/>
    <m/>
    <m/>
    <x v="127"/>
    <s v="38.1-0-2-ERW 1-FC-0.494"/>
    <s v="#REF!"/>
    <m/>
    <m/>
    <m/>
    <m/>
    <x v="14"/>
    <x v="30"/>
    <x v="0"/>
    <x v="8"/>
    <n v="494"/>
    <s v="NOS"/>
    <m/>
    <m/>
    <m/>
    <m/>
    <n v="0"/>
    <n v="0"/>
    <n v="0"/>
    <n v="0"/>
    <n v="0"/>
    <e v="#DIV/0!"/>
    <n v="0"/>
    <m/>
    <n v="95.257248"/>
    <n v="1.995"/>
    <n v="0"/>
    <m/>
  </r>
  <r>
    <n v="489"/>
    <s v="Hosur"/>
    <x v="20"/>
    <s v="SANDHAR Hosur"/>
    <x v="16"/>
    <n v="1940743"/>
    <s v="941496-1940743"/>
    <s v="TUB-O-O-AUT-AW-FC-38.10X2.000X0.8120"/>
    <x v="0"/>
    <m/>
    <x v="2"/>
    <s v="HR"/>
    <m/>
    <m/>
    <m/>
    <m/>
    <x v="127"/>
    <s v="38.1-0-2-ERW 1-FC-0.812"/>
    <n v="3"/>
    <s v="Hosur"/>
    <n v="30.65065100000001"/>
    <n v="60.82106499999999"/>
    <m/>
    <x v="14"/>
    <x v="30"/>
    <x v="0"/>
    <x v="8"/>
    <n v="812"/>
    <s v="NOS"/>
    <m/>
    <m/>
    <n v="15000"/>
    <m/>
    <n v="12120"/>
    <n v="2880"/>
    <n v="21.676232004"/>
    <n v="17.514395459232"/>
    <n v="4.161836544768001"/>
    <n v="0"/>
    <n v="0"/>
    <m/>
    <n v="95.257248"/>
    <n v="1.995"/>
    <n v="21.676232004"/>
    <m/>
  </r>
  <r>
    <n v="490"/>
    <s v="Hosur"/>
    <x v="20"/>
    <s v="SANDHAR Hosur"/>
    <x v="16"/>
    <n v="2399718"/>
    <s v="941496-2399718"/>
    <s v="TUB-O-N-AUT-AW-FC-40.00X1.200X0.4500"/>
    <x v="0"/>
    <m/>
    <x v="0"/>
    <s v="HR"/>
    <m/>
    <m/>
    <m/>
    <m/>
    <x v="164"/>
    <s v="40-40-1.2-ERW 1-PE-0.45"/>
    <s v="#REF!"/>
    <m/>
    <n v="0"/>
    <m/>
    <m/>
    <x v="44"/>
    <x v="15"/>
    <x v="12"/>
    <x v="2"/>
    <n v="450"/>
    <s v="NOS"/>
    <m/>
    <m/>
    <m/>
    <m/>
    <n v="0"/>
    <n v="0"/>
    <n v="0"/>
    <n v="0"/>
    <n v="0"/>
    <e v="#DIV/0!"/>
    <n v="0"/>
    <m/>
    <n v="0"/>
    <n v="0"/>
    <n v="0"/>
    <m/>
  </r>
  <r>
    <n v="492"/>
    <s v="Hosur"/>
    <x v="20"/>
    <s v="SANDHAR Hosur"/>
    <x v="16"/>
    <n v="1940821"/>
    <s v="941496-1940821"/>
    <s v="TUB-R-AW-RHS-40.00X25.00X1.600X0.5130"/>
    <x v="0"/>
    <m/>
    <x v="2"/>
    <s v="HR"/>
    <m/>
    <m/>
    <m/>
    <m/>
    <x v="33"/>
    <s v="40-25-1.6-ERW 1-FC-0.513"/>
    <n v="2"/>
    <m/>
    <n v="0.618274"/>
    <n v="0"/>
    <m/>
    <x v="15"/>
    <x v="15"/>
    <x v="3"/>
    <x v="0"/>
    <n v="513"/>
    <s v="NOS"/>
    <m/>
    <m/>
    <n v="15000"/>
    <m/>
    <n v="7507"/>
    <n v="7493"/>
    <n v="12.04202640384"/>
    <n v="6.026632814241793"/>
    <n v="6.015393589598208"/>
    <n v="92.39267235331855"/>
    <n v="0.074173"/>
    <m/>
    <n v="0.618274"/>
    <n v="0"/>
    <n v="11.96785340384"/>
    <m/>
  </r>
  <r>
    <n v="494"/>
    <s v="Hosur"/>
    <x v="20"/>
    <s v="SANDHAR Hosur"/>
    <x v="16"/>
    <n v="1940822"/>
    <s v="941496-1940822"/>
    <s v="TUB-R-AW-RHS-40.00X25.00X1.600X0.5360"/>
    <x v="0"/>
    <m/>
    <x v="2"/>
    <s v="HR"/>
    <m/>
    <m/>
    <m/>
    <m/>
    <x v="33"/>
    <s v="40-25-1.6-ERW 1-FC-0.536"/>
    <n v="2"/>
    <m/>
    <n v="0.618274"/>
    <n v="0"/>
    <m/>
    <x v="15"/>
    <x v="15"/>
    <x v="3"/>
    <x v="0"/>
    <n v="536"/>
    <s v="NOS"/>
    <m/>
    <m/>
    <n v="15000"/>
    <m/>
    <n v="5450"/>
    <n v="9550"/>
    <n v="12.58192232448"/>
    <n v="4.571431777894401"/>
    <n v="8.010490546585597"/>
    <n v="31.09222819146342"/>
    <n v="0.02608"/>
    <m/>
    <n v="0.618274"/>
    <n v="0"/>
    <n v="12.55584232448"/>
    <m/>
  </r>
  <r>
    <n v="496"/>
    <s v="Khopoli "/>
    <x v="20"/>
    <s v="SANDHAR Hosur"/>
    <x v="16"/>
    <m/>
    <s v="941496-"/>
    <s v="TUB-O-N-AUT-AN-FC-42.70X3.500X0.2080"/>
    <x v="0"/>
    <s v="Annealed"/>
    <x v="2"/>
    <s v="HR"/>
    <m/>
    <s v="Chamferring"/>
    <m/>
    <m/>
    <x v="93"/>
    <s v="42.7-0-3.5-ERW 1-FC-0.208"/>
    <n v="1"/>
    <s v="Khopoli"/>
    <n v="4.818421000000001"/>
    <n v="5.208107"/>
    <m/>
    <x v="16"/>
    <x v="16"/>
    <x v="0"/>
    <x v="17"/>
    <n v="208"/>
    <s v="NOS"/>
    <m/>
    <m/>
    <n v="35000"/>
    <m/>
    <n v="18714"/>
    <n v="16286"/>
    <n v="24.619815584"/>
    <n v="13.1638636811136"/>
    <n v="11.4559519028864"/>
    <n v="0"/>
    <n v="0"/>
    <m/>
    <n v="12.367421"/>
    <n v="0"/>
    <n v="24.619815584"/>
    <m/>
  </r>
  <r>
    <n v="497"/>
    <s v="Hosur"/>
    <x v="20"/>
    <s v="SANDHAR Hosur"/>
    <x v="16"/>
    <n v="2325421"/>
    <s v="941496-2325421"/>
    <s v="TUB-O-N-AUT-AW-FC-48.60X1.200X0.3360"/>
    <x v="0"/>
    <m/>
    <x v="2"/>
    <s v="CR"/>
    <m/>
    <m/>
    <m/>
    <m/>
    <x v="95"/>
    <s v="48.6-0-1.2-ERW 1-FC-0.336"/>
    <n v="2"/>
    <s v="Hosur"/>
    <n v="3.946783"/>
    <n v="0"/>
    <m/>
    <x v="18"/>
    <x v="17"/>
    <x v="0"/>
    <x v="2"/>
    <n v="336"/>
    <s v="NOS"/>
    <m/>
    <m/>
    <n v="12000"/>
    <m/>
    <n v="0"/>
    <n v="12000"/>
    <n v="5.653005603840001"/>
    <n v="0"/>
    <n v="5.653005603840001"/>
    <n v="5901.438338808382"/>
    <n v="2.780072"/>
    <m/>
    <n v="3.946783"/>
    <n v="17.024"/>
    <n v="2.87293360384"/>
    <m/>
  </r>
  <r>
    <n v="461"/>
    <s v="Hosur"/>
    <x v="20"/>
    <s v="SANDHAR Hosur"/>
    <x v="16"/>
    <n v="3910650"/>
    <s v="941496-3910650"/>
    <s v="HT2-O-N-AUT-AS-FC-22.23X2.000X0.8550"/>
    <x v="6"/>
    <m/>
    <x v="2"/>
    <s v="HR"/>
    <s v="SAE1020"/>
    <m/>
    <m/>
    <m/>
    <x v="131"/>
    <s v="22.23-0-2-ERW 2-FC-0.855"/>
    <s v="#REF!"/>
    <m/>
    <m/>
    <m/>
    <m/>
    <x v="11"/>
    <x v="11"/>
    <x v="0"/>
    <x v="8"/>
    <n v="855"/>
    <s v="NOS"/>
    <m/>
    <m/>
    <m/>
    <m/>
    <n v="0"/>
    <n v="0"/>
    <n v="0"/>
    <n v="0"/>
    <n v="0"/>
    <e v="#DIV/0!"/>
    <n v="0"/>
    <m/>
    <n v="0"/>
    <n v="15.21"/>
    <n v="0"/>
    <m/>
  </r>
  <r>
    <n v="464"/>
    <s v="Hosur"/>
    <x v="20"/>
    <s v="SANDHAR Hosur"/>
    <x v="16"/>
    <n v="3910649"/>
    <s v="941496-3910649"/>
    <s v="CUT-O-N-AUT-AW-FC-22.23X2.000X0.8630"/>
    <x v="6"/>
    <m/>
    <x v="2"/>
    <s v="HR"/>
    <s v="SAE1020"/>
    <m/>
    <m/>
    <m/>
    <x v="131"/>
    <s v="22.23-0-2-ERW 2-FC-0.863"/>
    <s v="#REF!"/>
    <m/>
    <m/>
    <m/>
    <m/>
    <x v="11"/>
    <x v="11"/>
    <x v="0"/>
    <x v="8"/>
    <n v="863"/>
    <s v="NOS"/>
    <m/>
    <m/>
    <m/>
    <m/>
    <n v="0"/>
    <n v="0"/>
    <n v="0"/>
    <n v="0"/>
    <n v="0"/>
    <e v="#DIV/0!"/>
    <n v="0.02"/>
    <m/>
    <n v="0"/>
    <n v="15.21"/>
    <n v="-0.02"/>
    <m/>
  </r>
  <r>
    <n v="328"/>
    <s v="Khopoli "/>
    <x v="21"/>
    <s v="SANDHAR Mysore"/>
    <x v="17"/>
    <e v="#REF!"/>
    <e v="#REF!"/>
    <m/>
    <x v="1"/>
    <m/>
    <x v="3"/>
    <s v="HR"/>
    <m/>
    <m/>
    <m/>
    <m/>
    <x v="108"/>
    <s v="14-0-2.45-CEW-CEW-1"/>
    <n v="1"/>
    <s v="Khopoli"/>
    <n v="0"/>
    <n v="0"/>
    <m/>
    <x v="5"/>
    <x v="5"/>
    <x v="0"/>
    <x v="22"/>
    <n v="1000"/>
    <s v="M"/>
    <m/>
    <m/>
    <m/>
    <m/>
    <n v="0"/>
    <n v="0"/>
    <n v="0"/>
    <n v="0"/>
    <n v="0"/>
    <e v="#DIV/0!"/>
    <n v="0"/>
    <m/>
    <n v="2.002"/>
    <n v="0"/>
    <n v="0"/>
    <m/>
  </r>
  <r>
    <n v="392"/>
    <s v="Khopoli "/>
    <x v="21"/>
    <s v="SANDHAR Mysore"/>
    <x v="17"/>
    <e v="#REF!"/>
    <e v="#REF!"/>
    <m/>
    <x v="1"/>
    <m/>
    <x v="3"/>
    <s v="HR"/>
    <m/>
    <m/>
    <m/>
    <m/>
    <x v="165"/>
    <s v="20-12.4-3.8-CEW-CEW-1"/>
    <n v="1"/>
    <s v="Khopoli"/>
    <n v="0"/>
    <n v="0"/>
    <m/>
    <x v="24"/>
    <x v="23"/>
    <x v="18"/>
    <x v="30"/>
    <n v="1000"/>
    <s v="M"/>
    <m/>
    <m/>
    <m/>
    <m/>
    <n v="0"/>
    <n v="0"/>
    <n v="0"/>
    <n v="0"/>
    <n v="0"/>
    <e v="#DIV/0!"/>
    <n v="0"/>
    <m/>
    <n v="0"/>
    <n v="0"/>
    <n v="0"/>
    <m/>
  </r>
  <r>
    <n v="393"/>
    <s v="Khopoli "/>
    <x v="21"/>
    <s v="SANDHAR Mysore"/>
    <x v="17"/>
    <e v="#REF!"/>
    <e v="#REF!"/>
    <m/>
    <x v="1"/>
    <m/>
    <x v="3"/>
    <s v="HR"/>
    <m/>
    <m/>
    <m/>
    <m/>
    <x v="111"/>
    <s v="20-12.4-4.5-CEW-CEW-1"/>
    <n v="2"/>
    <s v="Khopoli"/>
    <n v="0"/>
    <n v="0"/>
    <m/>
    <x v="24"/>
    <x v="23"/>
    <x v="18"/>
    <x v="15"/>
    <n v="1000"/>
    <s v="M"/>
    <m/>
    <m/>
    <m/>
    <m/>
    <n v="0"/>
    <n v="0"/>
    <n v="0"/>
    <n v="0"/>
    <n v="0"/>
    <e v="#DIV/0!"/>
    <n v="0"/>
    <m/>
    <n v="0"/>
    <n v="0"/>
    <n v="0"/>
    <m/>
  </r>
  <r>
    <n v="394"/>
    <s v="Khopoli "/>
    <x v="21"/>
    <s v="SANDHAR Mysore"/>
    <x v="17"/>
    <e v="#REF!"/>
    <e v="#REF!"/>
    <e v="#REF!"/>
    <x v="1"/>
    <m/>
    <x v="3"/>
    <s v="HR"/>
    <m/>
    <m/>
    <m/>
    <m/>
    <x v="113"/>
    <s v="21.75-0-3.5-CEW-CEW-1"/>
    <n v="2"/>
    <s v="Khopoli"/>
    <n v="0"/>
    <n v="0"/>
    <m/>
    <x v="33"/>
    <x v="31"/>
    <x v="0"/>
    <x v="17"/>
    <n v="1000"/>
    <s v="M"/>
    <m/>
    <m/>
    <m/>
    <m/>
    <n v="0"/>
    <n v="0"/>
    <n v="0"/>
    <n v="0"/>
    <n v="0"/>
    <e v="#DIV/0!"/>
    <n v="0"/>
    <m/>
    <n v="0"/>
    <n v="0"/>
    <n v="0"/>
    <m/>
  </r>
  <r>
    <n v="457"/>
    <s v="Khopoli "/>
    <x v="21"/>
    <s v="SANDHAR Mysore"/>
    <x v="17"/>
    <n v="2410997"/>
    <s v="945539-2410997"/>
    <s v="TUB-O-C-AUT-AD-FC-25.40X3.200X04-05"/>
    <x v="1"/>
    <m/>
    <x v="3"/>
    <s v="HR"/>
    <m/>
    <m/>
    <m/>
    <m/>
    <x v="114"/>
    <s v="25.4-19-3.2-CEW-CEW-1"/>
    <n v="3"/>
    <s v="Khopoli"/>
    <m/>
    <m/>
    <m/>
    <x v="3"/>
    <x v="3"/>
    <x v="11"/>
    <x v="13"/>
    <n v="1000"/>
    <s v="M"/>
    <m/>
    <m/>
    <m/>
    <m/>
    <n v="0"/>
    <n v="0"/>
    <n v="0"/>
    <n v="0"/>
    <n v="0"/>
    <e v="#DIV/0!"/>
    <n v="0"/>
    <m/>
    <n v="0.198385"/>
    <n v="0"/>
    <n v="0"/>
    <m/>
  </r>
  <r>
    <n v="467"/>
    <s v="Khopoli "/>
    <x v="21"/>
    <s v="SANDHAR Mysore"/>
    <x v="17"/>
    <e v="#REF!"/>
    <e v="#REF!"/>
    <m/>
    <x v="1"/>
    <m/>
    <x v="3"/>
    <s v="HR"/>
    <m/>
    <m/>
    <m/>
    <m/>
    <x v="13"/>
    <s v="31.75-25-3.37-CEW-CEW-1"/>
    <s v="#REF!"/>
    <s v="Khopoli"/>
    <n v="0.053089"/>
    <n v="0"/>
    <m/>
    <x v="10"/>
    <x v="10"/>
    <x v="3"/>
    <x v="7"/>
    <n v="1000"/>
    <s v="M"/>
    <m/>
    <m/>
    <m/>
    <m/>
    <n v="0"/>
    <n v="0"/>
    <n v="0"/>
    <n v="0"/>
    <n v="0"/>
    <e v="#DIV/0!"/>
    <n v="0"/>
    <m/>
    <n v="0.053089"/>
    <n v="0"/>
    <n v="0"/>
    <m/>
  </r>
  <r>
    <n v="403"/>
    <s v="Hosur"/>
    <x v="21"/>
    <s v="SANDHAR Mysore"/>
    <x v="17"/>
    <n v="3714733"/>
    <s v="945539-3714733"/>
    <s v="TUB-O-N-AUT-AW-PE-22.23X1.600X0.690"/>
    <x v="0"/>
    <m/>
    <x v="0"/>
    <s v="CR"/>
    <s v="NORMAL"/>
    <s v=" "/>
    <m/>
    <m/>
    <x v="21"/>
    <s v="22.23-0-1.6-ERW 1-PE-0.69"/>
    <n v="2"/>
    <s v="Hosur"/>
    <n v="0.05916199999999994"/>
    <n v="0"/>
    <m/>
    <x v="11"/>
    <x v="11"/>
    <x v="0"/>
    <x v="0"/>
    <n v="690"/>
    <s v="NOS"/>
    <m/>
    <m/>
    <n v="40000"/>
    <m/>
    <n v="9900"/>
    <n v="30100"/>
    <n v="22.4557516992"/>
    <n v="5.557798545552001"/>
    <n v="16.897953153648"/>
    <n v="22.63295421182032"/>
    <n v="0.012706"/>
    <m/>
    <n v="10.773162"/>
    <n v="0"/>
    <n v="22.4430456992"/>
    <m/>
  </r>
  <r>
    <n v="413"/>
    <s v="Hosur"/>
    <x v="21"/>
    <s v="SANDHAR Mysore"/>
    <x v="17"/>
    <n v="3910650"/>
    <s v="945539-3910650"/>
    <s v="HT2-O-N-AUT-AS-FC-22.23X2.000X0.8550"/>
    <x v="0"/>
    <m/>
    <x v="2"/>
    <s v="HR"/>
    <m/>
    <m/>
    <m/>
    <m/>
    <x v="23"/>
    <s v="22.23-0-2-ERW 1-FC-0.855"/>
    <n v="1"/>
    <s v="Hosur"/>
    <n v="7.636460999999999"/>
    <n v="1.531716"/>
    <m/>
    <x v="11"/>
    <x v="11"/>
    <x v="0"/>
    <x v="8"/>
    <n v="855"/>
    <s v="NOS"/>
    <m/>
    <m/>
    <n v="50350"/>
    <m/>
    <n v="0"/>
    <n v="50350"/>
    <n v="42.932954173095"/>
    <n v="0"/>
    <n v="42.932954173095"/>
    <n v="0"/>
    <n v="0"/>
    <m/>
    <n v="9.168176999999998"/>
    <n v="2.713"/>
    <n v="42.932954173095"/>
    <m/>
  </r>
  <r>
    <n v="415"/>
    <s v="Hosur"/>
    <x v="21"/>
    <s v="SANDHAR Mysore"/>
    <x v="17"/>
    <n v="3910649"/>
    <s v="945539-3910649"/>
    <s v="HT2-O-N-AUT-AW-FC-22.23X2.000X0.8630"/>
    <x v="0"/>
    <m/>
    <x v="2"/>
    <s v="HR"/>
    <m/>
    <m/>
    <m/>
    <m/>
    <x v="23"/>
    <s v="22.23-0-2-ERW 1-FC-0.863"/>
    <n v="1"/>
    <s v="Hosur"/>
    <n v="7.636460999999999"/>
    <n v="1.531716"/>
    <m/>
    <x v="11"/>
    <x v="11"/>
    <x v="0"/>
    <x v="8"/>
    <n v="863"/>
    <s v="NOS"/>
    <m/>
    <m/>
    <n v="24797"/>
    <m/>
    <n v="0"/>
    <n v="24797"/>
    <n v="21.34200026657594"/>
    <n v="0"/>
    <n v="21.34200026657594"/>
    <n v="0"/>
    <n v="0"/>
    <m/>
    <n v="9.168176999999998"/>
    <n v="2.713"/>
    <n v="21.34200026657594"/>
    <m/>
  </r>
  <r>
    <n v="422"/>
    <s v="Hosur"/>
    <x v="21"/>
    <s v="SANDHAR Mysore"/>
    <x v="17"/>
    <n v="3926270"/>
    <s v="945539-3926270"/>
    <s v="CUT-O-N-AUT-AW-FC-25.40X2.000X0.4180"/>
    <x v="0"/>
    <m/>
    <x v="2"/>
    <s v="HR"/>
    <m/>
    <m/>
    <m/>
    <m/>
    <x v="25"/>
    <s v="25.4-0-2-ERW 1-FC-0.418"/>
    <n v="1"/>
    <s v="Hosur"/>
    <n v="10.051"/>
    <n v="0"/>
    <m/>
    <x v="3"/>
    <x v="3"/>
    <x v="0"/>
    <x v="8"/>
    <n v="418"/>
    <s v="NOS"/>
    <m/>
    <m/>
    <n v="21168"/>
    <m/>
    <n v="10499"/>
    <n v="10669"/>
    <n v="10.2070740739968"/>
    <n v="5.062550581202399"/>
    <n v="5.144523492794399"/>
    <n v="12362.25455847902"/>
    <n v="5.960999999999999"/>
    <m/>
    <n v="10.739"/>
    <n v="25.931"/>
    <n v="4.246074073996799"/>
    <m/>
  </r>
  <r>
    <n v="462"/>
    <s v="Hosur"/>
    <x v="21"/>
    <s v="SANDHAR Mysore"/>
    <x v="17"/>
    <n v="2400891"/>
    <s v="945539-2400891"/>
    <s v="TUB-O-N-AUT-AW-PE-25.40X1.600X0.4700"/>
    <x v="0"/>
    <m/>
    <x v="0"/>
    <s v="HR"/>
    <m/>
    <m/>
    <m/>
    <m/>
    <x v="122"/>
    <s v="25.4-0-2-ERW 1-PE-0.47"/>
    <s v="#REF!"/>
    <m/>
    <m/>
    <m/>
    <m/>
    <x v="3"/>
    <x v="3"/>
    <x v="0"/>
    <x v="8"/>
    <n v="470"/>
    <s v="NOS"/>
    <m/>
    <m/>
    <m/>
    <m/>
    <n v="0"/>
    <n v="0"/>
    <n v="0"/>
    <n v="0"/>
    <n v="0"/>
    <e v="#DIV/0!"/>
    <n v="0"/>
    <m/>
    <n v="4.13323"/>
    <n v="5.56"/>
    <n v="0"/>
    <m/>
  </r>
  <r>
    <n v="456"/>
    <s v="Hosur"/>
    <x v="21"/>
    <s v="SANDHAR Mysore"/>
    <x v="17"/>
    <n v="3775636"/>
    <s v="945539-3775636"/>
    <s v="TUB-O-O-AUT-AW-FC-25.40X2.500X0.7830"/>
    <x v="0"/>
    <m/>
    <x v="2"/>
    <s v="HR"/>
    <m/>
    <m/>
    <m/>
    <m/>
    <x v="166"/>
    <s v="25.4-0-2.5-ERW 1-FC-0.783"/>
    <n v="1"/>
    <s v="Hosur"/>
    <n v="8.227515"/>
    <n v="0"/>
    <m/>
    <x v="3"/>
    <x v="3"/>
    <x v="0"/>
    <x v="10"/>
    <n v="783"/>
    <s v="NOS"/>
    <m/>
    <m/>
    <n v="29371"/>
    <m/>
    <n v="22070"/>
    <n v="7301"/>
    <n v="32.45303298378825"/>
    <n v="24.3859057557525"/>
    <n v="8.067127228035751"/>
    <n v="8250.947453224551"/>
    <n v="9.116757"/>
    <m/>
    <n v="8.227514999999999"/>
    <n v="11.911"/>
    <n v="23.33627598378825"/>
    <m/>
  </r>
  <r>
    <n v="468"/>
    <s v="Hosur"/>
    <x v="21"/>
    <s v="SANDHAR Mysore"/>
    <x v="17"/>
    <n v="3508742"/>
    <s v="945539-3508742"/>
    <s v="CUT-O-N-AUT-AW-FC-38.10X2.000X0.4100"/>
    <x v="0"/>
    <m/>
    <x v="2"/>
    <s v="HR"/>
    <m/>
    <m/>
    <m/>
    <m/>
    <x v="127"/>
    <s v="38.1-0-2-ERW 1-FC-0.41"/>
    <n v="1"/>
    <s v="Hosur"/>
    <n v="30.65065100000001"/>
    <n v="60.82106499999999"/>
    <m/>
    <x v="14"/>
    <x v="30"/>
    <x v="0"/>
    <x v="8"/>
    <n v="410"/>
    <s v="NOS"/>
    <m/>
    <m/>
    <n v="8467"/>
    <m/>
    <n v="2064"/>
    <n v="6403"/>
    <n v="6.178028662966001"/>
    <n v="1.506017616672"/>
    <n v="4.672011046294"/>
    <n v="13.91333525453944"/>
    <n v="0.010152"/>
    <m/>
    <n v="95.257248"/>
    <n v="1.995"/>
    <n v="6.167876662966001"/>
    <m/>
  </r>
  <r>
    <n v="474"/>
    <s v="Hosur"/>
    <x v="21"/>
    <s v="SANDHAR Mysore"/>
    <x v="17"/>
    <n v="3801265"/>
    <s v="945539-3801265"/>
    <s v="CUT-R-AW-AUT-40.00X25.00X1.600X0.5610"/>
    <x v="0"/>
    <m/>
    <x v="2"/>
    <s v="CR"/>
    <s v="SAE1020"/>
    <m/>
    <m/>
    <m/>
    <x v="33"/>
    <s v="40-25-1.6-ERW 1-FC-0.561"/>
    <n v="1"/>
    <s v="Hosur"/>
    <n v="0.618274"/>
    <n v="0"/>
    <m/>
    <x v="15"/>
    <x v="15"/>
    <x v="3"/>
    <x v="0"/>
    <n v="561"/>
    <s v="NOS"/>
    <m/>
    <m/>
    <n v="36036"/>
    <m/>
    <n v="2880"/>
    <n v="33156"/>
    <n v="31.63664275727156"/>
    <n v="2.52840301756416"/>
    <n v="29.1082397397074"/>
    <n v="7.326426946700137"/>
    <n v="0.006432"/>
    <m/>
    <n v="0.618274"/>
    <n v="0"/>
    <n v="31.63021075727156"/>
    <m/>
  </r>
  <r>
    <n v="475"/>
    <s v="Khopoli "/>
    <x v="21"/>
    <s v="SANDHAR Mysore"/>
    <x v="17"/>
    <n v="3910648"/>
    <s v="945539-3910648"/>
    <s v="HT2-O-N-AUT-AW-FC-41.28X2.600X0.8500"/>
    <x v="0"/>
    <m/>
    <x v="2"/>
    <m/>
    <m/>
    <m/>
    <m/>
    <m/>
    <x v="150"/>
    <s v="41.28-0-2.6-ERW 1-FC-0.85"/>
    <n v="1"/>
    <s v="Hosur"/>
    <n v="0"/>
    <n v="4.255850000000001"/>
    <m/>
    <x v="15"/>
    <x v="32"/>
    <x v="0"/>
    <x v="14"/>
    <n v="850"/>
    <s v="NOS"/>
    <m/>
    <m/>
    <n v="31658"/>
    <m/>
    <n v="9140"/>
    <n v="22518"/>
    <n v="66.7054807766776"/>
    <n v="19.258579010008"/>
    <n v="47.4469017666696"/>
    <n v="420.4900058198342"/>
    <n v="0.886"/>
    <m/>
    <n v="0"/>
    <n v="0"/>
    <n v="65.81948077667761"/>
    <m/>
  </r>
  <r>
    <n v="481"/>
    <s v="JSR"/>
    <x v="21"/>
    <s v="SANDHAR Mysore"/>
    <x v="17"/>
    <n v="3901714"/>
    <s v="945539-3901714"/>
    <s v="CUT-N-AUT-AN-FC-42.70X4.000X0.2150"/>
    <x v="0"/>
    <s v="Annealed"/>
    <x v="2"/>
    <s v="HR"/>
    <m/>
    <s v="Chamferring"/>
    <m/>
    <m/>
    <x v="35"/>
    <s v="42.7-0-4-ERW 1-FC-0.215"/>
    <n v="1"/>
    <s v="Khopoli"/>
    <n v="0.2833830000000002"/>
    <n v="29.067884"/>
    <m/>
    <x v="16"/>
    <x v="16"/>
    <x v="0"/>
    <x v="11"/>
    <n v="215"/>
    <s v="NOS"/>
    <m/>
    <m/>
    <n v="63315"/>
    <m/>
    <n v="15725"/>
    <n v="47590"/>
    <n v="51.94160105967"/>
    <n v="12.90028708305"/>
    <n v="39.04131397662"/>
    <n v="0"/>
    <n v="0"/>
    <m/>
    <n v="236.024487"/>
    <n v="0"/>
    <n v="51.94160105967"/>
    <m/>
  </r>
  <r>
    <n v="491"/>
    <s v="Khopoli "/>
    <x v="21"/>
    <s v="SANDHAR Mysore"/>
    <x v="17"/>
    <e v="#REF!"/>
    <e v="#REF!"/>
    <s v="TUB-O-N-AUT-AW-FC-48.60X3.500X0.202.5"/>
    <x v="0"/>
    <m/>
    <x v="2"/>
    <s v="HR"/>
    <m/>
    <s v="Chamferring"/>
    <m/>
    <m/>
    <x v="128"/>
    <s v="48.6-0-3.5-ERW 1-FC-0.2025"/>
    <s v="#REF!"/>
    <s v="Hosur"/>
    <s v="Plan"/>
    <m/>
    <m/>
    <x v="18"/>
    <x v="17"/>
    <x v="0"/>
    <x v="17"/>
    <n v="202.5"/>
    <s v="NOS"/>
    <m/>
    <m/>
    <m/>
    <m/>
    <n v="0"/>
    <n v="0"/>
    <n v="0"/>
    <n v="0"/>
    <n v="0"/>
    <e v="#DIV/0!"/>
    <n v="0"/>
    <m/>
    <n v="8.774312"/>
    <n v="0"/>
    <n v="0"/>
    <m/>
  </r>
  <r>
    <n v="493"/>
    <s v="Hosur"/>
    <x v="21"/>
    <s v="SANDHAR Mysore"/>
    <x v="17"/>
    <n v="3780004"/>
    <s v="945539-3780004"/>
    <s v="TUB-R-AW-AUT-50.00X30.00X1.600X0.6070"/>
    <x v="0"/>
    <m/>
    <x v="2"/>
    <s v="CR"/>
    <s v="SAE1020"/>
    <m/>
    <m/>
    <m/>
    <x v="6"/>
    <s v="50-30-1.6-ERW 1-FC-0.607"/>
    <n v="1"/>
    <s v="Hosur"/>
    <n v="0"/>
    <n v="0"/>
    <m/>
    <x v="4"/>
    <x v="4"/>
    <x v="1"/>
    <x v="0"/>
    <n v="607"/>
    <s v="NOS"/>
    <m/>
    <m/>
    <n v="17136"/>
    <m/>
    <n v="3600"/>
    <n v="13536"/>
    <n v="20.18285196512256"/>
    <n v="4.240094950655999"/>
    <n v="15.94275701446656"/>
    <n v="3437.753203556169"/>
    <n v="4.048999999999999"/>
    <m/>
    <n v="0"/>
    <n v="24.911"/>
    <n v="16.13385196512256"/>
    <m/>
  </r>
  <r>
    <n v="472"/>
    <s v="Hosur"/>
    <x v="21"/>
    <s v="SANDHAR Mysore"/>
    <x v="17"/>
    <n v="3780005"/>
    <s v="945539-3780005"/>
    <s v="TUB-R-AW-RHS-50.00X30.00X1.600X0.6380"/>
    <x v="0"/>
    <m/>
    <x v="2"/>
    <s v="CR"/>
    <s v="SAE1020"/>
    <m/>
    <m/>
    <m/>
    <x v="6"/>
    <s v="50-30-1.6-ERW 1-FC-0.638"/>
    <s v="#REF!"/>
    <s v="Hosur"/>
    <n v="0"/>
    <n v="0"/>
    <m/>
    <x v="4"/>
    <x v="4"/>
    <x v="1"/>
    <x v="0"/>
    <n v="638"/>
    <s v="NOS"/>
    <m/>
    <m/>
    <n v="5242"/>
    <m/>
    <n v="0"/>
    <n v="5242"/>
    <n v="6.48936325855488"/>
    <n v="0"/>
    <n v="6.48936325855488"/>
    <n v="0"/>
    <n v="0"/>
    <m/>
    <n v="0"/>
    <n v="24.911"/>
    <n v="6.48936325855488"/>
    <m/>
  </r>
  <r>
    <n v="495"/>
    <s v="Hosur"/>
    <x v="21"/>
    <s v="SANDHAR Mysore"/>
    <x v="17"/>
    <e v="#REF!"/>
    <e v="#REF!"/>
    <m/>
    <x v="0"/>
    <m/>
    <x v="2"/>
    <s v="HR"/>
    <m/>
    <m/>
    <m/>
    <m/>
    <x v="130"/>
    <s v="50.8-0-1.6-ERW 1-FC-0.753"/>
    <s v="#REF!"/>
    <m/>
    <m/>
    <m/>
    <m/>
    <x v="4"/>
    <x v="43"/>
    <x v="0"/>
    <x v="0"/>
    <n v="753"/>
    <s v="NOS"/>
    <m/>
    <m/>
    <m/>
    <m/>
    <n v="0"/>
    <n v="0"/>
    <n v="0"/>
    <n v="0"/>
    <n v="0"/>
    <e v="#DIV/0!"/>
    <n v="0"/>
    <m/>
    <n v="0"/>
    <n v="1.456"/>
    <n v="0"/>
    <m/>
  </r>
  <r>
    <n v="444"/>
    <s v="Hosur"/>
    <x v="22"/>
    <s v="Sandhar Technology"/>
    <x v="18"/>
    <n v="2386074"/>
    <s v="187702-2386074"/>
    <s v="TUB-O-N-AUT-AW-PE-12.70X1.200X0.6000"/>
    <x v="0"/>
    <m/>
    <x v="0"/>
    <s v="HR"/>
    <m/>
    <m/>
    <m/>
    <m/>
    <x v="14"/>
    <s v="12.7-0-1.2-ERW 1-PE-0.6"/>
    <s v="#REF!"/>
    <s v="Hosur"/>
    <m/>
    <m/>
    <m/>
    <x v="0"/>
    <x v="0"/>
    <x v="0"/>
    <x v="2"/>
    <n v="600"/>
    <s v="NOS"/>
    <m/>
    <m/>
    <m/>
    <m/>
    <n v="0"/>
    <n v="0"/>
    <n v="0"/>
    <n v="0"/>
    <n v="0"/>
    <e v="#DIV/0!"/>
    <n v="0"/>
    <m/>
    <n v="20.176453"/>
    <n v="0"/>
    <n v="0"/>
    <m/>
  </r>
  <r>
    <n v="445"/>
    <s v="Hosur"/>
    <x v="22"/>
    <s v="Sandhar Technology"/>
    <x v="18"/>
    <n v="2423535"/>
    <s v="187702-2423535"/>
    <s v="TUB-O-N-AUT-AW-PE-22.23X1.200X1.3280"/>
    <x v="0"/>
    <m/>
    <x v="0"/>
    <s v="HR"/>
    <m/>
    <m/>
    <m/>
    <m/>
    <x v="20"/>
    <s v="22.23-0-1.2-ERW 1-PE-1.328"/>
    <n v="1"/>
    <m/>
    <m/>
    <m/>
    <m/>
    <x v="11"/>
    <x v="11"/>
    <x v="0"/>
    <x v="2"/>
    <n v="1328"/>
    <s v="NOS"/>
    <m/>
    <m/>
    <n v="3000"/>
    <m/>
    <n v="0"/>
    <n v="3000"/>
    <n v="2.478215981376001"/>
    <n v="0"/>
    <n v="2.478215981376001"/>
    <n v="27.68402775044117"/>
    <n v="0.022869"/>
    <m/>
    <n v="0.08500000000000001"/>
    <n v="3.104"/>
    <n v="2.455346981376"/>
    <m/>
  </r>
  <r>
    <n v="447"/>
    <s v="Hosur"/>
    <x v="22"/>
    <s v="Sandhar Technology"/>
    <x v="18"/>
    <n v="2422186"/>
    <s v="187702-2422186"/>
    <s v="TUB-O-N-AUT-AW-PE-22.23X2.000X0.7750"/>
    <x v="0"/>
    <m/>
    <x v="0"/>
    <s v="HR"/>
    <m/>
    <m/>
    <m/>
    <m/>
    <x v="49"/>
    <s v="22.23-0-2-ERW 1-PE-0.775"/>
    <n v="1"/>
    <m/>
    <m/>
    <m/>
    <m/>
    <x v="11"/>
    <x v="11"/>
    <x v="0"/>
    <x v="8"/>
    <n v="775"/>
    <s v="NOS"/>
    <m/>
    <m/>
    <m/>
    <m/>
    <n v="0"/>
    <n v="0"/>
    <n v="0"/>
    <n v="0"/>
    <n v="0"/>
    <e v="#DIV/0!"/>
    <n v="0.526288"/>
    <m/>
    <n v="11.690147"/>
    <n v="1.629"/>
    <n v="-0.526288"/>
    <m/>
  </r>
  <r>
    <n v="453"/>
    <s v="Hosur"/>
    <x v="22"/>
    <s v="Sandhar Technology"/>
    <x v="18"/>
    <n v="3697417"/>
    <s v="187702-3697417"/>
    <s v="PT2-O-N-AUT-AW-PE-22.20X2.000X1.3850"/>
    <x v="0"/>
    <m/>
    <x v="0"/>
    <s v="HR"/>
    <m/>
    <m/>
    <m/>
    <m/>
    <x v="49"/>
    <s v="22.23-0-2-ERW 1-PE-1.385"/>
    <n v="1"/>
    <m/>
    <m/>
    <m/>
    <m/>
    <x v="11"/>
    <x v="11"/>
    <x v="0"/>
    <x v="8"/>
    <n v="1385"/>
    <s v="NOS"/>
    <m/>
    <m/>
    <m/>
    <m/>
    <n v="0"/>
    <n v="0"/>
    <n v="0"/>
    <n v="0"/>
    <n v="0"/>
    <e v="#DIV/0!"/>
    <n v="0"/>
    <m/>
    <n v="11.690147"/>
    <n v="1.629"/>
    <n v="0"/>
    <m/>
  </r>
  <r>
    <n v="446"/>
    <s v="Hosur"/>
    <x v="22"/>
    <s v="Sandhar Technology"/>
    <x v="18"/>
    <n v="1940416"/>
    <s v="187702-1940416"/>
    <s v="TUB-O-O-AUT-AW-PE-22.23X1.600X0.9350"/>
    <x v="5"/>
    <m/>
    <x v="0"/>
    <s v="CR"/>
    <s v="ST52AL"/>
    <s v="Chamferring"/>
    <m/>
    <s v="SC"/>
    <x v="167"/>
    <s v="22.23-0-1.6-ERW 2 MAHS-PE-0.935"/>
    <n v="1"/>
    <s v="Hosur"/>
    <m/>
    <m/>
    <m/>
    <x v="11"/>
    <x v="11"/>
    <x v="0"/>
    <x v="0"/>
    <n v="935"/>
    <s v="NOS"/>
    <m/>
    <m/>
    <n v="30000"/>
    <m/>
    <n v="0"/>
    <n v="30000"/>
    <n v="22.8218780856"/>
    <n v="0"/>
    <n v="22.8218780856"/>
    <n v="839.9295591757186"/>
    <n v="0.6389589999999999"/>
    <m/>
    <n v="0"/>
    <n v="0"/>
    <n v="22.1829190856"/>
    <m/>
  </r>
  <r>
    <n v="448"/>
    <s v="Hosur"/>
    <x v="22"/>
    <s v="Sandhar Technology"/>
    <x v="18"/>
    <n v="3943202"/>
    <s v="187702-3943202"/>
    <s v="CUT-O-N-AUT-AW-FC-22.23X2.000X0.8400"/>
    <x v="5"/>
    <m/>
    <x v="2"/>
    <m/>
    <m/>
    <m/>
    <m/>
    <m/>
    <x v="168"/>
    <s v="22.23-0-2-ERW 2 MAHS-FC-0.84"/>
    <s v="#REF!"/>
    <m/>
    <m/>
    <m/>
    <m/>
    <x v="11"/>
    <x v="11"/>
    <x v="0"/>
    <x v="8"/>
    <n v="840"/>
    <s v="NOS"/>
    <m/>
    <m/>
    <n v="15000"/>
    <m/>
    <n v="0"/>
    <n v="15000"/>
    <n v="12.565961604"/>
    <n v="0"/>
    <n v="12.565961604"/>
    <n v="601.7016634519395"/>
    <n v="0.504064"/>
    <m/>
    <n v="0"/>
    <n v="0"/>
    <n v="12.061897604"/>
    <m/>
  </r>
  <r>
    <n v="449"/>
    <s v="Hosur"/>
    <x v="22"/>
    <s v="Sandhar Technology"/>
    <x v="18"/>
    <n v="3943203"/>
    <s v="187702-3943203"/>
    <s v="CUT-O-N-AUT-AW-FC-22.23X2.000X0.8550"/>
    <x v="5"/>
    <m/>
    <x v="2"/>
    <m/>
    <m/>
    <m/>
    <m/>
    <m/>
    <x v="168"/>
    <s v="22.23-0-2-ERW 2 MAHS-FC-0.855"/>
    <s v="#REF!"/>
    <m/>
    <m/>
    <m/>
    <m/>
    <x v="11"/>
    <x v="11"/>
    <x v="0"/>
    <x v="8"/>
    <n v="855"/>
    <s v="NOS"/>
    <m/>
    <m/>
    <n v="30000"/>
    <m/>
    <n v="0"/>
    <n v="30000"/>
    <n v="25.580707551"/>
    <n v="0"/>
    <n v="25.580707551"/>
    <n v="1325.692416145632"/>
    <n v="1.130405"/>
    <m/>
    <n v="0"/>
    <n v="0"/>
    <n v="24.450302551"/>
    <m/>
  </r>
  <r>
    <n v="450"/>
    <s v="Hosur"/>
    <x v="22"/>
    <s v="Sandhar Technology"/>
    <x v="18"/>
    <n v="1940474"/>
    <s v="187702-1940474"/>
    <s v="TUB-O-O-AUT-AW-PE-22.23X2.00X0.865-MAHS"/>
    <x v="5"/>
    <m/>
    <x v="2"/>
    <s v="HR"/>
    <s v="ST52AL"/>
    <m/>
    <m/>
    <m/>
    <x v="168"/>
    <s v="22.23-0-2-ERW 2 MAHS-FC-0.865"/>
    <s v="#REF!"/>
    <m/>
    <m/>
    <m/>
    <m/>
    <x v="11"/>
    <x v="11"/>
    <x v="0"/>
    <x v="8"/>
    <n v="865"/>
    <s v="NOS"/>
    <m/>
    <m/>
    <n v="4000"/>
    <m/>
    <n v="0"/>
    <n v="4000"/>
    <n v="3.4506529484"/>
    <n v="0"/>
    <n v="3.4506529484"/>
    <n v="0"/>
    <n v="0"/>
    <m/>
    <n v="0"/>
    <n v="0"/>
    <n v="3.4506529484"/>
    <m/>
  </r>
  <r>
    <n v="451"/>
    <s v="Hosur"/>
    <x v="22"/>
    <s v="Sandhar Technology"/>
    <x v="18"/>
    <n v="1940478"/>
    <s v="187702-1940478"/>
    <s v="TUB-O-O-AUT-AW-PE-22.23X2.000X0.9050"/>
    <x v="5"/>
    <m/>
    <x v="0"/>
    <s v="CR"/>
    <m/>
    <s v="Chamferring"/>
    <m/>
    <s v="SC"/>
    <x v="57"/>
    <s v="22.23-0-2-ERW 2 MAHS-PE-0.905"/>
    <n v="1"/>
    <s v="Hosur"/>
    <m/>
    <m/>
    <m/>
    <x v="11"/>
    <x v="11"/>
    <x v="0"/>
    <x v="8"/>
    <n v="905"/>
    <s v="NOS"/>
    <m/>
    <m/>
    <n v="70000"/>
    <m/>
    <n v="0"/>
    <n v="70000"/>
    <n v="63.178862509"/>
    <n v="0"/>
    <n v="63.178862509"/>
    <n v="534.2853394233149"/>
    <n v="0.482222"/>
    <m/>
    <n v="15.668"/>
    <n v="0"/>
    <n v="62.696640509"/>
    <m/>
  </r>
  <r>
    <n v="452"/>
    <s v="Hosur"/>
    <x v="22"/>
    <s v="Sandhar Technology"/>
    <x v="18"/>
    <m/>
    <s v="187702-"/>
    <s v="TUB-O-O-AUT-AW-PE-22.23X2.00X0.925-MAHS"/>
    <x v="5"/>
    <m/>
    <x v="0"/>
    <s v="HR"/>
    <m/>
    <m/>
    <m/>
    <m/>
    <x v="57"/>
    <s v="22.23-0-2-ERW 2 MAHS-PE-0.925"/>
    <s v="#REF!"/>
    <m/>
    <m/>
    <m/>
    <m/>
    <x v="11"/>
    <x v="11"/>
    <x v="0"/>
    <x v="8"/>
    <n v="925"/>
    <s v="NOS"/>
    <m/>
    <m/>
    <m/>
    <m/>
    <n v="0"/>
    <n v="0"/>
    <n v="0"/>
    <n v="0"/>
    <n v="0"/>
    <e v="#DIV/0!"/>
    <n v="0"/>
    <m/>
    <n v="15.668"/>
    <n v="0"/>
    <n v="0"/>
    <m/>
  </r>
  <r>
    <m/>
    <s v="Hosur"/>
    <x v="22"/>
    <s v="Sandhar Technology"/>
    <x v="18"/>
    <m/>
    <s v="187702-"/>
    <m/>
    <x v="5"/>
    <m/>
    <x v="1"/>
    <m/>
    <m/>
    <m/>
    <m/>
    <m/>
    <x v="1"/>
    <m/>
    <m/>
    <m/>
    <m/>
    <m/>
    <m/>
    <x v="11"/>
    <x v="11"/>
    <x v="0"/>
    <x v="8"/>
    <n v="930"/>
    <s v="NOS"/>
    <m/>
    <m/>
    <n v="15000"/>
    <m/>
    <n v="0"/>
    <n v="15000"/>
    <n v="13.912314633"/>
    <n v="0"/>
    <n v="13.912314633"/>
    <n v="0"/>
    <n v="0"/>
    <m/>
    <n v="0"/>
    <n v="0"/>
    <n v="13.912314633"/>
    <m/>
  </r>
  <r>
    <n v="531"/>
    <s v="Hosur"/>
    <x v="23"/>
    <s v="Sri Balaji Gear"/>
    <x v="19"/>
    <n v="3929691"/>
    <s v="188595-3929691"/>
    <s v="CUT-O-N-AUT-AW-PE-19.05X1.200X0.2000"/>
    <x v="7"/>
    <m/>
    <x v="0"/>
    <m/>
    <m/>
    <m/>
    <m/>
    <m/>
    <x v="71"/>
    <s v="19.05-0-1.2-CRFH-PE-0.2"/>
    <n v="2"/>
    <s v="Hosur"/>
    <n v="0"/>
    <n v="0"/>
    <m/>
    <x v="2"/>
    <x v="2"/>
    <x v="0"/>
    <x v="2"/>
    <n v="200"/>
    <s v="NOS"/>
    <m/>
    <m/>
    <n v="2000"/>
    <m/>
    <n v="29000"/>
    <n v="-27000"/>
    <n v="0.211192632"/>
    <n v="3.062293164"/>
    <n v="-2.851100532"/>
    <n v="9731.911480699762"/>
    <n v="1.027654"/>
    <m/>
    <n v="0"/>
    <n v="16.086"/>
    <n v="-0.816461368"/>
    <m/>
  </r>
  <r>
    <n v="503"/>
    <s v="Hosur"/>
    <x v="24"/>
    <s v="Sri Balaji Gear"/>
    <x v="19"/>
    <n v="3929691"/>
    <s v="188595-3929691"/>
    <s v="CUT-O-N-AUT-AW-PE-19.05X1.200X0.200"/>
    <x v="7"/>
    <m/>
    <x v="0"/>
    <m/>
    <m/>
    <m/>
    <m/>
    <m/>
    <x v="71"/>
    <s v="19.05-0-1.2-CRFH-PE-0.2"/>
    <n v="2"/>
    <s v="Hosur"/>
    <n v="0"/>
    <n v="0"/>
    <m/>
    <x v="2"/>
    <x v="2"/>
    <x v="0"/>
    <x v="2"/>
    <n v="200"/>
    <s v="NOS"/>
    <m/>
    <m/>
    <n v="36000"/>
    <m/>
    <n v="29000"/>
    <n v="7000"/>
    <n v="3.801467376000001"/>
    <n v="3.062293164"/>
    <n v="0.7391742120000004"/>
    <n v="9731.911480699762"/>
    <n v="1.027654"/>
    <m/>
    <n v="0"/>
    <n v="16.086"/>
    <n v="2.773813376000001"/>
    <m/>
  </r>
  <r>
    <n v="532"/>
    <s v="Hosur"/>
    <x v="23"/>
    <s v="Sri Balaji Gear"/>
    <x v="19"/>
    <n v="3938681"/>
    <s v="188595-3938681"/>
    <s v="TUB-O-N-AUT-AW-PE-19.05X1.200X0.2200"/>
    <x v="7"/>
    <m/>
    <x v="0"/>
    <m/>
    <m/>
    <m/>
    <m/>
    <m/>
    <x v="71"/>
    <s v="19.05-0-1.2-CRFH-PE-0.22"/>
    <n v="1"/>
    <s v="Hosur"/>
    <n v="0"/>
    <n v="0"/>
    <m/>
    <x v="2"/>
    <x v="2"/>
    <x v="0"/>
    <x v="2"/>
    <n v="220"/>
    <s v="NOS"/>
    <m/>
    <m/>
    <n v="1500"/>
    <m/>
    <n v="0"/>
    <n v="1500"/>
    <n v="0.1742339214"/>
    <n v="0"/>
    <n v="0.1742339214"/>
    <n v="3010.461429010802"/>
    <n v="0.349683"/>
    <m/>
    <n v="0"/>
    <n v="16.086"/>
    <n v="-0.1754490785999999"/>
    <m/>
  </r>
  <r>
    <n v="533"/>
    <s v="Hosur"/>
    <x v="23"/>
    <s v="Sri Balaji Gear"/>
    <x v="19"/>
    <n v="3938682"/>
    <s v="188595-3938682"/>
    <s v="TUB-O-N-AUT-AW-PE-19.05X1.200X0.3200"/>
    <x v="7"/>
    <m/>
    <x v="0"/>
    <m/>
    <m/>
    <m/>
    <m/>
    <m/>
    <x v="71"/>
    <s v="19.05-0-1.2-CRFH-PE-0.32"/>
    <n v="1"/>
    <s v="Hosur"/>
    <n v="0"/>
    <n v="0"/>
    <m/>
    <x v="2"/>
    <x v="2"/>
    <x v="0"/>
    <x v="2"/>
    <n v="320"/>
    <s v="NOS"/>
    <m/>
    <m/>
    <n v="500"/>
    <m/>
    <n v="0"/>
    <n v="500"/>
    <n v="0.08447705280000001"/>
    <n v="0"/>
    <n v="0.08447705280000001"/>
    <n v="2100.901891312193"/>
    <n v="0.354956"/>
    <m/>
    <n v="0"/>
    <n v="16.086"/>
    <n v="-0.2704789472"/>
    <m/>
  </r>
  <r>
    <n v="502"/>
    <s v="Hosur"/>
    <x v="24"/>
    <s v="Sri Balaji Gear"/>
    <x v="19"/>
    <n v="3935313"/>
    <s v="188595-3935313"/>
    <s v="CUT-O-N-AUT-AW-PE-19.05X1.200X0.33"/>
    <x v="7"/>
    <m/>
    <x v="0"/>
    <m/>
    <m/>
    <m/>
    <m/>
    <m/>
    <x v="71"/>
    <s v="19.05-0-1.2-CRFH-PE-0.33"/>
    <n v="2"/>
    <s v="Hosur"/>
    <n v="0"/>
    <n v="0"/>
    <m/>
    <x v="2"/>
    <x v="2"/>
    <x v="0"/>
    <x v="2"/>
    <n v="330"/>
    <s v="NOS"/>
    <m/>
    <m/>
    <n v="6000"/>
    <m/>
    <n v="5000"/>
    <n v="1000"/>
    <n v="1.0454035284"/>
    <n v="0.871169607"/>
    <n v="0.1742339214"/>
    <n v="1719.389643491086"/>
    <n v="0.299576"/>
    <m/>
    <n v="0"/>
    <n v="16.086"/>
    <n v="0.7458275284"/>
    <m/>
  </r>
  <r>
    <n v="534"/>
    <s v="Hosur"/>
    <x v="23"/>
    <s v="Sri Balaji Gear"/>
    <x v="19"/>
    <n v="3938683"/>
    <s v="188595-3938683"/>
    <s v="TUB-O-N-AUT-AW-PE-19.05X1.200X0.3770"/>
    <x v="7"/>
    <m/>
    <x v="0"/>
    <m/>
    <m/>
    <m/>
    <m/>
    <m/>
    <x v="71"/>
    <s v="19.05-0-1.2-CRFH-PE-0.377"/>
    <n v="1"/>
    <s v="Hosur"/>
    <n v="0"/>
    <n v="0"/>
    <m/>
    <x v="2"/>
    <x v="2"/>
    <x v="0"/>
    <x v="2"/>
    <n v="377"/>
    <s v="NOS"/>
    <m/>
    <m/>
    <n v="500"/>
    <m/>
    <n v="0"/>
    <n v="500"/>
    <n v="0.09952452783"/>
    <n v="0"/>
    <n v="0.09952452783"/>
    <n v="564.6145852204843"/>
    <n v="0.112386"/>
    <m/>
    <n v="0"/>
    <n v="16.086"/>
    <n v="-0.01286147217"/>
    <m/>
  </r>
  <r>
    <n v="535"/>
    <s v="Hosur"/>
    <x v="23"/>
    <s v="Sri Balaji Gear"/>
    <x v="19"/>
    <n v="3929692"/>
    <s v="188595-3929692"/>
    <s v="CUT-O-N-AUT-AW-PE-19.05X1.200X1.2300"/>
    <x v="7"/>
    <m/>
    <x v="0"/>
    <m/>
    <m/>
    <m/>
    <m/>
    <m/>
    <x v="71"/>
    <s v="19.05-0-1.2-CRFH-PE-1.23"/>
    <n v="3"/>
    <s v="Hosur"/>
    <n v="0"/>
    <n v="0"/>
    <m/>
    <x v="2"/>
    <x v="2"/>
    <x v="0"/>
    <x v="2"/>
    <n v="1230"/>
    <s v="NOS"/>
    <m/>
    <m/>
    <n v="500"/>
    <m/>
    <n v="5000"/>
    <n v="-4500"/>
    <n v="0.3247086717"/>
    <n v="3.247086717"/>
    <n v="-2.9223780453"/>
    <n v="1283.930908950838"/>
    <n v="0.8338070000000002"/>
    <m/>
    <n v="0"/>
    <n v="16.086"/>
    <n v="-0.5090983283000001"/>
    <m/>
  </r>
  <r>
    <n v="504"/>
    <s v="Hosur"/>
    <x v="24"/>
    <s v="Sri Balaji Gear"/>
    <x v="19"/>
    <n v="3929692"/>
    <s v="188595-3929692"/>
    <s v="CUT-O-N-AUT-AW-PE-19.05X1.200X1.2300"/>
    <x v="7"/>
    <m/>
    <x v="0"/>
    <m/>
    <m/>
    <m/>
    <m/>
    <m/>
    <x v="71"/>
    <s v="19.05-0-1.2-CRFH-PE-1.23"/>
    <n v="3"/>
    <s v="Hosur"/>
    <n v="0"/>
    <n v="0"/>
    <m/>
    <x v="2"/>
    <x v="2"/>
    <x v="0"/>
    <x v="2"/>
    <n v="1230"/>
    <s v="NOS"/>
    <m/>
    <m/>
    <n v="6000"/>
    <m/>
    <n v="5000"/>
    <n v="1000"/>
    <n v="3.8965040604"/>
    <n v="3.247086717"/>
    <n v="0.6494173433999997"/>
    <n v="1283.930908950838"/>
    <n v="0.8338070000000002"/>
    <m/>
    <n v="0"/>
    <n v="16.086"/>
    <n v="3.0626970604"/>
    <m/>
  </r>
  <r>
    <n v="505"/>
    <s v="Hosur"/>
    <x v="24"/>
    <s v="Sri Balaji Gear"/>
    <x v="19"/>
    <n v="3931834"/>
    <s v="188595-3931834"/>
    <s v="HT1-R-AW-AUT-19.00X19.00X1.000X0.1000"/>
    <x v="7"/>
    <m/>
    <x v="0"/>
    <s v="CR"/>
    <m/>
    <m/>
    <m/>
    <m/>
    <x v="72"/>
    <s v="19-19-1-CRFH-PE-0.1"/>
    <n v="3"/>
    <s v="Hosur"/>
    <n v="0"/>
    <n v="0"/>
    <m/>
    <x v="31"/>
    <x v="29"/>
    <x v="11"/>
    <x v="1"/>
    <n v="100"/>
    <s v="NOS"/>
    <m/>
    <m/>
    <n v="24000"/>
    <m/>
    <n v="10000"/>
    <n v="14000"/>
    <n v="1.326313392"/>
    <n v="0.55263058"/>
    <n v="0.7736828120000001"/>
    <n v="4109.63504770221"/>
    <n v="0.227111"/>
    <m/>
    <n v="15.867808"/>
    <n v="41.765"/>
    <n v="1.099202392"/>
    <m/>
  </r>
  <r>
    <n v="536"/>
    <s v="Hosur"/>
    <x v="23"/>
    <s v="Sri Balaji Gear"/>
    <x v="19"/>
    <n v="3931834"/>
    <s v="188595-3931834"/>
    <s v="HT1-R-AW-AUT-19.00X19.00X1.000X0.1000"/>
    <x v="7"/>
    <m/>
    <x v="0"/>
    <s v="CR"/>
    <m/>
    <m/>
    <m/>
    <m/>
    <x v="72"/>
    <s v="19-19-1-CRFH-PE-0.1"/>
    <n v="3"/>
    <s v="Hosur"/>
    <m/>
    <m/>
    <m/>
    <x v="31"/>
    <x v="29"/>
    <x v="11"/>
    <x v="1"/>
    <n v="100"/>
    <s v="NOS"/>
    <m/>
    <m/>
    <m/>
    <m/>
    <n v="10000"/>
    <n v="-10000"/>
    <n v="0"/>
    <n v="0.55263058"/>
    <n v="-0.55263058"/>
    <e v="#DIV/0!"/>
    <n v="0.227111"/>
    <m/>
    <n v="15.867808"/>
    <n v="41.765"/>
    <n v="-0.227111"/>
    <m/>
  </r>
  <r>
    <n v="506"/>
    <s v="Hosur"/>
    <x v="24"/>
    <s v="Sri Balaji Gear"/>
    <x v="19"/>
    <n v="3931835"/>
    <s v="188595-3931835"/>
    <s v="CUT-R-AW-AUT-19.00X19.00X1.000X0.1100"/>
    <x v="7"/>
    <m/>
    <x v="0"/>
    <s v="CR"/>
    <m/>
    <m/>
    <m/>
    <m/>
    <x v="72"/>
    <s v="19-19-1-CRFH-PE-0.11"/>
    <n v="4"/>
    <s v="Hosur"/>
    <n v="0"/>
    <n v="0"/>
    <m/>
    <x v="31"/>
    <x v="29"/>
    <x v="11"/>
    <x v="1"/>
    <n v="110"/>
    <s v="NOS"/>
    <m/>
    <m/>
    <n v="12000"/>
    <m/>
    <n v="6000"/>
    <n v="6000"/>
    <n v="0.7294723656000001"/>
    <n v="0.3647361828"/>
    <n v="0.3647361828"/>
    <n v="2789.08989009686"/>
    <n v="0.169547"/>
    <m/>
    <n v="15.867808"/>
    <n v="41.765"/>
    <n v="0.5599253656000001"/>
    <m/>
  </r>
  <r>
    <n v="537"/>
    <s v="Hosur"/>
    <x v="23"/>
    <s v="Sri Balaji Gear"/>
    <x v="19"/>
    <n v="3931835"/>
    <s v="188595-3931835"/>
    <s v="CUT-R-AW-AUT-19.00X19.00X1.000X0.1100"/>
    <x v="7"/>
    <m/>
    <x v="0"/>
    <s v="CR"/>
    <m/>
    <m/>
    <m/>
    <m/>
    <x v="72"/>
    <s v="19-19-1-CRFH-PE-0.11"/>
    <n v="4"/>
    <s v="Hosur"/>
    <n v="0"/>
    <n v="0"/>
    <m/>
    <x v="31"/>
    <x v="29"/>
    <x v="11"/>
    <x v="1"/>
    <n v="110"/>
    <s v="NOS"/>
    <m/>
    <m/>
    <n v="1000"/>
    <m/>
    <n v="6000"/>
    <n v="-5000"/>
    <n v="0.06078936380000001"/>
    <n v="0.3647361828"/>
    <n v="-0.303946819"/>
    <n v="2789.089890096859"/>
    <n v="0.169547"/>
    <m/>
    <n v="15.867808"/>
    <n v="41.765"/>
    <n v="-0.1087576362"/>
    <m/>
  </r>
  <r>
    <n v="648"/>
    <s v="Hosur"/>
    <x v="25"/>
    <s v="Sri Balaji Gear"/>
    <x v="19"/>
    <n v="3931835"/>
    <s v="188595-3931835"/>
    <s v="CUT-R-AW-AUT-19.00X19.00X1.000X0.1100"/>
    <x v="7"/>
    <m/>
    <x v="0"/>
    <m/>
    <m/>
    <m/>
    <m/>
    <m/>
    <x v="72"/>
    <s v="19-19-1-CRFH-PE-0.11"/>
    <m/>
    <m/>
    <n v="0"/>
    <n v="0"/>
    <m/>
    <x v="31"/>
    <x v="29"/>
    <x v="11"/>
    <x v="1"/>
    <n v="110"/>
    <s v="NOS"/>
    <m/>
    <m/>
    <n v="1000"/>
    <m/>
    <n v="6000"/>
    <n v="-5000"/>
    <n v="0.06078936380000001"/>
    <n v="0.3647361828"/>
    <n v="-0.303946819"/>
    <n v="2789.089890096859"/>
    <n v="0.169547"/>
    <m/>
    <n v="15.867808"/>
    <n v="41.765"/>
    <n v="-0.1087576362"/>
    <m/>
  </r>
  <r>
    <n v="512"/>
    <s v="Hosur"/>
    <x v="24"/>
    <s v="Sri Balaji Gear"/>
    <x v="19"/>
    <n v="4151428"/>
    <s v="188595-4151428"/>
    <s v="CUT-R-AW-AUT-19.00X19.00X1.000X0.115"/>
    <x v="7"/>
    <m/>
    <x v="0"/>
    <s v="CR"/>
    <m/>
    <m/>
    <m/>
    <m/>
    <x v="72"/>
    <s v="19-19-1-CRFH-PE-0.115"/>
    <n v="2"/>
    <s v="Hosur"/>
    <n v="0"/>
    <n v="0"/>
    <m/>
    <x v="31"/>
    <x v="29"/>
    <x v="11"/>
    <x v="1"/>
    <n v="115"/>
    <s v="NOS"/>
    <m/>
    <m/>
    <n v="12000"/>
    <m/>
    <n v="5000"/>
    <n v="7000"/>
    <n v="0.7626302004000001"/>
    <n v="0.3177625835"/>
    <n v="0.4448676169"/>
    <n v="1007.639088508355"/>
    <n v="0.06403800000000001"/>
    <m/>
    <n v="15.867808"/>
    <n v="41.765"/>
    <n v="0.6985922004"/>
    <m/>
  </r>
  <r>
    <n v="647"/>
    <s v="Hosur"/>
    <x v="25"/>
    <s v="Sri Balaji Gear"/>
    <x v="19"/>
    <n v="3938687"/>
    <s v="188595-3938687"/>
    <s v="TUB-S-AW-AUT-19.00X19.00X1.000X0.1290"/>
    <x v="7"/>
    <m/>
    <x v="0"/>
    <m/>
    <m/>
    <m/>
    <m/>
    <m/>
    <x v="72"/>
    <s v="19-19-1-CRFH-PE-0.129"/>
    <m/>
    <m/>
    <n v="0"/>
    <n v="0"/>
    <m/>
    <x v="31"/>
    <x v="29"/>
    <x v="11"/>
    <x v="1"/>
    <n v="129"/>
    <s v="NOS"/>
    <m/>
    <m/>
    <n v="1000"/>
    <m/>
    <n v="6000"/>
    <n v="-5000"/>
    <n v="0.07128934482000002"/>
    <n v="0.4277360689200001"/>
    <n v="-0.3564467241000001"/>
    <n v="8005.628350786685"/>
    <n v="0.570716"/>
    <m/>
    <n v="15.867808"/>
    <n v="41.765"/>
    <n v="-0.49942665518"/>
    <m/>
  </r>
  <r>
    <n v="538"/>
    <s v="Hosur"/>
    <x v="23"/>
    <s v="Sri Balaji Gear"/>
    <x v="19"/>
    <n v="3938687"/>
    <s v="188595-3938687"/>
    <s v="TUB-S-AW-AUT-19.00X19.00X1.000X0.1290"/>
    <x v="7"/>
    <m/>
    <x v="0"/>
    <s v="CR"/>
    <m/>
    <m/>
    <m/>
    <m/>
    <x v="72"/>
    <s v="19-19-1-CRFH-PE-0.129"/>
    <n v="4"/>
    <s v="Hosur"/>
    <n v="0"/>
    <n v="0"/>
    <m/>
    <x v="31"/>
    <x v="29"/>
    <x v="11"/>
    <x v="1"/>
    <n v="129"/>
    <s v="NOS"/>
    <m/>
    <m/>
    <n v="1000"/>
    <m/>
    <n v="6000"/>
    <n v="-5000"/>
    <n v="0.07128934482000002"/>
    <n v="0.4277360689200001"/>
    <n v="-0.3564467241000001"/>
    <n v="8005.628350786685"/>
    <n v="0.570716"/>
    <m/>
    <n v="15.867808"/>
    <n v="41.765"/>
    <n v="-0.49942665518"/>
    <m/>
  </r>
  <r>
    <n v="507"/>
    <s v="Hosur"/>
    <x v="24"/>
    <s v="Sri Balaji Gear"/>
    <x v="19"/>
    <n v="3938687"/>
    <s v="188595-3938687"/>
    <s v="TUB-S-AW-AUT-19.00X19.00X1.000X0.1290"/>
    <x v="7"/>
    <m/>
    <x v="0"/>
    <s v="CR"/>
    <m/>
    <m/>
    <m/>
    <m/>
    <x v="72"/>
    <s v="19-19-1-CRFH-PE-0.129"/>
    <n v="4"/>
    <s v="Hosur"/>
    <n v="0"/>
    <n v="0"/>
    <m/>
    <x v="31"/>
    <x v="29"/>
    <x v="11"/>
    <x v="1"/>
    <n v="129"/>
    <s v="NOS"/>
    <m/>
    <m/>
    <n v="12000"/>
    <m/>
    <n v="6000"/>
    <n v="6000"/>
    <n v="0.8554721378400002"/>
    <n v="0.4277360689200001"/>
    <n v="0.4277360689200001"/>
    <n v="8005.628350786685"/>
    <n v="0.570716"/>
    <m/>
    <n v="15.867808"/>
    <n v="41.765"/>
    <n v="0.2847561378400002"/>
    <m/>
  </r>
  <r>
    <n v="646"/>
    <s v="Hosur"/>
    <x v="25"/>
    <s v="Sri Balaji Gear"/>
    <x v="19"/>
    <n v="3230486"/>
    <s v="188595-3230486"/>
    <s v="TUB-S-AW-AUT-19.00X19.00X1.000X0.1500"/>
    <x v="7"/>
    <m/>
    <x v="0"/>
    <m/>
    <m/>
    <m/>
    <m/>
    <m/>
    <x v="72"/>
    <s v="19-19-1-CRFH-PE-0.15"/>
    <m/>
    <m/>
    <n v="0"/>
    <n v="0"/>
    <m/>
    <x v="31"/>
    <x v="29"/>
    <x v="11"/>
    <x v="1"/>
    <n v="150"/>
    <s v="NOS"/>
    <m/>
    <m/>
    <n v="2000"/>
    <m/>
    <n v="2000"/>
    <n v="0"/>
    <n v="0.165789174"/>
    <n v="0.165789174"/>
    <n v="0"/>
    <n v="6141.77618135669"/>
    <n v="0.50912"/>
    <m/>
    <n v="15.867808"/>
    <n v="41.765"/>
    <n v="-0.343330826"/>
    <m/>
  </r>
  <r>
    <n v="539"/>
    <s v="Hosur"/>
    <x v="23"/>
    <s v="Sri Balaji Gear"/>
    <x v="19"/>
    <n v="3230486"/>
    <s v="188595-3230486"/>
    <s v="TUB-S-AW-AUT-19.00X19.00X1.000X0.1500"/>
    <x v="7"/>
    <m/>
    <x v="0"/>
    <s v="CR"/>
    <m/>
    <m/>
    <m/>
    <m/>
    <x v="72"/>
    <s v="19-19-1-CRFH-PE-0.15"/>
    <n v="2"/>
    <s v="Hosur"/>
    <n v="0"/>
    <n v="0"/>
    <m/>
    <x v="31"/>
    <x v="29"/>
    <x v="11"/>
    <x v="1"/>
    <n v="150"/>
    <s v="NOS"/>
    <m/>
    <m/>
    <n v="500"/>
    <m/>
    <n v="2000"/>
    <n v="-1500"/>
    <n v="0.04144729350000001"/>
    <n v="0.165789174"/>
    <n v="-0.1243418805"/>
    <n v="6141.77618135669"/>
    <n v="0.50912"/>
    <m/>
    <n v="15.867808"/>
    <n v="41.765"/>
    <n v="-0.4676727065"/>
    <m/>
  </r>
  <r>
    <n v="540"/>
    <s v="Hosur"/>
    <x v="23"/>
    <s v="Sri Balaji Gear"/>
    <x v="19"/>
    <n v="3571864"/>
    <s v="188595-3571864"/>
    <s v="TUB-S-AW-AUT-19.00X19.00X1.000X0.2900"/>
    <x v="7"/>
    <m/>
    <x v="0"/>
    <s v="CR"/>
    <m/>
    <m/>
    <m/>
    <m/>
    <x v="72"/>
    <s v="19-19-1-CRFH-PE-0.29"/>
    <n v="1"/>
    <s v="Hosur"/>
    <n v="0"/>
    <n v="0"/>
    <m/>
    <x v="31"/>
    <x v="29"/>
    <x v="11"/>
    <x v="1"/>
    <n v="290"/>
    <s v="NOS"/>
    <m/>
    <m/>
    <n v="1000"/>
    <m/>
    <n v="0"/>
    <n v="1000"/>
    <n v="0.1602628682"/>
    <n v="0"/>
    <n v="0.1602628682"/>
    <n v="399.3439074117358"/>
    <n v="0.064"/>
    <m/>
    <n v="15.867808"/>
    <n v="41.765"/>
    <n v="0.09626286819999999"/>
    <m/>
  </r>
  <r>
    <n v="509"/>
    <s v="Hosur"/>
    <x v="24"/>
    <s v="Sri Balaji Gear"/>
    <x v="19"/>
    <n v="3230490"/>
    <s v="188595-3230490"/>
    <s v="TUB-S-AW-AUT-19.00X19.00X1.000X0.3550"/>
    <x v="7"/>
    <m/>
    <x v="0"/>
    <s v="CR"/>
    <m/>
    <m/>
    <m/>
    <m/>
    <x v="72"/>
    <s v="19-19-1-CRFH-PE-0.355"/>
    <n v="5"/>
    <s v="Hosur"/>
    <n v="0"/>
    <n v="0"/>
    <m/>
    <x v="31"/>
    <x v="29"/>
    <x v="11"/>
    <x v="1"/>
    <n v="355"/>
    <s v="NOS"/>
    <m/>
    <m/>
    <n v="12000"/>
    <m/>
    <n v="6000"/>
    <n v="6000"/>
    <n v="2.3542062708"/>
    <n v="1.1771031354"/>
    <n v="1.1771031354"/>
    <n v="4209.561465755653"/>
    <n v="0.8258479999999999"/>
    <m/>
    <n v="15.867808"/>
    <n v="41.765"/>
    <n v="1.5283582708"/>
    <m/>
  </r>
  <r>
    <n v="645"/>
    <s v="Hosur"/>
    <x v="25"/>
    <s v="Sri Balaji Gear"/>
    <x v="19"/>
    <n v="3230490"/>
    <s v="188595-3230490"/>
    <s v="TUB-S-AW-AUT-19.00X19.00X1.000X0.3550"/>
    <x v="7"/>
    <m/>
    <x v="0"/>
    <m/>
    <m/>
    <m/>
    <m/>
    <m/>
    <x v="72"/>
    <s v="19-19-1-CRFH-PE-0.355"/>
    <m/>
    <m/>
    <n v="0"/>
    <n v="0"/>
    <m/>
    <x v="31"/>
    <x v="29"/>
    <x v="11"/>
    <x v="1"/>
    <n v="355"/>
    <s v="NOS"/>
    <m/>
    <m/>
    <n v="1000"/>
    <m/>
    <n v="6000"/>
    <n v="-5000"/>
    <n v="0.1961838559"/>
    <n v="1.1771031354"/>
    <n v="-0.9809192795000001"/>
    <n v="4209.561465755653"/>
    <n v="0.8258479999999999"/>
    <m/>
    <n v="15.867808"/>
    <n v="41.765"/>
    <n v="-0.6296641440999999"/>
    <m/>
  </r>
  <r>
    <n v="541"/>
    <s v="Hosur"/>
    <x v="23"/>
    <s v="Sri Balaji Gear"/>
    <x v="19"/>
    <n v="3571868"/>
    <s v="188595-3571868"/>
    <s v="TUB-S-AW-AUT-19.00X19.00X1.000X0.3920"/>
    <x v="7"/>
    <m/>
    <x v="0"/>
    <s v="CR"/>
    <m/>
    <m/>
    <m/>
    <m/>
    <x v="72"/>
    <s v="19-19-1-CRFH-PE-0.392"/>
    <n v="1"/>
    <s v="Hosur"/>
    <n v="0"/>
    <n v="0"/>
    <m/>
    <x v="31"/>
    <x v="29"/>
    <x v="11"/>
    <x v="1"/>
    <n v="392"/>
    <s v="NOS"/>
    <m/>
    <m/>
    <n v="1000"/>
    <m/>
    <n v="0"/>
    <n v="1000"/>
    <n v="0.21663118736"/>
    <n v="0"/>
    <n v="0.21663118736"/>
    <n v="0"/>
    <n v="0"/>
    <m/>
    <n v="15.867808"/>
    <n v="41.765"/>
    <n v="0.21663118736"/>
    <m/>
  </r>
  <r>
    <n v="510"/>
    <s v="Hosur"/>
    <x v="24"/>
    <s v="Sri Balaji Gear"/>
    <x v="19"/>
    <n v="3230487"/>
    <s v="188595-3230487"/>
    <s v="TUB-S-AW-AUT-19.00X19.00X1.000X0.4000"/>
    <x v="7"/>
    <m/>
    <x v="0"/>
    <s v="CR"/>
    <m/>
    <m/>
    <m/>
    <m/>
    <x v="72"/>
    <s v="19-19-1-CRFH-PE-0.4"/>
    <n v="4"/>
    <s v="Hosur"/>
    <n v="0"/>
    <n v="0"/>
    <m/>
    <x v="31"/>
    <x v="29"/>
    <x v="11"/>
    <x v="1"/>
    <n v="400"/>
    <s v="NOS"/>
    <m/>
    <m/>
    <n v="48000"/>
    <m/>
    <n v="23000"/>
    <n v="25000"/>
    <n v="10.610507136"/>
    <n v="5.084201336"/>
    <n v="5.5263058"/>
    <n v="7701.727255122218"/>
    <n v="1.702484"/>
    <m/>
    <n v="15.867808"/>
    <n v="41.765"/>
    <n v="8.908023136000001"/>
    <m/>
  </r>
  <r>
    <n v="644"/>
    <s v="Hosur"/>
    <x v="25"/>
    <s v="Sri Balaji Gear"/>
    <x v="19"/>
    <n v="3230487"/>
    <s v="188595-3230487"/>
    <s v="TUB-S-AW-AUT-19.00X19.00X1.000X0.4000"/>
    <x v="7"/>
    <m/>
    <x v="0"/>
    <m/>
    <m/>
    <m/>
    <m/>
    <m/>
    <x v="72"/>
    <s v="19-19-1-CRFH-PE-0.4"/>
    <m/>
    <m/>
    <n v="0"/>
    <n v="0"/>
    <m/>
    <x v="31"/>
    <x v="29"/>
    <x v="11"/>
    <x v="1"/>
    <n v="400"/>
    <s v="NOS"/>
    <m/>
    <m/>
    <n v="3000"/>
    <m/>
    <n v="23000"/>
    <n v="-20000"/>
    <n v="0.663156696"/>
    <n v="5.084201336"/>
    <n v="-4.421044640000001"/>
    <n v="7701.727255122218"/>
    <n v="1.702484"/>
    <m/>
    <n v="15.867808"/>
    <n v="41.765"/>
    <n v="-1.039327304"/>
    <m/>
  </r>
  <r>
    <n v="511"/>
    <s v="Hosur"/>
    <x v="24"/>
    <s v="Sri Balaji Gear"/>
    <x v="19"/>
    <n v="3230488"/>
    <s v="188595-3230488"/>
    <s v="TUB-S-AW-AUT-19.00X19.00X1.000X0.4700"/>
    <x v="7"/>
    <m/>
    <x v="0"/>
    <s v="CR"/>
    <m/>
    <m/>
    <m/>
    <m/>
    <x v="72"/>
    <s v="19-19-1-CRFH-PE-0.47"/>
    <n v="4"/>
    <s v="Hosur"/>
    <n v="0"/>
    <n v="0"/>
    <m/>
    <x v="31"/>
    <x v="29"/>
    <x v="11"/>
    <x v="1"/>
    <n v="470"/>
    <s v="NOS"/>
    <m/>
    <m/>
    <n v="12000"/>
    <m/>
    <n v="6000"/>
    <n v="6000"/>
    <n v="3.1168364712"/>
    <n v="1.5584182356"/>
    <n v="1.5584182356"/>
    <n v="977.8376338193306"/>
    <n v="0.25398"/>
    <m/>
    <n v="15.867808"/>
    <n v="41.765"/>
    <n v="2.8628564712"/>
    <m/>
  </r>
  <r>
    <n v="643"/>
    <s v="Hosur"/>
    <x v="25"/>
    <s v="Sri Balaji Gear"/>
    <x v="19"/>
    <n v="3230488"/>
    <s v="188595-3230488"/>
    <s v="TUB-S-AW-AUT-19.00X19.00X1.000X0.4700"/>
    <x v="7"/>
    <m/>
    <x v="0"/>
    <m/>
    <m/>
    <m/>
    <m/>
    <m/>
    <x v="72"/>
    <s v="19-19-1-CRFH-PE-0.47"/>
    <m/>
    <m/>
    <n v="0"/>
    <n v="0"/>
    <m/>
    <x v="31"/>
    <x v="29"/>
    <x v="11"/>
    <x v="1"/>
    <n v="470"/>
    <s v="NOS"/>
    <m/>
    <m/>
    <n v="1000"/>
    <m/>
    <n v="6000"/>
    <n v="-5000"/>
    <n v="0.2597363726"/>
    <n v="1.5584182356"/>
    <n v="-1.298681863"/>
    <n v="977.8376338193304"/>
    <n v="0.25398"/>
    <m/>
    <n v="15.867808"/>
    <n v="41.765"/>
    <n v="0.005756372600000004"/>
    <m/>
  </r>
  <r>
    <n v="542"/>
    <s v="Hosur"/>
    <x v="23"/>
    <s v="Sri Balaji Gear"/>
    <x v="19"/>
    <n v="3571869"/>
    <s v="188595-3571869"/>
    <s v="TUB-S-AW-AUT-19.00X19.00X1.000X0.4860"/>
    <x v="7"/>
    <m/>
    <x v="0"/>
    <s v="CR"/>
    <m/>
    <m/>
    <m/>
    <m/>
    <x v="72"/>
    <s v="19-19-1-CRFH-PE-0.486"/>
    <n v="1"/>
    <s v="Hosur"/>
    <n v="0"/>
    <n v="0"/>
    <m/>
    <x v="31"/>
    <x v="29"/>
    <x v="11"/>
    <x v="1"/>
    <n v="486"/>
    <s v="NOS"/>
    <m/>
    <m/>
    <n v="500"/>
    <m/>
    <n v="0"/>
    <n v="500"/>
    <n v="0.13428923094"/>
    <n v="0"/>
    <n v="0.13428923094"/>
    <n v="1302.412701120798"/>
    <n v="0.3498"/>
    <m/>
    <n v="15.867808"/>
    <n v="41.765"/>
    <n v="-0.21551076906"/>
    <m/>
  </r>
  <r>
    <n v="520"/>
    <s v="Hosur"/>
    <x v="24"/>
    <s v="Sri Balaji Gear"/>
    <x v="19"/>
    <n v="3571870"/>
    <s v="188595-3571870"/>
    <s v="TUB-S-AW-AUT-19.00X19.00X1.000X0.5400"/>
    <x v="7"/>
    <m/>
    <x v="0"/>
    <s v="CR"/>
    <m/>
    <m/>
    <m/>
    <m/>
    <x v="72"/>
    <s v="19-19-1-CRFH-PE-0.54"/>
    <n v="5"/>
    <s v="Hosur"/>
    <n v="0"/>
    <n v="0"/>
    <m/>
    <x v="31"/>
    <x v="29"/>
    <x v="11"/>
    <x v="1"/>
    <n v="540"/>
    <s v="NOS"/>
    <m/>
    <m/>
    <n v="12000"/>
    <m/>
    <n v="6000"/>
    <n v="6000"/>
    <n v="3.581046158400001"/>
    <n v="1.7905230792"/>
    <n v="1.7905230792"/>
    <n v="986.624534764053"/>
    <n v="0.294429"/>
    <m/>
    <n v="15.867808"/>
    <n v="41.765"/>
    <n v="3.286617158400001"/>
    <m/>
  </r>
  <r>
    <n v="543"/>
    <s v="Hosur"/>
    <x v="23"/>
    <s v="Sri Balaji Gear"/>
    <x v="19"/>
    <n v="3571870"/>
    <s v="188595-3571870"/>
    <s v="TUB-S-AW-AUT-19.00X19.00X1.000X0.5400"/>
    <x v="7"/>
    <m/>
    <x v="0"/>
    <s v="CR"/>
    <m/>
    <m/>
    <m/>
    <m/>
    <x v="72"/>
    <s v="19-19-1-CRFH-PE-0.54"/>
    <n v="5"/>
    <s v="Hosur"/>
    <n v="0"/>
    <n v="0"/>
    <m/>
    <x v="31"/>
    <x v="29"/>
    <x v="11"/>
    <x v="1"/>
    <n v="540"/>
    <s v="NOS"/>
    <m/>
    <m/>
    <n v="1000"/>
    <m/>
    <n v="6000"/>
    <n v="-5000"/>
    <n v="0.2984205132000001"/>
    <n v="1.7905230792"/>
    <n v="-1.492102566"/>
    <n v="986.624534764053"/>
    <n v="0.294429"/>
    <m/>
    <n v="15.867808"/>
    <n v="41.765"/>
    <n v="0.003991513200000074"/>
    <m/>
  </r>
  <r>
    <n v="659"/>
    <s v="Hosur"/>
    <x v="25"/>
    <s v="Sri Balaji Gear"/>
    <x v="19"/>
    <n v="3571870"/>
    <s v="188595-3571870"/>
    <s v="TUB-S-AW-AUT-19.00X19.00X1.000X0.5400"/>
    <x v="7"/>
    <m/>
    <x v="0"/>
    <m/>
    <m/>
    <m/>
    <m/>
    <m/>
    <x v="72"/>
    <s v="19-19-1-CRFH-PE-0.54"/>
    <m/>
    <m/>
    <n v="0"/>
    <n v="0"/>
    <m/>
    <x v="31"/>
    <x v="29"/>
    <x v="11"/>
    <x v="1"/>
    <n v="540"/>
    <s v="NOS"/>
    <m/>
    <m/>
    <n v="1000"/>
    <m/>
    <n v="6000"/>
    <n v="-5000"/>
    <n v="0.2984205132000001"/>
    <n v="1.7905230792"/>
    <n v="-1.492102566"/>
    <n v="986.624534764053"/>
    <n v="0.294429"/>
    <m/>
    <n v="15.867808"/>
    <n v="41.765"/>
    <n v="0.003991513200000074"/>
    <m/>
  </r>
  <r>
    <n v="544"/>
    <s v="Hosur"/>
    <x v="23"/>
    <s v="Sri Balaji Gear"/>
    <x v="19"/>
    <n v="3572031"/>
    <s v="188595-3572031"/>
    <s v="TUB-S-AW-AUT-19.00X19.00X1.000X0.7100"/>
    <x v="7"/>
    <m/>
    <x v="0"/>
    <s v="CR"/>
    <m/>
    <m/>
    <m/>
    <m/>
    <x v="72"/>
    <s v="19-19-1-CRFH-PE-0.71"/>
    <n v="1"/>
    <s v="Hosur"/>
    <n v="0"/>
    <n v="0"/>
    <m/>
    <x v="31"/>
    <x v="29"/>
    <x v="11"/>
    <x v="1"/>
    <n v="710"/>
    <s v="NOS"/>
    <m/>
    <m/>
    <n v="1000"/>
    <m/>
    <n v="0"/>
    <n v="1000"/>
    <n v="0.3923677118000001"/>
    <n v="0"/>
    <n v="0.3923677118000001"/>
    <n v="2599.602284603684"/>
    <n v="1.02"/>
    <m/>
    <n v="15.867808"/>
    <n v="41.765"/>
    <n v="-0.6276322881999999"/>
    <m/>
  </r>
  <r>
    <n v="545"/>
    <s v="Hosur"/>
    <x v="23"/>
    <s v="Sri Balaji Gear"/>
    <x v="19"/>
    <n v="3572032"/>
    <s v="188595-3572032"/>
    <s v="TUB-S-AW-AUT-19.00X19.00X1.000X0.7500"/>
    <x v="7"/>
    <m/>
    <x v="0"/>
    <s v="CR"/>
    <m/>
    <m/>
    <m/>
    <m/>
    <x v="72"/>
    <s v="19-19-1-CRFH-PE-0.75"/>
    <n v="1"/>
    <s v="Hosur"/>
    <n v="0"/>
    <n v="0"/>
    <m/>
    <x v="31"/>
    <x v="29"/>
    <x v="11"/>
    <x v="1"/>
    <n v="750"/>
    <s v="NOS"/>
    <m/>
    <m/>
    <n v="1000"/>
    <m/>
    <n v="0"/>
    <n v="1000"/>
    <n v="0.414472935"/>
    <n v="0"/>
    <n v="0.414472935"/>
    <n v="2651.560348566547"/>
    <n v="1.099"/>
    <m/>
    <n v="15.867808"/>
    <n v="41.765"/>
    <n v="-0.6845270649999999"/>
    <m/>
  </r>
  <r>
    <n v="514"/>
    <s v="Hosur"/>
    <x v="24"/>
    <s v="Sri Balaji Gear"/>
    <x v="19"/>
    <n v="4151426"/>
    <s v="188595-4151426"/>
    <s v="TUB-S-AW-AUT-19.00X19.00X1.000X0.755"/>
    <x v="7"/>
    <m/>
    <x v="0"/>
    <s v="CR"/>
    <m/>
    <m/>
    <m/>
    <m/>
    <x v="72"/>
    <s v="19-19-1-CRFH-PE-0.755"/>
    <n v="2"/>
    <s v="Hosur"/>
    <n v="0"/>
    <n v="0"/>
    <m/>
    <x v="31"/>
    <x v="29"/>
    <x v="11"/>
    <x v="1"/>
    <n v="755"/>
    <s v="NOS"/>
    <m/>
    <m/>
    <n v="12000"/>
    <m/>
    <n v="5000"/>
    <n v="7000"/>
    <n v="5.0068330548"/>
    <n v="2.086180439500001"/>
    <n v="2.9206526153"/>
    <n v="3823.583448952187"/>
    <n v="1.595337"/>
    <m/>
    <n v="15.867808"/>
    <n v="41.765"/>
    <n v="3.411496054800001"/>
    <m/>
  </r>
  <r>
    <n v="546"/>
    <s v="Hosur"/>
    <x v="23"/>
    <s v="Sri Balaji Gear"/>
    <x v="19"/>
    <n v="3572033"/>
    <s v="188595-3572033"/>
    <s v="TUB-S-AW-AUT-19.00X19.00X1.000X0.7900"/>
    <x v="7"/>
    <m/>
    <x v="0"/>
    <s v="CR"/>
    <m/>
    <m/>
    <m/>
    <m/>
    <x v="72"/>
    <s v="19-19-1-CRFH-PE-0.79"/>
    <n v="1"/>
    <s v="Hosur"/>
    <n v="0"/>
    <n v="0"/>
    <m/>
    <x v="31"/>
    <x v="29"/>
    <x v="11"/>
    <x v="1"/>
    <n v="790"/>
    <s v="NOS"/>
    <m/>
    <m/>
    <n v="1000"/>
    <m/>
    <n v="0"/>
    <n v="1000"/>
    <n v="0.4365781582"/>
    <n v="0"/>
    <n v="0.4365781582"/>
    <n v="151.1756801396484"/>
    <n v="0.066"/>
    <m/>
    <n v="15.867808"/>
    <n v="41.765"/>
    <n v="0.3705781582"/>
    <m/>
  </r>
  <r>
    <n v="508"/>
    <s v="Hosur"/>
    <x v="24"/>
    <s v="Sri Balaji Gear"/>
    <x v="19"/>
    <n v="4151429"/>
    <s v="188595-4151429"/>
    <s v="TUB-S-AW-AUT-19.00X19.00X1.000X0.795"/>
    <x v="7"/>
    <m/>
    <x v="0"/>
    <s v="CR"/>
    <m/>
    <m/>
    <m/>
    <m/>
    <x v="72"/>
    <s v="19-19-1-CRFH-PE-0.795"/>
    <n v="2"/>
    <s v="Hosur"/>
    <n v="0"/>
    <n v="0"/>
    <m/>
    <x v="31"/>
    <x v="29"/>
    <x v="11"/>
    <x v="1"/>
    <n v="795"/>
    <s v="NOS"/>
    <m/>
    <m/>
    <n v="12000"/>
    <m/>
    <n v="5000"/>
    <n v="7000"/>
    <n v="5.2720957332"/>
    <n v="2.1967065555"/>
    <n v="3.0753891777"/>
    <n v="4720.575888498549"/>
    <n v="2.073944"/>
    <m/>
    <n v="15.867808"/>
    <n v="41.765"/>
    <n v="3.1981517332"/>
    <m/>
  </r>
  <r>
    <n v="642"/>
    <s v="Hosur"/>
    <x v="25"/>
    <s v="Sri Balaji Gear"/>
    <x v="19"/>
    <n v="3931836"/>
    <s v="188595-3931836"/>
    <s v="CUT-R-AW-AUT-19.00X19.00X1.000X0.8000"/>
    <x v="7"/>
    <m/>
    <x v="0"/>
    <m/>
    <m/>
    <m/>
    <m/>
    <m/>
    <x v="72"/>
    <s v="19-19-1-CRFH-PE-0.8"/>
    <m/>
    <m/>
    <n v="0"/>
    <n v="0"/>
    <m/>
    <x v="31"/>
    <x v="29"/>
    <x v="11"/>
    <x v="1"/>
    <n v="800"/>
    <s v="NOS"/>
    <m/>
    <m/>
    <n v="1000"/>
    <m/>
    <n v="1000"/>
    <n v="0"/>
    <n v="0.442104464"/>
    <n v="0.442104464"/>
    <n v="0"/>
    <n v="1953.841388943767"/>
    <n v="0.863802"/>
    <m/>
    <n v="15.867808"/>
    <n v="41.765"/>
    <n v="-0.4216975359999999"/>
    <m/>
  </r>
  <r>
    <n v="518"/>
    <s v="Hosur"/>
    <x v="24"/>
    <s v="Sri Balaji Gear"/>
    <x v="19"/>
    <n v="4151425"/>
    <s v="188595-4151425"/>
    <s v="CUT-S-AW-AUT-19.00X19.00X1.000X0.835"/>
    <x v="7"/>
    <m/>
    <x v="0"/>
    <s v="CR"/>
    <m/>
    <m/>
    <m/>
    <m/>
    <x v="72"/>
    <s v="19-19-1-CRFH-PE-0.835"/>
    <n v="2"/>
    <s v="Hosur"/>
    <n v="0"/>
    <n v="0"/>
    <m/>
    <x v="31"/>
    <x v="29"/>
    <x v="11"/>
    <x v="1"/>
    <n v="835"/>
    <s v="NOS"/>
    <m/>
    <m/>
    <n v="12000"/>
    <m/>
    <n v="5000"/>
    <n v="7000"/>
    <n v="5.537358411600001"/>
    <n v="2.3072326715"/>
    <n v="3.2301257401"/>
    <n v="1006.465463446433"/>
    <n v="0.46443"/>
    <m/>
    <n v="15.867808"/>
    <n v="41.765"/>
    <n v="5.0729284116"/>
    <m/>
  </r>
  <r>
    <n v="641"/>
    <s v="Hosur"/>
    <x v="25"/>
    <s v="Sri Balaji Gear"/>
    <x v="19"/>
    <n v="3230485"/>
    <s v="188595-3230485"/>
    <s v="TUB-S-AW-AUT-19.00X19.00X1.000X0.8400"/>
    <x v="7"/>
    <m/>
    <x v="0"/>
    <m/>
    <m/>
    <m/>
    <m/>
    <m/>
    <x v="72"/>
    <s v="19-19-1-CRFH-PE-0.84"/>
    <m/>
    <m/>
    <n v="0"/>
    <n v="0"/>
    <m/>
    <x v="31"/>
    <x v="29"/>
    <x v="11"/>
    <x v="1"/>
    <n v="840"/>
    <s v="NOS"/>
    <m/>
    <m/>
    <n v="1000"/>
    <m/>
    <n v="1000"/>
    <n v="0"/>
    <n v="0.4642096872000001"/>
    <n v="0.4642096872000001"/>
    <n v="0"/>
    <n v="1812.381394008961"/>
    <n v="0.841325"/>
    <m/>
    <n v="15.867808"/>
    <n v="41.765"/>
    <n v="-0.3771153127999999"/>
    <m/>
  </r>
  <r>
    <n v="640"/>
    <s v="Hosur"/>
    <x v="25"/>
    <s v="Sri Balaji Gear"/>
    <x v="19"/>
    <n v="3233560"/>
    <s v="188595-3233560"/>
    <s v="TUB-S-AW-AUT-19.00X19.00X1.000X0.8750"/>
    <x v="7"/>
    <m/>
    <x v="0"/>
    <m/>
    <m/>
    <m/>
    <m/>
    <m/>
    <x v="72"/>
    <s v="19-19-1-CRFH-PE-0.875"/>
    <m/>
    <m/>
    <n v="0"/>
    <n v="0"/>
    <m/>
    <x v="31"/>
    <x v="29"/>
    <x v="11"/>
    <x v="1"/>
    <n v="875"/>
    <s v="NOS"/>
    <m/>
    <m/>
    <n v="1000"/>
    <m/>
    <n v="1000"/>
    <n v="0"/>
    <n v="0.4835517575"/>
    <n v="0.4835517575"/>
    <n v="0"/>
    <n v="0"/>
    <n v="0"/>
    <m/>
    <n v="15.867808"/>
    <n v="41.765"/>
    <n v="0.4835517575"/>
    <m/>
  </r>
  <r>
    <n v="639"/>
    <s v="Hosur"/>
    <x v="25"/>
    <s v="Sri Balaji Gear"/>
    <x v="19"/>
    <n v="3230492"/>
    <s v="188595-3230492"/>
    <s v="TUB-S-AW-AUT-19.00X19.00X1.000X0.8800"/>
    <x v="7"/>
    <m/>
    <x v="0"/>
    <m/>
    <m/>
    <m/>
    <m/>
    <m/>
    <x v="72"/>
    <s v="19-19-1-CRFH-PE-0.88"/>
    <m/>
    <m/>
    <n v="0"/>
    <n v="0"/>
    <m/>
    <x v="31"/>
    <x v="29"/>
    <x v="11"/>
    <x v="1"/>
    <n v="880"/>
    <s v="NOS"/>
    <m/>
    <m/>
    <n v="1000"/>
    <m/>
    <n v="1000"/>
    <n v="0"/>
    <n v="0.4863149104000001"/>
    <n v="0.4863149104000001"/>
    <n v="0"/>
    <n v="1503.80336765426"/>
    <n v="0.731322"/>
    <m/>
    <n v="15.867808"/>
    <n v="41.765"/>
    <n v="-0.2450070895999999"/>
    <m/>
  </r>
  <r>
    <n v="547"/>
    <s v="Hosur"/>
    <x v="23"/>
    <s v="Sri Balaji Gear"/>
    <x v="19"/>
    <n v="3572035"/>
    <s v="188595-3572035"/>
    <s v="TUB-S-AW-AUT-19.00X19.00X1.000X0.8900"/>
    <x v="7"/>
    <m/>
    <x v="0"/>
    <s v="CR"/>
    <m/>
    <m/>
    <m/>
    <m/>
    <x v="72"/>
    <s v="19-19-1-CRFH-PE-0.89"/>
    <n v="1"/>
    <s v="Hosur"/>
    <n v="0"/>
    <n v="0"/>
    <m/>
    <x v="31"/>
    <x v="29"/>
    <x v="11"/>
    <x v="1"/>
    <n v="890"/>
    <s v="NOS"/>
    <m/>
    <m/>
    <n v="500"/>
    <m/>
    <n v="0"/>
    <n v="500"/>
    <n v="0.2459206081"/>
    <n v="0"/>
    <n v="0.2459206081"/>
    <n v="2602.465913469738"/>
    <n v="1.28"/>
    <m/>
    <n v="15.867808"/>
    <n v="41.765"/>
    <n v="-1.0340793919"/>
    <m/>
  </r>
  <r>
    <n v="548"/>
    <s v="Hosur"/>
    <x v="23"/>
    <s v="Sri Balaji Gear"/>
    <x v="19"/>
    <n v="3938684"/>
    <s v="188595-3938684"/>
    <s v="TUB-S-AW-AUT-19.00X19.00X1.000X0.9620"/>
    <x v="7"/>
    <m/>
    <x v="0"/>
    <s v="CR"/>
    <m/>
    <m/>
    <m/>
    <m/>
    <x v="72"/>
    <s v="19-19-1-CRFH-PE-0.962"/>
    <n v="1"/>
    <s v="Hosur"/>
    <n v="0"/>
    <n v="0"/>
    <m/>
    <x v="31"/>
    <x v="29"/>
    <x v="11"/>
    <x v="1"/>
    <n v="962"/>
    <s v="NOS"/>
    <m/>
    <m/>
    <n v="1000"/>
    <m/>
    <n v="0"/>
    <n v="1000"/>
    <n v="0.53163061796"/>
    <n v="0"/>
    <n v="0.53163061796"/>
    <n v="2491.203394345599"/>
    <n v="1.3244"/>
    <m/>
    <n v="15.867808"/>
    <n v="41.765"/>
    <n v="-0.79276938204"/>
    <m/>
  </r>
  <r>
    <n v="513"/>
    <s v="Hosur"/>
    <x v="24"/>
    <s v="Sri Balaji Gear"/>
    <x v="19"/>
    <n v="4151427"/>
    <s v="188595-4151427"/>
    <s v="TUB-S-AW-AUT-19.00X19.00X1.000X0.963"/>
    <x v="7"/>
    <m/>
    <x v="0"/>
    <s v="CR"/>
    <m/>
    <m/>
    <m/>
    <m/>
    <x v="72"/>
    <s v="19-19-1-CRFH-PE-0.963"/>
    <n v="2"/>
    <s v="Hosur"/>
    <n v="0"/>
    <n v="0"/>
    <m/>
    <x v="31"/>
    <x v="29"/>
    <x v="11"/>
    <x v="1"/>
    <n v="963"/>
    <s v="NOS"/>
    <m/>
    <m/>
    <n v="12000"/>
    <m/>
    <n v="5000"/>
    <n v="7000"/>
    <n v="6.386198982480002"/>
    <n v="2.6609162427"/>
    <n v="3.725282739780001"/>
    <n v="2197.876395412481"/>
    <n v="1.169673"/>
    <m/>
    <n v="15.867808"/>
    <n v="41.765"/>
    <n v="5.216525982480002"/>
    <m/>
  </r>
  <r>
    <n v="516"/>
    <s v="Hosur"/>
    <x v="24"/>
    <s v="Sri Balaji Gear"/>
    <x v="19"/>
    <n v="4100796"/>
    <s v="188595-4100796"/>
    <s v="CUT-R-AW-AUT-19.00X19.00X1.000X1.007"/>
    <x v="7"/>
    <m/>
    <x v="0"/>
    <s v="CR"/>
    <m/>
    <m/>
    <m/>
    <m/>
    <x v="72"/>
    <s v="19-19-1-CRFH-PE-1.007"/>
    <n v="6"/>
    <s v="Hosur"/>
    <n v="0"/>
    <n v="0"/>
    <m/>
    <x v="31"/>
    <x v="29"/>
    <x v="11"/>
    <x v="1"/>
    <n v="1007"/>
    <s v="NOS"/>
    <m/>
    <m/>
    <n v="6000"/>
    <m/>
    <n v="3000"/>
    <n v="3000"/>
    <n v="3.33899396436"/>
    <n v="1.66949698218"/>
    <n v="1.66949698218"/>
    <n v="3564.164573828771"/>
    <n v="1.983454"/>
    <m/>
    <n v="15.867808"/>
    <n v="41.765"/>
    <n v="1.35553996436"/>
    <m/>
  </r>
  <r>
    <n v="549"/>
    <s v="Hosur"/>
    <x v="23"/>
    <s v="Sri Balaji Gear"/>
    <x v="19"/>
    <n v="4100796"/>
    <s v="188595-4100796"/>
    <s v="CUT-R-AW-AUT-19.00X19.00X1.000X1.007"/>
    <x v="7"/>
    <m/>
    <x v="0"/>
    <s v="CR"/>
    <m/>
    <m/>
    <m/>
    <m/>
    <x v="72"/>
    <s v="19-19-1-CRFH-PE-1.007"/>
    <n v="6"/>
    <s v="Hosur"/>
    <n v="0"/>
    <n v="0"/>
    <m/>
    <x v="31"/>
    <x v="29"/>
    <x v="11"/>
    <x v="1"/>
    <n v="1007"/>
    <s v="NOS"/>
    <m/>
    <m/>
    <n v="500"/>
    <m/>
    <n v="3000"/>
    <n v="-2500"/>
    <n v="0.2782494970300001"/>
    <n v="1.66949698218"/>
    <n v="-1.39124748515"/>
    <n v="3564.164573828771"/>
    <n v="1.983454"/>
    <m/>
    <n v="15.867808"/>
    <n v="41.765"/>
    <n v="-1.70520450297"/>
    <m/>
  </r>
  <r>
    <n v="661"/>
    <s v="Hosur"/>
    <x v="25"/>
    <s v="Sri Balaji Gear"/>
    <x v="19"/>
    <n v="4100796"/>
    <s v="188595-4100796"/>
    <s v="CUT-R-AW-AUT-19.00X19.00X1.000X1.0070"/>
    <x v="7"/>
    <m/>
    <x v="0"/>
    <m/>
    <m/>
    <m/>
    <m/>
    <m/>
    <x v="72"/>
    <s v="19-19-1-CRFH-PE-1.007"/>
    <m/>
    <m/>
    <n v="0"/>
    <n v="0"/>
    <m/>
    <x v="31"/>
    <x v="29"/>
    <x v="11"/>
    <x v="1"/>
    <n v="1007"/>
    <s v="NOS"/>
    <m/>
    <m/>
    <n v="500"/>
    <m/>
    <n v="3000"/>
    <n v="-2500"/>
    <n v="0.2782494970300001"/>
    <n v="1.66949698218"/>
    <n v="-1.39124748515"/>
    <n v="3564.164573828771"/>
    <n v="1.983454"/>
    <m/>
    <n v="15.867808"/>
    <n v="41.765"/>
    <n v="-1.70520450297"/>
    <m/>
  </r>
  <r>
    <n v="517"/>
    <s v="Hosur"/>
    <x v="24"/>
    <s v="Sri Balaji Gear"/>
    <x v="19"/>
    <n v="3572038"/>
    <s v="188595-3572038"/>
    <s v="TUB-S-AW-AUT-19.00X19.00X1.000X1.2460"/>
    <x v="7"/>
    <m/>
    <x v="0"/>
    <s v="CR"/>
    <m/>
    <m/>
    <m/>
    <m/>
    <x v="72"/>
    <s v="19-19-1-CRFH-PE-1.246"/>
    <n v="5"/>
    <s v="Hosur"/>
    <n v="0"/>
    <n v="0"/>
    <m/>
    <x v="31"/>
    <x v="29"/>
    <x v="11"/>
    <x v="1"/>
    <n v="1246"/>
    <s v="NOS"/>
    <m/>
    <m/>
    <n v="6000"/>
    <m/>
    <n v="3000"/>
    <n v="3000"/>
    <n v="4.13146621608"/>
    <n v="2.06573310804"/>
    <n v="2.06573310804"/>
    <n v="1331.570854576601"/>
    <n v="0.91689"/>
    <m/>
    <n v="15.867808"/>
    <n v="41.765"/>
    <n v="3.21457621608"/>
    <m/>
  </r>
  <r>
    <n v="550"/>
    <s v="Hosur"/>
    <x v="23"/>
    <s v="Sri Balaji Gear"/>
    <x v="19"/>
    <n v="3572038"/>
    <s v="188595-3572038"/>
    <s v="TUB-S-AW-AUT-19.00X19.00X1.000X1.2460"/>
    <x v="7"/>
    <m/>
    <x v="0"/>
    <s v="CR"/>
    <m/>
    <m/>
    <m/>
    <m/>
    <x v="72"/>
    <s v="19-19-1-CRFH-PE-1.246"/>
    <n v="5"/>
    <s v="Hosur"/>
    <n v="0"/>
    <n v="0"/>
    <m/>
    <x v="31"/>
    <x v="29"/>
    <x v="11"/>
    <x v="1"/>
    <n v="1246"/>
    <s v="NOS"/>
    <m/>
    <m/>
    <n v="500"/>
    <m/>
    <n v="3000"/>
    <n v="-2500"/>
    <n v="0.3442888513399999"/>
    <n v="2.06573310804"/>
    <n v="-1.7214442567"/>
    <n v="1331.570854576601"/>
    <n v="0.91689"/>
    <m/>
    <n v="15.867808"/>
    <n v="41.765"/>
    <n v="-0.57260114866"/>
    <m/>
  </r>
  <r>
    <n v="638"/>
    <s v="Hosur"/>
    <x v="25"/>
    <s v="Sri Balaji Gear"/>
    <x v="19"/>
    <n v="3572038"/>
    <s v="188595-3572038"/>
    <s v="TUB-S-AW-AUT-19.00X19.00X1.000X1.2460"/>
    <x v="7"/>
    <m/>
    <x v="0"/>
    <m/>
    <m/>
    <m/>
    <m/>
    <m/>
    <x v="72"/>
    <s v="19-19-1-CRFH-PE-1.246"/>
    <m/>
    <m/>
    <n v="0"/>
    <n v="0"/>
    <m/>
    <x v="31"/>
    <x v="29"/>
    <x v="11"/>
    <x v="1"/>
    <n v="1246"/>
    <s v="NOS"/>
    <m/>
    <m/>
    <n v="500"/>
    <m/>
    <n v="3000"/>
    <n v="-2500"/>
    <n v="0.3442888513399999"/>
    <n v="2.06573310804"/>
    <n v="-1.7214442567"/>
    <n v="1331.570854576601"/>
    <n v="0.91689"/>
    <m/>
    <n v="15.867808"/>
    <n v="41.765"/>
    <n v="-0.57260114866"/>
    <m/>
  </r>
  <r>
    <n v="515"/>
    <s v="Hosur"/>
    <x v="24"/>
    <s v="Sri Balaji Gear"/>
    <x v="19"/>
    <n v="3572039"/>
    <s v="188595-3572039"/>
    <s v="TUB-S-AW-AUT-19.00X19.00X1.000X1.304"/>
    <x v="7"/>
    <m/>
    <x v="0"/>
    <s v="CR"/>
    <m/>
    <m/>
    <m/>
    <m/>
    <x v="72"/>
    <s v="19-19-1-CRFH-PE-1.304"/>
    <n v="3"/>
    <s v="Hosur"/>
    <n v="0"/>
    <n v="0"/>
    <m/>
    <x v="31"/>
    <x v="29"/>
    <x v="11"/>
    <x v="1"/>
    <n v="1304"/>
    <s v="NOS"/>
    <m/>
    <m/>
    <n v="12000"/>
    <m/>
    <n v="5000"/>
    <n v="7000"/>
    <n v="8.647563315840001"/>
    <n v="3.6031513816"/>
    <n v="5.044411934240001"/>
    <n v="2089.959372358112"/>
    <n v="1.506088"/>
    <m/>
    <n v="15.867808"/>
    <n v="41.765"/>
    <n v="7.141475315840001"/>
    <m/>
  </r>
  <r>
    <n v="551"/>
    <s v="Hosur"/>
    <x v="23"/>
    <s v="Sri Balaji Gear"/>
    <x v="19"/>
    <n v="3572039"/>
    <s v="188595-3572039"/>
    <s v="TUB-S-AW-AUT-19.00X19.00X1.000X1.3040"/>
    <x v="7"/>
    <m/>
    <x v="0"/>
    <s v="CR"/>
    <m/>
    <m/>
    <m/>
    <m/>
    <x v="72"/>
    <s v="19-19-1-CRFH-PE-1.304"/>
    <n v="3"/>
    <s v="Hosur"/>
    <n v="0"/>
    <n v="0"/>
    <m/>
    <x v="31"/>
    <x v="29"/>
    <x v="11"/>
    <x v="1"/>
    <n v="1304"/>
    <s v="NOS"/>
    <m/>
    <m/>
    <n v="500"/>
    <m/>
    <n v="5000"/>
    <n v="-4500"/>
    <n v="0.36031513816"/>
    <n v="3.6031513816"/>
    <n v="-3.24283624344"/>
    <n v="2089.959372358112"/>
    <n v="1.506088"/>
    <m/>
    <n v="15.867808"/>
    <n v="41.765"/>
    <n v="-1.14577286184"/>
    <m/>
  </r>
  <r>
    <n v="519"/>
    <s v="Hosur"/>
    <x v="24"/>
    <s v="Sri Balaji Gear"/>
    <x v="19"/>
    <n v="4151430"/>
    <s v="188595-4151430"/>
    <s v="TUB-S-AW-AUT-25.00X25.00X1.200X0.640"/>
    <x v="7"/>
    <m/>
    <x v="0"/>
    <m/>
    <m/>
    <m/>
    <m/>
    <m/>
    <x v="73"/>
    <s v="25-25-1.2-CRFH-PE-0.64"/>
    <n v="2"/>
    <s v="Hosur"/>
    <n v="2.546"/>
    <n v="0"/>
    <m/>
    <x v="10"/>
    <x v="13"/>
    <x v="3"/>
    <x v="2"/>
    <n v="640"/>
    <s v="NOS"/>
    <m/>
    <m/>
    <n v="12000"/>
    <m/>
    <n v="9000"/>
    <n v="3000"/>
    <n v="6.9398963712"/>
    <n v="5.2049222784"/>
    <n v="1.7349740928"/>
    <n v="1047.062320722164"/>
    <n v="0.605542"/>
    <m/>
    <n v="2.546"/>
    <n v="25.729"/>
    <n v="6.3343543712"/>
    <m/>
  </r>
  <r>
    <n v="552"/>
    <s v="Hosur"/>
    <x v="23"/>
    <s v="Sri Balaji Gear"/>
    <x v="19"/>
    <n v="3572043"/>
    <s v="188595-3572043"/>
    <s v="TUB-S-AW-AUT-25.00X25.00X1.200X0.6420"/>
    <x v="7"/>
    <m/>
    <x v="0"/>
    <m/>
    <m/>
    <m/>
    <m/>
    <m/>
    <x v="73"/>
    <s v="25-25-1.2-CRFH-PE-0.642"/>
    <n v="1"/>
    <s v="Hosur"/>
    <n v="2.546"/>
    <n v="0"/>
    <m/>
    <x v="10"/>
    <x v="13"/>
    <x v="3"/>
    <x v="2"/>
    <n v="642"/>
    <s v="NOS"/>
    <m/>
    <m/>
    <n v="1000"/>
    <m/>
    <n v="0"/>
    <n v="1000"/>
    <n v="0.5801319622800001"/>
    <n v="0"/>
    <n v="0.5801319622800001"/>
    <n v="826.5016085574329"/>
    <n v="0.47948"/>
    <m/>
    <n v="2.546"/>
    <n v="25.729"/>
    <n v="0.1006519622800001"/>
    <m/>
  </r>
  <r>
    <n v="650"/>
    <s v="Hosur"/>
    <x v="25"/>
    <s v="Sri Balaji Gear"/>
    <x v="19"/>
    <n v="3230482"/>
    <s v="188595-3230482"/>
    <s v="TUB-S-AW-AUT-25.00X25.00X1.200X0.7870"/>
    <x v="7"/>
    <m/>
    <x v="0"/>
    <m/>
    <m/>
    <m/>
    <m/>
    <m/>
    <x v="73"/>
    <s v="25-25-1.2-CRFH-PE-0.787"/>
    <m/>
    <m/>
    <n v="2.546"/>
    <n v="0"/>
    <m/>
    <x v="10"/>
    <x v="13"/>
    <x v="3"/>
    <x v="2"/>
    <n v="787"/>
    <s v="NOS"/>
    <m/>
    <m/>
    <n v="1000"/>
    <m/>
    <n v="1000"/>
    <n v="0"/>
    <n v="0.71115865158"/>
    <n v="0.71115865158"/>
    <n v="0"/>
    <n v="725.7564804327484"/>
    <n v="0.516128"/>
    <m/>
    <n v="2.546"/>
    <n v="25.729"/>
    <n v="0.19503065158"/>
    <m/>
  </r>
  <r>
    <n v="649"/>
    <s v="Hosur"/>
    <x v="25"/>
    <s v="Sri Balaji Gear"/>
    <x v="19"/>
    <n v="3935311"/>
    <s v="188595-3935311"/>
    <s v="CUT-S-AW-AUT-25.00X25.00X1.200X1.2980"/>
    <x v="7"/>
    <m/>
    <x v="0"/>
    <m/>
    <m/>
    <m/>
    <m/>
    <m/>
    <x v="73"/>
    <s v="25-25-1.2-CRFH-PE-1.298"/>
    <m/>
    <m/>
    <n v="2.546"/>
    <n v="0"/>
    <m/>
    <x v="10"/>
    <x v="13"/>
    <x v="3"/>
    <x v="2"/>
    <n v="1298"/>
    <s v="NOS"/>
    <m/>
    <m/>
    <n v="500"/>
    <m/>
    <n v="500"/>
    <n v="0"/>
    <n v="0.58645738866"/>
    <n v="0.58645738866"/>
    <n v="0"/>
    <n v="659.4528562146123"/>
    <n v="0.773482"/>
    <m/>
    <n v="2.546"/>
    <n v="25.729"/>
    <n v="-0.18702461134"/>
    <m/>
  </r>
  <r>
    <n v="553"/>
    <s v="Hosur"/>
    <x v="23"/>
    <s v="Sri Balaji Gear"/>
    <x v="19"/>
    <n v="3572045"/>
    <s v="188595-3572045"/>
    <s v="TUB-S-AW-AUT-30.00X30.00X1.200X0.1400"/>
    <x v="7"/>
    <m/>
    <x v="0"/>
    <m/>
    <m/>
    <m/>
    <m/>
    <m/>
    <x v="74"/>
    <s v="30-30-1.2-CRFH-PE-0.14"/>
    <s v="#REF!"/>
    <s v="Hosur"/>
    <n v="0"/>
    <n v="0"/>
    <m/>
    <x v="14"/>
    <x v="27"/>
    <x v="1"/>
    <x v="2"/>
    <n v="140"/>
    <s v="NOS"/>
    <m/>
    <m/>
    <n v="1000"/>
    <m/>
    <n v="0"/>
    <n v="1000"/>
    <n v="0.1528040808"/>
    <n v="0"/>
    <n v="0.1528040808"/>
    <n v="582.4451777337613"/>
    <n v="0.089"/>
    <m/>
    <n v="0"/>
    <n v="22.942"/>
    <n v="0.06380408079999997"/>
    <m/>
  </r>
  <r>
    <n v="521"/>
    <s v="Hosur"/>
    <x v="24"/>
    <s v="Sri Balaji Gear"/>
    <x v="19"/>
    <n v="4151424"/>
    <s v="188595-4151424"/>
    <s v="TUB-S-AW-AUT-30.00X30.00X1.200X0.190"/>
    <x v="7"/>
    <m/>
    <x v="0"/>
    <m/>
    <m/>
    <m/>
    <m/>
    <m/>
    <x v="74"/>
    <s v="30-30-1.2-CRFH-PE-0.19"/>
    <n v="2"/>
    <s v="Hosur"/>
    <n v="0"/>
    <n v="0"/>
    <m/>
    <x v="14"/>
    <x v="27"/>
    <x v="1"/>
    <x v="2"/>
    <n v="190"/>
    <s v="NOS"/>
    <m/>
    <m/>
    <n v="12000"/>
    <m/>
    <n v="9000"/>
    <n v="3000"/>
    <n v="2.4885236016"/>
    <n v="1.8663927012"/>
    <n v="0.6221309003999997"/>
    <n v="1007.27194163976"/>
    <n v="0.208885"/>
    <m/>
    <n v="0"/>
    <n v="22.942"/>
    <n v="2.2796386016"/>
    <m/>
  </r>
  <r>
    <n v="653"/>
    <s v="Hosur"/>
    <x v="25"/>
    <s v="Sri Balaji Gear"/>
    <x v="19"/>
    <n v="3230495"/>
    <s v="188595-3230495"/>
    <s v="TUB-S-AW-AUT-30.00X30.00X1.200X0.2200"/>
    <x v="7"/>
    <m/>
    <x v="0"/>
    <m/>
    <m/>
    <m/>
    <m/>
    <m/>
    <x v="74"/>
    <s v="30-30-1.2-CRFH-PE-0.22"/>
    <m/>
    <m/>
    <n v="0"/>
    <n v="0"/>
    <m/>
    <x v="14"/>
    <x v="27"/>
    <x v="1"/>
    <x v="2"/>
    <n v="220"/>
    <s v="NOS"/>
    <m/>
    <m/>
    <n v="1000"/>
    <m/>
    <n v="1000"/>
    <n v="0"/>
    <n v="0.2401206984"/>
    <n v="0.2401206984"/>
    <n v="0"/>
    <n v="1.303511117890368"/>
    <n v="0.000313"/>
    <m/>
    <n v="0"/>
    <n v="22.942"/>
    <n v="0.2398076984"/>
    <m/>
  </r>
  <r>
    <n v="564"/>
    <s v="Hosur"/>
    <x v="23"/>
    <s v="Sri Balaji Gear"/>
    <x v="19"/>
    <n v="3938688"/>
    <s v="188595-3938688"/>
    <s v="TUB-S-AW-AUT-40.00X20.00X1.200X0.095"/>
    <x v="7"/>
    <m/>
    <x v="0"/>
    <s v="CR"/>
    <m/>
    <m/>
    <m/>
    <m/>
    <x v="75"/>
    <s v="40-20-1.2-CRFH-PE-0.095"/>
    <n v="1"/>
    <s v="Hosur"/>
    <n v="8.802900000000001"/>
    <n v="0"/>
    <m/>
    <x v="14"/>
    <x v="15"/>
    <x v="4"/>
    <x v="2"/>
    <n v="95"/>
    <s v="NOS"/>
    <m/>
    <m/>
    <n v="1000"/>
    <m/>
    <n v="0"/>
    <n v="1000"/>
    <n v="0.1036884834"/>
    <n v="0"/>
    <n v="0.1036884834"/>
    <n v="216.0509949169533"/>
    <n v="0.022402"/>
    <m/>
    <n v="30.749381"/>
    <n v="129.152"/>
    <n v="0.0812864834"/>
    <m/>
  </r>
  <r>
    <n v="523"/>
    <s v="Hosur"/>
    <x v="24"/>
    <s v="Sri Balaji Gear"/>
    <x v="19"/>
    <n v="3572047"/>
    <s v="188595-3572047"/>
    <s v="TUB-R-AW-RHS-40.00X20.00X1.200X0.110"/>
    <x v="7"/>
    <m/>
    <x v="0"/>
    <s v="CR"/>
    <m/>
    <m/>
    <m/>
    <m/>
    <x v="75"/>
    <s v="40-20-1.2-CRFH-PE-0.11"/>
    <n v="3"/>
    <s v="Hosur"/>
    <n v="8.802900000000001"/>
    <n v="0"/>
    <m/>
    <x v="14"/>
    <x v="15"/>
    <x v="4"/>
    <x v="2"/>
    <n v="110"/>
    <s v="NOS"/>
    <m/>
    <m/>
    <n v="12000"/>
    <m/>
    <n v="5000"/>
    <n v="7000"/>
    <n v="1.4407241904"/>
    <n v="0.600301746"/>
    <n v="0.8404224444000001"/>
    <n v="4313.37242853863"/>
    <n v="0.517865"/>
    <m/>
    <n v="30.749381"/>
    <n v="129.152"/>
    <n v="0.9228591904000001"/>
    <m/>
  </r>
  <r>
    <n v="555"/>
    <s v="Hosur"/>
    <x v="23"/>
    <s v="Sri Balaji Gear"/>
    <x v="19"/>
    <n v="3572047"/>
    <s v="188595-3572047"/>
    <s v="TUB-R-AW-AUT-40.00X20.00X1.200X0.1100"/>
    <x v="7"/>
    <m/>
    <x v="0"/>
    <s v="CR"/>
    <m/>
    <m/>
    <m/>
    <m/>
    <x v="75"/>
    <s v="40-20-1.2-CRFH-PE-0.11"/>
    <n v="3"/>
    <s v="Hosur"/>
    <n v="8.802900000000001"/>
    <n v="0"/>
    <m/>
    <x v="14"/>
    <x v="15"/>
    <x v="4"/>
    <x v="2"/>
    <n v="110"/>
    <s v="NOS"/>
    <m/>
    <m/>
    <n v="1000"/>
    <m/>
    <n v="5000"/>
    <n v="-4000"/>
    <n v="0.1200603492"/>
    <n v="0.600301746"/>
    <n v="-0.4802413968"/>
    <n v="4313.372428538631"/>
    <n v="0.517865"/>
    <m/>
    <n v="30.749381"/>
    <n v="129.152"/>
    <n v="-0.3978046508"/>
    <m/>
  </r>
  <r>
    <n v="637"/>
    <s v="Hosur"/>
    <x v="25"/>
    <s v="Sri Balaji Gear"/>
    <x v="19"/>
    <n v="3233559"/>
    <s v="188595-3233559"/>
    <s v="TUB-R-AW-AUT-40.00X20.00X1.210X0.1200"/>
    <x v="7"/>
    <m/>
    <x v="0"/>
    <m/>
    <m/>
    <m/>
    <m/>
    <m/>
    <x v="75"/>
    <s v="40-20-1.2-CRFH-PE-0.12"/>
    <m/>
    <m/>
    <n v="8.802900000000001"/>
    <n v="0"/>
    <m/>
    <x v="14"/>
    <x v="15"/>
    <x v="4"/>
    <x v="2"/>
    <n v="120"/>
    <s v="NOS"/>
    <m/>
    <m/>
    <n v="1000"/>
    <m/>
    <n v="6000"/>
    <n v="-5000"/>
    <n v="0.1309749264"/>
    <n v="0.7858495583999998"/>
    <n v="-0.6548746319999998"/>
    <n v="8517.645557539325"/>
    <n v="1.115598"/>
    <m/>
    <n v="30.749381"/>
    <n v="129.152"/>
    <n v="-0.9846230735999999"/>
    <m/>
  </r>
  <r>
    <n v="522"/>
    <s v="Hosur"/>
    <x v="24"/>
    <s v="Sri Balaji Gear"/>
    <x v="19"/>
    <n v="3233559"/>
    <s v="188595-3233559"/>
    <s v="TUB-R-AW-AUT-40.00X20.00X1.210X0.1200"/>
    <x v="7"/>
    <m/>
    <x v="0"/>
    <s v="CR"/>
    <m/>
    <m/>
    <m/>
    <m/>
    <x v="75"/>
    <s v="40-20-1.2-CRFH-PE-0.12"/>
    <n v="4"/>
    <s v="Hosur"/>
    <n v="8.802900000000001"/>
    <n v="0"/>
    <m/>
    <x v="14"/>
    <x v="15"/>
    <x v="4"/>
    <x v="2"/>
    <n v="120"/>
    <s v="NOS"/>
    <m/>
    <m/>
    <n v="12000"/>
    <m/>
    <n v="6000"/>
    <n v="6000"/>
    <n v="1.5716991168"/>
    <n v="0.7858495583999998"/>
    <n v="0.7858495583999998"/>
    <n v="8517.645557539325"/>
    <n v="1.115598"/>
    <m/>
    <n v="30.749381"/>
    <n v="129.152"/>
    <n v="0.4561011167999998"/>
    <m/>
  </r>
  <r>
    <n v="556"/>
    <s v="Hosur"/>
    <x v="23"/>
    <s v="Sri Balaji Gear"/>
    <x v="19"/>
    <n v="3233559"/>
    <s v="188595-3233559"/>
    <s v="TUB-R-AW-AUT-40.00X20.00X1.210X0.1200"/>
    <x v="7"/>
    <m/>
    <x v="0"/>
    <s v="CR"/>
    <m/>
    <m/>
    <m/>
    <m/>
    <x v="75"/>
    <s v="40-20-1.2-CRFH-PE-0.12"/>
    <n v="4"/>
    <s v="Hosur"/>
    <n v="8.802900000000001"/>
    <n v="0"/>
    <m/>
    <x v="14"/>
    <x v="15"/>
    <x v="4"/>
    <x v="2"/>
    <n v="120"/>
    <s v="NOS"/>
    <m/>
    <m/>
    <n v="1000"/>
    <m/>
    <n v="6000"/>
    <n v="-5000"/>
    <n v="0.1309749264"/>
    <n v="0.7858495583999998"/>
    <n v="-0.6548746319999998"/>
    <n v="8517.645557539325"/>
    <n v="1.115598"/>
    <m/>
    <n v="30.749381"/>
    <n v="129.152"/>
    <n v="-0.9846230735999999"/>
    <m/>
  </r>
  <r>
    <n v="636"/>
    <s v="Hosur"/>
    <x v="25"/>
    <s v="Sri Balaji Gear"/>
    <x v="19"/>
    <n v="3584171"/>
    <s v="188595-3584171"/>
    <s v="TUB-R-AW-RHS-40.00X20.00X1.200X0.1300"/>
    <x v="7"/>
    <m/>
    <x v="0"/>
    <m/>
    <m/>
    <m/>
    <m/>
    <m/>
    <x v="75"/>
    <s v="40-20-1.2-CRFH-PE-0.13"/>
    <m/>
    <m/>
    <n v="8.802900000000001"/>
    <n v="0"/>
    <m/>
    <x v="14"/>
    <x v="15"/>
    <x v="4"/>
    <x v="2"/>
    <n v="130"/>
    <s v="NOS"/>
    <m/>
    <m/>
    <n v="1000"/>
    <m/>
    <n v="1000"/>
    <n v="0"/>
    <n v="0.1418895036"/>
    <n v="0.1418895036"/>
    <n v="0"/>
    <n v="35.2386883676433"/>
    <n v="0.005"/>
    <m/>
    <n v="30.749381"/>
    <n v="129.152"/>
    <n v="0.1368895036"/>
    <m/>
  </r>
  <r>
    <n v="557"/>
    <s v="Hosur"/>
    <x v="23"/>
    <s v="Sri Balaji Gear"/>
    <x v="19"/>
    <n v="3572048"/>
    <s v="188595-3572048"/>
    <s v="TUB-R-AW-AUT-40.00X20.00X1.200X0.1400"/>
    <x v="7"/>
    <m/>
    <x v="0"/>
    <s v="CR"/>
    <m/>
    <m/>
    <m/>
    <m/>
    <x v="75"/>
    <s v="40-20-1.2-CRFH-PE-0.14"/>
    <n v="1"/>
    <s v="Hosur"/>
    <n v="8.802900000000001"/>
    <n v="0"/>
    <m/>
    <x v="14"/>
    <x v="15"/>
    <x v="4"/>
    <x v="2"/>
    <n v="140"/>
    <s v="NOS"/>
    <m/>
    <m/>
    <n v="1000"/>
    <m/>
    <n v="0"/>
    <n v="1000"/>
    <n v="0.1528040808"/>
    <n v="0"/>
    <n v="0.1528040808"/>
    <n v="0"/>
    <n v="0"/>
    <m/>
    <n v="30.749381"/>
    <n v="129.152"/>
    <n v="0.1528040808"/>
    <m/>
  </r>
  <r>
    <n v="558"/>
    <s v="Hosur"/>
    <x v="23"/>
    <s v="Sri Balaji Gear"/>
    <x v="19"/>
    <n v="3572050"/>
    <s v="188595-3572050"/>
    <s v="TUB-R-AW-AUT-40.00X20.00X1.200X0.7100"/>
    <x v="7"/>
    <m/>
    <x v="0"/>
    <s v="CR"/>
    <m/>
    <m/>
    <m/>
    <m/>
    <x v="75"/>
    <s v="40-20-1.2-CRFH-PE-0.71"/>
    <n v="1"/>
    <s v="Hosur"/>
    <n v="8.802900000000001"/>
    <n v="0"/>
    <m/>
    <x v="14"/>
    <x v="15"/>
    <x v="4"/>
    <x v="2"/>
    <n v="710"/>
    <s v="NOS"/>
    <m/>
    <m/>
    <n v="1000"/>
    <m/>
    <n v="0"/>
    <n v="1000"/>
    <n v="0.7749349811999999"/>
    <n v="0"/>
    <n v="0.7749349811999999"/>
    <n v="1700.787849270986"/>
    <n v="1.318"/>
    <m/>
    <n v="30.749381"/>
    <n v="129.152"/>
    <n v="-0.5430650188000001"/>
    <m/>
  </r>
  <r>
    <n v="524"/>
    <s v="Hosur"/>
    <x v="24"/>
    <s v="Sri Balaji Gear"/>
    <x v="19"/>
    <n v="4151472"/>
    <s v="188595-4151472"/>
    <s v="TUB-R-AW-AUT-40.00X20.00X1.210X0.755"/>
    <x v="7"/>
    <m/>
    <x v="0"/>
    <s v="CR"/>
    <m/>
    <m/>
    <m/>
    <m/>
    <x v="75"/>
    <s v="40-20-1.2-CRFH-PE-0.755"/>
    <n v="2"/>
    <s v="Hosur"/>
    <n v="8.802900000000001"/>
    <n v="0"/>
    <m/>
    <x v="14"/>
    <x v="15"/>
    <x v="4"/>
    <x v="2"/>
    <n v="755"/>
    <s v="NOS"/>
    <m/>
    <m/>
    <n v="12000"/>
    <m/>
    <n v="5000"/>
    <n v="7000"/>
    <n v="9.888606943199999"/>
    <n v="4.120252892999999"/>
    <n v="5.7683540502"/>
    <n v="1008.77909874451"/>
    <n v="0.8312850000000001"/>
    <m/>
    <n v="30.749381"/>
    <n v="129.152"/>
    <n v="9.0573219432"/>
    <m/>
  </r>
  <r>
    <n v="635"/>
    <s v="Hosur"/>
    <x v="25"/>
    <s v="Sri Balaji Gear"/>
    <x v="19"/>
    <n v="3233557"/>
    <s v="188595-3233557"/>
    <s v="TUB-R-AW-AUT-40.00X20.00X1.210X0.8000"/>
    <x v="7"/>
    <m/>
    <x v="0"/>
    <m/>
    <m/>
    <m/>
    <m/>
    <m/>
    <x v="75"/>
    <s v="40-20-1.2-CRFH-PE-0.8"/>
    <m/>
    <m/>
    <n v="8.802900000000001"/>
    <n v="0"/>
    <m/>
    <x v="14"/>
    <x v="15"/>
    <x v="4"/>
    <x v="2"/>
    <n v="800"/>
    <s v="NOS"/>
    <m/>
    <m/>
    <n v="1000"/>
    <m/>
    <n v="1000"/>
    <n v="0"/>
    <n v="0.873166176"/>
    <n v="0.873166176"/>
    <n v="0"/>
    <n v="985.5329073122502"/>
    <n v="0.860534"/>
    <m/>
    <n v="30.749381"/>
    <n v="129.152"/>
    <n v="0.01263217599999999"/>
    <m/>
  </r>
  <r>
    <n v="525"/>
    <s v="Hosur"/>
    <x v="24"/>
    <s v="Sri Balaji Gear"/>
    <x v="19"/>
    <n v="3572051"/>
    <s v="188595-3572051"/>
    <s v="TUB-R-AW-AUT-40.00X20.00X1.210X0.860"/>
    <x v="7"/>
    <m/>
    <x v="0"/>
    <s v="CR"/>
    <m/>
    <m/>
    <m/>
    <m/>
    <x v="75"/>
    <s v="40-20-1.2-CRFH-PE-0.86"/>
    <n v="5"/>
    <s v="Hosur"/>
    <n v="8.802900000000001"/>
    <n v="0"/>
    <m/>
    <x v="14"/>
    <x v="15"/>
    <x v="4"/>
    <x v="2"/>
    <n v="860"/>
    <s v="NOS"/>
    <m/>
    <m/>
    <n v="24000"/>
    <m/>
    <n v="12000"/>
    <n v="12000"/>
    <n v="22.5276873408"/>
    <n v="11.2638436704"/>
    <n v="11.2638436704"/>
    <n v="3745.918465725797"/>
    <n v="3.51612"/>
    <m/>
    <n v="30.749381"/>
    <n v="129.152"/>
    <n v="19.0115673408"/>
    <m/>
  </r>
  <r>
    <n v="559"/>
    <s v="Hosur"/>
    <x v="23"/>
    <s v="Sri Balaji Gear"/>
    <x v="19"/>
    <n v="3572051"/>
    <s v="188595-3572051"/>
    <s v="TUB-R-AW-AUT-40.00X20.00X1.200X0.8600"/>
    <x v="7"/>
    <m/>
    <x v="0"/>
    <s v="CR"/>
    <m/>
    <m/>
    <m/>
    <m/>
    <x v="75"/>
    <s v="40-20-1.2-CRFH-PE-0.86"/>
    <n v="5"/>
    <s v="Hosur"/>
    <n v="8.802900000000001"/>
    <n v="0"/>
    <m/>
    <x v="14"/>
    <x v="15"/>
    <x v="4"/>
    <x v="2"/>
    <n v="860"/>
    <s v="NOS"/>
    <m/>
    <m/>
    <n v="2000"/>
    <m/>
    <n v="12000"/>
    <n v="-10000"/>
    <n v="1.8773072784"/>
    <n v="11.2638436704"/>
    <n v="-9.386536392"/>
    <n v="3745.918465725797"/>
    <n v="3.51612"/>
    <m/>
    <n v="30.749381"/>
    <n v="129.152"/>
    <n v="-1.6388127216"/>
    <m/>
  </r>
  <r>
    <n v="658"/>
    <s v="Hosur"/>
    <x v="25"/>
    <s v="Sri Balaji Gear"/>
    <x v="19"/>
    <n v="3572051"/>
    <s v="188595-3572051"/>
    <s v="TUB-R-AW-AUT-40.00X20.00X1.200X0.8600"/>
    <x v="7"/>
    <m/>
    <x v="0"/>
    <m/>
    <m/>
    <m/>
    <m/>
    <m/>
    <x v="75"/>
    <s v="40-20-1.2-CRFH-PE-0.86"/>
    <m/>
    <m/>
    <n v="8.802900000000001"/>
    <n v="0"/>
    <m/>
    <x v="14"/>
    <x v="15"/>
    <x v="4"/>
    <x v="2"/>
    <n v="860"/>
    <s v="NOS"/>
    <m/>
    <m/>
    <n v="2000"/>
    <m/>
    <n v="12000"/>
    <n v="-10000"/>
    <n v="1.8773072784"/>
    <n v="11.2638436704"/>
    <n v="-9.386536392"/>
    <n v="3745.918465725797"/>
    <n v="3.51612"/>
    <m/>
    <n v="30.749381"/>
    <n v="129.152"/>
    <n v="-1.6388127216"/>
    <m/>
  </r>
  <r>
    <n v="526"/>
    <s v="Hosur"/>
    <x v="24"/>
    <s v="Sri Balaji Gear"/>
    <x v="19"/>
    <n v="3233555"/>
    <s v="188595-3233555"/>
    <s v="TUB-R-AW-AUT-40.00X20.00X1.210X1.1200"/>
    <x v="7"/>
    <m/>
    <x v="0"/>
    <s v="CR"/>
    <m/>
    <m/>
    <m/>
    <m/>
    <x v="75"/>
    <s v="40-20-1.2-CRFH-PE-1.12"/>
    <n v="5"/>
    <s v="Hosur"/>
    <n v="8.802900000000001"/>
    <n v="0"/>
    <m/>
    <x v="14"/>
    <x v="15"/>
    <x v="4"/>
    <x v="2"/>
    <n v="1120"/>
    <s v="NOS"/>
    <m/>
    <m/>
    <n v="24000"/>
    <m/>
    <n v="12000"/>
    <n v="12000"/>
    <n v="29.33838351359999"/>
    <n v="14.6691917568"/>
    <n v="14.6691917568"/>
    <n v="2437.433267816235"/>
    <n v="2.979598"/>
    <m/>
    <n v="30.749381"/>
    <n v="129.152"/>
    <n v="26.35878551359999"/>
    <m/>
  </r>
  <r>
    <n v="560"/>
    <s v="Hosur"/>
    <x v="23"/>
    <s v="Sri Balaji Gear"/>
    <x v="19"/>
    <n v="3233555"/>
    <s v="188595-3233555"/>
    <s v="TUB-R-AW-AUT-40.00X20.00X1.210X1.1200"/>
    <x v="7"/>
    <m/>
    <x v="0"/>
    <s v="CR"/>
    <m/>
    <m/>
    <m/>
    <m/>
    <x v="75"/>
    <s v="40-20-1.2-CRFH-PE-1.12"/>
    <n v="5"/>
    <s v="Hosur"/>
    <n v="8.802900000000001"/>
    <n v="0"/>
    <m/>
    <x v="14"/>
    <x v="15"/>
    <x v="4"/>
    <x v="2"/>
    <n v="1120"/>
    <s v="NOS"/>
    <m/>
    <m/>
    <n v="2000"/>
    <m/>
    <n v="12000"/>
    <n v="-10000"/>
    <n v="2.444865292799999"/>
    <n v="14.6691917568"/>
    <n v="-12.224326464"/>
    <n v="2437.433267816235"/>
    <n v="2.979598"/>
    <m/>
    <n v="30.749381"/>
    <n v="129.152"/>
    <n v="-0.5347327072000008"/>
    <m/>
  </r>
  <r>
    <n v="634"/>
    <s v="Hosur"/>
    <x v="25"/>
    <s v="Sri Balaji Gear"/>
    <x v="19"/>
    <n v="3233555"/>
    <s v="188595-3233555"/>
    <s v="TUB-R-AW-AUT-40.00X20.00X1.210X1.1200"/>
    <x v="7"/>
    <m/>
    <x v="0"/>
    <m/>
    <m/>
    <m/>
    <m/>
    <m/>
    <x v="75"/>
    <s v="40-20-1.2-CRFH-PE-1.12"/>
    <m/>
    <m/>
    <n v="8.802900000000001"/>
    <n v="0"/>
    <m/>
    <x v="14"/>
    <x v="15"/>
    <x v="4"/>
    <x v="2"/>
    <n v="1120"/>
    <s v="NOS"/>
    <m/>
    <m/>
    <n v="2000"/>
    <m/>
    <n v="12000"/>
    <n v="-10000"/>
    <n v="2.444865292799999"/>
    <n v="14.6691917568"/>
    <n v="-12.224326464"/>
    <n v="2437.433267816235"/>
    <n v="2.979598"/>
    <m/>
    <n v="30.749381"/>
    <n v="129.152"/>
    <n v="-0.5347327072000008"/>
    <m/>
  </r>
  <r>
    <n v="527"/>
    <s v="Hosur"/>
    <x v="24"/>
    <s v="Sri Balaji Gear"/>
    <x v="19"/>
    <n v="3233554"/>
    <s v="188595-3233554"/>
    <s v="TUB-R-AW-AUT-40.00X20.00X1.210X1.2460"/>
    <x v="7"/>
    <m/>
    <x v="0"/>
    <s v="CR"/>
    <m/>
    <m/>
    <m/>
    <m/>
    <x v="75"/>
    <s v="40-20-1.2-CRFH-PE-1.246"/>
    <n v="5"/>
    <s v="Hosur"/>
    <n v="8.802900000000001"/>
    <n v="0"/>
    <m/>
    <x v="14"/>
    <x v="15"/>
    <x v="4"/>
    <x v="2"/>
    <n v="1246"/>
    <s v="NOS"/>
    <m/>
    <m/>
    <n v="6000"/>
    <m/>
    <n v="3000"/>
    <n v="3000"/>
    <n v="8.159737914719999"/>
    <n v="4.07986895736"/>
    <n v="4.07986895736"/>
    <n v="1984.329909762256"/>
    <n v="2.698602"/>
    <m/>
    <n v="30.749381"/>
    <n v="129.152"/>
    <n v="5.46113591472"/>
    <m/>
  </r>
  <r>
    <n v="561"/>
    <s v="Hosur"/>
    <x v="23"/>
    <s v="Sri Balaji Gear"/>
    <x v="19"/>
    <n v="3233554"/>
    <s v="188595-3233554"/>
    <s v="TUB-R-AW-AUT-40.00X20.00X1.210X1.2460"/>
    <x v="7"/>
    <m/>
    <x v="0"/>
    <s v="CR"/>
    <m/>
    <m/>
    <m/>
    <m/>
    <x v="75"/>
    <s v="40-20-1.2-CRFH-PE-1.246"/>
    <n v="5"/>
    <s v="Hosur"/>
    <n v="8.802900000000001"/>
    <n v="0"/>
    <m/>
    <x v="14"/>
    <x v="15"/>
    <x v="4"/>
    <x v="2"/>
    <n v="1246"/>
    <s v="NOS"/>
    <m/>
    <m/>
    <n v="500"/>
    <m/>
    <n v="3000"/>
    <n v="-2500"/>
    <n v="0.67997815956"/>
    <n v="4.07986895736"/>
    <n v="-3.399890797799999"/>
    <n v="1984.329909762256"/>
    <n v="2.698602"/>
    <m/>
    <n v="30.749381"/>
    <n v="129.152"/>
    <n v="-2.01862384044"/>
    <m/>
  </r>
  <r>
    <n v="633"/>
    <s v="Hosur"/>
    <x v="25"/>
    <s v="Sri Balaji Gear"/>
    <x v="19"/>
    <n v="3233554"/>
    <s v="188595-3233554"/>
    <s v="TUB-R-AW-AUT-40.00X20.00X1.210X1.2460"/>
    <x v="7"/>
    <m/>
    <x v="0"/>
    <m/>
    <m/>
    <m/>
    <m/>
    <m/>
    <x v="75"/>
    <s v="40-20-1.2-CRFH-PE-1.246"/>
    <m/>
    <m/>
    <n v="8.802900000000001"/>
    <n v="0"/>
    <m/>
    <x v="14"/>
    <x v="15"/>
    <x v="4"/>
    <x v="2"/>
    <n v="1246"/>
    <s v="NOS"/>
    <m/>
    <m/>
    <n v="500"/>
    <m/>
    <n v="3000"/>
    <n v="-2500"/>
    <n v="0.67997815956"/>
    <n v="4.07986895736"/>
    <n v="-3.399890797799999"/>
    <n v="1984.329909762256"/>
    <n v="2.698602"/>
    <m/>
    <n v="30.749381"/>
    <n v="129.152"/>
    <n v="-2.01862384044"/>
    <m/>
  </r>
  <r>
    <n v="528"/>
    <s v="Hosur"/>
    <x v="24"/>
    <s v="Sri Balaji Gear"/>
    <x v="19"/>
    <n v="1940801"/>
    <s v="188595-1940801"/>
    <s v="TUB-R-AW-RHS-40.00X20.00X1.210X1.3100"/>
    <x v="7"/>
    <m/>
    <x v="0"/>
    <s v="CR"/>
    <m/>
    <m/>
    <m/>
    <m/>
    <x v="75"/>
    <s v="40-20-1.2-CRFH-PE-1.31"/>
    <n v="5"/>
    <s v="Hosur"/>
    <n v="8.802900000000001"/>
    <n v="0"/>
    <m/>
    <x v="14"/>
    <x v="15"/>
    <x v="4"/>
    <x v="2"/>
    <n v="1310"/>
    <s v="NOS"/>
    <m/>
    <m/>
    <n v="18000"/>
    <m/>
    <n v="9000"/>
    <n v="9000"/>
    <n v="25.7365730376"/>
    <n v="12.8682865188"/>
    <n v="12.8682865188"/>
    <n v="2228.662453085821"/>
    <n v="3.186563"/>
    <m/>
    <n v="30.749381"/>
    <n v="129.152"/>
    <n v="22.5500100376"/>
    <m/>
  </r>
  <r>
    <n v="562"/>
    <s v="Hosur"/>
    <x v="23"/>
    <s v="Sri Balaji Gear"/>
    <x v="19"/>
    <n v="1940801"/>
    <s v="188595-1940801"/>
    <s v="TUB-R-AW-RHS-40.00X20.00X1.210X1.3100"/>
    <x v="7"/>
    <m/>
    <x v="0"/>
    <s v="CR"/>
    <m/>
    <m/>
    <m/>
    <m/>
    <x v="75"/>
    <s v="40-20-1.2-CRFH-PE-1.31"/>
    <n v="5"/>
    <s v="Hosur"/>
    <n v="8.802900000000001"/>
    <n v="0"/>
    <m/>
    <x v="14"/>
    <x v="15"/>
    <x v="4"/>
    <x v="2"/>
    <n v="1310"/>
    <s v="NOS"/>
    <m/>
    <m/>
    <n v="1500"/>
    <m/>
    <n v="9000"/>
    <n v="-7500"/>
    <n v="2.1447144198"/>
    <n v="12.8682865188"/>
    <n v="-10.723572099"/>
    <n v="2228.662453085821"/>
    <n v="3.186563"/>
    <m/>
    <n v="30.749381"/>
    <n v="129.152"/>
    <n v="-1.0418485802"/>
    <m/>
  </r>
  <r>
    <n v="632"/>
    <s v="Hosur"/>
    <x v="25"/>
    <s v="Sri Balaji Gear"/>
    <x v="19"/>
    <n v="1940801"/>
    <s v="188595-1940801"/>
    <s v="TUB-R-AW-RHS-40.00X20.00X1.210X1.3100"/>
    <x v="7"/>
    <m/>
    <x v="0"/>
    <m/>
    <m/>
    <m/>
    <m/>
    <m/>
    <x v="75"/>
    <s v="40-20-1.2-CRFH-PE-1.31"/>
    <m/>
    <m/>
    <n v="8.802900000000001"/>
    <n v="0"/>
    <m/>
    <x v="14"/>
    <x v="15"/>
    <x v="4"/>
    <x v="2"/>
    <n v="1310"/>
    <s v="NOS"/>
    <m/>
    <m/>
    <n v="1500"/>
    <m/>
    <n v="9000"/>
    <n v="-7500"/>
    <n v="2.1447144198"/>
    <n v="12.8682865188"/>
    <n v="-10.723572099"/>
    <n v="2228.662453085821"/>
    <n v="3.186563"/>
    <m/>
    <n v="30.749381"/>
    <n v="129.152"/>
    <n v="-1.0418485802"/>
    <m/>
  </r>
  <r>
    <n v="554"/>
    <s v="Hosur"/>
    <x v="23"/>
    <s v="Sri Balaji Gear"/>
    <x v="19"/>
    <n v="3938685"/>
    <s v="188595-3938685"/>
    <s v="TUB-R-AW-AUT-40.00X40.00X1.200X0.0850"/>
    <x v="7"/>
    <m/>
    <x v="0"/>
    <s v="CR"/>
    <m/>
    <m/>
    <m/>
    <m/>
    <x v="76"/>
    <s v="40-40-1.2-CRFH-PE-0.085"/>
    <n v="1"/>
    <s v="Hosur"/>
    <n v="0"/>
    <n v="0"/>
    <m/>
    <x v="4"/>
    <x v="15"/>
    <x v="12"/>
    <x v="2"/>
    <n v="85"/>
    <s v="NOS"/>
    <m/>
    <m/>
    <n v="1000"/>
    <m/>
    <n v="0"/>
    <n v="1000"/>
    <n v="0.1247042208"/>
    <n v="0"/>
    <n v="0.1247042208"/>
    <n v="68.9631830007794"/>
    <n v="0.0086"/>
    <m/>
    <n v="1.450949"/>
    <n v="10.451"/>
    <n v="0.1161042208"/>
    <m/>
  </r>
  <r>
    <n v="530"/>
    <s v="Hosur"/>
    <x v="24"/>
    <s v="Sri Balaji Gear"/>
    <x v="19"/>
    <n v="4151471"/>
    <s v="188595-4151471"/>
    <s v="TUB-S-AW-SHS-40.00X40.00X1.200X0.115"/>
    <x v="7"/>
    <m/>
    <x v="0"/>
    <m/>
    <m/>
    <m/>
    <m/>
    <m/>
    <x v="76"/>
    <s v="40-40-1.2-CRFH-PE-0.115"/>
    <n v="1"/>
    <s v="Hosur"/>
    <n v="0"/>
    <n v="0"/>
    <m/>
    <x v="4"/>
    <x v="15"/>
    <x v="12"/>
    <x v="2"/>
    <n v="115"/>
    <s v="NOS"/>
    <m/>
    <m/>
    <n v="12000"/>
    <m/>
    <n v="9000"/>
    <n v="3000"/>
    <n v="2.0246097024"/>
    <n v="1.5184572768"/>
    <n v="0.5061524255999998"/>
    <n v="2066.638322951861"/>
    <n v="0.348678"/>
    <m/>
    <n v="1.450949"/>
    <n v="10.451"/>
    <n v="1.6759317024"/>
    <m/>
  </r>
  <r>
    <n v="652"/>
    <s v="Hosur"/>
    <x v="25"/>
    <s v="Sri Balaji Gear"/>
    <x v="19"/>
    <n v="1940849"/>
    <s v="188595-1940849"/>
    <s v="TUB-S-AW-SHS-40.00X40.00X1.200X0.1250"/>
    <x v="7"/>
    <m/>
    <x v="0"/>
    <m/>
    <m/>
    <m/>
    <m/>
    <m/>
    <x v="76"/>
    <s v="40-40-1.2-CRFH-PE-0.125"/>
    <m/>
    <m/>
    <n v="0"/>
    <n v="0"/>
    <m/>
    <x v="4"/>
    <x v="15"/>
    <x v="12"/>
    <x v="2"/>
    <n v="125"/>
    <s v="NOS"/>
    <m/>
    <m/>
    <m/>
    <m/>
    <n v="1000"/>
    <n v="-1000"/>
    <n v="0"/>
    <n v="0.18338856"/>
    <n v="-0.18338856"/>
    <e v="#DIV/0!"/>
    <n v="0.111"/>
    <m/>
    <n v="1.450949"/>
    <n v="10.451"/>
    <n v="-0.111"/>
    <m/>
  </r>
  <r>
    <n v="651"/>
    <s v="Hosur"/>
    <x v="25"/>
    <s v="Sri Balaji Gear"/>
    <x v="19"/>
    <n v="1940850"/>
    <s v="188595-1940850"/>
    <s v="TUB-S-AW-SHS-40.00X40.00X1.200X0.1400"/>
    <x v="7"/>
    <m/>
    <x v="0"/>
    <m/>
    <m/>
    <m/>
    <m/>
    <m/>
    <x v="76"/>
    <s v="40-40-1.2-CRFH-PE-0.14"/>
    <m/>
    <m/>
    <n v="0"/>
    <n v="0"/>
    <m/>
    <x v="4"/>
    <x v="15"/>
    <x v="12"/>
    <x v="2"/>
    <n v="140"/>
    <s v="NOS"/>
    <m/>
    <m/>
    <m/>
    <m/>
    <n v="1000"/>
    <n v="-1000"/>
    <n v="0"/>
    <n v="0.2053951872"/>
    <n v="-0.2053951872"/>
    <e v="#DIV/0!"/>
    <n v="0"/>
    <m/>
    <n v="1.450949"/>
    <n v="10.451"/>
    <n v="0"/>
    <m/>
  </r>
  <r>
    <n v="529"/>
    <s v="Hosur"/>
    <x v="24"/>
    <s v="Sri Balaji Gear"/>
    <x v="19"/>
    <n v="3572055"/>
    <s v="188595-3572055"/>
    <s v="TUB-S-AW-SHS-40.00X40.00X1.200X0.158"/>
    <x v="7"/>
    <m/>
    <x v="0"/>
    <m/>
    <m/>
    <m/>
    <m/>
    <m/>
    <x v="76"/>
    <s v="40-40-1.2-CRFH-PE-0.158"/>
    <n v="2"/>
    <s v="Hosur"/>
    <n v="0"/>
    <n v="0"/>
    <m/>
    <x v="4"/>
    <x v="15"/>
    <x v="12"/>
    <x v="2"/>
    <n v="158"/>
    <s v="NOS"/>
    <m/>
    <m/>
    <n v="24000"/>
    <m/>
    <n v="18000"/>
    <n v="6000"/>
    <n v="5.563275356159999"/>
    <n v="4.17245651712"/>
    <n v="1.39081883904"/>
    <n v="6019.163506426472"/>
    <n v="1.395261"/>
    <m/>
    <n v="1.450949"/>
    <n v="10.451"/>
    <n v="4.168014356159999"/>
    <m/>
  </r>
  <r>
    <n v="565"/>
    <s v="Hosur"/>
    <x v="23"/>
    <s v="Sri Balaji Gear"/>
    <x v="19"/>
    <n v="3572055"/>
    <s v="188595-3572055"/>
    <s v="TUB-S-AW-AUT-40.00X40.00X1.200X0.1580"/>
    <x v="7"/>
    <m/>
    <x v="0"/>
    <m/>
    <m/>
    <m/>
    <m/>
    <m/>
    <x v="76"/>
    <s v="40-40-1.2-CRFH-PE-0.158"/>
    <n v="2"/>
    <s v="Hosur"/>
    <n v="0"/>
    <n v="0"/>
    <m/>
    <x v="4"/>
    <x v="15"/>
    <x v="12"/>
    <x v="2"/>
    <n v="158"/>
    <s v="NOS"/>
    <m/>
    <m/>
    <n v="2000"/>
    <m/>
    <n v="18000"/>
    <n v="-16000"/>
    <n v="0.46360627968"/>
    <n v="4.17245651712"/>
    <n v="-3.70885023744"/>
    <n v="6019.163506426472"/>
    <n v="1.395261"/>
    <m/>
    <n v="1.450949"/>
    <n v="10.451"/>
    <n v="-0.9316547203200001"/>
    <m/>
  </r>
  <r>
    <n v="563"/>
    <s v="Hosur"/>
    <x v="23"/>
    <s v="Sri Balaji Gear"/>
    <x v="19"/>
    <n v="4104140"/>
    <s v="188595-4104140"/>
    <s v="CUT-O-N-AUT-AW-PE-15.88X1.220X0.150"/>
    <x v="0"/>
    <m/>
    <x v="0"/>
    <s v="CR"/>
    <m/>
    <m/>
    <m/>
    <m/>
    <x v="2"/>
    <s v="15.88-0-1.2-ERW 1-PE-0.15"/>
    <n v="3"/>
    <s v="Hosur"/>
    <n v="0.170849"/>
    <n v="0"/>
    <m/>
    <x v="1"/>
    <x v="1"/>
    <x v="0"/>
    <x v="2"/>
    <n v="150"/>
    <s v="NOS"/>
    <m/>
    <m/>
    <n v="1000"/>
    <m/>
    <n v="10000"/>
    <n v="-9000"/>
    <n v="0.0651325176"/>
    <n v="0.651325176"/>
    <n v="-0.5861926583999999"/>
    <n v="15320.58082152194"/>
    <n v="0.997868"/>
    <m/>
    <n v="6.069591"/>
    <n v="7.386"/>
    <n v="-0.9327354824"/>
    <m/>
  </r>
  <r>
    <n v="660"/>
    <s v="Hosur"/>
    <x v="25"/>
    <s v="Sri Balaji Gear"/>
    <x v="19"/>
    <n v="4104140"/>
    <s v="188595-4104140"/>
    <s v="TUB-O-N-AUT-AW-PE-15.88X1.220X0.1500"/>
    <x v="0"/>
    <m/>
    <x v="0"/>
    <m/>
    <m/>
    <m/>
    <m/>
    <m/>
    <x v="2"/>
    <s v="15.88-0-1.2-ERW 1-PE-0.15"/>
    <m/>
    <m/>
    <n v="0.170849"/>
    <n v="0"/>
    <m/>
    <x v="1"/>
    <x v="1"/>
    <x v="0"/>
    <x v="2"/>
    <n v="150"/>
    <s v="NOS"/>
    <m/>
    <m/>
    <n v="1000"/>
    <m/>
    <n v="10000"/>
    <n v="-9000"/>
    <n v="0.0651325176"/>
    <n v="0.651325176"/>
    <n v="-0.5861926583999999"/>
    <n v="15320.58082152194"/>
    <n v="0.997868"/>
    <m/>
    <n v="6.069591"/>
    <n v="7.386"/>
    <n v="-0.9327354824"/>
    <m/>
  </r>
  <r>
    <n v="501"/>
    <s v="Hosur"/>
    <x v="24"/>
    <s v="Sri Balaji Gear"/>
    <x v="19"/>
    <n v="4104140"/>
    <s v="188595-4104140"/>
    <s v="HT1-O-N-AUT-AW-PE-15.88X1.220X0.1500"/>
    <x v="0"/>
    <m/>
    <x v="0"/>
    <s v="CR"/>
    <m/>
    <m/>
    <m/>
    <m/>
    <x v="2"/>
    <s v="15.88-0-1.2-ERW 1-PE-0.15"/>
    <n v="3"/>
    <s v="Hosur"/>
    <n v="0.170849"/>
    <n v="0"/>
    <m/>
    <x v="1"/>
    <x v="1"/>
    <x v="0"/>
    <x v="2"/>
    <n v="150"/>
    <s v="NOS"/>
    <m/>
    <m/>
    <n v="12000"/>
    <m/>
    <n v="10000"/>
    <n v="2000"/>
    <n v="0.7815902111999999"/>
    <n v="0.651325176"/>
    <n v="0.1302650352"/>
    <n v="15320.58082152194"/>
    <n v="0.997868"/>
    <m/>
    <n v="6.069591"/>
    <n v="7.386"/>
    <n v="-0.2162777888"/>
    <m/>
  </r>
  <r>
    <n v="657"/>
    <s v="Hosur"/>
    <x v="25"/>
    <s v="Sri Balaji Gear"/>
    <x v="19"/>
    <n v="3929691"/>
    <s v="188595-3929691"/>
    <s v="CUT-O-N-AUT-AW-PE-19.05X1.200X0.2000"/>
    <x v="0"/>
    <m/>
    <x v="0"/>
    <m/>
    <m/>
    <m/>
    <m/>
    <m/>
    <x v="4"/>
    <s v="19.05-0-1.2-ERW 1-PE-0.2"/>
    <m/>
    <m/>
    <n v="0"/>
    <n v="0"/>
    <m/>
    <x v="2"/>
    <x v="2"/>
    <x v="0"/>
    <x v="2"/>
    <n v="200"/>
    <s v="NOS"/>
    <m/>
    <m/>
    <n v="2000"/>
    <m/>
    <n v="0"/>
    <n v="2000"/>
    <n v="0.211192632"/>
    <n v="0"/>
    <n v="0.211192632"/>
    <n v="0"/>
    <n v="0"/>
    <m/>
    <n v="0"/>
    <n v="20.588"/>
    <n v="0.211192632"/>
    <m/>
  </r>
  <r>
    <n v="656"/>
    <s v="Hosur"/>
    <x v="25"/>
    <s v="Sri Balaji Gear"/>
    <x v="19"/>
    <n v="3935313"/>
    <s v="188595-3935313"/>
    <s v="CUT-O-N-AUT-AW-PE-19.05X1.200X0.33"/>
    <x v="0"/>
    <m/>
    <x v="0"/>
    <m/>
    <m/>
    <m/>
    <m/>
    <m/>
    <x v="4"/>
    <s v="19.05-0-1.2-ERW 1-PE-0.33"/>
    <m/>
    <m/>
    <n v="0"/>
    <n v="0"/>
    <m/>
    <x v="2"/>
    <x v="2"/>
    <x v="0"/>
    <x v="2"/>
    <n v="330"/>
    <s v="NOS"/>
    <m/>
    <m/>
    <n v="500"/>
    <m/>
    <n v="0"/>
    <n v="500"/>
    <n v="0.08711696070000001"/>
    <n v="0"/>
    <n v="0.08711696070000001"/>
    <n v="3428.05806814608"/>
    <n v="0.597284"/>
    <m/>
    <n v="0"/>
    <n v="20.588"/>
    <n v="-0.5101670393000001"/>
    <m/>
  </r>
  <r>
    <n v="655"/>
    <s v="Hosur"/>
    <x v="25"/>
    <s v="Sri Balaji Gear"/>
    <x v="19"/>
    <n v="3929540"/>
    <s v="188595-3929540"/>
    <s v="CUT-O-N-AUT-AW-PE-19.05X1.200X0.6820"/>
    <x v="0"/>
    <m/>
    <x v="0"/>
    <m/>
    <m/>
    <m/>
    <m/>
    <m/>
    <x v="4"/>
    <s v="19.05-0-1.2-ERW 1-PE-0.682"/>
    <m/>
    <m/>
    <n v="0"/>
    <n v="0"/>
    <m/>
    <x v="2"/>
    <x v="2"/>
    <x v="0"/>
    <x v="2"/>
    <n v="682"/>
    <s v="NOS"/>
    <m/>
    <m/>
    <n v="1000"/>
    <m/>
    <n v="0"/>
    <n v="1000"/>
    <n v="0.36008343756"/>
    <n v="0"/>
    <n v="0.36008343756"/>
    <n v="0"/>
    <n v="0"/>
    <m/>
    <n v="0"/>
    <n v="20.588"/>
    <n v="0.36008343756"/>
    <m/>
  </r>
  <r>
    <n v="654"/>
    <s v="Hosur"/>
    <x v="25"/>
    <s v="Sri Balaji Gear"/>
    <x v="19"/>
    <n v="3929692"/>
    <s v="188595-3929692"/>
    <s v="CUT-O-N-AUT-AW-PE-19.05X1.200X1.2300"/>
    <x v="0"/>
    <m/>
    <x v="0"/>
    <m/>
    <m/>
    <m/>
    <m/>
    <m/>
    <x v="4"/>
    <s v="19.05-0-1.2-ERW 1-PE-1.23"/>
    <m/>
    <m/>
    <n v="0"/>
    <n v="0"/>
    <m/>
    <x v="2"/>
    <x v="2"/>
    <x v="0"/>
    <x v="2"/>
    <n v="1230"/>
    <s v="NOS"/>
    <m/>
    <m/>
    <n v="500"/>
    <m/>
    <n v="0"/>
    <n v="500"/>
    <n v="0.3247086717"/>
    <n v="0"/>
    <n v="0.3247086717"/>
    <n v="0"/>
    <n v="0"/>
    <m/>
    <n v="0"/>
    <n v="20.588"/>
    <n v="0.3247086717"/>
    <m/>
  </r>
  <r>
    <n v="574"/>
    <s v="Khopoli "/>
    <x v="26"/>
    <s v="Srikam HI-Tech"/>
    <x v="20"/>
    <n v="2410963"/>
    <s v="944141-2410963"/>
    <s v="TUB-O-C-AUT-AD-FC-14.00X1.950X04-05"/>
    <x v="1"/>
    <m/>
    <x v="3"/>
    <s v="HR"/>
    <m/>
    <m/>
    <m/>
    <m/>
    <x v="169"/>
    <s v="14-10.1-1.95-CEW-CEW-1"/>
    <n v="1"/>
    <s v="Khopoli"/>
    <m/>
    <m/>
    <m/>
    <x v="5"/>
    <x v="5"/>
    <x v="24"/>
    <x v="31"/>
    <n v="1000"/>
    <s v="M"/>
    <m/>
    <m/>
    <m/>
    <m/>
    <n v="0"/>
    <n v="0"/>
    <n v="0"/>
    <n v="0"/>
    <n v="0"/>
    <e v="#DIV/0!"/>
    <n v="0"/>
    <m/>
    <n v="0"/>
    <n v="0"/>
    <n v="0"/>
    <m/>
  </r>
  <r>
    <n v="581"/>
    <s v="Khopoli "/>
    <x v="26"/>
    <s v="Srikam HI-Tech"/>
    <x v="20"/>
    <n v="1938191"/>
    <s v="944141-1938191"/>
    <s v="TUB-I-C-AUT-AD-FC-12.50X3.250X0.5880"/>
    <x v="1"/>
    <m/>
    <x v="3"/>
    <s v="HR"/>
    <m/>
    <m/>
    <m/>
    <m/>
    <x v="81"/>
    <s v="19-12.5-3.25-CEW-CEW-0.588"/>
    <n v="2"/>
    <s v="Khopoli"/>
    <n v="2.95579"/>
    <n v="1.505659"/>
    <m/>
    <x v="32"/>
    <x v="29"/>
    <x v="14"/>
    <x v="23"/>
    <n v="588"/>
    <s v="NOS"/>
    <s v="Indico"/>
    <n v="4000"/>
    <n v="20000"/>
    <m/>
    <n v="18400"/>
    <n v="1600"/>
    <n v="14.837835285"/>
    <n v="13.6508084622"/>
    <n v="1.1870268228"/>
    <n v="0"/>
    <n v="0"/>
    <m/>
    <n v="6.334790000000001"/>
    <n v="0"/>
    <n v="14.837835285"/>
    <m/>
  </r>
  <r>
    <n v="582"/>
    <s v="Khopoli "/>
    <x v="26"/>
    <s v="Srikam HI-Tech"/>
    <x v="20"/>
    <n v="2419066"/>
    <s v="944141-2419066"/>
    <s v="TUB-O-C-AUT-AD-FC-19.00X3.250X4.8000"/>
    <x v="1"/>
    <m/>
    <x v="1"/>
    <s v="HR"/>
    <m/>
    <m/>
    <m/>
    <m/>
    <x v="170"/>
    <s v="19-12.5-3.25-CEW--4.8"/>
    <s v="#REF!"/>
    <m/>
    <m/>
    <m/>
    <m/>
    <x v="32"/>
    <x v="29"/>
    <x v="14"/>
    <x v="23"/>
    <n v="4800"/>
    <m/>
    <m/>
    <m/>
    <m/>
    <m/>
    <e v="#N/A"/>
    <e v="#N/A"/>
    <n v="0"/>
    <e v="#N/A"/>
    <e v="#N/A"/>
    <e v="#DIV/0!"/>
    <n v="0"/>
    <m/>
    <n v="0"/>
    <n v="0"/>
    <n v="0"/>
    <m/>
  </r>
  <r>
    <n v="603"/>
    <s v="Khopoli "/>
    <x v="26"/>
    <s v="Srikam HI-Tech"/>
    <x v="20"/>
    <n v="2410999"/>
    <s v="944141-2410999"/>
    <s v="TUB-O-C-AUT-AD-FC-21.70X2.750X04-05"/>
    <x v="1"/>
    <m/>
    <x v="3"/>
    <s v="HR"/>
    <m/>
    <m/>
    <m/>
    <m/>
    <x v="112"/>
    <s v="21.7-16.2-2.75-CEW-CEW-1"/>
    <n v="3"/>
    <s v="Khopoli"/>
    <m/>
    <m/>
    <m/>
    <x v="38"/>
    <x v="38"/>
    <x v="19"/>
    <x v="24"/>
    <n v="1000"/>
    <s v="M"/>
    <m/>
    <m/>
    <m/>
    <m/>
    <n v="2272"/>
    <n v="-2272"/>
    <n v="0"/>
    <n v="2.9184317404"/>
    <n v="-2.9184317404"/>
    <e v="#DIV/0!"/>
    <n v="0"/>
    <m/>
    <n v="1.867743"/>
    <n v="0"/>
    <n v="0"/>
    <m/>
  </r>
  <r>
    <n v="566"/>
    <s v="Hosur"/>
    <x v="26"/>
    <s v="Srikam HI-Tech"/>
    <x v="20"/>
    <n v="1939963"/>
    <s v="944141-1939963"/>
    <s v="TUB-O-O-AUT-AW-PE-12.70X1.200X0.2780"/>
    <x v="0"/>
    <m/>
    <x v="0"/>
    <s v="CR"/>
    <m/>
    <m/>
    <m/>
    <m/>
    <x v="14"/>
    <s v="12.7-0-1.2-ERW 1-PE-0.278"/>
    <n v="1"/>
    <s v="Hosur"/>
    <n v="0"/>
    <n v="0"/>
    <m/>
    <x v="0"/>
    <x v="0"/>
    <x v="0"/>
    <x v="2"/>
    <n v="278"/>
    <s v="NOS"/>
    <s v="Hosur Plant"/>
    <n v="2000"/>
    <n v="30000"/>
    <m/>
    <n v="14700"/>
    <n v="15300"/>
    <n v="2.836902708"/>
    <n v="1.39008232692"/>
    <n v="1.44682038108"/>
    <n v="8107.151484308147"/>
    <n v="0.76664"/>
    <m/>
    <n v="20.176453"/>
    <n v="0"/>
    <n v="2.070262708"/>
    <m/>
  </r>
  <r>
    <n v="567"/>
    <s v="Hosur"/>
    <x v="26"/>
    <s v="Srikam HI-Tech"/>
    <x v="20"/>
    <n v="1939986"/>
    <s v="944141-1939986"/>
    <s v="TUB-O-O-GEN-AW-PE-12.70X1.200X6.0000"/>
    <x v="0"/>
    <m/>
    <x v="0"/>
    <s v="CR"/>
    <m/>
    <m/>
    <m/>
    <m/>
    <x v="14"/>
    <s v="12.7-0-1.2-ERW 1-PE-1"/>
    <n v="2"/>
    <s v="Hosur"/>
    <m/>
    <m/>
    <m/>
    <x v="0"/>
    <x v="0"/>
    <x v="0"/>
    <x v="2"/>
    <n v="1000"/>
    <s v="M"/>
    <m/>
    <m/>
    <m/>
    <m/>
    <n v="0"/>
    <n v="0"/>
    <n v="0"/>
    <n v="0"/>
    <n v="0"/>
    <e v="#DIV/0!"/>
    <n v="20.176453"/>
    <m/>
    <n v="20.176453"/>
    <n v="0"/>
    <n v="-20.176453"/>
    <m/>
  </r>
  <r>
    <n v="568"/>
    <s v="Hosur"/>
    <x v="26"/>
    <s v="Srikam HI-Tech"/>
    <x v="20"/>
    <n v="3676336"/>
    <s v="944141-3676336"/>
    <s v="TUB-O-N-AUT-AW-PE-12.70X1.600X0.2570"/>
    <x v="0"/>
    <m/>
    <x v="0"/>
    <s v="CR"/>
    <s v="WG"/>
    <m/>
    <m/>
    <m/>
    <x v="0"/>
    <s v="12.7-0-1.6-ERW 1-PE-0.257"/>
    <n v="1"/>
    <s v="Hosur"/>
    <n v="0"/>
    <n v="0"/>
    <m/>
    <x v="0"/>
    <x v="0"/>
    <x v="0"/>
    <x v="0"/>
    <n v="257"/>
    <s v="NOS"/>
    <s v="Hosur Plant"/>
    <n v="1000"/>
    <n v="6000"/>
    <s v="LL"/>
    <n v="0"/>
    <n v="6000"/>
    <n v="0.6750355420800001"/>
    <n v="0"/>
    <n v="0.6750355420800001"/>
    <n v="173.0575543326804"/>
    <n v="0.01947"/>
    <m/>
    <n v="0.06565699999999999"/>
    <n v="8.986000000000001"/>
    <n v="0.6555655420800001"/>
    <m/>
  </r>
  <r>
    <n v="569"/>
    <s v="Hosur"/>
    <x v="26"/>
    <s v="Srikam HI-Tech"/>
    <x v="20"/>
    <n v="1932848"/>
    <s v="944141-1932848"/>
    <s v="TUB-O-N-AUT-AW-PE-12.70X1.600X0.2600"/>
    <x v="0"/>
    <m/>
    <x v="0"/>
    <s v="CR"/>
    <s v="D"/>
    <m/>
    <m/>
    <m/>
    <x v="0"/>
    <s v="12.7-0-1.6-ERW 1-PE-0.26"/>
    <n v="1"/>
    <s v="Hosur"/>
    <n v="0"/>
    <n v="0"/>
    <m/>
    <x v="0"/>
    <x v="0"/>
    <x v="0"/>
    <x v="0"/>
    <n v="260"/>
    <s v="NOS"/>
    <m/>
    <m/>
    <n v="30000"/>
    <m/>
    <n v="17900"/>
    <n v="12100"/>
    <n v="3.414576672"/>
    <n v="2.03736408096"/>
    <n v="1.37721259104"/>
    <n v="21.26178644495818"/>
    <n v="0.00242"/>
    <m/>
    <n v="0.06565699999999999"/>
    <n v="8.986000000000001"/>
    <n v="3.412156672"/>
    <m/>
  </r>
  <r>
    <n v="570"/>
    <s v="Hosur"/>
    <x v="26"/>
    <s v="Srikam HI-Tech"/>
    <x v="20"/>
    <n v="1939994"/>
    <s v="944141-1939994"/>
    <s v="TUB-O-O-AUT-AW-PE-12.70X1.600X0.2800"/>
    <x v="0"/>
    <m/>
    <x v="0"/>
    <s v="CR"/>
    <s v="WG"/>
    <m/>
    <m/>
    <m/>
    <x v="0"/>
    <s v="12.7-0-1.6-ERW 1-PE-0.28"/>
    <n v="2"/>
    <s v="Hosur"/>
    <n v="0"/>
    <n v="0"/>
    <m/>
    <x v="0"/>
    <x v="0"/>
    <x v="0"/>
    <x v="0"/>
    <n v="280"/>
    <s v="NOS"/>
    <m/>
    <m/>
    <n v="30000"/>
    <m/>
    <n v="21700"/>
    <n v="8300"/>
    <n v="3.677236416"/>
    <n v="2.65986767424"/>
    <n v="1.01736874176"/>
    <n v="42.02340630796146"/>
    <n v="0.005150999999999999"/>
    <m/>
    <n v="0.06565699999999999"/>
    <n v="8.986000000000001"/>
    <n v="3.672085416"/>
    <m/>
  </r>
  <r>
    <n v="571"/>
    <s v="Hosur"/>
    <x v="26"/>
    <s v="Srikam HI-Tech"/>
    <x v="20"/>
    <n v="3676337"/>
    <s v="944141-3676337"/>
    <s v="TUB-O-N-AUT-AW-PE-12.70X1.600X0.3200"/>
    <x v="0"/>
    <m/>
    <x v="0"/>
    <s v="CR"/>
    <s v="WG"/>
    <m/>
    <m/>
    <m/>
    <x v="0"/>
    <s v="12.7-0-1.6-ERW 1-PE-0.32"/>
    <n v="2"/>
    <m/>
    <n v="0"/>
    <n v="0"/>
    <m/>
    <x v="0"/>
    <x v="0"/>
    <x v="0"/>
    <x v="0"/>
    <n v="320"/>
    <s v="NOS"/>
    <s v="Hosur Plant"/>
    <n v="1000"/>
    <n v="6000"/>
    <s v="LL"/>
    <n v="0"/>
    <n v="6000"/>
    <n v="0.8405111807999999"/>
    <n v="0"/>
    <n v="0.8405111807999999"/>
    <n v="139.0082638624669"/>
    <n v="0.019473"/>
    <m/>
    <n v="0.06565699999999999"/>
    <n v="8.986000000000001"/>
    <n v="0.8210381807999999"/>
    <m/>
  </r>
  <r>
    <n v="572"/>
    <s v="Hosur"/>
    <x v="26"/>
    <s v="Srikam HI-Tech"/>
    <x v="20"/>
    <n v="3620427"/>
    <s v="944141-3620427"/>
    <s v="TUB-O-N-AUT-AW-PE-12.70X1.600X0.9500"/>
    <x v="0"/>
    <m/>
    <x v="0"/>
    <s v="CR"/>
    <s v="WG"/>
    <m/>
    <m/>
    <m/>
    <x v="0"/>
    <s v="12.7-0-1.6-ERW 1-PE-0.95"/>
    <n v="2"/>
    <m/>
    <n v="0"/>
    <n v="0"/>
    <m/>
    <x v="0"/>
    <x v="0"/>
    <x v="0"/>
    <x v="0"/>
    <n v="950"/>
    <s v="NOS"/>
    <s v="Hosur Plant"/>
    <n v="5000"/>
    <n v="6000"/>
    <s v="LL"/>
    <n v="0"/>
    <n v="6000"/>
    <n v="2.495267568"/>
    <n v="0"/>
    <n v="2.495267568"/>
    <n v="33.16117319888157"/>
    <n v="0.013791"/>
    <m/>
    <n v="0.06565699999999999"/>
    <n v="8.986000000000001"/>
    <n v="2.481476568"/>
    <m/>
  </r>
  <r>
    <n v="573"/>
    <s v="Hosur"/>
    <x v="26"/>
    <s v="Srikam HI-Tech"/>
    <x v="20"/>
    <n v="1940014"/>
    <s v="944141-1940014"/>
    <s v="TUB-O-O-GEN-AW-PE-12.70X1.600X6.0000"/>
    <x v="0"/>
    <m/>
    <x v="0"/>
    <s v="CR"/>
    <s v="WG"/>
    <m/>
    <m/>
    <m/>
    <x v="0"/>
    <s v="12.7-0-1.6-ERW 1-PE-1"/>
    <n v="1"/>
    <s v="Hosur"/>
    <n v="0"/>
    <n v="0"/>
    <m/>
    <x v="0"/>
    <x v="0"/>
    <x v="0"/>
    <x v="0"/>
    <n v="1000"/>
    <s v="M"/>
    <s v="Hosur Plant"/>
    <n v="1000"/>
    <n v="5000"/>
    <m/>
    <n v="6000"/>
    <n v="-1000"/>
    <n v="2.1888312"/>
    <n v="2.62659744"/>
    <n v="-0.4377662399999998"/>
    <n v="149.9818716034384"/>
    <n v="0.06565699999999999"/>
    <m/>
    <n v="0.06565699999999999"/>
    <n v="8.986000000000001"/>
    <n v="2.1231742"/>
    <m/>
  </r>
  <r>
    <n v="575"/>
    <s v="Hosur"/>
    <x v="26"/>
    <s v="Srikam HI-Tech"/>
    <x v="20"/>
    <n v="1940043"/>
    <s v="944141-1940043"/>
    <s v="TUB-O-O-AUT-AW-PE-15.88X1.200X0.8880"/>
    <x v="0"/>
    <m/>
    <x v="0"/>
    <s v="CR"/>
    <m/>
    <m/>
    <m/>
    <m/>
    <x v="2"/>
    <s v="15.88-0-1.2-ERW 1-PE-0.888"/>
    <n v="2"/>
    <s v="Hosur"/>
    <n v="0.170849"/>
    <n v="0"/>
    <m/>
    <x v="1"/>
    <x v="1"/>
    <x v="0"/>
    <x v="2"/>
    <n v="888"/>
    <s v="NOS"/>
    <m/>
    <m/>
    <n v="30000"/>
    <m/>
    <n v="20150"/>
    <n v="9850"/>
    <n v="11.56753512576"/>
    <n v="7.769527759468801"/>
    <n v="3.7980073662912"/>
    <n v="3679.426907917311"/>
    <n v="1.41873"/>
    <m/>
    <n v="6.069591"/>
    <n v="7.386"/>
    <n v="10.14880512576"/>
    <m/>
  </r>
  <r>
    <n v="576"/>
    <s v="Hosur"/>
    <x v="26"/>
    <s v="Srikam HI-Tech"/>
    <x v="20"/>
    <n v="3620428"/>
    <s v="944141-3620428"/>
    <s v="TUB-O-N-AUT-AW-PE-15.88X1.600X0.4350"/>
    <x v="0"/>
    <m/>
    <x v="0"/>
    <s v="CR"/>
    <s v="WG"/>
    <m/>
    <m/>
    <m/>
    <x v="15"/>
    <s v="15.88-0-1.6-ERW 1-PE-0.435"/>
    <n v="1"/>
    <s v="Hosur"/>
    <n v="0"/>
    <n v="0"/>
    <m/>
    <x v="1"/>
    <x v="1"/>
    <x v="0"/>
    <x v="0"/>
    <n v="435"/>
    <s v="NOS"/>
    <m/>
    <m/>
    <n v="20000"/>
    <m/>
    <n v="16850"/>
    <n v="3150"/>
    <n v="4.8996690624"/>
    <n v="4.127971185072"/>
    <n v="0.7716978773280001"/>
    <n v="9701.667478888054"/>
    <n v="2.376748"/>
    <m/>
    <n v="0"/>
    <n v="3.888"/>
    <n v="2.5229210624"/>
    <m/>
  </r>
  <r>
    <n v="577"/>
    <s v="Hosur"/>
    <x v="26"/>
    <s v="Srikam HI-Tech"/>
    <x v="20"/>
    <n v="1940078"/>
    <s v="944141-1940078"/>
    <s v="TUB-O-O-GEN-AW-PE-15.88X1.600X6.0000"/>
    <x v="0"/>
    <m/>
    <x v="0"/>
    <s v="CR"/>
    <s v="GR1"/>
    <m/>
    <m/>
    <m/>
    <x v="15"/>
    <s v="15.88-0-1.6-ERW 1-PE-1"/>
    <n v="6"/>
    <s v="Hosur"/>
    <n v="0"/>
    <n v="0"/>
    <m/>
    <x v="1"/>
    <x v="1"/>
    <x v="0"/>
    <x v="0"/>
    <n v="1000"/>
    <s v="M"/>
    <m/>
    <m/>
    <m/>
    <m/>
    <n v="6000"/>
    <n v="-6000"/>
    <n v="0"/>
    <n v="3.379082111999999"/>
    <n v="-3.379082111999999"/>
    <e v="#DIV/0!"/>
    <n v="0"/>
    <m/>
    <n v="0"/>
    <n v="3.888"/>
    <n v="0"/>
    <m/>
  </r>
  <r>
    <n v="578"/>
    <s v="Hosur"/>
    <x v="26"/>
    <s v="Srikam HI-Tech"/>
    <x v="20"/>
    <n v="2420205"/>
    <s v="944141-2420205"/>
    <s v="TUB-O-N-AUT-AW-PE-15.88X2.000X0.1550"/>
    <x v="0"/>
    <m/>
    <x v="0"/>
    <s v="HR"/>
    <m/>
    <m/>
    <m/>
    <m/>
    <x v="16"/>
    <s v="15.88-0-2-ERW 1-PE-0.155"/>
    <n v="1"/>
    <s v="Hosur"/>
    <n v="0"/>
    <n v="0"/>
    <m/>
    <x v="1"/>
    <x v="1"/>
    <x v="0"/>
    <x v="8"/>
    <n v="155"/>
    <s v="NOS"/>
    <s v="Hosur Plant"/>
    <n v="2000"/>
    <n v="25000"/>
    <m/>
    <n v="0"/>
    <n v="25000"/>
    <n v="2.65149293"/>
    <n v="0"/>
    <n v="2.65149293"/>
    <n v="45.29523674800069"/>
    <n v="0.004804"/>
    <m/>
    <n v="0"/>
    <n v="0.244"/>
    <n v="2.64668893"/>
    <m/>
  </r>
  <r>
    <n v="579"/>
    <s v="Hosur"/>
    <x v="26"/>
    <s v="Srikam HI-Tech"/>
    <x v="20"/>
    <n v="3706751"/>
    <s v="944141-3706751"/>
    <s v="CUT-O-N-AUT-AW-PE-15.88X2.000X0.1600"/>
    <x v="0"/>
    <m/>
    <x v="0"/>
    <s v="HR"/>
    <m/>
    <m/>
    <m/>
    <m/>
    <x v="16"/>
    <s v="15.88-0-2-ERW 1-PE-0.16"/>
    <n v="1"/>
    <s v="Hosur"/>
    <n v="0"/>
    <n v="0"/>
    <m/>
    <x v="1"/>
    <x v="1"/>
    <x v="0"/>
    <x v="8"/>
    <n v="160"/>
    <s v="NOS"/>
    <s v="Hosur Plant"/>
    <n v="2000"/>
    <n v="25000"/>
    <m/>
    <n v="0"/>
    <n v="25000"/>
    <n v="2.73702496"/>
    <n v="0"/>
    <n v="2.73702496"/>
    <n v="35.98798017537991"/>
    <n v="0.00394"/>
    <m/>
    <n v="0"/>
    <n v="0.244"/>
    <n v="2.73308496"/>
    <m/>
  </r>
  <r>
    <n v="580"/>
    <s v="Khopoli "/>
    <x v="26"/>
    <s v="Srikam HI-Tech"/>
    <x v="20"/>
    <n v="1938163"/>
    <s v="944141-1938163"/>
    <s v="TUB-O-N-AUT-AW-PE-17.30X1.600X0.6400"/>
    <x v="0"/>
    <m/>
    <x v="0"/>
    <s v="CR"/>
    <s v="D"/>
    <m/>
    <m/>
    <m/>
    <x v="17"/>
    <s v="17.3-0-1.6-ERW 1-PE-0.64"/>
    <n v="1"/>
    <s v="Khopoli"/>
    <n v="0.09304000000000001"/>
    <n v="0"/>
    <m/>
    <x v="7"/>
    <x v="7"/>
    <x v="0"/>
    <x v="0"/>
    <n v="640"/>
    <s v="NOS"/>
    <m/>
    <m/>
    <n v="5000"/>
    <s v="LL"/>
    <n v="0"/>
    <n v="5000"/>
    <n v="1.981385216"/>
    <n v="0"/>
    <n v="1.981385216"/>
    <n v="0"/>
    <n v="0"/>
    <m/>
    <n v="0.09304000000000001"/>
    <n v="0"/>
    <n v="1.981385216"/>
    <m/>
  </r>
  <r>
    <n v="583"/>
    <s v="Hosur"/>
    <x v="26"/>
    <s v="Srikam HI-Tech"/>
    <x v="20"/>
    <n v="3838038"/>
    <s v="944141-3838038"/>
    <s v="CUT-O-N-AUT-AW-PE-19.05X1.600X0.2580"/>
    <x v="0"/>
    <m/>
    <x v="0"/>
    <s v="CR"/>
    <s v="NORMAL"/>
    <m/>
    <m/>
    <m/>
    <x v="85"/>
    <s v="19.05-0-1.6-ERW 1-PE-0.258"/>
    <s v="#REF!"/>
    <m/>
    <m/>
    <m/>
    <m/>
    <x v="2"/>
    <x v="2"/>
    <x v="0"/>
    <x v="0"/>
    <n v="258"/>
    <s v="NOS"/>
    <m/>
    <m/>
    <m/>
    <m/>
    <n v="0"/>
    <n v="0"/>
    <n v="0"/>
    <n v="0"/>
    <n v="0"/>
    <e v="#DIV/0!"/>
    <n v="0"/>
    <m/>
    <n v="0"/>
    <n v="2.886"/>
    <n v="0"/>
    <m/>
  </r>
  <r>
    <n v="584"/>
    <s v="Hosur"/>
    <x v="26"/>
    <s v="Srikam HI-Tech"/>
    <x v="20"/>
    <n v="3850310"/>
    <s v="944141-3850310"/>
    <s v="CUT-O-N-AUT-AW-PE-19.05X1.600X0.2680"/>
    <x v="0"/>
    <m/>
    <x v="0"/>
    <s v="CR"/>
    <s v="WG"/>
    <m/>
    <m/>
    <m/>
    <x v="85"/>
    <s v="19.05-0-1.6-ERW 1-PE-0.268"/>
    <s v="#REF!"/>
    <m/>
    <m/>
    <m/>
    <m/>
    <x v="2"/>
    <x v="2"/>
    <x v="0"/>
    <x v="0"/>
    <n v="268"/>
    <s v="NOS"/>
    <m/>
    <m/>
    <m/>
    <m/>
    <n v="0"/>
    <n v="0"/>
    <n v="0"/>
    <n v="0"/>
    <n v="0"/>
    <e v="#DIV/0!"/>
    <n v="0"/>
    <m/>
    <n v="0"/>
    <n v="2.886"/>
    <n v="0"/>
    <m/>
  </r>
  <r>
    <n v="585"/>
    <s v="Hosur"/>
    <x v="26"/>
    <s v="Srikam HI-Tech"/>
    <x v="20"/>
    <n v="3217232"/>
    <s v="944141-3217232"/>
    <s v="TUB-O-N-AUT-AW-PE-19.05X1.600X0.2750"/>
    <x v="0"/>
    <m/>
    <x v="0"/>
    <s v="CR"/>
    <s v="HROP"/>
    <m/>
    <m/>
    <m/>
    <x v="85"/>
    <s v="19.05-0-1.6-ERW 1-PE-0.275"/>
    <s v="#REF!"/>
    <s v="Hosur"/>
    <m/>
    <m/>
    <m/>
    <x v="2"/>
    <x v="2"/>
    <x v="0"/>
    <x v="0"/>
    <n v="275"/>
    <s v="NOS"/>
    <m/>
    <m/>
    <m/>
    <m/>
    <n v="0"/>
    <n v="0"/>
    <n v="0"/>
    <n v="0"/>
    <n v="0"/>
    <e v="#DIV/0!"/>
    <n v="0"/>
    <m/>
    <n v="0"/>
    <n v="2.886"/>
    <n v="0"/>
    <m/>
  </r>
  <r>
    <n v="586"/>
    <s v="Hosur"/>
    <x v="26"/>
    <s v="Srikam HI-Tech"/>
    <x v="20"/>
    <n v="1940262"/>
    <s v="944141-1940262"/>
    <s v="TUB-O-O-AUT-AW-PE-19.05X2.000X0.1040"/>
    <x v="0"/>
    <m/>
    <x v="0"/>
    <s v="HR"/>
    <m/>
    <m/>
    <m/>
    <m/>
    <x v="18"/>
    <s v="19.05-0-2-ERW 1-PE-0.104"/>
    <n v="1"/>
    <s v="Hosur"/>
    <n v="0"/>
    <n v="0"/>
    <m/>
    <x v="2"/>
    <x v="2"/>
    <x v="0"/>
    <x v="8"/>
    <n v="104"/>
    <s v="NOS"/>
    <s v="Megh Steel"/>
    <m/>
    <m/>
    <m/>
    <n v="0"/>
    <n v="0"/>
    <n v="0"/>
    <n v="0"/>
    <n v="0"/>
    <e v="#DIV/0!"/>
    <n v="0.057545"/>
    <m/>
    <n v="0"/>
    <n v="11.189"/>
    <n v="-0.057545"/>
    <m/>
  </r>
  <r>
    <n v="589"/>
    <s v="Hosur"/>
    <x v="26"/>
    <s v="Srikam HI-Tech"/>
    <x v="20"/>
    <n v="1940287"/>
    <s v="944141-1940287"/>
    <s v="TUB-O-O-AUT-AW-PE-19.05X2.000X0.8150"/>
    <x v="0"/>
    <m/>
    <x v="0"/>
    <s v="HR"/>
    <m/>
    <m/>
    <m/>
    <m/>
    <x v="18"/>
    <s v="19.05-0-2-ERW 1-PE-0.815"/>
    <n v="1"/>
    <s v="Hosur"/>
    <n v="0"/>
    <n v="0"/>
    <m/>
    <x v="2"/>
    <x v="2"/>
    <x v="0"/>
    <x v="8"/>
    <n v="815"/>
    <s v="NOS"/>
    <s v="Megh Steel"/>
    <n v="8000"/>
    <n v="50000"/>
    <m/>
    <n v="11425"/>
    <n v="38575"/>
    <n v="34.251634175"/>
    <n v="7.826498408987501"/>
    <n v="26.4251357660125"/>
    <n v="12.5891803525897"/>
    <n v="0.008624"/>
    <m/>
    <n v="0"/>
    <n v="11.189"/>
    <n v="34.243010175"/>
    <m/>
  </r>
  <r>
    <n v="590"/>
    <s v="Hosur"/>
    <x v="26"/>
    <s v="Srikam HI-Tech"/>
    <x v="20"/>
    <n v="1937438"/>
    <s v="944141-1937438"/>
    <s v="TUB-O-N-AUT-AW-PE-19.05X2.030X0.8300"/>
    <x v="0"/>
    <m/>
    <x v="0"/>
    <s v="HR"/>
    <m/>
    <m/>
    <m/>
    <m/>
    <x v="18"/>
    <s v="19.05-0-2-ERW 1-PE-0.83"/>
    <s v="#REF!"/>
    <s v="Hosur"/>
    <s v="Plan"/>
    <m/>
    <m/>
    <x v="2"/>
    <x v="2"/>
    <x v="0"/>
    <x v="8"/>
    <n v="830"/>
    <s v="NOS"/>
    <m/>
    <m/>
    <m/>
    <m/>
    <n v="0"/>
    <n v="0"/>
    <n v="0"/>
    <n v="0"/>
    <n v="0"/>
    <e v="#DIV/0!"/>
    <n v="0"/>
    <m/>
    <n v="0"/>
    <n v="11.189"/>
    <n v="0"/>
    <m/>
  </r>
  <r>
    <m/>
    <s v="Hosur"/>
    <x v="26"/>
    <s v="Srikam HI-Tech"/>
    <x v="20"/>
    <m/>
    <s v="944141-"/>
    <m/>
    <x v="0"/>
    <m/>
    <x v="0"/>
    <m/>
    <m/>
    <m/>
    <m/>
    <m/>
    <x v="1"/>
    <m/>
    <m/>
    <m/>
    <n v="0"/>
    <m/>
    <m/>
    <x v="2"/>
    <x v="2"/>
    <x v="0"/>
    <x v="8"/>
    <n v="835"/>
    <s v="NOS"/>
    <m/>
    <m/>
    <n v="5000"/>
    <s v="LL"/>
    <n v="0"/>
    <n v="5000"/>
    <n v="3.5092165075"/>
    <n v="0"/>
    <n v="3.5092165075"/>
    <n v="0"/>
    <n v="0"/>
    <m/>
    <n v="0"/>
    <n v="0"/>
    <n v="3.5092165075"/>
    <m/>
  </r>
  <r>
    <n v="591"/>
    <s v="Hosur"/>
    <x v="26"/>
    <s v="Srikam HI-Tech"/>
    <x v="20"/>
    <n v="3850335"/>
    <s v="944141-3850335"/>
    <s v="CUT-O-O-AUT-AW-PE-19.05X2.000X0.9000"/>
    <x v="0"/>
    <m/>
    <x v="0"/>
    <s v="HR"/>
    <m/>
    <m/>
    <m/>
    <m/>
    <x v="18"/>
    <s v="19.05-0-2-ERW 1-PE-0.9"/>
    <s v="#REF!"/>
    <m/>
    <m/>
    <m/>
    <m/>
    <x v="2"/>
    <x v="2"/>
    <x v="0"/>
    <x v="8"/>
    <n v="900"/>
    <s v="NOS"/>
    <m/>
    <m/>
    <m/>
    <m/>
    <n v="0"/>
    <n v="0"/>
    <n v="0"/>
    <n v="0"/>
    <n v="0"/>
    <e v="#DIV/0!"/>
    <n v="0"/>
    <m/>
    <n v="0"/>
    <n v="11.189"/>
    <n v="0"/>
    <m/>
  </r>
  <r>
    <n v="594"/>
    <s v="Hosur"/>
    <x v="26"/>
    <s v="Srikam HI-Tech"/>
    <x v="20"/>
    <n v="1259405"/>
    <s v="944141-1259405"/>
    <s v="TUB-O-N-AUT-AW-PE-19.05X2.300X0.2100"/>
    <x v="0"/>
    <m/>
    <x v="0"/>
    <s v="HR"/>
    <m/>
    <m/>
    <m/>
    <m/>
    <x v="19"/>
    <s v="19.05-0-2.3-ERW 1-PE-0.21"/>
    <n v="1"/>
    <s v="Hosur"/>
    <n v="28.35719099999999"/>
    <m/>
    <m/>
    <x v="2"/>
    <x v="2"/>
    <x v="0"/>
    <x v="9"/>
    <n v="210"/>
    <s v="NOS"/>
    <m/>
    <m/>
    <n v="5000"/>
    <s v="LL"/>
    <n v="0"/>
    <n v="5000"/>
    <n v="0.9970828612499999"/>
    <n v="0"/>
    <n v="0.9970828612499999"/>
    <n v="301.7151449407686"/>
    <n v="0.060167"/>
    <m/>
    <n v="79.22211800000001"/>
    <n v="6.015"/>
    <n v="0.9369158612499999"/>
    <m/>
  </r>
  <r>
    <n v="595"/>
    <s v="Hosur"/>
    <x v="26"/>
    <s v="Srikam HI-Tech"/>
    <x v="20"/>
    <n v="1940306"/>
    <s v="944141-1940306"/>
    <s v="TUB-O-O-AUT-AW-PE-19.05X2.300X0.2360"/>
    <x v="0"/>
    <m/>
    <x v="0"/>
    <s v="HR"/>
    <m/>
    <m/>
    <m/>
    <m/>
    <x v="19"/>
    <s v="19.05-0-2.3-ERW 1-PE-0.236"/>
    <n v="1"/>
    <s v="Hosur"/>
    <n v="28.35719099999999"/>
    <n v="41.353167"/>
    <m/>
    <x v="2"/>
    <x v="2"/>
    <x v="0"/>
    <x v="9"/>
    <n v="236"/>
    <s v="NOS"/>
    <m/>
    <m/>
    <n v="40000"/>
    <m/>
    <n v="10500"/>
    <n v="29500"/>
    <n v="8.964249724"/>
    <n v="2.35311555255"/>
    <n v="6.611134171450001"/>
    <n v="35.36269177679146"/>
    <n v="0.007925"/>
    <m/>
    <n v="79.22211800000001"/>
    <n v="6.015"/>
    <n v="8.956324724"/>
    <m/>
  </r>
  <r>
    <n v="596"/>
    <s v="Hosur"/>
    <x v="26"/>
    <s v="Srikam HI-Tech"/>
    <x v="20"/>
    <n v="1940307"/>
    <s v="944141-1940307"/>
    <s v="TUB-O-O-AUT-AW-PE-19.05X2.300X0.2520"/>
    <x v="0"/>
    <m/>
    <x v="0"/>
    <s v="HR"/>
    <m/>
    <m/>
    <m/>
    <m/>
    <x v="19"/>
    <s v="19.05-0-2.3-ERW 1-PE-0.252"/>
    <n v="1"/>
    <s v="Hosur"/>
    <n v="28.35719099999999"/>
    <n v="41.353167"/>
    <m/>
    <x v="2"/>
    <x v="2"/>
    <x v="0"/>
    <x v="9"/>
    <n v="252"/>
    <s v="NOS"/>
    <m/>
    <m/>
    <n v="70000"/>
    <m/>
    <n v="3900"/>
    <n v="66100"/>
    <n v="16.750992069"/>
    <n v="0.9332695581299998"/>
    <n v="15.81772251087"/>
    <n v="39.11410126045832"/>
    <n v="0.00936"/>
    <m/>
    <n v="79.22211800000001"/>
    <n v="6.015"/>
    <n v="16.74163206899999"/>
    <m/>
  </r>
  <r>
    <n v="597"/>
    <s v="Hosur"/>
    <x v="26"/>
    <s v="Srikam HI-Tech"/>
    <x v="20"/>
    <n v="1940309"/>
    <s v="944141-1940309"/>
    <s v="TUB-O-O-AUT-AW-PE-19.05X2.300X0.2650"/>
    <x v="0"/>
    <m/>
    <x v="0"/>
    <s v="HR"/>
    <m/>
    <m/>
    <m/>
    <m/>
    <x v="19"/>
    <s v="19.05-0-2.3-ERW 1-PE-0.265"/>
    <n v="1"/>
    <s v="Hosur"/>
    <n v="28.35719099999999"/>
    <n v="41.353167"/>
    <m/>
    <x v="2"/>
    <x v="2"/>
    <x v="0"/>
    <x v="9"/>
    <n v="265"/>
    <s v="NOS"/>
    <s v="Indico"/>
    <n v="8000"/>
    <n v="25000"/>
    <m/>
    <n v="19606"/>
    <n v="5394"/>
    <n v="6.291118053125"/>
    <n v="4.933746421982749"/>
    <n v="1.357371631142251"/>
    <n v="7250.460031876577"/>
    <n v="1.82454"/>
    <m/>
    <n v="79.22211800000001"/>
    <n v="6.015"/>
    <n v="4.466578053125001"/>
    <m/>
  </r>
  <r>
    <n v="598"/>
    <s v="Hosur"/>
    <x v="26"/>
    <s v="Srikam HI-Tech"/>
    <x v="20"/>
    <n v="1940310"/>
    <s v="944141-1940310"/>
    <s v="TUB-O-O-AUT-AW-PE-19.05X2.300X0.2810"/>
    <x v="0"/>
    <m/>
    <x v="0"/>
    <s v="HR"/>
    <m/>
    <m/>
    <m/>
    <m/>
    <x v="19"/>
    <s v="19.05-0-2.3-ERW 1-PE-0.281"/>
    <s v="#REF!"/>
    <m/>
    <n v="28.35719099999999"/>
    <m/>
    <m/>
    <x v="2"/>
    <x v="2"/>
    <x v="0"/>
    <x v="9"/>
    <n v="281"/>
    <s v="NOS"/>
    <m/>
    <m/>
    <n v="5000"/>
    <s v="LL"/>
    <n v="0"/>
    <n v="5000"/>
    <n v="1.334191828625"/>
    <n v="0"/>
    <n v="1.334191828625"/>
    <n v="0"/>
    <n v="0"/>
    <m/>
    <n v="79.22211800000001"/>
    <n v="6.015"/>
    <n v="1.334191828625"/>
    <m/>
  </r>
  <r>
    <n v="599"/>
    <s v="Hosur"/>
    <x v="26"/>
    <s v="Srikam HI-Tech"/>
    <x v="20"/>
    <n v="1940312"/>
    <s v="944141-1940312"/>
    <s v="TUB-O-O-AUT-AW-PE-19.05X2.300X0.2950"/>
    <x v="0"/>
    <m/>
    <x v="0"/>
    <s v="HR"/>
    <m/>
    <m/>
    <m/>
    <m/>
    <x v="19"/>
    <s v="19.05-0-2.3-ERW 1-PE-0.295"/>
    <n v="2"/>
    <s v="Hosur"/>
    <n v="28.35719099999999"/>
    <n v="41.353167"/>
    <m/>
    <x v="2"/>
    <x v="2"/>
    <x v="0"/>
    <x v="9"/>
    <n v="295"/>
    <s v="NOS"/>
    <m/>
    <m/>
    <n v="80000"/>
    <m/>
    <n v="44250"/>
    <n v="35750"/>
    <n v="22.41062431"/>
    <n v="12.39587657146875"/>
    <n v="10.01474773853125"/>
    <n v="7368.076753056774"/>
    <n v="2.06404"/>
    <m/>
    <n v="79.22211800000001"/>
    <n v="6.015"/>
    <n v="20.34658431"/>
    <m/>
  </r>
  <r>
    <n v="600"/>
    <s v="Hosur"/>
    <x v="26"/>
    <s v="Srikam HI-Tech"/>
    <x v="20"/>
    <n v="1940325"/>
    <s v="944141-1940325"/>
    <s v="TUB-O-O-AUT-AW-PE-19.05X2.300X0.5700"/>
    <x v="0"/>
    <m/>
    <x v="0"/>
    <s v="HR"/>
    <m/>
    <m/>
    <m/>
    <m/>
    <x v="19"/>
    <s v="19.05-0-2.3-ERW 1-PE-0.57"/>
    <n v="2"/>
    <s v="Hosur"/>
    <n v="28.35719099999999"/>
    <n v="41.353167"/>
    <m/>
    <x v="2"/>
    <x v="2"/>
    <x v="0"/>
    <x v="9"/>
    <n v="570"/>
    <s v="NOS"/>
    <s v="Indico"/>
    <n v="2000"/>
    <n v="10000"/>
    <s v="LL"/>
    <n v="13650"/>
    <n v="-3650"/>
    <n v="5.412735532500001"/>
    <n v="7.388384001862501"/>
    <n v="-1.9756484693625"/>
    <n v="689.3002581777256"/>
    <n v="0.3731"/>
    <m/>
    <n v="79.22211800000001"/>
    <n v="6.015"/>
    <n v="5.039635532500001"/>
    <m/>
  </r>
  <r>
    <n v="601"/>
    <s v="Hosur"/>
    <x v="26"/>
    <s v="Srikam HI-Tech"/>
    <x v="20"/>
    <n v="1940329"/>
    <s v="944141-1940329"/>
    <s v="TUB-O-O-AUT-AW-PE-19.05X2.300X0.6100"/>
    <x v="0"/>
    <m/>
    <x v="0"/>
    <s v="HR"/>
    <m/>
    <m/>
    <m/>
    <m/>
    <x v="19"/>
    <s v="19.05-0-2.3-ERW 1-PE-0.61"/>
    <n v="1"/>
    <s v="Hosur"/>
    <n v="28.35719099999999"/>
    <n v="41.353167"/>
    <m/>
    <x v="2"/>
    <x v="2"/>
    <x v="0"/>
    <x v="9"/>
    <n v="610"/>
    <s v="NOS"/>
    <m/>
    <m/>
    <n v="10000"/>
    <s v="LL"/>
    <n v="9450"/>
    <n v="550"/>
    <n v="5.792576622499999"/>
    <n v="5.4739849082625"/>
    <n v="0.3185917142374999"/>
    <n v="7443.595969454957"/>
    <n v="4.31176"/>
    <m/>
    <n v="79.22211800000001"/>
    <n v="6.015"/>
    <n v="1.480816622499999"/>
    <m/>
  </r>
  <r>
    <n v="602"/>
    <s v="Hosur"/>
    <x v="26"/>
    <s v="Srikam HI-Tech"/>
    <x v="20"/>
    <n v="477006"/>
    <s v="944141-477006"/>
    <s v="PT2-O-N-AUT-AW-PE-19.05X2.300X0.245"/>
    <x v="0"/>
    <m/>
    <x v="1"/>
    <s v="HR"/>
    <m/>
    <m/>
    <m/>
    <m/>
    <x v="146"/>
    <s v="19.05-0-2.34-ERW 1--0.245"/>
    <s v="#REF!"/>
    <m/>
    <m/>
    <m/>
    <m/>
    <x v="2"/>
    <x v="2"/>
    <x v="0"/>
    <x v="29"/>
    <n v="245"/>
    <s v="NOS"/>
    <m/>
    <m/>
    <m/>
    <m/>
    <n v="0"/>
    <n v="0"/>
    <n v="0"/>
    <n v="0"/>
    <n v="0"/>
    <e v="#DIV/0!"/>
    <n v="0"/>
    <m/>
    <n v="0"/>
    <n v="0"/>
    <n v="0"/>
    <m/>
  </r>
  <r>
    <n v="604"/>
    <s v="Hosur"/>
    <x v="26"/>
    <s v="Srikam HI-Tech"/>
    <x v="20"/>
    <n v="3180928"/>
    <s v="944141-3180928"/>
    <s v="TUB-O-N-AUT-AW-PE-22.20X1.200X0.6300"/>
    <x v="0"/>
    <m/>
    <x v="1"/>
    <s v="HR"/>
    <m/>
    <m/>
    <m/>
    <m/>
    <x v="171"/>
    <s v="22.23-0-1.2-ERW 1--0.63"/>
    <s v="#REF!"/>
    <m/>
    <m/>
    <m/>
    <m/>
    <x v="11"/>
    <x v="11"/>
    <x v="0"/>
    <x v="2"/>
    <n v="630"/>
    <m/>
    <m/>
    <m/>
    <m/>
    <m/>
    <e v="#N/A"/>
    <e v="#N/A"/>
    <n v="0"/>
    <e v="#N/A"/>
    <e v="#N/A"/>
    <e v="#DIV/0!"/>
    <n v="0"/>
    <m/>
    <n v="0"/>
    <n v="0"/>
    <n v="0"/>
    <m/>
  </r>
  <r>
    <n v="606"/>
    <s v="Hosur"/>
    <x v="26"/>
    <s v="Srikam HI-Tech"/>
    <x v="20"/>
    <n v="3747393"/>
    <s v="944141-3747393"/>
    <s v="CUT-O-N-AUT-AW-PE-22.23X1.200X1.3080"/>
    <x v="0"/>
    <m/>
    <x v="0"/>
    <s v="CR"/>
    <m/>
    <m/>
    <m/>
    <m/>
    <x v="20"/>
    <s v="22.23-0-1.2-ERW 1-PE-1.308"/>
    <n v="1"/>
    <s v="Hosur"/>
    <n v="0"/>
    <n v="0.24294"/>
    <m/>
    <x v="11"/>
    <x v="11"/>
    <x v="0"/>
    <x v="2"/>
    <n v="1308"/>
    <s v="NOS"/>
    <m/>
    <m/>
    <n v="10000"/>
    <s v="LL"/>
    <n v="3375"/>
    <n v="6625"/>
    <n v="8.136311505120002"/>
    <n v="2.746005132978"/>
    <n v="5.390306372142001"/>
    <n v="0"/>
    <n v="0"/>
    <m/>
    <n v="0.08500000000000001"/>
    <n v="3.104"/>
    <n v="8.136311505120002"/>
    <m/>
  </r>
  <r>
    <n v="607"/>
    <s v="Hosur"/>
    <x v="26"/>
    <s v="Srikam HI-Tech"/>
    <x v="20"/>
    <n v="2320560"/>
    <s v="944141-2320560"/>
    <s v="TUB-O-N-AUT-AW-PE-22.23X1.600X0.2100"/>
    <x v="0"/>
    <m/>
    <x v="0"/>
    <s v="CR"/>
    <s v="HROP"/>
    <m/>
    <m/>
    <m/>
    <x v="21"/>
    <s v="22.23-0-1.6-ERW 1-PE-0.21"/>
    <s v="#REF!"/>
    <m/>
    <m/>
    <m/>
    <m/>
    <x v="11"/>
    <x v="11"/>
    <x v="0"/>
    <x v="0"/>
    <n v="210"/>
    <m/>
    <m/>
    <m/>
    <m/>
    <m/>
    <e v="#N/A"/>
    <e v="#N/A"/>
    <n v="0"/>
    <e v="#N/A"/>
    <e v="#N/A"/>
    <e v="#DIV/0!"/>
    <n v="0"/>
    <m/>
    <n v="10.773162"/>
    <n v="0"/>
    <n v="0"/>
    <m/>
  </r>
  <r>
    <n v="608"/>
    <s v="Hosur"/>
    <x v="26"/>
    <s v="Srikam HI-Tech"/>
    <x v="20"/>
    <n v="1940390"/>
    <s v="944141-1940390"/>
    <s v="TUB-O-O-AUT-AW-PE-22.23X1.600X0.2830"/>
    <x v="0"/>
    <m/>
    <x v="0"/>
    <s v="CR"/>
    <s v="GR1"/>
    <m/>
    <m/>
    <m/>
    <x v="21"/>
    <s v="22.23-0-1.6-ERW 1-PE-0.283"/>
    <n v="1"/>
    <s v="Hosur"/>
    <n v="0.05916199999999994"/>
    <n v="0"/>
    <m/>
    <x v="11"/>
    <x v="11"/>
    <x v="0"/>
    <x v="0"/>
    <n v="283"/>
    <s v="NOS"/>
    <s v="Indico"/>
    <m/>
    <n v="10000"/>
    <s v="LL"/>
    <n v="0"/>
    <n v="10000"/>
    <n v="2.30252816336"/>
    <n v="0"/>
    <n v="2.30252816336"/>
    <n v="0"/>
    <n v="0"/>
    <m/>
    <n v="10.773162"/>
    <n v="0"/>
    <n v="2.30252816336"/>
    <m/>
  </r>
  <r>
    <n v="609"/>
    <s v="Hosur"/>
    <x v="26"/>
    <s v="Srikam HI-Tech"/>
    <x v="20"/>
    <n v="2270133"/>
    <s v="944141-2270133"/>
    <s v="TUB-O-N-AUT-HR-PE-22.23X1.600X0.7000"/>
    <x v="0"/>
    <m/>
    <x v="0"/>
    <s v="CR"/>
    <s v="GR1"/>
    <m/>
    <m/>
    <m/>
    <x v="21"/>
    <s v="22.23-0-1.6-ERW 1-PE-0.7"/>
    <n v="1"/>
    <s v="Hosur"/>
    <n v="0.05916199999999994"/>
    <n v="0"/>
    <m/>
    <x v="11"/>
    <x v="11"/>
    <x v="0"/>
    <x v="0"/>
    <n v="700"/>
    <s v="NOS"/>
    <m/>
    <m/>
    <n v="20000"/>
    <m/>
    <n v="1775"/>
    <n v="18225"/>
    <n v="11.390598688"/>
    <n v="1.01091563356"/>
    <n v="10.37968305444"/>
    <n v="12.00990428572634"/>
    <n v="0.00684"/>
    <m/>
    <n v="10.773162"/>
    <n v="0"/>
    <n v="11.383758688"/>
    <m/>
  </r>
  <r>
    <n v="610"/>
    <s v="Hosur"/>
    <x v="26"/>
    <s v="Srikam HI-Tech"/>
    <x v="20"/>
    <n v="3673012"/>
    <s v="944141-3673012"/>
    <s v="TUB-O-N-AUT-AW-PE-22.23X1.600X0.9490"/>
    <x v="0"/>
    <m/>
    <x v="0"/>
    <s v="CR"/>
    <s v="HROP"/>
    <m/>
    <m/>
    <m/>
    <x v="21"/>
    <s v="22.23-0-1.6-ERW 1-PE-0.949"/>
    <n v="1"/>
    <s v="Hosur"/>
    <n v="0.05916199999999994"/>
    <n v="0"/>
    <m/>
    <x v="11"/>
    <x v="11"/>
    <x v="0"/>
    <x v="0"/>
    <n v="949"/>
    <s v="NOS"/>
    <s v="Indico"/>
    <m/>
    <n v="5000"/>
    <s v="LL"/>
    <n v="0"/>
    <n v="5000"/>
    <n v="3.860599341039999"/>
    <n v="0"/>
    <n v="3.860599341039999"/>
    <n v="304.9073203444356"/>
    <n v="0.235425"/>
    <m/>
    <n v="10.773162"/>
    <n v="0"/>
    <n v="3.625174341039999"/>
    <m/>
  </r>
  <r>
    <n v="611"/>
    <s v="Hosur"/>
    <x v="26"/>
    <s v="Srikam HI-Tech"/>
    <x v="20"/>
    <n v="1940418"/>
    <s v="944141-1940418"/>
    <s v="TUB-O-O-AUT-AW-PE-22.23X1.600X0.9670"/>
    <x v="0"/>
    <m/>
    <x v="0"/>
    <s v="CR"/>
    <s v="GR1"/>
    <m/>
    <m/>
    <m/>
    <x v="21"/>
    <s v="22.23-0-1.6-ERW 1-PE-0.967"/>
    <n v="1"/>
    <s v="Hosur"/>
    <m/>
    <m/>
    <m/>
    <x v="11"/>
    <x v="11"/>
    <x v="0"/>
    <x v="0"/>
    <n v="967"/>
    <s v="NOS"/>
    <m/>
    <m/>
    <m/>
    <m/>
    <n v="0"/>
    <n v="0"/>
    <n v="0"/>
    <n v="0"/>
    <n v="0"/>
    <e v="#DIV/0!"/>
    <n v="0"/>
    <m/>
    <n v="10.773162"/>
    <n v="0"/>
    <n v="0"/>
    <m/>
  </r>
  <r>
    <n v="612"/>
    <s v="Hosur"/>
    <x v="26"/>
    <s v="Srikam HI-Tech"/>
    <x v="20"/>
    <n v="3673011"/>
    <s v="944141-3673011"/>
    <s v="TUB-O-N-AUT-AW-PE-22.23X1.600X1.3040"/>
    <x v="0"/>
    <m/>
    <x v="0"/>
    <s v="CR"/>
    <s v="HROP"/>
    <m/>
    <m/>
    <m/>
    <x v="21"/>
    <s v="22.23-0-1.6-ERW 1-PE-1.304"/>
    <n v="1"/>
    <s v="Hosur"/>
    <n v="0.05916199999999994"/>
    <n v="0"/>
    <m/>
    <x v="11"/>
    <x v="11"/>
    <x v="0"/>
    <x v="0"/>
    <n v="1304"/>
    <s v="NOS"/>
    <m/>
    <m/>
    <n v="5000"/>
    <s v="LL"/>
    <n v="10450"/>
    <n v="-5450"/>
    <n v="5.304764531840001"/>
    <n v="11.0869578715456"/>
    <n v="-5.782193339705599"/>
    <n v="118.7781278920307"/>
    <n v="0.126018"/>
    <m/>
    <n v="10.773162"/>
    <n v="0"/>
    <n v="5.178746531840001"/>
    <m/>
  </r>
  <r>
    <n v="613"/>
    <s v="Hosur"/>
    <x v="26"/>
    <s v="Srikam HI-Tech"/>
    <x v="20"/>
    <n v="1385283"/>
    <s v="944141-1385283"/>
    <s v="TUB-O-N-AUT-AW-PE-22.20X1.600X1.3370"/>
    <x v="0"/>
    <m/>
    <x v="0"/>
    <s v="HR"/>
    <m/>
    <m/>
    <m/>
    <m/>
    <x v="21"/>
    <s v="22.23-0-1.6-ERW 1-PE-1.337"/>
    <n v="1"/>
    <s v="Hosur"/>
    <m/>
    <m/>
    <m/>
    <x v="11"/>
    <x v="11"/>
    <x v="0"/>
    <x v="0"/>
    <n v="1337"/>
    <s v="NOS"/>
    <m/>
    <m/>
    <m/>
    <m/>
    <n v="0"/>
    <n v="0"/>
    <n v="0"/>
    <n v="0"/>
    <n v="0"/>
    <e v="#DIV/0!"/>
    <n v="0"/>
    <m/>
    <n v="10.773162"/>
    <n v="0"/>
    <n v="0"/>
    <m/>
  </r>
  <r>
    <n v="614"/>
    <s v="Hosur"/>
    <x v="26"/>
    <s v="Srikam HI-Tech"/>
    <x v="20"/>
    <n v="1940430"/>
    <s v="944141-1940430"/>
    <s v="TUB-O-O-AUT-AW-PE-22.23X2.000X0.2200"/>
    <x v="0"/>
    <m/>
    <x v="0"/>
    <s v="HR"/>
    <m/>
    <m/>
    <m/>
    <m/>
    <x v="49"/>
    <s v="22.23-0-2-ERW 1-PE-0.22"/>
    <n v="2"/>
    <s v="Hosur"/>
    <n v="5.503906"/>
    <n v="1.047"/>
    <m/>
    <x v="11"/>
    <x v="11"/>
    <x v="0"/>
    <x v="8"/>
    <n v="220"/>
    <s v="NOS"/>
    <s v="Hosur Plant"/>
    <m/>
    <n v="20000"/>
    <m/>
    <n v="4200"/>
    <n v="15800"/>
    <n v="4.388113576"/>
    <n v="0.9215038509600001"/>
    <n v="3.46660972504"/>
    <n v="75.24417822862659"/>
    <n v="0.016509"/>
    <m/>
    <n v="11.690147"/>
    <n v="1.629"/>
    <n v="4.371604576"/>
    <m/>
  </r>
  <r>
    <n v="615"/>
    <s v="Hosur"/>
    <x v="26"/>
    <s v="Srikam HI-Tech"/>
    <x v="20"/>
    <n v="1902768"/>
    <s v="944141-1902768"/>
    <s v="TUB-O-N-AUT-AW-PE-22.23X2.000X0.3050"/>
    <x v="0"/>
    <m/>
    <x v="1"/>
    <s v="HR"/>
    <m/>
    <m/>
    <m/>
    <m/>
    <x v="22"/>
    <s v="22.23-0-2-ERW 1--0.305"/>
    <s v="#REF!"/>
    <m/>
    <m/>
    <m/>
    <m/>
    <x v="11"/>
    <x v="11"/>
    <x v="0"/>
    <x v="8"/>
    <n v="305"/>
    <m/>
    <m/>
    <m/>
    <m/>
    <m/>
    <e v="#N/A"/>
    <e v="#N/A"/>
    <n v="0"/>
    <e v="#N/A"/>
    <e v="#N/A"/>
    <e v="#DIV/0!"/>
    <n v="0"/>
    <m/>
    <n v="0"/>
    <n v="0"/>
    <n v="0"/>
    <m/>
  </r>
  <r>
    <n v="616"/>
    <s v="Hosur"/>
    <x v="26"/>
    <s v="Srikam HI-Tech"/>
    <x v="20"/>
    <n v="1940449"/>
    <s v="944141-1940449"/>
    <s v="TUB-O-O-AUT-AW-PE-22.23X2.000X0.5740"/>
    <x v="0"/>
    <m/>
    <x v="1"/>
    <s v="HR"/>
    <m/>
    <m/>
    <m/>
    <m/>
    <x v="22"/>
    <s v="22.23-0-2-ERW 1--0.574"/>
    <s v="#REF!"/>
    <m/>
    <m/>
    <m/>
    <m/>
    <x v="11"/>
    <x v="11"/>
    <x v="0"/>
    <x v="8"/>
    <n v="574"/>
    <m/>
    <m/>
    <m/>
    <m/>
    <m/>
    <e v="#N/A"/>
    <e v="#N/A"/>
    <n v="0"/>
    <e v="#N/A"/>
    <e v="#N/A"/>
    <e v="#DIV/0!"/>
    <n v="0"/>
    <m/>
    <n v="0"/>
    <n v="0"/>
    <n v="0"/>
    <m/>
  </r>
  <r>
    <n v="617"/>
    <s v="Hosur"/>
    <x v="26"/>
    <s v="Srikam HI-Tech"/>
    <x v="20"/>
    <n v="1936862"/>
    <s v="944141-1936862"/>
    <s v="TUB-O-N-AUT-AW-PE-22.20X2.000X0.8050"/>
    <x v="0"/>
    <m/>
    <x v="1"/>
    <s v="HR"/>
    <m/>
    <m/>
    <m/>
    <m/>
    <x v="22"/>
    <s v="22.23-0-2-ERW 1--0.805"/>
    <s v="#REF!"/>
    <m/>
    <m/>
    <m/>
    <m/>
    <x v="11"/>
    <x v="11"/>
    <x v="0"/>
    <x v="8"/>
    <n v="805"/>
    <m/>
    <m/>
    <m/>
    <m/>
    <m/>
    <e v="#N/A"/>
    <e v="#N/A"/>
    <n v="0"/>
    <e v="#N/A"/>
    <e v="#N/A"/>
    <e v="#DIV/0!"/>
    <n v="0"/>
    <m/>
    <n v="0"/>
    <n v="0"/>
    <n v="0"/>
    <m/>
  </r>
  <r>
    <m/>
    <s v="Hosur"/>
    <x v="26"/>
    <s v="Srikam HI-Tech"/>
    <x v="20"/>
    <m/>
    <s v="944141-"/>
    <m/>
    <x v="0"/>
    <m/>
    <x v="0"/>
    <m/>
    <m/>
    <m/>
    <m/>
    <m/>
    <x v="1"/>
    <m/>
    <m/>
    <m/>
    <n v="0"/>
    <m/>
    <m/>
    <x v="11"/>
    <x v="11"/>
    <x v="0"/>
    <x v="9"/>
    <n v="245"/>
    <s v="NOS"/>
    <m/>
    <m/>
    <m/>
    <m/>
    <n v="0"/>
    <n v="0"/>
    <n v="0"/>
    <n v="0"/>
    <n v="0"/>
    <e v="#DIV/0!"/>
    <n v="0"/>
    <m/>
    <n v="0"/>
    <n v="0"/>
    <n v="0"/>
    <m/>
  </r>
  <r>
    <n v="620"/>
    <s v="Hosur"/>
    <x v="26"/>
    <s v="Srikam HI-Tech"/>
    <x v="20"/>
    <n v="1940498"/>
    <s v="944141-1940498"/>
    <s v="TUB-O-O-AUT-AW-PE-22.23X2.300X0.2810"/>
    <x v="0"/>
    <m/>
    <x v="0"/>
    <s v="HR"/>
    <m/>
    <m/>
    <m/>
    <m/>
    <x v="24"/>
    <s v="22.23-0-2.3-ERW 1-PE-0.281"/>
    <n v="1"/>
    <s v="Hosur"/>
    <n v="6.810974000000001"/>
    <n v="0"/>
    <m/>
    <x v="11"/>
    <x v="11"/>
    <x v="0"/>
    <x v="9"/>
    <n v="281"/>
    <s v="NOS"/>
    <m/>
    <m/>
    <n v="70000"/>
    <m/>
    <n v="35617"/>
    <n v="34383"/>
    <n v="22.22484800137"/>
    <n v="11.30832016092565"/>
    <n v="10.91652784044435"/>
    <n v="307.6997421794944"/>
    <n v="0.097694"/>
    <m/>
    <n v="6.810974"/>
    <n v="0"/>
    <n v="22.12715400137"/>
    <m/>
  </r>
  <r>
    <n v="621"/>
    <s v="Hosur"/>
    <x v="26"/>
    <s v="Srikam HI-Tech"/>
    <x v="20"/>
    <s v="NO MATERIAL CODE"/>
    <s v="944141-NO MATERIAL CODE"/>
    <s v="TUB-O-O-AUT-AW-PE-22.23X2.300X0.4270"/>
    <x v="0"/>
    <m/>
    <x v="0"/>
    <s v="HR"/>
    <m/>
    <m/>
    <m/>
    <m/>
    <x v="24"/>
    <s v="22.23-0-2.3-ERW 1-PE-0.427"/>
    <n v="1"/>
    <s v="Hosur"/>
    <n v="6.810974000000001"/>
    <n v="0"/>
    <m/>
    <x v="11"/>
    <x v="11"/>
    <x v="0"/>
    <x v="9"/>
    <n v="427"/>
    <s v="NOS"/>
    <m/>
    <m/>
    <n v="5000"/>
    <s v="LL"/>
    <n v="8000"/>
    <n v="-3000"/>
    <n v="2.412305565985"/>
    <n v="3.859688905576"/>
    <n v="-1.447383339591"/>
    <n v="0"/>
    <n v="0"/>
    <m/>
    <n v="6.810974"/>
    <n v="0"/>
    <n v="2.412305565985"/>
    <m/>
  </r>
  <r>
    <n v="622"/>
    <s v="Hosur"/>
    <x v="26"/>
    <s v="Srikam HI-Tech"/>
    <x v="20"/>
    <n v="1940584"/>
    <s v="944141-1940584"/>
    <s v="TUB-O-O-AUT-AW-FC-25.40X2.000X0.2810"/>
    <x v="0"/>
    <m/>
    <x v="2"/>
    <s v="HR"/>
    <m/>
    <m/>
    <m/>
    <m/>
    <x v="25"/>
    <s v="25.4-0-2-ERW 1-FC-0.281"/>
    <n v="1"/>
    <s v="Hosur"/>
    <n v="10.051"/>
    <n v="0"/>
    <m/>
    <x v="3"/>
    <x v="3"/>
    <x v="0"/>
    <x v="8"/>
    <n v="281"/>
    <s v="NOS"/>
    <m/>
    <m/>
    <n v="20000"/>
    <m/>
    <n v="14400"/>
    <n v="5600"/>
    <n v="6.483081384"/>
    <n v="4.66781859648"/>
    <n v="1.81526278752"/>
    <n v="2031.01877334076"/>
    <n v="0.658363"/>
    <m/>
    <n v="10.739"/>
    <n v="25.931"/>
    <n v="5.824718384000001"/>
    <m/>
  </r>
  <r>
    <n v="623"/>
    <s v="Hosur"/>
    <x v="26"/>
    <s v="Srikam HI-Tech"/>
    <x v="20"/>
    <n v="1940621"/>
    <s v="944141-1940621"/>
    <s v="TUB-O-O-GEN-AW-PE-28.58X1.600X6.0000"/>
    <x v="0"/>
    <m/>
    <x v="0"/>
    <s v="CR"/>
    <s v="GR1"/>
    <m/>
    <m/>
    <m/>
    <x v="172"/>
    <s v="28.58-0-1.6-ERW 1-PE-6"/>
    <s v="#REF!"/>
    <m/>
    <m/>
    <m/>
    <m/>
    <x v="12"/>
    <x v="12"/>
    <x v="0"/>
    <x v="0"/>
    <n v="6000"/>
    <m/>
    <m/>
    <m/>
    <m/>
    <m/>
    <e v="#N/A"/>
    <e v="#N/A"/>
    <n v="0"/>
    <e v="#N/A"/>
    <e v="#N/A"/>
    <e v="#DIV/0!"/>
    <n v="0"/>
    <m/>
    <n v="0"/>
    <n v="0"/>
    <n v="0"/>
    <m/>
  </r>
  <r>
    <n v="619"/>
    <s v="Hosur"/>
    <x v="26"/>
    <s v="Srikam HI-Tech"/>
    <x v="20"/>
    <n v="4036237"/>
    <s v="944141-4036237"/>
    <s v="CUT-O-N-AUT-AW-PE-22.23X2.000X0.6040"/>
    <x v="5"/>
    <m/>
    <x v="0"/>
    <s v="HR"/>
    <m/>
    <m/>
    <m/>
    <m/>
    <x v="57"/>
    <s v="22.23-0-2-ERW 2 MAHS-PE-0.604"/>
    <n v="1"/>
    <m/>
    <m/>
    <m/>
    <m/>
    <x v="11"/>
    <x v="11"/>
    <x v="0"/>
    <x v="8"/>
    <n v="604"/>
    <s v="NOS"/>
    <m/>
    <m/>
    <m/>
    <m/>
    <n v="0"/>
    <n v="0"/>
    <n v="0"/>
    <n v="0"/>
    <n v="0"/>
    <e v="#DIV/0!"/>
    <n v="0"/>
    <m/>
    <n v="15.668"/>
    <n v="0"/>
    <n v="0"/>
    <m/>
  </r>
  <r>
    <n v="587"/>
    <s v="Hosur"/>
    <x v="26"/>
    <s v="Srikam HI-Tech"/>
    <x v="20"/>
    <n v="1156869"/>
    <s v="944141-1156869"/>
    <s v="TUB-O-N-AUT-AW-PE-19.05X2.000X0.271"/>
    <x v="2"/>
    <m/>
    <x v="1"/>
    <s v="HR"/>
    <m/>
    <m/>
    <m/>
    <m/>
    <x v="173"/>
    <s v="19.05-0-2---0.271"/>
    <s v="#REF!"/>
    <m/>
    <m/>
    <m/>
    <m/>
    <x v="2"/>
    <x v="2"/>
    <x v="0"/>
    <x v="8"/>
    <n v="271"/>
    <s v="NOS"/>
    <m/>
    <m/>
    <m/>
    <m/>
    <n v="0"/>
    <n v="0"/>
    <n v="0"/>
    <n v="0"/>
    <n v="0"/>
    <e v="#DIV/0!"/>
    <n v="0"/>
    <m/>
    <n v="0"/>
    <n v="0"/>
    <n v="0"/>
    <m/>
  </r>
  <r>
    <n v="588"/>
    <s v="Hosur"/>
    <x v="26"/>
    <s v="Srikam HI-Tech"/>
    <x v="20"/>
    <n v="1637759"/>
    <s v="944141-1637759"/>
    <s v="TUB-O-N-AUT-AW-PE-19.05X2.000X0.4520"/>
    <x v="2"/>
    <m/>
    <x v="1"/>
    <s v="HR"/>
    <m/>
    <m/>
    <m/>
    <m/>
    <x v="173"/>
    <s v="19.05-0-2---0.452"/>
    <s v="#REF!"/>
    <m/>
    <m/>
    <m/>
    <m/>
    <x v="2"/>
    <x v="2"/>
    <x v="0"/>
    <x v="8"/>
    <n v="452"/>
    <s v="NOS"/>
    <m/>
    <m/>
    <m/>
    <m/>
    <n v="0"/>
    <n v="0"/>
    <n v="0"/>
    <n v="0"/>
    <n v="0"/>
    <e v="#DIV/0!"/>
    <n v="0"/>
    <m/>
    <n v="0"/>
    <n v="0"/>
    <n v="0"/>
    <m/>
  </r>
  <r>
    <n v="592"/>
    <s v="Hosur"/>
    <x v="26"/>
    <s v="Srikam HI-Tech"/>
    <x v="20"/>
    <n v="451367"/>
    <s v="944141-451367"/>
    <s v="PT2-O-N-AUT-AW-PE-19.05X2.000X0.925"/>
    <x v="2"/>
    <m/>
    <x v="1"/>
    <s v="HR"/>
    <m/>
    <m/>
    <m/>
    <m/>
    <x v="173"/>
    <s v="19.05-0-2---0.925"/>
    <s v="#REF!"/>
    <m/>
    <m/>
    <m/>
    <m/>
    <x v="2"/>
    <x v="2"/>
    <x v="0"/>
    <x v="8"/>
    <n v="925"/>
    <s v="NOS"/>
    <m/>
    <m/>
    <m/>
    <m/>
    <n v="0"/>
    <n v="0"/>
    <n v="0"/>
    <n v="0"/>
    <n v="0"/>
    <e v="#DIV/0!"/>
    <n v="0"/>
    <m/>
    <n v="0"/>
    <n v="0"/>
    <n v="0"/>
    <m/>
  </r>
  <r>
    <n v="593"/>
    <s v="Hosur"/>
    <x v="26"/>
    <s v="Srikam HI-Tech"/>
    <x v="20"/>
    <n v="3499307"/>
    <s v="944141-3499307"/>
    <s v="TUB-O-N-AUT-AW-PE-19.05X2.00X6.000-ERW 1"/>
    <x v="2"/>
    <m/>
    <x v="1"/>
    <s v="HR"/>
    <m/>
    <m/>
    <m/>
    <m/>
    <x v="173"/>
    <s v="19.05-0-2---6"/>
    <s v="#REF!"/>
    <m/>
    <m/>
    <m/>
    <m/>
    <x v="2"/>
    <x v="2"/>
    <x v="0"/>
    <x v="8"/>
    <n v="6000"/>
    <s v="M"/>
    <m/>
    <m/>
    <m/>
    <m/>
    <n v="0"/>
    <n v="0"/>
    <n v="0"/>
    <n v="0"/>
    <n v="0"/>
    <e v="#DIV/0!"/>
    <n v="0"/>
    <m/>
    <n v="0"/>
    <n v="0"/>
    <n v="0"/>
    <m/>
  </r>
  <r>
    <n v="605"/>
    <s v="Hosur"/>
    <x v="26"/>
    <s v="Srikam HI-Tech"/>
    <x v="20"/>
    <n v="3669081"/>
    <s v="944141-3669081"/>
    <s v="TUB-O-N-AUT-AW-PE-22.20X1.200X1.3000"/>
    <x v="2"/>
    <m/>
    <x v="1"/>
    <s v="HR"/>
    <m/>
    <m/>
    <m/>
    <m/>
    <x v="174"/>
    <s v="22.23-0-1.2---1.3"/>
    <s v="#REF!"/>
    <m/>
    <m/>
    <m/>
    <m/>
    <x v="11"/>
    <x v="11"/>
    <x v="0"/>
    <x v="2"/>
    <n v="1300"/>
    <m/>
    <m/>
    <m/>
    <m/>
    <m/>
    <e v="#N/A"/>
    <e v="#N/A"/>
    <n v="0"/>
    <e v="#N/A"/>
    <e v="#N/A"/>
    <e v="#DIV/0!"/>
    <n v="0"/>
    <m/>
    <n v="0"/>
    <n v="0"/>
    <n v="0"/>
    <m/>
  </r>
  <r>
    <n v="618"/>
    <s v="Hosur"/>
    <x v="26"/>
    <s v="Srikam HI-Tech"/>
    <x v="20"/>
    <n v="3673948"/>
    <s v="944141-3673948"/>
    <s v="CUT-O-N-AUT-AW-PE-22.20X2.300X0.2450"/>
    <x v="2"/>
    <m/>
    <x v="0"/>
    <s v="HR"/>
    <m/>
    <m/>
    <m/>
    <m/>
    <x v="175"/>
    <s v="22.23-0-2.3--PE-0.245"/>
    <s v="#REF!"/>
    <m/>
    <m/>
    <m/>
    <m/>
    <x v="11"/>
    <x v="11"/>
    <x v="0"/>
    <x v="9"/>
    <n v="245"/>
    <m/>
    <m/>
    <m/>
    <m/>
    <m/>
    <e v="#N/A"/>
    <e v="#N/A"/>
    <n v="0"/>
    <e v="#N/A"/>
    <e v="#N/A"/>
    <e v="#DIV/0!"/>
    <n v="0"/>
    <m/>
    <n v="0"/>
    <n v="0"/>
    <n v="0"/>
    <m/>
  </r>
  <r>
    <n v="624"/>
    <s v="Hosur"/>
    <x v="27"/>
    <s v="TVSM direct"/>
    <x v="21"/>
    <n v="1941860"/>
    <s v="187268-1941860"/>
    <s v="TUB-R-AW-RHS-40.00X30.00X1.600X0.4000"/>
    <x v="0"/>
    <m/>
    <x v="2"/>
    <s v="CR"/>
    <s v="GR1"/>
    <m/>
    <m/>
    <m/>
    <x v="36"/>
    <s v="40-30-1.6-ERW 1-FC-0.4"/>
    <n v="1"/>
    <m/>
    <n v="0.9578630000000001"/>
    <n v="0"/>
    <m/>
    <x v="17"/>
    <x v="15"/>
    <x v="1"/>
    <x v="0"/>
    <n v="400"/>
    <s v="NOS"/>
    <m/>
    <m/>
    <m/>
    <m/>
    <n v="0"/>
    <n v="0"/>
    <n v="0"/>
    <n v="0"/>
    <n v="0"/>
    <e v="#DIV/0!"/>
    <n v="0.004493"/>
    <m/>
    <n v="0.957863"/>
    <n v="0"/>
    <n v="-0.004493"/>
    <m/>
  </r>
</pivotCacheRecords>
</file>

<file path=xl/pivotCache/pivotCacheRecords2.xml><?xml version="1.0" encoding="utf-8"?>
<pivotCacheRecords xmlns="http://schemas.openxmlformats.org/spreadsheetml/2006/main" count="585">
  <r>
    <n v="243"/>
    <s v="Hosur"/>
    <x v="0"/>
    <m/>
    <n v="189287"/>
    <n v="3432081"/>
    <s v="TUB-O-N-AUT-AW-PE-12.70X1.600X0.1890"/>
    <x v="0"/>
    <m/>
    <x v="0"/>
    <x v="0"/>
    <s v="HROP"/>
    <m/>
    <m/>
    <m/>
    <s v="12.7-0-1.6-ERW 1-PE"/>
    <s v="12.7-0-1.6-ERW 1-PE-0.189"/>
    <n v="1"/>
    <x v="0"/>
    <x v="0"/>
    <x v="0"/>
    <x v="0"/>
    <n v="189"/>
    <s v="NOS"/>
    <x v="0"/>
    <n v="0"/>
    <n v="40000"/>
    <n v="3.3095127744"/>
    <n v="0"/>
    <n v="3.3095127744"/>
    <n v="516.5110747487315"/>
    <n v="0.042735"/>
    <n v="11.937059"/>
    <e v="#VALUE!"/>
    <e v="#VALUE!"/>
  </r>
  <r>
    <n v="248"/>
    <s v="Hosur"/>
    <x v="0"/>
    <m/>
    <n v="189287"/>
    <n v="1940034"/>
    <s v="TUB-O-O-AUT-AW-PE-15.88X1.200X0.5400"/>
    <x v="0"/>
    <m/>
    <x v="0"/>
    <x v="1"/>
    <m/>
    <m/>
    <m/>
    <m/>
    <s v="15.88-0-1.2-ERW 1-PE"/>
    <s v="15.88-0-1.2-ERW 1-PE-0.54"/>
    <n v="1"/>
    <x v="1"/>
    <x v="1"/>
    <x v="0"/>
    <x v="1"/>
    <n v="540"/>
    <s v="NOS"/>
    <x v="1"/>
    <n v="2000"/>
    <n v="-500"/>
    <n v="0.35171559504"/>
    <n v="0.46895412672"/>
    <n v="-0.11723853168"/>
    <n v="2344.898866102892"/>
    <n v="0.549825"/>
    <n v="3.154755"/>
    <n v="2.7596877744"/>
    <n v="0.3078335683126953"/>
  </r>
  <r>
    <n v="258"/>
    <s v="Hosur"/>
    <x v="0"/>
    <m/>
    <n v="189287"/>
    <n v="1940038"/>
    <s v="TUB-O-O-AUT-AW-PE-15.88X1.200X0.6800"/>
    <x v="0"/>
    <m/>
    <x v="0"/>
    <x v="1"/>
    <m/>
    <m/>
    <m/>
    <m/>
    <s v="15.88-0-1.2-ERW 1-PE"/>
    <s v="15.88-0-1.2-ERW 1-PE-0.68"/>
    <n v="1"/>
    <x v="1"/>
    <x v="1"/>
    <x v="0"/>
    <x v="1"/>
    <n v="680"/>
    <s v="NOS"/>
    <x v="1"/>
    <n v="2000"/>
    <n v="-500"/>
    <n v="0.4429011196800001"/>
    <n v="0.5905348262400001"/>
    <n v="-0.14763370656"/>
    <n v="1715.516096570189"/>
    <n v="0.506536"/>
    <n v="3.154755"/>
    <n v="-0.15482040496"/>
    <n v="3.119198698355221"/>
  </r>
  <r>
    <n v="249"/>
    <s v="Hosur"/>
    <x v="0"/>
    <m/>
    <n v="189287"/>
    <n v="3715199"/>
    <s v="TUB-O-N-AUT-AW-PE-15.88X1.200X0.7550"/>
    <x v="0"/>
    <m/>
    <x v="0"/>
    <x v="0"/>
    <m/>
    <m/>
    <m/>
    <m/>
    <s v="15.88-0-1.2-ERW 1-PE"/>
    <s v="15.88-0-1.2-ERW 1-PE-0.755"/>
    <n v="2"/>
    <x v="1"/>
    <x v="1"/>
    <x v="0"/>
    <x v="1"/>
    <n v="755"/>
    <s v="NOS"/>
    <x v="2"/>
    <n v="0"/>
    <n v="4000"/>
    <n v="1.31133468768"/>
    <n v="0"/>
    <n v="1.31133468768"/>
    <n v="6.433140280094996"/>
    <n v="0.002109"/>
    <n v="3.154755"/>
    <n v="0.44079211968"/>
    <n v="0.004761785207325218"/>
  </r>
  <r>
    <n v="245"/>
    <s v="Hosur"/>
    <x v="0"/>
    <m/>
    <n v="189287"/>
    <n v="1940045"/>
    <s v="TUB-O-O-AUT-AW-PE-15.88X1.200X1.1300"/>
    <x v="0"/>
    <m/>
    <x v="0"/>
    <x v="1"/>
    <m/>
    <m/>
    <m/>
    <m/>
    <s v="15.88-0-1.2-ERW 1-PE"/>
    <s v="15.88-0-1.2-ERW 1-PE-1.13"/>
    <n v="1"/>
    <x v="1"/>
    <x v="1"/>
    <x v="0"/>
    <x v="1"/>
    <n v="1130"/>
    <s v="NOS"/>
    <x v="1"/>
    <n v="0"/>
    <n v="1500"/>
    <n v="0.73599744888"/>
    <n v="0"/>
    <n v="0.73599744888"/>
    <n v="0"/>
    <n v="0"/>
    <n v="3.154755"/>
    <n v="1.31133468768"/>
    <n v="0"/>
  </r>
  <r>
    <n v="247"/>
    <s v="Hosur"/>
    <x v="0"/>
    <m/>
    <n v="189287"/>
    <n v="1940046"/>
    <s v="TUB-O-O-AUT-AW-PE-15.88X1.200X1.3100"/>
    <x v="0"/>
    <m/>
    <x v="0"/>
    <x v="1"/>
    <m/>
    <m/>
    <m/>
    <m/>
    <s v="15.88-0-1.2-ERW 1-PE"/>
    <s v="15.88-0-1.2-ERW 1-PE-1.31"/>
    <n v="1"/>
    <x v="1"/>
    <x v="1"/>
    <x v="0"/>
    <x v="1"/>
    <n v="1310"/>
    <s v="NOS"/>
    <x v="1"/>
    <n v="2000"/>
    <n v="-500"/>
    <n v="0.8532359805600001"/>
    <n v="1.13764797408"/>
    <n v="-0.28441199352"/>
    <n v="1002.104364420757"/>
    <n v="0.570021"/>
    <n v="3.154755"/>
    <m/>
    <m/>
  </r>
  <r>
    <n v="250"/>
    <s v="Hosur"/>
    <x v="0"/>
    <m/>
    <n v="189287"/>
    <n v="3635694"/>
    <s v="TUB-O-N-AUT-AW-PE-19.05X1.000X1.2000"/>
    <x v="0"/>
    <m/>
    <x v="0"/>
    <x v="0"/>
    <m/>
    <m/>
    <m/>
    <m/>
    <s v="19.05-0-1-ERW 1-PE"/>
    <s v="19.05-0-1-ERW 1-PE-1.2"/>
    <n v="1"/>
    <x v="2"/>
    <x v="2"/>
    <x v="0"/>
    <x v="2"/>
    <n v="1200"/>
    <s v="NOS"/>
    <x v="3"/>
    <n v="75"/>
    <n v="7925"/>
    <n v="4.271178720000001"/>
    <n v="0.04004230050000001"/>
    <n v="4.231136419500001"/>
    <n v="205.0206880596183"/>
    <n v="0.10946"/>
    <n v="19.832243"/>
    <n v="0.74377598056"/>
    <n v="0.1752179981930414"/>
  </r>
  <r>
    <n v="256"/>
    <s v="Hosur"/>
    <x v="0"/>
    <m/>
    <n v="189287"/>
    <n v="3409366"/>
    <s v="TUB-O-N-AUT-AW-PE-19.05X1.200X0.1090"/>
    <x v="0"/>
    <m/>
    <x v="0"/>
    <x v="0"/>
    <m/>
    <m/>
    <m/>
    <m/>
    <s v="19.05-0-1.2-ERW 1-PE"/>
    <s v="19.05-0-1.2-ERW 1-PE-0.109"/>
    <n v="1"/>
    <x v="2"/>
    <x v="2"/>
    <x v="0"/>
    <x v="1"/>
    <n v="109"/>
    <s v="NOS"/>
    <x v="2"/>
    <n v="0"/>
    <n v="4000"/>
    <n v="0.23019996888"/>
    <n v="0"/>
    <n v="0.23019996888"/>
    <n v="0"/>
    <n v="0"/>
    <n v="12.194379"/>
    <n v="4.271178720000001"/>
    <n v="0"/>
  </r>
  <r>
    <n v="244"/>
    <s v="Hosur"/>
    <x v="0"/>
    <m/>
    <n v="189287"/>
    <n v="3239890"/>
    <s v="TUB-O-N-GEN-AW-PE-19.05X1.200X0.3300"/>
    <x v="0"/>
    <m/>
    <x v="0"/>
    <x v="0"/>
    <m/>
    <m/>
    <m/>
    <m/>
    <s v="19.05-0-1.2-ERW 1-PE"/>
    <s v="19.05-0-1.2-ERW 1-PE-0.33"/>
    <n v="2"/>
    <x v="2"/>
    <x v="2"/>
    <x v="0"/>
    <x v="1"/>
    <n v="330"/>
    <s v="NOS"/>
    <x v="4"/>
    <n v="0"/>
    <n v="10000"/>
    <n v="1.742339214"/>
    <n v="0"/>
    <n v="1.742339214"/>
    <n v="0"/>
    <n v="0"/>
    <n v="12.194379"/>
    <n v="0.23019996888"/>
    <n v="0"/>
  </r>
  <r>
    <n v="246"/>
    <s v="Hosur"/>
    <x v="0"/>
    <m/>
    <n v="189287"/>
    <n v="3929662"/>
    <s v="CUT-O-N-AUT-AW-PE-19.05X1.200X0.4030"/>
    <x v="0"/>
    <m/>
    <x v="0"/>
    <x v="0"/>
    <m/>
    <m/>
    <m/>
    <m/>
    <s v="19.05-0-1.2-ERW 1-PE"/>
    <m/>
    <m/>
    <x v="2"/>
    <x v="2"/>
    <x v="0"/>
    <x v="1"/>
    <n v="403"/>
    <m/>
    <x v="5"/>
    <e v="#N/A"/>
    <e v="#N/A"/>
    <n v="0"/>
    <e v="#N/A"/>
    <e v="#N/A"/>
    <e v="#DIV/0!"/>
    <n v="0"/>
    <n v="12.194379"/>
    <n v="1.742339214"/>
    <e v="#N/A"/>
  </r>
  <r>
    <n v="253"/>
    <s v="Hosur"/>
    <x v="0"/>
    <m/>
    <n v="189287"/>
    <n v="2409616"/>
    <s v="TUB-O-N-AUT-AW-PE-19.05X1.200X0.5130"/>
    <x v="0"/>
    <m/>
    <x v="0"/>
    <x v="0"/>
    <m/>
    <m/>
    <m/>
    <m/>
    <s v="19.05-0-1.2-ERW 1-PE"/>
    <s v="19.05-0-1.2-ERW 1-PE-0.513"/>
    <n v="1"/>
    <x v="2"/>
    <x v="2"/>
    <x v="0"/>
    <x v="1"/>
    <n v="513"/>
    <s v="NOS"/>
    <x v="6"/>
    <n v="1176"/>
    <n v="3824"/>
    <n v="1.3542727527"/>
    <n v="0.31852495143504"/>
    <n v="1.03574780126496"/>
    <n v="0"/>
    <n v="0"/>
    <n v="12.194379"/>
    <n v="0"/>
    <e v="#DIV/0!"/>
  </r>
  <r>
    <n v="251"/>
    <s v="Hosur"/>
    <x v="0"/>
    <m/>
    <n v="189287"/>
    <n v="3229740"/>
    <s v="TUB-O-N-AUT-AW-PE-19.05X1.200X1.0750"/>
    <x v="0"/>
    <m/>
    <x v="0"/>
    <x v="0"/>
    <m/>
    <m/>
    <m/>
    <m/>
    <s v="19.05-0-1.2-ERW 1-PE"/>
    <s v="19.05-0-1.2-ERW 1-PE-1.075"/>
    <n v="1"/>
    <x v="2"/>
    <x v="2"/>
    <x v="0"/>
    <x v="1"/>
    <n v="1075"/>
    <s v="NOS"/>
    <x v="6"/>
    <n v="1537"/>
    <n v="3463"/>
    <n v="2.8379009925"/>
    <n v="0.8723707650945002"/>
    <n v="1.9655302274055"/>
    <n v="0"/>
    <n v="0"/>
    <n v="12.194379"/>
    <n v="1.3542727527"/>
    <n v="0.6441617933723197"/>
  </r>
  <r>
    <n v="254"/>
    <s v="Hosur"/>
    <x v="0"/>
    <m/>
    <n v="189287"/>
    <n v="3229739"/>
    <s v="TUB-O-N-AUT-AW-PE-19.05X1.200X1.1300"/>
    <x v="0"/>
    <m/>
    <x v="0"/>
    <x v="0"/>
    <m/>
    <m/>
    <m/>
    <m/>
    <s v="19.05-0-1.2-ERW 1-PE"/>
    <s v="19.05-0-1.2-ERW 1-PE-1.13"/>
    <n v="2"/>
    <x v="2"/>
    <x v="2"/>
    <x v="0"/>
    <x v="1"/>
    <n v="1130"/>
    <s v="NOS"/>
    <x v="2"/>
    <n v="0"/>
    <n v="4000"/>
    <n v="2.3864767416"/>
    <n v="0"/>
    <n v="2.3864767416"/>
    <n v="0"/>
    <n v="0"/>
    <n v="12.194379"/>
    <n v="2.8379009925"/>
    <n v="0"/>
  </r>
  <r>
    <n v="252"/>
    <s v="Hosur"/>
    <x v="0"/>
    <m/>
    <n v="189287"/>
    <n v="3409367"/>
    <s v="TUB-O-N-AUT-AW-PE-19.05X1.200X1.2750"/>
    <x v="0"/>
    <m/>
    <x v="0"/>
    <x v="0"/>
    <m/>
    <m/>
    <m/>
    <m/>
    <s v="19.05-0-1.2-ERW 1-PE"/>
    <s v="19.05-0-1.2-ERW 1-PE-1.275"/>
    <n v="1"/>
    <x v="2"/>
    <x v="2"/>
    <x v="0"/>
    <x v="1"/>
    <n v="1275"/>
    <s v="NOS"/>
    <x v="6"/>
    <n v="0"/>
    <n v="5000"/>
    <n v="3.3658825725"/>
    <n v="0"/>
    <n v="3.3658825725"/>
    <n v="14.18944332467498"/>
    <n v="0.009552"/>
    <n v="12.194379"/>
    <n v="2.3769247416"/>
    <n v="0.004002553150212525"/>
  </r>
  <r>
    <n v="257"/>
    <s v="Hosur"/>
    <x v="0"/>
    <m/>
    <n v="189287"/>
    <n v="2409618"/>
    <s v="TUB-O-N-AUT-AW-PE-25.40X1.600X2.5900"/>
    <x v="0"/>
    <m/>
    <x v="0"/>
    <x v="0"/>
    <s v="HROP"/>
    <m/>
    <m/>
    <m/>
    <s v="25.4-0-1.6-ERW 1-PE"/>
    <s v="25.4-0-1.6-ERW 1-PE-2.59"/>
    <n v="1"/>
    <x v="3"/>
    <x v="3"/>
    <x v="0"/>
    <x v="0"/>
    <n v="2590"/>
    <s v="NOS"/>
    <x v="2"/>
    <n v="772"/>
    <n v="3228"/>
    <n v="9.7242474112"/>
    <n v="1.8767797503616"/>
    <n v="7.847467660838401"/>
    <n v="0"/>
    <n v="0"/>
    <n v="4.942506"/>
    <n v="3.3658825725"/>
    <n v="0.557589193899782"/>
  </r>
  <r>
    <n v="255"/>
    <s v="Hosur"/>
    <x v="0"/>
    <m/>
    <n v="189287"/>
    <n v="2430128"/>
    <s v="TUB-R-AW-AUT-50.00X30.00X1.600X1.1000"/>
    <x v="0"/>
    <m/>
    <x v="1"/>
    <x v="1"/>
    <s v="HROP"/>
    <m/>
    <m/>
    <m/>
    <s v="50-30-1.6-ERW 1-FC"/>
    <s v="50-30-1.6-ERW 1-FC-1.1"/>
    <n v="1"/>
    <x v="4"/>
    <x v="4"/>
    <x v="1"/>
    <x v="0"/>
    <n v="1100"/>
    <s v="NOS"/>
    <x v="7"/>
    <n v="0"/>
    <n v="2000"/>
    <n v="4.268812416"/>
    <n v="0"/>
    <n v="4.268812416"/>
    <n v="267.6988090919196"/>
    <n v="0.5713780000000001"/>
    <n v="30.741518"/>
    <n v="9.152869411200001"/>
    <n v="0.05875806896294202"/>
  </r>
  <r>
    <n v="414"/>
    <s v="Hosur"/>
    <x v="1"/>
    <m/>
    <n v="129663"/>
    <n v="1939966"/>
    <s v="TUB-O-O-AUT-AW-PE-12.70X1.200X0.4080"/>
    <x v="0"/>
    <m/>
    <x v="0"/>
    <x v="0"/>
    <m/>
    <m/>
    <m/>
    <m/>
    <s v="12.7-0-1.2-ERW 1-PE"/>
    <s v="12.7-0-1.2-ERW 1-PE-0.408"/>
    <n v="1"/>
    <x v="0"/>
    <x v="0"/>
    <x v="0"/>
    <x v="1"/>
    <n v="408"/>
    <s v="NOS"/>
    <x v="4"/>
    <n v="0"/>
    <n v="10000"/>
    <n v="1.387837296"/>
    <n v="0"/>
    <n v="1.387837296"/>
    <n v="0"/>
    <n v="0"/>
    <n v="0.507771"/>
    <n v="4.268812416"/>
    <n v="0"/>
  </r>
  <r>
    <n v="432"/>
    <s v="Hosur"/>
    <x v="1"/>
    <m/>
    <n v="129663"/>
    <n v="1939974"/>
    <s v="TUB-O-O-AUT-AW-PE-12.70X1.200X0.7720"/>
    <x v="0"/>
    <m/>
    <x v="0"/>
    <x v="0"/>
    <m/>
    <m/>
    <m/>
    <m/>
    <s v="12.7-0-1.2-ERW 1-PE"/>
    <s v="12.7-0-1.2-ERW 1-PE-0.772"/>
    <n v="1"/>
    <x v="0"/>
    <x v="0"/>
    <x v="0"/>
    <x v="1"/>
    <n v="772"/>
    <s v="NOS"/>
    <x v="4"/>
    <n v="0"/>
    <n v="10000"/>
    <n v="2.626005864"/>
    <n v="0"/>
    <n v="2.626005864"/>
    <n v="135.8945937220497"/>
    <n v="0.035686"/>
    <n v="0.507771"/>
    <n v="1.352151296"/>
    <n v="0.02571338881211332"/>
  </r>
  <r>
    <n v="412"/>
    <s v="Hosur"/>
    <x v="1"/>
    <m/>
    <n v="129663"/>
    <s v="NO MATERIAL CODE"/>
    <m/>
    <x v="1"/>
    <m/>
    <x v="0"/>
    <x v="1"/>
    <m/>
    <m/>
    <m/>
    <m/>
    <s v="12.7-0-1.6--PE"/>
    <m/>
    <m/>
    <x v="0"/>
    <x v="0"/>
    <x v="0"/>
    <x v="0"/>
    <n v="252"/>
    <m/>
    <x v="5"/>
    <e v="#N/A"/>
    <e v="#N/A"/>
    <n v="0"/>
    <e v="#N/A"/>
    <e v="#N/A"/>
    <e v="#DIV/0!"/>
    <n v="0"/>
    <n v="0"/>
    <n v="2.626005864"/>
    <m/>
  </r>
  <r>
    <n v="435"/>
    <s v="Hosur"/>
    <x v="1"/>
    <m/>
    <n v="129663"/>
    <n v="3172238"/>
    <s v="TUB-O-N-AUT-AW-PE-12.70X1.600X0.9500"/>
    <x v="0"/>
    <m/>
    <x v="0"/>
    <x v="0"/>
    <s v="HROP"/>
    <m/>
    <m/>
    <m/>
    <s v="12.7-0-1.6-ERW 1-PE"/>
    <s v="12.7-0-1.6-ERW 1-PE-0.95"/>
    <n v="2"/>
    <x v="0"/>
    <x v="0"/>
    <x v="0"/>
    <x v="0"/>
    <n v="950"/>
    <s v="NOS"/>
    <x v="4"/>
    <n v="0"/>
    <n v="10000"/>
    <n v="4.15877928"/>
    <n v="0"/>
    <n v="4.15877928"/>
    <n v="209.8259949010807"/>
    <n v="0.08726199999999999"/>
    <n v="11.937059"/>
    <n v="-0.08726199999999999"/>
    <e v="#DIV/0!"/>
  </r>
  <r>
    <n v="436"/>
    <s v="Hosur"/>
    <x v="1"/>
    <m/>
    <n v="129663"/>
    <n v="1940014"/>
    <s v="TUB-O-O-GEN-AW-PE-12.70X1.600X6.0000"/>
    <x v="0"/>
    <m/>
    <x v="0"/>
    <x v="1"/>
    <m/>
    <m/>
    <m/>
    <m/>
    <s v="12.7-0-1.6-ERW 1-PE"/>
    <m/>
    <m/>
    <x v="0"/>
    <x v="0"/>
    <x v="0"/>
    <x v="0"/>
    <n v="6000"/>
    <m/>
    <x v="5"/>
    <e v="#N/A"/>
    <e v="#N/A"/>
    <n v="0"/>
    <e v="#N/A"/>
    <e v="#N/A"/>
    <e v="#DIV/0!"/>
    <n v="0"/>
    <n v="11.937059"/>
    <n v="4.15877928"/>
    <e v="#N/A"/>
  </r>
  <r>
    <n v="464"/>
    <s v="Khopoli "/>
    <x v="1"/>
    <m/>
    <n v="129663"/>
    <n v="2410389"/>
    <s v="TUB-O-C-AUT-AN-FC-14.00X1.600X04-05"/>
    <x v="2"/>
    <m/>
    <x v="2"/>
    <x v="0"/>
    <s v="KGR2"/>
    <m/>
    <m/>
    <m/>
    <s v="14-0-1.6-CEW-CEW"/>
    <s v="14-0-1.6-CEW-CEW"/>
    <n v="1"/>
    <x v="5"/>
    <x v="5"/>
    <x v="0"/>
    <x v="0"/>
    <n v="1000"/>
    <s v="M"/>
    <x v="7"/>
    <n v="0"/>
    <n v="2000"/>
    <n v="0.9780723200000001"/>
    <n v="0"/>
    <n v="0.9780723200000001"/>
    <n v="896.9868404005135"/>
    <n v="0.438659"/>
    <n v="0.438659"/>
    <n v="-0.438659"/>
    <e v="#DIV/0!"/>
  </r>
  <r>
    <n v="437"/>
    <s v="Hosur"/>
    <x v="1"/>
    <m/>
    <n v="129663"/>
    <n v="1900224"/>
    <s v="TUB-O-O-AUT-AW-PE-15.88X1.6.000X6.0000"/>
    <x v="0"/>
    <m/>
    <x v="0"/>
    <x v="0"/>
    <s v="HROP"/>
    <m/>
    <m/>
    <m/>
    <s v="15.88-0-1.6-ERW 1-PE"/>
    <s v="15.88-0-1.6-ERW 1-PE-1"/>
    <n v="0"/>
    <x v="1"/>
    <x v="1"/>
    <x v="0"/>
    <x v="0"/>
    <n v="1000"/>
    <s v="M"/>
    <x v="8"/>
    <n v="0"/>
    <n v="9000"/>
    <n v="5.068623167999999"/>
    <n v="0"/>
    <n v="5.068623167999999"/>
    <n v="0"/>
    <n v="0"/>
    <n v="15.499108"/>
    <n v="0.9780723200000001"/>
    <n v="0"/>
  </r>
  <r>
    <n v="459"/>
    <s v="Hosur"/>
    <x v="1"/>
    <m/>
    <n v="129663"/>
    <n v="468311"/>
    <s v="TUB-O-N-AUT-AW-PE-15.88X2.000X0.291"/>
    <x v="1"/>
    <m/>
    <x v="0"/>
    <x v="1"/>
    <m/>
    <m/>
    <m/>
    <m/>
    <s v="15.88-0-2--PE"/>
    <m/>
    <m/>
    <x v="1"/>
    <x v="1"/>
    <x v="0"/>
    <x v="3"/>
    <n v="291"/>
    <m/>
    <x v="5"/>
    <e v="#N/A"/>
    <e v="#N/A"/>
    <n v="0"/>
    <e v="#N/A"/>
    <e v="#N/A"/>
    <e v="#DIV/0!"/>
    <n v="0"/>
    <n v="0"/>
    <n v="5.068623167999999"/>
    <e v="#N/A"/>
  </r>
  <r>
    <n v="429"/>
    <s v="Khopoli "/>
    <x v="1"/>
    <m/>
    <n v="129663"/>
    <n v="3188792"/>
    <s v="TUB-O-C-AUT-AD-FC-16.00X2.800X04-06"/>
    <x v="2"/>
    <m/>
    <x v="2"/>
    <x v="1"/>
    <m/>
    <m/>
    <m/>
    <m/>
    <s v="16.1-0-2.8-CEW-CEW"/>
    <s v="16.1-0-2.8-CEW-CEW"/>
    <n v="1"/>
    <x v="6"/>
    <x v="6"/>
    <x v="0"/>
    <x v="4"/>
    <n v="1000"/>
    <s v="M"/>
    <x v="1"/>
    <n v="0"/>
    <n v="1500"/>
    <n v="1.37689314"/>
    <n v="0"/>
    <n v="1.37689314"/>
    <n v="2116.721999210484"/>
    <n v="1.943"/>
    <n v="1.943"/>
    <n v="-1.943"/>
    <e v="#DIV/0!"/>
  </r>
  <r>
    <n v="470"/>
    <s v="Hosur"/>
    <x v="1"/>
    <m/>
    <n v="129663"/>
    <n v="2410995"/>
    <s v="TUB-O-C-AUT-AD-FC-16.00X2.950X04-06"/>
    <x v="2"/>
    <m/>
    <x v="2"/>
    <x v="1"/>
    <m/>
    <m/>
    <m/>
    <m/>
    <s v="16.1-10.7-2.95-CEW-CEW"/>
    <s v="16.1-10.7-2.95-CEW-CEW"/>
    <n v="1"/>
    <x v="6"/>
    <x v="6"/>
    <x v="2"/>
    <x v="5"/>
    <n v="1000"/>
    <s v="M"/>
    <x v="9"/>
    <n v="0"/>
    <n v="1000"/>
    <n v="0.9561963325000002"/>
    <n v="0"/>
    <n v="0.9561963325000002"/>
    <n v="891.0105289490847"/>
    <n v="0.851981"/>
    <n v="0.851981"/>
    <n v="0.52491214"/>
    <n v="0.6187706040862402"/>
  </r>
  <r>
    <n v="441"/>
    <s v="Khopoli "/>
    <x v="1"/>
    <m/>
    <n v="129663"/>
    <n v="1938118"/>
    <s v="TUB-O-N-AUT-AW-PE-17.30X1.600X0.3550"/>
    <x v="0"/>
    <m/>
    <x v="0"/>
    <x v="0"/>
    <s v="D"/>
    <m/>
    <m/>
    <m/>
    <s v="17.3-0-1.6-ERW 1-PE"/>
    <s v="17.3-0-1.6-ERW 1-PE-0.355"/>
    <n v="1"/>
    <x v="7"/>
    <x v="7"/>
    <x v="0"/>
    <x v="0"/>
    <n v="355"/>
    <s v="NOS"/>
    <x v="10"/>
    <n v="0"/>
    <n v="25000"/>
    <n v="5.495248060000001"/>
    <n v="0"/>
    <n v="5.495248060000001"/>
    <n v="0"/>
    <n v="0"/>
    <n v="3.231416"/>
    <n v="0.9561963325000002"/>
    <n v="0"/>
  </r>
  <r>
    <n v="442"/>
    <s v="Khopoli "/>
    <x v="1"/>
    <m/>
    <n v="129663"/>
    <n v="1938382"/>
    <s v="TUB-O-N-AUT-AW-PE-17.30X1.600X0.3870"/>
    <x v="0"/>
    <m/>
    <x v="0"/>
    <x v="1"/>
    <m/>
    <m/>
    <m/>
    <m/>
    <s v="17.3-0-1.6-ERW 1-PE"/>
    <s v="17.3-0-1.6-ERW 1-PE-0.385"/>
    <n v="0"/>
    <x v="7"/>
    <x v="7"/>
    <x v="0"/>
    <x v="0"/>
    <n v="385"/>
    <s v="NOS"/>
    <x v="11"/>
    <n v="0"/>
    <n v="3000"/>
    <n v="0.7151562263999999"/>
    <n v="0"/>
    <n v="0.7151562263999999"/>
    <n v="0"/>
    <n v="0"/>
    <n v="3.231416"/>
    <n v="5.495248060000001"/>
    <n v="0"/>
  </r>
  <r>
    <n v="454"/>
    <s v="Khopoli "/>
    <x v="1"/>
    <m/>
    <n v="129663"/>
    <n v="1938382"/>
    <s v="TUB-O-N-AUT-AW-PE-17.30X1.600X0.3870"/>
    <x v="2"/>
    <m/>
    <x v="3"/>
    <x v="1"/>
    <m/>
    <m/>
    <m/>
    <m/>
    <s v="17.3-0-1.6-CEW-"/>
    <m/>
    <m/>
    <x v="7"/>
    <x v="7"/>
    <x v="0"/>
    <x v="0"/>
    <n v="387"/>
    <m/>
    <x v="5"/>
    <e v="#N/A"/>
    <e v="#N/A"/>
    <n v="0"/>
    <e v="#N/A"/>
    <e v="#N/A"/>
    <e v="#DIV/0!"/>
    <n v="0"/>
    <n v="0"/>
    <n v="0.7151562263999999"/>
    <e v="#N/A"/>
  </r>
  <r>
    <n v="440"/>
    <s v="Khopoli "/>
    <x v="1"/>
    <m/>
    <n v="129663"/>
    <n v="1938119"/>
    <s v="TUB-O-N-AUT-AW-PE-17.30X1.600X0.4000"/>
    <x v="0"/>
    <m/>
    <x v="0"/>
    <x v="0"/>
    <s v="D"/>
    <m/>
    <m/>
    <m/>
    <s v="17.3-0-1.6-ERW 1-PE"/>
    <s v="17.3-0-1.6-ERW 1-PE-0.4"/>
    <n v="1"/>
    <x v="7"/>
    <x v="7"/>
    <x v="0"/>
    <x v="0"/>
    <n v="400"/>
    <s v="NOS"/>
    <x v="4"/>
    <n v="0"/>
    <n v="10000"/>
    <n v="2.47673152"/>
    <n v="0"/>
    <n v="2.47673152"/>
    <n v="0"/>
    <n v="0"/>
    <n v="3.231416"/>
    <n v="0"/>
    <e v="#DIV/0!"/>
  </r>
  <r>
    <n v="448"/>
    <s v="Hosur"/>
    <x v="1"/>
    <m/>
    <n v="129663"/>
    <n v="3510169"/>
    <s v="CUT-O-N-AUT-AW-FC-19.05X1.600X0.2380"/>
    <x v="1"/>
    <m/>
    <x v="3"/>
    <x v="1"/>
    <m/>
    <m/>
    <m/>
    <m/>
    <s v="19.05-0-1.6--"/>
    <m/>
    <m/>
    <x v="2"/>
    <x v="2"/>
    <x v="0"/>
    <x v="0"/>
    <n v="238"/>
    <m/>
    <x v="5"/>
    <e v="#N/A"/>
    <e v="#N/A"/>
    <n v="0"/>
    <e v="#N/A"/>
    <e v="#N/A"/>
    <e v="#DIV/0!"/>
    <n v="0"/>
    <n v="0"/>
    <n v="2.47673152"/>
    <e v="#N/A"/>
  </r>
  <r>
    <n v="452"/>
    <s v="Hosur"/>
    <x v="1"/>
    <m/>
    <n v="129663"/>
    <n v="464578"/>
    <s v="PT2-O-N-AUT-AW-PE-19.05X1.600X0.310"/>
    <x v="1"/>
    <m/>
    <x v="3"/>
    <x v="1"/>
    <m/>
    <m/>
    <m/>
    <m/>
    <s v="19.05-0-1.6--"/>
    <m/>
    <m/>
    <x v="2"/>
    <x v="2"/>
    <x v="0"/>
    <x v="0"/>
    <n v="310"/>
    <m/>
    <x v="5"/>
    <e v="#N/A"/>
    <e v="#N/A"/>
    <n v="0"/>
    <e v="#N/A"/>
    <e v="#N/A"/>
    <e v="#DIV/0!"/>
    <n v="0"/>
    <n v="0"/>
    <n v="0"/>
    <e v="#N/A"/>
  </r>
  <r>
    <n v="466"/>
    <s v="Hosur"/>
    <x v="1"/>
    <m/>
    <n v="129663"/>
    <n v="3453631"/>
    <s v="TUB-O-N-AUT-AW-FC-19.05X1.600X0.3500"/>
    <x v="1"/>
    <m/>
    <x v="3"/>
    <x v="1"/>
    <m/>
    <m/>
    <m/>
    <m/>
    <s v="19.05-0-1.6--"/>
    <m/>
    <m/>
    <x v="2"/>
    <x v="2"/>
    <x v="0"/>
    <x v="0"/>
    <n v="350"/>
    <m/>
    <x v="5"/>
    <e v="#N/A"/>
    <e v="#N/A"/>
    <n v="0"/>
    <e v="#N/A"/>
    <e v="#N/A"/>
    <e v="#DIV/0!"/>
    <n v="0"/>
    <n v="0"/>
    <n v="0"/>
    <e v="#N/A"/>
  </r>
  <r>
    <n v="447"/>
    <s v="Hosur"/>
    <x v="1"/>
    <m/>
    <n v="129663"/>
    <n v="1531612"/>
    <s v="TUB-O-N-AUT-AW-PE-19.05X1.600X0.3800"/>
    <x v="1"/>
    <m/>
    <x v="3"/>
    <x v="1"/>
    <m/>
    <m/>
    <m/>
    <m/>
    <s v="19.05-0-1.6--"/>
    <m/>
    <m/>
    <x v="2"/>
    <x v="2"/>
    <x v="0"/>
    <x v="0"/>
    <n v="380"/>
    <m/>
    <x v="5"/>
    <e v="#N/A"/>
    <e v="#N/A"/>
    <n v="0"/>
    <e v="#N/A"/>
    <e v="#N/A"/>
    <e v="#DIV/0!"/>
    <n v="0"/>
    <n v="0"/>
    <n v="0"/>
    <e v="#N/A"/>
  </r>
  <r>
    <n v="467"/>
    <s v="Hosur"/>
    <x v="1"/>
    <m/>
    <n v="129663"/>
    <n v="3510171"/>
    <s v="CUT-O-N-AUT-AW-FC-19.05X1.600X0.4690"/>
    <x v="1"/>
    <m/>
    <x v="3"/>
    <x v="1"/>
    <m/>
    <m/>
    <m/>
    <m/>
    <s v="19.05-0-1.6--"/>
    <m/>
    <m/>
    <x v="2"/>
    <x v="2"/>
    <x v="0"/>
    <x v="0"/>
    <n v="469"/>
    <m/>
    <x v="5"/>
    <e v="#N/A"/>
    <e v="#N/A"/>
    <n v="0"/>
    <e v="#N/A"/>
    <e v="#N/A"/>
    <e v="#DIV/0!"/>
    <n v="0"/>
    <n v="0"/>
    <n v="0"/>
    <e v="#N/A"/>
  </r>
  <r>
    <n v="449"/>
    <s v="Hosur"/>
    <x v="1"/>
    <m/>
    <n v="129663"/>
    <n v="3213875"/>
    <s v="TUB-O-N-AUT-AW-PE-19.05X1.60X0.485-MAHS"/>
    <x v="1"/>
    <m/>
    <x v="3"/>
    <x v="1"/>
    <m/>
    <m/>
    <m/>
    <m/>
    <s v="19.05-0-1.6--"/>
    <m/>
    <m/>
    <x v="2"/>
    <x v="2"/>
    <x v="0"/>
    <x v="0"/>
    <n v="485"/>
    <m/>
    <x v="5"/>
    <e v="#N/A"/>
    <e v="#N/A"/>
    <n v="0"/>
    <e v="#N/A"/>
    <e v="#N/A"/>
    <e v="#DIV/0!"/>
    <n v="0"/>
    <n v="0"/>
    <n v="0"/>
    <e v="#N/A"/>
  </r>
  <r>
    <n v="469"/>
    <s v="Hosur"/>
    <x v="1"/>
    <m/>
    <n v="129663"/>
    <n v="319456"/>
    <s v="PT2-O-N-AUT-AW-PE-19.05X1.630X0.336"/>
    <x v="1"/>
    <m/>
    <x v="3"/>
    <x v="1"/>
    <m/>
    <m/>
    <m/>
    <m/>
    <s v="19.05-0-1.63--"/>
    <m/>
    <m/>
    <x v="2"/>
    <x v="2"/>
    <x v="0"/>
    <x v="6"/>
    <n v="336"/>
    <m/>
    <x v="5"/>
    <e v="#N/A"/>
    <e v="#N/A"/>
    <n v="0"/>
    <e v="#N/A"/>
    <e v="#N/A"/>
    <e v="#DIV/0!"/>
    <n v="0"/>
    <n v="0"/>
    <n v="0"/>
    <e v="#N/A"/>
  </r>
  <r>
    <n v="433"/>
    <s v="Hosur"/>
    <x v="1"/>
    <m/>
    <n v="129663"/>
    <n v="1940284"/>
    <s v="TUB-O-O-AUT-AW-PE-19.05X2.000X0.7850"/>
    <x v="0"/>
    <m/>
    <x v="0"/>
    <x v="1"/>
    <m/>
    <m/>
    <m/>
    <m/>
    <s v="19.05-0-2-ERW 1-PE"/>
    <s v="19.05-0-2-ERW 1-PE-0.785"/>
    <n v="3"/>
    <x v="2"/>
    <x v="2"/>
    <x v="0"/>
    <x v="3"/>
    <n v="785"/>
    <s v="NOS"/>
    <x v="7"/>
    <n v="0"/>
    <n v="2000"/>
    <n v="1.319633513"/>
    <n v="0"/>
    <n v="1.319633513"/>
    <n v="26.94687551482334"/>
    <n v="0.01778"/>
    <n v="96.99589900000001"/>
    <n v="-0.01778"/>
    <e v="#DIV/0!"/>
  </r>
  <r>
    <n v="434"/>
    <s v="Hosur"/>
    <x v="1"/>
    <m/>
    <n v="129663"/>
    <n v="1937438"/>
    <s v="TUB-O-N-AUT-AW-PE-19.05X2.030X0.8300"/>
    <x v="0"/>
    <m/>
    <x v="0"/>
    <x v="1"/>
    <m/>
    <m/>
    <m/>
    <m/>
    <s v="19.05-0-2-ERW 1-PE"/>
    <s v="19.05-0-2-ERW 1-PE-0.83"/>
    <n v="5"/>
    <x v="2"/>
    <x v="2"/>
    <x v="0"/>
    <x v="3"/>
    <n v="830"/>
    <s v="NOS"/>
    <x v="7"/>
    <n v="0"/>
    <n v="2000"/>
    <n v="1.395281294"/>
    <n v="0"/>
    <n v="1.395281294"/>
    <n v="0"/>
    <n v="0"/>
    <n v="96.99589900000001"/>
    <n v="1.319633513"/>
    <n v="0"/>
  </r>
  <r>
    <n v="430"/>
    <s v="Hosur"/>
    <x v="1"/>
    <m/>
    <n v="129663"/>
    <n v="2427712"/>
    <s v="TUB-O-N-AUT-AW-PE-19.05X2.300X0.2550"/>
    <x v="0"/>
    <m/>
    <x v="0"/>
    <x v="1"/>
    <m/>
    <m/>
    <m/>
    <m/>
    <s v="19.05-0-2.3-ERW 1-PE"/>
    <s v="19.05-0-2.3-ERW 1-PE-0.255"/>
    <n v="3"/>
    <x v="2"/>
    <x v="2"/>
    <x v="0"/>
    <x v="7"/>
    <n v="255"/>
    <s v="NOS"/>
    <x v="8"/>
    <n v="0"/>
    <n v="9000"/>
    <n v="2.179338253875"/>
    <n v="0"/>
    <n v="2.179338253875"/>
    <n v="40.29342386105645"/>
    <n v="0.009757"/>
    <n v="41.16220000000001"/>
    <n v="1.385524294"/>
    <n v="0.006992855162580571"/>
  </r>
  <r>
    <n v="425"/>
    <s v="Hosur"/>
    <x v="1"/>
    <m/>
    <n v="129663"/>
    <n v="2427711"/>
    <s v="TUB-O-N-AUT-AW-PE-19.05X2.300X0.2850"/>
    <x v="0"/>
    <m/>
    <x v="0"/>
    <x v="1"/>
    <m/>
    <m/>
    <m/>
    <m/>
    <s v="19.05-0-2.3-ERW 1-PE"/>
    <s v="19.05-0-2.3-ERW 1-PE-0.285"/>
    <n v="1"/>
    <x v="2"/>
    <x v="2"/>
    <x v="0"/>
    <x v="7"/>
    <n v="285"/>
    <s v="NOS"/>
    <x v="12"/>
    <n v="0"/>
    <n v="6000"/>
    <n v="1.62382065975"/>
    <n v="0"/>
    <n v="1.62382065975"/>
    <n v="48.5595496808988"/>
    <n v="0.013142"/>
    <n v="41.16220000000001"/>
    <n v="2.166196253874999"/>
    <n v="0.006030270875405735"/>
  </r>
  <r>
    <n v="428"/>
    <s v="Hosur"/>
    <x v="1"/>
    <m/>
    <n v="129663"/>
    <n v="1940313"/>
    <s v="TUB-O-O-AUT-AW-PE-19.05X2.300X0.3030"/>
    <x v="0"/>
    <m/>
    <x v="0"/>
    <x v="1"/>
    <m/>
    <m/>
    <m/>
    <m/>
    <s v="19.05-0-2.3-ERW 1-PE"/>
    <s v="19.05-0-2.3-ERW 1-PE-0.303"/>
    <n v="2"/>
    <x v="2"/>
    <x v="2"/>
    <x v="0"/>
    <x v="7"/>
    <n v="303"/>
    <s v="NOS"/>
    <x v="13"/>
    <n v="0"/>
    <n v="11000"/>
    <n v="3.165025882424999"/>
    <n v="0"/>
    <n v="3.165025882424999"/>
    <n v="447.896179260895"/>
    <n v="0.128873"/>
    <n v="41.16220000000001"/>
    <n v="1.49494765975"/>
    <n v="0.07936405983394805"/>
  </r>
  <r>
    <n v="439"/>
    <s v="Hosur"/>
    <x v="1"/>
    <m/>
    <n v="129663"/>
    <n v="1940363"/>
    <s v="TUB-O-O-AUT-AW-PE-22.23X1.200X1.1620"/>
    <x v="0"/>
    <m/>
    <x v="0"/>
    <x v="0"/>
    <m/>
    <m/>
    <m/>
    <m/>
    <s v="22.23-0-1.2-ERW 1-PE"/>
    <s v="22.23-0-1.2-ERW 1-PE-1.162"/>
    <n v="1"/>
    <x v="8"/>
    <x v="8"/>
    <x v="0"/>
    <x v="1"/>
    <n v="1162"/>
    <s v="NOS"/>
    <x v="7"/>
    <n v="4280"/>
    <n v="-2280"/>
    <n v="1.445625989136"/>
    <n v="3.09363961675104"/>
    <n v="-1.64801362761504"/>
    <n v="798.2700979868972"/>
    <n v="0.577"/>
    <n v="6.255843"/>
    <n v="2.588025882424999"/>
    <n v="1.159750268436556"/>
  </r>
  <r>
    <n v="460"/>
    <s v="Hosur"/>
    <x v="1"/>
    <m/>
    <n v="129663"/>
    <n v="3599863"/>
    <s v="TUB-O-N-AUT-AW-PE-22.23X1.600X0.9450"/>
    <x v="0"/>
    <m/>
    <x v="0"/>
    <x v="0"/>
    <s v="HROP"/>
    <m/>
    <m/>
    <m/>
    <s v="22.23-0-1.6-ERW 1-PE"/>
    <s v="22.23-0-1.6-ERW 1-PE-0.945"/>
    <n v="2"/>
    <x v="8"/>
    <x v="8"/>
    <x v="0"/>
    <x v="0"/>
    <n v="945"/>
    <s v="NOS"/>
    <x v="14"/>
    <n v="0"/>
    <n v="2500"/>
    <n v="1.9221635286"/>
    <n v="0"/>
    <n v="1.9221635286"/>
    <n v="1577.052344868843"/>
    <n v="1.212541"/>
    <n v="68.25120299999999"/>
    <n v="0.2330849891360001"/>
    <n v="0.8387653577843417"/>
  </r>
  <r>
    <n v="458"/>
    <s v="Hosur"/>
    <x v="1"/>
    <m/>
    <n v="129663"/>
    <n v="288719"/>
    <s v="PT2-O-N-AUT-AW-PE-22.20X2.000X0.715"/>
    <x v="0"/>
    <m/>
    <x v="3"/>
    <x v="1"/>
    <m/>
    <m/>
    <m/>
    <m/>
    <s v="22.23-0-2-ERW 1-"/>
    <m/>
    <m/>
    <x v="8"/>
    <x v="8"/>
    <x v="0"/>
    <x v="3"/>
    <n v="715"/>
    <m/>
    <x v="5"/>
    <e v="#N/A"/>
    <e v="#N/A"/>
    <n v="0"/>
    <e v="#N/A"/>
    <e v="#N/A"/>
    <e v="#DIV/0!"/>
    <n v="0"/>
    <n v="0"/>
    <n v="1.9221635286"/>
    <e v="#N/A"/>
  </r>
  <r>
    <n v="455"/>
    <s v="Hosur"/>
    <x v="1"/>
    <m/>
    <n v="129663"/>
    <n v="1413976"/>
    <s v="TUB-O-N-AUT-AH-PE-25.40X2.000X0.3150 HST"/>
    <x v="1"/>
    <m/>
    <x v="3"/>
    <x v="1"/>
    <m/>
    <m/>
    <m/>
    <m/>
    <s v="25.4-0-2--"/>
    <m/>
    <m/>
    <x v="3"/>
    <x v="3"/>
    <x v="0"/>
    <x v="3"/>
    <n v="315"/>
    <m/>
    <x v="5"/>
    <e v="#N/A"/>
    <e v="#N/A"/>
    <n v="0"/>
    <e v="#N/A"/>
    <e v="#N/A"/>
    <e v="#DIV/0!"/>
    <n v="0"/>
    <n v="0"/>
    <n v="0"/>
    <e v="#N/A"/>
  </r>
  <r>
    <n v="413"/>
    <s v="Hosur"/>
    <x v="1"/>
    <m/>
    <n v="129663"/>
    <n v="1940588"/>
    <s v="TUB-O-O-AUT-AW-FC-25.40X2.000X0.3550"/>
    <x v="0"/>
    <m/>
    <x v="1"/>
    <x v="1"/>
    <m/>
    <m/>
    <m/>
    <m/>
    <s v="25.4-0-2-ERW 1-FC"/>
    <s v="25.4-0-2-ERW 1-FC-0.355"/>
    <n v="1"/>
    <x v="3"/>
    <x v="3"/>
    <x v="0"/>
    <x v="3"/>
    <n v="355"/>
    <s v="NOS"/>
    <x v="5"/>
    <n v="0"/>
    <n v="0"/>
    <n v="0"/>
    <n v="0"/>
    <n v="0"/>
    <e v="#DIV/0!"/>
    <n v="0.8386940000000001"/>
    <n v="18.57959"/>
    <n v="-0.8386940000000001"/>
    <e v="#DIV/0!"/>
  </r>
  <r>
    <n v="446"/>
    <s v="Hosur"/>
    <x v="1"/>
    <m/>
    <n v="129663"/>
    <n v="1482265"/>
    <s v="TUB-O-N-AUT-AW-PE-25.40X2.000X0.4780"/>
    <x v="1"/>
    <m/>
    <x v="3"/>
    <x v="1"/>
    <m/>
    <m/>
    <m/>
    <m/>
    <s v="25.4-0-2--"/>
    <m/>
    <m/>
    <x v="3"/>
    <x v="3"/>
    <x v="0"/>
    <x v="3"/>
    <n v="478"/>
    <m/>
    <x v="5"/>
    <e v="#N/A"/>
    <e v="#N/A"/>
    <n v="0"/>
    <e v="#N/A"/>
    <e v="#N/A"/>
    <e v="#DIV/0!"/>
    <n v="0"/>
    <n v="0"/>
    <n v="0"/>
    <e v="#N/A"/>
  </r>
  <r>
    <n v="457"/>
    <s v="Hosur"/>
    <x v="1"/>
    <m/>
    <n v="129663"/>
    <n v="3218520"/>
    <s v="TUB-O-N-AUT-AW-PE-25.40X2.000X0.4960"/>
    <x v="1"/>
    <m/>
    <x v="3"/>
    <x v="1"/>
    <m/>
    <m/>
    <m/>
    <m/>
    <s v="25.4-0-2--"/>
    <m/>
    <m/>
    <x v="3"/>
    <x v="3"/>
    <x v="0"/>
    <x v="3"/>
    <n v="496"/>
    <m/>
    <x v="5"/>
    <e v="#N/A"/>
    <e v="#N/A"/>
    <n v="0"/>
    <e v="#N/A"/>
    <e v="#N/A"/>
    <e v="#DIV/0!"/>
    <n v="0"/>
    <n v="0"/>
    <n v="0"/>
    <e v="#N/A"/>
  </r>
  <r>
    <n v="419"/>
    <s v="Hosur"/>
    <x v="1"/>
    <m/>
    <n v="129663"/>
    <n v="3727212"/>
    <s v="TUB-O-N-AUT-AW-FC-28.58X1.600X0.2150"/>
    <x v="0"/>
    <m/>
    <x v="1"/>
    <x v="0"/>
    <s v="HROP"/>
    <m/>
    <m/>
    <m/>
    <s v="28.58-0-1.6-ERW 1-FC"/>
    <s v="28.58-0-1.6-ERW 1-FC-0.215"/>
    <n v="1"/>
    <x v="9"/>
    <x v="9"/>
    <x v="0"/>
    <x v="0"/>
    <n v="215"/>
    <s v="NOS"/>
    <x v="4"/>
    <n v="0"/>
    <n v="10000"/>
    <n v="2.2877032688"/>
    <n v="0"/>
    <n v="2.2877032688"/>
    <n v="0"/>
    <n v="0"/>
    <n v="14.420924"/>
    <n v="0"/>
    <e v="#DIV/0!"/>
  </r>
  <r>
    <n v="416"/>
    <s v="Hosur"/>
    <x v="1"/>
    <m/>
    <n v="129663"/>
    <n v="3598957"/>
    <s v="TUB-O-N-AUT-AW-FC-28.58X1.600X0.4140"/>
    <x v="0"/>
    <m/>
    <x v="1"/>
    <x v="0"/>
    <s v="HROP"/>
    <m/>
    <m/>
    <m/>
    <s v="28.58-0-1.6-ERW 1-FC"/>
    <s v="28.58-0-1.6-ERW 1-FC-0.414"/>
    <n v="1"/>
    <x v="9"/>
    <x v="9"/>
    <x v="0"/>
    <x v="0"/>
    <n v="414"/>
    <s v="NOS"/>
    <x v="15"/>
    <n v="0"/>
    <n v="12500"/>
    <n v="5.506448565599999"/>
    <n v="0"/>
    <n v="5.506448565599999"/>
    <n v="3954.043561946461"/>
    <n v="1.741819"/>
    <n v="14.420924"/>
    <m/>
    <m/>
  </r>
  <r>
    <n v="410"/>
    <s v="Hosur"/>
    <x v="1"/>
    <m/>
    <n v="129663"/>
    <n v="2397074"/>
    <s v="TUB-O-N-AUT-AW-FC-28.58X2.000X0.4690"/>
    <x v="0"/>
    <m/>
    <x v="3"/>
    <x v="1"/>
    <m/>
    <m/>
    <m/>
    <m/>
    <s v="28.58-0-2-ERW 1-"/>
    <m/>
    <m/>
    <x v="9"/>
    <x v="9"/>
    <x v="0"/>
    <x v="3"/>
    <n v="469"/>
    <m/>
    <x v="5"/>
    <e v="#N/A"/>
    <e v="#N/A"/>
    <n v="0"/>
    <e v="#N/A"/>
    <e v="#N/A"/>
    <e v="#DIV/0!"/>
    <n v="0"/>
    <n v="0"/>
    <e v="#REF!"/>
    <e v="#N/A"/>
  </r>
  <r>
    <n v="415"/>
    <s v="Hosur"/>
    <x v="1"/>
    <m/>
    <n v="129663"/>
    <m/>
    <s v="TUB-O-N-AUT-AW-FC-28.58X2.000X0.475"/>
    <x v="0"/>
    <m/>
    <x v="1"/>
    <x v="1"/>
    <m/>
    <m/>
    <m/>
    <m/>
    <s v="28.58-0-2-ERW 1-FC"/>
    <s v="28.58-0-2-ERW 1-FC-0.475"/>
    <n v="1"/>
    <x v="9"/>
    <x v="9"/>
    <x v="0"/>
    <x v="3"/>
    <n v="475"/>
    <s v="NOS"/>
    <x v="16"/>
    <n v="0"/>
    <n v="7500"/>
    <n v="4.668089242499998"/>
    <n v="0"/>
    <n v="4.668089242499998"/>
    <n v="0"/>
    <n v="0"/>
    <n v="6.799"/>
    <n v="0"/>
    <e v="#DIV/0!"/>
  </r>
  <r>
    <n v="451"/>
    <s v="Khopoli "/>
    <x v="1"/>
    <m/>
    <n v="129663"/>
    <n v="3617058"/>
    <s v="TUB-O-C-AUT-AD-FC-28.60X2.650X0.2090"/>
    <x v="2"/>
    <m/>
    <x v="2"/>
    <x v="1"/>
    <m/>
    <m/>
    <m/>
    <m/>
    <s v="28.6-0-2.65-CEW-CEW"/>
    <s v="28.6-0-2.65-CEW-CEW-0.209"/>
    <n v="1"/>
    <x v="10"/>
    <x v="10"/>
    <x v="0"/>
    <x v="8"/>
    <n v="209"/>
    <s v="NOS"/>
    <x v="15"/>
    <n v="0"/>
    <n v="12500"/>
    <n v="4.428318405843751"/>
    <n v="0"/>
    <n v="4.428318405843751"/>
    <n v="1999.136396406714"/>
    <n v="0.708225"/>
    <n v="63.37451999999998"/>
    <n v="3.959864242499998"/>
    <n v="0.1517162511701918"/>
  </r>
  <r>
    <n v="462"/>
    <s v="Khopoli "/>
    <x v="1"/>
    <m/>
    <n v="129663"/>
    <n v="2410388"/>
    <s v="TUB-O-C-AUT-AD-FC-28.60X2.650X04-05"/>
    <x v="2"/>
    <m/>
    <x v="2"/>
    <x v="1"/>
    <m/>
    <m/>
    <m/>
    <m/>
    <s v="28.6-0-2.65-CEW-CEW"/>
    <s v="28.6-0-2.65-CEW-CEW"/>
    <n v="2"/>
    <x v="10"/>
    <x v="10"/>
    <x v="0"/>
    <x v="8"/>
    <n v="1000"/>
    <s v="M"/>
    <x v="17"/>
    <n v="0"/>
    <n v="7000"/>
    <n v="11.8653507525"/>
    <n v="0"/>
    <n v="11.8653507525"/>
    <n v="36970.17257644697"/>
    <n v="62.66629499999998"/>
    <n v="63.37451999999998"/>
    <n v="-58.23797659415624"/>
    <n v="14.15126223021893"/>
  </r>
  <r>
    <n v="443"/>
    <s v="Khopoli "/>
    <x v="1"/>
    <m/>
    <n v="129663"/>
    <n v="403039"/>
    <s v="PT3-I-C-AUT-AD-CH-31.20X3.200X0.295"/>
    <x v="1"/>
    <m/>
    <x v="3"/>
    <x v="1"/>
    <m/>
    <m/>
    <m/>
    <m/>
    <s v="37.6-31.2-3.2--"/>
    <m/>
    <m/>
    <x v="11"/>
    <x v="11"/>
    <x v="3"/>
    <x v="9"/>
    <n v="295"/>
    <m/>
    <x v="5"/>
    <e v="#N/A"/>
    <e v="#N/A"/>
    <n v="0"/>
    <e v="#N/A"/>
    <e v="#N/A"/>
    <e v="#DIV/0!"/>
    <n v="0"/>
    <n v="0"/>
    <n v="11.8653507525"/>
    <e v="#N/A"/>
  </r>
  <r>
    <n v="411"/>
    <s v="Hosur"/>
    <x v="1"/>
    <m/>
    <n v="129663"/>
    <n v="1932548"/>
    <s v="TUB-S-AW-SHS-25.00X25.00X2.000X6.0000"/>
    <x v="0"/>
    <m/>
    <x v="3"/>
    <x v="1"/>
    <m/>
    <m/>
    <m/>
    <m/>
    <s v="25-25-2-ERW 1-"/>
    <m/>
    <m/>
    <x v="12"/>
    <x v="12"/>
    <x v="4"/>
    <x v="3"/>
    <n v="6000"/>
    <m/>
    <x v="5"/>
    <e v="#N/A"/>
    <e v="#N/A"/>
    <n v="0"/>
    <e v="#N/A"/>
    <e v="#N/A"/>
    <e v="#DIV/0!"/>
    <n v="0"/>
    <n v="0"/>
    <n v="0"/>
    <e v="#N/A"/>
  </r>
  <r>
    <n v="438"/>
    <s v="Khopoli "/>
    <x v="1"/>
    <m/>
    <n v="129663"/>
    <n v="2410960"/>
    <s v="TUB-O-C-AUT-AD-FC-31.75X3.375X04-05"/>
    <x v="2"/>
    <m/>
    <x v="2"/>
    <x v="1"/>
    <m/>
    <m/>
    <m/>
    <m/>
    <s v="31.75-25-3.37-CEW-CEW"/>
    <s v="31.75-25-3.37-CEW-CEW"/>
    <n v="1"/>
    <x v="12"/>
    <x v="13"/>
    <x v="4"/>
    <x v="10"/>
    <n v="1000"/>
    <s v="M"/>
    <x v="14"/>
    <n v="0"/>
    <n v="2500"/>
    <n v="5.8936128735"/>
    <n v="0"/>
    <n v="5.8936128735"/>
    <n v="5429.089624103218"/>
    <n v="12.798781"/>
    <n v="12.798781"/>
    <n v="-12.798781"/>
    <e v="#DIV/0!"/>
  </r>
  <r>
    <n v="445"/>
    <s v="Hosur"/>
    <x v="1"/>
    <m/>
    <n v="129663"/>
    <n v="1155165"/>
    <s v="TUB-O-N-AUT-AW-PE-34.93X1.600X1.726"/>
    <x v="0"/>
    <m/>
    <x v="1"/>
    <x v="1"/>
    <m/>
    <m/>
    <m/>
    <m/>
    <s v="34.93-0-1.6-ERW 1-FC"/>
    <m/>
    <m/>
    <x v="13"/>
    <x v="14"/>
    <x v="0"/>
    <x v="0"/>
    <n v="1726"/>
    <m/>
    <x v="5"/>
    <e v="#N/A"/>
    <e v="#N/A"/>
    <n v="0"/>
    <e v="#N/A"/>
    <e v="#N/A"/>
    <e v="#DIV/0!"/>
    <n v="0"/>
    <n v="1.119148"/>
    <n v="5.8936128735"/>
    <e v="#N/A"/>
  </r>
  <r>
    <n v="456"/>
    <s v="Hosur"/>
    <x v="1"/>
    <m/>
    <n v="129663"/>
    <n v="1551280"/>
    <s v="TUB-O-N-AUT-AW-PE-34.93X2.000X0.2840"/>
    <x v="1"/>
    <m/>
    <x v="3"/>
    <x v="1"/>
    <m/>
    <m/>
    <m/>
    <m/>
    <s v="34.93-0-2--"/>
    <m/>
    <m/>
    <x v="13"/>
    <x v="14"/>
    <x v="0"/>
    <x v="3"/>
    <n v="284"/>
    <m/>
    <x v="5"/>
    <e v="#N/A"/>
    <e v="#N/A"/>
    <n v="0"/>
    <e v="#N/A"/>
    <e v="#N/A"/>
    <e v="#DIV/0!"/>
    <n v="0"/>
    <n v="0"/>
    <n v="0"/>
    <e v="#N/A"/>
  </r>
  <r>
    <n v="453"/>
    <s v="Hosur"/>
    <x v="1"/>
    <m/>
    <n v="129663"/>
    <n v="1236370"/>
    <s v="TUB-O-N-AUT-AW-FC-34.93X2.000X0.339"/>
    <x v="1"/>
    <m/>
    <x v="3"/>
    <x v="1"/>
    <m/>
    <m/>
    <m/>
    <m/>
    <s v="34.93-0-2--"/>
    <m/>
    <m/>
    <x v="13"/>
    <x v="14"/>
    <x v="0"/>
    <x v="3"/>
    <n v="339"/>
    <m/>
    <x v="5"/>
    <e v="#N/A"/>
    <e v="#N/A"/>
    <n v="0"/>
    <e v="#N/A"/>
    <e v="#N/A"/>
    <e v="#DIV/0!"/>
    <n v="0"/>
    <n v="0"/>
    <n v="0"/>
    <e v="#N/A"/>
  </r>
  <r>
    <n v="465"/>
    <s v="Hosur"/>
    <x v="1"/>
    <m/>
    <n v="129663"/>
    <n v="3210056"/>
    <s v="TUB-O-N-AUT-AW-PE-34.93X2.000X1.1750"/>
    <x v="0"/>
    <m/>
    <x v="3"/>
    <x v="1"/>
    <m/>
    <m/>
    <m/>
    <m/>
    <s v="34.93-0-2-ERW 1-"/>
    <m/>
    <m/>
    <x v="13"/>
    <x v="14"/>
    <x v="0"/>
    <x v="3"/>
    <n v="1175"/>
    <m/>
    <x v="5"/>
    <e v="#N/A"/>
    <e v="#N/A"/>
    <n v="0"/>
    <e v="#N/A"/>
    <e v="#N/A"/>
    <e v="#DIV/0!"/>
    <n v="0"/>
    <n v="0"/>
    <n v="0"/>
    <e v="#N/A"/>
  </r>
  <r>
    <n v="444"/>
    <s v="Khopoli "/>
    <x v="1"/>
    <m/>
    <n v="129663"/>
    <n v="1155164"/>
    <s v="TUB-O-N-AUT-NR-PE-34.93X2.500X1.723"/>
    <x v="0"/>
    <m/>
    <x v="1"/>
    <x v="1"/>
    <m/>
    <m/>
    <m/>
    <m/>
    <s v="34.93-0-2.5-ERW 1-FC"/>
    <m/>
    <m/>
    <x v="13"/>
    <x v="14"/>
    <x v="0"/>
    <x v="11"/>
    <n v="1723"/>
    <m/>
    <x v="5"/>
    <e v="#N/A"/>
    <e v="#N/A"/>
    <n v="0"/>
    <e v="#N/A"/>
    <e v="#N/A"/>
    <e v="#DIV/0!"/>
    <n v="0"/>
    <n v="0"/>
    <n v="0"/>
    <e v="#N/A"/>
  </r>
  <r>
    <n v="417"/>
    <s v="Hosur"/>
    <x v="1"/>
    <m/>
    <n v="129663"/>
    <n v="1940815"/>
    <s v="TUB-R-AW-RHS-40.00X20.00X1.600X0.4800"/>
    <x v="0"/>
    <m/>
    <x v="1"/>
    <x v="1"/>
    <s v="GR1"/>
    <m/>
    <m/>
    <s v="SC"/>
    <s v="40-20-1.6-ERW 1-FC"/>
    <s v="40-20-1.6-ERW 1-FC-0.48"/>
    <n v="1"/>
    <x v="14"/>
    <x v="15"/>
    <x v="5"/>
    <x v="0"/>
    <n v="480"/>
    <s v="NOS"/>
    <x v="18"/>
    <n v="0"/>
    <n v="12000"/>
    <n v="8.291529215999999"/>
    <n v="0"/>
    <n v="8.291529215999999"/>
    <n v="395.7040872109255"/>
    <n v="0.273416"/>
    <n v="4.263416"/>
    <n v="-0.273416"/>
    <e v="#DIV/0!"/>
  </r>
  <r>
    <n v="418"/>
    <s v="Hosur"/>
    <x v="1"/>
    <m/>
    <n v="129663"/>
    <n v="1940821"/>
    <s v="TUB-R-AW-RHS-40.00X25.00X1.600X0.5130"/>
    <x v="0"/>
    <m/>
    <x v="1"/>
    <x v="0"/>
    <s v="GR1"/>
    <m/>
    <m/>
    <s v="SC"/>
    <s v="40-25-1.6-ERW 1-FC"/>
    <s v="40-25-1.6-ERW 1-FC-0.513"/>
    <n v="1"/>
    <x v="15"/>
    <x v="15"/>
    <x v="4"/>
    <x v="0"/>
    <n v="513"/>
    <s v="NOS"/>
    <x v="7"/>
    <n v="0"/>
    <n v="2000"/>
    <n v="1.605603520512"/>
    <n v="0"/>
    <n v="1.605603520512"/>
    <n v="0"/>
    <n v="0"/>
    <n v="25.909101"/>
    <n v="8.291529215999999"/>
    <n v="0"/>
  </r>
  <r>
    <n v="420"/>
    <s v="Hosur"/>
    <x v="1"/>
    <m/>
    <n v="129663"/>
    <n v="1940822"/>
    <s v="TUB-R-AW-RHS-40.00X25.00X1.600X0.5360"/>
    <x v="0"/>
    <m/>
    <x v="1"/>
    <x v="0"/>
    <s v="GR1"/>
    <m/>
    <m/>
    <s v="SC"/>
    <s v="40-25-1.6-ERW 1-FC"/>
    <s v="40-25-1.6-ERW 1-FC-0.536"/>
    <n v="1"/>
    <x v="15"/>
    <x v="15"/>
    <x v="4"/>
    <x v="0"/>
    <n v="536"/>
    <s v="NOS"/>
    <x v="19"/>
    <n v="0"/>
    <n v="28000"/>
    <n v="23.486255005696"/>
    <n v="0"/>
    <n v="23.486255005696"/>
    <n v="695.3309497848591"/>
    <n v="0.58324"/>
    <n v="25.909101"/>
    <n v="1.022363520512"/>
    <n v="0.3632528158720121"/>
  </r>
  <r>
    <n v="421"/>
    <s v="Hosur"/>
    <x v="1"/>
    <m/>
    <n v="129663"/>
    <n v="1940823"/>
    <s v="TUB-R-AW-RHS-40.00X25.00X1.600X0.5600"/>
    <x v="0"/>
    <m/>
    <x v="1"/>
    <x v="0"/>
    <s v="GR1"/>
    <m/>
    <m/>
    <s v="SC"/>
    <s v="40-25-1.6-ERW 1-FC"/>
    <s v="40-25-1.6-ERW 1-FC-0.56"/>
    <n v="1"/>
    <x v="15"/>
    <x v="15"/>
    <x v="4"/>
    <x v="0"/>
    <n v="560"/>
    <s v="NOS"/>
    <x v="20"/>
    <n v="0"/>
    <n v="14000"/>
    <n v="12.26893918208"/>
    <n v="0"/>
    <n v="12.26893918208"/>
    <n v="890.1358004896815"/>
    <n v="0.780073"/>
    <n v="25.909101"/>
    <n v="22.706182005696"/>
    <n v="0.0332140224063314"/>
  </r>
  <r>
    <n v="422"/>
    <s v="Hosur"/>
    <x v="1"/>
    <m/>
    <n v="129663"/>
    <n v="1940825"/>
    <s v="TUB-R-AW-RHS-40.00X25.00X1.600X0.5850"/>
    <x v="0"/>
    <m/>
    <x v="1"/>
    <x v="0"/>
    <s v="GR1"/>
    <m/>
    <m/>
    <s v="SC"/>
    <s v="40-25-1.6-ERW 1-FC"/>
    <s v="40-25-1.6-ERW 1-FC-0.585"/>
    <n v="1"/>
    <x v="15"/>
    <x v="15"/>
    <x v="4"/>
    <x v="0"/>
    <n v="585"/>
    <s v="NOS"/>
    <x v="4"/>
    <n v="0"/>
    <n v="10000"/>
    <n v="9.154756915200002"/>
    <n v="0"/>
    <n v="9.154756915200002"/>
    <n v="1.310793952385118"/>
    <n v="0.0012"/>
    <n v="25.909101"/>
    <n v="12.26773918208"/>
    <n v="9.780796711036913e-05"/>
  </r>
  <r>
    <n v="424"/>
    <s v="Hosur"/>
    <x v="1"/>
    <m/>
    <n v="129663"/>
    <n v="1932559"/>
    <s v="TUB-R-AW-RHS-40.00X25.00X2.000X6.0000"/>
    <x v="0"/>
    <m/>
    <x v="1"/>
    <x v="1"/>
    <m/>
    <m/>
    <m/>
    <s v="SC"/>
    <s v="40-25-2-ERW 1-FC"/>
    <s v="40-25-2-ERW 1-FC-1"/>
    <n v="0"/>
    <x v="15"/>
    <x v="15"/>
    <x v="4"/>
    <x v="3"/>
    <n v="1000"/>
    <s v="M"/>
    <x v="5"/>
    <n v="0"/>
    <n v="0"/>
    <n v="0"/>
    <n v="0"/>
    <n v="0"/>
    <e v="#DIV/0!"/>
    <n v="0"/>
    <n v="7.798999999999999"/>
    <m/>
    <m/>
  </r>
  <r>
    <n v="468"/>
    <s v="Hosur"/>
    <x v="1"/>
    <m/>
    <n v="129663"/>
    <n v="3499121"/>
    <s v="TUB-N-AUT-BH-FC-42.70X4.000X0.2900"/>
    <x v="0"/>
    <s v="Annealed"/>
    <x v="1"/>
    <x v="1"/>
    <m/>
    <m/>
    <m/>
    <m/>
    <s v="42.7-0-4-ERW 1-FC"/>
    <m/>
    <m/>
    <x v="16"/>
    <x v="16"/>
    <x v="0"/>
    <x v="12"/>
    <n v="290"/>
    <m/>
    <x v="5"/>
    <e v="#N/A"/>
    <e v="#N/A"/>
    <n v="0"/>
    <e v="#N/A"/>
    <e v="#N/A"/>
    <e v="#DIV/0!"/>
    <n v="0"/>
    <n v="91.26529599999999"/>
    <n v="0"/>
    <e v="#N/A"/>
  </r>
  <r>
    <n v="423"/>
    <s v="Hosur"/>
    <x v="1"/>
    <m/>
    <n v="129663"/>
    <n v="3441727"/>
    <s v="TUB-R-AW-AUT-40.00X30.00X1.600X6.0000"/>
    <x v="0"/>
    <m/>
    <x v="1"/>
    <x v="1"/>
    <m/>
    <m/>
    <m/>
    <m/>
    <s v="40-30-1.6-ERW 1-FC"/>
    <s v="40-30-1.6-ERW 1-FC-1"/>
    <n v="0"/>
    <x v="17"/>
    <x v="15"/>
    <x v="1"/>
    <x v="0"/>
    <n v="1000"/>
    <s v="M"/>
    <x v="1"/>
    <n v="0"/>
    <n v="1500"/>
    <n v="2.53490316"/>
    <n v="0"/>
    <n v="2.53490316"/>
    <n v="0"/>
    <n v="0"/>
    <n v="23.114797"/>
    <n v="0"/>
    <e v="#DIV/0!"/>
  </r>
  <r>
    <n v="427"/>
    <s v="Hosur"/>
    <x v="1"/>
    <m/>
    <n v="129663"/>
    <n v="1940840"/>
    <s v="TUB-R-AW-RHS-40.00X30.00X2.000X6.0000"/>
    <x v="0"/>
    <m/>
    <x v="1"/>
    <x v="1"/>
    <m/>
    <m/>
    <m/>
    <m/>
    <s v="40-30-2-ERW 1-FC"/>
    <s v="40-30-2-ERW 1-FC-1"/>
    <n v="0"/>
    <x v="17"/>
    <x v="15"/>
    <x v="1"/>
    <x v="3"/>
    <n v="1000"/>
    <s v="M"/>
    <x v="11"/>
    <n v="0"/>
    <n v="3000"/>
    <n v="6.2781003"/>
    <n v="0"/>
    <n v="6.2781003"/>
    <n v="0"/>
    <n v="0"/>
    <n v="20.469457"/>
    <n v="2.53490316"/>
    <n v="0"/>
  </r>
  <r>
    <n v="463"/>
    <s v="Hosur"/>
    <x v="1"/>
    <m/>
    <n v="129663"/>
    <n v="3453634"/>
    <s v="TUB-O-N-AUT-AW-FC-48.60X2.000X0.5450"/>
    <x v="1"/>
    <m/>
    <x v="3"/>
    <x v="1"/>
    <m/>
    <m/>
    <m/>
    <m/>
    <s v="48.6-0-2--"/>
    <m/>
    <m/>
    <x v="18"/>
    <x v="17"/>
    <x v="0"/>
    <x v="3"/>
    <n v="545"/>
    <m/>
    <x v="5"/>
    <e v="#N/A"/>
    <e v="#N/A"/>
    <n v="0"/>
    <e v="#N/A"/>
    <e v="#N/A"/>
    <e v="#DIV/0!"/>
    <n v="0"/>
    <n v="0"/>
    <n v="6.2781003"/>
    <e v="#N/A"/>
  </r>
  <r>
    <n v="461"/>
    <s v="Hosur"/>
    <x v="1"/>
    <m/>
    <n v="129663"/>
    <n v="3545983"/>
    <s v="CUT-N-AUT-AW-FC-48.60X4.000X0.5950"/>
    <x v="1"/>
    <m/>
    <x v="3"/>
    <x v="1"/>
    <m/>
    <m/>
    <m/>
    <m/>
    <s v="48.6-0-4--"/>
    <m/>
    <m/>
    <x v="18"/>
    <x v="17"/>
    <x v="0"/>
    <x v="12"/>
    <n v="595"/>
    <m/>
    <x v="5"/>
    <e v="#N/A"/>
    <e v="#N/A"/>
    <n v="0"/>
    <e v="#N/A"/>
    <e v="#N/A"/>
    <e v="#DIV/0!"/>
    <n v="0"/>
    <n v="0"/>
    <n v="0"/>
    <e v="#N/A"/>
  </r>
  <r>
    <n v="431"/>
    <s v="Hosur"/>
    <x v="1"/>
    <m/>
    <n v="129663"/>
    <n v="3164112"/>
    <s v="TUB-E-AW-AUT-59.00X30.00X1.600X0.6410"/>
    <x v="0"/>
    <m/>
    <x v="4"/>
    <x v="1"/>
    <m/>
    <m/>
    <m/>
    <m/>
    <s v="59-30-1.6-ERW 1-FIN CUT"/>
    <m/>
    <m/>
    <x v="18"/>
    <x v="18"/>
    <x v="1"/>
    <x v="0"/>
    <n v="641"/>
    <m/>
    <x v="5"/>
    <e v="#N/A"/>
    <e v="#N/A"/>
    <n v="0"/>
    <e v="#N/A"/>
    <e v="#N/A"/>
    <e v="#DIV/0!"/>
    <n v="0"/>
    <n v="7.218704000000001"/>
    <n v="0"/>
    <e v="#N/A"/>
  </r>
  <r>
    <n v="426"/>
    <s v="Hosur"/>
    <x v="1"/>
    <m/>
    <n v="129663"/>
    <n v="2427158"/>
    <s v="TUB-R-AW-AUT-50.00X30.00X1.600X0.6040"/>
    <x v="0"/>
    <m/>
    <x v="1"/>
    <x v="1"/>
    <s v="HROP"/>
    <m/>
    <m/>
    <m/>
    <s v="50-30-1.6-ERW 1-FC"/>
    <s v="50-30-1.6-ERW 1-FC-0.604"/>
    <n v="1"/>
    <x v="4"/>
    <x v="4"/>
    <x v="1"/>
    <x v="0"/>
    <n v="604"/>
    <s v="NOS"/>
    <x v="21"/>
    <n v="0"/>
    <n v="34000"/>
    <n v="39.84742353408"/>
    <n v="0"/>
    <n v="39.84742353408"/>
    <n v="0"/>
    <n v="0"/>
    <n v="30.741518"/>
    <n v="0"/>
    <e v="#DIV/0!"/>
  </r>
  <r>
    <n v="450"/>
    <s v="Khopoli "/>
    <x v="1"/>
    <m/>
    <n v="129663"/>
    <n v="460176"/>
    <s v="PT4-O-N-AUT-NR-AG-57.15X2.000X0.713"/>
    <x v="1"/>
    <m/>
    <x v="3"/>
    <x v="1"/>
    <m/>
    <m/>
    <m/>
    <m/>
    <s v="57.15-0-2--"/>
    <m/>
    <m/>
    <x v="19"/>
    <x v="19"/>
    <x v="0"/>
    <x v="3"/>
    <n v="713"/>
    <m/>
    <x v="5"/>
    <e v="#N/A"/>
    <e v="#N/A"/>
    <n v="0"/>
    <e v="#N/A"/>
    <e v="#N/A"/>
    <e v="#DIV/0!"/>
    <n v="0"/>
    <n v="0"/>
    <n v="39.84742353408"/>
    <e v="#N/A"/>
  </r>
  <r>
    <n v="471"/>
    <s v="Khopoli "/>
    <x v="2"/>
    <m/>
    <n v="129663"/>
    <n v="1931823"/>
    <s v="TUB-O-N-AUT-AW-PE-17.30X1.600X6.0000"/>
    <x v="2"/>
    <m/>
    <x v="3"/>
    <x v="1"/>
    <m/>
    <m/>
    <m/>
    <m/>
    <s v="17.3-0-1.6-CEW-"/>
    <m/>
    <m/>
    <x v="7"/>
    <x v="7"/>
    <x v="0"/>
    <x v="0"/>
    <n v="6000"/>
    <m/>
    <x v="5"/>
    <e v="#N/A"/>
    <e v="#N/A"/>
    <n v="0"/>
    <e v="#N/A"/>
    <e v="#N/A"/>
    <e v="#DIV/0!"/>
    <n v="0"/>
    <n v="0"/>
    <n v="0"/>
    <e v="#N/A"/>
  </r>
  <r>
    <n v="476"/>
    <s v="Hosur"/>
    <x v="3"/>
    <m/>
    <n v="940921"/>
    <n v="468311"/>
    <s v="TUB-O-N-AUT-AW-PE-15.88X2.000X0.291"/>
    <x v="0"/>
    <m/>
    <x v="0"/>
    <x v="1"/>
    <m/>
    <m/>
    <m/>
    <m/>
    <s v="15.88-0-2-ERW 1-PE"/>
    <s v="15.88-0-2-ERW 1-PE-0.291"/>
    <n v="3"/>
    <x v="1"/>
    <x v="1"/>
    <x v="0"/>
    <x v="3"/>
    <n v="291"/>
    <s v="NOS"/>
    <x v="22"/>
    <n v="0"/>
    <n v="10200"/>
    <n v="2.031009371568"/>
    <n v="0"/>
    <n v="2.031009371568"/>
    <n v="4088.122052135006"/>
    <n v="0.814021"/>
    <n v="14.942643"/>
    <n v="-0.814021"/>
    <e v="#DIV/0!"/>
  </r>
  <r>
    <n v="479"/>
    <s v="Hosur"/>
    <x v="3"/>
    <m/>
    <n v="940921"/>
    <m/>
    <m/>
    <x v="1"/>
    <m/>
    <x v="3"/>
    <x v="1"/>
    <m/>
    <m/>
    <m/>
    <m/>
    <s v="22.23-0-2--"/>
    <m/>
    <m/>
    <x v="8"/>
    <x v="8"/>
    <x v="0"/>
    <x v="3"/>
    <n v="706"/>
    <m/>
    <x v="5"/>
    <e v="#N/A"/>
    <e v="#N/A"/>
    <n v="0"/>
    <e v="#N/A"/>
    <e v="#N/A"/>
    <e v="#DIV/0!"/>
    <n v="0"/>
    <n v="0"/>
    <n v="2.031009371568"/>
    <e v="#N/A"/>
  </r>
  <r>
    <n v="480"/>
    <s v="Hosur"/>
    <x v="3"/>
    <m/>
    <n v="940921"/>
    <n v="288719"/>
    <s v="PT2-O-N-AUT-AW-PE-22.20X2.000X0.715"/>
    <x v="0"/>
    <m/>
    <x v="1"/>
    <x v="1"/>
    <m/>
    <m/>
    <m/>
    <m/>
    <s v="22.23-0-2-ERW 1-FC"/>
    <s v="22.23-0-2-ERW 1-FC-0.715"/>
    <n v="1"/>
    <x v="8"/>
    <x v="8"/>
    <x v="0"/>
    <x v="3"/>
    <n v="715"/>
    <s v="NOS"/>
    <x v="23"/>
    <n v="0"/>
    <n v="17700"/>
    <n v="12.62131167297"/>
    <n v="0"/>
    <n v="12.62131167297"/>
    <n v="646.1988271367036"/>
    <n v="0.460784"/>
    <n v="19.324636"/>
    <n v="-0.460784"/>
    <e v="#DIV/0!"/>
  </r>
  <r>
    <n v="474"/>
    <s v="Hosur"/>
    <x v="3"/>
    <m/>
    <n v="940921"/>
    <n v="1155165"/>
    <s v="TUB-O-N-AUT-AW-PE-34.93X1.600X1.726"/>
    <x v="0"/>
    <m/>
    <x v="1"/>
    <x v="0"/>
    <s v=""/>
    <m/>
    <m/>
    <m/>
    <s v="34.93-0-1.6-ERW 1-FC"/>
    <s v="34.93-0-1.6-ERW 1-FC-1.726"/>
    <n v="3"/>
    <x v="13"/>
    <x v="14"/>
    <x v="0"/>
    <x v="0"/>
    <n v="1726"/>
    <s v="NOS"/>
    <x v="24"/>
    <n v="0"/>
    <n v="2950"/>
    <n v="6.6929473476624"/>
    <n v="0"/>
    <n v="6.6929473476624"/>
    <n v="18.13649408767512"/>
    <n v="0.041148"/>
    <n v="1.119148"/>
    <n v="12.58016367297"/>
    <n v="0.003260199974945806"/>
  </r>
  <r>
    <n v="473"/>
    <s v="Hosur"/>
    <x v="3"/>
    <m/>
    <n v="940921"/>
    <n v="1940718"/>
    <s v="TUB-O-O-AUT-AW-FC-34.93X2.600X1.7210"/>
    <x v="0"/>
    <m/>
    <x v="1"/>
    <x v="1"/>
    <m/>
    <m/>
    <m/>
    <m/>
    <s v="34.93-0-2.6-ERW 1-FC"/>
    <s v="34.93-0-2.6-ERW 1-FC-1.721"/>
    <n v="2"/>
    <x v="13"/>
    <x v="14"/>
    <x v="0"/>
    <x v="13"/>
    <n v="1721"/>
    <s v="NOS"/>
    <x v="25"/>
    <n v="0"/>
    <n v="2550"/>
    <n v="9.092837047199101"/>
    <n v="0"/>
    <n v="9.092837047199101"/>
    <n v="37.03301271672143"/>
    <n v="0.132053"/>
    <n v="0.132053"/>
    <n v="6.5608943476624"/>
    <n v="0.01973017164793942"/>
  </r>
  <r>
    <n v="478"/>
    <s v="Hosur"/>
    <x v="3"/>
    <m/>
    <n v="940921"/>
    <n v="403039"/>
    <s v="PT3-I-C-AUT-AD-CH-31.20X3.200X0.295"/>
    <x v="2"/>
    <m/>
    <x v="2"/>
    <x v="1"/>
    <m/>
    <m/>
    <m/>
    <m/>
    <s v="37.6-31.2-3.2-CEW-CEW"/>
    <s v="37.6-31.2-3.2-CEW-CEW-0.295"/>
    <n v="1"/>
    <x v="20"/>
    <x v="11"/>
    <x v="3"/>
    <x v="9"/>
    <n v="295"/>
    <s v="NOS"/>
    <x v="26"/>
    <n v="0"/>
    <n v="5300"/>
    <n v="4.24234136192"/>
    <n v="0"/>
    <n v="4.24234136192"/>
    <n v="0"/>
    <n v="0"/>
    <n v="0"/>
    <n v="6.6929473476624"/>
    <n v="0"/>
  </r>
  <r>
    <n v="477"/>
    <s v="Hosur"/>
    <x v="3"/>
    <m/>
    <n v="940921"/>
    <n v="3164112"/>
    <s v="TUB-E-AW-AUT-59.00X30.00X1.600X0.6410"/>
    <x v="0"/>
    <m/>
    <x v="1"/>
    <x v="2"/>
    <m/>
    <m/>
    <m/>
    <m/>
    <s v="59-30-1.6-ERW 1-FIN CUT"/>
    <s v="59-30-1.6-ERW 1-FIN CUT-0.641"/>
    <n v="2"/>
    <x v="18"/>
    <x v="18"/>
    <x v="1"/>
    <x v="0"/>
    <n v="641"/>
    <s v="NOS"/>
    <x v="27"/>
    <n v="2800"/>
    <n v="17400"/>
    <n v="24.00084567136"/>
    <n v="3.326849895040001"/>
    <n v="20.67399577632001"/>
    <n v="1058.526868089328"/>
    <n v="1.2577"/>
    <n v="7.218704000000001"/>
    <m/>
    <m/>
  </r>
  <r>
    <n v="472"/>
    <s v="Hosur"/>
    <x v="3"/>
    <m/>
    <n v="940921"/>
    <n v="1940879"/>
    <s v="TUB-R-AW-RHS-50.00X30.00X1.600X0.6360"/>
    <x v="0"/>
    <m/>
    <x v="1"/>
    <x v="1"/>
    <s v="GR1"/>
    <m/>
    <m/>
    <m/>
    <s v="50-30-1.6-ERW 1-FC"/>
    <s v="50-30-1.6-ERW 1-FC-0.636"/>
    <n v="1"/>
    <x v="4"/>
    <x v="4"/>
    <x v="1"/>
    <x v="0"/>
    <n v="636"/>
    <s v="NOS"/>
    <x v="28"/>
    <n v="7200"/>
    <n v="-1650"/>
    <n v="6.849115484544"/>
    <n v="8.885339006975999"/>
    <n v="-2.036223522431999"/>
    <n v="2115.868396832096"/>
    <n v="2.61114"/>
    <n v="30.741518"/>
    <n v="21.38970567136001"/>
    <n v="0.4790030803245673"/>
  </r>
  <r>
    <n v="475"/>
    <s v="Hosur"/>
    <x v="3"/>
    <m/>
    <n v="940921"/>
    <n v="460176"/>
    <s v="PT4-O-N-AUT-NR-AG-57.15X2.000X0.713"/>
    <x v="0"/>
    <m/>
    <x v="1"/>
    <x v="1"/>
    <m/>
    <m/>
    <s v="AG"/>
    <m/>
    <s v="57.15-0-2-ERW 1-FC"/>
    <s v="57.15-0-2-ERW 1-FC-0.713"/>
    <n v="2"/>
    <x v="19"/>
    <x v="19"/>
    <x v="0"/>
    <x v="3"/>
    <n v="713"/>
    <s v="NOS"/>
    <x v="29"/>
    <n v="1765"/>
    <n v="2485"/>
    <n v="8.238597337174999"/>
    <n v="3.4214410117915"/>
    <n v="4.8171563253835"/>
    <n v="352.7940656699995"/>
    <n v="0.683889"/>
    <n v="26.766147"/>
    <n v="6.165226484544"/>
    <n v="0.5993956476651269"/>
  </r>
  <r>
    <n v="261"/>
    <s v="Khopoli "/>
    <x v="4"/>
    <m/>
    <n v="188934"/>
    <n v="3190072"/>
    <s v="TUB-O-C-AUT-AD-FC-29.40X4.500X0.3570"/>
    <x v="3"/>
    <m/>
    <x v="2"/>
    <x v="1"/>
    <m/>
    <m/>
    <m/>
    <m/>
    <s v="29.4-20.4-4.5-CEW STKM 13C-CEW"/>
    <s v="29.4-20.4-4.5-CEW STKM 13C-CEW-0.357"/>
    <n v="1"/>
    <x v="21"/>
    <x v="20"/>
    <x v="6"/>
    <x v="14"/>
    <n v="357"/>
    <s v="NOS"/>
    <x v="30"/>
    <n v="0"/>
    <n v="0"/>
    <n v="0"/>
    <n v="0"/>
    <n v="0"/>
    <e v="#DIV/0!"/>
    <n v="1.114266"/>
    <n v="30.48533"/>
    <n v="7.124331337175"/>
    <n v="0.1352494792981447"/>
  </r>
  <r>
    <n v="263"/>
    <s v="Khopoli "/>
    <x v="4"/>
    <m/>
    <n v="188934"/>
    <n v="3940551"/>
    <s v="TUB-O-C-AUT-AD-FC-29.40X4.500X0.360"/>
    <x v="2"/>
    <m/>
    <x v="2"/>
    <x v="1"/>
    <m/>
    <s v="Chamferring"/>
    <m/>
    <m/>
    <s v="29.4-20.4-4.5-CEW-CEW"/>
    <s v="29.4-20.4-4.5-CEW-CEW-0.36"/>
    <n v="1"/>
    <x v="21"/>
    <x v="20"/>
    <x v="6"/>
    <x v="14"/>
    <n v="360"/>
    <s v="NOS"/>
    <x v="31"/>
    <n v="0"/>
    <n v="20000"/>
    <n v="19.88582724"/>
    <n v="0"/>
    <n v="19.88582724"/>
    <n v="1469.233321168087"/>
    <n v="1.460846"/>
    <n v="1.460846"/>
    <m/>
    <m/>
  </r>
  <r>
    <n v="260"/>
    <s v="Khopoli "/>
    <x v="4"/>
    <m/>
    <n v="188934"/>
    <n v="1941303"/>
    <s v="TUB-O-C-AUT-AD-FC-29.40X4.500X0.3610"/>
    <x v="3"/>
    <m/>
    <x v="2"/>
    <x v="1"/>
    <m/>
    <s v="Chamferring"/>
    <m/>
    <m/>
    <s v="29.4-20.4-4.5-CEW STKM 13C-CEW"/>
    <s v="29.4-20.4-4.5-CEW STKM 13C-CEW-0.361"/>
    <n v="2"/>
    <x v="21"/>
    <x v="20"/>
    <x v="6"/>
    <x v="14"/>
    <n v="361"/>
    <s v="NOS"/>
    <x v="5"/>
    <n v="0"/>
    <n v="0"/>
    <n v="0"/>
    <n v="0"/>
    <n v="0"/>
    <e v="#DIV/0!"/>
    <n v="3.466936"/>
    <n v="30.48533"/>
    <n v="16.41889124"/>
    <n v="0.1743420556840763"/>
  </r>
  <r>
    <m/>
    <m/>
    <x v="4"/>
    <m/>
    <n v="188934"/>
    <n v="3974533"/>
    <s v="CUT-O-C-AUT-AN-FC-29.35X4.400X0.3630"/>
    <x v="3"/>
    <m/>
    <x v="2"/>
    <x v="1"/>
    <m/>
    <s v="Chamferring"/>
    <m/>
    <m/>
    <s v="29.4-20.4-4.5-CEW STKM 13C-CEW"/>
    <s v="29.4-20.4-4.5-CEW STKM 13C-CEW-0.363"/>
    <n v="1"/>
    <x v="21"/>
    <x v="20"/>
    <x v="6"/>
    <x v="14"/>
    <n v="363"/>
    <s v="NOS"/>
    <x v="3"/>
    <n v="0"/>
    <n v="8000"/>
    <n v="8.020616986799999"/>
    <n v="0"/>
    <n v="8.020616986799999"/>
    <n v="2311.78125454881"/>
    <n v="2.317739"/>
    <n v="30.48533"/>
    <m/>
    <m/>
  </r>
  <r>
    <n v="259"/>
    <s v="Khopoli "/>
    <x v="4"/>
    <m/>
    <n v="188934"/>
    <n v="2359912"/>
    <s v="TUB-O-C-CEW-AD-FC-29.40X4.500X0.3760"/>
    <x v="3"/>
    <m/>
    <x v="2"/>
    <x v="1"/>
    <m/>
    <s v="Chamferring"/>
    <m/>
    <m/>
    <s v="29.4-20.4-4.5-CEW STKM 13C-CEW"/>
    <s v="29.4-20.4-4.5-CEW STKM 13C-CEW-0.376"/>
    <n v="1"/>
    <x v="21"/>
    <x v="20"/>
    <x v="6"/>
    <x v="14"/>
    <n v="376"/>
    <s v="NOS"/>
    <x v="5"/>
    <n v="3000"/>
    <n v="-3000"/>
    <n v="0"/>
    <n v="3.1154462676"/>
    <n v="-3.1154462676"/>
    <e v="#DIV/0!"/>
    <n v="0.248381"/>
    <n v="30.48533"/>
    <n v="-0.248381"/>
    <e v="#DIV/0!"/>
  </r>
  <r>
    <m/>
    <m/>
    <x v="5"/>
    <m/>
    <m/>
    <m/>
    <m/>
    <x v="1"/>
    <m/>
    <x v="3"/>
    <x v="2"/>
    <m/>
    <m/>
    <m/>
    <m/>
    <s v="----"/>
    <m/>
    <m/>
    <x v="22"/>
    <x v="21"/>
    <x v="7"/>
    <x v="15"/>
    <m/>
    <m/>
    <x v="5"/>
    <e v="#N/A"/>
    <e v="#N/A"/>
    <n v="0"/>
    <e v="#N/A"/>
    <e v="#N/A"/>
    <e v="#DIV/0!"/>
    <n v="0"/>
    <n v="0"/>
    <m/>
    <m/>
  </r>
  <r>
    <n v="262"/>
    <s v="Khopoli "/>
    <x v="4"/>
    <m/>
    <n v="188934"/>
    <n v="3190073"/>
    <s v="TUB-O-C-AUT-AD-FC-29.40X4.500X0.3850"/>
    <x v="2"/>
    <m/>
    <x v="2"/>
    <x v="1"/>
    <m/>
    <m/>
    <m/>
    <m/>
    <s v="29.4-20.4-4.5-CEW-CEW"/>
    <s v="29.4-20.4-4.5-CEW-CEW-0.385"/>
    <n v="0"/>
    <x v="21"/>
    <x v="20"/>
    <x v="6"/>
    <x v="14"/>
    <n v="385"/>
    <s v="NOS"/>
    <x v="5"/>
    <n v="0"/>
    <n v="0"/>
    <n v="0"/>
    <n v="0"/>
    <n v="0"/>
    <e v="#DIV/0!"/>
    <n v="0"/>
    <n v="1.460846"/>
    <n v="0"/>
    <e v="#DIV/0!"/>
  </r>
  <r>
    <n v="264"/>
    <s v="Khopoli "/>
    <x v="4"/>
    <m/>
    <n v="188934"/>
    <n v="1939282"/>
    <s v="TUB-O-C-CEW-AD-FC-29.40X4.500X0.4500"/>
    <x v="2"/>
    <m/>
    <x v="2"/>
    <x v="1"/>
    <m/>
    <m/>
    <m/>
    <m/>
    <s v="29.4-20.4-4.5-CEW-CEW"/>
    <s v="29.4-20.4-4.5-CEW-CEW-0.45"/>
    <n v="0"/>
    <x v="21"/>
    <x v="20"/>
    <x v="6"/>
    <x v="14"/>
    <n v="450"/>
    <s v="NOS"/>
    <x v="2"/>
    <n v="0"/>
    <n v="4000"/>
    <n v="4.971456809999999"/>
    <n v="0"/>
    <n v="4.971456809999999"/>
    <n v="0"/>
    <n v="0"/>
    <n v="1.460846"/>
    <n v="0"/>
    <e v="#DIV/0!"/>
  </r>
  <r>
    <n v="381"/>
    <s v="Khopoli "/>
    <x v="4"/>
    <m/>
    <n v="188934"/>
    <n v="1930110"/>
    <s v="TUB-O-C-CEW-AD-FC-29.40X4.500X5.2000"/>
    <x v="2"/>
    <m/>
    <x v="2"/>
    <x v="1"/>
    <m/>
    <m/>
    <m/>
    <m/>
    <s v="29.4-20.4-4.5-CEW-CEW"/>
    <m/>
    <m/>
    <x v="21"/>
    <x v="20"/>
    <x v="6"/>
    <x v="14"/>
    <n v="5200"/>
    <m/>
    <x v="30"/>
    <e v="#N/A"/>
    <e v="#N/A"/>
    <n v="0"/>
    <e v="#N/A"/>
    <e v="#N/A"/>
    <e v="#DIV/0!"/>
    <n v="0"/>
    <n v="1.460846"/>
    <n v="4.971456809999999"/>
    <e v="#N/A"/>
  </r>
  <r>
    <n v="377"/>
    <s v="Hosur"/>
    <x v="6"/>
    <m/>
    <n v="819045"/>
    <n v="235292"/>
    <s v="PT2-O-N-AUT-AW-PE-19.05X2.00X6.000-ERW 1"/>
    <x v="0"/>
    <m/>
    <x v="0"/>
    <x v="1"/>
    <m/>
    <m/>
    <m/>
    <m/>
    <s v="19.05-0-2-ERW 1-PE"/>
    <m/>
    <m/>
    <x v="2"/>
    <x v="2"/>
    <x v="0"/>
    <x v="3"/>
    <n v="6000"/>
    <m/>
    <x v="30"/>
    <e v="#N/A"/>
    <e v="#N/A"/>
    <n v="0"/>
    <e v="#N/A"/>
    <e v="#N/A"/>
    <e v="#DIV/0!"/>
    <n v="0"/>
    <n v="96.99589900000001"/>
    <n v="0"/>
    <m/>
  </r>
  <r>
    <n v="370"/>
    <s v="Hosur"/>
    <x v="6"/>
    <m/>
    <n v="819045"/>
    <n v="3533249"/>
    <s v="CUT-O-N-AUT-AW-PE-22.20X1.600X1.2220"/>
    <x v="0"/>
    <m/>
    <x v="0"/>
    <x v="0"/>
    <s v="GR1"/>
    <m/>
    <m/>
    <m/>
    <s v="22.23-0-1.6-ERW 1-PE"/>
    <m/>
    <m/>
    <x v="8"/>
    <x v="8"/>
    <x v="0"/>
    <x v="0"/>
    <n v="1222"/>
    <m/>
    <x v="30"/>
    <e v="#N/A"/>
    <e v="#N/A"/>
    <n v="0"/>
    <e v="#N/A"/>
    <e v="#N/A"/>
    <e v="#DIV/0!"/>
    <n v="0"/>
    <n v="68.25120299999999"/>
    <n v="0"/>
    <e v="#N/A"/>
  </r>
  <r>
    <n v="373"/>
    <s v="Hosur"/>
    <x v="6"/>
    <m/>
    <n v="819045"/>
    <n v="3533248"/>
    <s v="CUT-O-N-AUT-AW-PE-22.20X1.600X1.2900"/>
    <x v="0"/>
    <m/>
    <x v="0"/>
    <x v="0"/>
    <s v="GR1"/>
    <m/>
    <m/>
    <m/>
    <s v="22.23-0-1.6-ERW 1-PE"/>
    <m/>
    <m/>
    <x v="8"/>
    <x v="8"/>
    <x v="0"/>
    <x v="0"/>
    <n v="1290"/>
    <m/>
    <x v="30"/>
    <e v="#N/A"/>
    <e v="#N/A"/>
    <n v="0"/>
    <e v="#N/A"/>
    <e v="#N/A"/>
    <e v="#DIV/0!"/>
    <n v="0"/>
    <n v="68.25120299999999"/>
    <n v="0"/>
    <m/>
  </r>
  <r>
    <n v="372"/>
    <s v="Hosur"/>
    <x v="6"/>
    <m/>
    <n v="819045"/>
    <n v="3775108"/>
    <s v="CUT-O-N-AUT-AW-PE-22.20X2.000X0.7720"/>
    <x v="1"/>
    <m/>
    <x v="3"/>
    <x v="1"/>
    <m/>
    <m/>
    <m/>
    <m/>
    <s v="22.23-0-2--"/>
    <m/>
    <m/>
    <x v="8"/>
    <x v="8"/>
    <x v="0"/>
    <x v="3"/>
    <n v="772"/>
    <m/>
    <x v="30"/>
    <e v="#N/A"/>
    <e v="#N/A"/>
    <n v="0"/>
    <e v="#N/A"/>
    <e v="#N/A"/>
    <e v="#DIV/0!"/>
    <n v="0"/>
    <n v="0"/>
    <n v="0"/>
    <e v="#N/A"/>
  </r>
  <r>
    <n v="371"/>
    <s v="Hosur"/>
    <x v="6"/>
    <m/>
    <n v="819045"/>
    <n v="1940467"/>
    <s v="TUB-O-O-AUT-AW-PE-22.23X2.00X0.812-MAHS"/>
    <x v="4"/>
    <m/>
    <x v="0"/>
    <x v="1"/>
    <s v="ST52AL"/>
    <m/>
    <m/>
    <m/>
    <s v="22.23-0-2-ERW 2 MAHS-PE"/>
    <m/>
    <m/>
    <x v="8"/>
    <x v="8"/>
    <x v="0"/>
    <x v="3"/>
    <n v="812"/>
    <m/>
    <x v="30"/>
    <e v="#N/A"/>
    <e v="#N/A"/>
    <n v="0"/>
    <e v="#N/A"/>
    <e v="#N/A"/>
    <e v="#DIV/0!"/>
    <n v="0"/>
    <n v="2.301186"/>
    <n v="0"/>
    <e v="#N/A"/>
  </r>
  <r>
    <n v="374"/>
    <s v="Hosur"/>
    <x v="6"/>
    <m/>
    <n v="819045"/>
    <m/>
    <m/>
    <x v="1"/>
    <m/>
    <x v="3"/>
    <x v="1"/>
    <m/>
    <m/>
    <m/>
    <m/>
    <s v="25.4-0-2--"/>
    <m/>
    <m/>
    <x v="3"/>
    <x v="3"/>
    <x v="0"/>
    <x v="3"/>
    <n v="600"/>
    <m/>
    <x v="30"/>
    <e v="#N/A"/>
    <e v="#N/A"/>
    <n v="0"/>
    <e v="#N/A"/>
    <e v="#N/A"/>
    <e v="#DIV/0!"/>
    <n v="0"/>
    <n v="0"/>
    <n v="0"/>
    <e v="#N/A"/>
  </r>
  <r>
    <n v="378"/>
    <s v="Hosur"/>
    <x v="6"/>
    <m/>
    <n v="819045"/>
    <n v="3138219"/>
    <s v="TUB-O-N-AUT-AW-FC-34.93X1.200X0.3900"/>
    <x v="0"/>
    <m/>
    <x v="1"/>
    <x v="0"/>
    <m/>
    <m/>
    <m/>
    <m/>
    <s v="34.93-0-1.2-ERW 1-FC"/>
    <m/>
    <m/>
    <x v="13"/>
    <x v="14"/>
    <x v="0"/>
    <x v="1"/>
    <n v="390"/>
    <m/>
    <x v="30"/>
    <e v="#N/A"/>
    <e v="#N/A"/>
    <n v="0"/>
    <e v="#N/A"/>
    <e v="#N/A"/>
    <e v="#DIV/0!"/>
    <n v="0"/>
    <n v="0.475"/>
    <n v="0"/>
    <e v="#N/A"/>
  </r>
  <r>
    <n v="379"/>
    <s v="Hosur"/>
    <x v="6"/>
    <m/>
    <n v="819045"/>
    <n v="3484654"/>
    <s v="TUB-O-N-AUT-AW-PE-34.93X2.000X1.2800"/>
    <x v="1"/>
    <m/>
    <x v="3"/>
    <x v="1"/>
    <m/>
    <m/>
    <m/>
    <m/>
    <s v="34.93-0-2--"/>
    <m/>
    <m/>
    <x v="13"/>
    <x v="14"/>
    <x v="0"/>
    <x v="3"/>
    <n v="1280"/>
    <m/>
    <x v="30"/>
    <e v="#N/A"/>
    <e v="#N/A"/>
    <n v="0"/>
    <e v="#N/A"/>
    <e v="#N/A"/>
    <e v="#DIV/0!"/>
    <n v="0"/>
    <n v="0"/>
    <n v="0"/>
    <e v="#N/A"/>
  </r>
  <r>
    <n v="376"/>
    <s v="Khopoli "/>
    <x v="6"/>
    <m/>
    <n v="819045"/>
    <n v="3500714"/>
    <s v="TUB-O-N-AUT-BH-FC-42.70X4.000X5.50-ERW 1"/>
    <x v="0"/>
    <s v="Annealed"/>
    <x v="3"/>
    <x v="1"/>
    <m/>
    <m/>
    <m/>
    <m/>
    <s v="42.7-0-4-ERW 1-"/>
    <m/>
    <m/>
    <x v="16"/>
    <x v="16"/>
    <x v="0"/>
    <x v="12"/>
    <n v="5500"/>
    <m/>
    <x v="30"/>
    <e v="#N/A"/>
    <e v="#N/A"/>
    <n v="0"/>
    <e v="#N/A"/>
    <e v="#N/A"/>
    <e v="#DIV/0!"/>
    <n v="0"/>
    <n v="0"/>
    <n v="0"/>
    <e v="#N/A"/>
  </r>
  <r>
    <n v="375"/>
    <s v="Hosur"/>
    <x v="6"/>
    <m/>
    <n v="819045"/>
    <m/>
    <s v="CUT-N-AUT-AW-FC-48.60X3.500X0.5950"/>
    <x v="1"/>
    <m/>
    <x v="3"/>
    <x v="1"/>
    <m/>
    <m/>
    <m/>
    <m/>
    <s v="48.6-0-3.5--"/>
    <m/>
    <m/>
    <x v="18"/>
    <x v="17"/>
    <x v="0"/>
    <x v="16"/>
    <n v="595"/>
    <m/>
    <x v="30"/>
    <e v="#N/A"/>
    <e v="#N/A"/>
    <n v="0"/>
    <e v="#N/A"/>
    <e v="#N/A"/>
    <e v="#DIV/0!"/>
    <n v="0"/>
    <n v="0"/>
    <n v="0"/>
    <e v="#N/A"/>
  </r>
  <r>
    <n v="347"/>
    <s v="Hosur"/>
    <x v="7"/>
    <m/>
    <n v="189002"/>
    <n v="3432217"/>
    <s v="TUB-S-AW-AUT-19.00X19.00X1.210X0.3300"/>
    <x v="5"/>
    <m/>
    <x v="0"/>
    <x v="2"/>
    <m/>
    <m/>
    <m/>
    <m/>
    <s v="19-19-1-CRFH-PE"/>
    <m/>
    <m/>
    <x v="23"/>
    <x v="22"/>
    <x v="8"/>
    <x v="2"/>
    <n v="330"/>
    <s v="NOS"/>
    <x v="32"/>
    <n v="0"/>
    <n v="4500"/>
    <n v="0.8206564113000001"/>
    <n v="0"/>
    <n v="0.8206564113000001"/>
    <n v="0"/>
    <n v="0"/>
    <n v="57.050425"/>
    <m/>
    <m/>
  </r>
  <r>
    <n v="350"/>
    <s v="Hosur"/>
    <x v="7"/>
    <m/>
    <n v="189002"/>
    <n v="3230490"/>
    <s v="TUB-S-AW-AUT-19.00X19.00X1.000X0.3550"/>
    <x v="5"/>
    <m/>
    <x v="0"/>
    <x v="0"/>
    <m/>
    <m/>
    <m/>
    <m/>
    <s v="19-19-1-CRFH-PE"/>
    <m/>
    <m/>
    <x v="23"/>
    <x v="22"/>
    <x v="8"/>
    <x v="2"/>
    <n v="355"/>
    <s v="NOS"/>
    <x v="8"/>
    <n v="0"/>
    <n v="9000"/>
    <n v="1.7656547031"/>
    <n v="0"/>
    <n v="1.7656547031"/>
    <n v="0"/>
    <n v="0"/>
    <n v="57.050425"/>
    <n v="0.8206564113000001"/>
    <n v="0"/>
  </r>
  <r>
    <n v="346"/>
    <s v="Hosur"/>
    <x v="7"/>
    <m/>
    <n v="189002"/>
    <n v="3230487"/>
    <s v="TUB-S-AW-AUT-19.00X19.00X1.000X0.4000"/>
    <x v="5"/>
    <m/>
    <x v="0"/>
    <x v="0"/>
    <m/>
    <m/>
    <m/>
    <m/>
    <s v="19-19-1-CRFH-PE"/>
    <m/>
    <m/>
    <x v="23"/>
    <x v="22"/>
    <x v="8"/>
    <x v="2"/>
    <n v="400"/>
    <s v="NOS"/>
    <x v="33"/>
    <n v="0"/>
    <n v="27000"/>
    <n v="5.968410264"/>
    <n v="0"/>
    <n v="5.968410264"/>
    <n v="0"/>
    <n v="0"/>
    <n v="57.050425"/>
    <n v="1.7656547031"/>
    <n v="0"/>
  </r>
  <r>
    <n v="345"/>
    <s v="Hosur"/>
    <x v="7"/>
    <m/>
    <n v="189002"/>
    <n v="3234371"/>
    <s v="TUB-S-AW-AUT-19.00X19.00X1.000X0.4620"/>
    <x v="5"/>
    <m/>
    <x v="0"/>
    <x v="0"/>
    <m/>
    <m/>
    <m/>
    <m/>
    <s v="19-19-1-CRFH-PE"/>
    <m/>
    <m/>
    <x v="23"/>
    <x v="22"/>
    <x v="8"/>
    <x v="2"/>
    <n v="462"/>
    <s v="NOS"/>
    <x v="8"/>
    <n v="0"/>
    <n v="9000"/>
    <n v="2.29783795164"/>
    <n v="0"/>
    <n v="2.29783795164"/>
    <n v="0"/>
    <n v="0"/>
    <n v="57.050425"/>
    <n v="5.968410264"/>
    <n v="0"/>
  </r>
  <r>
    <n v="344"/>
    <s v="Hosur"/>
    <x v="7"/>
    <m/>
    <n v="189002"/>
    <n v="3230488"/>
    <s v="TUB-S-AW-AUT-19.00X19.00X1.000X0.4700"/>
    <x v="5"/>
    <m/>
    <x v="0"/>
    <x v="0"/>
    <m/>
    <m/>
    <m/>
    <m/>
    <s v="19-19-1-CRFH-PE"/>
    <m/>
    <m/>
    <x v="23"/>
    <x v="22"/>
    <x v="8"/>
    <x v="2"/>
    <n v="470"/>
    <s v="NOS"/>
    <x v="8"/>
    <n v="0"/>
    <n v="9000"/>
    <n v="2.3376273534"/>
    <n v="0"/>
    <n v="2.3376273534"/>
    <n v="0"/>
    <n v="0"/>
    <n v="57.050425"/>
    <n v="2.29783795164"/>
    <n v="0"/>
  </r>
  <r>
    <n v="343"/>
    <s v="Hosur"/>
    <x v="7"/>
    <m/>
    <n v="189002"/>
    <n v="3605740"/>
    <s v="TUB-S-AW-AUT-19.00X19.00X1.010X0.6750"/>
    <x v="5"/>
    <m/>
    <x v="0"/>
    <x v="0"/>
    <m/>
    <m/>
    <m/>
    <m/>
    <s v="19-19-1-CRFH-PE"/>
    <m/>
    <m/>
    <x v="23"/>
    <x v="22"/>
    <x v="8"/>
    <x v="2"/>
    <n v="675"/>
    <s v="NOS"/>
    <x v="8"/>
    <n v="0"/>
    <n v="9000"/>
    <n v="3.3572307735"/>
    <n v="0"/>
    <n v="3.3572307735"/>
    <n v="0"/>
    <n v="0"/>
    <n v="57.050425"/>
    <n v="2.3376273534"/>
    <n v="0"/>
  </r>
  <r>
    <n v="349"/>
    <s v="Hosur"/>
    <x v="7"/>
    <m/>
    <n v="189002"/>
    <n v="3230491"/>
    <s v="TUB-S-AW-AUT-19.00X19.00X1.000X0.6820"/>
    <x v="5"/>
    <m/>
    <x v="3"/>
    <x v="1"/>
    <m/>
    <m/>
    <m/>
    <m/>
    <s v="19-19-1-CRFH-"/>
    <m/>
    <m/>
    <x v="23"/>
    <x v="22"/>
    <x v="8"/>
    <x v="2"/>
    <n v="682"/>
    <s v="NOS"/>
    <x v="30"/>
    <n v="0"/>
    <n v="0"/>
    <n v="0"/>
    <n v="0"/>
    <n v="0"/>
    <e v="#DIV/0!"/>
    <n v="0"/>
    <n v="0"/>
    <n v="3.3572307735"/>
    <n v="0"/>
  </r>
  <r>
    <n v="342"/>
    <s v="Hosur"/>
    <x v="7"/>
    <m/>
    <n v="189002"/>
    <n v="3230485"/>
    <s v="TUB-S-AW-AUT-19.00X19.00X1.000X0.8400"/>
    <x v="5"/>
    <m/>
    <x v="0"/>
    <x v="0"/>
    <m/>
    <m/>
    <m/>
    <m/>
    <s v="19-19-1-CRFH-PE"/>
    <m/>
    <m/>
    <x v="23"/>
    <x v="22"/>
    <x v="8"/>
    <x v="2"/>
    <n v="840"/>
    <s v="NOS"/>
    <x v="8"/>
    <n v="0"/>
    <n v="9000"/>
    <n v="4.177887184800001"/>
    <n v="0"/>
    <n v="4.177887184800001"/>
    <n v="0"/>
    <n v="0"/>
    <n v="57.050425"/>
    <n v="0"/>
    <e v="#DIV/0!"/>
  </r>
  <r>
    <n v="341"/>
    <s v="Hosur"/>
    <x v="7"/>
    <m/>
    <n v="189002"/>
    <n v="3605739"/>
    <s v="TUB-S-AW-AUT-19.00X19.00X1.010X0.8710"/>
    <x v="5"/>
    <m/>
    <x v="0"/>
    <x v="0"/>
    <m/>
    <m/>
    <m/>
    <m/>
    <s v="19-19-1-CRFH-PE"/>
    <m/>
    <m/>
    <x v="23"/>
    <x v="22"/>
    <x v="8"/>
    <x v="2"/>
    <n v="871"/>
    <s v="NOS"/>
    <x v="8"/>
    <n v="0"/>
    <n v="9000"/>
    <n v="4.33207111662"/>
    <n v="0"/>
    <n v="4.33207111662"/>
    <n v="0"/>
    <n v="0"/>
    <n v="57.050425"/>
    <n v="4.177887184800001"/>
    <n v="0"/>
  </r>
  <r>
    <n v="348"/>
    <s v="Hosur"/>
    <x v="7"/>
    <m/>
    <n v="189002"/>
    <n v="3233560"/>
    <s v="TUB-S-AW-AUT-19.00X19.00X1.000X0.8750"/>
    <x v="5"/>
    <m/>
    <x v="3"/>
    <x v="1"/>
    <m/>
    <m/>
    <m/>
    <m/>
    <s v="19-19-1-CRFH-"/>
    <m/>
    <m/>
    <x v="23"/>
    <x v="22"/>
    <x v="8"/>
    <x v="2"/>
    <n v="875"/>
    <s v="NOS"/>
    <x v="30"/>
    <n v="0"/>
    <n v="0"/>
    <n v="0"/>
    <n v="0"/>
    <n v="0"/>
    <e v="#DIV/0!"/>
    <n v="0"/>
    <n v="0"/>
    <n v="4.177887184800001"/>
    <n v="0"/>
  </r>
  <r>
    <n v="340"/>
    <s v="Hosur"/>
    <x v="7"/>
    <m/>
    <n v="189002"/>
    <n v="3230492"/>
    <s v="TUB-S-AW-AUT-19.00X19.00X1.000X0.8800"/>
    <x v="5"/>
    <m/>
    <x v="0"/>
    <x v="0"/>
    <m/>
    <m/>
    <m/>
    <m/>
    <s v="19-19-1-CRFH-PE"/>
    <m/>
    <m/>
    <x v="23"/>
    <x v="22"/>
    <x v="8"/>
    <x v="2"/>
    <n v="880"/>
    <s v="NOS"/>
    <x v="8"/>
    <n v="0"/>
    <n v="9000"/>
    <n v="4.376834193600001"/>
    <n v="0"/>
    <n v="4.376834193600001"/>
    <n v="0"/>
    <n v="0"/>
    <n v="57.050425"/>
    <n v="0"/>
    <e v="#DIV/0!"/>
  </r>
  <r>
    <n v="365"/>
    <s v="Hosur"/>
    <x v="7"/>
    <m/>
    <n v="189002"/>
    <n v="1940146"/>
    <s v="TUB-S-AW-SHS-19.00X19.00X1.000X6.0000"/>
    <x v="5"/>
    <m/>
    <x v="0"/>
    <x v="0"/>
    <m/>
    <m/>
    <m/>
    <m/>
    <s v="19-19-1-CRFH-PE"/>
    <m/>
    <m/>
    <x v="23"/>
    <x v="22"/>
    <x v="8"/>
    <x v="2"/>
    <n v="1000"/>
    <s v="M"/>
    <x v="34"/>
    <n v="0"/>
    <n v="14346"/>
    <n v="7.928038300679999"/>
    <n v="0"/>
    <n v="7.928038300679999"/>
    <n v="0"/>
    <n v="0"/>
    <n v="57.050425"/>
    <m/>
    <m/>
  </r>
  <r>
    <n v="382"/>
    <s v="Hosur"/>
    <x v="7"/>
    <m/>
    <n v="189002"/>
    <n v="3597679"/>
    <s v="TUB-S-AW-AUT-19.00X19.00X1.000X6.1400"/>
    <x v="5"/>
    <m/>
    <x v="3"/>
    <x v="1"/>
    <m/>
    <m/>
    <m/>
    <m/>
    <s v="19-19-1-CRFH-"/>
    <m/>
    <m/>
    <x v="23"/>
    <x v="22"/>
    <x v="8"/>
    <x v="2"/>
    <n v="1000"/>
    <s v="M"/>
    <x v="30"/>
    <n v="0"/>
    <n v="0"/>
    <n v="0"/>
    <n v="0"/>
    <n v="0"/>
    <e v="#DIV/0!"/>
    <n v="0"/>
    <n v="0"/>
    <n v="7.928038300679999"/>
    <n v="0"/>
  </r>
  <r>
    <n v="384"/>
    <s v="Hosur"/>
    <x v="7"/>
    <m/>
    <n v="189002"/>
    <n v="3695241"/>
    <s v="TUB-S-AW-AUT-19.00X19.00X1.000X6.2500"/>
    <x v="5"/>
    <m/>
    <x v="3"/>
    <x v="1"/>
    <m/>
    <m/>
    <m/>
    <m/>
    <s v="19-19-1-CRFH-"/>
    <m/>
    <m/>
    <x v="23"/>
    <x v="22"/>
    <x v="8"/>
    <x v="2"/>
    <n v="1000"/>
    <s v="M"/>
    <x v="30"/>
    <n v="0"/>
    <n v="0"/>
    <n v="0"/>
    <n v="0"/>
    <n v="0"/>
    <e v="#DIV/0!"/>
    <n v="0"/>
    <n v="0"/>
    <n v="0"/>
    <e v="#DIV/0!"/>
  </r>
  <r>
    <n v="339"/>
    <s v="Hosur"/>
    <x v="7"/>
    <m/>
    <n v="189002"/>
    <n v="3230494"/>
    <s v="TUB-S-AW-AUT-19.00X19.00X1.000X1.3000"/>
    <x v="5"/>
    <m/>
    <x v="0"/>
    <x v="0"/>
    <m/>
    <m/>
    <m/>
    <m/>
    <s v="19-19-1-CRFH-PE"/>
    <m/>
    <m/>
    <x v="23"/>
    <x v="22"/>
    <x v="8"/>
    <x v="2"/>
    <n v="1300"/>
    <s v="NOS"/>
    <x v="32"/>
    <n v="0"/>
    <n v="4500"/>
    <n v="3.232888893"/>
    <n v="0"/>
    <n v="3.232888893"/>
    <n v="0"/>
    <n v="0"/>
    <n v="57.050425"/>
    <n v="0"/>
    <e v="#DIV/0!"/>
  </r>
  <r>
    <n v="383"/>
    <s v="Hosur"/>
    <x v="7"/>
    <m/>
    <n v="189002"/>
    <n v="3605862"/>
    <s v="TUB-O-N-AUT-AW-PE-25.40X1.220X2.5850"/>
    <x v="1"/>
    <m/>
    <x v="3"/>
    <x v="1"/>
    <m/>
    <m/>
    <m/>
    <m/>
    <s v="25.4-0-1.22--"/>
    <m/>
    <m/>
    <x v="3"/>
    <x v="3"/>
    <x v="0"/>
    <x v="17"/>
    <n v="2585"/>
    <s v="NOS"/>
    <x v="30"/>
    <n v="0"/>
    <n v="0"/>
    <n v="0"/>
    <n v="0"/>
    <n v="0"/>
    <e v="#DIV/0!"/>
    <n v="0"/>
    <n v="0"/>
    <n v="3.232888893"/>
    <n v="0"/>
  </r>
  <r>
    <n v="357"/>
    <s v="Khopoli "/>
    <x v="7"/>
    <m/>
    <n v="189002"/>
    <n v="1939544"/>
    <s v="TUB-O-C-CEW-AD-FC-25.40X2.500X0.2170"/>
    <x v="2"/>
    <m/>
    <x v="2"/>
    <x v="1"/>
    <m/>
    <m/>
    <m/>
    <m/>
    <s v="25.4-0-2.5-CEW-CEW"/>
    <m/>
    <m/>
    <x v="3"/>
    <x v="3"/>
    <x v="0"/>
    <x v="11"/>
    <n v="217"/>
    <s v="NOS"/>
    <x v="35"/>
    <n v="0"/>
    <n v="12110"/>
    <n v="3.708332546817499"/>
    <n v="0"/>
    <n v="3.708332546817499"/>
    <n v="0"/>
    <n v="0"/>
    <n v="7.291806999999999"/>
    <n v="0"/>
    <e v="#DIV/0!"/>
  </r>
  <r>
    <n v="388"/>
    <s v="Khopoli "/>
    <x v="7"/>
    <m/>
    <n v="189002"/>
    <n v="1941408"/>
    <s v="TUB-O-C-AUT-AD-FC-25.40X2.500X3.7300"/>
    <x v="2"/>
    <m/>
    <x v="3"/>
    <x v="1"/>
    <m/>
    <m/>
    <m/>
    <m/>
    <s v="25.4-20.4-2.5-CEW-"/>
    <m/>
    <m/>
    <x v="3"/>
    <x v="3"/>
    <x v="6"/>
    <x v="11"/>
    <n v="3730"/>
    <s v="NOS"/>
    <x v="30"/>
    <n v="0"/>
    <n v="0"/>
    <n v="0"/>
    <n v="0"/>
    <n v="0"/>
    <e v="#DIV/0!"/>
    <n v="0"/>
    <n v="0"/>
    <n v="3.708332546817499"/>
    <n v="0"/>
  </r>
  <r>
    <n v="336"/>
    <s v="Hosur"/>
    <x v="7"/>
    <m/>
    <n v="189002"/>
    <n v="2410388"/>
    <s v="TUB-O-C-AUT-AD-FC-28.60X2.650X04-05"/>
    <x v="2"/>
    <m/>
    <x v="2"/>
    <x v="1"/>
    <m/>
    <m/>
    <m/>
    <m/>
    <s v="28.6-0-2.65-CEW-CEW"/>
    <m/>
    <m/>
    <x v="10"/>
    <x v="10"/>
    <x v="0"/>
    <x v="8"/>
    <n v="1000"/>
    <s v="M"/>
    <x v="30"/>
    <n v="0"/>
    <n v="0"/>
    <n v="0"/>
    <n v="0"/>
    <n v="0"/>
    <e v="#DIV/0!"/>
    <n v="0"/>
    <n v="63.37451999999998"/>
    <n v="0"/>
    <e v="#DIV/0!"/>
  </r>
  <r>
    <n v="387"/>
    <s v="Khopoli "/>
    <x v="7"/>
    <m/>
    <n v="189002"/>
    <n v="1942166"/>
    <s v="TUB-O-C-AUT-AD-FC-30.00X2.250X5.9300"/>
    <x v="2"/>
    <m/>
    <x v="3"/>
    <x v="1"/>
    <m/>
    <m/>
    <m/>
    <m/>
    <s v="30-25.5-2.25-CEW-"/>
    <m/>
    <m/>
    <x v="24"/>
    <x v="23"/>
    <x v="9"/>
    <x v="18"/>
    <n v="1000"/>
    <s v="M"/>
    <x v="30"/>
    <n v="0"/>
    <n v="0"/>
    <n v="0"/>
    <n v="0"/>
    <n v="0"/>
    <e v="#DIV/0!"/>
    <n v="0"/>
    <n v="0"/>
    <n v="0"/>
    <e v="#DIV/0!"/>
  </r>
  <r>
    <n v="356"/>
    <s v="Khopoli "/>
    <x v="7"/>
    <m/>
    <n v="189002"/>
    <n v="2359755"/>
    <s v="TUB-O-C-AUT-AD-FC-30.00X2.250X0.4850"/>
    <x v="2"/>
    <m/>
    <x v="2"/>
    <x v="1"/>
    <m/>
    <s v="Chamferring"/>
    <m/>
    <m/>
    <s v="30-25.5-2.25-CEW-CEW"/>
    <s v="30-25.5-2.25-CEW-CEW-0.485"/>
    <n v="3"/>
    <x v="25"/>
    <x v="23"/>
    <x v="9"/>
    <x v="18"/>
    <n v="485"/>
    <s v="NOS"/>
    <x v="36"/>
    <n v="11400"/>
    <n v="21920"/>
    <n v="25.005339624195"/>
    <n v="8.555248250775"/>
    <n v="16.45009137342"/>
    <n v="6484.766119437189"/>
    <n v="4.86656"/>
    <n v="108.008921"/>
    <n v="-4.86656"/>
    <e v="#DIV/0!"/>
  </r>
  <r>
    <n v="353"/>
    <s v="Hosur"/>
    <x v="7"/>
    <m/>
    <n v="189002"/>
    <n v="3230483"/>
    <s v="TUB-S-AW-AUT-25.00X25.00X1.200X0.3300"/>
    <x v="5"/>
    <m/>
    <x v="0"/>
    <x v="0"/>
    <m/>
    <m/>
    <m/>
    <m/>
    <s v="25-25-1.2-CRFH-PE"/>
    <m/>
    <m/>
    <x v="12"/>
    <x v="12"/>
    <x v="4"/>
    <x v="1"/>
    <n v="330"/>
    <s v="NOS"/>
    <x v="32"/>
    <n v="0"/>
    <n v="4500"/>
    <n v="1.3418940249"/>
    <n v="0"/>
    <n v="1.3418940249"/>
    <n v="0"/>
    <n v="0"/>
    <n v="7.503437000000001"/>
    <n v="25.005339624195"/>
    <n v="0"/>
  </r>
  <r>
    <n v="352"/>
    <s v="Hosur"/>
    <x v="7"/>
    <m/>
    <n v="189002"/>
    <n v="3230482"/>
    <s v="TUB-S-AW-AUT-25.00X25.00X1.200X0.7870"/>
    <x v="5"/>
    <m/>
    <x v="0"/>
    <x v="0"/>
    <m/>
    <m/>
    <m/>
    <m/>
    <s v="25-25-1.2-CRFH-PE"/>
    <m/>
    <m/>
    <x v="12"/>
    <x v="12"/>
    <x v="4"/>
    <x v="1"/>
    <n v="787"/>
    <s v="NOS"/>
    <x v="8"/>
    <n v="0"/>
    <n v="9000"/>
    <n v="6.400427864220001"/>
    <n v="0"/>
    <n v="6.400427864220001"/>
    <n v="0"/>
    <n v="0"/>
    <n v="7.503437000000001"/>
    <n v="1.3418940249"/>
    <n v="0"/>
  </r>
  <r>
    <n v="351"/>
    <s v="Hosur"/>
    <x v="7"/>
    <m/>
    <n v="189002"/>
    <n v="3230484"/>
    <s v="TUB-S-AW-AUT-25.00X25.00X1.200X1.2460"/>
    <x v="5"/>
    <m/>
    <x v="0"/>
    <x v="0"/>
    <m/>
    <m/>
    <m/>
    <m/>
    <s v="25-25-1.2-CRFH-PE"/>
    <m/>
    <m/>
    <x v="12"/>
    <x v="12"/>
    <x v="4"/>
    <x v="1"/>
    <n v="1246"/>
    <s v="NOS"/>
    <x v="32"/>
    <n v="0"/>
    <n v="4500"/>
    <n v="5.06666653038"/>
    <n v="0"/>
    <n v="5.06666653038"/>
    <n v="0"/>
    <n v="0"/>
    <n v="7.503437000000001"/>
    <n v="6.400427864220001"/>
    <n v="0"/>
  </r>
  <r>
    <n v="354"/>
    <s v="Hosur"/>
    <x v="7"/>
    <m/>
    <n v="189002"/>
    <n v="3230495"/>
    <s v="TUB-S-AW-AUT-30.00X30.00X1.200X0.2200"/>
    <x v="5"/>
    <m/>
    <x v="0"/>
    <x v="0"/>
    <m/>
    <m/>
    <m/>
    <m/>
    <s v="30-30-1.2-CRFH-PE"/>
    <m/>
    <m/>
    <x v="14"/>
    <x v="23"/>
    <x v="1"/>
    <x v="1"/>
    <n v="220"/>
    <s v="NOS"/>
    <x v="8"/>
    <n v="0"/>
    <n v="9000"/>
    <n v="2.1610862856"/>
    <n v="0"/>
    <n v="2.1610862856"/>
    <n v="0"/>
    <n v="0"/>
    <n v="1.5546"/>
    <n v="5.06666653038"/>
    <n v="0"/>
  </r>
  <r>
    <n v="360"/>
    <s v="Khopoli "/>
    <x v="7"/>
    <m/>
    <n v="189002"/>
    <n v="3784540"/>
    <s v="PT3-O-N-AUT-AW-FC-38.10X3.660X0.2010"/>
    <x v="0"/>
    <m/>
    <x v="1"/>
    <x v="1"/>
    <m/>
    <m/>
    <m/>
    <m/>
    <s v="38.1-0-3.66-ERW 1-FC"/>
    <m/>
    <m/>
    <x v="14"/>
    <x v="24"/>
    <x v="0"/>
    <x v="19"/>
    <n v="201"/>
    <s v="NOS"/>
    <x v="37"/>
    <n v="0"/>
    <n v="13500"/>
    <n v="8.430888756099598"/>
    <n v="0"/>
    <n v="8.430888756099598"/>
    <n v="0"/>
    <n v="0"/>
    <n v="6.448322"/>
    <n v="2.1610862856"/>
    <n v="0"/>
  </r>
  <r>
    <n v="338"/>
    <s v="Hosur"/>
    <x v="7"/>
    <m/>
    <n v="189002"/>
    <n v="3233557"/>
    <s v="TUB-R-AW-AUT-40.00X20.00X1.210X0.8000"/>
    <x v="5"/>
    <m/>
    <x v="0"/>
    <x v="0"/>
    <m/>
    <m/>
    <m/>
    <m/>
    <s v="40-20-1.2-CRFH-PE"/>
    <m/>
    <m/>
    <x v="14"/>
    <x v="15"/>
    <x v="5"/>
    <x v="1"/>
    <n v="800"/>
    <s v="NOS"/>
    <x v="38"/>
    <n v="0"/>
    <n v="18000"/>
    <n v="15.716991168"/>
    <n v="0"/>
    <n v="15.716991168"/>
    <n v="0"/>
    <n v="0"/>
    <n v="48.54494999999999"/>
    <n v="8.430888756099598"/>
    <n v="0"/>
  </r>
  <r>
    <n v="337"/>
    <s v="Hosur"/>
    <x v="7"/>
    <m/>
    <n v="189002"/>
    <n v="3233556"/>
    <s v="TUB-R-AW-AUT-40.00X20.00X1.210X0.9400"/>
    <x v="5"/>
    <m/>
    <x v="0"/>
    <x v="0"/>
    <m/>
    <m/>
    <m/>
    <m/>
    <s v="40-20-1.2-CRFH-PE"/>
    <m/>
    <m/>
    <x v="14"/>
    <x v="15"/>
    <x v="5"/>
    <x v="1"/>
    <n v="940"/>
    <s v="NOS"/>
    <x v="38"/>
    <n v="0"/>
    <n v="18000"/>
    <n v="18.4674646224"/>
    <n v="0"/>
    <n v="18.4674646224"/>
    <n v="0"/>
    <n v="0"/>
    <n v="48.54494999999999"/>
    <m/>
    <m/>
  </r>
  <r>
    <n v="361"/>
    <s v="Hosur"/>
    <x v="7"/>
    <m/>
    <n v="189002"/>
    <n v="3597713"/>
    <s v="TUB-R-AW-AUT-40.00X20.00X1.200X5.2600"/>
    <x v="5"/>
    <m/>
    <x v="3"/>
    <x v="1"/>
    <m/>
    <m/>
    <m/>
    <m/>
    <s v="40-20-1.2-CRFH-"/>
    <m/>
    <m/>
    <x v="14"/>
    <x v="15"/>
    <x v="5"/>
    <x v="1"/>
    <n v="1000"/>
    <s v="M"/>
    <x v="30"/>
    <n v="0"/>
    <n v="0"/>
    <n v="0"/>
    <n v="0"/>
    <n v="0"/>
    <e v="#DIV/0!"/>
    <n v="0"/>
    <n v="0"/>
    <m/>
    <m/>
  </r>
  <r>
    <n v="359"/>
    <s v="Hosur"/>
    <x v="7"/>
    <m/>
    <n v="189002"/>
    <n v="1940807"/>
    <s v="TUB-R-AW-RHS-40.00X20.00X1.210X6.0000"/>
    <x v="5"/>
    <m/>
    <x v="0"/>
    <x v="0"/>
    <m/>
    <m/>
    <m/>
    <m/>
    <s v="40-20-1.2-CRFH-PE"/>
    <m/>
    <m/>
    <x v="14"/>
    <x v="15"/>
    <x v="5"/>
    <x v="1"/>
    <n v="1000"/>
    <s v="M"/>
    <x v="39"/>
    <n v="0"/>
    <n v="3504"/>
    <n v="3.824467850879999"/>
    <n v="0"/>
    <n v="3.824467850879999"/>
    <n v="0"/>
    <n v="0"/>
    <n v="48.54494999999999"/>
    <m/>
    <m/>
  </r>
  <r>
    <n v="335"/>
    <s v="Hosur"/>
    <x v="7"/>
    <m/>
    <n v="189002"/>
    <n v="3233555"/>
    <s v="TUB-R-AW-AUT-40.00X20.00X1.210X1.1200"/>
    <x v="5"/>
    <m/>
    <x v="0"/>
    <x v="0"/>
    <m/>
    <m/>
    <m/>
    <m/>
    <s v="40-20-1.2-CRFH-PE"/>
    <m/>
    <m/>
    <x v="14"/>
    <x v="15"/>
    <x v="5"/>
    <x v="1"/>
    <n v="1120"/>
    <s v="NOS"/>
    <x v="38"/>
    <n v="0"/>
    <n v="18000"/>
    <n v="22.00378763519999"/>
    <n v="0"/>
    <n v="22.00378763519999"/>
    <n v="0"/>
    <n v="0"/>
    <n v="48.54494999999999"/>
    <n v="3.824467850879999"/>
    <n v="0"/>
  </r>
  <r>
    <n v="334"/>
    <s v="Hosur"/>
    <x v="7"/>
    <m/>
    <n v="189002"/>
    <n v="3233554"/>
    <s v="TUB-R-AW-AUT-40.00X20.00X1.210X1.2460"/>
    <x v="5"/>
    <m/>
    <x v="0"/>
    <x v="0"/>
    <m/>
    <m/>
    <m/>
    <m/>
    <s v="40-20-1.2-CRFH-PE"/>
    <m/>
    <m/>
    <x v="14"/>
    <x v="15"/>
    <x v="5"/>
    <x v="1"/>
    <n v="1246"/>
    <s v="NOS"/>
    <x v="32"/>
    <n v="0"/>
    <n v="4500"/>
    <n v="6.11980343604"/>
    <n v="0"/>
    <n v="6.11980343604"/>
    <n v="0"/>
    <n v="0"/>
    <n v="48.54494999999999"/>
    <n v="22.00378763519999"/>
    <n v="0"/>
  </r>
  <r>
    <n v="333"/>
    <s v="Hosur"/>
    <x v="7"/>
    <m/>
    <n v="189002"/>
    <n v="3233553"/>
    <s v="TUB-R-AW-AUT-40.00X20.00X1.210X1.2980"/>
    <x v="5"/>
    <m/>
    <x v="0"/>
    <x v="0"/>
    <m/>
    <m/>
    <m/>
    <m/>
    <s v="40-20-1.2-CRFH-PE"/>
    <m/>
    <m/>
    <x v="14"/>
    <x v="15"/>
    <x v="5"/>
    <x v="1"/>
    <n v="1298"/>
    <s v="NOS"/>
    <x v="32"/>
    <n v="0"/>
    <n v="4500"/>
    <n v="6.37520454252"/>
    <n v="0"/>
    <n v="6.37520454252"/>
    <n v="0"/>
    <n v="0"/>
    <n v="48.54494999999999"/>
    <n v="6.11980343604"/>
    <n v="0"/>
  </r>
  <r>
    <n v="332"/>
    <s v="Hosur"/>
    <x v="7"/>
    <m/>
    <n v="189002"/>
    <n v="1940801"/>
    <s v="TUB-R-AW-RHS-40.00X20.00X1.210X1.3100"/>
    <x v="5"/>
    <m/>
    <x v="0"/>
    <x v="0"/>
    <m/>
    <m/>
    <m/>
    <m/>
    <s v="40-20-1.2-CRFH-PE"/>
    <m/>
    <m/>
    <x v="14"/>
    <x v="15"/>
    <x v="5"/>
    <x v="1"/>
    <n v="1310"/>
    <s v="NOS"/>
    <x v="37"/>
    <n v="0"/>
    <n v="13500"/>
    <n v="19.3024297782"/>
    <n v="0"/>
    <n v="19.3024297782"/>
    <n v="0"/>
    <n v="0"/>
    <n v="48.54494999999999"/>
    <n v="6.37520454252"/>
    <n v="0"/>
  </r>
  <r>
    <n v="355"/>
    <s v="Khopoli "/>
    <x v="7"/>
    <m/>
    <n v="189002"/>
    <n v="1938125"/>
    <s v="TUB-I-C-AUT-AN-FC-39.00X34.00X0.2720"/>
    <x v="2"/>
    <m/>
    <x v="2"/>
    <x v="1"/>
    <m/>
    <s v="Chamferring"/>
    <m/>
    <m/>
    <s v="39-34-2.5-CEW-CEW"/>
    <s v="39-34-2.5-CEW-CEW-0.272"/>
    <n v="2"/>
    <x v="26"/>
    <x v="25"/>
    <x v="10"/>
    <x v="11"/>
    <n v="272"/>
    <s v="NOS"/>
    <x v="40"/>
    <n v="8120"/>
    <n v="22120"/>
    <n v="18.5004745632"/>
    <n v="4.967720021599999"/>
    <n v="13.5327545416"/>
    <n v="4046.163494038084"/>
    <n v="2.475395"/>
    <n v="57.92437000000002"/>
    <n v="16.8270347782"/>
    <n v="0.3856050822164467"/>
  </r>
  <r>
    <n v="386"/>
    <s v="Khopoli "/>
    <x v="7"/>
    <m/>
    <n v="189002"/>
    <n v="1930116"/>
    <s v="TUB-I-C-AUT-AN-FC-39.00X34.00X4.5000"/>
    <x v="2"/>
    <m/>
    <x v="3"/>
    <x v="1"/>
    <m/>
    <m/>
    <m/>
    <m/>
    <s v="39-34-2.5-CEW-"/>
    <m/>
    <m/>
    <x v="26"/>
    <x v="25"/>
    <x v="10"/>
    <x v="11"/>
    <n v="1000"/>
    <s v="M"/>
    <x v="30"/>
    <n v="0"/>
    <n v="0"/>
    <n v="0"/>
    <n v="0"/>
    <n v="0"/>
    <e v="#DIV/0!"/>
    <n v="0"/>
    <n v="0"/>
    <n v="18.5004745632"/>
    <n v="0"/>
  </r>
  <r>
    <n v="358"/>
    <s v="Hosur"/>
    <x v="7"/>
    <m/>
    <n v="189002"/>
    <n v="3438761"/>
    <s v="TUB-R-AW-AUT-40.00X25.00X1.600X0.5140"/>
    <x v="0"/>
    <m/>
    <x v="1"/>
    <x v="0"/>
    <s v="HROP"/>
    <m/>
    <m/>
    <m/>
    <s v="40-25-1.6-ERW 1-FC"/>
    <m/>
    <m/>
    <x v="15"/>
    <x v="15"/>
    <x v="4"/>
    <x v="0"/>
    <n v="514"/>
    <s v="NOS"/>
    <x v="41"/>
    <n v="0"/>
    <n v="2802"/>
    <n v="2.253835426062336"/>
    <n v="0"/>
    <n v="2.253835426062336"/>
    <n v="0"/>
    <n v="0"/>
    <n v="25.909101"/>
    <n v="0"/>
    <e v="#DIV/0!"/>
  </r>
  <r>
    <n v="364"/>
    <s v="Hosur"/>
    <x v="7"/>
    <m/>
    <n v="189002"/>
    <n v="3786201"/>
    <s v="TUB-R-AW-RHS-40.00X25.00X1.600X0.5380"/>
    <x v="0"/>
    <m/>
    <x v="1"/>
    <x v="0"/>
    <s v="KGR2"/>
    <m/>
    <m/>
    <m/>
    <s v="40-25-1.6-ERW 1-FC"/>
    <m/>
    <m/>
    <x v="15"/>
    <x v="15"/>
    <x v="4"/>
    <x v="0"/>
    <n v="538"/>
    <s v="NOS"/>
    <x v="42"/>
    <n v="0"/>
    <n v="7350"/>
    <n v="6.188146199961601"/>
    <n v="0"/>
    <n v="6.188146199961601"/>
    <n v="0"/>
    <n v="0"/>
    <n v="25.909101"/>
    <m/>
    <m/>
  </r>
  <r>
    <n v="363"/>
    <s v="Hosur"/>
    <x v="7"/>
    <m/>
    <n v="189002"/>
    <n v="3786202"/>
    <s v="TUB-R-AW-RHS-40.00X25.00X1.600X0.5870"/>
    <x v="0"/>
    <m/>
    <x v="1"/>
    <x v="0"/>
    <s v="KGR2"/>
    <m/>
    <m/>
    <m/>
    <s v="40-25-1.6-ERW 1-FC"/>
    <m/>
    <m/>
    <x v="15"/>
    <x v="15"/>
    <x v="4"/>
    <x v="0"/>
    <n v="587"/>
    <s v="NOS"/>
    <x v="43"/>
    <n v="0"/>
    <n v="6900"/>
    <n v="6.338378108313601"/>
    <n v="0"/>
    <n v="6.338378108313601"/>
    <n v="0"/>
    <n v="0"/>
    <n v="25.909101"/>
    <n v="6.188146199961601"/>
    <n v="0"/>
  </r>
  <r>
    <n v="385"/>
    <s v="Hosur"/>
    <x v="7"/>
    <m/>
    <n v="189002"/>
    <n v="1940840"/>
    <s v="TUB-R-AW-RHS-40.00X30.00X2.000X6.0000"/>
    <x v="0"/>
    <m/>
    <x v="1"/>
    <x v="1"/>
    <m/>
    <m/>
    <m/>
    <m/>
    <s v="40-30-2-ERW 1-FC"/>
    <m/>
    <m/>
    <x v="17"/>
    <x v="15"/>
    <x v="1"/>
    <x v="3"/>
    <n v="1000"/>
    <s v="M"/>
    <x v="44"/>
    <n v="0"/>
    <n v="1002"/>
    <n v="2.0968855002"/>
    <n v="0"/>
    <n v="2.0968855002"/>
    <n v="0"/>
    <n v="0"/>
    <n v="20.469457"/>
    <n v="6.338378108313601"/>
    <n v="0"/>
  </r>
  <r>
    <n v="362"/>
    <s v="Hosur"/>
    <x v="7"/>
    <m/>
    <n v="189002"/>
    <n v="1940852"/>
    <s v="TUB-S-AW-SHS-40.00X40.00X1.200X6.0000"/>
    <x v="5"/>
    <m/>
    <x v="0"/>
    <x v="0"/>
    <m/>
    <m/>
    <m/>
    <m/>
    <s v="40-40-1.2-CRFH-PE"/>
    <m/>
    <m/>
    <x v="4"/>
    <x v="15"/>
    <x v="11"/>
    <x v="1"/>
    <n v="1000"/>
    <s v="M"/>
    <x v="45"/>
    <n v="0"/>
    <n v="2880"/>
    <n v="4.2252724224"/>
    <n v="0"/>
    <n v="4.2252724224"/>
    <n v="0"/>
    <n v="0"/>
    <n v="13.794447"/>
    <n v="2.0968855002"/>
    <n v="0"/>
  </r>
  <r>
    <n v="276"/>
    <s v="Khopoli "/>
    <x v="8"/>
    <m/>
    <n v="188647"/>
    <n v="2363145"/>
    <s v="TUB-O-C-AUT-AN-FC-14.00X2.450X5.0000"/>
    <x v="2"/>
    <m/>
    <x v="3"/>
    <x v="1"/>
    <m/>
    <m/>
    <m/>
    <m/>
    <s v="14-9.1-2.45-CEW-"/>
    <m/>
    <m/>
    <x v="5"/>
    <x v="5"/>
    <x v="12"/>
    <x v="20"/>
    <n v="5000"/>
    <m/>
    <x v="30"/>
    <e v="#N/A"/>
    <e v="#N/A"/>
    <n v="0"/>
    <e v="#N/A"/>
    <e v="#N/A"/>
    <e v="#DIV/0!"/>
    <n v="0"/>
    <n v="0"/>
    <n v="4.2252724224"/>
    <e v="#N/A"/>
  </r>
  <r>
    <n v="291"/>
    <s v="Khopoli "/>
    <x v="8"/>
    <m/>
    <n v="188647"/>
    <n v="3545493"/>
    <s v="TUB-O-C-AUT-AD-FC-19.00X3.250X0.1800"/>
    <x v="2"/>
    <m/>
    <x v="2"/>
    <x v="2"/>
    <m/>
    <m/>
    <m/>
    <m/>
    <s v="19-12.5-3.25-CEW-CEW"/>
    <s v="19-12.5-3.25-CEW-CEW-0.18"/>
    <n v="2"/>
    <x v="27"/>
    <x v="22"/>
    <x v="13"/>
    <x v="21"/>
    <n v="180"/>
    <s v="NOS"/>
    <x v="6"/>
    <n v="0"/>
    <n v="5000"/>
    <n v="1.13554861875"/>
    <n v="0"/>
    <n v="1.13554861875"/>
    <n v="0"/>
    <n v="0"/>
    <n v="20.418666"/>
    <n v="0"/>
    <e v="#DIV/0!"/>
  </r>
  <r>
    <n v="290"/>
    <s v="Khopoli "/>
    <x v="8"/>
    <m/>
    <n v="188647"/>
    <n v="3545492"/>
    <s v="TUB-O-C-AUT-AD-FC-19.00X3.250X0.1950"/>
    <x v="2"/>
    <m/>
    <x v="2"/>
    <x v="2"/>
    <m/>
    <m/>
    <m/>
    <m/>
    <s v="19-12.5-3.25-CEW-CEW"/>
    <s v="19-12.5-3.25-CEW-CEW-0.195"/>
    <n v="2"/>
    <x v="27"/>
    <x v="22"/>
    <x v="13"/>
    <x v="21"/>
    <n v="195"/>
    <s v="NOS"/>
    <x v="3"/>
    <n v="0"/>
    <n v="8000"/>
    <n v="1.9682842725"/>
    <n v="0"/>
    <n v="1.9682842725"/>
    <n v="412.6111310986964"/>
    <n v="0.101517"/>
    <n v="20.418666"/>
    <m/>
    <m/>
  </r>
  <r>
    <n v="266"/>
    <s v="Hosur"/>
    <x v="8"/>
    <m/>
    <n v="188647"/>
    <n v="2418569"/>
    <s v="TUB-O-N-AUT-AW-PE-19.05X1.600X1.4050"/>
    <x v="0"/>
    <m/>
    <x v="0"/>
    <x v="0"/>
    <s v="WG"/>
    <m/>
    <m/>
    <m/>
    <s v="19.05-0-1.6-ERW 1-PE"/>
    <s v="19.05-0-1.6-ERW 1-PE-1.405"/>
    <n v="1"/>
    <x v="2"/>
    <x v="2"/>
    <x v="0"/>
    <x v="0"/>
    <n v="1405"/>
    <s v="NOS"/>
    <x v="2"/>
    <n v="0"/>
    <n v="4000"/>
    <n v="3.8676844496"/>
    <n v="0"/>
    <n v="3.8676844496"/>
    <n v="2.573115808614957"/>
    <n v="0.002488"/>
    <n v="14.281977"/>
    <n v="1.9657962725"/>
    <n v="0.001264045054244064"/>
  </r>
  <r>
    <n v="278"/>
    <s v="Khopoli "/>
    <x v="8"/>
    <m/>
    <n v="188647"/>
    <n v="2410994"/>
    <s v="TUB-O-C-AUT-AD-FC-21.75X3.500X04-05"/>
    <x v="2"/>
    <m/>
    <x v="3"/>
    <x v="1"/>
    <m/>
    <m/>
    <m/>
    <m/>
    <s v="21.75-0-3.5-CEW-"/>
    <m/>
    <m/>
    <x v="28"/>
    <x v="26"/>
    <x v="0"/>
    <x v="16"/>
    <n v="4500"/>
    <s v="M"/>
    <x v="30"/>
    <n v="0"/>
    <n v="0"/>
    <n v="0"/>
    <n v="0"/>
    <n v="0"/>
    <e v="#DIV/0!"/>
    <n v="0"/>
    <n v="0"/>
    <n v="3.8676844496"/>
    <n v="0"/>
  </r>
  <r>
    <n v="274"/>
    <s v="Hosur"/>
    <x v="8"/>
    <m/>
    <n v="188647"/>
    <n v="1940407"/>
    <s v="TUB-O-O-AUT-AW-PE-22.23X1.600X0.7400"/>
    <x v="0"/>
    <m/>
    <x v="0"/>
    <x v="0"/>
    <s v="GR1"/>
    <m/>
    <m/>
    <m/>
    <s v="22.23-0-1.6-ERW 1-PE"/>
    <s v="22.23-0-1.6-ERW 1-PE-0.74"/>
    <n v="1"/>
    <x v="8"/>
    <x v="8"/>
    <x v="0"/>
    <x v="0"/>
    <n v="740"/>
    <s v="NOS"/>
    <x v="11"/>
    <n v="0"/>
    <n v="3000"/>
    <n v="1.80622350624"/>
    <n v="0"/>
    <n v="1.80622350624"/>
    <n v="2427.50024282842"/>
    <n v="1.461536"/>
    <n v="68.25120299999999"/>
    <n v="-1.461536"/>
    <e v="#DIV/0!"/>
  </r>
  <r>
    <n v="267"/>
    <s v="Hosur"/>
    <x v="8"/>
    <m/>
    <n v="188647"/>
    <n v="2418687"/>
    <s v="TUB-O-N-AUT-AW-PE-22.23X1.600X0.8800"/>
    <x v="0"/>
    <m/>
    <x v="0"/>
    <x v="0"/>
    <s v="GR1"/>
    <m/>
    <m/>
    <m/>
    <s v="22.23-0-1.6-ERW 1-PE"/>
    <s v="22.23-0-1.6-ERW 1-PE-0.88"/>
    <n v="1"/>
    <x v="8"/>
    <x v="8"/>
    <x v="0"/>
    <x v="0"/>
    <n v="880"/>
    <s v="NOS"/>
    <x v="11"/>
    <n v="0"/>
    <n v="3000"/>
    <n v="2.14794146688"/>
    <n v="0"/>
    <n v="2.14794146688"/>
    <n v="2314.655253255912"/>
    <n v="1.657248"/>
    <n v="68.25120299999999"/>
    <n v="0.1489755062399998"/>
    <n v="0.9175210012906316"/>
  </r>
  <r>
    <n v="292"/>
    <s v="Hosur"/>
    <x v="8"/>
    <m/>
    <n v="188647"/>
    <n v="3732180"/>
    <s v="TUB-O-O-AUT-AW-FC-25.40X1.600X0.2080"/>
    <x v="0"/>
    <m/>
    <x v="1"/>
    <x v="0"/>
    <s v="NORMAL"/>
    <m/>
    <m/>
    <m/>
    <s v="25.4-0-1.6-ERW 1-FC"/>
    <m/>
    <m/>
    <x v="3"/>
    <x v="3"/>
    <x v="0"/>
    <x v="0"/>
    <n v="208"/>
    <m/>
    <x v="30"/>
    <e v="#N/A"/>
    <e v="#N/A"/>
    <n v="0"/>
    <e v="#N/A"/>
    <e v="#N/A"/>
    <e v="#DIV/0!"/>
    <n v="0"/>
    <n v="4.102"/>
    <n v="2.14794146688"/>
    <m/>
  </r>
  <r>
    <n v="268"/>
    <s v="Hosur"/>
    <x v="8"/>
    <m/>
    <n v="188647"/>
    <n v="1940595"/>
    <s v="TUB-O-O-AUT-AW-FC-25.40X2.500X0.3220"/>
    <x v="0"/>
    <m/>
    <x v="3"/>
    <x v="1"/>
    <m/>
    <m/>
    <m/>
    <m/>
    <s v="25.4-0-2.5-ERW 1-"/>
    <m/>
    <m/>
    <x v="3"/>
    <x v="3"/>
    <x v="0"/>
    <x v="11"/>
    <n v="322"/>
    <m/>
    <x v="30"/>
    <e v="#N/A"/>
    <e v="#N/A"/>
    <n v="0"/>
    <e v="#N/A"/>
    <e v="#N/A"/>
    <e v="#DIV/0!"/>
    <n v="0"/>
    <n v="0"/>
    <n v="0"/>
    <e v="#N/A"/>
  </r>
  <r>
    <n v="294"/>
    <s v="Hosur"/>
    <x v="8"/>
    <m/>
    <n v="188647"/>
    <m/>
    <m/>
    <x v="0"/>
    <m/>
    <x v="3"/>
    <x v="0"/>
    <m/>
    <m/>
    <m/>
    <m/>
    <s v="28.58-0-1.6-ERW 1-"/>
    <m/>
    <m/>
    <x v="9"/>
    <x v="9"/>
    <x v="0"/>
    <x v="0"/>
    <n v="6000"/>
    <m/>
    <x v="30"/>
    <e v="#N/A"/>
    <e v="#N/A"/>
    <n v="0"/>
    <e v="#N/A"/>
    <e v="#N/A"/>
    <e v="#DIV/0!"/>
    <n v="0"/>
    <n v="0"/>
    <n v="0"/>
    <e v="#N/A"/>
  </r>
  <r>
    <n v="277"/>
    <s v="Hosur"/>
    <x v="8"/>
    <m/>
    <n v="188647"/>
    <n v="1940732"/>
    <s v="TUB-O-O-AUT-AW-FC-38.10X1.600X0.8210"/>
    <x v="0"/>
    <m/>
    <x v="1"/>
    <x v="1"/>
    <s v="GR1"/>
    <m/>
    <m/>
    <m/>
    <s v="38.1-0-1.6-ERW 1-FC"/>
    <m/>
    <m/>
    <x v="14"/>
    <x v="24"/>
    <x v="0"/>
    <x v="0"/>
    <n v="821"/>
    <m/>
    <x v="30"/>
    <e v="#N/A"/>
    <e v="#N/A"/>
    <n v="0"/>
    <e v="#N/A"/>
    <e v="#N/A"/>
    <e v="#DIV/0!"/>
    <n v="0"/>
    <n v="13.630225"/>
    <n v="0"/>
    <e v="#N/A"/>
  </r>
  <r>
    <n v="283"/>
    <s v="Hosur"/>
    <x v="8"/>
    <m/>
    <n v="188647"/>
    <n v="3768904"/>
    <s v="CUT-O-N-AUT-AW-FC-38.10X1.600X0.8780"/>
    <x v="4"/>
    <m/>
    <x v="1"/>
    <x v="0"/>
    <s v="ST52AL"/>
    <m/>
    <m/>
    <m/>
    <s v="38.1-0-1.6-ERW 2 MAHS-FC"/>
    <s v="38.1-0-1.6-ERW 2 MAHS-FC-0.878"/>
    <n v="1"/>
    <x v="14"/>
    <x v="24"/>
    <x v="0"/>
    <x v="0"/>
    <n v="878"/>
    <s v="NOS"/>
    <x v="12"/>
    <n v="1000"/>
    <n v="5000"/>
    <n v="7.583294428799999"/>
    <n v="1.2638824048"/>
    <n v="6.319412024"/>
    <n v="5498.929309882897"/>
    <n v="6.949999999999999"/>
    <n v="30.275"/>
    <n v="-6.949999999999999"/>
    <e v="#DIV/0!"/>
  </r>
  <r>
    <n v="271"/>
    <s v="Hosur"/>
    <x v="8"/>
    <m/>
    <n v="188647"/>
    <n v="3191747"/>
    <s v="TUB-O-N-AUT-AW-FC-38.10X1.600X0.9300"/>
    <x v="4"/>
    <m/>
    <x v="1"/>
    <x v="1"/>
    <s v="ST52AL"/>
    <m/>
    <m/>
    <m/>
    <s v="38.1-0-1.6-ERW 2 MAHS-FC"/>
    <m/>
    <m/>
    <x v="14"/>
    <x v="24"/>
    <x v="0"/>
    <x v="0"/>
    <n v="930"/>
    <m/>
    <x v="30"/>
    <e v="#N/A"/>
    <e v="#N/A"/>
    <n v="0"/>
    <e v="#N/A"/>
    <e v="#N/A"/>
    <e v="#DIV/0!"/>
    <n v="0"/>
    <n v="30.275"/>
    <n v="7.583294428799999"/>
    <e v="#N/A"/>
  </r>
  <r>
    <n v="293"/>
    <s v="Hosur"/>
    <x v="8"/>
    <m/>
    <n v="188647"/>
    <n v="3768902"/>
    <s v="CUT-O-N-AUT-AW-FC-38.10X2.000X0.2770 "/>
    <x v="0"/>
    <m/>
    <x v="3"/>
    <x v="1"/>
    <m/>
    <m/>
    <m/>
    <m/>
    <s v="38.1-0-2-ERW 1-"/>
    <m/>
    <m/>
    <x v="14"/>
    <x v="24"/>
    <x v="0"/>
    <x v="3"/>
    <n v="276.5"/>
    <m/>
    <x v="30"/>
    <e v="#N/A"/>
    <e v="#N/A"/>
    <n v="0"/>
    <e v="#N/A"/>
    <e v="#N/A"/>
    <e v="#DIV/0!"/>
    <n v="0"/>
    <n v="0"/>
    <n v="0"/>
    <e v="#N/A"/>
  </r>
  <r>
    <n v="272"/>
    <s v="Hosur"/>
    <x v="8"/>
    <m/>
    <n v="188647"/>
    <n v="3191748"/>
    <s v="TUB-O-N-AUT-AW-FC-38.10X2.000X0.9300"/>
    <x v="4"/>
    <m/>
    <x v="3"/>
    <x v="1"/>
    <s v="ST52AL"/>
    <m/>
    <m/>
    <m/>
    <s v="38.1-0-2-ERW 2 MAHS-"/>
    <m/>
    <m/>
    <x v="14"/>
    <x v="24"/>
    <x v="0"/>
    <x v="3"/>
    <n v="930"/>
    <m/>
    <x v="30"/>
    <e v="#N/A"/>
    <e v="#N/A"/>
    <n v="0"/>
    <e v="#N/A"/>
    <e v="#N/A"/>
    <e v="#DIV/0!"/>
    <n v="0"/>
    <n v="0"/>
    <n v="0"/>
    <e v="#N/A"/>
  </r>
  <r>
    <n v="284"/>
    <s v="JSR"/>
    <x v="8"/>
    <m/>
    <n v="188647"/>
    <n v="3768904"/>
    <s v="CUT-O-N-AUT-AW-FC-38.10X2.500X0.8780"/>
    <x v="4"/>
    <m/>
    <x v="1"/>
    <x v="1"/>
    <s v="ST52AL"/>
    <m/>
    <m/>
    <m/>
    <s v="38.1-0-2.5-ERW 2 MAHS-FC"/>
    <s v="38.1-0-2.5-ERW 2 MAHS-FC-0.878"/>
    <n v="1"/>
    <x v="14"/>
    <x v="24"/>
    <x v="0"/>
    <x v="11"/>
    <n v="878"/>
    <s v="NOS"/>
    <x v="12"/>
    <n v="0"/>
    <n v="6000"/>
    <n v="11.556732948"/>
    <n v="0"/>
    <n v="11.556732948"/>
    <n v="153.5515277531011"/>
    <n v="0.295759"/>
    <n v="17.571283"/>
    <n v="-0.295759"/>
    <e v="#DIV/0!"/>
  </r>
  <r>
    <n v="288"/>
    <s v="Hosur"/>
    <x v="8"/>
    <m/>
    <n v="188647"/>
    <n v="3768905"/>
    <s v="CUT-R-AW-AUT-40.00X25.00X1.600X0.3220"/>
    <x v="0"/>
    <m/>
    <x v="1"/>
    <x v="0"/>
    <s v="KGR2"/>
    <m/>
    <m/>
    <m/>
    <s v="40-25-1.6-ERW 1-FC"/>
    <m/>
    <m/>
    <x v="15"/>
    <x v="15"/>
    <x v="4"/>
    <x v="0"/>
    <n v="322"/>
    <m/>
    <x v="30"/>
    <e v="#N/A"/>
    <e v="#N/A"/>
    <n v="0"/>
    <e v="#N/A"/>
    <e v="#N/A"/>
    <e v="#DIV/0!"/>
    <n v="0"/>
    <n v="25.909101"/>
    <n v="11.556732948"/>
    <e v="#N/A"/>
  </r>
  <r>
    <n v="282"/>
    <s v="Khopoli "/>
    <x v="8"/>
    <m/>
    <n v="188647"/>
    <n v="3768907"/>
    <s v="CUT-O-N-AUT-AW-FC-41.28X3.200X0.2460"/>
    <x v="0"/>
    <m/>
    <x v="1"/>
    <x v="1"/>
    <m/>
    <s v="Chamferring"/>
    <m/>
    <m/>
    <s v="41.28-0-3.2-ERW 1-FC"/>
    <s v="41.28-0-3.2-ERW 1-FC-0.246"/>
    <n v="1"/>
    <x v="15"/>
    <x v="27"/>
    <x v="0"/>
    <x v="9"/>
    <n v="246"/>
    <s v="NOS"/>
    <x v="3"/>
    <n v="0"/>
    <n v="8000"/>
    <n v="5.911140974592"/>
    <n v="0"/>
    <n v="5.911140974592"/>
    <n v="9.853935179412701"/>
    <n v="0.007281"/>
    <n v="24.45254"/>
    <n v="-0.007281"/>
    <e v="#DIV/0!"/>
  </r>
  <r>
    <n v="280"/>
    <s v="Khopoli "/>
    <x v="8"/>
    <m/>
    <n v="188647"/>
    <m/>
    <m/>
    <x v="0"/>
    <s v="Annealed"/>
    <x v="3"/>
    <x v="1"/>
    <m/>
    <m/>
    <m/>
    <m/>
    <s v="0-0-4-ERW 1-"/>
    <m/>
    <m/>
    <x v="16"/>
    <x v="28"/>
    <x v="0"/>
    <x v="12"/>
    <n v="266"/>
    <m/>
    <x v="30"/>
    <e v="#N/A"/>
    <e v="#N/A"/>
    <n v="0"/>
    <e v="#N/A"/>
    <e v="#N/A"/>
    <e v="#DIV/0!"/>
    <n v="0"/>
    <n v="0"/>
    <n v="5.911140974592"/>
    <e v="#N/A"/>
  </r>
  <r>
    <n v="270"/>
    <s v="Khopoli "/>
    <x v="8"/>
    <m/>
    <n v="188647"/>
    <n v="2417648"/>
    <s v="TUB-O-N-AUT-AN-FC-42.70X3.500X0.2100"/>
    <x v="0"/>
    <s v="Annealed"/>
    <x v="1"/>
    <x v="1"/>
    <m/>
    <m/>
    <m/>
    <m/>
    <s v="42.7-0-3.5-ERW 1-FC"/>
    <s v="42.7-0-3.5-ERW 1-FC-0.21"/>
    <n v="3"/>
    <x v="16"/>
    <x v="16"/>
    <x v="0"/>
    <x v="16"/>
    <n v="210"/>
    <s v="NOS"/>
    <x v="7"/>
    <n v="0"/>
    <n v="2000"/>
    <n v="1.420373976"/>
    <n v="0"/>
    <n v="1.420373976"/>
    <n v="6432.351024713509"/>
    <n v="4.568172000000001"/>
    <n v="68.50834200000001"/>
    <n v="-4.568172000000001"/>
    <e v="#DIV/0!"/>
  </r>
  <r>
    <n v="390"/>
    <s v="Khopoli "/>
    <x v="8"/>
    <m/>
    <n v="188647"/>
    <n v="2396465"/>
    <s v="TUB-O-N-AUT-AN-FC-42.70X3.500X6.0000"/>
    <x v="2"/>
    <s v="Annealed"/>
    <x v="3"/>
    <x v="1"/>
    <m/>
    <m/>
    <m/>
    <m/>
    <s v="42.7-0-3.5-CEW-"/>
    <m/>
    <m/>
    <x v="16"/>
    <x v="16"/>
    <x v="0"/>
    <x v="16"/>
    <n v="6000"/>
    <m/>
    <x v="30"/>
    <e v="#N/A"/>
    <e v="#N/A"/>
    <n v="0"/>
    <e v="#N/A"/>
    <e v="#N/A"/>
    <e v="#DIV/0!"/>
    <n v="0"/>
    <n v="0"/>
    <n v="1.420373976"/>
    <e v="#N/A"/>
  </r>
  <r>
    <n v="269"/>
    <s v="Khopoli "/>
    <x v="8"/>
    <m/>
    <n v="188647"/>
    <n v="2428441"/>
    <s v="TUB-O-N-AUT-AN-FC-42.70X4.000X0.2350"/>
    <x v="0"/>
    <s v="Annealed"/>
    <x v="1"/>
    <x v="1"/>
    <m/>
    <s v="Chamferring"/>
    <m/>
    <m/>
    <s v="42.7-0-4-ERW 1-FC"/>
    <s v="42.7-0-4-ERW 1-FC-0.235"/>
    <n v="2"/>
    <x v="16"/>
    <x v="16"/>
    <x v="0"/>
    <x v="12"/>
    <n v="235"/>
    <s v="NOS"/>
    <x v="2"/>
    <n v="0"/>
    <n v="4000"/>
    <n v="3.586725288"/>
    <n v="0"/>
    <n v="3.586725288"/>
    <n v="2636.070298339503"/>
    <n v="2.363715"/>
    <n v="91.26529599999999"/>
    <n v="-2.363715"/>
    <e v="#DIV/0!"/>
  </r>
  <r>
    <n v="389"/>
    <s v="Khopoli "/>
    <x v="8"/>
    <m/>
    <n v="188647"/>
    <n v="2426233"/>
    <s v="TUB-O-N-AUT-AN-FC-42.70X4.000X5.7300"/>
    <x v="2"/>
    <s v="Annealed"/>
    <x v="3"/>
    <x v="1"/>
    <m/>
    <m/>
    <m/>
    <m/>
    <s v="42.7-0-4-CEW-"/>
    <m/>
    <m/>
    <x v="16"/>
    <x v="16"/>
    <x v="0"/>
    <x v="12"/>
    <n v="5730"/>
    <m/>
    <x v="30"/>
    <e v="#N/A"/>
    <e v="#N/A"/>
    <n v="0"/>
    <e v="#N/A"/>
    <e v="#N/A"/>
    <e v="#DIV/0!"/>
    <n v="0"/>
    <n v="0"/>
    <n v="3.586725288"/>
    <e v="#N/A"/>
  </r>
  <r>
    <n v="275"/>
    <s v="Hosur"/>
    <x v="8"/>
    <m/>
    <n v="188647"/>
    <n v="1940829"/>
    <s v="TUB-R-AW-RHS-40.00X30.00X1.600X0.3140"/>
    <x v="0"/>
    <m/>
    <x v="3"/>
    <x v="1"/>
    <m/>
    <m/>
    <m/>
    <m/>
    <s v="40-30-1.6-ERW 1-"/>
    <m/>
    <m/>
    <x v="17"/>
    <x v="15"/>
    <x v="1"/>
    <x v="0"/>
    <n v="314"/>
    <m/>
    <x v="30"/>
    <e v="#N/A"/>
    <e v="#N/A"/>
    <n v="0"/>
    <e v="#N/A"/>
    <e v="#N/A"/>
    <e v="#DIV/0!"/>
    <n v="0"/>
    <n v="0"/>
    <n v="0"/>
    <e v="#N/A"/>
  </r>
  <r>
    <n v="281"/>
    <s v="Hosur"/>
    <x v="8"/>
    <m/>
    <n v="188647"/>
    <n v="3712521"/>
    <s v="CUT-R-AW-RHS-40.00X30.00X1.600X0.8350"/>
    <x v="0"/>
    <m/>
    <x v="1"/>
    <x v="0"/>
    <s v="HROP"/>
    <m/>
    <m/>
    <m/>
    <s v="40-30-1.6-ERW 1-FC"/>
    <s v="40-30-1.6-ERW 1-FC-0.835"/>
    <n v="1"/>
    <x v="17"/>
    <x v="15"/>
    <x v="1"/>
    <x v="0"/>
    <n v="835"/>
    <s v="NOS"/>
    <x v="46"/>
    <n v="510"/>
    <n v="12490"/>
    <n v="18.3442492012"/>
    <n v="0.7196590071240001"/>
    <n v="17.624590194076"/>
    <n v="3714.121262348695"/>
    <n v="5.240982"/>
    <n v="23.114797"/>
    <n v="-5.240982"/>
    <e v="#DIV/0!"/>
  </r>
  <r>
    <n v="279"/>
    <s v="Hosur"/>
    <x v="8"/>
    <m/>
    <n v="188647"/>
    <n v="1940831"/>
    <s v="TUB-R-AW-RHS-40.00X30.00X1.600X0.8800"/>
    <x v="0"/>
    <m/>
    <x v="1"/>
    <x v="0"/>
    <s v="GR1"/>
    <m/>
    <m/>
    <m/>
    <s v="40-30-1.6-ERW 1-FC"/>
    <s v="40-30-1.6-ERW 1-FC-0.88"/>
    <n v="1"/>
    <x v="17"/>
    <x v="15"/>
    <x v="1"/>
    <x v="0"/>
    <n v="880"/>
    <s v="NOS"/>
    <x v="14"/>
    <n v="0"/>
    <n v="2500"/>
    <n v="3.717857968"/>
    <n v="0"/>
    <n v="3.717857968"/>
    <n v="0"/>
    <n v="0"/>
    <n v="23.114797"/>
    <n v="18.3442492012"/>
    <n v="0"/>
  </r>
  <r>
    <n v="265"/>
    <s v="Hosur"/>
    <x v="8"/>
    <m/>
    <n v="188647"/>
    <n v="2325421"/>
    <s v="TUB-O-N-AUT-AW-FC-48.60X1.200X0.3360"/>
    <x v="0"/>
    <m/>
    <x v="1"/>
    <x v="0"/>
    <m/>
    <m/>
    <m/>
    <m/>
    <s v="48.6-0-1.2-ERW 1-FC"/>
    <s v="48.6-0-1.2-ERW 1-FC-0.336"/>
    <n v="1"/>
    <x v="18"/>
    <x v="17"/>
    <x v="0"/>
    <x v="1"/>
    <n v="336"/>
    <s v="NOS"/>
    <x v="4"/>
    <n v="5980"/>
    <n v="4020"/>
    <n v="4.7108380032"/>
    <n v="2.8170811259136"/>
    <n v="1.8937568772864"/>
    <n v="9.781699130536552"/>
    <n v="0.004607999999999999"/>
    <n v="7.151608"/>
    <n v="3.713249968"/>
    <n v="0.7589556002946265"/>
  </r>
  <r>
    <n v="286"/>
    <s v="Hosur"/>
    <x v="8"/>
    <m/>
    <n v="188647"/>
    <n v="3768906"/>
    <s v="CUT-O-N-AUT-AW-AG-57.15X2.500X0.3460"/>
    <x v="0"/>
    <m/>
    <x v="1"/>
    <x v="1"/>
    <m/>
    <m/>
    <s v="AG"/>
    <m/>
    <s v="57.15-0-2.5-ERW 1-FC"/>
    <s v="57.15-0-2.5-ERW 1-FC-0.346"/>
    <m/>
    <x v="19"/>
    <x v="19"/>
    <x v="0"/>
    <x v="11"/>
    <n v="346"/>
    <s v="NOS"/>
    <x v="30"/>
    <n v="0"/>
    <n v="0"/>
    <n v="0"/>
    <n v="0"/>
    <n v="0"/>
    <e v="#DIV/0!"/>
    <n v="0"/>
    <n v="32.796514"/>
    <n v="4.7108380032"/>
    <n v="0"/>
  </r>
  <r>
    <n v="287"/>
    <s v="Hosur"/>
    <x v="8"/>
    <m/>
    <n v="188647"/>
    <n v="2440972"/>
    <s v="TUB-O-N-AUT-AW-FC-57.15X2.500X0.3750"/>
    <x v="0"/>
    <m/>
    <x v="1"/>
    <x v="1"/>
    <m/>
    <m/>
    <m/>
    <m/>
    <s v="57.15-0-2.5-ERW 1-FC"/>
    <m/>
    <m/>
    <x v="19"/>
    <x v="19"/>
    <x v="0"/>
    <x v="11"/>
    <n v="375"/>
    <m/>
    <x v="30"/>
    <e v="#N/A"/>
    <e v="#N/A"/>
    <n v="0"/>
    <e v="#N/A"/>
    <e v="#N/A"/>
    <e v="#DIV/0!"/>
    <n v="0"/>
    <n v="32.796514"/>
    <n v="0"/>
    <e v="#N/A"/>
  </r>
  <r>
    <n v="273"/>
    <s v="Hosur"/>
    <x v="8"/>
    <m/>
    <n v="188647"/>
    <n v="3542857"/>
    <s v="TUB-O-N-AUT-AW-AG-57.15X2.500X0.8120"/>
    <x v="0"/>
    <m/>
    <x v="3"/>
    <x v="1"/>
    <m/>
    <m/>
    <m/>
    <m/>
    <s v="57.15-0-2.5-ERW 1-"/>
    <m/>
    <m/>
    <x v="19"/>
    <x v="19"/>
    <x v="0"/>
    <x v="11"/>
    <n v="812"/>
    <m/>
    <x v="30"/>
    <e v="#N/A"/>
    <e v="#N/A"/>
    <n v="0"/>
    <e v="#N/A"/>
    <e v="#N/A"/>
    <e v="#DIV/0!"/>
    <n v="0"/>
    <n v="0"/>
    <n v="0"/>
    <e v="#N/A"/>
  </r>
  <r>
    <n v="285"/>
    <s v="Khopoli "/>
    <x v="8"/>
    <m/>
    <n v="188647"/>
    <n v="3768903"/>
    <s v="CUT-O-N-AUT-AW-FC-60.30X2.000X0.5250"/>
    <x v="0"/>
    <m/>
    <x v="1"/>
    <x v="1"/>
    <m/>
    <m/>
    <s v="AG"/>
    <m/>
    <s v="60.3-0-2-ERW 1-FC"/>
    <s v="60.3-0-2-ERW 1-FC-0.525"/>
    <n v="1"/>
    <x v="29"/>
    <x v="29"/>
    <x v="0"/>
    <x v="3"/>
    <n v="525"/>
    <s v="NOS"/>
    <x v="12"/>
    <n v="0"/>
    <n v="6000"/>
    <n v="9.053331209999998"/>
    <n v="0"/>
    <n v="9.053331209999998"/>
    <n v="0"/>
    <n v="0"/>
    <n v="105.488065"/>
    <n v="0"/>
    <e v="#DIV/0!"/>
  </r>
  <r>
    <n v="392"/>
    <s v="Khopoli "/>
    <x v="9"/>
    <m/>
    <n v="187546"/>
    <n v="1938483"/>
    <s v="TUB-I-C-AUT-AD-FC-18.00X4.000X3.7000"/>
    <x v="2"/>
    <m/>
    <x v="3"/>
    <x v="1"/>
    <m/>
    <m/>
    <m/>
    <m/>
    <s v="26-18-4-CEW-"/>
    <m/>
    <m/>
    <x v="30"/>
    <x v="30"/>
    <x v="14"/>
    <x v="12"/>
    <n v="3700"/>
    <m/>
    <x v="30"/>
    <e v="#N/A"/>
    <e v="#N/A"/>
    <n v="0"/>
    <e v="#N/A"/>
    <e v="#N/A"/>
    <e v="#DIV/0!"/>
    <n v="0"/>
    <n v="0"/>
    <n v="9.053331209999998"/>
    <e v="#N/A"/>
  </r>
  <r>
    <n v="296"/>
    <s v="Khopoli "/>
    <x v="9"/>
    <m/>
    <n v="187546"/>
    <n v="2418610"/>
    <s v="TUB-O-C-AUT-AD-FC-25.40X3.500X.24700"/>
    <x v="2"/>
    <m/>
    <x v="2"/>
    <x v="2"/>
    <m/>
    <m/>
    <m/>
    <m/>
    <s v="25.4-18.4-3.5-CEW-CEW"/>
    <s v="25.4-18.4-3.5-CEW-CEW-0.247"/>
    <n v="1"/>
    <x v="3"/>
    <x v="3"/>
    <x v="15"/>
    <x v="16"/>
    <n v="247"/>
    <s v="NOS"/>
    <x v="21"/>
    <n v="215"/>
    <n v="33785"/>
    <n v="15.8667264483"/>
    <n v="0.10033371136425"/>
    <n v="15.76639273693575"/>
    <n v="1333.113548589999"/>
    <n v="0.622122"/>
    <n v="72.61930099999999"/>
    <n v="-0.622122"/>
    <e v="#DIV/0!"/>
  </r>
  <r>
    <n v="297"/>
    <s v="Khopoli "/>
    <x v="9"/>
    <m/>
    <n v="187546"/>
    <n v="2418610"/>
    <s v="TUB-O-C-AUT-AD-FC-25.40X3.500X.26300"/>
    <x v="2"/>
    <m/>
    <x v="2"/>
    <x v="2"/>
    <m/>
    <m/>
    <m/>
    <m/>
    <s v="25.4-18.4-3.5-CEW-CEW"/>
    <s v="25.4-18.4-3.5-CEW-CEW-0.263"/>
    <n v="1"/>
    <x v="3"/>
    <x v="3"/>
    <x v="15"/>
    <x v="16"/>
    <n v="263"/>
    <s v="NOS"/>
    <x v="31"/>
    <n v="0"/>
    <n v="20000"/>
    <n v="9.937959170999999"/>
    <n v="0"/>
    <n v="9.937959170999999"/>
    <n v="0"/>
    <n v="0"/>
    <n v="72.61930099999999"/>
    <n v="15.8667264483"/>
    <n v="0"/>
  </r>
  <r>
    <n v="395"/>
    <s v="Khopoli "/>
    <x v="9"/>
    <m/>
    <n v="187546"/>
    <n v="2418610"/>
    <s v="TUB-O-C-AUT-AD-FC-25.40X3.500X04-05"/>
    <x v="2"/>
    <m/>
    <x v="3"/>
    <x v="1"/>
    <m/>
    <m/>
    <m/>
    <m/>
    <s v="25.4-18.4-3.5-CEW-"/>
    <m/>
    <m/>
    <x v="3"/>
    <x v="3"/>
    <x v="15"/>
    <x v="16"/>
    <n v="4500"/>
    <m/>
    <x v="30"/>
    <e v="#N/A"/>
    <e v="#N/A"/>
    <n v="0"/>
    <e v="#N/A"/>
    <e v="#N/A"/>
    <e v="#DIV/0!"/>
    <n v="0"/>
    <n v="0"/>
    <n v="9.937959170999999"/>
    <e v="#N/A"/>
  </r>
  <r>
    <n v="393"/>
    <s v="Khopoli "/>
    <x v="9"/>
    <m/>
    <n v="187546"/>
    <n v="2426241"/>
    <s v="TUB-O-C-AUT-AD-FC-25.60X4.500X4.2000"/>
    <x v="2"/>
    <m/>
    <x v="3"/>
    <x v="1"/>
    <m/>
    <m/>
    <m/>
    <m/>
    <s v="25.6-16.6-4.5-CEW-"/>
    <m/>
    <m/>
    <x v="31"/>
    <x v="31"/>
    <x v="16"/>
    <x v="14"/>
    <n v="4200"/>
    <m/>
    <x v="30"/>
    <e v="#N/A"/>
    <e v="#N/A"/>
    <n v="0"/>
    <e v="#N/A"/>
    <e v="#N/A"/>
    <e v="#DIV/0!"/>
    <n v="0"/>
    <n v="0"/>
    <n v="0"/>
    <e v="#N/A"/>
  </r>
  <r>
    <n v="391"/>
    <s v="Khopoli "/>
    <x v="9"/>
    <m/>
    <n v="187546"/>
    <n v="3190072"/>
    <s v="TUB-O-C-AUT-AD-FC-29.40X4.500X0.3570"/>
    <x v="2"/>
    <m/>
    <x v="2"/>
    <x v="1"/>
    <m/>
    <s v="Chamferring"/>
    <m/>
    <m/>
    <s v="29.4-20.4-4.5-CEW-CEW"/>
    <s v="29.4-20.4-4.5-CEW-CEW-0.357"/>
    <n v="1"/>
    <x v="21"/>
    <x v="20"/>
    <x v="6"/>
    <x v="14"/>
    <n v="357"/>
    <s v="NOS"/>
    <x v="31"/>
    <n v="0"/>
    <n v="20000"/>
    <n v="19.720112013"/>
    <n v="0"/>
    <n v="19.720112013"/>
    <n v="0"/>
    <n v="0"/>
    <n v="1.460846"/>
    <n v="0"/>
    <e v="#DIV/0!"/>
  </r>
  <r>
    <n v="295"/>
    <s v="Khopoli "/>
    <x v="9"/>
    <m/>
    <n v="187546"/>
    <n v="1941303"/>
    <s v="TUB-O-C-AUT-AD-FC-29.40X4.500X0.3610"/>
    <x v="3"/>
    <m/>
    <x v="2"/>
    <x v="1"/>
    <m/>
    <s v="Chamferring"/>
    <m/>
    <m/>
    <s v="29.4-20.4-4.5-CEW STKM 13C-CEW"/>
    <s v="29.4-20.4-4.5-CEW STKM 13C-CEW-0.361"/>
    <n v="2"/>
    <x v="21"/>
    <x v="20"/>
    <x v="6"/>
    <x v="14"/>
    <n v="361"/>
    <s v="NOS"/>
    <x v="4"/>
    <n v="3170"/>
    <n v="6830"/>
    <n v="9.970532824499998"/>
    <n v="3.1606589053665"/>
    <n v="6.809873919133498"/>
    <n v="3477.182274031438"/>
    <n v="3.466936"/>
    <n v="30.48533"/>
    <n v="16.253176013"/>
    <n v="0.3360830253396848"/>
  </r>
  <r>
    <n v="394"/>
    <s v="Khopoli "/>
    <x v="9"/>
    <m/>
    <n v="187546"/>
    <n v="1939872"/>
    <s v="TUB-O-C-CEW-AD-FC-32.00X4.500X3.3000"/>
    <x v="2"/>
    <m/>
    <x v="3"/>
    <x v="1"/>
    <m/>
    <m/>
    <m/>
    <m/>
    <s v="32-0-4.5-CEW-"/>
    <m/>
    <m/>
    <x v="32"/>
    <x v="32"/>
    <x v="0"/>
    <x v="14"/>
    <n v="3300"/>
    <m/>
    <x v="30"/>
    <e v="#N/A"/>
    <e v="#N/A"/>
    <n v="0"/>
    <e v="#N/A"/>
    <e v="#N/A"/>
    <e v="#DIV/0!"/>
    <n v="0"/>
    <n v="0"/>
    <n v="9.970532824499998"/>
    <e v="#N/A"/>
  </r>
  <r>
    <n v="397"/>
    <s v="Khopoli "/>
    <x v="10"/>
    <m/>
    <n v="189226"/>
    <n v="1931824"/>
    <s v="TUB-O-N-AUT-AW-PE-17.30X1.200X6.0000"/>
    <x v="2"/>
    <m/>
    <x v="3"/>
    <x v="1"/>
    <m/>
    <m/>
    <m/>
    <m/>
    <s v="17.3-0-1.2-CEW-"/>
    <m/>
    <m/>
    <x v="7"/>
    <x v="7"/>
    <x v="0"/>
    <x v="1"/>
    <n v="6000"/>
    <m/>
    <x v="30"/>
    <e v="#N/A"/>
    <e v="#N/A"/>
    <n v="0"/>
    <e v="#N/A"/>
    <e v="#N/A"/>
    <e v="#DIV/0!"/>
    <n v="0"/>
    <n v="0"/>
    <m/>
    <m/>
  </r>
  <r>
    <n v="398"/>
    <s v="Khopoli "/>
    <x v="10"/>
    <m/>
    <n v="189226"/>
    <n v="2397139"/>
    <s v="TUB-O-N-AUT-AN-FC-54.00X3.000X5.7500"/>
    <x v="6"/>
    <m/>
    <x v="1"/>
    <x v="1"/>
    <m/>
    <m/>
    <m/>
    <m/>
    <s v="54-0-3-ERW 2-FC"/>
    <m/>
    <m/>
    <x v="33"/>
    <x v="33"/>
    <x v="0"/>
    <x v="22"/>
    <n v="5750"/>
    <m/>
    <x v="30"/>
    <e v="#N/A"/>
    <e v="#N/A"/>
    <n v="0"/>
    <e v="#N/A"/>
    <e v="#N/A"/>
    <e v="#DIV/0!"/>
    <n v="0"/>
    <n v="37.081592"/>
    <n v="0"/>
    <e v="#N/A"/>
  </r>
  <r>
    <n v="399"/>
    <s v="Khopoli "/>
    <x v="10"/>
    <m/>
    <n v="189226"/>
    <n v="2429289"/>
    <s v="TUB-O-N-AUT-AN-FC-63.50X4.000X5.0600"/>
    <x v="0"/>
    <s v="Annealed"/>
    <x v="1"/>
    <x v="1"/>
    <m/>
    <m/>
    <m/>
    <m/>
    <s v="63.5-0-4-ERW 1-FC"/>
    <m/>
    <m/>
    <x v="34"/>
    <x v="34"/>
    <x v="0"/>
    <x v="12"/>
    <n v="5060"/>
    <m/>
    <x v="30"/>
    <e v="#N/A"/>
    <e v="#N/A"/>
    <n v="0"/>
    <e v="#N/A"/>
    <e v="#N/A"/>
    <e v="#DIV/0!"/>
    <n v="0"/>
    <n v="26.162721"/>
    <n v="0"/>
    <e v="#N/A"/>
  </r>
  <r>
    <n v="400"/>
    <s v="Khopoli "/>
    <x v="10"/>
    <m/>
    <n v="189226"/>
    <n v="3557967"/>
    <s v="TUB-O-N-AUT-AN-FC-70.00X3.200X6.4550"/>
    <x v="6"/>
    <m/>
    <x v="1"/>
    <x v="1"/>
    <m/>
    <m/>
    <m/>
    <m/>
    <s v="70-0-3.2-ERW 2-FC"/>
    <m/>
    <m/>
    <x v="35"/>
    <x v="35"/>
    <x v="0"/>
    <x v="9"/>
    <n v="6455"/>
    <m/>
    <x v="30"/>
    <e v="#N/A"/>
    <e v="#N/A"/>
    <n v="0"/>
    <e v="#N/A"/>
    <e v="#N/A"/>
    <e v="#DIV/0!"/>
    <n v="0"/>
    <n v="67.98188200000001"/>
    <n v="0"/>
    <e v="#N/A"/>
  </r>
  <r>
    <n v="64"/>
    <s v="Hosur"/>
    <x v="11"/>
    <m/>
    <s v="930801|189227"/>
    <n v="1940019"/>
    <s v="TUB-O-O-GEN-AW-PE-15.88X1.000X0.1400"/>
    <x v="0"/>
    <m/>
    <x v="0"/>
    <x v="0"/>
    <m/>
    <m/>
    <m/>
    <m/>
    <s v="15.88-0-1-ERW 1-PE"/>
    <s v="15.88-0-1-ERW 1-PE-0.14"/>
    <n v="1"/>
    <x v="1"/>
    <x v="1"/>
    <x v="0"/>
    <x v="2"/>
    <n v="140"/>
    <s v="NOS"/>
    <x v="2"/>
    <n v="0"/>
    <n v="4000"/>
    <n v="0.2053951872"/>
    <n v="0"/>
    <n v="0.2053951872"/>
    <n v="155.7972240549169"/>
    <n v="0.008"/>
    <n v="10.207096"/>
    <n v="0.1973951872"/>
    <n v="0.03894930601372923"/>
  </r>
  <r>
    <n v="70"/>
    <s v="Khopoli "/>
    <x v="11"/>
    <m/>
    <s v="930801|189227"/>
    <n v="1938195"/>
    <s v="TUB-O-N-AUT-AW-PE-17.30X1.200X0.1500"/>
    <x v="0"/>
    <m/>
    <x v="0"/>
    <x v="0"/>
    <m/>
    <m/>
    <m/>
    <m/>
    <s v="17.3-0-1.2-ERW 1-PE"/>
    <s v="17.3-0-1.2-ERW 1-PE-0.15"/>
    <n v="2"/>
    <x v="7"/>
    <x v="7"/>
    <x v="0"/>
    <x v="1"/>
    <n v="150"/>
    <s v="NOS"/>
    <x v="47"/>
    <n v="0"/>
    <n v="30000"/>
    <n v="2.142984060000001"/>
    <n v="0"/>
    <n v="2.142984060000001"/>
    <n v="10481.10922486283"/>
    <n v="0.748695"/>
    <n v="12.362345"/>
    <n v="1.394289060000001"/>
    <n v="0.3493703074954275"/>
  </r>
  <r>
    <n v="71"/>
    <s v="Khopoli "/>
    <x v="11"/>
    <m/>
    <s v="930801|189227"/>
    <n v="1938116"/>
    <s v="TUB-O-N-GEN-AW-PE-18.20X1.000X0.1100"/>
    <x v="0"/>
    <m/>
    <x v="0"/>
    <x v="0"/>
    <m/>
    <m/>
    <m/>
    <m/>
    <s v="18.2-0-1-ERW 1-PE"/>
    <s v="18.2-0-1-ERW 1-PE-0.11"/>
    <n v="1"/>
    <x v="36"/>
    <x v="36"/>
    <x v="0"/>
    <x v="2"/>
    <n v="110"/>
    <s v="NOS"/>
    <x v="47"/>
    <n v="3000"/>
    <n v="27000"/>
    <n v="1.39907724"/>
    <n v="0.139907724"/>
    <n v="1.259169516"/>
    <n v="0"/>
    <n v="0"/>
    <n v="4.570526"/>
    <n v="1.39907724"/>
    <n v="0.1"/>
  </r>
  <r>
    <n v="73"/>
    <s v="Khopoli "/>
    <x v="11"/>
    <m/>
    <s v="930801|189227"/>
    <n v="1938117"/>
    <s v="TUB-O-N-GEN-AW-PE-18.20X1.000X0.1450"/>
    <x v="0"/>
    <m/>
    <x v="0"/>
    <x v="0"/>
    <m/>
    <m/>
    <m/>
    <m/>
    <s v="18.2-0-1-ERW 1-PE"/>
    <s v="18.2-0-1-ERW 1-PE-0.145"/>
    <n v="1"/>
    <x v="36"/>
    <x v="36"/>
    <x v="0"/>
    <x v="2"/>
    <n v="145"/>
    <s v="NOS"/>
    <x v="47"/>
    <n v="850"/>
    <n v="29150"/>
    <n v="1.84423818"/>
    <n v="0.0522534151"/>
    <n v="1.7919847649"/>
    <n v="0"/>
    <n v="0"/>
    <n v="4.570526"/>
    <n v="1.84423818"/>
    <n v="0.02833333333333333"/>
  </r>
  <r>
    <n v="81"/>
    <s v="Khopoli "/>
    <x v="11"/>
    <m/>
    <s v="930801|189227"/>
    <n v="2439536"/>
    <s v="TUB-O-C-AUT-AD-FC-20.00X3.800X04-05"/>
    <x v="2"/>
    <m/>
    <x v="2"/>
    <x v="1"/>
    <m/>
    <m/>
    <m/>
    <m/>
    <s v="20-12.4-3.8-CEW-CEW"/>
    <s v="20-12.4-3.8-CEW-CEW"/>
    <n v="1"/>
    <x v="37"/>
    <x v="37"/>
    <x v="17"/>
    <x v="23"/>
    <n v="1000"/>
    <s v="M"/>
    <x v="6"/>
    <n v="0"/>
    <n v="5000"/>
    <n v="7.586962199999999"/>
    <n v="0"/>
    <n v="7.586962199999999"/>
    <n v="16691.48094608934"/>
    <n v="25.327527"/>
    <n v="25.327527"/>
    <n v="-17.7405648"/>
    <n v="3.338296189217867"/>
  </r>
  <r>
    <n v="83"/>
    <s v="Khopoli "/>
    <x v="11"/>
    <m/>
    <s v="930801|189227"/>
    <n v="2439535"/>
    <s v="TUB-O-C-AUT-AD-FC-20.00X4.500X04-05"/>
    <x v="2"/>
    <m/>
    <x v="2"/>
    <x v="1"/>
    <m/>
    <m/>
    <m/>
    <m/>
    <s v="20-12.4-4.5-CEW-CEW"/>
    <s v="20-12.4-4.5-CEW-CEW"/>
    <n v="1"/>
    <x v="37"/>
    <x v="37"/>
    <x v="17"/>
    <x v="14"/>
    <n v="1000"/>
    <s v="M"/>
    <x v="48"/>
    <n v="0"/>
    <n v="3500"/>
    <n v="6.017437125000001"/>
    <n v="0"/>
    <n v="6.017437125000001"/>
    <n v="6377.180634022825"/>
    <n v="10.964081"/>
    <n v="10.964081"/>
    <n v="-4.946643874999998"/>
    <n v="1.822051609720807"/>
  </r>
  <r>
    <n v="86"/>
    <s v="Hosur"/>
    <x v="11"/>
    <m/>
    <s v="930801|189227"/>
    <n v="1940357"/>
    <s v="TUB-O-O-AUT-AW-PE-22.23X1.200X0.1400"/>
    <x v="0"/>
    <m/>
    <x v="0"/>
    <x v="0"/>
    <m/>
    <m/>
    <m/>
    <m/>
    <s v="22.23-0-1.2-ERW 1-PE"/>
    <s v="22.23-0-1.2-ERW 1-PE-0.14"/>
    <n v="1"/>
    <x v="8"/>
    <x v="8"/>
    <x v="0"/>
    <x v="1"/>
    <n v="140"/>
    <s v="NOS"/>
    <x v="2"/>
    <n v="0"/>
    <n v="4000"/>
    <n v="0.34834361184"/>
    <n v="0"/>
    <n v="0.34834361184"/>
    <n v="314.1840305952545"/>
    <n v="0.027361"/>
    <n v="6.255843"/>
    <n v="5.990076125000001"/>
    <n v="0.07854600764881361"/>
  </r>
  <r>
    <n v="88"/>
    <s v="Hosur"/>
    <x v="11"/>
    <m/>
    <s v="930801|189227"/>
    <n v="1938251"/>
    <s v="TUB-O-N-AUT-AW-PE-22.23X1.600X0.3940"/>
    <x v="0"/>
    <m/>
    <x v="0"/>
    <x v="0"/>
    <s v="D"/>
    <m/>
    <m/>
    <m/>
    <s v="22.23-0-1.6-ERW 1-PE"/>
    <s v="22.23-0-1.6-ERW 1-PE-0.394"/>
    <n v="3"/>
    <x v="8"/>
    <x v="8"/>
    <x v="0"/>
    <x v="0"/>
    <n v="394"/>
    <s v="NOS"/>
    <x v="12"/>
    <n v="2075"/>
    <n v="3925"/>
    <n v="1.923383949888"/>
    <n v="0.6651702826696001"/>
    <n v="1.2582136672184"/>
    <n v="179.0625319609509"/>
    <n v="0.057401"/>
    <n v="68.25120299999999"/>
    <n v="1.865982949888"/>
    <n v="0.3756770886601585"/>
  </r>
  <r>
    <n v="89"/>
    <s v="Hosur"/>
    <x v="11"/>
    <m/>
    <s v="930801|189227"/>
    <n v="2427960"/>
    <s v="TUB-O-N-AUT-AW-PE-22.23X1.600X0.6700"/>
    <x v="0"/>
    <m/>
    <x v="0"/>
    <x v="0"/>
    <s v="HROP"/>
    <m/>
    <m/>
    <m/>
    <s v="22.23-0-1.6-ERW 1-PE"/>
    <s v="22.23-0-1.6-ERW 1-PE-0.67"/>
    <n v="2"/>
    <x v="8"/>
    <x v="8"/>
    <x v="0"/>
    <x v="0"/>
    <n v="670"/>
    <s v="NOS"/>
    <x v="20"/>
    <n v="0"/>
    <n v="14000"/>
    <n v="7.63170112096"/>
    <n v="0"/>
    <n v="7.63170112096"/>
    <n v="17.46399628176667"/>
    <n v="0.009519999999999999"/>
    <n v="68.25120299999999"/>
    <n v="7.62218112096"/>
    <n v="0.001247428305840477"/>
  </r>
  <r>
    <n v="90"/>
    <s v="Hosur"/>
    <x v="11"/>
    <m/>
    <s v="930801|189227"/>
    <n v="2427939"/>
    <s v="TUB-O-N-AUT-AW-PE-22.23X1.600X0.6750"/>
    <x v="0"/>
    <m/>
    <x v="0"/>
    <x v="0"/>
    <s v="HROP"/>
    <m/>
    <s v="AG"/>
    <m/>
    <s v="22.23-0-1.6-ERW 1-PE"/>
    <s v="22.23-0-1.6-ERW 1-PE-0.675"/>
    <n v="2"/>
    <x v="8"/>
    <x v="8"/>
    <x v="0"/>
    <x v="0"/>
    <n v="675"/>
    <s v="NOS"/>
    <x v="20"/>
    <n v="0"/>
    <n v="14000"/>
    <n v="7.6886541144"/>
    <n v="0"/>
    <n v="7.6886541144"/>
    <n v="0"/>
    <n v="0"/>
    <n v="68.25120299999999"/>
    <n v="7.6886541144"/>
    <n v="0"/>
  </r>
  <r>
    <n v="91"/>
    <s v="Hosur"/>
    <x v="11"/>
    <m/>
    <s v="930801|189227"/>
    <n v="1940408"/>
    <s v="TUB-O-O-AUT-AW-PE-22.23X1.600X0.8090"/>
    <x v="0"/>
    <m/>
    <x v="0"/>
    <x v="0"/>
    <s v="GR1"/>
    <m/>
    <m/>
    <m/>
    <s v="22.23-0-1.6-ERW 1-PE"/>
    <s v="22.23-0-1.6-ERW 1-PE-0.809"/>
    <n v="2"/>
    <x v="8"/>
    <x v="8"/>
    <x v="0"/>
    <x v="0"/>
    <n v="809"/>
    <s v="NOS"/>
    <x v="7"/>
    <n v="275"/>
    <n v="1725"/>
    <n v="1.316427762656"/>
    <n v="0.1810088173652"/>
    <n v="1.1354189452908"/>
    <n v="4135.433902591273"/>
    <n v="2.722"/>
    <n v="68.25120299999999"/>
    <n v="-1.405572237344"/>
    <n v="2.205216951295637"/>
  </r>
  <r>
    <n v="94"/>
    <s v="Hosur"/>
    <x v="11"/>
    <m/>
    <s v="930801|189227"/>
    <n v="1940437"/>
    <s v="TUB-O-O-AUT-AW-PE-22.23X2.000X0.3940"/>
    <x v="0"/>
    <m/>
    <x v="0"/>
    <x v="1"/>
    <m/>
    <m/>
    <m/>
    <m/>
    <s v="22.23-0-2-ERW 1-PE"/>
    <s v="22.23-0-2-ERW 1-PE-0.394"/>
    <n v="2"/>
    <x v="8"/>
    <x v="8"/>
    <x v="0"/>
    <x v="3"/>
    <n v="394"/>
    <s v="NOS"/>
    <x v="49"/>
    <n v="2925"/>
    <n v="12075"/>
    <n v="5.8940343714"/>
    <n v="1.149336702423"/>
    <n v="4.744697668977"/>
    <n v="6946.35667526233"/>
    <n v="2.729471"/>
    <n v="45.493454"/>
    <n v="3.1645633714"/>
    <n v="0.6580904450174886"/>
  </r>
  <r>
    <n v="95"/>
    <s v="Hosur"/>
    <x v="11"/>
    <m/>
    <s v="930801|189227"/>
    <n v="1940466"/>
    <s v="TUB-O-O-AUT-AW-PE-22.23X2.000X0.8090"/>
    <x v="0"/>
    <m/>
    <x v="0"/>
    <x v="1"/>
    <m/>
    <m/>
    <m/>
    <m/>
    <s v="22.23-0-2-ERW 1-PE"/>
    <s v="22.23-0-2-ERW 1-PE-0.809"/>
    <n v="2"/>
    <x v="8"/>
    <x v="8"/>
    <x v="0"/>
    <x v="3"/>
    <n v="809"/>
    <s v="NOS"/>
    <x v="12"/>
    <n v="3000"/>
    <n v="3000"/>
    <n v="4.840887113160001"/>
    <n v="2.42044355658"/>
    <n v="2.42044355658"/>
    <n v="9083.311998840793"/>
    <n v="7.328548"/>
    <n v="45.493454"/>
    <n v="-2.487660886839999"/>
    <n v="2.013885333140132"/>
  </r>
  <r>
    <n v="101"/>
    <s v="Hosur"/>
    <x v="11"/>
    <m/>
    <s v="930801|189227"/>
    <m/>
    <s v="TUB-O-O-AUT-AW-PE-25.40X2.00X0.4120"/>
    <x v="0"/>
    <m/>
    <x v="0"/>
    <x v="1"/>
    <m/>
    <m/>
    <m/>
    <m/>
    <s v="25.4-0-2-ERW 1-PE"/>
    <s v="25.4-0-2-ERW 1-PE-0.412"/>
    <n v="1"/>
    <x v="3"/>
    <x v="3"/>
    <x v="0"/>
    <x v="3"/>
    <n v="412"/>
    <s v="NOS"/>
    <x v="3"/>
    <n v="0"/>
    <n v="8000"/>
    <n v="3.8021772672"/>
    <n v="0"/>
    <n v="3.8021772672"/>
    <n v="0"/>
    <n v="0"/>
    <n v="0"/>
    <n v="4.840887113160001"/>
    <n v="0"/>
  </r>
  <r>
    <n v="102"/>
    <s v="Khopoli "/>
    <x v="11"/>
    <m/>
    <s v="930801|189227"/>
    <n v="2410997"/>
    <s v="TUB-O-C-AUT-AD-FC-25.40X3.200X04-05"/>
    <x v="2"/>
    <m/>
    <x v="2"/>
    <x v="1"/>
    <m/>
    <m/>
    <m/>
    <m/>
    <s v="25.4-19-3.2-CEW-CEW"/>
    <s v="25.4-19-3.2-CEW-CEW"/>
    <n v="1"/>
    <x v="3"/>
    <x v="3"/>
    <x v="8"/>
    <x v="9"/>
    <n v="1000"/>
    <s v="M"/>
    <x v="48"/>
    <n v="0"/>
    <n v="3500"/>
    <n v="6.12872736"/>
    <n v="0"/>
    <n v="6.12872736"/>
    <n v="14015.63309221835"/>
    <n v="24.542284"/>
    <n v="24.542284"/>
    <n v="-20.7401067328"/>
    <n v="4.004466597776671"/>
  </r>
  <r>
    <n v="105"/>
    <s v="Hosur"/>
    <x v="11"/>
    <m/>
    <s v="930801|189227"/>
    <n v="1933557"/>
    <s v="TUB-O-N-AUT-AW-PE-28.58X1.600X0.8450"/>
    <x v="0"/>
    <m/>
    <x v="0"/>
    <x v="0"/>
    <s v="ST52AL"/>
    <m/>
    <m/>
    <m/>
    <s v="28.58-0-1.6-ERW 1-PE"/>
    <s v="28.58-0-1.6-ERW 1-PE-0.845"/>
    <n v="0"/>
    <x v="9"/>
    <x v="9"/>
    <x v="0"/>
    <x v="0"/>
    <n v="845"/>
    <s v="NOS"/>
    <x v="50"/>
    <n v="0"/>
    <n v="100"/>
    <n v="0.089912058704"/>
    <n v="0"/>
    <n v="0.089912058704"/>
    <n v="0"/>
    <n v="0"/>
    <n v="0"/>
    <n v="6.12872736"/>
    <n v="0"/>
  </r>
  <r>
    <n v="58"/>
    <s v="Hosur"/>
    <x v="11"/>
    <m/>
    <n v="189227"/>
    <n v="2410993"/>
    <s v="TUB-O-C-AUT-AD-FC-33.30X2.000X04-05"/>
    <x v="2"/>
    <m/>
    <x v="3"/>
    <x v="1"/>
    <m/>
    <m/>
    <m/>
    <m/>
    <s v="2.29999955264502-29.3-2-CEW-"/>
    <m/>
    <m/>
    <x v="38"/>
    <x v="38"/>
    <x v="18"/>
    <x v="3"/>
    <n v="4500"/>
    <m/>
    <x v="30"/>
    <e v="#N/A"/>
    <e v="#N/A"/>
    <n v="0"/>
    <e v="#N/A"/>
    <e v="#N/A"/>
    <e v="#DIV/0!"/>
    <n v="0"/>
    <n v="0"/>
    <n v="0.089912058704"/>
    <e v="#N/A"/>
  </r>
  <r>
    <n v="110"/>
    <s v="Hosur"/>
    <x v="11"/>
    <m/>
    <s v="930801|189227"/>
    <n v="1940731"/>
    <s v="TUB-O-O-AUT-AW-FC-38.10X1.600X0.8120"/>
    <x v="0"/>
    <m/>
    <x v="1"/>
    <x v="1"/>
    <s v="GR1"/>
    <m/>
    <m/>
    <m/>
    <s v="38.1-0-1.6-ERW 1-FC"/>
    <s v="38.1-0-1.6-ERW 1-FC-0.812"/>
    <n v="2"/>
    <x v="14"/>
    <x v="24"/>
    <x v="0"/>
    <x v="0"/>
    <n v="812"/>
    <s v="NOS"/>
    <x v="7"/>
    <n v="0"/>
    <n v="2000"/>
    <n v="2.3377505984"/>
    <n v="0"/>
    <n v="2.3377505984"/>
    <n v="44.24509614960302"/>
    <n v="0.051717"/>
    <n v="13.630225"/>
    <n v="-0.051717"/>
    <n v="0.02212254807480151"/>
  </r>
  <r>
    <n v="114"/>
    <s v="Hosur"/>
    <x v="11"/>
    <m/>
    <s v="930801|189227"/>
    <n v="3509030"/>
    <s v="TUB-O-N-AUT-AW-PE-38.10X2.000X0.4060"/>
    <x v="0"/>
    <m/>
    <x v="1"/>
    <x v="1"/>
    <m/>
    <m/>
    <m/>
    <m/>
    <s v="38.1-0-2-ERW 1-FC"/>
    <s v="38.1-0-2-ERW 1-FC-0.406"/>
    <n v="0"/>
    <x v="14"/>
    <x v="24"/>
    <x v="0"/>
    <x v="3"/>
    <n v="406"/>
    <s v="NOS"/>
    <x v="12"/>
    <n v="0"/>
    <n v="6000"/>
    <n v="4.335246400800001"/>
    <n v="0"/>
    <n v="4.335246400800001"/>
    <n v="0"/>
    <n v="0"/>
    <n v="52.918269"/>
    <n v="2.3377505984"/>
    <n v="0"/>
  </r>
  <r>
    <n v="117"/>
    <s v="Hosur"/>
    <x v="11"/>
    <m/>
    <s v="930801|189227"/>
    <n v="1940743"/>
    <s v="TUB-O-O-AUT-AW-FC-38.10X2.000X0.8120"/>
    <x v="0"/>
    <m/>
    <x v="1"/>
    <x v="1"/>
    <m/>
    <m/>
    <m/>
    <m/>
    <s v="38.1-0-2-ERW 1-FC"/>
    <s v="38.1-0-2-ERW 1-FC-0.812"/>
    <n v="2"/>
    <x v="14"/>
    <x v="24"/>
    <x v="0"/>
    <x v="3"/>
    <n v="812"/>
    <s v="NOS"/>
    <x v="7"/>
    <n v="0"/>
    <n v="2000"/>
    <n v="2.8901642672"/>
    <n v="0"/>
    <n v="2.8901642672"/>
    <n v="394.2502552299218"/>
    <n v="0.569724"/>
    <n v="52.918269"/>
    <n v="3.765522400800001"/>
    <n v="0.1971251276149609"/>
  </r>
  <r>
    <n v="121"/>
    <s v="JSR"/>
    <x v="11"/>
    <m/>
    <s v="930801|189227"/>
    <n v="1568170"/>
    <s v="TUB-O-N-AUT-BH-FC-48.60X3.500X0.1960"/>
    <x v="0"/>
    <s v="Annealed"/>
    <x v="1"/>
    <x v="1"/>
    <m/>
    <s v="Chamferring"/>
    <m/>
    <m/>
    <s v="48.6-0-3.5-ERW 1-FC"/>
    <s v="48.6-0-3.5-ERW 1-FC-0.196"/>
    <n v="2"/>
    <x v="18"/>
    <x v="17"/>
    <x v="0"/>
    <x v="16"/>
    <n v="196"/>
    <s v="NOS"/>
    <x v="4"/>
    <n v="0"/>
    <n v="10000"/>
    <n v="7.626055514"/>
    <n v="0"/>
    <n v="7.626055514"/>
    <n v="81.03009463615609"/>
    <n v="0.06179399999999999"/>
    <n v="49.386735"/>
    <n v="2.8283702672"/>
    <n v="0.008103009463615609"/>
  </r>
  <r>
    <n v="125"/>
    <s v="Hosur"/>
    <x v="11"/>
    <m/>
    <s v="930801|189227"/>
    <n v="2353927"/>
    <s v="TUB-O-N-AUT-AW--50.80X1.600X0.3850"/>
    <x v="0"/>
    <m/>
    <x v="1"/>
    <x v="1"/>
    <s v="HROP"/>
    <m/>
    <s v="AG"/>
    <m/>
    <s v="50.8-0-1.6-ERW 1-FC"/>
    <s v="50.8-0-1.6-ERW 1-FC-0.385"/>
    <n v="3"/>
    <x v="4"/>
    <x v="39"/>
    <x v="0"/>
    <x v="0"/>
    <n v="385"/>
    <s v="NOS"/>
    <x v="3"/>
    <n v="0"/>
    <n v="8000"/>
    <n v="5.976337382400001"/>
    <n v="0"/>
    <n v="5.976337382400001"/>
    <n v="936.0328311574539"/>
    <n v="0.699256"/>
    <n v="8.448256000000001"/>
    <n v="6.926799514"/>
    <n v="0.1170041038946817"/>
  </r>
  <r>
    <n v="127"/>
    <s v="JSR"/>
    <x v="11"/>
    <m/>
    <s v="930801|189227"/>
    <n v="3157631"/>
    <s v="TUB-O-N-AUT-AW-FC-57.15X2.30X1.365-MAHS"/>
    <x v="6"/>
    <m/>
    <x v="1"/>
    <x v="0"/>
    <m/>
    <m/>
    <s v="AG"/>
    <m/>
    <s v="57.15-0-2.3-ERW 2-FC"/>
    <s v="57.15-0-2.3-ERW 2-FC-1.365"/>
    <n v="2"/>
    <x v="19"/>
    <x v="19"/>
    <x v="0"/>
    <x v="7"/>
    <n v="1365"/>
    <s v="NOS"/>
    <x v="49"/>
    <n v="1800"/>
    <n v="13200"/>
    <n v="63.668949332625"/>
    <n v="7.640273919915"/>
    <n v="56.02867541271"/>
    <n v="960.857853651623"/>
    <n v="4.078454"/>
    <n v="4.078454"/>
    <n v="1.897883382400001"/>
    <n v="0.1840571902434415"/>
  </r>
  <r>
    <n v="59"/>
    <s v="Khopoli "/>
    <x v="12"/>
    <m/>
    <n v="189226"/>
    <n v="2426342"/>
    <s v="TUB-O-C-AUT-AD-FC-11.00X1.500X0.2630"/>
    <x v="2"/>
    <m/>
    <x v="3"/>
    <x v="1"/>
    <m/>
    <m/>
    <m/>
    <m/>
    <s v="11-8-1.5-CEW-"/>
    <m/>
    <m/>
    <x v="39"/>
    <x v="40"/>
    <x v="19"/>
    <x v="24"/>
    <n v="263"/>
    <m/>
    <x v="30"/>
    <e v="#N/A"/>
    <e v="#N/A"/>
    <n v="0"/>
    <e v="#N/A"/>
    <e v="#N/A"/>
    <e v="#DIV/0!"/>
    <n v="0"/>
    <n v="0"/>
    <n v="63.668949332625"/>
    <e v="#N/A"/>
  </r>
  <r>
    <n v="60"/>
    <s v="Khopoli "/>
    <x v="12"/>
    <m/>
    <n v="189226"/>
    <n v="1939303"/>
    <s v="TUB-O-C-AUT-AD-FC-11.00X1.500X0.330"/>
    <x v="2"/>
    <m/>
    <x v="3"/>
    <x v="1"/>
    <m/>
    <m/>
    <m/>
    <m/>
    <s v="11-8-1.5-CEW-"/>
    <s v="11-8-1.5-CEW--0.33"/>
    <n v="0"/>
    <x v="39"/>
    <x v="40"/>
    <x v="19"/>
    <x v="24"/>
    <n v="330"/>
    <s v="NOS"/>
    <x v="11"/>
    <n v="0"/>
    <n v="3000"/>
    <n v="0.3477357675000001"/>
    <n v="0"/>
    <n v="0.3477357675000001"/>
    <n v="0"/>
    <n v="0"/>
    <n v="0"/>
    <n v="0"/>
    <n v="0"/>
  </r>
  <r>
    <n v="61"/>
    <s v="Hosur"/>
    <x v="12"/>
    <m/>
    <s v="189226|930794"/>
    <n v="1939991"/>
    <s v="TUB-O-O-AUT-AW-PE-12.70X1.600X0.1450"/>
    <x v="0"/>
    <m/>
    <x v="0"/>
    <x v="0"/>
    <s v="WG"/>
    <m/>
    <m/>
    <m/>
    <s v="12.7-0-1.6-ERW 1-PE"/>
    <s v="12.7-0-1.6-ERW 1-PE-0.145"/>
    <n v="1"/>
    <x v="0"/>
    <x v="0"/>
    <x v="0"/>
    <x v="0"/>
    <n v="145"/>
    <s v="NOS"/>
    <x v="31"/>
    <n v="0"/>
    <n v="20000"/>
    <n v="1.269522096"/>
    <n v="0"/>
    <n v="1.269522096"/>
    <n v="0"/>
    <n v="0"/>
    <n v="11.937059"/>
    <n v="1.269522096"/>
    <n v="0"/>
  </r>
  <r>
    <n v="62"/>
    <s v="Hosur"/>
    <x v="12"/>
    <m/>
    <n v="189226"/>
    <n v="1931237"/>
    <s v="TUB-O-N-GEN-AW-PE-12.70X2.000X5.0500"/>
    <x v="0"/>
    <m/>
    <x v="3"/>
    <x v="1"/>
    <m/>
    <m/>
    <m/>
    <m/>
    <s v="12.7-0-2-ERW 1-"/>
    <m/>
    <m/>
    <x v="0"/>
    <x v="0"/>
    <x v="0"/>
    <x v="3"/>
    <n v="5050"/>
    <m/>
    <x v="30"/>
    <e v="#N/A"/>
    <e v="#N/A"/>
    <n v="0"/>
    <e v="#N/A"/>
    <e v="#N/A"/>
    <e v="#DIV/0!"/>
    <n v="0"/>
    <n v="0"/>
    <m/>
    <e v="#N/A"/>
  </r>
  <r>
    <n v="63"/>
    <s v="Khopoli "/>
    <x v="12"/>
    <m/>
    <n v="189226"/>
    <n v="2363145"/>
    <s v="TUB-O-C-AUT-AN-FC-14.00X2.450X5.0000"/>
    <x v="2"/>
    <m/>
    <x v="2"/>
    <x v="1"/>
    <m/>
    <m/>
    <m/>
    <m/>
    <s v="14-0-2.5-CEW-CEW"/>
    <s v="14-0-2.5-CEW-CEW"/>
    <n v="2"/>
    <x v="5"/>
    <x v="5"/>
    <x v="0"/>
    <x v="20"/>
    <n v="1000"/>
    <s v="M"/>
    <x v="2"/>
    <n v="0"/>
    <n v="4000"/>
    <n v="2.790020310000001"/>
    <n v="0"/>
    <n v="2.790020310000001"/>
    <n v="6243.689315652328"/>
    <n v="4.355005"/>
    <n v="4.355005"/>
    <n v="-4.355005"/>
    <n v="1.560922328913082"/>
  </r>
  <r>
    <n v="65"/>
    <s v="Hosur"/>
    <x v="12"/>
    <m/>
    <s v="189226|930794"/>
    <n v="1941845"/>
    <s v="TUB-E-O-AUT-AW-FC-15.88X1.000X1.2340"/>
    <x v="0"/>
    <m/>
    <x v="0"/>
    <x v="1"/>
    <m/>
    <m/>
    <m/>
    <m/>
    <s v="15.88-0-1-ERW 1-PE"/>
    <s v="15.88-0-1-ERW 1-PE-1.234"/>
    <n v="1"/>
    <x v="1"/>
    <x v="1"/>
    <x v="0"/>
    <x v="2"/>
    <n v="1234"/>
    <s v="NOS"/>
    <x v="12"/>
    <n v="0"/>
    <n v="6000"/>
    <n v="2.715617796480001"/>
    <n v="0"/>
    <n v="2.715617796480001"/>
    <n v="364.5579290588107"/>
    <n v="0.165"/>
    <n v="10.207096"/>
    <n v="2.550617796480001"/>
    <n v="0.06075965484313513"/>
  </r>
  <r>
    <n v="66"/>
    <s v="Hosur"/>
    <x v="12"/>
    <m/>
    <s v="189226|930794"/>
    <n v="1941846"/>
    <s v="TUB-E-O-AUT-AW-FC-15.88X1.000X1.6030"/>
    <x v="0"/>
    <m/>
    <x v="0"/>
    <x v="1"/>
    <m/>
    <m/>
    <m/>
    <m/>
    <s v="15.88-0-1-ERW 1-PE"/>
    <s v="15.88-0-1-ERW 1-PE-1.603"/>
    <n v="1"/>
    <x v="1"/>
    <x v="1"/>
    <x v="0"/>
    <x v="2"/>
    <n v="1603"/>
    <s v="NOS"/>
    <x v="12"/>
    <n v="0"/>
    <n v="6000"/>
    <n v="3.52766234016"/>
    <n v="0"/>
    <n v="3.52766234016"/>
    <n v="0"/>
    <n v="0"/>
    <n v="10.207096"/>
    <n v="3.52766234016"/>
    <n v="0"/>
  </r>
  <r>
    <n v="67"/>
    <s v="Hosur"/>
    <x v="12"/>
    <m/>
    <s v="189226|930794"/>
    <n v="1941847"/>
    <s v="TUB-E-O-AUT-AW-FC-15.88X1.000X2.1850"/>
    <x v="0"/>
    <m/>
    <x v="0"/>
    <x v="1"/>
    <m/>
    <m/>
    <m/>
    <m/>
    <s v="15.88-0-1-ERW 1-PE"/>
    <s v="15.88-0-1-ERW 1-PE-2.185"/>
    <n v="1"/>
    <x v="1"/>
    <x v="1"/>
    <x v="0"/>
    <x v="2"/>
    <n v="2185"/>
    <s v="NOS"/>
    <x v="2"/>
    <n v="0"/>
    <n v="4000"/>
    <n v="3.2056320288"/>
    <n v="0"/>
    <n v="3.2056320288"/>
    <n v="0"/>
    <n v="0"/>
    <n v="10.207096"/>
    <n v="3.2056320288"/>
    <n v="0"/>
  </r>
  <r>
    <n v="68"/>
    <s v="Hosur"/>
    <x v="12"/>
    <m/>
    <s v="189226|930794"/>
    <n v="1941848"/>
    <s v="TUB-E-O-AUT-AW-FC-15.88X1.000X2.4900"/>
    <x v="0"/>
    <m/>
    <x v="0"/>
    <x v="1"/>
    <m/>
    <m/>
    <m/>
    <m/>
    <s v="15.88-0-1-ERW 1-PE"/>
    <s v="15.88-0-1-ERW 1-PE-2.49"/>
    <n v="2"/>
    <x v="1"/>
    <x v="1"/>
    <x v="0"/>
    <x v="2"/>
    <n v="2490"/>
    <s v="NOS"/>
    <x v="2"/>
    <n v="0"/>
    <n v="4000"/>
    <n v="3.6531001152"/>
    <n v="0"/>
    <n v="3.6531001152"/>
    <n v="0"/>
    <n v="0"/>
    <n v="10.207096"/>
    <n v="3.6531001152"/>
    <n v="0"/>
  </r>
  <r>
    <n v="69"/>
    <s v="Hosur"/>
    <x v="12"/>
    <m/>
    <s v="189226|930794"/>
    <n v="3541434"/>
    <s v="TUB-E-O-AUT-AW-FC-15.88X1.000X2.9050"/>
    <x v="0"/>
    <m/>
    <x v="0"/>
    <x v="0"/>
    <m/>
    <m/>
    <m/>
    <m/>
    <s v="15.88-0-1-ERW 1-PE"/>
    <s v="15.88-0-1-ERW 1-PE-2.905"/>
    <n v="1"/>
    <x v="1"/>
    <x v="1"/>
    <x v="0"/>
    <x v="2"/>
    <n v="2905"/>
    <s v="NOS"/>
    <x v="2"/>
    <n v="0"/>
    <n v="4000"/>
    <n v="4.2619501344"/>
    <n v="0"/>
    <n v="4.2619501344"/>
    <n v="0"/>
    <n v="0"/>
    <n v="10.207096"/>
    <n v="4.2619501344"/>
    <n v="0"/>
  </r>
  <r>
    <n v="72"/>
    <s v="Khopoli "/>
    <x v="12"/>
    <m/>
    <s v="189226|930794"/>
    <n v="1938116"/>
    <s v="TUB-O-N-GEN-AW-PE-18.20X1.000X0.1100"/>
    <x v="0"/>
    <m/>
    <x v="0"/>
    <x v="0"/>
    <m/>
    <m/>
    <m/>
    <m/>
    <s v="18.2-0-1-ERW 1-PE"/>
    <s v="18.2-0-1-ERW 1-PE-0.11"/>
    <n v="1"/>
    <x v="36"/>
    <x v="36"/>
    <x v="0"/>
    <x v="2"/>
    <n v="110"/>
    <s v="NOS"/>
    <x v="4"/>
    <n v="0"/>
    <n v="10000"/>
    <n v="0.4663590799999999"/>
    <n v="0"/>
    <n v="0.4663590799999999"/>
    <n v="0"/>
    <n v="0"/>
    <n v="4.570526"/>
    <n v="0.4663590799999999"/>
    <n v="0"/>
  </r>
  <r>
    <n v="74"/>
    <s v="Hosur"/>
    <x v="12"/>
    <m/>
    <s v="189226|930794"/>
    <n v="3518158"/>
    <s v="TUB-O-N-AUT-AW-PE-19.05X1.000X1.0950"/>
    <x v="0"/>
    <m/>
    <x v="0"/>
    <x v="0"/>
    <m/>
    <m/>
    <m/>
    <m/>
    <s v="19.05-0-1-ERW 1-PE"/>
    <s v="19.05-0-1-ERW 1-PE-1.095"/>
    <n v="1"/>
    <x v="2"/>
    <x v="2"/>
    <x v="0"/>
    <x v="2"/>
    <n v="1095"/>
    <s v="NOS"/>
    <x v="3"/>
    <n v="0"/>
    <n v="8000"/>
    <n v="3.897450582"/>
    <n v="0"/>
    <n v="3.897450582"/>
    <n v="65.23854367116128"/>
    <n v="0.031783"/>
    <n v="19.832243"/>
    <n v="3.865667582"/>
    <n v="0.008154817958895161"/>
  </r>
  <r>
    <n v="75"/>
    <s v="Hosur"/>
    <x v="12"/>
    <m/>
    <s v="189226|930794"/>
    <n v="1940188"/>
    <s v="TUB-O-O-AUT-AW-PE-19.05X1.200X0.6310"/>
    <x v="0"/>
    <m/>
    <x v="0"/>
    <x v="1"/>
    <m/>
    <m/>
    <m/>
    <m/>
    <s v="19.05-0-1.2-ERW 1-PE"/>
    <s v="19.05-0-1.2-ERW 1-PE-0.631"/>
    <n v="2"/>
    <x v="2"/>
    <x v="2"/>
    <x v="0"/>
    <x v="1"/>
    <n v="631"/>
    <s v="NOS"/>
    <x v="13"/>
    <n v="0"/>
    <n v="11000"/>
    <n v="3.66472014678"/>
    <n v="0"/>
    <n v="3.66472014678"/>
    <n v="0"/>
    <n v="0"/>
    <n v="12.194379"/>
    <n v="3.66472014678"/>
    <n v="0"/>
  </r>
  <r>
    <n v="76"/>
    <s v="Hosur"/>
    <x v="12"/>
    <m/>
    <s v="189226|930794"/>
    <n v="1940189"/>
    <s v="TUB-O-O-AUT-AW-PE-19.05X1.200X0.6800"/>
    <x v="0"/>
    <m/>
    <x v="0"/>
    <x v="0"/>
    <m/>
    <m/>
    <m/>
    <m/>
    <s v="19.05-0-1.2-ERW 1-PE"/>
    <s v="19.05-0-1.2-ERW 1-PE-0.68"/>
    <n v="3"/>
    <x v="2"/>
    <x v="2"/>
    <x v="0"/>
    <x v="1"/>
    <n v="680"/>
    <s v="NOS"/>
    <x v="17"/>
    <n v="0"/>
    <n v="7000"/>
    <n v="2.5131923208"/>
    <n v="0"/>
    <n v="2.5131923208"/>
    <n v="0"/>
    <n v="0"/>
    <n v="12.194379"/>
    <n v="2.5131923208"/>
    <n v="0"/>
  </r>
  <r>
    <n v="77"/>
    <s v="Hosur"/>
    <x v="12"/>
    <m/>
    <n v="189226"/>
    <n v="236341"/>
    <s v="TUB-O-N-AUT-AW-PE-19.05X1.600X0.610"/>
    <x v="1"/>
    <m/>
    <x v="3"/>
    <x v="1"/>
    <m/>
    <m/>
    <m/>
    <m/>
    <s v="19.05-0-1.6--"/>
    <m/>
    <m/>
    <x v="2"/>
    <x v="2"/>
    <x v="0"/>
    <x v="0"/>
    <n v="610"/>
    <m/>
    <x v="30"/>
    <e v="#N/A"/>
    <e v="#N/A"/>
    <n v="0"/>
    <e v="#N/A"/>
    <e v="#N/A"/>
    <e v="#DIV/0!"/>
    <n v="0"/>
    <n v="0"/>
    <n v="2.5131923208"/>
    <e v="#N/A"/>
  </r>
  <r>
    <n v="78"/>
    <s v="Hosur"/>
    <x v="12"/>
    <m/>
    <n v="189226"/>
    <n v="235953"/>
    <s v="TUB-O-N-AUT-AW-PE-19.05X1.60X5.475-ERW 1"/>
    <x v="0"/>
    <m/>
    <x v="3"/>
    <x v="1"/>
    <m/>
    <m/>
    <m/>
    <m/>
    <s v="19.05-0-1.6-ERW 1-"/>
    <m/>
    <m/>
    <x v="2"/>
    <x v="2"/>
    <x v="0"/>
    <x v="0"/>
    <n v="5475"/>
    <m/>
    <x v="30"/>
    <e v="#N/A"/>
    <e v="#N/A"/>
    <n v="0"/>
    <e v="#N/A"/>
    <e v="#N/A"/>
    <e v="#DIV/0!"/>
    <n v="0"/>
    <n v="0"/>
    <n v="0"/>
    <e v="#N/A"/>
  </r>
  <r>
    <n v="79"/>
    <s v="Hosur"/>
    <x v="12"/>
    <m/>
    <s v="189226|930794"/>
    <n v="1940318"/>
    <s v="TUB-O-O-AUT-AW-PE-19.05X2.300X0.3940"/>
    <x v="0"/>
    <m/>
    <x v="0"/>
    <x v="1"/>
    <m/>
    <m/>
    <m/>
    <m/>
    <s v="19.05-0-2.3-ERW 1-PE"/>
    <s v="19.05-0-2.3-ERW 1-PE-0.394"/>
    <n v="2"/>
    <x v="2"/>
    <x v="2"/>
    <x v="0"/>
    <x v="7"/>
    <n v="394"/>
    <s v="NOS"/>
    <x v="3"/>
    <n v="0"/>
    <n v="8000"/>
    <n v="2.9931477892"/>
    <n v="0"/>
    <n v="2.9931477892"/>
    <n v="3749.898364691147"/>
    <n v="1.403"/>
    <n v="41.16220000000001"/>
    <n v="1.5901477892"/>
    <n v="0.4687372955863933"/>
  </r>
  <r>
    <n v="82"/>
    <s v="Khopoli "/>
    <x v="12"/>
    <m/>
    <s v="189226|930794"/>
    <n v="2439536"/>
    <s v="TUB-O-C-AUT-AD-FC-20.00X3.800X04-05"/>
    <x v="2"/>
    <m/>
    <x v="2"/>
    <x v="2"/>
    <m/>
    <m/>
    <m/>
    <m/>
    <s v="20-12.4-3.8-CEW-CEW"/>
    <s v="20-12.4-3.8-CEW-CEW"/>
    <n v="1"/>
    <x v="37"/>
    <x v="37"/>
    <x v="17"/>
    <x v="23"/>
    <n v="1000"/>
    <s v="M"/>
    <x v="3"/>
    <n v="0"/>
    <n v="8000"/>
    <n v="12.13913952"/>
    <n v="0"/>
    <n v="12.13913952"/>
    <n v="16691.48094608934"/>
    <n v="25.327527"/>
    <n v="25.327527"/>
    <n v="-13.18838748"/>
    <n v="2.086435118261167"/>
  </r>
  <r>
    <n v="80"/>
    <s v="Khopoli "/>
    <x v="12"/>
    <m/>
    <s v="189226|930794"/>
    <n v="3228788"/>
    <s v="TUB-O-C-AUT-AD-FC-20.00X1.420X0.2730"/>
    <x v="2"/>
    <m/>
    <x v="2"/>
    <x v="1"/>
    <m/>
    <m/>
    <m/>
    <m/>
    <s v="20-17.16-1.42-CEW-CEW"/>
    <s v="20-17.16-1.42-CEW-CEW-0.273"/>
    <n v="1"/>
    <x v="37"/>
    <x v="37"/>
    <x v="20"/>
    <x v="25"/>
    <n v="273"/>
    <s v="NOS"/>
    <x v="12"/>
    <n v="0"/>
    <n v="6000"/>
    <n v="1.0652394857832"/>
    <n v="0"/>
    <n v="1.0652394857832"/>
    <n v="659.4911373225023"/>
    <n v="0.117086"/>
    <n v="3.741086"/>
    <n v="0.9481534857831999"/>
    <n v="0.1099151895537504"/>
  </r>
  <r>
    <n v="84"/>
    <s v="Khopoli "/>
    <x v="12"/>
    <m/>
    <n v="189226"/>
    <n v="2410994"/>
    <s v="TUB-O-C-AUT-AD-FC-21.75X3.500X04-05"/>
    <x v="2"/>
    <m/>
    <x v="2"/>
    <x v="1"/>
    <m/>
    <m/>
    <m/>
    <m/>
    <s v="21.7-16.2-2.75-CEW-CEW"/>
    <s v="21.7-16.2-2.75-CEW-CEW"/>
    <n v="1"/>
    <x v="40"/>
    <x v="41"/>
    <x v="21"/>
    <x v="26"/>
    <n v="1000"/>
    <s v="M"/>
    <x v="51"/>
    <n v="0"/>
    <n v="504"/>
    <n v="0.6473985903"/>
    <n v="0"/>
    <n v="0.6473985903"/>
    <n v="14042.36117935829"/>
    <n v="18.037708"/>
    <n v="18.037708"/>
    <n v="-16.9724685142168"/>
    <n v="27.861827736822"/>
  </r>
  <r>
    <n v="85"/>
    <s v="Khopoli "/>
    <x v="12"/>
    <n v="189226"/>
    <s v="189226|930794"/>
    <n v="2410994"/>
    <s v="TUB-O-C-AUT-AD-FC-21.75X3.500X04-05"/>
    <x v="2"/>
    <m/>
    <x v="2"/>
    <x v="2"/>
    <m/>
    <m/>
    <m/>
    <m/>
    <s v="21.75-0-3.5-CEW-CEW"/>
    <s v="21.75-0-3.5-CEW-CEW"/>
    <n v="1"/>
    <x v="28"/>
    <x v="26"/>
    <x v="0"/>
    <x v="16"/>
    <n v="1000"/>
    <s v="M"/>
    <x v="30"/>
    <n v="0"/>
    <n v="0"/>
    <n v="0"/>
    <n v="0"/>
    <n v="0"/>
    <e v="#DIV/0!"/>
    <n v="0"/>
    <n v="0"/>
    <n v="0"/>
    <e v="#DIV/0!"/>
  </r>
  <r>
    <n v="87"/>
    <s v="Hosur"/>
    <x v="12"/>
    <m/>
    <s v="189226|930794"/>
    <n v="1940392"/>
    <s v="TUB-O-O-AUT-AW-PE-22.23X1.600X0.2850"/>
    <x v="0"/>
    <m/>
    <x v="0"/>
    <x v="0"/>
    <s v="GR1"/>
    <m/>
    <m/>
    <m/>
    <s v="22.23-0-1.6-ERW 1-PE"/>
    <s v="22.23-0-1.6-ERW 1-PE-0.285"/>
    <n v="2"/>
    <x v="8"/>
    <x v="8"/>
    <x v="0"/>
    <x v="0"/>
    <n v="285"/>
    <s v="NOS"/>
    <x v="4"/>
    <n v="0"/>
    <n v="10000"/>
    <n v="2.3188004472"/>
    <n v="0"/>
    <n v="2.3188004472"/>
    <n v="0"/>
    <n v="0"/>
    <n v="68.25120299999999"/>
    <n v="0"/>
    <n v="0"/>
  </r>
  <r>
    <n v="92"/>
    <s v="Hosur"/>
    <x v="12"/>
    <m/>
    <s v="189226|930794"/>
    <n v="1940408"/>
    <s v="TUB-O-O-AUT-AW-PE-22.23X1.600X0.8090"/>
    <x v="0"/>
    <m/>
    <x v="0"/>
    <x v="0"/>
    <s v="GR1"/>
    <m/>
    <m/>
    <m/>
    <s v="22.23-0-1.6-ERW 1-PE"/>
    <s v="22.23-0-1.6-ERW 1-PE-0.809"/>
    <n v="2"/>
    <x v="8"/>
    <x v="8"/>
    <x v="0"/>
    <x v="0"/>
    <n v="809"/>
    <s v="NOS"/>
    <x v="7"/>
    <n v="0"/>
    <n v="2000"/>
    <n v="1.316427762656"/>
    <n v="0"/>
    <n v="1.316427762656"/>
    <n v="4135.433902591273"/>
    <n v="2.722"/>
    <n v="68.25120299999999"/>
    <n v="-0.4031995527999999"/>
    <n v="2.067716951295636"/>
  </r>
  <r>
    <n v="93"/>
    <s v="Hosur"/>
    <x v="12"/>
    <m/>
    <n v="189226"/>
    <n v="1159568"/>
    <s v="TUB-O-N-AUT-AW-PE-22.20X2.000X0.180"/>
    <x v="0"/>
    <m/>
    <x v="3"/>
    <x v="1"/>
    <m/>
    <m/>
    <m/>
    <m/>
    <s v="22.23-0-2-ERW 1-"/>
    <m/>
    <m/>
    <x v="8"/>
    <x v="8"/>
    <x v="0"/>
    <x v="3"/>
    <n v="180"/>
    <m/>
    <x v="30"/>
    <e v="#N/A"/>
    <e v="#N/A"/>
    <n v="0"/>
    <e v="#N/A"/>
    <e v="#N/A"/>
    <e v="#DIV/0!"/>
    <n v="0"/>
    <n v="0"/>
    <n v="1.316427762656"/>
    <e v="#N/A"/>
  </r>
  <r>
    <n v="96"/>
    <s v="Hosur"/>
    <x v="12"/>
    <m/>
    <s v="189226|930794"/>
    <n v="1940466"/>
    <s v="TUB-O-O-AUT-AW-PE-22.23X2.000X0.8090"/>
    <x v="0"/>
    <m/>
    <x v="0"/>
    <x v="1"/>
    <m/>
    <m/>
    <m/>
    <m/>
    <s v="22.23-0-2-ERW 1-PE"/>
    <s v="22.23-0-2-ERW 1-PE-0.809"/>
    <n v="2"/>
    <x v="8"/>
    <x v="8"/>
    <x v="0"/>
    <x v="3"/>
    <n v="809"/>
    <s v="NOS"/>
    <x v="12"/>
    <n v="0"/>
    <n v="6000"/>
    <n v="4.840887113160001"/>
    <n v="0"/>
    <n v="4.840887113160001"/>
    <n v="9083.311998840793"/>
    <n v="7.328548"/>
    <n v="45.493454"/>
    <m/>
    <n v="1.513885333140132"/>
  </r>
  <r>
    <n v="97"/>
    <s v="Hosur"/>
    <x v="12"/>
    <m/>
    <s v="189226|930794"/>
    <n v="2413708"/>
    <s v="TUB-O-N-AUT-AW-PE-22.23X2.000X0.8150"/>
    <x v="0"/>
    <m/>
    <x v="0"/>
    <x v="1"/>
    <m/>
    <m/>
    <m/>
    <m/>
    <s v="22.23-0-2-ERW 1-PE"/>
    <s v="22.23-0-2-ERW 1-PE-0.815"/>
    <n v="2"/>
    <x v="8"/>
    <x v="8"/>
    <x v="0"/>
    <x v="3"/>
    <n v="815"/>
    <s v="NOS"/>
    <x v="12"/>
    <n v="0"/>
    <n v="6000"/>
    <n v="4.8767898606"/>
    <n v="0"/>
    <n v="4.8767898606"/>
    <n v="12962.32271780163"/>
    <n v="10.535754"/>
    <n v="45.493454"/>
    <n v="-5.694866886839998"/>
    <n v="2.160387119633604"/>
  </r>
  <r>
    <n v="98"/>
    <s v="Hosur"/>
    <x v="12"/>
    <m/>
    <n v="189226"/>
    <n v="3506579"/>
    <s v="CUT-O-N-AUT-AW-PE-22.20X2.300X0.430"/>
    <x v="0"/>
    <m/>
    <x v="0"/>
    <x v="1"/>
    <m/>
    <m/>
    <m/>
    <m/>
    <s v="22.23-0-2.3-ERW 1-PE"/>
    <m/>
    <m/>
    <x v="8"/>
    <x v="8"/>
    <x v="0"/>
    <x v="7"/>
    <n v="430"/>
    <m/>
    <x v="30"/>
    <e v="#N/A"/>
    <e v="#N/A"/>
    <n v="0"/>
    <e v="#N/A"/>
    <e v="#N/A"/>
    <e v="#DIV/0!"/>
    <n v="0"/>
    <n v="3.409989"/>
    <m/>
    <e v="#N/A"/>
  </r>
  <r>
    <n v="99"/>
    <s v="Hosur"/>
    <x v="12"/>
    <m/>
    <s v="189226|930794"/>
    <n v="1940538"/>
    <s v="TUB-O-O-AUT-AW-PE-25.40X1.200X0.8450"/>
    <x v="0"/>
    <m/>
    <x v="0"/>
    <x v="0"/>
    <m/>
    <m/>
    <s v="AG"/>
    <m/>
    <s v="25.4-0-1.2-ERW 1-PE"/>
    <s v="25.4-0-1.2-ERW 1-PE-0.845"/>
    <n v="2"/>
    <x v="3"/>
    <x v="3"/>
    <x v="0"/>
    <x v="1"/>
    <n v="845"/>
    <s v="NOS"/>
    <x v="13"/>
    <n v="0"/>
    <n v="11000"/>
    <n v="6.653425693199999"/>
    <n v="0"/>
    <n v="6.653425693199999"/>
    <n v="32.28036351552051"/>
    <n v="0.019525"/>
    <n v="0.367525"/>
    <n v="-0.019525"/>
    <n v="0.002934578501410955"/>
  </r>
  <r>
    <n v="100"/>
    <s v="Hosur"/>
    <x v="12"/>
    <m/>
    <n v="189226"/>
    <n v="3727130"/>
    <s v="CUT-O-N-AUT-AW-PE-25.40X1.600X0.5120"/>
    <x v="0"/>
    <m/>
    <x v="3"/>
    <x v="1"/>
    <m/>
    <m/>
    <m/>
    <m/>
    <s v="25.4-0-1.6-ERW 1-"/>
    <m/>
    <m/>
    <x v="3"/>
    <x v="3"/>
    <x v="0"/>
    <x v="0"/>
    <n v="512"/>
    <m/>
    <x v="30"/>
    <e v="#N/A"/>
    <e v="#N/A"/>
    <n v="0"/>
    <e v="#N/A"/>
    <e v="#N/A"/>
    <e v="#DIV/0!"/>
    <n v="0"/>
    <n v="0"/>
    <n v="0"/>
    <e v="#N/A"/>
  </r>
  <r>
    <n v="103"/>
    <s v="Khopoli "/>
    <x v="12"/>
    <m/>
    <s v="189226|930794"/>
    <n v="2410997"/>
    <s v="TUB-O-C-AUT-AD-FC-25.40X3.200X04-05"/>
    <x v="2"/>
    <m/>
    <x v="2"/>
    <x v="1"/>
    <m/>
    <m/>
    <m/>
    <m/>
    <s v="25.4-19-3.2-CEW-CEW"/>
    <s v="25.4-19-3.2-CEW-CEW"/>
    <n v="1"/>
    <x v="3"/>
    <x v="3"/>
    <x v="8"/>
    <x v="9"/>
    <n v="1000"/>
    <s v="M"/>
    <x v="7"/>
    <n v="0"/>
    <n v="2000"/>
    <n v="3.50212992"/>
    <n v="0"/>
    <n v="3.50212992"/>
    <n v="14015.63309221835"/>
    <n v="24.542284"/>
    <n v="24.542284"/>
    <n v="-24.542284"/>
    <n v="7.007816546109175"/>
  </r>
  <r>
    <n v="104"/>
    <s v="Hosur"/>
    <x v="12"/>
    <m/>
    <n v="189226"/>
    <n v="237726"/>
    <s v="PT2-O-N-AUT-AW-FC-28.58X1.200X0.610"/>
    <x v="1"/>
    <m/>
    <x v="3"/>
    <x v="1"/>
    <m/>
    <m/>
    <m/>
    <m/>
    <s v="28.58-0-1.2--"/>
    <m/>
    <m/>
    <x v="9"/>
    <x v="9"/>
    <x v="0"/>
    <x v="1"/>
    <n v="610"/>
    <m/>
    <x v="30"/>
    <e v="#N/A"/>
    <e v="#N/A"/>
    <n v="0"/>
    <e v="#N/A"/>
    <e v="#N/A"/>
    <e v="#DIV/0!"/>
    <n v="0"/>
    <n v="0"/>
    <n v="3.50212992"/>
    <e v="#N/A"/>
  </r>
  <r>
    <n v="106"/>
    <s v="Hosur"/>
    <x v="12"/>
    <m/>
    <s v="189226|930794"/>
    <n v="1940653"/>
    <s v="TUB-O-O-AUT-AW-PE-31.75X1.200X0.6700"/>
    <x v="0"/>
    <m/>
    <x v="0"/>
    <x v="0"/>
    <m/>
    <m/>
    <m/>
    <m/>
    <s v="31.75-0-1.2-ERW 1-PE"/>
    <s v="31.75-0-1.2-ERW 1-PE-0.67"/>
    <n v="3"/>
    <x v="12"/>
    <x v="13"/>
    <x v="0"/>
    <x v="1"/>
    <n v="670"/>
    <s v="NOS"/>
    <x v="13"/>
    <n v="0"/>
    <n v="11000"/>
    <n v="6.6597703458"/>
    <n v="0"/>
    <n v="6.6597703458"/>
    <n v="0"/>
    <n v="0"/>
    <n v="8.387784999999999"/>
    <n v="0"/>
    <n v="0"/>
  </r>
  <r>
    <n v="57"/>
    <s v="Khopoli "/>
    <x v="12"/>
    <m/>
    <n v="189226"/>
    <n v="2412748"/>
    <s v="TUB-O-C-AUT-AD-FC-33.30X2.000X4.3000"/>
    <x v="2"/>
    <m/>
    <x v="3"/>
    <x v="1"/>
    <m/>
    <m/>
    <m/>
    <m/>
    <s v="0.0960109875294564-0-2-CEW-"/>
    <m/>
    <m/>
    <x v="38"/>
    <x v="42"/>
    <x v="0"/>
    <x v="3"/>
    <n v="4300"/>
    <m/>
    <x v="30"/>
    <e v="#N/A"/>
    <e v="#N/A"/>
    <n v="0"/>
    <e v="#N/A"/>
    <e v="#N/A"/>
    <e v="#DIV/0!"/>
    <n v="0"/>
    <n v="0"/>
    <n v="6.6597703458"/>
    <e v="#N/A"/>
  </r>
  <r>
    <n v="107"/>
    <s v="Hosur"/>
    <x v="12"/>
    <m/>
    <n v="189226"/>
    <n v="1940701"/>
    <s v="TUB-O-O-AUT-AW-FC-34.93X1.200X6.0000"/>
    <x v="0"/>
    <m/>
    <x v="3"/>
    <x v="1"/>
    <m/>
    <m/>
    <m/>
    <m/>
    <s v="34.93-0-1.2-ERW 1-"/>
    <m/>
    <m/>
    <x v="13"/>
    <x v="14"/>
    <x v="0"/>
    <x v="1"/>
    <n v="6000"/>
    <m/>
    <x v="30"/>
    <e v="#N/A"/>
    <e v="#N/A"/>
    <n v="0"/>
    <e v="#N/A"/>
    <e v="#N/A"/>
    <e v="#DIV/0!"/>
    <n v="0"/>
    <n v="0"/>
    <n v="0"/>
    <e v="#N/A"/>
  </r>
  <r>
    <n v="108"/>
    <s v="JSR"/>
    <x v="12"/>
    <m/>
    <s v="189226|930794"/>
    <n v="238413"/>
    <s v="TUB-I-C-AUT-AD-PE-32.00X2.950X0.940"/>
    <x v="2"/>
    <m/>
    <x v="2"/>
    <x v="1"/>
    <m/>
    <m/>
    <m/>
    <m/>
    <s v="37.95-32-2.95-CEW-CEW"/>
    <s v="37.95-32-2.95-CEW-CEW-0.94"/>
    <n v="2"/>
    <x v="41"/>
    <x v="43"/>
    <x v="22"/>
    <x v="5"/>
    <n v="940"/>
    <s v="NOS"/>
    <x v="9"/>
    <n v="0"/>
    <n v="1000"/>
    <n v="2.392308695"/>
    <n v="0"/>
    <n v="2.392308695"/>
    <n v="0"/>
    <n v="0"/>
    <n v="0.226171"/>
    <n v="0"/>
    <n v="0"/>
  </r>
  <r>
    <n v="109"/>
    <s v="Hosur"/>
    <x v="12"/>
    <m/>
    <s v="189226|930794"/>
    <n v="1940730"/>
    <s v="PT3-O-N-AUT-AW-PE-38.10X1.600X0.488"/>
    <x v="0"/>
    <m/>
    <x v="1"/>
    <x v="1"/>
    <m/>
    <m/>
    <m/>
    <m/>
    <s v="38.1-0-1.6-ERW 1-FC"/>
    <s v="38.1-0-1.6-ERW 1-FC-0.488"/>
    <n v="3"/>
    <x v="14"/>
    <x v="24"/>
    <x v="0"/>
    <x v="0"/>
    <n v="488"/>
    <s v="NOS"/>
    <x v="9"/>
    <n v="0"/>
    <n v="1000"/>
    <n v="0.7024767808"/>
    <n v="0"/>
    <n v="0.7024767808"/>
    <n v="619.7030448525824"/>
    <n v="0.435327"/>
    <n v="13.630225"/>
    <n v="1.956981695"/>
    <n v="0.6197030448525823"/>
  </r>
  <r>
    <n v="111"/>
    <s v="Hosur"/>
    <x v="12"/>
    <m/>
    <s v="189226|930794"/>
    <n v="1940731"/>
    <s v="TUB-O-O-AUT-AW-FC-38.10X1.600X0.8120"/>
    <x v="0"/>
    <m/>
    <x v="1"/>
    <x v="1"/>
    <s v="GR1"/>
    <m/>
    <m/>
    <m/>
    <s v="38.1-0-1.6-ERW 1-FC"/>
    <s v="38.1-0-1.6-ERW 1-FC-0.812"/>
    <n v="2"/>
    <x v="14"/>
    <x v="24"/>
    <x v="0"/>
    <x v="0"/>
    <n v="812"/>
    <s v="NOS"/>
    <x v="7"/>
    <n v="0"/>
    <n v="2000"/>
    <n v="2.3377505984"/>
    <n v="0"/>
    <n v="2.3377505984"/>
    <n v="44.24509614960302"/>
    <n v="0.051717"/>
    <n v="13.630225"/>
    <n v="0.6507597808"/>
    <n v="0.02212254807480151"/>
  </r>
  <r>
    <n v="112"/>
    <s v="Hosur"/>
    <x v="12"/>
    <m/>
    <s v="189226|930794"/>
    <n v="3507790"/>
    <s v="CUT-O-N-AUT-AW-FC-38.10X1.600X0.8150"/>
    <x v="0"/>
    <m/>
    <x v="1"/>
    <x v="1"/>
    <m/>
    <m/>
    <m/>
    <m/>
    <s v="38.1-0-1.6-ERW 1-FC"/>
    <s v="38.1-0-1.6-ERW 1-FC-0.815"/>
    <n v="1"/>
    <x v="14"/>
    <x v="24"/>
    <x v="0"/>
    <x v="0"/>
    <n v="815"/>
    <s v="NOS"/>
    <x v="52"/>
    <n v="0"/>
    <n v="500"/>
    <n v="0.586596902"/>
    <n v="0"/>
    <n v="0.586596902"/>
    <n v="0"/>
    <n v="0"/>
    <n v="13.630225"/>
    <n v="2.3377505984"/>
    <n v="0"/>
  </r>
  <r>
    <n v="113"/>
    <s v="Hosur"/>
    <x v="12"/>
    <m/>
    <n v="189226"/>
    <n v="1194658"/>
    <s v="TUB-O-N-AUT-AW-FC-38.10X1.600X0.970"/>
    <x v="0"/>
    <m/>
    <x v="3"/>
    <x v="1"/>
    <m/>
    <m/>
    <m/>
    <m/>
    <s v="38.1-0-1.6-ERW 1-"/>
    <m/>
    <m/>
    <x v="14"/>
    <x v="24"/>
    <x v="0"/>
    <x v="0"/>
    <n v="970"/>
    <m/>
    <x v="30"/>
    <e v="#N/A"/>
    <e v="#N/A"/>
    <n v="0"/>
    <e v="#N/A"/>
    <e v="#N/A"/>
    <e v="#DIV/0!"/>
    <n v="0"/>
    <n v="0"/>
    <n v="0.586596902"/>
    <e v="#N/A"/>
  </r>
  <r>
    <n v="115"/>
    <s v="Hosur"/>
    <x v="12"/>
    <m/>
    <s v="189226|930794"/>
    <n v="1940738"/>
    <s v="TUB-O-O-AUT-AW-FC-38.10X2.000X0.4250"/>
    <x v="0"/>
    <m/>
    <x v="1"/>
    <x v="1"/>
    <m/>
    <m/>
    <m/>
    <m/>
    <s v="38.1-0-2-ERW 1-FC"/>
    <s v="38.1-0-2-ERW 1-FC-0.425"/>
    <n v="2"/>
    <x v="14"/>
    <x v="24"/>
    <x v="0"/>
    <x v="3"/>
    <n v="425"/>
    <s v="NOS"/>
    <x v="12"/>
    <n v="0"/>
    <n v="6000"/>
    <n v="4.538127390000001"/>
    <n v="0"/>
    <n v="4.538127390000001"/>
    <n v="0"/>
    <n v="0"/>
    <n v="52.918269"/>
    <n v="0"/>
    <n v="0"/>
  </r>
  <r>
    <n v="116"/>
    <s v="Hosur"/>
    <x v="12"/>
    <m/>
    <s v="189226|930794"/>
    <n v="1940739"/>
    <s v="TUB-O-O-AUT-AW-FC-38.10X2.000X0.4880"/>
    <x v="0"/>
    <m/>
    <x v="1"/>
    <x v="1"/>
    <m/>
    <m/>
    <m/>
    <m/>
    <s v="38.1-0-2-ERW 1-FC"/>
    <s v="38.1-0-2-ERW 1-FC-0.488"/>
    <n v="3"/>
    <x v="14"/>
    <x v="24"/>
    <x v="0"/>
    <x v="3"/>
    <n v="488"/>
    <s v="NOS"/>
    <x v="11"/>
    <n v="0"/>
    <n v="3000"/>
    <n v="2.6054190192"/>
    <n v="0"/>
    <n v="2.6054190192"/>
    <n v="0"/>
    <n v="0"/>
    <n v="52.918269"/>
    <n v="4.538127390000001"/>
    <n v="0"/>
  </r>
  <r>
    <n v="118"/>
    <s v="Hosur"/>
    <x v="12"/>
    <m/>
    <s v="189226|930794"/>
    <n v="1940743"/>
    <s v="TUB-O-O-AUT-AW-FC-38.10X2.000X0.8120"/>
    <x v="0"/>
    <m/>
    <x v="1"/>
    <x v="1"/>
    <m/>
    <m/>
    <m/>
    <m/>
    <s v="38.1-0-2-ERW 1-FC"/>
    <s v="38.1-0-2-ERW 1-FC-0.812"/>
    <n v="2"/>
    <x v="14"/>
    <x v="24"/>
    <x v="0"/>
    <x v="3"/>
    <n v="812"/>
    <s v="NOS"/>
    <x v="3"/>
    <n v="0"/>
    <n v="8000"/>
    <n v="11.5606570688"/>
    <n v="0"/>
    <n v="11.5606570688"/>
    <n v="394.2502552299218"/>
    <n v="0.569724"/>
    <n v="52.918269"/>
    <n v="2.0356950192"/>
    <n v="0.04928128190374022"/>
  </r>
  <r>
    <n v="119"/>
    <s v="Hosur"/>
    <x v="12"/>
    <m/>
    <n v="189226"/>
    <n v="3539418"/>
    <s v="TUB-O-N-AUT-AW-PE-41.28X2.900X0.4200"/>
    <x v="1"/>
    <m/>
    <x v="3"/>
    <x v="1"/>
    <m/>
    <m/>
    <m/>
    <m/>
    <s v="41.28-0-2.9--"/>
    <m/>
    <m/>
    <x v="15"/>
    <x v="27"/>
    <x v="0"/>
    <x v="27"/>
    <n v="420"/>
    <m/>
    <x v="30"/>
    <e v="#N/A"/>
    <e v="#N/A"/>
    <n v="0"/>
    <e v="#N/A"/>
    <e v="#N/A"/>
    <e v="#DIV/0!"/>
    <n v="0"/>
    <n v="0"/>
    <n v="11.5606570688"/>
    <e v="#N/A"/>
  </r>
  <r>
    <n v="120"/>
    <s v="Khopoli "/>
    <x v="12"/>
    <m/>
    <s v="189226|930794"/>
    <n v="2417649"/>
    <s v="TUB-O-N-AUT-AN-FC-42.70X3.500X0.2096"/>
    <x v="0"/>
    <s v="Annealed"/>
    <x v="1"/>
    <x v="1"/>
    <m/>
    <s v="Chamferring"/>
    <m/>
    <m/>
    <s v="42.7-0-3.5-ERW 1-FC"/>
    <s v="42.7-0-3.5-ERW 1-FC-0.21"/>
    <n v="3"/>
    <x v="16"/>
    <x v="16"/>
    <x v="0"/>
    <x v="16"/>
    <n v="210"/>
    <s v="NOS"/>
    <x v="0"/>
    <n v="0"/>
    <n v="40000"/>
    <n v="28.40747952"/>
    <n v="0"/>
    <n v="28.40747952"/>
    <n v="6432.351024713508"/>
    <n v="4.568172000000001"/>
    <n v="68.50834200000001"/>
    <n v="-4.568172000000001"/>
    <n v="0.1608087756178377"/>
  </r>
  <r>
    <n v="123"/>
    <s v="Hosur"/>
    <x v="12"/>
    <m/>
    <n v="189226"/>
    <n v="2325414"/>
    <s v="TUB-O-AW-RHS-50.00X30.00X2.000X0.1400"/>
    <x v="0"/>
    <m/>
    <x v="3"/>
    <x v="1"/>
    <m/>
    <m/>
    <m/>
    <m/>
    <s v="50-30-2-ERW 1-"/>
    <m/>
    <m/>
    <x v="18"/>
    <x v="4"/>
    <x v="1"/>
    <x v="3"/>
    <n v="140"/>
    <m/>
    <x v="30"/>
    <e v="#N/A"/>
    <e v="#N/A"/>
    <n v="0"/>
    <e v="#N/A"/>
    <e v="#N/A"/>
    <e v="#DIV/0!"/>
    <n v="0"/>
    <n v="0"/>
    <n v="28.40747952"/>
    <e v="#N/A"/>
  </r>
  <r>
    <n v="124"/>
    <s v="Hosur"/>
    <x v="12"/>
    <m/>
    <s v="189226|930794"/>
    <n v="1940881"/>
    <s v="TUB-R-AW-RHS-50.00X30.00X2.000X0.7300"/>
    <x v="0"/>
    <m/>
    <x v="1"/>
    <x v="1"/>
    <m/>
    <m/>
    <m/>
    <m/>
    <s v="50-30-2-ERW 1-FC"/>
    <s v="50-30-2-ERW 1-FC-0.73"/>
    <n v="1"/>
    <x v="4"/>
    <x v="4"/>
    <x v="1"/>
    <x v="3"/>
    <n v="730"/>
    <s v="NOS"/>
    <x v="32"/>
    <n v="0"/>
    <n v="4500"/>
    <n v="7.902863783999999"/>
    <n v="0"/>
    <n v="7.902863783999999"/>
    <n v="426.0006994952907"/>
    <n v="0.748139"/>
    <n v="11.707139"/>
    <n v="-0.748139"/>
    <n v="0.09466682211006461"/>
  </r>
  <r>
    <n v="126"/>
    <s v="Khopoli "/>
    <x v="12"/>
    <m/>
    <s v="189226|930794"/>
    <n v="2396464"/>
    <s v="TUB-O-N-AUT-AN-FC-54.00X3.000X1.1400"/>
    <x v="6"/>
    <m/>
    <x v="1"/>
    <x v="1"/>
    <m/>
    <m/>
    <m/>
    <m/>
    <s v="54-0-3-ERW 2-FC"/>
    <s v="54-0-3-ERW 2-FC-1.14"/>
    <n v="4"/>
    <x v="33"/>
    <x v="33"/>
    <x v="0"/>
    <x v="22"/>
    <n v="1140"/>
    <s v="NOS"/>
    <x v="2"/>
    <n v="0"/>
    <n v="4000"/>
    <n v="17.19711432"/>
    <n v="0"/>
    <n v="17.19711432"/>
    <n v="1903.663102473346"/>
    <n v="8.184378000000001"/>
    <n v="37.081592"/>
    <n v="-0.2815142160000015"/>
    <n v="0.4759157756183364"/>
  </r>
  <r>
    <n v="122"/>
    <s v="Khopoli "/>
    <x v="12"/>
    <m/>
    <s v="189226|930794"/>
    <n v="1938127"/>
    <s v="TUB-S-AW-SHS-50.00X50.00X1.600X0.8470"/>
    <x v="6"/>
    <m/>
    <x v="0"/>
    <x v="0"/>
    <s v="D"/>
    <m/>
    <m/>
    <m/>
    <s v="50-50-1.6-ERW 2-PE"/>
    <s v="50-50-1.6-ERW 2-PE-0.847"/>
    <n v="1"/>
    <x v="34"/>
    <x v="4"/>
    <x v="23"/>
    <x v="0"/>
    <n v="847"/>
    <s v="NOS"/>
    <x v="2"/>
    <n v="0"/>
    <n v="4000"/>
    <n v="8.270910820480001"/>
    <n v="0"/>
    <n v="8.270910820480001"/>
    <n v="66.41009822520648"/>
    <n v="0.137318"/>
    <n v="8.757398999999999"/>
    <n v="17.05979632"/>
    <n v="0.01660252455630162"/>
  </r>
  <r>
    <n v="128"/>
    <s v="Khopoli "/>
    <x v="12"/>
    <m/>
    <s v="189226|930794"/>
    <n v="1470103"/>
    <s v="TUB-O-N-AUT-BH-FC-63.50X4.000X0.2360"/>
    <x v="0"/>
    <s v="Annealed"/>
    <x v="1"/>
    <x v="1"/>
    <m/>
    <m/>
    <m/>
    <m/>
    <s v="63.5-0-4-ERW 1-FC"/>
    <s v="63.5-0-4-ERW 1-FC-0.236"/>
    <n v="2"/>
    <x v="34"/>
    <x v="34"/>
    <x v="0"/>
    <x v="12"/>
    <n v="236"/>
    <s v="NOS"/>
    <x v="53"/>
    <n v="1500"/>
    <n v="8000"/>
    <n v="13.152607804"/>
    <n v="2.076727548"/>
    <n v="11.075880256"/>
    <n v="430.1238267197099"/>
    <n v="0.5955"/>
    <n v="26.162721"/>
    <n v="7.675410820480001"/>
    <n v="0.2031709291283905"/>
  </r>
  <r>
    <n v="396"/>
    <s v="Khopoli "/>
    <x v="12"/>
    <m/>
    <s v="189226|930794"/>
    <n v="1938128"/>
    <s v="TUB-O-N-AUT-AN-FC-70.00X3.200X0.4900"/>
    <x v="6"/>
    <s v="Annealed"/>
    <x v="1"/>
    <x v="1"/>
    <m/>
    <m/>
    <s v="AG"/>
    <m/>
    <s v="70-0-3.2-ERW 2-FC"/>
    <s v="70-0-3.2-ERW 2-FC-0.49"/>
    <n v="1"/>
    <x v="35"/>
    <x v="35"/>
    <x v="0"/>
    <x v="9"/>
    <n v="490"/>
    <s v="NOS"/>
    <x v="2"/>
    <n v="0"/>
    <n v="4000"/>
    <n v="10.3271816704"/>
    <n v="0"/>
    <n v="10.3271816704"/>
    <n v="138.5764331135824"/>
    <n v="0.357776"/>
    <n v="67.98188200000001"/>
    <n v="12.794831804"/>
    <n v="0.03464410827839561"/>
  </r>
  <r>
    <n v="181"/>
    <s v="Hosur"/>
    <x v="13"/>
    <s v="Rajsriya"/>
    <s v="129695|189481|187884|188415|189239|189240"/>
    <n v="1939992"/>
    <s v="TUB-O-O-AUT-AW-PE-12.70X1.600X0.1870"/>
    <x v="0"/>
    <m/>
    <x v="0"/>
    <x v="1"/>
    <m/>
    <m/>
    <m/>
    <m/>
    <s v="12.7-0-1.6-ERW 1-PE"/>
    <s v="12.7-0-1.6-ERW 1-PE-0.187"/>
    <n v="1"/>
    <x v="0"/>
    <x v="0"/>
    <x v="0"/>
    <x v="0"/>
    <n v="187"/>
    <m/>
    <x v="30"/>
    <e v="#N/A"/>
    <e v="#N/A"/>
    <n v="0"/>
    <e v="#N/A"/>
    <e v="#N/A"/>
    <e v="#DIV/0!"/>
    <n v="0"/>
    <n v="11.937059"/>
    <n v="10.3271816704"/>
    <e v="#N/A"/>
  </r>
  <r>
    <n v="195"/>
    <s v="Hosur"/>
    <x v="13"/>
    <s v="Rajsriya"/>
    <s v="129695|189481|187884|188415|189239|189240"/>
    <n v="2440974"/>
    <s v="TUB-O-O-AUT-AW-PE-12.70X1.600X0.2800"/>
    <x v="0"/>
    <m/>
    <x v="0"/>
    <x v="1"/>
    <m/>
    <m/>
    <m/>
    <m/>
    <s v="12.7-0-1.6-ERW 1-PE"/>
    <s v="12.7-0-1.6-ERW 1-PE-0.28"/>
    <n v="2"/>
    <x v="0"/>
    <x v="0"/>
    <x v="0"/>
    <x v="0"/>
    <n v="280"/>
    <m/>
    <x v="30"/>
    <e v="#N/A"/>
    <e v="#N/A"/>
    <n v="0"/>
    <e v="#N/A"/>
    <e v="#N/A"/>
    <e v="#DIV/0!"/>
    <n v="0.037408"/>
    <n v="11.937059"/>
    <n v="-0.037408"/>
    <e v="#N/A"/>
  </r>
  <r>
    <n v="204"/>
    <s v="Hosur"/>
    <x v="13"/>
    <s v="Rajsriya"/>
    <s v="129695|189481|187884|188415|189239|189240"/>
    <n v="1900224"/>
    <s v="TUB-O-O-AUT-AW-PE-15.88X1.6.000X6.0000"/>
    <x v="0"/>
    <m/>
    <x v="3"/>
    <x v="1"/>
    <m/>
    <m/>
    <m/>
    <m/>
    <s v="15.88-0-1.6-ERW 1-"/>
    <s v="15.88-0-1.6-ERW 1--6"/>
    <n v="0"/>
    <x v="1"/>
    <x v="1"/>
    <x v="0"/>
    <x v="0"/>
    <n v="6000"/>
    <m/>
    <x v="30"/>
    <e v="#N/A"/>
    <e v="#N/A"/>
    <n v="0"/>
    <e v="#N/A"/>
    <e v="#N/A"/>
    <e v="#DIV/0!"/>
    <n v="0"/>
    <n v="0"/>
    <n v="0"/>
    <e v="#N/A"/>
  </r>
  <r>
    <n v="138"/>
    <s v="Khopoli "/>
    <x v="13"/>
    <s v="Rajsriya"/>
    <s v="129695|189481|187884|188415|189239|189240"/>
    <m/>
    <m/>
    <x v="2"/>
    <m/>
    <x v="2"/>
    <x v="1"/>
    <m/>
    <m/>
    <m/>
    <m/>
    <s v="16.1-0-2.8-CEW-CEW"/>
    <s v="16.1-0-2.8-CEW-CEW-4.5"/>
    <n v="0"/>
    <x v="6"/>
    <x v="6"/>
    <x v="0"/>
    <x v="4"/>
    <n v="4500"/>
    <m/>
    <x v="30"/>
    <e v="#N/A"/>
    <e v="#N/A"/>
    <n v="0"/>
    <e v="#N/A"/>
    <e v="#N/A"/>
    <e v="#DIV/0!"/>
    <n v="0"/>
    <n v="1.943"/>
    <n v="0"/>
    <e v="#N/A"/>
  </r>
  <r>
    <n v="403"/>
    <s v="Khopoli "/>
    <x v="13"/>
    <s v="Rajsriya"/>
    <s v="129695|189481|187884|188415|189239|189240"/>
    <n v="1931824"/>
    <s v="TUB-O-N-AUT-AW-PE-17.30X1.200X6.0000"/>
    <x v="2"/>
    <m/>
    <x v="2"/>
    <x v="1"/>
    <m/>
    <m/>
    <m/>
    <m/>
    <s v="17.3-0-1.2-CEW-CEW"/>
    <s v="17.3-0-1.2-CEW-CEW-6"/>
    <n v="0"/>
    <x v="7"/>
    <x v="7"/>
    <x v="0"/>
    <x v="1"/>
    <n v="6000"/>
    <m/>
    <x v="30"/>
    <e v="#N/A"/>
    <e v="#N/A"/>
    <n v="0"/>
    <e v="#N/A"/>
    <e v="#N/A"/>
    <e v="#DIV/0!"/>
    <n v="0"/>
    <n v="0"/>
    <n v="0"/>
    <e v="#N/A"/>
  </r>
  <r>
    <n v="406"/>
    <s v="Khopoli "/>
    <x v="13"/>
    <s v="Rajsriya"/>
    <s v="129695|189481|187884|188415|189239|189240"/>
    <n v="3468207"/>
    <s v="TUB-O-C-AUT-AD-FC-19.00X3.250X5.0000"/>
    <x v="2"/>
    <m/>
    <x v="2"/>
    <x v="1"/>
    <m/>
    <m/>
    <m/>
    <m/>
    <s v="19-12.5-3.25-CEW-CEW"/>
    <s v="19-12.5-3.25-CEW-CEW-5"/>
    <n v="0"/>
    <x v="27"/>
    <x v="22"/>
    <x v="13"/>
    <x v="21"/>
    <n v="5000"/>
    <m/>
    <x v="30"/>
    <e v="#N/A"/>
    <e v="#N/A"/>
    <n v="0"/>
    <e v="#N/A"/>
    <e v="#N/A"/>
    <e v="#DIV/0!"/>
    <n v="0"/>
    <n v="20.418666"/>
    <m/>
    <m/>
  </r>
  <r>
    <n v="211"/>
    <s v="Khopoli "/>
    <x v="13"/>
    <s v="Rajsriya"/>
    <s v="129695|189481|187884|188415|189239|189240"/>
    <m/>
    <m/>
    <x v="2"/>
    <m/>
    <x v="2"/>
    <x v="1"/>
    <m/>
    <m/>
    <m/>
    <m/>
    <s v="19-12.5-3.25-CEW-CEW"/>
    <s v="19-12.5-3.25-CEW-CEW-0.2"/>
    <n v="0"/>
    <x v="2"/>
    <x v="22"/>
    <x v="13"/>
    <x v="21"/>
    <n v="200"/>
    <m/>
    <x v="30"/>
    <e v="#N/A"/>
    <e v="#N/A"/>
    <n v="0"/>
    <e v="#N/A"/>
    <e v="#N/A"/>
    <e v="#DIV/0!"/>
    <n v="0"/>
    <n v="20.418666"/>
    <n v="0"/>
    <e v="#N/A"/>
  </r>
  <r>
    <n v="210"/>
    <s v="Khopoli "/>
    <x v="13"/>
    <s v="Rajsriya"/>
    <s v="129695|189481|187884|188415|189239|189240"/>
    <n v="3545491"/>
    <s v="TUB-I-C-AUT-AD-FC-12.50X3.250X0.3190"/>
    <x v="2"/>
    <m/>
    <x v="2"/>
    <x v="1"/>
    <m/>
    <m/>
    <m/>
    <m/>
    <s v="19-12.5-3.25-CEW-CEW"/>
    <s v="19-12.5-3.25-CEW-CEW-0.319"/>
    <n v="1"/>
    <x v="2"/>
    <x v="22"/>
    <x v="13"/>
    <x v="21"/>
    <n v="319"/>
    <m/>
    <x v="30"/>
    <e v="#N/A"/>
    <e v="#N/A"/>
    <n v="0"/>
    <e v="#N/A"/>
    <e v="#N/A"/>
    <e v="#DIV/0!"/>
    <n v="0"/>
    <n v="20.418666"/>
    <n v="0"/>
    <e v="#N/A"/>
  </r>
  <r>
    <n v="240"/>
    <s v="Hosur"/>
    <x v="13"/>
    <s v="Rajsriya"/>
    <s v="129695|189481|187884|188415|189239|189240"/>
    <n v="1529261"/>
    <s v="TUB-O-N-AUT-AW-PE-19.05X1.600X0.2890"/>
    <x v="0"/>
    <m/>
    <x v="3"/>
    <x v="1"/>
    <m/>
    <m/>
    <m/>
    <m/>
    <s v="19.05-0-1.6-ERW 1-"/>
    <s v="19.05-0-1.6-ERW 1--0.289"/>
    <n v="0"/>
    <x v="2"/>
    <x v="2"/>
    <x v="0"/>
    <x v="0"/>
    <n v="289"/>
    <m/>
    <x v="30"/>
    <e v="#N/A"/>
    <e v="#N/A"/>
    <n v="0"/>
    <e v="#N/A"/>
    <e v="#N/A"/>
    <e v="#DIV/0!"/>
    <n v="0"/>
    <n v="0"/>
    <n v="0"/>
    <e v="#N/A"/>
  </r>
  <r>
    <n v="402"/>
    <s v="Hosur"/>
    <x v="13"/>
    <s v="Rajsriya"/>
    <s v="129695|189481|187884|188415|189239|189240"/>
    <n v="1529260"/>
    <s v="TUB-O-N-AUT-AW-PE-19.05X1.600X0.2990"/>
    <x v="0"/>
    <m/>
    <x v="3"/>
    <x v="1"/>
    <m/>
    <m/>
    <m/>
    <m/>
    <s v="19.05-0-1.6-ERW 1-"/>
    <s v="19.05-0-1.6-ERW 1--0.299"/>
    <n v="0"/>
    <x v="2"/>
    <x v="2"/>
    <x v="0"/>
    <x v="0"/>
    <n v="299"/>
    <m/>
    <x v="30"/>
    <e v="#N/A"/>
    <e v="#N/A"/>
    <n v="0"/>
    <e v="#N/A"/>
    <e v="#N/A"/>
    <e v="#DIV/0!"/>
    <n v="0"/>
    <n v="0"/>
    <m/>
    <m/>
  </r>
  <r>
    <n v="192"/>
    <s v="Hosur"/>
    <x v="13"/>
    <s v="Rajsriya"/>
    <s v="129695|189481|187884|188415|189239|189240"/>
    <n v="2403386"/>
    <s v="TUB-O-N-AUT-AW-PE-19.05X2.000X0.3580"/>
    <x v="0"/>
    <m/>
    <x v="3"/>
    <x v="1"/>
    <m/>
    <m/>
    <m/>
    <m/>
    <s v="19.05-0-2-ERW 1-"/>
    <s v="19.05-0-2-ERW 1--0.358"/>
    <n v="0"/>
    <x v="2"/>
    <x v="2"/>
    <x v="0"/>
    <x v="3"/>
    <n v="358"/>
    <m/>
    <x v="30"/>
    <e v="#N/A"/>
    <e v="#N/A"/>
    <n v="0"/>
    <e v="#N/A"/>
    <e v="#N/A"/>
    <e v="#DIV/0!"/>
    <n v="0"/>
    <n v="0"/>
    <n v="0"/>
    <e v="#N/A"/>
  </r>
  <r>
    <n v="160"/>
    <s v="Hosur"/>
    <x v="13"/>
    <s v="Rajsriya"/>
    <s v="129695|189481|187884|188415|189239|189240"/>
    <n v="1432169"/>
    <s v="TUB-O-N-AUT-AW-PE-19.05X2.000X0.4300"/>
    <x v="0"/>
    <m/>
    <x v="3"/>
    <x v="1"/>
    <m/>
    <m/>
    <m/>
    <m/>
    <s v="19.05-0-2-ERW 1-"/>
    <s v="19.05-0-2-ERW 1--0.43"/>
    <n v="0"/>
    <x v="2"/>
    <x v="2"/>
    <x v="0"/>
    <x v="3"/>
    <n v="430"/>
    <m/>
    <x v="30"/>
    <e v="#N/A"/>
    <e v="#N/A"/>
    <n v="0"/>
    <e v="#N/A"/>
    <e v="#N/A"/>
    <e v="#DIV/0!"/>
    <n v="0"/>
    <n v="0"/>
    <n v="0"/>
    <e v="#N/A"/>
  </r>
  <r>
    <n v="190"/>
    <s v="Hosur"/>
    <x v="13"/>
    <s v="Rajsriya"/>
    <s v="129695|189481|187884|188415|189239|189240"/>
    <n v="2403384"/>
    <s v="TUB-O-N-AUT-AW-PE-19.05X2.000X0.4490"/>
    <x v="0"/>
    <m/>
    <x v="3"/>
    <x v="1"/>
    <m/>
    <m/>
    <m/>
    <m/>
    <s v="19.05-0-2-ERW 1-"/>
    <s v="19.05-0-2-ERW 1--0.449"/>
    <n v="0"/>
    <x v="2"/>
    <x v="2"/>
    <x v="0"/>
    <x v="3"/>
    <n v="449"/>
    <m/>
    <x v="30"/>
    <e v="#N/A"/>
    <e v="#N/A"/>
    <n v="0"/>
    <e v="#N/A"/>
    <e v="#N/A"/>
    <e v="#DIV/0!"/>
    <n v="0"/>
    <n v="0"/>
    <n v="0"/>
    <e v="#N/A"/>
  </r>
  <r>
    <n v="237"/>
    <s v="Khopoli "/>
    <x v="13"/>
    <s v="Rajsriya"/>
    <s v="129695|189481|187884|188415|189239|189240"/>
    <n v="508988"/>
    <s v="PT2-O-N-AUT-AW-PE-19.05X2.300X0.303"/>
    <x v="0"/>
    <m/>
    <x v="3"/>
    <x v="1"/>
    <m/>
    <m/>
    <m/>
    <m/>
    <s v="19.05-0-2.3-ERW 1-"/>
    <s v="19.05-0-2.3-ERW 1--0.303"/>
    <n v="0"/>
    <x v="2"/>
    <x v="2"/>
    <x v="0"/>
    <x v="7"/>
    <n v="303"/>
    <m/>
    <x v="30"/>
    <e v="#N/A"/>
    <e v="#N/A"/>
    <n v="0"/>
    <e v="#N/A"/>
    <e v="#N/A"/>
    <e v="#DIV/0!"/>
    <n v="0"/>
    <n v="0"/>
    <n v="0"/>
    <e v="#N/A"/>
  </r>
  <r>
    <n v="206"/>
    <s v="Hosur"/>
    <x v="13"/>
    <s v="Rajsriya"/>
    <s v="129695|189481|187884|188415|189239|189240"/>
    <n v="508992"/>
    <s v="PT2-O-N-AUT-AW-PE-19.05X2.300X0.459"/>
    <x v="0"/>
    <m/>
    <x v="3"/>
    <x v="1"/>
    <m/>
    <m/>
    <m/>
    <m/>
    <s v="19.05-0-2.3-ERW 1-"/>
    <s v="19.05-0-2.3-ERW 1--0.459"/>
    <n v="0"/>
    <x v="2"/>
    <x v="2"/>
    <x v="0"/>
    <x v="7"/>
    <n v="459"/>
    <m/>
    <x v="30"/>
    <e v="#N/A"/>
    <e v="#N/A"/>
    <n v="0"/>
    <e v="#N/A"/>
    <e v="#N/A"/>
    <e v="#DIV/0!"/>
    <n v="0"/>
    <n v="0"/>
    <n v="0"/>
    <e v="#N/A"/>
  </r>
  <r>
    <n v="226"/>
    <s v="Hosur"/>
    <x v="13"/>
    <s v="Rajsriya"/>
    <s v="129695|189481|187884|188415|189239|189240"/>
    <n v="437150"/>
    <s v="PT2-O-N-AUT-AW-PE-19.05X2.300X0.555"/>
    <x v="0"/>
    <m/>
    <x v="3"/>
    <x v="1"/>
    <m/>
    <m/>
    <m/>
    <m/>
    <s v="19.05-0-2.3-ERW 1-"/>
    <s v="19.05-0-2.3-ERW 1--0.555"/>
    <n v="0"/>
    <x v="2"/>
    <x v="2"/>
    <x v="0"/>
    <x v="7"/>
    <n v="555"/>
    <m/>
    <x v="30"/>
    <e v="#N/A"/>
    <e v="#N/A"/>
    <n v="0"/>
    <e v="#N/A"/>
    <e v="#N/A"/>
    <e v="#DIV/0!"/>
    <n v="0"/>
    <n v="0"/>
    <n v="0"/>
    <e v="#N/A"/>
  </r>
  <r>
    <n v="224"/>
    <s v="Hosur"/>
    <x v="13"/>
    <s v="Rajsriya"/>
    <s v="129695|189481|187884|188415|189239|189240"/>
    <n v="1268694"/>
    <s v="TUB-O-N-AUT-AW-PE-19.05X2.300X7.00-ERW 1"/>
    <x v="0"/>
    <m/>
    <x v="3"/>
    <x v="1"/>
    <m/>
    <m/>
    <m/>
    <m/>
    <s v="19.05-0-2.3-ERW 1-"/>
    <s v="19.05-0-2.3-ERW 1--7"/>
    <n v="0"/>
    <x v="2"/>
    <x v="2"/>
    <x v="0"/>
    <x v="7"/>
    <n v="7000"/>
    <m/>
    <x v="30"/>
    <e v="#N/A"/>
    <e v="#N/A"/>
    <n v="0"/>
    <e v="#N/A"/>
    <e v="#N/A"/>
    <e v="#DIV/0!"/>
    <n v="0"/>
    <n v="0"/>
    <n v="0"/>
    <e v="#N/A"/>
  </r>
  <r>
    <n v="149"/>
    <s v="Hosur"/>
    <x v="13"/>
    <s v="Rajsriya"/>
    <s v="129695|189481|187884|188415|189239|189240"/>
    <n v="2332783"/>
    <s v="TUB-O-N-AUT-AW-PE-19.05X2.300X0.5500"/>
    <x v="0"/>
    <m/>
    <x v="3"/>
    <x v="1"/>
    <m/>
    <m/>
    <m/>
    <m/>
    <s v="19.05-0-2.34-ERW 1-"/>
    <s v="19.05-0-2.34-ERW 1--0.55"/>
    <n v="0"/>
    <x v="2"/>
    <x v="2"/>
    <x v="0"/>
    <x v="28"/>
    <n v="550"/>
    <m/>
    <x v="30"/>
    <e v="#N/A"/>
    <e v="#N/A"/>
    <n v="0"/>
    <e v="#N/A"/>
    <e v="#N/A"/>
    <e v="#DIV/0!"/>
    <n v="0"/>
    <n v="0"/>
    <n v="0"/>
    <e v="#N/A"/>
  </r>
  <r>
    <n v="401"/>
    <s v="Hosur"/>
    <x v="13"/>
    <s v="Rajsriya"/>
    <s v="129695|189481|187884|188415|189239|189240"/>
    <m/>
    <m/>
    <x v="6"/>
    <m/>
    <x v="3"/>
    <x v="1"/>
    <m/>
    <m/>
    <m/>
    <m/>
    <s v="19.05-0-2.5-ERW 2-"/>
    <s v="19.05-0-2.5-ERW 2--0.319"/>
    <n v="0"/>
    <x v="2"/>
    <x v="2"/>
    <x v="0"/>
    <x v="11"/>
    <n v="319"/>
    <m/>
    <x v="30"/>
    <e v="#N/A"/>
    <e v="#N/A"/>
    <n v="0"/>
    <e v="#N/A"/>
    <e v="#N/A"/>
    <e v="#DIV/0!"/>
    <n v="0"/>
    <n v="0"/>
    <n v="0"/>
    <e v="#N/A"/>
  </r>
  <r>
    <n v="208"/>
    <s v="Hosur"/>
    <x v="13"/>
    <s v="Rajsriya"/>
    <s v="129695|189481|187884|188415|189239|189240"/>
    <n v="314118"/>
    <s v="TUB-O-N-AUT-AW-PE-22.20X1.200X0.300"/>
    <x v="1"/>
    <m/>
    <x v="3"/>
    <x v="1"/>
    <m/>
    <m/>
    <m/>
    <m/>
    <s v="22.2-0-1.2--"/>
    <s v="22.2-0-1.2---0.3"/>
    <n v="0"/>
    <x v="8"/>
    <x v="44"/>
    <x v="0"/>
    <x v="1"/>
    <n v="300"/>
    <m/>
    <x v="30"/>
    <e v="#N/A"/>
    <e v="#N/A"/>
    <n v="0"/>
    <e v="#N/A"/>
    <e v="#N/A"/>
    <e v="#DIV/0!"/>
    <n v="0"/>
    <n v="0"/>
    <n v="0"/>
    <e v="#N/A"/>
  </r>
  <r>
    <n v="146"/>
    <s v="Hosur"/>
    <x v="13"/>
    <s v="Rajsriya"/>
    <s v="129695|189481|187884|188415|189239|189240"/>
    <n v="1940360"/>
    <s v="TUB-O-O-AUT-AW-PE-22.23X1.200X0.6000"/>
    <x v="0"/>
    <m/>
    <x v="3"/>
    <x v="1"/>
    <m/>
    <m/>
    <m/>
    <m/>
    <s v="22.23-0-1.2-ERW 1-"/>
    <s v="22.23-0-1.2-ERW 1--0.6"/>
    <n v="0"/>
    <x v="8"/>
    <x v="8"/>
    <x v="0"/>
    <x v="1"/>
    <n v="600"/>
    <m/>
    <x v="30"/>
    <e v="#N/A"/>
    <e v="#N/A"/>
    <n v="0"/>
    <e v="#N/A"/>
    <e v="#N/A"/>
    <e v="#DIV/0!"/>
    <n v="0"/>
    <n v="0"/>
    <n v="0"/>
    <e v="#N/A"/>
  </r>
  <r>
    <n v="234"/>
    <s v="Hosur"/>
    <x v="13"/>
    <s v="Rajsriya"/>
    <s v="129695|189481|187884|188415|189239|189240"/>
    <n v="3747395"/>
    <s v="PT2-O-N-AUT-AW-PE-22.20X1.600X0.361"/>
    <x v="0"/>
    <m/>
    <x v="3"/>
    <x v="1"/>
    <m/>
    <m/>
    <m/>
    <m/>
    <s v="22.23-0-1.6-ERW 1-"/>
    <s v="22.23-0-1.6-ERW 1--0.361"/>
    <n v="0"/>
    <x v="8"/>
    <x v="8"/>
    <x v="0"/>
    <x v="0"/>
    <n v="361"/>
    <m/>
    <x v="30"/>
    <e v="#N/A"/>
    <e v="#N/A"/>
    <n v="0"/>
    <e v="#N/A"/>
    <e v="#N/A"/>
    <e v="#DIV/0!"/>
    <n v="0"/>
    <n v="0"/>
    <n v="0"/>
    <e v="#N/A"/>
  </r>
  <r>
    <n v="180"/>
    <s v="Hosur"/>
    <x v="13"/>
    <s v="Rajsriya"/>
    <s v="129695|189481|187884|188415|189239|189240"/>
    <n v="1940430"/>
    <s v="TUB-O-O-AUT-AW-PE-22.23X2.000X0.2200"/>
    <x v="0"/>
    <m/>
    <x v="3"/>
    <x v="1"/>
    <m/>
    <m/>
    <m/>
    <m/>
    <s v="22.23-0-2-ERW 1-"/>
    <s v="22.23-0-2-ERW 1--0.22"/>
    <n v="0"/>
    <x v="8"/>
    <x v="8"/>
    <x v="0"/>
    <x v="3"/>
    <n v="220"/>
    <m/>
    <x v="30"/>
    <e v="#N/A"/>
    <e v="#N/A"/>
    <n v="0"/>
    <e v="#N/A"/>
    <e v="#N/A"/>
    <e v="#DIV/0!"/>
    <n v="0"/>
    <n v="0"/>
    <n v="0"/>
    <e v="#N/A"/>
  </r>
  <r>
    <n v="231"/>
    <s v="Hosur"/>
    <x v="13"/>
    <s v="Rajsriya"/>
    <s v="129695|189481|187884|188415|189239|189240"/>
    <n v="1174856"/>
    <s v="TUB-O-N-AUT-AW-FC-22.20X2.000X0.505"/>
    <x v="0"/>
    <m/>
    <x v="3"/>
    <x v="1"/>
    <m/>
    <m/>
    <m/>
    <m/>
    <s v="22.23-0-2-ERW 1-"/>
    <s v="22.23-0-2-ERW 1--0.505"/>
    <n v="0"/>
    <x v="8"/>
    <x v="8"/>
    <x v="0"/>
    <x v="3"/>
    <n v="505"/>
    <m/>
    <x v="30"/>
    <e v="#N/A"/>
    <e v="#N/A"/>
    <n v="0"/>
    <e v="#N/A"/>
    <e v="#N/A"/>
    <e v="#DIV/0!"/>
    <n v="0"/>
    <n v="0"/>
    <n v="0"/>
    <e v="#N/A"/>
  </r>
  <r>
    <n v="239"/>
    <s v="Hosur"/>
    <x v="13"/>
    <s v="Rajsriya"/>
    <s v="129695|189481|187884|188415|189239|189240"/>
    <n v="1140411"/>
    <s v="PT2-O-N-AUT-AW-PE-22.20X2.000X0.851"/>
    <x v="0"/>
    <m/>
    <x v="3"/>
    <x v="1"/>
    <m/>
    <m/>
    <m/>
    <m/>
    <s v="22.23-0-2-ERW 1-"/>
    <s v="22.23-0-2-ERW 1--0.851"/>
    <n v="0"/>
    <x v="8"/>
    <x v="8"/>
    <x v="0"/>
    <x v="3"/>
    <n v="851"/>
    <m/>
    <x v="30"/>
    <e v="#N/A"/>
    <e v="#N/A"/>
    <n v="0"/>
    <e v="#N/A"/>
    <e v="#N/A"/>
    <e v="#DIV/0!"/>
    <n v="0"/>
    <n v="0"/>
    <n v="0"/>
    <e v="#N/A"/>
  </r>
  <r>
    <n v="241"/>
    <s v="Hosur"/>
    <x v="13"/>
    <s v="Rajsriya"/>
    <s v="129695|189481|187884|188415|189239|189240"/>
    <n v="1361680"/>
    <s v="TUB-O-N-AUT-AW-PE-22.20X2.000X0.8620"/>
    <x v="0"/>
    <m/>
    <x v="3"/>
    <x v="1"/>
    <m/>
    <m/>
    <m/>
    <m/>
    <s v="22.23-0-2-ERW 1-"/>
    <s v="22.23-0-2-ERW 1--0.862"/>
    <n v="0"/>
    <x v="8"/>
    <x v="8"/>
    <x v="0"/>
    <x v="3"/>
    <n v="862"/>
    <m/>
    <x v="30"/>
    <e v="#N/A"/>
    <e v="#N/A"/>
    <n v="0"/>
    <e v="#N/A"/>
    <e v="#N/A"/>
    <e v="#DIV/0!"/>
    <n v="0"/>
    <n v="0"/>
    <n v="0"/>
    <e v="#N/A"/>
  </r>
  <r>
    <n v="150"/>
    <s v="Hosur"/>
    <x v="13"/>
    <s v="Rajsriya"/>
    <s v="129695|189481|187884|188415|189239|189240"/>
    <n v="1940500"/>
    <s v="TUB-O-O-AUT-AW-PE-22.23X2.300X0.3500"/>
    <x v="0"/>
    <m/>
    <x v="0"/>
    <x v="1"/>
    <m/>
    <m/>
    <m/>
    <m/>
    <s v="22.23-0-2.3-ERW 1-PE"/>
    <s v="22.23-0-2.3-ERW 1-PE-0.35"/>
    <n v="1"/>
    <x v="8"/>
    <x v="8"/>
    <x v="0"/>
    <x v="7"/>
    <n v="350"/>
    <m/>
    <x v="30"/>
    <e v="#N/A"/>
    <e v="#N/A"/>
    <n v="0"/>
    <e v="#N/A"/>
    <e v="#N/A"/>
    <e v="#DIV/0!"/>
    <n v="0"/>
    <n v="3.409989"/>
    <n v="0"/>
    <e v="#N/A"/>
  </r>
  <r>
    <n v="227"/>
    <s v="Hosur"/>
    <x v="13"/>
    <s v="Rajsriya"/>
    <s v="129695|189481|187884|188415|189239|189240"/>
    <n v="1940504"/>
    <s v="TUB-O-O-AUT-AW-PE-22.23X2.300X0.4990"/>
    <x v="1"/>
    <m/>
    <x v="0"/>
    <x v="1"/>
    <m/>
    <m/>
    <m/>
    <m/>
    <s v="22.23-0-2.3--PE"/>
    <s v="22.23-0-2.3--PE-0.499"/>
    <n v="0"/>
    <x v="8"/>
    <x v="8"/>
    <x v="0"/>
    <x v="7"/>
    <n v="499"/>
    <m/>
    <x v="30"/>
    <e v="#N/A"/>
    <e v="#N/A"/>
    <n v="0"/>
    <e v="#N/A"/>
    <e v="#N/A"/>
    <e v="#DIV/0!"/>
    <n v="0"/>
    <n v="0"/>
    <n v="0"/>
    <e v="#N/A"/>
  </r>
  <r>
    <n v="236"/>
    <s v="Hosur"/>
    <x v="13"/>
    <s v="Rajsriya"/>
    <s v="129695|189481|187884|188415|189239|189240"/>
    <n v="1119129"/>
    <s v="PT2-O-N-AUT-AW-PE-25.40X1.600X0.360"/>
    <x v="0"/>
    <m/>
    <x v="3"/>
    <x v="1"/>
    <m/>
    <m/>
    <m/>
    <m/>
    <s v="25.4-0-1.6-ERW 1-"/>
    <s v="25.4-0-1.6-ERW 1--0.36"/>
    <n v="0"/>
    <x v="3"/>
    <x v="3"/>
    <x v="0"/>
    <x v="0"/>
    <n v="360"/>
    <m/>
    <x v="30"/>
    <e v="#N/A"/>
    <e v="#N/A"/>
    <n v="0"/>
    <e v="#N/A"/>
    <e v="#N/A"/>
    <e v="#DIV/0!"/>
    <n v="0"/>
    <n v="0"/>
    <n v="0"/>
    <e v="#N/A"/>
  </r>
  <r>
    <n v="222"/>
    <s v="Hosur"/>
    <x v="13"/>
    <s v="Rajsriya"/>
    <s v="129695|189481|187884|188415|189239|189240"/>
    <s v="NEW SIZE"/>
    <m/>
    <x v="1"/>
    <m/>
    <x v="3"/>
    <x v="1"/>
    <m/>
    <m/>
    <m/>
    <m/>
    <s v="25.4-0-2--"/>
    <s v="25.4-0-2---0.567"/>
    <n v="0"/>
    <x v="3"/>
    <x v="3"/>
    <x v="0"/>
    <x v="3"/>
    <n v="567"/>
    <m/>
    <x v="30"/>
    <e v="#N/A"/>
    <e v="#N/A"/>
    <n v="0"/>
    <e v="#N/A"/>
    <e v="#N/A"/>
    <e v="#DIV/0!"/>
    <n v="0"/>
    <n v="0"/>
    <m/>
    <m/>
  </r>
  <r>
    <n v="215"/>
    <s v="Hosur"/>
    <x v="13"/>
    <s v="Rajsriya"/>
    <s v="129695|189481|187884|188415|189239|189240"/>
    <n v="1531609"/>
    <s v="TUB-O-N-AUT-AW-FC-25.40X2.000X0.6000"/>
    <x v="1"/>
    <m/>
    <x v="3"/>
    <x v="1"/>
    <m/>
    <m/>
    <m/>
    <m/>
    <s v="25.4-0-2--"/>
    <s v="25.4-0-2---0.6"/>
    <n v="0"/>
    <x v="3"/>
    <x v="3"/>
    <x v="0"/>
    <x v="3"/>
    <n v="600"/>
    <m/>
    <x v="30"/>
    <e v="#N/A"/>
    <e v="#N/A"/>
    <n v="0"/>
    <e v="#N/A"/>
    <e v="#N/A"/>
    <e v="#DIV/0!"/>
    <n v="0"/>
    <n v="0"/>
    <n v="0"/>
    <e v="#N/A"/>
  </r>
  <r>
    <n v="223"/>
    <s v="Hosur"/>
    <x v="13"/>
    <s v="Rajsriya"/>
    <s v="129695|189481|187884|188415|189239|189240"/>
    <n v="1190412"/>
    <s v="TUB-O-N-AUT-AW-PE-25.40X2.000X0.657"/>
    <x v="1"/>
    <m/>
    <x v="3"/>
    <x v="1"/>
    <m/>
    <m/>
    <m/>
    <m/>
    <s v="25.4-0-2--"/>
    <s v="25.4-0-2---0.657"/>
    <n v="0"/>
    <x v="3"/>
    <x v="3"/>
    <x v="0"/>
    <x v="3"/>
    <n v="657"/>
    <m/>
    <x v="30"/>
    <e v="#N/A"/>
    <e v="#N/A"/>
    <n v="0"/>
    <e v="#N/A"/>
    <e v="#N/A"/>
    <e v="#DIV/0!"/>
    <n v="0"/>
    <n v="0"/>
    <m/>
    <m/>
  </r>
  <r>
    <n v="221"/>
    <s v="Hosur"/>
    <x v="13"/>
    <s v="Rajsriya"/>
    <s v="129695|189481|187884|188415|189239|189240"/>
    <s v="NEW SIZE"/>
    <m/>
    <x v="1"/>
    <m/>
    <x v="3"/>
    <x v="1"/>
    <m/>
    <m/>
    <m/>
    <m/>
    <s v="25.4-0-2--"/>
    <s v="25.4-0-2---0.66"/>
    <n v="0"/>
    <x v="3"/>
    <x v="3"/>
    <x v="0"/>
    <x v="3"/>
    <n v="660"/>
    <m/>
    <x v="30"/>
    <e v="#N/A"/>
    <e v="#N/A"/>
    <n v="0"/>
    <e v="#N/A"/>
    <e v="#N/A"/>
    <e v="#DIV/0!"/>
    <n v="0"/>
    <n v="0"/>
    <n v="0"/>
    <e v="#N/A"/>
  </r>
  <r>
    <n v="232"/>
    <s v="Hosur"/>
    <x v="13"/>
    <s v="Rajsriya"/>
    <s v="129695|189481|187884|188415|189239|189240"/>
    <n v="1140302"/>
    <s v="PT2-O-N-AUT-AW-PE-25.40X2.600X0.360"/>
    <x v="0"/>
    <m/>
    <x v="3"/>
    <x v="1"/>
    <m/>
    <m/>
    <m/>
    <m/>
    <s v="25.4-0-2.6-ERW 1-"/>
    <s v="25.4-0-2.6-ERW 1--0.36"/>
    <n v="0"/>
    <x v="3"/>
    <x v="3"/>
    <x v="0"/>
    <x v="13"/>
    <n v="360"/>
    <m/>
    <x v="30"/>
    <e v="#N/A"/>
    <e v="#N/A"/>
    <n v="0"/>
    <e v="#N/A"/>
    <e v="#N/A"/>
    <e v="#DIV/0!"/>
    <n v="0"/>
    <n v="0"/>
    <n v="0"/>
    <e v="#N/A"/>
  </r>
  <r>
    <n v="409"/>
    <s v="Khopoli "/>
    <x v="13"/>
    <s v="Rajsriya"/>
    <s v="129695|189481|187884|188415|189239|189240"/>
    <n v="1941408"/>
    <s v="TUB-O-C-AUT-AD-FC-25.40X2.500X3.7300"/>
    <x v="2"/>
    <m/>
    <x v="2"/>
    <x v="1"/>
    <m/>
    <m/>
    <m/>
    <m/>
    <s v="25.4-20.4-2.5-CEW-CEW"/>
    <s v="25.4-20.4-2.5-CEW-CEW-3.73"/>
    <n v="0"/>
    <x v="3"/>
    <x v="3"/>
    <x v="6"/>
    <x v="11"/>
    <n v="3730"/>
    <m/>
    <x v="30"/>
    <e v="#N/A"/>
    <e v="#N/A"/>
    <n v="0"/>
    <e v="#N/A"/>
    <e v="#N/A"/>
    <e v="#DIV/0!"/>
    <n v="0"/>
    <n v="0"/>
    <n v="0"/>
    <e v="#N/A"/>
  </r>
  <r>
    <n v="213"/>
    <s v="Khopoli "/>
    <x v="13"/>
    <s v="Rajsriya"/>
    <s v="129695|189481|187884|188415|189239|189240"/>
    <n v="503108"/>
    <s v="PT3-I-C-AUT-AD-CH-25.50X2.320X0.485"/>
    <x v="2"/>
    <m/>
    <x v="2"/>
    <x v="1"/>
    <m/>
    <m/>
    <m/>
    <m/>
    <s v="30.15-25.5-2.32-CEW-CEW"/>
    <s v="30.15-25.5-2.32-CEW-CEW-0.485"/>
    <n v="0"/>
    <x v="42"/>
    <x v="45"/>
    <x v="9"/>
    <x v="29"/>
    <n v="485"/>
    <m/>
    <x v="30"/>
    <e v="#N/A"/>
    <e v="#N/A"/>
    <n v="0"/>
    <e v="#N/A"/>
    <e v="#N/A"/>
    <e v="#DIV/0!"/>
    <n v="0"/>
    <n v="0"/>
    <n v="0"/>
    <e v="#N/A"/>
  </r>
  <r>
    <n v="229"/>
    <s v="Hosur"/>
    <x v="13"/>
    <s v="Rajsriya"/>
    <s v="129695|189481|187884|188415|189239|189240"/>
    <n v="444028"/>
    <s v="PT2-O-N-AUT-AW-PE-31.75X1.200X0.600"/>
    <x v="1"/>
    <m/>
    <x v="3"/>
    <x v="1"/>
    <m/>
    <m/>
    <m/>
    <m/>
    <s v="31.75-0-1.2--"/>
    <s v="31.75-0-1.2---0.6"/>
    <n v="0"/>
    <x v="12"/>
    <x v="13"/>
    <x v="0"/>
    <x v="1"/>
    <n v="600"/>
    <m/>
    <x v="30"/>
    <e v="#N/A"/>
    <e v="#N/A"/>
    <n v="0"/>
    <e v="#N/A"/>
    <e v="#N/A"/>
    <e v="#DIV/0!"/>
    <n v="0"/>
    <n v="0"/>
    <n v="0"/>
    <e v="#N/A"/>
  </r>
  <r>
    <n v="136"/>
    <s v="Hosur"/>
    <x v="13"/>
    <s v="Rajsriya"/>
    <s v="129695|189481|187884|188415|189239|189240"/>
    <m/>
    <m/>
    <x v="2"/>
    <m/>
    <x v="2"/>
    <x v="1"/>
    <m/>
    <m/>
    <m/>
    <m/>
    <s v="36-34-0.91-CEW-CEW"/>
    <s v="36-34-0.91-CEW-CEW-0.168"/>
    <n v="0"/>
    <x v="43"/>
    <x v="46"/>
    <x v="10"/>
    <x v="30"/>
    <n v="168"/>
    <m/>
    <x v="30"/>
    <e v="#N/A"/>
    <e v="#N/A"/>
    <n v="0"/>
    <e v="#N/A"/>
    <e v="#N/A"/>
    <e v="#DIV/0!"/>
    <n v="0"/>
    <n v="0"/>
    <n v="0"/>
    <e v="#N/A"/>
  </r>
  <r>
    <n v="201"/>
    <s v="Hosur"/>
    <x v="13"/>
    <s v="Rajsriya"/>
    <s v="129695|189481|187884|188415|189239|189240"/>
    <n v="1940745"/>
    <s v="TUB-O-O-AUT-AW-FC-38.10X2.000X0.9270"/>
    <x v="0"/>
    <m/>
    <x v="3"/>
    <x v="1"/>
    <m/>
    <m/>
    <m/>
    <m/>
    <s v="38.1-0-2-ERW 1-"/>
    <s v="38.1-0-2-ERW 1--0.927"/>
    <n v="0"/>
    <x v="14"/>
    <x v="24"/>
    <x v="0"/>
    <x v="3"/>
    <n v="927"/>
    <m/>
    <x v="30"/>
    <e v="#N/A"/>
    <e v="#N/A"/>
    <n v="0"/>
    <e v="#N/A"/>
    <e v="#N/A"/>
    <e v="#DIV/0!"/>
    <n v="0"/>
    <n v="0"/>
    <n v="0"/>
    <e v="#N/A"/>
  </r>
  <r>
    <n v="230"/>
    <s v="Hosur"/>
    <x v="13"/>
    <s v="Rajsriya"/>
    <s v="129695|189481|187884|188415|189239|189240"/>
    <n v="3087646"/>
    <s v="PT4-O-N-AUT-AW-FC-41.28X2.600X0.8480"/>
    <x v="0"/>
    <m/>
    <x v="1"/>
    <x v="1"/>
    <m/>
    <m/>
    <m/>
    <m/>
    <s v="41.28-0-2.6-ERW 1-FC"/>
    <s v="41.28-0-2.6-ERW 1-FC-0.848"/>
    <n v="2"/>
    <x v="15"/>
    <x v="27"/>
    <x v="0"/>
    <x v="13"/>
    <n v="848"/>
    <m/>
    <x v="30"/>
    <e v="#N/A"/>
    <e v="#N/A"/>
    <n v="0"/>
    <e v="#N/A"/>
    <e v="#N/A"/>
    <e v="#DIV/0!"/>
    <n v="0"/>
    <n v="0.270271"/>
    <n v="0"/>
    <e v="#N/A"/>
  </r>
  <r>
    <n v="216"/>
    <s v="Hosur"/>
    <x v="13"/>
    <s v="Rajsriya"/>
    <s v="129695|189481|187884|188415|189239|189240"/>
    <n v="3605867"/>
    <s v="TUB-O-N-AUT-AW-FC-41.28X3.200X0.2350"/>
    <x v="0"/>
    <m/>
    <x v="3"/>
    <x v="1"/>
    <m/>
    <m/>
    <m/>
    <m/>
    <s v="41.28-0-3.2-ERW 1-"/>
    <s v="41.28-0-3.2-ERW 1--0.235"/>
    <n v="0"/>
    <x v="15"/>
    <x v="27"/>
    <x v="0"/>
    <x v="9"/>
    <n v="235"/>
    <m/>
    <x v="30"/>
    <e v="#N/A"/>
    <e v="#N/A"/>
    <n v="0"/>
    <e v="#N/A"/>
    <e v="#N/A"/>
    <e v="#DIV/0!"/>
    <n v="0"/>
    <n v="0"/>
    <n v="0"/>
    <e v="#N/A"/>
  </r>
  <r>
    <n v="228"/>
    <s v="Hosur"/>
    <x v="13"/>
    <s v="Rajsriya"/>
    <s v="129695|189481|187884|188415|189239|189240"/>
    <n v="1511515"/>
    <s v="TUB-O-N-AUT-BH-FC-42.70X4.000X0.2080"/>
    <x v="0"/>
    <s v="Annealed"/>
    <x v="3"/>
    <x v="1"/>
    <m/>
    <m/>
    <m/>
    <m/>
    <s v="42.7-0-4-ERW 1-"/>
    <s v="42.7-0-4-ERW 1--0.208"/>
    <n v="0"/>
    <x v="16"/>
    <x v="16"/>
    <x v="0"/>
    <x v="12"/>
    <n v="208"/>
    <m/>
    <x v="30"/>
    <e v="#N/A"/>
    <e v="#N/A"/>
    <n v="0"/>
    <e v="#N/A"/>
    <e v="#N/A"/>
    <e v="#DIV/0!"/>
    <n v="0"/>
    <n v="0"/>
    <n v="0"/>
    <e v="#N/A"/>
  </r>
  <r>
    <n v="408"/>
    <s v="Khopoli "/>
    <x v="13"/>
    <s v="Rajsriya"/>
    <s v="129695|189481|187884|188415|189239|189240"/>
    <n v="2426233"/>
    <s v="TUB-O-N-AUT-AN-FC-42.70X4.000X5.7300"/>
    <x v="2"/>
    <s v="Annealed"/>
    <x v="2"/>
    <x v="1"/>
    <m/>
    <m/>
    <m/>
    <m/>
    <s v="42.7-0-4-CEW-CEW"/>
    <s v="42.7-0-4-CEW-CEW-5.739"/>
    <n v="0"/>
    <x v="16"/>
    <x v="16"/>
    <x v="0"/>
    <x v="12"/>
    <n v="5739"/>
    <m/>
    <x v="30"/>
    <e v="#N/A"/>
    <e v="#N/A"/>
    <n v="0"/>
    <e v="#N/A"/>
    <e v="#N/A"/>
    <e v="#DIV/0!"/>
    <n v="0"/>
    <n v="0"/>
    <n v="0"/>
    <e v="#N/A"/>
  </r>
  <r>
    <n v="214"/>
    <s v="Hosur"/>
    <x v="13"/>
    <s v="Rajsriya"/>
    <s v="129695|189481|187884|188415|189239|189240"/>
    <n v="1940829"/>
    <s v="TUB-R-AW-RHS-40.00X30.00X1.600X0.3140"/>
    <x v="0"/>
    <m/>
    <x v="3"/>
    <x v="1"/>
    <m/>
    <m/>
    <m/>
    <m/>
    <s v="40-30-1.6-ERW 1-"/>
    <s v="40-30-1.6-ERW 1--0.314"/>
    <n v="0"/>
    <x v="17"/>
    <x v="15"/>
    <x v="1"/>
    <x v="0"/>
    <n v="314"/>
    <m/>
    <x v="30"/>
    <e v="#N/A"/>
    <e v="#N/A"/>
    <n v="0"/>
    <e v="#N/A"/>
    <e v="#N/A"/>
    <e v="#DIV/0!"/>
    <n v="0"/>
    <n v="0"/>
    <n v="0"/>
    <e v="#N/A"/>
  </r>
  <r>
    <n v="154"/>
    <s v="Hosur"/>
    <x v="13"/>
    <s v="Rajsriya"/>
    <s v="129695|189481|187884|188415|189239|189240"/>
    <n v="3616912"/>
    <s v="TUB-R-AW-AUT-40.00X30.00X1.600X0.8520"/>
    <x v="0"/>
    <m/>
    <x v="3"/>
    <x v="1"/>
    <m/>
    <m/>
    <m/>
    <m/>
    <s v="40-30-1.6-ERW 1-"/>
    <s v="40-30-1.6-ERW 1--0.852"/>
    <n v="0"/>
    <x v="17"/>
    <x v="15"/>
    <x v="1"/>
    <x v="0"/>
    <n v="852"/>
    <m/>
    <x v="30"/>
    <e v="#N/A"/>
    <e v="#N/A"/>
    <n v="0"/>
    <e v="#N/A"/>
    <e v="#N/A"/>
    <e v="#DIV/0!"/>
    <n v="0"/>
    <n v="0"/>
    <n v="0"/>
    <e v="#N/A"/>
  </r>
  <r>
    <n v="156"/>
    <s v="Hosur"/>
    <x v="13"/>
    <s v="Rajsriya"/>
    <s v="129695|189481|187884|188415|189239|189240"/>
    <m/>
    <s v="CUT-O-N-AUT-AW-FC-57.15X2.000X0.409"/>
    <x v="0"/>
    <m/>
    <x v="3"/>
    <x v="1"/>
    <m/>
    <m/>
    <m/>
    <m/>
    <s v="57.15-0-2-ERW 1-"/>
    <s v="57.15-0-2-ERW 1--0.409"/>
    <n v="0"/>
    <x v="19"/>
    <x v="19"/>
    <x v="0"/>
    <x v="3"/>
    <n v="409"/>
    <m/>
    <x v="30"/>
    <e v="#N/A"/>
    <e v="#N/A"/>
    <n v="0"/>
    <e v="#N/A"/>
    <e v="#N/A"/>
    <e v="#DIV/0!"/>
    <n v="0"/>
    <n v="0"/>
    <n v="0"/>
    <e v="#N/A"/>
  </r>
  <r>
    <n v="404"/>
    <s v="Hosur"/>
    <x v="13"/>
    <s v="Rajsriya"/>
    <s v="129695|189481|187884|188415|189239|189240"/>
    <n v="3727461"/>
    <s v="CUT-O-N-AUT-AW-FC-57.15X2.000X0.4130"/>
    <x v="0"/>
    <m/>
    <x v="3"/>
    <x v="1"/>
    <m/>
    <m/>
    <m/>
    <m/>
    <s v="57.15-0-2-ERW 1-"/>
    <s v="57.15-0-2-ERW 1--0.413"/>
    <n v="0"/>
    <x v="19"/>
    <x v="19"/>
    <x v="0"/>
    <x v="3"/>
    <n v="413"/>
    <m/>
    <x v="30"/>
    <e v="#N/A"/>
    <e v="#N/A"/>
    <n v="0"/>
    <e v="#N/A"/>
    <e v="#N/A"/>
    <e v="#DIV/0!"/>
    <n v="0"/>
    <n v="0"/>
    <n v="0"/>
    <e v="#N/A"/>
  </r>
  <r>
    <n v="220"/>
    <s v="Hosur"/>
    <x v="13"/>
    <s v="Rajsriya"/>
    <s v="129695|189481|187884|188415|189239|189240"/>
    <s v="NO MATERIAL CODE"/>
    <m/>
    <x v="1"/>
    <m/>
    <x v="3"/>
    <x v="1"/>
    <m/>
    <m/>
    <m/>
    <m/>
    <s v="57.15-0-2.5--"/>
    <s v="57.15-0-2.5---0.376"/>
    <n v="0"/>
    <x v="19"/>
    <x v="19"/>
    <x v="0"/>
    <x v="11"/>
    <n v="376"/>
    <m/>
    <x v="30"/>
    <e v="#N/A"/>
    <e v="#N/A"/>
    <n v="0"/>
    <e v="#N/A"/>
    <e v="#N/A"/>
    <e v="#DIV/0!"/>
    <n v="0"/>
    <n v="0"/>
    <n v="0"/>
    <e v="#N/A"/>
  </r>
  <r>
    <n v="233"/>
    <s v="Hosur"/>
    <x v="13"/>
    <s v="Rajsriya"/>
    <s v="129695|189481|187884|188415|189239|189240"/>
    <n v="1940913"/>
    <s v="TUB-O-O-AUT-AW-FC-57.15X2.500X0.8120"/>
    <x v="1"/>
    <m/>
    <x v="3"/>
    <x v="1"/>
    <m/>
    <m/>
    <m/>
    <m/>
    <s v="57.15-0-2.5--"/>
    <s v="57.15-0-2.5---0.812"/>
    <n v="0"/>
    <x v="19"/>
    <x v="19"/>
    <x v="0"/>
    <x v="11"/>
    <n v="812"/>
    <m/>
    <x v="30"/>
    <e v="#N/A"/>
    <e v="#N/A"/>
    <n v="0"/>
    <e v="#N/A"/>
    <e v="#N/A"/>
    <e v="#DIV/0!"/>
    <n v="0"/>
    <n v="0"/>
    <n v="0"/>
    <e v="#N/A"/>
  </r>
  <r>
    <n v="217"/>
    <s v="Khopoli "/>
    <x v="13"/>
    <s v="Rajsriya"/>
    <s v="129695|189481|187884|188415|189239|189240"/>
    <n v="3662752"/>
    <s v="TUB-O-N-AUT-AW-FC-60.30X2.000X0.4930"/>
    <x v="1"/>
    <m/>
    <x v="3"/>
    <x v="1"/>
    <m/>
    <m/>
    <m/>
    <m/>
    <s v="60.3-0-2--"/>
    <s v="60.3-0-2---0.493"/>
    <n v="0"/>
    <x v="29"/>
    <x v="29"/>
    <x v="0"/>
    <x v="3"/>
    <n v="493"/>
    <m/>
    <x v="30"/>
    <e v="#N/A"/>
    <e v="#N/A"/>
    <n v="0"/>
    <e v="#N/A"/>
    <e v="#N/A"/>
    <e v="#DIV/0!"/>
    <n v="0"/>
    <n v="0"/>
    <n v="0"/>
    <e v="#N/A"/>
  </r>
  <r>
    <n v="407"/>
    <s v="Khopoli "/>
    <x v="13"/>
    <s v="Rajsriya"/>
    <s v="129695|189481|187884|188415|189239|189240"/>
    <n v="3594528"/>
    <s v="TUB-O-N-AUT-AW-FC-60.30X2.000X6.0000"/>
    <x v="2"/>
    <m/>
    <x v="2"/>
    <x v="1"/>
    <m/>
    <m/>
    <m/>
    <m/>
    <s v="60.3-0-2-CEW-CEW"/>
    <s v="60.3-0-2-CEW-CEW-6"/>
    <n v="0"/>
    <x v="29"/>
    <x v="29"/>
    <x v="0"/>
    <x v="3"/>
    <n v="6000"/>
    <m/>
    <x v="30"/>
    <e v="#N/A"/>
    <e v="#N/A"/>
    <n v="0"/>
    <e v="#N/A"/>
    <e v="#N/A"/>
    <e v="#DIV/0!"/>
    <n v="0"/>
    <n v="0"/>
    <n v="0"/>
    <e v="#N/A"/>
  </r>
  <r>
    <n v="129"/>
    <s v="Khopoli "/>
    <x v="14"/>
    <s v="Rajsriya"/>
    <s v="930883|189481"/>
    <m/>
    <m/>
    <x v="2"/>
    <m/>
    <x v="2"/>
    <x v="1"/>
    <m/>
    <m/>
    <m/>
    <m/>
    <s v="12-0-1.6-CEW-CEW"/>
    <s v="12-0-1.6-CEW-CEW"/>
    <n v="0"/>
    <x v="44"/>
    <x v="47"/>
    <x v="0"/>
    <x v="0"/>
    <n v="1000"/>
    <s v="M"/>
    <x v="30"/>
    <n v="0"/>
    <n v="0"/>
    <n v="0"/>
    <n v="0"/>
    <n v="0"/>
    <e v="#DIV/0!"/>
    <n v="0"/>
    <n v="0"/>
    <n v="0"/>
    <e v="#DIV/0!"/>
  </r>
  <r>
    <n v="131"/>
    <s v="Hosur"/>
    <x v="14"/>
    <s v="Rajsriya"/>
    <s v="930883|189481"/>
    <n v="1939993"/>
    <s v="TUB-O-O-AUT-AW-PE-12.70X1.600X0.2500"/>
    <x v="0"/>
    <m/>
    <x v="0"/>
    <x v="1"/>
    <m/>
    <m/>
    <m/>
    <m/>
    <s v="12.7-0-1.6-ERW 1-PE"/>
    <s v="12.7-0-1.6-ERW 1-PE-0.25"/>
    <n v="1"/>
    <x v="0"/>
    <x v="0"/>
    <x v="0"/>
    <x v="0"/>
    <n v="250"/>
    <s v="NOS"/>
    <x v="4"/>
    <n v="0"/>
    <n v="10000"/>
    <n v="1.0944156"/>
    <n v="0"/>
    <n v="1.0944156"/>
    <n v="10376.13133438522"/>
    <n v="1.13558"/>
    <n v="11.937059"/>
    <n v="-1.13558"/>
    <e v="#DIV/0!"/>
  </r>
  <r>
    <n v="133"/>
    <s v="Hosur"/>
    <x v="14"/>
    <s v="Rajsriya"/>
    <s v="930883|189481"/>
    <n v="1939996"/>
    <s v="TUB-O-O-AUT-AW-PE-12.70X1.600X0.2950"/>
    <x v="0"/>
    <m/>
    <x v="0"/>
    <x v="1"/>
    <m/>
    <m/>
    <m/>
    <m/>
    <s v="12.7-0-1.6-ERW 1-PE"/>
    <s v="12.7-0-1.6-ERW 1-PE-0.295"/>
    <n v="1"/>
    <x v="0"/>
    <x v="0"/>
    <x v="0"/>
    <x v="0"/>
    <n v="295"/>
    <s v="NOS"/>
    <x v="4"/>
    <n v="0"/>
    <n v="10000"/>
    <n v="1.291410408"/>
    <n v="0"/>
    <n v="1.291410408"/>
    <n v="11281.77371790239"/>
    <n v="1.45694"/>
    <n v="11.937059"/>
    <m/>
    <m/>
  </r>
  <r>
    <n v="405"/>
    <s v="Khopoli "/>
    <x v="14"/>
    <s v="Rajsriya"/>
    <s v="930883|189481"/>
    <n v="2363145"/>
    <s v="TUB-O-C-AUT-AN-FC-14.00X2.450X5.0000"/>
    <x v="2"/>
    <m/>
    <x v="3"/>
    <x v="1"/>
    <m/>
    <m/>
    <m/>
    <m/>
    <s v="14-0-2.45-CEW-"/>
    <m/>
    <m/>
    <x v="5"/>
    <x v="5"/>
    <x v="0"/>
    <x v="20"/>
    <n v="5000"/>
    <s v="M"/>
    <x v="30"/>
    <n v="0"/>
    <n v="0"/>
    <n v="0"/>
    <n v="0"/>
    <n v="0"/>
    <e v="#DIV/0!"/>
    <n v="0"/>
    <n v="0"/>
    <m/>
    <m/>
  </r>
  <r>
    <n v="135"/>
    <s v="Hosur"/>
    <x v="14"/>
    <s v="Rajsriya"/>
    <s v="930883|189481"/>
    <n v="1940090"/>
    <s v="TUB-O-O-AUT-AW-PE-15.88X2.000X0.2910"/>
    <x v="0"/>
    <m/>
    <x v="0"/>
    <x v="1"/>
    <m/>
    <m/>
    <m/>
    <m/>
    <s v="15.88-0-2-ERW 1-PE"/>
    <s v="15.88-0-2-ERW 1-PE-0.291"/>
    <n v="3"/>
    <x v="1"/>
    <x v="1"/>
    <x v="0"/>
    <x v="3"/>
    <n v="291"/>
    <s v="NOS"/>
    <x v="4"/>
    <n v="0"/>
    <n v="10000"/>
    <n v="1.9911856584"/>
    <n v="0"/>
    <n v="1.9911856584"/>
    <n v="4088.122052135005"/>
    <n v="0.814021"/>
    <n v="14.942643"/>
    <m/>
    <m/>
  </r>
  <r>
    <n v="139"/>
    <s v="Hosur"/>
    <x v="14"/>
    <s v="Rajsriya"/>
    <s v="930883|189481"/>
    <n v="2243845"/>
    <s v="TUB-O-N-AUT-HR-PE-15.88X2.000X0.4420"/>
    <x v="0"/>
    <m/>
    <x v="0"/>
    <x v="1"/>
    <m/>
    <m/>
    <m/>
    <m/>
    <s v="15.88-0-2-ERW 1-PE"/>
    <m/>
    <m/>
    <x v="1"/>
    <x v="1"/>
    <x v="0"/>
    <x v="3"/>
    <n v="442"/>
    <s v="NOS"/>
    <x v="30"/>
    <n v="0"/>
    <n v="0"/>
    <n v="0"/>
    <n v="0"/>
    <n v="0"/>
    <e v="#DIV/0!"/>
    <n v="0"/>
    <n v="14.942643"/>
    <m/>
    <m/>
  </r>
  <r>
    <n v="134"/>
    <s v="Khopoli "/>
    <x v="14"/>
    <s v="Rajsriya"/>
    <s v="930883|189481"/>
    <m/>
    <m/>
    <x v="2"/>
    <m/>
    <x v="2"/>
    <x v="1"/>
    <m/>
    <m/>
    <m/>
    <m/>
    <s v="16.1-10.4-2.7-CEW-CEW"/>
    <s v="16.1-10.4-2.7-CEW-CEW"/>
    <n v="1"/>
    <x v="6"/>
    <x v="6"/>
    <x v="24"/>
    <x v="31"/>
    <n v="1000"/>
    <s v="M"/>
    <x v="54"/>
    <n v="0"/>
    <n v="5004"/>
    <n v="4.462571303280001"/>
    <n v="0"/>
    <n v="4.462571303280001"/>
    <n v="148.0151139578454"/>
    <n v="0.132"/>
    <n v="0.132"/>
    <n v="-0.132"/>
    <e v="#DIV/0!"/>
  </r>
  <r>
    <n v="130"/>
    <s v="Khopoli "/>
    <x v="14"/>
    <s v="Rajsriya"/>
    <s v="930883|189481"/>
    <n v="1931824"/>
    <s v="TUB-O-N-AUT-AW-PE-17.30X1.200X6.0000"/>
    <x v="0"/>
    <m/>
    <x v="3"/>
    <x v="1"/>
    <m/>
    <m/>
    <m/>
    <m/>
    <s v="17.3-0-1.2-ERW 1-"/>
    <m/>
    <m/>
    <x v="7"/>
    <x v="7"/>
    <x v="0"/>
    <x v="1"/>
    <n v="6000"/>
    <s v="M"/>
    <x v="30"/>
    <n v="0"/>
    <n v="0"/>
    <n v="0"/>
    <n v="0"/>
    <n v="0"/>
    <e v="#DIV/0!"/>
    <n v="0"/>
    <n v="0"/>
    <n v="4.462571303280001"/>
    <n v="0"/>
  </r>
  <r>
    <n v="161"/>
    <s v="Hosur"/>
    <x v="14"/>
    <s v="Rajsriya"/>
    <s v="930883|189481"/>
    <n v="2410998"/>
    <s v="TUB-O-C-AUT-AD-FC-18.20X2.950X04-05"/>
    <x v="2"/>
    <m/>
    <x v="3"/>
    <x v="1"/>
    <m/>
    <m/>
    <m/>
    <m/>
    <s v="18.2-12.3-2.95-CEW-"/>
    <m/>
    <m/>
    <x v="36"/>
    <x v="36"/>
    <x v="25"/>
    <x v="5"/>
    <n v="4500"/>
    <s v="M"/>
    <x v="30"/>
    <n v="0"/>
    <n v="0"/>
    <n v="0"/>
    <n v="0"/>
    <n v="0"/>
    <e v="#DIV/0!"/>
    <n v="0"/>
    <n v="0"/>
    <n v="0"/>
    <e v="#DIV/0!"/>
  </r>
  <r>
    <n v="148"/>
    <s v="Hosur"/>
    <x v="14"/>
    <s v="Rajsriya"/>
    <s v="930883|189481"/>
    <n v="3122347"/>
    <s v="TUB-O-N-AUT-AW-PE-19.05X1.600X0.3940(HSST)"/>
    <x v="4"/>
    <m/>
    <x v="0"/>
    <x v="0"/>
    <s v="ST52AL"/>
    <m/>
    <s v="AG"/>
    <m/>
    <s v="19.05-0-1.6-ERW 2 MAHS-PE"/>
    <s v="19.05-0-1.6-ERW 2 MAHS-PE-0.394"/>
    <n v="1"/>
    <x v="2"/>
    <x v="2"/>
    <x v="0"/>
    <x v="0"/>
    <n v="394"/>
    <s v="NOS"/>
    <x v="0"/>
    <n v="0"/>
    <n v="40000"/>
    <n v="10.8460332608"/>
    <n v="0"/>
    <n v="10.8460332608"/>
    <n v="5506.160507163619"/>
    <n v="1.493"/>
    <n v="23.186768"/>
    <n v="-1.493"/>
    <e v="#DIV/0!"/>
  </r>
  <r>
    <n v="173"/>
    <s v="Hosur"/>
    <x v="14"/>
    <s v="Rajsriya"/>
    <s v="930883|189481"/>
    <n v="3122348"/>
    <s v="TUB-O-N-AUT-AW-PE-19.05X2.000X0.2385(Angle Cut)"/>
    <x v="0"/>
    <m/>
    <x v="3"/>
    <x v="1"/>
    <m/>
    <m/>
    <m/>
    <m/>
    <s v="19.05-0-2-ERW 1-"/>
    <m/>
    <m/>
    <x v="2"/>
    <x v="2"/>
    <x v="0"/>
    <x v="3"/>
    <n v="238.5"/>
    <s v="NOS"/>
    <x v="30"/>
    <n v="0"/>
    <n v="0"/>
    <n v="0"/>
    <n v="0"/>
    <n v="0"/>
    <e v="#DIV/0!"/>
    <n v="0"/>
    <n v="0"/>
    <n v="10.8460332608"/>
    <n v="0"/>
  </r>
  <r>
    <n v="152"/>
    <s v="Hosur"/>
    <x v="14"/>
    <s v="Rajsriya"/>
    <s v="930883|189481"/>
    <n v="2403386"/>
    <s v="TUB-O-N-AUT-AW-PE-19.05X2.000X0.3580"/>
    <x v="0"/>
    <m/>
    <x v="0"/>
    <x v="1"/>
    <m/>
    <m/>
    <m/>
    <m/>
    <s v="19.05-0-2-ERW 1-PE"/>
    <s v="19.05-0-2-ERW 1-PE-0.358"/>
    <n v="2"/>
    <x v="2"/>
    <x v="2"/>
    <x v="0"/>
    <x v="3"/>
    <n v="358"/>
    <s v="NOS"/>
    <x v="6"/>
    <n v="0"/>
    <n v="5000"/>
    <n v="1.504550311"/>
    <n v="0"/>
    <n v="1.504550311"/>
    <n v="25.92136648064539"/>
    <n v="0.0078"/>
    <n v="96.99589900000001"/>
    <n v="-0.0078"/>
    <e v="#DIV/0!"/>
  </r>
  <r>
    <n v="153"/>
    <s v="Hosur"/>
    <x v="14"/>
    <s v="Rajsriya"/>
    <s v="930883|189481"/>
    <n v="2403383"/>
    <s v="TUB-O-N-AUT-AW-PE-19.05X2.000X0.4750"/>
    <x v="0"/>
    <m/>
    <x v="0"/>
    <x v="1"/>
    <m/>
    <m/>
    <m/>
    <m/>
    <s v="19.05-0-2-ERW 1-PE"/>
    <s v="19.05-0-2-ERW 1-PE-0.475"/>
    <n v="2"/>
    <x v="2"/>
    <x v="2"/>
    <x v="0"/>
    <x v="3"/>
    <n v="475"/>
    <s v="NOS"/>
    <x v="6"/>
    <n v="0"/>
    <n v="5000"/>
    <n v="1.9962608875"/>
    <n v="0"/>
    <n v="1.9962608875"/>
    <n v="275.0141544312554"/>
    <n v="0.1098"/>
    <n v="96.99589900000001"/>
    <n v="1.394750311"/>
    <m/>
  </r>
  <r>
    <n v="202"/>
    <s v="Khopoli "/>
    <x v="14"/>
    <s v="Rajsriya"/>
    <s v="930883|189481"/>
    <n v="234926"/>
    <s v="TUB-O-C-AUT-AD-PE-21.70X3.500X5.000"/>
    <x v="2"/>
    <m/>
    <x v="3"/>
    <x v="1"/>
    <m/>
    <m/>
    <m/>
    <m/>
    <s v="21.75-0-3.5-CEW-"/>
    <m/>
    <m/>
    <x v="28"/>
    <x v="26"/>
    <x v="0"/>
    <x v="16"/>
    <n v="5000"/>
    <s v="M"/>
    <x v="30"/>
    <n v="0"/>
    <n v="0"/>
    <n v="0"/>
    <n v="0"/>
    <n v="0"/>
    <e v="#DIV/0!"/>
    <n v="0"/>
    <n v="0"/>
    <n v="1.9962608875"/>
    <n v="0"/>
  </r>
  <r>
    <n v="141"/>
    <s v="Hosur"/>
    <x v="14"/>
    <s v="Rajsriya"/>
    <s v="930883|189481"/>
    <n v="3747395"/>
    <s v="PT2-O-N-AUT-AW-PE-22.20X1.600X0.361"/>
    <x v="0"/>
    <m/>
    <x v="3"/>
    <x v="1"/>
    <m/>
    <m/>
    <m/>
    <m/>
    <s v="22.23-0-1.6-ERW 1-"/>
    <m/>
    <m/>
    <x v="8"/>
    <x v="8"/>
    <x v="0"/>
    <x v="0"/>
    <n v="361"/>
    <s v="NOS"/>
    <x v="30"/>
    <n v="0"/>
    <n v="0"/>
    <n v="0"/>
    <n v="0"/>
    <n v="0"/>
    <e v="#DIV/0!"/>
    <n v="0"/>
    <n v="0"/>
    <n v="0"/>
    <e v="#DIV/0!"/>
  </r>
  <r>
    <n v="142"/>
    <s v="Hosur"/>
    <x v="14"/>
    <s v="Rajsriya"/>
    <s v="930883|189481"/>
    <n v="1940445"/>
    <s v="TUB-O-O-AUT-AW-PE-22.23X2.000X0.5050"/>
    <x v="0"/>
    <m/>
    <x v="3"/>
    <x v="1"/>
    <m/>
    <m/>
    <m/>
    <m/>
    <s v="22.23-0-2-ERW 1-"/>
    <m/>
    <m/>
    <x v="8"/>
    <x v="8"/>
    <x v="0"/>
    <x v="3"/>
    <n v="505"/>
    <s v="NOS"/>
    <x v="30"/>
    <n v="0"/>
    <n v="0"/>
    <n v="0"/>
    <n v="0"/>
    <n v="0"/>
    <e v="#DIV/0!"/>
    <n v="0"/>
    <n v="0"/>
    <n v="0"/>
    <e v="#DIV/0!"/>
  </r>
  <r>
    <n v="143"/>
    <s v="Hosur"/>
    <x v="14"/>
    <s v="Rajsriya"/>
    <s v="930883|189481"/>
    <n v="1940470"/>
    <s v="TUB-O-O-AUT-AW-PE-22.23X2.000X0.8510"/>
    <x v="0"/>
    <m/>
    <x v="3"/>
    <x v="1"/>
    <m/>
    <m/>
    <m/>
    <m/>
    <s v="22.23-0-2-ERW 1-"/>
    <m/>
    <m/>
    <x v="8"/>
    <x v="8"/>
    <x v="0"/>
    <x v="3"/>
    <n v="851"/>
    <s v="NOS"/>
    <x v="30"/>
    <n v="0"/>
    <n v="0"/>
    <n v="0"/>
    <n v="0"/>
    <n v="0"/>
    <e v="#DIV/0!"/>
    <n v="0"/>
    <n v="0"/>
    <n v="0"/>
    <e v="#DIV/0!"/>
  </r>
  <r>
    <n v="158"/>
    <s v="Hosur"/>
    <x v="14"/>
    <s v="Rajsriya"/>
    <s v="930883|189481"/>
    <n v="1940472"/>
    <s v="TUB-O-O-AUT-AW-PE-22.23X2.000X0.8620"/>
    <x v="0"/>
    <m/>
    <x v="3"/>
    <x v="1"/>
    <m/>
    <m/>
    <m/>
    <m/>
    <s v="22.23-0-2-ERW 1-"/>
    <m/>
    <m/>
    <x v="8"/>
    <x v="8"/>
    <x v="0"/>
    <x v="3"/>
    <n v="862"/>
    <s v="NOS"/>
    <x v="30"/>
    <n v="0"/>
    <n v="0"/>
    <n v="0"/>
    <n v="0"/>
    <n v="0"/>
    <e v="#DIV/0!"/>
    <n v="0"/>
    <n v="0"/>
    <n v="0"/>
    <e v="#DIV/0!"/>
  </r>
  <r>
    <n v="187"/>
    <s v="Hosur"/>
    <x v="14"/>
    <s v="Rajsriya"/>
    <s v="930883|189481"/>
    <n v="1940510"/>
    <s v="TUB-O-O-AUT-AW-PE-22.23X2.300X6.0000"/>
    <x v="0"/>
    <m/>
    <x v="0"/>
    <x v="1"/>
    <m/>
    <m/>
    <m/>
    <m/>
    <s v="22.23-0-2.3-ERW 1-PE"/>
    <s v="22.23-0-2.3-ERW 1-PE-1"/>
    <n v="0"/>
    <x v="8"/>
    <x v="8"/>
    <x v="0"/>
    <x v="7"/>
    <n v="1000"/>
    <s v="M"/>
    <x v="54"/>
    <n v="0"/>
    <n v="5004"/>
    <n v="5.653947097044"/>
    <n v="0"/>
    <n v="5.653947097044"/>
    <n v="0"/>
    <n v="0"/>
    <n v="3.409989"/>
    <n v="0"/>
    <e v="#DIV/0!"/>
  </r>
  <r>
    <n v="159"/>
    <s v="Hosur"/>
    <x v="14"/>
    <s v="Rajsriya"/>
    <s v="930883|189481"/>
    <n v="1940562"/>
    <s v="TUB-O-O-AUT-AW-FC-25.40X1.600X0.3600"/>
    <x v="0"/>
    <m/>
    <x v="3"/>
    <x v="1"/>
    <m/>
    <m/>
    <m/>
    <m/>
    <s v="25.4-0-1.6-ERW 1-"/>
    <m/>
    <m/>
    <x v="3"/>
    <x v="3"/>
    <x v="0"/>
    <x v="0"/>
    <n v="360"/>
    <s v="NOS"/>
    <x v="30"/>
    <n v="0"/>
    <n v="0"/>
    <n v="0"/>
    <n v="0"/>
    <n v="0"/>
    <e v="#DIV/0!"/>
    <n v="0"/>
    <n v="0"/>
    <n v="5.653947097044"/>
    <n v="0"/>
  </r>
  <r>
    <n v="163"/>
    <s v="Hosur"/>
    <x v="14"/>
    <s v="Rajsriya"/>
    <s v="930883|189481"/>
    <n v="1940603"/>
    <s v="TUB-O-O-AUT-AW-FC-25.40X2.600X0.3600"/>
    <x v="0"/>
    <m/>
    <x v="3"/>
    <x v="1"/>
    <m/>
    <m/>
    <m/>
    <m/>
    <s v="25.4-0-2.6-ERW 1-"/>
    <m/>
    <m/>
    <x v="3"/>
    <x v="3"/>
    <x v="0"/>
    <x v="13"/>
    <n v="360"/>
    <s v="NOS"/>
    <x v="30"/>
    <n v="0"/>
    <n v="0"/>
    <n v="0"/>
    <n v="0"/>
    <n v="0"/>
    <e v="#DIV/0!"/>
    <n v="0"/>
    <n v="0"/>
    <n v="0"/>
    <e v="#DIV/0!"/>
  </r>
  <r>
    <n v="168"/>
    <s v="Khopoli "/>
    <x v="14"/>
    <s v="Rajsriya"/>
    <s v="930883|189481"/>
    <n v="2410997"/>
    <s v="TUB-O-C-AUT-AD-FC-25.40X3.200X04-05"/>
    <x v="2"/>
    <m/>
    <x v="3"/>
    <x v="1"/>
    <m/>
    <m/>
    <m/>
    <m/>
    <s v="25.4-19-3.2-CEW-"/>
    <m/>
    <m/>
    <x v="3"/>
    <x v="3"/>
    <x v="8"/>
    <x v="9"/>
    <n v="4500"/>
    <s v="M"/>
    <x v="30"/>
    <n v="0"/>
    <n v="0"/>
    <n v="0"/>
    <n v="0"/>
    <n v="0"/>
    <e v="#DIV/0!"/>
    <n v="0"/>
    <n v="0"/>
    <n v="0"/>
    <e v="#DIV/0!"/>
  </r>
  <r>
    <n v="194"/>
    <s v="Hosur"/>
    <x v="14"/>
    <s v="Rajsriya"/>
    <s v="930883|189481"/>
    <n v="1941840"/>
    <s v="TUB-E-O-AUT-AW-FC-31.75X2.500X6.0000"/>
    <x v="0"/>
    <m/>
    <x v="1"/>
    <x v="1"/>
    <m/>
    <m/>
    <m/>
    <m/>
    <s v="31.75-0-2.5-ERW 1-FC"/>
    <s v="31.75-0-2.5-ERW 1-FC"/>
    <n v="5"/>
    <x v="12"/>
    <x v="13"/>
    <x v="0"/>
    <x v="11"/>
    <n v="1000"/>
    <s v="M"/>
    <x v="30"/>
    <n v="0"/>
    <n v="0"/>
    <n v="0"/>
    <n v="0"/>
    <n v="0"/>
    <e v="#DIV/0!"/>
    <n v="0.400012"/>
    <n v="0.9300120000000001"/>
    <n v="-0.400012"/>
    <e v="#DIV/0!"/>
  </r>
  <r>
    <n v="174"/>
    <s v="Hosur"/>
    <x v="14"/>
    <s v="Rajsriya"/>
    <s v="930883|189481"/>
    <n v="3186831"/>
    <s v="TUB-O-N-AUT-AW-FC-41.28X2.600X0.8480"/>
    <x v="0"/>
    <m/>
    <x v="1"/>
    <x v="1"/>
    <m/>
    <m/>
    <m/>
    <m/>
    <s v="41.28-0-2.6-ERW 1-FC"/>
    <m/>
    <m/>
    <x v="15"/>
    <x v="27"/>
    <x v="0"/>
    <x v="13"/>
    <n v="848"/>
    <s v="NOS"/>
    <x v="30"/>
    <n v="0"/>
    <n v="0"/>
    <n v="0"/>
    <n v="0"/>
    <n v="0"/>
    <e v="#DIV/0!"/>
    <n v="0"/>
    <n v="0.270271"/>
    <n v="0"/>
    <e v="#DIV/0!"/>
  </r>
  <r>
    <n v="170"/>
    <s v="Khopoli "/>
    <x v="14"/>
    <s v="Rajsriya"/>
    <s v="930883|189481"/>
    <n v="2422135"/>
    <s v="TUB-O-N-AUT-AN-FC-42.70X4.000X0.2080"/>
    <x v="2"/>
    <s v="Annealed"/>
    <x v="3"/>
    <x v="1"/>
    <m/>
    <m/>
    <m/>
    <m/>
    <s v="42.7-0-4-CEW-"/>
    <m/>
    <m/>
    <x v="16"/>
    <x v="16"/>
    <x v="0"/>
    <x v="12"/>
    <n v="208"/>
    <s v="NOS"/>
    <x v="30"/>
    <n v="0"/>
    <n v="0"/>
    <n v="0"/>
    <n v="0"/>
    <n v="0"/>
    <e v="#DIV/0!"/>
    <n v="0"/>
    <n v="0"/>
    <n v="0"/>
    <e v="#DIV/0!"/>
  </r>
  <r>
    <n v="219"/>
    <s v="Khopoli "/>
    <x v="14"/>
    <s v="Rajsriya"/>
    <s v="930883|189481"/>
    <n v="1938358"/>
    <s v="TUB-O-N-AUT-AN-FC-42.70X4.000X0.2540"/>
    <x v="0"/>
    <s v="Annealed"/>
    <x v="1"/>
    <x v="1"/>
    <m/>
    <s v="Chamferring"/>
    <m/>
    <m/>
    <s v="42.7-0-4-ERW 1-FC"/>
    <s v="42.7-0-4-ERW 1-FC-0.254"/>
    <n v="2"/>
    <x v="16"/>
    <x v="16"/>
    <x v="0"/>
    <x v="12"/>
    <n v="254"/>
    <s v="NOS"/>
    <x v="6"/>
    <n v="0"/>
    <n v="5000"/>
    <n v="4.845894804"/>
    <n v="0"/>
    <n v="4.845894804"/>
    <n v="2829.502198166165"/>
    <n v="2.742294"/>
    <n v="91.26529599999999"/>
    <n v="-2.742294"/>
    <e v="#DIV/0!"/>
  </r>
  <r>
    <n v="199"/>
    <s v="Hosur"/>
    <x v="14"/>
    <s v="Rajsriya"/>
    <s v="930883|189481"/>
    <n v="1940830"/>
    <s v="TUB-R-AW-RHS-40.00X30.00X1.600X0.8600"/>
    <x v="0"/>
    <m/>
    <x v="1"/>
    <x v="0"/>
    <s v="GR1"/>
    <m/>
    <m/>
    <m/>
    <s v="40-30-1.6-ERW 1-FC"/>
    <s v="40-30-1.6-ERW 1-FC-0.86"/>
    <n v="1"/>
    <x v="17"/>
    <x v="15"/>
    <x v="1"/>
    <x v="0"/>
    <n v="860"/>
    <s v="NOS"/>
    <x v="11"/>
    <n v="0"/>
    <n v="3000"/>
    <n v="4.3600334352"/>
    <n v="0"/>
    <n v="4.3600334352"/>
    <n v="0"/>
    <n v="0"/>
    <n v="23.114797"/>
    <n v="4.845894804"/>
    <n v="0"/>
  </r>
  <r>
    <n v="207"/>
    <s v="Hosur"/>
    <x v="14"/>
    <s v="Rajsriya"/>
    <s v="930883|189481"/>
    <n v="1940837"/>
    <s v="TUB-R-AW-RHS-40.00X30.00X2.000X0.8700"/>
    <x v="0"/>
    <m/>
    <x v="1"/>
    <x v="1"/>
    <m/>
    <m/>
    <m/>
    <m/>
    <s v="40-30-2-ERW 1-FC"/>
    <s v="40-30-2-ERW 1-FC-0.87"/>
    <n v="1"/>
    <x v="17"/>
    <x v="15"/>
    <x v="1"/>
    <x v="3"/>
    <n v="870"/>
    <s v="NOS"/>
    <x v="6"/>
    <n v="0"/>
    <n v="5000"/>
    <n v="9.103245435000002"/>
    <n v="0"/>
    <n v="9.103245435000002"/>
    <n v="5206.387143839541"/>
    <n v="9.479004"/>
    <n v="20.469457"/>
    <n v="-5.1189705648"/>
    <n v="2.174066814137903"/>
  </r>
  <r>
    <n v="238"/>
    <s v="Hosur"/>
    <x v="14"/>
    <s v="Rajsriya"/>
    <s v="930883|189481"/>
    <n v="1940911"/>
    <s v="TUB-O-O-AUT-AW-AG-57.15X2.500X0.7720"/>
    <x v="0"/>
    <m/>
    <x v="1"/>
    <x v="1"/>
    <m/>
    <m/>
    <s v="AG"/>
    <m/>
    <s v="57.15-0-2.5-ERW 1-FC"/>
    <s v="57.15-0-2.5-ERW 1-FC-0.772"/>
    <n v="2"/>
    <x v="19"/>
    <x v="19"/>
    <x v="0"/>
    <x v="11"/>
    <n v="772"/>
    <s v="NOS"/>
    <x v="11"/>
    <n v="0"/>
    <n v="3000"/>
    <n v="7.7995228515"/>
    <n v="0"/>
    <n v="7.7995228515"/>
    <n v="25.12846025732296"/>
    <n v="0.06533"/>
    <n v="32.796514"/>
    <n v="9.037915435000002"/>
    <n v="0.007176561421580521"/>
  </r>
  <r>
    <n v="147"/>
    <s v="Khopoli "/>
    <x v="15"/>
    <s v="Rajsriya"/>
    <s v="129695|189481|187884|188415|189239|189240"/>
    <n v="1938191"/>
    <s v="TUB-I-C-AUT-AD-FC-12.50X3.250X0.5880"/>
    <x v="2"/>
    <m/>
    <x v="2"/>
    <x v="1"/>
    <m/>
    <m/>
    <m/>
    <m/>
    <s v="19-12.5-3.25-CEW-CEW"/>
    <s v="19-12.5-3.25-CEW-CEW-0.588"/>
    <n v="1"/>
    <x v="27"/>
    <x v="22"/>
    <x v="13"/>
    <x v="21"/>
    <n v="588"/>
    <s v="NOS"/>
    <x v="4"/>
    <n v="0"/>
    <n v="10000"/>
    <n v="7.4189176425"/>
    <n v="0"/>
    <n v="7.4189176425"/>
    <n v="432.3730434240361"/>
    <n v="0.320774"/>
    <n v="20.418666"/>
    <n v="7.4787488515"/>
    <n v="0.04112738767581262"/>
  </r>
  <r>
    <n v="166"/>
    <s v="Hosur"/>
    <x v="15"/>
    <s v="Rajsriya"/>
    <s v="129695|189481|187884|188415|189239|189240"/>
    <n v="3535743"/>
    <s v="TUB-O-N-AUT-AW-PE-19.05X2.300X0.6000"/>
    <x v="0"/>
    <m/>
    <x v="0"/>
    <x v="1"/>
    <m/>
    <m/>
    <m/>
    <m/>
    <s v="19.05-0-2.3-ERW 1-PE"/>
    <s v="19.05-0-2.3-ERW 1-PE-0.6"/>
    <n v="2"/>
    <x v="2"/>
    <x v="2"/>
    <x v="0"/>
    <x v="7"/>
    <n v="600"/>
    <s v="NOS"/>
    <x v="2"/>
    <n v="0"/>
    <n v="4000"/>
    <n v="2.27904654"/>
    <n v="0"/>
    <n v="2.27904654"/>
    <n v="3619.218763299148"/>
    <n v="2.062092"/>
    <n v="41.16220000000001"/>
    <m/>
    <m/>
  </r>
  <r>
    <n v="186"/>
    <s v="Khopoli "/>
    <x v="15"/>
    <s v="Rajsriya"/>
    <s v="129695|189481|187884|188415|189239|189240"/>
    <n v="1939544"/>
    <s v="TUB-O-C-CEW-AD-FC-25.40X2.500X0.2170"/>
    <x v="2"/>
    <m/>
    <x v="2"/>
    <x v="1"/>
    <m/>
    <m/>
    <m/>
    <m/>
    <s v="25.4-0-2.5-CEW-CEW"/>
    <s v="25.4-0-2.5-CEW-CEW-0.217"/>
    <n v="1"/>
    <x v="3"/>
    <x v="3"/>
    <x v="0"/>
    <x v="11"/>
    <n v="217"/>
    <s v="NOS"/>
    <x v="4"/>
    <n v="5200"/>
    <n v="4800"/>
    <n v="3.062206892499999"/>
    <n v="1.5923475841"/>
    <n v="1.4698593084"/>
    <n v="0"/>
    <n v="0"/>
    <n v="7.291806999999999"/>
    <n v="2.27904654"/>
    <n v="0.6986902444300238"/>
  </r>
  <r>
    <n v="188"/>
    <s v="Khopoli "/>
    <x v="15"/>
    <s v="Rajsriya"/>
    <s v="129695|189481|187884|188415|189239|189240"/>
    <n v="403040"/>
    <s v="PT3-I-C-AUT-AD-CH-25.50X2.320X0.465"/>
    <x v="2"/>
    <m/>
    <x v="2"/>
    <x v="1"/>
    <m/>
    <s v="Chamferring"/>
    <m/>
    <m/>
    <s v="30-25.5-2.25-CEW-CEW"/>
    <s v="30-25.5-2.25-CEW-CEW-0.465"/>
    <n v="1"/>
    <x v="25"/>
    <x v="23"/>
    <x v="9"/>
    <x v="18"/>
    <n v="465"/>
    <s v="NOS"/>
    <x v="6"/>
    <n v="0"/>
    <n v="5000"/>
    <n v="3.597567766875"/>
    <n v="0"/>
    <n v="3.597567766875"/>
    <n v="1293.043050594363"/>
    <n v="0.9303619999999999"/>
    <n v="108.008921"/>
    <n v="2.131844892499999"/>
    <n v="0.3038207517195052"/>
  </r>
  <r>
    <n v="189"/>
    <s v="Khopoli "/>
    <x v="15"/>
    <s v="Rajsriya"/>
    <s v="129695|189481|187884|188415|189239|189240"/>
    <n v="2359755"/>
    <s v="TUB-O-C-AUT-AD-FC-30.00X2.250X0.4850"/>
    <x v="2"/>
    <m/>
    <x v="2"/>
    <x v="1"/>
    <m/>
    <s v="Chamferring"/>
    <m/>
    <m/>
    <s v="30-25.5-2.25-CEW-CEW"/>
    <s v="30-25.5-2.25-CEW-CEW-0.485"/>
    <n v="3"/>
    <x v="25"/>
    <x v="23"/>
    <x v="9"/>
    <x v="18"/>
    <n v="485"/>
    <s v="NOS"/>
    <x v="49"/>
    <n v="0"/>
    <n v="15000"/>
    <n v="11.256905593125"/>
    <n v="0"/>
    <n v="11.256905593125"/>
    <n v="6484.766119437188"/>
    <n v="4.86656"/>
    <n v="108.008921"/>
    <n v="-1.268992233125"/>
    <n v="1.352736158248188"/>
  </r>
  <r>
    <n v="197"/>
    <s v="Khopoli "/>
    <x v="15"/>
    <s v="Rajsriya"/>
    <s v="129695|189481|187884|188415|189239|189240"/>
    <n v="1938125"/>
    <s v="TUB-I-C-AUT-AN-FC-39.00X34.00X0.2720"/>
    <x v="2"/>
    <m/>
    <x v="2"/>
    <x v="1"/>
    <m/>
    <s v="Chamferring"/>
    <m/>
    <m/>
    <s v="39-34-2.5-CEW-CEW"/>
    <s v="39-34-2.5-CEW-CEW-0.272"/>
    <n v="2"/>
    <x v="26"/>
    <x v="25"/>
    <x v="10"/>
    <x v="11"/>
    <n v="272"/>
    <s v="NOS"/>
    <x v="49"/>
    <n v="1700"/>
    <n v="13300"/>
    <n v="9.176822699999999"/>
    <n v="1.040039906"/>
    <n v="8.136782793999998"/>
    <n v="4046.163494038084"/>
    <n v="2.475395"/>
    <n v="57.92437000000002"/>
    <n v="8.781510593125002"/>
    <n v="0.3122914087639682"/>
  </r>
  <r>
    <n v="137"/>
    <s v="Hosur"/>
    <x v="16"/>
    <s v="Rajsriya"/>
    <s v="129695|189481|187884|188415|189239|189240"/>
    <n v="1940003"/>
    <s v="TUB-O-O-AUT-AW-PE-12.70X1.600X0.3930"/>
    <x v="0"/>
    <m/>
    <x v="0"/>
    <x v="0"/>
    <s v="WG"/>
    <m/>
    <m/>
    <m/>
    <s v="12.7-0-1.6-ERW 1-PE"/>
    <s v="12.7-0-1.6-ERW 1-PE-0.393"/>
    <n v="1"/>
    <x v="0"/>
    <x v="0"/>
    <x v="0"/>
    <x v="0"/>
    <n v="393"/>
    <s v="NOS"/>
    <x v="6"/>
    <n v="0"/>
    <n v="5000"/>
    <n v="0.8602106616000001"/>
    <n v="0"/>
    <n v="0.8602106616000001"/>
    <n v="0"/>
    <n v="0"/>
    <n v="11.937059"/>
    <n v="9.176822699999999"/>
    <n v="0"/>
  </r>
  <r>
    <n v="140"/>
    <s v="Hosur"/>
    <x v="16"/>
    <s v="Rajsriya"/>
    <s v="129695|189481|187884|188415|189239|189240"/>
    <n v="2387804"/>
    <s v="TUB-O-N-AUT-AW-PE-15.88X1.600X0.4420"/>
    <x v="0"/>
    <m/>
    <x v="0"/>
    <x v="0"/>
    <s v="HROP"/>
    <m/>
    <m/>
    <m/>
    <s v="15.88-0-1.6-ERW 1-PE"/>
    <s v="15.88-0-1.6-ERW 1-PE-0.442"/>
    <n v="1"/>
    <x v="1"/>
    <x v="1"/>
    <x v="0"/>
    <x v="0"/>
    <n v="442"/>
    <s v="NOS"/>
    <x v="6"/>
    <n v="0"/>
    <n v="5000"/>
    <n v="1.24462857792"/>
    <n v="0"/>
    <n v="1.24462857792"/>
    <n v="0"/>
    <n v="0"/>
    <n v="15.499108"/>
    <n v="0.8602106616000001"/>
    <n v="0"/>
  </r>
  <r>
    <n v="183"/>
    <s v="Hosur"/>
    <x v="16"/>
    <s v="Rajsriya"/>
    <s v="129695|189481|187884|188415|189239|189240"/>
    <n v="1940266"/>
    <s v="TUB-O-O-AUT-AW-PE-19.05X2.000X0.2130"/>
    <x v="0"/>
    <m/>
    <x v="0"/>
    <x v="1"/>
    <m/>
    <m/>
    <m/>
    <m/>
    <s v="19.05-0-2-ERW 1-PE"/>
    <s v="19.05-0-2-ERW 1-PE-0.213"/>
    <n v="1"/>
    <x v="2"/>
    <x v="2"/>
    <x v="0"/>
    <x v="3"/>
    <n v="213"/>
    <s v="NOS"/>
    <x v="6"/>
    <n v="0"/>
    <n v="5000"/>
    <n v="0.8951654085"/>
    <n v="0"/>
    <n v="0.8951654085"/>
    <n v="249.9370483661847"/>
    <n v="0.044747"/>
    <n v="96.99589900000001"/>
    <n v="1.19988157792"/>
    <n v="0.03595209108469963"/>
  </r>
  <r>
    <n v="185"/>
    <s v="Hosur"/>
    <x v="16"/>
    <s v="Rajsriya"/>
    <s v="129695|189481|187884|188415|189239|189240"/>
    <n v="1940269"/>
    <s v="TUB-O-O-AUT-AW-PE-19.05X2.000X0.240"/>
    <x v="0"/>
    <m/>
    <x v="0"/>
    <x v="1"/>
    <m/>
    <m/>
    <m/>
    <m/>
    <s v="19.05-0-2-ERW 1-PE"/>
    <s v="19.05-0-2-ERW 1-PE-0.24"/>
    <n v="3"/>
    <x v="2"/>
    <x v="2"/>
    <x v="0"/>
    <x v="3"/>
    <n v="240"/>
    <s v="NOS"/>
    <x v="6"/>
    <n v="0"/>
    <n v="5000"/>
    <n v="1.00863708"/>
    <n v="0"/>
    <n v="1.00863708"/>
    <n v="49.57184401747356"/>
    <n v="0.01"/>
    <n v="96.99589900000001"/>
    <n v="0.8851654085"/>
    <n v="0.01117111977858559"/>
  </r>
  <r>
    <n v="184"/>
    <s v="Hosur"/>
    <x v="16"/>
    <s v="Rajsriya"/>
    <s v="129695|189481|187884|188415|189239|189240"/>
    <n v="1940272"/>
    <s v="TUB-O-O-AUT-AW-PE-19.05X2.000X0.2590"/>
    <x v="0"/>
    <m/>
    <x v="0"/>
    <x v="1"/>
    <m/>
    <m/>
    <m/>
    <m/>
    <s v="19.05-0-2-ERW 1-PE"/>
    <s v="19.05-0-2-ERW 1-PE-0.259"/>
    <n v="1"/>
    <x v="2"/>
    <x v="2"/>
    <x v="0"/>
    <x v="3"/>
    <n v="259"/>
    <s v="NOS"/>
    <x v="6"/>
    <n v="0"/>
    <n v="5000"/>
    <n v="1.0884875155"/>
    <n v="0"/>
    <n v="1.0884875155"/>
    <n v="68.90294921347675"/>
    <n v="0.015"/>
    <n v="96.99589900000001"/>
    <n v="0.99363708"/>
    <n v="0.01487155320524207"/>
  </r>
  <r>
    <n v="157"/>
    <s v="Hosur"/>
    <x v="16"/>
    <s v="Rajsriya"/>
    <s v="129695|189481|187884|188415|189239|189240"/>
    <n v="1940302"/>
    <s v="TUB-O-O-AUT-AW-PE-19.05X2.300X0.1950"/>
    <x v="0"/>
    <m/>
    <x v="0"/>
    <x v="1"/>
    <m/>
    <m/>
    <m/>
    <m/>
    <s v="19.05-0-2.3-ERW 1-PE"/>
    <s v="19.05-0-2.3-ERW 1-PE-0.195"/>
    <n v="2"/>
    <x v="2"/>
    <x v="2"/>
    <x v="0"/>
    <x v="7"/>
    <n v="195"/>
    <s v="NOS"/>
    <x v="47"/>
    <n v="0"/>
    <n v="30000"/>
    <n v="5.555175941250001"/>
    <n v="0"/>
    <n v="5.555175941250001"/>
    <n v="5028.931629789899"/>
    <n v="0.9312199999999999"/>
    <n v="41.16220000000001"/>
    <n v="0.1572675155000003"/>
    <n v="0.8555173915543175"/>
  </r>
  <r>
    <n v="164"/>
    <s v="Hosur"/>
    <x v="16"/>
    <s v="Rajsriya"/>
    <s v="129695|189481|187884|188415|189239|189240"/>
    <n v="1940325"/>
    <s v="TUB-O-O-AUT-AW-PE-19.05X2.300X0.5700"/>
    <x v="0"/>
    <m/>
    <x v="0"/>
    <x v="1"/>
    <m/>
    <m/>
    <m/>
    <m/>
    <s v="19.05-0-2.3-ERW 1-PE"/>
    <s v="19.05-0-2.3-ERW 1-PE-0.57"/>
    <n v="3"/>
    <x v="2"/>
    <x v="2"/>
    <x v="0"/>
    <x v="7"/>
    <n v="570"/>
    <s v="NOS"/>
    <x v="6"/>
    <n v="0"/>
    <n v="5000"/>
    <n v="2.706367766250001"/>
    <n v="0"/>
    <n v="2.706367766250001"/>
    <n v="10618.46078658379"/>
    <n v="5.747492"/>
    <n v="41.16220000000001"/>
    <n v="-0.1923160587499995"/>
    <n v="1.034619256128677"/>
  </r>
  <r>
    <n v="165"/>
    <s v="Hosur"/>
    <x v="16"/>
    <s v="Rajsriya"/>
    <s v="129695|189481|187884|188415|189239|189240"/>
    <n v="1940327"/>
    <s v="TUB-O-O-AUT-AW-PE-19.05X2.300X0.5850"/>
    <x v="0"/>
    <m/>
    <x v="0"/>
    <x v="1"/>
    <m/>
    <m/>
    <m/>
    <m/>
    <s v="19.05-0-2.3-ERW 1-PE"/>
    <s v="19.05-0-2.3-ERW 1-PE-0.585"/>
    <n v="2"/>
    <x v="2"/>
    <x v="2"/>
    <x v="0"/>
    <x v="7"/>
    <n v="585"/>
    <s v="NOS"/>
    <x v="6"/>
    <n v="3500"/>
    <n v="1500"/>
    <n v="2.777587970625"/>
    <n v="1.9443115794375"/>
    <n v="0.8332763911874999"/>
    <n v="5104.068763953482"/>
    <n v="2.8354"/>
    <n v="41.16220000000001"/>
    <n v="-0.1290322337499998"/>
    <n v="1.766098325232556"/>
  </r>
  <r>
    <n v="171"/>
    <s v="Hosur"/>
    <x v="16"/>
    <s v="Rajsriya"/>
    <s v="129695|189481|187884|188415|189239|189240"/>
    <n v="1940399"/>
    <s v="TUB-O-O-AUT-AW-PE-22.23X1.600X0.4010"/>
    <x v="0"/>
    <m/>
    <x v="0"/>
    <x v="0"/>
    <s v="WG"/>
    <m/>
    <m/>
    <m/>
    <s v="22.23-0-1.6-ERW 1-PE"/>
    <s v="22.23-0-1.6-ERW 1-PE-0.401"/>
    <n v="3"/>
    <x v="8"/>
    <x v="8"/>
    <x v="0"/>
    <x v="0"/>
    <n v="401"/>
    <s v="NOS"/>
    <x v="6"/>
    <n v="0"/>
    <n v="5000"/>
    <n v="1.63129645496"/>
    <n v="0"/>
    <n v="1.63129645496"/>
    <n v="0"/>
    <n v="0"/>
    <n v="68.25120299999999"/>
    <n v="2.777587970625"/>
    <n v="0"/>
  </r>
  <r>
    <n v="172"/>
    <s v="Hosur"/>
    <x v="16"/>
    <s v="Rajsriya"/>
    <s v="129695|189481|187884|188415|189239|189240"/>
    <n v="3556680"/>
    <s v="TUB-O-N-AUT-AW-PE-22.20X1.600X0.6400"/>
    <x v="0"/>
    <m/>
    <x v="0"/>
    <x v="0"/>
    <s v="GR1"/>
    <m/>
    <m/>
    <m/>
    <s v="22.23-0-1.6-ERW 1-PE"/>
    <s v="22.23-0-1.6-ERW 1-PE-0.64"/>
    <n v="1"/>
    <x v="8"/>
    <x v="8"/>
    <x v="0"/>
    <x v="0"/>
    <n v="640"/>
    <s v="NOS"/>
    <x v="4"/>
    <n v="9975"/>
    <n v="25"/>
    <n v="5.207130828799999"/>
    <n v="5.194113001728"/>
    <n v="0.01301782707199894"/>
    <n v="11120.34475487616"/>
    <n v="5.790509"/>
    <n v="68.25120299999999"/>
    <n v="-4.15921254504"/>
    <n v="6.733676131232287"/>
  </r>
  <r>
    <n v="176"/>
    <s v="Hosur"/>
    <x v="16"/>
    <s v="Rajsriya"/>
    <s v="129695|189481|187884|188415|189239|189240"/>
    <n v="3509824"/>
    <s v="CUT-O-N-AUT-AW-PE-22.20X1.600X1.2100"/>
    <x v="0"/>
    <m/>
    <x v="0"/>
    <x v="0"/>
    <s v=""/>
    <m/>
    <m/>
    <m/>
    <s v="22.23-0-1.6-ERW 1-PE"/>
    <s v="22.23-0-1.6-ERW 1-PE-1.21"/>
    <n v="1"/>
    <x v="8"/>
    <x v="8"/>
    <x v="0"/>
    <x v="0"/>
    <n v="1210"/>
    <s v="NOS"/>
    <x v="6"/>
    <n v="0"/>
    <n v="5000"/>
    <n v="4.9223658616"/>
    <n v="0"/>
    <n v="4.9223658616"/>
    <n v="0"/>
    <n v="0"/>
    <n v="68.25120299999999"/>
    <n v="5.207130828799999"/>
    <n v="0"/>
  </r>
  <r>
    <n v="178"/>
    <s v="Hosur"/>
    <x v="16"/>
    <s v="Rajsriya"/>
    <s v="129695|189481|187884|188415|189239|189240"/>
    <n v="2420106"/>
    <s v="TUB-O-N-AUT-AW-PE-22.23X2.000X1.3250"/>
    <x v="0"/>
    <m/>
    <x v="0"/>
    <x v="1"/>
    <m/>
    <m/>
    <m/>
    <m/>
    <s v="22.23-0-2-ERW 1-PE"/>
    <s v="22.23-0-2-ERW 1-PE-1.325"/>
    <n v="2"/>
    <x v="8"/>
    <x v="8"/>
    <x v="0"/>
    <x v="3"/>
    <n v="1325"/>
    <s v="NOS"/>
    <x v="6"/>
    <n v="0"/>
    <n v="5000"/>
    <n v="6.607102827499999"/>
    <n v="0"/>
    <n v="6.607102827499999"/>
    <n v="148.5159268167906"/>
    <n v="0.196252"/>
    <n v="45.493454"/>
    <n v="4.7261138616"/>
    <n v="0.03986944601801884"/>
  </r>
  <r>
    <n v="179"/>
    <s v="Hosur"/>
    <x v="16"/>
    <s v="Rajsriya"/>
    <s v="129695|189481|187884|188415|189239|189240"/>
    <n v="3087645"/>
    <s v="PT2-O-N-AUT-AW-PE-22.20X2.300X0.4250"/>
    <x v="0"/>
    <m/>
    <x v="0"/>
    <x v="1"/>
    <m/>
    <m/>
    <m/>
    <m/>
    <s v="22.23-0-2.3-ERW 1-PE"/>
    <s v="22.23-0-2.3-ERW 1-PE-0.425"/>
    <n v="2"/>
    <x v="8"/>
    <x v="8"/>
    <x v="0"/>
    <x v="7"/>
    <n v="425"/>
    <s v="NOS"/>
    <x v="6"/>
    <n v="0"/>
    <n v="5000"/>
    <n v="2.401006710875"/>
    <n v="0"/>
    <n v="2.401006710875"/>
    <n v="229.1476310782555"/>
    <n v="0.110037"/>
    <n v="3.409989"/>
    <n v="6.497065827499999"/>
    <n v="0.01665434954970057"/>
  </r>
  <r>
    <n v="193"/>
    <s v="Hosur"/>
    <x v="16"/>
    <s v="Rajsriya"/>
    <s v="129695|189481|187884|188415|189239|189240"/>
    <n v="3171772"/>
    <s v="TUB-O-N-AUT-AW-PE-31.75X1.200X6.0000"/>
    <x v="0"/>
    <m/>
    <x v="0"/>
    <x v="0"/>
    <m/>
    <m/>
    <m/>
    <m/>
    <s v="31.75-0-1.2-ERW 1-PE"/>
    <s v="31.75-0-1.2-ERW 1-PE"/>
    <n v="2"/>
    <x v="12"/>
    <x v="13"/>
    <x v="0"/>
    <x v="1"/>
    <n v="1000"/>
    <s v="M"/>
    <x v="7"/>
    <n v="0"/>
    <n v="2000"/>
    <n v="1.80726468"/>
    <n v="0"/>
    <n v="1.80726468"/>
    <n v="2394.779274942727"/>
    <n v="2.164"/>
    <n v="8.387784999999999"/>
    <n v="0.2370067108749998"/>
    <n v="0.9012886095646824"/>
  </r>
  <r>
    <n v="167"/>
    <s v="Hosur"/>
    <x v="17"/>
    <s v="Rajsriya"/>
    <s v="129695|189481|187884|188415|189239|189240"/>
    <s v="NO MATERIAL CODE"/>
    <m/>
    <x v="0"/>
    <m/>
    <x v="0"/>
    <x v="0"/>
    <m/>
    <m/>
    <m/>
    <m/>
    <s v="22.23-0-1.2-ERW 1-PE"/>
    <s v="22.23-0-1.2-ERW 1-PE-0.297"/>
    <n v="0"/>
    <x v="8"/>
    <x v="8"/>
    <x v="0"/>
    <x v="1"/>
    <n v="297"/>
    <s v="NOS"/>
    <x v="7"/>
    <n v="0"/>
    <n v="2000"/>
    <n v="0.369493045416"/>
    <n v="0"/>
    <n v="0.369493045416"/>
    <n v="0"/>
    <n v="0"/>
    <n v="6.255843"/>
    <n v="1.80726468"/>
    <n v="0"/>
  </r>
  <r>
    <n v="169"/>
    <s v="Hosur"/>
    <x v="17"/>
    <s v="Rajsriya"/>
    <s v="129695|189481|187884|188415|189239|189240"/>
    <n v="3507568"/>
    <s v="TUB-O-N-AUT-AW-PE-22.20X1.200X0.6810"/>
    <x v="0"/>
    <m/>
    <x v="0"/>
    <x v="0"/>
    <m/>
    <m/>
    <m/>
    <m/>
    <s v="22.23-0-1.2-ERW 1-PE"/>
    <s v="22.23-0-1.2-ERW 1-PE-0.681"/>
    <n v="2"/>
    <x v="8"/>
    <x v="8"/>
    <x v="0"/>
    <x v="1"/>
    <n v="681"/>
    <s v="NOS"/>
    <x v="7"/>
    <n v="0"/>
    <n v="2000"/>
    <n v="0.8472214273680001"/>
    <n v="0"/>
    <n v="0.8472214273680001"/>
    <n v="0"/>
    <n v="0"/>
    <n v="6.255843"/>
    <n v="0.369493045416"/>
    <n v="0"/>
  </r>
  <r>
    <n v="191"/>
    <s v="Hosur"/>
    <x v="17"/>
    <s v="Rajsriya"/>
    <s v="129695|189481|187884|188415|189239|189240"/>
    <m/>
    <m/>
    <x v="0"/>
    <m/>
    <x v="0"/>
    <x v="0"/>
    <m/>
    <m/>
    <m/>
    <m/>
    <s v="31.75-0-1.2-ERW 1-PE"/>
    <s v="31.75-0-1.2-ERW 1-PE-0.598"/>
    <n v="1"/>
    <x v="12"/>
    <x v="13"/>
    <x v="0"/>
    <x v="1"/>
    <n v="598"/>
    <s v="NOS"/>
    <x v="7"/>
    <n v="0"/>
    <n v="2000"/>
    <n v="1.08074427864"/>
    <n v="0"/>
    <n v="1.08074427864"/>
    <n v="0"/>
    <n v="0"/>
    <n v="8.387784999999999"/>
    <n v="0.8472214273680001"/>
    <n v="0"/>
  </r>
  <r>
    <n v="132"/>
    <s v="Hosur"/>
    <x v="18"/>
    <s v="Rajsriya"/>
    <s v="129695|189481|187884|188415|189239|189240"/>
    <n v="3223304"/>
    <s v="TUB-O-N-AUT-AW-PE-12.70X1.600X0.2550"/>
    <x v="0"/>
    <m/>
    <x v="0"/>
    <x v="0"/>
    <s v="HROP"/>
    <m/>
    <m/>
    <m/>
    <s v="12.7-0-1.6-ERW 1-PE"/>
    <s v="12.7-0-1.6-ERW 1-PE-0.255"/>
    <n v="1"/>
    <x v="0"/>
    <x v="0"/>
    <x v="0"/>
    <x v="0"/>
    <n v="255"/>
    <s v="NOS"/>
    <x v="4"/>
    <n v="0"/>
    <n v="10000"/>
    <n v="1.116303912"/>
    <n v="0"/>
    <n v="1.116303912"/>
    <n v="0"/>
    <n v="0"/>
    <n v="11.937059"/>
    <n v="1.08074427864"/>
    <n v="0"/>
  </r>
  <r>
    <n v="145"/>
    <s v="Khopoli "/>
    <x v="18"/>
    <s v="Rajsriya"/>
    <s v="129695|189481|187884|188415|189239|189240"/>
    <n v="2410996"/>
    <s v="TUB-O-C-AUT-AD-FC-16.10X2.700X04-05"/>
    <x v="2"/>
    <m/>
    <x v="2"/>
    <x v="1"/>
    <m/>
    <m/>
    <m/>
    <m/>
    <s v="16.1-10.4-2.7-CEW-CEW"/>
    <s v="16.1-10.4-2.7-CEW-CEW"/>
    <n v="1"/>
    <x v="6"/>
    <x v="6"/>
    <x v="24"/>
    <x v="31"/>
    <n v="1000"/>
    <s v="M"/>
    <x v="2"/>
    <n v="0"/>
    <n v="4000"/>
    <n v="3.567203280000001"/>
    <n v="0"/>
    <n v="3.567203280000001"/>
    <n v="148.0151139578454"/>
    <n v="0.132"/>
    <n v="0.132"/>
    <n v="0.984303912"/>
    <n v="0.1182473684639385"/>
  </r>
  <r>
    <n v="212"/>
    <s v="Khopoli "/>
    <x v="18"/>
    <s v="Rajsriya"/>
    <s v="129695|189481|187884|188415|189239|189240"/>
    <n v="2410998"/>
    <s v="TUB-O-C-AUT-AD-FC-18.20X2.950X04-05"/>
    <x v="2"/>
    <m/>
    <x v="2"/>
    <x v="1"/>
    <m/>
    <m/>
    <m/>
    <m/>
    <s v="18.2-12.3-2.95-CEW-CEW"/>
    <s v="18.2-12.3-2.95-CEW-CEW-4.5"/>
    <n v="0"/>
    <x v="36"/>
    <x v="36"/>
    <x v="25"/>
    <x v="5"/>
    <n v="4500"/>
    <m/>
    <x v="30"/>
    <e v="#N/A"/>
    <e v="#N/A"/>
    <n v="0"/>
    <e v="#N/A"/>
    <e v="#N/A"/>
    <e v="#DIV/0!"/>
    <n v="0"/>
    <n v="0"/>
    <n v="3.567203280000001"/>
    <e v="#N/A"/>
  </r>
  <r>
    <n v="155"/>
    <s v="Hosur"/>
    <x v="18"/>
    <s v="Rajsriya"/>
    <s v="129695|189481|187884|188415|189239|189240"/>
    <n v="2403383"/>
    <s v="TUB-O-N-AUT-AW-PE-19.05X2.000X0.4750"/>
    <x v="0"/>
    <m/>
    <x v="0"/>
    <x v="1"/>
    <m/>
    <m/>
    <m/>
    <m/>
    <s v="19.05-0-2-ERW 1-PE"/>
    <s v="19.05-0-2-ERW 1-PE-0.475"/>
    <n v="2"/>
    <x v="2"/>
    <x v="2"/>
    <x v="0"/>
    <x v="3"/>
    <n v="475"/>
    <s v="NOS"/>
    <x v="17"/>
    <n v="0"/>
    <n v="7000"/>
    <n v="2.7947652425"/>
    <n v="0"/>
    <n v="2.7947652425"/>
    <n v="275.0141544312554"/>
    <n v="0.1098"/>
    <n v="96.99589900000001"/>
    <n v="-0.1098"/>
    <e v="#DIV/0!"/>
  </r>
  <r>
    <n v="162"/>
    <s v="Hosur"/>
    <x v="18"/>
    <s v="Rajsriya"/>
    <s v="129695|189481|187884|188415|189239|189240"/>
    <n v="1940324"/>
    <s v="TUB-O-O-AUT-AW-PE-19.05X2.300X0.5540"/>
    <x v="0"/>
    <m/>
    <x v="0"/>
    <x v="1"/>
    <m/>
    <m/>
    <m/>
    <m/>
    <s v="19.05-0-2.3-ERW 1-PE"/>
    <s v="19.05-0-2.3-ERW 1-PE-0.554"/>
    <n v="1"/>
    <x v="2"/>
    <x v="2"/>
    <x v="0"/>
    <x v="7"/>
    <n v="554"/>
    <s v="NOS"/>
    <x v="7"/>
    <n v="0"/>
    <n v="2000"/>
    <n v="1.0521598193"/>
    <n v="0"/>
    <n v="1.0521598193"/>
    <n v="1744.982051511421"/>
    <n v="0.9179999999999999"/>
    <n v="41.16220000000001"/>
    <n v="1.8767652425"/>
    <n v="0.3284712383136774"/>
  </r>
  <r>
    <n v="144"/>
    <s v="Khopoli "/>
    <x v="18"/>
    <s v="Rajsriya"/>
    <s v="129695|189481|187884|188415|189239|189240"/>
    <m/>
    <m/>
    <x v="2"/>
    <m/>
    <x v="2"/>
    <x v="1"/>
    <m/>
    <m/>
    <m/>
    <m/>
    <s v="21.7-16.2-2.75-CEW-CEW"/>
    <s v="21.7-16.2-2.75-CEW-CEW-4.5"/>
    <n v="0"/>
    <x v="40"/>
    <x v="41"/>
    <x v="21"/>
    <x v="26"/>
    <n v="4500"/>
    <s v="M"/>
    <x v="30"/>
    <n v="0"/>
    <n v="0"/>
    <n v="0"/>
    <n v="0"/>
    <n v="0"/>
    <e v="#DIV/0!"/>
    <n v="0"/>
    <n v="18.037708"/>
    <n v="1.0521598193"/>
    <n v="0"/>
  </r>
  <r>
    <n v="175"/>
    <s v="Hosur"/>
    <x v="18"/>
    <s v="Rajsriya"/>
    <s v="129695|189481|187884|188415|189239|189240"/>
    <n v="1940420"/>
    <s v="TUB-O-O-AUT-AW-PE-22.23X1.600X1.1750"/>
    <x v="0"/>
    <m/>
    <x v="0"/>
    <x v="0"/>
    <s v="GR1"/>
    <m/>
    <m/>
    <m/>
    <s v="22.23-0-1.6-ERW 1-PE"/>
    <s v="22.23-0-1.6-ERW 1-PE-1.175"/>
    <n v="2"/>
    <x v="8"/>
    <x v="8"/>
    <x v="0"/>
    <x v="0"/>
    <n v="1175"/>
    <s v="NOS"/>
    <x v="3"/>
    <n v="0"/>
    <n v="8000"/>
    <n v="7.6479734048"/>
    <n v="0"/>
    <n v="7.6479734048"/>
    <n v="0"/>
    <n v="0"/>
    <n v="68.25120299999999"/>
    <n v="0"/>
    <e v="#DIV/0!"/>
  </r>
  <r>
    <n v="177"/>
    <s v="Hosur"/>
    <x v="18"/>
    <s v="Rajsriya"/>
    <s v="129695|189481|187884|188415|189239|189240"/>
    <n v="1905990"/>
    <s v="TUB-O-N-AUT-AW-PE-22.23X2.000X0.2360"/>
    <x v="0"/>
    <m/>
    <x v="0"/>
    <x v="1"/>
    <m/>
    <m/>
    <m/>
    <m/>
    <s v="22.23-0-2-ERW 1-PE"/>
    <s v="22.23-0-2-ERW 1-PE-0.236"/>
    <n v="3"/>
    <x v="8"/>
    <x v="8"/>
    <x v="0"/>
    <x v="3"/>
    <n v="236"/>
    <s v="NOS"/>
    <x v="30"/>
    <n v="0"/>
    <n v="0"/>
    <n v="0"/>
    <n v="0"/>
    <n v="0"/>
    <e v="#DIV/0!"/>
    <n v="0"/>
    <n v="45.493454"/>
    <m/>
    <m/>
  </r>
  <r>
    <n v="182"/>
    <s v="Hosur"/>
    <x v="18"/>
    <s v="Rajsriya"/>
    <s v="129695|189481|187884|188415|189239|189240"/>
    <n v="1940510"/>
    <s v="TUB-O-O-AUT-AW-PE-22.23X2.300X6.0000"/>
    <x v="0"/>
    <m/>
    <x v="0"/>
    <x v="1"/>
    <m/>
    <m/>
    <m/>
    <m/>
    <s v="22.23-0-2.3-ERW 1-PE"/>
    <s v="22.23-0-2.3-ERW 1-PE"/>
    <n v="5"/>
    <x v="8"/>
    <x v="8"/>
    <x v="0"/>
    <x v="7"/>
    <n v="1000"/>
    <s v="M"/>
    <x v="11"/>
    <n v="1076.4"/>
    <n v="1923.6"/>
    <n v="3.389656533"/>
    <n v="1.2162087640404"/>
    <n v="2.173447768959599"/>
    <n v="2451.104092439327"/>
    <n v="2.769467"/>
    <n v="3.409989"/>
    <n v="-2.769467"/>
    <e v="#DIV/0!"/>
  </r>
  <r>
    <n v="196"/>
    <s v="Hosur"/>
    <x v="18"/>
    <s v="Rajsriya"/>
    <s v="129695|189481|187884|188415|189239|189240"/>
    <n v="1940686"/>
    <s v="TUB-O-O-AUT-AW-FC-31.75X2.500X6.0000"/>
    <x v="0"/>
    <m/>
    <x v="1"/>
    <x v="1"/>
    <m/>
    <m/>
    <m/>
    <m/>
    <s v="31.75-0-2.5-ERW 1-FC"/>
    <s v="31.75-0-2.5-ERW 1-FC"/>
    <n v="5"/>
    <x v="12"/>
    <x v="13"/>
    <x v="0"/>
    <x v="11"/>
    <n v="1000"/>
    <s v="M"/>
    <x v="17"/>
    <n v="0"/>
    <n v="7000"/>
    <n v="12.617206875"/>
    <n v="0"/>
    <n v="12.617206875"/>
    <n v="221.9258214389863"/>
    <n v="0.400012"/>
    <n v="0.9300120000000001"/>
    <n v="2.989644533"/>
    <n v="0.118009596578793"/>
  </r>
  <r>
    <n v="205"/>
    <s v="Hosur"/>
    <x v="19"/>
    <s v="Rajsriya"/>
    <s v="129695|189481|187884|188415|189239|189240"/>
    <n v="1940090"/>
    <s v="TUB-O-O-AUT-AW-PE-15.88X2.000X0.2910"/>
    <x v="0"/>
    <m/>
    <x v="0"/>
    <x v="1"/>
    <m/>
    <m/>
    <m/>
    <m/>
    <s v="15.88-0-2-ERW 1-PE"/>
    <s v="15.88-0-2-ERW 1-PE-0.291"/>
    <n v="3"/>
    <x v="1"/>
    <x v="1"/>
    <x v="0"/>
    <x v="3"/>
    <n v="291"/>
    <m/>
    <x v="30"/>
    <e v="#N/A"/>
    <e v="#N/A"/>
    <n v="0"/>
    <e v="#N/A"/>
    <e v="#N/A"/>
    <e v="#DIV/0!"/>
    <n v="0.814021"/>
    <n v="14.942643"/>
    <m/>
    <m/>
  </r>
  <r>
    <n v="289"/>
    <s v="Khopoli "/>
    <x v="19"/>
    <s v="Rajsriya"/>
    <s v="129695|189481|187884|188415|189239|189240"/>
    <n v="3545492"/>
    <s v="TUB-O-C-AUT-AD-FC-19.00X3.250X0.1950"/>
    <x v="2"/>
    <m/>
    <x v="2"/>
    <x v="1"/>
    <m/>
    <m/>
    <m/>
    <m/>
    <s v="19-12.5-3.25-CEW-CEW"/>
    <s v="19-12.5-3.25-CEW-CEW-0.195"/>
    <n v="2"/>
    <x v="27"/>
    <x v="22"/>
    <x v="13"/>
    <x v="21"/>
    <n v="195"/>
    <s v="NOS"/>
    <x v="31"/>
    <n v="0"/>
    <n v="20000"/>
    <n v="4.920710681250001"/>
    <n v="0"/>
    <n v="4.920710681250001"/>
    <n v="412.6111310986964"/>
    <n v="0.101517"/>
    <n v="20.418666"/>
    <n v="-0.101517"/>
    <e v="#DIV/0!"/>
  </r>
  <r>
    <n v="235"/>
    <s v="Hosur"/>
    <x v="19"/>
    <s v="Rajsriya"/>
    <s v="129695|189481|187884|188415|189239|189240"/>
    <n v="3122347"/>
    <s v="TUB-O-N-AUT-AW-PE-19.05X1.600X0.3940"/>
    <x v="4"/>
    <m/>
    <x v="0"/>
    <x v="0"/>
    <s v="ST52AL"/>
    <m/>
    <s v="AG"/>
    <m/>
    <s v="19.05-0-1.6-ERW 2 MAHS-PE"/>
    <s v="19.05-0-1.6-ERW 2 MAHS-PE-0.394"/>
    <n v="1"/>
    <x v="2"/>
    <x v="2"/>
    <x v="0"/>
    <x v="0"/>
    <n v="394"/>
    <s v="NOS"/>
    <x v="30"/>
    <n v="0"/>
    <n v="0"/>
    <n v="0"/>
    <n v="0"/>
    <n v="0"/>
    <e v="#DIV/0!"/>
    <n v="1.493"/>
    <n v="23.186768"/>
    <n v="3.427710681250001"/>
    <n v="0.3034114575540815"/>
  </r>
  <r>
    <n v="151"/>
    <s v="Hosur"/>
    <x v="19"/>
    <s v="Rajsriya"/>
    <s v="129695|189481|187884|188415|189239|189240"/>
    <n v="2425969"/>
    <s v="TUB-O-N-AUT-AW-FC-19.05X1.600X0.7750"/>
    <x v="4"/>
    <m/>
    <x v="0"/>
    <x v="1"/>
    <s v="ST52AL"/>
    <m/>
    <s v="AG"/>
    <m/>
    <s v="19.05-0-1.6-ERW 2 MAHS-PE"/>
    <s v="19.05-0-1.6-ERW 2 MAHS-PE-0.775"/>
    <n v="1"/>
    <x v="2"/>
    <x v="2"/>
    <x v="0"/>
    <x v="0"/>
    <n v="775"/>
    <s v="NOS"/>
    <x v="4"/>
    <n v="5000"/>
    <n v="5000"/>
    <n v="5.33355062"/>
    <n v="2.66677531"/>
    <n v="2.66677531"/>
    <n v="4180.644675310122"/>
    <n v="2.229768"/>
    <n v="23.186768"/>
    <n v="-2.229768"/>
    <e v="#DIV/0!"/>
  </r>
  <r>
    <n v="209"/>
    <s v="Khopoli "/>
    <x v="19"/>
    <s v="Rajsriya"/>
    <s v="129695|189481|187884|188415|189239|189240"/>
    <n v="3605867"/>
    <s v="TUB-O-N-AUT-AW-FC-41.28X3.200X0.2350"/>
    <x v="0"/>
    <m/>
    <x v="1"/>
    <x v="1"/>
    <m/>
    <s v="Chamferring"/>
    <m/>
    <m/>
    <s v="41.28-0-3.2-ERW 1-FC"/>
    <s v="41.28-0-3.2-ERW 1-FC-0.23"/>
    <n v="2"/>
    <x v="15"/>
    <x v="27"/>
    <x v="0"/>
    <x v="9"/>
    <n v="230"/>
    <s v="NOS"/>
    <x v="11"/>
    <n v="1040"/>
    <n v="1960"/>
    <n v="2.07250369536"/>
    <n v="0.7184679477248"/>
    <n v="1.3540357476352"/>
    <n v="0"/>
    <n v="0"/>
    <n v="24.45254"/>
    <n v="5.33355062"/>
    <n v="0.1347072520565671"/>
  </r>
  <r>
    <n v="218"/>
    <s v="Khopoli "/>
    <x v="19"/>
    <s v="Rajsriya"/>
    <s v="129695|189481|187884|188415|189239|189240"/>
    <n v="1938358"/>
    <s v="TUB-O-N-AUT-AN-FC-42.70X4.000X0.2540"/>
    <x v="0"/>
    <s v="Annealed"/>
    <x v="1"/>
    <x v="1"/>
    <m/>
    <s v="Chamferring"/>
    <m/>
    <m/>
    <s v="42.7-0-4-ERW 1-FC"/>
    <s v="42.7-0-4-ERW 1-FC-0.254"/>
    <n v="2"/>
    <x v="16"/>
    <x v="16"/>
    <x v="0"/>
    <x v="12"/>
    <n v="254"/>
    <s v="NOS"/>
    <x v="6"/>
    <n v="2470"/>
    <n v="2530"/>
    <n v="4.845894804"/>
    <n v="2.393872033176"/>
    <n v="2.452022770824"/>
    <n v="2829.502198166165"/>
    <n v="2.742294"/>
    <n v="91.26529599999999"/>
    <n v="-0.6697903046399998"/>
    <n v="2.478242159314381"/>
  </r>
  <r>
    <n v="198"/>
    <s v="Hosur"/>
    <x v="19"/>
    <s v="Rajsriya"/>
    <s v="129695|189481|187884|188415|189239|189240"/>
    <n v="3712521"/>
    <s v="CUT-R-AW-RHS-40.00X30.00X1.600X0.8350"/>
    <x v="0"/>
    <m/>
    <x v="1"/>
    <x v="0"/>
    <s v="HROP"/>
    <m/>
    <m/>
    <m/>
    <s v="40-30-1.6-ERW 1-FC"/>
    <s v="40-30-1.6-ERW 1-FC-0.835"/>
    <n v="1"/>
    <x v="17"/>
    <x v="15"/>
    <x v="1"/>
    <x v="0"/>
    <n v="835"/>
    <s v="NOS"/>
    <x v="49"/>
    <n v="5000"/>
    <n v="10000"/>
    <n v="21.166441386"/>
    <n v="7.055480462000001"/>
    <n v="14.110960924"/>
    <n v="3714.121262348695"/>
    <n v="5.240982"/>
    <n v="23.114797"/>
    <n v="-0.3950871959999995"/>
    <n v="2.537500907335008"/>
  </r>
  <r>
    <n v="200"/>
    <s v="Hosur"/>
    <x v="19"/>
    <s v="Rajsriya"/>
    <s v="129695|189481|187884|188415|189239|189240"/>
    <n v="1940830"/>
    <s v="TUB-R-AW-RHS-40.00X30.00X1.600X0.8600"/>
    <x v="0"/>
    <m/>
    <x v="1"/>
    <x v="0"/>
    <s v="GR1"/>
    <m/>
    <m/>
    <m/>
    <s v="40-30-1.6-ERW 1-FC"/>
    <s v="40-30-1.6-ERW 1-FC-0.86"/>
    <n v="1"/>
    <x v="17"/>
    <x v="15"/>
    <x v="1"/>
    <x v="0"/>
    <n v="860"/>
    <s v="NOS"/>
    <x v="6"/>
    <n v="0"/>
    <n v="5000"/>
    <n v="7.266722392"/>
    <n v="0"/>
    <n v="7.266722392"/>
    <n v="0"/>
    <n v="0"/>
    <n v="23.114797"/>
    <n v="21.166441386"/>
    <n v="0"/>
  </r>
  <r>
    <n v="203"/>
    <s v="Hosur"/>
    <x v="19"/>
    <s v="Rajsriya"/>
    <s v="129695|189481|187884|188415|189239|189240"/>
    <n v="1940837"/>
    <s v="TUB-R-AW-RHS-40.00X30.00X2.000X0.8700"/>
    <x v="0"/>
    <m/>
    <x v="1"/>
    <x v="1"/>
    <m/>
    <m/>
    <m/>
    <m/>
    <s v="40-30-2-ERW 1-FC"/>
    <s v="40-30-2-ERW 1-FC-0.87"/>
    <n v="1"/>
    <x v="17"/>
    <x v="15"/>
    <x v="1"/>
    <x v="3"/>
    <n v="870"/>
    <s v="NOS"/>
    <x v="30"/>
    <n v="0"/>
    <n v="0"/>
    <n v="0"/>
    <n v="0"/>
    <n v="0"/>
    <e v="#DIV/0!"/>
    <n v="9.479004"/>
    <n v="20.469457"/>
    <n v="-2.212281608"/>
    <n v="1.304440088482742"/>
  </r>
  <r>
    <n v="225"/>
    <s v="Hosur"/>
    <x v="19"/>
    <s v="Rajsriya"/>
    <s v="129695|189481|187884|188415|189239|189240"/>
    <n v="1940911"/>
    <s v="TUB-O-O-AUT-AW-AG-57.15X2.500X0.7720"/>
    <x v="0"/>
    <m/>
    <x v="1"/>
    <x v="1"/>
    <m/>
    <m/>
    <s v="AG"/>
    <m/>
    <s v="57.15-0-2.5-ERW 1-FC"/>
    <s v="57.15-0-2.5-ERW 1-FC-0.772"/>
    <n v="2"/>
    <x v="19"/>
    <x v="19"/>
    <x v="0"/>
    <x v="11"/>
    <n v="772"/>
    <s v="NOS"/>
    <x v="11"/>
    <n v="0"/>
    <n v="3000"/>
    <n v="7.7995228515"/>
    <n v="0"/>
    <n v="7.7995228515"/>
    <n v="25.12846025732296"/>
    <n v="0.06533"/>
    <n v="32.796514"/>
    <n v="-0.06533"/>
    <e v="#DIV/0!"/>
  </r>
  <r>
    <n v="242"/>
    <s v="Khopoli "/>
    <x v="19"/>
    <s v="Rajsriya"/>
    <s v="129695|189481|187884|188415|189239|189240"/>
    <s v="NO MATERIAL CODE"/>
    <m/>
    <x v="0"/>
    <m/>
    <x v="1"/>
    <x v="1"/>
    <m/>
    <m/>
    <s v="AG"/>
    <m/>
    <s v="60.3-0-2-ERW 1-FC"/>
    <s v="60.3-0-2-ERW 1-FC-0.493"/>
    <n v="1"/>
    <x v="29"/>
    <x v="29"/>
    <x v="0"/>
    <x v="3"/>
    <n v="491"/>
    <s v="NOS"/>
    <x v="11"/>
    <n v="0"/>
    <n v="3000"/>
    <n v="4.233510118200001"/>
    <n v="0"/>
    <n v="4.233510118200001"/>
    <n v="0"/>
    <n v="0"/>
    <n v="105.488065"/>
    <n v="7.7995228515"/>
    <n v="0"/>
  </r>
  <r>
    <n v="510"/>
    <s v="Hosur"/>
    <x v="20"/>
    <m/>
    <n v="188534"/>
    <n v="1940043"/>
    <s v="TUB-O-O-AUT-AW-PE-15.88X1.200X0.8880"/>
    <x v="1"/>
    <m/>
    <x v="3"/>
    <x v="1"/>
    <m/>
    <m/>
    <m/>
    <m/>
    <s v="15.88-0-1.2--"/>
    <s v="15.88-0-1.2---0.888"/>
    <n v="0"/>
    <x v="1"/>
    <x v="1"/>
    <x v="0"/>
    <x v="1"/>
    <n v="888"/>
    <s v="NOS"/>
    <x v="30"/>
    <n v="0"/>
    <n v="0"/>
    <n v="0"/>
    <n v="0"/>
    <n v="0"/>
    <e v="#DIV/0!"/>
    <n v="0"/>
    <n v="0"/>
    <n v="4.233510118200001"/>
    <n v="0"/>
  </r>
  <r>
    <n v="512"/>
    <s v="Hosur"/>
    <x v="20"/>
    <m/>
    <n v="188534"/>
    <n v="3506797"/>
    <s v="CUT-O-N-AUT-AW-PE-15.88X2.000X0.291"/>
    <x v="1"/>
    <m/>
    <x v="0"/>
    <x v="1"/>
    <m/>
    <m/>
    <m/>
    <m/>
    <s v="15.88-0-2--PE"/>
    <s v="15.88-0-2--PE-0.291"/>
    <n v="0"/>
    <x v="1"/>
    <x v="1"/>
    <x v="0"/>
    <x v="3"/>
    <n v="291"/>
    <s v="NOS"/>
    <x v="30"/>
    <n v="0"/>
    <n v="0"/>
    <n v="0"/>
    <n v="0"/>
    <n v="0"/>
    <e v="#DIV/0!"/>
    <n v="0"/>
    <n v="0"/>
    <n v="0"/>
    <e v="#DIV/0!"/>
  </r>
  <r>
    <n v="511"/>
    <s v="Hosur"/>
    <x v="20"/>
    <m/>
    <n v="188534"/>
    <n v="2384088"/>
    <s v="TUB-O-N-AUT-AW-PE-19.05X1.600X0.3550"/>
    <x v="1"/>
    <m/>
    <x v="3"/>
    <x v="1"/>
    <m/>
    <m/>
    <m/>
    <m/>
    <s v="19.05-0-1.6--"/>
    <s v="19.05-0-1.6---0.355"/>
    <n v="0"/>
    <x v="2"/>
    <x v="2"/>
    <x v="0"/>
    <x v="0"/>
    <n v="355"/>
    <s v="NOS"/>
    <x v="30"/>
    <n v="0"/>
    <n v="0"/>
    <n v="0"/>
    <n v="0"/>
    <n v="0"/>
    <e v="#DIV/0!"/>
    <n v="0"/>
    <n v="0"/>
    <n v="0"/>
    <e v="#DIV/0!"/>
  </r>
  <r>
    <n v="500"/>
    <s v="Hosur"/>
    <x v="20"/>
    <m/>
    <n v="188534"/>
    <n v="3732182"/>
    <s v="TUB-O-O-AUT-AW-PE-19.05X2.000X0.8200"/>
    <x v="0"/>
    <m/>
    <x v="0"/>
    <x v="1"/>
    <m/>
    <m/>
    <m/>
    <m/>
    <s v="19.05-0-2-ERW 1-PE"/>
    <s v="19.05-0-2-ERW 1-PE-0.82"/>
    <n v="3"/>
    <x v="2"/>
    <x v="2"/>
    <x v="0"/>
    <x v="3"/>
    <n v="820"/>
    <s v="NOS"/>
    <x v="55"/>
    <n v="0"/>
    <n v="14500"/>
    <n v="9.993912400999999"/>
    <n v="0"/>
    <n v="9.993912400999999"/>
    <n v="4.351198835367899"/>
    <n v="0.002999"/>
    <n v="96.99589900000001"/>
    <n v="-0.002999"/>
    <e v="#DIV/0!"/>
  </r>
  <r>
    <n v="501"/>
    <s v="Hosur"/>
    <x v="20"/>
    <m/>
    <n v="188534"/>
    <m/>
    <m/>
    <x v="0"/>
    <m/>
    <x v="0"/>
    <x v="1"/>
    <m/>
    <m/>
    <m/>
    <m/>
    <s v="19.05-0-2.3-ERW 1-PE"/>
    <s v="19.05-0-2.3-ERW 1-PE-0.25"/>
    <n v="1"/>
    <x v="2"/>
    <x v="2"/>
    <x v="0"/>
    <x v="7"/>
    <n v="250"/>
    <s v="NOS"/>
    <x v="4"/>
    <n v="0"/>
    <n v="10000"/>
    <n v="2.3740068125"/>
    <n v="0"/>
    <n v="2.3740068125"/>
    <n v="0"/>
    <n v="0"/>
    <n v="41.16220000000001"/>
    <n v="9.993912400999999"/>
    <n v="0"/>
  </r>
  <r>
    <n v="509"/>
    <s v="Hosur"/>
    <x v="20"/>
    <m/>
    <n v="188534"/>
    <n v="2427712"/>
    <s v="TUB-O-N-AUT-AW-PE-19.05X2.300X0.2550"/>
    <x v="0"/>
    <m/>
    <x v="3"/>
    <x v="1"/>
    <m/>
    <m/>
    <m/>
    <m/>
    <s v="19.05-0-2.3-ERW 1-"/>
    <s v="19.05-0-2.3-ERW 1--0.255"/>
    <n v="0"/>
    <x v="2"/>
    <x v="2"/>
    <x v="0"/>
    <x v="7"/>
    <n v="255"/>
    <s v="NOS"/>
    <x v="30"/>
    <n v="0"/>
    <n v="0"/>
    <n v="0"/>
    <n v="0"/>
    <n v="0"/>
    <e v="#DIV/0!"/>
    <n v="0"/>
    <n v="0"/>
    <n v="2.3740068125"/>
    <n v="0"/>
  </r>
  <r>
    <n v="502"/>
    <s v="Hosur"/>
    <x v="20"/>
    <m/>
    <n v="188534"/>
    <m/>
    <m/>
    <x v="0"/>
    <m/>
    <x v="0"/>
    <x v="1"/>
    <m/>
    <m/>
    <m/>
    <m/>
    <s v="19.05-0-2.3-ERW 1-PE"/>
    <s v="19.05-0-2.3-ERW 1-PE-0.279"/>
    <n v="1"/>
    <x v="2"/>
    <x v="2"/>
    <x v="0"/>
    <x v="7"/>
    <n v="278"/>
    <s v="NOS"/>
    <x v="4"/>
    <n v="0"/>
    <n v="10000"/>
    <n v="2.6398955755"/>
    <n v="0"/>
    <n v="2.6398955755"/>
    <n v="0"/>
    <n v="0"/>
    <n v="41.16220000000001"/>
    <n v="0"/>
    <e v="#DIV/0!"/>
  </r>
  <r>
    <n v="503"/>
    <s v="Hosur"/>
    <x v="20"/>
    <m/>
    <n v="188534"/>
    <n v="1940312"/>
    <s v="TUB-O-O-AUT-AW-PE-19.05X2.300X0.2950"/>
    <x v="0"/>
    <m/>
    <x v="0"/>
    <x v="1"/>
    <m/>
    <m/>
    <m/>
    <m/>
    <s v="19.05-0-2.3-ERW 1-PE"/>
    <s v="19.05-0-2.3-ERW 1-PE-0.295"/>
    <n v="3"/>
    <x v="2"/>
    <x v="2"/>
    <x v="0"/>
    <x v="7"/>
    <n v="295"/>
    <s v="NOS"/>
    <x v="56"/>
    <n v="0"/>
    <n v="19580"/>
    <n v="5.4850002998725"/>
    <n v="0"/>
    <n v="5.4850002998725"/>
    <n v="3.998103701199388"/>
    <n v="0.00112"/>
    <n v="41.16220000000001"/>
    <n v="2.6387755755"/>
    <n v="0.0004242592057028129"/>
  </r>
  <r>
    <n v="505"/>
    <s v="Hosur"/>
    <x v="20"/>
    <m/>
    <n v="188534"/>
    <n v="3732180"/>
    <s v="TUB-O-O-AUT-AW-FC-25.40X1.600X0.2080"/>
    <x v="0"/>
    <m/>
    <x v="1"/>
    <x v="0"/>
    <s v="NORMAL"/>
    <m/>
    <m/>
    <m/>
    <s v="25.4-0-1.6-ERW 1-FC"/>
    <s v="25.4-0-1.6-ERW 1-FC-0.208"/>
    <n v="1"/>
    <x v="3"/>
    <x v="3"/>
    <x v="0"/>
    <x v="0"/>
    <n v="208"/>
    <s v="NOS"/>
    <x v="57"/>
    <n v="0"/>
    <n v="19318"/>
    <n v="3.77156625384448"/>
    <n v="0"/>
    <n v="3.77156625384448"/>
    <n v="0"/>
    <n v="0"/>
    <n v="4.102"/>
    <n v="5.4850002998725"/>
    <n v="0"/>
  </r>
  <r>
    <n v="514"/>
    <s v="Hosur"/>
    <x v="20"/>
    <m/>
    <n v="188534"/>
    <n v="3732181"/>
    <s v="TUB-O-O-AUT-AW-FC-25.40X2.000X0.2830"/>
    <x v="0"/>
    <m/>
    <x v="3"/>
    <x v="1"/>
    <m/>
    <m/>
    <m/>
    <m/>
    <s v="25.4-0-2-ERW 1-"/>
    <s v="25.4-0-2-ERW 1--0.283"/>
    <n v="0"/>
    <x v="3"/>
    <x v="3"/>
    <x v="0"/>
    <x v="3"/>
    <n v="283"/>
    <s v="NOS"/>
    <x v="30"/>
    <n v="0"/>
    <n v="0"/>
    <n v="0"/>
    <n v="0"/>
    <n v="0"/>
    <e v="#DIV/0!"/>
    <n v="0"/>
    <n v="0"/>
    <n v="3.77156625384448"/>
    <n v="0"/>
  </r>
  <r>
    <n v="515"/>
    <s v="JSR"/>
    <x v="20"/>
    <m/>
    <n v="188534"/>
    <m/>
    <m/>
    <x v="1"/>
    <m/>
    <x v="3"/>
    <x v="1"/>
    <m/>
    <m/>
    <m/>
    <m/>
    <s v="31.75-0-2.3--"/>
    <s v="31.75-0-2.3---0.193"/>
    <n v="0"/>
    <x v="12"/>
    <x v="13"/>
    <x v="0"/>
    <x v="7"/>
    <n v="193"/>
    <s v="NOS"/>
    <x v="30"/>
    <n v="0"/>
    <n v="0"/>
    <n v="0"/>
    <n v="0"/>
    <n v="0"/>
    <e v="#DIV/0!"/>
    <n v="0"/>
    <n v="0"/>
    <n v="0"/>
    <e v="#DIV/0!"/>
  </r>
  <r>
    <n v="506"/>
    <s v="Hosur"/>
    <x v="20"/>
    <m/>
    <n v="188534"/>
    <n v="3841884"/>
    <s v="TUB-O-N-AUT-AW-FC-38.10X1.600X0.8750"/>
    <x v="4"/>
    <m/>
    <x v="1"/>
    <x v="0"/>
    <s v="ST52AL"/>
    <m/>
    <m/>
    <m/>
    <s v="38.1-0-1.6-ERW 2 MAHS-FC"/>
    <s v="38.1-0-1.6-ERW 2 MAHS-FC-0.875"/>
    <n v="3"/>
    <x v="14"/>
    <x v="24"/>
    <x v="0"/>
    <x v="0"/>
    <n v="875"/>
    <s v="NOS"/>
    <x v="58"/>
    <n v="0"/>
    <n v="7337"/>
    <n v="9.241420334299999"/>
    <n v="0"/>
    <n v="9.241420334299999"/>
    <n v="0"/>
    <n v="0"/>
    <n v="30.275"/>
    <n v="0"/>
    <e v="#DIV/0!"/>
  </r>
  <r>
    <n v="507"/>
    <s v="JSR "/>
    <x v="20"/>
    <m/>
    <n v="188534"/>
    <n v="3767397"/>
    <m/>
    <x v="0"/>
    <m/>
    <x v="1"/>
    <x v="1"/>
    <m/>
    <m/>
    <m/>
    <m/>
    <s v="38.1-0-2-ERW 1-FC"/>
    <s v="38.1-0-2-ERW 1-FC-0.277"/>
    <n v="1"/>
    <x v="14"/>
    <x v="24"/>
    <x v="0"/>
    <x v="3"/>
    <n v="278"/>
    <s v="NOS"/>
    <x v="4"/>
    <n v="0"/>
    <n v="10000"/>
    <n v="4.947448684"/>
    <n v="0"/>
    <n v="4.947448684"/>
    <n v="2213.261965791013"/>
    <n v="1.095"/>
    <n v="52.918269"/>
    <n v="8.146420334299998"/>
    <n v="0.1184882799817959"/>
  </r>
  <r>
    <n v="508"/>
    <s v="JSR"/>
    <x v="20"/>
    <m/>
    <n v="188534"/>
    <n v="2436343"/>
    <s v="TUB-O-N-AUT-AW-FC-38.10X2.500X0.8750"/>
    <x v="4"/>
    <m/>
    <x v="1"/>
    <x v="1"/>
    <m/>
    <m/>
    <m/>
    <m/>
    <s v="38.1-0-2.5-ERW 2 MAHS-FC"/>
    <s v="38.1-0-2.5-ERW 2 MAHS-FC-0.875"/>
    <n v="2"/>
    <x v="14"/>
    <x v="24"/>
    <x v="0"/>
    <x v="11"/>
    <n v="875"/>
    <s v="NOS"/>
    <x v="59"/>
    <n v="0"/>
    <n v="7457"/>
    <n v="14.314016304875"/>
    <n v="0"/>
    <n v="14.314016304875"/>
    <n v="690.9777318495495"/>
    <n v="1.32636"/>
    <n v="17.571283"/>
    <n v="3.621088684"/>
    <n v="0.2680896932371295"/>
  </r>
  <r>
    <n v="513"/>
    <s v="Hosur"/>
    <x v="20"/>
    <m/>
    <n v="188534"/>
    <n v="2440971"/>
    <s v="TUB-R-AW-AUT-40.00X25.00X1.600X0.3180"/>
    <x v="0"/>
    <m/>
    <x v="1"/>
    <x v="0"/>
    <s v="HROP"/>
    <m/>
    <m/>
    <m/>
    <s v="40-25-1.6-ERW 1-FC"/>
    <s v="40-25-1.6-ERW 1-FC-0.318"/>
    <n v="1"/>
    <x v="15"/>
    <x v="15"/>
    <x v="4"/>
    <x v="0"/>
    <n v="318"/>
    <s v="NOS"/>
    <x v="60"/>
    <n v="0"/>
    <n v="24814"/>
    <n v="12.34851827586663"/>
    <n v="0"/>
    <n v="12.34851827586663"/>
    <n v="2481.697748295173"/>
    <n v="1.235"/>
    <n v="25.909101"/>
    <n v="13.079016304875"/>
    <n v="0.08627906896957981"/>
  </r>
  <r>
    <n v="516"/>
    <s v="Khopoli "/>
    <x v="20"/>
    <m/>
    <n v="188534"/>
    <n v="3433148"/>
    <s v="TUB-O-N-AUT-BH-FC-42.70X3.500X0.2470"/>
    <x v="0"/>
    <s v="Annealed"/>
    <x v="1"/>
    <x v="1"/>
    <m/>
    <s v="Chamferring"/>
    <m/>
    <m/>
    <s v="42.7-0-3.5-ERW 1-FC"/>
    <s v="42.7-0-3.5-ERW 1-FC-0.247"/>
    <n v="2"/>
    <x v="16"/>
    <x v="16"/>
    <x v="0"/>
    <x v="16"/>
    <n v="247"/>
    <s v="NOS"/>
    <x v="61"/>
    <n v="0"/>
    <n v="12129"/>
    <n v="10.1315377163364"/>
    <n v="0"/>
    <n v="10.1315377163364"/>
    <n v="0"/>
    <n v="0"/>
    <n v="68.50834200000001"/>
    <n v="12.34851827586663"/>
    <n v="0"/>
  </r>
  <r>
    <n v="504"/>
    <s v="Hosur"/>
    <x v="20"/>
    <m/>
    <n v="188534"/>
    <n v="3732176"/>
    <s v="TUB-O-N-AUT-AW-AG-57.15X2.500X0.2950"/>
    <x v="1"/>
    <m/>
    <x v="3"/>
    <x v="1"/>
    <m/>
    <m/>
    <m/>
    <m/>
    <s v="57.15-0-2.5--"/>
    <m/>
    <m/>
    <x v="19"/>
    <x v="19"/>
    <x v="0"/>
    <x v="11"/>
    <n v="295"/>
    <m/>
    <x v="30"/>
    <e v="#N/A"/>
    <e v="#N/A"/>
    <n v="0"/>
    <e v="#N/A"/>
    <e v="#N/A"/>
    <e v="#DIV/0!"/>
    <n v="0"/>
    <n v="0"/>
    <n v="10.1315377163364"/>
    <e v="#N/A"/>
  </r>
  <r>
    <n v="517"/>
    <s v="Hosur"/>
    <x v="20"/>
    <m/>
    <n v="188534"/>
    <n v="3732177"/>
    <s v="TUB-O-N-AUT-AW-AG-57.15X2.500X0.3260"/>
    <x v="0"/>
    <m/>
    <x v="1"/>
    <x v="1"/>
    <m/>
    <m/>
    <s v="AG"/>
    <m/>
    <s v="57.15-0-2.5-ERW 1-FC"/>
    <s v="57.15-0-2.5-ERW 1-FC-0.326"/>
    <n v="1"/>
    <x v="19"/>
    <x v="19"/>
    <x v="0"/>
    <x v="11"/>
    <n v="326"/>
    <s v="NOS"/>
    <x v="62"/>
    <n v="0"/>
    <n v="10670"/>
    <n v="11.7141693769925"/>
    <n v="0"/>
    <n v="11.7141693769925"/>
    <n v="624.5339242207787"/>
    <n v="0.6856509999999999"/>
    <n v="32.796514"/>
    <n v="-0.6856509999999999"/>
    <e v="#DIV/0!"/>
  </r>
  <r>
    <n v="518"/>
    <s v="Hosur"/>
    <x v="20"/>
    <m/>
    <n v="188534"/>
    <n v="2440972"/>
    <s v="TUB-O-N-AUT-AW-FC-57.15X2.500X0.3750"/>
    <x v="0"/>
    <m/>
    <x v="1"/>
    <x v="1"/>
    <m/>
    <m/>
    <m/>
    <m/>
    <s v="57.15-0-2.5-ERW 1-FC"/>
    <s v="57.15-0-2.5-ERW 1-FC-0.375"/>
    <n v="1"/>
    <x v="19"/>
    <x v="19"/>
    <x v="0"/>
    <x v="11"/>
    <n v="375"/>
    <s v="NOS"/>
    <x v="63"/>
    <n v="0"/>
    <n v="7247"/>
    <n v="9.152063164640625"/>
    <n v="0"/>
    <n v="9.152063164640625"/>
    <n v="9.850530790511653"/>
    <n v="0.01244"/>
    <n v="32.796514"/>
    <n v="11.7017293769925"/>
    <n v="0.001061961766101239"/>
  </r>
  <r>
    <n v="519"/>
    <s v="Hosur"/>
    <x v="20"/>
    <m/>
    <n v="188534"/>
    <n v="3731697"/>
    <s v="CUT-O-N-AUT-AW-AG-57.15X2.500X0.5260"/>
    <x v="0"/>
    <m/>
    <x v="1"/>
    <x v="1"/>
    <m/>
    <m/>
    <s v="AG"/>
    <m/>
    <s v="57.15-0-2.5-ERW 1-FC"/>
    <s v="57.15-0-2.5-ERW 1-FC-0.526"/>
    <n v="1"/>
    <x v="19"/>
    <x v="19"/>
    <x v="0"/>
    <x v="11"/>
    <n v="526"/>
    <s v="NOS"/>
    <x v="64"/>
    <n v="0"/>
    <n v="7412"/>
    <n v="13.129573979023"/>
    <n v="0"/>
    <n v="13.129573979023"/>
    <n v="158.5372676467368"/>
    <n v="0.280832"/>
    <n v="32.796514"/>
    <n v="8.871231164640625"/>
    <n v="0.03068510290499371"/>
  </r>
  <r>
    <n v="367"/>
    <s v="Hosur"/>
    <x v="21"/>
    <m/>
    <n v="187702"/>
    <n v="2386074"/>
    <s v="TUB-O-N-AUT-AW-PE-12.70X1.200X0.6000"/>
    <x v="0"/>
    <m/>
    <x v="3"/>
    <x v="1"/>
    <m/>
    <m/>
    <m/>
    <m/>
    <s v="12.7-0-1.2-ERW 1-"/>
    <m/>
    <m/>
    <x v="0"/>
    <x v="0"/>
    <x v="0"/>
    <x v="1"/>
    <n v="600"/>
    <m/>
    <x v="30"/>
    <e v="#N/A"/>
    <e v="#N/A"/>
    <n v="0"/>
    <e v="#N/A"/>
    <e v="#N/A"/>
    <e v="#DIV/0!"/>
    <n v="0"/>
    <n v="0"/>
    <n v="13.129573979023"/>
    <e v="#N/A"/>
  </r>
  <r>
    <n v="369"/>
    <s v="Hosur"/>
    <x v="21"/>
    <m/>
    <n v="187702"/>
    <n v="2423535"/>
    <s v="TUB-O-N-AUT-AW-PE-22.23X1.200X1.3280"/>
    <x v="0"/>
    <m/>
    <x v="3"/>
    <x v="1"/>
    <m/>
    <m/>
    <m/>
    <m/>
    <s v="22.23-0-1.2-ERW 1-"/>
    <m/>
    <m/>
    <x v="8"/>
    <x v="8"/>
    <x v="0"/>
    <x v="1"/>
    <n v="1328"/>
    <m/>
    <x v="30"/>
    <e v="#N/A"/>
    <e v="#N/A"/>
    <n v="0"/>
    <e v="#N/A"/>
    <e v="#N/A"/>
    <e v="#DIV/0!"/>
    <n v="0"/>
    <n v="0"/>
    <n v="0"/>
    <e v="#N/A"/>
  </r>
  <r>
    <n v="302"/>
    <s v="Hosur"/>
    <x v="21"/>
    <m/>
    <n v="187702"/>
    <n v="1940416"/>
    <s v="TUB-O-O-AUT-AW-PE-22.23X1.600X0.9350"/>
    <x v="4"/>
    <m/>
    <x v="0"/>
    <x v="0"/>
    <s v="ST52AL"/>
    <s v="Chamferring"/>
    <m/>
    <s v="SC"/>
    <s v="22.23-0-1.6-ERW 2 MAHS-PE"/>
    <s v="22.23-0-1.6-ERW 2 MAHS-PE-0.935"/>
    <n v="1"/>
    <x v="8"/>
    <x v="8"/>
    <x v="0"/>
    <x v="0"/>
    <n v="935"/>
    <s v="NOS"/>
    <x v="4"/>
    <n v="0"/>
    <n v="10000"/>
    <n v="7.6072926952"/>
    <n v="0"/>
    <n v="7.6072926952"/>
    <n v="555.4867111484137"/>
    <n v="0.422575"/>
    <n v="3.061575"/>
    <n v="-0.422575"/>
    <e v="#DIV/0!"/>
  </r>
  <r>
    <n v="304"/>
    <s v="Hosur"/>
    <x v="21"/>
    <m/>
    <n v="187702"/>
    <n v="2422186"/>
    <s v="TUB-O-O-AUT-AW-CH-22.23X2.000X0.7750"/>
    <x v="0"/>
    <m/>
    <x v="3"/>
    <x v="1"/>
    <m/>
    <m/>
    <m/>
    <m/>
    <s v="22.23-0-2-ERW 1-"/>
    <m/>
    <m/>
    <x v="8"/>
    <x v="8"/>
    <x v="0"/>
    <x v="3"/>
    <n v="775"/>
    <m/>
    <x v="30"/>
    <e v="#N/A"/>
    <e v="#N/A"/>
    <n v="0"/>
    <e v="#N/A"/>
    <e v="#N/A"/>
    <e v="#DIV/0!"/>
    <n v="0"/>
    <n v="0"/>
    <n v="7.6072926952"/>
    <e v="#N/A"/>
  </r>
  <r>
    <n v="299"/>
    <s v="Hosur"/>
    <x v="21"/>
    <m/>
    <n v="187702"/>
    <n v="3943202"/>
    <s v="CUT-O-N-AUT-AW-FC-22.23X2.000X0.8400"/>
    <x v="4"/>
    <m/>
    <x v="1"/>
    <x v="2"/>
    <m/>
    <m/>
    <m/>
    <m/>
    <s v="22.23-0-2-ERW 2 MAHS-FC"/>
    <s v="22.23-0-2-ERW 2 MAHS-FC-0.84"/>
    <n v="1"/>
    <x v="8"/>
    <x v="8"/>
    <x v="0"/>
    <x v="3"/>
    <n v="840"/>
    <s v="NOS"/>
    <x v="6"/>
    <n v="0"/>
    <n v="5000"/>
    <n v="4.188653867999999"/>
    <n v="0"/>
    <n v="4.188653867999999"/>
    <n v="877.6697993800428"/>
    <n v="0.735251"/>
    <n v="27.130966"/>
    <n v="-0.735251"/>
    <e v="#DIV/0!"/>
  </r>
  <r>
    <n v="300"/>
    <s v="Hosur"/>
    <x v="21"/>
    <m/>
    <n v="187702"/>
    <n v="3943203"/>
    <s v="CUT-O-N-AUT-AW-FC-22.23X2.000X0.8550"/>
    <x v="4"/>
    <m/>
    <x v="1"/>
    <x v="2"/>
    <m/>
    <m/>
    <m/>
    <m/>
    <s v="22.23-0-2-ERW 2 MAHS-FC"/>
    <s v="22.23-0-2-ERW 2 MAHS-FC-0.855"/>
    <n v="1"/>
    <x v="8"/>
    <x v="8"/>
    <x v="0"/>
    <x v="3"/>
    <n v="855"/>
    <s v="NOS"/>
    <x v="4"/>
    <n v="0"/>
    <n v="10000"/>
    <n v="8.526902517"/>
    <n v="0"/>
    <n v="8.526902517"/>
    <n v="4418.62093824615"/>
    <n v="3.767715"/>
    <n v="27.130966"/>
    <m/>
    <m/>
  </r>
  <r>
    <n v="303"/>
    <s v="Hosur"/>
    <x v="21"/>
    <m/>
    <n v="187702"/>
    <n v="1940474"/>
    <s v="TUB-O-O-AUT-AW-PE-22.23X2.00X0.865-MAHS"/>
    <x v="4"/>
    <m/>
    <x v="3"/>
    <x v="1"/>
    <s v="ST52AL"/>
    <m/>
    <m/>
    <m/>
    <s v="22.23-0-2-ERW 2 MAHS-"/>
    <m/>
    <m/>
    <x v="8"/>
    <x v="8"/>
    <x v="0"/>
    <x v="3"/>
    <n v="865"/>
    <m/>
    <x v="30"/>
    <e v="#N/A"/>
    <e v="#N/A"/>
    <n v="0"/>
    <e v="#N/A"/>
    <e v="#N/A"/>
    <e v="#DIV/0!"/>
    <n v="0"/>
    <n v="0"/>
    <n v="8.526902517"/>
    <e v="#N/A"/>
  </r>
  <r>
    <n v="298"/>
    <s v="Hosur"/>
    <x v="21"/>
    <m/>
    <n v="187702"/>
    <n v="1940478"/>
    <s v="TUB-O-O-AUT-AW-PE-22.23X2.000X0.905"/>
    <x v="4"/>
    <m/>
    <x v="0"/>
    <x v="0"/>
    <m/>
    <s v="Chamferring"/>
    <m/>
    <s v="SC"/>
    <s v="22.23-0-2-ERW 2 MAHS-PE"/>
    <s v="22.23-0-2-ERW 2 MAHS-PE-0.905"/>
    <n v="1"/>
    <x v="8"/>
    <x v="8"/>
    <x v="0"/>
    <x v="3"/>
    <n v="905"/>
    <s v="NOS"/>
    <x v="10"/>
    <n v="0"/>
    <n v="25000"/>
    <n v="22.5638794675"/>
    <n v="0"/>
    <n v="22.5638794675"/>
    <n v="624.1158582806546"/>
    <n v="0.563299"/>
    <n v="2.301186"/>
    <n v="-0.563299"/>
    <e v="#DIV/0!"/>
  </r>
  <r>
    <n v="301"/>
    <s v="Hosur"/>
    <x v="21"/>
    <m/>
    <n v="187702"/>
    <m/>
    <s v="TUB-O-O-AUT-AW-PE-22.23X2.00X0.925-MAHS"/>
    <x v="4"/>
    <m/>
    <x v="0"/>
    <x v="1"/>
    <m/>
    <m/>
    <m/>
    <m/>
    <s v="22.23-0-2-ERW 2 MAHS-PE"/>
    <s v="22.23-0-2-ERW 2 MAHS-PE-0.925"/>
    <n v="0"/>
    <x v="8"/>
    <x v="8"/>
    <x v="0"/>
    <x v="3"/>
    <n v="925"/>
    <s v="NOS"/>
    <x v="52"/>
    <n v="0"/>
    <n v="500"/>
    <n v="0.46125057475"/>
    <n v="0"/>
    <n v="0.46125057475"/>
    <n v="0"/>
    <n v="0"/>
    <n v="2.301186"/>
    <m/>
    <m/>
  </r>
  <r>
    <n v="368"/>
    <s v="Hosur"/>
    <x v="21"/>
    <m/>
    <n v="187702"/>
    <n v="3697417"/>
    <s v="PT2-O-N-AUT-AW-PE-22.20X2.000X1.3850"/>
    <x v="0"/>
    <m/>
    <x v="3"/>
    <x v="1"/>
    <m/>
    <m/>
    <m/>
    <m/>
    <s v="22.23-0-2-ERW 1-"/>
    <m/>
    <m/>
    <x v="8"/>
    <x v="8"/>
    <x v="0"/>
    <x v="3"/>
    <n v="1385"/>
    <m/>
    <x v="30"/>
    <e v="#N/A"/>
    <e v="#N/A"/>
    <n v="0"/>
    <e v="#N/A"/>
    <e v="#N/A"/>
    <e v="#DIV/0!"/>
    <n v="0"/>
    <n v="0"/>
    <n v="0.46125057475"/>
    <e v="#N/A"/>
  </r>
  <r>
    <n v="496"/>
    <s v="Khopoli "/>
    <x v="22"/>
    <m/>
    <n v="945539"/>
    <m/>
    <m/>
    <x v="2"/>
    <m/>
    <x v="2"/>
    <x v="1"/>
    <m/>
    <m/>
    <m/>
    <m/>
    <s v="14-0-2.45-CEW-CEW"/>
    <s v="14-0-2.45-CEW-CEW"/>
    <n v="0"/>
    <x v="5"/>
    <x v="5"/>
    <x v="0"/>
    <x v="20"/>
    <n v="1000"/>
    <s v="M"/>
    <x v="65"/>
    <n v="0"/>
    <n v="355"/>
    <n v="0.2476143025125001"/>
    <n v="0"/>
    <n v="0.2476143025125001"/>
    <n v="0"/>
    <n v="0"/>
    <n v="0"/>
    <m/>
    <m/>
  </r>
  <r>
    <n v="497"/>
    <s v="Khopoli "/>
    <x v="22"/>
    <m/>
    <n v="945539"/>
    <m/>
    <m/>
    <x v="2"/>
    <m/>
    <x v="2"/>
    <x v="1"/>
    <m/>
    <m/>
    <m/>
    <m/>
    <s v="20-12.4-3.8-CEW-CEW"/>
    <s v="20-12.4-3.8-CEW-CEW"/>
    <n v="1"/>
    <x v="37"/>
    <x v="37"/>
    <x v="17"/>
    <x v="23"/>
    <n v="1000"/>
    <s v="M"/>
    <x v="66"/>
    <n v="0"/>
    <n v="144"/>
    <n v="0.21850451136"/>
    <n v="0"/>
    <n v="0.21850451136"/>
    <n v="16691.48094608934"/>
    <n v="25.327527"/>
    <n v="25.327527"/>
    <m/>
    <m/>
  </r>
  <r>
    <n v="498"/>
    <s v="Khopoli "/>
    <x v="22"/>
    <m/>
    <n v="945539"/>
    <m/>
    <m/>
    <x v="2"/>
    <m/>
    <x v="2"/>
    <x v="1"/>
    <m/>
    <m/>
    <m/>
    <m/>
    <s v="20-12.4-4.5-CEW-CEW"/>
    <s v="20-12.4-4.5-CEW-CEW"/>
    <n v="1"/>
    <x v="37"/>
    <x v="37"/>
    <x v="17"/>
    <x v="14"/>
    <n v="1000"/>
    <s v="M"/>
    <x v="67"/>
    <n v="0"/>
    <n v="526.5"/>
    <n v="0.9051944703750001"/>
    <n v="0"/>
    <n v="0.9051944703750001"/>
    <n v="6377.180634022825"/>
    <n v="10.964081"/>
    <n v="10.964081"/>
    <m/>
    <m/>
  </r>
  <r>
    <n v="494"/>
    <s v="Khopoli "/>
    <x v="22"/>
    <m/>
    <n v="945539"/>
    <m/>
    <m/>
    <x v="2"/>
    <m/>
    <x v="2"/>
    <x v="1"/>
    <m/>
    <m/>
    <m/>
    <m/>
    <s v="21.75-0-3.5-CEW-CEW"/>
    <s v="21.75-0-3.5-CEW-CEW"/>
    <n v="1"/>
    <x v="28"/>
    <x v="26"/>
    <x v="0"/>
    <x v="16"/>
    <n v="1000"/>
    <s v="M"/>
    <x v="68"/>
    <n v="0"/>
    <n v="990"/>
    <n v="1.55871032625"/>
    <n v="0"/>
    <n v="1.55871032625"/>
    <n v="0"/>
    <n v="0"/>
    <n v="0"/>
    <m/>
    <m/>
  </r>
  <r>
    <n v="488"/>
    <s v="Hosur"/>
    <x v="22"/>
    <m/>
    <n v="945539"/>
    <n v="3714733"/>
    <s v="TUB-O-N-AUT-AW-PE-22.23X1.600X0.690"/>
    <x v="0"/>
    <m/>
    <x v="0"/>
    <x v="0"/>
    <s v="NORMAL"/>
    <m/>
    <m/>
    <m/>
    <s v="22.23-0-1.6-ERW 1-PE"/>
    <s v="22.23-0-1.6-ERW 1-PE-0.69"/>
    <n v="1"/>
    <x v="8"/>
    <x v="8"/>
    <x v="0"/>
    <x v="0"/>
    <n v="690"/>
    <s v="NOS"/>
    <x v="69"/>
    <n v="0"/>
    <n v="19645"/>
    <n v="11.0285810532696"/>
    <n v="0"/>
    <n v="11.0285810532696"/>
    <n v="117.62687953546"/>
    <n v="0.066035"/>
    <n v="68.25120299999999"/>
    <m/>
    <m/>
  </r>
  <r>
    <n v="486"/>
    <s v="Hosur"/>
    <x v="22"/>
    <m/>
    <n v="945539"/>
    <n v="3910650"/>
    <s v="CUT-O-N-AUT-AS-FC-22.23X2.000X0.8550"/>
    <x v="6"/>
    <m/>
    <x v="1"/>
    <x v="2"/>
    <m/>
    <m/>
    <m/>
    <m/>
    <s v="22.23-0-2-ERW 2-FC"/>
    <s v="22.23-0-2-ERW 2-FC-0.855"/>
    <n v="2"/>
    <x v="8"/>
    <x v="8"/>
    <x v="0"/>
    <x v="3"/>
    <n v="855"/>
    <s v="NOS"/>
    <x v="70"/>
    <n v="0"/>
    <n v="13553"/>
    <n v="11.5565109812901"/>
    <n v="0"/>
    <n v="11.5565109812901"/>
    <n v="5559.064373668621"/>
    <n v="4.740159999999999"/>
    <n v="18.961382"/>
    <m/>
    <m/>
  </r>
  <r>
    <n v="485"/>
    <s v="Hosur"/>
    <x v="22"/>
    <m/>
    <n v="945539"/>
    <n v="3910649"/>
    <s v="CUT-O-N-AUT-AW-FC-22.23X2.000X0.8630"/>
    <x v="6"/>
    <m/>
    <x v="1"/>
    <x v="2"/>
    <m/>
    <m/>
    <m/>
    <m/>
    <s v="22.23-0-2-ERW 2-FC"/>
    <s v="22.23-0-2-ERW 2-FC-0.863"/>
    <n v="2"/>
    <x v="8"/>
    <x v="8"/>
    <x v="0"/>
    <x v="3"/>
    <n v="863"/>
    <s v="NOS"/>
    <x v="55"/>
    <n v="0"/>
    <n v="14500"/>
    <n v="12.47969528029"/>
    <n v="0"/>
    <n v="12.47969528029"/>
    <n v="8786.450032412324"/>
    <n v="7.562221999999999"/>
    <n v="18.961382"/>
    <m/>
    <m/>
  </r>
  <r>
    <n v="499"/>
    <s v="Hosur"/>
    <x v="22"/>
    <m/>
    <n v="945539"/>
    <n v="2400891"/>
    <s v="TUB-O-N-AUT-AW-PE-25.40X1.600X0.4700"/>
    <x v="0"/>
    <m/>
    <x v="0"/>
    <x v="1"/>
    <m/>
    <m/>
    <m/>
    <m/>
    <s v="25.4-0-2-ERW 1-PE"/>
    <s v="25.4-0-2-ERW 1-PE-0.47"/>
    <n v="0"/>
    <x v="3"/>
    <x v="3"/>
    <x v="0"/>
    <x v="3"/>
    <n v="470"/>
    <s v="NOS"/>
    <x v="55"/>
    <n v="0"/>
    <n v="14500"/>
    <n v="7.861601358"/>
    <n v="0"/>
    <n v="7.861601358"/>
    <n v="0"/>
    <n v="0"/>
    <n v="0"/>
    <m/>
    <m/>
  </r>
  <r>
    <n v="491"/>
    <s v="Hosur"/>
    <x v="22"/>
    <m/>
    <n v="945539"/>
    <n v="3775636"/>
    <s v="TUB-O-O-AUT-AW-FC-25.40X2.500X0.7830"/>
    <x v="0"/>
    <m/>
    <x v="1"/>
    <x v="1"/>
    <m/>
    <m/>
    <m/>
    <m/>
    <s v="25.4-0-2.5-ERW 1-FC"/>
    <s v="25.4-0-2.5-ERW 1-FC-0.783"/>
    <n v="2"/>
    <x v="3"/>
    <x v="3"/>
    <x v="0"/>
    <x v="11"/>
    <n v="783"/>
    <s v="NOS"/>
    <x v="71"/>
    <n v="0"/>
    <n v="10356"/>
    <n v="11.442702311127"/>
    <n v="0"/>
    <n v="11.442702311127"/>
    <n v="393.2124267206293"/>
    <n v="0.434474"/>
    <n v="14.813314"/>
    <n v="7.427127358"/>
    <n v="0.05526533084228157"/>
  </r>
  <r>
    <n v="495"/>
    <s v="Khopoli "/>
    <x v="22"/>
    <m/>
    <n v="945539"/>
    <n v="2410997"/>
    <m/>
    <x v="2"/>
    <m/>
    <x v="2"/>
    <x v="1"/>
    <m/>
    <m/>
    <m/>
    <m/>
    <s v="25.4-19-3.2-CEW-CEW"/>
    <s v="25.4-19-3.2-CEW-CEW"/>
    <n v="1"/>
    <x v="3"/>
    <x v="3"/>
    <x v="8"/>
    <x v="9"/>
    <n v="1000"/>
    <s v="M"/>
    <x v="72"/>
    <n v="0"/>
    <n v="426"/>
    <n v="0.7459536729599999"/>
    <n v="0"/>
    <n v="0.7459536729599999"/>
    <n v="14015.63309221835"/>
    <n v="24.542284"/>
    <n v="24.542284"/>
    <m/>
    <m/>
  </r>
  <r>
    <n v="493"/>
    <s v="Khopoli "/>
    <x v="22"/>
    <m/>
    <n v="945539"/>
    <m/>
    <m/>
    <x v="2"/>
    <m/>
    <x v="2"/>
    <x v="1"/>
    <m/>
    <m/>
    <m/>
    <m/>
    <s v="31.75-25-3.37-CEW-CEW"/>
    <s v="31.75-25-3.37-CEW-CEW"/>
    <n v="1"/>
    <x v="12"/>
    <x v="13"/>
    <x v="4"/>
    <x v="10"/>
    <n v="1000"/>
    <s v="M"/>
    <x v="73"/>
    <n v="0"/>
    <n v="616.5"/>
    <n v="1.4533649346051"/>
    <n v="0"/>
    <n v="1.4533649346051"/>
    <n v="5429.089624103218"/>
    <n v="12.798781"/>
    <n v="12.798781"/>
    <n v="-12.05282732704"/>
    <n v="17.15760839304334"/>
  </r>
  <r>
    <n v="482"/>
    <s v="Hosur"/>
    <x v="22"/>
    <m/>
    <n v="945539"/>
    <n v="3508742"/>
    <s v="CUT-O-N-AUT-AW-FC-38.10X2.000X0.4100"/>
    <x v="0"/>
    <m/>
    <x v="1"/>
    <x v="1"/>
    <m/>
    <m/>
    <m/>
    <m/>
    <s v="38.1-0-2-ERW 1-FC"/>
    <s v="38.1-0-2-ERW 1-FC-0.41"/>
    <n v="2"/>
    <x v="14"/>
    <x v="24"/>
    <x v="0"/>
    <x v="3"/>
    <n v="410"/>
    <s v="NOS"/>
    <x v="74"/>
    <n v="0"/>
    <n v="16779"/>
    <n v="12.242960072742"/>
    <n v="0"/>
    <n v="12.242960072742"/>
    <n v="700.5430084751644"/>
    <n v="0.511158"/>
    <n v="52.918269"/>
    <n v="0.9422069346051001"/>
    <n v="0.3517065726777624"/>
  </r>
  <r>
    <n v="489"/>
    <s v="Hosur"/>
    <x v="22"/>
    <m/>
    <n v="945539"/>
    <n v="3801265"/>
    <s v="TUB-R-AW-RHS-40.00X25.00X1.600X0.5610 "/>
    <x v="6"/>
    <m/>
    <x v="1"/>
    <x v="0"/>
    <s v="SAE1020"/>
    <m/>
    <m/>
    <m/>
    <s v="40-25-1.6-ERW 2-FC"/>
    <s v="40-25-1.6-ERW 2-FC-0.561"/>
    <n v="1"/>
    <x v="15"/>
    <x v="15"/>
    <x v="4"/>
    <x v="0"/>
    <n v="561"/>
    <s v="NOS"/>
    <x v="15"/>
    <n v="0"/>
    <n v="12500"/>
    <n v="10.9739714304"/>
    <n v="0"/>
    <n v="10.9739714304"/>
    <n v="1209.695376390835"/>
    <n v="1.062013"/>
    <n v="1.688013"/>
    <n v="11.180947072742"/>
    <n v="0.08674478996010854"/>
  </r>
  <r>
    <n v="484"/>
    <s v="Khopoli "/>
    <x v="22"/>
    <m/>
    <n v="945539"/>
    <n v="3910648"/>
    <s v="HT2-O-N-AUT-AW-FC-41.28X2.600X0.8500"/>
    <x v="0"/>
    <m/>
    <x v="1"/>
    <x v="2"/>
    <m/>
    <m/>
    <m/>
    <m/>
    <s v="41.28-0-2.6-ERW 1-FC"/>
    <s v="41.28-0-2.6-ERW 1-FC-0.85"/>
    <n v="2"/>
    <x v="15"/>
    <x v="27"/>
    <x v="0"/>
    <x v="13"/>
    <n v="850"/>
    <s v="NOS"/>
    <x v="55"/>
    <n v="0"/>
    <n v="14500"/>
    <n v="30.5524502894"/>
    <n v="0"/>
    <n v="30.5524502894"/>
    <n v="58.39543090980796"/>
    <n v="0.123043"/>
    <n v="0.270271"/>
    <n v="10.8509284304"/>
    <n v="0.0112122580945625"/>
  </r>
  <r>
    <n v="487"/>
    <s v="JSR"/>
    <x v="22"/>
    <m/>
    <n v="945539"/>
    <n v="3901714"/>
    <s v="CUT-N-AUT-AN-FC-42.70X4.000X0.2150"/>
    <x v="0"/>
    <s v="Annealed"/>
    <x v="1"/>
    <x v="1"/>
    <m/>
    <s v="Chamferring"/>
    <m/>
    <m/>
    <s v="42.7-0-4-ERW 1-FC"/>
    <s v="42.7-0-4-ERW 1-FC-0.215"/>
    <n v="1"/>
    <x v="16"/>
    <x v="16"/>
    <x v="0"/>
    <x v="12"/>
    <n v="215"/>
    <s v="NOS"/>
    <x v="75"/>
    <n v="0"/>
    <n v="27167"/>
    <n v="22.286937945006"/>
    <n v="0"/>
    <n v="22.286937945006"/>
    <n v="9873.507770021331"/>
    <n v="8.099909999999999"/>
    <n v="91.26529599999999"/>
    <m/>
    <m/>
  </r>
  <r>
    <n v="481"/>
    <s v="Khopoli "/>
    <x v="22"/>
    <m/>
    <n v="945539"/>
    <m/>
    <s v="TUB-O-N-AUT-AW-FC-48.60X3.500X0.202.5"/>
    <x v="0"/>
    <m/>
    <x v="1"/>
    <x v="1"/>
    <m/>
    <s v="Chamferring"/>
    <m/>
    <m/>
    <s v="48.6-0-3.5-ERW 1-FC"/>
    <s v="48.6-0-3.5-ERW 1-FC-0.2025"/>
    <n v="0"/>
    <x v="18"/>
    <x v="17"/>
    <x v="0"/>
    <x v="16"/>
    <n v="202.5"/>
    <s v="NOS"/>
    <x v="76"/>
    <n v="0"/>
    <n v="7389"/>
    <n v="5.821763851567124"/>
    <n v="0"/>
    <n v="5.821763851567124"/>
    <n v="0"/>
    <n v="0"/>
    <n v="49.386735"/>
    <n v="22.286937945006"/>
    <n v="0"/>
  </r>
  <r>
    <n v="492"/>
    <s v="Hosur"/>
    <x v="22"/>
    <m/>
    <n v="945539"/>
    <n v="3780004"/>
    <s v="TUB-R-AW-RHS-50.00X30.00X1.600X0.6070"/>
    <x v="6"/>
    <m/>
    <x v="1"/>
    <x v="0"/>
    <s v="SAE1020"/>
    <m/>
    <m/>
    <m/>
    <s v="50-30-1.6-ERW 2-FC"/>
    <s v="50-30-1.6-ERW 2-FC-0.607"/>
    <n v="1"/>
    <x v="4"/>
    <x v="4"/>
    <x v="1"/>
    <x v="0"/>
    <n v="607"/>
    <s v="NOS"/>
    <x v="77"/>
    <n v="0"/>
    <n v="11830"/>
    <n v="13.9334231295168"/>
    <n v="0"/>
    <n v="13.9334231295168"/>
    <n v="12569.1745633561"/>
    <n v="14.804026"/>
    <n v="31.742567"/>
    <n v="-8.982262148432877"/>
    <n v="2.542876416399988"/>
  </r>
  <r>
    <n v="490"/>
    <s v="Hosur"/>
    <x v="22"/>
    <m/>
    <n v="945539"/>
    <n v="3780005"/>
    <s v="TUB-R-AW-RHS-50.00X30.00X1.600X0.6380"/>
    <x v="6"/>
    <m/>
    <x v="1"/>
    <x v="0"/>
    <s v="SAE1020"/>
    <m/>
    <m/>
    <m/>
    <s v="50-30-1.6-ERW 2-FC"/>
    <s v="50-30-1.6-ERW 2-FC-0.638"/>
    <n v="2"/>
    <x v="4"/>
    <x v="4"/>
    <x v="1"/>
    <x v="0"/>
    <n v="638"/>
    <s v="NOS"/>
    <x v="9"/>
    <n v="0"/>
    <n v="1000"/>
    <n v="1.23795560064"/>
    <n v="0"/>
    <n v="1.23795560064"/>
    <n v="8529.763906347654"/>
    <n v="10.559469"/>
    <n v="31.742567"/>
    <n v="3.373954129516795"/>
    <n v="0.7578517426654937"/>
  </r>
  <r>
    <n v="483"/>
    <s v="Hosur"/>
    <x v="22"/>
    <m/>
    <n v="945539"/>
    <m/>
    <m/>
    <x v="0"/>
    <m/>
    <x v="1"/>
    <x v="1"/>
    <m/>
    <m/>
    <m/>
    <m/>
    <s v="50.8-0-1.6-ERW 1-FC"/>
    <m/>
    <m/>
    <x v="4"/>
    <x v="39"/>
    <x v="0"/>
    <x v="0"/>
    <n v="753"/>
    <m/>
    <x v="30"/>
    <e v="#N/A"/>
    <e v="#N/A"/>
    <n v="0"/>
    <e v="#N/A"/>
    <e v="#N/A"/>
    <e v="#DIV/0!"/>
    <n v="0"/>
    <n v="8.448256000000001"/>
    <n v="1.23795560064"/>
    <e v="#N/A"/>
  </r>
  <r>
    <n v="315"/>
    <s v="Khopoli "/>
    <x v="23"/>
    <m/>
    <n v="941496"/>
    <n v="1938118"/>
    <s v="TUB-O-N-AUT-AW-PE-17.30X1.600X0.3550"/>
    <x v="0"/>
    <m/>
    <x v="0"/>
    <x v="0"/>
    <s v="D"/>
    <m/>
    <m/>
    <m/>
    <s v="17.3-0-1.6-ERW 1-PE"/>
    <s v="17.3-0-1.6-ERW 1-PE-0.355"/>
    <n v="1"/>
    <x v="7"/>
    <x v="7"/>
    <x v="0"/>
    <x v="0"/>
    <n v="355"/>
    <s v="NOS"/>
    <x v="78"/>
    <n v="0"/>
    <n v="22000"/>
    <n v="4.835818292800001"/>
    <n v="0"/>
    <n v="4.835818292800001"/>
    <n v="0"/>
    <n v="0"/>
    <n v="3.231416"/>
    <n v="0"/>
    <e v="#DIV/0!"/>
  </r>
  <r>
    <n v="307"/>
    <s v="Khopoli "/>
    <x v="23"/>
    <m/>
    <n v="941496"/>
    <n v="1938119"/>
    <s v="TUB-O-N-AUT-AW-PE-17.30X1.600X0.4000"/>
    <x v="0"/>
    <m/>
    <x v="0"/>
    <x v="1"/>
    <m/>
    <m/>
    <m/>
    <m/>
    <s v="17.3-0-1.6-ERW 1-PE"/>
    <s v="17.3-0-1.6-ERW 1-PE-0.4"/>
    <n v="1"/>
    <x v="7"/>
    <x v="7"/>
    <x v="0"/>
    <x v="0"/>
    <n v="400"/>
    <s v="NOS"/>
    <x v="78"/>
    <n v="0"/>
    <n v="22000"/>
    <n v="5.448809344"/>
    <n v="0"/>
    <n v="5.448809344"/>
    <n v="0"/>
    <n v="0"/>
    <n v="3.231416"/>
    <n v="4.835818292800001"/>
    <n v="0"/>
  </r>
  <r>
    <n v="311"/>
    <s v="Hosur"/>
    <x v="23"/>
    <m/>
    <n v="941496"/>
    <n v="1937022"/>
    <s v="TUB-O-N-GEN-AW-PE-19.05X1.200X0.6500"/>
    <x v="0"/>
    <m/>
    <x v="0"/>
    <x v="0"/>
    <m/>
    <m/>
    <m/>
    <m/>
    <s v="19.05-0-1.2-ERW 1-PE"/>
    <s v="19.05-0-1.2-ERW 1-PE-0.65"/>
    <n v="1"/>
    <x v="2"/>
    <x v="2"/>
    <x v="0"/>
    <x v="1"/>
    <n v="650"/>
    <s v="NOS"/>
    <x v="4"/>
    <n v="0"/>
    <n v="10000"/>
    <n v="3.431880270000001"/>
    <n v="0"/>
    <n v="3.431880270000001"/>
    <n v="404.5216880482837"/>
    <n v="0.138827"/>
    <n v="12.194379"/>
    <n v="5.309982344"/>
    <n v="0.0254784102792788"/>
  </r>
  <r>
    <n v="313"/>
    <s v="Hosur"/>
    <x v="23"/>
    <m/>
    <n v="941496"/>
    <n v="1940247"/>
    <s v="TUB-O-O-AUT-AW-PE-19.05X1.600X0.5950"/>
    <x v="0"/>
    <m/>
    <x v="0"/>
    <x v="0"/>
    <s v="GR1"/>
    <m/>
    <m/>
    <m/>
    <s v="19.05-0-1.6-ERW 1-PE"/>
    <s v="19.05-0-1.6-ERW 1-PE-0.595"/>
    <n v="1"/>
    <x v="2"/>
    <x v="2"/>
    <x v="0"/>
    <x v="0"/>
    <n v="595"/>
    <s v="NOS"/>
    <x v="17"/>
    <n v="0"/>
    <n v="7000"/>
    <n v="2.8663533332"/>
    <n v="0"/>
    <n v="2.8663533332"/>
    <n v="6779.04282592651"/>
    <n v="2.775876"/>
    <n v="14.281977"/>
    <n v="0.6560042700000008"/>
    <n v="0.8088498961532825"/>
  </r>
  <r>
    <n v="316"/>
    <s v="Hosur"/>
    <x v="23"/>
    <m/>
    <n v="941496"/>
    <n v="2320564"/>
    <s v="TUB-O-N-AUT-AW-PE-19.05X2.300X0.4000"/>
    <x v="0"/>
    <m/>
    <x v="0"/>
    <x v="1"/>
    <m/>
    <m/>
    <m/>
    <m/>
    <s v="19.05-0-2.3-ERW 1-PE"/>
    <s v="19.05-0-2.3-ERW 1-PE-0.4"/>
    <n v="1"/>
    <x v="2"/>
    <x v="2"/>
    <x v="0"/>
    <x v="7"/>
    <n v="400"/>
    <s v="NOS"/>
    <x v="12"/>
    <n v="0"/>
    <n v="6000"/>
    <n v="2.27904654"/>
    <n v="0"/>
    <n v="2.27904654"/>
    <n v="0"/>
    <n v="0"/>
    <n v="41.16220000000001"/>
    <n v="2.8663533332"/>
    <n v="0"/>
  </r>
  <r>
    <n v="308"/>
    <s v="Hosur"/>
    <x v="23"/>
    <m/>
    <n v="941496"/>
    <n v="3718926"/>
    <s v="PT2-O-N-AUT-AW-PE-19.05X2.340X0.4020"/>
    <x v="0"/>
    <m/>
    <x v="3"/>
    <x v="1"/>
    <m/>
    <m/>
    <m/>
    <m/>
    <s v="19.05-0-2.3-ERW 1-"/>
    <m/>
    <m/>
    <x v="2"/>
    <x v="2"/>
    <x v="0"/>
    <x v="7"/>
    <n v="402"/>
    <m/>
    <x v="30"/>
    <e v="#N/A"/>
    <e v="#N/A"/>
    <n v="0"/>
    <e v="#N/A"/>
    <e v="#N/A"/>
    <e v="#DIV/0!"/>
    <n v="0"/>
    <n v="0"/>
    <n v="2.27904654"/>
    <e v="#N/A"/>
  </r>
  <r>
    <n v="328"/>
    <s v="Hosur"/>
    <x v="23"/>
    <m/>
    <n v="941496"/>
    <n v="3667938"/>
    <s v="CUT-O-N-AUT-AW-PE-22.20X1.200X0.6730"/>
    <x v="0"/>
    <m/>
    <x v="0"/>
    <x v="1"/>
    <m/>
    <m/>
    <m/>
    <m/>
    <s v="22.23-0-1.2-ERW 1-PE"/>
    <s v="22.23-0-1.2-ERW 1-PE-0.673"/>
    <n v="3"/>
    <x v="8"/>
    <x v="8"/>
    <x v="0"/>
    <x v="1"/>
    <n v="673"/>
    <s v="NOS"/>
    <x v="49"/>
    <n v="0"/>
    <n v="15000"/>
    <n v="6.279515645580001"/>
    <n v="0"/>
    <n v="6.279515645580001"/>
    <n v="473.88846018635"/>
    <n v="0.198386"/>
    <n v="6.255843"/>
    <n v="-0.198386"/>
    <e v="#DIV/0!"/>
  </r>
  <r>
    <n v="321"/>
    <s v="Hosur"/>
    <x v="23"/>
    <m/>
    <n v="941496"/>
    <n v="3553684"/>
    <s v="TUB-O-N-AUT-AW-PE-22.23X1.600X0.2740"/>
    <x v="0"/>
    <m/>
    <x v="0"/>
    <x v="0"/>
    <s v="HROP"/>
    <m/>
    <m/>
    <m/>
    <s v="22.23-0-1.6-ERW 1-PE"/>
    <s v="22.23-0-1.6-ERW 1-PE-0.274"/>
    <n v="1"/>
    <x v="8"/>
    <x v="8"/>
    <x v="0"/>
    <x v="0"/>
    <n v="274"/>
    <s v="NOS"/>
    <x v="49"/>
    <n v="0"/>
    <n v="15000"/>
    <n v="3.34395432912"/>
    <n v="0"/>
    <n v="3.34395432912"/>
    <n v="50.23992060448119"/>
    <n v="0.0112"/>
    <n v="68.25120299999999"/>
    <n v="6.268315645580001"/>
    <n v="0.001783577051501322"/>
  </r>
  <r>
    <n v="324"/>
    <s v="Hosur"/>
    <x v="23"/>
    <m/>
    <n v="941496"/>
    <n v="1940437"/>
    <s v="TUB-O-O-AUT-AW-PE-22.23X2.000X0.3940"/>
    <x v="0"/>
    <m/>
    <x v="0"/>
    <x v="1"/>
    <m/>
    <m/>
    <m/>
    <m/>
    <s v="22.23-0-2-ERW 1-PE"/>
    <s v="22.23-0-2-ERW 1-PE-0.394"/>
    <n v="2"/>
    <x v="8"/>
    <x v="8"/>
    <x v="0"/>
    <x v="3"/>
    <n v="394"/>
    <s v="NOS"/>
    <x v="4"/>
    <n v="0"/>
    <n v="10000"/>
    <n v="3.9293562476"/>
    <n v="0"/>
    <n v="3.9293562476"/>
    <n v="6946.35667526233"/>
    <n v="2.729471"/>
    <n v="45.493454"/>
    <m/>
    <m/>
  </r>
  <r>
    <n v="320"/>
    <s v="Hosur"/>
    <x v="23"/>
    <m/>
    <n v="941496"/>
    <n v="2413708"/>
    <s v="TUB-O-N-AUT-AW-PE-22.23X2.000X0.8150"/>
    <x v="0"/>
    <m/>
    <x v="0"/>
    <x v="1"/>
    <m/>
    <m/>
    <m/>
    <m/>
    <s v="22.23-0-2-ERW 1-PE"/>
    <s v="22.23-0-2-ERW 1-PE-0.815"/>
    <n v="2"/>
    <x v="8"/>
    <x v="8"/>
    <x v="0"/>
    <x v="3"/>
    <n v="815"/>
    <s v="NOS"/>
    <x v="31"/>
    <n v="5000"/>
    <n v="15000"/>
    <n v="16.255966202"/>
    <n v="4.0639915505"/>
    <n v="12.1919746515"/>
    <n v="12962.32271780162"/>
    <n v="10.535754"/>
    <n v="45.493454"/>
    <n v="-6.606397752399999"/>
    <n v="3.715556602793991"/>
  </r>
  <r>
    <n v="322"/>
    <s v="Hosur"/>
    <x v="23"/>
    <m/>
    <n v="941496"/>
    <n v="3910650"/>
    <s v="HT2-O-N-AUT-AS-FC-22.23X2.000X0.8550"/>
    <x v="6"/>
    <m/>
    <x v="1"/>
    <x v="1"/>
    <s v="SAE1020"/>
    <m/>
    <m/>
    <m/>
    <s v="22.23-0-2-ERW 2-FC"/>
    <m/>
    <m/>
    <x v="8"/>
    <x v="8"/>
    <x v="0"/>
    <x v="3"/>
    <n v="855"/>
    <m/>
    <x v="30"/>
    <e v="#N/A"/>
    <e v="#N/A"/>
    <n v="0"/>
    <e v="#N/A"/>
    <e v="#N/A"/>
    <e v="#DIV/0!"/>
    <n v="0"/>
    <n v="18.961382"/>
    <n v="16.255966202"/>
    <e v="#N/A"/>
  </r>
  <r>
    <n v="323"/>
    <s v="Hosur"/>
    <x v="23"/>
    <m/>
    <n v="941496"/>
    <n v="3910649"/>
    <s v="CUT-O-N-AUT-AW-FC-22.23X2.000X0.8630"/>
    <x v="6"/>
    <m/>
    <x v="1"/>
    <x v="1"/>
    <s v="SAE1020"/>
    <m/>
    <m/>
    <m/>
    <s v="22.23-0-2-ERW 2-FC"/>
    <m/>
    <m/>
    <x v="8"/>
    <x v="8"/>
    <x v="0"/>
    <x v="3"/>
    <n v="863"/>
    <m/>
    <x v="30"/>
    <e v="#N/A"/>
    <e v="#N/A"/>
    <n v="0"/>
    <e v="#N/A"/>
    <e v="#N/A"/>
    <e v="#DIV/0!"/>
    <n v="0"/>
    <n v="18.961382"/>
    <m/>
    <m/>
  </r>
  <r>
    <n v="310"/>
    <s v="Hosur"/>
    <x v="23"/>
    <m/>
    <n v="941496"/>
    <n v="1940588"/>
    <s v="TUB-O-O-AUT-AW-FC-25.40X2.000X0.3550"/>
    <x v="0"/>
    <m/>
    <x v="1"/>
    <x v="1"/>
    <m/>
    <m/>
    <m/>
    <m/>
    <s v="25.4-0-2-ERW 1-FC"/>
    <s v="25.4-0-2-ERW 1-FC-0.355"/>
    <n v="1"/>
    <x v="3"/>
    <x v="3"/>
    <x v="0"/>
    <x v="3"/>
    <n v="355"/>
    <s v="NOS"/>
    <x v="31"/>
    <n v="0"/>
    <n v="20000"/>
    <n v="8.19036972"/>
    <n v="0"/>
    <n v="8.19036972"/>
    <n v="2048.000343505861"/>
    <n v="0.8386940000000001"/>
    <n v="18.57959"/>
    <n v="-0.8386940000000001"/>
    <e v="#DIV/0!"/>
  </r>
  <r>
    <n v="314"/>
    <s v="Hosur"/>
    <x v="23"/>
    <m/>
    <n v="941496"/>
    <n v="1940614"/>
    <s v="TUB-O-O-AUT-AW-PE-28.58X1.200X0.5950"/>
    <x v="0"/>
    <m/>
    <x v="0"/>
    <x v="0"/>
    <m/>
    <m/>
    <m/>
    <m/>
    <s v="28.58-0-1.2-ERW 1-PE"/>
    <s v="28.58-0-1.2-ERW 1-PE-0.595"/>
    <n v="1"/>
    <x v="9"/>
    <x v="9"/>
    <x v="0"/>
    <x v="1"/>
    <n v="595"/>
    <s v="NOS"/>
    <x v="4"/>
    <n v="0"/>
    <n v="10000"/>
    <n v="4.8187118868"/>
    <n v="0"/>
    <n v="4.8187118868"/>
    <n v="6701.195414578692"/>
    <n v="3.229113"/>
    <n v="9.712623000000001"/>
    <n v="4.96125672"/>
    <n v="0.3942572936744057"/>
  </r>
  <r>
    <n v="312"/>
    <s v="Hosur"/>
    <x v="23"/>
    <m/>
    <n v="941496"/>
    <n v="2256593"/>
    <s v="TUB-O-N-AUT-AW-FC-31.75X1.200X0.2100"/>
    <x v="0"/>
    <m/>
    <x v="1"/>
    <x v="0"/>
    <m/>
    <m/>
    <m/>
    <m/>
    <s v="31.75-0-1.2-ERW 1-FC"/>
    <s v="31.75-0-1.2-ERW 1-FC-0.21"/>
    <n v="1"/>
    <x v="12"/>
    <x v="13"/>
    <x v="0"/>
    <x v="1"/>
    <n v="210"/>
    <s v="NOS"/>
    <x v="6"/>
    <n v="0"/>
    <n v="5000"/>
    <n v="0.948813957"/>
    <n v="0"/>
    <n v="0.948813957"/>
    <n v="145.9190170829243"/>
    <n v="0.02769"/>
    <n v="1.94969"/>
    <n v="4.7910218868"/>
    <n v="0.005746348951854085"/>
  </r>
  <r>
    <n v="325"/>
    <s v="Hosur"/>
    <x v="23"/>
    <m/>
    <n v="941496"/>
    <n v="3507795"/>
    <s v="CUT-O-N-AUT-AW-PE-31.75X1.200X0.6570"/>
    <x v="0"/>
    <m/>
    <x v="3"/>
    <x v="1"/>
    <m/>
    <m/>
    <m/>
    <m/>
    <s v="31.75-0-1.2-ERW 1-"/>
    <m/>
    <m/>
    <x v="12"/>
    <x v="13"/>
    <x v="0"/>
    <x v="1"/>
    <n v="657"/>
    <m/>
    <x v="30"/>
    <e v="#N/A"/>
    <e v="#N/A"/>
    <n v="0"/>
    <e v="#N/A"/>
    <e v="#N/A"/>
    <e v="#DIV/0!"/>
    <n v="0"/>
    <n v="0"/>
    <n v="0.948813957"/>
    <e v="#N/A"/>
  </r>
  <r>
    <n v="329"/>
    <s v="Hosur"/>
    <x v="23"/>
    <m/>
    <n v="941496"/>
    <n v="3819143"/>
    <s v="CUT-O-N-AUT-AW-PE-31.75X1.200X0.6800"/>
    <x v="0"/>
    <m/>
    <x v="0"/>
    <x v="0"/>
    <m/>
    <m/>
    <m/>
    <m/>
    <s v="31.75-0-1.2-ERW 1-PE"/>
    <s v="31.75-0-1.2-ERW 1-PE-0.68"/>
    <n v="1"/>
    <x v="12"/>
    <x v="13"/>
    <x v="0"/>
    <x v="1"/>
    <n v="680"/>
    <s v="NOS"/>
    <x v="4"/>
    <n v="0"/>
    <n v="10000"/>
    <n v="6.144699911999999"/>
    <n v="0"/>
    <n v="6.144699911999999"/>
    <n v="149.3726322106517"/>
    <n v="0.09178500000000001"/>
    <n v="8.387784999999999"/>
    <n v="-0.09178500000000001"/>
    <e v="#DIV/0!"/>
  </r>
  <r>
    <n v="309"/>
    <s v="Hosur"/>
    <x v="23"/>
    <m/>
    <n v="941496"/>
    <n v="3715133"/>
    <s v="TUB-O-O-AUT-AW-FC-31.75X1.600X0.6580"/>
    <x v="0"/>
    <m/>
    <x v="1"/>
    <x v="1"/>
    <m/>
    <m/>
    <m/>
    <m/>
    <s v="31.75-0-1.6-ERW 1-FC"/>
    <s v="31.75-0-1.6-ERW 1-FC-0.658"/>
    <n v="1"/>
    <x v="12"/>
    <x v="13"/>
    <x v="0"/>
    <x v="0"/>
    <n v="658"/>
    <s v="NOS"/>
    <x v="49"/>
    <n v="1658"/>
    <n v="13342"/>
    <n v="11.7360987912"/>
    <n v="1.29723011972064"/>
    <n v="10.43886867147936"/>
    <n v="3855.201443423923"/>
    <n v="3.016335"/>
    <n v="11.043335"/>
    <n v="3.128364911999999"/>
    <n v="0.7019976860540689"/>
  </r>
  <r>
    <n v="319"/>
    <s v="Khopoli "/>
    <x v="23"/>
    <m/>
    <n v="941496"/>
    <n v="2412748"/>
    <s v="TUB-O-C-AUT-AD-FC-33.30X2.000X4.3000"/>
    <x v="2"/>
    <m/>
    <x v="2"/>
    <x v="1"/>
    <m/>
    <m/>
    <m/>
    <m/>
    <s v="33.3-29.3-2-CEW-CEW"/>
    <s v="33.3-29.3-2-CEW-CEW"/>
    <n v="2"/>
    <x v="38"/>
    <x v="48"/>
    <x v="18"/>
    <x v="3"/>
    <n v="1000"/>
    <s v="M"/>
    <x v="51"/>
    <n v="0"/>
    <n v="504"/>
    <n v="0.7776858096"/>
    <n v="0"/>
    <n v="0.7776858096"/>
    <n v="2729.050696053745"/>
    <n v="4.211"/>
    <n v="4.211"/>
    <n v="7.5250987912"/>
    <n v="0.3588074772476784"/>
  </r>
  <r>
    <n v="327"/>
    <s v="Hosur"/>
    <x v="23"/>
    <m/>
    <n v="941496"/>
    <n v="1903849"/>
    <s v="TUB-O-N-AUT-AW-FC-38.10X2.000X0.4320"/>
    <x v="0"/>
    <m/>
    <x v="1"/>
    <x v="1"/>
    <m/>
    <m/>
    <m/>
    <m/>
    <s v="38.1-0-2-ERW 1-FC"/>
    <s v="38.1-0-2-ERW 1-FC-0.432"/>
    <n v="1"/>
    <x v="14"/>
    <x v="24"/>
    <x v="0"/>
    <x v="3"/>
    <n v="432"/>
    <s v="NOS"/>
    <x v="3"/>
    <n v="0"/>
    <n v="8000"/>
    <n v="6.1504973568"/>
    <n v="0"/>
    <n v="6.1504973568"/>
    <n v="868.8559135940089"/>
    <n v="0.6679870000000001"/>
    <n v="52.918269"/>
    <n v="0.1096988095999999"/>
    <n v="0.8589419939957204"/>
  </r>
  <r>
    <n v="330"/>
    <s v="Hosur"/>
    <x v="23"/>
    <m/>
    <n v="941496"/>
    <n v="3516769"/>
    <s v="TUB-O-N-AUT-AW-FC-38.10X2.000X0.4940"/>
    <x v="0"/>
    <m/>
    <x v="1"/>
    <x v="1"/>
    <m/>
    <m/>
    <m/>
    <m/>
    <s v="38.1-0-2-ERW 1-FC"/>
    <m/>
    <m/>
    <x v="14"/>
    <x v="24"/>
    <x v="0"/>
    <x v="3"/>
    <n v="494"/>
    <m/>
    <x v="30"/>
    <e v="#N/A"/>
    <e v="#N/A"/>
    <n v="0"/>
    <e v="#N/A"/>
    <e v="#N/A"/>
    <e v="#DIV/0!"/>
    <n v="0"/>
    <n v="52.918269"/>
    <n v="6.1504973568"/>
    <e v="#N/A"/>
  </r>
  <r>
    <n v="331"/>
    <s v="Hosur"/>
    <x v="23"/>
    <m/>
    <n v="941496"/>
    <n v="1940743"/>
    <s v="TUB-O-O-AUT-AW-FC-38.10X2.000X0.8120"/>
    <x v="0"/>
    <m/>
    <x v="1"/>
    <x v="1"/>
    <m/>
    <m/>
    <m/>
    <m/>
    <s v="38.1-0-2-ERW 1-FC"/>
    <s v="38.1-0-2-ERW 1-FC-0.812"/>
    <n v="2"/>
    <x v="14"/>
    <x v="24"/>
    <x v="0"/>
    <x v="3"/>
    <n v="812"/>
    <s v="NOS"/>
    <x v="3"/>
    <n v="0"/>
    <n v="8000"/>
    <n v="11.5606570688"/>
    <n v="0"/>
    <n v="11.5606570688"/>
    <n v="394.2502552299218"/>
    <n v="0.569724"/>
    <n v="52.918269"/>
    <n v="-0.569724"/>
    <e v="#DIV/0!"/>
  </r>
  <r>
    <n v="318"/>
    <s v="Hosur"/>
    <x v="23"/>
    <m/>
    <n v="941496"/>
    <n v="2399718"/>
    <s v="TUB-O-N-AUT-AW-FC-40.00X1.200X0.4500"/>
    <x v="0"/>
    <m/>
    <x v="3"/>
    <x v="1"/>
    <m/>
    <m/>
    <m/>
    <m/>
    <s v="40-0-1.2-ERW 1-"/>
    <m/>
    <m/>
    <x v="45"/>
    <x v="15"/>
    <x v="0"/>
    <x v="1"/>
    <n v="450"/>
    <m/>
    <x v="30"/>
    <e v="#N/A"/>
    <e v="#N/A"/>
    <n v="0"/>
    <e v="#N/A"/>
    <e v="#N/A"/>
    <e v="#DIV/0!"/>
    <n v="0"/>
    <n v="0"/>
    <n v="11.5606570688"/>
    <e v="#N/A"/>
  </r>
  <r>
    <n v="305"/>
    <s v="Hosur"/>
    <x v="23"/>
    <m/>
    <n v="941496"/>
    <n v="1940821"/>
    <s v="TUB-R-AW-RHS-40.00X25.00X1.600X0.5130"/>
    <x v="0"/>
    <m/>
    <x v="3"/>
    <x v="1"/>
    <m/>
    <m/>
    <m/>
    <m/>
    <s v="40-25-1.6-ERW 1-"/>
    <m/>
    <m/>
    <x v="15"/>
    <x v="15"/>
    <x v="4"/>
    <x v="0"/>
    <n v="513"/>
    <m/>
    <x v="30"/>
    <e v="#N/A"/>
    <e v="#N/A"/>
    <n v="0"/>
    <e v="#N/A"/>
    <e v="#N/A"/>
    <e v="#DIV/0!"/>
    <n v="0"/>
    <n v="0"/>
    <n v="0"/>
    <e v="#N/A"/>
  </r>
  <r>
    <n v="306"/>
    <s v="Hosur"/>
    <x v="23"/>
    <m/>
    <n v="941496"/>
    <n v="1940822"/>
    <s v="TUB-R-AW-RHS-40.00X25.00X1.600X0.5360"/>
    <x v="0"/>
    <m/>
    <x v="3"/>
    <x v="1"/>
    <m/>
    <m/>
    <m/>
    <m/>
    <s v="40-25-1.6-ERW 1-"/>
    <m/>
    <m/>
    <x v="15"/>
    <x v="15"/>
    <x v="4"/>
    <x v="0"/>
    <n v="536"/>
    <m/>
    <x v="30"/>
    <e v="#N/A"/>
    <e v="#N/A"/>
    <n v="0"/>
    <e v="#N/A"/>
    <e v="#N/A"/>
    <e v="#DIV/0!"/>
    <n v="0"/>
    <n v="0"/>
    <n v="0"/>
    <e v="#N/A"/>
  </r>
  <r>
    <n v="317"/>
    <s v="Khopoli "/>
    <x v="23"/>
    <m/>
    <n v="945539"/>
    <m/>
    <s v="TUB-O-N-AUT-AN-FC-42.70X3.500X0.2080"/>
    <x v="0"/>
    <s v="Annealed"/>
    <x v="1"/>
    <x v="1"/>
    <m/>
    <s v="Chamferring"/>
    <m/>
    <m/>
    <s v="42.7-0-3.5-ERW 1-FC"/>
    <s v="42.7-0-3.5-ERW 1-FC-0.208"/>
    <n v="1"/>
    <x v="16"/>
    <x v="16"/>
    <x v="0"/>
    <x v="16"/>
    <n v="208"/>
    <s v="NOS"/>
    <x v="19"/>
    <n v="0"/>
    <n v="28000"/>
    <n v="19.6958524672"/>
    <n v="0"/>
    <n v="19.6958524672"/>
    <n v="9371.132542111245"/>
    <n v="6.591873"/>
    <n v="68.50834200000001"/>
    <n v="-6.591873"/>
    <e v="#DIV/0!"/>
  </r>
  <r>
    <n v="326"/>
    <s v="Hosur"/>
    <x v="23"/>
    <m/>
    <n v="941496"/>
    <n v="2325421"/>
    <s v="TUB-O-N-AUT-AW-FC-48.60X1.200X0.3360"/>
    <x v="0"/>
    <m/>
    <x v="1"/>
    <x v="0"/>
    <m/>
    <m/>
    <m/>
    <m/>
    <s v="48.6-0-1.2-ERW 1-FC"/>
    <s v="48.6-0-1.2-ERW 1-FC-0.336"/>
    <n v="1"/>
    <x v="18"/>
    <x v="17"/>
    <x v="0"/>
    <x v="1"/>
    <n v="336"/>
    <s v="NOS"/>
    <x v="49"/>
    <n v="0"/>
    <n v="15000"/>
    <n v="7.066257004800001"/>
    <n v="0"/>
    <n v="7.066257004800001"/>
    <n v="9.781699130536552"/>
    <n v="0.004607999999999999"/>
    <n v="7.151608"/>
    <n v="19.6912444672"/>
    <n v="0.0002339578856855177"/>
  </r>
  <r>
    <n v="583"/>
    <s v="Hosur"/>
    <x v="24"/>
    <m/>
    <n v="188595"/>
    <n v="3935312"/>
    <s v="CUT-O-N-AUT-AW-PE-15.88X1.220X0.1000"/>
    <x v="0"/>
    <m/>
    <x v="0"/>
    <x v="2"/>
    <m/>
    <m/>
    <m/>
    <m/>
    <s v="15.88-0-1.2-ERW 1-PE"/>
    <s v="15.88-0-1.2-ERW 1-PE-0.1"/>
    <n v="1"/>
    <x v="1"/>
    <x v="1"/>
    <x v="0"/>
    <x v="1"/>
    <n v="100"/>
    <s v="NOS"/>
    <x v="13"/>
    <n v="1000"/>
    <n v="10000"/>
    <n v="0.4776384624"/>
    <n v="0.0434216784"/>
    <n v="0.434216784"/>
    <n v="11045.68081366473"/>
    <n v="0.479622"/>
    <n v="3.154755"/>
    <m/>
    <m/>
  </r>
  <r>
    <n v="582"/>
    <s v="Hosur"/>
    <x v="24"/>
    <m/>
    <n v="188595"/>
    <n v="3929691"/>
    <s v="CUT-O-N-AUT-AW-PE-19.05X1.200X0.2000"/>
    <x v="5"/>
    <m/>
    <x v="0"/>
    <x v="2"/>
    <m/>
    <m/>
    <m/>
    <m/>
    <s v="19.05-0-1.2-CRFH-PE"/>
    <s v="19.05-0-1.2-CRFH-PE-0.2"/>
    <n v="2"/>
    <x v="2"/>
    <x v="2"/>
    <x v="0"/>
    <x v="1"/>
    <n v="200"/>
    <s v="NOS"/>
    <x v="78"/>
    <n v="0"/>
    <n v="22000"/>
    <n v="2.323118952"/>
    <n v="0"/>
    <n v="2.323118952"/>
    <n v="0"/>
    <n v="0"/>
    <n v="0.219301"/>
    <m/>
    <m/>
  </r>
  <r>
    <n v="581"/>
    <s v="Hosur"/>
    <x v="24"/>
    <m/>
    <n v="188595"/>
    <n v="3935313"/>
    <s v="CUT-O-N-AUT-AW-PE-19.05X1.200X33.0000"/>
    <x v="5"/>
    <m/>
    <x v="0"/>
    <x v="2"/>
    <m/>
    <m/>
    <m/>
    <m/>
    <s v="19.05-0-1.2-CRFH-PE"/>
    <s v="19.05-0-1.2-CRFH-PE-0.33"/>
    <n v="1"/>
    <x v="2"/>
    <x v="2"/>
    <x v="0"/>
    <x v="1"/>
    <n v="330"/>
    <s v="NOS"/>
    <x v="79"/>
    <n v="0"/>
    <n v="5500"/>
    <n v="0.9582865677000001"/>
    <n v="0"/>
    <n v="0.9582865677000001"/>
    <n v="0"/>
    <n v="0"/>
    <n v="0.219301"/>
    <m/>
    <m/>
  </r>
  <r>
    <n v="580"/>
    <s v="Hosur"/>
    <x v="24"/>
    <m/>
    <n v="188595"/>
    <n v="3929540"/>
    <s v="CUT-O-N-AUT-AW-PE-19.05X1.200X0.6820"/>
    <x v="5"/>
    <m/>
    <x v="0"/>
    <x v="2"/>
    <m/>
    <m/>
    <m/>
    <m/>
    <s v="19.05-0-1.2-CRFH-PE"/>
    <s v="19.05-0-1.2-CRFH-PE-0.682"/>
    <n v="1"/>
    <x v="2"/>
    <x v="2"/>
    <x v="0"/>
    <x v="1"/>
    <n v="682"/>
    <s v="NOS"/>
    <x v="13"/>
    <n v="0"/>
    <n v="11000"/>
    <n v="3.96091781316"/>
    <n v="0"/>
    <n v="3.96091781316"/>
    <n v="0"/>
    <n v="0"/>
    <n v="0.219301"/>
    <m/>
    <m/>
  </r>
  <r>
    <n v="579"/>
    <s v="Hosur"/>
    <x v="24"/>
    <m/>
    <n v="188595"/>
    <n v="3929692"/>
    <s v="CUT-O-N-AUT-AW-PE-19.05X1.200X1.2300"/>
    <x v="5"/>
    <m/>
    <x v="0"/>
    <x v="2"/>
    <m/>
    <m/>
    <m/>
    <m/>
    <s v="19.05-0-1.2-CRFH-PE"/>
    <s v="19.05-0-1.2-CRFH-PE-1.23"/>
    <n v="1"/>
    <x v="2"/>
    <x v="2"/>
    <x v="0"/>
    <x v="1"/>
    <n v="1230"/>
    <s v="NOS"/>
    <x v="79"/>
    <n v="500"/>
    <n v="5000"/>
    <n v="3.5717953887"/>
    <n v="0.3247086717"/>
    <n v="3.247086717"/>
    <n v="220.1681267879733"/>
    <n v="0.142981"/>
    <n v="0.219301"/>
    <m/>
    <m/>
  </r>
  <r>
    <n v="573"/>
    <s v="Hosur"/>
    <x v="24"/>
    <m/>
    <n v="188595"/>
    <n v="3931834"/>
    <s v="HT1-R-AW-AUT-19.00X19.00X1.000X0.1000"/>
    <x v="5"/>
    <m/>
    <x v="0"/>
    <x v="2"/>
    <m/>
    <m/>
    <m/>
    <m/>
    <s v="19-19-1-CRFH-PE"/>
    <s v="19-19-1-CRFH-PE-0.1"/>
    <n v="2"/>
    <x v="23"/>
    <x v="22"/>
    <x v="8"/>
    <x v="2"/>
    <n v="100"/>
    <s v="NOS"/>
    <x v="13"/>
    <n v="1000"/>
    <n v="10000"/>
    <n v="0.607893638"/>
    <n v="0.055263058"/>
    <n v="0.55263058"/>
    <n v="7447.162985443188"/>
    <n v="0.411553"/>
    <n v="57.050425"/>
    <m/>
    <m/>
  </r>
  <r>
    <n v="572"/>
    <s v="Hosur"/>
    <x v="24"/>
    <m/>
    <n v="188595"/>
    <n v="3931835"/>
    <s v="CUT-R-AW-AUT-19.00X19.00X1.000X0.1100"/>
    <x v="5"/>
    <m/>
    <x v="0"/>
    <x v="2"/>
    <m/>
    <m/>
    <m/>
    <m/>
    <s v="19-19-1-CRFH-PE"/>
    <s v="19-19-1-CRFH-PE-0.11"/>
    <n v="2"/>
    <x v="23"/>
    <x v="22"/>
    <x v="8"/>
    <x v="2"/>
    <n v="110"/>
    <s v="NOS"/>
    <x v="13"/>
    <n v="1000"/>
    <n v="10000"/>
    <n v="0.6686830018000001"/>
    <n v="0.06078936380000001"/>
    <n v="0.6078936380000001"/>
    <n v="1044.360329364065"/>
    <n v="0.063486"/>
    <n v="57.050425"/>
    <m/>
    <m/>
  </r>
  <r>
    <n v="571"/>
    <s v="Hosur"/>
    <x v="24"/>
    <m/>
    <n v="188595"/>
    <n v="3938687"/>
    <s v="TUB-S-AW-AUT-19.00X19.00X1.000X0.1290"/>
    <x v="5"/>
    <m/>
    <x v="0"/>
    <x v="2"/>
    <m/>
    <m/>
    <m/>
    <m/>
    <s v="19-19-1-CRFH-PE"/>
    <s v="19-19-1-CRFH-PE-0.129"/>
    <n v="2"/>
    <x v="23"/>
    <x v="22"/>
    <x v="8"/>
    <x v="2"/>
    <n v="129"/>
    <s v="NOS"/>
    <x v="13"/>
    <n v="1000"/>
    <n v="10000"/>
    <n v="0.7841827930200002"/>
    <n v="0.07128934482000002"/>
    <n v="0.7128934482000001"/>
    <n v="2344.586002607058"/>
    <n v="0.167144"/>
    <n v="57.050425"/>
    <m/>
    <m/>
  </r>
  <r>
    <n v="570"/>
    <s v="Hosur"/>
    <x v="24"/>
    <m/>
    <n v="188595"/>
    <n v="3230486"/>
    <s v="TUB-S-AW-AUT-19.00X19.00X1.000X0.1500"/>
    <x v="5"/>
    <m/>
    <x v="0"/>
    <x v="2"/>
    <m/>
    <m/>
    <m/>
    <m/>
    <s v="19-19-1-CRFH-PE"/>
    <s v="19-19-1-CRFH-PE-0.15"/>
    <n v="1"/>
    <x v="23"/>
    <x v="22"/>
    <x v="8"/>
    <x v="2"/>
    <n v="150"/>
    <s v="NOS"/>
    <x v="78"/>
    <n v="2000"/>
    <n v="20000"/>
    <n v="1.823680914000001"/>
    <n v="0.165789174"/>
    <n v="1.657891740000001"/>
    <n v="2398.564335690579"/>
    <n v="0.198828"/>
    <n v="57.050425"/>
    <m/>
    <m/>
  </r>
  <r>
    <n v="569"/>
    <s v="Hosur"/>
    <x v="24"/>
    <m/>
    <n v="188595"/>
    <n v="3230490"/>
    <s v="TUB-S-AW-AUT-19.00X19.00X1.000X0.3550"/>
    <x v="5"/>
    <m/>
    <x v="0"/>
    <x v="2"/>
    <m/>
    <m/>
    <m/>
    <m/>
    <s v="19-19-1-CRFH-PE"/>
    <s v="19-19-1-CRFH-PE-0.355"/>
    <n v="1"/>
    <x v="23"/>
    <x v="22"/>
    <x v="8"/>
    <x v="2"/>
    <n v="355"/>
    <s v="NOS"/>
    <x v="13"/>
    <n v="1000"/>
    <n v="10000"/>
    <n v="2.1580224149"/>
    <n v="0.1961838559"/>
    <n v="1.961838559"/>
    <n v="516.6021410633309"/>
    <n v="0.101349"/>
    <n v="57.050425"/>
    <m/>
    <m/>
  </r>
  <r>
    <n v="568"/>
    <s v="Hosur"/>
    <x v="24"/>
    <m/>
    <n v="188595"/>
    <n v="3230487"/>
    <s v="TUB-S-AW-AUT-19.00X19.00X1.000X0.4000"/>
    <x v="5"/>
    <m/>
    <x v="0"/>
    <x v="2"/>
    <m/>
    <m/>
    <m/>
    <m/>
    <s v="19-19-1-CRFH-PE"/>
    <s v="19-19-1-CRFH-PE-0.4"/>
    <n v="1"/>
    <x v="23"/>
    <x v="22"/>
    <x v="8"/>
    <x v="2"/>
    <n v="400"/>
    <s v="NOS"/>
    <x v="78"/>
    <n v="3000"/>
    <n v="19000"/>
    <n v="4.863149104"/>
    <n v="0.663156696"/>
    <n v="4.199992408"/>
    <n v="4132.208898030942"/>
    <n v="0.913434"/>
    <n v="57.050425"/>
    <m/>
    <m/>
  </r>
  <r>
    <n v="567"/>
    <s v="Hosur"/>
    <x v="24"/>
    <m/>
    <n v="188595"/>
    <n v="3230488"/>
    <s v="TUB-S-AW-AUT-19.00X19.00X1.000X0.4700"/>
    <x v="5"/>
    <m/>
    <x v="0"/>
    <x v="2"/>
    <m/>
    <m/>
    <m/>
    <m/>
    <s v="19-19-1-CRFH-PE"/>
    <s v="19-19-1-CRFH-PE-0.47"/>
    <n v="1"/>
    <x v="23"/>
    <x v="22"/>
    <x v="8"/>
    <x v="2"/>
    <n v="470"/>
    <s v="NOS"/>
    <x v="13"/>
    <n v="1000"/>
    <n v="10000"/>
    <n v="2.8571000986"/>
    <n v="0.2597363726"/>
    <n v="2.597363726"/>
    <n v="859.8718684038479"/>
    <n v="0.22334"/>
    <n v="57.050425"/>
    <m/>
    <m/>
  </r>
  <r>
    <n v="566"/>
    <s v="Hosur"/>
    <x v="24"/>
    <m/>
    <n v="188595"/>
    <n v="3931836"/>
    <s v="CUT-R-AW-AUT-19.00X19.00X1.000X0.8000"/>
    <x v="5"/>
    <m/>
    <x v="0"/>
    <x v="2"/>
    <m/>
    <m/>
    <m/>
    <m/>
    <s v="19-19-1-CRFH-PE"/>
    <s v="19-19-1-CRFH-PE-0.8"/>
    <n v="2"/>
    <x v="23"/>
    <x v="22"/>
    <x v="8"/>
    <x v="2"/>
    <n v="800"/>
    <s v="NOS"/>
    <x v="13"/>
    <n v="1000"/>
    <n v="10000"/>
    <n v="4.863149104"/>
    <n v="0.442104464"/>
    <n v="4.42104464"/>
    <n v="687.8691005481456"/>
    <n v="0.30411"/>
    <n v="57.050425"/>
    <m/>
    <m/>
  </r>
  <r>
    <n v="565"/>
    <s v="Hosur"/>
    <x v="24"/>
    <m/>
    <n v="188595"/>
    <n v="3230485"/>
    <s v="TUB-S-AW-AUT-19.00X19.00X1.000X0.8400"/>
    <x v="5"/>
    <m/>
    <x v="0"/>
    <x v="2"/>
    <m/>
    <m/>
    <m/>
    <m/>
    <s v="19-19-1-CRFH-PE"/>
    <s v="19-19-1-CRFH-PE-0.84"/>
    <n v="1"/>
    <x v="23"/>
    <x v="22"/>
    <x v="8"/>
    <x v="2"/>
    <n v="840"/>
    <s v="NOS"/>
    <x v="13"/>
    <n v="1000"/>
    <n v="10000"/>
    <n v="5.1063065592"/>
    <n v="0.4642096872000001"/>
    <n v="4.642096872"/>
    <n v="3559.124347373162"/>
    <n v="1.65218"/>
    <n v="57.050425"/>
    <m/>
    <m/>
  </r>
  <r>
    <n v="564"/>
    <s v="Hosur"/>
    <x v="24"/>
    <m/>
    <n v="188595"/>
    <n v="3233560"/>
    <s v="TUB-S-AW-AUT-19.00X19.00X1.000X0.8750"/>
    <x v="5"/>
    <m/>
    <x v="0"/>
    <x v="2"/>
    <m/>
    <m/>
    <m/>
    <m/>
    <s v="19-19-1-CRFH-PE"/>
    <s v="19-19-1-CRFH-PE-0.875"/>
    <n v="1"/>
    <x v="23"/>
    <x v="22"/>
    <x v="8"/>
    <x v="2"/>
    <n v="875"/>
    <s v="NOS"/>
    <x v="13"/>
    <n v="1000"/>
    <n v="10000"/>
    <n v="5.3190693325"/>
    <n v="0.4835517575"/>
    <n v="4.835517575"/>
    <n v="4726.848707607065"/>
    <n v="2.285676"/>
    <n v="57.050425"/>
    <m/>
    <m/>
  </r>
  <r>
    <n v="563"/>
    <s v="Hosur"/>
    <x v="24"/>
    <m/>
    <n v="188595"/>
    <n v="3230492"/>
    <s v="TUB-S-AW-AUT-19.00X19.00X1.000X0.8800"/>
    <x v="5"/>
    <m/>
    <x v="0"/>
    <x v="2"/>
    <m/>
    <m/>
    <m/>
    <m/>
    <s v="19-19-1-CRFH-PE"/>
    <s v="19-19-1-CRFH-PE-0.88"/>
    <n v="1"/>
    <x v="23"/>
    <x v="22"/>
    <x v="8"/>
    <x v="2"/>
    <n v="880"/>
    <s v="NOS"/>
    <x v="13"/>
    <n v="1000"/>
    <n v="10000"/>
    <n v="5.349464014400001"/>
    <n v="0.4863149104000001"/>
    <n v="4.863149104000001"/>
    <n v="3399.030061900401"/>
    <n v="1.652999"/>
    <n v="57.050425"/>
    <m/>
    <m/>
  </r>
  <r>
    <n v="562"/>
    <s v="Hosur"/>
    <x v="24"/>
    <m/>
    <n v="188595"/>
    <n v="3931837"/>
    <s v="CUT-R-AW-AUT-19.00X19.00X1.000X1.1500"/>
    <x v="5"/>
    <m/>
    <x v="0"/>
    <x v="2"/>
    <m/>
    <m/>
    <m/>
    <m/>
    <s v="19-19-1-CRFH-PE"/>
    <s v="19-19-1-CRFH-PE-1.15"/>
    <n v="2"/>
    <x v="23"/>
    <x v="22"/>
    <x v="8"/>
    <x v="2"/>
    <n v="1150"/>
    <s v="NOS"/>
    <x v="79"/>
    <n v="500"/>
    <n v="5000"/>
    <n v="3.4953884185"/>
    <n v="0.3177625835"/>
    <n v="3.177625835"/>
    <n v="64.46007511139209"/>
    <n v="0.040966"/>
    <n v="57.050425"/>
    <m/>
    <m/>
  </r>
  <r>
    <n v="561"/>
    <s v="Hosur"/>
    <x v="24"/>
    <m/>
    <n v="188595"/>
    <n v="3572038"/>
    <s v="TUB-S-AW-AUT-19.00X19.00X1.000X1.2460"/>
    <x v="5"/>
    <m/>
    <x v="0"/>
    <x v="2"/>
    <m/>
    <m/>
    <m/>
    <m/>
    <s v="19-19-1-CRFH-PE"/>
    <s v="19-19-1-CRFH-PE-1.246"/>
    <n v="1"/>
    <x v="23"/>
    <x v="22"/>
    <x v="8"/>
    <x v="2"/>
    <n v="1246"/>
    <s v="NOS"/>
    <x v="79"/>
    <n v="500"/>
    <n v="5000"/>
    <n v="3.78717736474"/>
    <n v="0.3442888513399999"/>
    <n v="3.4428885134"/>
    <n v="206.0769604471852"/>
    <n v="0.1419"/>
    <n v="57.050425"/>
    <m/>
    <m/>
  </r>
  <r>
    <n v="575"/>
    <s v="Hosur"/>
    <x v="24"/>
    <m/>
    <n v="188595"/>
    <n v="3230482"/>
    <s v="TUB-S-AW-AUT-25.00X25.00X1.200X0.7870"/>
    <x v="5"/>
    <m/>
    <x v="0"/>
    <x v="2"/>
    <m/>
    <m/>
    <m/>
    <m/>
    <s v="25-25-1.2-CRFH-PE"/>
    <s v="25-25-1.2-CRFH-PE-0.787"/>
    <n v="1"/>
    <x v="12"/>
    <x v="12"/>
    <x v="4"/>
    <x v="1"/>
    <n v="787"/>
    <s v="NOS"/>
    <x v="13"/>
    <n v="1000"/>
    <n v="10000"/>
    <n v="7.822745167380001"/>
    <n v="0.71115865158"/>
    <n v="7.111586515800001"/>
    <n v="124.2816912986081"/>
    <n v="0.08838399999999999"/>
    <n v="7.503437000000001"/>
    <m/>
    <m/>
  </r>
  <r>
    <n v="574"/>
    <s v="Hosur"/>
    <x v="24"/>
    <m/>
    <n v="188595"/>
    <n v="3935311"/>
    <s v="CUT-S-AW-AUT-25.00X25.00X1.200X1.2980"/>
    <x v="5"/>
    <m/>
    <x v="0"/>
    <x v="2"/>
    <m/>
    <m/>
    <m/>
    <m/>
    <s v="25-25-1.2-CRFH-PE"/>
    <s v="25-25-1.2-CRFH-PE-1.298"/>
    <n v="2"/>
    <x v="12"/>
    <x v="12"/>
    <x v="4"/>
    <x v="1"/>
    <n v="1298"/>
    <s v="NOS"/>
    <x v="79"/>
    <n v="500"/>
    <n v="5000"/>
    <n v="6.451031275259999"/>
    <n v="0.58645738866"/>
    <n v="5.864573886599999"/>
    <n v="323.4420840590182"/>
    <n v="0.37937"/>
    <n v="7.503437000000001"/>
    <m/>
    <m/>
  </r>
  <r>
    <n v="578"/>
    <s v="Hosur"/>
    <x v="24"/>
    <m/>
    <n v="188595"/>
    <n v="3230495"/>
    <s v="TUB-S-AW-AUT-30.00X30.00X1.200X0.2200"/>
    <x v="5"/>
    <m/>
    <x v="0"/>
    <x v="2"/>
    <m/>
    <m/>
    <m/>
    <m/>
    <s v="30-30-1.2-CRFH-PE"/>
    <s v="30-30-1.2-CRFH-PE-0.22"/>
    <n v="1"/>
    <x v="14"/>
    <x v="23"/>
    <x v="1"/>
    <x v="1"/>
    <n v="220"/>
    <s v="NOS"/>
    <x v="13"/>
    <n v="1000"/>
    <n v="10000"/>
    <n v="2.6413276824"/>
    <n v="0.2401206984"/>
    <n v="2.401206984"/>
    <n v="2636.649002849977"/>
    <n v="0.633114"/>
    <n v="1.5546"/>
    <m/>
    <m/>
  </r>
  <r>
    <n v="560"/>
    <s v="Hosur"/>
    <x v="24"/>
    <m/>
    <n v="188595"/>
    <n v="3233559"/>
    <s v="TUB-R-AW-AUT-40.00X20.00X1.210X0.1200"/>
    <x v="5"/>
    <m/>
    <x v="0"/>
    <x v="2"/>
    <m/>
    <m/>
    <m/>
    <m/>
    <s v="40-20-1.2-CRFH-PE"/>
    <s v="40-20-1.2-CRFH-PE-0.12"/>
    <n v="2"/>
    <x v="14"/>
    <x v="15"/>
    <x v="5"/>
    <x v="1"/>
    <n v="120"/>
    <s v="NOS"/>
    <x v="13"/>
    <n v="1000"/>
    <n v="10000"/>
    <n v="1.4407241904"/>
    <n v="0.1309749264"/>
    <n v="1.309749264"/>
    <n v="2298.684246483379"/>
    <n v="0.30107"/>
    <n v="48.54494999999999"/>
    <m/>
    <m/>
  </r>
  <r>
    <n v="559"/>
    <s v="Hosur"/>
    <x v="24"/>
    <m/>
    <n v="188595"/>
    <n v="3584171"/>
    <s v="TUB-R-AW-RHS-40.00X20.00X1.200X0.1300"/>
    <x v="5"/>
    <m/>
    <x v="0"/>
    <x v="2"/>
    <m/>
    <m/>
    <m/>
    <m/>
    <s v="40-20-1.2-CRFH-PE"/>
    <s v="40-20-1.2-CRFH-PE-0.13"/>
    <n v="1"/>
    <x v="14"/>
    <x v="15"/>
    <x v="5"/>
    <x v="1"/>
    <n v="130"/>
    <s v="NOS"/>
    <x v="13"/>
    <n v="1000"/>
    <n v="10000"/>
    <n v="1.5607845396"/>
    <n v="0.1418895036"/>
    <n v="1.418895035999999"/>
    <n v="2156.628871312791"/>
    <n v="0.306003"/>
    <n v="48.54494999999999"/>
    <m/>
    <m/>
  </r>
  <r>
    <n v="558"/>
    <s v="Hosur"/>
    <x v="24"/>
    <m/>
    <n v="188595"/>
    <n v="3233557"/>
    <s v="TUB-R-AW-AUT-40.00X20.00X1.210X0.8000"/>
    <x v="5"/>
    <m/>
    <x v="0"/>
    <x v="2"/>
    <m/>
    <m/>
    <m/>
    <m/>
    <s v="40-20-1.2-CRFH-PE"/>
    <s v="40-20-1.2-CRFH-PE-0.8"/>
    <n v="1"/>
    <x v="14"/>
    <x v="15"/>
    <x v="5"/>
    <x v="1"/>
    <n v="800"/>
    <s v="NOS"/>
    <x v="13"/>
    <n v="1000"/>
    <n v="10000"/>
    <n v="9.604827936"/>
    <n v="0.873166176"/>
    <n v="8.73166176"/>
    <n v="3083.739469083604"/>
    <n v="2.692617"/>
    <n v="48.54494999999999"/>
    <m/>
    <m/>
  </r>
  <r>
    <n v="557"/>
    <s v="Hosur"/>
    <x v="24"/>
    <m/>
    <n v="188595"/>
    <n v="3233556"/>
    <s v="TUB-R-AW-AUT-40.00X20.00X1.210X0.9400"/>
    <x v="5"/>
    <m/>
    <x v="0"/>
    <x v="2"/>
    <m/>
    <m/>
    <m/>
    <m/>
    <s v="40-20-1.2-CRFH-PE"/>
    <s v="40-20-1.2-CRFH-PE-0.94"/>
    <n v="1"/>
    <x v="14"/>
    <x v="15"/>
    <x v="5"/>
    <x v="1"/>
    <n v="940"/>
    <s v="NOS"/>
    <x v="78"/>
    <n v="2000"/>
    <n v="20000"/>
    <n v="22.5713456496"/>
    <n v="2.0519405136"/>
    <n v="20.519405136"/>
    <n v="2865.903743809194"/>
    <n v="2.940332"/>
    <n v="48.54494999999999"/>
    <m/>
    <m/>
  </r>
  <r>
    <n v="556"/>
    <s v="Hosur"/>
    <x v="24"/>
    <m/>
    <n v="188595"/>
    <n v="3233555"/>
    <s v="TUB-R-AW-AUT-40.00X20.00X1.210X1.1200"/>
    <x v="5"/>
    <m/>
    <x v="0"/>
    <x v="2"/>
    <m/>
    <m/>
    <m/>
    <m/>
    <s v="40-20-1.2-CRFH-PE"/>
    <s v="40-20-1.2-CRFH-PE-1.12"/>
    <n v="2"/>
    <x v="14"/>
    <x v="15"/>
    <x v="5"/>
    <x v="1"/>
    <n v="1120"/>
    <s v="NOS"/>
    <x v="78"/>
    <n v="2000"/>
    <n v="20000"/>
    <n v="26.89351822079999"/>
    <n v="2.444865292799999"/>
    <n v="24.44865292799999"/>
    <n v="3026.442406373221"/>
    <n v="3.699622"/>
    <n v="48.54494999999999"/>
    <m/>
    <m/>
  </r>
  <r>
    <n v="555"/>
    <s v="Hosur"/>
    <x v="24"/>
    <m/>
    <n v="188595"/>
    <n v="3233554"/>
    <s v="TUB-R-AW-AUT-40.00X20.00X1.210X1.2460"/>
    <x v="5"/>
    <m/>
    <x v="0"/>
    <x v="2"/>
    <m/>
    <m/>
    <m/>
    <m/>
    <s v="40-20-1.2-CRFH-PE"/>
    <s v="40-20-1.2-CRFH-PE-1.246"/>
    <n v="2"/>
    <x v="14"/>
    <x v="15"/>
    <x v="5"/>
    <x v="1"/>
    <n v="1246"/>
    <s v="NOS"/>
    <x v="79"/>
    <n v="500"/>
    <n v="5000"/>
    <n v="7.479759755159999"/>
    <n v="0.67997815956"/>
    <n v="6.799781595599999"/>
    <n v="1819.062836959922"/>
    <n v="2.473846"/>
    <n v="48.54494999999999"/>
    <m/>
    <m/>
  </r>
  <r>
    <n v="554"/>
    <s v="Hosur"/>
    <x v="24"/>
    <m/>
    <n v="188595"/>
    <n v="1940801"/>
    <s v="TUB-R-AW-RHS-40.00X20.00X1.210X1.3100"/>
    <x v="5"/>
    <m/>
    <x v="0"/>
    <x v="2"/>
    <m/>
    <m/>
    <m/>
    <m/>
    <s v="40-20-1.2-CRFH-PE"/>
    <s v="40-20-1.2-CRFH-PE-1.31"/>
    <n v="1"/>
    <x v="14"/>
    <x v="15"/>
    <x v="5"/>
    <x v="1"/>
    <n v="1310"/>
    <s v="NOS"/>
    <x v="80"/>
    <n v="1500"/>
    <n v="15000"/>
    <n v="23.5918586178"/>
    <n v="2.1447144198"/>
    <n v="21.447144198"/>
    <n v="911.3346196377358"/>
    <n v="1.303035"/>
    <n v="48.54494999999999"/>
    <m/>
    <m/>
  </r>
  <r>
    <n v="577"/>
    <s v="Hosur"/>
    <x v="24"/>
    <m/>
    <n v="188595"/>
    <n v="1940849"/>
    <s v="TUB-S-AW-SHS-40.00X40.00X1.200X0.1250"/>
    <x v="5"/>
    <m/>
    <x v="0"/>
    <x v="2"/>
    <m/>
    <m/>
    <m/>
    <m/>
    <s v="40-40-1.2-CRFH-PE"/>
    <s v="40-40-1.2-CRFH-PE-0.125"/>
    <n v="1"/>
    <x v="4"/>
    <x v="15"/>
    <x v="11"/>
    <x v="1"/>
    <n v="125"/>
    <s v="NOS"/>
    <x v="13"/>
    <n v="1000"/>
    <n v="10000"/>
    <n v="2.01727416"/>
    <n v="0.18338856"/>
    <n v="1.8338856"/>
    <n v="2574.511736173728"/>
    <n v="0.472136"/>
    <n v="13.794447"/>
    <m/>
    <m/>
  </r>
  <r>
    <n v="576"/>
    <s v="Hosur"/>
    <x v="24"/>
    <m/>
    <n v="188595"/>
    <n v="1940850"/>
    <s v="TUB-S-AW-SHS-40.00X40.00X1.200X0.1400"/>
    <x v="5"/>
    <m/>
    <x v="0"/>
    <x v="2"/>
    <m/>
    <m/>
    <m/>
    <m/>
    <s v="40-40-1.2-CRFH-PE"/>
    <s v="40-40-1.2-CRFH-PE-0.14"/>
    <n v="1"/>
    <x v="4"/>
    <x v="15"/>
    <x v="11"/>
    <x v="1"/>
    <n v="140"/>
    <s v="NOS"/>
    <x v="13"/>
    <n v="1000"/>
    <n v="10000"/>
    <n v="2.2593470592"/>
    <n v="0.2053951872"/>
    <n v="2.053951872"/>
    <n v="1178.791009179012"/>
    <n v="0.242118"/>
    <n v="13.794447"/>
    <m/>
    <m/>
  </r>
  <r>
    <n v="553"/>
    <s v="Hosur"/>
    <x v="25"/>
    <m/>
    <n v="188595"/>
    <n v="3929691"/>
    <s v="CUT-O-N-AUT-AW-PE-19.05X1.200X0.2000"/>
    <x v="5"/>
    <m/>
    <x v="0"/>
    <x v="2"/>
    <m/>
    <m/>
    <m/>
    <m/>
    <s v="19.05-0-1.2-CRFH-PE"/>
    <s v="19.05-0-1.2-CRFH-PE-0.2"/>
    <n v="2"/>
    <x v="2"/>
    <x v="2"/>
    <x v="0"/>
    <x v="1"/>
    <n v="200"/>
    <s v="NOS"/>
    <x v="12"/>
    <n v="0"/>
    <n v="6000"/>
    <n v="0.633577896"/>
    <n v="0"/>
    <n v="0.633577896"/>
    <n v="0"/>
    <n v="0"/>
    <n v="0.219301"/>
    <m/>
    <m/>
  </r>
  <r>
    <n v="552"/>
    <s v="Hosur"/>
    <x v="25"/>
    <m/>
    <n v="188595"/>
    <n v="3938681"/>
    <s v="TUB-O-N-AUT-AW-PE-19.05X1.200X0.2200"/>
    <x v="5"/>
    <m/>
    <x v="0"/>
    <x v="2"/>
    <m/>
    <m/>
    <m/>
    <m/>
    <s v="19.05-0-1.2-CRFH-PE"/>
    <s v="19.05-0-1.2-CRFH-PE-0.22"/>
    <n v="1"/>
    <x v="2"/>
    <x v="2"/>
    <x v="0"/>
    <x v="1"/>
    <n v="220"/>
    <s v="NOS"/>
    <x v="1"/>
    <n v="0"/>
    <n v="1500"/>
    <n v="0.1742339214"/>
    <n v="0"/>
    <n v="0.1742339214"/>
    <n v="46.4633977984955"/>
    <n v="0.005397"/>
    <n v="0.219301"/>
    <m/>
    <m/>
  </r>
  <r>
    <n v="551"/>
    <s v="Hosur"/>
    <x v="25"/>
    <m/>
    <n v="188595"/>
    <n v="3938682"/>
    <s v="TUB-O-N-AUT-AW-PE-19.05X1.200X0.3200"/>
    <x v="5"/>
    <m/>
    <x v="0"/>
    <x v="2"/>
    <m/>
    <m/>
    <m/>
    <m/>
    <s v="19.05-0-1.2-CRFH-PE"/>
    <s v="19.05-0-1.2-CRFH-PE-0.32"/>
    <n v="1"/>
    <x v="2"/>
    <x v="2"/>
    <x v="0"/>
    <x v="1"/>
    <n v="320"/>
    <s v="NOS"/>
    <x v="1"/>
    <n v="0"/>
    <n v="1500"/>
    <n v="0.2534311584"/>
    <n v="0"/>
    <n v="0.2534311584"/>
    <n v="311.8006503181417"/>
    <n v="0.05268"/>
    <n v="0.219301"/>
    <m/>
    <m/>
  </r>
  <r>
    <n v="550"/>
    <s v="Hosur"/>
    <x v="25"/>
    <m/>
    <n v="188595"/>
    <n v="3938683"/>
    <s v="TUB-O-N-AUT-AW-PE-19.05X1.200X0.3770"/>
    <x v="5"/>
    <m/>
    <x v="0"/>
    <x v="2"/>
    <m/>
    <m/>
    <m/>
    <m/>
    <s v="19.05-0-1.2-CRFH-PE"/>
    <s v="19.05-0-1.2-CRFH-PE-0.377"/>
    <n v="1"/>
    <x v="2"/>
    <x v="2"/>
    <x v="0"/>
    <x v="1"/>
    <n v="377"/>
    <s v="NOS"/>
    <x v="1"/>
    <n v="0"/>
    <n v="1500"/>
    <n v="0.29857358349"/>
    <n v="0"/>
    <n v="0.29857358349"/>
    <n v="91.65077392359632"/>
    <n v="0.018243"/>
    <n v="0.219301"/>
    <m/>
    <m/>
  </r>
  <r>
    <n v="549"/>
    <s v="Hosur"/>
    <x v="25"/>
    <m/>
    <n v="188595"/>
    <n v="3929692"/>
    <s v="CUT-O-N-AUT-AW-PE-19.05X1.200X1.2300"/>
    <x v="5"/>
    <m/>
    <x v="0"/>
    <x v="2"/>
    <m/>
    <m/>
    <m/>
    <m/>
    <s v="19.05-0-1.2-CRFH-PE"/>
    <s v="19.05-0-1.2-CRFH-PE-1.23"/>
    <n v="1"/>
    <x v="2"/>
    <x v="2"/>
    <x v="0"/>
    <x v="1"/>
    <n v="1230"/>
    <s v="NOS"/>
    <x v="1"/>
    <n v="500"/>
    <n v="1000"/>
    <n v="0.9741260151"/>
    <n v="0.3247086717"/>
    <n v="0.6494173433999999"/>
    <n v="220.1681267879733"/>
    <n v="0.142981"/>
    <n v="0.219301"/>
    <m/>
    <m/>
  </r>
  <r>
    <n v="544"/>
    <s v="Hosur"/>
    <x v="25"/>
    <m/>
    <n v="188595"/>
    <n v="3931834"/>
    <s v="HT1-R-AW-AUT-19.00X19.00X1.000X0.1000"/>
    <x v="5"/>
    <m/>
    <x v="0"/>
    <x v="2"/>
    <m/>
    <m/>
    <m/>
    <m/>
    <s v="19-19-1-CRFH-PE"/>
    <s v="19-19-1-CRFH-PE-0.1"/>
    <n v="2"/>
    <x v="23"/>
    <x v="22"/>
    <x v="8"/>
    <x v="2"/>
    <n v="100"/>
    <s v="NOS"/>
    <x v="11"/>
    <n v="1000"/>
    <n v="2000"/>
    <n v="0.165789174"/>
    <n v="0.055263058"/>
    <n v="0.110526116"/>
    <n v="7447.162985443186"/>
    <n v="0.411553"/>
    <n v="57.050425"/>
    <m/>
    <m/>
  </r>
  <r>
    <n v="543"/>
    <s v="Hosur"/>
    <x v="25"/>
    <m/>
    <n v="188595"/>
    <n v="3931835"/>
    <s v="CUT-R-AW-AUT-19.00X19.00X1.000X0.1100"/>
    <x v="5"/>
    <m/>
    <x v="0"/>
    <x v="2"/>
    <m/>
    <m/>
    <m/>
    <m/>
    <s v="19-19-1-CRFH-PE"/>
    <s v="19-19-1-CRFH-PE-0.11"/>
    <n v="2"/>
    <x v="23"/>
    <x v="22"/>
    <x v="8"/>
    <x v="2"/>
    <n v="110"/>
    <s v="NOS"/>
    <x v="11"/>
    <n v="1000"/>
    <n v="2000"/>
    <n v="0.1823680914"/>
    <n v="0.06078936380000001"/>
    <n v="0.1215787276"/>
    <n v="1044.360329364066"/>
    <n v="0.063486"/>
    <n v="57.050425"/>
    <m/>
    <m/>
  </r>
  <r>
    <n v="542"/>
    <s v="Hosur"/>
    <x v="25"/>
    <m/>
    <n v="188595"/>
    <n v="3938687"/>
    <s v="TUB-S-AW-AUT-19.00X19.00X1.000X0.1290"/>
    <x v="5"/>
    <m/>
    <x v="0"/>
    <x v="2"/>
    <m/>
    <m/>
    <m/>
    <m/>
    <s v="19-19-1-CRFH-PE"/>
    <s v="19-19-1-CRFH-PE-0.129"/>
    <n v="2"/>
    <x v="23"/>
    <x v="22"/>
    <x v="8"/>
    <x v="2"/>
    <n v="129"/>
    <s v="NOS"/>
    <x v="12"/>
    <n v="1000"/>
    <n v="5000"/>
    <n v="0.4277360689200001"/>
    <n v="0.07128934482000002"/>
    <n v="0.3564467241000001"/>
    <n v="2344.586002607058"/>
    <n v="0.167144"/>
    <n v="57.050425"/>
    <m/>
    <m/>
  </r>
  <r>
    <n v="541"/>
    <s v="Hosur"/>
    <x v="25"/>
    <m/>
    <n v="188595"/>
    <n v="3230486"/>
    <s v="TUB-S-AW-AUT-19.00X19.00X1.000X0.1500"/>
    <x v="5"/>
    <m/>
    <x v="0"/>
    <x v="2"/>
    <m/>
    <m/>
    <m/>
    <m/>
    <s v="19-19-1-CRFH-PE"/>
    <s v="19-19-1-CRFH-PE-0.15"/>
    <n v="1"/>
    <x v="23"/>
    <x v="22"/>
    <x v="8"/>
    <x v="2"/>
    <n v="150"/>
    <s v="NOS"/>
    <x v="1"/>
    <n v="2000"/>
    <n v="-500"/>
    <n v="0.1243418805"/>
    <n v="0.165789174"/>
    <n v="-0.04144729350000001"/>
    <n v="2398.56433569058"/>
    <n v="0.198828"/>
    <n v="57.050425"/>
    <m/>
    <m/>
  </r>
  <r>
    <n v="540"/>
    <s v="Hosur"/>
    <x v="25"/>
    <m/>
    <n v="188595"/>
    <n v="3571864"/>
    <s v="TUB-S-AW-AUT-19.00X19.00X1.000X0.2900"/>
    <x v="5"/>
    <m/>
    <x v="0"/>
    <x v="2"/>
    <m/>
    <m/>
    <m/>
    <m/>
    <s v="19-19-1-CRFH-PE"/>
    <s v="19-19-1-CRFH-PE-0.29"/>
    <n v="1"/>
    <x v="23"/>
    <x v="22"/>
    <x v="8"/>
    <x v="2"/>
    <n v="290"/>
    <s v="NOS"/>
    <x v="11"/>
    <n v="0"/>
    <n v="3000"/>
    <n v="0.4807886046"/>
    <n v="0"/>
    <n v="0.4807886046"/>
    <n v="183.2614150106668"/>
    <n v="0.02937"/>
    <n v="57.050425"/>
    <m/>
    <m/>
  </r>
  <r>
    <n v="539"/>
    <s v="Hosur"/>
    <x v="25"/>
    <m/>
    <n v="188595"/>
    <n v="3571868"/>
    <s v="TUB-S-AW-AUT-19.00X19.00X1.000X0.3920"/>
    <x v="5"/>
    <m/>
    <x v="0"/>
    <x v="2"/>
    <m/>
    <m/>
    <m/>
    <m/>
    <s v="19-19-1-CRFH-PE"/>
    <s v="19-19-1-CRFH-PE-0.392"/>
    <n v="1"/>
    <x v="23"/>
    <x v="22"/>
    <x v="8"/>
    <x v="2"/>
    <n v="392"/>
    <s v="NOS"/>
    <x v="11"/>
    <n v="0"/>
    <n v="3000"/>
    <n v="0.6498935620800002"/>
    <n v="0"/>
    <n v="0.6498935620800002"/>
    <n v="105.7373145535807"/>
    <n v="0.022906"/>
    <n v="57.050425"/>
    <m/>
    <m/>
  </r>
  <r>
    <n v="538"/>
    <s v="Hosur"/>
    <x v="25"/>
    <m/>
    <n v="188595"/>
    <n v="3571869"/>
    <s v="TUB-S-AW-AUT-19.00X19.00X1.000X0.4860"/>
    <x v="5"/>
    <m/>
    <x v="0"/>
    <x v="2"/>
    <m/>
    <m/>
    <m/>
    <m/>
    <s v="19-19-1-CRFH-PE"/>
    <s v="19-19-1-CRFH-PE-0.486"/>
    <n v="1"/>
    <x v="23"/>
    <x v="22"/>
    <x v="8"/>
    <x v="2"/>
    <n v="486"/>
    <s v="NOS"/>
    <x v="1"/>
    <n v="0"/>
    <n v="1500"/>
    <n v="0.40286769282"/>
    <n v="0"/>
    <n v="0.40286769282"/>
    <n v="173.4576915583608"/>
    <n v="0.046587"/>
    <n v="57.050425"/>
    <m/>
    <m/>
  </r>
  <r>
    <n v="537"/>
    <s v="Hosur"/>
    <x v="25"/>
    <m/>
    <n v="188595"/>
    <n v="3571870"/>
    <s v="TUB-S-AW-AUT-19.00X19.00X1.000X0.5400"/>
    <x v="5"/>
    <m/>
    <x v="0"/>
    <x v="2"/>
    <m/>
    <m/>
    <m/>
    <m/>
    <s v="19-19-1-CRFH-PE"/>
    <s v="19-19-1-CRFH-PE-0.54"/>
    <n v="1"/>
    <x v="23"/>
    <x v="22"/>
    <x v="8"/>
    <x v="2"/>
    <n v="540"/>
    <s v="NOS"/>
    <x v="11"/>
    <n v="0"/>
    <n v="3000"/>
    <n v="0.8952615396000002"/>
    <n v="0"/>
    <n v="0.8952615396000002"/>
    <n v="48.10661253162137"/>
    <n v="0.014356"/>
    <n v="57.050425"/>
    <m/>
    <m/>
  </r>
  <r>
    <n v="536"/>
    <s v="Hosur"/>
    <x v="25"/>
    <m/>
    <n v="188595"/>
    <n v="3572031"/>
    <s v="TUB-S-AW-AUT-19.00X19.00X1.000X0.7100"/>
    <x v="5"/>
    <m/>
    <x v="0"/>
    <x v="2"/>
    <m/>
    <m/>
    <m/>
    <m/>
    <s v="19-19-1-CRFH-PE"/>
    <s v="19-19-1-CRFH-PE-0.71"/>
    <n v="1"/>
    <x v="23"/>
    <x v="22"/>
    <x v="8"/>
    <x v="2"/>
    <n v="710"/>
    <s v="NOS"/>
    <x v="11"/>
    <n v="0"/>
    <n v="3000"/>
    <n v="1.1771031354"/>
    <n v="0"/>
    <n v="1.1771031354"/>
    <n v="141.0284239397498"/>
    <n v="0.055335"/>
    <n v="57.050425"/>
    <m/>
    <m/>
  </r>
  <r>
    <n v="535"/>
    <s v="Hosur"/>
    <x v="25"/>
    <m/>
    <n v="188595"/>
    <n v="3572032"/>
    <s v="TUB-S-AW-AUT-19.00X19.00X1.000X0.7500"/>
    <x v="5"/>
    <m/>
    <x v="0"/>
    <x v="2"/>
    <m/>
    <m/>
    <m/>
    <m/>
    <s v="19-19-1-CRFH-PE"/>
    <s v="19-19-1-CRFH-PE-0.75"/>
    <n v="1"/>
    <x v="23"/>
    <x v="22"/>
    <x v="8"/>
    <x v="2"/>
    <n v="750"/>
    <s v="NOS"/>
    <x v="11"/>
    <n v="0"/>
    <n v="3000"/>
    <n v="1.243418805"/>
    <n v="0"/>
    <n v="1.243418805"/>
    <n v="1633.061999573024"/>
    <n v="0.67686"/>
    <n v="57.050425"/>
    <m/>
    <m/>
  </r>
  <r>
    <n v="534"/>
    <s v="Hosur"/>
    <x v="25"/>
    <m/>
    <n v="188595"/>
    <n v="3572033"/>
    <s v="TUB-S-AW-AUT-19.00X19.00X1.000X0.7900"/>
    <x v="5"/>
    <m/>
    <x v="0"/>
    <x v="2"/>
    <m/>
    <m/>
    <m/>
    <m/>
    <s v="19-19-1-CRFH-PE"/>
    <s v="19-19-1-CRFH-PE-0.79"/>
    <n v="1"/>
    <x v="23"/>
    <x v="22"/>
    <x v="8"/>
    <x v="2"/>
    <n v="790"/>
    <s v="NOS"/>
    <x v="11"/>
    <n v="0"/>
    <n v="3000"/>
    <n v="1.3097344746"/>
    <n v="0"/>
    <n v="1.3097344746"/>
    <n v="80.74155643822127"/>
    <n v="0.03525"/>
    <n v="57.050425"/>
    <m/>
    <m/>
  </r>
  <r>
    <n v="533"/>
    <s v="Hosur"/>
    <x v="25"/>
    <m/>
    <n v="188595"/>
    <n v="3572035"/>
    <s v="TUB-S-AW-AUT-19.00X19.00X1.000X0.8900"/>
    <x v="5"/>
    <m/>
    <x v="0"/>
    <x v="2"/>
    <m/>
    <m/>
    <m/>
    <m/>
    <s v="19-19-1-CRFH-PE"/>
    <s v="19-19-1-CRFH-PE-0.89"/>
    <n v="1"/>
    <x v="23"/>
    <x v="22"/>
    <x v="8"/>
    <x v="2"/>
    <n v="890"/>
    <s v="NOS"/>
    <x v="1"/>
    <n v="0"/>
    <n v="1500"/>
    <n v="0.7377618243"/>
    <n v="0"/>
    <n v="0.7377618243"/>
    <n v="269.0685441583373"/>
    <n v="0.132339"/>
    <n v="57.050425"/>
    <m/>
    <m/>
  </r>
  <r>
    <n v="532"/>
    <s v="Hosur"/>
    <x v="25"/>
    <m/>
    <n v="188595"/>
    <n v="3938684"/>
    <s v="TUB-S-AW-AUT-19.00X19.00X1.000X0.9620"/>
    <x v="5"/>
    <m/>
    <x v="0"/>
    <x v="2"/>
    <m/>
    <m/>
    <m/>
    <m/>
    <s v="19-19-1-CRFH-PE"/>
    <s v="19-19-1-CRFH-PE-0.962"/>
    <n v="1"/>
    <x v="23"/>
    <x v="22"/>
    <x v="8"/>
    <x v="2"/>
    <n v="962"/>
    <s v="NOS"/>
    <x v="11"/>
    <n v="0"/>
    <n v="3000"/>
    <n v="1.59489185388"/>
    <n v="0"/>
    <n v="1.59489185388"/>
    <n v="75.7085815607188"/>
    <n v="0.040249"/>
    <n v="57.050425"/>
    <m/>
    <m/>
  </r>
  <r>
    <n v="530"/>
    <s v="Hosur"/>
    <x v="25"/>
    <m/>
    <n v="188595"/>
    <n v="3931837"/>
    <s v="CUT-R-AW-AUT-19.00X19.00X1.000X1.1500"/>
    <x v="5"/>
    <m/>
    <x v="0"/>
    <x v="2"/>
    <m/>
    <m/>
    <m/>
    <m/>
    <s v="19-19-1-CRFH-PE"/>
    <s v="19-19-1-CRFH-PE-1.15"/>
    <n v="2"/>
    <x v="23"/>
    <x v="22"/>
    <x v="8"/>
    <x v="2"/>
    <n v="1150"/>
    <s v="NOS"/>
    <x v="1"/>
    <n v="500"/>
    <n v="1000"/>
    <n v="0.9532877505000001"/>
    <n v="0.3177625835"/>
    <n v="0.6355251670000002"/>
    <n v="64.46007511139209"/>
    <n v="0.040966"/>
    <n v="57.050425"/>
    <m/>
    <m/>
  </r>
  <r>
    <n v="531"/>
    <s v="Hosur"/>
    <x v="25"/>
    <m/>
    <n v="188595"/>
    <n v="3572038"/>
    <s v="TUB-S-AW-AUT-19.00X19.00X1.000X1.2460"/>
    <x v="5"/>
    <m/>
    <x v="0"/>
    <x v="2"/>
    <m/>
    <m/>
    <m/>
    <m/>
    <s v="19-19-1-CRFH-PE"/>
    <s v="19-19-1-CRFH-PE-1.246"/>
    <n v="1"/>
    <x v="23"/>
    <x v="22"/>
    <x v="8"/>
    <x v="2"/>
    <n v="1246"/>
    <s v="NOS"/>
    <x v="1"/>
    <n v="500"/>
    <n v="1000"/>
    <n v="1.03286655402"/>
    <n v="0.3442888513399999"/>
    <n v="0.68857770268"/>
    <n v="206.0769604471852"/>
    <n v="0.1419"/>
    <n v="57.050425"/>
    <m/>
    <m/>
  </r>
  <r>
    <n v="529"/>
    <s v="Hosur"/>
    <x v="25"/>
    <m/>
    <n v="188595"/>
    <n v="3572039"/>
    <s v="TUB-S-AW-AUT-19.00X19.00X1.000X1.3040"/>
    <x v="5"/>
    <m/>
    <x v="0"/>
    <x v="2"/>
    <m/>
    <m/>
    <m/>
    <m/>
    <s v="19-19-1-CRFH-PE"/>
    <s v="19-19-1-CRFH-PE-1.304"/>
    <n v="1"/>
    <x v="23"/>
    <x v="22"/>
    <x v="8"/>
    <x v="2"/>
    <n v="1304"/>
    <s v="NOS"/>
    <x v="1"/>
    <n v="0"/>
    <n v="1500"/>
    <n v="1.08094541448"/>
    <n v="0"/>
    <n v="1.08094541448"/>
    <n v="109.9065673516469"/>
    <n v="0.07920200000000001"/>
    <n v="57.050425"/>
    <m/>
    <m/>
  </r>
  <r>
    <n v="545"/>
    <s v="Hosur"/>
    <x v="25"/>
    <m/>
    <n v="188595"/>
    <n v="3572043"/>
    <s v="TUB-S-AW-AUT-25.00X25.00X1.200X0.6420"/>
    <x v="5"/>
    <m/>
    <x v="0"/>
    <x v="2"/>
    <m/>
    <m/>
    <m/>
    <m/>
    <s v="25-25-1.2-CRFH-PE"/>
    <s v="25-25-1.2-CRFH-PE-0.642"/>
    <n v="1"/>
    <x v="12"/>
    <x v="12"/>
    <x v="4"/>
    <x v="1"/>
    <n v="642"/>
    <s v="NOS"/>
    <x v="11"/>
    <n v="0"/>
    <n v="3000"/>
    <n v="1.74039588684"/>
    <n v="0"/>
    <n v="1.74039588684"/>
    <n v="82.12097091283194"/>
    <n v="0.047641"/>
    <n v="7.503437000000001"/>
    <m/>
    <m/>
  </r>
  <r>
    <n v="548"/>
    <s v="Hosur"/>
    <x v="25"/>
    <m/>
    <n v="188595"/>
    <n v="3572045"/>
    <s v="TUB-S-AW-AUT-30.00X30.00X1.200X0.1400"/>
    <x v="5"/>
    <m/>
    <x v="0"/>
    <x v="2"/>
    <m/>
    <m/>
    <m/>
    <m/>
    <s v="30-30-1.2-CRFH-PE"/>
    <s v="30-30-1.2-CRFH-PE-0.14"/>
    <n v="1"/>
    <x v="14"/>
    <x v="23"/>
    <x v="1"/>
    <x v="1"/>
    <n v="140"/>
    <s v="NOS"/>
    <x v="11"/>
    <n v="0"/>
    <n v="3000"/>
    <n v="0.4584122423999999"/>
    <n v="0"/>
    <n v="0.4584122423999999"/>
    <n v="1115.716276079978"/>
    <n v="0.170486"/>
    <n v="1.5546"/>
    <m/>
    <m/>
  </r>
  <r>
    <n v="528"/>
    <s v="Hosur"/>
    <x v="25"/>
    <m/>
    <n v="188595"/>
    <n v="3938688"/>
    <s v="TUB-R-AW-AUT-40.00X20.00X1.200X0.0950"/>
    <x v="5"/>
    <m/>
    <x v="0"/>
    <x v="2"/>
    <m/>
    <m/>
    <m/>
    <m/>
    <s v="40-20-1.2-CRFH-PE"/>
    <s v="40-20-1.2-CRFH-PE-0.095"/>
    <n v="1"/>
    <x v="14"/>
    <x v="15"/>
    <x v="5"/>
    <x v="1"/>
    <n v="95"/>
    <s v="NOS"/>
    <x v="11"/>
    <n v="0"/>
    <n v="3000"/>
    <n v="0.3110654502"/>
    <n v="0"/>
    <n v="0.3110654502"/>
    <n v="65.94753607901647"/>
    <n v="0.006838"/>
    <n v="48.54494999999999"/>
    <m/>
    <m/>
  </r>
  <r>
    <n v="527"/>
    <s v="Hosur"/>
    <x v="25"/>
    <m/>
    <n v="188595"/>
    <n v="3572047"/>
    <s v="TUB-R-AW-AUT-40.00X20.00X1.200X0.1100"/>
    <x v="5"/>
    <m/>
    <x v="0"/>
    <x v="2"/>
    <m/>
    <m/>
    <m/>
    <m/>
    <s v="40-20-1.2-CRFH-PE"/>
    <s v="40-20-1.2-CRFH-PE-0.11"/>
    <n v="1"/>
    <x v="14"/>
    <x v="15"/>
    <x v="5"/>
    <x v="1"/>
    <n v="110"/>
    <s v="NOS"/>
    <x v="11"/>
    <n v="0"/>
    <n v="3000"/>
    <n v="0.3601810476"/>
    <n v="0"/>
    <n v="0.3601810476"/>
    <n v="391.3781720035176"/>
    <n v="0.046989"/>
    <n v="48.54494999999999"/>
    <m/>
    <m/>
  </r>
  <r>
    <n v="526"/>
    <s v="Hosur"/>
    <x v="25"/>
    <m/>
    <n v="188595"/>
    <n v="3233559"/>
    <s v="TUB-R-AW-AUT-40.00X20.00X1.210X0.1200"/>
    <x v="5"/>
    <m/>
    <x v="0"/>
    <x v="2"/>
    <m/>
    <m/>
    <m/>
    <m/>
    <s v="40-20-1.2-CRFH-PE"/>
    <s v="40-20-1.2-CRFH-PE-0.12"/>
    <n v="2"/>
    <x v="14"/>
    <x v="15"/>
    <x v="5"/>
    <x v="1"/>
    <n v="120"/>
    <s v="NOS"/>
    <x v="11"/>
    <n v="1000"/>
    <n v="2000"/>
    <n v="0.3929247791999999"/>
    <n v="0.1309749264"/>
    <n v="0.2619498527999999"/>
    <n v="2298.684246483379"/>
    <n v="0.30107"/>
    <n v="48.54494999999999"/>
    <m/>
    <m/>
  </r>
  <r>
    <n v="525"/>
    <s v="Hosur"/>
    <x v="25"/>
    <m/>
    <n v="188595"/>
    <n v="3572048"/>
    <s v="TUB-R-AW-AUT-40.00X20.00X1.200X0.1400"/>
    <x v="5"/>
    <m/>
    <x v="0"/>
    <x v="2"/>
    <m/>
    <m/>
    <m/>
    <m/>
    <s v="40-20-1.2-CRFH-PE"/>
    <s v="40-20-1.2-CRFH-PE-0.14"/>
    <n v="1"/>
    <x v="14"/>
    <x v="15"/>
    <x v="5"/>
    <x v="1"/>
    <n v="140"/>
    <s v="NOS"/>
    <x v="11"/>
    <n v="0"/>
    <n v="3000"/>
    <n v="0.4584122423999999"/>
    <n v="0"/>
    <n v="0.4584122423999999"/>
    <n v="8489.13846546957"/>
    <n v="1.297175"/>
    <n v="48.54494999999999"/>
    <m/>
    <m/>
  </r>
  <r>
    <n v="524"/>
    <s v="Hosur"/>
    <x v="25"/>
    <m/>
    <n v="188595"/>
    <n v="3572050"/>
    <s v="TUB-R-AW-AUT-40.00X20.00X1.200X0.7100"/>
    <x v="5"/>
    <m/>
    <x v="0"/>
    <x v="2"/>
    <m/>
    <m/>
    <m/>
    <m/>
    <s v="40-20-1.2-CRFH-PE"/>
    <s v="40-20-1.2-CRFH-PE-0.71"/>
    <n v="1"/>
    <x v="14"/>
    <x v="15"/>
    <x v="5"/>
    <x v="1"/>
    <n v="710"/>
    <s v="NOS"/>
    <x v="11"/>
    <n v="0"/>
    <n v="3000"/>
    <n v="2.3248049436"/>
    <n v="0"/>
    <n v="2.3248049436"/>
    <n v="401.0349352390288"/>
    <n v="0.310776"/>
    <n v="48.54494999999999"/>
    <m/>
    <m/>
  </r>
  <r>
    <n v="523"/>
    <s v="Hosur"/>
    <x v="25"/>
    <m/>
    <n v="188595"/>
    <n v="3572051"/>
    <s v="TUB-R-AW-AUT-40.00X20.00X1.200X0.8600"/>
    <x v="5"/>
    <m/>
    <x v="0"/>
    <x v="2"/>
    <m/>
    <m/>
    <m/>
    <m/>
    <s v="40-20-1.2-CRFH-PE"/>
    <s v="40-20-1.2-CRFH-PE-0.86"/>
    <n v="1"/>
    <x v="14"/>
    <x v="15"/>
    <x v="5"/>
    <x v="1"/>
    <n v="860"/>
    <s v="NOS"/>
    <x v="12"/>
    <n v="0"/>
    <n v="6000"/>
    <n v="5.6319218352"/>
    <n v="0"/>
    <n v="5.6319218352"/>
    <n v="30.29871596112808"/>
    <n v="0.02844"/>
    <n v="48.54494999999999"/>
    <m/>
    <m/>
  </r>
  <r>
    <n v="522"/>
    <s v="Hosur"/>
    <x v="25"/>
    <m/>
    <n v="188595"/>
    <n v="3230465"/>
    <s v="TUB-R-AW-AUT-40.00X20.00X1.200X1.1200"/>
    <x v="5"/>
    <m/>
    <x v="0"/>
    <x v="2"/>
    <m/>
    <m/>
    <m/>
    <m/>
    <s v="40-20-1.2-CRFH-PE"/>
    <s v="40-20-1.2-CRFH-PE-1.12"/>
    <n v="2"/>
    <x v="14"/>
    <x v="15"/>
    <x v="5"/>
    <x v="1"/>
    <n v="1120"/>
    <s v="NOS"/>
    <x v="12"/>
    <n v="2000"/>
    <n v="4000"/>
    <n v="7.334595878399998"/>
    <n v="2.444865292799999"/>
    <n v="4.889730585599999"/>
    <n v="3026.442406373221"/>
    <n v="3.699622"/>
    <n v="48.54494999999999"/>
    <m/>
    <m/>
  </r>
  <r>
    <n v="521"/>
    <s v="Hosur"/>
    <x v="25"/>
    <m/>
    <n v="188595"/>
    <n v="3230470"/>
    <s v="TUB-R-AW-AUT-40.00X20.00X1.200X1.2460"/>
    <x v="5"/>
    <m/>
    <x v="0"/>
    <x v="2"/>
    <m/>
    <m/>
    <m/>
    <m/>
    <s v="40-20-1.2-CRFH-PE"/>
    <s v="40-20-1.2-CRFH-PE-1.246"/>
    <n v="2"/>
    <x v="14"/>
    <x v="15"/>
    <x v="5"/>
    <x v="1"/>
    <n v="1246"/>
    <s v="NOS"/>
    <x v="1"/>
    <n v="500"/>
    <n v="1000"/>
    <n v="2.03993447868"/>
    <n v="0.67997815956"/>
    <n v="1.35995631912"/>
    <n v="1819.062836959922"/>
    <n v="2.473846"/>
    <n v="48.54494999999999"/>
    <m/>
    <m/>
  </r>
  <r>
    <n v="520"/>
    <s v="Hosur"/>
    <x v="25"/>
    <m/>
    <n v="188595"/>
    <n v="1940801"/>
    <s v="TUB-R-AW-RHS-40.00X20.00X1.210X1.3100"/>
    <x v="5"/>
    <m/>
    <x v="0"/>
    <x v="2"/>
    <m/>
    <m/>
    <m/>
    <m/>
    <s v="40-20-1.2-CRFH-PE"/>
    <s v="40-20-1.2-CRFH-PE-1.31"/>
    <n v="1"/>
    <x v="14"/>
    <x v="15"/>
    <x v="5"/>
    <x v="1"/>
    <n v="1310"/>
    <s v="NOS"/>
    <x v="32"/>
    <n v="1500"/>
    <n v="3000"/>
    <n v="6.434143259399999"/>
    <n v="2.1447144198"/>
    <n v="4.289428839599999"/>
    <n v="911.3346196377358"/>
    <n v="1.303035"/>
    <n v="48.54494999999999"/>
    <n v="0.7368994786799998"/>
    <n v="1.690127529013073"/>
  </r>
  <r>
    <n v="547"/>
    <s v="Hosur"/>
    <x v="25"/>
    <m/>
    <n v="188595"/>
    <n v="3938685"/>
    <s v="TUB-S-AW-AUT-40.00X40.00X1.200X85.0000"/>
    <x v="5"/>
    <m/>
    <x v="0"/>
    <x v="2"/>
    <m/>
    <m/>
    <m/>
    <m/>
    <s v="40-40-1.2-CRFH-PE"/>
    <s v="40-40-1.2-CRFH-PE-0.085"/>
    <n v="1"/>
    <x v="4"/>
    <x v="15"/>
    <x v="11"/>
    <x v="1"/>
    <n v="85"/>
    <s v="NOS"/>
    <x v="11"/>
    <n v="0"/>
    <n v="3000"/>
    <n v="0.3741126624"/>
    <n v="0"/>
    <n v="0.3741126624"/>
    <n v="748.1623268360137"/>
    <n v="0.09329900000000001"/>
    <n v="13.794447"/>
    <m/>
    <m/>
  </r>
  <r>
    <n v="546"/>
    <s v="Hosur"/>
    <x v="25"/>
    <m/>
    <n v="188595"/>
    <n v="3572055"/>
    <s v="TUB-S-AW-AUT-40.00X40.00X1.200X0.1580"/>
    <x v="5"/>
    <m/>
    <x v="0"/>
    <x v="2"/>
    <m/>
    <m/>
    <m/>
    <m/>
    <s v="40-40-1.2-CRFH-PE"/>
    <s v="40-40-1.2-CRFH-PE-0.158"/>
    <n v="1"/>
    <x v="4"/>
    <x v="15"/>
    <x v="11"/>
    <x v="1"/>
    <n v="158"/>
    <s v="NOS"/>
    <x v="12"/>
    <n v="0"/>
    <n v="6000"/>
    <n v="1.39081883904"/>
    <n v="0"/>
    <n v="1.39081883904"/>
    <n v="64.24848261451402"/>
    <n v="0.014893"/>
    <n v="13.794447"/>
    <m/>
    <m/>
  </r>
  <r>
    <n v="42"/>
    <s v="Hosur"/>
    <x v="26"/>
    <m/>
    <n v="944141"/>
    <n v="1939963"/>
    <s v="TUB-O-O-AUT-AW-PE-12.70X1.200X0.2780"/>
    <x v="0"/>
    <m/>
    <x v="0"/>
    <x v="0"/>
    <m/>
    <m/>
    <m/>
    <m/>
    <s v="12.7-0-1.2-ERW 1-PE"/>
    <s v="12.7-0-1.2-ERW 1-PE-0.278"/>
    <n v="1"/>
    <x v="0"/>
    <x v="0"/>
    <x v="0"/>
    <x v="1"/>
    <n v="278"/>
    <s v="NOS"/>
    <x v="31"/>
    <n v="0"/>
    <n v="20000"/>
    <n v="1.891268472"/>
    <n v="0"/>
    <n v="1.891268472"/>
    <n v="0"/>
    <n v="0"/>
    <n v="0.507771"/>
    <n v="1.891268472"/>
    <n v="0"/>
  </r>
  <r>
    <n v="32"/>
    <s v="Hosur"/>
    <x v="26"/>
    <m/>
    <n v="944141"/>
    <n v="1939986"/>
    <s v="TUB-O-O-GEN-AW-PE-12.70X1.200X6.0000"/>
    <x v="0"/>
    <m/>
    <x v="0"/>
    <x v="0"/>
    <m/>
    <m/>
    <m/>
    <m/>
    <s v="12.7-0-1.2-ERW 1-PE"/>
    <s v="12.7-0-1.2-ERW 1-PE-1"/>
    <n v="0"/>
    <x v="0"/>
    <x v="0"/>
    <x v="0"/>
    <x v="1"/>
    <n v="1000"/>
    <s v="M"/>
    <x v="11"/>
    <n v="0"/>
    <n v="3000"/>
    <n v="1.0204686"/>
    <n v="0"/>
    <n v="1.0204686"/>
    <n v="0"/>
    <n v="0"/>
    <n v="0.507771"/>
    <n v="1.0204686"/>
    <n v="0"/>
  </r>
  <r>
    <n v="4"/>
    <s v="Hosur"/>
    <x v="26"/>
    <m/>
    <n v="944141"/>
    <n v="3676336"/>
    <s v="TUB-O-N-AUT-AW-PE-12.70X1.600X0.2570"/>
    <x v="0"/>
    <m/>
    <x v="0"/>
    <x v="0"/>
    <s v="WG"/>
    <m/>
    <m/>
    <m/>
    <s v="12.7-0-1.6-ERW 1-PE"/>
    <m/>
    <m/>
    <x v="0"/>
    <x v="0"/>
    <x v="0"/>
    <x v="0"/>
    <n v="257"/>
    <m/>
    <x v="30"/>
    <e v="#N/A"/>
    <e v="#N/A"/>
    <n v="0"/>
    <e v="#N/A"/>
    <e v="#N/A"/>
    <e v="#DIV/0!"/>
    <n v="0"/>
    <n v="11.937059"/>
    <n v="0"/>
    <e v="#N/A"/>
  </r>
  <r>
    <n v="40"/>
    <s v="Hosur"/>
    <x v="26"/>
    <m/>
    <n v="944141"/>
    <n v="1932848"/>
    <s v="TUB-O-N-AUT-AW-PE-12.70X1.600X0.2600"/>
    <x v="0"/>
    <m/>
    <x v="0"/>
    <x v="0"/>
    <s v="D"/>
    <m/>
    <m/>
    <m/>
    <s v="12.7-0-1.6-ERW 1-PE"/>
    <s v="12.7-0-1.6-ERW 1-PE-0.26"/>
    <n v="1"/>
    <x v="0"/>
    <x v="0"/>
    <x v="0"/>
    <x v="0"/>
    <n v="260"/>
    <s v="NOS"/>
    <x v="10"/>
    <n v="0"/>
    <n v="25000"/>
    <n v="2.84548056"/>
    <n v="0"/>
    <n v="2.84548056"/>
    <n v="3241.983139747755"/>
    <n v="0.369"/>
    <n v="11.937059"/>
    <n v="2.47648056"/>
    <n v="0.1296793255899102"/>
  </r>
  <r>
    <n v="44"/>
    <s v="Hosur"/>
    <x v="26"/>
    <m/>
    <n v="944141"/>
    <n v="1939994"/>
    <s v="TUB-O-O-AUT-AW-PE-12.70X1.600X0.2800"/>
    <x v="0"/>
    <m/>
    <x v="0"/>
    <x v="0"/>
    <s v="WG"/>
    <m/>
    <m/>
    <m/>
    <s v="12.7-0-1.6-ERW 1-PE"/>
    <s v="12.7-0-1.6-ERW 1-PE-0.28"/>
    <n v="2"/>
    <x v="0"/>
    <x v="0"/>
    <x v="0"/>
    <x v="0"/>
    <n v="280"/>
    <s v="NOS"/>
    <x v="31"/>
    <n v="0"/>
    <n v="20000"/>
    <n v="2.451490944"/>
    <n v="0"/>
    <n v="2.451490944"/>
    <n v="305.1857082446559"/>
    <n v="0.037408"/>
    <n v="11.937059"/>
    <n v="2.414082944"/>
    <n v="0.0152592854122328"/>
  </r>
  <r>
    <n v="7"/>
    <s v="Hosur"/>
    <x v="26"/>
    <m/>
    <n v="944141"/>
    <n v="3676337"/>
    <s v="TUB-O-N-AUT-AW-PE-12.70X1.600X0.3200"/>
    <x v="0"/>
    <m/>
    <x v="0"/>
    <x v="0"/>
    <s v="WG"/>
    <m/>
    <m/>
    <m/>
    <s v="12.7-0-1.6-ERW 1-PE"/>
    <m/>
    <m/>
    <x v="0"/>
    <x v="0"/>
    <x v="0"/>
    <x v="0"/>
    <n v="320"/>
    <m/>
    <x v="30"/>
    <e v="#N/A"/>
    <e v="#N/A"/>
    <n v="0"/>
    <e v="#N/A"/>
    <e v="#N/A"/>
    <e v="#DIV/0!"/>
    <n v="0"/>
    <n v="11.937059"/>
    <n v="0"/>
    <e v="#N/A"/>
  </r>
  <r>
    <n v="14"/>
    <s v="Hosur"/>
    <x v="26"/>
    <m/>
    <n v="944141"/>
    <n v="3620427"/>
    <s v="TUB-O-N-AUT-AW-PE-12.70X1.600X0.9500"/>
    <x v="0"/>
    <m/>
    <x v="0"/>
    <x v="0"/>
    <s v="WG"/>
    <m/>
    <m/>
    <m/>
    <s v="12.7-0-1.6-ERW 1-PE"/>
    <m/>
    <m/>
    <x v="0"/>
    <x v="0"/>
    <x v="0"/>
    <x v="0"/>
    <n v="950"/>
    <m/>
    <x v="30"/>
    <e v="#N/A"/>
    <e v="#N/A"/>
    <n v="0"/>
    <e v="#N/A"/>
    <e v="#N/A"/>
    <e v="#DIV/0!"/>
    <n v="0"/>
    <n v="11.937059"/>
    <n v="0"/>
    <e v="#N/A"/>
  </r>
  <r>
    <n v="35"/>
    <s v="Hosur"/>
    <x v="26"/>
    <m/>
    <n v="944141"/>
    <n v="1940014"/>
    <s v="TUB-O-O-GEN-AW-PE-12.70X1.600X6.0000"/>
    <x v="0"/>
    <m/>
    <x v="0"/>
    <x v="0"/>
    <s v="WG"/>
    <m/>
    <m/>
    <m/>
    <s v="12.7-0-1.6-ERW 1-PE"/>
    <s v="12.7-0-1.6-ERW 1-PE-1"/>
    <n v="0"/>
    <x v="0"/>
    <x v="0"/>
    <x v="0"/>
    <x v="0"/>
    <n v="1000"/>
    <s v="M"/>
    <x v="54"/>
    <n v="0"/>
    <n v="5004"/>
    <n v="2.19058226496"/>
    <n v="0"/>
    <n v="2.19058226496"/>
    <n v="0"/>
    <n v="0"/>
    <n v="11.937059"/>
    <n v="2.19058226496"/>
    <n v="0"/>
  </r>
  <r>
    <n v="33"/>
    <s v="Khopoli "/>
    <x v="26"/>
    <m/>
    <n v="944141"/>
    <n v="2410963"/>
    <s v="TUB-O-C-AUT-AD-FC-14.00X1.950X04-05"/>
    <x v="2"/>
    <m/>
    <x v="2"/>
    <x v="1"/>
    <m/>
    <m/>
    <m/>
    <m/>
    <s v="14-10.1-1.95-CEW-CEW"/>
    <s v="14-10.1-1.95-CEW-CEW"/>
    <n v="1"/>
    <x v="5"/>
    <x v="5"/>
    <x v="26"/>
    <x v="32"/>
    <n v="1000"/>
    <s v="M"/>
    <x v="81"/>
    <n v="0"/>
    <n v="3001.5"/>
    <n v="1.73843841731625"/>
    <n v="0"/>
    <n v="1.73843841731625"/>
    <n v="0"/>
    <n v="0"/>
    <n v="0"/>
    <n v="1.73843841731625"/>
    <n v="0"/>
  </r>
  <r>
    <n v="48"/>
    <s v="Hosur"/>
    <x v="26"/>
    <m/>
    <n v="944141"/>
    <n v="1940043"/>
    <s v="TUB-O-O-AUT-AW-PE-15.88X1.200X0.8880"/>
    <x v="0"/>
    <m/>
    <x v="0"/>
    <x v="0"/>
    <m/>
    <m/>
    <m/>
    <m/>
    <s v="15.88-0-1.2-ERW 1-PE"/>
    <s v="15.88-0-1.2-ERW 1-PE-0.888"/>
    <n v="1"/>
    <x v="1"/>
    <x v="1"/>
    <x v="0"/>
    <x v="1"/>
    <n v="888"/>
    <s v="NOS"/>
    <x v="49"/>
    <n v="0"/>
    <n v="15000"/>
    <n v="5.78376756288"/>
    <n v="0"/>
    <n v="5.78376756288"/>
    <n v="146.8990568453845"/>
    <n v="0.056642"/>
    <n v="3.154755"/>
    <n v="5.72712556288"/>
    <n v="0.009793270456358966"/>
  </r>
  <r>
    <n v="15"/>
    <s v="Hosur"/>
    <x v="26"/>
    <m/>
    <n v="944141"/>
    <n v="3620428"/>
    <s v="TUB-O-N-AUT-AW-PE-15.88X1.600X0.4350"/>
    <x v="0"/>
    <m/>
    <x v="0"/>
    <x v="0"/>
    <s v="WG"/>
    <m/>
    <m/>
    <m/>
    <s v="15.88-0-1.6-ERW 1-PE"/>
    <s v="15.88-0-1.6-ERW 1-PE-0.435"/>
    <n v="2"/>
    <x v="1"/>
    <x v="1"/>
    <x v="0"/>
    <x v="0"/>
    <n v="435"/>
    <s v="NOS"/>
    <x v="4"/>
    <n v="0"/>
    <n v="10000"/>
    <n v="2.4498345312"/>
    <n v="0"/>
    <n v="2.4498345312"/>
    <n v="61.26944415567392"/>
    <n v="0.01501"/>
    <n v="15.499108"/>
    <n v="2.4348245312"/>
    <n v="0.006126944415567393"/>
  </r>
  <r>
    <n v="36"/>
    <s v="Hosur"/>
    <x v="26"/>
    <m/>
    <n v="944141"/>
    <n v="1940078"/>
    <s v="TUB-O-O-GEN-AW-PE-15.88X1.600X6.0000"/>
    <x v="0"/>
    <m/>
    <x v="0"/>
    <x v="0"/>
    <s v="GR1"/>
    <m/>
    <m/>
    <m/>
    <s v="15.88-0-1.6-ERW 1-PE"/>
    <s v="15.88-0-1.6-ERW 1-PE-1"/>
    <n v="0"/>
    <x v="1"/>
    <x v="1"/>
    <x v="0"/>
    <x v="0"/>
    <n v="1000"/>
    <s v="M"/>
    <x v="12"/>
    <n v="0"/>
    <n v="6000"/>
    <n v="3.379082111999999"/>
    <n v="0"/>
    <n v="3.379082111999999"/>
    <n v="0"/>
    <n v="0"/>
    <n v="15.499108"/>
    <n v="3.379082111999999"/>
    <n v="0"/>
  </r>
  <r>
    <n v="16"/>
    <s v="Hosur"/>
    <x v="26"/>
    <m/>
    <n v="944141"/>
    <n v="2420205"/>
    <s v="TUB-O-N-AUT-AW-PE-15.88X2.000X0.1550"/>
    <x v="0"/>
    <m/>
    <x v="0"/>
    <x v="1"/>
    <m/>
    <m/>
    <m/>
    <m/>
    <s v="15.88-0-2-ERW 1-PE"/>
    <s v="15.88-0-2-ERW 1-PE-0.155"/>
    <n v="1"/>
    <x v="1"/>
    <x v="1"/>
    <x v="0"/>
    <x v="3"/>
    <n v="155"/>
    <s v="NOS"/>
    <x v="31"/>
    <n v="0"/>
    <n v="20000"/>
    <n v="2.121194344"/>
    <n v="0"/>
    <n v="2.121194344"/>
    <n v="11268.8967267961"/>
    <n v="1.195176"/>
    <n v="14.942643"/>
    <n v="0.9260183439999998"/>
    <n v="0.5634448363398051"/>
  </r>
  <r>
    <n v="17"/>
    <s v="Hosur"/>
    <x v="26"/>
    <m/>
    <n v="944141"/>
    <n v="3706751"/>
    <s v="CUT-O-N-AUT-AW-PE-15.88X2.000X0.1600"/>
    <x v="0"/>
    <m/>
    <x v="0"/>
    <x v="1"/>
    <m/>
    <m/>
    <m/>
    <m/>
    <s v="15.88-0-2-ERW 1-PE"/>
    <s v="15.88-0-2-ERW 1-PE-0.16"/>
    <n v="1"/>
    <x v="1"/>
    <x v="1"/>
    <x v="0"/>
    <x v="3"/>
    <n v="160"/>
    <s v="NOS"/>
    <x v="31"/>
    <n v="0"/>
    <n v="20000"/>
    <n v="2.189619968000001"/>
    <n v="0"/>
    <n v="2.189619968000001"/>
    <n v="16125.59280423953"/>
    <n v="1.765446"/>
    <n v="14.942643"/>
    <n v="0.4241739680000005"/>
    <n v="0.8062796402119765"/>
  </r>
  <r>
    <n v="53"/>
    <s v="Khopoli "/>
    <x v="26"/>
    <m/>
    <n v="944141"/>
    <n v="1938163"/>
    <s v="TUB-O-N-AUT-AW-PE-17.30X1.600X0.6400"/>
    <x v="0"/>
    <m/>
    <x v="0"/>
    <x v="0"/>
    <s v="D"/>
    <m/>
    <m/>
    <m/>
    <s v="17.3-0-1.6-ERW 1-PE"/>
    <s v="17.3-0-1.6-ERW 1-PE-0.64"/>
    <n v="1"/>
    <x v="7"/>
    <x v="7"/>
    <x v="0"/>
    <x v="0"/>
    <n v="640"/>
    <s v="NOS"/>
    <x v="6"/>
    <n v="0"/>
    <n v="5000"/>
    <n v="1.981385216"/>
    <n v="0"/>
    <n v="1.981385216"/>
    <n v="668.9865197823299"/>
    <n v="0.265104"/>
    <n v="3.231416"/>
    <n v="1.716281216"/>
    <n v="0.133797303956466"/>
  </r>
  <r>
    <n v="34"/>
    <s v="Khopoli "/>
    <x v="26"/>
    <m/>
    <n v="944141"/>
    <n v="1938191"/>
    <s v="TUB-I-C-AUT-AD-FC-12.50X3.250X0.5880"/>
    <x v="2"/>
    <m/>
    <x v="2"/>
    <x v="1"/>
    <m/>
    <m/>
    <m/>
    <m/>
    <s v="19-12.5-3.25-CEW-CEW"/>
    <s v="19-12.5-3.25-CEW-CEW-0.588"/>
    <n v="1"/>
    <x v="27"/>
    <x v="22"/>
    <x v="13"/>
    <x v="21"/>
    <n v="588"/>
    <s v="NOS"/>
    <x v="4"/>
    <n v="6500"/>
    <n v="3500"/>
    <n v="7.4189176425"/>
    <n v="4.822296467625001"/>
    <n v="2.596621174875"/>
    <n v="432.3730434240361"/>
    <n v="0.320774"/>
    <n v="20.418666"/>
    <n v="7.0981436425"/>
    <n v="0.6932373043424037"/>
  </r>
  <r>
    <n v="380"/>
    <s v="Khopoli "/>
    <x v="26"/>
    <m/>
    <n v="944141"/>
    <n v="2419066"/>
    <s v="TUB-O-C-AUT-AD-FC-19.00X3.250X4.8000"/>
    <x v="2"/>
    <m/>
    <x v="3"/>
    <x v="1"/>
    <m/>
    <m/>
    <m/>
    <m/>
    <s v="19-12.5-3.25-CEW-"/>
    <m/>
    <m/>
    <x v="27"/>
    <x v="22"/>
    <x v="13"/>
    <x v="21"/>
    <n v="4800"/>
    <m/>
    <x v="30"/>
    <e v="#N/A"/>
    <e v="#N/A"/>
    <n v="0"/>
    <e v="#N/A"/>
    <e v="#N/A"/>
    <e v="#DIV/0!"/>
    <n v="0"/>
    <n v="0"/>
    <n v="7.4189176425"/>
    <e v="#N/A"/>
  </r>
  <r>
    <n v="10"/>
    <s v="Hosur"/>
    <x v="26"/>
    <m/>
    <n v="944141"/>
    <n v="3838038"/>
    <s v="CUT-O-N-AUT-AW-PE-19.05X1.600X0.2580"/>
    <x v="0"/>
    <m/>
    <x v="0"/>
    <x v="0"/>
    <s v="NORMAL"/>
    <m/>
    <m/>
    <m/>
    <s v="19.05-0-1.6-ERW 1-PE"/>
    <s v="19.05-0-1.6-ERW 1-PE-0.258"/>
    <n v="1"/>
    <x v="2"/>
    <x v="2"/>
    <x v="0"/>
    <x v="0"/>
    <n v="258"/>
    <s v="NOS"/>
    <x v="31"/>
    <n v="0"/>
    <n v="20000"/>
    <n v="3.551112412799999"/>
    <n v="0"/>
    <n v="3.551112412799999"/>
    <n v="0"/>
    <n v="0"/>
    <n v="14.281977"/>
    <n v="3.551112412799999"/>
    <n v="0"/>
  </r>
  <r>
    <n v="11"/>
    <s v="Hosur"/>
    <x v="26"/>
    <m/>
    <n v="944141"/>
    <n v="3850310"/>
    <s v="CUT-O-N-AUT-AW-PE-19.05X1.600X0.2680"/>
    <x v="0"/>
    <m/>
    <x v="0"/>
    <x v="0"/>
    <s v="WG"/>
    <m/>
    <m/>
    <m/>
    <s v="19.05-0-1.6-ERW 1-PE"/>
    <s v="19.05-0-1.6-ERW 1-PE-0.268"/>
    <n v="2"/>
    <x v="2"/>
    <x v="2"/>
    <x v="0"/>
    <x v="0"/>
    <n v="268"/>
    <s v="NOS"/>
    <x v="31"/>
    <n v="0"/>
    <n v="20000"/>
    <n v="3.6887524288"/>
    <n v="0"/>
    <n v="3.6887524288"/>
    <n v="1100.334077264275"/>
    <n v="0.202943"/>
    <n v="14.281977"/>
    <m/>
    <m/>
  </r>
  <r>
    <n v="2"/>
    <s v="Hosur"/>
    <x v="26"/>
    <m/>
    <n v="944141"/>
    <n v="3217232"/>
    <s v="TUB-O-N-AUT-AW-PE-19.05X1.600X0.2750"/>
    <x v="0"/>
    <m/>
    <x v="0"/>
    <x v="0"/>
    <s v="HROP"/>
    <m/>
    <m/>
    <m/>
    <s v="19.05-0-1.6-ERW 1-PE"/>
    <s v="19.05-0-1.6-ERW 1-PE-0.275"/>
    <n v="1"/>
    <x v="2"/>
    <x v="2"/>
    <x v="0"/>
    <x v="0"/>
    <n v="275"/>
    <s v="NOS"/>
    <x v="31"/>
    <n v="0"/>
    <n v="20000"/>
    <n v="3.78510044"/>
    <n v="0"/>
    <n v="3.78510044"/>
    <n v="426.2502476684608"/>
    <n v="0.08067000000000001"/>
    <n v="14.281977"/>
    <n v="3.70443044"/>
    <n v="0.02131251238342304"/>
  </r>
  <r>
    <n v="1"/>
    <s v="Hosur"/>
    <x v="26"/>
    <m/>
    <n v="944141"/>
    <n v="1940262"/>
    <s v="TUB-O-O-AUT-AW-PE-19.05X2.000X0.1040"/>
    <x v="0"/>
    <m/>
    <x v="0"/>
    <x v="1"/>
    <m/>
    <m/>
    <m/>
    <m/>
    <s v="19.05-0-2-ERW 1-PE"/>
    <s v="19.05-0-2-ERW 1-PE-0.104"/>
    <n v="3"/>
    <x v="2"/>
    <x v="2"/>
    <x v="0"/>
    <x v="3"/>
    <n v="104"/>
    <s v="NOS"/>
    <x v="82"/>
    <n v="0"/>
    <n v="45000"/>
    <n v="3.933684612"/>
    <n v="0"/>
    <n v="3.933684612"/>
    <n v="10697.23405675005"/>
    <n v="0.9351010000000001"/>
    <n v="96.99589900000001"/>
    <n v="2.998583612"/>
    <n v="0.2377163123722233"/>
  </r>
  <r>
    <n v="41"/>
    <s v="Hosur"/>
    <x v="26"/>
    <m/>
    <n v="944141"/>
    <n v="1156869"/>
    <s v="TUB-O-N-AUT-AW-PE-19.05X2.000X0.271"/>
    <x v="1"/>
    <m/>
    <x v="3"/>
    <x v="1"/>
    <m/>
    <m/>
    <m/>
    <m/>
    <s v="19.05-0-2--"/>
    <m/>
    <m/>
    <x v="2"/>
    <x v="2"/>
    <x v="0"/>
    <x v="3"/>
    <n v="271"/>
    <m/>
    <x v="30"/>
    <e v="#N/A"/>
    <e v="#N/A"/>
    <n v="0"/>
    <e v="#N/A"/>
    <e v="#N/A"/>
    <e v="#DIV/0!"/>
    <n v="0"/>
    <n v="0"/>
    <n v="0"/>
    <e v="#N/A"/>
  </r>
  <r>
    <n v="54"/>
    <s v="Hosur"/>
    <x v="26"/>
    <m/>
    <n v="944141"/>
    <n v="1637759"/>
    <s v="TUB-O-N-AUT-AW-PE-19.05X2.000X0.4520"/>
    <x v="1"/>
    <m/>
    <x v="3"/>
    <x v="1"/>
    <m/>
    <m/>
    <m/>
    <m/>
    <s v="19.05-0-2--"/>
    <m/>
    <m/>
    <x v="2"/>
    <x v="2"/>
    <x v="0"/>
    <x v="3"/>
    <n v="452"/>
    <m/>
    <x v="30"/>
    <e v="#N/A"/>
    <e v="#N/A"/>
    <n v="0"/>
    <e v="#N/A"/>
    <e v="#N/A"/>
    <e v="#DIV/0!"/>
    <n v="0"/>
    <n v="0"/>
    <n v="0"/>
    <e v="#N/A"/>
  </r>
  <r>
    <n v="29"/>
    <s v="Hosur"/>
    <x v="26"/>
    <m/>
    <n v="944141"/>
    <n v="1940287"/>
    <s v="TUB-O-O-AUT-AW-PE-19.05X2.000X0.8150"/>
    <x v="0"/>
    <m/>
    <x v="0"/>
    <x v="1"/>
    <m/>
    <m/>
    <m/>
    <m/>
    <s v="19.05-0-2-ERW 1-PE"/>
    <s v="19.05-0-2-ERW 1-PE-0.815"/>
    <n v="2"/>
    <x v="2"/>
    <x v="2"/>
    <x v="0"/>
    <x v="3"/>
    <n v="815"/>
    <s v="NOS"/>
    <x v="31"/>
    <n v="12000"/>
    <n v="8000"/>
    <n v="13.70065367"/>
    <n v="8.220392202000001"/>
    <n v="5.480261467999998"/>
    <n v="21901.78857356665"/>
    <n v="15.003441"/>
    <n v="96.99589900000001"/>
    <n v="-1.302787329999999"/>
    <n v="1.695089428678333"/>
  </r>
  <r>
    <n v="6"/>
    <s v="Hosur"/>
    <x v="26"/>
    <m/>
    <n v="944141"/>
    <n v="1937438"/>
    <s v="TUB-O-N-AUT-AW-PE-19.05X2.030X0.8300"/>
    <x v="0"/>
    <m/>
    <x v="0"/>
    <x v="1"/>
    <m/>
    <m/>
    <m/>
    <m/>
    <s v="19.05-0-2-ERW 1-PE"/>
    <s v="19.05-0-2-ERW 1-PE-0.83"/>
    <n v="5"/>
    <x v="2"/>
    <x v="2"/>
    <x v="0"/>
    <x v="3"/>
    <n v="830"/>
    <s v="NOS"/>
    <x v="2"/>
    <n v="0"/>
    <n v="4000"/>
    <n v="2.790562588"/>
    <n v="0"/>
    <n v="2.790562588"/>
    <n v="0"/>
    <n v="0"/>
    <n v="96.99589900000001"/>
    <m/>
    <m/>
  </r>
  <r>
    <n v="5"/>
    <s v="Hosur"/>
    <x v="26"/>
    <m/>
    <n v="944141"/>
    <n v="3850335"/>
    <s v="CUT-O-O-AUT-AW-PE-19.05X2.000X0.9000"/>
    <x v="0"/>
    <m/>
    <x v="0"/>
    <x v="1"/>
    <m/>
    <m/>
    <m/>
    <m/>
    <s v="19.05-0-2-ERW 1-PE"/>
    <m/>
    <m/>
    <x v="2"/>
    <x v="2"/>
    <x v="0"/>
    <x v="3"/>
    <n v="900"/>
    <m/>
    <x v="30"/>
    <e v="#N/A"/>
    <e v="#N/A"/>
    <n v="0"/>
    <e v="#N/A"/>
    <e v="#N/A"/>
    <e v="#DIV/0!"/>
    <n v="0"/>
    <n v="96.99589900000001"/>
    <m/>
    <m/>
  </r>
  <r>
    <n v="49"/>
    <s v="Hosur"/>
    <x v="26"/>
    <m/>
    <n v="944141"/>
    <n v="451367"/>
    <s v="PT2-O-N-AUT-AW-PE-19.05X2.000X0.925"/>
    <x v="1"/>
    <m/>
    <x v="3"/>
    <x v="1"/>
    <m/>
    <m/>
    <m/>
    <m/>
    <s v="19.05-0-2--"/>
    <m/>
    <m/>
    <x v="2"/>
    <x v="2"/>
    <x v="0"/>
    <x v="3"/>
    <n v="925"/>
    <m/>
    <x v="30"/>
    <e v="#N/A"/>
    <e v="#N/A"/>
    <n v="0"/>
    <e v="#N/A"/>
    <e v="#N/A"/>
    <e v="#DIV/0!"/>
    <n v="0"/>
    <n v="0"/>
    <n v="0"/>
    <e v="#N/A"/>
  </r>
  <r>
    <n v="50"/>
    <s v="Hosur"/>
    <x v="26"/>
    <m/>
    <n v="944141"/>
    <n v="3499307"/>
    <s v="TUB-O-N-AUT-AW-PE-19.05X2.00X6.000-ERW 1"/>
    <x v="1"/>
    <m/>
    <x v="3"/>
    <x v="1"/>
    <m/>
    <m/>
    <m/>
    <m/>
    <s v="19.05-0-2--"/>
    <m/>
    <m/>
    <x v="2"/>
    <x v="2"/>
    <x v="0"/>
    <x v="3"/>
    <n v="6000"/>
    <m/>
    <x v="30"/>
    <e v="#N/A"/>
    <e v="#N/A"/>
    <n v="0"/>
    <e v="#N/A"/>
    <e v="#N/A"/>
    <e v="#DIV/0!"/>
    <n v="0"/>
    <n v="0"/>
    <n v="0"/>
    <e v="#N/A"/>
  </r>
  <r>
    <n v="37"/>
    <s v="Hosur"/>
    <x v="26"/>
    <m/>
    <n v="944141"/>
    <n v="1259405"/>
    <s v="TUB-O-N-AUT-AW-PE-19.05X2.300X0.2100"/>
    <x v="0"/>
    <m/>
    <x v="0"/>
    <x v="1"/>
    <m/>
    <m/>
    <m/>
    <m/>
    <s v="19.05-0-2.3-ERW 1-PE"/>
    <s v="19.05-0-2.3-ERW 1-PE-0.21"/>
    <n v="2"/>
    <x v="2"/>
    <x v="2"/>
    <x v="0"/>
    <x v="7"/>
    <n v="210"/>
    <s v="NOS"/>
    <x v="7"/>
    <n v="0"/>
    <n v="2000"/>
    <n v="0.3988331445"/>
    <n v="0"/>
    <n v="0.3988331445"/>
    <n v="0"/>
    <n v="0"/>
    <n v="41.16220000000001"/>
    <n v="0.3988331445"/>
    <n v="0"/>
  </r>
  <r>
    <n v="9"/>
    <s v="Hosur"/>
    <x v="26"/>
    <m/>
    <n v="944141"/>
    <n v="1940306"/>
    <s v="TUB-O-O-AUT-AW-PE-19.05X2.300X0.2360"/>
    <x v="0"/>
    <m/>
    <x v="0"/>
    <x v="1"/>
    <m/>
    <m/>
    <m/>
    <m/>
    <s v="19.05-0-2.3-ERW 1-PE"/>
    <s v="19.05-0-2.3-ERW 1-PE-0.236"/>
    <n v="3"/>
    <x v="2"/>
    <x v="2"/>
    <x v="0"/>
    <x v="7"/>
    <n v="236"/>
    <s v="NOS"/>
    <x v="47"/>
    <n v="9150"/>
    <n v="20850"/>
    <n v="6.723187293"/>
    <n v="2.050572124365"/>
    <n v="4.672615168635"/>
    <n v="1320.703947849992"/>
    <n v="0.295978"/>
    <n v="41.16220000000001"/>
    <n v="6.427209293"/>
    <n v="0.349023464928333"/>
  </r>
  <r>
    <n v="12"/>
    <s v="Hosur"/>
    <x v="26"/>
    <m/>
    <n v="944141"/>
    <n v="1940307"/>
    <s v="TUB-O-O-AUT-AW-PE-19.05X2.300X0.2520"/>
    <x v="0"/>
    <m/>
    <x v="0"/>
    <x v="1"/>
    <m/>
    <m/>
    <m/>
    <m/>
    <s v="19.05-0-2.3-ERW 1-PE"/>
    <s v="19.05-0-2.3-ERW 1-PE-0.252"/>
    <n v="2"/>
    <x v="2"/>
    <x v="2"/>
    <x v="0"/>
    <x v="7"/>
    <n v="252"/>
    <s v="NOS"/>
    <x v="0"/>
    <n v="10250"/>
    <n v="29750"/>
    <n v="9.571995467999999"/>
    <n v="2.452823838675"/>
    <n v="7.119171629324999"/>
    <n v="3025.927049049455"/>
    <n v="0.724104"/>
    <n v="41.16220000000001"/>
    <n v="8.847891467999998"/>
    <n v="0.3318981762262364"/>
  </r>
  <r>
    <n v="13"/>
    <s v="Hosur"/>
    <x v="26"/>
    <m/>
    <n v="944141"/>
    <n v="1940309"/>
    <s v="TUB-O-O-AUT-AW-PE-19.05X2.300X0.2650"/>
    <x v="0"/>
    <m/>
    <x v="0"/>
    <x v="1"/>
    <m/>
    <m/>
    <m/>
    <m/>
    <s v="19.05-0-2.3-ERW 1-PE"/>
    <s v="19.05-0-2.3-ERW 1-PE-0.265"/>
    <n v="4"/>
    <x v="2"/>
    <x v="2"/>
    <x v="0"/>
    <x v="7"/>
    <n v="265"/>
    <s v="NOS"/>
    <x v="4"/>
    <n v="6885"/>
    <n v="3115"/>
    <n v="2.51644722125"/>
    <n v="1.732573911830625"/>
    <n v="0.7838733094193748"/>
    <n v="2514.155650304999"/>
    <n v="0.6326740000000001"/>
    <n v="41.16220000000001"/>
    <n v="1.88377322125"/>
    <n v="0.9399155650305"/>
  </r>
  <r>
    <n v="21"/>
    <s v="Hosur"/>
    <x v="26"/>
    <m/>
    <n v="944141"/>
    <n v="1940310"/>
    <s v="TUB-O-O-AUT-AW-PE-19.05X2.300X0.2810"/>
    <x v="0"/>
    <m/>
    <x v="3"/>
    <x v="1"/>
    <m/>
    <m/>
    <m/>
    <m/>
    <s v="19.05-0-2.3-ERW 1-"/>
    <m/>
    <m/>
    <x v="2"/>
    <x v="2"/>
    <x v="0"/>
    <x v="7"/>
    <n v="281"/>
    <m/>
    <x v="30"/>
    <e v="#N/A"/>
    <e v="#N/A"/>
    <n v="0"/>
    <e v="#N/A"/>
    <e v="#N/A"/>
    <e v="#DIV/0!"/>
    <n v="0"/>
    <n v="0"/>
    <n v="0"/>
    <e v="#N/A"/>
  </r>
  <r>
    <n v="23"/>
    <s v="Hosur"/>
    <x v="26"/>
    <m/>
    <n v="944141"/>
    <n v="1940312"/>
    <s v="TUB-O-O-AUT-AW-PE-19.05X2.300X0.2950"/>
    <x v="0"/>
    <m/>
    <x v="0"/>
    <x v="1"/>
    <m/>
    <m/>
    <m/>
    <m/>
    <s v="19.05-0-2.3-ERW 1-PE"/>
    <s v="19.05-0-2.3-ERW 1-PE-0.295"/>
    <n v="3"/>
    <x v="2"/>
    <x v="2"/>
    <x v="0"/>
    <x v="7"/>
    <n v="295"/>
    <s v="NOS"/>
    <x v="83"/>
    <n v="14865"/>
    <n v="40135"/>
    <n v="15.407304213125"/>
    <n v="4.164174129601875"/>
    <n v="11.24313008352313"/>
    <n v="3.998103701199389"/>
    <n v="0.00112"/>
    <n v="41.16220000000001"/>
    <n v="15.406184213125"/>
    <n v="0.2703454200672946"/>
  </r>
  <r>
    <n v="25"/>
    <s v="Hosur"/>
    <x v="26"/>
    <m/>
    <n v="944141"/>
    <n v="1940325"/>
    <s v="TUB-O-O-AUT-AW-PE-19.05X2.300X0.5700"/>
    <x v="0"/>
    <m/>
    <x v="0"/>
    <x v="1"/>
    <m/>
    <m/>
    <m/>
    <m/>
    <s v="19.05-0-2.3-ERW 1-PE"/>
    <s v="19.05-0-2.3-ERW 1-PE-0.57"/>
    <n v="3"/>
    <x v="2"/>
    <x v="2"/>
    <x v="0"/>
    <x v="7"/>
    <n v="570"/>
    <s v="NOS"/>
    <x v="6"/>
    <n v="11482"/>
    <n v="-6482"/>
    <n v="2.706367766250001"/>
    <n v="6.2149029384165"/>
    <n v="-3.5085351721665"/>
    <n v="10618.46078658379"/>
    <n v="5.747492"/>
    <n v="41.16220000000001"/>
    <n v="-3.04112423375"/>
    <n v="4.420092157316758"/>
  </r>
  <r>
    <n v="27"/>
    <s v="Hosur"/>
    <x v="26"/>
    <m/>
    <n v="944141"/>
    <n v="1940329"/>
    <s v="TUB-O-O-AUT-AW-PE-19.05X2.300X0.6100"/>
    <x v="0"/>
    <m/>
    <x v="0"/>
    <x v="1"/>
    <m/>
    <m/>
    <m/>
    <m/>
    <s v="19.05-0-2.3-ERW 1-PE"/>
    <s v="19.05-0-2.3-ERW 1-PE-0.61"/>
    <n v="3"/>
    <x v="2"/>
    <x v="2"/>
    <x v="0"/>
    <x v="7"/>
    <n v="610"/>
    <s v="NOS"/>
    <x v="6"/>
    <n v="8825"/>
    <n v="-3825"/>
    <n v="2.89628831125"/>
    <n v="5.11194886935625"/>
    <n v="-2.21566055810625"/>
    <n v="10134.51937294594"/>
    <n v="5.870498"/>
    <n v="41.16220000000001"/>
    <n v="-2.97420968875"/>
    <n v="3.791903874589187"/>
  </r>
  <r>
    <n v="39"/>
    <s v="Hosur"/>
    <x v="26"/>
    <m/>
    <n v="944141"/>
    <n v="477006"/>
    <s v="PT2-O-N-AUT-AW-PE-19.05X2.300X0.245"/>
    <x v="0"/>
    <m/>
    <x v="3"/>
    <x v="1"/>
    <m/>
    <m/>
    <m/>
    <m/>
    <s v="19.05-0-2.34-ERW 1-"/>
    <m/>
    <m/>
    <x v="2"/>
    <x v="2"/>
    <x v="0"/>
    <x v="28"/>
    <n v="245"/>
    <m/>
    <x v="30"/>
    <e v="#N/A"/>
    <e v="#N/A"/>
    <n v="0"/>
    <e v="#N/A"/>
    <e v="#N/A"/>
    <e v="#DIV/0!"/>
    <n v="0"/>
    <n v="0"/>
    <n v="0"/>
    <e v="#N/A"/>
  </r>
  <r>
    <n v="56"/>
    <s v="Khopoli "/>
    <x v="26"/>
    <m/>
    <n v="944141"/>
    <n v="2410999"/>
    <s v="TUB-O-C-AUT-AD-FC-21.70X2.750X04-05"/>
    <x v="2"/>
    <m/>
    <x v="2"/>
    <x v="1"/>
    <m/>
    <m/>
    <m/>
    <m/>
    <s v="21.7-16.2-2.75-CEW-CEW"/>
    <s v="21.7-16.2-2.75-CEW-CEW"/>
    <n v="1"/>
    <x v="40"/>
    <x v="41"/>
    <x v="21"/>
    <x v="26"/>
    <n v="1000"/>
    <s v="M"/>
    <x v="81"/>
    <n v="3915"/>
    <n v="-913.5"/>
    <n v="3.85548981901875"/>
    <n v="5.0288997639375"/>
    <n v="-1.17340994491875"/>
    <n v="14042.36117935829"/>
    <n v="18.037708"/>
    <n v="18.037708"/>
    <n v="-14.18221818098125"/>
    <n v="5.982795661955118"/>
  </r>
  <r>
    <n v="52"/>
    <s v="Hosur"/>
    <x v="26"/>
    <m/>
    <n v="944141"/>
    <n v="3180928"/>
    <s v="TUB-O-N-AUT-AW-PE-22.20X1.200X0.6300"/>
    <x v="0"/>
    <m/>
    <x v="3"/>
    <x v="1"/>
    <m/>
    <m/>
    <m/>
    <m/>
    <s v="22.23-0-1.2-ERW 1-"/>
    <m/>
    <m/>
    <x v="8"/>
    <x v="8"/>
    <x v="0"/>
    <x v="1"/>
    <n v="630"/>
    <m/>
    <x v="30"/>
    <e v="#N/A"/>
    <e v="#N/A"/>
    <n v="0"/>
    <e v="#N/A"/>
    <e v="#N/A"/>
    <e v="#DIV/0!"/>
    <n v="0"/>
    <n v="0"/>
    <n v="0"/>
    <e v="#N/A"/>
  </r>
  <r>
    <n v="43"/>
    <s v="Hosur"/>
    <x v="26"/>
    <m/>
    <n v="944141"/>
    <n v="3669081"/>
    <s v="TUB-O-N-AUT-AW-PE-22.20X1.200X1.3000"/>
    <x v="1"/>
    <m/>
    <x v="3"/>
    <x v="1"/>
    <m/>
    <m/>
    <m/>
    <m/>
    <s v="22.23-0-1.2--"/>
    <m/>
    <m/>
    <x v="8"/>
    <x v="8"/>
    <x v="0"/>
    <x v="1"/>
    <n v="1300"/>
    <m/>
    <x v="30"/>
    <e v="#N/A"/>
    <e v="#N/A"/>
    <n v="0"/>
    <e v="#N/A"/>
    <e v="#N/A"/>
    <e v="#DIV/0!"/>
    <n v="0"/>
    <n v="0"/>
    <n v="0"/>
    <e v="#N/A"/>
  </r>
  <r>
    <n v="45"/>
    <s v="Hosur"/>
    <x v="26"/>
    <m/>
    <n v="944141"/>
    <n v="3747393"/>
    <s v="CUT-O-N-AUT-AW-PE-22.23X1.200X1.3080"/>
    <x v="0"/>
    <m/>
    <x v="0"/>
    <x v="0"/>
    <m/>
    <m/>
    <m/>
    <m/>
    <s v="22.23-0-1.2-ERW 1-PE"/>
    <s v="22.23-0-1.2-ERW 1-PE-1.308"/>
    <n v="1"/>
    <x v="8"/>
    <x v="8"/>
    <x v="0"/>
    <x v="1"/>
    <n v="1308"/>
    <s v="NOS"/>
    <x v="6"/>
    <n v="0"/>
    <n v="5000"/>
    <n v="4.068155752560001"/>
    <n v="0"/>
    <n v="4.068155752560001"/>
    <n v="358.2139152570479"/>
    <n v="0.291454"/>
    <n v="6.255843"/>
    <n v="3.776701752560001"/>
    <n v="0.07164278305140957"/>
  </r>
  <r>
    <n v="3"/>
    <s v="Hosur"/>
    <x v="26"/>
    <m/>
    <n v="944141"/>
    <n v="2320560"/>
    <s v="TUB-O-N-AUT-AW-PE-22.23X1.600X0.2100"/>
    <x v="0"/>
    <m/>
    <x v="0"/>
    <x v="0"/>
    <s v="HROP"/>
    <m/>
    <m/>
    <m/>
    <s v="22.23-0-1.6-ERW 1-PE"/>
    <m/>
    <m/>
    <x v="8"/>
    <x v="8"/>
    <x v="0"/>
    <x v="0"/>
    <n v="210"/>
    <m/>
    <x v="30"/>
    <e v="#N/A"/>
    <e v="#N/A"/>
    <n v="0"/>
    <e v="#N/A"/>
    <e v="#N/A"/>
    <e v="#DIV/0!"/>
    <n v="0"/>
    <n v="68.25120299999999"/>
    <n v="0"/>
    <e v="#N/A"/>
  </r>
  <r>
    <n v="22"/>
    <s v="Hosur"/>
    <x v="26"/>
    <m/>
    <n v="944141"/>
    <n v="1940390"/>
    <s v="TUB-O-O-AUT-AW-PE-22.23X1.600X0.2830"/>
    <x v="0"/>
    <m/>
    <x v="0"/>
    <x v="0"/>
    <s v="GR1"/>
    <m/>
    <m/>
    <m/>
    <s v="22.23-0-1.6-ERW 1-PE"/>
    <s v="22.23-0-1.6-ERW 1-PE-0.283"/>
    <n v="2"/>
    <x v="8"/>
    <x v="8"/>
    <x v="0"/>
    <x v="0"/>
    <n v="283"/>
    <s v="NOS"/>
    <x v="6"/>
    <n v="0"/>
    <n v="5000"/>
    <n v="1.15126408168"/>
    <n v="0"/>
    <n v="1.15126408168"/>
    <n v="308.4435670761262"/>
    <n v="0.07101999999999999"/>
    <n v="68.25120299999999"/>
    <n v="1.08024408168"/>
    <n v="0.06168871341522525"/>
  </r>
  <r>
    <n v="28"/>
    <s v="Hosur"/>
    <x v="26"/>
    <m/>
    <n v="944141"/>
    <n v="2270133"/>
    <s v="TUB-O-N-AUT-HR-PE-22.23X1.600X0.7000"/>
    <x v="0"/>
    <m/>
    <x v="0"/>
    <x v="0"/>
    <s v="GR1"/>
    <m/>
    <m/>
    <m/>
    <s v="22.23-0-1.6-ERW 1-PE"/>
    <s v="22.23-0-1.6-ERW 1-PE-0.7"/>
    <n v="3"/>
    <x v="8"/>
    <x v="8"/>
    <x v="0"/>
    <x v="0"/>
    <n v="700"/>
    <s v="NOS"/>
    <x v="31"/>
    <n v="0"/>
    <n v="20000"/>
    <n v="11.390598688"/>
    <n v="0"/>
    <n v="11.390598688"/>
    <n v="13198.97260171124"/>
    <n v="7.51721"/>
    <n v="68.25120299999999"/>
    <n v="3.873388688"/>
    <n v="0.659948630085562"/>
  </r>
  <r>
    <n v="31"/>
    <s v="Hosur"/>
    <x v="26"/>
    <m/>
    <n v="944141"/>
    <n v="3673012"/>
    <s v="TUB-O-N-AUT-AW-PE-22.23X1.600X0.9490"/>
    <x v="0"/>
    <m/>
    <x v="0"/>
    <x v="0"/>
    <s v="HROP"/>
    <m/>
    <m/>
    <m/>
    <s v="22.23-0-1.6-ERW 1-PE"/>
    <s v="22.23-0-1.6-ERW 1-PE-0.949"/>
    <n v="2"/>
    <x v="8"/>
    <x v="8"/>
    <x v="0"/>
    <x v="0"/>
    <n v="949"/>
    <s v="NOS"/>
    <x v="2"/>
    <n v="1683"/>
    <n v="2317"/>
    <n v="3.088479472832"/>
    <n v="1.299477738194064"/>
    <n v="1.789001734637936"/>
    <n v="537.2067435107899"/>
    <n v="0.414788"/>
    <n v="68.25120299999999"/>
    <n v="2.673691472832"/>
    <n v="0.5550516858776975"/>
  </r>
  <r>
    <n v="24"/>
    <s v="Hosur"/>
    <x v="26"/>
    <m/>
    <n v="944141"/>
    <n v="1940418"/>
    <s v="TUB-O-O-AUT-AW-PE-22.23X1.600X0.9670"/>
    <x v="0"/>
    <m/>
    <x v="0"/>
    <x v="0"/>
    <s v="GR1"/>
    <m/>
    <m/>
    <m/>
    <s v="22.23-0-1.6-ERW 1-PE"/>
    <s v="22.23-0-1.6-ERW 1-PE-0.967"/>
    <n v="3"/>
    <x v="8"/>
    <x v="8"/>
    <x v="0"/>
    <x v="0"/>
    <n v="967"/>
    <s v="NOS"/>
    <x v="9"/>
    <n v="0"/>
    <n v="1000"/>
    <n v="0.786764923664"/>
    <n v="0"/>
    <n v="0.786764923664"/>
    <n v="1909.430574260792"/>
    <n v="1.502273"/>
    <n v="68.25120299999999"/>
    <n v="-0.715508076336"/>
    <n v="1.909430574260792"/>
  </r>
  <r>
    <n v="30"/>
    <s v="Hosur"/>
    <x v="26"/>
    <m/>
    <n v="944141"/>
    <n v="3673011"/>
    <s v="TUB-O-N-AUT-AW-PE-22.23X1.600X1.304"/>
    <x v="0"/>
    <m/>
    <x v="0"/>
    <x v="0"/>
    <s v="HROP"/>
    <m/>
    <m/>
    <m/>
    <s v="22.23-0-1.6-ERW 1-PE"/>
    <s v="22.23-0-1.6-ERW 1-PE-1.304"/>
    <n v="1"/>
    <x v="8"/>
    <x v="8"/>
    <x v="0"/>
    <x v="0"/>
    <n v="1304"/>
    <s v="NOS"/>
    <x v="4"/>
    <n v="0"/>
    <n v="10000"/>
    <n v="10.60952906368"/>
    <n v="0"/>
    <n v="10.60952906368"/>
    <n v="806.5428680801333"/>
    <n v="0.855704"/>
    <n v="68.25120299999999"/>
    <n v="9.753825063680003"/>
    <n v="0.08065428680801333"/>
  </r>
  <r>
    <n v="51"/>
    <s v="Hosur"/>
    <x v="26"/>
    <m/>
    <n v="944141"/>
    <n v="1385283"/>
    <s v="TUB-O-N-AUT-AW-PE-22.20X1.600X1.3370"/>
    <x v="0"/>
    <m/>
    <x v="0"/>
    <x v="1"/>
    <m/>
    <m/>
    <m/>
    <m/>
    <s v="22.23-0-1.6-ERW 1-PE"/>
    <s v="22.23-0-1.6-ERW 1-PE-1.337"/>
    <n v="1"/>
    <x v="8"/>
    <x v="8"/>
    <x v="0"/>
    <x v="0"/>
    <n v="1337"/>
    <s v="NOS"/>
    <x v="11"/>
    <n v="0"/>
    <n v="3000"/>
    <n v="3.263406524112"/>
    <n v="0"/>
    <n v="3.263406524112"/>
    <n v="1512.21337689237"/>
    <n v="1.644989"/>
    <n v="68.25120299999999"/>
    <n v="1.618417524112"/>
    <n v="0.5040711256307902"/>
  </r>
  <r>
    <n v="8"/>
    <s v="Hosur"/>
    <x v="26"/>
    <m/>
    <n v="944141"/>
    <n v="1940430"/>
    <s v="TUB-O-N-AUT-AW-PE-22.23X2.000X0.2200"/>
    <x v="0"/>
    <m/>
    <x v="0"/>
    <x v="1"/>
    <m/>
    <m/>
    <m/>
    <m/>
    <s v="22.23-0-2-ERW 1-PE"/>
    <s v="22.23-0-2-ERW 1-PE-0.22"/>
    <n v="2"/>
    <x v="8"/>
    <x v="8"/>
    <x v="0"/>
    <x v="3"/>
    <n v="220"/>
    <s v="NOS"/>
    <x v="4"/>
    <n v="5204"/>
    <n v="4796"/>
    <n v="2.194056788"/>
    <n v="1.1417871524752"/>
    <n v="1.0522696355248"/>
    <n v="608.8857896963422"/>
    <n v="0.133593"/>
    <n v="45.493454"/>
    <n v="2.060463788"/>
    <n v="0.5812885789696343"/>
  </r>
  <r>
    <n v="46"/>
    <s v="Hosur"/>
    <x v="26"/>
    <m/>
    <n v="944141"/>
    <n v="1902768"/>
    <s v="TUB-O-N-AUT-AW-PE-22.23X2.000X0.3050"/>
    <x v="0"/>
    <m/>
    <x v="3"/>
    <x v="1"/>
    <m/>
    <m/>
    <m/>
    <m/>
    <s v="22.23-0-2-ERW 1-"/>
    <m/>
    <m/>
    <x v="8"/>
    <x v="8"/>
    <x v="0"/>
    <x v="3"/>
    <n v="305"/>
    <m/>
    <x v="30"/>
    <e v="#N/A"/>
    <e v="#N/A"/>
    <n v="0"/>
    <e v="#N/A"/>
    <e v="#N/A"/>
    <e v="#DIV/0!"/>
    <n v="0"/>
    <n v="0"/>
    <n v="0"/>
    <e v="#N/A"/>
  </r>
  <r>
    <n v="26"/>
    <s v="Hosur"/>
    <x v="26"/>
    <m/>
    <n v="944141"/>
    <n v="1940449"/>
    <s v="TUB-O-O-AUT-AW-PE-22.23X2.000X0.5740"/>
    <x v="0"/>
    <m/>
    <x v="3"/>
    <x v="1"/>
    <m/>
    <m/>
    <m/>
    <m/>
    <s v="22.23-0-2-ERW 1-"/>
    <m/>
    <m/>
    <x v="8"/>
    <x v="8"/>
    <x v="0"/>
    <x v="3"/>
    <n v="574"/>
    <m/>
    <x v="30"/>
    <e v="#N/A"/>
    <e v="#N/A"/>
    <n v="0"/>
    <e v="#N/A"/>
    <e v="#N/A"/>
    <e v="#DIV/0!"/>
    <n v="0"/>
    <n v="0"/>
    <n v="0"/>
    <e v="#N/A"/>
  </r>
  <r>
    <n v="47"/>
    <s v="Hosur"/>
    <x v="26"/>
    <m/>
    <n v="944141"/>
    <n v="1936862"/>
    <s v="TUB-O-N-AUT-AW-PE-22.20X2.000X0.8050"/>
    <x v="0"/>
    <m/>
    <x v="3"/>
    <x v="1"/>
    <m/>
    <m/>
    <m/>
    <m/>
    <s v="22.23-0-2-ERW 1-"/>
    <m/>
    <m/>
    <x v="8"/>
    <x v="8"/>
    <x v="0"/>
    <x v="3"/>
    <n v="805"/>
    <m/>
    <x v="30"/>
    <e v="#N/A"/>
    <e v="#N/A"/>
    <n v="0"/>
    <e v="#N/A"/>
    <e v="#N/A"/>
    <e v="#DIV/0!"/>
    <n v="0"/>
    <n v="0"/>
    <n v="0"/>
    <e v="#N/A"/>
  </r>
  <r>
    <n v="38"/>
    <s v="Hosur"/>
    <x v="26"/>
    <m/>
    <n v="944141"/>
    <n v="3673948"/>
    <s v="CUT-O-N-AUT-AW-PE-22.20X2.300X0.2450"/>
    <x v="1"/>
    <m/>
    <x v="0"/>
    <x v="1"/>
    <m/>
    <m/>
    <m/>
    <m/>
    <s v="22.23-0-2.3--PE"/>
    <m/>
    <m/>
    <x v="8"/>
    <x v="8"/>
    <x v="0"/>
    <x v="7"/>
    <n v="245"/>
    <m/>
    <x v="30"/>
    <e v="#N/A"/>
    <e v="#N/A"/>
    <n v="0"/>
    <e v="#N/A"/>
    <e v="#N/A"/>
    <e v="#DIV/0!"/>
    <n v="0"/>
    <n v="0"/>
    <n v="0"/>
    <e v="#N/A"/>
  </r>
  <r>
    <n v="19"/>
    <s v="Hosur"/>
    <x v="26"/>
    <m/>
    <n v="944141"/>
    <n v="1940498"/>
    <s v="TUB-O-O-AUT-AW-PE-22.23X2.300X0.2810"/>
    <x v="0"/>
    <m/>
    <x v="0"/>
    <x v="1"/>
    <m/>
    <m/>
    <m/>
    <m/>
    <s v="22.23-0-2.3-ERW 1-PE"/>
    <s v="22.23-0-2.3-ERW 1-PE-0.281"/>
    <n v="3"/>
    <x v="8"/>
    <x v="8"/>
    <x v="0"/>
    <x v="7"/>
    <n v="281"/>
    <s v="NOS"/>
    <x v="47"/>
    <n v="0"/>
    <n v="30000"/>
    <n v="9.524934857730001"/>
    <n v="0"/>
    <n v="9.524934857730001"/>
    <n v="430.8375922035441"/>
    <n v="0.13679"/>
    <n v="3.409989"/>
    <n v="9.388144857730001"/>
    <n v="0.01436125307345147"/>
  </r>
  <r>
    <n v="18"/>
    <s v="Hosur"/>
    <x v="26"/>
    <m/>
    <n v="944141"/>
    <s v="NO MATERIAL CODE"/>
    <s v="TUB-O-O-AUT-AW-PE-22.23X2.300X0.4270"/>
    <x v="0"/>
    <m/>
    <x v="0"/>
    <x v="1"/>
    <m/>
    <m/>
    <m/>
    <m/>
    <s v="22.23-0-2.3-ERW 1-PE"/>
    <s v="22.23-0-2.3-ERW 1-PE-0.427"/>
    <n v="0"/>
    <x v="8"/>
    <x v="8"/>
    <x v="0"/>
    <x v="7"/>
    <n v="427"/>
    <s v="NOS"/>
    <x v="6"/>
    <n v="0"/>
    <n v="5000"/>
    <n v="2.412305565985"/>
    <n v="0"/>
    <n v="2.412305565985"/>
    <n v="0"/>
    <n v="0"/>
    <n v="3.409989"/>
    <n v="2.412305565985"/>
    <n v="0"/>
  </r>
  <r>
    <n v="20"/>
    <s v="Hosur"/>
    <x v="26"/>
    <m/>
    <n v="944141"/>
    <n v="1940584"/>
    <s v="TUB-O-O-AUT-AW-FC-25.40X2.000X0.2810"/>
    <x v="0"/>
    <m/>
    <x v="1"/>
    <x v="1"/>
    <m/>
    <m/>
    <m/>
    <m/>
    <s v="25.4-0-2-ERW 1-FC"/>
    <s v="25.4-0-2-ERW 1-FC-0.281"/>
    <n v="1"/>
    <x v="3"/>
    <x v="3"/>
    <x v="0"/>
    <x v="3"/>
    <n v="281"/>
    <s v="NOS"/>
    <x v="31"/>
    <n v="0"/>
    <n v="20000"/>
    <n v="6.483081384"/>
    <n v="0"/>
    <n v="6.483081384"/>
    <n v="0"/>
    <n v="0"/>
    <n v="18.57959"/>
    <n v="6.483081384"/>
    <n v="0"/>
  </r>
  <r>
    <n v="55"/>
    <s v="Hosur"/>
    <x v="26"/>
    <m/>
    <n v="944141"/>
    <n v="1940621"/>
    <s v="TUB-O-O-GEN-AW-PE-28.58X1.600X6.0000"/>
    <x v="0"/>
    <m/>
    <x v="0"/>
    <x v="0"/>
    <s v="GR1"/>
    <m/>
    <m/>
    <m/>
    <s v="28.58-0-1.6-ERW 1-PE"/>
    <m/>
    <m/>
    <x v="9"/>
    <x v="9"/>
    <x v="0"/>
    <x v="0"/>
    <n v="6000"/>
    <m/>
    <x v="30"/>
    <e v="#N/A"/>
    <e v="#N/A"/>
    <n v="0"/>
    <e v="#N/A"/>
    <e v="#N/A"/>
    <e v="#DIV/0!"/>
    <n v="0"/>
    <n v="0"/>
    <n v="0"/>
    <e v="#N/A"/>
  </r>
  <r>
    <n v="366"/>
    <s v="Hosur"/>
    <x v="27"/>
    <m/>
    <m/>
    <n v="1941860"/>
    <s v="TUB-R-AW-RHS-40.00X30.00X1.600X0.4000"/>
    <x v="0"/>
    <m/>
    <x v="1"/>
    <x v="0"/>
    <s v="GR1"/>
    <m/>
    <m/>
    <m/>
    <s v="40-30-1.6-ERW 1-FC"/>
    <m/>
    <m/>
    <x v="17"/>
    <x v="15"/>
    <x v="1"/>
    <x v="0"/>
    <n v="400"/>
    <m/>
    <x v="30"/>
    <e v="#N/A"/>
    <e v="#N/A"/>
    <n v="0"/>
    <e v="#N/A"/>
    <e v="#N/A"/>
    <e v="#DIV/0!"/>
    <n v="0"/>
    <n v="23.114797"/>
    <e v="#REF!"/>
    <e v="#N/A"/>
  </r>
</pivotCacheRecords>
</file>

<file path=xl/pivotCache/pivotCacheRecords3.xml><?xml version="1.0" encoding="utf-8"?>
<pivotCacheRecords xmlns="http://schemas.openxmlformats.org/spreadsheetml/2006/main" count="67">
  <r>
    <x v="0"/>
    <s v="RUCHA"/>
    <s v="CEW AN"/>
    <s v="NON FIN"/>
    <s v="CEW "/>
    <x v="0"/>
    <m/>
    <x v="0"/>
    <x v="0"/>
    <x v="0"/>
    <n v="0"/>
    <m/>
    <s v="111.56CEW NON FIN"/>
    <s v="No Key"/>
    <s v="No Key"/>
    <m/>
    <x v="0"/>
    <n v="2442390"/>
    <b v="1"/>
    <x v="0"/>
    <x v="0"/>
    <n v="1"/>
    <n v="0"/>
    <n v="0"/>
    <m/>
    <n v="0"/>
    <n v="0"/>
    <n v="0"/>
    <n v="1"/>
    <n v="1"/>
    <n v="0"/>
    <n v="0"/>
    <n v="1"/>
    <n v="0"/>
    <n v="1"/>
    <m/>
  </r>
  <r>
    <x v="0"/>
    <s v="RUCHA"/>
    <s v="ERW1"/>
    <s v="NON FIN"/>
    <s v="ERW"/>
    <x v="1"/>
    <m/>
    <x v="1"/>
    <x v="0"/>
    <x v="0"/>
    <n v="0"/>
    <m/>
    <s v="12.71.26ERWNON FIN"/>
    <s v="No Key"/>
    <s v="No Key"/>
    <s v="Value Added"/>
    <x v="1"/>
    <n v="1939985"/>
    <b v="1"/>
    <x v="1"/>
    <x v="1"/>
    <n v="8"/>
    <n v="0"/>
    <n v="7"/>
    <m/>
    <n v="7"/>
    <n v="0"/>
    <n v="7"/>
    <n v="1"/>
    <n v="1"/>
    <n v="0"/>
    <n v="0"/>
    <n v="1"/>
    <n v="0"/>
    <n v="1"/>
    <n v="4"/>
  </r>
  <r>
    <x v="1"/>
    <s v="BADVE"/>
    <s v="ERW1"/>
    <s v="NON FIN"/>
    <s v="ERW"/>
    <x v="1"/>
    <m/>
    <x v="2"/>
    <x v="0"/>
    <x v="0"/>
    <n v="0"/>
    <m/>
    <s v="12.71.46ERWNON FIN"/>
    <s v="No Key"/>
    <s v="No Key"/>
    <m/>
    <x v="1"/>
    <n v="1931117"/>
    <b v="1"/>
    <x v="1"/>
    <x v="2"/>
    <n v="5"/>
    <n v="0"/>
    <n v="7"/>
    <m/>
    <n v="7"/>
    <n v="0"/>
    <n v="7"/>
    <n v="-2"/>
    <n v="0"/>
    <n v="0"/>
    <n v="0"/>
    <n v="0"/>
    <n v="0"/>
    <n v="0"/>
    <m/>
  </r>
  <r>
    <x v="1"/>
    <s v="BADVE"/>
    <s v="ERW1"/>
    <s v="NON FIN"/>
    <s v="ERW"/>
    <x v="1"/>
    <m/>
    <x v="3"/>
    <x v="0"/>
    <x v="0"/>
    <n v="0"/>
    <m/>
    <s v="12.71.66ERWNON FIN"/>
    <s v="No Key"/>
    <s v="No Key"/>
    <m/>
    <x v="1"/>
    <n v="1931154"/>
    <b v="1"/>
    <x v="1"/>
    <x v="3"/>
    <n v="2"/>
    <n v="0"/>
    <n v="4"/>
    <m/>
    <n v="4"/>
    <n v="0"/>
    <n v="4"/>
    <n v="-2"/>
    <n v="0"/>
    <n v="0"/>
    <n v="0"/>
    <n v="0"/>
    <n v="0"/>
    <n v="0"/>
    <m/>
  </r>
  <r>
    <x v="0"/>
    <s v="RUCHA"/>
    <s v="ERW1"/>
    <s v="NON FIN"/>
    <s v="ERW"/>
    <x v="1"/>
    <m/>
    <x v="4"/>
    <x v="0"/>
    <x v="0"/>
    <n v="0"/>
    <m/>
    <s v="12.726ERWNON FIN"/>
    <n v="0"/>
    <e v="#N/A"/>
    <m/>
    <x v="1"/>
    <n v="236166"/>
    <b v="1"/>
    <x v="1"/>
    <x v="4"/>
    <n v="3"/>
    <n v="0"/>
    <n v="0"/>
    <m/>
    <n v="0"/>
    <n v="0"/>
    <n v="0"/>
    <n v="3"/>
    <n v="3"/>
    <n v="0"/>
    <n v="0"/>
    <n v="3"/>
    <n v="0"/>
    <n v="3"/>
    <m/>
  </r>
  <r>
    <x v="1"/>
    <s v="BADVE"/>
    <s v="ERW1"/>
    <s v="NON FIN"/>
    <s v="ERW"/>
    <x v="2"/>
    <m/>
    <x v="5"/>
    <x v="0"/>
    <x v="0"/>
    <n v="0"/>
    <m/>
    <s v="15.8816ERWNON FIN"/>
    <s v="15.88-0-1-ERW 1-PE"/>
    <s v="15.88-0-1-ERW 1-PE-6"/>
    <m/>
    <x v="1"/>
    <n v="1940054"/>
    <b v="1"/>
    <x v="1"/>
    <x v="5"/>
    <n v="1"/>
    <n v="0"/>
    <n v="1.4"/>
    <m/>
    <n v="1.4"/>
    <n v="0"/>
    <n v="1.4"/>
    <n v="-0.3999999999999999"/>
    <n v="0"/>
    <n v="0"/>
    <n v="0"/>
    <n v="0"/>
    <n v="0"/>
    <n v="0"/>
    <m/>
  </r>
  <r>
    <x v="0"/>
    <s v="RUCHA"/>
    <s v="ERW1"/>
    <s v="NON FIN"/>
    <s v="ERW"/>
    <x v="2"/>
    <m/>
    <x v="1"/>
    <x v="0"/>
    <x v="0"/>
    <n v="0"/>
    <m/>
    <s v="15.881.26ERWNON FIN"/>
    <s v="15.88-0-1-ERW 1-PE"/>
    <s v="15.88-0-1-ERW 1-PE-6"/>
    <m/>
    <x v="1"/>
    <n v="1940054"/>
    <b v="1"/>
    <x v="1"/>
    <x v="5"/>
    <n v="5"/>
    <n v="2"/>
    <n v="0"/>
    <m/>
    <n v="-2"/>
    <n v="0"/>
    <n v="-2"/>
    <n v="7"/>
    <n v="7"/>
    <n v="0"/>
    <n v="0"/>
    <n v="7"/>
    <n v="0"/>
    <n v="7"/>
    <m/>
  </r>
  <r>
    <x v="1"/>
    <s v="BADVE"/>
    <s v="ERW1"/>
    <s v="NON FIN"/>
    <s v="ERW"/>
    <x v="2"/>
    <m/>
    <x v="3"/>
    <x v="0"/>
    <x v="0"/>
    <n v="0"/>
    <m/>
    <s v="15.881.66ERWNON FIN"/>
    <s v="15.88-0-1.6-ERW 1-PE"/>
    <s v="15.88-0-1.6-ERW 1-PE-6"/>
    <m/>
    <x v="1"/>
    <n v="1900224"/>
    <b v="1"/>
    <x v="1"/>
    <x v="6"/>
    <n v="2"/>
    <n v="0"/>
    <n v="4"/>
    <m/>
    <n v="4"/>
    <n v="0"/>
    <n v="4"/>
    <n v="-2"/>
    <n v="0"/>
    <n v="0"/>
    <n v="0"/>
    <n v="0"/>
    <n v="0"/>
    <n v="0"/>
    <m/>
  </r>
  <r>
    <x v="1"/>
    <s v="BADVE"/>
    <s v="ERW1"/>
    <s v="NON FIN"/>
    <s v="ERW"/>
    <x v="2"/>
    <m/>
    <x v="4"/>
    <x v="0"/>
    <x v="0"/>
    <n v="0"/>
    <m/>
    <s v="15.8826ERWNON FIN"/>
    <s v="15.88-0-2-ERW 1-PE"/>
    <s v="15.88-0-2-ERW 1-PE-6"/>
    <m/>
    <x v="1"/>
    <n v="1940120"/>
    <b v="1"/>
    <x v="1"/>
    <x v="7"/>
    <n v="5"/>
    <n v="0"/>
    <n v="2"/>
    <m/>
    <n v="2"/>
    <n v="0"/>
    <n v="2"/>
    <n v="3"/>
    <n v="3"/>
    <n v="0"/>
    <n v="0"/>
    <n v="3"/>
    <n v="0"/>
    <n v="3"/>
    <m/>
  </r>
  <r>
    <x v="0"/>
    <s v="RUCHA"/>
    <s v="ERW1"/>
    <s v="NON FIN"/>
    <s v="ERW"/>
    <x v="3"/>
    <m/>
    <x v="5"/>
    <x v="0"/>
    <x v="0"/>
    <n v="0"/>
    <m/>
    <s v="18.316ERWNON FIN"/>
    <n v="0"/>
    <e v="#N/A"/>
    <m/>
    <x v="1"/>
    <n v="2288945"/>
    <b v="1"/>
    <x v="1"/>
    <x v="8"/>
    <n v="10"/>
    <n v="2"/>
    <n v="6"/>
    <m/>
    <n v="4"/>
    <n v="0"/>
    <n v="4"/>
    <n v="6"/>
    <n v="6"/>
    <n v="0"/>
    <n v="0"/>
    <n v="6"/>
    <n v="0"/>
    <n v="6"/>
    <m/>
  </r>
  <r>
    <x v="1"/>
    <s v="BADVE"/>
    <s v="ERW1"/>
    <s v="NON FIN"/>
    <s v="ERW"/>
    <x v="4"/>
    <m/>
    <x v="3"/>
    <x v="0"/>
    <x v="0"/>
    <n v="0"/>
    <m/>
    <s v="19.051.66ERWNON FIN"/>
    <s v="19.05-0-1.6-ERW 1-PE"/>
    <s v="19.05-0-1.6-ERW 1-PE-6"/>
    <m/>
    <x v="2"/>
    <n v="3498997"/>
    <b v="1"/>
    <x v="2"/>
    <x v="9"/>
    <n v="10"/>
    <n v="2"/>
    <n v="1"/>
    <m/>
    <n v="-1"/>
    <n v="6.4"/>
    <n v="5.4"/>
    <n v="4.6"/>
    <n v="4.6"/>
    <n v="10.74"/>
    <n v="12.04182"/>
    <n v="11"/>
    <n v="22.78182"/>
    <n v="0"/>
    <m/>
  </r>
  <r>
    <x v="1"/>
    <s v="BADVE"/>
    <s v="ERW2"/>
    <s v="NON FIN"/>
    <s v="ERW2"/>
    <x v="4"/>
    <m/>
    <x v="2"/>
    <x v="0"/>
    <x v="0"/>
    <n v="0"/>
    <m/>
    <s v="19.051.46ERW2NON FIN"/>
    <s v="No Key"/>
    <s v="No Key"/>
    <m/>
    <x v="2"/>
    <n v="3891285"/>
    <b v="1"/>
    <x v="2"/>
    <x v="10"/>
    <n v="5"/>
    <n v="0"/>
    <n v="0"/>
    <m/>
    <n v="0"/>
    <n v="7.5"/>
    <n v="7.5"/>
    <n v="-2.5"/>
    <n v="0"/>
    <n v="0"/>
    <n v="0"/>
    <n v="7.5"/>
    <n v="0"/>
    <n v="7.5"/>
    <m/>
  </r>
  <r>
    <x v="0"/>
    <s v="RUCHA"/>
    <s v="ERW1"/>
    <s v="NON FIN"/>
    <s v="ERW"/>
    <x v="4"/>
    <m/>
    <x v="4"/>
    <x v="1"/>
    <x v="1"/>
    <n v="0"/>
    <m/>
    <s v="19.0525.8ERWNON FIN"/>
    <s v="19.05-0-2-ERW 1-PE"/>
    <s v="19.05-0-2-ERW 1-PE-5.8"/>
    <s v="Value Added"/>
    <x v="2"/>
    <n v="3212868"/>
    <b v="1"/>
    <x v="2"/>
    <x v="11"/>
    <n v="35"/>
    <n v="6"/>
    <n v="50"/>
    <m/>
    <n v="44"/>
    <n v="17.5"/>
    <n v="61.5"/>
    <n v="-26.5"/>
    <n v="0"/>
    <n v="0"/>
    <n v="0"/>
    <n v="17.5"/>
    <n v="0"/>
    <n v="17.5"/>
    <n v="50"/>
  </r>
  <r>
    <x v="0"/>
    <s v="RUCHA,METALMAN"/>
    <s v="ERW1"/>
    <s v="NON FIN"/>
    <s v="ERW"/>
    <x v="4"/>
    <m/>
    <x v="6"/>
    <x v="2"/>
    <x v="2"/>
    <n v="0"/>
    <m/>
    <s v="19.052.37ERWNON FIN"/>
    <s v="19.05-0-2.3-ERW 1-PE"/>
    <s v="19.05-0-2.3-ERW 1-PE-7"/>
    <m/>
    <x v="2"/>
    <n v="3500582"/>
    <b v="1"/>
    <x v="2"/>
    <x v="12"/>
    <n v="20"/>
    <n v="3"/>
    <n v="4"/>
    <m/>
    <n v="1"/>
    <n v="29.7"/>
    <n v="30.7"/>
    <n v="-10.7"/>
    <n v="0"/>
    <n v="20.52"/>
    <n v="4.276336000000001"/>
    <n v="29.7"/>
    <n v="24.796336"/>
    <n v="4.903663999999999"/>
    <m/>
  </r>
  <r>
    <x v="0"/>
    <s v="RUCHA"/>
    <s v="ERW1"/>
    <s v="NON FIN"/>
    <s v="ERW"/>
    <x v="5"/>
    <m/>
    <x v="3"/>
    <x v="0"/>
    <x v="0"/>
    <n v="0"/>
    <m/>
    <s v="21.41.66ERWNON FIN"/>
    <s v="21.4-0-1.6-ERW 1-PE"/>
    <s v="21.4-0-1.6-ERW 1-PE-6"/>
    <m/>
    <x v="1"/>
    <n v="3219710"/>
    <b v="1"/>
    <x v="1"/>
    <x v="13"/>
    <n v="10"/>
    <n v="1"/>
    <n v="8"/>
    <m/>
    <n v="7"/>
    <n v="0"/>
    <n v="7"/>
    <n v="3"/>
    <n v="3"/>
    <n v="0"/>
    <n v="0"/>
    <n v="3"/>
    <n v="0"/>
    <n v="3"/>
    <m/>
  </r>
  <r>
    <x v="0"/>
    <s v="RUCHA"/>
    <s v="ERW1"/>
    <s v="NON FIN"/>
    <s v="ERW"/>
    <x v="6"/>
    <m/>
    <x v="1"/>
    <x v="3"/>
    <x v="3"/>
    <n v="0"/>
    <m/>
    <s v="22.21.25.87ERWNON FIN"/>
    <s v="22.23-0-1.2-ERW 1-PE"/>
    <s v="22.23-0-1.2-ERW 1-PE-5.87"/>
    <s v="Value Added"/>
    <x v="2"/>
    <n v="3882110"/>
    <b v="1"/>
    <x v="2"/>
    <x v="14"/>
    <n v="20"/>
    <n v="3"/>
    <n v="17"/>
    <m/>
    <n v="14"/>
    <n v="17"/>
    <n v="31"/>
    <n v="-11"/>
    <n v="0"/>
    <n v="7.327685000000002"/>
    <n v="12.956145"/>
    <n v="17"/>
    <n v="20.28383"/>
    <n v="0"/>
    <n v="35"/>
  </r>
  <r>
    <x v="1"/>
    <s v="BADVE"/>
    <s v="ERW2"/>
    <s v="NON FIN"/>
    <s v="ERW-2"/>
    <x v="6"/>
    <m/>
    <x v="2"/>
    <x v="0"/>
    <x v="0"/>
    <n v="0"/>
    <m/>
    <s v="22.21.46ERW-2NON FIN"/>
    <s v="No Key"/>
    <s v="No Key"/>
    <m/>
    <x v="2"/>
    <n v="3829175"/>
    <b v="1"/>
    <x v="2"/>
    <x v="15"/>
    <n v="5"/>
    <n v="0"/>
    <n v="6"/>
    <m/>
    <n v="6"/>
    <n v="5.5"/>
    <n v="11.5"/>
    <n v="-6.5"/>
    <n v="0"/>
    <n v="0"/>
    <n v="0"/>
    <n v="5.5"/>
    <n v="0"/>
    <n v="5.5"/>
    <m/>
  </r>
  <r>
    <x v="0"/>
    <s v="RUCHA"/>
    <s v="ERW1"/>
    <s v="NON FIN"/>
    <s v="ERW"/>
    <x v="6"/>
    <m/>
    <x v="3"/>
    <x v="4"/>
    <x v="4"/>
    <n v="0"/>
    <m/>
    <s v="22.21.65.27ERWNON FIN"/>
    <s v="22.23-0-1.6-ERW 1-PE"/>
    <s v="22.23-0-1.6-ERW 1-PE-5.27"/>
    <s v="Value Added"/>
    <x v="1"/>
    <n v="3575894"/>
    <b v="1"/>
    <x v="1"/>
    <x v="16"/>
    <n v="25"/>
    <n v="3"/>
    <n v="10"/>
    <m/>
    <n v="7"/>
    <n v="0"/>
    <n v="7"/>
    <n v="18"/>
    <n v="18"/>
    <n v="43.08"/>
    <n v="0"/>
    <n v="18"/>
    <n v="43.08"/>
    <n v="0"/>
    <n v="3"/>
  </r>
  <r>
    <x v="0"/>
    <s v="RUCHA"/>
    <s v="ERW1"/>
    <s v="NON FIN"/>
    <s v="ERW"/>
    <x v="6"/>
    <m/>
    <x v="3"/>
    <x v="5"/>
    <x v="5"/>
    <n v="0"/>
    <m/>
    <s v="22.21.65.67ERWNON FIN"/>
    <s v="22.23-0-1.6-ERW 1-PE"/>
    <s v="22.23-0-1.6-ERW 1-PE-5.67"/>
    <s v="Value Added"/>
    <x v="2"/>
    <n v="4055022"/>
    <b v="1"/>
    <x v="2"/>
    <x v="17"/>
    <n v="40"/>
    <n v="10"/>
    <n v="59"/>
    <m/>
    <n v="49"/>
    <n v="0"/>
    <n v="49"/>
    <n v="-9"/>
    <n v="0"/>
    <n v="27.178328"/>
    <n v="1.881885"/>
    <n v="0"/>
    <n v="29.060213"/>
    <n v="0"/>
    <n v="38"/>
  </r>
  <r>
    <x v="0"/>
    <s v="RUCHA"/>
    <s v="ERW1"/>
    <s v="NON FIN"/>
    <s v="ERW"/>
    <x v="6"/>
    <m/>
    <x v="4"/>
    <x v="6"/>
    <x v="6"/>
    <n v="0"/>
    <m/>
    <s v="22.225.95ERWNON FIN"/>
    <s v="22.23-0-2-ERW 1-PE"/>
    <s v="22.23-0-2-ERW 1-PE-5.951"/>
    <s v="Value Added"/>
    <x v="2"/>
    <n v="3905466"/>
    <b v="1"/>
    <x v="2"/>
    <x v="18"/>
    <n v="50"/>
    <n v="10"/>
    <n v="0"/>
    <m/>
    <n v="-10"/>
    <n v="3.7"/>
    <n v="-6.3"/>
    <n v="56.3"/>
    <n v="56.3"/>
    <n v="85.54294599999996"/>
    <n v="51.635232"/>
    <n v="60"/>
    <n v="137.1781779999999"/>
    <n v="0"/>
    <n v="0"/>
  </r>
  <r>
    <x v="0"/>
    <s v="RUCHA"/>
    <s v="ERW1"/>
    <s v="NON FIN"/>
    <s v="ERW"/>
    <x v="6"/>
    <m/>
    <x v="4"/>
    <x v="7"/>
    <x v="7"/>
    <n v="0"/>
    <m/>
    <s v="22.225.1ERWNON FIN"/>
    <s v="22.23-0-2-ERW 1-PE"/>
    <s v="22.23-0-2-ERW 1-PE-5.1"/>
    <m/>
    <x v="2"/>
    <n v="3500554"/>
    <b v="1"/>
    <x v="2"/>
    <x v="19"/>
    <n v="20"/>
    <n v="5"/>
    <n v="5"/>
    <m/>
    <n v="0"/>
    <n v="2.6"/>
    <n v="2.6"/>
    <n v="17.4"/>
    <n v="17.4"/>
    <n v="0"/>
    <n v="0"/>
    <n v="20"/>
    <n v="0"/>
    <n v="20"/>
    <m/>
  </r>
  <r>
    <x v="0"/>
    <s v="RUCHA"/>
    <s v="ERW2"/>
    <s v="FIN CUT"/>
    <s v="HST"/>
    <x v="6"/>
    <m/>
    <x v="4"/>
    <x v="0"/>
    <x v="8"/>
    <n v="0"/>
    <m/>
    <s v="22.226000HSTFIN CUT"/>
    <s v="22.23-0-2-ERW 2 MAHS-FC"/>
    <s v="22.23-0-2-ERW 2 MAHS-FC-6.001"/>
    <s v="Value Added"/>
    <x v="2"/>
    <n v="3502494"/>
    <b v="1"/>
    <x v="2"/>
    <x v="20"/>
    <n v="50"/>
    <n v="10"/>
    <n v="0"/>
    <n v="101"/>
    <n v="-10"/>
    <n v="30"/>
    <n v="20"/>
    <n v="30"/>
    <n v="30"/>
    <n v="0"/>
    <n v="0"/>
    <n v="60"/>
    <n v="0"/>
    <n v="60"/>
    <n v="5"/>
  </r>
  <r>
    <x v="1"/>
    <s v="BADVE"/>
    <s v="CR ERW 1"/>
    <s v="FIN CUT"/>
    <s v="CR ERW "/>
    <x v="6"/>
    <m/>
    <x v="4"/>
    <x v="8"/>
    <x v="9"/>
    <n v="0"/>
    <m/>
    <s v="22.225.39CR ERW FIN CUT"/>
    <s v="22.23-0-2-ERW 1-FC"/>
    <s v="22.23-0-2-ERW 1-PE-5.39"/>
    <m/>
    <x v="1"/>
    <n v="2431251"/>
    <b v="1"/>
    <x v="1"/>
    <x v="21"/>
    <n v="50"/>
    <n v="3"/>
    <n v="0"/>
    <m/>
    <n v="-3"/>
    <n v="0"/>
    <n v="-3"/>
    <n v="53"/>
    <n v="53"/>
    <n v="4.5"/>
    <n v="22.54"/>
    <n v="53"/>
    <n v="27.04"/>
    <n v="25.96"/>
    <m/>
  </r>
  <r>
    <x v="1"/>
    <s v="BADVE"/>
    <s v="ERW2"/>
    <s v="FIN CUT"/>
    <s v="HST"/>
    <x v="7"/>
    <m/>
    <x v="2"/>
    <x v="9"/>
    <x v="10"/>
    <n v="0"/>
    <m/>
    <s v="25.41.45.531HSTFIN CUT"/>
    <s v="25.4-0-1.4-ERW 2-FC"/>
    <s v="25.4-0-1.4-ERW 2-FC-5.531"/>
    <m/>
    <x v="2"/>
    <n v="3501900"/>
    <b v="1"/>
    <x v="2"/>
    <x v="22"/>
    <n v="15"/>
    <n v="3"/>
    <n v="0"/>
    <m/>
    <n v="-3"/>
    <n v="12.5"/>
    <n v="9.5"/>
    <n v="5.5"/>
    <n v="5.5"/>
    <n v="0"/>
    <n v="0"/>
    <n v="18"/>
    <n v="0"/>
    <n v="18"/>
    <m/>
  </r>
  <r>
    <x v="1"/>
    <s v="BADVE"/>
    <s v="ERW1"/>
    <s v="FIN CUT"/>
    <s v="ERW"/>
    <x v="7"/>
    <m/>
    <x v="2"/>
    <x v="10"/>
    <x v="11"/>
    <n v="0"/>
    <m/>
    <s v="25.41.46.06ERWFIN CUT"/>
    <s v="25.4-0-1.4-ERW 1-FC"/>
    <s v="25.4-0-1.4-ERW 1-FC-6.06"/>
    <m/>
    <x v="1"/>
    <n v="3557792"/>
    <b v="1"/>
    <x v="1"/>
    <x v="23"/>
    <n v="10"/>
    <n v="0"/>
    <n v="0"/>
    <m/>
    <n v="0"/>
    <n v="0"/>
    <n v="0"/>
    <n v="10"/>
    <n v="10"/>
    <n v="0"/>
    <n v="0"/>
    <n v="10"/>
    <n v="0"/>
    <n v="10"/>
    <m/>
  </r>
  <r>
    <x v="0"/>
    <s v="RUCHA"/>
    <s v="ERW1"/>
    <s v="NON FIN"/>
    <s v="ERW"/>
    <x v="7"/>
    <m/>
    <x v="3"/>
    <x v="0"/>
    <x v="0"/>
    <n v="0"/>
    <m/>
    <s v="25.41.66ERWNON FIN"/>
    <s v="25.4-0-1.6-ERW 1-PE"/>
    <s v="25.4-0-1.6-ERW 1-PE-6"/>
    <m/>
    <x v="2"/>
    <n v="3500097"/>
    <b v="1"/>
    <x v="2"/>
    <x v="24"/>
    <n v="35"/>
    <n v="15"/>
    <n v="2"/>
    <m/>
    <n v="-13"/>
    <n v="58.5"/>
    <n v="45.5"/>
    <n v="-10.5"/>
    <n v="0"/>
    <n v="63.30298800000003"/>
    <n v="0"/>
    <n v="58.5"/>
    <n v="63.30298800000003"/>
    <n v="0"/>
    <m/>
  </r>
  <r>
    <x v="0"/>
    <s v="RUCHA"/>
    <s v="ERW1"/>
    <s v="NON FIN"/>
    <s v="ERW"/>
    <x v="7"/>
    <m/>
    <x v="4"/>
    <x v="11"/>
    <x v="12"/>
    <n v="0"/>
    <m/>
    <s v="25.425.82ERWNON FIN"/>
    <s v="25.4-0-2-ERW 1-PE"/>
    <s v="25.4-0-2-ERW 1-PE-5.82"/>
    <m/>
    <x v="2"/>
    <n v="3240023"/>
    <b v="1"/>
    <x v="2"/>
    <x v="25"/>
    <n v="20"/>
    <n v="0"/>
    <n v="0"/>
    <m/>
    <n v="0"/>
    <n v="2.8"/>
    <n v="2.8"/>
    <n v="17.2"/>
    <n v="17.2"/>
    <n v="46.94358200000001"/>
    <n v="0"/>
    <n v="20"/>
    <n v="46.94358200000001"/>
    <n v="0"/>
    <m/>
  </r>
  <r>
    <x v="0"/>
    <s v="RUCHA"/>
    <s v="ERW1"/>
    <s v="NON FIN"/>
    <s v="ERW"/>
    <x v="7"/>
    <m/>
    <x v="4"/>
    <x v="12"/>
    <x v="13"/>
    <n v="0"/>
    <m/>
    <s v="25.426.05ERWNON FIN"/>
    <s v="25.4-0-2-ERW 1-PE"/>
    <s v="25.4-0-2-ERW 1-PE-6.05"/>
    <m/>
    <x v="1"/>
    <n v="4055021"/>
    <b v="1"/>
    <x v="1"/>
    <x v="26"/>
    <n v="15"/>
    <n v="3"/>
    <n v="12"/>
    <m/>
    <n v="9"/>
    <n v="0"/>
    <n v="9"/>
    <n v="6"/>
    <n v="6"/>
    <n v="0"/>
    <n v="0"/>
    <n v="6"/>
    <n v="0"/>
    <n v="6"/>
    <m/>
  </r>
  <r>
    <x v="0"/>
    <s v="RUCHA"/>
    <s v="ERW1"/>
    <s v="NON FIN"/>
    <s v="ERW"/>
    <x v="7"/>
    <m/>
    <x v="7"/>
    <x v="13"/>
    <x v="14"/>
    <n v="0"/>
    <m/>
    <s v="25.42.55.53ERWNON FIN"/>
    <s v="25.4-0-2.5-ERW 1-PE"/>
    <s v="25.4-0-2.5-ERW 1-PE-5.53"/>
    <m/>
    <x v="2"/>
    <n v="3502256"/>
    <b v="1"/>
    <x v="2"/>
    <x v="27"/>
    <n v="60"/>
    <n v="30"/>
    <n v="0"/>
    <m/>
    <n v="-30"/>
    <n v="72"/>
    <n v="42"/>
    <n v="18"/>
    <n v="18"/>
    <n v="105.755076"/>
    <n v="37.814835"/>
    <n v="90"/>
    <n v="143.569911"/>
    <n v="0"/>
    <m/>
  </r>
  <r>
    <x v="0"/>
    <s v="RUCHA,METALMAN"/>
    <s v="ERW1"/>
    <s v="FIN CUT"/>
    <s v="ERW"/>
    <x v="8"/>
    <m/>
    <x v="1"/>
    <x v="0"/>
    <x v="0"/>
    <n v="0"/>
    <m/>
    <s v="28.61.26ERWFIN CUT"/>
    <e v="#N/A"/>
    <e v="#N/A"/>
    <m/>
    <x v="1"/>
    <n v="3702101"/>
    <b v="1"/>
    <x v="1"/>
    <x v="28"/>
    <n v="3"/>
    <n v="0"/>
    <n v="3"/>
    <m/>
    <n v="3"/>
    <n v="0"/>
    <n v="3"/>
    <n v="0"/>
    <n v="0"/>
    <n v="0"/>
    <n v="0"/>
    <n v="0"/>
    <n v="0"/>
    <n v="0"/>
    <m/>
  </r>
  <r>
    <x v="0"/>
    <s v="RUCHA"/>
    <s v="CEW1"/>
    <s v="FIN CUT"/>
    <s v="CEW"/>
    <x v="8"/>
    <m/>
    <x v="8"/>
    <x v="0"/>
    <x v="0"/>
    <n v="0"/>
    <m/>
    <s v="28.62.656CEWFIN CUT"/>
    <s v="No Key"/>
    <s v="No Key"/>
    <m/>
    <x v="0"/>
    <n v="2410388"/>
    <b v="1"/>
    <x v="0"/>
    <x v="29"/>
    <n v="10"/>
    <n v="3"/>
    <n v="15"/>
    <m/>
    <n v="12"/>
    <n v="0"/>
    <n v="12"/>
    <n v="-2"/>
    <n v="0"/>
    <n v="0"/>
    <n v="0"/>
    <n v="0"/>
    <n v="0"/>
    <n v="0"/>
    <m/>
  </r>
  <r>
    <x v="0"/>
    <s v="RUCHA,METALMAN"/>
    <s v="ERW1"/>
    <s v="FIN CUT"/>
    <s v="ERW"/>
    <x v="9"/>
    <m/>
    <x v="1"/>
    <x v="0"/>
    <x v="0"/>
    <n v="0"/>
    <m/>
    <s v="31.751.26ERWFIN CUT"/>
    <s v="31.75-0-1.2-ERW 1-FC"/>
    <s v="31.75-0-2-ERW 1-FC-6"/>
    <m/>
    <x v="2"/>
    <n v="3884381"/>
    <b v="1"/>
    <x v="2"/>
    <x v="30"/>
    <n v="3"/>
    <n v="1"/>
    <n v="0"/>
    <m/>
    <n v="-1"/>
    <n v="8"/>
    <n v="7"/>
    <n v="-4"/>
    <n v="0"/>
    <n v="0"/>
    <n v="0"/>
    <n v="8"/>
    <n v="0"/>
    <n v="8"/>
    <m/>
  </r>
  <r>
    <x v="0"/>
    <s v="RUCHA,METALMAN"/>
    <s v="ERW1"/>
    <s v="FIN CUT"/>
    <s v="ERW"/>
    <x v="9"/>
    <m/>
    <x v="4"/>
    <x v="0"/>
    <x v="0"/>
    <n v="0"/>
    <m/>
    <s v="31.7526ERWFIN CUT"/>
    <s v="31.75-0-2-ERW 1-FC"/>
    <e v="#N/A"/>
    <m/>
    <x v="3"/>
    <m/>
    <m/>
    <x v="1"/>
    <x v="31"/>
    <n v="15"/>
    <n v="0"/>
    <n v="0"/>
    <m/>
    <n v="0"/>
    <n v="0"/>
    <n v="0"/>
    <n v="15"/>
    <n v="15"/>
    <n v="0"/>
    <n v="0"/>
    <n v="15"/>
    <n v="0"/>
    <n v="15"/>
    <m/>
  </r>
  <r>
    <x v="2"/>
    <s v="BELRISE"/>
    <s v="ERW1"/>
    <s v="FIN CUT"/>
    <s v="ERW"/>
    <x v="9"/>
    <m/>
    <x v="6"/>
    <x v="14"/>
    <x v="15"/>
    <n v="0"/>
    <m/>
    <s v="31.752.35.92ERWFIN CUT"/>
    <e v="#N/A"/>
    <e v="#N/A"/>
    <m/>
    <x v="1"/>
    <s v="MCR 42136"/>
    <b v="1"/>
    <x v="1"/>
    <x v="32"/>
    <n v="15"/>
    <n v="5"/>
    <n v="44"/>
    <m/>
    <n v="39"/>
    <n v="0"/>
    <n v="39"/>
    <n v="-24"/>
    <n v="0"/>
    <n v="0"/>
    <n v="0"/>
    <n v="0"/>
    <n v="0"/>
    <n v="0"/>
    <m/>
  </r>
  <r>
    <x v="3"/>
    <s v="RUCHA,METALMAN"/>
    <s v="ERW1"/>
    <s v="FIN CUT"/>
    <s v="ERW"/>
    <x v="10"/>
    <m/>
    <x v="1"/>
    <x v="0"/>
    <x v="0"/>
    <n v="0"/>
    <m/>
    <s v="34.931.26ERWFIN CUT"/>
    <s v="No Key"/>
    <s v="No Key"/>
    <m/>
    <x v="1"/>
    <n v="1940701"/>
    <b v="1"/>
    <x v="1"/>
    <x v="33"/>
    <n v="3"/>
    <n v="0"/>
    <n v="7"/>
    <m/>
    <n v="7"/>
    <n v="0"/>
    <n v="7"/>
    <n v="-4"/>
    <n v="0"/>
    <n v="0"/>
    <n v="0"/>
    <n v="0"/>
    <n v="0"/>
    <n v="0"/>
    <m/>
  </r>
  <r>
    <x v="2"/>
    <s v="BELRISE"/>
    <s v="ERW1"/>
    <s v="FIN CUT"/>
    <s v="ERW"/>
    <x v="10"/>
    <m/>
    <x v="1"/>
    <x v="15"/>
    <x v="16"/>
    <n v="0"/>
    <m/>
    <s v="34.931.20.62ERWFIN CUT"/>
    <s v="34.93-0-1.2-ERW 1-FC"/>
    <s v="34.93-0-1.2-ERW 1-FC-0.620"/>
    <m/>
    <x v="1"/>
    <n v="2397073"/>
    <b v="1"/>
    <x v="1"/>
    <x v="34"/>
    <n v="10"/>
    <n v="3"/>
    <n v="0"/>
    <m/>
    <n v="-3"/>
    <n v="0"/>
    <n v="-3"/>
    <n v="13"/>
    <n v="13"/>
    <n v="0"/>
    <n v="3.1"/>
    <n v="13"/>
    <n v="3.1"/>
    <n v="9.9"/>
    <m/>
  </r>
  <r>
    <x v="2"/>
    <s v="RAJSRIYA"/>
    <s v="ERW1"/>
    <s v="FIN CUT"/>
    <s v="ERW"/>
    <x v="10"/>
    <m/>
    <x v="1"/>
    <x v="16"/>
    <x v="17"/>
    <n v="0"/>
    <m/>
    <s v="34.931.20.7ERWFIN CUT"/>
    <s v="34.93-0-1.2-ERW 1-FC"/>
    <s v="34.93-0-1.2-ERW 1-FC-0.7"/>
    <m/>
    <x v="1"/>
    <n v="3649699"/>
    <b v="1"/>
    <x v="1"/>
    <x v="35"/>
    <n v="10"/>
    <n v="3"/>
    <n v="0"/>
    <m/>
    <n v="-3"/>
    <n v="0"/>
    <n v="-3"/>
    <n v="13"/>
    <n v="13"/>
    <n v="0"/>
    <n v="0"/>
    <n v="13"/>
    <n v="0"/>
    <n v="13"/>
    <m/>
  </r>
  <r>
    <x v="1"/>
    <s v="BADVE"/>
    <s v="ERW2"/>
    <s v="FIN CUT"/>
    <s v="ERW"/>
    <x v="11"/>
    <m/>
    <x v="2"/>
    <x v="17"/>
    <x v="18"/>
    <n v="0"/>
    <m/>
    <s v="341.45.66ERWFIN CUT"/>
    <s v="No Key"/>
    <s v="No Key"/>
    <m/>
    <x v="0"/>
    <n v="3702855"/>
    <b v="1"/>
    <x v="0"/>
    <x v="36"/>
    <n v="3"/>
    <n v="0"/>
    <n v="0"/>
    <m/>
    <n v="0"/>
    <n v="0"/>
    <n v="0"/>
    <n v="3"/>
    <n v="3"/>
    <n v="0"/>
    <n v="0"/>
    <n v="3"/>
    <n v="0"/>
    <n v="3"/>
    <m/>
  </r>
  <r>
    <x v="0"/>
    <s v="RUCHA,METALMAN"/>
    <s v="ERW370"/>
    <s v="FIN CUT"/>
    <s v="HST"/>
    <x v="12"/>
    <m/>
    <x v="3"/>
    <x v="18"/>
    <x v="19"/>
    <n v="0"/>
    <m/>
    <s v="38.11.66.19HSTFIN CUT"/>
    <s v="38.1-0-1.6-ERW 1-FC"/>
    <s v="38.1-0-1.6-ERW 1-FC-6.19"/>
    <m/>
    <x v="2"/>
    <n v="3502254"/>
    <b v="1"/>
    <x v="2"/>
    <x v="37"/>
    <n v="40"/>
    <n v="15"/>
    <n v="69"/>
    <m/>
    <n v="54"/>
    <n v="50"/>
    <n v="104"/>
    <n v="-64"/>
    <n v="0"/>
    <n v="45.849845"/>
    <n v="15.52"/>
    <n v="50"/>
    <n v="61.369845"/>
    <n v="0"/>
    <m/>
  </r>
  <r>
    <x v="0"/>
    <s v="RUCHA,METALMAN"/>
    <s v="ERW1"/>
    <s v="FIN CUT"/>
    <s v="ERW"/>
    <x v="12"/>
    <m/>
    <x v="4"/>
    <x v="19"/>
    <x v="20"/>
    <n v="0"/>
    <m/>
    <s v="38.125.65ERWFIN CUT"/>
    <s v="38.1-0-2-ERW 1-FC"/>
    <s v="38.1-0-2-ERW 1-FC-5.65"/>
    <s v="Value Added"/>
    <x v="2"/>
    <n v="3500959"/>
    <b v="1"/>
    <x v="2"/>
    <x v="38"/>
    <n v="30"/>
    <n v="8"/>
    <n v="15"/>
    <m/>
    <n v="7"/>
    <n v="11"/>
    <n v="18"/>
    <n v="12"/>
    <n v="12"/>
    <n v="3.604747"/>
    <n v="0"/>
    <n v="23"/>
    <n v="3.604747"/>
    <n v="19.395253"/>
    <n v="28"/>
  </r>
  <r>
    <x v="0"/>
    <s v="RUCHA,METALMAN"/>
    <s v="ERW2"/>
    <s v="FIN CUT"/>
    <s v="HST"/>
    <x v="12"/>
    <m/>
    <x v="7"/>
    <x v="18"/>
    <x v="19"/>
    <n v="0"/>
    <m/>
    <s v="38.12.56.19HSTFIN CUT"/>
    <s v="38.1-0-2.5-ERW 2 MAHS-FC"/>
    <s v="38.1-0-2.5-ERW 2 MAHS-FC-6.19"/>
    <m/>
    <x v="2"/>
    <n v="3502007"/>
    <b v="1"/>
    <x v="2"/>
    <x v="39"/>
    <n v="60"/>
    <n v="15"/>
    <n v="6"/>
    <m/>
    <n v="-9"/>
    <n v="71"/>
    <n v="62"/>
    <n v="-2"/>
    <n v="0"/>
    <n v="5.663207000000001"/>
    <n v="111.799292"/>
    <n v="71"/>
    <n v="117.462499"/>
    <n v="0"/>
    <m/>
  </r>
  <r>
    <x v="2"/>
    <s v="BELRISE"/>
    <s v="CEW-1"/>
    <s v="FIN CUT"/>
    <s v="ERW"/>
    <x v="12"/>
    <m/>
    <x v="9"/>
    <x v="0"/>
    <x v="0"/>
    <n v="0"/>
    <m/>
    <s v="38.12.66ERWFIN CUT"/>
    <e v="#N/A"/>
    <e v="#N/A"/>
    <m/>
    <x v="0"/>
    <n v="3500699"/>
    <b v="1"/>
    <x v="0"/>
    <x v="40"/>
    <n v="5"/>
    <n v="0"/>
    <n v="0"/>
    <n v="0"/>
    <n v="0"/>
    <n v="0"/>
    <n v="0"/>
    <n v="5"/>
    <n v="5"/>
    <n v="0"/>
    <n v="0"/>
    <n v="5"/>
    <n v="0"/>
    <n v="5"/>
    <m/>
  </r>
  <r>
    <x v="0"/>
    <s v="RUCHA"/>
    <s v="ERW1"/>
    <s v="FIN CUT"/>
    <s v="ERW"/>
    <x v="13"/>
    <m/>
    <x v="9"/>
    <x v="0"/>
    <x v="0"/>
    <n v="0"/>
    <m/>
    <s v="41.282.66ERWFIN CUT"/>
    <s v="41.28-0-2.6-ERW 1-FC"/>
    <s v="41.28-0-2.6-ERW 1-FC-6"/>
    <m/>
    <x v="1"/>
    <n v="3974563"/>
    <b v="1"/>
    <x v="1"/>
    <x v="41"/>
    <n v="50"/>
    <n v="15"/>
    <n v="0"/>
    <n v="26"/>
    <n v="-15"/>
    <n v="0"/>
    <n v="-15"/>
    <n v="65"/>
    <n v="65"/>
    <n v="8.67"/>
    <n v="60.50999999999999"/>
    <n v="65"/>
    <n v="69.17999999999999"/>
    <n v="0"/>
    <m/>
  </r>
  <r>
    <x v="0"/>
    <s v="RUCHA"/>
    <s v="ERW1"/>
    <s v="FIN CUT"/>
    <s v="ERW"/>
    <x v="14"/>
    <m/>
    <x v="3"/>
    <x v="20"/>
    <x v="21"/>
    <n v="0"/>
    <m/>
    <s v="40x251.66.13ERWFIN CUT"/>
    <s v="40-25-1.6-ERW 1-FC"/>
    <s v="40-25-1.6-ERW 1-FC-6.13"/>
    <m/>
    <x v="1"/>
    <n v="3919144"/>
    <b v="1"/>
    <x v="1"/>
    <x v="42"/>
    <n v="6"/>
    <n v="1"/>
    <n v="2"/>
    <m/>
    <n v="1"/>
    <n v="0"/>
    <n v="1"/>
    <n v="5"/>
    <n v="5"/>
    <n v="0"/>
    <n v="0"/>
    <n v="5"/>
    <n v="0"/>
    <n v="5"/>
    <m/>
  </r>
  <r>
    <x v="1"/>
    <s v="BADVE"/>
    <s v="ERW1"/>
    <s v="FIN CUT"/>
    <s v="ERW"/>
    <x v="13"/>
    <m/>
    <x v="10"/>
    <x v="21"/>
    <x v="22"/>
    <n v="0"/>
    <m/>
    <s v="41.283.155.86ERWFIN CUT"/>
    <s v="41.28-0-3.15-ERW 1-FC"/>
    <s v="41.28-0-3.15-ERW 1-FC-5.86"/>
    <m/>
    <x v="2"/>
    <n v="3673889"/>
    <b v="1"/>
    <x v="2"/>
    <x v="43"/>
    <n v="45"/>
    <n v="15"/>
    <n v="9"/>
    <m/>
    <n v="-6"/>
    <n v="52.5"/>
    <n v="46.5"/>
    <n v="-1.5"/>
    <n v="0"/>
    <n v="48.39004500000001"/>
    <n v="9.68305"/>
    <n v="52.5"/>
    <n v="58.07309500000001"/>
    <n v="0"/>
    <m/>
  </r>
  <r>
    <x v="0"/>
    <s v="RUCHA,METALMAN"/>
    <s v="ERW AN"/>
    <s v="FIN CUT"/>
    <s v="ERW"/>
    <x v="15"/>
    <m/>
    <x v="11"/>
    <x v="0"/>
    <x v="0"/>
    <n v="0"/>
    <m/>
    <s v="42.73.56ERWFIN CUT"/>
    <s v="42.7-0-3.5-ERW 1-FC"/>
    <s v="42.7-0-3.5-ERW 1-FC-6"/>
    <m/>
    <x v="0"/>
    <n v="2396465"/>
    <b v="1"/>
    <x v="0"/>
    <x v="44"/>
    <n v="5"/>
    <n v="1"/>
    <n v="15"/>
    <m/>
    <n v="14"/>
    <n v="0"/>
    <n v="14"/>
    <n v="-9"/>
    <n v="0"/>
    <n v="4.283511000000001"/>
    <n v="2.354916"/>
    <n v="0"/>
    <n v="6.638427000000001"/>
    <n v="0"/>
    <m/>
  </r>
  <r>
    <x v="0"/>
    <s v="RUCHA,METALMAN"/>
    <s v="ERW AN"/>
    <s v="FIN CUT"/>
    <s v="ERW"/>
    <x v="15"/>
    <m/>
    <x v="12"/>
    <x v="0"/>
    <x v="0"/>
    <n v="0"/>
    <m/>
    <s v="42.746ERWFIN CUT"/>
    <s v="42.7-0-4-ERW 1-FC"/>
    <s v="42.7-0-4-ERW 1-FC-6"/>
    <m/>
    <x v="0"/>
    <n v="3501985"/>
    <b v="1"/>
    <x v="0"/>
    <x v="45"/>
    <n v="30"/>
    <n v="10"/>
    <n v="30"/>
    <m/>
    <n v="20"/>
    <n v="0"/>
    <n v="20"/>
    <n v="10"/>
    <n v="10"/>
    <n v="38.312"/>
    <n v="19.5738"/>
    <n v="10"/>
    <n v="57.8858"/>
    <n v="0"/>
    <m/>
  </r>
  <r>
    <x v="0"/>
    <s v="RUCHA,METALMAN"/>
    <s v="ERW1"/>
    <s v="FIN CUT"/>
    <s v="ERW"/>
    <x v="16"/>
    <m/>
    <x v="3"/>
    <x v="22"/>
    <x v="23"/>
    <n v="0"/>
    <m/>
    <s v="40x301.65.9ERWFIN CUT"/>
    <s v="40-30-1.6-ERW 1-FC"/>
    <s v="40-30-1.6-ERW 1-FC-5.9"/>
    <m/>
    <x v="0"/>
    <n v="3836440"/>
    <b v="1"/>
    <x v="1"/>
    <x v="46"/>
    <n v="10"/>
    <n v="3"/>
    <n v="5"/>
    <m/>
    <n v="2"/>
    <n v="0"/>
    <n v="2"/>
    <n v="8"/>
    <n v="8"/>
    <n v="0"/>
    <n v="0"/>
    <n v="8"/>
    <n v="0"/>
    <n v="8"/>
    <m/>
  </r>
  <r>
    <x v="1"/>
    <s v="BADVE"/>
    <s v="ERW2"/>
    <s v="FIN CUT"/>
    <s v="HST"/>
    <x v="17"/>
    <m/>
    <x v="2"/>
    <x v="23"/>
    <x v="24"/>
    <n v="0"/>
    <m/>
    <s v="451.46.42HSTFIN CUT"/>
    <s v="45-0-1.4-ERW 2-FIN CUT"/>
    <s v="45-0-1.4-ERW 2-FIN CUT-6.4"/>
    <m/>
    <x v="1"/>
    <n v="3502343"/>
    <b v="1"/>
    <x v="1"/>
    <x v="47"/>
    <n v="10"/>
    <n v="5"/>
    <n v="26"/>
    <m/>
    <n v="21"/>
    <n v="0"/>
    <n v="21"/>
    <n v="-11"/>
    <n v="0"/>
    <n v="3.93"/>
    <n v="0"/>
    <n v="0"/>
    <n v="3.93"/>
    <n v="0"/>
    <m/>
  </r>
  <r>
    <x v="1"/>
    <s v="BADVE"/>
    <s v="ERW1"/>
    <s v="FIN CUT"/>
    <s v="ERW"/>
    <x v="17"/>
    <m/>
    <x v="2"/>
    <x v="24"/>
    <x v="25"/>
    <n v="0"/>
    <m/>
    <s v="451.45.7ERWFIN CUT"/>
    <s v="45--1.4-ERW 1-FIN CUT"/>
    <s v="45--1.4-ERW 1-FIN CUT-5.7"/>
    <m/>
    <x v="2"/>
    <n v="3545558"/>
    <b v="1"/>
    <x v="2"/>
    <x v="48"/>
    <n v="10"/>
    <n v="2"/>
    <n v="17"/>
    <m/>
    <n v="15"/>
    <n v="0"/>
    <n v="15"/>
    <n v="-5"/>
    <n v="0"/>
    <n v="4.816"/>
    <n v="4.05"/>
    <n v="0"/>
    <n v="8.866"/>
    <n v="0"/>
    <m/>
  </r>
  <r>
    <x v="1"/>
    <s v="BADVE"/>
    <s v="ERW2"/>
    <s v="FIN CUT"/>
    <s v="HST"/>
    <x v="17"/>
    <m/>
    <x v="3"/>
    <x v="23"/>
    <x v="24"/>
    <n v="0"/>
    <m/>
    <s v="451.66.42HSTFIN CUT"/>
    <s v="45-0-1.6-ERW 2-FIN CUT"/>
    <s v="45-0-1.6-ERW 2-FIN CUT-6.4"/>
    <m/>
    <x v="1"/>
    <n v="3502388"/>
    <b v="1"/>
    <x v="1"/>
    <x v="49"/>
    <n v="10"/>
    <n v="5"/>
    <n v="16"/>
    <m/>
    <n v="11"/>
    <n v="0"/>
    <n v="11"/>
    <n v="-1"/>
    <n v="0"/>
    <n v="0"/>
    <n v="0"/>
    <n v="0"/>
    <n v="0"/>
    <n v="0"/>
    <m/>
  </r>
  <r>
    <x v="2"/>
    <s v="BELRISE"/>
    <s v="CEW-1"/>
    <s v="FIN CUT"/>
    <s v="CEW"/>
    <x v="18"/>
    <m/>
    <x v="12"/>
    <x v="25"/>
    <x v="26"/>
    <n v="0"/>
    <m/>
    <s v="47.6346.04CEWFIN CUT"/>
    <e v="#N/A"/>
    <e v="#N/A"/>
    <m/>
    <x v="0"/>
    <n v="3500635"/>
    <b v="1"/>
    <x v="0"/>
    <x v="50"/>
    <n v="7"/>
    <n v="0"/>
    <n v="0"/>
    <n v="0"/>
    <n v="0"/>
    <n v="0"/>
    <n v="0"/>
    <n v="7"/>
    <n v="7"/>
    <n v="0"/>
    <n v="0"/>
    <n v="7"/>
    <n v="0"/>
    <n v="7"/>
    <m/>
  </r>
  <r>
    <x v="2"/>
    <s v="BELRISE"/>
    <s v="ERW1"/>
    <s v="FIN CUT"/>
    <s v="ERW"/>
    <x v="19"/>
    <m/>
    <x v="1"/>
    <x v="15"/>
    <x v="16"/>
    <n v="0"/>
    <m/>
    <s v="481.20.62ERWFIN CUT"/>
    <s v="48--1.2-ERW 1-FIN CUT"/>
    <s v="48--1.2-ERW 1-FIN CUT-0.620"/>
    <m/>
    <x v="1"/>
    <n v="2397072"/>
    <b v="1"/>
    <x v="1"/>
    <x v="51"/>
    <n v="10"/>
    <n v="3"/>
    <n v="0"/>
    <m/>
    <n v="-3"/>
    <n v="0"/>
    <n v="-3"/>
    <n v="13"/>
    <n v="13"/>
    <n v="0"/>
    <n v="0"/>
    <n v="13"/>
    <n v="0"/>
    <n v="13"/>
    <m/>
  </r>
  <r>
    <x v="2"/>
    <s v="RAJSRIYA"/>
    <s v="ERW1"/>
    <s v="FIN CUT"/>
    <s v="ERW"/>
    <x v="19"/>
    <m/>
    <x v="1"/>
    <x v="16"/>
    <x v="17"/>
    <n v="0"/>
    <m/>
    <s v="481.20.7ERWFIN CUT"/>
    <s v="48--1.2-ERW 1-FIN CUT"/>
    <s v="48--1.2-ERW 1-FIN CUT-0.7"/>
    <m/>
    <x v="1"/>
    <n v="3649700"/>
    <b v="1"/>
    <x v="1"/>
    <x v="52"/>
    <n v="14"/>
    <n v="3"/>
    <n v="0"/>
    <m/>
    <n v="-3"/>
    <n v="0"/>
    <n v="-3"/>
    <n v="17"/>
    <n v="17"/>
    <n v="0"/>
    <n v="0"/>
    <n v="17"/>
    <n v="0"/>
    <n v="17"/>
    <m/>
  </r>
  <r>
    <x v="1"/>
    <s v="BADVE"/>
    <s v="ERW2"/>
    <s v="FIN CUT"/>
    <s v="HST"/>
    <x v="20"/>
    <m/>
    <x v="4"/>
    <x v="26"/>
    <x v="27"/>
    <n v="0"/>
    <m/>
    <s v="48.626.27HSTFIN CUT"/>
    <s v="No Key"/>
    <s v="No Key"/>
    <m/>
    <x v="2"/>
    <n v="3502301"/>
    <b v="1"/>
    <x v="2"/>
    <x v="53"/>
    <n v="10"/>
    <n v="3"/>
    <n v="30"/>
    <m/>
    <n v="27"/>
    <n v="4"/>
    <n v="31"/>
    <n v="-21"/>
    <n v="0"/>
    <n v="0"/>
    <n v="0"/>
    <n v="4"/>
    <n v="0"/>
    <n v="4"/>
    <m/>
  </r>
  <r>
    <x v="1"/>
    <s v="BADVE"/>
    <s v="ERW2"/>
    <s v="FIN CUT"/>
    <s v="HST"/>
    <x v="20"/>
    <m/>
    <x v="6"/>
    <x v="26"/>
    <x v="27"/>
    <n v="0"/>
    <m/>
    <s v="48.62.36.27HSTFIN CUT"/>
    <s v="48.6-0-2.3-ERW 2-FC"/>
    <s v="48.6-0-2.3-ERW 2-FC-6.27"/>
    <m/>
    <x v="2"/>
    <n v="3549720"/>
    <b v="1"/>
    <x v="2"/>
    <x v="54"/>
    <n v="10"/>
    <n v="3"/>
    <n v="4"/>
    <m/>
    <n v="1"/>
    <n v="0"/>
    <n v="1"/>
    <n v="9"/>
    <n v="9"/>
    <n v="0"/>
    <n v="0"/>
    <n v="9"/>
    <n v="0"/>
    <n v="9"/>
    <m/>
  </r>
  <r>
    <x v="1"/>
    <s v="BADVE"/>
    <s v="ERW1"/>
    <s v="FIN CUT"/>
    <s v="ERW"/>
    <x v="20"/>
    <m/>
    <x v="11"/>
    <x v="0"/>
    <x v="0"/>
    <n v="0"/>
    <m/>
    <s v="48.63.56ERWFIN CUT"/>
    <s v="48.6-0-3.5-ERW 1-FC"/>
    <s v="48.6-0-3.5-ERW 1-FC-6"/>
    <m/>
    <x v="1"/>
    <n v="3502422"/>
    <b v="1"/>
    <x v="1"/>
    <x v="55"/>
    <n v="25"/>
    <n v="3"/>
    <n v="7"/>
    <m/>
    <n v="4"/>
    <m/>
    <n v="4"/>
    <n v="21"/>
    <n v="21"/>
    <n v="2.991104"/>
    <n v="14.154752"/>
    <n v="21"/>
    <n v="17.145856"/>
    <n v="3.854143999999998"/>
    <m/>
  </r>
  <r>
    <x v="0"/>
    <s v="RUCHA"/>
    <s v="ERW1"/>
    <s v="FIN CUT"/>
    <s v="ERW"/>
    <x v="21"/>
    <m/>
    <x v="3"/>
    <x v="0"/>
    <x v="0"/>
    <n v="0"/>
    <m/>
    <s v="59x301.66ERWFIN CUT"/>
    <s v="59-30-1.6-ERW 1-FIN CUT"/>
    <s v="59-30-1.6-ERW 1-FIN CUT-6"/>
    <m/>
    <x v="1"/>
    <n v="1940925"/>
    <b v="1"/>
    <x v="1"/>
    <x v="56"/>
    <n v="5"/>
    <n v="1"/>
    <n v="3"/>
    <m/>
    <n v="2"/>
    <n v="0"/>
    <n v="2"/>
    <n v="3"/>
    <n v="3"/>
    <n v="5.12"/>
    <n v="0"/>
    <n v="3"/>
    <n v="5.12"/>
    <n v="0"/>
    <m/>
  </r>
  <r>
    <x v="2"/>
    <s v="KUNAL"/>
    <s v="ERW1"/>
    <s v="FIN CUT"/>
    <s v="ERW"/>
    <x v="21"/>
    <m/>
    <x v="3"/>
    <x v="27"/>
    <x v="28"/>
    <n v="0"/>
    <m/>
    <s v="59x301.60.5725ERWFIN CUT"/>
    <s v="59-30-1.6-ERW 1-FIN CUT"/>
    <s v="59-30-1.6-ERW 1-FIN CUT-0.573"/>
    <m/>
    <x v="1"/>
    <n v="2420716"/>
    <b v="1"/>
    <x v="1"/>
    <x v="57"/>
    <n v="40"/>
    <n v="20"/>
    <n v="0"/>
    <m/>
    <n v="-20"/>
    <n v="0"/>
    <n v="-20"/>
    <n v="60"/>
    <n v="60"/>
    <n v="9.481959999999999"/>
    <n v="0"/>
    <n v="60"/>
    <n v="9.481959999999999"/>
    <n v="50.51804"/>
    <m/>
  </r>
  <r>
    <x v="2"/>
    <s v="BELRISE"/>
    <s v="ERW1"/>
    <s v="FIN CUT"/>
    <s v="ERW"/>
    <x v="22"/>
    <m/>
    <x v="3"/>
    <x v="25"/>
    <x v="26"/>
    <n v="0"/>
    <m/>
    <s v="50X501.66.04ERWFIN CUT"/>
    <e v="#N/A"/>
    <e v="#N/A"/>
    <m/>
    <x v="2"/>
    <n v="3751498"/>
    <b v="1"/>
    <x v="2"/>
    <x v="58"/>
    <n v="10"/>
    <m/>
    <n v="0"/>
    <m/>
    <n v="0"/>
    <n v="0"/>
    <n v="0"/>
    <n v="10"/>
    <n v="10"/>
    <n v="0"/>
    <n v="0"/>
    <n v="10"/>
    <n v="0"/>
    <n v="10"/>
    <m/>
  </r>
  <r>
    <x v="2"/>
    <s v="BELRISE"/>
    <s v="ERW1"/>
    <s v="FIN CUT"/>
    <s v="ERW"/>
    <x v="23"/>
    <m/>
    <x v="9"/>
    <x v="0"/>
    <x v="0"/>
    <n v="0"/>
    <m/>
    <s v="50.82.66ERWFIN CUT"/>
    <e v="#N/A"/>
    <e v="#N/A"/>
    <m/>
    <x v="2"/>
    <n v="3518437"/>
    <b v="1"/>
    <x v="2"/>
    <x v="59"/>
    <n v="5"/>
    <n v="0"/>
    <n v="0"/>
    <n v="0"/>
    <n v="0"/>
    <n v="0"/>
    <n v="0"/>
    <n v="5"/>
    <n v="5"/>
    <n v="0"/>
    <n v="0"/>
    <n v="5"/>
    <n v="0"/>
    <n v="5"/>
    <m/>
  </r>
  <r>
    <x v="2"/>
    <s v="BELRISE"/>
    <s v="CEW-1"/>
    <s v="FIN CUT"/>
    <s v="CEW"/>
    <x v="23"/>
    <n v="45.6"/>
    <x v="9"/>
    <x v="0"/>
    <x v="0"/>
    <n v="0"/>
    <m/>
    <s v="50.82.66CEWFIN CUT"/>
    <e v="#N/A"/>
    <e v="#N/A"/>
    <m/>
    <x v="2"/>
    <n v="3500695"/>
    <b v="1"/>
    <x v="2"/>
    <x v="60"/>
    <n v="5"/>
    <n v="0"/>
    <n v="0"/>
    <n v="0"/>
    <n v="0"/>
    <n v="0"/>
    <n v="0"/>
    <n v="5"/>
    <n v="5"/>
    <n v="0"/>
    <n v="0"/>
    <n v="5"/>
    <n v="0"/>
    <n v="5"/>
    <m/>
  </r>
  <r>
    <x v="0"/>
    <s v="RUCHA,METALMAN"/>
    <s v="ERW1"/>
    <s v="FIN CUT"/>
    <s v="ERW"/>
    <x v="24"/>
    <m/>
    <x v="7"/>
    <x v="28"/>
    <x v="29"/>
    <n v="0"/>
    <m/>
    <s v="57.152.55.71ERWFIN CUT"/>
    <s v="57.15-0-2.5-ERW 1-FC"/>
    <s v="57.15-0-2.5-ERW 1-FC-5.711"/>
    <s v="Value Added"/>
    <x v="2"/>
    <n v="3907863"/>
    <b v="1"/>
    <x v="2"/>
    <x v="61"/>
    <n v="80"/>
    <n v="15"/>
    <n v="0"/>
    <n v="32"/>
    <n v="-15"/>
    <n v="23.9"/>
    <n v="8.899999999999999"/>
    <n v="71.09999999999999"/>
    <n v="71.09999999999999"/>
    <n v="16.138104"/>
    <n v="206.77805"/>
    <n v="95"/>
    <n v="222.916154"/>
    <n v="0"/>
    <n v="80"/>
  </r>
  <r>
    <x v="0"/>
    <s v="RUCHA,METALMAN"/>
    <s v="ERW1"/>
    <s v="FIN CUT"/>
    <s v="ERW"/>
    <x v="24"/>
    <m/>
    <x v="7"/>
    <x v="6"/>
    <x v="6"/>
    <n v="0"/>
    <m/>
    <s v="57.152.55.95ERWFIN CUT"/>
    <s v="57.15-0-2.5-ERW 1-FC"/>
    <s v="57.15-0-2.5-ERW 1-FC-5.95"/>
    <s v="Value Added"/>
    <x v="2"/>
    <n v="4054700"/>
    <b v="1"/>
    <x v="2"/>
    <x v="62"/>
    <n v="20"/>
    <n v="5"/>
    <n v="13"/>
    <n v="57"/>
    <n v="8"/>
    <n v="147"/>
    <n v="155"/>
    <n v="-135"/>
    <n v="0"/>
    <n v="0"/>
    <n v="6.632664"/>
    <n v="147"/>
    <n v="6.632664"/>
    <n v="140.367336"/>
    <n v="0"/>
  </r>
  <r>
    <x v="0"/>
    <s v="RUCHA,METALMAN"/>
    <s v="ERW1"/>
    <s v="FIN CUT"/>
    <s v="ERW"/>
    <x v="24"/>
    <m/>
    <x v="7"/>
    <x v="29"/>
    <x v="30"/>
    <n v="0"/>
    <m/>
    <s v="57.152.56.1ERWFIN CUT"/>
    <s v="57.15-0-2.5-ERW 1-FC"/>
    <s v="57.15-0-2.5-ERW 1-FC-6.1"/>
    <s v="Value Added"/>
    <x v="2"/>
    <n v="3910001"/>
    <b v="1"/>
    <x v="2"/>
    <x v="63"/>
    <n v="80"/>
    <n v="10"/>
    <n v="5"/>
    <m/>
    <n v="-5"/>
    <n v="11.3"/>
    <n v="6.300000000000001"/>
    <n v="73.7"/>
    <n v="73.7"/>
    <n v="0"/>
    <n v="52.086045"/>
    <n v="85"/>
    <n v="52.086045"/>
    <n v="32.913955"/>
    <n v="4"/>
  </r>
  <r>
    <x v="1"/>
    <s v="BADVE"/>
    <s v="ERW1"/>
    <s v="FIN CUT"/>
    <s v="ERW"/>
    <x v="24"/>
    <m/>
    <x v="13"/>
    <x v="19"/>
    <x v="20"/>
    <n v="0"/>
    <m/>
    <s v="57.1535.65ERWFIN CUT"/>
    <s v="57.15-0-3-ERW 1-FC"/>
    <s v="57.15-0-3-ERW 1-FC-5.65"/>
    <m/>
    <x v="2"/>
    <n v="3501105"/>
    <b v="1"/>
    <x v="2"/>
    <x v="64"/>
    <n v="10"/>
    <n v="0"/>
    <n v="0"/>
    <m/>
    <n v="0"/>
    <n v="22"/>
    <n v="22"/>
    <n v="-12"/>
    <n v="0"/>
    <n v="0"/>
    <n v="0"/>
    <n v="22"/>
    <n v="0"/>
    <n v="22"/>
    <m/>
  </r>
  <r>
    <x v="0"/>
    <s v="METALMAN"/>
    <s v="ERW1"/>
    <s v="FIN CUT"/>
    <s v="ERW"/>
    <x v="25"/>
    <m/>
    <x v="4"/>
    <x v="22"/>
    <x v="23"/>
    <n v="0"/>
    <m/>
    <s v="60.325.9ERWFIN CUT"/>
    <s v="60.3-0-2-ERW 1-FC"/>
    <s v="60.3-0-2-ERW 1-FC-5.9"/>
    <s v="Value Added"/>
    <x v="0"/>
    <n v="3905049"/>
    <b v="1"/>
    <x v="0"/>
    <x v="65"/>
    <n v="30"/>
    <n v="7"/>
    <n v="37"/>
    <m/>
    <n v="30"/>
    <n v="0"/>
    <n v="30"/>
    <n v="0"/>
    <n v="0"/>
    <n v="42.22"/>
    <n v="14.68"/>
    <n v="0"/>
    <n v="56.9"/>
    <n v="0"/>
    <n v="3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0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3:K36" firstHeaderRow="1" firstDataRow="1" firstDataCol="2"/>
  <pivotFields count="45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36">
        <item t="data" sd="1" x="0"/>
        <item t="data" sd="1" x="1"/>
        <item t="data" sd="1" m="1" x="31"/>
        <item t="data" sd="1" x="2"/>
        <item t="data" sd="1" x="3"/>
        <item t="data" sd="1" x="4"/>
        <item t="data" sd="1" x="6"/>
        <item t="data" sd="1" x="8"/>
        <item t="data" sd="1" x="9"/>
        <item t="data" sd="1" m="1" x="33"/>
        <item t="data" sd="1" m="1" x="29"/>
        <item t="data" sd="1" m="1" x="30"/>
        <item t="data" sd="1" x="12"/>
        <item t="data" sd="1" x="18"/>
        <item t="data" sd="1" x="15"/>
        <item t="data" sd="1" x="16"/>
        <item t="data" sd="1" x="17"/>
        <item t="data" sd="1" x="13"/>
        <item t="data" sd="1" x="14"/>
        <item t="data" sd="1" x="19"/>
        <item t="data" sd="1" x="22"/>
        <item t="data" sd="1" x="21"/>
        <item t="data" sd="1" x="20"/>
        <item t="data" sd="1" m="1" x="32"/>
        <item t="data" sd="1" x="23"/>
        <item t="data" sd="1" x="26"/>
        <item t="data" sd="1" x="27"/>
        <item t="data" sd="1" m="1" x="28"/>
        <item t="data" sd="1" x="5"/>
        <item t="data" sd="1" m="1" x="34"/>
        <item t="data" sd="1" m="1" x="35"/>
        <item t="data" sd="1" x="24"/>
        <item t="data" sd="1" x="7"/>
        <item t="data" sd="1" x="25"/>
        <item t="data" sd="1" x="10"/>
        <item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22">
        <item t="data" sd="1" x="6"/>
        <item t="data" sd="1" x="9"/>
        <item t="data" sd="1" x="18"/>
        <item t="data" sd="1" x="15"/>
        <item t="data" sd="1" x="19"/>
        <item t="data" sd="1" x="8"/>
        <item t="data" sd="1" x="4"/>
        <item t="data" sd="1" x="7"/>
        <item t="data" sd="1" x="12"/>
        <item t="data" sd="1" x="0"/>
        <item t="data" sd="1" x="5"/>
        <item t="data" sd="1" x="3"/>
        <item t="data" sd="1" x="16"/>
        <item t="data" sd="1" x="20"/>
        <item t="data" sd="1" x="17"/>
        <item t="data" sd="1" x="1"/>
        <item t="data" sd="1" x="13"/>
        <item t="data" sd="1" x="10"/>
        <item t="data" sd="1" x="11"/>
        <item t="data" sd="1" x="14"/>
        <item t="data" sd="1" x="21"/>
        <item t="data" sd="1" x="2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2" outline="0" subtotalTop="1" dragToRow="1" dragToCol="1" dragToPage="1" dragToData="1" dragOff="1" showAll="0" topAutoShow="1" itemPageCount="10" sortType="manual" defaultSubtotal="0"/>
    <pivotField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" outline="0" subtotalTop="1" dragToRow="1" dragToCol="1" dragToPage="1" dragToData="1" dragOff="1" showAll="0" topAutoShow="1" itemPageCount="10" sortType="manual" defaultSubtotal="0"/>
    <pivotField dataField="1"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2">
    <field x="2"/>
    <field x="4"/>
  </rowFields>
  <rowItems count="33">
    <i t="data" r="0" i="0">
      <x v="0"/>
      <x v="9"/>
    </i>
    <i t="data" r="0" i="0">
      <x v="1"/>
      <x v="15"/>
    </i>
    <i t="data" r="1" i="0">
      <x v="21"/>
    </i>
    <i t="data" r="0" i="0">
      <x v="3"/>
      <x v="11"/>
    </i>
    <i t="data" r="0" i="0">
      <x v="4"/>
      <x v="6"/>
    </i>
    <i t="data" r="0" i="0">
      <x v="5"/>
      <x v="10"/>
    </i>
    <i t="data" r="0" i="0">
      <x v="6"/>
      <x v="7"/>
    </i>
    <i t="data" r="0" i="0">
      <x v="7"/>
      <x v="5"/>
    </i>
    <i t="data" r="0" i="0">
      <x v="8"/>
      <x v="1"/>
    </i>
    <i t="data" r="0" i="0">
      <x v="12"/>
      <x v="16"/>
    </i>
    <i t="data" r="0" i="0">
      <x v="13"/>
      <x v="19"/>
    </i>
    <i t="data" r="0" i="0">
      <x v="14"/>
      <x v="16"/>
    </i>
    <i t="data" r="0" i="0">
      <x v="15"/>
      <x v="16"/>
    </i>
    <i t="data" r="0" i="0">
      <x v="16"/>
      <x v="16"/>
    </i>
    <i t="data" r="0" i="0">
      <x v="17"/>
      <x v="15"/>
    </i>
    <i t="data" r="1" i="0">
      <x v="16"/>
    </i>
    <i t="data" r="0" i="0">
      <x v="18"/>
      <x v="16"/>
    </i>
    <i t="data" r="0" i="0">
      <x v="19"/>
      <x v="3"/>
    </i>
    <i t="data" r="0" i="0">
      <x v="20"/>
      <x v="2"/>
    </i>
    <i t="data" r="0" i="0">
      <x v="21"/>
      <x v="14"/>
    </i>
    <i t="data" r="0" i="0">
      <x v="22"/>
      <x v="12"/>
    </i>
    <i t="data" r="0" i="0">
      <x v="24"/>
      <x v="4"/>
    </i>
    <i t="data" r="0" i="0">
      <x v="25"/>
      <x v="13"/>
    </i>
    <i t="data" r="0" i="0">
      <x v="26"/>
      <x v="20"/>
    </i>
    <i t="data" r="0" i="0">
      <x v="28"/>
      <x v="0"/>
    </i>
    <i t="data" r="0" i="0">
      <x v="31"/>
      <x v="4"/>
    </i>
    <i t="data" r="0" i="0">
      <x v="32"/>
      <x v="7"/>
    </i>
    <i t="data" r="0" i="0">
      <x v="33"/>
      <x v="4"/>
    </i>
    <i t="data" r="0" i="0">
      <x v="34"/>
      <x v="8"/>
    </i>
    <i t="data" r="1" i="0">
      <x v="17"/>
    </i>
    <i t="data" r="1" i="0">
      <x v="18"/>
    </i>
    <i t="data" r="0" i="0">
      <x v="35"/>
      <x v="17"/>
    </i>
    <i t="data" r="1" i="0">
      <x v="18"/>
    </i>
  </rowItems>
  <colItems count="1">
    <i t="data" r="0" i="0"/>
  </colItems>
  <dataFields count="1">
    <dataField name="Sum of SCHEDULE IN MT" fld="35" subtotal="sum" showDataAs="normal" baseField="0" baseItem="0" numFmtId="1"/>
  </dataFields>
  <formats count="2">
    <format action="formatting" dxfId="730">
      <pivotArea type="normal" dataOnly="1" outline="1" collapsedLevelsAreSubtotals="1" fieldPosition="0">
        <references count="1">
          <reference field="2">
            <x v="0"/>
            <x v="1"/>
            <x v="3"/>
            <x v="4"/>
            <x v="5"/>
            <x v="6"/>
            <x v="7"/>
            <x v="8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</references>
      </pivotArea>
    </format>
    <format action="formatting" dxfId="729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3" dataOnRows="0" dataCaption="Values" showError="0" showMissing="1" updatedVersion="8" minRefreshableVersion="3" asteriskTotals="0" showItems="1" editData="0" disableFieldList="0" showCalcMbrs="1" visualTotals="0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4" firstHeaderRow="1" firstDataRow="1" firstDataCol="0" rowPageCount="1" colPageCount="1"/>
  <pivotFields count="3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97">
        <item t="data" sd="1" m="1" x="191"/>
        <item t="data" sd="1" m="1" x="192"/>
        <item t="data" sd="1" m="1" x="87"/>
        <item t="data" sd="1" m="1" x="140"/>
        <item t="data" sd="1" m="1" x="96"/>
        <item t="data" sd="1" x="50"/>
        <item t="data" sd="1" m="1" x="93"/>
        <item t="data" sd="1" m="1" x="98"/>
        <item t="data" sd="1" m="1" x="188"/>
        <item t="data" sd="1" m="1" x="136"/>
        <item t="data" sd="1" m="1" x="99"/>
        <item t="data" sd="1" m="1" x="95"/>
        <item t="data" sd="1" m="1" x="100"/>
        <item t="data" sd="1" m="1" x="151"/>
        <item t="data" sd="1" m="1" x="121"/>
        <item t="data" sd="1" m="1" x="160"/>
        <item t="data" sd="1" m="1" x="152"/>
        <item t="data" sd="1" m="1" x="137"/>
        <item t="data" sd="1" m="1" x="176"/>
        <item t="data" sd="1" m="1" x="147"/>
        <item t="data" sd="1" m="1" x="111"/>
        <item t="data" sd="1" m="1" x="104"/>
        <item t="data" sd="1" m="1" x="119"/>
        <item t="data" sd="1" x="52"/>
        <item t="data" sd="1" m="1" x="120"/>
        <item t="data" sd="1" m="1" x="193"/>
        <item t="data" sd="1" m="1" x="161"/>
        <item t="data" sd="1" m="1" x="180"/>
        <item t="data" sd="1" m="1" x="145"/>
        <item t="data" sd="1" m="1" x="172"/>
        <item t="data" sd="1" m="1" x="90"/>
        <item t="data" sd="1" m="1" x="88"/>
        <item t="data" sd="1" m="1" x="168"/>
        <item t="data" sd="1" m="1" x="107"/>
        <item t="data" sd="1" x="9"/>
        <item t="data" sd="1" m="1" x="124"/>
        <item t="data" sd="1" m="1" x="162"/>
        <item t="data" sd="1" m="1" x="113"/>
        <item t="data" sd="1" x="1"/>
        <item t="data" sd="1" m="1" x="139"/>
        <item t="data" sd="1" m="1" x="84"/>
        <item t="data" sd="1" m="1" x="91"/>
        <item t="data" sd="1" m="1" x="116"/>
        <item t="data" sd="1" m="1" x="126"/>
        <item t="data" sd="1" x="7"/>
        <item t="data" sd="1" m="1" x="97"/>
        <item t="data" sd="1" x="14"/>
        <item t="data" sd="1" x="11"/>
        <item t="data" sd="1" x="48"/>
        <item t="data" sd="1" m="1" x="115"/>
        <item t="data" sd="1" m="1" x="185"/>
        <item t="data" sd="1" m="1" x="101"/>
        <item t="data" sd="1" m="1" x="122"/>
        <item t="data" sd="1" x="2"/>
        <item t="data" sd="1" m="1" x="133"/>
        <item t="data" sd="1" x="32"/>
        <item t="data" sd="1" m="1" x="146"/>
        <item t="data" sd="1" m="1" x="127"/>
        <item t="data" sd="1" m="1" x="177"/>
        <item t="data" sd="1" x="6"/>
        <item t="data" sd="1" m="1" x="89"/>
        <item t="data" sd="1" x="79"/>
        <item t="data" sd="1" m="1" x="155"/>
        <item t="data" sd="1" m="1" x="129"/>
        <item t="data" sd="1" x="12"/>
        <item t="data" sd="1" m="1" x="169"/>
        <item t="data" sd="1" m="1" x="130"/>
        <item t="data" sd="1" m="1" x="174"/>
        <item t="data" sd="1" m="1" x="112"/>
        <item t="data" sd="1" m="1" x="164"/>
        <item t="data" sd="1" m="1" x="85"/>
        <item t="data" sd="1" x="17"/>
        <item t="data" sd="1" m="1" x="149"/>
        <item t="data" sd="1" x="76"/>
        <item t="data" sd="1" x="16"/>
        <item t="data" sd="1" x="3"/>
        <item t="data" sd="1" m="1" x="195"/>
        <item t="data" sd="1" m="1" x="134"/>
        <item t="data" sd="1" m="1" x="117"/>
        <item t="data" sd="1" m="1" x="144"/>
        <item t="data" sd="1" x="8"/>
        <item t="data" sd="1" m="1" x="105"/>
        <item t="data" sd="1" m="1" x="109"/>
        <item t="data" sd="1" m="1" x="128"/>
        <item t="data" sd="1" m="1" x="102"/>
        <item t="data" sd="1" m="1" x="141"/>
        <item t="data" sd="1" x="4"/>
        <item t="data" sd="1" x="71"/>
        <item t="data" sd="1" m="1" x="178"/>
        <item t="data" sd="1" m="1" x="157"/>
        <item t="data" sd="1" x="13"/>
        <item t="data" sd="1" m="1" x="103"/>
        <item t="data" sd="1" m="1" x="106"/>
        <item t="data" sd="1" m="1" x="158"/>
        <item t="data" sd="1" m="1" x="92"/>
        <item t="data" sd="1" x="77"/>
        <item t="data" sd="1" x="18"/>
        <item t="data" sd="1" x="15"/>
        <item t="data" sd="1" m="1" x="86"/>
        <item t="data" sd="1" x="46"/>
        <item t="data" sd="1" m="1" x="125"/>
        <item t="data" sd="1" x="70"/>
        <item t="data" sd="1" x="20"/>
        <item t="data" sd="1" x="55"/>
        <item t="data" sd="1" x="49"/>
        <item t="data" sd="1" m="1" x="179"/>
        <item t="data" sd="1" m="1" x="167"/>
        <item t="data" sd="1" x="74"/>
        <item t="data" sd="1" m="1" x="165"/>
        <item t="data" sd="1" m="1" x="166"/>
        <item t="data" sd="1" m="1" x="150"/>
        <item t="data" sd="1" x="38"/>
        <item t="data" sd="1" x="69"/>
        <item t="data" sd="1" x="31"/>
        <item t="data" sd="1" x="78"/>
        <item t="data" sd="1" m="1" x="182"/>
        <item t="data" sd="1" m="1" x="184"/>
        <item t="data" sd="1" m="1" x="183"/>
        <item t="data" sd="1" x="10"/>
        <item t="data" sd="1" x="33"/>
        <item t="data" sd="1" x="75"/>
        <item t="data" sd="1" m="1" x="94"/>
        <item t="data" sd="1" x="19"/>
        <item t="data" sd="1" m="1" x="170"/>
        <item t="data" sd="1" x="47"/>
        <item t="data" sd="1" m="1" x="123"/>
        <item t="data" sd="1" m="1" x="171"/>
        <item t="data" sd="1" x="21"/>
        <item t="data" sd="1" m="1" x="159"/>
        <item t="data" sd="1" x="0"/>
        <item t="data" sd="1" x="82"/>
        <item t="data" sd="1" m="1" x="108"/>
        <item t="data" sd="1" x="83"/>
        <item t="data" h="1" sd="1" x="30"/>
        <item t="data" h="1" sd="1" m="1" x="138"/>
        <item t="data" h="1" sd="1" m="1" x="181"/>
        <item t="data" h="1" sd="1" m="1" x="143"/>
        <item t="data" h="1" sd="1" m="1" x="153"/>
        <item t="data" h="1" sd="1" x="37"/>
        <item t="data" h="1" sd="1" m="1" x="175"/>
        <item t="data" h="1" sd="1" m="1" x="186"/>
        <item t="data" h="1" sd="1" m="1" x="135"/>
        <item t="data" h="1" sd="1" m="1" x="154"/>
        <item t="data" h="1" sd="1" m="1" x="189"/>
        <item t="data" h="1" sd="1" m="1" x="142"/>
        <item t="data" h="1" sd="1" m="1" x="114"/>
        <item t="data" h="1" sd="1" m="1" x="118"/>
        <item t="data" h="1" sd="1" m="1" x="190"/>
        <item t="data" h="1" sd="1" m="1" x="194"/>
        <item t="data" h="1" sd="1" x="53"/>
        <item t="data" h="1" sd="1" m="1" x="131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h="1" sd="1" m="1" x="163"/>
        <item t="data" h="1" sd="1" m="1" x="110"/>
        <item t="data" h="1" sd="1" x="65"/>
        <item t="data" h="1" sd="1" x="80"/>
        <item t="data" h="1" sd="1" m="1" x="187"/>
        <item t="data" h="1" sd="1" x="81"/>
        <item t="data" h="1" sd="1" m="1" x="148"/>
        <item t="data" h="1" sd="1" m="1" x="156"/>
        <item t="data" h="1" sd="1" m="1" x="173"/>
        <item t="data" h="1" sd="1" m="1" x="132"/>
        <item t="data" h="1" sd="1" x="51"/>
        <item t="data" h="1" sd="1" x="54"/>
        <item t="data" h="1" sd="1" x="66"/>
        <item t="data" h="1" sd="1" x="67"/>
        <item t="data" h="1" sd="1" x="68"/>
        <item t="data" h="1" sd="1" x="72"/>
        <item t="data" h="1" sd="1" x="73"/>
        <item t="data" h="1" sd="1" x="34"/>
        <item t="data" h="1" sd="1" x="35"/>
        <item t="data" h="1" sd="1" x="36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5"/>
        <item t="data" h="1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Items count="1">
    <i t="data" r="0" i="0"/>
  </colItems>
  <pageFields count="1">
    <pageField fld="24" hier="-1"/>
  </pageFields>
  <dataFields count="1">
    <dataField name="Sum of SCHEDULE IN MT" fld="27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32" firstHeaderRow="2" firstDataRow="2" firstDataCol="1"/>
  <pivotFields count="45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36">
        <item t="data" sd="1" x="0"/>
        <item t="data" sd="1" x="1"/>
        <item t="data" sd="1" m="1" x="31"/>
        <item t="data" sd="1" x="2"/>
        <item t="data" sd="1" x="3"/>
        <item t="data" sd="1" x="4"/>
        <item t="data" sd="1" x="6"/>
        <item t="data" sd="1" x="8"/>
        <item t="data" sd="1" x="9"/>
        <item t="data" sd="1" m="1" x="33"/>
        <item t="data" sd="1" m="1" x="29"/>
        <item t="data" sd="1" m="1" x="30"/>
        <item t="data" sd="1" x="12"/>
        <item t="data" sd="1" x="18"/>
        <item t="data" sd="1" x="15"/>
        <item t="data" sd="1" x="16"/>
        <item t="data" sd="1" x="17"/>
        <item t="data" sd="1" x="13"/>
        <item t="data" sd="1" x="14"/>
        <item t="data" sd="1" x="19"/>
        <item t="data" sd="1" x="22"/>
        <item t="data" sd="1" x="21"/>
        <item t="data" sd="1" x="20"/>
        <item t="data" sd="1" x="26"/>
        <item t="data" sd="1" x="27"/>
        <item t="data" sd="1" x="23"/>
        <item t="data" sd="1" m="1" x="32"/>
        <item t="data" sd="1" m="1" x="28"/>
        <item t="data" sd="1" x="5"/>
        <item t="data" sd="1" m="1" x="34"/>
        <item t="data" sd="1" m="1" x="35"/>
        <item t="data" sd="1" x="24"/>
        <item t="data" sd="1" x="7"/>
        <item t="data" sd="1" x="25"/>
        <item t="data" sd="1" x="10"/>
        <item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2" outline="0" subtotalTop="1" dragToRow="1" dragToCol="1" dragToPage="1" dragToData="1" dragOff="1" showAll="0" topAutoShow="1" itemPageCount="10" sortType="manual" defaultSubtotal="0"/>
    <pivotField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" outline="0" subtotalTop="1" dragToRow="1" dragToCol="1" dragToPage="1" dragToData="1" dragOff="1" showAll="0" topAutoShow="1" itemPageCount="10" sortType="manual" defaultSubtotal="0"/>
    <pivotField dataField="1"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2"/>
  </rowFields>
  <rowItems count="28">
    <i t="data" r="0" i="0">
      <x v="0"/>
    </i>
    <i t="data" r="0" i="0">
      <x v="1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8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</rowItems>
  <colItems count="1">
    <i t="data" r="0" i="0"/>
  </colItems>
  <dataFields count="1">
    <dataField name="Sum of SCHEDULE IN MT" fld="35" subtotal="sum" showDataAs="normal" baseField="0" baseItem="0" numFmtId="167"/>
  </dataFields>
  <formats count="1">
    <format action="formatting" dxfId="728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0" cacheId="4" dataOnRows="0" dataCaption="Values" showError="0" showMissing="1" updatedVersion="8" minRefreshableVersion="3" asteriskTotals="0" showItems="1" editData="0" disableFieldList="0" showCalcMbrs="1" visualTotals="0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32" firstHeaderRow="1" firstDataRow="1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7">
        <item t="data" sd="1" x="0"/>
        <item t="data" sd="1" x="1"/>
        <item t="data" sd="1" m="1" x="31"/>
        <item t="data" sd="1" x="2"/>
        <item t="data" sd="1" x="3"/>
        <item t="data" sd="1" x="4"/>
        <item t="data" sd="1" x="6"/>
        <item t="data" sd="1" x="8"/>
        <item t="data" sd="1" x="9"/>
        <item t="data" sd="1" m="1" x="33"/>
        <item t="data" sd="1" m="1" x="29"/>
        <item t="data" sd="1" m="1" x="30"/>
        <item t="data" sd="1" x="12"/>
        <item t="data" sd="1" x="18"/>
        <item t="data" sd="1" x="15"/>
        <item t="data" sd="1" x="16"/>
        <item t="data" sd="1" x="17"/>
        <item t="data" sd="1" x="13"/>
        <item t="data" sd="1" x="14"/>
        <item t="data" sd="1" x="19"/>
        <item t="data" sd="1" x="22"/>
        <item t="data" sd="1" x="21"/>
        <item t="data" sd="1" x="20"/>
        <item t="data" sd="1" m="1" x="32"/>
        <item t="data" sd="1" x="23"/>
        <item t="data" sd="1" x="26"/>
        <item t="data" sd="1" x="27"/>
        <item t="data" sd="1" m="1" x="28"/>
        <item t="data" sd="1" x="5"/>
        <item t="data" sd="1" m="1" x="34"/>
        <item t="data" sd="1" m="1" x="35"/>
        <item t="data" sd="1" x="24"/>
        <item t="data" sd="1" x="7"/>
        <item t="data" sd="1" x="25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29">
    <i t="data" r="0" i="0">
      <x v="0"/>
    </i>
    <i t="data" r="0" i="0">
      <x v="1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4"/>
    </i>
    <i t="data" r="0" i="0">
      <x v="25"/>
    </i>
    <i t="data" r="0" i="0">
      <x v="26"/>
    </i>
    <i t="data" r="0" i="0">
      <x v="28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grand" r="0" i="0">
      <x v="0"/>
    </i>
  </rowItems>
  <colItems count="1">
    <i t="data" r="0" i="0"/>
  </colItems>
  <formats count="3">
    <format action="formatting" dxfId="694">
      <pivotArea type="normal" dataOnly="1" outline="1" collapsedLevelsAreSubtotals="1" fieldPosition="0">
        <references count="1">
          <reference field="2">
            <x v="21"/>
          </reference>
        </references>
      </pivotArea>
    </format>
    <format action="formatting" dxfId="693">
      <pivotArea type="normal" dataOnly="1" outline="1" collapsedLevelsAreSubtotals="1" fieldPosition="0">
        <references count="1">
          <reference field="2">
            <x v="20"/>
          </reference>
        </references>
      </pivotArea>
    </format>
    <format action="formatting" dxfId="692">
      <pivotArea type="normal" dataOnly="1" outline="1" collapsedLevelsAreSubtotals="1" fieldPosition="0">
        <references count="1">
          <reference field="2">
            <x v="1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AJ196" firstHeaderRow="1" firstDataRow="2" firstDataCol="7"/>
  <pivotFields count="45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Col" showDropDowns="1" compact="0" outline="0" subtotalTop="1" dragToRow="1" dragToCol="1" dragToPage="1" dragToData="1" dragOff="1" showAll="0" topAutoShow="1" itemPageCount="10" sortType="manual" defaultSubtotal="0">
      <items count="36">
        <item t="data" sd="1" x="0"/>
        <item t="data" sd="1" x="1"/>
        <item t="data" sd="1" m="1" x="31"/>
        <item t="data" sd="1" x="2"/>
        <item t="data" sd="1" x="3"/>
        <item t="data" sd="1" x="4"/>
        <item t="data" sd="1" x="6"/>
        <item t="data" sd="1" x="8"/>
        <item t="data" sd="1" x="9"/>
        <item t="data" sd="1" m="1" x="33"/>
        <item t="data" sd="1" m="1" x="29"/>
        <item t="data" sd="1" m="1" x="30"/>
        <item t="data" sd="1" x="12"/>
        <item t="data" sd="1" x="18"/>
        <item t="data" sd="1" x="15"/>
        <item t="data" sd="1" x="16"/>
        <item t="data" sd="1" x="17"/>
        <item t="data" sd="1" x="13"/>
        <item t="data" sd="1" x="14"/>
        <item t="data" sd="1" x="19"/>
        <item t="data" sd="1" x="22"/>
        <item t="data" sd="1" x="21"/>
        <item t="data" sd="1" x="20"/>
        <item t="data" sd="1" x="26"/>
        <item t="data" sd="1" x="27"/>
        <item t="data" sd="1" x="23"/>
        <item t="data" sd="1" m="1" x="32"/>
        <item t="data" sd="1" m="1" x="28"/>
        <item t="data" sd="1" x="5"/>
        <item t="data" sd="1" m="1" x="34"/>
        <item t="data" sd="1" m="1" x="35"/>
        <item t="data" sd="1" x="24"/>
        <item t="data" sd="1" x="7"/>
        <item t="data" sd="1" x="25"/>
        <item t="data" sd="1" x="10"/>
        <item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10">
        <item t="data" sd="1" x="1"/>
        <item t="data" sd="1" x="7"/>
        <item t="data" sd="1" x="0"/>
        <item t="data" sd="1" x="6"/>
        <item t="data" sd="1" x="5"/>
        <item t="data" sd="1" x="2"/>
        <item t="data" sd="1" x="4"/>
        <item t="data" sd="1" m="1" x="8"/>
        <item t="data" sd="1" m="1" x="9"/>
        <item t="data" sd="1" x="3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ascending" defaultSubtotal="0">
      <items count="6">
        <item t="data" sd="1" x="3"/>
        <item t="data" sd="1" x="5"/>
        <item t="data" sd="1" x="2"/>
        <item t="data" sd="1" x="4"/>
        <item t="data" sd="1" x="0"/>
        <item t="data" sd="1" x="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1">
      <items count="224">
        <item t="data" sd="1" x="115"/>
        <item t="data" sd="1" x="92"/>
        <item t="data" sd="1" m="1" x="212"/>
        <item t="data" sd="1" m="1" x="196"/>
        <item t="data" sd="1" m="1" x="201"/>
        <item t="data" sd="1" x="14"/>
        <item t="data" sd="1" x="0"/>
        <item t="data" sd="1" m="1" x="222"/>
        <item t="data" sd="1" m="1" x="203"/>
        <item t="data" sd="1" x="7"/>
        <item t="data" sd="1" x="157"/>
        <item t="data" sd="1" x="108"/>
        <item t="data" sd="1" m="1" x="210"/>
        <item t="data" sd="1" x="169"/>
        <item t="data" sd="1" x="80"/>
        <item t="data" sd="1" m="1" x="184"/>
        <item t="data" sd="1" m="1" x="182"/>
        <item t="data" sd="1" x="2"/>
        <item t="data" sd="1" m="1" x="220"/>
        <item t="data" sd="1" x="15"/>
        <item t="data" sd="1" x="77"/>
        <item t="data" sd="1" x="16"/>
        <item t="data" sd="1" m="1" x="202"/>
        <item t="data" sd="1" x="8"/>
        <item t="data" sd="1" x="109"/>
        <item t="data" sd="1" x="135"/>
        <item t="data" sd="1" x="9"/>
        <item t="data" sd="1" x="110"/>
        <item t="data" sd="1" x="136"/>
        <item t="data" sd="1" x="159"/>
        <item t="data" sd="1" x="119"/>
        <item t="data" sd="1" x="10"/>
        <item t="data" sd="1" x="17"/>
        <item t="data" sd="1" x="120"/>
        <item t="data" sd="1" m="1" x="219"/>
        <item t="data" sd="1" x="137"/>
        <item t="data" sd="1" x="71"/>
        <item t="data" sd="1" x="4"/>
        <item t="data" sd="1" x="42"/>
        <item t="data" sd="1" x="43"/>
        <item t="data" sd="1" x="121"/>
        <item t="data" sd="1" x="85"/>
        <item t="data" sd="1" x="153"/>
        <item t="data" sd="1" x="3"/>
        <item t="data" sd="1" x="173"/>
        <item t="data" sd="1" x="146"/>
        <item t="data" sd="1" x="145"/>
        <item t="data" sd="1" x="19"/>
        <item t="data" sd="1" x="152"/>
        <item t="data" sd="1" x="144"/>
        <item t="data" sd="1" x="18"/>
        <item t="data" sd="1" x="170"/>
        <item t="data" sd="1" x="81"/>
        <item t="data" sd="1" m="1" x="214"/>
        <item t="data" sd="1" x="72"/>
        <item t="data" sd="1" x="116"/>
        <item t="data" sd="1" x="165"/>
        <item t="data" sd="1" x="111"/>
        <item t="data" sd="1" x="60"/>
        <item t="data" sd="1" x="112"/>
        <item t="data" sd="1" x="82"/>
        <item t="data" sd="1" x="113"/>
        <item t="data" sd="1" x="154"/>
        <item t="data" sd="1" x="174"/>
        <item t="data" sd="1" x="171"/>
        <item t="data" sd="1" x="20"/>
        <item t="data" sd="1" x="147"/>
        <item t="data" sd="1" x="21"/>
        <item t="data" sd="1" x="167"/>
        <item t="data" sd="1" x="58"/>
        <item t="data" sd="1" x="24"/>
        <item t="data" sd="1" x="175"/>
        <item t="data" sd="1" x="22"/>
        <item t="data" sd="1" x="23"/>
        <item t="data" sd="1" x="49"/>
        <item t="data" sd="1" m="1" x="216"/>
        <item t="data" sd="1" x="168"/>
        <item t="data" sd="1" x="57"/>
        <item t="data" sd="1" x="131"/>
        <item t="data" sd="1" m="1" x="183"/>
        <item t="data" sd="1" x="78"/>
        <item t="data" sd="1" m="1" x="180"/>
        <item t="data" sd="1" x="86"/>
        <item t="data" sd="1" x="5"/>
        <item t="data" sd="1" x="44"/>
        <item t="data" sd="1" x="65"/>
        <item t="data" sd="1" x="87"/>
        <item t="data" sd="1" x="166"/>
        <item t="data" sd="1" x="148"/>
        <item t="data" sd="1" x="160"/>
        <item t="data" sd="1" x="25"/>
        <item t="data" sd="1" x="122"/>
        <item t="data" sd="1" x="105"/>
        <item t="data" sd="1" x="104"/>
        <item t="data" sd="1" x="158"/>
        <item t="data" sd="1" x="114"/>
        <item t="data" sd="1" x="66"/>
        <item t="data" sd="1" x="138"/>
        <item t="data" sd="1" x="106"/>
        <item t="data" sd="1" x="73"/>
        <item t="data" sd="1" x="28"/>
        <item t="data" sd="1" x="103"/>
        <item t="data" sd="1" x="123"/>
        <item t="data" sd="1" x="88"/>
        <item t="data" sd="1" x="26"/>
        <item t="data" sd="1" x="172"/>
        <item t="data" sd="1" x="132"/>
        <item t="data" sd="1" x="27"/>
        <item t="data" sd="1" x="11"/>
        <item t="data" sd="1" x="12"/>
        <item t="data" sd="1" x="53"/>
        <item t="data" sd="1" x="54"/>
        <item t="data" sd="1" x="52"/>
        <item t="data" sd="1" x="139"/>
        <item t="data" sd="1" x="67"/>
        <item t="data" sd="1" x="68"/>
        <item t="data" sd="1" x="74"/>
        <item t="data" sd="1" m="1" x="177"/>
        <item t="data" sd="1" m="1" x="178"/>
        <item t="data" sd="1" x="124"/>
        <item t="data" sd="1" m="1" x="176"/>
        <item t="data" sd="1" x="163"/>
        <item t="data" sd="1" m="1" x="192"/>
        <item t="data" sd="1" x="149"/>
        <item t="data" sd="1" x="13"/>
        <item t="data" sd="1" x="107"/>
        <item t="data" sd="1" x="162"/>
        <item t="data" sd="1" x="125"/>
        <item t="data" sd="1" x="55"/>
        <item t="data" sd="1" x="29"/>
        <item t="data" sd="1" x="46"/>
        <item t="data" sd="1" x="31"/>
        <item t="data" sd="1" x="50"/>
        <item t="data" sd="1" m="1" x="205"/>
        <item t="data" sd="1" x="141"/>
        <item t="data" sd="1" x="140"/>
        <item t="data" sd="1" x="45"/>
        <item t="data" sd="1" x="48"/>
        <item t="data" sd="1" x="117"/>
        <item t="data" sd="1" x="126"/>
        <item t="data" sd="1" x="89"/>
        <item t="data" sd="1" x="100"/>
        <item t="data" sd="1" x="102"/>
        <item t="data" sd="1" x="90"/>
        <item t="data" sd="1" x="127"/>
        <item t="data" sd="1" x="101"/>
        <item t="data" sd="1" x="79"/>
        <item t="data" sd="1" x="70"/>
        <item t="data" sd="1" x="69"/>
        <item t="data" sd="1" m="1" x="221"/>
        <item t="data" sd="1" x="75"/>
        <item t="data" sd="1" x="32"/>
        <item t="data" sd="1" x="33"/>
        <item t="data" sd="1" m="1" x="195"/>
        <item t="data" sd="1" x="34"/>
        <item t="data" sd="1" x="94"/>
        <item t="data" sd="1" x="36"/>
        <item t="data" sd="1" x="37"/>
        <item t="data" sd="1" x="76"/>
        <item t="data" sd="1" x="150"/>
        <item t="data" sd="1" x="134"/>
        <item t="data" sd="1" x="151"/>
        <item t="data" sd="1" x="91"/>
        <item t="data" sd="1" x="83"/>
        <item t="data" sd="1" x="93"/>
        <item t="data" sd="1" x="84"/>
        <item t="data" sd="1" x="142"/>
        <item t="data" sd="1" x="56"/>
        <item t="data" sd="1" x="35"/>
        <item t="data" sd="1" x="95"/>
        <item t="data" sd="1" m="1" x="217"/>
        <item t="data" sd="1" x="59"/>
        <item t="data" sd="1" x="128"/>
        <item t="data" sd="1" m="1" x="204"/>
        <item t="data" sd="1" x="130"/>
        <item t="data" sd="1" x="6"/>
        <item t="data" sd="1" m="1" x="209"/>
        <item t="data" sd="1" x="129"/>
        <item t="data" sd="1" x="63"/>
        <item t="data" sd="1" x="62"/>
        <item t="data" sd="1" m="1" x="208"/>
        <item t="data" sd="1" x="133"/>
        <item t="data" sd="1" x="155"/>
        <item t="data" sd="1" x="98"/>
        <item t="data" sd="1" x="97"/>
        <item t="data" sd="1" x="41"/>
        <item t="data" sd="1" x="51"/>
        <item t="data" sd="1" x="40"/>
        <item t="data" sd="1" x="156"/>
        <item t="data" sd="1" x="143"/>
        <item t="data" sd="1" x="99"/>
        <item t="data" sd="1" x="61"/>
        <item t="data" sd="1" x="64"/>
        <item t="data" sd="1" m="1" x="213"/>
        <item t="data" sd="1" m="1" x="179"/>
        <item t="data" sd="1" m="1" x="215"/>
        <item t="data" sd="1" x="38"/>
        <item t="data" sd="1" x="39"/>
        <item t="data" sd="1" m="1" x="186"/>
        <item t="data" sd="1" m="1" x="185"/>
        <item t="data" sd="1" m="1" x="197"/>
        <item t="data" sd="1" m="1" x="187"/>
        <item t="data" sd="1" m="1" x="206"/>
        <item t="data" sd="1" m="1" x="200"/>
        <item t="data" sd="1" m="1" x="218"/>
        <item t="data" sd="1" m="1" x="189"/>
        <item t="data" sd="1" m="1" x="211"/>
        <item t="data" sd="1" x="161"/>
        <item t="data" sd="1" x="1"/>
        <item t="data" sd="1" m="1" x="194"/>
        <item t="data" sd="1" m="1" x="199"/>
        <item t="data" sd="1" m="1" x="188"/>
        <item t="data" sd="1" m="1" x="207"/>
        <item t="data" sd="1" x="118"/>
        <item t="data" sd="1" m="1" x="190"/>
        <item t="data" sd="1" x="47"/>
        <item t="data" sd="1" m="1" x="181"/>
        <item t="data" sd="1" m="1" x="191"/>
        <item t="data" sd="1" m="1" x="193"/>
        <item t="data" sd="1" x="96"/>
        <item t="data" sd="1" x="164"/>
        <item t="data" sd="1" x="30"/>
        <item t="data" sd="1" m="1" x="19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47">
        <item t="data" sd="1" m="1" x="45"/>
        <item t="data" sd="1" m="1" x="46"/>
        <item t="data" sd="1" x="0"/>
        <item t="data" sd="1" x="5"/>
        <item t="data" sd="1" x="1"/>
        <item t="data" sd="1" x="6"/>
        <item t="data" sd="1" x="7"/>
        <item t="data" sd="1" x="35"/>
        <item t="data" sd="1" x="41"/>
        <item t="data" sd="1" x="32"/>
        <item t="data" sd="1" x="2"/>
        <item t="data" sd="1" x="24"/>
        <item t="data" sd="1" x="38"/>
        <item t="data" sd="1" x="33"/>
        <item t="data" sd="1" x="11"/>
        <item t="data" sd="1" x="31"/>
        <item t="data" sd="1" x="3"/>
        <item t="data" sd="1" x="42"/>
        <item t="data" sd="1" x="36"/>
        <item t="data" sd="1" x="12"/>
        <item t="data" sd="1" x="8"/>
        <item t="data" sd="1" x="22"/>
        <item t="data" sd="1" x="28"/>
        <item t="data" sd="1" x="29"/>
        <item t="data" sd="1" x="20"/>
        <item t="data" sd="1" x="10"/>
        <item t="data" sd="1" x="37"/>
        <item t="data" sd="1" x="39"/>
        <item t="data" sd="1" x="13"/>
        <item t="data" sd="1" x="43"/>
        <item t="data" sd="1" x="21"/>
        <item t="data" sd="1" x="40"/>
        <item t="data" sd="1" x="14"/>
        <item t="data" sd="1" x="30"/>
        <item t="data" sd="1" x="44"/>
        <item t="data" sd="1" x="15"/>
        <item t="data" sd="1" x="16"/>
        <item t="data" sd="1" x="17"/>
        <item t="data" sd="1" x="18"/>
        <item t="data" sd="1" x="4"/>
        <item t="data" sd="1" x="26"/>
        <item t="data" sd="1" x="19"/>
        <item t="data" sd="1" x="34"/>
        <item t="data" sd="1" x="25"/>
        <item t="data" sd="1" x="27"/>
        <item t="data" sd="1" x="23"/>
        <item t="data" sd="1" x="9"/>
      </items>
    </pivotField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50">
        <item t="data" sd="1" x="33"/>
        <item t="data" sd="1" x="39"/>
        <item t="data" sd="1" m="1" x="48"/>
        <item t="data" sd="1" m="1" x="49"/>
        <item t="data" sd="1" x="0"/>
        <item t="data" sd="1" x="5"/>
        <item t="data" sd="1" x="1"/>
        <item t="data" sd="1" x="6"/>
        <item t="data" sd="1" x="7"/>
        <item t="data" sd="1" x="42"/>
        <item t="data" sd="1" x="29"/>
        <item t="data" sd="1" x="2"/>
        <item t="data" sd="1" x="23"/>
        <item t="data" sd="1" x="38"/>
        <item t="data" sd="1" x="31"/>
        <item t="data" sd="1" x="46"/>
        <item t="data" sd="1" x="11"/>
        <item t="data" sd="1" x="13"/>
        <item t="data" sd="1" x="3"/>
        <item t="data" sd="1" x="36"/>
        <item t="data" sd="1" x="35"/>
        <item t="data" sd="1" x="12"/>
        <item t="data" sd="1" x="8"/>
        <item t="data" sd="1" x="21"/>
        <item t="data" sd="1" x="27"/>
        <item t="data" sd="1" x="44"/>
        <item t="data" sd="1" x="10"/>
        <item t="data" sd="1" x="37"/>
        <item t="data" sd="1" x="47"/>
        <item t="data" sd="1" x="14"/>
        <item t="data" sd="1" x="45"/>
        <item t="data" sd="1" x="20"/>
        <item t="data" sd="1" x="41"/>
        <item t="data" sd="1" x="30"/>
        <item t="data" sd="1" x="28"/>
        <item t="data" sd="1" x="15"/>
        <item t="data" sd="1" x="32"/>
        <item t="data" sd="1" x="16"/>
        <item t="data" sd="1" x="17"/>
        <item t="data" sd="1" x="4"/>
        <item t="data" sd="1" x="43"/>
        <item t="data" sd="1" x="25"/>
        <item t="data" sd="1" x="19"/>
        <item t="data" sd="1" x="18"/>
        <item t="data" sd="1" x="34"/>
        <item t="data" sd="1" x="24"/>
        <item t="data" sd="1" x="26"/>
        <item t="data" sd="1" x="40"/>
        <item t="data" sd="1" x="22"/>
        <item t="data" sd="1" x="9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7">
        <item t="data" sd="1" x="0"/>
        <item t="data" sd="1" m="1" x="26"/>
        <item t="data" sd="1" x="13"/>
        <item t="data" sd="1" x="24"/>
        <item t="data" sd="1" x="22"/>
        <item t="data" sd="1" x="23"/>
        <item t="data" sd="1" x="18"/>
        <item t="data" sd="1" x="14"/>
        <item t="data" sd="1" x="19"/>
        <item t="data" sd="1" x="17"/>
        <item t="data" sd="1" x="7"/>
        <item t="data" sd="1" x="15"/>
        <item t="data" sd="1" x="16"/>
        <item t="data" sd="1" x="11"/>
        <item t="data" sd="1" x="4"/>
        <item t="data" sd="1" x="6"/>
        <item t="data" sd="1" x="3"/>
        <item t="data" sd="1" x="9"/>
        <item t="data" sd="1" x="20"/>
        <item t="data" sd="1" x="1"/>
        <item t="data" sd="1" x="5"/>
        <item t="data" sd="1" x="21"/>
        <item t="data" sd="1" x="10"/>
        <item t="data" sd="1" x="12"/>
        <item t="data" sd="1" x="8"/>
        <item t="data" sd="1" x="2"/>
        <item t="data" sd="1" m="1" x="25"/>
      </items>
    </pivotField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34">
        <item t="data" sd="1" x="28"/>
        <item t="data" sd="1" x="1"/>
        <item t="data" sd="1" x="2"/>
        <item t="data" sd="1" m="1" x="32"/>
        <item t="data" sd="1" x="18"/>
        <item t="data" sd="1" m="1" x="33"/>
        <item t="data" sd="1" x="0"/>
        <item t="data" sd="1" x="12"/>
        <item t="data" sd="1" x="31"/>
        <item t="data" sd="1" x="8"/>
        <item t="data" sd="1" x="20"/>
        <item t="data" sd="1" x="9"/>
        <item t="data" sd="1" x="27"/>
        <item t="data" sd="1" x="29"/>
        <item t="data" sd="1" x="22"/>
        <item t="data" sd="1" x="10"/>
        <item t="data" sd="1" x="14"/>
        <item t="data" sd="1" x="5"/>
        <item t="data" sd="1" x="26"/>
        <item t="data" sd="1" x="24"/>
        <item t="data" sd="1" x="3"/>
        <item t="data" sd="1" x="25"/>
        <item t="data" sd="1" x="4"/>
        <item t="data" sd="1" x="19"/>
        <item t="data" sd="1" x="13"/>
        <item t="data" sd="1" x="23"/>
        <item t="data" sd="1" x="7"/>
        <item t="data" sd="1" x="17"/>
        <item t="data" sd="1" x="21"/>
        <item t="data" sd="1" x="30"/>
        <item t="data" sd="1" x="11"/>
        <item t="data" sd="1" x="15"/>
        <item t="data" sd="1" x="16"/>
        <item t="data" sd="1" x="6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" outline="0" subtotalTop="1" dragToRow="1" dragToCol="1" dragToPage="1" dragToData="1" dragOff="1" showAll="0" topAutoShow="1" itemPageCount="10" sortType="manual" defaultSubtotal="0"/>
    <pivotField dataField="1"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7">
    <field x="23"/>
    <field x="24"/>
    <field x="25"/>
    <field x="26"/>
    <field x="8"/>
    <field x="10"/>
    <field x="16"/>
  </rowFields>
  <rowItems count="192">
    <i t="data" r="0" i="0">
      <x v="2"/>
      <x v="4"/>
      <x v="0"/>
      <x v="2"/>
      <x v="2"/>
      <x v="4"/>
      <x v="5"/>
    </i>
    <i t="data" r="3" i="0">
      <x v="6"/>
      <x v="2"/>
      <x v="4"/>
      <x v="6"/>
    </i>
    <i t="data" r="3" i="0">
      <x v="9"/>
      <x v="2"/>
      <x v="4"/>
      <x v="213"/>
    </i>
    <i t="data" r="0" i="0">
      <x v="3"/>
      <x v="5"/>
      <x v="0"/>
      <x v="6"/>
      <x v="0"/>
      <x v="0"/>
      <x v="9"/>
    </i>
    <i t="data" r="3" i="0">
      <x v="14"/>
      <x v="0"/>
      <x v="0"/>
      <x v="11"/>
    </i>
    <i t="data" r="5" i="0">
      <x v="5"/>
      <x v="10"/>
    </i>
    <i t="data" r="2" i="0">
      <x v="2"/>
      <x v="14"/>
      <x v="0"/>
      <x v="5"/>
      <x v="14"/>
    </i>
    <i t="data" r="2" i="0">
      <x v="3"/>
      <x v="8"/>
      <x v="0"/>
      <x v="0"/>
      <x v="13"/>
    </i>
    <i t="data" r="0" i="0">
      <x v="4"/>
      <x v="6"/>
      <x v="0"/>
      <x v="1"/>
      <x v="2"/>
      <x v="4"/>
      <x v="20"/>
    </i>
    <i t="data" r="5" i="0">
      <x v="5"/>
      <x v="208"/>
    </i>
    <i t="data" r="3" i="0">
      <x v="2"/>
      <x v="2"/>
      <x v="4"/>
      <x v="17"/>
    </i>
    <i t="data" r="3" i="0">
      <x v="6"/>
      <x v="2"/>
      <x v="4"/>
      <x v="19"/>
    </i>
    <i t="data" r="3" i="0">
      <x v="9"/>
      <x v="2"/>
      <x v="4"/>
      <x v="21"/>
    </i>
    <i t="data" r="0" i="0">
      <x v="5"/>
      <x v="7"/>
      <x v="0"/>
      <x v="9"/>
      <x v="0"/>
      <x v="0"/>
      <x v="24"/>
    </i>
    <i t="data" r="3" i="0">
      <x v="20"/>
      <x v="0"/>
      <x v="0"/>
      <x v="23"/>
    </i>
    <i t="data" r="5" i="0">
      <x v="5"/>
      <x v="208"/>
    </i>
    <i t="data" r="2" i="0">
      <x v="4"/>
      <x v="18"/>
      <x v="0"/>
      <x v="0"/>
      <x v="25"/>
    </i>
    <i t="data" r="2" i="0">
      <x v="25"/>
      <x v="22"/>
      <x v="0"/>
      <x v="0"/>
      <x v="26"/>
    </i>
    <i t="data" r="0" i="0">
      <x v="6"/>
      <x v="8"/>
      <x v="0"/>
      <x v="2"/>
      <x v="0"/>
      <x v="0"/>
      <x v="28"/>
    </i>
    <i t="data" r="5" i="0">
      <x v="5"/>
      <x v="27"/>
    </i>
    <i t="data" r="4" i="0">
      <x v="2"/>
      <x v="4"/>
      <x v="30"/>
    </i>
    <i t="data" r="5" i="0">
      <x v="5"/>
      <x v="29"/>
    </i>
    <i t="data" r="3" i="0">
      <x v="6"/>
      <x v="0"/>
      <x v="5"/>
      <x v="31"/>
    </i>
    <i t="data" r="4" i="0">
      <x v="2"/>
      <x v="4"/>
      <x v="32"/>
    </i>
    <i t="data" r="0" i="0">
      <x v="7"/>
      <x v="20"/>
      <x v="11"/>
      <x v="30"/>
      <x v="0"/>
      <x v="5"/>
      <x v="101"/>
    </i>
    <i t="data" r="0" i="0">
      <x v="8"/>
      <x v="9"/>
      <x v="0"/>
      <x v="1"/>
      <x v="2"/>
      <x v="4"/>
      <x v="33"/>
    </i>
    <i t="data" r="2" i="0">
      <x v="5"/>
      <x v="22"/>
      <x v="0"/>
      <x v="0"/>
      <x v="35"/>
    </i>
    <i t="data" r="0" i="0">
      <x v="9"/>
      <x v="10"/>
      <x v="7"/>
      <x v="25"/>
      <x v="0"/>
      <x v="0"/>
      <x v="52"/>
    </i>
    <i t="data" r="5" i="0">
      <x v="5"/>
      <x v="51"/>
    </i>
    <i t="data" r="0" i="0">
      <x v="10"/>
      <x v="10"/>
      <x v="7"/>
      <x v="25"/>
      <x v="0"/>
      <x v="0"/>
      <x v="52"/>
    </i>
    <i t="data" r="1" i="0">
      <x v="11"/>
      <x v="0"/>
      <x v="1"/>
      <x v="2"/>
      <x v="4"/>
      <x v="43"/>
    </i>
    <i t="data" r="3" i="0">
      <x v="2"/>
      <x v="1"/>
      <x v="4"/>
      <x v="36"/>
    </i>
    <i t="data" r="4" i="0">
      <x v="2"/>
      <x v="4"/>
      <x v="37"/>
    </i>
    <i t="data" r="5" i="0">
      <x v="5"/>
      <x v="208"/>
    </i>
    <i t="data" r="3" i="0">
      <x v="6"/>
      <x v="2"/>
      <x v="4"/>
      <x v="41"/>
    </i>
    <i t="data" r="5" i="0">
      <x v="5"/>
      <x v="40"/>
    </i>
    <i t="data" r="4" i="0">
      <x v="4"/>
      <x v="4"/>
      <x v="42"/>
    </i>
    <i t="data" r="4" i="0">
      <x v="5"/>
      <x v="5"/>
      <x v="38"/>
    </i>
    <i t="data" r="3" i="0">
      <x v="7"/>
      <x v="5"/>
      <x v="5"/>
      <x v="39"/>
    </i>
    <i t="data" r="3" i="0">
      <x v="9"/>
      <x v="2"/>
      <x v="4"/>
      <x v="50"/>
    </i>
    <i t="data" r="6" i="0">
      <x v="208"/>
    </i>
    <i t="data" r="5" i="0">
      <x v="5"/>
      <x v="49"/>
    </i>
    <i t="data" r="6" i="0">
      <x v="208"/>
    </i>
    <i t="data" r="4" i="0">
      <x v="5"/>
      <x v="5"/>
      <x v="44"/>
    </i>
    <i t="data" r="3" i="0">
      <x v="11"/>
      <x v="2"/>
      <x v="4"/>
      <x v="47"/>
    </i>
    <i t="data" r="5" i="0">
      <x v="5"/>
      <x v="46"/>
    </i>
    <i t="data" r="3" i="0">
      <x v="13"/>
      <x v="2"/>
      <x v="5"/>
      <x v="45"/>
    </i>
    <i t="data" r="3" i="0">
      <x v="15"/>
      <x v="3"/>
      <x v="5"/>
      <x v="48"/>
    </i>
    <i t="data" r="0" i="0">
      <x v="11"/>
      <x v="12"/>
      <x v="6"/>
      <x v="29"/>
      <x v="0"/>
      <x v="0"/>
      <x v="56"/>
    </i>
    <i t="data" r="3" i="0">
      <x v="31"/>
      <x v="0"/>
      <x v="0"/>
      <x v="57"/>
    </i>
    <i t="data" r="2" i="0">
      <x v="10"/>
      <x v="4"/>
      <x v="0"/>
      <x v="0"/>
      <x v="58"/>
    </i>
    <i t="data" r="0" i="0">
      <x v="12"/>
      <x v="13"/>
      <x v="8"/>
      <x v="19"/>
      <x v="0"/>
      <x v="0"/>
      <x v="59"/>
    </i>
    <i t="data" r="0" i="0">
      <x v="13"/>
      <x v="14"/>
      <x v="0"/>
      <x v="27"/>
      <x v="0"/>
      <x v="0"/>
      <x v="61"/>
    </i>
    <i t="data" r="5" i="0">
      <x v="5"/>
      <x v="60"/>
    </i>
    <i t="data" r="0" i="0">
      <x v="14"/>
      <x v="15"/>
      <x v="0"/>
      <x v="2"/>
      <x v="5"/>
      <x v="5"/>
      <x v="62"/>
    </i>
    <i t="data" r="1" i="0">
      <x v="16"/>
      <x v="0"/>
      <x v="2"/>
      <x v="2"/>
      <x v="4"/>
      <x v="65"/>
    </i>
    <i t="data" r="5" i="0">
      <x v="5"/>
      <x v="64"/>
    </i>
    <i t="data" r="4" i="0">
      <x v="5"/>
      <x v="5"/>
      <x v="63"/>
    </i>
    <i t="data" r="3" i="0">
      <x v="6"/>
      <x v="2"/>
      <x v="4"/>
      <x v="67"/>
    </i>
    <i t="data" r="5" i="0">
      <x v="5"/>
      <x v="66"/>
    </i>
    <i t="data" r="4" i="0">
      <x v="4"/>
      <x v="4"/>
      <x v="68"/>
    </i>
    <i t="data" r="3" i="0">
      <x v="9"/>
      <x v="2"/>
      <x v="2"/>
      <x v="73"/>
    </i>
    <i t="data" r="5" i="0">
      <x v="4"/>
      <x v="74"/>
    </i>
    <i t="data" r="5" i="0">
      <x v="5"/>
      <x v="72"/>
    </i>
    <i t="data" r="4" i="0">
      <x v="3"/>
      <x v="2"/>
      <x v="78"/>
    </i>
    <i t="data" r="5" i="0">
      <x v="5"/>
      <x v="208"/>
    </i>
    <i t="data" r="4" i="0">
      <x v="4"/>
      <x v="2"/>
      <x v="76"/>
    </i>
    <i t="data" r="5" i="0">
      <x v="4"/>
      <x v="77"/>
    </i>
    <i t="data" r="5" i="0">
      <x v="5"/>
      <x v="208"/>
    </i>
    <i t="data" r="4" i="0">
      <x v="5"/>
      <x v="5"/>
      <x v="69"/>
    </i>
    <i t="data" r="3" i="0">
      <x v="11"/>
      <x v="2"/>
      <x v="4"/>
      <x v="70"/>
    </i>
    <i t="data" r="6" i="0">
      <x v="208"/>
    </i>
    <i t="data" r="4" i="0">
      <x v="5"/>
      <x v="4"/>
      <x v="71"/>
    </i>
    <i t="data" r="0" i="0">
      <x v="15"/>
      <x v="10"/>
      <x v="13"/>
      <x v="1"/>
      <x v="1"/>
      <x v="4"/>
      <x v="54"/>
    </i>
    <i t="data" r="0" i="0">
      <x v="16"/>
      <x v="18"/>
      <x v="0"/>
      <x v="2"/>
      <x v="2"/>
      <x v="4"/>
      <x v="80"/>
    </i>
    <i t="data" r="3" i="0">
      <x v="6"/>
      <x v="2"/>
      <x v="2"/>
      <x v="82"/>
    </i>
    <i t="data" r="5" i="0">
      <x v="4"/>
      <x v="83"/>
    </i>
    <i t="data" r="3" i="0">
      <x v="9"/>
      <x v="2"/>
      <x v="2"/>
      <x v="90"/>
    </i>
    <i t="data" r="6" i="0">
      <x v="208"/>
    </i>
    <i t="data" r="5" i="0">
      <x v="4"/>
      <x v="91"/>
    </i>
    <i t="data" r="5" i="0">
      <x v="5"/>
      <x v="89"/>
    </i>
    <i t="data" r="4" i="0">
      <x v="5"/>
      <x v="5"/>
      <x v="84"/>
    </i>
    <i t="data" r="3" i="0">
      <x v="15"/>
      <x v="0"/>
      <x v="0"/>
      <x v="85"/>
    </i>
    <i t="data" r="4" i="0">
      <x v="2"/>
      <x v="2"/>
      <x v="87"/>
    </i>
    <i t="data" r="5" i="0">
      <x v="5"/>
      <x v="86"/>
    </i>
    <i t="data" r="3" i="0">
      <x v="16"/>
      <x v="2"/>
      <x v="5"/>
      <x v="88"/>
    </i>
    <i t="data" r="2" i="0">
      <x v="12"/>
      <x v="27"/>
      <x v="0"/>
      <x v="0"/>
      <x v="93"/>
    </i>
    <i t="data" r="5" i="0">
      <x v="5"/>
      <x v="92"/>
    </i>
    <i t="data" r="2" i="0">
      <x v="13"/>
      <x v="24"/>
      <x v="0"/>
      <x v="0"/>
      <x v="95"/>
    </i>
    <i t="data" r="5" i="0">
      <x v="5"/>
      <x v="94"/>
    </i>
    <i t="data" r="2" i="0">
      <x v="15"/>
      <x v="15"/>
      <x v="0"/>
      <x v="0"/>
      <x v="97"/>
    </i>
    <i t="data" r="5" i="0">
      <x v="5"/>
      <x v="96"/>
    </i>
    <i t="data" r="0" i="0">
      <x v="17"/>
      <x v="25"/>
      <x v="17"/>
      <x v="12"/>
      <x v="0"/>
      <x v="0"/>
      <x v="113"/>
    </i>
    <i t="data" r="0" i="0">
      <x v="18"/>
      <x v="19"/>
      <x v="9"/>
      <x v="31"/>
      <x v="0"/>
      <x v="5"/>
      <x v="98"/>
    </i>
    <i t="data" r="0" i="0">
      <x v="19"/>
      <x v="21"/>
      <x v="0"/>
      <x v="2"/>
      <x v="2"/>
      <x v="4"/>
      <x v="102"/>
    </i>
    <i t="data" r="3" i="0">
      <x v="6"/>
      <x v="2"/>
      <x v="2"/>
      <x v="104"/>
    </i>
    <i t="data" r="5" i="0">
      <x v="4"/>
      <x v="105"/>
    </i>
    <i t="data" r="5" i="0">
      <x v="5"/>
      <x v="103"/>
    </i>
    <i t="data" r="4" i="0">
      <x v="3"/>
      <x v="4"/>
      <x v="106"/>
    </i>
    <i t="data" r="3" i="0">
      <x v="9"/>
      <x v="2"/>
      <x v="2"/>
      <x v="107"/>
    </i>
    <i t="data" r="0" i="0">
      <x v="20"/>
      <x v="22"/>
      <x v="0"/>
      <x v="16"/>
      <x v="0"/>
      <x v="0"/>
      <x v="215"/>
    </i>
    <i t="data" r="3" i="0">
      <x v="17"/>
      <x v="0"/>
      <x v="0"/>
      <x v="108"/>
    </i>
    <i t="data" r="0" i="0">
      <x v="21"/>
      <x v="23"/>
      <x v="15"/>
      <x v="31"/>
      <x v="0"/>
      <x v="0"/>
      <x v="112"/>
    </i>
    <i t="data" r="4" i="0">
      <x v="6"/>
      <x v="0"/>
      <x v="111"/>
    </i>
    <i t="data" r="4" i="0">
      <x v="9"/>
      <x v="0"/>
      <x v="112"/>
    </i>
    <i t="data" r="5" i="0">
      <x v="1"/>
      <x v="112"/>
    </i>
    <i t="data" r="0" i="0">
      <x v="22"/>
      <x v="24"/>
      <x v="17"/>
      <x v="10"/>
      <x v="0"/>
      <x v="5"/>
      <x v="114"/>
    </i>
    <i t="data" r="0" i="0">
      <x v="23"/>
      <x v="24"/>
      <x v="17"/>
      <x v="10"/>
      <x v="0"/>
      <x v="0"/>
      <x v="115"/>
    </i>
    <i t="data" r="0" i="0">
      <x v="24"/>
      <x v="31"/>
      <x v="20"/>
      <x v="24"/>
      <x v="5"/>
      <x v="5"/>
      <x v="136"/>
    </i>
    <i t="data" r="0" i="0">
      <x v="25"/>
      <x v="17"/>
      <x v="16"/>
      <x v="2"/>
      <x v="1"/>
      <x v="4"/>
      <x v="99"/>
    </i>
    <i t="data" r="3" i="0">
      <x v="9"/>
      <x v="2"/>
      <x v="5"/>
      <x v="100"/>
    </i>
    <i t="data" r="1" i="0">
      <x v="26"/>
      <x v="0"/>
      <x v="2"/>
      <x v="2"/>
      <x v="2"/>
      <x v="119"/>
    </i>
    <i t="data" r="3" i="0">
      <x v="6"/>
      <x v="2"/>
      <x v="2"/>
      <x v="121"/>
    </i>
    <i t="data" r="3" i="0">
      <x v="11"/>
      <x v="2"/>
      <x v="2"/>
      <x v="207"/>
    </i>
    <i t="data" r="3" i="0">
      <x v="15"/>
      <x v="2"/>
      <x v="2"/>
      <x v="123"/>
    </i>
    <i t="data" r="6" i="0">
      <x v="208"/>
    </i>
    <i t="data" r="2" i="0">
      <x v="16"/>
      <x v="26"/>
      <x v="0"/>
      <x v="0"/>
      <x v="124"/>
    </i>
    <i t="data" r="0" i="0">
      <x v="26"/>
      <x v="27"/>
      <x v="0"/>
      <x v="31"/>
      <x v="0"/>
      <x v="5"/>
      <x v="125"/>
    </i>
    <i t="data" r="0" i="0">
      <x v="27"/>
      <x v="1"/>
      <x v="0"/>
      <x v="9"/>
      <x v="0"/>
      <x v="5"/>
      <x v="0"/>
    </i>
    <i t="data" r="1" i="0">
      <x v="28"/>
      <x v="18"/>
      <x v="9"/>
      <x v="0"/>
      <x v="0"/>
      <x v="126"/>
    </i>
    <i t="data" r="1" i="0">
      <x v="47"/>
      <x v="18"/>
      <x v="9"/>
      <x v="0"/>
      <x v="5"/>
      <x v="55"/>
    </i>
    <i t="data" r="0" i="0">
      <x v="28"/>
      <x v="29"/>
      <x v="0"/>
      <x v="2"/>
      <x v="2"/>
      <x v="2"/>
      <x v="128"/>
    </i>
    <i t="data" r="5" i="0">
      <x v="5"/>
      <x v="127"/>
    </i>
    <i t="data" r="3" i="0">
      <x v="6"/>
      <x v="2"/>
      <x v="2"/>
      <x v="129"/>
    </i>
    <i t="data" r="3" i="0">
      <x v="9"/>
      <x v="2"/>
      <x v="2"/>
      <x v="221"/>
    </i>
    <i t="data" r="4" i="0">
      <x v="5"/>
      <x v="5"/>
      <x v="130"/>
    </i>
    <i t="data" r="3" i="0">
      <x v="15"/>
      <x v="2"/>
      <x v="2"/>
      <x v="131"/>
    </i>
    <i t="data" r="3" i="0">
      <x v="16"/>
      <x v="2"/>
      <x v="2"/>
      <x v="132"/>
    </i>
    <i t="data" r="0" i="0">
      <x v="29"/>
      <x v="30"/>
      <x v="22"/>
      <x v="0"/>
      <x v="0"/>
      <x v="0"/>
      <x v="135"/>
    </i>
    <i t="data" r="5" i="0">
      <x v="5"/>
      <x v="134"/>
    </i>
    <i t="data" r="0" i="0">
      <x v="30"/>
      <x v="31"/>
      <x v="20"/>
      <x v="24"/>
      <x v="0"/>
      <x v="0"/>
      <x v="137"/>
    </i>
    <i t="data" r="0" i="0">
      <x v="31"/>
      <x v="32"/>
      <x v="21"/>
      <x v="22"/>
      <x v="0"/>
      <x v="0"/>
      <x v="138"/>
    </i>
    <i t="data" r="0" i="0">
      <x v="32"/>
      <x v="24"/>
      <x v="19"/>
      <x v="2"/>
      <x v="1"/>
      <x v="4"/>
      <x v="116"/>
    </i>
    <i t="data" r="1" i="0">
      <x v="33"/>
      <x v="0"/>
      <x v="6"/>
      <x v="2"/>
      <x v="2"/>
      <x v="140"/>
    </i>
    <i t="data" r="5" i="0">
      <x v="5"/>
      <x v="139"/>
    </i>
    <i t="data" r="4" i="0">
      <x v="4"/>
      <x v="2"/>
      <x v="141"/>
    </i>
    <i t="data" r="3" i="0">
      <x v="9"/>
      <x v="2"/>
      <x v="2"/>
      <x v="144"/>
    </i>
    <i t="data" r="5" i="0">
      <x v="5"/>
      <x v="143"/>
    </i>
    <i t="data" r="4" i="0">
      <x v="4"/>
      <x v="5"/>
      <x v="145"/>
    </i>
    <i t="data" r="3" i="0">
      <x v="15"/>
      <x v="4"/>
      <x v="2"/>
      <x v="142"/>
    </i>
    <i t="data" r="3" i="0">
      <x v="28"/>
      <x v="2"/>
      <x v="2"/>
      <x v="146"/>
    </i>
    <i t="data" r="1" i="0">
      <x v="35"/>
      <x v="14"/>
      <x v="2"/>
      <x v="1"/>
      <x v="4"/>
      <x v="150"/>
    </i>
    <i t="data" r="3" i="0">
      <x v="6"/>
      <x v="2"/>
      <x v="2"/>
      <x v="151"/>
    </i>
    <i t="data" r="0" i="0">
      <x v="33"/>
      <x v="34"/>
      <x v="22"/>
      <x v="15"/>
      <x v="0"/>
      <x v="0"/>
      <x v="148"/>
    </i>
    <i t="data" r="5" i="0">
      <x v="5"/>
      <x v="147"/>
    </i>
    <i t="data" r="0" i="0">
      <x v="34"/>
      <x v="35"/>
      <x v="23"/>
      <x v="2"/>
      <x v="2"/>
      <x v="4"/>
      <x v="220"/>
    </i>
    <i t="data" r="0" i="0">
      <x v="35"/>
      <x v="35"/>
      <x v="16"/>
      <x v="6"/>
      <x v="2"/>
      <x v="2"/>
      <x v="152"/>
    </i>
    <i t="data" r="6" i="0">
      <x v="208"/>
    </i>
    <i t="data" r="3" i="0">
      <x v="9"/>
      <x v="2"/>
      <x v="2"/>
      <x v="154"/>
    </i>
    <i t="data" r="1" i="0">
      <x v="36"/>
      <x v="0"/>
      <x v="16"/>
      <x v="2"/>
      <x v="2"/>
      <x v="159"/>
    </i>
    <i t="data" r="3" i="0">
      <x v="21"/>
      <x v="5"/>
      <x v="5"/>
      <x v="160"/>
    </i>
    <i t="data" r="3" i="0">
      <x v="24"/>
      <x v="2"/>
      <x v="2"/>
      <x v="162"/>
    </i>
    <i t="data" r="5" i="0">
      <x v="5"/>
      <x v="161"/>
    </i>
    <i t="data" r="0" i="0">
      <x v="36"/>
      <x v="0"/>
      <x v="0"/>
      <x v="30"/>
      <x v="2"/>
      <x v="5"/>
      <x v="1"/>
    </i>
    <i t="data" r="1" i="0">
      <x v="37"/>
      <x v="0"/>
      <x v="27"/>
      <x v="0"/>
      <x v="5"/>
      <x v="163"/>
    </i>
    <i t="data" r="4" i="0">
      <x v="2"/>
      <x v="2"/>
      <x v="164"/>
    </i>
    <i t="data" r="3" i="0">
      <x v="30"/>
      <x v="0"/>
      <x v="0"/>
      <x v="166"/>
    </i>
    <i t="data" r="5" i="0">
      <x v="5"/>
      <x v="165"/>
    </i>
    <i t="data" r="4" i="0">
      <x v="2"/>
      <x v="2"/>
      <x v="168"/>
    </i>
    <i t="data" r="5" i="0">
      <x v="5"/>
      <x v="167"/>
    </i>
    <i t="data" r="0" i="0">
      <x v="37"/>
      <x v="35"/>
      <x v="19"/>
      <x v="6"/>
      <x v="2"/>
      <x v="2"/>
      <x v="156"/>
    </i>
    <i t="data" r="6" i="0">
      <x v="208"/>
    </i>
    <i t="data" r="5" i="0">
      <x v="5"/>
      <x v="155"/>
    </i>
    <i t="data" r="3" i="0">
      <x v="9"/>
      <x v="2"/>
      <x v="2"/>
      <x v="157"/>
    </i>
    <i t="data" r="6" i="0">
      <x v="208"/>
    </i>
    <i t="data" r="0" i="0">
      <x v="38"/>
      <x v="38"/>
      <x v="0"/>
      <x v="2"/>
      <x v="2"/>
      <x v="2"/>
      <x v="169"/>
    </i>
    <i t="data" r="3" i="0">
      <x v="9"/>
      <x v="2"/>
      <x v="5"/>
      <x v="196"/>
    </i>
    <i t="data" r="3" i="0">
      <x v="27"/>
      <x v="2"/>
      <x v="2"/>
      <x v="172"/>
    </i>
    <i t="data" r="4" i="0">
      <x v="5"/>
      <x v="5"/>
      <x v="171"/>
    </i>
    <i t="data" r="3" i="0">
      <x v="30"/>
      <x v="2"/>
      <x v="5"/>
      <x v="197"/>
    </i>
    <i t="data" r="1" i="0">
      <x v="43"/>
      <x v="19"/>
      <x v="6"/>
      <x v="2"/>
      <x v="3"/>
      <x v="187"/>
    </i>
    <i t="data" r="0" i="0">
      <x v="39"/>
      <x v="35"/>
      <x v="23"/>
      <x v="2"/>
      <x v="1"/>
      <x v="4"/>
      <x v="158"/>
    </i>
    <i t="data" r="1" i="0">
      <x v="39"/>
      <x v="19"/>
      <x v="6"/>
      <x v="2"/>
      <x v="2"/>
      <x v="175"/>
    </i>
    <i t="data" r="3" i="0">
      <x v="9"/>
      <x v="2"/>
      <x v="2"/>
      <x v="177"/>
    </i>
    <i t="data" r="5" i="0">
      <x v="5"/>
      <x v="208"/>
    </i>
    <i t="data" r="3" i="0">
      <x v="15"/>
      <x v="2"/>
      <x v="2"/>
      <x v="219"/>
    </i>
    <i t="data" r="1" i="0">
      <x v="40"/>
      <x v="0"/>
      <x v="6"/>
      <x v="2"/>
      <x v="2"/>
      <x v="174"/>
    </i>
    <i t="data" r="0" i="0">
      <x v="40"/>
      <x v="41"/>
      <x v="0"/>
      <x v="23"/>
      <x v="3"/>
      <x v="2"/>
      <x v="179"/>
    </i>
    <i t="data" r="0" i="0">
      <x v="41"/>
      <x v="42"/>
      <x v="0"/>
      <x v="9"/>
      <x v="2"/>
      <x v="2"/>
      <x v="186"/>
    </i>
    <i t="data" r="5" i="0">
      <x v="5"/>
      <x v="185"/>
    </i>
    <i t="data" r="3" i="0">
      <x v="11"/>
      <x v="3"/>
      <x v="2"/>
      <x v="181"/>
    </i>
    <i t="data" r="3" i="0">
      <x v="15"/>
      <x v="2"/>
      <x v="2"/>
      <x v="184"/>
    </i>
    <i t="data" r="5" i="0">
      <x v="5"/>
      <x v="183"/>
    </i>
    <i t="data" r="4" i="0">
      <x v="5"/>
      <x v="5"/>
      <x v="182"/>
    </i>
    <i t="data" r="0" i="0">
      <x v="42"/>
      <x v="44"/>
      <x v="0"/>
      <x v="9"/>
      <x v="0"/>
      <x v="0"/>
      <x v="189"/>
    </i>
    <i t="data" r="4" i="0">
      <x v="2"/>
      <x v="2"/>
      <x v="190"/>
    </i>
    <i t="data" r="4" i="0">
      <x v="5"/>
      <x v="5"/>
      <x v="188"/>
    </i>
    <i t="data" r="0" i="0">
      <x v="43"/>
      <x v="39"/>
      <x v="24"/>
      <x v="6"/>
      <x v="3"/>
      <x v="4"/>
      <x v="178"/>
    </i>
    <i t="data" r="1" i="0">
      <x v="45"/>
      <x v="0"/>
      <x v="30"/>
      <x v="2"/>
      <x v="2"/>
      <x v="191"/>
    </i>
    <i t="data" r="0" i="0">
      <x v="44"/>
      <x v="46"/>
      <x v="0"/>
      <x v="24"/>
      <x v="3"/>
      <x v="2"/>
      <x v="192"/>
    </i>
    <i t="data" r="0" i="0">
      <x v="45"/>
      <x v="48"/>
      <x v="15"/>
      <x v="32"/>
      <x v="6"/>
      <x v="0"/>
      <x v="110"/>
    </i>
    <i t="data" r="0" i="0">
      <x v="46"/>
      <x v="49"/>
      <x v="0"/>
      <x v="33"/>
      <x v="0"/>
      <x v="0"/>
      <x v="109"/>
    </i>
  </rowItems>
  <colFields count="1">
    <field x="2"/>
  </colFields>
  <colItems count="29">
    <i t="data" r="0" i="0">
      <x v="0"/>
    </i>
    <i t="data" r="0" i="0">
      <x v="1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8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grand" r="0" i="0">
      <x v="0"/>
    </i>
  </colItems>
  <dataFields count="1">
    <dataField name="Sum of SCHEDULE IN MT" fld="35" subtotal="sum" showDataAs="normal" baseField="0" baseItem="0" numFmtId="167"/>
  </dataFields>
  <formats count="1">
    <format action="formatting" dxfId="691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5" dataOnRows="0" dataCaption="Values" showError="0" showMissing="1" updatedVersion="8" minRefreshableVersion="3" asteriskTotals="0" showItems="1" editData="0" disableFieldList="0" showCalcMbrs="1" visualTotals="0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2:H149" firstHeaderRow="1" firstDataRow="1" firstDataCol="7" rowPageCount="1" colPageCount="1"/>
  <pivotFields count="36">
    <pivotField axis="axisRow" showDropDowns="1" compact="0" outline="0" subtotalTop="1" dragToRow="1" dragToCol="1" dragToPage="1" dragToData="1" dragOff="1" showAll="0" topAutoShow="1" itemPageCount="10" sortType="manual" defaultSubtotal="0">
      <items count="4">
        <item t="data" sd="1" x="3"/>
        <item t="data" sd="1" x="1"/>
        <item t="data" sd="1" x="2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1"/>
        <item t="data" sd="1" x="10"/>
        <item t="data" sd="1" x="12"/>
        <item t="data" sd="1" x="13"/>
        <item t="data" sd="1" x="15"/>
        <item t="data" sd="1" x="17"/>
        <item t="data" sd="1" x="18"/>
        <item t="data" sd="1" x="19"/>
        <item t="data" sd="1" x="20"/>
        <item t="data" sd="1" x="23"/>
        <item t="data" sd="1" x="24"/>
        <item t="data" sd="1" x="25"/>
        <item t="data" sd="1" x="14"/>
        <item t="data" sd="1" x="16"/>
        <item t="data" sd="1" x="22"/>
        <item t="data" sd="1" x="2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14">
        <item t="data" sd="1" x="5"/>
        <item t="data" sd="1" x="1"/>
        <item t="data" sd="1" x="2"/>
        <item t="data" sd="1" x="0"/>
        <item t="data" sd="1" x="3"/>
        <item t="data" sd="1" x="4"/>
        <item t="data" sd="1" x="6"/>
        <item t="data" sd="1" x="7"/>
        <item t="data" sd="1" x="9"/>
        <item t="data" sd="1" x="8"/>
        <item t="data" sd="1" x="13"/>
        <item t="data" sd="1" x="10"/>
        <item t="data" sd="1" x="11"/>
        <item t="data" sd="1" x="12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0">
        <item t="data" sd="1" x="27"/>
        <item t="data" sd="1" x="15"/>
        <item t="data" sd="1" x="16"/>
        <item t="data" sd="1" x="7"/>
        <item t="data" sd="1" x="4"/>
        <item t="data" sd="1" x="8"/>
        <item t="data" sd="1" x="13"/>
        <item t="data" sd="1" x="9"/>
        <item t="data" sd="1" x="19"/>
        <item t="data" sd="1" x="17"/>
        <item t="data" sd="1" x="5"/>
        <item t="data" sd="1" x="24"/>
        <item t="data" sd="1" x="28"/>
        <item t="data" sd="1" x="1"/>
        <item t="data" sd="1" x="11"/>
        <item t="data" sd="1" x="21"/>
        <item t="data" sd="1" x="3"/>
        <item t="data" sd="1" x="22"/>
        <item t="data" sd="1" x="14"/>
        <item t="data" sd="1" x="6"/>
        <item t="data" sd="1" x="0"/>
        <item t="data" sd="1" x="25"/>
        <item t="data" sd="1" x="12"/>
        <item t="data" sd="1" x="10"/>
        <item t="data" sd="1" x="29"/>
        <item t="data" sd="1" x="20"/>
        <item t="data" sd="1" x="18"/>
        <item t="data" sd="1" x="26"/>
        <item t="data" sd="1" x="23"/>
        <item t="data" sd="1" x="2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1">
        <item t="data" sd="1" x="28"/>
        <item t="data" sd="1" x="16"/>
        <item t="data" sd="1" x="17"/>
        <item t="data" sd="1" x="7"/>
        <item t="data" sd="1" x="4"/>
        <item t="data" sd="1" x="9"/>
        <item t="data" sd="1" x="14"/>
        <item t="data" sd="1" x="10"/>
        <item t="data" sd="1" x="20"/>
        <item t="data" sd="1" x="18"/>
        <item t="data" sd="1" x="5"/>
        <item t="data" sd="1" x="25"/>
        <item t="data" sd="1" x="29"/>
        <item t="data" sd="1" x="1"/>
        <item t="data" sd="1" x="12"/>
        <item t="data" sd="1" x="22"/>
        <item t="data" sd="1" x="3"/>
        <item t="data" sd="1" x="23"/>
        <item t="data" sd="1" x="15"/>
        <item t="data" sd="1" x="6"/>
        <item t="data" sd="1" x="0"/>
        <item t="data" sd="1" x="26"/>
        <item t="data" sd="1" x="13"/>
        <item t="data" sd="1" x="11"/>
        <item t="data" sd="1" x="30"/>
        <item t="data" sd="1" x="21"/>
        <item t="data" sd="1" x="19"/>
        <item t="data" sd="1" x="27"/>
        <item t="data" sd="1" x="24"/>
        <item t="data" sd="1" x="2"/>
        <item t="data" sd="1" x="8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1" dragToRow="1" dragToCol="1" multipleItemSelectionAllowed="1" dragToPage="1" dragToData="1" dragOff="1" showAll="0" topAutoShow="1" itemPageCount="10" sortType="manual" defaultSubtotal="0">
      <items count="4">
        <item t="data" sd="1" x="2"/>
        <item t="data" sd="1" x="0"/>
        <item t="data" sd="1" x="1"/>
        <item t="data" sd="1" x="3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5">
        <item t="data" sd="1" x="2"/>
        <item t="data" sd="1" x="0"/>
        <item t="data" sd="1" x="1"/>
        <item t="data" sd="1" m="1" x="4"/>
        <item t="data" sd="1" m="1" x="3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66">
        <item t="data" sd="1" x="4"/>
        <item t="data" sd="1" x="6"/>
        <item t="data" sd="1" x="2"/>
        <item t="data" sd="1" x="3"/>
        <item t="data" sd="1" x="1"/>
        <item t="data" sd="1" x="5"/>
        <item t="data" sd="1" x="7"/>
        <item t="data" sd="1" x="33"/>
        <item t="data" sd="1" x="56"/>
        <item t="data" sd="1" x="8"/>
        <item t="data" sd="1" x="44"/>
        <item t="data" sd="1" x="51"/>
        <item t="data" sd="1" x="34"/>
        <item t="data" sd="1" x="29"/>
        <item t="data" sd="1" x="57"/>
        <item t="data" sd="1" x="21"/>
        <item t="data" sd="1" x="0"/>
        <item t="data" sd="1" x="11"/>
        <item t="data" sd="1" x="13"/>
        <item t="data" sd="1" x="25"/>
        <item t="data" sd="1" x="9"/>
        <item t="data" sd="1" x="24"/>
        <item t="data" sd="1" x="19"/>
        <item t="data" sd="1" x="12"/>
        <item t="data" sd="1" x="50"/>
        <item t="data" sd="1" x="38"/>
        <item t="data" sd="1" x="64"/>
        <item t="data" sd="1" x="22"/>
        <item t="data" sd="1" x="45"/>
        <item t="data" sd="1" x="39"/>
        <item t="data" sd="1" x="37"/>
        <item t="data" sd="1" x="27"/>
        <item t="data" sd="1" x="53"/>
        <item t="data" sd="1" x="47"/>
        <item t="data" sd="1" x="49"/>
        <item t="data" sd="1" x="55"/>
        <item t="data" sd="1" x="20"/>
        <item t="data" sd="1" x="48"/>
        <item t="data" sd="1" x="54"/>
        <item t="data" sd="1" x="23"/>
        <item t="data" sd="1" x="16"/>
        <item t="data" sd="1" x="35"/>
        <item t="data" sd="1" x="52"/>
        <item t="data" sd="1" x="43"/>
        <item t="data" sd="1" x="28"/>
        <item t="data" sd="1" x="36"/>
        <item t="data" sd="1" x="15"/>
        <item t="data" sd="1" x="46"/>
        <item t="data" sd="1" x="14"/>
        <item t="data" sd="1" x="30"/>
        <item t="data" sd="1" x="10"/>
        <item t="data" sd="1" x="65"/>
        <item t="data" sd="1" x="18"/>
        <item t="data" sd="1" x="61"/>
        <item t="data" sd="1" x="63"/>
        <item t="data" sd="1" x="42"/>
        <item t="data" sd="1" x="41"/>
        <item t="data" sd="1" x="62"/>
        <item t="data" sd="1" x="26"/>
        <item t="data" sd="1" x="17"/>
        <item t="data" sd="1" x="32"/>
        <item t="data" sd="1" x="31"/>
        <item t="data" sd="1" x="58"/>
        <item t="data" sd="1" x="59"/>
        <item t="data" sd="1" x="40"/>
        <item t="data" sd="1" x="6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numFmtId="1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numFmtId="1" outline="0" subtotalTop="0" dragToRow="1" dragToCol="1" dragToPage="1" dragToData="1" dragOff="1" showAll="0" topAutoShow="1" itemPageCount="10" sortType="manual" defaultSubtotal="0"/>
    <pivotField showDropDowns="1" compact="0" numFmtId="1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7">
    <field x="19"/>
    <field x="0"/>
    <field x="5"/>
    <field x="7"/>
    <field x="8"/>
    <field x="9"/>
    <field x="20"/>
  </rowFields>
  <rowItems count="67">
    <i t="data" r="0" i="0">
      <x v="0"/>
      <x v="1"/>
      <x v="4"/>
      <x v="2"/>
      <x v="20"/>
      <x v="20"/>
      <x v="50"/>
    </i>
    <i t="data" r="3" i="0">
      <x v="4"/>
      <x v="20"/>
      <x v="20"/>
      <x v="20"/>
    </i>
    <i t="data" r="2" i="0">
      <x v="6"/>
      <x v="2"/>
      <x v="20"/>
      <x v="20"/>
      <x v="46"/>
    </i>
    <i t="data" r="2" i="0">
      <x v="7"/>
      <x v="2"/>
      <x v="7"/>
      <x v="7"/>
      <x v="27"/>
    </i>
    <i t="data" r="2" i="0">
      <x v="13"/>
      <x v="11"/>
      <x v="15"/>
      <x v="15"/>
      <x v="43"/>
    </i>
    <i t="data" r="2" i="0">
      <x v="15"/>
      <x v="2"/>
      <x v="11"/>
      <x v="11"/>
      <x v="37"/>
    </i>
    <i t="data" r="2" i="0">
      <x v="18"/>
      <x v="5"/>
      <x v="27"/>
      <x v="27"/>
      <x v="32"/>
    </i>
    <i t="data" r="3" i="0">
      <x v="6"/>
      <x v="27"/>
      <x v="27"/>
      <x v="38"/>
    </i>
    <i t="data" r="2" i="0">
      <x v="20"/>
      <x v="10"/>
      <x v="8"/>
      <x v="8"/>
      <x v="26"/>
    </i>
    <i t="data" r="1" i="0">
      <x v="2"/>
      <x v="19"/>
      <x v="8"/>
      <x v="20"/>
      <x v="20"/>
      <x v="63"/>
    </i>
    <i t="data" r="6" i="0">
      <x v="65"/>
    </i>
    <i t="data" r="2" i="0">
      <x v="24"/>
      <x v="4"/>
      <x v="21"/>
      <x v="21"/>
      <x v="62"/>
    </i>
    <i t="data" r="1" i="0">
      <x v="3"/>
      <x v="4"/>
      <x v="5"/>
      <x v="13"/>
      <x v="13"/>
      <x v="17"/>
    </i>
    <i t="data" r="3" i="0">
      <x v="6"/>
      <x v="29"/>
      <x v="29"/>
      <x v="23"/>
    </i>
    <i t="data" r="2" i="0">
      <x v="6"/>
      <x v="1"/>
      <x v="16"/>
      <x v="16"/>
      <x v="48"/>
    </i>
    <i t="data" r="3" i="0">
      <x v="4"/>
      <x v="10"/>
      <x v="10"/>
      <x v="59"/>
    </i>
    <i t="data" r="3" i="0">
      <x v="5"/>
      <x v="3"/>
      <x v="3"/>
      <x v="22"/>
    </i>
    <i t="data" r="4" i="0">
      <x v="19"/>
      <x v="19"/>
      <x v="52"/>
    </i>
    <i t="data" r="4" i="0">
      <x v="20"/>
      <x v="30"/>
      <x v="36"/>
    </i>
    <i t="data" r="2" i="0">
      <x v="7"/>
      <x v="4"/>
      <x v="20"/>
      <x v="20"/>
      <x v="21"/>
    </i>
    <i t="data" r="3" i="0">
      <x v="5"/>
      <x v="14"/>
      <x v="14"/>
      <x v="19"/>
    </i>
    <i t="data" r="3" i="0">
      <x v="7"/>
      <x v="6"/>
      <x v="6"/>
      <x v="31"/>
    </i>
    <i t="data" r="2" i="0">
      <x v="9"/>
      <x v="1"/>
      <x v="20"/>
      <x v="20"/>
      <x v="49"/>
    </i>
    <i t="data" r="2" i="0">
      <x v="12"/>
      <x v="4"/>
      <x v="26"/>
      <x v="26"/>
      <x v="30"/>
    </i>
    <i t="data" r="3" i="0">
      <x v="5"/>
      <x v="8"/>
      <x v="8"/>
      <x v="25"/>
    </i>
    <i t="data" r="3" i="0">
      <x v="7"/>
      <x v="26"/>
      <x v="26"/>
      <x v="29"/>
    </i>
    <i t="data" r="2" i="0">
      <x v="20"/>
      <x v="7"/>
      <x v="12"/>
      <x v="12"/>
      <x v="53"/>
    </i>
    <i t="data" r="4" i="0">
      <x v="19"/>
      <x v="19"/>
      <x v="57"/>
    </i>
    <i t="data" r="4" i="0">
      <x v="24"/>
      <x v="24"/>
      <x v="54"/>
    </i>
    <i t="data" r="0" i="0">
      <x v="1"/>
      <x v="1"/>
      <x v="10"/>
      <x v="2"/>
      <x v="9"/>
      <x v="9"/>
      <x v="45"/>
    </i>
    <i t="data" r="1" i="0">
      <x v="2"/>
      <x v="12"/>
      <x v="8"/>
      <x v="20"/>
      <x v="20"/>
      <x v="64"/>
    </i>
    <i t="data" r="2" i="0">
      <x v="16"/>
      <x v="13"/>
      <x v="21"/>
      <x v="21"/>
      <x v="24"/>
    </i>
    <i t="data" r="1" i="0">
      <x v="3"/>
      <x v="0"/>
      <x v="3"/>
      <x v="20"/>
      <x v="20"/>
      <x v="16"/>
    </i>
    <i t="data" r="2" i="0">
      <x v="8"/>
      <x v="9"/>
      <x v="20"/>
      <x v="20"/>
      <x v="13"/>
    </i>
    <i t="data" r="2" i="0">
      <x v="14"/>
      <x v="12"/>
      <x v="20"/>
      <x v="20"/>
      <x v="10"/>
    </i>
    <i t="data" r="3" i="0">
      <x v="13"/>
      <x v="20"/>
      <x v="20"/>
      <x v="28"/>
    </i>
    <i t="data" r="2" i="0">
      <x v="21"/>
      <x v="5"/>
      <x v="17"/>
      <x v="17"/>
      <x v="51"/>
    </i>
    <i t="data" r="0" i="0">
      <x v="2"/>
      <x v="0"/>
      <x v="11"/>
      <x v="1"/>
      <x v="20"/>
      <x v="20"/>
      <x v="7"/>
    </i>
    <i t="data" r="1" i="0">
      <x v="1"/>
      <x v="1"/>
      <x v="2"/>
      <x v="20"/>
      <x v="20"/>
      <x v="2"/>
    </i>
    <i t="data" r="3" i="0">
      <x v="4"/>
      <x v="20"/>
      <x v="20"/>
      <x v="3"/>
    </i>
    <i t="data" r="2" i="0">
      <x v="2"/>
      <x v="0"/>
      <x v="20"/>
      <x v="20"/>
      <x v="5"/>
    </i>
    <i t="data" r="3" i="0">
      <x v="4"/>
      <x v="20"/>
      <x v="20"/>
      <x v="1"/>
    </i>
    <i t="data" r="3" i="0">
      <x v="5"/>
      <x v="20"/>
      <x v="20"/>
      <x v="6"/>
    </i>
    <i t="data" r="2" i="0">
      <x v="6"/>
      <x v="5"/>
      <x v="5"/>
      <x v="5"/>
      <x v="15"/>
    </i>
    <i t="data" r="2" i="0">
      <x v="7"/>
      <x v="2"/>
      <x v="23"/>
      <x v="23"/>
      <x v="39"/>
    </i>
    <i t="data" r="2" i="0">
      <x v="15"/>
      <x v="2"/>
      <x v="28"/>
      <x v="28"/>
      <x v="33"/>
    </i>
    <i t="data" r="3" i="0">
      <x v="4"/>
      <x v="28"/>
      <x v="28"/>
      <x v="34"/>
    </i>
    <i t="data" r="2" i="0">
      <x v="18"/>
      <x v="12"/>
      <x v="20"/>
      <x v="20"/>
      <x v="35"/>
    </i>
    <i t="data" r="1" i="0">
      <x v="2"/>
      <x v="9"/>
      <x v="6"/>
      <x v="18"/>
      <x v="18"/>
      <x v="60"/>
    </i>
    <i t="data" r="2" i="0">
      <x v="11"/>
      <x v="1"/>
      <x v="1"/>
      <x v="1"/>
      <x v="12"/>
    </i>
    <i t="data" r="4" i="0">
      <x v="2"/>
      <x v="2"/>
      <x v="41"/>
    </i>
    <i t="data" r="2" i="0">
      <x v="17"/>
      <x v="1"/>
      <x v="1"/>
      <x v="1"/>
      <x v="11"/>
    </i>
    <i t="data" r="4" i="0">
      <x v="2"/>
      <x v="2"/>
      <x v="42"/>
    </i>
    <i t="data" r="2" i="0">
      <x v="25"/>
      <x v="4"/>
      <x v="0"/>
      <x v="0"/>
      <x v="14"/>
    </i>
    <i t="data" r="1" i="0">
      <x v="3"/>
      <x v="1"/>
      <x v="1"/>
      <x v="20"/>
      <x v="20"/>
      <x v="4"/>
    </i>
    <i t="data" r="3" i="0">
      <x v="5"/>
      <x v="20"/>
      <x v="20"/>
      <x v="0"/>
    </i>
    <i t="data" r="2" i="0">
      <x v="2"/>
      <x v="1"/>
      <x v="20"/>
      <x v="20"/>
      <x v="5"/>
    </i>
    <i t="data" r="2" i="0">
      <x v="3"/>
      <x v="0"/>
      <x v="20"/>
      <x v="20"/>
      <x v="9"/>
    </i>
    <i t="data" r="2" i="0">
      <x v="5"/>
      <x v="4"/>
      <x v="20"/>
      <x v="20"/>
      <x v="18"/>
    </i>
    <i t="data" r="2" i="0">
      <x v="6"/>
      <x v="4"/>
      <x v="4"/>
      <x v="4"/>
      <x v="40"/>
    </i>
    <i t="data" r="2" i="0">
      <x v="7"/>
      <x v="5"/>
      <x v="22"/>
      <x v="22"/>
      <x v="58"/>
    </i>
    <i t="data" r="2" i="0">
      <x v="8"/>
      <x v="1"/>
      <x v="20"/>
      <x v="20"/>
      <x v="44"/>
    </i>
    <i t="data" r="2" i="0">
      <x v="9"/>
      <x v="5"/>
      <x v="20"/>
      <x v="20"/>
      <x v="61"/>
    </i>
    <i t="data" r="2" i="0">
      <x v="13"/>
      <x v="8"/>
      <x v="20"/>
      <x v="20"/>
      <x v="56"/>
    </i>
    <i t="data" r="2" i="0">
      <x v="22"/>
      <x v="4"/>
      <x v="25"/>
      <x v="25"/>
      <x v="55"/>
    </i>
    <i t="data" r="2" i="0">
      <x v="23"/>
      <x v="4"/>
      <x v="17"/>
      <x v="17"/>
      <x v="47"/>
    </i>
    <i t="data" r="2" i="0">
      <x v="25"/>
      <x v="4"/>
      <x v="20"/>
      <x v="20"/>
      <x v="8"/>
    </i>
  </rowItems>
  <colItems count="1">
    <i t="data" r="0" i="0"/>
  </colItems>
  <pageFields count="1">
    <pageField fld="16" hier="-1"/>
  </pageFields>
  <dataFields count="1">
    <dataField name="Sum of  INDENT  FOR AUG-25 recommended" fld="29" subtotal="sum" showDataAs="normal" baseField="0" baseItem="0"/>
  </dataFields>
  <pivotTableStyleInfo name="PivotStyleMedium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6" cacheId="3" dataOnRows="0" dataCaption="Values" showError="0" showMissing="1" updatedVersion="8" minRefreshableVersion="3" asteriskTotals="0" showItems="1" editData="0" disableFieldList="0" showCalcMbrs="1" visualTotals="0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6" firstHeaderRow="1" firstDataRow="1" firstDataCol="7" rowPageCount="1" colPageCount="1"/>
  <pivotFields count="35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x="2"/>
        <item t="data" sd="1" x="5"/>
        <item t="data" sd="1" x="0"/>
        <item t="data" sd="1" x="6"/>
        <item t="data" sd="1" x="4"/>
        <item t="data" sd="1" x="1"/>
        <item t="data" sd="1" m="1" x="7"/>
        <item t="data" sd="1" x="3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6">
        <item t="data" sd="1" x="1"/>
        <item t="data" sd="1" x="0"/>
        <item t="data" sd="1" x="3"/>
        <item t="data" sd="1" x="2"/>
        <item t="data" sd="1" x="4"/>
        <item t="data" sd="1" m="1" x="5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m="1" x="3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48">
        <item t="data" sd="1" x="39"/>
        <item t="data" sd="1" x="44"/>
        <item t="data" sd="1" x="0"/>
        <item t="data" sd="1" x="5"/>
        <item t="data" sd="1" x="1"/>
        <item t="data" sd="1" m="1" x="46"/>
        <item t="data" sd="1" x="6"/>
        <item t="data" sd="1" x="7"/>
        <item t="data" sd="1" x="30"/>
        <item t="data" sd="1" x="36"/>
        <item t="data" sd="1" x="27"/>
        <item t="data" sd="1" x="2"/>
        <item t="data" sd="1" x="37"/>
        <item t="data" sd="1" x="40"/>
        <item t="data" sd="1" x="28"/>
        <item t="data" sd="1" x="8"/>
        <item t="data" sd="1" x="23"/>
        <item t="data" sd="1" x="3"/>
        <item t="data" sd="1" x="42"/>
        <item t="data" sd="1" x="31"/>
        <item t="data" sd="1" x="9"/>
        <item t="data" sd="1" x="10"/>
        <item t="data" sd="1" x="21"/>
        <item t="data" sd="1" x="24"/>
        <item t="data" sd="1" x="25"/>
        <item t="data" sd="1" x="11"/>
        <item t="data" sd="1" x="12"/>
        <item t="data" sd="1" x="32"/>
        <item t="data" sd="1" x="38"/>
        <item t="data" sd="1" x="13"/>
        <item t="data" sd="1" x="43"/>
        <item t="data" sd="1" x="41"/>
        <item t="data" sd="1" x="14"/>
        <item t="data" sd="1" x="26"/>
        <item t="data" sd="1" x="45"/>
        <item t="data" sd="1" x="15"/>
        <item t="data" sd="1" x="16"/>
        <item t="data" sd="1" x="17"/>
        <item t="data" sd="1" x="18"/>
        <item t="data" sd="1" m="1" x="47"/>
        <item t="data" sd="1" x="4"/>
        <item t="data" sd="1" x="33"/>
        <item t="data" sd="1" x="19"/>
        <item t="data" sd="1" x="29"/>
        <item t="data" sd="1" x="34"/>
        <item t="data" sd="1" x="35"/>
        <item t="data" sd="1" x="20"/>
        <item t="data" sd="1" x="22"/>
      </items>
    </pivotField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57">
        <item t="data" sd="1" x="28"/>
        <item t="data" sd="1" x="42"/>
        <item t="data" sd="1" m="1" x="50"/>
        <item t="data" sd="1" m="1" x="54"/>
        <item t="data" sd="1" x="40"/>
        <item t="data" sd="1" x="47"/>
        <item t="data" sd="1" x="0"/>
        <item t="data" sd="1" x="5"/>
        <item t="data" sd="1" x="1"/>
        <item t="data" sd="1" m="1" x="51"/>
        <item t="data" sd="1" x="6"/>
        <item t="data" sd="1" x="7"/>
        <item t="data" sd="1" x="36"/>
        <item t="data" sd="1" x="22"/>
        <item t="data" sd="1" x="2"/>
        <item t="data" sd="1" x="37"/>
        <item t="data" sd="1" x="41"/>
        <item t="data" sd="1" x="26"/>
        <item t="data" sd="1" x="44"/>
        <item t="data" sd="1" x="8"/>
        <item t="data" sd="1" x="12"/>
        <item t="data" sd="1" x="3"/>
        <item t="data" sd="1" x="31"/>
        <item t="data" sd="1" x="30"/>
        <item t="data" sd="1" x="9"/>
        <item t="data" sd="1" x="10"/>
        <item t="data" sd="1" x="20"/>
        <item t="data" sd="1" x="23"/>
        <item t="data" sd="1" x="45"/>
        <item t="data" sd="1" m="1" x="55"/>
        <item t="data" sd="1" x="13"/>
        <item t="data" sd="1" x="32"/>
        <item t="data" sd="1" x="48"/>
        <item t="data" sd="1" x="14"/>
        <item t="data" sd="1" x="46"/>
        <item t="data" sd="1" x="11"/>
        <item t="data" sd="1" x="43"/>
        <item t="data" sd="1" x="24"/>
        <item t="data" sd="1" x="25"/>
        <item t="data" sd="1" x="15"/>
        <item t="data" sd="1" x="27"/>
        <item t="data" sd="1" x="16"/>
        <item t="data" sd="1" x="17"/>
        <item t="data" sd="1" x="4"/>
        <item t="data" sd="1" x="39"/>
        <item t="data" sd="1" x="33"/>
        <item t="data" sd="1" x="19"/>
        <item t="data" sd="1" x="18"/>
        <item t="data" sd="1" x="29"/>
        <item t="data" sd="1" x="34"/>
        <item t="data" sd="1" x="35"/>
        <item t="data" sd="1" x="38"/>
        <item t="data" sd="1" m="1" x="49"/>
        <item t="data" sd="1" m="1" x="56"/>
        <item t="data" sd="1" m="1" x="53"/>
        <item t="data" sd="1" m="1" x="52"/>
        <item t="data" sd="1" x="2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0">
        <item t="data" sd="1" x="0"/>
        <item t="data" sd="1" x="19"/>
        <item t="data" sd="1" x="12"/>
        <item t="data" sd="1" m="1" x="29"/>
        <item t="data" sd="1" x="26"/>
        <item t="data" sd="1" x="24"/>
        <item t="data" sd="1" x="25"/>
        <item t="data" sd="1" x="17"/>
        <item t="data" sd="1" x="13"/>
        <item t="data" sd="1" x="21"/>
        <item t="data" sd="1" x="16"/>
        <item t="data" sd="1" x="20"/>
        <item t="data" sd="1" x="14"/>
        <item t="data" sd="1" x="15"/>
        <item t="data" sd="1" x="8"/>
        <item t="data" sd="1" x="5"/>
        <item t="data" sd="1" x="6"/>
        <item t="data" sd="1" m="1" x="27"/>
        <item t="data" sd="1" m="1" x="28"/>
        <item t="data" sd="1" x="4"/>
        <item t="data" sd="1" x="9"/>
        <item t="data" sd="1" x="18"/>
        <item t="data" sd="1" x="1"/>
        <item t="data" sd="1" x="3"/>
        <item t="data" sd="1" x="22"/>
        <item t="data" sd="1" x="10"/>
        <item t="data" sd="1" x="11"/>
        <item t="data" sd="1" x="23"/>
        <item t="data" sd="1" x="2"/>
        <item t="data" sd="1" x="7"/>
      </items>
    </pivotField>
    <pivotField axis="axisRow" showDropDowns="1" compact="0" numFmtId="2" outline="0" subtotalTop="1" dragToRow="1" dragToCol="1" dragToPage="1" dragToData="1" dragOff="1" showAll="0" topAutoShow="1" itemPageCount="10" sortType="manual" defaultSubtotal="0">
      <items count="36">
        <item t="data" h="1" sd="1" x="30"/>
        <item t="data" h="1" sd="1" x="2"/>
        <item t="data" h="1" sd="1" x="1"/>
        <item t="data" h="1" sd="1" x="17"/>
        <item t="data" h="1" sd="1" x="25"/>
        <item t="data" h="1" sd="1" x="24"/>
        <item t="data" h="1" sd="1" x="0"/>
        <item t="data" h="1" sd="1" x="6"/>
        <item t="data" h="1" sd="1" x="32"/>
        <item t="data" h="1" sd="1" x="3"/>
        <item t="data" h="1" sd="1" x="18"/>
        <item t="data" sd="1" x="7"/>
        <item t="data" sd="1" x="29"/>
        <item t="data" sd="1" x="28"/>
        <item t="data" h="1" sd="1" x="20"/>
        <item t="data" h="1" sd="1" x="11"/>
        <item t="data" h="1" sd="1" x="13"/>
        <item t="data" h="1" sd="1" x="8"/>
        <item t="data" h="1" sd="1" x="31"/>
        <item t="data" h="1" sd="1" x="26"/>
        <item t="data" h="1" sd="1" x="4"/>
        <item t="data" h="1" sd="1" x="27"/>
        <item t="data" h="1" sd="1" x="5"/>
        <item t="data" h="1" sd="1" x="22"/>
        <item t="data" h="1" sd="1" x="9"/>
        <item t="data" h="1" sd="1" x="21"/>
        <item t="data" h="1" sd="1" m="1" x="34"/>
        <item t="data" h="1" sd="1" x="10"/>
        <item t="data" h="1" sd="1" m="1" x="35"/>
        <item t="data" h="1" sd="1" x="16"/>
        <item t="data" h="1" sd="1" x="19"/>
        <item t="data" h="1" sd="1" x="23"/>
        <item t="data" h="1" sd="1" x="12"/>
        <item t="data" h="1" sd="1" x="14"/>
        <item t="data" h="1" sd="1" m="1" x="33"/>
        <item t="data" h="1" sd="1" x="15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1" dragToRow="1" dragToCol="1" multipleItemSelectionAllowed="1" dragToPage="1" dragToData="1" dragOff="1" showAll="0" topAutoShow="1" itemPageCount="10" sortType="manual" defaultSubtotal="0">
      <items count="196">
        <item t="data" sd="1" m="1" x="140"/>
        <item t="data" sd="1" m="1" x="96"/>
        <item t="data" sd="1" x="50"/>
        <item t="data" sd="1" m="1" x="93"/>
        <item t="data" sd="1" m="1" x="136"/>
        <item t="data" sd="1" m="1" x="99"/>
        <item t="data" sd="1" m="1" x="121"/>
        <item t="data" sd="1" m="1" x="160"/>
        <item t="data" sd="1" m="1" x="152"/>
        <item t="data" sd="1" m="1" x="137"/>
        <item t="data" sd="1" m="1" x="176"/>
        <item t="data" sd="1" m="1" x="147"/>
        <item t="data" sd="1" m="1" x="111"/>
        <item t="data" sd="1" m="1" x="104"/>
        <item t="data" sd="1" m="1" x="119"/>
        <item t="data" sd="1" x="52"/>
        <item t="data" sd="1" m="1" x="120"/>
        <item t="data" sd="1" m="1" x="193"/>
        <item t="data" sd="1" m="1" x="161"/>
        <item t="data" sd="1" m="1" x="145"/>
        <item t="data" sd="1" m="1" x="168"/>
        <item t="data" sd="1" m="1" x="107"/>
        <item t="data" sd="1" x="9"/>
        <item t="data" sd="1" m="1" x="162"/>
        <item t="data" sd="1" m="1" x="113"/>
        <item t="data" sd="1" x="1"/>
        <item t="data" sd="1" m="1" x="139"/>
        <item t="data" sd="1" m="1" x="84"/>
        <item t="data" sd="1" m="1" x="116"/>
        <item t="data" sd="1" x="7"/>
        <item t="data" sd="1" x="14"/>
        <item t="data" sd="1" x="11"/>
        <item t="data" sd="1" m="1" x="115"/>
        <item t="data" sd="1" m="1" x="185"/>
        <item t="data" sd="1" m="1" x="101"/>
        <item t="data" sd="1" m="1" x="122"/>
        <item t="data" sd="1" x="2"/>
        <item t="data" sd="1" m="1" x="133"/>
        <item t="data" sd="1" x="6"/>
        <item t="data" sd="1" m="1" x="89"/>
        <item t="data" sd="1" x="79"/>
        <item t="data" sd="1" m="1" x="155"/>
        <item t="data" sd="1" m="1" x="129"/>
        <item t="data" sd="1" x="12"/>
        <item t="data" sd="1" m="1" x="169"/>
        <item t="data" sd="1" m="1" x="130"/>
        <item t="data" sd="1" x="17"/>
        <item t="data" sd="1" m="1" x="149"/>
        <item t="data" sd="1" x="16"/>
        <item t="data" sd="1" x="3"/>
        <item t="data" sd="1" m="1" x="134"/>
        <item t="data" sd="1" m="1" x="117"/>
        <item t="data" sd="1" m="1" x="144"/>
        <item t="data" sd="1" m="1" x="109"/>
        <item t="data" sd="1" m="1" x="102"/>
        <item t="data" sd="1" m="1" x="141"/>
        <item t="data" sd="1" x="4"/>
        <item t="data" sd="1" x="13"/>
        <item t="data" sd="1" m="1" x="106"/>
        <item t="data" sd="1" m="1" x="158"/>
        <item t="data" sd="1" x="18"/>
        <item t="data" sd="1" x="15"/>
        <item t="data" sd="1" m="1" x="86"/>
        <item t="data" sd="1" x="46"/>
        <item t="data" sd="1" x="49"/>
        <item t="data" sd="1" m="1" x="179"/>
        <item t="data" sd="1" m="1" x="167"/>
        <item t="data" sd="1" x="74"/>
        <item t="data" sd="1" x="31"/>
        <item t="data" sd="1" x="78"/>
        <item t="data" sd="1" m="1" x="184"/>
        <item t="data" sd="1" m="1" x="183"/>
        <item t="data" sd="1" x="10"/>
        <item t="data" sd="1" x="33"/>
        <item t="data" sd="1" m="1" x="94"/>
        <item t="data" sd="1" x="19"/>
        <item t="data" sd="1" m="1" x="170"/>
        <item t="data" sd="1" x="47"/>
        <item t="data" sd="1" m="1" x="171"/>
        <item t="data" sd="1" m="1" x="159"/>
        <item t="data" sd="1" x="82"/>
        <item t="data" sd="1" m="1" x="108"/>
        <item t="data" h="1" sd="1" x="0"/>
        <item t="data" h="1" sd="1" x="83"/>
        <item t="data" h="1" sd="1" x="20"/>
        <item t="data" h="1" sd="1" m="1" x="90"/>
        <item t="data" h="1" sd="1" m="1" x="98"/>
        <item t="data" h="1" sd="1" x="32"/>
        <item t="data" h="1" sd="1" m="1" x="91"/>
        <item t="data" h="1" sd="1" x="8"/>
        <item t="data" h="1" sd="1" x="48"/>
        <item t="data" h="1" sd="1" m="1" x="123"/>
        <item t="data" h="1" sd="1" x="38"/>
        <item t="data" h="1" sd="1" x="21"/>
        <item t="data" h="1" sd="1" m="1" x="92"/>
        <item t="data" h="1" sd="1" m="1" x="124"/>
        <item t="data" h="1" sd="1" m="1" x="172"/>
        <item t="data" h="1" sd="1" m="1" x="95"/>
        <item t="data" h="1" sd="1" m="1" x="180"/>
        <item t="data" h="1" sd="1" m="1" x="100"/>
        <item t="data" h="1" sd="1" m="1" x="157"/>
        <item t="data" h="1" sd="1" m="1" x="97"/>
        <item t="data" h="1" sd="1" m="1" x="126"/>
        <item t="data" h="1" sd="1" m="1" x="146"/>
        <item t="data" h="1" sd="1" m="1" x="166"/>
        <item t="data" h="1" sd="1" m="1" x="127"/>
        <item t="data" h="1" sd="1" m="1" x="105"/>
        <item t="data" h="1" sd="1" x="76"/>
        <item t="data" h="1" sd="1" m="1" x="125"/>
        <item t="data" h="1" sd="1" m="1" x="195"/>
        <item t="data" h="1" sd="1" x="70"/>
        <item t="data" h="1" sd="1" x="75"/>
        <item t="data" h="1" sd="1" x="69"/>
        <item t="data" h="1" sd="1" m="1" x="128"/>
        <item t="data" h="1" sd="1" m="1" x="88"/>
        <item t="data" h="1" sd="1" x="71"/>
        <item t="data" h="1" sd="1" x="77"/>
        <item t="data" h="1" sd="1" m="1" x="151"/>
        <item t="data" h="1" sd="1" m="1" x="192"/>
        <item t="data" h="1" sd="1" m="1" x="87"/>
        <item t="data" h="1" sd="1" m="1" x="191"/>
        <item t="data" h="1" sd="1" m="1" x="188"/>
        <item t="data" h="1" sd="1" x="55"/>
        <item t="data" h="1" sd="1" m="1" x="174"/>
        <item t="data" h="1" sd="1" m="1" x="182"/>
        <item t="data" h="1" sd="1" m="1" x="112"/>
        <item t="data" h="1" sd="1" m="1" x="165"/>
        <item t="data" h="1" sd="1" m="1" x="178"/>
        <item t="data" h="1" sd="1" m="1" x="103"/>
        <item t="data" h="1" sd="1" m="1" x="164"/>
        <item t="data" h="1" sd="1" m="1" x="150"/>
        <item t="data" h="1" sd="1" m="1" x="177"/>
        <item t="data" h="1" sd="1" m="1" x="85"/>
        <item t="data" h="1" sd="1" x="30"/>
        <item t="data" h="1" sd="1" m="1" x="138"/>
        <item t="data" h="1" sd="1" m="1" x="181"/>
        <item t="data" h="1" sd="1" m="1" x="143"/>
        <item t="data" h="1" sd="1" m="1" x="153"/>
        <item t="data" h="1" sd="1" x="37"/>
        <item t="data" h="1" sd="1" m="1" x="175"/>
        <item t="data" h="1" sd="1" m="1" x="186"/>
        <item t="data" h="1" sd="1" m="1" x="135"/>
        <item t="data" h="1" sd="1" m="1" x="154"/>
        <item t="data" h="1" sd="1" m="1" x="189"/>
        <item t="data" h="1" sd="1" m="1" x="142"/>
        <item t="data" h="1" sd="1" m="1" x="114"/>
        <item t="data" h="1" sd="1" m="1" x="118"/>
        <item t="data" h="1" sd="1" m="1" x="190"/>
        <item t="data" h="1" sd="1" m="1" x="194"/>
        <item t="data" h="1" sd="1" x="53"/>
        <item t="data" h="1" sd="1" m="1" x="131"/>
        <item t="data" h="1" sd="1" x="56"/>
        <item t="data" h="1" sd="1" x="57"/>
        <item t="data" h="1" sd="1" x="58"/>
        <item t="data" h="1" sd="1" x="59"/>
        <item t="data" h="1" sd="1" x="60"/>
        <item t="data" h="1" sd="1" x="61"/>
        <item t="data" h="1" sd="1" x="62"/>
        <item t="data" h="1" sd="1" x="63"/>
        <item t="data" h="1" sd="1" x="64"/>
        <item t="data" h="1" sd="1" m="1" x="163"/>
        <item t="data" h="1" sd="1" m="1" x="110"/>
        <item t="data" h="1" sd="1" x="65"/>
        <item t="data" h="1" sd="1" x="80"/>
        <item t="data" h="1" sd="1" m="1" x="187"/>
        <item t="data" h="1" sd="1" x="81"/>
        <item t="data" h="1" sd="1" m="1" x="148"/>
        <item t="data" h="1" sd="1" m="1" x="156"/>
        <item t="data" h="1" sd="1" m="1" x="173"/>
        <item t="data" h="1" sd="1" m="1" x="132"/>
        <item t="data" h="1" sd="1" x="51"/>
        <item t="data" h="1" sd="1" x="54"/>
        <item t="data" h="1" sd="1" x="66"/>
        <item t="data" h="1" sd="1" x="67"/>
        <item t="data" h="1" sd="1" x="68"/>
        <item t="data" h="1" sd="1" x="72"/>
        <item t="data" h="1" sd="1" x="73"/>
        <item t="data" h="1" sd="1" x="34"/>
        <item t="data" h="1" sd="1" x="35"/>
        <item t="data" h="1" sd="1" x="36"/>
        <item t="data" h="1" sd="1" x="39"/>
        <item t="data" h="1" sd="1" x="40"/>
        <item t="data" h="1" sd="1" x="41"/>
        <item t="data" h="1" sd="1" x="42"/>
        <item t="data" h="1" sd="1" x="43"/>
        <item t="data" h="1" sd="1" x="44"/>
        <item t="data" h="1" sd="1" x="45"/>
        <item t="data" h="1" sd="1" x="5"/>
        <item t="data" h="1" sd="1" x="22"/>
        <item t="data" h="1" sd="1" x="23"/>
        <item t="data" h="1" sd="1" x="24"/>
        <item t="data" h="1" sd="1" x="25"/>
        <item t="data" h="1" sd="1" x="26"/>
        <item t="data" h="1" sd="1" x="27"/>
        <item t="data" h="1" sd="1" x="28"/>
        <item t="data" h="1" sd="1" x="29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" outline="0" subtotalTop="1" dragToRow="1" dragToCol="1" dragToPage="1" dragToData="1" dragOff="1" showAll="0" topAutoShow="1" itemPageCount="10" sortType="manual" defaultSubtotal="0"/>
    <pivotField dataField="1" showDropDowns="1" compact="0" numFmtId="2" outline="0" subtotalTop="1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7">
    <field x="18"/>
    <field x="19"/>
    <field x="20"/>
    <field x="21"/>
    <field x="7"/>
    <field x="9"/>
    <field x="10"/>
  </rowFields>
  <rowItems count="3">
    <i t="data" r="0" i="0">
      <x v="11"/>
      <x v="14"/>
      <x v="0"/>
      <x v="11"/>
      <x v="2"/>
      <x v="1"/>
      <x v="1"/>
    </i>
    <i t="data" r="0" i="0">
      <x v="15"/>
      <x v="19"/>
      <x v="0"/>
      <x v="11"/>
      <x v="2"/>
      <x v="1"/>
      <x v="1"/>
    </i>
    <i t="data" r="0" i="0">
      <x v="42"/>
      <x v="46"/>
      <x v="0"/>
      <x v="11"/>
      <x v="3"/>
      <x v="0"/>
      <x v="0"/>
    </i>
  </rowItems>
  <colItems count="1">
    <i t="data" r="0" i="0"/>
  </colItems>
  <pageFields count="1">
    <pageField fld="24" hier="-1"/>
  </pageFields>
  <dataFields count="1">
    <dataField name="Sum of SCHEDULE IN MT" fld="27" subtotal="sum" showDataAs="normal" baseField="0" baseItem="0" numFmtId="2"/>
  </dataFields>
  <formats count="13">
    <format action="formatting" dxfId="91">
      <pivotArea type="normal" dataOnly="0" labelOnly="1" outline="0" fieldPosition="0">
        <references count="5">
          <reference field="7">
            <x v="3"/>
          </reference>
          <reference field="18" selected="0">
            <x v="32"/>
          </reference>
          <reference field="19" selected="0">
            <x v="37"/>
          </reference>
          <reference field="20" selected="0">
            <x v="0"/>
          </reference>
          <reference field="21" selected="0">
            <x v="15"/>
          </reference>
        </references>
      </pivotArea>
    </format>
    <format action="formatting" dxfId="90">
      <pivotArea type="normal" dataOnly="0" labelOnly="1" outline="0" fieldPosition="0">
        <references count="5">
          <reference field="7">
            <x v="3"/>
          </reference>
          <reference field="18" selected="0">
            <x v="42"/>
          </reference>
          <reference field="19" selected="0">
            <x v="46"/>
          </reference>
          <reference field="20" selected="0">
            <x v="0"/>
          </reference>
          <reference field="21" selected="0">
            <x v="11"/>
          </reference>
        </references>
      </pivotArea>
    </format>
    <format action="formatting" dxfId="89">
      <pivotArea type="normal" dataOnly="0" labelOnly="1" outline="0" fieldPosition="0">
        <references count="5">
          <reference field="7">
            <x v="3"/>
          </reference>
          <reference field="18" selected="0">
            <x v="39"/>
          </reference>
          <reference field="19" selected="0">
            <x v="43"/>
          </reference>
          <reference field="20" selected="0">
            <x v="27"/>
          </reference>
          <reference field="21" selected="0">
            <x v="6"/>
          </reference>
        </references>
      </pivotArea>
    </format>
    <format action="formatting" dxfId="88">
      <pivotArea type="normal" dataOnly="0" labelOnly="1" outline="0" offset="IV3" fieldPosition="0">
        <references count="5">
          <reference field="7">
            <x v="2"/>
          </reference>
          <reference field="18" selected="0">
            <x v="42"/>
          </reference>
          <reference field="19" selected="0">
            <x v="46"/>
          </reference>
          <reference field="20" selected="0">
            <x v="0"/>
          </reference>
          <reference field="21" selected="0">
            <x v="15"/>
          </reference>
        </references>
      </pivotArea>
    </format>
    <format action="formatting" dxfId="87">
      <pivotArea type="normal" dataOnly="0" labelOnly="1" outline="0" offset="IV4" fieldPosition="0">
        <references count="5">
          <reference field="7">
            <x v="2"/>
          </reference>
          <reference field="18" selected="0">
            <x v="42"/>
          </reference>
          <reference field="19" selected="0">
            <x v="46"/>
          </reference>
          <reference field="20" selected="0">
            <x v="0"/>
          </reference>
          <reference field="21" selected="0">
            <x v="15"/>
          </reference>
        </references>
      </pivotArea>
    </format>
    <format action="formatting" dxfId="86">
      <pivotArea type="normal" dataOnly="0" labelOnly="1" outline="0" offset="IV256" fieldPosition="0">
        <references count="5">
          <reference field="7">
            <x v="2"/>
          </reference>
          <reference field="18" selected="0">
            <x v="42"/>
          </reference>
          <reference field="19" selected="0">
            <x v="46"/>
          </reference>
          <reference field="20" selected="0">
            <x v="0"/>
          </reference>
          <reference field="21" selected="0">
            <x v="15"/>
          </reference>
        </references>
      </pivotArea>
    </format>
    <format action="formatting" dxfId="85">
      <pivotArea type="normal" dataOnly="0" labelOnly="1" outline="0" fieldPosition="0">
        <references count="5">
          <reference field="7">
            <x v="3"/>
          </reference>
          <reference field="18" selected="0">
            <x v="45"/>
          </reference>
          <reference field="19" selected="0">
            <x v="50"/>
          </reference>
          <reference field="20" selected="0">
            <x v="0"/>
          </reference>
          <reference field="21" selected="0">
            <x v="24"/>
          </reference>
        </references>
      </pivotArea>
    </format>
    <format action="formatting" dxfId="84">
      <pivotArea type="normal" dataOnly="0" labelOnly="1" outline="0" fieldPosition="0">
        <references count="5">
          <reference field="7">
            <x v="3"/>
          </reference>
          <reference field="18" selected="0">
            <x v="41"/>
          </reference>
          <reference field="19" selected="0">
            <x v="45"/>
          </reference>
          <reference field="20" selected="0">
            <x v="0"/>
          </reference>
          <reference field="21" selected="0">
            <x v="23"/>
          </reference>
        </references>
      </pivotArea>
    </format>
    <format action="formatting" dxfId="83">
      <pivotArea type="normal" dataOnly="0" labelOnly="1" outline="0" offset="IV3:IV5" fieldPosition="0">
        <references count="5">
          <reference field="7">
            <x v="2"/>
          </reference>
          <reference field="18" selected="0">
            <x v="35"/>
          </reference>
          <reference field="19" selected="0">
            <x v="39"/>
          </reference>
          <reference field="20" selected="0">
            <x v="19"/>
          </reference>
          <reference field="21" selected="0">
            <x v="9"/>
          </reference>
        </references>
      </pivotArea>
    </format>
    <format action="formatting" dxfId="82">
      <pivotArea type="normal" dataOnly="0" labelOnly="1" outline="0" offset="IV7:IV8" fieldPosition="0">
        <references count="5">
          <reference field="7">
            <x v="2"/>
          </reference>
          <reference field="18" selected="0">
            <x v="2"/>
          </reference>
          <reference field="19" selected="0">
            <x v="6"/>
          </reference>
          <reference field="20" selected="0">
            <x v="0"/>
          </reference>
          <reference field="21" selected="0">
            <x v="2"/>
          </reference>
        </references>
      </pivotArea>
    </format>
    <format action="formatting" dxfId="81">
      <pivotArea type="normal" dataOnly="0" labelOnly="1" outline="0" offset="IV9" fieldPosition="0">
        <references count="5">
          <reference field="7">
            <x v="2"/>
          </reference>
          <reference field="18" selected="0">
            <x v="2"/>
          </reference>
          <reference field="19" selected="0">
            <x v="6"/>
          </reference>
          <reference field="20" selected="0">
            <x v="0"/>
          </reference>
          <reference field="21" selected="0">
            <x v="2"/>
          </reference>
        </references>
      </pivotArea>
    </format>
    <format action="formatting" dxfId="80">
      <pivotArea type="normal" dataOnly="1" outline="0" collapsedLevelsAreSubtotals="1" fieldPosition="0"/>
    </format>
    <format action="formatting" dxfId="79">
      <pivotArea type="normal" dataOnly="1" outline="0" fieldPosition="0">
        <references count="7">
          <reference field="7" selected="0">
            <x v="1"/>
          </reference>
          <reference field="9" selected="0">
            <x v="1"/>
          </reference>
          <reference field="10" selected="0">
            <x v="0"/>
          </reference>
          <reference field="18" selected="0">
            <x v="40"/>
          </reference>
          <reference field="19" selected="0">
            <x v="39"/>
          </reference>
          <reference field="20" selected="0">
            <x v="26"/>
          </reference>
          <reference field="21" selected="0"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OEM_Key25" displayName="OEM_Key25" ref="A1:C175" headerRowCount="1" totalsRowShown="0">
  <autoFilter ref="A1:C175"/>
  <tableColumns count="3">
    <tableColumn id="1" name="Customer " dataDxfId="736"/>
    <tableColumn id="2" name="OEM" dataDxfId="735"/>
    <tableColumn id="3" name="C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32" displayName="Table32" ref="A1:F42" headerRowCount="1" totalsRowShown="0">
  <autoFilter ref="A1:F42"/>
  <tableColumns count="6">
    <tableColumn id="1" name="Grade"/>
    <tableColumn id="2" name="TDC"/>
    <tableColumn id="3" name="THIK"/>
    <tableColumn id="6" name="Key">
      <calculatedColumnFormula>_xlfn.CONCAT(Table32[[#This Row],[TDC]],"-",Table32[[#This Row],[THIK]])</calculatedColumnFormula>
    </tableColumn>
    <tableColumn id="4" name="MATERIAL"/>
    <tableColumn id="5" name="Material 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wipstock_matnos" displayName="saleswipstock_matnos" ref="A1:E6" tableType="queryTable" headerRowCount="1" totalsRowShown="0">
  <autoFilter ref="A1:E6"/>
  <tableColumns count="5">
    <tableColumn id="3" uniqueName="3" name="Customer" queryTableFieldId="3"/>
    <tableColumn id="1" uniqueName="1" name="Mat Nos" queryTableFieldId="1"/>
    <tableColumn id="2" uniqueName="2" name="Mat Desc" queryTableFieldId="2"/>
    <tableColumn id="4" uniqueName="4" name="OEM" queryTableFieldId="4" dataDxfId="734"/>
    <tableColumn id="5" uniqueName="5" name="Bucket" queryTableFieldId="5" dataDxfId="7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saleswipstock_customer" displayName="saleswipstock_customer" ref="A1:B2" tableType="queryTable" headerRowCount="1" insertRow="1" totalsRowShown="0">
  <autoFilter ref="A1:B2"/>
  <tableColumns count="2">
    <tableColumn id="1" uniqueName="1" name="Customer" queryTableFieldId="1"/>
    <tableColumn id="2" uniqueName="2" name="OEM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OEM_Key" displayName="OEM_Key" ref="A1:C162" headerRowCount="1" totalsRowShown="0">
  <autoFilter ref="A1:C162"/>
  <tableColumns count="3">
    <tableColumn id="1" name="Customer " dataDxfId="732"/>
    <tableColumn id="2" name="OEM" dataDxfId="731"/>
    <tableColumn id="3" name="CAM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27" displayName="Table27" ref="A1:AD68" headerRowCount="1" totalsRowShown="0" headerRowDxfId="727" headerRowBorderDxfId="726" tableBorderDxfId="725">
  <autoFilter ref="A1:AD68"/>
  <tableColumns count="30">
    <tableColumn id="1" name="OEM" dataDxfId="724"/>
    <tableColumn id="27" name="Customer Code" dataDxfId="723"/>
    <tableColumn id="2" name="Customer" dataDxfId="722"/>
    <tableColumn id="3" name="Metallurgy condition" dataDxfId="721"/>
    <tableColumn id="4" name="Material Type" dataDxfId="720"/>
    <tableColumn id="5" name="GRADE" dataDxfId="719"/>
    <tableColumn id="6" name="OD" dataDxfId="718"/>
    <tableColumn id="7" name="ID" dataDxfId="717"/>
    <tableColumn id="8" name="THK" dataDxfId="716"/>
    <tableColumn id="9" name="LENGTH" dataDxfId="715"/>
    <tableColumn id="10" name="Length in Mtrs" dataDxfId="714"/>
    <tableColumn id="11" name="Key" dataDxfId="713">
      <calculatedColumnFormula>_xlfn.CONCAT(G2,I2,K2,F2,E2)</calculatedColumnFormula>
    </tableColumn>
    <tableColumn id="26" name="Bucket" dataDxfId="712">
      <calculatedColumnFormula>VLOOKUP(Table27[[#This Row],[Key]],Table29[[#All],[Key]:[TSL Material Code3]],4,0)</calculatedColumnFormula>
    </tableColumn>
    <tableColumn id="25" name="Bucket CTL" dataDxfId="711">
      <calculatedColumnFormula>VLOOKUP(Table27[[#This Row],[Key]],Table29[[#All],[Key]:[TSL Material Code3]],5,0)</calculatedColumnFormula>
    </tableColumn>
    <tableColumn id="12" name="plant" dataDxfId="710">
      <calculatedColumnFormula>VLOOKUP(Table27[[#This Row],[Key]],Table29[[#All],[Key]:[TSL Material Code3]],7,0)</calculatedColumnFormula>
    </tableColumn>
    <tableColumn id="13" name="TSL Material Code" dataDxfId="709">
      <calculatedColumnFormula>VLOOKUP(Table27[[#This Row],[Key]],Table29[[#All],[Key]:[TSL Material Code3]],8,0)</calculatedColumnFormula>
    </tableColumn>
    <tableColumn id="14" name="SCH SEP- 25" dataDxfId="708"/>
    <tableColumn id="15" name="BALANCE TO BE SUPPLY" dataDxfId="707"/>
    <tableColumn id="16" name="Stock     22-09-25" dataDxfId="706"/>
    <tableColumn id="17" name="intransist " dataDxfId="705"/>
    <tableColumn id="18" name="OPENIG STOCK FOR NOV-2025" dataDxfId="704">
      <calculatedColumnFormula>S2-R2</calculatedColumnFormula>
    </tableColumn>
    <tableColumn id="19" name="order logg " dataDxfId="703"/>
    <tableColumn id="20" name="Opening stock including order logger" dataDxfId="702">
      <calculatedColumnFormula>U2+V2</calculatedColumnFormula>
    </tableColumn>
    <tableColumn id="21" name="    INDENT  FOR NOV-25 as per VSM" dataDxfId="701">
      <calculatedColumnFormula>Q2-W2</calculatedColumnFormula>
    </tableColumn>
    <tableColumn id="22" name=" INDENT  FOR NOV-25 recommended" dataDxfId="700">
      <calculatedColumnFormula>IF(X2&gt;0,X2,0)*150%</calculatedColumnFormula>
    </tableColumn>
    <tableColumn id="23" name="Before 20th" dataDxfId="699">
      <calculatedColumnFormula>ROUND(SUMIFS(meghsteelsales_previousmonth[Quantity],meghsteelsales_previousmonth[Length Bucket],Table27[[#This Row],[Bucket CTL]])/1000,0)</calculatedColumnFormula>
    </tableColumn>
    <tableColumn id="24" name="ofter 20th" dataDxfId="698">
      <calculatedColumnFormula>ROUND(SUMIFS(meghsteelsales_currentmonth[Quantity],meghsteelsales_currentmonth[Length Bucket],Table27[[#This Row],[Bucket CTL]])/1000,0)</calculatedColumnFormula>
    </tableColumn>
    <tableColumn id="29" name="Total Indent" dataDxfId="697">
      <calculatedColumnFormula>Table27[[#This Row],[ INDENT  FOR NOV-25 recommended]]+Table27[[#This Row],[order logg ]]</calculatedColumnFormula>
    </tableColumn>
    <tableColumn id="30" name="Total Supplied" dataDxfId="696">
      <calculatedColumnFormula>Table27[[#This Row],[Before 20th]]+Table27[[#This Row],[ofter 20th]]</calculatedColumnFormula>
    </tableColumn>
    <tableColumn id="28" name="Gap">
      <calculatedColumnFormula>IF(Table27[[#This Row],[Total Indent]]-Table27[[#This Row],[Total Supplied]]&lt;0,0,Table27[[#This Row],[Total Indent]]-Table27[[#This Row],[Total Supplied]])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7" name="Table35" displayName="Table35" ref="A78:Q108" headerRowCount="1" totalsRowShown="0">
  <autoFilter ref="A78:Q108"/>
  <tableColumns count="17">
    <tableColumn id="1" name="plant"/>
    <tableColumn id="2" name="OEM"/>
    <tableColumn id="3" name="Customer Code"/>
    <tableColumn id="4" name="OD"/>
    <tableColumn id="5" name="ID"/>
    <tableColumn id="6" name="THK"/>
    <tableColumn id="7" name="LENGTH"/>
    <tableColumn id="8" name="Length in Mtrs"/>
    <tableColumn id="9" name="TSL Material Code"/>
    <tableColumn id="10" name=" INDENT  FOR NOV-25 recommended"/>
    <tableColumn id="11" name="Metallurgy condition"/>
    <tableColumn id="12" name="Material Type"/>
    <tableColumn id="13" name="Material Description3">
      <calculatedColumnFormula>VLOOKUP(I79,[1]!zmat[#All],2,0)</calculatedColumnFormula>
    </tableColumn>
    <tableColumn id="14" name="Spec">
      <calculatedColumnFormula>VLOOKUP(I79,[1]!zmat[#All],21,0)</calculatedColumnFormula>
    </tableColumn>
    <tableColumn id="15" name="FC/NFC" dataDxfId="695">
      <calculatedColumnFormula>VLOOKUP(I79,[1]!zmat[#All],22,0)</calculatedColumnFormula>
    </tableColumn>
    <tableColumn id="16" name="SO"/>
    <tableColumn id="17" name="STATU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id="8" name="salesTVS" displayName="salesTVS" ref="A1:K1827" tableType="queryTable" headerRowCount="1" totalsRowShown="0">
  <autoFilter ref="A1:K1827"/>
  <tableColumns count="11">
    <tableColumn id="11" uniqueName="11" name="CUSTOMER  CD" queryTableFieldId="15"/>
    <tableColumn id="2" uniqueName="2" name="CUSTOMER  NAME" queryTableFieldId="2"/>
    <tableColumn id="8" uniqueName="8" name="SALES  UNIT" queryTableFieldId="9"/>
    <tableColumn id="9" uniqueName="9" name="qty in no" queryTableFieldId="10"/>
    <tableColumn id="10" uniqueName="10" name="Domain for z_qty_meter" queryTableFieldId="11"/>
    <tableColumn id="3" uniqueName="3" name="MATERAIL NUMBER" queryTableFieldId="3"/>
    <tableColumn id="4" uniqueName="4" name="buckets.Bucket" queryTableFieldId="4"/>
    <tableColumn id="5" uniqueName="5" name="Quantity" queryTableFieldId="5"/>
    <tableColumn id="6" uniqueName="6" name="Material   Description" queryTableFieldId="6"/>
    <tableColumn id="7" uniqueName="7" name="OEM_Key.OEM" queryTableFieldId="7"/>
    <tableColumn id="1" uniqueName="1" name="buckets.CTL Bucket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cham_anglecut" displayName="cham_anglecut" ref="A1:F576" headerRowCount="1" totalsRowShown="0">
  <autoFilter ref="A1:F576">
    <filterColumn colId="5" hiddenButton="0" showButton="1">
      <filters>
        <filter val="Angle Cut"/>
      </filters>
    </filterColumn>
  </autoFilter>
  <tableColumns count="6">
    <tableColumn id="1" name="Outer Diameter of Material"/>
    <tableColumn id="2" name="Thickness for TATA Tubes Material"/>
    <tableColumn id="3" name="Length for TATA Tubes Material"/>
    <tableColumn id="4" name="MATERAIL NUMBER"/>
    <tableColumn id="5" name="Material   Description"/>
    <tableColumn id="6" name="Cham/Angle Cu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11" displayName="Table11" ref="J1:BE101" headerRowCount="1" totalsRowShown="0" headerRowDxfId="690" headerRowBorderDxfId="689" tableBorderDxfId="688" totalsRowBorderDxfId="687">
  <autoFilter ref="J1:BE101"/>
  <tableColumns count="48">
    <tableColumn id="1" name="ACTUAL OD" dataDxfId="686"/>
    <tableColumn id="2" name="OD" dataDxfId="685"/>
    <tableColumn id="3" name="ID" dataDxfId="684"/>
    <tableColumn id="4" name="TICKNESS" dataDxfId="683"/>
    <tableColumn id="5" name="GRADE" dataDxfId="682"/>
    <tableColumn id="40" name="FC/NFC" dataDxfId="681"/>
    <tableColumn id="6" name="Bucket" dataDxfId="680"/>
    <tableColumn id="37" name="Plant" dataDxfId="679">
      <calculatedColumnFormula>_xlfn.XLOOKUP(Table11[[#This Row],[Bucket]],salesforecast[Bucket],salesforecast[Plant])</calculatedColumnFormula>
    </tableColumn>
    <tableColumn id="31" name="Requirement" dataDxfId="678">
      <calculatedColumnFormula>Table11[[#This Row],[Grand Total]]</calculatedColumnFormula>
    </tableColumn>
    <tableColumn id="32" name="Sales" dataDxfId="677">
      <calculatedColumnFormula>VLOOKUP(Table11[[#This Row],[Bucket]],salesforecast[[#All],[Bucket2]:[WIP]],3,0)</calculatedColumnFormula>
    </tableColumn>
    <tableColumn id="38" name="Stock CTL" dataDxfId="676">
      <calculatedColumnFormula>VLOOKUP(Table11[[#This Row],[Bucket]],salesforecast[[#All],[Bucket2]:[WIP]],4,0)</calculatedColumnFormula>
    </tableColumn>
    <tableColumn id="33" name="Stock LL" dataDxfId="675">
      <calculatedColumnFormula>VLOOKUP(Table11[[#This Row],[Bucket]],salesforecast[[#All],[Bucket2]:[WIP]],5,0)</calculatedColumnFormula>
    </tableColumn>
    <tableColumn id="34" name="WIP" dataDxfId="674">
      <calculatedColumnFormula>VLOOKUP(Table11[[#This Row],[Bucket]],salesforecast[[#All],[Bucket2]:[WIP]],7,0)</calculatedColumnFormula>
    </tableColumn>
    <tableColumn id="35" name="Total Stock" dataDxfId="673">
      <calculatedColumnFormula>Table11[[#This Row],[Stock LL]]+Table11[[#This Row],[WIP]]+Table11[[#This Row],[Stock CTL]]</calculatedColumnFormula>
    </tableColumn>
    <tableColumn id="36" name="GAP" dataDxfId="672">
      <calculatedColumnFormula>IF((Table11[[#This Row],[Requirement]]-Table11[[#This Row],[Sales]]-Table11[[#This Row],[Total Stock]])&lt;0,0,Table11[[#This Row],[Requirement]]-Table11[[#This Row],[Sales]]-Table11[[#This Row],[Total Stock]])</calculatedColumnFormula>
    </tableColumn>
    <tableColumn id="39" name="Remark" dataDxfId="671"/>
    <tableColumn id="41" name="ACTUAL OD2" dataDxfId="670"/>
    <tableColumn id="42" name="OD3" dataDxfId="669"/>
    <tableColumn id="43" name="ID4" dataDxfId="668"/>
    <tableColumn id="44" name="TICKNESS5" dataDxfId="667"/>
    <tableColumn id="45" name="GRADE6" dataDxfId="666"/>
    <tableColumn id="46" name="FC/NFC7" dataDxfId="665"/>
    <tableColumn id="47" name="Bucket8" dataDxfId="664"/>
    <tableColumn id="17" name="Bucket9" dataDxfId="663">
      <calculatedColumnFormula>EXACT(Table11[[#This Row],[Bucket8]],Table11[[#This Row],[Bucket]])</calculatedColumnFormula>
    </tableColumn>
    <tableColumn id="48" name="Balaji press product" dataDxfId="662"/>
    <tableColumn id="49" name="ELKAYEM AUTO" dataDxfId="661"/>
    <tableColumn id="50" name="ELKAYEM AUTO MYSORE " dataDxfId="660"/>
    <tableColumn id="51" name="KAY JAY" dataDxfId="659"/>
    <tableColumn id="52" name="Marathwada" dataDxfId="658"/>
    <tableColumn id="53" name="Metalman" dataDxfId="657"/>
    <tableColumn id="54" name="Narasipur Auto Component(P)Ltd" dataDxfId="656"/>
    <tableColumn id="55" name="NMPL (HUB)" dataDxfId="655"/>
    <tableColumn id="56" name="NMPL 1" dataDxfId="654"/>
    <tableColumn id="57" name="Rajsriya Mysore " dataDxfId="653"/>
    <tableColumn id="58" name="Rajsriya Unit 1" dataDxfId="652"/>
    <tableColumn id="59" name="Rajsriya Unit 2" dataDxfId="651"/>
    <tableColumn id="60" name="Rajsriya Unit 4" dataDxfId="650"/>
    <tableColumn id="61" name="Rajsriya Unit 5" dataDxfId="649"/>
    <tableColumn id="7" name="Rajsriya Unit 8" dataDxfId="648"/>
    <tableColumn id="8" name="Sandhar Automach" dataDxfId="647"/>
    <tableColumn id="9" name="Sandhar Engg Mysore " dataDxfId="646"/>
    <tableColumn id="10" name="SANDHAR ENGINEERING PVT LTD." dataDxfId="645"/>
    <tableColumn id="11" name="SRIKAM HITECH" dataDxfId="644"/>
    <tableColumn id="12" name="TVS MOTOR COMPANY LIMITED" dataDxfId="643"/>
    <tableColumn id="13" name="SRI BALAJI GEARS V4" dataDxfId="642"/>
    <tableColumn id="14" name="SRI BALAJI GEARS V3" dataDxfId="641"/>
    <tableColumn id="15" name="Laxmi" dataDxfId="640"/>
    <tableColumn id="16" name="Grand Total" dataDxfId="639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wip_ystockn_newest_codes_bucket" displayName="wip_ystockn_newest_codes_bucket" ref="A1:C95" tableType="queryTable" headerRowCount="1" totalsRowShown="0">
  <autoFilter ref="A1:C95"/>
  <tableColumns count="3">
    <tableColumn id="1" uniqueName="1" name="Material No" queryTableFieldId="1"/>
    <tableColumn id="2" uniqueName="2" name="Bucket" queryTableFieldId="2" dataDxfId="638"/>
    <tableColumn id="3" uniqueName="3" name="WIP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4318_ll_req" displayName="_4318_ll_req" ref="A1:J22" tableType="queryTable" headerRowCount="1" totalsRowShown="0">
  <autoFilter ref="A1:J22"/>
  <tableColumns count="10">
    <tableColumn id="1" uniqueName="1" name="Bucket" queryTableFieldId="1" dataDxfId="637"/>
    <tableColumn id="2" uniqueName="2" name="Schedule" queryTableFieldId="2"/>
    <tableColumn id="3" uniqueName="3" name="Dispatch" queryTableFieldId="3"/>
    <tableColumn id="4" uniqueName="4" name="Balance" queryTableFieldId="4"/>
    <tableColumn id="7" uniqueName="7" name="LL or CTL" queryTableFieldId="7"/>
    <tableColumn id="8" uniqueName="8" name="789" queryTableFieldId="8" dataDxfId="636"/>
    <tableColumn id="9" uniqueName="9" name="4731" queryTableFieldId="9" dataDxfId="635"/>
    <tableColumn id="10" uniqueName="10" name="8406" queryTableFieldId="10" dataDxfId="634"/>
    <tableColumn id="11" uniqueName="11" name="WIP" queryTableFieldId="11"/>
    <tableColumn id="12" uniqueName="12" name="Transfer Required" queryTableFieldId="12" dataDxfId="633">
      <calculatedColumnFormula>IF((_4318_ll_req[[#This Row],[Balance]]-_4318_ll_req[[#This Row],[8406]])&lt;0,0,_4318_ll_req[[#This Row],[Balance]]-_4318_ll_req[[#This Row],[8406]])</calculatedColumnFormula>
    </tableColumn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scheduleapr" displayName="scheduleapr" ref="A3:AS748" headerRowCount="1" totalsRowShown="0" headerRowDxfId="632" headerRowBorderDxfId="631" tableBorderDxfId="630" totalsRowBorderDxfId="629">
  <autoFilter ref="A3:AS748"/>
  <tableColumns count="45">
    <tableColumn id="1" name="SNO" dataDxfId="628"/>
    <tableColumn id="2" name="RM Loaction" dataDxfId="627"/>
    <tableColumn id="3" name="CUSTOMER NAME" dataDxfId="626"/>
    <tableColumn id="25" name="Helper Customer" dataDxfId="625"/>
    <tableColumn id="4" name="CUSTOMER CODE" dataDxfId="624"/>
    <tableColumn id="5" name="MATERIAL NO" dataDxfId="623"/>
    <tableColumn id="39" name="Key" dataDxfId="622">
      <calculatedColumnFormula>_xlfn.CONCAT(scheduleapr[[#This Row],[CUSTOMER CODE]],"-",scheduleapr[[#This Row],[MATERIAL NO]])</calculatedColumnFormula>
    </tableColumn>
    <tableColumn id="6" name="MATERIAL DES" dataDxfId="621"/>
    <tableColumn id="7" name="Grade" dataDxfId="620"/>
    <tableColumn id="17" name="h" dataDxfId="619"/>
    <tableColumn id="18" name="FC/NFC" dataDxfId="618"/>
    <tableColumn id="19" name="HR/CR" dataDxfId="617"/>
    <tableColumn id="23" name="HR/CR Check" dataDxfId="616"/>
    <tableColumn id="20" name="Chamferring " dataDxfId="615"/>
    <tableColumn id="21" name="Angle Cut" dataDxfId="614"/>
    <tableColumn id="22" name="Surface Critical" dataDxfId="613"/>
    <tableColumn id="24" name="Bucket" dataDxfId="612"/>
    <tableColumn id="26" name="CTL Bucket" dataDxfId="611"/>
    <tableColumn id="27" name="Check if CTL bucket is in sales sheet or not" dataDxfId="610"/>
    <tableColumn id="40" name="Plant" dataDxfId="609"/>
    <tableColumn id="41" name="4731 LL Stock" dataDxfId="608"/>
    <tableColumn id="38" name="4318 + 8406 stock" dataDxfId="607"/>
    <tableColumn id="37" name="Application" dataDxfId="606"/>
    <tableColumn id="8" name="ACTUAL OD" dataDxfId="605"/>
    <tableColumn id="9" name="OD" dataDxfId="604"/>
    <tableColumn id="10" name="ID" dataDxfId="603"/>
    <tableColumn id="11" name="TICKNESS" dataDxfId="602"/>
    <tableColumn id="12" name="LENGTH" dataDxfId="601"/>
    <tableColumn id="28" name="UoM" dataDxfId="600"/>
    <tableColumn id="43" name="Source Plant"/>
    <tableColumn id="44" name="Commitment Date"/>
    <tableColumn id="13" name="SCHEDULE in nos" dataDxfId="599"/>
    <tableColumn id="45" name="Customer remarks" dataDxfId="598"/>
    <tableColumn id="14" name="DISPATCH" dataDxfId="597">
      <calculatedColumnFormula array="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calculatedColumnFormula>
    </tableColumn>
    <tableColumn id="15" name="BAL IN NOS" dataDxfId="596">
      <calculatedColumnFormula>scheduleapr[[#This Row],[SCHEDULE in nos]]-scheduleapr[[#This Row],[DISPATCH]]</calculatedColumnFormula>
    </tableColumn>
    <tableColumn id="16" name="SCHEDULE IN MT" dataDxfId="595">
      <calculatedColumnFormula>(3.14*(scheduleapr[[#This Row],[ACTUAL OD]]-scheduleapr[[#This Row],[TICKNESS]])*scheduleapr[[#This Row],[TICKNESS]]*scheduleapr[[#This Row],[LENGTH]]*7.85)/1000000*scheduleapr[[#This Row],[SCHEDULE in nos]]/1000</calculatedColumnFormula>
    </tableColumn>
    <tableColumn id="29" name="DISPATCH MT" dataDxfId="594">
      <calculatedColumnFormula>(3.14*(scheduleapr[[#This Row],[ACTUAL OD]]-scheduleapr[[#This Row],[TICKNESS]])*scheduleapr[[#This Row],[TICKNESS]]*scheduleapr[[#This Row],[LENGTH]]*7.85)/1000000*scheduleapr[[#This Row],[DISPATCH]]/1000</calculatedColumnFormula>
    </tableColumn>
    <tableColumn id="30" name="BALANCE FOR DISP" dataDxfId="593">
      <calculatedColumnFormula>AJ4-AK4</calculatedColumnFormula>
    </tableColumn>
    <tableColumn id="35" name="CTL stock in nos" dataDxfId="592">
      <calculatedColumnFormula>scheduleapr[[#This Row],[SCHEDULE in nos]]/scheduleapr[[#This Row],[SCHEDULE IN MT]]*scheduleapr[[#This Row],[CTL Stock]]</calculatedColumnFormula>
    </tableColumn>
    <tableColumn id="31" name="CTL Stock" dataDxfId="591">
      <calculatedColumnFormula>SUMIFS(stock[MT],stock[Bucket],scheduleapr[[#This Row],[Bucket]],stock[CTL Bucket],scheduleapr[[#This Row],[CTL Bucket]],stock[Plant],"0789")</calculatedColumnFormula>
    </tableColumn>
    <tableColumn id="42" name="Total Long Stock in MT" dataDxfId="590"/>
    <tableColumn id="32" name="LL Stock" dataDxfId="589">
      <calculatedColumnFormula>SUMIFS(stock[MT],stock[Bucket],scheduleapr[[#This Row],[Bucket]],stock[LL or CTL],"LL")</calculatedColumnFormula>
    </tableColumn>
    <tableColumn id="36" name="WIP" dataDxfId="588">
      <calculatedColumnFormula>+SUMIFS(wip[Stock(Net Wt)],wip[Bucket],scheduleapr[[#This Row],[Bucket]])/1000</calculatedColumnFormula>
    </tableColumn>
    <tableColumn id="33" name="BALANCE REQUIRED IN MT" dataDxfId="587">
      <calculatedColumnFormula>AJ4-AN4</calculatedColumnFormula>
    </tableColumn>
    <tableColumn id="34" name="% COMP" dataDxfId="58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le37" displayName="Table37" ref="A2:X79" headerRowCount="1" totalsRowShown="0" headerRowBorderDxfId="585" tableBorderDxfId="584">
  <autoFilter ref="A2:X79">
    <filterColumn colId="13" hiddenButton="0" showButton="1">
      <customFilters>
        <customFilter val=" " operator="notEqual"/>
      </customFilters>
    </filterColumn>
  </autoFilter>
  <sortState ref="A3:X79">
    <sortCondition ref="A2:A79"/>
  </sortState>
  <tableColumns count="24">
    <tableColumn id="1" name="Customer" dataDxfId="583"/>
    <tableColumn id="2" name="Grade" dataDxfId="582"/>
    <tableColumn id="3" name="ACTUAL OD" dataDxfId="581"/>
    <tableColumn id="4" name="OD" dataDxfId="580"/>
    <tableColumn id="5" name="ID" dataDxfId="579"/>
    <tableColumn id="6" name="TICKNESS" dataDxfId="578"/>
    <tableColumn id="7" name="LENGTH" dataDxfId="577"/>
    <tableColumn id="8" name="UoM" dataDxfId="576"/>
    <tableColumn id="9" name="SCHEDULE in nos" dataDxfId="575"/>
    <tableColumn id="10" name="DISPATCH" dataDxfId="574"/>
    <tableColumn id="11" name="BAL IN NOS" dataDxfId="573"/>
    <tableColumn id="12" name="Bucket" dataDxfId="572"/>
    <tableColumn id="13" name="4731 LL Stock" dataDxfId="571"/>
    <tableColumn id="24" name="CTL to be planned as per capacity constraint" dataDxfId="570"/>
    <tableColumn id="14" name="22" dataDxfId="569"/>
    <tableColumn id="15" name="23" dataDxfId="568"/>
    <tableColumn id="16" name="24" dataDxfId="567"/>
    <tableColumn id="17" name="25" dataDxfId="566"/>
    <tableColumn id="18" name="26" dataDxfId="565"/>
    <tableColumn id="19" name="27" dataDxfId="564"/>
    <tableColumn id="20" name="28" dataDxfId="563"/>
    <tableColumn id="21" name="29" dataDxfId="562"/>
    <tableColumn id="22" name="30" dataDxfId="561"/>
    <tableColumn id="23" name="31" dataDxfId="56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stock" displayName="stock" ref="A1:K1512" tableType="queryTable" headerRowCount="1" totalsRowShown="0">
  <autoFilter ref="A1:K1512">
    <filterColumn colId="7" hiddenButton="0" showButton="1">
      <filters>
        <filter val="19-12.5-3.25-CEW-CEW"/>
      </filters>
    </filterColumn>
    <filterColumn colId="10" hiddenButton="0" showButton="1">
      <filters>
        <filter val="LL"/>
      </filters>
    </filterColumn>
  </autoFilter>
  <tableColumns count="11">
    <tableColumn id="1" uniqueName="1" name="Material" queryTableFieldId="1"/>
    <tableColumn id="2" uniqueName="2" name="Material Description" queryTableFieldId="2"/>
    <tableColumn id="6" uniqueName="6" name="MT" queryTableFieldId="6"/>
    <tableColumn id="9" uniqueName="9" name="Plant" queryTableFieldId="9"/>
    <tableColumn id="5" uniqueName="5" name="CUSTOMER NAME" queryTableFieldId="24"/>
    <tableColumn id="20" uniqueName="20" name="Index" queryTableFieldId="20"/>
    <tableColumn id="18" uniqueName="18" name="OEM" queryTableFieldId="18" dataDxfId="559"/>
    <tableColumn id="19" uniqueName="19" name="Bucket" queryTableFieldId="19" dataDxfId="558"/>
    <tableColumn id="7" uniqueName="7" name="CTL Bucket" queryTableFieldId="26"/>
    <tableColumn id="3" uniqueName="3" name="Length" queryTableFieldId="22"/>
    <tableColumn id="4" uniqueName="4" name="LL or CTL" queryTableFieldId="2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salesforecast" displayName="salesforecast" ref="A2:AS114" headerRowCount="1" totalsRowShown="0">
  <autoFilter ref="A2:AS114"/>
  <tableColumns count="45">
    <tableColumn id="1" name="ACTUAL OD"/>
    <tableColumn id="2" name="OD"/>
    <tableColumn id="3" name="ID"/>
    <tableColumn id="4" name="TICKNESS"/>
    <tableColumn id="5" name="GRADE"/>
    <tableColumn id="6" name="FC/NFC"/>
    <tableColumn id="7" name="HR/CR"/>
    <tableColumn id="20" name="Bucket"/>
    <tableColumn id="8" name="July Schedule" dataDxfId="557">
      <calculatedColumnFormula>SUMIFS(scheduleapr[SCHEDULE IN MT],scheduleapr[Bucket],salesforecast[[#This Row],[Bucket]])</calculatedColumnFormula>
    </tableColumn>
    <tableColumn id="9" name="LL Material Code"/>
    <tableColumn id="18" name="count error">
      <calculatedColumnFormula>COUNTIF('helper sheet'!$A$1:$A$33,salesforecast[[#This Row],[LL Material Code]])</calculatedColumnFormula>
    </tableColumn>
    <tableColumn id="19" name="Correct Code"/>
    <tableColumn id="21" name="Column2"/>
    <tableColumn id="10" name="Material Description"/>
    <tableColumn id="17" name="HR/CR Check"/>
    <tableColumn id="11" name="Plant"/>
    <tableColumn id="12" name="FY25 Min"/>
    <tableColumn id="13" name="FY25 Max"/>
    <tableColumn id="14" name="FY25 Average"/>
    <tableColumn id="15" name="Forecast" dataDxfId="556">
      <calculatedColumnFormula>ROUNDUP(MAX(salesforecast[[#This Row],[FY25 Average]],salesforecast[[#This Row],[July Schedule]]),0)</calculatedColumnFormula>
    </tableColumn>
    <tableColumn id="16" name="Difference">
      <calculatedColumnFormula>salesforecast[[#This Row],[Forecast]]-salesforecast[[#This Row],[July Schedule]]</calculatedColumnFormula>
    </tableColumn>
    <tableColumn id="22" name="Plant2">
      <calculatedColumnFormula>salesforecast[[#This Row],[Plant]]</calculatedColumnFormula>
    </tableColumn>
    <tableColumn id="30" name="Customer" dataDxfId="555">
      <calculatedColumnFormula array="1">_xlfn.TEXTJOIN("|",TRUE,(_xlfn.UNIQUE(_xlfn._xlws.FILTER(scheduleapr[CUSTOMER NAME],scheduleapr[Bucket]=salesforecast[[#This Row],[Bucket]]))))</calculatedColumnFormula>
    </tableColumn>
    <tableColumn id="31" name="CTL Size" dataDxfId="554">
      <calculatedColumnFormula array="1">_xlfn.TEXTJOIN("|",TRUE,(_xlfn.UNIQUE(_xlfn._xlws.SORT(_xlfn._xlws.FILTER(scheduleapr[LENGTH],scheduleapr[Bucket]=salesforecast[[#This Row],[Bucket]])))))</calculatedColumnFormula>
    </tableColumn>
    <tableColumn id="39" name="CTL Codes" dataDxfId="553"/>
    <tableColumn id="33" name="Bucket2">
      <calculatedColumnFormula>salesforecast[[#This Row],[Bucket]]</calculatedColumnFormula>
    </tableColumn>
    <tableColumn id="28" name="Schedule">
      <calculatedColumnFormula>salesforecast[[#This Row],[July Schedule]]</calculatedColumnFormula>
    </tableColumn>
    <tableColumn id="23" name="Sales">
      <calculatedColumnFormula>SUMIF(salesTVS[buckets.Bucket],salesforecast[[#This Row],[Bucket]],salesTVS[Quantity])/1000</calculatedColumnFormula>
    </tableColumn>
    <tableColumn id="27" name="Stock CTL" dataDxfId="552">
      <calculatedColumnFormula>SUMIFS(stock[MT],stock[Bucket],salesforecast[[#This Row],[Bucket]],stock[LL or CTL],"CTL")</calculatedColumnFormula>
    </tableColumn>
    <tableColumn id="24" name="Stock LL" dataDxfId="551">
      <calculatedColumnFormula>SUMIF(stock[Bucket],salesforecast[[#This Row],[Bucket]],stock[MT])</calculatedColumnFormula>
    </tableColumn>
    <tableColumn id="32" name="Stock LL Check" dataDxfId="550"/>
    <tableColumn id="25" name="WIP">
      <calculatedColumnFormula>SUMIF(wip[Bucket],salesforecast[[#This Row],[Bucket]],wip[Stock(Net Wt)])/1000</calculatedColumnFormula>
    </tableColumn>
    <tableColumn id="38" name="WIP Check" dataDxfId="549"/>
    <tableColumn id="41" name="Khopoli Stock LL" dataDxfId="548">
      <calculatedColumnFormula>SUMIFS(stock[MT],stock[Bucket],salesforecast[[#This Row],[Bucket2]],stock[Plant],"0788")</calculatedColumnFormula>
    </tableColumn>
    <tableColumn id="26" name="Coverage Days">
      <calculatedColumnFormula>((salesforecast[[#This Row],[WIP]]+salesforecast[[#This Row],[Stock LL]]))/salesforecast[[#This Row],[July Schedule]]*30</calculatedColumnFormula>
    </tableColumn>
    <tableColumn id="46" name="Coverage without WIP" dataDxfId="547">
      <calculatedColumnFormula>salesforecast[[#This Row],[Stock LL]]/salesforecast[[#This Row],[Schedule]]*30</calculatedColumnFormula>
    </tableColumn>
    <tableColumn id="40" name="0789 LL Stock" dataDxfId="546">
      <calculatedColumnFormula>SUMIFS(stock[MT],stock[Bucket],salesforecast[[#This Row],[Bucket2]],stock[Plant],"0789",stock[LL or CTL],"LL")</calculatedColumnFormula>
    </tableColumn>
    <tableColumn id="36" name="Scehdule - Sales" dataCellStyle="Percent">
      <calculatedColumnFormula>(salesforecast[[#This Row],[Sales]])/salesforecast[[#This Row],[Schedule]]</calculatedColumnFormula>
    </tableColumn>
    <tableColumn id="29" name="Stock Khopoli" dataDxfId="545">
      <calculatedColumnFormula>SUMIFS(stock[MT],stock[Plant],salesforecast[[#This Row],[Plant]],stock[LL or CTL],"LL",stock[Bucket],salesforecast[[#This Row],[Bucket]])</calculatedColumnFormula>
    </tableColumn>
    <tableColumn id="34" name="Rajsriya Schedule" dataDxfId="544">
      <calculatedColumnFormula>SUMIFS(scheduleapr[SCHEDULE IN MT],scheduleapr[CUSTOMER NAME],"*Rajsriya*",scheduleapr[Bucket],salesforecast[[#This Row],[Bucket]])</calculatedColumnFormula>
    </tableColumn>
    <tableColumn id="35" name="Rajsriya Sales" dataDxfId="543">
      <calculatedColumnFormula>SUMIFS(salesTVS[Quantity],salesTVS[CUSTOMER  NAME],"*RAJSRIYA*",salesTVS[buckets.Bucket],salesforecast[[#This Row],[Bucket]])/1000</calculatedColumnFormula>
    </tableColumn>
    <tableColumn id="43" name="4318 Stock" dataDxfId="542">
      <calculatedColumnFormula>SUMIFS(stock[MT],stock[Plant],4318,stock[Bucket],salesforecast[[#This Row],[Bucket2]])</calculatedColumnFormula>
    </tableColumn>
    <tableColumn id="37" name="4731 Stock CTL" dataDxfId="541">
      <calculatedColumnFormula>SUMIFS(stock[MT],stock[Plant],4731,stock[Bucket],salesforecast[[#This Row],[Bucket2]],stock[LL or CTL],"CTL")</calculatedColumnFormula>
    </tableColumn>
    <tableColumn id="45" name="4731 StockLL" dataDxfId="540">
      <calculatedColumnFormula>SUMIFS(stock[MT],stock[Plant],4731,stock[Bucket],salesforecast[[#This Row],[Bucket2]])</calculatedColumnFormula>
    </tableColumn>
    <tableColumn id="44" name="8406 Stock" dataDxfId="539">
      <calculatedColumnFormula>SUMIFS(stock[MT],stock[Plant],8406,stock[Bucket],salesforecast[[#This Row],[Bucket2]])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buckets" displayName="buckets" ref="U2:AF1540" headerRowCount="1" totalsRowShown="0">
  <autoFilter ref="U2:AF1540"/>
  <tableColumns count="12">
    <tableColumn id="1" name="Material Codes" dataDxfId="538"/>
    <tableColumn id="2" name="OD"/>
    <tableColumn id="3" name="ID"/>
    <tableColumn id="4" name="Thickness"/>
    <tableColumn id="5" name="Length"/>
    <tableColumn id="6" name="Grade"/>
    <tableColumn id="7" name="FC/PE"/>
    <tableColumn id="8" name="Annealed"/>
    <tableColumn id="9" name="Bucket"/>
    <tableColumn id="10" name="LL or CTL"/>
    <tableColumn id="11" name="CTL Bucket"/>
    <tableColumn id="12" name="kG/nos">
      <calculatedColumnFormula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calculatedColumnFormula>
    </tableColumn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8" displayName="Table8" ref="AJ2:AT6" headerRowCount="1" totalsRowShown="0" headerRowDxfId="537" dataDxfId="536">
  <autoFilter ref="AJ2:AT6"/>
  <tableColumns count="11">
    <tableColumn id="1" name="Material Codes"/>
    <tableColumn id="2" name="OD" dataDxfId="535"/>
    <tableColumn id="3" name="ID" dataDxfId="534"/>
    <tableColumn id="4" name="Thickness" dataDxfId="533"/>
    <tableColumn id="5" name="Length" dataDxfId="532"/>
    <tableColumn id="6" name="Grade" dataDxfId="531"/>
    <tableColumn id="7" name="FC/PE" dataDxfId="530"/>
    <tableColumn id="8" name="Annealed" dataDxfId="529"/>
    <tableColumn id="9" name="Bucket" dataDxfId="528"/>
    <tableColumn id="10" name="LL or CTL">
      <calculatedColumnFormula array="1">_xlfn.IFS(buckets[[#This Row],[Length]]=0,"LL",buckets[[#This Row],[Length]]&lt;=3,"CTL",buckets[[#This Row],[Length]]&gt;3,"LL")</calculatedColumnFormula>
    </tableColumn>
    <tableColumn id="11" name="CTL Bucket" dataDxfId="527">
      <calculatedColumnFormula>_xlfn.CONCAT(buckets[[#This Row],[Bucket]],"-",buckets[[#This Row],[Length]])</calculatedColumnFormula>
    </tableColumn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wip" displayName="wip" ref="A1:N415" tableType="queryTable" headerRowCount="1" totalsRowShown="0">
  <autoFilter ref="A1:N415">
    <filterColumn colId="7" hiddenButton="0" showButton="1">
      <filters>
        <filter val="000000000111001994"/>
      </filters>
    </filterColumn>
  </autoFilter>
  <tableColumns count="14">
    <tableColumn id="1" uniqueName="1" name="Status Desc" queryTableFieldId="1"/>
    <tableColumn id="13" uniqueName="13" name="Stock(Net Wt)" queryTableFieldId="13"/>
    <tableColumn id="2" uniqueName="2" name="Customer Name" queryTableFieldId="2"/>
    <tableColumn id="3" uniqueName="3" name="Order Thickness" queryTableFieldId="3"/>
    <tableColumn id="4" uniqueName="4" name="Order Odia" queryTableFieldId="4"/>
    <tableColumn id="5" uniqueName="5" name="Order Idia" queryTableFieldId="5"/>
    <tableColumn id="6" uniqueName="6" name="Order Length" queryTableFieldId="6"/>
    <tableColumn id="7" uniqueName="7" name="WIP Material No." queryTableFieldId="7"/>
    <tableColumn id="8" uniqueName="8" name="WIP Material Desc" queryTableFieldId="8"/>
    <tableColumn id="9" uniqueName="9" name="FG Material No." queryTableFieldId="9" dataDxfId="526"/>
    <tableColumn id="10" uniqueName="10" name="FG Material Desc." queryTableFieldId="10"/>
    <tableColumn id="11" uniqueName="11" name="OEM" queryTableFieldId="11" dataDxfId="525"/>
    <tableColumn id="12" uniqueName="12" name="Bucket" queryTableFieldId="12" dataDxfId="524"/>
    <tableColumn id="14" uniqueName="14" name="CTL Bucket" queryTableFieldId="15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id="20" name="Table23" displayName="Table23" ref="A83:H130" headerRowCount="1" totalsRowShown="0" headerRowDxfId="523" dataDxfId="521" headerRowBorderDxfId="522" tableBorderDxfId="520" totalsRowBorderDxfId="519">
  <autoFilter ref="A83:H130"/>
  <sortState ref="A84:G130">
    <sortCondition ref="A83:A130"/>
  </sortState>
  <tableColumns count="8">
    <tableColumn id="1" name="Plant" dataDxfId="518"/>
    <tableColumn id="2" name="Customer" dataDxfId="517"/>
    <tableColumn id="3" name="CTL Size" dataDxfId="516"/>
    <tableColumn id="4" name="Bucket2" dataDxfId="515"/>
    <tableColumn id="5" name="Schedule" dataDxfId="514"/>
    <tableColumn id="6" name="Sales" dataDxfId="513"/>
    <tableColumn id="7" name="Scehdule - Sales" dataDxfId="512"/>
    <tableColumn id="8" name="Remarks" dataDxfId="511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able33" displayName="Table33" ref="A161:G196" headerRowCount="1" totalsRowShown="0" headerRowDxfId="510">
  <autoFilter ref="A161:G196"/>
  <tableColumns count="7">
    <tableColumn id="1" name="Customer" dataDxfId="509"/>
    <tableColumn id="2" name="CTL Size" dataDxfId="508"/>
    <tableColumn id="3" name="Bucket2"/>
    <tableColumn id="4" name="Balance schedule TSL"/>
    <tableColumn id="5" name="Stock TSL"/>
    <tableColumn id="6" name="GAP TSL"/>
    <tableColumn id="7" name="Remark" dataDxfId="507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able34" displayName="Table34" ref="A210:O215" headerRowCount="1" totalsRowShown="0" headerRowDxfId="506" dataDxfId="505" tableBorderDxfId="504">
  <autoFilter ref="A210:O215"/>
  <tableColumns count="15">
    <tableColumn id="1" name="O D" dataDxfId="503"/>
    <tableColumn id="2" name="Thk." dataDxfId="502"/>
    <tableColumn id="3" name="Length" dataDxfId="501"/>
    <tableColumn id="4" name="Wt/Len" dataDxfId="500"/>
    <tableColumn id="5" name="key" dataDxfId="499"/>
    <tableColumn id="6" name="Grade" dataDxfId="498"/>
    <tableColumn id="7" name="FC/NFC" dataDxfId="497"/>
    <tableColumn id="8" name="HR/CR" dataDxfId="496"/>
    <tableColumn id="9" name="NOS" dataDxfId="495"/>
    <tableColumn id="10" name="Schedule" dataDxfId="494"/>
    <tableColumn id="11" name="Sales" dataDxfId="493"/>
    <tableColumn id="12" name="Stock" dataDxfId="492"/>
    <tableColumn id="13" name="In Transit" dataDxfId="491"/>
    <tableColumn id="14" name="GAP" dataDxfId="490">
      <calculatedColumnFormula>J211-K211-L211</calculatedColumnFormula>
    </tableColumn>
    <tableColumn id="15" name="Remark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salesALL" displayName="salesALL" ref="A1:H3538" tableType="queryTable" headerRowCount="1" totalsRowShown="0">
  <autoFilter ref="A1:H3538"/>
  <tableColumns count="8">
    <tableColumn id="1" uniqueName="1" name="CUSTOMER  CD" queryTableFieldId="1"/>
    <tableColumn id="2" uniqueName="2" name="CUSTOMER  NAME" queryTableFieldId="2"/>
    <tableColumn id="3" uniqueName="3" name="SALES  UNIT" queryTableFieldId="3"/>
    <tableColumn id="4" uniqueName="4" name="qty in no" queryTableFieldId="4"/>
    <tableColumn id="5" uniqueName="5" name="Domain for z_qty_meter" queryTableFieldId="5"/>
    <tableColumn id="6" uniqueName="6" name="Quantity" queryTableFieldId="6"/>
    <tableColumn id="7" uniqueName="7" name="MATERAIL NUMBER" queryTableFieldId="7"/>
    <tableColumn id="8" uniqueName="8" name="Material   Description" queryTableFieldId="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id="24" name="chamfering" displayName="chamfering" ref="A1:R31" headerRowCount="1" totalsRowCount="1" headerRowBorderDxfId="489" tableBorderDxfId="488" totalsRowBorderDxfId="487">
  <autoFilter ref="A1:R30"/>
  <tableColumns count="18">
    <tableColumn id="1" name="Grade" dataDxfId="486" totalsRowDxfId="485"/>
    <tableColumn id="2" name="ACTUAL OD" dataDxfId="484" totalsRowDxfId="483"/>
    <tableColumn id="3" name="OD" dataDxfId="482" totalsRowDxfId="481"/>
    <tableColumn id="4" name="ID" dataDxfId="480" totalsRowDxfId="479"/>
    <tableColumn id="5" name="TICKNESS" dataDxfId="478" totalsRowDxfId="477"/>
    <tableColumn id="6" name="LENGTH" dataDxfId="476" totalsRowDxfId="475"/>
    <tableColumn id="7" name="Machine" dataDxfId="474" totalsRowDxfId="473"/>
    <tableColumn id="15" name="CTL Bucket" dataDxfId="472" totalsRowDxfId="471"/>
    <tableColumn id="16" name="Material codes" dataDxfId="470" totalsRowDxfId="469"/>
    <tableColumn id="8" name="UoM" dataDxfId="468" totalsRowDxfId="467"/>
    <tableColumn id="9" name="SCHEDULE" totalsRowFunction="custom" dataDxfId="466" totalsRowDxfId="465">
      <totalsRowFormula>SUBTOTAL(9,K2:K30)</totalsRowFormula>
    </tableColumn>
    <tableColumn id="10" name="DISPATCH" totalsRowFunction="custom" dataDxfId="464" totalsRowDxfId="463">
      <calculatedColumnFormula>SUMIFS(salesALL[qty in no],salesALL[MATERAIL NUMBER],chamfering[[#This Row],[Material codes]])</calculatedColumnFormula>
      <totalsRowFormula>SUBTOTAL(9,L2:L30)</totalsRowFormula>
    </tableColumn>
    <tableColumn id="11" name="BAL IN NOS" totalsRowFunction="custom" dataDxfId="462" totalsRowDxfId="461">
      <calculatedColumnFormula>chamfering[[#This Row],[SCHEDULE]]-chamfering[[#This Row],[DISPATCH]]</calculatedColumnFormula>
      <totalsRowFormula>SUBTOTAL(9,M2:M30)</totalsRowFormula>
    </tableColumn>
    <tableColumn id="12" name="SCHEDULE in MT" totalsRowFunction="custom" dataDxfId="460" totalsRowDxfId="459">
      <calculatedColumnFormula>(3.14*(C2-E2)*E2*F2*7.85)/1000000*K2/1000</calculatedColumnFormula>
      <totalsRowFormula>SUBTOTAL(9,N2:N30)</totalsRowFormula>
    </tableColumn>
    <tableColumn id="13" name="Dispached in MT" totalsRowFunction="custom" dataDxfId="458" totalsRowDxfId="457">
      <calculatedColumnFormula>(3.14*(C2-E2)*E2*F2*7.85)/1000000*L2/1000</calculatedColumnFormula>
      <totalsRowFormula>SUBTOTAL(9,O2:O30)</totalsRowFormula>
    </tableColumn>
    <tableColumn id="14" name="BAL in MT" totalsRowFunction="custom" dataDxfId="456" totalsRowDxfId="455">
      <calculatedColumnFormula>(3.14*(C2-E2)*E2*F2*7.85)/1000000*M2/1000</calculatedColumnFormula>
      <totalsRowFormula>SUBTOTAL(9,P2:P30)</totalsRowFormula>
    </tableColumn>
    <tableColumn id="17" name="Customer" dataDxfId="454" totalsRowDxfId="453"/>
    <tableColumn id="18" name="Minimum Quantity Required" dataDxfId="452" totalsRowDxfId="451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anglecut" displayName="anglecut" ref="A35:K49" headerRowCount="1" totalsRowShown="0" headerRowBorderDxfId="450" tableBorderDxfId="449" totalsRowBorderDxfId="448">
  <autoFilter ref="A35:K49"/>
  <tableColumns count="11">
    <tableColumn id="1" name="ACTUAL OD" dataDxfId="447"/>
    <tableColumn id="2" name="OD" dataDxfId="446"/>
    <tableColumn id="3" name="ID" dataDxfId="445"/>
    <tableColumn id="4" name="TICKNESS" dataDxfId="444"/>
    <tableColumn id="5" name="LENGTH" dataDxfId="443"/>
    <tableColumn id="6" name="UoM" dataDxfId="442"/>
    <tableColumn id="7" name="CTL Buckets" dataDxfId="441"/>
    <tableColumn id="11" name="Material Codes" dataDxfId="440"/>
    <tableColumn id="8" name="SCHEDULE" dataDxfId="439"/>
    <tableColumn id="9" name="DISPATCH" dataDxfId="438">
      <calculatedColumnFormula array="1">SUM(_xlfn.MAP(_xlfn.TEXTSPLIT(anglecut[[#This Row],[Material Codes]],"|"),_xlfn.LAMBDA(_xlpm.a,SUMIFS(salesALL[qty in no],salesALL[MATERAIL NUMBER],_xlpm.a))))</calculatedColumnFormula>
    </tableColumn>
    <tableColumn id="10" name="BAL IN NOS" dataDxfId="437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able25" displayName="Table25" ref="A1:AG68" headerRowCount="1" totalsRowShown="0" dataDxfId="435" headerRowBorderDxfId="436" tableBorderDxfId="434">
  <autoFilter ref="A1:AG68"/>
  <tableColumns count="33">
    <tableColumn id="1" name="OEM" dataDxfId="433"/>
    <tableColumn id="2" name="Customer" dataDxfId="432"/>
    <tableColumn id="3" name="Metallurgy condition"/>
    <tableColumn id="4" name="Material Type" dataDxfId="431"/>
    <tableColumn id="5" name="GRADE" dataDxfId="430"/>
    <tableColumn id="6" name="OD" dataDxfId="429"/>
    <tableColumn id="7" name="ID" dataDxfId="428"/>
    <tableColumn id="8" name="THK" dataDxfId="427"/>
    <tableColumn id="9" name="LENGTH" dataDxfId="426"/>
    <tableColumn id="10" name="Length in Mtrs" dataDxfId="425"/>
    <tableColumn id="11" name=" " dataDxfId="424">
      <calculatedColumnFormula>_xlfn.CONCAT(F2,H2,J2,E2,D2)</calculatedColumnFormula>
    </tableColumn>
    <tableColumn id="12" name="Bucket" dataDxfId="423">
      <calculatedColumnFormula>VLOOKUP(K2,'VSM May Indent'!$K$1:$O$61,4,0)</calculatedColumnFormula>
    </tableColumn>
    <tableColumn id="13" name="Bucket CTL" dataDxfId="422">
      <calculatedColumnFormula>VLOOKUP(K2,'VSM May Indent'!$K$1:$O$61,5,0)</calculatedColumnFormula>
    </tableColumn>
    <tableColumn id="14" name="plant" dataDxfId="421"/>
    <tableColumn id="15" name="TSL Material Code" dataDxfId="420"/>
    <tableColumn id="16" name="SCH jun- 25" dataDxfId="419"/>
    <tableColumn id="17" name="BALANCE TO BE SUPPLY" dataDxfId="418"/>
    <tableColumn id="18" name="Stock     22-05-25" dataDxfId="417"/>
    <tableColumn id="19" name="intransist " dataDxfId="416"/>
    <tableColumn id="20" name="OPENIG STOCK FOR jun-2025" dataDxfId="415">
      <calculatedColumnFormula>R2-Q2</calculatedColumnFormula>
    </tableColumn>
    <tableColumn id="21" name="order logg " dataDxfId="414"/>
    <tableColumn id="22" name="Opening stock including order logger" dataDxfId="413">
      <calculatedColumnFormula>U2+T2+S2</calculatedColumnFormula>
    </tableColumn>
    <tableColumn id="23" name="    INDENT  FOR jun-25 as per VSM" dataDxfId="412">
      <calculatedColumnFormula>P2*1.1-V2</calculatedColumnFormula>
    </tableColumn>
    <tableColumn id="24" name=" INDENT  FOR jun-25 recommended" dataDxfId="411">
      <calculatedColumnFormula>IF(W2&gt;0,W2,0)</calculatedColumnFormula>
    </tableColumn>
    <tableColumn id="25" name="Total Order Log" dataDxfId="410">
      <calculatedColumnFormula>X2+U2</calculatedColumnFormula>
    </tableColumn>
    <tableColumn id="26" name="Before 20th" dataDxfId="409">
      <calculatedColumnFormula>SUMIFS(meghsteelsales_previousmonth[Quantity],meghsteelsales_previousmonth[Length Bucket],M2)/1000</calculatedColumnFormula>
    </tableColumn>
    <tableColumn id="27" name="ofter 20th" dataDxfId="408">
      <calculatedColumnFormula>SUMIFS(meghsteelsales_currentmonth[Quantity],meghsteelsales_currentmonth[Length Bucket],M2)/1000</calculatedColumnFormula>
    </tableColumn>
    <tableColumn id="28" name="Gap" dataDxfId="407">
      <calculatedColumnFormula>IF((X2-Z2-AA2)&lt;0,0,(X2-Z2-AA2))</calculatedColumnFormula>
    </tableColumn>
    <tableColumn id="29" name="Pending Orders" dataDxfId="406">
      <calculatedColumnFormula>Y2-Z2-AA2</calculatedColumnFormula>
    </tableColumn>
    <tableColumn id="30" name="Order logged" dataDxfId="405"/>
    <tableColumn id="31" name="SO Number" dataDxfId="404"/>
    <tableColumn id="32" name="Column1" dataDxfId="403"/>
    <tableColumn id="33" name="Column2" dataDxfId="40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able2527" displayName="Table2527" ref="A2:AH68" headerRowCount="1" totalsRowShown="0" dataDxfId="400" headerRowBorderDxfId="401" tableBorderDxfId="399">
  <autoFilter ref="A2:AH68"/>
  <tableColumns count="34">
    <tableColumn id="1" name="OEM" dataDxfId="398"/>
    <tableColumn id="2" name="Customer" dataDxfId="397"/>
    <tableColumn id="3" name="Metallurgy condition"/>
    <tableColumn id="4" name="Material Type" dataDxfId="396"/>
    <tableColumn id="5" name="GRADE" dataDxfId="395"/>
    <tableColumn id="6" name="OD" dataDxfId="394"/>
    <tableColumn id="7" name="ID" dataDxfId="393"/>
    <tableColumn id="8" name="THK" dataDxfId="392"/>
    <tableColumn id="9" name="LENGTH" dataDxfId="391"/>
    <tableColumn id="10" name="Length in Mtrs" dataDxfId="390"/>
    <tableColumn id="11" name=" " dataDxfId="389">
      <calculatedColumnFormula>_xlfn.CONCAT(F3,H3,J3,E3,D3)</calculatedColumnFormula>
    </tableColumn>
    <tableColumn id="12" name="Bucket" dataDxfId="388">
      <calculatedColumnFormula>VLOOKUP(K3,'VSM May Indent'!$K$1:$O$61,4,0)</calculatedColumnFormula>
    </tableColumn>
    <tableColumn id="13" name="Bucket CTL" dataDxfId="387">
      <calculatedColumnFormula>VLOOKUP(K3,'VSM May Indent'!$K$1:$O$61,5,0)</calculatedColumnFormula>
    </tableColumn>
    <tableColumn id="14" name="plant" dataDxfId="386"/>
    <tableColumn id="15" name="TSL Material Code" dataDxfId="385"/>
    <tableColumn id="16" name="SCH jun- 25" dataDxfId="384"/>
    <tableColumn id="17" name="BALANCE TO BE SUPPLY" dataDxfId="383">
      <calculatedColumnFormula>Table2527[[#This Row],[SCH jun- 25]]</calculatedColumnFormula>
    </tableColumn>
    <tableColumn id="18" name="Stock     12-06-25" dataDxfId="382"/>
    <tableColumn id="19" name="intransist " dataDxfId="381"/>
    <tableColumn id="20" name="OPENIG STOCK FOR jun-2025" dataDxfId="380">
      <calculatedColumnFormula>_xlfn.LET(_xlpm.c,Q3-Table2527[[#This Row],[Stock     12-06-25]]-Table2527[[#This Row],[intransist ]],IF(_xlpm.c&gt;0,0,-_xlpm.c))</calculatedColumnFormula>
    </tableColumn>
    <tableColumn id="21" name="order logg " dataDxfId="379"/>
    <tableColumn id="22" name="Opening stock including order logger" dataDxfId="378">
      <calculatedColumnFormula>U3+T3+S3</calculatedColumnFormula>
    </tableColumn>
    <tableColumn id="23" name="    INDENT  FOR jun-25 as per VSM" dataDxfId="377">
      <calculatedColumnFormula>_xlfn.LET(_xlpm.c,P3*1.5-V3,IF(_xlpm.c&lt;0,0,_xlpm.c))</calculatedColumnFormula>
    </tableColumn>
    <tableColumn id="24" name=" INDENT  FOR jun-25 recommended" dataDxfId="376">
      <calculatedColumnFormula>Table2527[[#This Row],[    INDENT  FOR jun-25 as per VSM]]</calculatedColumnFormula>
    </tableColumn>
    <tableColumn id="25" name="Total Order Log" dataDxfId="375">
      <calculatedColumnFormula>X3+U3</calculatedColumnFormula>
    </tableColumn>
    <tableColumn id="26" name="Before 20th" dataDxfId="374">
      <calculatedColumnFormula>SUMIFS(meghsteelsales_previousmonth[Quantity],meghsteelsales_previousmonth[Length Bucket],M3)/1000</calculatedColumnFormula>
    </tableColumn>
    <tableColumn id="27" name="ofter 20th" dataDxfId="373">
      <calculatedColumnFormula>SUMIFS(meghsteelsales_currentmonth[Quantity],meghsteelsales_currentmonth[Length Bucket],M3)/1000</calculatedColumnFormula>
    </tableColumn>
    <tableColumn id="28" name="Gap" dataDxfId="372">
      <calculatedColumnFormula>IF((X3-Z3-AA3)&lt;0,0,(X3-Z3-AA3))</calculatedColumnFormula>
    </tableColumn>
    <tableColumn id="29" name="Excess Order Logged" dataDxfId="371"/>
    <tableColumn id="30" name="Order logged" dataDxfId="370"/>
    <tableColumn id="31" name="SO Number" dataDxfId="369"/>
    <tableColumn id="32" name="Column1" dataDxfId="368"/>
    <tableColumn id="33" name="Column2" dataDxfId="367"/>
    <tableColumn id="34" name="Remark" dataDxfId="36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aug" displayName="aug" ref="A1:AJ68" headerRowCount="1" totalsRowShown="0" headerRowDxfId="365" dataDxfId="363" headerRowBorderDxfId="364" tableBorderDxfId="362">
  <autoFilter ref="A1:AJ68"/>
  <tableColumns count="36">
    <tableColumn id="1" name="OEM" dataDxfId="361"/>
    <tableColumn id="2" name="Customer" dataDxfId="360"/>
    <tableColumn id="3" name="Metallurgy condition" dataDxfId="359"/>
    <tableColumn id="4" name="Material Type" dataDxfId="358"/>
    <tableColumn id="5" name="GRADE" dataDxfId="357"/>
    <tableColumn id="6" name="OD" dataDxfId="356"/>
    <tableColumn id="7" name="ID" dataDxfId="355"/>
    <tableColumn id="8" name="THK" dataDxfId="354"/>
    <tableColumn id="9" name="LENGTH" dataDxfId="353"/>
    <tableColumn id="10" name="Length in Mtrs" dataDxfId="352"/>
    <tableColumn id="11" name="count of " dataDxfId="351">
      <calculatedColumnFormula>COUNTIF(_xlfn.ANCHORARRAY(A$74),M2)</calculatedColumnFormula>
    </tableColumn>
    <tableColumn id="27" name="Column1" dataDxfId="350"/>
    <tableColumn id="12" name="Key" dataDxfId="349">
      <calculatedColumnFormula>_xlfn.CONCAT(F2,H2,J2,E2,D2)</calculatedColumnFormula>
    </tableColumn>
    <tableColumn id="29" name="Bucket" dataDxfId="348">
      <calculatedColumnFormula>VLOOKUP(aug[[#This Row],[Key]],Table2527[[#All],[ ]:[Bucket CTL]],2,0)</calculatedColumnFormula>
    </tableColumn>
    <tableColumn id="28" name="Bucket CTL" dataDxfId="347">
      <calculatedColumnFormula>VLOOKUP(aug[[#This Row],[Key]],Table2527[[#All],[ ]:[Bucket CTL]],3,0)</calculatedColumnFormula>
    </tableColumn>
    <tableColumn id="35" name="Value added" dataDxfId="346"/>
    <tableColumn id="25" name="plant july" dataDxfId="345">
      <calculatedColumnFormula>VLOOKUP(aug[[#This Row],[Key]],Table2527[[#All],[ ]:[TSL Material Code]],4,0)</calculatedColumnFormula>
    </tableColumn>
    <tableColumn id="24" name="Material code july" dataDxfId="344"/>
    <tableColumn id="26" name="Exact" dataDxfId="343"/>
    <tableColumn id="13" name="plant" dataDxfId="342"/>
    <tableColumn id="14" name="TSL Material Code" dataDxfId="341"/>
    <tableColumn id="15" name="SCH AUG- 25" dataDxfId="340"/>
    <tableColumn id="16" name="BALANCE TO BE SUPPLY" dataDxfId="339"/>
    <tableColumn id="17" name="Stock     22-07-25" dataDxfId="338"/>
    <tableColumn id="18" name="intransist " dataDxfId="337"/>
    <tableColumn id="19" name="OPENIG STOCK FOR AUG-2025" dataDxfId="336">
      <calculatedColumnFormula>X2-W2</calculatedColumnFormula>
    </tableColumn>
    <tableColumn id="20" name="order logg " dataDxfId="335"/>
    <tableColumn id="21" name="Opening stock including order logger" dataDxfId="334">
      <calculatedColumnFormula>Z2+AA2</calculatedColumnFormula>
    </tableColumn>
    <tableColumn id="22" name="    INDENT  FOR AUG-25 as per VSM" dataDxfId="333">
      <calculatedColumnFormula>V2-AB2</calculatedColumnFormula>
    </tableColumn>
    <tableColumn id="23" name=" INDENT  FOR AUG-25 recommended" dataDxfId="332">
      <calculatedColumnFormula>IF(AC2&gt;0,AC2,0)</calculatedColumnFormula>
    </tableColumn>
    <tableColumn id="30" name="Before 20th" dataDxfId="331">
      <calculatedColumnFormula>SUMIFS(meghsteelsales_previousmonth[Quantity],meghsteelsales_previousmonth[Length Bucket],aug[[#This Row],[Bucket CTL]])/1000</calculatedColumnFormula>
    </tableColumn>
    <tableColumn id="31" name="ofter 20th" dataDxfId="330">
      <calculatedColumnFormula>SUMIFS(meghsteelsales_currentmonth[Quantity],meghsteelsales_currentmonth[Length Bucket],aug[[#This Row],[Bucket CTL]])/1000</calculatedColumnFormula>
    </tableColumn>
    <tableColumn id="32" name="Total Indent" dataDxfId="329">
      <calculatedColumnFormula>aug[[#This Row],[order logg ]]+aug[[#This Row],[ INDENT  FOR AUG-25 recommended]]</calculatedColumnFormula>
    </tableColumn>
    <tableColumn id="33" name="Total Delivered" dataDxfId="328">
      <calculatedColumnFormula>aug[[#This Row],[Before 20th]]+aug[[#This Row],[ofter 20th]]</calculatedColumnFormula>
    </tableColumn>
    <tableColumn id="34" name="GAP" dataDxfId="327">
      <calculatedColumnFormula>IF((aug[[#This Row],[Total Indent]]-aug[[#This Row],[Total Delivered]])&lt;0,0,aug[[#This Row],[Total Indent]]-aug[[#This Row],[Total Delivered]])</calculatedColumnFormula>
    </tableColumn>
    <tableColumn id="36" name="Todays Stock" dataDxfId="326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able5" displayName="Table5" ref="A1:AD69" headerRowCount="1" totalsRowShown="0" headerRowBorderDxfId="325" tableBorderDxfId="324" totalsRowBorderDxfId="323">
  <autoFilter ref="A1:AD69">
    <filterColumn colId="8" hiddenButton="0" showButton="1">
      <filters>
        <filter val="1.40"/>
      </filters>
    </filterColumn>
  </autoFilter>
  <tableColumns count="30">
    <tableColumn id="1" name="OEM" dataDxfId="322"/>
    <tableColumn id="2" name="Customer Code" dataDxfId="321"/>
    <tableColumn id="3" name="Customer" dataDxfId="320"/>
    <tableColumn id="4" name="Metallurgy condition" dataDxfId="319"/>
    <tableColumn id="5" name="Material Type" dataDxfId="318"/>
    <tableColumn id="6" name="GRADE" dataDxfId="317"/>
    <tableColumn id="7" name="OD" dataDxfId="316"/>
    <tableColumn id="8" name="ID" dataDxfId="315"/>
    <tableColumn id="9" name="THK" dataDxfId="314"/>
    <tableColumn id="10" name="LENGTH" dataDxfId="313"/>
    <tableColumn id="11" name="Length in Mtrs" dataDxfId="312"/>
    <tableColumn id="12" name="Key" dataDxfId="311">
      <calculatedColumnFormula>_xlfn.CONCAT(G2,I2,K2,F2,E2)</calculatedColumnFormula>
    </tableColumn>
    <tableColumn id="27" name="Bucket" dataDxfId="310">
      <calculatedColumnFormula>VLOOKUP(Table5[[#This Row],[Key]],aug[[#All],[Key]:[Bucket CTL]],2,0)</calculatedColumnFormula>
    </tableColumn>
    <tableColumn id="26" name="Bucket CTL" dataDxfId="309">
      <calculatedColumnFormula>VLOOKUP(Table5[[#This Row],[Key]],aug[[#All],[Key]:[Bucket CTL]],3,0)</calculatedColumnFormula>
    </tableColumn>
    <tableColumn id="13" name="plant" dataDxfId="308">
      <calculatedColumnFormula>VLOOKUP(L2,aug[[#All],[Key]:[TSL Material Code]],7,0)</calculatedColumnFormula>
    </tableColumn>
    <tableColumn id="14" name="TSL Material Code" dataDxfId="307">
      <calculatedColumnFormula>VLOOKUP(L2,aug[[#All],[Key]:[TSL Material Code]],8,0)</calculatedColumnFormula>
    </tableColumn>
    <tableColumn id="15" name="SCH SEP- 25" dataDxfId="306"/>
    <tableColumn id="16" name="BALANCE TO BE SUPPLY" dataDxfId="305"/>
    <tableColumn id="17" name="Stock     18-08-25" dataDxfId="304"/>
    <tableColumn id="18" name="intransist " dataDxfId="303"/>
    <tableColumn id="19" name="OPENIG STOCK FOR SEP-2025" dataDxfId="302">
      <calculatedColumnFormula>S2-R2</calculatedColumnFormula>
    </tableColumn>
    <tableColumn id="20" name="order logg " dataDxfId="301"/>
    <tableColumn id="21" name="Opening stock including order logger" dataDxfId="300">
      <calculatedColumnFormula>U2+V2</calculatedColumnFormula>
    </tableColumn>
    <tableColumn id="22" name="    INDENT  FOR SEP-25 as per VSM" dataDxfId="299">
      <calculatedColumnFormula>Q2-W2</calculatedColumnFormula>
    </tableColumn>
    <tableColumn id="23" name=" INDENT  FOR SEP-25 recommended" dataDxfId="298">
      <calculatedColumnFormula>IF(X2&gt;0,X2,0)*150%</calculatedColumnFormula>
    </tableColumn>
    <tableColumn id="24" name="Before 20th" dataDxfId="297">
      <calculatedColumnFormula>SUMIFS(meghsteelsales_previousmonth[Quantity],meghsteelsales_previousmonth[Length Bucket],Table5[[#This Row],[Bucket CTL]])/1000</calculatedColumnFormula>
    </tableColumn>
    <tableColumn id="25" name="after 20th" dataDxfId="296">
      <calculatedColumnFormula>SUMIFS(meghsteelsales_currentmonth[Quantity],meghsteelsales_currentmonth[Length Bucket],Table5[[#This Row],[Bucket CTL]])/1000</calculatedColumnFormula>
    </tableColumn>
    <tableColumn id="28" name="Total Indent">
      <calculatedColumnFormula>Table5[[#This Row],[ INDENT  FOR SEP-25 recommended]]+Table5[[#This Row],[order logg ]]</calculatedColumnFormula>
    </tableColumn>
    <tableColumn id="29" name="Total Dispatched" dataDxfId="295">
      <calculatedColumnFormula>Table5[[#This Row],[Before 20th]]+Table5[[#This Row],[after 20th]]</calculatedColumnFormula>
    </tableColumn>
    <tableColumn id="30" name="GAP" dataDxfId="294">
      <calculatedColumnFormula>IF((Table5[[#This Row],[Total Indent]]-Table5[[#This Row],[Total Dispatched]])&lt;0,0,Table5[[#This Row],[Total Indent]]-Table5[[#This Row],[Total Dispatched]])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able22" displayName="Table22" ref="A73:P111" headerRowCount="1" headerRowDxfId="293" headerRowBorderDxfId="292" tableBorderDxfId="291" totalsRowBorderDxfId="290">
  <autoFilter ref="A73:P111"/>
  <tableColumns count="16">
    <tableColumn id="1" name="plant" totalsRowLabel="789" dataDxfId="289" totalsRowDxfId="288"/>
    <tableColumn id="2" name="OEM" totalsRowLabel="TVS" dataDxfId="287" totalsRowDxfId="286"/>
    <tableColumn id="3" name="Customer Code" totalsRowLabel="943209" dataDxfId="285" totalsRowDxfId="284"/>
    <tableColumn id="4" name="OD" totalsRowLabel="40x25" dataDxfId="283" totalsRowDxfId="282"/>
    <tableColumn id="5" name="ID" totalsRowLabel="0" dataDxfId="281" totalsRowDxfId="280"/>
    <tableColumn id="6" name="THK" totalsRowLabel="1.6" dataDxfId="279" totalsRowDxfId="278"/>
    <tableColumn id="7" name="LENGTH" totalsRowLabel="6130" dataDxfId="277" totalsRowDxfId="276"/>
    <tableColumn id="8" name="Length in Mtrs" totalsRowLabel="6.13" dataDxfId="275" totalsRowDxfId="274"/>
    <tableColumn id="9" name="TSL Material Code" totalsRowLabel="3919144" dataDxfId="273" totalsRowDxfId="272"/>
    <tableColumn id="10" name=" INDENT  FOR SEP-25 recommended" totalsRowLabel="10" dataDxfId="271" totalsRowDxfId="270"/>
    <tableColumn id="11" name="Metallurgy condition" totalsRowLabel="ERW1" dataDxfId="269" totalsRowDxfId="268"/>
    <tableColumn id="12" name="Material Type" totalsRowLabel="FIN CUT" dataDxfId="267" totalsRowDxfId="266"/>
    <tableColumn id="13" name="Material Description3" totalsRowLabel="TUB-R-AW-AUT-40.00X25.00X1.600X6.1300" dataDxfId="265" totalsRowDxfId="264"/>
    <tableColumn id="14" name="Material Description32" totalsRowLabel="9519030964" dataDxfId="263" totalsRowDxfId="262"/>
    <tableColumn id="15" name="SO" totalsRowLabel="ORDER LOAD RELEASED" dataDxfId="261" totalsRowDxfId="260"/>
    <tableColumn id="16" name="STATUS" dataDxfId="259" totalsRowDxfId="258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able129" displayName="Table129" ref="A117:J129" headerRowCount="1" totalsRowCount="1" headerRowDxfId="257" headerRowBorderDxfId="256" tableBorderDxfId="255" totalsRowBorderDxfId="254">
  <autoFilter ref="A117:J128"/>
  <tableColumns count="10">
    <tableColumn id="1" name="OD" dataDxfId="253" totalsRowDxfId="252"/>
    <tableColumn id="2" name="ID" dataDxfId="251" totalsRowDxfId="250"/>
    <tableColumn id="3" name="Thickness" dataDxfId="249" totalsRowDxfId="248"/>
    <tableColumn id="4" name="Length" dataDxfId="247" totalsRowDxfId="246"/>
    <tableColumn id="5" name="Grade" dataDxfId="245" totalsRowDxfId="244"/>
    <tableColumn id="6" name="Material Code" dataDxfId="243" totalsRowDxfId="242"/>
    <tableColumn id="7" name="Description" dataDxfId="241" totalsRowDxfId="240">
      <calculatedColumnFormula>VLOOKUP(F118,[1]!zmat[#All],2,0)</calculatedColumnFormula>
    </tableColumn>
    <tableColumn id="8" name="Customer" dataDxfId="239" totalsRowDxfId="238"/>
    <tableColumn id="9" name="Source" dataDxfId="237" totalsRowDxfId="236"/>
    <tableColumn id="10" name="Quantity" totalsRowFunction="sum" dataDxfId="235" totalsRowDxfId="234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able18" displayName="Table18" ref="A1:G125" headerRowCount="1" totalsRowShown="0" headerRowDxfId="233">
  <autoFilter ref="A1:G125"/>
  <tableColumns count="7">
    <tableColumn id="1" name="CUSTOMER  CD"/>
    <tableColumn id="2" name="CUSTOMER  NAME"/>
    <tableColumn id="3" name="MATERAIL NUMBER"/>
    <tableColumn id="4" name="Material   Description"/>
    <tableColumn id="5" name="Length for TATA Tubes Material"/>
    <tableColumn id="6" name="Bucket"/>
    <tableColumn id="7" name="Length Bucket">
      <calculatedColumnFormula>_xlfn.CONCAT(F2,"-",E2)</calculatedColumnFormula>
    </tableColumn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meghsteelsales_currentmonth" displayName="meghsteelsales_currentmonth" ref="A1:O569" tableType="queryTable" headerRowCount="1" totalsRowShown="0">
  <autoFilter ref="A1:O569"/>
  <tableColumns count="15">
    <tableColumn id="1" uniqueName="1" name="CUSTOMER  CD" queryTableFieldId="1"/>
    <tableColumn id="2" uniqueName="2" name="CUSTOMER  NAME" queryTableFieldId="2"/>
    <tableColumn id="3" uniqueName="3" name="SALES  UNIT" queryTableFieldId="3"/>
    <tableColumn id="4" uniqueName="4" name="qty in no" queryTableFieldId="4"/>
    <tableColumn id="5" uniqueName="5" name="Domain for z_qty_meter" queryTableFieldId="5"/>
    <tableColumn id="6" uniqueName="6" name="MATERAIL NUMBER" queryTableFieldId="6"/>
    <tableColumn id="17" uniqueName="17" name="DESP P LANT" queryTableFieldId="21"/>
    <tableColumn id="8" uniqueName="8" name="Material   Description" queryTableFieldId="8"/>
    <tableColumn id="7" uniqueName="7" name="Quantity" queryTableFieldId="7"/>
    <tableColumn id="13" uniqueName="13" name="Outer Diameter of Material" queryTableFieldId="13"/>
    <tableColumn id="14" uniqueName="14" name="Inner Diameter of Material" queryTableFieldId="14"/>
    <tableColumn id="15" uniqueName="15" name="Thickness for TATA Tubes Material" queryTableFieldId="15"/>
    <tableColumn id="9" uniqueName="9" name="Length for TATA Tubes Material" queryTableFieldId="9"/>
    <tableColumn id="10" uniqueName="10" name="OEM_Key.OEM" queryTableFieldId="10"/>
    <tableColumn id="16" uniqueName="16" name="Length Bucket" queryTableFieldId="20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id="34" name="meghsteelsales_previousmonth" displayName="meghsteelsales_previousmonth" ref="A1:P561" tableType="queryTable" headerRowCount="1" totalsRowShown="0">
  <autoFilter ref="A1:P561"/>
  <tableColumns count="16">
    <tableColumn id="14" uniqueName="14" name="BILLING  DATE" queryTableFieldId="14" dataDxfId="232"/>
    <tableColumn id="1" uniqueName="1" name="CUSTOMER  CD" queryTableFieldId="1" dataDxfId="231"/>
    <tableColumn id="2" uniqueName="2" name="CUSTOMER  NAME" queryTableFieldId="2" dataDxfId="230"/>
    <tableColumn id="3" uniqueName="3" name="SALES  UNIT" queryTableFieldId="3" dataDxfId="229"/>
    <tableColumn id="4" uniqueName="4" name="qty in no" queryTableFieldId="4" dataDxfId="228"/>
    <tableColumn id="5" uniqueName="5" name="Domain for z_qty_meter" queryTableFieldId="5" dataDxfId="227"/>
    <tableColumn id="6" uniqueName="6" name="Quantity" queryTableFieldId="6" dataDxfId="226"/>
    <tableColumn id="7" uniqueName="7" name="DESP P LANT" queryTableFieldId="7" dataDxfId="225"/>
    <tableColumn id="8" uniqueName="8" name="MATERAIL NUMBER" queryTableFieldId="8" dataDxfId="224"/>
    <tableColumn id="9" uniqueName="9" name="Material   Description" queryTableFieldId="9" dataDxfId="223"/>
    <tableColumn id="10" uniqueName="10" name="Outer Diameter of Material" queryTableFieldId="10" dataDxfId="222"/>
    <tableColumn id="11" uniqueName="11" name="Inner Diameter of Material" queryTableFieldId="11" dataDxfId="221"/>
    <tableColumn id="12" uniqueName="12" name="Thickness for TATA Tubes Material" queryTableFieldId="12" dataDxfId="220"/>
    <tableColumn id="13" uniqueName="13" name="Length for TATA Tubes Material" queryTableFieldId="13" dataDxfId="219"/>
    <tableColumn id="15" uniqueName="15" name="OEM" queryTableFieldId="15" dataDxfId="218"/>
    <tableColumn id="16" uniqueName="16" name="Length Bucket" queryTableFieldId="17" dataDxfId="217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id="35" name="Table29" displayName="Table29" ref="A1:AF68" headerRowCount="1" totalsRowShown="0" headerRowDxfId="216" dataDxfId="214" headerRowBorderDxfId="215" tableBorderDxfId="213">
  <autoFilter ref="A1:AF68"/>
  <tableColumns count="32">
    <tableColumn id="27" name="OEM" dataDxfId="212"/>
    <tableColumn id="28" name="Customer Code" dataDxfId="211"/>
    <tableColumn id="1" name="Customer" dataDxfId="210"/>
    <tableColumn id="2" name="Metallurgy condition" dataDxfId="209"/>
    <tableColumn id="3" name="Material Type" dataDxfId="208"/>
    <tableColumn id="4" name="GRADE" dataDxfId="207"/>
    <tableColumn id="5" name="OD" dataDxfId="206"/>
    <tableColumn id="6" name="ID" dataDxfId="205"/>
    <tableColumn id="7" name="THK" dataDxfId="204"/>
    <tableColumn id="8" name="LENGTH" dataDxfId="203"/>
    <tableColumn id="9" name="Length in Mtrs" dataDxfId="202"/>
    <tableColumn id="10" name="Key" dataDxfId="201">
      <calculatedColumnFormula>_xlfn.CONCAT(G2,I2,K2,F2,E2)</calculatedColumnFormula>
    </tableColumn>
    <tableColumn id="11" name="plant" dataDxfId="200"/>
    <tableColumn id="12" name="TSL Material Code" dataDxfId="199"/>
    <tableColumn id="13" name="Bucket" dataDxfId="198"/>
    <tableColumn id="14" name="Bucket CTL" dataDxfId="197"/>
    <tableColumn id="15" name="Value added" dataDxfId="196"/>
    <tableColumn id="16" name="plant2" dataDxfId="195"/>
    <tableColumn id="17" name="TSL Material Code3" dataDxfId="194"/>
    <tableColumn id="18" name="SCH SEP- 25" dataDxfId="193"/>
    <tableColumn id="19" name="BALANCE TO BE SUPPLY" dataDxfId="192"/>
    <tableColumn id="20" name="Stock     18-08-25" dataDxfId="191"/>
    <tableColumn id="21" name="intransist " dataDxfId="190"/>
    <tableColumn id="22" name="OPENIG STOCK FOR SEP-2025" dataDxfId="189">
      <calculatedColumnFormula>V2-U2</calculatedColumnFormula>
    </tableColumn>
    <tableColumn id="23" name="order logg " dataDxfId="188"/>
    <tableColumn id="29" name="check from 17092025 orderbook sent by ashish" dataDxfId="187">
      <calculatedColumnFormula>SUMIFS(orderbook[Bal to Desp],orderbook[key],Table29[[#This Row],[Key]])</calculatedColumnFormula>
    </tableColumn>
    <tableColumn id="30" name="GAP of order log and 17092025 orderbook" dataDxfId="186">
      <calculatedColumnFormula>Table29[[#This Row],[order logg ]]-Table29[[#This Row],[check from 17092025 orderbook sent by ashish]]</calculatedColumnFormula>
    </tableColumn>
    <tableColumn id="24" name="Opening stock including order logger" dataDxfId="185">
      <calculatedColumnFormula>X2+Y2</calculatedColumnFormula>
    </tableColumn>
    <tableColumn id="25" name="    INDENT  FOR SEP-25 as per VSM" dataDxfId="184">
      <calculatedColumnFormula>T2-AB2</calculatedColumnFormula>
    </tableColumn>
    <tableColumn id="26" name=" INDENT  FOR Oct-25 recommended" dataDxfId="183">
      <calculatedColumnFormula>IF(AC2&gt;0,AC2,0)*150%</calculatedColumnFormula>
    </tableColumn>
    <tableColumn id="31" name="Before 20th" dataDxfId="182">
      <calculatedColumnFormula>ROUND(SUMIFS(meghsteelsales_previousmonth[Quantity],meghsteelsales_previousmonth[Length Bucket],Table29[[#This Row],[Bucket CTL]])/1000,0)</calculatedColumnFormula>
    </tableColumn>
    <tableColumn id="32" name="ofter 20th" dataDxfId="181">
      <calculatedColumnFormula>ROUND(SUMIFS(meghsteelsales_currentmonth[Quantity],meghsteelsales_currentmonth[Length Bucket],Table29[[#This Row],[Bucket CTL]])/1000,0)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orderbook" displayName="orderbook" ref="A75:Y142" headerRowCount="1" totalsRowShown="0" headerRowDxfId="180" headerRowBorderDxfId="179" tableBorderDxfId="178" totalsRowBorderDxfId="177">
  <autoFilter ref="A75:Y142"/>
  <tableColumns count="25">
    <tableColumn id="1" name="MFGPL" dataDxfId="176"/>
    <tableColumn id="2" name="CUSTNO" dataDxfId="175"/>
    <tableColumn id="3" name="ZONE" dataDxfId="174"/>
    <tableColumn id="4" name="CUSTOMER" dataDxfId="173"/>
    <tableColumn id="5" name="DESTINATION" dataDxfId="172"/>
    <tableColumn id="6" name="SHIPTO" dataDxfId="171"/>
    <tableColumn id="7" name="AGE" dataDxfId="170"/>
    <tableColumn id="8" name="ORDER_NO" dataDxfId="169"/>
    <tableColumn id="9" name="ITEM_NO" dataDxfId="168"/>
    <tableColumn id="25" name="key" dataDxfId="167">
      <calculatedColumnFormula>_xlfn.XLOOKUP(orderbook[[#This Row],[MATL_NO]],Table29[TSL Material Code3],Table29[Key])</calculatedColumnFormula>
    </tableColumn>
    <tableColumn id="10" name="MATL_NO" dataDxfId="166"/>
    <tableColumn id="11" name="DESCRIPTION" dataDxfId="165"/>
    <tableColumn id="12" name="CATG" dataDxfId="164"/>
    <tableColumn id="13" name="CTG" dataDxfId="163"/>
    <tableColumn id="14" name="SPEC" dataDxfId="162"/>
    <tableColumn id="15" name="SFIN" dataDxfId="161"/>
    <tableColumn id="16" name="OD" dataDxfId="160"/>
    <tableColumn id="17" name="IN_DIA" dataDxfId="159"/>
    <tableColumn id="18" name="THK" dataDxfId="158"/>
    <tableColumn id="19" name="LENGTH" dataDxfId="157"/>
    <tableColumn id="20" name="CLASS" dataDxfId="156"/>
    <tableColumn id="21" name="GEOMETRY" dataDxfId="155"/>
    <tableColumn id="22" name="ORDQ" dataDxfId="154"/>
    <tableColumn id="23" name="ORDUM" dataDxfId="153"/>
    <tableColumn id="24" name="Bal to Desp" dataDxfId="15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able31" displayName="Table31" ref="A144:O189" headerRowCount="1" totalsRowShown="0" headerRowDxfId="151" dataDxfId="149" headerRowBorderDxfId="150" tableBorderDxfId="148">
  <autoFilter ref="A144:O189"/>
  <tableColumns count="15">
    <tableColumn id="15" name="plant2" dataDxfId="147"/>
    <tableColumn id="1" name="OEM" dataDxfId="146"/>
    <tableColumn id="2" name="Customer Code" dataDxfId="145"/>
    <tableColumn id="3" name="OD" dataDxfId="144"/>
    <tableColumn id="4" name="ID" dataDxfId="143"/>
    <tableColumn id="5" name="THK" dataDxfId="142"/>
    <tableColumn id="6" name="LENGTH" dataDxfId="141"/>
    <tableColumn id="7" name="Length in Mtrs" dataDxfId="140"/>
    <tableColumn id="8" name="TSL Material Code3" dataDxfId="139"/>
    <tableColumn id="9" name=" INDENT  FOR Oct-25 recommended" dataDxfId="138"/>
    <tableColumn id="10" name="Metallurgy condition" dataDxfId="137"/>
    <tableColumn id="11" name="Material Type" dataDxfId="136"/>
    <tableColumn id="12" name="Material Description3" dataDxfId="135">
      <calculatedColumnFormula>VLOOKUP(Table31[[#This Row],[TSL Material Code3]],#REF!,2,0)</calculatedColumnFormula>
    </tableColumn>
    <tableColumn id="13" name="SO" dataDxfId="134"/>
    <tableColumn id="14" name="STATUS" dataDxfId="133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schedule13" displayName="schedule13" ref="A3:AI591" headerRowCount="1" totalsRowShown="0" headerRowDxfId="132" dataDxfId="130" headerRowBorderDxfId="131" tableBorderDxfId="129" totalsRowBorderDxfId="128">
  <autoFilter ref="A3:AI591">
    <filterColumn colId="18" hiddenButton="0" showButton="1">
      <colorFilter dxfId="127"/>
    </filterColumn>
  </autoFilter>
  <tableColumns count="35">
    <tableColumn id="1" name="SNO" dataDxfId="126"/>
    <tableColumn id="2" name="RM Loaction" dataDxfId="125"/>
    <tableColumn id="3" name="CUSTOMER NAME" dataDxfId="124"/>
    <tableColumn id="25" name="Helper Customer" dataDxfId="123"/>
    <tableColumn id="4" name="CUSTOMER CODE" dataDxfId="122"/>
    <tableColumn id="5" name="MATERIAL NO" dataDxfId="121"/>
    <tableColumn id="6" name="MATERIAL DESCRIPTION" dataDxfId="120"/>
    <tableColumn id="7" name="GRADE" dataDxfId="119"/>
    <tableColumn id="17" name="Annealed/Unannealed" dataDxfId="118"/>
    <tableColumn id="18" name="FC/NFC" dataDxfId="117"/>
    <tableColumn id="19" name="HR/CR" dataDxfId="116"/>
    <tableColumn id="23" name="HR/CR Check" dataDxfId="115"/>
    <tableColumn id="20" name="Chamferring " dataDxfId="114"/>
    <tableColumn id="21" name="Angle Cut" dataDxfId="113"/>
    <tableColumn id="22" name="Surface Critical" dataDxfId="112"/>
    <tableColumn id="24" name="Bucket" dataDxfId="111">
      <calculatedColumnFormula>CONCATENATE(schedule13[[#This Row],[OD]],"-",schedule13[[#This Row],[ID]],"-",schedule13[[#This Row],[TICKNESS]],"-",schedule13[[#This Row],[GRADE]],"-",schedule13[[#This Row],[FC/NFC]])</calculatedColumnFormula>
    </tableColumn>
    <tableColumn id="26" name="CTL Bucket" dataDxfId="110"/>
    <tableColumn id="27" name="Check if CTL bucket is in sales sheet or not" dataDxfId="109"/>
    <tableColumn id="8" name="ACTUAL OD" dataDxfId="108"/>
    <tableColumn id="9" name="OD" dataDxfId="107"/>
    <tableColumn id="10" name="ID" dataDxfId="106"/>
    <tableColumn id="11" name="TICKNESS" dataDxfId="105"/>
    <tableColumn id="12" name="LENGTH" dataDxfId="104"/>
    <tableColumn id="28" name="UoM" dataDxfId="103"/>
    <tableColumn id="13" name="SCHEDULE" dataDxfId="102"/>
    <tableColumn id="14" name="DISPATCH" dataDxfId="101"/>
    <tableColumn id="15" name="BAL IN NOS" dataDxfId="100">
      <calculatedColumnFormula>Y4-Z4</calculatedColumnFormula>
    </tableColumn>
    <tableColumn id="16" name="SCHEDULE IN MT" dataDxfId="99">
      <calculatedColumnFormula>(S4-V4)*V4*W4*0.024653*Y4/1000000</calculatedColumnFormula>
    </tableColumn>
    <tableColumn id="29" name="DISPATCH MT" dataDxfId="98"/>
    <tableColumn id="30" name="BALANCE FOR DISP" dataDxfId="97">
      <calculatedColumnFormula>AB4-AC4</calculatedColumnFormula>
    </tableColumn>
    <tableColumn id="35" name="CTL stock Numbers" dataDxfId="96"/>
    <tableColumn id="31" name="CTL Stock" dataDxfId="95"/>
    <tableColumn id="32" name="LL Stock" dataDxfId="94"/>
    <tableColumn id="33" name="BALANCE REQUIRED IN MT" dataDxfId="93"/>
    <tableColumn id="34" name="% COMP" dataDxfId="9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14.xml.rels><Relationships xmlns="http://schemas.openxmlformats.org/package/2006/relationships"><Relationship Type="http://schemas.openxmlformats.org/officeDocument/2006/relationships/pivotTable" Target="/xl/pivotTables/pivotTable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7.xml" Id="rId1" /><Relationship Type="http://schemas.openxmlformats.org/officeDocument/2006/relationships/table" Target="/xl/tables/table18.xml" Id="rId2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0.xml" Id="rId2" /><Relationship Type="http://schemas.openxmlformats.org/officeDocument/2006/relationships/table" Target="/xl/tables/table21.xml" Id="rId3" /><Relationship Type="http://schemas.openxmlformats.org/officeDocument/2006/relationships/table" Target="/xl/tables/table22.xml" Id="rId4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4.xml" Id="rId1" /><Relationship Type="http://schemas.openxmlformats.org/officeDocument/2006/relationships/table" Target="/xl/tables/table25.xml" Id="rId2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28.xml" Id="rId1" /><Relationship Type="http://schemas.openxmlformats.org/officeDocument/2006/relationships/pivotTable" Target="/xl/pivotTables/pivotTable6.xml" Id="rId2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9.xml" Id="rId1" /><Relationship Type="http://schemas.openxmlformats.org/officeDocument/2006/relationships/table" Target="/xl/tables/table30.xml" Id="rId2" /><Relationship Type="http://schemas.openxmlformats.org/officeDocument/2006/relationships/table" Target="/xl/tables/table31.xml" Id="rId3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35.xml" Id="rId1" /><Relationship Type="http://schemas.openxmlformats.org/officeDocument/2006/relationships/table" Target="/xl/tables/table36.xml" Id="rId2" /><Relationship Type="http://schemas.openxmlformats.org/officeDocument/2006/relationships/table" Target="/xl/tables/table37.xml" Id="rId3" /></Relationships>
</file>

<file path=xl/worksheets/_rels/sheet52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5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6.xml.rels><Relationships xmlns="http://schemas.openxmlformats.org/package/2006/relationships"><Relationship Type="http://schemas.openxmlformats.org/officeDocument/2006/relationships/pivotTable" Target="/xl/pivotTables/pivot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refreshed: 9/28/2025, 5:30:27 AM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B176" sqref="B176"/>
    </sheetView>
  </sheetViews>
  <sheetFormatPr baseColWidth="8" defaultRowHeight="15"/>
  <cols>
    <col width="39" bestFit="1" customWidth="1" style="584" min="1" max="1"/>
  </cols>
  <sheetData>
    <row r="1">
      <c r="A1" s="28" t="inlineStr">
        <is>
          <t xml:space="preserve">Customer </t>
        </is>
      </c>
      <c r="B1" s="28" t="inlineStr">
        <is>
          <t>OEM</t>
        </is>
      </c>
      <c r="C1" t="inlineStr">
        <is>
          <t>CAM</t>
        </is>
      </c>
    </row>
    <row r="2">
      <c r="A2" s="28" t="inlineStr">
        <is>
          <t>A.R.Automotive And Engg Industries</t>
        </is>
      </c>
      <c r="B2" s="28" t="inlineStr">
        <is>
          <t>RE</t>
        </is>
      </c>
      <c r="C2" t="inlineStr">
        <is>
          <t>Abhishek</t>
        </is>
      </c>
    </row>
    <row r="3">
      <c r="A3" s="28" t="inlineStr">
        <is>
          <t>BALAJI INDUSTRIES</t>
        </is>
      </c>
      <c r="B3" s="28" t="inlineStr">
        <is>
          <t>HMSIL</t>
        </is>
      </c>
      <c r="C3" t="inlineStr">
        <is>
          <t>Abhishek</t>
        </is>
      </c>
    </row>
    <row r="4">
      <c r="A4" s="28" t="inlineStr">
        <is>
          <t>BALAJI PRESS PRODUCTS INDIA</t>
        </is>
      </c>
      <c r="B4" s="28" t="inlineStr">
        <is>
          <t>TVS</t>
        </is>
      </c>
      <c r="C4" t="inlineStr">
        <is>
          <t>Apoorv</t>
        </is>
      </c>
    </row>
    <row r="5">
      <c r="A5" s="28" t="inlineStr">
        <is>
          <t>BCC PIPES &amp; TUBES PRIVATE LIMITED</t>
        </is>
      </c>
      <c r="B5" s="28" t="inlineStr">
        <is>
          <t>GE</t>
        </is>
      </c>
      <c r="C5" t="inlineStr">
        <is>
          <t>Jitendra</t>
        </is>
      </c>
    </row>
    <row r="6">
      <c r="A6" s="28" t="inlineStr">
        <is>
          <t>BHARAT TUBES CORPORATION</t>
        </is>
      </c>
      <c r="B6" s="28" t="inlineStr">
        <is>
          <t>Boiler</t>
        </is>
      </c>
      <c r="C6" t="inlineStr">
        <is>
          <t>Jitendra</t>
        </is>
      </c>
    </row>
    <row r="7">
      <c r="A7" s="28" t="inlineStr">
        <is>
          <t>ELKAYEM AUTO ANCILLARIES (PVT) LTD.</t>
        </is>
      </c>
      <c r="B7" s="28" t="inlineStr">
        <is>
          <t>TVS</t>
        </is>
      </c>
      <c r="C7" t="inlineStr">
        <is>
          <t>Apoorv</t>
        </is>
      </c>
    </row>
    <row r="8">
      <c r="A8" s="28" t="inlineStr">
        <is>
          <t>ELKAYEM AUTO ANCILLARIES PRIVATE LI</t>
        </is>
      </c>
      <c r="B8" s="28" t="inlineStr">
        <is>
          <t>TVS</t>
        </is>
      </c>
      <c r="C8" t="inlineStr">
        <is>
          <t>Apoorv</t>
        </is>
      </c>
    </row>
    <row r="9">
      <c r="A9" s="28" t="inlineStr">
        <is>
          <t>ELKAYEM AUTO ANCILLARIES PVT LTD -U</t>
        </is>
      </c>
      <c r="B9" s="28" t="inlineStr">
        <is>
          <t>TVS</t>
        </is>
      </c>
      <c r="C9" t="inlineStr">
        <is>
          <t>Apoorv</t>
        </is>
      </c>
    </row>
    <row r="10">
      <c r="A10" s="28" t="inlineStr">
        <is>
          <t>GANESH INDUSTRAIL SUPPLIES</t>
        </is>
      </c>
      <c r="B10" s="28" t="inlineStr">
        <is>
          <t>Boiler</t>
        </is>
      </c>
      <c r="C10" t="inlineStr">
        <is>
          <t>Jitendra</t>
        </is>
      </c>
    </row>
    <row r="11">
      <c r="A11" s="28" t="inlineStr">
        <is>
          <t>Indo Autotech Limited (Unit V)</t>
        </is>
      </c>
      <c r="B11" s="28" t="inlineStr">
        <is>
          <t>HMSIL</t>
        </is>
      </c>
      <c r="C11" t="inlineStr">
        <is>
          <t>Abhishek</t>
        </is>
      </c>
    </row>
    <row r="12">
      <c r="A12" s="28" t="inlineStr">
        <is>
          <t>JBM AUTO LIMITED</t>
        </is>
      </c>
      <c r="B12" s="28" t="inlineStr">
        <is>
          <t>RE</t>
        </is>
      </c>
      <c r="C12" t="inlineStr">
        <is>
          <t>Abhishek</t>
        </is>
      </c>
    </row>
    <row r="13">
      <c r="A13" s="28" t="inlineStr">
        <is>
          <t>JK ENGINEERING WORKS</t>
        </is>
      </c>
      <c r="B13" s="28" t="inlineStr">
        <is>
          <t>RE</t>
        </is>
      </c>
      <c r="C13" t="inlineStr">
        <is>
          <t>Abhishek</t>
        </is>
      </c>
    </row>
    <row r="14">
      <c r="A14" s="28" t="inlineStr">
        <is>
          <t>Kay Jay Forgings Pvt Ltd Unit Vi</t>
        </is>
      </c>
      <c r="B14" s="28" t="inlineStr">
        <is>
          <t>TVS</t>
        </is>
      </c>
      <c r="C14" t="inlineStr">
        <is>
          <t>Apoorv</t>
        </is>
      </c>
    </row>
    <row r="15">
      <c r="A15" s="28" t="inlineStr">
        <is>
          <t>KNITVEL NEEDLES P LTD</t>
        </is>
      </c>
      <c r="B15" s="28" t="inlineStr">
        <is>
          <t>TVS</t>
        </is>
      </c>
      <c r="C15" t="inlineStr">
        <is>
          <t>Apoorv</t>
        </is>
      </c>
    </row>
    <row r="16">
      <c r="A16" s="28" t="inlineStr">
        <is>
          <t>KNITVEL NEEDLES PRIVATE LIMITED</t>
        </is>
      </c>
      <c r="B16" s="28" t="inlineStr">
        <is>
          <t>TVS</t>
        </is>
      </c>
      <c r="C16" t="inlineStr">
        <is>
          <t>Apoorv</t>
        </is>
      </c>
    </row>
    <row r="17">
      <c r="A17" s="28" t="inlineStr">
        <is>
          <t>LAXMI METAL PRESSING WORKS PVT LTD</t>
        </is>
      </c>
      <c r="B17" s="28" t="inlineStr">
        <is>
          <t>TVS</t>
        </is>
      </c>
      <c r="C17" t="inlineStr">
        <is>
          <t>Apoorv</t>
        </is>
      </c>
    </row>
    <row r="18">
      <c r="A18" s="28" t="inlineStr">
        <is>
          <t>LOCHANA INDUSTRIES</t>
        </is>
      </c>
      <c r="B18" s="28" t="inlineStr">
        <is>
          <t>Auction</t>
        </is>
      </c>
      <c r="C18" t="inlineStr">
        <is>
          <t>Jitendra</t>
        </is>
      </c>
    </row>
    <row r="19">
      <c r="A19" s="28" t="inlineStr">
        <is>
          <t>Marathwada Auto Compo Pvt. Ltd.</t>
        </is>
      </c>
      <c r="B19" s="28" t="inlineStr">
        <is>
          <t>TVS</t>
        </is>
      </c>
      <c r="C19" t="inlineStr">
        <is>
          <t>Apoorv</t>
        </is>
      </c>
    </row>
    <row r="20">
      <c r="A20" s="28" t="inlineStr">
        <is>
          <t>Maruthi Auto Components</t>
        </is>
      </c>
      <c r="B20" s="28" t="inlineStr">
        <is>
          <t>HMSIL</t>
        </is>
      </c>
      <c r="C20" t="inlineStr">
        <is>
          <t>Abhishek</t>
        </is>
      </c>
    </row>
    <row r="21">
      <c r="A21" s="28" t="inlineStr">
        <is>
          <t>MEGH STEELS PRIVATE LIMITED - HMSIL</t>
        </is>
      </c>
      <c r="B21" s="28" t="inlineStr">
        <is>
          <t>Direct</t>
        </is>
      </c>
      <c r="C21" t="inlineStr">
        <is>
          <t>Apoorv</t>
        </is>
      </c>
    </row>
    <row r="22">
      <c r="A22" s="28" t="inlineStr">
        <is>
          <t>MEGH STEELS PRIVATE LIMITED - RANE</t>
        </is>
      </c>
      <c r="B22" s="28" t="inlineStr">
        <is>
          <t>Rane</t>
        </is>
      </c>
      <c r="C22" t="inlineStr">
        <is>
          <t>Apoorv</t>
        </is>
      </c>
    </row>
    <row r="23">
      <c r="A23" s="28" t="inlineStr">
        <is>
          <t>MEGH STEELS PRIVATE LIMITED - RE</t>
        </is>
      </c>
      <c r="B23" s="28" t="inlineStr">
        <is>
          <t>Direct</t>
        </is>
      </c>
      <c r="C23" t="inlineStr">
        <is>
          <t>Apoorv</t>
        </is>
      </c>
    </row>
    <row r="24">
      <c r="A24" s="28" t="inlineStr">
        <is>
          <t>MEGH STEELS PRIVATE LIMITED - TVS A</t>
        </is>
      </c>
      <c r="B24" s="28" t="inlineStr">
        <is>
          <t>Direct</t>
        </is>
      </c>
      <c r="C24" t="inlineStr">
        <is>
          <t>Apoorv</t>
        </is>
      </c>
    </row>
    <row r="25">
      <c r="A25" s="28" t="inlineStr">
        <is>
          <t>METAL TECH ENGINEERS</t>
        </is>
      </c>
      <c r="B25" s="28" t="inlineStr">
        <is>
          <t>Boiler</t>
        </is>
      </c>
      <c r="C25" t="inlineStr">
        <is>
          <t>Jitendra</t>
        </is>
      </c>
    </row>
    <row r="26">
      <c r="A26" s="28" t="inlineStr">
        <is>
          <t>Metalman Auto Private Limited</t>
        </is>
      </c>
      <c r="B26" s="28" t="inlineStr">
        <is>
          <t>TVS</t>
        </is>
      </c>
      <c r="C26" t="inlineStr">
        <is>
          <t>Apoorv</t>
        </is>
      </c>
    </row>
    <row r="27">
      <c r="A27" s="28" t="inlineStr">
        <is>
          <t>NAHARS ENGINEERING INDIA PRIVATE LI</t>
        </is>
      </c>
      <c r="B27" s="28" t="inlineStr">
        <is>
          <t>HMSIL</t>
        </is>
      </c>
      <c r="C27" t="inlineStr">
        <is>
          <t>Abhishek</t>
        </is>
      </c>
    </row>
    <row r="28">
      <c r="A28" s="28" t="inlineStr">
        <is>
          <t>Navaladian Engineering Industries</t>
        </is>
      </c>
      <c r="B28" s="28" t="inlineStr">
        <is>
          <t>RE</t>
        </is>
      </c>
      <c r="C28" t="inlineStr">
        <is>
          <t>Abhishek</t>
        </is>
      </c>
    </row>
    <row r="29">
      <c r="A29" s="28" t="inlineStr">
        <is>
          <t>NEEL METAL PRODUCTS LIMITED</t>
        </is>
      </c>
      <c r="B29" s="28" t="inlineStr">
        <is>
          <t>TVS</t>
        </is>
      </c>
      <c r="C29" t="inlineStr">
        <is>
          <t>Apoorv</t>
        </is>
      </c>
    </row>
    <row r="30">
      <c r="A30" s="28" t="inlineStr">
        <is>
          <t>Ragul Industries</t>
        </is>
      </c>
      <c r="B30" s="28" t="inlineStr">
        <is>
          <t>HMSIL</t>
        </is>
      </c>
      <c r="C30" t="inlineStr">
        <is>
          <t>Abhishek</t>
        </is>
      </c>
    </row>
    <row r="31">
      <c r="A31" s="28" t="inlineStr">
        <is>
          <t>RAJSRIYA AUTOMOTIVE IND. P LTD</t>
        </is>
      </c>
      <c r="B31" s="28" t="inlineStr">
        <is>
          <t>TVS</t>
        </is>
      </c>
      <c r="C31" t="inlineStr">
        <is>
          <t>Apoorv</t>
        </is>
      </c>
    </row>
    <row r="32">
      <c r="A32" s="28" t="inlineStr">
        <is>
          <t>Rajsriya Automotive Ind.P.Ltd Unit-</t>
        </is>
      </c>
      <c r="B32" s="28" t="inlineStr">
        <is>
          <t>TVS</t>
        </is>
      </c>
      <c r="C32" t="inlineStr">
        <is>
          <t>Apoorv</t>
        </is>
      </c>
    </row>
    <row r="33">
      <c r="A33" s="28" t="inlineStr">
        <is>
          <t>Rajsriya Automotive Industries</t>
        </is>
      </c>
      <c r="B33" s="28" t="inlineStr">
        <is>
          <t>TVS</t>
        </is>
      </c>
      <c r="C33" t="inlineStr">
        <is>
          <t>Apoorv</t>
        </is>
      </c>
    </row>
    <row r="34">
      <c r="A34" s="28" t="inlineStr">
        <is>
          <t>RAJSRIYA AUTOMOTIVE INDUSTRIES PVT</t>
        </is>
      </c>
      <c r="B34" s="28" t="inlineStr">
        <is>
          <t>TVS</t>
        </is>
      </c>
      <c r="C34" t="inlineStr">
        <is>
          <t>Apoorv</t>
        </is>
      </c>
    </row>
    <row r="35">
      <c r="A35" s="28" t="inlineStr">
        <is>
          <t>Rajsriya Automotive Industries(P)</t>
        </is>
      </c>
      <c r="B35" s="28" t="inlineStr">
        <is>
          <t>TVS</t>
        </is>
      </c>
      <c r="C35" t="inlineStr">
        <is>
          <t>Apoorv</t>
        </is>
      </c>
    </row>
    <row r="36">
      <c r="A36" s="28" t="inlineStr">
        <is>
          <t>Rucha Engineers Pvt Ltd.</t>
        </is>
      </c>
      <c r="B36" s="28" t="inlineStr">
        <is>
          <t>TVS</t>
        </is>
      </c>
      <c r="C36" t="inlineStr">
        <is>
          <t>Apoorv</t>
        </is>
      </c>
    </row>
    <row r="37">
      <c r="A37" s="28" t="inlineStr">
        <is>
          <t>Sadhan Tool Room (P) Ltd.</t>
        </is>
      </c>
      <c r="B37" s="28" t="inlineStr">
        <is>
          <t>RE</t>
        </is>
      </c>
      <c r="C37" t="inlineStr">
        <is>
          <t>Abhishek</t>
        </is>
      </c>
    </row>
    <row r="38">
      <c r="A38" s="28" t="inlineStr">
        <is>
          <t>SAKURA AUTOPARTS INDIA PRIVATE LIMI</t>
        </is>
      </c>
      <c r="B38" s="28" t="inlineStr">
        <is>
          <t>RE</t>
        </is>
      </c>
      <c r="C38" t="inlineStr">
        <is>
          <t>Abhishek</t>
        </is>
      </c>
    </row>
    <row r="39">
      <c r="A39" s="28" t="inlineStr">
        <is>
          <t>SANDHAR ENGINEERING PVT LTD.(KA) -U</t>
        </is>
      </c>
      <c r="B39" s="28" t="inlineStr">
        <is>
          <t>TVS</t>
        </is>
      </c>
      <c r="C39" t="inlineStr">
        <is>
          <t>Apoorv</t>
        </is>
      </c>
    </row>
    <row r="40">
      <c r="A40" s="28" t="inlineStr">
        <is>
          <t>Sandhar EngineeringPvt.Ltd.(KA)-Uni</t>
        </is>
      </c>
      <c r="B40" s="28" t="inlineStr">
        <is>
          <t>TVS</t>
        </is>
      </c>
      <c r="C40" t="inlineStr">
        <is>
          <t>Apoorv</t>
        </is>
      </c>
    </row>
    <row r="41">
      <c r="A41" s="28" t="inlineStr">
        <is>
          <t>Sandhar Technologies (KA)–Unit-III</t>
        </is>
      </c>
      <c r="B41" s="28" t="inlineStr">
        <is>
          <t>TVS</t>
        </is>
      </c>
      <c r="C41" t="inlineStr">
        <is>
          <t>Apoorv</t>
        </is>
      </c>
    </row>
    <row r="42">
      <c r="A42" s="28" t="inlineStr">
        <is>
          <t>Shetdass Engineers (P) Ltd.</t>
        </is>
      </c>
      <c r="B42" s="28" t="inlineStr">
        <is>
          <t>RE</t>
        </is>
      </c>
      <c r="C42" t="inlineStr">
        <is>
          <t>Abhishek</t>
        </is>
      </c>
    </row>
    <row r="43">
      <c r="A43" s="28" t="inlineStr">
        <is>
          <t>SHREE SIVAM ENTERPRISES</t>
        </is>
      </c>
      <c r="B43" s="28" t="inlineStr">
        <is>
          <t>Auction</t>
        </is>
      </c>
      <c r="C43" t="inlineStr">
        <is>
          <t>Jitendra</t>
        </is>
      </c>
    </row>
    <row r="44">
      <c r="A44" s="28" t="inlineStr">
        <is>
          <t>Skb Industries</t>
        </is>
      </c>
      <c r="B44" s="28" t="inlineStr">
        <is>
          <t>RE</t>
        </is>
      </c>
      <c r="C44" t="inlineStr">
        <is>
          <t>Abhishek</t>
        </is>
      </c>
    </row>
    <row r="45">
      <c r="A45" s="28" t="inlineStr">
        <is>
          <t>SM EXHAUST TECHNOLOGY PVT LTD</t>
        </is>
      </c>
      <c r="B45" s="28" t="inlineStr">
        <is>
          <t>RE</t>
        </is>
      </c>
      <c r="C45" t="inlineStr">
        <is>
          <t>Abhishek</t>
        </is>
      </c>
    </row>
    <row r="46">
      <c r="A46" s="28" t="inlineStr">
        <is>
          <t>SREE VENKATESWARA ENTERPRISES</t>
        </is>
      </c>
      <c r="B46" s="28" t="inlineStr">
        <is>
          <t>GE</t>
        </is>
      </c>
      <c r="C46" t="inlineStr">
        <is>
          <t>Jitendra</t>
        </is>
      </c>
    </row>
    <row r="47">
      <c r="A47" s="28" t="inlineStr">
        <is>
          <t>Sri Balaji Gears</t>
        </is>
      </c>
      <c r="B47" s="28" t="inlineStr">
        <is>
          <t>TVS</t>
        </is>
      </c>
      <c r="C47" t="inlineStr">
        <is>
          <t>Apoorv</t>
        </is>
      </c>
    </row>
    <row r="48">
      <c r="A48" s="28" t="inlineStr">
        <is>
          <t>SRIKAM HITECH ENGINEERING PRIVATE L</t>
        </is>
      </c>
      <c r="B48" s="28" t="inlineStr">
        <is>
          <t>TVS</t>
        </is>
      </c>
      <c r="C48" t="inlineStr">
        <is>
          <t>Apoorv</t>
        </is>
      </c>
    </row>
    <row r="49">
      <c r="A49" s="28" t="inlineStr">
        <is>
          <t>Star Engineering Works</t>
        </is>
      </c>
      <c r="B49" s="28" t="inlineStr">
        <is>
          <t>HMSIL</t>
        </is>
      </c>
      <c r="C49" t="inlineStr">
        <is>
          <t>Abhishek</t>
        </is>
      </c>
    </row>
    <row r="50">
      <c r="A50" s="28" t="inlineStr">
        <is>
          <t>Surya Steels</t>
        </is>
      </c>
      <c r="B50" s="28" t="inlineStr">
        <is>
          <t>GE</t>
        </is>
      </c>
      <c r="C50" t="inlineStr">
        <is>
          <t>Jitendra</t>
        </is>
      </c>
    </row>
    <row r="51">
      <c r="A51" s="28" t="inlineStr">
        <is>
          <t>TECHNICO INDUSTRIES LIMITED</t>
        </is>
      </c>
      <c r="B51" s="28" t="inlineStr">
        <is>
          <t>RE</t>
        </is>
      </c>
      <c r="C51" t="inlineStr">
        <is>
          <t>Abhishek</t>
        </is>
      </c>
    </row>
    <row r="52">
      <c r="A52" s="28" t="inlineStr">
        <is>
          <t>Thai Summit Autoparts India Pvt Ltd</t>
        </is>
      </c>
      <c r="B52" s="28" t="inlineStr">
        <is>
          <t>RE</t>
        </is>
      </c>
      <c r="C52" t="inlineStr">
        <is>
          <t>Abhishek</t>
        </is>
      </c>
    </row>
    <row r="53">
      <c r="A53" s="28" t="inlineStr">
        <is>
          <t>Thirupathi Industries</t>
        </is>
      </c>
      <c r="B53" s="28" t="inlineStr">
        <is>
          <t>RE</t>
        </is>
      </c>
      <c r="C53" t="inlineStr">
        <is>
          <t>Abhishek</t>
        </is>
      </c>
    </row>
    <row r="54">
      <c r="A54" s="28" t="inlineStr">
        <is>
          <t>Ttp Technologies Private Ltd</t>
        </is>
      </c>
      <c r="B54" s="28" t="inlineStr">
        <is>
          <t>GE</t>
        </is>
      </c>
      <c r="C54" t="inlineStr">
        <is>
          <t>Jitendra</t>
        </is>
      </c>
    </row>
    <row r="55">
      <c r="A55" s="28" t="inlineStr">
        <is>
          <t>TUBE INVESTMENTS OF INDIA LIMITED</t>
        </is>
      </c>
      <c r="B55" s="28" t="inlineStr">
        <is>
          <t>RE</t>
        </is>
      </c>
      <c r="C55" t="inlineStr">
        <is>
          <t>Abhishek</t>
        </is>
      </c>
    </row>
    <row r="56">
      <c r="A56" s="28" t="inlineStr">
        <is>
          <t>U M A Industries</t>
        </is>
      </c>
      <c r="B56" s="28" t="inlineStr">
        <is>
          <t>HMSIL</t>
        </is>
      </c>
      <c r="C56" t="inlineStr">
        <is>
          <t>Abhishek</t>
        </is>
      </c>
    </row>
    <row r="57">
      <c r="A57" s="28" t="inlineStr">
        <is>
          <t>YOSHIKA ENGINEERING PVT LTD</t>
        </is>
      </c>
      <c r="B57" s="28" t="inlineStr">
        <is>
          <t>RE</t>
        </is>
      </c>
      <c r="C57" t="inlineStr">
        <is>
          <t>Abhishek</t>
        </is>
      </c>
    </row>
    <row r="58">
      <c r="A58" s="414" t="inlineStr">
        <is>
          <t>Narasipur Auto Component(P)Ltd</t>
        </is>
      </c>
      <c r="B58" s="28" t="inlineStr">
        <is>
          <t>TVS</t>
        </is>
      </c>
      <c r="C58" t="inlineStr">
        <is>
          <t>Apoorv</t>
        </is>
      </c>
    </row>
    <row r="59">
      <c r="A59" s="28" t="inlineStr">
        <is>
          <t>Rajsriya Automotive Ind Pvt Ltd.</t>
        </is>
      </c>
      <c r="B59" s="28" t="inlineStr">
        <is>
          <t>TVS</t>
        </is>
      </c>
      <c r="C59" t="inlineStr">
        <is>
          <t>Apoorv</t>
        </is>
      </c>
    </row>
    <row r="60">
      <c r="A60" s="28" t="inlineStr">
        <is>
          <t>Allied Industries (India)</t>
        </is>
      </c>
      <c r="B60" s="28" t="inlineStr">
        <is>
          <t>Others</t>
        </is>
      </c>
      <c r="C60" t="inlineStr">
        <is>
          <t>other</t>
        </is>
      </c>
    </row>
    <row r="61">
      <c r="A61" s="28" t="inlineStr">
        <is>
          <t>FREE STOCK</t>
        </is>
      </c>
      <c r="B61" s="28" t="inlineStr">
        <is>
          <t>FREE</t>
        </is>
      </c>
      <c r="C61" t="inlineStr">
        <is>
          <t>other</t>
        </is>
      </c>
    </row>
    <row r="62">
      <c r="A62" s="28" t="inlineStr">
        <is>
          <t>Rajsriya Automotive Ind. Pvt Ltd</t>
        </is>
      </c>
      <c r="B62" s="28" t="inlineStr">
        <is>
          <t>TVS</t>
        </is>
      </c>
      <c r="C62" t="inlineStr">
        <is>
          <t>Apoorv</t>
        </is>
      </c>
    </row>
    <row r="63">
      <c r="A63" s="28" t="inlineStr">
        <is>
          <t>Krishna Industries</t>
        </is>
      </c>
      <c r="B63" s="28" t="inlineStr">
        <is>
          <t>others</t>
        </is>
      </c>
      <c r="C63" t="inlineStr">
        <is>
          <t>other</t>
        </is>
      </c>
    </row>
    <row r="64">
      <c r="A64" s="28" t="inlineStr">
        <is>
          <t>NALANDA INDUSTRIAL CORPOR</t>
        </is>
      </c>
      <c r="B64" s="28" t="inlineStr">
        <is>
          <t>others</t>
        </is>
      </c>
      <c r="C64" t="inlineStr">
        <is>
          <t>other</t>
        </is>
      </c>
    </row>
    <row r="65">
      <c r="A65" s="28" t="inlineStr">
        <is>
          <t>Hi-Esteem Auto Komponents Pvt Ltd</t>
        </is>
      </c>
      <c r="B65" s="28" t="inlineStr">
        <is>
          <t>Others</t>
        </is>
      </c>
      <c r="C65" t="inlineStr">
        <is>
          <t>Apoorv</t>
        </is>
      </c>
    </row>
    <row r="66">
      <c r="A66" s="28" t="inlineStr">
        <is>
          <t>BALAJI GEARS</t>
        </is>
      </c>
      <c r="B66" s="28" t="inlineStr">
        <is>
          <t>TVS</t>
        </is>
      </c>
      <c r="C66" t="inlineStr">
        <is>
          <t>Apoorv</t>
        </is>
      </c>
    </row>
    <row r="67">
      <c r="A67" s="28" t="inlineStr">
        <is>
          <t>ELKAYEM AUTO ANCILLARIES PVT LTD</t>
        </is>
      </c>
      <c r="B67" s="28" t="inlineStr">
        <is>
          <t>TVS</t>
        </is>
      </c>
      <c r="C67" t="inlineStr">
        <is>
          <t>Apoorv</t>
        </is>
      </c>
    </row>
    <row r="68">
      <c r="A68" s="28" t="inlineStr">
        <is>
          <t>ROYAL ENFIELD</t>
        </is>
      </c>
      <c r="B68" s="28" t="inlineStr">
        <is>
          <t>RE</t>
        </is>
      </c>
      <c r="C68" t="inlineStr">
        <is>
          <t>Abhishek</t>
        </is>
      </c>
    </row>
    <row r="69">
      <c r="A69" s="28" t="inlineStr">
        <is>
          <t>HI-TECH INDUSTRIES</t>
        </is>
      </c>
      <c r="B69" s="28" t="inlineStr">
        <is>
          <t>TVS</t>
        </is>
      </c>
      <c r="C69" t="inlineStr">
        <is>
          <t>Apoorv</t>
        </is>
      </c>
    </row>
    <row r="70">
      <c r="A70" s="28" t="inlineStr">
        <is>
          <t>K P ENGINEERING</t>
        </is>
      </c>
      <c r="B70" s="28" t="inlineStr">
        <is>
          <t>others</t>
        </is>
      </c>
      <c r="C70" t="inlineStr">
        <is>
          <t>other</t>
        </is>
      </c>
    </row>
    <row r="71">
      <c r="A71" s="28" t="inlineStr">
        <is>
          <t>HI-ESTEEM AUTO KOMPONENTS PRIVATE L</t>
        </is>
      </c>
      <c r="B71" s="28" t="inlineStr">
        <is>
          <t>Others</t>
        </is>
      </c>
      <c r="C71" t="inlineStr">
        <is>
          <t>Apoorv</t>
        </is>
      </c>
    </row>
    <row r="72">
      <c r="A72" s="28" t="inlineStr">
        <is>
          <t>M.S.K. Enterprises</t>
        </is>
      </c>
      <c r="B72" s="28" t="inlineStr">
        <is>
          <t>others</t>
        </is>
      </c>
      <c r="C72" t="inlineStr">
        <is>
          <t>other</t>
        </is>
      </c>
    </row>
    <row r="73">
      <c r="A73" s="28" t="inlineStr">
        <is>
          <t>NASH INDUSTRIES (I) PVT LTD</t>
        </is>
      </c>
      <c r="B73" s="28" t="inlineStr">
        <is>
          <t>others</t>
        </is>
      </c>
      <c r="C73" t="inlineStr">
        <is>
          <t>other</t>
        </is>
      </c>
    </row>
    <row r="74">
      <c r="A74" s="28" t="inlineStr">
        <is>
          <t>Sandhar Automach</t>
        </is>
      </c>
      <c r="B74" s="28" t="inlineStr">
        <is>
          <t>TVS</t>
        </is>
      </c>
      <c r="C74" t="inlineStr">
        <is>
          <t>Apoorv</t>
        </is>
      </c>
    </row>
    <row r="75">
      <c r="A75" s="28" t="inlineStr">
        <is>
          <t>INDO AUTO</t>
        </is>
      </c>
      <c r="B75" s="28" t="inlineStr">
        <is>
          <t>HMSIL</t>
        </is>
      </c>
      <c r="C75" t="inlineStr">
        <is>
          <t>Abhishek</t>
        </is>
      </c>
    </row>
    <row r="76">
      <c r="A76" s="28" t="inlineStr">
        <is>
          <t>MEGH STEELS PRIVATE LIMITED</t>
        </is>
      </c>
      <c r="B76" s="28" t="inlineStr">
        <is>
          <t>Direct</t>
        </is>
      </c>
      <c r="C76" t="inlineStr">
        <is>
          <t>Apoorv</t>
        </is>
      </c>
    </row>
    <row r="77">
      <c r="A77" s="28" t="inlineStr">
        <is>
          <t>Tushar Steel Traders</t>
        </is>
      </c>
      <c r="B77" s="28" t="inlineStr">
        <is>
          <t>Others</t>
        </is>
      </c>
      <c r="C77" t="inlineStr">
        <is>
          <t>other</t>
        </is>
      </c>
    </row>
    <row r="78">
      <c r="A78" s="28" t="inlineStr">
        <is>
          <t>SANDHAR ENGINEERING PVT LTD.</t>
        </is>
      </c>
      <c r="B78" s="28" t="inlineStr">
        <is>
          <t>TVS</t>
        </is>
      </c>
      <c r="C78" t="inlineStr">
        <is>
          <t>Apoorv</t>
        </is>
      </c>
    </row>
    <row r="79">
      <c r="A79" s="28" t="inlineStr">
        <is>
          <t>ALF ENGINEERING PRIVATE LIMITED</t>
        </is>
      </c>
      <c r="B79" s="28" t="inlineStr">
        <is>
          <t>Alf</t>
        </is>
      </c>
      <c r="C79" t="inlineStr">
        <is>
          <t>Apoorv</t>
        </is>
      </c>
    </row>
    <row r="80">
      <c r="A80" s="28" t="inlineStr">
        <is>
          <t>A.S.(E) Exports Pvt.Ltd.</t>
        </is>
      </c>
      <c r="B80" s="28" t="inlineStr">
        <is>
          <t>GE</t>
        </is>
      </c>
      <c r="C80" t="inlineStr">
        <is>
          <t>GE</t>
        </is>
      </c>
    </row>
    <row r="81">
      <c r="A81" s="28" t="inlineStr">
        <is>
          <t>C.S.K.Tube Corporation</t>
        </is>
      </c>
      <c r="B81" s="28" t="inlineStr">
        <is>
          <t>Others</t>
        </is>
      </c>
      <c r="C81" t="inlineStr">
        <is>
          <t>other</t>
        </is>
      </c>
    </row>
    <row r="82">
      <c r="A82" s="28" t="inlineStr">
        <is>
          <t>Shri Durga Steel Tubes</t>
        </is>
      </c>
      <c r="B82" s="28" t="inlineStr">
        <is>
          <t>Others</t>
        </is>
      </c>
      <c r="C82" t="inlineStr">
        <is>
          <t>other</t>
        </is>
      </c>
    </row>
    <row r="83">
      <c r="A83" s="28" t="inlineStr">
        <is>
          <t>Elkayem Auto Ancillaries ( P ) LTD</t>
        </is>
      </c>
      <c r="B83" s="28" t="inlineStr">
        <is>
          <t>TVS</t>
        </is>
      </c>
      <c r="C83" t="inlineStr">
        <is>
          <t>Apoorv</t>
        </is>
      </c>
    </row>
    <row r="84">
      <c r="A84" s="28" t="inlineStr">
        <is>
          <t>TELUGUNADU STEELS PVT LTD</t>
        </is>
      </c>
      <c r="B84" s="28" t="inlineStr">
        <is>
          <t>Others</t>
        </is>
      </c>
      <c r="C84" t="inlineStr">
        <is>
          <t>other</t>
        </is>
      </c>
    </row>
    <row r="85">
      <c r="A85" s="28" t="inlineStr">
        <is>
          <t>Tenneco Automotive India Pvt Ltd.</t>
        </is>
      </c>
      <c r="B85" s="28" t="inlineStr">
        <is>
          <t>Others</t>
        </is>
      </c>
      <c r="C85" t="inlineStr">
        <is>
          <t>other</t>
        </is>
      </c>
    </row>
    <row r="86">
      <c r="A86" s="28" t="inlineStr">
        <is>
          <t>THAI SUMMIT</t>
        </is>
      </c>
      <c r="B86" s="28" t="inlineStr">
        <is>
          <t>Others</t>
        </is>
      </c>
      <c r="C86" t="inlineStr">
        <is>
          <t>other</t>
        </is>
      </c>
    </row>
    <row r="87">
      <c r="A87" s="28" t="inlineStr">
        <is>
          <t>NARASIPUR AUTO</t>
        </is>
      </c>
      <c r="B87" s="28" t="inlineStr">
        <is>
          <t>Others</t>
        </is>
      </c>
      <c r="C87" t="inlineStr">
        <is>
          <t>other</t>
        </is>
      </c>
    </row>
    <row r="88">
      <c r="A88" s="28" t="inlineStr">
        <is>
          <t>kaYJAY FORGING</t>
        </is>
      </c>
      <c r="B88" s="28" t="inlineStr">
        <is>
          <t>TVS</t>
        </is>
      </c>
      <c r="C88" t="inlineStr">
        <is>
          <t>Apoorv</t>
        </is>
      </c>
    </row>
    <row r="89">
      <c r="A89" s="28" t="inlineStr">
        <is>
          <t>SHETDASS ENGG</t>
        </is>
      </c>
      <c r="B89" s="28" t="inlineStr">
        <is>
          <t>Others</t>
        </is>
      </c>
      <c r="C89" t="inlineStr">
        <is>
          <t>other</t>
        </is>
      </c>
    </row>
    <row r="90">
      <c r="A90" s="28" t="inlineStr">
        <is>
          <t>Indo AutoTech</t>
        </is>
      </c>
      <c r="B90" s="28" t="inlineStr">
        <is>
          <t>HMSIL</t>
        </is>
      </c>
      <c r="C90" t="inlineStr">
        <is>
          <t>Abhishek</t>
        </is>
      </c>
    </row>
    <row r="91">
      <c r="A91" s="28" t="inlineStr">
        <is>
          <t>MEGH STEELS PVT LTD - TVS</t>
        </is>
      </c>
      <c r="B91" s="28" t="inlineStr">
        <is>
          <t>Direct</t>
        </is>
      </c>
      <c r="C91" t="inlineStr">
        <is>
          <t>Apoorv</t>
        </is>
      </c>
    </row>
    <row r="92">
      <c r="A92" s="28" t="inlineStr">
        <is>
          <t>KAYJAY FORGING/ NARASIPUR AUTO</t>
        </is>
      </c>
      <c r="B92" s="28" t="inlineStr">
        <is>
          <t>TVS</t>
        </is>
      </c>
      <c r="C92" t="inlineStr">
        <is>
          <t>Apoorv</t>
        </is>
      </c>
    </row>
    <row r="93">
      <c r="A93" s="28" t="inlineStr">
        <is>
          <t>HITECH/METALMAN</t>
        </is>
      </c>
      <c r="B93" s="28" t="inlineStr">
        <is>
          <t>TVS</t>
        </is>
      </c>
      <c r="C93" t="inlineStr">
        <is>
          <t>Apoorv</t>
        </is>
      </c>
    </row>
    <row r="94">
      <c r="A94" s="28" t="inlineStr">
        <is>
          <t>METALMAN</t>
        </is>
      </c>
      <c r="B94" s="28" t="inlineStr">
        <is>
          <t>TVS</t>
        </is>
      </c>
      <c r="C94" t="inlineStr">
        <is>
          <t>Apoorv</t>
        </is>
      </c>
    </row>
    <row r="95">
      <c r="A95" s="28" t="inlineStr">
        <is>
          <t>JBM AUTO</t>
        </is>
      </c>
      <c r="B95" s="28" t="inlineStr">
        <is>
          <t>Others</t>
        </is>
      </c>
      <c r="C95" t="inlineStr">
        <is>
          <t>other</t>
        </is>
      </c>
    </row>
    <row r="96">
      <c r="A96" s="28" t="inlineStr">
        <is>
          <t>KNITVEL</t>
        </is>
      </c>
      <c r="B96" s="28" t="inlineStr">
        <is>
          <t>TVS</t>
        </is>
      </c>
      <c r="C96" t="inlineStr">
        <is>
          <t>Apoorv</t>
        </is>
      </c>
    </row>
    <row r="97">
      <c r="A97" s="28" t="inlineStr">
        <is>
          <t>ether</t>
        </is>
      </c>
      <c r="B97" s="28" t="inlineStr">
        <is>
          <t>Others</t>
        </is>
      </c>
      <c r="C97" t="inlineStr">
        <is>
          <t>other</t>
        </is>
      </c>
    </row>
    <row r="98">
      <c r="A98" s="28" t="inlineStr">
        <is>
          <t>RUCHA</t>
        </is>
      </c>
      <c r="B98" s="28" t="inlineStr">
        <is>
          <t>TVS</t>
        </is>
      </c>
      <c r="C98" t="inlineStr">
        <is>
          <t>Apoorv</t>
        </is>
      </c>
    </row>
    <row r="99">
      <c r="A99" s="28" t="inlineStr">
        <is>
          <t>SHIVAM PRIME STEELS PRIVATE LIMITED</t>
        </is>
      </c>
      <c r="B99" s="63" t="inlineStr">
        <is>
          <t>GE</t>
        </is>
      </c>
      <c r="C99" t="inlineStr">
        <is>
          <t>Jitendra</t>
        </is>
      </c>
    </row>
    <row r="100">
      <c r="A100" s="28" t="inlineStr">
        <is>
          <t>SICAGEN INDIA LIMITED</t>
        </is>
      </c>
      <c r="B100" s="63" t="inlineStr">
        <is>
          <t>GE</t>
        </is>
      </c>
      <c r="C100" t="inlineStr">
        <is>
          <t>Jitendra</t>
        </is>
      </c>
    </row>
    <row r="101">
      <c r="A101" s="28" t="inlineStr">
        <is>
          <t>P E ENGINEERS PVT LIMITED</t>
        </is>
      </c>
      <c r="B101" s="63" t="inlineStr">
        <is>
          <t>GE</t>
        </is>
      </c>
      <c r="C101" t="inlineStr">
        <is>
          <t>Jitendra</t>
        </is>
      </c>
    </row>
    <row r="102">
      <c r="A102" s="28" t="inlineStr">
        <is>
          <t>V.R.Steel Traders</t>
        </is>
      </c>
      <c r="B102" s="63" t="inlineStr">
        <is>
          <t>Auction</t>
        </is>
      </c>
      <c r="C102" t="inlineStr">
        <is>
          <t>Jitendra</t>
        </is>
      </c>
    </row>
    <row r="103">
      <c r="A103" s="28" t="inlineStr">
        <is>
          <t>Vardhman Tube Industries</t>
        </is>
      </c>
      <c r="B103" s="63" t="inlineStr">
        <is>
          <t>Auction</t>
        </is>
      </c>
      <c r="C103" t="inlineStr">
        <is>
          <t>Jitendra</t>
        </is>
      </c>
    </row>
    <row r="104">
      <c r="A104" s="106" t="inlineStr">
        <is>
          <t>JAICO TUBES CORPORATION- BAN</t>
        </is>
      </c>
      <c r="B104" s="63" t="inlineStr">
        <is>
          <t>GE</t>
        </is>
      </c>
      <c r="C104" t="inlineStr">
        <is>
          <t>Jitendra</t>
        </is>
      </c>
    </row>
    <row r="105">
      <c r="A105" s="28" t="inlineStr">
        <is>
          <t>PAMS ENGINEERING</t>
        </is>
      </c>
      <c r="B105" s="63" t="inlineStr">
        <is>
          <t>Others</t>
        </is>
      </c>
      <c r="C105" t="inlineStr">
        <is>
          <t>Apoorv</t>
        </is>
      </c>
    </row>
    <row r="106">
      <c r="A106" s="56" t="inlineStr">
        <is>
          <t>TRANSIT STOCK</t>
        </is>
      </c>
      <c r="B106" s="63" t="inlineStr">
        <is>
          <t>Transit</t>
        </is>
      </c>
      <c r="C106" t="inlineStr">
        <is>
          <t>other</t>
        </is>
      </c>
    </row>
    <row r="107">
      <c r="A107" s="28" t="inlineStr">
        <is>
          <t>OWERE PRECISION</t>
        </is>
      </c>
      <c r="B107" s="63" t="inlineStr">
        <is>
          <t>Others</t>
        </is>
      </c>
      <c r="C107" t="inlineStr">
        <is>
          <t>other</t>
        </is>
      </c>
    </row>
    <row r="108">
      <c r="A108" s="28" t="inlineStr">
        <is>
          <t>SANDHAR TECHNOLOGIESPvt.Ltd.(KA)Uni</t>
        </is>
      </c>
      <c r="B108" s="63" t="inlineStr">
        <is>
          <t>TVS</t>
        </is>
      </c>
      <c r="C108" t="inlineStr">
        <is>
          <t>Apoorv</t>
        </is>
      </c>
    </row>
    <row r="109">
      <c r="A109" s="28" t="inlineStr">
        <is>
          <t>GOLDEN INDUSTRIES</t>
        </is>
      </c>
      <c r="B109" s="63" t="inlineStr">
        <is>
          <t>Others</t>
        </is>
      </c>
      <c r="C109" t="inlineStr">
        <is>
          <t>other</t>
        </is>
      </c>
    </row>
    <row r="110">
      <c r="A110" s="28" t="inlineStr">
        <is>
          <t>SANDHAR ENGINEERING PRIVATE LIMITED</t>
        </is>
      </c>
      <c r="B110" s="63" t="inlineStr">
        <is>
          <t>TVS</t>
        </is>
      </c>
      <c r="C110" t="inlineStr">
        <is>
          <t>Apoorv</t>
        </is>
      </c>
    </row>
    <row r="111">
      <c r="A111" s="28" t="inlineStr">
        <is>
          <t>BENDTECH INDUSTRIES</t>
        </is>
      </c>
      <c r="B111" s="63" t="inlineStr">
        <is>
          <t>Others</t>
        </is>
      </c>
      <c r="C111" t="inlineStr">
        <is>
          <t>other</t>
        </is>
      </c>
    </row>
    <row r="112">
      <c r="A112" s="28" t="inlineStr">
        <is>
          <t>DEVI DASS &amp; SONS</t>
        </is>
      </c>
      <c r="B112" s="63" t="inlineStr">
        <is>
          <t>Others</t>
        </is>
      </c>
      <c r="C112" t="inlineStr">
        <is>
          <t>other</t>
        </is>
      </c>
    </row>
    <row r="113">
      <c r="A113" s="28" t="inlineStr">
        <is>
          <t>A.V.M. TUBE CO.</t>
        </is>
      </c>
      <c r="B113" s="63" t="inlineStr">
        <is>
          <t>Others</t>
        </is>
      </c>
      <c r="C113" t="inlineStr">
        <is>
          <t>other</t>
        </is>
      </c>
    </row>
    <row r="114">
      <c r="A114" s="28" t="inlineStr">
        <is>
          <t>SGR TRADING COMPANY</t>
        </is>
      </c>
      <c r="B114" s="63" t="inlineStr">
        <is>
          <t>Others</t>
        </is>
      </c>
      <c r="C114" t="inlineStr">
        <is>
          <t>other</t>
        </is>
      </c>
    </row>
    <row r="115">
      <c r="A115" s="28" t="inlineStr">
        <is>
          <t>Golas Steel Tubes</t>
        </is>
      </c>
      <c r="B115" s="63" t="inlineStr">
        <is>
          <t>Others</t>
        </is>
      </c>
      <c r="C115" t="inlineStr">
        <is>
          <t>other</t>
        </is>
      </c>
    </row>
    <row r="116">
      <c r="A116" s="28" t="inlineStr">
        <is>
          <t>TARANG ENGINEERING PVT.LTD</t>
        </is>
      </c>
      <c r="B116" s="63" t="inlineStr">
        <is>
          <t>Others</t>
        </is>
      </c>
      <c r="C116" t="inlineStr">
        <is>
          <t>other</t>
        </is>
      </c>
    </row>
    <row r="117">
      <c r="A117" s="28" t="inlineStr">
        <is>
          <t>Garg Steel Centre</t>
        </is>
      </c>
      <c r="B117" s="63" t="inlineStr">
        <is>
          <t>Others</t>
        </is>
      </c>
      <c r="C117" t="inlineStr">
        <is>
          <t>other</t>
        </is>
      </c>
    </row>
    <row r="118">
      <c r="A118" s="28" t="inlineStr">
        <is>
          <t>SATHYA METAL PROCESS</t>
        </is>
      </c>
      <c r="B118" s="63" t="inlineStr">
        <is>
          <t>Others</t>
        </is>
      </c>
      <c r="C118" t="inlineStr">
        <is>
          <t>other</t>
        </is>
      </c>
    </row>
    <row r="119">
      <c r="A119" s="28" t="inlineStr">
        <is>
          <t>GALAXY STEELS</t>
        </is>
      </c>
      <c r="B119" s="63" t="inlineStr">
        <is>
          <t>Others</t>
        </is>
      </c>
      <c r="C119" t="inlineStr">
        <is>
          <t>other</t>
        </is>
      </c>
    </row>
    <row r="120">
      <c r="A120" s="28" t="inlineStr">
        <is>
          <t>NA  STEELS AND SCRAPS</t>
        </is>
      </c>
      <c r="B120" s="63" t="inlineStr">
        <is>
          <t>Others</t>
        </is>
      </c>
      <c r="C120" t="inlineStr">
        <is>
          <t>other</t>
        </is>
      </c>
    </row>
    <row r="121">
      <c r="A121" s="28" t="inlineStr">
        <is>
          <t>SHIVAMPRIME STEELS PRIVATE LIMITED</t>
        </is>
      </c>
      <c r="B121" s="63" t="inlineStr">
        <is>
          <t>Others</t>
        </is>
      </c>
      <c r="C121" t="inlineStr">
        <is>
          <t>other</t>
        </is>
      </c>
    </row>
    <row r="122">
      <c r="A122" s="28" t="inlineStr">
        <is>
          <t>FIRETECH BOILERS PRIVATE LIMITED</t>
        </is>
      </c>
      <c r="B122" s="63" t="inlineStr">
        <is>
          <t>Others</t>
        </is>
      </c>
      <c r="C122" t="inlineStr">
        <is>
          <t>other</t>
        </is>
      </c>
    </row>
    <row r="123">
      <c r="A123" s="28" t="inlineStr">
        <is>
          <t>Garuda Pipes Private Limited</t>
        </is>
      </c>
      <c r="B123" s="63" t="inlineStr">
        <is>
          <t>Others</t>
        </is>
      </c>
      <c r="C123" t="inlineStr">
        <is>
          <t>other</t>
        </is>
      </c>
    </row>
    <row r="124">
      <c r="A124" s="28" t="inlineStr">
        <is>
          <t>M/S.TVS MOTOR COMPANY LIMITED</t>
        </is>
      </c>
      <c r="B124" s="63" t="inlineStr">
        <is>
          <t>TVS</t>
        </is>
      </c>
      <c r="C124" t="inlineStr">
        <is>
          <t>Apoorv</t>
        </is>
      </c>
    </row>
    <row r="125">
      <c r="A125" s="28" t="inlineStr">
        <is>
          <t>Owari Preecision Products (India)</t>
        </is>
      </c>
      <c r="B125" s="63" t="inlineStr">
        <is>
          <t>Others</t>
        </is>
      </c>
      <c r="C125" t="inlineStr">
        <is>
          <t>Apoorv</t>
        </is>
      </c>
    </row>
    <row r="126">
      <c r="A126" s="28" t="inlineStr">
        <is>
          <t>VISHAL ENTERPRISES</t>
        </is>
      </c>
      <c r="B126" s="63" t="inlineStr">
        <is>
          <t>Others</t>
        </is>
      </c>
      <c r="C126" t="inlineStr">
        <is>
          <t>other</t>
        </is>
      </c>
    </row>
    <row r="127">
      <c r="A127" s="28" t="inlineStr">
        <is>
          <t>FIRETECH INDUSTRIES</t>
        </is>
      </c>
      <c r="B127" s="63" t="inlineStr">
        <is>
          <t>Others</t>
        </is>
      </c>
      <c r="C127" t="inlineStr">
        <is>
          <t>other</t>
        </is>
      </c>
    </row>
    <row r="128">
      <c r="A128" s="28" t="inlineStr">
        <is>
          <t>MAXTHERM BOILERS PRIVATE LIMITED</t>
        </is>
      </c>
      <c r="B128" s="63" t="inlineStr">
        <is>
          <t>Others</t>
        </is>
      </c>
      <c r="C128" t="inlineStr">
        <is>
          <t>other</t>
        </is>
      </c>
    </row>
    <row r="129">
      <c r="A129" s="28" t="inlineStr">
        <is>
          <t>M/S VARDHMAN TUBE INDUSTRIES</t>
        </is>
      </c>
      <c r="B129" s="63" t="inlineStr">
        <is>
          <t>Arisings</t>
        </is>
      </c>
      <c r="C129" t="inlineStr">
        <is>
          <t>Jitendra</t>
        </is>
      </c>
    </row>
    <row r="130">
      <c r="A130" s="28" t="inlineStr">
        <is>
          <t>TVS MOTOR COMPANY LIMITED</t>
        </is>
      </c>
      <c r="B130" s="28" t="inlineStr">
        <is>
          <t>TVS</t>
        </is>
      </c>
      <c r="C130" t="inlineStr">
        <is>
          <t>Apoorv</t>
        </is>
      </c>
    </row>
    <row r="131">
      <c r="A131" t="inlineStr">
        <is>
          <t>Neel Metal Products Limited</t>
        </is>
      </c>
      <c r="B131" s="63" t="inlineStr">
        <is>
          <t>TVS</t>
        </is>
      </c>
      <c r="C131" t="inlineStr">
        <is>
          <t>Apoorv</t>
        </is>
      </c>
    </row>
    <row r="132">
      <c r="A132" t="inlineStr">
        <is>
          <t>INDO AUTOTECH LIMITED UNIT-V</t>
        </is>
      </c>
      <c r="B132" s="63" t="inlineStr">
        <is>
          <t>HMSIL</t>
        </is>
      </c>
      <c r="C132" t="inlineStr">
        <is>
          <t>Abhishek</t>
        </is>
      </c>
    </row>
    <row r="133">
      <c r="A133" t="inlineStr">
        <is>
          <t>HERO MOTORS LIMITED</t>
        </is>
      </c>
      <c r="B133" s="63" t="inlineStr">
        <is>
          <t>HMSIL</t>
        </is>
      </c>
      <c r="C133" t="inlineStr">
        <is>
          <t>Abhishek</t>
        </is>
      </c>
    </row>
    <row r="134">
      <c r="A134" t="inlineStr">
        <is>
          <t>Chanda Enterprises Pvt Ltd</t>
        </is>
      </c>
      <c r="B134" s="63" t="inlineStr">
        <is>
          <t>RE</t>
        </is>
      </c>
      <c r="C134" t="inlineStr">
        <is>
          <t>Abhishek</t>
        </is>
      </c>
    </row>
    <row r="135">
      <c r="A135" t="inlineStr">
        <is>
          <t>CHANDI CREATIVES</t>
        </is>
      </c>
      <c r="B135" s="63" t="inlineStr">
        <is>
          <t>TVS</t>
        </is>
      </c>
      <c r="C135" t="inlineStr">
        <is>
          <t>Apoorv</t>
        </is>
      </c>
    </row>
    <row r="136">
      <c r="A136" t="inlineStr">
        <is>
          <t>RANAE</t>
        </is>
      </c>
      <c r="B136" s="63" t="inlineStr">
        <is>
          <t>Rane</t>
        </is>
      </c>
      <c r="C136" t="inlineStr">
        <is>
          <t>Apoorv</t>
        </is>
      </c>
    </row>
    <row r="137">
      <c r="A137" t="inlineStr">
        <is>
          <t>Hosur EPA</t>
        </is>
      </c>
      <c r="B137" s="63" t="inlineStr">
        <is>
          <t>TVS</t>
        </is>
      </c>
      <c r="C137" t="inlineStr">
        <is>
          <t>Apoorv</t>
        </is>
      </c>
    </row>
    <row r="138">
      <c r="A138" t="inlineStr">
        <is>
          <t>Thai Summit Autoparts India Pv</t>
        </is>
      </c>
      <c r="B138" s="63" t="inlineStr">
        <is>
          <t>RE</t>
        </is>
      </c>
      <c r="C138" t="inlineStr">
        <is>
          <t>Abhishek</t>
        </is>
      </c>
    </row>
    <row r="139">
      <c r="A139" t="inlineStr">
        <is>
          <t>ELKAYEM AUTO ANCILLARIES PVT L</t>
        </is>
      </c>
      <c r="B139" s="63" t="inlineStr">
        <is>
          <t>TVS</t>
        </is>
      </c>
      <c r="C139" t="inlineStr">
        <is>
          <t>Apoorv</t>
        </is>
      </c>
    </row>
    <row r="140">
      <c r="A140" t="inlineStr">
        <is>
          <t>SANDHAR ENGINEERING PVT LTD.(K</t>
        </is>
      </c>
      <c r="B140" s="63" t="inlineStr">
        <is>
          <t>TVS</t>
        </is>
      </c>
      <c r="C140" t="inlineStr">
        <is>
          <t>Apoorv</t>
        </is>
      </c>
    </row>
    <row r="141">
      <c r="A141" t="inlineStr">
        <is>
          <t>NAHARS ENGINEERING INDIA PRIVA</t>
        </is>
      </c>
      <c r="B141" s="63" t="inlineStr">
        <is>
          <t>HMSIL</t>
        </is>
      </c>
      <c r="C141" t="inlineStr">
        <is>
          <t>Abhishek</t>
        </is>
      </c>
    </row>
    <row r="142">
      <c r="A142" t="inlineStr">
        <is>
          <t>MEGH STEELS PRIVATE LIMITED -</t>
        </is>
      </c>
      <c r="B142" s="63" t="inlineStr">
        <is>
          <t>Direct</t>
        </is>
      </c>
      <c r="C142" t="inlineStr">
        <is>
          <t>Apoorv</t>
        </is>
      </c>
    </row>
    <row r="143">
      <c r="A143" t="inlineStr">
        <is>
          <t>SAKURA AUTOPARTS INDIA PRIVATE</t>
        </is>
      </c>
      <c r="B143" s="63" t="inlineStr">
        <is>
          <t>RE</t>
        </is>
      </c>
      <c r="C143" t="inlineStr">
        <is>
          <t>Abhishek</t>
        </is>
      </c>
    </row>
    <row r="144">
      <c r="A144" t="inlineStr">
        <is>
          <t>ELKAYEM AUTO ANCILLARIES (PVT)</t>
        </is>
      </c>
      <c r="B144" s="63" t="inlineStr">
        <is>
          <t>TVS</t>
        </is>
      </c>
      <c r="C144" t="inlineStr">
        <is>
          <t>Apoorv</t>
        </is>
      </c>
    </row>
    <row r="145">
      <c r="A145" t="inlineStr">
        <is>
          <t>A.R.Automotive And Engg Indust</t>
        </is>
      </c>
      <c r="B145" s="63" t="inlineStr">
        <is>
          <t>RE</t>
        </is>
      </c>
      <c r="C145" t="inlineStr">
        <is>
          <t>Abhishek</t>
        </is>
      </c>
    </row>
    <row r="146">
      <c r="A146" t="inlineStr">
        <is>
          <t>SRIKAM HITECH ENGINEERING PRIV</t>
        </is>
      </c>
      <c r="B146" s="63" t="inlineStr">
        <is>
          <t>TVS</t>
        </is>
      </c>
      <c r="C146" t="inlineStr">
        <is>
          <t>Apoorv</t>
        </is>
      </c>
    </row>
    <row r="147">
      <c r="A147" t="inlineStr">
        <is>
          <t>Sandhar EngineeringPvt.Ltd.(KA</t>
        </is>
      </c>
      <c r="B147" s="63" t="inlineStr">
        <is>
          <t>TVS</t>
        </is>
      </c>
      <c r="C147" t="inlineStr">
        <is>
          <t>Apoorv</t>
        </is>
      </c>
    </row>
    <row r="148">
      <c r="A148" t="inlineStr">
        <is>
          <t>Tisco Tubes C/A -Hosur</t>
        </is>
      </c>
      <c r="B148" s="63" t="inlineStr">
        <is>
          <t>TVS</t>
        </is>
      </c>
      <c r="C148" t="inlineStr">
        <is>
          <t>Apoorv</t>
        </is>
      </c>
    </row>
    <row r="149">
      <c r="A149" t="inlineStr">
        <is>
          <t>Sandhar Technologies (KA)–Unit</t>
        </is>
      </c>
      <c r="B149" s="63" t="inlineStr">
        <is>
          <t>TVS</t>
        </is>
      </c>
      <c r="C149" t="inlineStr">
        <is>
          <t>Apoorv</t>
        </is>
      </c>
    </row>
    <row r="150">
      <c r="A150" t="inlineStr">
        <is>
          <t>ELKAYEM AUTO ANCILLARIES PRIVA</t>
        </is>
      </c>
      <c r="B150" s="63" t="inlineStr">
        <is>
          <t>TVS</t>
        </is>
      </c>
      <c r="C150" t="inlineStr">
        <is>
          <t>Apoorv</t>
        </is>
      </c>
    </row>
    <row r="151">
      <c r="A151" t="inlineStr">
        <is>
          <t>Marathwada Auto Compo Pvt. Ltd</t>
        </is>
      </c>
      <c r="B151" s="63" t="inlineStr">
        <is>
          <t>TVS</t>
        </is>
      </c>
      <c r="C151" t="inlineStr">
        <is>
          <t>Apoorv</t>
        </is>
      </c>
    </row>
    <row r="152">
      <c r="A152" t="inlineStr">
        <is>
          <t>LAXMI METAL PRESSING WORKS PVT</t>
        </is>
      </c>
      <c r="B152" s="63" t="inlineStr">
        <is>
          <t>TVS</t>
        </is>
      </c>
      <c r="C152" t="inlineStr">
        <is>
          <t>Apoorv</t>
        </is>
      </c>
    </row>
    <row r="153">
      <c r="A153" t="inlineStr">
        <is>
          <t>Hosur Tube Plant</t>
        </is>
      </c>
      <c r="B153" s="63" t="inlineStr">
        <is>
          <t>TVS</t>
        </is>
      </c>
      <c r="C153" t="inlineStr">
        <is>
          <t>Apoorv</t>
        </is>
      </c>
    </row>
    <row r="154">
      <c r="A154" t="inlineStr">
        <is>
          <t>SURYA STEELS</t>
        </is>
      </c>
      <c r="B154" s="63" t="inlineStr">
        <is>
          <t>GE</t>
        </is>
      </c>
      <c r="C154" t="inlineStr">
        <is>
          <t>Jitendra</t>
        </is>
      </c>
    </row>
    <row r="155">
      <c r="A155" t="inlineStr">
        <is>
          <t>Sri Sai Tubes And Pipes</t>
        </is>
      </c>
      <c r="B155" s="63" t="inlineStr">
        <is>
          <t>Boiler</t>
        </is>
      </c>
      <c r="C155" t="inlineStr">
        <is>
          <t>Jitendra</t>
        </is>
      </c>
    </row>
    <row r="156">
      <c r="A156" t="inlineStr">
        <is>
          <t>M/S TAJ TRADING CORPORATION</t>
        </is>
      </c>
      <c r="B156" s="63" t="inlineStr">
        <is>
          <t>Boiler</t>
        </is>
      </c>
      <c r="C156" t="inlineStr">
        <is>
          <t>Jitendra</t>
        </is>
      </c>
    </row>
    <row r="157">
      <c r="A157" t="inlineStr">
        <is>
          <t>KAY JAY FORGINGS LIMITED</t>
        </is>
      </c>
      <c r="B157" s="63" t="inlineStr">
        <is>
          <t>TVS</t>
        </is>
      </c>
      <c r="C157" t="inlineStr">
        <is>
          <t>Apoorv</t>
        </is>
      </c>
    </row>
    <row r="158">
      <c r="A158" t="inlineStr">
        <is>
          <t>MYSORE PIPE SUPPLIERS</t>
        </is>
      </c>
      <c r="B158" s="63" t="inlineStr">
        <is>
          <t>GE</t>
        </is>
      </c>
      <c r="C158" t="inlineStr">
        <is>
          <t>Jitendra</t>
        </is>
      </c>
    </row>
    <row r="159">
      <c r="A159" t="inlineStr">
        <is>
          <t>ADISHWAR STEELS</t>
        </is>
      </c>
      <c r="B159" s="63" t="inlineStr">
        <is>
          <t>GE</t>
        </is>
      </c>
      <c r="C159" t="inlineStr">
        <is>
          <t>Jitendra</t>
        </is>
      </c>
    </row>
    <row r="160">
      <c r="A160" t="inlineStr">
        <is>
          <t>SANDHAR ENGINEERING PVTLTD(KA)U-III</t>
        </is>
      </c>
      <c r="B160" s="63" t="inlineStr">
        <is>
          <t>TVS</t>
        </is>
      </c>
      <c r="C160" t="inlineStr">
        <is>
          <t>Apoorv</t>
        </is>
      </c>
    </row>
    <row r="161">
      <c r="A161" t="inlineStr">
        <is>
          <t>SANDHAR ENGINEERING PVTLTD (KA)UIII</t>
        </is>
      </c>
      <c r="B161" s="63" t="inlineStr">
        <is>
          <t>TVS</t>
        </is>
      </c>
      <c r="C161" t="inlineStr">
        <is>
          <t>Apoorv</t>
        </is>
      </c>
    </row>
    <row r="162">
      <c r="A162" s="454" t="inlineStr">
        <is>
          <t>NY TECH BOILER TUBES CORPORATION</t>
        </is>
      </c>
      <c r="B162" s="63" t="inlineStr">
        <is>
          <t>Auction</t>
        </is>
      </c>
      <c r="C162" t="inlineStr">
        <is>
          <t>Jitendra</t>
        </is>
      </c>
    </row>
    <row r="163">
      <c r="A163" t="inlineStr">
        <is>
          <t>Rajsriya Automotive Ind.P.Ltd</t>
        </is>
      </c>
      <c r="B163" s="63" t="inlineStr">
        <is>
          <t>TVS</t>
        </is>
      </c>
      <c r="C163" t="inlineStr">
        <is>
          <t>Apoorv</t>
        </is>
      </c>
    </row>
    <row r="164">
      <c r="A164" t="inlineStr">
        <is>
          <t>SANDHAR ENGINEERING PVTLTD(KA)</t>
        </is>
      </c>
      <c r="B164" s="63" t="inlineStr">
        <is>
          <t>TVS</t>
        </is>
      </c>
      <c r="C164" t="inlineStr">
        <is>
          <t>Apoorv</t>
        </is>
      </c>
    </row>
    <row r="165">
      <c r="A165" t="inlineStr">
        <is>
          <t>Rajsriya Automotive Ind. Pvt L</t>
        </is>
      </c>
      <c r="B165" s="63" t="inlineStr">
        <is>
          <t>TVS</t>
        </is>
      </c>
      <c r="C165" t="inlineStr">
        <is>
          <t>Apoorv</t>
        </is>
      </c>
    </row>
    <row r="166">
      <c r="A166" t="inlineStr">
        <is>
          <t>SANDHAR ENGINEERING PVTLTD (KA</t>
        </is>
      </c>
      <c r="B166" s="63" t="inlineStr">
        <is>
          <t>TVS</t>
        </is>
      </c>
      <c r="C166" t="inlineStr">
        <is>
          <t>Apoorv</t>
        </is>
      </c>
    </row>
    <row r="167">
      <c r="A167" t="inlineStr">
        <is>
          <t>INDUSTRIAL STEEL AND TUBES</t>
        </is>
      </c>
      <c r="B167" s="63" t="inlineStr">
        <is>
          <t>GE</t>
        </is>
      </c>
      <c r="C167" t="inlineStr">
        <is>
          <t>Jitendra</t>
        </is>
      </c>
    </row>
    <row r="168">
      <c r="A168" t="inlineStr">
        <is>
          <t>SATYAM AUTO COMPONENTS PRIVATE LIMI</t>
        </is>
      </c>
      <c r="B168" s="63" t="inlineStr">
        <is>
          <t>Unknown</t>
        </is>
      </c>
      <c r="C168" s="63" t="inlineStr">
        <is>
          <t>Unknown</t>
        </is>
      </c>
    </row>
    <row r="169">
      <c r="A169" t="inlineStr">
        <is>
          <t>MICRO TECH CNC PRIVATE LIMITED</t>
        </is>
      </c>
      <c r="B169" s="63" t="inlineStr">
        <is>
          <t>Ola</t>
        </is>
      </c>
      <c r="C169" t="inlineStr">
        <is>
          <t>Diwakar</t>
        </is>
      </c>
    </row>
    <row r="170">
      <c r="A170" t="inlineStr">
        <is>
          <t>KURMI ENTERPRISES</t>
        </is>
      </c>
      <c r="B170" s="63" t="inlineStr">
        <is>
          <t>GE</t>
        </is>
      </c>
      <c r="C170" t="inlineStr">
        <is>
          <t>Jitendra</t>
        </is>
      </c>
    </row>
    <row r="171">
      <c r="A171" t="inlineStr">
        <is>
          <t>SREEVATSA TUBE CORPORATION</t>
        </is>
      </c>
      <c r="B171" s="63" t="inlineStr">
        <is>
          <t>Boiler</t>
        </is>
      </c>
      <c r="C171" t="inlineStr">
        <is>
          <t>Jitendra</t>
        </is>
      </c>
    </row>
    <row r="172">
      <c r="A172" t="inlineStr">
        <is>
          <t>Sree Lakshmi Precision Tools</t>
        </is>
      </c>
      <c r="B172" s="63" t="inlineStr">
        <is>
          <t>Unknown</t>
        </is>
      </c>
      <c r="C172" s="63" t="inlineStr">
        <is>
          <t>Unknown</t>
        </is>
      </c>
    </row>
    <row r="173">
      <c r="A173" t="inlineStr">
        <is>
          <t>DEVSHAR RETAIL PVT LTD</t>
        </is>
      </c>
      <c r="B173" s="63" t="inlineStr">
        <is>
          <t>Unknown</t>
        </is>
      </c>
      <c r="C173" s="63" t="inlineStr">
        <is>
          <t>Unknown</t>
        </is>
      </c>
    </row>
    <row r="174">
      <c r="A174" t="inlineStr">
        <is>
          <t>Sam India Engineering</t>
        </is>
      </c>
      <c r="B174" s="63" t="inlineStr">
        <is>
          <t>Unknown</t>
        </is>
      </c>
      <c r="C174" s="63" t="inlineStr">
        <is>
          <t>Unknown</t>
        </is>
      </c>
    </row>
    <row r="175">
      <c r="A175" t="inlineStr">
        <is>
          <t>A R AUTOMOTIVE INDUSTRIES PRIVATE L</t>
        </is>
      </c>
      <c r="B175" s="63" t="inlineStr">
        <is>
          <t>RE</t>
        </is>
      </c>
      <c r="C175" t="inlineStr">
        <is>
          <t>Abhishek</t>
        </is>
      </c>
    </row>
  </sheetData>
  <conditionalFormatting sqref="A2:A175">
    <cfRule type="duplicateValues" priority="498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topLeftCell="A13" workbookViewId="0">
      <selection activeCell="H26" sqref="H26"/>
    </sheetView>
  </sheetViews>
  <sheetFormatPr baseColWidth="8" defaultRowHeight="15"/>
  <cols>
    <col width="10.7109375" bestFit="1" customWidth="1" style="584" min="1" max="1"/>
    <col width="8.5703125" bestFit="1" customWidth="1" style="584" min="4" max="4"/>
    <col width="12.140625" customWidth="1" style="584" min="5" max="5"/>
    <col width="33.85546875" bestFit="1" customWidth="1" style="584" min="6" max="6"/>
  </cols>
  <sheetData>
    <row r="1">
      <c r="A1" t="inlineStr">
        <is>
          <t>Grade</t>
        </is>
      </c>
      <c r="B1" t="inlineStr">
        <is>
          <t>TDC</t>
        </is>
      </c>
      <c r="C1" t="inlineStr">
        <is>
          <t>THIK</t>
        </is>
      </c>
      <c r="D1" t="inlineStr">
        <is>
          <t>Key</t>
        </is>
      </c>
      <c r="E1" t="inlineStr">
        <is>
          <t>MATERIAL</t>
        </is>
      </c>
      <c r="F1" t="inlineStr">
        <is>
          <t>Material Description</t>
        </is>
      </c>
    </row>
    <row r="2">
      <c r="A2" t="inlineStr">
        <is>
          <t>Micro alloy</t>
        </is>
      </c>
      <c r="B2" t="inlineStr">
        <is>
          <t>BR45</t>
        </is>
      </c>
      <c r="C2" t="n">
        <v>1.6</v>
      </c>
      <c r="D2">
        <f>_xlfn.CONCAT(Table32[[#This Row],[TDC]],"-",Table32[[#This Row],[THIK]])</f>
        <v/>
      </c>
      <c r="E2" t="n">
        <v>3820031</v>
      </c>
      <c r="F2" t="inlineStr">
        <is>
          <t>CR COIL TATXHS BR45 1.600X1300</t>
        </is>
      </c>
    </row>
    <row r="3">
      <c r="A3" t="inlineStr">
        <is>
          <t>Micro alloy</t>
        </is>
      </c>
      <c r="B3" t="inlineStr">
        <is>
          <t>BR03</t>
        </is>
      </c>
      <c r="C3" t="n">
        <v>1.6</v>
      </c>
      <c r="D3">
        <f>_xlfn.CONCAT(Table32[[#This Row],[TDC]],"-",Table32[[#This Row],[THIK]])</f>
        <v/>
      </c>
      <c r="E3" t="n">
        <v>3717652</v>
      </c>
      <c r="F3" t="inlineStr">
        <is>
          <t>CR COIL TATXHS BR03 1.600X1300</t>
        </is>
      </c>
    </row>
    <row r="4">
      <c r="A4" t="inlineStr">
        <is>
          <t>Micro alloy</t>
        </is>
      </c>
      <c r="B4" t="inlineStr">
        <is>
          <t>BR03</t>
        </is>
      </c>
      <c r="C4" t="n">
        <v>1.6</v>
      </c>
      <c r="D4">
        <f>_xlfn.CONCAT(Table32[[#This Row],[TDC]],"-",Table32[[#This Row],[THIK]])</f>
        <v/>
      </c>
      <c r="E4" t="n">
        <v>3959449</v>
      </c>
      <c r="F4" t="inlineStr">
        <is>
          <t>CR COIL TATXHS BR03 1.600X1250</t>
        </is>
      </c>
    </row>
    <row r="5">
      <c r="A5" t="inlineStr">
        <is>
          <t>Micro alloy</t>
        </is>
      </c>
      <c r="B5" t="inlineStr">
        <is>
          <t>BR45</t>
        </is>
      </c>
      <c r="C5" t="n">
        <v>2</v>
      </c>
      <c r="D5">
        <f>_xlfn.CONCAT(Table32[[#This Row],[TDC]],"-",Table32[[#This Row],[THIK]])</f>
        <v/>
      </c>
      <c r="E5" t="n">
        <v>3820032</v>
      </c>
      <c r="F5" t="inlineStr">
        <is>
          <t>CR COIL TATXHS BR45 2X1300</t>
        </is>
      </c>
    </row>
    <row r="6">
      <c r="A6" t="inlineStr">
        <is>
          <t>Micro alloy</t>
        </is>
      </c>
      <c r="B6" t="inlineStr">
        <is>
          <t>BR03</t>
        </is>
      </c>
      <c r="C6" t="n">
        <v>2</v>
      </c>
      <c r="D6">
        <f>_xlfn.CONCAT(Table32[[#This Row],[TDC]],"-",Table32[[#This Row],[THIK]])</f>
        <v/>
      </c>
      <c r="E6" t="n">
        <v>3717653</v>
      </c>
      <c r="F6" t="inlineStr">
        <is>
          <t>CR COIL TATXHS BR03  2X1300</t>
        </is>
      </c>
    </row>
    <row r="7">
      <c r="A7" t="inlineStr">
        <is>
          <t>Micro alloy</t>
        </is>
      </c>
      <c r="B7" t="inlineStr">
        <is>
          <t>BR03</t>
        </is>
      </c>
      <c r="C7" t="n">
        <v>2</v>
      </c>
      <c r="D7">
        <f>_xlfn.CONCAT(Table32[[#This Row],[TDC]],"-",Table32[[#This Row],[THIK]])</f>
        <v/>
      </c>
      <c r="E7" t="n">
        <v>3959450</v>
      </c>
      <c r="F7" t="inlineStr">
        <is>
          <t>CR COIL TATXHS BR03  2X1250</t>
        </is>
      </c>
    </row>
    <row r="8">
      <c r="A8" t="inlineStr">
        <is>
          <t>Micro alloy</t>
        </is>
      </c>
      <c r="B8" t="inlineStr">
        <is>
          <t>BR45</t>
        </is>
      </c>
      <c r="C8" t="n">
        <v>2.3</v>
      </c>
      <c r="D8">
        <f>_xlfn.CONCAT(Table32[[#This Row],[TDC]],"-",Table32[[#This Row],[THIK]])</f>
        <v/>
      </c>
      <c r="E8" t="n">
        <v>3185984</v>
      </c>
      <c r="F8" t="inlineStr">
        <is>
          <t>CR COIL TSBHSL LA45 2.300X1300</t>
        </is>
      </c>
    </row>
    <row r="9">
      <c r="A9" t="inlineStr">
        <is>
          <t>C20</t>
        </is>
      </c>
      <c r="B9" t="inlineStr">
        <is>
          <t>TU99</t>
        </is>
      </c>
      <c r="C9" t="n">
        <v>1.4</v>
      </c>
      <c r="D9">
        <f>_xlfn.CONCAT(Table32[[#This Row],[TDC]],"-",Table32[[#This Row],[THIK]])</f>
        <v/>
      </c>
      <c r="E9" t="n">
        <v>2279476</v>
      </c>
      <c r="F9" t="inlineStr">
        <is>
          <t>CRCA COIL TSBHSQ TU99 1.400X1270</t>
        </is>
      </c>
    </row>
    <row r="10">
      <c r="A10" t="inlineStr">
        <is>
          <t>C20</t>
        </is>
      </c>
      <c r="B10" t="inlineStr">
        <is>
          <t>TU99</t>
        </is>
      </c>
      <c r="C10" t="n">
        <v>1.6</v>
      </c>
      <c r="D10">
        <f>_xlfn.CONCAT(Table32[[#This Row],[TDC]],"-",Table32[[#This Row],[THIK]])</f>
        <v/>
      </c>
      <c r="E10" t="n">
        <v>2279503</v>
      </c>
      <c r="F10" t="inlineStr">
        <is>
          <t>CRCA COIL TSBHSQ TU99 1.600X1270</t>
        </is>
      </c>
    </row>
    <row r="11">
      <c r="A11" t="inlineStr">
        <is>
          <t>C20</t>
        </is>
      </c>
      <c r="B11" t="inlineStr">
        <is>
          <t>TU99</t>
        </is>
      </c>
      <c r="C11" t="n">
        <v>2</v>
      </c>
      <c r="D11">
        <f>_xlfn.CONCAT(Table32[[#This Row],[TDC]],"-",Table32[[#This Row],[THIK]])</f>
        <v/>
      </c>
      <c r="E11" t="n">
        <v>2279483</v>
      </c>
      <c r="F11" t="inlineStr">
        <is>
          <t>CRCA COIL TSBHSQ TU99 2 X1270</t>
        </is>
      </c>
    </row>
    <row r="12">
      <c r="A12" t="inlineStr">
        <is>
          <t>C20</t>
        </is>
      </c>
      <c r="B12" t="inlineStr">
        <is>
          <t>TU99</t>
        </is>
      </c>
      <c r="C12" t="n">
        <v>2.3</v>
      </c>
      <c r="D12">
        <f>_xlfn.CONCAT(Table32[[#This Row],[TDC]],"-",Table32[[#This Row],[THIK]])</f>
        <v/>
      </c>
      <c r="E12" t="n">
        <v>3439077</v>
      </c>
      <c r="F12" t="inlineStr">
        <is>
          <t>CR COIL TSBHSQ TU99 2.300X1270</t>
        </is>
      </c>
    </row>
    <row r="13">
      <c r="A13" t="inlineStr">
        <is>
          <t>CRCA</t>
        </is>
      </c>
      <c r="B13" t="inlineStr">
        <is>
          <t>TU98</t>
        </is>
      </c>
      <c r="C13" t="n">
        <v>1</v>
      </c>
      <c r="D13">
        <f>_xlfn.CONCAT(Table32[[#This Row],[TDC]],"-",Table32[[#This Row],[THIK]])</f>
        <v/>
      </c>
      <c r="E13" t="n">
        <v>2150938</v>
      </c>
      <c r="F13" t="inlineStr">
        <is>
          <t>CRCA COIL SA1008 TU98 1X1250</t>
        </is>
      </c>
    </row>
    <row r="14">
      <c r="A14" t="inlineStr">
        <is>
          <t>CRCA</t>
        </is>
      </c>
      <c r="B14" t="inlineStr">
        <is>
          <t>TU98</t>
        </is>
      </c>
      <c r="C14" t="n">
        <v>1.2</v>
      </c>
      <c r="D14">
        <f>_xlfn.CONCAT(Table32[[#This Row],[TDC]],"-",Table32[[#This Row],[THIK]])</f>
        <v/>
      </c>
      <c r="E14" t="n">
        <v>2150940</v>
      </c>
      <c r="F14" t="inlineStr">
        <is>
          <t>CRCA COIL SA1008 TU98 1.200X1250</t>
        </is>
      </c>
    </row>
    <row r="15">
      <c r="A15" t="inlineStr">
        <is>
          <t>CRCA</t>
        </is>
      </c>
      <c r="B15" t="inlineStr">
        <is>
          <t>TU98</t>
        </is>
      </c>
      <c r="C15" t="n">
        <v>1.4</v>
      </c>
      <c r="D15">
        <f>_xlfn.CONCAT(Table32[[#This Row],[TDC]],"-",Table32[[#This Row],[THIK]])</f>
        <v/>
      </c>
      <c r="E15" t="n">
        <v>2397430</v>
      </c>
      <c r="F15" t="inlineStr">
        <is>
          <t>CRCA COIL SA1008 TU98 1.400X1250</t>
        </is>
      </c>
    </row>
    <row r="16">
      <c r="A16" t="inlineStr">
        <is>
          <t>CRCA</t>
        </is>
      </c>
      <c r="B16" t="inlineStr">
        <is>
          <t>TU98</t>
        </is>
      </c>
      <c r="C16" t="n">
        <v>1.5</v>
      </c>
      <c r="D16">
        <f>_xlfn.CONCAT(Table32[[#This Row],[TDC]],"-",Table32[[#This Row],[THIK]])</f>
        <v/>
      </c>
      <c r="E16" t="n">
        <v>2150941</v>
      </c>
      <c r="F16" t="inlineStr">
        <is>
          <t>CRCA COIL SA1008 TU98 1.500X1250</t>
        </is>
      </c>
    </row>
    <row r="17">
      <c r="A17" t="inlineStr">
        <is>
          <t>CRCA</t>
        </is>
      </c>
      <c r="B17" t="inlineStr">
        <is>
          <t>TU98</t>
        </is>
      </c>
      <c r="C17" t="n">
        <v>1.6</v>
      </c>
      <c r="D17">
        <f>_xlfn.CONCAT(Table32[[#This Row],[TDC]],"-",Table32[[#This Row],[THIK]])</f>
        <v/>
      </c>
      <c r="E17" t="n">
        <v>2150942</v>
      </c>
      <c r="F17" t="inlineStr">
        <is>
          <t>CRCA COIL SA1008 TU98 1.600X1250</t>
        </is>
      </c>
    </row>
    <row r="18">
      <c r="A18" t="inlineStr">
        <is>
          <t>CRCA</t>
        </is>
      </c>
      <c r="B18" t="inlineStr">
        <is>
          <t>TU98</t>
        </is>
      </c>
      <c r="C18" t="n">
        <v>1.9</v>
      </c>
      <c r="D18">
        <f>_xlfn.CONCAT(Table32[[#This Row],[TDC]],"-",Table32[[#This Row],[THIK]])</f>
        <v/>
      </c>
      <c r="E18" t="n">
        <v>2150943</v>
      </c>
      <c r="F18" t="inlineStr">
        <is>
          <t>CRCA COIL SA1008 TU98 1.900X1250</t>
        </is>
      </c>
    </row>
    <row r="19">
      <c r="A19" t="inlineStr">
        <is>
          <t>CRFH</t>
        </is>
      </c>
      <c r="B19" t="inlineStr">
        <is>
          <t>RE03</t>
        </is>
      </c>
      <c r="C19" t="n">
        <v>1</v>
      </c>
      <c r="D19">
        <f>_xlfn.CONCAT(Table32[[#This Row],[Grade]],"-",Table32[[#This Row],[THIK]])</f>
        <v/>
      </c>
      <c r="E19" t="n">
        <v>2324172</v>
      </c>
      <c r="F19" t="inlineStr">
        <is>
          <t>CRFH COIL TATFHC RE03 1X1250</t>
        </is>
      </c>
    </row>
    <row r="20">
      <c r="A20" t="inlineStr">
        <is>
          <t>CRFH</t>
        </is>
      </c>
      <c r="B20" t="inlineStr">
        <is>
          <t>RE04</t>
        </is>
      </c>
      <c r="C20" t="n">
        <v>1</v>
      </c>
      <c r="D20">
        <f>_xlfn.CONCAT(Table32[[#This Row],[Grade]],"-",Table32[[#This Row],[THIK]])</f>
        <v/>
      </c>
      <c r="E20" t="n">
        <v>2390551</v>
      </c>
      <c r="F20" t="inlineStr">
        <is>
          <t>CRFH COIL TATFHC RE04 1X1250</t>
        </is>
      </c>
    </row>
    <row r="21">
      <c r="A21" t="inlineStr">
        <is>
          <t>CRFH</t>
        </is>
      </c>
      <c r="B21" s="531" t="inlineStr">
        <is>
          <t>TI15</t>
        </is>
      </c>
      <c r="C21" s="531" t="n">
        <v>1</v>
      </c>
      <c r="D21">
        <f>_xlfn.CONCAT(Table32[[#This Row],[Grade]],"-",Table32[[#This Row],[THIK]])</f>
        <v/>
      </c>
      <c r="E21" s="531" t="n">
        <v>3917262</v>
      </c>
      <c r="F21" s="531" t="inlineStr">
        <is>
          <t>CR COIL TATFHC TI15 1X500</t>
        </is>
      </c>
    </row>
    <row r="22">
      <c r="A22" t="inlineStr">
        <is>
          <t>CRFH</t>
        </is>
      </c>
      <c r="B22" s="531" t="inlineStr">
        <is>
          <t>TI15</t>
        </is>
      </c>
      <c r="C22" s="531" t="n">
        <v>1.2</v>
      </c>
      <c r="D22">
        <f>_xlfn.CONCAT(Table32[[#This Row],[Grade]],"-",Table32[[#This Row],[THIK]])</f>
        <v/>
      </c>
      <c r="E22" s="531" t="n">
        <v>3917263</v>
      </c>
      <c r="F22" s="531" t="inlineStr">
        <is>
          <t>CR COIL TATFHC TI15 1.150X500</t>
        </is>
      </c>
    </row>
    <row r="23">
      <c r="A23" t="inlineStr">
        <is>
          <t>CRFH</t>
        </is>
      </c>
      <c r="B23" s="531" t="inlineStr">
        <is>
          <t>TI15</t>
        </is>
      </c>
      <c r="C23" s="531" t="n">
        <v>1.2</v>
      </c>
      <c r="D23">
        <f>_xlfn.CONCAT(Table32[[#This Row],[Grade]],"-",Table32[[#This Row],[THIK]])</f>
        <v/>
      </c>
      <c r="E23" s="531" t="n">
        <v>3993061</v>
      </c>
      <c r="F23" s="531" t="inlineStr">
        <is>
          <t>CR COIL TATFHC TI15 1.200X500</t>
        </is>
      </c>
    </row>
    <row r="24">
      <c r="A24" t="inlineStr">
        <is>
          <t>CRFH</t>
        </is>
      </c>
      <c r="B24" t="inlineStr">
        <is>
          <t>RE03</t>
        </is>
      </c>
      <c r="C24" t="n">
        <v>1.2</v>
      </c>
      <c r="D24">
        <f>_xlfn.CONCAT(Table32[[#This Row],[TDC]],"-",Table32[[#This Row],[THIK]])</f>
        <v/>
      </c>
      <c r="E24" t="n">
        <v>2324181</v>
      </c>
      <c r="F24" t="inlineStr">
        <is>
          <t>CRFH COIL TATFHC RE03 1.200X1250</t>
        </is>
      </c>
    </row>
    <row r="25">
      <c r="A25" t="inlineStr">
        <is>
          <t>HR</t>
        </is>
      </c>
      <c r="B25" t="inlineStr">
        <is>
          <t>TU02</t>
        </is>
      </c>
      <c r="C25" t="n">
        <v>1.6</v>
      </c>
      <c r="D25">
        <f>_xlfn.CONCAT(Table32[[#This Row],[TDC]],"-",Table32[[#This Row],[THIK]])</f>
        <v/>
      </c>
      <c r="E25" t="n">
        <v>2271033</v>
      </c>
      <c r="F25" t="inlineStr">
        <is>
          <t>HRPO COIL T01579 TU02 1.60X1250</t>
        </is>
      </c>
    </row>
    <row r="26">
      <c r="A26" t="inlineStr">
        <is>
          <t>HR</t>
        </is>
      </c>
      <c r="B26" t="inlineStr">
        <is>
          <t>HR99</t>
        </is>
      </c>
      <c r="C26" t="n">
        <v>1.9</v>
      </c>
      <c r="D26">
        <f>_xlfn.CONCAT(Table32[[#This Row],[TDC]],"-",Table32[[#This Row],[THIK]])</f>
        <v/>
      </c>
      <c r="E26" t="n">
        <v>3226987</v>
      </c>
      <c r="F26" t="inlineStr">
        <is>
          <t>HR COILS-PO THR099 HR99 1.90X1250</t>
        </is>
      </c>
    </row>
    <row r="27">
      <c r="A27" t="inlineStr">
        <is>
          <t>HR</t>
        </is>
      </c>
      <c r="B27" t="inlineStr">
        <is>
          <t>TU02</t>
        </is>
      </c>
      <c r="C27" t="n">
        <v>1.9</v>
      </c>
      <c r="D27">
        <f>_xlfn.CONCAT(Table32[[#This Row],[TDC]],"-",Table32[[#This Row],[THIK]])</f>
        <v/>
      </c>
      <c r="E27" t="n">
        <v>4141061</v>
      </c>
      <c r="F27" t="inlineStr">
        <is>
          <t>HR COILS-PO T01579 1.90X1250</t>
        </is>
      </c>
    </row>
    <row r="28">
      <c r="A28" t="inlineStr">
        <is>
          <t>HR</t>
        </is>
      </c>
      <c r="B28" t="inlineStr">
        <is>
          <t>HR99</t>
        </is>
      </c>
      <c r="C28" t="n">
        <v>2</v>
      </c>
      <c r="D28">
        <f>_xlfn.CONCAT(Table32[[#This Row],[TDC]],"-",Table32[[#This Row],[THIK]])</f>
        <v/>
      </c>
      <c r="E28" t="n">
        <v>1210083</v>
      </c>
      <c r="F28" t="inlineStr">
        <is>
          <t>HR COILS-PO THR099 HR99 2X1250</t>
        </is>
      </c>
    </row>
    <row r="29">
      <c r="A29" t="inlineStr">
        <is>
          <t>HR</t>
        </is>
      </c>
      <c r="B29" t="inlineStr">
        <is>
          <t>TU02</t>
        </is>
      </c>
      <c r="C29" t="n">
        <v>2</v>
      </c>
      <c r="D29">
        <f>_xlfn.CONCAT(Table32[[#This Row],[TDC]],"-",Table32[[#This Row],[THIK]])</f>
        <v/>
      </c>
      <c r="E29" t="n">
        <v>2427980</v>
      </c>
      <c r="F29" t="inlineStr">
        <is>
          <t>HRPO COIL T01579 TU02 2X1250</t>
        </is>
      </c>
    </row>
    <row r="30">
      <c r="A30" t="inlineStr">
        <is>
          <t>HR</t>
        </is>
      </c>
      <c r="B30" t="inlineStr">
        <is>
          <t>HR99</t>
        </is>
      </c>
      <c r="C30" t="n">
        <v>2.3</v>
      </c>
      <c r="D30">
        <f>_xlfn.CONCAT(Table32[[#This Row],[TDC]],"-",Table32[[#This Row],[THIK]])</f>
        <v/>
      </c>
      <c r="E30" t="n">
        <v>1371338</v>
      </c>
      <c r="F30" t="inlineStr">
        <is>
          <t>HR COILS-PO IS 1079 HR2 2.30X1250</t>
        </is>
      </c>
    </row>
    <row r="31">
      <c r="A31" t="inlineStr">
        <is>
          <t>HR</t>
        </is>
      </c>
      <c r="B31" t="inlineStr">
        <is>
          <t>TU02</t>
        </is>
      </c>
      <c r="C31" t="n">
        <v>2.3</v>
      </c>
      <c r="D31">
        <f>_xlfn.CONCAT(Table32[[#This Row],[TDC]],"-",Table32[[#This Row],[THIK]])</f>
        <v/>
      </c>
      <c r="E31" t="n">
        <v>3433881</v>
      </c>
      <c r="F31" t="inlineStr">
        <is>
          <t>HR COILS-PO T01579 TU02 2.30X1250</t>
        </is>
      </c>
    </row>
    <row r="32">
      <c r="A32" t="inlineStr">
        <is>
          <t>HR</t>
        </is>
      </c>
      <c r="B32" t="inlineStr">
        <is>
          <t>HR99</t>
        </is>
      </c>
      <c r="C32" t="n">
        <v>2.5</v>
      </c>
      <c r="D32">
        <f>_xlfn.CONCAT(Table32[[#This Row],[TDC]],"-",Table32[[#This Row],[THIK]])</f>
        <v/>
      </c>
      <c r="E32" t="n">
        <v>1250221</v>
      </c>
      <c r="F32" t="inlineStr">
        <is>
          <t>HR COILS-POIS 1079 HR2  2.50X1250</t>
        </is>
      </c>
    </row>
    <row r="33">
      <c r="A33" t="inlineStr">
        <is>
          <t>HR</t>
        </is>
      </c>
      <c r="B33" t="inlineStr">
        <is>
          <t>TU02</t>
        </is>
      </c>
      <c r="C33" t="n">
        <v>2.5</v>
      </c>
      <c r="D33">
        <f>_xlfn.CONCAT(Table32[[#This Row],[TDC]],"-",Table32[[#This Row],[THIK]])</f>
        <v/>
      </c>
      <c r="E33" t="n">
        <v>1706343</v>
      </c>
      <c r="F33" t="inlineStr">
        <is>
          <t>HRPO COIL-T01579-TU02-2.5X1250</t>
        </is>
      </c>
    </row>
    <row r="34">
      <c r="A34" t="inlineStr">
        <is>
          <t>HR</t>
        </is>
      </c>
      <c r="B34" t="inlineStr">
        <is>
          <t>TU02</t>
        </is>
      </c>
      <c r="C34" t="n">
        <v>2.5</v>
      </c>
      <c r="D34">
        <f>_xlfn.CONCAT(Table32[[#This Row],[TDC]],"-",Table32[[#This Row],[THIK]])</f>
        <v/>
      </c>
      <c r="E34" t="n">
        <v>1328020</v>
      </c>
      <c r="F34" t="inlineStr">
        <is>
          <t>HR COILS-PO PT 2.50X1250</t>
        </is>
      </c>
    </row>
    <row r="35">
      <c r="A35" t="inlineStr">
        <is>
          <t>HR</t>
        </is>
      </c>
      <c r="B35" t="inlineStr">
        <is>
          <t>HR99</t>
        </is>
      </c>
      <c r="C35" t="n">
        <v>2.9</v>
      </c>
      <c r="D35">
        <f>_xlfn.CONCAT(Table32[[#This Row],[TDC]],"-",Table32[[#This Row],[THIK]])</f>
        <v/>
      </c>
      <c r="E35" t="n">
        <v>1294719</v>
      </c>
      <c r="F35" t="inlineStr">
        <is>
          <t>HR COILS-POIS 1079 HR2  2.90X1250</t>
        </is>
      </c>
    </row>
    <row r="36">
      <c r="A36" t="inlineStr">
        <is>
          <t>HR</t>
        </is>
      </c>
      <c r="B36" t="inlineStr">
        <is>
          <t>TU02</t>
        </is>
      </c>
      <c r="C36" t="n">
        <v>3.15</v>
      </c>
      <c r="D36">
        <f>_xlfn.CONCAT(Table32[[#This Row],[TDC]],"-",Table32[[#This Row],[THIK]])</f>
        <v/>
      </c>
      <c r="E36" t="n">
        <v>1706345</v>
      </c>
      <c r="F36" t="inlineStr">
        <is>
          <t>HRPO COIL-T01579-TU02-3.15X1250</t>
        </is>
      </c>
    </row>
    <row r="37">
      <c r="A37" t="inlineStr">
        <is>
          <t>HR</t>
        </is>
      </c>
      <c r="B37" t="inlineStr">
        <is>
          <t>TU02</t>
        </is>
      </c>
      <c r="C37" t="n">
        <v>3.15</v>
      </c>
      <c r="D37">
        <f>_xlfn.CONCAT(Table32[[#This Row],[TDC]],"-",Table32[[#This Row],[THIK]])</f>
        <v/>
      </c>
      <c r="E37" t="n">
        <v>1611919</v>
      </c>
      <c r="F37" t="inlineStr">
        <is>
          <t>HR COILS-PO PT 3.15X1250</t>
        </is>
      </c>
    </row>
    <row r="38">
      <c r="A38" t="inlineStr">
        <is>
          <t>HR</t>
        </is>
      </c>
      <c r="B38" t="inlineStr">
        <is>
          <t>HR99</t>
        </is>
      </c>
      <c r="C38" t="n">
        <v>3.15</v>
      </c>
      <c r="D38">
        <f>_xlfn.CONCAT(Table32[[#This Row],[TDC]],"-",Table32[[#This Row],[THIK]])</f>
        <v/>
      </c>
      <c r="E38" t="n">
        <v>1294722</v>
      </c>
      <c r="F38" t="inlineStr">
        <is>
          <t>HR COILS-POIS 1079 HR2  3.15X1250</t>
        </is>
      </c>
    </row>
    <row r="39">
      <c r="A39" t="inlineStr">
        <is>
          <t>HR</t>
        </is>
      </c>
      <c r="B39" t="inlineStr">
        <is>
          <t>TU02</t>
        </is>
      </c>
      <c r="C39" t="n">
        <v>3.15</v>
      </c>
      <c r="D39">
        <f>_xlfn.CONCAT(Table32[[#This Row],[TDC]],"-",Table32[[#This Row],[THIK]])</f>
        <v/>
      </c>
      <c r="E39" t="n">
        <v>1611919</v>
      </c>
      <c r="F39" t="inlineStr">
        <is>
          <t>HR COILS-PO PT 3.15X1250</t>
        </is>
      </c>
    </row>
    <row r="40">
      <c r="A40" t="inlineStr">
        <is>
          <t>HR</t>
        </is>
      </c>
      <c r="B40" t="inlineStr">
        <is>
          <t>TU02</t>
        </is>
      </c>
      <c r="C40" t="n">
        <v>3.15</v>
      </c>
      <c r="D40">
        <f>_xlfn.CONCAT(Table32[[#This Row],[TDC]],"-",Table32[[#This Row],[THIK]])</f>
        <v/>
      </c>
      <c r="E40" t="n">
        <v>1706345</v>
      </c>
      <c r="F40" t="inlineStr">
        <is>
          <t>HRPO COIL-T01579-TU02-3.15X1250</t>
        </is>
      </c>
    </row>
    <row r="41">
      <c r="A41" t="inlineStr">
        <is>
          <t>HR</t>
        </is>
      </c>
      <c r="B41" t="inlineStr">
        <is>
          <t>HR99</t>
        </is>
      </c>
      <c r="C41" t="n">
        <v>3.4</v>
      </c>
      <c r="D41">
        <f>_xlfn.CONCAT(Table32[[#This Row],[TDC]],"-",Table32[[#This Row],[THIK]])</f>
        <v/>
      </c>
      <c r="E41" t="n">
        <v>3226988</v>
      </c>
      <c r="F41" t="inlineStr">
        <is>
          <t>HR COILS-POIS 1079 HR2  3.40X1250</t>
        </is>
      </c>
    </row>
    <row r="42">
      <c r="A42" t="inlineStr">
        <is>
          <t>HR</t>
        </is>
      </c>
      <c r="B42" t="inlineStr">
        <is>
          <t>TU02</t>
        </is>
      </c>
      <c r="C42" t="n">
        <v>3.4</v>
      </c>
      <c r="D42">
        <f>_xlfn.CONCAT(Table32[[#This Row],[TDC]],"-",Table32[[#This Row],[THIK]])</f>
        <v/>
      </c>
      <c r="E42" t="n">
        <v>3491196</v>
      </c>
      <c r="F42" t="inlineStr">
        <is>
          <t>HR COILS-PO T01579 3.40X1250</t>
        </is>
      </c>
    </row>
    <row r="44" ht="45" customHeight="1" s="584">
      <c r="A44" s="530" t="n"/>
      <c r="B44" s="531" t="inlineStr">
        <is>
          <t>TI15</t>
        </is>
      </c>
      <c r="C44" s="531" t="n">
        <v>1</v>
      </c>
      <c r="D44" s="531" t="n">
        <v>3917262</v>
      </c>
      <c r="E44" s="531" t="inlineStr">
        <is>
          <t>CR COIL TATFHC TI15 1X500</t>
        </is>
      </c>
      <c r="F44" s="531" t="n">
        <v>53</v>
      </c>
      <c r="G44" s="531" t="n">
        <v>20</v>
      </c>
      <c r="H44" s="531" t="n">
        <v>29</v>
      </c>
    </row>
    <row r="45" ht="45" customHeight="1" s="584">
      <c r="A45" s="530" t="n"/>
      <c r="B45" s="531" t="inlineStr">
        <is>
          <t>TI15</t>
        </is>
      </c>
      <c r="C45" s="531" t="n">
        <v>1.15</v>
      </c>
      <c r="D45" s="531" t="n">
        <v>3917263</v>
      </c>
      <c r="E45" s="531" t="inlineStr">
        <is>
          <t>CR COIL TATFHC TI15 1.150X500</t>
        </is>
      </c>
      <c r="F45" s="531" t="n">
        <v>5</v>
      </c>
      <c r="G45" s="530" t="n"/>
      <c r="H45" s="530" t="n"/>
    </row>
    <row r="46" ht="45" customHeight="1" s="584">
      <c r="A46" s="530" t="n"/>
      <c r="B46" s="531" t="inlineStr">
        <is>
          <t>TI15</t>
        </is>
      </c>
      <c r="C46" s="531" t="n">
        <v>1.2</v>
      </c>
      <c r="D46" s="531" t="n">
        <v>3993061</v>
      </c>
      <c r="E46" s="531" t="inlineStr">
        <is>
          <t>CR COIL TATFHC TI15 1.200X500</t>
        </is>
      </c>
      <c r="F46" s="530" t="n"/>
      <c r="G46" s="530" t="n"/>
      <c r="H46" s="53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L2507"/>
  <sheetViews>
    <sheetView workbookViewId="0">
      <selection activeCell="C11" sqref="C11"/>
    </sheetView>
  </sheetViews>
  <sheetFormatPr baseColWidth="8" defaultRowHeight="15"/>
  <cols>
    <col width="32.5703125" bestFit="1" customWidth="1" style="584" min="1" max="1"/>
    <col width="10.7109375" bestFit="1" customWidth="1" style="584" min="2" max="2"/>
    <col width="38.85546875" bestFit="1" customWidth="1" style="584" min="3" max="3"/>
    <col width="7.5703125" bestFit="1" customWidth="1" style="584" min="4" max="4"/>
    <col width="9.28515625" bestFit="1" customWidth="1" style="584" min="5" max="5"/>
  </cols>
  <sheetData>
    <row r="1">
      <c r="A1" t="inlineStr">
        <is>
          <t>Customer</t>
        </is>
      </c>
      <c r="B1" t="inlineStr">
        <is>
          <t>Mat Nos</t>
        </is>
      </c>
      <c r="C1" t="inlineStr">
        <is>
          <t>Mat Desc</t>
        </is>
      </c>
      <c r="D1" t="inlineStr">
        <is>
          <t>OEM</t>
        </is>
      </c>
      <c r="E1" t="inlineStr">
        <is>
          <t>Bucket</t>
        </is>
      </c>
    </row>
    <row r="2">
      <c r="A2" t="inlineStr">
        <is>
          <t>Metalman Auto Private Limited</t>
        </is>
      </c>
      <c r="B2" t="n">
        <v>4229654</v>
      </c>
      <c r="C2" t="inlineStr">
        <is>
          <t>CUT-R-AW-AUT-50.00X30.00X2.500X0.7650</t>
        </is>
      </c>
      <c r="D2" t="inlineStr">
        <is>
          <t>TVS</t>
        </is>
      </c>
      <c r="I2" t="n">
        <v>508988</v>
      </c>
      <c r="J2">
        <f t="array" ref="J2:J266">_xlfn.UNIQUE(I2:I2507)</f>
        <v/>
      </c>
      <c r="L2">
        <f t="array" ref="L2">_xlfn._xlws.FILTER(_xlfn.ANCHORARRAY(J2),ISNA(_xlfn.XMATCH(_xlfn.ANCHORARRAY(J2),buckets[Material Codes])))</f>
        <v/>
      </c>
    </row>
    <row r="3">
      <c r="A3" t="inlineStr">
        <is>
          <t>ELKAYEM AUTO ANCILLARIES PRIVA</t>
        </is>
      </c>
      <c r="B3" t="n">
        <v>4267147</v>
      </c>
      <c r="C3" t="inlineStr">
        <is>
          <t>TUB-E-O-AUT-AW-FC-22.23X2.000X0.7380</t>
        </is>
      </c>
      <c r="D3" t="inlineStr">
        <is>
          <t>TVS</t>
        </is>
      </c>
      <c r="I3" t="n">
        <v>1442308</v>
      </c>
      <c r="J3" t="n">
        <v>1442308</v>
      </c>
    </row>
    <row r="4">
      <c r="A4" t="inlineStr">
        <is>
          <t>Rajsriya Automotive Industries</t>
        </is>
      </c>
      <c r="B4" t="n">
        <v>4020858</v>
      </c>
      <c r="C4" t="inlineStr">
        <is>
          <t>TUB-O-N-AUT-AW-FC-25.40X2.000X0.3230</t>
        </is>
      </c>
      <c r="D4" t="inlineStr">
        <is>
          <t>TVS</t>
        </is>
      </c>
      <c r="I4" t="n">
        <v>2427711</v>
      </c>
      <c r="J4" t="n">
        <v>2427711</v>
      </c>
    </row>
    <row r="5">
      <c r="A5" t="inlineStr">
        <is>
          <t>Hosur Tube Plant</t>
        </is>
      </c>
      <c r="B5" t="n">
        <v>3999719</v>
      </c>
      <c r="C5" t="inlineStr">
        <is>
          <t>CR COIL TATFHC TI15 1.150X73.50</t>
        </is>
      </c>
      <c r="D5" t="inlineStr">
        <is>
          <t>TVS</t>
        </is>
      </c>
      <c r="I5" t="n">
        <v>1188598</v>
      </c>
      <c r="J5" t="n">
        <v>1188598</v>
      </c>
    </row>
    <row r="6">
      <c r="A6" t="inlineStr">
        <is>
          <t>ELKAYEM AUTO ANCILLARIES PRIVA</t>
        </is>
      </c>
      <c r="B6" t="n">
        <v>4185618</v>
      </c>
      <c r="C6" t="inlineStr">
        <is>
          <t>TUB-O-N-AUT-AW-FC-28.58X1.600X0.4200</t>
        </is>
      </c>
      <c r="D6" t="inlineStr">
        <is>
          <t>TVS</t>
        </is>
      </c>
      <c r="I6" t="n">
        <v>1399341</v>
      </c>
      <c r="J6" t="n">
        <v>1399341</v>
      </c>
    </row>
    <row r="7">
      <c r="I7" t="n">
        <v>3729146</v>
      </c>
      <c r="J7" t="n">
        <v>3729146</v>
      </c>
    </row>
    <row r="8">
      <c r="I8" t="n">
        <v>3910451</v>
      </c>
      <c r="J8" t="n">
        <v>3910451</v>
      </c>
    </row>
    <row r="9">
      <c r="I9" t="n">
        <v>3911993</v>
      </c>
      <c r="J9" t="n">
        <v>3911993</v>
      </c>
    </row>
    <row r="10">
      <c r="I10" t="n">
        <v>3911993</v>
      </c>
      <c r="J10" t="n">
        <v>1241174</v>
      </c>
    </row>
    <row r="11">
      <c r="I11" t="n">
        <v>3911993</v>
      </c>
      <c r="J11" t="n">
        <v>3520755</v>
      </c>
    </row>
    <row r="12">
      <c r="I12" t="n">
        <v>3911993</v>
      </c>
      <c r="J12" t="n">
        <v>460176</v>
      </c>
    </row>
    <row r="13">
      <c r="I13" t="n">
        <v>3911993</v>
      </c>
      <c r="J13" t="n">
        <v>3801263</v>
      </c>
    </row>
    <row r="14">
      <c r="I14" t="n">
        <v>1241174</v>
      </c>
      <c r="J14" t="n">
        <v>3746291</v>
      </c>
    </row>
    <row r="15">
      <c r="I15" t="n">
        <v>3520755</v>
      </c>
      <c r="J15" t="n">
        <v>1938127</v>
      </c>
    </row>
    <row r="16">
      <c r="I16" t="n">
        <v>3911993</v>
      </c>
      <c r="J16" t="n">
        <v>2396464</v>
      </c>
    </row>
    <row r="17">
      <c r="I17" t="n">
        <v>3911993</v>
      </c>
      <c r="J17" t="n">
        <v>1938125</v>
      </c>
    </row>
    <row r="18">
      <c r="I18" t="n">
        <v>3911993</v>
      </c>
      <c r="J18" t="n">
        <v>2359755</v>
      </c>
    </row>
    <row r="19">
      <c r="I19" t="n">
        <v>1241174</v>
      </c>
      <c r="J19" t="n">
        <v>403040</v>
      </c>
    </row>
    <row r="20">
      <c r="I20" t="n">
        <v>1241174</v>
      </c>
      <c r="J20" t="n">
        <v>238539</v>
      </c>
    </row>
    <row r="21">
      <c r="I21" t="n">
        <v>460176</v>
      </c>
      <c r="J21" t="n">
        <v>1940324</v>
      </c>
    </row>
    <row r="22">
      <c r="I22" t="n">
        <v>460176</v>
      </c>
      <c r="J22" t="n">
        <v>3722021</v>
      </c>
    </row>
    <row r="23">
      <c r="I23" t="n">
        <v>460176</v>
      </c>
      <c r="J23" t="n">
        <v>257093</v>
      </c>
    </row>
    <row r="24">
      <c r="I24" t="n">
        <v>460176</v>
      </c>
      <c r="J24" t="n">
        <v>1903849</v>
      </c>
    </row>
    <row r="25">
      <c r="I25" t="n">
        <v>3801263</v>
      </c>
      <c r="J25" t="n">
        <v>2353927</v>
      </c>
    </row>
    <row r="26">
      <c r="I26" t="n">
        <v>3746291</v>
      </c>
      <c r="J26" t="n">
        <v>2410997</v>
      </c>
    </row>
    <row r="27">
      <c r="I27" t="n">
        <v>3746291</v>
      </c>
      <c r="J27" t="n">
        <v>1470103</v>
      </c>
    </row>
    <row r="28">
      <c r="I28" t="n">
        <v>1938127</v>
      </c>
      <c r="J28" t="n">
        <v>1310731</v>
      </c>
    </row>
    <row r="29">
      <c r="I29" t="n">
        <v>2396464</v>
      </c>
      <c r="J29" t="n">
        <v>424601</v>
      </c>
    </row>
    <row r="30">
      <c r="I30" t="n">
        <v>2396464</v>
      </c>
      <c r="J30" t="n">
        <v>3774058</v>
      </c>
    </row>
    <row r="31">
      <c r="I31" t="n">
        <v>3801263</v>
      </c>
      <c r="J31" t="n">
        <v>444029</v>
      </c>
    </row>
    <row r="32">
      <c r="I32" t="n">
        <v>3801263</v>
      </c>
      <c r="J32" t="n">
        <v>1448371</v>
      </c>
    </row>
    <row r="33">
      <c r="I33" t="n">
        <v>3746291</v>
      </c>
      <c r="J33" t="n">
        <v>1284065</v>
      </c>
    </row>
    <row r="34">
      <c r="I34" t="n">
        <v>3746291</v>
      </c>
      <c r="J34" t="n">
        <v>437154</v>
      </c>
    </row>
    <row r="35">
      <c r="I35" t="n">
        <v>1938125</v>
      </c>
      <c r="J35" t="n">
        <v>437147</v>
      </c>
    </row>
    <row r="36">
      <c r="I36" t="n">
        <v>1938125</v>
      </c>
      <c r="J36" t="n">
        <v>1300148</v>
      </c>
    </row>
    <row r="37">
      <c r="I37" t="n">
        <v>2359755</v>
      </c>
      <c r="J37" t="n">
        <v>1940266</v>
      </c>
    </row>
    <row r="38">
      <c r="I38" t="n">
        <v>2359755</v>
      </c>
      <c r="J38" t="n">
        <v>511878</v>
      </c>
    </row>
    <row r="39">
      <c r="I39" t="n">
        <v>2359755</v>
      </c>
      <c r="J39" t="n">
        <v>1531609</v>
      </c>
    </row>
    <row r="40">
      <c r="I40" t="n">
        <v>403040</v>
      </c>
      <c r="J40" t="n">
        <v>4079374</v>
      </c>
    </row>
    <row r="41">
      <c r="I41" t="n">
        <v>238539</v>
      </c>
      <c r="J41" t="n">
        <v>1940312</v>
      </c>
    </row>
    <row r="42">
      <c r="I42" t="n">
        <v>508988</v>
      </c>
      <c r="J42" t="n">
        <v>403039</v>
      </c>
    </row>
    <row r="43">
      <c r="I43" t="n">
        <v>1940324</v>
      </c>
      <c r="J43" t="n">
        <v>3940551</v>
      </c>
    </row>
    <row r="44">
      <c r="I44" t="n">
        <v>3722021</v>
      </c>
      <c r="J44" t="n">
        <v>3635694</v>
      </c>
    </row>
    <row r="45">
      <c r="I45" t="n">
        <v>257093</v>
      </c>
      <c r="J45" t="n">
        <v>1940327</v>
      </c>
    </row>
    <row r="46">
      <c r="I46" t="n">
        <v>257093</v>
      </c>
      <c r="J46" t="n">
        <v>319684</v>
      </c>
    </row>
    <row r="47">
      <c r="I47" t="n">
        <v>257093</v>
      </c>
      <c r="J47" t="n">
        <v>1940743</v>
      </c>
    </row>
    <row r="48">
      <c r="I48" t="n">
        <v>257093</v>
      </c>
      <c r="J48" t="n">
        <v>1940466</v>
      </c>
    </row>
    <row r="49">
      <c r="I49" t="n">
        <v>1903849</v>
      </c>
      <c r="J49" t="n">
        <v>3545492</v>
      </c>
    </row>
    <row r="50">
      <c r="I50" t="n">
        <v>2353927</v>
      </c>
      <c r="J50" t="n">
        <v>292333</v>
      </c>
    </row>
    <row r="51">
      <c r="I51" t="n">
        <v>2353927</v>
      </c>
      <c r="J51" t="n">
        <v>437135</v>
      </c>
    </row>
    <row r="52">
      <c r="I52" t="n">
        <v>2410997</v>
      </c>
      <c r="J52" t="n">
        <v>1938191</v>
      </c>
    </row>
    <row r="53">
      <c r="I53" t="n">
        <v>2410997</v>
      </c>
      <c r="J53" t="n">
        <v>1254735</v>
      </c>
    </row>
    <row r="54">
      <c r="I54" t="n">
        <v>2410997</v>
      </c>
      <c r="J54" t="n">
        <v>3672992</v>
      </c>
    </row>
    <row r="55">
      <c r="I55" t="n">
        <v>2410997</v>
      </c>
      <c r="J55" t="n">
        <v>3484652</v>
      </c>
    </row>
    <row r="56">
      <c r="I56" t="n">
        <v>2410997</v>
      </c>
      <c r="J56" t="n">
        <v>3508947</v>
      </c>
    </row>
    <row r="57">
      <c r="I57" t="n">
        <v>2410997</v>
      </c>
      <c r="J57" t="n">
        <v>1432171</v>
      </c>
    </row>
    <row r="58">
      <c r="I58" t="n">
        <v>2410997</v>
      </c>
      <c r="J58" t="n">
        <v>1432170</v>
      </c>
    </row>
    <row r="59">
      <c r="I59" t="n">
        <v>2410997</v>
      </c>
      <c r="J59" t="n">
        <v>2420106</v>
      </c>
    </row>
    <row r="60">
      <c r="I60" t="n">
        <v>2410997</v>
      </c>
      <c r="J60" t="n">
        <v>1432172</v>
      </c>
    </row>
    <row r="61">
      <c r="I61" t="n">
        <v>1470103</v>
      </c>
      <c r="J61" t="n">
        <v>3138219</v>
      </c>
    </row>
    <row r="62">
      <c r="I62" t="n">
        <v>2353927</v>
      </c>
      <c r="J62" t="n">
        <v>3182342</v>
      </c>
    </row>
    <row r="63">
      <c r="I63" t="n">
        <v>1310731</v>
      </c>
      <c r="J63" t="n">
        <v>1154248</v>
      </c>
    </row>
    <row r="64">
      <c r="I64" t="n">
        <v>1310731</v>
      </c>
      <c r="J64" t="n">
        <v>288719</v>
      </c>
    </row>
    <row r="65">
      <c r="I65" t="n">
        <v>1470103</v>
      </c>
      <c r="J65" t="n">
        <v>3533249</v>
      </c>
    </row>
    <row r="66">
      <c r="I66" t="n">
        <v>1470103</v>
      </c>
      <c r="J66" t="n">
        <v>3533248</v>
      </c>
    </row>
    <row r="67">
      <c r="I67" t="n">
        <v>424601</v>
      </c>
      <c r="J67" t="n">
        <v>296754</v>
      </c>
    </row>
    <row r="68">
      <c r="I68" t="n">
        <v>424601</v>
      </c>
      <c r="J68" t="n">
        <v>1385283</v>
      </c>
    </row>
    <row r="69">
      <c r="I69" t="n">
        <v>424601</v>
      </c>
      <c r="J69" t="n">
        <v>3935313</v>
      </c>
    </row>
    <row r="70">
      <c r="I70" t="n">
        <v>424601</v>
      </c>
      <c r="J70" t="n">
        <v>4100796</v>
      </c>
    </row>
    <row r="71">
      <c r="I71" t="n">
        <v>424601</v>
      </c>
      <c r="J71" t="n">
        <v>4104140</v>
      </c>
    </row>
    <row r="72">
      <c r="I72" t="n">
        <v>3774058</v>
      </c>
      <c r="J72" t="n">
        <v>3571870</v>
      </c>
    </row>
    <row r="73">
      <c r="I73" t="n">
        <v>3774058</v>
      </c>
      <c r="J73" t="n">
        <v>3572051</v>
      </c>
    </row>
    <row r="74">
      <c r="I74" t="n">
        <v>444029</v>
      </c>
      <c r="J74" t="n">
        <v>3929691</v>
      </c>
    </row>
    <row r="75">
      <c r="I75" t="n">
        <v>444029</v>
      </c>
      <c r="J75" t="n">
        <v>3929540</v>
      </c>
    </row>
    <row r="76">
      <c r="I76" t="n">
        <v>1448371</v>
      </c>
      <c r="J76" t="n">
        <v>3929692</v>
      </c>
    </row>
    <row r="77">
      <c r="I77" t="n">
        <v>1448371</v>
      </c>
      <c r="J77" t="n">
        <v>3230495</v>
      </c>
    </row>
    <row r="78">
      <c r="I78" t="n">
        <v>1284065</v>
      </c>
      <c r="J78" t="n">
        <v>1940849</v>
      </c>
    </row>
    <row r="79">
      <c r="I79" t="n">
        <v>437154</v>
      </c>
      <c r="J79" t="n">
        <v>1940850</v>
      </c>
    </row>
    <row r="80">
      <c r="I80" t="n">
        <v>437154</v>
      </c>
      <c r="J80" t="n">
        <v>3230482</v>
      </c>
    </row>
    <row r="81">
      <c r="I81" t="n">
        <v>437147</v>
      </c>
      <c r="J81" t="n">
        <v>3935311</v>
      </c>
    </row>
    <row r="82">
      <c r="I82" t="n">
        <v>1300148</v>
      </c>
      <c r="J82" t="n">
        <v>3931835</v>
      </c>
    </row>
    <row r="83">
      <c r="I83" t="n">
        <v>1300148</v>
      </c>
      <c r="J83" t="n">
        <v>3938687</v>
      </c>
    </row>
    <row r="84">
      <c r="I84" t="n">
        <v>2359755</v>
      </c>
      <c r="J84" t="n">
        <v>3230486</v>
      </c>
    </row>
    <row r="85">
      <c r="I85" t="n">
        <v>2359755</v>
      </c>
      <c r="J85" t="n">
        <v>3230490</v>
      </c>
    </row>
    <row r="86">
      <c r="I86" t="n">
        <v>2359755</v>
      </c>
      <c r="J86" t="n">
        <v>3230487</v>
      </c>
    </row>
    <row r="87">
      <c r="I87" t="n">
        <v>2359755</v>
      </c>
      <c r="J87" t="n">
        <v>3230488</v>
      </c>
    </row>
    <row r="88">
      <c r="I88" t="n">
        <v>2359755</v>
      </c>
      <c r="J88" t="n">
        <v>3931836</v>
      </c>
    </row>
    <row r="89">
      <c r="I89" t="n">
        <v>2359755</v>
      </c>
      <c r="J89" t="n">
        <v>3230485</v>
      </c>
    </row>
    <row r="90">
      <c r="I90" t="n">
        <v>1940266</v>
      </c>
      <c r="J90" t="n">
        <v>3233560</v>
      </c>
    </row>
    <row r="91">
      <c r="I91" t="n">
        <v>511878</v>
      </c>
      <c r="J91" t="n">
        <v>3230492</v>
      </c>
    </row>
    <row r="92">
      <c r="I92" t="n">
        <v>1531609</v>
      </c>
      <c r="J92" t="n">
        <v>3572038</v>
      </c>
    </row>
    <row r="93">
      <c r="I93" t="n">
        <v>1531609</v>
      </c>
      <c r="J93" t="n">
        <v>3233559</v>
      </c>
    </row>
    <row r="94">
      <c r="I94" t="n">
        <v>3520755</v>
      </c>
      <c r="J94" t="n">
        <v>3584171</v>
      </c>
    </row>
    <row r="95">
      <c r="I95" t="n">
        <v>4079374</v>
      </c>
      <c r="J95" t="n">
        <v>3233557</v>
      </c>
    </row>
    <row r="96">
      <c r="I96" t="n">
        <v>4079374</v>
      </c>
      <c r="J96" t="n">
        <v>3233555</v>
      </c>
    </row>
    <row r="97">
      <c r="I97" t="n">
        <v>1300148</v>
      </c>
      <c r="J97" t="n">
        <v>3233554</v>
      </c>
    </row>
    <row r="98">
      <c r="I98" t="n">
        <v>1300148</v>
      </c>
      <c r="J98" t="n">
        <v>1940801</v>
      </c>
    </row>
    <row r="99">
      <c r="I99" t="n">
        <v>1940312</v>
      </c>
      <c r="J99" t="n">
        <v>2331952</v>
      </c>
    </row>
    <row r="100">
      <c r="I100" t="n">
        <v>403039</v>
      </c>
      <c r="J100" t="n">
        <v>2413708</v>
      </c>
    </row>
    <row r="101">
      <c r="I101" t="n">
        <v>3940551</v>
      </c>
      <c r="J101" t="n">
        <v>1940318</v>
      </c>
    </row>
    <row r="102">
      <c r="I102" t="n">
        <v>238539</v>
      </c>
      <c r="J102" t="n">
        <v>2331953</v>
      </c>
    </row>
    <row r="103">
      <c r="I103" t="n">
        <v>238539</v>
      </c>
      <c r="J103" t="n">
        <v>2349249</v>
      </c>
    </row>
    <row r="104">
      <c r="I104" t="n">
        <v>257093</v>
      </c>
      <c r="J104" t="n">
        <v>3673011</v>
      </c>
    </row>
    <row r="105">
      <c r="I105" t="n">
        <v>257093</v>
      </c>
      <c r="J105" t="n">
        <v>3673012</v>
      </c>
    </row>
    <row r="106">
      <c r="I106" t="n">
        <v>257093</v>
      </c>
      <c r="J106" t="n">
        <v>2270133</v>
      </c>
    </row>
    <row r="107">
      <c r="I107" t="n">
        <v>1903849</v>
      </c>
      <c r="J107" t="n">
        <v>1939994</v>
      </c>
    </row>
    <row r="108">
      <c r="I108" t="n">
        <v>3635694</v>
      </c>
      <c r="J108" t="n">
        <v>1939963</v>
      </c>
    </row>
    <row r="109">
      <c r="I109" t="n">
        <v>1940324</v>
      </c>
      <c r="J109" t="n">
        <v>1940262</v>
      </c>
    </row>
    <row r="110">
      <c r="I110" t="n">
        <v>1940324</v>
      </c>
      <c r="J110" t="n">
        <v>3943203</v>
      </c>
    </row>
    <row r="111">
      <c r="I111" t="n">
        <v>1940324</v>
      </c>
      <c r="J111" t="n">
        <v>1940478</v>
      </c>
    </row>
    <row r="112">
      <c r="I112" t="n">
        <v>1448371</v>
      </c>
      <c r="J112" t="n">
        <v>3605739</v>
      </c>
    </row>
    <row r="113">
      <c r="I113" t="n">
        <v>1448371</v>
      </c>
      <c r="J113" t="n">
        <v>3509824</v>
      </c>
    </row>
    <row r="114">
      <c r="I114" t="n">
        <v>1940327</v>
      </c>
      <c r="J114" t="n">
        <v>1940881</v>
      </c>
    </row>
    <row r="115">
      <c r="I115" t="n">
        <v>1940327</v>
      </c>
      <c r="J115" t="n">
        <v>1940538</v>
      </c>
    </row>
    <row r="116">
      <c r="I116" t="n">
        <v>511878</v>
      </c>
      <c r="J116" t="n">
        <v>3518158</v>
      </c>
    </row>
    <row r="117">
      <c r="I117" t="n">
        <v>238539</v>
      </c>
      <c r="J117" t="n">
        <v>1940189</v>
      </c>
    </row>
    <row r="118">
      <c r="I118" t="n">
        <v>403040</v>
      </c>
      <c r="J118" t="n">
        <v>1940908</v>
      </c>
    </row>
    <row r="119">
      <c r="I119" t="n">
        <v>403040</v>
      </c>
      <c r="J119" t="n">
        <v>3781649</v>
      </c>
    </row>
    <row r="120">
      <c r="I120" t="n">
        <v>3635694</v>
      </c>
      <c r="J120" t="n">
        <v>1940879</v>
      </c>
    </row>
    <row r="121">
      <c r="I121" t="n">
        <v>319684</v>
      </c>
      <c r="J121" t="n">
        <v>3910020</v>
      </c>
    </row>
    <row r="122">
      <c r="I122" t="n">
        <v>319684</v>
      </c>
      <c r="J122" t="n">
        <v>1940710</v>
      </c>
    </row>
    <row r="123">
      <c r="I123" t="n">
        <v>319684</v>
      </c>
      <c r="J123" t="n">
        <v>1940830</v>
      </c>
    </row>
    <row r="124">
      <c r="I124" t="n">
        <v>3722021</v>
      </c>
      <c r="J124" t="n">
        <v>3712521</v>
      </c>
    </row>
    <row r="125">
      <c r="I125" t="n">
        <v>3722021</v>
      </c>
      <c r="J125" t="n">
        <v>3926270</v>
      </c>
    </row>
    <row r="126">
      <c r="I126" t="n">
        <v>1940743</v>
      </c>
      <c r="J126" t="n">
        <v>1940510</v>
      </c>
    </row>
    <row r="127">
      <c r="I127" t="n">
        <v>1940466</v>
      </c>
      <c r="J127" t="n">
        <v>1939996</v>
      </c>
    </row>
    <row r="128">
      <c r="I128" t="n">
        <v>1940466</v>
      </c>
      <c r="J128" t="n">
        <v>1939993</v>
      </c>
    </row>
    <row r="129">
      <c r="I129" t="n">
        <v>1940466</v>
      </c>
      <c r="J129" t="n">
        <v>1940653</v>
      </c>
    </row>
    <row r="130">
      <c r="I130" t="n">
        <v>3635694</v>
      </c>
      <c r="J130" t="n">
        <v>1940738</v>
      </c>
    </row>
    <row r="131">
      <c r="I131" t="n">
        <v>3635694</v>
      </c>
      <c r="J131" t="n">
        <v>1940730</v>
      </c>
    </row>
    <row r="132">
      <c r="I132" t="n">
        <v>3545492</v>
      </c>
      <c r="J132" t="n">
        <v>4098593</v>
      </c>
    </row>
    <row r="133">
      <c r="I133" t="n">
        <v>424601</v>
      </c>
      <c r="J133" t="n">
        <v>4098592</v>
      </c>
    </row>
    <row r="134">
      <c r="I134" t="n">
        <v>1470103</v>
      </c>
      <c r="J134" t="n">
        <v>2427158</v>
      </c>
    </row>
    <row r="135">
      <c r="I135" t="n">
        <v>424601</v>
      </c>
      <c r="J135" t="n">
        <v>4096696</v>
      </c>
    </row>
    <row r="136">
      <c r="I136" t="n">
        <v>292333</v>
      </c>
      <c r="J136" t="n">
        <v>4096695</v>
      </c>
    </row>
    <row r="137">
      <c r="I137" t="n">
        <v>2410997</v>
      </c>
      <c r="J137" t="n">
        <v>3780004</v>
      </c>
    </row>
    <row r="138">
      <c r="I138" t="n">
        <v>2410997</v>
      </c>
      <c r="J138" t="n">
        <v>3910648</v>
      </c>
    </row>
    <row r="139">
      <c r="I139" t="n">
        <v>2410997</v>
      </c>
      <c r="J139" t="n">
        <v>3801265</v>
      </c>
    </row>
    <row r="140">
      <c r="I140" t="n">
        <v>2410997</v>
      </c>
      <c r="J140" t="n">
        <v>3775636</v>
      </c>
    </row>
    <row r="141">
      <c r="I141" t="n">
        <v>2410997</v>
      </c>
      <c r="J141" t="n">
        <v>3910650</v>
      </c>
    </row>
    <row r="142">
      <c r="I142" t="n">
        <v>1310731</v>
      </c>
      <c r="J142" t="n">
        <v>1940852</v>
      </c>
    </row>
    <row r="143">
      <c r="I143" t="n">
        <v>424601</v>
      </c>
      <c r="J143" t="n">
        <v>1940807</v>
      </c>
    </row>
    <row r="144">
      <c r="I144" t="n">
        <v>424601</v>
      </c>
      <c r="J144" t="n">
        <v>3931837</v>
      </c>
    </row>
    <row r="145">
      <c r="I145" t="n">
        <v>424601</v>
      </c>
      <c r="J145" t="n">
        <v>4075254</v>
      </c>
    </row>
    <row r="146">
      <c r="I146" t="n">
        <v>424601</v>
      </c>
      <c r="J146" t="n">
        <v>1940416</v>
      </c>
    </row>
    <row r="147">
      <c r="I147" t="n">
        <v>437135</v>
      </c>
      <c r="J147" t="n">
        <v>1940822</v>
      </c>
    </row>
    <row r="148">
      <c r="I148" t="n">
        <v>257093</v>
      </c>
      <c r="J148" t="n">
        <v>1940821</v>
      </c>
    </row>
    <row r="149">
      <c r="I149" t="n">
        <v>257093</v>
      </c>
      <c r="J149" t="n">
        <v>1940043</v>
      </c>
    </row>
    <row r="150">
      <c r="I150" t="n">
        <v>257093</v>
      </c>
      <c r="J150" t="n">
        <v>1940731</v>
      </c>
    </row>
    <row r="151">
      <c r="I151" t="n">
        <v>1938191</v>
      </c>
      <c r="J151" t="n">
        <v>3841883</v>
      </c>
    </row>
    <row r="152">
      <c r="I152" t="n">
        <v>1284065</v>
      </c>
      <c r="J152" t="n">
        <v>3910649</v>
      </c>
    </row>
    <row r="153">
      <c r="I153" t="n">
        <v>1284065</v>
      </c>
      <c r="J153" t="n">
        <v>3714733</v>
      </c>
    </row>
    <row r="154">
      <c r="I154" t="n">
        <v>1254735</v>
      </c>
      <c r="J154" t="n">
        <v>2430128</v>
      </c>
    </row>
    <row r="155">
      <c r="I155" t="n">
        <v>3672992</v>
      </c>
      <c r="J155" t="n">
        <v>2409616</v>
      </c>
    </row>
    <row r="156">
      <c r="I156" t="n">
        <v>3672992</v>
      </c>
      <c r="J156" t="n">
        <v>3229740</v>
      </c>
    </row>
    <row r="157">
      <c r="I157" t="n">
        <v>1940312</v>
      </c>
      <c r="J157" t="n">
        <v>3239890</v>
      </c>
    </row>
    <row r="158">
      <c r="I158" t="n">
        <v>1442308</v>
      </c>
      <c r="J158" t="n">
        <v>3432081</v>
      </c>
    </row>
    <row r="159">
      <c r="I159" t="n">
        <v>2427711</v>
      </c>
      <c r="J159" t="n">
        <v>4100177</v>
      </c>
    </row>
    <row r="160">
      <c r="I160" t="n">
        <v>1399341</v>
      </c>
      <c r="J160" t="n">
        <v>1940911</v>
      </c>
    </row>
    <row r="161">
      <c r="I161" t="n">
        <v>3911993</v>
      </c>
      <c r="J161" t="n">
        <v>1940837</v>
      </c>
    </row>
    <row r="162">
      <c r="I162" t="n">
        <v>3911993</v>
      </c>
      <c r="J162" t="n">
        <v>3122347</v>
      </c>
    </row>
    <row r="163">
      <c r="I163" t="n">
        <v>3484652</v>
      </c>
      <c r="J163" t="n">
        <v>1940715</v>
      </c>
    </row>
    <row r="164">
      <c r="I164" t="n">
        <v>1241174</v>
      </c>
      <c r="J164" t="n">
        <v>1940840</v>
      </c>
    </row>
    <row r="165">
      <c r="I165" t="n">
        <v>1241174</v>
      </c>
      <c r="J165" t="n">
        <v>1940090</v>
      </c>
    </row>
    <row r="166">
      <c r="I166" t="n">
        <v>4079374</v>
      </c>
      <c r="J166" t="n">
        <v>1940188</v>
      </c>
    </row>
    <row r="167">
      <c r="I167" t="n">
        <v>3508947</v>
      </c>
      <c r="J167" t="n">
        <v>4010435</v>
      </c>
    </row>
    <row r="168">
      <c r="I168" t="n">
        <v>3508947</v>
      </c>
      <c r="J168" t="n">
        <v>3572044</v>
      </c>
    </row>
    <row r="169">
      <c r="I169" t="n">
        <v>3508947</v>
      </c>
      <c r="J169" t="n">
        <v>1940146</v>
      </c>
    </row>
    <row r="170">
      <c r="I170" t="n">
        <v>1432171</v>
      </c>
      <c r="J170" t="n">
        <v>3508742</v>
      </c>
    </row>
    <row r="171">
      <c r="I171" t="n">
        <v>1432170</v>
      </c>
      <c r="J171" t="n">
        <v>1940686</v>
      </c>
    </row>
    <row r="172">
      <c r="I172" t="n">
        <v>2420106</v>
      </c>
      <c r="J172" t="n">
        <v>1939966</v>
      </c>
    </row>
    <row r="173">
      <c r="I173" t="n">
        <v>3635694</v>
      </c>
      <c r="J173" t="n">
        <v>1940825</v>
      </c>
    </row>
    <row r="174">
      <c r="I174" t="n">
        <v>3635694</v>
      </c>
      <c r="J174" t="n">
        <v>1940823</v>
      </c>
    </row>
    <row r="175">
      <c r="I175" t="n">
        <v>3635694</v>
      </c>
      <c r="J175" t="n">
        <v>3598957</v>
      </c>
    </row>
    <row r="176">
      <c r="I176" t="n">
        <v>1940324</v>
      </c>
      <c r="J176" t="n">
        <v>2256692</v>
      </c>
    </row>
    <row r="177">
      <c r="I177" t="n">
        <v>1940324</v>
      </c>
      <c r="J177" t="n">
        <v>1905990</v>
      </c>
    </row>
    <row r="178">
      <c r="I178" t="n">
        <v>1940324</v>
      </c>
      <c r="J178" t="n">
        <v>3780005</v>
      </c>
    </row>
    <row r="179">
      <c r="I179" t="n">
        <v>1940324</v>
      </c>
      <c r="J179" t="n">
        <v>2325421</v>
      </c>
    </row>
    <row r="180">
      <c r="I180" t="n">
        <v>3508947</v>
      </c>
      <c r="J180" t="n">
        <v>3935312</v>
      </c>
    </row>
    <row r="181">
      <c r="I181" t="n">
        <v>1442308</v>
      </c>
      <c r="J181" t="n">
        <v>3931834</v>
      </c>
    </row>
    <row r="182">
      <c r="I182" t="n">
        <v>2427711</v>
      </c>
      <c r="J182" t="n">
        <v>3952059</v>
      </c>
    </row>
    <row r="183">
      <c r="I183" t="n">
        <v>238539</v>
      </c>
      <c r="J183" t="n">
        <v>3233556</v>
      </c>
    </row>
    <row r="184">
      <c r="I184" t="n">
        <v>403040</v>
      </c>
      <c r="J184" t="n">
        <v>3706751</v>
      </c>
    </row>
    <row r="185">
      <c r="I185" t="n">
        <v>403040</v>
      </c>
      <c r="J185" t="n">
        <v>2420205</v>
      </c>
    </row>
    <row r="186">
      <c r="I186" t="n">
        <v>403040</v>
      </c>
      <c r="J186" t="n">
        <v>2403383</v>
      </c>
    </row>
    <row r="187">
      <c r="I187" t="n">
        <v>2359755</v>
      </c>
      <c r="J187" t="n">
        <v>3929636</v>
      </c>
    </row>
    <row r="188">
      <c r="I188" t="n">
        <v>2359755</v>
      </c>
      <c r="J188" t="n">
        <v>3556680</v>
      </c>
    </row>
    <row r="189">
      <c r="I189" t="n">
        <v>2359755</v>
      </c>
      <c r="J189" t="n">
        <v>1940399</v>
      </c>
    </row>
    <row r="190">
      <c r="I190" t="n">
        <v>403039</v>
      </c>
      <c r="J190" t="n">
        <v>2423535</v>
      </c>
    </row>
    <row r="191">
      <c r="I191" t="n">
        <v>460176</v>
      </c>
      <c r="J191" t="n">
        <v>3943202</v>
      </c>
    </row>
    <row r="192">
      <c r="I192" t="n">
        <v>1310731</v>
      </c>
      <c r="J192" t="n">
        <v>1940498</v>
      </c>
    </row>
    <row r="193">
      <c r="I193" t="n">
        <v>424601</v>
      </c>
      <c r="J193" t="n">
        <v>3409367</v>
      </c>
    </row>
    <row r="194">
      <c r="I194" t="n">
        <v>437135</v>
      </c>
      <c r="J194" t="n">
        <v>2409618</v>
      </c>
    </row>
    <row r="195">
      <c r="I195" t="n">
        <v>437135</v>
      </c>
      <c r="J195" t="n">
        <v>1937022</v>
      </c>
    </row>
    <row r="196">
      <c r="I196" t="n">
        <v>257093</v>
      </c>
      <c r="J196" t="n">
        <v>1940287</v>
      </c>
    </row>
    <row r="197">
      <c r="I197" t="n">
        <v>257093</v>
      </c>
      <c r="J197" t="n">
        <v>3409366</v>
      </c>
    </row>
    <row r="198">
      <c r="I198" t="n">
        <v>257093</v>
      </c>
      <c r="J198" t="n">
        <v>1900224</v>
      </c>
    </row>
    <row r="199">
      <c r="I199" t="n">
        <v>1470103</v>
      </c>
      <c r="J199" t="n">
        <v>1940437</v>
      </c>
    </row>
    <row r="200">
      <c r="I200" t="n">
        <v>1432171</v>
      </c>
      <c r="J200" t="n">
        <v>1940078</v>
      </c>
    </row>
    <row r="201">
      <c r="I201" t="n">
        <v>1432172</v>
      </c>
      <c r="J201" t="n">
        <v>1940014</v>
      </c>
    </row>
    <row r="202">
      <c r="I202" t="n">
        <v>3911993</v>
      </c>
      <c r="J202" t="n">
        <v>4036237</v>
      </c>
    </row>
    <row r="203">
      <c r="I203" t="n">
        <v>3911993</v>
      </c>
      <c r="J203" t="n">
        <v>1940603</v>
      </c>
    </row>
    <row r="204">
      <c r="I204" t="n">
        <v>3911993</v>
      </c>
      <c r="J204" t="n">
        <v>1940306</v>
      </c>
    </row>
    <row r="205">
      <c r="I205" t="n">
        <v>3911993</v>
      </c>
      <c r="J205" t="n">
        <v>3819143</v>
      </c>
    </row>
    <row r="206">
      <c r="I206" t="n">
        <v>3911993</v>
      </c>
      <c r="J206" t="n">
        <v>1941845</v>
      </c>
    </row>
    <row r="207">
      <c r="I207" t="n">
        <v>3729146</v>
      </c>
      <c r="J207" t="n">
        <v>3786201</v>
      </c>
    </row>
    <row r="208">
      <c r="I208" t="n">
        <v>3910451</v>
      </c>
      <c r="J208" t="n">
        <v>3786202</v>
      </c>
    </row>
    <row r="209">
      <c r="I209" t="n">
        <v>4079374</v>
      </c>
      <c r="J209" t="n">
        <v>1940247</v>
      </c>
    </row>
    <row r="210">
      <c r="I210" t="n">
        <v>3138219</v>
      </c>
      <c r="J210" t="n">
        <v>3715133</v>
      </c>
    </row>
    <row r="211">
      <c r="I211" t="n">
        <v>3635694</v>
      </c>
      <c r="J211" t="n">
        <v>1940815</v>
      </c>
    </row>
    <row r="212">
      <c r="I212" t="n">
        <v>2359755</v>
      </c>
      <c r="J212" t="n">
        <v>3929662</v>
      </c>
    </row>
    <row r="213">
      <c r="I213" t="n">
        <v>2359755</v>
      </c>
      <c r="J213" t="n">
        <v>4098594</v>
      </c>
    </row>
    <row r="214">
      <c r="I214" t="n">
        <v>3182342</v>
      </c>
      <c r="J214" t="n">
        <v>1940588</v>
      </c>
    </row>
    <row r="215">
      <c r="I215" t="n">
        <v>424601</v>
      </c>
      <c r="J215" t="n">
        <v>1940325</v>
      </c>
    </row>
    <row r="216">
      <c r="I216" t="n">
        <v>424601</v>
      </c>
      <c r="J216" t="n">
        <v>1940329</v>
      </c>
    </row>
    <row r="217">
      <c r="I217" t="n">
        <v>319684</v>
      </c>
      <c r="J217" t="n">
        <v>3172238</v>
      </c>
    </row>
    <row r="218">
      <c r="I218" t="n">
        <v>1154248</v>
      </c>
      <c r="J218" t="n">
        <v>3676337</v>
      </c>
    </row>
    <row r="219">
      <c r="I219" t="n">
        <v>3722021</v>
      </c>
      <c r="J219" t="n">
        <v>1940307</v>
      </c>
    </row>
    <row r="220">
      <c r="I220" t="n">
        <v>3182342</v>
      </c>
      <c r="J220" t="n">
        <v>1932848</v>
      </c>
    </row>
    <row r="221">
      <c r="I221" t="n">
        <v>3182342</v>
      </c>
      <c r="J221" t="n">
        <v>2427939</v>
      </c>
    </row>
    <row r="222">
      <c r="I222" t="n">
        <v>3182342</v>
      </c>
      <c r="J222" t="n">
        <v>2427960</v>
      </c>
    </row>
    <row r="223">
      <c r="I223" t="n">
        <v>3182342</v>
      </c>
      <c r="J223" t="n">
        <v>3171772</v>
      </c>
    </row>
    <row r="224">
      <c r="I224" t="n">
        <v>3182342</v>
      </c>
      <c r="J224" t="n">
        <v>1940490</v>
      </c>
    </row>
    <row r="225">
      <c r="I225" t="n">
        <v>3911993</v>
      </c>
      <c r="J225" t="n">
        <v>1940363</v>
      </c>
    </row>
    <row r="226">
      <c r="I226" t="n">
        <v>3911993</v>
      </c>
      <c r="J226" t="n">
        <v>1940626</v>
      </c>
    </row>
    <row r="227">
      <c r="I227" t="n">
        <v>3911993</v>
      </c>
      <c r="J227" t="n">
        <v>3901714</v>
      </c>
    </row>
    <row r="228">
      <c r="I228" t="n">
        <v>3729146</v>
      </c>
      <c r="J228" t="n">
        <v>2439536</v>
      </c>
    </row>
    <row r="229">
      <c r="I229" t="n">
        <v>3910451</v>
      </c>
      <c r="J229" t="n">
        <v>1931824</v>
      </c>
    </row>
    <row r="230">
      <c r="I230" t="n">
        <v>3520755</v>
      </c>
      <c r="J230" t="n">
        <v>1940472</v>
      </c>
    </row>
    <row r="231">
      <c r="I231" t="n">
        <v>4079374</v>
      </c>
      <c r="J231" t="n">
        <v>1174856</v>
      </c>
    </row>
    <row r="232">
      <c r="I232" t="n">
        <v>4079374</v>
      </c>
      <c r="J232" t="n">
        <v>2412748</v>
      </c>
    </row>
    <row r="233">
      <c r="I233" t="n">
        <v>403039</v>
      </c>
      <c r="J233" t="n">
        <v>2426240</v>
      </c>
    </row>
    <row r="234">
      <c r="I234" t="n">
        <v>403039</v>
      </c>
      <c r="J234" t="n">
        <v>2410388</v>
      </c>
    </row>
    <row r="235">
      <c r="I235" t="n">
        <v>288719</v>
      </c>
      <c r="J235" t="n">
        <v>1940420</v>
      </c>
    </row>
    <row r="236">
      <c r="I236" t="n">
        <v>460176</v>
      </c>
      <c r="J236" t="n">
        <v>1938358</v>
      </c>
    </row>
    <row r="237">
      <c r="I237" t="n">
        <v>460176</v>
      </c>
      <c r="J237" t="n">
        <v>2410994</v>
      </c>
    </row>
    <row r="238">
      <c r="I238" t="n">
        <v>3533249</v>
      </c>
      <c r="J238" t="n">
        <v>2359912</v>
      </c>
    </row>
    <row r="239">
      <c r="I239" t="n">
        <v>3533249</v>
      </c>
      <c r="J239" t="n">
        <v>3784469</v>
      </c>
    </row>
    <row r="240">
      <c r="I240" t="n">
        <v>3533248</v>
      </c>
      <c r="J240" t="n">
        <v>3506193</v>
      </c>
    </row>
    <row r="241">
      <c r="I241" t="n">
        <v>3533248</v>
      </c>
      <c r="J241" t="n">
        <v>3507077</v>
      </c>
    </row>
    <row r="242">
      <c r="I242" t="n">
        <v>3182342</v>
      </c>
      <c r="J242" t="n">
        <v>3508521</v>
      </c>
    </row>
    <row r="243">
      <c r="I243" t="n">
        <v>3182342</v>
      </c>
      <c r="J243" t="n">
        <v>3781673</v>
      </c>
    </row>
    <row r="244">
      <c r="I244" t="n">
        <v>3182342</v>
      </c>
      <c r="J244" t="n">
        <v>1938163</v>
      </c>
    </row>
    <row r="245">
      <c r="I245" t="n">
        <v>3182342</v>
      </c>
      <c r="J245" t="n">
        <v>2417648</v>
      </c>
    </row>
    <row r="246">
      <c r="I246" t="n">
        <v>3182342</v>
      </c>
      <c r="J246" t="n">
        <v>3228788</v>
      </c>
    </row>
    <row r="247">
      <c r="I247" t="n">
        <v>3484652</v>
      </c>
      <c r="J247" t="n">
        <v>3781637</v>
      </c>
    </row>
    <row r="248">
      <c r="I248" t="n">
        <v>1241174</v>
      </c>
      <c r="J248" t="n">
        <v>1568170</v>
      </c>
    </row>
    <row r="249">
      <c r="I249" t="n">
        <v>424601</v>
      </c>
      <c r="J249" t="n">
        <v>3863819</v>
      </c>
    </row>
    <row r="250">
      <c r="I250" t="n">
        <v>424601</v>
      </c>
      <c r="J250" t="n">
        <v>1941303</v>
      </c>
    </row>
    <row r="251">
      <c r="I251" t="n">
        <v>296754</v>
      </c>
      <c r="J251" t="n">
        <v>2410999</v>
      </c>
    </row>
    <row r="252">
      <c r="I252" t="n">
        <v>1385283</v>
      </c>
      <c r="J252" t="n">
        <v>1939544</v>
      </c>
    </row>
    <row r="253">
      <c r="I253" t="n">
        <v>1385283</v>
      </c>
      <c r="J253" t="n">
        <v>3507486</v>
      </c>
    </row>
    <row r="254">
      <c r="I254" t="n">
        <v>1284065</v>
      </c>
      <c r="J254" t="n">
        <v>1939284</v>
      </c>
    </row>
    <row r="255">
      <c r="I255" t="n">
        <v>1284065</v>
      </c>
      <c r="J255" t="n">
        <v>2429059</v>
      </c>
    </row>
    <row r="256">
      <c r="I256" t="n">
        <v>508988</v>
      </c>
      <c r="J256" t="n">
        <v>1938118</v>
      </c>
    </row>
    <row r="257">
      <c r="I257" t="n">
        <v>1442308</v>
      </c>
      <c r="J257" t="n">
        <v>1938119</v>
      </c>
    </row>
    <row r="258">
      <c r="I258" t="n">
        <v>3911993</v>
      </c>
      <c r="J258" t="n">
        <v>1938382</v>
      </c>
    </row>
    <row r="259">
      <c r="I259" t="n">
        <v>3911993</v>
      </c>
      <c r="J259" t="n">
        <v>3599863</v>
      </c>
    </row>
    <row r="260">
      <c r="I260" t="n">
        <v>3729146</v>
      </c>
      <c r="J260" t="n">
        <v>2410996</v>
      </c>
    </row>
    <row r="261">
      <c r="I261" t="n">
        <v>3910451</v>
      </c>
      <c r="J261" t="n">
        <v>1939283</v>
      </c>
    </row>
    <row r="262">
      <c r="I262" t="n">
        <v>3484652</v>
      </c>
      <c r="J262" t="n">
        <v>3190072</v>
      </c>
    </row>
    <row r="263">
      <c r="I263" t="n">
        <v>1241174</v>
      </c>
      <c r="J263" t="n">
        <v>3781664</v>
      </c>
    </row>
    <row r="264">
      <c r="I264" t="n">
        <v>3520755</v>
      </c>
      <c r="J264" t="n">
        <v>1940302</v>
      </c>
    </row>
    <row r="265">
      <c r="I265" t="n">
        <v>4079374</v>
      </c>
      <c r="J265" t="n">
        <v>1511515</v>
      </c>
    </row>
    <row r="266">
      <c r="I266" t="n">
        <v>3935313</v>
      </c>
      <c r="J266" t="n">
        <v>3617058</v>
      </c>
    </row>
    <row r="267">
      <c r="I267" t="n">
        <v>4100796</v>
      </c>
    </row>
    <row r="268">
      <c r="I268" t="n">
        <v>4104140</v>
      </c>
    </row>
    <row r="269">
      <c r="I269" t="n">
        <v>3571870</v>
      </c>
    </row>
    <row r="270">
      <c r="I270" t="n">
        <v>3571870</v>
      </c>
    </row>
    <row r="271">
      <c r="I271" t="n">
        <v>3572051</v>
      </c>
    </row>
    <row r="272">
      <c r="I272" t="n">
        <v>3572051</v>
      </c>
    </row>
    <row r="273">
      <c r="I273" t="n">
        <v>3572051</v>
      </c>
    </row>
    <row r="274">
      <c r="I274" t="n">
        <v>3572051</v>
      </c>
    </row>
    <row r="275">
      <c r="I275" t="n">
        <v>3572051</v>
      </c>
    </row>
    <row r="276">
      <c r="I276" t="n">
        <v>3572051</v>
      </c>
    </row>
    <row r="277">
      <c r="I277" t="n">
        <v>3572051</v>
      </c>
    </row>
    <row r="278">
      <c r="I278" t="n">
        <v>3572051</v>
      </c>
    </row>
    <row r="279">
      <c r="I279" t="n">
        <v>3572051</v>
      </c>
    </row>
    <row r="280">
      <c r="I280" t="n">
        <v>3929691</v>
      </c>
    </row>
    <row r="281">
      <c r="I281" t="n">
        <v>3929540</v>
      </c>
    </row>
    <row r="282">
      <c r="I282" t="n">
        <v>3929540</v>
      </c>
    </row>
    <row r="283">
      <c r="I283" t="n">
        <v>3929540</v>
      </c>
    </row>
    <row r="284">
      <c r="I284" t="n">
        <v>3929692</v>
      </c>
    </row>
    <row r="285">
      <c r="I285" t="n">
        <v>3929692</v>
      </c>
    </row>
    <row r="286">
      <c r="I286" t="n">
        <v>3230495</v>
      </c>
    </row>
    <row r="287">
      <c r="I287" t="n">
        <v>3230495</v>
      </c>
    </row>
    <row r="288">
      <c r="I288" t="n">
        <v>1940849</v>
      </c>
    </row>
    <row r="289">
      <c r="I289" t="n">
        <v>1940850</v>
      </c>
    </row>
    <row r="290">
      <c r="I290" t="n">
        <v>1940850</v>
      </c>
    </row>
    <row r="291">
      <c r="I291" t="n">
        <v>3230482</v>
      </c>
    </row>
    <row r="292">
      <c r="I292" t="n">
        <v>3230482</v>
      </c>
    </row>
    <row r="293">
      <c r="I293" t="n">
        <v>3935311</v>
      </c>
    </row>
    <row r="294">
      <c r="I294" t="n">
        <v>3931835</v>
      </c>
    </row>
    <row r="295">
      <c r="I295" t="n">
        <v>3938687</v>
      </c>
    </row>
    <row r="296">
      <c r="I296" t="n">
        <v>3230486</v>
      </c>
    </row>
    <row r="297">
      <c r="I297" t="n">
        <v>3230490</v>
      </c>
    </row>
    <row r="298">
      <c r="I298" t="n">
        <v>3230487</v>
      </c>
    </row>
    <row r="299">
      <c r="I299" t="n">
        <v>3230487</v>
      </c>
    </row>
    <row r="300">
      <c r="I300" t="n">
        <v>3230487</v>
      </c>
    </row>
    <row r="301">
      <c r="I301" t="n">
        <v>3230488</v>
      </c>
    </row>
    <row r="302">
      <c r="I302" t="n">
        <v>3931836</v>
      </c>
    </row>
    <row r="303">
      <c r="I303" t="n">
        <v>3230485</v>
      </c>
    </row>
    <row r="304">
      <c r="I304" t="n">
        <v>3233560</v>
      </c>
    </row>
    <row r="305">
      <c r="I305" t="n">
        <v>3230492</v>
      </c>
    </row>
    <row r="306">
      <c r="I306" t="n">
        <v>3572038</v>
      </c>
    </row>
    <row r="307">
      <c r="I307" t="n">
        <v>3572038</v>
      </c>
    </row>
    <row r="308">
      <c r="I308" t="n">
        <v>3233559</v>
      </c>
    </row>
    <row r="309">
      <c r="I309" t="n">
        <v>3233559</v>
      </c>
    </row>
    <row r="310">
      <c r="I310" t="n">
        <v>3584171</v>
      </c>
    </row>
    <row r="311">
      <c r="I311" t="n">
        <v>3233557</v>
      </c>
    </row>
    <row r="312">
      <c r="I312" t="n">
        <v>3233557</v>
      </c>
    </row>
    <row r="313">
      <c r="I313" t="n">
        <v>3233555</v>
      </c>
    </row>
    <row r="314">
      <c r="I314" t="n">
        <v>3233555</v>
      </c>
    </row>
    <row r="315">
      <c r="I315" t="n">
        <v>3233554</v>
      </c>
    </row>
    <row r="316">
      <c r="I316" t="n">
        <v>1940801</v>
      </c>
    </row>
    <row r="317">
      <c r="I317" t="n">
        <v>1940801</v>
      </c>
    </row>
    <row r="318">
      <c r="I318" t="n">
        <v>1940801</v>
      </c>
    </row>
    <row r="319">
      <c r="I319" t="n">
        <v>1940801</v>
      </c>
    </row>
    <row r="320">
      <c r="I320" t="n">
        <v>1940801</v>
      </c>
    </row>
    <row r="321">
      <c r="I321" t="n">
        <v>1940801</v>
      </c>
    </row>
    <row r="322">
      <c r="I322" t="n">
        <v>1940801</v>
      </c>
    </row>
    <row r="323">
      <c r="I323" t="n">
        <v>1940801</v>
      </c>
    </row>
    <row r="324">
      <c r="I324" t="n">
        <v>1940801</v>
      </c>
    </row>
    <row r="325">
      <c r="I325" t="n">
        <v>2331952</v>
      </c>
    </row>
    <row r="326">
      <c r="I326" t="n">
        <v>2413708</v>
      </c>
    </row>
    <row r="327">
      <c r="I327" t="n">
        <v>2413708</v>
      </c>
    </row>
    <row r="328">
      <c r="I328" t="n">
        <v>2413708</v>
      </c>
    </row>
    <row r="329">
      <c r="I329" t="n">
        <v>2413708</v>
      </c>
    </row>
    <row r="330">
      <c r="I330" t="n">
        <v>2413708</v>
      </c>
    </row>
    <row r="331">
      <c r="I331" t="n">
        <v>2413708</v>
      </c>
    </row>
    <row r="332">
      <c r="I332" t="n">
        <v>2413708</v>
      </c>
    </row>
    <row r="333">
      <c r="I333" t="n">
        <v>1940318</v>
      </c>
    </row>
    <row r="334">
      <c r="I334" t="n">
        <v>2331953</v>
      </c>
    </row>
    <row r="335">
      <c r="I335" t="n">
        <v>2331953</v>
      </c>
    </row>
    <row r="336">
      <c r="I336" t="n">
        <v>3935313</v>
      </c>
    </row>
    <row r="337">
      <c r="I337" t="n">
        <v>4100796</v>
      </c>
    </row>
    <row r="338">
      <c r="I338" t="n">
        <v>4104140</v>
      </c>
    </row>
    <row r="339">
      <c r="I339" t="n">
        <v>3571870</v>
      </c>
    </row>
    <row r="340">
      <c r="I340" t="n">
        <v>3572051</v>
      </c>
    </row>
    <row r="341">
      <c r="I341" t="n">
        <v>3572051</v>
      </c>
    </row>
    <row r="342">
      <c r="I342" t="n">
        <v>3929691</v>
      </c>
    </row>
    <row r="343">
      <c r="I343" t="n">
        <v>3929540</v>
      </c>
    </row>
    <row r="344">
      <c r="I344" t="n">
        <v>3929692</v>
      </c>
    </row>
    <row r="345">
      <c r="I345" t="n">
        <v>3230495</v>
      </c>
    </row>
    <row r="346">
      <c r="I346" t="n">
        <v>1940849</v>
      </c>
    </row>
    <row r="347">
      <c r="I347" t="n">
        <v>1940850</v>
      </c>
    </row>
    <row r="348">
      <c r="I348" t="n">
        <v>3230482</v>
      </c>
    </row>
    <row r="349">
      <c r="I349" t="n">
        <v>3935311</v>
      </c>
    </row>
    <row r="350">
      <c r="I350" t="n">
        <v>3931835</v>
      </c>
    </row>
    <row r="351">
      <c r="I351" t="n">
        <v>3938687</v>
      </c>
    </row>
    <row r="352">
      <c r="I352" t="n">
        <v>3230486</v>
      </c>
    </row>
    <row r="353">
      <c r="I353" t="n">
        <v>3230490</v>
      </c>
    </row>
    <row r="354">
      <c r="I354" t="n">
        <v>3230487</v>
      </c>
    </row>
    <row r="355">
      <c r="I355" t="n">
        <v>3230488</v>
      </c>
    </row>
    <row r="356">
      <c r="I356" t="n">
        <v>3931836</v>
      </c>
    </row>
    <row r="357">
      <c r="I357" t="n">
        <v>3230485</v>
      </c>
    </row>
    <row r="358">
      <c r="I358" t="n">
        <v>3233560</v>
      </c>
    </row>
    <row r="359">
      <c r="I359" t="n">
        <v>3230492</v>
      </c>
    </row>
    <row r="360">
      <c r="I360" t="n">
        <v>3572038</v>
      </c>
    </row>
    <row r="361">
      <c r="I361" t="n">
        <v>3233559</v>
      </c>
    </row>
    <row r="362">
      <c r="I362" t="n">
        <v>3584171</v>
      </c>
    </row>
    <row r="363">
      <c r="I363" t="n">
        <v>3233557</v>
      </c>
    </row>
    <row r="364">
      <c r="I364" t="n">
        <v>3233555</v>
      </c>
    </row>
    <row r="365">
      <c r="I365" t="n">
        <v>3233555</v>
      </c>
    </row>
    <row r="366">
      <c r="I366" t="n">
        <v>3233554</v>
      </c>
    </row>
    <row r="367">
      <c r="I367" t="n">
        <v>1940801</v>
      </c>
    </row>
    <row r="368">
      <c r="I368" t="n">
        <v>1940801</v>
      </c>
    </row>
    <row r="369">
      <c r="I369" t="n">
        <v>1940801</v>
      </c>
    </row>
    <row r="370">
      <c r="I370" t="n">
        <v>2349249</v>
      </c>
    </row>
    <row r="371">
      <c r="I371" t="n">
        <v>2349249</v>
      </c>
    </row>
    <row r="372">
      <c r="I372" t="n">
        <v>2349249</v>
      </c>
    </row>
    <row r="373">
      <c r="I373" t="n">
        <v>3673011</v>
      </c>
    </row>
    <row r="374">
      <c r="I374" t="n">
        <v>3673011</v>
      </c>
    </row>
    <row r="375">
      <c r="I375" t="n">
        <v>3673011</v>
      </c>
    </row>
    <row r="376">
      <c r="I376" t="n">
        <v>3673011</v>
      </c>
    </row>
    <row r="377">
      <c r="I377" t="n">
        <v>3673012</v>
      </c>
    </row>
    <row r="378">
      <c r="I378" t="n">
        <v>3673012</v>
      </c>
    </row>
    <row r="379">
      <c r="I379" t="n">
        <v>3673012</v>
      </c>
    </row>
    <row r="380">
      <c r="I380" t="n">
        <v>2270133</v>
      </c>
    </row>
    <row r="381">
      <c r="I381" t="n">
        <v>1939994</v>
      </c>
    </row>
    <row r="382">
      <c r="I382" t="n">
        <v>1939994</v>
      </c>
    </row>
    <row r="383">
      <c r="I383" t="n">
        <v>1939963</v>
      </c>
    </row>
    <row r="384">
      <c r="I384" t="n">
        <v>1939963</v>
      </c>
    </row>
    <row r="385">
      <c r="I385" t="n">
        <v>1940262</v>
      </c>
    </row>
    <row r="386">
      <c r="I386" t="n">
        <v>1940262</v>
      </c>
    </row>
    <row r="387">
      <c r="I387" t="n">
        <v>1940262</v>
      </c>
    </row>
    <row r="388">
      <c r="I388" t="n">
        <v>3943203</v>
      </c>
    </row>
    <row r="389">
      <c r="I389" t="n">
        <v>3943203</v>
      </c>
    </row>
    <row r="390">
      <c r="I390" t="n">
        <v>3943203</v>
      </c>
    </row>
    <row r="391">
      <c r="I391" t="n">
        <v>3943203</v>
      </c>
    </row>
    <row r="392">
      <c r="I392" t="n">
        <v>1940478</v>
      </c>
    </row>
    <row r="393">
      <c r="I393" t="n">
        <v>1940478</v>
      </c>
    </row>
    <row r="394">
      <c r="I394" t="n">
        <v>3935313</v>
      </c>
    </row>
    <row r="395">
      <c r="I395" t="n">
        <v>4100796</v>
      </c>
    </row>
    <row r="396">
      <c r="I396" t="n">
        <v>3605739</v>
      </c>
    </row>
    <row r="397">
      <c r="I397" t="n">
        <v>1940801</v>
      </c>
    </row>
    <row r="398">
      <c r="I398" t="n">
        <v>1940801</v>
      </c>
    </row>
    <row r="399">
      <c r="I399" t="n">
        <v>3935311</v>
      </c>
    </row>
    <row r="400">
      <c r="I400" t="n">
        <v>3233554</v>
      </c>
    </row>
    <row r="401">
      <c r="I401" t="n">
        <v>3572038</v>
      </c>
    </row>
    <row r="402">
      <c r="I402" t="n">
        <v>3929692</v>
      </c>
    </row>
    <row r="403">
      <c r="I403" t="n">
        <v>3233555</v>
      </c>
    </row>
    <row r="404">
      <c r="I404" t="n">
        <v>3233555</v>
      </c>
    </row>
    <row r="405">
      <c r="I405" t="n">
        <v>3230492</v>
      </c>
    </row>
    <row r="406">
      <c r="I406" t="n">
        <v>3572051</v>
      </c>
    </row>
    <row r="407">
      <c r="I407" t="n">
        <v>3572051</v>
      </c>
    </row>
    <row r="408">
      <c r="I408" t="n">
        <v>3230485</v>
      </c>
    </row>
    <row r="409">
      <c r="I409" t="n">
        <v>3230485</v>
      </c>
    </row>
    <row r="410">
      <c r="I410" t="n">
        <v>3230485</v>
      </c>
    </row>
    <row r="411">
      <c r="I411" t="n">
        <v>3931836</v>
      </c>
    </row>
    <row r="412">
      <c r="I412" t="n">
        <v>3233557</v>
      </c>
    </row>
    <row r="413">
      <c r="I413" t="n">
        <v>3230482</v>
      </c>
    </row>
    <row r="414">
      <c r="I414" t="n">
        <v>3929540</v>
      </c>
    </row>
    <row r="415">
      <c r="I415" t="n">
        <v>3571870</v>
      </c>
    </row>
    <row r="416">
      <c r="I416" t="n">
        <v>3230488</v>
      </c>
    </row>
    <row r="417">
      <c r="I417" t="n">
        <v>3230487</v>
      </c>
    </row>
    <row r="418">
      <c r="I418" t="n">
        <v>3230490</v>
      </c>
    </row>
    <row r="419">
      <c r="I419" t="n">
        <v>3230495</v>
      </c>
    </row>
    <row r="420">
      <c r="I420" t="n">
        <v>3929691</v>
      </c>
    </row>
    <row r="421">
      <c r="I421" t="n">
        <v>2420106</v>
      </c>
    </row>
    <row r="422">
      <c r="I422" t="n">
        <v>2420106</v>
      </c>
    </row>
    <row r="423">
      <c r="I423" t="n">
        <v>2420106</v>
      </c>
    </row>
    <row r="424">
      <c r="I424" t="n">
        <v>2420106</v>
      </c>
    </row>
    <row r="425">
      <c r="I425" t="n">
        <v>3509824</v>
      </c>
    </row>
    <row r="426">
      <c r="I426" t="n">
        <v>3509824</v>
      </c>
    </row>
    <row r="427">
      <c r="I427" t="n">
        <v>3509824</v>
      </c>
    </row>
    <row r="428">
      <c r="I428" t="n">
        <v>1940881</v>
      </c>
    </row>
    <row r="429">
      <c r="I429" t="n">
        <v>1940881</v>
      </c>
    </row>
    <row r="430">
      <c r="I430" t="n">
        <v>1940881</v>
      </c>
    </row>
    <row r="431">
      <c r="I431" t="n">
        <v>1940538</v>
      </c>
    </row>
    <row r="432">
      <c r="I432" t="n">
        <v>1940538</v>
      </c>
    </row>
    <row r="433">
      <c r="I433" t="n">
        <v>1940538</v>
      </c>
    </row>
    <row r="434">
      <c r="I434" t="n">
        <v>1940538</v>
      </c>
    </row>
    <row r="435">
      <c r="I435" t="n">
        <v>1940538</v>
      </c>
    </row>
    <row r="436">
      <c r="I436" t="n">
        <v>1940538</v>
      </c>
    </row>
    <row r="437">
      <c r="I437" t="n">
        <v>3518158</v>
      </c>
    </row>
    <row r="438">
      <c r="I438" t="n">
        <v>3518158</v>
      </c>
    </row>
    <row r="439">
      <c r="I439" t="n">
        <v>3518158</v>
      </c>
    </row>
    <row r="440">
      <c r="I440" t="n">
        <v>1940189</v>
      </c>
    </row>
    <row r="441">
      <c r="I441" t="n">
        <v>1940189</v>
      </c>
    </row>
    <row r="442">
      <c r="I442" t="n">
        <v>1940908</v>
      </c>
    </row>
    <row r="443">
      <c r="I443" t="n">
        <v>3781649</v>
      </c>
    </row>
    <row r="444">
      <c r="I444" t="n">
        <v>1940879</v>
      </c>
    </row>
    <row r="445">
      <c r="I445" t="n">
        <v>1940879</v>
      </c>
    </row>
    <row r="446">
      <c r="I446" t="n">
        <v>1940879</v>
      </c>
    </row>
    <row r="447">
      <c r="I447" t="n">
        <v>1940879</v>
      </c>
    </row>
    <row r="448">
      <c r="I448" t="n">
        <v>1940879</v>
      </c>
    </row>
    <row r="449">
      <c r="I449" t="n">
        <v>1940879</v>
      </c>
    </row>
    <row r="450">
      <c r="I450" t="n">
        <v>3910020</v>
      </c>
    </row>
    <row r="451">
      <c r="I451" t="n">
        <v>3910020</v>
      </c>
    </row>
    <row r="452">
      <c r="I452" t="n">
        <v>3910020</v>
      </c>
    </row>
    <row r="453">
      <c r="I453" t="n">
        <v>3910020</v>
      </c>
    </row>
    <row r="454">
      <c r="I454" t="n">
        <v>3910020</v>
      </c>
    </row>
    <row r="455">
      <c r="I455" t="n">
        <v>3910020</v>
      </c>
    </row>
    <row r="456">
      <c r="I456" t="n">
        <v>1940710</v>
      </c>
    </row>
    <row r="457">
      <c r="I457" t="n">
        <v>1940710</v>
      </c>
    </row>
    <row r="458">
      <c r="I458" t="n">
        <v>4100796</v>
      </c>
    </row>
    <row r="459">
      <c r="I459" t="n">
        <v>4104140</v>
      </c>
    </row>
    <row r="460">
      <c r="I460" t="n">
        <v>3571870</v>
      </c>
    </row>
    <row r="461">
      <c r="I461" t="n">
        <v>3572051</v>
      </c>
    </row>
    <row r="462">
      <c r="I462" t="n">
        <v>3929691</v>
      </c>
    </row>
    <row r="463">
      <c r="I463" t="n">
        <v>3929540</v>
      </c>
    </row>
    <row r="464">
      <c r="I464" t="n">
        <v>3929692</v>
      </c>
    </row>
    <row r="465">
      <c r="I465" t="n">
        <v>3230495</v>
      </c>
    </row>
    <row r="466">
      <c r="I466" t="n">
        <v>1940849</v>
      </c>
    </row>
    <row r="467">
      <c r="I467" t="n">
        <v>1940850</v>
      </c>
    </row>
    <row r="468">
      <c r="I468" t="n">
        <v>3230482</v>
      </c>
    </row>
    <row r="469">
      <c r="I469" t="n">
        <v>3935311</v>
      </c>
    </row>
    <row r="470">
      <c r="I470" t="n">
        <v>3931835</v>
      </c>
    </row>
    <row r="471">
      <c r="I471" t="n">
        <v>3938687</v>
      </c>
    </row>
    <row r="472">
      <c r="I472" t="n">
        <v>3230486</v>
      </c>
    </row>
    <row r="473">
      <c r="I473" t="n">
        <v>3230490</v>
      </c>
    </row>
    <row r="474">
      <c r="I474" t="n">
        <v>3230487</v>
      </c>
    </row>
    <row r="475">
      <c r="I475" t="n">
        <v>3230488</v>
      </c>
    </row>
    <row r="476">
      <c r="I476" t="n">
        <v>3931836</v>
      </c>
    </row>
    <row r="477">
      <c r="I477" t="n">
        <v>3230485</v>
      </c>
    </row>
    <row r="478">
      <c r="I478" t="n">
        <v>3233560</v>
      </c>
    </row>
    <row r="479">
      <c r="I479" t="n">
        <v>3230492</v>
      </c>
    </row>
    <row r="480">
      <c r="I480" t="n">
        <v>3230492</v>
      </c>
    </row>
    <row r="481">
      <c r="I481" t="n">
        <v>3572038</v>
      </c>
    </row>
    <row r="482">
      <c r="I482" t="n">
        <v>3572038</v>
      </c>
    </row>
    <row r="483">
      <c r="I483" t="n">
        <v>3233559</v>
      </c>
    </row>
    <row r="484">
      <c r="I484" t="n">
        <v>3584171</v>
      </c>
    </row>
    <row r="485">
      <c r="I485" t="n">
        <v>3233557</v>
      </c>
    </row>
    <row r="486">
      <c r="I486" t="n">
        <v>3233555</v>
      </c>
    </row>
    <row r="487">
      <c r="I487" t="n">
        <v>3233554</v>
      </c>
    </row>
    <row r="488">
      <c r="I488" t="n">
        <v>1940801</v>
      </c>
    </row>
    <row r="489">
      <c r="I489" t="n">
        <v>1940801</v>
      </c>
    </row>
    <row r="490">
      <c r="I490" t="n">
        <v>3935313</v>
      </c>
    </row>
    <row r="491">
      <c r="I491" t="n">
        <v>2270133</v>
      </c>
    </row>
    <row r="492">
      <c r="I492" t="n">
        <v>2270133</v>
      </c>
    </row>
    <row r="493">
      <c r="I493" t="n">
        <v>2270133</v>
      </c>
    </row>
    <row r="494">
      <c r="I494" t="n">
        <v>1939994</v>
      </c>
    </row>
    <row r="495">
      <c r="I495" t="n">
        <v>1939994</v>
      </c>
    </row>
    <row r="496">
      <c r="I496" t="n">
        <v>1939994</v>
      </c>
    </row>
    <row r="497">
      <c r="I497" t="n">
        <v>1939963</v>
      </c>
    </row>
    <row r="498">
      <c r="I498" t="n">
        <v>1940830</v>
      </c>
    </row>
    <row r="499">
      <c r="I499" t="n">
        <v>1940830</v>
      </c>
    </row>
    <row r="500">
      <c r="I500" t="n">
        <v>3712521</v>
      </c>
    </row>
    <row r="501">
      <c r="I501" t="n">
        <v>3926270</v>
      </c>
    </row>
    <row r="502">
      <c r="I502" t="n">
        <v>3926270</v>
      </c>
    </row>
    <row r="503">
      <c r="I503" t="n">
        <v>3926270</v>
      </c>
    </row>
    <row r="504">
      <c r="I504" t="n">
        <v>1940510</v>
      </c>
    </row>
    <row r="505">
      <c r="I505" t="n">
        <v>1940510</v>
      </c>
    </row>
    <row r="506">
      <c r="I506" t="n">
        <v>1939996</v>
      </c>
    </row>
    <row r="507">
      <c r="I507" t="n">
        <v>1939996</v>
      </c>
    </row>
    <row r="508">
      <c r="I508" t="n">
        <v>1939996</v>
      </c>
    </row>
    <row r="509">
      <c r="I509" t="n">
        <v>1939993</v>
      </c>
    </row>
    <row r="510">
      <c r="I510" t="n">
        <v>1939993</v>
      </c>
    </row>
    <row r="511">
      <c r="I511" t="n">
        <v>1939993</v>
      </c>
    </row>
    <row r="512">
      <c r="I512" t="n">
        <v>1940653</v>
      </c>
    </row>
    <row r="513">
      <c r="I513" t="n">
        <v>1940653</v>
      </c>
    </row>
    <row r="514">
      <c r="I514" t="n">
        <v>1940653</v>
      </c>
    </row>
    <row r="515">
      <c r="I515" t="n">
        <v>1940653</v>
      </c>
    </row>
    <row r="516">
      <c r="I516" t="n">
        <v>1940738</v>
      </c>
    </row>
    <row r="517">
      <c r="I517" t="n">
        <v>1940738</v>
      </c>
    </row>
    <row r="518">
      <c r="I518" t="n">
        <v>1940730</v>
      </c>
    </row>
    <row r="519">
      <c r="I519" t="n">
        <v>4098593</v>
      </c>
    </row>
    <row r="520">
      <c r="I520" t="n">
        <v>4098593</v>
      </c>
    </row>
    <row r="521">
      <c r="I521" t="n">
        <v>4098593</v>
      </c>
    </row>
    <row r="522">
      <c r="I522" t="n">
        <v>4098593</v>
      </c>
    </row>
    <row r="523">
      <c r="I523" t="n">
        <v>4098592</v>
      </c>
    </row>
    <row r="524">
      <c r="I524" t="n">
        <v>4098592</v>
      </c>
    </row>
    <row r="525">
      <c r="I525" t="n">
        <v>4098592</v>
      </c>
    </row>
    <row r="526">
      <c r="I526" t="n">
        <v>2427158</v>
      </c>
    </row>
    <row r="527">
      <c r="I527" t="n">
        <v>2427158</v>
      </c>
    </row>
    <row r="528">
      <c r="I528" t="n">
        <v>2427158</v>
      </c>
    </row>
    <row r="529">
      <c r="I529" t="n">
        <v>2427158</v>
      </c>
    </row>
    <row r="530">
      <c r="I530" t="n">
        <v>2427158</v>
      </c>
    </row>
    <row r="531">
      <c r="I531" t="n">
        <v>2427158</v>
      </c>
    </row>
    <row r="532">
      <c r="I532" t="n">
        <v>4096696</v>
      </c>
    </row>
    <row r="533">
      <c r="I533" t="n">
        <v>4096696</v>
      </c>
    </row>
    <row r="534">
      <c r="I534" t="n">
        <v>4096695</v>
      </c>
    </row>
    <row r="535">
      <c r="I535" t="n">
        <v>4096695</v>
      </c>
    </row>
    <row r="536">
      <c r="I536" t="n">
        <v>4096695</v>
      </c>
    </row>
    <row r="537">
      <c r="I537" t="n">
        <v>4096695</v>
      </c>
    </row>
    <row r="538">
      <c r="I538" t="n">
        <v>3780004</v>
      </c>
    </row>
    <row r="539">
      <c r="I539" t="n">
        <v>3780004</v>
      </c>
    </row>
    <row r="540">
      <c r="I540" t="n">
        <v>3910648</v>
      </c>
    </row>
    <row r="541">
      <c r="I541" t="n">
        <v>3910648</v>
      </c>
    </row>
    <row r="542">
      <c r="I542" t="n">
        <v>3801265</v>
      </c>
    </row>
    <row r="543">
      <c r="I543" t="n">
        <v>3801265</v>
      </c>
    </row>
    <row r="544">
      <c r="I544" t="n">
        <v>3775636</v>
      </c>
    </row>
    <row r="545">
      <c r="I545" t="n">
        <v>3775636</v>
      </c>
    </row>
    <row r="546">
      <c r="I546" t="n">
        <v>3775636</v>
      </c>
    </row>
    <row r="547">
      <c r="I547" t="n">
        <v>3775636</v>
      </c>
    </row>
    <row r="548">
      <c r="I548" t="n">
        <v>3910650</v>
      </c>
    </row>
    <row r="549">
      <c r="I549" t="n">
        <v>3910650</v>
      </c>
    </row>
    <row r="550">
      <c r="I550" t="n">
        <v>1940852</v>
      </c>
    </row>
    <row r="551">
      <c r="I551" t="n">
        <v>1940852</v>
      </c>
    </row>
    <row r="552">
      <c r="I552" t="n">
        <v>1940852</v>
      </c>
    </row>
    <row r="553">
      <c r="I553" t="n">
        <v>1940852</v>
      </c>
    </row>
    <row r="554">
      <c r="I554" t="n">
        <v>1940807</v>
      </c>
    </row>
    <row r="555">
      <c r="I555" t="n">
        <v>1940801</v>
      </c>
    </row>
    <row r="556">
      <c r="I556" t="n">
        <v>3935311</v>
      </c>
    </row>
    <row r="557">
      <c r="I557" t="n">
        <v>3233554</v>
      </c>
    </row>
    <row r="558">
      <c r="I558" t="n">
        <v>3572038</v>
      </c>
    </row>
    <row r="559">
      <c r="I559" t="n">
        <v>3929692</v>
      </c>
    </row>
    <row r="560">
      <c r="I560" t="n">
        <v>3931837</v>
      </c>
    </row>
    <row r="561">
      <c r="I561" t="n">
        <v>3931837</v>
      </c>
    </row>
    <row r="562">
      <c r="I562" t="n">
        <v>3233555</v>
      </c>
    </row>
    <row r="563">
      <c r="I563" t="n">
        <v>3233555</v>
      </c>
    </row>
    <row r="564">
      <c r="I564" t="n">
        <v>3233555</v>
      </c>
    </row>
    <row r="565">
      <c r="I565" t="n">
        <v>3230492</v>
      </c>
    </row>
    <row r="566">
      <c r="I566" t="n">
        <v>3233560</v>
      </c>
    </row>
    <row r="567">
      <c r="I567" t="n">
        <v>3572051</v>
      </c>
    </row>
    <row r="568">
      <c r="I568" t="n">
        <v>3572051</v>
      </c>
    </row>
    <row r="569">
      <c r="I569" t="n">
        <v>3230485</v>
      </c>
    </row>
    <row r="570">
      <c r="I570" t="n">
        <v>3931836</v>
      </c>
    </row>
    <row r="571">
      <c r="I571" t="n">
        <v>3233557</v>
      </c>
    </row>
    <row r="572">
      <c r="I572" t="n">
        <v>3230482</v>
      </c>
    </row>
    <row r="573">
      <c r="I573" t="n">
        <v>3929540</v>
      </c>
    </row>
    <row r="574">
      <c r="I574" t="n">
        <v>3571870</v>
      </c>
    </row>
    <row r="575">
      <c r="I575" t="n">
        <v>3230488</v>
      </c>
    </row>
    <row r="576">
      <c r="I576" t="n">
        <v>3230488</v>
      </c>
    </row>
    <row r="577">
      <c r="I577" t="n">
        <v>3230487</v>
      </c>
    </row>
    <row r="578">
      <c r="I578" t="n">
        <v>3230490</v>
      </c>
    </row>
    <row r="579">
      <c r="I579" t="n">
        <v>3230495</v>
      </c>
    </row>
    <row r="580">
      <c r="I580" t="n">
        <v>3929691</v>
      </c>
    </row>
    <row r="581">
      <c r="I581" t="n">
        <v>4075254</v>
      </c>
    </row>
    <row r="582">
      <c r="I582" t="n">
        <v>4075254</v>
      </c>
    </row>
    <row r="583">
      <c r="I583" t="n">
        <v>4075254</v>
      </c>
    </row>
    <row r="584">
      <c r="I584" t="n">
        <v>3935313</v>
      </c>
    </row>
    <row r="585">
      <c r="I585" t="n">
        <v>3673011</v>
      </c>
    </row>
    <row r="586">
      <c r="I586" t="n">
        <v>3673011</v>
      </c>
    </row>
    <row r="587">
      <c r="I587" t="n">
        <v>3673011</v>
      </c>
    </row>
    <row r="588">
      <c r="I588" t="n">
        <v>2270133</v>
      </c>
    </row>
    <row r="589">
      <c r="I589" t="n">
        <v>2270133</v>
      </c>
    </row>
    <row r="590">
      <c r="I590" t="n">
        <v>2270133</v>
      </c>
    </row>
    <row r="591">
      <c r="I591" t="n">
        <v>2270133</v>
      </c>
    </row>
    <row r="592">
      <c r="I592" t="n">
        <v>2270133</v>
      </c>
    </row>
    <row r="593">
      <c r="I593" t="n">
        <v>2270133</v>
      </c>
    </row>
    <row r="594">
      <c r="I594" t="n">
        <v>2270133</v>
      </c>
    </row>
    <row r="595">
      <c r="I595" t="n">
        <v>4100796</v>
      </c>
    </row>
    <row r="596">
      <c r="I596" t="n">
        <v>4104140</v>
      </c>
    </row>
    <row r="597">
      <c r="I597" t="n">
        <v>3571870</v>
      </c>
    </row>
    <row r="598">
      <c r="I598" t="n">
        <v>3572051</v>
      </c>
    </row>
    <row r="599">
      <c r="I599" t="n">
        <v>3572051</v>
      </c>
    </row>
    <row r="600">
      <c r="I600" t="n">
        <v>3929691</v>
      </c>
    </row>
    <row r="601">
      <c r="I601" t="n">
        <v>3929540</v>
      </c>
    </row>
    <row r="602">
      <c r="I602" t="n">
        <v>3929692</v>
      </c>
    </row>
    <row r="603">
      <c r="I603" t="n">
        <v>3230495</v>
      </c>
    </row>
    <row r="604">
      <c r="I604" t="n">
        <v>1940849</v>
      </c>
    </row>
    <row r="605">
      <c r="I605" t="n">
        <v>1940850</v>
      </c>
    </row>
    <row r="606">
      <c r="I606" t="n">
        <v>3230482</v>
      </c>
    </row>
    <row r="607">
      <c r="I607" t="n">
        <v>3230482</v>
      </c>
    </row>
    <row r="608">
      <c r="I608" t="n">
        <v>3230482</v>
      </c>
    </row>
    <row r="609">
      <c r="I609" t="n">
        <v>3935311</v>
      </c>
    </row>
    <row r="610">
      <c r="I610" t="n">
        <v>3935311</v>
      </c>
    </row>
    <row r="611">
      <c r="I611" t="n">
        <v>3931835</v>
      </c>
    </row>
    <row r="612">
      <c r="I612" t="n">
        <v>3938687</v>
      </c>
    </row>
    <row r="613">
      <c r="I613" t="n">
        <v>3230486</v>
      </c>
    </row>
    <row r="614">
      <c r="I614" t="n">
        <v>3230490</v>
      </c>
    </row>
    <row r="615">
      <c r="I615" t="n">
        <v>3230487</v>
      </c>
    </row>
    <row r="616">
      <c r="I616" t="n">
        <v>3230488</v>
      </c>
    </row>
    <row r="617">
      <c r="I617" t="n">
        <v>3931836</v>
      </c>
    </row>
    <row r="618">
      <c r="I618" t="n">
        <v>3230485</v>
      </c>
    </row>
    <row r="619">
      <c r="I619" t="n">
        <v>3230485</v>
      </c>
    </row>
    <row r="620">
      <c r="I620" t="n">
        <v>3233560</v>
      </c>
    </row>
    <row r="621">
      <c r="I621" t="n">
        <v>3230492</v>
      </c>
    </row>
    <row r="622">
      <c r="I622" t="n">
        <v>3572038</v>
      </c>
    </row>
    <row r="623">
      <c r="I623" t="n">
        <v>3233559</v>
      </c>
    </row>
    <row r="624">
      <c r="I624" t="n">
        <v>3584171</v>
      </c>
    </row>
    <row r="625">
      <c r="I625" t="n">
        <v>3584171</v>
      </c>
    </row>
    <row r="626">
      <c r="I626" t="n">
        <v>3233557</v>
      </c>
    </row>
    <row r="627">
      <c r="I627" t="n">
        <v>3233555</v>
      </c>
    </row>
    <row r="628">
      <c r="I628" t="n">
        <v>3233555</v>
      </c>
    </row>
    <row r="629">
      <c r="I629" t="n">
        <v>3233554</v>
      </c>
    </row>
    <row r="630">
      <c r="I630" t="n">
        <v>1940801</v>
      </c>
    </row>
    <row r="631">
      <c r="I631" t="n">
        <v>1940801</v>
      </c>
    </row>
    <row r="632">
      <c r="I632" t="n">
        <v>3935313</v>
      </c>
    </row>
    <row r="633">
      <c r="I633" t="n">
        <v>4100796</v>
      </c>
    </row>
    <row r="634">
      <c r="I634" t="n">
        <v>4104140</v>
      </c>
    </row>
    <row r="635">
      <c r="I635" t="n">
        <v>3571870</v>
      </c>
    </row>
    <row r="636">
      <c r="I636" t="n">
        <v>3572051</v>
      </c>
    </row>
    <row r="637">
      <c r="I637" t="n">
        <v>3929691</v>
      </c>
    </row>
    <row r="638">
      <c r="I638" t="n">
        <v>3929540</v>
      </c>
    </row>
    <row r="639">
      <c r="I639" t="n">
        <v>3929692</v>
      </c>
    </row>
    <row r="640">
      <c r="I640" t="n">
        <v>3929692</v>
      </c>
    </row>
    <row r="641">
      <c r="I641" t="n">
        <v>3929692</v>
      </c>
    </row>
    <row r="642">
      <c r="I642" t="n">
        <v>3230495</v>
      </c>
    </row>
    <row r="643">
      <c r="I643" t="n">
        <v>1940849</v>
      </c>
    </row>
    <row r="644">
      <c r="I644" t="n">
        <v>1940850</v>
      </c>
    </row>
    <row r="645">
      <c r="I645" t="n">
        <v>3230482</v>
      </c>
    </row>
    <row r="646">
      <c r="I646" t="n">
        <v>3935311</v>
      </c>
    </row>
    <row r="647">
      <c r="I647" t="n">
        <v>3931835</v>
      </c>
    </row>
    <row r="648">
      <c r="I648" t="n">
        <v>3938687</v>
      </c>
    </row>
    <row r="649">
      <c r="I649" t="n">
        <v>3230486</v>
      </c>
    </row>
    <row r="650">
      <c r="I650" t="n">
        <v>3230490</v>
      </c>
    </row>
    <row r="651">
      <c r="I651" t="n">
        <v>3230490</v>
      </c>
    </row>
    <row r="652">
      <c r="I652" t="n">
        <v>3230487</v>
      </c>
    </row>
    <row r="653">
      <c r="I653" t="n">
        <v>3230488</v>
      </c>
    </row>
    <row r="654">
      <c r="I654" t="n">
        <v>3931836</v>
      </c>
    </row>
    <row r="655">
      <c r="I655" t="n">
        <v>3230485</v>
      </c>
    </row>
    <row r="656">
      <c r="I656" t="n">
        <v>3233560</v>
      </c>
    </row>
    <row r="657">
      <c r="I657" t="n">
        <v>3233560</v>
      </c>
    </row>
    <row r="658">
      <c r="I658" t="n">
        <v>3233560</v>
      </c>
    </row>
    <row r="659">
      <c r="I659" t="n">
        <v>3230492</v>
      </c>
    </row>
    <row r="660">
      <c r="I660" t="n">
        <v>3230492</v>
      </c>
    </row>
    <row r="661">
      <c r="I661" t="n">
        <v>3572038</v>
      </c>
    </row>
    <row r="662">
      <c r="I662" t="n">
        <v>3233559</v>
      </c>
    </row>
    <row r="663">
      <c r="I663" t="n">
        <v>3584171</v>
      </c>
    </row>
    <row r="664">
      <c r="I664" t="n">
        <v>3233557</v>
      </c>
    </row>
    <row r="665">
      <c r="I665" t="n">
        <v>3233557</v>
      </c>
    </row>
    <row r="666">
      <c r="I666" t="n">
        <v>3233557</v>
      </c>
    </row>
    <row r="667">
      <c r="I667" t="n">
        <v>3233557</v>
      </c>
    </row>
    <row r="668">
      <c r="I668" t="n">
        <v>3233557</v>
      </c>
    </row>
    <row r="669">
      <c r="I669" t="n">
        <v>3233555</v>
      </c>
    </row>
    <row r="670">
      <c r="I670" t="n">
        <v>3233555</v>
      </c>
    </row>
    <row r="671">
      <c r="I671" t="n">
        <v>3233554</v>
      </c>
    </row>
    <row r="672">
      <c r="I672" t="n">
        <v>3233554</v>
      </c>
    </row>
    <row r="673">
      <c r="I673" t="n">
        <v>3233554</v>
      </c>
    </row>
    <row r="674">
      <c r="I674" t="n">
        <v>3233554</v>
      </c>
    </row>
    <row r="675">
      <c r="I675" t="n">
        <v>1940801</v>
      </c>
    </row>
    <row r="676">
      <c r="I676" t="n">
        <v>1940801</v>
      </c>
    </row>
    <row r="677">
      <c r="I677" t="n">
        <v>3935313</v>
      </c>
    </row>
    <row r="678">
      <c r="I678" t="n">
        <v>1940416</v>
      </c>
    </row>
    <row r="679">
      <c r="I679" t="n">
        <v>1940416</v>
      </c>
    </row>
    <row r="680">
      <c r="I680" t="n">
        <v>1940416</v>
      </c>
    </row>
    <row r="681">
      <c r="I681" t="n">
        <v>1940416</v>
      </c>
    </row>
    <row r="682">
      <c r="I682" t="n">
        <v>1940822</v>
      </c>
    </row>
    <row r="683">
      <c r="I683" t="n">
        <v>1940822</v>
      </c>
    </row>
    <row r="684">
      <c r="I684" t="n">
        <v>1940822</v>
      </c>
    </row>
    <row r="685">
      <c r="I685" t="n">
        <v>1940821</v>
      </c>
    </row>
    <row r="686">
      <c r="I686" t="n">
        <v>1940821</v>
      </c>
    </row>
    <row r="687">
      <c r="I687" t="n">
        <v>3673011</v>
      </c>
    </row>
    <row r="688">
      <c r="I688" t="n">
        <v>3673011</v>
      </c>
    </row>
    <row r="689">
      <c r="I689" t="n">
        <v>3673011</v>
      </c>
    </row>
    <row r="690">
      <c r="I690" t="n">
        <v>3673011</v>
      </c>
    </row>
    <row r="691">
      <c r="I691" t="n">
        <v>3673011</v>
      </c>
    </row>
    <row r="692">
      <c r="I692" t="n">
        <v>1940043</v>
      </c>
    </row>
    <row r="693">
      <c r="I693" t="n">
        <v>1940043</v>
      </c>
    </row>
    <row r="694">
      <c r="I694" t="n">
        <v>1940043</v>
      </c>
    </row>
    <row r="695">
      <c r="I695" t="n">
        <v>1940043</v>
      </c>
    </row>
    <row r="696">
      <c r="I696" t="n">
        <v>2270133</v>
      </c>
    </row>
    <row r="697">
      <c r="I697" t="n">
        <v>2270133</v>
      </c>
    </row>
    <row r="698">
      <c r="I698" t="n">
        <v>2270133</v>
      </c>
    </row>
    <row r="699">
      <c r="I699" t="n">
        <v>2270133</v>
      </c>
    </row>
    <row r="700">
      <c r="I700" t="n">
        <v>2270133</v>
      </c>
    </row>
    <row r="701">
      <c r="I701" t="n">
        <v>1940731</v>
      </c>
    </row>
    <row r="702">
      <c r="I702" t="n">
        <v>3935313</v>
      </c>
    </row>
    <row r="703">
      <c r="I703" t="n">
        <v>4100796</v>
      </c>
    </row>
    <row r="704">
      <c r="I704" t="n">
        <v>4104140</v>
      </c>
    </row>
    <row r="705">
      <c r="I705" t="n">
        <v>3571870</v>
      </c>
    </row>
    <row r="706">
      <c r="I706" t="n">
        <v>3572051</v>
      </c>
    </row>
    <row r="707">
      <c r="I707" t="n">
        <v>3572051</v>
      </c>
    </row>
    <row r="708">
      <c r="I708" t="n">
        <v>3572051</v>
      </c>
    </row>
    <row r="709">
      <c r="I709" t="n">
        <v>3572051</v>
      </c>
    </row>
    <row r="710">
      <c r="I710" t="n">
        <v>3572051</v>
      </c>
    </row>
    <row r="711">
      <c r="I711" t="n">
        <v>3572051</v>
      </c>
    </row>
    <row r="712">
      <c r="I712" t="n">
        <v>3572051</v>
      </c>
    </row>
    <row r="713">
      <c r="I713" t="n">
        <v>3929691</v>
      </c>
    </row>
    <row r="714">
      <c r="I714" t="n">
        <v>3929691</v>
      </c>
    </row>
    <row r="715">
      <c r="I715" t="n">
        <v>3929540</v>
      </c>
    </row>
    <row r="716">
      <c r="I716" t="n">
        <v>3929540</v>
      </c>
    </row>
    <row r="717">
      <c r="I717" t="n">
        <v>3929692</v>
      </c>
    </row>
    <row r="718">
      <c r="I718" t="n">
        <v>3230495</v>
      </c>
    </row>
    <row r="719">
      <c r="I719" t="n">
        <v>1940849</v>
      </c>
    </row>
    <row r="720">
      <c r="I720" t="n">
        <v>1940850</v>
      </c>
    </row>
    <row r="721">
      <c r="I721" t="n">
        <v>3230482</v>
      </c>
    </row>
    <row r="722">
      <c r="I722" t="n">
        <v>3230482</v>
      </c>
    </row>
    <row r="723">
      <c r="I723" t="n">
        <v>3935311</v>
      </c>
    </row>
    <row r="724">
      <c r="I724" t="n">
        <v>3931835</v>
      </c>
    </row>
    <row r="725">
      <c r="I725" t="n">
        <v>3938687</v>
      </c>
    </row>
    <row r="726">
      <c r="I726" t="n">
        <v>3230486</v>
      </c>
    </row>
    <row r="727">
      <c r="I727" t="n">
        <v>3230490</v>
      </c>
    </row>
    <row r="728">
      <c r="I728" t="n">
        <v>3230487</v>
      </c>
    </row>
    <row r="729">
      <c r="I729" t="n">
        <v>3230488</v>
      </c>
    </row>
    <row r="730">
      <c r="I730" t="n">
        <v>3931836</v>
      </c>
    </row>
    <row r="731">
      <c r="I731" t="n">
        <v>3931836</v>
      </c>
    </row>
    <row r="732">
      <c r="I732" t="n">
        <v>3230485</v>
      </c>
    </row>
    <row r="733">
      <c r="I733" t="n">
        <v>3233560</v>
      </c>
    </row>
    <row r="734">
      <c r="I734" t="n">
        <v>3230492</v>
      </c>
    </row>
    <row r="735">
      <c r="I735" t="n">
        <v>3572038</v>
      </c>
    </row>
    <row r="736">
      <c r="I736" t="n">
        <v>3233559</v>
      </c>
    </row>
    <row r="737">
      <c r="I737" t="n">
        <v>3584171</v>
      </c>
    </row>
    <row r="738">
      <c r="I738" t="n">
        <v>3584171</v>
      </c>
    </row>
    <row r="739">
      <c r="I739" t="n">
        <v>3233557</v>
      </c>
    </row>
    <row r="740">
      <c r="I740" t="n">
        <v>3233555</v>
      </c>
    </row>
    <row r="741">
      <c r="I741" t="n">
        <v>3233555</v>
      </c>
    </row>
    <row r="742">
      <c r="I742" t="n">
        <v>3233554</v>
      </c>
    </row>
    <row r="743">
      <c r="I743" t="n">
        <v>1940801</v>
      </c>
    </row>
    <row r="744">
      <c r="I744" t="n">
        <v>1940801</v>
      </c>
    </row>
    <row r="745">
      <c r="I745" t="n">
        <v>1940801</v>
      </c>
    </row>
    <row r="746">
      <c r="I746" t="n">
        <v>1940801</v>
      </c>
    </row>
    <row r="747">
      <c r="I747" t="n">
        <v>3841883</v>
      </c>
    </row>
    <row r="748">
      <c r="I748" t="n">
        <v>3841883</v>
      </c>
    </row>
    <row r="749">
      <c r="I749" t="n">
        <v>3841883</v>
      </c>
    </row>
    <row r="750">
      <c r="I750" t="n">
        <v>3712521</v>
      </c>
    </row>
    <row r="751">
      <c r="I751" t="n">
        <v>3712521</v>
      </c>
    </row>
    <row r="752">
      <c r="I752" t="n">
        <v>3712521</v>
      </c>
    </row>
    <row r="753">
      <c r="I753" t="n">
        <v>3712521</v>
      </c>
    </row>
    <row r="754">
      <c r="I754" t="n">
        <v>3712521</v>
      </c>
    </row>
    <row r="755">
      <c r="I755" t="n">
        <v>3910649</v>
      </c>
    </row>
    <row r="756">
      <c r="I756" t="n">
        <v>3910649</v>
      </c>
    </row>
    <row r="757">
      <c r="I757" t="n">
        <v>3910649</v>
      </c>
    </row>
    <row r="758">
      <c r="I758" t="n">
        <v>3910649</v>
      </c>
    </row>
    <row r="759">
      <c r="I759" t="n">
        <v>3910648</v>
      </c>
    </row>
    <row r="760">
      <c r="I760" t="n">
        <v>3910648</v>
      </c>
    </row>
    <row r="761">
      <c r="I761" t="n">
        <v>3910648</v>
      </c>
    </row>
    <row r="762">
      <c r="I762" t="n">
        <v>3910648</v>
      </c>
    </row>
    <row r="763">
      <c r="I763" t="n">
        <v>3910648</v>
      </c>
    </row>
    <row r="764">
      <c r="I764" t="n">
        <v>3801265</v>
      </c>
    </row>
    <row r="765">
      <c r="I765" t="n">
        <v>3910650</v>
      </c>
    </row>
    <row r="766">
      <c r="I766" t="n">
        <v>3910650</v>
      </c>
    </row>
    <row r="767">
      <c r="I767" t="n">
        <v>3910650</v>
      </c>
    </row>
    <row r="768">
      <c r="I768" t="n">
        <v>3910650</v>
      </c>
    </row>
    <row r="769">
      <c r="I769" t="n">
        <v>3910650</v>
      </c>
    </row>
    <row r="770">
      <c r="I770" t="n">
        <v>3714733</v>
      </c>
    </row>
    <row r="771">
      <c r="I771" t="n">
        <v>3714733</v>
      </c>
    </row>
    <row r="772">
      <c r="I772" t="n">
        <v>3714733</v>
      </c>
    </row>
    <row r="773">
      <c r="I773" t="n">
        <v>3714733</v>
      </c>
    </row>
    <row r="774">
      <c r="I774" t="n">
        <v>2430128</v>
      </c>
    </row>
    <row r="775">
      <c r="I775" t="n">
        <v>2409616</v>
      </c>
    </row>
    <row r="776">
      <c r="I776" t="n">
        <v>2409616</v>
      </c>
    </row>
    <row r="777">
      <c r="I777" t="n">
        <v>3229740</v>
      </c>
    </row>
    <row r="778">
      <c r="I778" t="n">
        <v>3239890</v>
      </c>
    </row>
    <row r="779">
      <c r="I779" t="n">
        <v>3432081</v>
      </c>
    </row>
    <row r="780">
      <c r="I780" t="n">
        <v>3432081</v>
      </c>
    </row>
    <row r="781">
      <c r="I781" t="n">
        <v>1940653</v>
      </c>
    </row>
    <row r="782">
      <c r="I782" t="n">
        <v>4100177</v>
      </c>
    </row>
    <row r="783">
      <c r="I783" t="n">
        <v>4100177</v>
      </c>
    </row>
    <row r="784">
      <c r="I784" t="n">
        <v>4100177</v>
      </c>
    </row>
    <row r="785">
      <c r="I785" t="n">
        <v>4100177</v>
      </c>
    </row>
    <row r="786">
      <c r="I786" t="n">
        <v>1940801</v>
      </c>
    </row>
    <row r="787">
      <c r="I787" t="n">
        <v>1940801</v>
      </c>
    </row>
    <row r="788">
      <c r="I788" t="n">
        <v>3935311</v>
      </c>
    </row>
    <row r="789">
      <c r="I789" t="n">
        <v>3233554</v>
      </c>
    </row>
    <row r="790">
      <c r="I790" t="n">
        <v>3572038</v>
      </c>
    </row>
    <row r="791">
      <c r="I791" t="n">
        <v>3929692</v>
      </c>
    </row>
    <row r="792">
      <c r="I792" t="n">
        <v>3931837</v>
      </c>
    </row>
    <row r="793">
      <c r="I793" t="n">
        <v>3233555</v>
      </c>
    </row>
    <row r="794">
      <c r="I794" t="n">
        <v>3233555</v>
      </c>
    </row>
    <row r="795">
      <c r="I795" t="n">
        <v>3230492</v>
      </c>
    </row>
    <row r="796">
      <c r="I796" t="n">
        <v>3233560</v>
      </c>
    </row>
    <row r="797">
      <c r="I797" t="n">
        <v>3572051</v>
      </c>
    </row>
    <row r="798">
      <c r="I798" t="n">
        <v>3230485</v>
      </c>
    </row>
    <row r="799">
      <c r="I799" t="n">
        <v>3931836</v>
      </c>
    </row>
    <row r="800">
      <c r="I800" t="n">
        <v>3233557</v>
      </c>
    </row>
    <row r="801">
      <c r="I801" t="n">
        <v>3230482</v>
      </c>
    </row>
    <row r="802">
      <c r="I802" t="n">
        <v>3929540</v>
      </c>
    </row>
    <row r="803">
      <c r="I803" t="n">
        <v>3571870</v>
      </c>
    </row>
    <row r="804">
      <c r="I804" t="n">
        <v>3230488</v>
      </c>
    </row>
    <row r="805">
      <c r="I805" t="n">
        <v>3230487</v>
      </c>
    </row>
    <row r="806">
      <c r="I806" t="n">
        <v>3230490</v>
      </c>
    </row>
    <row r="807">
      <c r="I807" t="n">
        <v>3230495</v>
      </c>
    </row>
    <row r="808">
      <c r="I808" t="n">
        <v>3929691</v>
      </c>
    </row>
    <row r="809">
      <c r="I809" t="n">
        <v>4075254</v>
      </c>
    </row>
    <row r="810">
      <c r="I810" t="n">
        <v>3935313</v>
      </c>
    </row>
    <row r="811">
      <c r="I811" t="n">
        <v>1940653</v>
      </c>
    </row>
    <row r="812">
      <c r="I812" t="n">
        <v>1940653</v>
      </c>
    </row>
    <row r="813">
      <c r="I813" t="n">
        <v>3775636</v>
      </c>
    </row>
    <row r="814">
      <c r="I814" t="n">
        <v>3775636</v>
      </c>
    </row>
    <row r="815">
      <c r="I815" t="n">
        <v>3775636</v>
      </c>
    </row>
    <row r="816">
      <c r="I816" t="n">
        <v>3775636</v>
      </c>
    </row>
    <row r="817">
      <c r="I817" t="n">
        <v>3775636</v>
      </c>
    </row>
    <row r="818">
      <c r="I818" t="n">
        <v>1940478</v>
      </c>
    </row>
    <row r="819">
      <c r="I819" t="n">
        <v>1940478</v>
      </c>
    </row>
    <row r="820">
      <c r="I820" t="n">
        <v>1940478</v>
      </c>
    </row>
    <row r="821">
      <c r="I821" t="n">
        <v>1940478</v>
      </c>
    </row>
    <row r="822">
      <c r="I822" t="n">
        <v>1940478</v>
      </c>
    </row>
    <row r="823">
      <c r="I823" t="n">
        <v>1940478</v>
      </c>
    </row>
    <row r="824">
      <c r="I824" t="n">
        <v>1940911</v>
      </c>
    </row>
    <row r="825">
      <c r="I825" t="n">
        <v>1940837</v>
      </c>
    </row>
    <row r="826">
      <c r="I826" t="n">
        <v>1940837</v>
      </c>
    </row>
    <row r="827">
      <c r="I827" t="n">
        <v>1940837</v>
      </c>
    </row>
    <row r="828">
      <c r="I828" t="n">
        <v>1940837</v>
      </c>
    </row>
    <row r="829">
      <c r="I829" t="n">
        <v>3712521</v>
      </c>
    </row>
    <row r="830">
      <c r="I830" t="n">
        <v>3712521</v>
      </c>
    </row>
    <row r="831">
      <c r="I831" t="n">
        <v>3712521</v>
      </c>
    </row>
    <row r="832">
      <c r="I832" t="n">
        <v>3935313</v>
      </c>
    </row>
    <row r="833">
      <c r="I833" t="n">
        <v>4100796</v>
      </c>
    </row>
    <row r="834">
      <c r="I834" t="n">
        <v>4104140</v>
      </c>
    </row>
    <row r="835">
      <c r="I835" t="n">
        <v>3571870</v>
      </c>
    </row>
    <row r="836">
      <c r="I836" t="n">
        <v>3572051</v>
      </c>
    </row>
    <row r="837">
      <c r="I837" t="n">
        <v>3929691</v>
      </c>
    </row>
    <row r="838">
      <c r="I838" t="n">
        <v>3929540</v>
      </c>
    </row>
    <row r="839">
      <c r="I839" t="n">
        <v>3929692</v>
      </c>
    </row>
    <row r="840">
      <c r="I840" t="n">
        <v>3230495</v>
      </c>
    </row>
    <row r="841">
      <c r="I841" t="n">
        <v>1940849</v>
      </c>
    </row>
    <row r="842">
      <c r="I842" t="n">
        <v>1940850</v>
      </c>
    </row>
    <row r="843">
      <c r="I843" t="n">
        <v>3230482</v>
      </c>
    </row>
    <row r="844">
      <c r="I844" t="n">
        <v>3935311</v>
      </c>
    </row>
    <row r="845">
      <c r="I845" t="n">
        <v>3931835</v>
      </c>
    </row>
    <row r="846">
      <c r="I846" t="n">
        <v>3938687</v>
      </c>
    </row>
    <row r="847">
      <c r="I847" t="n">
        <v>3230486</v>
      </c>
    </row>
    <row r="848">
      <c r="I848" t="n">
        <v>3230490</v>
      </c>
    </row>
    <row r="849">
      <c r="I849" t="n">
        <v>3230487</v>
      </c>
    </row>
    <row r="850">
      <c r="I850" t="n">
        <v>3230488</v>
      </c>
    </row>
    <row r="851">
      <c r="I851" t="n">
        <v>3931836</v>
      </c>
    </row>
    <row r="852">
      <c r="I852" t="n">
        <v>3230485</v>
      </c>
    </row>
    <row r="853">
      <c r="I853" t="n">
        <v>3233560</v>
      </c>
    </row>
    <row r="854">
      <c r="I854" t="n">
        <v>3230492</v>
      </c>
    </row>
    <row r="855">
      <c r="I855" t="n">
        <v>3572038</v>
      </c>
    </row>
    <row r="856">
      <c r="I856" t="n">
        <v>3233559</v>
      </c>
    </row>
    <row r="857">
      <c r="I857" t="n">
        <v>3584171</v>
      </c>
    </row>
    <row r="858">
      <c r="I858" t="n">
        <v>3233557</v>
      </c>
    </row>
    <row r="859">
      <c r="I859" t="n">
        <v>3233555</v>
      </c>
    </row>
    <row r="860">
      <c r="I860" t="n">
        <v>3233555</v>
      </c>
    </row>
    <row r="861">
      <c r="I861" t="n">
        <v>3233554</v>
      </c>
    </row>
    <row r="862">
      <c r="I862" t="n">
        <v>1940801</v>
      </c>
    </row>
    <row r="863">
      <c r="I863" t="n">
        <v>1940801</v>
      </c>
    </row>
    <row r="864">
      <c r="I864" t="n">
        <v>3122347</v>
      </c>
    </row>
    <row r="865">
      <c r="I865" t="n">
        <v>3122347</v>
      </c>
    </row>
    <row r="866">
      <c r="I866" t="n">
        <v>3122347</v>
      </c>
    </row>
    <row r="867">
      <c r="I867" t="n">
        <v>1940911</v>
      </c>
    </row>
    <row r="868">
      <c r="I868" t="n">
        <v>1940911</v>
      </c>
    </row>
    <row r="869">
      <c r="I869" t="n">
        <v>1940911</v>
      </c>
    </row>
    <row r="870">
      <c r="I870" t="n">
        <v>1940911</v>
      </c>
    </row>
    <row r="871">
      <c r="I871" t="n">
        <v>1940908</v>
      </c>
    </row>
    <row r="872">
      <c r="I872" t="n">
        <v>1940908</v>
      </c>
    </row>
    <row r="873">
      <c r="I873" t="n">
        <v>3781649</v>
      </c>
    </row>
    <row r="874">
      <c r="I874" t="n">
        <v>3781649</v>
      </c>
    </row>
    <row r="875">
      <c r="I875" t="n">
        <v>3781649</v>
      </c>
    </row>
    <row r="876">
      <c r="I876" t="n">
        <v>1940710</v>
      </c>
    </row>
    <row r="877">
      <c r="I877" t="n">
        <v>1940710</v>
      </c>
    </row>
    <row r="878">
      <c r="I878" t="n">
        <v>1940710</v>
      </c>
    </row>
    <row r="879">
      <c r="I879" t="n">
        <v>1940715</v>
      </c>
    </row>
    <row r="880">
      <c r="I880" t="n">
        <v>1940715</v>
      </c>
    </row>
    <row r="881">
      <c r="I881" t="n">
        <v>1940715</v>
      </c>
    </row>
    <row r="882">
      <c r="I882" t="n">
        <v>1940715</v>
      </c>
    </row>
    <row r="883">
      <c r="I883" t="n">
        <v>1940840</v>
      </c>
    </row>
    <row r="884">
      <c r="I884" t="n">
        <v>1940840</v>
      </c>
    </row>
    <row r="885">
      <c r="I885" t="n">
        <v>1940840</v>
      </c>
    </row>
    <row r="886">
      <c r="I886" t="n">
        <v>3712521</v>
      </c>
    </row>
    <row r="887">
      <c r="I887" t="n">
        <v>3712521</v>
      </c>
    </row>
    <row r="888">
      <c r="I888" t="n">
        <v>1940090</v>
      </c>
    </row>
    <row r="889">
      <c r="I889" t="n">
        <v>1940090</v>
      </c>
    </row>
    <row r="890">
      <c r="I890" t="n">
        <v>3935313</v>
      </c>
    </row>
    <row r="891">
      <c r="I891" t="n">
        <v>4100796</v>
      </c>
    </row>
    <row r="892">
      <c r="I892" t="n">
        <v>4104140</v>
      </c>
    </row>
    <row r="893">
      <c r="I893" t="n">
        <v>3571870</v>
      </c>
    </row>
    <row r="894">
      <c r="I894" t="n">
        <v>3572051</v>
      </c>
    </row>
    <row r="895">
      <c r="I895" t="n">
        <v>3929691</v>
      </c>
    </row>
    <row r="896">
      <c r="I896" t="n">
        <v>3929540</v>
      </c>
    </row>
    <row r="897">
      <c r="I897" t="n">
        <v>3929692</v>
      </c>
    </row>
    <row r="898">
      <c r="I898" t="n">
        <v>3230495</v>
      </c>
    </row>
    <row r="899">
      <c r="I899" t="n">
        <v>1940849</v>
      </c>
    </row>
    <row r="900">
      <c r="I900" t="n">
        <v>1940850</v>
      </c>
    </row>
    <row r="901">
      <c r="I901" t="n">
        <v>3230482</v>
      </c>
    </row>
    <row r="902">
      <c r="I902" t="n">
        <v>3935311</v>
      </c>
    </row>
    <row r="903">
      <c r="I903" t="n">
        <v>3931835</v>
      </c>
    </row>
    <row r="904">
      <c r="I904" t="n">
        <v>3938687</v>
      </c>
    </row>
    <row r="905">
      <c r="I905" t="n">
        <v>3230486</v>
      </c>
    </row>
    <row r="906">
      <c r="I906" t="n">
        <v>3230490</v>
      </c>
    </row>
    <row r="907">
      <c r="I907" t="n">
        <v>3230487</v>
      </c>
    </row>
    <row r="908">
      <c r="I908" t="n">
        <v>3230488</v>
      </c>
    </row>
    <row r="909">
      <c r="I909" t="n">
        <v>3931836</v>
      </c>
    </row>
    <row r="910">
      <c r="I910" t="n">
        <v>3230485</v>
      </c>
    </row>
    <row r="911">
      <c r="I911" t="n">
        <v>3233560</v>
      </c>
    </row>
    <row r="912">
      <c r="I912" t="n">
        <v>3230492</v>
      </c>
    </row>
    <row r="913">
      <c r="I913" t="n">
        <v>3572038</v>
      </c>
    </row>
    <row r="914">
      <c r="I914" t="n">
        <v>3233559</v>
      </c>
    </row>
    <row r="915">
      <c r="I915" t="n">
        <v>3584171</v>
      </c>
    </row>
    <row r="916">
      <c r="I916" t="n">
        <v>3233557</v>
      </c>
    </row>
    <row r="917">
      <c r="I917" t="n">
        <v>3233555</v>
      </c>
    </row>
    <row r="918">
      <c r="I918" t="n">
        <v>3233555</v>
      </c>
    </row>
    <row r="919">
      <c r="I919" t="n">
        <v>3233554</v>
      </c>
    </row>
    <row r="920">
      <c r="I920" t="n">
        <v>1940801</v>
      </c>
    </row>
    <row r="921">
      <c r="I921" t="n">
        <v>1940801</v>
      </c>
    </row>
    <row r="922">
      <c r="I922" t="n">
        <v>3780004</v>
      </c>
    </row>
    <row r="923">
      <c r="I923" t="n">
        <v>3780004</v>
      </c>
    </row>
    <row r="924">
      <c r="I924" t="n">
        <v>3775636</v>
      </c>
    </row>
    <row r="925">
      <c r="I925" t="n">
        <v>3926270</v>
      </c>
    </row>
    <row r="926">
      <c r="I926" t="n">
        <v>3910649</v>
      </c>
    </row>
    <row r="927">
      <c r="I927" t="n">
        <v>3910649</v>
      </c>
    </row>
    <row r="928">
      <c r="I928" t="n">
        <v>3910650</v>
      </c>
    </row>
    <row r="929">
      <c r="I929" t="n">
        <v>3910650</v>
      </c>
    </row>
    <row r="930">
      <c r="I930" t="n">
        <v>3910650</v>
      </c>
    </row>
    <row r="931">
      <c r="I931" t="n">
        <v>3943203</v>
      </c>
    </row>
    <row r="932">
      <c r="I932" t="n">
        <v>3943203</v>
      </c>
    </row>
    <row r="933">
      <c r="I933" t="n">
        <v>3943203</v>
      </c>
    </row>
    <row r="934">
      <c r="I934" t="n">
        <v>3943203</v>
      </c>
    </row>
    <row r="935">
      <c r="I935" t="n">
        <v>3943203</v>
      </c>
    </row>
    <row r="936">
      <c r="I936" t="n">
        <v>1940653</v>
      </c>
    </row>
    <row r="937">
      <c r="I937" t="n">
        <v>1940188</v>
      </c>
    </row>
    <row r="938">
      <c r="I938" t="n">
        <v>1940188</v>
      </c>
    </row>
    <row r="939">
      <c r="I939" t="n">
        <v>1940188</v>
      </c>
    </row>
    <row r="940">
      <c r="I940" t="n">
        <v>3935313</v>
      </c>
    </row>
    <row r="941">
      <c r="I941" t="n">
        <v>4100796</v>
      </c>
    </row>
    <row r="942">
      <c r="I942" t="n">
        <v>4104140</v>
      </c>
    </row>
    <row r="943">
      <c r="I943" t="n">
        <v>3571870</v>
      </c>
    </row>
    <row r="944">
      <c r="I944" t="n">
        <v>3572051</v>
      </c>
    </row>
    <row r="945">
      <c r="I945" t="n">
        <v>3929691</v>
      </c>
    </row>
    <row r="946">
      <c r="I946" t="n">
        <v>3929691</v>
      </c>
    </row>
    <row r="947">
      <c r="I947" t="n">
        <v>3929691</v>
      </c>
    </row>
    <row r="948">
      <c r="I948" t="n">
        <v>3929540</v>
      </c>
    </row>
    <row r="949">
      <c r="I949" t="n">
        <v>3929692</v>
      </c>
    </row>
    <row r="950">
      <c r="I950" t="n">
        <v>3230495</v>
      </c>
    </row>
    <row r="951">
      <c r="I951" t="n">
        <v>1940849</v>
      </c>
    </row>
    <row r="952">
      <c r="I952" t="n">
        <v>1940850</v>
      </c>
    </row>
    <row r="953">
      <c r="I953" t="n">
        <v>3230482</v>
      </c>
    </row>
    <row r="954">
      <c r="I954" t="n">
        <v>3935311</v>
      </c>
    </row>
    <row r="955">
      <c r="I955" t="n">
        <v>3931835</v>
      </c>
    </row>
    <row r="956">
      <c r="I956" t="n">
        <v>3938687</v>
      </c>
    </row>
    <row r="957">
      <c r="I957" t="n">
        <v>3230486</v>
      </c>
    </row>
    <row r="958">
      <c r="I958" t="n">
        <v>3230486</v>
      </c>
    </row>
    <row r="959">
      <c r="I959" t="n">
        <v>3230490</v>
      </c>
    </row>
    <row r="960">
      <c r="I960" t="n">
        <v>3230487</v>
      </c>
    </row>
    <row r="961">
      <c r="I961" t="n">
        <v>3230488</v>
      </c>
    </row>
    <row r="962">
      <c r="I962" t="n">
        <v>3931836</v>
      </c>
    </row>
    <row r="963">
      <c r="I963" t="n">
        <v>3230485</v>
      </c>
    </row>
    <row r="964">
      <c r="I964" t="n">
        <v>3233560</v>
      </c>
    </row>
    <row r="965">
      <c r="I965" t="n">
        <v>3230492</v>
      </c>
    </row>
    <row r="966">
      <c r="I966" t="n">
        <v>3572038</v>
      </c>
    </row>
    <row r="967">
      <c r="I967" t="n">
        <v>3233559</v>
      </c>
    </row>
    <row r="968">
      <c r="I968" t="n">
        <v>3584171</v>
      </c>
    </row>
    <row r="969">
      <c r="I969" t="n">
        <v>3233557</v>
      </c>
    </row>
    <row r="970">
      <c r="I970" t="n">
        <v>3233555</v>
      </c>
    </row>
    <row r="971">
      <c r="I971" t="n">
        <v>3233555</v>
      </c>
    </row>
    <row r="972">
      <c r="I972" t="n">
        <v>3233554</v>
      </c>
    </row>
    <row r="973">
      <c r="I973" t="n">
        <v>1940801</v>
      </c>
    </row>
    <row r="974">
      <c r="I974" t="n">
        <v>1940801</v>
      </c>
    </row>
    <row r="975">
      <c r="I975" t="n">
        <v>3841883</v>
      </c>
    </row>
    <row r="976">
      <c r="I976" t="n">
        <v>3841883</v>
      </c>
    </row>
    <row r="977">
      <c r="I977" t="n">
        <v>1940837</v>
      </c>
    </row>
    <row r="978">
      <c r="I978" t="n">
        <v>1940837</v>
      </c>
    </row>
    <row r="979">
      <c r="I979" t="n">
        <v>1940837</v>
      </c>
    </row>
    <row r="980">
      <c r="I980" t="n">
        <v>3712521</v>
      </c>
    </row>
    <row r="981">
      <c r="I981" t="n">
        <v>3712521</v>
      </c>
    </row>
    <row r="982">
      <c r="I982" t="n">
        <v>3712521</v>
      </c>
    </row>
    <row r="983">
      <c r="I983" t="n">
        <v>4010435</v>
      </c>
    </row>
    <row r="984">
      <c r="I984" t="n">
        <v>4010435</v>
      </c>
    </row>
    <row r="985">
      <c r="I985" t="n">
        <v>1940807</v>
      </c>
    </row>
    <row r="986">
      <c r="I986" t="n">
        <v>1940807</v>
      </c>
    </row>
    <row r="987">
      <c r="I987" t="n">
        <v>1940807</v>
      </c>
    </row>
    <row r="988">
      <c r="I988" t="n">
        <v>3572044</v>
      </c>
    </row>
    <row r="989">
      <c r="I989" t="n">
        <v>3572044</v>
      </c>
    </row>
    <row r="990">
      <c r="I990" t="n">
        <v>3572044</v>
      </c>
    </row>
    <row r="991">
      <c r="I991" t="n">
        <v>1940146</v>
      </c>
    </row>
    <row r="992">
      <c r="I992" t="n">
        <v>3910648</v>
      </c>
    </row>
    <row r="993">
      <c r="I993" t="n">
        <v>3910648</v>
      </c>
    </row>
    <row r="994">
      <c r="I994" t="n">
        <v>3910648</v>
      </c>
    </row>
    <row r="995">
      <c r="I995" t="n">
        <v>3508742</v>
      </c>
    </row>
    <row r="996">
      <c r="I996" t="n">
        <v>3508742</v>
      </c>
    </row>
    <row r="997">
      <c r="I997" t="n">
        <v>3508742</v>
      </c>
    </row>
    <row r="998">
      <c r="I998" t="n">
        <v>3508742</v>
      </c>
    </row>
    <row r="999">
      <c r="I999" t="n">
        <v>3926270</v>
      </c>
    </row>
    <row r="1000">
      <c r="I1000" t="n">
        <v>3926270</v>
      </c>
    </row>
    <row r="1001">
      <c r="I1001" t="n">
        <v>3926270</v>
      </c>
    </row>
    <row r="1002">
      <c r="I1002" t="n">
        <v>3910650</v>
      </c>
    </row>
    <row r="1003">
      <c r="I1003" t="n">
        <v>3910650</v>
      </c>
    </row>
    <row r="1004">
      <c r="I1004" t="n">
        <v>3910650</v>
      </c>
    </row>
    <row r="1005">
      <c r="I1005" t="n">
        <v>3910650</v>
      </c>
    </row>
    <row r="1006">
      <c r="I1006" t="n">
        <v>4100796</v>
      </c>
    </row>
    <row r="1007">
      <c r="I1007" t="n">
        <v>4104140</v>
      </c>
    </row>
    <row r="1008">
      <c r="I1008" t="n">
        <v>3571870</v>
      </c>
    </row>
    <row r="1009">
      <c r="I1009" t="n">
        <v>3572051</v>
      </c>
    </row>
    <row r="1010">
      <c r="I1010" t="n">
        <v>3929691</v>
      </c>
    </row>
    <row r="1011">
      <c r="I1011" t="n">
        <v>3929540</v>
      </c>
    </row>
    <row r="1012">
      <c r="I1012" t="n">
        <v>3929692</v>
      </c>
    </row>
    <row r="1013">
      <c r="I1013" t="n">
        <v>3230495</v>
      </c>
    </row>
    <row r="1014">
      <c r="I1014" t="n">
        <v>1940849</v>
      </c>
    </row>
    <row r="1015">
      <c r="I1015" t="n">
        <v>1940850</v>
      </c>
    </row>
    <row r="1016">
      <c r="I1016" t="n">
        <v>3230482</v>
      </c>
    </row>
    <row r="1017">
      <c r="I1017" t="n">
        <v>3230482</v>
      </c>
    </row>
    <row r="1018">
      <c r="I1018" t="n">
        <v>3935311</v>
      </c>
    </row>
    <row r="1019">
      <c r="I1019" t="n">
        <v>3931835</v>
      </c>
    </row>
    <row r="1020">
      <c r="I1020" t="n">
        <v>3938687</v>
      </c>
    </row>
    <row r="1021">
      <c r="I1021" t="n">
        <v>3230486</v>
      </c>
    </row>
    <row r="1022">
      <c r="I1022" t="n">
        <v>3230490</v>
      </c>
    </row>
    <row r="1023">
      <c r="I1023" t="n">
        <v>3230487</v>
      </c>
    </row>
    <row r="1024">
      <c r="I1024" t="n">
        <v>3230488</v>
      </c>
    </row>
    <row r="1025">
      <c r="I1025" t="n">
        <v>3931836</v>
      </c>
    </row>
    <row r="1026">
      <c r="I1026" t="n">
        <v>3230485</v>
      </c>
    </row>
    <row r="1027">
      <c r="I1027" t="n">
        <v>3233560</v>
      </c>
    </row>
    <row r="1028">
      <c r="I1028" t="n">
        <v>3230492</v>
      </c>
    </row>
    <row r="1029">
      <c r="I1029" t="n">
        <v>3572038</v>
      </c>
    </row>
    <row r="1030">
      <c r="I1030" t="n">
        <v>3233559</v>
      </c>
    </row>
    <row r="1031">
      <c r="I1031" t="n">
        <v>3584171</v>
      </c>
    </row>
    <row r="1032">
      <c r="I1032" t="n">
        <v>3233557</v>
      </c>
    </row>
    <row r="1033">
      <c r="I1033" t="n">
        <v>3233555</v>
      </c>
    </row>
    <row r="1034">
      <c r="I1034" t="n">
        <v>3233554</v>
      </c>
    </row>
    <row r="1035">
      <c r="I1035" t="n">
        <v>1940801</v>
      </c>
    </row>
    <row r="1036">
      <c r="I1036" t="n">
        <v>3935313</v>
      </c>
    </row>
    <row r="1037">
      <c r="I1037" t="n">
        <v>1940686</v>
      </c>
    </row>
    <row r="1038">
      <c r="I1038" t="n">
        <v>1940686</v>
      </c>
    </row>
    <row r="1039">
      <c r="I1039" t="n">
        <v>1940686</v>
      </c>
    </row>
    <row r="1040">
      <c r="I1040" t="n">
        <v>3635694</v>
      </c>
    </row>
    <row r="1041">
      <c r="I1041" t="n">
        <v>3635694</v>
      </c>
    </row>
    <row r="1042">
      <c r="I1042" t="n">
        <v>3635694</v>
      </c>
    </row>
    <row r="1043">
      <c r="I1043" t="n">
        <v>3635694</v>
      </c>
    </row>
    <row r="1044">
      <c r="I1044" t="n">
        <v>1940830</v>
      </c>
    </row>
    <row r="1045">
      <c r="I1045" t="n">
        <v>1940830</v>
      </c>
    </row>
    <row r="1046">
      <c r="I1046" t="n">
        <v>1940830</v>
      </c>
    </row>
    <row r="1047">
      <c r="I1047" t="n">
        <v>1940830</v>
      </c>
    </row>
    <row r="1048">
      <c r="I1048" t="n">
        <v>1940830</v>
      </c>
    </row>
    <row r="1049">
      <c r="I1049" t="n">
        <v>3841883</v>
      </c>
    </row>
    <row r="1050">
      <c r="I1050" t="n">
        <v>3841883</v>
      </c>
    </row>
    <row r="1051">
      <c r="I1051" t="n">
        <v>4010435</v>
      </c>
    </row>
    <row r="1052">
      <c r="I1052" t="n">
        <v>4010435</v>
      </c>
    </row>
    <row r="1053">
      <c r="I1053" t="n">
        <v>1940686</v>
      </c>
    </row>
    <row r="1054">
      <c r="I1054" t="n">
        <v>1940686</v>
      </c>
    </row>
    <row r="1055">
      <c r="I1055" t="n">
        <v>1940686</v>
      </c>
    </row>
    <row r="1056">
      <c r="I1056" t="n">
        <v>1940686</v>
      </c>
    </row>
    <row r="1057">
      <c r="I1057" t="n">
        <v>1940686</v>
      </c>
    </row>
    <row r="1058">
      <c r="I1058" t="n">
        <v>1939966</v>
      </c>
    </row>
    <row r="1059">
      <c r="I1059" t="n">
        <v>1939966</v>
      </c>
    </row>
    <row r="1060">
      <c r="I1060" t="n">
        <v>1939966</v>
      </c>
    </row>
    <row r="1061">
      <c r="I1061" t="n">
        <v>1939966</v>
      </c>
    </row>
    <row r="1062">
      <c r="I1062" t="n">
        <v>1939966</v>
      </c>
    </row>
    <row r="1063">
      <c r="I1063" t="n">
        <v>2427158</v>
      </c>
    </row>
    <row r="1064">
      <c r="I1064" t="n">
        <v>2427158</v>
      </c>
    </row>
    <row r="1065">
      <c r="I1065" t="n">
        <v>2427158</v>
      </c>
    </row>
    <row r="1066">
      <c r="I1066" t="n">
        <v>2427158</v>
      </c>
    </row>
    <row r="1067">
      <c r="I1067" t="n">
        <v>2427158</v>
      </c>
    </row>
    <row r="1068">
      <c r="I1068" t="n">
        <v>1940825</v>
      </c>
    </row>
    <row r="1069">
      <c r="I1069" t="n">
        <v>1940825</v>
      </c>
    </row>
    <row r="1070">
      <c r="I1070" t="n">
        <v>1940825</v>
      </c>
    </row>
    <row r="1071">
      <c r="I1071" t="n">
        <v>1940825</v>
      </c>
    </row>
    <row r="1072">
      <c r="I1072" t="n">
        <v>1940825</v>
      </c>
    </row>
    <row r="1073">
      <c r="I1073" t="n">
        <v>1940823</v>
      </c>
    </row>
    <row r="1074">
      <c r="I1074" t="n">
        <v>1940823</v>
      </c>
    </row>
    <row r="1075">
      <c r="I1075" t="n">
        <v>1940823</v>
      </c>
    </row>
    <row r="1076">
      <c r="I1076" t="n">
        <v>1940822</v>
      </c>
    </row>
    <row r="1077">
      <c r="I1077" t="n">
        <v>1940822</v>
      </c>
    </row>
    <row r="1078">
      <c r="I1078" t="n">
        <v>1940822</v>
      </c>
    </row>
    <row r="1079">
      <c r="I1079" t="n">
        <v>1940822</v>
      </c>
    </row>
    <row r="1080">
      <c r="I1080" t="n">
        <v>1940822</v>
      </c>
    </row>
    <row r="1081">
      <c r="I1081" t="n">
        <v>1940822</v>
      </c>
    </row>
    <row r="1082">
      <c r="I1082" t="n">
        <v>3598957</v>
      </c>
    </row>
    <row r="1083">
      <c r="I1083" t="n">
        <v>3598957</v>
      </c>
    </row>
    <row r="1084">
      <c r="I1084" t="n">
        <v>3598957</v>
      </c>
    </row>
    <row r="1085">
      <c r="I1085" t="n">
        <v>3598957</v>
      </c>
    </row>
    <row r="1086">
      <c r="I1086" t="n">
        <v>4075254</v>
      </c>
    </row>
    <row r="1087">
      <c r="I1087" t="n">
        <v>3935313</v>
      </c>
    </row>
    <row r="1088">
      <c r="I1088" t="n">
        <v>1940801</v>
      </c>
    </row>
    <row r="1089">
      <c r="I1089" t="n">
        <v>1940801</v>
      </c>
    </row>
    <row r="1090">
      <c r="I1090" t="n">
        <v>3935311</v>
      </c>
    </row>
    <row r="1091">
      <c r="I1091" t="n">
        <v>3233554</v>
      </c>
    </row>
    <row r="1092">
      <c r="I1092" t="n">
        <v>3233554</v>
      </c>
    </row>
    <row r="1093">
      <c r="I1093" t="n">
        <v>3572038</v>
      </c>
    </row>
    <row r="1094">
      <c r="I1094" t="n">
        <v>3929692</v>
      </c>
    </row>
    <row r="1095">
      <c r="I1095" t="n">
        <v>3931837</v>
      </c>
    </row>
    <row r="1096">
      <c r="I1096" t="n">
        <v>3233555</v>
      </c>
    </row>
    <row r="1097">
      <c r="I1097" t="n">
        <v>3233555</v>
      </c>
    </row>
    <row r="1098">
      <c r="I1098" t="n">
        <v>3230492</v>
      </c>
    </row>
    <row r="1099">
      <c r="I1099" t="n">
        <v>3230492</v>
      </c>
    </row>
    <row r="1100">
      <c r="I1100" t="n">
        <v>3233560</v>
      </c>
    </row>
    <row r="1101">
      <c r="I1101" t="n">
        <v>3572051</v>
      </c>
    </row>
    <row r="1102">
      <c r="I1102" t="n">
        <v>3572051</v>
      </c>
    </row>
    <row r="1103">
      <c r="I1103" t="n">
        <v>3230485</v>
      </c>
    </row>
    <row r="1104">
      <c r="I1104" t="n">
        <v>3931836</v>
      </c>
    </row>
    <row r="1105">
      <c r="I1105" t="n">
        <v>3233557</v>
      </c>
    </row>
    <row r="1106">
      <c r="I1106" t="n">
        <v>3230482</v>
      </c>
    </row>
    <row r="1107">
      <c r="I1107" t="n">
        <v>3929540</v>
      </c>
    </row>
    <row r="1108">
      <c r="I1108" t="n">
        <v>3571870</v>
      </c>
    </row>
    <row r="1109">
      <c r="I1109" t="n">
        <v>3230488</v>
      </c>
    </row>
    <row r="1110">
      <c r="I1110" t="n">
        <v>3230487</v>
      </c>
    </row>
    <row r="1111">
      <c r="I1111" t="n">
        <v>3230490</v>
      </c>
    </row>
    <row r="1112">
      <c r="I1112" t="n">
        <v>3230495</v>
      </c>
    </row>
    <row r="1113">
      <c r="I1113" t="n">
        <v>3929691</v>
      </c>
    </row>
    <row r="1114">
      <c r="I1114" t="n">
        <v>2256692</v>
      </c>
    </row>
    <row r="1115">
      <c r="I1115" t="n">
        <v>2256692</v>
      </c>
    </row>
    <row r="1116">
      <c r="I1116" t="n">
        <v>1905990</v>
      </c>
    </row>
    <row r="1117">
      <c r="I1117" t="n">
        <v>1905990</v>
      </c>
    </row>
    <row r="1118">
      <c r="I1118" t="n">
        <v>3780005</v>
      </c>
    </row>
    <row r="1119">
      <c r="I1119" t="n">
        <v>3780005</v>
      </c>
    </row>
    <row r="1120">
      <c r="I1120" t="n">
        <v>3780004</v>
      </c>
    </row>
    <row r="1121">
      <c r="I1121" t="n">
        <v>3780004</v>
      </c>
    </row>
    <row r="1122">
      <c r="I1122" t="n">
        <v>3780004</v>
      </c>
    </row>
    <row r="1123">
      <c r="I1123" t="n">
        <v>3780004</v>
      </c>
    </row>
    <row r="1124">
      <c r="I1124" t="n">
        <v>3780004</v>
      </c>
    </row>
    <row r="1125">
      <c r="I1125" t="n">
        <v>3910648</v>
      </c>
    </row>
    <row r="1126">
      <c r="I1126" t="n">
        <v>3910648</v>
      </c>
    </row>
    <row r="1127">
      <c r="I1127" t="n">
        <v>3910648</v>
      </c>
    </row>
    <row r="1128">
      <c r="I1128" t="n">
        <v>3910648</v>
      </c>
    </row>
    <row r="1129">
      <c r="I1129" t="n">
        <v>3801265</v>
      </c>
    </row>
    <row r="1130">
      <c r="I1130" t="n">
        <v>3801265</v>
      </c>
    </row>
    <row r="1131">
      <c r="I1131" t="n">
        <v>2325421</v>
      </c>
    </row>
    <row r="1132">
      <c r="I1132" t="n">
        <v>2325421</v>
      </c>
    </row>
    <row r="1133">
      <c r="I1133" t="n">
        <v>1940822</v>
      </c>
    </row>
    <row r="1134">
      <c r="I1134" t="n">
        <v>1940822</v>
      </c>
    </row>
    <row r="1135">
      <c r="I1135" t="n">
        <v>1940822</v>
      </c>
    </row>
    <row r="1136">
      <c r="I1136" t="n">
        <v>1940822</v>
      </c>
    </row>
    <row r="1137">
      <c r="I1137" t="n">
        <v>1940821</v>
      </c>
    </row>
    <row r="1138">
      <c r="I1138" t="n">
        <v>3929691</v>
      </c>
    </row>
    <row r="1139">
      <c r="I1139" t="n">
        <v>3929540</v>
      </c>
    </row>
    <row r="1140">
      <c r="I1140" t="n">
        <v>3929692</v>
      </c>
    </row>
    <row r="1141">
      <c r="I1141" t="n">
        <v>3230495</v>
      </c>
    </row>
    <row r="1142">
      <c r="I1142" t="n">
        <v>3935312</v>
      </c>
    </row>
    <row r="1143">
      <c r="I1143" t="n">
        <v>1940849</v>
      </c>
    </row>
    <row r="1144">
      <c r="I1144" t="n">
        <v>1940850</v>
      </c>
    </row>
    <row r="1145">
      <c r="I1145" t="n">
        <v>3230482</v>
      </c>
    </row>
    <row r="1146">
      <c r="I1146" t="n">
        <v>3935311</v>
      </c>
    </row>
    <row r="1147">
      <c r="I1147" t="n">
        <v>3931834</v>
      </c>
    </row>
    <row r="1148">
      <c r="I1148" t="n">
        <v>3931835</v>
      </c>
    </row>
    <row r="1149">
      <c r="I1149" t="n">
        <v>3938687</v>
      </c>
    </row>
    <row r="1150">
      <c r="I1150" t="n">
        <v>3230486</v>
      </c>
    </row>
    <row r="1151">
      <c r="I1151" t="n">
        <v>3230490</v>
      </c>
    </row>
    <row r="1152">
      <c r="I1152" t="n">
        <v>3230487</v>
      </c>
    </row>
    <row r="1153">
      <c r="I1153" t="n">
        <v>3952059</v>
      </c>
    </row>
    <row r="1154">
      <c r="I1154" t="n">
        <v>3230488</v>
      </c>
    </row>
    <row r="1155">
      <c r="I1155" t="n">
        <v>3931836</v>
      </c>
    </row>
    <row r="1156">
      <c r="I1156" t="n">
        <v>3230485</v>
      </c>
    </row>
    <row r="1157">
      <c r="I1157" t="n">
        <v>3233560</v>
      </c>
    </row>
    <row r="1158">
      <c r="I1158" t="n">
        <v>3230492</v>
      </c>
    </row>
    <row r="1159">
      <c r="I1159" t="n">
        <v>3931837</v>
      </c>
    </row>
    <row r="1160">
      <c r="I1160" t="n">
        <v>3572038</v>
      </c>
    </row>
    <row r="1161">
      <c r="I1161" t="n">
        <v>3233559</v>
      </c>
    </row>
    <row r="1162">
      <c r="I1162" t="n">
        <v>3584171</v>
      </c>
    </row>
    <row r="1163">
      <c r="I1163" t="n">
        <v>3233557</v>
      </c>
    </row>
    <row r="1164">
      <c r="I1164" t="n">
        <v>3233557</v>
      </c>
    </row>
    <row r="1165">
      <c r="I1165" t="n">
        <v>3233556</v>
      </c>
    </row>
    <row r="1166">
      <c r="I1166" t="n">
        <v>3233555</v>
      </c>
    </row>
    <row r="1167">
      <c r="I1167" t="n">
        <v>3233555</v>
      </c>
    </row>
    <row r="1168">
      <c r="I1168" t="n">
        <v>3233554</v>
      </c>
    </row>
    <row r="1169">
      <c r="I1169" t="n">
        <v>1940801</v>
      </c>
    </row>
    <row r="1170">
      <c r="I1170" t="n">
        <v>1940801</v>
      </c>
    </row>
    <row r="1171">
      <c r="I1171" t="n">
        <v>3935313</v>
      </c>
    </row>
    <row r="1172">
      <c r="I1172" t="n">
        <v>3673012</v>
      </c>
    </row>
    <row r="1173">
      <c r="I1173" t="n">
        <v>2270133</v>
      </c>
    </row>
    <row r="1174">
      <c r="I1174" t="n">
        <v>2270133</v>
      </c>
    </row>
    <row r="1175">
      <c r="I1175" t="n">
        <v>3706751</v>
      </c>
    </row>
    <row r="1176">
      <c r="I1176" t="n">
        <v>3706751</v>
      </c>
    </row>
    <row r="1177">
      <c r="I1177" t="n">
        <v>3706751</v>
      </c>
    </row>
    <row r="1178">
      <c r="I1178" t="n">
        <v>3706751</v>
      </c>
    </row>
    <row r="1179">
      <c r="I1179" t="n">
        <v>3706751</v>
      </c>
    </row>
    <row r="1180">
      <c r="I1180" t="n">
        <v>3706751</v>
      </c>
    </row>
    <row r="1181">
      <c r="I1181" t="n">
        <v>3706751</v>
      </c>
    </row>
    <row r="1182">
      <c r="I1182" t="n">
        <v>3706751</v>
      </c>
    </row>
    <row r="1183">
      <c r="I1183" t="n">
        <v>2420205</v>
      </c>
    </row>
    <row r="1184">
      <c r="I1184" t="n">
        <v>2420205</v>
      </c>
    </row>
    <row r="1185">
      <c r="I1185" t="n">
        <v>2420205</v>
      </c>
    </row>
    <row r="1186">
      <c r="I1186" t="n">
        <v>2420205</v>
      </c>
    </row>
    <row r="1187">
      <c r="I1187" t="n">
        <v>1940830</v>
      </c>
    </row>
    <row r="1188">
      <c r="I1188" t="n">
        <v>1940830</v>
      </c>
    </row>
    <row r="1189">
      <c r="I1189" t="n">
        <v>1940830</v>
      </c>
    </row>
    <row r="1190">
      <c r="I1190" t="n">
        <v>2403383</v>
      </c>
    </row>
    <row r="1191">
      <c r="I1191" t="n">
        <v>2403383</v>
      </c>
    </row>
    <row r="1192">
      <c r="I1192" t="n">
        <v>2403383</v>
      </c>
    </row>
    <row r="1193">
      <c r="I1193" t="n">
        <v>2403383</v>
      </c>
    </row>
    <row r="1194">
      <c r="I1194" t="n">
        <v>3122347</v>
      </c>
    </row>
    <row r="1195">
      <c r="I1195" t="n">
        <v>3122347</v>
      </c>
    </row>
    <row r="1196">
      <c r="I1196" t="n">
        <v>3122347</v>
      </c>
    </row>
    <row r="1197">
      <c r="I1197" t="n">
        <v>3122347</v>
      </c>
    </row>
    <row r="1198">
      <c r="I1198" t="n">
        <v>3122347</v>
      </c>
    </row>
    <row r="1199">
      <c r="I1199" t="n">
        <v>1939993</v>
      </c>
    </row>
    <row r="1200">
      <c r="I1200" t="n">
        <v>3929636</v>
      </c>
    </row>
    <row r="1201">
      <c r="I1201" t="n">
        <v>4075254</v>
      </c>
    </row>
    <row r="1202">
      <c r="I1202" t="n">
        <v>3935313</v>
      </c>
    </row>
    <row r="1203">
      <c r="I1203" t="n">
        <v>1940801</v>
      </c>
    </row>
    <row r="1204">
      <c r="I1204" t="n">
        <v>1940801</v>
      </c>
    </row>
    <row r="1205">
      <c r="I1205" t="n">
        <v>3935311</v>
      </c>
    </row>
    <row r="1206">
      <c r="I1206" t="n">
        <v>3233554</v>
      </c>
    </row>
    <row r="1207">
      <c r="I1207" t="n">
        <v>3572038</v>
      </c>
    </row>
    <row r="1208">
      <c r="I1208" t="n">
        <v>3929692</v>
      </c>
    </row>
    <row r="1209">
      <c r="I1209" t="n">
        <v>3931837</v>
      </c>
    </row>
    <row r="1210">
      <c r="I1210" t="n">
        <v>3233555</v>
      </c>
    </row>
    <row r="1211">
      <c r="I1211" t="n">
        <v>3233555</v>
      </c>
    </row>
    <row r="1212">
      <c r="I1212" t="n">
        <v>3233555</v>
      </c>
    </row>
    <row r="1213">
      <c r="I1213" t="n">
        <v>3230492</v>
      </c>
    </row>
    <row r="1214">
      <c r="I1214" t="n">
        <v>3233560</v>
      </c>
    </row>
    <row r="1215">
      <c r="I1215" t="n">
        <v>3572051</v>
      </c>
    </row>
    <row r="1216">
      <c r="I1216" t="n">
        <v>3572051</v>
      </c>
    </row>
    <row r="1217">
      <c r="I1217" t="n">
        <v>3230485</v>
      </c>
    </row>
    <row r="1218">
      <c r="I1218" t="n">
        <v>3931836</v>
      </c>
    </row>
    <row r="1219">
      <c r="I1219" t="n">
        <v>3233557</v>
      </c>
    </row>
    <row r="1220">
      <c r="I1220" t="n">
        <v>3230482</v>
      </c>
    </row>
    <row r="1221">
      <c r="I1221" t="n">
        <v>3929540</v>
      </c>
    </row>
    <row r="1222">
      <c r="I1222" t="n">
        <v>3571870</v>
      </c>
    </row>
    <row r="1223">
      <c r="I1223" t="n">
        <v>3230488</v>
      </c>
    </row>
    <row r="1224">
      <c r="I1224" t="n">
        <v>3230487</v>
      </c>
    </row>
    <row r="1225">
      <c r="I1225" t="n">
        <v>3230490</v>
      </c>
    </row>
    <row r="1226">
      <c r="I1226" t="n">
        <v>3230495</v>
      </c>
    </row>
    <row r="1227">
      <c r="I1227" t="n">
        <v>3929691</v>
      </c>
    </row>
    <row r="1228">
      <c r="I1228" t="n">
        <v>3910648</v>
      </c>
    </row>
    <row r="1229">
      <c r="I1229" t="n">
        <v>3910648</v>
      </c>
    </row>
    <row r="1230">
      <c r="I1230" t="n">
        <v>3910648</v>
      </c>
    </row>
    <row r="1231">
      <c r="I1231" t="n">
        <v>3910648</v>
      </c>
    </row>
    <row r="1232">
      <c r="I1232" t="n">
        <v>3910648</v>
      </c>
    </row>
    <row r="1233">
      <c r="I1233" t="n">
        <v>3556680</v>
      </c>
    </row>
    <row r="1234">
      <c r="I1234" t="n">
        <v>3556680</v>
      </c>
    </row>
    <row r="1235">
      <c r="I1235" t="n">
        <v>3556680</v>
      </c>
    </row>
    <row r="1236">
      <c r="I1236" t="n">
        <v>3556680</v>
      </c>
    </row>
    <row r="1237">
      <c r="I1237" t="n">
        <v>1940399</v>
      </c>
    </row>
    <row r="1238">
      <c r="I1238" t="n">
        <v>1940466</v>
      </c>
    </row>
    <row r="1239">
      <c r="I1239" t="n">
        <v>1940466</v>
      </c>
    </row>
    <row r="1240">
      <c r="I1240" t="n">
        <v>1940466</v>
      </c>
    </row>
    <row r="1241">
      <c r="I1241" t="n">
        <v>2413708</v>
      </c>
    </row>
    <row r="1242">
      <c r="I1242" t="n">
        <v>2413708</v>
      </c>
    </row>
    <row r="1243">
      <c r="I1243" t="n">
        <v>2413708</v>
      </c>
    </row>
    <row r="1244">
      <c r="I1244" t="n">
        <v>2413708</v>
      </c>
    </row>
    <row r="1245">
      <c r="I1245" t="n">
        <v>3910648</v>
      </c>
    </row>
    <row r="1246">
      <c r="I1246" t="n">
        <v>3910648</v>
      </c>
    </row>
    <row r="1247">
      <c r="I1247" t="n">
        <v>3910648</v>
      </c>
    </row>
    <row r="1248">
      <c r="I1248" t="n">
        <v>3910648</v>
      </c>
    </row>
    <row r="1249">
      <c r="I1249" t="n">
        <v>3673012</v>
      </c>
    </row>
    <row r="1250">
      <c r="I1250" t="n">
        <v>3673012</v>
      </c>
    </row>
    <row r="1251">
      <c r="I1251" t="n">
        <v>3673012</v>
      </c>
    </row>
    <row r="1252">
      <c r="I1252" t="n">
        <v>2349249</v>
      </c>
    </row>
    <row r="1253">
      <c r="I1253" t="n">
        <v>2349249</v>
      </c>
    </row>
    <row r="1254">
      <c r="I1254" t="n">
        <v>2349249</v>
      </c>
    </row>
    <row r="1255">
      <c r="I1255" t="n">
        <v>1940478</v>
      </c>
    </row>
    <row r="1256">
      <c r="I1256" t="n">
        <v>1940478</v>
      </c>
    </row>
    <row r="1257">
      <c r="I1257" t="n">
        <v>1940478</v>
      </c>
    </row>
    <row r="1258">
      <c r="I1258" t="n">
        <v>1940478</v>
      </c>
    </row>
    <row r="1259">
      <c r="I1259" t="n">
        <v>1940478</v>
      </c>
    </row>
    <row r="1260">
      <c r="I1260" t="n">
        <v>1940478</v>
      </c>
    </row>
    <row r="1261">
      <c r="I1261" t="n">
        <v>2423535</v>
      </c>
    </row>
    <row r="1262">
      <c r="I1262" t="n">
        <v>3926270</v>
      </c>
    </row>
    <row r="1263">
      <c r="I1263" t="n">
        <v>3910650</v>
      </c>
    </row>
    <row r="1264">
      <c r="I1264" t="n">
        <v>3910650</v>
      </c>
    </row>
    <row r="1265">
      <c r="I1265" t="n">
        <v>3910650</v>
      </c>
    </row>
    <row r="1266">
      <c r="I1266" t="n">
        <v>3910650</v>
      </c>
    </row>
    <row r="1267">
      <c r="I1267" t="n">
        <v>3635694</v>
      </c>
    </row>
    <row r="1268">
      <c r="I1268" t="n">
        <v>3943203</v>
      </c>
    </row>
    <row r="1269">
      <c r="I1269" t="n">
        <v>3943203</v>
      </c>
    </row>
    <row r="1270">
      <c r="I1270" t="n">
        <v>3943202</v>
      </c>
    </row>
    <row r="1271">
      <c r="I1271" t="n">
        <v>3943202</v>
      </c>
    </row>
    <row r="1272">
      <c r="I1272" t="n">
        <v>3943202</v>
      </c>
    </row>
    <row r="1273">
      <c r="I1273" t="n">
        <v>2256692</v>
      </c>
    </row>
    <row r="1274">
      <c r="I1274" t="n">
        <v>2256692</v>
      </c>
    </row>
    <row r="1275">
      <c r="I1275" t="n">
        <v>2256692</v>
      </c>
    </row>
    <row r="1276">
      <c r="I1276" t="n">
        <v>2256692</v>
      </c>
    </row>
    <row r="1277">
      <c r="I1277" t="n">
        <v>1940837</v>
      </c>
    </row>
    <row r="1278">
      <c r="I1278" t="n">
        <v>1940837</v>
      </c>
    </row>
    <row r="1279">
      <c r="I1279" t="n">
        <v>1940837</v>
      </c>
    </row>
    <row r="1280">
      <c r="I1280" t="n">
        <v>3712521</v>
      </c>
    </row>
    <row r="1281">
      <c r="I1281" t="n">
        <v>3712521</v>
      </c>
    </row>
    <row r="1282">
      <c r="I1282" t="n">
        <v>3712521</v>
      </c>
    </row>
    <row r="1283">
      <c r="I1283" t="n">
        <v>3712521</v>
      </c>
    </row>
    <row r="1284">
      <c r="I1284" t="n">
        <v>1940498</v>
      </c>
    </row>
    <row r="1285">
      <c r="I1285" t="n">
        <v>1940498</v>
      </c>
    </row>
    <row r="1286">
      <c r="I1286" t="n">
        <v>1940498</v>
      </c>
    </row>
    <row r="1287">
      <c r="I1287" t="n">
        <v>1940498</v>
      </c>
    </row>
    <row r="1288">
      <c r="I1288" t="n">
        <v>1940498</v>
      </c>
    </row>
    <row r="1289">
      <c r="I1289" t="n">
        <v>1940498</v>
      </c>
    </row>
    <row r="1290">
      <c r="I1290" t="n">
        <v>1940879</v>
      </c>
    </row>
    <row r="1291">
      <c r="I1291" t="n">
        <v>1940879</v>
      </c>
    </row>
    <row r="1292">
      <c r="I1292" t="n">
        <v>1940879</v>
      </c>
    </row>
    <row r="1293">
      <c r="I1293" t="n">
        <v>3910020</v>
      </c>
    </row>
    <row r="1294">
      <c r="I1294" t="n">
        <v>3910020</v>
      </c>
    </row>
    <row r="1295">
      <c r="I1295" t="n">
        <v>1940801</v>
      </c>
    </row>
    <row r="1296">
      <c r="I1296" t="n">
        <v>3233554</v>
      </c>
    </row>
    <row r="1297">
      <c r="I1297" t="n">
        <v>3233555</v>
      </c>
    </row>
    <row r="1298">
      <c r="I1298" t="n">
        <v>3233556</v>
      </c>
    </row>
    <row r="1299">
      <c r="I1299" t="n">
        <v>3233557</v>
      </c>
    </row>
    <row r="1300">
      <c r="I1300" t="n">
        <v>3584171</v>
      </c>
    </row>
    <row r="1301">
      <c r="I1301" t="n">
        <v>3233559</v>
      </c>
    </row>
    <row r="1302">
      <c r="I1302" t="n">
        <v>3233559</v>
      </c>
    </row>
    <row r="1303">
      <c r="I1303" t="n">
        <v>3572038</v>
      </c>
    </row>
    <row r="1304">
      <c r="I1304" t="n">
        <v>3931837</v>
      </c>
    </row>
    <row r="1305">
      <c r="I1305" t="n">
        <v>3230492</v>
      </c>
    </row>
    <row r="1306">
      <c r="I1306" t="n">
        <v>3233560</v>
      </c>
    </row>
    <row r="1307">
      <c r="I1307" t="n">
        <v>3230485</v>
      </c>
    </row>
    <row r="1308">
      <c r="I1308" t="n">
        <v>3931836</v>
      </c>
    </row>
    <row r="1309">
      <c r="I1309" t="n">
        <v>3230488</v>
      </c>
    </row>
    <row r="1310">
      <c r="I1310" t="n">
        <v>3952059</v>
      </c>
    </row>
    <row r="1311">
      <c r="I1311" t="n">
        <v>3952059</v>
      </c>
    </row>
    <row r="1312">
      <c r="I1312" t="n">
        <v>3230487</v>
      </c>
    </row>
    <row r="1313">
      <c r="I1313" t="n">
        <v>3230490</v>
      </c>
    </row>
    <row r="1314">
      <c r="I1314" t="n">
        <v>3230486</v>
      </c>
    </row>
    <row r="1315">
      <c r="I1315" t="n">
        <v>3938687</v>
      </c>
    </row>
    <row r="1316">
      <c r="I1316" t="n">
        <v>3931835</v>
      </c>
    </row>
    <row r="1317">
      <c r="I1317" t="n">
        <v>3931835</v>
      </c>
    </row>
    <row r="1318">
      <c r="I1318" t="n">
        <v>3931835</v>
      </c>
    </row>
    <row r="1319">
      <c r="I1319" t="n">
        <v>3931834</v>
      </c>
    </row>
    <row r="1320">
      <c r="I1320" t="n">
        <v>3935311</v>
      </c>
    </row>
    <row r="1321">
      <c r="I1321" t="n">
        <v>3935311</v>
      </c>
    </row>
    <row r="1322">
      <c r="I1322" t="n">
        <v>3230482</v>
      </c>
    </row>
    <row r="1323">
      <c r="I1323" t="n">
        <v>3230482</v>
      </c>
    </row>
    <row r="1324">
      <c r="I1324" t="n">
        <v>3230482</v>
      </c>
    </row>
    <row r="1325">
      <c r="I1325" t="n">
        <v>1940850</v>
      </c>
    </row>
    <row r="1326">
      <c r="I1326" t="n">
        <v>1940849</v>
      </c>
    </row>
    <row r="1327">
      <c r="I1327" t="n">
        <v>3935312</v>
      </c>
    </row>
    <row r="1328">
      <c r="I1328" t="n">
        <v>3935312</v>
      </c>
    </row>
    <row r="1329">
      <c r="I1329" t="n">
        <v>3230495</v>
      </c>
    </row>
    <row r="1330">
      <c r="I1330" t="n">
        <v>3929692</v>
      </c>
    </row>
    <row r="1331">
      <c r="I1331" t="n">
        <v>3929540</v>
      </c>
    </row>
    <row r="1332">
      <c r="I1332" t="n">
        <v>3929691</v>
      </c>
    </row>
    <row r="1333">
      <c r="I1333" t="n">
        <v>3935313</v>
      </c>
    </row>
    <row r="1334">
      <c r="I1334" t="n">
        <v>3910020</v>
      </c>
    </row>
    <row r="1335">
      <c r="I1335" t="n">
        <v>1940090</v>
      </c>
    </row>
    <row r="1336">
      <c r="I1336" t="n">
        <v>1940478</v>
      </c>
    </row>
    <row r="1337">
      <c r="I1337" t="n">
        <v>1940478</v>
      </c>
    </row>
    <row r="1338">
      <c r="I1338" t="n">
        <v>1940478</v>
      </c>
    </row>
    <row r="1339">
      <c r="I1339" t="n">
        <v>1940478</v>
      </c>
    </row>
    <row r="1340">
      <c r="I1340" t="n">
        <v>3929691</v>
      </c>
    </row>
    <row r="1341">
      <c r="I1341" t="n">
        <v>3929540</v>
      </c>
    </row>
    <row r="1342">
      <c r="I1342" t="n">
        <v>3929540</v>
      </c>
    </row>
    <row r="1343">
      <c r="I1343" t="n">
        <v>3929540</v>
      </c>
    </row>
    <row r="1344">
      <c r="I1344" t="n">
        <v>3929692</v>
      </c>
    </row>
    <row r="1345">
      <c r="I1345" t="n">
        <v>3929692</v>
      </c>
    </row>
    <row r="1346">
      <c r="I1346" t="n">
        <v>3230495</v>
      </c>
    </row>
    <row r="1347">
      <c r="I1347" t="n">
        <v>3935312</v>
      </c>
    </row>
    <row r="1348">
      <c r="I1348" t="n">
        <v>3935312</v>
      </c>
    </row>
    <row r="1349">
      <c r="I1349" t="n">
        <v>1940849</v>
      </c>
    </row>
    <row r="1350">
      <c r="I1350" t="n">
        <v>1940849</v>
      </c>
    </row>
    <row r="1351">
      <c r="I1351" t="n">
        <v>1940849</v>
      </c>
    </row>
    <row r="1352">
      <c r="I1352" t="n">
        <v>1940850</v>
      </c>
    </row>
    <row r="1353">
      <c r="I1353" t="n">
        <v>3432081</v>
      </c>
    </row>
    <row r="1354">
      <c r="I1354" t="n">
        <v>3239890</v>
      </c>
    </row>
    <row r="1355">
      <c r="I1355" t="n">
        <v>3239890</v>
      </c>
    </row>
    <row r="1356">
      <c r="I1356" t="n">
        <v>3229740</v>
      </c>
    </row>
    <row r="1357">
      <c r="I1357" t="n">
        <v>3409367</v>
      </c>
    </row>
    <row r="1358">
      <c r="I1358" t="n">
        <v>3409367</v>
      </c>
    </row>
    <row r="1359">
      <c r="I1359" t="n">
        <v>2409618</v>
      </c>
    </row>
    <row r="1360">
      <c r="I1360" t="n">
        <v>2409618</v>
      </c>
    </row>
    <row r="1361">
      <c r="I1361" t="n">
        <v>2409618</v>
      </c>
    </row>
    <row r="1362">
      <c r="I1362" t="n">
        <v>2409618</v>
      </c>
    </row>
    <row r="1363">
      <c r="I1363" t="n">
        <v>2409618</v>
      </c>
    </row>
    <row r="1364">
      <c r="I1364" t="n">
        <v>2409618</v>
      </c>
    </row>
    <row r="1365">
      <c r="I1365" t="n">
        <v>1937022</v>
      </c>
    </row>
    <row r="1366">
      <c r="I1366" t="n">
        <v>1937022</v>
      </c>
    </row>
    <row r="1367">
      <c r="I1367" t="n">
        <v>1937022</v>
      </c>
    </row>
    <row r="1368">
      <c r="I1368" t="n">
        <v>2325421</v>
      </c>
    </row>
    <row r="1369">
      <c r="I1369" t="n">
        <v>1940821</v>
      </c>
    </row>
    <row r="1370">
      <c r="I1370" t="n">
        <v>1940821</v>
      </c>
    </row>
    <row r="1371">
      <c r="I1371" t="n">
        <v>1940821</v>
      </c>
    </row>
    <row r="1372">
      <c r="I1372" t="n">
        <v>1940821</v>
      </c>
    </row>
    <row r="1373">
      <c r="I1373" t="n">
        <v>1940822</v>
      </c>
    </row>
    <row r="1374">
      <c r="I1374" t="n">
        <v>1940822</v>
      </c>
    </row>
    <row r="1375">
      <c r="I1375" t="n">
        <v>1940822</v>
      </c>
    </row>
    <row r="1376">
      <c r="I1376" t="n">
        <v>1940822</v>
      </c>
    </row>
    <row r="1377">
      <c r="I1377" t="n">
        <v>1940850</v>
      </c>
    </row>
    <row r="1378">
      <c r="I1378" t="n">
        <v>1940850</v>
      </c>
    </row>
    <row r="1379">
      <c r="I1379" t="n">
        <v>1940850</v>
      </c>
    </row>
    <row r="1380">
      <c r="I1380" t="n">
        <v>3230482</v>
      </c>
    </row>
    <row r="1381">
      <c r="I1381" t="n">
        <v>3230482</v>
      </c>
    </row>
    <row r="1382">
      <c r="I1382" t="n">
        <v>3935311</v>
      </c>
    </row>
    <row r="1383">
      <c r="I1383" t="n">
        <v>3935311</v>
      </c>
    </row>
    <row r="1384">
      <c r="I1384" t="n">
        <v>3935311</v>
      </c>
    </row>
    <row r="1385">
      <c r="I1385" t="n">
        <v>3931834</v>
      </c>
    </row>
    <row r="1386">
      <c r="I1386" t="n">
        <v>3931834</v>
      </c>
    </row>
    <row r="1387">
      <c r="I1387" t="n">
        <v>1940801</v>
      </c>
    </row>
    <row r="1388">
      <c r="I1388" t="n">
        <v>3233554</v>
      </c>
    </row>
    <row r="1389">
      <c r="I1389" t="n">
        <v>3233554</v>
      </c>
    </row>
    <row r="1390">
      <c r="I1390" t="n">
        <v>3233555</v>
      </c>
    </row>
    <row r="1391">
      <c r="I1391" t="n">
        <v>3233555</v>
      </c>
    </row>
    <row r="1392">
      <c r="I1392" t="n">
        <v>3233555</v>
      </c>
    </row>
    <row r="1393">
      <c r="I1393" t="n">
        <v>3233556</v>
      </c>
    </row>
    <row r="1394">
      <c r="I1394" t="n">
        <v>3233556</v>
      </c>
    </row>
    <row r="1395">
      <c r="I1395" t="n">
        <v>3233556</v>
      </c>
    </row>
    <row r="1396">
      <c r="I1396" t="n">
        <v>3233557</v>
      </c>
    </row>
    <row r="1397">
      <c r="I1397" t="n">
        <v>3233557</v>
      </c>
    </row>
    <row r="1398">
      <c r="I1398" t="n">
        <v>3584171</v>
      </c>
    </row>
    <row r="1399">
      <c r="I1399" t="n">
        <v>3584171</v>
      </c>
    </row>
    <row r="1400">
      <c r="I1400" t="n">
        <v>3233559</v>
      </c>
    </row>
    <row r="1401">
      <c r="I1401" t="n">
        <v>3572038</v>
      </c>
    </row>
    <row r="1402">
      <c r="I1402" t="n">
        <v>3931837</v>
      </c>
    </row>
    <row r="1403">
      <c r="I1403" t="n">
        <v>3230492</v>
      </c>
    </row>
    <row r="1404">
      <c r="I1404" t="n">
        <v>3230492</v>
      </c>
    </row>
    <row r="1405">
      <c r="I1405" t="n">
        <v>3233560</v>
      </c>
    </row>
    <row r="1406">
      <c r="I1406" t="n">
        <v>3233560</v>
      </c>
    </row>
    <row r="1407">
      <c r="I1407" t="n">
        <v>3230485</v>
      </c>
    </row>
    <row r="1408">
      <c r="I1408" t="n">
        <v>3931836</v>
      </c>
    </row>
    <row r="1409">
      <c r="I1409" t="n">
        <v>3931836</v>
      </c>
    </row>
    <row r="1410">
      <c r="I1410" t="n">
        <v>3230488</v>
      </c>
    </row>
    <row r="1411">
      <c r="I1411" t="n">
        <v>3952059</v>
      </c>
    </row>
    <row r="1412">
      <c r="I1412" t="n">
        <v>3230487</v>
      </c>
    </row>
    <row r="1413">
      <c r="I1413" t="n">
        <v>3230490</v>
      </c>
    </row>
    <row r="1414">
      <c r="I1414" t="n">
        <v>3230486</v>
      </c>
    </row>
    <row r="1415">
      <c r="I1415" t="n">
        <v>3230486</v>
      </c>
    </row>
    <row r="1416">
      <c r="I1416" t="n">
        <v>3230486</v>
      </c>
    </row>
    <row r="1417">
      <c r="I1417" t="n">
        <v>3938687</v>
      </c>
    </row>
    <row r="1418">
      <c r="I1418" t="n">
        <v>3931835</v>
      </c>
    </row>
    <row r="1419">
      <c r="I1419" t="n">
        <v>3931834</v>
      </c>
    </row>
    <row r="1420">
      <c r="I1420" t="n">
        <v>3935311</v>
      </c>
    </row>
    <row r="1421">
      <c r="I1421" t="n">
        <v>3230482</v>
      </c>
    </row>
    <row r="1422">
      <c r="I1422" t="n">
        <v>1940850</v>
      </c>
    </row>
    <row r="1423">
      <c r="I1423" t="n">
        <v>1940849</v>
      </c>
    </row>
    <row r="1424">
      <c r="I1424" t="n">
        <v>3935312</v>
      </c>
    </row>
    <row r="1425">
      <c r="I1425" t="n">
        <v>3230495</v>
      </c>
    </row>
    <row r="1426">
      <c r="I1426" t="n">
        <v>3929692</v>
      </c>
    </row>
    <row r="1427">
      <c r="I1427" t="n">
        <v>3929540</v>
      </c>
    </row>
    <row r="1428">
      <c r="I1428" t="n">
        <v>3929691</v>
      </c>
    </row>
    <row r="1429">
      <c r="I1429" t="n">
        <v>3935313</v>
      </c>
    </row>
    <row r="1430">
      <c r="I1430" t="n">
        <v>3801265</v>
      </c>
    </row>
    <row r="1431">
      <c r="I1431" t="n">
        <v>3801265</v>
      </c>
    </row>
    <row r="1432">
      <c r="I1432" t="n">
        <v>3910648</v>
      </c>
    </row>
    <row r="1433">
      <c r="I1433" t="n">
        <v>3910648</v>
      </c>
    </row>
    <row r="1434">
      <c r="I1434" t="n">
        <v>3910648</v>
      </c>
    </row>
    <row r="1435">
      <c r="I1435" t="n">
        <v>3910648</v>
      </c>
    </row>
    <row r="1436">
      <c r="I1436" t="n">
        <v>3910648</v>
      </c>
    </row>
    <row r="1437">
      <c r="I1437" t="n">
        <v>3780004</v>
      </c>
    </row>
    <row r="1438">
      <c r="I1438" t="n">
        <v>3780004</v>
      </c>
    </row>
    <row r="1439">
      <c r="I1439" t="n">
        <v>3931834</v>
      </c>
    </row>
    <row r="1440">
      <c r="I1440" t="n">
        <v>3931834</v>
      </c>
    </row>
    <row r="1441">
      <c r="I1441" t="n">
        <v>3931835</v>
      </c>
    </row>
    <row r="1442">
      <c r="I1442" t="n">
        <v>3931835</v>
      </c>
    </row>
    <row r="1443">
      <c r="I1443" t="n">
        <v>3938687</v>
      </c>
    </row>
    <row r="1444">
      <c r="I1444" t="n">
        <v>3938687</v>
      </c>
    </row>
    <row r="1445">
      <c r="I1445" t="n">
        <v>3938687</v>
      </c>
    </row>
    <row r="1446">
      <c r="I1446" t="n">
        <v>3230486</v>
      </c>
    </row>
    <row r="1447">
      <c r="I1447" t="n">
        <v>1940287</v>
      </c>
    </row>
    <row r="1448">
      <c r="I1448" t="n">
        <v>1940287</v>
      </c>
    </row>
    <row r="1449">
      <c r="I1449" t="n">
        <v>1940287</v>
      </c>
    </row>
    <row r="1450">
      <c r="I1450" t="n">
        <v>1940287</v>
      </c>
    </row>
    <row r="1451">
      <c r="I1451" t="n">
        <v>1940287</v>
      </c>
    </row>
    <row r="1452">
      <c r="I1452" t="n">
        <v>1940287</v>
      </c>
    </row>
    <row r="1453">
      <c r="I1453" t="n">
        <v>1940287</v>
      </c>
    </row>
    <row r="1454">
      <c r="I1454" t="n">
        <v>1940287</v>
      </c>
    </row>
    <row r="1455">
      <c r="I1455" t="n">
        <v>3230490</v>
      </c>
    </row>
    <row r="1456">
      <c r="I1456" t="n">
        <v>3230490</v>
      </c>
    </row>
    <row r="1457">
      <c r="I1457" t="n">
        <v>3230487</v>
      </c>
    </row>
    <row r="1458">
      <c r="I1458" t="n">
        <v>3230487</v>
      </c>
    </row>
    <row r="1459">
      <c r="I1459" t="n">
        <v>3952059</v>
      </c>
    </row>
    <row r="1460">
      <c r="I1460" t="n">
        <v>3952059</v>
      </c>
    </row>
    <row r="1461">
      <c r="I1461" t="n">
        <v>3952059</v>
      </c>
    </row>
    <row r="1462">
      <c r="I1462" t="n">
        <v>3952059</v>
      </c>
    </row>
    <row r="1463">
      <c r="I1463" t="n">
        <v>3952059</v>
      </c>
    </row>
    <row r="1464">
      <c r="I1464" t="n">
        <v>3230488</v>
      </c>
    </row>
    <row r="1465">
      <c r="I1465" t="n">
        <v>3931836</v>
      </c>
    </row>
    <row r="1466">
      <c r="I1466" t="n">
        <v>3931836</v>
      </c>
    </row>
    <row r="1467">
      <c r="I1467" t="n">
        <v>3230485</v>
      </c>
    </row>
    <row r="1468">
      <c r="I1468" t="n">
        <v>3233560</v>
      </c>
    </row>
    <row r="1469">
      <c r="I1469" t="n">
        <v>3233560</v>
      </c>
    </row>
    <row r="1470">
      <c r="I1470" t="n">
        <v>3230492</v>
      </c>
    </row>
    <row r="1471">
      <c r="I1471" t="n">
        <v>3230492</v>
      </c>
    </row>
    <row r="1472">
      <c r="I1472" t="n">
        <v>3931837</v>
      </c>
    </row>
    <row r="1473">
      <c r="I1473" t="n">
        <v>3572038</v>
      </c>
    </row>
    <row r="1474">
      <c r="I1474" t="n">
        <v>3935313</v>
      </c>
    </row>
    <row r="1475">
      <c r="I1475" t="n">
        <v>4075254</v>
      </c>
    </row>
    <row r="1476">
      <c r="I1476" t="n">
        <v>3929691</v>
      </c>
    </row>
    <row r="1477">
      <c r="I1477" t="n">
        <v>3929691</v>
      </c>
    </row>
    <row r="1478">
      <c r="I1478" t="n">
        <v>3929691</v>
      </c>
    </row>
    <row r="1479">
      <c r="I1479" t="n">
        <v>3230495</v>
      </c>
    </row>
    <row r="1480">
      <c r="I1480" t="n">
        <v>3230490</v>
      </c>
    </row>
    <row r="1481">
      <c r="I1481" t="n">
        <v>3230490</v>
      </c>
    </row>
    <row r="1482">
      <c r="I1482" t="n">
        <v>3230487</v>
      </c>
    </row>
    <row r="1483">
      <c r="I1483" t="n">
        <v>3230487</v>
      </c>
    </row>
    <row r="1484">
      <c r="I1484" t="n">
        <v>3230488</v>
      </c>
    </row>
    <row r="1485">
      <c r="I1485" t="n">
        <v>3571870</v>
      </c>
    </row>
    <row r="1486">
      <c r="I1486" t="n">
        <v>3571870</v>
      </c>
    </row>
    <row r="1487">
      <c r="I1487" t="n">
        <v>3929540</v>
      </c>
    </row>
    <row r="1488">
      <c r="I1488" t="n">
        <v>3230482</v>
      </c>
    </row>
    <row r="1489">
      <c r="I1489" t="n">
        <v>3233557</v>
      </c>
    </row>
    <row r="1490">
      <c r="I1490" t="n">
        <v>3931836</v>
      </c>
    </row>
    <row r="1491">
      <c r="I1491" t="n">
        <v>3931836</v>
      </c>
    </row>
    <row r="1492">
      <c r="I1492" t="n">
        <v>3230485</v>
      </c>
    </row>
    <row r="1493">
      <c r="I1493" t="n">
        <v>3230485</v>
      </c>
    </row>
    <row r="1494">
      <c r="I1494" t="n">
        <v>3572051</v>
      </c>
    </row>
    <row r="1495">
      <c r="I1495" t="n">
        <v>3572051</v>
      </c>
    </row>
    <row r="1496">
      <c r="I1496" t="n">
        <v>3233560</v>
      </c>
    </row>
    <row r="1497">
      <c r="I1497" t="n">
        <v>3230492</v>
      </c>
    </row>
    <row r="1498">
      <c r="I1498" t="n">
        <v>3230492</v>
      </c>
    </row>
    <row r="1499">
      <c r="I1499" t="n">
        <v>3230492</v>
      </c>
    </row>
    <row r="1500">
      <c r="I1500" t="n">
        <v>3233555</v>
      </c>
    </row>
    <row r="1501">
      <c r="I1501" t="n">
        <v>3931837</v>
      </c>
    </row>
    <row r="1502">
      <c r="I1502" t="n">
        <v>3929692</v>
      </c>
    </row>
    <row r="1503">
      <c r="I1503" t="n">
        <v>3572038</v>
      </c>
    </row>
    <row r="1504">
      <c r="I1504" t="n">
        <v>3572038</v>
      </c>
    </row>
    <row r="1505">
      <c r="I1505" t="n">
        <v>3572038</v>
      </c>
    </row>
    <row r="1506">
      <c r="I1506" t="n">
        <v>3233554</v>
      </c>
    </row>
    <row r="1507">
      <c r="I1507" t="n">
        <v>3935311</v>
      </c>
    </row>
    <row r="1508">
      <c r="I1508" t="n">
        <v>1940801</v>
      </c>
    </row>
    <row r="1509">
      <c r="I1509" t="n">
        <v>1940801</v>
      </c>
    </row>
    <row r="1510">
      <c r="I1510" t="n">
        <v>1940090</v>
      </c>
    </row>
    <row r="1511">
      <c r="I1511" t="n">
        <v>1940090</v>
      </c>
    </row>
    <row r="1512">
      <c r="I1512" t="n">
        <v>3910020</v>
      </c>
    </row>
    <row r="1513">
      <c r="I1513" t="n">
        <v>3910020</v>
      </c>
    </row>
    <row r="1514">
      <c r="I1514" t="n">
        <v>3910020</v>
      </c>
    </row>
    <row r="1515">
      <c r="I1515" t="n">
        <v>3910020</v>
      </c>
    </row>
    <row r="1516">
      <c r="I1516" t="n">
        <v>3910020</v>
      </c>
    </row>
    <row r="1517">
      <c r="I1517" t="n">
        <v>1940879</v>
      </c>
    </row>
    <row r="1518">
      <c r="I1518" t="n">
        <v>1940879</v>
      </c>
    </row>
    <row r="1519">
      <c r="I1519" t="n">
        <v>1940879</v>
      </c>
    </row>
    <row r="1520">
      <c r="I1520" t="n">
        <v>1940879</v>
      </c>
    </row>
    <row r="1521">
      <c r="I1521" t="n">
        <v>1940879</v>
      </c>
    </row>
    <row r="1522">
      <c r="I1522" t="n">
        <v>1940879</v>
      </c>
    </row>
    <row r="1523">
      <c r="I1523" t="n">
        <v>1940879</v>
      </c>
    </row>
    <row r="1524">
      <c r="I1524" t="n">
        <v>3781649</v>
      </c>
    </row>
    <row r="1525">
      <c r="I1525" t="n">
        <v>3781649</v>
      </c>
    </row>
    <row r="1526">
      <c r="I1526" t="n">
        <v>3781649</v>
      </c>
    </row>
    <row r="1527">
      <c r="I1527" t="n">
        <v>3781649</v>
      </c>
    </row>
    <row r="1528">
      <c r="I1528" t="n">
        <v>3781649</v>
      </c>
    </row>
    <row r="1529">
      <c r="I1529" t="n">
        <v>3781649</v>
      </c>
    </row>
    <row r="1530">
      <c r="I1530" t="n">
        <v>3781649</v>
      </c>
    </row>
    <row r="1531">
      <c r="I1531" t="n">
        <v>3572038</v>
      </c>
    </row>
    <row r="1532">
      <c r="I1532" t="n">
        <v>3233559</v>
      </c>
    </row>
    <row r="1533">
      <c r="I1533" t="n">
        <v>3233559</v>
      </c>
    </row>
    <row r="1534">
      <c r="I1534" t="n">
        <v>3233559</v>
      </c>
    </row>
    <row r="1535">
      <c r="I1535" t="n">
        <v>3584171</v>
      </c>
    </row>
    <row r="1536">
      <c r="I1536" t="n">
        <v>3233557</v>
      </c>
    </row>
    <row r="1537">
      <c r="I1537" t="n">
        <v>3233557</v>
      </c>
    </row>
    <row r="1538">
      <c r="I1538" t="n">
        <v>3233557</v>
      </c>
    </row>
    <row r="1539">
      <c r="I1539" t="n">
        <v>3233556</v>
      </c>
    </row>
    <row r="1540">
      <c r="I1540" t="n">
        <v>3233556</v>
      </c>
    </row>
    <row r="1541">
      <c r="I1541" t="n">
        <v>3233556</v>
      </c>
    </row>
    <row r="1542">
      <c r="I1542" t="n">
        <v>3233556</v>
      </c>
    </row>
    <row r="1543">
      <c r="I1543" t="n">
        <v>3233555</v>
      </c>
    </row>
    <row r="1544">
      <c r="I1544" t="n">
        <v>3233555</v>
      </c>
    </row>
    <row r="1545">
      <c r="I1545" t="n">
        <v>3233555</v>
      </c>
    </row>
    <row r="1546">
      <c r="I1546" t="n">
        <v>3233554</v>
      </c>
    </row>
    <row r="1547">
      <c r="I1547" t="n">
        <v>3233554</v>
      </c>
    </row>
    <row r="1548">
      <c r="I1548" t="n">
        <v>1940801</v>
      </c>
    </row>
    <row r="1549">
      <c r="I1549" t="n">
        <v>1940801</v>
      </c>
    </row>
    <row r="1550">
      <c r="I1550" t="n">
        <v>1940801</v>
      </c>
    </row>
    <row r="1551">
      <c r="I1551" t="n">
        <v>3935313</v>
      </c>
    </row>
    <row r="1552">
      <c r="I1552" t="n">
        <v>3935313</v>
      </c>
    </row>
    <row r="1553">
      <c r="I1553" t="n">
        <v>1940822</v>
      </c>
    </row>
    <row r="1554">
      <c r="I1554" t="n">
        <v>1940822</v>
      </c>
    </row>
    <row r="1555">
      <c r="I1555" t="n">
        <v>1940822</v>
      </c>
    </row>
    <row r="1556">
      <c r="I1556" t="n">
        <v>3409366</v>
      </c>
    </row>
    <row r="1557">
      <c r="I1557" t="n">
        <v>3409366</v>
      </c>
    </row>
    <row r="1558">
      <c r="I1558" t="n">
        <v>2430128</v>
      </c>
    </row>
    <row r="1559">
      <c r="I1559" t="n">
        <v>3409367</v>
      </c>
    </row>
    <row r="1560">
      <c r="I1560" t="n">
        <v>3409367</v>
      </c>
    </row>
    <row r="1561">
      <c r="I1561" t="n">
        <v>3229740</v>
      </c>
    </row>
    <row r="1562">
      <c r="I1562" t="n">
        <v>3229740</v>
      </c>
    </row>
    <row r="1563">
      <c r="I1563" t="n">
        <v>3239890</v>
      </c>
    </row>
    <row r="1564">
      <c r="I1564" t="n">
        <v>3239890</v>
      </c>
    </row>
    <row r="1565">
      <c r="I1565" t="n">
        <v>3239890</v>
      </c>
    </row>
    <row r="1566">
      <c r="I1566" t="n">
        <v>2325421</v>
      </c>
    </row>
    <row r="1567">
      <c r="I1567" t="n">
        <v>1900224</v>
      </c>
    </row>
    <row r="1568">
      <c r="I1568" t="n">
        <v>1940146</v>
      </c>
    </row>
    <row r="1569">
      <c r="I1569" t="n">
        <v>1940146</v>
      </c>
    </row>
    <row r="1570">
      <c r="I1570" t="n">
        <v>1940807</v>
      </c>
    </row>
    <row r="1571">
      <c r="I1571" t="n">
        <v>1940807</v>
      </c>
    </row>
    <row r="1572">
      <c r="I1572" t="n">
        <v>1940852</v>
      </c>
    </row>
    <row r="1573">
      <c r="I1573" t="n">
        <v>2325421</v>
      </c>
    </row>
    <row r="1574">
      <c r="I1574" t="n">
        <v>2325421</v>
      </c>
    </row>
    <row r="1575">
      <c r="I1575" t="n">
        <v>2325421</v>
      </c>
    </row>
    <row r="1576">
      <c r="I1576" t="n">
        <v>2413708</v>
      </c>
    </row>
    <row r="1577">
      <c r="I1577" t="n">
        <v>2413708</v>
      </c>
    </row>
    <row r="1578">
      <c r="I1578" t="n">
        <v>1940437</v>
      </c>
    </row>
    <row r="1579">
      <c r="I1579" t="n">
        <v>1940437</v>
      </c>
    </row>
    <row r="1580">
      <c r="I1580" t="n">
        <v>1937022</v>
      </c>
    </row>
    <row r="1581">
      <c r="I1581" t="n">
        <v>1937022</v>
      </c>
    </row>
    <row r="1582">
      <c r="I1582" t="n">
        <v>1937022</v>
      </c>
    </row>
    <row r="1583">
      <c r="I1583" t="n">
        <v>4096696</v>
      </c>
    </row>
    <row r="1584">
      <c r="I1584" t="n">
        <v>4096695</v>
      </c>
    </row>
    <row r="1585">
      <c r="I1585" t="n">
        <v>4096695</v>
      </c>
    </row>
    <row r="1586">
      <c r="I1586" t="n">
        <v>2427158</v>
      </c>
    </row>
    <row r="1587">
      <c r="I1587" t="n">
        <v>2427158</v>
      </c>
    </row>
    <row r="1588">
      <c r="I1588" t="n">
        <v>1940825</v>
      </c>
    </row>
    <row r="1589">
      <c r="I1589" t="n">
        <v>1940823</v>
      </c>
    </row>
    <row r="1590">
      <c r="I1590" t="n">
        <v>1940823</v>
      </c>
    </row>
    <row r="1591">
      <c r="I1591" t="n">
        <v>1940822</v>
      </c>
    </row>
    <row r="1592">
      <c r="I1592" t="n">
        <v>1940822</v>
      </c>
    </row>
    <row r="1593">
      <c r="I1593" t="n">
        <v>4075254</v>
      </c>
    </row>
    <row r="1594">
      <c r="I1594" t="n">
        <v>3935313</v>
      </c>
    </row>
    <row r="1595">
      <c r="I1595" t="n">
        <v>1940801</v>
      </c>
    </row>
    <row r="1596">
      <c r="I1596" t="n">
        <v>1940078</v>
      </c>
    </row>
    <row r="1597">
      <c r="I1597" t="n">
        <v>1940078</v>
      </c>
    </row>
    <row r="1598">
      <c r="I1598" t="n">
        <v>3673011</v>
      </c>
    </row>
    <row r="1599">
      <c r="I1599" t="n">
        <v>3673011</v>
      </c>
    </row>
    <row r="1600">
      <c r="I1600" t="n">
        <v>1940014</v>
      </c>
    </row>
    <row r="1601">
      <c r="I1601" t="n">
        <v>4036237</v>
      </c>
    </row>
    <row r="1602">
      <c r="I1602" t="n">
        <v>1940090</v>
      </c>
    </row>
    <row r="1603">
      <c r="I1603" t="n">
        <v>1940090</v>
      </c>
    </row>
    <row r="1604">
      <c r="I1604" t="n">
        <v>1940090</v>
      </c>
    </row>
    <row r="1605">
      <c r="I1605" t="n">
        <v>1940090</v>
      </c>
    </row>
    <row r="1606">
      <c r="I1606" t="n">
        <v>3122347</v>
      </c>
    </row>
    <row r="1607">
      <c r="I1607" t="n">
        <v>3122347</v>
      </c>
    </row>
    <row r="1608">
      <c r="I1608" t="n">
        <v>3122347</v>
      </c>
    </row>
    <row r="1609">
      <c r="I1609" t="n">
        <v>1940911</v>
      </c>
    </row>
    <row r="1610">
      <c r="I1610" t="n">
        <v>1940603</v>
      </c>
    </row>
    <row r="1611">
      <c r="I1611" t="n">
        <v>1940262</v>
      </c>
    </row>
    <row r="1612">
      <c r="I1612" t="n">
        <v>1940262</v>
      </c>
    </row>
    <row r="1613">
      <c r="I1613" t="n">
        <v>1940306</v>
      </c>
    </row>
    <row r="1614">
      <c r="I1614" t="n">
        <v>1940306</v>
      </c>
    </row>
    <row r="1615">
      <c r="I1615" t="n">
        <v>1940498</v>
      </c>
    </row>
    <row r="1616">
      <c r="I1616" t="n">
        <v>1940498</v>
      </c>
    </row>
    <row r="1617">
      <c r="I1617" t="n">
        <v>1940287</v>
      </c>
    </row>
    <row r="1618">
      <c r="I1618" t="n">
        <v>1940287</v>
      </c>
    </row>
    <row r="1619">
      <c r="I1619" t="n">
        <v>1940287</v>
      </c>
    </row>
    <row r="1620">
      <c r="I1620" t="n">
        <v>1940287</v>
      </c>
    </row>
    <row r="1621">
      <c r="I1621" t="n">
        <v>1940287</v>
      </c>
    </row>
    <row r="1622">
      <c r="I1622" t="n">
        <v>1940801</v>
      </c>
    </row>
    <row r="1623">
      <c r="I1623" t="n">
        <v>1940801</v>
      </c>
    </row>
    <row r="1624">
      <c r="I1624" t="n">
        <v>1940801</v>
      </c>
    </row>
    <row r="1625">
      <c r="I1625" t="n">
        <v>3935311</v>
      </c>
    </row>
    <row r="1626">
      <c r="I1626" t="n">
        <v>3233554</v>
      </c>
    </row>
    <row r="1627">
      <c r="I1627" t="n">
        <v>3819143</v>
      </c>
    </row>
    <row r="1628">
      <c r="I1628" t="n">
        <v>3819143</v>
      </c>
    </row>
    <row r="1629">
      <c r="I1629" t="n">
        <v>3572038</v>
      </c>
    </row>
    <row r="1630">
      <c r="I1630" t="n">
        <v>3929692</v>
      </c>
    </row>
    <row r="1631">
      <c r="I1631" t="n">
        <v>3931837</v>
      </c>
    </row>
    <row r="1632">
      <c r="I1632" t="n">
        <v>3233555</v>
      </c>
    </row>
    <row r="1633">
      <c r="I1633" t="n">
        <v>3230492</v>
      </c>
    </row>
    <row r="1634">
      <c r="I1634" t="n">
        <v>3230492</v>
      </c>
    </row>
    <row r="1635">
      <c r="I1635" t="n">
        <v>3233560</v>
      </c>
    </row>
    <row r="1636">
      <c r="I1636" t="n">
        <v>3572051</v>
      </c>
    </row>
    <row r="1637">
      <c r="I1637" t="n">
        <v>3572051</v>
      </c>
    </row>
    <row r="1638">
      <c r="I1638" t="n">
        <v>3230485</v>
      </c>
    </row>
    <row r="1639">
      <c r="I1639" t="n">
        <v>3931836</v>
      </c>
    </row>
    <row r="1640">
      <c r="I1640" t="n">
        <v>3233557</v>
      </c>
    </row>
    <row r="1641">
      <c r="I1641" t="n">
        <v>3230482</v>
      </c>
    </row>
    <row r="1642">
      <c r="I1642" t="n">
        <v>3929540</v>
      </c>
    </row>
    <row r="1643">
      <c r="I1643" t="n">
        <v>3571870</v>
      </c>
    </row>
    <row r="1644">
      <c r="I1644" t="n">
        <v>3910649</v>
      </c>
    </row>
    <row r="1645">
      <c r="I1645" t="n">
        <v>3801265</v>
      </c>
    </row>
    <row r="1646">
      <c r="I1646" t="n">
        <v>3801265</v>
      </c>
    </row>
    <row r="1647">
      <c r="I1647" t="n">
        <v>3910648</v>
      </c>
    </row>
    <row r="1648">
      <c r="I1648" t="n">
        <v>3910648</v>
      </c>
    </row>
    <row r="1649">
      <c r="I1649" t="n">
        <v>3910648</v>
      </c>
    </row>
    <row r="1650">
      <c r="I1650" t="n">
        <v>3780004</v>
      </c>
    </row>
    <row r="1651">
      <c r="I1651" t="n">
        <v>3780004</v>
      </c>
    </row>
    <row r="1652">
      <c r="I1652" t="n">
        <v>1940510</v>
      </c>
    </row>
    <row r="1653">
      <c r="I1653" t="n">
        <v>1940510</v>
      </c>
    </row>
    <row r="1654">
      <c r="I1654" t="n">
        <v>1940510</v>
      </c>
    </row>
    <row r="1655">
      <c r="I1655" t="n">
        <v>1940510</v>
      </c>
    </row>
    <row r="1656">
      <c r="I1656" t="n">
        <v>1940510</v>
      </c>
    </row>
    <row r="1657">
      <c r="I1657" t="n">
        <v>1940686</v>
      </c>
    </row>
    <row r="1658">
      <c r="I1658" t="n">
        <v>1940686</v>
      </c>
    </row>
    <row r="1659">
      <c r="I1659" t="n">
        <v>1940686</v>
      </c>
    </row>
    <row r="1660">
      <c r="I1660" t="n">
        <v>1940686</v>
      </c>
    </row>
    <row r="1661">
      <c r="I1661" t="n">
        <v>1940686</v>
      </c>
    </row>
    <row r="1662">
      <c r="I1662" t="n">
        <v>3230488</v>
      </c>
    </row>
    <row r="1663">
      <c r="I1663" t="n">
        <v>3230487</v>
      </c>
    </row>
    <row r="1664">
      <c r="I1664" t="n">
        <v>3230490</v>
      </c>
    </row>
    <row r="1665">
      <c r="I1665" t="n">
        <v>3230495</v>
      </c>
    </row>
    <row r="1666">
      <c r="I1666" t="n">
        <v>3929691</v>
      </c>
    </row>
    <row r="1667">
      <c r="I1667" t="n">
        <v>1941845</v>
      </c>
    </row>
    <row r="1668">
      <c r="I1668" t="n">
        <v>1941845</v>
      </c>
    </row>
    <row r="1669">
      <c r="I1669" t="n">
        <v>4100177</v>
      </c>
    </row>
    <row r="1670">
      <c r="I1670" t="n">
        <v>3786201</v>
      </c>
    </row>
    <row r="1671">
      <c r="I1671" t="n">
        <v>3786202</v>
      </c>
    </row>
    <row r="1672">
      <c r="I1672" t="n">
        <v>3786202</v>
      </c>
    </row>
    <row r="1673">
      <c r="I1673" t="n">
        <v>3786202</v>
      </c>
    </row>
    <row r="1674">
      <c r="I1674" t="n">
        <v>3786202</v>
      </c>
    </row>
    <row r="1675">
      <c r="I1675" t="n">
        <v>3786202</v>
      </c>
    </row>
    <row r="1676">
      <c r="I1676" t="n">
        <v>1940247</v>
      </c>
    </row>
    <row r="1677">
      <c r="I1677" t="n">
        <v>1940743</v>
      </c>
    </row>
    <row r="1678">
      <c r="I1678" t="n">
        <v>1940743</v>
      </c>
    </row>
    <row r="1679">
      <c r="I1679" t="n">
        <v>3715133</v>
      </c>
    </row>
    <row r="1680">
      <c r="I1680" t="n">
        <v>3819143</v>
      </c>
    </row>
    <row r="1681">
      <c r="I1681" t="n">
        <v>3819143</v>
      </c>
    </row>
    <row r="1682">
      <c r="I1682" t="n">
        <v>3819143</v>
      </c>
    </row>
    <row r="1683">
      <c r="I1683" t="n">
        <v>1940437</v>
      </c>
    </row>
    <row r="1684">
      <c r="I1684" t="n">
        <v>1940840</v>
      </c>
    </row>
    <row r="1685">
      <c r="I1685" t="n">
        <v>1940840</v>
      </c>
    </row>
    <row r="1686">
      <c r="I1686" t="n">
        <v>1940840</v>
      </c>
    </row>
    <row r="1687">
      <c r="I1687" t="n">
        <v>1940823</v>
      </c>
    </row>
    <row r="1688">
      <c r="I1688" t="n">
        <v>1940823</v>
      </c>
    </row>
    <row r="1689">
      <c r="I1689" t="n">
        <v>1940815</v>
      </c>
    </row>
    <row r="1690">
      <c r="I1690" t="n">
        <v>1940815</v>
      </c>
    </row>
    <row r="1691">
      <c r="I1691" t="n">
        <v>1940825</v>
      </c>
    </row>
    <row r="1692">
      <c r="I1692" t="n">
        <v>1940822</v>
      </c>
    </row>
    <row r="1693">
      <c r="I1693" t="n">
        <v>1940822</v>
      </c>
    </row>
    <row r="1694">
      <c r="I1694" t="n">
        <v>1940821</v>
      </c>
    </row>
    <row r="1695">
      <c r="I1695" t="n">
        <v>2427158</v>
      </c>
    </row>
    <row r="1696">
      <c r="I1696" t="n">
        <v>2427158</v>
      </c>
    </row>
    <row r="1697">
      <c r="I1697" t="n">
        <v>3673011</v>
      </c>
    </row>
    <row r="1698">
      <c r="I1698" t="n">
        <v>3673011</v>
      </c>
    </row>
    <row r="1699">
      <c r="I1699" t="n">
        <v>3673011</v>
      </c>
    </row>
    <row r="1700">
      <c r="I1700" t="n">
        <v>3673011</v>
      </c>
    </row>
    <row r="1701">
      <c r="I1701" t="n">
        <v>3673011</v>
      </c>
    </row>
    <row r="1702">
      <c r="I1702" t="n">
        <v>3673011</v>
      </c>
    </row>
    <row r="1703">
      <c r="I1703" t="n">
        <v>3673011</v>
      </c>
    </row>
    <row r="1704">
      <c r="I1704" t="n">
        <v>3673011</v>
      </c>
    </row>
    <row r="1705">
      <c r="I1705" t="n">
        <v>2270133</v>
      </c>
    </row>
    <row r="1706">
      <c r="I1706" t="n">
        <v>2270133</v>
      </c>
    </row>
    <row r="1707">
      <c r="I1707" t="n">
        <v>2270133</v>
      </c>
    </row>
    <row r="1708">
      <c r="I1708" t="n">
        <v>3706751</v>
      </c>
    </row>
    <row r="1709">
      <c r="I1709" t="n">
        <v>2420205</v>
      </c>
    </row>
    <row r="1710">
      <c r="I1710" t="n">
        <v>1940881</v>
      </c>
    </row>
    <row r="1711">
      <c r="I1711" t="n">
        <v>1940881</v>
      </c>
    </row>
    <row r="1712">
      <c r="I1712" t="n">
        <v>1940881</v>
      </c>
    </row>
    <row r="1713">
      <c r="I1713" t="n">
        <v>1940881</v>
      </c>
    </row>
    <row r="1714">
      <c r="I1714" t="n">
        <v>1940881</v>
      </c>
    </row>
    <row r="1715">
      <c r="I1715" t="n">
        <v>1940881</v>
      </c>
    </row>
    <row r="1716">
      <c r="I1716" t="n">
        <v>1940881</v>
      </c>
    </row>
    <row r="1717">
      <c r="I1717" t="n">
        <v>1940881</v>
      </c>
    </row>
    <row r="1718">
      <c r="I1718" t="n">
        <v>1940881</v>
      </c>
    </row>
    <row r="1719">
      <c r="I1719" t="n">
        <v>4075254</v>
      </c>
    </row>
    <row r="1720">
      <c r="I1720" t="n">
        <v>4075254</v>
      </c>
    </row>
    <row r="1721">
      <c r="I1721" t="n">
        <v>3935313</v>
      </c>
    </row>
    <row r="1722">
      <c r="I1722" t="n">
        <v>3935313</v>
      </c>
    </row>
    <row r="1723">
      <c r="I1723" t="n">
        <v>3935313</v>
      </c>
    </row>
    <row r="1724">
      <c r="I1724" t="n">
        <v>3935313</v>
      </c>
    </row>
    <row r="1725">
      <c r="I1725" t="n">
        <v>1940801</v>
      </c>
    </row>
    <row r="1726">
      <c r="I1726" t="n">
        <v>1940801</v>
      </c>
    </row>
    <row r="1727">
      <c r="I1727" t="n">
        <v>1940801</v>
      </c>
    </row>
    <row r="1728">
      <c r="I1728" t="n">
        <v>1940801</v>
      </c>
    </row>
    <row r="1729">
      <c r="I1729" t="n">
        <v>3239890</v>
      </c>
    </row>
    <row r="1730">
      <c r="I1730" t="n">
        <v>3929662</v>
      </c>
    </row>
    <row r="1731">
      <c r="I1731" t="n">
        <v>3929662</v>
      </c>
    </row>
    <row r="1732">
      <c r="I1732" t="n">
        <v>3929662</v>
      </c>
    </row>
    <row r="1733">
      <c r="I1733" t="n">
        <v>3929662</v>
      </c>
    </row>
    <row r="1734">
      <c r="I1734" t="n">
        <v>2409616</v>
      </c>
    </row>
    <row r="1735">
      <c r="I1735" t="n">
        <v>2430128</v>
      </c>
    </row>
    <row r="1736">
      <c r="I1736" t="n">
        <v>2430128</v>
      </c>
    </row>
    <row r="1737">
      <c r="I1737" t="n">
        <v>2430128</v>
      </c>
    </row>
    <row r="1738">
      <c r="I1738" t="n">
        <v>3929691</v>
      </c>
    </row>
    <row r="1739">
      <c r="I1739" t="n">
        <v>3230495</v>
      </c>
    </row>
    <row r="1740">
      <c r="I1740" t="n">
        <v>3230490</v>
      </c>
    </row>
    <row r="1741">
      <c r="I1741" t="n">
        <v>3230487</v>
      </c>
    </row>
    <row r="1742">
      <c r="I1742" t="n">
        <v>3230488</v>
      </c>
    </row>
    <row r="1743">
      <c r="I1743" t="n">
        <v>3230488</v>
      </c>
    </row>
    <row r="1744">
      <c r="I1744" t="n">
        <v>3571870</v>
      </c>
    </row>
    <row r="1745">
      <c r="I1745" t="n">
        <v>3929540</v>
      </c>
    </row>
    <row r="1746">
      <c r="I1746" t="n">
        <v>3230482</v>
      </c>
    </row>
    <row r="1747">
      <c r="I1747" t="n">
        <v>3233557</v>
      </c>
    </row>
    <row r="1748">
      <c r="I1748" t="n">
        <v>3931836</v>
      </c>
    </row>
    <row r="1749">
      <c r="I1749" t="n">
        <v>3230485</v>
      </c>
    </row>
    <row r="1750">
      <c r="I1750" t="n">
        <v>3572051</v>
      </c>
    </row>
    <row r="1751">
      <c r="I1751" t="n">
        <v>3233560</v>
      </c>
    </row>
    <row r="1752">
      <c r="I1752" t="n">
        <v>3230492</v>
      </c>
    </row>
    <row r="1753">
      <c r="I1753" t="n">
        <v>3233555</v>
      </c>
    </row>
    <row r="1754">
      <c r="I1754" t="n">
        <v>3233555</v>
      </c>
    </row>
    <row r="1755">
      <c r="I1755" t="n">
        <v>3233555</v>
      </c>
    </row>
    <row r="1756">
      <c r="I1756" t="n">
        <v>3233555</v>
      </c>
    </row>
    <row r="1757">
      <c r="I1757" t="n">
        <v>3931837</v>
      </c>
    </row>
    <row r="1758">
      <c r="I1758" t="n">
        <v>3931837</v>
      </c>
    </row>
    <row r="1759">
      <c r="I1759" t="n">
        <v>3929692</v>
      </c>
    </row>
    <row r="1760">
      <c r="I1760" t="n">
        <v>3572038</v>
      </c>
    </row>
    <row r="1761">
      <c r="I1761" t="n">
        <v>3233554</v>
      </c>
    </row>
    <row r="1762">
      <c r="I1762" t="n">
        <v>3935311</v>
      </c>
    </row>
    <row r="1763">
      <c r="I1763" t="n">
        <v>3935311</v>
      </c>
    </row>
    <row r="1764">
      <c r="I1764" t="n">
        <v>1940801</v>
      </c>
    </row>
    <row r="1765">
      <c r="I1765" t="n">
        <v>1940801</v>
      </c>
    </row>
    <row r="1766">
      <c r="I1766" t="n">
        <v>3935313</v>
      </c>
    </row>
    <row r="1767">
      <c r="I1767" t="n">
        <v>4075254</v>
      </c>
    </row>
    <row r="1768">
      <c r="I1768" t="n">
        <v>1940801</v>
      </c>
    </row>
    <row r="1769">
      <c r="I1769" t="n">
        <v>3935311</v>
      </c>
    </row>
    <row r="1770">
      <c r="I1770" t="n">
        <v>3935311</v>
      </c>
    </row>
    <row r="1771">
      <c r="I1771" t="n">
        <v>3935311</v>
      </c>
    </row>
    <row r="1772">
      <c r="I1772" t="n">
        <v>3233554</v>
      </c>
    </row>
    <row r="1773">
      <c r="I1773" t="n">
        <v>3233554</v>
      </c>
    </row>
    <row r="1774">
      <c r="I1774" t="n">
        <v>3233554</v>
      </c>
    </row>
    <row r="1775">
      <c r="I1775" t="n">
        <v>1940821</v>
      </c>
    </row>
    <row r="1776">
      <c r="I1776" t="n">
        <v>1940821</v>
      </c>
    </row>
    <row r="1777">
      <c r="I1777" t="n">
        <v>1940822</v>
      </c>
    </row>
    <row r="1778">
      <c r="I1778" t="n">
        <v>1940822</v>
      </c>
    </row>
    <row r="1779">
      <c r="I1779" t="n">
        <v>1940822</v>
      </c>
    </row>
    <row r="1780">
      <c r="I1780" t="n">
        <v>2427158</v>
      </c>
    </row>
    <row r="1781">
      <c r="I1781" t="n">
        <v>2427158</v>
      </c>
    </row>
    <row r="1782">
      <c r="I1782" t="n">
        <v>2427158</v>
      </c>
    </row>
    <row r="1783">
      <c r="I1783" t="n">
        <v>4098592</v>
      </c>
    </row>
    <row r="1784">
      <c r="I1784" t="n">
        <v>4098593</v>
      </c>
    </row>
    <row r="1785">
      <c r="I1785" t="n">
        <v>4098594</v>
      </c>
    </row>
    <row r="1786">
      <c r="I1786" t="n">
        <v>3233554</v>
      </c>
    </row>
    <row r="1787">
      <c r="I1787" t="n">
        <v>3233554</v>
      </c>
    </row>
    <row r="1788">
      <c r="I1788" t="n">
        <v>3572038</v>
      </c>
    </row>
    <row r="1789">
      <c r="I1789" t="n">
        <v>3572038</v>
      </c>
    </row>
    <row r="1790">
      <c r="I1790" t="n">
        <v>3929692</v>
      </c>
    </row>
    <row r="1791">
      <c r="I1791" t="n">
        <v>3929692</v>
      </c>
    </row>
    <row r="1792">
      <c r="I1792" t="n">
        <v>3929692</v>
      </c>
    </row>
    <row r="1793">
      <c r="I1793" t="n">
        <v>3929692</v>
      </c>
    </row>
    <row r="1794">
      <c r="I1794" t="n">
        <v>3931837</v>
      </c>
    </row>
    <row r="1795">
      <c r="I1795" t="n">
        <v>3931837</v>
      </c>
    </row>
    <row r="1796">
      <c r="I1796" t="n">
        <v>3931837</v>
      </c>
    </row>
    <row r="1797">
      <c r="I1797" t="n">
        <v>3931837</v>
      </c>
    </row>
    <row r="1798">
      <c r="I1798" t="n">
        <v>3931837</v>
      </c>
    </row>
    <row r="1799">
      <c r="I1799" t="n">
        <v>3233555</v>
      </c>
    </row>
    <row r="1800">
      <c r="I1800" t="n">
        <v>3233555</v>
      </c>
    </row>
    <row r="1801">
      <c r="I1801" t="n">
        <v>3233555</v>
      </c>
    </row>
    <row r="1802">
      <c r="I1802" t="n">
        <v>3233555</v>
      </c>
    </row>
    <row r="1803">
      <c r="I1803" t="n">
        <v>3233555</v>
      </c>
    </row>
    <row r="1804">
      <c r="I1804" t="n">
        <v>1940478</v>
      </c>
    </row>
    <row r="1805">
      <c r="I1805" t="n">
        <v>1940478</v>
      </c>
    </row>
    <row r="1806">
      <c r="I1806" t="n">
        <v>1940478</v>
      </c>
    </row>
    <row r="1807">
      <c r="I1807" t="n">
        <v>1940478</v>
      </c>
    </row>
    <row r="1808">
      <c r="I1808" t="n">
        <v>1940478</v>
      </c>
    </row>
    <row r="1809">
      <c r="I1809" t="n">
        <v>1940478</v>
      </c>
    </row>
    <row r="1810">
      <c r="I1810" t="n">
        <v>3233555</v>
      </c>
    </row>
    <row r="1811">
      <c r="I1811" t="n">
        <v>3233555</v>
      </c>
    </row>
    <row r="1812">
      <c r="I1812" t="n">
        <v>3233555</v>
      </c>
    </row>
    <row r="1813">
      <c r="I1813" t="n">
        <v>3233555</v>
      </c>
    </row>
    <row r="1814">
      <c r="I1814" t="n">
        <v>3233555</v>
      </c>
    </row>
    <row r="1815">
      <c r="I1815" t="n">
        <v>3233555</v>
      </c>
    </row>
    <row r="1816">
      <c r="I1816" t="n">
        <v>3233555</v>
      </c>
    </row>
    <row r="1817">
      <c r="I1817" t="n">
        <v>3230492</v>
      </c>
    </row>
    <row r="1818">
      <c r="I1818" t="n">
        <v>3230492</v>
      </c>
    </row>
    <row r="1819">
      <c r="I1819" t="n">
        <v>3230492</v>
      </c>
    </row>
    <row r="1820">
      <c r="I1820" t="n">
        <v>3230492</v>
      </c>
    </row>
    <row r="1821">
      <c r="I1821" t="n">
        <v>3233560</v>
      </c>
    </row>
    <row r="1822">
      <c r="I1822" t="n">
        <v>3233560</v>
      </c>
    </row>
    <row r="1823">
      <c r="I1823" t="n">
        <v>3233560</v>
      </c>
    </row>
    <row r="1824">
      <c r="I1824" t="n">
        <v>3572051</v>
      </c>
    </row>
    <row r="1825">
      <c r="I1825" t="n">
        <v>3572051</v>
      </c>
    </row>
    <row r="1826">
      <c r="I1826" t="n">
        <v>3572051</v>
      </c>
    </row>
    <row r="1827">
      <c r="I1827" t="n">
        <v>3572051</v>
      </c>
    </row>
    <row r="1828">
      <c r="I1828" t="n">
        <v>3230485</v>
      </c>
    </row>
    <row r="1829">
      <c r="I1829" t="n">
        <v>3230485</v>
      </c>
    </row>
    <row r="1830">
      <c r="I1830" t="n">
        <v>3230485</v>
      </c>
    </row>
    <row r="1831">
      <c r="I1831" t="n">
        <v>3230485</v>
      </c>
    </row>
    <row r="1832">
      <c r="I1832" t="n">
        <v>1937022</v>
      </c>
    </row>
    <row r="1833">
      <c r="I1833" t="n">
        <v>1940437</v>
      </c>
    </row>
    <row r="1834">
      <c r="I1834" t="n">
        <v>1940437</v>
      </c>
    </row>
    <row r="1835">
      <c r="I1835" t="n">
        <v>1940437</v>
      </c>
    </row>
    <row r="1836">
      <c r="I1836" t="n">
        <v>1940588</v>
      </c>
    </row>
    <row r="1837">
      <c r="I1837" t="n">
        <v>3715133</v>
      </c>
    </row>
    <row r="1838">
      <c r="I1838" t="n">
        <v>3715133</v>
      </c>
    </row>
    <row r="1839">
      <c r="I1839" t="n">
        <v>3715133</v>
      </c>
    </row>
    <row r="1840">
      <c r="I1840" t="n">
        <v>1940821</v>
      </c>
    </row>
    <row r="1841">
      <c r="I1841" t="n">
        <v>1940821</v>
      </c>
    </row>
    <row r="1842">
      <c r="I1842" t="n">
        <v>1940821</v>
      </c>
    </row>
    <row r="1843">
      <c r="I1843" t="n">
        <v>1940306</v>
      </c>
    </row>
    <row r="1844">
      <c r="I1844" t="n">
        <v>1940306</v>
      </c>
    </row>
    <row r="1845">
      <c r="I1845" t="n">
        <v>1940325</v>
      </c>
    </row>
    <row r="1846">
      <c r="I1846" t="n">
        <v>1940325</v>
      </c>
    </row>
    <row r="1847">
      <c r="I1847" t="n">
        <v>1940325</v>
      </c>
    </row>
    <row r="1848">
      <c r="I1848" t="n">
        <v>1940325</v>
      </c>
    </row>
    <row r="1849">
      <c r="I1849" t="n">
        <v>1940329</v>
      </c>
    </row>
    <row r="1850">
      <c r="I1850" t="n">
        <v>1940329</v>
      </c>
    </row>
    <row r="1851">
      <c r="I1851" t="n">
        <v>1940329</v>
      </c>
    </row>
    <row r="1852">
      <c r="I1852" t="n">
        <v>1940329</v>
      </c>
    </row>
    <row r="1853">
      <c r="I1853" t="n">
        <v>1940329</v>
      </c>
    </row>
    <row r="1854">
      <c r="I1854" t="n">
        <v>2353927</v>
      </c>
    </row>
    <row r="1855">
      <c r="I1855" t="n">
        <v>2353927</v>
      </c>
    </row>
    <row r="1856">
      <c r="I1856" t="n">
        <v>2353927</v>
      </c>
    </row>
    <row r="1857">
      <c r="I1857" t="n">
        <v>2353927</v>
      </c>
    </row>
    <row r="1858">
      <c r="I1858" t="n">
        <v>1940825</v>
      </c>
    </row>
    <row r="1859">
      <c r="I1859" t="n">
        <v>1940825</v>
      </c>
    </row>
    <row r="1860">
      <c r="I1860" t="n">
        <v>1940822</v>
      </c>
    </row>
    <row r="1861">
      <c r="I1861" t="n">
        <v>1940822</v>
      </c>
    </row>
    <row r="1862">
      <c r="I1862" t="n">
        <v>1940823</v>
      </c>
    </row>
    <row r="1863">
      <c r="I1863" t="n">
        <v>1940823</v>
      </c>
    </row>
    <row r="1864">
      <c r="I1864" t="n">
        <v>1940823</v>
      </c>
    </row>
    <row r="1865">
      <c r="I1865" t="n">
        <v>3172238</v>
      </c>
    </row>
    <row r="1866">
      <c r="I1866" t="n">
        <v>3172238</v>
      </c>
    </row>
    <row r="1867">
      <c r="I1867" t="n">
        <v>3676337</v>
      </c>
    </row>
    <row r="1868">
      <c r="I1868" t="n">
        <v>3931836</v>
      </c>
    </row>
    <row r="1869">
      <c r="I1869" t="n">
        <v>3931836</v>
      </c>
    </row>
    <row r="1870">
      <c r="I1870" t="n">
        <v>3931836</v>
      </c>
    </row>
    <row r="1871">
      <c r="I1871" t="n">
        <v>3233557</v>
      </c>
    </row>
    <row r="1872">
      <c r="I1872" t="n">
        <v>3233557</v>
      </c>
    </row>
    <row r="1873">
      <c r="I1873" t="n">
        <v>3233557</v>
      </c>
    </row>
    <row r="1874">
      <c r="I1874" t="n">
        <v>3230482</v>
      </c>
    </row>
    <row r="1875">
      <c r="I1875" t="n">
        <v>1940090</v>
      </c>
    </row>
    <row r="1876">
      <c r="I1876" t="n">
        <v>1940090</v>
      </c>
    </row>
    <row r="1877">
      <c r="I1877" t="n">
        <v>1940090</v>
      </c>
    </row>
    <row r="1878">
      <c r="I1878" t="n">
        <v>1940830</v>
      </c>
    </row>
    <row r="1879">
      <c r="I1879" t="n">
        <v>1940830</v>
      </c>
    </row>
    <row r="1880">
      <c r="I1880" t="n">
        <v>1940830</v>
      </c>
    </row>
    <row r="1881">
      <c r="I1881" t="n">
        <v>1940837</v>
      </c>
    </row>
    <row r="1882">
      <c r="I1882" t="n">
        <v>3230482</v>
      </c>
    </row>
    <row r="1883">
      <c r="I1883" t="n">
        <v>3230482</v>
      </c>
    </row>
    <row r="1884">
      <c r="I1884" t="n">
        <v>3929540</v>
      </c>
    </row>
    <row r="1885">
      <c r="I1885" t="n">
        <v>3929540</v>
      </c>
    </row>
    <row r="1886">
      <c r="I1886" t="n">
        <v>3929540</v>
      </c>
    </row>
    <row r="1887">
      <c r="I1887" t="n">
        <v>3929540</v>
      </c>
    </row>
    <row r="1888">
      <c r="I1888" t="n">
        <v>1940801</v>
      </c>
    </row>
    <row r="1889">
      <c r="I1889" t="n">
        <v>1940801</v>
      </c>
    </row>
    <row r="1890">
      <c r="I1890" t="n">
        <v>3233554</v>
      </c>
    </row>
    <row r="1891">
      <c r="I1891" t="n">
        <v>3233554</v>
      </c>
    </row>
    <row r="1892">
      <c r="I1892" t="n">
        <v>3233555</v>
      </c>
    </row>
    <row r="1893">
      <c r="I1893" t="n">
        <v>3233556</v>
      </c>
    </row>
    <row r="1894">
      <c r="I1894" t="n">
        <v>3233556</v>
      </c>
    </row>
    <row r="1895">
      <c r="I1895" t="n">
        <v>3233556</v>
      </c>
    </row>
    <row r="1896">
      <c r="I1896" t="n">
        <v>3233556</v>
      </c>
    </row>
    <row r="1897">
      <c r="I1897" t="n">
        <v>3233557</v>
      </c>
    </row>
    <row r="1898">
      <c r="I1898" t="n">
        <v>3233557</v>
      </c>
    </row>
    <row r="1899">
      <c r="I1899" t="n">
        <v>3233557</v>
      </c>
    </row>
    <row r="1900">
      <c r="I1900" t="n">
        <v>3584171</v>
      </c>
    </row>
    <row r="1901">
      <c r="I1901" t="n">
        <v>3584171</v>
      </c>
    </row>
    <row r="1902">
      <c r="I1902" t="n">
        <v>3233559</v>
      </c>
    </row>
    <row r="1903">
      <c r="I1903" t="n">
        <v>3572038</v>
      </c>
    </row>
    <row r="1904">
      <c r="I1904" t="n">
        <v>3931837</v>
      </c>
    </row>
    <row r="1905">
      <c r="I1905" t="n">
        <v>3230492</v>
      </c>
    </row>
    <row r="1906">
      <c r="I1906" t="n">
        <v>3233560</v>
      </c>
    </row>
    <row r="1907">
      <c r="I1907" t="n">
        <v>3230485</v>
      </c>
    </row>
    <row r="1908">
      <c r="I1908" t="n">
        <v>3931836</v>
      </c>
    </row>
    <row r="1909">
      <c r="I1909" t="n">
        <v>3230488</v>
      </c>
    </row>
    <row r="1910">
      <c r="I1910" t="n">
        <v>3952059</v>
      </c>
    </row>
    <row r="1911">
      <c r="I1911" t="n">
        <v>3230487</v>
      </c>
    </row>
    <row r="1912">
      <c r="I1912" t="n">
        <v>3230487</v>
      </c>
    </row>
    <row r="1913">
      <c r="I1913" t="n">
        <v>3230487</v>
      </c>
    </row>
    <row r="1914">
      <c r="I1914" t="n">
        <v>3230487</v>
      </c>
    </row>
    <row r="1915">
      <c r="I1915" t="n">
        <v>3230487</v>
      </c>
    </row>
    <row r="1916">
      <c r="I1916" t="n">
        <v>3230490</v>
      </c>
    </row>
    <row r="1917">
      <c r="I1917" t="n">
        <v>3230486</v>
      </c>
    </row>
    <row r="1918">
      <c r="I1918" t="n">
        <v>3230486</v>
      </c>
    </row>
    <row r="1919">
      <c r="I1919" t="n">
        <v>3230486</v>
      </c>
    </row>
    <row r="1920">
      <c r="I1920" t="n">
        <v>3938687</v>
      </c>
    </row>
    <row r="1921">
      <c r="I1921" t="n">
        <v>3931835</v>
      </c>
    </row>
    <row r="1922">
      <c r="I1922" t="n">
        <v>3931834</v>
      </c>
    </row>
    <row r="1923">
      <c r="I1923" t="n">
        <v>3931834</v>
      </c>
    </row>
    <row r="1924">
      <c r="I1924" t="n">
        <v>3935311</v>
      </c>
    </row>
    <row r="1925">
      <c r="I1925" t="n">
        <v>3935311</v>
      </c>
    </row>
    <row r="1926">
      <c r="I1926" t="n">
        <v>3230482</v>
      </c>
    </row>
    <row r="1927">
      <c r="I1927" t="n">
        <v>3230482</v>
      </c>
    </row>
    <row r="1928">
      <c r="I1928" t="n">
        <v>1940850</v>
      </c>
    </row>
    <row r="1929">
      <c r="I1929" t="n">
        <v>1940849</v>
      </c>
    </row>
    <row r="1930">
      <c r="I1930" t="n">
        <v>3935312</v>
      </c>
    </row>
    <row r="1931">
      <c r="I1931" t="n">
        <v>3230495</v>
      </c>
    </row>
    <row r="1932">
      <c r="I1932" t="n">
        <v>3508742</v>
      </c>
    </row>
    <row r="1933">
      <c r="I1933" t="n">
        <v>3508742</v>
      </c>
    </row>
    <row r="1934">
      <c r="I1934" t="n">
        <v>3801265</v>
      </c>
    </row>
    <row r="1935">
      <c r="I1935" t="n">
        <v>3801265</v>
      </c>
    </row>
    <row r="1936">
      <c r="I1936" t="n">
        <v>3801265</v>
      </c>
    </row>
    <row r="1937">
      <c r="I1937" t="n">
        <v>3801265</v>
      </c>
    </row>
    <row r="1938">
      <c r="I1938" t="n">
        <v>3910648</v>
      </c>
    </row>
    <row r="1939">
      <c r="I1939" t="n">
        <v>3910648</v>
      </c>
    </row>
    <row r="1940">
      <c r="I1940" t="n">
        <v>3910648</v>
      </c>
    </row>
    <row r="1941">
      <c r="I1941" t="n">
        <v>3780004</v>
      </c>
    </row>
    <row r="1942">
      <c r="I1942" t="n">
        <v>1940715</v>
      </c>
    </row>
    <row r="1943">
      <c r="I1943" t="n">
        <v>1940715</v>
      </c>
    </row>
    <row r="1944">
      <c r="I1944" t="n">
        <v>1940715</v>
      </c>
    </row>
    <row r="1945">
      <c r="I1945" t="n">
        <v>1940710</v>
      </c>
    </row>
    <row r="1946">
      <c r="I1946" t="n">
        <v>1940710</v>
      </c>
    </row>
    <row r="1947">
      <c r="I1947" t="n">
        <v>3910020</v>
      </c>
    </row>
    <row r="1948">
      <c r="I1948" t="n">
        <v>3910020</v>
      </c>
    </row>
    <row r="1949">
      <c r="I1949" t="n">
        <v>3910020</v>
      </c>
    </row>
    <row r="1950">
      <c r="I1950" t="n">
        <v>3781649</v>
      </c>
    </row>
    <row r="1951">
      <c r="I1951" t="n">
        <v>3781649</v>
      </c>
    </row>
    <row r="1952">
      <c r="I1952" t="n">
        <v>3781649</v>
      </c>
    </row>
    <row r="1953">
      <c r="I1953" t="n">
        <v>3929540</v>
      </c>
    </row>
    <row r="1954">
      <c r="I1954" t="n">
        <v>3571870</v>
      </c>
    </row>
    <row r="1955">
      <c r="I1955" t="n">
        <v>3571870</v>
      </c>
    </row>
    <row r="1956">
      <c r="I1956" t="n">
        <v>3230488</v>
      </c>
    </row>
    <row r="1957">
      <c r="I1957" t="n">
        <v>3230488</v>
      </c>
    </row>
    <row r="1958">
      <c r="I1958" t="n">
        <v>3230488</v>
      </c>
    </row>
    <row r="1959">
      <c r="I1959" t="n">
        <v>3230488</v>
      </c>
    </row>
    <row r="1960">
      <c r="I1960" t="n">
        <v>3230487</v>
      </c>
    </row>
    <row r="1961">
      <c r="I1961" t="n">
        <v>3230487</v>
      </c>
    </row>
    <row r="1962">
      <c r="I1962" t="n">
        <v>3230490</v>
      </c>
    </row>
    <row r="1963">
      <c r="I1963" t="n">
        <v>3230490</v>
      </c>
    </row>
    <row r="1964">
      <c r="I1964" t="n">
        <v>3230495</v>
      </c>
    </row>
    <row r="1965">
      <c r="I1965" t="n">
        <v>3230495</v>
      </c>
    </row>
    <row r="1966">
      <c r="I1966" t="n">
        <v>3230495</v>
      </c>
    </row>
    <row r="1967">
      <c r="I1967" t="n">
        <v>3230495</v>
      </c>
    </row>
    <row r="1968">
      <c r="I1968" t="n">
        <v>3929691</v>
      </c>
    </row>
    <row r="1969">
      <c r="I1969" t="n">
        <v>3929691</v>
      </c>
    </row>
    <row r="1970">
      <c r="I1970" t="n">
        <v>3929691</v>
      </c>
    </row>
    <row r="1971">
      <c r="I1971" t="n">
        <v>3929691</v>
      </c>
    </row>
    <row r="1972">
      <c r="I1972" t="n">
        <v>1940840</v>
      </c>
    </row>
    <row r="1973">
      <c r="I1973" t="n">
        <v>1940840</v>
      </c>
    </row>
    <row r="1974">
      <c r="I1974" t="n">
        <v>1940840</v>
      </c>
    </row>
    <row r="1975">
      <c r="I1975" t="n">
        <v>1940840</v>
      </c>
    </row>
    <row r="1976">
      <c r="I1976" t="n">
        <v>1940307</v>
      </c>
    </row>
    <row r="1977">
      <c r="I1977" t="n">
        <v>1940307</v>
      </c>
    </row>
    <row r="1978">
      <c r="I1978" t="n">
        <v>1940307</v>
      </c>
    </row>
    <row r="1979">
      <c r="I1979" t="n">
        <v>1940307</v>
      </c>
    </row>
    <row r="1980">
      <c r="I1980" t="n">
        <v>1932848</v>
      </c>
    </row>
    <row r="1981">
      <c r="I1981" t="n">
        <v>1932848</v>
      </c>
    </row>
    <row r="1982">
      <c r="I1982" t="n">
        <v>1932848</v>
      </c>
    </row>
    <row r="1983">
      <c r="I1983" t="n">
        <v>1932848</v>
      </c>
    </row>
    <row r="1984">
      <c r="I1984" t="n">
        <v>1940312</v>
      </c>
    </row>
    <row r="1985">
      <c r="I1985" t="n">
        <v>1940312</v>
      </c>
    </row>
    <row r="1986">
      <c r="I1986" t="n">
        <v>1940329</v>
      </c>
    </row>
    <row r="1987">
      <c r="I1987" t="n">
        <v>1940329</v>
      </c>
    </row>
    <row r="1988">
      <c r="I1988" t="n">
        <v>2427158</v>
      </c>
    </row>
    <row r="1989">
      <c r="I1989" t="n">
        <v>3929691</v>
      </c>
    </row>
    <row r="1990">
      <c r="I1990" t="n">
        <v>3780004</v>
      </c>
    </row>
    <row r="1991">
      <c r="I1991" t="n">
        <v>3780004</v>
      </c>
    </row>
    <row r="1992">
      <c r="I1992" t="n">
        <v>3910648</v>
      </c>
    </row>
    <row r="1993">
      <c r="I1993" t="n">
        <v>3910648</v>
      </c>
    </row>
    <row r="1994">
      <c r="I1994" t="n">
        <v>3910648</v>
      </c>
    </row>
    <row r="1995">
      <c r="I1995" t="n">
        <v>3910648</v>
      </c>
    </row>
    <row r="1996">
      <c r="I1996" t="n">
        <v>3801265</v>
      </c>
    </row>
    <row r="1997">
      <c r="I1997" t="n">
        <v>3801265</v>
      </c>
    </row>
    <row r="1998">
      <c r="I1998" t="n">
        <v>3910649</v>
      </c>
    </row>
    <row r="1999">
      <c r="I1999" t="n">
        <v>3910650</v>
      </c>
    </row>
    <row r="2000">
      <c r="I2000" t="n">
        <v>2427939</v>
      </c>
    </row>
    <row r="2001">
      <c r="I2001" t="n">
        <v>2427939</v>
      </c>
    </row>
    <row r="2002">
      <c r="I2002" t="n">
        <v>2427939</v>
      </c>
    </row>
    <row r="2003">
      <c r="I2003" t="n">
        <v>2427960</v>
      </c>
    </row>
    <row r="2004">
      <c r="I2004" t="n">
        <v>2427960</v>
      </c>
    </row>
    <row r="2005">
      <c r="I2005" t="n">
        <v>2427960</v>
      </c>
    </row>
    <row r="2006">
      <c r="I2006" t="n">
        <v>2353927</v>
      </c>
    </row>
    <row r="2007">
      <c r="I2007" t="n">
        <v>2427158</v>
      </c>
    </row>
    <row r="2008">
      <c r="I2008" t="n">
        <v>2427158</v>
      </c>
    </row>
    <row r="2009">
      <c r="I2009" t="n">
        <v>2427158</v>
      </c>
    </row>
    <row r="2010">
      <c r="I2010" t="n">
        <v>2427158</v>
      </c>
    </row>
    <row r="2011">
      <c r="I2011" t="n">
        <v>2427158</v>
      </c>
    </row>
    <row r="2012">
      <c r="I2012" t="n">
        <v>2427158</v>
      </c>
    </row>
    <row r="2013">
      <c r="I2013" t="n">
        <v>2427158</v>
      </c>
    </row>
    <row r="2014">
      <c r="I2014" t="n">
        <v>2427158</v>
      </c>
    </row>
    <row r="2015">
      <c r="I2015" t="n">
        <v>2427158</v>
      </c>
    </row>
    <row r="2016">
      <c r="I2016" t="n">
        <v>3171772</v>
      </c>
    </row>
    <row r="2017">
      <c r="I2017" t="n">
        <v>1940325</v>
      </c>
    </row>
    <row r="2018">
      <c r="I2018" t="n">
        <v>3509824</v>
      </c>
    </row>
    <row r="2019">
      <c r="I2019" t="n">
        <v>3509824</v>
      </c>
    </row>
    <row r="2020">
      <c r="I2020" t="n">
        <v>3509824</v>
      </c>
    </row>
    <row r="2021">
      <c r="I2021" t="n">
        <v>3556680</v>
      </c>
    </row>
    <row r="2022">
      <c r="I2022" t="n">
        <v>3409366</v>
      </c>
    </row>
    <row r="2023">
      <c r="I2023" t="n">
        <v>3409366</v>
      </c>
    </row>
    <row r="2024">
      <c r="I2024" t="n">
        <v>2409616</v>
      </c>
    </row>
    <row r="2025">
      <c r="I2025" t="n">
        <v>3409367</v>
      </c>
    </row>
    <row r="2026">
      <c r="I2026" t="n">
        <v>3409367</v>
      </c>
    </row>
    <row r="2027">
      <c r="I2027" t="n">
        <v>2430128</v>
      </c>
    </row>
    <row r="2028">
      <c r="I2028" t="n">
        <v>2430128</v>
      </c>
    </row>
    <row r="2029">
      <c r="I2029" t="n">
        <v>2430128</v>
      </c>
    </row>
    <row r="2030">
      <c r="I2030" t="n">
        <v>2430128</v>
      </c>
    </row>
    <row r="2031">
      <c r="I2031" t="n">
        <v>3635694</v>
      </c>
    </row>
    <row r="2032">
      <c r="I2032" t="n">
        <v>3635694</v>
      </c>
    </row>
    <row r="2033">
      <c r="I2033" t="n">
        <v>3635694</v>
      </c>
    </row>
    <row r="2034">
      <c r="I2034" t="n">
        <v>1940498</v>
      </c>
    </row>
    <row r="2035">
      <c r="I2035" t="n">
        <v>1940498</v>
      </c>
    </row>
    <row r="2036">
      <c r="I2036" t="n">
        <v>1940498</v>
      </c>
    </row>
    <row r="2037">
      <c r="I2037" t="n">
        <v>1940498</v>
      </c>
    </row>
    <row r="2038">
      <c r="I2038" t="n">
        <v>1940498</v>
      </c>
    </row>
    <row r="2039">
      <c r="I2039" t="n">
        <v>1940498</v>
      </c>
    </row>
    <row r="2040">
      <c r="I2040" t="n">
        <v>1940498</v>
      </c>
    </row>
    <row r="2041">
      <c r="I2041" t="n">
        <v>1940498</v>
      </c>
    </row>
    <row r="2042">
      <c r="I2042" t="n">
        <v>1940498</v>
      </c>
    </row>
    <row r="2043">
      <c r="I2043" t="n">
        <v>1940498</v>
      </c>
    </row>
    <row r="2044">
      <c r="I2044" t="n">
        <v>1940498</v>
      </c>
    </row>
    <row r="2045">
      <c r="I2045" t="n">
        <v>2427158</v>
      </c>
    </row>
    <row r="2046">
      <c r="I2046" t="n">
        <v>2427158</v>
      </c>
    </row>
    <row r="2047">
      <c r="I2047" t="n">
        <v>2427158</v>
      </c>
    </row>
    <row r="2048">
      <c r="I2048" t="n">
        <v>2427158</v>
      </c>
    </row>
    <row r="2049">
      <c r="I2049" t="n">
        <v>2427158</v>
      </c>
    </row>
    <row r="2050">
      <c r="I2050" t="n">
        <v>2427158</v>
      </c>
    </row>
    <row r="2051">
      <c r="I2051" t="n">
        <v>2427158</v>
      </c>
    </row>
    <row r="2052">
      <c r="I2052" t="n">
        <v>2427158</v>
      </c>
    </row>
    <row r="2053">
      <c r="I2053" t="n">
        <v>2427158</v>
      </c>
    </row>
    <row r="2054">
      <c r="I2054" t="n">
        <v>3712521</v>
      </c>
    </row>
    <row r="2055">
      <c r="I2055" t="n">
        <v>3712521</v>
      </c>
    </row>
    <row r="2056">
      <c r="I2056" t="n">
        <v>1940830</v>
      </c>
    </row>
    <row r="2057">
      <c r="I2057" t="n">
        <v>1940830</v>
      </c>
    </row>
    <row r="2058">
      <c r="I2058" t="n">
        <v>1940830</v>
      </c>
    </row>
    <row r="2059">
      <c r="I2059" t="n">
        <v>1940837</v>
      </c>
    </row>
    <row r="2060">
      <c r="I2060" t="n">
        <v>1940837</v>
      </c>
    </row>
    <row r="2061">
      <c r="I2061" t="n">
        <v>1940416</v>
      </c>
    </row>
    <row r="2062">
      <c r="I2062" t="n">
        <v>1940416</v>
      </c>
    </row>
    <row r="2063">
      <c r="I2063" t="n">
        <v>1940416</v>
      </c>
    </row>
    <row r="2064">
      <c r="I2064" t="n">
        <v>1940416</v>
      </c>
    </row>
    <row r="2065">
      <c r="I2065" t="n">
        <v>1940416</v>
      </c>
    </row>
    <row r="2066">
      <c r="I2066" t="n">
        <v>1940416</v>
      </c>
    </row>
    <row r="2067">
      <c r="I2067" t="n">
        <v>1940478</v>
      </c>
    </row>
    <row r="2068">
      <c r="I2068" t="n">
        <v>1940478</v>
      </c>
    </row>
    <row r="2069">
      <c r="I2069" t="n">
        <v>1940490</v>
      </c>
    </row>
    <row r="2070">
      <c r="I2070" t="n">
        <v>1940490</v>
      </c>
    </row>
    <row r="2071">
      <c r="I2071" t="n">
        <v>3230495</v>
      </c>
    </row>
    <row r="2072">
      <c r="I2072" t="n">
        <v>3935312</v>
      </c>
    </row>
    <row r="2073">
      <c r="I2073" t="n">
        <v>1940849</v>
      </c>
    </row>
    <row r="2074">
      <c r="I2074" t="n">
        <v>1940850</v>
      </c>
    </row>
    <row r="2075">
      <c r="I2075" t="n">
        <v>3230482</v>
      </c>
    </row>
    <row r="2076">
      <c r="I2076" t="n">
        <v>3935311</v>
      </c>
    </row>
    <row r="2077">
      <c r="I2077" t="n">
        <v>3931834</v>
      </c>
    </row>
    <row r="2078">
      <c r="I2078" t="n">
        <v>3931835</v>
      </c>
    </row>
    <row r="2079">
      <c r="I2079" t="n">
        <v>3938687</v>
      </c>
    </row>
    <row r="2080">
      <c r="I2080" t="n">
        <v>3230486</v>
      </c>
    </row>
    <row r="2081">
      <c r="I2081" t="n">
        <v>3230490</v>
      </c>
    </row>
    <row r="2082">
      <c r="I2082" t="n">
        <v>3230487</v>
      </c>
    </row>
    <row r="2083">
      <c r="I2083" t="n">
        <v>3952059</v>
      </c>
    </row>
    <row r="2084">
      <c r="I2084" t="n">
        <v>3230488</v>
      </c>
    </row>
    <row r="2085">
      <c r="I2085" t="n">
        <v>3931836</v>
      </c>
    </row>
    <row r="2086">
      <c r="I2086" t="n">
        <v>3230485</v>
      </c>
    </row>
    <row r="2087">
      <c r="I2087" t="n">
        <v>1940686</v>
      </c>
    </row>
    <row r="2088">
      <c r="I2088" t="n">
        <v>1940686</v>
      </c>
    </row>
    <row r="2089">
      <c r="I2089" t="n">
        <v>1940686</v>
      </c>
    </row>
    <row r="2090">
      <c r="I2090" t="n">
        <v>1940686</v>
      </c>
    </row>
    <row r="2091">
      <c r="I2091" t="n">
        <v>1900224</v>
      </c>
    </row>
    <row r="2092">
      <c r="I2092" t="n">
        <v>3233560</v>
      </c>
    </row>
    <row r="2093">
      <c r="I2093" t="n">
        <v>3230492</v>
      </c>
    </row>
    <row r="2094">
      <c r="I2094" t="n">
        <v>3931837</v>
      </c>
    </row>
    <row r="2095">
      <c r="I2095" t="n">
        <v>3572038</v>
      </c>
    </row>
    <row r="2096">
      <c r="I2096" t="n">
        <v>3233559</v>
      </c>
    </row>
    <row r="2097">
      <c r="I2097" t="n">
        <v>3584171</v>
      </c>
    </row>
    <row r="2098">
      <c r="I2098" t="n">
        <v>3233557</v>
      </c>
    </row>
    <row r="2099">
      <c r="I2099" t="n">
        <v>3233556</v>
      </c>
    </row>
    <row r="2100">
      <c r="I2100" t="n">
        <v>3233555</v>
      </c>
    </row>
    <row r="2101">
      <c r="I2101" t="n">
        <v>3233555</v>
      </c>
    </row>
    <row r="2102">
      <c r="I2102" t="n">
        <v>3233555</v>
      </c>
    </row>
    <row r="2103">
      <c r="I2103" t="n">
        <v>3233554</v>
      </c>
    </row>
    <row r="2104">
      <c r="I2104" t="n">
        <v>1940801</v>
      </c>
    </row>
    <row r="2105">
      <c r="I2105" t="n">
        <v>1940801</v>
      </c>
    </row>
    <row r="2106">
      <c r="I2106" t="n">
        <v>1940801</v>
      </c>
    </row>
    <row r="2107">
      <c r="I2107" t="n">
        <v>1940822</v>
      </c>
    </row>
    <row r="2108">
      <c r="I2108" t="n">
        <v>1940822</v>
      </c>
    </row>
    <row r="2109">
      <c r="I2109" t="n">
        <v>1940822</v>
      </c>
    </row>
    <row r="2110">
      <c r="I2110" t="n">
        <v>1940823</v>
      </c>
    </row>
    <row r="2111">
      <c r="I2111" t="n">
        <v>1940823</v>
      </c>
    </row>
    <row r="2112">
      <c r="I2112" t="n">
        <v>1940363</v>
      </c>
    </row>
    <row r="2113">
      <c r="I2113" t="n">
        <v>1940626</v>
      </c>
    </row>
    <row r="2114">
      <c r="I2114" t="n">
        <v>1940626</v>
      </c>
    </row>
    <row r="2115">
      <c r="I2115" t="n">
        <v>1940626</v>
      </c>
    </row>
    <row r="2116">
      <c r="I2116" t="n">
        <v>3676337</v>
      </c>
    </row>
    <row r="2117">
      <c r="I2117" t="n">
        <v>3676337</v>
      </c>
    </row>
    <row r="2118">
      <c r="I2118" t="n">
        <v>4096695</v>
      </c>
    </row>
    <row r="2119">
      <c r="I2119" t="n">
        <v>4096695</v>
      </c>
    </row>
    <row r="2120">
      <c r="I2120" t="n">
        <v>4096695</v>
      </c>
    </row>
    <row r="2121">
      <c r="I2121" t="n">
        <v>4096696</v>
      </c>
    </row>
    <row r="2122">
      <c r="I2122" t="n">
        <v>4096696</v>
      </c>
    </row>
    <row r="2123">
      <c r="I2123" t="n">
        <v>3122347</v>
      </c>
    </row>
    <row r="2124">
      <c r="I2124" t="n">
        <v>3122347</v>
      </c>
    </row>
    <row r="2125">
      <c r="I2125" t="n">
        <v>2403383</v>
      </c>
    </row>
    <row r="2126">
      <c r="I2126" t="n">
        <v>2403383</v>
      </c>
    </row>
    <row r="2127">
      <c r="I2127" t="n">
        <v>2403383</v>
      </c>
    </row>
    <row r="2128">
      <c r="I2128" t="n">
        <v>2403383</v>
      </c>
    </row>
    <row r="2129">
      <c r="I2129" t="n">
        <v>1939993</v>
      </c>
    </row>
    <row r="2130">
      <c r="I2130" t="n">
        <v>1939993</v>
      </c>
    </row>
    <row r="2131">
      <c r="I2131" t="n">
        <v>1939996</v>
      </c>
    </row>
    <row r="2132">
      <c r="I2132" t="n">
        <v>1939996</v>
      </c>
    </row>
    <row r="2133">
      <c r="I2133" t="n">
        <v>3230495</v>
      </c>
    </row>
    <row r="2134">
      <c r="I2134" t="n">
        <v>3230490</v>
      </c>
    </row>
    <row r="2135">
      <c r="I2135" t="n">
        <v>3230487</v>
      </c>
    </row>
    <row r="2136">
      <c r="I2136" t="n">
        <v>3230487</v>
      </c>
    </row>
    <row r="2137">
      <c r="I2137" t="n">
        <v>3230488</v>
      </c>
    </row>
    <row r="2138">
      <c r="I2138" t="n">
        <v>3571870</v>
      </c>
    </row>
    <row r="2139">
      <c r="I2139" t="n">
        <v>3230482</v>
      </c>
    </row>
    <row r="2140">
      <c r="I2140" t="n">
        <v>3233557</v>
      </c>
    </row>
    <row r="2141">
      <c r="I2141" t="n">
        <v>3931836</v>
      </c>
    </row>
    <row r="2142">
      <c r="I2142" t="n">
        <v>3230485</v>
      </c>
    </row>
    <row r="2143">
      <c r="I2143" t="n">
        <v>3572051</v>
      </c>
    </row>
    <row r="2144">
      <c r="I2144" t="n">
        <v>3233560</v>
      </c>
    </row>
    <row r="2145">
      <c r="I2145" t="n">
        <v>3230492</v>
      </c>
    </row>
    <row r="2146">
      <c r="I2146" t="n">
        <v>3230492</v>
      </c>
    </row>
    <row r="2147">
      <c r="I2147" t="n">
        <v>3233555</v>
      </c>
    </row>
    <row r="2148">
      <c r="I2148" t="n">
        <v>3233555</v>
      </c>
    </row>
    <row r="2149">
      <c r="I2149" t="n">
        <v>3931837</v>
      </c>
    </row>
    <row r="2150">
      <c r="I2150" t="n">
        <v>3572038</v>
      </c>
    </row>
    <row r="2151">
      <c r="I2151" t="n">
        <v>3233554</v>
      </c>
    </row>
    <row r="2152">
      <c r="I2152" t="n">
        <v>3935311</v>
      </c>
    </row>
    <row r="2153">
      <c r="I2153" t="n">
        <v>1940801</v>
      </c>
    </row>
    <row r="2154">
      <c r="I2154" t="n">
        <v>1940801</v>
      </c>
    </row>
    <row r="2155">
      <c r="I2155" t="n">
        <v>4075254</v>
      </c>
    </row>
    <row r="2156">
      <c r="I2156" t="n">
        <v>3712521</v>
      </c>
    </row>
    <row r="2157">
      <c r="I2157" t="n">
        <v>3712521</v>
      </c>
    </row>
    <row r="2158">
      <c r="I2158" t="n">
        <v>3712521</v>
      </c>
    </row>
    <row r="2159">
      <c r="I2159" t="n">
        <v>3712521</v>
      </c>
    </row>
    <row r="2160">
      <c r="I2160" t="n">
        <v>1940830</v>
      </c>
    </row>
    <row r="2161">
      <c r="I2161" t="n">
        <v>1940830</v>
      </c>
    </row>
    <row r="2162">
      <c r="I2162" t="n">
        <v>1940830</v>
      </c>
    </row>
    <row r="2163">
      <c r="I2163" t="n">
        <v>1940801</v>
      </c>
    </row>
    <row r="2164">
      <c r="I2164" t="n">
        <v>1940801</v>
      </c>
    </row>
    <row r="2165">
      <c r="I2165" t="n">
        <v>1940801</v>
      </c>
    </row>
    <row r="2166">
      <c r="I2166" t="n">
        <v>3901714</v>
      </c>
    </row>
    <row r="2167">
      <c r="I2167" t="n">
        <v>3901714</v>
      </c>
    </row>
    <row r="2168">
      <c r="I2168" t="n">
        <v>2439536</v>
      </c>
    </row>
    <row r="2169">
      <c r="I2169" t="n">
        <v>2439536</v>
      </c>
    </row>
    <row r="2170">
      <c r="I2170" t="n">
        <v>2439536</v>
      </c>
    </row>
    <row r="2171">
      <c r="I2171" t="n">
        <v>2439536</v>
      </c>
    </row>
    <row r="2172">
      <c r="I2172" t="n">
        <v>2439536</v>
      </c>
    </row>
    <row r="2173">
      <c r="I2173" t="n">
        <v>2439536</v>
      </c>
    </row>
    <row r="2174">
      <c r="I2174" t="n">
        <v>2439536</v>
      </c>
    </row>
    <row r="2175">
      <c r="I2175" t="n">
        <v>2439536</v>
      </c>
    </row>
    <row r="2176">
      <c r="I2176" t="n">
        <v>2439536</v>
      </c>
    </row>
    <row r="2177">
      <c r="I2177" t="n">
        <v>2439536</v>
      </c>
    </row>
    <row r="2178">
      <c r="I2178" t="n">
        <v>2439536</v>
      </c>
    </row>
    <row r="2179">
      <c r="I2179" t="n">
        <v>2439536</v>
      </c>
    </row>
    <row r="2180">
      <c r="I2180" t="n">
        <v>2439536</v>
      </c>
    </row>
    <row r="2181">
      <c r="I2181" t="n">
        <v>2439536</v>
      </c>
    </row>
    <row r="2182">
      <c r="I2182" t="n">
        <v>2439536</v>
      </c>
    </row>
    <row r="2183">
      <c r="I2183" t="n">
        <v>1931824</v>
      </c>
    </row>
    <row r="2184">
      <c r="I2184" t="n">
        <v>1940472</v>
      </c>
    </row>
    <row r="2185">
      <c r="I2185" t="n">
        <v>1174856</v>
      </c>
    </row>
    <row r="2186">
      <c r="I2186" t="n">
        <v>1940743</v>
      </c>
    </row>
    <row r="2187">
      <c r="I2187" t="n">
        <v>1940743</v>
      </c>
    </row>
    <row r="2188">
      <c r="I2188" t="n">
        <v>1940743</v>
      </c>
    </row>
    <row r="2189">
      <c r="I2189" t="n">
        <v>2412748</v>
      </c>
    </row>
    <row r="2190">
      <c r="I2190" t="n">
        <v>2412748</v>
      </c>
    </row>
    <row r="2191">
      <c r="I2191" t="n">
        <v>1448371</v>
      </c>
    </row>
    <row r="2192">
      <c r="I2192" t="n">
        <v>2426240</v>
      </c>
    </row>
    <row r="2193">
      <c r="I2193" t="n">
        <v>2426240</v>
      </c>
    </row>
    <row r="2194">
      <c r="I2194" t="n">
        <v>2426240</v>
      </c>
    </row>
    <row r="2195">
      <c r="I2195" t="n">
        <v>2410388</v>
      </c>
    </row>
    <row r="2196">
      <c r="I2196" t="n">
        <v>2410388</v>
      </c>
    </row>
    <row r="2197">
      <c r="I2197" t="n">
        <v>2410388</v>
      </c>
    </row>
    <row r="2198">
      <c r="I2198" t="n">
        <v>2410388</v>
      </c>
    </row>
    <row r="2199">
      <c r="I2199" t="n">
        <v>2410388</v>
      </c>
    </row>
    <row r="2200">
      <c r="I2200" t="n">
        <v>1940420</v>
      </c>
    </row>
    <row r="2201">
      <c r="I2201" t="n">
        <v>1938127</v>
      </c>
    </row>
    <row r="2202">
      <c r="I2202" t="n">
        <v>1938127</v>
      </c>
    </row>
    <row r="2203">
      <c r="I2203" t="n">
        <v>1938127</v>
      </c>
    </row>
    <row r="2204">
      <c r="I2204" t="n">
        <v>1938127</v>
      </c>
    </row>
    <row r="2205">
      <c r="I2205" t="n">
        <v>1938358</v>
      </c>
    </row>
    <row r="2206">
      <c r="I2206" t="n">
        <v>1938358</v>
      </c>
    </row>
    <row r="2207">
      <c r="I2207" t="n">
        <v>2410994</v>
      </c>
    </row>
    <row r="2208">
      <c r="I2208" t="n">
        <v>2410994</v>
      </c>
    </row>
    <row r="2209">
      <c r="I2209" t="n">
        <v>1940743</v>
      </c>
    </row>
    <row r="2210">
      <c r="I2210" t="n">
        <v>1940743</v>
      </c>
    </row>
    <row r="2211">
      <c r="I2211" t="n">
        <v>1940743</v>
      </c>
    </row>
    <row r="2212">
      <c r="I2212" t="n">
        <v>1940743</v>
      </c>
    </row>
    <row r="2213">
      <c r="I2213" t="n">
        <v>1940743</v>
      </c>
    </row>
    <row r="2214">
      <c r="I2214" t="n">
        <v>2359912</v>
      </c>
    </row>
    <row r="2215">
      <c r="I2215" t="n">
        <v>2359912</v>
      </c>
    </row>
    <row r="2216">
      <c r="I2216" t="n">
        <v>2359912</v>
      </c>
    </row>
    <row r="2217">
      <c r="I2217" t="n">
        <v>3784469</v>
      </c>
    </row>
    <row r="2218">
      <c r="I2218" t="n">
        <v>3506193</v>
      </c>
    </row>
    <row r="2219">
      <c r="I2219" t="n">
        <v>3507077</v>
      </c>
    </row>
    <row r="2220">
      <c r="I2220" t="n">
        <v>3507077</v>
      </c>
    </row>
    <row r="2221">
      <c r="I2221" t="n">
        <v>3508521</v>
      </c>
    </row>
    <row r="2222">
      <c r="I2222" t="n">
        <v>3508521</v>
      </c>
    </row>
    <row r="2223">
      <c r="I2223" t="n">
        <v>3781673</v>
      </c>
    </row>
    <row r="2224">
      <c r="I2224" t="n">
        <v>437147</v>
      </c>
    </row>
    <row r="2225">
      <c r="I2225" t="n">
        <v>437147</v>
      </c>
    </row>
    <row r="2226">
      <c r="I2226" t="n">
        <v>1938163</v>
      </c>
    </row>
    <row r="2227">
      <c r="I2227" t="n">
        <v>1938163</v>
      </c>
    </row>
    <row r="2228">
      <c r="I2228" t="n">
        <v>1938163</v>
      </c>
    </row>
    <row r="2229">
      <c r="I2229" t="n">
        <v>2417648</v>
      </c>
    </row>
    <row r="2230">
      <c r="I2230" t="n">
        <v>2417648</v>
      </c>
    </row>
    <row r="2231">
      <c r="I2231" t="n">
        <v>2417648</v>
      </c>
    </row>
    <row r="2232">
      <c r="I2232" t="n">
        <v>2417648</v>
      </c>
    </row>
    <row r="2233">
      <c r="I2233" t="n">
        <v>3228788</v>
      </c>
    </row>
    <row r="2234">
      <c r="I2234" t="n">
        <v>3228788</v>
      </c>
    </row>
    <row r="2235">
      <c r="I2235" t="n">
        <v>3228788</v>
      </c>
    </row>
    <row r="2236">
      <c r="I2236" t="n">
        <v>1938127</v>
      </c>
    </row>
    <row r="2237">
      <c r="I2237" t="n">
        <v>1938127</v>
      </c>
    </row>
    <row r="2238">
      <c r="I2238" t="n">
        <v>1938127</v>
      </c>
    </row>
    <row r="2239">
      <c r="I2239" t="n">
        <v>2396464</v>
      </c>
    </row>
    <row r="2240">
      <c r="I2240" t="n">
        <v>2396464</v>
      </c>
    </row>
    <row r="2241">
      <c r="I2241" t="n">
        <v>3781637</v>
      </c>
    </row>
    <row r="2242">
      <c r="I2242" t="n">
        <v>3781637</v>
      </c>
    </row>
    <row r="2243">
      <c r="I2243" t="n">
        <v>3781637</v>
      </c>
    </row>
    <row r="2244">
      <c r="I2244" t="n">
        <v>3506193</v>
      </c>
    </row>
    <row r="2245">
      <c r="I2245" t="n">
        <v>3508521</v>
      </c>
    </row>
    <row r="2246">
      <c r="I2246" t="n">
        <v>3781673</v>
      </c>
    </row>
    <row r="2247">
      <c r="I2247" t="n">
        <v>1300148</v>
      </c>
    </row>
    <row r="2248">
      <c r="I2248" t="n">
        <v>1300148</v>
      </c>
    </row>
    <row r="2249">
      <c r="I2249" t="n">
        <v>437147</v>
      </c>
    </row>
    <row r="2250">
      <c r="I2250" t="n">
        <v>437147</v>
      </c>
    </row>
    <row r="2251">
      <c r="I2251" t="n">
        <v>3901714</v>
      </c>
    </row>
    <row r="2252">
      <c r="I2252" t="n">
        <v>3901714</v>
      </c>
    </row>
    <row r="2253">
      <c r="I2253" t="n">
        <v>1448371</v>
      </c>
    </row>
    <row r="2254">
      <c r="I2254" t="n">
        <v>1448371</v>
      </c>
    </row>
    <row r="2255">
      <c r="I2255" t="n">
        <v>1568170</v>
      </c>
    </row>
    <row r="2256">
      <c r="I2256" t="n">
        <v>3863819</v>
      </c>
    </row>
    <row r="2257">
      <c r="I2257" t="n">
        <v>2359912</v>
      </c>
    </row>
    <row r="2258">
      <c r="I2258" t="n">
        <v>2359912</v>
      </c>
    </row>
    <row r="2259">
      <c r="I2259" t="n">
        <v>2359912</v>
      </c>
    </row>
    <row r="2260">
      <c r="I2260" t="n">
        <v>1941303</v>
      </c>
    </row>
    <row r="2261">
      <c r="I2261" t="n">
        <v>1941303</v>
      </c>
    </row>
    <row r="2262">
      <c r="I2262" t="n">
        <v>1941303</v>
      </c>
    </row>
    <row r="2263">
      <c r="I2263" t="n">
        <v>3746291</v>
      </c>
    </row>
    <row r="2264">
      <c r="I2264" t="n">
        <v>3746291</v>
      </c>
    </row>
    <row r="2265">
      <c r="I2265" t="n">
        <v>3722021</v>
      </c>
    </row>
    <row r="2266">
      <c r="I2266" t="n">
        <v>3722021</v>
      </c>
    </row>
    <row r="2267">
      <c r="I2267" t="n">
        <v>2410999</v>
      </c>
    </row>
    <row r="2268">
      <c r="I2268" t="n">
        <v>2410999</v>
      </c>
    </row>
    <row r="2269">
      <c r="I2269" t="n">
        <v>2410999</v>
      </c>
    </row>
    <row r="2270">
      <c r="I2270" t="n">
        <v>2410999</v>
      </c>
    </row>
    <row r="2271">
      <c r="I2271" t="n">
        <v>2410999</v>
      </c>
    </row>
    <row r="2272">
      <c r="I2272" t="n">
        <v>2410999</v>
      </c>
    </row>
    <row r="2273">
      <c r="I2273" t="n">
        <v>2410999</v>
      </c>
    </row>
    <row r="2274">
      <c r="I2274" t="n">
        <v>2410999</v>
      </c>
    </row>
    <row r="2275">
      <c r="I2275" t="n">
        <v>2410999</v>
      </c>
    </row>
    <row r="2276">
      <c r="I2276" t="n">
        <v>2410999</v>
      </c>
    </row>
    <row r="2277">
      <c r="I2277" t="n">
        <v>1939544</v>
      </c>
    </row>
    <row r="2278">
      <c r="I2278" t="n">
        <v>1939544</v>
      </c>
    </row>
    <row r="2279">
      <c r="I2279" t="n">
        <v>2359755</v>
      </c>
    </row>
    <row r="2280">
      <c r="I2280" t="n">
        <v>2359755</v>
      </c>
    </row>
    <row r="2281">
      <c r="I2281" t="n">
        <v>2359755</v>
      </c>
    </row>
    <row r="2282">
      <c r="I2282" t="n">
        <v>2359755</v>
      </c>
    </row>
    <row r="2283">
      <c r="I2283" t="n">
        <v>2359755</v>
      </c>
    </row>
    <row r="2284">
      <c r="I2284" t="n">
        <v>2359755</v>
      </c>
    </row>
    <row r="2285">
      <c r="I2285" t="n">
        <v>2359755</v>
      </c>
    </row>
    <row r="2286">
      <c r="I2286" t="n">
        <v>1938125</v>
      </c>
    </row>
    <row r="2287">
      <c r="I2287" t="n">
        <v>3781637</v>
      </c>
    </row>
    <row r="2288">
      <c r="I2288" t="n">
        <v>3781673</v>
      </c>
    </row>
    <row r="2289">
      <c r="I2289" t="n">
        <v>3781673</v>
      </c>
    </row>
    <row r="2290">
      <c r="I2290" t="n">
        <v>3781673</v>
      </c>
    </row>
    <row r="2291">
      <c r="I2291" t="n">
        <v>3781673</v>
      </c>
    </row>
    <row r="2292">
      <c r="I2292" t="n">
        <v>3781673</v>
      </c>
    </row>
    <row r="2293">
      <c r="I2293" t="n">
        <v>1300148</v>
      </c>
    </row>
    <row r="2294">
      <c r="I2294" t="n">
        <v>1300148</v>
      </c>
    </row>
    <row r="2295">
      <c r="I2295" t="n">
        <v>3507486</v>
      </c>
    </row>
    <row r="2296">
      <c r="I2296" t="n">
        <v>1939284</v>
      </c>
    </row>
    <row r="2297">
      <c r="I2297" t="n">
        <v>1939284</v>
      </c>
    </row>
    <row r="2298">
      <c r="I2298" t="n">
        <v>1939284</v>
      </c>
    </row>
    <row r="2299">
      <c r="I2299" t="n">
        <v>1939284</v>
      </c>
    </row>
    <row r="2300">
      <c r="I2300" t="n">
        <v>1939284</v>
      </c>
    </row>
    <row r="2301">
      <c r="I2301" t="n">
        <v>1939284</v>
      </c>
    </row>
    <row r="2302">
      <c r="I2302" t="n">
        <v>1939284</v>
      </c>
    </row>
    <row r="2303">
      <c r="I2303" t="n">
        <v>1939284</v>
      </c>
    </row>
    <row r="2304">
      <c r="I2304" t="n">
        <v>1939284</v>
      </c>
    </row>
    <row r="2305">
      <c r="I2305" t="n">
        <v>1938125</v>
      </c>
    </row>
    <row r="2306">
      <c r="I2306" t="n">
        <v>1938125</v>
      </c>
    </row>
    <row r="2307">
      <c r="I2307" t="n">
        <v>1938125</v>
      </c>
    </row>
    <row r="2308">
      <c r="I2308" t="n">
        <v>1938125</v>
      </c>
    </row>
    <row r="2309">
      <c r="I2309" t="n">
        <v>1938125</v>
      </c>
    </row>
    <row r="2310">
      <c r="I2310" t="n">
        <v>1938125</v>
      </c>
    </row>
    <row r="2311">
      <c r="I2311" t="n">
        <v>1938125</v>
      </c>
    </row>
    <row r="2312">
      <c r="I2312" t="n">
        <v>1938125</v>
      </c>
    </row>
    <row r="2313">
      <c r="I2313" t="n">
        <v>1938125</v>
      </c>
    </row>
    <row r="2314">
      <c r="I2314" t="n">
        <v>3722021</v>
      </c>
    </row>
    <row r="2315">
      <c r="I2315" t="n">
        <v>3722021</v>
      </c>
    </row>
    <row r="2316">
      <c r="I2316" t="n">
        <v>3722021</v>
      </c>
    </row>
    <row r="2317">
      <c r="I2317" t="n">
        <v>3722021</v>
      </c>
    </row>
    <row r="2318">
      <c r="I2318" t="n">
        <v>3722021</v>
      </c>
    </row>
    <row r="2319">
      <c r="I2319" t="n">
        <v>3722021</v>
      </c>
    </row>
    <row r="2320">
      <c r="I2320" t="n">
        <v>3722021</v>
      </c>
    </row>
    <row r="2321">
      <c r="I2321" t="n">
        <v>3722021</v>
      </c>
    </row>
    <row r="2322">
      <c r="I2322" t="n">
        <v>1284065</v>
      </c>
    </row>
    <row r="2323">
      <c r="I2323" t="n">
        <v>1284065</v>
      </c>
    </row>
    <row r="2324">
      <c r="I2324" t="n">
        <v>1284065</v>
      </c>
    </row>
    <row r="2325">
      <c r="I2325" t="n">
        <v>1938125</v>
      </c>
    </row>
    <row r="2326">
      <c r="I2326" t="n">
        <v>1938125</v>
      </c>
    </row>
    <row r="2327">
      <c r="I2327" t="n">
        <v>1938125</v>
      </c>
    </row>
    <row r="2328">
      <c r="I2328" t="n">
        <v>1938125</v>
      </c>
    </row>
    <row r="2329">
      <c r="I2329" t="n">
        <v>1938125</v>
      </c>
    </row>
    <row r="2330">
      <c r="I2330" t="n">
        <v>1938125</v>
      </c>
    </row>
    <row r="2331">
      <c r="I2331" t="n">
        <v>3901714</v>
      </c>
    </row>
    <row r="2332">
      <c r="I2332" t="n">
        <v>3901714</v>
      </c>
    </row>
    <row r="2333">
      <c r="I2333" t="n">
        <v>3901714</v>
      </c>
    </row>
    <row r="2334">
      <c r="I2334" t="n">
        <v>3901714</v>
      </c>
    </row>
    <row r="2335">
      <c r="I2335" t="n">
        <v>3926270</v>
      </c>
    </row>
    <row r="2336">
      <c r="I2336" t="n">
        <v>2429059</v>
      </c>
    </row>
    <row r="2337">
      <c r="I2337" t="n">
        <v>2429059</v>
      </c>
    </row>
    <row r="2338">
      <c r="I2338" t="n">
        <v>2429059</v>
      </c>
    </row>
    <row r="2339">
      <c r="I2339" t="n">
        <v>1568170</v>
      </c>
    </row>
    <row r="2340">
      <c r="I2340" t="n">
        <v>2359755</v>
      </c>
    </row>
    <row r="2341">
      <c r="I2341" t="n">
        <v>2359755</v>
      </c>
    </row>
    <row r="2342">
      <c r="I2342" t="n">
        <v>2359755</v>
      </c>
    </row>
    <row r="2343">
      <c r="I2343" t="n">
        <v>2359755</v>
      </c>
    </row>
    <row r="2344">
      <c r="I2344" t="n">
        <v>2359755</v>
      </c>
    </row>
    <row r="2345">
      <c r="I2345" t="n">
        <v>1938118</v>
      </c>
    </row>
    <row r="2346">
      <c r="I2346" t="n">
        <v>1938118</v>
      </c>
    </row>
    <row r="2347">
      <c r="I2347" t="n">
        <v>1938119</v>
      </c>
    </row>
    <row r="2348">
      <c r="I2348" t="n">
        <v>1938119</v>
      </c>
    </row>
    <row r="2349">
      <c r="I2349" t="n">
        <v>1938119</v>
      </c>
    </row>
    <row r="2350">
      <c r="I2350" t="n">
        <v>1938119</v>
      </c>
    </row>
    <row r="2351">
      <c r="I2351" t="n">
        <v>1938382</v>
      </c>
    </row>
    <row r="2352">
      <c r="I2352" t="n">
        <v>3599863</v>
      </c>
    </row>
    <row r="2353">
      <c r="I2353" t="n">
        <v>3599863</v>
      </c>
    </row>
    <row r="2354">
      <c r="I2354" t="n">
        <v>2410996</v>
      </c>
    </row>
    <row r="2355">
      <c r="I2355" t="n">
        <v>2410996</v>
      </c>
    </row>
    <row r="2356">
      <c r="I2356" t="n">
        <v>2410996</v>
      </c>
    </row>
    <row r="2357">
      <c r="I2357" t="n">
        <v>1940420</v>
      </c>
    </row>
    <row r="2358">
      <c r="I2358" t="n">
        <v>3901714</v>
      </c>
    </row>
    <row r="2359">
      <c r="I2359" t="n">
        <v>3746291</v>
      </c>
    </row>
    <row r="2360">
      <c r="I2360" t="n">
        <v>3746291</v>
      </c>
    </row>
    <row r="2361">
      <c r="I2361" t="n">
        <v>2396464</v>
      </c>
    </row>
    <row r="2362">
      <c r="I2362" t="n">
        <v>2396464</v>
      </c>
    </row>
    <row r="2363">
      <c r="I2363" t="n">
        <v>2396464</v>
      </c>
    </row>
    <row r="2364">
      <c r="I2364" t="n">
        <v>1940743</v>
      </c>
    </row>
    <row r="2365">
      <c r="I2365" t="n">
        <v>1940743</v>
      </c>
    </row>
    <row r="2366">
      <c r="I2366" t="n">
        <v>1940743</v>
      </c>
    </row>
    <row r="2367">
      <c r="I2367" t="n">
        <v>1940743</v>
      </c>
    </row>
    <row r="2368">
      <c r="I2368" t="n">
        <v>1940743</v>
      </c>
    </row>
    <row r="2369">
      <c r="I2369" t="n">
        <v>1568170</v>
      </c>
    </row>
    <row r="2370">
      <c r="I2370" t="n">
        <v>2359912</v>
      </c>
    </row>
    <row r="2371">
      <c r="I2371" t="n">
        <v>2359912</v>
      </c>
    </row>
    <row r="2372">
      <c r="I2372" t="n">
        <v>2359912</v>
      </c>
    </row>
    <row r="2373">
      <c r="I2373" t="n">
        <v>2359912</v>
      </c>
    </row>
    <row r="2374">
      <c r="I2374" t="n">
        <v>2359912</v>
      </c>
    </row>
    <row r="2375">
      <c r="I2375" t="n">
        <v>1941303</v>
      </c>
    </row>
    <row r="2376">
      <c r="I2376" t="n">
        <v>1941303</v>
      </c>
    </row>
    <row r="2377">
      <c r="I2377" t="n">
        <v>1941303</v>
      </c>
    </row>
    <row r="2378">
      <c r="I2378" t="n">
        <v>3940551</v>
      </c>
    </row>
    <row r="2379">
      <c r="I2379" t="n">
        <v>3940551</v>
      </c>
    </row>
    <row r="2380">
      <c r="I2380" t="n">
        <v>3940551</v>
      </c>
    </row>
    <row r="2381">
      <c r="I2381" t="n">
        <v>3940551</v>
      </c>
    </row>
    <row r="2382">
      <c r="I2382" t="n">
        <v>1939283</v>
      </c>
    </row>
    <row r="2383">
      <c r="I2383" t="n">
        <v>1939283</v>
      </c>
    </row>
    <row r="2384">
      <c r="I2384" t="n">
        <v>1939283</v>
      </c>
    </row>
    <row r="2385">
      <c r="I2385" t="n">
        <v>1939284</v>
      </c>
    </row>
    <row r="2386">
      <c r="I2386" t="n">
        <v>3190072</v>
      </c>
    </row>
    <row r="2387">
      <c r="I2387" t="n">
        <v>3190072</v>
      </c>
    </row>
    <row r="2388">
      <c r="I2388" t="n">
        <v>1938358</v>
      </c>
    </row>
    <row r="2389">
      <c r="I2389" t="n">
        <v>1938358</v>
      </c>
    </row>
    <row r="2390">
      <c r="I2390" t="n">
        <v>1568170</v>
      </c>
    </row>
    <row r="2391">
      <c r="I2391" t="n">
        <v>1568170</v>
      </c>
    </row>
    <row r="2392">
      <c r="I2392" t="n">
        <v>1568170</v>
      </c>
    </row>
    <row r="2393">
      <c r="I2393" t="n">
        <v>2417648</v>
      </c>
    </row>
    <row r="2394">
      <c r="I2394" t="n">
        <v>2417648</v>
      </c>
    </row>
    <row r="2395">
      <c r="I2395" t="n">
        <v>2417648</v>
      </c>
    </row>
    <row r="2396">
      <c r="I2396" t="n">
        <v>2417648</v>
      </c>
    </row>
    <row r="2397">
      <c r="I2397" t="n">
        <v>2417648</v>
      </c>
    </row>
    <row r="2398">
      <c r="I2398" t="n">
        <v>2417648</v>
      </c>
    </row>
    <row r="2399">
      <c r="I2399" t="n">
        <v>2417648</v>
      </c>
    </row>
    <row r="2400">
      <c r="I2400" t="n">
        <v>2417648</v>
      </c>
    </row>
    <row r="2401">
      <c r="I2401" t="n">
        <v>2417648</v>
      </c>
    </row>
    <row r="2402">
      <c r="I2402" t="n">
        <v>2417648</v>
      </c>
    </row>
    <row r="2403">
      <c r="I2403" t="n">
        <v>2417648</v>
      </c>
    </row>
    <row r="2404">
      <c r="I2404" t="n">
        <v>2417648</v>
      </c>
    </row>
    <row r="2405">
      <c r="I2405" t="n">
        <v>2409618</v>
      </c>
    </row>
    <row r="2406">
      <c r="I2406" t="n">
        <v>2409618</v>
      </c>
    </row>
    <row r="2407">
      <c r="I2407" t="n">
        <v>2409618</v>
      </c>
    </row>
    <row r="2408">
      <c r="I2408" t="n">
        <v>2409618</v>
      </c>
    </row>
    <row r="2409">
      <c r="I2409" t="n">
        <v>3901714</v>
      </c>
    </row>
    <row r="2410">
      <c r="I2410" t="n">
        <v>3901714</v>
      </c>
    </row>
    <row r="2411">
      <c r="I2411" t="n">
        <v>3901714</v>
      </c>
    </row>
    <row r="2412">
      <c r="I2412" t="n">
        <v>3901714</v>
      </c>
    </row>
    <row r="2413">
      <c r="I2413" t="n">
        <v>3228788</v>
      </c>
    </row>
    <row r="2414">
      <c r="I2414" t="n">
        <v>3228788</v>
      </c>
    </row>
    <row r="2415">
      <c r="I2415" t="n">
        <v>3781664</v>
      </c>
    </row>
    <row r="2416">
      <c r="I2416" t="n">
        <v>1940743</v>
      </c>
    </row>
    <row r="2417">
      <c r="I2417" t="n">
        <v>1940743</v>
      </c>
    </row>
    <row r="2418">
      <c r="I2418" t="n">
        <v>1940743</v>
      </c>
    </row>
    <row r="2419">
      <c r="I2419" t="n">
        <v>1940743</v>
      </c>
    </row>
    <row r="2420">
      <c r="I2420" t="n">
        <v>1938358</v>
      </c>
    </row>
    <row r="2421">
      <c r="I2421" t="n">
        <v>1938358</v>
      </c>
    </row>
    <row r="2422">
      <c r="I2422" t="n">
        <v>1938358</v>
      </c>
    </row>
    <row r="2423">
      <c r="I2423" t="n">
        <v>1938358</v>
      </c>
    </row>
    <row r="2424">
      <c r="I2424" t="n">
        <v>1938358</v>
      </c>
    </row>
    <row r="2425">
      <c r="I2425" t="n">
        <v>1938358</v>
      </c>
    </row>
    <row r="2426">
      <c r="I2426" t="n">
        <v>1940302</v>
      </c>
    </row>
    <row r="2427">
      <c r="I2427" t="n">
        <v>1938125</v>
      </c>
    </row>
    <row r="2428">
      <c r="I2428" t="n">
        <v>1938125</v>
      </c>
    </row>
    <row r="2429">
      <c r="I2429" t="n">
        <v>3901714</v>
      </c>
    </row>
    <row r="2430">
      <c r="I2430" t="n">
        <v>3901714</v>
      </c>
    </row>
    <row r="2431">
      <c r="I2431" t="n">
        <v>1511515</v>
      </c>
    </row>
    <row r="2432">
      <c r="I2432" t="n">
        <v>1511515</v>
      </c>
    </row>
    <row r="2433">
      <c r="I2433" t="n">
        <v>1511515</v>
      </c>
    </row>
    <row r="2434">
      <c r="I2434" t="n">
        <v>1511515</v>
      </c>
    </row>
    <row r="2435">
      <c r="I2435" t="n">
        <v>1511515</v>
      </c>
    </row>
    <row r="2436">
      <c r="I2436" t="n">
        <v>1940472</v>
      </c>
    </row>
    <row r="2437">
      <c r="I2437" t="n">
        <v>1940472</v>
      </c>
    </row>
    <row r="2438">
      <c r="I2438" t="n">
        <v>2417648</v>
      </c>
    </row>
    <row r="2439">
      <c r="I2439" t="n">
        <v>2417648</v>
      </c>
    </row>
    <row r="2440">
      <c r="I2440" t="n">
        <v>1940743</v>
      </c>
    </row>
    <row r="2441">
      <c r="I2441" t="n">
        <v>1940743</v>
      </c>
    </row>
    <row r="2442">
      <c r="I2442" t="n">
        <v>2429059</v>
      </c>
    </row>
    <row r="2443">
      <c r="I2443" t="n">
        <v>2429059</v>
      </c>
    </row>
    <row r="2444">
      <c r="I2444" t="n">
        <v>2359912</v>
      </c>
    </row>
    <row r="2445">
      <c r="I2445" t="n">
        <v>2359912</v>
      </c>
    </row>
    <row r="2446">
      <c r="I2446" t="n">
        <v>3940551</v>
      </c>
    </row>
    <row r="2447">
      <c r="I2447" t="n">
        <v>3940551</v>
      </c>
    </row>
    <row r="2448">
      <c r="I2448" t="n">
        <v>3940551</v>
      </c>
    </row>
    <row r="2449">
      <c r="I2449" t="n">
        <v>3940551</v>
      </c>
    </row>
    <row r="2450">
      <c r="I2450" t="n">
        <v>3901714</v>
      </c>
    </row>
    <row r="2451">
      <c r="I2451" t="n">
        <v>3901714</v>
      </c>
    </row>
    <row r="2452">
      <c r="I2452" t="n">
        <v>3901714</v>
      </c>
    </row>
    <row r="2453">
      <c r="I2453" t="n">
        <v>1568170</v>
      </c>
    </row>
    <row r="2454">
      <c r="I2454" t="n">
        <v>1568170</v>
      </c>
    </row>
    <row r="2455">
      <c r="I2455" t="n">
        <v>1568170</v>
      </c>
    </row>
    <row r="2456">
      <c r="I2456" t="n">
        <v>1568170</v>
      </c>
    </row>
    <row r="2457">
      <c r="I2457" t="n">
        <v>1939283</v>
      </c>
    </row>
    <row r="2458">
      <c r="I2458" t="n">
        <v>1939283</v>
      </c>
    </row>
    <row r="2459">
      <c r="I2459" t="n">
        <v>1939284</v>
      </c>
    </row>
    <row r="2460">
      <c r="I2460" t="n">
        <v>1938125</v>
      </c>
    </row>
    <row r="2461">
      <c r="I2461" t="n">
        <v>1938125</v>
      </c>
    </row>
    <row r="2462">
      <c r="I2462" t="n">
        <v>1938163</v>
      </c>
    </row>
    <row r="2463">
      <c r="I2463" t="n">
        <v>1939284</v>
      </c>
    </row>
    <row r="2464">
      <c r="I2464" t="n">
        <v>2359912</v>
      </c>
    </row>
    <row r="2465">
      <c r="I2465" t="n">
        <v>2359912</v>
      </c>
    </row>
    <row r="2466">
      <c r="I2466" t="n">
        <v>2359912</v>
      </c>
    </row>
    <row r="2467">
      <c r="I2467" t="n">
        <v>1938125</v>
      </c>
    </row>
    <row r="2468">
      <c r="I2468" t="n">
        <v>1938125</v>
      </c>
    </row>
    <row r="2469">
      <c r="I2469" t="n">
        <v>1938125</v>
      </c>
    </row>
    <row r="2470">
      <c r="I2470" t="n">
        <v>2410996</v>
      </c>
    </row>
    <row r="2471">
      <c r="I2471" t="n">
        <v>2410996</v>
      </c>
    </row>
    <row r="2472">
      <c r="I2472" t="n">
        <v>2410996</v>
      </c>
    </row>
    <row r="2473">
      <c r="I2473" t="n">
        <v>1938118</v>
      </c>
    </row>
    <row r="2474">
      <c r="I2474" t="n">
        <v>1938119</v>
      </c>
    </row>
    <row r="2475">
      <c r="I2475" t="n">
        <v>1938382</v>
      </c>
    </row>
    <row r="2476">
      <c r="I2476" t="n">
        <v>3617058</v>
      </c>
    </row>
    <row r="2477">
      <c r="I2477" t="n">
        <v>2417648</v>
      </c>
    </row>
    <row r="2478">
      <c r="I2478" t="n">
        <v>2429059</v>
      </c>
    </row>
    <row r="2479">
      <c r="I2479" t="n">
        <v>2429059</v>
      </c>
    </row>
    <row r="2480">
      <c r="I2480" t="n">
        <v>2429059</v>
      </c>
    </row>
    <row r="2481">
      <c r="I2481" t="n">
        <v>1938191</v>
      </c>
    </row>
    <row r="2482">
      <c r="I2482" t="n">
        <v>1938191</v>
      </c>
    </row>
    <row r="2483">
      <c r="I2483" t="n">
        <v>1938191</v>
      </c>
    </row>
    <row r="2484">
      <c r="I2484" t="n">
        <v>1938191</v>
      </c>
    </row>
    <row r="2485">
      <c r="I2485" t="n">
        <v>1938191</v>
      </c>
    </row>
    <row r="2486">
      <c r="I2486" t="n">
        <v>2359912</v>
      </c>
    </row>
    <row r="2487">
      <c r="I2487" t="n">
        <v>2359912</v>
      </c>
    </row>
    <row r="2488">
      <c r="I2488" t="n">
        <v>2359912</v>
      </c>
    </row>
    <row r="2489">
      <c r="I2489" t="n">
        <v>3940551</v>
      </c>
    </row>
    <row r="2490">
      <c r="I2490" t="n">
        <v>3940551</v>
      </c>
    </row>
    <row r="2491">
      <c r="I2491" t="n">
        <v>3746291</v>
      </c>
    </row>
    <row r="2492">
      <c r="I2492" t="n">
        <v>3746291</v>
      </c>
    </row>
    <row r="2493">
      <c r="I2493" t="n">
        <v>3228788</v>
      </c>
    </row>
    <row r="2494">
      <c r="I2494" t="n">
        <v>3781664</v>
      </c>
    </row>
    <row r="2495">
      <c r="I2495" t="n">
        <v>2396464</v>
      </c>
    </row>
    <row r="2496">
      <c r="I2496" t="n">
        <v>1940302</v>
      </c>
    </row>
    <row r="2497">
      <c r="I2497" t="n">
        <v>3507077</v>
      </c>
    </row>
    <row r="2498">
      <c r="I2498" t="n">
        <v>3507077</v>
      </c>
    </row>
    <row r="2499">
      <c r="I2499" t="n">
        <v>1939284</v>
      </c>
    </row>
    <row r="2500">
      <c r="I2500" t="n">
        <v>3722021</v>
      </c>
    </row>
    <row r="2501">
      <c r="I2501" t="n">
        <v>3781637</v>
      </c>
    </row>
    <row r="2502">
      <c r="I2502" t="n">
        <v>3781637</v>
      </c>
    </row>
    <row r="2503">
      <c r="I2503" t="n">
        <v>3781637</v>
      </c>
    </row>
    <row r="2504">
      <c r="I2504" t="n">
        <v>437147</v>
      </c>
    </row>
    <row r="2505">
      <c r="I2505" t="n">
        <v>437147</v>
      </c>
    </row>
    <row r="2506">
      <c r="I2506" t="n">
        <v>437147</v>
      </c>
    </row>
    <row r="2507">
      <c r="I2507" t="n">
        <v>437147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G2:R9"/>
  <sheetViews>
    <sheetView topLeftCell="A96" workbookViewId="0">
      <selection activeCell="H16" sqref="H16"/>
    </sheetView>
  </sheetViews>
  <sheetFormatPr baseColWidth="8" defaultRowHeight="15"/>
  <sheetData>
    <row r="2">
      <c r="G2" t="inlineStr">
        <is>
          <t>Connection</t>
        </is>
      </c>
      <c r="I2" t="inlineStr">
        <is>
          <t>Connection</t>
        </is>
      </c>
      <c r="K2" t="inlineStr">
        <is>
          <t>Connection</t>
        </is>
      </c>
      <c r="N2" t="inlineStr">
        <is>
          <t>Connection</t>
        </is>
      </c>
      <c r="P2" t="inlineStr">
        <is>
          <t>Connection</t>
        </is>
      </c>
      <c r="R2" t="inlineStr">
        <is>
          <t>Connection</t>
        </is>
      </c>
    </row>
    <row r="3">
      <c r="G3" t="inlineStr">
        <is>
          <t>Sales</t>
        </is>
      </c>
      <c r="I3" t="inlineStr">
        <is>
          <t>Stock</t>
        </is>
      </c>
      <c r="K3" t="inlineStr">
        <is>
          <t>Wip</t>
        </is>
      </c>
      <c r="N3" t="inlineStr">
        <is>
          <t>Sales</t>
        </is>
      </c>
      <c r="P3" t="inlineStr">
        <is>
          <t>Stock</t>
        </is>
      </c>
      <c r="R3" t="inlineStr">
        <is>
          <t>Wip</t>
        </is>
      </c>
    </row>
    <row r="5">
      <c r="I5" t="inlineStr">
        <is>
          <t>Append</t>
        </is>
      </c>
      <c r="P5" t="inlineStr">
        <is>
          <t>Append</t>
        </is>
      </c>
    </row>
    <row r="6">
      <c r="H6" t="inlineStr">
        <is>
          <t>Merge</t>
        </is>
      </c>
      <c r="I6" t="inlineStr">
        <is>
          <t>Customer</t>
        </is>
      </c>
      <c r="O6" t="inlineStr">
        <is>
          <t>Merge</t>
        </is>
      </c>
      <c r="P6" t="inlineStr">
        <is>
          <t>Material Codes</t>
        </is>
      </c>
    </row>
    <row r="9">
      <c r="G9" t="inlineStr">
        <is>
          <t>Table</t>
        </is>
      </c>
      <c r="I9" t="inlineStr">
        <is>
          <t>OEM_Key Different Customer</t>
        </is>
      </c>
      <c r="N9" t="inlineStr">
        <is>
          <t>Table</t>
        </is>
      </c>
      <c r="P9" t="inlineStr">
        <is>
          <t>Material Codes different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B1"/>
  <sheetViews>
    <sheetView workbookViewId="0">
      <selection activeCell="D6" sqref="D6"/>
    </sheetView>
  </sheetViews>
  <sheetFormatPr baseColWidth="8" defaultRowHeight="15"/>
  <cols>
    <col width="11.85546875" bestFit="1" customWidth="1" style="584" min="1" max="1"/>
    <col width="7.5703125" bestFit="1" customWidth="1" style="584" min="2" max="2"/>
  </cols>
  <sheetData>
    <row r="1">
      <c r="A1" t="inlineStr">
        <is>
          <t>Customer</t>
        </is>
      </c>
      <c r="B1" t="inlineStr">
        <is>
          <t>OEM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C162"/>
  <sheetViews>
    <sheetView workbookViewId="0">
      <selection activeCell="A5" sqref="A5"/>
    </sheetView>
  </sheetViews>
  <sheetFormatPr baseColWidth="8" defaultRowHeight="15"/>
  <cols>
    <col width="39" bestFit="1" customWidth="1" style="584" min="1" max="1"/>
  </cols>
  <sheetData>
    <row r="1">
      <c r="A1" s="28" t="inlineStr">
        <is>
          <t xml:space="preserve">Customer </t>
        </is>
      </c>
      <c r="B1" s="28" t="inlineStr">
        <is>
          <t>OEM</t>
        </is>
      </c>
      <c r="C1" t="inlineStr">
        <is>
          <t>CAM</t>
        </is>
      </c>
    </row>
    <row r="2">
      <c r="A2" s="28" t="inlineStr">
        <is>
          <t>A.R.Automotive And Engg Industries</t>
        </is>
      </c>
      <c r="B2" s="28" t="inlineStr">
        <is>
          <t>RE</t>
        </is>
      </c>
      <c r="C2" t="inlineStr">
        <is>
          <t>Abhishek</t>
        </is>
      </c>
    </row>
    <row r="3">
      <c r="A3" s="28" t="inlineStr">
        <is>
          <t>BALAJI INDUSTRIES</t>
        </is>
      </c>
      <c r="B3" s="28" t="inlineStr">
        <is>
          <t>HMSIL</t>
        </is>
      </c>
      <c r="C3" t="inlineStr">
        <is>
          <t>Abhishek</t>
        </is>
      </c>
    </row>
    <row r="4">
      <c r="A4" s="28" t="inlineStr">
        <is>
          <t>BALAJI PRESS PRODUCTS INDIA</t>
        </is>
      </c>
      <c r="B4" s="28" t="inlineStr">
        <is>
          <t>TVS</t>
        </is>
      </c>
      <c r="C4" t="inlineStr">
        <is>
          <t>Apoorv</t>
        </is>
      </c>
    </row>
    <row r="5">
      <c r="A5" s="28" t="inlineStr">
        <is>
          <t>BCC PIPES &amp; TUBES PRIVATE LIMITED</t>
        </is>
      </c>
      <c r="B5" s="28" t="inlineStr">
        <is>
          <t>GE</t>
        </is>
      </c>
      <c r="C5" t="inlineStr">
        <is>
          <t>Jitendra</t>
        </is>
      </c>
    </row>
    <row r="6">
      <c r="A6" s="28" t="inlineStr">
        <is>
          <t>BHARAT TUBES CORPORATION</t>
        </is>
      </c>
      <c r="B6" s="28" t="inlineStr">
        <is>
          <t>Boiler</t>
        </is>
      </c>
      <c r="C6" t="inlineStr">
        <is>
          <t>Jitendra</t>
        </is>
      </c>
    </row>
    <row r="7">
      <c r="A7" s="28" t="inlineStr">
        <is>
          <t>ELKAYEM AUTO ANCILLARIES (PVT) LTD.</t>
        </is>
      </c>
      <c r="B7" s="28" t="inlineStr">
        <is>
          <t>TVS</t>
        </is>
      </c>
      <c r="C7" t="inlineStr">
        <is>
          <t>Apoorv</t>
        </is>
      </c>
    </row>
    <row r="8">
      <c r="A8" s="28" t="inlineStr">
        <is>
          <t>ELKAYEM AUTO ANCILLARIES PRIVATE LI</t>
        </is>
      </c>
      <c r="B8" s="28" t="inlineStr">
        <is>
          <t>TVS</t>
        </is>
      </c>
      <c r="C8" t="inlineStr">
        <is>
          <t>Apoorv</t>
        </is>
      </c>
    </row>
    <row r="9">
      <c r="A9" s="28" t="inlineStr">
        <is>
          <t>ELKAYEM AUTO ANCILLARIES PVT LTD -U</t>
        </is>
      </c>
      <c r="B9" s="28" t="inlineStr">
        <is>
          <t>TVS</t>
        </is>
      </c>
      <c r="C9" t="inlineStr">
        <is>
          <t>Apoorv</t>
        </is>
      </c>
    </row>
    <row r="10">
      <c r="A10" s="28" t="inlineStr">
        <is>
          <t>GANESH INDUSTRAIL SUPPLIES</t>
        </is>
      </c>
      <c r="B10" s="28" t="inlineStr">
        <is>
          <t>Boiler</t>
        </is>
      </c>
      <c r="C10" t="inlineStr">
        <is>
          <t>Jitendra</t>
        </is>
      </c>
    </row>
    <row r="11">
      <c r="A11" s="28" t="inlineStr">
        <is>
          <t>Indo Autotech Limited (Unit V)</t>
        </is>
      </c>
      <c r="B11" s="28" t="inlineStr">
        <is>
          <t>HMSIL</t>
        </is>
      </c>
      <c r="C11" t="inlineStr">
        <is>
          <t>Abhishek</t>
        </is>
      </c>
    </row>
    <row r="12">
      <c r="A12" s="28" t="inlineStr">
        <is>
          <t>JBM AUTO LIMITED</t>
        </is>
      </c>
      <c r="B12" s="28" t="inlineStr">
        <is>
          <t>RE</t>
        </is>
      </c>
      <c r="C12" t="inlineStr">
        <is>
          <t>Abhishek</t>
        </is>
      </c>
    </row>
    <row r="13">
      <c r="A13" s="28" t="inlineStr">
        <is>
          <t>JK ENGINEERING WORKS</t>
        </is>
      </c>
      <c r="B13" s="28" t="inlineStr">
        <is>
          <t>RE</t>
        </is>
      </c>
      <c r="C13" t="inlineStr">
        <is>
          <t>Abhishek</t>
        </is>
      </c>
    </row>
    <row r="14">
      <c r="A14" s="28" t="inlineStr">
        <is>
          <t>Kay Jay Forgings Pvt Ltd Unit Vi</t>
        </is>
      </c>
      <c r="B14" s="28" t="inlineStr">
        <is>
          <t>TVS</t>
        </is>
      </c>
      <c r="C14" t="inlineStr">
        <is>
          <t>Apoorv</t>
        </is>
      </c>
    </row>
    <row r="15">
      <c r="A15" s="28" t="inlineStr">
        <is>
          <t>KNITVEL NEEDLES P LTD</t>
        </is>
      </c>
      <c r="B15" s="28" t="inlineStr">
        <is>
          <t>TVS</t>
        </is>
      </c>
      <c r="C15" t="inlineStr">
        <is>
          <t>Apoorv</t>
        </is>
      </c>
    </row>
    <row r="16">
      <c r="A16" s="28" t="inlineStr">
        <is>
          <t>KNITVEL NEEDLES PRIVATE LIMITED</t>
        </is>
      </c>
      <c r="B16" s="28" t="inlineStr">
        <is>
          <t>TVS</t>
        </is>
      </c>
      <c r="C16" t="inlineStr">
        <is>
          <t>Apoorv</t>
        </is>
      </c>
    </row>
    <row r="17">
      <c r="A17" s="28" t="inlineStr">
        <is>
          <t>LAXMI METAL PRESSING WORKS PVT LTD</t>
        </is>
      </c>
      <c r="B17" s="28" t="inlineStr">
        <is>
          <t>TVS</t>
        </is>
      </c>
      <c r="C17" t="inlineStr">
        <is>
          <t>Apoorv</t>
        </is>
      </c>
    </row>
    <row r="18">
      <c r="A18" s="28" t="inlineStr">
        <is>
          <t>LOCHANA INDUSTRIES</t>
        </is>
      </c>
      <c r="B18" s="28" t="inlineStr">
        <is>
          <t>Auction</t>
        </is>
      </c>
      <c r="C18" t="inlineStr">
        <is>
          <t>Jitendra</t>
        </is>
      </c>
    </row>
    <row r="19">
      <c r="A19" s="28" t="inlineStr">
        <is>
          <t>Marathwada Auto Compo Pvt. Ltd.</t>
        </is>
      </c>
      <c r="B19" s="28" t="inlineStr">
        <is>
          <t>TVS</t>
        </is>
      </c>
      <c r="C19" t="inlineStr">
        <is>
          <t>Apoorv</t>
        </is>
      </c>
    </row>
    <row r="20">
      <c r="A20" s="28" t="inlineStr">
        <is>
          <t>Maruthi Auto Components</t>
        </is>
      </c>
      <c r="B20" s="28" t="inlineStr">
        <is>
          <t>HMSIL</t>
        </is>
      </c>
      <c r="C20" t="inlineStr">
        <is>
          <t>Abhishek</t>
        </is>
      </c>
    </row>
    <row r="21">
      <c r="A21" s="28" t="inlineStr">
        <is>
          <t>MEGH STEELS PRIVATE LIMITED - HMSIL</t>
        </is>
      </c>
      <c r="B21" s="28" t="inlineStr">
        <is>
          <t>Direct</t>
        </is>
      </c>
      <c r="C21" t="inlineStr">
        <is>
          <t>Apoorv</t>
        </is>
      </c>
    </row>
    <row r="22">
      <c r="A22" s="28" t="inlineStr">
        <is>
          <t>MEGH STEELS PRIVATE LIMITED - RANE</t>
        </is>
      </c>
      <c r="B22" s="28" t="inlineStr">
        <is>
          <t>Rane</t>
        </is>
      </c>
      <c r="C22" t="inlineStr">
        <is>
          <t>Apoorv</t>
        </is>
      </c>
    </row>
    <row r="23">
      <c r="A23" s="28" t="inlineStr">
        <is>
          <t>MEGH STEELS PRIVATE LIMITED - RE</t>
        </is>
      </c>
      <c r="B23" s="28" t="inlineStr">
        <is>
          <t>Direct</t>
        </is>
      </c>
      <c r="C23" t="inlineStr">
        <is>
          <t>Apoorv</t>
        </is>
      </c>
    </row>
    <row r="24">
      <c r="A24" s="28" t="inlineStr">
        <is>
          <t>MEGH STEELS PRIVATE LIMITED - TVS A</t>
        </is>
      </c>
      <c r="B24" s="28" t="inlineStr">
        <is>
          <t>Direct</t>
        </is>
      </c>
      <c r="C24" t="inlineStr">
        <is>
          <t>Apoorv</t>
        </is>
      </c>
    </row>
    <row r="25">
      <c r="A25" s="28" t="inlineStr">
        <is>
          <t>METAL TECH ENGINEERS</t>
        </is>
      </c>
      <c r="B25" s="28" t="inlineStr">
        <is>
          <t>Boiler</t>
        </is>
      </c>
      <c r="C25" t="inlineStr">
        <is>
          <t>Jitendra</t>
        </is>
      </c>
    </row>
    <row r="26">
      <c r="A26" s="28" t="inlineStr">
        <is>
          <t>NAHARS ENGINEERING INDIA PRIVATE LI</t>
        </is>
      </c>
      <c r="B26" s="28" t="inlineStr">
        <is>
          <t>HMSIL</t>
        </is>
      </c>
      <c r="C26" t="inlineStr">
        <is>
          <t>Abhishek</t>
        </is>
      </c>
    </row>
    <row r="27">
      <c r="A27" s="28" t="inlineStr">
        <is>
          <t>Navaladian Engineering Industries</t>
        </is>
      </c>
      <c r="B27" s="28" t="inlineStr">
        <is>
          <t>RE</t>
        </is>
      </c>
      <c r="C27" t="inlineStr">
        <is>
          <t>Abhishek</t>
        </is>
      </c>
    </row>
    <row r="28">
      <c r="A28" s="28" t="inlineStr">
        <is>
          <t>NEEL METAL PRODUCTS LIMITED</t>
        </is>
      </c>
      <c r="B28" s="28" t="inlineStr">
        <is>
          <t>TVS</t>
        </is>
      </c>
      <c r="C28" t="inlineStr">
        <is>
          <t>Apoorv</t>
        </is>
      </c>
    </row>
    <row r="29">
      <c r="A29" s="28" t="inlineStr">
        <is>
          <t>Ragul Industries</t>
        </is>
      </c>
      <c r="B29" s="28" t="inlineStr">
        <is>
          <t>HMSIL</t>
        </is>
      </c>
      <c r="C29" t="inlineStr">
        <is>
          <t>Abhishek</t>
        </is>
      </c>
    </row>
    <row r="30">
      <c r="A30" s="28" t="inlineStr">
        <is>
          <t>RAJSRIYA AUTOMOTIVE IND. P LTD</t>
        </is>
      </c>
      <c r="B30" s="28" t="inlineStr">
        <is>
          <t>TVS</t>
        </is>
      </c>
      <c r="C30" t="inlineStr">
        <is>
          <t>Apoorv</t>
        </is>
      </c>
    </row>
    <row r="31">
      <c r="A31" s="28" t="inlineStr">
        <is>
          <t>Rajsriya Automotive Ind.P.Ltd Unit-</t>
        </is>
      </c>
      <c r="B31" s="28" t="inlineStr">
        <is>
          <t>TVS</t>
        </is>
      </c>
      <c r="C31" t="inlineStr">
        <is>
          <t>Apoorv</t>
        </is>
      </c>
    </row>
    <row r="32">
      <c r="A32" s="28" t="inlineStr">
        <is>
          <t>Rajsriya Automotive Industries</t>
        </is>
      </c>
      <c r="B32" s="28" t="inlineStr">
        <is>
          <t>TVS</t>
        </is>
      </c>
      <c r="C32" t="inlineStr">
        <is>
          <t>Apoorv</t>
        </is>
      </c>
    </row>
    <row r="33">
      <c r="A33" s="28" t="inlineStr">
        <is>
          <t>RAJSRIYA AUTOMOTIVE INDUSTRIES PVT</t>
        </is>
      </c>
      <c r="B33" s="28" t="inlineStr">
        <is>
          <t>TVS</t>
        </is>
      </c>
      <c r="C33" t="inlineStr">
        <is>
          <t>Apoorv</t>
        </is>
      </c>
    </row>
    <row r="34">
      <c r="A34" s="28" t="inlineStr">
        <is>
          <t>Rajsriya Automotive Industries(P)</t>
        </is>
      </c>
      <c r="B34" s="28" t="inlineStr">
        <is>
          <t>TVS</t>
        </is>
      </c>
      <c r="C34" t="inlineStr">
        <is>
          <t>Apoorv</t>
        </is>
      </c>
    </row>
    <row r="35">
      <c r="A35" s="28" t="inlineStr">
        <is>
          <t>Rucha Engineers Pvt Ltd.</t>
        </is>
      </c>
      <c r="B35" s="28" t="inlineStr">
        <is>
          <t>TVS</t>
        </is>
      </c>
      <c r="C35" t="inlineStr">
        <is>
          <t>Apoorv</t>
        </is>
      </c>
    </row>
    <row r="36">
      <c r="A36" s="28" t="inlineStr">
        <is>
          <t>Sadhan Tool Room (P) Ltd.</t>
        </is>
      </c>
      <c r="B36" s="28" t="inlineStr">
        <is>
          <t>RE</t>
        </is>
      </c>
      <c r="C36" t="inlineStr">
        <is>
          <t>Abhishek</t>
        </is>
      </c>
    </row>
    <row r="37">
      <c r="A37" s="28" t="inlineStr">
        <is>
          <t>SAKURA AUTOPARTS INDIA PRIVATE LIMI</t>
        </is>
      </c>
      <c r="B37" s="28" t="inlineStr">
        <is>
          <t>RE</t>
        </is>
      </c>
      <c r="C37" t="inlineStr">
        <is>
          <t>Abhishek</t>
        </is>
      </c>
    </row>
    <row r="38">
      <c r="A38" s="28" t="inlineStr">
        <is>
          <t>SANDHAR ENGINEERING PVT LTD.(KA) -U</t>
        </is>
      </c>
      <c r="B38" s="28" t="inlineStr">
        <is>
          <t>TVS</t>
        </is>
      </c>
      <c r="C38" t="inlineStr">
        <is>
          <t>Apoorv</t>
        </is>
      </c>
    </row>
    <row r="39">
      <c r="A39" s="28" t="inlineStr">
        <is>
          <t>Sandhar EngineeringPvt.Ltd.(KA)-Uni</t>
        </is>
      </c>
      <c r="B39" s="28" t="inlineStr">
        <is>
          <t>TVS</t>
        </is>
      </c>
      <c r="C39" t="inlineStr">
        <is>
          <t>Apoorv</t>
        </is>
      </c>
    </row>
    <row r="40">
      <c r="A40" s="28" t="inlineStr">
        <is>
          <t>Sandhar Technologies (KA)–Unit-III</t>
        </is>
      </c>
      <c r="B40" s="28" t="inlineStr">
        <is>
          <t>TVS</t>
        </is>
      </c>
      <c r="C40" t="inlineStr">
        <is>
          <t>Apoorv</t>
        </is>
      </c>
    </row>
    <row r="41">
      <c r="A41" s="28" t="inlineStr">
        <is>
          <t>Shetdass Engineers (P) Ltd.</t>
        </is>
      </c>
      <c r="B41" s="28" t="inlineStr">
        <is>
          <t>RE</t>
        </is>
      </c>
      <c r="C41" t="inlineStr">
        <is>
          <t>Abhishek</t>
        </is>
      </c>
    </row>
    <row r="42">
      <c r="A42" s="28" t="inlineStr">
        <is>
          <t>SHREE SIVAM ENTERPRISES</t>
        </is>
      </c>
      <c r="B42" s="28" t="inlineStr">
        <is>
          <t>Auction</t>
        </is>
      </c>
      <c r="C42" t="inlineStr">
        <is>
          <t>Jitendra</t>
        </is>
      </c>
    </row>
    <row r="43">
      <c r="A43" s="28" t="inlineStr">
        <is>
          <t>Skb Industries</t>
        </is>
      </c>
      <c r="B43" s="28" t="inlineStr">
        <is>
          <t>RE</t>
        </is>
      </c>
      <c r="C43" t="inlineStr">
        <is>
          <t>Abhishek</t>
        </is>
      </c>
    </row>
    <row r="44">
      <c r="A44" s="28" t="inlineStr">
        <is>
          <t>SM EXHAUST TECHNOLOGY PVT LTD</t>
        </is>
      </c>
      <c r="B44" s="28" t="inlineStr">
        <is>
          <t>RE</t>
        </is>
      </c>
      <c r="C44" t="inlineStr">
        <is>
          <t>Abhishek</t>
        </is>
      </c>
    </row>
    <row r="45">
      <c r="A45" s="28" t="inlineStr">
        <is>
          <t>SREE VENKATESWARA ENTERPRISES</t>
        </is>
      </c>
      <c r="B45" s="28" t="inlineStr">
        <is>
          <t>GE</t>
        </is>
      </c>
      <c r="C45" t="inlineStr">
        <is>
          <t>Jitendra</t>
        </is>
      </c>
    </row>
    <row r="46">
      <c r="A46" s="28" t="inlineStr">
        <is>
          <t>Sri Balaji Gears</t>
        </is>
      </c>
      <c r="B46" s="28" t="inlineStr">
        <is>
          <t>TVS</t>
        </is>
      </c>
      <c r="C46" t="inlineStr">
        <is>
          <t>Apoorv</t>
        </is>
      </c>
    </row>
    <row r="47">
      <c r="A47" s="28" t="inlineStr">
        <is>
          <t>SRIKAM HITECH ENGINEERING PRIVATE L</t>
        </is>
      </c>
      <c r="B47" s="28" t="inlineStr">
        <is>
          <t>TVS</t>
        </is>
      </c>
      <c r="C47" t="inlineStr">
        <is>
          <t>Apoorv</t>
        </is>
      </c>
    </row>
    <row r="48">
      <c r="A48" s="28" t="inlineStr">
        <is>
          <t>Star Engineering Works</t>
        </is>
      </c>
      <c r="B48" s="28" t="inlineStr">
        <is>
          <t>HMSIL</t>
        </is>
      </c>
      <c r="C48" t="inlineStr">
        <is>
          <t>Abhishek</t>
        </is>
      </c>
    </row>
    <row r="49">
      <c r="A49" s="28" t="inlineStr">
        <is>
          <t>Surya Steels</t>
        </is>
      </c>
      <c r="B49" s="28" t="inlineStr">
        <is>
          <t>GE</t>
        </is>
      </c>
      <c r="C49" t="inlineStr">
        <is>
          <t>Jitendra</t>
        </is>
      </c>
    </row>
    <row r="50">
      <c r="A50" s="28" t="inlineStr">
        <is>
          <t>TECHNICO INDUSTRIES LIMITED</t>
        </is>
      </c>
      <c r="B50" s="28" t="inlineStr">
        <is>
          <t>RE</t>
        </is>
      </c>
      <c r="C50" t="inlineStr">
        <is>
          <t>Abhishek</t>
        </is>
      </c>
    </row>
    <row r="51">
      <c r="A51" s="28" t="inlineStr">
        <is>
          <t>Thai Summit Autoparts India Pvt Ltd</t>
        </is>
      </c>
      <c r="B51" s="28" t="inlineStr">
        <is>
          <t>RE</t>
        </is>
      </c>
      <c r="C51" t="inlineStr">
        <is>
          <t>Abhishek</t>
        </is>
      </c>
    </row>
    <row r="52">
      <c r="A52" s="28" t="inlineStr">
        <is>
          <t>Thirupathi Industries</t>
        </is>
      </c>
      <c r="B52" s="28" t="inlineStr">
        <is>
          <t>RE</t>
        </is>
      </c>
      <c r="C52" t="inlineStr">
        <is>
          <t>Abhishek</t>
        </is>
      </c>
    </row>
    <row r="53">
      <c r="A53" s="28" t="inlineStr">
        <is>
          <t>Ttp Technologies Private Ltd</t>
        </is>
      </c>
      <c r="B53" s="28" t="inlineStr">
        <is>
          <t>GE</t>
        </is>
      </c>
      <c r="C53" t="inlineStr">
        <is>
          <t>Jitendra</t>
        </is>
      </c>
    </row>
    <row r="54">
      <c r="A54" s="28" t="inlineStr">
        <is>
          <t>TUBE INVESTMENTS OF INDIA LIMITED</t>
        </is>
      </c>
      <c r="B54" s="28" t="inlineStr">
        <is>
          <t>RE</t>
        </is>
      </c>
      <c r="C54" t="inlineStr">
        <is>
          <t>Abhishek</t>
        </is>
      </c>
    </row>
    <row r="55">
      <c r="A55" s="28" t="inlineStr">
        <is>
          <t>U M A Industries</t>
        </is>
      </c>
      <c r="B55" s="28" t="inlineStr">
        <is>
          <t>HMSIL</t>
        </is>
      </c>
      <c r="C55" t="inlineStr">
        <is>
          <t>Abhishek</t>
        </is>
      </c>
    </row>
    <row r="56">
      <c r="A56" s="28" t="inlineStr">
        <is>
          <t>YOSHIKA ENGINEERING PVT LTD</t>
        </is>
      </c>
      <c r="B56" s="28" t="inlineStr">
        <is>
          <t>RE</t>
        </is>
      </c>
      <c r="C56" t="inlineStr">
        <is>
          <t>Abhishek</t>
        </is>
      </c>
    </row>
    <row r="57">
      <c r="A57" s="414" t="inlineStr">
        <is>
          <t>Narasipur Auto Component(P)Ltd</t>
        </is>
      </c>
      <c r="B57" s="28" t="inlineStr">
        <is>
          <t>TVS</t>
        </is>
      </c>
      <c r="C57" t="inlineStr">
        <is>
          <t>Apoorv</t>
        </is>
      </c>
    </row>
    <row r="58">
      <c r="A58" s="28" t="inlineStr">
        <is>
          <t>Rajsriya Automotive Ind Pvt Ltd.</t>
        </is>
      </c>
      <c r="B58" s="28" t="inlineStr">
        <is>
          <t>TVS</t>
        </is>
      </c>
      <c r="C58" t="inlineStr">
        <is>
          <t>Apoorv</t>
        </is>
      </c>
    </row>
    <row r="59">
      <c r="A59" s="28" t="inlineStr">
        <is>
          <t>Allied Industries (India)</t>
        </is>
      </c>
      <c r="B59" s="28" t="inlineStr">
        <is>
          <t>Others</t>
        </is>
      </c>
      <c r="C59" t="inlineStr">
        <is>
          <t>other</t>
        </is>
      </c>
    </row>
    <row r="60">
      <c r="A60" s="28" t="inlineStr">
        <is>
          <t>FREE STOCK</t>
        </is>
      </c>
      <c r="B60" s="28" t="inlineStr">
        <is>
          <t>FREE</t>
        </is>
      </c>
      <c r="C60" t="inlineStr">
        <is>
          <t>other</t>
        </is>
      </c>
    </row>
    <row r="61">
      <c r="A61" s="28" t="inlineStr">
        <is>
          <t>Rajsriya Automotive Ind. Pvt Ltd</t>
        </is>
      </c>
      <c r="B61" s="28" t="inlineStr">
        <is>
          <t>TVS</t>
        </is>
      </c>
      <c r="C61" t="inlineStr">
        <is>
          <t>Apoorv</t>
        </is>
      </c>
    </row>
    <row r="62">
      <c r="A62" s="28" t="inlineStr">
        <is>
          <t>Krishna Industries</t>
        </is>
      </c>
      <c r="B62" s="28" t="inlineStr">
        <is>
          <t>others</t>
        </is>
      </c>
      <c r="C62" t="inlineStr">
        <is>
          <t>other</t>
        </is>
      </c>
    </row>
    <row r="63">
      <c r="A63" s="28" t="inlineStr">
        <is>
          <t>NALANDA INDUSTRIAL CORPOR</t>
        </is>
      </c>
      <c r="B63" s="28" t="inlineStr">
        <is>
          <t>others</t>
        </is>
      </c>
      <c r="C63" t="inlineStr">
        <is>
          <t>other</t>
        </is>
      </c>
    </row>
    <row r="64">
      <c r="A64" s="28" t="inlineStr">
        <is>
          <t>Hi-Esteem Auto Komponents Pvt Ltd</t>
        </is>
      </c>
      <c r="B64" s="28" t="inlineStr">
        <is>
          <t>Others</t>
        </is>
      </c>
      <c r="C64" t="inlineStr">
        <is>
          <t>Apoorv</t>
        </is>
      </c>
    </row>
    <row r="65">
      <c r="A65" s="28" t="inlineStr">
        <is>
          <t>BALAJI GEARS</t>
        </is>
      </c>
      <c r="B65" s="28" t="inlineStr">
        <is>
          <t>TVS</t>
        </is>
      </c>
      <c r="C65" t="inlineStr">
        <is>
          <t>Apoorv</t>
        </is>
      </c>
    </row>
    <row r="66">
      <c r="A66" s="28" t="inlineStr">
        <is>
          <t>ELKAYEM AUTO ANCILLARIES PVT LTD</t>
        </is>
      </c>
      <c r="B66" s="28" t="inlineStr">
        <is>
          <t>TVS</t>
        </is>
      </c>
      <c r="C66" t="inlineStr">
        <is>
          <t>Apoorv</t>
        </is>
      </c>
    </row>
    <row r="67">
      <c r="A67" s="28" t="inlineStr">
        <is>
          <t>ROYAL ENFIELD</t>
        </is>
      </c>
      <c r="B67" s="28" t="inlineStr">
        <is>
          <t>RE</t>
        </is>
      </c>
      <c r="C67" t="inlineStr">
        <is>
          <t>Abhishek</t>
        </is>
      </c>
    </row>
    <row r="68">
      <c r="A68" s="28" t="inlineStr">
        <is>
          <t>HI-TECH INDUSTRIES</t>
        </is>
      </c>
      <c r="B68" s="28" t="inlineStr">
        <is>
          <t>TVS</t>
        </is>
      </c>
      <c r="C68" t="inlineStr">
        <is>
          <t>Apoorv</t>
        </is>
      </c>
    </row>
    <row r="69">
      <c r="A69" s="28" t="inlineStr">
        <is>
          <t>K P ENGINEERING</t>
        </is>
      </c>
      <c r="B69" s="28" t="inlineStr">
        <is>
          <t>others</t>
        </is>
      </c>
      <c r="C69" t="inlineStr">
        <is>
          <t>other</t>
        </is>
      </c>
    </row>
    <row r="70">
      <c r="A70" s="28" t="inlineStr">
        <is>
          <t>HI-ESTEEM AUTO KOMPONENTS PRIVATE L</t>
        </is>
      </c>
      <c r="B70" s="28" t="inlineStr">
        <is>
          <t>Others</t>
        </is>
      </c>
      <c r="C70" t="inlineStr">
        <is>
          <t>Apoorv</t>
        </is>
      </c>
    </row>
    <row r="71">
      <c r="A71" s="28" t="inlineStr">
        <is>
          <t>M.S.K. Enterprises</t>
        </is>
      </c>
      <c r="B71" s="28" t="inlineStr">
        <is>
          <t>others</t>
        </is>
      </c>
      <c r="C71" t="inlineStr">
        <is>
          <t>other</t>
        </is>
      </c>
    </row>
    <row r="72">
      <c r="A72" s="28" t="inlineStr">
        <is>
          <t>NASH INDUSTRIES (I) PVT LTD</t>
        </is>
      </c>
      <c r="B72" s="28" t="inlineStr">
        <is>
          <t>others</t>
        </is>
      </c>
      <c r="C72" t="inlineStr">
        <is>
          <t>other</t>
        </is>
      </c>
    </row>
    <row r="73">
      <c r="A73" s="28" t="inlineStr">
        <is>
          <t>Sandhar Automach</t>
        </is>
      </c>
      <c r="B73" s="28" t="inlineStr">
        <is>
          <t>TVS</t>
        </is>
      </c>
      <c r="C73" t="inlineStr">
        <is>
          <t>Apoorv</t>
        </is>
      </c>
    </row>
    <row r="74">
      <c r="A74" s="28" t="inlineStr">
        <is>
          <t>INDO AUTO</t>
        </is>
      </c>
      <c r="B74" s="28" t="inlineStr">
        <is>
          <t>HMSIL</t>
        </is>
      </c>
      <c r="C74" t="inlineStr">
        <is>
          <t>Abhishek</t>
        </is>
      </c>
    </row>
    <row r="75">
      <c r="A75" s="28" t="inlineStr">
        <is>
          <t>MEGH STEELS PRIVATE LIMITED</t>
        </is>
      </c>
      <c r="B75" s="28" t="inlineStr">
        <is>
          <t>Direct</t>
        </is>
      </c>
      <c r="C75" t="inlineStr">
        <is>
          <t>Apoorv</t>
        </is>
      </c>
    </row>
    <row r="76">
      <c r="A76" s="28" t="inlineStr">
        <is>
          <t>Tushar Steel Traders</t>
        </is>
      </c>
      <c r="B76" s="28" t="inlineStr">
        <is>
          <t>Others</t>
        </is>
      </c>
      <c r="C76" t="inlineStr">
        <is>
          <t>other</t>
        </is>
      </c>
    </row>
    <row r="77">
      <c r="A77" s="28" t="inlineStr">
        <is>
          <t>SANDHAR ENGINEERING PVT LTD.</t>
        </is>
      </c>
      <c r="B77" s="28" t="inlineStr">
        <is>
          <t>TVS</t>
        </is>
      </c>
      <c r="C77" t="inlineStr">
        <is>
          <t>Apoorv</t>
        </is>
      </c>
    </row>
    <row r="78">
      <c r="A78" s="28" t="inlineStr">
        <is>
          <t>ALF ENGINEERING PRIVATE LIMITED</t>
        </is>
      </c>
      <c r="B78" s="28" t="inlineStr">
        <is>
          <t>Alf</t>
        </is>
      </c>
      <c r="C78" t="inlineStr">
        <is>
          <t>Apoorv</t>
        </is>
      </c>
    </row>
    <row r="79">
      <c r="A79" s="28" t="inlineStr">
        <is>
          <t>C.S.K.Tube Corporation</t>
        </is>
      </c>
      <c r="B79" s="28" t="inlineStr">
        <is>
          <t>Others</t>
        </is>
      </c>
      <c r="C79" t="inlineStr">
        <is>
          <t>other</t>
        </is>
      </c>
    </row>
    <row r="80">
      <c r="A80" s="28" t="inlineStr">
        <is>
          <t>Shri Durga Steel Tubes</t>
        </is>
      </c>
      <c r="B80" s="28" t="inlineStr">
        <is>
          <t>Others</t>
        </is>
      </c>
      <c r="C80" t="inlineStr">
        <is>
          <t>other</t>
        </is>
      </c>
    </row>
    <row r="81">
      <c r="A81" s="28" t="inlineStr">
        <is>
          <t>Elkayem Auto Ancillaries ( P ) LTD</t>
        </is>
      </c>
      <c r="B81" s="28" t="inlineStr">
        <is>
          <t>TVS</t>
        </is>
      </c>
      <c r="C81" t="inlineStr">
        <is>
          <t>Apoorv</t>
        </is>
      </c>
    </row>
    <row r="82">
      <c r="A82" s="28" t="inlineStr">
        <is>
          <t>TELUGUNADU STEELS PVT LTD</t>
        </is>
      </c>
      <c r="B82" s="28" t="inlineStr">
        <is>
          <t>Others</t>
        </is>
      </c>
      <c r="C82" t="inlineStr">
        <is>
          <t>other</t>
        </is>
      </c>
    </row>
    <row r="83">
      <c r="A83" s="28" t="inlineStr">
        <is>
          <t>Tenneco Automotive India Pvt Ltd.</t>
        </is>
      </c>
      <c r="B83" s="28" t="inlineStr">
        <is>
          <t>Others</t>
        </is>
      </c>
      <c r="C83" t="inlineStr">
        <is>
          <t>other</t>
        </is>
      </c>
    </row>
    <row r="84">
      <c r="A84" s="28" t="inlineStr">
        <is>
          <t>THAI SUMMIT</t>
        </is>
      </c>
      <c r="B84" s="28" t="inlineStr">
        <is>
          <t>Others</t>
        </is>
      </c>
      <c r="C84" t="inlineStr">
        <is>
          <t>other</t>
        </is>
      </c>
    </row>
    <row r="85">
      <c r="A85" s="28" t="inlineStr">
        <is>
          <t>NARASIPUR AUTO</t>
        </is>
      </c>
      <c r="B85" s="28" t="inlineStr">
        <is>
          <t>Others</t>
        </is>
      </c>
      <c r="C85" t="inlineStr">
        <is>
          <t>other</t>
        </is>
      </c>
    </row>
    <row r="86">
      <c r="A86" s="28" t="inlineStr">
        <is>
          <t>kaYJAY FORGING</t>
        </is>
      </c>
      <c r="B86" s="28" t="inlineStr">
        <is>
          <t>TVS</t>
        </is>
      </c>
      <c r="C86" t="inlineStr">
        <is>
          <t>Apoorv</t>
        </is>
      </c>
    </row>
    <row r="87">
      <c r="A87" s="28" t="inlineStr">
        <is>
          <t>SHETDASS ENGG</t>
        </is>
      </c>
      <c r="B87" s="28" t="inlineStr">
        <is>
          <t>Others</t>
        </is>
      </c>
      <c r="C87" t="inlineStr">
        <is>
          <t>other</t>
        </is>
      </c>
    </row>
    <row r="88">
      <c r="A88" s="28" t="inlineStr">
        <is>
          <t>Indo AutoTech</t>
        </is>
      </c>
      <c r="B88" s="28" t="inlineStr">
        <is>
          <t>HMSIL</t>
        </is>
      </c>
      <c r="C88" t="inlineStr">
        <is>
          <t>Abhishek</t>
        </is>
      </c>
    </row>
    <row r="89">
      <c r="A89" s="28" t="inlineStr">
        <is>
          <t>MEGH STEELS PVT LTD - TVS</t>
        </is>
      </c>
      <c r="B89" s="28" t="inlineStr">
        <is>
          <t>Direct</t>
        </is>
      </c>
      <c r="C89" t="inlineStr">
        <is>
          <t>Apoorv</t>
        </is>
      </c>
    </row>
    <row r="90">
      <c r="A90" s="28" t="inlineStr">
        <is>
          <t>KAYJAY FORGING/ NARASIPUR AUTO</t>
        </is>
      </c>
      <c r="B90" s="28" t="inlineStr">
        <is>
          <t>TVS</t>
        </is>
      </c>
      <c r="C90" t="inlineStr">
        <is>
          <t>Apoorv</t>
        </is>
      </c>
    </row>
    <row r="91">
      <c r="A91" s="28" t="inlineStr">
        <is>
          <t>HITECH/METALMAN</t>
        </is>
      </c>
      <c r="B91" s="28" t="inlineStr">
        <is>
          <t>TVS</t>
        </is>
      </c>
      <c r="C91" t="inlineStr">
        <is>
          <t>Apoorv</t>
        </is>
      </c>
    </row>
    <row r="92">
      <c r="A92" s="28" t="inlineStr">
        <is>
          <t>METALMAN</t>
        </is>
      </c>
      <c r="B92" s="28" t="inlineStr">
        <is>
          <t>TVS</t>
        </is>
      </c>
      <c r="C92" t="inlineStr">
        <is>
          <t>Apoorv</t>
        </is>
      </c>
    </row>
    <row r="93">
      <c r="A93" s="28" t="inlineStr">
        <is>
          <t>JBM AUTO</t>
        </is>
      </c>
      <c r="B93" s="28" t="inlineStr">
        <is>
          <t>Others</t>
        </is>
      </c>
      <c r="C93" t="inlineStr">
        <is>
          <t>other</t>
        </is>
      </c>
    </row>
    <row r="94">
      <c r="A94" s="28" t="inlineStr">
        <is>
          <t>KNITVEL</t>
        </is>
      </c>
      <c r="B94" s="28" t="inlineStr">
        <is>
          <t>TVS</t>
        </is>
      </c>
      <c r="C94" t="inlineStr">
        <is>
          <t>Apoorv</t>
        </is>
      </c>
    </row>
    <row r="95">
      <c r="A95" s="28" t="inlineStr">
        <is>
          <t>ether</t>
        </is>
      </c>
      <c r="B95" s="28" t="inlineStr">
        <is>
          <t>Others</t>
        </is>
      </c>
      <c r="C95" t="inlineStr">
        <is>
          <t>other</t>
        </is>
      </c>
    </row>
    <row r="96">
      <c r="A96" s="28" t="inlineStr">
        <is>
          <t>RUCHA</t>
        </is>
      </c>
      <c r="B96" s="28" t="inlineStr">
        <is>
          <t>TVS</t>
        </is>
      </c>
      <c r="C96" t="inlineStr">
        <is>
          <t>Apoorv</t>
        </is>
      </c>
    </row>
    <row r="97">
      <c r="A97" s="28" t="inlineStr">
        <is>
          <t>SHIVAM PRIME STEELS PRIVATE LIMITED</t>
        </is>
      </c>
      <c r="B97" s="63" t="inlineStr">
        <is>
          <t>GE</t>
        </is>
      </c>
      <c r="C97" t="inlineStr">
        <is>
          <t>Jitendra</t>
        </is>
      </c>
    </row>
    <row r="98">
      <c r="A98" s="28" t="inlineStr">
        <is>
          <t>SICAGEN INDIA LIMITED</t>
        </is>
      </c>
      <c r="B98" s="63" t="inlineStr">
        <is>
          <t>GE</t>
        </is>
      </c>
      <c r="C98" t="inlineStr">
        <is>
          <t>Jitendra</t>
        </is>
      </c>
    </row>
    <row r="99">
      <c r="A99" s="28" t="inlineStr">
        <is>
          <t>P E ENGINEERS PVT LIMITED</t>
        </is>
      </c>
      <c r="B99" s="63" t="inlineStr">
        <is>
          <t>GE</t>
        </is>
      </c>
      <c r="C99" t="inlineStr">
        <is>
          <t>Jitendra</t>
        </is>
      </c>
    </row>
    <row r="100">
      <c r="A100" s="28" t="inlineStr">
        <is>
          <t>V.R.Steel Traders</t>
        </is>
      </c>
      <c r="B100" s="28" t="inlineStr">
        <is>
          <t>Auction</t>
        </is>
      </c>
      <c r="C100" t="inlineStr">
        <is>
          <t>Jitendra</t>
        </is>
      </c>
    </row>
    <row r="101">
      <c r="A101" s="28" t="inlineStr">
        <is>
          <t>Vardhman Tube Industries</t>
        </is>
      </c>
      <c r="B101" s="28" t="inlineStr">
        <is>
          <t>Auction</t>
        </is>
      </c>
      <c r="C101" t="inlineStr">
        <is>
          <t>Jitendra</t>
        </is>
      </c>
    </row>
    <row r="102">
      <c r="A102" s="106" t="inlineStr">
        <is>
          <t>JAICO TUBES CORPORATION- BAN</t>
        </is>
      </c>
      <c r="B102" s="63" t="inlineStr">
        <is>
          <t>GE</t>
        </is>
      </c>
      <c r="C102" t="inlineStr">
        <is>
          <t>Jitendra</t>
        </is>
      </c>
    </row>
    <row r="103">
      <c r="A103" s="28" t="inlineStr">
        <is>
          <t>PAMS ENGINEERING</t>
        </is>
      </c>
      <c r="B103" s="63" t="inlineStr">
        <is>
          <t>Others</t>
        </is>
      </c>
      <c r="C103" t="inlineStr">
        <is>
          <t>Apoorv</t>
        </is>
      </c>
    </row>
    <row r="104">
      <c r="A104" s="56" t="inlineStr">
        <is>
          <t>TRANSIT STOCK</t>
        </is>
      </c>
      <c r="B104" s="63" t="inlineStr">
        <is>
          <t>Transit</t>
        </is>
      </c>
      <c r="C104" t="inlineStr">
        <is>
          <t>other</t>
        </is>
      </c>
    </row>
    <row r="105">
      <c r="A105" s="28" t="inlineStr">
        <is>
          <t>OWERE PRECISION</t>
        </is>
      </c>
      <c r="B105" s="63" t="inlineStr">
        <is>
          <t>Others</t>
        </is>
      </c>
      <c r="C105" t="inlineStr">
        <is>
          <t>other</t>
        </is>
      </c>
    </row>
    <row r="106">
      <c r="A106" s="28" t="inlineStr">
        <is>
          <t>SANDHAR TECHNOLOGIESPvt.Ltd.(KA)Uni</t>
        </is>
      </c>
      <c r="B106" s="63" t="inlineStr">
        <is>
          <t>TVS</t>
        </is>
      </c>
      <c r="C106" t="inlineStr">
        <is>
          <t>Apoorv</t>
        </is>
      </c>
    </row>
    <row r="107">
      <c r="A107" s="28" t="inlineStr">
        <is>
          <t>GOLDEN INDUSTRIES</t>
        </is>
      </c>
      <c r="B107" s="63" t="inlineStr">
        <is>
          <t>Others</t>
        </is>
      </c>
      <c r="C107" t="inlineStr">
        <is>
          <t>other</t>
        </is>
      </c>
    </row>
    <row r="108">
      <c r="A108" s="28" t="inlineStr">
        <is>
          <t>SANDHAR ENGINEERING PRIVATE LIMITED</t>
        </is>
      </c>
      <c r="B108" s="63" t="inlineStr">
        <is>
          <t>TVS</t>
        </is>
      </c>
      <c r="C108" t="inlineStr">
        <is>
          <t>Apoorv</t>
        </is>
      </c>
    </row>
    <row r="109">
      <c r="A109" s="28" t="inlineStr">
        <is>
          <t>BENDTECH INDUSTRIES</t>
        </is>
      </c>
      <c r="B109" s="63" t="inlineStr">
        <is>
          <t>Others</t>
        </is>
      </c>
      <c r="C109" t="inlineStr">
        <is>
          <t>other</t>
        </is>
      </c>
    </row>
    <row r="110">
      <c r="A110" s="28" t="inlineStr">
        <is>
          <t>DEVI DASS &amp; SONS</t>
        </is>
      </c>
      <c r="B110" s="63" t="inlineStr">
        <is>
          <t>Others</t>
        </is>
      </c>
      <c r="C110" t="inlineStr">
        <is>
          <t>other</t>
        </is>
      </c>
    </row>
    <row r="111">
      <c r="A111" s="28" t="inlineStr">
        <is>
          <t>A.V.M. TUBE CO.</t>
        </is>
      </c>
      <c r="B111" s="28" t="inlineStr">
        <is>
          <t>Auction</t>
        </is>
      </c>
      <c r="C111" t="inlineStr">
        <is>
          <t>Jitendra</t>
        </is>
      </c>
    </row>
    <row r="112">
      <c r="A112" s="28" t="inlineStr">
        <is>
          <t>SGR TRADING COMPANY</t>
        </is>
      </c>
      <c r="B112" s="63" t="inlineStr">
        <is>
          <t>Others</t>
        </is>
      </c>
      <c r="C112" t="inlineStr">
        <is>
          <t>other</t>
        </is>
      </c>
    </row>
    <row r="113">
      <c r="A113" s="28" t="inlineStr">
        <is>
          <t>Golas Steel Tubes</t>
        </is>
      </c>
      <c r="B113" s="63" t="inlineStr">
        <is>
          <t>Others</t>
        </is>
      </c>
      <c r="C113" t="inlineStr">
        <is>
          <t>other</t>
        </is>
      </c>
    </row>
    <row r="114">
      <c r="A114" s="28" t="inlineStr">
        <is>
          <t>Garg Steel Centre</t>
        </is>
      </c>
      <c r="B114" s="63" t="inlineStr">
        <is>
          <t>Others</t>
        </is>
      </c>
      <c r="C114" t="inlineStr">
        <is>
          <t>other</t>
        </is>
      </c>
    </row>
    <row r="115">
      <c r="A115" s="28" t="inlineStr">
        <is>
          <t>SATHYA METAL PROCESS</t>
        </is>
      </c>
      <c r="B115" s="63" t="inlineStr">
        <is>
          <t>Others</t>
        </is>
      </c>
      <c r="C115" t="inlineStr">
        <is>
          <t>other</t>
        </is>
      </c>
    </row>
    <row r="116">
      <c r="A116" s="28" t="inlineStr">
        <is>
          <t>GALAXY STEELS</t>
        </is>
      </c>
      <c r="B116" s="63" t="inlineStr">
        <is>
          <t>Others</t>
        </is>
      </c>
      <c r="C116" t="inlineStr">
        <is>
          <t>other</t>
        </is>
      </c>
    </row>
    <row r="117">
      <c r="A117" s="28" t="inlineStr">
        <is>
          <t>NA  STEELS AND SCRAPS</t>
        </is>
      </c>
      <c r="B117" s="63" t="inlineStr">
        <is>
          <t>Others</t>
        </is>
      </c>
      <c r="C117" t="inlineStr">
        <is>
          <t>other</t>
        </is>
      </c>
    </row>
    <row r="118">
      <c r="A118" s="28" t="inlineStr">
        <is>
          <t>FIRETECH BOILERS PRIVATE LIMITED</t>
        </is>
      </c>
      <c r="B118" s="63" t="inlineStr">
        <is>
          <t>Others</t>
        </is>
      </c>
      <c r="C118" t="inlineStr">
        <is>
          <t>other</t>
        </is>
      </c>
    </row>
    <row r="119">
      <c r="A119" s="28" t="inlineStr">
        <is>
          <t>Garuda Pipes Private Limited</t>
        </is>
      </c>
      <c r="B119" s="63" t="inlineStr">
        <is>
          <t>Others</t>
        </is>
      </c>
      <c r="C119" t="inlineStr">
        <is>
          <t>other</t>
        </is>
      </c>
    </row>
    <row r="120">
      <c r="A120" s="28" t="inlineStr">
        <is>
          <t>M/S.TVS MOTOR COMPANY LIMITED</t>
        </is>
      </c>
      <c r="B120" s="63" t="inlineStr">
        <is>
          <t>TVS</t>
        </is>
      </c>
      <c r="C120" t="inlineStr">
        <is>
          <t>Apoorv</t>
        </is>
      </c>
    </row>
    <row r="121">
      <c r="A121" s="28" t="inlineStr">
        <is>
          <t>Owari Preecision Products (India)</t>
        </is>
      </c>
      <c r="B121" s="63" t="inlineStr">
        <is>
          <t>Others</t>
        </is>
      </c>
      <c r="C121" t="inlineStr">
        <is>
          <t>Apoorv</t>
        </is>
      </c>
    </row>
    <row r="122">
      <c r="A122" s="28" t="inlineStr">
        <is>
          <t>VISHAL ENTERPRISES</t>
        </is>
      </c>
      <c r="B122" s="63" t="inlineStr">
        <is>
          <t>Others</t>
        </is>
      </c>
      <c r="C122" t="inlineStr">
        <is>
          <t>other</t>
        </is>
      </c>
    </row>
    <row r="123">
      <c r="A123" s="28" t="inlineStr">
        <is>
          <t>FIRETECH INDUSTRIES</t>
        </is>
      </c>
      <c r="B123" s="63" t="inlineStr">
        <is>
          <t>Others</t>
        </is>
      </c>
      <c r="C123" t="inlineStr">
        <is>
          <t>other</t>
        </is>
      </c>
    </row>
    <row r="124">
      <c r="A124" s="28" t="inlineStr">
        <is>
          <t>MAXTHERM BOILERS PRIVATE LIMITED</t>
        </is>
      </c>
      <c r="B124" s="63" t="inlineStr">
        <is>
          <t>Others</t>
        </is>
      </c>
      <c r="C124" t="inlineStr">
        <is>
          <t>other</t>
        </is>
      </c>
    </row>
    <row r="125">
      <c r="A125" s="28" t="inlineStr">
        <is>
          <t>M/S VARDHMAN TUBE INDUSTRIES</t>
        </is>
      </c>
      <c r="B125" s="28" t="inlineStr">
        <is>
          <t>Auction</t>
        </is>
      </c>
      <c r="C125" t="inlineStr">
        <is>
          <t>Jitendra</t>
        </is>
      </c>
    </row>
    <row r="126">
      <c r="A126" s="28" t="inlineStr">
        <is>
          <t>TVS MOTOR COMPANY LIMITED</t>
        </is>
      </c>
      <c r="B126" s="28" t="inlineStr">
        <is>
          <t>TVS</t>
        </is>
      </c>
      <c r="C126" t="inlineStr">
        <is>
          <t>Apoorv</t>
        </is>
      </c>
    </row>
    <row r="127">
      <c r="A127" t="inlineStr">
        <is>
          <t>Neel Metal Products Limited</t>
        </is>
      </c>
      <c r="B127" s="63" t="inlineStr">
        <is>
          <t>TVS</t>
        </is>
      </c>
      <c r="C127" t="inlineStr">
        <is>
          <t>Apoorv</t>
        </is>
      </c>
    </row>
    <row r="128">
      <c r="A128" t="inlineStr">
        <is>
          <t>INDO AUTOTECH LIMITED UNIT-V</t>
        </is>
      </c>
      <c r="B128" s="63" t="inlineStr">
        <is>
          <t>HMSIL</t>
        </is>
      </c>
      <c r="C128" t="inlineStr">
        <is>
          <t>Abhishek</t>
        </is>
      </c>
    </row>
    <row r="129">
      <c r="A129" t="inlineStr">
        <is>
          <t>HERO MOTORS LIMITED</t>
        </is>
      </c>
      <c r="B129" s="63" t="inlineStr">
        <is>
          <t>HMSIL</t>
        </is>
      </c>
      <c r="C129" t="inlineStr">
        <is>
          <t>Abhishek</t>
        </is>
      </c>
    </row>
    <row r="130">
      <c r="A130" t="inlineStr">
        <is>
          <t>Chanda Enterprises Pvt Ltd</t>
        </is>
      </c>
      <c r="B130" s="63" t="inlineStr">
        <is>
          <t>RE</t>
        </is>
      </c>
      <c r="C130" t="inlineStr">
        <is>
          <t>Abhishek</t>
        </is>
      </c>
    </row>
    <row r="131">
      <c r="A131" t="inlineStr">
        <is>
          <t>CHANDI CREATIVES</t>
        </is>
      </c>
      <c r="B131" s="63" t="inlineStr">
        <is>
          <t>TVS</t>
        </is>
      </c>
      <c r="C131" t="inlineStr">
        <is>
          <t>Apoorv</t>
        </is>
      </c>
    </row>
    <row r="132">
      <c r="A132" t="inlineStr">
        <is>
          <t>RANAE</t>
        </is>
      </c>
      <c r="B132" s="63" t="inlineStr">
        <is>
          <t>Rane</t>
        </is>
      </c>
      <c r="C132" t="inlineStr">
        <is>
          <t>Apoorv</t>
        </is>
      </c>
    </row>
    <row r="133">
      <c r="A133" t="inlineStr">
        <is>
          <t>Hosur EPA</t>
        </is>
      </c>
      <c r="B133" s="63" t="inlineStr">
        <is>
          <t>TVS</t>
        </is>
      </c>
      <c r="C133" t="inlineStr">
        <is>
          <t>Apoorv</t>
        </is>
      </c>
    </row>
    <row r="134">
      <c r="A134" t="inlineStr">
        <is>
          <t>Thai Summit Autoparts India Pv</t>
        </is>
      </c>
      <c r="B134" s="63" t="inlineStr">
        <is>
          <t>RE</t>
        </is>
      </c>
      <c r="C134" t="inlineStr">
        <is>
          <t>Abhishek</t>
        </is>
      </c>
    </row>
    <row r="135">
      <c r="A135" t="inlineStr">
        <is>
          <t>ELKAYEM AUTO ANCILLARIES PVT L</t>
        </is>
      </c>
      <c r="B135" s="63" t="inlineStr">
        <is>
          <t>TVS</t>
        </is>
      </c>
      <c r="C135" t="inlineStr">
        <is>
          <t>Apoorv</t>
        </is>
      </c>
    </row>
    <row r="136">
      <c r="A136" t="inlineStr">
        <is>
          <t>SANDHAR ENGINEERING PVT LTD.(K</t>
        </is>
      </c>
      <c r="B136" s="63" t="inlineStr">
        <is>
          <t>TVS</t>
        </is>
      </c>
      <c r="C136" t="inlineStr">
        <is>
          <t>Apoorv</t>
        </is>
      </c>
    </row>
    <row r="137">
      <c r="A137" t="inlineStr">
        <is>
          <t>NAHARS ENGINEERING INDIA PRIVA</t>
        </is>
      </c>
      <c r="B137" s="63" t="inlineStr">
        <is>
          <t>HMSIL</t>
        </is>
      </c>
      <c r="C137" t="inlineStr">
        <is>
          <t>Abhishek</t>
        </is>
      </c>
    </row>
    <row r="138">
      <c r="A138" t="inlineStr">
        <is>
          <t>MEGH STEELS PRIVATE LIMITED -</t>
        </is>
      </c>
      <c r="B138" s="63" t="inlineStr">
        <is>
          <t>Direct</t>
        </is>
      </c>
      <c r="C138" t="inlineStr">
        <is>
          <t>Apoorv</t>
        </is>
      </c>
    </row>
    <row r="139">
      <c r="A139" t="inlineStr">
        <is>
          <t>SAKURA AUTOPARTS INDIA PRIVATE</t>
        </is>
      </c>
      <c r="B139" s="63" t="inlineStr">
        <is>
          <t>RE</t>
        </is>
      </c>
      <c r="C139" t="inlineStr">
        <is>
          <t>Abhishek</t>
        </is>
      </c>
    </row>
    <row r="140">
      <c r="A140" t="inlineStr">
        <is>
          <t>ELKAYEM AUTO ANCILLARIES (PVT)</t>
        </is>
      </c>
      <c r="B140" s="63" t="inlineStr">
        <is>
          <t>TVS</t>
        </is>
      </c>
      <c r="C140" t="inlineStr">
        <is>
          <t>Apoorv</t>
        </is>
      </c>
    </row>
    <row r="141">
      <c r="A141" t="inlineStr">
        <is>
          <t>A.R.Automotive And Engg Indust</t>
        </is>
      </c>
      <c r="B141" s="63" t="inlineStr">
        <is>
          <t>RE</t>
        </is>
      </c>
      <c r="C141" t="inlineStr">
        <is>
          <t>Abhishek</t>
        </is>
      </c>
    </row>
    <row r="142">
      <c r="A142" t="inlineStr">
        <is>
          <t>SRIKAM HITECH ENGINEERING PRIV</t>
        </is>
      </c>
      <c r="B142" s="63" t="inlineStr">
        <is>
          <t>TVS</t>
        </is>
      </c>
      <c r="C142" t="inlineStr">
        <is>
          <t>Apoorv</t>
        </is>
      </c>
    </row>
    <row r="143">
      <c r="A143" t="inlineStr">
        <is>
          <t>Sandhar EngineeringPvt.Ltd.(KA</t>
        </is>
      </c>
      <c r="B143" s="63" t="inlineStr">
        <is>
          <t>TVS</t>
        </is>
      </c>
      <c r="C143" t="inlineStr">
        <is>
          <t>Apoorv</t>
        </is>
      </c>
    </row>
    <row r="144">
      <c r="A144" t="inlineStr">
        <is>
          <t>Tisco Tubes C/A -Hosur</t>
        </is>
      </c>
      <c r="B144" s="63" t="inlineStr">
        <is>
          <t>TVS</t>
        </is>
      </c>
      <c r="C144" t="inlineStr">
        <is>
          <t>Apoorv</t>
        </is>
      </c>
    </row>
    <row r="145">
      <c r="A145" t="inlineStr">
        <is>
          <t>Sandhar Technologies (KA)–Unit</t>
        </is>
      </c>
      <c r="B145" s="63" t="inlineStr">
        <is>
          <t>TVS</t>
        </is>
      </c>
      <c r="C145" t="inlineStr">
        <is>
          <t>Apoorv</t>
        </is>
      </c>
    </row>
    <row r="146">
      <c r="A146" t="inlineStr">
        <is>
          <t>ELKAYEM AUTO ANCILLARIES PRIVA</t>
        </is>
      </c>
      <c r="B146" s="63" t="inlineStr">
        <is>
          <t>TVS</t>
        </is>
      </c>
      <c r="C146" t="inlineStr">
        <is>
          <t>Apoorv</t>
        </is>
      </c>
    </row>
    <row r="147">
      <c r="A147" t="inlineStr">
        <is>
          <t>Marathwada Auto Compo Pvt. Ltd</t>
        </is>
      </c>
      <c r="B147" s="63" t="inlineStr">
        <is>
          <t>TVS</t>
        </is>
      </c>
      <c r="C147" t="inlineStr">
        <is>
          <t>Apoorv</t>
        </is>
      </c>
    </row>
    <row r="148">
      <c r="A148" t="inlineStr">
        <is>
          <t>LAXMI METAL PRESSING WORKS PVT</t>
        </is>
      </c>
      <c r="B148" s="63" t="inlineStr">
        <is>
          <t>TVS</t>
        </is>
      </c>
      <c r="C148" t="inlineStr">
        <is>
          <t>Apoorv</t>
        </is>
      </c>
    </row>
    <row r="149">
      <c r="A149" t="inlineStr">
        <is>
          <t>Hosur Tube Plant</t>
        </is>
      </c>
      <c r="B149" s="63" t="inlineStr">
        <is>
          <t>TVS</t>
        </is>
      </c>
      <c r="C149" t="inlineStr">
        <is>
          <t>Apoorv</t>
        </is>
      </c>
    </row>
    <row r="150">
      <c r="A150" t="inlineStr">
        <is>
          <t>SURYA STEELS</t>
        </is>
      </c>
      <c r="B150" s="63" t="inlineStr">
        <is>
          <t>GE</t>
        </is>
      </c>
      <c r="C150" t="inlineStr">
        <is>
          <t>Jitendra</t>
        </is>
      </c>
    </row>
    <row r="151">
      <c r="A151" t="inlineStr">
        <is>
          <t>Sri Sai Tubes And Pipes</t>
        </is>
      </c>
      <c r="B151" s="63" t="inlineStr">
        <is>
          <t>Boiler</t>
        </is>
      </c>
      <c r="C151" t="inlineStr">
        <is>
          <t>Jitendra</t>
        </is>
      </c>
    </row>
    <row r="152">
      <c r="A152" t="inlineStr">
        <is>
          <t>M/S TAJ TRADING CORPORATION</t>
        </is>
      </c>
      <c r="B152" s="63" t="inlineStr">
        <is>
          <t>Boiler</t>
        </is>
      </c>
      <c r="C152" t="inlineStr">
        <is>
          <t>Jitendra</t>
        </is>
      </c>
    </row>
    <row r="153">
      <c r="A153" t="inlineStr">
        <is>
          <t>KAY JAY FORGINGS LIMITED</t>
        </is>
      </c>
      <c r="B153" s="63" t="inlineStr">
        <is>
          <t>TVS</t>
        </is>
      </c>
      <c r="C153" t="inlineStr">
        <is>
          <t>Apoorv</t>
        </is>
      </c>
    </row>
    <row r="154">
      <c r="A154" t="inlineStr">
        <is>
          <t>MYSORE PIPE SUPPLIERS</t>
        </is>
      </c>
      <c r="B154" s="63" t="inlineStr">
        <is>
          <t>GE</t>
        </is>
      </c>
      <c r="C154" t="inlineStr">
        <is>
          <t>Jitendra</t>
        </is>
      </c>
    </row>
    <row r="155">
      <c r="A155" t="inlineStr">
        <is>
          <t>ADISHWAR STEELS</t>
        </is>
      </c>
      <c r="B155" s="63" t="inlineStr">
        <is>
          <t>GE</t>
        </is>
      </c>
      <c r="C155" t="inlineStr">
        <is>
          <t>Jitendra</t>
        </is>
      </c>
    </row>
    <row r="156">
      <c r="A156" t="inlineStr">
        <is>
          <t>SANDHAR ENGINEERING PVTLTD(KA)U-III</t>
        </is>
      </c>
      <c r="B156" s="63" t="inlineStr">
        <is>
          <t>TVS</t>
        </is>
      </c>
      <c r="C156" t="inlineStr">
        <is>
          <t>Apoorv</t>
        </is>
      </c>
    </row>
    <row r="157">
      <c r="A157" t="inlineStr">
        <is>
          <t>SANDHAR ENGINEERING PVTLTD (KA)UIII</t>
        </is>
      </c>
      <c r="B157" s="63" t="inlineStr">
        <is>
          <t>TVS</t>
        </is>
      </c>
      <c r="C157" t="inlineStr">
        <is>
          <t>Apoorv</t>
        </is>
      </c>
    </row>
    <row r="158">
      <c r="A158" s="454" t="inlineStr">
        <is>
          <t>NY TECH BOILER TUBES CORPORATION</t>
        </is>
      </c>
      <c r="B158" s="28" t="inlineStr">
        <is>
          <t>Auction</t>
        </is>
      </c>
      <c r="C158" t="inlineStr">
        <is>
          <t>Jitendra</t>
        </is>
      </c>
    </row>
    <row r="159">
      <c r="A159" t="inlineStr">
        <is>
          <t>Metalman Auto Private Limited</t>
        </is>
      </c>
      <c r="B159" s="28" t="inlineStr">
        <is>
          <t>TVS</t>
        </is>
      </c>
      <c r="C159" t="inlineStr">
        <is>
          <t>Apoorv</t>
        </is>
      </c>
    </row>
    <row r="160">
      <c r="A160" t="inlineStr">
        <is>
          <t>A.S.(E) Exports Pvt.Ltd.</t>
        </is>
      </c>
      <c r="B160" s="63" t="inlineStr">
        <is>
          <t>GE</t>
        </is>
      </c>
      <c r="C160" t="inlineStr">
        <is>
          <t>Jitendra</t>
        </is>
      </c>
    </row>
    <row r="161">
      <c r="A161" t="inlineStr">
        <is>
          <t>TARANG ENGINEERING PVT.LTD</t>
        </is>
      </c>
      <c r="B161" s="63" t="inlineStr">
        <is>
          <t>GE</t>
        </is>
      </c>
      <c r="C161" t="inlineStr">
        <is>
          <t>Jitendra</t>
        </is>
      </c>
    </row>
    <row r="162">
      <c r="A162" t="inlineStr">
        <is>
          <t>SHIVAMPRIME STEELS PRIVATE LIMITED</t>
        </is>
      </c>
      <c r="B162" s="63" t="inlineStr">
        <is>
          <t>GE</t>
        </is>
      </c>
      <c r="C162" t="inlineStr">
        <is>
          <t>Jitendra</t>
        </is>
      </c>
    </row>
  </sheetData>
  <conditionalFormatting sqref="A2:A162">
    <cfRule type="duplicateValues" priority="390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2.7109375" bestFit="1" customWidth="1" style="584" min="1" max="1"/>
    <col width="17.85546875" bestFit="1" customWidth="1" style="584" min="2" max="2"/>
    <col width="37.7109375" bestFit="1" customWidth="1" style="584" min="9" max="9"/>
    <col width="35.85546875" bestFit="1" customWidth="1" style="584" min="10" max="10"/>
    <col width="22.7109375" bestFit="1" customWidth="1" style="584" min="11" max="11"/>
  </cols>
  <sheetData>
    <row r="1">
      <c r="A1" s="42" t="inlineStr">
        <is>
          <t>SCHEDULE</t>
        </is>
      </c>
      <c r="B1" t="inlineStr">
        <is>
          <t>(Multiple Items)</t>
        </is>
      </c>
    </row>
    <row r="3">
      <c r="A3" t="inlineStr">
        <is>
          <t>Sum of SCHEDULE IN MT</t>
        </is>
      </c>
      <c r="I3" s="42" t="inlineStr">
        <is>
          <t>CUSTOMER NAME</t>
        </is>
      </c>
      <c r="J3" s="42" t="inlineStr">
        <is>
          <t>CUSTOMER CODE</t>
        </is>
      </c>
      <c r="K3" t="inlineStr">
        <is>
          <t>Sum of SCHEDULE IN MT</t>
        </is>
      </c>
    </row>
    <row r="4">
      <c r="A4" t="n">
        <v>1716.400106320613</v>
      </c>
      <c r="I4" t="inlineStr">
        <is>
          <t>Balaji press product</t>
        </is>
      </c>
      <c r="J4" t="n">
        <v>189287</v>
      </c>
      <c r="K4" s="585" t="n">
        <v>82.23696203258001</v>
      </c>
    </row>
    <row r="5">
      <c r="I5" t="inlineStr">
        <is>
          <t>ELKAYEM AUTO</t>
        </is>
      </c>
      <c r="J5" t="inlineStr">
        <is>
          <t>129663|948721</t>
        </is>
      </c>
      <c r="K5" s="585" t="n">
        <v>214.5723329374695</v>
      </c>
    </row>
    <row r="6">
      <c r="I6" t="inlineStr">
        <is>
          <t>ELKAYEM AUTO</t>
        </is>
      </c>
      <c r="J6" t="inlineStr">
        <is>
          <t>129663|948722</t>
        </is>
      </c>
      <c r="K6" s="585" t="n">
        <v>0</v>
      </c>
    </row>
    <row r="7">
      <c r="I7" t="inlineStr">
        <is>
          <t xml:space="preserve">ELKAYEM AUTO MYSORE </t>
        </is>
      </c>
      <c r="J7" t="n">
        <v>940921</v>
      </c>
      <c r="K7" s="585" t="n">
        <v>145.1390330982198</v>
      </c>
    </row>
    <row r="8">
      <c r="I8" t="inlineStr">
        <is>
          <t>KAY JAY</t>
        </is>
      </c>
      <c r="J8" t="n">
        <v>188934</v>
      </c>
      <c r="K8" s="585" t="n">
        <v>101.62486295775</v>
      </c>
    </row>
    <row r="9">
      <c r="I9" t="inlineStr">
        <is>
          <t>KNITVEL NEEDLES P LTD</t>
        </is>
      </c>
      <c r="J9" t="n">
        <v>819045</v>
      </c>
      <c r="K9" s="585" t="n">
        <v>14.66755309128</v>
      </c>
    </row>
    <row r="10">
      <c r="I10" t="inlineStr">
        <is>
          <t>Marathwada</t>
        </is>
      </c>
      <c r="J10" t="n">
        <v>189002</v>
      </c>
      <c r="K10" s="585" t="n">
        <v>169.056309424832</v>
      </c>
    </row>
    <row r="11">
      <c r="I11" t="inlineStr">
        <is>
          <t>Metalman</t>
        </is>
      </c>
      <c r="J11" t="n">
        <v>188647</v>
      </c>
      <c r="K11" s="585" t="n">
        <v>94.86277678206201</v>
      </c>
    </row>
    <row r="12">
      <c r="I12" t="inlineStr">
        <is>
          <t>Narasipur Auto Component(P)Ltd</t>
        </is>
      </c>
      <c r="J12" t="n">
        <v>187546</v>
      </c>
      <c r="K12" s="585" t="n">
        <v>64.59523570581</v>
      </c>
    </row>
    <row r="13">
      <c r="I13" t="inlineStr">
        <is>
          <t>Rajsriya Automotive</t>
        </is>
      </c>
      <c r="J13" t="inlineStr">
        <is>
          <t>129695|187884|188415|189239|189240</t>
        </is>
      </c>
      <c r="K13" s="585" t="n">
        <v>0</v>
      </c>
    </row>
    <row r="14">
      <c r="I14" t="inlineStr">
        <is>
          <t xml:space="preserve">Rajsriya Mysore </t>
        </is>
      </c>
      <c r="J14" t="inlineStr">
        <is>
          <t>930883|189481</t>
        </is>
      </c>
      <c r="K14" s="585" t="n">
        <v>80.68023792275</v>
      </c>
    </row>
    <row r="15">
      <c r="I15" t="inlineStr">
        <is>
          <t>Rajsriya Unit 1</t>
        </is>
      </c>
      <c r="J15" t="inlineStr">
        <is>
          <t>129695|187884|188415|189239|189240</t>
        </is>
      </c>
      <c r="K15" s="585" t="n">
        <v>55.249146720625</v>
      </c>
    </row>
    <row r="16">
      <c r="I16" t="inlineStr">
        <is>
          <t>Rajsriya Unit 2</t>
        </is>
      </c>
      <c r="J16" t="inlineStr">
        <is>
          <t>129695|187884|188415|189239|189240</t>
        </is>
      </c>
      <c r="K16" s="585" t="n">
        <v>44.168936818477</v>
      </c>
    </row>
    <row r="17">
      <c r="I17" t="inlineStr">
        <is>
          <t>Rajsriya Unit 4</t>
        </is>
      </c>
      <c r="J17" t="inlineStr">
        <is>
          <t>129695|187884|188415|189239|189240</t>
        </is>
      </c>
      <c r="K17" s="585" t="n">
        <v>6.297886446684001</v>
      </c>
    </row>
    <row r="18">
      <c r="I18" t="inlineStr">
        <is>
          <t>Rajsriya Unit 5</t>
        </is>
      </c>
      <c r="J18" t="inlineStr">
        <is>
          <t>129663|948721</t>
        </is>
      </c>
      <c r="K18" s="585" t="n">
        <v>8.626632370999999</v>
      </c>
    </row>
    <row r="19">
      <c r="I19" t="inlineStr">
        <is>
          <t>Rajsriya Unit 5</t>
        </is>
      </c>
      <c r="J19" t="inlineStr">
        <is>
          <t>129695|187884|188415|189239|189240</t>
        </is>
      </c>
      <c r="K19" s="585" t="n">
        <v>79.23214935061999</v>
      </c>
    </row>
    <row r="20">
      <c r="I20" t="inlineStr">
        <is>
          <t>Rajsriya Unit 8</t>
        </is>
      </c>
      <c r="J20" t="inlineStr">
        <is>
          <t>129695|187884|188415|189239|189240</t>
        </is>
      </c>
      <c r="K20" s="585" t="n">
        <v>155.452075741112</v>
      </c>
    </row>
    <row r="21">
      <c r="I21" t="inlineStr">
        <is>
          <t>RUCHA</t>
        </is>
      </c>
      <c r="J21" t="n">
        <v>188534</v>
      </c>
      <c r="K21" s="585" t="n">
        <v>0</v>
      </c>
    </row>
    <row r="22">
      <c r="I22" t="inlineStr">
        <is>
          <t>Sandhar Automach</t>
        </is>
      </c>
      <c r="J22" t="n">
        <v>187702</v>
      </c>
      <c r="K22" s="585" t="n">
        <v>143.988593312376</v>
      </c>
    </row>
    <row r="23">
      <c r="I23" t="inlineStr">
        <is>
          <t xml:space="preserve">Sandhar Engg Mysore </t>
        </is>
      </c>
      <c r="J23" t="n">
        <v>945539</v>
      </c>
      <c r="K23" s="585" t="n">
        <v>312.5247816769186</v>
      </c>
    </row>
    <row r="24">
      <c r="I24" t="inlineStr">
        <is>
          <t>SANDHAR ENGINEERING PVT LTD.</t>
        </is>
      </c>
      <c r="J24" t="n">
        <v>941496</v>
      </c>
      <c r="K24" s="585" t="n">
        <v>154.59671925638</v>
      </c>
    </row>
    <row r="25">
      <c r="I25" t="inlineStr">
        <is>
          <t>SRI BALAJI GEARS V4</t>
        </is>
      </c>
      <c r="J25" t="n">
        <v>188595</v>
      </c>
      <c r="K25" s="585" t="n">
        <v>14.69679715786</v>
      </c>
    </row>
    <row r="26">
      <c r="I26" t="inlineStr">
        <is>
          <t>SRIKAM HITECH</t>
        </is>
      </c>
      <c r="J26" t="n">
        <v>944141</v>
      </c>
      <c r="K26" s="585" t="n">
        <v>227.020876306255</v>
      </c>
    </row>
    <row r="27">
      <c r="I27" t="inlineStr">
        <is>
          <t>TVS MOTOR COMPANY LIMITED</t>
        </is>
      </c>
      <c r="J27" t="n">
        <v>187268</v>
      </c>
      <c r="K27" s="585" t="n">
        <v>0</v>
      </c>
    </row>
    <row r="28">
      <c r="I28" t="inlineStr">
        <is>
          <t>Laxmi</t>
        </is>
      </c>
      <c r="J28" t="n">
        <v>185254</v>
      </c>
      <c r="K28" s="585" t="n">
        <v>43.86060134855281</v>
      </c>
    </row>
    <row r="29">
      <c r="I29" t="inlineStr">
        <is>
          <t>SRI BALAJI GEARS V7</t>
        </is>
      </c>
      <c r="J29" t="n">
        <v>188595</v>
      </c>
      <c r="K29" s="585" t="n">
        <v>186.86167607508</v>
      </c>
    </row>
    <row r="30">
      <c r="I30" t="inlineStr">
        <is>
          <t>Marathwada v7</t>
        </is>
      </c>
      <c r="J30" t="n">
        <v>189002</v>
      </c>
      <c r="K30" s="585" t="n">
        <v>201.94459981794</v>
      </c>
    </row>
    <row r="31">
      <c r="I31" t="inlineStr">
        <is>
          <t>Balaji Gears V3</t>
        </is>
      </c>
      <c r="J31" t="n">
        <v>188595</v>
      </c>
      <c r="K31" s="585" t="n">
        <v>15.09295120255</v>
      </c>
    </row>
    <row r="32">
      <c r="I32" t="inlineStr">
        <is>
          <t>NMPL TVSM</t>
        </is>
      </c>
      <c r="J32" t="n">
        <v>189226</v>
      </c>
      <c r="K32" s="585" t="n">
        <v>0</v>
      </c>
    </row>
    <row r="33">
      <c r="I33" t="inlineStr">
        <is>
          <t>NMPL TVSM</t>
        </is>
      </c>
      <c r="J33" t="inlineStr">
        <is>
          <t>189226|930794</t>
        </is>
      </c>
      <c r="K33" s="585" t="n">
        <v>235.785842883042</v>
      </c>
    </row>
    <row r="34">
      <c r="I34" t="inlineStr">
        <is>
          <t>NMPL TVSM</t>
        </is>
      </c>
      <c r="J34" t="inlineStr">
        <is>
          <t>930801|189227</t>
        </is>
      </c>
      <c r="K34" s="585" t="n">
        <v>2.26735699824</v>
      </c>
    </row>
    <row r="35">
      <c r="I35" t="inlineStr">
        <is>
          <t>NMPL HUB</t>
        </is>
      </c>
      <c r="J35" t="inlineStr">
        <is>
          <t>189226|930794</t>
        </is>
      </c>
      <c r="K35" s="585" t="n">
        <v>0</v>
      </c>
    </row>
    <row r="36">
      <c r="I36" t="inlineStr">
        <is>
          <t>NMPL HUB</t>
        </is>
      </c>
      <c r="J36" t="inlineStr">
        <is>
          <t>930801|189227</t>
        </is>
      </c>
      <c r="K36" s="585" t="n">
        <v>198.4209116459096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1">
    <outlinePr summaryBelow="1" summaryRight="1"/>
    <pageSetUpPr/>
  </sheetPr>
  <dimension ref="A3:B32"/>
  <sheetViews>
    <sheetView workbookViewId="0">
      <selection activeCell="A4" sqref="A4:B34"/>
    </sheetView>
  </sheetViews>
  <sheetFormatPr baseColWidth="8" defaultRowHeight="15"/>
  <cols>
    <col width="31.140625" bestFit="1" customWidth="1" style="584" min="1" max="1"/>
    <col width="5.5703125" bestFit="1" customWidth="1" style="584" min="2" max="5"/>
    <col width="5.42578125" bestFit="1" customWidth="1" style="584" min="6" max="8"/>
    <col width="31.28515625" bestFit="1" customWidth="1" style="584" min="9" max="27"/>
    <col width="11.28515625" bestFit="1" customWidth="1" style="584" min="28" max="28"/>
    <col width="29.7109375" bestFit="1" customWidth="1" style="584" min="29" max="29"/>
    <col width="19.28515625" bestFit="1" customWidth="1" style="584" min="30" max="31"/>
    <col width="18.42578125" bestFit="1" customWidth="1" style="584" min="32" max="32"/>
    <col width="14.7109375" bestFit="1" customWidth="1" style="584" min="33" max="33"/>
    <col width="16.28515625" bestFit="1" customWidth="1" style="584" min="34" max="34"/>
    <col width="18.42578125" bestFit="1" customWidth="1" style="584" min="35" max="35"/>
    <col width="16.7109375" bestFit="1" customWidth="1" style="584" min="36" max="36"/>
    <col width="18.42578125" bestFit="1" customWidth="1" style="584" min="37" max="37"/>
    <col width="22.42578125" bestFit="1" customWidth="1" style="584" min="38" max="38"/>
    <col width="17.28515625" bestFit="1" customWidth="1" style="584" min="39" max="39"/>
    <col width="19.42578125" bestFit="1" customWidth="1" style="584" min="40" max="40"/>
    <col width="11.7109375" bestFit="1" customWidth="1" style="584" min="41" max="41"/>
    <col width="12.7109375" bestFit="1" customWidth="1" style="584" min="42" max="42"/>
    <col width="17.28515625" bestFit="1" customWidth="1" style="584" min="43" max="43"/>
    <col width="19.42578125" bestFit="1" customWidth="1" style="584" min="44" max="44"/>
    <col width="23.140625" bestFit="1" customWidth="1" style="584" min="45" max="45"/>
    <col width="25.28515625" bestFit="1" customWidth="1" style="584" min="46" max="46"/>
    <col width="17.85546875" bestFit="1" customWidth="1" style="584" min="47" max="47"/>
    <col width="10.28515625" bestFit="1" customWidth="1" style="584" min="48" max="48"/>
    <col width="18.28515625" bestFit="1" customWidth="1" style="584" min="49" max="49"/>
    <col width="17.28515625" bestFit="1" customWidth="1" style="584" min="50" max="50"/>
    <col width="19.42578125" bestFit="1" customWidth="1" style="584" min="51" max="51"/>
    <col width="17.28515625" bestFit="1" customWidth="1" style="584" min="52" max="52"/>
    <col width="15.7109375" bestFit="1" customWidth="1" style="584" min="53" max="53"/>
    <col width="17.85546875" bestFit="1" customWidth="1" style="584" min="54" max="54"/>
    <col width="16.7109375" bestFit="1" customWidth="1" style="584" min="55" max="55"/>
    <col width="20.7109375" bestFit="1" customWidth="1" style="584" min="56" max="56"/>
    <col width="16.7109375" bestFit="1" customWidth="1" style="584" min="57" max="57"/>
    <col width="13.140625" bestFit="1" customWidth="1" style="584" min="58" max="58"/>
    <col width="15.28515625" bestFit="1" customWidth="1" style="584" min="59" max="59"/>
    <col width="27.140625" bestFit="1" customWidth="1" style="584" min="60" max="60"/>
    <col width="19.7109375" bestFit="1" customWidth="1" style="584" min="61" max="62"/>
    <col width="21.85546875" bestFit="1" customWidth="1" style="584" min="63" max="63"/>
    <col width="22.42578125" bestFit="1" customWidth="1" style="584" min="64" max="64"/>
    <col width="15.7109375" bestFit="1" customWidth="1" style="584" min="65" max="65"/>
    <col width="19.7109375" bestFit="1" customWidth="1" style="584" min="66" max="66"/>
    <col width="10.7109375" bestFit="1" customWidth="1" style="584" min="67" max="67"/>
    <col width="11.7109375" bestFit="1" customWidth="1" style="584" min="68" max="68"/>
    <col width="17.28515625" bestFit="1" customWidth="1" style="584" min="69" max="69"/>
    <col width="19.42578125" bestFit="1" customWidth="1" style="584" min="70" max="70"/>
    <col width="17.28515625" bestFit="1" customWidth="1" style="584" min="71" max="71"/>
    <col width="19.42578125" bestFit="1" customWidth="1" style="584" min="72" max="72"/>
    <col width="25.28515625" bestFit="1" customWidth="1" style="584" min="73" max="73"/>
    <col width="10.28515625" bestFit="1" customWidth="1" style="584" min="74" max="74"/>
    <col width="11.7109375" bestFit="1" customWidth="1" style="584" min="75" max="75"/>
    <col width="17.28515625" bestFit="1" customWidth="1" style="584" min="76" max="76"/>
    <col width="19.42578125" bestFit="1" customWidth="1" style="584" min="77" max="77"/>
    <col width="15.7109375" bestFit="1" customWidth="1" style="584" min="78" max="78"/>
    <col width="17.7109375" bestFit="1" customWidth="1" style="584" min="79" max="79"/>
    <col width="17.85546875" bestFit="1" customWidth="1" style="584" min="80" max="80"/>
    <col width="15.7109375" bestFit="1" customWidth="1" style="584" min="81" max="81"/>
    <col width="21.5703125" bestFit="1" customWidth="1" style="584" min="82" max="82"/>
    <col width="23.7109375" bestFit="1" customWidth="1" style="584" min="83" max="83"/>
    <col width="17.7109375" bestFit="1" customWidth="1" style="584" min="84" max="84"/>
    <col width="11.7109375" bestFit="1" customWidth="1" style="584" min="85" max="85"/>
    <col width="18.42578125" bestFit="1" customWidth="1" style="584" min="86" max="86"/>
    <col width="16.28515625" bestFit="1" customWidth="1" style="584" min="87" max="87"/>
    <col width="18.28515625" bestFit="1" customWidth="1" style="584" min="88" max="88"/>
    <col width="18.42578125" bestFit="1" customWidth="1" style="584" min="89" max="89"/>
    <col width="9.28515625" bestFit="1" customWidth="1" style="584" min="90" max="90"/>
    <col width="18.7109375" bestFit="1" customWidth="1" style="584" min="91" max="91"/>
    <col width="16.28515625" bestFit="1" customWidth="1" style="584" min="92" max="92"/>
    <col width="18.28515625" bestFit="1" customWidth="1" style="584" min="93" max="93"/>
    <col width="16.28515625" bestFit="1" customWidth="1" style="584" min="94" max="94"/>
    <col width="14.7109375" bestFit="1" customWidth="1" style="584" min="95" max="95"/>
    <col width="16.7109375" bestFit="1" customWidth="1" style="584" min="96" max="97"/>
    <col width="17.42578125" bestFit="1" customWidth="1" style="584" min="98" max="98"/>
    <col width="21.42578125" bestFit="1" customWidth="1" style="584" min="99" max="99"/>
    <col width="15.7109375" bestFit="1" customWidth="1" style="584" min="100" max="100"/>
    <col width="19.7109375" bestFit="1" customWidth="1" style="584" min="101" max="101"/>
    <col width="17.42578125" bestFit="1" customWidth="1" style="584" min="102" max="103"/>
    <col width="14.7109375" bestFit="1" customWidth="1" style="584" min="104" max="104"/>
    <col width="16.7109375" bestFit="1" customWidth="1" style="584" min="105" max="105"/>
    <col width="14.140625" bestFit="1" customWidth="1" style="584" min="106" max="106"/>
    <col width="12.5703125" bestFit="1" customWidth="1" style="584" min="107" max="107"/>
    <col width="11.7109375" bestFit="1" customWidth="1" style="584" min="108" max="108"/>
    <col width="19.42578125" bestFit="1" customWidth="1" style="584" min="109" max="109"/>
    <col width="17.28515625" bestFit="1" customWidth="1" style="584" min="110" max="110"/>
    <col width="19.28515625" bestFit="1" customWidth="1" style="584" min="111" max="111"/>
    <col width="19.42578125" bestFit="1" customWidth="1" style="584" min="112" max="112"/>
    <col width="15.7109375" bestFit="1" customWidth="1" style="584" min="113" max="113"/>
    <col width="17.7109375" bestFit="1" customWidth="1" style="584" min="114" max="114"/>
    <col width="19.7109375" bestFit="1" customWidth="1" style="584" min="115" max="115"/>
    <col width="30.5703125" bestFit="1" customWidth="1" style="584" min="116" max="116"/>
    <col width="21.42578125" bestFit="1" customWidth="1" style="584" min="117" max="117"/>
    <col width="19.42578125" bestFit="1" customWidth="1" style="584" min="118" max="118"/>
    <col width="16.7109375" bestFit="1" customWidth="1" style="584" min="119" max="119"/>
    <col width="20.7109375" bestFit="1" customWidth="1" style="584" min="120" max="120"/>
    <col width="14.7109375" bestFit="1" customWidth="1" style="584" min="121" max="121"/>
    <col width="16.7109375" bestFit="1" customWidth="1" style="584" min="122" max="122"/>
    <col width="11.7109375" bestFit="1" customWidth="1" style="584" min="123" max="123"/>
    <col width="17.28515625" bestFit="1" customWidth="1" style="584" min="124" max="124"/>
    <col width="19.28515625" bestFit="1" customWidth="1" style="584" min="125" max="125"/>
    <col width="19.42578125" bestFit="1" customWidth="1" style="584" min="126" max="126"/>
    <col width="19.28515625" bestFit="1" customWidth="1" style="584" min="127" max="127"/>
    <col width="11.7109375" bestFit="1" customWidth="1" style="584" min="128" max="128"/>
    <col width="19.28515625" bestFit="1" customWidth="1" style="584" min="129" max="129"/>
    <col width="21.85546875" bestFit="1" customWidth="1" style="584" min="130" max="130"/>
    <col width="13.28515625" bestFit="1" customWidth="1" style="584" min="131" max="131"/>
    <col width="19.7109375" bestFit="1" customWidth="1" style="584" min="132" max="132"/>
    <col width="17.28515625" bestFit="1" customWidth="1" style="584" min="133" max="133"/>
    <col width="19.28515625" bestFit="1" customWidth="1" style="584" min="134" max="135"/>
    <col width="10.28515625" bestFit="1" customWidth="1" style="584" min="136" max="136"/>
    <col width="19.28515625" bestFit="1" customWidth="1" style="584" min="137" max="137"/>
    <col width="15.7109375" bestFit="1" customWidth="1" style="584" min="138" max="138"/>
    <col width="15.28515625" bestFit="1" customWidth="1" style="584" min="139" max="139"/>
    <col width="13.42578125" bestFit="1" customWidth="1" style="584" min="140" max="140"/>
    <col width="21.42578125" bestFit="1" customWidth="1" style="584" min="141" max="141"/>
    <col width="21.85546875" bestFit="1" customWidth="1" style="584" min="142" max="142"/>
    <col width="10.7109375" bestFit="1" customWidth="1" style="584" min="143" max="143"/>
    <col width="16.28515625" bestFit="1" customWidth="1" style="584" min="144" max="144"/>
    <col width="18.28515625" bestFit="1" customWidth="1" style="584" min="145" max="145"/>
    <col width="24.140625" bestFit="1" customWidth="1" style="584" min="146" max="147"/>
    <col width="14.7109375" bestFit="1" customWidth="1" style="584" min="148" max="148"/>
    <col width="16.7109375" bestFit="1" customWidth="1" style="584" min="149" max="150"/>
    <col width="20.42578125" bestFit="1" customWidth="1" style="584" min="151" max="151"/>
    <col width="19.28515625" bestFit="1" customWidth="1" style="584" min="152" max="152"/>
    <col width="14.28515625" bestFit="1" customWidth="1" style="584" min="153" max="153"/>
    <col width="18.28515625" bestFit="1" customWidth="1" style="584" min="154" max="154"/>
    <col width="14.7109375" bestFit="1" customWidth="1" style="584" min="155" max="156"/>
    <col width="16.7109375" bestFit="1" customWidth="1" style="584" min="157" max="157"/>
    <col width="17.7109375" bestFit="1" customWidth="1" style="584" min="158" max="158"/>
    <col width="15.7109375" bestFit="1" customWidth="1" style="584" min="159" max="159"/>
    <col width="17.7109375" bestFit="1" customWidth="1" style="584" min="160" max="161"/>
    <col width="16.140625" bestFit="1" customWidth="1" style="584" min="162" max="162"/>
    <col width="15.7109375" bestFit="1" customWidth="1" style="584" min="163" max="163"/>
    <col width="17.7109375" bestFit="1" customWidth="1" style="584" min="164" max="164"/>
    <col width="16.140625" bestFit="1" customWidth="1" style="584" min="165" max="165"/>
    <col width="14.7109375" bestFit="1" customWidth="1" style="584" min="166" max="166"/>
    <col width="16.7109375" bestFit="1" customWidth="1" style="584" min="167" max="167"/>
    <col width="19.28515625" bestFit="1" customWidth="1" style="584" min="168" max="168"/>
    <col width="11.7109375" bestFit="1" customWidth="1" style="584" min="169" max="169"/>
    <col width="17.28515625" bestFit="1" customWidth="1" style="584" min="170" max="170"/>
    <col width="19.28515625" bestFit="1" customWidth="1" style="584" min="171" max="171"/>
    <col width="14.7109375" bestFit="1" customWidth="1" style="584" min="172" max="172"/>
    <col width="18.28515625" bestFit="1" customWidth="1" style="584" min="173" max="173"/>
    <col width="13.28515625" bestFit="1" customWidth="1" style="584" min="174" max="174"/>
    <col width="14.7109375" bestFit="1" customWidth="1" style="584" min="175" max="175"/>
    <col width="16.7109375" bestFit="1" customWidth="1" style="584" min="176" max="176"/>
    <col width="18.28515625" bestFit="1" customWidth="1" style="584" min="177" max="177"/>
    <col width="9.28515625" bestFit="1" customWidth="1" style="584" min="178" max="178"/>
    <col width="10.7109375" bestFit="1" customWidth="1" style="584" min="179" max="179"/>
    <col width="18.28515625" bestFit="1" customWidth="1" style="584" min="180" max="180"/>
    <col width="9.28515625" bestFit="1" customWidth="1" style="584" min="181" max="181"/>
    <col width="18.28515625" bestFit="1" customWidth="1" style="584" min="182" max="182"/>
    <col width="17.7109375" bestFit="1" customWidth="1" style="584" min="183" max="184"/>
    <col width="14.140625" bestFit="1" customWidth="1" style="584" min="185" max="185"/>
    <col width="16.140625" bestFit="1" customWidth="1" style="584" min="186" max="186"/>
    <col width="17.85546875" bestFit="1" customWidth="1" style="584" min="187" max="187"/>
    <col width="15.140625" bestFit="1" customWidth="1" style="584" min="188" max="188"/>
    <col width="10.28515625" bestFit="1" customWidth="1" style="584" min="189" max="189"/>
    <col width="19.28515625" bestFit="1" customWidth="1" style="584" min="190" max="190"/>
    <col width="11.7109375" bestFit="1" customWidth="1" style="584" min="191" max="191"/>
    <col width="17.28515625" bestFit="1" customWidth="1" style="584" min="192" max="192"/>
    <col width="19.28515625" bestFit="1" customWidth="1" style="584" min="193" max="193"/>
    <col width="15.7109375" bestFit="1" customWidth="1" style="584" min="194" max="194"/>
    <col width="17.7109375" bestFit="1" customWidth="1" style="584" min="195" max="195"/>
    <col width="22.5703125" bestFit="1" customWidth="1" style="584" min="196" max="196"/>
    <col width="9.28515625" bestFit="1" customWidth="1" style="584" min="197" max="197"/>
    <col width="13.28515625" bestFit="1" customWidth="1" style="584" min="198" max="198"/>
    <col width="16.7109375" bestFit="1" customWidth="1" style="584" min="199" max="201"/>
    <col width="10.7109375" bestFit="1" customWidth="1" style="584" min="202" max="202"/>
  </cols>
  <sheetData>
    <row r="3">
      <c r="A3" s="42" t="inlineStr">
        <is>
          <t>Sum of SCHEDULE IN MT</t>
        </is>
      </c>
    </row>
    <row r="4">
      <c r="A4" s="42" t="inlineStr">
        <is>
          <t>CUSTOMER NAME</t>
        </is>
      </c>
      <c r="B4" t="inlineStr">
        <is>
          <t>Total</t>
        </is>
      </c>
    </row>
    <row r="5">
      <c r="A5" t="inlineStr">
        <is>
          <t>Balaji press product</t>
        </is>
      </c>
      <c r="B5" s="604" t="n">
        <v>82.23696203258001</v>
      </c>
    </row>
    <row r="6">
      <c r="A6" t="inlineStr">
        <is>
          <t>ELKAYEM AUTO</t>
        </is>
      </c>
      <c r="B6" s="604" t="n">
        <v>214.5723329374695</v>
      </c>
    </row>
    <row r="7">
      <c r="A7" t="inlineStr">
        <is>
          <t xml:space="preserve">ELKAYEM AUTO MYSORE </t>
        </is>
      </c>
      <c r="B7" s="604" t="n">
        <v>145.1390330982198</v>
      </c>
    </row>
    <row r="8">
      <c r="A8" t="inlineStr">
        <is>
          <t>KAY JAY</t>
        </is>
      </c>
      <c r="B8" s="604" t="n">
        <v>101.62486295775</v>
      </c>
    </row>
    <row r="9">
      <c r="A9" t="inlineStr">
        <is>
          <t>KNITVEL NEEDLES P LTD</t>
        </is>
      </c>
      <c r="B9" s="604" t="n">
        <v>14.66755309128</v>
      </c>
    </row>
    <row r="10">
      <c r="A10" t="inlineStr">
        <is>
          <t>Marathwada</t>
        </is>
      </c>
      <c r="B10" s="604" t="n">
        <v>169.056309424832</v>
      </c>
    </row>
    <row r="11">
      <c r="A11" t="inlineStr">
        <is>
          <t>Metalman</t>
        </is>
      </c>
      <c r="B11" s="604" t="n">
        <v>94.86277678206201</v>
      </c>
    </row>
    <row r="12">
      <c r="A12" t="inlineStr">
        <is>
          <t>Narasipur Auto Component(P)Ltd</t>
        </is>
      </c>
      <c r="B12" s="604" t="n">
        <v>64.59523570581</v>
      </c>
    </row>
    <row r="13">
      <c r="A13" t="inlineStr">
        <is>
          <t>Rajsriya Automotive</t>
        </is>
      </c>
      <c r="B13" s="604" t="n">
        <v>0</v>
      </c>
    </row>
    <row r="14">
      <c r="A14" t="inlineStr">
        <is>
          <t xml:space="preserve">Rajsriya Mysore </t>
        </is>
      </c>
      <c r="B14" s="604" t="n">
        <v>80.68023792275</v>
      </c>
    </row>
    <row r="15">
      <c r="A15" t="inlineStr">
        <is>
          <t>Rajsriya Unit 1</t>
        </is>
      </c>
      <c r="B15" s="604" t="n">
        <v>55.249146720625</v>
      </c>
    </row>
    <row r="16">
      <c r="A16" t="inlineStr">
        <is>
          <t>Rajsriya Unit 2</t>
        </is>
      </c>
      <c r="B16" s="604" t="n">
        <v>44.168936818477</v>
      </c>
    </row>
    <row r="17">
      <c r="A17" t="inlineStr">
        <is>
          <t>Rajsriya Unit 4</t>
        </is>
      </c>
      <c r="B17" s="604" t="n">
        <v>6.297886446684001</v>
      </c>
    </row>
    <row r="18">
      <c r="A18" t="inlineStr">
        <is>
          <t>Rajsriya Unit 5</t>
        </is>
      </c>
      <c r="B18" s="604" t="n">
        <v>87.85878172161999</v>
      </c>
    </row>
    <row r="19">
      <c r="A19" t="inlineStr">
        <is>
          <t>Rajsriya Unit 8</t>
        </is>
      </c>
      <c r="B19" s="604" t="n">
        <v>155.452075741112</v>
      </c>
    </row>
    <row r="20">
      <c r="A20" t="inlineStr">
        <is>
          <t>RUCHA</t>
        </is>
      </c>
      <c r="B20" s="604" t="n">
        <v>0</v>
      </c>
    </row>
    <row r="21">
      <c r="A21" t="inlineStr">
        <is>
          <t>Sandhar Automach</t>
        </is>
      </c>
      <c r="B21" s="604" t="n">
        <v>143.988593312376</v>
      </c>
    </row>
    <row r="22">
      <c r="A22" t="inlineStr">
        <is>
          <t xml:space="preserve">Sandhar Engg Mysore </t>
        </is>
      </c>
      <c r="B22" s="604" t="n">
        <v>312.5247816769186</v>
      </c>
    </row>
    <row r="23">
      <c r="A23" t="inlineStr">
        <is>
          <t>SANDHAR ENGINEERING PVT LTD.</t>
        </is>
      </c>
      <c r="B23" s="604" t="n">
        <v>154.59671925638</v>
      </c>
    </row>
    <row r="24">
      <c r="A24" t="inlineStr">
        <is>
          <t>SRIKAM HITECH</t>
        </is>
      </c>
      <c r="B24" s="604" t="n">
        <v>227.020876306255</v>
      </c>
    </row>
    <row r="25">
      <c r="A25" t="inlineStr">
        <is>
          <t>TVS MOTOR COMPANY LIMITED</t>
        </is>
      </c>
      <c r="B25" s="604" t="n">
        <v>0</v>
      </c>
    </row>
    <row r="26">
      <c r="A26" t="inlineStr">
        <is>
          <t>SRI BALAJI GEARS V4</t>
        </is>
      </c>
      <c r="B26" s="604" t="n">
        <v>14.69679715786</v>
      </c>
    </row>
    <row r="27">
      <c r="A27" t="inlineStr">
        <is>
          <t>Laxmi</t>
        </is>
      </c>
      <c r="B27" s="604" t="n">
        <v>43.86060134855281</v>
      </c>
    </row>
    <row r="28">
      <c r="A28" t="inlineStr">
        <is>
          <t>SRI BALAJI GEARS V7</t>
        </is>
      </c>
      <c r="B28" s="604" t="n">
        <v>186.86167607508</v>
      </c>
    </row>
    <row r="29">
      <c r="A29" t="inlineStr">
        <is>
          <t>Marathwada v7</t>
        </is>
      </c>
      <c r="B29" s="604" t="n">
        <v>201.94459981794</v>
      </c>
    </row>
    <row r="30">
      <c r="A30" t="inlineStr">
        <is>
          <t>Balaji Gears V3</t>
        </is>
      </c>
      <c r="B30" s="604" t="n">
        <v>15.09295120255</v>
      </c>
    </row>
    <row r="31">
      <c r="A31" t="inlineStr">
        <is>
          <t>NMPL TVSM</t>
        </is>
      </c>
      <c r="B31" s="604" t="n">
        <v>238.053199881282</v>
      </c>
    </row>
    <row r="32">
      <c r="A32" t="inlineStr">
        <is>
          <t>NMPL HUB</t>
        </is>
      </c>
      <c r="B32" s="604" t="n">
        <v>198.4209116459096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8"/>
  <sheetViews>
    <sheetView zoomScale="90" zoomScaleNormal="90" workbookViewId="0">
      <pane ySplit="1" topLeftCell="A34" activePane="bottomLeft" state="frozen"/>
      <selection activeCell="C1" sqref="C1"/>
      <selection pane="bottomLeft" activeCell="N37" sqref="N37"/>
    </sheetView>
  </sheetViews>
  <sheetFormatPr baseColWidth="8" defaultColWidth="13.85546875" defaultRowHeight="15"/>
  <cols>
    <col width="4.42578125" customWidth="1" style="584" min="8" max="8"/>
    <col width="6.42578125" customWidth="1" style="584" min="11" max="11"/>
    <col width="27.7109375" bestFit="1" customWidth="1" style="584" min="14" max="14"/>
    <col width="13.85546875" customWidth="1" style="199" min="15" max="15"/>
    <col hidden="1" outlineLevel="2" width="13.85546875" customWidth="1" style="584" min="17" max="22"/>
    <col hidden="1" outlineLevel="2" width="13.85546875" customWidth="1" style="162" min="23" max="23"/>
    <col hidden="1" outlineLevel="2" width="13.85546875" customWidth="1" style="174" min="24" max="24"/>
    <col hidden="1" outlineLevel="1" style="584" min="25" max="26"/>
    <col hidden="1" outlineLevel="1" width="5.42578125" customWidth="1" style="584" min="27" max="27"/>
    <col collapsed="1" width="5.42578125" customWidth="1" style="584" min="28" max="28"/>
    <col width="5.42578125" customWidth="1" style="584" min="29" max="29"/>
  </cols>
  <sheetData>
    <row r="1" ht="60" customHeight="1" s="584">
      <c r="A1" s="512" t="inlineStr">
        <is>
          <t>OEM</t>
        </is>
      </c>
      <c r="B1" t="inlineStr">
        <is>
          <t>Customer Code</t>
        </is>
      </c>
      <c r="C1" s="513" t="inlineStr">
        <is>
          <t>Customer</t>
        </is>
      </c>
      <c r="D1" s="605" t="inlineStr">
        <is>
          <t>Metallurgy condition</t>
        </is>
      </c>
      <c r="E1" s="515" t="inlineStr">
        <is>
          <t>Material Type</t>
        </is>
      </c>
      <c r="F1" s="513" t="inlineStr">
        <is>
          <t>GRADE</t>
        </is>
      </c>
      <c r="G1" s="516" t="inlineStr">
        <is>
          <t>OD</t>
        </is>
      </c>
      <c r="H1" s="516" t="inlineStr">
        <is>
          <t>ID</t>
        </is>
      </c>
      <c r="I1" s="516" t="inlineStr">
        <is>
          <t>THK</t>
        </is>
      </c>
      <c r="J1" s="513" t="inlineStr">
        <is>
          <t>LENGTH</t>
        </is>
      </c>
      <c r="K1" s="515" t="inlineStr">
        <is>
          <t>Length in Mtrs</t>
        </is>
      </c>
      <c r="L1" s="513" t="inlineStr">
        <is>
          <t>Key</t>
        </is>
      </c>
      <c r="M1" s="395" t="inlineStr">
        <is>
          <t>Bucket</t>
        </is>
      </c>
      <c r="N1" s="395" t="inlineStr">
        <is>
          <t>Bucket CTL</t>
        </is>
      </c>
      <c r="O1" s="513" t="inlineStr">
        <is>
          <t>plant</t>
        </is>
      </c>
      <c r="P1" s="517" t="inlineStr">
        <is>
          <t>TSL Material Code</t>
        </is>
      </c>
      <c r="Q1" s="518" t="inlineStr">
        <is>
          <t>SCH SEP- 25</t>
        </is>
      </c>
      <c r="R1" s="515" t="inlineStr">
        <is>
          <t>BALANCE TO BE SUPPLY</t>
        </is>
      </c>
      <c r="S1" s="515" t="inlineStr">
        <is>
          <t>Stock     22-09-25</t>
        </is>
      </c>
      <c r="T1" s="515" t="inlineStr">
        <is>
          <t xml:space="preserve">intransist </t>
        </is>
      </c>
      <c r="U1" s="515" t="inlineStr">
        <is>
          <t>OPENIG STOCK FOR NOV-2025</t>
        </is>
      </c>
      <c r="V1" s="515" t="inlineStr">
        <is>
          <t xml:space="preserve">order logg </t>
        </is>
      </c>
      <c r="W1" s="515" t="inlineStr">
        <is>
          <t>Opening stock including order logger</t>
        </is>
      </c>
      <c r="X1" s="519" t="inlineStr">
        <is>
          <t xml:space="preserve">    INDENT  FOR NOV-25 as per VSM</t>
        </is>
      </c>
      <c r="Y1" s="519" t="inlineStr">
        <is>
          <t xml:space="preserve"> INDENT  FOR NOV-25 recommended</t>
        </is>
      </c>
      <c r="Z1" s="515" t="inlineStr">
        <is>
          <t>Before 20th</t>
        </is>
      </c>
      <c r="AA1" s="520" t="inlineStr">
        <is>
          <t>ofter 20th</t>
        </is>
      </c>
      <c r="AB1" s="521" t="inlineStr">
        <is>
          <t>Total Indent</t>
        </is>
      </c>
      <c r="AC1" s="521" t="inlineStr">
        <is>
          <t>Total Supplied</t>
        </is>
      </c>
      <c r="AD1" s="205" t="inlineStr">
        <is>
          <t>Gap</t>
        </is>
      </c>
    </row>
    <row r="2">
      <c r="A2" s="265" t="inlineStr">
        <is>
          <t>TVS</t>
        </is>
      </c>
      <c r="B2" s="265" t="n">
        <v>943209</v>
      </c>
      <c r="C2" s="147" t="inlineStr">
        <is>
          <t>RUCHA</t>
        </is>
      </c>
      <c r="D2" s="147" t="inlineStr">
        <is>
          <t>ERW1</t>
        </is>
      </c>
      <c r="E2" s="147" t="inlineStr">
        <is>
          <t>NON FIN</t>
        </is>
      </c>
      <c r="F2" s="147" t="inlineStr">
        <is>
          <t>ERW</t>
        </is>
      </c>
      <c r="G2" s="148" t="n">
        <v>12.7</v>
      </c>
      <c r="H2" s="148" t="n"/>
      <c r="I2" s="148" t="n">
        <v>1.2</v>
      </c>
      <c r="J2" s="147" t="n">
        <v>6000</v>
      </c>
      <c r="K2" s="147" t="n">
        <v>6</v>
      </c>
      <c r="L2" s="147">
        <f>_xlfn.CONCAT(G2,I2,K2,F2,E2)</f>
        <v/>
      </c>
      <c r="M2" s="147">
        <f>VLOOKUP(Table27[[#This Row],[Key]],Table29[[#All],[Key]:[TSL Material Code3]],4,0)</f>
        <v/>
      </c>
      <c r="N2" s="147">
        <f>VLOOKUP(Table27[[#This Row],[Key]],Table29[[#All],[Key]:[TSL Material Code3]],5,0)</f>
        <v/>
      </c>
      <c r="O2" s="149">
        <f>VLOOKUP(Table27[[#This Row],[Key]],Table29[[#All],[Key]:[TSL Material Code3]],7,0)</f>
        <v/>
      </c>
      <c r="P2" s="150">
        <f>VLOOKUP(Table27[[#This Row],[Key]],Table29[[#All],[Key]:[TSL Material Code3]],8,0)</f>
        <v/>
      </c>
      <c r="Q2" s="19" t="n">
        <v>10</v>
      </c>
      <c r="R2" s="147" t="n">
        <v>3</v>
      </c>
      <c r="S2" s="147" t="n">
        <v>10</v>
      </c>
      <c r="T2" s="147" t="n">
        <v>0</v>
      </c>
      <c r="U2" s="147">
        <f>S2-R2</f>
        <v/>
      </c>
      <c r="V2" s="147" t="n"/>
      <c r="W2" s="147">
        <f>U2+V2</f>
        <v/>
      </c>
      <c r="X2" s="19">
        <f>Q2-W2</f>
        <v/>
      </c>
      <c r="Y2" s="167">
        <f>IF(X2&gt;0,X2,0)*150%</f>
        <v/>
      </c>
      <c r="Z2" s="19">
        <f>ROUND(SUMIFS(meghsteelsales_previousmonth[Quantity],meghsteelsales_previousmonth[Length Bucket],Table27[[#This Row],[Bucket CTL]])/1000,0)</f>
        <v/>
      </c>
      <c r="AA2" s="419">
        <f>ROUND(SUMIFS(meghsteelsales_currentmonth[Quantity],meghsteelsales_currentmonth[Length Bucket],Table27[[#This Row],[Bucket CTL]])/1000,0)</f>
        <v/>
      </c>
      <c r="AB2" s="90">
        <f>Table27[[#This Row],[ INDENT  FOR NOV-25 recommended]]+Table27[[#This Row],[order logg ]]</f>
        <v/>
      </c>
      <c r="AC2" s="90">
        <f>Table27[[#This Row],[Before 20th]]+Table27[[#This Row],[ofter 20th]]</f>
        <v/>
      </c>
      <c r="AD2">
        <f>IF(Table27[[#This Row],[Total Indent]]-Table27[[#This Row],[Total Supplied]]&lt;0,0,Table27[[#This Row],[Total Indent]]-Table27[[#This Row],[Total Supplied]])</f>
        <v/>
      </c>
    </row>
    <row r="3">
      <c r="A3" s="265" t="inlineStr">
        <is>
          <t>HMSI</t>
        </is>
      </c>
      <c r="B3" s="265" t="n">
        <v>943210</v>
      </c>
      <c r="C3" s="147" t="inlineStr">
        <is>
          <t>BADVE</t>
        </is>
      </c>
      <c r="D3" s="147" t="inlineStr">
        <is>
          <t>ERW1</t>
        </is>
      </c>
      <c r="E3" s="147" t="inlineStr">
        <is>
          <t>NON FIN</t>
        </is>
      </c>
      <c r="F3" s="147" t="inlineStr">
        <is>
          <t>ERW</t>
        </is>
      </c>
      <c r="G3" s="148" t="n">
        <v>12.7</v>
      </c>
      <c r="H3" s="148" t="n"/>
      <c r="I3" s="148" t="n">
        <v>1.4</v>
      </c>
      <c r="J3" s="147" t="n">
        <v>6000</v>
      </c>
      <c r="K3" s="147" t="n">
        <v>6</v>
      </c>
      <c r="L3" s="147">
        <f>_xlfn.CONCAT(G3,I3,K3,F3,E3)</f>
        <v/>
      </c>
      <c r="M3" s="147">
        <f>VLOOKUP(Table27[[#This Row],[Key]],Table29[[#All],[Key]:[TSL Material Code3]],4,0)</f>
        <v/>
      </c>
      <c r="N3" s="147">
        <f>VLOOKUP(Table27[[#This Row],[Key]],Table29[[#All],[Key]:[TSL Material Code3]],5,0)</f>
        <v/>
      </c>
      <c r="O3" s="149">
        <f>VLOOKUP(Table27[[#This Row],[Key]],Table29[[#All],[Key]:[TSL Material Code3]],7,0)</f>
        <v/>
      </c>
      <c r="P3" s="150">
        <f>VLOOKUP(Table27[[#This Row],[Key]],Table29[[#All],[Key]:[TSL Material Code3]],8,0)</f>
        <v/>
      </c>
      <c r="Q3" s="19" t="n">
        <v>5</v>
      </c>
      <c r="R3" s="147" t="n">
        <v>0</v>
      </c>
      <c r="S3" s="147" t="n">
        <v>5</v>
      </c>
      <c r="T3" s="147" t="n">
        <v>0</v>
      </c>
      <c r="U3" s="147">
        <f>S3-R3</f>
        <v/>
      </c>
      <c r="V3" s="147" t="n"/>
      <c r="W3" s="147">
        <f>U3+V3</f>
        <v/>
      </c>
      <c r="X3" s="19">
        <f>Q3-W3</f>
        <v/>
      </c>
      <c r="Y3" s="167">
        <f>IF(X3&gt;0,X3,0)*150%</f>
        <v/>
      </c>
      <c r="Z3" s="19">
        <f>ROUND(SUMIFS(meghsteelsales_previousmonth[Quantity],meghsteelsales_previousmonth[Length Bucket],Table27[[#This Row],[Bucket CTL]])/1000,0)</f>
        <v/>
      </c>
      <c r="AA3" s="419">
        <f>ROUND(SUMIFS(meghsteelsales_currentmonth[Quantity],meghsteelsales_currentmonth[Length Bucket],Table27[[#This Row],[Bucket CTL]])/1000,0)</f>
        <v/>
      </c>
      <c r="AB3" s="90">
        <f>Table27[[#This Row],[ INDENT  FOR NOV-25 recommended]]+Table27[[#This Row],[order logg ]]</f>
        <v/>
      </c>
      <c r="AC3" s="90">
        <f>Table27[[#This Row],[Before 20th]]+Table27[[#This Row],[ofter 20th]]</f>
        <v/>
      </c>
      <c r="AD3">
        <f>IF(Table27[[#This Row],[Total Indent]]-Table27[[#This Row],[Total Supplied]]&lt;0,0,Table27[[#This Row],[Total Indent]]-Table27[[#This Row],[Total Supplied]])</f>
        <v/>
      </c>
    </row>
    <row r="4">
      <c r="A4" s="265" t="inlineStr">
        <is>
          <t>HMSI</t>
        </is>
      </c>
      <c r="B4" s="265" t="n">
        <v>943210</v>
      </c>
      <c r="C4" s="147" t="inlineStr">
        <is>
          <t>BADVE</t>
        </is>
      </c>
      <c r="D4" s="147" t="inlineStr">
        <is>
          <t>ERW1</t>
        </is>
      </c>
      <c r="E4" s="147" t="inlineStr">
        <is>
          <t>NON FIN</t>
        </is>
      </c>
      <c r="F4" s="147" t="inlineStr">
        <is>
          <t>ERW</t>
        </is>
      </c>
      <c r="G4" s="148" t="n">
        <v>12.7</v>
      </c>
      <c r="H4" s="148" t="n"/>
      <c r="I4" s="148" t="n">
        <v>1.6</v>
      </c>
      <c r="J4" s="147" t="n">
        <v>6000</v>
      </c>
      <c r="K4" s="147" t="n">
        <v>6</v>
      </c>
      <c r="L4" s="147">
        <f>_xlfn.CONCAT(G4,I4,K4,F4,E4)</f>
        <v/>
      </c>
      <c r="M4" s="147">
        <f>VLOOKUP(Table27[[#This Row],[Key]],Table29[[#All],[Key]:[TSL Material Code3]],4,0)</f>
        <v/>
      </c>
      <c r="N4" s="147">
        <f>VLOOKUP(Table27[[#This Row],[Key]],Table29[[#All],[Key]:[TSL Material Code3]],5,0)</f>
        <v/>
      </c>
      <c r="O4" s="149">
        <f>VLOOKUP(Table27[[#This Row],[Key]],Table29[[#All],[Key]:[TSL Material Code3]],7,0)</f>
        <v/>
      </c>
      <c r="P4" s="150">
        <f>VLOOKUP(Table27[[#This Row],[Key]],Table29[[#All],[Key]:[TSL Material Code3]],8,0)</f>
        <v/>
      </c>
      <c r="Q4" s="19" t="n">
        <v>5</v>
      </c>
      <c r="R4" s="147" t="n">
        <v>1</v>
      </c>
      <c r="S4" s="147" t="n">
        <v>3</v>
      </c>
      <c r="T4" s="147" t="n">
        <v>0</v>
      </c>
      <c r="U4" s="147">
        <f>S4-R4</f>
        <v/>
      </c>
      <c r="V4" s="147" t="n"/>
      <c r="W4" s="147">
        <f>U4+V4</f>
        <v/>
      </c>
      <c r="X4" s="19">
        <f>Q4-W4</f>
        <v/>
      </c>
      <c r="Y4" s="167">
        <f>IF(X4&gt;0,X4,0)*150%</f>
        <v/>
      </c>
      <c r="Z4" s="19">
        <f>ROUND(SUMIFS(meghsteelsales_previousmonth[Quantity],meghsteelsales_previousmonth[Length Bucket],Table27[[#This Row],[Bucket CTL]])/1000,0)</f>
        <v/>
      </c>
      <c r="AA4" s="419">
        <f>ROUND(SUMIFS(meghsteelsales_currentmonth[Quantity],meghsteelsales_currentmonth[Length Bucket],Table27[[#This Row],[Bucket CTL]])/1000,0)</f>
        <v/>
      </c>
      <c r="AB4" s="90">
        <f>Table27[[#This Row],[ INDENT  FOR NOV-25 recommended]]+Table27[[#This Row],[order logg ]]</f>
        <v/>
      </c>
      <c r="AC4" s="90">
        <f>Table27[[#This Row],[Before 20th]]+Table27[[#This Row],[ofter 20th]]</f>
        <v/>
      </c>
      <c r="AD4">
        <f>IF(Table27[[#This Row],[Total Indent]]-Table27[[#This Row],[Total Supplied]]&lt;0,0,Table27[[#This Row],[Total Indent]]-Table27[[#This Row],[Total Supplied]])</f>
        <v/>
      </c>
    </row>
    <row r="5">
      <c r="A5" s="265" t="inlineStr">
        <is>
          <t>HMSI</t>
        </is>
      </c>
      <c r="B5" s="265" t="n">
        <v>943210</v>
      </c>
      <c r="C5" s="147" t="inlineStr">
        <is>
          <t>BADVE</t>
        </is>
      </c>
      <c r="D5" s="147" t="inlineStr">
        <is>
          <t>ERW1</t>
        </is>
      </c>
      <c r="E5" s="147" t="inlineStr">
        <is>
          <t>NON FIN</t>
        </is>
      </c>
      <c r="F5" s="147" t="inlineStr">
        <is>
          <t>ERW</t>
        </is>
      </c>
      <c r="G5" s="148" t="n">
        <v>15.88</v>
      </c>
      <c r="H5" s="148" t="n"/>
      <c r="I5" s="148" t="n">
        <v>1</v>
      </c>
      <c r="J5" s="147" t="n">
        <v>6000</v>
      </c>
      <c r="K5" s="147" t="n">
        <v>6</v>
      </c>
      <c r="L5" s="147">
        <f>_xlfn.CONCAT(G5,I5,K5,F5,E5)</f>
        <v/>
      </c>
      <c r="M5" s="147">
        <f>VLOOKUP(Table27[[#This Row],[Key]],Table29[[#All],[Key]:[TSL Material Code3]],4,0)</f>
        <v/>
      </c>
      <c r="N5" s="147">
        <f>VLOOKUP(Table27[[#This Row],[Key]],Table29[[#All],[Key]:[TSL Material Code3]],5,0)</f>
        <v/>
      </c>
      <c r="O5" s="149">
        <f>VLOOKUP(Table27[[#This Row],[Key]],Table29[[#All],[Key]:[TSL Material Code3]],7,0)</f>
        <v/>
      </c>
      <c r="P5" s="150">
        <f>VLOOKUP(Table27[[#This Row],[Key]],Table29[[#All],[Key]:[TSL Material Code3]],8,0)</f>
        <v/>
      </c>
      <c r="Q5" s="19" t="n">
        <v>1</v>
      </c>
      <c r="R5" s="147" t="n">
        <v>0</v>
      </c>
      <c r="S5" s="147" t="n">
        <v>1.4</v>
      </c>
      <c r="T5" s="147" t="n">
        <v>0</v>
      </c>
      <c r="U5" s="147">
        <f>S5-R5</f>
        <v/>
      </c>
      <c r="V5" s="147" t="n"/>
      <c r="W5" s="147">
        <f>U5+V5</f>
        <v/>
      </c>
      <c r="X5" s="19">
        <f>Q5-W5</f>
        <v/>
      </c>
      <c r="Y5" s="167">
        <f>IF(X5&gt;0,X5,0)*150%</f>
        <v/>
      </c>
      <c r="Z5" s="19">
        <f>ROUND(SUMIFS(meghsteelsales_previousmonth[Quantity],meghsteelsales_previousmonth[Length Bucket],Table27[[#This Row],[Bucket CTL]])/1000,0)</f>
        <v/>
      </c>
      <c r="AA5" s="419">
        <f>ROUND(SUMIFS(meghsteelsales_currentmonth[Quantity],meghsteelsales_currentmonth[Length Bucket],Table27[[#This Row],[Bucket CTL]])/1000,0)</f>
        <v/>
      </c>
      <c r="AB5" s="90">
        <f>Table27[[#This Row],[ INDENT  FOR NOV-25 recommended]]+Table27[[#This Row],[order logg ]]</f>
        <v/>
      </c>
      <c r="AC5" s="90">
        <f>Table27[[#This Row],[Before 20th]]+Table27[[#This Row],[ofter 20th]]</f>
        <v/>
      </c>
      <c r="AD5">
        <f>IF(Table27[[#This Row],[Total Indent]]-Table27[[#This Row],[Total Supplied]]&lt;0,0,Table27[[#This Row],[Total Indent]]-Table27[[#This Row],[Total Supplied]])</f>
        <v/>
      </c>
    </row>
    <row r="6">
      <c r="A6" s="265" t="inlineStr">
        <is>
          <t>TVS</t>
        </is>
      </c>
      <c r="B6" s="265" t="n">
        <v>943209</v>
      </c>
      <c r="C6" s="147" t="inlineStr">
        <is>
          <t>RUCHA</t>
        </is>
      </c>
      <c r="D6" s="147" t="inlineStr">
        <is>
          <t>ERW1</t>
        </is>
      </c>
      <c r="E6" s="147" t="inlineStr">
        <is>
          <t>NON FIN</t>
        </is>
      </c>
      <c r="F6" s="147" t="inlineStr">
        <is>
          <t>ERW</t>
        </is>
      </c>
      <c r="G6" s="148" t="n">
        <v>15.88</v>
      </c>
      <c r="H6" s="148" t="n"/>
      <c r="I6" s="148" t="n">
        <v>1.2</v>
      </c>
      <c r="J6" s="147" t="n">
        <v>6000</v>
      </c>
      <c r="K6" s="147" t="n">
        <v>6</v>
      </c>
      <c r="L6" s="147">
        <f>_xlfn.CONCAT(G6,I6,K6,F6,E6)</f>
        <v/>
      </c>
      <c r="M6" s="147">
        <f>VLOOKUP(Table27[[#This Row],[Key]],Table29[[#All],[Key]:[TSL Material Code3]],4,0)</f>
        <v/>
      </c>
      <c r="N6" s="147">
        <f>VLOOKUP(Table27[[#This Row],[Key]],Table29[[#All],[Key]:[TSL Material Code3]],5,0)</f>
        <v/>
      </c>
      <c r="O6" s="149">
        <f>VLOOKUP(Table27[[#This Row],[Key]],Table29[[#All],[Key]:[TSL Material Code3]],7,0)</f>
        <v/>
      </c>
      <c r="P6" s="150">
        <f>VLOOKUP(Table27[[#This Row],[Key]],Table29[[#All],[Key]:[TSL Material Code3]],8,0)</f>
        <v/>
      </c>
      <c r="Q6" s="19" t="n">
        <v>8</v>
      </c>
      <c r="R6" s="147" t="n">
        <v>4</v>
      </c>
      <c r="S6" s="147" t="n">
        <v>22.4</v>
      </c>
      <c r="T6" s="147" t="n">
        <v>0</v>
      </c>
      <c r="U6" s="147">
        <f>S6-R6</f>
        <v/>
      </c>
      <c r="V6" s="147" t="n"/>
      <c r="W6" s="147">
        <f>U6+V6</f>
        <v/>
      </c>
      <c r="X6" s="19">
        <f>Q6-W6</f>
        <v/>
      </c>
      <c r="Y6" s="167">
        <f>IF(X6&gt;0,X6,0)*150%</f>
        <v/>
      </c>
      <c r="Z6" s="19">
        <f>ROUND(SUMIFS(meghsteelsales_previousmonth[Quantity],meghsteelsales_previousmonth[Length Bucket],Table27[[#This Row],[Bucket CTL]])/1000,0)</f>
        <v/>
      </c>
      <c r="AA6" s="419">
        <f>ROUND(SUMIFS(meghsteelsales_currentmonth[Quantity],meghsteelsales_currentmonth[Length Bucket],Table27[[#This Row],[Bucket CTL]])/1000,0)</f>
        <v/>
      </c>
      <c r="AB6" s="90">
        <f>Table27[[#This Row],[ INDENT  FOR NOV-25 recommended]]+Table27[[#This Row],[order logg ]]</f>
        <v/>
      </c>
      <c r="AC6" s="90">
        <f>Table27[[#This Row],[Before 20th]]+Table27[[#This Row],[ofter 20th]]</f>
        <v/>
      </c>
      <c r="AD6">
        <f>IF(Table27[[#This Row],[Total Indent]]-Table27[[#This Row],[Total Supplied]]&lt;0,0,Table27[[#This Row],[Total Indent]]-Table27[[#This Row],[Total Supplied]])</f>
        <v/>
      </c>
    </row>
    <row r="7">
      <c r="A7" s="265" t="inlineStr">
        <is>
          <t>HMSI</t>
        </is>
      </c>
      <c r="B7" s="265" t="n">
        <v>943210</v>
      </c>
      <c r="C7" s="147" t="inlineStr">
        <is>
          <t>BADVE</t>
        </is>
      </c>
      <c r="D7" s="147" t="inlineStr">
        <is>
          <t>ERW1</t>
        </is>
      </c>
      <c r="E7" s="147" t="inlineStr">
        <is>
          <t>NON FIN</t>
        </is>
      </c>
      <c r="F7" s="147" t="inlineStr">
        <is>
          <t>ERW</t>
        </is>
      </c>
      <c r="G7" s="148" t="n">
        <v>15.88</v>
      </c>
      <c r="H7" s="148" t="n"/>
      <c r="I7" s="148" t="n">
        <v>1.6</v>
      </c>
      <c r="J7" s="147" t="n">
        <v>6000</v>
      </c>
      <c r="K7" s="147" t="n">
        <v>6</v>
      </c>
      <c r="L7" s="147">
        <f>_xlfn.CONCAT(G7,I7,K7,F7,E7)</f>
        <v/>
      </c>
      <c r="M7" s="147">
        <f>VLOOKUP(Table27[[#This Row],[Key]],Table29[[#All],[Key]:[TSL Material Code3]],4,0)</f>
        <v/>
      </c>
      <c r="N7" s="147">
        <f>VLOOKUP(Table27[[#This Row],[Key]],Table29[[#All],[Key]:[TSL Material Code3]],5,0)</f>
        <v/>
      </c>
      <c r="O7" s="149">
        <f>VLOOKUP(Table27[[#This Row],[Key]],Table29[[#All],[Key]:[TSL Material Code3]],7,0)</f>
        <v/>
      </c>
      <c r="P7" s="150">
        <f>VLOOKUP(Table27[[#This Row],[Key]],Table29[[#All],[Key]:[TSL Material Code3]],8,0)</f>
        <v/>
      </c>
      <c r="Q7" s="19" t="n">
        <v>5</v>
      </c>
      <c r="R7" s="147" t="n">
        <v>2</v>
      </c>
      <c r="S7" s="147" t="n">
        <v>0.5</v>
      </c>
      <c r="T7" s="147" t="n">
        <v>2.75</v>
      </c>
      <c r="U7" s="147">
        <f>S7-R7</f>
        <v/>
      </c>
      <c r="V7" s="147" t="n"/>
      <c r="W7" s="147">
        <f>U7+V7</f>
        <v/>
      </c>
      <c r="X7" s="19">
        <f>Q7-W7</f>
        <v/>
      </c>
      <c r="Y7" s="167">
        <f>IF(X7&gt;0,X7,0)*150%</f>
        <v/>
      </c>
      <c r="Z7" s="19">
        <f>ROUND(SUMIFS(meghsteelsales_previousmonth[Quantity],meghsteelsales_previousmonth[Length Bucket],Table27[[#This Row],[Bucket CTL]])/1000,0)</f>
        <v/>
      </c>
      <c r="AA7" s="419">
        <f>ROUND(SUMIFS(meghsteelsales_currentmonth[Quantity],meghsteelsales_currentmonth[Length Bucket],Table27[[#This Row],[Bucket CTL]])/1000,0)</f>
        <v/>
      </c>
      <c r="AB7" s="90">
        <f>Table27[[#This Row],[ INDENT  FOR NOV-25 recommended]]+Table27[[#This Row],[order logg ]]</f>
        <v/>
      </c>
      <c r="AC7" s="90">
        <f>Table27[[#This Row],[Before 20th]]+Table27[[#This Row],[ofter 20th]]</f>
        <v/>
      </c>
      <c r="AD7">
        <f>IF(Table27[[#This Row],[Total Indent]]-Table27[[#This Row],[Total Supplied]]&lt;0,0,Table27[[#This Row],[Total Indent]]-Table27[[#This Row],[Total Supplied]])</f>
        <v/>
      </c>
    </row>
    <row r="8">
      <c r="A8" s="265" t="inlineStr">
        <is>
          <t>HMSI</t>
        </is>
      </c>
      <c r="B8" s="265" t="n">
        <v>943210</v>
      </c>
      <c r="C8" s="147" t="inlineStr">
        <is>
          <t>BADVE</t>
        </is>
      </c>
      <c r="D8" s="147" t="inlineStr">
        <is>
          <t>ERW1</t>
        </is>
      </c>
      <c r="E8" s="147" t="inlineStr">
        <is>
          <t>NON FIN</t>
        </is>
      </c>
      <c r="F8" s="147" t="inlineStr">
        <is>
          <t>ERW</t>
        </is>
      </c>
      <c r="G8" s="148" t="n">
        <v>15.88</v>
      </c>
      <c r="H8" s="148" t="n"/>
      <c r="I8" s="148" t="n">
        <v>2</v>
      </c>
      <c r="J8" s="147" t="n">
        <v>6000</v>
      </c>
      <c r="K8" s="147" t="n">
        <v>6</v>
      </c>
      <c r="L8" s="147">
        <f>_xlfn.CONCAT(G8,I8,K8,F8,E8)</f>
        <v/>
      </c>
      <c r="M8" s="147">
        <f>VLOOKUP(Table27[[#This Row],[Key]],Table29[[#All],[Key]:[TSL Material Code3]],4,0)</f>
        <v/>
      </c>
      <c r="N8" s="147">
        <f>VLOOKUP(Table27[[#This Row],[Key]],Table29[[#All],[Key]:[TSL Material Code3]],5,0)</f>
        <v/>
      </c>
      <c r="O8" s="149">
        <f>VLOOKUP(Table27[[#This Row],[Key]],Table29[[#All],[Key]:[TSL Material Code3]],7,0)</f>
        <v/>
      </c>
      <c r="P8" s="150">
        <f>VLOOKUP(Table27[[#This Row],[Key]],Table29[[#All],[Key]:[TSL Material Code3]],8,0)</f>
        <v/>
      </c>
      <c r="Q8" s="19" t="n">
        <v>5</v>
      </c>
      <c r="R8" s="147" t="n">
        <v>1</v>
      </c>
      <c r="S8" s="147" t="n">
        <v>10</v>
      </c>
      <c r="T8" s="147" t="n">
        <v>0</v>
      </c>
      <c r="U8" s="147">
        <f>S8-R8</f>
        <v/>
      </c>
      <c r="V8" s="147" t="n"/>
      <c r="W8" s="147">
        <f>U8+V8</f>
        <v/>
      </c>
      <c r="X8" s="19">
        <f>Q8-W8</f>
        <v/>
      </c>
      <c r="Y8" s="167">
        <f>IF(X8&gt;0,X8,0)*150%</f>
        <v/>
      </c>
      <c r="Z8" s="19">
        <f>ROUND(SUMIFS(meghsteelsales_previousmonth[Quantity],meghsteelsales_previousmonth[Length Bucket],Table27[[#This Row],[Bucket CTL]])/1000,0)</f>
        <v/>
      </c>
      <c r="AA8" s="419">
        <f>ROUND(SUMIFS(meghsteelsales_currentmonth[Quantity],meghsteelsales_currentmonth[Length Bucket],Table27[[#This Row],[Bucket CTL]])/1000,0)</f>
        <v/>
      </c>
      <c r="AB8" s="90">
        <f>Table27[[#This Row],[ INDENT  FOR NOV-25 recommended]]+Table27[[#This Row],[order logg ]]</f>
        <v/>
      </c>
      <c r="AC8" s="90">
        <f>Table27[[#This Row],[Before 20th]]+Table27[[#This Row],[ofter 20th]]</f>
        <v/>
      </c>
      <c r="AD8">
        <f>IF(Table27[[#This Row],[Total Indent]]-Table27[[#This Row],[Total Supplied]]&lt;0,0,Table27[[#This Row],[Total Indent]]-Table27[[#This Row],[Total Supplied]])</f>
        <v/>
      </c>
    </row>
    <row r="9">
      <c r="A9" s="265" t="inlineStr">
        <is>
          <t>TVS</t>
        </is>
      </c>
      <c r="B9" s="265" t="n">
        <v>943209</v>
      </c>
      <c r="C9" s="147" t="inlineStr">
        <is>
          <t>Rucha</t>
        </is>
      </c>
      <c r="D9" s="147" t="inlineStr">
        <is>
          <t>ERW1</t>
        </is>
      </c>
      <c r="E9" s="147" t="inlineStr">
        <is>
          <t>NON FIN</t>
        </is>
      </c>
      <c r="F9" s="147" t="inlineStr">
        <is>
          <t>ERW</t>
        </is>
      </c>
      <c r="G9" s="148" t="n">
        <v>18.2</v>
      </c>
      <c r="H9" s="148" t="n"/>
      <c r="I9" s="148" t="n">
        <v>1</v>
      </c>
      <c r="J9" s="147" t="n">
        <v>6000</v>
      </c>
      <c r="K9" s="147" t="n">
        <v>6</v>
      </c>
      <c r="L9" s="147">
        <f>_xlfn.CONCAT(G9,I9,K9,F9,E9)</f>
        <v/>
      </c>
      <c r="M9" s="147">
        <f>VLOOKUP(Table27[[#This Row],[Key]],Table29[[#All],[Key]:[TSL Material Code3]],4,0)</f>
        <v/>
      </c>
      <c r="N9" s="147">
        <f>VLOOKUP(Table27[[#This Row],[Key]],Table29[[#All],[Key]:[TSL Material Code3]],5,0)</f>
        <v/>
      </c>
      <c r="O9" s="149">
        <f>VLOOKUP(Table27[[#This Row],[Key]],Table29[[#All],[Key]:[TSL Material Code3]],7,0)</f>
        <v/>
      </c>
      <c r="P9" s="150">
        <f>VLOOKUP(Table27[[#This Row],[Key]],Table29[[#All],[Key]:[TSL Material Code3]],8,0)</f>
        <v/>
      </c>
      <c r="Q9" s="19" t="n">
        <v>10</v>
      </c>
      <c r="R9" s="147" t="n">
        <v>5</v>
      </c>
      <c r="S9" s="147" t="n">
        <v>8.800000000000001</v>
      </c>
      <c r="T9" s="147" t="n">
        <v>0</v>
      </c>
      <c r="U9" s="147">
        <f>S9-R9</f>
        <v/>
      </c>
      <c r="V9" s="147" t="n"/>
      <c r="W9" s="147">
        <f>U9+V9</f>
        <v/>
      </c>
      <c r="X9" s="19">
        <f>Q9-W9</f>
        <v/>
      </c>
      <c r="Y9" s="167">
        <f>IF(X9&gt;0,X9,0)*150%</f>
        <v/>
      </c>
      <c r="Z9" s="19">
        <f>ROUND(SUMIFS(meghsteelsales_previousmonth[Quantity],meghsteelsales_previousmonth[Length Bucket],Table27[[#This Row],[Bucket CTL]])/1000,0)</f>
        <v/>
      </c>
      <c r="AA9" s="419">
        <f>ROUND(SUMIFS(meghsteelsales_currentmonth[Quantity],meghsteelsales_currentmonth[Length Bucket],Table27[[#This Row],[Bucket CTL]])/1000,0)</f>
        <v/>
      </c>
      <c r="AB9" s="90">
        <f>Table27[[#This Row],[ INDENT  FOR NOV-25 recommended]]+Table27[[#This Row],[order logg ]]</f>
        <v/>
      </c>
      <c r="AC9" s="90">
        <f>Table27[[#This Row],[Before 20th]]+Table27[[#This Row],[ofter 20th]]</f>
        <v/>
      </c>
      <c r="AD9">
        <f>IF(Table27[[#This Row],[Total Indent]]-Table27[[#This Row],[Total Supplied]]&lt;0,0,Table27[[#This Row],[Total Indent]]-Table27[[#This Row],[Total Supplied]])</f>
        <v/>
      </c>
    </row>
    <row r="10">
      <c r="A10" s="265" t="inlineStr">
        <is>
          <t>HMSI</t>
        </is>
      </c>
      <c r="B10" s="265" t="n">
        <v>943210</v>
      </c>
      <c r="C10" s="147" t="inlineStr">
        <is>
          <t>BADVE</t>
        </is>
      </c>
      <c r="D10" s="153" t="inlineStr">
        <is>
          <t>ERW1</t>
        </is>
      </c>
      <c r="E10" s="147" t="inlineStr">
        <is>
          <t>NON FIN</t>
        </is>
      </c>
      <c r="F10" s="147" t="inlineStr">
        <is>
          <t>ERW</t>
        </is>
      </c>
      <c r="G10" s="148" t="n">
        <v>19.05</v>
      </c>
      <c r="H10" s="148" t="n"/>
      <c r="I10" s="148" t="n">
        <v>1.6</v>
      </c>
      <c r="J10" s="147" t="n">
        <v>6000</v>
      </c>
      <c r="K10" s="147" t="n">
        <v>6</v>
      </c>
      <c r="L10" s="147">
        <f>_xlfn.CONCAT(G10,I10,K10,F10,E10)</f>
        <v/>
      </c>
      <c r="M10" s="147">
        <f>VLOOKUP(Table27[[#This Row],[Key]],Table29[[#All],[Key]:[TSL Material Code3]],4,0)</f>
        <v/>
      </c>
      <c r="N10" s="147">
        <f>VLOOKUP(Table27[[#This Row],[Key]],Table29[[#All],[Key]:[TSL Material Code3]],5,0)</f>
        <v/>
      </c>
      <c r="O10" s="149">
        <f>VLOOKUP(Table27[[#This Row],[Key]],Table29[[#All],[Key]:[TSL Material Code3]],7,0)</f>
        <v/>
      </c>
      <c r="P10" s="150">
        <f>VLOOKUP(Table27[[#This Row],[Key]],Table29[[#All],[Key]:[TSL Material Code3]],8,0)</f>
        <v/>
      </c>
      <c r="Q10" s="19" t="n">
        <v>10</v>
      </c>
      <c r="R10" s="147" t="n">
        <v>5</v>
      </c>
      <c r="S10" s="147" t="n">
        <v>14</v>
      </c>
      <c r="T10" s="147" t="n">
        <v>0</v>
      </c>
      <c r="U10" s="147">
        <f>S10-R10</f>
        <v/>
      </c>
      <c r="V10" s="147" t="n">
        <v>2.7</v>
      </c>
      <c r="W10" s="147">
        <f>U10+V10</f>
        <v/>
      </c>
      <c r="X10" s="19">
        <f>Q10-W10</f>
        <v/>
      </c>
      <c r="Y10" s="167">
        <f>IF(X10&gt;0,X10,0)*150%</f>
        <v/>
      </c>
      <c r="Z10" s="19">
        <f>ROUND(SUMIFS(meghsteelsales_previousmonth[Quantity],meghsteelsales_previousmonth[Length Bucket],Table27[[#This Row],[Bucket CTL]])/1000,0)</f>
        <v/>
      </c>
      <c r="AA10" s="419">
        <f>ROUND(SUMIFS(meghsteelsales_currentmonth[Quantity],meghsteelsales_currentmonth[Length Bucket],Table27[[#This Row],[Bucket CTL]])/1000,0)</f>
        <v/>
      </c>
      <c r="AB10" s="90">
        <f>Table27[[#This Row],[ INDENT  FOR NOV-25 recommended]]+Table27[[#This Row],[order logg ]]</f>
        <v/>
      </c>
      <c r="AC10" s="90">
        <f>Table27[[#This Row],[Before 20th]]+Table27[[#This Row],[ofter 20th]]</f>
        <v/>
      </c>
      <c r="AD10">
        <f>IF(Table27[[#This Row],[Total Indent]]-Table27[[#This Row],[Total Supplied]]&lt;0,0,Table27[[#This Row],[Total Indent]]-Table27[[#This Row],[Total Supplied]])</f>
        <v/>
      </c>
    </row>
    <row r="11">
      <c r="A11" s="265" t="inlineStr">
        <is>
          <t>HMSI</t>
        </is>
      </c>
      <c r="B11" s="265" t="n">
        <v>943210</v>
      </c>
      <c r="C11" s="147" t="inlineStr">
        <is>
          <t>BADVE</t>
        </is>
      </c>
      <c r="D11" s="147" t="inlineStr">
        <is>
          <t>ERW2</t>
        </is>
      </c>
      <c r="E11" s="147" t="inlineStr">
        <is>
          <t>NON FIN</t>
        </is>
      </c>
      <c r="F11" s="147" t="inlineStr">
        <is>
          <t>ERW2</t>
        </is>
      </c>
      <c r="G11" s="148" t="n">
        <v>19.05</v>
      </c>
      <c r="H11" s="148" t="n"/>
      <c r="I11" s="148" t="n">
        <v>1.4</v>
      </c>
      <c r="J11" s="147" t="n">
        <v>6000</v>
      </c>
      <c r="K11" s="147" t="n">
        <v>6</v>
      </c>
      <c r="L11" s="147">
        <f>_xlfn.CONCAT(G11,I11,K11,F11,E11)</f>
        <v/>
      </c>
      <c r="M11" s="147">
        <f>VLOOKUP(Table27[[#This Row],[Key]],Table29[[#All],[Key]:[TSL Material Code3]],4,0)</f>
        <v/>
      </c>
      <c r="N11" s="147">
        <f>VLOOKUP(Table27[[#This Row],[Key]],Table29[[#All],[Key]:[TSL Material Code3]],5,0)</f>
        <v/>
      </c>
      <c r="O11" s="149">
        <f>VLOOKUP(Table27[[#This Row],[Key]],Table29[[#All],[Key]:[TSL Material Code3]],7,0)</f>
        <v/>
      </c>
      <c r="P11" s="150">
        <f>VLOOKUP(Table27[[#This Row],[Key]],Table29[[#All],[Key]:[TSL Material Code3]],8,0)</f>
        <v/>
      </c>
      <c r="Q11" s="19" t="n">
        <v>10</v>
      </c>
      <c r="R11" s="147" t="n">
        <v>3</v>
      </c>
      <c r="S11" s="147" t="n">
        <v>0</v>
      </c>
      <c r="T11" s="147" t="n">
        <v>0</v>
      </c>
      <c r="U11" s="147">
        <f>S11-R11</f>
        <v/>
      </c>
      <c r="V11" s="147" t="n">
        <v>10</v>
      </c>
      <c r="W11" s="147">
        <f>U11+V11</f>
        <v/>
      </c>
      <c r="X11" s="19">
        <f>Q11-W11</f>
        <v/>
      </c>
      <c r="Y11" s="167">
        <f>IF(X11&gt;0,X11,0)*150%</f>
        <v/>
      </c>
      <c r="Z11" s="19">
        <f>ROUND(SUMIFS(meghsteelsales_previousmonth[Quantity],meghsteelsales_previousmonth[Length Bucket],Table27[[#This Row],[Bucket CTL]])/1000,0)</f>
        <v/>
      </c>
      <c r="AA11" s="419">
        <f>ROUND(SUMIFS(meghsteelsales_currentmonth[Quantity],meghsteelsales_currentmonth[Length Bucket],Table27[[#This Row],[Bucket CTL]])/1000,0)</f>
        <v/>
      </c>
      <c r="AB11" s="90">
        <f>Table27[[#This Row],[ INDENT  FOR NOV-25 recommended]]+Table27[[#This Row],[order logg ]]</f>
        <v/>
      </c>
      <c r="AC11" s="90">
        <f>Table27[[#This Row],[Before 20th]]+Table27[[#This Row],[ofter 20th]]</f>
        <v/>
      </c>
      <c r="AD11">
        <f>IF(Table27[[#This Row],[Total Indent]]-Table27[[#This Row],[Total Supplied]]&lt;0,0,Table27[[#This Row],[Total Indent]]-Table27[[#This Row],[Total Supplied]])</f>
        <v/>
      </c>
    </row>
    <row r="12">
      <c r="A12" s="265" t="inlineStr">
        <is>
          <t>TVS</t>
        </is>
      </c>
      <c r="B12" s="265" t="n">
        <v>943209</v>
      </c>
      <c r="C12" s="147" t="inlineStr">
        <is>
          <t>RUCHA</t>
        </is>
      </c>
      <c r="D12" s="153" t="inlineStr">
        <is>
          <t>ERW1</t>
        </is>
      </c>
      <c r="E12" s="147" t="inlineStr">
        <is>
          <t>NON FIN</t>
        </is>
      </c>
      <c r="F12" s="147" t="inlineStr">
        <is>
          <t>ERW</t>
        </is>
      </c>
      <c r="G12" s="154" t="n">
        <v>19.05</v>
      </c>
      <c r="H12" s="154" t="n"/>
      <c r="I12" s="154" t="n">
        <v>2</v>
      </c>
      <c r="J12" s="155" t="n">
        <v>5800</v>
      </c>
      <c r="K12" s="147" t="n">
        <v>5.8</v>
      </c>
      <c r="L12" s="147">
        <f>_xlfn.CONCAT(G12,I12,K12,F12,E12)</f>
        <v/>
      </c>
      <c r="M12" s="147">
        <f>VLOOKUP(Table27[[#This Row],[Key]],Table29[[#All],[Key]:[TSL Material Code3]],4,0)</f>
        <v/>
      </c>
      <c r="N12" s="147">
        <f>VLOOKUP(Table27[[#This Row],[Key]],Table29[[#All],[Key]:[TSL Material Code3]],5,0)</f>
        <v/>
      </c>
      <c r="O12" s="158" t="inlineStr">
        <is>
          <t>0789</t>
        </is>
      </c>
      <c r="P12" s="150">
        <f>VLOOKUP(Table27[[#This Row],[Key]],Table29[[#All],[Key]:[TSL Material Code3]],8,0)</f>
        <v/>
      </c>
      <c r="Q12" s="19" t="n">
        <v>35</v>
      </c>
      <c r="R12" s="147" t="n">
        <v>10</v>
      </c>
      <c r="S12" s="147" t="n">
        <v>6</v>
      </c>
      <c r="T12" s="147" t="n">
        <v>0</v>
      </c>
      <c r="U12" s="147" t="n">
        <v>0</v>
      </c>
      <c r="V12" s="147" t="n"/>
      <c r="W12" s="147">
        <f>U12+V12</f>
        <v/>
      </c>
      <c r="X12" s="19">
        <f>Q12-W12</f>
        <v/>
      </c>
      <c r="Y12" s="167">
        <f>IF(X12&gt;0,X12,0)*150%</f>
        <v/>
      </c>
      <c r="Z12" s="19">
        <f>ROUND(SUMIFS(meghsteelsales_previousmonth[Quantity],meghsteelsales_previousmonth[Length Bucket],Table27[[#This Row],[Bucket CTL]])/1000,0)</f>
        <v/>
      </c>
      <c r="AA12" s="419">
        <f>ROUND(SUMIFS(meghsteelsales_currentmonth[Quantity],meghsteelsales_currentmonth[Length Bucket],Table27[[#This Row],[Bucket CTL]])/1000,0)</f>
        <v/>
      </c>
      <c r="AB12" s="90">
        <f>Table27[[#This Row],[ INDENT  FOR NOV-25 recommended]]+Table27[[#This Row],[order logg ]]</f>
        <v/>
      </c>
      <c r="AC12" s="90">
        <f>Table27[[#This Row],[Before 20th]]+Table27[[#This Row],[ofter 20th]]</f>
        <v/>
      </c>
      <c r="AD12">
        <f>IF(Table27[[#This Row],[Total Indent]]-Table27[[#This Row],[Total Supplied]]&lt;0,0,Table27[[#This Row],[Total Indent]]-Table27[[#This Row],[Total Supplied]])</f>
        <v/>
      </c>
    </row>
    <row r="13">
      <c r="A13" s="265" t="inlineStr">
        <is>
          <t>TVS</t>
        </is>
      </c>
      <c r="B13" s="265" t="n">
        <v>943209</v>
      </c>
      <c r="C13" s="147" t="inlineStr">
        <is>
          <t>RUCHA,METALMAN</t>
        </is>
      </c>
      <c r="D13" s="153" t="inlineStr">
        <is>
          <t>ERW1</t>
        </is>
      </c>
      <c r="E13" s="147" t="inlineStr">
        <is>
          <t>NON FIN</t>
        </is>
      </c>
      <c r="F13" s="147" t="inlineStr">
        <is>
          <t>ERW</t>
        </is>
      </c>
      <c r="G13" s="148" t="n">
        <v>19.05</v>
      </c>
      <c r="H13" s="148" t="n"/>
      <c r="I13" s="148" t="n">
        <v>2.3</v>
      </c>
      <c r="J13" s="147" t="n">
        <v>7000</v>
      </c>
      <c r="K13" s="147" t="n">
        <v>7</v>
      </c>
      <c r="L13" s="147">
        <f>_xlfn.CONCAT(G13,I13,K13,F13,E13)</f>
        <v/>
      </c>
      <c r="M13" s="147">
        <f>VLOOKUP(Table27[[#This Row],[Key]],Table29[[#All],[Key]:[TSL Material Code3]],4,0)</f>
        <v/>
      </c>
      <c r="N13" s="147">
        <f>VLOOKUP(Table27[[#This Row],[Key]],Table29[[#All],[Key]:[TSL Material Code3]],5,0)</f>
        <v/>
      </c>
      <c r="O13" s="149">
        <f>VLOOKUP(Table27[[#This Row],[Key]],Table29[[#All],[Key]:[TSL Material Code3]],7,0)</f>
        <v/>
      </c>
      <c r="P13" s="150">
        <f>VLOOKUP(Table27[[#This Row],[Key]],Table29[[#All],[Key]:[TSL Material Code3]],8,0)</f>
        <v/>
      </c>
      <c r="Q13" s="19" t="n">
        <v>20</v>
      </c>
      <c r="R13" s="147" t="n">
        <v>10</v>
      </c>
      <c r="S13" s="147" t="n">
        <v>39</v>
      </c>
      <c r="T13" s="147" t="n">
        <v>0</v>
      </c>
      <c r="U13" s="147">
        <f>S13-R13</f>
        <v/>
      </c>
      <c r="V13" s="147" t="n"/>
      <c r="W13" s="147">
        <f>U13+V13</f>
        <v/>
      </c>
      <c r="X13" s="19">
        <f>Q13-W13</f>
        <v/>
      </c>
      <c r="Y13" s="167">
        <f>IF(X13&gt;0,X13,0)*150%</f>
        <v/>
      </c>
      <c r="Z13" s="19">
        <f>ROUND(SUMIFS(meghsteelsales_previousmonth[Quantity],meghsteelsales_previousmonth[Length Bucket],Table27[[#This Row],[Bucket CTL]])/1000,0)</f>
        <v/>
      </c>
      <c r="AA13" s="419">
        <f>ROUND(SUMIFS(meghsteelsales_currentmonth[Quantity],meghsteelsales_currentmonth[Length Bucket],Table27[[#This Row],[Bucket CTL]])/1000,0)</f>
        <v/>
      </c>
      <c r="AB13" s="90">
        <f>Table27[[#This Row],[ INDENT  FOR NOV-25 recommended]]+Table27[[#This Row],[order logg ]]</f>
        <v/>
      </c>
      <c r="AC13" s="90">
        <f>Table27[[#This Row],[Before 20th]]+Table27[[#This Row],[ofter 20th]]</f>
        <v/>
      </c>
      <c r="AD13">
        <f>IF(Table27[[#This Row],[Total Indent]]-Table27[[#This Row],[Total Supplied]]&lt;0,0,Table27[[#This Row],[Total Indent]]-Table27[[#This Row],[Total Supplied]])</f>
        <v/>
      </c>
    </row>
    <row r="14">
      <c r="A14" s="265" t="inlineStr">
        <is>
          <t>TVS</t>
        </is>
      </c>
      <c r="B14" s="265" t="n">
        <v>943209</v>
      </c>
      <c r="C14" s="147" t="inlineStr">
        <is>
          <t>RUCHA</t>
        </is>
      </c>
      <c r="D14" s="147" t="inlineStr">
        <is>
          <t>ERW1</t>
        </is>
      </c>
      <c r="E14" s="147" t="inlineStr">
        <is>
          <t>NON FIN</t>
        </is>
      </c>
      <c r="F14" s="147" t="inlineStr">
        <is>
          <t>ERW</t>
        </is>
      </c>
      <c r="G14" s="148" t="n">
        <v>21.4</v>
      </c>
      <c r="H14" s="148" t="n"/>
      <c r="I14" s="148" t="n">
        <v>1.6</v>
      </c>
      <c r="J14" s="147" t="n">
        <v>6000</v>
      </c>
      <c r="K14" s="147" t="n">
        <v>6</v>
      </c>
      <c r="L14" s="147">
        <f>_xlfn.CONCAT(G14,I14,K14,F14,E14)</f>
        <v/>
      </c>
      <c r="M14" s="147">
        <f>VLOOKUP(Table27[[#This Row],[Key]],Table29[[#All],[Key]:[TSL Material Code3]],4,0)</f>
        <v/>
      </c>
      <c r="N14" s="147">
        <f>VLOOKUP(Table27[[#This Row],[Key]],Table29[[#All],[Key]:[TSL Material Code3]],5,0)</f>
        <v/>
      </c>
      <c r="O14" s="149">
        <f>VLOOKUP(Table27[[#This Row],[Key]],Table29[[#All],[Key]:[TSL Material Code3]],7,0)</f>
        <v/>
      </c>
      <c r="P14" s="150">
        <f>VLOOKUP(Table27[[#This Row],[Key]],Table29[[#All],[Key]:[TSL Material Code3]],8,0)</f>
        <v/>
      </c>
      <c r="Q14" s="19" t="n">
        <v>10</v>
      </c>
      <c r="R14" s="147" t="n">
        <v>3</v>
      </c>
      <c r="S14" s="147" t="n">
        <v>14.3</v>
      </c>
      <c r="T14" s="147" t="n">
        <v>0</v>
      </c>
      <c r="U14" s="147">
        <f>S14-R14</f>
        <v/>
      </c>
      <c r="V14" s="147" t="n"/>
      <c r="W14" s="147">
        <f>U14+V14</f>
        <v/>
      </c>
      <c r="X14" s="19">
        <f>Q14-W14</f>
        <v/>
      </c>
      <c r="Y14" s="167">
        <f>IF(X14&gt;0,X14,0)*150%</f>
        <v/>
      </c>
      <c r="Z14" s="19">
        <f>ROUND(SUMIFS(meghsteelsales_previousmonth[Quantity],meghsteelsales_previousmonth[Length Bucket],Table27[[#This Row],[Bucket CTL]])/1000,0)</f>
        <v/>
      </c>
      <c r="AA14" s="419">
        <f>ROUND(SUMIFS(meghsteelsales_currentmonth[Quantity],meghsteelsales_currentmonth[Length Bucket],Table27[[#This Row],[Bucket CTL]])/1000,0)</f>
        <v/>
      </c>
      <c r="AB14" s="90">
        <f>Table27[[#This Row],[ INDENT  FOR NOV-25 recommended]]+Table27[[#This Row],[order logg ]]</f>
        <v/>
      </c>
      <c r="AC14" s="90">
        <f>Table27[[#This Row],[Before 20th]]+Table27[[#This Row],[ofter 20th]]</f>
        <v/>
      </c>
      <c r="AD14">
        <f>IF(Table27[[#This Row],[Total Indent]]-Table27[[#This Row],[Total Supplied]]&lt;0,0,Table27[[#This Row],[Total Indent]]-Table27[[#This Row],[Total Supplied]])</f>
        <v/>
      </c>
    </row>
    <row r="15">
      <c r="A15" s="265" t="inlineStr">
        <is>
          <t>TVS</t>
        </is>
      </c>
      <c r="B15" s="265" t="n">
        <v>943209</v>
      </c>
      <c r="C15" s="147" t="inlineStr">
        <is>
          <t>RUCHA</t>
        </is>
      </c>
      <c r="D15" s="153" t="inlineStr">
        <is>
          <t>ERW1</t>
        </is>
      </c>
      <c r="E15" s="147" t="inlineStr">
        <is>
          <t>NON FIN</t>
        </is>
      </c>
      <c r="F15" s="147" t="inlineStr">
        <is>
          <t>ERW</t>
        </is>
      </c>
      <c r="G15" s="148" t="n">
        <v>22.2</v>
      </c>
      <c r="H15" s="148" t="n"/>
      <c r="I15" s="148" t="n">
        <v>1.2</v>
      </c>
      <c r="J15" s="147" t="n">
        <v>5870</v>
      </c>
      <c r="K15" s="147" t="n">
        <v>5.87</v>
      </c>
      <c r="L15" s="147">
        <f>_xlfn.CONCAT(G15,I15,K15,F15,E15)</f>
        <v/>
      </c>
      <c r="M15" s="147">
        <f>VLOOKUP(Table27[[#This Row],[Key]],Table29[[#All],[Key]:[TSL Material Code3]],4,0)</f>
        <v/>
      </c>
      <c r="N15" s="147">
        <f>VLOOKUP(Table27[[#This Row],[Key]],Table29[[#All],[Key]:[TSL Material Code3]],5,0)</f>
        <v/>
      </c>
      <c r="O15" s="149">
        <f>VLOOKUP(Table27[[#This Row],[Key]],Table29[[#All],[Key]:[TSL Material Code3]],7,0)</f>
        <v/>
      </c>
      <c r="P15" s="150">
        <f>VLOOKUP(Table27[[#This Row],[Key]],Table29[[#All],[Key]:[TSL Material Code3]],8,0)</f>
        <v/>
      </c>
      <c r="Q15" s="19" t="n">
        <v>30</v>
      </c>
      <c r="R15" s="147" t="n">
        <v>10</v>
      </c>
      <c r="S15" s="147" t="n">
        <v>7</v>
      </c>
      <c r="T15" s="147" t="n">
        <v>15.8</v>
      </c>
      <c r="U15" s="147">
        <f>S15-R15</f>
        <v/>
      </c>
      <c r="V15" s="147" t="n">
        <v>6</v>
      </c>
      <c r="W15" s="147">
        <f>U15+V15</f>
        <v/>
      </c>
      <c r="X15" s="19">
        <f>Q15-W15</f>
        <v/>
      </c>
      <c r="Y15" s="167">
        <f>IF(X15&gt;0,X15,0)*150%</f>
        <v/>
      </c>
      <c r="Z15" s="19">
        <f>ROUND(SUMIFS(meghsteelsales_previousmonth[Quantity],meghsteelsales_previousmonth[Length Bucket],Table27[[#This Row],[Bucket CTL]])/1000,0)</f>
        <v/>
      </c>
      <c r="AA15" s="419">
        <f>ROUND(SUMIFS(meghsteelsales_currentmonth[Quantity],meghsteelsales_currentmonth[Length Bucket],Table27[[#This Row],[Bucket CTL]])/1000,0)</f>
        <v/>
      </c>
      <c r="AB15" s="90">
        <f>Table27[[#This Row],[ INDENT  FOR NOV-25 recommended]]+Table27[[#This Row],[order logg ]]</f>
        <v/>
      </c>
      <c r="AC15" s="90">
        <f>Table27[[#This Row],[Before 20th]]+Table27[[#This Row],[ofter 20th]]</f>
        <v/>
      </c>
      <c r="AD15">
        <f>IF(Table27[[#This Row],[Total Indent]]-Table27[[#This Row],[Total Supplied]]&lt;0,0,Table27[[#This Row],[Total Indent]]-Table27[[#This Row],[Total Supplied]])</f>
        <v/>
      </c>
    </row>
    <row r="16">
      <c r="A16" s="265" t="inlineStr">
        <is>
          <t>HMSI</t>
        </is>
      </c>
      <c r="B16" s="265" t="n">
        <v>943210</v>
      </c>
      <c r="C16" s="147" t="inlineStr">
        <is>
          <t>BADVE</t>
        </is>
      </c>
      <c r="D16" s="153" t="inlineStr">
        <is>
          <t>ERW2</t>
        </is>
      </c>
      <c r="E16" s="147" t="inlineStr">
        <is>
          <t>NON FIN</t>
        </is>
      </c>
      <c r="F16" s="147" t="inlineStr">
        <is>
          <t>ERW-2</t>
        </is>
      </c>
      <c r="G16" s="148" t="n">
        <v>22.2</v>
      </c>
      <c r="H16" s="148" t="n"/>
      <c r="I16" s="148" t="n">
        <v>1.4</v>
      </c>
      <c r="J16" s="147" t="n">
        <v>6000</v>
      </c>
      <c r="K16" s="147" t="n">
        <v>6</v>
      </c>
      <c r="L16" s="147">
        <f>_xlfn.CONCAT(G16,I16,K16,F16,E16)</f>
        <v/>
      </c>
      <c r="M16" s="147">
        <f>VLOOKUP(Table27[[#This Row],[Key]],Table29[[#All],[Key]:[TSL Material Code3]],4,0)</f>
        <v/>
      </c>
      <c r="N16" s="147">
        <f>VLOOKUP(Table27[[#This Row],[Key]],Table29[[#All],[Key]:[TSL Material Code3]],5,0)</f>
        <v/>
      </c>
      <c r="O16" s="149">
        <f>VLOOKUP(Table27[[#This Row],[Key]],Table29[[#All],[Key]:[TSL Material Code3]],7,0)</f>
        <v/>
      </c>
      <c r="P16" s="150">
        <f>VLOOKUP(Table27[[#This Row],[Key]],Table29[[#All],[Key]:[TSL Material Code3]],8,0)</f>
        <v/>
      </c>
      <c r="Q16" s="19" t="n">
        <v>10</v>
      </c>
      <c r="R16" s="147" t="n">
        <v>3</v>
      </c>
      <c r="S16" s="147" t="n">
        <v>19</v>
      </c>
      <c r="T16" s="147" t="n">
        <v>0</v>
      </c>
      <c r="U16" s="147">
        <f>S16-R16</f>
        <v/>
      </c>
      <c r="V16" s="147" t="n"/>
      <c r="W16" s="147">
        <f>U16+V16</f>
        <v/>
      </c>
      <c r="X16" s="19">
        <f>Q16-W16</f>
        <v/>
      </c>
      <c r="Y16" s="167">
        <f>IF(X16&gt;0,X16,0)*150%</f>
        <v/>
      </c>
      <c r="Z16" s="19">
        <f>ROUND(SUMIFS(meghsteelsales_previousmonth[Quantity],meghsteelsales_previousmonth[Length Bucket],Table27[[#This Row],[Bucket CTL]])/1000,0)</f>
        <v/>
      </c>
      <c r="AA16" s="419">
        <f>ROUND(SUMIFS(meghsteelsales_currentmonth[Quantity],meghsteelsales_currentmonth[Length Bucket],Table27[[#This Row],[Bucket CTL]])/1000,0)</f>
        <v/>
      </c>
      <c r="AB16" s="90">
        <f>Table27[[#This Row],[ INDENT  FOR NOV-25 recommended]]+Table27[[#This Row],[order logg ]]</f>
        <v/>
      </c>
      <c r="AC16" s="90">
        <f>Table27[[#This Row],[Before 20th]]+Table27[[#This Row],[ofter 20th]]</f>
        <v/>
      </c>
      <c r="AD16">
        <f>IF(Table27[[#This Row],[Total Indent]]-Table27[[#This Row],[Total Supplied]]&lt;0,0,Table27[[#This Row],[Total Indent]]-Table27[[#This Row],[Total Supplied]])</f>
        <v/>
      </c>
    </row>
    <row r="17">
      <c r="A17" s="265" t="inlineStr">
        <is>
          <t>TVS</t>
        </is>
      </c>
      <c r="B17" s="265" t="n">
        <v>943209</v>
      </c>
      <c r="C17" s="147" t="inlineStr">
        <is>
          <t>RUCHA</t>
        </is>
      </c>
      <c r="D17" s="153" t="inlineStr">
        <is>
          <t>ERW1</t>
        </is>
      </c>
      <c r="E17" s="147" t="inlineStr">
        <is>
          <t>NON FIN</t>
        </is>
      </c>
      <c r="F17" s="147" t="inlineStr">
        <is>
          <t>ERW</t>
        </is>
      </c>
      <c r="G17" s="148" t="n">
        <v>22.2</v>
      </c>
      <c r="H17" s="148" t="n"/>
      <c r="I17" s="148" t="n">
        <v>1.6</v>
      </c>
      <c r="J17" s="147" t="n">
        <v>5270</v>
      </c>
      <c r="K17" s="147" t="n">
        <v>5.27</v>
      </c>
      <c r="L17" s="147">
        <f>_xlfn.CONCAT(G17,I17,K17,F17,E17)</f>
        <v/>
      </c>
      <c r="M17" s="147">
        <f>VLOOKUP(Table27[[#This Row],[Key]],Table29[[#All],[Key]:[TSL Material Code3]],4,0)</f>
        <v/>
      </c>
      <c r="N17" s="147">
        <f>VLOOKUP(Table27[[#This Row],[Key]],Table29[[#All],[Key]:[TSL Material Code3]],5,0)</f>
        <v/>
      </c>
      <c r="O17" s="149">
        <f>VLOOKUP(Table27[[#This Row],[Key]],Table29[[#All],[Key]:[TSL Material Code3]],7,0)</f>
        <v/>
      </c>
      <c r="P17" s="150">
        <f>VLOOKUP(Table27[[#This Row],[Key]],Table29[[#All],[Key]:[TSL Material Code3]],8,0)</f>
        <v/>
      </c>
      <c r="Q17" s="19" t="n">
        <v>30</v>
      </c>
      <c r="R17" s="147" t="n">
        <v>15</v>
      </c>
      <c r="S17" s="147" t="n">
        <v>5</v>
      </c>
      <c r="T17" s="147" t="n">
        <v>0</v>
      </c>
      <c r="U17" s="147">
        <f>S17-R17</f>
        <v/>
      </c>
      <c r="V17" s="147" t="n"/>
      <c r="W17" s="147">
        <f>U17+V17</f>
        <v/>
      </c>
      <c r="X17" s="19">
        <f>Q17-W17</f>
        <v/>
      </c>
      <c r="Y17" s="167">
        <f>IF(X17&gt;0,X17,0)*150%</f>
        <v/>
      </c>
      <c r="Z17" s="19">
        <f>ROUND(SUMIFS(meghsteelsales_previousmonth[Quantity],meghsteelsales_previousmonth[Length Bucket],Table27[[#This Row],[Bucket CTL]])/1000,0)</f>
        <v/>
      </c>
      <c r="AA17" s="419">
        <f>ROUND(SUMIFS(meghsteelsales_currentmonth[Quantity],meghsteelsales_currentmonth[Length Bucket],Table27[[#This Row],[Bucket CTL]])/1000,0)</f>
        <v/>
      </c>
      <c r="AB17" s="90">
        <f>Table27[[#This Row],[ INDENT  FOR NOV-25 recommended]]+Table27[[#This Row],[order logg ]]</f>
        <v/>
      </c>
      <c r="AC17" s="90">
        <f>Table27[[#This Row],[Before 20th]]+Table27[[#This Row],[ofter 20th]]</f>
        <v/>
      </c>
      <c r="AD17">
        <f>IF(Table27[[#This Row],[Total Indent]]-Table27[[#This Row],[Total Supplied]]&lt;0,0,Table27[[#This Row],[Total Indent]]-Table27[[#This Row],[Total Supplied]])</f>
        <v/>
      </c>
    </row>
    <row r="18">
      <c r="A18" s="265" t="inlineStr">
        <is>
          <t>TVS</t>
        </is>
      </c>
      <c r="B18" s="265" t="n">
        <v>943209</v>
      </c>
      <c r="C18" s="147" t="inlineStr">
        <is>
          <t>RUCHA</t>
        </is>
      </c>
      <c r="D18" s="153" t="inlineStr">
        <is>
          <t>ERW1</t>
        </is>
      </c>
      <c r="E18" s="147" t="inlineStr">
        <is>
          <t>NON FIN</t>
        </is>
      </c>
      <c r="F18" s="147" t="inlineStr">
        <is>
          <t>ERW</t>
        </is>
      </c>
      <c r="G18" s="148" t="n">
        <v>22.2</v>
      </c>
      <c r="H18" s="148" t="n"/>
      <c r="I18" s="148" t="n">
        <v>1.6</v>
      </c>
      <c r="J18" s="147" t="n">
        <v>5670</v>
      </c>
      <c r="K18" s="147" t="n">
        <v>5.67</v>
      </c>
      <c r="L18" s="147">
        <f>_xlfn.CONCAT(G18,I18,K18,F18,E18)</f>
        <v/>
      </c>
      <c r="M18" s="147">
        <f>VLOOKUP(Table27[[#This Row],[Key]],Table29[[#All],[Key]:[TSL Material Code3]],4,0)</f>
        <v/>
      </c>
      <c r="N18" s="147">
        <f>VLOOKUP(Table27[[#This Row],[Key]],Table29[[#All],[Key]:[TSL Material Code3]],5,0)</f>
        <v/>
      </c>
      <c r="O18" s="149">
        <f>VLOOKUP(Table27[[#This Row],[Key]],Table29[[#All],[Key]:[TSL Material Code3]],7,0)</f>
        <v/>
      </c>
      <c r="P18" s="150">
        <f>VLOOKUP(Table27[[#This Row],[Key]],Table29[[#All],[Key]:[TSL Material Code3]],8,0)</f>
        <v/>
      </c>
      <c r="Q18" s="19" t="n">
        <v>30</v>
      </c>
      <c r="R18" s="147" t="n">
        <v>10</v>
      </c>
      <c r="S18" s="147" t="n">
        <v>25.6</v>
      </c>
      <c r="T18" s="147" t="n">
        <v>0</v>
      </c>
      <c r="U18" s="147">
        <f>S18-R18</f>
        <v/>
      </c>
      <c r="V18" s="147" t="n"/>
      <c r="W18" s="147">
        <f>U18+V18</f>
        <v/>
      </c>
      <c r="X18" s="19">
        <f>Q18-W18</f>
        <v/>
      </c>
      <c r="Y18" s="167">
        <f>IF(X18&gt;0,X18,0)*150%</f>
        <v/>
      </c>
      <c r="Z18" s="19">
        <f>ROUND(SUMIFS(meghsteelsales_previousmonth[Quantity],meghsteelsales_previousmonth[Length Bucket],Table27[[#This Row],[Bucket CTL]])/1000,0)</f>
        <v/>
      </c>
      <c r="AA18" s="419">
        <f>ROUND(SUMIFS(meghsteelsales_currentmonth[Quantity],meghsteelsales_currentmonth[Length Bucket],Table27[[#This Row],[Bucket CTL]])/1000,0)</f>
        <v/>
      </c>
      <c r="AB18" s="90">
        <f>Table27[[#This Row],[ INDENT  FOR NOV-25 recommended]]+Table27[[#This Row],[order logg ]]</f>
        <v/>
      </c>
      <c r="AC18" s="90">
        <f>Table27[[#This Row],[Before 20th]]+Table27[[#This Row],[ofter 20th]]</f>
        <v/>
      </c>
      <c r="AD18">
        <f>IF(Table27[[#This Row],[Total Indent]]-Table27[[#This Row],[Total Supplied]]&lt;0,0,Table27[[#This Row],[Total Indent]]-Table27[[#This Row],[Total Supplied]])</f>
        <v/>
      </c>
    </row>
    <row r="19">
      <c r="A19" s="265" t="inlineStr">
        <is>
          <t>TVS</t>
        </is>
      </c>
      <c r="B19" s="265" t="n">
        <v>943209</v>
      </c>
      <c r="C19" s="147" t="inlineStr">
        <is>
          <t>RUCHA</t>
        </is>
      </c>
      <c r="D19" s="153" t="inlineStr">
        <is>
          <t>ERW1</t>
        </is>
      </c>
      <c r="E19" s="147" t="inlineStr">
        <is>
          <t>NON FIN</t>
        </is>
      </c>
      <c r="F19" s="147" t="inlineStr">
        <is>
          <t>ERW</t>
        </is>
      </c>
      <c r="G19" s="154" t="n">
        <v>22.2</v>
      </c>
      <c r="H19" s="154" t="n"/>
      <c r="I19" s="154" t="n">
        <v>2</v>
      </c>
      <c r="J19" s="155" t="n">
        <v>5950</v>
      </c>
      <c r="K19" s="147" t="n">
        <v>5.95</v>
      </c>
      <c r="L19" s="147">
        <f>_xlfn.CONCAT(G19,I19,K19,F19,E19)</f>
        <v/>
      </c>
      <c r="M19" s="147">
        <f>VLOOKUP(Table27[[#This Row],[Key]],Table29[[#All],[Key]:[TSL Material Code3]],4,0)</f>
        <v/>
      </c>
      <c r="N19" s="147">
        <f>VLOOKUP(Table27[[#This Row],[Key]],Table29[[#All],[Key]:[TSL Material Code3]],5,0)</f>
        <v/>
      </c>
      <c r="O19" s="149">
        <f>VLOOKUP(Table27[[#This Row],[Key]],Table29[[#All],[Key]:[TSL Material Code3]],7,0)</f>
        <v/>
      </c>
      <c r="P19" s="150">
        <f>VLOOKUP(Table27[[#This Row],[Key]],Table29[[#All],[Key]:[TSL Material Code3]],8,0)</f>
        <v/>
      </c>
      <c r="Q19" s="19" t="n">
        <v>80</v>
      </c>
      <c r="R19" s="147" t="n">
        <v>30</v>
      </c>
      <c r="S19" s="147" t="n">
        <v>5.8</v>
      </c>
      <c r="T19" s="147" t="n">
        <v>0</v>
      </c>
      <c r="U19" s="147">
        <f>S19-R19</f>
        <v/>
      </c>
      <c r="V19" s="147" t="n">
        <v>46.6</v>
      </c>
      <c r="W19" s="147">
        <f>U19+V19</f>
        <v/>
      </c>
      <c r="X19" s="19">
        <f>Q19-W19</f>
        <v/>
      </c>
      <c r="Y19" s="167">
        <f>IF(X19&gt;0,X19,0)*150%</f>
        <v/>
      </c>
      <c r="Z19" s="19">
        <f>ROUND(SUMIFS(meghsteelsales_previousmonth[Quantity],meghsteelsales_previousmonth[Length Bucket],Table27[[#This Row],[Bucket CTL]])/1000,0)</f>
        <v/>
      </c>
      <c r="AA19" s="419">
        <f>ROUND(SUMIFS(meghsteelsales_currentmonth[Quantity],meghsteelsales_currentmonth[Length Bucket],Table27[[#This Row],[Bucket CTL]])/1000,0)</f>
        <v/>
      </c>
      <c r="AB19" s="90">
        <f>Table27[[#This Row],[ INDENT  FOR NOV-25 recommended]]+Table27[[#This Row],[order logg ]]</f>
        <v/>
      </c>
      <c r="AC19" s="90">
        <f>Table27[[#This Row],[Before 20th]]+Table27[[#This Row],[ofter 20th]]</f>
        <v/>
      </c>
      <c r="AD19">
        <f>IF(Table27[[#This Row],[Total Indent]]-Table27[[#This Row],[Total Supplied]]&lt;0,0,Table27[[#This Row],[Total Indent]]-Table27[[#This Row],[Total Supplied]])</f>
        <v/>
      </c>
    </row>
    <row r="20">
      <c r="A20" s="265" t="inlineStr">
        <is>
          <t>TVS</t>
        </is>
      </c>
      <c r="B20" s="265" t="n">
        <v>943209</v>
      </c>
      <c r="C20" s="147" t="inlineStr">
        <is>
          <t>RUCHA</t>
        </is>
      </c>
      <c r="D20" s="155" t="inlineStr">
        <is>
          <t>ERW1</t>
        </is>
      </c>
      <c r="E20" s="147" t="inlineStr">
        <is>
          <t>NON FIN</t>
        </is>
      </c>
      <c r="F20" s="147" t="inlineStr">
        <is>
          <t>ERW</t>
        </is>
      </c>
      <c r="G20" s="154" t="n">
        <v>22.2</v>
      </c>
      <c r="H20" s="154" t="n"/>
      <c r="I20" s="154" t="n">
        <v>2</v>
      </c>
      <c r="J20" s="155" t="n">
        <v>5100</v>
      </c>
      <c r="K20" s="147" t="n">
        <v>5.1</v>
      </c>
      <c r="L20" s="147">
        <f>_xlfn.CONCAT(G20,I20,K20,F20,E20)</f>
        <v/>
      </c>
      <c r="M20" s="147">
        <f>VLOOKUP(Table27[[#This Row],[Key]],Table29[[#All],[Key]:[TSL Material Code3]],4,0)</f>
        <v/>
      </c>
      <c r="N20" s="147">
        <f>VLOOKUP(Table27[[#This Row],[Key]],Table29[[#All],[Key]:[TSL Material Code3]],5,0)</f>
        <v/>
      </c>
      <c r="O20" s="149">
        <f>VLOOKUP(Table27[[#This Row],[Key]],Table29[[#All],[Key]:[TSL Material Code3]],7,0)</f>
        <v/>
      </c>
      <c r="P20" s="150">
        <f>VLOOKUP(Table27[[#This Row],[Key]],Table29[[#All],[Key]:[TSL Material Code3]],8,0)</f>
        <v/>
      </c>
      <c r="Q20" s="19" t="n">
        <v>20</v>
      </c>
      <c r="R20" s="147" t="n">
        <v>5</v>
      </c>
      <c r="S20" s="147" t="n">
        <v>19</v>
      </c>
      <c r="T20" s="147" t="n">
        <v>0</v>
      </c>
      <c r="U20" s="147">
        <f>S20-R20</f>
        <v/>
      </c>
      <c r="V20" s="147" t="n">
        <v>7</v>
      </c>
      <c r="W20" s="147">
        <f>U20+V20</f>
        <v/>
      </c>
      <c r="X20" s="19">
        <f>Q20-W20</f>
        <v/>
      </c>
      <c r="Y20" s="167">
        <f>IF(X20&gt;0,X20,0)*150%</f>
        <v/>
      </c>
      <c r="Z20" s="19">
        <f>ROUND(SUMIFS(meghsteelsales_previousmonth[Quantity],meghsteelsales_previousmonth[Length Bucket],Table27[[#This Row],[Bucket CTL]])/1000,0)</f>
        <v/>
      </c>
      <c r="AA20" s="419">
        <f>ROUND(SUMIFS(meghsteelsales_currentmonth[Quantity],meghsteelsales_currentmonth[Length Bucket],Table27[[#This Row],[Bucket CTL]])/1000,0)</f>
        <v/>
      </c>
      <c r="AB20" s="90">
        <f>Table27[[#This Row],[ INDENT  FOR NOV-25 recommended]]+Table27[[#This Row],[order logg ]]</f>
        <v/>
      </c>
      <c r="AC20" s="90">
        <f>Table27[[#This Row],[Before 20th]]+Table27[[#This Row],[ofter 20th]]</f>
        <v/>
      </c>
      <c r="AD20">
        <f>IF(Table27[[#This Row],[Total Indent]]-Table27[[#This Row],[Total Supplied]]&lt;0,0,Table27[[#This Row],[Total Indent]]-Table27[[#This Row],[Total Supplied]])</f>
        <v/>
      </c>
    </row>
    <row r="21">
      <c r="A21" s="265" t="inlineStr">
        <is>
          <t>TVS</t>
        </is>
      </c>
      <c r="B21" s="265" t="n">
        <v>943209</v>
      </c>
      <c r="C21" s="147" t="inlineStr">
        <is>
          <t>RUCHA</t>
        </is>
      </c>
      <c r="D21" s="147" t="inlineStr">
        <is>
          <t>ERW2</t>
        </is>
      </c>
      <c r="E21" s="147" t="inlineStr">
        <is>
          <t>FIN CUT</t>
        </is>
      </c>
      <c r="F21" s="147" t="inlineStr">
        <is>
          <t>HST</t>
        </is>
      </c>
      <c r="G21" s="148" t="n">
        <v>22.2</v>
      </c>
      <c r="H21" s="148" t="n"/>
      <c r="I21" s="148" t="n">
        <v>2</v>
      </c>
      <c r="J21" s="147" t="n">
        <v>6000</v>
      </c>
      <c r="K21" s="147" t="n">
        <v>6000</v>
      </c>
      <c r="L21" s="147">
        <f>_xlfn.CONCAT(G21,I21,K21,F21,E21)</f>
        <v/>
      </c>
      <c r="M21" s="147">
        <f>VLOOKUP(Table27[[#This Row],[Key]],Table29[[#All],[Key]:[TSL Material Code3]],4,0)</f>
        <v/>
      </c>
      <c r="N21" s="147">
        <f>VLOOKUP(Table27[[#This Row],[Key]],Table29[[#All],[Key]:[TSL Material Code3]],5,0)</f>
        <v/>
      </c>
      <c r="O21" s="149">
        <f>VLOOKUP(Table27[[#This Row],[Key]],Table29[[#All],[Key]:[TSL Material Code3]],7,0)</f>
        <v/>
      </c>
      <c r="P21" s="150">
        <f>VLOOKUP(Table27[[#This Row],[Key]],Table29[[#All],[Key]:[TSL Material Code3]],8,0)</f>
        <v/>
      </c>
      <c r="Q21" s="19" t="n">
        <v>40</v>
      </c>
      <c r="R21" s="147" t="n">
        <v>15</v>
      </c>
      <c r="S21" s="147" t="n">
        <v>57</v>
      </c>
      <c r="T21" s="147" t="n">
        <v>0</v>
      </c>
      <c r="U21" s="147">
        <f>S21-R21</f>
        <v/>
      </c>
      <c r="V21" s="147" t="n"/>
      <c r="W21" s="147">
        <f>U21+V21</f>
        <v/>
      </c>
      <c r="X21" s="19">
        <f>Q21-W21</f>
        <v/>
      </c>
      <c r="Y21" s="167">
        <f>IF(X21&gt;0,X21,0)*150%</f>
        <v/>
      </c>
      <c r="Z21" s="19">
        <f>ROUND(SUMIFS(meghsteelsales_previousmonth[Quantity],meghsteelsales_previousmonth[Length Bucket],Table27[[#This Row],[Bucket CTL]])/1000,0)</f>
        <v/>
      </c>
      <c r="AA21" s="419">
        <f>ROUND(SUMIFS(meghsteelsales_currentmonth[Quantity],meghsteelsales_currentmonth[Length Bucket],Table27[[#This Row],[Bucket CTL]])/1000,0)</f>
        <v/>
      </c>
      <c r="AB21" s="90">
        <f>Table27[[#This Row],[ INDENT  FOR NOV-25 recommended]]+Table27[[#This Row],[order logg ]]</f>
        <v/>
      </c>
      <c r="AC21" s="90">
        <f>Table27[[#This Row],[Before 20th]]+Table27[[#This Row],[ofter 20th]]</f>
        <v/>
      </c>
      <c r="AD21">
        <f>IF(Table27[[#This Row],[Total Indent]]-Table27[[#This Row],[Total Supplied]]&lt;0,0,Table27[[#This Row],[Total Indent]]-Table27[[#This Row],[Total Supplied]])</f>
        <v/>
      </c>
    </row>
    <row r="22">
      <c r="A22" s="265" t="inlineStr">
        <is>
          <t>HMSI</t>
        </is>
      </c>
      <c r="B22" s="265" t="n">
        <v>943210</v>
      </c>
      <c r="C22" s="147" t="inlineStr">
        <is>
          <t>BADVE</t>
        </is>
      </c>
      <c r="D22" s="147" t="inlineStr">
        <is>
          <t>CR ERW 1</t>
        </is>
      </c>
      <c r="E22" s="147" t="inlineStr">
        <is>
          <t>FIN CUT</t>
        </is>
      </c>
      <c r="F22" s="147" t="inlineStr">
        <is>
          <t xml:space="preserve">CR ERW </t>
        </is>
      </c>
      <c r="G22" s="148" t="n">
        <v>22.2</v>
      </c>
      <c r="H22" s="148" t="n"/>
      <c r="I22" s="148" t="n">
        <v>2</v>
      </c>
      <c r="J22" s="147" t="n">
        <v>5390</v>
      </c>
      <c r="K22" s="147" t="n">
        <v>5.39</v>
      </c>
      <c r="L22" s="147">
        <f>_xlfn.CONCAT(G22,I22,K22,F22,E22)</f>
        <v/>
      </c>
      <c r="M22" s="147">
        <f>VLOOKUP(Table27[[#This Row],[Key]],Table29[[#All],[Key]:[TSL Material Code3]],4,0)</f>
        <v/>
      </c>
      <c r="N22" s="147">
        <f>VLOOKUP(Table27[[#This Row],[Key]],Table29[[#All],[Key]:[TSL Material Code3]],5,0)</f>
        <v/>
      </c>
      <c r="O22" s="149">
        <f>VLOOKUP(Table27[[#This Row],[Key]],Table29[[#All],[Key]:[TSL Material Code3]],7,0)</f>
        <v/>
      </c>
      <c r="P22" s="150">
        <f>VLOOKUP(Table27[[#This Row],[Key]],Table29[[#All],[Key]:[TSL Material Code3]],8,0)</f>
        <v/>
      </c>
      <c r="Q22" s="19" t="n">
        <v>10</v>
      </c>
      <c r="R22" s="147" t="n">
        <v>5</v>
      </c>
      <c r="S22" s="147" t="n">
        <v>0</v>
      </c>
      <c r="T22" s="147" t="n">
        <v>0</v>
      </c>
      <c r="U22" s="147">
        <f>S22-R22</f>
        <v/>
      </c>
      <c r="V22" s="147" t="n"/>
      <c r="W22" s="147">
        <f>U22+V22</f>
        <v/>
      </c>
      <c r="X22" s="19">
        <f>Q22-W22</f>
        <v/>
      </c>
      <c r="Y22" s="167">
        <f>IF(X22&gt;0,X22,0)*150%</f>
        <v/>
      </c>
      <c r="Z22" s="19">
        <f>ROUND(SUMIFS(meghsteelsales_previousmonth[Quantity],meghsteelsales_previousmonth[Length Bucket],Table27[[#This Row],[Bucket CTL]])/1000,0)</f>
        <v/>
      </c>
      <c r="AA22" s="419">
        <f>ROUND(SUMIFS(meghsteelsales_currentmonth[Quantity],meghsteelsales_currentmonth[Length Bucket],Table27[[#This Row],[Bucket CTL]])/1000,0)</f>
        <v/>
      </c>
      <c r="AB22" s="90">
        <f>Table27[[#This Row],[ INDENT  FOR NOV-25 recommended]]+Table27[[#This Row],[order logg ]]</f>
        <v/>
      </c>
      <c r="AC22" s="90">
        <f>Table27[[#This Row],[Before 20th]]+Table27[[#This Row],[ofter 20th]]</f>
        <v/>
      </c>
      <c r="AD22">
        <f>IF(Table27[[#This Row],[Total Indent]]-Table27[[#This Row],[Total Supplied]]&lt;0,0,Table27[[#This Row],[Total Indent]]-Table27[[#This Row],[Total Supplied]])</f>
        <v/>
      </c>
    </row>
    <row r="23">
      <c r="A23" s="265" t="inlineStr">
        <is>
          <t>HMSI</t>
        </is>
      </c>
      <c r="B23" s="265" t="n">
        <v>943210</v>
      </c>
      <c r="C23" s="147" t="inlineStr">
        <is>
          <t>BADVE</t>
        </is>
      </c>
      <c r="D23" s="153" t="inlineStr">
        <is>
          <t>ERW2</t>
        </is>
      </c>
      <c r="E23" s="147" t="inlineStr">
        <is>
          <t>FIN CUT</t>
        </is>
      </c>
      <c r="F23" s="147" t="inlineStr">
        <is>
          <t>HST</t>
        </is>
      </c>
      <c r="G23" s="148" t="n">
        <v>25.4</v>
      </c>
      <c r="H23" s="148" t="n"/>
      <c r="I23" s="148" t="n">
        <v>1.4</v>
      </c>
      <c r="J23" s="147" t="n">
        <v>5531</v>
      </c>
      <c r="K23" s="147" t="n">
        <v>5.531</v>
      </c>
      <c r="L23" s="147">
        <f>_xlfn.CONCAT(G23,I23,K23,F23,E23)</f>
        <v/>
      </c>
      <c r="M23" s="147">
        <f>VLOOKUP(Table27[[#This Row],[Key]],Table29[[#All],[Key]:[TSL Material Code3]],4,0)</f>
        <v/>
      </c>
      <c r="N23" s="147">
        <f>VLOOKUP(Table27[[#This Row],[Key]],Table29[[#All],[Key]:[TSL Material Code3]],5,0)</f>
        <v/>
      </c>
      <c r="O23" s="149">
        <f>VLOOKUP(Table27[[#This Row],[Key]],Table29[[#All],[Key]:[TSL Material Code3]],7,0)</f>
        <v/>
      </c>
      <c r="P23" s="150">
        <f>VLOOKUP(Table27[[#This Row],[Key]],Table29[[#All],[Key]:[TSL Material Code3]],8,0)</f>
        <v/>
      </c>
      <c r="Q23" s="19" t="n">
        <v>15</v>
      </c>
      <c r="R23" s="147" t="n">
        <v>0</v>
      </c>
      <c r="S23" s="147" t="n">
        <v>0</v>
      </c>
      <c r="T23" s="147" t="n">
        <v>0</v>
      </c>
      <c r="U23" s="147">
        <f>S23-R23</f>
        <v/>
      </c>
      <c r="V23" s="147" t="n">
        <v>16</v>
      </c>
      <c r="W23" s="147">
        <f>U23+V23</f>
        <v/>
      </c>
      <c r="X23" s="19">
        <f>Q23-W23</f>
        <v/>
      </c>
      <c r="Y23" s="167">
        <f>IF(X23&gt;0,X23,0)*150%</f>
        <v/>
      </c>
      <c r="Z23" s="19">
        <f>ROUND(SUMIFS(meghsteelsales_previousmonth[Quantity],meghsteelsales_previousmonth[Length Bucket],Table27[[#This Row],[Bucket CTL]])/1000,0)</f>
        <v/>
      </c>
      <c r="AA23" s="419">
        <f>ROUND(SUMIFS(meghsteelsales_currentmonth[Quantity],meghsteelsales_currentmonth[Length Bucket],Table27[[#This Row],[Bucket CTL]])/1000,0)</f>
        <v/>
      </c>
      <c r="AB23" s="90">
        <f>Table27[[#This Row],[ INDENT  FOR NOV-25 recommended]]+Table27[[#This Row],[order logg ]]</f>
        <v/>
      </c>
      <c r="AC23" s="90">
        <f>Table27[[#This Row],[Before 20th]]+Table27[[#This Row],[ofter 20th]]</f>
        <v/>
      </c>
      <c r="AD23">
        <f>IF(Table27[[#This Row],[Total Indent]]-Table27[[#This Row],[Total Supplied]]&lt;0,0,Table27[[#This Row],[Total Indent]]-Table27[[#This Row],[Total Supplied]])</f>
        <v/>
      </c>
    </row>
    <row r="24">
      <c r="A24" s="265" t="inlineStr">
        <is>
          <t>HMSI</t>
        </is>
      </c>
      <c r="B24" s="265" t="n">
        <v>943210</v>
      </c>
      <c r="C24" s="147" t="inlineStr">
        <is>
          <t>BADVE</t>
        </is>
      </c>
      <c r="D24" s="153" t="inlineStr">
        <is>
          <t>ERW1</t>
        </is>
      </c>
      <c r="E24" s="147" t="inlineStr">
        <is>
          <t>FIN CUT</t>
        </is>
      </c>
      <c r="F24" s="147" t="inlineStr">
        <is>
          <t>ERW</t>
        </is>
      </c>
      <c r="G24" s="148" t="n">
        <v>25.4</v>
      </c>
      <c r="H24" s="148" t="n"/>
      <c r="I24" s="148" t="n">
        <v>1.4</v>
      </c>
      <c r="J24" s="147" t="n">
        <v>6060</v>
      </c>
      <c r="K24" s="147" t="n">
        <v>6.06</v>
      </c>
      <c r="L24" s="147">
        <f>_xlfn.CONCAT(G24,I24,K24,F24,E24)</f>
        <v/>
      </c>
      <c r="M24" s="147">
        <f>VLOOKUP(Table27[[#This Row],[Key]],Table29[[#All],[Key]:[TSL Material Code3]],4,0)</f>
        <v/>
      </c>
      <c r="N24" s="147">
        <f>VLOOKUP(Table27[[#This Row],[Key]],Table29[[#All],[Key]:[TSL Material Code3]],5,0)</f>
        <v/>
      </c>
      <c r="O24" s="149">
        <f>VLOOKUP(Table27[[#This Row],[Key]],Table29[[#All],[Key]:[TSL Material Code3]],7,0)</f>
        <v/>
      </c>
      <c r="P24" s="150">
        <f>VLOOKUP(Table27[[#This Row],[Key]],Table29[[#All],[Key]:[TSL Material Code3]],8,0)</f>
        <v/>
      </c>
      <c r="Q24" s="19" t="n">
        <v>15</v>
      </c>
      <c r="R24" s="147" t="n">
        <v>15</v>
      </c>
      <c r="S24" s="147" t="n">
        <v>0</v>
      </c>
      <c r="T24" s="147" t="n">
        <v>22</v>
      </c>
      <c r="U24" s="147">
        <f>S24-R24</f>
        <v/>
      </c>
      <c r="V24" s="147" t="n"/>
      <c r="W24" s="147">
        <f>U24+V24</f>
        <v/>
      </c>
      <c r="X24" s="19">
        <f>Q24-W24</f>
        <v/>
      </c>
      <c r="Y24" s="167">
        <f>IF(X24&gt;0,X24,0)*150%</f>
        <v/>
      </c>
      <c r="Z24" s="19">
        <f>ROUND(SUMIFS(meghsteelsales_previousmonth[Quantity],meghsteelsales_previousmonth[Length Bucket],Table27[[#This Row],[Bucket CTL]])/1000,0)</f>
        <v/>
      </c>
      <c r="AA24" s="419">
        <f>ROUND(SUMIFS(meghsteelsales_currentmonth[Quantity],meghsteelsales_currentmonth[Length Bucket],Table27[[#This Row],[Bucket CTL]])/1000,0)</f>
        <v/>
      </c>
      <c r="AB24" s="90">
        <f>Table27[[#This Row],[ INDENT  FOR NOV-25 recommended]]+Table27[[#This Row],[order logg ]]</f>
        <v/>
      </c>
      <c r="AC24" s="90">
        <f>Table27[[#This Row],[Before 20th]]+Table27[[#This Row],[ofter 20th]]</f>
        <v/>
      </c>
      <c r="AD24">
        <f>IF(Table27[[#This Row],[Total Indent]]-Table27[[#This Row],[Total Supplied]]&lt;0,0,Table27[[#This Row],[Total Indent]]-Table27[[#This Row],[Total Supplied]])</f>
        <v/>
      </c>
    </row>
    <row r="25">
      <c r="A25" s="265" t="inlineStr">
        <is>
          <t>TVS</t>
        </is>
      </c>
      <c r="B25" s="265" t="n">
        <v>943209</v>
      </c>
      <c r="C25" s="147" t="inlineStr">
        <is>
          <t>RUCHA</t>
        </is>
      </c>
      <c r="D25" s="153" t="inlineStr">
        <is>
          <t>ERW1</t>
        </is>
      </c>
      <c r="E25" s="147" t="inlineStr">
        <is>
          <t>NON FIN</t>
        </is>
      </c>
      <c r="F25" s="147" t="inlineStr">
        <is>
          <t>ERW</t>
        </is>
      </c>
      <c r="G25" s="148" t="n">
        <v>25.4</v>
      </c>
      <c r="H25" s="148" t="n"/>
      <c r="I25" s="148" t="n">
        <v>1.6</v>
      </c>
      <c r="J25" s="147" t="n">
        <v>6000</v>
      </c>
      <c r="K25" s="147" t="n">
        <v>6</v>
      </c>
      <c r="L25" s="147">
        <f>_xlfn.CONCAT(G25,I25,K25,F25,E25)</f>
        <v/>
      </c>
      <c r="M25" s="147">
        <f>VLOOKUP(Table27[[#This Row],[Key]],Table29[[#All],[Key]:[TSL Material Code3]],4,0)</f>
        <v/>
      </c>
      <c r="N25" s="147">
        <f>VLOOKUP(Table27[[#This Row],[Key]],Table29[[#All],[Key]:[TSL Material Code3]],5,0)</f>
        <v/>
      </c>
      <c r="O25" s="149">
        <f>VLOOKUP(Table27[[#This Row],[Key]],Table29[[#All],[Key]:[TSL Material Code3]],7,0)</f>
        <v/>
      </c>
      <c r="P25" s="150">
        <f>VLOOKUP(Table27[[#This Row],[Key]],Table29[[#All],[Key]:[TSL Material Code3]],8,0)</f>
        <v/>
      </c>
      <c r="Q25" s="19" t="n">
        <v>30</v>
      </c>
      <c r="R25" s="147" t="n">
        <v>15</v>
      </c>
      <c r="S25" s="147" t="n">
        <v>10</v>
      </c>
      <c r="T25" s="147" t="n">
        <v>50</v>
      </c>
      <c r="U25" s="147">
        <f>S25-R25</f>
        <v/>
      </c>
      <c r="V25" s="147" t="n">
        <v>29</v>
      </c>
      <c r="W25" s="147">
        <f>U25+V25</f>
        <v/>
      </c>
      <c r="X25" s="19">
        <f>Q25-W25</f>
        <v/>
      </c>
      <c r="Y25" s="167">
        <f>IF(X25&gt;0,X25,0)*150%</f>
        <v/>
      </c>
      <c r="Z25" s="19">
        <f>ROUND(SUMIFS(meghsteelsales_previousmonth[Quantity],meghsteelsales_previousmonth[Length Bucket],Table27[[#This Row],[Bucket CTL]])/1000,0)</f>
        <v/>
      </c>
      <c r="AA25" s="419">
        <f>ROUND(SUMIFS(meghsteelsales_currentmonth[Quantity],meghsteelsales_currentmonth[Length Bucket],Table27[[#This Row],[Bucket CTL]])/1000,0)</f>
        <v/>
      </c>
      <c r="AB25" s="90">
        <f>Table27[[#This Row],[ INDENT  FOR NOV-25 recommended]]+Table27[[#This Row],[order logg ]]</f>
        <v/>
      </c>
      <c r="AC25" s="90">
        <f>Table27[[#This Row],[Before 20th]]+Table27[[#This Row],[ofter 20th]]</f>
        <v/>
      </c>
      <c r="AD25">
        <f>IF(Table27[[#This Row],[Total Indent]]-Table27[[#This Row],[Total Supplied]]&lt;0,0,Table27[[#This Row],[Total Indent]]-Table27[[#This Row],[Total Supplied]])</f>
        <v/>
      </c>
    </row>
    <row r="26" customFormat="1" s="45">
      <c r="A26" s="266" t="inlineStr">
        <is>
          <t>RE</t>
        </is>
      </c>
      <c r="B26" s="266" t="n">
        <v>943211</v>
      </c>
      <c r="C26" s="156" t="inlineStr">
        <is>
          <t>BELRISE CHENNAI</t>
        </is>
      </c>
      <c r="D26" s="157" t="inlineStr">
        <is>
          <t>MICRO ALLOY</t>
        </is>
      </c>
      <c r="E26" s="156" t="inlineStr">
        <is>
          <t>NON FIN</t>
        </is>
      </c>
      <c r="F26" s="157" t="inlineStr">
        <is>
          <t>MICRO ALLOY</t>
        </is>
      </c>
      <c r="G26" s="248" t="n">
        <v>25.4</v>
      </c>
      <c r="H26" s="248" t="n"/>
      <c r="I26" s="248" t="n">
        <v>1.6</v>
      </c>
      <c r="J26" s="156" t="n">
        <v>5840</v>
      </c>
      <c r="K26" s="156" t="n">
        <v>5.84</v>
      </c>
      <c r="L26" s="147">
        <f>_xlfn.CONCAT(G26,I26,K26,F26,E26)</f>
        <v/>
      </c>
      <c r="M26" s="147" t="inlineStr">
        <is>
          <t>25.4-0-1.6-ERW 2 MAHS-PE</t>
        </is>
      </c>
      <c r="N26" s="147" t="inlineStr">
        <is>
          <t>25.4-0-1.6-ERW 2 MAHS-PE-5.84</t>
        </is>
      </c>
      <c r="O26" s="158" t="inlineStr">
        <is>
          <t>0789</t>
        </is>
      </c>
      <c r="P26" s="150" t="n">
        <v>4149395</v>
      </c>
      <c r="Q26" s="246" t="n">
        <v>25</v>
      </c>
      <c r="R26" s="156" t="n">
        <v>10</v>
      </c>
      <c r="S26" s="156" t="n">
        <v>16.7</v>
      </c>
      <c r="T26" s="156" t="n">
        <v>0</v>
      </c>
      <c r="U26" s="156">
        <f>S26-R26</f>
        <v/>
      </c>
      <c r="V26" s="156" t="n">
        <v>21</v>
      </c>
      <c r="W26" s="147">
        <f>U26+V26</f>
        <v/>
      </c>
      <c r="X26" s="246">
        <f>Q26-W26</f>
        <v/>
      </c>
      <c r="Y26" s="167">
        <f>IF(X26&gt;0,X26,0)*150%</f>
        <v/>
      </c>
      <c r="Z26" s="19">
        <f>ROUND(SUMIFS(meghsteelsales_previousmonth[Quantity],meghsteelsales_previousmonth[Length Bucket],Table27[[#This Row],[Bucket CTL]])/1000,0)</f>
        <v/>
      </c>
      <c r="AA26" s="419">
        <f>ROUND(SUMIFS(meghsteelsales_currentmonth[Quantity],meghsteelsales_currentmonth[Length Bucket],Table27[[#This Row],[Bucket CTL]])/1000,0)</f>
        <v/>
      </c>
      <c r="AB26" s="90">
        <f>Table27[[#This Row],[ INDENT  FOR NOV-25 recommended]]+Table27[[#This Row],[order logg ]]</f>
        <v/>
      </c>
      <c r="AC26" s="90">
        <f>Table27[[#This Row],[Before 20th]]+Table27[[#This Row],[ofter 20th]]</f>
        <v/>
      </c>
      <c r="AD26">
        <f>IF(Table27[[#This Row],[Total Indent]]-Table27[[#This Row],[Total Supplied]]&lt;0,0,Table27[[#This Row],[Total Indent]]-Table27[[#This Row],[Total Supplied]])</f>
        <v/>
      </c>
    </row>
    <row r="27">
      <c r="A27" s="265" t="inlineStr">
        <is>
          <t>TVS</t>
        </is>
      </c>
      <c r="B27" s="265" t="n">
        <v>943209</v>
      </c>
      <c r="C27" s="147" t="inlineStr">
        <is>
          <t>RUCHA</t>
        </is>
      </c>
      <c r="D27" s="153" t="inlineStr">
        <is>
          <t>ERW1</t>
        </is>
      </c>
      <c r="E27" s="147" t="inlineStr">
        <is>
          <t>NON FIN</t>
        </is>
      </c>
      <c r="F27" s="147" t="inlineStr">
        <is>
          <t>ERW</t>
        </is>
      </c>
      <c r="G27" s="148" t="n">
        <v>25.4</v>
      </c>
      <c r="H27" s="148" t="n"/>
      <c r="I27" s="148" t="n">
        <v>2</v>
      </c>
      <c r="J27" s="147" t="n">
        <v>6050</v>
      </c>
      <c r="K27" s="147" t="n">
        <v>6.05</v>
      </c>
      <c r="L27" s="147">
        <f>_xlfn.CONCAT(G27,I27,K27,F27,E27)</f>
        <v/>
      </c>
      <c r="M27" s="147">
        <f>VLOOKUP(Table27[[#This Row],[Key]],Table29[[#All],[Key]:[TSL Material Code3]],4,0)</f>
        <v/>
      </c>
      <c r="N27" s="147">
        <f>VLOOKUP(Table27[[#This Row],[Key]],Table29[[#All],[Key]:[TSL Material Code3]],5,0)</f>
        <v/>
      </c>
      <c r="O27" s="149">
        <f>VLOOKUP(Table27[[#This Row],[Key]],Table29[[#All],[Key]:[TSL Material Code3]],7,0)</f>
        <v/>
      </c>
      <c r="P27" s="150">
        <f>VLOOKUP(Table27[[#This Row],[Key]],Table29[[#All],[Key]:[TSL Material Code3]],8,0)</f>
        <v/>
      </c>
      <c r="Q27" s="19" t="n">
        <v>10</v>
      </c>
      <c r="R27" s="147" t="n">
        <v>0</v>
      </c>
      <c r="S27" s="147" t="n">
        <v>3</v>
      </c>
      <c r="T27" s="147" t="n">
        <v>0</v>
      </c>
      <c r="U27" s="147">
        <f>S27-R27</f>
        <v/>
      </c>
      <c r="V27" s="147" t="n"/>
      <c r="W27" s="147">
        <f>U27+V27</f>
        <v/>
      </c>
      <c r="X27" s="19">
        <f>Q27-W27</f>
        <v/>
      </c>
      <c r="Y27" s="167">
        <f>IF(X27&gt;0,X27,0)*150%</f>
        <v/>
      </c>
      <c r="Z27" s="19">
        <f>ROUND(SUMIFS(meghsteelsales_previousmonth[Quantity],meghsteelsales_previousmonth[Length Bucket],Table27[[#This Row],[Bucket CTL]])/1000,0)</f>
        <v/>
      </c>
      <c r="AA27" s="419">
        <f>ROUND(SUMIFS(meghsteelsales_currentmonth[Quantity],meghsteelsales_currentmonth[Length Bucket],Table27[[#This Row],[Bucket CTL]])/1000,0)</f>
        <v/>
      </c>
      <c r="AB27" s="90">
        <f>Table27[[#This Row],[ INDENT  FOR NOV-25 recommended]]+Table27[[#This Row],[order logg ]]</f>
        <v/>
      </c>
      <c r="AC27" s="90">
        <f>Table27[[#This Row],[Before 20th]]+Table27[[#This Row],[ofter 20th]]</f>
        <v/>
      </c>
      <c r="AD27">
        <f>IF(Table27[[#This Row],[Total Indent]]-Table27[[#This Row],[Total Supplied]]&lt;0,0,Table27[[#This Row],[Total Indent]]-Table27[[#This Row],[Total Supplied]])</f>
        <v/>
      </c>
    </row>
    <row r="28">
      <c r="A28" s="265" t="inlineStr">
        <is>
          <t>TVS</t>
        </is>
      </c>
      <c r="B28" s="265" t="n">
        <v>943209</v>
      </c>
      <c r="C28" s="147" t="inlineStr">
        <is>
          <t>RUCHA</t>
        </is>
      </c>
      <c r="D28" s="153" t="inlineStr">
        <is>
          <t>ERW1</t>
        </is>
      </c>
      <c r="E28" s="147" t="inlineStr">
        <is>
          <t>NON FIN</t>
        </is>
      </c>
      <c r="F28" s="147" t="inlineStr">
        <is>
          <t>ERW</t>
        </is>
      </c>
      <c r="G28" s="148" t="n">
        <v>25.4</v>
      </c>
      <c r="H28" s="148" t="n"/>
      <c r="I28" s="148" t="n">
        <v>2.5</v>
      </c>
      <c r="J28" s="147" t="n">
        <v>5530</v>
      </c>
      <c r="K28" s="147" t="n">
        <v>5.53</v>
      </c>
      <c r="L28" s="147">
        <f>_xlfn.CONCAT(G28,I28,K28,F28,E28)</f>
        <v/>
      </c>
      <c r="M28" s="147">
        <f>VLOOKUP(Table27[[#This Row],[Key]],Table29[[#All],[Key]:[TSL Material Code3]],4,0)</f>
        <v/>
      </c>
      <c r="N28" s="147">
        <f>VLOOKUP(Table27[[#This Row],[Key]],Table29[[#All],[Key]:[TSL Material Code3]],5,0)</f>
        <v/>
      </c>
      <c r="O28" s="149">
        <f>VLOOKUP(Table27[[#This Row],[Key]],Table29[[#All],[Key]:[TSL Material Code3]],7,0)</f>
        <v/>
      </c>
      <c r="P28" s="150">
        <f>VLOOKUP(Table27[[#This Row],[Key]],Table29[[#All],[Key]:[TSL Material Code3]],8,0)</f>
        <v/>
      </c>
      <c r="Q28" s="19" t="n">
        <v>40</v>
      </c>
      <c r="R28" s="147" t="n">
        <v>15</v>
      </c>
      <c r="S28" s="147" t="n">
        <v>5</v>
      </c>
      <c r="T28" s="147" t="n">
        <v>58</v>
      </c>
      <c r="U28" s="147">
        <f>S28-R28</f>
        <v/>
      </c>
      <c r="V28" s="147" t="n">
        <v>62</v>
      </c>
      <c r="W28" s="147">
        <f>U28+V28</f>
        <v/>
      </c>
      <c r="X28" s="19">
        <f>Q28-W28</f>
        <v/>
      </c>
      <c r="Y28" s="167">
        <f>IF(X28&gt;0,X28,0)*150%</f>
        <v/>
      </c>
      <c r="Z28" s="19">
        <f>ROUND(SUMIFS(meghsteelsales_previousmonth[Quantity],meghsteelsales_previousmonth[Length Bucket],Table27[[#This Row],[Bucket CTL]])/1000,0)</f>
        <v/>
      </c>
      <c r="AA28" s="419">
        <f>ROUND(SUMIFS(meghsteelsales_currentmonth[Quantity],meghsteelsales_currentmonth[Length Bucket],Table27[[#This Row],[Bucket CTL]])/1000,0)</f>
        <v/>
      </c>
      <c r="AB28" s="90">
        <f>Table27[[#This Row],[ INDENT  FOR NOV-25 recommended]]+Table27[[#This Row],[order logg ]]</f>
        <v/>
      </c>
      <c r="AC28" s="90">
        <f>Table27[[#This Row],[Before 20th]]+Table27[[#This Row],[ofter 20th]]</f>
        <v/>
      </c>
      <c r="AD28">
        <f>IF(Table27[[#This Row],[Total Indent]]-Table27[[#This Row],[Total Supplied]]&lt;0,0,Table27[[#This Row],[Total Indent]]-Table27[[#This Row],[Total Supplied]])</f>
        <v/>
      </c>
    </row>
    <row r="29">
      <c r="A29" s="265" t="inlineStr">
        <is>
          <t>TVS</t>
        </is>
      </c>
      <c r="B29" s="265" t="n">
        <v>943209</v>
      </c>
      <c r="C29" s="147" t="inlineStr">
        <is>
          <t>RUCHA,METALMAN</t>
        </is>
      </c>
      <c r="D29" s="153" t="inlineStr">
        <is>
          <t>ERW1</t>
        </is>
      </c>
      <c r="E29" s="147" t="inlineStr">
        <is>
          <t>FIN CUT</t>
        </is>
      </c>
      <c r="F29" s="147" t="inlineStr">
        <is>
          <t>ERW</t>
        </is>
      </c>
      <c r="G29" s="148" t="n">
        <v>28.6</v>
      </c>
      <c r="H29" s="148" t="n"/>
      <c r="I29" s="148" t="n">
        <v>1.2</v>
      </c>
      <c r="J29" s="147" t="n">
        <v>6000</v>
      </c>
      <c r="K29" s="147" t="n">
        <v>6</v>
      </c>
      <c r="L29" s="147">
        <f>_xlfn.CONCAT(G29,I29,K29,F29,E29)</f>
        <v/>
      </c>
      <c r="M29" s="147">
        <f>VLOOKUP(Table27[[#This Row],[Key]],Table29[[#All],[Key]:[TSL Material Code3]],4,0)</f>
        <v/>
      </c>
      <c r="N29" s="147">
        <f>VLOOKUP(Table27[[#This Row],[Key]],Table29[[#All],[Key]:[TSL Material Code3]],5,0)</f>
        <v/>
      </c>
      <c r="O29" s="149">
        <f>VLOOKUP(Table27[[#This Row],[Key]],Table29[[#All],[Key]:[TSL Material Code3]],7,0)</f>
        <v/>
      </c>
      <c r="P29" s="150">
        <f>VLOOKUP(Table27[[#This Row],[Key]],Table29[[#All],[Key]:[TSL Material Code3]],8,0)</f>
        <v/>
      </c>
      <c r="Q29" s="19" t="n">
        <v>3</v>
      </c>
      <c r="R29" s="147" t="n">
        <v>0</v>
      </c>
      <c r="S29" s="147" t="n">
        <v>3.2</v>
      </c>
      <c r="T29" s="147" t="n">
        <v>0</v>
      </c>
      <c r="U29" s="147">
        <f>S29-R29</f>
        <v/>
      </c>
      <c r="V29" s="147" t="n"/>
      <c r="W29" s="147">
        <f>U29+V29</f>
        <v/>
      </c>
      <c r="X29" s="19">
        <f>Q29-W29</f>
        <v/>
      </c>
      <c r="Y29" s="167">
        <f>IF(X29&gt;0,X29,0)*150%</f>
        <v/>
      </c>
      <c r="Z29" s="19">
        <f>ROUND(SUMIFS(meghsteelsales_previousmonth[Quantity],meghsteelsales_previousmonth[Length Bucket],Table27[[#This Row],[Bucket CTL]])/1000,0)</f>
        <v/>
      </c>
      <c r="AA29" s="419">
        <f>ROUND(SUMIFS(meghsteelsales_currentmonth[Quantity],meghsteelsales_currentmonth[Length Bucket],Table27[[#This Row],[Bucket CTL]])/1000,0)</f>
        <v/>
      </c>
      <c r="AB29" s="90">
        <f>Table27[[#This Row],[ INDENT  FOR NOV-25 recommended]]+Table27[[#This Row],[order logg ]]</f>
        <v/>
      </c>
      <c r="AC29" s="90">
        <f>Table27[[#This Row],[Before 20th]]+Table27[[#This Row],[ofter 20th]]</f>
        <v/>
      </c>
      <c r="AD29">
        <f>IF(Table27[[#This Row],[Total Indent]]-Table27[[#This Row],[Total Supplied]]&lt;0,0,Table27[[#This Row],[Total Indent]]-Table27[[#This Row],[Total Supplied]])</f>
        <v/>
      </c>
    </row>
    <row r="30">
      <c r="A30" s="265" t="inlineStr">
        <is>
          <t>TVS</t>
        </is>
      </c>
      <c r="B30" s="265" t="n">
        <v>943209</v>
      </c>
      <c r="C30" s="147" t="inlineStr">
        <is>
          <t>RUCHA</t>
        </is>
      </c>
      <c r="D30" s="159" t="inlineStr">
        <is>
          <t>CEW1</t>
        </is>
      </c>
      <c r="E30" s="147" t="inlineStr">
        <is>
          <t>FIN CUT</t>
        </is>
      </c>
      <c r="F30" s="147" t="inlineStr">
        <is>
          <t>CEW</t>
        </is>
      </c>
      <c r="G30" s="168" t="n">
        <v>28.6</v>
      </c>
      <c r="H30" s="168" t="n"/>
      <c r="I30" s="168" t="n">
        <v>2.65</v>
      </c>
      <c r="J30" s="169" t="n">
        <v>6000</v>
      </c>
      <c r="K30" s="147" t="n">
        <v>6</v>
      </c>
      <c r="L30" s="147">
        <f>_xlfn.CONCAT(G30,I30,K30,F30,E30)</f>
        <v/>
      </c>
      <c r="M30" s="147">
        <f>VLOOKUP(Table27[[#This Row],[Key]],Table29[[#All],[Key]:[TSL Material Code3]],4,0)</f>
        <v/>
      </c>
      <c r="N30" s="147">
        <f>VLOOKUP(Table27[[#This Row],[Key]],Table29[[#All],[Key]:[TSL Material Code3]],5,0)</f>
        <v/>
      </c>
      <c r="O30" s="149">
        <f>VLOOKUP(Table27[[#This Row],[Key]],Table29[[#All],[Key]:[TSL Material Code3]],7,0)</f>
        <v/>
      </c>
      <c r="P30" s="150">
        <f>VLOOKUP(Table27[[#This Row],[Key]],Table29[[#All],[Key]:[TSL Material Code3]],8,0)</f>
        <v/>
      </c>
      <c r="Q30" s="19" t="n">
        <v>10</v>
      </c>
      <c r="R30" s="147" t="n">
        <v>0</v>
      </c>
      <c r="S30" s="147" t="n">
        <v>9</v>
      </c>
      <c r="T30" s="147" t="n">
        <v>0</v>
      </c>
      <c r="U30" s="147">
        <f>S30-R30</f>
        <v/>
      </c>
      <c r="V30" s="147" t="n"/>
      <c r="W30" s="147">
        <f>U30+V30</f>
        <v/>
      </c>
      <c r="X30" s="19">
        <f>Q30-W30</f>
        <v/>
      </c>
      <c r="Y30" s="167">
        <f>IF(X30&gt;0,X30,0)*150%</f>
        <v/>
      </c>
      <c r="Z30" s="19">
        <f>ROUND(SUMIFS(meghsteelsales_previousmonth[Quantity],meghsteelsales_previousmonth[Length Bucket],Table27[[#This Row],[Bucket CTL]])/1000,0)</f>
        <v/>
      </c>
      <c r="AA30" s="419">
        <f>ROUND(SUMIFS(meghsteelsales_currentmonth[Quantity],meghsteelsales_currentmonth[Length Bucket],Table27[[#This Row],[Bucket CTL]])/1000,0)</f>
        <v/>
      </c>
      <c r="AB30" s="90">
        <f>Table27[[#This Row],[ INDENT  FOR NOV-25 recommended]]+Table27[[#This Row],[order logg ]]</f>
        <v/>
      </c>
      <c r="AC30" s="90">
        <f>Table27[[#This Row],[Before 20th]]+Table27[[#This Row],[ofter 20th]]</f>
        <v/>
      </c>
      <c r="AD30">
        <f>IF(Table27[[#This Row],[Total Indent]]-Table27[[#This Row],[Total Supplied]]&lt;0,0,Table27[[#This Row],[Total Indent]]-Table27[[#This Row],[Total Supplied]])</f>
        <v/>
      </c>
    </row>
    <row r="31">
      <c r="A31" s="265" t="inlineStr">
        <is>
          <t>TVS</t>
        </is>
      </c>
      <c r="B31" s="265" t="n">
        <v>943209</v>
      </c>
      <c r="C31" s="147" t="inlineStr">
        <is>
          <t>RUCHA,METALMAN</t>
        </is>
      </c>
      <c r="D31" s="153" t="inlineStr">
        <is>
          <t>ERW1</t>
        </is>
      </c>
      <c r="E31" s="147" t="inlineStr">
        <is>
          <t>FIN CUT</t>
        </is>
      </c>
      <c r="F31" s="147" t="inlineStr">
        <is>
          <t>ERW</t>
        </is>
      </c>
      <c r="G31" s="148" t="n">
        <v>31.75</v>
      </c>
      <c r="H31" s="148" t="n"/>
      <c r="I31" s="148" t="n">
        <v>1.2</v>
      </c>
      <c r="J31" s="147" t="n">
        <v>6000</v>
      </c>
      <c r="K31" s="147" t="n">
        <v>6</v>
      </c>
      <c r="L31" s="147">
        <f>_xlfn.CONCAT(G31,I31,K31,F31,E31)</f>
        <v/>
      </c>
      <c r="M31" s="147">
        <f>VLOOKUP(Table27[[#This Row],[Key]],Table29[[#All],[Key]:[TSL Material Code3]],4,0)</f>
        <v/>
      </c>
      <c r="N31" s="147">
        <f>VLOOKUP(Table27[[#This Row],[Key]],Table29[[#All],[Key]:[TSL Material Code3]],5,0)</f>
        <v/>
      </c>
      <c r="O31" s="149">
        <f>VLOOKUP(Table27[[#This Row],[Key]],Table29[[#All],[Key]:[TSL Material Code3]],7,0)</f>
        <v/>
      </c>
      <c r="P31" s="150">
        <f>VLOOKUP(Table27[[#This Row],[Key]],Table29[[#All],[Key]:[TSL Material Code3]],8,0)</f>
        <v/>
      </c>
      <c r="Q31" s="19" t="n">
        <v>5</v>
      </c>
      <c r="R31" s="147" t="n">
        <v>0</v>
      </c>
      <c r="S31" s="147" t="n">
        <v>20</v>
      </c>
      <c r="T31" s="147" t="n">
        <v>8.800000000000001</v>
      </c>
      <c r="U31" s="147">
        <f>S31-R31</f>
        <v/>
      </c>
      <c r="V31" s="147" t="n">
        <v>1.7</v>
      </c>
      <c r="W31" s="147">
        <f>U31+V31</f>
        <v/>
      </c>
      <c r="X31" s="19">
        <f>Q31-W31</f>
        <v/>
      </c>
      <c r="Y31" s="167">
        <f>IF(X31&gt;0,X31,0)*150%</f>
        <v/>
      </c>
      <c r="Z31" s="19">
        <f>ROUND(SUMIFS(meghsteelsales_previousmonth[Quantity],meghsteelsales_previousmonth[Length Bucket],Table27[[#This Row],[Bucket CTL]])/1000,0)</f>
        <v/>
      </c>
      <c r="AA31" s="419">
        <f>ROUND(SUMIFS(meghsteelsales_currentmonth[Quantity],meghsteelsales_currentmonth[Length Bucket],Table27[[#This Row],[Bucket CTL]])/1000,0)</f>
        <v/>
      </c>
      <c r="AB31" s="90">
        <f>Table27[[#This Row],[ INDENT  FOR NOV-25 recommended]]+Table27[[#This Row],[order logg ]]</f>
        <v/>
      </c>
      <c r="AC31" s="90">
        <f>Table27[[#This Row],[Before 20th]]+Table27[[#This Row],[ofter 20th]]</f>
        <v/>
      </c>
      <c r="AD31">
        <f>IF(Table27[[#This Row],[Total Indent]]-Table27[[#This Row],[Total Supplied]]&lt;0,0,Table27[[#This Row],[Total Indent]]-Table27[[#This Row],[Total Supplied]])</f>
        <v/>
      </c>
    </row>
    <row r="32">
      <c r="A32" s="265" t="inlineStr">
        <is>
          <t>TVS</t>
        </is>
      </c>
      <c r="B32" s="265" t="n">
        <v>943209</v>
      </c>
      <c r="C32" s="147" t="inlineStr">
        <is>
          <t>RUCHA,METALMAN</t>
        </is>
      </c>
      <c r="D32" s="153" t="inlineStr">
        <is>
          <t>ERW1</t>
        </is>
      </c>
      <c r="E32" s="147" t="inlineStr">
        <is>
          <t>FIN CUT</t>
        </is>
      </c>
      <c r="F32" s="147" t="inlineStr">
        <is>
          <t>ERW</t>
        </is>
      </c>
      <c r="G32" s="148" t="n">
        <v>31.75</v>
      </c>
      <c r="H32" s="148" t="n"/>
      <c r="I32" s="148" t="n">
        <v>2</v>
      </c>
      <c r="J32" s="147" t="n">
        <v>6000</v>
      </c>
      <c r="K32" s="147" t="n">
        <v>6</v>
      </c>
      <c r="L32" s="147">
        <f>_xlfn.CONCAT(G32,I32,K32,F32,E32)</f>
        <v/>
      </c>
      <c r="M32" s="147">
        <f>VLOOKUP(Table27[[#This Row],[Key]],Table29[[#All],[Key]:[TSL Material Code3]],4,0)</f>
        <v/>
      </c>
      <c r="N32" s="147">
        <f>VLOOKUP(Table27[[#This Row],[Key]],Table29[[#All],[Key]:[TSL Material Code3]],5,0)</f>
        <v/>
      </c>
      <c r="O32" s="149">
        <f>VLOOKUP(Table27[[#This Row],[Key]],Table29[[#All],[Key]:[TSL Material Code3]],7,0)</f>
        <v/>
      </c>
      <c r="P32" s="150">
        <f>VLOOKUP(Table27[[#This Row],[Key]],Table29[[#All],[Key]:[TSL Material Code3]],8,0)</f>
        <v/>
      </c>
      <c r="Q32" s="19" t="n">
        <v>10</v>
      </c>
      <c r="R32" s="147" t="n">
        <v>0</v>
      </c>
      <c r="S32" s="147" t="n">
        <v>10</v>
      </c>
      <c r="T32" s="147" t="n">
        <v>10</v>
      </c>
      <c r="U32" s="147">
        <f>S32-R32</f>
        <v/>
      </c>
      <c r="V32" s="147" t="n"/>
      <c r="W32" s="147">
        <f>U32+V32</f>
        <v/>
      </c>
      <c r="X32" s="19">
        <f>Q32-W32</f>
        <v/>
      </c>
      <c r="Y32" s="167">
        <f>IF(X32&gt;0,X32,0)*150%</f>
        <v/>
      </c>
      <c r="Z32" s="19">
        <f>ROUND(SUMIFS(meghsteelsales_previousmonth[Quantity],meghsteelsales_previousmonth[Length Bucket],Table27[[#This Row],[Bucket CTL]])/1000,0)</f>
        <v/>
      </c>
      <c r="AA32" s="419">
        <f>ROUND(SUMIFS(meghsteelsales_currentmonth[Quantity],meghsteelsales_currentmonth[Length Bucket],Table27[[#This Row],[Bucket CTL]])/1000,0)</f>
        <v/>
      </c>
      <c r="AB32" s="90">
        <f>Table27[[#This Row],[ INDENT  FOR NOV-25 recommended]]+Table27[[#This Row],[order logg ]]</f>
        <v/>
      </c>
      <c r="AC32" s="90">
        <f>Table27[[#This Row],[Before 20th]]+Table27[[#This Row],[ofter 20th]]</f>
        <v/>
      </c>
      <c r="AD32">
        <f>IF(Table27[[#This Row],[Total Indent]]-Table27[[#This Row],[Total Supplied]]&lt;0,0,Table27[[#This Row],[Total Indent]]-Table27[[#This Row],[Total Supplied]])</f>
        <v/>
      </c>
    </row>
    <row r="33">
      <c r="A33" s="265" t="inlineStr">
        <is>
          <t>RE</t>
        </is>
      </c>
      <c r="B33" s="266" t="n">
        <v>943211</v>
      </c>
      <c r="C33" s="147" t="inlineStr">
        <is>
          <t>BELRISE</t>
        </is>
      </c>
      <c r="D33" s="153" t="inlineStr">
        <is>
          <t>ERW1</t>
        </is>
      </c>
      <c r="E33" s="147" t="inlineStr">
        <is>
          <t>FIN CUT</t>
        </is>
      </c>
      <c r="F33" s="147" t="inlineStr">
        <is>
          <t>ERW</t>
        </is>
      </c>
      <c r="G33" s="148" t="n">
        <v>31.75</v>
      </c>
      <c r="H33" s="148" t="n"/>
      <c r="I33" s="148" t="n">
        <v>2.3</v>
      </c>
      <c r="J33" s="147" t="n">
        <v>5920</v>
      </c>
      <c r="K33" s="147" t="n">
        <v>5.92</v>
      </c>
      <c r="L33" s="147">
        <f>_xlfn.CONCAT(G33,I33,K33,F33,E33)</f>
        <v/>
      </c>
      <c r="M33" s="147">
        <f>VLOOKUP(Table27[[#This Row],[Key]],Table29[[#All],[Key]:[TSL Material Code3]],4,0)</f>
        <v/>
      </c>
      <c r="N33" s="147">
        <f>VLOOKUP(Table27[[#This Row],[Key]],Table29[[#All],[Key]:[TSL Material Code3]],5,0)</f>
        <v/>
      </c>
      <c r="O33" s="149">
        <f>VLOOKUP(Table27[[#This Row],[Key]],Table29[[#All],[Key]:[TSL Material Code3]],7,0)</f>
        <v/>
      </c>
      <c r="P33" s="150">
        <f>VLOOKUP(Table27[[#This Row],[Key]],Table29[[#All],[Key]:[TSL Material Code3]],8,0)</f>
        <v/>
      </c>
      <c r="Q33" s="19" t="n">
        <v>15</v>
      </c>
      <c r="R33" s="147" t="n">
        <v>5</v>
      </c>
      <c r="S33" s="147" t="n">
        <v>18</v>
      </c>
      <c r="T33" s="147" t="n">
        <v>0</v>
      </c>
      <c r="U33" s="147">
        <f>S33-R33</f>
        <v/>
      </c>
      <c r="V33" s="147" t="n"/>
      <c r="W33" s="147">
        <f>U33+V33</f>
        <v/>
      </c>
      <c r="X33" s="19">
        <f>Q33-W33</f>
        <v/>
      </c>
      <c r="Y33" s="167">
        <f>IF(X33&gt;0,X33,0)*150%</f>
        <v/>
      </c>
      <c r="Z33" s="19">
        <f>ROUND(SUMIFS(meghsteelsales_previousmonth[Quantity],meghsteelsales_previousmonth[Length Bucket],Table27[[#This Row],[Bucket CTL]])/1000,0)</f>
        <v/>
      </c>
      <c r="AA33" s="419">
        <f>ROUND(SUMIFS(meghsteelsales_currentmonth[Quantity],meghsteelsales_currentmonth[Length Bucket],Table27[[#This Row],[Bucket CTL]])/1000,0)</f>
        <v/>
      </c>
      <c r="AB33" s="90">
        <f>Table27[[#This Row],[ INDENT  FOR NOV-25 recommended]]+Table27[[#This Row],[order logg ]]</f>
        <v/>
      </c>
      <c r="AC33" s="90">
        <f>Table27[[#This Row],[Before 20th]]+Table27[[#This Row],[ofter 20th]]</f>
        <v/>
      </c>
      <c r="AD33">
        <f>IF(Table27[[#This Row],[Total Indent]]-Table27[[#This Row],[Total Supplied]]&lt;0,0,Table27[[#This Row],[Total Indent]]-Table27[[#This Row],[Total Supplied]])</f>
        <v/>
      </c>
    </row>
    <row r="34">
      <c r="A34" s="265" t="inlineStr">
        <is>
          <t>TVS</t>
        </is>
      </c>
      <c r="B34" s="265" t="n">
        <v>943209</v>
      </c>
      <c r="C34" s="147" t="inlineStr">
        <is>
          <t>RUCHA,METALMAN</t>
        </is>
      </c>
      <c r="D34" s="153" t="inlineStr">
        <is>
          <t>ERW1</t>
        </is>
      </c>
      <c r="E34" s="147" t="inlineStr">
        <is>
          <t>FIN CUT</t>
        </is>
      </c>
      <c r="F34" s="147" t="inlineStr">
        <is>
          <t>ERW</t>
        </is>
      </c>
      <c r="G34" s="148" t="n">
        <v>34.93</v>
      </c>
      <c r="H34" s="148" t="n"/>
      <c r="I34" s="148" t="n">
        <v>1.2</v>
      </c>
      <c r="J34" s="147" t="n">
        <v>6000</v>
      </c>
      <c r="K34" s="147" t="n">
        <v>6</v>
      </c>
      <c r="L34" s="147">
        <f>_xlfn.CONCAT(G34,I34,K34,F34,E34)</f>
        <v/>
      </c>
      <c r="M34" s="147">
        <f>VLOOKUP(Table27[[#This Row],[Key]],Table29[[#All],[Key]:[TSL Material Code3]],4,0)</f>
        <v/>
      </c>
      <c r="N34" s="147">
        <f>VLOOKUP(Table27[[#This Row],[Key]],Table29[[#All],[Key]:[TSL Material Code3]],5,0)</f>
        <v/>
      </c>
      <c r="O34" s="149">
        <f>VLOOKUP(Table27[[#This Row],[Key]],Table29[[#All],[Key]:[TSL Material Code3]],7,0)</f>
        <v/>
      </c>
      <c r="P34" s="150">
        <f>VLOOKUP(Table27[[#This Row],[Key]],Table29[[#All],[Key]:[TSL Material Code3]],8,0)</f>
        <v/>
      </c>
      <c r="Q34" s="19" t="n">
        <v>5</v>
      </c>
      <c r="R34" s="147" t="n">
        <v>1</v>
      </c>
      <c r="S34" s="147" t="n">
        <v>34</v>
      </c>
      <c r="T34" s="147" t="n">
        <v>0</v>
      </c>
      <c r="U34" s="147">
        <f>S34-R34</f>
        <v/>
      </c>
      <c r="V34" s="147" t="n">
        <v>62</v>
      </c>
      <c r="W34" s="147">
        <f>U34+V34</f>
        <v/>
      </c>
      <c r="X34" s="19">
        <f>Q34-W34</f>
        <v/>
      </c>
      <c r="Y34" s="167">
        <f>IF(X34&gt;0,X34,0)*150%</f>
        <v/>
      </c>
      <c r="Z34" s="19">
        <f>ROUND(SUMIFS(meghsteelsales_previousmonth[Quantity],meghsteelsales_previousmonth[Length Bucket],Table27[[#This Row],[Bucket CTL]])/1000,0)</f>
        <v/>
      </c>
      <c r="AA34" s="419">
        <f>ROUND(SUMIFS(meghsteelsales_currentmonth[Quantity],meghsteelsales_currentmonth[Length Bucket],Table27[[#This Row],[Bucket CTL]])/1000,0)</f>
        <v/>
      </c>
      <c r="AB34" s="90">
        <f>Table27[[#This Row],[ INDENT  FOR NOV-25 recommended]]+Table27[[#This Row],[order logg ]]</f>
        <v/>
      </c>
      <c r="AC34" s="90">
        <f>Table27[[#This Row],[Before 20th]]+Table27[[#This Row],[ofter 20th]]</f>
        <v/>
      </c>
      <c r="AD34">
        <f>IF(Table27[[#This Row],[Total Indent]]-Table27[[#This Row],[Total Supplied]]&lt;0,0,Table27[[#This Row],[Total Indent]]-Table27[[#This Row],[Total Supplied]])</f>
        <v/>
      </c>
    </row>
    <row r="35">
      <c r="A35" s="265" t="inlineStr">
        <is>
          <t>RE</t>
        </is>
      </c>
      <c r="B35" s="266" t="n">
        <v>943211</v>
      </c>
      <c r="C35" s="147" t="inlineStr">
        <is>
          <t>BELRISE</t>
        </is>
      </c>
      <c r="D35" s="153" t="inlineStr">
        <is>
          <t>ERW1</t>
        </is>
      </c>
      <c r="E35" s="147" t="inlineStr">
        <is>
          <t>FIN CUT</t>
        </is>
      </c>
      <c r="F35" s="147" t="inlineStr">
        <is>
          <t>ERW</t>
        </is>
      </c>
      <c r="G35" s="148" t="n">
        <v>34.93</v>
      </c>
      <c r="H35" s="148" t="n"/>
      <c r="I35" s="148" t="n">
        <v>1.2</v>
      </c>
      <c r="J35" s="147" t="n">
        <v>620</v>
      </c>
      <c r="K35" s="147" t="n">
        <v>0.62</v>
      </c>
      <c r="L35" s="147">
        <f>_xlfn.CONCAT(G35,I35,K35,F35,E35)</f>
        <v/>
      </c>
      <c r="M35" s="147">
        <f>VLOOKUP(Table27[[#This Row],[Key]],Table29[[#All],[Key]:[TSL Material Code3]],4,0)</f>
        <v/>
      </c>
      <c r="N35" s="147">
        <f>VLOOKUP(Table27[[#This Row],[Key]],Table29[[#All],[Key]:[TSL Material Code3]],5,0)</f>
        <v/>
      </c>
      <c r="O35" s="149">
        <f>VLOOKUP(Table27[[#This Row],[Key]],Table29[[#All],[Key]:[TSL Material Code3]],7,0)</f>
        <v/>
      </c>
      <c r="P35" s="150">
        <f>VLOOKUP(Table27[[#This Row],[Key]],Table29[[#All],[Key]:[TSL Material Code3]],8,0)</f>
        <v/>
      </c>
      <c r="Q35" s="19" t="n">
        <v>10</v>
      </c>
      <c r="R35" s="147" t="n">
        <v>0</v>
      </c>
      <c r="S35" s="147" t="n">
        <v>0</v>
      </c>
      <c r="T35" s="147" t="n">
        <v>0</v>
      </c>
      <c r="U35" s="147">
        <f>S35-R35</f>
        <v/>
      </c>
      <c r="V35" s="147" t="n"/>
      <c r="W35" s="147">
        <f>U35+V35</f>
        <v/>
      </c>
      <c r="X35" s="19">
        <f>Q35-W35</f>
        <v/>
      </c>
      <c r="Y35" s="167">
        <f>IF(X35&gt;0,X35,0)*150%</f>
        <v/>
      </c>
      <c r="Z35" s="19">
        <f>ROUND(SUMIFS(meghsteelsales_previousmonth[Quantity],meghsteelsales_previousmonth[Length Bucket],Table27[[#This Row],[Bucket CTL]])/1000,0)</f>
        <v/>
      </c>
      <c r="AA35" s="419">
        <f>ROUND(SUMIFS(meghsteelsales_currentmonth[Quantity],meghsteelsales_currentmonth[Length Bucket],Table27[[#This Row],[Bucket CTL]])/1000,0)</f>
        <v/>
      </c>
      <c r="AB35" s="90">
        <f>Table27[[#This Row],[ INDENT  FOR NOV-25 recommended]]+Table27[[#This Row],[order logg ]]</f>
        <v/>
      </c>
      <c r="AC35" s="90">
        <f>Table27[[#This Row],[Before 20th]]+Table27[[#This Row],[ofter 20th]]</f>
        <v/>
      </c>
      <c r="AD35">
        <f>IF(Table27[[#This Row],[Total Indent]]-Table27[[#This Row],[Total Supplied]]&lt;0,0,Table27[[#This Row],[Total Indent]]-Table27[[#This Row],[Total Supplied]])</f>
        <v/>
      </c>
    </row>
    <row r="36">
      <c r="A36" s="265" t="inlineStr">
        <is>
          <t>RE</t>
        </is>
      </c>
      <c r="B36" s="266" t="n">
        <v>943211</v>
      </c>
      <c r="C36" s="147" t="inlineStr">
        <is>
          <t>RAJSRIYA</t>
        </is>
      </c>
      <c r="D36" s="153" t="inlineStr">
        <is>
          <t>ERW1</t>
        </is>
      </c>
      <c r="E36" s="147" t="inlineStr">
        <is>
          <t>FIN CUT</t>
        </is>
      </c>
      <c r="F36" s="147" t="inlineStr">
        <is>
          <t>ERW</t>
        </is>
      </c>
      <c r="G36" s="148" t="n">
        <v>34.93</v>
      </c>
      <c r="H36" s="148" t="n"/>
      <c r="I36" s="148" t="n">
        <v>1.2</v>
      </c>
      <c r="J36" s="147" t="n">
        <v>650</v>
      </c>
      <c r="K36" s="147" t="n">
        <v>0.65</v>
      </c>
      <c r="L36" s="147">
        <f>_xlfn.CONCAT(G36,I36,K36,F36,E36)</f>
        <v/>
      </c>
      <c r="M36" s="147">
        <f>VLOOKUP(Table27[[#This Row],[Key]],Table29[[#All],[Key]:[TSL Material Code3]],4,0)</f>
        <v/>
      </c>
      <c r="N36" s="147">
        <f>VLOOKUP(Table27[[#This Row],[Key]],Table29[[#All],[Key]:[TSL Material Code3]],5,0)</f>
        <v/>
      </c>
      <c r="O36" s="149">
        <f>VLOOKUP(Table27[[#This Row],[Key]],Table29[[#All],[Key]:[TSL Material Code3]],7,0)</f>
        <v/>
      </c>
      <c r="P36" s="150">
        <f>VLOOKUP(Table27[[#This Row],[Key]],Table29[[#All],[Key]:[TSL Material Code3]],8,0)</f>
        <v/>
      </c>
      <c r="Q36" s="19" t="n">
        <v>10</v>
      </c>
      <c r="R36" s="147" t="n">
        <v>0</v>
      </c>
      <c r="S36" s="147" t="n">
        <v>0</v>
      </c>
      <c r="T36" s="147" t="n">
        <v>0</v>
      </c>
      <c r="U36" s="147">
        <f>S36-R36</f>
        <v/>
      </c>
      <c r="V36" s="147" t="n"/>
      <c r="W36" s="147">
        <f>U36+V36</f>
        <v/>
      </c>
      <c r="X36" s="19">
        <f>Q36-W36</f>
        <v/>
      </c>
      <c r="Y36" s="167">
        <f>IF(X36&gt;0,X36,0)*150%</f>
        <v/>
      </c>
      <c r="Z36" s="19">
        <f>ROUND(SUMIFS(meghsteelsales_previousmonth[Quantity],meghsteelsales_previousmonth[Length Bucket],Table27[[#This Row],[Bucket CTL]])/1000,0)</f>
        <v/>
      </c>
      <c r="AA36" s="419">
        <f>ROUND(SUMIFS(meghsteelsales_currentmonth[Quantity],meghsteelsales_currentmonth[Length Bucket],Table27[[#This Row],[Bucket CTL]])/1000,0)</f>
        <v/>
      </c>
      <c r="AB36" s="90">
        <f>Table27[[#This Row],[ INDENT  FOR NOV-25 recommended]]+Table27[[#This Row],[order logg ]]</f>
        <v/>
      </c>
      <c r="AC36" s="90">
        <f>Table27[[#This Row],[Before 20th]]+Table27[[#This Row],[ofter 20th]]</f>
        <v/>
      </c>
      <c r="AD36">
        <f>IF(Table27[[#This Row],[Total Indent]]-Table27[[#This Row],[Total Supplied]]&lt;0,0,Table27[[#This Row],[Total Indent]]-Table27[[#This Row],[Total Supplied]])</f>
        <v/>
      </c>
    </row>
    <row r="37">
      <c r="A37" s="265" t="inlineStr">
        <is>
          <t>HMSI</t>
        </is>
      </c>
      <c r="B37" s="265" t="n">
        <v>943210</v>
      </c>
      <c r="C37" s="147" t="inlineStr">
        <is>
          <t>BADVE</t>
        </is>
      </c>
      <c r="D37" s="155" t="inlineStr">
        <is>
          <t>ERW2</t>
        </is>
      </c>
      <c r="E37" s="147" t="inlineStr">
        <is>
          <t>FIN CUT</t>
        </is>
      </c>
      <c r="F37" s="147" t="inlineStr">
        <is>
          <t>ERW</t>
        </is>
      </c>
      <c r="G37" s="154" t="n">
        <v>34</v>
      </c>
      <c r="H37" s="154" t="n"/>
      <c r="I37" s="154" t="n">
        <v>1.4</v>
      </c>
      <c r="J37" s="155" t="n">
        <v>5660</v>
      </c>
      <c r="K37" s="147" t="n">
        <v>5.66</v>
      </c>
      <c r="L37" s="147">
        <f>_xlfn.CONCAT(G37,I37,K37,F37,E37)</f>
        <v/>
      </c>
      <c r="M37" s="147">
        <f>VLOOKUP(Table27[[#This Row],[Key]],Table29[[#All],[Key]:[TSL Material Code3]],4,0)</f>
        <v/>
      </c>
      <c r="N37" s="147">
        <f>VLOOKUP(Table27[[#This Row],[Key]],Table29[[#All],[Key]:[TSL Material Code3]],5,0)</f>
        <v/>
      </c>
      <c r="O37" s="149">
        <f>VLOOKUP(Table27[[#This Row],[Key]],Table29[[#All],[Key]:[TSL Material Code3]],7,0)</f>
        <v/>
      </c>
      <c r="P37" s="150">
        <f>VLOOKUP(Table27[[#This Row],[Key]],Table29[[#All],[Key]:[TSL Material Code3]],8,0)</f>
        <v/>
      </c>
      <c r="Q37" s="19" t="n">
        <v>5</v>
      </c>
      <c r="R37" s="147" t="n">
        <v>0</v>
      </c>
      <c r="S37" s="147" t="n">
        <v>0</v>
      </c>
      <c r="T37" s="147" t="n">
        <v>0</v>
      </c>
      <c r="U37" s="147">
        <f>S37-R37</f>
        <v/>
      </c>
      <c r="V37" s="147" t="n"/>
      <c r="W37" s="147">
        <f>U37+V37</f>
        <v/>
      </c>
      <c r="X37" s="19">
        <f>Q37-W37</f>
        <v/>
      </c>
      <c r="Y37" s="167">
        <f>IF(X37&gt;0,X37,0)*150%</f>
        <v/>
      </c>
      <c r="Z37" s="19">
        <f>ROUND(SUMIFS(meghsteelsales_previousmonth[Quantity],meghsteelsales_previousmonth[Length Bucket],Table27[[#This Row],[Bucket CTL]])/1000,0)</f>
        <v/>
      </c>
      <c r="AA37" s="419">
        <f>ROUND(SUMIFS(meghsteelsales_currentmonth[Quantity],meghsteelsales_currentmonth[Length Bucket],Table27[[#This Row],[Bucket CTL]])/1000,0)</f>
        <v/>
      </c>
      <c r="AB37" s="90">
        <f>Table27[[#This Row],[ INDENT  FOR NOV-25 recommended]]+Table27[[#This Row],[order logg ]]</f>
        <v/>
      </c>
      <c r="AC37" s="90">
        <f>Table27[[#This Row],[Before 20th]]+Table27[[#This Row],[ofter 20th]]</f>
        <v/>
      </c>
      <c r="AD37">
        <f>IF(Table27[[#This Row],[Total Indent]]-Table27[[#This Row],[Total Supplied]]&lt;0,0,Table27[[#This Row],[Total Indent]]-Table27[[#This Row],[Total Supplied]])</f>
        <v/>
      </c>
    </row>
    <row r="38">
      <c r="A38" s="265" t="inlineStr">
        <is>
          <t>TVS</t>
        </is>
      </c>
      <c r="B38" s="265" t="n">
        <v>943209</v>
      </c>
      <c r="C38" s="147" t="inlineStr">
        <is>
          <t>RUCHA,METALMAN</t>
        </is>
      </c>
      <c r="D38" s="153" t="inlineStr">
        <is>
          <t>ERW370</t>
        </is>
      </c>
      <c r="E38" s="147" t="inlineStr">
        <is>
          <t>FIN CUT</t>
        </is>
      </c>
      <c r="F38" s="147" t="inlineStr">
        <is>
          <t>HST</t>
        </is>
      </c>
      <c r="G38" s="148" t="n">
        <v>38.1</v>
      </c>
      <c r="H38" s="148" t="n"/>
      <c r="I38" s="148" t="n">
        <v>1.6</v>
      </c>
      <c r="J38" s="147" t="n">
        <v>6190</v>
      </c>
      <c r="K38" s="147" t="n">
        <v>6.19</v>
      </c>
      <c r="L38" s="147">
        <f>_xlfn.CONCAT(G38,I38,K38,F38,E38)</f>
        <v/>
      </c>
      <c r="M38" s="147">
        <f>VLOOKUP(Table27[[#This Row],[Key]],Table29[[#All],[Key]:[TSL Material Code3]],4,0)</f>
        <v/>
      </c>
      <c r="N38" s="147">
        <f>VLOOKUP(Table27[[#This Row],[Key]],Table29[[#All],[Key]:[TSL Material Code3]],5,0)</f>
        <v/>
      </c>
      <c r="O38" s="149">
        <f>VLOOKUP(Table27[[#This Row],[Key]],Table29[[#All],[Key]:[TSL Material Code3]],7,0)</f>
        <v/>
      </c>
      <c r="P38" s="150">
        <f>VLOOKUP(Table27[[#This Row],[Key]],Table29[[#All],[Key]:[TSL Material Code3]],8,0)</f>
        <v/>
      </c>
      <c r="Q38" s="19" t="n">
        <v>40</v>
      </c>
      <c r="R38" s="147" t="n">
        <v>20</v>
      </c>
      <c r="S38" s="147" t="n">
        <v>23</v>
      </c>
      <c r="T38" s="147" t="n">
        <v>3.8</v>
      </c>
      <c r="U38" s="147">
        <f>S38-R38</f>
        <v/>
      </c>
      <c r="V38" s="147" t="n">
        <v>61</v>
      </c>
      <c r="W38" s="147">
        <f>U38+V38</f>
        <v/>
      </c>
      <c r="X38" s="19">
        <f>Q38-W38</f>
        <v/>
      </c>
      <c r="Y38" s="167">
        <f>IF(X38&gt;0,X38,0)*150%</f>
        <v/>
      </c>
      <c r="Z38" s="19">
        <f>ROUND(SUMIFS(meghsteelsales_previousmonth[Quantity],meghsteelsales_previousmonth[Length Bucket],Table27[[#This Row],[Bucket CTL]])/1000,0)</f>
        <v/>
      </c>
      <c r="AA38" s="419">
        <f>ROUND(SUMIFS(meghsteelsales_currentmonth[Quantity],meghsteelsales_currentmonth[Length Bucket],Table27[[#This Row],[Bucket CTL]])/1000,0)</f>
        <v/>
      </c>
      <c r="AB38" s="90">
        <f>Table27[[#This Row],[ INDENT  FOR NOV-25 recommended]]+Table27[[#This Row],[order logg ]]</f>
        <v/>
      </c>
      <c r="AC38" s="90">
        <f>Table27[[#This Row],[Before 20th]]+Table27[[#This Row],[ofter 20th]]</f>
        <v/>
      </c>
      <c r="AD38">
        <f>IF(Table27[[#This Row],[Total Indent]]-Table27[[#This Row],[Total Supplied]]&lt;0,0,Table27[[#This Row],[Total Indent]]-Table27[[#This Row],[Total Supplied]])</f>
        <v/>
      </c>
    </row>
    <row r="39">
      <c r="A39" s="265" t="inlineStr">
        <is>
          <t>TVS</t>
        </is>
      </c>
      <c r="B39" s="265" t="n">
        <v>943209</v>
      </c>
      <c r="C39" s="147" t="inlineStr">
        <is>
          <t>RUCHA,METALMAN</t>
        </is>
      </c>
      <c r="D39" s="153" t="inlineStr">
        <is>
          <t>ERW1</t>
        </is>
      </c>
      <c r="E39" s="147" t="inlineStr">
        <is>
          <t>FIN CUT</t>
        </is>
      </c>
      <c r="F39" s="147" t="inlineStr">
        <is>
          <t>ERW</t>
        </is>
      </c>
      <c r="G39" s="148" t="n">
        <v>38.1</v>
      </c>
      <c r="H39" s="148" t="n"/>
      <c r="I39" s="148" t="n">
        <v>2</v>
      </c>
      <c r="J39" s="147" t="n">
        <v>5650</v>
      </c>
      <c r="K39" s="147" t="n">
        <v>5.65</v>
      </c>
      <c r="L39" s="147">
        <f>_xlfn.CONCAT(G39,I39,K39,F39,E39)</f>
        <v/>
      </c>
      <c r="M39" s="147">
        <f>VLOOKUP(Table27[[#This Row],[Key]],Table29[[#All],[Key]:[TSL Material Code3]],4,0)</f>
        <v/>
      </c>
      <c r="N39" s="147">
        <f>VLOOKUP(Table27[[#This Row],[Key]],Table29[[#All],[Key]:[TSL Material Code3]],5,0)</f>
        <v/>
      </c>
      <c r="O39" s="149">
        <f>VLOOKUP(Table27[[#This Row],[Key]],Table29[[#All],[Key]:[TSL Material Code3]],7,0)</f>
        <v/>
      </c>
      <c r="P39" s="150">
        <f>VLOOKUP(Table27[[#This Row],[Key]],Table29[[#All],[Key]:[TSL Material Code3]],8,0)</f>
        <v/>
      </c>
      <c r="Q39" s="19" t="n">
        <v>20</v>
      </c>
      <c r="R39" s="147" t="n">
        <v>10</v>
      </c>
      <c r="S39" s="147" t="n">
        <v>0</v>
      </c>
      <c r="T39" s="147" t="n">
        <v>0</v>
      </c>
      <c r="U39" s="147">
        <f>S39-R39</f>
        <v/>
      </c>
      <c r="V39" s="147" t="n">
        <v>49</v>
      </c>
      <c r="W39" s="147">
        <f>U39+V39</f>
        <v/>
      </c>
      <c r="X39" s="19">
        <f>Q39-W39</f>
        <v/>
      </c>
      <c r="Y39" s="167">
        <f>IF(X39&gt;0,X39,0)*150%</f>
        <v/>
      </c>
      <c r="Z39" s="19">
        <f>ROUND(SUMIFS(meghsteelsales_previousmonth[Quantity],meghsteelsales_previousmonth[Length Bucket],Table27[[#This Row],[Bucket CTL]])/1000,0)</f>
        <v/>
      </c>
      <c r="AA39" s="419">
        <f>ROUND(SUMIFS(meghsteelsales_currentmonth[Quantity],meghsteelsales_currentmonth[Length Bucket],Table27[[#This Row],[Bucket CTL]])/1000,0)</f>
        <v/>
      </c>
      <c r="AB39" s="90">
        <f>Table27[[#This Row],[ INDENT  FOR NOV-25 recommended]]+Table27[[#This Row],[order logg ]]</f>
        <v/>
      </c>
      <c r="AC39" s="90">
        <f>Table27[[#This Row],[Before 20th]]+Table27[[#This Row],[ofter 20th]]</f>
        <v/>
      </c>
      <c r="AD39">
        <f>IF(Table27[[#This Row],[Total Indent]]-Table27[[#This Row],[Total Supplied]]&lt;0,0,Table27[[#This Row],[Total Indent]]-Table27[[#This Row],[Total Supplied]])</f>
        <v/>
      </c>
    </row>
    <row r="40">
      <c r="A40" s="265" t="inlineStr">
        <is>
          <t>TVS</t>
        </is>
      </c>
      <c r="B40" s="265" t="n">
        <v>943209</v>
      </c>
      <c r="C40" s="147" t="inlineStr">
        <is>
          <t>RUCHA,METALMAN</t>
        </is>
      </c>
      <c r="D40" s="153" t="inlineStr">
        <is>
          <t>ERW2</t>
        </is>
      </c>
      <c r="E40" s="147" t="inlineStr">
        <is>
          <t>FIN CUT</t>
        </is>
      </c>
      <c r="F40" s="147" t="inlineStr">
        <is>
          <t>HST</t>
        </is>
      </c>
      <c r="G40" s="148" t="n">
        <v>38.1</v>
      </c>
      <c r="H40" s="148" t="n"/>
      <c r="I40" s="148" t="n">
        <v>2.5</v>
      </c>
      <c r="J40" s="147" t="n">
        <v>6190</v>
      </c>
      <c r="K40" s="147" t="n">
        <v>6.19</v>
      </c>
      <c r="L40" s="147">
        <f>_xlfn.CONCAT(G40,I40,K40,F40,E40)</f>
        <v/>
      </c>
      <c r="M40" s="147">
        <f>VLOOKUP(Table27[[#This Row],[Key]],Table29[[#All],[Key]:[TSL Material Code3]],4,0)</f>
        <v/>
      </c>
      <c r="N40" s="147">
        <f>VLOOKUP(Table27[[#This Row],[Key]],Table29[[#All],[Key]:[TSL Material Code3]],5,0)</f>
        <v/>
      </c>
      <c r="O40" s="149">
        <f>VLOOKUP(Table27[[#This Row],[Key]],Table29[[#All],[Key]:[TSL Material Code3]],7,0)</f>
        <v/>
      </c>
      <c r="P40" s="150">
        <f>VLOOKUP(Table27[[#This Row],[Key]],Table29[[#All],[Key]:[TSL Material Code3]],8,0)</f>
        <v/>
      </c>
      <c r="Q40" s="19" t="n">
        <v>40</v>
      </c>
      <c r="R40" s="147" t="n">
        <v>20</v>
      </c>
      <c r="S40" s="147" t="n">
        <v>9</v>
      </c>
      <c r="T40" s="147" t="n">
        <v>16.99</v>
      </c>
      <c r="U40" s="147">
        <f>S40-R40</f>
        <v/>
      </c>
      <c r="V40" s="147" t="n">
        <v>98</v>
      </c>
      <c r="W40" s="147">
        <f>U40+V40</f>
        <v/>
      </c>
      <c r="X40" s="19">
        <f>Q40-W40</f>
        <v/>
      </c>
      <c r="Y40" s="167">
        <f>IF(X40&gt;0,X40,0)*150%</f>
        <v/>
      </c>
      <c r="Z40" s="19">
        <f>ROUND(SUMIFS(meghsteelsales_previousmonth[Quantity],meghsteelsales_previousmonth[Length Bucket],Table27[[#This Row],[Bucket CTL]])/1000,0)</f>
        <v/>
      </c>
      <c r="AA40" s="419">
        <f>ROUND(SUMIFS(meghsteelsales_currentmonth[Quantity],meghsteelsales_currentmonth[Length Bucket],Table27[[#This Row],[Bucket CTL]])/1000,0)</f>
        <v/>
      </c>
      <c r="AB40" s="90">
        <f>Table27[[#This Row],[ INDENT  FOR NOV-25 recommended]]+Table27[[#This Row],[order logg ]]</f>
        <v/>
      </c>
      <c r="AC40" s="90">
        <f>Table27[[#This Row],[Before 20th]]+Table27[[#This Row],[ofter 20th]]</f>
        <v/>
      </c>
      <c r="AD40">
        <f>IF(Table27[[#This Row],[Total Indent]]-Table27[[#This Row],[Total Supplied]]&lt;0,0,Table27[[#This Row],[Total Indent]]-Table27[[#This Row],[Total Supplied]])</f>
        <v/>
      </c>
    </row>
    <row r="41" customFormat="1" s="45">
      <c r="A41" s="266" t="inlineStr">
        <is>
          <t>RE</t>
        </is>
      </c>
      <c r="B41" s="266" t="n">
        <v>943211</v>
      </c>
      <c r="C41" s="156" t="inlineStr">
        <is>
          <t>BELRISE</t>
        </is>
      </c>
      <c r="D41" s="157" t="inlineStr">
        <is>
          <t>ERW2</t>
        </is>
      </c>
      <c r="E41" s="156" t="inlineStr">
        <is>
          <t>FIN CUT</t>
        </is>
      </c>
      <c r="F41" s="156" t="inlineStr">
        <is>
          <t>ERW -2</t>
        </is>
      </c>
      <c r="G41" s="248" t="n">
        <v>38.1</v>
      </c>
      <c r="H41" s="248" t="n"/>
      <c r="I41" s="248" t="n">
        <v>3.2</v>
      </c>
      <c r="J41" s="156" t="n">
        <v>6000</v>
      </c>
      <c r="K41" s="156" t="n">
        <v>6</v>
      </c>
      <c r="L41" s="147">
        <f>_xlfn.CONCAT(G41,I41,K41,F41,E41)</f>
        <v/>
      </c>
      <c r="M41" s="147">
        <f>VLOOKUP(Table27[[#This Row],[Key]],Table29[[#All],[Key]:[TSL Material Code3]],4,0)</f>
        <v/>
      </c>
      <c r="N41" s="147">
        <f>VLOOKUP(Table27[[#This Row],[Key]],Table29[[#All],[Key]:[TSL Material Code3]],5,0)</f>
        <v/>
      </c>
      <c r="O41" s="158" t="inlineStr">
        <is>
          <t>0788</t>
        </is>
      </c>
      <c r="P41" s="150" t="n">
        <v>4156196</v>
      </c>
      <c r="Q41" s="246" t="n">
        <v>15</v>
      </c>
      <c r="R41" s="156" t="n">
        <v>0</v>
      </c>
      <c r="S41" s="156" t="n">
        <v>0</v>
      </c>
      <c r="T41" s="156" t="n">
        <v>0</v>
      </c>
      <c r="U41" s="156">
        <f>S41-R41</f>
        <v/>
      </c>
      <c r="V41" s="156" t="n"/>
      <c r="W41" s="147">
        <f>U41+V41</f>
        <v/>
      </c>
      <c r="X41" s="246">
        <f>Q41-W41</f>
        <v/>
      </c>
      <c r="Y41" s="167">
        <f>IF(X41&gt;0,X41,0)*150%</f>
        <v/>
      </c>
      <c r="Z41" s="19">
        <f>ROUND(SUMIFS(meghsteelsales_previousmonth[Quantity],meghsteelsales_previousmonth[Length Bucket],Table27[[#This Row],[Bucket CTL]])/1000,0)</f>
        <v/>
      </c>
      <c r="AA41" s="419">
        <f>ROUND(SUMIFS(meghsteelsales_currentmonth[Quantity],meghsteelsales_currentmonth[Length Bucket],Table27[[#This Row],[Bucket CTL]])/1000,0)</f>
        <v/>
      </c>
      <c r="AB41" s="90">
        <f>Table27[[#This Row],[ INDENT  FOR NOV-25 recommended]]+Table27[[#This Row],[order logg ]]</f>
        <v/>
      </c>
      <c r="AC41" s="90">
        <f>Table27[[#This Row],[Before 20th]]+Table27[[#This Row],[ofter 20th]]</f>
        <v/>
      </c>
      <c r="AD41">
        <f>IF(Table27[[#This Row],[Total Indent]]-Table27[[#This Row],[Total Supplied]]&lt;0,0,Table27[[#This Row],[Total Indent]]-Table27[[#This Row],[Total Supplied]])</f>
        <v/>
      </c>
    </row>
    <row r="42" customFormat="1" s="386">
      <c r="A42" s="265" t="inlineStr">
        <is>
          <t>TVS</t>
        </is>
      </c>
      <c r="B42" s="265" t="n">
        <v>943209</v>
      </c>
      <c r="C42" s="147" t="inlineStr">
        <is>
          <t>RUCHA</t>
        </is>
      </c>
      <c r="D42" s="147" t="inlineStr">
        <is>
          <t>ERW1</t>
        </is>
      </c>
      <c r="E42" s="147" t="inlineStr">
        <is>
          <t>FIN CUT</t>
        </is>
      </c>
      <c r="F42" s="147" t="inlineStr">
        <is>
          <t>ERW</t>
        </is>
      </c>
      <c r="G42" s="148" t="n">
        <v>41.28</v>
      </c>
      <c r="H42" s="148" t="n"/>
      <c r="I42" s="148" t="n">
        <v>2.6</v>
      </c>
      <c r="J42" s="147" t="n">
        <v>6000</v>
      </c>
      <c r="K42" s="147" t="n">
        <v>6</v>
      </c>
      <c r="L42" s="147">
        <f>_xlfn.CONCAT(G42,I42,K42,F42,E42)</f>
        <v/>
      </c>
      <c r="M42" s="147">
        <f>VLOOKUP(Table27[[#This Row],[Key]],Table29[[#All],[Key]:[TSL Material Code3]],4,0)</f>
        <v/>
      </c>
      <c r="N42" s="147">
        <f>VLOOKUP(Table27[[#This Row],[Key]],Table29[[#All],[Key]:[TSL Material Code3]],5,0)</f>
        <v/>
      </c>
      <c r="O42" s="149">
        <f>VLOOKUP(Table27[[#This Row],[Key]],Table29[[#All],[Key]:[TSL Material Code3]],7,0)</f>
        <v/>
      </c>
      <c r="P42" s="150">
        <f>VLOOKUP(Table27[[#This Row],[Key]],Table29[[#All],[Key]:[TSL Material Code3]],8,0)</f>
        <v/>
      </c>
      <c r="Q42" s="19" t="n">
        <v>35</v>
      </c>
      <c r="R42" s="147" t="n">
        <v>20</v>
      </c>
      <c r="S42" s="147" t="n">
        <v>26</v>
      </c>
      <c r="T42" s="147" t="n">
        <v>0</v>
      </c>
      <c r="U42" s="147">
        <f>S42-R42</f>
        <v/>
      </c>
      <c r="V42" s="147" t="n">
        <v>15.7</v>
      </c>
      <c r="W42" s="147">
        <f>U42+V42</f>
        <v/>
      </c>
      <c r="X42" s="19">
        <f>Q42-W42</f>
        <v/>
      </c>
      <c r="Y42" s="167">
        <f>IF(X42&gt;0,X42,0)*150%</f>
        <v/>
      </c>
      <c r="Z42" s="19">
        <f>ROUND(SUMIFS(meghsteelsales_previousmonth[Quantity],meghsteelsales_previousmonth[Length Bucket],Table27[[#This Row],[Bucket CTL]])/1000,0)</f>
        <v/>
      </c>
      <c r="AA42" s="419">
        <f>ROUND(SUMIFS(meghsteelsales_currentmonth[Quantity],meghsteelsales_currentmonth[Length Bucket],Table27[[#This Row],[Bucket CTL]])/1000,0)</f>
        <v/>
      </c>
      <c r="AB42" s="90">
        <f>Table27[[#This Row],[ INDENT  FOR NOV-25 recommended]]+Table27[[#This Row],[order logg ]]</f>
        <v/>
      </c>
      <c r="AC42" s="90">
        <f>Table27[[#This Row],[Before 20th]]+Table27[[#This Row],[ofter 20th]]</f>
        <v/>
      </c>
      <c r="AD42">
        <f>IF(Table27[[#This Row],[Total Indent]]-Table27[[#This Row],[Total Supplied]]&lt;0,0,Table27[[#This Row],[Total Indent]]-Table27[[#This Row],[Total Supplied]])</f>
        <v/>
      </c>
    </row>
    <row r="43">
      <c r="A43" s="265" t="inlineStr">
        <is>
          <t>TVS</t>
        </is>
      </c>
      <c r="B43" s="265" t="n">
        <v>943209</v>
      </c>
      <c r="C43" s="147" t="inlineStr">
        <is>
          <t>RUCHA</t>
        </is>
      </c>
      <c r="D43" s="159" t="inlineStr">
        <is>
          <t>ERW1</t>
        </is>
      </c>
      <c r="E43" s="147" t="inlineStr">
        <is>
          <t>FIN CUT</t>
        </is>
      </c>
      <c r="F43" s="147" t="inlineStr">
        <is>
          <t>ERW</t>
        </is>
      </c>
      <c r="G43" s="168" t="inlineStr">
        <is>
          <t>40x25</t>
        </is>
      </c>
      <c r="H43" s="168" t="n"/>
      <c r="I43" s="168" t="n">
        <v>1.6</v>
      </c>
      <c r="J43" s="169" t="n">
        <v>5900</v>
      </c>
      <c r="K43" s="147" t="n">
        <v>6.13</v>
      </c>
      <c r="L43" s="147">
        <f>_xlfn.CONCAT(G43,I43,K43,F43,E43)</f>
        <v/>
      </c>
      <c r="M43" s="147">
        <f>VLOOKUP(Table27[[#This Row],[Key]],Table29[[#All],[Key]:[TSL Material Code3]],4,0)</f>
        <v/>
      </c>
      <c r="N43" s="147">
        <f>VLOOKUP(Table27[[#This Row],[Key]],Table29[[#All],[Key]:[TSL Material Code3]],5,0)</f>
        <v/>
      </c>
      <c r="O43" s="149">
        <f>VLOOKUP(Table27[[#This Row],[Key]],Table29[[#All],[Key]:[TSL Material Code3]],7,0)</f>
        <v/>
      </c>
      <c r="P43" s="150">
        <f>VLOOKUP(Table27[[#This Row],[Key]],Table29[[#All],[Key]:[TSL Material Code3]],8,0)</f>
        <v/>
      </c>
      <c r="Q43" s="19" t="n">
        <v>5</v>
      </c>
      <c r="R43" s="147" t="n">
        <v>0</v>
      </c>
      <c r="S43" s="147" t="n">
        <v>0</v>
      </c>
      <c r="T43" s="147" t="n">
        <v>0</v>
      </c>
      <c r="U43" s="147">
        <f>S43-R43</f>
        <v/>
      </c>
      <c r="V43" s="147" t="n"/>
      <c r="W43" s="147">
        <f>U43+V43</f>
        <v/>
      </c>
      <c r="X43" s="19">
        <f>Q43-W43</f>
        <v/>
      </c>
      <c r="Y43" s="167">
        <f>IF(X43&gt;0,X43,0)*150%</f>
        <v/>
      </c>
      <c r="Z43" s="19">
        <f>ROUND(SUMIFS(meghsteelsales_previousmonth[Quantity],meghsteelsales_previousmonth[Length Bucket],Table27[[#This Row],[Bucket CTL]])/1000,0)</f>
        <v/>
      </c>
      <c r="AA43" s="419">
        <f>ROUND(SUMIFS(meghsteelsales_currentmonth[Quantity],meghsteelsales_currentmonth[Length Bucket],Table27[[#This Row],[Bucket CTL]])/1000,0)</f>
        <v/>
      </c>
      <c r="AB43" s="90">
        <f>Table27[[#This Row],[ INDENT  FOR NOV-25 recommended]]+Table27[[#This Row],[order logg ]]</f>
        <v/>
      </c>
      <c r="AC43" s="90">
        <f>Table27[[#This Row],[Before 20th]]+Table27[[#This Row],[ofter 20th]]</f>
        <v/>
      </c>
      <c r="AD43">
        <f>IF(Table27[[#This Row],[Total Indent]]-Table27[[#This Row],[Total Supplied]]&lt;0,0,Table27[[#This Row],[Total Indent]]-Table27[[#This Row],[Total Supplied]])</f>
        <v/>
      </c>
    </row>
    <row r="44">
      <c r="A44" s="265" t="inlineStr">
        <is>
          <t>HMSI</t>
        </is>
      </c>
      <c r="B44" s="265" t="n">
        <v>943210</v>
      </c>
      <c r="C44" s="147" t="inlineStr">
        <is>
          <t>BADVE</t>
        </is>
      </c>
      <c r="D44" s="153" t="inlineStr">
        <is>
          <t>ERW1</t>
        </is>
      </c>
      <c r="E44" s="147" t="inlineStr">
        <is>
          <t>FIN CUT</t>
        </is>
      </c>
      <c r="F44" s="147" t="inlineStr">
        <is>
          <t>ERW</t>
        </is>
      </c>
      <c r="G44" s="148" t="n">
        <v>41.28</v>
      </c>
      <c r="H44" s="148" t="n"/>
      <c r="I44" s="148" t="n">
        <v>3.15</v>
      </c>
      <c r="J44" s="147" t="n">
        <v>5860</v>
      </c>
      <c r="K44" s="147" t="n">
        <v>5.86</v>
      </c>
      <c r="L44" s="147">
        <f>_xlfn.CONCAT(G44,I44,K44,F44,E44)</f>
        <v/>
      </c>
      <c r="M44" s="147">
        <f>VLOOKUP(Table27[[#This Row],[Key]],Table29[[#All],[Key]:[TSL Material Code3]],4,0)</f>
        <v/>
      </c>
      <c r="N44" s="147">
        <f>VLOOKUP(Table27[[#This Row],[Key]],Table29[[#All],[Key]:[TSL Material Code3]],5,0)</f>
        <v/>
      </c>
      <c r="O44" s="149">
        <f>VLOOKUP(Table27[[#This Row],[Key]],Table29[[#All],[Key]:[TSL Material Code3]],7,0)</f>
        <v/>
      </c>
      <c r="P44" s="150">
        <f>VLOOKUP(Table27[[#This Row],[Key]],Table29[[#All],[Key]:[TSL Material Code3]],8,0)</f>
        <v/>
      </c>
      <c r="Q44" s="19" t="n">
        <v>40</v>
      </c>
      <c r="R44" s="147" t="n">
        <v>15</v>
      </c>
      <c r="S44" s="147" t="n">
        <v>77</v>
      </c>
      <c r="T44" s="147" t="n">
        <v>0</v>
      </c>
      <c r="U44" s="147">
        <f>S44-R44</f>
        <v/>
      </c>
      <c r="V44" s="147" t="n">
        <v>21</v>
      </c>
      <c r="W44" s="147">
        <f>U44+V44</f>
        <v/>
      </c>
      <c r="X44" s="19">
        <f>Q44-W44</f>
        <v/>
      </c>
      <c r="Y44" s="167">
        <f>IF(X44&gt;0,X44,0)*150%</f>
        <v/>
      </c>
      <c r="Z44" s="19">
        <f>ROUND(SUMIFS(meghsteelsales_previousmonth[Quantity],meghsteelsales_previousmonth[Length Bucket],Table27[[#This Row],[Bucket CTL]])/1000,0)</f>
        <v/>
      </c>
      <c r="AA44" s="419">
        <f>ROUND(SUMIFS(meghsteelsales_currentmonth[Quantity],meghsteelsales_currentmonth[Length Bucket],Table27[[#This Row],[Bucket CTL]])/1000,0)</f>
        <v/>
      </c>
      <c r="AB44" s="90">
        <f>Table27[[#This Row],[ INDENT  FOR NOV-25 recommended]]+Table27[[#This Row],[order logg ]]</f>
        <v/>
      </c>
      <c r="AC44" s="90">
        <f>Table27[[#This Row],[Before 20th]]+Table27[[#This Row],[ofter 20th]]</f>
        <v/>
      </c>
      <c r="AD44">
        <f>IF(Table27[[#This Row],[Total Indent]]-Table27[[#This Row],[Total Supplied]]&lt;0,0,Table27[[#This Row],[Total Indent]]-Table27[[#This Row],[Total Supplied]])</f>
        <v/>
      </c>
    </row>
    <row r="45">
      <c r="A45" s="265" t="inlineStr">
        <is>
          <t>TVS</t>
        </is>
      </c>
      <c r="B45" s="265" t="n">
        <v>943209</v>
      </c>
      <c r="C45" s="147" t="inlineStr">
        <is>
          <t>RUCHA,METALMAN</t>
        </is>
      </c>
      <c r="D45" s="153" t="inlineStr">
        <is>
          <t>ERW AN</t>
        </is>
      </c>
      <c r="E45" s="147" t="inlineStr">
        <is>
          <t>FIN CUT</t>
        </is>
      </c>
      <c r="F45" s="147" t="inlineStr">
        <is>
          <t>ERW</t>
        </is>
      </c>
      <c r="G45" s="148" t="n">
        <v>42.7</v>
      </c>
      <c r="H45" s="148" t="n"/>
      <c r="I45" s="148" t="n">
        <v>3.5</v>
      </c>
      <c r="J45" s="147" t="n">
        <v>6000</v>
      </c>
      <c r="K45" s="147" t="n">
        <v>6</v>
      </c>
      <c r="L45" s="147">
        <f>_xlfn.CONCAT(G45,I45,K45,F45,E45)</f>
        <v/>
      </c>
      <c r="M45" s="147">
        <f>VLOOKUP(Table27[[#This Row],[Key]],Table29[[#All],[Key]:[TSL Material Code3]],4,0)</f>
        <v/>
      </c>
      <c r="N45" s="147">
        <f>VLOOKUP(Table27[[#This Row],[Key]],Table29[[#All],[Key]:[TSL Material Code3]],5,0)</f>
        <v/>
      </c>
      <c r="O45" s="149">
        <f>VLOOKUP(Table27[[#This Row],[Key]],Table29[[#All],[Key]:[TSL Material Code3]],7,0)</f>
        <v/>
      </c>
      <c r="P45" s="150">
        <f>VLOOKUP(Table27[[#This Row],[Key]],Table29[[#All],[Key]:[TSL Material Code3]],8,0)</f>
        <v/>
      </c>
      <c r="Q45" s="19" t="n">
        <v>5</v>
      </c>
      <c r="R45" s="147" t="n">
        <v>2</v>
      </c>
      <c r="S45" s="147" t="n">
        <v>19</v>
      </c>
      <c r="T45" s="147" t="n">
        <v>0</v>
      </c>
      <c r="U45" s="147">
        <f>S45-R45</f>
        <v/>
      </c>
      <c r="V45" s="147" t="n"/>
      <c r="W45" s="147">
        <f>U45+V45</f>
        <v/>
      </c>
      <c r="X45" s="19">
        <f>Q45-W45</f>
        <v/>
      </c>
      <c r="Y45" s="167">
        <f>IF(X45&gt;0,X45,0)*150%</f>
        <v/>
      </c>
      <c r="Z45" s="19">
        <f>ROUND(SUMIFS(meghsteelsales_previousmonth[Quantity],meghsteelsales_previousmonth[Length Bucket],Table27[[#This Row],[Bucket CTL]])/1000,0)</f>
        <v/>
      </c>
      <c r="AA45" s="419">
        <f>ROUND(SUMIFS(meghsteelsales_currentmonth[Quantity],meghsteelsales_currentmonth[Length Bucket],Table27[[#This Row],[Bucket CTL]])/1000,0)</f>
        <v/>
      </c>
      <c r="AB45" s="90">
        <f>Table27[[#This Row],[ INDENT  FOR NOV-25 recommended]]+Table27[[#This Row],[order logg ]]</f>
        <v/>
      </c>
      <c r="AC45" s="90">
        <f>Table27[[#This Row],[Before 20th]]+Table27[[#This Row],[ofter 20th]]</f>
        <v/>
      </c>
      <c r="AD45">
        <f>IF(Table27[[#This Row],[Total Indent]]-Table27[[#This Row],[Total Supplied]]&lt;0,0,Table27[[#This Row],[Total Indent]]-Table27[[#This Row],[Total Supplied]])</f>
        <v/>
      </c>
    </row>
    <row r="46">
      <c r="A46" s="265" t="inlineStr">
        <is>
          <t>TVS</t>
        </is>
      </c>
      <c r="B46" s="265" t="n">
        <v>943209</v>
      </c>
      <c r="C46" s="147" t="inlineStr">
        <is>
          <t>RUCHA,METALMAN</t>
        </is>
      </c>
      <c r="D46" s="153" t="inlineStr">
        <is>
          <t>ERW AN</t>
        </is>
      </c>
      <c r="E46" s="147" t="inlineStr">
        <is>
          <t>FIN CUT</t>
        </is>
      </c>
      <c r="F46" s="147" t="inlineStr">
        <is>
          <t>ERW</t>
        </is>
      </c>
      <c r="G46" s="148" t="n">
        <v>42.7</v>
      </c>
      <c r="H46" s="148" t="n"/>
      <c r="I46" s="148" t="n">
        <v>4</v>
      </c>
      <c r="J46" s="147" t="n">
        <v>6000</v>
      </c>
      <c r="K46" s="147" t="n">
        <v>6</v>
      </c>
      <c r="L46" s="147">
        <f>_xlfn.CONCAT(G46,I46,K46,F46,E46)</f>
        <v/>
      </c>
      <c r="M46" s="147">
        <f>VLOOKUP(Table27[[#This Row],[Key]],Table29[[#All],[Key]:[TSL Material Code3]],4,0)</f>
        <v/>
      </c>
      <c r="N46" s="147">
        <f>VLOOKUP(Table27[[#This Row],[Key]],Table29[[#All],[Key]:[TSL Material Code3]],5,0)</f>
        <v/>
      </c>
      <c r="O46" s="149">
        <f>VLOOKUP(Table27[[#This Row],[Key]],Table29[[#All],[Key]:[TSL Material Code3]],7,0)</f>
        <v/>
      </c>
      <c r="P46" s="150">
        <f>VLOOKUP(Table27[[#This Row],[Key]],Table29[[#All],[Key]:[TSL Material Code3]],8,0)</f>
        <v/>
      </c>
      <c r="Q46" s="19" t="n">
        <v>30</v>
      </c>
      <c r="R46" s="147" t="n">
        <v>10</v>
      </c>
      <c r="S46" s="147" t="n">
        <v>14</v>
      </c>
      <c r="T46" s="147" t="n">
        <v>0</v>
      </c>
      <c r="U46" s="147">
        <f>S46-R46</f>
        <v/>
      </c>
      <c r="V46" s="147" t="n"/>
      <c r="W46" s="147">
        <f>U46+V46</f>
        <v/>
      </c>
      <c r="X46" s="19">
        <f>Q46-W46</f>
        <v/>
      </c>
      <c r="Y46" s="167">
        <f>IF(X46&gt;0,X46,0)*150%</f>
        <v/>
      </c>
      <c r="Z46" s="19">
        <f>ROUND(SUMIFS(meghsteelsales_previousmonth[Quantity],meghsteelsales_previousmonth[Length Bucket],Table27[[#This Row],[Bucket CTL]])/1000,0)</f>
        <v/>
      </c>
      <c r="AA46" s="419">
        <f>ROUND(SUMIFS(meghsteelsales_currentmonth[Quantity],meghsteelsales_currentmonth[Length Bucket],Table27[[#This Row],[Bucket CTL]])/1000,0)</f>
        <v/>
      </c>
      <c r="AB46" s="90">
        <f>Table27[[#This Row],[ INDENT  FOR NOV-25 recommended]]+Table27[[#This Row],[order logg ]]</f>
        <v/>
      </c>
      <c r="AC46" s="90">
        <f>Table27[[#This Row],[Before 20th]]+Table27[[#This Row],[ofter 20th]]</f>
        <v/>
      </c>
      <c r="AD46">
        <f>IF(Table27[[#This Row],[Total Indent]]-Table27[[#This Row],[Total Supplied]]&lt;0,0,Table27[[#This Row],[Total Indent]]-Table27[[#This Row],[Total Supplied]])</f>
        <v/>
      </c>
    </row>
    <row r="47">
      <c r="A47" s="265" t="inlineStr">
        <is>
          <t>TVS</t>
        </is>
      </c>
      <c r="B47" s="265" t="n">
        <v>943209</v>
      </c>
      <c r="C47" s="147" t="inlineStr">
        <is>
          <t>RUCHA,METALMAN</t>
        </is>
      </c>
      <c r="D47" s="155" t="inlineStr">
        <is>
          <t>ERW1</t>
        </is>
      </c>
      <c r="E47" s="147" t="inlineStr">
        <is>
          <t>FIN CUT</t>
        </is>
      </c>
      <c r="F47" s="147" t="inlineStr">
        <is>
          <t>ERW</t>
        </is>
      </c>
      <c r="G47" s="154" t="inlineStr">
        <is>
          <t>40x30</t>
        </is>
      </c>
      <c r="H47" s="154" t="n"/>
      <c r="I47" s="154" t="n">
        <v>1.6</v>
      </c>
      <c r="J47" s="155" t="n">
        <v>5900</v>
      </c>
      <c r="K47" s="147" t="n">
        <v>5.9</v>
      </c>
      <c r="L47" s="147">
        <f>_xlfn.CONCAT(G47,I47,K47,F47,E47)</f>
        <v/>
      </c>
      <c r="M47" s="147">
        <f>VLOOKUP(Table27[[#This Row],[Key]],Table29[[#All],[Key]:[TSL Material Code3]],4,0)</f>
        <v/>
      </c>
      <c r="N47" s="147">
        <f>VLOOKUP(Table27[[#This Row],[Key]],Table29[[#All],[Key]:[TSL Material Code3]],5,0)</f>
        <v/>
      </c>
      <c r="O47" s="149">
        <f>VLOOKUP(Table27[[#This Row],[Key]],Table29[[#All],[Key]:[TSL Material Code3]],7,0)</f>
        <v/>
      </c>
      <c r="P47" s="150">
        <f>VLOOKUP(Table27[[#This Row],[Key]],Table29[[#All],[Key]:[TSL Material Code3]],8,0)</f>
        <v/>
      </c>
      <c r="Q47" s="19" t="n">
        <v>5</v>
      </c>
      <c r="R47" s="147" t="n">
        <v>3</v>
      </c>
      <c r="S47" s="147" t="n">
        <v>14</v>
      </c>
      <c r="T47" s="147" t="n">
        <v>0</v>
      </c>
      <c r="U47" s="147">
        <f>S47-R47</f>
        <v/>
      </c>
      <c r="V47" s="147" t="n"/>
      <c r="W47" s="147">
        <f>U47+V47</f>
        <v/>
      </c>
      <c r="X47" s="19">
        <f>Q47-W47</f>
        <v/>
      </c>
      <c r="Y47" s="167">
        <f>IF(X47&gt;0,X47,0)*150%</f>
        <v/>
      </c>
      <c r="Z47" s="19">
        <f>ROUND(SUMIFS(meghsteelsales_previousmonth[Quantity],meghsteelsales_previousmonth[Length Bucket],Table27[[#This Row],[Bucket CTL]])/1000,0)</f>
        <v/>
      </c>
      <c r="AA47" s="419">
        <f>ROUND(SUMIFS(meghsteelsales_currentmonth[Quantity],meghsteelsales_currentmonth[Length Bucket],Table27[[#This Row],[Bucket CTL]])/1000,0)</f>
        <v/>
      </c>
      <c r="AB47" s="90">
        <f>Table27[[#This Row],[ INDENT  FOR NOV-25 recommended]]+Table27[[#This Row],[order logg ]]</f>
        <v/>
      </c>
      <c r="AC47" s="90">
        <f>Table27[[#This Row],[Before 20th]]+Table27[[#This Row],[ofter 20th]]</f>
        <v/>
      </c>
      <c r="AD47">
        <f>IF(Table27[[#This Row],[Total Indent]]-Table27[[#This Row],[Total Supplied]]&lt;0,0,Table27[[#This Row],[Total Indent]]-Table27[[#This Row],[Total Supplied]])</f>
        <v/>
      </c>
    </row>
    <row r="48">
      <c r="A48" s="265" t="inlineStr">
        <is>
          <t>HMSI</t>
        </is>
      </c>
      <c r="B48" s="265" t="n">
        <v>943210</v>
      </c>
      <c r="C48" s="147" t="inlineStr">
        <is>
          <t>BADVE</t>
        </is>
      </c>
      <c r="D48" s="153" t="inlineStr">
        <is>
          <t>ERW2</t>
        </is>
      </c>
      <c r="E48" s="147" t="inlineStr">
        <is>
          <t>FIN CUT</t>
        </is>
      </c>
      <c r="F48" s="147" t="inlineStr">
        <is>
          <t>HST</t>
        </is>
      </c>
      <c r="G48" s="148" t="n">
        <v>45</v>
      </c>
      <c r="H48" s="148" t="n"/>
      <c r="I48" s="148" t="n">
        <v>1.4</v>
      </c>
      <c r="J48" s="147" t="n">
        <v>6400</v>
      </c>
      <c r="K48" s="147" t="n">
        <v>6.42</v>
      </c>
      <c r="L48" s="147">
        <f>_xlfn.CONCAT(G48,I48,K48,F48,E48)</f>
        <v/>
      </c>
      <c r="M48" s="147">
        <f>VLOOKUP(Table27[[#This Row],[Key]],Table29[[#All],[Key]:[TSL Material Code3]],4,0)</f>
        <v/>
      </c>
      <c r="N48" s="147">
        <f>VLOOKUP(Table27[[#This Row],[Key]],Table29[[#All],[Key]:[TSL Material Code3]],5,0)</f>
        <v/>
      </c>
      <c r="O48" s="149">
        <f>VLOOKUP(Table27[[#This Row],[Key]],Table29[[#All],[Key]:[TSL Material Code3]],7,0)</f>
        <v/>
      </c>
      <c r="P48" s="150">
        <f>VLOOKUP(Table27[[#This Row],[Key]],Table29[[#All],[Key]:[TSL Material Code3]],8,0)</f>
        <v/>
      </c>
      <c r="Q48" s="19" t="n">
        <v>5</v>
      </c>
      <c r="R48" s="147" t="n">
        <v>2</v>
      </c>
      <c r="S48" s="147" t="n">
        <v>40</v>
      </c>
      <c r="T48" s="147" t="n">
        <v>19.4</v>
      </c>
      <c r="U48" s="147">
        <f>S48-R48</f>
        <v/>
      </c>
      <c r="V48" s="147" t="n"/>
      <c r="W48" s="147">
        <f>U48+V48</f>
        <v/>
      </c>
      <c r="X48" s="19">
        <f>Q48-W48</f>
        <v/>
      </c>
      <c r="Y48" s="167">
        <f>IF(X48&gt;0,X48,0)*150%</f>
        <v/>
      </c>
      <c r="Z48" s="19">
        <f>ROUND(SUMIFS(meghsteelsales_previousmonth[Quantity],meghsteelsales_previousmonth[Length Bucket],Table27[[#This Row],[Bucket CTL]])/1000,0)</f>
        <v/>
      </c>
      <c r="AA48" s="419">
        <f>ROUND(SUMIFS(meghsteelsales_currentmonth[Quantity],meghsteelsales_currentmonth[Length Bucket],Table27[[#This Row],[Bucket CTL]])/1000,0)</f>
        <v/>
      </c>
      <c r="AB48" s="90">
        <f>Table27[[#This Row],[ INDENT  FOR NOV-25 recommended]]+Table27[[#This Row],[order logg ]]</f>
        <v/>
      </c>
      <c r="AC48" s="90">
        <f>Table27[[#This Row],[Before 20th]]+Table27[[#This Row],[ofter 20th]]</f>
        <v/>
      </c>
      <c r="AD48">
        <f>IF(Table27[[#This Row],[Total Indent]]-Table27[[#This Row],[Total Supplied]]&lt;0,0,Table27[[#This Row],[Total Indent]]-Table27[[#This Row],[Total Supplied]])</f>
        <v/>
      </c>
    </row>
    <row r="49">
      <c r="A49" s="265" t="inlineStr">
        <is>
          <t>HMSI</t>
        </is>
      </c>
      <c r="B49" s="265" t="n">
        <v>943210</v>
      </c>
      <c r="C49" s="147" t="inlineStr">
        <is>
          <t>BADVE</t>
        </is>
      </c>
      <c r="D49" s="153" t="inlineStr">
        <is>
          <t>ERW1</t>
        </is>
      </c>
      <c r="E49" s="147" t="inlineStr">
        <is>
          <t>FIN CUT</t>
        </is>
      </c>
      <c r="F49" s="147" t="inlineStr">
        <is>
          <t>ERW</t>
        </is>
      </c>
      <c r="G49" s="148" t="n">
        <v>45</v>
      </c>
      <c r="H49" s="148" t="n"/>
      <c r="I49" s="148" t="n">
        <v>1.4</v>
      </c>
      <c r="J49" s="147" t="n">
        <v>5700</v>
      </c>
      <c r="K49" s="147" t="n">
        <v>5.7</v>
      </c>
      <c r="L49" s="147">
        <f>_xlfn.CONCAT(G49,I49,K49,F49,E49)</f>
        <v/>
      </c>
      <c r="M49" s="147">
        <f>VLOOKUP(Table27[[#This Row],[Key]],Table29[[#All],[Key]:[TSL Material Code3]],4,0)</f>
        <v/>
      </c>
      <c r="N49" s="147">
        <f>VLOOKUP(Table27[[#This Row],[Key]],Table29[[#All],[Key]:[TSL Material Code3]],5,0)</f>
        <v/>
      </c>
      <c r="O49" s="149">
        <f>VLOOKUP(Table27[[#This Row],[Key]],Table29[[#All],[Key]:[TSL Material Code3]],7,0)</f>
        <v/>
      </c>
      <c r="P49" s="150">
        <f>VLOOKUP(Table27[[#This Row],[Key]],Table29[[#All],[Key]:[TSL Material Code3]],8,0)</f>
        <v/>
      </c>
      <c r="Q49" s="19" t="n">
        <v>5</v>
      </c>
      <c r="R49" s="147" t="n">
        <v>0</v>
      </c>
      <c r="S49" s="147" t="n">
        <v>2</v>
      </c>
      <c r="T49" s="147" t="n">
        <v>0</v>
      </c>
      <c r="U49" s="147">
        <f>S49-R49</f>
        <v/>
      </c>
      <c r="V49" s="147" t="n">
        <v>7</v>
      </c>
      <c r="W49" s="147">
        <f>U49+V49</f>
        <v/>
      </c>
      <c r="X49" s="19">
        <f>Q49-W49</f>
        <v/>
      </c>
      <c r="Y49" s="167">
        <f>IF(X49&gt;0,X49,0)*150%</f>
        <v/>
      </c>
      <c r="Z49" s="19">
        <f>ROUND(SUMIFS(meghsteelsales_previousmonth[Quantity],meghsteelsales_previousmonth[Length Bucket],Table27[[#This Row],[Bucket CTL]])/1000,0)</f>
        <v/>
      </c>
      <c r="AA49" s="419">
        <f>ROUND(SUMIFS(meghsteelsales_currentmonth[Quantity],meghsteelsales_currentmonth[Length Bucket],Table27[[#This Row],[Bucket CTL]])/1000,0)</f>
        <v/>
      </c>
      <c r="AB49" s="90">
        <f>Table27[[#This Row],[ INDENT  FOR NOV-25 recommended]]+Table27[[#This Row],[order logg ]]</f>
        <v/>
      </c>
      <c r="AC49" s="90">
        <f>Table27[[#This Row],[Before 20th]]+Table27[[#This Row],[ofter 20th]]</f>
        <v/>
      </c>
      <c r="AD49">
        <f>IF(Table27[[#This Row],[Total Indent]]-Table27[[#This Row],[Total Supplied]]&lt;0,0,Table27[[#This Row],[Total Indent]]-Table27[[#This Row],[Total Supplied]])</f>
        <v/>
      </c>
    </row>
    <row r="50">
      <c r="A50" s="265" t="inlineStr">
        <is>
          <t>HMSI</t>
        </is>
      </c>
      <c r="B50" s="265" t="n">
        <v>943210</v>
      </c>
      <c r="C50" s="147" t="inlineStr">
        <is>
          <t>BADVE</t>
        </is>
      </c>
      <c r="D50" s="153" t="inlineStr">
        <is>
          <t>ERW2</t>
        </is>
      </c>
      <c r="E50" s="147" t="inlineStr">
        <is>
          <t>FIN CUT</t>
        </is>
      </c>
      <c r="F50" s="147" t="inlineStr">
        <is>
          <t>HST</t>
        </is>
      </c>
      <c r="G50" s="148" t="n">
        <v>45</v>
      </c>
      <c r="H50" s="148" t="n"/>
      <c r="I50" s="148" t="n">
        <v>1.6</v>
      </c>
      <c r="J50" s="147" t="n">
        <v>6400</v>
      </c>
      <c r="K50" s="147" t="n">
        <v>6.42</v>
      </c>
      <c r="L50" s="147">
        <f>_xlfn.CONCAT(G50,I50,K50,F50,E50)</f>
        <v/>
      </c>
      <c r="M50" s="147">
        <f>VLOOKUP(Table27[[#This Row],[Key]],Table29[[#All],[Key]:[TSL Material Code3]],4,0)</f>
        <v/>
      </c>
      <c r="N50" s="147">
        <f>VLOOKUP(Table27[[#This Row],[Key]],Table29[[#All],[Key]:[TSL Material Code3]],5,0)</f>
        <v/>
      </c>
      <c r="O50" s="149">
        <f>VLOOKUP(Table27[[#This Row],[Key]],Table29[[#All],[Key]:[TSL Material Code3]],7,0)</f>
        <v/>
      </c>
      <c r="P50" s="150">
        <f>VLOOKUP(Table27[[#This Row],[Key]],Table29[[#All],[Key]:[TSL Material Code3]],8,0)</f>
        <v/>
      </c>
      <c r="Q50" s="19" t="n">
        <v>5</v>
      </c>
      <c r="R50" s="147" t="n">
        <v>2</v>
      </c>
      <c r="S50" s="147" t="n">
        <v>11</v>
      </c>
      <c r="T50" s="147" t="n">
        <v>0</v>
      </c>
      <c r="U50" s="147">
        <f>S50-R50</f>
        <v/>
      </c>
      <c r="V50" s="147" t="n"/>
      <c r="W50" s="147">
        <f>U50+V50</f>
        <v/>
      </c>
      <c r="X50" s="19">
        <f>Q50-W50</f>
        <v/>
      </c>
      <c r="Y50" s="167">
        <f>IF(X50&gt;0,X50,0)*150%</f>
        <v/>
      </c>
      <c r="Z50" s="19">
        <f>ROUND(SUMIFS(meghsteelsales_previousmonth[Quantity],meghsteelsales_previousmonth[Length Bucket],Table27[[#This Row],[Bucket CTL]])/1000,0)</f>
        <v/>
      </c>
      <c r="AA50" s="419">
        <f>ROUND(SUMIFS(meghsteelsales_currentmonth[Quantity],meghsteelsales_currentmonth[Length Bucket],Table27[[#This Row],[Bucket CTL]])/1000,0)</f>
        <v/>
      </c>
      <c r="AB50" s="90">
        <f>Table27[[#This Row],[ INDENT  FOR NOV-25 recommended]]+Table27[[#This Row],[order logg ]]</f>
        <v/>
      </c>
      <c r="AC50" s="90">
        <f>Table27[[#This Row],[Before 20th]]+Table27[[#This Row],[ofter 20th]]</f>
        <v/>
      </c>
      <c r="AD50">
        <f>IF(Table27[[#This Row],[Total Indent]]-Table27[[#This Row],[Total Supplied]]&lt;0,0,Table27[[#This Row],[Total Indent]]-Table27[[#This Row],[Total Supplied]])</f>
        <v/>
      </c>
    </row>
    <row r="51">
      <c r="A51" s="265" t="inlineStr">
        <is>
          <t>HMSI</t>
        </is>
      </c>
      <c r="B51" s="265" t="n">
        <v>943210</v>
      </c>
      <c r="C51" s="147" t="inlineStr">
        <is>
          <t>BADVE</t>
        </is>
      </c>
      <c r="D51" s="153" t="inlineStr">
        <is>
          <t>CEW-1</t>
        </is>
      </c>
      <c r="E51" s="147" t="inlineStr">
        <is>
          <t>FIN CUT</t>
        </is>
      </c>
      <c r="F51" s="147" t="inlineStr">
        <is>
          <t>CEW-1</t>
        </is>
      </c>
      <c r="G51" s="148" t="n">
        <v>45</v>
      </c>
      <c r="H51" s="148" t="n"/>
      <c r="I51" s="148" t="n">
        <v>3.5</v>
      </c>
      <c r="J51" s="147" t="n">
        <v>6100</v>
      </c>
      <c r="K51" s="147" t="n"/>
      <c r="L51" s="147">
        <f>_xlfn.CONCAT(G51,I51,K51,F51,E51)</f>
        <v/>
      </c>
      <c r="M51" s="147">
        <f>VLOOKUP(Table27[[#This Row],[Key]],Table29[[#All],[Key]:[TSL Material Code3]],4,0)</f>
        <v/>
      </c>
      <c r="N51" s="147">
        <f>VLOOKUP(Table27[[#This Row],[Key]],Table29[[#All],[Key]:[TSL Material Code3]],5,0)</f>
        <v/>
      </c>
      <c r="O51" s="158" t="inlineStr">
        <is>
          <t>056</t>
        </is>
      </c>
      <c r="P51" s="150" t="n">
        <v>3500263</v>
      </c>
      <c r="Q51" s="19" t="n">
        <v>10</v>
      </c>
      <c r="R51" s="147" t="n">
        <v>3</v>
      </c>
      <c r="S51" s="147" t="n">
        <v>0</v>
      </c>
      <c r="T51" s="147" t="n">
        <v>0</v>
      </c>
      <c r="U51" s="147">
        <f>S51-R51</f>
        <v/>
      </c>
      <c r="V51" s="147" t="n">
        <v>1.3</v>
      </c>
      <c r="W51" s="147">
        <f>U51+V51</f>
        <v/>
      </c>
      <c r="X51" s="19">
        <f>Q51-W51</f>
        <v/>
      </c>
      <c r="Y51" s="167">
        <f>IF(X51&gt;0,X51,0)*150%</f>
        <v/>
      </c>
      <c r="Z51" s="19">
        <f>ROUND(SUMIFS(meghsteelsales_previousmonth[Quantity],meghsteelsales_previousmonth[Length Bucket],Table27[[#This Row],[Bucket CTL]])/1000,0)</f>
        <v/>
      </c>
      <c r="AA51" s="419">
        <f>ROUND(SUMIFS(meghsteelsales_currentmonth[Quantity],meghsteelsales_currentmonth[Length Bucket],Table27[[#This Row],[Bucket CTL]])/1000,0)</f>
        <v/>
      </c>
      <c r="AB51" s="90">
        <f>Table27[[#This Row],[ INDENT  FOR NOV-25 recommended]]+Table27[[#This Row],[order logg ]]</f>
        <v/>
      </c>
      <c r="AC51" s="90">
        <f>Table27[[#This Row],[Before 20th]]+Table27[[#This Row],[ofter 20th]]</f>
        <v/>
      </c>
      <c r="AD51">
        <f>IF(Table27[[#This Row],[Total Indent]]-Table27[[#This Row],[Total Supplied]]&lt;0,0,Table27[[#This Row],[Total Indent]]-Table27[[#This Row],[Total Supplied]])</f>
        <v/>
      </c>
    </row>
    <row r="52">
      <c r="A52" s="265" t="inlineStr">
        <is>
          <t>RE</t>
        </is>
      </c>
      <c r="B52" s="266" t="n">
        <v>943211</v>
      </c>
      <c r="C52" s="147" t="inlineStr">
        <is>
          <t>BELRISE</t>
        </is>
      </c>
      <c r="D52" s="153" t="inlineStr">
        <is>
          <t>CEW-1</t>
        </is>
      </c>
      <c r="E52" s="147" t="inlineStr">
        <is>
          <t>FIN CUT</t>
        </is>
      </c>
      <c r="F52" s="147" t="inlineStr">
        <is>
          <t>CEW</t>
        </is>
      </c>
      <c r="G52" s="148" t="n">
        <v>47.63</v>
      </c>
      <c r="H52" s="148" t="n"/>
      <c r="I52" s="148" t="n">
        <v>4</v>
      </c>
      <c r="J52" s="147" t="n">
        <v>6040</v>
      </c>
      <c r="K52" s="147" t="n">
        <v>6.04</v>
      </c>
      <c r="L52" s="147">
        <f>_xlfn.CONCAT(G52,I52,K52,F52,E52)</f>
        <v/>
      </c>
      <c r="M52" s="147">
        <f>VLOOKUP(Table27[[#This Row],[Key]],Table29[[#All],[Key]:[TSL Material Code3]],4,0)</f>
        <v/>
      </c>
      <c r="N52" s="147">
        <f>VLOOKUP(Table27[[#This Row],[Key]],Table29[[#All],[Key]:[TSL Material Code3]],5,0)</f>
        <v/>
      </c>
      <c r="O52" s="149">
        <f>VLOOKUP(Table27[[#This Row],[Key]],Table29[[#All],[Key]:[TSL Material Code3]],7,0)</f>
        <v/>
      </c>
      <c r="P52" s="150">
        <f>VLOOKUP(Table27[[#This Row],[Key]],Table29[[#All],[Key]:[TSL Material Code3]],8,0)</f>
        <v/>
      </c>
      <c r="Q52" s="19" t="n">
        <v>10</v>
      </c>
      <c r="R52" s="147" t="n">
        <v>3</v>
      </c>
      <c r="S52" s="147" t="n">
        <v>4</v>
      </c>
      <c r="T52" s="147" t="n">
        <v>0</v>
      </c>
      <c r="U52" s="147">
        <f>S52-R52</f>
        <v/>
      </c>
      <c r="V52" s="147" t="n"/>
      <c r="W52" s="147">
        <f>U52+V52</f>
        <v/>
      </c>
      <c r="X52" s="19">
        <f>Q52-W52</f>
        <v/>
      </c>
      <c r="Y52" s="167">
        <f>IF(X52&gt;0,X52,0)*150%</f>
        <v/>
      </c>
      <c r="Z52" s="19">
        <f>ROUND(SUMIFS(meghsteelsales_previousmonth[Quantity],meghsteelsales_previousmonth[Length Bucket],Table27[[#This Row],[Bucket CTL]])/1000,0)</f>
        <v/>
      </c>
      <c r="AA52" s="419">
        <f>ROUND(SUMIFS(meghsteelsales_currentmonth[Quantity],meghsteelsales_currentmonth[Length Bucket],Table27[[#This Row],[Bucket CTL]])/1000,0)</f>
        <v/>
      </c>
      <c r="AB52" s="90">
        <f>Table27[[#This Row],[ INDENT  FOR NOV-25 recommended]]+Table27[[#This Row],[order logg ]]</f>
        <v/>
      </c>
      <c r="AC52" s="90">
        <f>Table27[[#This Row],[Before 20th]]+Table27[[#This Row],[ofter 20th]]</f>
        <v/>
      </c>
      <c r="AD52">
        <f>IF(Table27[[#This Row],[Total Indent]]-Table27[[#This Row],[Total Supplied]]&lt;0,0,Table27[[#This Row],[Total Indent]]-Table27[[#This Row],[Total Supplied]])</f>
        <v/>
      </c>
    </row>
    <row r="53">
      <c r="A53" s="265" t="inlineStr">
        <is>
          <t>RE</t>
        </is>
      </c>
      <c r="B53" s="266" t="n">
        <v>943211</v>
      </c>
      <c r="C53" s="147" t="inlineStr">
        <is>
          <t>BELRISE</t>
        </is>
      </c>
      <c r="D53" s="153" t="inlineStr">
        <is>
          <t>ERW1</t>
        </is>
      </c>
      <c r="E53" s="147" t="inlineStr">
        <is>
          <t>FIN CUT</t>
        </is>
      </c>
      <c r="F53" s="147" t="inlineStr">
        <is>
          <t>ERW</t>
        </is>
      </c>
      <c r="G53" s="148" t="n">
        <v>48</v>
      </c>
      <c r="H53" s="148" t="n"/>
      <c r="I53" s="148" t="n">
        <v>1.2</v>
      </c>
      <c r="J53" s="147" t="n">
        <v>620</v>
      </c>
      <c r="K53" s="147" t="n">
        <v>0.62</v>
      </c>
      <c r="L53" s="147">
        <f>_xlfn.CONCAT(G53,I53,K53,F53,E53)</f>
        <v/>
      </c>
      <c r="M53" s="147">
        <f>VLOOKUP(Table27[[#This Row],[Key]],Table29[[#All],[Key]:[TSL Material Code3]],4,0)</f>
        <v/>
      </c>
      <c r="N53" s="147">
        <f>VLOOKUP(Table27[[#This Row],[Key]],Table29[[#All],[Key]:[TSL Material Code3]],5,0)</f>
        <v/>
      </c>
      <c r="O53" s="149">
        <f>VLOOKUP(Table27[[#This Row],[Key]],Table29[[#All],[Key]:[TSL Material Code3]],7,0)</f>
        <v/>
      </c>
      <c r="P53" s="150">
        <f>VLOOKUP(Table27[[#This Row],[Key]],Table29[[#All],[Key]:[TSL Material Code3]],8,0)</f>
        <v/>
      </c>
      <c r="Q53" s="19" t="n">
        <v>10</v>
      </c>
      <c r="R53" s="147" t="n">
        <v>0</v>
      </c>
      <c r="S53" s="147" t="n">
        <v>0</v>
      </c>
      <c r="T53" s="147" t="n">
        <v>0</v>
      </c>
      <c r="U53" s="147">
        <f>S53-R53</f>
        <v/>
      </c>
      <c r="V53" s="147" t="n"/>
      <c r="W53" s="147">
        <f>U53+V53</f>
        <v/>
      </c>
      <c r="X53" s="19">
        <f>Q53-W53</f>
        <v/>
      </c>
      <c r="Y53" s="167">
        <f>IF(X53&gt;0,X53,0)*150%</f>
        <v/>
      </c>
      <c r="Z53" s="19">
        <f>ROUND(SUMIFS(meghsteelsales_previousmonth[Quantity],meghsteelsales_previousmonth[Length Bucket],Table27[[#This Row],[Bucket CTL]])/1000,0)</f>
        <v/>
      </c>
      <c r="AA53" s="419">
        <f>ROUND(SUMIFS(meghsteelsales_currentmonth[Quantity],meghsteelsales_currentmonth[Length Bucket],Table27[[#This Row],[Bucket CTL]])/1000,0)</f>
        <v/>
      </c>
      <c r="AB53" s="90">
        <f>Table27[[#This Row],[ INDENT  FOR NOV-25 recommended]]+Table27[[#This Row],[order logg ]]</f>
        <v/>
      </c>
      <c r="AC53" s="90">
        <f>Table27[[#This Row],[Before 20th]]+Table27[[#This Row],[ofter 20th]]</f>
        <v/>
      </c>
      <c r="AD53">
        <f>IF(Table27[[#This Row],[Total Indent]]-Table27[[#This Row],[Total Supplied]]&lt;0,0,Table27[[#This Row],[Total Indent]]-Table27[[#This Row],[Total Supplied]])</f>
        <v/>
      </c>
    </row>
    <row r="54">
      <c r="A54" s="265" t="inlineStr">
        <is>
          <t>RE</t>
        </is>
      </c>
      <c r="B54" s="266" t="n">
        <v>943211</v>
      </c>
      <c r="C54" s="147" t="inlineStr">
        <is>
          <t>RAJSRIYA</t>
        </is>
      </c>
      <c r="D54" s="153" t="inlineStr">
        <is>
          <t>ERW1</t>
        </is>
      </c>
      <c r="E54" s="147" t="inlineStr">
        <is>
          <t>FIN CUT</t>
        </is>
      </c>
      <c r="F54" s="147" t="inlineStr">
        <is>
          <t>ERW</t>
        </is>
      </c>
      <c r="G54" s="148" t="n">
        <v>48</v>
      </c>
      <c r="H54" s="148" t="n"/>
      <c r="I54" s="148" t="n">
        <v>1.2</v>
      </c>
      <c r="J54" s="147" t="n">
        <v>650</v>
      </c>
      <c r="K54" s="147" t="n">
        <v>0.65</v>
      </c>
      <c r="L54" s="147">
        <f>_xlfn.CONCAT(G54,I54,K54,F54,E54)</f>
        <v/>
      </c>
      <c r="M54" s="147">
        <f>VLOOKUP(Table27[[#This Row],[Key]],Table29[[#All],[Key]:[TSL Material Code3]],4,0)</f>
        <v/>
      </c>
      <c r="N54" s="147">
        <f>VLOOKUP(Table27[[#This Row],[Key]],Table29[[#All],[Key]:[TSL Material Code3]],5,0)</f>
        <v/>
      </c>
      <c r="O54" s="149">
        <f>VLOOKUP(Table27[[#This Row],[Key]],Table29[[#All],[Key]:[TSL Material Code3]],7,0)</f>
        <v/>
      </c>
      <c r="P54" s="150">
        <f>VLOOKUP(Table27[[#This Row],[Key]],Table29[[#All],[Key]:[TSL Material Code3]],8,0)</f>
        <v/>
      </c>
      <c r="Q54" s="19" t="n">
        <v>14</v>
      </c>
      <c r="R54" s="147" t="n">
        <v>0</v>
      </c>
      <c r="S54" s="147" t="n">
        <v>0</v>
      </c>
      <c r="T54" s="147" t="n">
        <v>0</v>
      </c>
      <c r="U54" s="147">
        <f>S54-R54</f>
        <v/>
      </c>
      <c r="V54" s="147" t="n"/>
      <c r="W54" s="147">
        <f>U54+V54</f>
        <v/>
      </c>
      <c r="X54" s="19">
        <f>Q54-W54</f>
        <v/>
      </c>
      <c r="Y54" s="167">
        <f>IF(X54&gt;0,X54,0)*150%</f>
        <v/>
      </c>
      <c r="Z54" s="19">
        <f>ROUND(SUMIFS(meghsteelsales_previousmonth[Quantity],meghsteelsales_previousmonth[Length Bucket],Table27[[#This Row],[Bucket CTL]])/1000,0)</f>
        <v/>
      </c>
      <c r="AA54" s="419">
        <f>ROUND(SUMIFS(meghsteelsales_currentmonth[Quantity],meghsteelsales_currentmonth[Length Bucket],Table27[[#This Row],[Bucket CTL]])/1000,0)</f>
        <v/>
      </c>
      <c r="AB54" s="90">
        <f>Table27[[#This Row],[ INDENT  FOR NOV-25 recommended]]+Table27[[#This Row],[order logg ]]</f>
        <v/>
      </c>
      <c r="AC54" s="90">
        <f>Table27[[#This Row],[Before 20th]]+Table27[[#This Row],[ofter 20th]]</f>
        <v/>
      </c>
      <c r="AD54">
        <f>IF(Table27[[#This Row],[Total Indent]]-Table27[[#This Row],[Total Supplied]]&lt;0,0,Table27[[#This Row],[Total Indent]]-Table27[[#This Row],[Total Supplied]])</f>
        <v/>
      </c>
    </row>
    <row r="55">
      <c r="A55" s="265" t="inlineStr">
        <is>
          <t>HMSI</t>
        </is>
      </c>
      <c r="B55" s="265" t="n">
        <v>943210</v>
      </c>
      <c r="C55" s="147" t="inlineStr">
        <is>
          <t>BADVE</t>
        </is>
      </c>
      <c r="D55" s="153" t="inlineStr">
        <is>
          <t>ERW2</t>
        </is>
      </c>
      <c r="E55" s="147" t="inlineStr">
        <is>
          <t>FIN CUT</t>
        </is>
      </c>
      <c r="F55" s="147" t="inlineStr">
        <is>
          <t>HST</t>
        </is>
      </c>
      <c r="G55" s="148" t="n">
        <v>48.6</v>
      </c>
      <c r="H55" s="148" t="n"/>
      <c r="I55" s="148" t="n">
        <v>2</v>
      </c>
      <c r="J55" s="147" t="n">
        <v>6270</v>
      </c>
      <c r="K55" s="147" t="n">
        <v>6.27</v>
      </c>
      <c r="L55" s="147">
        <f>_xlfn.CONCAT(G55,I55,K55,F55,E55)</f>
        <v/>
      </c>
      <c r="M55" s="147">
        <f>VLOOKUP(Table27[[#This Row],[Key]],Table29[[#All],[Key]:[TSL Material Code3]],4,0)</f>
        <v/>
      </c>
      <c r="N55" s="147">
        <f>VLOOKUP(Table27[[#This Row],[Key]],Table29[[#All],[Key]:[TSL Material Code3]],5,0)</f>
        <v/>
      </c>
      <c r="O55" s="149">
        <f>VLOOKUP(Table27[[#This Row],[Key]],Table29[[#All],[Key]:[TSL Material Code3]],7,0)</f>
        <v/>
      </c>
      <c r="P55" s="150">
        <f>VLOOKUP(Table27[[#This Row],[Key]],Table29[[#All],[Key]:[TSL Material Code3]],8,0)</f>
        <v/>
      </c>
      <c r="Q55" s="19" t="n">
        <v>5</v>
      </c>
      <c r="R55" s="147" t="n">
        <v>3</v>
      </c>
      <c r="S55" s="147" t="n">
        <v>30</v>
      </c>
      <c r="T55" s="147" t="n">
        <v>0</v>
      </c>
      <c r="U55" s="147">
        <f>S55-R55</f>
        <v/>
      </c>
      <c r="V55" s="147" t="n"/>
      <c r="W55" s="147">
        <f>U55+V55</f>
        <v/>
      </c>
      <c r="X55" s="19">
        <f>Q55-W55</f>
        <v/>
      </c>
      <c r="Y55" s="167">
        <f>IF(X55&gt;0,X55,0)*150%</f>
        <v/>
      </c>
      <c r="Z55" s="19">
        <f>ROUND(SUMIFS(meghsteelsales_previousmonth[Quantity],meghsteelsales_previousmonth[Length Bucket],Table27[[#This Row],[Bucket CTL]])/1000,0)</f>
        <v/>
      </c>
      <c r="AA55" s="419">
        <f>ROUND(SUMIFS(meghsteelsales_currentmonth[Quantity],meghsteelsales_currentmonth[Length Bucket],Table27[[#This Row],[Bucket CTL]])/1000,0)</f>
        <v/>
      </c>
      <c r="AB55" s="90">
        <f>Table27[[#This Row],[ INDENT  FOR NOV-25 recommended]]+Table27[[#This Row],[order logg ]]</f>
        <v/>
      </c>
      <c r="AC55" s="90">
        <f>Table27[[#This Row],[Before 20th]]+Table27[[#This Row],[ofter 20th]]</f>
        <v/>
      </c>
      <c r="AD55">
        <f>IF(Table27[[#This Row],[Total Indent]]-Table27[[#This Row],[Total Supplied]]&lt;0,0,Table27[[#This Row],[Total Indent]]-Table27[[#This Row],[Total Supplied]])</f>
        <v/>
      </c>
    </row>
    <row r="56">
      <c r="A56" s="265" t="inlineStr">
        <is>
          <t>HMSI</t>
        </is>
      </c>
      <c r="B56" s="265" t="n">
        <v>943210</v>
      </c>
      <c r="C56" s="147" t="inlineStr">
        <is>
          <t>BADVE</t>
        </is>
      </c>
      <c r="D56" s="153" t="inlineStr">
        <is>
          <t>ERW2</t>
        </is>
      </c>
      <c r="E56" s="147" t="inlineStr">
        <is>
          <t>FIN CUT</t>
        </is>
      </c>
      <c r="F56" s="147" t="inlineStr">
        <is>
          <t>HST</t>
        </is>
      </c>
      <c r="G56" s="148" t="n">
        <v>48.6</v>
      </c>
      <c r="H56" s="148" t="n"/>
      <c r="I56" s="148" t="n">
        <v>2.3</v>
      </c>
      <c r="J56" s="147" t="n">
        <v>6270</v>
      </c>
      <c r="K56" s="147" t="n">
        <v>6.27</v>
      </c>
      <c r="L56" s="147">
        <f>_xlfn.CONCAT(G56,I56,K56,F56,E56)</f>
        <v/>
      </c>
      <c r="M56" s="147">
        <f>VLOOKUP(Table27[[#This Row],[Key]],Table29[[#All],[Key]:[TSL Material Code3]],4,0)</f>
        <v/>
      </c>
      <c r="N56" s="147">
        <f>VLOOKUP(Table27[[#This Row],[Key]],Table29[[#All],[Key]:[TSL Material Code3]],5,0)</f>
        <v/>
      </c>
      <c r="O56" s="149">
        <f>VLOOKUP(Table27[[#This Row],[Key]],Table29[[#All],[Key]:[TSL Material Code3]],7,0)</f>
        <v/>
      </c>
      <c r="P56" s="150">
        <f>VLOOKUP(Table27[[#This Row],[Key]],Table29[[#All],[Key]:[TSL Material Code3]],8,0)</f>
        <v/>
      </c>
      <c r="Q56" s="19" t="n">
        <v>5</v>
      </c>
      <c r="R56" s="147" t="n">
        <v>3</v>
      </c>
      <c r="S56" s="147" t="n">
        <v>0</v>
      </c>
      <c r="T56" s="147" t="n">
        <v>0</v>
      </c>
      <c r="U56" s="147">
        <f>S56-R56</f>
        <v/>
      </c>
      <c r="V56" s="147" t="n">
        <v>23.5</v>
      </c>
      <c r="W56" s="147">
        <f>U56+V56</f>
        <v/>
      </c>
      <c r="X56" s="19">
        <f>Q56-W56</f>
        <v/>
      </c>
      <c r="Y56" s="167">
        <f>IF(X56&gt;0,X56,0)*150%</f>
        <v/>
      </c>
      <c r="Z56" s="19">
        <f>ROUND(SUMIFS(meghsteelsales_previousmonth[Quantity],meghsteelsales_previousmonth[Length Bucket],Table27[[#This Row],[Bucket CTL]])/1000,0)</f>
        <v/>
      </c>
      <c r="AA56" s="419">
        <f>ROUND(SUMIFS(meghsteelsales_currentmonth[Quantity],meghsteelsales_currentmonth[Length Bucket],Table27[[#This Row],[Bucket CTL]])/1000,0)</f>
        <v/>
      </c>
      <c r="AB56" s="90">
        <f>Table27[[#This Row],[ INDENT  FOR NOV-25 recommended]]+Table27[[#This Row],[order logg ]]</f>
        <v/>
      </c>
      <c r="AC56" s="90">
        <f>Table27[[#This Row],[Before 20th]]+Table27[[#This Row],[ofter 20th]]</f>
        <v/>
      </c>
      <c r="AD56">
        <f>IF(Table27[[#This Row],[Total Indent]]-Table27[[#This Row],[Total Supplied]]&lt;0,0,Table27[[#This Row],[Total Indent]]-Table27[[#This Row],[Total Supplied]])</f>
        <v/>
      </c>
    </row>
    <row r="57">
      <c r="A57" s="265" t="inlineStr">
        <is>
          <t>HMSI</t>
        </is>
      </c>
      <c r="B57" s="265" t="n">
        <v>943210</v>
      </c>
      <c r="C57" s="147" t="inlineStr">
        <is>
          <t>BADVE</t>
        </is>
      </c>
      <c r="D57" s="153" t="inlineStr">
        <is>
          <t>ERW1</t>
        </is>
      </c>
      <c r="E57" s="147" t="inlineStr">
        <is>
          <t>FIN CUT</t>
        </is>
      </c>
      <c r="F57" s="147" t="inlineStr">
        <is>
          <t>ERW</t>
        </is>
      </c>
      <c r="G57" s="148" t="n">
        <v>48.6</v>
      </c>
      <c r="H57" s="148" t="n"/>
      <c r="I57" s="148" t="n">
        <v>3.5</v>
      </c>
      <c r="J57" s="147" t="n">
        <v>6000</v>
      </c>
      <c r="K57" s="147" t="n">
        <v>6</v>
      </c>
      <c r="L57" s="147">
        <f>_xlfn.CONCAT(G57,I57,K57,F57,E57)</f>
        <v/>
      </c>
      <c r="M57" s="147">
        <f>VLOOKUP(Table27[[#This Row],[Key]],Table29[[#All],[Key]:[TSL Material Code3]],4,0)</f>
        <v/>
      </c>
      <c r="N57" s="147">
        <f>VLOOKUP(Table27[[#This Row],[Key]],Table29[[#All],[Key]:[TSL Material Code3]],5,0)</f>
        <v/>
      </c>
      <c r="O57" s="149">
        <f>VLOOKUP(Table27[[#This Row],[Key]],Table29[[#All],[Key]:[TSL Material Code3]],7,0)</f>
        <v/>
      </c>
      <c r="P57" s="150">
        <f>VLOOKUP(Table27[[#This Row],[Key]],Table29[[#All],[Key]:[TSL Material Code3]],8,0)</f>
        <v/>
      </c>
      <c r="Q57" s="19" t="n">
        <v>20</v>
      </c>
      <c r="R57" s="147" t="n">
        <v>10</v>
      </c>
      <c r="S57" s="147" t="n">
        <v>8</v>
      </c>
      <c r="T57" s="147" t="n">
        <v>0</v>
      </c>
      <c r="U57" s="147">
        <f>S57-R57</f>
        <v/>
      </c>
      <c r="V57" s="147" t="n"/>
      <c r="W57" s="147">
        <f>U57+V57</f>
        <v/>
      </c>
      <c r="X57" s="19">
        <f>Q57-W57</f>
        <v/>
      </c>
      <c r="Y57" s="167">
        <f>IF(X57&gt;0,X57,0)*150%</f>
        <v/>
      </c>
      <c r="Z57" s="19">
        <f>ROUND(SUMIFS(meghsteelsales_previousmonth[Quantity],meghsteelsales_previousmonth[Length Bucket],Table27[[#This Row],[Bucket CTL]])/1000,0)</f>
        <v/>
      </c>
      <c r="AA57" s="419">
        <f>ROUND(SUMIFS(meghsteelsales_currentmonth[Quantity],meghsteelsales_currentmonth[Length Bucket],Table27[[#This Row],[Bucket CTL]])/1000,0)</f>
        <v/>
      </c>
      <c r="AB57" s="90">
        <f>Table27[[#This Row],[ INDENT  FOR NOV-25 recommended]]+Table27[[#This Row],[order logg ]]</f>
        <v/>
      </c>
      <c r="AC57" s="90">
        <f>Table27[[#This Row],[Before 20th]]+Table27[[#This Row],[ofter 20th]]</f>
        <v/>
      </c>
      <c r="AD57">
        <f>IF(Table27[[#This Row],[Total Indent]]-Table27[[#This Row],[Total Supplied]]&lt;0,0,Table27[[#This Row],[Total Indent]]-Table27[[#This Row],[Total Supplied]])</f>
        <v/>
      </c>
    </row>
    <row r="58">
      <c r="A58" s="265" t="inlineStr">
        <is>
          <t>TVS</t>
        </is>
      </c>
      <c r="B58" s="265" t="n">
        <v>943209</v>
      </c>
      <c r="C58" s="147" t="inlineStr">
        <is>
          <t>RUCHA</t>
        </is>
      </c>
      <c r="D58" s="153" t="inlineStr">
        <is>
          <t>ERW1</t>
        </is>
      </c>
      <c r="E58" s="147" t="inlineStr">
        <is>
          <t>FIN CUT</t>
        </is>
      </c>
      <c r="F58" s="147" t="inlineStr">
        <is>
          <t>ERW</t>
        </is>
      </c>
      <c r="G58" s="168" t="inlineStr">
        <is>
          <t>59x30</t>
        </is>
      </c>
      <c r="H58" s="168" t="n"/>
      <c r="I58" s="168" t="n">
        <v>1.6</v>
      </c>
      <c r="J58" s="147" t="n">
        <v>6000</v>
      </c>
      <c r="K58" s="147" t="n">
        <v>6</v>
      </c>
      <c r="L58" s="147">
        <f>_xlfn.CONCAT(G58,I58,K58,F58,E58)</f>
        <v/>
      </c>
      <c r="M58" s="147">
        <f>VLOOKUP(Table27[[#This Row],[Key]],Table29[[#All],[Key]:[TSL Material Code3]],4,0)</f>
        <v/>
      </c>
      <c r="N58" s="147">
        <f>VLOOKUP(Table27[[#This Row],[Key]],Table29[[#All],[Key]:[TSL Material Code3]],5,0)</f>
        <v/>
      </c>
      <c r="O58" s="149">
        <f>VLOOKUP(Table27[[#This Row],[Key]],Table29[[#All],[Key]:[TSL Material Code3]],7,0)</f>
        <v/>
      </c>
      <c r="P58" s="150">
        <f>VLOOKUP(Table27[[#This Row],[Key]],Table29[[#All],[Key]:[TSL Material Code3]],8,0)</f>
        <v/>
      </c>
      <c r="Q58" s="19" t="n">
        <v>5</v>
      </c>
      <c r="R58" s="147" t="n">
        <v>0</v>
      </c>
      <c r="S58" s="147" t="n">
        <v>1.5</v>
      </c>
      <c r="T58" s="147" t="n">
        <v>0</v>
      </c>
      <c r="U58" s="147">
        <f>S58-R58</f>
        <v/>
      </c>
      <c r="V58" s="147" t="n"/>
      <c r="W58" s="147">
        <f>U58+V58</f>
        <v/>
      </c>
      <c r="X58" s="19">
        <f>Q58-W58</f>
        <v/>
      </c>
      <c r="Y58" s="167">
        <f>IF(X58&gt;0,X58,0)*150%</f>
        <v/>
      </c>
      <c r="Z58" s="19">
        <f>ROUND(SUMIFS(meghsteelsales_previousmonth[Quantity],meghsteelsales_previousmonth[Length Bucket],Table27[[#This Row],[Bucket CTL]])/1000,0)</f>
        <v/>
      </c>
      <c r="AA58" s="419">
        <f>ROUND(SUMIFS(meghsteelsales_currentmonth[Quantity],meghsteelsales_currentmonth[Length Bucket],Table27[[#This Row],[Bucket CTL]])/1000,0)</f>
        <v/>
      </c>
      <c r="AB58" s="90">
        <f>Table27[[#This Row],[ INDENT  FOR NOV-25 recommended]]+Table27[[#This Row],[order logg ]]</f>
        <v/>
      </c>
      <c r="AC58" s="90">
        <f>Table27[[#This Row],[Before 20th]]+Table27[[#This Row],[ofter 20th]]</f>
        <v/>
      </c>
      <c r="AD58">
        <f>IF(Table27[[#This Row],[Total Indent]]-Table27[[#This Row],[Total Supplied]]&lt;0,0,Table27[[#This Row],[Total Indent]]-Table27[[#This Row],[Total Supplied]])</f>
        <v/>
      </c>
    </row>
    <row r="59">
      <c r="A59" s="265" t="inlineStr">
        <is>
          <t>RE</t>
        </is>
      </c>
      <c r="B59" s="266" t="n">
        <v>943211</v>
      </c>
      <c r="C59" s="147" t="inlineStr">
        <is>
          <t>KUNAL</t>
        </is>
      </c>
      <c r="D59" s="153" t="inlineStr">
        <is>
          <t>ERW1</t>
        </is>
      </c>
      <c r="E59" s="147" t="inlineStr">
        <is>
          <t>FIN CUT</t>
        </is>
      </c>
      <c r="F59" s="147" t="inlineStr">
        <is>
          <t>ERW</t>
        </is>
      </c>
      <c r="G59" s="168" t="inlineStr">
        <is>
          <t>59x30</t>
        </is>
      </c>
      <c r="H59" s="168" t="n"/>
      <c r="I59" s="168" t="n">
        <v>1.6</v>
      </c>
      <c r="J59" s="169" t="n">
        <v>572.5</v>
      </c>
      <c r="K59" s="147" t="n">
        <v>0.5725</v>
      </c>
      <c r="L59" s="147">
        <f>_xlfn.CONCAT(G59,I59,K59,F59,E59)</f>
        <v/>
      </c>
      <c r="M59" s="147">
        <f>VLOOKUP(Table27[[#This Row],[Key]],Table29[[#All],[Key]:[TSL Material Code3]],4,0)</f>
        <v/>
      </c>
      <c r="N59" s="147">
        <f>VLOOKUP(Table27[[#This Row],[Key]],Table29[[#All],[Key]:[TSL Material Code3]],5,0)</f>
        <v/>
      </c>
      <c r="O59" s="149">
        <f>VLOOKUP(Table27[[#This Row],[Key]],Table29[[#All],[Key]:[TSL Material Code3]],7,0)</f>
        <v/>
      </c>
      <c r="P59" s="150">
        <f>VLOOKUP(Table27[[#This Row],[Key]],Table29[[#All],[Key]:[TSL Material Code3]],8,0)</f>
        <v/>
      </c>
      <c r="Q59" s="19" t="n">
        <v>30</v>
      </c>
      <c r="R59" s="147" t="n">
        <v>0</v>
      </c>
      <c r="S59" s="147" t="n">
        <v>0</v>
      </c>
      <c r="T59" s="147" t="n">
        <v>0</v>
      </c>
      <c r="U59" s="147">
        <f>S59-R59</f>
        <v/>
      </c>
      <c r="V59" s="147" t="n"/>
      <c r="W59" s="147">
        <f>U59+V59</f>
        <v/>
      </c>
      <c r="X59" s="19">
        <f>Q59-W59</f>
        <v/>
      </c>
      <c r="Y59" s="167">
        <f>IF(X59&gt;0,X59,0)*150%</f>
        <v/>
      </c>
      <c r="Z59" s="19">
        <f>ROUND(SUMIFS(meghsteelsales_previousmonth[Quantity],meghsteelsales_previousmonth[Length Bucket],Table27[[#This Row],[Bucket CTL]])/1000,0)</f>
        <v/>
      </c>
      <c r="AA59" s="419">
        <f>ROUND(SUMIFS(meghsteelsales_currentmonth[Quantity],meghsteelsales_currentmonth[Length Bucket],Table27[[#This Row],[Bucket CTL]])/1000,0)</f>
        <v/>
      </c>
      <c r="AB59" s="90">
        <f>Table27[[#This Row],[ INDENT  FOR NOV-25 recommended]]+Table27[[#This Row],[order logg ]]</f>
        <v/>
      </c>
      <c r="AC59" s="90">
        <f>Table27[[#This Row],[Before 20th]]+Table27[[#This Row],[ofter 20th]]</f>
        <v/>
      </c>
      <c r="AD59">
        <f>IF(Table27[[#This Row],[Total Indent]]-Table27[[#This Row],[Total Supplied]]&lt;0,0,Table27[[#This Row],[Total Indent]]-Table27[[#This Row],[Total Supplied]])</f>
        <v/>
      </c>
    </row>
    <row r="60">
      <c r="A60" s="265" t="inlineStr">
        <is>
          <t>RE</t>
        </is>
      </c>
      <c r="B60" s="266" t="n">
        <v>943211</v>
      </c>
      <c r="C60" s="147" t="inlineStr">
        <is>
          <t>BELRISE</t>
        </is>
      </c>
      <c r="D60" s="153" t="inlineStr">
        <is>
          <t>ERW1</t>
        </is>
      </c>
      <c r="E60" s="147" t="inlineStr">
        <is>
          <t>FIN CUT</t>
        </is>
      </c>
      <c r="F60" s="147" t="inlineStr">
        <is>
          <t>ERW</t>
        </is>
      </c>
      <c r="G60" s="168" t="inlineStr">
        <is>
          <t>50X50</t>
        </is>
      </c>
      <c r="H60" s="168" t="n"/>
      <c r="I60" s="168" t="n">
        <v>1.6</v>
      </c>
      <c r="J60" s="169" t="n">
        <v>6040</v>
      </c>
      <c r="K60" s="147" t="n">
        <v>6.04</v>
      </c>
      <c r="L60" s="147">
        <f>_xlfn.CONCAT(G60,I60,K60,F60,E60)</f>
        <v/>
      </c>
      <c r="M60" s="147">
        <f>VLOOKUP(Table27[[#This Row],[Key]],Table29[[#All],[Key]:[TSL Material Code3]],4,0)</f>
        <v/>
      </c>
      <c r="N60" s="147">
        <f>VLOOKUP(Table27[[#This Row],[Key]],Table29[[#All],[Key]:[TSL Material Code3]],5,0)</f>
        <v/>
      </c>
      <c r="O60" s="149">
        <f>VLOOKUP(Table27[[#This Row],[Key]],Table29[[#All],[Key]:[TSL Material Code3]],7,0)</f>
        <v/>
      </c>
      <c r="P60" s="150">
        <f>VLOOKUP(Table27[[#This Row],[Key]],Table29[[#All],[Key]:[TSL Material Code3]],8,0)</f>
        <v/>
      </c>
      <c r="Q60" s="19" t="n">
        <v>10</v>
      </c>
      <c r="R60" s="147" t="n">
        <v>5</v>
      </c>
      <c r="S60" s="147" t="n">
        <v>0</v>
      </c>
      <c r="T60" s="147" t="n">
        <v>15</v>
      </c>
      <c r="U60" s="147">
        <f>S60-R60</f>
        <v/>
      </c>
      <c r="V60" s="147" t="n">
        <v>20</v>
      </c>
      <c r="W60" s="147">
        <f>U60+V60</f>
        <v/>
      </c>
      <c r="X60" s="19">
        <f>Q60-W60</f>
        <v/>
      </c>
      <c r="Y60" s="167">
        <f>IF(X60&gt;0,X60,0)*150%</f>
        <v/>
      </c>
      <c r="Z60" s="19">
        <f>ROUND(SUMIFS(meghsteelsales_previousmonth[Quantity],meghsteelsales_previousmonth[Length Bucket],Table27[[#This Row],[Bucket CTL]])/1000,0)</f>
        <v/>
      </c>
      <c r="AA60" s="419">
        <f>ROUND(SUMIFS(meghsteelsales_currentmonth[Quantity],meghsteelsales_currentmonth[Length Bucket],Table27[[#This Row],[Bucket CTL]])/1000,0)</f>
        <v/>
      </c>
      <c r="AB60" s="90">
        <f>Table27[[#This Row],[ INDENT  FOR NOV-25 recommended]]+Table27[[#This Row],[order logg ]]</f>
        <v/>
      </c>
      <c r="AC60" s="90">
        <f>Table27[[#This Row],[Before 20th]]+Table27[[#This Row],[ofter 20th]]</f>
        <v/>
      </c>
      <c r="AD60">
        <f>IF(Table27[[#This Row],[Total Indent]]-Table27[[#This Row],[Total Supplied]]&lt;0,0,Table27[[#This Row],[Total Indent]]-Table27[[#This Row],[Total Supplied]])</f>
        <v/>
      </c>
    </row>
    <row r="61">
      <c r="A61" s="265" t="inlineStr">
        <is>
          <t>RE</t>
        </is>
      </c>
      <c r="B61" s="266" t="n">
        <v>943211</v>
      </c>
      <c r="C61" s="147" t="inlineStr">
        <is>
          <t>BELRISE</t>
        </is>
      </c>
      <c r="D61" s="153" t="inlineStr">
        <is>
          <t>ERW1</t>
        </is>
      </c>
      <c r="E61" s="147" t="inlineStr">
        <is>
          <t>FIN CUT</t>
        </is>
      </c>
      <c r="F61" s="147" t="inlineStr">
        <is>
          <t>ERW</t>
        </is>
      </c>
      <c r="G61" s="168" t="n">
        <v>50.8</v>
      </c>
      <c r="H61" s="168" t="n"/>
      <c r="I61" s="168" t="n">
        <v>2.6</v>
      </c>
      <c r="J61" s="169" t="n">
        <v>6000</v>
      </c>
      <c r="K61" s="147" t="n">
        <v>6</v>
      </c>
      <c r="L61" s="147">
        <f>_xlfn.CONCAT(G61,I61,K61,F61,E61)</f>
        <v/>
      </c>
      <c r="M61" s="147">
        <f>VLOOKUP(Table27[[#This Row],[Key]],Table29[[#All],[Key]:[TSL Material Code3]],4,0)</f>
        <v/>
      </c>
      <c r="N61" s="147">
        <f>VLOOKUP(Table27[[#This Row],[Key]],Table29[[#All],[Key]:[TSL Material Code3]],5,0)</f>
        <v/>
      </c>
      <c r="O61" s="149">
        <f>VLOOKUP(Table27[[#This Row],[Key]],Table29[[#All],[Key]:[TSL Material Code3]],7,0)</f>
        <v/>
      </c>
      <c r="P61" s="150">
        <f>VLOOKUP(Table27[[#This Row],[Key]],Table29[[#All],[Key]:[TSL Material Code3]],8,0)</f>
        <v/>
      </c>
      <c r="Q61" s="19" t="n">
        <v>10</v>
      </c>
      <c r="R61" s="147" t="n">
        <v>0</v>
      </c>
      <c r="S61" s="147" t="n">
        <v>17</v>
      </c>
      <c r="T61" s="147" t="n">
        <v>0</v>
      </c>
      <c r="U61" s="147">
        <f>S61-R61</f>
        <v/>
      </c>
      <c r="V61" s="147" t="n">
        <v>12.6</v>
      </c>
      <c r="W61" s="147">
        <f>U61+V61</f>
        <v/>
      </c>
      <c r="X61" s="19" t="n">
        <v>5</v>
      </c>
      <c r="Y61" s="167">
        <f>IF(X61&gt;0,X61,0)*150%</f>
        <v/>
      </c>
      <c r="Z61" s="19">
        <f>ROUND(SUMIFS(meghsteelsales_previousmonth[Quantity],meghsteelsales_previousmonth[Length Bucket],Table27[[#This Row],[Bucket CTL]])/1000,0)</f>
        <v/>
      </c>
      <c r="AA61" s="419">
        <f>ROUND(SUMIFS(meghsteelsales_currentmonth[Quantity],meghsteelsales_currentmonth[Length Bucket],Table27[[#This Row],[Bucket CTL]])/1000,0)</f>
        <v/>
      </c>
      <c r="AB61" s="90">
        <f>Table27[[#This Row],[ INDENT  FOR NOV-25 recommended]]+Table27[[#This Row],[order logg ]]</f>
        <v/>
      </c>
      <c r="AC61" s="90">
        <f>Table27[[#This Row],[Before 20th]]+Table27[[#This Row],[ofter 20th]]</f>
        <v/>
      </c>
      <c r="AD61">
        <f>IF(Table27[[#This Row],[Total Indent]]-Table27[[#This Row],[Total Supplied]]&lt;0,0,Table27[[#This Row],[Total Indent]]-Table27[[#This Row],[Total Supplied]])</f>
        <v/>
      </c>
    </row>
    <row r="62">
      <c r="A62" s="265" t="inlineStr">
        <is>
          <t>RE</t>
        </is>
      </c>
      <c r="B62" s="266" t="n">
        <v>943211</v>
      </c>
      <c r="C62" s="147" t="inlineStr">
        <is>
          <t>BELRISE</t>
        </is>
      </c>
      <c r="D62" s="153" t="inlineStr">
        <is>
          <t>CEW-1</t>
        </is>
      </c>
      <c r="E62" s="147" t="inlineStr">
        <is>
          <t>FIN CUT</t>
        </is>
      </c>
      <c r="F62" s="147" t="inlineStr">
        <is>
          <t>CEW</t>
        </is>
      </c>
      <c r="G62" s="168" t="n">
        <v>50.8</v>
      </c>
      <c r="H62" s="168" t="n">
        <v>45.6</v>
      </c>
      <c r="I62" s="168" t="n">
        <v>2.6</v>
      </c>
      <c r="J62" s="169" t="n">
        <v>6000</v>
      </c>
      <c r="K62" s="147" t="n">
        <v>6</v>
      </c>
      <c r="L62" s="147">
        <f>_xlfn.CONCAT(G62,I62,K62,F62,E62)</f>
        <v/>
      </c>
      <c r="M62" s="147">
        <f>VLOOKUP(Table27[[#This Row],[Key]],Table29[[#All],[Key]:[TSL Material Code3]],4,0)</f>
        <v/>
      </c>
      <c r="N62" s="147">
        <f>VLOOKUP(Table27[[#This Row],[Key]],Table29[[#All],[Key]:[TSL Material Code3]],5,0)</f>
        <v/>
      </c>
      <c r="O62" s="149">
        <f>VLOOKUP(Table27[[#This Row],[Key]],Table29[[#All],[Key]:[TSL Material Code3]],7,0)</f>
        <v/>
      </c>
      <c r="P62" s="150">
        <f>VLOOKUP(Table27[[#This Row],[Key]],Table29[[#All],[Key]:[TSL Material Code3]],8,0)</f>
        <v/>
      </c>
      <c r="Q62" s="19" t="n">
        <v>5</v>
      </c>
      <c r="R62" s="147" t="n">
        <v>0</v>
      </c>
      <c r="S62" s="147" t="n">
        <v>1.4</v>
      </c>
      <c r="T62" s="147" t="n">
        <v>0</v>
      </c>
      <c r="U62" s="147">
        <f>S62-R62</f>
        <v/>
      </c>
      <c r="V62" s="147" t="n">
        <v>24.5</v>
      </c>
      <c r="W62" s="147">
        <f>U62+V62</f>
        <v/>
      </c>
      <c r="X62" s="19" t="n">
        <v>5</v>
      </c>
      <c r="Y62" s="167">
        <f>IF(X62&gt;0,X62,0)*150%</f>
        <v/>
      </c>
      <c r="Z62" s="19">
        <f>ROUND(SUMIFS(meghsteelsales_previousmonth[Quantity],meghsteelsales_previousmonth[Length Bucket],Table27[[#This Row],[Bucket CTL]])/1000,0)</f>
        <v/>
      </c>
      <c r="AA62" s="419">
        <f>ROUND(SUMIFS(meghsteelsales_currentmonth[Quantity],meghsteelsales_currentmonth[Length Bucket],Table27[[#This Row],[Bucket CTL]])/1000,0)</f>
        <v/>
      </c>
      <c r="AB62" s="90">
        <f>Table27[[#This Row],[ INDENT  FOR NOV-25 recommended]]+Table27[[#This Row],[order logg ]]</f>
        <v/>
      </c>
      <c r="AC62" s="90">
        <f>Table27[[#This Row],[Before 20th]]+Table27[[#This Row],[ofter 20th]]</f>
        <v/>
      </c>
      <c r="AD62">
        <f>IF(Table27[[#This Row],[Total Indent]]-Table27[[#This Row],[Total Supplied]]&lt;0,0,Table27[[#This Row],[Total Indent]]-Table27[[#This Row],[Total Supplied]])</f>
        <v/>
      </c>
    </row>
    <row r="63">
      <c r="A63" s="265" t="inlineStr">
        <is>
          <t>TVS</t>
        </is>
      </c>
      <c r="B63" s="265" t="n">
        <v>943209</v>
      </c>
      <c r="C63" s="147" t="inlineStr">
        <is>
          <t>METALMAN</t>
        </is>
      </c>
      <c r="D63" s="153" t="inlineStr">
        <is>
          <t>ERW1</t>
        </is>
      </c>
      <c r="E63" s="147" t="inlineStr">
        <is>
          <t>FIN CUT</t>
        </is>
      </c>
      <c r="F63" s="147" t="inlineStr">
        <is>
          <t>ERW</t>
        </is>
      </c>
      <c r="G63" s="168" t="n">
        <v>54</v>
      </c>
      <c r="H63" s="168" t="n"/>
      <c r="I63" s="168" t="n">
        <v>3</v>
      </c>
      <c r="J63" s="169" t="n">
        <v>5910</v>
      </c>
      <c r="K63" s="147" t="n">
        <v>5.91</v>
      </c>
      <c r="L63" s="147">
        <f>_xlfn.CONCAT(G63,I63,K63,F63,E63)</f>
        <v/>
      </c>
      <c r="M63" s="147">
        <f>VLOOKUP(Table27[[#This Row],[Key]],Table29[[#All],[Key]:[TSL Material Code3]],4,0)</f>
        <v/>
      </c>
      <c r="N63" s="147">
        <f>VLOOKUP(Table27[[#This Row],[Key]],Table29[[#All],[Key]:[TSL Material Code3]],5,0)</f>
        <v/>
      </c>
      <c r="O63" s="158" t="inlineStr">
        <is>
          <t>788</t>
        </is>
      </c>
      <c r="P63" s="150" t="n">
        <v>3500391</v>
      </c>
      <c r="Q63" s="19" t="n">
        <v>10</v>
      </c>
      <c r="R63" s="147" t="n">
        <v>0</v>
      </c>
      <c r="S63" s="147" t="n">
        <v>1.5</v>
      </c>
      <c r="T63" s="147" t="n">
        <v>0</v>
      </c>
      <c r="U63" s="147">
        <f>S63-R63</f>
        <v/>
      </c>
      <c r="V63" s="147" t="n"/>
      <c r="W63" s="147">
        <f>U63+V63</f>
        <v/>
      </c>
      <c r="X63" s="19" t="n">
        <v>10</v>
      </c>
      <c r="Y63" s="167">
        <f>IF(X63&gt;0,X63,0)*150%</f>
        <v/>
      </c>
      <c r="Z63" s="19">
        <f>ROUND(SUMIFS(meghsteelsales_previousmonth[Quantity],meghsteelsales_previousmonth[Length Bucket],Table27[[#This Row],[Bucket CTL]])/1000,0)</f>
        <v/>
      </c>
      <c r="AA63" s="419">
        <f>ROUND(SUMIFS(meghsteelsales_currentmonth[Quantity],meghsteelsales_currentmonth[Length Bucket],Table27[[#This Row],[Bucket CTL]])/1000,0)</f>
        <v/>
      </c>
      <c r="AB63" s="90">
        <f>Table27[[#This Row],[ INDENT  FOR NOV-25 recommended]]+Table27[[#This Row],[order logg ]]</f>
        <v/>
      </c>
      <c r="AC63" s="90">
        <f>Table27[[#This Row],[Before 20th]]+Table27[[#This Row],[ofter 20th]]</f>
        <v/>
      </c>
      <c r="AD63">
        <f>IF(Table27[[#This Row],[Total Indent]]-Table27[[#This Row],[Total Supplied]]&lt;0,0,Table27[[#This Row],[Total Indent]]-Table27[[#This Row],[Total Supplied]])</f>
        <v/>
      </c>
    </row>
    <row r="64">
      <c r="A64" s="265" t="inlineStr">
        <is>
          <t>TVS</t>
        </is>
      </c>
      <c r="B64" s="265" t="n">
        <v>943209</v>
      </c>
      <c r="C64" s="147" t="inlineStr">
        <is>
          <t>RUCHA,METALMAN</t>
        </is>
      </c>
      <c r="D64" s="153" t="inlineStr">
        <is>
          <t>ERW1</t>
        </is>
      </c>
      <c r="E64" s="147" t="inlineStr">
        <is>
          <t>FIN CUT</t>
        </is>
      </c>
      <c r="F64" s="147" t="inlineStr">
        <is>
          <t>ERW</t>
        </is>
      </c>
      <c r="G64" s="148" t="n">
        <v>57.15</v>
      </c>
      <c r="H64" s="148" t="n"/>
      <c r="I64" s="148" t="n">
        <v>2.5</v>
      </c>
      <c r="J64" s="147" t="n">
        <v>5710</v>
      </c>
      <c r="K64" s="147" t="n">
        <v>5.71</v>
      </c>
      <c r="L64" s="147">
        <f>_xlfn.CONCAT(G64,I64,K64,F64,E64)</f>
        <v/>
      </c>
      <c r="M64" s="147">
        <f>VLOOKUP(Table27[[#This Row],[Key]],Table29[[#All],[Key]:[TSL Material Code3]],4,0)</f>
        <v/>
      </c>
      <c r="N64" s="147">
        <f>VLOOKUP(Table27[[#This Row],[Key]],Table29[[#All],[Key]:[TSL Material Code3]],5,0)</f>
        <v/>
      </c>
      <c r="O64" s="149">
        <f>VLOOKUP(Table27[[#This Row],[Key]],Table29[[#All],[Key]:[TSL Material Code3]],7,0)</f>
        <v/>
      </c>
      <c r="P64" s="150">
        <f>VLOOKUP(Table27[[#This Row],[Key]],Table29[[#All],[Key]:[TSL Material Code3]],8,0)</f>
        <v/>
      </c>
      <c r="Q64" s="19" t="n">
        <v>70</v>
      </c>
      <c r="R64" s="147" t="n">
        <v>30</v>
      </c>
      <c r="S64" s="147" t="n">
        <v>93</v>
      </c>
      <c r="T64" s="147" t="n">
        <v>18.2</v>
      </c>
      <c r="U64" s="147">
        <f>S64-R64</f>
        <v/>
      </c>
      <c r="V64" s="147" t="n">
        <v>82.7</v>
      </c>
      <c r="W64" s="147">
        <f>U64+V64</f>
        <v/>
      </c>
      <c r="X64" s="19">
        <f>Q64-W64</f>
        <v/>
      </c>
      <c r="Y64" s="167">
        <f>IF(X64&gt;0,X64,0)*150%</f>
        <v/>
      </c>
      <c r="Z64" s="19">
        <f>ROUND(SUMIFS(meghsteelsales_previousmonth[Quantity],meghsteelsales_previousmonth[Length Bucket],Table27[[#This Row],[Bucket CTL]])/1000,0)</f>
        <v/>
      </c>
      <c r="AA64" s="419">
        <f>ROUND(SUMIFS(meghsteelsales_currentmonth[Quantity],meghsteelsales_currentmonth[Length Bucket],Table27[[#This Row],[Bucket CTL]])/1000,0)</f>
        <v/>
      </c>
      <c r="AB64" s="90">
        <f>Table27[[#This Row],[ INDENT  FOR NOV-25 recommended]]+Table27[[#This Row],[order logg ]]</f>
        <v/>
      </c>
      <c r="AC64" s="90">
        <f>Table27[[#This Row],[Before 20th]]+Table27[[#This Row],[ofter 20th]]</f>
        <v/>
      </c>
      <c r="AD64">
        <f>IF(Table27[[#This Row],[Total Indent]]-Table27[[#This Row],[Total Supplied]]&lt;0,0,Table27[[#This Row],[Total Indent]]-Table27[[#This Row],[Total Supplied]])</f>
        <v/>
      </c>
    </row>
    <row r="65">
      <c r="A65" s="265" t="inlineStr">
        <is>
          <t>TVS</t>
        </is>
      </c>
      <c r="B65" s="265" t="n">
        <v>943209</v>
      </c>
      <c r="C65" s="147" t="inlineStr">
        <is>
          <t>RUCHA,METALMAN</t>
        </is>
      </c>
      <c r="D65" s="153" t="inlineStr">
        <is>
          <t>ERW1</t>
        </is>
      </c>
      <c r="E65" s="147" t="inlineStr">
        <is>
          <t>FIN CUT</t>
        </is>
      </c>
      <c r="F65" s="147" t="inlineStr">
        <is>
          <t>ERW</t>
        </is>
      </c>
      <c r="G65" s="148" t="n">
        <v>57.15</v>
      </c>
      <c r="H65" s="148" t="n"/>
      <c r="I65" s="148" t="n">
        <v>2.5</v>
      </c>
      <c r="J65" s="147" t="n">
        <v>5750</v>
      </c>
      <c r="K65" s="147" t="n">
        <v>5.75</v>
      </c>
      <c r="L65" s="147">
        <f>_xlfn.CONCAT(G65,I65,K65,F65,E65)</f>
        <v/>
      </c>
      <c r="M65" s="147">
        <f>VLOOKUP(Table27[[#This Row],[Key]],Table29[[#All],[Key]:[TSL Material Code3]],4,0)</f>
        <v/>
      </c>
      <c r="N65" s="147">
        <f>VLOOKUP(Table27[[#This Row],[Key]],Table29[[#All],[Key]:[TSL Material Code3]],5,0)</f>
        <v/>
      </c>
      <c r="O65" s="149">
        <f>VLOOKUP(Table27[[#This Row],[Key]],Table29[[#All],[Key]:[TSL Material Code3]],7,0)</f>
        <v/>
      </c>
      <c r="P65" s="150">
        <f>VLOOKUP(Table27[[#This Row],[Key]],Table29[[#All],[Key]:[TSL Material Code3]],8,0)</f>
        <v/>
      </c>
      <c r="Q65" s="19" t="n">
        <v>20</v>
      </c>
      <c r="R65" s="147" t="n">
        <v>0</v>
      </c>
      <c r="S65" s="147" t="n">
        <v>31</v>
      </c>
      <c r="T65" s="147" t="n">
        <v>18</v>
      </c>
      <c r="U65" s="147">
        <f>S65-R65</f>
        <v/>
      </c>
      <c r="V65" s="147" t="n">
        <v>43.4</v>
      </c>
      <c r="W65" s="147">
        <f>U65+V65</f>
        <v/>
      </c>
      <c r="X65" s="19">
        <f>Q65-W65</f>
        <v/>
      </c>
      <c r="Y65" s="167">
        <f>IF(X65&gt;0,X65,0)*150%</f>
        <v/>
      </c>
      <c r="Z65" s="19">
        <f>ROUND(SUMIFS(meghsteelsales_previousmonth[Quantity],meghsteelsales_previousmonth[Length Bucket],Table27[[#This Row],[Bucket CTL]])/1000,0)</f>
        <v/>
      </c>
      <c r="AA65" s="419">
        <f>ROUND(SUMIFS(meghsteelsales_currentmonth[Quantity],meghsteelsales_currentmonth[Length Bucket],Table27[[#This Row],[Bucket CTL]])/1000,0)</f>
        <v/>
      </c>
      <c r="AB65" s="90">
        <f>Table27[[#This Row],[ INDENT  FOR NOV-25 recommended]]+Table27[[#This Row],[order logg ]]</f>
        <v/>
      </c>
      <c r="AC65" s="90">
        <f>Table27[[#This Row],[Before 20th]]+Table27[[#This Row],[ofter 20th]]</f>
        <v/>
      </c>
      <c r="AD65">
        <f>IF(Table27[[#This Row],[Total Indent]]-Table27[[#This Row],[Total Supplied]]&lt;0,0,Table27[[#This Row],[Total Indent]]-Table27[[#This Row],[Total Supplied]])</f>
        <v/>
      </c>
    </row>
    <row r="66">
      <c r="A66" s="265" t="inlineStr">
        <is>
          <t>TVS</t>
        </is>
      </c>
      <c r="B66" s="265" t="n">
        <v>943209</v>
      </c>
      <c r="C66" s="147" t="inlineStr">
        <is>
          <t>RUCHA,METALMAN</t>
        </is>
      </c>
      <c r="D66" s="153" t="inlineStr">
        <is>
          <t>ERW1</t>
        </is>
      </c>
      <c r="E66" s="147" t="inlineStr">
        <is>
          <t>FIN CUT</t>
        </is>
      </c>
      <c r="F66" s="147" t="inlineStr">
        <is>
          <t>ERW</t>
        </is>
      </c>
      <c r="G66" s="148" t="n">
        <v>57.15</v>
      </c>
      <c r="H66" s="148" t="n"/>
      <c r="I66" s="148" t="n">
        <v>2.5</v>
      </c>
      <c r="J66" s="147" t="n">
        <v>6100</v>
      </c>
      <c r="K66" s="147" t="n">
        <v>6.1</v>
      </c>
      <c r="L66" s="147">
        <f>_xlfn.CONCAT(G66,I66,K66,F66,E66)</f>
        <v/>
      </c>
      <c r="M66" s="147">
        <f>VLOOKUP(Table27[[#This Row],[Key]],Table29[[#All],[Key]:[TSL Material Code3]],4,0)</f>
        <v/>
      </c>
      <c r="N66" s="147">
        <f>VLOOKUP(Table27[[#This Row],[Key]],Table29[[#All],[Key]:[TSL Material Code3]],5,0)</f>
        <v/>
      </c>
      <c r="O66" s="149">
        <f>VLOOKUP(Table27[[#This Row],[Key]],Table29[[#All],[Key]:[TSL Material Code3]],7,0)</f>
        <v/>
      </c>
      <c r="P66" s="150">
        <f>VLOOKUP(Table27[[#This Row],[Key]],Table29[[#All],[Key]:[TSL Material Code3]],8,0)</f>
        <v/>
      </c>
      <c r="Q66" s="19" t="n">
        <v>70</v>
      </c>
      <c r="R66" s="147" t="n">
        <v>30</v>
      </c>
      <c r="S66" s="147" t="n">
        <v>79</v>
      </c>
      <c r="T66" s="147" t="n">
        <v>22.5</v>
      </c>
      <c r="U66" s="147">
        <f>S66-R66</f>
        <v/>
      </c>
      <c r="V66" s="147" t="n">
        <v>33.6</v>
      </c>
      <c r="W66" s="147">
        <f>U66+V66</f>
        <v/>
      </c>
      <c r="X66" s="19">
        <f>Q66-W66</f>
        <v/>
      </c>
      <c r="Y66" s="167">
        <f>IF(X66&gt;0,X66,0)*150%</f>
        <v/>
      </c>
      <c r="Z66" s="19">
        <f>ROUND(SUMIFS(meghsteelsales_previousmonth[Quantity],meghsteelsales_previousmonth[Length Bucket],Table27[[#This Row],[Bucket CTL]])/1000,0)</f>
        <v/>
      </c>
      <c r="AA66" s="419">
        <f>ROUND(SUMIFS(meghsteelsales_currentmonth[Quantity],meghsteelsales_currentmonth[Length Bucket],Table27[[#This Row],[Bucket CTL]])/1000,0)</f>
        <v/>
      </c>
      <c r="AB66" s="90">
        <f>Table27[[#This Row],[ INDENT  FOR NOV-25 recommended]]+Table27[[#This Row],[order logg ]]</f>
        <v/>
      </c>
      <c r="AC66" s="90">
        <f>Table27[[#This Row],[Before 20th]]+Table27[[#This Row],[ofter 20th]]</f>
        <v/>
      </c>
      <c r="AD66">
        <f>IF(Table27[[#This Row],[Total Indent]]-Table27[[#This Row],[Total Supplied]]&lt;0,0,Table27[[#This Row],[Total Indent]]-Table27[[#This Row],[Total Supplied]])</f>
        <v/>
      </c>
    </row>
    <row r="67">
      <c r="A67" s="265" t="inlineStr">
        <is>
          <t>HMSI</t>
        </is>
      </c>
      <c r="B67" s="265" t="n">
        <v>943210</v>
      </c>
      <c r="C67" s="147" t="inlineStr">
        <is>
          <t>BADVE</t>
        </is>
      </c>
      <c r="D67" s="153" t="inlineStr">
        <is>
          <t>ERW1</t>
        </is>
      </c>
      <c r="E67" s="147" t="inlineStr">
        <is>
          <t>FIN CUT</t>
        </is>
      </c>
      <c r="F67" s="147" t="inlineStr">
        <is>
          <t>ERW</t>
        </is>
      </c>
      <c r="G67" s="148" t="n">
        <v>57.15</v>
      </c>
      <c r="H67" s="148" t="n"/>
      <c r="I67" s="148" t="n">
        <v>3</v>
      </c>
      <c r="J67" s="147" t="n">
        <v>5650</v>
      </c>
      <c r="K67" s="147" t="n">
        <v>5.65</v>
      </c>
      <c r="L67" s="147">
        <f>_xlfn.CONCAT(G67,I67,K67,F67,E67)</f>
        <v/>
      </c>
      <c r="M67" s="147">
        <f>VLOOKUP(Table27[[#This Row],[Key]],Table29[[#All],[Key]:[TSL Material Code3]],4,0)</f>
        <v/>
      </c>
      <c r="N67" s="147">
        <f>VLOOKUP(Table27[[#This Row],[Key]],Table29[[#All],[Key]:[TSL Material Code3]],5,0)</f>
        <v/>
      </c>
      <c r="O67" s="149">
        <f>VLOOKUP(Table27[[#This Row],[Key]],Table29[[#All],[Key]:[TSL Material Code3]],7,0)</f>
        <v/>
      </c>
      <c r="P67" s="150">
        <f>VLOOKUP(Table27[[#This Row],[Key]],Table29[[#All],[Key]:[TSL Material Code3]],8,0)</f>
        <v/>
      </c>
      <c r="Q67" s="19" t="n">
        <v>10</v>
      </c>
      <c r="R67" s="147" t="n">
        <v>0</v>
      </c>
      <c r="S67" s="147" t="n">
        <v>0</v>
      </c>
      <c r="T67" s="147" t="n">
        <v>0</v>
      </c>
      <c r="U67" s="147">
        <f>S67-R67</f>
        <v/>
      </c>
      <c r="V67" s="147" t="n">
        <v>15</v>
      </c>
      <c r="W67" s="147">
        <f>U67+V67</f>
        <v/>
      </c>
      <c r="X67" s="19">
        <f>Q67-W67</f>
        <v/>
      </c>
      <c r="Y67" s="167">
        <f>IF(X67&gt;0,X67,0)*150%</f>
        <v/>
      </c>
      <c r="Z67" s="19">
        <f>ROUND(SUMIFS(meghsteelsales_previousmonth[Quantity],meghsteelsales_previousmonth[Length Bucket],Table27[[#This Row],[Bucket CTL]])/1000,0)</f>
        <v/>
      </c>
      <c r="AA67" s="419">
        <f>ROUND(SUMIFS(meghsteelsales_currentmonth[Quantity],meghsteelsales_currentmonth[Length Bucket],Table27[[#This Row],[Bucket CTL]])/1000,0)</f>
        <v/>
      </c>
      <c r="AB67" s="90">
        <f>Table27[[#This Row],[ INDENT  FOR NOV-25 recommended]]+Table27[[#This Row],[order logg ]]</f>
        <v/>
      </c>
      <c r="AC67" s="90">
        <f>Table27[[#This Row],[Before 20th]]+Table27[[#This Row],[ofter 20th]]</f>
        <v/>
      </c>
      <c r="AD67">
        <f>IF(Table27[[#This Row],[Total Indent]]-Table27[[#This Row],[Total Supplied]]&lt;0,0,Table27[[#This Row],[Total Indent]]-Table27[[#This Row],[Total Supplied]])</f>
        <v/>
      </c>
    </row>
    <row r="68">
      <c r="A68" s="389" t="inlineStr">
        <is>
          <t>TVS</t>
        </is>
      </c>
      <c r="B68" s="265" t="n">
        <v>943209</v>
      </c>
      <c r="C68" s="285" t="inlineStr">
        <is>
          <t>METALMAN</t>
        </is>
      </c>
      <c r="D68" s="390" t="inlineStr">
        <is>
          <t>ERW1</t>
        </is>
      </c>
      <c r="E68" s="285" t="inlineStr">
        <is>
          <t>FIN CUT</t>
        </is>
      </c>
      <c r="F68" s="285" t="inlineStr">
        <is>
          <t>ERW</t>
        </is>
      </c>
      <c r="G68" s="391" t="n">
        <v>60.3</v>
      </c>
      <c r="H68" s="391" t="n"/>
      <c r="I68" s="391" t="n">
        <v>2</v>
      </c>
      <c r="J68" s="285" t="n">
        <v>5900</v>
      </c>
      <c r="K68" s="285" t="n">
        <v>5.9</v>
      </c>
      <c r="L68" s="147">
        <f>_xlfn.CONCAT(G68,I68,K68,F68,E68)</f>
        <v/>
      </c>
      <c r="M68" s="147">
        <f>VLOOKUP(Table27[[#This Row],[Key]],Table29[[#All],[Key]:[TSL Material Code3]],4,0)</f>
        <v/>
      </c>
      <c r="N68" s="147">
        <f>VLOOKUP(Table27[[#This Row],[Key]],Table29[[#All],[Key]:[TSL Material Code3]],5,0)</f>
        <v/>
      </c>
      <c r="O68" s="149">
        <f>VLOOKUP(Table27[[#This Row],[Key]],Table29[[#All],[Key]:[TSL Material Code3]],7,0)</f>
        <v/>
      </c>
      <c r="P68" s="150">
        <f>VLOOKUP(Table27[[#This Row],[Key]],Table29[[#All],[Key]:[TSL Material Code3]],8,0)</f>
        <v/>
      </c>
      <c r="Q68" s="392" t="n">
        <v>30</v>
      </c>
      <c r="R68" s="285" t="n">
        <v>10</v>
      </c>
      <c r="S68" s="285" t="n">
        <v>25</v>
      </c>
      <c r="T68" s="285" t="n">
        <v>24.28</v>
      </c>
      <c r="U68" s="285">
        <f>S68-R68</f>
        <v/>
      </c>
      <c r="V68" s="285" t="n"/>
      <c r="W68" s="285">
        <f>U68+V68</f>
        <v/>
      </c>
      <c r="X68" s="392">
        <f>Q68-W68</f>
        <v/>
      </c>
      <c r="Y68" s="422">
        <f>IF(X68&gt;0,X68,0)*150%</f>
        <v/>
      </c>
      <c r="Z68" s="19">
        <f>ROUND(SUMIFS(meghsteelsales_previousmonth[Quantity],meghsteelsales_previousmonth[Length Bucket],Table27[[#This Row],[Bucket CTL]])/1000,0)</f>
        <v/>
      </c>
      <c r="AA68" s="419">
        <f>ROUND(SUMIFS(meghsteelsales_currentmonth[Quantity],meghsteelsales_currentmonth[Length Bucket],Table27[[#This Row],[Bucket CTL]])/1000,0)</f>
        <v/>
      </c>
      <c r="AB68" s="90">
        <f>Table27[[#This Row],[ INDENT  FOR NOV-25 recommended]]+Table27[[#This Row],[order logg ]]</f>
        <v/>
      </c>
      <c r="AC68" s="90">
        <f>Table27[[#This Row],[Before 20th]]+Table27[[#This Row],[ofter 20th]]</f>
        <v/>
      </c>
      <c r="AD68">
        <f>IF(Table27[[#This Row],[Total Indent]]-Table27[[#This Row],[Total Supplied]]&lt;0,0,Table27[[#This Row],[Total Indent]]-Table27[[#This Row],[Total Supplied]])</f>
        <v/>
      </c>
    </row>
    <row r="69">
      <c r="I69" s="152" t="inlineStr">
        <is>
          <t>TOTAL</t>
        </is>
      </c>
      <c r="J69" s="152" t="n"/>
      <c r="K69" s="152" t="n"/>
      <c r="L69" s="152" t="n"/>
      <c r="M69" s="152" t="n"/>
      <c r="N69" s="152" t="n"/>
      <c r="O69" s="197" t="n"/>
      <c r="P69" s="152" t="n"/>
      <c r="Q69" s="152">
        <f>SUM(R2:R68)</f>
        <v/>
      </c>
      <c r="R69" s="152">
        <f>SUM(S2:S68)</f>
        <v/>
      </c>
      <c r="S69" s="152">
        <f>SUM(T2:T68)</f>
        <v/>
      </c>
      <c r="T69" s="152">
        <f>SUM(U2:U68)</f>
        <v/>
      </c>
      <c r="U69" s="152">
        <f>SUM(V2:V68)</f>
        <v/>
      </c>
      <c r="V69" s="15">
        <f>SUM(V2:V68)</f>
        <v/>
      </c>
      <c r="W69" s="152">
        <f>SUM(X2:X68)</f>
        <v/>
      </c>
      <c r="X69" s="172">
        <f>SUM(Y2:Y68)</f>
        <v/>
      </c>
      <c r="Y69" s="15">
        <f>SUM(Y2:Y68)</f>
        <v/>
      </c>
      <c r="Z69" s="15">
        <f>SUM(Z2:Z68)</f>
        <v/>
      </c>
      <c r="AA69" s="15">
        <f>SUM(AA2:AA68)</f>
        <v/>
      </c>
      <c r="AB69" s="15">
        <f>SUM(AB2:AB68)</f>
        <v/>
      </c>
      <c r="AC69" s="15">
        <f>SUM(AC2:AC68)</f>
        <v/>
      </c>
      <c r="AD69" s="15">
        <f>SUM(AD2:AD68)</f>
        <v/>
      </c>
    </row>
    <row r="70">
      <c r="O70" s="198" t="n"/>
      <c r="X70" s="173" t="n"/>
    </row>
    <row r="71">
      <c r="A71" t="inlineStr">
        <is>
          <t>new sizes in nov</t>
        </is>
      </c>
      <c r="O71" s="198" t="n"/>
      <c r="X71" s="173" t="n"/>
    </row>
    <row r="72">
      <c r="A72">
        <f t="array" ref="A72:A75">_xlfn._xlws.FILTER(Table27[Key],ISNA(_xlfn.XMATCH(Table27[Key],Table29[Key])))</f>
        <v/>
      </c>
      <c r="O72" s="198" t="n"/>
      <c r="X72" s="173" t="n"/>
      <c r="AD72">
        <f>AB69-AD69</f>
        <v/>
      </c>
    </row>
    <row r="73">
      <c r="A73" t="inlineStr">
        <is>
          <t>38.13.26ERW -2FIN CUT</t>
        </is>
      </c>
      <c r="O73" s="198" t="n"/>
      <c r="X73" s="173" t="n"/>
      <c r="AD73">
        <f>AC69-AD72</f>
        <v/>
      </c>
    </row>
    <row r="74">
      <c r="A74" t="inlineStr">
        <is>
          <t>453.5CEW-1FIN CUT</t>
        </is>
      </c>
      <c r="O74" s="198" t="n"/>
      <c r="X74" s="173" t="n"/>
    </row>
    <row r="75">
      <c r="A75" t="inlineStr">
        <is>
          <t>5435.91ERWFIN CUT</t>
        </is>
      </c>
      <c r="O75" s="198" t="n"/>
      <c r="X75" s="173" t="n"/>
    </row>
    <row r="76">
      <c r="O76" s="198" t="n"/>
      <c r="X76" s="173" t="n"/>
    </row>
    <row r="77">
      <c r="O77" s="198" t="n"/>
      <c r="X77" s="173" t="n"/>
    </row>
    <row r="78">
      <c r="A78" t="inlineStr">
        <is>
          <t>plant</t>
        </is>
      </c>
      <c r="B78" t="inlineStr">
        <is>
          <t>OEM</t>
        </is>
      </c>
      <c r="C78" t="inlineStr">
        <is>
          <t>Customer Code</t>
        </is>
      </c>
      <c r="D78" t="inlineStr">
        <is>
          <t>OD</t>
        </is>
      </c>
      <c r="E78" t="inlineStr">
        <is>
          <t>ID</t>
        </is>
      </c>
      <c r="F78" t="inlineStr">
        <is>
          <t>THK</t>
        </is>
      </c>
      <c r="G78" t="inlineStr">
        <is>
          <t>LENGTH</t>
        </is>
      </c>
      <c r="H78" t="inlineStr">
        <is>
          <t>Length in Mtrs</t>
        </is>
      </c>
      <c r="I78" t="inlineStr">
        <is>
          <t>TSL Material Code</t>
        </is>
      </c>
      <c r="J78" t="inlineStr">
        <is>
          <t xml:space="preserve"> INDENT  FOR NOV-25 recommended</t>
        </is>
      </c>
      <c r="K78" t="inlineStr">
        <is>
          <t>Metallurgy condition</t>
        </is>
      </c>
      <c r="L78" t="inlineStr">
        <is>
          <t>Material Type</t>
        </is>
      </c>
      <c r="M78" t="inlineStr">
        <is>
          <t>Material Description3</t>
        </is>
      </c>
      <c r="N78" t="inlineStr">
        <is>
          <t>Spec</t>
        </is>
      </c>
      <c r="O78" s="199" t="inlineStr">
        <is>
          <t>FC/NFC</t>
        </is>
      </c>
      <c r="P78" t="inlineStr">
        <is>
          <t>SO</t>
        </is>
      </c>
      <c r="Q78" s="198" t="inlineStr">
        <is>
          <t>STATUS</t>
        </is>
      </c>
      <c r="X78" s="173" t="n"/>
    </row>
    <row r="79">
      <c r="A79" t="inlineStr">
        <is>
          <t>056</t>
        </is>
      </c>
      <c r="B79" t="inlineStr">
        <is>
          <t>HMSI</t>
        </is>
      </c>
      <c r="C79" t="n">
        <v>943210</v>
      </c>
      <c r="D79" t="n">
        <v>19.05</v>
      </c>
      <c r="E79" t="n">
        <v>0</v>
      </c>
      <c r="F79" t="n">
        <v>1.4</v>
      </c>
      <c r="G79" t="n">
        <v>6000</v>
      </c>
      <c r="H79" t="n">
        <v>6</v>
      </c>
      <c r="I79" t="n">
        <v>3891285</v>
      </c>
      <c r="J79" t="n">
        <v>15</v>
      </c>
      <c r="K79" t="inlineStr">
        <is>
          <t>ERW2</t>
        </is>
      </c>
      <c r="L79" t="inlineStr">
        <is>
          <t>NON FIN</t>
        </is>
      </c>
      <c r="M79">
        <f>VLOOKUP(I79,[1]!zmat[#All],2,0)</f>
        <v/>
      </c>
      <c r="N79">
        <f>VLOOKUP(I79,[1]!zmat[#All],21,0)</f>
        <v/>
      </c>
      <c r="O79" s="198">
        <f>VLOOKUP(I79,[1]!zmat[#All],22,0)</f>
        <v/>
      </c>
      <c r="X79" s="173" t="n"/>
    </row>
    <row r="80">
      <c r="A80" t="inlineStr">
        <is>
          <t>056</t>
        </is>
      </c>
      <c r="B80" t="inlineStr">
        <is>
          <t>HMSI</t>
        </is>
      </c>
      <c r="C80" t="n">
        <v>943210</v>
      </c>
      <c r="D80" t="n">
        <v>45</v>
      </c>
      <c r="E80" t="n">
        <v>0</v>
      </c>
      <c r="F80" t="n">
        <v>3.5</v>
      </c>
      <c r="G80" t="n">
        <v>6100</v>
      </c>
      <c r="H80" t="n">
        <v>6.1</v>
      </c>
      <c r="I80" t="n">
        <v>3500263</v>
      </c>
      <c r="J80" t="n">
        <v>17.55</v>
      </c>
      <c r="K80" t="inlineStr">
        <is>
          <t>CEW-1</t>
        </is>
      </c>
      <c r="L80" t="inlineStr">
        <is>
          <t>FIN CUT</t>
        </is>
      </c>
      <c r="M80">
        <f>VLOOKUP(I80,[1]!zmat[#All],2,0)</f>
        <v/>
      </c>
      <c r="N80">
        <f>VLOOKUP(I80,[1]!zmat[#All],21,0)</f>
        <v/>
      </c>
      <c r="O80" s="198">
        <f>VLOOKUP(I80,[1]!zmat[#All],22,0)</f>
        <v/>
      </c>
      <c r="X80" s="173" t="n"/>
    </row>
    <row r="81">
      <c r="A81" t="inlineStr">
        <is>
          <t>056</t>
        </is>
      </c>
      <c r="B81" t="inlineStr">
        <is>
          <t>RE</t>
        </is>
      </c>
      <c r="C81" t="n">
        <v>943211</v>
      </c>
      <c r="D81" t="n">
        <v>34.93</v>
      </c>
      <c r="E81" t="n">
        <v>0</v>
      </c>
      <c r="F81" t="n">
        <v>1.2</v>
      </c>
      <c r="G81" t="n">
        <v>620</v>
      </c>
      <c r="H81" t="n">
        <v>0.62</v>
      </c>
      <c r="I81" t="n">
        <v>3499589</v>
      </c>
      <c r="J81" t="n">
        <v>20</v>
      </c>
      <c r="K81" t="inlineStr">
        <is>
          <t>ERW1</t>
        </is>
      </c>
      <c r="L81" t="inlineStr">
        <is>
          <t>FIN CUT</t>
        </is>
      </c>
      <c r="M81">
        <f>VLOOKUP(I81,[1]!zmat[#All],2,0)</f>
        <v/>
      </c>
      <c r="N81">
        <f>VLOOKUP(I81,[1]!zmat[#All],21,0)</f>
        <v/>
      </c>
      <c r="O81" s="198">
        <f>VLOOKUP(I81,[1]!zmat[#All],22,0)</f>
        <v/>
      </c>
      <c r="X81" s="173" t="n"/>
    </row>
    <row r="82">
      <c r="A82" t="inlineStr">
        <is>
          <t>056</t>
        </is>
      </c>
      <c r="B82" t="inlineStr">
        <is>
          <t>RE</t>
        </is>
      </c>
      <c r="C82" t="n">
        <v>943211</v>
      </c>
      <c r="D82" t="n">
        <v>34.93</v>
      </c>
      <c r="E82" t="n">
        <v>0</v>
      </c>
      <c r="F82" t="n">
        <v>1.2</v>
      </c>
      <c r="G82" t="n">
        <v>650</v>
      </c>
      <c r="H82" t="n">
        <v>0.65</v>
      </c>
      <c r="I82" t="n">
        <v>3499396</v>
      </c>
      <c r="J82" t="n">
        <v>20</v>
      </c>
      <c r="K82" t="inlineStr">
        <is>
          <t>ERW1</t>
        </is>
      </c>
      <c r="L82" t="inlineStr">
        <is>
          <t>FIN CUT</t>
        </is>
      </c>
      <c r="M82">
        <f>VLOOKUP(I82,[1]!zmat[#All],2,0)</f>
        <v/>
      </c>
      <c r="N82">
        <f>VLOOKUP(I82,[1]!zmat[#All],21,0)</f>
        <v/>
      </c>
      <c r="O82" s="198">
        <f>VLOOKUP(I82,[1]!zmat[#All],22,0)</f>
        <v/>
      </c>
      <c r="X82" s="173" t="n"/>
    </row>
    <row r="83">
      <c r="A83" t="inlineStr">
        <is>
          <t>056</t>
        </is>
      </c>
      <c r="B83" t="inlineStr">
        <is>
          <t>RE</t>
        </is>
      </c>
      <c r="C83" t="n">
        <v>943211</v>
      </c>
      <c r="D83" t="n">
        <v>50.8</v>
      </c>
      <c r="E83" t="n">
        <v>0</v>
      </c>
      <c r="F83" t="n">
        <v>2.6</v>
      </c>
      <c r="G83" t="n">
        <v>6000</v>
      </c>
      <c r="H83" t="n">
        <v>6</v>
      </c>
      <c r="I83" t="n">
        <v>3518437</v>
      </c>
      <c r="J83" t="n">
        <v>7.5</v>
      </c>
      <c r="K83" t="inlineStr">
        <is>
          <t>ERW1</t>
        </is>
      </c>
      <c r="L83" t="inlineStr">
        <is>
          <t>FIN CUT</t>
        </is>
      </c>
      <c r="M83">
        <f>VLOOKUP(I83,[1]!zmat[#All],2,0)</f>
        <v/>
      </c>
      <c r="N83">
        <f>VLOOKUP(I83,[1]!zmat[#All],21,0)</f>
        <v/>
      </c>
      <c r="O83" s="198">
        <f>VLOOKUP(I83,[1]!zmat[#All],22,0)</f>
        <v/>
      </c>
      <c r="X83" s="173" t="n"/>
    </row>
    <row r="84">
      <c r="A84" t="inlineStr">
        <is>
          <t>056</t>
        </is>
      </c>
      <c r="B84" t="inlineStr">
        <is>
          <t>RE</t>
        </is>
      </c>
      <c r="C84" t="n">
        <v>943211</v>
      </c>
      <c r="D84" t="n">
        <v>50.8</v>
      </c>
      <c r="E84" t="n">
        <v>45.6</v>
      </c>
      <c r="F84" t="n">
        <v>2.6</v>
      </c>
      <c r="G84" t="n">
        <v>6000</v>
      </c>
      <c r="H84" t="n">
        <v>6</v>
      </c>
      <c r="I84" t="n">
        <v>3500695</v>
      </c>
      <c r="J84" t="n">
        <v>7.5</v>
      </c>
      <c r="K84" t="inlineStr">
        <is>
          <t>CEW-1</t>
        </is>
      </c>
      <c r="L84" t="inlineStr">
        <is>
          <t>FIN CUT</t>
        </is>
      </c>
      <c r="M84">
        <f>VLOOKUP(I84,[1]!zmat[#All],2,0)</f>
        <v/>
      </c>
      <c r="N84">
        <f>VLOOKUP(I84,[1]!zmat[#All],21,0)</f>
        <v/>
      </c>
      <c r="O84" s="198">
        <f>VLOOKUP(I84,[1]!zmat[#All],22,0)</f>
        <v/>
      </c>
      <c r="X84" s="173" t="n"/>
    </row>
    <row r="85">
      <c r="A85" t="inlineStr">
        <is>
          <t>056</t>
        </is>
      </c>
      <c r="B85" t="inlineStr">
        <is>
          <t>TVS</t>
        </is>
      </c>
      <c r="C85" t="n">
        <v>943209</v>
      </c>
      <c r="D85" t="n">
        <v>19.05</v>
      </c>
      <c r="E85" t="n">
        <v>0</v>
      </c>
      <c r="F85" t="n">
        <v>2</v>
      </c>
      <c r="G85" t="n">
        <v>5800</v>
      </c>
      <c r="H85" t="n">
        <v>5.8</v>
      </c>
      <c r="I85" t="n">
        <v>1940292</v>
      </c>
      <c r="J85" t="n">
        <v>52.5</v>
      </c>
      <c r="K85" t="inlineStr">
        <is>
          <t>ERW1</t>
        </is>
      </c>
      <c r="L85" t="inlineStr">
        <is>
          <t>NON FIN</t>
        </is>
      </c>
      <c r="M85">
        <f>VLOOKUP(I85,[1]!zmat[#All],2,0)</f>
        <v/>
      </c>
      <c r="N85">
        <f>VLOOKUP(I85,[1]!zmat[#All],21,0)</f>
        <v/>
      </c>
      <c r="O85" s="198">
        <f>VLOOKUP(I85,[1]!zmat[#All],22,0)</f>
        <v/>
      </c>
      <c r="X85" s="173" t="n"/>
    </row>
    <row r="86">
      <c r="A86" t="inlineStr">
        <is>
          <t>056</t>
        </is>
      </c>
      <c r="B86" t="inlineStr">
        <is>
          <t>TVS</t>
        </is>
      </c>
      <c r="C86" t="n">
        <v>943209</v>
      </c>
      <c r="D86" t="n">
        <v>22.2</v>
      </c>
      <c r="E86" t="n">
        <v>0</v>
      </c>
      <c r="F86" t="n">
        <v>1.2</v>
      </c>
      <c r="G86" t="n">
        <v>5870</v>
      </c>
      <c r="H86" t="n">
        <v>5.87</v>
      </c>
      <c r="I86" t="n">
        <v>3882110</v>
      </c>
      <c r="J86" t="n">
        <v>40.5</v>
      </c>
      <c r="K86" t="inlineStr">
        <is>
          <t>ERW1</t>
        </is>
      </c>
      <c r="L86" t="inlineStr">
        <is>
          <t>NON FIN</t>
        </is>
      </c>
      <c r="M86">
        <f>VLOOKUP(I86,[1]!zmat[#All],2,0)</f>
        <v/>
      </c>
      <c r="N86">
        <f>VLOOKUP(I86,[1]!zmat[#All],21,0)</f>
        <v/>
      </c>
      <c r="O86" s="198">
        <f>VLOOKUP(I86,[1]!zmat[#All],22,0)</f>
        <v/>
      </c>
      <c r="X86" s="173" t="n"/>
    </row>
    <row r="87">
      <c r="A87" t="inlineStr">
        <is>
          <t>056</t>
        </is>
      </c>
      <c r="B87" t="inlineStr">
        <is>
          <t>TVS</t>
        </is>
      </c>
      <c r="C87" t="n">
        <v>943209</v>
      </c>
      <c r="D87" t="n">
        <v>22.2</v>
      </c>
      <c r="E87" t="n">
        <v>0</v>
      </c>
      <c r="F87" t="n">
        <v>2</v>
      </c>
      <c r="G87" t="n">
        <v>5950</v>
      </c>
      <c r="H87" t="n">
        <v>5.95</v>
      </c>
      <c r="I87" t="n">
        <v>3905466</v>
      </c>
      <c r="J87" t="n">
        <v>86.39999999999999</v>
      </c>
      <c r="K87" t="inlineStr">
        <is>
          <t>ERW1</t>
        </is>
      </c>
      <c r="L87" t="inlineStr">
        <is>
          <t>NON FIN</t>
        </is>
      </c>
      <c r="M87">
        <f>VLOOKUP(I87,[1]!zmat[#All],2,0)</f>
        <v/>
      </c>
      <c r="N87">
        <f>VLOOKUP(I87,[1]!zmat[#All],21,0)</f>
        <v/>
      </c>
      <c r="O87" s="198">
        <f>VLOOKUP(I87,[1]!zmat[#All],22,0)</f>
        <v/>
      </c>
      <c r="X87" s="173" t="n"/>
    </row>
    <row r="88">
      <c r="A88" t="inlineStr">
        <is>
          <t>056</t>
        </is>
      </c>
      <c r="B88" t="inlineStr">
        <is>
          <t>TVS</t>
        </is>
      </c>
      <c r="C88" t="n">
        <v>943209</v>
      </c>
      <c r="D88" t="n">
        <v>25.4</v>
      </c>
      <c r="E88" t="n">
        <v>0</v>
      </c>
      <c r="F88" t="n">
        <v>1.6</v>
      </c>
      <c r="G88" t="n">
        <v>6000</v>
      </c>
      <c r="H88" t="n">
        <v>6</v>
      </c>
      <c r="I88" t="n">
        <v>3500097</v>
      </c>
      <c r="J88" t="n">
        <v>9</v>
      </c>
      <c r="K88" t="inlineStr">
        <is>
          <t>ERW1</t>
        </is>
      </c>
      <c r="L88" t="inlineStr">
        <is>
          <t>NON FIN</t>
        </is>
      </c>
      <c r="M88">
        <f>VLOOKUP(I88,[1]!zmat[#All],2,0)</f>
        <v/>
      </c>
      <c r="N88">
        <f>VLOOKUP(I88,[1]!zmat[#All],21,0)</f>
        <v/>
      </c>
      <c r="O88" s="198">
        <f>VLOOKUP(I88,[1]!zmat[#All],22,0)</f>
        <v/>
      </c>
      <c r="X88" s="173" t="n"/>
    </row>
    <row r="89">
      <c r="A89" t="inlineStr">
        <is>
          <t>0788</t>
        </is>
      </c>
      <c r="B89" t="inlineStr">
        <is>
          <t>HMSI</t>
        </is>
      </c>
      <c r="C89" t="n">
        <v>943210</v>
      </c>
      <c r="D89" t="n">
        <v>34</v>
      </c>
      <c r="E89" t="n">
        <v>0</v>
      </c>
      <c r="F89" t="n">
        <v>1.4</v>
      </c>
      <c r="G89" t="n">
        <v>5660</v>
      </c>
      <c r="H89" t="n">
        <v>5.66</v>
      </c>
      <c r="I89" t="n">
        <v>3702855</v>
      </c>
      <c r="J89" t="n">
        <v>7.5</v>
      </c>
      <c r="K89" t="inlineStr">
        <is>
          <t>ERW2</t>
        </is>
      </c>
      <c r="L89" t="inlineStr">
        <is>
          <t>FIN CUT</t>
        </is>
      </c>
      <c r="M89">
        <f>VLOOKUP(I89,[1]!zmat[#All],2,0)</f>
        <v/>
      </c>
      <c r="N89">
        <f>VLOOKUP(I89,[1]!zmat[#All],21,0)</f>
        <v/>
      </c>
      <c r="O89" s="198">
        <f>VLOOKUP(I89,[1]!zmat[#All],22,0)</f>
        <v/>
      </c>
      <c r="X89" s="173" t="n"/>
    </row>
    <row r="90">
      <c r="A90" t="inlineStr">
        <is>
          <t>0788</t>
        </is>
      </c>
      <c r="B90" t="inlineStr">
        <is>
          <t>RE</t>
        </is>
      </c>
      <c r="C90" t="n">
        <v>943211</v>
      </c>
      <c r="D90" t="n">
        <v>47.63</v>
      </c>
      <c r="E90" t="n">
        <v>0</v>
      </c>
      <c r="F90" t="n">
        <v>4</v>
      </c>
      <c r="G90" t="n">
        <v>6040</v>
      </c>
      <c r="H90" t="n">
        <v>6.04</v>
      </c>
      <c r="I90" t="n">
        <v>3500635</v>
      </c>
      <c r="J90" t="n">
        <v>13.5</v>
      </c>
      <c r="K90" t="inlineStr">
        <is>
          <t>CEW-1</t>
        </is>
      </c>
      <c r="L90" t="inlineStr">
        <is>
          <t>FIN CUT</t>
        </is>
      </c>
      <c r="M90">
        <f>VLOOKUP(I90,[1]!zmat[#All],2,0)</f>
        <v/>
      </c>
      <c r="N90">
        <f>VLOOKUP(I90,[1]!zmat[#All],21,0)</f>
        <v/>
      </c>
      <c r="O90" s="198">
        <f>VLOOKUP(I90,[1]!zmat[#All],22,0)</f>
        <v/>
      </c>
      <c r="X90" s="173" t="n"/>
    </row>
    <row r="91">
      <c r="A91" s="47" t="inlineStr">
        <is>
          <t>0788</t>
        </is>
      </c>
      <c r="B91" t="inlineStr">
        <is>
          <t>TVS</t>
        </is>
      </c>
      <c r="C91" t="n">
        <v>943209</v>
      </c>
      <c r="D91" t="n">
        <v>54</v>
      </c>
      <c r="E91" t="n">
        <v>0</v>
      </c>
      <c r="F91" t="n">
        <v>3</v>
      </c>
      <c r="G91" t="n">
        <v>5910</v>
      </c>
      <c r="H91" t="n">
        <v>5.91</v>
      </c>
      <c r="I91" t="n">
        <v>3500391</v>
      </c>
      <c r="J91" t="n">
        <v>15</v>
      </c>
      <c r="K91" t="inlineStr">
        <is>
          <t>ERW1</t>
        </is>
      </c>
      <c r="L91" t="inlineStr">
        <is>
          <t>FIN CUT</t>
        </is>
      </c>
      <c r="M91">
        <f>VLOOKUP(I91,[1]!zmat[#All],2,0)</f>
        <v/>
      </c>
      <c r="N91">
        <f>VLOOKUP(I91,[1]!zmat[#All],21,0)</f>
        <v/>
      </c>
      <c r="O91" s="198">
        <f>VLOOKUP(I91,[1]!zmat[#All],22,0)</f>
        <v/>
      </c>
      <c r="X91" s="173" t="n"/>
    </row>
    <row r="92">
      <c r="A92" t="inlineStr">
        <is>
          <t>0789</t>
        </is>
      </c>
      <c r="B92" t="inlineStr">
        <is>
          <t>HMSI</t>
        </is>
      </c>
      <c r="C92" t="n">
        <v>943210</v>
      </c>
      <c r="D92" t="n">
        <v>12.7</v>
      </c>
      <c r="E92" t="n">
        <v>0</v>
      </c>
      <c r="F92" t="n">
        <v>1.6</v>
      </c>
      <c r="G92" t="n">
        <v>6000</v>
      </c>
      <c r="H92" t="n">
        <v>6</v>
      </c>
      <c r="I92" t="n">
        <v>1931154</v>
      </c>
      <c r="J92" t="n">
        <v>4.5</v>
      </c>
      <c r="K92" t="inlineStr">
        <is>
          <t>ERW1</t>
        </is>
      </c>
      <c r="L92" t="inlineStr">
        <is>
          <t>NON FIN</t>
        </is>
      </c>
      <c r="M92">
        <f>VLOOKUP(I92,[1]!zmat[#All],2,0)</f>
        <v/>
      </c>
      <c r="N92">
        <f>VLOOKUP(I92,[1]!zmat[#All],21,0)</f>
        <v/>
      </c>
      <c r="O92" s="198">
        <f>VLOOKUP(I92,[1]!zmat[#All],22,0)</f>
        <v/>
      </c>
    </row>
    <row r="93">
      <c r="A93" t="inlineStr">
        <is>
          <t>0789</t>
        </is>
      </c>
      <c r="B93" t="inlineStr">
        <is>
          <t>HMSI</t>
        </is>
      </c>
      <c r="C93" t="n">
        <v>943210</v>
      </c>
      <c r="D93" t="n">
        <v>15.88</v>
      </c>
      <c r="E93" t="n">
        <v>0</v>
      </c>
      <c r="F93" t="n">
        <v>1.6</v>
      </c>
      <c r="G93" t="n">
        <v>6000</v>
      </c>
      <c r="H93" t="n">
        <v>6</v>
      </c>
      <c r="I93" t="n">
        <v>1900224</v>
      </c>
      <c r="J93" t="n">
        <v>9.75</v>
      </c>
      <c r="K93" t="inlineStr">
        <is>
          <t>ERW1</t>
        </is>
      </c>
      <c r="L93" t="inlineStr">
        <is>
          <t>NON FIN</t>
        </is>
      </c>
      <c r="M93">
        <f>VLOOKUP(I93,[1]!zmat[#All],2,0)</f>
        <v/>
      </c>
      <c r="N93">
        <f>VLOOKUP(I93,[1]!zmat[#All],21,0)</f>
        <v/>
      </c>
      <c r="O93" s="198">
        <f>VLOOKUP(I93,[1]!zmat[#All],22,0)</f>
        <v/>
      </c>
    </row>
    <row r="94">
      <c r="A94" t="inlineStr">
        <is>
          <t>0789</t>
        </is>
      </c>
      <c r="B94" t="inlineStr">
        <is>
          <t>HMSI</t>
        </is>
      </c>
      <c r="C94" t="n">
        <v>943210</v>
      </c>
      <c r="D94" t="n">
        <v>22.2</v>
      </c>
      <c r="E94" t="n">
        <v>0</v>
      </c>
      <c r="F94" t="n">
        <v>2</v>
      </c>
      <c r="G94" t="n">
        <v>5390</v>
      </c>
      <c r="H94" t="n">
        <v>5.39</v>
      </c>
      <c r="I94" t="n">
        <v>2431251</v>
      </c>
      <c r="J94" t="n">
        <v>22.5</v>
      </c>
      <c r="K94" t="inlineStr">
        <is>
          <t>CR ERW 1</t>
        </is>
      </c>
      <c r="L94" t="inlineStr">
        <is>
          <t>FIN CUT</t>
        </is>
      </c>
      <c r="M94">
        <f>VLOOKUP(I94,[1]!zmat[#All],2,0)</f>
        <v/>
      </c>
      <c r="N94">
        <f>VLOOKUP(I94,[1]!zmat[#All],21,0)</f>
        <v/>
      </c>
      <c r="O94" s="198">
        <f>VLOOKUP(I94,[1]!zmat[#All],22,0)</f>
        <v/>
      </c>
    </row>
    <row r="95">
      <c r="A95" t="inlineStr">
        <is>
          <t>0789</t>
        </is>
      </c>
      <c r="B95" t="inlineStr">
        <is>
          <t>HMSI</t>
        </is>
      </c>
      <c r="C95" t="n">
        <v>943210</v>
      </c>
      <c r="D95" t="n">
        <v>25.4</v>
      </c>
      <c r="E95" t="n">
        <v>0</v>
      </c>
      <c r="F95" t="n">
        <v>1.4</v>
      </c>
      <c r="G95" t="n">
        <v>6060</v>
      </c>
      <c r="H95" t="n">
        <v>6.06</v>
      </c>
      <c r="I95" t="n">
        <v>3557792</v>
      </c>
      <c r="J95" t="n">
        <v>45</v>
      </c>
      <c r="K95" t="inlineStr">
        <is>
          <t>ERW1</t>
        </is>
      </c>
      <c r="L95" t="inlineStr">
        <is>
          <t>FIN CUT</t>
        </is>
      </c>
      <c r="M95">
        <f>VLOOKUP(I95,[1]!zmat[#All],2,0)</f>
        <v/>
      </c>
      <c r="N95">
        <f>VLOOKUP(I95,[1]!zmat[#All],21,0)</f>
        <v/>
      </c>
      <c r="O95" s="198">
        <f>VLOOKUP(I95,[1]!zmat[#All],22,0)</f>
        <v/>
      </c>
    </row>
    <row r="96">
      <c r="A96" t="inlineStr">
        <is>
          <t>0789</t>
        </is>
      </c>
      <c r="B96" t="inlineStr">
        <is>
          <t>HMSI</t>
        </is>
      </c>
      <c r="C96" t="n">
        <v>943210</v>
      </c>
      <c r="D96" t="n">
        <v>48.6</v>
      </c>
      <c r="E96" t="n">
        <v>0</v>
      </c>
      <c r="F96" t="n">
        <v>3.5</v>
      </c>
      <c r="G96" t="n">
        <v>6000</v>
      </c>
      <c r="H96" t="n">
        <v>6</v>
      </c>
      <c r="I96" t="n">
        <v>3502422</v>
      </c>
      <c r="J96" t="n">
        <v>33</v>
      </c>
      <c r="K96" t="inlineStr">
        <is>
          <t>ERW1</t>
        </is>
      </c>
      <c r="L96" t="inlineStr">
        <is>
          <t>FIN CUT</t>
        </is>
      </c>
      <c r="M96">
        <f>VLOOKUP(I96,[1]!zmat[#All],2,0)</f>
        <v/>
      </c>
      <c r="N96">
        <f>VLOOKUP(I96,[1]!zmat[#All],21,0)</f>
        <v/>
      </c>
      <c r="O96" s="198">
        <f>VLOOKUP(I96,[1]!zmat[#All],22,0)</f>
        <v/>
      </c>
    </row>
    <row r="97">
      <c r="A97" t="inlineStr">
        <is>
          <t>0789</t>
        </is>
      </c>
      <c r="B97" t="inlineStr">
        <is>
          <t>RE</t>
        </is>
      </c>
      <c r="C97" t="n">
        <v>943211</v>
      </c>
      <c r="D97" t="n">
        <v>31.75</v>
      </c>
      <c r="E97" t="n">
        <v>0</v>
      </c>
      <c r="F97" t="n">
        <v>2.3</v>
      </c>
      <c r="G97" t="n">
        <v>5920</v>
      </c>
      <c r="H97" t="n">
        <v>5.92</v>
      </c>
      <c r="I97" t="inlineStr">
        <is>
          <t>MCR 42136</t>
        </is>
      </c>
      <c r="J97" t="n">
        <v>3</v>
      </c>
      <c r="K97" t="inlineStr">
        <is>
          <t>ERW1</t>
        </is>
      </c>
      <c r="L97" t="inlineStr">
        <is>
          <t>FIN CUT</t>
        </is>
      </c>
      <c r="M97">
        <f>VLOOKUP(I97,[1]!zmat[#All],2,0)</f>
        <v/>
      </c>
      <c r="N97">
        <f>VLOOKUP(I97,[1]!zmat[#All],21,0)</f>
        <v/>
      </c>
      <c r="O97" s="198">
        <f>VLOOKUP(I97,[1]!zmat[#All],22,0)</f>
        <v/>
      </c>
    </row>
    <row r="98">
      <c r="A98" t="inlineStr">
        <is>
          <t>0789</t>
        </is>
      </c>
      <c r="B98" t="inlineStr">
        <is>
          <t>RE</t>
        </is>
      </c>
      <c r="C98" t="n">
        <v>943211</v>
      </c>
      <c r="D98" t="n">
        <v>48</v>
      </c>
      <c r="E98" t="n">
        <v>0</v>
      </c>
      <c r="F98" t="n">
        <v>1.2</v>
      </c>
      <c r="G98" t="n">
        <v>620</v>
      </c>
      <c r="H98" t="n">
        <v>0.62</v>
      </c>
      <c r="I98" t="n">
        <v>2397072</v>
      </c>
      <c r="J98" t="n">
        <v>15</v>
      </c>
      <c r="K98" t="inlineStr">
        <is>
          <t>ERW1</t>
        </is>
      </c>
      <c r="L98" t="inlineStr">
        <is>
          <t>FIN CUT</t>
        </is>
      </c>
      <c r="M98">
        <f>VLOOKUP(I98,[1]!zmat[#All],2,0)</f>
        <v/>
      </c>
      <c r="N98">
        <f>VLOOKUP(I98,[1]!zmat[#All],21,0)</f>
        <v/>
      </c>
      <c r="O98" s="198">
        <f>VLOOKUP(I98,[1]!zmat[#All],22,0)</f>
        <v/>
      </c>
    </row>
    <row r="99">
      <c r="A99" t="inlineStr">
        <is>
          <t>0789</t>
        </is>
      </c>
      <c r="B99" t="inlineStr">
        <is>
          <t>RE</t>
        </is>
      </c>
      <c r="C99" t="n">
        <v>943211</v>
      </c>
      <c r="D99" t="n">
        <v>48</v>
      </c>
      <c r="E99" t="n">
        <v>0</v>
      </c>
      <c r="F99" t="n">
        <v>1.2</v>
      </c>
      <c r="G99" t="n">
        <v>650</v>
      </c>
      <c r="H99" t="n">
        <v>0.65</v>
      </c>
      <c r="I99" t="n">
        <v>2397060</v>
      </c>
      <c r="J99" t="n">
        <v>21</v>
      </c>
      <c r="K99" t="inlineStr">
        <is>
          <t>ERW1</t>
        </is>
      </c>
      <c r="L99" t="inlineStr">
        <is>
          <t>FIN CUT</t>
        </is>
      </c>
      <c r="M99">
        <f>VLOOKUP(I99,[1]!zmat[#All],2,0)</f>
        <v/>
      </c>
      <c r="N99">
        <f>VLOOKUP(I99,[1]!zmat[#All],21,0)</f>
        <v/>
      </c>
      <c r="O99" s="198">
        <f>VLOOKUP(I99,[1]!zmat[#All],22,0)</f>
        <v/>
      </c>
    </row>
    <row r="100">
      <c r="A100" t="inlineStr">
        <is>
          <t>0789</t>
        </is>
      </c>
      <c r="B100" t="inlineStr">
        <is>
          <t>RE</t>
        </is>
      </c>
      <c r="C100" t="n">
        <v>943211</v>
      </c>
      <c r="D100" t="inlineStr">
        <is>
          <t>59x30</t>
        </is>
      </c>
      <c r="E100" t="n">
        <v>0</v>
      </c>
      <c r="F100" t="n">
        <v>1.6</v>
      </c>
      <c r="G100" t="n">
        <v>572.5</v>
      </c>
      <c r="H100" t="n">
        <v>0.5725</v>
      </c>
      <c r="I100" t="n">
        <v>2420716</v>
      </c>
      <c r="J100" t="n">
        <v>45</v>
      </c>
      <c r="K100" t="inlineStr">
        <is>
          <t>ERW1</t>
        </is>
      </c>
      <c r="L100" t="inlineStr">
        <is>
          <t>FIN CUT</t>
        </is>
      </c>
      <c r="M100">
        <f>VLOOKUP(I100,[1]!zmat[#All],2,0)</f>
        <v/>
      </c>
      <c r="N100">
        <f>VLOOKUP(I100,[1]!zmat[#All],21,0)</f>
        <v/>
      </c>
      <c r="O100" s="198">
        <f>VLOOKUP(I100,[1]!zmat[#All],22,0)</f>
        <v/>
      </c>
    </row>
    <row r="101">
      <c r="A101" t="inlineStr">
        <is>
          <t>0789</t>
        </is>
      </c>
      <c r="B101" t="inlineStr">
        <is>
          <t>TVS</t>
        </is>
      </c>
      <c r="C101" t="n">
        <v>943209</v>
      </c>
      <c r="D101" t="n">
        <v>12.7</v>
      </c>
      <c r="E101" t="n">
        <v>0</v>
      </c>
      <c r="F101" t="n">
        <v>1.2</v>
      </c>
      <c r="G101" t="n">
        <v>6000</v>
      </c>
      <c r="H101" t="n">
        <v>6</v>
      </c>
      <c r="I101" t="n">
        <v>1939985</v>
      </c>
      <c r="J101" t="n">
        <v>10</v>
      </c>
      <c r="K101" t="inlineStr">
        <is>
          <t>ERW1</t>
        </is>
      </c>
      <c r="L101" t="inlineStr">
        <is>
          <t>NON FIN</t>
        </is>
      </c>
      <c r="M101">
        <f>VLOOKUP(I101,[1]!zmat[#All],2,0)</f>
        <v/>
      </c>
      <c r="N101">
        <f>VLOOKUP(I101,[1]!zmat[#All],21,0)</f>
        <v/>
      </c>
      <c r="O101" s="198">
        <f>VLOOKUP(I101,[1]!zmat[#All],22,0)</f>
        <v/>
      </c>
    </row>
    <row r="102">
      <c r="A102" t="inlineStr">
        <is>
          <t>0789</t>
        </is>
      </c>
      <c r="B102" t="inlineStr">
        <is>
          <t>TVS</t>
        </is>
      </c>
      <c r="C102" t="n">
        <v>943209</v>
      </c>
      <c r="D102" t="n">
        <v>18.2</v>
      </c>
      <c r="E102" t="n">
        <v>0</v>
      </c>
      <c r="F102" t="n">
        <v>1</v>
      </c>
      <c r="G102" t="n">
        <v>6000</v>
      </c>
      <c r="H102" t="n">
        <v>6</v>
      </c>
      <c r="I102" t="n">
        <v>2288945</v>
      </c>
      <c r="J102" t="n">
        <v>9.299999999999999</v>
      </c>
      <c r="K102" t="inlineStr">
        <is>
          <t>ERW1</t>
        </is>
      </c>
      <c r="L102" t="inlineStr">
        <is>
          <t>NON FIN</t>
        </is>
      </c>
      <c r="M102">
        <f>VLOOKUP(I102,[1]!zmat[#All],2,0)</f>
        <v/>
      </c>
      <c r="N102">
        <f>VLOOKUP(I102,[1]!zmat[#All],21,0)</f>
        <v/>
      </c>
      <c r="O102" s="198">
        <f>VLOOKUP(I102,[1]!zmat[#All],22,0)</f>
        <v/>
      </c>
    </row>
    <row r="103">
      <c r="A103" t="inlineStr">
        <is>
          <t>0789</t>
        </is>
      </c>
      <c r="B103" t="inlineStr">
        <is>
          <t>TVS</t>
        </is>
      </c>
      <c r="C103" t="n">
        <v>943209</v>
      </c>
      <c r="D103" t="n">
        <v>22.2</v>
      </c>
      <c r="E103" t="n">
        <v>0</v>
      </c>
      <c r="F103" t="n">
        <v>1.6</v>
      </c>
      <c r="G103" t="n">
        <v>5270</v>
      </c>
      <c r="H103" t="n">
        <v>5.27</v>
      </c>
      <c r="I103" t="n">
        <v>3575894</v>
      </c>
      <c r="J103" t="n">
        <v>60</v>
      </c>
      <c r="K103" t="inlineStr">
        <is>
          <t>ERW1</t>
        </is>
      </c>
      <c r="L103" t="inlineStr">
        <is>
          <t>NON FIN</t>
        </is>
      </c>
      <c r="M103">
        <f>VLOOKUP(I103,[1]!zmat[#All],2,0)</f>
        <v/>
      </c>
      <c r="N103">
        <f>VLOOKUP(I103,[1]!zmat[#All],21,0)</f>
        <v/>
      </c>
      <c r="O103" s="198">
        <f>VLOOKUP(I103,[1]!zmat[#All],22,0)</f>
        <v/>
      </c>
    </row>
    <row r="104">
      <c r="A104" t="inlineStr">
        <is>
          <t>0789</t>
        </is>
      </c>
      <c r="B104" t="inlineStr">
        <is>
          <t>TVS</t>
        </is>
      </c>
      <c r="C104" t="n">
        <v>943209</v>
      </c>
      <c r="D104" t="n">
        <v>22.2</v>
      </c>
      <c r="E104" t="n">
        <v>0</v>
      </c>
      <c r="F104" t="n">
        <v>1.6</v>
      </c>
      <c r="G104" t="n">
        <v>5670</v>
      </c>
      <c r="H104" t="n">
        <v>5.67</v>
      </c>
      <c r="I104" t="n">
        <v>3570690</v>
      </c>
      <c r="J104" t="n">
        <v>21.6</v>
      </c>
      <c r="K104" t="inlineStr">
        <is>
          <t>ERW1</t>
        </is>
      </c>
      <c r="L104" t="inlineStr">
        <is>
          <t>NON FIN</t>
        </is>
      </c>
      <c r="M104">
        <f>VLOOKUP(I104,[1]!zmat[#All],2,0)</f>
        <v/>
      </c>
      <c r="N104">
        <f>VLOOKUP(I104,[1]!zmat[#All],21,0)</f>
        <v/>
      </c>
      <c r="O104" s="198">
        <f>VLOOKUP(I104,[1]!zmat[#All],22,0)</f>
        <v/>
      </c>
    </row>
    <row r="105">
      <c r="A105" t="inlineStr">
        <is>
          <t>0789</t>
        </is>
      </c>
      <c r="B105" t="inlineStr">
        <is>
          <t>TVS</t>
        </is>
      </c>
      <c r="C105" t="n">
        <v>943209</v>
      </c>
      <c r="D105" t="n">
        <v>25.4</v>
      </c>
      <c r="E105" t="n">
        <v>0</v>
      </c>
      <c r="F105" t="n">
        <v>2</v>
      </c>
      <c r="G105" t="n">
        <v>6050</v>
      </c>
      <c r="H105" t="n">
        <v>6.05</v>
      </c>
      <c r="I105" t="n">
        <v>4055021</v>
      </c>
      <c r="J105" t="n">
        <v>10.5</v>
      </c>
      <c r="K105" t="inlineStr">
        <is>
          <t>ERW1</t>
        </is>
      </c>
      <c r="L105" t="inlineStr">
        <is>
          <t>NON FIN</t>
        </is>
      </c>
      <c r="M105">
        <f>VLOOKUP(I105,[1]!zmat[#All],2,0)</f>
        <v/>
      </c>
      <c r="N105">
        <f>VLOOKUP(I105,[1]!zmat[#All],21,0)</f>
        <v/>
      </c>
      <c r="O105" s="198">
        <f>VLOOKUP(I105,[1]!zmat[#All],22,0)</f>
        <v/>
      </c>
    </row>
    <row r="106">
      <c r="A106" t="inlineStr">
        <is>
          <t>0789</t>
        </is>
      </c>
      <c r="B106" t="inlineStr">
        <is>
          <t>TVS</t>
        </is>
      </c>
      <c r="C106" t="n">
        <v>943209</v>
      </c>
      <c r="D106" t="n">
        <v>41.28</v>
      </c>
      <c r="E106" t="n">
        <v>0</v>
      </c>
      <c r="F106" t="n">
        <v>2.6</v>
      </c>
      <c r="G106" t="n">
        <v>6000</v>
      </c>
      <c r="H106" t="n">
        <v>6</v>
      </c>
      <c r="I106" t="n">
        <v>3974563</v>
      </c>
      <c r="J106" t="n">
        <v>19.95</v>
      </c>
      <c r="K106" t="inlineStr">
        <is>
          <t>ERW1</t>
        </is>
      </c>
      <c r="L106" t="inlineStr">
        <is>
          <t>FIN CUT</t>
        </is>
      </c>
      <c r="M106">
        <f>VLOOKUP(I106,[1]!zmat[#All],2,0)</f>
        <v/>
      </c>
      <c r="N106">
        <f>VLOOKUP(I106,[1]!zmat[#All],21,0)</f>
        <v/>
      </c>
      <c r="O106" s="198">
        <f>VLOOKUP(I106,[1]!zmat[#All],22,0)</f>
        <v/>
      </c>
    </row>
    <row r="107">
      <c r="A107" t="inlineStr">
        <is>
          <t>0789</t>
        </is>
      </c>
      <c r="B107" t="inlineStr">
        <is>
          <t>TVS</t>
        </is>
      </c>
      <c r="C107" t="n">
        <v>943209</v>
      </c>
      <c r="D107" t="inlineStr">
        <is>
          <t>40x25</t>
        </is>
      </c>
      <c r="E107" t="n">
        <v>0</v>
      </c>
      <c r="F107" t="n">
        <v>1.6</v>
      </c>
      <c r="G107" t="n">
        <v>5900</v>
      </c>
      <c r="H107" t="n">
        <v>6.13</v>
      </c>
      <c r="I107" t="n">
        <v>3919144</v>
      </c>
      <c r="J107" t="n">
        <v>10</v>
      </c>
      <c r="K107" t="inlineStr">
        <is>
          <t>ERW1</t>
        </is>
      </c>
      <c r="L107" t="inlineStr">
        <is>
          <t>FIN CUT</t>
        </is>
      </c>
      <c r="M107">
        <f>VLOOKUP(I107,[1]!zmat[#All],2,0)</f>
        <v/>
      </c>
      <c r="N107">
        <f>VLOOKUP(I107,[1]!zmat[#All],21,0)</f>
        <v/>
      </c>
      <c r="O107" s="198">
        <f>VLOOKUP(I107,[1]!zmat[#All],22,0)</f>
        <v/>
      </c>
    </row>
    <row r="108">
      <c r="A108" t="inlineStr">
        <is>
          <t>0789</t>
        </is>
      </c>
      <c r="B108" t="inlineStr">
        <is>
          <t>TVS</t>
        </is>
      </c>
      <c r="C108" t="n">
        <v>943209</v>
      </c>
      <c r="D108" t="inlineStr">
        <is>
          <t>59x30</t>
        </is>
      </c>
      <c r="E108" t="n">
        <v>0</v>
      </c>
      <c r="F108" t="n">
        <v>1.6</v>
      </c>
      <c r="G108" t="n">
        <v>6000</v>
      </c>
      <c r="H108" t="n">
        <v>6</v>
      </c>
      <c r="I108" t="n">
        <v>1940925</v>
      </c>
      <c r="J108" t="n">
        <v>10</v>
      </c>
      <c r="K108" t="inlineStr">
        <is>
          <t>ERW1</t>
        </is>
      </c>
      <c r="L108" t="inlineStr">
        <is>
          <t>FIN CUT</t>
        </is>
      </c>
      <c r="M108">
        <f>VLOOKUP(I108,[1]!zmat[#All],2,0)</f>
        <v/>
      </c>
      <c r="N108">
        <f>VLOOKUP(I108,[1]!zmat[#All],21,0)</f>
        <v/>
      </c>
      <c r="O108" s="198">
        <f>VLOOKUP(I108,[1]!zmat[#All],22,0)</f>
        <v/>
      </c>
    </row>
  </sheetData>
  <conditionalFormatting sqref="L2:N68">
    <cfRule type="duplicateValues" priority="497" dxfId="0"/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 codeName="Sheet13">
    <tabColor rgb="FFFFC000"/>
    <outlinePr summaryBelow="1" summaryRight="1"/>
    <pageSetUpPr/>
  </sheetPr>
  <dimension ref="A1:K1827"/>
  <sheetViews>
    <sheetView workbookViewId="0">
      <selection activeCell="F1" sqref="F1"/>
    </sheetView>
  </sheetViews>
  <sheetFormatPr baseColWidth="8" defaultRowHeight="15"/>
  <cols>
    <col width="16.7109375" bestFit="1" customWidth="1" style="584" min="1" max="1"/>
    <col width="37.7109375" bestFit="1" customWidth="1" style="584" min="2" max="2"/>
    <col width="13.7109375" bestFit="1" customWidth="1" style="584" min="3" max="3"/>
    <col width="11" bestFit="1" customWidth="1" style="584" min="4" max="4"/>
    <col width="25.140625" bestFit="1" customWidth="1" style="584" min="5" max="5"/>
    <col width="21" bestFit="1" customWidth="1" style="584" min="6" max="6"/>
    <col width="31.140625" bestFit="1" customWidth="1" style="584" min="7" max="7"/>
    <col width="11" bestFit="1" customWidth="1" style="584" min="8" max="8"/>
    <col width="42.7109375" bestFit="1" customWidth="1" style="584" min="9" max="9"/>
    <col width="16.85546875" bestFit="1" customWidth="1" style="584" min="10" max="10"/>
    <col width="36.5703125" bestFit="1" customWidth="1" style="584" min="11" max="11"/>
    <col width="16.85546875" bestFit="1" customWidth="1" style="584" min="12" max="12"/>
  </cols>
  <sheetData>
    <row r="1">
      <c r="A1" t="inlineStr">
        <is>
          <t>CUSTOMER  CD</t>
        </is>
      </c>
      <c r="B1" t="inlineStr">
        <is>
          <t>CUSTOMER  NAME</t>
        </is>
      </c>
      <c r="C1" t="inlineStr">
        <is>
          <t>SALES  UNIT</t>
        </is>
      </c>
      <c r="D1" t="inlineStr">
        <is>
          <t>qty in no</t>
        </is>
      </c>
      <c r="E1" t="inlineStr">
        <is>
          <t>Domain for z_qty_meter</t>
        </is>
      </c>
      <c r="F1" t="inlineStr">
        <is>
          <t>MATERAIL NUMBER</t>
        </is>
      </c>
      <c r="G1" t="inlineStr">
        <is>
          <t>buckets.Bucket</t>
        </is>
      </c>
      <c r="H1" t="inlineStr">
        <is>
          <t>Quantity</t>
        </is>
      </c>
      <c r="I1" t="inlineStr">
        <is>
          <t>Material   Description</t>
        </is>
      </c>
      <c r="J1" t="inlineStr">
        <is>
          <t>OEM_Key.OEM</t>
        </is>
      </c>
      <c r="K1" t="inlineStr">
        <is>
          <t>buckets.CTL Bucket</t>
        </is>
      </c>
    </row>
    <row r="2">
      <c r="A2" t="inlineStr">
        <is>
          <t>0000187546</t>
        </is>
      </c>
      <c r="B2" t="inlineStr">
        <is>
          <t>Narasipur Auto Component(P)Ltd</t>
        </is>
      </c>
      <c r="C2" t="inlineStr">
        <is>
          <t>KG</t>
        </is>
      </c>
      <c r="D2" t="n">
        <v>158</v>
      </c>
      <c r="E2" t="n">
        <v>701.8049999999999</v>
      </c>
      <c r="F2" t="n">
        <v>3995629</v>
      </c>
      <c r="G2" t="inlineStr">
        <is>
          <t>29.4-20.4-4.5-CEW-CEW</t>
        </is>
      </c>
      <c r="H2" t="n">
        <v>1940</v>
      </c>
      <c r="I2" t="inlineStr">
        <is>
          <t>TUB-O-C-AUT-AD-FC-29.40X4.500X4.4400</t>
        </is>
      </c>
      <c r="J2" t="inlineStr">
        <is>
          <t>TVS</t>
        </is>
      </c>
      <c r="K2" t="inlineStr">
        <is>
          <t>29.4-20.4-4.5-CEW-CEW-1</t>
        </is>
      </c>
    </row>
    <row r="3">
      <c r="A3" t="inlineStr">
        <is>
          <t>0000187546</t>
        </is>
      </c>
      <c r="B3" t="inlineStr">
        <is>
          <t>Narasipur Auto Component(P)Ltd</t>
        </is>
      </c>
      <c r="C3" t="inlineStr">
        <is>
          <t>KG</t>
        </is>
      </c>
      <c r="D3" t="n">
        <v>152</v>
      </c>
      <c r="E3" t="n">
        <v>675.397</v>
      </c>
      <c r="F3" t="n">
        <v>3995629</v>
      </c>
      <c r="G3" t="inlineStr">
        <is>
          <t>29.4-20.4-4.5-CEW-CEW</t>
        </is>
      </c>
      <c r="H3" t="n">
        <v>1867</v>
      </c>
      <c r="I3" t="inlineStr">
        <is>
          <t>TUB-O-C-AUT-AD-FC-29.40X4.500X4.4400</t>
        </is>
      </c>
      <c r="J3" t="inlineStr">
        <is>
          <t>TVS</t>
        </is>
      </c>
      <c r="K3" t="inlineStr">
        <is>
          <t>29.4-20.4-4.5-CEW-CEW-1</t>
        </is>
      </c>
    </row>
    <row r="4">
      <c r="A4" t="inlineStr">
        <is>
          <t>0000187546</t>
        </is>
      </c>
      <c r="B4" t="inlineStr">
        <is>
          <t>Narasipur Auto Component(P)Ltd</t>
        </is>
      </c>
      <c r="C4" t="inlineStr">
        <is>
          <t>KG</t>
        </is>
      </c>
      <c r="D4" t="n">
        <v>157</v>
      </c>
      <c r="E4" t="n">
        <v>697.4640000000001</v>
      </c>
      <c r="F4" t="n">
        <v>3995629</v>
      </c>
      <c r="G4" t="inlineStr">
        <is>
          <t>29.4-20.4-4.5-CEW-CEW</t>
        </is>
      </c>
      <c r="H4" t="n">
        <v>1928</v>
      </c>
      <c r="I4" t="inlineStr">
        <is>
          <t>TUB-O-C-AUT-AD-FC-29.40X4.500X4.4400</t>
        </is>
      </c>
      <c r="J4" t="inlineStr">
        <is>
          <t>TVS</t>
        </is>
      </c>
      <c r="K4" t="inlineStr">
        <is>
          <t>29.4-20.4-4.5-CEW-CEW-1</t>
        </is>
      </c>
    </row>
    <row r="5">
      <c r="A5" t="inlineStr">
        <is>
          <t>0000187546</t>
        </is>
      </c>
      <c r="B5" t="inlineStr">
        <is>
          <t>Narasipur Auto Component(P)Ltd</t>
        </is>
      </c>
      <c r="C5" t="inlineStr">
        <is>
          <t>KG</t>
        </is>
      </c>
      <c r="D5" t="n">
        <v>148</v>
      </c>
      <c r="E5" t="n">
        <v>655.862</v>
      </c>
      <c r="F5" t="n">
        <v>3995629</v>
      </c>
      <c r="G5" t="inlineStr">
        <is>
          <t>29.4-20.4-4.5-CEW-CEW</t>
        </is>
      </c>
      <c r="H5" t="n">
        <v>1813</v>
      </c>
      <c r="I5" t="inlineStr">
        <is>
          <t>TUB-O-C-AUT-AD-FC-29.40X4.500X4.4400</t>
        </is>
      </c>
      <c r="J5" t="inlineStr">
        <is>
          <t>TVS</t>
        </is>
      </c>
      <c r="K5" t="inlineStr">
        <is>
          <t>29.4-20.4-4.5-CEW-CEW-1</t>
        </is>
      </c>
    </row>
    <row r="6">
      <c r="A6" t="inlineStr">
        <is>
          <t>0000187546</t>
        </is>
      </c>
      <c r="B6" t="inlineStr">
        <is>
          <t>Narasipur Auto Component(P)Ltd</t>
        </is>
      </c>
      <c r="C6" t="inlineStr">
        <is>
          <t>KG</t>
        </is>
      </c>
      <c r="D6" t="n">
        <v>169</v>
      </c>
      <c r="E6" t="n">
        <v>750.6420000000001</v>
      </c>
      <c r="F6" t="n">
        <v>3995629</v>
      </c>
      <c r="G6" t="inlineStr">
        <is>
          <t>29.4-20.4-4.5-CEW-CEW</t>
        </is>
      </c>
      <c r="H6" t="n">
        <v>2075</v>
      </c>
      <c r="I6" t="inlineStr">
        <is>
          <t>TUB-O-C-AUT-AD-FC-29.40X4.500X4.4400</t>
        </is>
      </c>
      <c r="J6" t="inlineStr">
        <is>
          <t>TVS</t>
        </is>
      </c>
      <c r="K6" t="inlineStr">
        <is>
          <t>29.4-20.4-4.5-CEW-CEW-1</t>
        </is>
      </c>
    </row>
    <row r="7">
      <c r="A7" t="inlineStr">
        <is>
          <t>0000944141</t>
        </is>
      </c>
      <c r="B7" t="inlineStr">
        <is>
          <t>SRIKAM HITECH ENGINEERING PRIVATE L</t>
        </is>
      </c>
      <c r="C7" t="inlineStr">
        <is>
          <t>NOS</t>
        </is>
      </c>
      <c r="D7" t="n">
        <v>23</v>
      </c>
      <c r="E7" t="n">
        <v>6.419</v>
      </c>
      <c r="F7" t="n">
        <v>1939963</v>
      </c>
      <c r="G7" t="inlineStr">
        <is>
          <t>12.7-0-1.2-ERW 1-PE</t>
        </is>
      </c>
      <c r="H7" t="n">
        <v>2.185</v>
      </c>
      <c r="I7" t="inlineStr">
        <is>
          <t>TUB-O-O-AUT-AW-PE-12.70X1.200X0.2780</t>
        </is>
      </c>
      <c r="J7" t="inlineStr">
        <is>
          <t>TVS</t>
        </is>
      </c>
      <c r="K7" t="inlineStr">
        <is>
          <t>12.7-0-1.2-ERW 1-PE-0.278</t>
        </is>
      </c>
    </row>
    <row r="8">
      <c r="A8" t="inlineStr">
        <is>
          <t>0000944141</t>
        </is>
      </c>
      <c r="B8" t="inlineStr">
        <is>
          <t>SRIKAM HITECH ENGINEERING PRIVATE L</t>
        </is>
      </c>
      <c r="C8" t="inlineStr">
        <is>
          <t>NOS</t>
        </is>
      </c>
      <c r="D8" t="n">
        <v>2589</v>
      </c>
      <c r="E8" t="n">
        <v>722.547</v>
      </c>
      <c r="F8" t="n">
        <v>1939963</v>
      </c>
      <c r="G8" t="inlineStr">
        <is>
          <t>12.7-0-1.2-ERW 1-PE</t>
        </is>
      </c>
      <c r="H8" t="n">
        <v>245.955</v>
      </c>
      <c r="I8" t="inlineStr">
        <is>
          <t>TUB-O-O-AUT-AW-PE-12.70X1.200X0.2780</t>
        </is>
      </c>
      <c r="J8" t="inlineStr">
        <is>
          <t>TVS</t>
        </is>
      </c>
      <c r="K8" t="inlineStr">
        <is>
          <t>12.7-0-1.2-ERW 1-PE-0.278</t>
        </is>
      </c>
    </row>
    <row r="9">
      <c r="A9" t="inlineStr">
        <is>
          <t>0000944141</t>
        </is>
      </c>
      <c r="B9" t="inlineStr">
        <is>
          <t>SRIKAM HITECH ENGINEERING PRIVATE L</t>
        </is>
      </c>
      <c r="C9" t="inlineStr">
        <is>
          <t>NOS</t>
        </is>
      </c>
      <c r="D9" t="n">
        <v>9088</v>
      </c>
      <c r="E9" t="n">
        <v>2536.31</v>
      </c>
      <c r="F9" t="n">
        <v>1939963</v>
      </c>
      <c r="G9" t="inlineStr">
        <is>
          <t>12.7-0-1.2-ERW 1-PE</t>
        </is>
      </c>
      <c r="H9" t="n">
        <v>863.36</v>
      </c>
      <c r="I9" t="inlineStr">
        <is>
          <t>TUB-O-O-AUT-AW-PE-12.70X1.200X0.2780</t>
        </is>
      </c>
      <c r="J9" t="inlineStr">
        <is>
          <t>TVS</t>
        </is>
      </c>
      <c r="K9" t="inlineStr">
        <is>
          <t>12.7-0-1.2-ERW 1-PE-0.278</t>
        </is>
      </c>
    </row>
    <row r="10">
      <c r="A10" t="inlineStr">
        <is>
          <t>0000944141</t>
        </is>
      </c>
      <c r="B10" t="inlineStr">
        <is>
          <t>SRIKAM HITECH ENGINEERING PRIVATE L</t>
        </is>
      </c>
      <c r="C10" t="inlineStr">
        <is>
          <t>NOS</t>
        </is>
      </c>
      <c r="D10" t="n">
        <v>3000</v>
      </c>
      <c r="E10" t="n">
        <v>837.25</v>
      </c>
      <c r="F10" t="n">
        <v>1939963</v>
      </c>
      <c r="G10" t="inlineStr">
        <is>
          <t>12.7-0-1.2-ERW 1-PE</t>
        </is>
      </c>
      <c r="H10" t="n">
        <v>285</v>
      </c>
      <c r="I10" t="inlineStr">
        <is>
          <t>TUB-O-O-AUT-AW-PE-12.70X1.200X0.2780</t>
        </is>
      </c>
      <c r="J10" t="inlineStr">
        <is>
          <t>TVS</t>
        </is>
      </c>
      <c r="K10" t="inlineStr">
        <is>
          <t>12.7-0-1.2-ERW 1-PE-0.278</t>
        </is>
      </c>
    </row>
    <row r="11">
      <c r="A11" t="inlineStr">
        <is>
          <t>0000944141</t>
        </is>
      </c>
      <c r="B11" t="inlineStr">
        <is>
          <t>SRIKAM HITECH ENGINEERING PRIVATE L</t>
        </is>
      </c>
      <c r="C11" t="inlineStr">
        <is>
          <t>NOS</t>
        </is>
      </c>
      <c r="D11" t="n">
        <v>8000</v>
      </c>
      <c r="E11" t="n">
        <v>2232.667</v>
      </c>
      <c r="F11" t="n">
        <v>1939963</v>
      </c>
      <c r="G11" t="inlineStr">
        <is>
          <t>12.7-0-1.2-ERW 1-PE</t>
        </is>
      </c>
      <c r="H11" t="n">
        <v>760</v>
      </c>
      <c r="I11" t="inlineStr">
        <is>
          <t>TUB-O-O-AUT-AW-PE-12.70X1.200X0.2780</t>
        </is>
      </c>
      <c r="J11" t="inlineStr">
        <is>
          <t>TVS</t>
        </is>
      </c>
      <c r="K11" t="inlineStr">
        <is>
          <t>12.7-0-1.2-ERW 1-PE-0.278</t>
        </is>
      </c>
    </row>
    <row r="12">
      <c r="A12" t="inlineStr">
        <is>
          <t>0000129663</t>
        </is>
      </c>
      <c r="B12" t="inlineStr">
        <is>
          <t>ELKAYEM AUTO ANCILLARIES (PVT) LTD.</t>
        </is>
      </c>
      <c r="C12" t="inlineStr">
        <is>
          <t>NOS</t>
        </is>
      </c>
      <c r="D12" t="n">
        <v>5194</v>
      </c>
      <c r="E12" t="n">
        <v>2120.934</v>
      </c>
      <c r="F12" t="n">
        <v>1939966</v>
      </c>
      <c r="G12" t="inlineStr">
        <is>
          <t>12.7-0-1.2-ERW 1-PE</t>
        </is>
      </c>
      <c r="H12" t="n">
        <v>721.966</v>
      </c>
      <c r="I12" t="inlineStr">
        <is>
          <t>TUB-O-O-AUT-AW-PE-12.70X1.200X0.4080</t>
        </is>
      </c>
      <c r="J12" t="inlineStr">
        <is>
          <t>TVS</t>
        </is>
      </c>
      <c r="K12" t="inlineStr">
        <is>
          <t>12.7-0-1.2-ERW 1-PE-0.408</t>
        </is>
      </c>
    </row>
    <row r="13">
      <c r="A13" t="inlineStr">
        <is>
          <t>0000129663</t>
        </is>
      </c>
      <c r="B13" t="inlineStr">
        <is>
          <t>ELKAYEM AUTO ANCILLARIES (PVT) LTD.</t>
        </is>
      </c>
      <c r="C13" t="inlineStr">
        <is>
          <t>NOS</t>
        </is>
      </c>
      <c r="D13" t="n">
        <v>2206</v>
      </c>
      <c r="E13" t="n">
        <v>900.8049999999999</v>
      </c>
      <c r="F13" t="n">
        <v>1939966</v>
      </c>
      <c r="G13" t="inlineStr">
        <is>
          <t>12.7-0-1.2-ERW 1-PE</t>
        </is>
      </c>
      <c r="H13" t="n">
        <v>306.634</v>
      </c>
      <c r="I13" t="inlineStr">
        <is>
          <t>TUB-O-O-AUT-AW-PE-12.70X1.200X0.4080</t>
        </is>
      </c>
      <c r="J13" t="inlineStr">
        <is>
          <t>TVS</t>
        </is>
      </c>
      <c r="K13" t="inlineStr">
        <is>
          <t>12.7-0-1.2-ERW 1-PE-0.408</t>
        </is>
      </c>
    </row>
    <row r="14">
      <c r="A14" t="inlineStr">
        <is>
          <t>0000129663</t>
        </is>
      </c>
      <c r="B14" t="inlineStr">
        <is>
          <t>ELKAYEM AUTO ANCILLARIES (PVT) LTD.</t>
        </is>
      </c>
      <c r="C14" t="inlineStr">
        <is>
          <t>NOS</t>
        </is>
      </c>
      <c r="D14" t="n">
        <v>2563</v>
      </c>
      <c r="E14" t="n">
        <v>1046.583</v>
      </c>
      <c r="F14" t="n">
        <v>1939966</v>
      </c>
      <c r="G14" t="inlineStr">
        <is>
          <t>12.7-0-1.2-ERW 1-PE</t>
        </is>
      </c>
      <c r="H14" t="n">
        <v>356.257</v>
      </c>
      <c r="I14" t="inlineStr">
        <is>
          <t>TUB-O-O-AUT-AW-PE-12.70X1.200X0.4080</t>
        </is>
      </c>
      <c r="J14" t="inlineStr">
        <is>
          <t>TVS</t>
        </is>
      </c>
      <c r="K14" t="inlineStr">
        <is>
          <t>12.7-0-1.2-ERW 1-PE-0.408</t>
        </is>
      </c>
    </row>
    <row r="15">
      <c r="A15" t="inlineStr">
        <is>
          <t>0000129663</t>
        </is>
      </c>
      <c r="B15" t="inlineStr">
        <is>
          <t>ELKAYEM AUTO ANCILLARIES (PVT) LTD.</t>
        </is>
      </c>
      <c r="C15" t="inlineStr">
        <is>
          <t>NOS</t>
        </is>
      </c>
      <c r="D15" t="n">
        <v>32</v>
      </c>
      <c r="E15" t="n">
        <v>13.067</v>
      </c>
      <c r="F15" t="n">
        <v>1939966</v>
      </c>
      <c r="G15" t="inlineStr">
        <is>
          <t>12.7-0-1.2-ERW 1-PE</t>
        </is>
      </c>
      <c r="H15" t="n">
        <v>4.448</v>
      </c>
      <c r="I15" t="inlineStr">
        <is>
          <t>TUB-O-O-AUT-AW-PE-12.70X1.200X0.4080</t>
        </is>
      </c>
      <c r="J15" t="inlineStr">
        <is>
          <t>TVS</t>
        </is>
      </c>
      <c r="K15" t="inlineStr">
        <is>
          <t>12.7-0-1.2-ERW 1-PE-0.408</t>
        </is>
      </c>
    </row>
    <row r="16">
      <c r="A16" t="inlineStr">
        <is>
          <t>0000129663</t>
        </is>
      </c>
      <c r="B16" t="inlineStr">
        <is>
          <t>ELKAYEM AUTO ANCILLARIES (PVT) LTD.</t>
        </is>
      </c>
      <c r="C16" t="inlineStr">
        <is>
          <t>NOS</t>
        </is>
      </c>
      <c r="D16" t="n">
        <v>2005</v>
      </c>
      <c r="E16" t="n">
        <v>818.728</v>
      </c>
      <c r="F16" t="n">
        <v>1939966</v>
      </c>
      <c r="G16" t="inlineStr">
        <is>
          <t>12.7-0-1.2-ERW 1-PE</t>
        </is>
      </c>
      <c r="H16" t="n">
        <v>278.695</v>
      </c>
      <c r="I16" t="inlineStr">
        <is>
          <t>TUB-O-O-AUT-AW-PE-12.70X1.200X0.4080</t>
        </is>
      </c>
      <c r="J16" t="inlineStr">
        <is>
          <t>TVS</t>
        </is>
      </c>
      <c r="K16" t="inlineStr">
        <is>
          <t>12.7-0-1.2-ERW 1-PE-0.408</t>
        </is>
      </c>
    </row>
    <row r="17">
      <c r="A17" t="inlineStr">
        <is>
          <t>0000129663</t>
        </is>
      </c>
      <c r="B17" t="inlineStr">
        <is>
          <t>ELKAYEM AUTO ANCILLARIES (PVT) LTD.</t>
        </is>
      </c>
      <c r="C17" t="inlineStr">
        <is>
          <t>NOS</t>
        </is>
      </c>
      <c r="D17" t="n">
        <v>196</v>
      </c>
      <c r="E17" t="n">
        <v>80.035</v>
      </c>
      <c r="F17" t="n">
        <v>1939966</v>
      </c>
      <c r="G17" t="inlineStr">
        <is>
          <t>12.7-0-1.2-ERW 1-PE</t>
        </is>
      </c>
      <c r="H17" t="n">
        <v>27.244</v>
      </c>
      <c r="I17" t="inlineStr">
        <is>
          <t>TUB-O-O-AUT-AW-PE-12.70X1.200X0.4080</t>
        </is>
      </c>
      <c r="J17" t="inlineStr">
        <is>
          <t>TVS</t>
        </is>
      </c>
      <c r="K17" t="inlineStr">
        <is>
          <t>12.7-0-1.2-ERW 1-PE-0.408</t>
        </is>
      </c>
    </row>
    <row r="18">
      <c r="A18" t="inlineStr">
        <is>
          <t>0000129663</t>
        </is>
      </c>
      <c r="B18" t="inlineStr">
        <is>
          <t>ELKAYEM AUTO ANCILLARIES (PVT) LTD.</t>
        </is>
      </c>
      <c r="C18" t="inlineStr">
        <is>
          <t>NOS</t>
        </is>
      </c>
      <c r="D18" t="n">
        <v>1985</v>
      </c>
      <c r="E18" t="n">
        <v>810.561</v>
      </c>
      <c r="F18" t="n">
        <v>1939966</v>
      </c>
      <c r="G18" t="inlineStr">
        <is>
          <t>12.7-0-1.2-ERW 1-PE</t>
        </is>
      </c>
      <c r="H18" t="n">
        <v>275.915</v>
      </c>
      <c r="I18" t="inlineStr">
        <is>
          <t>TUB-O-O-AUT-AW-PE-12.70X1.200X0.4080</t>
        </is>
      </c>
      <c r="J18" t="inlineStr">
        <is>
          <t>TVS</t>
        </is>
      </c>
      <c r="K18" t="inlineStr">
        <is>
          <t>12.7-0-1.2-ERW 1-PE-0.408</t>
        </is>
      </c>
    </row>
    <row r="19">
      <c r="A19" t="inlineStr">
        <is>
          <t>0000129663</t>
        </is>
      </c>
      <c r="B19" t="inlineStr">
        <is>
          <t>ELKAYEM AUTO ANCILLARIES (PVT) LTD.</t>
        </is>
      </c>
      <c r="C19" t="inlineStr">
        <is>
          <t>NOS</t>
        </is>
      </c>
      <c r="D19" t="n">
        <v>7219</v>
      </c>
      <c r="E19" t="n">
        <v>2947.829</v>
      </c>
      <c r="F19" t="n">
        <v>1939966</v>
      </c>
      <c r="G19" t="inlineStr">
        <is>
          <t>12.7-0-1.2-ERW 1-PE</t>
        </is>
      </c>
      <c r="H19" t="n">
        <v>1003.441</v>
      </c>
      <c r="I19" t="inlineStr">
        <is>
          <t>TUB-O-O-AUT-AW-PE-12.70X1.200X0.4080</t>
        </is>
      </c>
      <c r="J19" t="inlineStr">
        <is>
          <t>TVS</t>
        </is>
      </c>
      <c r="K19" t="inlineStr">
        <is>
          <t>12.7-0-1.2-ERW 1-PE-0.408</t>
        </is>
      </c>
    </row>
    <row r="20">
      <c r="A20" t="inlineStr">
        <is>
          <t>0000187546</t>
        </is>
      </c>
      <c r="B20" t="inlineStr">
        <is>
          <t>Narasipur Auto Component(P)Ltd</t>
        </is>
      </c>
      <c r="C20" t="inlineStr">
        <is>
          <t>KG</t>
        </is>
      </c>
      <c r="D20" t="n">
        <v>143</v>
      </c>
      <c r="E20" t="n">
        <v>799.577</v>
      </c>
      <c r="F20" t="n">
        <v>3770392</v>
      </c>
      <c r="G20" t="inlineStr">
        <is>
          <t>25.4-18.4-3.5-CEW-CEW</t>
        </is>
      </c>
      <c r="H20" t="n">
        <v>1512</v>
      </c>
      <c r="I20" t="inlineStr">
        <is>
          <t>TUB-O-C-AUT-AD-FC-25.40X3.500X5.6000</t>
        </is>
      </c>
      <c r="J20" t="inlineStr">
        <is>
          <t>TVS</t>
        </is>
      </c>
      <c r="K20" t="inlineStr">
        <is>
          <t>25.4-18.4-3.5-CEW-CEW-1</t>
        </is>
      </c>
    </row>
    <row r="21">
      <c r="A21" t="inlineStr">
        <is>
          <t>0000187546</t>
        </is>
      </c>
      <c r="B21" t="inlineStr">
        <is>
          <t>Narasipur Auto Component(P)Ltd</t>
        </is>
      </c>
      <c r="C21" t="inlineStr">
        <is>
          <t>KG</t>
        </is>
      </c>
      <c r="D21" t="n">
        <v>153</v>
      </c>
      <c r="E21" t="n">
        <v>858.276</v>
      </c>
      <c r="F21" t="n">
        <v>3770392</v>
      </c>
      <c r="G21" t="inlineStr">
        <is>
          <t>25.4-18.4-3.5-CEW-CEW</t>
        </is>
      </c>
      <c r="H21" t="n">
        <v>1623</v>
      </c>
      <c r="I21" t="inlineStr">
        <is>
          <t>TUB-O-C-AUT-AD-FC-25.40X3.500X5.6000</t>
        </is>
      </c>
      <c r="J21" t="inlineStr">
        <is>
          <t>TVS</t>
        </is>
      </c>
      <c r="K21" t="inlineStr">
        <is>
          <t>25.4-18.4-3.5-CEW-CEW-1</t>
        </is>
      </c>
    </row>
    <row r="22">
      <c r="A22" t="inlineStr">
        <is>
          <t>0000187546</t>
        </is>
      </c>
      <c r="B22" t="inlineStr">
        <is>
          <t>Narasipur Auto Component(P)Ltd</t>
        </is>
      </c>
      <c r="C22" t="inlineStr">
        <is>
          <t>KG</t>
        </is>
      </c>
      <c r="D22" t="n">
        <v>153</v>
      </c>
      <c r="E22" t="n">
        <v>858.276</v>
      </c>
      <c r="F22" t="n">
        <v>3770392</v>
      </c>
      <c r="G22" t="inlineStr">
        <is>
          <t>25.4-18.4-3.5-CEW-CEW</t>
        </is>
      </c>
      <c r="H22" t="n">
        <v>1623</v>
      </c>
      <c r="I22" t="inlineStr">
        <is>
          <t>TUB-O-C-AUT-AD-FC-25.40X3.500X5.6000</t>
        </is>
      </c>
      <c r="J22" t="inlineStr">
        <is>
          <t>TVS</t>
        </is>
      </c>
      <c r="K22" t="inlineStr">
        <is>
          <t>25.4-18.4-3.5-CEW-CEW-1</t>
        </is>
      </c>
    </row>
    <row r="23">
      <c r="A23" t="inlineStr">
        <is>
          <t>0000187546</t>
        </is>
      </c>
      <c r="B23" t="inlineStr">
        <is>
          <t>Narasipur Auto Component(P)Ltd</t>
        </is>
      </c>
      <c r="C23" t="inlineStr">
        <is>
          <t>KG</t>
        </is>
      </c>
      <c r="D23" t="n">
        <v>153</v>
      </c>
      <c r="E23" t="n">
        <v>858.276</v>
      </c>
      <c r="F23" t="n">
        <v>3770392</v>
      </c>
      <c r="G23" t="inlineStr">
        <is>
          <t>25.4-18.4-3.5-CEW-CEW</t>
        </is>
      </c>
      <c r="H23" t="n">
        <v>1623</v>
      </c>
      <c r="I23" t="inlineStr">
        <is>
          <t>TUB-O-C-AUT-AD-FC-25.40X3.500X5.6000</t>
        </is>
      </c>
      <c r="J23" t="inlineStr">
        <is>
          <t>TVS</t>
        </is>
      </c>
      <c r="K23" t="inlineStr">
        <is>
          <t>25.4-18.4-3.5-CEW-CEW-1</t>
        </is>
      </c>
    </row>
    <row r="24">
      <c r="A24" t="inlineStr">
        <is>
          <t>0000187546</t>
        </is>
      </c>
      <c r="B24" t="inlineStr">
        <is>
          <t>Narasipur Auto Component(P)Ltd</t>
        </is>
      </c>
      <c r="C24" t="inlineStr">
        <is>
          <t>KG</t>
        </is>
      </c>
      <c r="D24" t="n">
        <v>153</v>
      </c>
      <c r="E24" t="n">
        <v>858.276</v>
      </c>
      <c r="F24" t="n">
        <v>3770392</v>
      </c>
      <c r="G24" t="inlineStr">
        <is>
          <t>25.4-18.4-3.5-CEW-CEW</t>
        </is>
      </c>
      <c r="H24" t="n">
        <v>1623</v>
      </c>
      <c r="I24" t="inlineStr">
        <is>
          <t>TUB-O-C-AUT-AD-FC-25.40X3.500X5.6000</t>
        </is>
      </c>
      <c r="J24" t="inlineStr">
        <is>
          <t>TVS</t>
        </is>
      </c>
      <c r="K24" t="inlineStr">
        <is>
          <t>25.4-18.4-3.5-CEW-CEW-1</t>
        </is>
      </c>
    </row>
    <row r="25">
      <c r="A25" t="inlineStr">
        <is>
          <t>0000187546</t>
        </is>
      </c>
      <c r="B25" t="inlineStr">
        <is>
          <t>Narasipur Auto Component(P)Ltd</t>
        </is>
      </c>
      <c r="C25" t="inlineStr">
        <is>
          <t>KG</t>
        </is>
      </c>
      <c r="D25" t="n">
        <v>153</v>
      </c>
      <c r="E25" t="n">
        <v>858.276</v>
      </c>
      <c r="F25" t="n">
        <v>3770392</v>
      </c>
      <c r="G25" t="inlineStr">
        <is>
          <t>25.4-18.4-3.5-CEW-CEW</t>
        </is>
      </c>
      <c r="H25" t="n">
        <v>1623</v>
      </c>
      <c r="I25" t="inlineStr">
        <is>
          <t>TUB-O-C-AUT-AD-FC-25.40X3.500X5.6000</t>
        </is>
      </c>
      <c r="J25" t="inlineStr">
        <is>
          <t>TVS</t>
        </is>
      </c>
      <c r="K25" t="inlineStr">
        <is>
          <t>25.4-18.4-3.5-CEW-CEW-1</t>
        </is>
      </c>
    </row>
    <row r="26">
      <c r="A26" t="inlineStr">
        <is>
          <t>0000187546</t>
        </is>
      </c>
      <c r="B26" t="inlineStr">
        <is>
          <t>Narasipur Auto Component(P)Ltd</t>
        </is>
      </c>
      <c r="C26" t="inlineStr">
        <is>
          <t>KG</t>
        </is>
      </c>
      <c r="D26" t="n">
        <v>261</v>
      </c>
      <c r="E26" t="n">
        <v>1462.718</v>
      </c>
      <c r="F26" t="n">
        <v>3770392</v>
      </c>
      <c r="G26" t="inlineStr">
        <is>
          <t>25.4-18.4-3.5-CEW-CEW</t>
        </is>
      </c>
      <c r="H26" t="n">
        <v>2766</v>
      </c>
      <c r="I26" t="inlineStr">
        <is>
          <t>TUB-O-C-AUT-AD-FC-25.40X3.500X5.6000</t>
        </is>
      </c>
      <c r="J26" t="inlineStr">
        <is>
          <t>TVS</t>
        </is>
      </c>
      <c r="K26" t="inlineStr">
        <is>
          <t>25.4-18.4-3.5-CEW-CEW-1</t>
        </is>
      </c>
    </row>
    <row r="27">
      <c r="A27" t="inlineStr">
        <is>
          <t>0000187546</t>
        </is>
      </c>
      <c r="B27" t="inlineStr">
        <is>
          <t>Narasipur Auto Component(P)Ltd</t>
        </is>
      </c>
      <c r="C27" t="inlineStr">
        <is>
          <t>KG</t>
        </is>
      </c>
      <c r="D27" t="n">
        <v>281</v>
      </c>
      <c r="E27" t="n">
        <v>1574.299</v>
      </c>
      <c r="F27" t="n">
        <v>3770392</v>
      </c>
      <c r="G27" t="inlineStr">
        <is>
          <t>25.4-18.4-3.5-CEW-CEW</t>
        </is>
      </c>
      <c r="H27" t="n">
        <v>2977</v>
      </c>
      <c r="I27" t="inlineStr">
        <is>
          <t>TUB-O-C-AUT-AD-FC-25.40X3.500X5.6000</t>
        </is>
      </c>
      <c r="J27" t="inlineStr">
        <is>
          <t>TVS</t>
        </is>
      </c>
      <c r="K27" t="inlineStr">
        <is>
          <t>25.4-18.4-3.5-CEW-CEW-1</t>
        </is>
      </c>
    </row>
    <row r="28">
      <c r="A28" t="inlineStr">
        <is>
          <t>0000187546</t>
        </is>
      </c>
      <c r="B28" t="inlineStr">
        <is>
          <t>Narasipur Auto Component(P)Ltd</t>
        </is>
      </c>
      <c r="C28" t="inlineStr">
        <is>
          <t>KG</t>
        </is>
      </c>
      <c r="D28" t="n">
        <v>213</v>
      </c>
      <c r="E28" t="n">
        <v>1194.606</v>
      </c>
      <c r="F28" t="n">
        <v>3770392</v>
      </c>
      <c r="G28" t="inlineStr">
        <is>
          <t>25.4-18.4-3.5-CEW-CEW</t>
        </is>
      </c>
      <c r="H28" t="n">
        <v>2259</v>
      </c>
      <c r="I28" t="inlineStr">
        <is>
          <t>TUB-O-C-AUT-AD-FC-25.40X3.500X5.6000</t>
        </is>
      </c>
      <c r="J28" t="inlineStr">
        <is>
          <t>TVS</t>
        </is>
      </c>
      <c r="K28" t="inlineStr">
        <is>
          <t>25.4-18.4-3.5-CEW-CEW-1</t>
        </is>
      </c>
    </row>
    <row r="29">
      <c r="A29" t="inlineStr">
        <is>
          <t>0000187546</t>
        </is>
      </c>
      <c r="B29" t="inlineStr">
        <is>
          <t>Narasipur Auto Component(P)Ltd</t>
        </is>
      </c>
      <c r="C29" t="inlineStr">
        <is>
          <t>KG</t>
        </is>
      </c>
      <c r="D29" t="n">
        <v>73</v>
      </c>
      <c r="E29" t="n">
        <v>411.423</v>
      </c>
      <c r="F29" t="n">
        <v>3770392</v>
      </c>
      <c r="G29" t="inlineStr">
        <is>
          <t>25.4-18.4-3.5-CEW-CEW</t>
        </is>
      </c>
      <c r="H29" t="n">
        <v>778</v>
      </c>
      <c r="I29" t="inlineStr">
        <is>
          <t>TUB-O-C-AUT-AD-FC-25.40X3.500X5.6000</t>
        </is>
      </c>
      <c r="J29" t="inlineStr">
        <is>
          <t>TVS</t>
        </is>
      </c>
      <c r="K29" t="inlineStr">
        <is>
          <t>25.4-18.4-3.5-CEW-CEW-1</t>
        </is>
      </c>
    </row>
    <row r="30">
      <c r="A30" t="inlineStr">
        <is>
          <t>0000187546</t>
        </is>
      </c>
      <c r="B30" t="inlineStr">
        <is>
          <t>Narasipur Auto Component(P)Ltd</t>
        </is>
      </c>
      <c r="C30" t="inlineStr">
        <is>
          <t>KG</t>
        </is>
      </c>
      <c r="D30" t="n">
        <v>122</v>
      </c>
      <c r="E30" t="n">
        <v>682.179</v>
      </c>
      <c r="F30" t="n">
        <v>3770392</v>
      </c>
      <c r="G30" t="inlineStr">
        <is>
          <t>25.4-18.4-3.5-CEW-CEW</t>
        </is>
      </c>
      <c r="H30" t="n">
        <v>1290</v>
      </c>
      <c r="I30" t="inlineStr">
        <is>
          <t>TUB-O-C-AUT-AD-FC-25.40X3.500X5.6000</t>
        </is>
      </c>
      <c r="J30" t="inlineStr">
        <is>
          <t>TVS</t>
        </is>
      </c>
      <c r="K30" t="inlineStr">
        <is>
          <t>25.4-18.4-3.5-CEW-CEW-1</t>
        </is>
      </c>
    </row>
    <row r="31">
      <c r="A31" t="inlineStr">
        <is>
          <t>0000187546</t>
        </is>
      </c>
      <c r="B31" t="inlineStr">
        <is>
          <t>Narasipur Auto Component(P)Ltd</t>
        </is>
      </c>
      <c r="C31" t="inlineStr">
        <is>
          <t>KG</t>
        </is>
      </c>
      <c r="D31" t="n">
        <v>25</v>
      </c>
      <c r="E31" t="n">
        <v>137.783</v>
      </c>
      <c r="F31" t="n">
        <v>3770392</v>
      </c>
      <c r="G31" t="inlineStr">
        <is>
          <t>25.4-18.4-3.5-CEW-CEW</t>
        </is>
      </c>
      <c r="H31" t="n">
        <v>260.548</v>
      </c>
      <c r="I31" t="inlineStr">
        <is>
          <t>TUB-O-C-AUT-AD-FC-25.40X3.500X5.6000</t>
        </is>
      </c>
      <c r="J31" t="inlineStr">
        <is>
          <t>TVS</t>
        </is>
      </c>
      <c r="K31" t="inlineStr">
        <is>
          <t>25.4-18.4-3.5-CEW-CEW-1</t>
        </is>
      </c>
    </row>
    <row r="32">
      <c r="A32" t="inlineStr">
        <is>
          <t>0000187546</t>
        </is>
      </c>
      <c r="B32" t="inlineStr">
        <is>
          <t>Narasipur Auto Component(P)Ltd</t>
        </is>
      </c>
      <c r="C32" t="inlineStr">
        <is>
          <t>KG</t>
        </is>
      </c>
      <c r="D32" t="n">
        <v>47</v>
      </c>
      <c r="E32" t="n">
        <v>264.939</v>
      </c>
      <c r="F32" t="n">
        <v>3770392</v>
      </c>
      <c r="G32" t="inlineStr">
        <is>
          <t>25.4-18.4-3.5-CEW-CEW</t>
        </is>
      </c>
      <c r="H32" t="n">
        <v>501</v>
      </c>
      <c r="I32" t="inlineStr">
        <is>
          <t>TUB-O-C-AUT-AD-FC-25.40X3.500X5.6000</t>
        </is>
      </c>
      <c r="J32" t="inlineStr">
        <is>
          <t>TVS</t>
        </is>
      </c>
      <c r="K32" t="inlineStr">
        <is>
          <t>25.4-18.4-3.5-CEW-CEW-1</t>
        </is>
      </c>
    </row>
    <row r="33">
      <c r="A33" t="inlineStr">
        <is>
          <t>0000187546</t>
        </is>
      </c>
      <c r="B33" t="inlineStr">
        <is>
          <t>Narasipur Auto Component(P)Ltd</t>
        </is>
      </c>
      <c r="C33" t="inlineStr">
        <is>
          <t>KG</t>
        </is>
      </c>
      <c r="D33" t="n">
        <v>47</v>
      </c>
      <c r="E33" t="n">
        <v>262.824</v>
      </c>
      <c r="F33" t="n">
        <v>3770392</v>
      </c>
      <c r="G33" t="inlineStr">
        <is>
          <t>25.4-18.4-3.5-CEW-CEW</t>
        </is>
      </c>
      <c r="H33" t="n">
        <v>497</v>
      </c>
      <c r="I33" t="inlineStr">
        <is>
          <t>TUB-O-C-AUT-AD-FC-25.40X3.500X5.6000</t>
        </is>
      </c>
      <c r="J33" t="inlineStr">
        <is>
          <t>TVS</t>
        </is>
      </c>
      <c r="K33" t="inlineStr">
        <is>
          <t>25.4-18.4-3.5-CEW-CEW-1</t>
        </is>
      </c>
    </row>
    <row r="34">
      <c r="A34" t="inlineStr">
        <is>
          <t>0000187546</t>
        </is>
      </c>
      <c r="B34" t="inlineStr">
        <is>
          <t>Narasipur Auto Component(P)Ltd</t>
        </is>
      </c>
      <c r="C34" t="inlineStr">
        <is>
          <t>KG</t>
        </is>
      </c>
      <c r="D34" t="n">
        <v>19</v>
      </c>
      <c r="E34" t="n">
        <v>107.879</v>
      </c>
      <c r="F34" t="n">
        <v>3770392</v>
      </c>
      <c r="G34" t="inlineStr">
        <is>
          <t>25.4-18.4-3.5-CEW-CEW</t>
        </is>
      </c>
      <c r="H34" t="n">
        <v>204</v>
      </c>
      <c r="I34" t="inlineStr">
        <is>
          <t>TUB-O-C-AUT-AD-FC-25.40X3.500X5.6000</t>
        </is>
      </c>
      <c r="J34" t="inlineStr">
        <is>
          <t>TVS</t>
        </is>
      </c>
      <c r="K34" t="inlineStr">
        <is>
          <t>25.4-18.4-3.5-CEW-CEW-1</t>
        </is>
      </c>
    </row>
    <row r="35">
      <c r="A35" t="inlineStr">
        <is>
          <t>0000187546</t>
        </is>
      </c>
      <c r="B35" t="inlineStr">
        <is>
          <t>Narasipur Auto Component(P)Ltd</t>
        </is>
      </c>
      <c r="C35" t="inlineStr">
        <is>
          <t>KG</t>
        </is>
      </c>
      <c r="D35" t="n">
        <v>71</v>
      </c>
      <c r="E35" t="n">
        <v>397.673</v>
      </c>
      <c r="F35" t="n">
        <v>3770392</v>
      </c>
      <c r="G35" t="inlineStr">
        <is>
          <t>25.4-18.4-3.5-CEW-CEW</t>
        </is>
      </c>
      <c r="H35" t="n">
        <v>752</v>
      </c>
      <c r="I35" t="inlineStr">
        <is>
          <t>TUB-O-C-AUT-AD-FC-25.40X3.500X5.6000</t>
        </is>
      </c>
      <c r="J35" t="inlineStr">
        <is>
          <t>TVS</t>
        </is>
      </c>
      <c r="K35" t="inlineStr">
        <is>
          <t>25.4-18.4-3.5-CEW-CEW-1</t>
        </is>
      </c>
    </row>
    <row r="36">
      <c r="A36" t="inlineStr">
        <is>
          <t>0000187546</t>
        </is>
      </c>
      <c r="B36" t="inlineStr">
        <is>
          <t>Narasipur Auto Component(P)Ltd</t>
        </is>
      </c>
      <c r="C36" t="inlineStr">
        <is>
          <t>KG</t>
        </is>
      </c>
      <c r="D36" t="n">
        <v>55</v>
      </c>
      <c r="E36" t="n">
        <v>307.774</v>
      </c>
      <c r="F36" t="n">
        <v>3770392</v>
      </c>
      <c r="G36" t="inlineStr">
        <is>
          <t>25.4-18.4-3.5-CEW-CEW</t>
        </is>
      </c>
      <c r="H36" t="n">
        <v>582</v>
      </c>
      <c r="I36" t="inlineStr">
        <is>
          <t>TUB-O-C-AUT-AD-FC-25.40X3.500X5.6000</t>
        </is>
      </c>
      <c r="J36" t="inlineStr">
        <is>
          <t>TVS</t>
        </is>
      </c>
      <c r="K36" t="inlineStr">
        <is>
          <t>25.4-18.4-3.5-CEW-CEW-1</t>
        </is>
      </c>
    </row>
    <row r="37">
      <c r="A37" t="inlineStr">
        <is>
          <t>0000187546</t>
        </is>
      </c>
      <c r="B37" t="inlineStr">
        <is>
          <t>Narasipur Auto Component(P)Ltd</t>
        </is>
      </c>
      <c r="C37" t="inlineStr">
        <is>
          <t>KG</t>
        </is>
      </c>
      <c r="D37" t="n">
        <v>138</v>
      </c>
      <c r="E37" t="n">
        <v>774.194</v>
      </c>
      <c r="F37" t="n">
        <v>3770392</v>
      </c>
      <c r="G37" t="inlineStr">
        <is>
          <t>25.4-18.4-3.5-CEW-CEW</t>
        </is>
      </c>
      <c r="H37" t="n">
        <v>1464</v>
      </c>
      <c r="I37" t="inlineStr">
        <is>
          <t>TUB-O-C-AUT-AD-FC-25.40X3.500X5.6000</t>
        </is>
      </c>
      <c r="J37" t="inlineStr">
        <is>
          <t>TVS</t>
        </is>
      </c>
      <c r="K37" t="inlineStr">
        <is>
          <t>25.4-18.4-3.5-CEW-CEW-1</t>
        </is>
      </c>
    </row>
    <row r="38">
      <c r="A38" t="inlineStr">
        <is>
          <t>0000187546</t>
        </is>
      </c>
      <c r="B38" t="inlineStr">
        <is>
          <t>Narasipur Auto Component(P)Ltd</t>
        </is>
      </c>
      <c r="C38" t="inlineStr">
        <is>
          <t>KG</t>
        </is>
      </c>
      <c r="D38" t="n">
        <v>125</v>
      </c>
      <c r="E38" t="n">
        <v>701.745</v>
      </c>
      <c r="F38" t="n">
        <v>3770392</v>
      </c>
      <c r="G38" t="inlineStr">
        <is>
          <t>25.4-18.4-3.5-CEW-CEW</t>
        </is>
      </c>
      <c r="H38" t="n">
        <v>1327</v>
      </c>
      <c r="I38" t="inlineStr">
        <is>
          <t>TUB-O-C-AUT-AD-FC-25.40X3.500X5.6000</t>
        </is>
      </c>
      <c r="J38" t="inlineStr">
        <is>
          <t>TVS</t>
        </is>
      </c>
      <c r="K38" t="inlineStr">
        <is>
          <t>25.4-18.4-3.5-CEW-CEW-1</t>
        </is>
      </c>
    </row>
    <row r="39">
      <c r="A39" t="inlineStr">
        <is>
          <t>0000187546</t>
        </is>
      </c>
      <c r="B39" t="inlineStr">
        <is>
          <t>Narasipur Auto Component(P)Ltd</t>
        </is>
      </c>
      <c r="C39" t="inlineStr">
        <is>
          <t>KG</t>
        </is>
      </c>
      <c r="D39" t="n">
        <v>139</v>
      </c>
      <c r="E39" t="n">
        <v>780.011</v>
      </c>
      <c r="F39" t="n">
        <v>3770392</v>
      </c>
      <c r="G39" t="inlineStr">
        <is>
          <t>25.4-18.4-3.5-CEW-CEW</t>
        </is>
      </c>
      <c r="H39" t="n">
        <v>1475</v>
      </c>
      <c r="I39" t="inlineStr">
        <is>
          <t>TUB-O-C-AUT-AD-FC-25.40X3.500X5.6000</t>
        </is>
      </c>
      <c r="J39" t="inlineStr">
        <is>
          <t>TVS</t>
        </is>
      </c>
      <c r="K39" t="inlineStr">
        <is>
          <t>25.4-18.4-3.5-CEW-CEW-1</t>
        </is>
      </c>
    </row>
    <row r="40">
      <c r="A40" t="inlineStr">
        <is>
          <t>0000187546</t>
        </is>
      </c>
      <c r="B40" t="inlineStr">
        <is>
          <t>Narasipur Auto Component(P)Ltd</t>
        </is>
      </c>
      <c r="C40" t="inlineStr">
        <is>
          <t>KG</t>
        </is>
      </c>
      <c r="D40" t="n">
        <v>157</v>
      </c>
      <c r="E40" t="n">
        <v>880.487</v>
      </c>
      <c r="F40" t="n">
        <v>3770392</v>
      </c>
      <c r="G40" t="inlineStr">
        <is>
          <t>25.4-18.4-3.5-CEW-CEW</t>
        </is>
      </c>
      <c r="H40" t="n">
        <v>1665</v>
      </c>
      <c r="I40" t="inlineStr">
        <is>
          <t>TUB-O-C-AUT-AD-FC-25.40X3.500X5.6000</t>
        </is>
      </c>
      <c r="J40" t="inlineStr">
        <is>
          <t>TVS</t>
        </is>
      </c>
      <c r="K40" t="inlineStr">
        <is>
          <t>25.4-18.4-3.5-CEW-CEW-1</t>
        </is>
      </c>
    </row>
    <row r="41">
      <c r="A41" t="inlineStr">
        <is>
          <t>0000187546</t>
        </is>
      </c>
      <c r="B41" t="inlineStr">
        <is>
          <t>Narasipur Auto Component(P)Ltd</t>
        </is>
      </c>
      <c r="C41" t="inlineStr">
        <is>
          <t>KG</t>
        </is>
      </c>
      <c r="D41" t="n">
        <v>151</v>
      </c>
      <c r="E41" t="n">
        <v>847.7</v>
      </c>
      <c r="F41" t="n">
        <v>3770392</v>
      </c>
      <c r="G41" t="inlineStr">
        <is>
          <t>25.4-18.4-3.5-CEW-CEW</t>
        </is>
      </c>
      <c r="H41" t="n">
        <v>1603</v>
      </c>
      <c r="I41" t="inlineStr">
        <is>
          <t>TUB-O-C-AUT-AD-FC-25.40X3.500X5.6000</t>
        </is>
      </c>
      <c r="J41" t="inlineStr">
        <is>
          <t>TVS</t>
        </is>
      </c>
      <c r="K41" t="inlineStr">
        <is>
          <t>25.4-18.4-3.5-CEW-CEW-1</t>
        </is>
      </c>
    </row>
    <row r="42">
      <c r="A42" t="inlineStr">
        <is>
          <t>0000187546</t>
        </is>
      </c>
      <c r="B42" t="inlineStr">
        <is>
          <t>Narasipur Auto Component(P)Ltd</t>
        </is>
      </c>
      <c r="C42" t="inlineStr">
        <is>
          <t>KG</t>
        </is>
      </c>
      <c r="D42" t="n">
        <v>139</v>
      </c>
      <c r="E42" t="n">
        <v>780.539</v>
      </c>
      <c r="F42" t="n">
        <v>3770392</v>
      </c>
      <c r="G42" t="inlineStr">
        <is>
          <t>25.4-18.4-3.5-CEW-CEW</t>
        </is>
      </c>
      <c r="H42" t="n">
        <v>1476</v>
      </c>
      <c r="I42" t="inlineStr">
        <is>
          <t>TUB-O-C-AUT-AD-FC-25.40X3.500X5.6000</t>
        </is>
      </c>
      <c r="J42" t="inlineStr">
        <is>
          <t>TVS</t>
        </is>
      </c>
      <c r="K42" t="inlineStr">
        <is>
          <t>25.4-18.4-3.5-CEW-CEW-1</t>
        </is>
      </c>
    </row>
    <row r="43">
      <c r="A43" t="inlineStr">
        <is>
          <t>0000187546</t>
        </is>
      </c>
      <c r="B43" t="inlineStr">
        <is>
          <t>Narasipur Auto Component(P)Ltd</t>
        </is>
      </c>
      <c r="C43" t="inlineStr">
        <is>
          <t>KG</t>
        </is>
      </c>
      <c r="D43" t="n">
        <v>108</v>
      </c>
      <c r="E43" t="n">
        <v>604.681</v>
      </c>
      <c r="F43" t="n">
        <v>3770392</v>
      </c>
      <c r="G43" t="inlineStr">
        <is>
          <t>25.4-18.4-3.5-CEW-CEW</t>
        </is>
      </c>
      <c r="H43" t="n">
        <v>1143.452</v>
      </c>
      <c r="I43" t="inlineStr">
        <is>
          <t>TUB-O-C-AUT-AD-FC-25.40X3.500X5.6000</t>
        </is>
      </c>
      <c r="J43" t="inlineStr">
        <is>
          <t>TVS</t>
        </is>
      </c>
      <c r="K43" t="inlineStr">
        <is>
          <t>25.4-18.4-3.5-CEW-CEW-1</t>
        </is>
      </c>
    </row>
    <row r="44">
      <c r="A44" t="inlineStr">
        <is>
          <t>0000187546</t>
        </is>
      </c>
      <c r="B44" t="inlineStr">
        <is>
          <t>Narasipur Auto Component(P)Ltd</t>
        </is>
      </c>
      <c r="C44" t="inlineStr">
        <is>
          <t>KG</t>
        </is>
      </c>
      <c r="D44" t="n">
        <v>72</v>
      </c>
      <c r="E44" t="n">
        <v>405.352</v>
      </c>
      <c r="F44" t="n">
        <v>3770392</v>
      </c>
      <c r="G44" t="inlineStr">
        <is>
          <t>25.4-18.4-3.5-CEW-CEW</t>
        </is>
      </c>
      <c r="H44" t="n">
        <v>766.52</v>
      </c>
      <c r="I44" t="inlineStr">
        <is>
          <t>TUB-O-C-AUT-AD-FC-25.40X3.500X5.6000</t>
        </is>
      </c>
      <c r="J44" t="inlineStr">
        <is>
          <t>TVS</t>
        </is>
      </c>
      <c r="K44" t="inlineStr">
        <is>
          <t>25.4-18.4-3.5-CEW-CEW-1</t>
        </is>
      </c>
    </row>
    <row r="45">
      <c r="A45" t="inlineStr">
        <is>
          <t>0000187546</t>
        </is>
      </c>
      <c r="B45" t="inlineStr">
        <is>
          <t>Narasipur Auto Component(P)Ltd</t>
        </is>
      </c>
      <c r="C45" t="inlineStr">
        <is>
          <t>KG</t>
        </is>
      </c>
      <c r="D45" t="n">
        <v>8</v>
      </c>
      <c r="E45" t="n">
        <v>43.363</v>
      </c>
      <c r="F45" t="n">
        <v>3770392</v>
      </c>
      <c r="G45" t="inlineStr">
        <is>
          <t>25.4-18.4-3.5-CEW-CEW</t>
        </is>
      </c>
      <c r="H45" t="n">
        <v>82</v>
      </c>
      <c r="I45" t="inlineStr">
        <is>
          <t>TUB-O-C-AUT-AD-FC-25.40X3.500X5.6000</t>
        </is>
      </c>
      <c r="J45" t="inlineStr">
        <is>
          <t>TVS</t>
        </is>
      </c>
      <c r="K45" t="inlineStr">
        <is>
          <t>25.4-18.4-3.5-CEW-CEW-1</t>
        </is>
      </c>
    </row>
    <row r="46">
      <c r="A46" t="inlineStr">
        <is>
          <t>0000187546</t>
        </is>
      </c>
      <c r="B46" t="inlineStr">
        <is>
          <t>Narasipur Auto Component(P)Ltd</t>
        </is>
      </c>
      <c r="C46" t="inlineStr">
        <is>
          <t>KG</t>
        </is>
      </c>
      <c r="D46" t="n">
        <v>33</v>
      </c>
      <c r="E46" t="n">
        <v>185.087</v>
      </c>
      <c r="F46" t="n">
        <v>3770392</v>
      </c>
      <c r="G46" t="inlineStr">
        <is>
          <t>25.4-18.4-3.5-CEW-CEW</t>
        </is>
      </c>
      <c r="H46" t="n">
        <v>350</v>
      </c>
      <c r="I46" t="inlineStr">
        <is>
          <t>TUB-O-C-AUT-AD-FC-25.40X3.500X5.6000</t>
        </is>
      </c>
      <c r="J46" t="inlineStr">
        <is>
          <t>TVS</t>
        </is>
      </c>
      <c r="K46" t="inlineStr">
        <is>
          <t>25.4-18.4-3.5-CEW-CEW-1</t>
        </is>
      </c>
    </row>
    <row r="47">
      <c r="A47" t="inlineStr">
        <is>
          <t>0000187546</t>
        </is>
      </c>
      <c r="B47" t="inlineStr">
        <is>
          <t>Narasipur Auto Component(P)Ltd</t>
        </is>
      </c>
      <c r="C47" t="inlineStr">
        <is>
          <t>KG</t>
        </is>
      </c>
      <c r="D47" t="n">
        <v>38</v>
      </c>
      <c r="E47" t="n">
        <v>211.528</v>
      </c>
      <c r="F47" t="n">
        <v>3770392</v>
      </c>
      <c r="G47" t="inlineStr">
        <is>
          <t>25.4-18.4-3.5-CEW-CEW</t>
        </is>
      </c>
      <c r="H47" t="n">
        <v>400</v>
      </c>
      <c r="I47" t="inlineStr">
        <is>
          <t>TUB-O-C-AUT-AD-FC-25.40X3.500X5.6000</t>
        </is>
      </c>
      <c r="J47" t="inlineStr">
        <is>
          <t>TVS</t>
        </is>
      </c>
      <c r="K47" t="inlineStr">
        <is>
          <t>25.4-18.4-3.5-CEW-CEW-1</t>
        </is>
      </c>
    </row>
    <row r="48">
      <c r="A48" t="inlineStr">
        <is>
          <t>0000187546</t>
        </is>
      </c>
      <c r="B48" t="inlineStr">
        <is>
          <t>Narasipur Auto Component(P)Ltd</t>
        </is>
      </c>
      <c r="C48" t="inlineStr">
        <is>
          <t>KG</t>
        </is>
      </c>
      <c r="D48" t="n">
        <v>128</v>
      </c>
      <c r="E48" t="n">
        <v>714.188</v>
      </c>
      <c r="F48" t="n">
        <v>3770392</v>
      </c>
      <c r="G48" t="inlineStr">
        <is>
          <t>25.4-18.4-3.5-CEW-CEW</t>
        </is>
      </c>
      <c r="H48" t="n">
        <v>1350.529</v>
      </c>
      <c r="I48" t="inlineStr">
        <is>
          <t>TUB-O-C-AUT-AD-FC-25.40X3.500X5.6000</t>
        </is>
      </c>
      <c r="J48" t="inlineStr">
        <is>
          <t>TVS</t>
        </is>
      </c>
      <c r="K48" t="inlineStr">
        <is>
          <t>25.4-18.4-3.5-CEW-CEW-1</t>
        </is>
      </c>
    </row>
    <row r="49">
      <c r="A49" t="inlineStr">
        <is>
          <t>0000187546</t>
        </is>
      </c>
      <c r="B49" t="inlineStr">
        <is>
          <t>Narasipur Auto Component(P)Ltd</t>
        </is>
      </c>
      <c r="C49" t="inlineStr">
        <is>
          <t>KG</t>
        </is>
      </c>
      <c r="D49" t="n">
        <v>23</v>
      </c>
      <c r="E49" t="n">
        <v>130.909</v>
      </c>
      <c r="F49" t="n">
        <v>3770392</v>
      </c>
      <c r="G49" t="inlineStr">
        <is>
          <t>25.4-18.4-3.5-CEW-CEW</t>
        </is>
      </c>
      <c r="H49" t="n">
        <v>247.548</v>
      </c>
      <c r="I49" t="inlineStr">
        <is>
          <t>TUB-O-C-AUT-AD-FC-25.40X3.500X5.6000</t>
        </is>
      </c>
      <c r="J49" t="inlineStr">
        <is>
          <t>TVS</t>
        </is>
      </c>
      <c r="K49" t="inlineStr">
        <is>
          <t>25.4-18.4-3.5-CEW-CEW-1</t>
        </is>
      </c>
    </row>
    <row r="50">
      <c r="A50" t="inlineStr">
        <is>
          <t>0000187546</t>
        </is>
      </c>
      <c r="B50" t="inlineStr">
        <is>
          <t>Narasipur Auto Component(P)Ltd</t>
        </is>
      </c>
      <c r="C50" t="inlineStr">
        <is>
          <t>KG</t>
        </is>
      </c>
      <c r="D50" t="n">
        <v>19</v>
      </c>
      <c r="E50" t="n">
        <v>107.564</v>
      </c>
      <c r="F50" t="n">
        <v>3770392</v>
      </c>
      <c r="G50" t="inlineStr">
        <is>
          <t>25.4-18.4-3.5-CEW-CEW</t>
        </is>
      </c>
      <c r="H50" t="n">
        <v>203.403</v>
      </c>
      <c r="I50" t="inlineStr">
        <is>
          <t>TUB-O-C-AUT-AD-FC-25.40X3.500X5.6000</t>
        </is>
      </c>
      <c r="J50" t="inlineStr">
        <is>
          <t>TVS</t>
        </is>
      </c>
      <c r="K50" t="inlineStr">
        <is>
          <t>25.4-18.4-3.5-CEW-CEW-1</t>
        </is>
      </c>
    </row>
    <row r="51">
      <c r="A51" t="inlineStr">
        <is>
          <t>0000944141</t>
        </is>
      </c>
      <c r="B51" t="inlineStr">
        <is>
          <t>SRIKAM HITECH ENGINEERING PRIVATE L</t>
        </is>
      </c>
      <c r="C51" t="inlineStr">
        <is>
          <t>NOS</t>
        </is>
      </c>
      <c r="D51" t="n">
        <v>3900</v>
      </c>
      <c r="E51" t="n">
        <v>984.848</v>
      </c>
      <c r="F51" t="n">
        <v>1940307</v>
      </c>
      <c r="G51" t="inlineStr">
        <is>
          <t>19.05-0-2.3-ERW 1-PE</t>
        </is>
      </c>
      <c r="H51" t="n">
        <v>936</v>
      </c>
      <c r="I51" t="inlineStr">
        <is>
          <t>TUB-O-O-AUT-AW-PE-19.05X2.300X0.2520</t>
        </is>
      </c>
      <c r="J51" t="inlineStr">
        <is>
          <t>TVS</t>
        </is>
      </c>
      <c r="K51" t="inlineStr">
        <is>
          <t>19.05-0-2.3-ERW 1-PE-0.252</t>
        </is>
      </c>
    </row>
    <row r="52">
      <c r="A52" t="inlineStr">
        <is>
          <t>0000944141</t>
        </is>
      </c>
      <c r="B52" t="inlineStr">
        <is>
          <t>SRIKAM HITECH ENGINEERING PRIVATE L</t>
        </is>
      </c>
      <c r="C52" t="inlineStr">
        <is>
          <t>NOS</t>
        </is>
      </c>
      <c r="D52" t="n">
        <v>6157</v>
      </c>
      <c r="E52" t="n">
        <v>1813.931</v>
      </c>
      <c r="F52" t="n">
        <v>1940312</v>
      </c>
      <c r="G52" t="inlineStr">
        <is>
          <t>19.05-0-2.3-ERW 1-PE</t>
        </is>
      </c>
      <c r="H52" t="n">
        <v>1723.96</v>
      </c>
      <c r="I52" t="inlineStr">
        <is>
          <t>TUB-O-O-AUT-AW-PE-19.05X2.300X0.2950</t>
        </is>
      </c>
      <c r="J52" t="inlineStr">
        <is>
          <t>TVS</t>
        </is>
      </c>
      <c r="K52" t="inlineStr">
        <is>
          <t>19.05-0-2.3-ERW 1-PE-0.295</t>
        </is>
      </c>
    </row>
    <row r="53">
      <c r="A53" t="inlineStr">
        <is>
          <t>0000944141</t>
        </is>
      </c>
      <c r="B53" t="inlineStr">
        <is>
          <t>SRIKAM HITECH ENGINEERING PRIVATE L</t>
        </is>
      </c>
      <c r="C53" t="inlineStr">
        <is>
          <t>NOS</t>
        </is>
      </c>
      <c r="D53" t="n">
        <v>2343</v>
      </c>
      <c r="E53" t="n">
        <v>690.278</v>
      </c>
      <c r="F53" t="n">
        <v>1940312</v>
      </c>
      <c r="G53" t="inlineStr">
        <is>
          <t>19.05-0-2.3-ERW 1-PE</t>
        </is>
      </c>
      <c r="H53" t="n">
        <v>656.04</v>
      </c>
      <c r="I53" t="inlineStr">
        <is>
          <t>TUB-O-O-AUT-AW-PE-19.05X2.300X0.2950</t>
        </is>
      </c>
      <c r="J53" t="inlineStr">
        <is>
          <t>TVS</t>
        </is>
      </c>
      <c r="K53" t="inlineStr">
        <is>
          <t>19.05-0-2.3-ERW 1-PE-0.295</t>
        </is>
      </c>
    </row>
    <row r="54">
      <c r="A54" t="inlineStr">
        <is>
          <t>0000944141</t>
        </is>
      </c>
      <c r="B54" t="inlineStr">
        <is>
          <t>SRIKAM HITECH ENGINEERING PRIVATE L</t>
        </is>
      </c>
      <c r="C54" t="inlineStr">
        <is>
          <t>NOS</t>
        </is>
      </c>
      <c r="D54" t="n">
        <v>6407</v>
      </c>
      <c r="E54" t="n">
        <v>1887.584</v>
      </c>
      <c r="F54" t="n">
        <v>1940312</v>
      </c>
      <c r="G54" t="inlineStr">
        <is>
          <t>19.05-0-2.3-ERW 1-PE</t>
        </is>
      </c>
      <c r="H54" t="n">
        <v>1793.96</v>
      </c>
      <c r="I54" t="inlineStr">
        <is>
          <t>TUB-O-O-AUT-AW-PE-19.05X2.300X0.2950</t>
        </is>
      </c>
      <c r="J54" t="inlineStr">
        <is>
          <t>TVS</t>
        </is>
      </c>
      <c r="K54" t="inlineStr">
        <is>
          <t>19.05-0-2.3-ERW 1-PE-0.295</t>
        </is>
      </c>
    </row>
    <row r="55">
      <c r="A55" t="inlineStr">
        <is>
          <t>0000944141</t>
        </is>
      </c>
      <c r="B55" t="inlineStr">
        <is>
          <t>SRIKAM HITECH ENGINEERING PRIVATE L</t>
        </is>
      </c>
      <c r="C55" t="inlineStr">
        <is>
          <t>NOS</t>
        </is>
      </c>
      <c r="D55" t="n">
        <v>3646</v>
      </c>
      <c r="E55" t="n">
        <v>1074.158</v>
      </c>
      <c r="F55" t="n">
        <v>1940312</v>
      </c>
      <c r="G55" t="inlineStr">
        <is>
          <t>19.05-0-2.3-ERW 1-PE</t>
        </is>
      </c>
      <c r="H55" t="n">
        <v>1020.88</v>
      </c>
      <c r="I55" t="inlineStr">
        <is>
          <t>TUB-O-O-AUT-AW-PE-19.05X2.300X0.2950</t>
        </is>
      </c>
      <c r="J55" t="inlineStr">
        <is>
          <t>TVS</t>
        </is>
      </c>
      <c r="K55" t="inlineStr">
        <is>
          <t>19.05-0-2.3-ERW 1-PE-0.295</t>
        </is>
      </c>
    </row>
    <row r="56">
      <c r="A56" t="inlineStr">
        <is>
          <t>0000944141</t>
        </is>
      </c>
      <c r="B56" t="inlineStr">
        <is>
          <t>SRIKAM HITECH ENGINEERING PRIVATE L</t>
        </is>
      </c>
      <c r="C56" t="inlineStr">
        <is>
          <t>NOS</t>
        </is>
      </c>
      <c r="D56" t="n">
        <v>3553</v>
      </c>
      <c r="E56" t="n">
        <v>1046.759</v>
      </c>
      <c r="F56" t="n">
        <v>1940312</v>
      </c>
      <c r="G56" t="inlineStr">
        <is>
          <t>19.05-0-2.3-ERW 1-PE</t>
        </is>
      </c>
      <c r="H56" t="n">
        <v>994.84</v>
      </c>
      <c r="I56" t="inlineStr">
        <is>
          <t>TUB-O-O-AUT-AW-PE-19.05X2.300X0.2950</t>
        </is>
      </c>
      <c r="J56" t="inlineStr">
        <is>
          <t>TVS</t>
        </is>
      </c>
      <c r="K56" t="inlineStr">
        <is>
          <t>19.05-0-2.3-ERW 1-PE-0.295</t>
        </is>
      </c>
    </row>
    <row r="57">
      <c r="A57" t="inlineStr">
        <is>
          <t>0000944141</t>
        </is>
      </c>
      <c r="B57" t="inlineStr">
        <is>
          <t>SRIKAM HITECH ENGINEERING PRIVATE L</t>
        </is>
      </c>
      <c r="C57" t="inlineStr">
        <is>
          <t>NOS</t>
        </is>
      </c>
      <c r="D57" t="n">
        <v>744</v>
      </c>
      <c r="E57" t="n">
        <v>219.192</v>
      </c>
      <c r="F57" t="n">
        <v>1940312</v>
      </c>
      <c r="G57" t="inlineStr">
        <is>
          <t>19.05-0-2.3-ERW 1-PE</t>
        </is>
      </c>
      <c r="H57" t="n">
        <v>208.32</v>
      </c>
      <c r="I57" t="inlineStr">
        <is>
          <t>TUB-O-O-AUT-AW-PE-19.05X2.300X0.2950</t>
        </is>
      </c>
      <c r="J57" t="inlineStr">
        <is>
          <t>TVS</t>
        </is>
      </c>
      <c r="K57" t="inlineStr">
        <is>
          <t>19.05-0-2.3-ERW 1-PE-0.295</t>
        </is>
      </c>
    </row>
    <row r="58">
      <c r="A58" t="inlineStr">
        <is>
          <t>0000944141</t>
        </is>
      </c>
      <c r="B58" t="inlineStr">
        <is>
          <t>SRIKAM HITECH ENGINEERING PRIVATE L</t>
        </is>
      </c>
      <c r="C58" t="inlineStr">
        <is>
          <t>NOS</t>
        </is>
      </c>
      <c r="D58" t="n">
        <v>2150</v>
      </c>
      <c r="E58" t="n">
        <v>633.418</v>
      </c>
      <c r="F58" t="n">
        <v>1940312</v>
      </c>
      <c r="G58" t="inlineStr">
        <is>
          <t>19.05-0-2.3-ERW 1-PE</t>
        </is>
      </c>
      <c r="H58" t="n">
        <v>602</v>
      </c>
      <c r="I58" t="inlineStr">
        <is>
          <t>TUB-O-O-AUT-AW-PE-19.05X2.300X0.2950</t>
        </is>
      </c>
      <c r="J58" t="inlineStr">
        <is>
          <t>TVS</t>
        </is>
      </c>
      <c r="K58" t="inlineStr">
        <is>
          <t>19.05-0-2.3-ERW 1-PE-0.295</t>
        </is>
      </c>
    </row>
    <row r="59">
      <c r="A59" t="inlineStr">
        <is>
          <t>0000944141</t>
        </is>
      </c>
      <c r="B59" t="inlineStr">
        <is>
          <t>SRIKAM HITECH ENGINEERING PRIVATE L</t>
        </is>
      </c>
      <c r="C59" t="inlineStr">
        <is>
          <t>NOS</t>
        </is>
      </c>
      <c r="D59" t="n">
        <v>660</v>
      </c>
      <c r="E59" t="n">
        <v>194.444</v>
      </c>
      <c r="F59" t="n">
        <v>1940312</v>
      </c>
      <c r="G59" t="inlineStr">
        <is>
          <t>19.05-0-2.3-ERW 1-PE</t>
        </is>
      </c>
      <c r="H59" t="n">
        <v>184.8</v>
      </c>
      <c r="I59" t="inlineStr">
        <is>
          <t>TUB-O-O-AUT-AW-PE-19.05X2.300X0.2950</t>
        </is>
      </c>
      <c r="J59" t="inlineStr">
        <is>
          <t>TVS</t>
        </is>
      </c>
      <c r="K59" t="inlineStr">
        <is>
          <t>19.05-0-2.3-ERW 1-PE-0.295</t>
        </is>
      </c>
    </row>
    <row r="60">
      <c r="A60" t="inlineStr">
        <is>
          <t>0000944141</t>
        </is>
      </c>
      <c r="B60" t="inlineStr">
        <is>
          <t>SRIKAM HITECH ENGINEERING PRIVATE L</t>
        </is>
      </c>
      <c r="C60" t="inlineStr">
        <is>
          <t>NOS</t>
        </is>
      </c>
      <c r="D60" t="n">
        <v>309</v>
      </c>
      <c r="E60" t="n">
        <v>91.035</v>
      </c>
      <c r="F60" t="n">
        <v>1940312</v>
      </c>
      <c r="G60" t="inlineStr">
        <is>
          <t>19.05-0-2.3-ERW 1-PE</t>
        </is>
      </c>
      <c r="H60" t="n">
        <v>86.52</v>
      </c>
      <c r="I60" t="inlineStr">
        <is>
          <t>TUB-O-O-AUT-AW-PE-19.05X2.300X0.2950</t>
        </is>
      </c>
      <c r="J60" t="inlineStr">
        <is>
          <t>TVS</t>
        </is>
      </c>
      <c r="K60" t="inlineStr">
        <is>
          <t>19.05-0-2.3-ERW 1-PE-0.295</t>
        </is>
      </c>
    </row>
    <row r="61">
      <c r="A61" t="inlineStr">
        <is>
          <t>0000944141</t>
        </is>
      </c>
      <c r="B61" t="inlineStr">
        <is>
          <t>SRIKAM HITECH ENGINEERING PRIVATE L</t>
        </is>
      </c>
      <c r="C61" t="inlineStr">
        <is>
          <t>NOS</t>
        </is>
      </c>
      <c r="D61" t="n">
        <v>60</v>
      </c>
      <c r="E61" t="n">
        <v>17.677</v>
      </c>
      <c r="F61" t="n">
        <v>1940312</v>
      </c>
      <c r="G61" t="inlineStr">
        <is>
          <t>19.05-0-2.3-ERW 1-PE</t>
        </is>
      </c>
      <c r="H61" t="n">
        <v>16.8</v>
      </c>
      <c r="I61" t="inlineStr">
        <is>
          <t>TUB-O-O-AUT-AW-PE-19.05X2.300X0.2950</t>
        </is>
      </c>
      <c r="J61" t="inlineStr">
        <is>
          <t>TVS</t>
        </is>
      </c>
      <c r="K61" t="inlineStr">
        <is>
          <t>19.05-0-2.3-ERW 1-PE-0.295</t>
        </is>
      </c>
    </row>
    <row r="62">
      <c r="A62" t="inlineStr">
        <is>
          <t>0000944141</t>
        </is>
      </c>
      <c r="B62" t="inlineStr">
        <is>
          <t>SRIKAM HITECH ENGINEERING PRIVATE L</t>
        </is>
      </c>
      <c r="C62" t="inlineStr">
        <is>
          <t>NOS</t>
        </is>
      </c>
      <c r="D62" t="n">
        <v>21</v>
      </c>
      <c r="E62" t="n">
        <v>6.187</v>
      </c>
      <c r="F62" t="n">
        <v>1940312</v>
      </c>
      <c r="G62" t="inlineStr">
        <is>
          <t>19.05-0-2.3-ERW 1-PE</t>
        </is>
      </c>
      <c r="H62" t="n">
        <v>5.88</v>
      </c>
      <c r="I62" t="inlineStr">
        <is>
          <t>TUB-O-O-AUT-AW-PE-19.05X2.300X0.2950</t>
        </is>
      </c>
      <c r="J62" t="inlineStr">
        <is>
          <t>TVS</t>
        </is>
      </c>
      <c r="K62" t="inlineStr">
        <is>
          <t>19.05-0-2.3-ERW 1-PE-0.295</t>
        </is>
      </c>
    </row>
    <row r="63">
      <c r="A63" t="inlineStr">
        <is>
          <t>0000944141</t>
        </is>
      </c>
      <c r="B63" t="inlineStr">
        <is>
          <t>SRIKAM HITECH ENGINEERING PRIVATE L</t>
        </is>
      </c>
      <c r="C63" t="inlineStr">
        <is>
          <t>NOS</t>
        </is>
      </c>
      <c r="D63" t="n">
        <v>5857</v>
      </c>
      <c r="E63" t="n">
        <v>1725.547</v>
      </c>
      <c r="F63" t="n">
        <v>1940312</v>
      </c>
      <c r="G63" t="inlineStr">
        <is>
          <t>19.05-0-2.3-ERW 1-PE</t>
        </is>
      </c>
      <c r="H63" t="n">
        <v>1639.96</v>
      </c>
      <c r="I63" t="inlineStr">
        <is>
          <t>TUB-O-O-AUT-AW-PE-19.05X2.300X0.2950</t>
        </is>
      </c>
      <c r="J63" t="inlineStr">
        <is>
          <t>TVS</t>
        </is>
      </c>
      <c r="K63" t="inlineStr">
        <is>
          <t>19.05-0-2.3-ERW 1-PE-0.295</t>
        </is>
      </c>
    </row>
    <row r="64">
      <c r="A64" t="inlineStr">
        <is>
          <t>0000944141</t>
        </is>
      </c>
      <c r="B64" t="inlineStr">
        <is>
          <t>SRIKAM HITECH ENGINEERING PRIVATE L</t>
        </is>
      </c>
      <c r="C64" t="inlineStr">
        <is>
          <t>NOS</t>
        </is>
      </c>
      <c r="D64" t="n">
        <v>5071</v>
      </c>
      <c r="E64" t="n">
        <v>1493.981</v>
      </c>
      <c r="F64" t="n">
        <v>1940312</v>
      </c>
      <c r="G64" t="inlineStr">
        <is>
          <t>19.05-0-2.3-ERW 1-PE</t>
        </is>
      </c>
      <c r="H64" t="n">
        <v>1419.88</v>
      </c>
      <c r="I64" t="inlineStr">
        <is>
          <t>TUB-O-O-AUT-AW-PE-19.05X2.300X0.2950</t>
        </is>
      </c>
      <c r="J64" t="inlineStr">
        <is>
          <t>TVS</t>
        </is>
      </c>
      <c r="K64" t="inlineStr">
        <is>
          <t>19.05-0-2.3-ERW 1-PE-0.295</t>
        </is>
      </c>
    </row>
    <row r="65">
      <c r="A65" t="inlineStr">
        <is>
          <t>0000944141</t>
        </is>
      </c>
      <c r="B65" t="inlineStr">
        <is>
          <t>SRIKAM HITECH ENGINEERING PRIVATE L</t>
        </is>
      </c>
      <c r="C65" t="inlineStr">
        <is>
          <t>NOS</t>
        </is>
      </c>
      <c r="D65" t="n">
        <v>257</v>
      </c>
      <c r="E65" t="n">
        <v>75.715</v>
      </c>
      <c r="F65" t="n">
        <v>1940312</v>
      </c>
      <c r="G65" t="inlineStr">
        <is>
          <t>19.05-0-2.3-ERW 1-PE</t>
        </is>
      </c>
      <c r="H65" t="n">
        <v>71.95999999999999</v>
      </c>
      <c r="I65" t="inlineStr">
        <is>
          <t>TUB-O-O-AUT-AW-PE-19.05X2.300X0.2950</t>
        </is>
      </c>
      <c r="J65" t="inlineStr">
        <is>
          <t>TVS</t>
        </is>
      </c>
      <c r="K65" t="inlineStr">
        <is>
          <t>19.05-0-2.3-ERW 1-PE-0.295</t>
        </is>
      </c>
    </row>
    <row r="66">
      <c r="A66" t="inlineStr">
        <is>
          <t>0000944141</t>
        </is>
      </c>
      <c r="B66" t="inlineStr">
        <is>
          <t>SRIKAM HITECH ENGINEERING PRIVATE L</t>
        </is>
      </c>
      <c r="C66" t="inlineStr">
        <is>
          <t>NOS</t>
        </is>
      </c>
      <c r="D66" t="n">
        <v>15</v>
      </c>
      <c r="E66" t="n">
        <v>4.419</v>
      </c>
      <c r="F66" t="n">
        <v>1940312</v>
      </c>
      <c r="G66" t="inlineStr">
        <is>
          <t>19.05-0-2.3-ERW 1-PE</t>
        </is>
      </c>
      <c r="H66" t="n">
        <v>4.2</v>
      </c>
      <c r="I66" t="inlineStr">
        <is>
          <t>TUB-O-O-AUT-AW-PE-19.05X2.300X0.2950</t>
        </is>
      </c>
      <c r="J66" t="inlineStr">
        <is>
          <t>TVS</t>
        </is>
      </c>
      <c r="K66" t="inlineStr">
        <is>
          <t>19.05-0-2.3-ERW 1-PE-0.295</t>
        </is>
      </c>
    </row>
    <row r="67">
      <c r="A67" t="inlineStr">
        <is>
          <t>0000944141</t>
        </is>
      </c>
      <c r="B67" t="inlineStr">
        <is>
          <t>SRIKAM HITECH ENGINEERING PRIVATE L</t>
        </is>
      </c>
      <c r="C67" t="inlineStr">
        <is>
          <t>NOS</t>
        </is>
      </c>
      <c r="D67" t="n">
        <v>2218</v>
      </c>
      <c r="E67" t="n">
        <v>653.451</v>
      </c>
      <c r="F67" t="n">
        <v>1940312</v>
      </c>
      <c r="G67" t="inlineStr">
        <is>
          <t>19.05-0-2.3-ERW 1-PE</t>
        </is>
      </c>
      <c r="H67" t="n">
        <v>621.04</v>
      </c>
      <c r="I67" t="inlineStr">
        <is>
          <t>TUB-O-O-AUT-AW-PE-19.05X2.300X0.2950</t>
        </is>
      </c>
      <c r="J67" t="inlineStr">
        <is>
          <t>TVS</t>
        </is>
      </c>
      <c r="K67" t="inlineStr">
        <is>
          <t>19.05-0-2.3-ERW 1-PE-0.295</t>
        </is>
      </c>
    </row>
    <row r="68">
      <c r="A68" t="inlineStr">
        <is>
          <t>0000944141</t>
        </is>
      </c>
      <c r="B68" t="inlineStr">
        <is>
          <t>SRIKAM HITECH ENGINEERING PRIVATE L</t>
        </is>
      </c>
      <c r="C68" t="inlineStr">
        <is>
          <t>NOS</t>
        </is>
      </c>
      <c r="D68" t="n">
        <v>1753</v>
      </c>
      <c r="E68" t="n">
        <v>516.456</v>
      </c>
      <c r="F68" t="n">
        <v>1940312</v>
      </c>
      <c r="G68" t="inlineStr">
        <is>
          <t>19.05-0-2.3-ERW 1-PE</t>
        </is>
      </c>
      <c r="H68" t="n">
        <v>490.84</v>
      </c>
      <c r="I68" t="inlineStr">
        <is>
          <t>TUB-O-O-AUT-AW-PE-19.05X2.300X0.2950</t>
        </is>
      </c>
      <c r="J68" t="inlineStr">
        <is>
          <t>TVS</t>
        </is>
      </c>
      <c r="K68" t="inlineStr">
        <is>
          <t>19.05-0-2.3-ERW 1-PE-0.295</t>
        </is>
      </c>
    </row>
    <row r="69">
      <c r="A69" t="inlineStr">
        <is>
          <t>0000944141</t>
        </is>
      </c>
      <c r="B69" t="inlineStr">
        <is>
          <t>SRIKAM HITECH ENGINEERING PRIVATE L</t>
        </is>
      </c>
      <c r="C69" t="inlineStr">
        <is>
          <t>NOS</t>
        </is>
      </c>
      <c r="D69" t="n">
        <v>1653</v>
      </c>
      <c r="E69" t="n">
        <v>486.995</v>
      </c>
      <c r="F69" t="n">
        <v>1940312</v>
      </c>
      <c r="G69" t="inlineStr">
        <is>
          <t>19.05-0-2.3-ERW 1-PE</t>
        </is>
      </c>
      <c r="H69" t="n">
        <v>462.84</v>
      </c>
      <c r="I69" t="inlineStr">
        <is>
          <t>TUB-O-O-AUT-AW-PE-19.05X2.300X0.2950</t>
        </is>
      </c>
      <c r="J69" t="inlineStr">
        <is>
          <t>TVS</t>
        </is>
      </c>
      <c r="K69" t="inlineStr">
        <is>
          <t>19.05-0-2.3-ERW 1-PE-0.295</t>
        </is>
      </c>
    </row>
    <row r="70">
      <c r="A70" t="inlineStr">
        <is>
          <t>0000944141</t>
        </is>
      </c>
      <c r="B70" t="inlineStr">
        <is>
          <t>SRIKAM HITECH ENGINEERING PRIVATE L</t>
        </is>
      </c>
      <c r="C70" t="inlineStr">
        <is>
          <t>NOS</t>
        </is>
      </c>
      <c r="D70" t="n">
        <v>1100</v>
      </c>
      <c r="E70" t="n">
        <v>324.074</v>
      </c>
      <c r="F70" t="n">
        <v>1940312</v>
      </c>
      <c r="G70" t="inlineStr">
        <is>
          <t>19.05-0-2.3-ERW 1-PE</t>
        </is>
      </c>
      <c r="H70" t="n">
        <v>308</v>
      </c>
      <c r="I70" t="inlineStr">
        <is>
          <t>TUB-O-O-AUT-AW-PE-19.05X2.300X0.2950</t>
        </is>
      </c>
      <c r="J70" t="inlineStr">
        <is>
          <t>TVS</t>
        </is>
      </c>
      <c r="K70" t="inlineStr">
        <is>
          <t>19.05-0-2.3-ERW 1-PE-0.295</t>
        </is>
      </c>
    </row>
    <row r="71">
      <c r="A71" t="inlineStr">
        <is>
          <t>0000944141</t>
        </is>
      </c>
      <c r="B71" t="inlineStr">
        <is>
          <t>SRIKAM HITECH ENGINEERING PRIVATE L</t>
        </is>
      </c>
      <c r="C71" t="inlineStr">
        <is>
          <t>NOS</t>
        </is>
      </c>
      <c r="D71" t="n">
        <v>626</v>
      </c>
      <c r="E71" t="n">
        <v>184.428</v>
      </c>
      <c r="F71" t="n">
        <v>1940312</v>
      </c>
      <c r="G71" t="inlineStr">
        <is>
          <t>19.05-0-2.3-ERW 1-PE</t>
        </is>
      </c>
      <c r="H71" t="n">
        <v>175.28</v>
      </c>
      <c r="I71" t="inlineStr">
        <is>
          <t>TUB-O-O-AUT-AW-PE-19.05X2.300X0.2950</t>
        </is>
      </c>
      <c r="J71" t="inlineStr">
        <is>
          <t>TVS</t>
        </is>
      </c>
      <c r="K71" t="inlineStr">
        <is>
          <t>19.05-0-2.3-ERW 1-PE-0.295</t>
        </is>
      </c>
    </row>
    <row r="72">
      <c r="A72" t="inlineStr">
        <is>
          <t>0000944141</t>
        </is>
      </c>
      <c r="B72" t="inlineStr">
        <is>
          <t>SRIKAM HITECH ENGINEERING PRIVATE L</t>
        </is>
      </c>
      <c r="C72" t="inlineStr">
        <is>
          <t>NOS</t>
        </is>
      </c>
      <c r="D72" t="n">
        <v>800</v>
      </c>
      <c r="E72" t="n">
        <v>559.99</v>
      </c>
      <c r="F72" t="n">
        <v>2270133</v>
      </c>
      <c r="G72" t="inlineStr">
        <is>
          <t>22.23-0-1.6-ERW 1-PE</t>
        </is>
      </c>
      <c r="H72" t="n">
        <v>456</v>
      </c>
      <c r="I72" t="inlineStr">
        <is>
          <t>TUB-O-N-AUT-HR-PE-22.23X1.600X0.7000</t>
        </is>
      </c>
      <c r="J72" t="inlineStr">
        <is>
          <t>TVS</t>
        </is>
      </c>
      <c r="K72" t="inlineStr">
        <is>
          <t>22.23-0-1.6-ERW 1-PE-0.7</t>
        </is>
      </c>
    </row>
    <row r="73">
      <c r="A73" t="inlineStr">
        <is>
          <t>0000944141</t>
        </is>
      </c>
      <c r="B73" t="inlineStr">
        <is>
          <t>SRIKAM HITECH ENGINEERING PRIVATE L</t>
        </is>
      </c>
      <c r="C73" t="inlineStr">
        <is>
          <t>NOS</t>
        </is>
      </c>
      <c r="D73" t="n">
        <v>567</v>
      </c>
      <c r="E73" t="n">
        <v>396.893</v>
      </c>
      <c r="F73" t="n">
        <v>2270133</v>
      </c>
      <c r="G73" t="inlineStr">
        <is>
          <t>22.23-0-1.6-ERW 1-PE</t>
        </is>
      </c>
      <c r="H73" t="n">
        <v>323.19</v>
      </c>
      <c r="I73" t="inlineStr">
        <is>
          <t>TUB-O-N-AUT-HR-PE-22.23X1.600X0.7000</t>
        </is>
      </c>
      <c r="J73" t="inlineStr">
        <is>
          <t>TVS</t>
        </is>
      </c>
      <c r="K73" t="inlineStr">
        <is>
          <t>22.23-0-1.6-ERW 1-PE-0.7</t>
        </is>
      </c>
    </row>
    <row r="74">
      <c r="A74" t="inlineStr">
        <is>
          <t>0000944141</t>
        </is>
      </c>
      <c r="B74" t="inlineStr">
        <is>
          <t>SRIKAM HITECH ENGINEERING PRIVATE L</t>
        </is>
      </c>
      <c r="C74" t="inlineStr">
        <is>
          <t>NOS</t>
        </is>
      </c>
      <c r="D74" t="n">
        <v>350</v>
      </c>
      <c r="E74" t="n">
        <v>244.996</v>
      </c>
      <c r="F74" t="n">
        <v>2270133</v>
      </c>
      <c r="G74" t="inlineStr">
        <is>
          <t>22.23-0-1.6-ERW 1-PE</t>
        </is>
      </c>
      <c r="H74" t="n">
        <v>199.5</v>
      </c>
      <c r="I74" t="inlineStr">
        <is>
          <t>TUB-O-N-AUT-HR-PE-22.23X1.600X0.7000</t>
        </is>
      </c>
      <c r="J74" t="inlineStr">
        <is>
          <t>TVS</t>
        </is>
      </c>
      <c r="K74" t="inlineStr">
        <is>
          <t>22.23-0-1.6-ERW 1-PE-0.7</t>
        </is>
      </c>
    </row>
    <row r="75">
      <c r="A75" t="inlineStr">
        <is>
          <t>0000944141</t>
        </is>
      </c>
      <c r="B75" t="inlineStr">
        <is>
          <t>SRIKAM HITECH ENGINEERING PRIVATE L</t>
        </is>
      </c>
      <c r="C75" t="inlineStr">
        <is>
          <t>NOS</t>
        </is>
      </c>
      <c r="D75" t="n">
        <v>30</v>
      </c>
      <c r="E75" t="n">
        <v>21</v>
      </c>
      <c r="F75" t="n">
        <v>2270133</v>
      </c>
      <c r="G75" t="inlineStr">
        <is>
          <t>22.23-0-1.6-ERW 1-PE</t>
        </is>
      </c>
      <c r="H75" t="n">
        <v>17.1</v>
      </c>
      <c r="I75" t="inlineStr">
        <is>
          <t>TUB-O-N-AUT-HR-PE-22.23X1.600X0.7000</t>
        </is>
      </c>
      <c r="J75" t="inlineStr">
        <is>
          <t>TVS</t>
        </is>
      </c>
      <c r="K75" t="inlineStr">
        <is>
          <t>22.23-0-1.6-ERW 1-PE-0.7</t>
        </is>
      </c>
    </row>
    <row r="76">
      <c r="A76" t="inlineStr">
        <is>
          <t>0000944141</t>
        </is>
      </c>
      <c r="B76" t="inlineStr">
        <is>
          <t>SRIKAM HITECH ENGINEERING PRIVATE L</t>
        </is>
      </c>
      <c r="C76" t="inlineStr">
        <is>
          <t>NOS</t>
        </is>
      </c>
      <c r="D76" t="n">
        <v>20</v>
      </c>
      <c r="E76" t="n">
        <v>14</v>
      </c>
      <c r="F76" t="n">
        <v>2270133</v>
      </c>
      <c r="G76" t="inlineStr">
        <is>
          <t>22.23-0-1.6-ERW 1-PE</t>
        </is>
      </c>
      <c r="H76" t="n">
        <v>11.4</v>
      </c>
      <c r="I76" t="inlineStr">
        <is>
          <t>TUB-O-N-AUT-HR-PE-22.23X1.600X0.7000</t>
        </is>
      </c>
      <c r="J76" t="inlineStr">
        <is>
          <t>TVS</t>
        </is>
      </c>
      <c r="K76" t="inlineStr">
        <is>
          <t>22.23-0-1.6-ERW 1-PE-0.7</t>
        </is>
      </c>
    </row>
    <row r="77">
      <c r="A77" t="inlineStr">
        <is>
          <t>0000944141</t>
        </is>
      </c>
      <c r="B77" t="inlineStr">
        <is>
          <t>SRIKAM HITECH ENGINEERING PRIVATE L</t>
        </is>
      </c>
      <c r="C77" t="inlineStr">
        <is>
          <t>NOS</t>
        </is>
      </c>
      <c r="D77" t="n">
        <v>8</v>
      </c>
      <c r="E77" t="n">
        <v>5.6</v>
      </c>
      <c r="F77" t="n">
        <v>2270133</v>
      </c>
      <c r="G77" t="inlineStr">
        <is>
          <t>22.23-0-1.6-ERW 1-PE</t>
        </is>
      </c>
      <c r="H77" t="n">
        <v>4.56</v>
      </c>
      <c r="I77" t="inlineStr">
        <is>
          <t>TUB-O-N-AUT-HR-PE-22.23X1.600X0.7000</t>
        </is>
      </c>
      <c r="J77" t="inlineStr">
        <is>
          <t>TVS</t>
        </is>
      </c>
      <c r="K77" t="inlineStr">
        <is>
          <t>22.23-0-1.6-ERW 1-PE-0.7</t>
        </is>
      </c>
    </row>
    <row r="78">
      <c r="A78" t="inlineStr">
        <is>
          <t>0000189287</t>
        </is>
      </c>
      <c r="B78" t="inlineStr">
        <is>
          <t>BALAJI PRESS PRODUCTS INDIA</t>
        </is>
      </c>
      <c r="C78" t="inlineStr">
        <is>
          <t>NOS</t>
        </is>
      </c>
      <c r="D78" t="n">
        <v>5953</v>
      </c>
      <c r="E78" t="n">
        <v>1127.565</v>
      </c>
      <c r="F78" t="n">
        <v>3432081</v>
      </c>
      <c r="G78" t="inlineStr">
        <is>
          <t>12.7-0-1.6-ERW 1-PE</t>
        </is>
      </c>
      <c r="H78" t="n">
        <v>494.099</v>
      </c>
      <c r="I78" t="inlineStr">
        <is>
          <t>TUB-O-N-AUT-AW-PE-12.70X1.600X0.1890</t>
        </is>
      </c>
      <c r="J78" t="inlineStr">
        <is>
          <t>TVS</t>
        </is>
      </c>
      <c r="K78" t="inlineStr">
        <is>
          <t>12.7-0-1.6-ERW 1-PE-0.189</t>
        </is>
      </c>
    </row>
    <row r="79">
      <c r="A79" t="inlineStr">
        <is>
          <t>0000189287</t>
        </is>
      </c>
      <c r="B79" t="inlineStr">
        <is>
          <t>BALAJI PRESS PRODUCTS INDIA</t>
        </is>
      </c>
      <c r="C79" t="inlineStr">
        <is>
          <t>NOS</t>
        </is>
      </c>
      <c r="D79" t="n">
        <v>5433</v>
      </c>
      <c r="E79" t="n">
        <v>1029.071</v>
      </c>
      <c r="F79" t="n">
        <v>3432081</v>
      </c>
      <c r="G79" t="inlineStr">
        <is>
          <t>12.7-0-1.6-ERW 1-PE</t>
        </is>
      </c>
      <c r="H79" t="n">
        <v>450.939</v>
      </c>
      <c r="I79" t="inlineStr">
        <is>
          <t>TUB-O-N-AUT-AW-PE-12.70X1.600X0.1890</t>
        </is>
      </c>
      <c r="J79" t="inlineStr">
        <is>
          <t>TVS</t>
        </is>
      </c>
      <c r="K79" t="inlineStr">
        <is>
          <t>12.7-0-1.6-ERW 1-PE-0.189</t>
        </is>
      </c>
    </row>
    <row r="80">
      <c r="A80" t="inlineStr">
        <is>
          <t>0000189287</t>
        </is>
      </c>
      <c r="B80" t="inlineStr">
        <is>
          <t>BALAJI PRESS PRODUCTS INDIA</t>
        </is>
      </c>
      <c r="C80" t="inlineStr">
        <is>
          <t>NOS</t>
        </is>
      </c>
      <c r="D80" t="n">
        <v>14</v>
      </c>
      <c r="E80" t="n">
        <v>2.652</v>
      </c>
      <c r="F80" t="n">
        <v>3432081</v>
      </c>
      <c r="G80" t="inlineStr">
        <is>
          <t>12.7-0-1.6-ERW 1-PE</t>
        </is>
      </c>
      <c r="H80" t="n">
        <v>1.162</v>
      </c>
      <c r="I80" t="inlineStr">
        <is>
          <t>TUB-O-N-AUT-AW-PE-12.70X1.600X0.1890</t>
        </is>
      </c>
      <c r="J80" t="inlineStr">
        <is>
          <t>TVS</t>
        </is>
      </c>
      <c r="K80" t="inlineStr">
        <is>
          <t>12.7-0-1.6-ERW 1-PE-0.189</t>
        </is>
      </c>
    </row>
    <row r="81">
      <c r="A81" t="inlineStr">
        <is>
          <t>0000189481</t>
        </is>
      </c>
      <c r="B81" t="inlineStr">
        <is>
          <t>Rajsriya Automotive Industries</t>
        </is>
      </c>
      <c r="C81" t="inlineStr">
        <is>
          <t>NOS</t>
        </is>
      </c>
      <c r="D81" t="n">
        <v>12806</v>
      </c>
      <c r="E81" t="n">
        <v>3215.385</v>
      </c>
      <c r="F81" t="n">
        <v>1939993</v>
      </c>
      <c r="G81" t="inlineStr">
        <is>
          <t>12.7-0-1.6-ERW 1-PE</t>
        </is>
      </c>
      <c r="H81" t="n">
        <v>1408.66</v>
      </c>
      <c r="I81" t="inlineStr">
        <is>
          <t>TUB-O-O-AUT-AW-PE-12.70X1.600X0.2500</t>
        </is>
      </c>
      <c r="J81" t="inlineStr">
        <is>
          <t>TVS</t>
        </is>
      </c>
      <c r="K81" t="inlineStr">
        <is>
          <t>12.7-0-1.6-ERW 1-PE-0.25</t>
        </is>
      </c>
    </row>
    <row r="82">
      <c r="A82" t="inlineStr">
        <is>
          <t>0000189481</t>
        </is>
      </c>
      <c r="B82" t="inlineStr">
        <is>
          <t>Rajsriya Automotive Industries</t>
        </is>
      </c>
      <c r="C82" t="inlineStr">
        <is>
          <t>NOS</t>
        </is>
      </c>
      <c r="D82" t="n">
        <v>5181</v>
      </c>
      <c r="E82" t="n">
        <v>1300.867</v>
      </c>
      <c r="F82" t="n">
        <v>1939993</v>
      </c>
      <c r="G82" t="inlineStr">
        <is>
          <t>12.7-0-1.6-ERW 1-PE</t>
        </is>
      </c>
      <c r="H82" t="n">
        <v>569.91</v>
      </c>
      <c r="I82" t="inlineStr">
        <is>
          <t>TUB-O-O-AUT-AW-PE-12.70X1.600X0.2500</t>
        </is>
      </c>
      <c r="J82" t="inlineStr">
        <is>
          <t>TVS</t>
        </is>
      </c>
      <c r="K82" t="inlineStr">
        <is>
          <t>12.7-0-1.6-ERW 1-PE-0.25</t>
        </is>
      </c>
    </row>
    <row r="83">
      <c r="A83" t="inlineStr">
        <is>
          <t>0000189481</t>
        </is>
      </c>
      <c r="B83" t="inlineStr">
        <is>
          <t>Rajsriya Automotive Industries</t>
        </is>
      </c>
      <c r="C83" t="inlineStr">
        <is>
          <t>NOS</t>
        </is>
      </c>
      <c r="D83" t="n">
        <v>1390</v>
      </c>
      <c r="E83" t="n">
        <v>349.007</v>
      </c>
      <c r="F83" t="n">
        <v>1939993</v>
      </c>
      <c r="G83" t="inlineStr">
        <is>
          <t>12.7-0-1.6-ERW 1-PE</t>
        </is>
      </c>
      <c r="H83" t="n">
        <v>152.9</v>
      </c>
      <c r="I83" t="inlineStr">
        <is>
          <t>TUB-O-O-AUT-AW-PE-12.70X1.600X0.2500</t>
        </is>
      </c>
      <c r="J83" t="inlineStr">
        <is>
          <t>TVS</t>
        </is>
      </c>
      <c r="K83" t="inlineStr">
        <is>
          <t>12.7-0-1.6-ERW 1-PE-0.25</t>
        </is>
      </c>
    </row>
    <row r="84">
      <c r="A84" t="inlineStr">
        <is>
          <t>0000189481</t>
        </is>
      </c>
      <c r="B84" t="inlineStr">
        <is>
          <t>Rajsriya Automotive Industries</t>
        </is>
      </c>
      <c r="C84" t="inlineStr">
        <is>
          <t>NOS</t>
        </is>
      </c>
      <c r="D84" t="n">
        <v>1490</v>
      </c>
      <c r="E84" t="n">
        <v>374.115</v>
      </c>
      <c r="F84" t="n">
        <v>1939993</v>
      </c>
      <c r="G84" t="inlineStr">
        <is>
          <t>12.7-0-1.6-ERW 1-PE</t>
        </is>
      </c>
      <c r="H84" t="n">
        <v>163.9</v>
      </c>
      <c r="I84" t="inlineStr">
        <is>
          <t>TUB-O-O-AUT-AW-PE-12.70X1.600X0.2500</t>
        </is>
      </c>
      <c r="J84" t="inlineStr">
        <is>
          <t>TVS</t>
        </is>
      </c>
      <c r="K84" t="inlineStr">
        <is>
          <t>12.7-0-1.6-ERW 1-PE-0.25</t>
        </is>
      </c>
    </row>
    <row r="85">
      <c r="A85" t="inlineStr">
        <is>
          <t>0000189481</t>
        </is>
      </c>
      <c r="B85" t="inlineStr">
        <is>
          <t>Rajsriya Automotive Industries</t>
        </is>
      </c>
      <c r="C85" t="inlineStr">
        <is>
          <t>NOS</t>
        </is>
      </c>
      <c r="D85" t="n">
        <v>33</v>
      </c>
      <c r="E85" t="n">
        <v>8.286</v>
      </c>
      <c r="F85" t="n">
        <v>1939993</v>
      </c>
      <c r="G85" t="inlineStr">
        <is>
          <t>12.7-0-1.6-ERW 1-PE</t>
        </is>
      </c>
      <c r="H85" t="n">
        <v>3.63</v>
      </c>
      <c r="I85" t="inlineStr">
        <is>
          <t>TUB-O-O-AUT-AW-PE-12.70X1.600X0.2500</t>
        </is>
      </c>
      <c r="J85" t="inlineStr">
        <is>
          <t>TVS</t>
        </is>
      </c>
      <c r="K85" t="inlineStr">
        <is>
          <t>12.7-0-1.6-ERW 1-PE-0.25</t>
        </is>
      </c>
    </row>
    <row r="86">
      <c r="A86" t="inlineStr">
        <is>
          <t>0000189002</t>
        </is>
      </c>
      <c r="B86" t="inlineStr">
        <is>
          <t>Marathwada Auto Compo Pvt. Ltd.</t>
        </is>
      </c>
      <c r="C86" t="inlineStr">
        <is>
          <t>NOS</t>
        </is>
      </c>
      <c r="D86" t="n">
        <v>823</v>
      </c>
      <c r="E86" t="n">
        <v>1437.055</v>
      </c>
      <c r="F86" t="n">
        <v>3672606</v>
      </c>
      <c r="G86" t="inlineStr">
        <is>
          <t>15.88-0-1-ERW 1-PE</t>
        </is>
      </c>
      <c r="H86" t="n">
        <v>527.543</v>
      </c>
      <c r="I86" t="inlineStr">
        <is>
          <t>TUB-O-N-AUT-AW-PE-15.88X1.000X1.7450</t>
        </is>
      </c>
      <c r="J86" t="inlineStr">
        <is>
          <t>TVS</t>
        </is>
      </c>
      <c r="K86" t="inlineStr">
        <is>
          <t>15.88-0-1-ERW 1-PE-1.745</t>
        </is>
      </c>
    </row>
    <row r="87">
      <c r="A87" t="inlineStr">
        <is>
          <t>0000189002</t>
        </is>
      </c>
      <c r="B87" t="inlineStr">
        <is>
          <t>Marathwada Auto Compo Pvt. Ltd.</t>
        </is>
      </c>
      <c r="C87" t="inlineStr">
        <is>
          <t>NOS</t>
        </is>
      </c>
      <c r="D87" t="n">
        <v>698</v>
      </c>
      <c r="E87" t="n">
        <v>1218.791</v>
      </c>
      <c r="F87" t="n">
        <v>3672606</v>
      </c>
      <c r="G87" t="inlineStr">
        <is>
          <t>15.88-0-1-ERW 1-PE</t>
        </is>
      </c>
      <c r="H87" t="n">
        <v>447.418</v>
      </c>
      <c r="I87" t="inlineStr">
        <is>
          <t>TUB-O-N-AUT-AW-PE-15.88X1.000X1.7450</t>
        </is>
      </c>
      <c r="J87" t="inlineStr">
        <is>
          <t>TVS</t>
        </is>
      </c>
      <c r="K87" t="inlineStr">
        <is>
          <t>15.88-0-1-ERW 1-PE-1.745</t>
        </is>
      </c>
    </row>
    <row r="88">
      <c r="A88" t="inlineStr">
        <is>
          <t>0000189002</t>
        </is>
      </c>
      <c r="B88" t="inlineStr">
        <is>
          <t>Marathwada Auto Compo Pvt. Ltd.</t>
        </is>
      </c>
      <c r="C88" t="inlineStr">
        <is>
          <t>NOS</t>
        </is>
      </c>
      <c r="D88" t="n">
        <v>479</v>
      </c>
      <c r="E88" t="n">
        <v>836.391</v>
      </c>
      <c r="F88" t="n">
        <v>3672606</v>
      </c>
      <c r="G88" t="inlineStr">
        <is>
          <t>15.88-0-1-ERW 1-PE</t>
        </is>
      </c>
      <c r="H88" t="n">
        <v>307.039</v>
      </c>
      <c r="I88" t="inlineStr">
        <is>
          <t>TUB-O-N-AUT-AW-PE-15.88X1.000X1.7450</t>
        </is>
      </c>
      <c r="J88" t="inlineStr">
        <is>
          <t>TVS</t>
        </is>
      </c>
      <c r="K88" t="inlineStr">
        <is>
          <t>15.88-0-1-ERW 1-PE-1.745</t>
        </is>
      </c>
    </row>
    <row r="89">
      <c r="A89" t="inlineStr">
        <is>
          <t>0000944141</t>
        </is>
      </c>
      <c r="B89" t="inlineStr">
        <is>
          <t>SRIKAM HITECH ENGINEERING PRIVATE L</t>
        </is>
      </c>
      <c r="C89" t="inlineStr">
        <is>
          <t>NOS</t>
        </is>
      </c>
      <c r="D89" t="n">
        <v>9171</v>
      </c>
      <c r="E89" t="n">
        <v>2386.428</v>
      </c>
      <c r="F89" t="n">
        <v>1932848</v>
      </c>
      <c r="G89" t="inlineStr">
        <is>
          <t>12.7-0-1.6-ERW 1-PE</t>
        </is>
      </c>
      <c r="H89" t="n">
        <v>1045.494</v>
      </c>
      <c r="I89" t="inlineStr">
        <is>
          <t>TUB-O-N-AUT-AW-PE-12.70X1.600X0.2600</t>
        </is>
      </c>
      <c r="J89" t="inlineStr">
        <is>
          <t>TVS</t>
        </is>
      </c>
      <c r="K89" t="inlineStr">
        <is>
          <t>12.7-0-1.6-ERW 1-PE-0.26</t>
        </is>
      </c>
    </row>
    <row r="90">
      <c r="A90" t="inlineStr">
        <is>
          <t>0000944141</t>
        </is>
      </c>
      <c r="B90" t="inlineStr">
        <is>
          <t>SRIKAM HITECH ENGINEERING PRIVATE L</t>
        </is>
      </c>
      <c r="C90" t="inlineStr">
        <is>
          <t>NOS</t>
        </is>
      </c>
      <c r="D90" t="n">
        <v>3570</v>
      </c>
      <c r="E90" t="n">
        <v>928.966</v>
      </c>
      <c r="F90" t="n">
        <v>1932848</v>
      </c>
      <c r="G90" t="inlineStr">
        <is>
          <t>12.7-0-1.6-ERW 1-PE</t>
        </is>
      </c>
      <c r="H90" t="n">
        <v>406.98</v>
      </c>
      <c r="I90" t="inlineStr">
        <is>
          <t>TUB-O-N-AUT-AW-PE-12.70X1.600X0.2600</t>
        </is>
      </c>
      <c r="J90" t="inlineStr">
        <is>
          <t>TVS</t>
        </is>
      </c>
      <c r="K90" t="inlineStr">
        <is>
          <t>12.7-0-1.6-ERW 1-PE-0.26</t>
        </is>
      </c>
    </row>
    <row r="91">
      <c r="A91" t="inlineStr">
        <is>
          <t>0000944141</t>
        </is>
      </c>
      <c r="B91" t="inlineStr">
        <is>
          <t>SRIKAM HITECH ENGINEERING PRIVATE L</t>
        </is>
      </c>
      <c r="C91" t="inlineStr">
        <is>
          <t>NOS</t>
        </is>
      </c>
      <c r="D91" t="n">
        <v>159</v>
      </c>
      <c r="E91" t="n">
        <v>41.374</v>
      </c>
      <c r="F91" t="n">
        <v>1932848</v>
      </c>
      <c r="G91" t="inlineStr">
        <is>
          <t>12.7-0-1.6-ERW 1-PE</t>
        </is>
      </c>
      <c r="H91" t="n">
        <v>18.126</v>
      </c>
      <c r="I91" t="inlineStr">
        <is>
          <t>TUB-O-N-AUT-AW-PE-12.70X1.600X0.2600</t>
        </is>
      </c>
      <c r="J91" t="inlineStr">
        <is>
          <t>TVS</t>
        </is>
      </c>
      <c r="K91" t="inlineStr">
        <is>
          <t>12.7-0-1.6-ERW 1-PE-0.26</t>
        </is>
      </c>
    </row>
    <row r="92">
      <c r="A92" t="inlineStr">
        <is>
          <t>0000944141</t>
        </is>
      </c>
      <c r="B92" t="inlineStr">
        <is>
          <t>SRIKAM HITECH ENGINEERING PRIVATE L</t>
        </is>
      </c>
      <c r="C92" t="inlineStr">
        <is>
          <t>NOS</t>
        </is>
      </c>
      <c r="D92" t="n">
        <v>2596</v>
      </c>
      <c r="E92" t="n">
        <v>675.5170000000001</v>
      </c>
      <c r="F92" t="n">
        <v>1932848</v>
      </c>
      <c r="G92" t="inlineStr">
        <is>
          <t>12.7-0-1.6-ERW 1-PE</t>
        </is>
      </c>
      <c r="H92" t="n">
        <v>295.944</v>
      </c>
      <c r="I92" t="inlineStr">
        <is>
          <t>TUB-O-N-AUT-AW-PE-12.70X1.600X0.2600</t>
        </is>
      </c>
      <c r="J92" t="inlineStr">
        <is>
          <t>TVS</t>
        </is>
      </c>
      <c r="K92" t="inlineStr">
        <is>
          <t>12.7-0-1.6-ERW 1-PE-0.26</t>
        </is>
      </c>
    </row>
    <row r="93">
      <c r="A93" t="inlineStr">
        <is>
          <t>0000944141</t>
        </is>
      </c>
      <c r="B93" t="inlineStr">
        <is>
          <t>SRIKAM HITECH ENGINEERING PRIVATE L</t>
        </is>
      </c>
      <c r="C93" t="inlineStr">
        <is>
          <t>NOS</t>
        </is>
      </c>
      <c r="D93" t="n">
        <v>2105</v>
      </c>
      <c r="E93" t="n">
        <v>547.752</v>
      </c>
      <c r="F93" t="n">
        <v>1932848</v>
      </c>
      <c r="G93" t="inlineStr">
        <is>
          <t>12.7-0-1.6-ERW 1-PE</t>
        </is>
      </c>
      <c r="H93" t="n">
        <v>239.97</v>
      </c>
      <c r="I93" t="inlineStr">
        <is>
          <t>TUB-O-N-AUT-AW-PE-12.70X1.600X0.2600</t>
        </is>
      </c>
      <c r="J93" t="inlineStr">
        <is>
          <t>TVS</t>
        </is>
      </c>
      <c r="K93" t="inlineStr">
        <is>
          <t>12.7-0-1.6-ERW 1-PE-0.26</t>
        </is>
      </c>
    </row>
    <row r="94">
      <c r="A94" t="inlineStr">
        <is>
          <t>0000944141</t>
        </is>
      </c>
      <c r="B94" t="inlineStr">
        <is>
          <t>SRIKAM HITECH ENGINEERING PRIVATE L</t>
        </is>
      </c>
      <c r="C94" t="inlineStr">
        <is>
          <t>NOS</t>
        </is>
      </c>
      <c r="D94" t="n">
        <v>299</v>
      </c>
      <c r="E94" t="n">
        <v>77.804</v>
      </c>
      <c r="F94" t="n">
        <v>1932848</v>
      </c>
      <c r="G94" t="inlineStr">
        <is>
          <t>12.7-0-1.6-ERW 1-PE</t>
        </is>
      </c>
      <c r="H94" t="n">
        <v>34.086</v>
      </c>
      <c r="I94" t="inlineStr">
        <is>
          <t>TUB-O-N-AUT-AW-PE-12.70X1.600X0.2600</t>
        </is>
      </c>
      <c r="J94" t="inlineStr">
        <is>
          <t>TVS</t>
        </is>
      </c>
      <c r="K94" t="inlineStr">
        <is>
          <t>12.7-0-1.6-ERW 1-PE-0.26</t>
        </is>
      </c>
    </row>
    <row r="95">
      <c r="A95" t="inlineStr">
        <is>
          <t>0000189002</t>
        </is>
      </c>
      <c r="B95" t="inlineStr">
        <is>
          <t>Marathwada Auto Compo Pvt. Ltd.</t>
        </is>
      </c>
      <c r="C95" t="inlineStr">
        <is>
          <t>NOS</t>
        </is>
      </c>
      <c r="D95" t="n">
        <v>3074</v>
      </c>
      <c r="E95" t="n">
        <v>1653.825</v>
      </c>
      <c r="F95" t="n">
        <v>3786201</v>
      </c>
      <c r="G95" t="inlineStr">
        <is>
          <t>40-25-1.6-ERW 1-FC</t>
        </is>
      </c>
      <c r="H95" t="n">
        <v>2590.221</v>
      </c>
      <c r="I95" t="inlineStr">
        <is>
          <t>TUB-R-AW-RHS-40.00X25.00X1.600X0.5380</t>
        </is>
      </c>
      <c r="J95" t="inlineStr">
        <is>
          <t>TVS</t>
        </is>
      </c>
      <c r="K95" t="inlineStr">
        <is>
          <t>40-25-1.6-ERW 1-FC-0.538</t>
        </is>
      </c>
    </row>
    <row r="96">
      <c r="A96" t="inlineStr">
        <is>
          <t>0000189002</t>
        </is>
      </c>
      <c r="B96" t="inlineStr">
        <is>
          <t>Marathwada Auto Compo Pvt. Ltd.</t>
        </is>
      </c>
      <c r="C96" t="inlineStr">
        <is>
          <t>NOS</t>
        </is>
      </c>
      <c r="D96" t="n">
        <v>1464</v>
      </c>
      <c r="E96" t="n">
        <v>787.638</v>
      </c>
      <c r="F96" t="n">
        <v>3786201</v>
      </c>
      <c r="G96" t="inlineStr">
        <is>
          <t>40-25-1.6-ERW 1-FC</t>
        </is>
      </c>
      <c r="H96" t="n">
        <v>1233.599</v>
      </c>
      <c r="I96" t="inlineStr">
        <is>
          <t>TUB-R-AW-RHS-40.00X25.00X1.600X0.5380</t>
        </is>
      </c>
      <c r="J96" t="inlineStr">
        <is>
          <t>TVS</t>
        </is>
      </c>
      <c r="K96" t="inlineStr">
        <is>
          <t>40-25-1.6-ERW 1-FC-0.538</t>
        </is>
      </c>
    </row>
    <row r="97">
      <c r="A97" t="inlineStr">
        <is>
          <t>0000189002</t>
        </is>
      </c>
      <c r="B97" t="inlineStr">
        <is>
          <t>Marathwada Auto Compo Pvt. Ltd.</t>
        </is>
      </c>
      <c r="C97" t="inlineStr">
        <is>
          <t>NOS</t>
        </is>
      </c>
      <c r="D97" t="n">
        <v>1032</v>
      </c>
      <c r="E97" t="n">
        <v>555.22</v>
      </c>
      <c r="F97" t="n">
        <v>3786201</v>
      </c>
      <c r="G97" t="inlineStr">
        <is>
          <t>40-25-1.6-ERW 1-FC</t>
        </is>
      </c>
      <c r="H97" t="n">
        <v>869.586</v>
      </c>
      <c r="I97" t="inlineStr">
        <is>
          <t>TUB-R-AW-RHS-40.00X25.00X1.600X0.5380</t>
        </is>
      </c>
      <c r="J97" t="inlineStr">
        <is>
          <t>TVS</t>
        </is>
      </c>
      <c r="K97" t="inlineStr">
        <is>
          <t>40-25-1.6-ERW 1-FC-0.538</t>
        </is>
      </c>
    </row>
    <row r="98">
      <c r="A98" t="inlineStr">
        <is>
          <t>0000189002</t>
        </is>
      </c>
      <c r="B98" t="inlineStr">
        <is>
          <t>Marathwada Auto Compo Pvt. Ltd.</t>
        </is>
      </c>
      <c r="C98" t="inlineStr">
        <is>
          <t>NOS</t>
        </is>
      </c>
      <c r="D98" t="n">
        <v>470</v>
      </c>
      <c r="E98" t="n">
        <v>252.862</v>
      </c>
      <c r="F98" t="n">
        <v>3786201</v>
      </c>
      <c r="G98" t="inlineStr">
        <is>
          <t>40-25-1.6-ERW 1-FC</t>
        </is>
      </c>
      <c r="H98" t="n">
        <v>396.032</v>
      </c>
      <c r="I98" t="inlineStr">
        <is>
          <t>TUB-R-AW-RHS-40.00X25.00X1.600X0.5380</t>
        </is>
      </c>
      <c r="J98" t="inlineStr">
        <is>
          <t>TVS</t>
        </is>
      </c>
      <c r="K98" t="inlineStr">
        <is>
          <t>40-25-1.6-ERW 1-FC-0.538</t>
        </is>
      </c>
    </row>
    <row r="99">
      <c r="A99" t="inlineStr">
        <is>
          <t>0000189002</t>
        </is>
      </c>
      <c r="B99" t="inlineStr">
        <is>
          <t>Marathwada Auto Compo Pvt. Ltd.</t>
        </is>
      </c>
      <c r="C99" t="inlineStr">
        <is>
          <t>NOS</t>
        </is>
      </c>
      <c r="D99" t="n">
        <v>1090</v>
      </c>
      <c r="E99" t="n">
        <v>586.425</v>
      </c>
      <c r="F99" t="n">
        <v>3786201</v>
      </c>
      <c r="G99" t="inlineStr">
        <is>
          <t>40-25-1.6-ERW 1-FC</t>
        </is>
      </c>
      <c r="H99" t="n">
        <v>918.458</v>
      </c>
      <c r="I99" t="inlineStr">
        <is>
          <t>TUB-R-AW-RHS-40.00X25.00X1.600X0.5380</t>
        </is>
      </c>
      <c r="J99" t="inlineStr">
        <is>
          <t>TVS</t>
        </is>
      </c>
      <c r="K99" t="inlineStr">
        <is>
          <t>40-25-1.6-ERW 1-FC-0.538</t>
        </is>
      </c>
    </row>
    <row r="100">
      <c r="A100" t="inlineStr">
        <is>
          <t>0000189002</t>
        </is>
      </c>
      <c r="B100" t="inlineStr">
        <is>
          <t>Marathwada Auto Compo Pvt. Ltd.</t>
        </is>
      </c>
      <c r="C100" t="inlineStr">
        <is>
          <t>NOS</t>
        </is>
      </c>
      <c r="D100" t="n">
        <v>850</v>
      </c>
      <c r="E100" t="n">
        <v>457.304</v>
      </c>
      <c r="F100" t="n">
        <v>3786201</v>
      </c>
      <c r="G100" t="inlineStr">
        <is>
          <t>40-25-1.6-ERW 1-FC</t>
        </is>
      </c>
      <c r="H100" t="n">
        <v>716.229</v>
      </c>
      <c r="I100" t="inlineStr">
        <is>
          <t>TUB-R-AW-RHS-40.00X25.00X1.600X0.5380</t>
        </is>
      </c>
      <c r="J100" t="inlineStr">
        <is>
          <t>TVS</t>
        </is>
      </c>
      <c r="K100" t="inlineStr">
        <is>
          <t>40-25-1.6-ERW 1-FC-0.538</t>
        </is>
      </c>
    </row>
    <row r="101">
      <c r="A101" t="inlineStr">
        <is>
          <t>0000189002</t>
        </is>
      </c>
      <c r="B101" t="inlineStr">
        <is>
          <t>Marathwada Auto Compo Pvt. Ltd.</t>
        </is>
      </c>
      <c r="C101" t="inlineStr">
        <is>
          <t>NOS</t>
        </is>
      </c>
      <c r="D101" t="n">
        <v>15</v>
      </c>
      <c r="E101" t="n">
        <v>8.07</v>
      </c>
      <c r="F101" t="n">
        <v>3786201</v>
      </c>
      <c r="G101" t="inlineStr">
        <is>
          <t>40-25-1.6-ERW 1-FC</t>
        </is>
      </c>
      <c r="H101" t="n">
        <v>12.639</v>
      </c>
      <c r="I101" t="inlineStr">
        <is>
          <t>TUB-R-AW-RHS-40.00X25.00X1.600X0.5380</t>
        </is>
      </c>
      <c r="J101" t="inlineStr">
        <is>
          <t>TVS</t>
        </is>
      </c>
      <c r="K101" t="inlineStr">
        <is>
          <t>40-25-1.6-ERW 1-FC-0.538</t>
        </is>
      </c>
    </row>
    <row r="102">
      <c r="A102" t="inlineStr">
        <is>
          <t>0000189002</t>
        </is>
      </c>
      <c r="B102" t="inlineStr">
        <is>
          <t>Marathwada Auto Compo Pvt. Ltd.</t>
        </is>
      </c>
      <c r="C102" t="inlineStr">
        <is>
          <t>NOS</t>
        </is>
      </c>
      <c r="D102" t="n">
        <v>5</v>
      </c>
      <c r="E102" t="n">
        <v>2.69</v>
      </c>
      <c r="F102" t="n">
        <v>3786201</v>
      </c>
      <c r="G102" t="inlineStr">
        <is>
          <t>40-25-1.6-ERW 1-FC</t>
        </is>
      </c>
      <c r="H102" t="n">
        <v>4.213</v>
      </c>
      <c r="I102" t="inlineStr">
        <is>
          <t>TUB-R-AW-RHS-40.00X25.00X1.600X0.5380</t>
        </is>
      </c>
      <c r="J102" t="inlineStr">
        <is>
          <t>TVS</t>
        </is>
      </c>
      <c r="K102" t="inlineStr">
        <is>
          <t>40-25-1.6-ERW 1-FC-0.538</t>
        </is>
      </c>
    </row>
    <row r="103">
      <c r="A103" t="inlineStr">
        <is>
          <t>0000944141</t>
        </is>
      </c>
      <c r="B103" t="inlineStr">
        <is>
          <t>SRIKAM HITECH ENGINEERING PRIVATE L</t>
        </is>
      </c>
      <c r="C103" t="inlineStr">
        <is>
          <t>NOS</t>
        </is>
      </c>
      <c r="D103" t="n">
        <v>13162</v>
      </c>
      <c r="E103" t="n">
        <v>3695.334</v>
      </c>
      <c r="F103" t="n">
        <v>1939994</v>
      </c>
      <c r="G103" t="inlineStr">
        <is>
          <t>12.7-0-1.6-ERW 1-PE</t>
        </is>
      </c>
      <c r="H103" t="n">
        <v>1618.926</v>
      </c>
      <c r="I103" t="inlineStr">
        <is>
          <t>TUB-O-O-AUT-AW-PE-12.70X1.600X0.2800</t>
        </is>
      </c>
      <c r="J103" t="inlineStr">
        <is>
          <t>TVS</t>
        </is>
      </c>
      <c r="K103" t="inlineStr">
        <is>
          <t>12.7-0-1.6-ERW 1-PE-0.28</t>
        </is>
      </c>
    </row>
    <row r="104">
      <c r="A104" t="inlineStr">
        <is>
          <t>0000944141</t>
        </is>
      </c>
      <c r="B104" t="inlineStr">
        <is>
          <t>SRIKAM HITECH ENGINEERING PRIVATE L</t>
        </is>
      </c>
      <c r="C104" t="inlineStr">
        <is>
          <t>NOS</t>
        </is>
      </c>
      <c r="D104" t="n">
        <v>5886</v>
      </c>
      <c r="E104" t="n">
        <v>1652.541</v>
      </c>
      <c r="F104" t="n">
        <v>1939994</v>
      </c>
      <c r="G104" t="inlineStr">
        <is>
          <t>12.7-0-1.6-ERW 1-PE</t>
        </is>
      </c>
      <c r="H104" t="n">
        <v>723.978</v>
      </c>
      <c r="I104" t="inlineStr">
        <is>
          <t>TUB-O-O-AUT-AW-PE-12.70X1.600X0.2800</t>
        </is>
      </c>
      <c r="J104" t="inlineStr">
        <is>
          <t>TVS</t>
        </is>
      </c>
      <c r="K104" t="inlineStr">
        <is>
          <t>12.7-0-1.6-ERW 1-PE-0.28</t>
        </is>
      </c>
    </row>
    <row r="105">
      <c r="A105" t="inlineStr">
        <is>
          <t>0000944141</t>
        </is>
      </c>
      <c r="B105" t="inlineStr">
        <is>
          <t>SRIKAM HITECH ENGINEERING PRIVATE L</t>
        </is>
      </c>
      <c r="C105" t="inlineStr">
        <is>
          <t>NOS</t>
        </is>
      </c>
      <c r="D105" t="n">
        <v>1495</v>
      </c>
      <c r="E105" t="n">
        <v>419.733</v>
      </c>
      <c r="F105" t="n">
        <v>1939994</v>
      </c>
      <c r="G105" t="inlineStr">
        <is>
          <t>12.7-0-1.6-ERW 1-PE</t>
        </is>
      </c>
      <c r="H105" t="n">
        <v>183.885</v>
      </c>
      <c r="I105" t="inlineStr">
        <is>
          <t>TUB-O-O-AUT-AW-PE-12.70X1.600X0.2800</t>
        </is>
      </c>
      <c r="J105" t="inlineStr">
        <is>
          <t>TVS</t>
        </is>
      </c>
      <c r="K105" t="inlineStr">
        <is>
          <t>12.7-0-1.6-ERW 1-PE-0.28</t>
        </is>
      </c>
    </row>
    <row r="106">
      <c r="A106" t="inlineStr">
        <is>
          <t>0000944141</t>
        </is>
      </c>
      <c r="B106" t="inlineStr">
        <is>
          <t>SRIKAM HITECH ENGINEERING PRIVATE L</t>
        </is>
      </c>
      <c r="C106" t="inlineStr">
        <is>
          <t>NOS</t>
        </is>
      </c>
      <c r="D106" t="n">
        <v>1157</v>
      </c>
      <c r="E106" t="n">
        <v>324.837</v>
      </c>
      <c r="F106" t="n">
        <v>1939994</v>
      </c>
      <c r="G106" t="inlineStr">
        <is>
          <t>12.7-0-1.6-ERW 1-PE</t>
        </is>
      </c>
      <c r="H106" t="n">
        <v>142.311</v>
      </c>
      <c r="I106" t="inlineStr">
        <is>
          <t>TUB-O-O-AUT-AW-PE-12.70X1.600X0.2800</t>
        </is>
      </c>
      <c r="J106" t="inlineStr">
        <is>
          <t>TVS</t>
        </is>
      </c>
      <c r="K106" t="inlineStr">
        <is>
          <t>12.7-0-1.6-ERW 1-PE-0.28</t>
        </is>
      </c>
    </row>
    <row r="107">
      <c r="A107" t="inlineStr">
        <is>
          <t>0000189481</t>
        </is>
      </c>
      <c r="B107" t="inlineStr">
        <is>
          <t>Rajsriya Automotive Industries</t>
        </is>
      </c>
      <c r="C107" t="inlineStr">
        <is>
          <t>NOS</t>
        </is>
      </c>
      <c r="D107" t="n">
        <v>5731</v>
      </c>
      <c r="E107" t="n">
        <v>1687.512</v>
      </c>
      <c r="F107" t="n">
        <v>1939996</v>
      </c>
      <c r="G107" t="inlineStr">
        <is>
          <t>12.7-0-1.6-ERW 1-PE</t>
        </is>
      </c>
      <c r="H107" t="n">
        <v>739.299</v>
      </c>
      <c r="I107" t="inlineStr">
        <is>
          <t>TUB-O-O-AUT-AW-PE-12.70X1.600X0.2950</t>
        </is>
      </c>
      <c r="J107" t="inlineStr">
        <is>
          <t>TVS</t>
        </is>
      </c>
      <c r="K107" t="inlineStr">
        <is>
          <t>12.7-0-1.6-ERW 1-PE-0.295</t>
        </is>
      </c>
    </row>
    <row r="108">
      <c r="A108" t="inlineStr">
        <is>
          <t>0000189481</t>
        </is>
      </c>
      <c r="B108" t="inlineStr">
        <is>
          <t>Rajsriya Automotive Industries</t>
        </is>
      </c>
      <c r="C108" t="inlineStr">
        <is>
          <t>NOS</t>
        </is>
      </c>
      <c r="D108" t="n">
        <v>2705</v>
      </c>
      <c r="E108" t="n">
        <v>796.496</v>
      </c>
      <c r="F108" t="n">
        <v>1939996</v>
      </c>
      <c r="G108" t="inlineStr">
        <is>
          <t>12.7-0-1.6-ERW 1-PE</t>
        </is>
      </c>
      <c r="H108" t="n">
        <v>348.945</v>
      </c>
      <c r="I108" t="inlineStr">
        <is>
          <t>TUB-O-O-AUT-AW-PE-12.70X1.600X0.2950</t>
        </is>
      </c>
      <c r="J108" t="inlineStr">
        <is>
          <t>TVS</t>
        </is>
      </c>
      <c r="K108" t="inlineStr">
        <is>
          <t>12.7-0-1.6-ERW 1-PE-0.295</t>
        </is>
      </c>
    </row>
    <row r="109">
      <c r="A109" t="inlineStr">
        <is>
          <t>0000189481</t>
        </is>
      </c>
      <c r="B109" t="inlineStr">
        <is>
          <t>Rajsriya Automotive Industries</t>
        </is>
      </c>
      <c r="C109" t="inlineStr">
        <is>
          <t>NOS</t>
        </is>
      </c>
      <c r="D109" t="n">
        <v>2410</v>
      </c>
      <c r="E109" t="n">
        <v>709.633</v>
      </c>
      <c r="F109" t="n">
        <v>1939996</v>
      </c>
      <c r="G109" t="inlineStr">
        <is>
          <t>12.7-0-1.6-ERW 1-PE</t>
        </is>
      </c>
      <c r="H109" t="n">
        <v>310.89</v>
      </c>
      <c r="I109" t="inlineStr">
        <is>
          <t>TUB-O-O-AUT-AW-PE-12.70X1.600X0.2950</t>
        </is>
      </c>
      <c r="J109" t="inlineStr">
        <is>
          <t>TVS</t>
        </is>
      </c>
      <c r="K109" t="inlineStr">
        <is>
          <t>12.7-0-1.6-ERW 1-PE-0.295</t>
        </is>
      </c>
    </row>
    <row r="110">
      <c r="A110" t="inlineStr">
        <is>
          <t>0000189481</t>
        </is>
      </c>
      <c r="B110" t="inlineStr">
        <is>
          <t>Rajsriya Automotive Industries</t>
        </is>
      </c>
      <c r="C110" t="inlineStr">
        <is>
          <t>NOS</t>
        </is>
      </c>
      <c r="D110" t="n">
        <v>154</v>
      </c>
      <c r="E110" t="n">
        <v>45.346</v>
      </c>
      <c r="F110" t="n">
        <v>1939996</v>
      </c>
      <c r="G110" t="inlineStr">
        <is>
          <t>12.7-0-1.6-ERW 1-PE</t>
        </is>
      </c>
      <c r="H110" t="n">
        <v>19.866</v>
      </c>
      <c r="I110" t="inlineStr">
        <is>
          <t>TUB-O-O-AUT-AW-PE-12.70X1.600X0.2950</t>
        </is>
      </c>
      <c r="J110" t="inlineStr">
        <is>
          <t>TVS</t>
        </is>
      </c>
      <c r="K110" t="inlineStr">
        <is>
          <t>12.7-0-1.6-ERW 1-PE-0.295</t>
        </is>
      </c>
    </row>
    <row r="111">
      <c r="A111" t="inlineStr">
        <is>
          <t>0000189002</t>
        </is>
      </c>
      <c r="B111" t="inlineStr">
        <is>
          <t>Marathwada Auto Compo Pvt. Ltd.</t>
        </is>
      </c>
      <c r="C111" t="inlineStr">
        <is>
          <t>NOS</t>
        </is>
      </c>
      <c r="D111" t="n">
        <v>2799</v>
      </c>
      <c r="E111" t="n">
        <v>1643.006</v>
      </c>
      <c r="F111" t="n">
        <v>3786202</v>
      </c>
      <c r="G111" t="inlineStr">
        <is>
          <t>40-25-1.6-ERW 1-FC</t>
        </is>
      </c>
      <c r="H111" t="n">
        <v>2573.276</v>
      </c>
      <c r="I111" t="inlineStr">
        <is>
          <t>TUB-R-AW-RHS-40.00X25.00X1.600X0.5870</t>
        </is>
      </c>
      <c r="J111" t="inlineStr">
        <is>
          <t>TVS</t>
        </is>
      </c>
      <c r="K111" t="inlineStr">
        <is>
          <t>40-25-1.6-ERW 1-FC-0.587</t>
        </is>
      </c>
    </row>
    <row r="112">
      <c r="A112" t="inlineStr">
        <is>
          <t>0000189002</t>
        </is>
      </c>
      <c r="B112" t="inlineStr">
        <is>
          <t>Marathwada Auto Compo Pvt. Ltd.</t>
        </is>
      </c>
      <c r="C112" t="inlineStr">
        <is>
          <t>NOS</t>
        </is>
      </c>
      <c r="D112" t="n">
        <v>1399</v>
      </c>
      <c r="E112" t="n">
        <v>821.21</v>
      </c>
      <c r="F112" t="n">
        <v>3786202</v>
      </c>
      <c r="G112" t="inlineStr">
        <is>
          <t>40-25-1.6-ERW 1-FC</t>
        </is>
      </c>
      <c r="H112" t="n">
        <v>1286.178</v>
      </c>
      <c r="I112" t="inlineStr">
        <is>
          <t>TUB-R-AW-RHS-40.00X25.00X1.600X0.5870</t>
        </is>
      </c>
      <c r="J112" t="inlineStr">
        <is>
          <t>TVS</t>
        </is>
      </c>
      <c r="K112" t="inlineStr">
        <is>
          <t>40-25-1.6-ERW 1-FC-0.587</t>
        </is>
      </c>
    </row>
    <row r="113">
      <c r="A113" t="inlineStr">
        <is>
          <t>0000189002</t>
        </is>
      </c>
      <c r="B113" t="inlineStr">
        <is>
          <t>Marathwada Auto Compo Pvt. Ltd.</t>
        </is>
      </c>
      <c r="C113" t="inlineStr">
        <is>
          <t>NOS</t>
        </is>
      </c>
      <c r="D113" t="n">
        <v>2</v>
      </c>
      <c r="E113" t="n">
        <v>1.174</v>
      </c>
      <c r="F113" t="n">
        <v>3786202</v>
      </c>
      <c r="G113" t="inlineStr">
        <is>
          <t>40-25-1.6-ERW 1-FC</t>
        </is>
      </c>
      <c r="H113" t="n">
        <v>1.839</v>
      </c>
      <c r="I113" t="inlineStr">
        <is>
          <t>TUB-R-AW-RHS-40.00X25.00X1.600X0.5870</t>
        </is>
      </c>
      <c r="J113" t="inlineStr">
        <is>
          <t>TVS</t>
        </is>
      </c>
      <c r="K113" t="inlineStr">
        <is>
          <t>40-25-1.6-ERW 1-FC-0.587</t>
        </is>
      </c>
    </row>
    <row r="114">
      <c r="A114" t="inlineStr">
        <is>
          <t>0000189002</t>
        </is>
      </c>
      <c r="B114" t="inlineStr">
        <is>
          <t>Marathwada Auto Compo Pvt. Ltd.</t>
        </is>
      </c>
      <c r="C114" t="inlineStr">
        <is>
          <t>NOS</t>
        </is>
      </c>
      <c r="D114" t="n">
        <v>1222</v>
      </c>
      <c r="E114" t="n">
        <v>717.311</v>
      </c>
      <c r="F114" t="n">
        <v>3786202</v>
      </c>
      <c r="G114" t="inlineStr">
        <is>
          <t>40-25-1.6-ERW 1-FC</t>
        </is>
      </c>
      <c r="H114" t="n">
        <v>1123.452</v>
      </c>
      <c r="I114" t="inlineStr">
        <is>
          <t>TUB-R-AW-RHS-40.00X25.00X1.600X0.5870</t>
        </is>
      </c>
      <c r="J114" t="inlineStr">
        <is>
          <t>TVS</t>
        </is>
      </c>
      <c r="K114" t="inlineStr">
        <is>
          <t>40-25-1.6-ERW 1-FC-0.587</t>
        </is>
      </c>
    </row>
    <row r="115">
      <c r="A115" t="inlineStr">
        <is>
          <t>0000189002</t>
        </is>
      </c>
      <c r="B115" t="inlineStr">
        <is>
          <t>Marathwada Auto Compo Pvt. Ltd.</t>
        </is>
      </c>
      <c r="C115" t="inlineStr">
        <is>
          <t>NOS</t>
        </is>
      </c>
      <c r="D115" t="n">
        <v>18</v>
      </c>
      <c r="E115" t="n">
        <v>10.566</v>
      </c>
      <c r="F115" t="n">
        <v>3786202</v>
      </c>
      <c r="G115" t="inlineStr">
        <is>
          <t>40-25-1.6-ERW 1-FC</t>
        </is>
      </c>
      <c r="H115" t="n">
        <v>16.548</v>
      </c>
      <c r="I115" t="inlineStr">
        <is>
          <t>TUB-R-AW-RHS-40.00X25.00X1.600X0.5870</t>
        </is>
      </c>
      <c r="J115" t="inlineStr">
        <is>
          <t>TVS</t>
        </is>
      </c>
      <c r="K115" t="inlineStr">
        <is>
          <t>40-25-1.6-ERW 1-FC-0.587</t>
        </is>
      </c>
    </row>
    <row r="116">
      <c r="A116" t="inlineStr">
        <is>
          <t>0000948721</t>
        </is>
      </c>
      <c r="B116" t="inlineStr">
        <is>
          <t>ELKAYEM AUTO ANCILLARIES PRIVATE LI</t>
        </is>
      </c>
      <c r="C116" t="inlineStr">
        <is>
          <t>NOS</t>
        </is>
      </c>
      <c r="D116" t="n">
        <v>4287</v>
      </c>
      <c r="E116" t="n">
        <v>4079.596</v>
      </c>
      <c r="F116" t="n">
        <v>3172238</v>
      </c>
      <c r="G116" t="inlineStr">
        <is>
          <t>12.7-0-1.6-ERW 1-PE</t>
        </is>
      </c>
      <c r="H116" t="n">
        <v>1787.679</v>
      </c>
      <c r="I116" t="inlineStr">
        <is>
          <t>TUB-O-N-AUT-AW-PE-12.70X1.600X0.9500</t>
        </is>
      </c>
      <c r="J116" t="inlineStr">
        <is>
          <t>TVS</t>
        </is>
      </c>
      <c r="K116" t="inlineStr">
        <is>
          <t>12.7-0-1.6-ERW 1-PE-0.95</t>
        </is>
      </c>
    </row>
    <row r="117">
      <c r="A117" t="inlineStr">
        <is>
          <t>0000189002</t>
        </is>
      </c>
      <c r="B117" t="inlineStr">
        <is>
          <t>Marathwada Auto Compo Pvt. Ltd.</t>
        </is>
      </c>
      <c r="C117" t="inlineStr">
        <is>
          <t>NOS</t>
        </is>
      </c>
      <c r="D117" t="n">
        <v>750</v>
      </c>
      <c r="E117" t="n">
        <v>1201.308</v>
      </c>
      <c r="F117" t="n">
        <v>1941846</v>
      </c>
      <c r="G117" t="inlineStr">
        <is>
          <t>15.88-0-1-ERW 1-PE</t>
        </is>
      </c>
      <c r="H117" t="n">
        <v>441</v>
      </c>
      <c r="I117" t="inlineStr">
        <is>
          <t>TUB-E-O-AUT-AW-FC-15.88X1.000X1.6030</t>
        </is>
      </c>
      <c r="J117" t="inlineStr">
        <is>
          <t>TVS</t>
        </is>
      </c>
      <c r="K117" t="inlineStr">
        <is>
          <t>15.88-0-1-ERW 1-PE-1.603</t>
        </is>
      </c>
    </row>
    <row r="118">
      <c r="A118" t="inlineStr">
        <is>
          <t>0000189002</t>
        </is>
      </c>
      <c r="B118" t="inlineStr">
        <is>
          <t>Marathwada Auto Compo Pvt. Ltd.</t>
        </is>
      </c>
      <c r="C118" t="inlineStr">
        <is>
          <t>NOS</t>
        </is>
      </c>
      <c r="D118" t="n">
        <v>553</v>
      </c>
      <c r="E118" t="n">
        <v>885.764</v>
      </c>
      <c r="F118" t="n">
        <v>1941846</v>
      </c>
      <c r="G118" t="inlineStr">
        <is>
          <t>15.88-0-1-ERW 1-PE</t>
        </is>
      </c>
      <c r="H118" t="n">
        <v>325.164</v>
      </c>
      <c r="I118" t="inlineStr">
        <is>
          <t>TUB-E-O-AUT-AW-FC-15.88X1.000X1.6030</t>
        </is>
      </c>
      <c r="J118" t="inlineStr">
        <is>
          <t>TVS</t>
        </is>
      </c>
      <c r="K118" t="inlineStr">
        <is>
          <t>15.88-0-1-ERW 1-PE-1.603</t>
        </is>
      </c>
    </row>
    <row r="119">
      <c r="A119" t="inlineStr">
        <is>
          <t>0000189002</t>
        </is>
      </c>
      <c r="B119" t="inlineStr">
        <is>
          <t>Marathwada Auto Compo Pvt. Ltd.</t>
        </is>
      </c>
      <c r="C119" t="inlineStr">
        <is>
          <t>NOS</t>
        </is>
      </c>
      <c r="D119" t="n">
        <v>976</v>
      </c>
      <c r="E119" t="n">
        <v>1563.302</v>
      </c>
      <c r="F119" t="n">
        <v>1941846</v>
      </c>
      <c r="G119" t="inlineStr">
        <is>
          <t>15.88-0-1-ERW 1-PE</t>
        </is>
      </c>
      <c r="H119" t="n">
        <v>573.888</v>
      </c>
      <c r="I119" t="inlineStr">
        <is>
          <t>TUB-E-O-AUT-AW-FC-15.88X1.000X1.6030</t>
        </is>
      </c>
      <c r="J119" t="inlineStr">
        <is>
          <t>TVS</t>
        </is>
      </c>
      <c r="K119" t="inlineStr">
        <is>
          <t>15.88-0-1-ERW 1-PE-1.603</t>
        </is>
      </c>
    </row>
    <row r="120">
      <c r="A120" t="inlineStr">
        <is>
          <t>0000189002</t>
        </is>
      </c>
      <c r="B120" t="inlineStr">
        <is>
          <t>Marathwada Auto Compo Pvt. Ltd.</t>
        </is>
      </c>
      <c r="C120" t="inlineStr">
        <is>
          <t>NOS</t>
        </is>
      </c>
      <c r="D120" t="n">
        <v>630</v>
      </c>
      <c r="E120" t="n">
        <v>1009.098</v>
      </c>
      <c r="F120" t="n">
        <v>1941846</v>
      </c>
      <c r="G120" t="inlineStr">
        <is>
          <t>15.88-0-1-ERW 1-PE</t>
        </is>
      </c>
      <c r="H120" t="n">
        <v>370.44</v>
      </c>
      <c r="I120" t="inlineStr">
        <is>
          <t>TUB-E-O-AUT-AW-FC-15.88X1.000X1.6030</t>
        </is>
      </c>
      <c r="J120" t="inlineStr">
        <is>
          <t>TVS</t>
        </is>
      </c>
      <c r="K120" t="inlineStr">
        <is>
          <t>15.88-0-1-ERW 1-PE-1.603</t>
        </is>
      </c>
    </row>
    <row r="121">
      <c r="A121" t="inlineStr">
        <is>
          <t>0000189002</t>
        </is>
      </c>
      <c r="B121" t="inlineStr">
        <is>
          <t>Marathwada Auto Compo Pvt. Ltd.</t>
        </is>
      </c>
      <c r="C121" t="inlineStr">
        <is>
          <t>NOS</t>
        </is>
      </c>
      <c r="D121" t="n">
        <v>445</v>
      </c>
      <c r="E121" t="n">
        <v>712.776</v>
      </c>
      <c r="F121" t="n">
        <v>1941846</v>
      </c>
      <c r="G121" t="inlineStr">
        <is>
          <t>15.88-0-1-ERW 1-PE</t>
        </is>
      </c>
      <c r="H121" t="n">
        <v>261.66</v>
      </c>
      <c r="I121" t="inlineStr">
        <is>
          <t>TUB-E-O-AUT-AW-FC-15.88X1.000X1.6030</t>
        </is>
      </c>
      <c r="J121" t="inlineStr">
        <is>
          <t>TVS</t>
        </is>
      </c>
      <c r="K121" t="inlineStr">
        <is>
          <t>15.88-0-1-ERW 1-PE-1.603</t>
        </is>
      </c>
    </row>
    <row r="122">
      <c r="A122" t="inlineStr">
        <is>
          <t>0000189002</t>
        </is>
      </c>
      <c r="B122" t="inlineStr">
        <is>
          <t>Marathwada Auto Compo Pvt. Ltd.</t>
        </is>
      </c>
      <c r="C122" t="inlineStr">
        <is>
          <t>NOS</t>
        </is>
      </c>
      <c r="D122" t="n">
        <v>139</v>
      </c>
      <c r="E122" t="n">
        <v>222.642</v>
      </c>
      <c r="F122" t="n">
        <v>1941846</v>
      </c>
      <c r="G122" t="inlineStr">
        <is>
          <t>15.88-0-1-ERW 1-PE</t>
        </is>
      </c>
      <c r="H122" t="n">
        <v>81.732</v>
      </c>
      <c r="I122" t="inlineStr">
        <is>
          <t>TUB-E-O-AUT-AW-FC-15.88X1.000X1.6030</t>
        </is>
      </c>
      <c r="J122" t="inlineStr">
        <is>
          <t>TVS</t>
        </is>
      </c>
      <c r="K122" t="inlineStr">
        <is>
          <t>15.88-0-1-ERW 1-PE-1.603</t>
        </is>
      </c>
    </row>
    <row r="123">
      <c r="A123" t="inlineStr">
        <is>
          <t>0000189002</t>
        </is>
      </c>
      <c r="B123" t="inlineStr">
        <is>
          <t>Marathwada Auto Compo Pvt. Ltd.</t>
        </is>
      </c>
      <c r="C123" t="inlineStr">
        <is>
          <t>NOS</t>
        </is>
      </c>
      <c r="D123" t="n">
        <v>57</v>
      </c>
      <c r="E123" t="n">
        <v>91.29900000000001</v>
      </c>
      <c r="F123" t="n">
        <v>1941846</v>
      </c>
      <c r="G123" t="inlineStr">
        <is>
          <t>15.88-0-1-ERW 1-PE</t>
        </is>
      </c>
      <c r="H123" t="n">
        <v>33.516</v>
      </c>
      <c r="I123" t="inlineStr">
        <is>
          <t>TUB-E-O-AUT-AW-FC-15.88X1.000X1.6030</t>
        </is>
      </c>
      <c r="J123" t="inlineStr">
        <is>
          <t>TVS</t>
        </is>
      </c>
      <c r="K123" t="inlineStr">
        <is>
          <t>15.88-0-1-ERW 1-PE-1.603</t>
        </is>
      </c>
    </row>
    <row r="124">
      <c r="A124" t="inlineStr">
        <is>
          <t>0000189002</t>
        </is>
      </c>
      <c r="B124" t="inlineStr">
        <is>
          <t>Marathwada Auto Compo Pvt. Ltd.</t>
        </is>
      </c>
      <c r="C124" t="inlineStr">
        <is>
          <t>NOS</t>
        </is>
      </c>
      <c r="D124" t="n">
        <v>25</v>
      </c>
      <c r="E124" t="n">
        <v>40.044</v>
      </c>
      <c r="F124" t="n">
        <v>1941846</v>
      </c>
      <c r="G124" t="inlineStr">
        <is>
          <t>15.88-0-1-ERW 1-PE</t>
        </is>
      </c>
      <c r="H124" t="n">
        <v>14.7</v>
      </c>
      <c r="I124" t="inlineStr">
        <is>
          <t>TUB-E-O-AUT-AW-FC-15.88X1.000X1.6030</t>
        </is>
      </c>
      <c r="J124" t="inlineStr">
        <is>
          <t>TVS</t>
        </is>
      </c>
      <c r="K124" t="inlineStr">
        <is>
          <t>15.88-0-1-ERW 1-PE-1.603</t>
        </is>
      </c>
    </row>
    <row r="125">
      <c r="A125" t="inlineStr">
        <is>
          <t>0000189002</t>
        </is>
      </c>
      <c r="B125" t="inlineStr">
        <is>
          <t>Marathwada Auto Compo Pvt. Ltd.</t>
        </is>
      </c>
      <c r="C125" t="inlineStr">
        <is>
          <t>NOS</t>
        </is>
      </c>
      <c r="D125" t="n">
        <v>1125</v>
      </c>
      <c r="E125" t="n">
        <v>1801.961</v>
      </c>
      <c r="F125" t="n">
        <v>1941846</v>
      </c>
      <c r="G125" t="inlineStr">
        <is>
          <t>15.88-0-1-ERW 1-PE</t>
        </is>
      </c>
      <c r="H125" t="n">
        <v>661.5</v>
      </c>
      <c r="I125" t="inlineStr">
        <is>
          <t>TUB-E-O-AUT-AW-FC-15.88X1.000X1.6030</t>
        </is>
      </c>
      <c r="J125" t="inlineStr">
        <is>
          <t>TVS</t>
        </is>
      </c>
      <c r="K125" t="inlineStr">
        <is>
          <t>15.88-0-1-ERW 1-PE-1.603</t>
        </is>
      </c>
    </row>
    <row r="126">
      <c r="A126" t="inlineStr">
        <is>
          <t>0000189002</t>
        </is>
      </c>
      <c r="B126" t="inlineStr">
        <is>
          <t>Marathwada Auto Compo Pvt. Ltd.</t>
        </is>
      </c>
      <c r="C126" t="inlineStr">
        <is>
          <t>NOS</t>
        </is>
      </c>
      <c r="D126" t="n">
        <v>880</v>
      </c>
      <c r="E126" t="n">
        <v>1409.534</v>
      </c>
      <c r="F126" t="n">
        <v>1941846</v>
      </c>
      <c r="G126" t="inlineStr">
        <is>
          <t>15.88-0-1-ERW 1-PE</t>
        </is>
      </c>
      <c r="H126" t="n">
        <v>517.4400000000001</v>
      </c>
      <c r="I126" t="inlineStr">
        <is>
          <t>TUB-E-O-AUT-AW-FC-15.88X1.000X1.6030</t>
        </is>
      </c>
      <c r="J126" t="inlineStr">
        <is>
          <t>TVS</t>
        </is>
      </c>
      <c r="K126" t="inlineStr">
        <is>
          <t>15.88-0-1-ERW 1-PE-1.603</t>
        </is>
      </c>
    </row>
    <row r="127">
      <c r="A127" t="inlineStr">
        <is>
          <t>0000189002</t>
        </is>
      </c>
      <c r="B127" t="inlineStr">
        <is>
          <t>Marathwada Auto Compo Pvt. Ltd.</t>
        </is>
      </c>
      <c r="C127" t="inlineStr">
        <is>
          <t>NOS</t>
        </is>
      </c>
      <c r="D127" t="n">
        <v>370</v>
      </c>
      <c r="E127" t="n">
        <v>592.645</v>
      </c>
      <c r="F127" t="n">
        <v>1941846</v>
      </c>
      <c r="G127" t="inlineStr">
        <is>
          <t>15.88-0-1-ERW 1-PE</t>
        </is>
      </c>
      <c r="H127" t="n">
        <v>217.56</v>
      </c>
      <c r="I127" t="inlineStr">
        <is>
          <t>TUB-E-O-AUT-AW-FC-15.88X1.000X1.6030</t>
        </is>
      </c>
      <c r="J127" t="inlineStr">
        <is>
          <t>TVS</t>
        </is>
      </c>
      <c r="K127" t="inlineStr">
        <is>
          <t>15.88-0-1-ERW 1-PE-1.603</t>
        </is>
      </c>
    </row>
    <row r="128">
      <c r="A128" t="inlineStr">
        <is>
          <t>0000189002</t>
        </is>
      </c>
      <c r="B128" t="inlineStr">
        <is>
          <t>Marathwada Auto Compo Pvt. Ltd.</t>
        </is>
      </c>
      <c r="C128" t="inlineStr">
        <is>
          <t>NOS</t>
        </is>
      </c>
      <c r="D128" t="n">
        <v>2375</v>
      </c>
      <c r="E128" t="n">
        <v>3804.141</v>
      </c>
      <c r="F128" t="n">
        <v>1941846</v>
      </c>
      <c r="G128" t="inlineStr">
        <is>
          <t>15.88-0-1-ERW 1-PE</t>
        </is>
      </c>
      <c r="H128" t="n">
        <v>1396.5</v>
      </c>
      <c r="I128" t="inlineStr">
        <is>
          <t>TUB-E-O-AUT-AW-FC-15.88X1.000X1.6030</t>
        </is>
      </c>
      <c r="J128" t="inlineStr">
        <is>
          <t>TVS</t>
        </is>
      </c>
      <c r="K128" t="inlineStr">
        <is>
          <t>15.88-0-1-ERW 1-PE-1.603</t>
        </is>
      </c>
    </row>
    <row r="129">
      <c r="A129" t="inlineStr">
        <is>
          <t>0000948721</t>
        </is>
      </c>
      <c r="B129" t="inlineStr">
        <is>
          <t>ELKAYEM AUTO ANCILLARIES PRIVATE LI</t>
        </is>
      </c>
      <c r="C129" t="inlineStr">
        <is>
          <t>NOS</t>
        </is>
      </c>
      <c r="D129" t="n">
        <v>1470</v>
      </c>
      <c r="E129" t="n">
        <v>1398.882</v>
      </c>
      <c r="F129" t="n">
        <v>3620427</v>
      </c>
      <c r="G129" t="inlineStr">
        <is>
          <t>12.7-0-1.6-ERW 1-PE</t>
        </is>
      </c>
      <c r="H129" t="n">
        <v>612.99</v>
      </c>
      <c r="I129" t="inlineStr">
        <is>
          <t>TUB-O-N-AUT-AW-PE-12.70X1.600X0.9500</t>
        </is>
      </c>
      <c r="J129" t="inlineStr">
        <is>
          <t>TVS</t>
        </is>
      </c>
      <c r="K129" t="inlineStr">
        <is>
          <t>12.7-0-1.6-ERW 1-PE-0.95</t>
        </is>
      </c>
    </row>
    <row r="130">
      <c r="A130" t="inlineStr">
        <is>
          <t>0000948721</t>
        </is>
      </c>
      <c r="B130" t="inlineStr">
        <is>
          <t>ELKAYEM AUTO ANCILLARIES PRIVATE LI</t>
        </is>
      </c>
      <c r="C130" t="inlineStr">
        <is>
          <t>NOS</t>
        </is>
      </c>
      <c r="D130" t="n">
        <v>1098</v>
      </c>
      <c r="E130" t="n">
        <v>1044.879</v>
      </c>
      <c r="F130" t="n">
        <v>3620427</v>
      </c>
      <c r="G130" t="inlineStr">
        <is>
          <t>12.7-0-1.6-ERW 1-PE</t>
        </is>
      </c>
      <c r="H130" t="n">
        <v>457.866</v>
      </c>
      <c r="I130" t="inlineStr">
        <is>
          <t>TUB-O-N-AUT-AW-PE-12.70X1.600X0.9500</t>
        </is>
      </c>
      <c r="J130" t="inlineStr">
        <is>
          <t>TVS</t>
        </is>
      </c>
      <c r="K130" t="inlineStr">
        <is>
          <t>12.7-0-1.6-ERW 1-PE-0.95</t>
        </is>
      </c>
    </row>
    <row r="131">
      <c r="A131" t="inlineStr">
        <is>
          <t>0000948721</t>
        </is>
      </c>
      <c r="B131" t="inlineStr">
        <is>
          <t>ELKAYEM AUTO ANCILLARIES PRIVATE LI</t>
        </is>
      </c>
      <c r="C131" t="inlineStr">
        <is>
          <t>NOS</t>
        </is>
      </c>
      <c r="D131" t="n">
        <v>472</v>
      </c>
      <c r="E131" t="n">
        <v>449.165</v>
      </c>
      <c r="F131" t="n">
        <v>3620427</v>
      </c>
      <c r="G131" t="inlineStr">
        <is>
          <t>12.7-0-1.6-ERW 1-PE</t>
        </is>
      </c>
      <c r="H131" t="n">
        <v>196.824</v>
      </c>
      <c r="I131" t="inlineStr">
        <is>
          <t>TUB-O-N-AUT-AW-PE-12.70X1.600X0.9500</t>
        </is>
      </c>
      <c r="J131" t="inlineStr">
        <is>
          <t>TVS</t>
        </is>
      </c>
      <c r="K131" t="inlineStr">
        <is>
          <t>12.7-0-1.6-ERW 1-PE-0.95</t>
        </is>
      </c>
    </row>
    <row r="132">
      <c r="A132" t="inlineStr">
        <is>
          <t>0000948721</t>
        </is>
      </c>
      <c r="B132" t="inlineStr">
        <is>
          <t>ELKAYEM AUTO ANCILLARIES PRIVATE LI</t>
        </is>
      </c>
      <c r="C132" t="inlineStr">
        <is>
          <t>NOS</t>
        </is>
      </c>
      <c r="D132" t="n">
        <v>273</v>
      </c>
      <c r="E132" t="n">
        <v>259.792</v>
      </c>
      <c r="F132" t="n">
        <v>3620427</v>
      </c>
      <c r="G132" t="inlineStr">
        <is>
          <t>12.7-0-1.6-ERW 1-PE</t>
        </is>
      </c>
      <c r="H132" t="n">
        <v>113.841</v>
      </c>
      <c r="I132" t="inlineStr">
        <is>
          <t>TUB-O-N-AUT-AW-PE-12.70X1.600X0.9500</t>
        </is>
      </c>
      <c r="J132" t="inlineStr">
        <is>
          <t>TVS</t>
        </is>
      </c>
      <c r="K132" t="inlineStr">
        <is>
          <t>12.7-0-1.6-ERW 1-PE-0.95</t>
        </is>
      </c>
    </row>
    <row r="133">
      <c r="A133" t="inlineStr">
        <is>
          <t>0000189002</t>
        </is>
      </c>
      <c r="B133" t="inlineStr">
        <is>
          <t>Marathwada Auto Compo Pvt. Ltd.</t>
        </is>
      </c>
      <c r="C133" t="inlineStr">
        <is>
          <t>NOS</t>
        </is>
      </c>
      <c r="D133" t="n">
        <v>1189</v>
      </c>
      <c r="E133" t="n">
        <v>2597.597</v>
      </c>
      <c r="F133" t="n">
        <v>1941847</v>
      </c>
      <c r="G133" t="inlineStr">
        <is>
          <t>15.88-0-1-ERW 1-PE</t>
        </is>
      </c>
      <c r="H133" t="n">
        <v>953.578</v>
      </c>
      <c r="I133" t="inlineStr">
        <is>
          <t>TUB-E-O-AUT-AW-FC-15.88X1.000X2.1850</t>
        </is>
      </c>
      <c r="J133" t="inlineStr">
        <is>
          <t>TVS</t>
        </is>
      </c>
      <c r="K133" t="inlineStr">
        <is>
          <t>15.88-0-1-ERW 1-PE-2.185</t>
        </is>
      </c>
    </row>
    <row r="134">
      <c r="A134" t="inlineStr">
        <is>
          <t>0000189002</t>
        </is>
      </c>
      <c r="B134" t="inlineStr">
        <is>
          <t>Marathwada Auto Compo Pvt. Ltd.</t>
        </is>
      </c>
      <c r="C134" t="inlineStr">
        <is>
          <t>NOS</t>
        </is>
      </c>
      <c r="D134" t="n">
        <v>380</v>
      </c>
      <c r="E134" t="n">
        <v>830.183</v>
      </c>
      <c r="F134" t="n">
        <v>1941847</v>
      </c>
      <c r="G134" t="inlineStr">
        <is>
          <t>15.88-0-1-ERW 1-PE</t>
        </is>
      </c>
      <c r="H134" t="n">
        <v>304.76</v>
      </c>
      <c r="I134" t="inlineStr">
        <is>
          <t>TUB-E-O-AUT-AW-FC-15.88X1.000X2.1850</t>
        </is>
      </c>
      <c r="J134" t="inlineStr">
        <is>
          <t>TVS</t>
        </is>
      </c>
      <c r="K134" t="inlineStr">
        <is>
          <t>15.88-0-1-ERW 1-PE-2.185</t>
        </is>
      </c>
    </row>
    <row r="135">
      <c r="A135" t="inlineStr">
        <is>
          <t>0000189002</t>
        </is>
      </c>
      <c r="B135" t="inlineStr">
        <is>
          <t>Marathwada Auto Compo Pvt. Ltd.</t>
        </is>
      </c>
      <c r="C135" t="inlineStr">
        <is>
          <t>NOS</t>
        </is>
      </c>
      <c r="D135" t="n">
        <v>184</v>
      </c>
      <c r="E135" t="n">
        <v>401.983</v>
      </c>
      <c r="F135" t="n">
        <v>1941847</v>
      </c>
      <c r="G135" t="inlineStr">
        <is>
          <t>15.88-0-1-ERW 1-PE</t>
        </is>
      </c>
      <c r="H135" t="n">
        <v>147.568</v>
      </c>
      <c r="I135" t="inlineStr">
        <is>
          <t>TUB-E-O-AUT-AW-FC-15.88X1.000X2.1850</t>
        </is>
      </c>
      <c r="J135" t="inlineStr">
        <is>
          <t>TVS</t>
        </is>
      </c>
      <c r="K135" t="inlineStr">
        <is>
          <t>15.88-0-1-ERW 1-PE-2.185</t>
        </is>
      </c>
    </row>
    <row r="136">
      <c r="A136" t="inlineStr">
        <is>
          <t>0000189002</t>
        </is>
      </c>
      <c r="B136" t="inlineStr">
        <is>
          <t>Marathwada Auto Compo Pvt. Ltd.</t>
        </is>
      </c>
      <c r="C136" t="inlineStr">
        <is>
          <t>NOS</t>
        </is>
      </c>
      <c r="D136" t="n">
        <v>16</v>
      </c>
      <c r="E136" t="n">
        <v>34.955</v>
      </c>
      <c r="F136" t="n">
        <v>1941847</v>
      </c>
      <c r="G136" t="inlineStr">
        <is>
          <t>15.88-0-1-ERW 1-PE</t>
        </is>
      </c>
      <c r="H136" t="n">
        <v>12.832</v>
      </c>
      <c r="I136" t="inlineStr">
        <is>
          <t>TUB-E-O-AUT-AW-FC-15.88X1.000X2.1850</t>
        </is>
      </c>
      <c r="J136" t="inlineStr">
        <is>
          <t>TVS</t>
        </is>
      </c>
      <c r="K136" t="inlineStr">
        <is>
          <t>15.88-0-1-ERW 1-PE-2.185</t>
        </is>
      </c>
    </row>
    <row r="137">
      <c r="A137" t="inlineStr">
        <is>
          <t>0000189002</t>
        </is>
      </c>
      <c r="B137" t="inlineStr">
        <is>
          <t>Marathwada Auto Compo Pvt. Ltd.</t>
        </is>
      </c>
      <c r="C137" t="inlineStr">
        <is>
          <t>NOS</t>
        </is>
      </c>
      <c r="D137" t="n">
        <v>6</v>
      </c>
      <c r="E137" t="n">
        <v>13.108</v>
      </c>
      <c r="F137" t="n">
        <v>1941847</v>
      </c>
      <c r="G137" t="inlineStr">
        <is>
          <t>15.88-0-1-ERW 1-PE</t>
        </is>
      </c>
      <c r="H137" t="n">
        <v>4.812</v>
      </c>
      <c r="I137" t="inlineStr">
        <is>
          <t>TUB-E-O-AUT-AW-FC-15.88X1.000X2.1850</t>
        </is>
      </c>
      <c r="J137" t="inlineStr">
        <is>
          <t>TVS</t>
        </is>
      </c>
      <c r="K137" t="inlineStr">
        <is>
          <t>15.88-0-1-ERW 1-PE-2.185</t>
        </is>
      </c>
    </row>
    <row r="138">
      <c r="A138" t="inlineStr">
        <is>
          <t>0000189002</t>
        </is>
      </c>
      <c r="B138" t="inlineStr">
        <is>
          <t>Marathwada Auto Compo Pvt. Ltd.</t>
        </is>
      </c>
      <c r="C138" t="inlineStr">
        <is>
          <t>NOS</t>
        </is>
      </c>
      <c r="D138" t="n">
        <v>825</v>
      </c>
      <c r="E138" t="n">
        <v>1802.37</v>
      </c>
      <c r="F138" t="n">
        <v>1941847</v>
      </c>
      <c r="G138" t="inlineStr">
        <is>
          <t>15.88-0-1-ERW 1-PE</t>
        </is>
      </c>
      <c r="H138" t="n">
        <v>661.65</v>
      </c>
      <c r="I138" t="inlineStr">
        <is>
          <t>TUB-E-O-AUT-AW-FC-15.88X1.000X2.1850</t>
        </is>
      </c>
      <c r="J138" t="inlineStr">
        <is>
          <t>TVS</t>
        </is>
      </c>
      <c r="K138" t="inlineStr">
        <is>
          <t>15.88-0-1-ERW 1-PE-2.185</t>
        </is>
      </c>
    </row>
    <row r="139">
      <c r="A139" t="inlineStr">
        <is>
          <t>0000189002</t>
        </is>
      </c>
      <c r="B139" t="inlineStr">
        <is>
          <t>Marathwada Auto Compo Pvt. Ltd.</t>
        </is>
      </c>
      <c r="C139" t="inlineStr">
        <is>
          <t>M</t>
        </is>
      </c>
      <c r="D139" t="n">
        <v>181</v>
      </c>
      <c r="E139" t="n">
        <v>1086</v>
      </c>
      <c r="F139" t="n">
        <v>1940852</v>
      </c>
      <c r="G139" t="inlineStr">
        <is>
          <t>40-40-1.2-CRFH-PE</t>
        </is>
      </c>
      <c r="H139" t="n">
        <v>1594.682</v>
      </c>
      <c r="I139" t="inlineStr">
        <is>
          <t>TUB-S-AW-SHS-40.00X40.00X1.200X6.0000</t>
        </is>
      </c>
      <c r="J139" t="inlineStr">
        <is>
          <t>TVS</t>
        </is>
      </c>
      <c r="K139" t="inlineStr">
        <is>
          <t>40-40-1.2-CRFH-PE-1</t>
        </is>
      </c>
    </row>
    <row r="140">
      <c r="A140" t="inlineStr">
        <is>
          <t>0000189002</t>
        </is>
      </c>
      <c r="B140" t="inlineStr">
        <is>
          <t>Marathwada Auto Compo Pvt. Ltd.</t>
        </is>
      </c>
      <c r="C140" t="inlineStr">
        <is>
          <t>M</t>
        </is>
      </c>
      <c r="D140" t="n">
        <v>175</v>
      </c>
      <c r="E140" t="n">
        <v>1050</v>
      </c>
      <c r="F140" t="n">
        <v>1940852</v>
      </c>
      <c r="G140" t="inlineStr">
        <is>
          <t>40-40-1.2-CRFH-PE</t>
        </is>
      </c>
      <c r="H140" t="n">
        <v>1541.82</v>
      </c>
      <c r="I140" t="inlineStr">
        <is>
          <t>TUB-S-AW-SHS-40.00X40.00X1.200X6.0000</t>
        </is>
      </c>
      <c r="J140" t="inlineStr">
        <is>
          <t>TVS</t>
        </is>
      </c>
      <c r="K140" t="inlineStr">
        <is>
          <t>40-40-1.2-CRFH-PE-1</t>
        </is>
      </c>
    </row>
    <row r="141">
      <c r="A141" t="inlineStr">
        <is>
          <t>0000189002</t>
        </is>
      </c>
      <c r="B141" t="inlineStr">
        <is>
          <t>Marathwada Auto Compo Pvt. Ltd.</t>
        </is>
      </c>
      <c r="C141" t="inlineStr">
        <is>
          <t>M</t>
        </is>
      </c>
      <c r="D141" t="n">
        <v>160</v>
      </c>
      <c r="E141" t="n">
        <v>962</v>
      </c>
      <c r="F141" t="n">
        <v>1940852</v>
      </c>
      <c r="G141" t="inlineStr">
        <is>
          <t>40-40-1.2-CRFH-PE</t>
        </is>
      </c>
      <c r="H141" t="n">
        <v>1412.601</v>
      </c>
      <c r="I141" t="inlineStr">
        <is>
          <t>TUB-S-AW-SHS-40.00X40.00X1.200X6.0000</t>
        </is>
      </c>
      <c r="J141" t="inlineStr">
        <is>
          <t>TVS</t>
        </is>
      </c>
      <c r="K141" t="inlineStr">
        <is>
          <t>40-40-1.2-CRFH-PE-1</t>
        </is>
      </c>
    </row>
    <row r="142">
      <c r="A142" t="inlineStr">
        <is>
          <t>0000189002</t>
        </is>
      </c>
      <c r="B142" t="inlineStr">
        <is>
          <t>Marathwada Auto Compo Pvt. Ltd.</t>
        </is>
      </c>
      <c r="C142" t="inlineStr">
        <is>
          <t>M</t>
        </is>
      </c>
      <c r="D142" t="n">
        <v>139</v>
      </c>
      <c r="E142" t="n">
        <v>834</v>
      </c>
      <c r="F142" t="n">
        <v>1940852</v>
      </c>
      <c r="G142" t="inlineStr">
        <is>
          <t>40-40-1.2-CRFH-PE</t>
        </is>
      </c>
      <c r="H142" t="n">
        <v>1224.646</v>
      </c>
      <c r="I142" t="inlineStr">
        <is>
          <t>TUB-S-AW-SHS-40.00X40.00X1.200X6.0000</t>
        </is>
      </c>
      <c r="J142" t="inlineStr">
        <is>
          <t>TVS</t>
        </is>
      </c>
      <c r="K142" t="inlineStr">
        <is>
          <t>40-40-1.2-CRFH-PE-1</t>
        </is>
      </c>
    </row>
    <row r="143">
      <c r="A143" t="inlineStr">
        <is>
          <t>0000189002</t>
        </is>
      </c>
      <c r="B143" t="inlineStr">
        <is>
          <t>Marathwada Auto Compo Pvt. Ltd.</t>
        </is>
      </c>
      <c r="C143" t="inlineStr">
        <is>
          <t>M</t>
        </is>
      </c>
      <c r="D143" t="n">
        <v>95</v>
      </c>
      <c r="E143" t="n">
        <v>568</v>
      </c>
      <c r="F143" t="n">
        <v>1940852</v>
      </c>
      <c r="G143" t="inlineStr">
        <is>
          <t>40-40-1.2-CRFH-PE</t>
        </is>
      </c>
      <c r="H143" t="n">
        <v>834.051</v>
      </c>
      <c r="I143" t="inlineStr">
        <is>
          <t>TUB-S-AW-SHS-40.00X40.00X1.200X6.0000</t>
        </is>
      </c>
      <c r="J143" t="inlineStr">
        <is>
          <t>TVS</t>
        </is>
      </c>
      <c r="K143" t="inlineStr">
        <is>
          <t>40-40-1.2-CRFH-PE-1</t>
        </is>
      </c>
    </row>
    <row r="144">
      <c r="A144" t="inlineStr">
        <is>
          <t>0000944141</t>
        </is>
      </c>
      <c r="B144" t="inlineStr">
        <is>
          <t>SRIKAM HITECH ENGINEERING PRIVATE L</t>
        </is>
      </c>
      <c r="C144" t="inlineStr">
        <is>
          <t>M</t>
        </is>
      </c>
      <c r="D144" t="n">
        <v>7</v>
      </c>
      <c r="E144" t="n">
        <v>42</v>
      </c>
      <c r="F144" t="n">
        <v>1940014</v>
      </c>
      <c r="G144" t="inlineStr">
        <is>
          <t>12.7-0-1.6-ERW 1-PE</t>
        </is>
      </c>
      <c r="H144" t="n">
        <v>18.4</v>
      </c>
      <c r="I144" t="inlineStr">
        <is>
          <t>TUB-O-O-GEN-AW-PE-12.70X1.600X6.0000</t>
        </is>
      </c>
      <c r="J144" t="inlineStr">
        <is>
          <t>TVS</t>
        </is>
      </c>
      <c r="K144" t="inlineStr">
        <is>
          <t>12.7-0-1.6-ERW 1-PE-1</t>
        </is>
      </c>
    </row>
    <row r="145">
      <c r="A145" t="inlineStr">
        <is>
          <t>0000944141</t>
        </is>
      </c>
      <c r="B145" t="inlineStr">
        <is>
          <t>SRIKAM HITECH ENGINEERING PRIVATE L</t>
        </is>
      </c>
      <c r="C145" t="inlineStr">
        <is>
          <t>M</t>
        </is>
      </c>
      <c r="D145" t="n">
        <v>7</v>
      </c>
      <c r="E145" t="n">
        <v>42</v>
      </c>
      <c r="F145" t="n">
        <v>1940014</v>
      </c>
      <c r="G145" t="inlineStr">
        <is>
          <t>12.7-0-1.6-ERW 1-PE</t>
        </is>
      </c>
      <c r="H145" t="n">
        <v>18.4</v>
      </c>
      <c r="I145" t="inlineStr">
        <is>
          <t>TUB-O-O-GEN-AW-PE-12.70X1.600X6.0000</t>
        </is>
      </c>
      <c r="J145" t="inlineStr">
        <is>
          <t>TVS</t>
        </is>
      </c>
      <c r="K145" t="inlineStr">
        <is>
          <t>12.7-0-1.6-ERW 1-PE-1</t>
        </is>
      </c>
    </row>
    <row r="146">
      <c r="A146" t="inlineStr">
        <is>
          <t>0000944141</t>
        </is>
      </c>
      <c r="B146" t="inlineStr">
        <is>
          <t>SRIKAM HITECH ENGINEERING PRIVATE L</t>
        </is>
      </c>
      <c r="C146" t="inlineStr">
        <is>
          <t>M</t>
        </is>
      </c>
      <c r="D146" t="n">
        <v>7</v>
      </c>
      <c r="E146" t="n">
        <v>42</v>
      </c>
      <c r="F146" t="n">
        <v>1940014</v>
      </c>
      <c r="G146" t="inlineStr">
        <is>
          <t>12.7-0-1.6-ERW 1-PE</t>
        </is>
      </c>
      <c r="H146" t="n">
        <v>18.4</v>
      </c>
      <c r="I146" t="inlineStr">
        <is>
          <t>TUB-O-O-GEN-AW-PE-12.70X1.600X6.0000</t>
        </is>
      </c>
      <c r="J146" t="inlineStr">
        <is>
          <t>TVS</t>
        </is>
      </c>
      <c r="K146" t="inlineStr">
        <is>
          <t>12.7-0-1.6-ERW 1-PE-1</t>
        </is>
      </c>
    </row>
    <row r="147">
      <c r="A147" t="inlineStr">
        <is>
          <t>0000944141</t>
        </is>
      </c>
      <c r="B147" t="inlineStr">
        <is>
          <t>SRIKAM HITECH ENGINEERING PRIVATE L</t>
        </is>
      </c>
      <c r="C147" t="inlineStr">
        <is>
          <t>M</t>
        </is>
      </c>
      <c r="D147" t="n">
        <v>551</v>
      </c>
      <c r="E147" t="n">
        <v>3306</v>
      </c>
      <c r="F147" t="n">
        <v>1940014</v>
      </c>
      <c r="G147" t="inlineStr">
        <is>
          <t>12.7-0-1.6-ERW 1-PE</t>
        </is>
      </c>
      <c r="H147" t="n">
        <v>1448.359</v>
      </c>
      <c r="I147" t="inlineStr">
        <is>
          <t>TUB-O-O-GEN-AW-PE-12.70X1.600X6.0000</t>
        </is>
      </c>
      <c r="J147" t="inlineStr">
        <is>
          <t>TVS</t>
        </is>
      </c>
      <c r="K147" t="inlineStr">
        <is>
          <t>12.7-0-1.6-ERW 1-PE-1</t>
        </is>
      </c>
    </row>
    <row r="148">
      <c r="A148" t="inlineStr">
        <is>
          <t>0000944141</t>
        </is>
      </c>
      <c r="B148" t="inlineStr">
        <is>
          <t>SRIKAM HITECH ENGINEERING PRIVATE L</t>
        </is>
      </c>
      <c r="C148" t="inlineStr">
        <is>
          <t>M</t>
        </is>
      </c>
      <c r="D148" t="n">
        <v>428</v>
      </c>
      <c r="E148" t="n">
        <v>2568</v>
      </c>
      <c r="F148" t="n">
        <v>1940014</v>
      </c>
      <c r="G148" t="inlineStr">
        <is>
          <t>12.7-0-1.6-ERW 1-PE</t>
        </is>
      </c>
      <c r="H148" t="n">
        <v>1125.041</v>
      </c>
      <c r="I148" t="inlineStr">
        <is>
          <t>TUB-O-O-GEN-AW-PE-12.70X1.600X6.0000</t>
        </is>
      </c>
      <c r="J148" t="inlineStr">
        <is>
          <t>TVS</t>
        </is>
      </c>
      <c r="K148" t="inlineStr">
        <is>
          <t>12.7-0-1.6-ERW 1-PE-1</t>
        </is>
      </c>
    </row>
    <row r="149">
      <c r="A149" t="inlineStr">
        <is>
          <t>0000189002</t>
        </is>
      </c>
      <c r="B149" t="inlineStr">
        <is>
          <t>Marathwada Auto Compo Pvt. Ltd.</t>
        </is>
      </c>
      <c r="C149" t="inlineStr">
        <is>
          <t>M</t>
        </is>
      </c>
      <c r="D149" t="n">
        <v>998</v>
      </c>
      <c r="E149" t="n">
        <v>5988</v>
      </c>
      <c r="F149" t="n">
        <v>1940014</v>
      </c>
      <c r="G149" t="inlineStr">
        <is>
          <t>12.7-0-1.6-ERW 1-PE</t>
        </is>
      </c>
      <c r="H149" t="n">
        <v>2623.343</v>
      </c>
      <c r="I149" t="inlineStr">
        <is>
          <t>TUB-O-O-GEN-AW-PE-12.70X1.600X6.0000</t>
        </is>
      </c>
      <c r="J149" t="inlineStr">
        <is>
          <t>TVS</t>
        </is>
      </c>
      <c r="K149" t="inlineStr">
        <is>
          <t>12.7-0-1.6-ERW 1-PE-1</t>
        </is>
      </c>
    </row>
    <row r="150">
      <c r="A150" t="inlineStr">
        <is>
          <t>0000189002</t>
        </is>
      </c>
      <c r="B150" t="inlineStr">
        <is>
          <t>Marathwada Auto Compo Pvt. Ltd.</t>
        </is>
      </c>
      <c r="C150" t="inlineStr">
        <is>
          <t>M</t>
        </is>
      </c>
      <c r="D150" t="n">
        <v>602</v>
      </c>
      <c r="E150" t="n">
        <v>3615</v>
      </c>
      <c r="F150" t="n">
        <v>1940146</v>
      </c>
      <c r="G150" t="inlineStr">
        <is>
          <t>19-19-1-CRFH-PE</t>
        </is>
      </c>
      <c r="H150" t="n">
        <v>1999.457</v>
      </c>
      <c r="I150" t="inlineStr">
        <is>
          <t>TUB-S-FH-SHS-19.00X19.00X1.000X6.0000</t>
        </is>
      </c>
      <c r="J150" t="inlineStr">
        <is>
          <t>TVS</t>
        </is>
      </c>
      <c r="K150" t="inlineStr">
        <is>
          <t>19-19-1-CRFH-PE-1</t>
        </is>
      </c>
    </row>
    <row r="151">
      <c r="A151" t="inlineStr">
        <is>
          <t>0000189002</t>
        </is>
      </c>
      <c r="B151" t="inlineStr">
        <is>
          <t>Marathwada Auto Compo Pvt. Ltd.</t>
        </is>
      </c>
      <c r="C151" t="inlineStr">
        <is>
          <t>M</t>
        </is>
      </c>
      <c r="D151" t="n">
        <v>247</v>
      </c>
      <c r="E151" t="n">
        <v>1485</v>
      </c>
      <c r="F151" t="n">
        <v>1940146</v>
      </c>
      <c r="G151" t="inlineStr">
        <is>
          <t>19-19-1-CRFH-PE</t>
        </is>
      </c>
      <c r="H151" t="n">
        <v>821.354</v>
      </c>
      <c r="I151" t="inlineStr">
        <is>
          <t>TUB-S-FH-SHS-19.00X19.00X1.000X6.0000</t>
        </is>
      </c>
      <c r="J151" t="inlineStr">
        <is>
          <t>TVS</t>
        </is>
      </c>
      <c r="K151" t="inlineStr">
        <is>
          <t>19-19-1-CRFH-PE-1</t>
        </is>
      </c>
    </row>
    <row r="152">
      <c r="A152" t="inlineStr">
        <is>
          <t>0000188595</t>
        </is>
      </c>
      <c r="B152" t="inlineStr">
        <is>
          <t>Sri Balaji Gears</t>
        </is>
      </c>
      <c r="C152" t="inlineStr">
        <is>
          <t>KG</t>
        </is>
      </c>
      <c r="D152" t="n">
        <v>250</v>
      </c>
      <c r="E152" t="n">
        <v>1500.633</v>
      </c>
      <c r="F152" t="n">
        <v>1940146</v>
      </c>
      <c r="G152" t="inlineStr">
        <is>
          <t>19-19-1-CRFH-PE</t>
        </is>
      </c>
      <c r="H152" t="n">
        <v>830</v>
      </c>
      <c r="I152" t="inlineStr">
        <is>
          <t>TUB-S-FH-SHS-19.00X19.00X1.000X6.0000</t>
        </is>
      </c>
      <c r="J152" t="inlineStr">
        <is>
          <t>TVS</t>
        </is>
      </c>
      <c r="K152" t="inlineStr">
        <is>
          <t>19-19-1-CRFH-PE-1</t>
        </is>
      </c>
    </row>
    <row r="153">
      <c r="A153" t="inlineStr">
        <is>
          <t>0000188595</t>
        </is>
      </c>
      <c r="B153" t="inlineStr">
        <is>
          <t>Sri Balaji Gears</t>
        </is>
      </c>
      <c r="C153" t="inlineStr">
        <is>
          <t>KG</t>
        </is>
      </c>
      <c r="D153" t="n">
        <v>609</v>
      </c>
      <c r="E153" t="n">
        <v>3652.142</v>
      </c>
      <c r="F153" t="n">
        <v>1940146</v>
      </c>
      <c r="G153" t="inlineStr">
        <is>
          <t>19-19-1-CRFH-PE</t>
        </is>
      </c>
      <c r="H153" t="n">
        <v>2020</v>
      </c>
      <c r="I153" t="inlineStr">
        <is>
          <t>TUB-S-FH-SHS-19.00X19.00X1.000X6.0000</t>
        </is>
      </c>
      <c r="J153" t="inlineStr">
        <is>
          <t>TVS</t>
        </is>
      </c>
      <c r="K153" t="inlineStr">
        <is>
          <t>19-19-1-CRFH-PE-1</t>
        </is>
      </c>
    </row>
    <row r="154">
      <c r="A154" t="inlineStr">
        <is>
          <t>0000189002</t>
        </is>
      </c>
      <c r="B154" t="inlineStr">
        <is>
          <t>Marathwada Auto Compo Pvt. Ltd.</t>
        </is>
      </c>
      <c r="C154" t="inlineStr">
        <is>
          <t>M</t>
        </is>
      </c>
      <c r="D154" t="n">
        <v>813</v>
      </c>
      <c r="E154" t="n">
        <v>4881</v>
      </c>
      <c r="F154" t="n">
        <v>1940146</v>
      </c>
      <c r="G154" t="inlineStr">
        <is>
          <t>19-19-1-CRFH-PE</t>
        </is>
      </c>
      <c r="H154" t="n">
        <v>2699.681</v>
      </c>
      <c r="I154" t="inlineStr">
        <is>
          <t>TUB-S-FH-SHS-19.00X19.00X1.000X6.0000</t>
        </is>
      </c>
      <c r="J154" t="inlineStr">
        <is>
          <t>TVS</t>
        </is>
      </c>
      <c r="K154" t="inlineStr">
        <is>
          <t>19-19-1-CRFH-PE-1</t>
        </is>
      </c>
    </row>
    <row r="155">
      <c r="A155" t="inlineStr">
        <is>
          <t>0000189002</t>
        </is>
      </c>
      <c r="B155" t="inlineStr">
        <is>
          <t>Marathwada Auto Compo Pvt. Ltd.</t>
        </is>
      </c>
      <c r="C155" t="inlineStr">
        <is>
          <t>M</t>
        </is>
      </c>
      <c r="D155" t="n">
        <v>674</v>
      </c>
      <c r="E155" t="n">
        <v>4047</v>
      </c>
      <c r="F155" t="n">
        <v>1940146</v>
      </c>
      <c r="G155" t="inlineStr">
        <is>
          <t>19-19-1-CRFH-PE</t>
        </is>
      </c>
      <c r="H155" t="n">
        <v>2238.396</v>
      </c>
      <c r="I155" t="inlineStr">
        <is>
          <t>TUB-S-FH-SHS-19.00X19.00X1.000X6.0000</t>
        </is>
      </c>
      <c r="J155" t="inlineStr">
        <is>
          <t>TVS</t>
        </is>
      </c>
      <c r="K155" t="inlineStr">
        <is>
          <t>19-19-1-CRFH-PE-1</t>
        </is>
      </c>
    </row>
    <row r="156">
      <c r="A156" t="inlineStr">
        <is>
          <t>0000189002</t>
        </is>
      </c>
      <c r="B156" t="inlineStr">
        <is>
          <t>Marathwada Auto Compo Pvt. Ltd.</t>
        </is>
      </c>
      <c r="C156" t="inlineStr">
        <is>
          <t>M</t>
        </is>
      </c>
      <c r="D156" t="n">
        <v>13</v>
      </c>
      <c r="E156" t="n">
        <v>78</v>
      </c>
      <c r="F156" t="n">
        <v>1940146</v>
      </c>
      <c r="G156" t="inlineStr">
        <is>
          <t>19-19-1-CRFH-PE</t>
        </is>
      </c>
      <c r="H156" t="n">
        <v>43.142</v>
      </c>
      <c r="I156" t="inlineStr">
        <is>
          <t>TUB-S-FH-SHS-19.00X19.00X1.000X6.0000</t>
        </is>
      </c>
      <c r="J156" t="inlineStr">
        <is>
          <t>TVS</t>
        </is>
      </c>
      <c r="K156" t="inlineStr">
        <is>
          <t>19-19-1-CRFH-PE-1</t>
        </is>
      </c>
    </row>
    <row r="157">
      <c r="A157" t="inlineStr">
        <is>
          <t>0000188595</t>
        </is>
      </c>
      <c r="B157" t="inlineStr">
        <is>
          <t>Sri Balaji Gears</t>
        </is>
      </c>
      <c r="C157" t="inlineStr">
        <is>
          <t>KG</t>
        </is>
      </c>
      <c r="D157" t="n">
        <v>357</v>
      </c>
      <c r="E157" t="n">
        <v>2142.47</v>
      </c>
      <c r="F157" t="n">
        <v>1940146</v>
      </c>
      <c r="G157" t="inlineStr">
        <is>
          <t>19-19-1-CRFH-PE</t>
        </is>
      </c>
      <c r="H157" t="n">
        <v>1185</v>
      </c>
      <c r="I157" t="inlineStr">
        <is>
          <t>TUB-S-FH-SHS-19.00X19.00X1.000X6.0000</t>
        </is>
      </c>
      <c r="J157" t="inlineStr">
        <is>
          <t>TVS</t>
        </is>
      </c>
      <c r="K157" t="inlineStr">
        <is>
          <t>19-19-1-CRFH-PE-1</t>
        </is>
      </c>
    </row>
    <row r="158">
      <c r="A158" t="inlineStr">
        <is>
          <t>0000188595</t>
        </is>
      </c>
      <c r="B158" t="inlineStr">
        <is>
          <t>Sri Balaji Gears</t>
        </is>
      </c>
      <c r="C158" t="inlineStr">
        <is>
          <t>KG</t>
        </is>
      </c>
      <c r="D158" t="n">
        <v>246</v>
      </c>
      <c r="E158" t="n">
        <v>1475.321</v>
      </c>
      <c r="F158" t="n">
        <v>1940146</v>
      </c>
      <c r="G158" t="inlineStr">
        <is>
          <t>19-19-1-CRFH-PE</t>
        </is>
      </c>
      <c r="H158" t="n">
        <v>816</v>
      </c>
      <c r="I158" t="inlineStr">
        <is>
          <t>TUB-S-FH-SHS-19.00X19.00X1.000X6.0000</t>
        </is>
      </c>
      <c r="J158" t="inlineStr">
        <is>
          <t>TVS</t>
        </is>
      </c>
      <c r="K158" t="inlineStr">
        <is>
          <t>19-19-1-CRFH-PE-1</t>
        </is>
      </c>
    </row>
    <row r="159">
      <c r="A159" t="inlineStr">
        <is>
          <t>0000189002</t>
        </is>
      </c>
      <c r="B159" t="inlineStr">
        <is>
          <t>Marathwada Auto Compo Pvt. Ltd.</t>
        </is>
      </c>
      <c r="C159" t="inlineStr">
        <is>
          <t>M</t>
        </is>
      </c>
      <c r="D159" t="n">
        <v>58</v>
      </c>
      <c r="E159" t="n">
        <v>348</v>
      </c>
      <c r="F159" t="n">
        <v>1940146</v>
      </c>
      <c r="G159" t="inlineStr">
        <is>
          <t>19-19-1-CRFH-PE</t>
        </is>
      </c>
      <c r="H159" t="n">
        <v>192.479</v>
      </c>
      <c r="I159" t="inlineStr">
        <is>
          <t>TUB-S-FH-SHS-19.00X19.00X1.000X6.0000</t>
        </is>
      </c>
      <c r="J159" t="inlineStr">
        <is>
          <t>TVS</t>
        </is>
      </c>
      <c r="K159" t="inlineStr">
        <is>
          <t>19-19-1-CRFH-PE-1</t>
        </is>
      </c>
    </row>
    <row r="160">
      <c r="A160" t="inlineStr">
        <is>
          <t>0000189002</t>
        </is>
      </c>
      <c r="B160" t="inlineStr">
        <is>
          <t>Marathwada Auto Compo Pvt. Ltd.</t>
        </is>
      </c>
      <c r="C160" t="inlineStr">
        <is>
          <t>M</t>
        </is>
      </c>
      <c r="D160" t="n">
        <v>155</v>
      </c>
      <c r="E160" t="n">
        <v>931</v>
      </c>
      <c r="F160" t="n">
        <v>1940146</v>
      </c>
      <c r="G160" t="inlineStr">
        <is>
          <t>19-19-1-CRFH-PE</t>
        </is>
      </c>
      <c r="H160" t="n">
        <v>514.936</v>
      </c>
      <c r="I160" t="inlineStr">
        <is>
          <t>TUB-S-FH-SHS-19.00X19.00X1.000X6.0000</t>
        </is>
      </c>
      <c r="J160" t="inlineStr">
        <is>
          <t>TVS</t>
        </is>
      </c>
      <c r="K160" t="inlineStr">
        <is>
          <t>19-19-1-CRFH-PE-1</t>
        </is>
      </c>
    </row>
    <row r="161">
      <c r="A161" t="inlineStr">
        <is>
          <t>0000189002</t>
        </is>
      </c>
      <c r="B161" t="inlineStr">
        <is>
          <t>Marathwada Auto Compo Pvt. Ltd.</t>
        </is>
      </c>
      <c r="C161" t="inlineStr">
        <is>
          <t>M</t>
        </is>
      </c>
      <c r="D161" t="n">
        <v>147</v>
      </c>
      <c r="E161" t="n">
        <v>885</v>
      </c>
      <c r="F161" t="n">
        <v>1940146</v>
      </c>
      <c r="G161" t="inlineStr">
        <is>
          <t>19-19-1-CRFH-PE</t>
        </is>
      </c>
      <c r="H161" t="n">
        <v>489.494</v>
      </c>
      <c r="I161" t="inlineStr">
        <is>
          <t>TUB-S-FH-SHS-19.00X19.00X1.000X6.0000</t>
        </is>
      </c>
      <c r="J161" t="inlineStr">
        <is>
          <t>TVS</t>
        </is>
      </c>
      <c r="K161" t="inlineStr">
        <is>
          <t>19-19-1-CRFH-PE-1</t>
        </is>
      </c>
    </row>
    <row r="162">
      <c r="A162" t="inlineStr">
        <is>
          <t>0000189002</t>
        </is>
      </c>
      <c r="B162" t="inlineStr">
        <is>
          <t>Marathwada Auto Compo Pvt. Ltd.</t>
        </is>
      </c>
      <c r="C162" t="inlineStr">
        <is>
          <t>M</t>
        </is>
      </c>
      <c r="D162" t="n">
        <v>144</v>
      </c>
      <c r="E162" t="n">
        <v>865</v>
      </c>
      <c r="F162" t="n">
        <v>1940146</v>
      </c>
      <c r="G162" t="inlineStr">
        <is>
          <t>19-19-1-CRFH-PE</t>
        </is>
      </c>
      <c r="H162" t="n">
        <v>478.432</v>
      </c>
      <c r="I162" t="inlineStr">
        <is>
          <t>TUB-S-FH-SHS-19.00X19.00X1.000X6.0000</t>
        </is>
      </c>
      <c r="J162" t="inlineStr">
        <is>
          <t>TVS</t>
        </is>
      </c>
      <c r="K162" t="inlineStr">
        <is>
          <t>19-19-1-CRFH-PE-1</t>
        </is>
      </c>
    </row>
    <row r="163">
      <c r="A163" t="inlineStr">
        <is>
          <t>0000189002</t>
        </is>
      </c>
      <c r="B163" t="inlineStr">
        <is>
          <t>Marathwada Auto Compo Pvt. Ltd.</t>
        </is>
      </c>
      <c r="C163" t="inlineStr">
        <is>
          <t>M</t>
        </is>
      </c>
      <c r="D163" t="n">
        <v>126</v>
      </c>
      <c r="E163" t="n">
        <v>756</v>
      </c>
      <c r="F163" t="n">
        <v>1940146</v>
      </c>
      <c r="G163" t="inlineStr">
        <is>
          <t>19-19-1-CRFH-PE</t>
        </is>
      </c>
      <c r="H163" t="n">
        <v>418.144</v>
      </c>
      <c r="I163" t="inlineStr">
        <is>
          <t>TUB-S-FH-SHS-19.00X19.00X1.000X6.0000</t>
        </is>
      </c>
      <c r="J163" t="inlineStr">
        <is>
          <t>TVS</t>
        </is>
      </c>
      <c r="K163" t="inlineStr">
        <is>
          <t>19-19-1-CRFH-PE-1</t>
        </is>
      </c>
    </row>
    <row r="164">
      <c r="A164" t="inlineStr">
        <is>
          <t>0000189002</t>
        </is>
      </c>
      <c r="B164" t="inlineStr">
        <is>
          <t>Marathwada Auto Compo Pvt. Ltd.</t>
        </is>
      </c>
      <c r="C164" t="inlineStr">
        <is>
          <t>M</t>
        </is>
      </c>
      <c r="D164" t="n">
        <v>200</v>
      </c>
      <c r="E164" t="n">
        <v>1200</v>
      </c>
      <c r="F164" t="n">
        <v>1940146</v>
      </c>
      <c r="G164" t="inlineStr">
        <is>
          <t>19-19-1-CRFH-PE</t>
        </is>
      </c>
      <c r="H164" t="n">
        <v>663.72</v>
      </c>
      <c r="I164" t="inlineStr">
        <is>
          <t>TUB-S-FH-SHS-19.00X19.00X1.000X6.0000</t>
        </is>
      </c>
      <c r="J164" t="inlineStr">
        <is>
          <t>TVS</t>
        </is>
      </c>
      <c r="K164" t="inlineStr">
        <is>
          <t>19-19-1-CRFH-PE-1</t>
        </is>
      </c>
    </row>
    <row r="165">
      <c r="A165" t="inlineStr">
        <is>
          <t>0000189002</t>
        </is>
      </c>
      <c r="B165" t="inlineStr">
        <is>
          <t>Marathwada Auto Compo Pvt. Ltd.</t>
        </is>
      </c>
      <c r="C165" t="inlineStr">
        <is>
          <t>M</t>
        </is>
      </c>
      <c r="D165" t="n">
        <v>115</v>
      </c>
      <c r="E165" t="n">
        <v>691</v>
      </c>
      <c r="F165" t="n">
        <v>1940146</v>
      </c>
      <c r="G165" t="inlineStr">
        <is>
          <t>19-19-1-CRFH-PE</t>
        </is>
      </c>
      <c r="H165" t="n">
        <v>382.192</v>
      </c>
      <c r="I165" t="inlineStr">
        <is>
          <t>TUB-S-FH-SHS-19.00X19.00X1.000X6.0000</t>
        </is>
      </c>
      <c r="J165" t="inlineStr">
        <is>
          <t>TVS</t>
        </is>
      </c>
      <c r="K165" t="inlineStr">
        <is>
          <t>19-19-1-CRFH-PE-1</t>
        </is>
      </c>
    </row>
    <row r="166">
      <c r="A166" t="inlineStr">
        <is>
          <t>0000944141</t>
        </is>
      </c>
      <c r="B166" t="inlineStr">
        <is>
          <t>SRIKAM HITECH ENGINEERING PRIVATE L</t>
        </is>
      </c>
      <c r="C166" t="inlineStr">
        <is>
          <t>NOS</t>
        </is>
      </c>
      <c r="D166" t="n">
        <v>6946</v>
      </c>
      <c r="E166" t="n">
        <v>1644.24</v>
      </c>
      <c r="F166" t="n">
        <v>1940306</v>
      </c>
      <c r="G166" t="inlineStr">
        <is>
          <t>19.05-0-2.3-ERW 1-PE</t>
        </is>
      </c>
      <c r="H166" t="n">
        <v>1562.85</v>
      </c>
      <c r="I166" t="inlineStr">
        <is>
          <t>TUB-O-O-AUT-AW-PE-19.05X2.300X0.2360</t>
        </is>
      </c>
      <c r="J166" t="inlineStr">
        <is>
          <t>TVS</t>
        </is>
      </c>
      <c r="K166" t="inlineStr">
        <is>
          <t>19.05-0-2.3-ERW 1-PE-0.236</t>
        </is>
      </c>
    </row>
    <row r="167">
      <c r="A167" t="inlineStr">
        <is>
          <t>0000944141</t>
        </is>
      </c>
      <c r="B167" t="inlineStr">
        <is>
          <t>SRIKAM HITECH ENGINEERING PRIVATE L</t>
        </is>
      </c>
      <c r="C167" t="inlineStr">
        <is>
          <t>NOS</t>
        </is>
      </c>
      <c r="D167" t="n">
        <v>1746</v>
      </c>
      <c r="E167" t="n">
        <v>413.309</v>
      </c>
      <c r="F167" t="n">
        <v>1940306</v>
      </c>
      <c r="G167" t="inlineStr">
        <is>
          <t>19.05-0-2.3-ERW 1-PE</t>
        </is>
      </c>
      <c r="H167" t="n">
        <v>392.85</v>
      </c>
      <c r="I167" t="inlineStr">
        <is>
          <t>TUB-O-O-AUT-AW-PE-19.05X2.300X0.2360</t>
        </is>
      </c>
      <c r="J167" t="inlineStr">
        <is>
          <t>TVS</t>
        </is>
      </c>
      <c r="K167" t="inlineStr">
        <is>
          <t>19.05-0-2.3-ERW 1-PE-0.236</t>
        </is>
      </c>
    </row>
    <row r="168">
      <c r="A168" t="inlineStr">
        <is>
          <t>0000944141</t>
        </is>
      </c>
      <c r="B168" t="inlineStr">
        <is>
          <t>SRIKAM HITECH ENGINEERING PRIVATE L</t>
        </is>
      </c>
      <c r="C168" t="inlineStr">
        <is>
          <t>NOS</t>
        </is>
      </c>
      <c r="D168" t="n">
        <v>758</v>
      </c>
      <c r="E168" t="n">
        <v>179.432</v>
      </c>
      <c r="F168" t="n">
        <v>1940306</v>
      </c>
      <c r="G168" t="inlineStr">
        <is>
          <t>19.05-0-2.3-ERW 1-PE</t>
        </is>
      </c>
      <c r="H168" t="n">
        <v>170.55</v>
      </c>
      <c r="I168" t="inlineStr">
        <is>
          <t>TUB-O-O-AUT-AW-PE-19.05X2.300X0.2360</t>
        </is>
      </c>
      <c r="J168" t="inlineStr">
        <is>
          <t>TVS</t>
        </is>
      </c>
      <c r="K168" t="inlineStr">
        <is>
          <t>19.05-0-2.3-ERW 1-PE-0.236</t>
        </is>
      </c>
    </row>
    <row r="169">
      <c r="A169" t="inlineStr">
        <is>
          <t>0000944141</t>
        </is>
      </c>
      <c r="B169" t="inlineStr">
        <is>
          <t>SRIKAM HITECH ENGINEERING PRIVATE L</t>
        </is>
      </c>
      <c r="C169" t="inlineStr">
        <is>
          <t>NOS</t>
        </is>
      </c>
      <c r="D169" t="n">
        <v>1050</v>
      </c>
      <c r="E169" t="n">
        <v>248.553</v>
      </c>
      <c r="F169" t="n">
        <v>1940306</v>
      </c>
      <c r="G169" t="inlineStr">
        <is>
          <t>19.05-0-2.3-ERW 1-PE</t>
        </is>
      </c>
      <c r="H169" t="n">
        <v>236.25</v>
      </c>
      <c r="I169" t="inlineStr">
        <is>
          <t>TUB-O-O-AUT-AW-PE-19.05X2.300X0.2360</t>
        </is>
      </c>
      <c r="J169" t="inlineStr">
        <is>
          <t>TVS</t>
        </is>
      </c>
      <c r="K169" t="inlineStr">
        <is>
          <t>19.05-0-2.3-ERW 1-PE-0.236</t>
        </is>
      </c>
    </row>
    <row r="170">
      <c r="A170" t="inlineStr">
        <is>
          <t>0000188595</t>
        </is>
      </c>
      <c r="B170" t="inlineStr">
        <is>
          <t>Sri Balaji Gears</t>
        </is>
      </c>
      <c r="C170" t="inlineStr">
        <is>
          <t>KG</t>
        </is>
      </c>
      <c r="D170" t="n">
        <v>348</v>
      </c>
      <c r="E170" t="n">
        <v>2124.046</v>
      </c>
      <c r="F170" t="n">
        <v>4201127</v>
      </c>
      <c r="G170" t="inlineStr">
        <is>
          <t>40-20-1.2-CRFH-PE</t>
        </is>
      </c>
      <c r="H170" t="n">
        <v>2339</v>
      </c>
      <c r="I170" t="inlineStr">
        <is>
          <t>TUB-R-AW-RHS-40.00X20.00X1.210X6.1000</t>
        </is>
      </c>
      <c r="J170" t="inlineStr">
        <is>
          <t>TVS</t>
        </is>
      </c>
      <c r="K170" t="inlineStr">
        <is>
          <t>40-20-1.2-CRFH-PE-1</t>
        </is>
      </c>
    </row>
    <row r="171">
      <c r="A171" t="inlineStr">
        <is>
          <t>0000188595</t>
        </is>
      </c>
      <c r="B171" t="inlineStr">
        <is>
          <t>Sri Balaji Gears</t>
        </is>
      </c>
      <c r="C171" t="inlineStr">
        <is>
          <t>KG</t>
        </is>
      </c>
      <c r="D171" t="n">
        <v>344</v>
      </c>
      <c r="E171" t="n">
        <v>2101.344</v>
      </c>
      <c r="F171" t="n">
        <v>4201127</v>
      </c>
      <c r="G171" t="inlineStr">
        <is>
          <t>40-20-1.2-CRFH-PE</t>
        </is>
      </c>
      <c r="H171" t="n">
        <v>2314</v>
      </c>
      <c r="I171" t="inlineStr">
        <is>
          <t>TUB-R-AW-RHS-40.00X20.00X1.210X6.1000</t>
        </is>
      </c>
      <c r="J171" t="inlineStr">
        <is>
          <t>TVS</t>
        </is>
      </c>
      <c r="K171" t="inlineStr">
        <is>
          <t>40-20-1.2-CRFH-PE-1</t>
        </is>
      </c>
    </row>
    <row r="172">
      <c r="A172" t="inlineStr">
        <is>
          <t>0000188595</t>
        </is>
      </c>
      <c r="B172" t="inlineStr">
        <is>
          <t>Sri Balaji Gears</t>
        </is>
      </c>
      <c r="C172" t="inlineStr">
        <is>
          <t>KG</t>
        </is>
      </c>
      <c r="D172" t="n">
        <v>3</v>
      </c>
      <c r="E172" t="n">
        <v>15.438</v>
      </c>
      <c r="F172" t="n">
        <v>4201127</v>
      </c>
      <c r="G172" t="inlineStr">
        <is>
          <t>40-20-1.2-CRFH-PE</t>
        </is>
      </c>
      <c r="H172" t="n">
        <v>17</v>
      </c>
      <c r="I172" t="inlineStr">
        <is>
          <t>TUB-R-AW-RHS-40.00X20.00X1.210X6.1000</t>
        </is>
      </c>
      <c r="J172" t="inlineStr">
        <is>
          <t>TVS</t>
        </is>
      </c>
      <c r="K172" t="inlineStr">
        <is>
          <t>40-20-1.2-CRFH-PE-1</t>
        </is>
      </c>
    </row>
    <row r="173">
      <c r="A173" t="inlineStr">
        <is>
          <t>0000188595</t>
        </is>
      </c>
      <c r="B173" t="inlineStr">
        <is>
          <t>Sri Balaji Gears</t>
        </is>
      </c>
      <c r="C173" t="inlineStr">
        <is>
          <t>KG</t>
        </is>
      </c>
      <c r="D173" t="n">
        <v>355</v>
      </c>
      <c r="E173" t="n">
        <v>2166.727</v>
      </c>
      <c r="F173" t="n">
        <v>4201127</v>
      </c>
      <c r="G173" t="inlineStr">
        <is>
          <t>40-20-1.2-CRFH-PE</t>
        </is>
      </c>
      <c r="H173" t="n">
        <v>2386</v>
      </c>
      <c r="I173" t="inlineStr">
        <is>
          <t>TUB-R-AW-RHS-40.00X20.00X1.210X6.1000</t>
        </is>
      </c>
      <c r="J173" t="inlineStr">
        <is>
          <t>TVS</t>
        </is>
      </c>
      <c r="K173" t="inlineStr">
        <is>
          <t>40-20-1.2-CRFH-PE-1</t>
        </is>
      </c>
    </row>
    <row r="174">
      <c r="A174" t="inlineStr">
        <is>
          <t>0000188595</t>
        </is>
      </c>
      <c r="B174" t="inlineStr">
        <is>
          <t>Sri Balaji Gears</t>
        </is>
      </c>
      <c r="C174" t="inlineStr">
        <is>
          <t>KG</t>
        </is>
      </c>
      <c r="D174" t="n">
        <v>336</v>
      </c>
      <c r="E174" t="n">
        <v>2046.858</v>
      </c>
      <c r="F174" t="n">
        <v>4201127</v>
      </c>
      <c r="G174" t="inlineStr">
        <is>
          <t>40-20-1.2-CRFH-PE</t>
        </is>
      </c>
      <c r="H174" t="n">
        <v>2254</v>
      </c>
      <c r="I174" t="inlineStr">
        <is>
          <t>TUB-R-AW-RHS-40.00X20.00X1.210X6.1000</t>
        </is>
      </c>
      <c r="J174" t="inlineStr">
        <is>
          <t>TVS</t>
        </is>
      </c>
      <c r="K174" t="inlineStr">
        <is>
          <t>40-20-1.2-CRFH-PE-1</t>
        </is>
      </c>
    </row>
    <row r="175">
      <c r="A175" t="inlineStr">
        <is>
          <t>0000188595</t>
        </is>
      </c>
      <c r="B175" t="inlineStr">
        <is>
          <t>Sri Balaji Gears</t>
        </is>
      </c>
      <c r="C175" t="inlineStr">
        <is>
          <t>KG</t>
        </is>
      </c>
      <c r="D175" t="n">
        <v>263</v>
      </c>
      <c r="E175" t="n">
        <v>1604.613</v>
      </c>
      <c r="F175" t="n">
        <v>4201127</v>
      </c>
      <c r="G175" t="inlineStr">
        <is>
          <t>40-20-1.2-CRFH-PE</t>
        </is>
      </c>
      <c r="H175" t="n">
        <v>1767</v>
      </c>
      <c r="I175" t="inlineStr">
        <is>
          <t>TUB-R-AW-RHS-40.00X20.00X1.210X6.1000</t>
        </is>
      </c>
      <c r="J175" t="inlineStr">
        <is>
          <t>TVS</t>
        </is>
      </c>
      <c r="K175" t="inlineStr">
        <is>
          <t>40-20-1.2-CRFH-PE-1</t>
        </is>
      </c>
    </row>
    <row r="176">
      <c r="A176" t="inlineStr">
        <is>
          <t>0000188595</t>
        </is>
      </c>
      <c r="B176" t="inlineStr">
        <is>
          <t>Sri Balaji Gears</t>
        </is>
      </c>
      <c r="C176" t="inlineStr">
        <is>
          <t>KG</t>
        </is>
      </c>
      <c r="D176" t="n">
        <v>121</v>
      </c>
      <c r="E176" t="n">
        <v>738.2859999999999</v>
      </c>
      <c r="F176" t="n">
        <v>4201127</v>
      </c>
      <c r="G176" t="inlineStr">
        <is>
          <t>40-20-1.2-CRFH-PE</t>
        </is>
      </c>
      <c r="H176" t="n">
        <v>813</v>
      </c>
      <c r="I176" t="inlineStr">
        <is>
          <t>TUB-R-AW-RHS-40.00X20.00X1.210X6.1000</t>
        </is>
      </c>
      <c r="J176" t="inlineStr">
        <is>
          <t>TVS</t>
        </is>
      </c>
      <c r="K176" t="inlineStr">
        <is>
          <t>40-20-1.2-CRFH-PE-1</t>
        </is>
      </c>
    </row>
    <row r="177">
      <c r="A177" t="inlineStr">
        <is>
          <t>0000188595</t>
        </is>
      </c>
      <c r="B177" t="inlineStr">
        <is>
          <t>Sri Balaji Gears</t>
        </is>
      </c>
      <c r="C177" t="inlineStr">
        <is>
          <t>KG</t>
        </is>
      </c>
      <c r="D177" t="n">
        <v>145</v>
      </c>
      <c r="E177" t="n">
        <v>885.398</v>
      </c>
      <c r="F177" t="n">
        <v>4201127</v>
      </c>
      <c r="G177" t="inlineStr">
        <is>
          <t>40-20-1.2-CRFH-PE</t>
        </is>
      </c>
      <c r="H177" t="n">
        <v>975</v>
      </c>
      <c r="I177" t="inlineStr">
        <is>
          <t>TUB-R-AW-RHS-40.00X20.00X1.210X6.1000</t>
        </is>
      </c>
      <c r="J177" t="inlineStr">
        <is>
          <t>TVS</t>
        </is>
      </c>
      <c r="K177" t="inlineStr">
        <is>
          <t>40-20-1.2-CRFH-PE-1</t>
        </is>
      </c>
    </row>
    <row r="178">
      <c r="A178" t="inlineStr">
        <is>
          <t>0000189226</t>
        </is>
      </c>
      <c r="B178" t="inlineStr">
        <is>
          <t>Neel Metal Products Limited</t>
        </is>
      </c>
      <c r="C178" t="inlineStr">
        <is>
          <t>NOS</t>
        </is>
      </c>
      <c r="D178" t="n">
        <v>7588</v>
      </c>
      <c r="E178" t="n">
        <v>9363.563</v>
      </c>
      <c r="F178" t="n">
        <v>1941845</v>
      </c>
      <c r="G178" t="inlineStr">
        <is>
          <t>15.88-0-1-ERW 1-PE</t>
        </is>
      </c>
      <c r="H178" t="n">
        <v>3437.364</v>
      </c>
      <c r="I178" t="inlineStr">
        <is>
          <t>TUB-E-O-AUT-AW-FC-15.88X1.000X1.2340</t>
        </is>
      </c>
      <c r="J178" t="inlineStr">
        <is>
          <t>TVS</t>
        </is>
      </c>
      <c r="K178" t="inlineStr">
        <is>
          <t>15.88-0-1-ERW 1-PE-1.234</t>
        </is>
      </c>
    </row>
    <row r="179">
      <c r="A179" t="inlineStr">
        <is>
          <t>0000189226</t>
        </is>
      </c>
      <c r="B179" t="inlineStr">
        <is>
          <t>Neel Metal Products Limited</t>
        </is>
      </c>
      <c r="C179" t="inlineStr">
        <is>
          <t>NOS</t>
        </is>
      </c>
      <c r="D179" t="n">
        <v>37</v>
      </c>
      <c r="E179" t="n">
        <v>45.658</v>
      </c>
      <c r="F179" t="n">
        <v>1941845</v>
      </c>
      <c r="G179" t="inlineStr">
        <is>
          <t>15.88-0-1-ERW 1-PE</t>
        </is>
      </c>
      <c r="H179" t="n">
        <v>16.761</v>
      </c>
      <c r="I179" t="inlineStr">
        <is>
          <t>TUB-E-O-AUT-AW-FC-15.88X1.000X1.2340</t>
        </is>
      </c>
      <c r="J179" t="inlineStr">
        <is>
          <t>TVS</t>
        </is>
      </c>
      <c r="K179" t="inlineStr">
        <is>
          <t>15.88-0-1-ERW 1-PE-1.234</t>
        </is>
      </c>
    </row>
    <row r="180">
      <c r="A180" t="inlineStr">
        <is>
          <t>0000188595</t>
        </is>
      </c>
      <c r="B180" t="inlineStr">
        <is>
          <t>Sri Balaji Gears</t>
        </is>
      </c>
      <c r="C180" t="inlineStr">
        <is>
          <t>KG</t>
        </is>
      </c>
      <c r="D180" t="n">
        <v>640</v>
      </c>
      <c r="E180" t="n">
        <v>3928.055</v>
      </c>
      <c r="F180" t="n">
        <v>3597679</v>
      </c>
      <c r="G180" t="inlineStr">
        <is>
          <t>19-19-1-CRFH-PE</t>
        </is>
      </c>
      <c r="H180" t="n">
        <v>2173</v>
      </c>
      <c r="I180" t="inlineStr">
        <is>
          <t>TUB-S-AW-AUT-19.00X19.00X1.000X6.1400</t>
        </is>
      </c>
      <c r="J180" t="inlineStr">
        <is>
          <t>TVS</t>
        </is>
      </c>
      <c r="K180" t="inlineStr">
        <is>
          <t>19-19-1-CRFH-PE-1</t>
        </is>
      </c>
    </row>
    <row r="181">
      <c r="A181" t="inlineStr">
        <is>
          <t>0000188595</t>
        </is>
      </c>
      <c r="B181" t="inlineStr">
        <is>
          <t>Sri Balaji Gears</t>
        </is>
      </c>
      <c r="C181" t="inlineStr">
        <is>
          <t>KG</t>
        </is>
      </c>
      <c r="D181" t="n">
        <v>547</v>
      </c>
      <c r="E181" t="n">
        <v>3356.833</v>
      </c>
      <c r="F181" t="n">
        <v>3597679</v>
      </c>
      <c r="G181" t="inlineStr">
        <is>
          <t>19-19-1-CRFH-PE</t>
        </is>
      </c>
      <c r="H181" t="n">
        <v>1857</v>
      </c>
      <c r="I181" t="inlineStr">
        <is>
          <t>TUB-S-AW-AUT-19.00X19.00X1.000X6.1400</t>
        </is>
      </c>
      <c r="J181" t="inlineStr">
        <is>
          <t>TVS</t>
        </is>
      </c>
      <c r="K181" t="inlineStr">
        <is>
          <t>19-19-1-CRFH-PE-1</t>
        </is>
      </c>
    </row>
    <row r="182">
      <c r="A182" t="inlineStr">
        <is>
          <t>0000188595</t>
        </is>
      </c>
      <c r="B182" t="inlineStr">
        <is>
          <t>Sri Balaji Gears</t>
        </is>
      </c>
      <c r="C182" t="inlineStr">
        <is>
          <t>KG</t>
        </is>
      </c>
      <c r="D182" t="n">
        <v>658</v>
      </c>
      <c r="E182" t="n">
        <v>4040.13</v>
      </c>
      <c r="F182" t="n">
        <v>3597679</v>
      </c>
      <c r="G182" t="inlineStr">
        <is>
          <t>19-19-1-CRFH-PE</t>
        </is>
      </c>
      <c r="H182" t="n">
        <v>2235</v>
      </c>
      <c r="I182" t="inlineStr">
        <is>
          <t>TUB-S-AW-AUT-19.00X19.00X1.000X6.1400</t>
        </is>
      </c>
      <c r="J182" t="inlineStr">
        <is>
          <t>TVS</t>
        </is>
      </c>
      <c r="K182" t="inlineStr">
        <is>
          <t>19-19-1-CRFH-PE-1</t>
        </is>
      </c>
    </row>
    <row r="183">
      <c r="A183" t="inlineStr">
        <is>
          <t>0000188595</t>
        </is>
      </c>
      <c r="B183" t="inlineStr">
        <is>
          <t>Sri Balaji Gears</t>
        </is>
      </c>
      <c r="C183" t="inlineStr">
        <is>
          <t>KG</t>
        </is>
      </c>
      <c r="D183" t="n">
        <v>355</v>
      </c>
      <c r="E183" t="n">
        <v>2178.236</v>
      </c>
      <c r="F183" t="n">
        <v>3597679</v>
      </c>
      <c r="G183" t="inlineStr">
        <is>
          <t>19-19-1-CRFH-PE</t>
        </is>
      </c>
      <c r="H183" t="n">
        <v>1205</v>
      </c>
      <c r="I183" t="inlineStr">
        <is>
          <t>TUB-S-AW-AUT-19.00X19.00X1.000X6.1400</t>
        </is>
      </c>
      <c r="J183" t="inlineStr">
        <is>
          <t>TVS</t>
        </is>
      </c>
      <c r="K183" t="inlineStr">
        <is>
          <t>19-19-1-CRFH-PE-1</t>
        </is>
      </c>
    </row>
    <row r="184">
      <c r="A184" t="inlineStr">
        <is>
          <t>0000188595</t>
        </is>
      </c>
      <c r="B184" t="inlineStr">
        <is>
          <t>Sri Balaji Gears</t>
        </is>
      </c>
      <c r="C184" t="inlineStr">
        <is>
          <t>KG</t>
        </is>
      </c>
      <c r="D184" t="n">
        <v>402</v>
      </c>
      <c r="E184" t="n">
        <v>2465.654</v>
      </c>
      <c r="F184" t="n">
        <v>3597679</v>
      </c>
      <c r="G184" t="inlineStr">
        <is>
          <t>19-19-1-CRFH-PE</t>
        </is>
      </c>
      <c r="H184" t="n">
        <v>1364</v>
      </c>
      <c r="I184" t="inlineStr">
        <is>
          <t>TUB-S-AW-AUT-19.00X19.00X1.000X6.1400</t>
        </is>
      </c>
      <c r="J184" t="inlineStr">
        <is>
          <t>TVS</t>
        </is>
      </c>
      <c r="K184" t="inlineStr">
        <is>
          <t>19-19-1-CRFH-PE-1</t>
        </is>
      </c>
    </row>
    <row r="185">
      <c r="A185" t="inlineStr">
        <is>
          <t>0000189002</t>
        </is>
      </c>
      <c r="B185" t="inlineStr">
        <is>
          <t>Marathwada Auto Compo Pvt. Ltd.</t>
        </is>
      </c>
      <c r="C185" t="inlineStr">
        <is>
          <t>NOS</t>
        </is>
      </c>
      <c r="D185" t="n">
        <v>1973</v>
      </c>
      <c r="E185" t="n">
        <v>3385.971</v>
      </c>
      <c r="F185" t="n">
        <v>3672607</v>
      </c>
      <c r="G185" t="inlineStr">
        <is>
          <t>15.88-0-1-ERW 1-PE</t>
        </is>
      </c>
      <c r="H185" t="n">
        <v>1242.99</v>
      </c>
      <c r="I185" t="inlineStr">
        <is>
          <t>TUB-O-N-AUT-AW-PE-15.88X1.000X1.7150</t>
        </is>
      </c>
      <c r="J185" t="inlineStr">
        <is>
          <t>TVS</t>
        </is>
      </c>
      <c r="K185" t="inlineStr">
        <is>
          <t>15.88-0-1-ERW 1-PE-1.715</t>
        </is>
      </c>
    </row>
    <row r="186">
      <c r="A186" t="inlineStr">
        <is>
          <t>0000189002</t>
        </is>
      </c>
      <c r="B186" t="inlineStr">
        <is>
          <t>Marathwada Auto Compo Pvt. Ltd.</t>
        </is>
      </c>
      <c r="C186" t="inlineStr">
        <is>
          <t>NOS</t>
        </is>
      </c>
      <c r="D186" t="n">
        <v>319</v>
      </c>
      <c r="E186" t="n">
        <v>547.453</v>
      </c>
      <c r="F186" t="n">
        <v>3672607</v>
      </c>
      <c r="G186" t="inlineStr">
        <is>
          <t>15.88-0-1-ERW 1-PE</t>
        </is>
      </c>
      <c r="H186" t="n">
        <v>200.97</v>
      </c>
      <c r="I186" t="inlineStr">
        <is>
          <t>TUB-O-N-AUT-AW-PE-15.88X1.000X1.7150</t>
        </is>
      </c>
      <c r="J186" t="inlineStr">
        <is>
          <t>TVS</t>
        </is>
      </c>
      <c r="K186" t="inlineStr">
        <is>
          <t>15.88-0-1-ERW 1-PE-1.715</t>
        </is>
      </c>
    </row>
    <row r="187">
      <c r="A187" t="inlineStr">
        <is>
          <t>0000189002</t>
        </is>
      </c>
      <c r="B187" t="inlineStr">
        <is>
          <t>Marathwada Auto Compo Pvt. Ltd.</t>
        </is>
      </c>
      <c r="C187" t="inlineStr">
        <is>
          <t>NOS</t>
        </is>
      </c>
      <c r="D187" t="n">
        <v>55</v>
      </c>
      <c r="E187" t="n">
        <v>94.38800000000001</v>
      </c>
      <c r="F187" t="n">
        <v>3672607</v>
      </c>
      <c r="G187" t="inlineStr">
        <is>
          <t>15.88-0-1-ERW 1-PE</t>
        </is>
      </c>
      <c r="H187" t="n">
        <v>34.65</v>
      </c>
      <c r="I187" t="inlineStr">
        <is>
          <t>TUB-O-N-AUT-AW-PE-15.88X1.000X1.7150</t>
        </is>
      </c>
      <c r="J187" t="inlineStr">
        <is>
          <t>TVS</t>
        </is>
      </c>
      <c r="K187" t="inlineStr">
        <is>
          <t>15.88-0-1-ERW 1-PE-1.715</t>
        </is>
      </c>
    </row>
    <row r="188">
      <c r="A188" t="inlineStr">
        <is>
          <t>0000189002</t>
        </is>
      </c>
      <c r="B188" t="inlineStr">
        <is>
          <t>Marathwada Auto Compo Pvt. Ltd.</t>
        </is>
      </c>
      <c r="C188" t="inlineStr">
        <is>
          <t>NOS</t>
        </is>
      </c>
      <c r="D188" t="n">
        <v>49</v>
      </c>
      <c r="E188" t="n">
        <v>84.092</v>
      </c>
      <c r="F188" t="n">
        <v>3672607</v>
      </c>
      <c r="G188" t="inlineStr">
        <is>
          <t>15.88-0-1-ERW 1-PE</t>
        </is>
      </c>
      <c r="H188" t="n">
        <v>30.87</v>
      </c>
      <c r="I188" t="inlineStr">
        <is>
          <t>TUB-O-N-AUT-AW-PE-15.88X1.000X1.7150</t>
        </is>
      </c>
      <c r="J188" t="inlineStr">
        <is>
          <t>TVS</t>
        </is>
      </c>
      <c r="K188" t="inlineStr">
        <is>
          <t>15.88-0-1-ERW 1-PE-1.715</t>
        </is>
      </c>
    </row>
    <row r="189">
      <c r="A189" t="inlineStr">
        <is>
          <t>0000189002</t>
        </is>
      </c>
      <c r="B189" t="inlineStr">
        <is>
          <t>Marathwada Auto Compo Pvt. Ltd.</t>
        </is>
      </c>
      <c r="C189" t="inlineStr">
        <is>
          <t>NOS</t>
        </is>
      </c>
      <c r="D189" t="n">
        <v>4</v>
      </c>
      <c r="E189" t="n">
        <v>6.865</v>
      </c>
      <c r="F189" t="n">
        <v>3672607</v>
      </c>
      <c r="G189" t="inlineStr">
        <is>
          <t>15.88-0-1-ERW 1-PE</t>
        </is>
      </c>
      <c r="H189" t="n">
        <v>2.52</v>
      </c>
      <c r="I189" t="inlineStr">
        <is>
          <t>TUB-O-N-AUT-AW-PE-15.88X1.000X1.7150</t>
        </is>
      </c>
      <c r="J189" t="inlineStr">
        <is>
          <t>TVS</t>
        </is>
      </c>
      <c r="K189" t="inlineStr">
        <is>
          <t>15.88-0-1-ERW 1-PE-1.715</t>
        </is>
      </c>
    </row>
    <row r="190">
      <c r="A190" t="inlineStr">
        <is>
          <t>0000188595</t>
        </is>
      </c>
      <c r="B190" t="inlineStr">
        <is>
          <t>Sri Balaji Gears</t>
        </is>
      </c>
      <c r="C190" t="inlineStr">
        <is>
          <t>KG</t>
        </is>
      </c>
      <c r="D190" t="n">
        <v>400</v>
      </c>
      <c r="E190" t="n">
        <v>2125.863</v>
      </c>
      <c r="F190" t="n">
        <v>3731692</v>
      </c>
      <c r="G190" t="inlineStr">
        <is>
          <t>40-20-1.2-CRFH-PE</t>
        </is>
      </c>
      <c r="H190" t="n">
        <v>2341</v>
      </c>
      <c r="I190" t="inlineStr">
        <is>
          <t>TUB-R-AW-AUT-40.00X20.00X1.210X5.3100</t>
        </is>
      </c>
      <c r="J190" t="inlineStr">
        <is>
          <t>TVS</t>
        </is>
      </c>
    </row>
    <row r="191">
      <c r="A191" t="inlineStr">
        <is>
          <t>0000188595</t>
        </is>
      </c>
      <c r="B191" t="inlineStr">
        <is>
          <t>Sri Balaji Gears</t>
        </is>
      </c>
      <c r="C191" t="inlineStr">
        <is>
          <t>KG</t>
        </is>
      </c>
      <c r="D191" t="n">
        <v>226</v>
      </c>
      <c r="E191" t="n">
        <v>1197.784</v>
      </c>
      <c r="F191" t="n">
        <v>3731692</v>
      </c>
      <c r="G191" t="inlineStr">
        <is>
          <t>40-20-1.2-CRFH-PE</t>
        </is>
      </c>
      <c r="H191" t="n">
        <v>1319</v>
      </c>
      <c r="I191" t="inlineStr">
        <is>
          <t>TUB-R-AW-AUT-40.00X20.00X1.210X5.3100</t>
        </is>
      </c>
      <c r="J191" t="inlineStr">
        <is>
          <t>TVS</t>
        </is>
      </c>
    </row>
    <row r="192">
      <c r="A192" t="inlineStr">
        <is>
          <t>0000188595</t>
        </is>
      </c>
      <c r="B192" t="inlineStr">
        <is>
          <t>Sri Balaji Gears</t>
        </is>
      </c>
      <c r="C192" t="inlineStr">
        <is>
          <t>KG</t>
        </is>
      </c>
      <c r="D192" t="n">
        <v>149</v>
      </c>
      <c r="E192" t="n">
        <v>790.047</v>
      </c>
      <c r="F192" t="n">
        <v>3731692</v>
      </c>
      <c r="G192" t="inlineStr">
        <is>
          <t>40-20-1.2-CRFH-PE</t>
        </is>
      </c>
      <c r="H192" t="n">
        <v>870</v>
      </c>
      <c r="I192" t="inlineStr">
        <is>
          <t>TUB-R-AW-AUT-40.00X20.00X1.210X5.3100</t>
        </is>
      </c>
      <c r="J192" t="inlineStr">
        <is>
          <t>TVS</t>
        </is>
      </c>
    </row>
    <row r="193">
      <c r="A193" t="inlineStr">
        <is>
          <t>0000188595</t>
        </is>
      </c>
      <c r="B193" t="inlineStr">
        <is>
          <t>Sri Balaji Gears</t>
        </is>
      </c>
      <c r="C193" t="inlineStr">
        <is>
          <t>KG</t>
        </is>
      </c>
      <c r="D193" t="n">
        <v>396</v>
      </c>
      <c r="E193" t="n">
        <v>2103.16</v>
      </c>
      <c r="F193" t="n">
        <v>3731692</v>
      </c>
      <c r="G193" t="inlineStr">
        <is>
          <t>40-20-1.2-CRFH-PE</t>
        </is>
      </c>
      <c r="H193" t="n">
        <v>2316</v>
      </c>
      <c r="I193" t="inlineStr">
        <is>
          <t>TUB-R-AW-AUT-40.00X20.00X1.210X5.3100</t>
        </is>
      </c>
      <c r="J193" t="inlineStr">
        <is>
          <t>TVS</t>
        </is>
      </c>
    </row>
    <row r="194">
      <c r="A194" t="inlineStr">
        <is>
          <t>0000188595</t>
        </is>
      </c>
      <c r="B194" t="inlineStr">
        <is>
          <t>Sri Balaji Gears</t>
        </is>
      </c>
      <c r="C194" t="inlineStr">
        <is>
          <t>KG</t>
        </is>
      </c>
      <c r="D194" t="n">
        <v>47</v>
      </c>
      <c r="E194" t="n">
        <v>248.819</v>
      </c>
      <c r="F194" t="n">
        <v>3731692</v>
      </c>
      <c r="G194" t="inlineStr">
        <is>
          <t>40-20-1.2-CRFH-PE</t>
        </is>
      </c>
      <c r="H194" t="n">
        <v>274</v>
      </c>
      <c r="I194" t="inlineStr">
        <is>
          <t>TUB-R-AW-AUT-40.00X20.00X1.210X5.3100</t>
        </is>
      </c>
      <c r="J194" t="inlineStr">
        <is>
          <t>TVS</t>
        </is>
      </c>
    </row>
    <row r="195">
      <c r="A195" t="inlineStr">
        <is>
          <t>0000188595</t>
        </is>
      </c>
      <c r="B195" t="inlineStr">
        <is>
          <t>Sri Balaji Gears</t>
        </is>
      </c>
      <c r="C195" t="inlineStr">
        <is>
          <t>KG</t>
        </is>
      </c>
      <c r="D195" t="n">
        <v>210</v>
      </c>
      <c r="E195" t="n">
        <v>1116.055</v>
      </c>
      <c r="F195" t="n">
        <v>3731692</v>
      </c>
      <c r="G195" t="inlineStr">
        <is>
          <t>40-20-1.2-CRFH-PE</t>
        </is>
      </c>
      <c r="H195" t="n">
        <v>1229</v>
      </c>
      <c r="I195" t="inlineStr">
        <is>
          <t>TUB-R-AW-AUT-40.00X20.00X1.210X5.3100</t>
        </is>
      </c>
      <c r="J195" t="inlineStr">
        <is>
          <t>TVS</t>
        </is>
      </c>
    </row>
    <row r="196">
      <c r="A196" t="inlineStr">
        <is>
          <t>0000188595</t>
        </is>
      </c>
      <c r="B196" t="inlineStr">
        <is>
          <t>Sri Balaji Gears</t>
        </is>
      </c>
      <c r="C196" t="inlineStr">
        <is>
          <t>KG</t>
        </is>
      </c>
      <c r="D196" t="n">
        <v>361</v>
      </c>
      <c r="E196" t="n">
        <v>1917</v>
      </c>
      <c r="F196" t="n">
        <v>3731692</v>
      </c>
      <c r="G196" t="inlineStr">
        <is>
          <t>40-20-1.2-CRFH-PE</t>
        </is>
      </c>
      <c r="H196" t="n">
        <v>2111</v>
      </c>
      <c r="I196" t="inlineStr">
        <is>
          <t>TUB-R-AW-AUT-40.00X20.00X1.210X5.3100</t>
        </is>
      </c>
      <c r="J196" t="inlineStr">
        <is>
          <t>TVS</t>
        </is>
      </c>
    </row>
    <row r="197">
      <c r="A197" t="inlineStr">
        <is>
          <t>0000189002</t>
        </is>
      </c>
      <c r="B197" t="inlineStr">
        <is>
          <t>Marathwada Auto Compo Pvt. Ltd.</t>
        </is>
      </c>
      <c r="C197" t="inlineStr">
        <is>
          <t>NOS</t>
        </is>
      </c>
      <c r="D197" t="n">
        <v>1154</v>
      </c>
      <c r="E197" t="n">
        <v>2700.316</v>
      </c>
      <c r="F197" t="n">
        <v>3672608</v>
      </c>
      <c r="G197" t="inlineStr">
        <is>
          <t>15.88-0-1-ERW 1-PE</t>
        </is>
      </c>
      <c r="H197" t="n">
        <v>991.2859999999999</v>
      </c>
      <c r="I197" t="inlineStr">
        <is>
          <t>TUB-O-N-AUT-AW-PE-15.88X1.000X2.3400</t>
        </is>
      </c>
      <c r="J197" t="inlineStr">
        <is>
          <t>TVS</t>
        </is>
      </c>
      <c r="K197" t="inlineStr">
        <is>
          <t>15.88-0-1-ERW 1-PE-2.34</t>
        </is>
      </c>
    </row>
    <row r="198">
      <c r="A198" t="inlineStr">
        <is>
          <t>0000189002</t>
        </is>
      </c>
      <c r="B198" t="inlineStr">
        <is>
          <t>Marathwada Auto Compo Pvt. Ltd.</t>
        </is>
      </c>
      <c r="C198" t="inlineStr">
        <is>
          <t>NOS</t>
        </is>
      </c>
      <c r="D198" t="n">
        <v>471</v>
      </c>
      <c r="E198" t="n">
        <v>1102.122</v>
      </c>
      <c r="F198" t="n">
        <v>3672608</v>
      </c>
      <c r="G198" t="inlineStr">
        <is>
          <t>15.88-0-1-ERW 1-PE</t>
        </is>
      </c>
      <c r="H198" t="n">
        <v>404.589</v>
      </c>
      <c r="I198" t="inlineStr">
        <is>
          <t>TUB-O-N-AUT-AW-PE-15.88X1.000X2.3400</t>
        </is>
      </c>
      <c r="J198" t="inlineStr">
        <is>
          <t>TVS</t>
        </is>
      </c>
      <c r="K198" t="inlineStr">
        <is>
          <t>15.88-0-1-ERW 1-PE-2.34</t>
        </is>
      </c>
    </row>
    <row r="199">
      <c r="A199" t="inlineStr">
        <is>
          <t>0000189287</t>
        </is>
      </c>
      <c r="B199" t="inlineStr">
        <is>
          <t>BALAJI PRESS PRODUCTS INDIA</t>
        </is>
      </c>
      <c r="C199" t="inlineStr">
        <is>
          <t>NOS</t>
        </is>
      </c>
      <c r="D199" t="n">
        <v>3000</v>
      </c>
      <c r="E199" t="n">
        <v>1620.034</v>
      </c>
      <c r="F199" t="n">
        <v>1940034</v>
      </c>
      <c r="G199" t="inlineStr">
        <is>
          <t>15.88-0-1.2-ERW 1-PE</t>
        </is>
      </c>
      <c r="H199" t="n">
        <v>704.067</v>
      </c>
      <c r="I199" t="inlineStr">
        <is>
          <t>TUB-O-O-AUT-AW-PE-15.88X1.200X0.5400</t>
        </is>
      </c>
      <c r="J199" t="inlineStr">
        <is>
          <t>TVS</t>
        </is>
      </c>
      <c r="K199" t="inlineStr">
        <is>
          <t>15.88-0-1.2-ERW 1-PE-0.54</t>
        </is>
      </c>
    </row>
    <row r="200">
      <c r="A200" t="inlineStr">
        <is>
          <t>0000189226</t>
        </is>
      </c>
      <c r="B200" t="inlineStr">
        <is>
          <t>Neel Metal Products Limited</t>
        </is>
      </c>
      <c r="C200" t="inlineStr">
        <is>
          <t>NOS</t>
        </is>
      </c>
      <c r="D200" t="n">
        <v>1358</v>
      </c>
      <c r="E200" t="n">
        <v>3947.115</v>
      </c>
      <c r="F200" t="n">
        <v>3541434</v>
      </c>
      <c r="G200" t="inlineStr">
        <is>
          <t>15.88-0-1-ERW 1-PE</t>
        </is>
      </c>
      <c r="H200" t="n">
        <v>1448.986</v>
      </c>
      <c r="I200" t="inlineStr">
        <is>
          <t>TUB-O-N-AUT-AW-PE-15.88X1.000X2.9050</t>
        </is>
      </c>
      <c r="J200" t="inlineStr">
        <is>
          <t>TVS</t>
        </is>
      </c>
      <c r="K200" t="inlineStr">
        <is>
          <t>15.88-0-1-ERW 1-PE-2.905</t>
        </is>
      </c>
    </row>
    <row r="201">
      <c r="A201" t="inlineStr">
        <is>
          <t>0000189226</t>
        </is>
      </c>
      <c r="B201" t="inlineStr">
        <is>
          <t>Neel Metal Products Limited</t>
        </is>
      </c>
      <c r="C201" t="inlineStr">
        <is>
          <t>NOS</t>
        </is>
      </c>
      <c r="D201" t="n">
        <v>442</v>
      </c>
      <c r="E201" t="n">
        <v>1284.702</v>
      </c>
      <c r="F201" t="n">
        <v>3541434</v>
      </c>
      <c r="G201" t="inlineStr">
        <is>
          <t>15.88-0-1-ERW 1-PE</t>
        </is>
      </c>
      <c r="H201" t="n">
        <v>471.614</v>
      </c>
      <c r="I201" t="inlineStr">
        <is>
          <t>TUB-O-N-AUT-AW-PE-15.88X1.000X2.9050</t>
        </is>
      </c>
      <c r="J201" t="inlineStr">
        <is>
          <t>TVS</t>
        </is>
      </c>
      <c r="K201" t="inlineStr">
        <is>
          <t>15.88-0-1-ERW 1-PE-2.905</t>
        </is>
      </c>
    </row>
    <row r="202">
      <c r="A202" t="inlineStr">
        <is>
          <t>0000189287</t>
        </is>
      </c>
      <c r="B202" t="inlineStr">
        <is>
          <t>BALAJI PRESS PRODUCTS INDIA</t>
        </is>
      </c>
      <c r="C202" t="inlineStr">
        <is>
          <t>NOS</t>
        </is>
      </c>
      <c r="D202" t="n">
        <v>3000</v>
      </c>
      <c r="E202" t="n">
        <v>3926.777</v>
      </c>
      <c r="F202" t="n">
        <v>1940046</v>
      </c>
      <c r="G202" t="inlineStr">
        <is>
          <t>15.88-0-1.2-ERW 1-PE</t>
        </is>
      </c>
      <c r="H202" t="n">
        <v>1641</v>
      </c>
      <c r="I202" t="inlineStr">
        <is>
          <t>TUB-O-O-AUT-AW-PE-15.88X1.200X1.3100</t>
        </is>
      </c>
      <c r="J202" t="inlineStr">
        <is>
          <t>TVS</t>
        </is>
      </c>
      <c r="K202" t="inlineStr">
        <is>
          <t>15.88-0-1.2-ERW 1-PE-1.31</t>
        </is>
      </c>
    </row>
    <row r="203">
      <c r="A203" t="inlineStr">
        <is>
          <t>0000189287</t>
        </is>
      </c>
      <c r="B203" t="inlineStr">
        <is>
          <t>BALAJI PRESS PRODUCTS INDIA</t>
        </is>
      </c>
      <c r="C203" t="inlineStr">
        <is>
          <t>NOS</t>
        </is>
      </c>
      <c r="D203" t="n">
        <v>924</v>
      </c>
      <c r="E203" t="n">
        <v>2393.844</v>
      </c>
      <c r="F203" t="n">
        <v>2409618</v>
      </c>
      <c r="G203" t="inlineStr">
        <is>
          <t>25.4-0-1.6-ERW 1-PE</t>
        </is>
      </c>
      <c r="H203" t="n">
        <v>2249.016</v>
      </c>
      <c r="I203" t="inlineStr">
        <is>
          <t>TUB-O-N-AUT-AW-PE-25.40X1.600X2.5900</t>
        </is>
      </c>
      <c r="J203" t="inlineStr">
        <is>
          <t>TVS</t>
        </is>
      </c>
      <c r="K203" t="inlineStr">
        <is>
          <t>25.4-0-1.6-ERW 1-PE-2.59</t>
        </is>
      </c>
    </row>
    <row r="204">
      <c r="A204" t="inlineStr">
        <is>
          <t>0000189287</t>
        </is>
      </c>
      <c r="B204" t="inlineStr">
        <is>
          <t>BALAJI PRESS PRODUCTS INDIA</t>
        </is>
      </c>
      <c r="C204" t="inlineStr">
        <is>
          <t>NOS</t>
        </is>
      </c>
      <c r="D204" t="n">
        <v>76</v>
      </c>
      <c r="E204" t="n">
        <v>196.896</v>
      </c>
      <c r="F204" t="n">
        <v>2409618</v>
      </c>
      <c r="G204" t="inlineStr">
        <is>
          <t>25.4-0-1.6-ERW 1-PE</t>
        </is>
      </c>
      <c r="H204" t="n">
        <v>184.984</v>
      </c>
      <c r="I204" t="inlineStr">
        <is>
          <t>TUB-O-N-AUT-AW-PE-25.40X1.600X2.5900</t>
        </is>
      </c>
      <c r="J204" t="inlineStr">
        <is>
          <t>TVS</t>
        </is>
      </c>
      <c r="K204" t="inlineStr">
        <is>
          <t>25.4-0-1.6-ERW 1-PE-2.59</t>
        </is>
      </c>
    </row>
    <row r="205">
      <c r="A205" t="inlineStr">
        <is>
          <t>0000189287</t>
        </is>
      </c>
      <c r="B205" t="inlineStr">
        <is>
          <t>BALAJI PRESS PRODUCTS INDIA</t>
        </is>
      </c>
      <c r="C205" t="inlineStr">
        <is>
          <t>NOS</t>
        </is>
      </c>
      <c r="D205" t="n">
        <v>88</v>
      </c>
      <c r="E205" t="n">
        <v>227.985</v>
      </c>
      <c r="F205" t="n">
        <v>2409618</v>
      </c>
      <c r="G205" t="inlineStr">
        <is>
          <t>25.4-0-1.6-ERW 1-PE</t>
        </is>
      </c>
      <c r="H205" t="n">
        <v>214.192</v>
      </c>
      <c r="I205" t="inlineStr">
        <is>
          <t>TUB-O-N-AUT-AW-PE-25.40X1.600X2.5900</t>
        </is>
      </c>
      <c r="J205" t="inlineStr">
        <is>
          <t>TVS</t>
        </is>
      </c>
      <c r="K205" t="inlineStr">
        <is>
          <t>25.4-0-1.6-ERW 1-PE-2.59</t>
        </is>
      </c>
    </row>
    <row r="206">
      <c r="A206" t="inlineStr">
        <is>
          <t>0000189287</t>
        </is>
      </c>
      <c r="B206" t="inlineStr">
        <is>
          <t>BALAJI PRESS PRODUCTS INDIA</t>
        </is>
      </c>
      <c r="C206" t="inlineStr">
        <is>
          <t>NOS</t>
        </is>
      </c>
      <c r="D206" t="n">
        <v>220</v>
      </c>
      <c r="E206" t="n">
        <v>569.963</v>
      </c>
      <c r="F206" t="n">
        <v>2409618</v>
      </c>
      <c r="G206" t="inlineStr">
        <is>
          <t>25.4-0-1.6-ERW 1-PE</t>
        </is>
      </c>
      <c r="H206" t="n">
        <v>535.48</v>
      </c>
      <c r="I206" t="inlineStr">
        <is>
          <t>TUB-O-N-AUT-AW-PE-25.40X1.600X2.5900</t>
        </is>
      </c>
      <c r="J206" t="inlineStr">
        <is>
          <t>TVS</t>
        </is>
      </c>
      <c r="K206" t="inlineStr">
        <is>
          <t>25.4-0-1.6-ERW 1-PE-2.59</t>
        </is>
      </c>
    </row>
    <row r="207">
      <c r="A207" t="inlineStr">
        <is>
          <t>0000189287</t>
        </is>
      </c>
      <c r="B207" t="inlineStr">
        <is>
          <t>BALAJI PRESS PRODUCTS INDIA</t>
        </is>
      </c>
      <c r="C207" t="inlineStr">
        <is>
          <t>NOS</t>
        </is>
      </c>
      <c r="D207" t="n">
        <v>2</v>
      </c>
      <c r="E207" t="n">
        <v>5.181</v>
      </c>
      <c r="F207" t="n">
        <v>2409618</v>
      </c>
      <c r="G207" t="inlineStr">
        <is>
          <t>25.4-0-1.6-ERW 1-PE</t>
        </is>
      </c>
      <c r="H207" t="n">
        <v>4.868</v>
      </c>
      <c r="I207" t="inlineStr">
        <is>
          <t>TUB-O-N-AUT-AW-PE-25.40X1.600X2.5900</t>
        </is>
      </c>
      <c r="J207" t="inlineStr">
        <is>
          <t>TVS</t>
        </is>
      </c>
      <c r="K207" t="inlineStr">
        <is>
          <t>25.4-0-1.6-ERW 1-PE-2.59</t>
        </is>
      </c>
    </row>
    <row r="208">
      <c r="A208" t="inlineStr">
        <is>
          <t>0000189287</t>
        </is>
      </c>
      <c r="B208" t="inlineStr">
        <is>
          <t>BALAJI PRESS PRODUCTS INDIA</t>
        </is>
      </c>
      <c r="C208" t="inlineStr">
        <is>
          <t>NOS</t>
        </is>
      </c>
      <c r="D208" t="n">
        <v>325</v>
      </c>
      <c r="E208" t="n">
        <v>349.373</v>
      </c>
      <c r="F208" t="n">
        <v>3229740</v>
      </c>
      <c r="G208" t="inlineStr">
        <is>
          <t>19.05-0-1.2-ERW 1-PE</t>
        </is>
      </c>
      <c r="H208" t="n">
        <v>177.446</v>
      </c>
      <c r="I208" t="inlineStr">
        <is>
          <t>TUB-O-N-AUT-AW-PE-19.05X1.200X1.0750</t>
        </is>
      </c>
      <c r="J208" t="inlineStr">
        <is>
          <t>TVS</t>
        </is>
      </c>
      <c r="K208" t="inlineStr">
        <is>
          <t>19.05-0-1.2-ERW 1-PE-1.075</t>
        </is>
      </c>
    </row>
    <row r="209">
      <c r="A209" t="inlineStr">
        <is>
          <t>0000189287</t>
        </is>
      </c>
      <c r="B209" t="inlineStr">
        <is>
          <t>BALAJI PRESS PRODUCTS INDIA</t>
        </is>
      </c>
      <c r="C209" t="inlineStr">
        <is>
          <t>NOS</t>
        </is>
      </c>
      <c r="D209" t="n">
        <v>2060</v>
      </c>
      <c r="E209" t="n">
        <v>2214.485</v>
      </c>
      <c r="F209" t="n">
        <v>3229740</v>
      </c>
      <c r="G209" t="inlineStr">
        <is>
          <t>19.05-0-1.2-ERW 1-PE</t>
        </is>
      </c>
      <c r="H209" t="n">
        <v>1124.737</v>
      </c>
      <c r="I209" t="inlineStr">
        <is>
          <t>TUB-O-N-AUT-AW-PE-19.05X1.200X1.0750</t>
        </is>
      </c>
      <c r="J209" t="inlineStr">
        <is>
          <t>TVS</t>
        </is>
      </c>
      <c r="K209" t="inlineStr">
        <is>
          <t>19.05-0-1.2-ERW 1-PE-1.075</t>
        </is>
      </c>
    </row>
    <row r="210">
      <c r="A210" t="inlineStr">
        <is>
          <t>0000189287</t>
        </is>
      </c>
      <c r="B210" t="inlineStr">
        <is>
          <t>BALAJI PRESS PRODUCTS INDIA</t>
        </is>
      </c>
      <c r="C210" t="inlineStr">
        <is>
          <t>NOS</t>
        </is>
      </c>
      <c r="D210" t="n">
        <v>631</v>
      </c>
      <c r="E210" t="n">
        <v>678.321</v>
      </c>
      <c r="F210" t="n">
        <v>3229740</v>
      </c>
      <c r="G210" t="inlineStr">
        <is>
          <t>19.05-0-1.2-ERW 1-PE</t>
        </is>
      </c>
      <c r="H210" t="n">
        <v>344.519</v>
      </c>
      <c r="I210" t="inlineStr">
        <is>
          <t>TUB-O-N-AUT-AW-PE-19.05X1.200X1.0750</t>
        </is>
      </c>
      <c r="J210" t="inlineStr">
        <is>
          <t>TVS</t>
        </is>
      </c>
      <c r="K210" t="inlineStr">
        <is>
          <t>19.05-0-1.2-ERW 1-PE-1.075</t>
        </is>
      </c>
    </row>
    <row r="211">
      <c r="A211" t="inlineStr">
        <is>
          <t>0000189287</t>
        </is>
      </c>
      <c r="B211" t="inlineStr">
        <is>
          <t>BALAJI PRESS PRODUCTS INDIA</t>
        </is>
      </c>
      <c r="C211" t="inlineStr">
        <is>
          <t>NOS</t>
        </is>
      </c>
      <c r="D211" t="n">
        <v>474</v>
      </c>
      <c r="E211" t="n">
        <v>509.547</v>
      </c>
      <c r="F211" t="n">
        <v>3229740</v>
      </c>
      <c r="G211" t="inlineStr">
        <is>
          <t>19.05-0-1.2-ERW 1-PE</t>
        </is>
      </c>
      <c r="H211" t="n">
        <v>258.799</v>
      </c>
      <c r="I211" t="inlineStr">
        <is>
          <t>TUB-O-N-AUT-AW-PE-19.05X1.200X1.0750</t>
        </is>
      </c>
      <c r="J211" t="inlineStr">
        <is>
          <t>TVS</t>
        </is>
      </c>
      <c r="K211" t="inlineStr">
        <is>
          <t>19.05-0-1.2-ERW 1-PE-1.075</t>
        </is>
      </c>
    </row>
    <row r="212">
      <c r="A212" t="inlineStr">
        <is>
          <t>0000189287</t>
        </is>
      </c>
      <c r="B212" t="inlineStr">
        <is>
          <t>BALAJI PRESS PRODUCTS INDIA</t>
        </is>
      </c>
      <c r="C212" t="inlineStr">
        <is>
          <t>NOS</t>
        </is>
      </c>
      <c r="D212" t="n">
        <v>260</v>
      </c>
      <c r="E212" t="n">
        <v>279.498</v>
      </c>
      <c r="F212" t="n">
        <v>3229740</v>
      </c>
      <c r="G212" t="inlineStr">
        <is>
          <t>19.05-0-1.2-ERW 1-PE</t>
        </is>
      </c>
      <c r="H212" t="n">
        <v>141.957</v>
      </c>
      <c r="I212" t="inlineStr">
        <is>
          <t>TUB-O-N-AUT-AW-PE-19.05X1.200X1.0750</t>
        </is>
      </c>
      <c r="J212" t="inlineStr">
        <is>
          <t>TVS</t>
        </is>
      </c>
      <c r="K212" t="inlineStr">
        <is>
          <t>19.05-0-1.2-ERW 1-PE-1.075</t>
        </is>
      </c>
    </row>
    <row r="213">
      <c r="A213" t="inlineStr">
        <is>
          <t>0000189287</t>
        </is>
      </c>
      <c r="B213" t="inlineStr">
        <is>
          <t>BALAJI PRESS PRODUCTS INDIA</t>
        </is>
      </c>
      <c r="C213" t="inlineStr">
        <is>
          <t>NOS</t>
        </is>
      </c>
      <c r="D213" t="n">
        <v>150</v>
      </c>
      <c r="E213" t="n">
        <v>161.249</v>
      </c>
      <c r="F213" t="n">
        <v>3229740</v>
      </c>
      <c r="G213" t="inlineStr">
        <is>
          <t>19.05-0-1.2-ERW 1-PE</t>
        </is>
      </c>
      <c r="H213" t="n">
        <v>81.898</v>
      </c>
      <c r="I213" t="inlineStr">
        <is>
          <t>TUB-O-N-AUT-AW-PE-19.05X1.200X1.0750</t>
        </is>
      </c>
      <c r="J213" t="inlineStr">
        <is>
          <t>TVS</t>
        </is>
      </c>
      <c r="K213" t="inlineStr">
        <is>
          <t>19.05-0-1.2-ERW 1-PE-1.075</t>
        </is>
      </c>
    </row>
    <row r="214">
      <c r="A214" t="inlineStr">
        <is>
          <t>0000189287</t>
        </is>
      </c>
      <c r="B214" t="inlineStr">
        <is>
          <t>BALAJI PRESS PRODUCTS INDIA</t>
        </is>
      </c>
      <c r="C214" t="inlineStr">
        <is>
          <t>NOS</t>
        </is>
      </c>
      <c r="D214" t="n">
        <v>625</v>
      </c>
      <c r="E214" t="n">
        <v>687.722</v>
      </c>
      <c r="F214" t="n">
        <v>2430128</v>
      </c>
      <c r="G214" t="inlineStr">
        <is>
          <t>50-30-1.6-ERW 1-FC</t>
        </is>
      </c>
      <c r="H214" t="n">
        <v>1335.625</v>
      </c>
      <c r="I214" t="inlineStr">
        <is>
          <t>TUB-R-AW-AUT-50.00X30.00X1.600X1.1000</t>
        </is>
      </c>
      <c r="J214" t="inlineStr">
        <is>
          <t>TVS</t>
        </is>
      </c>
      <c r="K214" t="inlineStr">
        <is>
          <t>50-30-1.6-ERW 1-FC-1.1</t>
        </is>
      </c>
    </row>
    <row r="215">
      <c r="A215" t="inlineStr">
        <is>
          <t>0000189287</t>
        </is>
      </c>
      <c r="B215" t="inlineStr">
        <is>
          <t>BALAJI PRESS PRODUCTS INDIA</t>
        </is>
      </c>
      <c r="C215" t="inlineStr">
        <is>
          <t>NOS</t>
        </is>
      </c>
      <c r="D215" t="n">
        <v>273</v>
      </c>
      <c r="E215" t="n">
        <v>300.397</v>
      </c>
      <c r="F215" t="n">
        <v>2430128</v>
      </c>
      <c r="G215" t="inlineStr">
        <is>
          <t>50-30-1.6-ERW 1-FC</t>
        </is>
      </c>
      <c r="H215" t="n">
        <v>583.401</v>
      </c>
      <c r="I215" t="inlineStr">
        <is>
          <t>TUB-R-AW-AUT-50.00X30.00X1.600X1.1000</t>
        </is>
      </c>
      <c r="J215" t="inlineStr">
        <is>
          <t>TVS</t>
        </is>
      </c>
      <c r="K215" t="inlineStr">
        <is>
          <t>50-30-1.6-ERW 1-FC-1.1</t>
        </is>
      </c>
    </row>
    <row r="216">
      <c r="A216" t="inlineStr">
        <is>
          <t>0000189287</t>
        </is>
      </c>
      <c r="B216" t="inlineStr">
        <is>
          <t>BALAJI PRESS PRODUCTS INDIA</t>
        </is>
      </c>
      <c r="C216" t="inlineStr">
        <is>
          <t>NOS</t>
        </is>
      </c>
      <c r="D216" t="n">
        <v>101</v>
      </c>
      <c r="E216" t="n">
        <v>111.136</v>
      </c>
      <c r="F216" t="n">
        <v>2430128</v>
      </c>
      <c r="G216" t="inlineStr">
        <is>
          <t>50-30-1.6-ERW 1-FC</t>
        </is>
      </c>
      <c r="H216" t="n">
        <v>215.837</v>
      </c>
      <c r="I216" t="inlineStr">
        <is>
          <t>TUB-R-AW-AUT-50.00X30.00X1.600X1.1000</t>
        </is>
      </c>
      <c r="J216" t="inlineStr">
        <is>
          <t>TVS</t>
        </is>
      </c>
      <c r="K216" t="inlineStr">
        <is>
          <t>50-30-1.6-ERW 1-FC-1.1</t>
        </is>
      </c>
    </row>
    <row r="217">
      <c r="A217" t="inlineStr">
        <is>
          <t>0000189287</t>
        </is>
      </c>
      <c r="B217" t="inlineStr">
        <is>
          <t>BALAJI PRESS PRODUCTS INDIA</t>
        </is>
      </c>
      <c r="C217" t="inlineStr">
        <is>
          <t>NOS</t>
        </is>
      </c>
      <c r="D217" t="n">
        <v>1000</v>
      </c>
      <c r="E217" t="n">
        <v>1145.009</v>
      </c>
      <c r="F217" t="n">
        <v>4110464</v>
      </c>
      <c r="G217" t="inlineStr">
        <is>
          <t>19.05-0-1.2-ERW 1-PE</t>
        </is>
      </c>
      <c r="H217" t="n">
        <v>604.8440000000001</v>
      </c>
      <c r="I217" t="inlineStr">
        <is>
          <t>TUB-O-N-AUT-AW-PE-19.05X1.200X1.1450</t>
        </is>
      </c>
      <c r="J217" t="inlineStr">
        <is>
          <t>TVS</t>
        </is>
      </c>
    </row>
    <row r="218">
      <c r="A218" t="inlineStr">
        <is>
          <t>0000189287</t>
        </is>
      </c>
      <c r="B218" t="inlineStr">
        <is>
          <t>BALAJI PRESS PRODUCTS INDIA</t>
        </is>
      </c>
      <c r="C218" t="inlineStr">
        <is>
          <t>NOS</t>
        </is>
      </c>
      <c r="D218" t="n">
        <v>1586</v>
      </c>
      <c r="E218" t="n">
        <v>1815.984</v>
      </c>
      <c r="F218" t="n">
        <v>4110464</v>
      </c>
      <c r="G218" t="inlineStr">
        <is>
          <t>19.05-0-1.2-ERW 1-PE</t>
        </is>
      </c>
      <c r="H218" t="n">
        <v>959.283</v>
      </c>
      <c r="I218" t="inlineStr">
        <is>
          <t>TUB-O-N-AUT-AW-PE-19.05X1.200X1.1450</t>
        </is>
      </c>
      <c r="J218" t="inlineStr">
        <is>
          <t>TVS</t>
        </is>
      </c>
    </row>
    <row r="219">
      <c r="A219" t="inlineStr">
        <is>
          <t>0000189287</t>
        </is>
      </c>
      <c r="B219" t="inlineStr">
        <is>
          <t>BALAJI PRESS PRODUCTS INDIA</t>
        </is>
      </c>
      <c r="C219" t="inlineStr">
        <is>
          <t>NOS</t>
        </is>
      </c>
      <c r="D219" t="n">
        <v>414</v>
      </c>
      <c r="E219" t="n">
        <v>474.034</v>
      </c>
      <c r="F219" t="n">
        <v>4110464</v>
      </c>
      <c r="G219" t="inlineStr">
        <is>
          <t>19.05-0-1.2-ERW 1-PE</t>
        </is>
      </c>
      <c r="H219" t="n">
        <v>250.406</v>
      </c>
      <c r="I219" t="inlineStr">
        <is>
          <t>TUB-O-N-AUT-AW-PE-19.05X1.200X1.1450</t>
        </is>
      </c>
      <c r="J219" t="inlineStr">
        <is>
          <t>TVS</t>
        </is>
      </c>
    </row>
    <row r="220">
      <c r="A220" t="inlineStr">
        <is>
          <t>0000188595</t>
        </is>
      </c>
      <c r="B220" t="inlineStr">
        <is>
          <t>Sri Balaji Gears</t>
        </is>
      </c>
      <c r="C220" t="inlineStr">
        <is>
          <t>NOS</t>
        </is>
      </c>
      <c r="D220" t="n">
        <v>1324</v>
      </c>
      <c r="E220" t="n">
        <v>1734.955</v>
      </c>
      <c r="F220" t="n">
        <v>1940801</v>
      </c>
      <c r="G220" t="inlineStr">
        <is>
          <t>40-20-1.2-CRFH-PE</t>
        </is>
      </c>
      <c r="H220" t="n">
        <v>1910.532</v>
      </c>
      <c r="I220" t="inlineStr">
        <is>
          <t>TUB-R-AW-RHS-40.00X20.00X1.210X1.3100</t>
        </is>
      </c>
      <c r="J220" t="inlineStr">
        <is>
          <t>TVS</t>
        </is>
      </c>
      <c r="K220" t="inlineStr">
        <is>
          <t>40-20-1.2-CRFH-PE-1.31</t>
        </is>
      </c>
    </row>
    <row r="221">
      <c r="A221" t="inlineStr">
        <is>
          <t>0000188595</t>
        </is>
      </c>
      <c r="B221" t="inlineStr">
        <is>
          <t>Sri Balaji Gears</t>
        </is>
      </c>
      <c r="C221" t="inlineStr">
        <is>
          <t>NOS</t>
        </is>
      </c>
      <c r="D221" t="n">
        <v>176</v>
      </c>
      <c r="E221" t="n">
        <v>230.628</v>
      </c>
      <c r="F221" t="n">
        <v>1940801</v>
      </c>
      <c r="G221" t="inlineStr">
        <is>
          <t>40-20-1.2-CRFH-PE</t>
        </is>
      </c>
      <c r="H221" t="n">
        <v>253.968</v>
      </c>
      <c r="I221" t="inlineStr">
        <is>
          <t>TUB-R-AW-RHS-40.00X20.00X1.210X1.3100</t>
        </is>
      </c>
      <c r="J221" t="inlineStr">
        <is>
          <t>TVS</t>
        </is>
      </c>
      <c r="K221" t="inlineStr">
        <is>
          <t>40-20-1.2-CRFH-PE-1.31</t>
        </is>
      </c>
    </row>
    <row r="222">
      <c r="A222" t="inlineStr">
        <is>
          <t>0000189002</t>
        </is>
      </c>
      <c r="B222" t="inlineStr">
        <is>
          <t>Marathwada Auto Compo Pvt. Ltd.</t>
        </is>
      </c>
      <c r="C222" t="inlineStr">
        <is>
          <t>NOS</t>
        </is>
      </c>
      <c r="D222" t="n">
        <v>1123</v>
      </c>
      <c r="E222" t="n">
        <v>1471.566</v>
      </c>
      <c r="F222" t="n">
        <v>1940801</v>
      </c>
      <c r="G222" t="inlineStr">
        <is>
          <t>40-20-1.2-CRFH-PE</t>
        </is>
      </c>
      <c r="H222" t="n">
        <v>1620.489</v>
      </c>
      <c r="I222" t="inlineStr">
        <is>
          <t>TUB-R-AW-RHS-40.00X20.00X1.210X1.3100</t>
        </is>
      </c>
      <c r="J222" t="inlineStr">
        <is>
          <t>TVS</t>
        </is>
      </c>
      <c r="K222" t="inlineStr">
        <is>
          <t>40-20-1.2-CRFH-PE-1.31</t>
        </is>
      </c>
    </row>
    <row r="223">
      <c r="A223" t="inlineStr">
        <is>
          <t>0000189002</t>
        </is>
      </c>
      <c r="B223" t="inlineStr">
        <is>
          <t>Marathwada Auto Compo Pvt. Ltd.</t>
        </is>
      </c>
      <c r="C223" t="inlineStr">
        <is>
          <t>NOS</t>
        </is>
      </c>
      <c r="D223" t="n">
        <v>188</v>
      </c>
      <c r="E223" t="n">
        <v>246.353</v>
      </c>
      <c r="F223" t="n">
        <v>1940801</v>
      </c>
      <c r="G223" t="inlineStr">
        <is>
          <t>40-20-1.2-CRFH-PE</t>
        </is>
      </c>
      <c r="H223" t="n">
        <v>271.284</v>
      </c>
      <c r="I223" t="inlineStr">
        <is>
          <t>TUB-R-AW-RHS-40.00X20.00X1.210X1.3100</t>
        </is>
      </c>
      <c r="J223" t="inlineStr">
        <is>
          <t>TVS</t>
        </is>
      </c>
      <c r="K223" t="inlineStr">
        <is>
          <t>40-20-1.2-CRFH-PE-1.31</t>
        </is>
      </c>
    </row>
    <row r="224">
      <c r="A224" t="inlineStr">
        <is>
          <t>0000189002</t>
        </is>
      </c>
      <c r="B224" t="inlineStr">
        <is>
          <t>Marathwada Auto Compo Pvt. Ltd.</t>
        </is>
      </c>
      <c r="C224" t="inlineStr">
        <is>
          <t>NOS</t>
        </is>
      </c>
      <c r="D224" t="n">
        <v>149</v>
      </c>
      <c r="E224" t="n">
        <v>195.248</v>
      </c>
      <c r="F224" t="n">
        <v>1940801</v>
      </c>
      <c r="G224" t="inlineStr">
        <is>
          <t>40-20-1.2-CRFH-PE</t>
        </is>
      </c>
      <c r="H224" t="n">
        <v>215.007</v>
      </c>
      <c r="I224" t="inlineStr">
        <is>
          <t>TUB-R-AW-RHS-40.00X20.00X1.210X1.3100</t>
        </is>
      </c>
      <c r="J224" t="inlineStr">
        <is>
          <t>TVS</t>
        </is>
      </c>
      <c r="K224" t="inlineStr">
        <is>
          <t>40-20-1.2-CRFH-PE-1.31</t>
        </is>
      </c>
    </row>
    <row r="225">
      <c r="A225" t="inlineStr">
        <is>
          <t>0000189002</t>
        </is>
      </c>
      <c r="B225" t="inlineStr">
        <is>
          <t>Marathwada Auto Compo Pvt. Ltd.</t>
        </is>
      </c>
      <c r="C225" t="inlineStr">
        <is>
          <t>NOS</t>
        </is>
      </c>
      <c r="D225" t="n">
        <v>40</v>
      </c>
      <c r="E225" t="n">
        <v>52.416</v>
      </c>
      <c r="F225" t="n">
        <v>1940801</v>
      </c>
      <c r="G225" t="inlineStr">
        <is>
          <t>40-20-1.2-CRFH-PE</t>
        </is>
      </c>
      <c r="H225" t="n">
        <v>57.72</v>
      </c>
      <c r="I225" t="inlineStr">
        <is>
          <t>TUB-R-AW-RHS-40.00X20.00X1.210X1.3100</t>
        </is>
      </c>
      <c r="J225" t="inlineStr">
        <is>
          <t>TVS</t>
        </is>
      </c>
      <c r="K225" t="inlineStr">
        <is>
          <t>40-20-1.2-CRFH-PE-1.31</t>
        </is>
      </c>
    </row>
    <row r="226">
      <c r="A226" t="inlineStr">
        <is>
          <t>0000189002</t>
        </is>
      </c>
      <c r="B226" t="inlineStr">
        <is>
          <t>Marathwada Auto Compo Pvt. Ltd.</t>
        </is>
      </c>
      <c r="C226" t="inlineStr">
        <is>
          <t>NOS</t>
        </is>
      </c>
      <c r="D226" t="n">
        <v>1500</v>
      </c>
      <c r="E226" t="n">
        <v>1965.583</v>
      </c>
      <c r="F226" t="n">
        <v>1940801</v>
      </c>
      <c r="G226" t="inlineStr">
        <is>
          <t>40-20-1.2-CRFH-PE</t>
        </is>
      </c>
      <c r="H226" t="n">
        <v>2164.5</v>
      </c>
      <c r="I226" t="inlineStr">
        <is>
          <t>TUB-R-AW-RHS-40.00X20.00X1.210X1.3100</t>
        </is>
      </c>
      <c r="J226" t="inlineStr">
        <is>
          <t>TVS</t>
        </is>
      </c>
      <c r="K226" t="inlineStr">
        <is>
          <t>40-20-1.2-CRFH-PE-1.31</t>
        </is>
      </c>
    </row>
    <row r="227">
      <c r="A227" t="inlineStr">
        <is>
          <t>0000188595</t>
        </is>
      </c>
      <c r="B227" t="inlineStr">
        <is>
          <t>Sri Balaji Gears</t>
        </is>
      </c>
      <c r="C227" t="inlineStr">
        <is>
          <t>NOS</t>
        </is>
      </c>
      <c r="D227" t="n">
        <v>1349</v>
      </c>
      <c r="E227" t="n">
        <v>1767.714</v>
      </c>
      <c r="F227" t="n">
        <v>1940801</v>
      </c>
      <c r="G227" t="inlineStr">
        <is>
          <t>40-20-1.2-CRFH-PE</t>
        </is>
      </c>
      <c r="H227" t="n">
        <v>1946.607</v>
      </c>
      <c r="I227" t="inlineStr">
        <is>
          <t>TUB-R-AW-RHS-40.00X20.00X1.210X1.3100</t>
        </is>
      </c>
      <c r="J227" t="inlineStr">
        <is>
          <t>TVS</t>
        </is>
      </c>
      <c r="K227" t="inlineStr">
        <is>
          <t>40-20-1.2-CRFH-PE-1.31</t>
        </is>
      </c>
    </row>
    <row r="228">
      <c r="A228" t="inlineStr">
        <is>
          <t>0000188595</t>
        </is>
      </c>
      <c r="B228" t="inlineStr">
        <is>
          <t>Sri Balaji Gears</t>
        </is>
      </c>
      <c r="C228" t="inlineStr">
        <is>
          <t>NOS</t>
        </is>
      </c>
      <c r="D228" t="n">
        <v>151</v>
      </c>
      <c r="E228" t="n">
        <v>197.869</v>
      </c>
      <c r="F228" t="n">
        <v>1940801</v>
      </c>
      <c r="G228" t="inlineStr">
        <is>
          <t>40-20-1.2-CRFH-PE</t>
        </is>
      </c>
      <c r="H228" t="n">
        <v>217.893</v>
      </c>
      <c r="I228" t="inlineStr">
        <is>
          <t>TUB-R-AW-RHS-40.00X20.00X1.210X1.3100</t>
        </is>
      </c>
      <c r="J228" t="inlineStr">
        <is>
          <t>TVS</t>
        </is>
      </c>
      <c r="K228" t="inlineStr">
        <is>
          <t>40-20-1.2-CRFH-PE-1.31</t>
        </is>
      </c>
    </row>
    <row r="229">
      <c r="A229" t="inlineStr">
        <is>
          <t>0000189002</t>
        </is>
      </c>
      <c r="B229" t="inlineStr">
        <is>
          <t>Marathwada Auto Compo Pvt. Ltd.</t>
        </is>
      </c>
      <c r="C229" t="inlineStr">
        <is>
          <t>NOS</t>
        </is>
      </c>
      <c r="D229" t="n">
        <v>799</v>
      </c>
      <c r="E229" t="n">
        <v>1047.001</v>
      </c>
      <c r="F229" t="n">
        <v>1940801</v>
      </c>
      <c r="G229" t="inlineStr">
        <is>
          <t>40-20-1.2-CRFH-PE</t>
        </is>
      </c>
      <c r="H229" t="n">
        <v>1152.957</v>
      </c>
      <c r="I229" t="inlineStr">
        <is>
          <t>TUB-R-AW-RHS-40.00X20.00X1.210X1.3100</t>
        </is>
      </c>
      <c r="J229" t="inlineStr">
        <is>
          <t>TVS</t>
        </is>
      </c>
      <c r="K229" t="inlineStr">
        <is>
          <t>40-20-1.2-CRFH-PE-1.31</t>
        </is>
      </c>
    </row>
    <row r="230">
      <c r="A230" t="inlineStr">
        <is>
          <t>0000189002</t>
        </is>
      </c>
      <c r="B230" t="inlineStr">
        <is>
          <t>Marathwada Auto Compo Pvt. Ltd.</t>
        </is>
      </c>
      <c r="C230" t="inlineStr">
        <is>
          <t>NOS</t>
        </is>
      </c>
      <c r="D230" t="n">
        <v>559</v>
      </c>
      <c r="E230" t="n">
        <v>732.5069999999999</v>
      </c>
      <c r="F230" t="n">
        <v>1940801</v>
      </c>
      <c r="G230" t="inlineStr">
        <is>
          <t>40-20-1.2-CRFH-PE</t>
        </is>
      </c>
      <c r="H230" t="n">
        <v>806.6369999999999</v>
      </c>
      <c r="I230" t="inlineStr">
        <is>
          <t>TUB-R-AW-RHS-40.00X20.00X1.210X1.3100</t>
        </is>
      </c>
      <c r="J230" t="inlineStr">
        <is>
          <t>TVS</t>
        </is>
      </c>
      <c r="K230" t="inlineStr">
        <is>
          <t>40-20-1.2-CRFH-PE-1.31</t>
        </is>
      </c>
    </row>
    <row r="231">
      <c r="A231" t="inlineStr">
        <is>
          <t>0000189002</t>
        </is>
      </c>
      <c r="B231" t="inlineStr">
        <is>
          <t>Marathwada Auto Compo Pvt. Ltd.</t>
        </is>
      </c>
      <c r="C231" t="inlineStr">
        <is>
          <t>NOS</t>
        </is>
      </c>
      <c r="D231" t="n">
        <v>84</v>
      </c>
      <c r="E231" t="n">
        <v>110.073</v>
      </c>
      <c r="F231" t="n">
        <v>1940801</v>
      </c>
      <c r="G231" t="inlineStr">
        <is>
          <t>40-20-1.2-CRFH-PE</t>
        </is>
      </c>
      <c r="H231" t="n">
        <v>121.212</v>
      </c>
      <c r="I231" t="inlineStr">
        <is>
          <t>TUB-R-AW-RHS-40.00X20.00X1.210X1.3100</t>
        </is>
      </c>
      <c r="J231" t="inlineStr">
        <is>
          <t>TVS</t>
        </is>
      </c>
      <c r="K231" t="inlineStr">
        <is>
          <t>40-20-1.2-CRFH-PE-1.31</t>
        </is>
      </c>
    </row>
    <row r="232">
      <c r="A232" t="inlineStr">
        <is>
          <t>0000189002</t>
        </is>
      </c>
      <c r="B232" t="inlineStr">
        <is>
          <t>Marathwada Auto Compo Pvt. Ltd.</t>
        </is>
      </c>
      <c r="C232" t="inlineStr">
        <is>
          <t>NOS</t>
        </is>
      </c>
      <c r="D232" t="n">
        <v>48</v>
      </c>
      <c r="E232" t="n">
        <v>62.899</v>
      </c>
      <c r="F232" t="n">
        <v>1940801</v>
      </c>
      <c r="G232" t="inlineStr">
        <is>
          <t>40-20-1.2-CRFH-PE</t>
        </is>
      </c>
      <c r="H232" t="n">
        <v>69.264</v>
      </c>
      <c r="I232" t="inlineStr">
        <is>
          <t>TUB-R-AW-RHS-40.00X20.00X1.210X1.3100</t>
        </is>
      </c>
      <c r="J232" t="inlineStr">
        <is>
          <t>TVS</t>
        </is>
      </c>
      <c r="K232" t="inlineStr">
        <is>
          <t>40-20-1.2-CRFH-PE-1.31</t>
        </is>
      </c>
    </row>
    <row r="233">
      <c r="A233" t="inlineStr">
        <is>
          <t>0000189002</t>
        </is>
      </c>
      <c r="B233" t="inlineStr">
        <is>
          <t>Marathwada Auto Compo Pvt. Ltd.</t>
        </is>
      </c>
      <c r="C233" t="inlineStr">
        <is>
          <t>NOS</t>
        </is>
      </c>
      <c r="D233" t="n">
        <v>10</v>
      </c>
      <c r="E233" t="n">
        <v>13.104</v>
      </c>
      <c r="F233" t="n">
        <v>1940801</v>
      </c>
      <c r="G233" t="inlineStr">
        <is>
          <t>40-20-1.2-CRFH-PE</t>
        </is>
      </c>
      <c r="H233" t="n">
        <v>14.43</v>
      </c>
      <c r="I233" t="inlineStr">
        <is>
          <t>TUB-R-AW-RHS-40.00X20.00X1.210X1.3100</t>
        </is>
      </c>
      <c r="J233" t="inlineStr">
        <is>
          <t>TVS</t>
        </is>
      </c>
      <c r="K233" t="inlineStr">
        <is>
          <t>40-20-1.2-CRFH-PE-1.31</t>
        </is>
      </c>
    </row>
    <row r="234">
      <c r="A234" t="inlineStr">
        <is>
          <t>0000188595</t>
        </is>
      </c>
      <c r="B234" t="inlineStr">
        <is>
          <t>Sri Balaji Gears</t>
        </is>
      </c>
      <c r="C234" t="inlineStr">
        <is>
          <t>NOS</t>
        </is>
      </c>
      <c r="D234" t="n">
        <v>1349</v>
      </c>
      <c r="E234" t="n">
        <v>1767.714</v>
      </c>
      <c r="F234" t="n">
        <v>1940801</v>
      </c>
      <c r="G234" t="inlineStr">
        <is>
          <t>40-20-1.2-CRFH-PE</t>
        </is>
      </c>
      <c r="H234" t="n">
        <v>1946.607</v>
      </c>
      <c r="I234" t="inlineStr">
        <is>
          <t>TUB-R-AW-RHS-40.00X20.00X1.210X1.3100</t>
        </is>
      </c>
      <c r="J234" t="inlineStr">
        <is>
          <t>TVS</t>
        </is>
      </c>
      <c r="K234" t="inlineStr">
        <is>
          <t>40-20-1.2-CRFH-PE-1.31</t>
        </is>
      </c>
    </row>
    <row r="235">
      <c r="A235" t="inlineStr">
        <is>
          <t>0000188595</t>
        </is>
      </c>
      <c r="B235" t="inlineStr">
        <is>
          <t>Sri Balaji Gears</t>
        </is>
      </c>
      <c r="C235" t="inlineStr">
        <is>
          <t>NOS</t>
        </is>
      </c>
      <c r="D235" t="n">
        <v>151</v>
      </c>
      <c r="E235" t="n">
        <v>197.869</v>
      </c>
      <c r="F235" t="n">
        <v>1940801</v>
      </c>
      <c r="G235" t="inlineStr">
        <is>
          <t>40-20-1.2-CRFH-PE</t>
        </is>
      </c>
      <c r="H235" t="n">
        <v>217.893</v>
      </c>
      <c r="I235" t="inlineStr">
        <is>
          <t>TUB-R-AW-RHS-40.00X20.00X1.210X1.3100</t>
        </is>
      </c>
      <c r="J235" t="inlineStr">
        <is>
          <t>TVS</t>
        </is>
      </c>
      <c r="K235" t="inlineStr">
        <is>
          <t>40-20-1.2-CRFH-PE-1.31</t>
        </is>
      </c>
    </row>
    <row r="236">
      <c r="A236" t="inlineStr">
        <is>
          <t>0000189002</t>
        </is>
      </c>
      <c r="B236" t="inlineStr">
        <is>
          <t>Marathwada Auto Compo Pvt. Ltd.</t>
        </is>
      </c>
      <c r="C236" t="inlineStr">
        <is>
          <t>NOS</t>
        </is>
      </c>
      <c r="D236" t="n">
        <v>824</v>
      </c>
      <c r="E236" t="n">
        <v>1079.76</v>
      </c>
      <c r="F236" t="n">
        <v>1940801</v>
      </c>
      <c r="G236" t="inlineStr">
        <is>
          <t>40-20-1.2-CRFH-PE</t>
        </is>
      </c>
      <c r="H236" t="n">
        <v>1189.032</v>
      </c>
      <c r="I236" t="inlineStr">
        <is>
          <t>TUB-R-AW-RHS-40.00X20.00X1.210X1.3100</t>
        </is>
      </c>
      <c r="J236" t="inlineStr">
        <is>
          <t>TVS</t>
        </is>
      </c>
      <c r="K236" t="inlineStr">
        <is>
          <t>40-20-1.2-CRFH-PE-1.31</t>
        </is>
      </c>
    </row>
    <row r="237">
      <c r="A237" t="inlineStr">
        <is>
          <t>0000189002</t>
        </is>
      </c>
      <c r="B237" t="inlineStr">
        <is>
          <t>Marathwada Auto Compo Pvt. Ltd.</t>
        </is>
      </c>
      <c r="C237" t="inlineStr">
        <is>
          <t>NOS</t>
        </is>
      </c>
      <c r="D237" t="n">
        <v>676</v>
      </c>
      <c r="E237" t="n">
        <v>885.823</v>
      </c>
      <c r="F237" t="n">
        <v>1940801</v>
      </c>
      <c r="G237" t="inlineStr">
        <is>
          <t>40-20-1.2-CRFH-PE</t>
        </is>
      </c>
      <c r="H237" t="n">
        <v>975.468</v>
      </c>
      <c r="I237" t="inlineStr">
        <is>
          <t>TUB-R-AW-RHS-40.00X20.00X1.210X1.3100</t>
        </is>
      </c>
      <c r="J237" t="inlineStr">
        <is>
          <t>TVS</t>
        </is>
      </c>
      <c r="K237" t="inlineStr">
        <is>
          <t>40-20-1.2-CRFH-PE-1.31</t>
        </is>
      </c>
    </row>
    <row r="238">
      <c r="A238" t="inlineStr">
        <is>
          <t>0000188595</t>
        </is>
      </c>
      <c r="B238" t="inlineStr">
        <is>
          <t>Sri Balaji Gears</t>
        </is>
      </c>
      <c r="C238" t="inlineStr">
        <is>
          <t>NOS</t>
        </is>
      </c>
      <c r="D238" t="n">
        <v>799</v>
      </c>
      <c r="E238" t="n">
        <v>1047.001</v>
      </c>
      <c r="F238" t="n">
        <v>1940801</v>
      </c>
      <c r="G238" t="inlineStr">
        <is>
          <t>40-20-1.2-CRFH-PE</t>
        </is>
      </c>
      <c r="H238" t="n">
        <v>1152.957</v>
      </c>
      <c r="I238" t="inlineStr">
        <is>
          <t>TUB-R-AW-RHS-40.00X20.00X1.210X1.3100</t>
        </is>
      </c>
      <c r="J238" t="inlineStr">
        <is>
          <t>TVS</t>
        </is>
      </c>
      <c r="K238" t="inlineStr">
        <is>
          <t>40-20-1.2-CRFH-PE-1.31</t>
        </is>
      </c>
    </row>
    <row r="239">
      <c r="A239" t="inlineStr">
        <is>
          <t>0000188595</t>
        </is>
      </c>
      <c r="B239" t="inlineStr">
        <is>
          <t>Sri Balaji Gears</t>
        </is>
      </c>
      <c r="C239" t="inlineStr">
        <is>
          <t>NOS</t>
        </is>
      </c>
      <c r="D239" t="n">
        <v>701</v>
      </c>
      <c r="E239" t="n">
        <v>918.582</v>
      </c>
      <c r="F239" t="n">
        <v>1940801</v>
      </c>
      <c r="G239" t="inlineStr">
        <is>
          <t>40-20-1.2-CRFH-PE</t>
        </is>
      </c>
      <c r="H239" t="n">
        <v>1011.543</v>
      </c>
      <c r="I239" t="inlineStr">
        <is>
          <t>TUB-R-AW-RHS-40.00X20.00X1.210X1.3100</t>
        </is>
      </c>
      <c r="J239" t="inlineStr">
        <is>
          <t>TVS</t>
        </is>
      </c>
      <c r="K239" t="inlineStr">
        <is>
          <t>40-20-1.2-CRFH-PE-1.31</t>
        </is>
      </c>
    </row>
    <row r="240">
      <c r="A240" t="inlineStr">
        <is>
          <t>0000189002</t>
        </is>
      </c>
      <c r="B240" t="inlineStr">
        <is>
          <t>Marathwada Auto Compo Pvt. Ltd.</t>
        </is>
      </c>
      <c r="C240" t="inlineStr">
        <is>
          <t>NOS</t>
        </is>
      </c>
      <c r="D240" t="n">
        <v>1249</v>
      </c>
      <c r="E240" t="n">
        <v>1636.675</v>
      </c>
      <c r="F240" t="n">
        <v>1940801</v>
      </c>
      <c r="G240" t="inlineStr">
        <is>
          <t>40-20-1.2-CRFH-PE</t>
        </is>
      </c>
      <c r="H240" t="n">
        <v>1802.307</v>
      </c>
      <c r="I240" t="inlineStr">
        <is>
          <t>TUB-R-AW-RHS-40.00X20.00X1.210X1.3100</t>
        </is>
      </c>
      <c r="J240" t="inlineStr">
        <is>
          <t>TVS</t>
        </is>
      </c>
      <c r="K240" t="inlineStr">
        <is>
          <t>40-20-1.2-CRFH-PE-1.31</t>
        </is>
      </c>
    </row>
    <row r="241">
      <c r="A241" t="inlineStr">
        <is>
          <t>0000189002</t>
        </is>
      </c>
      <c r="B241" t="inlineStr">
        <is>
          <t>Marathwada Auto Compo Pvt. Ltd.</t>
        </is>
      </c>
      <c r="C241" t="inlineStr">
        <is>
          <t>NOS</t>
        </is>
      </c>
      <c r="D241" t="n">
        <v>251</v>
      </c>
      <c r="E241" t="n">
        <v>328.908</v>
      </c>
      <c r="F241" t="n">
        <v>1940801</v>
      </c>
      <c r="G241" t="inlineStr">
        <is>
          <t>40-20-1.2-CRFH-PE</t>
        </is>
      </c>
      <c r="H241" t="n">
        <v>362.193</v>
      </c>
      <c r="I241" t="inlineStr">
        <is>
          <t>TUB-R-AW-RHS-40.00X20.00X1.210X1.3100</t>
        </is>
      </c>
      <c r="J241" t="inlineStr">
        <is>
          <t>TVS</t>
        </is>
      </c>
      <c r="K241" t="inlineStr">
        <is>
          <t>40-20-1.2-CRFH-PE-1.31</t>
        </is>
      </c>
    </row>
    <row r="242">
      <c r="A242" t="inlineStr">
        <is>
          <t>0000188595</t>
        </is>
      </c>
      <c r="B242" t="inlineStr">
        <is>
          <t>Sri Balaji Gears</t>
        </is>
      </c>
      <c r="C242" t="inlineStr">
        <is>
          <t>NOS</t>
        </is>
      </c>
      <c r="D242" t="n">
        <v>1500</v>
      </c>
      <c r="E242" t="n">
        <v>1965.583</v>
      </c>
      <c r="F242" t="n">
        <v>1940801</v>
      </c>
      <c r="G242" t="inlineStr">
        <is>
          <t>40-20-1.2-CRFH-PE</t>
        </is>
      </c>
      <c r="H242" t="n">
        <v>2164.5</v>
      </c>
      <c r="I242" t="inlineStr">
        <is>
          <t>TUB-R-AW-RHS-40.00X20.00X1.210X1.3100</t>
        </is>
      </c>
      <c r="J242" t="inlineStr">
        <is>
          <t>TVS</t>
        </is>
      </c>
      <c r="K242" t="inlineStr">
        <is>
          <t>40-20-1.2-CRFH-PE-1.31</t>
        </is>
      </c>
    </row>
    <row r="243">
      <c r="A243" t="inlineStr">
        <is>
          <t>0000189002</t>
        </is>
      </c>
      <c r="B243" t="inlineStr">
        <is>
          <t>Marathwada Auto Compo Pvt. Ltd.</t>
        </is>
      </c>
      <c r="C243" t="inlineStr">
        <is>
          <t>NOS</t>
        </is>
      </c>
      <c r="D243" t="n">
        <v>1500</v>
      </c>
      <c r="E243" t="n">
        <v>1965.583</v>
      </c>
      <c r="F243" t="n">
        <v>1940801</v>
      </c>
      <c r="G243" t="inlineStr">
        <is>
          <t>40-20-1.2-CRFH-PE</t>
        </is>
      </c>
      <c r="H243" t="n">
        <v>2164.5</v>
      </c>
      <c r="I243" t="inlineStr">
        <is>
          <t>TUB-R-AW-RHS-40.00X20.00X1.210X1.3100</t>
        </is>
      </c>
      <c r="J243" t="inlineStr">
        <is>
          <t>TVS</t>
        </is>
      </c>
      <c r="K243" t="inlineStr">
        <is>
          <t>40-20-1.2-CRFH-PE-1.31</t>
        </is>
      </c>
    </row>
    <row r="244">
      <c r="A244" t="inlineStr">
        <is>
          <t>0000188595</t>
        </is>
      </c>
      <c r="B244" t="inlineStr">
        <is>
          <t>Sri Balaji Gears</t>
        </is>
      </c>
      <c r="C244" t="inlineStr">
        <is>
          <t>NOS</t>
        </is>
      </c>
      <c r="D244" t="n">
        <v>819</v>
      </c>
      <c r="E244" t="n">
        <v>1073.208</v>
      </c>
      <c r="F244" t="n">
        <v>1940801</v>
      </c>
      <c r="G244" t="inlineStr">
        <is>
          <t>40-20-1.2-CRFH-PE</t>
        </is>
      </c>
      <c r="H244" t="n">
        <v>1181.817</v>
      </c>
      <c r="I244" t="inlineStr">
        <is>
          <t>TUB-R-AW-RHS-40.00X20.00X1.210X1.3100</t>
        </is>
      </c>
      <c r="J244" t="inlineStr">
        <is>
          <t>TVS</t>
        </is>
      </c>
      <c r="K244" t="inlineStr">
        <is>
          <t>40-20-1.2-CRFH-PE-1.31</t>
        </is>
      </c>
    </row>
    <row r="245">
      <c r="A245" t="inlineStr">
        <is>
          <t>0000188595</t>
        </is>
      </c>
      <c r="B245" t="inlineStr">
        <is>
          <t>Sri Balaji Gears</t>
        </is>
      </c>
      <c r="C245" t="inlineStr">
        <is>
          <t>NOS</t>
        </is>
      </c>
      <c r="D245" t="n">
        <v>648</v>
      </c>
      <c r="E245" t="n">
        <v>849.1319999999999</v>
      </c>
      <c r="F245" t="n">
        <v>1940801</v>
      </c>
      <c r="G245" t="inlineStr">
        <is>
          <t>40-20-1.2-CRFH-PE</t>
        </is>
      </c>
      <c r="H245" t="n">
        <v>935.064</v>
      </c>
      <c r="I245" t="inlineStr">
        <is>
          <t>TUB-R-AW-RHS-40.00X20.00X1.210X1.3100</t>
        </is>
      </c>
      <c r="J245" t="inlineStr">
        <is>
          <t>TVS</t>
        </is>
      </c>
      <c r="K245" t="inlineStr">
        <is>
          <t>40-20-1.2-CRFH-PE-1.31</t>
        </is>
      </c>
    </row>
    <row r="246">
      <c r="A246" t="inlineStr">
        <is>
          <t>0000188595</t>
        </is>
      </c>
      <c r="B246" t="inlineStr">
        <is>
          <t>Sri Balaji Gears</t>
        </is>
      </c>
      <c r="C246" t="inlineStr">
        <is>
          <t>NOS</t>
        </is>
      </c>
      <c r="D246" t="n">
        <v>33</v>
      </c>
      <c r="E246" t="n">
        <v>43.243</v>
      </c>
      <c r="F246" t="n">
        <v>1940801</v>
      </c>
      <c r="G246" t="inlineStr">
        <is>
          <t>40-20-1.2-CRFH-PE</t>
        </is>
      </c>
      <c r="H246" t="n">
        <v>47.619</v>
      </c>
      <c r="I246" t="inlineStr">
        <is>
          <t>TUB-R-AW-RHS-40.00X20.00X1.210X1.3100</t>
        </is>
      </c>
      <c r="J246" t="inlineStr">
        <is>
          <t>TVS</t>
        </is>
      </c>
      <c r="K246" t="inlineStr">
        <is>
          <t>40-20-1.2-CRFH-PE-1.31</t>
        </is>
      </c>
    </row>
    <row r="247">
      <c r="A247" t="inlineStr">
        <is>
          <t>0000189002</t>
        </is>
      </c>
      <c r="B247" t="inlineStr">
        <is>
          <t>Marathwada Auto Compo Pvt. Ltd.</t>
        </is>
      </c>
      <c r="C247" t="inlineStr">
        <is>
          <t>NOS</t>
        </is>
      </c>
      <c r="D247" t="n">
        <v>814</v>
      </c>
      <c r="E247" t="n">
        <v>1066.656</v>
      </c>
      <c r="F247" t="n">
        <v>1940801</v>
      </c>
      <c r="G247" t="inlineStr">
        <is>
          <t>40-20-1.2-CRFH-PE</t>
        </is>
      </c>
      <c r="H247" t="n">
        <v>1174.602</v>
      </c>
      <c r="I247" t="inlineStr">
        <is>
          <t>TUB-R-AW-RHS-40.00X20.00X1.210X1.3100</t>
        </is>
      </c>
      <c r="J247" t="inlineStr">
        <is>
          <t>TVS</t>
        </is>
      </c>
      <c r="K247" t="inlineStr">
        <is>
          <t>40-20-1.2-CRFH-PE-1.31</t>
        </is>
      </c>
    </row>
    <row r="248">
      <c r="A248" t="inlineStr">
        <is>
          <t>0000189002</t>
        </is>
      </c>
      <c r="B248" t="inlineStr">
        <is>
          <t>Marathwada Auto Compo Pvt. Ltd.</t>
        </is>
      </c>
      <c r="C248" t="inlineStr">
        <is>
          <t>NOS</t>
        </is>
      </c>
      <c r="D248" t="n">
        <v>565</v>
      </c>
      <c r="E248" t="n">
        <v>740.37</v>
      </c>
      <c r="F248" t="n">
        <v>1940801</v>
      </c>
      <c r="G248" t="inlineStr">
        <is>
          <t>40-20-1.2-CRFH-PE</t>
        </is>
      </c>
      <c r="H248" t="n">
        <v>815.295</v>
      </c>
      <c r="I248" t="inlineStr">
        <is>
          <t>TUB-R-AW-RHS-40.00X20.00X1.210X1.3100</t>
        </is>
      </c>
      <c r="J248" t="inlineStr">
        <is>
          <t>TVS</t>
        </is>
      </c>
      <c r="K248" t="inlineStr">
        <is>
          <t>40-20-1.2-CRFH-PE-1.31</t>
        </is>
      </c>
    </row>
    <row r="249">
      <c r="A249" t="inlineStr">
        <is>
          <t>0000189002</t>
        </is>
      </c>
      <c r="B249" t="inlineStr">
        <is>
          <t>Marathwada Auto Compo Pvt. Ltd.</t>
        </is>
      </c>
      <c r="C249" t="inlineStr">
        <is>
          <t>NOS</t>
        </is>
      </c>
      <c r="D249" t="n">
        <v>121</v>
      </c>
      <c r="E249" t="n">
        <v>158.557</v>
      </c>
      <c r="F249" t="n">
        <v>1940801</v>
      </c>
      <c r="G249" t="inlineStr">
        <is>
          <t>40-20-1.2-CRFH-PE</t>
        </is>
      </c>
      <c r="H249" t="n">
        <v>174.603</v>
      </c>
      <c r="I249" t="inlineStr">
        <is>
          <t>TUB-R-AW-RHS-40.00X20.00X1.210X1.3100</t>
        </is>
      </c>
      <c r="J249" t="inlineStr">
        <is>
          <t>TVS</t>
        </is>
      </c>
      <c r="K249" t="inlineStr">
        <is>
          <t>40-20-1.2-CRFH-PE-1.31</t>
        </is>
      </c>
    </row>
    <row r="250">
      <c r="A250" t="inlineStr">
        <is>
          <t>0000188595</t>
        </is>
      </c>
      <c r="B250" t="inlineStr">
        <is>
          <t>Sri Balaji Gears</t>
        </is>
      </c>
      <c r="C250" t="inlineStr">
        <is>
          <t>NOS</t>
        </is>
      </c>
      <c r="D250" t="n">
        <v>1500</v>
      </c>
      <c r="E250" t="n">
        <v>1965.583</v>
      </c>
      <c r="F250" t="n">
        <v>1940801</v>
      </c>
      <c r="G250" t="inlineStr">
        <is>
          <t>40-20-1.2-CRFH-PE</t>
        </is>
      </c>
      <c r="H250" t="n">
        <v>2164.5</v>
      </c>
      <c r="I250" t="inlineStr">
        <is>
          <t>TUB-R-AW-RHS-40.00X20.00X1.210X1.3100</t>
        </is>
      </c>
      <c r="J250" t="inlineStr">
        <is>
          <t>TVS</t>
        </is>
      </c>
      <c r="K250" t="inlineStr">
        <is>
          <t>40-20-1.2-CRFH-PE-1.31</t>
        </is>
      </c>
    </row>
    <row r="251">
      <c r="A251" t="inlineStr">
        <is>
          <t>0000188595</t>
        </is>
      </c>
      <c r="B251" t="inlineStr">
        <is>
          <t>Sri Balaji Gears</t>
        </is>
      </c>
      <c r="C251" t="inlineStr">
        <is>
          <t>NOS</t>
        </is>
      </c>
      <c r="D251" t="n">
        <v>423</v>
      </c>
      <c r="E251" t="n">
        <v>527.4059999999999</v>
      </c>
      <c r="F251" t="n">
        <v>3233554</v>
      </c>
      <c r="G251" t="inlineStr">
        <is>
          <t>40-20-1.2-CRFH-PE</t>
        </is>
      </c>
      <c r="H251" t="n">
        <v>580.779</v>
      </c>
      <c r="I251" t="inlineStr">
        <is>
          <t>TUB-R-AW-AUT-40.00X20.00X1.210X1.2460</t>
        </is>
      </c>
      <c r="J251" t="inlineStr">
        <is>
          <t>TVS</t>
        </is>
      </c>
      <c r="K251" t="inlineStr">
        <is>
          <t>40-20-1.2-CRFH-PE-1.246</t>
        </is>
      </c>
    </row>
    <row r="252">
      <c r="A252" t="inlineStr">
        <is>
          <t>0000188595</t>
        </is>
      </c>
      <c r="B252" t="inlineStr">
        <is>
          <t>Sri Balaji Gears</t>
        </is>
      </c>
      <c r="C252" t="inlineStr">
        <is>
          <t>NOS</t>
        </is>
      </c>
      <c r="D252" t="n">
        <v>77</v>
      </c>
      <c r="E252" t="n">
        <v>96.005</v>
      </c>
      <c r="F252" t="n">
        <v>3233554</v>
      </c>
      <c r="G252" t="inlineStr">
        <is>
          <t>40-20-1.2-CRFH-PE</t>
        </is>
      </c>
      <c r="H252" t="n">
        <v>105.721</v>
      </c>
      <c r="I252" t="inlineStr">
        <is>
          <t>TUB-R-AW-AUT-40.00X20.00X1.210X1.2460</t>
        </is>
      </c>
      <c r="J252" t="inlineStr">
        <is>
          <t>TVS</t>
        </is>
      </c>
      <c r="K252" t="inlineStr">
        <is>
          <t>40-20-1.2-CRFH-PE-1.246</t>
        </is>
      </c>
    </row>
    <row r="253">
      <c r="A253" t="inlineStr">
        <is>
          <t>0000189002</t>
        </is>
      </c>
      <c r="B253" t="inlineStr">
        <is>
          <t>Marathwada Auto Compo Pvt. Ltd.</t>
        </is>
      </c>
      <c r="C253" t="inlineStr">
        <is>
          <t>NOS</t>
        </is>
      </c>
      <c r="D253" t="n">
        <v>500</v>
      </c>
      <c r="E253" t="n">
        <v>623.4109999999999</v>
      </c>
      <c r="F253" t="n">
        <v>3233554</v>
      </c>
      <c r="G253" t="inlineStr">
        <is>
          <t>40-20-1.2-CRFH-PE</t>
        </is>
      </c>
      <c r="H253" t="n">
        <v>686.5</v>
      </c>
      <c r="I253" t="inlineStr">
        <is>
          <t>TUB-R-AW-AUT-40.00X20.00X1.210X1.2460</t>
        </is>
      </c>
      <c r="J253" t="inlineStr">
        <is>
          <t>TVS</t>
        </is>
      </c>
      <c r="K253" t="inlineStr">
        <is>
          <t>40-20-1.2-CRFH-PE-1.246</t>
        </is>
      </c>
    </row>
    <row r="254">
      <c r="A254" t="inlineStr">
        <is>
          <t>0000189002</t>
        </is>
      </c>
      <c r="B254" t="inlineStr">
        <is>
          <t>Marathwada Auto Compo Pvt. Ltd.</t>
        </is>
      </c>
      <c r="C254" t="inlineStr">
        <is>
          <t>NOS</t>
        </is>
      </c>
      <c r="D254" t="n">
        <v>500</v>
      </c>
      <c r="E254" t="n">
        <v>623.4109999999999</v>
      </c>
      <c r="F254" t="n">
        <v>3233554</v>
      </c>
      <c r="G254" t="inlineStr">
        <is>
          <t>40-20-1.2-CRFH-PE</t>
        </is>
      </c>
      <c r="H254" t="n">
        <v>686.5</v>
      </c>
      <c r="I254" t="inlineStr">
        <is>
          <t>TUB-R-AW-AUT-40.00X20.00X1.210X1.2460</t>
        </is>
      </c>
      <c r="J254" t="inlineStr">
        <is>
          <t>TVS</t>
        </is>
      </c>
      <c r="K254" t="inlineStr">
        <is>
          <t>40-20-1.2-CRFH-PE-1.246</t>
        </is>
      </c>
    </row>
    <row r="255">
      <c r="A255" t="inlineStr">
        <is>
          <t>0000188595</t>
        </is>
      </c>
      <c r="B255" t="inlineStr">
        <is>
          <t>Sri Balaji Gears</t>
        </is>
      </c>
      <c r="C255" t="inlineStr">
        <is>
          <t>NOS</t>
        </is>
      </c>
      <c r="D255" t="n">
        <v>439</v>
      </c>
      <c r="E255" t="n">
        <v>547.355</v>
      </c>
      <c r="F255" t="n">
        <v>3233554</v>
      </c>
      <c r="G255" t="inlineStr">
        <is>
          <t>40-20-1.2-CRFH-PE</t>
        </is>
      </c>
      <c r="H255" t="n">
        <v>602.747</v>
      </c>
      <c r="I255" t="inlineStr">
        <is>
          <t>TUB-R-AW-AUT-40.00X20.00X1.210X1.2460</t>
        </is>
      </c>
      <c r="J255" t="inlineStr">
        <is>
          <t>TVS</t>
        </is>
      </c>
      <c r="K255" t="inlineStr">
        <is>
          <t>40-20-1.2-CRFH-PE-1.246</t>
        </is>
      </c>
    </row>
    <row r="256">
      <c r="A256" t="inlineStr">
        <is>
          <t>0000188595</t>
        </is>
      </c>
      <c r="B256" t="inlineStr">
        <is>
          <t>Sri Balaji Gears</t>
        </is>
      </c>
      <c r="C256" t="inlineStr">
        <is>
          <t>NOS</t>
        </is>
      </c>
      <c r="D256" t="n">
        <v>61</v>
      </c>
      <c r="E256" t="n">
        <v>76.056</v>
      </c>
      <c r="F256" t="n">
        <v>3233554</v>
      </c>
      <c r="G256" t="inlineStr">
        <is>
          <t>40-20-1.2-CRFH-PE</t>
        </is>
      </c>
      <c r="H256" t="n">
        <v>83.753</v>
      </c>
      <c r="I256" t="inlineStr">
        <is>
          <t>TUB-R-AW-AUT-40.00X20.00X1.210X1.2460</t>
        </is>
      </c>
      <c r="J256" t="inlineStr">
        <is>
          <t>TVS</t>
        </is>
      </c>
      <c r="K256" t="inlineStr">
        <is>
          <t>40-20-1.2-CRFH-PE-1.246</t>
        </is>
      </c>
    </row>
    <row r="257">
      <c r="A257" t="inlineStr">
        <is>
          <t>0000189002</t>
        </is>
      </c>
      <c r="B257" t="inlineStr">
        <is>
          <t>Marathwada Auto Compo Pvt. Ltd.</t>
        </is>
      </c>
      <c r="C257" t="inlineStr">
        <is>
          <t>NOS</t>
        </is>
      </c>
      <c r="D257" t="n">
        <v>500</v>
      </c>
      <c r="E257" t="n">
        <v>623.4109999999999</v>
      </c>
      <c r="F257" t="n">
        <v>3233554</v>
      </c>
      <c r="G257" t="inlineStr">
        <is>
          <t>40-20-1.2-CRFH-PE</t>
        </is>
      </c>
      <c r="H257" t="n">
        <v>686.5</v>
      </c>
      <c r="I257" t="inlineStr">
        <is>
          <t>TUB-R-AW-AUT-40.00X20.00X1.210X1.2460</t>
        </is>
      </c>
      <c r="J257" t="inlineStr">
        <is>
          <t>TVS</t>
        </is>
      </c>
      <c r="K257" t="inlineStr">
        <is>
          <t>40-20-1.2-CRFH-PE-1.246</t>
        </is>
      </c>
    </row>
    <row r="258">
      <c r="A258" t="inlineStr">
        <is>
          <t>0000188595</t>
        </is>
      </c>
      <c r="B258" t="inlineStr">
        <is>
          <t>Sri Balaji Gears</t>
        </is>
      </c>
      <c r="C258" t="inlineStr">
        <is>
          <t>NOS</t>
        </is>
      </c>
      <c r="D258" t="n">
        <v>500</v>
      </c>
      <c r="E258" t="n">
        <v>623.4109999999999</v>
      </c>
      <c r="F258" t="n">
        <v>3233554</v>
      </c>
      <c r="G258" t="inlineStr">
        <is>
          <t>40-20-1.2-CRFH-PE</t>
        </is>
      </c>
      <c r="H258" t="n">
        <v>686.5</v>
      </c>
      <c r="I258" t="inlineStr">
        <is>
          <t>TUB-R-AW-AUT-40.00X20.00X1.210X1.2460</t>
        </is>
      </c>
      <c r="J258" t="inlineStr">
        <is>
          <t>TVS</t>
        </is>
      </c>
      <c r="K258" t="inlineStr">
        <is>
          <t>40-20-1.2-CRFH-PE-1.246</t>
        </is>
      </c>
    </row>
    <row r="259">
      <c r="A259" t="inlineStr">
        <is>
          <t>0000189002</t>
        </is>
      </c>
      <c r="B259" t="inlineStr">
        <is>
          <t>Marathwada Auto Compo Pvt. Ltd.</t>
        </is>
      </c>
      <c r="C259" t="inlineStr">
        <is>
          <t>NOS</t>
        </is>
      </c>
      <c r="D259" t="n">
        <v>320</v>
      </c>
      <c r="E259" t="n">
        <v>398.983</v>
      </c>
      <c r="F259" t="n">
        <v>3233554</v>
      </c>
      <c r="G259" t="inlineStr">
        <is>
          <t>40-20-1.2-CRFH-PE</t>
        </is>
      </c>
      <c r="H259" t="n">
        <v>439.36</v>
      </c>
      <c r="I259" t="inlineStr">
        <is>
          <t>TUB-R-AW-AUT-40.00X20.00X1.210X1.2460</t>
        </is>
      </c>
      <c r="J259" t="inlineStr">
        <is>
          <t>TVS</t>
        </is>
      </c>
      <c r="K259" t="inlineStr">
        <is>
          <t>40-20-1.2-CRFH-PE-1.246</t>
        </is>
      </c>
    </row>
    <row r="260">
      <c r="A260" t="inlineStr">
        <is>
          <t>0000189002</t>
        </is>
      </c>
      <c r="B260" t="inlineStr">
        <is>
          <t>Marathwada Auto Compo Pvt. Ltd.</t>
        </is>
      </c>
      <c r="C260" t="inlineStr">
        <is>
          <t>NOS</t>
        </is>
      </c>
      <c r="D260" t="n">
        <v>171</v>
      </c>
      <c r="E260" t="n">
        <v>213.207</v>
      </c>
      <c r="F260" t="n">
        <v>3233554</v>
      </c>
      <c r="G260" t="inlineStr">
        <is>
          <t>40-20-1.2-CRFH-PE</t>
        </is>
      </c>
      <c r="H260" t="n">
        <v>234.783</v>
      </c>
      <c r="I260" t="inlineStr">
        <is>
          <t>TUB-R-AW-AUT-40.00X20.00X1.210X1.2460</t>
        </is>
      </c>
      <c r="J260" t="inlineStr">
        <is>
          <t>TVS</t>
        </is>
      </c>
      <c r="K260" t="inlineStr">
        <is>
          <t>40-20-1.2-CRFH-PE-1.246</t>
        </is>
      </c>
    </row>
    <row r="261">
      <c r="A261" t="inlineStr">
        <is>
          <t>0000189002</t>
        </is>
      </c>
      <c r="B261" t="inlineStr">
        <is>
          <t>Marathwada Auto Compo Pvt. Ltd.</t>
        </is>
      </c>
      <c r="C261" t="inlineStr">
        <is>
          <t>NOS</t>
        </is>
      </c>
      <c r="D261" t="n">
        <v>9</v>
      </c>
      <c r="E261" t="n">
        <v>11.221</v>
      </c>
      <c r="F261" t="n">
        <v>3233554</v>
      </c>
      <c r="G261" t="inlineStr">
        <is>
          <t>40-20-1.2-CRFH-PE</t>
        </is>
      </c>
      <c r="H261" t="n">
        <v>12.357</v>
      </c>
      <c r="I261" t="inlineStr">
        <is>
          <t>TUB-R-AW-AUT-40.00X20.00X1.210X1.2460</t>
        </is>
      </c>
      <c r="J261" t="inlineStr">
        <is>
          <t>TVS</t>
        </is>
      </c>
      <c r="K261" t="inlineStr">
        <is>
          <t>40-20-1.2-CRFH-PE-1.246</t>
        </is>
      </c>
    </row>
    <row r="262">
      <c r="A262" t="inlineStr">
        <is>
          <t>0000188595</t>
        </is>
      </c>
      <c r="B262" t="inlineStr">
        <is>
          <t>Sri Balaji Gears</t>
        </is>
      </c>
      <c r="C262" t="inlineStr">
        <is>
          <t>NOS</t>
        </is>
      </c>
      <c r="D262" t="n">
        <v>500</v>
      </c>
      <c r="E262" t="n">
        <v>623.4109999999999</v>
      </c>
      <c r="F262" t="n">
        <v>3233554</v>
      </c>
      <c r="G262" t="inlineStr">
        <is>
          <t>40-20-1.2-CRFH-PE</t>
        </is>
      </c>
      <c r="H262" t="n">
        <v>686.5</v>
      </c>
      <c r="I262" t="inlineStr">
        <is>
          <t>TUB-R-AW-AUT-40.00X20.00X1.210X1.2460</t>
        </is>
      </c>
      <c r="J262" t="inlineStr">
        <is>
          <t>TVS</t>
        </is>
      </c>
      <c r="K262" t="inlineStr">
        <is>
          <t>40-20-1.2-CRFH-PE-1.246</t>
        </is>
      </c>
    </row>
    <row r="263">
      <c r="A263" t="inlineStr">
        <is>
          <t>0000189002</t>
        </is>
      </c>
      <c r="B263" t="inlineStr">
        <is>
          <t>Marathwada Auto Compo Pvt. Ltd.</t>
        </is>
      </c>
      <c r="C263" t="inlineStr">
        <is>
          <t>NOS</t>
        </is>
      </c>
      <c r="D263" t="n">
        <v>500</v>
      </c>
      <c r="E263" t="n">
        <v>623.4109999999999</v>
      </c>
      <c r="F263" t="n">
        <v>3233554</v>
      </c>
      <c r="G263" t="inlineStr">
        <is>
          <t>40-20-1.2-CRFH-PE</t>
        </is>
      </c>
      <c r="H263" t="n">
        <v>686.5</v>
      </c>
      <c r="I263" t="inlineStr">
        <is>
          <t>TUB-R-AW-AUT-40.00X20.00X1.210X1.2460</t>
        </is>
      </c>
      <c r="J263" t="inlineStr">
        <is>
          <t>TVS</t>
        </is>
      </c>
      <c r="K263" t="inlineStr">
        <is>
          <t>40-20-1.2-CRFH-PE-1.246</t>
        </is>
      </c>
    </row>
    <row r="264">
      <c r="A264" t="inlineStr">
        <is>
          <t>0000188595</t>
        </is>
      </c>
      <c r="B264" t="inlineStr">
        <is>
          <t>Sri Balaji Gears</t>
        </is>
      </c>
      <c r="C264" t="inlineStr">
        <is>
          <t>NOS</t>
        </is>
      </c>
      <c r="D264" t="n">
        <v>500</v>
      </c>
      <c r="E264" t="n">
        <v>623.4109999999999</v>
      </c>
      <c r="F264" t="n">
        <v>3233554</v>
      </c>
      <c r="G264" t="inlineStr">
        <is>
          <t>40-20-1.2-CRFH-PE</t>
        </is>
      </c>
      <c r="H264" t="n">
        <v>686.5</v>
      </c>
      <c r="I264" t="inlineStr">
        <is>
          <t>TUB-R-AW-AUT-40.00X20.00X1.210X1.2460</t>
        </is>
      </c>
      <c r="J264" t="inlineStr">
        <is>
          <t>TVS</t>
        </is>
      </c>
      <c r="K264" t="inlineStr">
        <is>
          <t>40-20-1.2-CRFH-PE-1.246</t>
        </is>
      </c>
    </row>
    <row r="265">
      <c r="A265" t="inlineStr">
        <is>
          <t>0000189002</t>
        </is>
      </c>
      <c r="B265" t="inlineStr">
        <is>
          <t>Marathwada Auto Compo Pvt. Ltd.</t>
        </is>
      </c>
      <c r="C265" t="inlineStr">
        <is>
          <t>NOS</t>
        </is>
      </c>
      <c r="D265" t="n">
        <v>500</v>
      </c>
      <c r="E265" t="n">
        <v>623.4109999999999</v>
      </c>
      <c r="F265" t="n">
        <v>3233554</v>
      </c>
      <c r="G265" t="inlineStr">
        <is>
          <t>40-20-1.2-CRFH-PE</t>
        </is>
      </c>
      <c r="H265" t="n">
        <v>686.5</v>
      </c>
      <c r="I265" t="inlineStr">
        <is>
          <t>TUB-R-AW-AUT-40.00X20.00X1.210X1.2460</t>
        </is>
      </c>
      <c r="J265" t="inlineStr">
        <is>
          <t>TVS</t>
        </is>
      </c>
      <c r="K265" t="inlineStr">
        <is>
          <t>40-20-1.2-CRFH-PE-1.246</t>
        </is>
      </c>
    </row>
    <row r="266">
      <c r="A266" t="inlineStr">
        <is>
          <t>0000188595</t>
        </is>
      </c>
      <c r="B266" t="inlineStr">
        <is>
          <t>Sri Balaji Gears</t>
        </is>
      </c>
      <c r="C266" t="inlineStr">
        <is>
          <t>NOS</t>
        </is>
      </c>
      <c r="D266" t="n">
        <v>500</v>
      </c>
      <c r="E266" t="n">
        <v>623.4109999999999</v>
      </c>
      <c r="F266" t="n">
        <v>3233554</v>
      </c>
      <c r="G266" t="inlineStr">
        <is>
          <t>40-20-1.2-CRFH-PE</t>
        </is>
      </c>
      <c r="H266" t="n">
        <v>686.5</v>
      </c>
      <c r="I266" t="inlineStr">
        <is>
          <t>TUB-R-AW-AUT-40.00X20.00X1.210X1.2460</t>
        </is>
      </c>
      <c r="J266" t="inlineStr">
        <is>
          <t>TVS</t>
        </is>
      </c>
      <c r="K266" t="inlineStr">
        <is>
          <t>40-20-1.2-CRFH-PE-1.246</t>
        </is>
      </c>
    </row>
    <row r="267">
      <c r="A267" t="inlineStr">
        <is>
          <t>0000189002</t>
        </is>
      </c>
      <c r="B267" t="inlineStr">
        <is>
          <t>Marathwada Auto Compo Pvt. Ltd.</t>
        </is>
      </c>
      <c r="C267" t="inlineStr">
        <is>
          <t>NOS</t>
        </is>
      </c>
      <c r="D267" t="n">
        <v>449</v>
      </c>
      <c r="E267" t="n">
        <v>559.823</v>
      </c>
      <c r="F267" t="n">
        <v>3233554</v>
      </c>
      <c r="G267" t="inlineStr">
        <is>
          <t>40-20-1.2-CRFH-PE</t>
        </is>
      </c>
      <c r="H267" t="n">
        <v>616.477</v>
      </c>
      <c r="I267" t="inlineStr">
        <is>
          <t>TUB-R-AW-AUT-40.00X20.00X1.210X1.2460</t>
        </is>
      </c>
      <c r="J267" t="inlineStr">
        <is>
          <t>TVS</t>
        </is>
      </c>
      <c r="K267" t="inlineStr">
        <is>
          <t>40-20-1.2-CRFH-PE-1.246</t>
        </is>
      </c>
    </row>
    <row r="268">
      <c r="A268" t="inlineStr">
        <is>
          <t>0000189002</t>
        </is>
      </c>
      <c r="B268" t="inlineStr">
        <is>
          <t>Marathwada Auto Compo Pvt. Ltd.</t>
        </is>
      </c>
      <c r="C268" t="inlineStr">
        <is>
          <t>NOS</t>
        </is>
      </c>
      <c r="D268" t="n">
        <v>51</v>
      </c>
      <c r="E268" t="n">
        <v>63.588</v>
      </c>
      <c r="F268" t="n">
        <v>3233554</v>
      </c>
      <c r="G268" t="inlineStr">
        <is>
          <t>40-20-1.2-CRFH-PE</t>
        </is>
      </c>
      <c r="H268" t="n">
        <v>70.023</v>
      </c>
      <c r="I268" t="inlineStr">
        <is>
          <t>TUB-R-AW-AUT-40.00X20.00X1.210X1.2460</t>
        </is>
      </c>
      <c r="J268" t="inlineStr">
        <is>
          <t>TVS</t>
        </is>
      </c>
      <c r="K268" t="inlineStr">
        <is>
          <t>40-20-1.2-CRFH-PE-1.246</t>
        </is>
      </c>
    </row>
    <row r="269">
      <c r="A269" t="inlineStr">
        <is>
          <t>0000188595</t>
        </is>
      </c>
      <c r="B269" t="inlineStr">
        <is>
          <t>Sri Balaji Gears</t>
        </is>
      </c>
      <c r="C269" t="inlineStr">
        <is>
          <t>NOS</t>
        </is>
      </c>
      <c r="D269" t="n">
        <v>500</v>
      </c>
      <c r="E269" t="n">
        <v>623.4109999999999</v>
      </c>
      <c r="F269" t="n">
        <v>3233554</v>
      </c>
      <c r="G269" t="inlineStr">
        <is>
          <t>40-20-1.2-CRFH-PE</t>
        </is>
      </c>
      <c r="H269" t="n">
        <v>686.5</v>
      </c>
      <c r="I269" t="inlineStr">
        <is>
          <t>TUB-R-AW-AUT-40.00X20.00X1.210X1.2460</t>
        </is>
      </c>
      <c r="J269" t="inlineStr">
        <is>
          <t>TVS</t>
        </is>
      </c>
      <c r="K269" t="inlineStr">
        <is>
          <t>40-20-1.2-CRFH-PE-1.246</t>
        </is>
      </c>
    </row>
    <row r="270">
      <c r="A270" t="inlineStr">
        <is>
          <t>0000188595</t>
        </is>
      </c>
      <c r="B270" t="inlineStr">
        <is>
          <t>Sri Balaji Gears</t>
        </is>
      </c>
      <c r="C270" t="inlineStr">
        <is>
          <t>NOS</t>
        </is>
      </c>
      <c r="D270" t="n">
        <v>1939</v>
      </c>
      <c r="E270" t="n">
        <v>2172.835</v>
      </c>
      <c r="F270" t="n">
        <v>3233555</v>
      </c>
      <c r="G270" t="inlineStr">
        <is>
          <t>40-20-1.2-CRFH-PE</t>
        </is>
      </c>
      <c r="H270" t="n">
        <v>2392.726</v>
      </c>
      <c r="I270" t="inlineStr">
        <is>
          <t>TUB-R-AW-AUT-40.00X20.00X1.210X1.1200</t>
        </is>
      </c>
      <c r="J270" t="inlineStr">
        <is>
          <t>TVS</t>
        </is>
      </c>
      <c r="K270" t="inlineStr">
        <is>
          <t>40-20-1.2-CRFH-PE-1.12</t>
        </is>
      </c>
    </row>
    <row r="271">
      <c r="A271" t="inlineStr">
        <is>
          <t>0000188595</t>
        </is>
      </c>
      <c r="B271" t="inlineStr">
        <is>
          <t>Sri Balaji Gears</t>
        </is>
      </c>
      <c r="C271" t="inlineStr">
        <is>
          <t>NOS</t>
        </is>
      </c>
      <c r="D271" t="n">
        <v>61</v>
      </c>
      <c r="E271" t="n">
        <v>68.35599999999999</v>
      </c>
      <c r="F271" t="n">
        <v>3233555</v>
      </c>
      <c r="G271" t="inlineStr">
        <is>
          <t>40-20-1.2-CRFH-PE</t>
        </is>
      </c>
      <c r="H271" t="n">
        <v>75.274</v>
      </c>
      <c r="I271" t="inlineStr">
        <is>
          <t>TUB-R-AW-AUT-40.00X20.00X1.210X1.1200</t>
        </is>
      </c>
      <c r="J271" t="inlineStr">
        <is>
          <t>TVS</t>
        </is>
      </c>
      <c r="K271" t="inlineStr">
        <is>
          <t>40-20-1.2-CRFH-PE-1.12</t>
        </is>
      </c>
    </row>
    <row r="272">
      <c r="A272" t="inlineStr">
        <is>
          <t>0000189002</t>
        </is>
      </c>
      <c r="B272" t="inlineStr">
        <is>
          <t>Marathwada Auto Compo Pvt. Ltd.</t>
        </is>
      </c>
      <c r="C272" t="inlineStr">
        <is>
          <t>NOS</t>
        </is>
      </c>
      <c r="D272" t="n">
        <v>1849</v>
      </c>
      <c r="E272" t="n">
        <v>2071.981</v>
      </c>
      <c r="F272" t="n">
        <v>3233555</v>
      </c>
      <c r="G272" t="inlineStr">
        <is>
          <t>40-20-1.2-CRFH-PE</t>
        </is>
      </c>
      <c r="H272" t="n">
        <v>2281.666</v>
      </c>
      <c r="I272" t="inlineStr">
        <is>
          <t>TUB-R-AW-AUT-40.00X20.00X1.210X1.1200</t>
        </is>
      </c>
      <c r="J272" t="inlineStr">
        <is>
          <t>TVS</t>
        </is>
      </c>
      <c r="K272" t="inlineStr">
        <is>
          <t>40-20-1.2-CRFH-PE-1.12</t>
        </is>
      </c>
    </row>
    <row r="273">
      <c r="A273" t="inlineStr">
        <is>
          <t>0000189002</t>
        </is>
      </c>
      <c r="B273" t="inlineStr">
        <is>
          <t>Marathwada Auto Compo Pvt. Ltd.</t>
        </is>
      </c>
      <c r="C273" t="inlineStr">
        <is>
          <t>NOS</t>
        </is>
      </c>
      <c r="D273" t="n">
        <v>151</v>
      </c>
      <c r="E273" t="n">
        <v>169.21</v>
      </c>
      <c r="F273" t="n">
        <v>3233555</v>
      </c>
      <c r="G273" t="inlineStr">
        <is>
          <t>40-20-1.2-CRFH-PE</t>
        </is>
      </c>
      <c r="H273" t="n">
        <v>186.334</v>
      </c>
      <c r="I273" t="inlineStr">
        <is>
          <t>TUB-R-AW-AUT-40.00X20.00X1.210X1.1200</t>
        </is>
      </c>
      <c r="J273" t="inlineStr">
        <is>
          <t>TVS</t>
        </is>
      </c>
      <c r="K273" t="inlineStr">
        <is>
          <t>40-20-1.2-CRFH-PE-1.12</t>
        </is>
      </c>
    </row>
    <row r="274">
      <c r="A274" t="inlineStr">
        <is>
          <t>0000189002</t>
        </is>
      </c>
      <c r="B274" t="inlineStr">
        <is>
          <t>Marathwada Auto Compo Pvt. Ltd.</t>
        </is>
      </c>
      <c r="C274" t="inlineStr">
        <is>
          <t>NOS</t>
        </is>
      </c>
      <c r="D274" t="n">
        <v>1898</v>
      </c>
      <c r="E274" t="n">
        <v>2126.891</v>
      </c>
      <c r="F274" t="n">
        <v>3233555</v>
      </c>
      <c r="G274" t="inlineStr">
        <is>
          <t>40-20-1.2-CRFH-PE</t>
        </is>
      </c>
      <c r="H274" t="n">
        <v>2342.132</v>
      </c>
      <c r="I274" t="inlineStr">
        <is>
          <t>TUB-R-AW-AUT-40.00X20.00X1.210X1.1200</t>
        </is>
      </c>
      <c r="J274" t="inlineStr">
        <is>
          <t>TVS</t>
        </is>
      </c>
      <c r="K274" t="inlineStr">
        <is>
          <t>40-20-1.2-CRFH-PE-1.12</t>
        </is>
      </c>
    </row>
    <row r="275">
      <c r="A275" t="inlineStr">
        <is>
          <t>0000189002</t>
        </is>
      </c>
      <c r="B275" t="inlineStr">
        <is>
          <t>Marathwada Auto Compo Pvt. Ltd.</t>
        </is>
      </c>
      <c r="C275" t="inlineStr">
        <is>
          <t>NOS</t>
        </is>
      </c>
      <c r="D275" t="n">
        <v>102</v>
      </c>
      <c r="E275" t="n">
        <v>114.301</v>
      </c>
      <c r="F275" t="n">
        <v>3233555</v>
      </c>
      <c r="G275" t="inlineStr">
        <is>
          <t>40-20-1.2-CRFH-PE</t>
        </is>
      </c>
      <c r="H275" t="n">
        <v>125.868</v>
      </c>
      <c r="I275" t="inlineStr">
        <is>
          <t>TUB-R-AW-AUT-40.00X20.00X1.210X1.1200</t>
        </is>
      </c>
      <c r="J275" t="inlineStr">
        <is>
          <t>TVS</t>
        </is>
      </c>
      <c r="K275" t="inlineStr">
        <is>
          <t>40-20-1.2-CRFH-PE-1.12</t>
        </is>
      </c>
    </row>
    <row r="276">
      <c r="A276" t="inlineStr">
        <is>
          <t>0000188595</t>
        </is>
      </c>
      <c r="B276" t="inlineStr">
        <is>
          <t>Sri Balaji Gears</t>
        </is>
      </c>
      <c r="C276" t="inlineStr">
        <is>
          <t>NOS</t>
        </is>
      </c>
      <c r="D276" t="n">
        <v>1510</v>
      </c>
      <c r="E276" t="n">
        <v>1692.1</v>
      </c>
      <c r="F276" t="n">
        <v>3233555</v>
      </c>
      <c r="G276" t="inlineStr">
        <is>
          <t>40-20-1.2-CRFH-PE</t>
        </is>
      </c>
      <c r="H276" t="n">
        <v>1863.34</v>
      </c>
      <c r="I276" t="inlineStr">
        <is>
          <t>TUB-R-AW-AUT-40.00X20.00X1.210X1.1200</t>
        </is>
      </c>
      <c r="J276" t="inlineStr">
        <is>
          <t>TVS</t>
        </is>
      </c>
      <c r="K276" t="inlineStr">
        <is>
          <t>40-20-1.2-CRFH-PE-1.12</t>
        </is>
      </c>
    </row>
    <row r="277">
      <c r="A277" t="inlineStr">
        <is>
          <t>0000188595</t>
        </is>
      </c>
      <c r="B277" t="inlineStr">
        <is>
          <t>Sri Balaji Gears</t>
        </is>
      </c>
      <c r="C277" t="inlineStr">
        <is>
          <t>NOS</t>
        </is>
      </c>
      <c r="D277" t="n">
        <v>490</v>
      </c>
      <c r="E277" t="n">
        <v>549.092</v>
      </c>
      <c r="F277" t="n">
        <v>3233555</v>
      </c>
      <c r="G277" t="inlineStr">
        <is>
          <t>40-20-1.2-CRFH-PE</t>
        </is>
      </c>
      <c r="H277" t="n">
        <v>604.66</v>
      </c>
      <c r="I277" t="inlineStr">
        <is>
          <t>TUB-R-AW-AUT-40.00X20.00X1.210X1.1200</t>
        </is>
      </c>
      <c r="J277" t="inlineStr">
        <is>
          <t>TVS</t>
        </is>
      </c>
      <c r="K277" t="inlineStr">
        <is>
          <t>40-20-1.2-CRFH-PE-1.12</t>
        </is>
      </c>
    </row>
    <row r="278">
      <c r="A278" t="inlineStr">
        <is>
          <t>0000189002</t>
        </is>
      </c>
      <c r="B278" t="inlineStr">
        <is>
          <t>Marathwada Auto Compo Pvt. Ltd.</t>
        </is>
      </c>
      <c r="C278" t="inlineStr">
        <is>
          <t>NOS</t>
        </is>
      </c>
      <c r="D278" t="n">
        <v>1404</v>
      </c>
      <c r="E278" t="n">
        <v>1573.316</v>
      </c>
      <c r="F278" t="n">
        <v>3233555</v>
      </c>
      <c r="G278" t="inlineStr">
        <is>
          <t>40-20-1.2-CRFH-PE</t>
        </is>
      </c>
      <c r="H278" t="n">
        <v>1732.536</v>
      </c>
      <c r="I278" t="inlineStr">
        <is>
          <t>TUB-R-AW-AUT-40.00X20.00X1.210X1.1200</t>
        </is>
      </c>
      <c r="J278" t="inlineStr">
        <is>
          <t>TVS</t>
        </is>
      </c>
      <c r="K278" t="inlineStr">
        <is>
          <t>40-20-1.2-CRFH-PE-1.12</t>
        </is>
      </c>
    </row>
    <row r="279">
      <c r="A279" t="inlineStr">
        <is>
          <t>0000189002</t>
        </is>
      </c>
      <c r="B279" t="inlineStr">
        <is>
          <t>Marathwada Auto Compo Pvt. Ltd.</t>
        </is>
      </c>
      <c r="C279" t="inlineStr">
        <is>
          <t>NOS</t>
        </is>
      </c>
      <c r="D279" t="n">
        <v>384</v>
      </c>
      <c r="E279" t="n">
        <v>430.309</v>
      </c>
      <c r="F279" t="n">
        <v>3233555</v>
      </c>
      <c r="G279" t="inlineStr">
        <is>
          <t>40-20-1.2-CRFH-PE</t>
        </is>
      </c>
      <c r="H279" t="n">
        <v>473.856</v>
      </c>
      <c r="I279" t="inlineStr">
        <is>
          <t>TUB-R-AW-AUT-40.00X20.00X1.210X1.1200</t>
        </is>
      </c>
      <c r="J279" t="inlineStr">
        <is>
          <t>TVS</t>
        </is>
      </c>
      <c r="K279" t="inlineStr">
        <is>
          <t>40-20-1.2-CRFH-PE-1.12</t>
        </is>
      </c>
    </row>
    <row r="280">
      <c r="A280" t="inlineStr">
        <is>
          <t>0000189002</t>
        </is>
      </c>
      <c r="B280" t="inlineStr">
        <is>
          <t>Marathwada Auto Compo Pvt. Ltd.</t>
        </is>
      </c>
      <c r="C280" t="inlineStr">
        <is>
          <t>NOS</t>
        </is>
      </c>
      <c r="D280" t="n">
        <v>167</v>
      </c>
      <c r="E280" t="n">
        <v>187.139</v>
      </c>
      <c r="F280" t="n">
        <v>3233555</v>
      </c>
      <c r="G280" t="inlineStr">
        <is>
          <t>40-20-1.2-CRFH-PE</t>
        </is>
      </c>
      <c r="H280" t="n">
        <v>206.078</v>
      </c>
      <c r="I280" t="inlineStr">
        <is>
          <t>TUB-R-AW-AUT-40.00X20.00X1.210X1.1200</t>
        </is>
      </c>
      <c r="J280" t="inlineStr">
        <is>
          <t>TVS</t>
        </is>
      </c>
      <c r="K280" t="inlineStr">
        <is>
          <t>40-20-1.2-CRFH-PE-1.12</t>
        </is>
      </c>
    </row>
    <row r="281">
      <c r="A281" t="inlineStr">
        <is>
          <t>0000189002</t>
        </is>
      </c>
      <c r="B281" t="inlineStr">
        <is>
          <t>Marathwada Auto Compo Pvt. Ltd.</t>
        </is>
      </c>
      <c r="C281" t="inlineStr">
        <is>
          <t>NOS</t>
        </is>
      </c>
      <c r="D281" t="n">
        <v>45</v>
      </c>
      <c r="E281" t="n">
        <v>50.427</v>
      </c>
      <c r="F281" t="n">
        <v>3233555</v>
      </c>
      <c r="G281" t="inlineStr">
        <is>
          <t>40-20-1.2-CRFH-PE</t>
        </is>
      </c>
      <c r="H281" t="n">
        <v>55.53</v>
      </c>
      <c r="I281" t="inlineStr">
        <is>
          <t>TUB-R-AW-AUT-40.00X20.00X1.210X1.1200</t>
        </is>
      </c>
      <c r="J281" t="inlineStr">
        <is>
          <t>TVS</t>
        </is>
      </c>
      <c r="K281" t="inlineStr">
        <is>
          <t>40-20-1.2-CRFH-PE-1.12</t>
        </is>
      </c>
    </row>
    <row r="282">
      <c r="A282" t="inlineStr">
        <is>
          <t>0000188595</t>
        </is>
      </c>
      <c r="B282" t="inlineStr">
        <is>
          <t>Sri Balaji Gears</t>
        </is>
      </c>
      <c r="C282" t="inlineStr">
        <is>
          <t>NOS</t>
        </is>
      </c>
      <c r="D282" t="n">
        <v>1898</v>
      </c>
      <c r="E282" t="n">
        <v>2126.891</v>
      </c>
      <c r="F282" t="n">
        <v>3233555</v>
      </c>
      <c r="G282" t="inlineStr">
        <is>
          <t>40-20-1.2-CRFH-PE</t>
        </is>
      </c>
      <c r="H282" t="n">
        <v>2342.132</v>
      </c>
      <c r="I282" t="inlineStr">
        <is>
          <t>TUB-R-AW-AUT-40.00X20.00X1.210X1.1200</t>
        </is>
      </c>
      <c r="J282" t="inlineStr">
        <is>
          <t>TVS</t>
        </is>
      </c>
      <c r="K282" t="inlineStr">
        <is>
          <t>40-20-1.2-CRFH-PE-1.12</t>
        </is>
      </c>
    </row>
    <row r="283">
      <c r="A283" t="inlineStr">
        <is>
          <t>0000188595</t>
        </is>
      </c>
      <c r="B283" t="inlineStr">
        <is>
          <t>Sri Balaji Gears</t>
        </is>
      </c>
      <c r="C283" t="inlineStr">
        <is>
          <t>NOS</t>
        </is>
      </c>
      <c r="D283" t="n">
        <v>102</v>
      </c>
      <c r="E283" t="n">
        <v>114.301</v>
      </c>
      <c r="F283" t="n">
        <v>3233555</v>
      </c>
      <c r="G283" t="inlineStr">
        <is>
          <t>40-20-1.2-CRFH-PE</t>
        </is>
      </c>
      <c r="H283" t="n">
        <v>125.868</v>
      </c>
      <c r="I283" t="inlineStr">
        <is>
          <t>TUB-R-AW-AUT-40.00X20.00X1.210X1.1200</t>
        </is>
      </c>
      <c r="J283" t="inlineStr">
        <is>
          <t>TVS</t>
        </is>
      </c>
      <c r="K283" t="inlineStr">
        <is>
          <t>40-20-1.2-CRFH-PE-1.12</t>
        </is>
      </c>
    </row>
    <row r="284">
      <c r="A284" t="inlineStr">
        <is>
          <t>0000189002</t>
        </is>
      </c>
      <c r="B284" t="inlineStr">
        <is>
          <t>Marathwada Auto Compo Pvt. Ltd.</t>
        </is>
      </c>
      <c r="C284" t="inlineStr">
        <is>
          <t>NOS</t>
        </is>
      </c>
      <c r="D284" t="n">
        <v>1898</v>
      </c>
      <c r="E284" t="n">
        <v>2126.891</v>
      </c>
      <c r="F284" t="n">
        <v>3233555</v>
      </c>
      <c r="G284" t="inlineStr">
        <is>
          <t>40-20-1.2-CRFH-PE</t>
        </is>
      </c>
      <c r="H284" t="n">
        <v>2342.132</v>
      </c>
      <c r="I284" t="inlineStr">
        <is>
          <t>TUB-R-AW-AUT-40.00X20.00X1.210X1.1200</t>
        </is>
      </c>
      <c r="J284" t="inlineStr">
        <is>
          <t>TVS</t>
        </is>
      </c>
      <c r="K284" t="inlineStr">
        <is>
          <t>40-20-1.2-CRFH-PE-1.12</t>
        </is>
      </c>
    </row>
    <row r="285">
      <c r="A285" t="inlineStr">
        <is>
          <t>0000189002</t>
        </is>
      </c>
      <c r="B285" t="inlineStr">
        <is>
          <t>Marathwada Auto Compo Pvt. Ltd.</t>
        </is>
      </c>
      <c r="C285" t="inlineStr">
        <is>
          <t>NOS</t>
        </is>
      </c>
      <c r="D285" t="n">
        <v>102</v>
      </c>
      <c r="E285" t="n">
        <v>114.301</v>
      </c>
      <c r="F285" t="n">
        <v>3233555</v>
      </c>
      <c r="G285" t="inlineStr">
        <is>
          <t>40-20-1.2-CRFH-PE</t>
        </is>
      </c>
      <c r="H285" t="n">
        <v>125.868</v>
      </c>
      <c r="I285" t="inlineStr">
        <is>
          <t>TUB-R-AW-AUT-40.00X20.00X1.210X1.1200</t>
        </is>
      </c>
      <c r="J285" t="inlineStr">
        <is>
          <t>TVS</t>
        </is>
      </c>
      <c r="K285" t="inlineStr">
        <is>
          <t>40-20-1.2-CRFH-PE-1.12</t>
        </is>
      </c>
    </row>
    <row r="286">
      <c r="A286" t="inlineStr">
        <is>
          <t>0000188595</t>
        </is>
      </c>
      <c r="B286" t="inlineStr">
        <is>
          <t>Sri Balaji Gears</t>
        </is>
      </c>
      <c r="C286" t="inlineStr">
        <is>
          <t>NOS</t>
        </is>
      </c>
      <c r="D286" t="n">
        <v>1898</v>
      </c>
      <c r="E286" t="n">
        <v>2126.891</v>
      </c>
      <c r="F286" t="n">
        <v>3233555</v>
      </c>
      <c r="G286" t="inlineStr">
        <is>
          <t>40-20-1.2-CRFH-PE</t>
        </is>
      </c>
      <c r="H286" t="n">
        <v>2342.132</v>
      </c>
      <c r="I286" t="inlineStr">
        <is>
          <t>TUB-R-AW-AUT-40.00X20.00X1.210X1.1200</t>
        </is>
      </c>
      <c r="J286" t="inlineStr">
        <is>
          <t>TVS</t>
        </is>
      </c>
      <c r="K286" t="inlineStr">
        <is>
          <t>40-20-1.2-CRFH-PE-1.12</t>
        </is>
      </c>
    </row>
    <row r="287">
      <c r="A287" t="inlineStr">
        <is>
          <t>0000188595</t>
        </is>
      </c>
      <c r="B287" t="inlineStr">
        <is>
          <t>Sri Balaji Gears</t>
        </is>
      </c>
      <c r="C287" t="inlineStr">
        <is>
          <t>NOS</t>
        </is>
      </c>
      <c r="D287" t="n">
        <v>102</v>
      </c>
      <c r="E287" t="n">
        <v>114.301</v>
      </c>
      <c r="F287" t="n">
        <v>3233555</v>
      </c>
      <c r="G287" t="inlineStr">
        <is>
          <t>40-20-1.2-CRFH-PE</t>
        </is>
      </c>
      <c r="H287" t="n">
        <v>125.868</v>
      </c>
      <c r="I287" t="inlineStr">
        <is>
          <t>TUB-R-AW-AUT-40.00X20.00X1.210X1.1200</t>
        </is>
      </c>
      <c r="J287" t="inlineStr">
        <is>
          <t>TVS</t>
        </is>
      </c>
      <c r="K287" t="inlineStr">
        <is>
          <t>40-20-1.2-CRFH-PE-1.12</t>
        </is>
      </c>
    </row>
    <row r="288">
      <c r="A288" t="inlineStr">
        <is>
          <t>0000189002</t>
        </is>
      </c>
      <c r="B288" t="inlineStr">
        <is>
          <t>Marathwada Auto Compo Pvt. Ltd.</t>
        </is>
      </c>
      <c r="C288" t="inlineStr">
        <is>
          <t>NOS</t>
        </is>
      </c>
      <c r="D288" t="n">
        <v>949</v>
      </c>
      <c r="E288" t="n">
        <v>1063.445</v>
      </c>
      <c r="F288" t="n">
        <v>3233555</v>
      </c>
      <c r="G288" t="inlineStr">
        <is>
          <t>40-20-1.2-CRFH-PE</t>
        </is>
      </c>
      <c r="H288" t="n">
        <v>1171.066</v>
      </c>
      <c r="I288" t="inlineStr">
        <is>
          <t>TUB-R-AW-AUT-40.00X20.00X1.210X1.1200</t>
        </is>
      </c>
      <c r="J288" t="inlineStr">
        <is>
          <t>TVS</t>
        </is>
      </c>
      <c r="K288" t="inlineStr">
        <is>
          <t>40-20-1.2-CRFH-PE-1.12</t>
        </is>
      </c>
    </row>
    <row r="289">
      <c r="A289" t="inlineStr">
        <is>
          <t>0000189002</t>
        </is>
      </c>
      <c r="B289" t="inlineStr">
        <is>
          <t>Marathwada Auto Compo Pvt. Ltd.</t>
        </is>
      </c>
      <c r="C289" t="inlineStr">
        <is>
          <t>NOS</t>
        </is>
      </c>
      <c r="D289" t="n">
        <v>944</v>
      </c>
      <c r="E289" t="n">
        <v>1057.842</v>
      </c>
      <c r="F289" t="n">
        <v>3233555</v>
      </c>
      <c r="G289" t="inlineStr">
        <is>
          <t>40-20-1.2-CRFH-PE</t>
        </is>
      </c>
      <c r="H289" t="n">
        <v>1164.896</v>
      </c>
      <c r="I289" t="inlineStr">
        <is>
          <t>TUB-R-AW-AUT-40.00X20.00X1.210X1.1200</t>
        </is>
      </c>
      <c r="J289" t="inlineStr">
        <is>
          <t>TVS</t>
        </is>
      </c>
      <c r="K289" t="inlineStr">
        <is>
          <t>40-20-1.2-CRFH-PE-1.12</t>
        </is>
      </c>
    </row>
    <row r="290">
      <c r="A290" t="inlineStr">
        <is>
          <t>0000189002</t>
        </is>
      </c>
      <c r="B290" t="inlineStr">
        <is>
          <t>Marathwada Auto Compo Pvt. Ltd.</t>
        </is>
      </c>
      <c r="C290" t="inlineStr">
        <is>
          <t>NOS</t>
        </is>
      </c>
      <c r="D290" t="n">
        <v>107</v>
      </c>
      <c r="E290" t="n">
        <v>119.904</v>
      </c>
      <c r="F290" t="n">
        <v>3233555</v>
      </c>
      <c r="G290" t="inlineStr">
        <is>
          <t>40-20-1.2-CRFH-PE</t>
        </is>
      </c>
      <c r="H290" t="n">
        <v>132.038</v>
      </c>
      <c r="I290" t="inlineStr">
        <is>
          <t>TUB-R-AW-AUT-40.00X20.00X1.210X1.1200</t>
        </is>
      </c>
      <c r="J290" t="inlineStr">
        <is>
          <t>TVS</t>
        </is>
      </c>
      <c r="K290" t="inlineStr">
        <is>
          <t>40-20-1.2-CRFH-PE-1.12</t>
        </is>
      </c>
    </row>
    <row r="291">
      <c r="A291" t="inlineStr">
        <is>
          <t>0000188595</t>
        </is>
      </c>
      <c r="B291" t="inlineStr">
        <is>
          <t>Sri Balaji Gears</t>
        </is>
      </c>
      <c r="C291" t="inlineStr">
        <is>
          <t>NOS</t>
        </is>
      </c>
      <c r="D291" t="n">
        <v>2000</v>
      </c>
      <c r="E291" t="n">
        <v>2241.191</v>
      </c>
      <c r="F291" t="n">
        <v>3233555</v>
      </c>
      <c r="G291" t="inlineStr">
        <is>
          <t>40-20-1.2-CRFH-PE</t>
        </is>
      </c>
      <c r="H291" t="n">
        <v>2468</v>
      </c>
      <c r="I291" t="inlineStr">
        <is>
          <t>TUB-R-AW-AUT-40.00X20.00X1.210X1.1200</t>
        </is>
      </c>
      <c r="J291" t="inlineStr">
        <is>
          <t>TVS</t>
        </is>
      </c>
      <c r="K291" t="inlineStr">
        <is>
          <t>40-20-1.2-CRFH-PE-1.12</t>
        </is>
      </c>
    </row>
    <row r="292">
      <c r="A292" t="inlineStr">
        <is>
          <t>0000189002</t>
        </is>
      </c>
      <c r="B292" t="inlineStr">
        <is>
          <t>Marathwada Auto Compo Pvt. Ltd.</t>
        </is>
      </c>
      <c r="C292" t="inlineStr">
        <is>
          <t>NOS</t>
        </is>
      </c>
      <c r="D292" t="n">
        <v>859</v>
      </c>
      <c r="E292" t="n">
        <v>962.592</v>
      </c>
      <c r="F292" t="n">
        <v>3233555</v>
      </c>
      <c r="G292" t="inlineStr">
        <is>
          <t>40-20-1.2-CRFH-PE</t>
        </is>
      </c>
      <c r="H292" t="n">
        <v>1060.006</v>
      </c>
      <c r="I292" t="inlineStr">
        <is>
          <t>TUB-R-AW-AUT-40.00X20.00X1.210X1.1200</t>
        </is>
      </c>
      <c r="J292" t="inlineStr">
        <is>
          <t>TVS</t>
        </is>
      </c>
      <c r="K292" t="inlineStr">
        <is>
          <t>40-20-1.2-CRFH-PE-1.12</t>
        </is>
      </c>
    </row>
    <row r="293">
      <c r="A293" t="inlineStr">
        <is>
          <t>0000189002</t>
        </is>
      </c>
      <c r="B293" t="inlineStr">
        <is>
          <t>Marathwada Auto Compo Pvt. Ltd.</t>
        </is>
      </c>
      <c r="C293" t="inlineStr">
        <is>
          <t>NOS</t>
        </is>
      </c>
      <c r="D293" t="n">
        <v>790</v>
      </c>
      <c r="E293" t="n">
        <v>885.271</v>
      </c>
      <c r="F293" t="n">
        <v>3233555</v>
      </c>
      <c r="G293" t="inlineStr">
        <is>
          <t>40-20-1.2-CRFH-PE</t>
        </is>
      </c>
      <c r="H293" t="n">
        <v>974.86</v>
      </c>
      <c r="I293" t="inlineStr">
        <is>
          <t>TUB-R-AW-AUT-40.00X20.00X1.210X1.1200</t>
        </is>
      </c>
      <c r="J293" t="inlineStr">
        <is>
          <t>TVS</t>
        </is>
      </c>
      <c r="K293" t="inlineStr">
        <is>
          <t>40-20-1.2-CRFH-PE-1.12</t>
        </is>
      </c>
    </row>
    <row r="294">
      <c r="A294" t="inlineStr">
        <is>
          <t>0000189002</t>
        </is>
      </c>
      <c r="B294" t="inlineStr">
        <is>
          <t>Marathwada Auto Compo Pvt. Ltd.</t>
        </is>
      </c>
      <c r="C294" t="inlineStr">
        <is>
          <t>NOS</t>
        </is>
      </c>
      <c r="D294" t="n">
        <v>351</v>
      </c>
      <c r="E294" t="n">
        <v>393.329</v>
      </c>
      <c r="F294" t="n">
        <v>3233555</v>
      </c>
      <c r="G294" t="inlineStr">
        <is>
          <t>40-20-1.2-CRFH-PE</t>
        </is>
      </c>
      <c r="H294" t="n">
        <v>433.134</v>
      </c>
      <c r="I294" t="inlineStr">
        <is>
          <t>TUB-R-AW-AUT-40.00X20.00X1.210X1.1200</t>
        </is>
      </c>
      <c r="J294" t="inlineStr">
        <is>
          <t>TVS</t>
        </is>
      </c>
      <c r="K294" t="inlineStr">
        <is>
          <t>40-20-1.2-CRFH-PE-1.12</t>
        </is>
      </c>
    </row>
    <row r="295">
      <c r="A295" t="inlineStr">
        <is>
          <t>0000188595</t>
        </is>
      </c>
      <c r="B295" t="inlineStr">
        <is>
          <t>Sri Balaji Gears</t>
        </is>
      </c>
      <c r="C295" t="inlineStr">
        <is>
          <t>NOS</t>
        </is>
      </c>
      <c r="D295" t="n">
        <v>964</v>
      </c>
      <c r="E295" t="n">
        <v>1080.254</v>
      </c>
      <c r="F295" t="n">
        <v>3233555</v>
      </c>
      <c r="G295" t="inlineStr">
        <is>
          <t>40-20-1.2-CRFH-PE</t>
        </is>
      </c>
      <c r="H295" t="n">
        <v>1189.576</v>
      </c>
      <c r="I295" t="inlineStr">
        <is>
          <t>TUB-R-AW-AUT-40.00X20.00X1.210X1.1200</t>
        </is>
      </c>
      <c r="J295" t="inlineStr">
        <is>
          <t>TVS</t>
        </is>
      </c>
      <c r="K295" t="inlineStr">
        <is>
          <t>40-20-1.2-CRFH-PE-1.12</t>
        </is>
      </c>
    </row>
    <row r="296">
      <c r="A296" t="inlineStr">
        <is>
          <t>0000188595</t>
        </is>
      </c>
      <c r="B296" t="inlineStr">
        <is>
          <t>Sri Balaji Gears</t>
        </is>
      </c>
      <c r="C296" t="inlineStr">
        <is>
          <t>NOS</t>
        </is>
      </c>
      <c r="D296" t="n">
        <v>684</v>
      </c>
      <c r="E296" t="n">
        <v>766.487</v>
      </c>
      <c r="F296" t="n">
        <v>3233555</v>
      </c>
      <c r="G296" t="inlineStr">
        <is>
          <t>40-20-1.2-CRFH-PE</t>
        </is>
      </c>
      <c r="H296" t="n">
        <v>844.056</v>
      </c>
      <c r="I296" t="inlineStr">
        <is>
          <t>TUB-R-AW-AUT-40.00X20.00X1.210X1.1200</t>
        </is>
      </c>
      <c r="J296" t="inlineStr">
        <is>
          <t>TVS</t>
        </is>
      </c>
      <c r="K296" t="inlineStr">
        <is>
          <t>40-20-1.2-CRFH-PE-1.12</t>
        </is>
      </c>
    </row>
    <row r="297">
      <c r="A297" t="inlineStr">
        <is>
          <t>0000188595</t>
        </is>
      </c>
      <c r="B297" t="inlineStr">
        <is>
          <t>Sri Balaji Gears</t>
        </is>
      </c>
      <c r="C297" t="inlineStr">
        <is>
          <t>NOS</t>
        </is>
      </c>
      <c r="D297" t="n">
        <v>348</v>
      </c>
      <c r="E297" t="n">
        <v>389.967</v>
      </c>
      <c r="F297" t="n">
        <v>3233555</v>
      </c>
      <c r="G297" t="inlineStr">
        <is>
          <t>40-20-1.2-CRFH-PE</t>
        </is>
      </c>
      <c r="H297" t="n">
        <v>429.432</v>
      </c>
      <c r="I297" t="inlineStr">
        <is>
          <t>TUB-R-AW-AUT-40.00X20.00X1.210X1.1200</t>
        </is>
      </c>
      <c r="J297" t="inlineStr">
        <is>
          <t>TVS</t>
        </is>
      </c>
      <c r="K297" t="inlineStr">
        <is>
          <t>40-20-1.2-CRFH-PE-1.12</t>
        </is>
      </c>
    </row>
    <row r="298">
      <c r="A298" t="inlineStr">
        <is>
          <t>0000188595</t>
        </is>
      </c>
      <c r="B298" t="inlineStr">
        <is>
          <t>Sri Balaji Gears</t>
        </is>
      </c>
      <c r="C298" t="inlineStr">
        <is>
          <t>NOS</t>
        </is>
      </c>
      <c r="D298" t="n">
        <v>4</v>
      </c>
      <c r="E298" t="n">
        <v>4.482</v>
      </c>
      <c r="F298" t="n">
        <v>3233555</v>
      </c>
      <c r="G298" t="inlineStr">
        <is>
          <t>40-20-1.2-CRFH-PE</t>
        </is>
      </c>
      <c r="H298" t="n">
        <v>4.936</v>
      </c>
      <c r="I298" t="inlineStr">
        <is>
          <t>TUB-R-AW-AUT-40.00X20.00X1.210X1.1200</t>
        </is>
      </c>
      <c r="J298" t="inlineStr">
        <is>
          <t>TVS</t>
        </is>
      </c>
      <c r="K298" t="inlineStr">
        <is>
          <t>40-20-1.2-CRFH-PE-1.12</t>
        </is>
      </c>
    </row>
    <row r="299">
      <c r="A299" t="inlineStr">
        <is>
          <t>0000189002</t>
        </is>
      </c>
      <c r="B299" t="inlineStr">
        <is>
          <t>Marathwada Auto Compo Pvt. Ltd.</t>
        </is>
      </c>
      <c r="C299" t="inlineStr">
        <is>
          <t>NOS</t>
        </is>
      </c>
      <c r="D299" t="n">
        <v>1699</v>
      </c>
      <c r="E299" t="n">
        <v>1903.892</v>
      </c>
      <c r="F299" t="n">
        <v>3233555</v>
      </c>
      <c r="G299" t="inlineStr">
        <is>
          <t>40-20-1.2-CRFH-PE</t>
        </is>
      </c>
      <c r="H299" t="n">
        <v>2096.566</v>
      </c>
      <c r="I299" t="inlineStr">
        <is>
          <t>TUB-R-AW-AUT-40.00X20.00X1.210X1.1200</t>
        </is>
      </c>
      <c r="J299" t="inlineStr">
        <is>
          <t>TVS</t>
        </is>
      </c>
      <c r="K299" t="inlineStr">
        <is>
          <t>40-20-1.2-CRFH-PE-1.12</t>
        </is>
      </c>
    </row>
    <row r="300">
      <c r="A300" t="inlineStr">
        <is>
          <t>0000189002</t>
        </is>
      </c>
      <c r="B300" t="inlineStr">
        <is>
          <t>Marathwada Auto Compo Pvt. Ltd.</t>
        </is>
      </c>
      <c r="C300" t="inlineStr">
        <is>
          <t>NOS</t>
        </is>
      </c>
      <c r="D300" t="n">
        <v>301</v>
      </c>
      <c r="E300" t="n">
        <v>337.299</v>
      </c>
      <c r="F300" t="n">
        <v>3233555</v>
      </c>
      <c r="G300" t="inlineStr">
        <is>
          <t>40-20-1.2-CRFH-PE</t>
        </is>
      </c>
      <c r="H300" t="n">
        <v>371.434</v>
      </c>
      <c r="I300" t="inlineStr">
        <is>
          <t>TUB-R-AW-AUT-40.00X20.00X1.210X1.1200</t>
        </is>
      </c>
      <c r="J300" t="inlineStr">
        <is>
          <t>TVS</t>
        </is>
      </c>
      <c r="K300" t="inlineStr">
        <is>
          <t>40-20-1.2-CRFH-PE-1.12</t>
        </is>
      </c>
    </row>
    <row r="301">
      <c r="A301" t="inlineStr">
        <is>
          <t>0000188595</t>
        </is>
      </c>
      <c r="B301" t="inlineStr">
        <is>
          <t>Sri Balaji Gears</t>
        </is>
      </c>
      <c r="C301" t="inlineStr">
        <is>
          <t>NOS</t>
        </is>
      </c>
      <c r="D301" t="n">
        <v>1649</v>
      </c>
      <c r="E301" t="n">
        <v>1847.862</v>
      </c>
      <c r="F301" t="n">
        <v>3233555</v>
      </c>
      <c r="G301" t="inlineStr">
        <is>
          <t>40-20-1.2-CRFH-PE</t>
        </is>
      </c>
      <c r="H301" t="n">
        <v>2034.866</v>
      </c>
      <c r="I301" t="inlineStr">
        <is>
          <t>TUB-R-AW-AUT-40.00X20.00X1.210X1.1200</t>
        </is>
      </c>
      <c r="J301" t="inlineStr">
        <is>
          <t>TVS</t>
        </is>
      </c>
      <c r="K301" t="inlineStr">
        <is>
          <t>40-20-1.2-CRFH-PE-1.12</t>
        </is>
      </c>
    </row>
    <row r="302">
      <c r="A302" t="inlineStr">
        <is>
          <t>0000188595</t>
        </is>
      </c>
      <c r="B302" t="inlineStr">
        <is>
          <t>Sri Balaji Gears</t>
        </is>
      </c>
      <c r="C302" t="inlineStr">
        <is>
          <t>NOS</t>
        </is>
      </c>
      <c r="D302" t="n">
        <v>351</v>
      </c>
      <c r="E302" t="n">
        <v>393.329</v>
      </c>
      <c r="F302" t="n">
        <v>3233555</v>
      </c>
      <c r="G302" t="inlineStr">
        <is>
          <t>40-20-1.2-CRFH-PE</t>
        </is>
      </c>
      <c r="H302" t="n">
        <v>433.134</v>
      </c>
      <c r="I302" t="inlineStr">
        <is>
          <t>TUB-R-AW-AUT-40.00X20.00X1.210X1.1200</t>
        </is>
      </c>
      <c r="J302" t="inlineStr">
        <is>
          <t>TVS</t>
        </is>
      </c>
      <c r="K302" t="inlineStr">
        <is>
          <t>40-20-1.2-CRFH-PE-1.12</t>
        </is>
      </c>
    </row>
    <row r="303">
      <c r="A303" t="inlineStr">
        <is>
          <t>0000188595</t>
        </is>
      </c>
      <c r="B303" t="inlineStr">
        <is>
          <t>Sri Balaji Gears</t>
        </is>
      </c>
      <c r="C303" t="inlineStr">
        <is>
          <t>NOS</t>
        </is>
      </c>
      <c r="D303" t="n">
        <v>214</v>
      </c>
      <c r="E303" t="n">
        <v>184.145</v>
      </c>
      <c r="F303" t="n">
        <v>3572051</v>
      </c>
      <c r="G303" t="inlineStr">
        <is>
          <t>40-20-1.2-CRFH-PE</t>
        </is>
      </c>
      <c r="H303" t="n">
        <v>201.16</v>
      </c>
      <c r="I303" t="inlineStr">
        <is>
          <t>TUB-R-AW-AUT-40.00X20.00X1.200X0.8600</t>
        </is>
      </c>
      <c r="J303" t="inlineStr">
        <is>
          <t>TVS</t>
        </is>
      </c>
      <c r="K303" t="inlineStr">
        <is>
          <t>40-20-1.2-CRFH-PE-0.86</t>
        </is>
      </c>
    </row>
    <row r="304">
      <c r="A304" t="inlineStr">
        <is>
          <t>0000188595</t>
        </is>
      </c>
      <c r="B304" t="inlineStr">
        <is>
          <t>Sri Balaji Gears</t>
        </is>
      </c>
      <c r="C304" t="inlineStr">
        <is>
          <t>NOS</t>
        </is>
      </c>
      <c r="D304" t="n">
        <v>523</v>
      </c>
      <c r="E304" t="n">
        <v>450.037</v>
      </c>
      <c r="F304" t="n">
        <v>3572051</v>
      </c>
      <c r="G304" t="inlineStr">
        <is>
          <t>40-20-1.2-CRFH-PE</t>
        </is>
      </c>
      <c r="H304" t="n">
        <v>491.62</v>
      </c>
      <c r="I304" t="inlineStr">
        <is>
          <t>TUB-R-AW-AUT-40.00X20.00X1.200X0.8600</t>
        </is>
      </c>
      <c r="J304" t="inlineStr">
        <is>
          <t>TVS</t>
        </is>
      </c>
      <c r="K304" t="inlineStr">
        <is>
          <t>40-20-1.2-CRFH-PE-0.86</t>
        </is>
      </c>
    </row>
    <row r="305">
      <c r="A305" t="inlineStr">
        <is>
          <t>0000188595</t>
        </is>
      </c>
      <c r="B305" t="inlineStr">
        <is>
          <t>Sri Balaji Gears</t>
        </is>
      </c>
      <c r="C305" t="inlineStr">
        <is>
          <t>NOS</t>
        </is>
      </c>
      <c r="D305" t="n">
        <v>498</v>
      </c>
      <c r="E305" t="n">
        <v>428.524</v>
      </c>
      <c r="F305" t="n">
        <v>3572051</v>
      </c>
      <c r="G305" t="inlineStr">
        <is>
          <t>40-20-1.2-CRFH-PE</t>
        </is>
      </c>
      <c r="H305" t="n">
        <v>468.12</v>
      </c>
      <c r="I305" t="inlineStr">
        <is>
          <t>TUB-R-AW-AUT-40.00X20.00X1.200X0.8600</t>
        </is>
      </c>
      <c r="J305" t="inlineStr">
        <is>
          <t>TVS</t>
        </is>
      </c>
      <c r="K305" t="inlineStr">
        <is>
          <t>40-20-1.2-CRFH-PE-0.86</t>
        </is>
      </c>
    </row>
    <row r="306">
      <c r="A306" t="inlineStr">
        <is>
          <t>0000188595</t>
        </is>
      </c>
      <c r="B306" t="inlineStr">
        <is>
          <t>Sri Balaji Gears</t>
        </is>
      </c>
      <c r="C306" t="inlineStr">
        <is>
          <t>NOS</t>
        </is>
      </c>
      <c r="D306" t="n">
        <v>448</v>
      </c>
      <c r="E306" t="n">
        <v>385.5</v>
      </c>
      <c r="F306" t="n">
        <v>3572051</v>
      </c>
      <c r="G306" t="inlineStr">
        <is>
          <t>40-20-1.2-CRFH-PE</t>
        </is>
      </c>
      <c r="H306" t="n">
        <v>421.12</v>
      </c>
      <c r="I306" t="inlineStr">
        <is>
          <t>TUB-R-AW-AUT-40.00X20.00X1.200X0.8600</t>
        </is>
      </c>
      <c r="J306" t="inlineStr">
        <is>
          <t>TVS</t>
        </is>
      </c>
      <c r="K306" t="inlineStr">
        <is>
          <t>40-20-1.2-CRFH-PE-0.86</t>
        </is>
      </c>
    </row>
    <row r="307">
      <c r="A307" t="inlineStr">
        <is>
          <t>0000188595</t>
        </is>
      </c>
      <c r="B307" t="inlineStr">
        <is>
          <t>Sri Balaji Gears</t>
        </is>
      </c>
      <c r="C307" t="inlineStr">
        <is>
          <t>NOS</t>
        </is>
      </c>
      <c r="D307" t="n">
        <v>198</v>
      </c>
      <c r="E307" t="n">
        <v>170.377</v>
      </c>
      <c r="F307" t="n">
        <v>3572051</v>
      </c>
      <c r="G307" t="inlineStr">
        <is>
          <t>40-20-1.2-CRFH-PE</t>
        </is>
      </c>
      <c r="H307" t="n">
        <v>186.12</v>
      </c>
      <c r="I307" t="inlineStr">
        <is>
          <t>TUB-R-AW-AUT-40.00X20.00X1.200X0.8600</t>
        </is>
      </c>
      <c r="J307" t="inlineStr">
        <is>
          <t>TVS</t>
        </is>
      </c>
      <c r="K307" t="inlineStr">
        <is>
          <t>40-20-1.2-CRFH-PE-0.86</t>
        </is>
      </c>
    </row>
    <row r="308">
      <c r="A308" t="inlineStr">
        <is>
          <t>0000188595</t>
        </is>
      </c>
      <c r="B308" t="inlineStr">
        <is>
          <t>Sri Balaji Gears</t>
        </is>
      </c>
      <c r="C308" t="inlineStr">
        <is>
          <t>NOS</t>
        </is>
      </c>
      <c r="D308" t="n">
        <v>116</v>
      </c>
      <c r="E308" t="n">
        <v>99.81699999999999</v>
      </c>
      <c r="F308" t="n">
        <v>3572051</v>
      </c>
      <c r="G308" t="inlineStr">
        <is>
          <t>40-20-1.2-CRFH-PE</t>
        </is>
      </c>
      <c r="H308" t="n">
        <v>109.04</v>
      </c>
      <c r="I308" t="inlineStr">
        <is>
          <t>TUB-R-AW-AUT-40.00X20.00X1.200X0.8600</t>
        </is>
      </c>
      <c r="J308" t="inlineStr">
        <is>
          <t>TVS</t>
        </is>
      </c>
      <c r="K308" t="inlineStr">
        <is>
          <t>40-20-1.2-CRFH-PE-0.86</t>
        </is>
      </c>
    </row>
    <row r="309">
      <c r="A309" t="inlineStr">
        <is>
          <t>0000188595</t>
        </is>
      </c>
      <c r="B309" t="inlineStr">
        <is>
          <t>Sri Balaji Gears</t>
        </is>
      </c>
      <c r="C309" t="inlineStr">
        <is>
          <t>NOS</t>
        </is>
      </c>
      <c r="D309" t="n">
        <v>3</v>
      </c>
      <c r="E309" t="n">
        <v>2.581</v>
      </c>
      <c r="F309" t="n">
        <v>3572051</v>
      </c>
      <c r="G309" t="inlineStr">
        <is>
          <t>40-20-1.2-CRFH-PE</t>
        </is>
      </c>
      <c r="H309" t="n">
        <v>2.82</v>
      </c>
      <c r="I309" t="inlineStr">
        <is>
          <t>TUB-R-AW-AUT-40.00X20.00X1.200X0.8600</t>
        </is>
      </c>
      <c r="J309" t="inlineStr">
        <is>
          <t>TVS</t>
        </is>
      </c>
      <c r="K309" t="inlineStr">
        <is>
          <t>40-20-1.2-CRFH-PE-0.86</t>
        </is>
      </c>
    </row>
    <row r="310">
      <c r="A310" t="inlineStr">
        <is>
          <t>0000189002</t>
        </is>
      </c>
      <c r="B310" t="inlineStr">
        <is>
          <t>Marathwada Auto Compo Pvt. Ltd.</t>
        </is>
      </c>
      <c r="C310" t="inlineStr">
        <is>
          <t>NOS</t>
        </is>
      </c>
      <c r="D310" t="n">
        <v>2000</v>
      </c>
      <c r="E310" t="n">
        <v>1720.981</v>
      </c>
      <c r="F310" t="n">
        <v>3572051</v>
      </c>
      <c r="G310" t="inlineStr">
        <is>
          <t>40-20-1.2-CRFH-PE</t>
        </is>
      </c>
      <c r="H310" t="n">
        <v>1880</v>
      </c>
      <c r="I310" t="inlineStr">
        <is>
          <t>TUB-R-AW-AUT-40.00X20.00X1.200X0.8600</t>
        </is>
      </c>
      <c r="J310" t="inlineStr">
        <is>
          <t>TVS</t>
        </is>
      </c>
      <c r="K310" t="inlineStr">
        <is>
          <t>40-20-1.2-CRFH-PE-0.86</t>
        </is>
      </c>
    </row>
    <row r="311">
      <c r="A311" t="inlineStr">
        <is>
          <t>0000189002</t>
        </is>
      </c>
      <c r="B311" t="inlineStr">
        <is>
          <t>Marathwada Auto Compo Pvt. Ltd.</t>
        </is>
      </c>
      <c r="C311" t="inlineStr">
        <is>
          <t>NOS</t>
        </is>
      </c>
      <c r="D311" t="n">
        <v>2000</v>
      </c>
      <c r="E311" t="n">
        <v>1720.981</v>
      </c>
      <c r="F311" t="n">
        <v>3572051</v>
      </c>
      <c r="G311" t="inlineStr">
        <is>
          <t>40-20-1.2-CRFH-PE</t>
        </is>
      </c>
      <c r="H311" t="n">
        <v>1880</v>
      </c>
      <c r="I311" t="inlineStr">
        <is>
          <t>TUB-R-AW-AUT-40.00X20.00X1.200X0.8600</t>
        </is>
      </c>
      <c r="J311" t="inlineStr">
        <is>
          <t>TVS</t>
        </is>
      </c>
      <c r="K311" t="inlineStr">
        <is>
          <t>40-20-1.2-CRFH-PE-0.86</t>
        </is>
      </c>
    </row>
    <row r="312">
      <c r="A312" t="inlineStr">
        <is>
          <t>0000188595</t>
        </is>
      </c>
      <c r="B312" t="inlineStr">
        <is>
          <t>Sri Balaji Gears</t>
        </is>
      </c>
      <c r="C312" t="inlineStr">
        <is>
          <t>NOS</t>
        </is>
      </c>
      <c r="D312" t="n">
        <v>2000</v>
      </c>
      <c r="E312" t="n">
        <v>1720.981</v>
      </c>
      <c r="F312" t="n">
        <v>3572051</v>
      </c>
      <c r="G312" t="inlineStr">
        <is>
          <t>40-20-1.2-CRFH-PE</t>
        </is>
      </c>
      <c r="H312" t="n">
        <v>1880</v>
      </c>
      <c r="I312" t="inlineStr">
        <is>
          <t>TUB-R-AW-AUT-40.00X20.00X1.200X0.8600</t>
        </is>
      </c>
      <c r="J312" t="inlineStr">
        <is>
          <t>TVS</t>
        </is>
      </c>
      <c r="K312" t="inlineStr">
        <is>
          <t>40-20-1.2-CRFH-PE-0.86</t>
        </is>
      </c>
    </row>
    <row r="313">
      <c r="A313" t="inlineStr">
        <is>
          <t>0000189002</t>
        </is>
      </c>
      <c r="B313" t="inlineStr">
        <is>
          <t>Marathwada Auto Compo Pvt. Ltd.</t>
        </is>
      </c>
      <c r="C313" t="inlineStr">
        <is>
          <t>NOS</t>
        </is>
      </c>
      <c r="D313" t="n">
        <v>2000</v>
      </c>
      <c r="E313" t="n">
        <v>1720.981</v>
      </c>
      <c r="F313" t="n">
        <v>3572051</v>
      </c>
      <c r="G313" t="inlineStr">
        <is>
          <t>40-20-1.2-CRFH-PE</t>
        </is>
      </c>
      <c r="H313" t="n">
        <v>1880</v>
      </c>
      <c r="I313" t="inlineStr">
        <is>
          <t>TUB-R-AW-AUT-40.00X20.00X1.200X0.8600</t>
        </is>
      </c>
      <c r="J313" t="inlineStr">
        <is>
          <t>TVS</t>
        </is>
      </c>
      <c r="K313" t="inlineStr">
        <is>
          <t>40-20-1.2-CRFH-PE-0.86</t>
        </is>
      </c>
    </row>
    <row r="314">
      <c r="A314" t="inlineStr">
        <is>
          <t>0000188595</t>
        </is>
      </c>
      <c r="B314" t="inlineStr">
        <is>
          <t>Sri Balaji Gears</t>
        </is>
      </c>
      <c r="C314" t="inlineStr">
        <is>
          <t>NOS</t>
        </is>
      </c>
      <c r="D314" t="n">
        <v>2000</v>
      </c>
      <c r="E314" t="n">
        <v>1720.981</v>
      </c>
      <c r="F314" t="n">
        <v>3572051</v>
      </c>
      <c r="G314" t="inlineStr">
        <is>
          <t>40-20-1.2-CRFH-PE</t>
        </is>
      </c>
      <c r="H314" t="n">
        <v>1880</v>
      </c>
      <c r="I314" t="inlineStr">
        <is>
          <t>TUB-R-AW-AUT-40.00X20.00X1.200X0.8600</t>
        </is>
      </c>
      <c r="J314" t="inlineStr">
        <is>
          <t>TVS</t>
        </is>
      </c>
      <c r="K314" t="inlineStr">
        <is>
          <t>40-20-1.2-CRFH-PE-0.86</t>
        </is>
      </c>
    </row>
    <row r="315">
      <c r="A315" t="inlineStr">
        <is>
          <t>0000189002</t>
        </is>
      </c>
      <c r="B315" t="inlineStr">
        <is>
          <t>Marathwada Auto Compo Pvt. Ltd.</t>
        </is>
      </c>
      <c r="C315" t="inlineStr">
        <is>
          <t>NOS</t>
        </is>
      </c>
      <c r="D315" t="n">
        <v>2000</v>
      </c>
      <c r="E315" t="n">
        <v>1720.981</v>
      </c>
      <c r="F315" t="n">
        <v>3572051</v>
      </c>
      <c r="G315" t="inlineStr">
        <is>
          <t>40-20-1.2-CRFH-PE</t>
        </is>
      </c>
      <c r="H315" t="n">
        <v>1880</v>
      </c>
      <c r="I315" t="inlineStr">
        <is>
          <t>TUB-R-AW-AUT-40.00X20.00X1.200X0.8600</t>
        </is>
      </c>
      <c r="J315" t="inlineStr">
        <is>
          <t>TVS</t>
        </is>
      </c>
      <c r="K315" t="inlineStr">
        <is>
          <t>40-20-1.2-CRFH-PE-0.86</t>
        </is>
      </c>
    </row>
    <row r="316">
      <c r="A316" t="inlineStr">
        <is>
          <t>0000188595</t>
        </is>
      </c>
      <c r="B316" t="inlineStr">
        <is>
          <t>Sri Balaji Gears</t>
        </is>
      </c>
      <c r="C316" t="inlineStr">
        <is>
          <t>NOS</t>
        </is>
      </c>
      <c r="D316" t="n">
        <v>498</v>
      </c>
      <c r="E316" t="n">
        <v>428.524</v>
      </c>
      <c r="F316" t="n">
        <v>3572051</v>
      </c>
      <c r="G316" t="inlineStr">
        <is>
          <t>40-20-1.2-CRFH-PE</t>
        </is>
      </c>
      <c r="H316" t="n">
        <v>468.12</v>
      </c>
      <c r="I316" t="inlineStr">
        <is>
          <t>TUB-R-AW-AUT-40.00X20.00X1.200X0.8600</t>
        </is>
      </c>
      <c r="J316" t="inlineStr">
        <is>
          <t>TVS</t>
        </is>
      </c>
      <c r="K316" t="inlineStr">
        <is>
          <t>40-20-1.2-CRFH-PE-0.86</t>
        </is>
      </c>
    </row>
    <row r="317">
      <c r="A317" t="inlineStr">
        <is>
          <t>0000188595</t>
        </is>
      </c>
      <c r="B317" t="inlineStr">
        <is>
          <t>Sri Balaji Gears</t>
        </is>
      </c>
      <c r="C317" t="inlineStr">
        <is>
          <t>NOS</t>
        </is>
      </c>
      <c r="D317" t="n">
        <v>498</v>
      </c>
      <c r="E317" t="n">
        <v>428.524</v>
      </c>
      <c r="F317" t="n">
        <v>3572051</v>
      </c>
      <c r="G317" t="inlineStr">
        <is>
          <t>40-20-1.2-CRFH-PE</t>
        </is>
      </c>
      <c r="H317" t="n">
        <v>468.12</v>
      </c>
      <c r="I317" t="inlineStr">
        <is>
          <t>TUB-R-AW-AUT-40.00X20.00X1.200X0.8600</t>
        </is>
      </c>
      <c r="J317" t="inlineStr">
        <is>
          <t>TVS</t>
        </is>
      </c>
      <c r="K317" t="inlineStr">
        <is>
          <t>40-20-1.2-CRFH-PE-0.86</t>
        </is>
      </c>
    </row>
    <row r="318">
      <c r="A318" t="inlineStr">
        <is>
          <t>0000188595</t>
        </is>
      </c>
      <c r="B318" t="inlineStr">
        <is>
          <t>Sri Balaji Gears</t>
        </is>
      </c>
      <c r="C318" t="inlineStr">
        <is>
          <t>NOS</t>
        </is>
      </c>
      <c r="D318" t="n">
        <v>448</v>
      </c>
      <c r="E318" t="n">
        <v>385.5</v>
      </c>
      <c r="F318" t="n">
        <v>3572051</v>
      </c>
      <c r="G318" t="inlineStr">
        <is>
          <t>40-20-1.2-CRFH-PE</t>
        </is>
      </c>
      <c r="H318" t="n">
        <v>421.12</v>
      </c>
      <c r="I318" t="inlineStr">
        <is>
          <t>TUB-R-AW-AUT-40.00X20.00X1.200X0.8600</t>
        </is>
      </c>
      <c r="J318" t="inlineStr">
        <is>
          <t>TVS</t>
        </is>
      </c>
      <c r="K318" t="inlineStr">
        <is>
          <t>40-20-1.2-CRFH-PE-0.86</t>
        </is>
      </c>
    </row>
    <row r="319">
      <c r="A319" t="inlineStr">
        <is>
          <t>0000188595</t>
        </is>
      </c>
      <c r="B319" t="inlineStr">
        <is>
          <t>Sri Balaji Gears</t>
        </is>
      </c>
      <c r="C319" t="inlineStr">
        <is>
          <t>NOS</t>
        </is>
      </c>
      <c r="D319" t="n">
        <v>259</v>
      </c>
      <c r="E319" t="n">
        <v>222.867</v>
      </c>
      <c r="F319" t="n">
        <v>3572051</v>
      </c>
      <c r="G319" t="inlineStr">
        <is>
          <t>40-20-1.2-CRFH-PE</t>
        </is>
      </c>
      <c r="H319" t="n">
        <v>243.46</v>
      </c>
      <c r="I319" t="inlineStr">
        <is>
          <t>TUB-R-AW-AUT-40.00X20.00X1.200X0.8600</t>
        </is>
      </c>
      <c r="J319" t="inlineStr">
        <is>
          <t>TVS</t>
        </is>
      </c>
      <c r="K319" t="inlineStr">
        <is>
          <t>40-20-1.2-CRFH-PE-0.86</t>
        </is>
      </c>
    </row>
    <row r="320">
      <c r="A320" t="inlineStr">
        <is>
          <t>0000188595</t>
        </is>
      </c>
      <c r="B320" t="inlineStr">
        <is>
          <t>Sri Balaji Gears</t>
        </is>
      </c>
      <c r="C320" t="inlineStr">
        <is>
          <t>NOS</t>
        </is>
      </c>
      <c r="D320" t="n">
        <v>198</v>
      </c>
      <c r="E320" t="n">
        <v>170.377</v>
      </c>
      <c r="F320" t="n">
        <v>3572051</v>
      </c>
      <c r="G320" t="inlineStr">
        <is>
          <t>40-20-1.2-CRFH-PE</t>
        </is>
      </c>
      <c r="H320" t="n">
        <v>186.12</v>
      </c>
      <c r="I320" t="inlineStr">
        <is>
          <t>TUB-R-AW-AUT-40.00X20.00X1.200X0.8600</t>
        </is>
      </c>
      <c r="J320" t="inlineStr">
        <is>
          <t>TVS</t>
        </is>
      </c>
      <c r="K320" t="inlineStr">
        <is>
          <t>40-20-1.2-CRFH-PE-0.86</t>
        </is>
      </c>
    </row>
    <row r="321">
      <c r="A321" t="inlineStr">
        <is>
          <t>0000188595</t>
        </is>
      </c>
      <c r="B321" t="inlineStr">
        <is>
          <t>Sri Balaji Gears</t>
        </is>
      </c>
      <c r="C321" t="inlineStr">
        <is>
          <t>NOS</t>
        </is>
      </c>
      <c r="D321" t="n">
        <v>99</v>
      </c>
      <c r="E321" t="n">
        <v>85.18899999999999</v>
      </c>
      <c r="F321" t="n">
        <v>3572051</v>
      </c>
      <c r="G321" t="inlineStr">
        <is>
          <t>40-20-1.2-CRFH-PE</t>
        </is>
      </c>
      <c r="H321" t="n">
        <v>93.06</v>
      </c>
      <c r="I321" t="inlineStr">
        <is>
          <t>TUB-R-AW-AUT-40.00X20.00X1.200X0.8600</t>
        </is>
      </c>
      <c r="J321" t="inlineStr">
        <is>
          <t>TVS</t>
        </is>
      </c>
      <c r="K321" t="inlineStr">
        <is>
          <t>40-20-1.2-CRFH-PE-0.86</t>
        </is>
      </c>
    </row>
    <row r="322">
      <c r="A322" t="inlineStr">
        <is>
          <t>0000189002</t>
        </is>
      </c>
      <c r="B322" t="inlineStr">
        <is>
          <t>Marathwada Auto Compo Pvt. Ltd.</t>
        </is>
      </c>
      <c r="C322" t="inlineStr">
        <is>
          <t>NOS</t>
        </is>
      </c>
      <c r="D322" t="n">
        <v>2000</v>
      </c>
      <c r="E322" t="n">
        <v>1720.981</v>
      </c>
      <c r="F322" t="n">
        <v>3572051</v>
      </c>
      <c r="G322" t="inlineStr">
        <is>
          <t>40-20-1.2-CRFH-PE</t>
        </is>
      </c>
      <c r="H322" t="n">
        <v>1880</v>
      </c>
      <c r="I322" t="inlineStr">
        <is>
          <t>TUB-R-AW-AUT-40.00X20.00X1.200X0.8600</t>
        </is>
      </c>
      <c r="J322" t="inlineStr">
        <is>
          <t>TVS</t>
        </is>
      </c>
      <c r="K322" t="inlineStr">
        <is>
          <t>40-20-1.2-CRFH-PE-0.86</t>
        </is>
      </c>
    </row>
    <row r="323">
      <c r="A323" t="inlineStr">
        <is>
          <t>0000188595</t>
        </is>
      </c>
      <c r="B323" t="inlineStr">
        <is>
          <t>Sri Balaji Gears</t>
        </is>
      </c>
      <c r="C323" t="inlineStr">
        <is>
          <t>NOS</t>
        </is>
      </c>
      <c r="D323" t="n">
        <v>2000</v>
      </c>
      <c r="E323" t="n">
        <v>1720.981</v>
      </c>
      <c r="F323" t="n">
        <v>3572051</v>
      </c>
      <c r="G323" t="inlineStr">
        <is>
          <t>40-20-1.2-CRFH-PE</t>
        </is>
      </c>
      <c r="H323" t="n">
        <v>1880</v>
      </c>
      <c r="I323" t="inlineStr">
        <is>
          <t>TUB-R-AW-AUT-40.00X20.00X1.200X0.8600</t>
        </is>
      </c>
      <c r="J323" t="inlineStr">
        <is>
          <t>TVS</t>
        </is>
      </c>
      <c r="K323" t="inlineStr">
        <is>
          <t>40-20-1.2-CRFH-PE-0.86</t>
        </is>
      </c>
    </row>
    <row r="324">
      <c r="A324" t="inlineStr">
        <is>
          <t>0000189002</t>
        </is>
      </c>
      <c r="B324" t="inlineStr">
        <is>
          <t>Marathwada Auto Compo Pvt. Ltd.</t>
        </is>
      </c>
      <c r="C324" t="inlineStr">
        <is>
          <t>NOS</t>
        </is>
      </c>
      <c r="D324" t="n">
        <v>1000</v>
      </c>
      <c r="E324" t="n">
        <v>860.491</v>
      </c>
      <c r="F324" t="n">
        <v>3572051</v>
      </c>
      <c r="G324" t="inlineStr">
        <is>
          <t>40-20-1.2-CRFH-PE</t>
        </is>
      </c>
      <c r="H324" t="n">
        <v>940</v>
      </c>
      <c r="I324" t="inlineStr">
        <is>
          <t>TUB-R-AW-AUT-40.00X20.00X1.200X0.8600</t>
        </is>
      </c>
      <c r="J324" t="inlineStr">
        <is>
          <t>TVS</t>
        </is>
      </c>
      <c r="K324" t="inlineStr">
        <is>
          <t>40-20-1.2-CRFH-PE-0.86</t>
        </is>
      </c>
    </row>
    <row r="325">
      <c r="A325" t="inlineStr">
        <is>
          <t>0000188595</t>
        </is>
      </c>
      <c r="B325" t="inlineStr">
        <is>
          <t>Sri Balaji Gears</t>
        </is>
      </c>
      <c r="C325" t="inlineStr">
        <is>
          <t>NOS</t>
        </is>
      </c>
      <c r="D325" t="n">
        <v>2000</v>
      </c>
      <c r="E325" t="n">
        <v>1720.981</v>
      </c>
      <c r="F325" t="n">
        <v>3572051</v>
      </c>
      <c r="G325" t="inlineStr">
        <is>
          <t>40-20-1.2-CRFH-PE</t>
        </is>
      </c>
      <c r="H325" t="n">
        <v>1880</v>
      </c>
      <c r="I325" t="inlineStr">
        <is>
          <t>TUB-R-AW-AUT-40.00X20.00X1.200X0.8600</t>
        </is>
      </c>
      <c r="J325" t="inlineStr">
        <is>
          <t>TVS</t>
        </is>
      </c>
      <c r="K325" t="inlineStr">
        <is>
          <t>40-20-1.2-CRFH-PE-0.86</t>
        </is>
      </c>
    </row>
    <row r="326">
      <c r="A326" t="inlineStr">
        <is>
          <t>0000189002</t>
        </is>
      </c>
      <c r="B326" t="inlineStr">
        <is>
          <t>Marathwada Auto Compo Pvt. Ltd.</t>
        </is>
      </c>
      <c r="C326" t="inlineStr">
        <is>
          <t>NOS</t>
        </is>
      </c>
      <c r="D326" t="n">
        <v>1797</v>
      </c>
      <c r="E326" t="n">
        <v>1546.302</v>
      </c>
      <c r="F326" t="n">
        <v>3572051</v>
      </c>
      <c r="G326" t="inlineStr">
        <is>
          <t>40-20-1.2-CRFH-PE</t>
        </is>
      </c>
      <c r="H326" t="n">
        <v>1689.18</v>
      </c>
      <c r="I326" t="inlineStr">
        <is>
          <t>TUB-R-AW-AUT-40.00X20.00X1.200X0.8600</t>
        </is>
      </c>
      <c r="J326" t="inlineStr">
        <is>
          <t>TVS</t>
        </is>
      </c>
      <c r="K326" t="inlineStr">
        <is>
          <t>40-20-1.2-CRFH-PE-0.86</t>
        </is>
      </c>
    </row>
    <row r="327">
      <c r="A327" t="inlineStr">
        <is>
          <t>0000189002</t>
        </is>
      </c>
      <c r="B327" t="inlineStr">
        <is>
          <t>Marathwada Auto Compo Pvt. Ltd.</t>
        </is>
      </c>
      <c r="C327" t="inlineStr">
        <is>
          <t>NOS</t>
        </is>
      </c>
      <c r="D327" t="n">
        <v>203</v>
      </c>
      <c r="E327" t="n">
        <v>174.68</v>
      </c>
      <c r="F327" t="n">
        <v>3572051</v>
      </c>
      <c r="G327" t="inlineStr">
        <is>
          <t>40-20-1.2-CRFH-PE</t>
        </is>
      </c>
      <c r="H327" t="n">
        <v>190.82</v>
      </c>
      <c r="I327" t="inlineStr">
        <is>
          <t>TUB-R-AW-AUT-40.00X20.00X1.200X0.8600</t>
        </is>
      </c>
      <c r="J327" t="inlineStr">
        <is>
          <t>TVS</t>
        </is>
      </c>
      <c r="K327" t="inlineStr">
        <is>
          <t>40-20-1.2-CRFH-PE-0.86</t>
        </is>
      </c>
    </row>
    <row r="328">
      <c r="A328" t="inlineStr">
        <is>
          <t>0000188595</t>
        </is>
      </c>
      <c r="B328" t="inlineStr">
        <is>
          <t>Sri Balaji Gears</t>
        </is>
      </c>
      <c r="C328" t="inlineStr">
        <is>
          <t>NOS</t>
        </is>
      </c>
      <c r="D328" t="n">
        <v>2000</v>
      </c>
      <c r="E328" t="n">
        <v>1720.981</v>
      </c>
      <c r="F328" t="n">
        <v>3572051</v>
      </c>
      <c r="G328" t="inlineStr">
        <is>
          <t>40-20-1.2-CRFH-PE</t>
        </is>
      </c>
      <c r="H328" t="n">
        <v>1880</v>
      </c>
      <c r="I328" t="inlineStr">
        <is>
          <t>TUB-R-AW-AUT-40.00X20.00X1.200X0.8600</t>
        </is>
      </c>
      <c r="J328" t="inlineStr">
        <is>
          <t>TVS</t>
        </is>
      </c>
      <c r="K328" t="inlineStr">
        <is>
          <t>40-20-1.2-CRFH-PE-0.86</t>
        </is>
      </c>
    </row>
    <row r="329">
      <c r="A329" t="inlineStr">
        <is>
          <t>0000944141</t>
        </is>
      </c>
      <c r="B329" t="inlineStr">
        <is>
          <t>SRIKAM HITECH ENGINEERING PRIVATE L</t>
        </is>
      </c>
      <c r="C329" t="inlineStr">
        <is>
          <t>NOS</t>
        </is>
      </c>
      <c r="D329" t="n">
        <v>1699</v>
      </c>
      <c r="E329" t="n">
        <v>1509.006</v>
      </c>
      <c r="F329" t="n">
        <v>1940043</v>
      </c>
      <c r="G329" t="inlineStr">
        <is>
          <t>15.88-0-1.2-ERW 1-PE</t>
        </is>
      </c>
      <c r="H329" t="n">
        <v>655.814</v>
      </c>
      <c r="I329" t="inlineStr">
        <is>
          <t>TUB-O-O-AUT-AW-PE-15.88X1.200X0.8880</t>
        </is>
      </c>
      <c r="J329" t="inlineStr">
        <is>
          <t>TVS</t>
        </is>
      </c>
      <c r="K329" t="inlineStr">
        <is>
          <t>15.88-0-1.2-ERW 1-PE-0.888</t>
        </is>
      </c>
    </row>
    <row r="330">
      <c r="A330" t="inlineStr">
        <is>
          <t>0000944141</t>
        </is>
      </c>
      <c r="B330" t="inlineStr">
        <is>
          <t>SRIKAM HITECH ENGINEERING PRIVATE L</t>
        </is>
      </c>
      <c r="C330" t="inlineStr">
        <is>
          <t>NOS</t>
        </is>
      </c>
      <c r="D330" t="n">
        <v>751</v>
      </c>
      <c r="E330" t="n">
        <v>667.018</v>
      </c>
      <c r="F330" t="n">
        <v>1940043</v>
      </c>
      <c r="G330" t="inlineStr">
        <is>
          <t>15.88-0-1.2-ERW 1-PE</t>
        </is>
      </c>
      <c r="H330" t="n">
        <v>289.886</v>
      </c>
      <c r="I330" t="inlineStr">
        <is>
          <t>TUB-O-O-AUT-AW-PE-15.88X1.200X0.8880</t>
        </is>
      </c>
      <c r="J330" t="inlineStr">
        <is>
          <t>TVS</t>
        </is>
      </c>
      <c r="K330" t="inlineStr">
        <is>
          <t>15.88-0-1.2-ERW 1-PE-0.888</t>
        </is>
      </c>
    </row>
    <row r="331">
      <c r="A331" t="inlineStr">
        <is>
          <t>0000944141</t>
        </is>
      </c>
      <c r="B331" t="inlineStr">
        <is>
          <t>SRIKAM HITECH ENGINEERING PRIVATE L</t>
        </is>
      </c>
      <c r="C331" t="inlineStr">
        <is>
          <t>NOS</t>
        </is>
      </c>
      <c r="D331" t="n">
        <v>1481</v>
      </c>
      <c r="E331" t="n">
        <v>1315.384</v>
      </c>
      <c r="F331" t="n">
        <v>1940043</v>
      </c>
      <c r="G331" t="inlineStr">
        <is>
          <t>15.88-0-1.2-ERW 1-PE</t>
        </is>
      </c>
      <c r="H331" t="n">
        <v>571.6660000000001</v>
      </c>
      <c r="I331" t="inlineStr">
        <is>
          <t>TUB-O-O-AUT-AW-PE-15.88X1.200X0.8880</t>
        </is>
      </c>
      <c r="J331" t="inlineStr">
        <is>
          <t>TVS</t>
        </is>
      </c>
      <c r="K331" t="inlineStr">
        <is>
          <t>15.88-0-1.2-ERW 1-PE-0.888</t>
        </is>
      </c>
    </row>
    <row r="332">
      <c r="A332" t="inlineStr">
        <is>
          <t>0000944141</t>
        </is>
      </c>
      <c r="B332" t="inlineStr">
        <is>
          <t>SRIKAM HITECH ENGINEERING PRIVATE L</t>
        </is>
      </c>
      <c r="C332" t="inlineStr">
        <is>
          <t>NOS</t>
        </is>
      </c>
      <c r="D332" t="n">
        <v>19</v>
      </c>
      <c r="E332" t="n">
        <v>16.875</v>
      </c>
      <c r="F332" t="n">
        <v>1940043</v>
      </c>
      <c r="G332" t="inlineStr">
        <is>
          <t>15.88-0-1.2-ERW 1-PE</t>
        </is>
      </c>
      <c r="H332" t="n">
        <v>7.334</v>
      </c>
      <c r="I332" t="inlineStr">
        <is>
          <t>TUB-O-O-AUT-AW-PE-15.88X1.200X0.8880</t>
        </is>
      </c>
      <c r="J332" t="inlineStr">
        <is>
          <t>TVS</t>
        </is>
      </c>
      <c r="K332" t="inlineStr">
        <is>
          <t>15.88-0-1.2-ERW 1-PE-0.888</t>
        </is>
      </c>
    </row>
    <row r="333">
      <c r="A333" t="inlineStr">
        <is>
          <t>0000944141</t>
        </is>
      </c>
      <c r="B333" t="inlineStr">
        <is>
          <t>SRIKAM HITECH ENGINEERING PRIVATE L</t>
        </is>
      </c>
      <c r="C333" t="inlineStr">
        <is>
          <t>NOS</t>
        </is>
      </c>
      <c r="D333" t="n">
        <v>3676</v>
      </c>
      <c r="E333" t="n">
        <v>3264.924</v>
      </c>
      <c r="F333" t="n">
        <v>1940043</v>
      </c>
      <c r="G333" t="inlineStr">
        <is>
          <t>15.88-0-1.2-ERW 1-PE</t>
        </is>
      </c>
      <c r="H333" t="n">
        <v>1418.936</v>
      </c>
      <c r="I333" t="inlineStr">
        <is>
          <t>TUB-O-O-AUT-AW-PE-15.88X1.200X0.8880</t>
        </is>
      </c>
      <c r="J333" t="inlineStr">
        <is>
          <t>TVS</t>
        </is>
      </c>
      <c r="K333" t="inlineStr">
        <is>
          <t>15.88-0-1.2-ERW 1-PE-0.888</t>
        </is>
      </c>
    </row>
    <row r="334">
      <c r="A334" t="inlineStr">
        <is>
          <t>0000944141</t>
        </is>
      </c>
      <c r="B334" t="inlineStr">
        <is>
          <t>SRIKAM HITECH ENGINEERING PRIVATE L</t>
        </is>
      </c>
      <c r="C334" t="inlineStr">
        <is>
          <t>NOS</t>
        </is>
      </c>
      <c r="D334" t="n">
        <v>17</v>
      </c>
      <c r="E334" t="n">
        <v>15.099</v>
      </c>
      <c r="F334" t="n">
        <v>1940043</v>
      </c>
      <c r="G334" t="inlineStr">
        <is>
          <t>15.88-0-1.2-ERW 1-PE</t>
        </is>
      </c>
      <c r="H334" t="n">
        <v>6.562</v>
      </c>
      <c r="I334" t="inlineStr">
        <is>
          <t>TUB-O-O-AUT-AW-PE-15.88X1.200X0.8880</t>
        </is>
      </c>
      <c r="J334" t="inlineStr">
        <is>
          <t>TVS</t>
        </is>
      </c>
      <c r="K334" t="inlineStr">
        <is>
          <t>15.88-0-1.2-ERW 1-PE-0.888</t>
        </is>
      </c>
    </row>
    <row r="335">
      <c r="A335" t="inlineStr">
        <is>
          <t>0000944141</t>
        </is>
      </c>
      <c r="B335" t="inlineStr">
        <is>
          <t>SRIKAM HITECH ENGINEERING PRIVATE L</t>
        </is>
      </c>
      <c r="C335" t="inlineStr">
        <is>
          <t>NOS</t>
        </is>
      </c>
      <c r="D335" t="n">
        <v>7</v>
      </c>
      <c r="E335" t="n">
        <v>6.217</v>
      </c>
      <c r="F335" t="n">
        <v>1940043</v>
      </c>
      <c r="G335" t="inlineStr">
        <is>
          <t>15.88-0-1.2-ERW 1-PE</t>
        </is>
      </c>
      <c r="H335" t="n">
        <v>2.702</v>
      </c>
      <c r="I335" t="inlineStr">
        <is>
          <t>TUB-O-O-AUT-AW-PE-15.88X1.200X0.8880</t>
        </is>
      </c>
      <c r="J335" t="inlineStr">
        <is>
          <t>TVS</t>
        </is>
      </c>
      <c r="K335" t="inlineStr">
        <is>
          <t>15.88-0-1.2-ERW 1-PE-0.888</t>
        </is>
      </c>
    </row>
    <row r="336">
      <c r="A336" t="inlineStr">
        <is>
          <t>0000944141</t>
        </is>
      </c>
      <c r="B336" t="inlineStr">
        <is>
          <t>SRIKAM HITECH ENGINEERING PRIVATE L</t>
        </is>
      </c>
      <c r="C336" t="inlineStr">
        <is>
          <t>NOS</t>
        </is>
      </c>
      <c r="D336" t="n">
        <v>3906</v>
      </c>
      <c r="E336" t="n">
        <v>3469.204</v>
      </c>
      <c r="F336" t="n">
        <v>1940043</v>
      </c>
      <c r="G336" t="inlineStr">
        <is>
          <t>15.88-0-1.2-ERW 1-PE</t>
        </is>
      </c>
      <c r="H336" t="n">
        <v>1507.716</v>
      </c>
      <c r="I336" t="inlineStr">
        <is>
          <t>TUB-O-O-AUT-AW-PE-15.88X1.200X0.8880</t>
        </is>
      </c>
      <c r="J336" t="inlineStr">
        <is>
          <t>TVS</t>
        </is>
      </c>
      <c r="K336" t="inlineStr">
        <is>
          <t>15.88-0-1.2-ERW 1-PE-0.888</t>
        </is>
      </c>
    </row>
    <row r="337">
      <c r="A337" t="inlineStr">
        <is>
          <t>0000944141</t>
        </is>
      </c>
      <c r="B337" t="inlineStr">
        <is>
          <t>SRIKAM HITECH ENGINEERING PRIVATE L</t>
        </is>
      </c>
      <c r="C337" t="inlineStr">
        <is>
          <t>NOS</t>
        </is>
      </c>
      <c r="D337" t="n">
        <v>3608</v>
      </c>
      <c r="E337" t="n">
        <v>3204.528</v>
      </c>
      <c r="F337" t="n">
        <v>1940043</v>
      </c>
      <c r="G337" t="inlineStr">
        <is>
          <t>15.88-0-1.2-ERW 1-PE</t>
        </is>
      </c>
      <c r="H337" t="n">
        <v>1392.688</v>
      </c>
      <c r="I337" t="inlineStr">
        <is>
          <t>TUB-O-O-AUT-AW-PE-15.88X1.200X0.8880</t>
        </is>
      </c>
      <c r="J337" t="inlineStr">
        <is>
          <t>TVS</t>
        </is>
      </c>
      <c r="K337" t="inlineStr">
        <is>
          <t>15.88-0-1.2-ERW 1-PE-0.888</t>
        </is>
      </c>
    </row>
    <row r="338">
      <c r="A338" t="inlineStr">
        <is>
          <t>0000944141</t>
        </is>
      </c>
      <c r="B338" t="inlineStr">
        <is>
          <t>SRIKAM HITECH ENGINEERING PRIVATE L</t>
        </is>
      </c>
      <c r="C338" t="inlineStr">
        <is>
          <t>NOS</t>
        </is>
      </c>
      <c r="D338" t="n">
        <v>2150</v>
      </c>
      <c r="E338" t="n">
        <v>1909.572</v>
      </c>
      <c r="F338" t="n">
        <v>1940043</v>
      </c>
      <c r="G338" t="inlineStr">
        <is>
          <t>15.88-0-1.2-ERW 1-PE</t>
        </is>
      </c>
      <c r="H338" t="n">
        <v>829.9</v>
      </c>
      <c r="I338" t="inlineStr">
        <is>
          <t>TUB-O-O-AUT-AW-PE-15.88X1.200X0.8880</t>
        </is>
      </c>
      <c r="J338" t="inlineStr">
        <is>
          <t>TVS</t>
        </is>
      </c>
      <c r="K338" t="inlineStr">
        <is>
          <t>15.88-0-1.2-ERW 1-PE-0.888</t>
        </is>
      </c>
    </row>
    <row r="339">
      <c r="A339" t="inlineStr">
        <is>
          <t>0000944141</t>
        </is>
      </c>
      <c r="B339" t="inlineStr">
        <is>
          <t>SRIKAM HITECH ENGINEERING PRIVATE L</t>
        </is>
      </c>
      <c r="C339" t="inlineStr">
        <is>
          <t>NOS</t>
        </is>
      </c>
      <c r="D339" t="n">
        <v>1468</v>
      </c>
      <c r="E339" t="n">
        <v>1303.838</v>
      </c>
      <c r="F339" t="n">
        <v>1940043</v>
      </c>
      <c r="G339" t="inlineStr">
        <is>
          <t>15.88-0-1.2-ERW 1-PE</t>
        </is>
      </c>
      <c r="H339" t="n">
        <v>566.648</v>
      </c>
      <c r="I339" t="inlineStr">
        <is>
          <t>TUB-O-O-AUT-AW-PE-15.88X1.200X0.8880</t>
        </is>
      </c>
      <c r="J339" t="inlineStr">
        <is>
          <t>TVS</t>
        </is>
      </c>
      <c r="K339" t="inlineStr">
        <is>
          <t>15.88-0-1.2-ERW 1-PE-0.888</t>
        </is>
      </c>
    </row>
    <row r="340">
      <c r="A340" t="inlineStr">
        <is>
          <t>0000944141</t>
        </is>
      </c>
      <c r="B340" t="inlineStr">
        <is>
          <t>SRIKAM HITECH ENGINEERING PRIVATE L</t>
        </is>
      </c>
      <c r="C340" t="inlineStr">
        <is>
          <t>NOS</t>
        </is>
      </c>
      <c r="D340" t="n">
        <v>1349</v>
      </c>
      <c r="E340" t="n">
        <v>1198.145</v>
      </c>
      <c r="F340" t="n">
        <v>1940043</v>
      </c>
      <c r="G340" t="inlineStr">
        <is>
          <t>15.88-0-1.2-ERW 1-PE</t>
        </is>
      </c>
      <c r="H340" t="n">
        <v>520.7140000000001</v>
      </c>
      <c r="I340" t="inlineStr">
        <is>
          <t>TUB-O-O-AUT-AW-PE-15.88X1.200X0.8880</t>
        </is>
      </c>
      <c r="J340" t="inlineStr">
        <is>
          <t>TVS</t>
        </is>
      </c>
      <c r="K340" t="inlineStr">
        <is>
          <t>15.88-0-1.2-ERW 1-PE-0.888</t>
        </is>
      </c>
    </row>
    <row r="341">
      <c r="A341" t="inlineStr">
        <is>
          <t>0000944141</t>
        </is>
      </c>
      <c r="B341" t="inlineStr">
        <is>
          <t>SRIKAM HITECH ENGINEERING PRIVATE L</t>
        </is>
      </c>
      <c r="C341" t="inlineStr">
        <is>
          <t>NOS</t>
        </is>
      </c>
      <c r="D341" t="n">
        <v>19</v>
      </c>
      <c r="E341" t="n">
        <v>16.875</v>
      </c>
      <c r="F341" t="n">
        <v>1940043</v>
      </c>
      <c r="G341" t="inlineStr">
        <is>
          <t>15.88-0-1.2-ERW 1-PE</t>
        </is>
      </c>
      <c r="H341" t="n">
        <v>7.334</v>
      </c>
      <c r="I341" t="inlineStr">
        <is>
          <t>TUB-O-O-AUT-AW-PE-15.88X1.200X0.8880</t>
        </is>
      </c>
      <c r="J341" t="inlineStr">
        <is>
          <t>TVS</t>
        </is>
      </c>
      <c r="K341" t="inlineStr">
        <is>
          <t>15.88-0-1.2-ERW 1-PE-0.888</t>
        </is>
      </c>
    </row>
    <row r="342">
      <c r="A342" t="inlineStr">
        <is>
          <t>0000944141</t>
        </is>
      </c>
      <c r="B342" t="inlineStr">
        <is>
          <t>SRIKAM HITECH ENGINEERING PRIVATE L</t>
        </is>
      </c>
      <c r="C342" t="inlineStr">
        <is>
          <t>NOS</t>
        </is>
      </c>
      <c r="D342" t="n">
        <v>3650</v>
      </c>
      <c r="E342" t="n">
        <v>3241.832</v>
      </c>
      <c r="F342" t="n">
        <v>1940043</v>
      </c>
      <c r="G342" t="inlineStr">
        <is>
          <t>15.88-0-1.2-ERW 1-PE</t>
        </is>
      </c>
      <c r="H342" t="n">
        <v>1408.9</v>
      </c>
      <c r="I342" t="inlineStr">
        <is>
          <t>TUB-O-O-AUT-AW-PE-15.88X1.200X0.8880</t>
        </is>
      </c>
      <c r="J342" t="inlineStr">
        <is>
          <t>TVS</t>
        </is>
      </c>
      <c r="K342" t="inlineStr">
        <is>
          <t>15.88-0-1.2-ERW 1-PE-0.888</t>
        </is>
      </c>
    </row>
    <row r="343">
      <c r="A343" t="inlineStr">
        <is>
          <t>0000188595</t>
        </is>
      </c>
      <c r="B343" t="inlineStr">
        <is>
          <t>Sri Balaji Gears</t>
        </is>
      </c>
      <c r="C343" t="inlineStr">
        <is>
          <t>NOS</t>
        </is>
      </c>
      <c r="D343" t="n">
        <v>1000</v>
      </c>
      <c r="E343" t="n">
        <v>754.994</v>
      </c>
      <c r="F343" t="n">
        <v>4151472</v>
      </c>
      <c r="G343" t="inlineStr">
        <is>
          <t>40-20-1.2-CRFH-PE</t>
        </is>
      </c>
      <c r="H343" t="n">
        <v>824.756</v>
      </c>
      <c r="I343" t="inlineStr">
        <is>
          <t>TUB-R-AW-AUT-40.00X20.00X1.200X0.7550</t>
        </is>
      </c>
      <c r="J343" t="inlineStr">
        <is>
          <t>TVS</t>
        </is>
      </c>
      <c r="K343" t="inlineStr">
        <is>
          <t>40-20-1.2-CRFH-PE-0.755</t>
        </is>
      </c>
    </row>
    <row r="344">
      <c r="A344" t="inlineStr">
        <is>
          <t>0000188595</t>
        </is>
      </c>
      <c r="B344" t="inlineStr">
        <is>
          <t>Sri Balaji Gears</t>
        </is>
      </c>
      <c r="C344" t="inlineStr">
        <is>
          <t>NOS</t>
        </is>
      </c>
      <c r="D344" t="n">
        <v>949</v>
      </c>
      <c r="E344" t="n">
        <v>716.489</v>
      </c>
      <c r="F344" t="n">
        <v>4151472</v>
      </c>
      <c r="G344" t="inlineStr">
        <is>
          <t>40-20-1.2-CRFH-PE</t>
        </is>
      </c>
      <c r="H344" t="n">
        <v>782.693</v>
      </c>
      <c r="I344" t="inlineStr">
        <is>
          <t>TUB-R-AW-AUT-40.00X20.00X1.200X0.7550</t>
        </is>
      </c>
      <c r="J344" t="inlineStr">
        <is>
          <t>TVS</t>
        </is>
      </c>
      <c r="K344" t="inlineStr">
        <is>
          <t>40-20-1.2-CRFH-PE-0.755</t>
        </is>
      </c>
    </row>
    <row r="345">
      <c r="A345" t="inlineStr">
        <is>
          <t>0000188595</t>
        </is>
      </c>
      <c r="B345" t="inlineStr">
        <is>
          <t>Sri Balaji Gears</t>
        </is>
      </c>
      <c r="C345" t="inlineStr">
        <is>
          <t>NOS</t>
        </is>
      </c>
      <c r="D345" t="n">
        <v>25</v>
      </c>
      <c r="E345" t="n">
        <v>18.875</v>
      </c>
      <c r="F345" t="n">
        <v>4151472</v>
      </c>
      <c r="G345" t="inlineStr">
        <is>
          <t>40-20-1.2-CRFH-PE</t>
        </is>
      </c>
      <c r="H345" t="n">
        <v>20.619</v>
      </c>
      <c r="I345" t="inlineStr">
        <is>
          <t>TUB-R-AW-AUT-40.00X20.00X1.200X0.7550</t>
        </is>
      </c>
      <c r="J345" t="inlineStr">
        <is>
          <t>TVS</t>
        </is>
      </c>
      <c r="K345" t="inlineStr">
        <is>
          <t>40-20-1.2-CRFH-PE-0.755</t>
        </is>
      </c>
    </row>
    <row r="346">
      <c r="A346" t="inlineStr">
        <is>
          <t>0000188595</t>
        </is>
      </c>
      <c r="B346" t="inlineStr">
        <is>
          <t>Sri Balaji Gears</t>
        </is>
      </c>
      <c r="C346" t="inlineStr">
        <is>
          <t>NOS</t>
        </is>
      </c>
      <c r="D346" t="n">
        <v>17</v>
      </c>
      <c r="E346" t="n">
        <v>12.835</v>
      </c>
      <c r="F346" t="n">
        <v>4151472</v>
      </c>
      <c r="G346" t="inlineStr">
        <is>
          <t>40-20-1.2-CRFH-PE</t>
        </is>
      </c>
      <c r="H346" t="n">
        <v>14.021</v>
      </c>
      <c r="I346" t="inlineStr">
        <is>
          <t>TUB-R-AW-AUT-40.00X20.00X1.200X0.7550</t>
        </is>
      </c>
      <c r="J346" t="inlineStr">
        <is>
          <t>TVS</t>
        </is>
      </c>
      <c r="K346" t="inlineStr">
        <is>
          <t>40-20-1.2-CRFH-PE-0.755</t>
        </is>
      </c>
    </row>
    <row r="347">
      <c r="A347" t="inlineStr">
        <is>
          <t>0000188595</t>
        </is>
      </c>
      <c r="B347" t="inlineStr">
        <is>
          <t>Sri Balaji Gears</t>
        </is>
      </c>
      <c r="C347" t="inlineStr">
        <is>
          <t>NOS</t>
        </is>
      </c>
      <c r="D347" t="n">
        <v>9</v>
      </c>
      <c r="E347" t="n">
        <v>6.795</v>
      </c>
      <c r="F347" t="n">
        <v>4151472</v>
      </c>
      <c r="G347" t="inlineStr">
        <is>
          <t>40-20-1.2-CRFH-PE</t>
        </is>
      </c>
      <c r="H347" t="n">
        <v>7.423</v>
      </c>
      <c r="I347" t="inlineStr">
        <is>
          <t>TUB-R-AW-AUT-40.00X20.00X1.200X0.7550</t>
        </is>
      </c>
      <c r="J347" t="inlineStr">
        <is>
          <t>TVS</t>
        </is>
      </c>
      <c r="K347" t="inlineStr">
        <is>
          <t>40-20-1.2-CRFH-PE-0.755</t>
        </is>
      </c>
    </row>
    <row r="348">
      <c r="A348" t="inlineStr">
        <is>
          <t>0000188595</t>
        </is>
      </c>
      <c r="B348" t="inlineStr">
        <is>
          <t>Sri Balaji Gears</t>
        </is>
      </c>
      <c r="C348" t="inlineStr">
        <is>
          <t>NOS</t>
        </is>
      </c>
      <c r="D348" t="n">
        <v>1000</v>
      </c>
      <c r="E348" t="n">
        <v>754.994</v>
      </c>
      <c r="F348" t="n">
        <v>4151472</v>
      </c>
      <c r="G348" t="inlineStr">
        <is>
          <t>40-20-1.2-CRFH-PE</t>
        </is>
      </c>
      <c r="H348" t="n">
        <v>824.756</v>
      </c>
      <c r="I348" t="inlineStr">
        <is>
          <t>TUB-R-AW-AUT-40.00X20.00X1.200X0.7550</t>
        </is>
      </c>
      <c r="J348" t="inlineStr">
        <is>
          <t>TVS</t>
        </is>
      </c>
      <c r="K348" t="inlineStr">
        <is>
          <t>40-20-1.2-CRFH-PE-0.755</t>
        </is>
      </c>
    </row>
    <row r="349">
      <c r="A349" t="inlineStr">
        <is>
          <t>0000188595</t>
        </is>
      </c>
      <c r="B349" t="inlineStr">
        <is>
          <t>Sri Balaji Gears</t>
        </is>
      </c>
      <c r="C349" t="inlineStr">
        <is>
          <t>NOS</t>
        </is>
      </c>
      <c r="D349" t="n">
        <v>1000</v>
      </c>
      <c r="E349" t="n">
        <v>754.994</v>
      </c>
      <c r="F349" t="n">
        <v>4151472</v>
      </c>
      <c r="G349" t="inlineStr">
        <is>
          <t>40-20-1.2-CRFH-PE</t>
        </is>
      </c>
      <c r="H349" t="n">
        <v>824.756</v>
      </c>
      <c r="I349" t="inlineStr">
        <is>
          <t>TUB-R-AW-AUT-40.00X20.00X1.200X0.7550</t>
        </is>
      </c>
      <c r="J349" t="inlineStr">
        <is>
          <t>TVS</t>
        </is>
      </c>
      <c r="K349" t="inlineStr">
        <is>
          <t>40-20-1.2-CRFH-PE-0.755</t>
        </is>
      </c>
    </row>
    <row r="350">
      <c r="A350" t="inlineStr">
        <is>
          <t>0000189002</t>
        </is>
      </c>
      <c r="B350" t="inlineStr">
        <is>
          <t>Marathwada Auto Compo Pvt. Ltd.</t>
        </is>
      </c>
      <c r="C350" t="inlineStr">
        <is>
          <t>NOS</t>
        </is>
      </c>
      <c r="D350" t="n">
        <v>1000</v>
      </c>
      <c r="E350" t="n">
        <v>754.994</v>
      </c>
      <c r="F350" t="n">
        <v>4151472</v>
      </c>
      <c r="G350" t="inlineStr">
        <is>
          <t>40-20-1.2-CRFH-PE</t>
        </is>
      </c>
      <c r="H350" t="n">
        <v>824.756</v>
      </c>
      <c r="I350" t="inlineStr">
        <is>
          <t>TUB-R-AW-AUT-40.00X20.00X1.200X0.7550</t>
        </is>
      </c>
      <c r="J350" t="inlineStr">
        <is>
          <t>TVS</t>
        </is>
      </c>
      <c r="K350" t="inlineStr">
        <is>
          <t>40-20-1.2-CRFH-PE-0.755</t>
        </is>
      </c>
    </row>
    <row r="351">
      <c r="A351" t="inlineStr">
        <is>
          <t>0000188595</t>
        </is>
      </c>
      <c r="B351" t="inlineStr">
        <is>
          <t>Sri Balaji Gears</t>
        </is>
      </c>
      <c r="C351" t="inlineStr">
        <is>
          <t>NOS</t>
        </is>
      </c>
      <c r="D351" t="n">
        <v>1000</v>
      </c>
      <c r="E351" t="n">
        <v>754.994</v>
      </c>
      <c r="F351" t="n">
        <v>4151472</v>
      </c>
      <c r="G351" t="inlineStr">
        <is>
          <t>40-20-1.2-CRFH-PE</t>
        </is>
      </c>
      <c r="H351" t="n">
        <v>824.756</v>
      </c>
      <c r="I351" t="inlineStr">
        <is>
          <t>TUB-R-AW-AUT-40.00X20.00X1.200X0.7550</t>
        </is>
      </c>
      <c r="J351" t="inlineStr">
        <is>
          <t>TVS</t>
        </is>
      </c>
      <c r="K351" t="inlineStr">
        <is>
          <t>40-20-1.2-CRFH-PE-0.755</t>
        </is>
      </c>
    </row>
    <row r="352">
      <c r="A352" t="inlineStr">
        <is>
          <t>0000188595</t>
        </is>
      </c>
      <c r="B352" t="inlineStr">
        <is>
          <t>Sri Balaji Gears</t>
        </is>
      </c>
      <c r="C352" t="inlineStr">
        <is>
          <t>NOS</t>
        </is>
      </c>
      <c r="D352" t="n">
        <v>500</v>
      </c>
      <c r="E352" t="n">
        <v>377.497</v>
      </c>
      <c r="F352" t="n">
        <v>4151472</v>
      </c>
      <c r="G352" t="inlineStr">
        <is>
          <t>40-20-1.2-CRFH-PE</t>
        </is>
      </c>
      <c r="H352" t="n">
        <v>412.378</v>
      </c>
      <c r="I352" t="inlineStr">
        <is>
          <t>TUB-R-AW-AUT-40.00X20.00X1.200X0.7550</t>
        </is>
      </c>
      <c r="J352" t="inlineStr">
        <is>
          <t>TVS</t>
        </is>
      </c>
      <c r="K352" t="inlineStr">
        <is>
          <t>40-20-1.2-CRFH-PE-0.755</t>
        </is>
      </c>
    </row>
    <row r="353">
      <c r="A353" t="inlineStr">
        <is>
          <t>0000188595</t>
        </is>
      </c>
      <c r="B353" t="inlineStr">
        <is>
          <t>Sri Balaji Gears</t>
        </is>
      </c>
      <c r="C353" t="inlineStr">
        <is>
          <t>NOS</t>
        </is>
      </c>
      <c r="D353" t="n">
        <v>200</v>
      </c>
      <c r="E353" t="n">
        <v>150.999</v>
      </c>
      <c r="F353" t="n">
        <v>4151472</v>
      </c>
      <c r="G353" t="inlineStr">
        <is>
          <t>40-20-1.2-CRFH-PE</t>
        </is>
      </c>
      <c r="H353" t="n">
        <v>164.951</v>
      </c>
      <c r="I353" t="inlineStr">
        <is>
          <t>TUB-R-AW-AUT-40.00X20.00X1.200X0.7550</t>
        </is>
      </c>
      <c r="J353" t="inlineStr">
        <is>
          <t>TVS</t>
        </is>
      </c>
      <c r="K353" t="inlineStr">
        <is>
          <t>40-20-1.2-CRFH-PE-0.755</t>
        </is>
      </c>
    </row>
    <row r="354">
      <c r="A354" t="inlineStr">
        <is>
          <t>0000188595</t>
        </is>
      </c>
      <c r="B354" t="inlineStr">
        <is>
          <t>Sri Balaji Gears</t>
        </is>
      </c>
      <c r="C354" t="inlineStr">
        <is>
          <t>NOS</t>
        </is>
      </c>
      <c r="D354" t="n">
        <v>190</v>
      </c>
      <c r="E354" t="n">
        <v>143.449</v>
      </c>
      <c r="F354" t="n">
        <v>4151472</v>
      </c>
      <c r="G354" t="inlineStr">
        <is>
          <t>40-20-1.2-CRFH-PE</t>
        </is>
      </c>
      <c r="H354" t="n">
        <v>156.704</v>
      </c>
      <c r="I354" t="inlineStr">
        <is>
          <t>TUB-R-AW-AUT-40.00X20.00X1.200X0.7550</t>
        </is>
      </c>
      <c r="J354" t="inlineStr">
        <is>
          <t>TVS</t>
        </is>
      </c>
      <c r="K354" t="inlineStr">
        <is>
          <t>40-20-1.2-CRFH-PE-0.755</t>
        </is>
      </c>
    </row>
    <row r="355">
      <c r="A355" t="inlineStr">
        <is>
          <t>0000188595</t>
        </is>
      </c>
      <c r="B355" t="inlineStr">
        <is>
          <t>Sri Balaji Gears</t>
        </is>
      </c>
      <c r="C355" t="inlineStr">
        <is>
          <t>NOS</t>
        </is>
      </c>
      <c r="D355" t="n">
        <v>110</v>
      </c>
      <c r="E355" t="n">
        <v>83.04900000000001</v>
      </c>
      <c r="F355" t="n">
        <v>4151472</v>
      </c>
      <c r="G355" t="inlineStr">
        <is>
          <t>40-20-1.2-CRFH-PE</t>
        </is>
      </c>
      <c r="H355" t="n">
        <v>90.723</v>
      </c>
      <c r="I355" t="inlineStr">
        <is>
          <t>TUB-R-AW-AUT-40.00X20.00X1.200X0.7550</t>
        </is>
      </c>
      <c r="J355" t="inlineStr">
        <is>
          <t>TVS</t>
        </is>
      </c>
      <c r="K355" t="inlineStr">
        <is>
          <t>40-20-1.2-CRFH-PE-0.755</t>
        </is>
      </c>
    </row>
    <row r="356">
      <c r="A356" t="inlineStr">
        <is>
          <t>0000188595</t>
        </is>
      </c>
      <c r="B356" t="inlineStr">
        <is>
          <t>Sri Balaji Gears</t>
        </is>
      </c>
      <c r="C356" t="inlineStr">
        <is>
          <t>NOS</t>
        </is>
      </c>
      <c r="D356" t="n">
        <v>1000</v>
      </c>
      <c r="E356" t="n">
        <v>120.777</v>
      </c>
      <c r="F356" t="n">
        <v>3233559</v>
      </c>
      <c r="G356" t="inlineStr">
        <is>
          <t>40-20-1.2-CRFH-PE</t>
        </is>
      </c>
      <c r="H356" t="n">
        <v>133</v>
      </c>
      <c r="I356" t="inlineStr">
        <is>
          <t>TUB-R-AW-AUT-40.00X20.00X1.210X0.1200</t>
        </is>
      </c>
      <c r="J356" t="inlineStr">
        <is>
          <t>TVS</t>
        </is>
      </c>
      <c r="K356" t="inlineStr">
        <is>
          <t>40-20-1.2-CRFH-PE-0.12</t>
        </is>
      </c>
    </row>
    <row r="357">
      <c r="A357" t="inlineStr">
        <is>
          <t>0000188595</t>
        </is>
      </c>
      <c r="B357" t="inlineStr">
        <is>
          <t>Sri Balaji Gears</t>
        </is>
      </c>
      <c r="C357" t="inlineStr">
        <is>
          <t>NOS</t>
        </is>
      </c>
      <c r="D357" t="n">
        <v>1000</v>
      </c>
      <c r="E357" t="n">
        <v>120.777</v>
      </c>
      <c r="F357" t="n">
        <v>3233559</v>
      </c>
      <c r="G357" t="inlineStr">
        <is>
          <t>40-20-1.2-CRFH-PE</t>
        </is>
      </c>
      <c r="H357" t="n">
        <v>133</v>
      </c>
      <c r="I357" t="inlineStr">
        <is>
          <t>TUB-R-AW-AUT-40.00X20.00X1.210X0.1200</t>
        </is>
      </c>
      <c r="J357" t="inlineStr">
        <is>
          <t>TVS</t>
        </is>
      </c>
      <c r="K357" t="inlineStr">
        <is>
          <t>40-20-1.2-CRFH-PE-0.12</t>
        </is>
      </c>
    </row>
    <row r="358">
      <c r="A358" t="inlineStr">
        <is>
          <t>0000188595</t>
        </is>
      </c>
      <c r="B358" t="inlineStr">
        <is>
          <t>Sri Balaji Gears</t>
        </is>
      </c>
      <c r="C358" t="inlineStr">
        <is>
          <t>NOS</t>
        </is>
      </c>
      <c r="D358" t="n">
        <v>1000</v>
      </c>
      <c r="E358" t="n">
        <v>120.777</v>
      </c>
      <c r="F358" t="n">
        <v>3233559</v>
      </c>
      <c r="G358" t="inlineStr">
        <is>
          <t>40-20-1.2-CRFH-PE</t>
        </is>
      </c>
      <c r="H358" t="n">
        <v>133</v>
      </c>
      <c r="I358" t="inlineStr">
        <is>
          <t>TUB-R-AW-AUT-40.00X20.00X1.210X0.1200</t>
        </is>
      </c>
      <c r="J358" t="inlineStr">
        <is>
          <t>TVS</t>
        </is>
      </c>
      <c r="K358" t="inlineStr">
        <is>
          <t>40-20-1.2-CRFH-PE-0.12</t>
        </is>
      </c>
    </row>
    <row r="359">
      <c r="A359" t="inlineStr">
        <is>
          <t>0000188595</t>
        </is>
      </c>
      <c r="B359" t="inlineStr">
        <is>
          <t>Sri Balaji Gears</t>
        </is>
      </c>
      <c r="C359" t="inlineStr">
        <is>
          <t>NOS</t>
        </is>
      </c>
      <c r="D359" t="n">
        <v>1000</v>
      </c>
      <c r="E359" t="n">
        <v>120.777</v>
      </c>
      <c r="F359" t="n">
        <v>3233559</v>
      </c>
      <c r="G359" t="inlineStr">
        <is>
          <t>40-20-1.2-CRFH-PE</t>
        </is>
      </c>
      <c r="H359" t="n">
        <v>133</v>
      </c>
      <c r="I359" t="inlineStr">
        <is>
          <t>TUB-R-AW-AUT-40.00X20.00X1.210X0.1200</t>
        </is>
      </c>
      <c r="J359" t="inlineStr">
        <is>
          <t>TVS</t>
        </is>
      </c>
      <c r="K359" t="inlineStr">
        <is>
          <t>40-20-1.2-CRFH-PE-0.12</t>
        </is>
      </c>
    </row>
    <row r="360">
      <c r="A360" t="inlineStr">
        <is>
          <t>0000188595</t>
        </is>
      </c>
      <c r="B360" t="inlineStr">
        <is>
          <t>Sri Balaji Gears</t>
        </is>
      </c>
      <c r="C360" t="inlineStr">
        <is>
          <t>NOS</t>
        </is>
      </c>
      <c r="D360" t="n">
        <v>1000</v>
      </c>
      <c r="E360" t="n">
        <v>120.777</v>
      </c>
      <c r="F360" t="n">
        <v>3233559</v>
      </c>
      <c r="G360" t="inlineStr">
        <is>
          <t>40-20-1.2-CRFH-PE</t>
        </is>
      </c>
      <c r="H360" t="n">
        <v>133</v>
      </c>
      <c r="I360" t="inlineStr">
        <is>
          <t>TUB-R-AW-AUT-40.00X20.00X1.210X0.1200</t>
        </is>
      </c>
      <c r="J360" t="inlineStr">
        <is>
          <t>TVS</t>
        </is>
      </c>
      <c r="K360" t="inlineStr">
        <is>
          <t>40-20-1.2-CRFH-PE-0.12</t>
        </is>
      </c>
    </row>
    <row r="361">
      <c r="A361" t="inlineStr">
        <is>
          <t>0000189002</t>
        </is>
      </c>
      <c r="B361" t="inlineStr">
        <is>
          <t>Marathwada Auto Compo Pvt. Ltd.</t>
        </is>
      </c>
      <c r="C361" t="inlineStr">
        <is>
          <t>NOS</t>
        </is>
      </c>
      <c r="D361" t="n">
        <v>1766</v>
      </c>
      <c r="E361" t="n">
        <v>213.293</v>
      </c>
      <c r="F361" t="n">
        <v>3233559</v>
      </c>
      <c r="G361" t="inlineStr">
        <is>
          <t>40-20-1.2-CRFH-PE</t>
        </is>
      </c>
      <c r="H361" t="n">
        <v>234.878</v>
      </c>
      <c r="I361" t="inlineStr">
        <is>
          <t>TUB-R-AW-AUT-40.00X20.00X1.210X0.1200</t>
        </is>
      </c>
      <c r="J361" t="inlineStr">
        <is>
          <t>TVS</t>
        </is>
      </c>
      <c r="K361" t="inlineStr">
        <is>
          <t>40-20-1.2-CRFH-PE-0.12</t>
        </is>
      </c>
    </row>
    <row r="362">
      <c r="A362" t="inlineStr">
        <is>
          <t>0000189002</t>
        </is>
      </c>
      <c r="B362" t="inlineStr">
        <is>
          <t>Marathwada Auto Compo Pvt. Ltd.</t>
        </is>
      </c>
      <c r="C362" t="inlineStr">
        <is>
          <t>NOS</t>
        </is>
      </c>
      <c r="D362" t="n">
        <v>234</v>
      </c>
      <c r="E362" t="n">
        <v>28.262</v>
      </c>
      <c r="F362" t="n">
        <v>3233559</v>
      </c>
      <c r="G362" t="inlineStr">
        <is>
          <t>40-20-1.2-CRFH-PE</t>
        </is>
      </c>
      <c r="H362" t="n">
        <v>31.122</v>
      </c>
      <c r="I362" t="inlineStr">
        <is>
          <t>TUB-R-AW-AUT-40.00X20.00X1.210X0.1200</t>
        </is>
      </c>
      <c r="J362" t="inlineStr">
        <is>
          <t>TVS</t>
        </is>
      </c>
      <c r="K362" t="inlineStr">
        <is>
          <t>40-20-1.2-CRFH-PE-0.12</t>
        </is>
      </c>
    </row>
    <row r="363">
      <c r="A363" t="inlineStr">
        <is>
          <t>0000188595</t>
        </is>
      </c>
      <c r="B363" t="inlineStr">
        <is>
          <t>Sri Balaji Gears</t>
        </is>
      </c>
      <c r="C363" t="inlineStr">
        <is>
          <t>NOS</t>
        </is>
      </c>
      <c r="D363" t="n">
        <v>1000</v>
      </c>
      <c r="E363" t="n">
        <v>120.777</v>
      </c>
      <c r="F363" t="n">
        <v>3233559</v>
      </c>
      <c r="G363" t="inlineStr">
        <is>
          <t>40-20-1.2-CRFH-PE</t>
        </is>
      </c>
      <c r="H363" t="n">
        <v>133</v>
      </c>
      <c r="I363" t="inlineStr">
        <is>
          <t>TUB-R-AW-AUT-40.00X20.00X1.210X0.1200</t>
        </is>
      </c>
      <c r="J363" t="inlineStr">
        <is>
          <t>TVS</t>
        </is>
      </c>
      <c r="K363" t="inlineStr">
        <is>
          <t>40-20-1.2-CRFH-PE-0.12</t>
        </is>
      </c>
    </row>
    <row r="364">
      <c r="A364" t="inlineStr">
        <is>
          <t>0000188595</t>
        </is>
      </c>
      <c r="B364" t="inlineStr">
        <is>
          <t>Sri Balaji Gears</t>
        </is>
      </c>
      <c r="C364" t="inlineStr">
        <is>
          <t>NOS</t>
        </is>
      </c>
      <c r="D364" t="n">
        <v>1000</v>
      </c>
      <c r="E364" t="n">
        <v>120.777</v>
      </c>
      <c r="F364" t="n">
        <v>3233559</v>
      </c>
      <c r="G364" t="inlineStr">
        <is>
          <t>40-20-1.2-CRFH-PE</t>
        </is>
      </c>
      <c r="H364" t="n">
        <v>133</v>
      </c>
      <c r="I364" t="inlineStr">
        <is>
          <t>TUB-R-AW-AUT-40.00X20.00X1.210X0.1200</t>
        </is>
      </c>
      <c r="J364" t="inlineStr">
        <is>
          <t>TVS</t>
        </is>
      </c>
      <c r="K364" t="inlineStr">
        <is>
          <t>40-20-1.2-CRFH-PE-0.12</t>
        </is>
      </c>
    </row>
    <row r="365">
      <c r="A365" t="inlineStr">
        <is>
          <t>0000188595</t>
        </is>
      </c>
      <c r="B365" t="inlineStr">
        <is>
          <t>Sri Balaji Gears</t>
        </is>
      </c>
      <c r="C365" t="inlineStr">
        <is>
          <t>NOS</t>
        </is>
      </c>
      <c r="D365" t="n">
        <v>1000</v>
      </c>
      <c r="E365" t="n">
        <v>110.765</v>
      </c>
      <c r="F365" t="n">
        <v>3572047</v>
      </c>
      <c r="G365" t="inlineStr">
        <is>
          <t>40-20-1.2-CRFH-PE</t>
        </is>
      </c>
      <c r="H365" t="n">
        <v>121</v>
      </c>
      <c r="I365" t="inlineStr">
        <is>
          <t>TUB-R-AW-AUT-40.00X20.00X1.200X0.1100</t>
        </is>
      </c>
      <c r="J365" t="inlineStr">
        <is>
          <t>TVS</t>
        </is>
      </c>
      <c r="K365" t="inlineStr">
        <is>
          <t>40-20-1.2-CRFH-PE-0.11</t>
        </is>
      </c>
    </row>
    <row r="366">
      <c r="A366" t="inlineStr">
        <is>
          <t>0000188595</t>
        </is>
      </c>
      <c r="B366" t="inlineStr">
        <is>
          <t>Sri Balaji Gears</t>
        </is>
      </c>
      <c r="C366" t="inlineStr">
        <is>
          <t>NOS</t>
        </is>
      </c>
      <c r="D366" t="n">
        <v>1000</v>
      </c>
      <c r="E366" t="n">
        <v>110.765</v>
      </c>
      <c r="F366" t="n">
        <v>3572047</v>
      </c>
      <c r="G366" t="inlineStr">
        <is>
          <t>40-20-1.2-CRFH-PE</t>
        </is>
      </c>
      <c r="H366" t="n">
        <v>121</v>
      </c>
      <c r="I366" t="inlineStr">
        <is>
          <t>TUB-R-AW-AUT-40.00X20.00X1.200X0.1100</t>
        </is>
      </c>
      <c r="J366" t="inlineStr">
        <is>
          <t>TVS</t>
        </is>
      </c>
      <c r="K366" t="inlineStr">
        <is>
          <t>40-20-1.2-CRFH-PE-0.11</t>
        </is>
      </c>
    </row>
    <row r="367">
      <c r="A367" t="inlineStr">
        <is>
          <t>0000188595</t>
        </is>
      </c>
      <c r="B367" t="inlineStr">
        <is>
          <t>Sri Balaji Gears</t>
        </is>
      </c>
      <c r="C367" t="inlineStr">
        <is>
          <t>NOS</t>
        </is>
      </c>
      <c r="D367" t="n">
        <v>876</v>
      </c>
      <c r="E367" t="n">
        <v>97.03</v>
      </c>
      <c r="F367" t="n">
        <v>3572047</v>
      </c>
      <c r="G367" t="inlineStr">
        <is>
          <t>40-20-1.2-CRFH-PE</t>
        </is>
      </c>
      <c r="H367" t="n">
        <v>105.996</v>
      </c>
      <c r="I367" t="inlineStr">
        <is>
          <t>TUB-R-AW-AUT-40.00X20.00X1.200X0.1100</t>
        </is>
      </c>
      <c r="J367" t="inlineStr">
        <is>
          <t>TVS</t>
        </is>
      </c>
      <c r="K367" t="inlineStr">
        <is>
          <t>40-20-1.2-CRFH-PE-0.11</t>
        </is>
      </c>
    </row>
    <row r="368">
      <c r="A368" t="inlineStr">
        <is>
          <t>0000188595</t>
        </is>
      </c>
      <c r="B368" t="inlineStr">
        <is>
          <t>Sri Balaji Gears</t>
        </is>
      </c>
      <c r="C368" t="inlineStr">
        <is>
          <t>NOS</t>
        </is>
      </c>
      <c r="D368" t="n">
        <v>124</v>
      </c>
      <c r="E368" t="n">
        <v>13.735</v>
      </c>
      <c r="F368" t="n">
        <v>3572047</v>
      </c>
      <c r="G368" t="inlineStr">
        <is>
          <t>40-20-1.2-CRFH-PE</t>
        </is>
      </c>
      <c r="H368" t="n">
        <v>15.004</v>
      </c>
      <c r="I368" t="inlineStr">
        <is>
          <t>TUB-R-AW-AUT-40.00X20.00X1.200X0.1100</t>
        </is>
      </c>
      <c r="J368" t="inlineStr">
        <is>
          <t>TVS</t>
        </is>
      </c>
      <c r="K368" t="inlineStr">
        <is>
          <t>40-20-1.2-CRFH-PE-0.11</t>
        </is>
      </c>
    </row>
    <row r="369">
      <c r="A369" t="inlineStr">
        <is>
          <t>0000188595</t>
        </is>
      </c>
      <c r="B369" t="inlineStr">
        <is>
          <t>Sri Balaji Gears</t>
        </is>
      </c>
      <c r="C369" t="inlineStr">
        <is>
          <t>NOS</t>
        </is>
      </c>
      <c r="D369" t="n">
        <v>1000</v>
      </c>
      <c r="E369" t="n">
        <v>110.765</v>
      </c>
      <c r="F369" t="n">
        <v>3572047</v>
      </c>
      <c r="G369" t="inlineStr">
        <is>
          <t>40-20-1.2-CRFH-PE</t>
        </is>
      </c>
      <c r="H369" t="n">
        <v>121</v>
      </c>
      <c r="I369" t="inlineStr">
        <is>
          <t>TUB-R-AW-AUT-40.00X20.00X1.200X0.1100</t>
        </is>
      </c>
      <c r="J369" t="inlineStr">
        <is>
          <t>TVS</t>
        </is>
      </c>
      <c r="K369" t="inlineStr">
        <is>
          <t>40-20-1.2-CRFH-PE-0.11</t>
        </is>
      </c>
    </row>
    <row r="370">
      <c r="A370" t="inlineStr">
        <is>
          <t>0000189002</t>
        </is>
      </c>
      <c r="B370" t="inlineStr">
        <is>
          <t>Marathwada Auto Compo Pvt. Ltd.</t>
        </is>
      </c>
      <c r="C370" t="inlineStr">
        <is>
          <t>NOS</t>
        </is>
      </c>
      <c r="D370" t="n">
        <v>487</v>
      </c>
      <c r="E370" t="n">
        <v>53.943</v>
      </c>
      <c r="F370" t="n">
        <v>3572047</v>
      </c>
      <c r="G370" t="inlineStr">
        <is>
          <t>40-20-1.2-CRFH-PE</t>
        </is>
      </c>
      <c r="H370" t="n">
        <v>58.927</v>
      </c>
      <c r="I370" t="inlineStr">
        <is>
          <t>TUB-R-AW-AUT-40.00X20.00X1.200X0.1100</t>
        </is>
      </c>
      <c r="J370" t="inlineStr">
        <is>
          <t>TVS</t>
        </is>
      </c>
      <c r="K370" t="inlineStr">
        <is>
          <t>40-20-1.2-CRFH-PE-0.11</t>
        </is>
      </c>
    </row>
    <row r="371">
      <c r="A371" t="inlineStr">
        <is>
          <t>0000189002</t>
        </is>
      </c>
      <c r="B371" t="inlineStr">
        <is>
          <t>Marathwada Auto Compo Pvt. Ltd.</t>
        </is>
      </c>
      <c r="C371" t="inlineStr">
        <is>
          <t>NOS</t>
        </is>
      </c>
      <c r="D371" t="n">
        <v>454</v>
      </c>
      <c r="E371" t="n">
        <v>50.287</v>
      </c>
      <c r="F371" t="n">
        <v>3572047</v>
      </c>
      <c r="G371" t="inlineStr">
        <is>
          <t>40-20-1.2-CRFH-PE</t>
        </is>
      </c>
      <c r="H371" t="n">
        <v>54.934</v>
      </c>
      <c r="I371" t="inlineStr">
        <is>
          <t>TUB-R-AW-AUT-40.00X20.00X1.200X0.1100</t>
        </is>
      </c>
      <c r="J371" t="inlineStr">
        <is>
          <t>TVS</t>
        </is>
      </c>
      <c r="K371" t="inlineStr">
        <is>
          <t>40-20-1.2-CRFH-PE-0.11</t>
        </is>
      </c>
    </row>
    <row r="372">
      <c r="A372" t="inlineStr">
        <is>
          <t>0000189002</t>
        </is>
      </c>
      <c r="B372" t="inlineStr">
        <is>
          <t>Marathwada Auto Compo Pvt. Ltd.</t>
        </is>
      </c>
      <c r="C372" t="inlineStr">
        <is>
          <t>NOS</t>
        </is>
      </c>
      <c r="D372" t="n">
        <v>59</v>
      </c>
      <c r="E372" t="n">
        <v>6.535</v>
      </c>
      <c r="F372" t="n">
        <v>3572047</v>
      </c>
      <c r="G372" t="inlineStr">
        <is>
          <t>40-20-1.2-CRFH-PE</t>
        </is>
      </c>
      <c r="H372" t="n">
        <v>7.139</v>
      </c>
      <c r="I372" t="inlineStr">
        <is>
          <t>TUB-R-AW-AUT-40.00X20.00X1.200X0.1100</t>
        </is>
      </c>
      <c r="J372" t="inlineStr">
        <is>
          <t>TVS</t>
        </is>
      </c>
      <c r="K372" t="inlineStr">
        <is>
          <t>40-20-1.2-CRFH-PE-0.11</t>
        </is>
      </c>
    </row>
    <row r="373">
      <c r="A373" t="inlineStr">
        <is>
          <t>0000188595</t>
        </is>
      </c>
      <c r="B373" t="inlineStr">
        <is>
          <t>Sri Balaji Gears</t>
        </is>
      </c>
      <c r="C373" t="inlineStr">
        <is>
          <t>NOS</t>
        </is>
      </c>
      <c r="D373" t="n">
        <v>1000</v>
      </c>
      <c r="E373" t="n">
        <v>110.765</v>
      </c>
      <c r="F373" t="n">
        <v>3572047</v>
      </c>
      <c r="G373" t="inlineStr">
        <is>
          <t>40-20-1.2-CRFH-PE</t>
        </is>
      </c>
      <c r="H373" t="n">
        <v>121</v>
      </c>
      <c r="I373" t="inlineStr">
        <is>
          <t>TUB-R-AW-AUT-40.00X20.00X1.200X0.1100</t>
        </is>
      </c>
      <c r="J373" t="inlineStr">
        <is>
          <t>TVS</t>
        </is>
      </c>
      <c r="K373" t="inlineStr">
        <is>
          <t>40-20-1.2-CRFH-PE-0.11</t>
        </is>
      </c>
    </row>
    <row r="374">
      <c r="A374" t="inlineStr">
        <is>
          <t>0000188595</t>
        </is>
      </c>
      <c r="B374" t="inlineStr">
        <is>
          <t>Sri Balaji Gears</t>
        </is>
      </c>
      <c r="C374" t="inlineStr">
        <is>
          <t>NOS</t>
        </is>
      </c>
      <c r="D374" t="n">
        <v>1000</v>
      </c>
      <c r="E374" t="n">
        <v>110.765</v>
      </c>
      <c r="F374" t="n">
        <v>3572047</v>
      </c>
      <c r="G374" t="inlineStr">
        <is>
          <t>40-20-1.2-CRFH-PE</t>
        </is>
      </c>
      <c r="H374" t="n">
        <v>121</v>
      </c>
      <c r="I374" t="inlineStr">
        <is>
          <t>TUB-R-AW-AUT-40.00X20.00X1.200X0.1100</t>
        </is>
      </c>
      <c r="J374" t="inlineStr">
        <is>
          <t>TVS</t>
        </is>
      </c>
      <c r="K374" t="inlineStr">
        <is>
          <t>40-20-1.2-CRFH-PE-0.11</t>
        </is>
      </c>
    </row>
    <row r="375">
      <c r="A375" t="inlineStr">
        <is>
          <t>0000188595</t>
        </is>
      </c>
      <c r="B375" t="inlineStr">
        <is>
          <t>Sri Balaji Gears</t>
        </is>
      </c>
      <c r="C375" t="inlineStr">
        <is>
          <t>NOS</t>
        </is>
      </c>
      <c r="D375" t="n">
        <v>1000</v>
      </c>
      <c r="E375" t="n">
        <v>794.991</v>
      </c>
      <c r="F375" t="n">
        <v>4151429</v>
      </c>
      <c r="G375" t="inlineStr">
        <is>
          <t>19-19-1-CRFH-PE</t>
        </is>
      </c>
      <c r="H375" t="n">
        <v>439.789</v>
      </c>
      <c r="I375" t="inlineStr">
        <is>
          <t>TUB-S-AW-AUT-19.00X19.00X1.000X0.7950</t>
        </is>
      </c>
      <c r="J375" t="inlineStr">
        <is>
          <t>TVS</t>
        </is>
      </c>
      <c r="K375" t="inlineStr">
        <is>
          <t>19-19-1-CRFH-PE-0.795</t>
        </is>
      </c>
    </row>
    <row r="376">
      <c r="A376" t="inlineStr">
        <is>
          <t>0000188595</t>
        </is>
      </c>
      <c r="B376" t="inlineStr">
        <is>
          <t>Sri Balaji Gears</t>
        </is>
      </c>
      <c r="C376" t="inlineStr">
        <is>
          <t>NOS</t>
        </is>
      </c>
      <c r="D376" t="n">
        <v>800</v>
      </c>
      <c r="E376" t="n">
        <v>635.9930000000001</v>
      </c>
      <c r="F376" t="n">
        <v>4151429</v>
      </c>
      <c r="G376" t="inlineStr">
        <is>
          <t>19-19-1-CRFH-PE</t>
        </is>
      </c>
      <c r="H376" t="n">
        <v>351.831</v>
      </c>
      <c r="I376" t="inlineStr">
        <is>
          <t>TUB-S-AW-AUT-19.00X19.00X1.000X0.7950</t>
        </is>
      </c>
      <c r="J376" t="inlineStr">
        <is>
          <t>TVS</t>
        </is>
      </c>
      <c r="K376" t="inlineStr">
        <is>
          <t>19-19-1-CRFH-PE-0.795</t>
        </is>
      </c>
    </row>
    <row r="377">
      <c r="A377" t="inlineStr">
        <is>
          <t>0000188595</t>
        </is>
      </c>
      <c r="B377" t="inlineStr">
        <is>
          <t>Sri Balaji Gears</t>
        </is>
      </c>
      <c r="C377" t="inlineStr">
        <is>
          <t>NOS</t>
        </is>
      </c>
      <c r="D377" t="n">
        <v>149</v>
      </c>
      <c r="E377" t="n">
        <v>118.454</v>
      </c>
      <c r="F377" t="n">
        <v>4151429</v>
      </c>
      <c r="G377" t="inlineStr">
        <is>
          <t>19-19-1-CRFH-PE</t>
        </is>
      </c>
      <c r="H377" t="n">
        <v>65.529</v>
      </c>
      <c r="I377" t="inlineStr">
        <is>
          <t>TUB-S-AW-AUT-19.00X19.00X1.000X0.7950</t>
        </is>
      </c>
      <c r="J377" t="inlineStr">
        <is>
          <t>TVS</t>
        </is>
      </c>
      <c r="K377" t="inlineStr">
        <is>
          <t>19-19-1-CRFH-PE-0.795</t>
        </is>
      </c>
    </row>
    <row r="378">
      <c r="A378" t="inlineStr">
        <is>
          <t>0000188595</t>
        </is>
      </c>
      <c r="B378" t="inlineStr">
        <is>
          <t>Sri Balaji Gears</t>
        </is>
      </c>
      <c r="C378" t="inlineStr">
        <is>
          <t>NOS</t>
        </is>
      </c>
      <c r="D378" t="n">
        <v>51</v>
      </c>
      <c r="E378" t="n">
        <v>40.545</v>
      </c>
      <c r="F378" t="n">
        <v>4151429</v>
      </c>
      <c r="G378" t="inlineStr">
        <is>
          <t>19-19-1-CRFH-PE</t>
        </is>
      </c>
      <c r="H378" t="n">
        <v>22.429</v>
      </c>
      <c r="I378" t="inlineStr">
        <is>
          <t>TUB-S-AW-AUT-19.00X19.00X1.000X0.7950</t>
        </is>
      </c>
      <c r="J378" t="inlineStr">
        <is>
          <t>TVS</t>
        </is>
      </c>
      <c r="K378" t="inlineStr">
        <is>
          <t>19-19-1-CRFH-PE-0.795</t>
        </is>
      </c>
    </row>
    <row r="379">
      <c r="A379" t="inlineStr">
        <is>
          <t>0000188595</t>
        </is>
      </c>
      <c r="B379" t="inlineStr">
        <is>
          <t>Sri Balaji Gears</t>
        </is>
      </c>
      <c r="C379" t="inlineStr">
        <is>
          <t>NOS</t>
        </is>
      </c>
      <c r="D379" t="n">
        <v>1000</v>
      </c>
      <c r="E379" t="n">
        <v>794.991</v>
      </c>
      <c r="F379" t="n">
        <v>4151429</v>
      </c>
      <c r="G379" t="inlineStr">
        <is>
          <t>19-19-1-CRFH-PE</t>
        </is>
      </c>
      <c r="H379" t="n">
        <v>439.789</v>
      </c>
      <c r="I379" t="inlineStr">
        <is>
          <t>TUB-S-AW-AUT-19.00X19.00X1.000X0.7950</t>
        </is>
      </c>
      <c r="J379" t="inlineStr">
        <is>
          <t>TVS</t>
        </is>
      </c>
      <c r="K379" t="inlineStr">
        <is>
          <t>19-19-1-CRFH-PE-0.795</t>
        </is>
      </c>
    </row>
    <row r="380">
      <c r="A380" t="inlineStr">
        <is>
          <t>0000188595</t>
        </is>
      </c>
      <c r="B380" t="inlineStr">
        <is>
          <t>Sri Balaji Gears</t>
        </is>
      </c>
      <c r="C380" t="inlineStr">
        <is>
          <t>NOS</t>
        </is>
      </c>
      <c r="D380" t="n">
        <v>1000</v>
      </c>
      <c r="E380" t="n">
        <v>794.991</v>
      </c>
      <c r="F380" t="n">
        <v>4151429</v>
      </c>
      <c r="G380" t="inlineStr">
        <is>
          <t>19-19-1-CRFH-PE</t>
        </is>
      </c>
      <c r="H380" t="n">
        <v>439.789</v>
      </c>
      <c r="I380" t="inlineStr">
        <is>
          <t>TUB-S-AW-AUT-19.00X19.00X1.000X0.7950</t>
        </is>
      </c>
      <c r="J380" t="inlineStr">
        <is>
          <t>TVS</t>
        </is>
      </c>
      <c r="K380" t="inlineStr">
        <is>
          <t>19-19-1-CRFH-PE-0.795</t>
        </is>
      </c>
    </row>
    <row r="381">
      <c r="A381" t="inlineStr">
        <is>
          <t>0000189002</t>
        </is>
      </c>
      <c r="B381" t="inlineStr">
        <is>
          <t>Marathwada Auto Compo Pvt. Ltd.</t>
        </is>
      </c>
      <c r="C381" t="inlineStr">
        <is>
          <t>NOS</t>
        </is>
      </c>
      <c r="D381" t="n">
        <v>1000</v>
      </c>
      <c r="E381" t="n">
        <v>794.991</v>
      </c>
      <c r="F381" t="n">
        <v>4151429</v>
      </c>
      <c r="G381" t="inlineStr">
        <is>
          <t>19-19-1-CRFH-PE</t>
        </is>
      </c>
      <c r="H381" t="n">
        <v>439.789</v>
      </c>
      <c r="I381" t="inlineStr">
        <is>
          <t>TUB-S-AW-AUT-19.00X19.00X1.000X0.7950</t>
        </is>
      </c>
      <c r="J381" t="inlineStr">
        <is>
          <t>TVS</t>
        </is>
      </c>
      <c r="K381" t="inlineStr">
        <is>
          <t>19-19-1-CRFH-PE-0.795</t>
        </is>
      </c>
    </row>
    <row r="382">
      <c r="A382" t="inlineStr">
        <is>
          <t>0000188595</t>
        </is>
      </c>
      <c r="B382" t="inlineStr">
        <is>
          <t>Sri Balaji Gears</t>
        </is>
      </c>
      <c r="C382" t="inlineStr">
        <is>
          <t>NOS</t>
        </is>
      </c>
      <c r="D382" t="n">
        <v>999</v>
      </c>
      <c r="E382" t="n">
        <v>794.196</v>
      </c>
      <c r="F382" t="n">
        <v>4151429</v>
      </c>
      <c r="G382" t="inlineStr">
        <is>
          <t>19-19-1-CRFH-PE</t>
        </is>
      </c>
      <c r="H382" t="n">
        <v>439.349</v>
      </c>
      <c r="I382" t="inlineStr">
        <is>
          <t>TUB-S-AW-AUT-19.00X19.00X1.000X0.7950</t>
        </is>
      </c>
      <c r="J382" t="inlineStr">
        <is>
          <t>TVS</t>
        </is>
      </c>
      <c r="K382" t="inlineStr">
        <is>
          <t>19-19-1-CRFH-PE-0.795</t>
        </is>
      </c>
    </row>
    <row r="383">
      <c r="A383" t="inlineStr">
        <is>
          <t>0000188595</t>
        </is>
      </c>
      <c r="B383" t="inlineStr">
        <is>
          <t>Sri Balaji Gears</t>
        </is>
      </c>
      <c r="C383" t="inlineStr">
        <is>
          <t>NOS</t>
        </is>
      </c>
      <c r="D383" t="n">
        <v>1</v>
      </c>
      <c r="E383" t="n">
        <v>0.795</v>
      </c>
      <c r="F383" t="n">
        <v>4151429</v>
      </c>
      <c r="G383" t="inlineStr">
        <is>
          <t>19-19-1-CRFH-PE</t>
        </is>
      </c>
      <c r="H383" t="n">
        <v>0.44</v>
      </c>
      <c r="I383" t="inlineStr">
        <is>
          <t>TUB-S-AW-AUT-19.00X19.00X1.000X0.7950</t>
        </is>
      </c>
      <c r="J383" t="inlineStr">
        <is>
          <t>TVS</t>
        </is>
      </c>
      <c r="K383" t="inlineStr">
        <is>
          <t>19-19-1-CRFH-PE-0.795</t>
        </is>
      </c>
    </row>
    <row r="384">
      <c r="A384" t="inlineStr">
        <is>
          <t>0000188595</t>
        </is>
      </c>
      <c r="B384" t="inlineStr">
        <is>
          <t>Sri Balaji Gears</t>
        </is>
      </c>
      <c r="C384" t="inlineStr">
        <is>
          <t>NOS</t>
        </is>
      </c>
      <c r="D384" t="n">
        <v>1000</v>
      </c>
      <c r="E384" t="n">
        <v>794.991</v>
      </c>
      <c r="F384" t="n">
        <v>4151429</v>
      </c>
      <c r="G384" t="inlineStr">
        <is>
          <t>19-19-1-CRFH-PE</t>
        </is>
      </c>
      <c r="H384" t="n">
        <v>439.789</v>
      </c>
      <c r="I384" t="inlineStr">
        <is>
          <t>TUB-S-AW-AUT-19.00X19.00X1.000X0.7950</t>
        </is>
      </c>
      <c r="J384" t="inlineStr">
        <is>
          <t>TVS</t>
        </is>
      </c>
      <c r="K384" t="inlineStr">
        <is>
          <t>19-19-1-CRFH-PE-0.795</t>
        </is>
      </c>
    </row>
    <row r="385">
      <c r="A385" t="inlineStr">
        <is>
          <t>0000188595</t>
        </is>
      </c>
      <c r="B385" t="inlineStr">
        <is>
          <t>Sri Balaji Gears</t>
        </is>
      </c>
      <c r="C385" t="inlineStr">
        <is>
          <t>NOS</t>
        </is>
      </c>
      <c r="D385" t="n">
        <v>1000</v>
      </c>
      <c r="E385" t="n">
        <v>469.994</v>
      </c>
      <c r="F385" t="n">
        <v>3230488</v>
      </c>
      <c r="G385" t="inlineStr">
        <is>
          <t>19-19-1-CRFH-PE</t>
        </is>
      </c>
      <c r="H385" t="n">
        <v>256.1</v>
      </c>
      <c r="I385" t="inlineStr">
        <is>
          <t>TUB-S-AW-AUT-19.00X19.00X1.000X0.4700</t>
        </is>
      </c>
      <c r="J385" t="inlineStr">
        <is>
          <t>TVS</t>
        </is>
      </c>
      <c r="K385" t="inlineStr">
        <is>
          <t>19-19-1-CRFH-PE-0.47</t>
        </is>
      </c>
    </row>
    <row r="386">
      <c r="A386" t="inlineStr">
        <is>
          <t>0000189002</t>
        </is>
      </c>
      <c r="B386" t="inlineStr">
        <is>
          <t>Marathwada Auto Compo Pvt. Ltd.</t>
        </is>
      </c>
      <c r="C386" t="inlineStr">
        <is>
          <t>NOS</t>
        </is>
      </c>
      <c r="D386" t="n">
        <v>1000</v>
      </c>
      <c r="E386" t="n">
        <v>469.994</v>
      </c>
      <c r="F386" t="n">
        <v>3230488</v>
      </c>
      <c r="G386" t="inlineStr">
        <is>
          <t>19-19-1-CRFH-PE</t>
        </is>
      </c>
      <c r="H386" t="n">
        <v>256.1</v>
      </c>
      <c r="I386" t="inlineStr">
        <is>
          <t>TUB-S-AW-AUT-19.00X19.00X1.000X0.4700</t>
        </is>
      </c>
      <c r="J386" t="inlineStr">
        <is>
          <t>TVS</t>
        </is>
      </c>
      <c r="K386" t="inlineStr">
        <is>
          <t>19-19-1-CRFH-PE-0.47</t>
        </is>
      </c>
    </row>
    <row r="387">
      <c r="A387" t="inlineStr">
        <is>
          <t>0000189002</t>
        </is>
      </c>
      <c r="B387" t="inlineStr">
        <is>
          <t>Marathwada Auto Compo Pvt. Ltd.</t>
        </is>
      </c>
      <c r="C387" t="inlineStr">
        <is>
          <t>NOS</t>
        </is>
      </c>
      <c r="D387" t="n">
        <v>1000</v>
      </c>
      <c r="E387" t="n">
        <v>469.994</v>
      </c>
      <c r="F387" t="n">
        <v>3230488</v>
      </c>
      <c r="G387" t="inlineStr">
        <is>
          <t>19-19-1-CRFH-PE</t>
        </is>
      </c>
      <c r="H387" t="n">
        <v>256.1</v>
      </c>
      <c r="I387" t="inlineStr">
        <is>
          <t>TUB-S-AW-AUT-19.00X19.00X1.000X0.4700</t>
        </is>
      </c>
      <c r="J387" t="inlineStr">
        <is>
          <t>TVS</t>
        </is>
      </c>
      <c r="K387" t="inlineStr">
        <is>
          <t>19-19-1-CRFH-PE-0.47</t>
        </is>
      </c>
    </row>
    <row r="388">
      <c r="A388" t="inlineStr">
        <is>
          <t>0000188595</t>
        </is>
      </c>
      <c r="B388" t="inlineStr">
        <is>
          <t>Sri Balaji Gears</t>
        </is>
      </c>
      <c r="C388" t="inlineStr">
        <is>
          <t>NOS</t>
        </is>
      </c>
      <c r="D388" t="n">
        <v>1000</v>
      </c>
      <c r="E388" t="n">
        <v>469.994</v>
      </c>
      <c r="F388" t="n">
        <v>3230488</v>
      </c>
      <c r="G388" t="inlineStr">
        <is>
          <t>19-19-1-CRFH-PE</t>
        </is>
      </c>
      <c r="H388" t="n">
        <v>256.1</v>
      </c>
      <c r="I388" t="inlineStr">
        <is>
          <t>TUB-S-AW-AUT-19.00X19.00X1.000X0.4700</t>
        </is>
      </c>
      <c r="J388" t="inlineStr">
        <is>
          <t>TVS</t>
        </is>
      </c>
      <c r="K388" t="inlineStr">
        <is>
          <t>19-19-1-CRFH-PE-0.47</t>
        </is>
      </c>
    </row>
    <row r="389">
      <c r="A389" t="inlineStr">
        <is>
          <t>0000189002</t>
        </is>
      </c>
      <c r="B389" t="inlineStr">
        <is>
          <t>Marathwada Auto Compo Pvt. Ltd.</t>
        </is>
      </c>
      <c r="C389" t="inlineStr">
        <is>
          <t>NOS</t>
        </is>
      </c>
      <c r="D389" t="n">
        <v>1000</v>
      </c>
      <c r="E389" t="n">
        <v>469.994</v>
      </c>
      <c r="F389" t="n">
        <v>3230488</v>
      </c>
      <c r="G389" t="inlineStr">
        <is>
          <t>19-19-1-CRFH-PE</t>
        </is>
      </c>
      <c r="H389" t="n">
        <v>256.1</v>
      </c>
      <c r="I389" t="inlineStr">
        <is>
          <t>TUB-S-AW-AUT-19.00X19.00X1.000X0.4700</t>
        </is>
      </c>
      <c r="J389" t="inlineStr">
        <is>
          <t>TVS</t>
        </is>
      </c>
      <c r="K389" t="inlineStr">
        <is>
          <t>19-19-1-CRFH-PE-0.47</t>
        </is>
      </c>
    </row>
    <row r="390">
      <c r="A390" t="inlineStr">
        <is>
          <t>0000188595</t>
        </is>
      </c>
      <c r="B390" t="inlineStr">
        <is>
          <t>Sri Balaji Gears</t>
        </is>
      </c>
      <c r="C390" t="inlineStr">
        <is>
          <t>NOS</t>
        </is>
      </c>
      <c r="D390" t="n">
        <v>1000</v>
      </c>
      <c r="E390" t="n">
        <v>469.994</v>
      </c>
      <c r="F390" t="n">
        <v>3230488</v>
      </c>
      <c r="G390" t="inlineStr">
        <is>
          <t>19-19-1-CRFH-PE</t>
        </is>
      </c>
      <c r="H390" t="n">
        <v>256.1</v>
      </c>
      <c r="I390" t="inlineStr">
        <is>
          <t>TUB-S-AW-AUT-19.00X19.00X1.000X0.4700</t>
        </is>
      </c>
      <c r="J390" t="inlineStr">
        <is>
          <t>TVS</t>
        </is>
      </c>
      <c r="K390" t="inlineStr">
        <is>
          <t>19-19-1-CRFH-PE-0.47</t>
        </is>
      </c>
    </row>
    <row r="391">
      <c r="A391" t="inlineStr">
        <is>
          <t>0000189002</t>
        </is>
      </c>
      <c r="B391" t="inlineStr">
        <is>
          <t>Marathwada Auto Compo Pvt. Ltd.</t>
        </is>
      </c>
      <c r="C391" t="inlineStr">
        <is>
          <t>NOS</t>
        </is>
      </c>
      <c r="D391" t="n">
        <v>800</v>
      </c>
      <c r="E391" t="n">
        <v>375.996</v>
      </c>
      <c r="F391" t="n">
        <v>3230488</v>
      </c>
      <c r="G391" t="inlineStr">
        <is>
          <t>19-19-1-CRFH-PE</t>
        </is>
      </c>
      <c r="H391" t="n">
        <v>204.88</v>
      </c>
      <c r="I391" t="inlineStr">
        <is>
          <t>TUB-S-AW-AUT-19.00X19.00X1.000X0.4700</t>
        </is>
      </c>
      <c r="J391" t="inlineStr">
        <is>
          <t>TVS</t>
        </is>
      </c>
      <c r="K391" t="inlineStr">
        <is>
          <t>19-19-1-CRFH-PE-0.47</t>
        </is>
      </c>
    </row>
    <row r="392">
      <c r="A392" t="inlineStr">
        <is>
          <t>0000189002</t>
        </is>
      </c>
      <c r="B392" t="inlineStr">
        <is>
          <t>Marathwada Auto Compo Pvt. Ltd.</t>
        </is>
      </c>
      <c r="C392" t="inlineStr">
        <is>
          <t>NOS</t>
        </is>
      </c>
      <c r="D392" t="n">
        <v>200</v>
      </c>
      <c r="E392" t="n">
        <v>93.999</v>
      </c>
      <c r="F392" t="n">
        <v>3230488</v>
      </c>
      <c r="G392" t="inlineStr">
        <is>
          <t>19-19-1-CRFH-PE</t>
        </is>
      </c>
      <c r="H392" t="n">
        <v>51.22</v>
      </c>
      <c r="I392" t="inlineStr">
        <is>
          <t>TUB-S-AW-AUT-19.00X19.00X1.000X0.4700</t>
        </is>
      </c>
      <c r="J392" t="inlineStr">
        <is>
          <t>TVS</t>
        </is>
      </c>
      <c r="K392" t="inlineStr">
        <is>
          <t>19-19-1-CRFH-PE-0.47</t>
        </is>
      </c>
    </row>
    <row r="393">
      <c r="A393" t="inlineStr">
        <is>
          <t>0000188595</t>
        </is>
      </c>
      <c r="B393" t="inlineStr">
        <is>
          <t>Sri Balaji Gears</t>
        </is>
      </c>
      <c r="C393" t="inlineStr">
        <is>
          <t>NOS</t>
        </is>
      </c>
      <c r="D393" t="n">
        <v>1000</v>
      </c>
      <c r="E393" t="n">
        <v>469.994</v>
      </c>
      <c r="F393" t="n">
        <v>3230488</v>
      </c>
      <c r="G393" t="inlineStr">
        <is>
          <t>19-19-1-CRFH-PE</t>
        </is>
      </c>
      <c r="H393" t="n">
        <v>256.1</v>
      </c>
      <c r="I393" t="inlineStr">
        <is>
          <t>TUB-S-AW-AUT-19.00X19.00X1.000X0.4700</t>
        </is>
      </c>
      <c r="J393" t="inlineStr">
        <is>
          <t>TVS</t>
        </is>
      </c>
      <c r="K393" t="inlineStr">
        <is>
          <t>19-19-1-CRFH-PE-0.47</t>
        </is>
      </c>
    </row>
    <row r="394">
      <c r="A394" t="inlineStr">
        <is>
          <t>0000189002</t>
        </is>
      </c>
      <c r="B394" t="inlineStr">
        <is>
          <t>Marathwada Auto Compo Pvt. Ltd.</t>
        </is>
      </c>
      <c r="C394" t="inlineStr">
        <is>
          <t>NOS</t>
        </is>
      </c>
      <c r="D394" t="n">
        <v>1000</v>
      </c>
      <c r="E394" t="n">
        <v>469.994</v>
      </c>
      <c r="F394" t="n">
        <v>3230488</v>
      </c>
      <c r="G394" t="inlineStr">
        <is>
          <t>19-19-1-CRFH-PE</t>
        </is>
      </c>
      <c r="H394" t="n">
        <v>256.1</v>
      </c>
      <c r="I394" t="inlineStr">
        <is>
          <t>TUB-S-AW-AUT-19.00X19.00X1.000X0.4700</t>
        </is>
      </c>
      <c r="J394" t="inlineStr">
        <is>
          <t>TVS</t>
        </is>
      </c>
      <c r="K394" t="inlineStr">
        <is>
          <t>19-19-1-CRFH-PE-0.47</t>
        </is>
      </c>
    </row>
    <row r="395">
      <c r="A395" t="inlineStr">
        <is>
          <t>0000188595</t>
        </is>
      </c>
      <c r="B395" t="inlineStr">
        <is>
          <t>Sri Balaji Gears</t>
        </is>
      </c>
      <c r="C395" t="inlineStr">
        <is>
          <t>NOS</t>
        </is>
      </c>
      <c r="D395" t="n">
        <v>1000</v>
      </c>
      <c r="E395" t="n">
        <v>469.994</v>
      </c>
      <c r="F395" t="n">
        <v>3230488</v>
      </c>
      <c r="G395" t="inlineStr">
        <is>
          <t>19-19-1-CRFH-PE</t>
        </is>
      </c>
      <c r="H395" t="n">
        <v>256.1</v>
      </c>
      <c r="I395" t="inlineStr">
        <is>
          <t>TUB-S-AW-AUT-19.00X19.00X1.000X0.4700</t>
        </is>
      </c>
      <c r="J395" t="inlineStr">
        <is>
          <t>TVS</t>
        </is>
      </c>
      <c r="K395" t="inlineStr">
        <is>
          <t>19-19-1-CRFH-PE-0.47</t>
        </is>
      </c>
    </row>
    <row r="396">
      <c r="A396" t="inlineStr">
        <is>
          <t>0000189002</t>
        </is>
      </c>
      <c r="B396" t="inlineStr">
        <is>
          <t>Marathwada Auto Compo Pvt. Ltd.</t>
        </is>
      </c>
      <c r="C396" t="inlineStr">
        <is>
          <t>NOS</t>
        </is>
      </c>
      <c r="D396" t="n">
        <v>1000</v>
      </c>
      <c r="E396" t="n">
        <v>469.994</v>
      </c>
      <c r="F396" t="n">
        <v>3230488</v>
      </c>
      <c r="G396" t="inlineStr">
        <is>
          <t>19-19-1-CRFH-PE</t>
        </is>
      </c>
      <c r="H396" t="n">
        <v>256.1</v>
      </c>
      <c r="I396" t="inlineStr">
        <is>
          <t>TUB-S-AW-AUT-19.00X19.00X1.000X0.4700</t>
        </is>
      </c>
      <c r="J396" t="inlineStr">
        <is>
          <t>TVS</t>
        </is>
      </c>
      <c r="K396" t="inlineStr">
        <is>
          <t>19-19-1-CRFH-PE-0.47</t>
        </is>
      </c>
    </row>
    <row r="397">
      <c r="A397" t="inlineStr">
        <is>
          <t>0000188595</t>
        </is>
      </c>
      <c r="B397" t="inlineStr">
        <is>
          <t>Sri Balaji Gears</t>
        </is>
      </c>
      <c r="C397" t="inlineStr">
        <is>
          <t>NOS</t>
        </is>
      </c>
      <c r="D397" t="n">
        <v>1000</v>
      </c>
      <c r="E397" t="n">
        <v>469.994</v>
      </c>
      <c r="F397" t="n">
        <v>3230488</v>
      </c>
      <c r="G397" t="inlineStr">
        <is>
          <t>19-19-1-CRFH-PE</t>
        </is>
      </c>
      <c r="H397" t="n">
        <v>256.1</v>
      </c>
      <c r="I397" t="inlineStr">
        <is>
          <t>TUB-S-AW-AUT-19.00X19.00X1.000X0.4700</t>
        </is>
      </c>
      <c r="J397" t="inlineStr">
        <is>
          <t>TVS</t>
        </is>
      </c>
      <c r="K397" t="inlineStr">
        <is>
          <t>19-19-1-CRFH-PE-0.47</t>
        </is>
      </c>
    </row>
    <row r="398">
      <c r="A398" t="inlineStr">
        <is>
          <t>0000189002</t>
        </is>
      </c>
      <c r="B398" t="inlineStr">
        <is>
          <t>Marathwada Auto Compo Pvt. Ltd.</t>
        </is>
      </c>
      <c r="C398" t="inlineStr">
        <is>
          <t>NOS</t>
        </is>
      </c>
      <c r="D398" t="n">
        <v>1000</v>
      </c>
      <c r="E398" t="n">
        <v>469.994</v>
      </c>
      <c r="F398" t="n">
        <v>3230488</v>
      </c>
      <c r="G398" t="inlineStr">
        <is>
          <t>19-19-1-CRFH-PE</t>
        </is>
      </c>
      <c r="H398" t="n">
        <v>256.1</v>
      </c>
      <c r="I398" t="inlineStr">
        <is>
          <t>TUB-S-AW-AUT-19.00X19.00X1.000X0.4700</t>
        </is>
      </c>
      <c r="J398" t="inlineStr">
        <is>
          <t>TVS</t>
        </is>
      </c>
      <c r="K398" t="inlineStr">
        <is>
          <t>19-19-1-CRFH-PE-0.47</t>
        </is>
      </c>
    </row>
    <row r="399">
      <c r="A399" t="inlineStr">
        <is>
          <t>0000188595</t>
        </is>
      </c>
      <c r="B399" t="inlineStr">
        <is>
          <t>Sri Balaji Gears</t>
        </is>
      </c>
      <c r="C399" t="inlineStr">
        <is>
          <t>NOS</t>
        </is>
      </c>
      <c r="D399" t="n">
        <v>1000</v>
      </c>
      <c r="E399" t="n">
        <v>469.994</v>
      </c>
      <c r="F399" t="n">
        <v>3230488</v>
      </c>
      <c r="G399" t="inlineStr">
        <is>
          <t>19-19-1-CRFH-PE</t>
        </is>
      </c>
      <c r="H399" t="n">
        <v>256.1</v>
      </c>
      <c r="I399" t="inlineStr">
        <is>
          <t>TUB-S-AW-AUT-19.00X19.00X1.000X0.4700</t>
        </is>
      </c>
      <c r="J399" t="inlineStr">
        <is>
          <t>TVS</t>
        </is>
      </c>
      <c r="K399" t="inlineStr">
        <is>
          <t>19-19-1-CRFH-PE-0.47</t>
        </is>
      </c>
    </row>
    <row r="400">
      <c r="A400" t="inlineStr">
        <is>
          <t>0000188595</t>
        </is>
      </c>
      <c r="B400" t="inlineStr">
        <is>
          <t>Sri Balaji Gears</t>
        </is>
      </c>
      <c r="C400" t="inlineStr">
        <is>
          <t>NOS</t>
        </is>
      </c>
      <c r="D400" t="n">
        <v>2581</v>
      </c>
      <c r="E400" t="n">
        <v>1031.094</v>
      </c>
      <c r="F400" t="n">
        <v>3230487</v>
      </c>
      <c r="G400" t="inlineStr">
        <is>
          <t>19-19-1-CRFH-PE</t>
        </is>
      </c>
      <c r="H400" t="n">
        <v>570.401</v>
      </c>
      <c r="I400" t="inlineStr">
        <is>
          <t>TUB-S-AW-AUT-19.00X19.00X1.000X0.4000</t>
        </is>
      </c>
      <c r="J400" t="inlineStr">
        <is>
          <t>TVS</t>
        </is>
      </c>
      <c r="K400" t="inlineStr">
        <is>
          <t>19-19-1-CRFH-PE-0.4</t>
        </is>
      </c>
    </row>
    <row r="401">
      <c r="A401" t="inlineStr">
        <is>
          <t>0000188595</t>
        </is>
      </c>
      <c r="B401" t="inlineStr">
        <is>
          <t>Sri Balaji Gears</t>
        </is>
      </c>
      <c r="C401" t="inlineStr">
        <is>
          <t>NOS</t>
        </is>
      </c>
      <c r="D401" t="n">
        <v>1419</v>
      </c>
      <c r="E401" t="n">
        <v>566.8819999999999</v>
      </c>
      <c r="F401" t="n">
        <v>3230487</v>
      </c>
      <c r="G401" t="inlineStr">
        <is>
          <t>19-19-1-CRFH-PE</t>
        </is>
      </c>
      <c r="H401" t="n">
        <v>313.599</v>
      </c>
      <c r="I401" t="inlineStr">
        <is>
          <t>TUB-S-AW-AUT-19.00X19.00X1.000X0.4000</t>
        </is>
      </c>
      <c r="J401" t="inlineStr">
        <is>
          <t>TVS</t>
        </is>
      </c>
      <c r="K401" t="inlineStr">
        <is>
          <t>19-19-1-CRFH-PE-0.4</t>
        </is>
      </c>
    </row>
    <row r="402">
      <c r="A402" t="inlineStr">
        <is>
          <t>0000189002</t>
        </is>
      </c>
      <c r="B402" t="inlineStr">
        <is>
          <t>Marathwada Auto Compo Pvt. Ltd.</t>
        </is>
      </c>
      <c r="C402" t="inlineStr">
        <is>
          <t>NOS</t>
        </is>
      </c>
      <c r="D402" t="n">
        <v>2693</v>
      </c>
      <c r="E402" t="n">
        <v>1075.837</v>
      </c>
      <c r="F402" t="n">
        <v>3230487</v>
      </c>
      <c r="G402" t="inlineStr">
        <is>
          <t>19-19-1-CRFH-PE</t>
        </is>
      </c>
      <c r="H402" t="n">
        <v>595.153</v>
      </c>
      <c r="I402" t="inlineStr">
        <is>
          <t>TUB-S-AW-AUT-19.00X19.00X1.000X0.4000</t>
        </is>
      </c>
      <c r="J402" t="inlineStr">
        <is>
          <t>TVS</t>
        </is>
      </c>
      <c r="K402" t="inlineStr">
        <is>
          <t>19-19-1-CRFH-PE-0.4</t>
        </is>
      </c>
    </row>
    <row r="403">
      <c r="A403" t="inlineStr">
        <is>
          <t>0000189002</t>
        </is>
      </c>
      <c r="B403" t="inlineStr">
        <is>
          <t>Marathwada Auto Compo Pvt. Ltd.</t>
        </is>
      </c>
      <c r="C403" t="inlineStr">
        <is>
          <t>NOS</t>
        </is>
      </c>
      <c r="D403" t="n">
        <v>162</v>
      </c>
      <c r="E403" t="n">
        <v>64.718</v>
      </c>
      <c r="F403" t="n">
        <v>3230487</v>
      </c>
      <c r="G403" t="inlineStr">
        <is>
          <t>19-19-1-CRFH-PE</t>
        </is>
      </c>
      <c r="H403" t="n">
        <v>35.802</v>
      </c>
      <c r="I403" t="inlineStr">
        <is>
          <t>TUB-S-AW-AUT-19.00X19.00X1.000X0.4000</t>
        </is>
      </c>
      <c r="J403" t="inlineStr">
        <is>
          <t>TVS</t>
        </is>
      </c>
      <c r="K403" t="inlineStr">
        <is>
          <t>19-19-1-CRFH-PE-0.4</t>
        </is>
      </c>
    </row>
    <row r="404">
      <c r="A404" t="inlineStr">
        <is>
          <t>0000189002</t>
        </is>
      </c>
      <c r="B404" t="inlineStr">
        <is>
          <t>Marathwada Auto Compo Pvt. Ltd.</t>
        </is>
      </c>
      <c r="C404" t="inlineStr">
        <is>
          <t>NOS</t>
        </is>
      </c>
      <c r="D404" t="n">
        <v>140</v>
      </c>
      <c r="E404" t="n">
        <v>55.929</v>
      </c>
      <c r="F404" t="n">
        <v>3230487</v>
      </c>
      <c r="G404" t="inlineStr">
        <is>
          <t>19-19-1-CRFH-PE</t>
        </is>
      </c>
      <c r="H404" t="n">
        <v>30.94</v>
      </c>
      <c r="I404" t="inlineStr">
        <is>
          <t>TUB-S-AW-AUT-19.00X19.00X1.000X0.4000</t>
        </is>
      </c>
      <c r="J404" t="inlineStr">
        <is>
          <t>TVS</t>
        </is>
      </c>
      <c r="K404" t="inlineStr">
        <is>
          <t>19-19-1-CRFH-PE-0.4</t>
        </is>
      </c>
    </row>
    <row r="405">
      <c r="A405" t="inlineStr">
        <is>
          <t>0000189002</t>
        </is>
      </c>
      <c r="B405" t="inlineStr">
        <is>
          <t>Marathwada Auto Compo Pvt. Ltd.</t>
        </is>
      </c>
      <c r="C405" t="inlineStr">
        <is>
          <t>NOS</t>
        </is>
      </c>
      <c r="D405" t="n">
        <v>5</v>
      </c>
      <c r="E405" t="n">
        <v>1.997</v>
      </c>
      <c r="F405" t="n">
        <v>3230487</v>
      </c>
      <c r="G405" t="inlineStr">
        <is>
          <t>19-19-1-CRFH-PE</t>
        </is>
      </c>
      <c r="H405" t="n">
        <v>1.105</v>
      </c>
      <c r="I405" t="inlineStr">
        <is>
          <t>TUB-S-AW-AUT-19.00X19.00X1.000X0.4000</t>
        </is>
      </c>
      <c r="J405" t="inlineStr">
        <is>
          <t>TVS</t>
        </is>
      </c>
      <c r="K405" t="inlineStr">
        <is>
          <t>19-19-1-CRFH-PE-0.4</t>
        </is>
      </c>
    </row>
    <row r="406">
      <c r="A406" t="inlineStr">
        <is>
          <t>0000189002</t>
        </is>
      </c>
      <c r="B406" t="inlineStr">
        <is>
          <t>Marathwada Auto Compo Pvt. Ltd.</t>
        </is>
      </c>
      <c r="C406" t="inlineStr">
        <is>
          <t>NOS</t>
        </is>
      </c>
      <c r="D406" t="n">
        <v>3000</v>
      </c>
      <c r="E406" t="n">
        <v>1198.482</v>
      </c>
      <c r="F406" t="n">
        <v>3230487</v>
      </c>
      <c r="G406" t="inlineStr">
        <is>
          <t>19-19-1-CRFH-PE</t>
        </is>
      </c>
      <c r="H406" t="n">
        <v>663</v>
      </c>
      <c r="I406" t="inlineStr">
        <is>
          <t>TUB-S-AW-AUT-19.00X19.00X1.000X0.4000</t>
        </is>
      </c>
      <c r="J406" t="inlineStr">
        <is>
          <t>TVS</t>
        </is>
      </c>
      <c r="K406" t="inlineStr">
        <is>
          <t>19-19-1-CRFH-PE-0.4</t>
        </is>
      </c>
    </row>
    <row r="407">
      <c r="A407" t="inlineStr">
        <is>
          <t>0000188595</t>
        </is>
      </c>
      <c r="B407" t="inlineStr">
        <is>
          <t>Sri Balaji Gears</t>
        </is>
      </c>
      <c r="C407" t="inlineStr">
        <is>
          <t>NOS</t>
        </is>
      </c>
      <c r="D407" t="n">
        <v>3000</v>
      </c>
      <c r="E407" t="n">
        <v>1198.482</v>
      </c>
      <c r="F407" t="n">
        <v>3230487</v>
      </c>
      <c r="G407" t="inlineStr">
        <is>
          <t>19-19-1-CRFH-PE</t>
        </is>
      </c>
      <c r="H407" t="n">
        <v>663</v>
      </c>
      <c r="I407" t="inlineStr">
        <is>
          <t>TUB-S-AW-AUT-19.00X19.00X1.000X0.4000</t>
        </is>
      </c>
      <c r="J407" t="inlineStr">
        <is>
          <t>TVS</t>
        </is>
      </c>
      <c r="K407" t="inlineStr">
        <is>
          <t>19-19-1-CRFH-PE-0.4</t>
        </is>
      </c>
    </row>
    <row r="408">
      <c r="A408" t="inlineStr">
        <is>
          <t>0000189002</t>
        </is>
      </c>
      <c r="B408" t="inlineStr">
        <is>
          <t>Marathwada Auto Compo Pvt. Ltd.</t>
        </is>
      </c>
      <c r="C408" t="inlineStr">
        <is>
          <t>NOS</t>
        </is>
      </c>
      <c r="D408" t="n">
        <v>3000</v>
      </c>
      <c r="E408" t="n">
        <v>1198.482</v>
      </c>
      <c r="F408" t="n">
        <v>3230487</v>
      </c>
      <c r="G408" t="inlineStr">
        <is>
          <t>19-19-1-CRFH-PE</t>
        </is>
      </c>
      <c r="H408" t="n">
        <v>663</v>
      </c>
      <c r="I408" t="inlineStr">
        <is>
          <t>TUB-S-AW-AUT-19.00X19.00X1.000X0.4000</t>
        </is>
      </c>
      <c r="J408" t="inlineStr">
        <is>
          <t>TVS</t>
        </is>
      </c>
      <c r="K408" t="inlineStr">
        <is>
          <t>19-19-1-CRFH-PE-0.4</t>
        </is>
      </c>
    </row>
    <row r="409">
      <c r="A409" t="inlineStr">
        <is>
          <t>0000188595</t>
        </is>
      </c>
      <c r="B409" t="inlineStr">
        <is>
          <t>Sri Balaji Gears</t>
        </is>
      </c>
      <c r="C409" t="inlineStr">
        <is>
          <t>NOS</t>
        </is>
      </c>
      <c r="D409" t="n">
        <v>4000</v>
      </c>
      <c r="E409" t="n">
        <v>1597.975</v>
      </c>
      <c r="F409" t="n">
        <v>3230487</v>
      </c>
      <c r="G409" t="inlineStr">
        <is>
          <t>19-19-1-CRFH-PE</t>
        </is>
      </c>
      <c r="H409" t="n">
        <v>884</v>
      </c>
      <c r="I409" t="inlineStr">
        <is>
          <t>TUB-S-AW-AUT-19.00X19.00X1.000X0.4000</t>
        </is>
      </c>
      <c r="J409" t="inlineStr">
        <is>
          <t>TVS</t>
        </is>
      </c>
      <c r="K409" t="inlineStr">
        <is>
          <t>19-19-1-CRFH-PE-0.4</t>
        </is>
      </c>
    </row>
    <row r="410">
      <c r="A410" t="inlineStr">
        <is>
          <t>0000189002</t>
        </is>
      </c>
      <c r="B410" t="inlineStr">
        <is>
          <t>Marathwada Auto Compo Pvt. Ltd.</t>
        </is>
      </c>
      <c r="C410" t="inlineStr">
        <is>
          <t>NOS</t>
        </is>
      </c>
      <c r="D410" t="n">
        <v>3000</v>
      </c>
      <c r="E410" t="n">
        <v>1198.482</v>
      </c>
      <c r="F410" t="n">
        <v>3230487</v>
      </c>
      <c r="G410" t="inlineStr">
        <is>
          <t>19-19-1-CRFH-PE</t>
        </is>
      </c>
      <c r="H410" t="n">
        <v>663</v>
      </c>
      <c r="I410" t="inlineStr">
        <is>
          <t>TUB-S-AW-AUT-19.00X19.00X1.000X0.4000</t>
        </is>
      </c>
      <c r="J410" t="inlineStr">
        <is>
          <t>TVS</t>
        </is>
      </c>
      <c r="K410" t="inlineStr">
        <is>
          <t>19-19-1-CRFH-PE-0.4</t>
        </is>
      </c>
    </row>
    <row r="411">
      <c r="A411" t="inlineStr">
        <is>
          <t>0000188595</t>
        </is>
      </c>
      <c r="B411" t="inlineStr">
        <is>
          <t>Sri Balaji Gears</t>
        </is>
      </c>
      <c r="C411" t="inlineStr">
        <is>
          <t>NOS</t>
        </is>
      </c>
      <c r="D411" t="n">
        <v>2590</v>
      </c>
      <c r="E411" t="n">
        <v>1034.689</v>
      </c>
      <c r="F411" t="n">
        <v>3230487</v>
      </c>
      <c r="G411" t="inlineStr">
        <is>
          <t>19-19-1-CRFH-PE</t>
        </is>
      </c>
      <c r="H411" t="n">
        <v>572.39</v>
      </c>
      <c r="I411" t="inlineStr">
        <is>
          <t>TUB-S-AW-AUT-19.00X19.00X1.000X0.4000</t>
        </is>
      </c>
      <c r="J411" t="inlineStr">
        <is>
          <t>TVS</t>
        </is>
      </c>
      <c r="K411" t="inlineStr">
        <is>
          <t>19-19-1-CRFH-PE-0.4</t>
        </is>
      </c>
    </row>
    <row r="412">
      <c r="A412" t="inlineStr">
        <is>
          <t>0000188595</t>
        </is>
      </c>
      <c r="B412" t="inlineStr">
        <is>
          <t>Sri Balaji Gears</t>
        </is>
      </c>
      <c r="C412" t="inlineStr">
        <is>
          <t>NOS</t>
        </is>
      </c>
      <c r="D412" t="n">
        <v>1410</v>
      </c>
      <c r="E412" t="n">
        <v>563.2859999999999</v>
      </c>
      <c r="F412" t="n">
        <v>3230487</v>
      </c>
      <c r="G412" t="inlineStr">
        <is>
          <t>19-19-1-CRFH-PE</t>
        </is>
      </c>
      <c r="H412" t="n">
        <v>311.61</v>
      </c>
      <c r="I412" t="inlineStr">
        <is>
          <t>TUB-S-AW-AUT-19.00X19.00X1.000X0.4000</t>
        </is>
      </c>
      <c r="J412" t="inlineStr">
        <is>
          <t>TVS</t>
        </is>
      </c>
      <c r="K412" t="inlineStr">
        <is>
          <t>19-19-1-CRFH-PE-0.4</t>
        </is>
      </c>
    </row>
    <row r="413">
      <c r="A413" t="inlineStr">
        <is>
          <t>0000189002</t>
        </is>
      </c>
      <c r="B413" t="inlineStr">
        <is>
          <t>Marathwada Auto Compo Pvt. Ltd.</t>
        </is>
      </c>
      <c r="C413" t="inlineStr">
        <is>
          <t>NOS</t>
        </is>
      </c>
      <c r="D413" t="n">
        <v>3000</v>
      </c>
      <c r="E413" t="n">
        <v>1198.482</v>
      </c>
      <c r="F413" t="n">
        <v>3230487</v>
      </c>
      <c r="G413" t="inlineStr">
        <is>
          <t>19-19-1-CRFH-PE</t>
        </is>
      </c>
      <c r="H413" t="n">
        <v>663</v>
      </c>
      <c r="I413" t="inlineStr">
        <is>
          <t>TUB-S-AW-AUT-19.00X19.00X1.000X0.4000</t>
        </is>
      </c>
      <c r="J413" t="inlineStr">
        <is>
          <t>TVS</t>
        </is>
      </c>
      <c r="K413" t="inlineStr">
        <is>
          <t>19-19-1-CRFH-PE-0.4</t>
        </is>
      </c>
    </row>
    <row r="414">
      <c r="A414" t="inlineStr">
        <is>
          <t>0000188595</t>
        </is>
      </c>
      <c r="B414" t="inlineStr">
        <is>
          <t>Sri Balaji Gears</t>
        </is>
      </c>
      <c r="C414" t="inlineStr">
        <is>
          <t>NOS</t>
        </is>
      </c>
      <c r="D414" t="n">
        <v>4000</v>
      </c>
      <c r="E414" t="n">
        <v>1597.975</v>
      </c>
      <c r="F414" t="n">
        <v>3230487</v>
      </c>
      <c r="G414" t="inlineStr">
        <is>
          <t>19-19-1-CRFH-PE</t>
        </is>
      </c>
      <c r="H414" t="n">
        <v>884</v>
      </c>
      <c r="I414" t="inlineStr">
        <is>
          <t>TUB-S-AW-AUT-19.00X19.00X1.000X0.4000</t>
        </is>
      </c>
      <c r="J414" t="inlineStr">
        <is>
          <t>TVS</t>
        </is>
      </c>
      <c r="K414" t="inlineStr">
        <is>
          <t>19-19-1-CRFH-PE-0.4</t>
        </is>
      </c>
    </row>
    <row r="415">
      <c r="A415" t="inlineStr">
        <is>
          <t>0000189002</t>
        </is>
      </c>
      <c r="B415" t="inlineStr">
        <is>
          <t>Marathwada Auto Compo Pvt. Ltd.</t>
        </is>
      </c>
      <c r="C415" t="inlineStr">
        <is>
          <t>NOS</t>
        </is>
      </c>
      <c r="D415" t="n">
        <v>4000</v>
      </c>
      <c r="E415" t="n">
        <v>1597.975</v>
      </c>
      <c r="F415" t="n">
        <v>3230487</v>
      </c>
      <c r="G415" t="inlineStr">
        <is>
          <t>19-19-1-CRFH-PE</t>
        </is>
      </c>
      <c r="H415" t="n">
        <v>884</v>
      </c>
      <c r="I415" t="inlineStr">
        <is>
          <t>TUB-S-AW-AUT-19.00X19.00X1.000X0.4000</t>
        </is>
      </c>
      <c r="J415" t="inlineStr">
        <is>
          <t>TVS</t>
        </is>
      </c>
      <c r="K415" t="inlineStr">
        <is>
          <t>19-19-1-CRFH-PE-0.4</t>
        </is>
      </c>
    </row>
    <row r="416">
      <c r="A416" t="inlineStr">
        <is>
          <t>0000188595</t>
        </is>
      </c>
      <c r="B416" t="inlineStr">
        <is>
          <t>Sri Balaji Gears</t>
        </is>
      </c>
      <c r="C416" t="inlineStr">
        <is>
          <t>NOS</t>
        </is>
      </c>
      <c r="D416" t="n">
        <v>3675</v>
      </c>
      <c r="E416" t="n">
        <v>1468.14</v>
      </c>
      <c r="F416" t="n">
        <v>3230487</v>
      </c>
      <c r="G416" t="inlineStr">
        <is>
          <t>19-19-1-CRFH-PE</t>
        </is>
      </c>
      <c r="H416" t="n">
        <v>812.175</v>
      </c>
      <c r="I416" t="inlineStr">
        <is>
          <t>TUB-S-AW-AUT-19.00X19.00X1.000X0.4000</t>
        </is>
      </c>
      <c r="J416" t="inlineStr">
        <is>
          <t>TVS</t>
        </is>
      </c>
      <c r="K416" t="inlineStr">
        <is>
          <t>19-19-1-CRFH-PE-0.4</t>
        </is>
      </c>
    </row>
    <row r="417">
      <c r="A417" t="inlineStr">
        <is>
          <t>0000188595</t>
        </is>
      </c>
      <c r="B417" t="inlineStr">
        <is>
          <t>Sri Balaji Gears</t>
        </is>
      </c>
      <c r="C417" t="inlineStr">
        <is>
          <t>NOS</t>
        </is>
      </c>
      <c r="D417" t="n">
        <v>325</v>
      </c>
      <c r="E417" t="n">
        <v>129.836</v>
      </c>
      <c r="F417" t="n">
        <v>3230487</v>
      </c>
      <c r="G417" t="inlineStr">
        <is>
          <t>19-19-1-CRFH-PE</t>
        </is>
      </c>
      <c r="H417" t="n">
        <v>71.825</v>
      </c>
      <c r="I417" t="inlineStr">
        <is>
          <t>TUB-S-AW-AUT-19.00X19.00X1.000X0.4000</t>
        </is>
      </c>
      <c r="J417" t="inlineStr">
        <is>
          <t>TVS</t>
        </is>
      </c>
      <c r="K417" t="inlineStr">
        <is>
          <t>19-19-1-CRFH-PE-0.4</t>
        </is>
      </c>
    </row>
    <row r="418">
      <c r="A418" t="inlineStr">
        <is>
          <t>0000189002</t>
        </is>
      </c>
      <c r="B418" t="inlineStr">
        <is>
          <t>Marathwada Auto Compo Pvt. Ltd.</t>
        </is>
      </c>
      <c r="C418" t="inlineStr">
        <is>
          <t>NOS</t>
        </is>
      </c>
      <c r="D418" t="n">
        <v>2891</v>
      </c>
      <c r="E418" t="n">
        <v>1154.937</v>
      </c>
      <c r="F418" t="n">
        <v>3230487</v>
      </c>
      <c r="G418" t="inlineStr">
        <is>
          <t>19-19-1-CRFH-PE</t>
        </is>
      </c>
      <c r="H418" t="n">
        <v>638.9109999999999</v>
      </c>
      <c r="I418" t="inlineStr">
        <is>
          <t>TUB-S-AW-AUT-19.00X19.00X1.000X0.4000</t>
        </is>
      </c>
      <c r="J418" t="inlineStr">
        <is>
          <t>TVS</t>
        </is>
      </c>
      <c r="K418" t="inlineStr">
        <is>
          <t>19-19-1-CRFH-PE-0.4</t>
        </is>
      </c>
    </row>
    <row r="419">
      <c r="A419" t="inlineStr">
        <is>
          <t>0000189002</t>
        </is>
      </c>
      <c r="B419" t="inlineStr">
        <is>
          <t>Marathwada Auto Compo Pvt. Ltd.</t>
        </is>
      </c>
      <c r="C419" t="inlineStr">
        <is>
          <t>NOS</t>
        </is>
      </c>
      <c r="D419" t="n">
        <v>109</v>
      </c>
      <c r="E419" t="n">
        <v>43.545</v>
      </c>
      <c r="F419" t="n">
        <v>3230487</v>
      </c>
      <c r="G419" t="inlineStr">
        <is>
          <t>19-19-1-CRFH-PE</t>
        </is>
      </c>
      <c r="H419" t="n">
        <v>24.089</v>
      </c>
      <c r="I419" t="inlineStr">
        <is>
          <t>TUB-S-AW-AUT-19.00X19.00X1.000X0.4000</t>
        </is>
      </c>
      <c r="J419" t="inlineStr">
        <is>
          <t>TVS</t>
        </is>
      </c>
      <c r="K419" t="inlineStr">
        <is>
          <t>19-19-1-CRFH-PE-0.4</t>
        </is>
      </c>
    </row>
    <row r="420">
      <c r="A420" t="inlineStr">
        <is>
          <t>0000188595</t>
        </is>
      </c>
      <c r="B420" t="inlineStr">
        <is>
          <t>Sri Balaji Gears</t>
        </is>
      </c>
      <c r="C420" t="inlineStr">
        <is>
          <t>NOS</t>
        </is>
      </c>
      <c r="D420" t="n">
        <v>4000</v>
      </c>
      <c r="E420" t="n">
        <v>1597.975</v>
      </c>
      <c r="F420" t="n">
        <v>3230487</v>
      </c>
      <c r="G420" t="inlineStr">
        <is>
          <t>19-19-1-CRFH-PE</t>
        </is>
      </c>
      <c r="H420" t="n">
        <v>884</v>
      </c>
      <c r="I420" t="inlineStr">
        <is>
          <t>TUB-S-AW-AUT-19.00X19.00X1.000X0.4000</t>
        </is>
      </c>
      <c r="J420" t="inlineStr">
        <is>
          <t>TVS</t>
        </is>
      </c>
      <c r="K420" t="inlineStr">
        <is>
          <t>19-19-1-CRFH-PE-0.4</t>
        </is>
      </c>
    </row>
    <row r="421">
      <c r="A421" t="inlineStr">
        <is>
          <t>0000188595</t>
        </is>
      </c>
      <c r="B421" t="inlineStr">
        <is>
          <t>Sri Balaji Gears</t>
        </is>
      </c>
      <c r="C421" t="inlineStr">
        <is>
          <t>NOS</t>
        </is>
      </c>
      <c r="D421" t="n">
        <v>218</v>
      </c>
      <c r="E421" t="n">
        <v>21.8</v>
      </c>
      <c r="F421" t="n">
        <v>3931834</v>
      </c>
      <c r="G421" t="inlineStr">
        <is>
          <t>19-19-1-CRFH-PE</t>
        </is>
      </c>
      <c r="H421" t="n">
        <v>11.881</v>
      </c>
      <c r="I421" t="inlineStr">
        <is>
          <t>CUT-R-AW-AUT-19.00X19.00X1.000X0.1000</t>
        </is>
      </c>
      <c r="J421" t="inlineStr">
        <is>
          <t>TVS</t>
        </is>
      </c>
      <c r="K421" t="inlineStr">
        <is>
          <t>19-19-1-CRFH-PE-0.1</t>
        </is>
      </c>
    </row>
    <row r="422">
      <c r="A422" t="inlineStr">
        <is>
          <t>0000188595</t>
        </is>
      </c>
      <c r="B422" t="inlineStr">
        <is>
          <t>Sri Balaji Gears</t>
        </is>
      </c>
      <c r="C422" t="inlineStr">
        <is>
          <t>NOS</t>
        </is>
      </c>
      <c r="D422" t="n">
        <v>1559</v>
      </c>
      <c r="E422" t="n">
        <v>155.897</v>
      </c>
      <c r="F422" t="n">
        <v>3931834</v>
      </c>
      <c r="G422" t="inlineStr">
        <is>
          <t>19-19-1-CRFH-PE</t>
        </is>
      </c>
      <c r="H422" t="n">
        <v>84.96599999999999</v>
      </c>
      <c r="I422" t="inlineStr">
        <is>
          <t>CUT-R-AW-AUT-19.00X19.00X1.000X0.1000</t>
        </is>
      </c>
      <c r="J422" t="inlineStr">
        <is>
          <t>TVS</t>
        </is>
      </c>
      <c r="K422" t="inlineStr">
        <is>
          <t>19-19-1-CRFH-PE-0.1</t>
        </is>
      </c>
    </row>
    <row r="423">
      <c r="A423" t="inlineStr">
        <is>
          <t>0000188595</t>
        </is>
      </c>
      <c r="B423" t="inlineStr">
        <is>
          <t>Sri Balaji Gears</t>
        </is>
      </c>
      <c r="C423" t="inlineStr">
        <is>
          <t>NOS</t>
        </is>
      </c>
      <c r="D423" t="n">
        <v>126</v>
      </c>
      <c r="E423" t="n">
        <v>12.6</v>
      </c>
      <c r="F423" t="n">
        <v>3931834</v>
      </c>
      <c r="G423" t="inlineStr">
        <is>
          <t>19-19-1-CRFH-PE</t>
        </is>
      </c>
      <c r="H423" t="n">
        <v>6.867</v>
      </c>
      <c r="I423" t="inlineStr">
        <is>
          <t>CUT-R-AW-AUT-19.00X19.00X1.000X0.1000</t>
        </is>
      </c>
      <c r="J423" t="inlineStr">
        <is>
          <t>TVS</t>
        </is>
      </c>
      <c r="K423" t="inlineStr">
        <is>
          <t>19-19-1-CRFH-PE-0.1</t>
        </is>
      </c>
    </row>
    <row r="424">
      <c r="A424" t="inlineStr">
        <is>
          <t>0000188595</t>
        </is>
      </c>
      <c r="B424" t="inlineStr">
        <is>
          <t>Sri Balaji Gears</t>
        </is>
      </c>
      <c r="C424" t="inlineStr">
        <is>
          <t>NOS</t>
        </is>
      </c>
      <c r="D424" t="n">
        <v>53</v>
      </c>
      <c r="E424" t="n">
        <v>5.3</v>
      </c>
      <c r="F424" t="n">
        <v>3931834</v>
      </c>
      <c r="G424" t="inlineStr">
        <is>
          <t>19-19-1-CRFH-PE</t>
        </is>
      </c>
      <c r="H424" t="n">
        <v>2.889</v>
      </c>
      <c r="I424" t="inlineStr">
        <is>
          <t>CUT-R-AW-AUT-19.00X19.00X1.000X0.1000</t>
        </is>
      </c>
      <c r="J424" t="inlineStr">
        <is>
          <t>TVS</t>
        </is>
      </c>
      <c r="K424" t="inlineStr">
        <is>
          <t>19-19-1-CRFH-PE-0.1</t>
        </is>
      </c>
    </row>
    <row r="425">
      <c r="A425" t="inlineStr">
        <is>
          <t>0000188595</t>
        </is>
      </c>
      <c r="B425" t="inlineStr">
        <is>
          <t>Sri Balaji Gears</t>
        </is>
      </c>
      <c r="C425" t="inlineStr">
        <is>
          <t>NOS</t>
        </is>
      </c>
      <c r="D425" t="n">
        <v>44</v>
      </c>
      <c r="E425" t="n">
        <v>4.4</v>
      </c>
      <c r="F425" t="n">
        <v>3931834</v>
      </c>
      <c r="G425" t="inlineStr">
        <is>
          <t>19-19-1-CRFH-PE</t>
        </is>
      </c>
      <c r="H425" t="n">
        <v>2.398</v>
      </c>
      <c r="I425" t="inlineStr">
        <is>
          <t>CUT-R-AW-AUT-19.00X19.00X1.000X0.1000</t>
        </is>
      </c>
      <c r="J425" t="inlineStr">
        <is>
          <t>TVS</t>
        </is>
      </c>
      <c r="K425" t="inlineStr">
        <is>
          <t>19-19-1-CRFH-PE-0.1</t>
        </is>
      </c>
    </row>
    <row r="426">
      <c r="A426" t="inlineStr">
        <is>
          <t>0000188595</t>
        </is>
      </c>
      <c r="B426" t="inlineStr">
        <is>
          <t>Sri Balaji Gears</t>
        </is>
      </c>
      <c r="C426" t="inlineStr">
        <is>
          <t>NOS</t>
        </is>
      </c>
      <c r="D426" t="n">
        <v>2000</v>
      </c>
      <c r="E426" t="n">
        <v>199.996</v>
      </c>
      <c r="F426" t="n">
        <v>3931834</v>
      </c>
      <c r="G426" t="inlineStr">
        <is>
          <t>19-19-1-CRFH-PE</t>
        </is>
      </c>
      <c r="H426" t="n">
        <v>109</v>
      </c>
      <c r="I426" t="inlineStr">
        <is>
          <t>CUT-R-AW-AUT-19.00X19.00X1.000X0.1000</t>
        </is>
      </c>
      <c r="J426" t="inlineStr">
        <is>
          <t>TVS</t>
        </is>
      </c>
      <c r="K426" t="inlineStr">
        <is>
          <t>19-19-1-CRFH-PE-0.1</t>
        </is>
      </c>
    </row>
    <row r="427">
      <c r="A427" t="inlineStr">
        <is>
          <t>0000188595</t>
        </is>
      </c>
      <c r="B427" t="inlineStr">
        <is>
          <t>Sri Balaji Gears</t>
        </is>
      </c>
      <c r="C427" t="inlineStr">
        <is>
          <t>NOS</t>
        </is>
      </c>
      <c r="D427" t="n">
        <v>2000</v>
      </c>
      <c r="E427" t="n">
        <v>199.996</v>
      </c>
      <c r="F427" t="n">
        <v>3931834</v>
      </c>
      <c r="G427" t="inlineStr">
        <is>
          <t>19-19-1-CRFH-PE</t>
        </is>
      </c>
      <c r="H427" t="n">
        <v>109</v>
      </c>
      <c r="I427" t="inlineStr">
        <is>
          <t>CUT-R-AW-AUT-19.00X19.00X1.000X0.1000</t>
        </is>
      </c>
      <c r="J427" t="inlineStr">
        <is>
          <t>TVS</t>
        </is>
      </c>
      <c r="K427" t="inlineStr">
        <is>
          <t>19-19-1-CRFH-PE-0.1</t>
        </is>
      </c>
    </row>
    <row r="428">
      <c r="A428" t="inlineStr">
        <is>
          <t>0000188595</t>
        </is>
      </c>
      <c r="B428" t="inlineStr">
        <is>
          <t>Sri Balaji Gears</t>
        </is>
      </c>
      <c r="C428" t="inlineStr">
        <is>
          <t>NOS</t>
        </is>
      </c>
      <c r="D428" t="n">
        <v>2000</v>
      </c>
      <c r="E428" t="n">
        <v>199.996</v>
      </c>
      <c r="F428" t="n">
        <v>3931834</v>
      </c>
      <c r="G428" t="inlineStr">
        <is>
          <t>19-19-1-CRFH-PE</t>
        </is>
      </c>
      <c r="H428" t="n">
        <v>109</v>
      </c>
      <c r="I428" t="inlineStr">
        <is>
          <t>CUT-R-AW-AUT-19.00X19.00X1.000X0.1000</t>
        </is>
      </c>
      <c r="J428" t="inlineStr">
        <is>
          <t>TVS</t>
        </is>
      </c>
      <c r="K428" t="inlineStr">
        <is>
          <t>19-19-1-CRFH-PE-0.1</t>
        </is>
      </c>
    </row>
    <row r="429">
      <c r="A429" t="inlineStr">
        <is>
          <t>0000189002</t>
        </is>
      </c>
      <c r="B429" t="inlineStr">
        <is>
          <t>Marathwada Auto Compo Pvt. Ltd.</t>
        </is>
      </c>
      <c r="C429" t="inlineStr">
        <is>
          <t>NOS</t>
        </is>
      </c>
      <c r="D429" t="n">
        <v>2000</v>
      </c>
      <c r="E429" t="n">
        <v>199.996</v>
      </c>
      <c r="F429" t="n">
        <v>3931834</v>
      </c>
      <c r="G429" t="inlineStr">
        <is>
          <t>19-19-1-CRFH-PE</t>
        </is>
      </c>
      <c r="H429" t="n">
        <v>109</v>
      </c>
      <c r="I429" t="inlineStr">
        <is>
          <t>CUT-R-AW-AUT-19.00X19.00X1.000X0.1000</t>
        </is>
      </c>
      <c r="J429" t="inlineStr">
        <is>
          <t>TVS</t>
        </is>
      </c>
      <c r="K429" t="inlineStr">
        <is>
          <t>19-19-1-CRFH-PE-0.1</t>
        </is>
      </c>
    </row>
    <row r="430">
      <c r="A430" t="inlineStr">
        <is>
          <t>0000188595</t>
        </is>
      </c>
      <c r="B430" t="inlineStr">
        <is>
          <t>Sri Balaji Gears</t>
        </is>
      </c>
      <c r="C430" t="inlineStr">
        <is>
          <t>NOS</t>
        </is>
      </c>
      <c r="D430" t="n">
        <v>1158</v>
      </c>
      <c r="E430" t="n">
        <v>115.798</v>
      </c>
      <c r="F430" t="n">
        <v>3931834</v>
      </c>
      <c r="G430" t="inlineStr">
        <is>
          <t>19-19-1-CRFH-PE</t>
        </is>
      </c>
      <c r="H430" t="n">
        <v>63.111</v>
      </c>
      <c r="I430" t="inlineStr">
        <is>
          <t>CUT-R-AW-AUT-19.00X19.00X1.000X0.1000</t>
        </is>
      </c>
      <c r="J430" t="inlineStr">
        <is>
          <t>TVS</t>
        </is>
      </c>
      <c r="K430" t="inlineStr">
        <is>
          <t>19-19-1-CRFH-PE-0.1</t>
        </is>
      </c>
    </row>
    <row r="431">
      <c r="A431" t="inlineStr">
        <is>
          <t>0000188595</t>
        </is>
      </c>
      <c r="B431" t="inlineStr">
        <is>
          <t>Sri Balaji Gears</t>
        </is>
      </c>
      <c r="C431" t="inlineStr">
        <is>
          <t>NOS</t>
        </is>
      </c>
      <c r="D431" t="n">
        <v>842</v>
      </c>
      <c r="E431" t="n">
        <v>84.19799999999999</v>
      </c>
      <c r="F431" t="n">
        <v>3931834</v>
      </c>
      <c r="G431" t="inlineStr">
        <is>
          <t>19-19-1-CRFH-PE</t>
        </is>
      </c>
      <c r="H431" t="n">
        <v>45.889</v>
      </c>
      <c r="I431" t="inlineStr">
        <is>
          <t>CUT-R-AW-AUT-19.00X19.00X1.000X0.1000</t>
        </is>
      </c>
      <c r="J431" t="inlineStr">
        <is>
          <t>TVS</t>
        </is>
      </c>
      <c r="K431" t="inlineStr">
        <is>
          <t>19-19-1-CRFH-PE-0.1</t>
        </is>
      </c>
    </row>
    <row r="432">
      <c r="A432" t="inlineStr">
        <is>
          <t>0000188595</t>
        </is>
      </c>
      <c r="B432" t="inlineStr">
        <is>
          <t>Sri Balaji Gears</t>
        </is>
      </c>
      <c r="C432" t="inlineStr">
        <is>
          <t>NOS</t>
        </is>
      </c>
      <c r="D432" t="n">
        <v>2000</v>
      </c>
      <c r="E432" t="n">
        <v>199.996</v>
      </c>
      <c r="F432" t="n">
        <v>3931834</v>
      </c>
      <c r="G432" t="inlineStr">
        <is>
          <t>19-19-1-CRFH-PE</t>
        </is>
      </c>
      <c r="H432" t="n">
        <v>109</v>
      </c>
      <c r="I432" t="inlineStr">
        <is>
          <t>CUT-R-AW-AUT-19.00X19.00X1.000X0.1000</t>
        </is>
      </c>
      <c r="J432" t="inlineStr">
        <is>
          <t>TVS</t>
        </is>
      </c>
      <c r="K432" t="inlineStr">
        <is>
          <t>19-19-1-CRFH-PE-0.1</t>
        </is>
      </c>
    </row>
    <row r="433">
      <c r="A433" t="inlineStr">
        <is>
          <t>0000188595</t>
        </is>
      </c>
      <c r="B433" t="inlineStr">
        <is>
          <t>Sri Balaji Gears</t>
        </is>
      </c>
      <c r="C433" t="inlineStr">
        <is>
          <t>NOS</t>
        </is>
      </c>
      <c r="D433" t="n">
        <v>1000</v>
      </c>
      <c r="E433" t="n">
        <v>150</v>
      </c>
      <c r="F433" t="n">
        <v>4104140</v>
      </c>
      <c r="G433" t="inlineStr">
        <is>
          <t>15.88-0-1.2-ERW 1-PE</t>
        </is>
      </c>
      <c r="H433" t="n">
        <v>65.167</v>
      </c>
      <c r="I433" t="inlineStr">
        <is>
          <t>TUB-O-N-AUT-AW-PE-15.88X1.220X0.1500</t>
        </is>
      </c>
      <c r="J433" t="inlineStr">
        <is>
          <t>TVS</t>
        </is>
      </c>
      <c r="K433" t="inlineStr">
        <is>
          <t>15.88-0-1.2-ERW 1-PE-0.15</t>
        </is>
      </c>
    </row>
    <row r="434">
      <c r="A434" t="inlineStr">
        <is>
          <t>0000188595</t>
        </is>
      </c>
      <c r="B434" t="inlineStr">
        <is>
          <t>Sri Balaji Gears</t>
        </is>
      </c>
      <c r="C434" t="inlineStr">
        <is>
          <t>NOS</t>
        </is>
      </c>
      <c r="D434" t="n">
        <v>1000</v>
      </c>
      <c r="E434" t="n">
        <v>150</v>
      </c>
      <c r="F434" t="n">
        <v>4104140</v>
      </c>
      <c r="G434" t="inlineStr">
        <is>
          <t>15.88-0-1.2-ERW 1-PE</t>
        </is>
      </c>
      <c r="H434" t="n">
        <v>65.167</v>
      </c>
      <c r="I434" t="inlineStr">
        <is>
          <t>TUB-O-N-AUT-AW-PE-15.88X1.220X0.1500</t>
        </is>
      </c>
      <c r="J434" t="inlineStr">
        <is>
          <t>TVS</t>
        </is>
      </c>
      <c r="K434" t="inlineStr">
        <is>
          <t>15.88-0-1.2-ERW 1-PE-0.15</t>
        </is>
      </c>
    </row>
    <row r="435">
      <c r="A435" t="inlineStr">
        <is>
          <t>0000188595</t>
        </is>
      </c>
      <c r="B435" t="inlineStr">
        <is>
          <t>Sri Balaji Gears</t>
        </is>
      </c>
      <c r="C435" t="inlineStr">
        <is>
          <t>NOS</t>
        </is>
      </c>
      <c r="D435" t="n">
        <v>4000</v>
      </c>
      <c r="E435" t="n">
        <v>600</v>
      </c>
      <c r="F435" t="n">
        <v>4104140</v>
      </c>
      <c r="G435" t="inlineStr">
        <is>
          <t>15.88-0-1.2-ERW 1-PE</t>
        </is>
      </c>
      <c r="H435" t="n">
        <v>260.667</v>
      </c>
      <c r="I435" t="inlineStr">
        <is>
          <t>TUB-O-N-AUT-AW-PE-15.88X1.220X0.1500</t>
        </is>
      </c>
      <c r="J435" t="inlineStr">
        <is>
          <t>TVS</t>
        </is>
      </c>
      <c r="K435" t="inlineStr">
        <is>
          <t>15.88-0-1.2-ERW 1-PE-0.15</t>
        </is>
      </c>
    </row>
    <row r="436">
      <c r="A436" t="inlineStr">
        <is>
          <t>0000188595</t>
        </is>
      </c>
      <c r="B436" t="inlineStr">
        <is>
          <t>Sri Balaji Gears</t>
        </is>
      </c>
      <c r="C436" t="inlineStr">
        <is>
          <t>NOS</t>
        </is>
      </c>
      <c r="D436" t="n">
        <v>1000</v>
      </c>
      <c r="E436" t="n">
        <v>150</v>
      </c>
      <c r="F436" t="n">
        <v>4104140</v>
      </c>
      <c r="G436" t="inlineStr">
        <is>
          <t>15.88-0-1.2-ERW 1-PE</t>
        </is>
      </c>
      <c r="H436" t="n">
        <v>65.167</v>
      </c>
      <c r="I436" t="inlineStr">
        <is>
          <t>TUB-O-N-AUT-AW-PE-15.88X1.220X0.1500</t>
        </is>
      </c>
      <c r="J436" t="inlineStr">
        <is>
          <t>TVS</t>
        </is>
      </c>
      <c r="K436" t="inlineStr">
        <is>
          <t>15.88-0-1.2-ERW 1-PE-0.15</t>
        </is>
      </c>
    </row>
    <row r="437">
      <c r="A437" t="inlineStr">
        <is>
          <t>0000188595</t>
        </is>
      </c>
      <c r="B437" t="inlineStr">
        <is>
          <t>Sri Balaji Gears</t>
        </is>
      </c>
      <c r="C437" t="inlineStr">
        <is>
          <t>NOS</t>
        </is>
      </c>
      <c r="D437" t="n">
        <v>1000</v>
      </c>
      <c r="E437" t="n">
        <v>150</v>
      </c>
      <c r="F437" t="n">
        <v>4104140</v>
      </c>
      <c r="G437" t="inlineStr">
        <is>
          <t>15.88-0-1.2-ERW 1-PE</t>
        </is>
      </c>
      <c r="H437" t="n">
        <v>65.167</v>
      </c>
      <c r="I437" t="inlineStr">
        <is>
          <t>TUB-O-N-AUT-AW-PE-15.88X1.220X0.1500</t>
        </is>
      </c>
      <c r="J437" t="inlineStr">
        <is>
          <t>TVS</t>
        </is>
      </c>
      <c r="K437" t="inlineStr">
        <is>
          <t>15.88-0-1.2-ERW 1-PE-0.15</t>
        </is>
      </c>
    </row>
    <row r="438">
      <c r="A438" t="inlineStr">
        <is>
          <t>0000188595</t>
        </is>
      </c>
      <c r="B438" t="inlineStr">
        <is>
          <t>Sri Balaji Gears</t>
        </is>
      </c>
      <c r="C438" t="inlineStr">
        <is>
          <t>NOS</t>
        </is>
      </c>
      <c r="D438" t="n">
        <v>1000</v>
      </c>
      <c r="E438" t="n">
        <v>150</v>
      </c>
      <c r="F438" t="n">
        <v>4104140</v>
      </c>
      <c r="G438" t="inlineStr">
        <is>
          <t>15.88-0-1.2-ERW 1-PE</t>
        </is>
      </c>
      <c r="H438" t="n">
        <v>65.167</v>
      </c>
      <c r="I438" t="inlineStr">
        <is>
          <t>TUB-O-N-AUT-AW-PE-15.88X1.220X0.1500</t>
        </is>
      </c>
      <c r="J438" t="inlineStr">
        <is>
          <t>TVS</t>
        </is>
      </c>
      <c r="K438" t="inlineStr">
        <is>
          <t>15.88-0-1.2-ERW 1-PE-0.15</t>
        </is>
      </c>
    </row>
    <row r="439">
      <c r="A439" t="inlineStr">
        <is>
          <t>0000188595</t>
        </is>
      </c>
      <c r="B439" t="inlineStr">
        <is>
          <t>Sri Balaji Gears</t>
        </is>
      </c>
      <c r="C439" t="inlineStr">
        <is>
          <t>NOS</t>
        </is>
      </c>
      <c r="D439" t="n">
        <v>501</v>
      </c>
      <c r="E439" t="n">
        <v>75.15000000000001</v>
      </c>
      <c r="F439" t="n">
        <v>4104140</v>
      </c>
      <c r="G439" t="inlineStr">
        <is>
          <t>15.88-0-1.2-ERW 1-PE</t>
        </is>
      </c>
      <c r="H439" t="n">
        <v>32.648</v>
      </c>
      <c r="I439" t="inlineStr">
        <is>
          <t>TUB-O-N-AUT-AW-PE-15.88X1.220X0.1500</t>
        </is>
      </c>
      <c r="J439" t="inlineStr">
        <is>
          <t>TVS</t>
        </is>
      </c>
      <c r="K439" t="inlineStr">
        <is>
          <t>15.88-0-1.2-ERW 1-PE-0.15</t>
        </is>
      </c>
    </row>
    <row r="440">
      <c r="A440" t="inlineStr">
        <is>
          <t>0000188595</t>
        </is>
      </c>
      <c r="B440" t="inlineStr">
        <is>
          <t>Sri Balaji Gears</t>
        </is>
      </c>
      <c r="C440" t="inlineStr">
        <is>
          <t>NOS</t>
        </is>
      </c>
      <c r="D440" t="n">
        <v>499</v>
      </c>
      <c r="E440" t="n">
        <v>74.84999999999999</v>
      </c>
      <c r="F440" t="n">
        <v>4104140</v>
      </c>
      <c r="G440" t="inlineStr">
        <is>
          <t>15.88-0-1.2-ERW 1-PE</t>
        </is>
      </c>
      <c r="H440" t="n">
        <v>32.518</v>
      </c>
      <c r="I440" t="inlineStr">
        <is>
          <t>TUB-O-N-AUT-AW-PE-15.88X1.220X0.1500</t>
        </is>
      </c>
      <c r="J440" t="inlineStr">
        <is>
          <t>TVS</t>
        </is>
      </c>
      <c r="K440" t="inlineStr">
        <is>
          <t>15.88-0-1.2-ERW 1-PE-0.15</t>
        </is>
      </c>
    </row>
    <row r="441">
      <c r="A441" t="inlineStr">
        <is>
          <t>0000188595</t>
        </is>
      </c>
      <c r="B441" t="inlineStr">
        <is>
          <t>Sri Balaji Gears</t>
        </is>
      </c>
      <c r="C441" t="inlineStr">
        <is>
          <t>NOS</t>
        </is>
      </c>
      <c r="D441" t="n">
        <v>1000</v>
      </c>
      <c r="E441" t="n">
        <v>150</v>
      </c>
      <c r="F441" t="n">
        <v>4104140</v>
      </c>
      <c r="G441" t="inlineStr">
        <is>
          <t>15.88-0-1.2-ERW 1-PE</t>
        </is>
      </c>
      <c r="H441" t="n">
        <v>65.167</v>
      </c>
      <c r="I441" t="inlineStr">
        <is>
          <t>TUB-O-N-AUT-AW-PE-15.88X1.220X0.1500</t>
        </is>
      </c>
      <c r="J441" t="inlineStr">
        <is>
          <t>TVS</t>
        </is>
      </c>
      <c r="K441" t="inlineStr">
        <is>
          <t>15.88-0-1.2-ERW 1-PE-0.15</t>
        </is>
      </c>
    </row>
    <row r="442">
      <c r="A442" t="inlineStr">
        <is>
          <t>0000188595</t>
        </is>
      </c>
      <c r="B442" t="inlineStr">
        <is>
          <t>Sri Balaji Gears</t>
        </is>
      </c>
      <c r="C442" t="inlineStr">
        <is>
          <t>NOS</t>
        </is>
      </c>
      <c r="D442" t="n">
        <v>428</v>
      </c>
      <c r="E442" t="n">
        <v>49.222</v>
      </c>
      <c r="F442" t="n">
        <v>4151428</v>
      </c>
      <c r="G442" t="inlineStr">
        <is>
          <t>19-19-1-CRFH-PE</t>
        </is>
      </c>
      <c r="H442" t="n">
        <v>26.821</v>
      </c>
      <c r="I442" t="inlineStr">
        <is>
          <t>TUB-S-AW-AUT-19.00X19.00X1.000X0.1150</t>
        </is>
      </c>
      <c r="J442" t="inlineStr">
        <is>
          <t>TVS</t>
        </is>
      </c>
      <c r="K442" t="inlineStr">
        <is>
          <t>19-19-1-CRFH-PE-0.115</t>
        </is>
      </c>
    </row>
    <row r="443">
      <c r="A443" t="inlineStr">
        <is>
          <t>0000188595</t>
        </is>
      </c>
      <c r="B443" t="inlineStr">
        <is>
          <t>Sri Balaji Gears</t>
        </is>
      </c>
      <c r="C443" t="inlineStr">
        <is>
          <t>NOS</t>
        </is>
      </c>
      <c r="D443" t="n">
        <v>501</v>
      </c>
      <c r="E443" t="n">
        <v>57.618</v>
      </c>
      <c r="F443" t="n">
        <v>4151428</v>
      </c>
      <c r="G443" t="inlineStr">
        <is>
          <t>19-19-1-CRFH-PE</t>
        </is>
      </c>
      <c r="H443" t="n">
        <v>31.396</v>
      </c>
      <c r="I443" t="inlineStr">
        <is>
          <t>TUB-S-AW-AUT-19.00X19.00X1.000X0.1150</t>
        </is>
      </c>
      <c r="J443" t="inlineStr">
        <is>
          <t>TVS</t>
        </is>
      </c>
      <c r="K443" t="inlineStr">
        <is>
          <t>19-19-1-CRFH-PE-0.115</t>
        </is>
      </c>
    </row>
    <row r="444">
      <c r="A444" t="inlineStr">
        <is>
          <t>0000188595</t>
        </is>
      </c>
      <c r="B444" t="inlineStr">
        <is>
          <t>Sri Balaji Gears</t>
        </is>
      </c>
      <c r="C444" t="inlineStr">
        <is>
          <t>NOS</t>
        </is>
      </c>
      <c r="D444" t="n">
        <v>45</v>
      </c>
      <c r="E444" t="n">
        <v>5.175</v>
      </c>
      <c r="F444" t="n">
        <v>4151428</v>
      </c>
      <c r="G444" t="inlineStr">
        <is>
          <t>19-19-1-CRFH-PE</t>
        </is>
      </c>
      <c r="H444" t="n">
        <v>2.82</v>
      </c>
      <c r="I444" t="inlineStr">
        <is>
          <t>TUB-S-AW-AUT-19.00X19.00X1.000X0.1150</t>
        </is>
      </c>
      <c r="J444" t="inlineStr">
        <is>
          <t>TVS</t>
        </is>
      </c>
      <c r="K444" t="inlineStr">
        <is>
          <t>19-19-1-CRFH-PE-0.115</t>
        </is>
      </c>
    </row>
    <row r="445">
      <c r="A445" t="inlineStr">
        <is>
          <t>0000188595</t>
        </is>
      </c>
      <c r="B445" t="inlineStr">
        <is>
          <t>Sri Balaji Gears</t>
        </is>
      </c>
      <c r="C445" t="inlineStr">
        <is>
          <t>NOS</t>
        </is>
      </c>
      <c r="D445" t="n">
        <v>26</v>
      </c>
      <c r="E445" t="n">
        <v>2.99</v>
      </c>
      <c r="F445" t="n">
        <v>4151428</v>
      </c>
      <c r="G445" t="inlineStr">
        <is>
          <t>19-19-1-CRFH-PE</t>
        </is>
      </c>
      <c r="H445" t="n">
        <v>1.629</v>
      </c>
      <c r="I445" t="inlineStr">
        <is>
          <t>TUB-S-AW-AUT-19.00X19.00X1.000X0.1150</t>
        </is>
      </c>
      <c r="J445" t="inlineStr">
        <is>
          <t>TVS</t>
        </is>
      </c>
      <c r="K445" t="inlineStr">
        <is>
          <t>19-19-1-CRFH-PE-0.115</t>
        </is>
      </c>
    </row>
    <row r="446">
      <c r="A446" t="inlineStr">
        <is>
          <t>0000188595</t>
        </is>
      </c>
      <c r="B446" t="inlineStr">
        <is>
          <t>Sri Balaji Gears</t>
        </is>
      </c>
      <c r="C446" t="inlineStr">
        <is>
          <t>NOS</t>
        </is>
      </c>
      <c r="D446" t="n">
        <v>1000</v>
      </c>
      <c r="E446" t="n">
        <v>115.006</v>
      </c>
      <c r="F446" t="n">
        <v>4151428</v>
      </c>
      <c r="G446" t="inlineStr">
        <is>
          <t>19-19-1-CRFH-PE</t>
        </is>
      </c>
      <c r="H446" t="n">
        <v>62.667</v>
      </c>
      <c r="I446" t="inlineStr">
        <is>
          <t>TUB-S-AW-AUT-19.00X19.00X1.000X0.1150</t>
        </is>
      </c>
      <c r="J446" t="inlineStr">
        <is>
          <t>TVS</t>
        </is>
      </c>
      <c r="K446" t="inlineStr">
        <is>
          <t>19-19-1-CRFH-PE-0.115</t>
        </is>
      </c>
    </row>
    <row r="447">
      <c r="A447" t="inlineStr">
        <is>
          <t>0000188595</t>
        </is>
      </c>
      <c r="B447" t="inlineStr">
        <is>
          <t>Sri Balaji Gears</t>
        </is>
      </c>
      <c r="C447" t="inlineStr">
        <is>
          <t>NOS</t>
        </is>
      </c>
      <c r="D447" t="n">
        <v>1000</v>
      </c>
      <c r="E447" t="n">
        <v>115.006</v>
      </c>
      <c r="F447" t="n">
        <v>4151428</v>
      </c>
      <c r="G447" t="inlineStr">
        <is>
          <t>19-19-1-CRFH-PE</t>
        </is>
      </c>
      <c r="H447" t="n">
        <v>62.667</v>
      </c>
      <c r="I447" t="inlineStr">
        <is>
          <t>TUB-S-AW-AUT-19.00X19.00X1.000X0.1150</t>
        </is>
      </c>
      <c r="J447" t="inlineStr">
        <is>
          <t>TVS</t>
        </is>
      </c>
      <c r="K447" t="inlineStr">
        <is>
          <t>19-19-1-CRFH-PE-0.115</t>
        </is>
      </c>
    </row>
    <row r="448">
      <c r="A448" t="inlineStr">
        <is>
          <t>0000188595</t>
        </is>
      </c>
      <c r="B448" t="inlineStr">
        <is>
          <t>Sri Balaji Gears</t>
        </is>
      </c>
      <c r="C448" t="inlineStr">
        <is>
          <t>NOS</t>
        </is>
      </c>
      <c r="D448" t="n">
        <v>1000</v>
      </c>
      <c r="E448" t="n">
        <v>115.006</v>
      </c>
      <c r="F448" t="n">
        <v>4151428</v>
      </c>
      <c r="G448" t="inlineStr">
        <is>
          <t>19-19-1-CRFH-PE</t>
        </is>
      </c>
      <c r="H448" t="n">
        <v>62.667</v>
      </c>
      <c r="I448" t="inlineStr">
        <is>
          <t>TUB-S-AW-AUT-19.00X19.00X1.000X0.1150</t>
        </is>
      </c>
      <c r="J448" t="inlineStr">
        <is>
          <t>TVS</t>
        </is>
      </c>
      <c r="K448" t="inlineStr">
        <is>
          <t>19-19-1-CRFH-PE-0.115</t>
        </is>
      </c>
    </row>
    <row r="449">
      <c r="A449" t="inlineStr">
        <is>
          <t>0000189002</t>
        </is>
      </c>
      <c r="B449" t="inlineStr">
        <is>
          <t>Marathwada Auto Compo Pvt. Ltd.</t>
        </is>
      </c>
      <c r="C449" t="inlineStr">
        <is>
          <t>NOS</t>
        </is>
      </c>
      <c r="D449" t="n">
        <v>1000</v>
      </c>
      <c r="E449" t="n">
        <v>115.006</v>
      </c>
      <c r="F449" t="n">
        <v>4151428</v>
      </c>
      <c r="G449" t="inlineStr">
        <is>
          <t>19-19-1-CRFH-PE</t>
        </is>
      </c>
      <c r="H449" t="n">
        <v>62.667</v>
      </c>
      <c r="I449" t="inlineStr">
        <is>
          <t>TUB-S-AW-AUT-19.00X19.00X1.000X0.1150</t>
        </is>
      </c>
      <c r="J449" t="inlineStr">
        <is>
          <t>TVS</t>
        </is>
      </c>
      <c r="K449" t="inlineStr">
        <is>
          <t>19-19-1-CRFH-PE-0.115</t>
        </is>
      </c>
    </row>
    <row r="450">
      <c r="A450" t="inlineStr">
        <is>
          <t>0000188595</t>
        </is>
      </c>
      <c r="B450" t="inlineStr">
        <is>
          <t>Sri Balaji Gears</t>
        </is>
      </c>
      <c r="C450" t="inlineStr">
        <is>
          <t>NOS</t>
        </is>
      </c>
      <c r="D450" t="n">
        <v>1000</v>
      </c>
      <c r="E450" t="n">
        <v>115.006</v>
      </c>
      <c r="F450" t="n">
        <v>4151428</v>
      </c>
      <c r="G450" t="inlineStr">
        <is>
          <t>19-19-1-CRFH-PE</t>
        </is>
      </c>
      <c r="H450" t="n">
        <v>62.667</v>
      </c>
      <c r="I450" t="inlineStr">
        <is>
          <t>TUB-S-AW-AUT-19.00X19.00X1.000X0.1150</t>
        </is>
      </c>
      <c r="J450" t="inlineStr">
        <is>
          <t>TVS</t>
        </is>
      </c>
      <c r="K450" t="inlineStr">
        <is>
          <t>19-19-1-CRFH-PE-0.115</t>
        </is>
      </c>
    </row>
    <row r="451">
      <c r="A451" t="inlineStr">
        <is>
          <t>0000188595</t>
        </is>
      </c>
      <c r="B451" t="inlineStr">
        <is>
          <t>Sri Balaji Gears</t>
        </is>
      </c>
      <c r="C451" t="inlineStr">
        <is>
          <t>NOS</t>
        </is>
      </c>
      <c r="D451" t="n">
        <v>630</v>
      </c>
      <c r="E451" t="n">
        <v>72.45399999999999</v>
      </c>
      <c r="F451" t="n">
        <v>4151428</v>
      </c>
      <c r="G451" t="inlineStr">
        <is>
          <t>19-19-1-CRFH-PE</t>
        </is>
      </c>
      <c r="H451" t="n">
        <v>39.48</v>
      </c>
      <c r="I451" t="inlineStr">
        <is>
          <t>TUB-S-AW-AUT-19.00X19.00X1.000X0.1150</t>
        </is>
      </c>
      <c r="J451" t="inlineStr">
        <is>
          <t>TVS</t>
        </is>
      </c>
      <c r="K451" t="inlineStr">
        <is>
          <t>19-19-1-CRFH-PE-0.115</t>
        </is>
      </c>
    </row>
    <row r="452">
      <c r="A452" t="inlineStr">
        <is>
          <t>0000188595</t>
        </is>
      </c>
      <c r="B452" t="inlineStr">
        <is>
          <t>Sri Balaji Gears</t>
        </is>
      </c>
      <c r="C452" t="inlineStr">
        <is>
          <t>NOS</t>
        </is>
      </c>
      <c r="D452" t="n">
        <v>370</v>
      </c>
      <c r="E452" t="n">
        <v>42.552</v>
      </c>
      <c r="F452" t="n">
        <v>4151428</v>
      </c>
      <c r="G452" t="inlineStr">
        <is>
          <t>19-19-1-CRFH-PE</t>
        </is>
      </c>
      <c r="H452" t="n">
        <v>23.187</v>
      </c>
      <c r="I452" t="inlineStr">
        <is>
          <t>TUB-S-AW-AUT-19.00X19.00X1.000X0.1150</t>
        </is>
      </c>
      <c r="J452" t="inlineStr">
        <is>
          <t>TVS</t>
        </is>
      </c>
      <c r="K452" t="inlineStr">
        <is>
          <t>19-19-1-CRFH-PE-0.115</t>
        </is>
      </c>
    </row>
    <row r="453">
      <c r="A453" t="inlineStr">
        <is>
          <t>0000944141</t>
        </is>
      </c>
      <c r="B453" t="inlineStr">
        <is>
          <t>SRIKAM HITECH ENGINEERING PRIVATE L</t>
        </is>
      </c>
      <c r="C453" t="inlineStr">
        <is>
          <t>NOS</t>
        </is>
      </c>
      <c r="D453" t="n">
        <v>10738</v>
      </c>
      <c r="E453" t="n">
        <v>4686.088</v>
      </c>
      <c r="F453" t="n">
        <v>3620428</v>
      </c>
      <c r="G453" t="inlineStr">
        <is>
          <t>15.88-0-1.6-ERW 1-PE</t>
        </is>
      </c>
      <c r="H453" t="n">
        <v>2641.548</v>
      </c>
      <c r="I453" t="inlineStr">
        <is>
          <t>TUB-O-N-AUT-AW-PE-15.88X1.600X0.4350</t>
        </is>
      </c>
      <c r="J453" t="inlineStr">
        <is>
          <t>TVS</t>
        </is>
      </c>
      <c r="K453" t="inlineStr">
        <is>
          <t>15.88-0-1.6-ERW 1-PE-0.435</t>
        </is>
      </c>
    </row>
    <row r="454">
      <c r="A454" t="inlineStr">
        <is>
          <t>0000944141</t>
        </is>
      </c>
      <c r="B454" t="inlineStr">
        <is>
          <t>SRIKAM HITECH ENGINEERING PRIVATE L</t>
        </is>
      </c>
      <c r="C454" t="inlineStr">
        <is>
          <t>NOS</t>
        </is>
      </c>
      <c r="D454" t="n">
        <v>5012</v>
      </c>
      <c r="E454" t="n">
        <v>2187.249</v>
      </c>
      <c r="F454" t="n">
        <v>3620428</v>
      </c>
      <c r="G454" t="inlineStr">
        <is>
          <t>15.88-0-1.6-ERW 1-PE</t>
        </is>
      </c>
      <c r="H454" t="n">
        <v>1232.952</v>
      </c>
      <c r="I454" t="inlineStr">
        <is>
          <t>TUB-O-N-AUT-AW-PE-15.88X1.600X0.4350</t>
        </is>
      </c>
      <c r="J454" t="inlineStr">
        <is>
          <t>TVS</t>
        </is>
      </c>
      <c r="K454" t="inlineStr">
        <is>
          <t>15.88-0-1.6-ERW 1-PE-0.435</t>
        </is>
      </c>
    </row>
    <row r="455">
      <c r="A455" t="inlineStr">
        <is>
          <t>0000944141</t>
        </is>
      </c>
      <c r="B455" t="inlineStr">
        <is>
          <t>SRIKAM HITECH ENGINEERING PRIVATE L</t>
        </is>
      </c>
      <c r="C455" t="inlineStr">
        <is>
          <t>NOS</t>
        </is>
      </c>
      <c r="D455" t="n">
        <v>1100</v>
      </c>
      <c r="E455" t="n">
        <v>480.043</v>
      </c>
      <c r="F455" t="n">
        <v>3620428</v>
      </c>
      <c r="G455" t="inlineStr">
        <is>
          <t>15.88-0-1.6-ERW 1-PE</t>
        </is>
      </c>
      <c r="H455" t="n">
        <v>270.6</v>
      </c>
      <c r="I455" t="inlineStr">
        <is>
          <t>TUB-O-N-AUT-AW-PE-15.88X1.600X0.4350</t>
        </is>
      </c>
      <c r="J455" t="inlineStr">
        <is>
          <t>TVS</t>
        </is>
      </c>
      <c r="K455" t="inlineStr">
        <is>
          <t>15.88-0-1.6-ERW 1-PE-0.435</t>
        </is>
      </c>
    </row>
    <row r="456">
      <c r="A456" t="inlineStr">
        <is>
          <t>0000188595</t>
        </is>
      </c>
      <c r="B456" t="inlineStr">
        <is>
          <t>Sri Balaji Gears</t>
        </is>
      </c>
      <c r="C456" t="inlineStr">
        <is>
          <t>NOS</t>
        </is>
      </c>
      <c r="D456" t="n">
        <v>228</v>
      </c>
      <c r="E456" t="n">
        <v>219.562</v>
      </c>
      <c r="F456" t="n">
        <v>4151427</v>
      </c>
      <c r="G456" t="inlineStr">
        <is>
          <t>19-19-1-CRFH-PE</t>
        </is>
      </c>
      <c r="H456" t="n">
        <v>119.639</v>
      </c>
      <c r="I456" t="inlineStr">
        <is>
          <t>TUB-S-AW-AUT-19.00X19.00X1.000X0.9630</t>
        </is>
      </c>
      <c r="J456" t="inlineStr">
        <is>
          <t>TVS</t>
        </is>
      </c>
      <c r="K456" t="inlineStr">
        <is>
          <t>19-19-1-CRFH-PE-0.963</t>
        </is>
      </c>
    </row>
    <row r="457">
      <c r="A457" t="inlineStr">
        <is>
          <t>0000188595</t>
        </is>
      </c>
      <c r="B457" t="inlineStr">
        <is>
          <t>Sri Balaji Gears</t>
        </is>
      </c>
      <c r="C457" t="inlineStr">
        <is>
          <t>NOS</t>
        </is>
      </c>
      <c r="D457" t="n">
        <v>398</v>
      </c>
      <c r="E457" t="n">
        <v>383.27</v>
      </c>
      <c r="F457" t="n">
        <v>4151427</v>
      </c>
      <c r="G457" t="inlineStr">
        <is>
          <t>19-19-1-CRFH-PE</t>
        </is>
      </c>
      <c r="H457" t="n">
        <v>208.844</v>
      </c>
      <c r="I457" t="inlineStr">
        <is>
          <t>TUB-S-AW-AUT-19.00X19.00X1.000X0.9630</t>
        </is>
      </c>
      <c r="J457" t="inlineStr">
        <is>
          <t>TVS</t>
        </is>
      </c>
      <c r="K457" t="inlineStr">
        <is>
          <t>19-19-1-CRFH-PE-0.963</t>
        </is>
      </c>
    </row>
    <row r="458">
      <c r="A458" t="inlineStr">
        <is>
          <t>0000188595</t>
        </is>
      </c>
      <c r="B458" t="inlineStr">
        <is>
          <t>Sri Balaji Gears</t>
        </is>
      </c>
      <c r="C458" t="inlineStr">
        <is>
          <t>NOS</t>
        </is>
      </c>
      <c r="D458" t="n">
        <v>350</v>
      </c>
      <c r="E458" t="n">
        <v>337.047</v>
      </c>
      <c r="F458" t="n">
        <v>4151427</v>
      </c>
      <c r="G458" t="inlineStr">
        <is>
          <t>19-19-1-CRFH-PE</t>
        </is>
      </c>
      <c r="H458" t="n">
        <v>183.657</v>
      </c>
      <c r="I458" t="inlineStr">
        <is>
          <t>TUB-S-AW-AUT-19.00X19.00X1.000X0.9630</t>
        </is>
      </c>
      <c r="J458" t="inlineStr">
        <is>
          <t>TVS</t>
        </is>
      </c>
      <c r="K458" t="inlineStr">
        <is>
          <t>19-19-1-CRFH-PE-0.963</t>
        </is>
      </c>
    </row>
    <row r="459">
      <c r="A459" t="inlineStr">
        <is>
          <t>0000188595</t>
        </is>
      </c>
      <c r="B459" t="inlineStr">
        <is>
          <t>Sri Balaji Gears</t>
        </is>
      </c>
      <c r="C459" t="inlineStr">
        <is>
          <t>NOS</t>
        </is>
      </c>
      <c r="D459" t="n">
        <v>24</v>
      </c>
      <c r="E459" t="n">
        <v>23.112</v>
      </c>
      <c r="F459" t="n">
        <v>4151427</v>
      </c>
      <c r="G459" t="inlineStr">
        <is>
          <t>19-19-1-CRFH-PE</t>
        </is>
      </c>
      <c r="H459" t="n">
        <v>12.594</v>
      </c>
      <c r="I459" t="inlineStr">
        <is>
          <t>TUB-S-AW-AUT-19.00X19.00X1.000X0.9630</t>
        </is>
      </c>
      <c r="J459" t="inlineStr">
        <is>
          <t>TVS</t>
        </is>
      </c>
      <c r="K459" t="inlineStr">
        <is>
          <t>19-19-1-CRFH-PE-0.963</t>
        </is>
      </c>
    </row>
    <row r="460">
      <c r="A460" t="inlineStr">
        <is>
          <t>0000188595</t>
        </is>
      </c>
      <c r="B460" t="inlineStr">
        <is>
          <t>Sri Balaji Gears</t>
        </is>
      </c>
      <c r="C460" t="inlineStr">
        <is>
          <t>NOS</t>
        </is>
      </c>
      <c r="D460" t="n">
        <v>1000</v>
      </c>
      <c r="E460" t="n">
        <v>962.99</v>
      </c>
      <c r="F460" t="n">
        <v>4151427</v>
      </c>
      <c r="G460" t="inlineStr">
        <is>
          <t>19-19-1-CRFH-PE</t>
        </is>
      </c>
      <c r="H460" t="n">
        <v>524.7329999999999</v>
      </c>
      <c r="I460" t="inlineStr">
        <is>
          <t>TUB-S-AW-AUT-19.00X19.00X1.000X0.9630</t>
        </is>
      </c>
      <c r="J460" t="inlineStr">
        <is>
          <t>TVS</t>
        </is>
      </c>
      <c r="K460" t="inlineStr">
        <is>
          <t>19-19-1-CRFH-PE-0.963</t>
        </is>
      </c>
    </row>
    <row r="461">
      <c r="A461" t="inlineStr">
        <is>
          <t>0000188595</t>
        </is>
      </c>
      <c r="B461" t="inlineStr">
        <is>
          <t>Sri Balaji Gears</t>
        </is>
      </c>
      <c r="C461" t="inlineStr">
        <is>
          <t>NOS</t>
        </is>
      </c>
      <c r="D461" t="n">
        <v>1000</v>
      </c>
      <c r="E461" t="n">
        <v>962.99</v>
      </c>
      <c r="F461" t="n">
        <v>4151427</v>
      </c>
      <c r="G461" t="inlineStr">
        <is>
          <t>19-19-1-CRFH-PE</t>
        </is>
      </c>
      <c r="H461" t="n">
        <v>524.7329999999999</v>
      </c>
      <c r="I461" t="inlineStr">
        <is>
          <t>TUB-S-AW-AUT-19.00X19.00X1.000X0.9630</t>
        </is>
      </c>
      <c r="J461" t="inlineStr">
        <is>
          <t>TVS</t>
        </is>
      </c>
      <c r="K461" t="inlineStr">
        <is>
          <t>19-19-1-CRFH-PE-0.963</t>
        </is>
      </c>
    </row>
    <row r="462">
      <c r="A462" t="inlineStr">
        <is>
          <t>0000188595</t>
        </is>
      </c>
      <c r="B462" t="inlineStr">
        <is>
          <t>Sri Balaji Gears</t>
        </is>
      </c>
      <c r="C462" t="inlineStr">
        <is>
          <t>NOS</t>
        </is>
      </c>
      <c r="D462" t="n">
        <v>1000</v>
      </c>
      <c r="E462" t="n">
        <v>962.99</v>
      </c>
      <c r="F462" t="n">
        <v>4151427</v>
      </c>
      <c r="G462" t="inlineStr">
        <is>
          <t>19-19-1-CRFH-PE</t>
        </is>
      </c>
      <c r="H462" t="n">
        <v>524.7329999999999</v>
      </c>
      <c r="I462" t="inlineStr">
        <is>
          <t>TUB-S-AW-AUT-19.00X19.00X1.000X0.9630</t>
        </is>
      </c>
      <c r="J462" t="inlineStr">
        <is>
          <t>TVS</t>
        </is>
      </c>
      <c r="K462" t="inlineStr">
        <is>
          <t>19-19-1-CRFH-PE-0.963</t>
        </is>
      </c>
    </row>
    <row r="463">
      <c r="A463" t="inlineStr">
        <is>
          <t>0000189002</t>
        </is>
      </c>
      <c r="B463" t="inlineStr">
        <is>
          <t>Marathwada Auto Compo Pvt. Ltd.</t>
        </is>
      </c>
      <c r="C463" t="inlineStr">
        <is>
          <t>NOS</t>
        </is>
      </c>
      <c r="D463" t="n">
        <v>1000</v>
      </c>
      <c r="E463" t="n">
        <v>962.99</v>
      </c>
      <c r="F463" t="n">
        <v>4151427</v>
      </c>
      <c r="G463" t="inlineStr">
        <is>
          <t>19-19-1-CRFH-PE</t>
        </is>
      </c>
      <c r="H463" t="n">
        <v>524.7329999999999</v>
      </c>
      <c r="I463" t="inlineStr">
        <is>
          <t>TUB-S-AW-AUT-19.00X19.00X1.000X0.9630</t>
        </is>
      </c>
      <c r="J463" t="inlineStr">
        <is>
          <t>TVS</t>
        </is>
      </c>
      <c r="K463" t="inlineStr">
        <is>
          <t>19-19-1-CRFH-PE-0.963</t>
        </is>
      </c>
    </row>
    <row r="464">
      <c r="A464" t="inlineStr">
        <is>
          <t>0000188595</t>
        </is>
      </c>
      <c r="B464" t="inlineStr">
        <is>
          <t>Sri Balaji Gears</t>
        </is>
      </c>
      <c r="C464" t="inlineStr">
        <is>
          <t>NOS</t>
        </is>
      </c>
      <c r="D464" t="n">
        <v>1000</v>
      </c>
      <c r="E464" t="n">
        <v>962.99</v>
      </c>
      <c r="F464" t="n">
        <v>4151427</v>
      </c>
      <c r="G464" t="inlineStr">
        <is>
          <t>19-19-1-CRFH-PE</t>
        </is>
      </c>
      <c r="H464" t="n">
        <v>524.7329999999999</v>
      </c>
      <c r="I464" t="inlineStr">
        <is>
          <t>TUB-S-AW-AUT-19.00X19.00X1.000X0.9630</t>
        </is>
      </c>
      <c r="J464" t="inlineStr">
        <is>
          <t>TVS</t>
        </is>
      </c>
      <c r="K464" t="inlineStr">
        <is>
          <t>19-19-1-CRFH-PE-0.963</t>
        </is>
      </c>
    </row>
    <row r="465">
      <c r="A465" t="inlineStr">
        <is>
          <t>0000188595</t>
        </is>
      </c>
      <c r="B465" t="inlineStr">
        <is>
          <t>Sri Balaji Gears</t>
        </is>
      </c>
      <c r="C465" t="inlineStr">
        <is>
          <t>NOS</t>
        </is>
      </c>
      <c r="D465" t="n">
        <v>1000</v>
      </c>
      <c r="E465" t="n">
        <v>962.99</v>
      </c>
      <c r="F465" t="n">
        <v>4151427</v>
      </c>
      <c r="G465" t="inlineStr">
        <is>
          <t>19-19-1-CRFH-PE</t>
        </is>
      </c>
      <c r="H465" t="n">
        <v>524.7329999999999</v>
      </c>
      <c r="I465" t="inlineStr">
        <is>
          <t>TUB-S-AW-AUT-19.00X19.00X1.000X0.9630</t>
        </is>
      </c>
      <c r="J465" t="inlineStr">
        <is>
          <t>TVS</t>
        </is>
      </c>
      <c r="K465" t="inlineStr">
        <is>
          <t>19-19-1-CRFH-PE-0.963</t>
        </is>
      </c>
    </row>
    <row r="466">
      <c r="A466" t="inlineStr">
        <is>
          <t>0000188595</t>
        </is>
      </c>
      <c r="B466" t="inlineStr">
        <is>
          <t>Sri Balaji Gears</t>
        </is>
      </c>
      <c r="C466" t="inlineStr">
        <is>
          <t>NOS</t>
        </is>
      </c>
      <c r="D466" t="n">
        <v>1000</v>
      </c>
      <c r="E466" t="n">
        <v>755.001</v>
      </c>
      <c r="F466" t="n">
        <v>4151426</v>
      </c>
      <c r="G466" t="inlineStr">
        <is>
          <t>19-19-1-CRFH-PE</t>
        </is>
      </c>
      <c r="H466" t="n">
        <v>411.4</v>
      </c>
      <c r="I466" t="inlineStr">
        <is>
          <t>TUB-S-AW-AUT-19.00X19.00X1.000X0.7550</t>
        </is>
      </c>
      <c r="J466" t="inlineStr">
        <is>
          <t>TVS</t>
        </is>
      </c>
      <c r="K466" t="inlineStr">
        <is>
          <t>19-19-1-CRFH-PE-0.755</t>
        </is>
      </c>
    </row>
    <row r="467">
      <c r="A467" t="inlineStr">
        <is>
          <t>0000188595</t>
        </is>
      </c>
      <c r="B467" t="inlineStr">
        <is>
          <t>Sri Balaji Gears</t>
        </is>
      </c>
      <c r="C467" t="inlineStr">
        <is>
          <t>NOS</t>
        </is>
      </c>
      <c r="D467" t="n">
        <v>999</v>
      </c>
      <c r="E467" t="n">
        <v>754.246</v>
      </c>
      <c r="F467" t="n">
        <v>4151426</v>
      </c>
      <c r="G467" t="inlineStr">
        <is>
          <t>19-19-1-CRFH-PE</t>
        </is>
      </c>
      <c r="H467" t="n">
        <v>410.989</v>
      </c>
      <c r="I467" t="inlineStr">
        <is>
          <t>TUB-S-AW-AUT-19.00X19.00X1.000X0.7550</t>
        </is>
      </c>
      <c r="J467" t="inlineStr">
        <is>
          <t>TVS</t>
        </is>
      </c>
      <c r="K467" t="inlineStr">
        <is>
          <t>19-19-1-CRFH-PE-0.755</t>
        </is>
      </c>
    </row>
    <row r="468">
      <c r="A468" t="inlineStr">
        <is>
          <t>0000188595</t>
        </is>
      </c>
      <c r="B468" t="inlineStr">
        <is>
          <t>Sri Balaji Gears</t>
        </is>
      </c>
      <c r="C468" t="inlineStr">
        <is>
          <t>NOS</t>
        </is>
      </c>
      <c r="D468" t="n">
        <v>1</v>
      </c>
      <c r="E468" t="n">
        <v>0.755</v>
      </c>
      <c r="F468" t="n">
        <v>4151426</v>
      </c>
      <c r="G468" t="inlineStr">
        <is>
          <t>19-19-1-CRFH-PE</t>
        </is>
      </c>
      <c r="H468" t="n">
        <v>0.411</v>
      </c>
      <c r="I468" t="inlineStr">
        <is>
          <t>TUB-S-AW-AUT-19.00X19.00X1.000X0.7550</t>
        </is>
      </c>
      <c r="J468" t="inlineStr">
        <is>
          <t>TVS</t>
        </is>
      </c>
      <c r="K468" t="inlineStr">
        <is>
          <t>19-19-1-CRFH-PE-0.755</t>
        </is>
      </c>
    </row>
    <row r="469">
      <c r="A469" t="inlineStr">
        <is>
          <t>0000188595</t>
        </is>
      </c>
      <c r="B469" t="inlineStr">
        <is>
          <t>Sri Balaji Gears</t>
        </is>
      </c>
      <c r="C469" t="inlineStr">
        <is>
          <t>NOS</t>
        </is>
      </c>
      <c r="D469" t="n">
        <v>1000</v>
      </c>
      <c r="E469" t="n">
        <v>755.001</v>
      </c>
      <c r="F469" t="n">
        <v>4151426</v>
      </c>
      <c r="G469" t="inlineStr">
        <is>
          <t>19-19-1-CRFH-PE</t>
        </is>
      </c>
      <c r="H469" t="n">
        <v>411.4</v>
      </c>
      <c r="I469" t="inlineStr">
        <is>
          <t>TUB-S-AW-AUT-19.00X19.00X1.000X0.7550</t>
        </is>
      </c>
      <c r="J469" t="inlineStr">
        <is>
          <t>TVS</t>
        </is>
      </c>
      <c r="K469" t="inlineStr">
        <is>
          <t>19-19-1-CRFH-PE-0.755</t>
        </is>
      </c>
    </row>
    <row r="470">
      <c r="A470" t="inlineStr">
        <is>
          <t>0000188595</t>
        </is>
      </c>
      <c r="B470" t="inlineStr">
        <is>
          <t>Sri Balaji Gears</t>
        </is>
      </c>
      <c r="C470" t="inlineStr">
        <is>
          <t>NOS</t>
        </is>
      </c>
      <c r="D470" t="n">
        <v>1000</v>
      </c>
      <c r="E470" t="n">
        <v>755.001</v>
      </c>
      <c r="F470" t="n">
        <v>4151426</v>
      </c>
      <c r="G470" t="inlineStr">
        <is>
          <t>19-19-1-CRFH-PE</t>
        </is>
      </c>
      <c r="H470" t="n">
        <v>411.4</v>
      </c>
      <c r="I470" t="inlineStr">
        <is>
          <t>TUB-S-AW-AUT-19.00X19.00X1.000X0.7550</t>
        </is>
      </c>
      <c r="J470" t="inlineStr">
        <is>
          <t>TVS</t>
        </is>
      </c>
      <c r="K470" t="inlineStr">
        <is>
          <t>19-19-1-CRFH-PE-0.755</t>
        </is>
      </c>
    </row>
    <row r="471">
      <c r="A471" t="inlineStr">
        <is>
          <t>0000189002</t>
        </is>
      </c>
      <c r="B471" t="inlineStr">
        <is>
          <t>Marathwada Auto Compo Pvt. Ltd.</t>
        </is>
      </c>
      <c r="C471" t="inlineStr">
        <is>
          <t>NOS</t>
        </is>
      </c>
      <c r="D471" t="n">
        <v>1000</v>
      </c>
      <c r="E471" t="n">
        <v>755.001</v>
      </c>
      <c r="F471" t="n">
        <v>4151426</v>
      </c>
      <c r="G471" t="inlineStr">
        <is>
          <t>19-19-1-CRFH-PE</t>
        </is>
      </c>
      <c r="H471" t="n">
        <v>411.4</v>
      </c>
      <c r="I471" t="inlineStr">
        <is>
          <t>TUB-S-AW-AUT-19.00X19.00X1.000X0.7550</t>
        </is>
      </c>
      <c r="J471" t="inlineStr">
        <is>
          <t>TVS</t>
        </is>
      </c>
      <c r="K471" t="inlineStr">
        <is>
          <t>19-19-1-CRFH-PE-0.755</t>
        </is>
      </c>
    </row>
    <row r="472">
      <c r="A472" t="inlineStr">
        <is>
          <t>0000188595</t>
        </is>
      </c>
      <c r="B472" t="inlineStr">
        <is>
          <t>Sri Balaji Gears</t>
        </is>
      </c>
      <c r="C472" t="inlineStr">
        <is>
          <t>NOS</t>
        </is>
      </c>
      <c r="D472" t="n">
        <v>1000</v>
      </c>
      <c r="E472" t="n">
        <v>755.001</v>
      </c>
      <c r="F472" t="n">
        <v>4151426</v>
      </c>
      <c r="G472" t="inlineStr">
        <is>
          <t>19-19-1-CRFH-PE</t>
        </is>
      </c>
      <c r="H472" t="n">
        <v>411.4</v>
      </c>
      <c r="I472" t="inlineStr">
        <is>
          <t>TUB-S-AW-AUT-19.00X19.00X1.000X0.7550</t>
        </is>
      </c>
      <c r="J472" t="inlineStr">
        <is>
          <t>TVS</t>
        </is>
      </c>
      <c r="K472" t="inlineStr">
        <is>
          <t>19-19-1-CRFH-PE-0.755</t>
        </is>
      </c>
    </row>
    <row r="473">
      <c r="A473" t="inlineStr">
        <is>
          <t>0000188595</t>
        </is>
      </c>
      <c r="B473" t="inlineStr">
        <is>
          <t>Sri Balaji Gears</t>
        </is>
      </c>
      <c r="C473" t="inlineStr">
        <is>
          <t>NOS</t>
        </is>
      </c>
      <c r="D473" t="n">
        <v>1000</v>
      </c>
      <c r="E473" t="n">
        <v>755.001</v>
      </c>
      <c r="F473" t="n">
        <v>4151426</v>
      </c>
      <c r="G473" t="inlineStr">
        <is>
          <t>19-19-1-CRFH-PE</t>
        </is>
      </c>
      <c r="H473" t="n">
        <v>411.4</v>
      </c>
      <c r="I473" t="inlineStr">
        <is>
          <t>TUB-S-AW-AUT-19.00X19.00X1.000X0.7550</t>
        </is>
      </c>
      <c r="J473" t="inlineStr">
        <is>
          <t>TVS</t>
        </is>
      </c>
      <c r="K473" t="inlineStr">
        <is>
          <t>19-19-1-CRFH-PE-0.755</t>
        </is>
      </c>
    </row>
    <row r="474">
      <c r="A474" t="inlineStr">
        <is>
          <t>0000189002</t>
        </is>
      </c>
      <c r="B474" t="inlineStr">
        <is>
          <t>Marathwada Auto Compo Pvt. Ltd.</t>
        </is>
      </c>
      <c r="C474" t="inlineStr">
        <is>
          <t>M</t>
        </is>
      </c>
      <c r="D474" t="n">
        <v>350</v>
      </c>
      <c r="E474" t="n">
        <v>2100</v>
      </c>
      <c r="F474" t="n">
        <v>1900224</v>
      </c>
      <c r="G474" t="inlineStr">
        <is>
          <t>15.88-0-1.6-ERW 1-PE</t>
        </is>
      </c>
      <c r="H474" t="n">
        <v>1183.77</v>
      </c>
      <c r="I474" t="inlineStr">
        <is>
          <t>TUB-O-N-AUT-AP-PE-15.88X1.600X6.0000</t>
        </is>
      </c>
      <c r="J474" t="inlineStr">
        <is>
          <t>TVS</t>
        </is>
      </c>
      <c r="K474" t="inlineStr">
        <is>
          <t>15.88-0-1.6-ERW 1-PE-1</t>
        </is>
      </c>
    </row>
    <row r="475">
      <c r="A475" t="inlineStr">
        <is>
          <t>0000188595</t>
        </is>
      </c>
      <c r="B475" t="inlineStr">
        <is>
          <t>Sri Balaji Gears</t>
        </is>
      </c>
      <c r="C475" t="inlineStr">
        <is>
          <t>NOS</t>
        </is>
      </c>
      <c r="D475" t="n">
        <v>1000</v>
      </c>
      <c r="E475" t="n">
        <v>356.11</v>
      </c>
      <c r="F475" t="n">
        <v>3230490</v>
      </c>
      <c r="G475" t="inlineStr">
        <is>
          <t>19-19-1-CRFH-PE</t>
        </is>
      </c>
      <c r="H475" t="n">
        <v>197</v>
      </c>
      <c r="I475" t="inlineStr">
        <is>
          <t>TUB-S-AW-AUT-19.00X19.00X1.000X0.3550</t>
        </is>
      </c>
      <c r="J475" t="inlineStr">
        <is>
          <t>TVS</t>
        </is>
      </c>
      <c r="K475" t="inlineStr">
        <is>
          <t>19-19-1-CRFH-PE-0.355</t>
        </is>
      </c>
    </row>
    <row r="476">
      <c r="A476" t="inlineStr">
        <is>
          <t>0000189002</t>
        </is>
      </c>
      <c r="B476" t="inlineStr">
        <is>
          <t>Marathwada Auto Compo Pvt. Ltd.</t>
        </is>
      </c>
      <c r="C476" t="inlineStr">
        <is>
          <t>NOS</t>
        </is>
      </c>
      <c r="D476" t="n">
        <v>588</v>
      </c>
      <c r="E476" t="n">
        <v>209.393</v>
      </c>
      <c r="F476" t="n">
        <v>3230490</v>
      </c>
      <c r="G476" t="inlineStr">
        <is>
          <t>19-19-1-CRFH-PE</t>
        </is>
      </c>
      <c r="H476" t="n">
        <v>115.836</v>
      </c>
      <c r="I476" t="inlineStr">
        <is>
          <t>TUB-S-AW-AUT-19.00X19.00X1.000X0.3550</t>
        </is>
      </c>
      <c r="J476" t="inlineStr">
        <is>
          <t>TVS</t>
        </is>
      </c>
      <c r="K476" t="inlineStr">
        <is>
          <t>19-19-1-CRFH-PE-0.355</t>
        </is>
      </c>
    </row>
    <row r="477">
      <c r="A477" t="inlineStr">
        <is>
          <t>0000189002</t>
        </is>
      </c>
      <c r="B477" t="inlineStr">
        <is>
          <t>Marathwada Auto Compo Pvt. Ltd.</t>
        </is>
      </c>
      <c r="C477" t="inlineStr">
        <is>
          <t>NOS</t>
        </is>
      </c>
      <c r="D477" t="n">
        <v>412</v>
      </c>
      <c r="E477" t="n">
        <v>146.717</v>
      </c>
      <c r="F477" t="n">
        <v>3230490</v>
      </c>
      <c r="G477" t="inlineStr">
        <is>
          <t>19-19-1-CRFH-PE</t>
        </is>
      </c>
      <c r="H477" t="n">
        <v>81.164</v>
      </c>
      <c r="I477" t="inlineStr">
        <is>
          <t>TUB-S-AW-AUT-19.00X19.00X1.000X0.3550</t>
        </is>
      </c>
      <c r="J477" t="inlineStr">
        <is>
          <t>TVS</t>
        </is>
      </c>
      <c r="K477" t="inlineStr">
        <is>
          <t>19-19-1-CRFH-PE-0.355</t>
        </is>
      </c>
    </row>
    <row r="478">
      <c r="A478" t="inlineStr">
        <is>
          <t>0000189002</t>
        </is>
      </c>
      <c r="B478" t="inlineStr">
        <is>
          <t>Marathwada Auto Compo Pvt. Ltd.</t>
        </is>
      </c>
      <c r="C478" t="inlineStr">
        <is>
          <t>NOS</t>
        </is>
      </c>
      <c r="D478" t="n">
        <v>1000</v>
      </c>
      <c r="E478" t="n">
        <v>356.11</v>
      </c>
      <c r="F478" t="n">
        <v>3230490</v>
      </c>
      <c r="G478" t="inlineStr">
        <is>
          <t>19-19-1-CRFH-PE</t>
        </is>
      </c>
      <c r="H478" t="n">
        <v>197</v>
      </c>
      <c r="I478" t="inlineStr">
        <is>
          <t>TUB-S-AW-AUT-19.00X19.00X1.000X0.3550</t>
        </is>
      </c>
      <c r="J478" t="inlineStr">
        <is>
          <t>TVS</t>
        </is>
      </c>
      <c r="K478" t="inlineStr">
        <is>
          <t>19-19-1-CRFH-PE-0.355</t>
        </is>
      </c>
    </row>
    <row r="479">
      <c r="A479" t="inlineStr">
        <is>
          <t>0000188595</t>
        </is>
      </c>
      <c r="B479" t="inlineStr">
        <is>
          <t>Sri Balaji Gears</t>
        </is>
      </c>
      <c r="C479" t="inlineStr">
        <is>
          <t>NOS</t>
        </is>
      </c>
      <c r="D479" t="n">
        <v>1000</v>
      </c>
      <c r="E479" t="n">
        <v>356.11</v>
      </c>
      <c r="F479" t="n">
        <v>3230490</v>
      </c>
      <c r="G479" t="inlineStr">
        <is>
          <t>19-19-1-CRFH-PE</t>
        </is>
      </c>
      <c r="H479" t="n">
        <v>197</v>
      </c>
      <c r="I479" t="inlineStr">
        <is>
          <t>TUB-S-AW-AUT-19.00X19.00X1.000X0.3550</t>
        </is>
      </c>
      <c r="J479" t="inlineStr">
        <is>
          <t>TVS</t>
        </is>
      </c>
      <c r="K479" t="inlineStr">
        <is>
          <t>19-19-1-CRFH-PE-0.355</t>
        </is>
      </c>
    </row>
    <row r="480">
      <c r="A480" t="inlineStr">
        <is>
          <t>0000189002</t>
        </is>
      </c>
      <c r="B480" t="inlineStr">
        <is>
          <t>Marathwada Auto Compo Pvt. Ltd.</t>
        </is>
      </c>
      <c r="C480" t="inlineStr">
        <is>
          <t>NOS</t>
        </is>
      </c>
      <c r="D480" t="n">
        <v>1000</v>
      </c>
      <c r="E480" t="n">
        <v>356.11</v>
      </c>
      <c r="F480" t="n">
        <v>3230490</v>
      </c>
      <c r="G480" t="inlineStr">
        <is>
          <t>19-19-1-CRFH-PE</t>
        </is>
      </c>
      <c r="H480" t="n">
        <v>197</v>
      </c>
      <c r="I480" t="inlineStr">
        <is>
          <t>TUB-S-AW-AUT-19.00X19.00X1.000X0.3550</t>
        </is>
      </c>
      <c r="J480" t="inlineStr">
        <is>
          <t>TVS</t>
        </is>
      </c>
      <c r="K480" t="inlineStr">
        <is>
          <t>19-19-1-CRFH-PE-0.355</t>
        </is>
      </c>
    </row>
    <row r="481">
      <c r="A481" t="inlineStr">
        <is>
          <t>0000188595</t>
        </is>
      </c>
      <c r="B481" t="inlineStr">
        <is>
          <t>Sri Balaji Gears</t>
        </is>
      </c>
      <c r="C481" t="inlineStr">
        <is>
          <t>NOS</t>
        </is>
      </c>
      <c r="D481" t="n">
        <v>1000</v>
      </c>
      <c r="E481" t="n">
        <v>356.11</v>
      </c>
      <c r="F481" t="n">
        <v>3230490</v>
      </c>
      <c r="G481" t="inlineStr">
        <is>
          <t>19-19-1-CRFH-PE</t>
        </is>
      </c>
      <c r="H481" t="n">
        <v>197</v>
      </c>
      <c r="I481" t="inlineStr">
        <is>
          <t>TUB-S-AW-AUT-19.00X19.00X1.000X0.3550</t>
        </is>
      </c>
      <c r="J481" t="inlineStr">
        <is>
          <t>TVS</t>
        </is>
      </c>
      <c r="K481" t="inlineStr">
        <is>
          <t>19-19-1-CRFH-PE-0.355</t>
        </is>
      </c>
    </row>
    <row r="482">
      <c r="A482" t="inlineStr">
        <is>
          <t>0000189002</t>
        </is>
      </c>
      <c r="B482" t="inlineStr">
        <is>
          <t>Marathwada Auto Compo Pvt. Ltd.</t>
        </is>
      </c>
      <c r="C482" t="inlineStr">
        <is>
          <t>NOS</t>
        </is>
      </c>
      <c r="D482" t="n">
        <v>1000</v>
      </c>
      <c r="E482" t="n">
        <v>356.11</v>
      </c>
      <c r="F482" t="n">
        <v>3230490</v>
      </c>
      <c r="G482" t="inlineStr">
        <is>
          <t>19-19-1-CRFH-PE</t>
        </is>
      </c>
      <c r="H482" t="n">
        <v>197</v>
      </c>
      <c r="I482" t="inlineStr">
        <is>
          <t>TUB-S-AW-AUT-19.00X19.00X1.000X0.3550</t>
        </is>
      </c>
      <c r="J482" t="inlineStr">
        <is>
          <t>TVS</t>
        </is>
      </c>
      <c r="K482" t="inlineStr">
        <is>
          <t>19-19-1-CRFH-PE-0.355</t>
        </is>
      </c>
    </row>
    <row r="483">
      <c r="A483" t="inlineStr">
        <is>
          <t>0000188595</t>
        </is>
      </c>
      <c r="B483" t="inlineStr">
        <is>
          <t>Sri Balaji Gears</t>
        </is>
      </c>
      <c r="C483" t="inlineStr">
        <is>
          <t>NOS</t>
        </is>
      </c>
      <c r="D483" t="n">
        <v>979</v>
      </c>
      <c r="E483" t="n">
        <v>348.632</v>
      </c>
      <c r="F483" t="n">
        <v>3230490</v>
      </c>
      <c r="G483" t="inlineStr">
        <is>
          <t>19-19-1-CRFH-PE</t>
        </is>
      </c>
      <c r="H483" t="n">
        <v>192.863</v>
      </c>
      <c r="I483" t="inlineStr">
        <is>
          <t>TUB-S-AW-AUT-19.00X19.00X1.000X0.3550</t>
        </is>
      </c>
      <c r="J483" t="inlineStr">
        <is>
          <t>TVS</t>
        </is>
      </c>
      <c r="K483" t="inlineStr">
        <is>
          <t>19-19-1-CRFH-PE-0.355</t>
        </is>
      </c>
    </row>
    <row r="484">
      <c r="A484" t="inlineStr">
        <is>
          <t>0000188595</t>
        </is>
      </c>
      <c r="B484" t="inlineStr">
        <is>
          <t>Sri Balaji Gears</t>
        </is>
      </c>
      <c r="C484" t="inlineStr">
        <is>
          <t>NOS</t>
        </is>
      </c>
      <c r="D484" t="n">
        <v>21</v>
      </c>
      <c r="E484" t="n">
        <v>7.478</v>
      </c>
      <c r="F484" t="n">
        <v>3230490</v>
      </c>
      <c r="G484" t="inlineStr">
        <is>
          <t>19-19-1-CRFH-PE</t>
        </is>
      </c>
      <c r="H484" t="n">
        <v>4.137</v>
      </c>
      <c r="I484" t="inlineStr">
        <is>
          <t>TUB-S-AW-AUT-19.00X19.00X1.000X0.3550</t>
        </is>
      </c>
      <c r="J484" t="inlineStr">
        <is>
          <t>TVS</t>
        </is>
      </c>
      <c r="K484" t="inlineStr">
        <is>
          <t>19-19-1-CRFH-PE-0.355</t>
        </is>
      </c>
    </row>
    <row r="485">
      <c r="A485" t="inlineStr">
        <is>
          <t>0000189002</t>
        </is>
      </c>
      <c r="B485" t="inlineStr">
        <is>
          <t>Marathwada Auto Compo Pvt. Ltd.</t>
        </is>
      </c>
      <c r="C485" t="inlineStr">
        <is>
          <t>NOS</t>
        </is>
      </c>
      <c r="D485" t="n">
        <v>1000</v>
      </c>
      <c r="E485" t="n">
        <v>356.11</v>
      </c>
      <c r="F485" t="n">
        <v>3230490</v>
      </c>
      <c r="G485" t="inlineStr">
        <is>
          <t>19-19-1-CRFH-PE</t>
        </is>
      </c>
      <c r="H485" t="n">
        <v>197</v>
      </c>
      <c r="I485" t="inlineStr">
        <is>
          <t>TUB-S-AW-AUT-19.00X19.00X1.000X0.3550</t>
        </is>
      </c>
      <c r="J485" t="inlineStr">
        <is>
          <t>TVS</t>
        </is>
      </c>
      <c r="K485" t="inlineStr">
        <is>
          <t>19-19-1-CRFH-PE-0.355</t>
        </is>
      </c>
    </row>
    <row r="486">
      <c r="A486" t="inlineStr">
        <is>
          <t>0000188595</t>
        </is>
      </c>
      <c r="B486" t="inlineStr">
        <is>
          <t>Sri Balaji Gears</t>
        </is>
      </c>
      <c r="C486" t="inlineStr">
        <is>
          <t>NOS</t>
        </is>
      </c>
      <c r="D486" t="n">
        <v>1000</v>
      </c>
      <c r="E486" t="n">
        <v>356.11</v>
      </c>
      <c r="F486" t="n">
        <v>3230490</v>
      </c>
      <c r="G486" t="inlineStr">
        <is>
          <t>19-19-1-CRFH-PE</t>
        </is>
      </c>
      <c r="H486" t="n">
        <v>197</v>
      </c>
      <c r="I486" t="inlineStr">
        <is>
          <t>TUB-S-AW-AUT-19.00X19.00X1.000X0.3550</t>
        </is>
      </c>
      <c r="J486" t="inlineStr">
        <is>
          <t>TVS</t>
        </is>
      </c>
      <c r="K486" t="inlineStr">
        <is>
          <t>19-19-1-CRFH-PE-0.355</t>
        </is>
      </c>
    </row>
    <row r="487">
      <c r="A487" t="inlineStr">
        <is>
          <t>0000189002</t>
        </is>
      </c>
      <c r="B487" t="inlineStr">
        <is>
          <t>Marathwada Auto Compo Pvt. Ltd.</t>
        </is>
      </c>
      <c r="C487" t="inlineStr">
        <is>
          <t>NOS</t>
        </is>
      </c>
      <c r="D487" t="n">
        <v>1000</v>
      </c>
      <c r="E487" t="n">
        <v>356.11</v>
      </c>
      <c r="F487" t="n">
        <v>3230490</v>
      </c>
      <c r="G487" t="inlineStr">
        <is>
          <t>19-19-1-CRFH-PE</t>
        </is>
      </c>
      <c r="H487" t="n">
        <v>197</v>
      </c>
      <c r="I487" t="inlineStr">
        <is>
          <t>TUB-S-AW-AUT-19.00X19.00X1.000X0.3550</t>
        </is>
      </c>
      <c r="J487" t="inlineStr">
        <is>
          <t>TVS</t>
        </is>
      </c>
      <c r="K487" t="inlineStr">
        <is>
          <t>19-19-1-CRFH-PE-0.355</t>
        </is>
      </c>
    </row>
    <row r="488">
      <c r="A488" t="inlineStr">
        <is>
          <t>0000188595</t>
        </is>
      </c>
      <c r="B488" t="inlineStr">
        <is>
          <t>Sri Balaji Gears</t>
        </is>
      </c>
      <c r="C488" t="inlineStr">
        <is>
          <t>NOS</t>
        </is>
      </c>
      <c r="D488" t="n">
        <v>527</v>
      </c>
      <c r="E488" t="n">
        <v>187.67</v>
      </c>
      <c r="F488" t="n">
        <v>3230490</v>
      </c>
      <c r="G488" t="inlineStr">
        <is>
          <t>19-19-1-CRFH-PE</t>
        </is>
      </c>
      <c r="H488" t="n">
        <v>103.819</v>
      </c>
      <c r="I488" t="inlineStr">
        <is>
          <t>TUB-S-AW-AUT-19.00X19.00X1.000X0.3550</t>
        </is>
      </c>
      <c r="J488" t="inlineStr">
        <is>
          <t>TVS</t>
        </is>
      </c>
      <c r="K488" t="inlineStr">
        <is>
          <t>19-19-1-CRFH-PE-0.355</t>
        </is>
      </c>
    </row>
    <row r="489">
      <c r="A489" t="inlineStr">
        <is>
          <t>0000188595</t>
        </is>
      </c>
      <c r="B489" t="inlineStr">
        <is>
          <t>Sri Balaji Gears</t>
        </is>
      </c>
      <c r="C489" t="inlineStr">
        <is>
          <t>NOS</t>
        </is>
      </c>
      <c r="D489" t="n">
        <v>273</v>
      </c>
      <c r="E489" t="n">
        <v>97.218</v>
      </c>
      <c r="F489" t="n">
        <v>3230490</v>
      </c>
      <c r="G489" t="inlineStr">
        <is>
          <t>19-19-1-CRFH-PE</t>
        </is>
      </c>
      <c r="H489" t="n">
        <v>53.781</v>
      </c>
      <c r="I489" t="inlineStr">
        <is>
          <t>TUB-S-AW-AUT-19.00X19.00X1.000X0.3550</t>
        </is>
      </c>
      <c r="J489" t="inlineStr">
        <is>
          <t>TVS</t>
        </is>
      </c>
      <c r="K489" t="inlineStr">
        <is>
          <t>19-19-1-CRFH-PE-0.355</t>
        </is>
      </c>
    </row>
    <row r="490">
      <c r="A490" t="inlineStr">
        <is>
          <t>0000188595</t>
        </is>
      </c>
      <c r="B490" t="inlineStr">
        <is>
          <t>Sri Balaji Gears</t>
        </is>
      </c>
      <c r="C490" t="inlineStr">
        <is>
          <t>NOS</t>
        </is>
      </c>
      <c r="D490" t="n">
        <v>109</v>
      </c>
      <c r="E490" t="n">
        <v>38.816</v>
      </c>
      <c r="F490" t="n">
        <v>3230490</v>
      </c>
      <c r="G490" t="inlineStr">
        <is>
          <t>19-19-1-CRFH-PE</t>
        </is>
      </c>
      <c r="H490" t="n">
        <v>21.473</v>
      </c>
      <c r="I490" t="inlineStr">
        <is>
          <t>TUB-S-AW-AUT-19.00X19.00X1.000X0.3550</t>
        </is>
      </c>
      <c r="J490" t="inlineStr">
        <is>
          <t>TVS</t>
        </is>
      </c>
      <c r="K490" t="inlineStr">
        <is>
          <t>19-19-1-CRFH-PE-0.355</t>
        </is>
      </c>
    </row>
    <row r="491">
      <c r="A491" t="inlineStr">
        <is>
          <t>0000188595</t>
        </is>
      </c>
      <c r="B491" t="inlineStr">
        <is>
          <t>Sri Balaji Gears</t>
        </is>
      </c>
      <c r="C491" t="inlineStr">
        <is>
          <t>NOS</t>
        </is>
      </c>
      <c r="D491" t="n">
        <v>75</v>
      </c>
      <c r="E491" t="n">
        <v>26.708</v>
      </c>
      <c r="F491" t="n">
        <v>3230490</v>
      </c>
      <c r="G491" t="inlineStr">
        <is>
          <t>19-19-1-CRFH-PE</t>
        </is>
      </c>
      <c r="H491" t="n">
        <v>14.775</v>
      </c>
      <c r="I491" t="inlineStr">
        <is>
          <t>TUB-S-AW-AUT-19.00X19.00X1.000X0.3550</t>
        </is>
      </c>
      <c r="J491" t="inlineStr">
        <is>
          <t>TVS</t>
        </is>
      </c>
      <c r="K491" t="inlineStr">
        <is>
          <t>19-19-1-CRFH-PE-0.355</t>
        </is>
      </c>
    </row>
    <row r="492">
      <c r="A492" t="inlineStr">
        <is>
          <t>0000188595</t>
        </is>
      </c>
      <c r="B492" t="inlineStr">
        <is>
          <t>Sri Balaji Gears</t>
        </is>
      </c>
      <c r="C492" t="inlineStr">
        <is>
          <t>NOS</t>
        </is>
      </c>
      <c r="D492" t="n">
        <v>16</v>
      </c>
      <c r="E492" t="n">
        <v>5.698</v>
      </c>
      <c r="F492" t="n">
        <v>3230490</v>
      </c>
      <c r="G492" t="inlineStr">
        <is>
          <t>19-19-1-CRFH-PE</t>
        </is>
      </c>
      <c r="H492" t="n">
        <v>3.152</v>
      </c>
      <c r="I492" t="inlineStr">
        <is>
          <t>TUB-S-AW-AUT-19.00X19.00X1.000X0.3550</t>
        </is>
      </c>
      <c r="J492" t="inlineStr">
        <is>
          <t>TVS</t>
        </is>
      </c>
      <c r="K492" t="inlineStr">
        <is>
          <t>19-19-1-CRFH-PE-0.355</t>
        </is>
      </c>
    </row>
    <row r="493">
      <c r="A493" t="inlineStr">
        <is>
          <t>0000189002</t>
        </is>
      </c>
      <c r="B493" t="inlineStr">
        <is>
          <t>Marathwada Auto Compo Pvt. Ltd.</t>
        </is>
      </c>
      <c r="C493" t="inlineStr">
        <is>
          <t>NOS</t>
        </is>
      </c>
      <c r="D493" t="n">
        <v>1000</v>
      </c>
      <c r="E493" t="n">
        <v>356.11</v>
      </c>
      <c r="F493" t="n">
        <v>3230490</v>
      </c>
      <c r="G493" t="inlineStr">
        <is>
          <t>19-19-1-CRFH-PE</t>
        </is>
      </c>
      <c r="H493" t="n">
        <v>197</v>
      </c>
      <c r="I493" t="inlineStr">
        <is>
          <t>TUB-S-AW-AUT-19.00X19.00X1.000X0.3550</t>
        </is>
      </c>
      <c r="J493" t="inlineStr">
        <is>
          <t>TVS</t>
        </is>
      </c>
      <c r="K493" t="inlineStr">
        <is>
          <t>19-19-1-CRFH-PE-0.355</t>
        </is>
      </c>
    </row>
    <row r="494">
      <c r="A494" t="inlineStr">
        <is>
          <t>0000188595</t>
        </is>
      </c>
      <c r="B494" t="inlineStr">
        <is>
          <t>Sri Balaji Gears</t>
        </is>
      </c>
      <c r="C494" t="inlineStr">
        <is>
          <t>NOS</t>
        </is>
      </c>
      <c r="D494" t="n">
        <v>1000</v>
      </c>
      <c r="E494" t="n">
        <v>356.11</v>
      </c>
      <c r="F494" t="n">
        <v>3230490</v>
      </c>
      <c r="G494" t="inlineStr">
        <is>
          <t>19-19-1-CRFH-PE</t>
        </is>
      </c>
      <c r="H494" t="n">
        <v>197</v>
      </c>
      <c r="I494" t="inlineStr">
        <is>
          <t>TUB-S-AW-AUT-19.00X19.00X1.000X0.3550</t>
        </is>
      </c>
      <c r="J494" t="inlineStr">
        <is>
          <t>TVS</t>
        </is>
      </c>
      <c r="K494" t="inlineStr">
        <is>
          <t>19-19-1-CRFH-PE-0.355</t>
        </is>
      </c>
    </row>
    <row r="495">
      <c r="A495" t="inlineStr">
        <is>
          <t>0000940921</t>
        </is>
      </c>
      <c r="B495" t="inlineStr">
        <is>
          <t>ELKAYEM AUTO ANCILLARIES PVT LTD -U</t>
        </is>
      </c>
      <c r="C495" t="inlineStr">
        <is>
          <t>M</t>
        </is>
      </c>
      <c r="D495" t="n">
        <v>707</v>
      </c>
      <c r="E495" t="n">
        <v>4242</v>
      </c>
      <c r="F495" t="n">
        <v>1940078</v>
      </c>
      <c r="G495" t="inlineStr">
        <is>
          <t>15.88-0-1.6-ERW 1-PE</t>
        </is>
      </c>
      <c r="H495" t="n">
        <v>2391.215</v>
      </c>
      <c r="I495" t="inlineStr">
        <is>
          <t>TUB-O-O-GEN-AW-PE-15.88X1.600X6.0000</t>
        </is>
      </c>
      <c r="J495" t="inlineStr">
        <is>
          <t>TVS</t>
        </is>
      </c>
      <c r="K495" t="inlineStr">
        <is>
          <t>15.88-0-1.6-ERW 1-PE-1</t>
        </is>
      </c>
    </row>
    <row r="496">
      <c r="A496" t="inlineStr">
        <is>
          <t>0000940921</t>
        </is>
      </c>
      <c r="B496" t="inlineStr">
        <is>
          <t>ELKAYEM AUTO ANCILLARIES PVT LTD -U</t>
        </is>
      </c>
      <c r="C496" t="inlineStr">
        <is>
          <t>M</t>
        </is>
      </c>
      <c r="D496" t="n">
        <v>1</v>
      </c>
      <c r="E496" t="n">
        <v>6</v>
      </c>
      <c r="F496" t="n">
        <v>1940078</v>
      </c>
      <c r="G496" t="inlineStr">
        <is>
          <t>15.88-0-1.6-ERW 1-PE</t>
        </is>
      </c>
      <c r="H496" t="n">
        <v>3.382</v>
      </c>
      <c r="I496" t="inlineStr">
        <is>
          <t>TUB-O-O-GEN-AW-PE-15.88X1.600X6.0000</t>
        </is>
      </c>
      <c r="J496" t="inlineStr">
        <is>
          <t>TVS</t>
        </is>
      </c>
      <c r="K496" t="inlineStr">
        <is>
          <t>15.88-0-1.6-ERW 1-PE-1</t>
        </is>
      </c>
    </row>
    <row r="497">
      <c r="A497" t="inlineStr">
        <is>
          <t>0000944141</t>
        </is>
      </c>
      <c r="B497" t="inlineStr">
        <is>
          <t>SRIKAM HITECH ENGINEERING PRIVATE L</t>
        </is>
      </c>
      <c r="C497" t="inlineStr">
        <is>
          <t>M</t>
        </is>
      </c>
      <c r="D497" t="n">
        <v>151</v>
      </c>
      <c r="E497" t="n">
        <v>906</v>
      </c>
      <c r="F497" t="n">
        <v>1940078</v>
      </c>
      <c r="G497" t="inlineStr">
        <is>
          <t>15.88-0-1.6-ERW 1-PE</t>
        </is>
      </c>
      <c r="H497" t="n">
        <v>510.712</v>
      </c>
      <c r="I497" t="inlineStr">
        <is>
          <t>TUB-O-O-GEN-AW-PE-15.88X1.600X6.0000</t>
        </is>
      </c>
      <c r="J497" t="inlineStr">
        <is>
          <t>TVS</t>
        </is>
      </c>
      <c r="K497" t="inlineStr">
        <is>
          <t>15.88-0-1.6-ERW 1-PE-1</t>
        </is>
      </c>
    </row>
    <row r="498">
      <c r="A498" t="inlineStr">
        <is>
          <t>0000944141</t>
        </is>
      </c>
      <c r="B498" t="inlineStr">
        <is>
          <t>SRIKAM HITECH ENGINEERING PRIVATE L</t>
        </is>
      </c>
      <c r="C498" t="inlineStr">
        <is>
          <t>M</t>
        </is>
      </c>
      <c r="D498" t="n">
        <v>244</v>
      </c>
      <c r="E498" t="n">
        <v>1464</v>
      </c>
      <c r="F498" t="n">
        <v>1940078</v>
      </c>
      <c r="G498" t="inlineStr">
        <is>
          <t>15.88-0-1.6-ERW 1-PE</t>
        </is>
      </c>
      <c r="H498" t="n">
        <v>825.2569999999999</v>
      </c>
      <c r="I498" t="inlineStr">
        <is>
          <t>TUB-O-O-GEN-AW-PE-15.88X1.600X6.0000</t>
        </is>
      </c>
      <c r="J498" t="inlineStr">
        <is>
          <t>TVS</t>
        </is>
      </c>
      <c r="K498" t="inlineStr">
        <is>
          <t>15.88-0-1.6-ERW 1-PE-1</t>
        </is>
      </c>
    </row>
    <row r="499">
      <c r="A499" t="inlineStr">
        <is>
          <t>0000944141</t>
        </is>
      </c>
      <c r="B499" t="inlineStr">
        <is>
          <t>SRIKAM HITECH ENGINEERING PRIVATE L</t>
        </is>
      </c>
      <c r="C499" t="inlineStr">
        <is>
          <t>M</t>
        </is>
      </c>
      <c r="D499" t="n">
        <v>605</v>
      </c>
      <c r="E499" t="n">
        <v>3630</v>
      </c>
      <c r="F499" t="n">
        <v>1940078</v>
      </c>
      <c r="G499" t="inlineStr">
        <is>
          <t>15.88-0-1.6-ERW 1-PE</t>
        </is>
      </c>
      <c r="H499" t="n">
        <v>2046.231</v>
      </c>
      <c r="I499" t="inlineStr">
        <is>
          <t>TUB-O-O-GEN-AW-PE-15.88X1.600X6.0000</t>
        </is>
      </c>
      <c r="J499" t="inlineStr">
        <is>
          <t>TVS</t>
        </is>
      </c>
      <c r="K499" t="inlineStr">
        <is>
          <t>15.88-0-1.6-ERW 1-PE-1</t>
        </is>
      </c>
    </row>
    <row r="500">
      <c r="A500" t="inlineStr">
        <is>
          <t>0000188595</t>
        </is>
      </c>
      <c r="B500" t="inlineStr">
        <is>
          <t>Sri Balaji Gears</t>
        </is>
      </c>
      <c r="C500" t="inlineStr">
        <is>
          <t>NOS</t>
        </is>
      </c>
      <c r="D500" t="n">
        <v>1000</v>
      </c>
      <c r="E500" t="n">
        <v>1303.991</v>
      </c>
      <c r="F500" t="n">
        <v>3572039</v>
      </c>
      <c r="G500" t="inlineStr">
        <is>
          <t>19-19-1-CRFH-PE</t>
        </is>
      </c>
      <c r="H500" t="n">
        <v>710.544</v>
      </c>
      <c r="I500" t="inlineStr">
        <is>
          <t>TUB-S-AW-AUT-19.00X19.00X1.000X1.3040</t>
        </is>
      </c>
      <c r="J500" t="inlineStr">
        <is>
          <t>TVS</t>
        </is>
      </c>
      <c r="K500" t="inlineStr">
        <is>
          <t>19-19-1-CRFH-PE-1.304</t>
        </is>
      </c>
    </row>
    <row r="501">
      <c r="A501" t="inlineStr">
        <is>
          <t>0000188595</t>
        </is>
      </c>
      <c r="B501" t="inlineStr">
        <is>
          <t>Sri Balaji Gears</t>
        </is>
      </c>
      <c r="C501" t="inlineStr">
        <is>
          <t>NOS</t>
        </is>
      </c>
      <c r="D501" t="n">
        <v>1000</v>
      </c>
      <c r="E501" t="n">
        <v>1303.991</v>
      </c>
      <c r="F501" t="n">
        <v>3572039</v>
      </c>
      <c r="G501" t="inlineStr">
        <is>
          <t>19-19-1-CRFH-PE</t>
        </is>
      </c>
      <c r="H501" t="n">
        <v>710.544</v>
      </c>
      <c r="I501" t="inlineStr">
        <is>
          <t>TUB-S-AW-AUT-19.00X19.00X1.000X1.3040</t>
        </is>
      </c>
      <c r="J501" t="inlineStr">
        <is>
          <t>TVS</t>
        </is>
      </c>
      <c r="K501" t="inlineStr">
        <is>
          <t>19-19-1-CRFH-PE-1.304</t>
        </is>
      </c>
    </row>
    <row r="502">
      <c r="A502" t="inlineStr">
        <is>
          <t>0000188595</t>
        </is>
      </c>
      <c r="B502" t="inlineStr">
        <is>
          <t>Sri Balaji Gears</t>
        </is>
      </c>
      <c r="C502" t="inlineStr">
        <is>
          <t>NOS</t>
        </is>
      </c>
      <c r="D502" t="n">
        <v>1000</v>
      </c>
      <c r="E502" t="n">
        <v>1303.991</v>
      </c>
      <c r="F502" t="n">
        <v>3572039</v>
      </c>
      <c r="G502" t="inlineStr">
        <is>
          <t>19-19-1-CRFH-PE</t>
        </is>
      </c>
      <c r="H502" t="n">
        <v>710.544</v>
      </c>
      <c r="I502" t="inlineStr">
        <is>
          <t>TUB-S-AW-AUT-19.00X19.00X1.000X1.3040</t>
        </is>
      </c>
      <c r="J502" t="inlineStr">
        <is>
          <t>TVS</t>
        </is>
      </c>
      <c r="K502" t="inlineStr">
        <is>
          <t>19-19-1-CRFH-PE-1.304</t>
        </is>
      </c>
    </row>
    <row r="503">
      <c r="A503" t="inlineStr">
        <is>
          <t>0000188595</t>
        </is>
      </c>
      <c r="B503" t="inlineStr">
        <is>
          <t>Sri Balaji Gears</t>
        </is>
      </c>
      <c r="C503" t="inlineStr">
        <is>
          <t>NOS</t>
        </is>
      </c>
      <c r="D503" t="n">
        <v>1000</v>
      </c>
      <c r="E503" t="n">
        <v>1303.991</v>
      </c>
      <c r="F503" t="n">
        <v>3572039</v>
      </c>
      <c r="G503" t="inlineStr">
        <is>
          <t>19-19-1-CRFH-PE</t>
        </is>
      </c>
      <c r="H503" t="n">
        <v>710.544</v>
      </c>
      <c r="I503" t="inlineStr">
        <is>
          <t>TUB-S-AW-AUT-19.00X19.00X1.000X1.3040</t>
        </is>
      </c>
      <c r="J503" t="inlineStr">
        <is>
          <t>TVS</t>
        </is>
      </c>
      <c r="K503" t="inlineStr">
        <is>
          <t>19-19-1-CRFH-PE-1.304</t>
        </is>
      </c>
    </row>
    <row r="504">
      <c r="A504" t="inlineStr">
        <is>
          <t>0000189002</t>
        </is>
      </c>
      <c r="B504" t="inlineStr">
        <is>
          <t>Marathwada Auto Compo Pvt. Ltd.</t>
        </is>
      </c>
      <c r="C504" t="inlineStr">
        <is>
          <t>NOS</t>
        </is>
      </c>
      <c r="D504" t="n">
        <v>796</v>
      </c>
      <c r="E504" t="n">
        <v>1037.976</v>
      </c>
      <c r="F504" t="n">
        <v>3572039</v>
      </c>
      <c r="G504" t="inlineStr">
        <is>
          <t>19-19-1-CRFH-PE</t>
        </is>
      </c>
      <c r="H504" t="n">
        <v>565.593</v>
      </c>
      <c r="I504" t="inlineStr">
        <is>
          <t>TUB-S-AW-AUT-19.00X19.00X1.000X1.3040</t>
        </is>
      </c>
      <c r="J504" t="inlineStr">
        <is>
          <t>TVS</t>
        </is>
      </c>
      <c r="K504" t="inlineStr">
        <is>
          <t>19-19-1-CRFH-PE-1.304</t>
        </is>
      </c>
    </row>
    <row r="505">
      <c r="A505" t="inlineStr">
        <is>
          <t>0000189002</t>
        </is>
      </c>
      <c r="B505" t="inlineStr">
        <is>
          <t>Marathwada Auto Compo Pvt. Ltd.</t>
        </is>
      </c>
      <c r="C505" t="inlineStr">
        <is>
          <t>NOS</t>
        </is>
      </c>
      <c r="D505" t="n">
        <v>204</v>
      </c>
      <c r="E505" t="n">
        <v>266.014</v>
      </c>
      <c r="F505" t="n">
        <v>3572039</v>
      </c>
      <c r="G505" t="inlineStr">
        <is>
          <t>19-19-1-CRFH-PE</t>
        </is>
      </c>
      <c r="H505" t="n">
        <v>144.951</v>
      </c>
      <c r="I505" t="inlineStr">
        <is>
          <t>TUB-S-AW-AUT-19.00X19.00X1.000X1.3040</t>
        </is>
      </c>
      <c r="J505" t="inlineStr">
        <is>
          <t>TVS</t>
        </is>
      </c>
      <c r="K505" t="inlineStr">
        <is>
          <t>19-19-1-CRFH-PE-1.304</t>
        </is>
      </c>
    </row>
    <row r="506">
      <c r="A506" t="inlineStr">
        <is>
          <t>0000188595</t>
        </is>
      </c>
      <c r="B506" t="inlineStr">
        <is>
          <t>Sri Balaji Gears</t>
        </is>
      </c>
      <c r="C506" t="inlineStr">
        <is>
          <t>NOS</t>
        </is>
      </c>
      <c r="D506" t="n">
        <v>1000</v>
      </c>
      <c r="E506" t="n">
        <v>1303.991</v>
      </c>
      <c r="F506" t="n">
        <v>3572039</v>
      </c>
      <c r="G506" t="inlineStr">
        <is>
          <t>19-19-1-CRFH-PE</t>
        </is>
      </c>
      <c r="H506" t="n">
        <v>710.544</v>
      </c>
      <c r="I506" t="inlineStr">
        <is>
          <t>TUB-S-AW-AUT-19.00X19.00X1.000X1.3040</t>
        </is>
      </c>
      <c r="J506" t="inlineStr">
        <is>
          <t>TVS</t>
        </is>
      </c>
      <c r="K506" t="inlineStr">
        <is>
          <t>19-19-1-CRFH-PE-1.304</t>
        </is>
      </c>
    </row>
    <row r="507">
      <c r="A507" t="inlineStr">
        <is>
          <t>0000188595</t>
        </is>
      </c>
      <c r="B507" t="inlineStr">
        <is>
          <t>Sri Balaji Gears</t>
        </is>
      </c>
      <c r="C507" t="inlineStr">
        <is>
          <t>NOS</t>
        </is>
      </c>
      <c r="D507" t="n">
        <v>1000</v>
      </c>
      <c r="E507" t="n">
        <v>1303.991</v>
      </c>
      <c r="F507" t="n">
        <v>3572039</v>
      </c>
      <c r="G507" t="inlineStr">
        <is>
          <t>19-19-1-CRFH-PE</t>
        </is>
      </c>
      <c r="H507" t="n">
        <v>710.544</v>
      </c>
      <c r="I507" t="inlineStr">
        <is>
          <t>TUB-S-AW-AUT-19.00X19.00X1.000X1.3040</t>
        </is>
      </c>
      <c r="J507" t="inlineStr">
        <is>
          <t>TVS</t>
        </is>
      </c>
      <c r="K507" t="inlineStr">
        <is>
          <t>19-19-1-CRFH-PE-1.304</t>
        </is>
      </c>
    </row>
    <row r="508">
      <c r="A508" t="inlineStr">
        <is>
          <t>0000188595</t>
        </is>
      </c>
      <c r="B508" t="inlineStr">
        <is>
          <t>Sri Balaji Gears</t>
        </is>
      </c>
      <c r="C508" t="inlineStr">
        <is>
          <t>NOS</t>
        </is>
      </c>
      <c r="D508" t="n">
        <v>500</v>
      </c>
      <c r="E508" t="n">
        <v>622.999</v>
      </c>
      <c r="F508" t="n">
        <v>3572038</v>
      </c>
      <c r="G508" t="inlineStr">
        <is>
          <t>19-19-1-CRFH-PE</t>
        </is>
      </c>
      <c r="H508" t="n">
        <v>339.472</v>
      </c>
      <c r="I508" t="inlineStr">
        <is>
          <t>TUB-S-AW-AUT-19.00X19.00X1.000X1.2460</t>
        </is>
      </c>
      <c r="J508" t="inlineStr">
        <is>
          <t>TVS</t>
        </is>
      </c>
      <c r="K508" t="inlineStr">
        <is>
          <t>19-19-1-CRFH-PE-1.246</t>
        </is>
      </c>
    </row>
    <row r="509">
      <c r="A509" t="inlineStr">
        <is>
          <t>0000189002</t>
        </is>
      </c>
      <c r="B509" t="inlineStr">
        <is>
          <t>Marathwada Auto Compo Pvt. Ltd.</t>
        </is>
      </c>
      <c r="C509" t="inlineStr">
        <is>
          <t>NOS</t>
        </is>
      </c>
      <c r="D509" t="n">
        <v>495</v>
      </c>
      <c r="E509" t="n">
        <v>616.769</v>
      </c>
      <c r="F509" t="n">
        <v>3572038</v>
      </c>
      <c r="G509" t="inlineStr">
        <is>
          <t>19-19-1-CRFH-PE</t>
        </is>
      </c>
      <c r="H509" t="n">
        <v>336.077</v>
      </c>
      <c r="I509" t="inlineStr">
        <is>
          <t>TUB-S-AW-AUT-19.00X19.00X1.000X1.2460</t>
        </is>
      </c>
      <c r="J509" t="inlineStr">
        <is>
          <t>TVS</t>
        </is>
      </c>
      <c r="K509" t="inlineStr">
        <is>
          <t>19-19-1-CRFH-PE-1.246</t>
        </is>
      </c>
    </row>
    <row r="510">
      <c r="A510" t="inlineStr">
        <is>
          <t>0000189002</t>
        </is>
      </c>
      <c r="B510" t="inlineStr">
        <is>
          <t>Marathwada Auto Compo Pvt. Ltd.</t>
        </is>
      </c>
      <c r="C510" t="inlineStr">
        <is>
          <t>NOS</t>
        </is>
      </c>
      <c r="D510" t="n">
        <v>5</v>
      </c>
      <c r="E510" t="n">
        <v>6.23</v>
      </c>
      <c r="F510" t="n">
        <v>3572038</v>
      </c>
      <c r="G510" t="inlineStr">
        <is>
          <t>19-19-1-CRFH-PE</t>
        </is>
      </c>
      <c r="H510" t="n">
        <v>3.395</v>
      </c>
      <c r="I510" t="inlineStr">
        <is>
          <t>TUB-S-AW-AUT-19.00X19.00X1.000X1.2460</t>
        </is>
      </c>
      <c r="J510" t="inlineStr">
        <is>
          <t>TVS</t>
        </is>
      </c>
      <c r="K510" t="inlineStr">
        <is>
          <t>19-19-1-CRFH-PE-1.246</t>
        </is>
      </c>
    </row>
    <row r="511">
      <c r="A511" t="inlineStr">
        <is>
          <t>0000189002</t>
        </is>
      </c>
      <c r="B511" t="inlineStr">
        <is>
          <t>Marathwada Auto Compo Pvt. Ltd.</t>
        </is>
      </c>
      <c r="C511" t="inlineStr">
        <is>
          <t>NOS</t>
        </is>
      </c>
      <c r="D511" t="n">
        <v>500</v>
      </c>
      <c r="E511" t="n">
        <v>622.999</v>
      </c>
      <c r="F511" t="n">
        <v>3572038</v>
      </c>
      <c r="G511" t="inlineStr">
        <is>
          <t>19-19-1-CRFH-PE</t>
        </is>
      </c>
      <c r="H511" t="n">
        <v>339.472</v>
      </c>
      <c r="I511" t="inlineStr">
        <is>
          <t>TUB-S-AW-AUT-19.00X19.00X1.000X1.2460</t>
        </is>
      </c>
      <c r="J511" t="inlineStr">
        <is>
          <t>TVS</t>
        </is>
      </c>
      <c r="K511" t="inlineStr">
        <is>
          <t>19-19-1-CRFH-PE-1.246</t>
        </is>
      </c>
    </row>
    <row r="512">
      <c r="A512" t="inlineStr">
        <is>
          <t>0000188595</t>
        </is>
      </c>
      <c r="B512" t="inlineStr">
        <is>
          <t>Sri Balaji Gears</t>
        </is>
      </c>
      <c r="C512" t="inlineStr">
        <is>
          <t>NOS</t>
        </is>
      </c>
      <c r="D512" t="n">
        <v>500</v>
      </c>
      <c r="E512" t="n">
        <v>622.999</v>
      </c>
      <c r="F512" t="n">
        <v>3572038</v>
      </c>
      <c r="G512" t="inlineStr">
        <is>
          <t>19-19-1-CRFH-PE</t>
        </is>
      </c>
      <c r="H512" t="n">
        <v>339.472</v>
      </c>
      <c r="I512" t="inlineStr">
        <is>
          <t>TUB-S-AW-AUT-19.00X19.00X1.000X1.2460</t>
        </is>
      </c>
      <c r="J512" t="inlineStr">
        <is>
          <t>TVS</t>
        </is>
      </c>
      <c r="K512" t="inlineStr">
        <is>
          <t>19-19-1-CRFH-PE-1.246</t>
        </is>
      </c>
    </row>
    <row r="513">
      <c r="A513" t="inlineStr">
        <is>
          <t>0000189002</t>
        </is>
      </c>
      <c r="B513" t="inlineStr">
        <is>
          <t>Marathwada Auto Compo Pvt. Ltd.</t>
        </is>
      </c>
      <c r="C513" t="inlineStr">
        <is>
          <t>NOS</t>
        </is>
      </c>
      <c r="D513" t="n">
        <v>500</v>
      </c>
      <c r="E513" t="n">
        <v>622.999</v>
      </c>
      <c r="F513" t="n">
        <v>3572038</v>
      </c>
      <c r="G513" t="inlineStr">
        <is>
          <t>19-19-1-CRFH-PE</t>
        </is>
      </c>
      <c r="H513" t="n">
        <v>339.472</v>
      </c>
      <c r="I513" t="inlineStr">
        <is>
          <t>TUB-S-AW-AUT-19.00X19.00X1.000X1.2460</t>
        </is>
      </c>
      <c r="J513" t="inlineStr">
        <is>
          <t>TVS</t>
        </is>
      </c>
      <c r="K513" t="inlineStr">
        <is>
          <t>19-19-1-CRFH-PE-1.246</t>
        </is>
      </c>
    </row>
    <row r="514">
      <c r="A514" t="inlineStr">
        <is>
          <t>0000188595</t>
        </is>
      </c>
      <c r="B514" t="inlineStr">
        <is>
          <t>Sri Balaji Gears</t>
        </is>
      </c>
      <c r="C514" t="inlineStr">
        <is>
          <t>NOS</t>
        </is>
      </c>
      <c r="D514" t="n">
        <v>500</v>
      </c>
      <c r="E514" t="n">
        <v>622.999</v>
      </c>
      <c r="F514" t="n">
        <v>3572038</v>
      </c>
      <c r="G514" t="inlineStr">
        <is>
          <t>19-19-1-CRFH-PE</t>
        </is>
      </c>
      <c r="H514" t="n">
        <v>339.472</v>
      </c>
      <c r="I514" t="inlineStr">
        <is>
          <t>TUB-S-AW-AUT-19.00X19.00X1.000X1.2460</t>
        </is>
      </c>
      <c r="J514" t="inlineStr">
        <is>
          <t>TVS</t>
        </is>
      </c>
      <c r="K514" t="inlineStr">
        <is>
          <t>19-19-1-CRFH-PE-1.246</t>
        </is>
      </c>
    </row>
    <row r="515">
      <c r="A515" t="inlineStr">
        <is>
          <t>0000189002</t>
        </is>
      </c>
      <c r="B515" t="inlineStr">
        <is>
          <t>Marathwada Auto Compo Pvt. Ltd.</t>
        </is>
      </c>
      <c r="C515" t="inlineStr">
        <is>
          <t>NOS</t>
        </is>
      </c>
      <c r="D515" t="n">
        <v>500</v>
      </c>
      <c r="E515" t="n">
        <v>622.999</v>
      </c>
      <c r="F515" t="n">
        <v>3572038</v>
      </c>
      <c r="G515" t="inlineStr">
        <is>
          <t>19-19-1-CRFH-PE</t>
        </is>
      </c>
      <c r="H515" t="n">
        <v>339.472</v>
      </c>
      <c r="I515" t="inlineStr">
        <is>
          <t>TUB-S-AW-AUT-19.00X19.00X1.000X1.2460</t>
        </is>
      </c>
      <c r="J515" t="inlineStr">
        <is>
          <t>TVS</t>
        </is>
      </c>
      <c r="K515" t="inlineStr">
        <is>
          <t>19-19-1-CRFH-PE-1.246</t>
        </is>
      </c>
    </row>
    <row r="516">
      <c r="A516" t="inlineStr">
        <is>
          <t>0000188595</t>
        </is>
      </c>
      <c r="B516" t="inlineStr">
        <is>
          <t>Sri Balaji Gears</t>
        </is>
      </c>
      <c r="C516" t="inlineStr">
        <is>
          <t>NOS</t>
        </is>
      </c>
      <c r="D516" t="n">
        <v>500</v>
      </c>
      <c r="E516" t="n">
        <v>622.999</v>
      </c>
      <c r="F516" t="n">
        <v>3572038</v>
      </c>
      <c r="G516" t="inlineStr">
        <is>
          <t>19-19-1-CRFH-PE</t>
        </is>
      </c>
      <c r="H516" t="n">
        <v>339.472</v>
      </c>
      <c r="I516" t="inlineStr">
        <is>
          <t>TUB-S-AW-AUT-19.00X19.00X1.000X1.2460</t>
        </is>
      </c>
      <c r="J516" t="inlineStr">
        <is>
          <t>TVS</t>
        </is>
      </c>
      <c r="K516" t="inlineStr">
        <is>
          <t>19-19-1-CRFH-PE-1.246</t>
        </is>
      </c>
    </row>
    <row r="517">
      <c r="A517" t="inlineStr">
        <is>
          <t>0000189002</t>
        </is>
      </c>
      <c r="B517" t="inlineStr">
        <is>
          <t>Marathwada Auto Compo Pvt. Ltd.</t>
        </is>
      </c>
      <c r="C517" t="inlineStr">
        <is>
          <t>NOS</t>
        </is>
      </c>
      <c r="D517" t="n">
        <v>500</v>
      </c>
      <c r="E517" t="n">
        <v>622.999</v>
      </c>
      <c r="F517" t="n">
        <v>3572038</v>
      </c>
      <c r="G517" t="inlineStr">
        <is>
          <t>19-19-1-CRFH-PE</t>
        </is>
      </c>
      <c r="H517" t="n">
        <v>339.472</v>
      </c>
      <c r="I517" t="inlineStr">
        <is>
          <t>TUB-S-AW-AUT-19.00X19.00X1.000X1.2460</t>
        </is>
      </c>
      <c r="J517" t="inlineStr">
        <is>
          <t>TVS</t>
        </is>
      </c>
      <c r="K517" t="inlineStr">
        <is>
          <t>19-19-1-CRFH-PE-1.246</t>
        </is>
      </c>
    </row>
    <row r="518">
      <c r="A518" t="inlineStr">
        <is>
          <t>0000188595</t>
        </is>
      </c>
      <c r="B518" t="inlineStr">
        <is>
          <t>Sri Balaji Gears</t>
        </is>
      </c>
      <c r="C518" t="inlineStr">
        <is>
          <t>NOS</t>
        </is>
      </c>
      <c r="D518" t="n">
        <v>500</v>
      </c>
      <c r="E518" t="n">
        <v>622.999</v>
      </c>
      <c r="F518" t="n">
        <v>3572038</v>
      </c>
      <c r="G518" t="inlineStr">
        <is>
          <t>19-19-1-CRFH-PE</t>
        </is>
      </c>
      <c r="H518" t="n">
        <v>339.472</v>
      </c>
      <c r="I518" t="inlineStr">
        <is>
          <t>TUB-S-AW-AUT-19.00X19.00X1.000X1.2460</t>
        </is>
      </c>
      <c r="J518" t="inlineStr">
        <is>
          <t>TVS</t>
        </is>
      </c>
      <c r="K518" t="inlineStr">
        <is>
          <t>19-19-1-CRFH-PE-1.246</t>
        </is>
      </c>
    </row>
    <row r="519">
      <c r="A519" t="inlineStr">
        <is>
          <t>0000189002</t>
        </is>
      </c>
      <c r="B519" t="inlineStr">
        <is>
          <t>Marathwada Auto Compo Pvt. Ltd.</t>
        </is>
      </c>
      <c r="C519" t="inlineStr">
        <is>
          <t>NOS</t>
        </is>
      </c>
      <c r="D519" t="n">
        <v>500</v>
      </c>
      <c r="E519" t="n">
        <v>622.999</v>
      </c>
      <c r="F519" t="n">
        <v>3572038</v>
      </c>
      <c r="G519" t="inlineStr">
        <is>
          <t>19-19-1-CRFH-PE</t>
        </is>
      </c>
      <c r="H519" t="n">
        <v>339.472</v>
      </c>
      <c r="I519" t="inlineStr">
        <is>
          <t>TUB-S-AW-AUT-19.00X19.00X1.000X1.2460</t>
        </is>
      </c>
      <c r="J519" t="inlineStr">
        <is>
          <t>TVS</t>
        </is>
      </c>
      <c r="K519" t="inlineStr">
        <is>
          <t>19-19-1-CRFH-PE-1.246</t>
        </is>
      </c>
    </row>
    <row r="520">
      <c r="A520" t="inlineStr">
        <is>
          <t>0000188595</t>
        </is>
      </c>
      <c r="B520" t="inlineStr">
        <is>
          <t>Sri Balaji Gears</t>
        </is>
      </c>
      <c r="C520" t="inlineStr">
        <is>
          <t>NOS</t>
        </is>
      </c>
      <c r="D520" t="n">
        <v>500</v>
      </c>
      <c r="E520" t="n">
        <v>622.999</v>
      </c>
      <c r="F520" t="n">
        <v>3572038</v>
      </c>
      <c r="G520" t="inlineStr">
        <is>
          <t>19-19-1-CRFH-PE</t>
        </is>
      </c>
      <c r="H520" t="n">
        <v>339.472</v>
      </c>
      <c r="I520" t="inlineStr">
        <is>
          <t>TUB-S-AW-AUT-19.00X19.00X1.000X1.2460</t>
        </is>
      </c>
      <c r="J520" t="inlineStr">
        <is>
          <t>TVS</t>
        </is>
      </c>
      <c r="K520" t="inlineStr">
        <is>
          <t>19-19-1-CRFH-PE-1.246</t>
        </is>
      </c>
    </row>
    <row r="521">
      <c r="A521" t="inlineStr">
        <is>
          <t>0000189002</t>
        </is>
      </c>
      <c r="B521" t="inlineStr">
        <is>
          <t>Marathwada Auto Compo Pvt. Ltd.</t>
        </is>
      </c>
      <c r="C521" t="inlineStr">
        <is>
          <t>NOS</t>
        </is>
      </c>
      <c r="D521" t="n">
        <v>500</v>
      </c>
      <c r="E521" t="n">
        <v>622.999</v>
      </c>
      <c r="F521" t="n">
        <v>3572038</v>
      </c>
      <c r="G521" t="inlineStr">
        <is>
          <t>19-19-1-CRFH-PE</t>
        </is>
      </c>
      <c r="H521" t="n">
        <v>339.472</v>
      </c>
      <c r="I521" t="inlineStr">
        <is>
          <t>TUB-S-AW-AUT-19.00X19.00X1.000X1.2460</t>
        </is>
      </c>
      <c r="J521" t="inlineStr">
        <is>
          <t>TVS</t>
        </is>
      </c>
      <c r="K521" t="inlineStr">
        <is>
          <t>19-19-1-CRFH-PE-1.246</t>
        </is>
      </c>
    </row>
    <row r="522">
      <c r="A522" t="inlineStr">
        <is>
          <t>0000188595</t>
        </is>
      </c>
      <c r="B522" t="inlineStr">
        <is>
          <t>Sri Balaji Gears</t>
        </is>
      </c>
      <c r="C522" t="inlineStr">
        <is>
          <t>NOS</t>
        </is>
      </c>
      <c r="D522" t="n">
        <v>500</v>
      </c>
      <c r="E522" t="n">
        <v>622.999</v>
      </c>
      <c r="F522" t="n">
        <v>3572038</v>
      </c>
      <c r="G522" t="inlineStr">
        <is>
          <t>19-19-1-CRFH-PE</t>
        </is>
      </c>
      <c r="H522" t="n">
        <v>339.472</v>
      </c>
      <c r="I522" t="inlineStr">
        <is>
          <t>TUB-S-AW-AUT-19.00X19.00X1.000X1.2460</t>
        </is>
      </c>
      <c r="J522" t="inlineStr">
        <is>
          <t>TVS</t>
        </is>
      </c>
      <c r="K522" t="inlineStr">
        <is>
          <t>19-19-1-CRFH-PE-1.246</t>
        </is>
      </c>
    </row>
    <row r="523">
      <c r="A523" t="inlineStr">
        <is>
          <t>0000188595</t>
        </is>
      </c>
      <c r="B523" t="inlineStr">
        <is>
          <t>Sri Balaji Gears</t>
        </is>
      </c>
      <c r="C523" t="inlineStr">
        <is>
          <t>NOS</t>
        </is>
      </c>
      <c r="D523" t="n">
        <v>1000</v>
      </c>
      <c r="E523" t="n">
        <v>835</v>
      </c>
      <c r="F523" t="n">
        <v>4151425</v>
      </c>
      <c r="G523" t="inlineStr">
        <is>
          <t>19-19-1-CRFH-PE</t>
        </is>
      </c>
      <c r="H523" t="n">
        <v>461.922</v>
      </c>
      <c r="I523" t="inlineStr">
        <is>
          <t>TUB-S-AW-AUT-19.00X19.00X1.000X0.8350</t>
        </is>
      </c>
      <c r="J523" t="inlineStr">
        <is>
          <t>TVS</t>
        </is>
      </c>
      <c r="K523" t="inlineStr">
        <is>
          <t>19-19-1-CRFH-PE-0.835</t>
        </is>
      </c>
    </row>
    <row r="524">
      <c r="A524" t="inlineStr">
        <is>
          <t>0000188595</t>
        </is>
      </c>
      <c r="B524" t="inlineStr">
        <is>
          <t>Sri Balaji Gears</t>
        </is>
      </c>
      <c r="C524" t="inlineStr">
        <is>
          <t>NOS</t>
        </is>
      </c>
      <c r="D524" t="n">
        <v>699</v>
      </c>
      <c r="E524" t="n">
        <v>583.665</v>
      </c>
      <c r="F524" t="n">
        <v>4151425</v>
      </c>
      <c r="G524" t="inlineStr">
        <is>
          <t>19-19-1-CRFH-PE</t>
        </is>
      </c>
      <c r="H524" t="n">
        <v>322.884</v>
      </c>
      <c r="I524" t="inlineStr">
        <is>
          <t>TUB-S-AW-AUT-19.00X19.00X1.000X0.8350</t>
        </is>
      </c>
      <c r="J524" t="inlineStr">
        <is>
          <t>TVS</t>
        </is>
      </c>
      <c r="K524" t="inlineStr">
        <is>
          <t>19-19-1-CRFH-PE-0.835</t>
        </is>
      </c>
    </row>
    <row r="525">
      <c r="A525" t="inlineStr">
        <is>
          <t>0000188595</t>
        </is>
      </c>
      <c r="B525" t="inlineStr">
        <is>
          <t>Sri Balaji Gears</t>
        </is>
      </c>
      <c r="C525" t="inlineStr">
        <is>
          <t>NOS</t>
        </is>
      </c>
      <c r="D525" t="n">
        <v>301</v>
      </c>
      <c r="E525" t="n">
        <v>251.335</v>
      </c>
      <c r="F525" t="n">
        <v>4151425</v>
      </c>
      <c r="G525" t="inlineStr">
        <is>
          <t>19-19-1-CRFH-PE</t>
        </is>
      </c>
      <c r="H525" t="n">
        <v>139.039</v>
      </c>
      <c r="I525" t="inlineStr">
        <is>
          <t>TUB-S-AW-AUT-19.00X19.00X1.000X0.8350</t>
        </is>
      </c>
      <c r="J525" t="inlineStr">
        <is>
          <t>TVS</t>
        </is>
      </c>
      <c r="K525" t="inlineStr">
        <is>
          <t>19-19-1-CRFH-PE-0.835</t>
        </is>
      </c>
    </row>
    <row r="526">
      <c r="A526" t="inlineStr">
        <is>
          <t>0000188595</t>
        </is>
      </c>
      <c r="B526" t="inlineStr">
        <is>
          <t>Sri Balaji Gears</t>
        </is>
      </c>
      <c r="C526" t="inlineStr">
        <is>
          <t>NOS</t>
        </is>
      </c>
      <c r="D526" t="n">
        <v>1000</v>
      </c>
      <c r="E526" t="n">
        <v>835</v>
      </c>
      <c r="F526" t="n">
        <v>4151425</v>
      </c>
      <c r="G526" t="inlineStr">
        <is>
          <t>19-19-1-CRFH-PE</t>
        </is>
      </c>
      <c r="H526" t="n">
        <v>461.922</v>
      </c>
      <c r="I526" t="inlineStr">
        <is>
          <t>TUB-S-AW-AUT-19.00X19.00X1.000X0.8350</t>
        </is>
      </c>
      <c r="J526" t="inlineStr">
        <is>
          <t>TVS</t>
        </is>
      </c>
      <c r="K526" t="inlineStr">
        <is>
          <t>19-19-1-CRFH-PE-0.835</t>
        </is>
      </c>
    </row>
    <row r="527">
      <c r="A527" t="inlineStr">
        <is>
          <t>0000188595</t>
        </is>
      </c>
      <c r="B527" t="inlineStr">
        <is>
          <t>Sri Balaji Gears</t>
        </is>
      </c>
      <c r="C527" t="inlineStr">
        <is>
          <t>NOS</t>
        </is>
      </c>
      <c r="D527" t="n">
        <v>1000</v>
      </c>
      <c r="E527" t="n">
        <v>835</v>
      </c>
      <c r="F527" t="n">
        <v>4151425</v>
      </c>
      <c r="G527" t="inlineStr">
        <is>
          <t>19-19-1-CRFH-PE</t>
        </is>
      </c>
      <c r="H527" t="n">
        <v>461.922</v>
      </c>
      <c r="I527" t="inlineStr">
        <is>
          <t>TUB-S-AW-AUT-19.00X19.00X1.000X0.8350</t>
        </is>
      </c>
      <c r="J527" t="inlineStr">
        <is>
          <t>TVS</t>
        </is>
      </c>
      <c r="K527" t="inlineStr">
        <is>
          <t>19-19-1-CRFH-PE-0.835</t>
        </is>
      </c>
    </row>
    <row r="528">
      <c r="A528" t="inlineStr">
        <is>
          <t>0000189002</t>
        </is>
      </c>
      <c r="B528" t="inlineStr">
        <is>
          <t>Marathwada Auto Compo Pvt. Ltd.</t>
        </is>
      </c>
      <c r="C528" t="inlineStr">
        <is>
          <t>NOS</t>
        </is>
      </c>
      <c r="D528" t="n">
        <v>1000</v>
      </c>
      <c r="E528" t="n">
        <v>835</v>
      </c>
      <c r="F528" t="n">
        <v>4151425</v>
      </c>
      <c r="G528" t="inlineStr">
        <is>
          <t>19-19-1-CRFH-PE</t>
        </is>
      </c>
      <c r="H528" t="n">
        <v>461.922</v>
      </c>
      <c r="I528" t="inlineStr">
        <is>
          <t>TUB-S-AW-AUT-19.00X19.00X1.000X0.8350</t>
        </is>
      </c>
      <c r="J528" t="inlineStr">
        <is>
          <t>TVS</t>
        </is>
      </c>
      <c r="K528" t="inlineStr">
        <is>
          <t>19-19-1-CRFH-PE-0.835</t>
        </is>
      </c>
    </row>
    <row r="529">
      <c r="A529" t="inlineStr">
        <is>
          <t>0000188595</t>
        </is>
      </c>
      <c r="B529" t="inlineStr">
        <is>
          <t>Sri Balaji Gears</t>
        </is>
      </c>
      <c r="C529" t="inlineStr">
        <is>
          <t>NOS</t>
        </is>
      </c>
      <c r="D529" t="n">
        <v>898</v>
      </c>
      <c r="E529" t="n">
        <v>749.83</v>
      </c>
      <c r="F529" t="n">
        <v>4151425</v>
      </c>
      <c r="G529" t="inlineStr">
        <is>
          <t>19-19-1-CRFH-PE</t>
        </is>
      </c>
      <c r="H529" t="n">
        <v>414.806</v>
      </c>
      <c r="I529" t="inlineStr">
        <is>
          <t>TUB-S-AW-AUT-19.00X19.00X1.000X0.8350</t>
        </is>
      </c>
      <c r="J529" t="inlineStr">
        <is>
          <t>TVS</t>
        </is>
      </c>
      <c r="K529" t="inlineStr">
        <is>
          <t>19-19-1-CRFH-PE-0.835</t>
        </is>
      </c>
    </row>
    <row r="530">
      <c r="A530" t="inlineStr">
        <is>
          <t>0000188595</t>
        </is>
      </c>
      <c r="B530" t="inlineStr">
        <is>
          <t>Sri Balaji Gears</t>
        </is>
      </c>
      <c r="C530" t="inlineStr">
        <is>
          <t>NOS</t>
        </is>
      </c>
      <c r="D530" t="n">
        <v>102</v>
      </c>
      <c r="E530" t="n">
        <v>85.17</v>
      </c>
      <c r="F530" t="n">
        <v>4151425</v>
      </c>
      <c r="G530" t="inlineStr">
        <is>
          <t>19-19-1-CRFH-PE</t>
        </is>
      </c>
      <c r="H530" t="n">
        <v>47.116</v>
      </c>
      <c r="I530" t="inlineStr">
        <is>
          <t>TUB-S-AW-AUT-19.00X19.00X1.000X0.8350</t>
        </is>
      </c>
      <c r="J530" t="inlineStr">
        <is>
          <t>TVS</t>
        </is>
      </c>
      <c r="K530" t="inlineStr">
        <is>
          <t>19-19-1-CRFH-PE-0.835</t>
        </is>
      </c>
    </row>
    <row r="531">
      <c r="A531" t="inlineStr">
        <is>
          <t>0000188595</t>
        </is>
      </c>
      <c r="B531" t="inlineStr">
        <is>
          <t>Sri Balaji Gears</t>
        </is>
      </c>
      <c r="C531" t="inlineStr">
        <is>
          <t>NOS</t>
        </is>
      </c>
      <c r="D531" t="n">
        <v>588</v>
      </c>
      <c r="E531" t="n">
        <v>490.98</v>
      </c>
      <c r="F531" t="n">
        <v>4151425</v>
      </c>
      <c r="G531" t="inlineStr">
        <is>
          <t>19-19-1-CRFH-PE</t>
        </is>
      </c>
      <c r="H531" t="n">
        <v>271.61</v>
      </c>
      <c r="I531" t="inlineStr">
        <is>
          <t>TUB-S-AW-AUT-19.00X19.00X1.000X0.8350</t>
        </is>
      </c>
      <c r="J531" t="inlineStr">
        <is>
          <t>TVS</t>
        </is>
      </c>
      <c r="K531" t="inlineStr">
        <is>
          <t>19-19-1-CRFH-PE-0.835</t>
        </is>
      </c>
    </row>
    <row r="532">
      <c r="A532" t="inlineStr">
        <is>
          <t>0000188595</t>
        </is>
      </c>
      <c r="B532" t="inlineStr">
        <is>
          <t>Sri Balaji Gears</t>
        </is>
      </c>
      <c r="C532" t="inlineStr">
        <is>
          <t>NOS</t>
        </is>
      </c>
      <c r="D532" t="n">
        <v>195</v>
      </c>
      <c r="E532" t="n">
        <v>162.825</v>
      </c>
      <c r="F532" t="n">
        <v>4151425</v>
      </c>
      <c r="G532" t="inlineStr">
        <is>
          <t>19-19-1-CRFH-PE</t>
        </is>
      </c>
      <c r="H532" t="n">
        <v>90.075</v>
      </c>
      <c r="I532" t="inlineStr">
        <is>
          <t>TUB-S-AW-AUT-19.00X19.00X1.000X0.8350</t>
        </is>
      </c>
      <c r="J532" t="inlineStr">
        <is>
          <t>TVS</t>
        </is>
      </c>
      <c r="K532" t="inlineStr">
        <is>
          <t>19-19-1-CRFH-PE-0.835</t>
        </is>
      </c>
    </row>
    <row r="533">
      <c r="A533" t="inlineStr">
        <is>
          <t>0000188595</t>
        </is>
      </c>
      <c r="B533" t="inlineStr">
        <is>
          <t>Sri Balaji Gears</t>
        </is>
      </c>
      <c r="C533" t="inlineStr">
        <is>
          <t>NOS</t>
        </is>
      </c>
      <c r="D533" t="n">
        <v>96</v>
      </c>
      <c r="E533" t="n">
        <v>80.16</v>
      </c>
      <c r="F533" t="n">
        <v>4151425</v>
      </c>
      <c r="G533" t="inlineStr">
        <is>
          <t>19-19-1-CRFH-PE</t>
        </is>
      </c>
      <c r="H533" t="n">
        <v>44.345</v>
      </c>
      <c r="I533" t="inlineStr">
        <is>
          <t>TUB-S-AW-AUT-19.00X19.00X1.000X0.8350</t>
        </is>
      </c>
      <c r="J533" t="inlineStr">
        <is>
          <t>TVS</t>
        </is>
      </c>
      <c r="K533" t="inlineStr">
        <is>
          <t>19-19-1-CRFH-PE-0.835</t>
        </is>
      </c>
    </row>
    <row r="534">
      <c r="A534" t="inlineStr">
        <is>
          <t>0000188595</t>
        </is>
      </c>
      <c r="B534" t="inlineStr">
        <is>
          <t>Sri Balaji Gears</t>
        </is>
      </c>
      <c r="C534" t="inlineStr">
        <is>
          <t>NOS</t>
        </is>
      </c>
      <c r="D534" t="n">
        <v>67</v>
      </c>
      <c r="E534" t="n">
        <v>55.945</v>
      </c>
      <c r="F534" t="n">
        <v>4151425</v>
      </c>
      <c r="G534" t="inlineStr">
        <is>
          <t>19-19-1-CRFH-PE</t>
        </is>
      </c>
      <c r="H534" t="n">
        <v>30.949</v>
      </c>
      <c r="I534" t="inlineStr">
        <is>
          <t>TUB-S-AW-AUT-19.00X19.00X1.000X0.8350</t>
        </is>
      </c>
      <c r="J534" t="inlineStr">
        <is>
          <t>TVS</t>
        </is>
      </c>
      <c r="K534" t="inlineStr">
        <is>
          <t>19-19-1-CRFH-PE-0.835</t>
        </is>
      </c>
    </row>
    <row r="535">
      <c r="A535" t="inlineStr">
        <is>
          <t>0000188595</t>
        </is>
      </c>
      <c r="B535" t="inlineStr">
        <is>
          <t>Sri Balaji Gears</t>
        </is>
      </c>
      <c r="C535" t="inlineStr">
        <is>
          <t>NOS</t>
        </is>
      </c>
      <c r="D535" t="n">
        <v>54</v>
      </c>
      <c r="E535" t="n">
        <v>45.09</v>
      </c>
      <c r="F535" t="n">
        <v>4151425</v>
      </c>
      <c r="G535" t="inlineStr">
        <is>
          <t>19-19-1-CRFH-PE</t>
        </is>
      </c>
      <c r="H535" t="n">
        <v>24.944</v>
      </c>
      <c r="I535" t="inlineStr">
        <is>
          <t>TUB-S-AW-AUT-19.00X19.00X1.000X0.8350</t>
        </is>
      </c>
      <c r="J535" t="inlineStr">
        <is>
          <t>TVS</t>
        </is>
      </c>
      <c r="K535" t="inlineStr">
        <is>
          <t>19-19-1-CRFH-PE-0.835</t>
        </is>
      </c>
    </row>
    <row r="536">
      <c r="A536" t="inlineStr">
        <is>
          <t>0000188595</t>
        </is>
      </c>
      <c r="B536" t="inlineStr">
        <is>
          <t>Sri Balaji Gears</t>
        </is>
      </c>
      <c r="C536" t="inlineStr">
        <is>
          <t>NOS</t>
        </is>
      </c>
      <c r="D536" t="n">
        <v>1000</v>
      </c>
      <c r="E536" t="n">
        <v>539.997</v>
      </c>
      <c r="F536" t="n">
        <v>3571870</v>
      </c>
      <c r="G536" t="inlineStr">
        <is>
          <t>19-19-1-CRFH-PE</t>
        </is>
      </c>
      <c r="H536" t="n">
        <v>294.244</v>
      </c>
      <c r="I536" t="inlineStr">
        <is>
          <t>TUB-S-AW-AUT-19.00X19.00X1.000X0.5400</t>
        </is>
      </c>
      <c r="J536" t="inlineStr">
        <is>
          <t>TVS</t>
        </is>
      </c>
      <c r="K536" t="inlineStr">
        <is>
          <t>19-19-1-CRFH-PE-0.54</t>
        </is>
      </c>
    </row>
    <row r="537">
      <c r="A537" t="inlineStr">
        <is>
          <t>0000189002</t>
        </is>
      </c>
      <c r="B537" t="inlineStr">
        <is>
          <t>Marathwada Auto Compo Pvt. Ltd.</t>
        </is>
      </c>
      <c r="C537" t="inlineStr">
        <is>
          <t>NOS</t>
        </is>
      </c>
      <c r="D537" t="n">
        <v>1000</v>
      </c>
      <c r="E537" t="n">
        <v>539.997</v>
      </c>
      <c r="F537" t="n">
        <v>3571870</v>
      </c>
      <c r="G537" t="inlineStr">
        <is>
          <t>19-19-1-CRFH-PE</t>
        </is>
      </c>
      <c r="H537" t="n">
        <v>294.244</v>
      </c>
      <c r="I537" t="inlineStr">
        <is>
          <t>TUB-S-AW-AUT-19.00X19.00X1.000X0.5400</t>
        </is>
      </c>
      <c r="J537" t="inlineStr">
        <is>
          <t>TVS</t>
        </is>
      </c>
      <c r="K537" t="inlineStr">
        <is>
          <t>19-19-1-CRFH-PE-0.54</t>
        </is>
      </c>
    </row>
    <row r="538">
      <c r="A538" t="inlineStr">
        <is>
          <t>0000189002</t>
        </is>
      </c>
      <c r="B538" t="inlineStr">
        <is>
          <t>Marathwada Auto Compo Pvt. Ltd.</t>
        </is>
      </c>
      <c r="C538" t="inlineStr">
        <is>
          <t>NOS</t>
        </is>
      </c>
      <c r="D538" t="n">
        <v>1000</v>
      </c>
      <c r="E538" t="n">
        <v>539.997</v>
      </c>
      <c r="F538" t="n">
        <v>3571870</v>
      </c>
      <c r="G538" t="inlineStr">
        <is>
          <t>19-19-1-CRFH-PE</t>
        </is>
      </c>
      <c r="H538" t="n">
        <v>294.244</v>
      </c>
      <c r="I538" t="inlineStr">
        <is>
          <t>TUB-S-AW-AUT-19.00X19.00X1.000X0.5400</t>
        </is>
      </c>
      <c r="J538" t="inlineStr">
        <is>
          <t>TVS</t>
        </is>
      </c>
      <c r="K538" t="inlineStr">
        <is>
          <t>19-19-1-CRFH-PE-0.54</t>
        </is>
      </c>
    </row>
    <row r="539">
      <c r="A539" t="inlineStr">
        <is>
          <t>0000188595</t>
        </is>
      </c>
      <c r="B539" t="inlineStr">
        <is>
          <t>Sri Balaji Gears</t>
        </is>
      </c>
      <c r="C539" t="inlineStr">
        <is>
          <t>NOS</t>
        </is>
      </c>
      <c r="D539" t="n">
        <v>1000</v>
      </c>
      <c r="E539" t="n">
        <v>539.997</v>
      </c>
      <c r="F539" t="n">
        <v>3571870</v>
      </c>
      <c r="G539" t="inlineStr">
        <is>
          <t>19-19-1-CRFH-PE</t>
        </is>
      </c>
      <c r="H539" t="n">
        <v>294.244</v>
      </c>
      <c r="I539" t="inlineStr">
        <is>
          <t>TUB-S-AW-AUT-19.00X19.00X1.000X0.5400</t>
        </is>
      </c>
      <c r="J539" t="inlineStr">
        <is>
          <t>TVS</t>
        </is>
      </c>
      <c r="K539" t="inlineStr">
        <is>
          <t>19-19-1-CRFH-PE-0.54</t>
        </is>
      </c>
    </row>
    <row r="540">
      <c r="A540" t="inlineStr">
        <is>
          <t>0000189002</t>
        </is>
      </c>
      <c r="B540" t="inlineStr">
        <is>
          <t>Marathwada Auto Compo Pvt. Ltd.</t>
        </is>
      </c>
      <c r="C540" t="inlineStr">
        <is>
          <t>NOS</t>
        </is>
      </c>
      <c r="D540" t="n">
        <v>1000</v>
      </c>
      <c r="E540" t="n">
        <v>539.997</v>
      </c>
      <c r="F540" t="n">
        <v>3571870</v>
      </c>
      <c r="G540" t="inlineStr">
        <is>
          <t>19-19-1-CRFH-PE</t>
        </is>
      </c>
      <c r="H540" t="n">
        <v>294.244</v>
      </c>
      <c r="I540" t="inlineStr">
        <is>
          <t>TUB-S-AW-AUT-19.00X19.00X1.000X0.5400</t>
        </is>
      </c>
      <c r="J540" t="inlineStr">
        <is>
          <t>TVS</t>
        </is>
      </c>
      <c r="K540" t="inlineStr">
        <is>
          <t>19-19-1-CRFH-PE-0.54</t>
        </is>
      </c>
    </row>
    <row r="541">
      <c r="A541" t="inlineStr">
        <is>
          <t>0000188595</t>
        </is>
      </c>
      <c r="B541" t="inlineStr">
        <is>
          <t>Sri Balaji Gears</t>
        </is>
      </c>
      <c r="C541" t="inlineStr">
        <is>
          <t>NOS</t>
        </is>
      </c>
      <c r="D541" t="n">
        <v>595</v>
      </c>
      <c r="E541" t="n">
        <v>321.298</v>
      </c>
      <c r="F541" t="n">
        <v>3571870</v>
      </c>
      <c r="G541" t="inlineStr">
        <is>
          <t>19-19-1-CRFH-PE</t>
        </is>
      </c>
      <c r="H541" t="n">
        <v>175.075</v>
      </c>
      <c r="I541" t="inlineStr">
        <is>
          <t>TUB-S-AW-AUT-19.00X19.00X1.000X0.5400</t>
        </is>
      </c>
      <c r="J541" t="inlineStr">
        <is>
          <t>TVS</t>
        </is>
      </c>
      <c r="K541" t="inlineStr">
        <is>
          <t>19-19-1-CRFH-PE-0.54</t>
        </is>
      </c>
    </row>
    <row r="542">
      <c r="A542" t="inlineStr">
        <is>
          <t>0000188595</t>
        </is>
      </c>
      <c r="B542" t="inlineStr">
        <is>
          <t>Sri Balaji Gears</t>
        </is>
      </c>
      <c r="C542" t="inlineStr">
        <is>
          <t>NOS</t>
        </is>
      </c>
      <c r="D542" t="n">
        <v>405</v>
      </c>
      <c r="E542" t="n">
        <v>218.699</v>
      </c>
      <c r="F542" t="n">
        <v>3571870</v>
      </c>
      <c r="G542" t="inlineStr">
        <is>
          <t>19-19-1-CRFH-PE</t>
        </is>
      </c>
      <c r="H542" t="n">
        <v>119.169</v>
      </c>
      <c r="I542" t="inlineStr">
        <is>
          <t>TUB-S-AW-AUT-19.00X19.00X1.000X0.5400</t>
        </is>
      </c>
      <c r="J542" t="inlineStr">
        <is>
          <t>TVS</t>
        </is>
      </c>
      <c r="K542" t="inlineStr">
        <is>
          <t>19-19-1-CRFH-PE-0.54</t>
        </is>
      </c>
    </row>
    <row r="543">
      <c r="A543" t="inlineStr">
        <is>
          <t>0000189002</t>
        </is>
      </c>
      <c r="B543" t="inlineStr">
        <is>
          <t>Marathwada Auto Compo Pvt. Ltd.</t>
        </is>
      </c>
      <c r="C543" t="inlineStr">
        <is>
          <t>NOS</t>
        </is>
      </c>
      <c r="D543" t="n">
        <v>1000</v>
      </c>
      <c r="E543" t="n">
        <v>539.997</v>
      </c>
      <c r="F543" t="n">
        <v>3571870</v>
      </c>
      <c r="G543" t="inlineStr">
        <is>
          <t>19-19-1-CRFH-PE</t>
        </is>
      </c>
      <c r="H543" t="n">
        <v>294.244</v>
      </c>
      <c r="I543" t="inlineStr">
        <is>
          <t>TUB-S-AW-AUT-19.00X19.00X1.000X0.5400</t>
        </is>
      </c>
      <c r="J543" t="inlineStr">
        <is>
          <t>TVS</t>
        </is>
      </c>
      <c r="K543" t="inlineStr">
        <is>
          <t>19-19-1-CRFH-PE-0.54</t>
        </is>
      </c>
    </row>
    <row r="544">
      <c r="A544" t="inlineStr">
        <is>
          <t>0000188595</t>
        </is>
      </c>
      <c r="B544" t="inlineStr">
        <is>
          <t>Sri Balaji Gears</t>
        </is>
      </c>
      <c r="C544" t="inlineStr">
        <is>
          <t>NOS</t>
        </is>
      </c>
      <c r="D544" t="n">
        <v>1000</v>
      </c>
      <c r="E544" t="n">
        <v>539.997</v>
      </c>
      <c r="F544" t="n">
        <v>3571870</v>
      </c>
      <c r="G544" t="inlineStr">
        <is>
          <t>19-19-1-CRFH-PE</t>
        </is>
      </c>
      <c r="H544" t="n">
        <v>294.244</v>
      </c>
      <c r="I544" t="inlineStr">
        <is>
          <t>TUB-S-AW-AUT-19.00X19.00X1.000X0.5400</t>
        </is>
      </c>
      <c r="J544" t="inlineStr">
        <is>
          <t>TVS</t>
        </is>
      </c>
      <c r="K544" t="inlineStr">
        <is>
          <t>19-19-1-CRFH-PE-0.54</t>
        </is>
      </c>
    </row>
    <row r="545">
      <c r="A545" t="inlineStr">
        <is>
          <t>0000189002</t>
        </is>
      </c>
      <c r="B545" t="inlineStr">
        <is>
          <t>Marathwada Auto Compo Pvt. Ltd.</t>
        </is>
      </c>
      <c r="C545" t="inlineStr">
        <is>
          <t>NOS</t>
        </is>
      </c>
      <c r="D545" t="n">
        <v>1000</v>
      </c>
      <c r="E545" t="n">
        <v>539.997</v>
      </c>
      <c r="F545" t="n">
        <v>3571870</v>
      </c>
      <c r="G545" t="inlineStr">
        <is>
          <t>19-19-1-CRFH-PE</t>
        </is>
      </c>
      <c r="H545" t="n">
        <v>294.244</v>
      </c>
      <c r="I545" t="inlineStr">
        <is>
          <t>TUB-S-AW-AUT-19.00X19.00X1.000X0.5400</t>
        </is>
      </c>
      <c r="J545" t="inlineStr">
        <is>
          <t>TVS</t>
        </is>
      </c>
      <c r="K545" t="inlineStr">
        <is>
          <t>19-19-1-CRFH-PE-0.54</t>
        </is>
      </c>
    </row>
    <row r="546">
      <c r="A546" t="inlineStr">
        <is>
          <t>0000188595</t>
        </is>
      </c>
      <c r="B546" t="inlineStr">
        <is>
          <t>Sri Balaji Gears</t>
        </is>
      </c>
      <c r="C546" t="inlineStr">
        <is>
          <t>NOS</t>
        </is>
      </c>
      <c r="D546" t="n">
        <v>1000</v>
      </c>
      <c r="E546" t="n">
        <v>539.997</v>
      </c>
      <c r="F546" t="n">
        <v>3571870</v>
      </c>
      <c r="G546" t="inlineStr">
        <is>
          <t>19-19-1-CRFH-PE</t>
        </is>
      </c>
      <c r="H546" t="n">
        <v>294.244</v>
      </c>
      <c r="I546" t="inlineStr">
        <is>
          <t>TUB-S-AW-AUT-19.00X19.00X1.000X0.5400</t>
        </is>
      </c>
      <c r="J546" t="inlineStr">
        <is>
          <t>TVS</t>
        </is>
      </c>
      <c r="K546" t="inlineStr">
        <is>
          <t>19-19-1-CRFH-PE-0.54</t>
        </is>
      </c>
    </row>
    <row r="547">
      <c r="A547" t="inlineStr">
        <is>
          <t>0000189002</t>
        </is>
      </c>
      <c r="B547" t="inlineStr">
        <is>
          <t>Marathwada Auto Compo Pvt. Ltd.</t>
        </is>
      </c>
      <c r="C547" t="inlineStr">
        <is>
          <t>NOS</t>
        </is>
      </c>
      <c r="D547" t="n">
        <v>1000</v>
      </c>
      <c r="E547" t="n">
        <v>539.997</v>
      </c>
      <c r="F547" t="n">
        <v>3571870</v>
      </c>
      <c r="G547" t="inlineStr">
        <is>
          <t>19-19-1-CRFH-PE</t>
        </is>
      </c>
      <c r="H547" t="n">
        <v>294.244</v>
      </c>
      <c r="I547" t="inlineStr">
        <is>
          <t>TUB-S-AW-AUT-19.00X19.00X1.000X0.5400</t>
        </is>
      </c>
      <c r="J547" t="inlineStr">
        <is>
          <t>TVS</t>
        </is>
      </c>
      <c r="K547" t="inlineStr">
        <is>
          <t>19-19-1-CRFH-PE-0.54</t>
        </is>
      </c>
    </row>
    <row r="548">
      <c r="A548" t="inlineStr">
        <is>
          <t>0000188595</t>
        </is>
      </c>
      <c r="B548" t="inlineStr">
        <is>
          <t>Sri Balaji Gears</t>
        </is>
      </c>
      <c r="C548" t="inlineStr">
        <is>
          <t>NOS</t>
        </is>
      </c>
      <c r="D548" t="n">
        <v>989</v>
      </c>
      <c r="E548" t="n">
        <v>534.057</v>
      </c>
      <c r="F548" t="n">
        <v>3571870</v>
      </c>
      <c r="G548" t="inlineStr">
        <is>
          <t>19-19-1-CRFH-PE</t>
        </is>
      </c>
      <c r="H548" t="n">
        <v>291.008</v>
      </c>
      <c r="I548" t="inlineStr">
        <is>
          <t>TUB-S-AW-AUT-19.00X19.00X1.000X0.5400</t>
        </is>
      </c>
      <c r="J548" t="inlineStr">
        <is>
          <t>TVS</t>
        </is>
      </c>
      <c r="K548" t="inlineStr">
        <is>
          <t>19-19-1-CRFH-PE-0.54</t>
        </is>
      </c>
    </row>
    <row r="549">
      <c r="A549" t="inlineStr">
        <is>
          <t>0000188595</t>
        </is>
      </c>
      <c r="B549" t="inlineStr">
        <is>
          <t>Sri Balaji Gears</t>
        </is>
      </c>
      <c r="C549" t="inlineStr">
        <is>
          <t>NOS</t>
        </is>
      </c>
      <c r="D549" t="n">
        <v>11</v>
      </c>
      <c r="E549" t="n">
        <v>5.94</v>
      </c>
      <c r="F549" t="n">
        <v>3571870</v>
      </c>
      <c r="G549" t="inlineStr">
        <is>
          <t>19-19-1-CRFH-PE</t>
        </is>
      </c>
      <c r="H549" t="n">
        <v>3.237</v>
      </c>
      <c r="I549" t="inlineStr">
        <is>
          <t>TUB-S-AW-AUT-19.00X19.00X1.000X0.5400</t>
        </is>
      </c>
      <c r="J549" t="inlineStr">
        <is>
          <t>TVS</t>
        </is>
      </c>
      <c r="K549" t="inlineStr">
        <is>
          <t>19-19-1-CRFH-PE-0.54</t>
        </is>
      </c>
    </row>
    <row r="550">
      <c r="A550" t="inlineStr">
        <is>
          <t>0000189002</t>
        </is>
      </c>
      <c r="B550" t="inlineStr">
        <is>
          <t>Marathwada Auto Compo Pvt. Ltd.</t>
        </is>
      </c>
      <c r="C550" t="inlineStr">
        <is>
          <t>NOS</t>
        </is>
      </c>
      <c r="D550" t="n">
        <v>575</v>
      </c>
      <c r="E550" t="n">
        <v>310.498</v>
      </c>
      <c r="F550" t="n">
        <v>3571870</v>
      </c>
      <c r="G550" t="inlineStr">
        <is>
          <t>19-19-1-CRFH-PE</t>
        </is>
      </c>
      <c r="H550" t="n">
        <v>169.191</v>
      </c>
      <c r="I550" t="inlineStr">
        <is>
          <t>TUB-S-AW-AUT-19.00X19.00X1.000X0.5400</t>
        </is>
      </c>
      <c r="J550" t="inlineStr">
        <is>
          <t>TVS</t>
        </is>
      </c>
      <c r="K550" t="inlineStr">
        <is>
          <t>19-19-1-CRFH-PE-0.54</t>
        </is>
      </c>
    </row>
    <row r="551">
      <c r="A551" t="inlineStr">
        <is>
          <t>0000189002</t>
        </is>
      </c>
      <c r="B551" t="inlineStr">
        <is>
          <t>Marathwada Auto Compo Pvt. Ltd.</t>
        </is>
      </c>
      <c r="C551" t="inlineStr">
        <is>
          <t>NOS</t>
        </is>
      </c>
      <c r="D551" t="n">
        <v>425</v>
      </c>
      <c r="E551" t="n">
        <v>229.499</v>
      </c>
      <c r="F551" t="n">
        <v>3571870</v>
      </c>
      <c r="G551" t="inlineStr">
        <is>
          <t>19-19-1-CRFH-PE</t>
        </is>
      </c>
      <c r="H551" t="n">
        <v>125.054</v>
      </c>
      <c r="I551" t="inlineStr">
        <is>
          <t>TUB-S-AW-AUT-19.00X19.00X1.000X0.5400</t>
        </is>
      </c>
      <c r="J551" t="inlineStr">
        <is>
          <t>TVS</t>
        </is>
      </c>
      <c r="K551" t="inlineStr">
        <is>
          <t>19-19-1-CRFH-PE-0.54</t>
        </is>
      </c>
    </row>
    <row r="552">
      <c r="A552" t="inlineStr">
        <is>
          <t>0000188595</t>
        </is>
      </c>
      <c r="B552" t="inlineStr">
        <is>
          <t>Sri Balaji Gears</t>
        </is>
      </c>
      <c r="C552" t="inlineStr">
        <is>
          <t>NOS</t>
        </is>
      </c>
      <c r="D552" t="n">
        <v>1000</v>
      </c>
      <c r="E552" t="n">
        <v>539.997</v>
      </c>
      <c r="F552" t="n">
        <v>3571870</v>
      </c>
      <c r="G552" t="inlineStr">
        <is>
          <t>19-19-1-CRFH-PE</t>
        </is>
      </c>
      <c r="H552" t="n">
        <v>294.244</v>
      </c>
      <c r="I552" t="inlineStr">
        <is>
          <t>TUB-S-AW-AUT-19.00X19.00X1.000X0.5400</t>
        </is>
      </c>
      <c r="J552" t="inlineStr">
        <is>
          <t>TVS</t>
        </is>
      </c>
      <c r="K552" t="inlineStr">
        <is>
          <t>19-19-1-CRFH-PE-0.54</t>
        </is>
      </c>
    </row>
    <row r="553">
      <c r="A553" t="inlineStr">
        <is>
          <t>0000188595</t>
        </is>
      </c>
      <c r="B553" t="inlineStr">
        <is>
          <t>Sri Balaji Gears</t>
        </is>
      </c>
      <c r="C553" t="inlineStr">
        <is>
          <t>NOS</t>
        </is>
      </c>
      <c r="D553" t="n">
        <v>1000</v>
      </c>
      <c r="E553" t="n">
        <v>110.008</v>
      </c>
      <c r="F553" t="n">
        <v>3931835</v>
      </c>
      <c r="G553" t="inlineStr">
        <is>
          <t>19-19-1-CRFH-PE</t>
        </is>
      </c>
      <c r="H553" t="n">
        <v>59.956</v>
      </c>
      <c r="I553" t="inlineStr">
        <is>
          <t>CUT-R-AW-AUT-19.00X19.00X1.000X0.1100</t>
        </is>
      </c>
      <c r="J553" t="inlineStr">
        <is>
          <t>TVS</t>
        </is>
      </c>
      <c r="K553" t="inlineStr">
        <is>
          <t>19-19-1-CRFH-PE-0.11</t>
        </is>
      </c>
    </row>
    <row r="554">
      <c r="A554" t="inlineStr">
        <is>
          <t>0000188595</t>
        </is>
      </c>
      <c r="B554" t="inlineStr">
        <is>
          <t>Sri Balaji Gears</t>
        </is>
      </c>
      <c r="C554" t="inlineStr">
        <is>
          <t>NOS</t>
        </is>
      </c>
      <c r="D554" t="n">
        <v>1000</v>
      </c>
      <c r="E554" t="n">
        <v>110.008</v>
      </c>
      <c r="F554" t="n">
        <v>3931835</v>
      </c>
      <c r="G554" t="inlineStr">
        <is>
          <t>19-19-1-CRFH-PE</t>
        </is>
      </c>
      <c r="H554" t="n">
        <v>59.956</v>
      </c>
      <c r="I554" t="inlineStr">
        <is>
          <t>CUT-R-AW-AUT-19.00X19.00X1.000X0.1100</t>
        </is>
      </c>
      <c r="J554" t="inlineStr">
        <is>
          <t>TVS</t>
        </is>
      </c>
      <c r="K554" t="inlineStr">
        <is>
          <t>19-19-1-CRFH-PE-0.11</t>
        </is>
      </c>
    </row>
    <row r="555">
      <c r="A555" t="inlineStr">
        <is>
          <t>0000188595</t>
        </is>
      </c>
      <c r="B555" t="inlineStr">
        <is>
          <t>Sri Balaji Gears</t>
        </is>
      </c>
      <c r="C555" t="inlineStr">
        <is>
          <t>NOS</t>
        </is>
      </c>
      <c r="D555" t="n">
        <v>835</v>
      </c>
      <c r="E555" t="n">
        <v>91.857</v>
      </c>
      <c r="F555" t="n">
        <v>3931835</v>
      </c>
      <c r="G555" t="inlineStr">
        <is>
          <t>19-19-1-CRFH-PE</t>
        </is>
      </c>
      <c r="H555" t="n">
        <v>50.063</v>
      </c>
      <c r="I555" t="inlineStr">
        <is>
          <t>CUT-R-AW-AUT-19.00X19.00X1.000X0.1100</t>
        </is>
      </c>
      <c r="J555" t="inlineStr">
        <is>
          <t>TVS</t>
        </is>
      </c>
      <c r="K555" t="inlineStr">
        <is>
          <t>19-19-1-CRFH-PE-0.11</t>
        </is>
      </c>
    </row>
    <row r="556">
      <c r="A556" t="inlineStr">
        <is>
          <t>0000188595</t>
        </is>
      </c>
      <c r="B556" t="inlineStr">
        <is>
          <t>Sri Balaji Gears</t>
        </is>
      </c>
      <c r="C556" t="inlineStr">
        <is>
          <t>NOS</t>
        </is>
      </c>
      <c r="D556" t="n">
        <v>165</v>
      </c>
      <c r="E556" t="n">
        <v>18.151</v>
      </c>
      <c r="F556" t="n">
        <v>3931835</v>
      </c>
      <c r="G556" t="inlineStr">
        <is>
          <t>19-19-1-CRFH-PE</t>
        </is>
      </c>
      <c r="H556" t="n">
        <v>9.893000000000001</v>
      </c>
      <c r="I556" t="inlineStr">
        <is>
          <t>CUT-R-AW-AUT-19.00X19.00X1.000X0.1100</t>
        </is>
      </c>
      <c r="J556" t="inlineStr">
        <is>
          <t>TVS</t>
        </is>
      </c>
      <c r="K556" t="inlineStr">
        <is>
          <t>19-19-1-CRFH-PE-0.11</t>
        </is>
      </c>
    </row>
    <row r="557">
      <c r="A557" t="inlineStr">
        <is>
          <t>0000188595</t>
        </is>
      </c>
      <c r="B557" t="inlineStr">
        <is>
          <t>Sri Balaji Gears</t>
        </is>
      </c>
      <c r="C557" t="inlineStr">
        <is>
          <t>NOS</t>
        </is>
      </c>
      <c r="D557" t="n">
        <v>1000</v>
      </c>
      <c r="E557" t="n">
        <v>110.008</v>
      </c>
      <c r="F557" t="n">
        <v>3931835</v>
      </c>
      <c r="G557" t="inlineStr">
        <is>
          <t>19-19-1-CRFH-PE</t>
        </is>
      </c>
      <c r="H557" t="n">
        <v>59.956</v>
      </c>
      <c r="I557" t="inlineStr">
        <is>
          <t>CUT-R-AW-AUT-19.00X19.00X1.000X0.1100</t>
        </is>
      </c>
      <c r="J557" t="inlineStr">
        <is>
          <t>TVS</t>
        </is>
      </c>
      <c r="K557" t="inlineStr">
        <is>
          <t>19-19-1-CRFH-PE-0.11</t>
        </is>
      </c>
    </row>
    <row r="558">
      <c r="A558" t="inlineStr">
        <is>
          <t>0000188595</t>
        </is>
      </c>
      <c r="B558" t="inlineStr">
        <is>
          <t>Sri Balaji Gears</t>
        </is>
      </c>
      <c r="C558" t="inlineStr">
        <is>
          <t>NOS</t>
        </is>
      </c>
      <c r="D558" t="n">
        <v>1000</v>
      </c>
      <c r="E558" t="n">
        <v>110.008</v>
      </c>
      <c r="F558" t="n">
        <v>3931835</v>
      </c>
      <c r="G558" t="inlineStr">
        <is>
          <t>19-19-1-CRFH-PE</t>
        </is>
      </c>
      <c r="H558" t="n">
        <v>59.956</v>
      </c>
      <c r="I558" t="inlineStr">
        <is>
          <t>CUT-R-AW-AUT-19.00X19.00X1.000X0.1100</t>
        </is>
      </c>
      <c r="J558" t="inlineStr">
        <is>
          <t>TVS</t>
        </is>
      </c>
      <c r="K558" t="inlineStr">
        <is>
          <t>19-19-1-CRFH-PE-0.11</t>
        </is>
      </c>
    </row>
    <row r="559">
      <c r="A559" t="inlineStr">
        <is>
          <t>0000189002</t>
        </is>
      </c>
      <c r="B559" t="inlineStr">
        <is>
          <t>Marathwada Auto Compo Pvt. Ltd.</t>
        </is>
      </c>
      <c r="C559" t="inlineStr">
        <is>
          <t>NOS</t>
        </is>
      </c>
      <c r="D559" t="n">
        <v>1000</v>
      </c>
      <c r="E559" t="n">
        <v>110.008</v>
      </c>
      <c r="F559" t="n">
        <v>3931835</v>
      </c>
      <c r="G559" t="inlineStr">
        <is>
          <t>19-19-1-CRFH-PE</t>
        </is>
      </c>
      <c r="H559" t="n">
        <v>59.956</v>
      </c>
      <c r="I559" t="inlineStr">
        <is>
          <t>CUT-R-AW-AUT-19.00X19.00X1.000X0.1100</t>
        </is>
      </c>
      <c r="J559" t="inlineStr">
        <is>
          <t>TVS</t>
        </is>
      </c>
      <c r="K559" t="inlineStr">
        <is>
          <t>19-19-1-CRFH-PE-0.11</t>
        </is>
      </c>
    </row>
    <row r="560">
      <c r="A560" t="inlineStr">
        <is>
          <t>0000188595</t>
        </is>
      </c>
      <c r="B560" t="inlineStr">
        <is>
          <t>Sri Balaji Gears</t>
        </is>
      </c>
      <c r="C560" t="inlineStr">
        <is>
          <t>NOS</t>
        </is>
      </c>
      <c r="D560" t="n">
        <v>1000</v>
      </c>
      <c r="E560" t="n">
        <v>110.008</v>
      </c>
      <c r="F560" t="n">
        <v>3931835</v>
      </c>
      <c r="G560" t="inlineStr">
        <is>
          <t>19-19-1-CRFH-PE</t>
        </is>
      </c>
      <c r="H560" t="n">
        <v>59.956</v>
      </c>
      <c r="I560" t="inlineStr">
        <is>
          <t>CUT-R-AW-AUT-19.00X19.00X1.000X0.1100</t>
        </is>
      </c>
      <c r="J560" t="inlineStr">
        <is>
          <t>TVS</t>
        </is>
      </c>
      <c r="K560" t="inlineStr">
        <is>
          <t>19-19-1-CRFH-PE-0.11</t>
        </is>
      </c>
    </row>
    <row r="561">
      <c r="A561" t="inlineStr">
        <is>
          <t>0000188595</t>
        </is>
      </c>
      <c r="B561" t="inlineStr">
        <is>
          <t>Sri Balaji Gears</t>
        </is>
      </c>
      <c r="C561" t="inlineStr">
        <is>
          <t>NOS</t>
        </is>
      </c>
      <c r="D561" t="n">
        <v>835</v>
      </c>
      <c r="E561" t="n">
        <v>91.857</v>
      </c>
      <c r="F561" t="n">
        <v>3931835</v>
      </c>
      <c r="G561" t="inlineStr">
        <is>
          <t>19-19-1-CRFH-PE</t>
        </is>
      </c>
      <c r="H561" t="n">
        <v>50.063</v>
      </c>
      <c r="I561" t="inlineStr">
        <is>
          <t>CUT-R-AW-AUT-19.00X19.00X1.000X0.1100</t>
        </is>
      </c>
      <c r="J561" t="inlineStr">
        <is>
          <t>TVS</t>
        </is>
      </c>
      <c r="K561" t="inlineStr">
        <is>
          <t>19-19-1-CRFH-PE-0.11</t>
        </is>
      </c>
    </row>
    <row r="562">
      <c r="A562" t="inlineStr">
        <is>
          <t>0000188595</t>
        </is>
      </c>
      <c r="B562" t="inlineStr">
        <is>
          <t>Sri Balaji Gears</t>
        </is>
      </c>
      <c r="C562" t="inlineStr">
        <is>
          <t>NOS</t>
        </is>
      </c>
      <c r="D562" t="n">
        <v>165</v>
      </c>
      <c r="E562" t="n">
        <v>18.151</v>
      </c>
      <c r="F562" t="n">
        <v>3931835</v>
      </c>
      <c r="G562" t="inlineStr">
        <is>
          <t>19-19-1-CRFH-PE</t>
        </is>
      </c>
      <c r="H562" t="n">
        <v>9.893000000000001</v>
      </c>
      <c r="I562" t="inlineStr">
        <is>
          <t>CUT-R-AW-AUT-19.00X19.00X1.000X0.1100</t>
        </is>
      </c>
      <c r="J562" t="inlineStr">
        <is>
          <t>TVS</t>
        </is>
      </c>
      <c r="K562" t="inlineStr">
        <is>
          <t>19-19-1-CRFH-PE-0.11</t>
        </is>
      </c>
    </row>
    <row r="563">
      <c r="A563" t="inlineStr">
        <is>
          <t>0000188595</t>
        </is>
      </c>
      <c r="B563" t="inlineStr">
        <is>
          <t>Sri Balaji Gears</t>
        </is>
      </c>
      <c r="C563" t="inlineStr">
        <is>
          <t>NOS</t>
        </is>
      </c>
      <c r="D563" t="n">
        <v>1000</v>
      </c>
      <c r="E563" t="n">
        <v>639.998</v>
      </c>
      <c r="F563" t="n">
        <v>4151430</v>
      </c>
      <c r="G563" t="inlineStr">
        <is>
          <t>25-25-1.2-CRFH-PE</t>
        </is>
      </c>
      <c r="H563" t="n">
        <v>578.878</v>
      </c>
      <c r="I563" t="inlineStr">
        <is>
          <t>TUB-S-AW-AUT-25.00X25.00X1.200X0.6400</t>
        </is>
      </c>
      <c r="J563" t="inlineStr">
        <is>
          <t>TVS</t>
        </is>
      </c>
      <c r="K563" t="inlineStr">
        <is>
          <t>25-25-1.2-CRFH-PE-0.64</t>
        </is>
      </c>
    </row>
    <row r="564">
      <c r="A564" t="inlineStr">
        <is>
          <t>0000188595</t>
        </is>
      </c>
      <c r="B564" t="inlineStr">
        <is>
          <t>Sri Balaji Gears</t>
        </is>
      </c>
      <c r="C564" t="inlineStr">
        <is>
          <t>NOS</t>
        </is>
      </c>
      <c r="D564" t="n">
        <v>2364</v>
      </c>
      <c r="E564" t="n">
        <v>1512.954</v>
      </c>
      <c r="F564" t="n">
        <v>4151430</v>
      </c>
      <c r="G564" t="inlineStr">
        <is>
          <t>25-25-1.2-CRFH-PE</t>
        </is>
      </c>
      <c r="H564" t="n">
        <v>1368.467</v>
      </c>
      <c r="I564" t="inlineStr">
        <is>
          <t>TUB-S-AW-AUT-25.00X25.00X1.200X0.6400</t>
        </is>
      </c>
      <c r="J564" t="inlineStr">
        <is>
          <t>TVS</t>
        </is>
      </c>
      <c r="K564" t="inlineStr">
        <is>
          <t>25-25-1.2-CRFH-PE-0.64</t>
        </is>
      </c>
    </row>
    <row r="565">
      <c r="A565" t="inlineStr">
        <is>
          <t>0000188595</t>
        </is>
      </c>
      <c r="B565" t="inlineStr">
        <is>
          <t>Sri Balaji Gears</t>
        </is>
      </c>
      <c r="C565" t="inlineStr">
        <is>
          <t>NOS</t>
        </is>
      </c>
      <c r="D565" t="n">
        <v>874</v>
      </c>
      <c r="E565" t="n">
        <v>559.3579999999999</v>
      </c>
      <c r="F565" t="n">
        <v>4151430</v>
      </c>
      <c r="G565" t="inlineStr">
        <is>
          <t>25-25-1.2-CRFH-PE</t>
        </is>
      </c>
      <c r="H565" t="n">
        <v>505.939</v>
      </c>
      <c r="I565" t="inlineStr">
        <is>
          <t>TUB-S-AW-AUT-25.00X25.00X1.200X0.6400</t>
        </is>
      </c>
      <c r="J565" t="inlineStr">
        <is>
          <t>TVS</t>
        </is>
      </c>
      <c r="K565" t="inlineStr">
        <is>
          <t>25-25-1.2-CRFH-PE-0.64</t>
        </is>
      </c>
    </row>
    <row r="566">
      <c r="A566" t="inlineStr">
        <is>
          <t>0000188595</t>
        </is>
      </c>
      <c r="B566" t="inlineStr">
        <is>
          <t>Sri Balaji Gears</t>
        </is>
      </c>
      <c r="C566" t="inlineStr">
        <is>
          <t>NOS</t>
        </is>
      </c>
      <c r="D566" t="n">
        <v>549</v>
      </c>
      <c r="E566" t="n">
        <v>351.359</v>
      </c>
      <c r="F566" t="n">
        <v>4151430</v>
      </c>
      <c r="G566" t="inlineStr">
        <is>
          <t>25-25-1.2-CRFH-PE</t>
        </is>
      </c>
      <c r="H566" t="n">
        <v>317.804</v>
      </c>
      <c r="I566" t="inlineStr">
        <is>
          <t>TUB-S-AW-AUT-25.00X25.00X1.200X0.6400</t>
        </is>
      </c>
      <c r="J566" t="inlineStr">
        <is>
          <t>TVS</t>
        </is>
      </c>
      <c r="K566" t="inlineStr">
        <is>
          <t>25-25-1.2-CRFH-PE-0.64</t>
        </is>
      </c>
    </row>
    <row r="567">
      <c r="A567" t="inlineStr">
        <is>
          <t>0000188595</t>
        </is>
      </c>
      <c r="B567" t="inlineStr">
        <is>
          <t>Sri Balaji Gears</t>
        </is>
      </c>
      <c r="C567" t="inlineStr">
        <is>
          <t>NOS</t>
        </is>
      </c>
      <c r="D567" t="n">
        <v>82</v>
      </c>
      <c r="E567" t="n">
        <v>52.48</v>
      </c>
      <c r="F567" t="n">
        <v>4151430</v>
      </c>
      <c r="G567" t="inlineStr">
        <is>
          <t>25-25-1.2-CRFH-PE</t>
        </is>
      </c>
      <c r="H567" t="n">
        <v>47.468</v>
      </c>
      <c r="I567" t="inlineStr">
        <is>
          <t>TUB-S-AW-AUT-25.00X25.00X1.200X0.6400</t>
        </is>
      </c>
      <c r="J567" t="inlineStr">
        <is>
          <t>TVS</t>
        </is>
      </c>
      <c r="K567" t="inlineStr">
        <is>
          <t>25-25-1.2-CRFH-PE-0.64</t>
        </is>
      </c>
    </row>
    <row r="568">
      <c r="A568" t="inlineStr">
        <is>
          <t>0000188595</t>
        </is>
      </c>
      <c r="B568" t="inlineStr">
        <is>
          <t>Sri Balaji Gears</t>
        </is>
      </c>
      <c r="C568" t="inlineStr">
        <is>
          <t>NOS</t>
        </is>
      </c>
      <c r="D568" t="n">
        <v>69</v>
      </c>
      <c r="E568" t="n">
        <v>44.16</v>
      </c>
      <c r="F568" t="n">
        <v>4151430</v>
      </c>
      <c r="G568" t="inlineStr">
        <is>
          <t>25-25-1.2-CRFH-PE</t>
        </is>
      </c>
      <c r="H568" t="n">
        <v>39.943</v>
      </c>
      <c r="I568" t="inlineStr">
        <is>
          <t>TUB-S-AW-AUT-25.00X25.00X1.200X0.6400</t>
        </is>
      </c>
      <c r="J568" t="inlineStr">
        <is>
          <t>TVS</t>
        </is>
      </c>
      <c r="K568" t="inlineStr">
        <is>
          <t>25-25-1.2-CRFH-PE-0.64</t>
        </is>
      </c>
    </row>
    <row r="569">
      <c r="A569" t="inlineStr">
        <is>
          <t>0000188595</t>
        </is>
      </c>
      <c r="B569" t="inlineStr">
        <is>
          <t>Sri Balaji Gears</t>
        </is>
      </c>
      <c r="C569" t="inlineStr">
        <is>
          <t>NOS</t>
        </is>
      </c>
      <c r="D569" t="n">
        <v>62</v>
      </c>
      <c r="E569" t="n">
        <v>39.68</v>
      </c>
      <c r="F569" t="n">
        <v>4151430</v>
      </c>
      <c r="G569" t="inlineStr">
        <is>
          <t>25-25-1.2-CRFH-PE</t>
        </is>
      </c>
      <c r="H569" t="n">
        <v>35.89</v>
      </c>
      <c r="I569" t="inlineStr">
        <is>
          <t>TUB-S-AW-AUT-25.00X25.00X1.200X0.6400</t>
        </is>
      </c>
      <c r="J569" t="inlineStr">
        <is>
          <t>TVS</t>
        </is>
      </c>
      <c r="K569" t="inlineStr">
        <is>
          <t>25-25-1.2-CRFH-PE-0.64</t>
        </is>
      </c>
    </row>
    <row r="570">
      <c r="A570" t="inlineStr">
        <is>
          <t>0000188595</t>
        </is>
      </c>
      <c r="B570" t="inlineStr">
        <is>
          <t>Sri Balaji Gears</t>
        </is>
      </c>
      <c r="C570" t="inlineStr">
        <is>
          <t>NOS</t>
        </is>
      </c>
      <c r="D570" t="n">
        <v>1000</v>
      </c>
      <c r="E570" t="n">
        <v>639.998</v>
      </c>
      <c r="F570" t="n">
        <v>4151430</v>
      </c>
      <c r="G570" t="inlineStr">
        <is>
          <t>25-25-1.2-CRFH-PE</t>
        </is>
      </c>
      <c r="H570" t="n">
        <v>578.878</v>
      </c>
      <c r="I570" t="inlineStr">
        <is>
          <t>TUB-S-AW-AUT-25.00X25.00X1.200X0.6400</t>
        </is>
      </c>
      <c r="J570" t="inlineStr">
        <is>
          <t>TVS</t>
        </is>
      </c>
      <c r="K570" t="inlineStr">
        <is>
          <t>25-25-1.2-CRFH-PE-0.64</t>
        </is>
      </c>
    </row>
    <row r="571">
      <c r="A571" t="inlineStr">
        <is>
          <t>0000188595</t>
        </is>
      </c>
      <c r="B571" t="inlineStr">
        <is>
          <t>Sri Balaji Gears</t>
        </is>
      </c>
      <c r="C571" t="inlineStr">
        <is>
          <t>NOS</t>
        </is>
      </c>
      <c r="D571" t="n">
        <v>1000</v>
      </c>
      <c r="E571" t="n">
        <v>639.998</v>
      </c>
      <c r="F571" t="n">
        <v>4151430</v>
      </c>
      <c r="G571" t="inlineStr">
        <is>
          <t>25-25-1.2-CRFH-PE</t>
        </is>
      </c>
      <c r="H571" t="n">
        <v>578.878</v>
      </c>
      <c r="I571" t="inlineStr">
        <is>
          <t>TUB-S-AW-AUT-25.00X25.00X1.200X0.6400</t>
        </is>
      </c>
      <c r="J571" t="inlineStr">
        <is>
          <t>TVS</t>
        </is>
      </c>
      <c r="K571" t="inlineStr">
        <is>
          <t>25-25-1.2-CRFH-PE-0.64</t>
        </is>
      </c>
    </row>
    <row r="572">
      <c r="A572" t="inlineStr">
        <is>
          <t>0000188595</t>
        </is>
      </c>
      <c r="B572" t="inlineStr">
        <is>
          <t>Sri Balaji Gears</t>
        </is>
      </c>
      <c r="C572" t="inlineStr">
        <is>
          <t>NOS</t>
        </is>
      </c>
      <c r="D572" t="n">
        <v>1000</v>
      </c>
      <c r="E572" t="n">
        <v>639.998</v>
      </c>
      <c r="F572" t="n">
        <v>4151430</v>
      </c>
      <c r="G572" t="inlineStr">
        <is>
          <t>25-25-1.2-CRFH-PE</t>
        </is>
      </c>
      <c r="H572" t="n">
        <v>578.878</v>
      </c>
      <c r="I572" t="inlineStr">
        <is>
          <t>TUB-S-AW-AUT-25.00X25.00X1.200X0.6400</t>
        </is>
      </c>
      <c r="J572" t="inlineStr">
        <is>
          <t>TVS</t>
        </is>
      </c>
      <c r="K572" t="inlineStr">
        <is>
          <t>25-25-1.2-CRFH-PE-0.64</t>
        </is>
      </c>
    </row>
    <row r="573">
      <c r="A573" t="inlineStr">
        <is>
          <t>0000189002</t>
        </is>
      </c>
      <c r="B573" t="inlineStr">
        <is>
          <t>Marathwada Auto Compo Pvt. Ltd.</t>
        </is>
      </c>
      <c r="C573" t="inlineStr">
        <is>
          <t>NOS</t>
        </is>
      </c>
      <c r="D573" t="n">
        <v>850</v>
      </c>
      <c r="E573" t="n">
        <v>543.998</v>
      </c>
      <c r="F573" t="n">
        <v>4151430</v>
      </c>
      <c r="G573" t="inlineStr">
        <is>
          <t>25-25-1.2-CRFH-PE</t>
        </is>
      </c>
      <c r="H573" t="n">
        <v>492.046</v>
      </c>
      <c r="I573" t="inlineStr">
        <is>
          <t>TUB-S-AW-AUT-25.00X25.00X1.200X0.6400</t>
        </is>
      </c>
      <c r="J573" t="inlineStr">
        <is>
          <t>TVS</t>
        </is>
      </c>
      <c r="K573" t="inlineStr">
        <is>
          <t>25-25-1.2-CRFH-PE-0.64</t>
        </is>
      </c>
    </row>
    <row r="574">
      <c r="A574" t="inlineStr">
        <is>
          <t>0000189002</t>
        </is>
      </c>
      <c r="B574" t="inlineStr">
        <is>
          <t>Marathwada Auto Compo Pvt. Ltd.</t>
        </is>
      </c>
      <c r="C574" t="inlineStr">
        <is>
          <t>NOS</t>
        </is>
      </c>
      <c r="D574" t="n">
        <v>150</v>
      </c>
      <c r="E574" t="n">
        <v>96</v>
      </c>
      <c r="F574" t="n">
        <v>4151430</v>
      </c>
      <c r="G574" t="inlineStr">
        <is>
          <t>25-25-1.2-CRFH-PE</t>
        </is>
      </c>
      <c r="H574" t="n">
        <v>86.83199999999999</v>
      </c>
      <c r="I574" t="inlineStr">
        <is>
          <t>TUB-S-AW-AUT-25.00X25.00X1.200X0.6400</t>
        </is>
      </c>
      <c r="J574" t="inlineStr">
        <is>
          <t>TVS</t>
        </is>
      </c>
      <c r="K574" t="inlineStr">
        <is>
          <t>25-25-1.2-CRFH-PE-0.64</t>
        </is>
      </c>
    </row>
    <row r="575">
      <c r="A575" t="inlineStr">
        <is>
          <t>0000188595</t>
        </is>
      </c>
      <c r="B575" t="inlineStr">
        <is>
          <t>Sri Balaji Gears</t>
        </is>
      </c>
      <c r="C575" t="inlineStr">
        <is>
          <t>NOS</t>
        </is>
      </c>
      <c r="D575" t="n">
        <v>1000</v>
      </c>
      <c r="E575" t="n">
        <v>639.998</v>
      </c>
      <c r="F575" t="n">
        <v>4151430</v>
      </c>
      <c r="G575" t="inlineStr">
        <is>
          <t>25-25-1.2-CRFH-PE</t>
        </is>
      </c>
      <c r="H575" t="n">
        <v>578.878</v>
      </c>
      <c r="I575" t="inlineStr">
        <is>
          <t>TUB-S-AW-AUT-25.00X25.00X1.200X0.6400</t>
        </is>
      </c>
      <c r="J575" t="inlineStr">
        <is>
          <t>TVS</t>
        </is>
      </c>
      <c r="K575" t="inlineStr">
        <is>
          <t>25-25-1.2-CRFH-PE-0.64</t>
        </is>
      </c>
    </row>
    <row r="576">
      <c r="A576" t="inlineStr">
        <is>
          <t>0000188595</t>
        </is>
      </c>
      <c r="B576" t="inlineStr">
        <is>
          <t>Sri Balaji Gears</t>
        </is>
      </c>
      <c r="C576" t="inlineStr">
        <is>
          <t>NOS</t>
        </is>
      </c>
      <c r="D576" t="n">
        <v>670</v>
      </c>
      <c r="E576" t="n">
        <v>428.798</v>
      </c>
      <c r="F576" t="n">
        <v>4151430</v>
      </c>
      <c r="G576" t="inlineStr">
        <is>
          <t>25-25-1.2-CRFH-PE</t>
        </is>
      </c>
      <c r="H576" t="n">
        <v>387.848</v>
      </c>
      <c r="I576" t="inlineStr">
        <is>
          <t>TUB-S-AW-AUT-25.00X25.00X1.200X0.6400</t>
        </is>
      </c>
      <c r="J576" t="inlineStr">
        <is>
          <t>TVS</t>
        </is>
      </c>
      <c r="K576" t="inlineStr">
        <is>
          <t>25-25-1.2-CRFH-PE-0.64</t>
        </is>
      </c>
    </row>
    <row r="577">
      <c r="A577" t="inlineStr">
        <is>
          <t>0000188595</t>
        </is>
      </c>
      <c r="B577" t="inlineStr">
        <is>
          <t>Sri Balaji Gears</t>
        </is>
      </c>
      <c r="C577" t="inlineStr">
        <is>
          <t>NOS</t>
        </is>
      </c>
      <c r="D577" t="n">
        <v>330</v>
      </c>
      <c r="E577" t="n">
        <v>211.199</v>
      </c>
      <c r="F577" t="n">
        <v>4151430</v>
      </c>
      <c r="G577" t="inlineStr">
        <is>
          <t>25-25-1.2-CRFH-PE</t>
        </is>
      </c>
      <c r="H577" t="n">
        <v>191.03</v>
      </c>
      <c r="I577" t="inlineStr">
        <is>
          <t>TUB-S-AW-AUT-25.00X25.00X1.200X0.6400</t>
        </is>
      </c>
      <c r="J577" t="inlineStr">
        <is>
          <t>TVS</t>
        </is>
      </c>
      <c r="K577" t="inlineStr">
        <is>
          <t>25-25-1.2-CRFH-PE-0.64</t>
        </is>
      </c>
    </row>
    <row r="578">
      <c r="A578" t="inlineStr">
        <is>
          <t>0000188595</t>
        </is>
      </c>
      <c r="B578" t="inlineStr">
        <is>
          <t>Sri Balaji Gears</t>
        </is>
      </c>
      <c r="C578" t="inlineStr">
        <is>
          <t>NOS</t>
        </is>
      </c>
      <c r="D578" t="n">
        <v>500</v>
      </c>
      <c r="E578" t="n">
        <v>615.004</v>
      </c>
      <c r="F578" t="n">
        <v>3929692</v>
      </c>
      <c r="G578" t="inlineStr">
        <is>
          <t>19.05-0-1.2-CRFH-PE</t>
        </is>
      </c>
      <c r="H578" t="n">
        <v>324.872</v>
      </c>
      <c r="I578" t="inlineStr">
        <is>
          <t>CUT-O-N-AUT-AW-PE-19.05X1.200X1.2300</t>
        </is>
      </c>
      <c r="J578" t="inlineStr">
        <is>
          <t>TVS</t>
        </is>
      </c>
      <c r="K578" t="inlineStr">
        <is>
          <t>19.05-0-1.2-CRFH-PE-1.23</t>
        </is>
      </c>
    </row>
    <row r="579">
      <c r="A579" t="inlineStr">
        <is>
          <t>0000189002</t>
        </is>
      </c>
      <c r="B579" t="inlineStr">
        <is>
          <t>Marathwada Auto Compo Pvt. Ltd.</t>
        </is>
      </c>
      <c r="C579" t="inlineStr">
        <is>
          <t>NOS</t>
        </is>
      </c>
      <c r="D579" t="n">
        <v>500</v>
      </c>
      <c r="E579" t="n">
        <v>615.004</v>
      </c>
      <c r="F579" t="n">
        <v>3929692</v>
      </c>
      <c r="G579" t="inlineStr">
        <is>
          <t>19.05-0-1.2-CRFH-PE</t>
        </is>
      </c>
      <c r="H579" t="n">
        <v>324.872</v>
      </c>
      <c r="I579" t="inlineStr">
        <is>
          <t>CUT-O-N-AUT-AW-PE-19.05X1.200X1.2300</t>
        </is>
      </c>
      <c r="J579" t="inlineStr">
        <is>
          <t>TVS</t>
        </is>
      </c>
      <c r="K579" t="inlineStr">
        <is>
          <t>19.05-0-1.2-CRFH-PE-1.23</t>
        </is>
      </c>
    </row>
    <row r="580">
      <c r="A580" t="inlineStr">
        <is>
          <t>0000189002</t>
        </is>
      </c>
      <c r="B580" t="inlineStr">
        <is>
          <t>Marathwada Auto Compo Pvt. Ltd.</t>
        </is>
      </c>
      <c r="C580" t="inlineStr">
        <is>
          <t>NOS</t>
        </is>
      </c>
      <c r="D580" t="n">
        <v>500</v>
      </c>
      <c r="E580" t="n">
        <v>615.004</v>
      </c>
      <c r="F580" t="n">
        <v>3929692</v>
      </c>
      <c r="G580" t="inlineStr">
        <is>
          <t>19.05-0-1.2-CRFH-PE</t>
        </is>
      </c>
      <c r="H580" t="n">
        <v>324.872</v>
      </c>
      <c r="I580" t="inlineStr">
        <is>
          <t>CUT-O-N-AUT-AW-PE-19.05X1.200X1.2300</t>
        </is>
      </c>
      <c r="J580" t="inlineStr">
        <is>
          <t>TVS</t>
        </is>
      </c>
      <c r="K580" t="inlineStr">
        <is>
          <t>19.05-0-1.2-CRFH-PE-1.23</t>
        </is>
      </c>
    </row>
    <row r="581">
      <c r="A581" t="inlineStr">
        <is>
          <t>0000188595</t>
        </is>
      </c>
      <c r="B581" t="inlineStr">
        <is>
          <t>Sri Balaji Gears</t>
        </is>
      </c>
      <c r="C581" t="inlineStr">
        <is>
          <t>NOS</t>
        </is>
      </c>
      <c r="D581" t="n">
        <v>500</v>
      </c>
      <c r="E581" t="n">
        <v>615.004</v>
      </c>
      <c r="F581" t="n">
        <v>3929692</v>
      </c>
      <c r="G581" t="inlineStr">
        <is>
          <t>19.05-0-1.2-CRFH-PE</t>
        </is>
      </c>
      <c r="H581" t="n">
        <v>324.872</v>
      </c>
      <c r="I581" t="inlineStr">
        <is>
          <t>CUT-O-N-AUT-AW-PE-19.05X1.200X1.2300</t>
        </is>
      </c>
      <c r="J581" t="inlineStr">
        <is>
          <t>TVS</t>
        </is>
      </c>
      <c r="K581" t="inlineStr">
        <is>
          <t>19.05-0-1.2-CRFH-PE-1.23</t>
        </is>
      </c>
    </row>
    <row r="582">
      <c r="A582" t="inlineStr">
        <is>
          <t>0000188595</t>
        </is>
      </c>
      <c r="B582" t="inlineStr">
        <is>
          <t>Sri Balaji Gears</t>
        </is>
      </c>
      <c r="C582" t="inlineStr">
        <is>
          <t>NOS</t>
        </is>
      </c>
      <c r="D582" t="n">
        <v>1025</v>
      </c>
      <c r="E582" t="n">
        <v>1260.757</v>
      </c>
      <c r="F582" t="n">
        <v>3929692</v>
      </c>
      <c r="G582" t="inlineStr">
        <is>
          <t>19.05-0-1.2-CRFH-PE</t>
        </is>
      </c>
      <c r="H582" t="n">
        <v>665.9880000000001</v>
      </c>
      <c r="I582" t="inlineStr">
        <is>
          <t>CUT-O-N-AUT-AW-PE-19.05X1.200X1.2300</t>
        </is>
      </c>
      <c r="J582" t="inlineStr">
        <is>
          <t>TVS</t>
        </is>
      </c>
      <c r="K582" t="inlineStr">
        <is>
          <t>19.05-0-1.2-CRFH-PE-1.23</t>
        </is>
      </c>
    </row>
    <row r="583">
      <c r="A583" t="inlineStr">
        <is>
          <t>0000188595</t>
        </is>
      </c>
      <c r="B583" t="inlineStr">
        <is>
          <t>Sri Balaji Gears</t>
        </is>
      </c>
      <c r="C583" t="inlineStr">
        <is>
          <t>NOS</t>
        </is>
      </c>
      <c r="D583" t="n">
        <v>576</v>
      </c>
      <c r="E583" t="n">
        <v>708.484</v>
      </c>
      <c r="F583" t="n">
        <v>3929692</v>
      </c>
      <c r="G583" t="inlineStr">
        <is>
          <t>19.05-0-1.2-CRFH-PE</t>
        </is>
      </c>
      <c r="H583" t="n">
        <v>374.253</v>
      </c>
      <c r="I583" t="inlineStr">
        <is>
          <t>CUT-O-N-AUT-AW-PE-19.05X1.200X1.2300</t>
        </is>
      </c>
      <c r="J583" t="inlineStr">
        <is>
          <t>TVS</t>
        </is>
      </c>
      <c r="K583" t="inlineStr">
        <is>
          <t>19.05-0-1.2-CRFH-PE-1.23</t>
        </is>
      </c>
    </row>
    <row r="584">
      <c r="A584" t="inlineStr">
        <is>
          <t>0000188595</t>
        </is>
      </c>
      <c r="B584" t="inlineStr">
        <is>
          <t>Sri Balaji Gears</t>
        </is>
      </c>
      <c r="C584" t="inlineStr">
        <is>
          <t>NOS</t>
        </is>
      </c>
      <c r="D584" t="n">
        <v>150</v>
      </c>
      <c r="E584" t="n">
        <v>184.501</v>
      </c>
      <c r="F584" t="n">
        <v>3929692</v>
      </c>
      <c r="G584" t="inlineStr">
        <is>
          <t>19.05-0-1.2-CRFH-PE</t>
        </is>
      </c>
      <c r="H584" t="n">
        <v>97.462</v>
      </c>
      <c r="I584" t="inlineStr">
        <is>
          <t>CUT-O-N-AUT-AW-PE-19.05X1.200X1.2300</t>
        </is>
      </c>
      <c r="J584" t="inlineStr">
        <is>
          <t>TVS</t>
        </is>
      </c>
      <c r="K584" t="inlineStr">
        <is>
          <t>19.05-0-1.2-CRFH-PE-1.23</t>
        </is>
      </c>
    </row>
    <row r="585">
      <c r="A585" t="inlineStr">
        <is>
          <t>0000188595</t>
        </is>
      </c>
      <c r="B585" t="inlineStr">
        <is>
          <t>Sri Balaji Gears</t>
        </is>
      </c>
      <c r="C585" t="inlineStr">
        <is>
          <t>NOS</t>
        </is>
      </c>
      <c r="D585" t="n">
        <v>149</v>
      </c>
      <c r="E585" t="n">
        <v>183.271</v>
      </c>
      <c r="F585" t="n">
        <v>3929692</v>
      </c>
      <c r="G585" t="inlineStr">
        <is>
          <t>19.05-0-1.2-CRFH-PE</t>
        </is>
      </c>
      <c r="H585" t="n">
        <v>96.812</v>
      </c>
      <c r="I585" t="inlineStr">
        <is>
          <t>CUT-O-N-AUT-AW-PE-19.05X1.200X1.2300</t>
        </is>
      </c>
      <c r="J585" t="inlineStr">
        <is>
          <t>TVS</t>
        </is>
      </c>
      <c r="K585" t="inlineStr">
        <is>
          <t>19.05-0-1.2-CRFH-PE-1.23</t>
        </is>
      </c>
    </row>
    <row r="586">
      <c r="A586" t="inlineStr">
        <is>
          <t>0000188595</t>
        </is>
      </c>
      <c r="B586" t="inlineStr">
        <is>
          <t>Sri Balaji Gears</t>
        </is>
      </c>
      <c r="C586" t="inlineStr">
        <is>
          <t>NOS</t>
        </is>
      </c>
      <c r="D586" t="n">
        <v>76</v>
      </c>
      <c r="E586" t="n">
        <v>93.48099999999999</v>
      </c>
      <c r="F586" t="n">
        <v>3929692</v>
      </c>
      <c r="G586" t="inlineStr">
        <is>
          <t>19.05-0-1.2-CRFH-PE</t>
        </is>
      </c>
      <c r="H586" t="n">
        <v>49.381</v>
      </c>
      <c r="I586" t="inlineStr">
        <is>
          <t>CUT-O-N-AUT-AW-PE-19.05X1.200X1.2300</t>
        </is>
      </c>
      <c r="J586" t="inlineStr">
        <is>
          <t>TVS</t>
        </is>
      </c>
      <c r="K586" t="inlineStr">
        <is>
          <t>19.05-0-1.2-CRFH-PE-1.23</t>
        </is>
      </c>
    </row>
    <row r="587">
      <c r="A587" t="inlineStr">
        <is>
          <t>0000188595</t>
        </is>
      </c>
      <c r="B587" t="inlineStr">
        <is>
          <t>Sri Balaji Gears</t>
        </is>
      </c>
      <c r="C587" t="inlineStr">
        <is>
          <t>NOS</t>
        </is>
      </c>
      <c r="D587" t="n">
        <v>18</v>
      </c>
      <c r="E587" t="n">
        <v>22.14</v>
      </c>
      <c r="F587" t="n">
        <v>3929692</v>
      </c>
      <c r="G587" t="inlineStr">
        <is>
          <t>19.05-0-1.2-CRFH-PE</t>
        </is>
      </c>
      <c r="H587" t="n">
        <v>11.695</v>
      </c>
      <c r="I587" t="inlineStr">
        <is>
          <t>CUT-O-N-AUT-AW-PE-19.05X1.200X1.2300</t>
        </is>
      </c>
      <c r="J587" t="inlineStr">
        <is>
          <t>TVS</t>
        </is>
      </c>
      <c r="K587" t="inlineStr">
        <is>
          <t>19.05-0-1.2-CRFH-PE-1.23</t>
        </is>
      </c>
    </row>
    <row r="588">
      <c r="A588" t="inlineStr">
        <is>
          <t>0000188595</t>
        </is>
      </c>
      <c r="B588" t="inlineStr">
        <is>
          <t>Sri Balaji Gears</t>
        </is>
      </c>
      <c r="C588" t="inlineStr">
        <is>
          <t>NOS</t>
        </is>
      </c>
      <c r="D588" t="n">
        <v>6</v>
      </c>
      <c r="E588" t="n">
        <v>7.38</v>
      </c>
      <c r="F588" t="n">
        <v>3929692</v>
      </c>
      <c r="G588" t="inlineStr">
        <is>
          <t>19.05-0-1.2-CRFH-PE</t>
        </is>
      </c>
      <c r="H588" t="n">
        <v>3.898</v>
      </c>
      <c r="I588" t="inlineStr">
        <is>
          <t>CUT-O-N-AUT-AW-PE-19.05X1.200X1.2300</t>
        </is>
      </c>
      <c r="J588" t="inlineStr">
        <is>
          <t>TVS</t>
        </is>
      </c>
      <c r="K588" t="inlineStr">
        <is>
          <t>19.05-0-1.2-CRFH-PE-1.23</t>
        </is>
      </c>
    </row>
    <row r="589">
      <c r="A589" t="inlineStr">
        <is>
          <t>0000189002</t>
        </is>
      </c>
      <c r="B589" t="inlineStr">
        <is>
          <t>Marathwada Auto Compo Pvt. Ltd.</t>
        </is>
      </c>
      <c r="C589" t="inlineStr">
        <is>
          <t>NOS</t>
        </is>
      </c>
      <c r="D589" t="n">
        <v>500</v>
      </c>
      <c r="E589" t="n">
        <v>615.004</v>
      </c>
      <c r="F589" t="n">
        <v>3929692</v>
      </c>
      <c r="G589" t="inlineStr">
        <is>
          <t>19.05-0-1.2-CRFH-PE</t>
        </is>
      </c>
      <c r="H589" t="n">
        <v>324.872</v>
      </c>
      <c r="I589" t="inlineStr">
        <is>
          <t>CUT-O-N-AUT-AW-PE-19.05X1.200X1.2300</t>
        </is>
      </c>
      <c r="J589" t="inlineStr">
        <is>
          <t>TVS</t>
        </is>
      </c>
      <c r="K589" t="inlineStr">
        <is>
          <t>19.05-0-1.2-CRFH-PE-1.23</t>
        </is>
      </c>
    </row>
    <row r="590">
      <c r="A590" t="inlineStr">
        <is>
          <t>0000188595</t>
        </is>
      </c>
      <c r="B590" t="inlineStr">
        <is>
          <t>Sri Balaji Gears</t>
        </is>
      </c>
      <c r="C590" t="inlineStr">
        <is>
          <t>NOS</t>
        </is>
      </c>
      <c r="D590" t="n">
        <v>500</v>
      </c>
      <c r="E590" t="n">
        <v>615.004</v>
      </c>
      <c r="F590" t="n">
        <v>3929692</v>
      </c>
      <c r="G590" t="inlineStr">
        <is>
          <t>19.05-0-1.2-CRFH-PE</t>
        </is>
      </c>
      <c r="H590" t="n">
        <v>324.872</v>
      </c>
      <c r="I590" t="inlineStr">
        <is>
          <t>CUT-O-N-AUT-AW-PE-19.05X1.200X1.2300</t>
        </is>
      </c>
      <c r="J590" t="inlineStr">
        <is>
          <t>TVS</t>
        </is>
      </c>
      <c r="K590" t="inlineStr">
        <is>
          <t>19.05-0-1.2-CRFH-PE-1.23</t>
        </is>
      </c>
    </row>
    <row r="591">
      <c r="A591" t="inlineStr">
        <is>
          <t>0000189002</t>
        </is>
      </c>
      <c r="B591" t="inlineStr">
        <is>
          <t>Marathwada Auto Compo Pvt. Ltd.</t>
        </is>
      </c>
      <c r="C591" t="inlineStr">
        <is>
          <t>NOS</t>
        </is>
      </c>
      <c r="D591" t="n">
        <v>500</v>
      </c>
      <c r="E591" t="n">
        <v>615.004</v>
      </c>
      <c r="F591" t="n">
        <v>3929692</v>
      </c>
      <c r="G591" t="inlineStr">
        <is>
          <t>19.05-0-1.2-CRFH-PE</t>
        </is>
      </c>
      <c r="H591" t="n">
        <v>324.872</v>
      </c>
      <c r="I591" t="inlineStr">
        <is>
          <t>CUT-O-N-AUT-AW-PE-19.05X1.200X1.2300</t>
        </is>
      </c>
      <c r="J591" t="inlineStr">
        <is>
          <t>TVS</t>
        </is>
      </c>
      <c r="K591" t="inlineStr">
        <is>
          <t>19.05-0-1.2-CRFH-PE-1.23</t>
        </is>
      </c>
    </row>
    <row r="592">
      <c r="A592" t="inlineStr">
        <is>
          <t>0000188595</t>
        </is>
      </c>
      <c r="B592" t="inlineStr">
        <is>
          <t>Sri Balaji Gears</t>
        </is>
      </c>
      <c r="C592" t="inlineStr">
        <is>
          <t>NOS</t>
        </is>
      </c>
      <c r="D592" t="n">
        <v>500</v>
      </c>
      <c r="E592" t="n">
        <v>615.004</v>
      </c>
      <c r="F592" t="n">
        <v>3929692</v>
      </c>
      <c r="G592" t="inlineStr">
        <is>
          <t>19.05-0-1.2-CRFH-PE</t>
        </is>
      </c>
      <c r="H592" t="n">
        <v>324.872</v>
      </c>
      <c r="I592" t="inlineStr">
        <is>
          <t>CUT-O-N-AUT-AW-PE-19.05X1.200X1.2300</t>
        </is>
      </c>
      <c r="J592" t="inlineStr">
        <is>
          <t>TVS</t>
        </is>
      </c>
      <c r="K592" t="inlineStr">
        <is>
          <t>19.05-0-1.2-CRFH-PE-1.23</t>
        </is>
      </c>
    </row>
    <row r="593">
      <c r="A593" t="inlineStr">
        <is>
          <t>0000189002</t>
        </is>
      </c>
      <c r="B593" t="inlineStr">
        <is>
          <t>Marathwada Auto Compo Pvt. Ltd.</t>
        </is>
      </c>
      <c r="C593" t="inlineStr">
        <is>
          <t>NOS</t>
        </is>
      </c>
      <c r="D593" t="n">
        <v>500</v>
      </c>
      <c r="E593" t="n">
        <v>615.004</v>
      </c>
      <c r="F593" t="n">
        <v>3929692</v>
      </c>
      <c r="G593" t="inlineStr">
        <is>
          <t>19.05-0-1.2-CRFH-PE</t>
        </is>
      </c>
      <c r="H593" t="n">
        <v>324.872</v>
      </c>
      <c r="I593" t="inlineStr">
        <is>
          <t>CUT-O-N-AUT-AW-PE-19.05X1.200X1.2300</t>
        </is>
      </c>
      <c r="J593" t="inlineStr">
        <is>
          <t>TVS</t>
        </is>
      </c>
      <c r="K593" t="inlineStr">
        <is>
          <t>19.05-0-1.2-CRFH-PE-1.23</t>
        </is>
      </c>
    </row>
    <row r="594">
      <c r="A594" t="inlineStr">
        <is>
          <t>0000188595</t>
        </is>
      </c>
      <c r="B594" t="inlineStr">
        <is>
          <t>Sri Balaji Gears</t>
        </is>
      </c>
      <c r="C594" t="inlineStr">
        <is>
          <t>NOS</t>
        </is>
      </c>
      <c r="D594" t="n">
        <v>500</v>
      </c>
      <c r="E594" t="n">
        <v>615.004</v>
      </c>
      <c r="F594" t="n">
        <v>3929692</v>
      </c>
      <c r="G594" t="inlineStr">
        <is>
          <t>19.05-0-1.2-CRFH-PE</t>
        </is>
      </c>
      <c r="H594" t="n">
        <v>324.872</v>
      </c>
      <c r="I594" t="inlineStr">
        <is>
          <t>CUT-O-N-AUT-AW-PE-19.05X1.200X1.2300</t>
        </is>
      </c>
      <c r="J594" t="inlineStr">
        <is>
          <t>TVS</t>
        </is>
      </c>
      <c r="K594" t="inlineStr">
        <is>
          <t>19.05-0-1.2-CRFH-PE-1.23</t>
        </is>
      </c>
    </row>
    <row r="595">
      <c r="A595" t="inlineStr">
        <is>
          <t>0000189002</t>
        </is>
      </c>
      <c r="B595" t="inlineStr">
        <is>
          <t>Marathwada Auto Compo Pvt. Ltd.</t>
        </is>
      </c>
      <c r="C595" t="inlineStr">
        <is>
          <t>NOS</t>
        </is>
      </c>
      <c r="D595" t="n">
        <v>500</v>
      </c>
      <c r="E595" t="n">
        <v>615.004</v>
      </c>
      <c r="F595" t="n">
        <v>3929692</v>
      </c>
      <c r="G595" t="inlineStr">
        <is>
          <t>19.05-0-1.2-CRFH-PE</t>
        </is>
      </c>
      <c r="H595" t="n">
        <v>324.872</v>
      </c>
      <c r="I595" t="inlineStr">
        <is>
          <t>CUT-O-N-AUT-AW-PE-19.05X1.200X1.2300</t>
        </is>
      </c>
      <c r="J595" t="inlineStr">
        <is>
          <t>TVS</t>
        </is>
      </c>
      <c r="K595" t="inlineStr">
        <is>
          <t>19.05-0-1.2-CRFH-PE-1.23</t>
        </is>
      </c>
    </row>
    <row r="596">
      <c r="A596" t="inlineStr">
        <is>
          <t>0000188595</t>
        </is>
      </c>
      <c r="B596" t="inlineStr">
        <is>
          <t>Sri Balaji Gears</t>
        </is>
      </c>
      <c r="C596" t="inlineStr">
        <is>
          <t>NOS</t>
        </is>
      </c>
      <c r="D596" t="n">
        <v>276</v>
      </c>
      <c r="E596" t="n">
        <v>339.482</v>
      </c>
      <c r="F596" t="n">
        <v>3929692</v>
      </c>
      <c r="G596" t="inlineStr">
        <is>
          <t>19.05-0-1.2-CRFH-PE</t>
        </is>
      </c>
      <c r="H596" t="n">
        <v>179.329</v>
      </c>
      <c r="I596" t="inlineStr">
        <is>
          <t>CUT-O-N-AUT-AW-PE-19.05X1.200X1.2300</t>
        </is>
      </c>
      <c r="J596" t="inlineStr">
        <is>
          <t>TVS</t>
        </is>
      </c>
      <c r="K596" t="inlineStr">
        <is>
          <t>19.05-0-1.2-CRFH-PE-1.23</t>
        </is>
      </c>
    </row>
    <row r="597">
      <c r="A597" t="inlineStr">
        <is>
          <t>0000188595</t>
        </is>
      </c>
      <c r="B597" t="inlineStr">
        <is>
          <t>Sri Balaji Gears</t>
        </is>
      </c>
      <c r="C597" t="inlineStr">
        <is>
          <t>NOS</t>
        </is>
      </c>
      <c r="D597" t="n">
        <v>217</v>
      </c>
      <c r="E597" t="n">
        <v>266.912</v>
      </c>
      <c r="F597" t="n">
        <v>3929692</v>
      </c>
      <c r="G597" t="inlineStr">
        <is>
          <t>19.05-0-1.2-CRFH-PE</t>
        </is>
      </c>
      <c r="H597" t="n">
        <v>140.995</v>
      </c>
      <c r="I597" t="inlineStr">
        <is>
          <t>CUT-O-N-AUT-AW-PE-19.05X1.200X1.2300</t>
        </is>
      </c>
      <c r="J597" t="inlineStr">
        <is>
          <t>TVS</t>
        </is>
      </c>
      <c r="K597" t="inlineStr">
        <is>
          <t>19.05-0-1.2-CRFH-PE-1.23</t>
        </is>
      </c>
    </row>
    <row r="598">
      <c r="A598" t="inlineStr">
        <is>
          <t>0000188595</t>
        </is>
      </c>
      <c r="B598" t="inlineStr">
        <is>
          <t>Sri Balaji Gears</t>
        </is>
      </c>
      <c r="C598" t="inlineStr">
        <is>
          <t>NOS</t>
        </is>
      </c>
      <c r="D598" t="n">
        <v>5</v>
      </c>
      <c r="E598" t="n">
        <v>6.15</v>
      </c>
      <c r="F598" t="n">
        <v>3929692</v>
      </c>
      <c r="G598" t="inlineStr">
        <is>
          <t>19.05-0-1.2-CRFH-PE</t>
        </is>
      </c>
      <c r="H598" t="n">
        <v>3.249</v>
      </c>
      <c r="I598" t="inlineStr">
        <is>
          <t>CUT-O-N-AUT-AW-PE-19.05X1.200X1.2300</t>
        </is>
      </c>
      <c r="J598" t="inlineStr">
        <is>
          <t>TVS</t>
        </is>
      </c>
      <c r="K598" t="inlineStr">
        <is>
          <t>19.05-0-1.2-CRFH-PE-1.23</t>
        </is>
      </c>
    </row>
    <row r="599">
      <c r="A599" t="inlineStr">
        <is>
          <t>0000188595</t>
        </is>
      </c>
      <c r="B599" t="inlineStr">
        <is>
          <t>Sri Balaji Gears</t>
        </is>
      </c>
      <c r="C599" t="inlineStr">
        <is>
          <t>NOS</t>
        </is>
      </c>
      <c r="D599" t="n">
        <v>2</v>
      </c>
      <c r="E599" t="n">
        <v>2.46</v>
      </c>
      <c r="F599" t="n">
        <v>3929692</v>
      </c>
      <c r="G599" t="inlineStr">
        <is>
          <t>19.05-0-1.2-CRFH-PE</t>
        </is>
      </c>
      <c r="H599" t="n">
        <v>1.299</v>
      </c>
      <c r="I599" t="inlineStr">
        <is>
          <t>CUT-O-N-AUT-AW-PE-19.05X1.200X1.2300</t>
        </is>
      </c>
      <c r="J599" t="inlineStr">
        <is>
          <t>TVS</t>
        </is>
      </c>
      <c r="K599" t="inlineStr">
        <is>
          <t>19.05-0-1.2-CRFH-PE-1.23</t>
        </is>
      </c>
    </row>
    <row r="600">
      <c r="A600" t="inlineStr">
        <is>
          <t>0000189002</t>
        </is>
      </c>
      <c r="B600" t="inlineStr">
        <is>
          <t>Marathwada Auto Compo Pvt. Ltd.</t>
        </is>
      </c>
      <c r="C600" t="inlineStr">
        <is>
          <t>NOS</t>
        </is>
      </c>
      <c r="D600" t="n">
        <v>500</v>
      </c>
      <c r="E600" t="n">
        <v>615.004</v>
      </c>
      <c r="F600" t="n">
        <v>3929692</v>
      </c>
      <c r="G600" t="inlineStr">
        <is>
          <t>19.05-0-1.2-CRFH-PE</t>
        </is>
      </c>
      <c r="H600" t="n">
        <v>324.872</v>
      </c>
      <c r="I600" t="inlineStr">
        <is>
          <t>CUT-O-N-AUT-AW-PE-19.05X1.200X1.2300</t>
        </is>
      </c>
      <c r="J600" t="inlineStr">
        <is>
          <t>TVS</t>
        </is>
      </c>
      <c r="K600" t="inlineStr">
        <is>
          <t>19.05-0-1.2-CRFH-PE-1.23</t>
        </is>
      </c>
    </row>
    <row r="601">
      <c r="A601" t="inlineStr">
        <is>
          <t>0000188595</t>
        </is>
      </c>
      <c r="B601" t="inlineStr">
        <is>
          <t>Sri Balaji Gears</t>
        </is>
      </c>
      <c r="C601" t="inlineStr">
        <is>
          <t>NOS</t>
        </is>
      </c>
      <c r="D601" t="n">
        <v>500</v>
      </c>
      <c r="E601" t="n">
        <v>615.004</v>
      </c>
      <c r="F601" t="n">
        <v>3929692</v>
      </c>
      <c r="G601" t="inlineStr">
        <is>
          <t>19.05-0-1.2-CRFH-PE</t>
        </is>
      </c>
      <c r="H601" t="n">
        <v>324.872</v>
      </c>
      <c r="I601" t="inlineStr">
        <is>
          <t>CUT-O-N-AUT-AW-PE-19.05X1.200X1.2300</t>
        </is>
      </c>
      <c r="J601" t="inlineStr">
        <is>
          <t>TVS</t>
        </is>
      </c>
      <c r="K601" t="inlineStr">
        <is>
          <t>19.05-0-1.2-CRFH-PE-1.23</t>
        </is>
      </c>
    </row>
    <row r="602">
      <c r="A602" t="inlineStr">
        <is>
          <t>0000188595</t>
        </is>
      </c>
      <c r="B602" t="inlineStr">
        <is>
          <t>Sri Balaji Gears</t>
        </is>
      </c>
      <c r="C602" t="inlineStr">
        <is>
          <t>NOS</t>
        </is>
      </c>
      <c r="D602" t="n">
        <v>774</v>
      </c>
      <c r="E602" t="n">
        <v>154.793</v>
      </c>
      <c r="F602" t="n">
        <v>3929691</v>
      </c>
      <c r="G602" t="inlineStr">
        <is>
          <t>19.05-0-1.2-CRFH-PE</t>
        </is>
      </c>
      <c r="H602" t="n">
        <v>81.76900000000001</v>
      </c>
      <c r="I602" t="inlineStr">
        <is>
          <t>CUT-O-N-AUT-AW-PE-19.05X1.200X0.2000</t>
        </is>
      </c>
      <c r="J602" t="inlineStr">
        <is>
          <t>TVS</t>
        </is>
      </c>
      <c r="K602" t="inlineStr">
        <is>
          <t>19.05-0-1.2-CRFH-PE-0.2</t>
        </is>
      </c>
    </row>
    <row r="603">
      <c r="A603" t="inlineStr">
        <is>
          <t>0000188595</t>
        </is>
      </c>
      <c r="B603" t="inlineStr">
        <is>
          <t>Sri Balaji Gears</t>
        </is>
      </c>
      <c r="C603" t="inlineStr">
        <is>
          <t>NOS</t>
        </is>
      </c>
      <c r="D603" t="n">
        <v>1997</v>
      </c>
      <c r="E603" t="n">
        <v>399.383</v>
      </c>
      <c r="F603" t="n">
        <v>3929691</v>
      </c>
      <c r="G603" t="inlineStr">
        <is>
          <t>19.05-0-1.2-CRFH-PE</t>
        </is>
      </c>
      <c r="H603" t="n">
        <v>210.972</v>
      </c>
      <c r="I603" t="inlineStr">
        <is>
          <t>CUT-O-N-AUT-AW-PE-19.05X1.200X0.2000</t>
        </is>
      </c>
      <c r="J603" t="inlineStr">
        <is>
          <t>TVS</t>
        </is>
      </c>
      <c r="K603" t="inlineStr">
        <is>
          <t>19.05-0-1.2-CRFH-PE-0.2</t>
        </is>
      </c>
    </row>
    <row r="604">
      <c r="A604" t="inlineStr">
        <is>
          <t>0000188595</t>
        </is>
      </c>
      <c r="B604" t="inlineStr">
        <is>
          <t>Sri Balaji Gears</t>
        </is>
      </c>
      <c r="C604" t="inlineStr">
        <is>
          <t>NOS</t>
        </is>
      </c>
      <c r="D604" t="n">
        <v>78</v>
      </c>
      <c r="E604" t="n">
        <v>15.599</v>
      </c>
      <c r="F604" t="n">
        <v>3929691</v>
      </c>
      <c r="G604" t="inlineStr">
        <is>
          <t>19.05-0-1.2-CRFH-PE</t>
        </is>
      </c>
      <c r="H604" t="n">
        <v>8.24</v>
      </c>
      <c r="I604" t="inlineStr">
        <is>
          <t>CUT-O-N-AUT-AW-PE-19.05X1.200X0.2000</t>
        </is>
      </c>
      <c r="J604" t="inlineStr">
        <is>
          <t>TVS</t>
        </is>
      </c>
      <c r="K604" t="inlineStr">
        <is>
          <t>19.05-0-1.2-CRFH-PE-0.2</t>
        </is>
      </c>
    </row>
    <row r="605">
      <c r="A605" t="inlineStr">
        <is>
          <t>0000188595</t>
        </is>
      </c>
      <c r="B605" t="inlineStr">
        <is>
          <t>Sri Balaji Gears</t>
        </is>
      </c>
      <c r="C605" t="inlineStr">
        <is>
          <t>NOS</t>
        </is>
      </c>
      <c r="D605" t="n">
        <v>78</v>
      </c>
      <c r="E605" t="n">
        <v>15.599</v>
      </c>
      <c r="F605" t="n">
        <v>3929691</v>
      </c>
      <c r="G605" t="inlineStr">
        <is>
          <t>19.05-0-1.2-CRFH-PE</t>
        </is>
      </c>
      <c r="H605" t="n">
        <v>8.24</v>
      </c>
      <c r="I605" t="inlineStr">
        <is>
          <t>CUT-O-N-AUT-AW-PE-19.05X1.200X0.2000</t>
        </is>
      </c>
      <c r="J605" t="inlineStr">
        <is>
          <t>TVS</t>
        </is>
      </c>
      <c r="K605" t="inlineStr">
        <is>
          <t>19.05-0-1.2-CRFH-PE-0.2</t>
        </is>
      </c>
    </row>
    <row r="606">
      <c r="A606" t="inlineStr">
        <is>
          <t>0000188595</t>
        </is>
      </c>
      <c r="B606" t="inlineStr">
        <is>
          <t>Sri Balaji Gears</t>
        </is>
      </c>
      <c r="C606" t="inlineStr">
        <is>
          <t>NOS</t>
        </is>
      </c>
      <c r="D606" t="n">
        <v>55</v>
      </c>
      <c r="E606" t="n">
        <v>11</v>
      </c>
      <c r="F606" t="n">
        <v>3929691</v>
      </c>
      <c r="G606" t="inlineStr">
        <is>
          <t>19.05-0-1.2-CRFH-PE</t>
        </is>
      </c>
      <c r="H606" t="n">
        <v>5.81</v>
      </c>
      <c r="I606" t="inlineStr">
        <is>
          <t>CUT-O-N-AUT-AW-PE-19.05X1.200X0.2000</t>
        </is>
      </c>
      <c r="J606" t="inlineStr">
        <is>
          <t>TVS</t>
        </is>
      </c>
      <c r="K606" t="inlineStr">
        <is>
          <t>19.05-0-1.2-CRFH-PE-0.2</t>
        </is>
      </c>
    </row>
    <row r="607">
      <c r="A607" t="inlineStr">
        <is>
          <t>0000188595</t>
        </is>
      </c>
      <c r="B607" t="inlineStr">
        <is>
          <t>Sri Balaji Gears</t>
        </is>
      </c>
      <c r="C607" t="inlineStr">
        <is>
          <t>NOS</t>
        </is>
      </c>
      <c r="D607" t="n">
        <v>7</v>
      </c>
      <c r="E607" t="n">
        <v>1.4</v>
      </c>
      <c r="F607" t="n">
        <v>3929691</v>
      </c>
      <c r="G607" t="inlineStr">
        <is>
          <t>19.05-0-1.2-CRFH-PE</t>
        </is>
      </c>
      <c r="H607" t="n">
        <v>0.74</v>
      </c>
      <c r="I607" t="inlineStr">
        <is>
          <t>CUT-O-N-AUT-AW-PE-19.05X1.200X0.2000</t>
        </is>
      </c>
      <c r="J607" t="inlineStr">
        <is>
          <t>TVS</t>
        </is>
      </c>
      <c r="K607" t="inlineStr">
        <is>
          <t>19.05-0-1.2-CRFH-PE-0.2</t>
        </is>
      </c>
    </row>
    <row r="608">
      <c r="A608" t="inlineStr">
        <is>
          <t>0000188595</t>
        </is>
      </c>
      <c r="B608" t="inlineStr">
        <is>
          <t>Sri Balaji Gears</t>
        </is>
      </c>
      <c r="C608" t="inlineStr">
        <is>
          <t>NOS</t>
        </is>
      </c>
      <c r="D608" t="n">
        <v>6</v>
      </c>
      <c r="E608" t="n">
        <v>1.2</v>
      </c>
      <c r="F608" t="n">
        <v>3929691</v>
      </c>
      <c r="G608" t="inlineStr">
        <is>
          <t>19.05-0-1.2-CRFH-PE</t>
        </is>
      </c>
      <c r="H608" t="n">
        <v>0.634</v>
      </c>
      <c r="I608" t="inlineStr">
        <is>
          <t>CUT-O-N-AUT-AW-PE-19.05X1.200X0.2000</t>
        </is>
      </c>
      <c r="J608" t="inlineStr">
        <is>
          <t>TVS</t>
        </is>
      </c>
      <c r="K608" t="inlineStr">
        <is>
          <t>19.05-0-1.2-CRFH-PE-0.2</t>
        </is>
      </c>
    </row>
    <row r="609">
      <c r="A609" t="inlineStr">
        <is>
          <t>0000188595</t>
        </is>
      </c>
      <c r="B609" t="inlineStr">
        <is>
          <t>Sri Balaji Gears</t>
        </is>
      </c>
      <c r="C609" t="inlineStr">
        <is>
          <t>NOS</t>
        </is>
      </c>
      <c r="D609" t="n">
        <v>5</v>
      </c>
      <c r="E609" t="n">
        <v>1</v>
      </c>
      <c r="F609" t="n">
        <v>3929691</v>
      </c>
      <c r="G609" t="inlineStr">
        <is>
          <t>19.05-0-1.2-CRFH-PE</t>
        </is>
      </c>
      <c r="H609" t="n">
        <v>0.528</v>
      </c>
      <c r="I609" t="inlineStr">
        <is>
          <t>CUT-O-N-AUT-AW-PE-19.05X1.200X0.2000</t>
        </is>
      </c>
      <c r="J609" t="inlineStr">
        <is>
          <t>TVS</t>
        </is>
      </c>
      <c r="K609" t="inlineStr">
        <is>
          <t>19.05-0-1.2-CRFH-PE-0.2</t>
        </is>
      </c>
    </row>
    <row r="610">
      <c r="A610" t="inlineStr">
        <is>
          <t>0000189002</t>
        </is>
      </c>
      <c r="B610" t="inlineStr">
        <is>
          <t>Marathwada Auto Compo Pvt. Ltd.</t>
        </is>
      </c>
      <c r="C610" t="inlineStr">
        <is>
          <t>NOS</t>
        </is>
      </c>
      <c r="D610" t="n">
        <v>2000</v>
      </c>
      <c r="E610" t="n">
        <v>399.983</v>
      </c>
      <c r="F610" t="n">
        <v>3929691</v>
      </c>
      <c r="G610" t="inlineStr">
        <is>
          <t>19.05-0-1.2-CRFH-PE</t>
        </is>
      </c>
      <c r="H610" t="n">
        <v>211.289</v>
      </c>
      <c r="I610" t="inlineStr">
        <is>
          <t>CUT-O-N-AUT-AW-PE-19.05X1.200X0.2000</t>
        </is>
      </c>
      <c r="J610" t="inlineStr">
        <is>
          <t>TVS</t>
        </is>
      </c>
      <c r="K610" t="inlineStr">
        <is>
          <t>19.05-0-1.2-CRFH-PE-0.2</t>
        </is>
      </c>
    </row>
    <row r="611">
      <c r="A611" t="inlineStr">
        <is>
          <t>0000189002</t>
        </is>
      </c>
      <c r="B611" t="inlineStr">
        <is>
          <t>Marathwada Auto Compo Pvt. Ltd.</t>
        </is>
      </c>
      <c r="C611" t="inlineStr">
        <is>
          <t>NOS</t>
        </is>
      </c>
      <c r="D611" t="n">
        <v>2000</v>
      </c>
      <c r="E611" t="n">
        <v>399.983</v>
      </c>
      <c r="F611" t="n">
        <v>3929691</v>
      </c>
      <c r="G611" t="inlineStr">
        <is>
          <t>19.05-0-1.2-CRFH-PE</t>
        </is>
      </c>
      <c r="H611" t="n">
        <v>211.289</v>
      </c>
      <c r="I611" t="inlineStr">
        <is>
          <t>CUT-O-N-AUT-AW-PE-19.05X1.200X0.2000</t>
        </is>
      </c>
      <c r="J611" t="inlineStr">
        <is>
          <t>TVS</t>
        </is>
      </c>
      <c r="K611" t="inlineStr">
        <is>
          <t>19.05-0-1.2-CRFH-PE-0.2</t>
        </is>
      </c>
    </row>
    <row r="612">
      <c r="A612" t="inlineStr">
        <is>
          <t>0000188595</t>
        </is>
      </c>
      <c r="B612" t="inlineStr">
        <is>
          <t>Sri Balaji Gears</t>
        </is>
      </c>
      <c r="C612" t="inlineStr">
        <is>
          <t>NOS</t>
        </is>
      </c>
      <c r="D612" t="n">
        <v>2000</v>
      </c>
      <c r="E612" t="n">
        <v>399.983</v>
      </c>
      <c r="F612" t="n">
        <v>3929691</v>
      </c>
      <c r="G612" t="inlineStr">
        <is>
          <t>19.05-0-1.2-CRFH-PE</t>
        </is>
      </c>
      <c r="H612" t="n">
        <v>211.289</v>
      </c>
      <c r="I612" t="inlineStr">
        <is>
          <t>CUT-O-N-AUT-AW-PE-19.05X1.200X0.2000</t>
        </is>
      </c>
      <c r="J612" t="inlineStr">
        <is>
          <t>TVS</t>
        </is>
      </c>
      <c r="K612" t="inlineStr">
        <is>
          <t>19.05-0-1.2-CRFH-PE-0.2</t>
        </is>
      </c>
    </row>
    <row r="613">
      <c r="A613" t="inlineStr">
        <is>
          <t>0000188595</t>
        </is>
      </c>
      <c r="B613" t="inlineStr">
        <is>
          <t>Sri Balaji Gears</t>
        </is>
      </c>
      <c r="C613" t="inlineStr">
        <is>
          <t>NOS</t>
        </is>
      </c>
      <c r="D613" t="n">
        <v>7515</v>
      </c>
      <c r="E613" t="n">
        <v>1502.937</v>
      </c>
      <c r="F613" t="n">
        <v>3929691</v>
      </c>
      <c r="G613" t="inlineStr">
        <is>
          <t>19.05-0-1.2-CRFH-PE</t>
        </is>
      </c>
      <c r="H613" t="n">
        <v>793.918</v>
      </c>
      <c r="I613" t="inlineStr">
        <is>
          <t>CUT-O-N-AUT-AW-PE-19.05X1.200X0.2000</t>
        </is>
      </c>
      <c r="J613" t="inlineStr">
        <is>
          <t>TVS</t>
        </is>
      </c>
      <c r="K613" t="inlineStr">
        <is>
          <t>19.05-0-1.2-CRFH-PE-0.2</t>
        </is>
      </c>
    </row>
    <row r="614">
      <c r="A614" t="inlineStr">
        <is>
          <t>0000188595</t>
        </is>
      </c>
      <c r="B614" t="inlineStr">
        <is>
          <t>Sri Balaji Gears</t>
        </is>
      </c>
      <c r="C614" t="inlineStr">
        <is>
          <t>NOS</t>
        </is>
      </c>
      <c r="D614" t="n">
        <v>4301</v>
      </c>
      <c r="E614" t="n">
        <v>860.164</v>
      </c>
      <c r="F614" t="n">
        <v>3929691</v>
      </c>
      <c r="G614" t="inlineStr">
        <is>
          <t>19.05-0-1.2-CRFH-PE</t>
        </is>
      </c>
      <c r="H614" t="n">
        <v>454.377</v>
      </c>
      <c r="I614" t="inlineStr">
        <is>
          <t>CUT-O-N-AUT-AW-PE-19.05X1.200X0.2000</t>
        </is>
      </c>
      <c r="J614" t="inlineStr">
        <is>
          <t>TVS</t>
        </is>
      </c>
      <c r="K614" t="inlineStr">
        <is>
          <t>19.05-0-1.2-CRFH-PE-0.2</t>
        </is>
      </c>
    </row>
    <row r="615">
      <c r="A615" t="inlineStr">
        <is>
          <t>0000188595</t>
        </is>
      </c>
      <c r="B615" t="inlineStr">
        <is>
          <t>Sri Balaji Gears</t>
        </is>
      </c>
      <c r="C615" t="inlineStr">
        <is>
          <t>NOS</t>
        </is>
      </c>
      <c r="D615" t="n">
        <v>184</v>
      </c>
      <c r="E615" t="n">
        <v>36.798</v>
      </c>
      <c r="F615" t="n">
        <v>3929691</v>
      </c>
      <c r="G615" t="inlineStr">
        <is>
          <t>19.05-0-1.2-CRFH-PE</t>
        </is>
      </c>
      <c r="H615" t="n">
        <v>19.439</v>
      </c>
      <c r="I615" t="inlineStr">
        <is>
          <t>CUT-O-N-AUT-AW-PE-19.05X1.200X0.2000</t>
        </is>
      </c>
      <c r="J615" t="inlineStr">
        <is>
          <t>TVS</t>
        </is>
      </c>
      <c r="K615" t="inlineStr">
        <is>
          <t>19.05-0-1.2-CRFH-PE-0.2</t>
        </is>
      </c>
    </row>
    <row r="616">
      <c r="A616" t="inlineStr">
        <is>
          <t>0000189002</t>
        </is>
      </c>
      <c r="B616" t="inlineStr">
        <is>
          <t>Marathwada Auto Compo Pvt. Ltd.</t>
        </is>
      </c>
      <c r="C616" t="inlineStr">
        <is>
          <t>NOS</t>
        </is>
      </c>
      <c r="D616" t="n">
        <v>2000</v>
      </c>
      <c r="E616" t="n">
        <v>399.983</v>
      </c>
      <c r="F616" t="n">
        <v>3929691</v>
      </c>
      <c r="G616" t="inlineStr">
        <is>
          <t>19.05-0-1.2-CRFH-PE</t>
        </is>
      </c>
      <c r="H616" t="n">
        <v>211.289</v>
      </c>
      <c r="I616" t="inlineStr">
        <is>
          <t>CUT-O-N-AUT-AW-PE-19.05X1.200X0.2000</t>
        </is>
      </c>
      <c r="J616" t="inlineStr">
        <is>
          <t>TVS</t>
        </is>
      </c>
      <c r="K616" t="inlineStr">
        <is>
          <t>19.05-0-1.2-CRFH-PE-0.2</t>
        </is>
      </c>
    </row>
    <row r="617">
      <c r="A617" t="inlineStr">
        <is>
          <t>0000188595</t>
        </is>
      </c>
      <c r="B617" t="inlineStr">
        <is>
          <t>Sri Balaji Gears</t>
        </is>
      </c>
      <c r="C617" t="inlineStr">
        <is>
          <t>NOS</t>
        </is>
      </c>
      <c r="D617" t="n">
        <v>2997</v>
      </c>
      <c r="E617" t="n">
        <v>599.375</v>
      </c>
      <c r="F617" t="n">
        <v>3929691</v>
      </c>
      <c r="G617" t="inlineStr">
        <is>
          <t>19.05-0-1.2-CRFH-PE</t>
        </is>
      </c>
      <c r="H617" t="n">
        <v>316.616</v>
      </c>
      <c r="I617" t="inlineStr">
        <is>
          <t>CUT-O-N-AUT-AW-PE-19.05X1.200X0.2000</t>
        </is>
      </c>
      <c r="J617" t="inlineStr">
        <is>
          <t>TVS</t>
        </is>
      </c>
      <c r="K617" t="inlineStr">
        <is>
          <t>19.05-0-1.2-CRFH-PE-0.2</t>
        </is>
      </c>
    </row>
    <row r="618">
      <c r="A618" t="inlineStr">
        <is>
          <t>0000188595</t>
        </is>
      </c>
      <c r="B618" t="inlineStr">
        <is>
          <t>Sri Balaji Gears</t>
        </is>
      </c>
      <c r="C618" t="inlineStr">
        <is>
          <t>NOS</t>
        </is>
      </c>
      <c r="D618" t="n">
        <v>3</v>
      </c>
      <c r="E618" t="n">
        <v>0.6</v>
      </c>
      <c r="F618" t="n">
        <v>3929691</v>
      </c>
      <c r="G618" t="inlineStr">
        <is>
          <t>19.05-0-1.2-CRFH-PE</t>
        </is>
      </c>
      <c r="H618" t="n">
        <v>0.317</v>
      </c>
      <c r="I618" t="inlineStr">
        <is>
          <t>CUT-O-N-AUT-AW-PE-19.05X1.200X0.2000</t>
        </is>
      </c>
      <c r="J618" t="inlineStr">
        <is>
          <t>TVS</t>
        </is>
      </c>
      <c r="K618" t="inlineStr">
        <is>
          <t>19.05-0-1.2-CRFH-PE-0.2</t>
        </is>
      </c>
    </row>
    <row r="619">
      <c r="A619" t="inlineStr">
        <is>
          <t>0000189002</t>
        </is>
      </c>
      <c r="B619" t="inlineStr">
        <is>
          <t>Marathwada Auto Compo Pvt. Ltd.</t>
        </is>
      </c>
      <c r="C619" t="inlineStr">
        <is>
          <t>NOS</t>
        </is>
      </c>
      <c r="D619" t="n">
        <v>2000</v>
      </c>
      <c r="E619" t="n">
        <v>399.983</v>
      </c>
      <c r="F619" t="n">
        <v>3929691</v>
      </c>
      <c r="G619" t="inlineStr">
        <is>
          <t>19.05-0-1.2-CRFH-PE</t>
        </is>
      </c>
      <c r="H619" t="n">
        <v>211.289</v>
      </c>
      <c r="I619" t="inlineStr">
        <is>
          <t>CUT-O-N-AUT-AW-PE-19.05X1.200X0.2000</t>
        </is>
      </c>
      <c r="J619" t="inlineStr">
        <is>
          <t>TVS</t>
        </is>
      </c>
      <c r="K619" t="inlineStr">
        <is>
          <t>19.05-0-1.2-CRFH-PE-0.2</t>
        </is>
      </c>
    </row>
    <row r="620">
      <c r="A620" t="inlineStr">
        <is>
          <t>0000188595</t>
        </is>
      </c>
      <c r="B620" t="inlineStr">
        <is>
          <t>Sri Balaji Gears</t>
        </is>
      </c>
      <c r="C620" t="inlineStr">
        <is>
          <t>NOS</t>
        </is>
      </c>
      <c r="D620" t="n">
        <v>3000</v>
      </c>
      <c r="E620" t="n">
        <v>599.975</v>
      </c>
      <c r="F620" t="n">
        <v>3929691</v>
      </c>
      <c r="G620" t="inlineStr">
        <is>
          <t>19.05-0-1.2-CRFH-PE</t>
        </is>
      </c>
      <c r="H620" t="n">
        <v>316.933</v>
      </c>
      <c r="I620" t="inlineStr">
        <is>
          <t>CUT-O-N-AUT-AW-PE-19.05X1.200X0.2000</t>
        </is>
      </c>
      <c r="J620" t="inlineStr">
        <is>
          <t>TVS</t>
        </is>
      </c>
      <c r="K620" t="inlineStr">
        <is>
          <t>19.05-0-1.2-CRFH-PE-0.2</t>
        </is>
      </c>
    </row>
    <row r="621">
      <c r="A621" t="inlineStr">
        <is>
          <t>0000189002</t>
        </is>
      </c>
      <c r="B621" t="inlineStr">
        <is>
          <t>Marathwada Auto Compo Pvt. Ltd.</t>
        </is>
      </c>
      <c r="C621" t="inlineStr">
        <is>
          <t>NOS</t>
        </is>
      </c>
      <c r="D621" t="n">
        <v>2000</v>
      </c>
      <c r="E621" t="n">
        <v>399.983</v>
      </c>
      <c r="F621" t="n">
        <v>3929691</v>
      </c>
      <c r="G621" t="inlineStr">
        <is>
          <t>19.05-0-1.2-CRFH-PE</t>
        </is>
      </c>
      <c r="H621" t="n">
        <v>211.289</v>
      </c>
      <c r="I621" t="inlineStr">
        <is>
          <t>CUT-O-N-AUT-AW-PE-19.05X1.200X0.2000</t>
        </is>
      </c>
      <c r="J621" t="inlineStr">
        <is>
          <t>TVS</t>
        </is>
      </c>
      <c r="K621" t="inlineStr">
        <is>
          <t>19.05-0-1.2-CRFH-PE-0.2</t>
        </is>
      </c>
    </row>
    <row r="622">
      <c r="A622" t="inlineStr">
        <is>
          <t>0000188595</t>
        </is>
      </c>
      <c r="B622" t="inlineStr">
        <is>
          <t>Sri Balaji Gears</t>
        </is>
      </c>
      <c r="C622" t="inlineStr">
        <is>
          <t>NOS</t>
        </is>
      </c>
      <c r="D622" t="n">
        <v>3000</v>
      </c>
      <c r="E622" t="n">
        <v>599.975</v>
      </c>
      <c r="F622" t="n">
        <v>3929691</v>
      </c>
      <c r="G622" t="inlineStr">
        <is>
          <t>19.05-0-1.2-CRFH-PE</t>
        </is>
      </c>
      <c r="H622" t="n">
        <v>316.933</v>
      </c>
      <c r="I622" t="inlineStr">
        <is>
          <t>CUT-O-N-AUT-AW-PE-19.05X1.200X0.2000</t>
        </is>
      </c>
      <c r="J622" t="inlineStr">
        <is>
          <t>TVS</t>
        </is>
      </c>
      <c r="K622" t="inlineStr">
        <is>
          <t>19.05-0-1.2-CRFH-PE-0.2</t>
        </is>
      </c>
    </row>
    <row r="623">
      <c r="A623" t="inlineStr">
        <is>
          <t>0000189002</t>
        </is>
      </c>
      <c r="B623" t="inlineStr">
        <is>
          <t>Marathwada Auto Compo Pvt. Ltd.</t>
        </is>
      </c>
      <c r="C623" t="inlineStr">
        <is>
          <t>NOS</t>
        </is>
      </c>
      <c r="D623" t="n">
        <v>3000</v>
      </c>
      <c r="E623" t="n">
        <v>599.975</v>
      </c>
      <c r="F623" t="n">
        <v>3929691</v>
      </c>
      <c r="G623" t="inlineStr">
        <is>
          <t>19.05-0-1.2-CRFH-PE</t>
        </is>
      </c>
      <c r="H623" t="n">
        <v>316.933</v>
      </c>
      <c r="I623" t="inlineStr">
        <is>
          <t>CUT-O-N-AUT-AW-PE-19.05X1.200X0.2000</t>
        </is>
      </c>
      <c r="J623" t="inlineStr">
        <is>
          <t>TVS</t>
        </is>
      </c>
      <c r="K623" t="inlineStr">
        <is>
          <t>19.05-0-1.2-CRFH-PE-0.2</t>
        </is>
      </c>
    </row>
    <row r="624">
      <c r="A624" t="inlineStr">
        <is>
          <t>0000188595</t>
        </is>
      </c>
      <c r="B624" t="inlineStr">
        <is>
          <t>Sri Balaji Gears</t>
        </is>
      </c>
      <c r="C624" t="inlineStr">
        <is>
          <t>NOS</t>
        </is>
      </c>
      <c r="D624" t="n">
        <v>3000</v>
      </c>
      <c r="E624" t="n">
        <v>599.975</v>
      </c>
      <c r="F624" t="n">
        <v>3929691</v>
      </c>
      <c r="G624" t="inlineStr">
        <is>
          <t>19.05-0-1.2-CRFH-PE</t>
        </is>
      </c>
      <c r="H624" t="n">
        <v>316.933</v>
      </c>
      <c r="I624" t="inlineStr">
        <is>
          <t>CUT-O-N-AUT-AW-PE-19.05X1.200X0.2000</t>
        </is>
      </c>
      <c r="J624" t="inlineStr">
        <is>
          <t>TVS</t>
        </is>
      </c>
      <c r="K624" t="inlineStr">
        <is>
          <t>19.05-0-1.2-CRFH-PE-0.2</t>
        </is>
      </c>
    </row>
    <row r="625">
      <c r="A625" t="inlineStr">
        <is>
          <t>0000189002</t>
        </is>
      </c>
      <c r="B625" t="inlineStr">
        <is>
          <t>Marathwada Auto Compo Pvt. Ltd.</t>
        </is>
      </c>
      <c r="C625" t="inlineStr">
        <is>
          <t>NOS</t>
        </is>
      </c>
      <c r="D625" t="n">
        <v>2000</v>
      </c>
      <c r="E625" t="n">
        <v>399.983</v>
      </c>
      <c r="F625" t="n">
        <v>3929691</v>
      </c>
      <c r="G625" t="inlineStr">
        <is>
          <t>19.05-0-1.2-CRFH-PE</t>
        </is>
      </c>
      <c r="H625" t="n">
        <v>211.289</v>
      </c>
      <c r="I625" t="inlineStr">
        <is>
          <t>CUT-O-N-AUT-AW-PE-19.05X1.200X0.2000</t>
        </is>
      </c>
      <c r="J625" t="inlineStr">
        <is>
          <t>TVS</t>
        </is>
      </c>
      <c r="K625" t="inlineStr">
        <is>
          <t>19.05-0-1.2-CRFH-PE-0.2</t>
        </is>
      </c>
    </row>
    <row r="626">
      <c r="A626" t="inlineStr">
        <is>
          <t>0000188595</t>
        </is>
      </c>
      <c r="B626" t="inlineStr">
        <is>
          <t>Sri Balaji Gears</t>
        </is>
      </c>
      <c r="C626" t="inlineStr">
        <is>
          <t>NOS</t>
        </is>
      </c>
      <c r="D626" t="n">
        <v>3000</v>
      </c>
      <c r="E626" t="n">
        <v>599.975</v>
      </c>
      <c r="F626" t="n">
        <v>3929691</v>
      </c>
      <c r="G626" t="inlineStr">
        <is>
          <t>19.05-0-1.2-CRFH-PE</t>
        </is>
      </c>
      <c r="H626" t="n">
        <v>316.933</v>
      </c>
      <c r="I626" t="inlineStr">
        <is>
          <t>CUT-O-N-AUT-AW-PE-19.05X1.200X0.2000</t>
        </is>
      </c>
      <c r="J626" t="inlineStr">
        <is>
          <t>TVS</t>
        </is>
      </c>
      <c r="K626" t="inlineStr">
        <is>
          <t>19.05-0-1.2-CRFH-PE-0.2</t>
        </is>
      </c>
    </row>
    <row r="627">
      <c r="A627" t="inlineStr">
        <is>
          <t>0000940921</t>
        </is>
      </c>
      <c r="B627" t="inlineStr">
        <is>
          <t>ELKAYEM AUTO ANCILLARIES PVT LTD -U</t>
        </is>
      </c>
      <c r="C627" t="inlineStr">
        <is>
          <t>NOS</t>
        </is>
      </c>
      <c r="D627" t="n">
        <v>12400</v>
      </c>
      <c r="E627" t="n">
        <v>3614.222</v>
      </c>
      <c r="F627" t="n">
        <v>1940090</v>
      </c>
      <c r="G627" t="inlineStr">
        <is>
          <t>15.88-0-2-ERW 1-PE</t>
        </is>
      </c>
      <c r="H627" t="n">
        <v>2368.4</v>
      </c>
      <c r="I627" t="inlineStr">
        <is>
          <t>TUB-O-O-AUT-AW-PE-15.88X2.000X0.2910</t>
        </is>
      </c>
      <c r="J627" t="inlineStr">
        <is>
          <t>TVS</t>
        </is>
      </c>
      <c r="K627" t="inlineStr">
        <is>
          <t>15.88-0-2-ERW 1-PE-0.291</t>
        </is>
      </c>
    </row>
    <row r="628">
      <c r="A628" t="inlineStr">
        <is>
          <t>0000189481</t>
        </is>
      </c>
      <c r="B628" t="inlineStr">
        <is>
          <t>Rajsriya Automotive Industries</t>
        </is>
      </c>
      <c r="C628" t="inlineStr">
        <is>
          <t>NOS</t>
        </is>
      </c>
      <c r="D628" t="n">
        <v>6061</v>
      </c>
      <c r="E628" t="n">
        <v>1766.597</v>
      </c>
      <c r="F628" t="n">
        <v>1940090</v>
      </c>
      <c r="G628" t="inlineStr">
        <is>
          <t>15.88-0-2-ERW 1-PE</t>
        </is>
      </c>
      <c r="H628" t="n">
        <v>1157.651</v>
      </c>
      <c r="I628" t="inlineStr">
        <is>
          <t>TUB-O-O-AUT-AW-PE-15.88X2.000X0.2910</t>
        </is>
      </c>
      <c r="J628" t="inlineStr">
        <is>
          <t>TVS</t>
        </is>
      </c>
      <c r="K628" t="inlineStr">
        <is>
          <t>15.88-0-2-ERW 1-PE-0.291</t>
        </is>
      </c>
    </row>
    <row r="629">
      <c r="A629" t="inlineStr">
        <is>
          <t>0000189481</t>
        </is>
      </c>
      <c r="B629" t="inlineStr">
        <is>
          <t>Rajsriya Automotive Industries</t>
        </is>
      </c>
      <c r="C629" t="inlineStr">
        <is>
          <t>NOS</t>
        </is>
      </c>
      <c r="D629" t="n">
        <v>2984</v>
      </c>
      <c r="E629" t="n">
        <v>869.745</v>
      </c>
      <c r="F629" t="n">
        <v>1940090</v>
      </c>
      <c r="G629" t="inlineStr">
        <is>
          <t>15.88-0-2-ERW 1-PE</t>
        </is>
      </c>
      <c r="H629" t="n">
        <v>569.944</v>
      </c>
      <c r="I629" t="inlineStr">
        <is>
          <t>TUB-O-O-AUT-AW-PE-15.88X2.000X0.2910</t>
        </is>
      </c>
      <c r="J629" t="inlineStr">
        <is>
          <t>TVS</t>
        </is>
      </c>
      <c r="K629" t="inlineStr">
        <is>
          <t>15.88-0-2-ERW 1-PE-0.291</t>
        </is>
      </c>
    </row>
    <row r="630">
      <c r="A630" t="inlineStr">
        <is>
          <t>0000189481</t>
        </is>
      </c>
      <c r="B630" t="inlineStr">
        <is>
          <t>Rajsriya Automotive Industries</t>
        </is>
      </c>
      <c r="C630" t="inlineStr">
        <is>
          <t>NOS</t>
        </is>
      </c>
      <c r="D630" t="n">
        <v>755</v>
      </c>
      <c r="E630" t="n">
        <v>220.06</v>
      </c>
      <c r="F630" t="n">
        <v>1940090</v>
      </c>
      <c r="G630" t="inlineStr">
        <is>
          <t>15.88-0-2-ERW 1-PE</t>
        </is>
      </c>
      <c r="H630" t="n">
        <v>144.205</v>
      </c>
      <c r="I630" t="inlineStr">
        <is>
          <t>TUB-O-O-AUT-AW-PE-15.88X2.000X0.2910</t>
        </is>
      </c>
      <c r="J630" t="inlineStr">
        <is>
          <t>TVS</t>
        </is>
      </c>
      <c r="K630" t="inlineStr">
        <is>
          <t>15.88-0-2-ERW 1-PE-0.291</t>
        </is>
      </c>
    </row>
    <row r="631">
      <c r="A631" t="inlineStr">
        <is>
          <t>0000189481</t>
        </is>
      </c>
      <c r="B631" t="inlineStr">
        <is>
          <t>Rajsriya Automotive Industries</t>
        </is>
      </c>
      <c r="C631" t="inlineStr">
        <is>
          <t>NOS</t>
        </is>
      </c>
      <c r="D631" t="n">
        <v>1409</v>
      </c>
      <c r="E631" t="n">
        <v>410.681</v>
      </c>
      <c r="F631" t="n">
        <v>1940090</v>
      </c>
      <c r="G631" t="inlineStr">
        <is>
          <t>15.88-0-2-ERW 1-PE</t>
        </is>
      </c>
      <c r="H631" t="n">
        <v>269.119</v>
      </c>
      <c r="I631" t="inlineStr">
        <is>
          <t>TUB-O-O-AUT-AW-PE-15.88X2.000X0.2910</t>
        </is>
      </c>
      <c r="J631" t="inlineStr">
        <is>
          <t>TVS</t>
        </is>
      </c>
      <c r="K631" t="inlineStr">
        <is>
          <t>15.88-0-2-ERW 1-PE-0.291</t>
        </is>
      </c>
    </row>
    <row r="632">
      <c r="A632" t="inlineStr">
        <is>
          <t>0000189481</t>
        </is>
      </c>
      <c r="B632" t="inlineStr">
        <is>
          <t>Rajsriya Automotive Industries</t>
        </is>
      </c>
      <c r="C632" t="inlineStr">
        <is>
          <t>NOS</t>
        </is>
      </c>
      <c r="D632" t="n">
        <v>43</v>
      </c>
      <c r="E632" t="n">
        <v>12.533</v>
      </c>
      <c r="F632" t="n">
        <v>1940090</v>
      </c>
      <c r="G632" t="inlineStr">
        <is>
          <t>15.88-0-2-ERW 1-PE</t>
        </is>
      </c>
      <c r="H632" t="n">
        <v>8.212999999999999</v>
      </c>
      <c r="I632" t="inlineStr">
        <is>
          <t>TUB-O-O-AUT-AW-PE-15.88X2.000X0.2910</t>
        </is>
      </c>
      <c r="J632" t="inlineStr">
        <is>
          <t>TVS</t>
        </is>
      </c>
      <c r="K632" t="inlineStr">
        <is>
          <t>15.88-0-2-ERW 1-PE-0.291</t>
        </is>
      </c>
    </row>
    <row r="633">
      <c r="A633" t="inlineStr">
        <is>
          <t>0000189481</t>
        </is>
      </c>
      <c r="B633" t="inlineStr">
        <is>
          <t>Rajsriya Automotive Industries</t>
        </is>
      </c>
      <c r="C633" t="inlineStr">
        <is>
          <t>NOS</t>
        </is>
      </c>
      <c r="D633" t="n">
        <v>548</v>
      </c>
      <c r="E633" t="n">
        <v>159.725</v>
      </c>
      <c r="F633" t="n">
        <v>1940090</v>
      </c>
      <c r="G633" t="inlineStr">
        <is>
          <t>15.88-0-2-ERW 1-PE</t>
        </is>
      </c>
      <c r="H633" t="n">
        <v>104.668</v>
      </c>
      <c r="I633" t="inlineStr">
        <is>
          <t>TUB-O-O-AUT-AW-PE-15.88X2.000X0.2910</t>
        </is>
      </c>
      <c r="J633" t="inlineStr">
        <is>
          <t>TVS</t>
        </is>
      </c>
      <c r="K633" t="inlineStr">
        <is>
          <t>15.88-0-2-ERW 1-PE-0.291</t>
        </is>
      </c>
    </row>
    <row r="634">
      <c r="A634" t="inlineStr">
        <is>
          <t>0000189481</t>
        </is>
      </c>
      <c r="B634" t="inlineStr">
        <is>
          <t>Rajsriya Automotive Industries</t>
        </is>
      </c>
      <c r="C634" t="inlineStr">
        <is>
          <t>NOS</t>
        </is>
      </c>
      <c r="D634" t="n">
        <v>2426</v>
      </c>
      <c r="E634" t="n">
        <v>707.105</v>
      </c>
      <c r="F634" t="n">
        <v>1940090</v>
      </c>
      <c r="G634" t="inlineStr">
        <is>
          <t>15.88-0-2-ERW 1-PE</t>
        </is>
      </c>
      <c r="H634" t="n">
        <v>463.366</v>
      </c>
      <c r="I634" t="inlineStr">
        <is>
          <t>TUB-O-O-AUT-AW-PE-15.88X2.000X0.2910</t>
        </is>
      </c>
      <c r="J634" t="inlineStr">
        <is>
          <t>TVS</t>
        </is>
      </c>
      <c r="K634" t="inlineStr">
        <is>
          <t>15.88-0-2-ERW 1-PE-0.291</t>
        </is>
      </c>
    </row>
    <row r="635">
      <c r="A635" t="inlineStr">
        <is>
          <t>0000189481</t>
        </is>
      </c>
      <c r="B635" t="inlineStr">
        <is>
          <t>Rajsriya Automotive Industries</t>
        </is>
      </c>
      <c r="C635" t="inlineStr">
        <is>
          <t>NOS</t>
        </is>
      </c>
      <c r="D635" t="n">
        <v>840</v>
      </c>
      <c r="E635" t="n">
        <v>244.834</v>
      </c>
      <c r="F635" t="n">
        <v>1940090</v>
      </c>
      <c r="G635" t="inlineStr">
        <is>
          <t>15.88-0-2-ERW 1-PE</t>
        </is>
      </c>
      <c r="H635" t="n">
        <v>160.44</v>
      </c>
      <c r="I635" t="inlineStr">
        <is>
          <t>TUB-O-O-AUT-AW-PE-15.88X2.000X0.2910</t>
        </is>
      </c>
      <c r="J635" t="inlineStr">
        <is>
          <t>TVS</t>
        </is>
      </c>
      <c r="K635" t="inlineStr">
        <is>
          <t>15.88-0-2-ERW 1-PE-0.291</t>
        </is>
      </c>
    </row>
    <row r="636">
      <c r="A636" t="inlineStr">
        <is>
          <t>0000189481</t>
        </is>
      </c>
      <c r="B636" t="inlineStr">
        <is>
          <t>Rajsriya Automotive Industries</t>
        </is>
      </c>
      <c r="C636" t="inlineStr">
        <is>
          <t>NOS</t>
        </is>
      </c>
      <c r="D636" t="n">
        <v>159</v>
      </c>
      <c r="E636" t="n">
        <v>46.344</v>
      </c>
      <c r="F636" t="n">
        <v>1940090</v>
      </c>
      <c r="G636" t="inlineStr">
        <is>
          <t>15.88-0-2-ERW 1-PE</t>
        </is>
      </c>
      <c r="H636" t="n">
        <v>30.369</v>
      </c>
      <c r="I636" t="inlineStr">
        <is>
          <t>TUB-O-O-AUT-AW-PE-15.88X2.000X0.2910</t>
        </is>
      </c>
      <c r="J636" t="inlineStr">
        <is>
          <t>TVS</t>
        </is>
      </c>
      <c r="K636" t="inlineStr">
        <is>
          <t>15.88-0-2-ERW 1-PE-0.291</t>
        </is>
      </c>
    </row>
    <row r="637">
      <c r="A637" t="inlineStr">
        <is>
          <t>0000189481</t>
        </is>
      </c>
      <c r="B637" t="inlineStr">
        <is>
          <t>Rajsriya Automotive Industries</t>
        </is>
      </c>
      <c r="C637" t="inlineStr">
        <is>
          <t>NOS</t>
        </is>
      </c>
      <c r="D637" t="n">
        <v>25</v>
      </c>
      <c r="E637" t="n">
        <v>7.287</v>
      </c>
      <c r="F637" t="n">
        <v>1940090</v>
      </c>
      <c r="G637" t="inlineStr">
        <is>
          <t>15.88-0-2-ERW 1-PE</t>
        </is>
      </c>
      <c r="H637" t="n">
        <v>4.775</v>
      </c>
      <c r="I637" t="inlineStr">
        <is>
          <t>TUB-O-O-AUT-AW-PE-15.88X2.000X0.2910</t>
        </is>
      </c>
      <c r="J637" t="inlineStr">
        <is>
          <t>TVS</t>
        </is>
      </c>
      <c r="K637" t="inlineStr">
        <is>
          <t>15.88-0-2-ERW 1-PE-0.291</t>
        </is>
      </c>
    </row>
    <row r="638">
      <c r="A638" t="inlineStr">
        <is>
          <t>0000944141</t>
        </is>
      </c>
      <c r="B638" t="inlineStr">
        <is>
          <t>SRIKAM HITECH ENGINEERING PRIVATE L</t>
        </is>
      </c>
      <c r="C638" t="inlineStr">
        <is>
          <t>M</t>
        </is>
      </c>
      <c r="D638" t="n">
        <v>513</v>
      </c>
      <c r="E638" t="n">
        <v>3078</v>
      </c>
      <c r="F638" t="n">
        <v>1940120</v>
      </c>
      <c r="G638" t="inlineStr">
        <is>
          <t>15.88-0-2-ERW 1-PE</t>
        </is>
      </c>
      <c r="H638" t="n">
        <v>2107.814</v>
      </c>
      <c r="I638" t="inlineStr">
        <is>
          <t>TUB-O-O-AUT-AW-PE-15.88X2.000X6.0000</t>
        </is>
      </c>
      <c r="J638" t="inlineStr">
        <is>
          <t>TVS</t>
        </is>
      </c>
      <c r="K638" t="inlineStr">
        <is>
          <t>15.88-0-2-ERW 1-PE-1</t>
        </is>
      </c>
    </row>
    <row r="639">
      <c r="A639" t="inlineStr">
        <is>
          <t>0000944141</t>
        </is>
      </c>
      <c r="B639" t="inlineStr">
        <is>
          <t>SRIKAM HITECH ENGINEERING PRIVATE L</t>
        </is>
      </c>
      <c r="C639" t="inlineStr">
        <is>
          <t>M</t>
        </is>
      </c>
      <c r="D639" t="n">
        <v>195</v>
      </c>
      <c r="E639" t="n">
        <v>1170</v>
      </c>
      <c r="F639" t="n">
        <v>1940120</v>
      </c>
      <c r="G639" t="inlineStr">
        <is>
          <t>15.88-0-2-ERW 1-PE</t>
        </is>
      </c>
      <c r="H639" t="n">
        <v>801.216</v>
      </c>
      <c r="I639" t="inlineStr">
        <is>
          <t>TUB-O-O-AUT-AW-PE-15.88X2.000X6.0000</t>
        </is>
      </c>
      <c r="J639" t="inlineStr">
        <is>
          <t>TVS</t>
        </is>
      </c>
      <c r="K639" t="inlineStr">
        <is>
          <t>15.88-0-2-ERW 1-PE-1</t>
        </is>
      </c>
    </row>
    <row r="640">
      <c r="A640" t="inlineStr">
        <is>
          <t>0000188595</t>
        </is>
      </c>
      <c r="B640" t="inlineStr">
        <is>
          <t>Sri Balaji Gears</t>
        </is>
      </c>
      <c r="C640" t="inlineStr">
        <is>
          <t>NOS</t>
        </is>
      </c>
      <c r="D640" t="n">
        <v>2000</v>
      </c>
      <c r="E640" t="n">
        <v>317.352</v>
      </c>
      <c r="F640" t="n">
        <v>3572055</v>
      </c>
      <c r="G640" t="inlineStr">
        <is>
          <t>40-40-1.2-CRFH-PE</t>
        </is>
      </c>
      <c r="H640" t="n">
        <v>466</v>
      </c>
      <c r="I640" t="inlineStr">
        <is>
          <t>TUB-S-AW-AUT-40.00X40.00X1.200X0.1580</t>
        </is>
      </c>
      <c r="J640" t="inlineStr">
        <is>
          <t>TVS</t>
        </is>
      </c>
      <c r="K640" t="inlineStr">
        <is>
          <t>40-40-1.2-CRFH-PE-0.158</t>
        </is>
      </c>
    </row>
    <row r="641">
      <c r="A641" t="inlineStr">
        <is>
          <t>0000188595</t>
        </is>
      </c>
      <c r="B641" t="inlineStr">
        <is>
          <t>Sri Balaji Gears</t>
        </is>
      </c>
      <c r="C641" t="inlineStr">
        <is>
          <t>NOS</t>
        </is>
      </c>
      <c r="D641" t="n">
        <v>5004</v>
      </c>
      <c r="E641" t="n">
        <v>794.015</v>
      </c>
      <c r="F641" t="n">
        <v>3572055</v>
      </c>
      <c r="G641" t="inlineStr">
        <is>
          <t>40-40-1.2-CRFH-PE</t>
        </is>
      </c>
      <c r="H641" t="n">
        <v>1165.932</v>
      </c>
      <c r="I641" t="inlineStr">
        <is>
          <t>TUB-S-AW-AUT-40.00X40.00X1.200X0.1580</t>
        </is>
      </c>
      <c r="J641" t="inlineStr">
        <is>
          <t>TVS</t>
        </is>
      </c>
      <c r="K641" t="inlineStr">
        <is>
          <t>40-40-1.2-CRFH-PE-0.158</t>
        </is>
      </c>
    </row>
    <row r="642">
      <c r="A642" t="inlineStr">
        <is>
          <t>0000188595</t>
        </is>
      </c>
      <c r="B642" t="inlineStr">
        <is>
          <t>Sri Balaji Gears</t>
        </is>
      </c>
      <c r="C642" t="inlineStr">
        <is>
          <t>NOS</t>
        </is>
      </c>
      <c r="D642" t="n">
        <v>1974</v>
      </c>
      <c r="E642" t="n">
        <v>313.227</v>
      </c>
      <c r="F642" t="n">
        <v>3572055</v>
      </c>
      <c r="G642" t="inlineStr">
        <is>
          <t>40-40-1.2-CRFH-PE</t>
        </is>
      </c>
      <c r="H642" t="n">
        <v>459.942</v>
      </c>
      <c r="I642" t="inlineStr">
        <is>
          <t>TUB-S-AW-AUT-40.00X40.00X1.200X0.1580</t>
        </is>
      </c>
      <c r="J642" t="inlineStr">
        <is>
          <t>TVS</t>
        </is>
      </c>
      <c r="K642" t="inlineStr">
        <is>
          <t>40-40-1.2-CRFH-PE-0.158</t>
        </is>
      </c>
    </row>
    <row r="643">
      <c r="A643" t="inlineStr">
        <is>
          <t>0000188595</t>
        </is>
      </c>
      <c r="B643" t="inlineStr">
        <is>
          <t>Sri Balaji Gears</t>
        </is>
      </c>
      <c r="C643" t="inlineStr">
        <is>
          <t>NOS</t>
        </is>
      </c>
      <c r="D643" t="n">
        <v>853</v>
      </c>
      <c r="E643" t="n">
        <v>135.351</v>
      </c>
      <c r="F643" t="n">
        <v>3572055</v>
      </c>
      <c r="G643" t="inlineStr">
        <is>
          <t>40-40-1.2-CRFH-PE</t>
        </is>
      </c>
      <c r="H643" t="n">
        <v>198.749</v>
      </c>
      <c r="I643" t="inlineStr">
        <is>
          <t>TUB-S-AW-AUT-40.00X40.00X1.200X0.1580</t>
        </is>
      </c>
      <c r="J643" t="inlineStr">
        <is>
          <t>TVS</t>
        </is>
      </c>
      <c r="K643" t="inlineStr">
        <is>
          <t>40-40-1.2-CRFH-PE-0.158</t>
        </is>
      </c>
    </row>
    <row r="644">
      <c r="A644" t="inlineStr">
        <is>
          <t>0000188595</t>
        </is>
      </c>
      <c r="B644" t="inlineStr">
        <is>
          <t>Sri Balaji Gears</t>
        </is>
      </c>
      <c r="C644" t="inlineStr">
        <is>
          <t>NOS</t>
        </is>
      </c>
      <c r="D644" t="n">
        <v>169</v>
      </c>
      <c r="E644" t="n">
        <v>26.816</v>
      </c>
      <c r="F644" t="n">
        <v>3572055</v>
      </c>
      <c r="G644" t="inlineStr">
        <is>
          <t>40-40-1.2-CRFH-PE</t>
        </is>
      </c>
      <c r="H644" t="n">
        <v>39.377</v>
      </c>
      <c r="I644" t="inlineStr">
        <is>
          <t>TUB-S-AW-AUT-40.00X40.00X1.200X0.1580</t>
        </is>
      </c>
      <c r="J644" t="inlineStr">
        <is>
          <t>TVS</t>
        </is>
      </c>
      <c r="K644" t="inlineStr">
        <is>
          <t>40-40-1.2-CRFH-PE-0.158</t>
        </is>
      </c>
    </row>
    <row r="645">
      <c r="A645" t="inlineStr">
        <is>
          <t>0000188595</t>
        </is>
      </c>
      <c r="B645" t="inlineStr">
        <is>
          <t>Sri Balaji Gears</t>
        </is>
      </c>
      <c r="C645" t="inlineStr">
        <is>
          <t>NOS</t>
        </is>
      </c>
      <c r="D645" t="n">
        <v>2000</v>
      </c>
      <c r="E645" t="n">
        <v>317.352</v>
      </c>
      <c r="F645" t="n">
        <v>3572055</v>
      </c>
      <c r="G645" t="inlineStr">
        <is>
          <t>40-40-1.2-CRFH-PE</t>
        </is>
      </c>
      <c r="H645" t="n">
        <v>466</v>
      </c>
      <c r="I645" t="inlineStr">
        <is>
          <t>TUB-S-AW-AUT-40.00X40.00X1.200X0.1580</t>
        </is>
      </c>
      <c r="J645" t="inlineStr">
        <is>
          <t>TVS</t>
        </is>
      </c>
      <c r="K645" t="inlineStr">
        <is>
          <t>40-40-1.2-CRFH-PE-0.158</t>
        </is>
      </c>
    </row>
    <row r="646">
      <c r="A646" t="inlineStr">
        <is>
          <t>0000188595</t>
        </is>
      </c>
      <c r="B646" t="inlineStr">
        <is>
          <t>Sri Balaji Gears</t>
        </is>
      </c>
      <c r="C646" t="inlineStr">
        <is>
          <t>NOS</t>
        </is>
      </c>
      <c r="D646" t="n">
        <v>2000</v>
      </c>
      <c r="E646" t="n">
        <v>317.352</v>
      </c>
      <c r="F646" t="n">
        <v>3572055</v>
      </c>
      <c r="G646" t="inlineStr">
        <is>
          <t>40-40-1.2-CRFH-PE</t>
        </is>
      </c>
      <c r="H646" t="n">
        <v>466</v>
      </c>
      <c r="I646" t="inlineStr">
        <is>
          <t>TUB-S-AW-AUT-40.00X40.00X1.200X0.1580</t>
        </is>
      </c>
      <c r="J646" t="inlineStr">
        <is>
          <t>TVS</t>
        </is>
      </c>
      <c r="K646" t="inlineStr">
        <is>
          <t>40-40-1.2-CRFH-PE-0.158</t>
        </is>
      </c>
    </row>
    <row r="647">
      <c r="A647" t="inlineStr">
        <is>
          <t>0000188595</t>
        </is>
      </c>
      <c r="B647" t="inlineStr">
        <is>
          <t>Sri Balaji Gears</t>
        </is>
      </c>
      <c r="C647" t="inlineStr">
        <is>
          <t>NOS</t>
        </is>
      </c>
      <c r="D647" t="n">
        <v>2000</v>
      </c>
      <c r="E647" t="n">
        <v>317.352</v>
      </c>
      <c r="F647" t="n">
        <v>3572055</v>
      </c>
      <c r="G647" t="inlineStr">
        <is>
          <t>40-40-1.2-CRFH-PE</t>
        </is>
      </c>
      <c r="H647" t="n">
        <v>466</v>
      </c>
      <c r="I647" t="inlineStr">
        <is>
          <t>TUB-S-AW-AUT-40.00X40.00X1.200X0.1580</t>
        </is>
      </c>
      <c r="J647" t="inlineStr">
        <is>
          <t>TVS</t>
        </is>
      </c>
      <c r="K647" t="inlineStr">
        <is>
          <t>40-40-1.2-CRFH-PE-0.158</t>
        </is>
      </c>
    </row>
    <row r="648">
      <c r="A648" t="inlineStr">
        <is>
          <t>0000188595</t>
        </is>
      </c>
      <c r="B648" t="inlineStr">
        <is>
          <t>Sri Balaji Gears</t>
        </is>
      </c>
      <c r="C648" t="inlineStr">
        <is>
          <t>NOS</t>
        </is>
      </c>
      <c r="D648" t="n">
        <v>1643</v>
      </c>
      <c r="E648" t="n">
        <v>260.705</v>
      </c>
      <c r="F648" t="n">
        <v>3572055</v>
      </c>
      <c r="G648" t="inlineStr">
        <is>
          <t>40-40-1.2-CRFH-PE</t>
        </is>
      </c>
      <c r="H648" t="n">
        <v>382.819</v>
      </c>
      <c r="I648" t="inlineStr">
        <is>
          <t>TUB-S-AW-AUT-40.00X40.00X1.200X0.1580</t>
        </is>
      </c>
      <c r="J648" t="inlineStr">
        <is>
          <t>TVS</t>
        </is>
      </c>
      <c r="K648" t="inlineStr">
        <is>
          <t>40-40-1.2-CRFH-PE-0.158</t>
        </is>
      </c>
    </row>
    <row r="649">
      <c r="A649" t="inlineStr">
        <is>
          <t>0000188595</t>
        </is>
      </c>
      <c r="B649" t="inlineStr">
        <is>
          <t>Sri Balaji Gears</t>
        </is>
      </c>
      <c r="C649" t="inlineStr">
        <is>
          <t>NOS</t>
        </is>
      </c>
      <c r="D649" t="n">
        <v>357</v>
      </c>
      <c r="E649" t="n">
        <v>56.647</v>
      </c>
      <c r="F649" t="n">
        <v>3572055</v>
      </c>
      <c r="G649" t="inlineStr">
        <is>
          <t>40-40-1.2-CRFH-PE</t>
        </is>
      </c>
      <c r="H649" t="n">
        <v>83.181</v>
      </c>
      <c r="I649" t="inlineStr">
        <is>
          <t>TUB-S-AW-AUT-40.00X40.00X1.200X0.1580</t>
        </is>
      </c>
      <c r="J649" t="inlineStr">
        <is>
          <t>TVS</t>
        </is>
      </c>
      <c r="K649" t="inlineStr">
        <is>
          <t>40-40-1.2-CRFH-PE-0.158</t>
        </is>
      </c>
    </row>
    <row r="650">
      <c r="A650" t="inlineStr">
        <is>
          <t>0000188595</t>
        </is>
      </c>
      <c r="B650" t="inlineStr">
        <is>
          <t>Sri Balaji Gears</t>
        </is>
      </c>
      <c r="C650" t="inlineStr">
        <is>
          <t>NOS</t>
        </is>
      </c>
      <c r="D650" t="n">
        <v>2000</v>
      </c>
      <c r="E650" t="n">
        <v>317.352</v>
      </c>
      <c r="F650" t="n">
        <v>3572055</v>
      </c>
      <c r="G650" t="inlineStr">
        <is>
          <t>40-40-1.2-CRFH-PE</t>
        </is>
      </c>
      <c r="H650" t="n">
        <v>466</v>
      </c>
      <c r="I650" t="inlineStr">
        <is>
          <t>TUB-S-AW-AUT-40.00X40.00X1.200X0.1580</t>
        </is>
      </c>
      <c r="J650" t="inlineStr">
        <is>
          <t>TVS</t>
        </is>
      </c>
      <c r="K650" t="inlineStr">
        <is>
          <t>40-40-1.2-CRFH-PE-0.158</t>
        </is>
      </c>
    </row>
    <row r="651">
      <c r="A651" t="inlineStr">
        <is>
          <t>0000188595</t>
        </is>
      </c>
      <c r="B651" t="inlineStr">
        <is>
          <t>Sri Balaji Gears</t>
        </is>
      </c>
      <c r="C651" t="inlineStr">
        <is>
          <t>NOS</t>
        </is>
      </c>
      <c r="D651" t="n">
        <v>1000</v>
      </c>
      <c r="E651" t="n">
        <v>115</v>
      </c>
      <c r="F651" t="n">
        <v>4151471</v>
      </c>
      <c r="G651" t="inlineStr">
        <is>
          <t>40-40-1.2-CRFH-PE</t>
        </is>
      </c>
      <c r="H651" t="n">
        <v>168.867</v>
      </c>
      <c r="I651" t="inlineStr">
        <is>
          <t>TUB-S-AW-SHS-40.00X40.00X1.200X0.1150</t>
        </is>
      </c>
      <c r="J651" t="inlineStr">
        <is>
          <t>TVS</t>
        </is>
      </c>
      <c r="K651" t="inlineStr">
        <is>
          <t>40-40-1.2-CRFH-PE-0.115</t>
        </is>
      </c>
    </row>
    <row r="652">
      <c r="A652" t="inlineStr">
        <is>
          <t>0000188595</t>
        </is>
      </c>
      <c r="B652" t="inlineStr">
        <is>
          <t>Sri Balaji Gears</t>
        </is>
      </c>
      <c r="C652" t="inlineStr">
        <is>
          <t>NOS</t>
        </is>
      </c>
      <c r="D652" t="n">
        <v>2499</v>
      </c>
      <c r="E652" t="n">
        <v>287.386</v>
      </c>
      <c r="F652" t="n">
        <v>4151471</v>
      </c>
      <c r="G652" t="inlineStr">
        <is>
          <t>40-40-1.2-CRFH-PE</t>
        </is>
      </c>
      <c r="H652" t="n">
        <v>421.998</v>
      </c>
      <c r="I652" t="inlineStr">
        <is>
          <t>TUB-S-AW-SHS-40.00X40.00X1.200X0.1150</t>
        </is>
      </c>
      <c r="J652" t="inlineStr">
        <is>
          <t>TVS</t>
        </is>
      </c>
      <c r="K652" t="inlineStr">
        <is>
          <t>40-40-1.2-CRFH-PE-0.115</t>
        </is>
      </c>
    </row>
    <row r="653">
      <c r="A653" t="inlineStr">
        <is>
          <t>0000188595</t>
        </is>
      </c>
      <c r="B653" t="inlineStr">
        <is>
          <t>Sri Balaji Gears</t>
        </is>
      </c>
      <c r="C653" t="inlineStr">
        <is>
          <t>NOS</t>
        </is>
      </c>
      <c r="D653" t="n">
        <v>1501</v>
      </c>
      <c r="E653" t="n">
        <v>172.616</v>
      </c>
      <c r="F653" t="n">
        <v>4151471</v>
      </c>
      <c r="G653" t="inlineStr">
        <is>
          <t>40-40-1.2-CRFH-PE</t>
        </is>
      </c>
      <c r="H653" t="n">
        <v>253.469</v>
      </c>
      <c r="I653" t="inlineStr">
        <is>
          <t>TUB-S-AW-SHS-40.00X40.00X1.200X0.1150</t>
        </is>
      </c>
      <c r="J653" t="inlineStr">
        <is>
          <t>TVS</t>
        </is>
      </c>
      <c r="K653" t="inlineStr">
        <is>
          <t>40-40-1.2-CRFH-PE-0.115</t>
        </is>
      </c>
    </row>
    <row r="654">
      <c r="A654" t="inlineStr">
        <is>
          <t>0000188595</t>
        </is>
      </c>
      <c r="B654" t="inlineStr">
        <is>
          <t>Sri Balaji Gears</t>
        </is>
      </c>
      <c r="C654" t="inlineStr">
        <is>
          <t>NOS</t>
        </is>
      </c>
      <c r="D654" t="n">
        <v>499</v>
      </c>
      <c r="E654" t="n">
        <v>57.385</v>
      </c>
      <c r="F654" t="n">
        <v>4151471</v>
      </c>
      <c r="G654" t="inlineStr">
        <is>
          <t>40-40-1.2-CRFH-PE</t>
        </is>
      </c>
      <c r="H654" t="n">
        <v>84.264</v>
      </c>
      <c r="I654" t="inlineStr">
        <is>
          <t>TUB-S-AW-SHS-40.00X40.00X1.200X0.1150</t>
        </is>
      </c>
      <c r="J654" t="inlineStr">
        <is>
          <t>TVS</t>
        </is>
      </c>
      <c r="K654" t="inlineStr">
        <is>
          <t>40-40-1.2-CRFH-PE-0.115</t>
        </is>
      </c>
    </row>
    <row r="655">
      <c r="A655" t="inlineStr">
        <is>
          <t>0000188595</t>
        </is>
      </c>
      <c r="B655" t="inlineStr">
        <is>
          <t>Sri Balaji Gears</t>
        </is>
      </c>
      <c r="C655" t="inlineStr">
        <is>
          <t>NOS</t>
        </is>
      </c>
      <c r="D655" t="n">
        <v>399</v>
      </c>
      <c r="E655" t="n">
        <v>45.885</v>
      </c>
      <c r="F655" t="n">
        <v>4151471</v>
      </c>
      <c r="G655" t="inlineStr">
        <is>
          <t>40-40-1.2-CRFH-PE</t>
        </is>
      </c>
      <c r="H655" t="n">
        <v>67.378</v>
      </c>
      <c r="I655" t="inlineStr">
        <is>
          <t>TUB-S-AW-SHS-40.00X40.00X1.200X0.1150</t>
        </is>
      </c>
      <c r="J655" t="inlineStr">
        <is>
          <t>TVS</t>
        </is>
      </c>
      <c r="K655" t="inlineStr">
        <is>
          <t>40-40-1.2-CRFH-PE-0.115</t>
        </is>
      </c>
    </row>
    <row r="656">
      <c r="A656" t="inlineStr">
        <is>
          <t>0000188595</t>
        </is>
      </c>
      <c r="B656" t="inlineStr">
        <is>
          <t>Sri Balaji Gears</t>
        </is>
      </c>
      <c r="C656" t="inlineStr">
        <is>
          <t>NOS</t>
        </is>
      </c>
      <c r="D656" t="n">
        <v>102</v>
      </c>
      <c r="E656" t="n">
        <v>11.73</v>
      </c>
      <c r="F656" t="n">
        <v>4151471</v>
      </c>
      <c r="G656" t="inlineStr">
        <is>
          <t>40-40-1.2-CRFH-PE</t>
        </is>
      </c>
      <c r="H656" t="n">
        <v>17.224</v>
      </c>
      <c r="I656" t="inlineStr">
        <is>
          <t>TUB-S-AW-SHS-40.00X40.00X1.200X0.1150</t>
        </is>
      </c>
      <c r="J656" t="inlineStr">
        <is>
          <t>TVS</t>
        </is>
      </c>
      <c r="K656" t="inlineStr">
        <is>
          <t>40-40-1.2-CRFH-PE-0.115</t>
        </is>
      </c>
    </row>
    <row r="657">
      <c r="A657" t="inlineStr">
        <is>
          <t>0000188595</t>
        </is>
      </c>
      <c r="B657" t="inlineStr">
        <is>
          <t>Sri Balaji Gears</t>
        </is>
      </c>
      <c r="C657" t="inlineStr">
        <is>
          <t>NOS</t>
        </is>
      </c>
      <c r="D657" t="n">
        <v>1000</v>
      </c>
      <c r="E657" t="n">
        <v>115</v>
      </c>
      <c r="F657" t="n">
        <v>4151471</v>
      </c>
      <c r="G657" t="inlineStr">
        <is>
          <t>40-40-1.2-CRFH-PE</t>
        </is>
      </c>
      <c r="H657" t="n">
        <v>168.867</v>
      </c>
      <c r="I657" t="inlineStr">
        <is>
          <t>TUB-S-AW-SHS-40.00X40.00X1.200X0.1150</t>
        </is>
      </c>
      <c r="J657" t="inlineStr">
        <is>
          <t>TVS</t>
        </is>
      </c>
      <c r="K657" t="inlineStr">
        <is>
          <t>40-40-1.2-CRFH-PE-0.115</t>
        </is>
      </c>
    </row>
    <row r="658">
      <c r="A658" t="inlineStr">
        <is>
          <t>0000188595</t>
        </is>
      </c>
      <c r="B658" t="inlineStr">
        <is>
          <t>Sri Balaji Gears</t>
        </is>
      </c>
      <c r="C658" t="inlineStr">
        <is>
          <t>NOS</t>
        </is>
      </c>
      <c r="D658" t="n">
        <v>1000</v>
      </c>
      <c r="E658" t="n">
        <v>115</v>
      </c>
      <c r="F658" t="n">
        <v>4151471</v>
      </c>
      <c r="G658" t="inlineStr">
        <is>
          <t>40-40-1.2-CRFH-PE</t>
        </is>
      </c>
      <c r="H658" t="n">
        <v>168.867</v>
      </c>
      <c r="I658" t="inlineStr">
        <is>
          <t>TUB-S-AW-SHS-40.00X40.00X1.200X0.1150</t>
        </is>
      </c>
      <c r="J658" t="inlineStr">
        <is>
          <t>TVS</t>
        </is>
      </c>
      <c r="K658" t="inlineStr">
        <is>
          <t>40-40-1.2-CRFH-PE-0.115</t>
        </is>
      </c>
    </row>
    <row r="659">
      <c r="A659" t="inlineStr">
        <is>
          <t>0000188595</t>
        </is>
      </c>
      <c r="B659" t="inlineStr">
        <is>
          <t>Sri Balaji Gears</t>
        </is>
      </c>
      <c r="C659" t="inlineStr">
        <is>
          <t>NOS</t>
        </is>
      </c>
      <c r="D659" t="n">
        <v>1000</v>
      </c>
      <c r="E659" t="n">
        <v>115</v>
      </c>
      <c r="F659" t="n">
        <v>4151471</v>
      </c>
      <c r="G659" t="inlineStr">
        <is>
          <t>40-40-1.2-CRFH-PE</t>
        </is>
      </c>
      <c r="H659" t="n">
        <v>168.867</v>
      </c>
      <c r="I659" t="inlineStr">
        <is>
          <t>TUB-S-AW-SHS-40.00X40.00X1.200X0.1150</t>
        </is>
      </c>
      <c r="J659" t="inlineStr">
        <is>
          <t>TVS</t>
        </is>
      </c>
      <c r="K659" t="inlineStr">
        <is>
          <t>40-40-1.2-CRFH-PE-0.115</t>
        </is>
      </c>
    </row>
    <row r="660">
      <c r="A660" t="inlineStr">
        <is>
          <t>0000188595</t>
        </is>
      </c>
      <c r="B660" t="inlineStr">
        <is>
          <t>Sri Balaji Gears</t>
        </is>
      </c>
      <c r="C660" t="inlineStr">
        <is>
          <t>NOS</t>
        </is>
      </c>
      <c r="D660" t="n">
        <v>1000</v>
      </c>
      <c r="E660" t="n">
        <v>115</v>
      </c>
      <c r="F660" t="n">
        <v>4151471</v>
      </c>
      <c r="G660" t="inlineStr">
        <is>
          <t>40-40-1.2-CRFH-PE</t>
        </is>
      </c>
      <c r="H660" t="n">
        <v>168.867</v>
      </c>
      <c r="I660" t="inlineStr">
        <is>
          <t>TUB-S-AW-SHS-40.00X40.00X1.200X0.1150</t>
        </is>
      </c>
      <c r="J660" t="inlineStr">
        <is>
          <t>TVS</t>
        </is>
      </c>
      <c r="K660" t="inlineStr">
        <is>
          <t>40-40-1.2-CRFH-PE-0.115</t>
        </is>
      </c>
    </row>
    <row r="661">
      <c r="A661" t="inlineStr">
        <is>
          <t>0000940921</t>
        </is>
      </c>
      <c r="B661" t="inlineStr">
        <is>
          <t>ELKAYEM AUTO ANCILLARIES PVT LTD -U</t>
        </is>
      </c>
      <c r="C661" t="inlineStr">
        <is>
          <t>M</t>
        </is>
      </c>
      <c r="D661" t="n">
        <v>82</v>
      </c>
      <c r="E661" t="n">
        <v>407.656</v>
      </c>
      <c r="F661" t="n">
        <v>3188792</v>
      </c>
      <c r="G661" t="inlineStr">
        <is>
          <t>16.1-0-2.8-CEW-CEW</t>
        </is>
      </c>
      <c r="H661" t="n">
        <v>371.701</v>
      </c>
      <c r="I661" t="inlineStr">
        <is>
          <t>TUB-O-C-AUT-AD-FC-16.00X2.800X04-06</t>
        </is>
      </c>
      <c r="J661" t="inlineStr">
        <is>
          <t>TVS</t>
        </is>
      </c>
      <c r="K661" t="inlineStr">
        <is>
          <t>16.1-0-2.8-CEW-CEW-1</t>
        </is>
      </c>
    </row>
    <row r="662">
      <c r="A662" t="inlineStr">
        <is>
          <t>0000940921</t>
        </is>
      </c>
      <c r="B662" t="inlineStr">
        <is>
          <t>ELKAYEM AUTO ANCILLARIES PVT LTD -U</t>
        </is>
      </c>
      <c r="C662" t="inlineStr">
        <is>
          <t>M</t>
        </is>
      </c>
      <c r="D662" t="n">
        <v>144</v>
      </c>
      <c r="E662" t="n">
        <v>720.366</v>
      </c>
      <c r="F662" t="n">
        <v>3188792</v>
      </c>
      <c r="G662" t="inlineStr">
        <is>
          <t>16.1-0-2.8-CEW-CEW</t>
        </is>
      </c>
      <c r="H662" t="n">
        <v>656.83</v>
      </c>
      <c r="I662" t="inlineStr">
        <is>
          <t>TUB-O-C-AUT-AD-FC-16.00X2.800X04-06</t>
        </is>
      </c>
      <c r="J662" t="inlineStr">
        <is>
          <t>TVS</t>
        </is>
      </c>
      <c r="K662" t="inlineStr">
        <is>
          <t>16.1-0-2.8-CEW-CEW-1</t>
        </is>
      </c>
    </row>
    <row r="663">
      <c r="A663" t="inlineStr">
        <is>
          <t>0000940921</t>
        </is>
      </c>
      <c r="B663" t="inlineStr">
        <is>
          <t>ELKAYEM AUTO ANCILLARIES PVT LTD -U</t>
        </is>
      </c>
      <c r="C663" t="inlineStr">
        <is>
          <t>M</t>
        </is>
      </c>
      <c r="D663" t="n">
        <v>121</v>
      </c>
      <c r="E663" t="n">
        <v>604.299</v>
      </c>
      <c r="F663" t="n">
        <v>3188792</v>
      </c>
      <c r="G663" t="inlineStr">
        <is>
          <t>16.1-0-2.8-CEW-CEW</t>
        </is>
      </c>
      <c r="H663" t="n">
        <v>551</v>
      </c>
      <c r="I663" t="inlineStr">
        <is>
          <t>TUB-O-C-AUT-AD-FC-16.00X2.800X04-06</t>
        </is>
      </c>
      <c r="J663" t="inlineStr">
        <is>
          <t>TVS</t>
        </is>
      </c>
      <c r="K663" t="inlineStr">
        <is>
          <t>16.1-0-2.8-CEW-CEW-1</t>
        </is>
      </c>
    </row>
    <row r="664">
      <c r="A664" t="inlineStr">
        <is>
          <t>0000940921</t>
        </is>
      </c>
      <c r="B664" t="inlineStr">
        <is>
          <t>ELKAYEM AUTO ANCILLARIES PVT LTD -U</t>
        </is>
      </c>
      <c r="C664" t="inlineStr">
        <is>
          <t>M</t>
        </is>
      </c>
      <c r="D664" t="n">
        <v>156</v>
      </c>
      <c r="E664" t="n">
        <v>778.021</v>
      </c>
      <c r="F664" t="n">
        <v>3188792</v>
      </c>
      <c r="G664" t="inlineStr">
        <is>
          <t>16.1-0-2.8-CEW-CEW</t>
        </is>
      </c>
      <c r="H664" t="n">
        <v>709.4</v>
      </c>
      <c r="I664" t="inlineStr">
        <is>
          <t>TUB-O-C-AUT-AD-FC-16.00X2.800X04-06</t>
        </is>
      </c>
      <c r="J664" t="inlineStr">
        <is>
          <t>TVS</t>
        </is>
      </c>
      <c r="K664" t="inlineStr">
        <is>
          <t>16.1-0-2.8-CEW-CEW-1</t>
        </is>
      </c>
    </row>
    <row r="665">
      <c r="A665" t="inlineStr">
        <is>
          <t>0000940921</t>
        </is>
      </c>
      <c r="B665" t="inlineStr">
        <is>
          <t>ELKAYEM AUTO ANCILLARIES PVT LTD -U</t>
        </is>
      </c>
      <c r="C665" t="inlineStr">
        <is>
          <t>M</t>
        </is>
      </c>
      <c r="D665" t="n">
        <v>311</v>
      </c>
      <c r="E665" t="n">
        <v>1552.972</v>
      </c>
      <c r="F665" t="n">
        <v>3188792</v>
      </c>
      <c r="G665" t="inlineStr">
        <is>
          <t>16.1-0-2.8-CEW-CEW</t>
        </is>
      </c>
      <c r="H665" t="n">
        <v>1416</v>
      </c>
      <c r="I665" t="inlineStr">
        <is>
          <t>TUB-O-C-AUT-AD-FC-16.00X2.800X04-06</t>
        </is>
      </c>
      <c r="J665" t="inlineStr">
        <is>
          <t>TVS</t>
        </is>
      </c>
      <c r="K665" t="inlineStr">
        <is>
          <t>16.1-0-2.8-CEW-CEW-1</t>
        </is>
      </c>
    </row>
    <row r="666">
      <c r="A666" t="inlineStr">
        <is>
          <t>0000940921</t>
        </is>
      </c>
      <c r="B666" t="inlineStr">
        <is>
          <t>ELKAYEM AUTO ANCILLARIES PVT LTD -U</t>
        </is>
      </c>
      <c r="C666" t="inlineStr">
        <is>
          <t>M</t>
        </is>
      </c>
      <c r="D666" t="n">
        <v>584</v>
      </c>
      <c r="E666" t="n">
        <v>2918.403</v>
      </c>
      <c r="F666" t="n">
        <v>3188792</v>
      </c>
      <c r="G666" t="inlineStr">
        <is>
          <t>16.1-0-2.8-CEW-CEW</t>
        </is>
      </c>
      <c r="H666" t="n">
        <v>2661</v>
      </c>
      <c r="I666" t="inlineStr">
        <is>
          <t>TUB-O-C-AUT-AD-FC-16.00X2.800X04-06</t>
        </is>
      </c>
      <c r="J666" t="inlineStr">
        <is>
          <t>TVS</t>
        </is>
      </c>
      <c r="K666" t="inlineStr">
        <is>
          <t>16.1-0-2.8-CEW-CEW-1</t>
        </is>
      </c>
    </row>
    <row r="667">
      <c r="A667" t="inlineStr">
        <is>
          <t>0000940921</t>
        </is>
      </c>
      <c r="B667" t="inlineStr">
        <is>
          <t>ELKAYEM AUTO ANCILLARIES PVT LTD -U</t>
        </is>
      </c>
      <c r="C667" t="inlineStr">
        <is>
          <t>M</t>
        </is>
      </c>
      <c r="D667" t="n">
        <v>104</v>
      </c>
      <c r="E667" t="n">
        <v>518.283</v>
      </c>
      <c r="F667" t="n">
        <v>3188792</v>
      </c>
      <c r="G667" t="inlineStr">
        <is>
          <t>16.1-0-2.8-CEW-CEW</t>
        </is>
      </c>
      <c r="H667" t="n">
        <v>472.57</v>
      </c>
      <c r="I667" t="inlineStr">
        <is>
          <t>TUB-O-C-AUT-AD-FC-16.00X2.800X04-06</t>
        </is>
      </c>
      <c r="J667" t="inlineStr">
        <is>
          <t>TVS</t>
        </is>
      </c>
      <c r="K667" t="inlineStr">
        <is>
          <t>16.1-0-2.8-CEW-CEW-1</t>
        </is>
      </c>
    </row>
    <row r="668">
      <c r="A668" t="inlineStr">
        <is>
          <t>0000188595</t>
        </is>
      </c>
      <c r="B668" t="inlineStr">
        <is>
          <t>Sri Balaji Gears</t>
        </is>
      </c>
      <c r="C668" t="inlineStr">
        <is>
          <t>NOS</t>
        </is>
      </c>
      <c r="D668" t="n">
        <v>1000</v>
      </c>
      <c r="E668" t="n">
        <v>190</v>
      </c>
      <c r="F668" t="n">
        <v>4151424</v>
      </c>
      <c r="G668" t="inlineStr">
        <is>
          <t>30-30-1.2-CRFH-PE</t>
        </is>
      </c>
      <c r="H668" t="n">
        <v>207.556</v>
      </c>
      <c r="I668" t="inlineStr">
        <is>
          <t>TUB-S-AW-AUT-30.00X30.00X1.200X0.1900</t>
        </is>
      </c>
      <c r="J668" t="inlineStr">
        <is>
          <t>TVS</t>
        </is>
      </c>
      <c r="K668" t="inlineStr">
        <is>
          <t>30-30-1.2-CRFH-PE-0.19</t>
        </is>
      </c>
    </row>
    <row r="669">
      <c r="A669" t="inlineStr">
        <is>
          <t>0000188595</t>
        </is>
      </c>
      <c r="B669" t="inlineStr">
        <is>
          <t>Sri Balaji Gears</t>
        </is>
      </c>
      <c r="C669" t="inlineStr">
        <is>
          <t>NOS</t>
        </is>
      </c>
      <c r="D669" t="n">
        <v>2297</v>
      </c>
      <c r="E669" t="n">
        <v>436.429</v>
      </c>
      <c r="F669" t="n">
        <v>4151424</v>
      </c>
      <c r="G669" t="inlineStr">
        <is>
          <t>30-30-1.2-CRFH-PE</t>
        </is>
      </c>
      <c r="H669" t="n">
        <v>476.755</v>
      </c>
      <c r="I669" t="inlineStr">
        <is>
          <t>TUB-S-AW-AUT-30.00X30.00X1.200X0.1900</t>
        </is>
      </c>
      <c r="J669" t="inlineStr">
        <is>
          <t>TVS</t>
        </is>
      </c>
      <c r="K669" t="inlineStr">
        <is>
          <t>30-30-1.2-CRFH-PE-0.19</t>
        </is>
      </c>
    </row>
    <row r="670">
      <c r="A670" t="inlineStr">
        <is>
          <t>0000188595</t>
        </is>
      </c>
      <c r="B670" t="inlineStr">
        <is>
          <t>Sri Balaji Gears</t>
        </is>
      </c>
      <c r="C670" t="inlineStr">
        <is>
          <t>NOS</t>
        </is>
      </c>
      <c r="D670" t="n">
        <v>1686</v>
      </c>
      <c r="E670" t="n">
        <v>320.339</v>
      </c>
      <c r="F670" t="n">
        <v>4151424</v>
      </c>
      <c r="G670" t="inlineStr">
        <is>
          <t>30-30-1.2-CRFH-PE</t>
        </is>
      </c>
      <c r="H670" t="n">
        <v>349.939</v>
      </c>
      <c r="I670" t="inlineStr">
        <is>
          <t>TUB-S-AW-AUT-30.00X30.00X1.200X0.1900</t>
        </is>
      </c>
      <c r="J670" t="inlineStr">
        <is>
          <t>TVS</t>
        </is>
      </c>
      <c r="K670" t="inlineStr">
        <is>
          <t>30-30-1.2-CRFH-PE-0.19</t>
        </is>
      </c>
    </row>
    <row r="671">
      <c r="A671" t="inlineStr">
        <is>
          <t>0000188595</t>
        </is>
      </c>
      <c r="B671" t="inlineStr">
        <is>
          <t>Sri Balaji Gears</t>
        </is>
      </c>
      <c r="C671" t="inlineStr">
        <is>
          <t>NOS</t>
        </is>
      </c>
      <c r="D671" t="n">
        <v>14</v>
      </c>
      <c r="E671" t="n">
        <v>2.66</v>
      </c>
      <c r="F671" t="n">
        <v>4151424</v>
      </c>
      <c r="G671" t="inlineStr">
        <is>
          <t>30-30-1.2-CRFH-PE</t>
        </is>
      </c>
      <c r="H671" t="n">
        <v>2.906</v>
      </c>
      <c r="I671" t="inlineStr">
        <is>
          <t>TUB-S-AW-AUT-30.00X30.00X1.200X0.1900</t>
        </is>
      </c>
      <c r="J671" t="inlineStr">
        <is>
          <t>TVS</t>
        </is>
      </c>
      <c r="K671" t="inlineStr">
        <is>
          <t>30-30-1.2-CRFH-PE-0.19</t>
        </is>
      </c>
    </row>
    <row r="672">
      <c r="A672" t="inlineStr">
        <is>
          <t>0000188595</t>
        </is>
      </c>
      <c r="B672" t="inlineStr">
        <is>
          <t>Sri Balaji Gears</t>
        </is>
      </c>
      <c r="C672" t="inlineStr">
        <is>
          <t>NOS</t>
        </is>
      </c>
      <c r="D672" t="n">
        <v>3</v>
      </c>
      <c r="E672" t="n">
        <v>0.57</v>
      </c>
      <c r="F672" t="n">
        <v>4151424</v>
      </c>
      <c r="G672" t="inlineStr">
        <is>
          <t>30-30-1.2-CRFH-PE</t>
        </is>
      </c>
      <c r="H672" t="n">
        <v>0.623</v>
      </c>
      <c r="I672" t="inlineStr">
        <is>
          <t>TUB-S-AW-AUT-30.00X30.00X1.200X0.1900</t>
        </is>
      </c>
      <c r="J672" t="inlineStr">
        <is>
          <t>TVS</t>
        </is>
      </c>
      <c r="K672" t="inlineStr">
        <is>
          <t>30-30-1.2-CRFH-PE-0.19</t>
        </is>
      </c>
    </row>
    <row r="673">
      <c r="A673" t="inlineStr">
        <is>
          <t>0000188595</t>
        </is>
      </c>
      <c r="B673" t="inlineStr">
        <is>
          <t>Sri Balaji Gears</t>
        </is>
      </c>
      <c r="C673" t="inlineStr">
        <is>
          <t>NOS</t>
        </is>
      </c>
      <c r="D673" t="n">
        <v>1000</v>
      </c>
      <c r="E673" t="n">
        <v>190</v>
      </c>
      <c r="F673" t="n">
        <v>4151424</v>
      </c>
      <c r="G673" t="inlineStr">
        <is>
          <t>30-30-1.2-CRFH-PE</t>
        </is>
      </c>
      <c r="H673" t="n">
        <v>207.556</v>
      </c>
      <c r="I673" t="inlineStr">
        <is>
          <t>TUB-S-AW-AUT-30.00X30.00X1.200X0.1900</t>
        </is>
      </c>
      <c r="J673" t="inlineStr">
        <is>
          <t>TVS</t>
        </is>
      </c>
      <c r="K673" t="inlineStr">
        <is>
          <t>30-30-1.2-CRFH-PE-0.19</t>
        </is>
      </c>
    </row>
    <row r="674">
      <c r="A674" t="inlineStr">
        <is>
          <t>0000188595</t>
        </is>
      </c>
      <c r="B674" t="inlineStr">
        <is>
          <t>Sri Balaji Gears</t>
        </is>
      </c>
      <c r="C674" t="inlineStr">
        <is>
          <t>NOS</t>
        </is>
      </c>
      <c r="D674" t="n">
        <v>1000</v>
      </c>
      <c r="E674" t="n">
        <v>190</v>
      </c>
      <c r="F674" t="n">
        <v>4151424</v>
      </c>
      <c r="G674" t="inlineStr">
        <is>
          <t>30-30-1.2-CRFH-PE</t>
        </is>
      </c>
      <c r="H674" t="n">
        <v>207.556</v>
      </c>
      <c r="I674" t="inlineStr">
        <is>
          <t>TUB-S-AW-AUT-30.00X30.00X1.200X0.1900</t>
        </is>
      </c>
      <c r="J674" t="inlineStr">
        <is>
          <t>TVS</t>
        </is>
      </c>
      <c r="K674" t="inlineStr">
        <is>
          <t>30-30-1.2-CRFH-PE-0.19</t>
        </is>
      </c>
    </row>
    <row r="675">
      <c r="A675" t="inlineStr">
        <is>
          <t>0000188595</t>
        </is>
      </c>
      <c r="B675" t="inlineStr">
        <is>
          <t>Sri Balaji Gears</t>
        </is>
      </c>
      <c r="C675" t="inlineStr">
        <is>
          <t>NOS</t>
        </is>
      </c>
      <c r="D675" t="n">
        <v>1000</v>
      </c>
      <c r="E675" t="n">
        <v>190</v>
      </c>
      <c r="F675" t="n">
        <v>4151424</v>
      </c>
      <c r="G675" t="inlineStr">
        <is>
          <t>30-30-1.2-CRFH-PE</t>
        </is>
      </c>
      <c r="H675" t="n">
        <v>207.556</v>
      </c>
      <c r="I675" t="inlineStr">
        <is>
          <t>TUB-S-AW-AUT-30.00X30.00X1.200X0.1900</t>
        </is>
      </c>
      <c r="J675" t="inlineStr">
        <is>
          <t>TVS</t>
        </is>
      </c>
      <c r="K675" t="inlineStr">
        <is>
          <t>30-30-1.2-CRFH-PE-0.19</t>
        </is>
      </c>
    </row>
    <row r="676">
      <c r="A676" t="inlineStr">
        <is>
          <t>0000189002</t>
        </is>
      </c>
      <c r="B676" t="inlineStr">
        <is>
          <t>Marathwada Auto Compo Pvt. Ltd.</t>
        </is>
      </c>
      <c r="C676" t="inlineStr">
        <is>
          <t>NOS</t>
        </is>
      </c>
      <c r="D676" t="n">
        <v>1000</v>
      </c>
      <c r="E676" t="n">
        <v>190</v>
      </c>
      <c r="F676" t="n">
        <v>4151424</v>
      </c>
      <c r="G676" t="inlineStr">
        <is>
          <t>30-30-1.2-CRFH-PE</t>
        </is>
      </c>
      <c r="H676" t="n">
        <v>207.556</v>
      </c>
      <c r="I676" t="inlineStr">
        <is>
          <t>TUB-S-AW-AUT-30.00X30.00X1.200X0.1900</t>
        </is>
      </c>
      <c r="J676" t="inlineStr">
        <is>
          <t>TVS</t>
        </is>
      </c>
      <c r="K676" t="inlineStr">
        <is>
          <t>30-30-1.2-CRFH-PE-0.19</t>
        </is>
      </c>
    </row>
    <row r="677">
      <c r="A677" t="inlineStr">
        <is>
          <t>0000188595</t>
        </is>
      </c>
      <c r="B677" t="inlineStr">
        <is>
          <t>Sri Balaji Gears</t>
        </is>
      </c>
      <c r="C677" t="inlineStr">
        <is>
          <t>NOS</t>
        </is>
      </c>
      <c r="D677" t="n">
        <v>1000</v>
      </c>
      <c r="E677" t="n">
        <v>190</v>
      </c>
      <c r="F677" t="n">
        <v>4151424</v>
      </c>
      <c r="G677" t="inlineStr">
        <is>
          <t>30-30-1.2-CRFH-PE</t>
        </is>
      </c>
      <c r="H677" t="n">
        <v>207.556</v>
      </c>
      <c r="I677" t="inlineStr">
        <is>
          <t>TUB-S-AW-AUT-30.00X30.00X1.200X0.1900</t>
        </is>
      </c>
      <c r="J677" t="inlineStr">
        <is>
          <t>TVS</t>
        </is>
      </c>
      <c r="K677" t="inlineStr">
        <is>
          <t>30-30-1.2-CRFH-PE-0.19</t>
        </is>
      </c>
    </row>
    <row r="678">
      <c r="A678" t="inlineStr">
        <is>
          <t>0000188595</t>
        </is>
      </c>
      <c r="B678" t="inlineStr">
        <is>
          <t>Sri Balaji Gears</t>
        </is>
      </c>
      <c r="C678" t="inlineStr">
        <is>
          <t>NOS</t>
        </is>
      </c>
      <c r="D678" t="n">
        <v>896</v>
      </c>
      <c r="E678" t="n">
        <v>170.24</v>
      </c>
      <c r="F678" t="n">
        <v>4151424</v>
      </c>
      <c r="G678" t="inlineStr">
        <is>
          <t>30-30-1.2-CRFH-PE</t>
        </is>
      </c>
      <c r="H678" t="n">
        <v>185.97</v>
      </c>
      <c r="I678" t="inlineStr">
        <is>
          <t>TUB-S-AW-AUT-30.00X30.00X1.200X0.1900</t>
        </is>
      </c>
      <c r="J678" t="inlineStr">
        <is>
          <t>TVS</t>
        </is>
      </c>
      <c r="K678" t="inlineStr">
        <is>
          <t>30-30-1.2-CRFH-PE-0.19</t>
        </is>
      </c>
    </row>
    <row r="679">
      <c r="A679" t="inlineStr">
        <is>
          <t>0000188595</t>
        </is>
      </c>
      <c r="B679" t="inlineStr">
        <is>
          <t>Sri Balaji Gears</t>
        </is>
      </c>
      <c r="C679" t="inlineStr">
        <is>
          <t>NOS</t>
        </is>
      </c>
      <c r="D679" t="n">
        <v>102</v>
      </c>
      <c r="E679" t="n">
        <v>19.38</v>
      </c>
      <c r="F679" t="n">
        <v>4151424</v>
      </c>
      <c r="G679" t="inlineStr">
        <is>
          <t>30-30-1.2-CRFH-PE</t>
        </is>
      </c>
      <c r="H679" t="n">
        <v>21.171</v>
      </c>
      <c r="I679" t="inlineStr">
        <is>
          <t>TUB-S-AW-AUT-30.00X30.00X1.200X0.1900</t>
        </is>
      </c>
      <c r="J679" t="inlineStr">
        <is>
          <t>TVS</t>
        </is>
      </c>
      <c r="K679" t="inlineStr">
        <is>
          <t>30-30-1.2-CRFH-PE-0.19</t>
        </is>
      </c>
    </row>
    <row r="680">
      <c r="A680" t="inlineStr">
        <is>
          <t>0000188595</t>
        </is>
      </c>
      <c r="B680" t="inlineStr">
        <is>
          <t>Sri Balaji Gears</t>
        </is>
      </c>
      <c r="C680" t="inlineStr">
        <is>
          <t>NOS</t>
        </is>
      </c>
      <c r="D680" t="n">
        <v>2</v>
      </c>
      <c r="E680" t="n">
        <v>0.38</v>
      </c>
      <c r="F680" t="n">
        <v>4151424</v>
      </c>
      <c r="G680" t="inlineStr">
        <is>
          <t>30-30-1.2-CRFH-PE</t>
        </is>
      </c>
      <c r="H680" t="n">
        <v>0.415</v>
      </c>
      <c r="I680" t="inlineStr">
        <is>
          <t>TUB-S-AW-AUT-30.00X30.00X1.200X0.1900</t>
        </is>
      </c>
      <c r="J680" t="inlineStr">
        <is>
          <t>TVS</t>
        </is>
      </c>
      <c r="K680" t="inlineStr">
        <is>
          <t>30-30-1.2-CRFH-PE-0.19</t>
        </is>
      </c>
    </row>
    <row r="681">
      <c r="A681" t="inlineStr">
        <is>
          <t>0000188595</t>
        </is>
      </c>
      <c r="B681" t="inlineStr">
        <is>
          <t>Sri Balaji Gears</t>
        </is>
      </c>
      <c r="C681" t="inlineStr">
        <is>
          <t>NOS</t>
        </is>
      </c>
      <c r="D681" t="n">
        <v>500</v>
      </c>
      <c r="E681" t="n">
        <v>503.507</v>
      </c>
      <c r="F681" t="n">
        <v>4100796</v>
      </c>
      <c r="G681" t="inlineStr">
        <is>
          <t>19-19-1-CRFH-PE</t>
        </is>
      </c>
      <c r="H681" t="n">
        <v>274.417</v>
      </c>
      <c r="I681" t="inlineStr">
        <is>
          <t>CUT-R-AW-AUT-19.00X19.00X1.000X1.0070</t>
        </is>
      </c>
      <c r="J681" t="inlineStr">
        <is>
          <t>TVS</t>
        </is>
      </c>
      <c r="K681" t="inlineStr">
        <is>
          <t>19-19-1-CRFH-PE-1.007</t>
        </is>
      </c>
    </row>
    <row r="682">
      <c r="A682" t="inlineStr">
        <is>
          <t>0000189002</t>
        </is>
      </c>
      <c r="B682" t="inlineStr">
        <is>
          <t>Marathwada Auto Compo Pvt. Ltd.</t>
        </is>
      </c>
      <c r="C682" t="inlineStr">
        <is>
          <t>NOS</t>
        </is>
      </c>
      <c r="D682" t="n">
        <v>500</v>
      </c>
      <c r="E682" t="n">
        <v>503.507</v>
      </c>
      <c r="F682" t="n">
        <v>4100796</v>
      </c>
      <c r="G682" t="inlineStr">
        <is>
          <t>19-19-1-CRFH-PE</t>
        </is>
      </c>
      <c r="H682" t="n">
        <v>274.417</v>
      </c>
      <c r="I682" t="inlineStr">
        <is>
          <t>CUT-R-AW-AUT-19.00X19.00X1.000X1.0070</t>
        </is>
      </c>
      <c r="J682" t="inlineStr">
        <is>
          <t>TVS</t>
        </is>
      </c>
      <c r="K682" t="inlineStr">
        <is>
          <t>19-19-1-CRFH-PE-1.007</t>
        </is>
      </c>
    </row>
    <row r="683">
      <c r="A683" t="inlineStr">
        <is>
          <t>0000189002</t>
        </is>
      </c>
      <c r="B683" t="inlineStr">
        <is>
          <t>Marathwada Auto Compo Pvt. Ltd.</t>
        </is>
      </c>
      <c r="C683" t="inlineStr">
        <is>
          <t>NOS</t>
        </is>
      </c>
      <c r="D683" t="n">
        <v>500</v>
      </c>
      <c r="E683" t="n">
        <v>503.507</v>
      </c>
      <c r="F683" t="n">
        <v>4100796</v>
      </c>
      <c r="G683" t="inlineStr">
        <is>
          <t>19-19-1-CRFH-PE</t>
        </is>
      </c>
      <c r="H683" t="n">
        <v>274.417</v>
      </c>
      <c r="I683" t="inlineStr">
        <is>
          <t>CUT-R-AW-AUT-19.00X19.00X1.000X1.0070</t>
        </is>
      </c>
      <c r="J683" t="inlineStr">
        <is>
          <t>TVS</t>
        </is>
      </c>
      <c r="K683" t="inlineStr">
        <is>
          <t>19-19-1-CRFH-PE-1.007</t>
        </is>
      </c>
    </row>
    <row r="684">
      <c r="A684" t="inlineStr">
        <is>
          <t>0000188595</t>
        </is>
      </c>
      <c r="B684" t="inlineStr">
        <is>
          <t>Sri Balaji Gears</t>
        </is>
      </c>
      <c r="C684" t="inlineStr">
        <is>
          <t>NOS</t>
        </is>
      </c>
      <c r="D684" t="n">
        <v>500</v>
      </c>
      <c r="E684" t="n">
        <v>503.507</v>
      </c>
      <c r="F684" t="n">
        <v>4100796</v>
      </c>
      <c r="G684" t="inlineStr">
        <is>
          <t>19-19-1-CRFH-PE</t>
        </is>
      </c>
      <c r="H684" t="n">
        <v>274.417</v>
      </c>
      <c r="I684" t="inlineStr">
        <is>
          <t>CUT-R-AW-AUT-19.00X19.00X1.000X1.0070</t>
        </is>
      </c>
      <c r="J684" t="inlineStr">
        <is>
          <t>TVS</t>
        </is>
      </c>
      <c r="K684" t="inlineStr">
        <is>
          <t>19-19-1-CRFH-PE-1.007</t>
        </is>
      </c>
    </row>
    <row r="685">
      <c r="A685" t="inlineStr">
        <is>
          <t>0000189002</t>
        </is>
      </c>
      <c r="B685" t="inlineStr">
        <is>
          <t>Marathwada Auto Compo Pvt. Ltd.</t>
        </is>
      </c>
      <c r="C685" t="inlineStr">
        <is>
          <t>NOS</t>
        </is>
      </c>
      <c r="D685" t="n">
        <v>500</v>
      </c>
      <c r="E685" t="n">
        <v>503.507</v>
      </c>
      <c r="F685" t="n">
        <v>4100796</v>
      </c>
      <c r="G685" t="inlineStr">
        <is>
          <t>19-19-1-CRFH-PE</t>
        </is>
      </c>
      <c r="H685" t="n">
        <v>274.417</v>
      </c>
      <c r="I685" t="inlineStr">
        <is>
          <t>CUT-R-AW-AUT-19.00X19.00X1.000X1.0070</t>
        </is>
      </c>
      <c r="J685" t="inlineStr">
        <is>
          <t>TVS</t>
        </is>
      </c>
      <c r="K685" t="inlineStr">
        <is>
          <t>19-19-1-CRFH-PE-1.007</t>
        </is>
      </c>
    </row>
    <row r="686">
      <c r="A686" t="inlineStr">
        <is>
          <t>0000188595</t>
        </is>
      </c>
      <c r="B686" t="inlineStr">
        <is>
          <t>Sri Balaji Gears</t>
        </is>
      </c>
      <c r="C686" t="inlineStr">
        <is>
          <t>NOS</t>
        </is>
      </c>
      <c r="D686" t="n">
        <v>500</v>
      </c>
      <c r="E686" t="n">
        <v>503.507</v>
      </c>
      <c r="F686" t="n">
        <v>4100796</v>
      </c>
      <c r="G686" t="inlineStr">
        <is>
          <t>19-19-1-CRFH-PE</t>
        </is>
      </c>
      <c r="H686" t="n">
        <v>274.417</v>
      </c>
      <c r="I686" t="inlineStr">
        <is>
          <t>CUT-R-AW-AUT-19.00X19.00X1.000X1.0070</t>
        </is>
      </c>
      <c r="J686" t="inlineStr">
        <is>
          <t>TVS</t>
        </is>
      </c>
      <c r="K686" t="inlineStr">
        <is>
          <t>19-19-1-CRFH-PE-1.007</t>
        </is>
      </c>
    </row>
    <row r="687">
      <c r="A687" t="inlineStr">
        <is>
          <t>0000189002</t>
        </is>
      </c>
      <c r="B687" t="inlineStr">
        <is>
          <t>Marathwada Auto Compo Pvt. Ltd.</t>
        </is>
      </c>
      <c r="C687" t="inlineStr">
        <is>
          <t>NOS</t>
        </is>
      </c>
      <c r="D687" t="n">
        <v>500</v>
      </c>
      <c r="E687" t="n">
        <v>503.507</v>
      </c>
      <c r="F687" t="n">
        <v>4100796</v>
      </c>
      <c r="G687" t="inlineStr">
        <is>
          <t>19-19-1-CRFH-PE</t>
        </is>
      </c>
      <c r="H687" t="n">
        <v>274.417</v>
      </c>
      <c r="I687" t="inlineStr">
        <is>
          <t>CUT-R-AW-AUT-19.00X19.00X1.000X1.0070</t>
        </is>
      </c>
      <c r="J687" t="inlineStr">
        <is>
          <t>TVS</t>
        </is>
      </c>
      <c r="K687" t="inlineStr">
        <is>
          <t>19-19-1-CRFH-PE-1.007</t>
        </is>
      </c>
    </row>
    <row r="688">
      <c r="A688" t="inlineStr">
        <is>
          <t>0000188595</t>
        </is>
      </c>
      <c r="B688" t="inlineStr">
        <is>
          <t>Sri Balaji Gears</t>
        </is>
      </c>
      <c r="C688" t="inlineStr">
        <is>
          <t>NOS</t>
        </is>
      </c>
      <c r="D688" t="n">
        <v>500</v>
      </c>
      <c r="E688" t="n">
        <v>503.507</v>
      </c>
      <c r="F688" t="n">
        <v>4100796</v>
      </c>
      <c r="G688" t="inlineStr">
        <is>
          <t>19-19-1-CRFH-PE</t>
        </is>
      </c>
      <c r="H688" t="n">
        <v>274.417</v>
      </c>
      <c r="I688" t="inlineStr">
        <is>
          <t>CUT-R-AW-AUT-19.00X19.00X1.000X1.0070</t>
        </is>
      </c>
      <c r="J688" t="inlineStr">
        <is>
          <t>TVS</t>
        </is>
      </c>
      <c r="K688" t="inlineStr">
        <is>
          <t>19-19-1-CRFH-PE-1.007</t>
        </is>
      </c>
    </row>
    <row r="689">
      <c r="A689" t="inlineStr">
        <is>
          <t>0000189002</t>
        </is>
      </c>
      <c r="B689" t="inlineStr">
        <is>
          <t>Marathwada Auto Compo Pvt. Ltd.</t>
        </is>
      </c>
      <c r="C689" t="inlineStr">
        <is>
          <t>NOS</t>
        </is>
      </c>
      <c r="D689" t="n">
        <v>500</v>
      </c>
      <c r="E689" t="n">
        <v>503.507</v>
      </c>
      <c r="F689" t="n">
        <v>4100796</v>
      </c>
      <c r="G689" t="inlineStr">
        <is>
          <t>19-19-1-CRFH-PE</t>
        </is>
      </c>
      <c r="H689" t="n">
        <v>274.417</v>
      </c>
      <c r="I689" t="inlineStr">
        <is>
          <t>CUT-R-AW-AUT-19.00X19.00X1.000X1.0070</t>
        </is>
      </c>
      <c r="J689" t="inlineStr">
        <is>
          <t>TVS</t>
        </is>
      </c>
      <c r="K689" t="inlineStr">
        <is>
          <t>19-19-1-CRFH-PE-1.007</t>
        </is>
      </c>
    </row>
    <row r="690">
      <c r="A690" t="inlineStr">
        <is>
          <t>0000188595</t>
        </is>
      </c>
      <c r="B690" t="inlineStr">
        <is>
          <t>Sri Balaji Gears</t>
        </is>
      </c>
      <c r="C690" t="inlineStr">
        <is>
          <t>NOS</t>
        </is>
      </c>
      <c r="D690" t="n">
        <v>500</v>
      </c>
      <c r="E690" t="n">
        <v>503.507</v>
      </c>
      <c r="F690" t="n">
        <v>4100796</v>
      </c>
      <c r="G690" t="inlineStr">
        <is>
          <t>19-19-1-CRFH-PE</t>
        </is>
      </c>
      <c r="H690" t="n">
        <v>274.417</v>
      </c>
      <c r="I690" t="inlineStr">
        <is>
          <t>CUT-R-AW-AUT-19.00X19.00X1.000X1.0070</t>
        </is>
      </c>
      <c r="J690" t="inlineStr">
        <is>
          <t>TVS</t>
        </is>
      </c>
      <c r="K690" t="inlineStr">
        <is>
          <t>19-19-1-CRFH-PE-1.007</t>
        </is>
      </c>
    </row>
    <row r="691">
      <c r="A691" t="inlineStr">
        <is>
          <t>0000189002</t>
        </is>
      </c>
      <c r="B691" t="inlineStr">
        <is>
          <t>Marathwada Auto Compo Pvt. Ltd.</t>
        </is>
      </c>
      <c r="C691" t="inlineStr">
        <is>
          <t>NOS</t>
        </is>
      </c>
      <c r="D691" t="n">
        <v>457</v>
      </c>
      <c r="E691" t="n">
        <v>460.205</v>
      </c>
      <c r="F691" t="n">
        <v>4100796</v>
      </c>
      <c r="G691" t="inlineStr">
        <is>
          <t>19-19-1-CRFH-PE</t>
        </is>
      </c>
      <c r="H691" t="n">
        <v>250.817</v>
      </c>
      <c r="I691" t="inlineStr">
        <is>
          <t>CUT-R-AW-AUT-19.00X19.00X1.000X1.0070</t>
        </is>
      </c>
      <c r="J691" t="inlineStr">
        <is>
          <t>TVS</t>
        </is>
      </c>
      <c r="K691" t="inlineStr">
        <is>
          <t>19-19-1-CRFH-PE-1.007</t>
        </is>
      </c>
    </row>
    <row r="692">
      <c r="A692" t="inlineStr">
        <is>
          <t>0000189002</t>
        </is>
      </c>
      <c r="B692" t="inlineStr">
        <is>
          <t>Marathwada Auto Compo Pvt. Ltd.</t>
        </is>
      </c>
      <c r="C692" t="inlineStr">
        <is>
          <t>NOS</t>
        </is>
      </c>
      <c r="D692" t="n">
        <v>43</v>
      </c>
      <c r="E692" t="n">
        <v>43.302</v>
      </c>
      <c r="F692" t="n">
        <v>4100796</v>
      </c>
      <c r="G692" t="inlineStr">
        <is>
          <t>19-19-1-CRFH-PE</t>
        </is>
      </c>
      <c r="H692" t="n">
        <v>23.6</v>
      </c>
      <c r="I692" t="inlineStr">
        <is>
          <t>CUT-R-AW-AUT-19.00X19.00X1.000X1.0070</t>
        </is>
      </c>
      <c r="J692" t="inlineStr">
        <is>
          <t>TVS</t>
        </is>
      </c>
      <c r="K692" t="inlineStr">
        <is>
          <t>19-19-1-CRFH-PE-1.007</t>
        </is>
      </c>
    </row>
    <row r="693">
      <c r="A693" t="inlineStr">
        <is>
          <t>0000188595</t>
        </is>
      </c>
      <c r="B693" t="inlineStr">
        <is>
          <t>Sri Balaji Gears</t>
        </is>
      </c>
      <c r="C693" t="inlineStr">
        <is>
          <t>NOS</t>
        </is>
      </c>
      <c r="D693" t="n">
        <v>218</v>
      </c>
      <c r="E693" t="n">
        <v>219.529</v>
      </c>
      <c r="F693" t="n">
        <v>4100796</v>
      </c>
      <c r="G693" t="inlineStr">
        <is>
          <t>19-19-1-CRFH-PE</t>
        </is>
      </c>
      <c r="H693" t="n">
        <v>119.646</v>
      </c>
      <c r="I693" t="inlineStr">
        <is>
          <t>CUT-R-AW-AUT-19.00X19.00X1.000X1.0070</t>
        </is>
      </c>
      <c r="J693" t="inlineStr">
        <is>
          <t>TVS</t>
        </is>
      </c>
      <c r="K693" t="inlineStr">
        <is>
          <t>19-19-1-CRFH-PE-1.007</t>
        </is>
      </c>
    </row>
    <row r="694">
      <c r="A694" t="inlineStr">
        <is>
          <t>0000188595</t>
        </is>
      </c>
      <c r="B694" t="inlineStr">
        <is>
          <t>Sri Balaji Gears</t>
        </is>
      </c>
      <c r="C694" t="inlineStr">
        <is>
          <t>NOS</t>
        </is>
      </c>
      <c r="D694" t="n">
        <v>125</v>
      </c>
      <c r="E694" t="n">
        <v>125.877</v>
      </c>
      <c r="F694" t="n">
        <v>4100796</v>
      </c>
      <c r="G694" t="inlineStr">
        <is>
          <t>19-19-1-CRFH-PE</t>
        </is>
      </c>
      <c r="H694" t="n">
        <v>68.604</v>
      </c>
      <c r="I694" t="inlineStr">
        <is>
          <t>CUT-R-AW-AUT-19.00X19.00X1.000X1.0070</t>
        </is>
      </c>
      <c r="J694" t="inlineStr">
        <is>
          <t>TVS</t>
        </is>
      </c>
      <c r="K694" t="inlineStr">
        <is>
          <t>19-19-1-CRFH-PE-1.007</t>
        </is>
      </c>
    </row>
    <row r="695">
      <c r="A695" t="inlineStr">
        <is>
          <t>0000188595</t>
        </is>
      </c>
      <c r="B695" t="inlineStr">
        <is>
          <t>Sri Balaji Gears</t>
        </is>
      </c>
      <c r="C695" t="inlineStr">
        <is>
          <t>NOS</t>
        </is>
      </c>
      <c r="D695" t="n">
        <v>59</v>
      </c>
      <c r="E695" t="n">
        <v>59.414</v>
      </c>
      <c r="F695" t="n">
        <v>4100796</v>
      </c>
      <c r="G695" t="inlineStr">
        <is>
          <t>19-19-1-CRFH-PE</t>
        </is>
      </c>
      <c r="H695" t="n">
        <v>32.381</v>
      </c>
      <c r="I695" t="inlineStr">
        <is>
          <t>CUT-R-AW-AUT-19.00X19.00X1.000X1.0070</t>
        </is>
      </c>
      <c r="J695" t="inlineStr">
        <is>
          <t>TVS</t>
        </is>
      </c>
      <c r="K695" t="inlineStr">
        <is>
          <t>19-19-1-CRFH-PE-1.007</t>
        </is>
      </c>
    </row>
    <row r="696">
      <c r="A696" t="inlineStr">
        <is>
          <t>0000188595</t>
        </is>
      </c>
      <c r="B696" t="inlineStr">
        <is>
          <t>Sri Balaji Gears</t>
        </is>
      </c>
      <c r="C696" t="inlineStr">
        <is>
          <t>NOS</t>
        </is>
      </c>
      <c r="D696" t="n">
        <v>51</v>
      </c>
      <c r="E696" t="n">
        <v>51.358</v>
      </c>
      <c r="F696" t="n">
        <v>4100796</v>
      </c>
      <c r="G696" t="inlineStr">
        <is>
          <t>19-19-1-CRFH-PE</t>
        </is>
      </c>
      <c r="H696" t="n">
        <v>27.99</v>
      </c>
      <c r="I696" t="inlineStr">
        <is>
          <t>CUT-R-AW-AUT-19.00X19.00X1.000X1.0070</t>
        </is>
      </c>
      <c r="J696" t="inlineStr">
        <is>
          <t>TVS</t>
        </is>
      </c>
      <c r="K696" t="inlineStr">
        <is>
          <t>19-19-1-CRFH-PE-1.007</t>
        </is>
      </c>
    </row>
    <row r="697">
      <c r="A697" t="inlineStr">
        <is>
          <t>0000188595</t>
        </is>
      </c>
      <c r="B697" t="inlineStr">
        <is>
          <t>Sri Balaji Gears</t>
        </is>
      </c>
      <c r="C697" t="inlineStr">
        <is>
          <t>NOS</t>
        </is>
      </c>
      <c r="D697" t="n">
        <v>29</v>
      </c>
      <c r="E697" t="n">
        <v>29.203</v>
      </c>
      <c r="F697" t="n">
        <v>4100796</v>
      </c>
      <c r="G697" t="inlineStr">
        <is>
          <t>19-19-1-CRFH-PE</t>
        </is>
      </c>
      <c r="H697" t="n">
        <v>15.916</v>
      </c>
      <c r="I697" t="inlineStr">
        <is>
          <t>CUT-R-AW-AUT-19.00X19.00X1.000X1.0070</t>
        </is>
      </c>
      <c r="J697" t="inlineStr">
        <is>
          <t>TVS</t>
        </is>
      </c>
      <c r="K697" t="inlineStr">
        <is>
          <t>19-19-1-CRFH-PE-1.007</t>
        </is>
      </c>
    </row>
    <row r="698">
      <c r="A698" t="inlineStr">
        <is>
          <t>0000188595</t>
        </is>
      </c>
      <c r="B698" t="inlineStr">
        <is>
          <t>Sri Balaji Gears</t>
        </is>
      </c>
      <c r="C698" t="inlineStr">
        <is>
          <t>NOS</t>
        </is>
      </c>
      <c r="D698" t="n">
        <v>18</v>
      </c>
      <c r="E698" t="n">
        <v>18.126</v>
      </c>
      <c r="F698" t="n">
        <v>4100796</v>
      </c>
      <c r="G698" t="inlineStr">
        <is>
          <t>19-19-1-CRFH-PE</t>
        </is>
      </c>
      <c r="H698" t="n">
        <v>9.879</v>
      </c>
      <c r="I698" t="inlineStr">
        <is>
          <t>CUT-R-AW-AUT-19.00X19.00X1.000X1.0070</t>
        </is>
      </c>
      <c r="J698" t="inlineStr">
        <is>
          <t>TVS</t>
        </is>
      </c>
      <c r="K698" t="inlineStr">
        <is>
          <t>19-19-1-CRFH-PE-1.007</t>
        </is>
      </c>
    </row>
    <row r="699">
      <c r="A699" t="inlineStr">
        <is>
          <t>0000189002</t>
        </is>
      </c>
      <c r="B699" t="inlineStr">
        <is>
          <t>Marathwada Auto Compo Pvt. Ltd.</t>
        </is>
      </c>
      <c r="C699" t="inlineStr">
        <is>
          <t>NOS</t>
        </is>
      </c>
      <c r="D699" t="n">
        <v>500</v>
      </c>
      <c r="E699" t="n">
        <v>503.507</v>
      </c>
      <c r="F699" t="n">
        <v>4100796</v>
      </c>
      <c r="G699" t="inlineStr">
        <is>
          <t>19-19-1-CRFH-PE</t>
        </is>
      </c>
      <c r="H699" t="n">
        <v>274.417</v>
      </c>
      <c r="I699" t="inlineStr">
        <is>
          <t>CUT-R-AW-AUT-19.00X19.00X1.000X1.0070</t>
        </is>
      </c>
      <c r="J699" t="inlineStr">
        <is>
          <t>TVS</t>
        </is>
      </c>
      <c r="K699" t="inlineStr">
        <is>
          <t>19-19-1-CRFH-PE-1.007</t>
        </is>
      </c>
    </row>
    <row r="700">
      <c r="A700" t="inlineStr">
        <is>
          <t>0000188595</t>
        </is>
      </c>
      <c r="B700" t="inlineStr">
        <is>
          <t>Sri Balaji Gears</t>
        </is>
      </c>
      <c r="C700" t="inlineStr">
        <is>
          <t>NOS</t>
        </is>
      </c>
      <c r="D700" t="n">
        <v>500</v>
      </c>
      <c r="E700" t="n">
        <v>503.507</v>
      </c>
      <c r="F700" t="n">
        <v>4100796</v>
      </c>
      <c r="G700" t="inlineStr">
        <is>
          <t>19-19-1-CRFH-PE</t>
        </is>
      </c>
      <c r="H700" t="n">
        <v>274.417</v>
      </c>
      <c r="I700" t="inlineStr">
        <is>
          <t>CUT-R-AW-AUT-19.00X19.00X1.000X1.0070</t>
        </is>
      </c>
      <c r="J700" t="inlineStr">
        <is>
          <t>TVS</t>
        </is>
      </c>
      <c r="K700" t="inlineStr">
        <is>
          <t>19-19-1-CRFH-PE-1.007</t>
        </is>
      </c>
    </row>
    <row r="701">
      <c r="A701" t="inlineStr">
        <is>
          <t>0000188595</t>
        </is>
      </c>
      <c r="B701" t="inlineStr">
        <is>
          <t>Sri Balaji Gears</t>
        </is>
      </c>
      <c r="C701" t="inlineStr">
        <is>
          <t>NOS</t>
        </is>
      </c>
      <c r="D701" t="n">
        <v>1000</v>
      </c>
      <c r="E701" t="n">
        <v>129.009</v>
      </c>
      <c r="F701" t="n">
        <v>3938687</v>
      </c>
      <c r="G701" t="inlineStr">
        <is>
          <t>19-19-1-CRFH-PE</t>
        </is>
      </c>
      <c r="H701" t="n">
        <v>70.31100000000001</v>
      </c>
      <c r="I701" t="inlineStr">
        <is>
          <t>TUB-S-AW-AUT-19.00X19.00X1.000X0.1290</t>
        </is>
      </c>
      <c r="J701" t="inlineStr">
        <is>
          <t>TVS</t>
        </is>
      </c>
      <c r="K701" t="inlineStr">
        <is>
          <t>19-19-1-CRFH-PE-0.129</t>
        </is>
      </c>
    </row>
    <row r="702">
      <c r="A702" t="inlineStr">
        <is>
          <t>0000188595</t>
        </is>
      </c>
      <c r="B702" t="inlineStr">
        <is>
          <t>Sri Balaji Gears</t>
        </is>
      </c>
      <c r="C702" t="inlineStr">
        <is>
          <t>NOS</t>
        </is>
      </c>
      <c r="D702" t="n">
        <v>1000</v>
      </c>
      <c r="E702" t="n">
        <v>129.009</v>
      </c>
      <c r="F702" t="n">
        <v>3938687</v>
      </c>
      <c r="G702" t="inlineStr">
        <is>
          <t>19-19-1-CRFH-PE</t>
        </is>
      </c>
      <c r="H702" t="n">
        <v>70.31100000000001</v>
      </c>
      <c r="I702" t="inlineStr">
        <is>
          <t>TUB-S-AW-AUT-19.00X19.00X1.000X0.1290</t>
        </is>
      </c>
      <c r="J702" t="inlineStr">
        <is>
          <t>TVS</t>
        </is>
      </c>
      <c r="K702" t="inlineStr">
        <is>
          <t>19-19-1-CRFH-PE-0.129</t>
        </is>
      </c>
    </row>
    <row r="703">
      <c r="A703" t="inlineStr">
        <is>
          <t>0000188595</t>
        </is>
      </c>
      <c r="B703" t="inlineStr">
        <is>
          <t>Sri Balaji Gears</t>
        </is>
      </c>
      <c r="C703" t="inlineStr">
        <is>
          <t>NOS</t>
        </is>
      </c>
      <c r="D703" t="n">
        <v>1000</v>
      </c>
      <c r="E703" t="n">
        <v>129.009</v>
      </c>
      <c r="F703" t="n">
        <v>3938687</v>
      </c>
      <c r="G703" t="inlineStr">
        <is>
          <t>19-19-1-CRFH-PE</t>
        </is>
      </c>
      <c r="H703" t="n">
        <v>70.31100000000001</v>
      </c>
      <c r="I703" t="inlineStr">
        <is>
          <t>TUB-S-AW-AUT-19.00X19.00X1.000X0.1290</t>
        </is>
      </c>
      <c r="J703" t="inlineStr">
        <is>
          <t>TVS</t>
        </is>
      </c>
      <c r="K703" t="inlineStr">
        <is>
          <t>19-19-1-CRFH-PE-0.129</t>
        </is>
      </c>
    </row>
    <row r="704">
      <c r="A704" t="inlineStr">
        <is>
          <t>0000188595</t>
        </is>
      </c>
      <c r="B704" t="inlineStr">
        <is>
          <t>Sri Balaji Gears</t>
        </is>
      </c>
      <c r="C704" t="inlineStr">
        <is>
          <t>NOS</t>
        </is>
      </c>
      <c r="D704" t="n">
        <v>716</v>
      </c>
      <c r="E704" t="n">
        <v>92.37</v>
      </c>
      <c r="F704" t="n">
        <v>3938687</v>
      </c>
      <c r="G704" t="inlineStr">
        <is>
          <t>19-19-1-CRFH-PE</t>
        </is>
      </c>
      <c r="H704" t="n">
        <v>50.343</v>
      </c>
      <c r="I704" t="inlineStr">
        <is>
          <t>TUB-S-AW-AUT-19.00X19.00X1.000X0.1290</t>
        </is>
      </c>
      <c r="J704" t="inlineStr">
        <is>
          <t>TVS</t>
        </is>
      </c>
      <c r="K704" t="inlineStr">
        <is>
          <t>19-19-1-CRFH-PE-0.129</t>
        </is>
      </c>
    </row>
    <row r="705">
      <c r="A705" t="inlineStr">
        <is>
          <t>0000188595</t>
        </is>
      </c>
      <c r="B705" t="inlineStr">
        <is>
          <t>Sri Balaji Gears</t>
        </is>
      </c>
      <c r="C705" t="inlineStr">
        <is>
          <t>NOS</t>
        </is>
      </c>
      <c r="D705" t="n">
        <v>167</v>
      </c>
      <c r="E705" t="n">
        <v>21.544</v>
      </c>
      <c r="F705" t="n">
        <v>3938687</v>
      </c>
      <c r="G705" t="inlineStr">
        <is>
          <t>19-19-1-CRFH-PE</t>
        </is>
      </c>
      <c r="H705" t="n">
        <v>11.742</v>
      </c>
      <c r="I705" t="inlineStr">
        <is>
          <t>TUB-S-AW-AUT-19.00X19.00X1.000X0.1290</t>
        </is>
      </c>
      <c r="J705" t="inlineStr">
        <is>
          <t>TVS</t>
        </is>
      </c>
      <c r="K705" t="inlineStr">
        <is>
          <t>19-19-1-CRFH-PE-0.129</t>
        </is>
      </c>
    </row>
    <row r="706">
      <c r="A706" t="inlineStr">
        <is>
          <t>0000188595</t>
        </is>
      </c>
      <c r="B706" t="inlineStr">
        <is>
          <t>Sri Balaji Gears</t>
        </is>
      </c>
      <c r="C706" t="inlineStr">
        <is>
          <t>NOS</t>
        </is>
      </c>
      <c r="D706" t="n">
        <v>98</v>
      </c>
      <c r="E706" t="n">
        <v>12.643</v>
      </c>
      <c r="F706" t="n">
        <v>3938687</v>
      </c>
      <c r="G706" t="inlineStr">
        <is>
          <t>19-19-1-CRFH-PE</t>
        </is>
      </c>
      <c r="H706" t="n">
        <v>6.89</v>
      </c>
      <c r="I706" t="inlineStr">
        <is>
          <t>TUB-S-AW-AUT-19.00X19.00X1.000X0.1290</t>
        </is>
      </c>
      <c r="J706" t="inlineStr">
        <is>
          <t>TVS</t>
        </is>
      </c>
      <c r="K706" t="inlineStr">
        <is>
          <t>19-19-1-CRFH-PE-0.129</t>
        </is>
      </c>
    </row>
    <row r="707">
      <c r="A707" t="inlineStr">
        <is>
          <t>0000188595</t>
        </is>
      </c>
      <c r="B707" t="inlineStr">
        <is>
          <t>Sri Balaji Gears</t>
        </is>
      </c>
      <c r="C707" t="inlineStr">
        <is>
          <t>NOS</t>
        </is>
      </c>
      <c r="D707" t="n">
        <v>19</v>
      </c>
      <c r="E707" t="n">
        <v>2.451</v>
      </c>
      <c r="F707" t="n">
        <v>3938687</v>
      </c>
      <c r="G707" t="inlineStr">
        <is>
          <t>19-19-1-CRFH-PE</t>
        </is>
      </c>
      <c r="H707" t="n">
        <v>1.336</v>
      </c>
      <c r="I707" t="inlineStr">
        <is>
          <t>TUB-S-AW-AUT-19.00X19.00X1.000X0.1290</t>
        </is>
      </c>
      <c r="J707" t="inlineStr">
        <is>
          <t>TVS</t>
        </is>
      </c>
      <c r="K707" t="inlineStr">
        <is>
          <t>19-19-1-CRFH-PE-0.129</t>
        </is>
      </c>
    </row>
    <row r="708">
      <c r="A708" t="inlineStr">
        <is>
          <t>0000188595</t>
        </is>
      </c>
      <c r="B708" t="inlineStr">
        <is>
          <t>Sri Balaji Gears</t>
        </is>
      </c>
      <c r="C708" t="inlineStr">
        <is>
          <t>NOS</t>
        </is>
      </c>
      <c r="D708" t="n">
        <v>1000</v>
      </c>
      <c r="E708" t="n">
        <v>129.009</v>
      </c>
      <c r="F708" t="n">
        <v>3938687</v>
      </c>
      <c r="G708" t="inlineStr">
        <is>
          <t>19-19-1-CRFH-PE</t>
        </is>
      </c>
      <c r="H708" t="n">
        <v>70.31100000000001</v>
      </c>
      <c r="I708" t="inlineStr">
        <is>
          <t>TUB-S-AW-AUT-19.00X19.00X1.000X0.1290</t>
        </is>
      </c>
      <c r="J708" t="inlineStr">
        <is>
          <t>TVS</t>
        </is>
      </c>
      <c r="K708" t="inlineStr">
        <is>
          <t>19-19-1-CRFH-PE-0.129</t>
        </is>
      </c>
    </row>
    <row r="709">
      <c r="A709" t="inlineStr">
        <is>
          <t>0000189002</t>
        </is>
      </c>
      <c r="B709" t="inlineStr">
        <is>
          <t>Marathwada Auto Compo Pvt. Ltd.</t>
        </is>
      </c>
      <c r="C709" t="inlineStr">
        <is>
          <t>NOS</t>
        </is>
      </c>
      <c r="D709" t="n">
        <v>1000</v>
      </c>
      <c r="E709" t="n">
        <v>129.009</v>
      </c>
      <c r="F709" t="n">
        <v>3938687</v>
      </c>
      <c r="G709" t="inlineStr">
        <is>
          <t>19-19-1-CRFH-PE</t>
        </is>
      </c>
      <c r="H709" t="n">
        <v>70.31100000000001</v>
      </c>
      <c r="I709" t="inlineStr">
        <is>
          <t>TUB-S-AW-AUT-19.00X19.00X1.000X0.1290</t>
        </is>
      </c>
      <c r="J709" t="inlineStr">
        <is>
          <t>TVS</t>
        </is>
      </c>
      <c r="K709" t="inlineStr">
        <is>
          <t>19-19-1-CRFH-PE-0.129</t>
        </is>
      </c>
    </row>
    <row r="710">
      <c r="A710" t="inlineStr">
        <is>
          <t>0000188595</t>
        </is>
      </c>
      <c r="B710" t="inlineStr">
        <is>
          <t>Sri Balaji Gears</t>
        </is>
      </c>
      <c r="C710" t="inlineStr">
        <is>
          <t>NOS</t>
        </is>
      </c>
      <c r="D710" t="n">
        <v>1000</v>
      </c>
      <c r="E710" t="n">
        <v>129.009</v>
      </c>
      <c r="F710" t="n">
        <v>3938687</v>
      </c>
      <c r="G710" t="inlineStr">
        <is>
          <t>19-19-1-CRFH-PE</t>
        </is>
      </c>
      <c r="H710" t="n">
        <v>70.31100000000001</v>
      </c>
      <c r="I710" t="inlineStr">
        <is>
          <t>TUB-S-AW-AUT-19.00X19.00X1.000X0.1290</t>
        </is>
      </c>
      <c r="J710" t="inlineStr">
        <is>
          <t>TVS</t>
        </is>
      </c>
      <c r="K710" t="inlineStr">
        <is>
          <t>19-19-1-CRFH-PE-0.129</t>
        </is>
      </c>
    </row>
    <row r="711">
      <c r="A711" t="inlineStr">
        <is>
          <t>0000188595</t>
        </is>
      </c>
      <c r="B711" t="inlineStr">
        <is>
          <t>Sri Balaji Gears</t>
        </is>
      </c>
      <c r="C711" t="inlineStr">
        <is>
          <t>NOS</t>
        </is>
      </c>
      <c r="D711" t="n">
        <v>1000</v>
      </c>
      <c r="E711" t="n">
        <v>129.009</v>
      </c>
      <c r="F711" t="n">
        <v>3938687</v>
      </c>
      <c r="G711" t="inlineStr">
        <is>
          <t>19-19-1-CRFH-PE</t>
        </is>
      </c>
      <c r="H711" t="n">
        <v>70.31100000000001</v>
      </c>
      <c r="I711" t="inlineStr">
        <is>
          <t>TUB-S-AW-AUT-19.00X19.00X1.000X0.1290</t>
        </is>
      </c>
      <c r="J711" t="inlineStr">
        <is>
          <t>TVS</t>
        </is>
      </c>
      <c r="K711" t="inlineStr">
        <is>
          <t>19-19-1-CRFH-PE-0.129</t>
        </is>
      </c>
    </row>
    <row r="712">
      <c r="A712" t="inlineStr">
        <is>
          <t>0000188595</t>
        </is>
      </c>
      <c r="B712" t="inlineStr">
        <is>
          <t>Sri Balaji Gears</t>
        </is>
      </c>
      <c r="C712" t="inlineStr">
        <is>
          <t>NOS</t>
        </is>
      </c>
      <c r="D712" t="n">
        <v>500</v>
      </c>
      <c r="E712" t="n">
        <v>164.995</v>
      </c>
      <c r="F712" t="n">
        <v>3935313</v>
      </c>
      <c r="G712" t="inlineStr">
        <is>
          <t>19.05-0-1.2-CRFH-PE</t>
        </is>
      </c>
      <c r="H712" t="n">
        <v>87.18300000000001</v>
      </c>
      <c r="I712" t="inlineStr">
        <is>
          <t>CUT-O-N-AUT-AW-PE-19.05X1.200X0.33</t>
        </is>
      </c>
      <c r="J712" t="inlineStr">
        <is>
          <t>TVS</t>
        </is>
      </c>
      <c r="K712" t="inlineStr">
        <is>
          <t>19.05-0-1.2-CRFH-PE-0.33</t>
        </is>
      </c>
    </row>
    <row r="713">
      <c r="A713" t="inlineStr">
        <is>
          <t>0000189002</t>
        </is>
      </c>
      <c r="B713" t="inlineStr">
        <is>
          <t>Marathwada Auto Compo Pvt. Ltd.</t>
        </is>
      </c>
      <c r="C713" t="inlineStr">
        <is>
          <t>NOS</t>
        </is>
      </c>
      <c r="D713" t="n">
        <v>348</v>
      </c>
      <c r="E713" t="n">
        <v>114.836</v>
      </c>
      <c r="F713" t="n">
        <v>3935313</v>
      </c>
      <c r="G713" t="inlineStr">
        <is>
          <t>19.05-0-1.2-CRFH-PE</t>
        </is>
      </c>
      <c r="H713" t="n">
        <v>60.68</v>
      </c>
      <c r="I713" t="inlineStr">
        <is>
          <t>CUT-O-N-AUT-AW-PE-19.05X1.200X0.33</t>
        </is>
      </c>
      <c r="J713" t="inlineStr">
        <is>
          <t>TVS</t>
        </is>
      </c>
      <c r="K713" t="inlineStr">
        <is>
          <t>19.05-0-1.2-CRFH-PE-0.33</t>
        </is>
      </c>
    </row>
    <row r="714">
      <c r="A714" t="inlineStr">
        <is>
          <t>0000189002</t>
        </is>
      </c>
      <c r="B714" t="inlineStr">
        <is>
          <t>Marathwada Auto Compo Pvt. Ltd.</t>
        </is>
      </c>
      <c r="C714" t="inlineStr">
        <is>
          <t>NOS</t>
        </is>
      </c>
      <c r="D714" t="n">
        <v>100</v>
      </c>
      <c r="E714" t="n">
        <v>32.999</v>
      </c>
      <c r="F714" t="n">
        <v>3935313</v>
      </c>
      <c r="G714" t="inlineStr">
        <is>
          <t>19.05-0-1.2-CRFH-PE</t>
        </is>
      </c>
      <c r="H714" t="n">
        <v>17.437</v>
      </c>
      <c r="I714" t="inlineStr">
        <is>
          <t>CUT-O-N-AUT-AW-PE-19.05X1.200X0.33</t>
        </is>
      </c>
      <c r="J714" t="inlineStr">
        <is>
          <t>TVS</t>
        </is>
      </c>
      <c r="K714" t="inlineStr">
        <is>
          <t>19.05-0-1.2-CRFH-PE-0.33</t>
        </is>
      </c>
    </row>
    <row r="715">
      <c r="A715" t="inlineStr">
        <is>
          <t>0000189002</t>
        </is>
      </c>
      <c r="B715" t="inlineStr">
        <is>
          <t>Marathwada Auto Compo Pvt. Ltd.</t>
        </is>
      </c>
      <c r="C715" t="inlineStr">
        <is>
          <t>NOS</t>
        </is>
      </c>
      <c r="D715" t="n">
        <v>52</v>
      </c>
      <c r="E715" t="n">
        <v>17.159</v>
      </c>
      <c r="F715" t="n">
        <v>3935313</v>
      </c>
      <c r="G715" t="inlineStr">
        <is>
          <t>19.05-0-1.2-CRFH-PE</t>
        </is>
      </c>
      <c r="H715" t="n">
        <v>9.067</v>
      </c>
      <c r="I715" t="inlineStr">
        <is>
          <t>CUT-O-N-AUT-AW-PE-19.05X1.200X0.33</t>
        </is>
      </c>
      <c r="J715" t="inlineStr">
        <is>
          <t>TVS</t>
        </is>
      </c>
      <c r="K715" t="inlineStr">
        <is>
          <t>19.05-0-1.2-CRFH-PE-0.33</t>
        </is>
      </c>
    </row>
    <row r="716">
      <c r="A716" t="inlineStr">
        <is>
          <t>0000189002</t>
        </is>
      </c>
      <c r="B716" t="inlineStr">
        <is>
          <t>Marathwada Auto Compo Pvt. Ltd.</t>
        </is>
      </c>
      <c r="C716" t="inlineStr">
        <is>
          <t>NOS</t>
        </is>
      </c>
      <c r="D716" t="n">
        <v>500</v>
      </c>
      <c r="E716" t="n">
        <v>164.995</v>
      </c>
      <c r="F716" t="n">
        <v>3935313</v>
      </c>
      <c r="G716" t="inlineStr">
        <is>
          <t>19.05-0-1.2-CRFH-PE</t>
        </is>
      </c>
      <c r="H716" t="n">
        <v>87.18300000000001</v>
      </c>
      <c r="I716" t="inlineStr">
        <is>
          <t>CUT-O-N-AUT-AW-PE-19.05X1.200X0.33</t>
        </is>
      </c>
      <c r="J716" t="inlineStr">
        <is>
          <t>TVS</t>
        </is>
      </c>
      <c r="K716" t="inlineStr">
        <is>
          <t>19.05-0-1.2-CRFH-PE-0.33</t>
        </is>
      </c>
    </row>
    <row r="717">
      <c r="A717" t="inlineStr">
        <is>
          <t>0000188595</t>
        </is>
      </c>
      <c r="B717" t="inlineStr">
        <is>
          <t>Sri Balaji Gears</t>
        </is>
      </c>
      <c r="C717" t="inlineStr">
        <is>
          <t>NOS</t>
        </is>
      </c>
      <c r="D717" t="n">
        <v>500</v>
      </c>
      <c r="E717" t="n">
        <v>164.995</v>
      </c>
      <c r="F717" t="n">
        <v>3935313</v>
      </c>
      <c r="G717" t="inlineStr">
        <is>
          <t>19.05-0-1.2-CRFH-PE</t>
        </is>
      </c>
      <c r="H717" t="n">
        <v>87.18300000000001</v>
      </c>
      <c r="I717" t="inlineStr">
        <is>
          <t>CUT-O-N-AUT-AW-PE-19.05X1.200X0.33</t>
        </is>
      </c>
      <c r="J717" t="inlineStr">
        <is>
          <t>TVS</t>
        </is>
      </c>
      <c r="K717" t="inlineStr">
        <is>
          <t>19.05-0-1.2-CRFH-PE-0.33</t>
        </is>
      </c>
    </row>
    <row r="718">
      <c r="A718" t="inlineStr">
        <is>
          <t>0000188595</t>
        </is>
      </c>
      <c r="B718" t="inlineStr">
        <is>
          <t>Sri Balaji Gears</t>
        </is>
      </c>
      <c r="C718" t="inlineStr">
        <is>
          <t>NOS</t>
        </is>
      </c>
      <c r="D718" t="n">
        <v>1330</v>
      </c>
      <c r="E718" t="n">
        <v>438.887</v>
      </c>
      <c r="F718" t="n">
        <v>3935313</v>
      </c>
      <c r="G718" t="inlineStr">
        <is>
          <t>19.05-0-1.2-CRFH-PE</t>
        </is>
      </c>
      <c r="H718" t="n">
        <v>231.908</v>
      </c>
      <c r="I718" t="inlineStr">
        <is>
          <t>CUT-O-N-AUT-AW-PE-19.05X1.200X0.33</t>
        </is>
      </c>
      <c r="J718" t="inlineStr">
        <is>
          <t>TVS</t>
        </is>
      </c>
      <c r="K718" t="inlineStr">
        <is>
          <t>19.05-0-1.2-CRFH-PE-0.33</t>
        </is>
      </c>
    </row>
    <row r="719">
      <c r="A719" t="inlineStr">
        <is>
          <t>0000188595</t>
        </is>
      </c>
      <c r="B719" t="inlineStr">
        <is>
          <t>Sri Balaji Gears</t>
        </is>
      </c>
      <c r="C719" t="inlineStr">
        <is>
          <t>NOS</t>
        </is>
      </c>
      <c r="D719" t="n">
        <v>652</v>
      </c>
      <c r="E719" t="n">
        <v>215.153</v>
      </c>
      <c r="F719" t="n">
        <v>3935313</v>
      </c>
      <c r="G719" t="inlineStr">
        <is>
          <t>19.05-0-1.2-CRFH-PE</t>
        </is>
      </c>
      <c r="H719" t="n">
        <v>113.687</v>
      </c>
      <c r="I719" t="inlineStr">
        <is>
          <t>CUT-O-N-AUT-AW-PE-19.05X1.200X0.33</t>
        </is>
      </c>
      <c r="J719" t="inlineStr">
        <is>
          <t>TVS</t>
        </is>
      </c>
      <c r="K719" t="inlineStr">
        <is>
          <t>19.05-0-1.2-CRFH-PE-0.33</t>
        </is>
      </c>
    </row>
    <row r="720">
      <c r="A720" t="inlineStr">
        <is>
          <t>0000188595</t>
        </is>
      </c>
      <c r="B720" t="inlineStr">
        <is>
          <t>Sri Balaji Gears</t>
        </is>
      </c>
      <c r="C720" t="inlineStr">
        <is>
          <t>NOS</t>
        </is>
      </c>
      <c r="D720" t="n">
        <v>18</v>
      </c>
      <c r="E720" t="n">
        <v>5.94</v>
      </c>
      <c r="F720" t="n">
        <v>3935313</v>
      </c>
      <c r="G720" t="inlineStr">
        <is>
          <t>19.05-0-1.2-CRFH-PE</t>
        </is>
      </c>
      <c r="H720" t="n">
        <v>3.139</v>
      </c>
      <c r="I720" t="inlineStr">
        <is>
          <t>CUT-O-N-AUT-AW-PE-19.05X1.200X0.33</t>
        </is>
      </c>
      <c r="J720" t="inlineStr">
        <is>
          <t>TVS</t>
        </is>
      </c>
      <c r="K720" t="inlineStr">
        <is>
          <t>19.05-0-1.2-CRFH-PE-0.33</t>
        </is>
      </c>
    </row>
    <row r="721">
      <c r="A721" t="inlineStr">
        <is>
          <t>0000189002</t>
        </is>
      </c>
      <c r="B721" t="inlineStr">
        <is>
          <t>Marathwada Auto Compo Pvt. Ltd.</t>
        </is>
      </c>
      <c r="C721" t="inlineStr">
        <is>
          <t>NOS</t>
        </is>
      </c>
      <c r="D721" t="n">
        <v>500</v>
      </c>
      <c r="E721" t="n">
        <v>164.995</v>
      </c>
      <c r="F721" t="n">
        <v>3935313</v>
      </c>
      <c r="G721" t="inlineStr">
        <is>
          <t>19.05-0-1.2-CRFH-PE</t>
        </is>
      </c>
      <c r="H721" t="n">
        <v>87.18300000000001</v>
      </c>
      <c r="I721" t="inlineStr">
        <is>
          <t>CUT-O-N-AUT-AW-PE-19.05X1.200X0.33</t>
        </is>
      </c>
      <c r="J721" t="inlineStr">
        <is>
          <t>TVS</t>
        </is>
      </c>
      <c r="K721" t="inlineStr">
        <is>
          <t>19.05-0-1.2-CRFH-PE-0.33</t>
        </is>
      </c>
    </row>
    <row r="722">
      <c r="A722" t="inlineStr">
        <is>
          <t>0000188595</t>
        </is>
      </c>
      <c r="B722" t="inlineStr">
        <is>
          <t>Sri Balaji Gears</t>
        </is>
      </c>
      <c r="C722" t="inlineStr">
        <is>
          <t>NOS</t>
        </is>
      </c>
      <c r="D722" t="n">
        <v>500</v>
      </c>
      <c r="E722" t="n">
        <v>164.995</v>
      </c>
      <c r="F722" t="n">
        <v>3935313</v>
      </c>
      <c r="G722" t="inlineStr">
        <is>
          <t>19.05-0-1.2-CRFH-PE</t>
        </is>
      </c>
      <c r="H722" t="n">
        <v>87.18300000000001</v>
      </c>
      <c r="I722" t="inlineStr">
        <is>
          <t>CUT-O-N-AUT-AW-PE-19.05X1.200X0.33</t>
        </is>
      </c>
      <c r="J722" t="inlineStr">
        <is>
          <t>TVS</t>
        </is>
      </c>
      <c r="K722" t="inlineStr">
        <is>
          <t>19.05-0-1.2-CRFH-PE-0.33</t>
        </is>
      </c>
    </row>
    <row r="723">
      <c r="A723" t="inlineStr">
        <is>
          <t>0000189002</t>
        </is>
      </c>
      <c r="B723" t="inlineStr">
        <is>
          <t>Marathwada Auto Compo Pvt. Ltd.</t>
        </is>
      </c>
      <c r="C723" t="inlineStr">
        <is>
          <t>NOS</t>
        </is>
      </c>
      <c r="D723" t="n">
        <v>500</v>
      </c>
      <c r="E723" t="n">
        <v>164.995</v>
      </c>
      <c r="F723" t="n">
        <v>3935313</v>
      </c>
      <c r="G723" t="inlineStr">
        <is>
          <t>19.05-0-1.2-CRFH-PE</t>
        </is>
      </c>
      <c r="H723" t="n">
        <v>87.18300000000001</v>
      </c>
      <c r="I723" t="inlineStr">
        <is>
          <t>CUT-O-N-AUT-AW-PE-19.05X1.200X0.33</t>
        </is>
      </c>
      <c r="J723" t="inlineStr">
        <is>
          <t>TVS</t>
        </is>
      </c>
      <c r="K723" t="inlineStr">
        <is>
          <t>19.05-0-1.2-CRFH-PE-0.33</t>
        </is>
      </c>
    </row>
    <row r="724">
      <c r="A724" t="inlineStr">
        <is>
          <t>0000188595</t>
        </is>
      </c>
      <c r="B724" t="inlineStr">
        <is>
          <t>Sri Balaji Gears</t>
        </is>
      </c>
      <c r="C724" t="inlineStr">
        <is>
          <t>NOS</t>
        </is>
      </c>
      <c r="D724" t="n">
        <v>500</v>
      </c>
      <c r="E724" t="n">
        <v>164.995</v>
      </c>
      <c r="F724" t="n">
        <v>3935313</v>
      </c>
      <c r="G724" t="inlineStr">
        <is>
          <t>19.05-0-1.2-CRFH-PE</t>
        </is>
      </c>
      <c r="H724" t="n">
        <v>87.18300000000001</v>
      </c>
      <c r="I724" t="inlineStr">
        <is>
          <t>CUT-O-N-AUT-AW-PE-19.05X1.200X0.33</t>
        </is>
      </c>
      <c r="J724" t="inlineStr">
        <is>
          <t>TVS</t>
        </is>
      </c>
      <c r="K724" t="inlineStr">
        <is>
          <t>19.05-0-1.2-CRFH-PE-0.33</t>
        </is>
      </c>
    </row>
    <row r="725">
      <c r="A725" t="inlineStr">
        <is>
          <t>0000189002</t>
        </is>
      </c>
      <c r="B725" t="inlineStr">
        <is>
          <t>Marathwada Auto Compo Pvt. Ltd.</t>
        </is>
      </c>
      <c r="C725" t="inlineStr">
        <is>
          <t>NOS</t>
        </is>
      </c>
      <c r="D725" t="n">
        <v>500</v>
      </c>
      <c r="E725" t="n">
        <v>164.995</v>
      </c>
      <c r="F725" t="n">
        <v>3935313</v>
      </c>
      <c r="G725" t="inlineStr">
        <is>
          <t>19.05-0-1.2-CRFH-PE</t>
        </is>
      </c>
      <c r="H725" t="n">
        <v>87.18300000000001</v>
      </c>
      <c r="I725" t="inlineStr">
        <is>
          <t>CUT-O-N-AUT-AW-PE-19.05X1.200X0.33</t>
        </is>
      </c>
      <c r="J725" t="inlineStr">
        <is>
          <t>TVS</t>
        </is>
      </c>
      <c r="K725" t="inlineStr">
        <is>
          <t>19.05-0-1.2-CRFH-PE-0.33</t>
        </is>
      </c>
    </row>
    <row r="726">
      <c r="A726" t="inlineStr">
        <is>
          <t>0000188595</t>
        </is>
      </c>
      <c r="B726" t="inlineStr">
        <is>
          <t>Sri Balaji Gears</t>
        </is>
      </c>
      <c r="C726" t="inlineStr">
        <is>
          <t>NOS</t>
        </is>
      </c>
      <c r="D726" t="n">
        <v>500</v>
      </c>
      <c r="E726" t="n">
        <v>164.995</v>
      </c>
      <c r="F726" t="n">
        <v>3935313</v>
      </c>
      <c r="G726" t="inlineStr">
        <is>
          <t>19.05-0-1.2-CRFH-PE</t>
        </is>
      </c>
      <c r="H726" t="n">
        <v>87.18300000000001</v>
      </c>
      <c r="I726" t="inlineStr">
        <is>
          <t>CUT-O-N-AUT-AW-PE-19.05X1.200X0.33</t>
        </is>
      </c>
      <c r="J726" t="inlineStr">
        <is>
          <t>TVS</t>
        </is>
      </c>
      <c r="K726" t="inlineStr">
        <is>
          <t>19.05-0-1.2-CRFH-PE-0.33</t>
        </is>
      </c>
    </row>
    <row r="727">
      <c r="A727" t="inlineStr">
        <is>
          <t>0000189002</t>
        </is>
      </c>
      <c r="B727" t="inlineStr">
        <is>
          <t>Marathwada Auto Compo Pvt. Ltd.</t>
        </is>
      </c>
      <c r="C727" t="inlineStr">
        <is>
          <t>NOS</t>
        </is>
      </c>
      <c r="D727" t="n">
        <v>500</v>
      </c>
      <c r="E727" t="n">
        <v>164.995</v>
      </c>
      <c r="F727" t="n">
        <v>3935313</v>
      </c>
      <c r="G727" t="inlineStr">
        <is>
          <t>19.05-0-1.2-CRFH-PE</t>
        </is>
      </c>
      <c r="H727" t="n">
        <v>87.18300000000001</v>
      </c>
      <c r="I727" t="inlineStr">
        <is>
          <t>CUT-O-N-AUT-AW-PE-19.05X1.200X0.33</t>
        </is>
      </c>
      <c r="J727" t="inlineStr">
        <is>
          <t>TVS</t>
        </is>
      </c>
      <c r="K727" t="inlineStr">
        <is>
          <t>19.05-0-1.2-CRFH-PE-0.33</t>
        </is>
      </c>
    </row>
    <row r="728">
      <c r="A728" t="inlineStr">
        <is>
          <t>0000188595</t>
        </is>
      </c>
      <c r="B728" t="inlineStr">
        <is>
          <t>Sri Balaji Gears</t>
        </is>
      </c>
      <c r="C728" t="inlineStr">
        <is>
          <t>NOS</t>
        </is>
      </c>
      <c r="D728" t="n">
        <v>500</v>
      </c>
      <c r="E728" t="n">
        <v>164.995</v>
      </c>
      <c r="F728" t="n">
        <v>3935313</v>
      </c>
      <c r="G728" t="inlineStr">
        <is>
          <t>19.05-0-1.2-CRFH-PE</t>
        </is>
      </c>
      <c r="H728" t="n">
        <v>87.18300000000001</v>
      </c>
      <c r="I728" t="inlineStr">
        <is>
          <t>CUT-O-N-AUT-AW-PE-19.05X1.200X0.33</t>
        </is>
      </c>
      <c r="J728" t="inlineStr">
        <is>
          <t>TVS</t>
        </is>
      </c>
      <c r="K728" t="inlineStr">
        <is>
          <t>19.05-0-1.2-CRFH-PE-0.33</t>
        </is>
      </c>
    </row>
    <row r="729">
      <c r="A729" t="inlineStr">
        <is>
          <t>0000189002</t>
        </is>
      </c>
      <c r="B729" t="inlineStr">
        <is>
          <t>Marathwada Auto Compo Pvt. Ltd.</t>
        </is>
      </c>
      <c r="C729" t="inlineStr">
        <is>
          <t>NOS</t>
        </is>
      </c>
      <c r="D729" t="n">
        <v>500</v>
      </c>
      <c r="E729" t="n">
        <v>164.995</v>
      </c>
      <c r="F729" t="n">
        <v>3935313</v>
      </c>
      <c r="G729" t="inlineStr">
        <is>
          <t>19.05-0-1.2-CRFH-PE</t>
        </is>
      </c>
      <c r="H729" t="n">
        <v>87.18300000000001</v>
      </c>
      <c r="I729" t="inlineStr">
        <is>
          <t>CUT-O-N-AUT-AW-PE-19.05X1.200X0.33</t>
        </is>
      </c>
      <c r="J729" t="inlineStr">
        <is>
          <t>TVS</t>
        </is>
      </c>
      <c r="K729" t="inlineStr">
        <is>
          <t>19.05-0-1.2-CRFH-PE-0.33</t>
        </is>
      </c>
    </row>
    <row r="730">
      <c r="A730" t="inlineStr">
        <is>
          <t>0000188595</t>
        </is>
      </c>
      <c r="B730" t="inlineStr">
        <is>
          <t>Sri Balaji Gears</t>
        </is>
      </c>
      <c r="C730" t="inlineStr">
        <is>
          <t>NOS</t>
        </is>
      </c>
      <c r="D730" t="n">
        <v>500</v>
      </c>
      <c r="E730" t="n">
        <v>164.995</v>
      </c>
      <c r="F730" t="n">
        <v>3935313</v>
      </c>
      <c r="G730" t="inlineStr">
        <is>
          <t>19.05-0-1.2-CRFH-PE</t>
        </is>
      </c>
      <c r="H730" t="n">
        <v>87.18300000000001</v>
      </c>
      <c r="I730" t="inlineStr">
        <is>
          <t>CUT-O-N-AUT-AW-PE-19.05X1.200X0.33</t>
        </is>
      </c>
      <c r="J730" t="inlineStr">
        <is>
          <t>TVS</t>
        </is>
      </c>
      <c r="K730" t="inlineStr">
        <is>
          <t>19.05-0-1.2-CRFH-PE-0.33</t>
        </is>
      </c>
    </row>
    <row r="731">
      <c r="A731" t="inlineStr">
        <is>
          <t>0000940921</t>
        </is>
      </c>
      <c r="B731" t="inlineStr">
        <is>
          <t>ELKAYEM AUTO ANCILLARIES PVT LTD -U</t>
        </is>
      </c>
      <c r="C731" t="inlineStr">
        <is>
          <t>NOS</t>
        </is>
      </c>
      <c r="D731" t="n">
        <v>1949</v>
      </c>
      <c r="E731" t="n">
        <v>1394.235</v>
      </c>
      <c r="F731" t="n">
        <v>3910020</v>
      </c>
      <c r="G731" t="inlineStr">
        <is>
          <t>22.23-0-2-ERW 1-FC</t>
        </is>
      </c>
      <c r="H731" t="n">
        <v>1391.586</v>
      </c>
      <c r="I731" t="inlineStr">
        <is>
          <t>CUT-O-N-AUT-AW-FC-22.23X2.000X0.7150</t>
        </is>
      </c>
      <c r="J731" t="inlineStr">
        <is>
          <t>TVS</t>
        </is>
      </c>
      <c r="K731" t="inlineStr">
        <is>
          <t>22.23-0-2-ERW 1-FC-0.715</t>
        </is>
      </c>
    </row>
    <row r="732">
      <c r="A732" t="inlineStr">
        <is>
          <t>0000940921</t>
        </is>
      </c>
      <c r="B732" t="inlineStr">
        <is>
          <t>ELKAYEM AUTO ANCILLARIES PVT LTD -U</t>
        </is>
      </c>
      <c r="C732" t="inlineStr">
        <is>
          <t>NOS</t>
        </is>
      </c>
      <c r="D732" t="n">
        <v>1399</v>
      </c>
      <c r="E732" t="n">
        <v>1000.787</v>
      </c>
      <c r="F732" t="n">
        <v>3910020</v>
      </c>
      <c r="G732" t="inlineStr">
        <is>
          <t>22.23-0-2-ERW 1-FC</t>
        </is>
      </c>
      <c r="H732" t="n">
        <v>998.886</v>
      </c>
      <c r="I732" t="inlineStr">
        <is>
          <t>CUT-O-N-AUT-AW-FC-22.23X2.000X0.7150</t>
        </is>
      </c>
      <c r="J732" t="inlineStr">
        <is>
          <t>TVS</t>
        </is>
      </c>
      <c r="K732" t="inlineStr">
        <is>
          <t>22.23-0-2-ERW 1-FC-0.715</t>
        </is>
      </c>
    </row>
    <row r="733">
      <c r="A733" t="inlineStr">
        <is>
          <t>0000940921</t>
        </is>
      </c>
      <c r="B733" t="inlineStr">
        <is>
          <t>ELKAYEM AUTO ANCILLARIES PVT LTD -U</t>
        </is>
      </c>
      <c r="C733" t="inlineStr">
        <is>
          <t>NOS</t>
        </is>
      </c>
      <c r="D733" t="n">
        <v>1140</v>
      </c>
      <c r="E733" t="n">
        <v>815.509</v>
      </c>
      <c r="F733" t="n">
        <v>3910020</v>
      </c>
      <c r="G733" t="inlineStr">
        <is>
          <t>22.23-0-2-ERW 1-FC</t>
        </is>
      </c>
      <c r="H733" t="n">
        <v>813.96</v>
      </c>
      <c r="I733" t="inlineStr">
        <is>
          <t>CUT-O-N-AUT-AW-FC-22.23X2.000X0.7150</t>
        </is>
      </c>
      <c r="J733" t="inlineStr">
        <is>
          <t>TVS</t>
        </is>
      </c>
      <c r="K733" t="inlineStr">
        <is>
          <t>22.23-0-2-ERW 1-FC-0.715</t>
        </is>
      </c>
    </row>
    <row r="734">
      <c r="A734" t="inlineStr">
        <is>
          <t>0000940921</t>
        </is>
      </c>
      <c r="B734" t="inlineStr">
        <is>
          <t>ELKAYEM AUTO ANCILLARIES PVT LTD -U</t>
        </is>
      </c>
      <c r="C734" t="inlineStr">
        <is>
          <t>NOS</t>
        </is>
      </c>
      <c r="D734" t="n">
        <v>476</v>
      </c>
      <c r="E734" t="n">
        <v>340.511</v>
      </c>
      <c r="F734" t="n">
        <v>3910020</v>
      </c>
      <c r="G734" t="inlineStr">
        <is>
          <t>22.23-0-2-ERW 1-FC</t>
        </is>
      </c>
      <c r="H734" t="n">
        <v>339.864</v>
      </c>
      <c r="I734" t="inlineStr">
        <is>
          <t>CUT-O-N-AUT-AW-FC-22.23X2.000X0.7150</t>
        </is>
      </c>
      <c r="J734" t="inlineStr">
        <is>
          <t>TVS</t>
        </is>
      </c>
      <c r="K734" t="inlineStr">
        <is>
          <t>22.23-0-2-ERW 1-FC-0.715</t>
        </is>
      </c>
    </row>
    <row r="735">
      <c r="A735" t="inlineStr">
        <is>
          <t>0000940921</t>
        </is>
      </c>
      <c r="B735" t="inlineStr">
        <is>
          <t>ELKAYEM AUTO ANCILLARIES PVT LTD -U</t>
        </is>
      </c>
      <c r="C735" t="inlineStr">
        <is>
          <t>NOS</t>
        </is>
      </c>
      <c r="D735" t="n">
        <v>11</v>
      </c>
      <c r="E735" t="n">
        <v>7.869</v>
      </c>
      <c r="F735" t="n">
        <v>3910020</v>
      </c>
      <c r="G735" t="inlineStr">
        <is>
          <t>22.23-0-2-ERW 1-FC</t>
        </is>
      </c>
      <c r="H735" t="n">
        <v>7.854</v>
      </c>
      <c r="I735" t="inlineStr">
        <is>
          <t>CUT-O-N-AUT-AW-FC-22.23X2.000X0.7150</t>
        </is>
      </c>
      <c r="J735" t="inlineStr">
        <is>
          <t>TVS</t>
        </is>
      </c>
      <c r="K735" t="inlineStr">
        <is>
          <t>22.23-0-2-ERW 1-FC-0.715</t>
        </is>
      </c>
    </row>
    <row r="736">
      <c r="A736" t="inlineStr">
        <is>
          <t>0000940921</t>
        </is>
      </c>
      <c r="B736" t="inlineStr">
        <is>
          <t>ELKAYEM AUTO ANCILLARIES PVT LTD -U</t>
        </is>
      </c>
      <c r="C736" t="inlineStr">
        <is>
          <t>NOS</t>
        </is>
      </c>
      <c r="D736" t="n">
        <v>666</v>
      </c>
      <c r="E736" t="n">
        <v>1149.655</v>
      </c>
      <c r="F736" t="n">
        <v>1940710</v>
      </c>
      <c r="G736" t="inlineStr">
        <is>
          <t>34.93-0-1.6-ERW 1-FC</t>
        </is>
      </c>
      <c r="H736" t="n">
        <v>1512.486</v>
      </c>
      <c r="I736" t="inlineStr">
        <is>
          <t>TUB-O-O-AUT-AW-FC-34.93X1.600X1.7260</t>
        </is>
      </c>
      <c r="J736" t="inlineStr">
        <is>
          <t>TVS</t>
        </is>
      </c>
      <c r="K736" t="inlineStr">
        <is>
          <t>34.93-0-1.6-ERW 1-FC-1.726</t>
        </is>
      </c>
    </row>
    <row r="737">
      <c r="A737" t="inlineStr">
        <is>
          <t>0000940921</t>
        </is>
      </c>
      <c r="B737" t="inlineStr">
        <is>
          <t>ELKAYEM AUTO ANCILLARIES PVT LTD -U</t>
        </is>
      </c>
      <c r="C737" t="inlineStr">
        <is>
          <t>NOS</t>
        </is>
      </c>
      <c r="D737" t="n">
        <v>450</v>
      </c>
      <c r="E737" t="n">
        <v>776.794</v>
      </c>
      <c r="F737" t="n">
        <v>1940710</v>
      </c>
      <c r="G737" t="inlineStr">
        <is>
          <t>34.93-0-1.6-ERW 1-FC</t>
        </is>
      </c>
      <c r="H737" t="n">
        <v>1021.95</v>
      </c>
      <c r="I737" t="inlineStr">
        <is>
          <t>TUB-O-O-AUT-AW-FC-34.93X1.600X1.7260</t>
        </is>
      </c>
      <c r="J737" t="inlineStr">
        <is>
          <t>TVS</t>
        </is>
      </c>
      <c r="K737" t="inlineStr">
        <is>
          <t>34.93-0-1.6-ERW 1-FC-1.726</t>
        </is>
      </c>
    </row>
    <row r="738">
      <c r="A738" t="inlineStr">
        <is>
          <t>0000940921</t>
        </is>
      </c>
      <c r="B738" t="inlineStr">
        <is>
          <t>ELKAYEM AUTO ANCILLARIES PVT LTD -U</t>
        </is>
      </c>
      <c r="C738" t="inlineStr">
        <is>
          <t>NOS</t>
        </is>
      </c>
      <c r="D738" t="n">
        <v>380</v>
      </c>
      <c r="E738" t="n">
        <v>655.9589999999999</v>
      </c>
      <c r="F738" t="n">
        <v>1940710</v>
      </c>
      <c r="G738" t="inlineStr">
        <is>
          <t>34.93-0-1.6-ERW 1-FC</t>
        </is>
      </c>
      <c r="H738" t="n">
        <v>862.98</v>
      </c>
      <c r="I738" t="inlineStr">
        <is>
          <t>TUB-O-O-AUT-AW-FC-34.93X1.600X1.7260</t>
        </is>
      </c>
      <c r="J738" t="inlineStr">
        <is>
          <t>TVS</t>
        </is>
      </c>
      <c r="K738" t="inlineStr">
        <is>
          <t>34.93-0-1.6-ERW 1-FC-1.726</t>
        </is>
      </c>
    </row>
    <row r="739">
      <c r="A739" t="inlineStr">
        <is>
          <t>0000940921</t>
        </is>
      </c>
      <c r="B739" t="inlineStr">
        <is>
          <t>ELKAYEM AUTO ANCILLARIES PVT LTD -U</t>
        </is>
      </c>
      <c r="C739" t="inlineStr">
        <is>
          <t>NOS</t>
        </is>
      </c>
      <c r="D739" t="n">
        <v>94</v>
      </c>
      <c r="E739" t="n">
        <v>162.264</v>
      </c>
      <c r="F739" t="n">
        <v>1940710</v>
      </c>
      <c r="G739" t="inlineStr">
        <is>
          <t>34.93-0-1.6-ERW 1-FC</t>
        </is>
      </c>
      <c r="H739" t="n">
        <v>213.474</v>
      </c>
      <c r="I739" t="inlineStr">
        <is>
          <t>TUB-O-O-AUT-AW-FC-34.93X1.600X1.7260</t>
        </is>
      </c>
      <c r="J739" t="inlineStr">
        <is>
          <t>TVS</t>
        </is>
      </c>
      <c r="K739" t="inlineStr">
        <is>
          <t>34.93-0-1.6-ERW 1-FC-1.726</t>
        </is>
      </c>
    </row>
    <row r="740">
      <c r="A740" t="inlineStr">
        <is>
          <t>0000940921</t>
        </is>
      </c>
      <c r="B740" t="inlineStr">
        <is>
          <t>ELKAYEM AUTO ANCILLARIES PVT LTD -U</t>
        </is>
      </c>
      <c r="C740" t="inlineStr">
        <is>
          <t>NOS</t>
        </is>
      </c>
      <c r="D740" t="n">
        <v>1309</v>
      </c>
      <c r="E740" t="n">
        <v>839.645</v>
      </c>
      <c r="F740" t="n">
        <v>3781649</v>
      </c>
      <c r="G740" t="inlineStr">
        <is>
          <t>59-30-1.6-ERW 1-FIN CUT</t>
        </is>
      </c>
      <c r="H740" t="n">
        <v>1557.71</v>
      </c>
      <c r="I740" t="inlineStr">
        <is>
          <t>TUB-E-AW-AUT-59.00X30.00X1.600X0.6410</t>
        </is>
      </c>
      <c r="J740" t="inlineStr">
        <is>
          <t>TVS</t>
        </is>
      </c>
      <c r="K740" t="inlineStr">
        <is>
          <t>59-30-1.6-ERW 1-FIN CUT-0.641</t>
        </is>
      </c>
    </row>
    <row r="741">
      <c r="A741" t="inlineStr">
        <is>
          <t>0000940921</t>
        </is>
      </c>
      <c r="B741" t="inlineStr">
        <is>
          <t>ELKAYEM AUTO ANCILLARIES PVT LTD -U</t>
        </is>
      </c>
      <c r="C741" t="inlineStr">
        <is>
          <t>NOS</t>
        </is>
      </c>
      <c r="D741" t="n">
        <v>1</v>
      </c>
      <c r="E741" t="n">
        <v>0.641</v>
      </c>
      <c r="F741" t="n">
        <v>3781649</v>
      </c>
      <c r="G741" t="inlineStr">
        <is>
          <t>59-30-1.6-ERW 1-FIN CUT</t>
        </is>
      </c>
      <c r="H741" t="n">
        <v>1.19</v>
      </c>
      <c r="I741" t="inlineStr">
        <is>
          <t>TUB-E-AW-AUT-59.00X30.00X1.600X0.6410</t>
        </is>
      </c>
      <c r="J741" t="inlineStr">
        <is>
          <t>TVS</t>
        </is>
      </c>
      <c r="K741" t="inlineStr">
        <is>
          <t>59-30-1.6-ERW 1-FIN CUT-0.641</t>
        </is>
      </c>
    </row>
    <row r="742">
      <c r="A742" t="inlineStr">
        <is>
          <t>0000940921</t>
        </is>
      </c>
      <c r="B742" t="inlineStr">
        <is>
          <t>ELKAYEM AUTO ANCILLARIES PVT LTD -U</t>
        </is>
      </c>
      <c r="C742" t="inlineStr">
        <is>
          <t>NOS</t>
        </is>
      </c>
      <c r="D742" t="n">
        <v>2008</v>
      </c>
      <c r="E742" t="n">
        <v>1288.012</v>
      </c>
      <c r="F742" t="n">
        <v>3781649</v>
      </c>
      <c r="G742" t="inlineStr">
        <is>
          <t>59-30-1.6-ERW 1-FIN CUT</t>
        </is>
      </c>
      <c r="H742" t="n">
        <v>2389.52</v>
      </c>
      <c r="I742" t="inlineStr">
        <is>
          <t>TUB-E-AW-AUT-59.00X30.00X1.600X0.6410</t>
        </is>
      </c>
      <c r="J742" t="inlineStr">
        <is>
          <t>TVS</t>
        </is>
      </c>
      <c r="K742" t="inlineStr">
        <is>
          <t>59-30-1.6-ERW 1-FIN CUT-0.641</t>
        </is>
      </c>
    </row>
    <row r="743">
      <c r="A743" t="inlineStr">
        <is>
          <t>0000940921</t>
        </is>
      </c>
      <c r="B743" t="inlineStr">
        <is>
          <t>ELKAYEM AUTO ANCILLARIES PVT LTD -U</t>
        </is>
      </c>
      <c r="C743" t="inlineStr">
        <is>
          <t>NOS</t>
        </is>
      </c>
      <c r="D743" t="n">
        <v>2</v>
      </c>
      <c r="E743" t="n">
        <v>1.283</v>
      </c>
      <c r="F743" t="n">
        <v>3781649</v>
      </c>
      <c r="G743" t="inlineStr">
        <is>
          <t>59-30-1.6-ERW 1-FIN CUT</t>
        </is>
      </c>
      <c r="H743" t="n">
        <v>2.38</v>
      </c>
      <c r="I743" t="inlineStr">
        <is>
          <t>TUB-E-AW-AUT-59.00X30.00X1.600X0.6410</t>
        </is>
      </c>
      <c r="J743" t="inlineStr">
        <is>
          <t>TVS</t>
        </is>
      </c>
      <c r="K743" t="inlineStr">
        <is>
          <t>59-30-1.6-ERW 1-FIN CUT-0.641</t>
        </is>
      </c>
    </row>
    <row r="744">
      <c r="A744" t="inlineStr">
        <is>
          <t>0000948721</t>
        </is>
      </c>
      <c r="B744" t="inlineStr">
        <is>
          <t>ELKAYEM AUTO ANCILLARIES PRIVATE LI</t>
        </is>
      </c>
      <c r="C744" t="inlineStr">
        <is>
          <t>NOS</t>
        </is>
      </c>
      <c r="D744" t="n">
        <v>2600</v>
      </c>
      <c r="E744" t="n">
        <v>1333.035</v>
      </c>
      <c r="F744" t="n">
        <v>1940821</v>
      </c>
      <c r="G744" t="inlineStr">
        <is>
          <t>40-25-1.6-ERW 1-FC</t>
        </is>
      </c>
      <c r="H744" t="n">
        <v>2087.8</v>
      </c>
      <c r="I744" t="inlineStr">
        <is>
          <t>TUB-R-AW-RHS-40.00X25.00X1.600X0.5130</t>
        </is>
      </c>
      <c r="J744" t="inlineStr">
        <is>
          <t>TVS</t>
        </is>
      </c>
      <c r="K744" t="inlineStr">
        <is>
          <t>40-25-1.6-ERW 1-FC-0.513</t>
        </is>
      </c>
    </row>
    <row r="745">
      <c r="A745" t="inlineStr">
        <is>
          <t>0000948721</t>
        </is>
      </c>
      <c r="B745" t="inlineStr">
        <is>
          <t>ELKAYEM AUTO ANCILLARIES PRIVATE LI</t>
        </is>
      </c>
      <c r="C745" t="inlineStr">
        <is>
          <t>NOS</t>
        </is>
      </c>
      <c r="D745" t="n">
        <v>2321</v>
      </c>
      <c r="E745" t="n">
        <v>1189.99</v>
      </c>
      <c r="F745" t="n">
        <v>1940821</v>
      </c>
      <c r="G745" t="inlineStr">
        <is>
          <t>40-25-1.6-ERW 1-FC</t>
        </is>
      </c>
      <c r="H745" t="n">
        <v>1863.763</v>
      </c>
      <c r="I745" t="inlineStr">
        <is>
          <t>TUB-R-AW-RHS-40.00X25.00X1.600X0.5130</t>
        </is>
      </c>
      <c r="J745" t="inlineStr">
        <is>
          <t>TVS</t>
        </is>
      </c>
      <c r="K745" t="inlineStr">
        <is>
          <t>40-25-1.6-ERW 1-FC-0.513</t>
        </is>
      </c>
    </row>
    <row r="746">
      <c r="A746" t="inlineStr">
        <is>
          <t>0000948721</t>
        </is>
      </c>
      <c r="B746" t="inlineStr">
        <is>
          <t>ELKAYEM AUTO ANCILLARIES PRIVATE LI</t>
        </is>
      </c>
      <c r="C746" t="inlineStr">
        <is>
          <t>NOS</t>
        </is>
      </c>
      <c r="D746" t="n">
        <v>1500</v>
      </c>
      <c r="E746" t="n">
        <v>769.059</v>
      </c>
      <c r="F746" t="n">
        <v>1940821</v>
      </c>
      <c r="G746" t="inlineStr">
        <is>
          <t>40-25-1.6-ERW 1-FC</t>
        </is>
      </c>
      <c r="H746" t="n">
        <v>1204.5</v>
      </c>
      <c r="I746" t="inlineStr">
        <is>
          <t>TUB-R-AW-RHS-40.00X25.00X1.600X0.5130</t>
        </is>
      </c>
      <c r="J746" t="inlineStr">
        <is>
          <t>TVS</t>
        </is>
      </c>
      <c r="K746" t="inlineStr">
        <is>
          <t>40-25-1.6-ERW 1-FC-0.513</t>
        </is>
      </c>
    </row>
    <row r="747">
      <c r="A747" t="inlineStr">
        <is>
          <t>0000948721</t>
        </is>
      </c>
      <c r="B747" t="inlineStr">
        <is>
          <t>ELKAYEM AUTO ANCILLARIES PRIVATE LI</t>
        </is>
      </c>
      <c r="C747" t="inlineStr">
        <is>
          <t>NOS</t>
        </is>
      </c>
      <c r="D747" t="n">
        <v>452</v>
      </c>
      <c r="E747" t="n">
        <v>231.743</v>
      </c>
      <c r="F747" t="n">
        <v>1940821</v>
      </c>
      <c r="G747" t="inlineStr">
        <is>
          <t>40-25-1.6-ERW 1-FC</t>
        </is>
      </c>
      <c r="H747" t="n">
        <v>362.956</v>
      </c>
      <c r="I747" t="inlineStr">
        <is>
          <t>TUB-R-AW-RHS-40.00X25.00X1.600X0.5130</t>
        </is>
      </c>
      <c r="J747" t="inlineStr">
        <is>
          <t>TVS</t>
        </is>
      </c>
      <c r="K747" t="inlineStr">
        <is>
          <t>40-25-1.6-ERW 1-FC-0.513</t>
        </is>
      </c>
    </row>
    <row r="748">
      <c r="A748" t="inlineStr">
        <is>
          <t>0000948721</t>
        </is>
      </c>
      <c r="B748" t="inlineStr">
        <is>
          <t>ELKAYEM AUTO ANCILLARIES PRIVATE LI</t>
        </is>
      </c>
      <c r="C748" t="inlineStr">
        <is>
          <t>NOS</t>
        </is>
      </c>
      <c r="D748" t="n">
        <v>347</v>
      </c>
      <c r="E748" t="n">
        <v>177.909</v>
      </c>
      <c r="F748" t="n">
        <v>1940821</v>
      </c>
      <c r="G748" t="inlineStr">
        <is>
          <t>40-25-1.6-ERW 1-FC</t>
        </is>
      </c>
      <c r="H748" t="n">
        <v>278.641</v>
      </c>
      <c r="I748" t="inlineStr">
        <is>
          <t>TUB-R-AW-RHS-40.00X25.00X1.600X0.5130</t>
        </is>
      </c>
      <c r="J748" t="inlineStr">
        <is>
          <t>TVS</t>
        </is>
      </c>
      <c r="K748" t="inlineStr">
        <is>
          <t>40-25-1.6-ERW 1-FC-0.513</t>
        </is>
      </c>
    </row>
    <row r="749">
      <c r="A749" t="inlineStr">
        <is>
          <t>0000941496</t>
        </is>
      </c>
      <c r="B749" t="inlineStr">
        <is>
          <t>SANDHAR ENGINEERING PVT LTD.(KA) -U</t>
        </is>
      </c>
      <c r="C749" t="inlineStr">
        <is>
          <t>NOS</t>
        </is>
      </c>
      <c r="D749" t="n">
        <v>2400</v>
      </c>
      <c r="E749" t="n">
        <v>1230.494</v>
      </c>
      <c r="F749" t="n">
        <v>1940821</v>
      </c>
      <c r="G749" t="inlineStr">
        <is>
          <t>40-25-1.6-ERW 1-FC</t>
        </is>
      </c>
      <c r="H749" t="n">
        <v>1927.2</v>
      </c>
      <c r="I749" t="inlineStr">
        <is>
          <t>TUB-R-AW-RHS-40.00X25.00X1.600X0.5130</t>
        </is>
      </c>
      <c r="J749" t="inlineStr">
        <is>
          <t>TVS</t>
        </is>
      </c>
      <c r="K749" t="inlineStr">
        <is>
          <t>40-25-1.6-ERW 1-FC-0.513</t>
        </is>
      </c>
    </row>
    <row r="750">
      <c r="A750" t="inlineStr">
        <is>
          <t>0000948721</t>
        </is>
      </c>
      <c r="B750" t="inlineStr">
        <is>
          <t>ELKAYEM AUTO ANCILLARIES PRIVATE LI</t>
        </is>
      </c>
      <c r="C750" t="inlineStr">
        <is>
          <t>NOS</t>
        </is>
      </c>
      <c r="D750" t="n">
        <v>2696</v>
      </c>
      <c r="E750" t="n">
        <v>1382.255</v>
      </c>
      <c r="F750" t="n">
        <v>1940821</v>
      </c>
      <c r="G750" t="inlineStr">
        <is>
          <t>40-25-1.6-ERW 1-FC</t>
        </is>
      </c>
      <c r="H750" t="n">
        <v>2164.888</v>
      </c>
      <c r="I750" t="inlineStr">
        <is>
          <t>TUB-R-AW-RHS-40.00X25.00X1.600X0.5130</t>
        </is>
      </c>
      <c r="J750" t="inlineStr">
        <is>
          <t>TVS</t>
        </is>
      </c>
      <c r="K750" t="inlineStr">
        <is>
          <t>40-25-1.6-ERW 1-FC-0.513</t>
        </is>
      </c>
    </row>
    <row r="751">
      <c r="A751" t="inlineStr">
        <is>
          <t>0000948721</t>
        </is>
      </c>
      <c r="B751" t="inlineStr">
        <is>
          <t>ELKAYEM AUTO ANCILLARIES PRIVATE LI</t>
        </is>
      </c>
      <c r="C751" t="inlineStr">
        <is>
          <t>NOS</t>
        </is>
      </c>
      <c r="D751" t="n">
        <v>1296</v>
      </c>
      <c r="E751" t="n">
        <v>664.467</v>
      </c>
      <c r="F751" t="n">
        <v>1940821</v>
      </c>
      <c r="G751" t="inlineStr">
        <is>
          <t>40-25-1.6-ERW 1-FC</t>
        </is>
      </c>
      <c r="H751" t="n">
        <v>1040.688</v>
      </c>
      <c r="I751" t="inlineStr">
        <is>
          <t>TUB-R-AW-RHS-40.00X25.00X1.600X0.5130</t>
        </is>
      </c>
      <c r="J751" t="inlineStr">
        <is>
          <t>TVS</t>
        </is>
      </c>
      <c r="K751" t="inlineStr">
        <is>
          <t>40-25-1.6-ERW 1-FC-0.513</t>
        </is>
      </c>
    </row>
    <row r="752">
      <c r="A752" t="inlineStr">
        <is>
          <t>0000948721</t>
        </is>
      </c>
      <c r="B752" t="inlineStr">
        <is>
          <t>ELKAYEM AUTO ANCILLARIES PRIVATE LI</t>
        </is>
      </c>
      <c r="C752" t="inlineStr">
        <is>
          <t>NOS</t>
        </is>
      </c>
      <c r="D752" t="n">
        <v>6</v>
      </c>
      <c r="E752" t="n">
        <v>3.076</v>
      </c>
      <c r="F752" t="n">
        <v>1940821</v>
      </c>
      <c r="G752" t="inlineStr">
        <is>
          <t>40-25-1.6-ERW 1-FC</t>
        </is>
      </c>
      <c r="H752" t="n">
        <v>4.818</v>
      </c>
      <c r="I752" t="inlineStr">
        <is>
          <t>TUB-R-AW-RHS-40.00X25.00X1.600X0.5130</t>
        </is>
      </c>
      <c r="J752" t="inlineStr">
        <is>
          <t>TVS</t>
        </is>
      </c>
      <c r="K752" t="inlineStr">
        <is>
          <t>40-25-1.6-ERW 1-FC-0.513</t>
        </is>
      </c>
    </row>
    <row r="753">
      <c r="A753" t="inlineStr">
        <is>
          <t>0000948721</t>
        </is>
      </c>
      <c r="B753" t="inlineStr">
        <is>
          <t>ELKAYEM AUTO ANCILLARIES PRIVATE LI</t>
        </is>
      </c>
      <c r="C753" t="inlineStr">
        <is>
          <t>NOS</t>
        </is>
      </c>
      <c r="D753" t="n">
        <v>2</v>
      </c>
      <c r="E753" t="n">
        <v>1.025</v>
      </c>
      <c r="F753" t="n">
        <v>1940821</v>
      </c>
      <c r="G753" t="inlineStr">
        <is>
          <t>40-25-1.6-ERW 1-FC</t>
        </is>
      </c>
      <c r="H753" t="n">
        <v>1.606</v>
      </c>
      <c r="I753" t="inlineStr">
        <is>
          <t>TUB-R-AW-RHS-40.00X25.00X1.600X0.5130</t>
        </is>
      </c>
      <c r="J753" t="inlineStr">
        <is>
          <t>TVS</t>
        </is>
      </c>
      <c r="K753" t="inlineStr">
        <is>
          <t>40-25-1.6-ERW 1-FC-0.513</t>
        </is>
      </c>
    </row>
    <row r="754">
      <c r="A754" t="inlineStr">
        <is>
          <t>0000948721</t>
        </is>
      </c>
      <c r="B754" t="inlineStr">
        <is>
          <t>ELKAYEM AUTO ANCILLARIES PRIVATE LI</t>
        </is>
      </c>
      <c r="C754" t="inlineStr">
        <is>
          <t>NOS</t>
        </is>
      </c>
      <c r="D754" t="n">
        <v>1210</v>
      </c>
      <c r="E754" t="n">
        <v>620.374</v>
      </c>
      <c r="F754" t="n">
        <v>1940821</v>
      </c>
      <c r="G754" t="inlineStr">
        <is>
          <t>40-25-1.6-ERW 1-FC</t>
        </is>
      </c>
      <c r="H754" t="n">
        <v>971.63</v>
      </c>
      <c r="I754" t="inlineStr">
        <is>
          <t>TUB-R-AW-RHS-40.00X25.00X1.600X0.5130</t>
        </is>
      </c>
      <c r="J754" t="inlineStr">
        <is>
          <t>TVS</t>
        </is>
      </c>
      <c r="K754" t="inlineStr">
        <is>
          <t>40-25-1.6-ERW 1-FC-0.513</t>
        </is>
      </c>
    </row>
    <row r="755">
      <c r="A755" t="inlineStr">
        <is>
          <t>0000948721</t>
        </is>
      </c>
      <c r="B755" t="inlineStr">
        <is>
          <t>ELKAYEM AUTO ANCILLARIES PRIVATE LI</t>
        </is>
      </c>
      <c r="C755" t="inlineStr">
        <is>
          <t>NOS</t>
        </is>
      </c>
      <c r="D755" t="n">
        <v>500</v>
      </c>
      <c r="E755" t="n">
        <v>256.353</v>
      </c>
      <c r="F755" t="n">
        <v>1940821</v>
      </c>
      <c r="G755" t="inlineStr">
        <is>
          <t>40-25-1.6-ERW 1-FC</t>
        </is>
      </c>
      <c r="H755" t="n">
        <v>401.5</v>
      </c>
      <c r="I755" t="inlineStr">
        <is>
          <t>TUB-R-AW-RHS-40.00X25.00X1.600X0.5130</t>
        </is>
      </c>
      <c r="J755" t="inlineStr">
        <is>
          <t>TVS</t>
        </is>
      </c>
      <c r="K755" t="inlineStr">
        <is>
          <t>40-25-1.6-ERW 1-FC-0.513</t>
        </is>
      </c>
    </row>
    <row r="756">
      <c r="A756" t="inlineStr">
        <is>
          <t>0000948721</t>
        </is>
      </c>
      <c r="B756" t="inlineStr">
        <is>
          <t>ELKAYEM AUTO ANCILLARIES PRIVATE LI</t>
        </is>
      </c>
      <c r="C756" t="inlineStr">
        <is>
          <t>NOS</t>
        </is>
      </c>
      <c r="D756" t="n">
        <v>490</v>
      </c>
      <c r="E756" t="n">
        <v>251.226</v>
      </c>
      <c r="F756" t="n">
        <v>1940821</v>
      </c>
      <c r="G756" t="inlineStr">
        <is>
          <t>40-25-1.6-ERW 1-FC</t>
        </is>
      </c>
      <c r="H756" t="n">
        <v>393.47</v>
      </c>
      <c r="I756" t="inlineStr">
        <is>
          <t>TUB-R-AW-RHS-40.00X25.00X1.600X0.5130</t>
        </is>
      </c>
      <c r="J756" t="inlineStr">
        <is>
          <t>TVS</t>
        </is>
      </c>
      <c r="K756" t="inlineStr">
        <is>
          <t>40-25-1.6-ERW 1-FC-0.513</t>
        </is>
      </c>
    </row>
    <row r="757">
      <c r="A757" t="inlineStr">
        <is>
          <t>0000948721</t>
        </is>
      </c>
      <c r="B757" t="inlineStr">
        <is>
          <t>ELKAYEM AUTO ANCILLARIES PRIVATE LI</t>
        </is>
      </c>
      <c r="C757" t="inlineStr">
        <is>
          <t>NOS</t>
        </is>
      </c>
      <c r="D757" t="n">
        <v>161</v>
      </c>
      <c r="E757" t="n">
        <v>82.54600000000001</v>
      </c>
      <c r="F757" t="n">
        <v>1940821</v>
      </c>
      <c r="G757" t="inlineStr">
        <is>
          <t>40-25-1.6-ERW 1-FC</t>
        </is>
      </c>
      <c r="H757" t="n">
        <v>129.283</v>
      </c>
      <c r="I757" t="inlineStr">
        <is>
          <t>TUB-R-AW-RHS-40.00X25.00X1.600X0.5130</t>
        </is>
      </c>
      <c r="J757" t="inlineStr">
        <is>
          <t>TVS</t>
        </is>
      </c>
      <c r="K757" t="inlineStr">
        <is>
          <t>40-25-1.6-ERW 1-FC-0.513</t>
        </is>
      </c>
    </row>
    <row r="758">
      <c r="A758" t="inlineStr">
        <is>
          <t>0000948721</t>
        </is>
      </c>
      <c r="B758" t="inlineStr">
        <is>
          <t>ELKAYEM AUTO ANCILLARIES PRIVATE LI</t>
        </is>
      </c>
      <c r="C758" t="inlineStr">
        <is>
          <t>NOS</t>
        </is>
      </c>
      <c r="D758" t="n">
        <v>99</v>
      </c>
      <c r="E758" t="n">
        <v>50.758</v>
      </c>
      <c r="F758" t="n">
        <v>1940821</v>
      </c>
      <c r="G758" t="inlineStr">
        <is>
          <t>40-25-1.6-ERW 1-FC</t>
        </is>
      </c>
      <c r="H758" t="n">
        <v>79.497</v>
      </c>
      <c r="I758" t="inlineStr">
        <is>
          <t>TUB-R-AW-RHS-40.00X25.00X1.600X0.5130</t>
        </is>
      </c>
      <c r="J758" t="inlineStr">
        <is>
          <t>TVS</t>
        </is>
      </c>
      <c r="K758" t="inlineStr">
        <is>
          <t>40-25-1.6-ERW 1-FC-0.513</t>
        </is>
      </c>
    </row>
    <row r="759">
      <c r="A759" t="inlineStr">
        <is>
          <t>0000948721</t>
        </is>
      </c>
      <c r="B759" t="inlineStr">
        <is>
          <t>ELKAYEM AUTO ANCILLARIES PRIVATE LI</t>
        </is>
      </c>
      <c r="C759" t="inlineStr">
        <is>
          <t>NOS</t>
        </is>
      </c>
      <c r="D759" t="n">
        <v>3048</v>
      </c>
      <c r="E759" t="n">
        <v>1634.734</v>
      </c>
      <c r="F759" t="n">
        <v>1940822</v>
      </c>
      <c r="G759" t="inlineStr">
        <is>
          <t>40-25-1.6-ERW 1-FC</t>
        </is>
      </c>
      <c r="H759" t="n">
        <v>2560.32</v>
      </c>
      <c r="I759" t="inlineStr">
        <is>
          <t>TUB-R-AW-RHS-40.00X25.00X1.600X0.5360</t>
        </is>
      </c>
      <c r="J759" t="inlineStr">
        <is>
          <t>TVS</t>
        </is>
      </c>
      <c r="K759" t="inlineStr">
        <is>
          <t>40-25-1.6-ERW 1-FC-0.536</t>
        </is>
      </c>
    </row>
    <row r="760">
      <c r="A760" t="inlineStr">
        <is>
          <t>0000948721</t>
        </is>
      </c>
      <c r="B760" t="inlineStr">
        <is>
          <t>ELKAYEM AUTO ANCILLARIES PRIVATE LI</t>
        </is>
      </c>
      <c r="C760" t="inlineStr">
        <is>
          <t>NOS</t>
        </is>
      </c>
      <c r="D760" t="n">
        <v>2698</v>
      </c>
      <c r="E760" t="n">
        <v>1447.018</v>
      </c>
      <c r="F760" t="n">
        <v>1940822</v>
      </c>
      <c r="G760" t="inlineStr">
        <is>
          <t>40-25-1.6-ERW 1-FC</t>
        </is>
      </c>
      <c r="H760" t="n">
        <v>2266.32</v>
      </c>
      <c r="I760" t="inlineStr">
        <is>
          <t>TUB-R-AW-RHS-40.00X25.00X1.600X0.5360</t>
        </is>
      </c>
      <c r="J760" t="inlineStr">
        <is>
          <t>TVS</t>
        </is>
      </c>
      <c r="K760" t="inlineStr">
        <is>
          <t>40-25-1.6-ERW 1-FC-0.536</t>
        </is>
      </c>
    </row>
    <row r="761">
      <c r="A761" t="inlineStr">
        <is>
          <t>0000948721</t>
        </is>
      </c>
      <c r="B761" t="inlineStr">
        <is>
          <t>ELKAYEM AUTO ANCILLARIES PRIVATE LI</t>
        </is>
      </c>
      <c r="C761" t="inlineStr">
        <is>
          <t>NOS</t>
        </is>
      </c>
      <c r="D761" t="n">
        <v>2094</v>
      </c>
      <c r="E761" t="n">
        <v>1123.075</v>
      </c>
      <c r="F761" t="n">
        <v>1940822</v>
      </c>
      <c r="G761" t="inlineStr">
        <is>
          <t>40-25-1.6-ERW 1-FC</t>
        </is>
      </c>
      <c r="H761" t="n">
        <v>1758.96</v>
      </c>
      <c r="I761" t="inlineStr">
        <is>
          <t>TUB-R-AW-RHS-40.00X25.00X1.600X0.5360</t>
        </is>
      </c>
      <c r="J761" t="inlineStr">
        <is>
          <t>TVS</t>
        </is>
      </c>
      <c r="K761" t="inlineStr">
        <is>
          <t>40-25-1.6-ERW 1-FC-0.536</t>
        </is>
      </c>
    </row>
    <row r="762">
      <c r="A762" t="inlineStr">
        <is>
          <t>0000948721</t>
        </is>
      </c>
      <c r="B762" t="inlineStr">
        <is>
          <t>ELKAYEM AUTO ANCILLARIES PRIVATE LI</t>
        </is>
      </c>
      <c r="C762" t="inlineStr">
        <is>
          <t>NOS</t>
        </is>
      </c>
      <c r="D762" t="n">
        <v>3172</v>
      </c>
      <c r="E762" t="n">
        <v>1701.239</v>
      </c>
      <c r="F762" t="n">
        <v>1940822</v>
      </c>
      <c r="G762" t="inlineStr">
        <is>
          <t>40-25-1.6-ERW 1-FC</t>
        </is>
      </c>
      <c r="H762" t="n">
        <v>2664.48</v>
      </c>
      <c r="I762" t="inlineStr">
        <is>
          <t>TUB-R-AW-RHS-40.00X25.00X1.600X0.5360</t>
        </is>
      </c>
      <c r="J762" t="inlineStr">
        <is>
          <t>TVS</t>
        </is>
      </c>
      <c r="K762" t="inlineStr">
        <is>
          <t>40-25-1.6-ERW 1-FC-0.536</t>
        </is>
      </c>
    </row>
    <row r="763">
      <c r="A763" t="inlineStr">
        <is>
          <t>0000948721</t>
        </is>
      </c>
      <c r="B763" t="inlineStr">
        <is>
          <t>ELKAYEM AUTO ANCILLARIES PRIVATE LI</t>
        </is>
      </c>
      <c r="C763" t="inlineStr">
        <is>
          <t>NOS</t>
        </is>
      </c>
      <c r="D763" t="n">
        <v>828</v>
      </c>
      <c r="E763" t="n">
        <v>444.081</v>
      </c>
      <c r="F763" t="n">
        <v>1940822</v>
      </c>
      <c r="G763" t="inlineStr">
        <is>
          <t>40-25-1.6-ERW 1-FC</t>
        </is>
      </c>
      <c r="H763" t="n">
        <v>695.52</v>
      </c>
      <c r="I763" t="inlineStr">
        <is>
          <t>TUB-R-AW-RHS-40.00X25.00X1.600X0.5360</t>
        </is>
      </c>
      <c r="J763" t="inlineStr">
        <is>
          <t>TVS</t>
        </is>
      </c>
      <c r="K763" t="inlineStr">
        <is>
          <t>40-25-1.6-ERW 1-FC-0.536</t>
        </is>
      </c>
    </row>
    <row r="764">
      <c r="A764" t="inlineStr">
        <is>
          <t>0000948721</t>
        </is>
      </c>
      <c r="B764" t="inlineStr">
        <is>
          <t>ELKAYEM AUTO ANCILLARIES PRIVATE LI</t>
        </is>
      </c>
      <c r="C764" t="inlineStr">
        <is>
          <t>NOS</t>
        </is>
      </c>
      <c r="D764" t="n">
        <v>2130</v>
      </c>
      <c r="E764" t="n">
        <v>1142.383</v>
      </c>
      <c r="F764" t="n">
        <v>1940822</v>
      </c>
      <c r="G764" t="inlineStr">
        <is>
          <t>40-25-1.6-ERW 1-FC</t>
        </is>
      </c>
      <c r="H764" t="n">
        <v>1789.2</v>
      </c>
      <c r="I764" t="inlineStr">
        <is>
          <t>TUB-R-AW-RHS-40.00X25.00X1.600X0.5360</t>
        </is>
      </c>
      <c r="J764" t="inlineStr">
        <is>
          <t>TVS</t>
        </is>
      </c>
      <c r="K764" t="inlineStr">
        <is>
          <t>40-25-1.6-ERW 1-FC-0.536</t>
        </is>
      </c>
    </row>
    <row r="765">
      <c r="A765" t="inlineStr">
        <is>
          <t>0000948721</t>
        </is>
      </c>
      <c r="B765" t="inlineStr">
        <is>
          <t>ELKAYEM AUTO ANCILLARIES PRIVATE LI</t>
        </is>
      </c>
      <c r="C765" t="inlineStr">
        <is>
          <t>NOS</t>
        </is>
      </c>
      <c r="D765" t="n">
        <v>1698</v>
      </c>
      <c r="E765" t="n">
        <v>910.688</v>
      </c>
      <c r="F765" t="n">
        <v>1940822</v>
      </c>
      <c r="G765" t="inlineStr">
        <is>
          <t>40-25-1.6-ERW 1-FC</t>
        </is>
      </c>
      <c r="H765" t="n">
        <v>1426.32</v>
      </c>
      <c r="I765" t="inlineStr">
        <is>
          <t>TUB-R-AW-RHS-40.00X25.00X1.600X0.5360</t>
        </is>
      </c>
      <c r="J765" t="inlineStr">
        <is>
          <t>TVS</t>
        </is>
      </c>
      <c r="K765" t="inlineStr">
        <is>
          <t>40-25-1.6-ERW 1-FC-0.536</t>
        </is>
      </c>
    </row>
    <row r="766">
      <c r="A766" t="inlineStr">
        <is>
          <t>0000948721</t>
        </is>
      </c>
      <c r="B766" t="inlineStr">
        <is>
          <t>ELKAYEM AUTO ANCILLARIES PRIVATE LI</t>
        </is>
      </c>
      <c r="C766" t="inlineStr">
        <is>
          <t>NOS</t>
        </is>
      </c>
      <c r="D766" t="n">
        <v>1385</v>
      </c>
      <c r="E766" t="n">
        <v>742.817</v>
      </c>
      <c r="F766" t="n">
        <v>1940822</v>
      </c>
      <c r="G766" t="inlineStr">
        <is>
          <t>40-25-1.6-ERW 1-FC</t>
        </is>
      </c>
      <c r="H766" t="n">
        <v>1163.4</v>
      </c>
      <c r="I766" t="inlineStr">
        <is>
          <t>TUB-R-AW-RHS-40.00X25.00X1.600X0.5360</t>
        </is>
      </c>
      <c r="J766" t="inlineStr">
        <is>
          <t>TVS</t>
        </is>
      </c>
      <c r="K766" t="inlineStr">
        <is>
          <t>40-25-1.6-ERW 1-FC-0.536</t>
        </is>
      </c>
    </row>
    <row r="767">
      <c r="A767" t="inlineStr">
        <is>
          <t>0000948721</t>
        </is>
      </c>
      <c r="B767" t="inlineStr">
        <is>
          <t>ELKAYEM AUTO ANCILLARIES PRIVATE LI</t>
        </is>
      </c>
      <c r="C767" t="inlineStr">
        <is>
          <t>NOS</t>
        </is>
      </c>
      <c r="D767" t="n">
        <v>204</v>
      </c>
      <c r="E767" t="n">
        <v>109.411</v>
      </c>
      <c r="F767" t="n">
        <v>1940822</v>
      </c>
      <c r="G767" t="inlineStr">
        <is>
          <t>40-25-1.6-ERW 1-FC</t>
        </is>
      </c>
      <c r="H767" t="n">
        <v>171.36</v>
      </c>
      <c r="I767" t="inlineStr">
        <is>
          <t>TUB-R-AW-RHS-40.00X25.00X1.600X0.5360</t>
        </is>
      </c>
      <c r="J767" t="inlineStr">
        <is>
          <t>TVS</t>
        </is>
      </c>
      <c r="K767" t="inlineStr">
        <is>
          <t>40-25-1.6-ERW 1-FC-0.536</t>
        </is>
      </c>
    </row>
    <row r="768">
      <c r="A768" t="inlineStr">
        <is>
          <t>0000948721</t>
        </is>
      </c>
      <c r="B768" t="inlineStr">
        <is>
          <t>ELKAYEM AUTO ANCILLARIES PRIVATE LI</t>
        </is>
      </c>
      <c r="C768" t="inlineStr">
        <is>
          <t>NOS</t>
        </is>
      </c>
      <c r="D768" t="n">
        <v>3</v>
      </c>
      <c r="E768" t="n">
        <v>1.609</v>
      </c>
      <c r="F768" t="n">
        <v>1940822</v>
      </c>
      <c r="G768" t="inlineStr">
        <is>
          <t>40-25-1.6-ERW 1-FC</t>
        </is>
      </c>
      <c r="H768" t="n">
        <v>2.52</v>
      </c>
      <c r="I768" t="inlineStr">
        <is>
          <t>TUB-R-AW-RHS-40.00X25.00X1.600X0.5360</t>
        </is>
      </c>
      <c r="J768" t="inlineStr">
        <is>
          <t>TVS</t>
        </is>
      </c>
      <c r="K768" t="inlineStr">
        <is>
          <t>40-25-1.6-ERW 1-FC-0.536</t>
        </is>
      </c>
    </row>
    <row r="769">
      <c r="A769" t="inlineStr">
        <is>
          <t>0000948721</t>
        </is>
      </c>
      <c r="B769" t="inlineStr">
        <is>
          <t>ELKAYEM AUTO ANCILLARIES PRIVATE LI</t>
        </is>
      </c>
      <c r="C769" t="inlineStr">
        <is>
          <t>NOS</t>
        </is>
      </c>
      <c r="D769" t="n">
        <v>1535</v>
      </c>
      <c r="E769" t="n">
        <v>823.2670000000001</v>
      </c>
      <c r="F769" t="n">
        <v>1940822</v>
      </c>
      <c r="G769" t="inlineStr">
        <is>
          <t>40-25-1.6-ERW 1-FC</t>
        </is>
      </c>
      <c r="H769" t="n">
        <v>1289.4</v>
      </c>
      <c r="I769" t="inlineStr">
        <is>
          <t>TUB-R-AW-RHS-40.00X25.00X1.600X0.5360</t>
        </is>
      </c>
      <c r="J769" t="inlineStr">
        <is>
          <t>TVS</t>
        </is>
      </c>
      <c r="K769" t="inlineStr">
        <is>
          <t>40-25-1.6-ERW 1-FC-0.536</t>
        </is>
      </c>
    </row>
    <row r="770">
      <c r="A770" t="inlineStr">
        <is>
          <t>0000948721</t>
        </is>
      </c>
      <c r="B770" t="inlineStr">
        <is>
          <t>ELKAYEM AUTO ANCILLARIES PRIVATE LI</t>
        </is>
      </c>
      <c r="C770" t="inlineStr">
        <is>
          <t>NOS</t>
        </is>
      </c>
      <c r="D770" t="n">
        <v>1023</v>
      </c>
      <c r="E770" t="n">
        <v>548.6660000000001</v>
      </c>
      <c r="F770" t="n">
        <v>1940822</v>
      </c>
      <c r="G770" t="inlineStr">
        <is>
          <t>40-25-1.6-ERW 1-FC</t>
        </is>
      </c>
      <c r="H770" t="n">
        <v>859.3200000000001</v>
      </c>
      <c r="I770" t="inlineStr">
        <is>
          <t>TUB-R-AW-RHS-40.00X25.00X1.600X0.5360</t>
        </is>
      </c>
      <c r="J770" t="inlineStr">
        <is>
          <t>TVS</t>
        </is>
      </c>
      <c r="K770" t="inlineStr">
        <is>
          <t>40-25-1.6-ERW 1-FC-0.536</t>
        </is>
      </c>
    </row>
    <row r="771">
      <c r="A771" t="inlineStr">
        <is>
          <t>0000948721</t>
        </is>
      </c>
      <c r="B771" t="inlineStr">
        <is>
          <t>ELKAYEM AUTO ANCILLARIES PRIVATE LI</t>
        </is>
      </c>
      <c r="C771" t="inlineStr">
        <is>
          <t>NOS</t>
        </is>
      </c>
      <c r="D771" t="n">
        <v>359</v>
      </c>
      <c r="E771" t="n">
        <v>192.542</v>
      </c>
      <c r="F771" t="n">
        <v>1940822</v>
      </c>
      <c r="G771" t="inlineStr">
        <is>
          <t>40-25-1.6-ERW 1-FC</t>
        </is>
      </c>
      <c r="H771" t="n">
        <v>301.56</v>
      </c>
      <c r="I771" t="inlineStr">
        <is>
          <t>TUB-R-AW-RHS-40.00X25.00X1.600X0.5360</t>
        </is>
      </c>
      <c r="J771" t="inlineStr">
        <is>
          <t>TVS</t>
        </is>
      </c>
      <c r="K771" t="inlineStr">
        <is>
          <t>40-25-1.6-ERW 1-FC-0.536</t>
        </is>
      </c>
    </row>
    <row r="772">
      <c r="A772" t="inlineStr">
        <is>
          <t>0000948721</t>
        </is>
      </c>
      <c r="B772" t="inlineStr">
        <is>
          <t>ELKAYEM AUTO ANCILLARIES PRIVATE LI</t>
        </is>
      </c>
      <c r="C772" t="inlineStr">
        <is>
          <t>NOS</t>
        </is>
      </c>
      <c r="D772" t="n">
        <v>2</v>
      </c>
      <c r="E772" t="n">
        <v>1.073</v>
      </c>
      <c r="F772" t="n">
        <v>1940822</v>
      </c>
      <c r="G772" t="inlineStr">
        <is>
          <t>40-25-1.6-ERW 1-FC</t>
        </is>
      </c>
      <c r="H772" t="n">
        <v>1.68</v>
      </c>
      <c r="I772" t="inlineStr">
        <is>
          <t>TUB-R-AW-RHS-40.00X25.00X1.600X0.5360</t>
        </is>
      </c>
      <c r="J772" t="inlineStr">
        <is>
          <t>TVS</t>
        </is>
      </c>
      <c r="K772" t="inlineStr">
        <is>
          <t>40-25-1.6-ERW 1-FC-0.536</t>
        </is>
      </c>
    </row>
    <row r="773">
      <c r="A773" t="inlineStr">
        <is>
          <t>0000948721</t>
        </is>
      </c>
      <c r="B773" t="inlineStr">
        <is>
          <t>ELKAYEM AUTO ANCILLARIES PRIVATE LI</t>
        </is>
      </c>
      <c r="C773" t="inlineStr">
        <is>
          <t>NOS</t>
        </is>
      </c>
      <c r="D773" t="n">
        <v>1</v>
      </c>
      <c r="E773" t="n">
        <v>0.536</v>
      </c>
      <c r="F773" t="n">
        <v>1940822</v>
      </c>
      <c r="G773" t="inlineStr">
        <is>
          <t>40-25-1.6-ERW 1-FC</t>
        </is>
      </c>
      <c r="H773" t="n">
        <v>0.84</v>
      </c>
      <c r="I773" t="inlineStr">
        <is>
          <t>TUB-R-AW-RHS-40.00X25.00X1.600X0.5360</t>
        </is>
      </c>
      <c r="J773" t="inlineStr">
        <is>
          <t>TVS</t>
        </is>
      </c>
      <c r="K773" t="inlineStr">
        <is>
          <t>40-25-1.6-ERW 1-FC-0.536</t>
        </is>
      </c>
    </row>
    <row r="774">
      <c r="A774" t="inlineStr">
        <is>
          <t>0000948721</t>
        </is>
      </c>
      <c r="B774" t="inlineStr">
        <is>
          <t>ELKAYEM AUTO ANCILLARIES PRIVATE LI</t>
        </is>
      </c>
      <c r="C774" t="inlineStr">
        <is>
          <t>NOS</t>
        </is>
      </c>
      <c r="D774" t="n">
        <v>1340</v>
      </c>
      <c r="E774" t="n">
        <v>718.682</v>
      </c>
      <c r="F774" t="n">
        <v>1940822</v>
      </c>
      <c r="G774" t="inlineStr">
        <is>
          <t>40-25-1.6-ERW 1-FC</t>
        </is>
      </c>
      <c r="H774" t="n">
        <v>1125.6</v>
      </c>
      <c r="I774" t="inlineStr">
        <is>
          <t>TUB-R-AW-RHS-40.00X25.00X1.600X0.5360</t>
        </is>
      </c>
      <c r="J774" t="inlineStr">
        <is>
          <t>TVS</t>
        </is>
      </c>
      <c r="K774" t="inlineStr">
        <is>
          <t>40-25-1.6-ERW 1-FC-0.536</t>
        </is>
      </c>
    </row>
    <row r="775">
      <c r="A775" t="inlineStr">
        <is>
          <t>0000948721</t>
        </is>
      </c>
      <c r="B775" t="inlineStr">
        <is>
          <t>ELKAYEM AUTO ANCILLARIES PRIVATE LI</t>
        </is>
      </c>
      <c r="C775" t="inlineStr">
        <is>
          <t>NOS</t>
        </is>
      </c>
      <c r="D775" t="n">
        <v>4620</v>
      </c>
      <c r="E775" t="n">
        <v>2477.844</v>
      </c>
      <c r="F775" t="n">
        <v>1940822</v>
      </c>
      <c r="G775" t="inlineStr">
        <is>
          <t>40-25-1.6-ERW 1-FC</t>
        </is>
      </c>
      <c r="H775" t="n">
        <v>3880.8</v>
      </c>
      <c r="I775" t="inlineStr">
        <is>
          <t>TUB-R-AW-RHS-40.00X25.00X1.600X0.5360</t>
        </is>
      </c>
      <c r="J775" t="inlineStr">
        <is>
          <t>TVS</t>
        </is>
      </c>
      <c r="K775" t="inlineStr">
        <is>
          <t>40-25-1.6-ERW 1-FC-0.536</t>
        </is>
      </c>
    </row>
    <row r="776">
      <c r="A776" t="inlineStr">
        <is>
          <t>0000948721</t>
        </is>
      </c>
      <c r="B776" t="inlineStr">
        <is>
          <t>ELKAYEM AUTO ANCILLARIES PRIVATE LI</t>
        </is>
      </c>
      <c r="C776" t="inlineStr">
        <is>
          <t>NOS</t>
        </is>
      </c>
      <c r="D776" t="n">
        <v>2500</v>
      </c>
      <c r="E776" t="n">
        <v>1399.885</v>
      </c>
      <c r="F776" t="n">
        <v>1940823</v>
      </c>
      <c r="G776" t="inlineStr">
        <is>
          <t>40-25-1.6-ERW 1-FC</t>
        </is>
      </c>
      <c r="H776" t="n">
        <v>2192.5</v>
      </c>
      <c r="I776" t="inlineStr">
        <is>
          <t>TUB-R-AW-RHS-40.00X25.00X1.600X0.5600</t>
        </is>
      </c>
      <c r="J776" t="inlineStr">
        <is>
          <t>TVS</t>
        </is>
      </c>
      <c r="K776" t="inlineStr">
        <is>
          <t>40-25-1.6-ERW 1-FC-0.56</t>
        </is>
      </c>
    </row>
    <row r="777">
      <c r="A777" t="inlineStr">
        <is>
          <t>0000948721</t>
        </is>
      </c>
      <c r="B777" t="inlineStr">
        <is>
          <t>ELKAYEM AUTO ANCILLARIES PRIVATE LI</t>
        </is>
      </c>
      <c r="C777" t="inlineStr">
        <is>
          <t>NOS</t>
        </is>
      </c>
      <c r="D777" t="n">
        <v>336</v>
      </c>
      <c r="E777" t="n">
        <v>188.145</v>
      </c>
      <c r="F777" t="n">
        <v>1940823</v>
      </c>
      <c r="G777" t="inlineStr">
        <is>
          <t>40-25-1.6-ERW 1-FC</t>
        </is>
      </c>
      <c r="H777" t="n">
        <v>294.672</v>
      </c>
      <c r="I777" t="inlineStr">
        <is>
          <t>TUB-R-AW-RHS-40.00X25.00X1.600X0.5600</t>
        </is>
      </c>
      <c r="J777" t="inlineStr">
        <is>
          <t>TVS</t>
        </is>
      </c>
      <c r="K777" t="inlineStr">
        <is>
          <t>40-25-1.6-ERW 1-FC-0.56</t>
        </is>
      </c>
    </row>
    <row r="778">
      <c r="A778" t="inlineStr">
        <is>
          <t>0000948721</t>
        </is>
      </c>
      <c r="B778" t="inlineStr">
        <is>
          <t>ELKAYEM AUTO ANCILLARIES PRIVATE LI</t>
        </is>
      </c>
      <c r="C778" t="inlineStr">
        <is>
          <t>NOS</t>
        </is>
      </c>
      <c r="D778" t="n">
        <v>4</v>
      </c>
      <c r="E778" t="n">
        <v>2.24</v>
      </c>
      <c r="F778" t="n">
        <v>1940823</v>
      </c>
      <c r="G778" t="inlineStr">
        <is>
          <t>40-25-1.6-ERW 1-FC</t>
        </is>
      </c>
      <c r="H778" t="n">
        <v>3.508</v>
      </c>
      <c r="I778" t="inlineStr">
        <is>
          <t>TUB-R-AW-RHS-40.00X25.00X1.600X0.5600</t>
        </is>
      </c>
      <c r="J778" t="inlineStr">
        <is>
          <t>TVS</t>
        </is>
      </c>
      <c r="K778" t="inlineStr">
        <is>
          <t>40-25-1.6-ERW 1-FC-0.56</t>
        </is>
      </c>
    </row>
    <row r="779">
      <c r="A779" t="inlineStr">
        <is>
          <t>0000948721</t>
        </is>
      </c>
      <c r="B779" t="inlineStr">
        <is>
          <t>ELKAYEM AUTO ANCILLARIES PRIVATE LI</t>
        </is>
      </c>
      <c r="C779" t="inlineStr">
        <is>
          <t>NOS</t>
        </is>
      </c>
      <c r="D779" t="n">
        <v>2060</v>
      </c>
      <c r="E779" t="n">
        <v>1153.505</v>
      </c>
      <c r="F779" t="n">
        <v>1940823</v>
      </c>
      <c r="G779" t="inlineStr">
        <is>
          <t>40-25-1.6-ERW 1-FC</t>
        </is>
      </c>
      <c r="H779" t="n">
        <v>1806.62</v>
      </c>
      <c r="I779" t="inlineStr">
        <is>
          <t>TUB-R-AW-RHS-40.00X25.00X1.600X0.5600</t>
        </is>
      </c>
      <c r="J779" t="inlineStr">
        <is>
          <t>TVS</t>
        </is>
      </c>
      <c r="K779" t="inlineStr">
        <is>
          <t>40-25-1.6-ERW 1-FC-0.56</t>
        </is>
      </c>
    </row>
    <row r="780">
      <c r="A780" t="inlineStr">
        <is>
          <t>0000948721</t>
        </is>
      </c>
      <c r="B780" t="inlineStr">
        <is>
          <t>ELKAYEM AUTO ANCILLARIES PRIVATE LI</t>
        </is>
      </c>
      <c r="C780" t="inlineStr">
        <is>
          <t>NOS</t>
        </is>
      </c>
      <c r="D780" t="n">
        <v>353</v>
      </c>
      <c r="E780" t="n">
        <v>197.664</v>
      </c>
      <c r="F780" t="n">
        <v>1940823</v>
      </c>
      <c r="G780" t="inlineStr">
        <is>
          <t>40-25-1.6-ERW 1-FC</t>
        </is>
      </c>
      <c r="H780" t="n">
        <v>309.581</v>
      </c>
      <c r="I780" t="inlineStr">
        <is>
          <t>TUB-R-AW-RHS-40.00X25.00X1.600X0.5600</t>
        </is>
      </c>
      <c r="J780" t="inlineStr">
        <is>
          <t>TVS</t>
        </is>
      </c>
      <c r="K780" t="inlineStr">
        <is>
          <t>40-25-1.6-ERW 1-FC-0.56</t>
        </is>
      </c>
    </row>
    <row r="781">
      <c r="A781" t="inlineStr">
        <is>
          <t>0000948721</t>
        </is>
      </c>
      <c r="B781" t="inlineStr">
        <is>
          <t>ELKAYEM AUTO ANCILLARIES PRIVATE LI</t>
        </is>
      </c>
      <c r="C781" t="inlineStr">
        <is>
          <t>NOS</t>
        </is>
      </c>
      <c r="D781" t="n">
        <v>4</v>
      </c>
      <c r="E781" t="n">
        <v>2.24</v>
      </c>
      <c r="F781" t="n">
        <v>1940823</v>
      </c>
      <c r="G781" t="inlineStr">
        <is>
          <t>40-25-1.6-ERW 1-FC</t>
        </is>
      </c>
      <c r="H781" t="n">
        <v>3.508</v>
      </c>
      <c r="I781" t="inlineStr">
        <is>
          <t>TUB-R-AW-RHS-40.00X25.00X1.600X0.5600</t>
        </is>
      </c>
      <c r="J781" t="inlineStr">
        <is>
          <t>TVS</t>
        </is>
      </c>
      <c r="K781" t="inlineStr">
        <is>
          <t>40-25-1.6-ERW 1-FC-0.56</t>
        </is>
      </c>
    </row>
    <row r="782">
      <c r="A782" t="inlineStr">
        <is>
          <t>0000948721</t>
        </is>
      </c>
      <c r="B782" t="inlineStr">
        <is>
          <t>ELKAYEM AUTO ANCILLARIES PRIVATE LI</t>
        </is>
      </c>
      <c r="C782" t="inlineStr">
        <is>
          <t>NOS</t>
        </is>
      </c>
      <c r="D782" t="n">
        <v>3</v>
      </c>
      <c r="E782" t="n">
        <v>1.68</v>
      </c>
      <c r="F782" t="n">
        <v>1940823</v>
      </c>
      <c r="G782" t="inlineStr">
        <is>
          <t>40-25-1.6-ERW 1-FC</t>
        </is>
      </c>
      <c r="H782" t="n">
        <v>2.631</v>
      </c>
      <c r="I782" t="inlineStr">
        <is>
          <t>TUB-R-AW-RHS-40.00X25.00X1.600X0.5600</t>
        </is>
      </c>
      <c r="J782" t="inlineStr">
        <is>
          <t>TVS</t>
        </is>
      </c>
      <c r="K782" t="inlineStr">
        <is>
          <t>40-25-1.6-ERW 1-FC-0.56</t>
        </is>
      </c>
    </row>
    <row r="783">
      <c r="A783" t="inlineStr">
        <is>
          <t>0000948721</t>
        </is>
      </c>
      <c r="B783" t="inlineStr">
        <is>
          <t>ELKAYEM AUTO ANCILLARIES PRIVATE LI</t>
        </is>
      </c>
      <c r="C783" t="inlineStr">
        <is>
          <t>NOS</t>
        </is>
      </c>
      <c r="D783" t="n">
        <v>1400</v>
      </c>
      <c r="E783" t="n">
        <v>783.936</v>
      </c>
      <c r="F783" t="n">
        <v>1940823</v>
      </c>
      <c r="G783" t="inlineStr">
        <is>
          <t>40-25-1.6-ERW 1-FC</t>
        </is>
      </c>
      <c r="H783" t="n">
        <v>1227.8</v>
      </c>
      <c r="I783" t="inlineStr">
        <is>
          <t>TUB-R-AW-RHS-40.00X25.00X1.600X0.5600</t>
        </is>
      </c>
      <c r="J783" t="inlineStr">
        <is>
          <t>TVS</t>
        </is>
      </c>
      <c r="K783" t="inlineStr">
        <is>
          <t>40-25-1.6-ERW 1-FC-0.56</t>
        </is>
      </c>
    </row>
    <row r="784">
      <c r="A784" t="inlineStr">
        <is>
          <t>0000948721</t>
        </is>
      </c>
      <c r="B784" t="inlineStr">
        <is>
          <t>ELKAYEM AUTO ANCILLARIES PRIVATE LI</t>
        </is>
      </c>
      <c r="C784" t="inlineStr">
        <is>
          <t>NOS</t>
        </is>
      </c>
      <c r="D784" t="n">
        <v>800</v>
      </c>
      <c r="E784" t="n">
        <v>447.963</v>
      </c>
      <c r="F784" t="n">
        <v>1940823</v>
      </c>
      <c r="G784" t="inlineStr">
        <is>
          <t>40-25-1.6-ERW 1-FC</t>
        </is>
      </c>
      <c r="H784" t="n">
        <v>701.6</v>
      </c>
      <c r="I784" t="inlineStr">
        <is>
          <t>TUB-R-AW-RHS-40.00X25.00X1.600X0.5600</t>
        </is>
      </c>
      <c r="J784" t="inlineStr">
        <is>
          <t>TVS</t>
        </is>
      </c>
      <c r="K784" t="inlineStr">
        <is>
          <t>40-25-1.6-ERW 1-FC-0.56</t>
        </is>
      </c>
    </row>
    <row r="785">
      <c r="A785" t="inlineStr">
        <is>
          <t>0000948721</t>
        </is>
      </c>
      <c r="B785" t="inlineStr">
        <is>
          <t>ELKAYEM AUTO ANCILLARIES PRIVATE LI</t>
        </is>
      </c>
      <c r="C785" t="inlineStr">
        <is>
          <t>NOS</t>
        </is>
      </c>
      <c r="D785" t="n">
        <v>633</v>
      </c>
      <c r="E785" t="n">
        <v>354.451</v>
      </c>
      <c r="F785" t="n">
        <v>1940823</v>
      </c>
      <c r="G785" t="inlineStr">
        <is>
          <t>40-25-1.6-ERW 1-FC</t>
        </is>
      </c>
      <c r="H785" t="n">
        <v>555.141</v>
      </c>
      <c r="I785" t="inlineStr">
        <is>
          <t>TUB-R-AW-RHS-40.00X25.00X1.600X0.5600</t>
        </is>
      </c>
      <c r="J785" t="inlineStr">
        <is>
          <t>TVS</t>
        </is>
      </c>
      <c r="K785" t="inlineStr">
        <is>
          <t>40-25-1.6-ERW 1-FC-0.56</t>
        </is>
      </c>
    </row>
    <row r="786">
      <c r="A786" t="inlineStr">
        <is>
          <t>0000948721</t>
        </is>
      </c>
      <c r="B786" t="inlineStr">
        <is>
          <t>ELKAYEM AUTO ANCILLARIES PRIVATE LI</t>
        </is>
      </c>
      <c r="C786" t="inlineStr">
        <is>
          <t>NOS</t>
        </is>
      </c>
      <c r="D786" t="n">
        <v>7</v>
      </c>
      <c r="E786" t="n">
        <v>3.92</v>
      </c>
      <c r="F786" t="n">
        <v>1940823</v>
      </c>
      <c r="G786" t="inlineStr">
        <is>
          <t>40-25-1.6-ERW 1-FC</t>
        </is>
      </c>
      <c r="H786" t="n">
        <v>6.139</v>
      </c>
      <c r="I786" t="inlineStr">
        <is>
          <t>TUB-R-AW-RHS-40.00X25.00X1.600X0.5600</t>
        </is>
      </c>
      <c r="J786" t="inlineStr">
        <is>
          <t>TVS</t>
        </is>
      </c>
      <c r="K786" t="inlineStr">
        <is>
          <t>40-25-1.6-ERW 1-FC-0.56</t>
        </is>
      </c>
    </row>
    <row r="787">
      <c r="A787" t="inlineStr">
        <is>
          <t>0000948721</t>
        </is>
      </c>
      <c r="B787" t="inlineStr">
        <is>
          <t>ELKAYEM AUTO ANCILLARIES PRIVATE LI</t>
        </is>
      </c>
      <c r="C787" t="inlineStr">
        <is>
          <t>NOS</t>
        </is>
      </c>
      <c r="D787" t="n">
        <v>880</v>
      </c>
      <c r="E787" t="n">
        <v>492.76</v>
      </c>
      <c r="F787" t="n">
        <v>1940823</v>
      </c>
      <c r="G787" t="inlineStr">
        <is>
          <t>40-25-1.6-ERW 1-FC</t>
        </is>
      </c>
      <c r="H787" t="n">
        <v>771.76</v>
      </c>
      <c r="I787" t="inlineStr">
        <is>
          <t>TUB-R-AW-RHS-40.00X25.00X1.600X0.5600</t>
        </is>
      </c>
      <c r="J787" t="inlineStr">
        <is>
          <t>TVS</t>
        </is>
      </c>
      <c r="K787" t="inlineStr">
        <is>
          <t>40-25-1.6-ERW 1-FC-0.56</t>
        </is>
      </c>
    </row>
    <row r="788">
      <c r="A788" t="inlineStr">
        <is>
          <t>0000948721</t>
        </is>
      </c>
      <c r="B788" t="inlineStr">
        <is>
          <t>ELKAYEM AUTO ANCILLARIES PRIVATE LI</t>
        </is>
      </c>
      <c r="C788" t="inlineStr">
        <is>
          <t>NOS</t>
        </is>
      </c>
      <c r="D788" t="n">
        <v>1995</v>
      </c>
      <c r="E788" t="n">
        <v>1117.108</v>
      </c>
      <c r="F788" t="n">
        <v>1940823</v>
      </c>
      <c r="G788" t="inlineStr">
        <is>
          <t>40-25-1.6-ERW 1-FC</t>
        </is>
      </c>
      <c r="H788" t="n">
        <v>1749.615</v>
      </c>
      <c r="I788" t="inlineStr">
        <is>
          <t>TUB-R-AW-RHS-40.00X25.00X1.600X0.5600</t>
        </is>
      </c>
      <c r="J788" t="inlineStr">
        <is>
          <t>TVS</t>
        </is>
      </c>
      <c r="K788" t="inlineStr">
        <is>
          <t>40-25-1.6-ERW 1-FC-0.56</t>
        </is>
      </c>
    </row>
    <row r="789">
      <c r="A789" t="inlineStr">
        <is>
          <t>0000948721</t>
        </is>
      </c>
      <c r="B789" t="inlineStr">
        <is>
          <t>ELKAYEM AUTO ANCILLARIES PRIVATE LI</t>
        </is>
      </c>
      <c r="C789" t="inlineStr">
        <is>
          <t>NOS</t>
        </is>
      </c>
      <c r="D789" t="n">
        <v>5</v>
      </c>
      <c r="E789" t="n">
        <v>2.8</v>
      </c>
      <c r="F789" t="n">
        <v>1940823</v>
      </c>
      <c r="G789" t="inlineStr">
        <is>
          <t>40-25-1.6-ERW 1-FC</t>
        </is>
      </c>
      <c r="H789" t="n">
        <v>4.385</v>
      </c>
      <c r="I789" t="inlineStr">
        <is>
          <t>TUB-R-AW-RHS-40.00X25.00X1.600X0.5600</t>
        </is>
      </c>
      <c r="J789" t="inlineStr">
        <is>
          <t>TVS</t>
        </is>
      </c>
      <c r="K789" t="inlineStr">
        <is>
          <t>40-25-1.6-ERW 1-FC-0.56</t>
        </is>
      </c>
    </row>
    <row r="790">
      <c r="A790" t="inlineStr">
        <is>
          <t>0000948721</t>
        </is>
      </c>
      <c r="B790" t="inlineStr">
        <is>
          <t>ELKAYEM AUTO ANCILLARIES PRIVATE LI</t>
        </is>
      </c>
      <c r="C790" t="inlineStr">
        <is>
          <t>NOS</t>
        </is>
      </c>
      <c r="D790" t="n">
        <v>842</v>
      </c>
      <c r="E790" t="n">
        <v>471.481</v>
      </c>
      <c r="F790" t="n">
        <v>1940823</v>
      </c>
      <c r="G790" t="inlineStr">
        <is>
          <t>40-25-1.6-ERW 1-FC</t>
        </is>
      </c>
      <c r="H790" t="n">
        <v>738.434</v>
      </c>
      <c r="I790" t="inlineStr">
        <is>
          <t>TUB-R-AW-RHS-40.00X25.00X1.600X0.5600</t>
        </is>
      </c>
      <c r="J790" t="inlineStr">
        <is>
          <t>TVS</t>
        </is>
      </c>
      <c r="K790" t="inlineStr">
        <is>
          <t>40-25-1.6-ERW 1-FC-0.56</t>
        </is>
      </c>
    </row>
    <row r="791">
      <c r="A791" t="inlineStr">
        <is>
          <t>0000948721</t>
        </is>
      </c>
      <c r="B791" t="inlineStr">
        <is>
          <t>ELKAYEM AUTO ANCILLARIES PRIVATE LI</t>
        </is>
      </c>
      <c r="C791" t="inlineStr">
        <is>
          <t>NOS</t>
        </is>
      </c>
      <c r="D791" t="n">
        <v>299</v>
      </c>
      <c r="E791" t="n">
        <v>167.426</v>
      </c>
      <c r="F791" t="n">
        <v>1940823</v>
      </c>
      <c r="G791" t="inlineStr">
        <is>
          <t>40-25-1.6-ERW 1-FC</t>
        </is>
      </c>
      <c r="H791" t="n">
        <v>262.223</v>
      </c>
      <c r="I791" t="inlineStr">
        <is>
          <t>TUB-R-AW-RHS-40.00X25.00X1.600X0.5600</t>
        </is>
      </c>
      <c r="J791" t="inlineStr">
        <is>
          <t>TVS</t>
        </is>
      </c>
      <c r="K791" t="inlineStr">
        <is>
          <t>40-25-1.6-ERW 1-FC-0.56</t>
        </is>
      </c>
    </row>
    <row r="792">
      <c r="A792" t="inlineStr">
        <is>
          <t>0000948721</t>
        </is>
      </c>
      <c r="B792" t="inlineStr">
        <is>
          <t>ELKAYEM AUTO ANCILLARIES PRIVATE LI</t>
        </is>
      </c>
      <c r="C792" t="inlineStr">
        <is>
          <t>NOS</t>
        </is>
      </c>
      <c r="D792" t="n">
        <v>299</v>
      </c>
      <c r="E792" t="n">
        <v>167.426</v>
      </c>
      <c r="F792" t="n">
        <v>1940823</v>
      </c>
      <c r="G792" t="inlineStr">
        <is>
          <t>40-25-1.6-ERW 1-FC</t>
        </is>
      </c>
      <c r="H792" t="n">
        <v>262.223</v>
      </c>
      <c r="I792" t="inlineStr">
        <is>
          <t>TUB-R-AW-RHS-40.00X25.00X1.600X0.5600</t>
        </is>
      </c>
      <c r="J792" t="inlineStr">
        <is>
          <t>TVS</t>
        </is>
      </c>
      <c r="K792" t="inlineStr">
        <is>
          <t>40-25-1.6-ERW 1-FC-0.56</t>
        </is>
      </c>
    </row>
    <row r="793">
      <c r="A793" t="inlineStr">
        <is>
          <t>0000948721</t>
        </is>
      </c>
      <c r="B793" t="inlineStr">
        <is>
          <t>ELKAYEM AUTO ANCILLARIES PRIVATE LI</t>
        </is>
      </c>
      <c r="C793" t="inlineStr">
        <is>
          <t>NOS</t>
        </is>
      </c>
      <c r="D793" t="n">
        <v>2580</v>
      </c>
      <c r="E793" t="n">
        <v>1444.681</v>
      </c>
      <c r="F793" t="n">
        <v>1940823</v>
      </c>
      <c r="G793" t="inlineStr">
        <is>
          <t>40-25-1.6-ERW 1-FC</t>
        </is>
      </c>
      <c r="H793" t="n">
        <v>2262.66</v>
      </c>
      <c r="I793" t="inlineStr">
        <is>
          <t>TUB-R-AW-RHS-40.00X25.00X1.600X0.5600</t>
        </is>
      </c>
      <c r="J793" t="inlineStr">
        <is>
          <t>TVS</t>
        </is>
      </c>
      <c r="K793" t="inlineStr">
        <is>
          <t>40-25-1.6-ERW 1-FC-0.56</t>
        </is>
      </c>
    </row>
    <row r="794">
      <c r="A794" t="inlineStr">
        <is>
          <t>0000948721</t>
        </is>
      </c>
      <c r="B794" t="inlineStr">
        <is>
          <t>ELKAYEM AUTO ANCILLARIES PRIVATE LI</t>
        </is>
      </c>
      <c r="C794" t="inlineStr">
        <is>
          <t>NOS</t>
        </is>
      </c>
      <c r="D794" t="n">
        <v>520</v>
      </c>
      <c r="E794" t="n">
        <v>77.172</v>
      </c>
      <c r="F794" t="n">
        <v>4098592</v>
      </c>
      <c r="G794" t="inlineStr">
        <is>
          <t>40-30-2-ERW 1-FC</t>
        </is>
      </c>
      <c r="H794" t="n">
        <v>153.92</v>
      </c>
      <c r="I794" t="inlineStr">
        <is>
          <t>TUB-R-AW-AUT-40.00X30.00X2.000X0.1480</t>
        </is>
      </c>
      <c r="J794" t="inlineStr">
        <is>
          <t>TVS</t>
        </is>
      </c>
      <c r="K794" t="inlineStr">
        <is>
          <t>40-30-2-ERW 1-FC-0.148</t>
        </is>
      </c>
    </row>
    <row r="795">
      <c r="A795" t="inlineStr">
        <is>
          <t>0000948721</t>
        </is>
      </c>
      <c r="B795" t="inlineStr">
        <is>
          <t>ELKAYEM AUTO ANCILLARIES PRIVATE LI</t>
        </is>
      </c>
      <c r="C795" t="inlineStr">
        <is>
          <t>NOS</t>
        </is>
      </c>
      <c r="D795" t="n">
        <v>3657</v>
      </c>
      <c r="E795" t="n">
        <v>542.729</v>
      </c>
      <c r="F795" t="n">
        <v>4098592</v>
      </c>
      <c r="G795" t="inlineStr">
        <is>
          <t>40-30-2-ERW 1-FC</t>
        </is>
      </c>
      <c r="H795" t="n">
        <v>1082.472</v>
      </c>
      <c r="I795" t="inlineStr">
        <is>
          <t>TUB-R-AW-AUT-40.00X30.00X2.000X0.1480</t>
        </is>
      </c>
      <c r="J795" t="inlineStr">
        <is>
          <t>TVS</t>
        </is>
      </c>
      <c r="K795" t="inlineStr">
        <is>
          <t>40-30-2-ERW 1-FC-0.148</t>
        </is>
      </c>
    </row>
    <row r="796">
      <c r="A796" t="inlineStr">
        <is>
          <t>0000948721</t>
        </is>
      </c>
      <c r="B796" t="inlineStr">
        <is>
          <t>ELKAYEM AUTO ANCILLARIES PRIVATE LI</t>
        </is>
      </c>
      <c r="C796" t="inlineStr">
        <is>
          <t>NOS</t>
        </is>
      </c>
      <c r="D796" t="n">
        <v>3</v>
      </c>
      <c r="E796" t="n">
        <v>0.445</v>
      </c>
      <c r="F796" t="n">
        <v>4098592</v>
      </c>
      <c r="G796" t="inlineStr">
        <is>
          <t>40-30-2-ERW 1-FC</t>
        </is>
      </c>
      <c r="H796" t="n">
        <v>0.888</v>
      </c>
      <c r="I796" t="inlineStr">
        <is>
          <t>TUB-R-AW-AUT-40.00X30.00X2.000X0.1480</t>
        </is>
      </c>
      <c r="J796" t="inlineStr">
        <is>
          <t>TVS</t>
        </is>
      </c>
      <c r="K796" t="inlineStr">
        <is>
          <t>40-30-2-ERW 1-FC-0.148</t>
        </is>
      </c>
    </row>
    <row r="797">
      <c r="A797" t="inlineStr">
        <is>
          <t>0000948721</t>
        </is>
      </c>
      <c r="B797" t="inlineStr">
        <is>
          <t>ELKAYEM AUTO ANCILLARIES PRIVATE LI</t>
        </is>
      </c>
      <c r="C797" t="inlineStr">
        <is>
          <t>NOS</t>
        </is>
      </c>
      <c r="D797" t="n">
        <v>760</v>
      </c>
      <c r="E797" t="n">
        <v>112.79</v>
      </c>
      <c r="F797" t="n">
        <v>4098592</v>
      </c>
      <c r="G797" t="inlineStr">
        <is>
          <t>40-30-2-ERW 1-FC</t>
        </is>
      </c>
      <c r="H797" t="n">
        <v>224.96</v>
      </c>
      <c r="I797" t="inlineStr">
        <is>
          <t>TUB-R-AW-AUT-40.00X30.00X2.000X0.1480</t>
        </is>
      </c>
      <c r="J797" t="inlineStr">
        <is>
          <t>TVS</t>
        </is>
      </c>
      <c r="K797" t="inlineStr">
        <is>
          <t>40-30-2-ERW 1-FC-0.148</t>
        </is>
      </c>
    </row>
    <row r="798">
      <c r="A798" t="inlineStr">
        <is>
          <t>0000948721</t>
        </is>
      </c>
      <c r="B798" t="inlineStr">
        <is>
          <t>ELKAYEM AUTO ANCILLARIES PRIVATE LI</t>
        </is>
      </c>
      <c r="C798" t="inlineStr">
        <is>
          <t>NOS</t>
        </is>
      </c>
      <c r="D798" t="n">
        <v>1200</v>
      </c>
      <c r="E798" t="n">
        <v>178.09</v>
      </c>
      <c r="F798" t="n">
        <v>4098592</v>
      </c>
      <c r="G798" t="inlineStr">
        <is>
          <t>40-30-2-ERW 1-FC</t>
        </is>
      </c>
      <c r="H798" t="n">
        <v>355.2</v>
      </c>
      <c r="I798" t="inlineStr">
        <is>
          <t>TUB-R-AW-AUT-40.00X30.00X2.000X0.1480</t>
        </is>
      </c>
      <c r="J798" t="inlineStr">
        <is>
          <t>TVS</t>
        </is>
      </c>
      <c r="K798" t="inlineStr">
        <is>
          <t>40-30-2-ERW 1-FC-0.148</t>
        </is>
      </c>
    </row>
    <row r="799">
      <c r="A799" t="inlineStr">
        <is>
          <t>0000948721</t>
        </is>
      </c>
      <c r="B799" t="inlineStr">
        <is>
          <t>ELKAYEM AUTO ANCILLARIES PRIVATE LI</t>
        </is>
      </c>
      <c r="C799" t="inlineStr">
        <is>
          <t>NOS</t>
        </is>
      </c>
      <c r="D799" t="n">
        <v>2794</v>
      </c>
      <c r="E799" t="n">
        <v>414.652</v>
      </c>
      <c r="F799" t="n">
        <v>4098592</v>
      </c>
      <c r="G799" t="inlineStr">
        <is>
          <t>40-30-2-ERW 1-FC</t>
        </is>
      </c>
      <c r="H799" t="n">
        <v>827.024</v>
      </c>
      <c r="I799" t="inlineStr">
        <is>
          <t>TUB-R-AW-AUT-40.00X30.00X2.000X0.1480</t>
        </is>
      </c>
      <c r="J799" t="inlineStr">
        <is>
          <t>TVS</t>
        </is>
      </c>
      <c r="K799" t="inlineStr">
        <is>
          <t>40-30-2-ERW 1-FC-0.148</t>
        </is>
      </c>
    </row>
    <row r="800">
      <c r="A800" t="inlineStr">
        <is>
          <t>0000948721</t>
        </is>
      </c>
      <c r="B800" t="inlineStr">
        <is>
          <t>ELKAYEM AUTO ANCILLARIES PRIVATE LI</t>
        </is>
      </c>
      <c r="C800" t="inlineStr">
        <is>
          <t>NOS</t>
        </is>
      </c>
      <c r="D800" t="n">
        <v>642</v>
      </c>
      <c r="E800" t="n">
        <v>95.27800000000001</v>
      </c>
      <c r="F800" t="n">
        <v>4098592</v>
      </c>
      <c r="G800" t="inlineStr">
        <is>
          <t>40-30-2-ERW 1-FC</t>
        </is>
      </c>
      <c r="H800" t="n">
        <v>190.032</v>
      </c>
      <c r="I800" t="inlineStr">
        <is>
          <t>TUB-R-AW-AUT-40.00X30.00X2.000X0.1480</t>
        </is>
      </c>
      <c r="J800" t="inlineStr">
        <is>
          <t>TVS</t>
        </is>
      </c>
      <c r="K800" t="inlineStr">
        <is>
          <t>40-30-2-ERW 1-FC-0.148</t>
        </is>
      </c>
    </row>
    <row r="801">
      <c r="A801" t="inlineStr">
        <is>
          <t>0000948721</t>
        </is>
      </c>
      <c r="B801" t="inlineStr">
        <is>
          <t>ELKAYEM AUTO ANCILLARIES PRIVATE LI</t>
        </is>
      </c>
      <c r="C801" t="inlineStr">
        <is>
          <t>NOS</t>
        </is>
      </c>
      <c r="D801" t="n">
        <v>56</v>
      </c>
      <c r="E801" t="n">
        <v>8.311</v>
      </c>
      <c r="F801" t="n">
        <v>4098592</v>
      </c>
      <c r="G801" t="inlineStr">
        <is>
          <t>40-30-2-ERW 1-FC</t>
        </is>
      </c>
      <c r="H801" t="n">
        <v>16.576</v>
      </c>
      <c r="I801" t="inlineStr">
        <is>
          <t>TUB-R-AW-AUT-40.00X30.00X2.000X0.1480</t>
        </is>
      </c>
      <c r="J801" t="inlineStr">
        <is>
          <t>TVS</t>
        </is>
      </c>
      <c r="K801" t="inlineStr">
        <is>
          <t>40-30-2-ERW 1-FC-0.148</t>
        </is>
      </c>
    </row>
    <row r="802">
      <c r="A802" t="inlineStr">
        <is>
          <t>0000948721</t>
        </is>
      </c>
      <c r="B802" t="inlineStr">
        <is>
          <t>ELKAYEM AUTO ANCILLARIES PRIVATE LI</t>
        </is>
      </c>
      <c r="C802" t="inlineStr">
        <is>
          <t>NOS</t>
        </is>
      </c>
      <c r="D802" t="n">
        <v>8</v>
      </c>
      <c r="E802" t="n">
        <v>1.187</v>
      </c>
      <c r="F802" t="n">
        <v>4098592</v>
      </c>
      <c r="G802" t="inlineStr">
        <is>
          <t>40-30-2-ERW 1-FC</t>
        </is>
      </c>
      <c r="H802" t="n">
        <v>2.368</v>
      </c>
      <c r="I802" t="inlineStr">
        <is>
          <t>TUB-R-AW-AUT-40.00X30.00X2.000X0.1480</t>
        </is>
      </c>
      <c r="J802" t="inlineStr">
        <is>
          <t>TVS</t>
        </is>
      </c>
      <c r="K802" t="inlineStr">
        <is>
          <t>40-30-2-ERW 1-FC-0.148</t>
        </is>
      </c>
    </row>
    <row r="803">
      <c r="A803" t="inlineStr">
        <is>
          <t>0000948721</t>
        </is>
      </c>
      <c r="B803" t="inlineStr">
        <is>
          <t>ELKAYEM AUTO ANCILLARIES PRIVATE LI</t>
        </is>
      </c>
      <c r="C803" t="inlineStr">
        <is>
          <t>NOS</t>
        </is>
      </c>
      <c r="D803" t="n">
        <v>1664</v>
      </c>
      <c r="E803" t="n">
        <v>246.951</v>
      </c>
      <c r="F803" t="n">
        <v>4098592</v>
      </c>
      <c r="G803" t="inlineStr">
        <is>
          <t>40-30-2-ERW 1-FC</t>
        </is>
      </c>
      <c r="H803" t="n">
        <v>492.544</v>
      </c>
      <c r="I803" t="inlineStr">
        <is>
          <t>TUB-R-AW-AUT-40.00X30.00X2.000X0.1480</t>
        </is>
      </c>
      <c r="J803" t="inlineStr">
        <is>
          <t>TVS</t>
        </is>
      </c>
      <c r="K803" t="inlineStr">
        <is>
          <t>40-30-2-ERW 1-FC-0.148</t>
        </is>
      </c>
    </row>
    <row r="804">
      <c r="A804" t="inlineStr">
        <is>
          <t>0000948721</t>
        </is>
      </c>
      <c r="B804" t="inlineStr">
        <is>
          <t>ELKAYEM AUTO ANCILLARIES PRIVATE LI</t>
        </is>
      </c>
      <c r="C804" t="inlineStr">
        <is>
          <t>NOS</t>
        </is>
      </c>
      <c r="D804" t="n">
        <v>483</v>
      </c>
      <c r="E804" t="n">
        <v>71.681</v>
      </c>
      <c r="F804" t="n">
        <v>4098592</v>
      </c>
      <c r="G804" t="inlineStr">
        <is>
          <t>40-30-2-ERW 1-FC</t>
        </is>
      </c>
      <c r="H804" t="n">
        <v>142.968</v>
      </c>
      <c r="I804" t="inlineStr">
        <is>
          <t>TUB-R-AW-AUT-40.00X30.00X2.000X0.1480</t>
        </is>
      </c>
      <c r="J804" t="inlineStr">
        <is>
          <t>TVS</t>
        </is>
      </c>
      <c r="K804" t="inlineStr">
        <is>
          <t>40-30-2-ERW 1-FC-0.148</t>
        </is>
      </c>
    </row>
    <row r="805">
      <c r="A805" t="inlineStr">
        <is>
          <t>0000948721</t>
        </is>
      </c>
      <c r="B805" t="inlineStr">
        <is>
          <t>ELKAYEM AUTO ANCILLARIES PRIVATE LI</t>
        </is>
      </c>
      <c r="C805" t="inlineStr">
        <is>
          <t>NOS</t>
        </is>
      </c>
      <c r="D805" t="n">
        <v>13</v>
      </c>
      <c r="E805" t="n">
        <v>1.929</v>
      </c>
      <c r="F805" t="n">
        <v>4098592</v>
      </c>
      <c r="G805" t="inlineStr">
        <is>
          <t>40-30-2-ERW 1-FC</t>
        </is>
      </c>
      <c r="H805" t="n">
        <v>3.848</v>
      </c>
      <c r="I805" t="inlineStr">
        <is>
          <t>TUB-R-AW-AUT-40.00X30.00X2.000X0.1480</t>
        </is>
      </c>
      <c r="J805" t="inlineStr">
        <is>
          <t>TVS</t>
        </is>
      </c>
      <c r="K805" t="inlineStr">
        <is>
          <t>40-30-2-ERW 1-FC-0.148</t>
        </is>
      </c>
    </row>
    <row r="806">
      <c r="A806" t="inlineStr">
        <is>
          <t>0000948721</t>
        </is>
      </c>
      <c r="B806" t="inlineStr">
        <is>
          <t>ELKAYEM AUTO ANCILLARIES PRIVATE LI</t>
        </is>
      </c>
      <c r="C806" t="inlineStr">
        <is>
          <t>NOS</t>
        </is>
      </c>
      <c r="D806" t="n">
        <v>2090</v>
      </c>
      <c r="E806" t="n">
        <v>310.173</v>
      </c>
      <c r="F806" t="n">
        <v>4098592</v>
      </c>
      <c r="G806" t="inlineStr">
        <is>
          <t>40-30-2-ERW 1-FC</t>
        </is>
      </c>
      <c r="H806" t="n">
        <v>618.64</v>
      </c>
      <c r="I806" t="inlineStr">
        <is>
          <t>TUB-R-AW-AUT-40.00X30.00X2.000X0.1480</t>
        </is>
      </c>
      <c r="J806" t="inlineStr">
        <is>
          <t>TVS</t>
        </is>
      </c>
      <c r="K806" t="inlineStr">
        <is>
          <t>40-30-2-ERW 1-FC-0.148</t>
        </is>
      </c>
    </row>
    <row r="807">
      <c r="A807" t="inlineStr">
        <is>
          <t>0000948721</t>
        </is>
      </c>
      <c r="B807" t="inlineStr">
        <is>
          <t>ELKAYEM AUTO ANCILLARIES PRIVATE LI</t>
        </is>
      </c>
      <c r="C807" t="inlineStr">
        <is>
          <t>NOS</t>
        </is>
      </c>
      <c r="D807" t="n">
        <v>439</v>
      </c>
      <c r="E807" t="n">
        <v>65.151</v>
      </c>
      <c r="F807" t="n">
        <v>4098592</v>
      </c>
      <c r="G807" t="inlineStr">
        <is>
          <t>40-30-2-ERW 1-FC</t>
        </is>
      </c>
      <c r="H807" t="n">
        <v>129.944</v>
      </c>
      <c r="I807" t="inlineStr">
        <is>
          <t>TUB-R-AW-AUT-40.00X30.00X2.000X0.1480</t>
        </is>
      </c>
      <c r="J807" t="inlineStr">
        <is>
          <t>TVS</t>
        </is>
      </c>
      <c r="K807" t="inlineStr">
        <is>
          <t>40-30-2-ERW 1-FC-0.148</t>
        </is>
      </c>
    </row>
    <row r="808">
      <c r="A808" t="inlineStr">
        <is>
          <t>0000948721</t>
        </is>
      </c>
      <c r="B808" t="inlineStr">
        <is>
          <t>ELKAYEM AUTO ANCILLARIES PRIVATE LI</t>
        </is>
      </c>
      <c r="C808" t="inlineStr">
        <is>
          <t>NOS</t>
        </is>
      </c>
      <c r="D808" t="n">
        <v>11</v>
      </c>
      <c r="E808" t="n">
        <v>1.632</v>
      </c>
      <c r="F808" t="n">
        <v>4098592</v>
      </c>
      <c r="G808" t="inlineStr">
        <is>
          <t>40-30-2-ERW 1-FC</t>
        </is>
      </c>
      <c r="H808" t="n">
        <v>3.256</v>
      </c>
      <c r="I808" t="inlineStr">
        <is>
          <t>TUB-R-AW-AUT-40.00X30.00X2.000X0.1480</t>
        </is>
      </c>
      <c r="J808" t="inlineStr">
        <is>
          <t>TVS</t>
        </is>
      </c>
      <c r="K808" t="inlineStr">
        <is>
          <t>40-30-2-ERW 1-FC-0.148</t>
        </is>
      </c>
    </row>
    <row r="809">
      <c r="A809" t="inlineStr">
        <is>
          <t>0000948721</t>
        </is>
      </c>
      <c r="B809" t="inlineStr">
        <is>
          <t>ELKAYEM AUTO ANCILLARIES PRIVATE LI</t>
        </is>
      </c>
      <c r="C809" t="inlineStr">
        <is>
          <t>NOS</t>
        </is>
      </c>
      <c r="D809" t="n">
        <v>1780</v>
      </c>
      <c r="E809" t="n">
        <v>264.166</v>
      </c>
      <c r="F809" t="n">
        <v>4098592</v>
      </c>
      <c r="G809" t="inlineStr">
        <is>
          <t>40-30-2-ERW 1-FC</t>
        </is>
      </c>
      <c r="H809" t="n">
        <v>526.88</v>
      </c>
      <c r="I809" t="inlineStr">
        <is>
          <t>TUB-R-AW-AUT-40.00X30.00X2.000X0.1480</t>
        </is>
      </c>
      <c r="J809" t="inlineStr">
        <is>
          <t>TVS</t>
        </is>
      </c>
      <c r="K809" t="inlineStr">
        <is>
          <t>40-30-2-ERW 1-FC-0.148</t>
        </is>
      </c>
    </row>
    <row r="810">
      <c r="A810" t="inlineStr">
        <is>
          <t>0000948721</t>
        </is>
      </c>
      <c r="B810" t="inlineStr">
        <is>
          <t>ELKAYEM AUTO ANCILLARIES PRIVATE LI</t>
        </is>
      </c>
      <c r="C810" t="inlineStr">
        <is>
          <t>NOS</t>
        </is>
      </c>
      <c r="D810" t="n">
        <v>380</v>
      </c>
      <c r="E810" t="n">
        <v>56.395</v>
      </c>
      <c r="F810" t="n">
        <v>4098592</v>
      </c>
      <c r="G810" t="inlineStr">
        <is>
          <t>40-30-2-ERW 1-FC</t>
        </is>
      </c>
      <c r="H810" t="n">
        <v>112.48</v>
      </c>
      <c r="I810" t="inlineStr">
        <is>
          <t>TUB-R-AW-AUT-40.00X30.00X2.000X0.1480</t>
        </is>
      </c>
      <c r="J810" t="inlineStr">
        <is>
          <t>TVS</t>
        </is>
      </c>
      <c r="K810" t="inlineStr">
        <is>
          <t>40-30-2-ERW 1-FC-0.148</t>
        </is>
      </c>
    </row>
    <row r="811">
      <c r="A811" t="inlineStr">
        <is>
          <t>0000948721</t>
        </is>
      </c>
      <c r="B811" t="inlineStr">
        <is>
          <t>ELKAYEM AUTO ANCILLARIES PRIVATE LI</t>
        </is>
      </c>
      <c r="C811" t="inlineStr">
        <is>
          <t>NOS</t>
        </is>
      </c>
      <c r="D811" t="n">
        <v>1260</v>
      </c>
      <c r="E811" t="n">
        <v>186.994</v>
      </c>
      <c r="F811" t="n">
        <v>4098592</v>
      </c>
      <c r="G811" t="inlineStr">
        <is>
          <t>40-30-2-ERW 1-FC</t>
        </is>
      </c>
      <c r="H811" t="n">
        <v>372.96</v>
      </c>
      <c r="I811" t="inlineStr">
        <is>
          <t>TUB-R-AW-AUT-40.00X30.00X2.000X0.1480</t>
        </is>
      </c>
      <c r="J811" t="inlineStr">
        <is>
          <t>TVS</t>
        </is>
      </c>
      <c r="K811" t="inlineStr">
        <is>
          <t>40-30-2-ERW 1-FC-0.148</t>
        </is>
      </c>
    </row>
    <row r="812">
      <c r="A812" t="inlineStr">
        <is>
          <t>0000948721</t>
        </is>
      </c>
      <c r="B812" t="inlineStr">
        <is>
          <t>ELKAYEM AUTO ANCILLARIES PRIVATE LI</t>
        </is>
      </c>
      <c r="C812" t="inlineStr">
        <is>
          <t>NOS</t>
        </is>
      </c>
      <c r="D812" t="n">
        <v>1500</v>
      </c>
      <c r="E812" t="n">
        <v>222.612</v>
      </c>
      <c r="F812" t="n">
        <v>4098592</v>
      </c>
      <c r="G812" t="inlineStr">
        <is>
          <t>40-30-2-ERW 1-FC</t>
        </is>
      </c>
      <c r="H812" t="n">
        <v>444</v>
      </c>
      <c r="I812" t="inlineStr">
        <is>
          <t>TUB-R-AW-AUT-40.00X30.00X2.000X0.1480</t>
        </is>
      </c>
      <c r="J812" t="inlineStr">
        <is>
          <t>TVS</t>
        </is>
      </c>
      <c r="K812" t="inlineStr">
        <is>
          <t>40-30-2-ERW 1-FC-0.148</t>
        </is>
      </c>
    </row>
    <row r="813">
      <c r="A813" t="inlineStr">
        <is>
          <t>0000948721</t>
        </is>
      </c>
      <c r="B813" t="inlineStr">
        <is>
          <t>ELKAYEM AUTO ANCILLARIES PRIVATE LI</t>
        </is>
      </c>
      <c r="C813" t="inlineStr">
        <is>
          <t>NOS</t>
        </is>
      </c>
      <c r="D813" t="n">
        <v>1885</v>
      </c>
      <c r="E813" t="n">
        <v>279.749</v>
      </c>
      <c r="F813" t="n">
        <v>4098592</v>
      </c>
      <c r="G813" t="inlineStr">
        <is>
          <t>40-30-2-ERW 1-FC</t>
        </is>
      </c>
      <c r="H813" t="n">
        <v>557.96</v>
      </c>
      <c r="I813" t="inlineStr">
        <is>
          <t>TUB-R-AW-AUT-40.00X30.00X2.000X0.1480</t>
        </is>
      </c>
      <c r="J813" t="inlineStr">
        <is>
          <t>TVS</t>
        </is>
      </c>
      <c r="K813" t="inlineStr">
        <is>
          <t>40-30-2-ERW 1-FC-0.148</t>
        </is>
      </c>
    </row>
    <row r="814">
      <c r="A814" t="inlineStr">
        <is>
          <t>0000948721</t>
        </is>
      </c>
      <c r="B814" t="inlineStr">
        <is>
          <t>ELKAYEM AUTO ANCILLARIES PRIVATE LI</t>
        </is>
      </c>
      <c r="C814" t="inlineStr">
        <is>
          <t>NOS</t>
        </is>
      </c>
      <c r="D814" t="n">
        <v>175</v>
      </c>
      <c r="E814" t="n">
        <v>25.971</v>
      </c>
      <c r="F814" t="n">
        <v>4098592</v>
      </c>
      <c r="G814" t="inlineStr">
        <is>
          <t>40-30-2-ERW 1-FC</t>
        </is>
      </c>
      <c r="H814" t="n">
        <v>51.8</v>
      </c>
      <c r="I814" t="inlineStr">
        <is>
          <t>TUB-R-AW-AUT-40.00X30.00X2.000X0.1480</t>
        </is>
      </c>
      <c r="J814" t="inlineStr">
        <is>
          <t>TVS</t>
        </is>
      </c>
      <c r="K814" t="inlineStr">
        <is>
          <t>40-30-2-ERW 1-FC-0.148</t>
        </is>
      </c>
    </row>
    <row r="815">
      <c r="A815" t="inlineStr">
        <is>
          <t>0000948721</t>
        </is>
      </c>
      <c r="B815" t="inlineStr">
        <is>
          <t>ELKAYEM AUTO ANCILLARIES PRIVATE LI</t>
        </is>
      </c>
      <c r="C815" t="inlineStr">
        <is>
          <t>NOS</t>
        </is>
      </c>
      <c r="D815" t="n">
        <v>120</v>
      </c>
      <c r="E815" t="n">
        <v>17.809</v>
      </c>
      <c r="F815" t="n">
        <v>4098592</v>
      </c>
      <c r="G815" t="inlineStr">
        <is>
          <t>40-30-2-ERW 1-FC</t>
        </is>
      </c>
      <c r="H815" t="n">
        <v>35.52</v>
      </c>
      <c r="I815" t="inlineStr">
        <is>
          <t>TUB-R-AW-AUT-40.00X30.00X2.000X0.1480</t>
        </is>
      </c>
      <c r="J815" t="inlineStr">
        <is>
          <t>TVS</t>
        </is>
      </c>
      <c r="K815" t="inlineStr">
        <is>
          <t>40-30-2-ERW 1-FC-0.148</t>
        </is>
      </c>
    </row>
    <row r="816">
      <c r="A816" t="inlineStr">
        <is>
          <t>0000952904</t>
        </is>
      </c>
      <c r="B816" t="inlineStr">
        <is>
          <t>ELKAYEM AUTO ANCILLARIES PRIVATE LI</t>
        </is>
      </c>
      <c r="C816" t="inlineStr">
        <is>
          <t>NOS</t>
        </is>
      </c>
      <c r="D816" t="n">
        <v>2575</v>
      </c>
      <c r="E816" t="n">
        <v>1223.124</v>
      </c>
      <c r="F816" t="n">
        <v>1940626</v>
      </c>
      <c r="G816" t="inlineStr">
        <is>
          <t>28.58-0-2-ERW 1-FC</t>
        </is>
      </c>
      <c r="H816" t="n">
        <v>1566.945</v>
      </c>
      <c r="I816" t="inlineStr">
        <is>
          <t>TUB-O-O-AUT-AW-FC-28.58X2.000X0.4750</t>
        </is>
      </c>
      <c r="J816" t="inlineStr">
        <is>
          <t>TVS</t>
        </is>
      </c>
      <c r="K816" t="inlineStr">
        <is>
          <t>28.58-0-2-ERW 1-FC-0.475</t>
        </is>
      </c>
    </row>
    <row r="817">
      <c r="A817" t="inlineStr">
        <is>
          <t>0000952904</t>
        </is>
      </c>
      <c r="B817" t="inlineStr">
        <is>
          <t>ELKAYEM AUTO ANCILLARIES PRIVATE LI</t>
        </is>
      </c>
      <c r="C817" t="inlineStr">
        <is>
          <t>NOS</t>
        </is>
      </c>
      <c r="D817" t="n">
        <v>4629</v>
      </c>
      <c r="E817" t="n">
        <v>2198.774</v>
      </c>
      <c r="F817" t="n">
        <v>1940626</v>
      </c>
      <c r="G817" t="inlineStr">
        <is>
          <t>28.58-0-2-ERW 1-FC</t>
        </is>
      </c>
      <c r="H817" t="n">
        <v>2816.849</v>
      </c>
      <c r="I817" t="inlineStr">
        <is>
          <t>TUB-O-O-AUT-AW-FC-28.58X2.000X0.4750</t>
        </is>
      </c>
      <c r="J817" t="inlineStr">
        <is>
          <t>TVS</t>
        </is>
      </c>
      <c r="K817" t="inlineStr">
        <is>
          <t>28.58-0-2-ERW 1-FC-0.475</t>
        </is>
      </c>
    </row>
    <row r="818">
      <c r="A818" t="inlineStr">
        <is>
          <t>0000952904</t>
        </is>
      </c>
      <c r="B818" t="inlineStr">
        <is>
          <t>ELKAYEM AUTO ANCILLARIES PRIVATE LI</t>
        </is>
      </c>
      <c r="C818" t="inlineStr">
        <is>
          <t>NOS</t>
        </is>
      </c>
      <c r="D818" t="n">
        <v>3168</v>
      </c>
      <c r="E818" t="n">
        <v>1504.799</v>
      </c>
      <c r="F818" t="n">
        <v>1940626</v>
      </c>
      <c r="G818" t="inlineStr">
        <is>
          <t>28.58-0-2-ERW 1-FC</t>
        </is>
      </c>
      <c r="H818" t="n">
        <v>1927.798</v>
      </c>
      <c r="I818" t="inlineStr">
        <is>
          <t>TUB-O-O-AUT-AW-FC-28.58X2.000X0.4750</t>
        </is>
      </c>
      <c r="J818" t="inlineStr">
        <is>
          <t>TVS</t>
        </is>
      </c>
      <c r="K818" t="inlineStr">
        <is>
          <t>28.58-0-2-ERW 1-FC-0.475</t>
        </is>
      </c>
    </row>
    <row r="819">
      <c r="A819" t="inlineStr">
        <is>
          <t>0000952904</t>
        </is>
      </c>
      <c r="B819" t="inlineStr">
        <is>
          <t>ELKAYEM AUTO ANCILLARIES PRIVATE LI</t>
        </is>
      </c>
      <c r="C819" t="inlineStr">
        <is>
          <t>NOS</t>
        </is>
      </c>
      <c r="D819" t="n">
        <v>98</v>
      </c>
      <c r="E819" t="n">
        <v>46.55</v>
      </c>
      <c r="F819" t="n">
        <v>1940626</v>
      </c>
      <c r="G819" t="inlineStr">
        <is>
          <t>28.58-0-2-ERW 1-FC</t>
        </is>
      </c>
      <c r="H819" t="n">
        <v>59.635</v>
      </c>
      <c r="I819" t="inlineStr">
        <is>
          <t>TUB-O-O-AUT-AW-FC-28.58X2.000X0.4750</t>
        </is>
      </c>
      <c r="J819" t="inlineStr">
        <is>
          <t>TVS</t>
        </is>
      </c>
      <c r="K819" t="inlineStr">
        <is>
          <t>28.58-0-2-ERW 1-FC-0.475</t>
        </is>
      </c>
    </row>
    <row r="820">
      <c r="A820" t="inlineStr">
        <is>
          <t>0000952904</t>
        </is>
      </c>
      <c r="B820" t="inlineStr">
        <is>
          <t>ELKAYEM AUTO ANCILLARIES PRIVATE LI</t>
        </is>
      </c>
      <c r="C820" t="inlineStr">
        <is>
          <t>NOS</t>
        </is>
      </c>
      <c r="D820" t="n">
        <v>4</v>
      </c>
      <c r="E820" t="n">
        <v>1.9</v>
      </c>
      <c r="F820" t="n">
        <v>1940626</v>
      </c>
      <c r="G820" t="inlineStr">
        <is>
          <t>28.58-0-2-ERW 1-FC</t>
        </is>
      </c>
      <c r="H820" t="n">
        <v>2.434</v>
      </c>
      <c r="I820" t="inlineStr">
        <is>
          <t>TUB-O-O-AUT-AW-FC-28.58X2.000X0.4750</t>
        </is>
      </c>
      <c r="J820" t="inlineStr">
        <is>
          <t>TVS</t>
        </is>
      </c>
      <c r="K820" t="inlineStr">
        <is>
          <t>28.58-0-2-ERW 1-FC-0.475</t>
        </is>
      </c>
    </row>
    <row r="821">
      <c r="A821" t="inlineStr">
        <is>
          <t>0000952904</t>
        </is>
      </c>
      <c r="B821" t="inlineStr">
        <is>
          <t>ELKAYEM AUTO ANCILLARIES PRIVATE LI</t>
        </is>
      </c>
      <c r="C821" t="inlineStr">
        <is>
          <t>NOS</t>
        </is>
      </c>
      <c r="D821" t="n">
        <v>1</v>
      </c>
      <c r="E821" t="n">
        <v>0.475</v>
      </c>
      <c r="F821" t="n">
        <v>1940626</v>
      </c>
      <c r="G821" t="inlineStr">
        <is>
          <t>28.58-0-2-ERW 1-FC</t>
        </is>
      </c>
      <c r="H821" t="n">
        <v>0.609</v>
      </c>
      <c r="I821" t="inlineStr">
        <is>
          <t>TUB-O-O-AUT-AW-FC-28.58X2.000X0.4750</t>
        </is>
      </c>
      <c r="J821" t="inlineStr">
        <is>
          <t>TVS</t>
        </is>
      </c>
      <c r="K821" t="inlineStr">
        <is>
          <t>28.58-0-2-ERW 1-FC-0.475</t>
        </is>
      </c>
    </row>
    <row r="822">
      <c r="A822" t="inlineStr">
        <is>
          <t>0000952904</t>
        </is>
      </c>
      <c r="B822" t="inlineStr">
        <is>
          <t>ELKAYEM AUTO ANCILLARIES PRIVATE LI</t>
        </is>
      </c>
      <c r="C822" t="inlineStr">
        <is>
          <t>NOS</t>
        </is>
      </c>
      <c r="D822" t="n">
        <v>3000</v>
      </c>
      <c r="E822" t="n">
        <v>1424.999</v>
      </c>
      <c r="F822" t="n">
        <v>1940626</v>
      </c>
      <c r="G822" t="inlineStr">
        <is>
          <t>28.58-0-2-ERW 1-FC</t>
        </is>
      </c>
      <c r="H822" t="n">
        <v>1825.567</v>
      </c>
      <c r="I822" t="inlineStr">
        <is>
          <t>TUB-O-O-AUT-AW-FC-28.58X2.000X0.4750</t>
        </is>
      </c>
      <c r="J822" t="inlineStr">
        <is>
          <t>TVS</t>
        </is>
      </c>
      <c r="K822" t="inlineStr">
        <is>
          <t>28.58-0-2-ERW 1-FC-0.475</t>
        </is>
      </c>
    </row>
    <row r="823">
      <c r="A823" t="inlineStr">
        <is>
          <t>0000188415</t>
        </is>
      </c>
      <c r="B823" t="inlineStr">
        <is>
          <t>Rajsriya Automotive Industries(P)</t>
        </is>
      </c>
      <c r="C823" t="inlineStr">
        <is>
          <t>NOS</t>
        </is>
      </c>
      <c r="D823" t="n">
        <v>1469</v>
      </c>
      <c r="E823" t="n">
        <v>1263.684</v>
      </c>
      <c r="F823" t="n">
        <v>1940830</v>
      </c>
      <c r="G823" t="inlineStr">
        <is>
          <t>40-30-1.6-ERW 1-FC</t>
        </is>
      </c>
      <c r="H823" t="n">
        <v>2137.395</v>
      </c>
      <c r="I823" t="inlineStr">
        <is>
          <t>TUB-R-AW-RHS-40.00X30.00X1.600X0.8600</t>
        </is>
      </c>
      <c r="J823" t="inlineStr">
        <is>
          <t>TVS</t>
        </is>
      </c>
      <c r="K823" t="inlineStr">
        <is>
          <t>40-30-1.6-ERW 1-FC-0.86</t>
        </is>
      </c>
    </row>
    <row r="824">
      <c r="A824" t="inlineStr">
        <is>
          <t>0000188415</t>
        </is>
      </c>
      <c r="B824" t="inlineStr">
        <is>
          <t>Rajsriya Automotive Industries(P)</t>
        </is>
      </c>
      <c r="C824" t="inlineStr">
        <is>
          <t>NOS</t>
        </is>
      </c>
      <c r="D824" t="n">
        <v>1341</v>
      </c>
      <c r="E824" t="n">
        <v>1153.574</v>
      </c>
      <c r="F824" t="n">
        <v>1940830</v>
      </c>
      <c r="G824" t="inlineStr">
        <is>
          <t>40-30-1.6-ERW 1-FC</t>
        </is>
      </c>
      <c r="H824" t="n">
        <v>1951.155</v>
      </c>
      <c r="I824" t="inlineStr">
        <is>
          <t>TUB-R-AW-RHS-40.00X30.00X1.600X0.8600</t>
        </is>
      </c>
      <c r="J824" t="inlineStr">
        <is>
          <t>TVS</t>
        </is>
      </c>
      <c r="K824" t="inlineStr">
        <is>
          <t>40-30-1.6-ERW 1-FC-0.86</t>
        </is>
      </c>
    </row>
    <row r="825">
      <c r="A825" t="inlineStr">
        <is>
          <t>0000188415</t>
        </is>
      </c>
      <c r="B825" t="inlineStr">
        <is>
          <t>Rajsriya Automotive Industries(P)</t>
        </is>
      </c>
      <c r="C825" t="inlineStr">
        <is>
          <t>NOS</t>
        </is>
      </c>
      <c r="D825" t="n">
        <v>190</v>
      </c>
      <c r="E825" t="n">
        <v>163.444</v>
      </c>
      <c r="F825" t="n">
        <v>1940830</v>
      </c>
      <c r="G825" t="inlineStr">
        <is>
          <t>40-30-1.6-ERW 1-FC</t>
        </is>
      </c>
      <c r="H825" t="n">
        <v>276.45</v>
      </c>
      <c r="I825" t="inlineStr">
        <is>
          <t>TUB-R-AW-RHS-40.00X30.00X1.600X0.8600</t>
        </is>
      </c>
      <c r="J825" t="inlineStr">
        <is>
          <t>TVS</t>
        </is>
      </c>
      <c r="K825" t="inlineStr">
        <is>
          <t>40-30-1.6-ERW 1-FC-0.86</t>
        </is>
      </c>
    </row>
    <row r="826">
      <c r="A826" t="inlineStr">
        <is>
          <t>0000188415</t>
        </is>
      </c>
      <c r="B826" t="inlineStr">
        <is>
          <t>Rajsriya Automotive Industries(P)</t>
        </is>
      </c>
      <c r="C826" t="inlineStr">
        <is>
          <t>NOS</t>
        </is>
      </c>
      <c r="D826" t="n">
        <v>577</v>
      </c>
      <c r="E826" t="n">
        <v>496.355</v>
      </c>
      <c r="F826" t="n">
        <v>1940830</v>
      </c>
      <c r="G826" t="inlineStr">
        <is>
          <t>40-30-1.6-ERW 1-FC</t>
        </is>
      </c>
      <c r="H826" t="n">
        <v>839.535</v>
      </c>
      <c r="I826" t="inlineStr">
        <is>
          <t>TUB-R-AW-RHS-40.00X30.00X1.600X0.8600</t>
        </is>
      </c>
      <c r="J826" t="inlineStr">
        <is>
          <t>TVS</t>
        </is>
      </c>
      <c r="K826" t="inlineStr">
        <is>
          <t>40-30-1.6-ERW 1-FC-0.86</t>
        </is>
      </c>
    </row>
    <row r="827">
      <c r="A827" t="inlineStr">
        <is>
          <t>0000188415</t>
        </is>
      </c>
      <c r="B827" t="inlineStr">
        <is>
          <t>Rajsriya Automotive Industries(P)</t>
        </is>
      </c>
      <c r="C827" t="inlineStr">
        <is>
          <t>NOS</t>
        </is>
      </c>
      <c r="D827" t="n">
        <v>1274</v>
      </c>
      <c r="E827" t="n">
        <v>1095.938</v>
      </c>
      <c r="F827" t="n">
        <v>1940830</v>
      </c>
      <c r="G827" t="inlineStr">
        <is>
          <t>40-30-1.6-ERW 1-FC</t>
        </is>
      </c>
      <c r="H827" t="n">
        <v>1853.67</v>
      </c>
      <c r="I827" t="inlineStr">
        <is>
          <t>TUB-R-AW-RHS-40.00X30.00X1.600X0.8600</t>
        </is>
      </c>
      <c r="J827" t="inlineStr">
        <is>
          <t>TVS</t>
        </is>
      </c>
      <c r="K827" t="inlineStr">
        <is>
          <t>40-30-1.6-ERW 1-FC-0.86</t>
        </is>
      </c>
    </row>
    <row r="828">
      <c r="A828" t="inlineStr">
        <is>
          <t>0000188415</t>
        </is>
      </c>
      <c r="B828" t="inlineStr">
        <is>
          <t>Rajsriya Automotive Industries(P)</t>
        </is>
      </c>
      <c r="C828" t="inlineStr">
        <is>
          <t>NOS</t>
        </is>
      </c>
      <c r="D828" t="n">
        <v>1149</v>
      </c>
      <c r="E828" t="n">
        <v>988.409</v>
      </c>
      <c r="F828" t="n">
        <v>1940830</v>
      </c>
      <c r="G828" t="inlineStr">
        <is>
          <t>40-30-1.6-ERW 1-FC</t>
        </is>
      </c>
      <c r="H828" t="n">
        <v>1671.795</v>
      </c>
      <c r="I828" t="inlineStr">
        <is>
          <t>TUB-R-AW-RHS-40.00X30.00X1.600X0.8600</t>
        </is>
      </c>
      <c r="J828" t="inlineStr">
        <is>
          <t>TVS</t>
        </is>
      </c>
      <c r="K828" t="inlineStr">
        <is>
          <t>40-30-1.6-ERW 1-FC-0.86</t>
        </is>
      </c>
    </row>
    <row r="829">
      <c r="A829" t="inlineStr">
        <is>
          <t>0000188415</t>
        </is>
      </c>
      <c r="B829" t="inlineStr">
        <is>
          <t>Rajsriya Automotive Industries(P)</t>
        </is>
      </c>
      <c r="C829" t="inlineStr">
        <is>
          <t>NOS</t>
        </is>
      </c>
      <c r="D829" t="n">
        <v>890</v>
      </c>
      <c r="E829" t="n">
        <v>765.6079999999999</v>
      </c>
      <c r="F829" t="n">
        <v>1940830</v>
      </c>
      <c r="G829" t="inlineStr">
        <is>
          <t>40-30-1.6-ERW 1-FC</t>
        </is>
      </c>
      <c r="H829" t="n">
        <v>1294.95</v>
      </c>
      <c r="I829" t="inlineStr">
        <is>
          <t>TUB-R-AW-RHS-40.00X30.00X1.600X0.8600</t>
        </is>
      </c>
      <c r="J829" t="inlineStr">
        <is>
          <t>TVS</t>
        </is>
      </c>
      <c r="K829" t="inlineStr">
        <is>
          <t>40-30-1.6-ERW 1-FC-0.86</t>
        </is>
      </c>
    </row>
    <row r="830">
      <c r="A830" t="inlineStr">
        <is>
          <t>0000188415</t>
        </is>
      </c>
      <c r="B830" t="inlineStr">
        <is>
          <t>Rajsriya Automotive Industries(P)</t>
        </is>
      </c>
      <c r="C830" t="inlineStr">
        <is>
          <t>NOS</t>
        </is>
      </c>
      <c r="D830" t="n">
        <v>752</v>
      </c>
      <c r="E830" t="n">
        <v>646.896</v>
      </c>
      <c r="F830" t="n">
        <v>1940830</v>
      </c>
      <c r="G830" t="inlineStr">
        <is>
          <t>40-30-1.6-ERW 1-FC</t>
        </is>
      </c>
      <c r="H830" t="n">
        <v>1094.16</v>
      </c>
      <c r="I830" t="inlineStr">
        <is>
          <t>TUB-R-AW-RHS-40.00X30.00X1.600X0.8600</t>
        </is>
      </c>
      <c r="J830" t="inlineStr">
        <is>
          <t>TVS</t>
        </is>
      </c>
      <c r="K830" t="inlineStr">
        <is>
          <t>40-30-1.6-ERW 1-FC-0.86</t>
        </is>
      </c>
    </row>
    <row r="831">
      <c r="A831" t="inlineStr">
        <is>
          <t>0000188415</t>
        </is>
      </c>
      <c r="B831" t="inlineStr">
        <is>
          <t>Rajsriya Automotive Industries(P)</t>
        </is>
      </c>
      <c r="C831" t="inlineStr">
        <is>
          <t>NOS</t>
        </is>
      </c>
      <c r="D831" t="n">
        <v>274</v>
      </c>
      <c r="E831" t="n">
        <v>235.704</v>
      </c>
      <c r="F831" t="n">
        <v>1940830</v>
      </c>
      <c r="G831" t="inlineStr">
        <is>
          <t>40-30-1.6-ERW 1-FC</t>
        </is>
      </c>
      <c r="H831" t="n">
        <v>398.67</v>
      </c>
      <c r="I831" t="inlineStr">
        <is>
          <t>TUB-R-AW-RHS-40.00X30.00X1.600X0.8600</t>
        </is>
      </c>
      <c r="J831" t="inlineStr">
        <is>
          <t>TVS</t>
        </is>
      </c>
      <c r="K831" t="inlineStr">
        <is>
          <t>40-30-1.6-ERW 1-FC-0.86</t>
        </is>
      </c>
    </row>
    <row r="832">
      <c r="A832" t="inlineStr">
        <is>
          <t>0000188415</t>
        </is>
      </c>
      <c r="B832" t="inlineStr">
        <is>
          <t>Rajsriya Automotive Industries(P)</t>
        </is>
      </c>
      <c r="C832" t="inlineStr">
        <is>
          <t>NOS</t>
        </is>
      </c>
      <c r="D832" t="n">
        <v>2</v>
      </c>
      <c r="E832" t="n">
        <v>1.72</v>
      </c>
      <c r="F832" t="n">
        <v>1940830</v>
      </c>
      <c r="G832" t="inlineStr">
        <is>
          <t>40-30-1.6-ERW 1-FC</t>
        </is>
      </c>
      <c r="H832" t="n">
        <v>2.91</v>
      </c>
      <c r="I832" t="inlineStr">
        <is>
          <t>TUB-R-AW-RHS-40.00X30.00X1.600X0.8600</t>
        </is>
      </c>
      <c r="J832" t="inlineStr">
        <is>
          <t>TVS</t>
        </is>
      </c>
      <c r="K832" t="inlineStr">
        <is>
          <t>40-30-1.6-ERW 1-FC-0.86</t>
        </is>
      </c>
    </row>
    <row r="833">
      <c r="A833" t="inlineStr">
        <is>
          <t>0000188415</t>
        </is>
      </c>
      <c r="B833" t="inlineStr">
        <is>
          <t>Rajsriya Automotive Industries(P)</t>
        </is>
      </c>
      <c r="C833" t="inlineStr">
        <is>
          <t>NOS</t>
        </is>
      </c>
      <c r="D833" t="n">
        <v>2</v>
      </c>
      <c r="E833" t="n">
        <v>1.72</v>
      </c>
      <c r="F833" t="n">
        <v>1940830</v>
      </c>
      <c r="G833" t="inlineStr">
        <is>
          <t>40-30-1.6-ERW 1-FC</t>
        </is>
      </c>
      <c r="H833" t="n">
        <v>2.91</v>
      </c>
      <c r="I833" t="inlineStr">
        <is>
          <t>TUB-R-AW-RHS-40.00X30.00X1.600X0.8600</t>
        </is>
      </c>
      <c r="J833" t="inlineStr">
        <is>
          <t>TVS</t>
        </is>
      </c>
      <c r="K833" t="inlineStr">
        <is>
          <t>40-30-1.6-ERW 1-FC-0.86</t>
        </is>
      </c>
    </row>
    <row r="834">
      <c r="A834" t="inlineStr">
        <is>
          <t>0000187884</t>
        </is>
      </c>
      <c r="B834" t="inlineStr">
        <is>
          <t>Rajsriya Automotive Ind.P.Ltd Unit-</t>
        </is>
      </c>
      <c r="C834" t="inlineStr">
        <is>
          <t>NOS</t>
        </is>
      </c>
      <c r="D834" t="n">
        <v>599.9</v>
      </c>
      <c r="E834" t="n">
        <v>352.966</v>
      </c>
      <c r="F834" t="n">
        <v>1938191</v>
      </c>
      <c r="G834" t="inlineStr">
        <is>
          <t>19-12.5-3.25-CEW-CEW</t>
        </is>
      </c>
      <c r="H834" t="n">
        <v>445.726</v>
      </c>
      <c r="I834" t="inlineStr">
        <is>
          <t>TUB-I-C-AUT-AD-FC-12.50X3.250X0.5880</t>
        </is>
      </c>
      <c r="J834" t="inlineStr">
        <is>
          <t>TVS</t>
        </is>
      </c>
      <c r="K834" t="inlineStr">
        <is>
          <t>19-12.5-3.25-CEW-CEW-0.588</t>
        </is>
      </c>
    </row>
    <row r="835">
      <c r="A835" t="inlineStr">
        <is>
          <t>0000187884</t>
        </is>
      </c>
      <c r="B835" t="inlineStr">
        <is>
          <t>Rajsriya Automotive Ind.P.Ltd Unit-</t>
        </is>
      </c>
      <c r="C835" t="inlineStr">
        <is>
          <t>NOS</t>
        </is>
      </c>
      <c r="D835" t="n">
        <v>608.869</v>
      </c>
      <c r="E835" t="n">
        <v>358.243</v>
      </c>
      <c r="F835" t="n">
        <v>1938191</v>
      </c>
      <c r="G835" t="inlineStr">
        <is>
          <t>19-12.5-3.25-CEW-CEW</t>
        </is>
      </c>
      <c r="H835" t="n">
        <v>452.39</v>
      </c>
      <c r="I835" t="inlineStr">
        <is>
          <t>TUB-I-C-AUT-AD-FC-12.50X3.250X0.5880</t>
        </is>
      </c>
      <c r="J835" t="inlineStr">
        <is>
          <t>TVS</t>
        </is>
      </c>
      <c r="K835" t="inlineStr">
        <is>
          <t>19-12.5-3.25-CEW-CEW-0.588</t>
        </is>
      </c>
    </row>
    <row r="836">
      <c r="A836" t="inlineStr">
        <is>
          <t>0000187884</t>
        </is>
      </c>
      <c r="B836" t="inlineStr">
        <is>
          <t>Rajsriya Automotive Ind.P.Ltd Unit-</t>
        </is>
      </c>
      <c r="C836" t="inlineStr">
        <is>
          <t>NOS</t>
        </is>
      </c>
      <c r="D836" t="n">
        <v>685.47</v>
      </c>
      <c r="E836" t="n">
        <v>403.313</v>
      </c>
      <c r="F836" t="n">
        <v>1938191</v>
      </c>
      <c r="G836" t="inlineStr">
        <is>
          <t>19-12.5-3.25-CEW-CEW</t>
        </is>
      </c>
      <c r="H836" t="n">
        <v>509.304</v>
      </c>
      <c r="I836" t="inlineStr">
        <is>
          <t>TUB-I-C-AUT-AD-FC-12.50X3.250X0.5880</t>
        </is>
      </c>
      <c r="J836" t="inlineStr">
        <is>
          <t>TVS</t>
        </is>
      </c>
      <c r="K836" t="inlineStr">
        <is>
          <t>19-12.5-3.25-CEW-CEW-0.588</t>
        </is>
      </c>
    </row>
    <row r="837">
      <c r="A837" t="inlineStr">
        <is>
          <t>0000187884</t>
        </is>
      </c>
      <c r="B837" t="inlineStr">
        <is>
          <t>Rajsriya Automotive Ind.P.Ltd Unit-</t>
        </is>
      </c>
      <c r="C837" t="inlineStr">
        <is>
          <t>NOS</t>
        </is>
      </c>
      <c r="D837" t="n">
        <v>1102.31</v>
      </c>
      <c r="E837" t="n">
        <v>648.572</v>
      </c>
      <c r="F837" t="n">
        <v>1938191</v>
      </c>
      <c r="G837" t="inlineStr">
        <is>
          <t>19-12.5-3.25-CEW-CEW</t>
        </is>
      </c>
      <c r="H837" t="n">
        <v>819.016</v>
      </c>
      <c r="I837" t="inlineStr">
        <is>
          <t>TUB-I-C-AUT-AD-FC-12.50X3.250X0.5880</t>
        </is>
      </c>
      <c r="J837" t="inlineStr">
        <is>
          <t>TVS</t>
        </is>
      </c>
      <c r="K837" t="inlineStr">
        <is>
          <t>19-12.5-3.25-CEW-CEW-0.588</t>
        </is>
      </c>
    </row>
    <row r="838">
      <c r="A838" t="inlineStr">
        <is>
          <t>0000187884</t>
        </is>
      </c>
      <c r="B838" t="inlineStr">
        <is>
          <t>Rajsriya Automotive Ind.P.Ltd Unit-</t>
        </is>
      </c>
      <c r="C838" t="inlineStr">
        <is>
          <t>NOS</t>
        </is>
      </c>
      <c r="D838" t="n">
        <v>1034.61</v>
      </c>
      <c r="E838" t="n">
        <v>608.739</v>
      </c>
      <c r="F838" t="n">
        <v>1938191</v>
      </c>
      <c r="G838" t="inlineStr">
        <is>
          <t>19-12.5-3.25-CEW-CEW</t>
        </is>
      </c>
      <c r="H838" t="n">
        <v>768.715</v>
      </c>
      <c r="I838" t="inlineStr">
        <is>
          <t>TUB-I-C-AUT-AD-FC-12.50X3.250X0.5880</t>
        </is>
      </c>
      <c r="J838" t="inlineStr">
        <is>
          <t>TVS</t>
        </is>
      </c>
      <c r="K838" t="inlineStr">
        <is>
          <t>19-12.5-3.25-CEW-CEW-0.588</t>
        </is>
      </c>
    </row>
    <row r="839">
      <c r="A839" t="inlineStr">
        <is>
          <t>0000187884</t>
        </is>
      </c>
      <c r="B839" t="inlineStr">
        <is>
          <t>Rajsriya Automotive Ind.P.Ltd Unit-</t>
        </is>
      </c>
      <c r="C839" t="inlineStr">
        <is>
          <t>NOS</t>
        </is>
      </c>
      <c r="D839" t="n">
        <v>429.645</v>
      </c>
      <c r="E839" t="n">
        <v>252.792</v>
      </c>
      <c r="F839" t="n">
        <v>1938191</v>
      </c>
      <c r="G839" t="inlineStr">
        <is>
          <t>19-12.5-3.25-CEW-CEW</t>
        </is>
      </c>
      <c r="H839" t="n">
        <v>319.226</v>
      </c>
      <c r="I839" t="inlineStr">
        <is>
          <t>TUB-I-C-AUT-AD-FC-12.50X3.250X0.5880</t>
        </is>
      </c>
      <c r="J839" t="inlineStr">
        <is>
          <t>TVS</t>
        </is>
      </c>
      <c r="K839" t="inlineStr">
        <is>
          <t>19-12.5-3.25-CEW-CEW-0.588</t>
        </is>
      </c>
    </row>
    <row r="840">
      <c r="A840" t="inlineStr">
        <is>
          <t>0000187884</t>
        </is>
      </c>
      <c r="B840" t="inlineStr">
        <is>
          <t>Rajsriya Automotive Ind.P.Ltd Unit-</t>
        </is>
      </c>
      <c r="C840" t="inlineStr">
        <is>
          <t>NOS</t>
        </is>
      </c>
      <c r="D840" t="n">
        <v>826.41</v>
      </c>
      <c r="E840" t="n">
        <v>486.239</v>
      </c>
      <c r="F840" t="n">
        <v>1938191</v>
      </c>
      <c r="G840" t="inlineStr">
        <is>
          <t>19-12.5-3.25-CEW-CEW</t>
        </is>
      </c>
      <c r="H840" t="n">
        <v>614.023</v>
      </c>
      <c r="I840" t="inlineStr">
        <is>
          <t>TUB-I-C-AUT-AD-FC-12.50X3.250X0.5880</t>
        </is>
      </c>
      <c r="J840" t="inlineStr">
        <is>
          <t>TVS</t>
        </is>
      </c>
      <c r="K840" t="inlineStr">
        <is>
          <t>19-12.5-3.25-CEW-CEW-0.588</t>
        </is>
      </c>
    </row>
    <row r="841">
      <c r="A841" t="inlineStr">
        <is>
          <t>0000187884</t>
        </is>
      </c>
      <c r="B841" t="inlineStr">
        <is>
          <t>Rajsriya Automotive Ind.P.Ltd Unit-</t>
        </is>
      </c>
      <c r="C841" t="inlineStr">
        <is>
          <t>NOS</t>
        </is>
      </c>
      <c r="D841" t="n">
        <v>460.786</v>
      </c>
      <c r="E841" t="n">
        <v>271.115</v>
      </c>
      <c r="F841" t="n">
        <v>1938191</v>
      </c>
      <c r="G841" t="inlineStr">
        <is>
          <t>19-12.5-3.25-CEW-CEW</t>
        </is>
      </c>
      <c r="H841" t="n">
        <v>342.364</v>
      </c>
      <c r="I841" t="inlineStr">
        <is>
          <t>TUB-I-C-AUT-AD-FC-12.50X3.250X0.5880</t>
        </is>
      </c>
      <c r="J841" t="inlineStr">
        <is>
          <t>TVS</t>
        </is>
      </c>
      <c r="K841" t="inlineStr">
        <is>
          <t>19-12.5-3.25-CEW-CEW-0.588</t>
        </is>
      </c>
    </row>
    <row r="842">
      <c r="A842" t="inlineStr">
        <is>
          <t>0000944141</t>
        </is>
      </c>
      <c r="B842" t="inlineStr">
        <is>
          <t>SRIKAM HITECH ENGINEERING PRIVATE L</t>
        </is>
      </c>
      <c r="C842" t="inlineStr">
        <is>
          <t>NOS</t>
        </is>
      </c>
      <c r="D842" t="n">
        <v>123.869</v>
      </c>
      <c r="E842" t="n">
        <v>72.881</v>
      </c>
      <c r="F842" t="n">
        <v>1938191</v>
      </c>
      <c r="G842" t="inlineStr">
        <is>
          <t>19-12.5-3.25-CEW-CEW</t>
        </is>
      </c>
      <c r="H842" t="n">
        <v>92.035</v>
      </c>
      <c r="I842" t="inlineStr">
        <is>
          <t>TUB-I-C-AUT-AD-FC-12.50X3.250X0.5880</t>
        </is>
      </c>
      <c r="J842" t="inlineStr">
        <is>
          <t>TVS</t>
        </is>
      </c>
      <c r="K842" t="inlineStr">
        <is>
          <t>19-12.5-3.25-CEW-CEW-0.588</t>
        </is>
      </c>
    </row>
    <row r="843">
      <c r="A843" t="inlineStr">
        <is>
          <t>0000944141</t>
        </is>
      </c>
      <c r="B843" t="inlineStr">
        <is>
          <t>SRIKAM HITECH ENGINEERING PRIVATE L</t>
        </is>
      </c>
      <c r="C843" t="inlineStr">
        <is>
          <t>NOS</t>
        </is>
      </c>
      <c r="D843" t="n">
        <v>283.873</v>
      </c>
      <c r="E843" t="n">
        <v>167.024</v>
      </c>
      <c r="F843" t="n">
        <v>1938191</v>
      </c>
      <c r="G843" t="inlineStr">
        <is>
          <t>19-12.5-3.25-CEW-CEW</t>
        </is>
      </c>
      <c r="H843" t="n">
        <v>210.918</v>
      </c>
      <c r="I843" t="inlineStr">
        <is>
          <t>TUB-I-C-AUT-AD-FC-12.50X3.250X0.5880</t>
        </is>
      </c>
      <c r="J843" t="inlineStr">
        <is>
          <t>TVS</t>
        </is>
      </c>
      <c r="K843" t="inlineStr">
        <is>
          <t>19-12.5-3.25-CEW-CEW-0.588</t>
        </is>
      </c>
    </row>
    <row r="844">
      <c r="A844" t="inlineStr">
        <is>
          <t>0000944141</t>
        </is>
      </c>
      <c r="B844" t="inlineStr">
        <is>
          <t>SRIKAM HITECH ENGINEERING PRIVATE L</t>
        </is>
      </c>
      <c r="C844" t="inlineStr">
        <is>
          <t>NOS</t>
        </is>
      </c>
      <c r="D844" t="n">
        <v>592.258</v>
      </c>
      <c r="E844" t="n">
        <v>348.47</v>
      </c>
      <c r="F844" t="n">
        <v>1938191</v>
      </c>
      <c r="G844" t="inlineStr">
        <is>
          <t>19-12.5-3.25-CEW-CEW</t>
        </is>
      </c>
      <c r="H844" t="n">
        <v>440.048</v>
      </c>
      <c r="I844" t="inlineStr">
        <is>
          <t>TUB-I-C-AUT-AD-FC-12.50X3.250X0.5880</t>
        </is>
      </c>
      <c r="J844" t="inlineStr">
        <is>
          <t>TVS</t>
        </is>
      </c>
      <c r="K844" t="inlineStr">
        <is>
          <t>19-12.5-3.25-CEW-CEW-0.588</t>
        </is>
      </c>
    </row>
    <row r="845">
      <c r="A845" t="inlineStr">
        <is>
          <t>0000944141</t>
        </is>
      </c>
      <c r="B845" t="inlineStr">
        <is>
          <t>SRIKAM HITECH ENGINEERING PRIVATE L</t>
        </is>
      </c>
      <c r="C845" t="inlineStr">
        <is>
          <t>NOS</t>
        </is>
      </c>
      <c r="D845" t="n">
        <v>3020</v>
      </c>
      <c r="E845" t="n">
        <v>1776.893</v>
      </c>
      <c r="F845" t="n">
        <v>1938191</v>
      </c>
      <c r="G845" t="inlineStr">
        <is>
          <t>19-12.5-3.25-CEW-CEW</t>
        </is>
      </c>
      <c r="H845" t="n">
        <v>2243.86</v>
      </c>
      <c r="I845" t="inlineStr">
        <is>
          <t>TUB-I-C-AUT-AD-FC-12.50X3.250X0.5880</t>
        </is>
      </c>
      <c r="J845" t="inlineStr">
        <is>
          <t>TVS</t>
        </is>
      </c>
      <c r="K845" t="inlineStr">
        <is>
          <t>19-12.5-3.25-CEW-CEW-0.588</t>
        </is>
      </c>
    </row>
    <row r="846">
      <c r="A846" t="inlineStr">
        <is>
          <t>0000188415</t>
        </is>
      </c>
      <c r="B846" t="inlineStr">
        <is>
          <t>Rajsriya Automotive Industries(P)</t>
        </is>
      </c>
      <c r="C846" t="inlineStr">
        <is>
          <t>NOS</t>
        </is>
      </c>
      <c r="D846" t="n">
        <v>1324</v>
      </c>
      <c r="E846" t="n">
        <v>1151.744</v>
      </c>
      <c r="F846" t="n">
        <v>1940837</v>
      </c>
      <c r="G846" t="inlineStr">
        <is>
          <t>40-30-2-ERW 1-FC</t>
        </is>
      </c>
      <c r="H846" t="n">
        <v>2412.328</v>
      </c>
      <c r="I846" t="inlineStr">
        <is>
          <t>TUB-R-AW-RHS-40.00X30.00X2.000X0.8700</t>
        </is>
      </c>
      <c r="J846" t="inlineStr">
        <is>
          <t>TVS</t>
        </is>
      </c>
      <c r="K846" t="inlineStr">
        <is>
          <t>40-30-2-ERW 1-FC-0.87</t>
        </is>
      </c>
    </row>
    <row r="847">
      <c r="A847" t="inlineStr">
        <is>
          <t>0000188415</t>
        </is>
      </c>
      <c r="B847" t="inlineStr">
        <is>
          <t>Rajsriya Automotive Industries(P)</t>
        </is>
      </c>
      <c r="C847" t="inlineStr">
        <is>
          <t>NOS</t>
        </is>
      </c>
      <c r="D847" t="n">
        <v>1319</v>
      </c>
      <c r="E847" t="n">
        <v>1147.395</v>
      </c>
      <c r="F847" t="n">
        <v>1940837</v>
      </c>
      <c r="G847" t="inlineStr">
        <is>
          <t>40-30-2-ERW 1-FC</t>
        </is>
      </c>
      <c r="H847" t="n">
        <v>2403.218</v>
      </c>
      <c r="I847" t="inlineStr">
        <is>
          <t>TUB-R-AW-RHS-40.00X30.00X2.000X0.8700</t>
        </is>
      </c>
      <c r="J847" t="inlineStr">
        <is>
          <t>TVS</t>
        </is>
      </c>
      <c r="K847" t="inlineStr">
        <is>
          <t>40-30-2-ERW 1-FC-0.87</t>
        </is>
      </c>
    </row>
    <row r="848">
      <c r="A848" t="inlineStr">
        <is>
          <t>0000188415</t>
        </is>
      </c>
      <c r="B848" t="inlineStr">
        <is>
          <t>Rajsriya Automotive Industries(P)</t>
        </is>
      </c>
      <c r="C848" t="inlineStr">
        <is>
          <t>NOS</t>
        </is>
      </c>
      <c r="D848" t="n">
        <v>357</v>
      </c>
      <c r="E848" t="n">
        <v>310.553</v>
      </c>
      <c r="F848" t="n">
        <v>1940837</v>
      </c>
      <c r="G848" t="inlineStr">
        <is>
          <t>40-30-2-ERW 1-FC</t>
        </is>
      </c>
      <c r="H848" t="n">
        <v>650.454</v>
      </c>
      <c r="I848" t="inlineStr">
        <is>
          <t>TUB-R-AW-RHS-40.00X30.00X2.000X0.8700</t>
        </is>
      </c>
      <c r="J848" t="inlineStr">
        <is>
          <t>TVS</t>
        </is>
      </c>
      <c r="K848" t="inlineStr">
        <is>
          <t>40-30-2-ERW 1-FC-0.87</t>
        </is>
      </c>
    </row>
    <row r="849">
      <c r="A849" t="inlineStr">
        <is>
          <t>0000189481</t>
        </is>
      </c>
      <c r="B849" t="inlineStr">
        <is>
          <t>Rajsriya Automotive Industries</t>
        </is>
      </c>
      <c r="C849" t="inlineStr">
        <is>
          <t>NOS</t>
        </is>
      </c>
      <c r="D849" t="n">
        <v>1142</v>
      </c>
      <c r="E849" t="n">
        <v>993.423</v>
      </c>
      <c r="F849" t="n">
        <v>1940837</v>
      </c>
      <c r="G849" t="inlineStr">
        <is>
          <t>40-30-2-ERW 1-FC</t>
        </is>
      </c>
      <c r="H849" t="n">
        <v>2080.724</v>
      </c>
      <c r="I849" t="inlineStr">
        <is>
          <t>TUB-R-AW-RHS-40.00X30.00X2.000X0.8700</t>
        </is>
      </c>
      <c r="J849" t="inlineStr">
        <is>
          <t>TVS</t>
        </is>
      </c>
      <c r="K849" t="inlineStr">
        <is>
          <t>40-30-2-ERW 1-FC-0.87</t>
        </is>
      </c>
    </row>
    <row r="850">
      <c r="A850" t="inlineStr">
        <is>
          <t>0000189481</t>
        </is>
      </c>
      <c r="B850" t="inlineStr">
        <is>
          <t>Rajsriya Automotive Industries</t>
        </is>
      </c>
      <c r="C850" t="inlineStr">
        <is>
          <t>NOS</t>
        </is>
      </c>
      <c r="D850" t="n">
        <v>850</v>
      </c>
      <c r="E850" t="n">
        <v>739.413</v>
      </c>
      <c r="F850" t="n">
        <v>1940837</v>
      </c>
      <c r="G850" t="inlineStr">
        <is>
          <t>40-30-2-ERW 1-FC</t>
        </is>
      </c>
      <c r="H850" t="n">
        <v>1548.7</v>
      </c>
      <c r="I850" t="inlineStr">
        <is>
          <t>TUB-R-AW-RHS-40.00X30.00X2.000X0.8700</t>
        </is>
      </c>
      <c r="J850" t="inlineStr">
        <is>
          <t>TVS</t>
        </is>
      </c>
      <c r="K850" t="inlineStr">
        <is>
          <t>40-30-2-ERW 1-FC-0.87</t>
        </is>
      </c>
    </row>
    <row r="851">
      <c r="A851" t="inlineStr">
        <is>
          <t>0000189481</t>
        </is>
      </c>
      <c r="B851" t="inlineStr">
        <is>
          <t>Rajsriya Automotive Industries</t>
        </is>
      </c>
      <c r="C851" t="inlineStr">
        <is>
          <t>NOS</t>
        </is>
      </c>
      <c r="D851" t="n">
        <v>133</v>
      </c>
      <c r="E851" t="n">
        <v>115.696</v>
      </c>
      <c r="F851" t="n">
        <v>1940837</v>
      </c>
      <c r="G851" t="inlineStr">
        <is>
          <t>40-30-2-ERW 1-FC</t>
        </is>
      </c>
      <c r="H851" t="n">
        <v>242.326</v>
      </c>
      <c r="I851" t="inlineStr">
        <is>
          <t>TUB-R-AW-RHS-40.00X30.00X2.000X0.8700</t>
        </is>
      </c>
      <c r="J851" t="inlineStr">
        <is>
          <t>TVS</t>
        </is>
      </c>
      <c r="K851" t="inlineStr">
        <is>
          <t>40-30-2-ERW 1-FC-0.87</t>
        </is>
      </c>
    </row>
    <row r="852">
      <c r="A852" t="inlineStr">
        <is>
          <t>0000189481</t>
        </is>
      </c>
      <c r="B852" t="inlineStr">
        <is>
          <t>Rajsriya Automotive Industries</t>
        </is>
      </c>
      <c r="C852" t="inlineStr">
        <is>
          <t>NOS</t>
        </is>
      </c>
      <c r="D852" t="n">
        <v>677</v>
      </c>
      <c r="E852" t="n">
        <v>588.921</v>
      </c>
      <c r="F852" t="n">
        <v>1940837</v>
      </c>
      <c r="G852" t="inlineStr">
        <is>
          <t>40-30-2-ERW 1-FC</t>
        </is>
      </c>
      <c r="H852" t="n">
        <v>1233.494</v>
      </c>
      <c r="I852" t="inlineStr">
        <is>
          <t>TUB-R-AW-RHS-40.00X30.00X2.000X0.8700</t>
        </is>
      </c>
      <c r="J852" t="inlineStr">
        <is>
          <t>TVS</t>
        </is>
      </c>
      <c r="K852" t="inlineStr">
        <is>
          <t>40-30-2-ERW 1-FC-0.87</t>
        </is>
      </c>
    </row>
    <row r="853">
      <c r="A853" t="inlineStr">
        <is>
          <t>0000189481</t>
        </is>
      </c>
      <c r="B853" t="inlineStr">
        <is>
          <t>Rajsriya Automotive Industries</t>
        </is>
      </c>
      <c r="C853" t="inlineStr">
        <is>
          <t>NOS</t>
        </is>
      </c>
      <c r="D853" t="n">
        <v>655</v>
      </c>
      <c r="E853" t="n">
        <v>569.783</v>
      </c>
      <c r="F853" t="n">
        <v>1940837</v>
      </c>
      <c r="G853" t="inlineStr">
        <is>
          <t>40-30-2-ERW 1-FC</t>
        </is>
      </c>
      <c r="H853" t="n">
        <v>1193.41</v>
      </c>
      <c r="I853" t="inlineStr">
        <is>
          <t>TUB-R-AW-RHS-40.00X30.00X2.000X0.8700</t>
        </is>
      </c>
      <c r="J853" t="inlineStr">
        <is>
          <t>TVS</t>
        </is>
      </c>
      <c r="K853" t="inlineStr">
        <is>
          <t>40-30-2-ERW 1-FC-0.87</t>
        </is>
      </c>
    </row>
    <row r="854">
      <c r="A854" t="inlineStr">
        <is>
          <t>0000189481</t>
        </is>
      </c>
      <c r="B854" t="inlineStr">
        <is>
          <t>Rajsriya Automotive Industries</t>
        </is>
      </c>
      <c r="C854" t="inlineStr">
        <is>
          <t>NOS</t>
        </is>
      </c>
      <c r="D854" t="n">
        <v>620</v>
      </c>
      <c r="E854" t="n">
        <v>539.336</v>
      </c>
      <c r="F854" t="n">
        <v>1940837</v>
      </c>
      <c r="G854" t="inlineStr">
        <is>
          <t>40-30-2-ERW 1-FC</t>
        </is>
      </c>
      <c r="H854" t="n">
        <v>1129.64</v>
      </c>
      <c r="I854" t="inlineStr">
        <is>
          <t>TUB-R-AW-RHS-40.00X30.00X2.000X0.8700</t>
        </is>
      </c>
      <c r="J854" t="inlineStr">
        <is>
          <t>TVS</t>
        </is>
      </c>
      <c r="K854" t="inlineStr">
        <is>
          <t>40-30-2-ERW 1-FC-0.87</t>
        </is>
      </c>
    </row>
    <row r="855">
      <c r="A855" t="inlineStr">
        <is>
          <t>0000189481</t>
        </is>
      </c>
      <c r="B855" t="inlineStr">
        <is>
          <t>Rajsriya Automotive Industries</t>
        </is>
      </c>
      <c r="C855" t="inlineStr">
        <is>
          <t>NOS</t>
        </is>
      </c>
      <c r="D855" t="n">
        <v>590</v>
      </c>
      <c r="E855" t="n">
        <v>513.239</v>
      </c>
      <c r="F855" t="n">
        <v>1940837</v>
      </c>
      <c r="G855" t="inlineStr">
        <is>
          <t>40-30-2-ERW 1-FC</t>
        </is>
      </c>
      <c r="H855" t="n">
        <v>1074.98</v>
      </c>
      <c r="I855" t="inlineStr">
        <is>
          <t>TUB-R-AW-RHS-40.00X30.00X2.000X0.8700</t>
        </is>
      </c>
      <c r="J855" t="inlineStr">
        <is>
          <t>TVS</t>
        </is>
      </c>
      <c r="K855" t="inlineStr">
        <is>
          <t>40-30-2-ERW 1-FC-0.87</t>
        </is>
      </c>
    </row>
    <row r="856">
      <c r="A856" t="inlineStr">
        <is>
          <t>0000189481</t>
        </is>
      </c>
      <c r="B856" t="inlineStr">
        <is>
          <t>Rajsriya Automotive Industries</t>
        </is>
      </c>
      <c r="C856" t="inlineStr">
        <is>
          <t>NOS</t>
        </is>
      </c>
      <c r="D856" t="n">
        <v>549</v>
      </c>
      <c r="E856" t="n">
        <v>477.574</v>
      </c>
      <c r="F856" t="n">
        <v>1940837</v>
      </c>
      <c r="G856" t="inlineStr">
        <is>
          <t>40-30-2-ERW 1-FC</t>
        </is>
      </c>
      <c r="H856" t="n">
        <v>1000.278</v>
      </c>
      <c r="I856" t="inlineStr">
        <is>
          <t>TUB-R-AW-RHS-40.00X30.00X2.000X0.8700</t>
        </is>
      </c>
      <c r="J856" t="inlineStr">
        <is>
          <t>TVS</t>
        </is>
      </c>
      <c r="K856" t="inlineStr">
        <is>
          <t>40-30-2-ERW 1-FC-0.87</t>
        </is>
      </c>
    </row>
    <row r="857">
      <c r="A857" t="inlineStr">
        <is>
          <t>0000189481</t>
        </is>
      </c>
      <c r="B857" t="inlineStr">
        <is>
          <t>Rajsriya Automotive Industries</t>
        </is>
      </c>
      <c r="C857" t="inlineStr">
        <is>
          <t>NOS</t>
        </is>
      </c>
      <c r="D857" t="n">
        <v>500</v>
      </c>
      <c r="E857" t="n">
        <v>434.949</v>
      </c>
      <c r="F857" t="n">
        <v>1940837</v>
      </c>
      <c r="G857" t="inlineStr">
        <is>
          <t>40-30-2-ERW 1-FC</t>
        </is>
      </c>
      <c r="H857" t="n">
        <v>911</v>
      </c>
      <c r="I857" t="inlineStr">
        <is>
          <t>TUB-R-AW-RHS-40.00X30.00X2.000X0.8700</t>
        </is>
      </c>
      <c r="J857" t="inlineStr">
        <is>
          <t>TVS</t>
        </is>
      </c>
      <c r="K857" t="inlineStr">
        <is>
          <t>40-30-2-ERW 1-FC-0.87</t>
        </is>
      </c>
    </row>
    <row r="858">
      <c r="A858" t="inlineStr">
        <is>
          <t>0000189481</t>
        </is>
      </c>
      <c r="B858" t="inlineStr">
        <is>
          <t>Rajsriya Automotive Industries</t>
        </is>
      </c>
      <c r="C858" t="inlineStr">
        <is>
          <t>NOS</t>
        </is>
      </c>
      <c r="D858" t="n">
        <v>334</v>
      </c>
      <c r="E858" t="n">
        <v>290.546</v>
      </c>
      <c r="F858" t="n">
        <v>1940837</v>
      </c>
      <c r="G858" t="inlineStr">
        <is>
          <t>40-30-2-ERW 1-FC</t>
        </is>
      </c>
      <c r="H858" t="n">
        <v>608.548</v>
      </c>
      <c r="I858" t="inlineStr">
        <is>
          <t>TUB-R-AW-RHS-40.00X30.00X2.000X0.8700</t>
        </is>
      </c>
      <c r="J858" t="inlineStr">
        <is>
          <t>TVS</t>
        </is>
      </c>
      <c r="K858" t="inlineStr">
        <is>
          <t>40-30-2-ERW 1-FC-0.87</t>
        </is>
      </c>
    </row>
    <row r="859">
      <c r="A859" t="inlineStr">
        <is>
          <t>0000189481</t>
        </is>
      </c>
      <c r="B859" t="inlineStr">
        <is>
          <t>Rajsriya Automotive Industries</t>
        </is>
      </c>
      <c r="C859" t="inlineStr">
        <is>
          <t>NOS</t>
        </is>
      </c>
      <c r="D859" t="n">
        <v>332</v>
      </c>
      <c r="E859" t="n">
        <v>288.806</v>
      </c>
      <c r="F859" t="n">
        <v>1940837</v>
      </c>
      <c r="G859" t="inlineStr">
        <is>
          <t>40-30-2-ERW 1-FC</t>
        </is>
      </c>
      <c r="H859" t="n">
        <v>604.904</v>
      </c>
      <c r="I859" t="inlineStr">
        <is>
          <t>TUB-R-AW-RHS-40.00X30.00X2.000X0.8700</t>
        </is>
      </c>
      <c r="J859" t="inlineStr">
        <is>
          <t>TVS</t>
        </is>
      </c>
      <c r="K859" t="inlineStr">
        <is>
          <t>40-30-2-ERW 1-FC-0.87</t>
        </is>
      </c>
    </row>
    <row r="860">
      <c r="A860" t="inlineStr">
        <is>
          <t>0000189481</t>
        </is>
      </c>
      <c r="B860" t="inlineStr">
        <is>
          <t>Rajsriya Automotive Industries</t>
        </is>
      </c>
      <c r="C860" t="inlineStr">
        <is>
          <t>NOS</t>
        </is>
      </c>
      <c r="D860" t="n">
        <v>239</v>
      </c>
      <c r="E860" t="n">
        <v>207.905</v>
      </c>
      <c r="F860" t="n">
        <v>1940837</v>
      </c>
      <c r="G860" t="inlineStr">
        <is>
          <t>40-30-2-ERW 1-FC</t>
        </is>
      </c>
      <c r="H860" t="n">
        <v>435.458</v>
      </c>
      <c r="I860" t="inlineStr">
        <is>
          <t>TUB-R-AW-RHS-40.00X30.00X2.000X0.8700</t>
        </is>
      </c>
      <c r="J860" t="inlineStr">
        <is>
          <t>TVS</t>
        </is>
      </c>
      <c r="K860" t="inlineStr">
        <is>
          <t>40-30-2-ERW 1-FC-0.87</t>
        </is>
      </c>
    </row>
    <row r="861">
      <c r="A861" t="inlineStr">
        <is>
          <t>0000189481</t>
        </is>
      </c>
      <c r="B861" t="inlineStr">
        <is>
          <t>Rajsriya Automotive Industries</t>
        </is>
      </c>
      <c r="C861" t="inlineStr">
        <is>
          <t>NOS</t>
        </is>
      </c>
      <c r="D861" t="n">
        <v>229</v>
      </c>
      <c r="E861" t="n">
        <v>199.206</v>
      </c>
      <c r="F861" t="n">
        <v>1940837</v>
      </c>
      <c r="G861" t="inlineStr">
        <is>
          <t>40-30-2-ERW 1-FC</t>
        </is>
      </c>
      <c r="H861" t="n">
        <v>417.238</v>
      </c>
      <c r="I861" t="inlineStr">
        <is>
          <t>TUB-R-AW-RHS-40.00X30.00X2.000X0.8700</t>
        </is>
      </c>
      <c r="J861" t="inlineStr">
        <is>
          <t>TVS</t>
        </is>
      </c>
      <c r="K861" t="inlineStr">
        <is>
          <t>40-30-2-ERW 1-FC-0.87</t>
        </is>
      </c>
    </row>
    <row r="862">
      <c r="A862" t="inlineStr">
        <is>
          <t>0000189481</t>
        </is>
      </c>
      <c r="B862" t="inlineStr">
        <is>
          <t>Rajsriya Automotive Industries</t>
        </is>
      </c>
      <c r="C862" t="inlineStr">
        <is>
          <t>NOS</t>
        </is>
      </c>
      <c r="D862" t="n">
        <v>108</v>
      </c>
      <c r="E862" t="n">
        <v>93.949</v>
      </c>
      <c r="F862" t="n">
        <v>1940837</v>
      </c>
      <c r="G862" t="inlineStr">
        <is>
          <t>40-30-2-ERW 1-FC</t>
        </is>
      </c>
      <c r="H862" t="n">
        <v>196.776</v>
      </c>
      <c r="I862" t="inlineStr">
        <is>
          <t>TUB-R-AW-RHS-40.00X30.00X2.000X0.8700</t>
        </is>
      </c>
      <c r="J862" t="inlineStr">
        <is>
          <t>TVS</t>
        </is>
      </c>
      <c r="K862" t="inlineStr">
        <is>
          <t>40-30-2-ERW 1-FC-0.87</t>
        </is>
      </c>
    </row>
    <row r="863">
      <c r="A863" t="inlineStr">
        <is>
          <t>0000189481</t>
        </is>
      </c>
      <c r="B863" t="inlineStr">
        <is>
          <t>Rajsriya Automotive Industries</t>
        </is>
      </c>
      <c r="C863" t="inlineStr">
        <is>
          <t>NOS</t>
        </is>
      </c>
      <c r="D863" t="n">
        <v>13</v>
      </c>
      <c r="E863" t="n">
        <v>11.309</v>
      </c>
      <c r="F863" t="n">
        <v>1940837</v>
      </c>
      <c r="G863" t="inlineStr">
        <is>
          <t>40-30-2-ERW 1-FC</t>
        </is>
      </c>
      <c r="H863" t="n">
        <v>23.686</v>
      </c>
      <c r="I863" t="inlineStr">
        <is>
          <t>TUB-R-AW-RHS-40.00X30.00X2.000X0.8700</t>
        </is>
      </c>
      <c r="J863" t="inlineStr">
        <is>
          <t>TVS</t>
        </is>
      </c>
      <c r="K863" t="inlineStr">
        <is>
          <t>40-30-2-ERW 1-FC-0.87</t>
        </is>
      </c>
    </row>
    <row r="864">
      <c r="A864" t="inlineStr">
        <is>
          <t>0000189481</t>
        </is>
      </c>
      <c r="B864" t="inlineStr">
        <is>
          <t>Rajsriya Automotive Industries</t>
        </is>
      </c>
      <c r="C864" t="inlineStr">
        <is>
          <t>NOS</t>
        </is>
      </c>
      <c r="D864" t="n">
        <v>8</v>
      </c>
      <c r="E864" t="n">
        <v>6.959</v>
      </c>
      <c r="F864" t="n">
        <v>1940837</v>
      </c>
      <c r="G864" t="inlineStr">
        <is>
          <t>40-30-2-ERW 1-FC</t>
        </is>
      </c>
      <c r="H864" t="n">
        <v>14.576</v>
      </c>
      <c r="I864" t="inlineStr">
        <is>
          <t>TUB-R-AW-RHS-40.00X30.00X2.000X0.8700</t>
        </is>
      </c>
      <c r="J864" t="inlineStr">
        <is>
          <t>TVS</t>
        </is>
      </c>
      <c r="K864" t="inlineStr">
        <is>
          <t>40-30-2-ERW 1-FC-0.87</t>
        </is>
      </c>
    </row>
    <row r="865">
      <c r="A865" t="inlineStr">
        <is>
          <t>0000189481</t>
        </is>
      </c>
      <c r="B865" t="inlineStr">
        <is>
          <t>Rajsriya Automotive Industries</t>
        </is>
      </c>
      <c r="C865" t="inlineStr">
        <is>
          <t>NOS</t>
        </is>
      </c>
      <c r="D865" t="n">
        <v>5</v>
      </c>
      <c r="E865" t="n">
        <v>4.349</v>
      </c>
      <c r="F865" t="n">
        <v>1940837</v>
      </c>
      <c r="G865" t="inlineStr">
        <is>
          <t>40-30-2-ERW 1-FC</t>
        </is>
      </c>
      <c r="H865" t="n">
        <v>9.109999999999999</v>
      </c>
      <c r="I865" t="inlineStr">
        <is>
          <t>TUB-R-AW-RHS-40.00X30.00X2.000X0.8700</t>
        </is>
      </c>
      <c r="J865" t="inlineStr">
        <is>
          <t>TVS</t>
        </is>
      </c>
      <c r="K865" t="inlineStr">
        <is>
          <t>40-30-2-ERW 1-FC-0.87</t>
        </is>
      </c>
    </row>
    <row r="866">
      <c r="A866" t="inlineStr">
        <is>
          <t>0000188415</t>
        </is>
      </c>
      <c r="B866" t="inlineStr">
        <is>
          <t>Rajsriya Automotive Industries(P)</t>
        </is>
      </c>
      <c r="C866" t="inlineStr">
        <is>
          <t>M</t>
        </is>
      </c>
      <c r="D866" t="n">
        <v>188</v>
      </c>
      <c r="E866" t="n">
        <v>1165.664</v>
      </c>
      <c r="F866" t="n">
        <v>3775569</v>
      </c>
      <c r="G866" t="inlineStr">
        <is>
          <t>19-12.5-3.25-CEW-CEW</t>
        </is>
      </c>
      <c r="H866" t="n">
        <v>1472</v>
      </c>
      <c r="I866" t="inlineStr">
        <is>
          <t>TUB-I-C-AUT-AD-FC-12.50X3.250X6.2000</t>
        </is>
      </c>
      <c r="J866" t="inlineStr">
        <is>
          <t>TVS</t>
        </is>
      </c>
      <c r="K866" t="inlineStr">
        <is>
          <t>19-12.5-3.25-CEW-CEW-1</t>
        </is>
      </c>
    </row>
    <row r="867">
      <c r="A867" t="inlineStr">
        <is>
          <t>0000188415</t>
        </is>
      </c>
      <c r="B867" t="inlineStr">
        <is>
          <t>Rajsriya Automotive Industries(P)</t>
        </is>
      </c>
      <c r="C867" t="inlineStr">
        <is>
          <t>M</t>
        </is>
      </c>
      <c r="D867" t="n">
        <v>221</v>
      </c>
      <c r="E867" t="n">
        <v>1369.971</v>
      </c>
      <c r="F867" t="n">
        <v>3775569</v>
      </c>
      <c r="G867" t="inlineStr">
        <is>
          <t>19-12.5-3.25-CEW-CEW</t>
        </is>
      </c>
      <c r="H867" t="n">
        <v>1729.999</v>
      </c>
      <c r="I867" t="inlineStr">
        <is>
          <t>TUB-I-C-AUT-AD-FC-12.50X3.250X6.2000</t>
        </is>
      </c>
      <c r="J867" t="inlineStr">
        <is>
          <t>TVS</t>
        </is>
      </c>
      <c r="K867" t="inlineStr">
        <is>
          <t>19-12.5-3.25-CEW-CEW-1</t>
        </is>
      </c>
    </row>
    <row r="868">
      <c r="A868" t="inlineStr">
        <is>
          <t>0000188415</t>
        </is>
      </c>
      <c r="B868" t="inlineStr">
        <is>
          <t>Rajsriya Automotive Industries(P)</t>
        </is>
      </c>
      <c r="C868" t="inlineStr">
        <is>
          <t>M</t>
        </is>
      </c>
      <c r="D868" t="n">
        <v>225</v>
      </c>
      <c r="E868" t="n">
        <v>1394.52</v>
      </c>
      <c r="F868" t="n">
        <v>3775569</v>
      </c>
      <c r="G868" t="inlineStr">
        <is>
          <t>19-12.5-3.25-CEW-CEW</t>
        </is>
      </c>
      <c r="H868" t="n">
        <v>1761</v>
      </c>
      <c r="I868" t="inlineStr">
        <is>
          <t>TUB-I-C-AUT-AD-FC-12.50X3.250X6.2000</t>
        </is>
      </c>
      <c r="J868" t="inlineStr">
        <is>
          <t>TVS</t>
        </is>
      </c>
      <c r="K868" t="inlineStr">
        <is>
          <t>19-12.5-3.25-CEW-CEW-1</t>
        </is>
      </c>
    </row>
    <row r="869">
      <c r="A869" t="inlineStr">
        <is>
          <t>0000188415</t>
        </is>
      </c>
      <c r="B869" t="inlineStr">
        <is>
          <t>Rajsriya Automotive Industries(P)</t>
        </is>
      </c>
      <c r="C869" t="inlineStr">
        <is>
          <t>M</t>
        </is>
      </c>
      <c r="D869" t="n">
        <v>217</v>
      </c>
      <c r="E869" t="n">
        <v>1344.845</v>
      </c>
      <c r="F869" t="n">
        <v>3775569</v>
      </c>
      <c r="G869" t="inlineStr">
        <is>
          <t>19-12.5-3.25-CEW-CEW</t>
        </is>
      </c>
      <c r="H869" t="n">
        <v>1698.27</v>
      </c>
      <c r="I869" t="inlineStr">
        <is>
          <t>TUB-I-C-AUT-AD-FC-12.50X3.250X6.2000</t>
        </is>
      </c>
      <c r="J869" t="inlineStr">
        <is>
          <t>TVS</t>
        </is>
      </c>
      <c r="K869" t="inlineStr">
        <is>
          <t>19-12.5-3.25-CEW-CEW-1</t>
        </is>
      </c>
    </row>
    <row r="870">
      <c r="A870" t="inlineStr">
        <is>
          <t>0000189239</t>
        </is>
      </c>
      <c r="B870" t="inlineStr">
        <is>
          <t>Rajsriya Automotive Ind. Pvt Ltd</t>
        </is>
      </c>
      <c r="C870" t="inlineStr">
        <is>
          <t>NOS</t>
        </is>
      </c>
      <c r="D870" t="n">
        <v>6800</v>
      </c>
      <c r="E870" t="n">
        <v>2730.689</v>
      </c>
      <c r="F870" t="n">
        <v>1940399</v>
      </c>
      <c r="G870" t="inlineStr">
        <is>
          <t>22.23-0-1.6-ERW 1-PE</t>
        </is>
      </c>
      <c r="H870" t="n">
        <v>2223.6</v>
      </c>
      <c r="I870" t="inlineStr">
        <is>
          <t>TUB-O-O-AUT-AW-PE-22.23X1.600X0.4010</t>
        </is>
      </c>
      <c r="J870" t="inlineStr">
        <is>
          <t>TVS</t>
        </is>
      </c>
      <c r="K870" t="inlineStr">
        <is>
          <t>22.23-0-1.6-ERW 1-PE-0.401</t>
        </is>
      </c>
    </row>
    <row r="871">
      <c r="A871" t="inlineStr">
        <is>
          <t>0000189239</t>
        </is>
      </c>
      <c r="B871" t="inlineStr">
        <is>
          <t>Rajsriya Automotive Ind. Pvt Ltd</t>
        </is>
      </c>
      <c r="C871" t="inlineStr">
        <is>
          <t>NOS</t>
        </is>
      </c>
      <c r="D871" t="n">
        <v>1368</v>
      </c>
      <c r="E871" t="n">
        <v>549.35</v>
      </c>
      <c r="F871" t="n">
        <v>1940399</v>
      </c>
      <c r="G871" t="inlineStr">
        <is>
          <t>22.23-0-1.6-ERW 1-PE</t>
        </is>
      </c>
      <c r="H871" t="n">
        <v>447.336</v>
      </c>
      <c r="I871" t="inlineStr">
        <is>
          <t>TUB-O-O-AUT-AW-PE-22.23X1.600X0.4010</t>
        </is>
      </c>
      <c r="J871" t="inlineStr">
        <is>
          <t>TVS</t>
        </is>
      </c>
      <c r="K871" t="inlineStr">
        <is>
          <t>22.23-0-1.6-ERW 1-PE-0.401</t>
        </is>
      </c>
    </row>
    <row r="872">
      <c r="A872" t="inlineStr">
        <is>
          <t>0000189239</t>
        </is>
      </c>
      <c r="B872" t="inlineStr">
        <is>
          <t>Rajsriya Automotive Ind. Pvt Ltd</t>
        </is>
      </c>
      <c r="C872" t="inlineStr">
        <is>
          <t>NOS</t>
        </is>
      </c>
      <c r="D872" t="n">
        <v>81</v>
      </c>
      <c r="E872" t="n">
        <v>32.527</v>
      </c>
      <c r="F872" t="n">
        <v>1940399</v>
      </c>
      <c r="G872" t="inlineStr">
        <is>
          <t>22.23-0-1.6-ERW 1-PE</t>
        </is>
      </c>
      <c r="H872" t="n">
        <v>26.487</v>
      </c>
      <c r="I872" t="inlineStr">
        <is>
          <t>TUB-O-O-AUT-AW-PE-22.23X1.600X0.4010</t>
        </is>
      </c>
      <c r="J872" t="inlineStr">
        <is>
          <t>TVS</t>
        </is>
      </c>
      <c r="K872" t="inlineStr">
        <is>
          <t>22.23-0-1.6-ERW 1-PE-0.401</t>
        </is>
      </c>
    </row>
    <row r="873">
      <c r="A873" t="inlineStr">
        <is>
          <t>0000189239</t>
        </is>
      </c>
      <c r="B873" t="inlineStr">
        <is>
          <t>Rajsriya Automotive Ind. Pvt Ltd</t>
        </is>
      </c>
      <c r="C873" t="inlineStr">
        <is>
          <t>NOS</t>
        </is>
      </c>
      <c r="D873" t="n">
        <v>51</v>
      </c>
      <c r="E873" t="n">
        <v>20.48</v>
      </c>
      <c r="F873" t="n">
        <v>1940399</v>
      </c>
      <c r="G873" t="inlineStr">
        <is>
          <t>22.23-0-1.6-ERW 1-PE</t>
        </is>
      </c>
      <c r="H873" t="n">
        <v>16.677</v>
      </c>
      <c r="I873" t="inlineStr">
        <is>
          <t>TUB-O-O-AUT-AW-PE-22.23X1.600X0.4010</t>
        </is>
      </c>
      <c r="J873" t="inlineStr">
        <is>
          <t>TVS</t>
        </is>
      </c>
      <c r="K873" t="inlineStr">
        <is>
          <t>22.23-0-1.6-ERW 1-PE-0.401</t>
        </is>
      </c>
    </row>
    <row r="874">
      <c r="A874" t="inlineStr">
        <is>
          <t>0000189239</t>
        </is>
      </c>
      <c r="B874" t="inlineStr">
        <is>
          <t>Rajsriya Automotive Ind. Pvt Ltd</t>
        </is>
      </c>
      <c r="C874" t="inlineStr">
        <is>
          <t>NOS</t>
        </is>
      </c>
      <c r="D874" t="n">
        <v>1892</v>
      </c>
      <c r="E874" t="n">
        <v>1212.701</v>
      </c>
      <c r="F874" t="n">
        <v>3556680</v>
      </c>
      <c r="G874" t="inlineStr">
        <is>
          <t>22.23-0-1.6-ERW 1-PE</t>
        </is>
      </c>
      <c r="H874" t="n">
        <v>987.624</v>
      </c>
      <c r="I874" t="inlineStr">
        <is>
          <t>TUB-O-N-AUT-AW-PE-22.20X1.600X0.6400</t>
        </is>
      </c>
      <c r="J874" t="inlineStr">
        <is>
          <t>TVS</t>
        </is>
      </c>
      <c r="K874" t="inlineStr">
        <is>
          <t>22.23-0-1.6-ERW 1-PE-0.64</t>
        </is>
      </c>
    </row>
    <row r="875">
      <c r="A875" t="inlineStr">
        <is>
          <t>0000189239</t>
        </is>
      </c>
      <c r="B875" t="inlineStr">
        <is>
          <t>Rajsriya Automotive Ind. Pvt Ltd</t>
        </is>
      </c>
      <c r="C875" t="inlineStr">
        <is>
          <t>NOS</t>
        </is>
      </c>
      <c r="D875" t="n">
        <v>1122</v>
      </c>
      <c r="E875" t="n">
        <v>719.16</v>
      </c>
      <c r="F875" t="n">
        <v>3556680</v>
      </c>
      <c r="G875" t="inlineStr">
        <is>
          <t>22.23-0-1.6-ERW 1-PE</t>
        </is>
      </c>
      <c r="H875" t="n">
        <v>585.684</v>
      </c>
      <c r="I875" t="inlineStr">
        <is>
          <t>TUB-O-N-AUT-AW-PE-22.20X1.600X0.6400</t>
        </is>
      </c>
      <c r="J875" t="inlineStr">
        <is>
          <t>TVS</t>
        </is>
      </c>
      <c r="K875" t="inlineStr">
        <is>
          <t>22.23-0-1.6-ERW 1-PE-0.64</t>
        </is>
      </c>
    </row>
    <row r="876">
      <c r="A876" t="inlineStr">
        <is>
          <t>0000189239</t>
        </is>
      </c>
      <c r="B876" t="inlineStr">
        <is>
          <t>Rajsriya Automotive Ind. Pvt Ltd</t>
        </is>
      </c>
      <c r="C876" t="inlineStr">
        <is>
          <t>NOS</t>
        </is>
      </c>
      <c r="D876" t="n">
        <v>11</v>
      </c>
      <c r="E876" t="n">
        <v>7.051</v>
      </c>
      <c r="F876" t="n">
        <v>3556680</v>
      </c>
      <c r="G876" t="inlineStr">
        <is>
          <t>22.23-0-1.6-ERW 1-PE</t>
        </is>
      </c>
      <c r="H876" t="n">
        <v>5.742</v>
      </c>
      <c r="I876" t="inlineStr">
        <is>
          <t>TUB-O-N-AUT-AW-PE-22.20X1.600X0.6400</t>
        </is>
      </c>
      <c r="J876" t="inlineStr">
        <is>
          <t>TVS</t>
        </is>
      </c>
      <c r="K876" t="inlineStr">
        <is>
          <t>22.23-0-1.6-ERW 1-PE-0.64</t>
        </is>
      </c>
    </row>
    <row r="877">
      <c r="A877" t="inlineStr">
        <is>
          <t>0000188595</t>
        </is>
      </c>
      <c r="B877" t="inlineStr">
        <is>
          <t>Sri Balaji Gears</t>
        </is>
      </c>
      <c r="C877" t="inlineStr">
        <is>
          <t>NOS</t>
        </is>
      </c>
      <c r="D877" t="n">
        <v>2000</v>
      </c>
      <c r="E877" t="n">
        <v>300.072</v>
      </c>
      <c r="F877" t="n">
        <v>3230486</v>
      </c>
      <c r="G877" t="inlineStr">
        <is>
          <t>19-19-1-CRFH-PE</t>
        </is>
      </c>
      <c r="H877" t="n">
        <v>166</v>
      </c>
      <c r="I877" t="inlineStr">
        <is>
          <t>TUB-S-AW-AUT-19.00X19.00X1.000X0.1500</t>
        </is>
      </c>
      <c r="J877" t="inlineStr">
        <is>
          <t>TVS</t>
        </is>
      </c>
      <c r="K877" t="inlineStr">
        <is>
          <t>19-19-1-CRFH-PE-0.15</t>
        </is>
      </c>
    </row>
    <row r="878">
      <c r="A878" t="inlineStr">
        <is>
          <t>0000944141</t>
        </is>
      </c>
      <c r="B878" t="inlineStr">
        <is>
          <t>SRIKAM HITECH ENGINEERING PRIVATE L</t>
        </is>
      </c>
      <c r="C878" t="inlineStr">
        <is>
          <t>NOS</t>
        </is>
      </c>
      <c r="D878" t="n">
        <v>2698</v>
      </c>
      <c r="E878" t="n">
        <v>2200.223</v>
      </c>
      <c r="F878" t="n">
        <v>1940287</v>
      </c>
      <c r="G878" t="inlineStr">
        <is>
          <t>19.05-0-2-ERW 1-PE</t>
        </is>
      </c>
      <c r="H878" t="n">
        <v>1850.828</v>
      </c>
      <c r="I878" t="inlineStr">
        <is>
          <t>TUB-O-O-AUT-AW-PE-19.05X2.000X0.8150</t>
        </is>
      </c>
      <c r="J878" t="inlineStr">
        <is>
          <t>TVS</t>
        </is>
      </c>
      <c r="K878" t="inlineStr">
        <is>
          <t>19.05-0-2-ERW 1-PE-0.815</t>
        </is>
      </c>
    </row>
    <row r="879">
      <c r="A879" t="inlineStr">
        <is>
          <t>0000944141</t>
        </is>
      </c>
      <c r="B879" t="inlineStr">
        <is>
          <t>SRIKAM HITECH ENGINEERING PRIVATE L</t>
        </is>
      </c>
      <c r="C879" t="inlineStr">
        <is>
          <t>NOS</t>
        </is>
      </c>
      <c r="D879" t="n">
        <v>1099</v>
      </c>
      <c r="E879" t="n">
        <v>896.236</v>
      </c>
      <c r="F879" t="n">
        <v>1940287</v>
      </c>
      <c r="G879" t="inlineStr">
        <is>
          <t>19.05-0-2-ERW 1-PE</t>
        </is>
      </c>
      <c r="H879" t="n">
        <v>753.914</v>
      </c>
      <c r="I879" t="inlineStr">
        <is>
          <t>TUB-O-O-AUT-AW-PE-19.05X2.000X0.8150</t>
        </is>
      </c>
      <c r="J879" t="inlineStr">
        <is>
          <t>TVS</t>
        </is>
      </c>
      <c r="K879" t="inlineStr">
        <is>
          <t>19.05-0-2-ERW 1-PE-0.815</t>
        </is>
      </c>
    </row>
    <row r="880">
      <c r="A880" t="inlineStr">
        <is>
          <t>0000944141</t>
        </is>
      </c>
      <c r="B880" t="inlineStr">
        <is>
          <t>SRIKAM HITECH ENGINEERING PRIVATE L</t>
        </is>
      </c>
      <c r="C880" t="inlineStr">
        <is>
          <t>NOS</t>
        </is>
      </c>
      <c r="D880" t="n">
        <v>988</v>
      </c>
      <c r="E880" t="n">
        <v>805.716</v>
      </c>
      <c r="F880" t="n">
        <v>1940287</v>
      </c>
      <c r="G880" t="inlineStr">
        <is>
          <t>19.05-0-2-ERW 1-PE</t>
        </is>
      </c>
      <c r="H880" t="n">
        <v>677.768</v>
      </c>
      <c r="I880" t="inlineStr">
        <is>
          <t>TUB-O-O-AUT-AW-PE-19.05X2.000X0.8150</t>
        </is>
      </c>
      <c r="J880" t="inlineStr">
        <is>
          <t>TVS</t>
        </is>
      </c>
      <c r="K880" t="inlineStr">
        <is>
          <t>19.05-0-2-ERW 1-PE-0.815</t>
        </is>
      </c>
    </row>
    <row r="881">
      <c r="A881" t="inlineStr">
        <is>
          <t>0000944141</t>
        </is>
      </c>
      <c r="B881" t="inlineStr">
        <is>
          <t>SRIKAM HITECH ENGINEERING PRIVATE L</t>
        </is>
      </c>
      <c r="C881" t="inlineStr">
        <is>
          <t>NOS</t>
        </is>
      </c>
      <c r="D881" t="n">
        <v>215</v>
      </c>
      <c r="E881" t="n">
        <v>175.333</v>
      </c>
      <c r="F881" t="n">
        <v>1940287</v>
      </c>
      <c r="G881" t="inlineStr">
        <is>
          <t>19.05-0-2-ERW 1-PE</t>
        </is>
      </c>
      <c r="H881" t="n">
        <v>147.49</v>
      </c>
      <c r="I881" t="inlineStr">
        <is>
          <t>TUB-O-O-AUT-AW-PE-19.05X2.000X0.8150</t>
        </is>
      </c>
      <c r="J881" t="inlineStr">
        <is>
          <t>TVS</t>
        </is>
      </c>
      <c r="K881" t="inlineStr">
        <is>
          <t>19.05-0-2-ERW 1-PE-0.815</t>
        </is>
      </c>
    </row>
    <row r="882">
      <c r="A882" t="inlineStr">
        <is>
          <t>0000944141</t>
        </is>
      </c>
      <c r="B882" t="inlineStr">
        <is>
          <t>SRIKAM HITECH ENGINEERING PRIVATE L</t>
        </is>
      </c>
      <c r="C882" t="inlineStr">
        <is>
          <t>NOS</t>
        </is>
      </c>
      <c r="D882" t="n">
        <v>4497</v>
      </c>
      <c r="E882" t="n">
        <v>3667.311</v>
      </c>
      <c r="F882" t="n">
        <v>1940287</v>
      </c>
      <c r="G882" t="inlineStr">
        <is>
          <t>19.05-0-2-ERW 1-PE</t>
        </is>
      </c>
      <c r="H882" t="n">
        <v>3084.942</v>
      </c>
      <c r="I882" t="inlineStr">
        <is>
          <t>TUB-O-O-AUT-AW-PE-19.05X2.000X0.8150</t>
        </is>
      </c>
      <c r="J882" t="inlineStr">
        <is>
          <t>TVS</t>
        </is>
      </c>
      <c r="K882" t="inlineStr">
        <is>
          <t>19.05-0-2-ERW 1-PE-0.815</t>
        </is>
      </c>
    </row>
    <row r="883">
      <c r="A883" t="inlineStr">
        <is>
          <t>0000944141</t>
        </is>
      </c>
      <c r="B883" t="inlineStr">
        <is>
          <t>SRIKAM HITECH ENGINEERING PRIVATE L</t>
        </is>
      </c>
      <c r="C883" t="inlineStr">
        <is>
          <t>NOS</t>
        </is>
      </c>
      <c r="D883" t="n">
        <v>1074</v>
      </c>
      <c r="E883" t="n">
        <v>875.849</v>
      </c>
      <c r="F883" t="n">
        <v>1940287</v>
      </c>
      <c r="G883" t="inlineStr">
        <is>
          <t>19.05-0-2-ERW 1-PE</t>
        </is>
      </c>
      <c r="H883" t="n">
        <v>736.764</v>
      </c>
      <c r="I883" t="inlineStr">
        <is>
          <t>TUB-O-O-AUT-AW-PE-19.05X2.000X0.8150</t>
        </is>
      </c>
      <c r="J883" t="inlineStr">
        <is>
          <t>TVS</t>
        </is>
      </c>
      <c r="K883" t="inlineStr">
        <is>
          <t>19.05-0-2-ERW 1-PE-0.815</t>
        </is>
      </c>
    </row>
    <row r="884">
      <c r="A884" t="inlineStr">
        <is>
          <t>0000944141</t>
        </is>
      </c>
      <c r="B884" t="inlineStr">
        <is>
          <t>SRIKAM HITECH ENGINEERING PRIVATE L</t>
        </is>
      </c>
      <c r="C884" t="inlineStr">
        <is>
          <t>NOS</t>
        </is>
      </c>
      <c r="D884" t="n">
        <v>599</v>
      </c>
      <c r="E884" t="n">
        <v>488.485</v>
      </c>
      <c r="F884" t="n">
        <v>1940287</v>
      </c>
      <c r="G884" t="inlineStr">
        <is>
          <t>19.05-0-2-ERW 1-PE</t>
        </is>
      </c>
      <c r="H884" t="n">
        <v>410.914</v>
      </c>
      <c r="I884" t="inlineStr">
        <is>
          <t>TUB-O-O-AUT-AW-PE-19.05X2.000X0.8150</t>
        </is>
      </c>
      <c r="J884" t="inlineStr">
        <is>
          <t>TVS</t>
        </is>
      </c>
      <c r="K884" t="inlineStr">
        <is>
          <t>19.05-0-2-ERW 1-PE-0.815</t>
        </is>
      </c>
    </row>
    <row r="885">
      <c r="A885" t="inlineStr">
        <is>
          <t>0000944141</t>
        </is>
      </c>
      <c r="B885" t="inlineStr">
        <is>
          <t>SRIKAM HITECH ENGINEERING PRIVATE L</t>
        </is>
      </c>
      <c r="C885" t="inlineStr">
        <is>
          <t>NOS</t>
        </is>
      </c>
      <c r="D885" t="n">
        <v>249</v>
      </c>
      <c r="E885" t="n">
        <v>203.06</v>
      </c>
      <c r="F885" t="n">
        <v>1940287</v>
      </c>
      <c r="G885" t="inlineStr">
        <is>
          <t>19.05-0-2-ERW 1-PE</t>
        </is>
      </c>
      <c r="H885" t="n">
        <v>170.814</v>
      </c>
      <c r="I885" t="inlineStr">
        <is>
          <t>TUB-O-O-AUT-AW-PE-19.05X2.000X0.8150</t>
        </is>
      </c>
      <c r="J885" t="inlineStr">
        <is>
          <t>TVS</t>
        </is>
      </c>
      <c r="K885" t="inlineStr">
        <is>
          <t>19.05-0-2-ERW 1-PE-0.815</t>
        </is>
      </c>
    </row>
    <row r="886">
      <c r="A886" t="inlineStr">
        <is>
          <t>0000944141</t>
        </is>
      </c>
      <c r="B886" t="inlineStr">
        <is>
          <t>SRIKAM HITECH ENGINEERING PRIVATE L</t>
        </is>
      </c>
      <c r="C886" t="inlineStr">
        <is>
          <t>NOS</t>
        </is>
      </c>
      <c r="D886" t="n">
        <v>6</v>
      </c>
      <c r="E886" t="n">
        <v>4.893</v>
      </c>
      <c r="F886" t="n">
        <v>1940287</v>
      </c>
      <c r="G886" t="inlineStr">
        <is>
          <t>19.05-0-2-ERW 1-PE</t>
        </is>
      </c>
      <c r="H886" t="n">
        <v>4.116</v>
      </c>
      <c r="I886" t="inlineStr">
        <is>
          <t>TUB-O-O-AUT-AW-PE-19.05X2.000X0.8150</t>
        </is>
      </c>
      <c r="J886" t="inlineStr">
        <is>
          <t>TVS</t>
        </is>
      </c>
      <c r="K886" t="inlineStr">
        <is>
          <t>19.05-0-2-ERW 1-PE-0.815</t>
        </is>
      </c>
    </row>
    <row r="887">
      <c r="A887" t="inlineStr">
        <is>
          <t>0000944141</t>
        </is>
      </c>
      <c r="B887" t="inlineStr">
        <is>
          <t>SRIKAM HITECH ENGINEERING PRIVATE L</t>
        </is>
      </c>
      <c r="C887" t="inlineStr">
        <is>
          <t>NOS</t>
        </is>
      </c>
      <c r="D887" t="n">
        <v>1750</v>
      </c>
      <c r="E887" t="n">
        <v>2288.985</v>
      </c>
      <c r="F887" t="n">
        <v>3747393</v>
      </c>
      <c r="G887" t="inlineStr">
        <is>
          <t>22.23-0-1.2-ERW 1-PE</t>
        </is>
      </c>
      <c r="H887" t="n">
        <v>1425.122</v>
      </c>
      <c r="I887" t="inlineStr">
        <is>
          <t>CUT-O-N-AUT-AW-PE-22.23X1.200X1.3080</t>
        </is>
      </c>
      <c r="J887" t="inlineStr">
        <is>
          <t>TVS</t>
        </is>
      </c>
      <c r="K887" t="inlineStr">
        <is>
          <t>22.23-0-1.2-ERW 1-PE-1.308</t>
        </is>
      </c>
    </row>
    <row r="888">
      <c r="A888" t="inlineStr">
        <is>
          <t>0000944141</t>
        </is>
      </c>
      <c r="B888" t="inlineStr">
        <is>
          <t>SRIKAM HITECH ENGINEERING PRIVATE L</t>
        </is>
      </c>
      <c r="C888" t="inlineStr">
        <is>
          <t>NOS</t>
        </is>
      </c>
      <c r="D888" t="n">
        <v>1349</v>
      </c>
      <c r="E888" t="n">
        <v>1764.481</v>
      </c>
      <c r="F888" t="n">
        <v>3747393</v>
      </c>
      <c r="G888" t="inlineStr">
        <is>
          <t>22.23-0-1.2-ERW 1-PE</t>
        </is>
      </c>
      <c r="H888" t="n">
        <v>1098.566</v>
      </c>
      <c r="I888" t="inlineStr">
        <is>
          <t>CUT-O-N-AUT-AW-PE-22.23X1.200X1.3080</t>
        </is>
      </c>
      <c r="J888" t="inlineStr">
        <is>
          <t>TVS</t>
        </is>
      </c>
      <c r="K888" t="inlineStr">
        <is>
          <t>22.23-0-1.2-ERW 1-PE-1.308</t>
        </is>
      </c>
    </row>
    <row r="889">
      <c r="A889" t="inlineStr">
        <is>
          <t>0000944141</t>
        </is>
      </c>
      <c r="B889" t="inlineStr">
        <is>
          <t>SRIKAM HITECH ENGINEERING PRIVATE L</t>
        </is>
      </c>
      <c r="C889" t="inlineStr">
        <is>
          <t>NOS</t>
        </is>
      </c>
      <c r="D889" t="n">
        <v>275</v>
      </c>
      <c r="E889" t="n">
        <v>359.698</v>
      </c>
      <c r="F889" t="n">
        <v>3747393</v>
      </c>
      <c r="G889" t="inlineStr">
        <is>
          <t>22.23-0-1.2-ERW 1-PE</t>
        </is>
      </c>
      <c r="H889" t="n">
        <v>223.948</v>
      </c>
      <c r="I889" t="inlineStr">
        <is>
          <t>CUT-O-N-AUT-AW-PE-22.23X1.200X1.3080</t>
        </is>
      </c>
      <c r="J889" t="inlineStr">
        <is>
          <t>TVS</t>
        </is>
      </c>
      <c r="K889" t="inlineStr">
        <is>
          <t>22.23-0-1.2-ERW 1-PE-1.308</t>
        </is>
      </c>
    </row>
    <row r="890">
      <c r="A890" t="inlineStr">
        <is>
          <t>0000944141</t>
        </is>
      </c>
      <c r="B890" t="inlineStr">
        <is>
          <t>SRIKAM HITECH ENGINEERING PRIVATE L</t>
        </is>
      </c>
      <c r="C890" t="inlineStr">
        <is>
          <t>NOS</t>
        </is>
      </c>
      <c r="D890" t="n">
        <v>1</v>
      </c>
      <c r="E890" t="n">
        <v>1.308</v>
      </c>
      <c r="F890" t="n">
        <v>3747393</v>
      </c>
      <c r="G890" t="inlineStr">
        <is>
          <t>22.23-0-1.2-ERW 1-PE</t>
        </is>
      </c>
      <c r="H890" t="n">
        <v>0.8139999999999999</v>
      </c>
      <c r="I890" t="inlineStr">
        <is>
          <t>CUT-O-N-AUT-AW-PE-22.23X1.200X1.3080</t>
        </is>
      </c>
      <c r="J890" t="inlineStr">
        <is>
          <t>TVS</t>
        </is>
      </c>
      <c r="K890" t="inlineStr">
        <is>
          <t>22.23-0-1.2-ERW 1-PE-1.308</t>
        </is>
      </c>
    </row>
    <row r="891">
      <c r="A891" t="inlineStr">
        <is>
          <t>0000189002</t>
        </is>
      </c>
      <c r="B891" t="inlineStr">
        <is>
          <t>Marathwada Auto Compo Pvt. Ltd.</t>
        </is>
      </c>
      <c r="C891" t="inlineStr">
        <is>
          <t>NOS</t>
        </is>
      </c>
      <c r="D891" t="n">
        <v>1000</v>
      </c>
      <c r="E891" t="n">
        <v>800.0359999999999</v>
      </c>
      <c r="F891" t="n">
        <v>3233557</v>
      </c>
      <c r="G891" t="inlineStr">
        <is>
          <t>40-20-1.2-CRFH-PE</t>
        </is>
      </c>
      <c r="H891" t="n">
        <v>881</v>
      </c>
      <c r="I891" t="inlineStr">
        <is>
          <t>TUB-R-AW-AUT-40.00X20.00X1.210X0.8000</t>
        </is>
      </c>
      <c r="J891" t="inlineStr">
        <is>
          <t>TVS</t>
        </is>
      </c>
      <c r="K891" t="inlineStr">
        <is>
          <t>40-20-1.2-CRFH-PE-0.8</t>
        </is>
      </c>
    </row>
    <row r="892">
      <c r="A892" t="inlineStr">
        <is>
          <t>0000189002</t>
        </is>
      </c>
      <c r="B892" t="inlineStr">
        <is>
          <t>Marathwada Auto Compo Pvt. Ltd.</t>
        </is>
      </c>
      <c r="C892" t="inlineStr">
        <is>
          <t>NOS</t>
        </is>
      </c>
      <c r="D892" t="n">
        <v>1000</v>
      </c>
      <c r="E892" t="n">
        <v>800.0359999999999</v>
      </c>
      <c r="F892" t="n">
        <v>3233557</v>
      </c>
      <c r="G892" t="inlineStr">
        <is>
          <t>40-20-1.2-CRFH-PE</t>
        </is>
      </c>
      <c r="H892" t="n">
        <v>881</v>
      </c>
      <c r="I892" t="inlineStr">
        <is>
          <t>TUB-R-AW-AUT-40.00X20.00X1.210X0.8000</t>
        </is>
      </c>
      <c r="J892" t="inlineStr">
        <is>
          <t>TVS</t>
        </is>
      </c>
      <c r="K892" t="inlineStr">
        <is>
          <t>40-20-1.2-CRFH-PE-0.8</t>
        </is>
      </c>
    </row>
    <row r="893">
      <c r="A893" t="inlineStr">
        <is>
          <t>0000188595</t>
        </is>
      </c>
      <c r="B893" t="inlineStr">
        <is>
          <t>Sri Balaji Gears</t>
        </is>
      </c>
      <c r="C893" t="inlineStr">
        <is>
          <t>NOS</t>
        </is>
      </c>
      <c r="D893" t="n">
        <v>599</v>
      </c>
      <c r="E893" t="n">
        <v>479.222</v>
      </c>
      <c r="F893" t="n">
        <v>3233557</v>
      </c>
      <c r="G893" t="inlineStr">
        <is>
          <t>40-20-1.2-CRFH-PE</t>
        </is>
      </c>
      <c r="H893" t="n">
        <v>527.7190000000001</v>
      </c>
      <c r="I893" t="inlineStr">
        <is>
          <t>TUB-R-AW-AUT-40.00X20.00X1.210X0.8000</t>
        </is>
      </c>
      <c r="J893" t="inlineStr">
        <is>
          <t>TVS</t>
        </is>
      </c>
      <c r="K893" t="inlineStr">
        <is>
          <t>40-20-1.2-CRFH-PE-0.8</t>
        </is>
      </c>
    </row>
    <row r="894">
      <c r="A894" t="inlineStr">
        <is>
          <t>0000188595</t>
        </is>
      </c>
      <c r="B894" t="inlineStr">
        <is>
          <t>Sri Balaji Gears</t>
        </is>
      </c>
      <c r="C894" t="inlineStr">
        <is>
          <t>NOS</t>
        </is>
      </c>
      <c r="D894" t="n">
        <v>399</v>
      </c>
      <c r="E894" t="n">
        <v>319.214</v>
      </c>
      <c r="F894" t="n">
        <v>3233557</v>
      </c>
      <c r="G894" t="inlineStr">
        <is>
          <t>40-20-1.2-CRFH-PE</t>
        </is>
      </c>
      <c r="H894" t="n">
        <v>351.519</v>
      </c>
      <c r="I894" t="inlineStr">
        <is>
          <t>TUB-R-AW-AUT-40.00X20.00X1.210X0.8000</t>
        </is>
      </c>
      <c r="J894" t="inlineStr">
        <is>
          <t>TVS</t>
        </is>
      </c>
      <c r="K894" t="inlineStr">
        <is>
          <t>40-20-1.2-CRFH-PE-0.8</t>
        </is>
      </c>
    </row>
    <row r="895">
      <c r="A895" t="inlineStr">
        <is>
          <t>0000188595</t>
        </is>
      </c>
      <c r="B895" t="inlineStr">
        <is>
          <t>Sri Balaji Gears</t>
        </is>
      </c>
      <c r="C895" t="inlineStr">
        <is>
          <t>NOS</t>
        </is>
      </c>
      <c r="D895" t="n">
        <v>2</v>
      </c>
      <c r="E895" t="n">
        <v>1.6</v>
      </c>
      <c r="F895" t="n">
        <v>3233557</v>
      </c>
      <c r="G895" t="inlineStr">
        <is>
          <t>40-20-1.2-CRFH-PE</t>
        </is>
      </c>
      <c r="H895" t="n">
        <v>1.762</v>
      </c>
      <c r="I895" t="inlineStr">
        <is>
          <t>TUB-R-AW-AUT-40.00X20.00X1.210X0.8000</t>
        </is>
      </c>
      <c r="J895" t="inlineStr">
        <is>
          <t>TVS</t>
        </is>
      </c>
      <c r="K895" t="inlineStr">
        <is>
          <t>40-20-1.2-CRFH-PE-0.8</t>
        </is>
      </c>
    </row>
    <row r="896">
      <c r="A896" t="inlineStr">
        <is>
          <t>0000189002</t>
        </is>
      </c>
      <c r="B896" t="inlineStr">
        <is>
          <t>Marathwada Auto Compo Pvt. Ltd.</t>
        </is>
      </c>
      <c r="C896" t="inlineStr">
        <is>
          <t>NOS</t>
        </is>
      </c>
      <c r="D896" t="n">
        <v>786</v>
      </c>
      <c r="E896" t="n">
        <v>628.829</v>
      </c>
      <c r="F896" t="n">
        <v>3233557</v>
      </c>
      <c r="G896" t="inlineStr">
        <is>
          <t>40-20-1.2-CRFH-PE</t>
        </is>
      </c>
      <c r="H896" t="n">
        <v>692.466</v>
      </c>
      <c r="I896" t="inlineStr">
        <is>
          <t>TUB-R-AW-AUT-40.00X20.00X1.210X0.8000</t>
        </is>
      </c>
      <c r="J896" t="inlineStr">
        <is>
          <t>TVS</t>
        </is>
      </c>
      <c r="K896" t="inlineStr">
        <is>
          <t>40-20-1.2-CRFH-PE-0.8</t>
        </is>
      </c>
    </row>
    <row r="897">
      <c r="A897" t="inlineStr">
        <is>
          <t>0000189002</t>
        </is>
      </c>
      <c r="B897" t="inlineStr">
        <is>
          <t>Marathwada Auto Compo Pvt. Ltd.</t>
        </is>
      </c>
      <c r="C897" t="inlineStr">
        <is>
          <t>NOS</t>
        </is>
      </c>
      <c r="D897" t="n">
        <v>87</v>
      </c>
      <c r="E897" t="n">
        <v>69.60299999999999</v>
      </c>
      <c r="F897" t="n">
        <v>3233557</v>
      </c>
      <c r="G897" t="inlineStr">
        <is>
          <t>40-20-1.2-CRFH-PE</t>
        </is>
      </c>
      <c r="H897" t="n">
        <v>76.64700000000001</v>
      </c>
      <c r="I897" t="inlineStr">
        <is>
          <t>TUB-R-AW-AUT-40.00X20.00X1.210X0.8000</t>
        </is>
      </c>
      <c r="J897" t="inlineStr">
        <is>
          <t>TVS</t>
        </is>
      </c>
      <c r="K897" t="inlineStr">
        <is>
          <t>40-20-1.2-CRFH-PE-0.8</t>
        </is>
      </c>
    </row>
    <row r="898">
      <c r="A898" t="inlineStr">
        <is>
          <t>0000189002</t>
        </is>
      </c>
      <c r="B898" t="inlineStr">
        <is>
          <t>Marathwada Auto Compo Pvt. Ltd.</t>
        </is>
      </c>
      <c r="C898" t="inlineStr">
        <is>
          <t>NOS</t>
        </is>
      </c>
      <c r="D898" t="n">
        <v>59</v>
      </c>
      <c r="E898" t="n">
        <v>47.202</v>
      </c>
      <c r="F898" t="n">
        <v>3233557</v>
      </c>
      <c r="G898" t="inlineStr">
        <is>
          <t>40-20-1.2-CRFH-PE</t>
        </is>
      </c>
      <c r="H898" t="n">
        <v>51.979</v>
      </c>
      <c r="I898" t="inlineStr">
        <is>
          <t>TUB-R-AW-AUT-40.00X20.00X1.210X0.8000</t>
        </is>
      </c>
      <c r="J898" t="inlineStr">
        <is>
          <t>TVS</t>
        </is>
      </c>
      <c r="K898" t="inlineStr">
        <is>
          <t>40-20-1.2-CRFH-PE-0.8</t>
        </is>
      </c>
    </row>
    <row r="899">
      <c r="A899" t="inlineStr">
        <is>
          <t>0000189002</t>
        </is>
      </c>
      <c r="B899" t="inlineStr">
        <is>
          <t>Marathwada Auto Compo Pvt. Ltd.</t>
        </is>
      </c>
      <c r="C899" t="inlineStr">
        <is>
          <t>NOS</t>
        </is>
      </c>
      <c r="D899" t="n">
        <v>58</v>
      </c>
      <c r="E899" t="n">
        <v>46.402</v>
      </c>
      <c r="F899" t="n">
        <v>3233557</v>
      </c>
      <c r="G899" t="inlineStr">
        <is>
          <t>40-20-1.2-CRFH-PE</t>
        </is>
      </c>
      <c r="H899" t="n">
        <v>51.098</v>
      </c>
      <c r="I899" t="inlineStr">
        <is>
          <t>TUB-R-AW-AUT-40.00X20.00X1.210X0.8000</t>
        </is>
      </c>
      <c r="J899" t="inlineStr">
        <is>
          <t>TVS</t>
        </is>
      </c>
      <c r="K899" t="inlineStr">
        <is>
          <t>40-20-1.2-CRFH-PE-0.8</t>
        </is>
      </c>
    </row>
    <row r="900">
      <c r="A900" t="inlineStr">
        <is>
          <t>0000189002</t>
        </is>
      </c>
      <c r="B900" t="inlineStr">
        <is>
          <t>Marathwada Auto Compo Pvt. Ltd.</t>
        </is>
      </c>
      <c r="C900" t="inlineStr">
        <is>
          <t>NOS</t>
        </is>
      </c>
      <c r="D900" t="n">
        <v>10</v>
      </c>
      <c r="E900" t="n">
        <v>8</v>
      </c>
      <c r="F900" t="n">
        <v>3233557</v>
      </c>
      <c r="G900" t="inlineStr">
        <is>
          <t>40-20-1.2-CRFH-PE</t>
        </is>
      </c>
      <c r="H900" t="n">
        <v>8.81</v>
      </c>
      <c r="I900" t="inlineStr">
        <is>
          <t>TUB-R-AW-AUT-40.00X20.00X1.210X0.8000</t>
        </is>
      </c>
      <c r="J900" t="inlineStr">
        <is>
          <t>TVS</t>
        </is>
      </c>
      <c r="K900" t="inlineStr">
        <is>
          <t>40-20-1.2-CRFH-PE-0.8</t>
        </is>
      </c>
    </row>
    <row r="901">
      <c r="A901" t="inlineStr">
        <is>
          <t>0000189002</t>
        </is>
      </c>
      <c r="B901" t="inlineStr">
        <is>
          <t>Marathwada Auto Compo Pvt. Ltd.</t>
        </is>
      </c>
      <c r="C901" t="inlineStr">
        <is>
          <t>NOS</t>
        </is>
      </c>
      <c r="D901" t="n">
        <v>1000</v>
      </c>
      <c r="E901" t="n">
        <v>800.0359999999999</v>
      </c>
      <c r="F901" t="n">
        <v>3233557</v>
      </c>
      <c r="G901" t="inlineStr">
        <is>
          <t>40-20-1.2-CRFH-PE</t>
        </is>
      </c>
      <c r="H901" t="n">
        <v>881</v>
      </c>
      <c r="I901" t="inlineStr">
        <is>
          <t>TUB-R-AW-AUT-40.00X20.00X1.210X0.8000</t>
        </is>
      </c>
      <c r="J901" t="inlineStr">
        <is>
          <t>TVS</t>
        </is>
      </c>
      <c r="K901" t="inlineStr">
        <is>
          <t>40-20-1.2-CRFH-PE-0.8</t>
        </is>
      </c>
    </row>
    <row r="902">
      <c r="A902" t="inlineStr">
        <is>
          <t>0000189002</t>
        </is>
      </c>
      <c r="B902" t="inlineStr">
        <is>
          <t>Marathwada Auto Compo Pvt. Ltd.</t>
        </is>
      </c>
      <c r="C902" t="inlineStr">
        <is>
          <t>NOS</t>
        </is>
      </c>
      <c r="D902" t="n">
        <v>1000</v>
      </c>
      <c r="E902" t="n">
        <v>800.0359999999999</v>
      </c>
      <c r="F902" t="n">
        <v>3233557</v>
      </c>
      <c r="G902" t="inlineStr">
        <is>
          <t>40-20-1.2-CRFH-PE</t>
        </is>
      </c>
      <c r="H902" t="n">
        <v>881</v>
      </c>
      <c r="I902" t="inlineStr">
        <is>
          <t>TUB-R-AW-AUT-40.00X20.00X1.210X0.8000</t>
        </is>
      </c>
      <c r="J902" t="inlineStr">
        <is>
          <t>TVS</t>
        </is>
      </c>
      <c r="K902" t="inlineStr">
        <is>
          <t>40-20-1.2-CRFH-PE-0.8</t>
        </is>
      </c>
    </row>
    <row r="903">
      <c r="A903" t="inlineStr">
        <is>
          <t>0000189002</t>
        </is>
      </c>
      <c r="B903" t="inlineStr">
        <is>
          <t>Marathwada Auto Compo Pvt. Ltd.</t>
        </is>
      </c>
      <c r="C903" t="inlineStr">
        <is>
          <t>NOS</t>
        </is>
      </c>
      <c r="D903" t="n">
        <v>1000</v>
      </c>
      <c r="E903" t="n">
        <v>800.0359999999999</v>
      </c>
      <c r="F903" t="n">
        <v>3233557</v>
      </c>
      <c r="G903" t="inlineStr">
        <is>
          <t>40-20-1.2-CRFH-PE</t>
        </is>
      </c>
      <c r="H903" t="n">
        <v>881</v>
      </c>
      <c r="I903" t="inlineStr">
        <is>
          <t>TUB-R-AW-AUT-40.00X20.00X1.210X0.8000</t>
        </is>
      </c>
      <c r="J903" t="inlineStr">
        <is>
          <t>TVS</t>
        </is>
      </c>
      <c r="K903" t="inlineStr">
        <is>
          <t>40-20-1.2-CRFH-PE-0.8</t>
        </is>
      </c>
    </row>
    <row r="904">
      <c r="A904" t="inlineStr">
        <is>
          <t>0000189002</t>
        </is>
      </c>
      <c r="B904" t="inlineStr">
        <is>
          <t>Marathwada Auto Compo Pvt. Ltd.</t>
        </is>
      </c>
      <c r="C904" t="inlineStr">
        <is>
          <t>NOS</t>
        </is>
      </c>
      <c r="D904" t="n">
        <v>561</v>
      </c>
      <c r="E904" t="n">
        <v>448.802</v>
      </c>
      <c r="F904" t="n">
        <v>3931836</v>
      </c>
      <c r="G904" t="inlineStr">
        <is>
          <t>19-19-1-CRFH-PE</t>
        </is>
      </c>
      <c r="H904" t="n">
        <v>244.602</v>
      </c>
      <c r="I904" t="inlineStr">
        <is>
          <t>CUT-R-AW-AUT-19.00X19.00X1.000X0.8000</t>
        </is>
      </c>
      <c r="J904" t="inlineStr">
        <is>
          <t>TVS</t>
        </is>
      </c>
      <c r="K904" t="inlineStr">
        <is>
          <t>19-19-1-CRFH-PE-0.8</t>
        </is>
      </c>
    </row>
    <row r="905">
      <c r="A905" t="inlineStr">
        <is>
          <t>0000189002</t>
        </is>
      </c>
      <c r="B905" t="inlineStr">
        <is>
          <t>Marathwada Auto Compo Pvt. Ltd.</t>
        </is>
      </c>
      <c r="C905" t="inlineStr">
        <is>
          <t>NOS</t>
        </is>
      </c>
      <c r="D905" t="n">
        <v>247</v>
      </c>
      <c r="E905" t="n">
        <v>197.601</v>
      </c>
      <c r="F905" t="n">
        <v>3931836</v>
      </c>
      <c r="G905" t="inlineStr">
        <is>
          <t>19-19-1-CRFH-PE</t>
        </is>
      </c>
      <c r="H905" t="n">
        <v>107.695</v>
      </c>
      <c r="I905" t="inlineStr">
        <is>
          <t>CUT-R-AW-AUT-19.00X19.00X1.000X0.8000</t>
        </is>
      </c>
      <c r="J905" t="inlineStr">
        <is>
          <t>TVS</t>
        </is>
      </c>
      <c r="K905" t="inlineStr">
        <is>
          <t>19-19-1-CRFH-PE-0.8</t>
        </is>
      </c>
    </row>
    <row r="906">
      <c r="A906" t="inlineStr">
        <is>
          <t>0000189002</t>
        </is>
      </c>
      <c r="B906" t="inlineStr">
        <is>
          <t>Marathwada Auto Compo Pvt. Ltd.</t>
        </is>
      </c>
      <c r="C906" t="inlineStr">
        <is>
          <t>NOS</t>
        </is>
      </c>
      <c r="D906" t="n">
        <v>192</v>
      </c>
      <c r="E906" t="n">
        <v>153.601</v>
      </c>
      <c r="F906" t="n">
        <v>3931836</v>
      </c>
      <c r="G906" t="inlineStr">
        <is>
          <t>19-19-1-CRFH-PE</t>
        </is>
      </c>
      <c r="H906" t="n">
        <v>83.714</v>
      </c>
      <c r="I906" t="inlineStr">
        <is>
          <t>CUT-R-AW-AUT-19.00X19.00X1.000X0.8000</t>
        </is>
      </c>
      <c r="J906" t="inlineStr">
        <is>
          <t>TVS</t>
        </is>
      </c>
      <c r="K906" t="inlineStr">
        <is>
          <t>19-19-1-CRFH-PE-0.8</t>
        </is>
      </c>
    </row>
    <row r="907">
      <c r="A907" t="inlineStr">
        <is>
          <t>0000189002</t>
        </is>
      </c>
      <c r="B907" t="inlineStr">
        <is>
          <t>Marathwada Auto Compo Pvt. Ltd.</t>
        </is>
      </c>
      <c r="C907" t="inlineStr">
        <is>
          <t>NOS</t>
        </is>
      </c>
      <c r="D907" t="n">
        <v>1000</v>
      </c>
      <c r="E907" t="n">
        <v>800.004</v>
      </c>
      <c r="F907" t="n">
        <v>3931836</v>
      </c>
      <c r="G907" t="inlineStr">
        <is>
          <t>19-19-1-CRFH-PE</t>
        </is>
      </c>
      <c r="H907" t="n">
        <v>436.011</v>
      </c>
      <c r="I907" t="inlineStr">
        <is>
          <t>CUT-R-AW-AUT-19.00X19.00X1.000X0.8000</t>
        </is>
      </c>
      <c r="J907" t="inlineStr">
        <is>
          <t>TVS</t>
        </is>
      </c>
      <c r="K907" t="inlineStr">
        <is>
          <t>19-19-1-CRFH-PE-0.8</t>
        </is>
      </c>
    </row>
    <row r="908">
      <c r="A908" t="inlineStr">
        <is>
          <t>0000188595</t>
        </is>
      </c>
      <c r="B908" t="inlineStr">
        <is>
          <t>Sri Balaji Gears</t>
        </is>
      </c>
      <c r="C908" t="inlineStr">
        <is>
          <t>NOS</t>
        </is>
      </c>
      <c r="D908" t="n">
        <v>1000</v>
      </c>
      <c r="E908" t="n">
        <v>800.004</v>
      </c>
      <c r="F908" t="n">
        <v>3931836</v>
      </c>
      <c r="G908" t="inlineStr">
        <is>
          <t>19-19-1-CRFH-PE</t>
        </is>
      </c>
      <c r="H908" t="n">
        <v>436.011</v>
      </c>
      <c r="I908" t="inlineStr">
        <is>
          <t>CUT-R-AW-AUT-19.00X19.00X1.000X0.8000</t>
        </is>
      </c>
      <c r="J908" t="inlineStr">
        <is>
          <t>TVS</t>
        </is>
      </c>
      <c r="K908" t="inlineStr">
        <is>
          <t>19-19-1-CRFH-PE-0.8</t>
        </is>
      </c>
    </row>
    <row r="909">
      <c r="A909" t="inlineStr">
        <is>
          <t>0000189002</t>
        </is>
      </c>
      <c r="B909" t="inlineStr">
        <is>
          <t>Marathwada Auto Compo Pvt. Ltd.</t>
        </is>
      </c>
      <c r="C909" t="inlineStr">
        <is>
          <t>NOS</t>
        </is>
      </c>
      <c r="D909" t="n">
        <v>1000</v>
      </c>
      <c r="E909" t="n">
        <v>800.004</v>
      </c>
      <c r="F909" t="n">
        <v>3931836</v>
      </c>
      <c r="G909" t="inlineStr">
        <is>
          <t>19-19-1-CRFH-PE</t>
        </is>
      </c>
      <c r="H909" t="n">
        <v>436.011</v>
      </c>
      <c r="I909" t="inlineStr">
        <is>
          <t>CUT-R-AW-AUT-19.00X19.00X1.000X0.8000</t>
        </is>
      </c>
      <c r="J909" t="inlineStr">
        <is>
          <t>TVS</t>
        </is>
      </c>
      <c r="K909" t="inlineStr">
        <is>
          <t>19-19-1-CRFH-PE-0.8</t>
        </is>
      </c>
    </row>
    <row r="910">
      <c r="A910" t="inlineStr">
        <is>
          <t>0000189002</t>
        </is>
      </c>
      <c r="B910" t="inlineStr">
        <is>
          <t>Marathwada Auto Compo Pvt. Ltd.</t>
        </is>
      </c>
      <c r="C910" t="inlineStr">
        <is>
          <t>NOS</t>
        </is>
      </c>
      <c r="D910" t="n">
        <v>1000</v>
      </c>
      <c r="E910" t="n">
        <v>800.004</v>
      </c>
      <c r="F910" t="n">
        <v>3931836</v>
      </c>
      <c r="G910" t="inlineStr">
        <is>
          <t>19-19-1-CRFH-PE</t>
        </is>
      </c>
      <c r="H910" t="n">
        <v>436.011</v>
      </c>
      <c r="I910" t="inlineStr">
        <is>
          <t>CUT-R-AW-AUT-19.00X19.00X1.000X0.8000</t>
        </is>
      </c>
      <c r="J910" t="inlineStr">
        <is>
          <t>TVS</t>
        </is>
      </c>
      <c r="K910" t="inlineStr">
        <is>
          <t>19-19-1-CRFH-PE-0.8</t>
        </is>
      </c>
    </row>
    <row r="911">
      <c r="A911" t="inlineStr">
        <is>
          <t>0000189002</t>
        </is>
      </c>
      <c r="B911" t="inlineStr">
        <is>
          <t>Marathwada Auto Compo Pvt. Ltd.</t>
        </is>
      </c>
      <c r="C911" t="inlineStr">
        <is>
          <t>NOS</t>
        </is>
      </c>
      <c r="D911" t="n">
        <v>1000</v>
      </c>
      <c r="E911" t="n">
        <v>800.004</v>
      </c>
      <c r="F911" t="n">
        <v>3931836</v>
      </c>
      <c r="G911" t="inlineStr">
        <is>
          <t>19-19-1-CRFH-PE</t>
        </is>
      </c>
      <c r="H911" t="n">
        <v>436.011</v>
      </c>
      <c r="I911" t="inlineStr">
        <is>
          <t>CUT-R-AW-AUT-19.00X19.00X1.000X0.8000</t>
        </is>
      </c>
      <c r="J911" t="inlineStr">
        <is>
          <t>TVS</t>
        </is>
      </c>
      <c r="K911" t="inlineStr">
        <is>
          <t>19-19-1-CRFH-PE-0.8</t>
        </is>
      </c>
    </row>
    <row r="912">
      <c r="A912" t="inlineStr">
        <is>
          <t>0000189002</t>
        </is>
      </c>
      <c r="B912" t="inlineStr">
        <is>
          <t>Marathwada Auto Compo Pvt. Ltd.</t>
        </is>
      </c>
      <c r="C912" t="inlineStr">
        <is>
          <t>NOS</t>
        </is>
      </c>
      <c r="D912" t="n">
        <v>1000</v>
      </c>
      <c r="E912" t="n">
        <v>800.004</v>
      </c>
      <c r="F912" t="n">
        <v>3931836</v>
      </c>
      <c r="G912" t="inlineStr">
        <is>
          <t>19-19-1-CRFH-PE</t>
        </is>
      </c>
      <c r="H912" t="n">
        <v>436.011</v>
      </c>
      <c r="I912" t="inlineStr">
        <is>
          <t>CUT-R-AW-AUT-19.00X19.00X1.000X0.8000</t>
        </is>
      </c>
      <c r="J912" t="inlineStr">
        <is>
          <t>TVS</t>
        </is>
      </c>
      <c r="K912" t="inlineStr">
        <is>
          <t>19-19-1-CRFH-PE-0.8</t>
        </is>
      </c>
    </row>
    <row r="913">
      <c r="A913" t="inlineStr">
        <is>
          <t>0000189002</t>
        </is>
      </c>
      <c r="B913" t="inlineStr">
        <is>
          <t>Marathwada Auto Compo Pvt. Ltd.</t>
        </is>
      </c>
      <c r="C913" t="inlineStr">
        <is>
          <t>NOS</t>
        </is>
      </c>
      <c r="D913" t="n">
        <v>1098</v>
      </c>
      <c r="E913" t="n">
        <v>966.605</v>
      </c>
      <c r="F913" t="n">
        <v>3230492</v>
      </c>
      <c r="G913" t="inlineStr">
        <is>
          <t>19-19-1-CRFH-PE</t>
        </is>
      </c>
      <c r="H913" t="n">
        <v>534.726</v>
      </c>
      <c r="I913" t="inlineStr">
        <is>
          <t>TUB-S-AW-AUT-19.00X19.00X1.000X0.8800</t>
        </is>
      </c>
      <c r="J913" t="inlineStr">
        <is>
          <t>TVS</t>
        </is>
      </c>
      <c r="K913" t="inlineStr">
        <is>
          <t>19-19-1-CRFH-PE-0.88</t>
        </is>
      </c>
    </row>
    <row r="914">
      <c r="A914" t="inlineStr">
        <is>
          <t>0000189002</t>
        </is>
      </c>
      <c r="B914" t="inlineStr">
        <is>
          <t>Marathwada Auto Compo Pvt. Ltd.</t>
        </is>
      </c>
      <c r="C914" t="inlineStr">
        <is>
          <t>NOS</t>
        </is>
      </c>
      <c r="D914" t="n">
        <v>402</v>
      </c>
      <c r="E914" t="n">
        <v>353.894</v>
      </c>
      <c r="F914" t="n">
        <v>3230492</v>
      </c>
      <c r="G914" t="inlineStr">
        <is>
          <t>19-19-1-CRFH-PE</t>
        </is>
      </c>
      <c r="H914" t="n">
        <v>195.774</v>
      </c>
      <c r="I914" t="inlineStr">
        <is>
          <t>TUB-S-AW-AUT-19.00X19.00X1.000X0.8800</t>
        </is>
      </c>
      <c r="J914" t="inlineStr">
        <is>
          <t>TVS</t>
        </is>
      </c>
      <c r="K914" t="inlineStr">
        <is>
          <t>19-19-1-CRFH-PE-0.88</t>
        </is>
      </c>
    </row>
    <row r="915">
      <c r="A915" t="inlineStr">
        <is>
          <t>0000189002</t>
        </is>
      </c>
      <c r="B915" t="inlineStr">
        <is>
          <t>Marathwada Auto Compo Pvt. Ltd.</t>
        </is>
      </c>
      <c r="C915" t="inlineStr">
        <is>
          <t>NOS</t>
        </is>
      </c>
      <c r="D915" t="n">
        <v>648</v>
      </c>
      <c r="E915" t="n">
        <v>570.456</v>
      </c>
      <c r="F915" t="n">
        <v>3230492</v>
      </c>
      <c r="G915" t="inlineStr">
        <is>
          <t>19-19-1-CRFH-PE</t>
        </is>
      </c>
      <c r="H915" t="n">
        <v>315.576</v>
      </c>
      <c r="I915" t="inlineStr">
        <is>
          <t>TUB-S-AW-AUT-19.00X19.00X1.000X0.8800</t>
        </is>
      </c>
      <c r="J915" t="inlineStr">
        <is>
          <t>TVS</t>
        </is>
      </c>
      <c r="K915" t="inlineStr">
        <is>
          <t>19-19-1-CRFH-PE-0.88</t>
        </is>
      </c>
    </row>
    <row r="916">
      <c r="A916" t="inlineStr">
        <is>
          <t>0000189002</t>
        </is>
      </c>
      <c r="B916" t="inlineStr">
        <is>
          <t>Marathwada Auto Compo Pvt. Ltd.</t>
        </is>
      </c>
      <c r="C916" t="inlineStr">
        <is>
          <t>NOS</t>
        </is>
      </c>
      <c r="D916" t="n">
        <v>599</v>
      </c>
      <c r="E916" t="n">
        <v>527.319</v>
      </c>
      <c r="F916" t="n">
        <v>3230492</v>
      </c>
      <c r="G916" t="inlineStr">
        <is>
          <t>19-19-1-CRFH-PE</t>
        </is>
      </c>
      <c r="H916" t="n">
        <v>291.713</v>
      </c>
      <c r="I916" t="inlineStr">
        <is>
          <t>TUB-S-AW-AUT-19.00X19.00X1.000X0.8800</t>
        </is>
      </c>
      <c r="J916" t="inlineStr">
        <is>
          <t>TVS</t>
        </is>
      </c>
      <c r="K916" t="inlineStr">
        <is>
          <t>19-19-1-CRFH-PE-0.88</t>
        </is>
      </c>
    </row>
    <row r="917">
      <c r="A917" t="inlineStr">
        <is>
          <t>0000189002</t>
        </is>
      </c>
      <c r="B917" t="inlineStr">
        <is>
          <t>Marathwada Auto Compo Pvt. Ltd.</t>
        </is>
      </c>
      <c r="C917" t="inlineStr">
        <is>
          <t>NOS</t>
        </is>
      </c>
      <c r="D917" t="n">
        <v>253</v>
      </c>
      <c r="E917" t="n">
        <v>222.724</v>
      </c>
      <c r="F917" t="n">
        <v>3230492</v>
      </c>
      <c r="G917" t="inlineStr">
        <is>
          <t>19-19-1-CRFH-PE</t>
        </is>
      </c>
      <c r="H917" t="n">
        <v>123.211</v>
      </c>
      <c r="I917" t="inlineStr">
        <is>
          <t>TUB-S-AW-AUT-19.00X19.00X1.000X0.8800</t>
        </is>
      </c>
      <c r="J917" t="inlineStr">
        <is>
          <t>TVS</t>
        </is>
      </c>
      <c r="K917" t="inlineStr">
        <is>
          <t>19-19-1-CRFH-PE-0.88</t>
        </is>
      </c>
    </row>
    <row r="918">
      <c r="A918" t="inlineStr">
        <is>
          <t>0000188595</t>
        </is>
      </c>
      <c r="B918" t="inlineStr">
        <is>
          <t>Sri Balaji Gears</t>
        </is>
      </c>
      <c r="C918" t="inlineStr">
        <is>
          <t>NOS</t>
        </is>
      </c>
      <c r="D918" t="n">
        <v>1000</v>
      </c>
      <c r="E918" t="n">
        <v>880.333</v>
      </c>
      <c r="F918" t="n">
        <v>3230492</v>
      </c>
      <c r="G918" t="inlineStr">
        <is>
          <t>19-19-1-CRFH-PE</t>
        </is>
      </c>
      <c r="H918" t="n">
        <v>487</v>
      </c>
      <c r="I918" t="inlineStr">
        <is>
          <t>TUB-S-AW-AUT-19.00X19.00X1.000X0.8800</t>
        </is>
      </c>
      <c r="J918" t="inlineStr">
        <is>
          <t>TVS</t>
        </is>
      </c>
      <c r="K918" t="inlineStr">
        <is>
          <t>19-19-1-CRFH-PE-0.88</t>
        </is>
      </c>
    </row>
    <row r="919">
      <c r="A919" t="inlineStr">
        <is>
          <t>0000189002</t>
        </is>
      </c>
      <c r="B919" t="inlineStr">
        <is>
          <t>Marathwada Auto Compo Pvt. Ltd.</t>
        </is>
      </c>
      <c r="C919" t="inlineStr">
        <is>
          <t>NOS</t>
        </is>
      </c>
      <c r="D919" t="n">
        <v>1500</v>
      </c>
      <c r="E919" t="n">
        <v>1320.499</v>
      </c>
      <c r="F919" t="n">
        <v>3230492</v>
      </c>
      <c r="G919" t="inlineStr">
        <is>
          <t>19-19-1-CRFH-PE</t>
        </is>
      </c>
      <c r="H919" t="n">
        <v>730.5</v>
      </c>
      <c r="I919" t="inlineStr">
        <is>
          <t>TUB-S-AW-AUT-19.00X19.00X1.000X0.8800</t>
        </is>
      </c>
      <c r="J919" t="inlineStr">
        <is>
          <t>TVS</t>
        </is>
      </c>
      <c r="K919" t="inlineStr">
        <is>
          <t>19-19-1-CRFH-PE-0.88</t>
        </is>
      </c>
    </row>
    <row r="920">
      <c r="A920" t="inlineStr">
        <is>
          <t>0000189002</t>
        </is>
      </c>
      <c r="B920" t="inlineStr">
        <is>
          <t>Marathwada Auto Compo Pvt. Ltd.</t>
        </is>
      </c>
      <c r="C920" t="inlineStr">
        <is>
          <t>NOS</t>
        </is>
      </c>
      <c r="D920" t="n">
        <v>1500</v>
      </c>
      <c r="E920" t="n">
        <v>1320.499</v>
      </c>
      <c r="F920" t="n">
        <v>3230492</v>
      </c>
      <c r="G920" t="inlineStr">
        <is>
          <t>19-19-1-CRFH-PE</t>
        </is>
      </c>
      <c r="H920" t="n">
        <v>730.5</v>
      </c>
      <c r="I920" t="inlineStr">
        <is>
          <t>TUB-S-AW-AUT-19.00X19.00X1.000X0.8800</t>
        </is>
      </c>
      <c r="J920" t="inlineStr">
        <is>
          <t>TVS</t>
        </is>
      </c>
      <c r="K920" t="inlineStr">
        <is>
          <t>19-19-1-CRFH-PE-0.88</t>
        </is>
      </c>
    </row>
    <row r="921">
      <c r="A921" t="inlineStr">
        <is>
          <t>0000189002</t>
        </is>
      </c>
      <c r="B921" t="inlineStr">
        <is>
          <t>Marathwada Auto Compo Pvt. Ltd.</t>
        </is>
      </c>
      <c r="C921" t="inlineStr">
        <is>
          <t>NOS</t>
        </is>
      </c>
      <c r="D921" t="n">
        <v>899</v>
      </c>
      <c r="E921" t="n">
        <v>791.419</v>
      </c>
      <c r="F921" t="n">
        <v>3230492</v>
      </c>
      <c r="G921" t="inlineStr">
        <is>
          <t>19-19-1-CRFH-PE</t>
        </is>
      </c>
      <c r="H921" t="n">
        <v>437.813</v>
      </c>
      <c r="I921" t="inlineStr">
        <is>
          <t>TUB-S-AW-AUT-19.00X19.00X1.000X0.8800</t>
        </is>
      </c>
      <c r="J921" t="inlineStr">
        <is>
          <t>TVS</t>
        </is>
      </c>
      <c r="K921" t="inlineStr">
        <is>
          <t>19-19-1-CRFH-PE-0.88</t>
        </is>
      </c>
    </row>
    <row r="922">
      <c r="A922" t="inlineStr">
        <is>
          <t>0000189002</t>
        </is>
      </c>
      <c r="B922" t="inlineStr">
        <is>
          <t>Marathwada Auto Compo Pvt. Ltd.</t>
        </is>
      </c>
      <c r="C922" t="inlineStr">
        <is>
          <t>NOS</t>
        </is>
      </c>
      <c r="D922" t="n">
        <v>273</v>
      </c>
      <c r="E922" t="n">
        <v>240.331</v>
      </c>
      <c r="F922" t="n">
        <v>3230492</v>
      </c>
      <c r="G922" t="inlineStr">
        <is>
          <t>19-19-1-CRFH-PE</t>
        </is>
      </c>
      <c r="H922" t="n">
        <v>132.951</v>
      </c>
      <c r="I922" t="inlineStr">
        <is>
          <t>TUB-S-AW-AUT-19.00X19.00X1.000X0.8800</t>
        </is>
      </c>
      <c r="J922" t="inlineStr">
        <is>
          <t>TVS</t>
        </is>
      </c>
      <c r="K922" t="inlineStr">
        <is>
          <t>19-19-1-CRFH-PE-0.88</t>
        </is>
      </c>
    </row>
    <row r="923">
      <c r="A923" t="inlineStr">
        <is>
          <t>0000189002</t>
        </is>
      </c>
      <c r="B923" t="inlineStr">
        <is>
          <t>Marathwada Auto Compo Pvt. Ltd.</t>
        </is>
      </c>
      <c r="C923" t="inlineStr">
        <is>
          <t>NOS</t>
        </is>
      </c>
      <c r="D923" t="n">
        <v>147</v>
      </c>
      <c r="E923" t="n">
        <v>129.409</v>
      </c>
      <c r="F923" t="n">
        <v>3230492</v>
      </c>
      <c r="G923" t="inlineStr">
        <is>
          <t>19-19-1-CRFH-PE</t>
        </is>
      </c>
      <c r="H923" t="n">
        <v>71.589</v>
      </c>
      <c r="I923" t="inlineStr">
        <is>
          <t>TUB-S-AW-AUT-19.00X19.00X1.000X0.8800</t>
        </is>
      </c>
      <c r="J923" t="inlineStr">
        <is>
          <t>TVS</t>
        </is>
      </c>
      <c r="K923" t="inlineStr">
        <is>
          <t>19-19-1-CRFH-PE-0.88</t>
        </is>
      </c>
    </row>
    <row r="924">
      <c r="A924" t="inlineStr">
        <is>
          <t>0000189002</t>
        </is>
      </c>
      <c r="B924" t="inlineStr">
        <is>
          <t>Marathwada Auto Compo Pvt. Ltd.</t>
        </is>
      </c>
      <c r="C924" t="inlineStr">
        <is>
          <t>NOS</t>
        </is>
      </c>
      <c r="D924" t="n">
        <v>71</v>
      </c>
      <c r="E924" t="n">
        <v>62.504</v>
      </c>
      <c r="F924" t="n">
        <v>3230492</v>
      </c>
      <c r="G924" t="inlineStr">
        <is>
          <t>19-19-1-CRFH-PE</t>
        </is>
      </c>
      <c r="H924" t="n">
        <v>34.577</v>
      </c>
      <c r="I924" t="inlineStr">
        <is>
          <t>TUB-S-AW-AUT-19.00X19.00X1.000X0.8800</t>
        </is>
      </c>
      <c r="J924" t="inlineStr">
        <is>
          <t>TVS</t>
        </is>
      </c>
      <c r="K924" t="inlineStr">
        <is>
          <t>19-19-1-CRFH-PE-0.88</t>
        </is>
      </c>
    </row>
    <row r="925">
      <c r="A925" t="inlineStr">
        <is>
          <t>0000189002</t>
        </is>
      </c>
      <c r="B925" t="inlineStr">
        <is>
          <t>Marathwada Auto Compo Pvt. Ltd.</t>
        </is>
      </c>
      <c r="C925" t="inlineStr">
        <is>
          <t>NOS</t>
        </is>
      </c>
      <c r="D925" t="n">
        <v>70</v>
      </c>
      <c r="E925" t="n">
        <v>61.623</v>
      </c>
      <c r="F925" t="n">
        <v>3230492</v>
      </c>
      <c r="G925" t="inlineStr">
        <is>
          <t>19-19-1-CRFH-PE</t>
        </is>
      </c>
      <c r="H925" t="n">
        <v>34.09</v>
      </c>
      <c r="I925" t="inlineStr">
        <is>
          <t>TUB-S-AW-AUT-19.00X19.00X1.000X0.8800</t>
        </is>
      </c>
      <c r="J925" t="inlineStr">
        <is>
          <t>TVS</t>
        </is>
      </c>
      <c r="K925" t="inlineStr">
        <is>
          <t>19-19-1-CRFH-PE-0.88</t>
        </is>
      </c>
    </row>
    <row r="926">
      <c r="A926" t="inlineStr">
        <is>
          <t>0000189002</t>
        </is>
      </c>
      <c r="B926" t="inlineStr">
        <is>
          <t>Marathwada Auto Compo Pvt. Ltd.</t>
        </is>
      </c>
      <c r="C926" t="inlineStr">
        <is>
          <t>NOS</t>
        </is>
      </c>
      <c r="D926" t="n">
        <v>40</v>
      </c>
      <c r="E926" t="n">
        <v>35.213</v>
      </c>
      <c r="F926" t="n">
        <v>3230492</v>
      </c>
      <c r="G926" t="inlineStr">
        <is>
          <t>19-19-1-CRFH-PE</t>
        </is>
      </c>
      <c r="H926" t="n">
        <v>19.48</v>
      </c>
      <c r="I926" t="inlineStr">
        <is>
          <t>TUB-S-AW-AUT-19.00X19.00X1.000X0.8800</t>
        </is>
      </c>
      <c r="J926" t="inlineStr">
        <is>
          <t>TVS</t>
        </is>
      </c>
      <c r="K926" t="inlineStr">
        <is>
          <t>19-19-1-CRFH-PE-0.88</t>
        </is>
      </c>
    </row>
    <row r="927">
      <c r="A927" t="inlineStr">
        <is>
          <t>0000189002</t>
        </is>
      </c>
      <c r="B927" t="inlineStr">
        <is>
          <t>Marathwada Auto Compo Pvt. Ltd.</t>
        </is>
      </c>
      <c r="C927" t="inlineStr">
        <is>
          <t>NOS</t>
        </is>
      </c>
      <c r="D927" t="n">
        <v>1500</v>
      </c>
      <c r="E927" t="n">
        <v>1320.499</v>
      </c>
      <c r="F927" t="n">
        <v>3230492</v>
      </c>
      <c r="G927" t="inlineStr">
        <is>
          <t>19-19-1-CRFH-PE</t>
        </is>
      </c>
      <c r="H927" t="n">
        <v>730.5</v>
      </c>
      <c r="I927" t="inlineStr">
        <is>
          <t>TUB-S-AW-AUT-19.00X19.00X1.000X0.8800</t>
        </is>
      </c>
      <c r="J927" t="inlineStr">
        <is>
          <t>TVS</t>
        </is>
      </c>
      <c r="K927" t="inlineStr">
        <is>
          <t>19-19-1-CRFH-PE-0.88</t>
        </is>
      </c>
    </row>
    <row r="928">
      <c r="A928" t="inlineStr">
        <is>
          <t>0000189002</t>
        </is>
      </c>
      <c r="B928" t="inlineStr">
        <is>
          <t>Marathwada Auto Compo Pvt. Ltd.</t>
        </is>
      </c>
      <c r="C928" t="inlineStr">
        <is>
          <t>NOS</t>
        </is>
      </c>
      <c r="D928" t="n">
        <v>1000</v>
      </c>
      <c r="E928" t="n">
        <v>840.564</v>
      </c>
      <c r="F928" t="n">
        <v>3230485</v>
      </c>
      <c r="G928" t="inlineStr">
        <is>
          <t>19-19-1-CRFH-PE</t>
        </is>
      </c>
      <c r="H928" t="n">
        <v>465</v>
      </c>
      <c r="I928" t="inlineStr">
        <is>
          <t>TUB-S-AW-AUT-19.00X19.00X1.000X0.8400</t>
        </is>
      </c>
      <c r="J928" t="inlineStr">
        <is>
          <t>TVS</t>
        </is>
      </c>
      <c r="K928" t="inlineStr">
        <is>
          <t>19-19-1-CRFH-PE-0.84</t>
        </is>
      </c>
    </row>
    <row r="929">
      <c r="A929" t="inlineStr">
        <is>
          <t>0000189002</t>
        </is>
      </c>
      <c r="B929" t="inlineStr">
        <is>
          <t>Marathwada Auto Compo Pvt. Ltd.</t>
        </is>
      </c>
      <c r="C929" t="inlineStr">
        <is>
          <t>NOS</t>
        </is>
      </c>
      <c r="D929" t="n">
        <v>1000</v>
      </c>
      <c r="E929" t="n">
        <v>840.564</v>
      </c>
      <c r="F929" t="n">
        <v>3230485</v>
      </c>
      <c r="G929" t="inlineStr">
        <is>
          <t>19-19-1-CRFH-PE</t>
        </is>
      </c>
      <c r="H929" t="n">
        <v>465</v>
      </c>
      <c r="I929" t="inlineStr">
        <is>
          <t>TUB-S-AW-AUT-19.00X19.00X1.000X0.8400</t>
        </is>
      </c>
      <c r="J929" t="inlineStr">
        <is>
          <t>TVS</t>
        </is>
      </c>
      <c r="K929" t="inlineStr">
        <is>
          <t>19-19-1-CRFH-PE-0.84</t>
        </is>
      </c>
    </row>
    <row r="930">
      <c r="A930" t="inlineStr">
        <is>
          <t>0000188595</t>
        </is>
      </c>
      <c r="B930" t="inlineStr">
        <is>
          <t>Sri Balaji Gears</t>
        </is>
      </c>
      <c r="C930" t="inlineStr">
        <is>
          <t>NOS</t>
        </is>
      </c>
      <c r="D930" t="n">
        <v>1000</v>
      </c>
      <c r="E930" t="n">
        <v>840.564</v>
      </c>
      <c r="F930" t="n">
        <v>3230485</v>
      </c>
      <c r="G930" t="inlineStr">
        <is>
          <t>19-19-1-CRFH-PE</t>
        </is>
      </c>
      <c r="H930" t="n">
        <v>465</v>
      </c>
      <c r="I930" t="inlineStr">
        <is>
          <t>TUB-S-AW-AUT-19.00X19.00X1.000X0.8400</t>
        </is>
      </c>
      <c r="J930" t="inlineStr">
        <is>
          <t>TVS</t>
        </is>
      </c>
      <c r="K930" t="inlineStr">
        <is>
          <t>19-19-1-CRFH-PE-0.84</t>
        </is>
      </c>
    </row>
    <row r="931">
      <c r="A931" t="inlineStr">
        <is>
          <t>0000189002</t>
        </is>
      </c>
      <c r="B931" t="inlineStr">
        <is>
          <t>Marathwada Auto Compo Pvt. Ltd.</t>
        </is>
      </c>
      <c r="C931" t="inlineStr">
        <is>
          <t>NOS</t>
        </is>
      </c>
      <c r="D931" t="n">
        <v>1000</v>
      </c>
      <c r="E931" t="n">
        <v>840.564</v>
      </c>
      <c r="F931" t="n">
        <v>3230485</v>
      </c>
      <c r="G931" t="inlineStr">
        <is>
          <t>19-19-1-CRFH-PE</t>
        </is>
      </c>
      <c r="H931" t="n">
        <v>465</v>
      </c>
      <c r="I931" t="inlineStr">
        <is>
          <t>TUB-S-AW-AUT-19.00X19.00X1.000X0.8400</t>
        </is>
      </c>
      <c r="J931" t="inlineStr">
        <is>
          <t>TVS</t>
        </is>
      </c>
      <c r="K931" t="inlineStr">
        <is>
          <t>19-19-1-CRFH-PE-0.84</t>
        </is>
      </c>
    </row>
    <row r="932">
      <c r="A932" t="inlineStr">
        <is>
          <t>0000189002</t>
        </is>
      </c>
      <c r="B932" t="inlineStr">
        <is>
          <t>Marathwada Auto Compo Pvt. Ltd.</t>
        </is>
      </c>
      <c r="C932" t="inlineStr">
        <is>
          <t>NOS</t>
        </is>
      </c>
      <c r="D932" t="n">
        <v>1000</v>
      </c>
      <c r="E932" t="n">
        <v>840.564</v>
      </c>
      <c r="F932" t="n">
        <v>3230485</v>
      </c>
      <c r="G932" t="inlineStr">
        <is>
          <t>19-19-1-CRFH-PE</t>
        </is>
      </c>
      <c r="H932" t="n">
        <v>465</v>
      </c>
      <c r="I932" t="inlineStr">
        <is>
          <t>TUB-S-AW-AUT-19.00X19.00X1.000X0.8400</t>
        </is>
      </c>
      <c r="J932" t="inlineStr">
        <is>
          <t>TVS</t>
        </is>
      </c>
      <c r="K932" t="inlineStr">
        <is>
          <t>19-19-1-CRFH-PE-0.84</t>
        </is>
      </c>
    </row>
    <row r="933">
      <c r="A933" t="inlineStr">
        <is>
          <t>0000189002</t>
        </is>
      </c>
      <c r="B933" t="inlineStr">
        <is>
          <t>Marathwada Auto Compo Pvt. Ltd.</t>
        </is>
      </c>
      <c r="C933" t="inlineStr">
        <is>
          <t>NOS</t>
        </is>
      </c>
      <c r="D933" t="n">
        <v>496</v>
      </c>
      <c r="E933" t="n">
        <v>416.92</v>
      </c>
      <c r="F933" t="n">
        <v>3230485</v>
      </c>
      <c r="G933" t="inlineStr">
        <is>
          <t>19-19-1-CRFH-PE</t>
        </is>
      </c>
      <c r="H933" t="n">
        <v>230.64</v>
      </c>
      <c r="I933" t="inlineStr">
        <is>
          <t>TUB-S-AW-AUT-19.00X19.00X1.000X0.8400</t>
        </is>
      </c>
      <c r="J933" t="inlineStr">
        <is>
          <t>TVS</t>
        </is>
      </c>
      <c r="K933" t="inlineStr">
        <is>
          <t>19-19-1-CRFH-PE-0.84</t>
        </is>
      </c>
    </row>
    <row r="934">
      <c r="A934" t="inlineStr">
        <is>
          <t>0000189002</t>
        </is>
      </c>
      <c r="B934" t="inlineStr">
        <is>
          <t>Marathwada Auto Compo Pvt. Ltd.</t>
        </is>
      </c>
      <c r="C934" t="inlineStr">
        <is>
          <t>NOS</t>
        </is>
      </c>
      <c r="D934" t="n">
        <v>496</v>
      </c>
      <c r="E934" t="n">
        <v>416.92</v>
      </c>
      <c r="F934" t="n">
        <v>3230485</v>
      </c>
      <c r="G934" t="inlineStr">
        <is>
          <t>19-19-1-CRFH-PE</t>
        </is>
      </c>
      <c r="H934" t="n">
        <v>230.64</v>
      </c>
      <c r="I934" t="inlineStr">
        <is>
          <t>TUB-S-AW-AUT-19.00X19.00X1.000X0.8400</t>
        </is>
      </c>
      <c r="J934" t="inlineStr">
        <is>
          <t>TVS</t>
        </is>
      </c>
      <c r="K934" t="inlineStr">
        <is>
          <t>19-19-1-CRFH-PE-0.84</t>
        </is>
      </c>
    </row>
    <row r="935">
      <c r="A935" t="inlineStr">
        <is>
          <t>0000189002</t>
        </is>
      </c>
      <c r="B935" t="inlineStr">
        <is>
          <t>Marathwada Auto Compo Pvt. Ltd.</t>
        </is>
      </c>
      <c r="C935" t="inlineStr">
        <is>
          <t>NOS</t>
        </is>
      </c>
      <c r="D935" t="n">
        <v>8</v>
      </c>
      <c r="E935" t="n">
        <v>6.725</v>
      </c>
      <c r="F935" t="n">
        <v>3230485</v>
      </c>
      <c r="G935" t="inlineStr">
        <is>
          <t>19-19-1-CRFH-PE</t>
        </is>
      </c>
      <c r="H935" t="n">
        <v>3.72</v>
      </c>
      <c r="I935" t="inlineStr">
        <is>
          <t>TUB-S-AW-AUT-19.00X19.00X1.000X0.8400</t>
        </is>
      </c>
      <c r="J935" t="inlineStr">
        <is>
          <t>TVS</t>
        </is>
      </c>
      <c r="K935" t="inlineStr">
        <is>
          <t>19-19-1-CRFH-PE-0.84</t>
        </is>
      </c>
    </row>
    <row r="936">
      <c r="A936" t="inlineStr">
        <is>
          <t>0000189002</t>
        </is>
      </c>
      <c r="B936" t="inlineStr">
        <is>
          <t>Marathwada Auto Compo Pvt. Ltd.</t>
        </is>
      </c>
      <c r="C936" t="inlineStr">
        <is>
          <t>NOS</t>
        </is>
      </c>
      <c r="D936" t="n">
        <v>1000</v>
      </c>
      <c r="E936" t="n">
        <v>840.564</v>
      </c>
      <c r="F936" t="n">
        <v>3230485</v>
      </c>
      <c r="G936" t="inlineStr">
        <is>
          <t>19-19-1-CRFH-PE</t>
        </is>
      </c>
      <c r="H936" t="n">
        <v>465</v>
      </c>
      <c r="I936" t="inlineStr">
        <is>
          <t>TUB-S-AW-AUT-19.00X19.00X1.000X0.8400</t>
        </is>
      </c>
      <c r="J936" t="inlineStr">
        <is>
          <t>TVS</t>
        </is>
      </c>
      <c r="K936" t="inlineStr">
        <is>
          <t>19-19-1-CRFH-PE-0.84</t>
        </is>
      </c>
    </row>
    <row r="937">
      <c r="A937" t="inlineStr">
        <is>
          <t>0000188595</t>
        </is>
      </c>
      <c r="B937" t="inlineStr">
        <is>
          <t>Sri Balaji Gears</t>
        </is>
      </c>
      <c r="C937" t="inlineStr">
        <is>
          <t>NOS</t>
        </is>
      </c>
      <c r="D937" t="n">
        <v>500</v>
      </c>
      <c r="E937" t="n">
        <v>437.455</v>
      </c>
      <c r="F937" t="n">
        <v>3233560</v>
      </c>
      <c r="G937" t="inlineStr">
        <is>
          <t>19-19-1-CRFH-PE</t>
        </is>
      </c>
      <c r="H937" t="n">
        <v>242</v>
      </c>
      <c r="I937" t="inlineStr">
        <is>
          <t>TUB-S-AW-AUT-19.00X19.00X1.000X0.8750</t>
        </is>
      </c>
      <c r="J937" t="inlineStr">
        <is>
          <t>TVS</t>
        </is>
      </c>
      <c r="K937" t="inlineStr">
        <is>
          <t>19-19-1-CRFH-PE-0.875</t>
        </is>
      </c>
    </row>
    <row r="938">
      <c r="A938" t="inlineStr">
        <is>
          <t>0000188595</t>
        </is>
      </c>
      <c r="B938" t="inlineStr">
        <is>
          <t>Sri Balaji Gears</t>
        </is>
      </c>
      <c r="C938" t="inlineStr">
        <is>
          <t>NOS</t>
        </is>
      </c>
      <c r="D938" t="n">
        <v>485</v>
      </c>
      <c r="E938" t="n">
        <v>424.331</v>
      </c>
      <c r="F938" t="n">
        <v>3233560</v>
      </c>
      <c r="G938" t="inlineStr">
        <is>
          <t>19-19-1-CRFH-PE</t>
        </is>
      </c>
      <c r="H938" t="n">
        <v>234.74</v>
      </c>
      <c r="I938" t="inlineStr">
        <is>
          <t>TUB-S-AW-AUT-19.00X19.00X1.000X0.8750</t>
        </is>
      </c>
      <c r="J938" t="inlineStr">
        <is>
          <t>TVS</t>
        </is>
      </c>
      <c r="K938" t="inlineStr">
        <is>
          <t>19-19-1-CRFH-PE-0.875</t>
        </is>
      </c>
    </row>
    <row r="939">
      <c r="A939" t="inlineStr">
        <is>
          <t>0000188595</t>
        </is>
      </c>
      <c r="B939" t="inlineStr">
        <is>
          <t>Sri Balaji Gears</t>
        </is>
      </c>
      <c r="C939" t="inlineStr">
        <is>
          <t>NOS</t>
        </is>
      </c>
      <c r="D939" t="n">
        <v>10</v>
      </c>
      <c r="E939" t="n">
        <v>8.749000000000001</v>
      </c>
      <c r="F939" t="n">
        <v>3233560</v>
      </c>
      <c r="G939" t="inlineStr">
        <is>
          <t>19-19-1-CRFH-PE</t>
        </is>
      </c>
      <c r="H939" t="n">
        <v>4.84</v>
      </c>
      <c r="I939" t="inlineStr">
        <is>
          <t>TUB-S-AW-AUT-19.00X19.00X1.000X0.8750</t>
        </is>
      </c>
      <c r="J939" t="inlineStr">
        <is>
          <t>TVS</t>
        </is>
      </c>
      <c r="K939" t="inlineStr">
        <is>
          <t>19-19-1-CRFH-PE-0.875</t>
        </is>
      </c>
    </row>
    <row r="940">
      <c r="A940" t="inlineStr">
        <is>
          <t>0000188595</t>
        </is>
      </c>
      <c r="B940" t="inlineStr">
        <is>
          <t>Sri Balaji Gears</t>
        </is>
      </c>
      <c r="C940" t="inlineStr">
        <is>
          <t>NOS</t>
        </is>
      </c>
      <c r="D940" t="n">
        <v>5</v>
      </c>
      <c r="E940" t="n">
        <v>4.375</v>
      </c>
      <c r="F940" t="n">
        <v>3233560</v>
      </c>
      <c r="G940" t="inlineStr">
        <is>
          <t>19-19-1-CRFH-PE</t>
        </is>
      </c>
      <c r="H940" t="n">
        <v>2.42</v>
      </c>
      <c r="I940" t="inlineStr">
        <is>
          <t>TUB-S-AW-AUT-19.00X19.00X1.000X0.8750</t>
        </is>
      </c>
      <c r="J940" t="inlineStr">
        <is>
          <t>TVS</t>
        </is>
      </c>
      <c r="K940" t="inlineStr">
        <is>
          <t>19-19-1-CRFH-PE-0.875</t>
        </is>
      </c>
    </row>
    <row r="941">
      <c r="A941" t="inlineStr">
        <is>
          <t>0000189002</t>
        </is>
      </c>
      <c r="B941" t="inlineStr">
        <is>
          <t>Marathwada Auto Compo Pvt. Ltd.</t>
        </is>
      </c>
      <c r="C941" t="inlineStr">
        <is>
          <t>NOS</t>
        </is>
      </c>
      <c r="D941" t="n">
        <v>373</v>
      </c>
      <c r="E941" t="n">
        <v>325.306</v>
      </c>
      <c r="F941" t="n">
        <v>3605739</v>
      </c>
      <c r="G941" t="inlineStr">
        <is>
          <t>19-19-1-CRFH-PE</t>
        </is>
      </c>
      <c r="H941" t="n">
        <v>181.651</v>
      </c>
      <c r="I941" t="inlineStr">
        <is>
          <t>TUB-S-AW-AUT-19.00X19.00X1.010X0.8710</t>
        </is>
      </c>
      <c r="J941" t="inlineStr">
        <is>
          <t>TVS</t>
        </is>
      </c>
      <c r="K941" t="inlineStr">
        <is>
          <t>19-19-1-CRFH-PE-0.871</t>
        </is>
      </c>
    </row>
    <row r="942">
      <c r="A942" t="inlineStr">
        <is>
          <t>0000189002</t>
        </is>
      </c>
      <c r="B942" t="inlineStr">
        <is>
          <t>Marathwada Auto Compo Pvt. Ltd.</t>
        </is>
      </c>
      <c r="C942" t="inlineStr">
        <is>
          <t>NOS</t>
        </is>
      </c>
      <c r="D942" t="n">
        <v>246</v>
      </c>
      <c r="E942" t="n">
        <v>214.545</v>
      </c>
      <c r="F942" t="n">
        <v>3605739</v>
      </c>
      <c r="G942" t="inlineStr">
        <is>
          <t>19-19-1-CRFH-PE</t>
        </is>
      </c>
      <c r="H942" t="n">
        <v>119.802</v>
      </c>
      <c r="I942" t="inlineStr">
        <is>
          <t>TUB-S-AW-AUT-19.00X19.00X1.010X0.8710</t>
        </is>
      </c>
      <c r="J942" t="inlineStr">
        <is>
          <t>TVS</t>
        </is>
      </c>
      <c r="K942" t="inlineStr">
        <is>
          <t>19-19-1-CRFH-PE-0.871</t>
        </is>
      </c>
    </row>
    <row r="943">
      <c r="A943" t="inlineStr">
        <is>
          <t>0000189002</t>
        </is>
      </c>
      <c r="B943" t="inlineStr">
        <is>
          <t>Marathwada Auto Compo Pvt. Ltd.</t>
        </is>
      </c>
      <c r="C943" t="inlineStr">
        <is>
          <t>NOS</t>
        </is>
      </c>
      <c r="D943" t="n">
        <v>193</v>
      </c>
      <c r="E943" t="n">
        <v>168.322</v>
      </c>
      <c r="F943" t="n">
        <v>3605739</v>
      </c>
      <c r="G943" t="inlineStr">
        <is>
          <t>19-19-1-CRFH-PE</t>
        </is>
      </c>
      <c r="H943" t="n">
        <v>93.991</v>
      </c>
      <c r="I943" t="inlineStr">
        <is>
          <t>TUB-S-AW-AUT-19.00X19.00X1.010X0.8710</t>
        </is>
      </c>
      <c r="J943" t="inlineStr">
        <is>
          <t>TVS</t>
        </is>
      </c>
      <c r="K943" t="inlineStr">
        <is>
          <t>19-19-1-CRFH-PE-0.871</t>
        </is>
      </c>
    </row>
    <row r="944">
      <c r="A944" t="inlineStr">
        <is>
          <t>0000189002</t>
        </is>
      </c>
      <c r="B944" t="inlineStr">
        <is>
          <t>Marathwada Auto Compo Pvt. Ltd.</t>
        </is>
      </c>
      <c r="C944" t="inlineStr">
        <is>
          <t>NOS</t>
        </is>
      </c>
      <c r="D944" t="n">
        <v>188</v>
      </c>
      <c r="E944" t="n">
        <v>163.961</v>
      </c>
      <c r="F944" t="n">
        <v>3605739</v>
      </c>
      <c r="G944" t="inlineStr">
        <is>
          <t>19-19-1-CRFH-PE</t>
        </is>
      </c>
      <c r="H944" t="n">
        <v>91.556</v>
      </c>
      <c r="I944" t="inlineStr">
        <is>
          <t>TUB-S-AW-AUT-19.00X19.00X1.010X0.8710</t>
        </is>
      </c>
      <c r="J944" t="inlineStr">
        <is>
          <t>TVS</t>
        </is>
      </c>
      <c r="K944" t="inlineStr">
        <is>
          <t>19-19-1-CRFH-PE-0.871</t>
        </is>
      </c>
    </row>
    <row r="945">
      <c r="A945" t="inlineStr">
        <is>
          <t>0000189002</t>
        </is>
      </c>
      <c r="B945" t="inlineStr">
        <is>
          <t>Marathwada Auto Compo Pvt. Ltd.</t>
        </is>
      </c>
      <c r="C945" t="inlineStr">
        <is>
          <t>NOS</t>
        </is>
      </c>
      <c r="D945" t="n">
        <v>1000</v>
      </c>
      <c r="E945" t="n">
        <v>872.135</v>
      </c>
      <c r="F945" t="n">
        <v>3605739</v>
      </c>
      <c r="G945" t="inlineStr">
        <is>
          <t>19-19-1-CRFH-PE</t>
        </is>
      </c>
      <c r="H945" t="n">
        <v>487</v>
      </c>
      <c r="I945" t="inlineStr">
        <is>
          <t>TUB-S-AW-AUT-19.00X19.00X1.010X0.8710</t>
        </is>
      </c>
      <c r="J945" t="inlineStr">
        <is>
          <t>TVS</t>
        </is>
      </c>
      <c r="K945" t="inlineStr">
        <is>
          <t>19-19-1-CRFH-PE-0.871</t>
        </is>
      </c>
    </row>
    <row r="946">
      <c r="A946" t="inlineStr">
        <is>
          <t>0000189002</t>
        </is>
      </c>
      <c r="B946" t="inlineStr">
        <is>
          <t>Marathwada Auto Compo Pvt. Ltd.</t>
        </is>
      </c>
      <c r="C946" t="inlineStr">
        <is>
          <t>NOS</t>
        </is>
      </c>
      <c r="D946" t="n">
        <v>1000</v>
      </c>
      <c r="E946" t="n">
        <v>872.135</v>
      </c>
      <c r="F946" t="n">
        <v>3605739</v>
      </c>
      <c r="G946" t="inlineStr">
        <is>
          <t>19-19-1-CRFH-PE</t>
        </is>
      </c>
      <c r="H946" t="n">
        <v>487</v>
      </c>
      <c r="I946" t="inlineStr">
        <is>
          <t>TUB-S-AW-AUT-19.00X19.00X1.010X0.8710</t>
        </is>
      </c>
      <c r="J946" t="inlineStr">
        <is>
          <t>TVS</t>
        </is>
      </c>
      <c r="K946" t="inlineStr">
        <is>
          <t>19-19-1-CRFH-PE-0.871</t>
        </is>
      </c>
    </row>
    <row r="947">
      <c r="A947" t="inlineStr">
        <is>
          <t>0000189002</t>
        </is>
      </c>
      <c r="B947" t="inlineStr">
        <is>
          <t>Marathwada Auto Compo Pvt. Ltd.</t>
        </is>
      </c>
      <c r="C947" t="inlineStr">
        <is>
          <t>NOS</t>
        </is>
      </c>
      <c r="D947" t="n">
        <v>1000</v>
      </c>
      <c r="E947" t="n">
        <v>872.135</v>
      </c>
      <c r="F947" t="n">
        <v>3605739</v>
      </c>
      <c r="G947" t="inlineStr">
        <is>
          <t>19-19-1-CRFH-PE</t>
        </is>
      </c>
      <c r="H947" t="n">
        <v>487</v>
      </c>
      <c r="I947" t="inlineStr">
        <is>
          <t>TUB-S-AW-AUT-19.00X19.00X1.010X0.8710</t>
        </is>
      </c>
      <c r="J947" t="inlineStr">
        <is>
          <t>TVS</t>
        </is>
      </c>
      <c r="K947" t="inlineStr">
        <is>
          <t>19-19-1-CRFH-PE-0.871</t>
        </is>
      </c>
    </row>
    <row r="948">
      <c r="A948" t="inlineStr">
        <is>
          <t>0000189002</t>
        </is>
      </c>
      <c r="B948" t="inlineStr">
        <is>
          <t>Marathwada Auto Compo Pvt. Ltd.</t>
        </is>
      </c>
      <c r="C948" t="inlineStr">
        <is>
          <t>NOS</t>
        </is>
      </c>
      <c r="D948" t="n">
        <v>1000</v>
      </c>
      <c r="E948" t="n">
        <v>872.135</v>
      </c>
      <c r="F948" t="n">
        <v>3605739</v>
      </c>
      <c r="G948" t="inlineStr">
        <is>
          <t>19-19-1-CRFH-PE</t>
        </is>
      </c>
      <c r="H948" t="n">
        <v>487</v>
      </c>
      <c r="I948" t="inlineStr">
        <is>
          <t>TUB-S-AW-AUT-19.00X19.00X1.010X0.8710</t>
        </is>
      </c>
      <c r="J948" t="inlineStr">
        <is>
          <t>TVS</t>
        </is>
      </c>
      <c r="K948" t="inlineStr">
        <is>
          <t>19-19-1-CRFH-PE-0.871</t>
        </is>
      </c>
    </row>
    <row r="949">
      <c r="A949" t="inlineStr">
        <is>
          <t>0000189002</t>
        </is>
      </c>
      <c r="B949" t="inlineStr">
        <is>
          <t>Marathwada Auto Compo Pvt. Ltd.</t>
        </is>
      </c>
      <c r="C949" t="inlineStr">
        <is>
          <t>NOS</t>
        </is>
      </c>
      <c r="D949" t="n">
        <v>648</v>
      </c>
      <c r="E949" t="n">
        <v>565.143</v>
      </c>
      <c r="F949" t="n">
        <v>3605739</v>
      </c>
      <c r="G949" t="inlineStr">
        <is>
          <t>19-19-1-CRFH-PE</t>
        </is>
      </c>
      <c r="H949" t="n">
        <v>315.576</v>
      </c>
      <c r="I949" t="inlineStr">
        <is>
          <t>TUB-S-AW-AUT-19.00X19.00X1.010X0.8710</t>
        </is>
      </c>
      <c r="J949" t="inlineStr">
        <is>
          <t>TVS</t>
        </is>
      </c>
      <c r="K949" t="inlineStr">
        <is>
          <t>19-19-1-CRFH-PE-0.871</t>
        </is>
      </c>
    </row>
    <row r="950">
      <c r="A950" t="inlineStr">
        <is>
          <t>0000189002</t>
        </is>
      </c>
      <c r="B950" t="inlineStr">
        <is>
          <t>Marathwada Auto Compo Pvt. Ltd.</t>
        </is>
      </c>
      <c r="C950" t="inlineStr">
        <is>
          <t>NOS</t>
        </is>
      </c>
      <c r="D950" t="n">
        <v>268</v>
      </c>
      <c r="E950" t="n">
        <v>233.732</v>
      </c>
      <c r="F950" t="n">
        <v>3605739</v>
      </c>
      <c r="G950" t="inlineStr">
        <is>
          <t>19-19-1-CRFH-PE</t>
        </is>
      </c>
      <c r="H950" t="n">
        <v>130.516</v>
      </c>
      <c r="I950" t="inlineStr">
        <is>
          <t>TUB-S-AW-AUT-19.00X19.00X1.010X0.8710</t>
        </is>
      </c>
      <c r="J950" t="inlineStr">
        <is>
          <t>TVS</t>
        </is>
      </c>
      <c r="K950" t="inlineStr">
        <is>
          <t>19-19-1-CRFH-PE-0.871</t>
        </is>
      </c>
    </row>
    <row r="951">
      <c r="A951" t="inlineStr">
        <is>
          <t>0000189002</t>
        </is>
      </c>
      <c r="B951" t="inlineStr">
        <is>
          <t>Marathwada Auto Compo Pvt. Ltd.</t>
        </is>
      </c>
      <c r="C951" t="inlineStr">
        <is>
          <t>NOS</t>
        </is>
      </c>
      <c r="D951" t="n">
        <v>32</v>
      </c>
      <c r="E951" t="n">
        <v>27.908</v>
      </c>
      <c r="F951" t="n">
        <v>3605739</v>
      </c>
      <c r="G951" t="inlineStr">
        <is>
          <t>19-19-1-CRFH-PE</t>
        </is>
      </c>
      <c r="H951" t="n">
        <v>15.584</v>
      </c>
      <c r="I951" t="inlineStr">
        <is>
          <t>TUB-S-AW-AUT-19.00X19.00X1.010X0.8710</t>
        </is>
      </c>
      <c r="J951" t="inlineStr">
        <is>
          <t>TVS</t>
        </is>
      </c>
      <c r="K951" t="inlineStr">
        <is>
          <t>19-19-1-CRFH-PE-0.871</t>
        </is>
      </c>
    </row>
    <row r="952">
      <c r="A952" t="inlineStr">
        <is>
          <t>0000189002</t>
        </is>
      </c>
      <c r="B952" t="inlineStr">
        <is>
          <t>Marathwada Auto Compo Pvt. Ltd.</t>
        </is>
      </c>
      <c r="C952" t="inlineStr">
        <is>
          <t>NOS</t>
        </is>
      </c>
      <c r="D952" t="n">
        <v>24</v>
      </c>
      <c r="E952" t="n">
        <v>20.931</v>
      </c>
      <c r="F952" t="n">
        <v>3605739</v>
      </c>
      <c r="G952" t="inlineStr">
        <is>
          <t>19-19-1-CRFH-PE</t>
        </is>
      </c>
      <c r="H952" t="n">
        <v>11.688</v>
      </c>
      <c r="I952" t="inlineStr">
        <is>
          <t>TUB-S-AW-AUT-19.00X19.00X1.010X0.8710</t>
        </is>
      </c>
      <c r="J952" t="inlineStr">
        <is>
          <t>TVS</t>
        </is>
      </c>
      <c r="K952" t="inlineStr">
        <is>
          <t>19-19-1-CRFH-PE-0.871</t>
        </is>
      </c>
    </row>
    <row r="953">
      <c r="A953" t="inlineStr">
        <is>
          <t>0000189002</t>
        </is>
      </c>
      <c r="B953" t="inlineStr">
        <is>
          <t>Marathwada Auto Compo Pvt. Ltd.</t>
        </is>
      </c>
      <c r="C953" t="inlineStr">
        <is>
          <t>NOS</t>
        </is>
      </c>
      <c r="D953" t="n">
        <v>24</v>
      </c>
      <c r="E953" t="n">
        <v>20.931</v>
      </c>
      <c r="F953" t="n">
        <v>3605739</v>
      </c>
      <c r="G953" t="inlineStr">
        <is>
          <t>19-19-1-CRFH-PE</t>
        </is>
      </c>
      <c r="H953" t="n">
        <v>11.688</v>
      </c>
      <c r="I953" t="inlineStr">
        <is>
          <t>TUB-S-AW-AUT-19.00X19.00X1.010X0.8710</t>
        </is>
      </c>
      <c r="J953" t="inlineStr">
        <is>
          <t>TVS</t>
        </is>
      </c>
      <c r="K953" t="inlineStr">
        <is>
          <t>19-19-1-CRFH-PE-0.871</t>
        </is>
      </c>
    </row>
    <row r="954">
      <c r="A954" t="inlineStr">
        <is>
          <t>0000189002</t>
        </is>
      </c>
      <c r="B954" t="inlineStr">
        <is>
          <t>Marathwada Auto Compo Pvt. Ltd.</t>
        </is>
      </c>
      <c r="C954" t="inlineStr">
        <is>
          <t>NOS</t>
        </is>
      </c>
      <c r="D954" t="n">
        <v>4</v>
      </c>
      <c r="E954" t="n">
        <v>3.489</v>
      </c>
      <c r="F954" t="n">
        <v>3605739</v>
      </c>
      <c r="G954" t="inlineStr">
        <is>
          <t>19-19-1-CRFH-PE</t>
        </is>
      </c>
      <c r="H954" t="n">
        <v>1.948</v>
      </c>
      <c r="I954" t="inlineStr">
        <is>
          <t>TUB-S-AW-AUT-19.00X19.00X1.010X0.8710</t>
        </is>
      </c>
      <c r="J954" t="inlineStr">
        <is>
          <t>TVS</t>
        </is>
      </c>
      <c r="K954" t="inlineStr">
        <is>
          <t>19-19-1-CRFH-PE-0.871</t>
        </is>
      </c>
    </row>
    <row r="955">
      <c r="A955" t="inlineStr">
        <is>
          <t>0000189002</t>
        </is>
      </c>
      <c r="B955" t="inlineStr">
        <is>
          <t>Marathwada Auto Compo Pvt. Ltd.</t>
        </is>
      </c>
      <c r="C955" t="inlineStr">
        <is>
          <t>NOS</t>
        </is>
      </c>
      <c r="D955" t="n">
        <v>500</v>
      </c>
      <c r="E955" t="n">
        <v>649.006</v>
      </c>
      <c r="F955" t="n">
        <v>3935311</v>
      </c>
      <c r="G955" t="inlineStr">
        <is>
          <t>25-25-1.2-CRFH-PE</t>
        </is>
      </c>
      <c r="H955" t="n">
        <v>563.15</v>
      </c>
      <c r="I955" t="inlineStr">
        <is>
          <t>CUT-S-AW-AUT-25.00X25.00X1.200X1.2980</t>
        </is>
      </c>
      <c r="J955" t="inlineStr">
        <is>
          <t>TVS</t>
        </is>
      </c>
      <c r="K955" t="inlineStr">
        <is>
          <t>25-25-1.2-CRFH-PE-1.298</t>
        </is>
      </c>
    </row>
    <row r="956">
      <c r="A956" t="inlineStr">
        <is>
          <t>0000189002</t>
        </is>
      </c>
      <c r="B956" t="inlineStr">
        <is>
          <t>Marathwada Auto Compo Pvt. Ltd.</t>
        </is>
      </c>
      <c r="C956" t="inlineStr">
        <is>
          <t>NOS</t>
        </is>
      </c>
      <c r="D956" t="n">
        <v>500</v>
      </c>
      <c r="E956" t="n">
        <v>649.006</v>
      </c>
      <c r="F956" t="n">
        <v>3935311</v>
      </c>
      <c r="G956" t="inlineStr">
        <is>
          <t>25-25-1.2-CRFH-PE</t>
        </is>
      </c>
      <c r="H956" t="n">
        <v>563.15</v>
      </c>
      <c r="I956" t="inlineStr">
        <is>
          <t>CUT-S-AW-AUT-25.00X25.00X1.200X1.2980</t>
        </is>
      </c>
      <c r="J956" t="inlineStr">
        <is>
          <t>TVS</t>
        </is>
      </c>
      <c r="K956" t="inlineStr">
        <is>
          <t>25-25-1.2-CRFH-PE-1.298</t>
        </is>
      </c>
    </row>
    <row r="957">
      <c r="A957" t="inlineStr">
        <is>
          <t>0000188595</t>
        </is>
      </c>
      <c r="B957" t="inlineStr">
        <is>
          <t>Sri Balaji Gears</t>
        </is>
      </c>
      <c r="C957" t="inlineStr">
        <is>
          <t>NOS</t>
        </is>
      </c>
      <c r="D957" t="n">
        <v>500</v>
      </c>
      <c r="E957" t="n">
        <v>649.006</v>
      </c>
      <c r="F957" t="n">
        <v>3935311</v>
      </c>
      <c r="G957" t="inlineStr">
        <is>
          <t>25-25-1.2-CRFH-PE</t>
        </is>
      </c>
      <c r="H957" t="n">
        <v>563.15</v>
      </c>
      <c r="I957" t="inlineStr">
        <is>
          <t>CUT-S-AW-AUT-25.00X25.00X1.200X1.2980</t>
        </is>
      </c>
      <c r="J957" t="inlineStr">
        <is>
          <t>TVS</t>
        </is>
      </c>
      <c r="K957" t="inlineStr">
        <is>
          <t>25-25-1.2-CRFH-PE-1.298</t>
        </is>
      </c>
    </row>
    <row r="958">
      <c r="A958" t="inlineStr">
        <is>
          <t>0000189002</t>
        </is>
      </c>
      <c r="B958" t="inlineStr">
        <is>
          <t>Marathwada Auto Compo Pvt. Ltd.</t>
        </is>
      </c>
      <c r="C958" t="inlineStr">
        <is>
          <t>NOS</t>
        </is>
      </c>
      <c r="D958" t="n">
        <v>500</v>
      </c>
      <c r="E958" t="n">
        <v>649.006</v>
      </c>
      <c r="F958" t="n">
        <v>3935311</v>
      </c>
      <c r="G958" t="inlineStr">
        <is>
          <t>25-25-1.2-CRFH-PE</t>
        </is>
      </c>
      <c r="H958" t="n">
        <v>563.15</v>
      </c>
      <c r="I958" t="inlineStr">
        <is>
          <t>CUT-S-AW-AUT-25.00X25.00X1.200X1.2980</t>
        </is>
      </c>
      <c r="J958" t="inlineStr">
        <is>
          <t>TVS</t>
        </is>
      </c>
      <c r="K958" t="inlineStr">
        <is>
          <t>25-25-1.2-CRFH-PE-1.298</t>
        </is>
      </c>
    </row>
    <row r="959">
      <c r="A959" t="inlineStr">
        <is>
          <t>0000189002</t>
        </is>
      </c>
      <c r="B959" t="inlineStr">
        <is>
          <t>Marathwada Auto Compo Pvt. Ltd.</t>
        </is>
      </c>
      <c r="C959" t="inlineStr">
        <is>
          <t>NOS</t>
        </is>
      </c>
      <c r="D959" t="n">
        <v>219</v>
      </c>
      <c r="E959" t="n">
        <v>284.265</v>
      </c>
      <c r="F959" t="n">
        <v>3935311</v>
      </c>
      <c r="G959" t="inlineStr">
        <is>
          <t>25-25-1.2-CRFH-PE</t>
        </is>
      </c>
      <c r="H959" t="n">
        <v>246.66</v>
      </c>
      <c r="I959" t="inlineStr">
        <is>
          <t>CUT-S-AW-AUT-25.00X25.00X1.200X1.2980</t>
        </is>
      </c>
      <c r="J959" t="inlineStr">
        <is>
          <t>TVS</t>
        </is>
      </c>
      <c r="K959" t="inlineStr">
        <is>
          <t>25-25-1.2-CRFH-PE-1.298</t>
        </is>
      </c>
    </row>
    <row r="960">
      <c r="A960" t="inlineStr">
        <is>
          <t>0000189002</t>
        </is>
      </c>
      <c r="B960" t="inlineStr">
        <is>
          <t>Marathwada Auto Compo Pvt. Ltd.</t>
        </is>
      </c>
      <c r="C960" t="inlineStr">
        <is>
          <t>NOS</t>
        </is>
      </c>
      <c r="D960" t="n">
        <v>125</v>
      </c>
      <c r="E960" t="n">
        <v>162.252</v>
      </c>
      <c r="F960" t="n">
        <v>3935311</v>
      </c>
      <c r="G960" t="inlineStr">
        <is>
          <t>25-25-1.2-CRFH-PE</t>
        </is>
      </c>
      <c r="H960" t="n">
        <v>140.788</v>
      </c>
      <c r="I960" t="inlineStr">
        <is>
          <t>CUT-S-AW-AUT-25.00X25.00X1.200X1.2980</t>
        </is>
      </c>
      <c r="J960" t="inlineStr">
        <is>
          <t>TVS</t>
        </is>
      </c>
      <c r="K960" t="inlineStr">
        <is>
          <t>25-25-1.2-CRFH-PE-1.298</t>
        </is>
      </c>
    </row>
    <row r="961">
      <c r="A961" t="inlineStr">
        <is>
          <t>0000189002</t>
        </is>
      </c>
      <c r="B961" t="inlineStr">
        <is>
          <t>Marathwada Auto Compo Pvt. Ltd.</t>
        </is>
      </c>
      <c r="C961" t="inlineStr">
        <is>
          <t>NOS</t>
        </is>
      </c>
      <c r="D961" t="n">
        <v>63</v>
      </c>
      <c r="E961" t="n">
        <v>81.77500000000001</v>
      </c>
      <c r="F961" t="n">
        <v>3935311</v>
      </c>
      <c r="G961" t="inlineStr">
        <is>
          <t>25-25-1.2-CRFH-PE</t>
        </is>
      </c>
      <c r="H961" t="n">
        <v>70.95699999999999</v>
      </c>
      <c r="I961" t="inlineStr">
        <is>
          <t>CUT-S-AW-AUT-25.00X25.00X1.200X1.2980</t>
        </is>
      </c>
      <c r="J961" t="inlineStr">
        <is>
          <t>TVS</t>
        </is>
      </c>
      <c r="K961" t="inlineStr">
        <is>
          <t>25-25-1.2-CRFH-PE-1.298</t>
        </is>
      </c>
    </row>
    <row r="962">
      <c r="A962" t="inlineStr">
        <is>
          <t>0000189002</t>
        </is>
      </c>
      <c r="B962" t="inlineStr">
        <is>
          <t>Marathwada Auto Compo Pvt. Ltd.</t>
        </is>
      </c>
      <c r="C962" t="inlineStr">
        <is>
          <t>NOS</t>
        </is>
      </c>
      <c r="D962" t="n">
        <v>47</v>
      </c>
      <c r="E962" t="n">
        <v>61.007</v>
      </c>
      <c r="F962" t="n">
        <v>3935311</v>
      </c>
      <c r="G962" t="inlineStr">
        <is>
          <t>25-25-1.2-CRFH-PE</t>
        </is>
      </c>
      <c r="H962" t="n">
        <v>52.936</v>
      </c>
      <c r="I962" t="inlineStr">
        <is>
          <t>CUT-S-AW-AUT-25.00X25.00X1.200X1.2980</t>
        </is>
      </c>
      <c r="J962" t="inlineStr">
        <is>
          <t>TVS</t>
        </is>
      </c>
      <c r="K962" t="inlineStr">
        <is>
          <t>25-25-1.2-CRFH-PE-1.298</t>
        </is>
      </c>
    </row>
    <row r="963">
      <c r="A963" t="inlineStr">
        <is>
          <t>0000189002</t>
        </is>
      </c>
      <c r="B963" t="inlineStr">
        <is>
          <t>Marathwada Auto Compo Pvt. Ltd.</t>
        </is>
      </c>
      <c r="C963" t="inlineStr">
        <is>
          <t>NOS</t>
        </is>
      </c>
      <c r="D963" t="n">
        <v>42</v>
      </c>
      <c r="E963" t="n">
        <v>54.517</v>
      </c>
      <c r="F963" t="n">
        <v>3935311</v>
      </c>
      <c r="G963" t="inlineStr">
        <is>
          <t>25-25-1.2-CRFH-PE</t>
        </is>
      </c>
      <c r="H963" t="n">
        <v>47.305</v>
      </c>
      <c r="I963" t="inlineStr">
        <is>
          <t>CUT-S-AW-AUT-25.00X25.00X1.200X1.2980</t>
        </is>
      </c>
      <c r="J963" t="inlineStr">
        <is>
          <t>TVS</t>
        </is>
      </c>
      <c r="K963" t="inlineStr">
        <is>
          <t>25-25-1.2-CRFH-PE-1.298</t>
        </is>
      </c>
    </row>
    <row r="964">
      <c r="A964" t="inlineStr">
        <is>
          <t>0000189002</t>
        </is>
      </c>
      <c r="B964" t="inlineStr">
        <is>
          <t>Marathwada Auto Compo Pvt. Ltd.</t>
        </is>
      </c>
      <c r="C964" t="inlineStr">
        <is>
          <t>NOS</t>
        </is>
      </c>
      <c r="D964" t="n">
        <v>4</v>
      </c>
      <c r="E964" t="n">
        <v>5.192</v>
      </c>
      <c r="F964" t="n">
        <v>3935311</v>
      </c>
      <c r="G964" t="inlineStr">
        <is>
          <t>25-25-1.2-CRFH-PE</t>
        </is>
      </c>
      <c r="H964" t="n">
        <v>4.505</v>
      </c>
      <c r="I964" t="inlineStr">
        <is>
          <t>CUT-S-AW-AUT-25.00X25.00X1.200X1.2980</t>
        </is>
      </c>
      <c r="J964" t="inlineStr">
        <is>
          <t>TVS</t>
        </is>
      </c>
      <c r="K964" t="inlineStr">
        <is>
          <t>25-25-1.2-CRFH-PE-1.298</t>
        </is>
      </c>
    </row>
    <row r="965">
      <c r="A965" t="inlineStr">
        <is>
          <t>0000189002</t>
        </is>
      </c>
      <c r="B965" t="inlineStr">
        <is>
          <t>Marathwada Auto Compo Pvt. Ltd.</t>
        </is>
      </c>
      <c r="C965" t="inlineStr">
        <is>
          <t>NOS</t>
        </is>
      </c>
      <c r="D965" t="n">
        <v>500</v>
      </c>
      <c r="E965" t="n">
        <v>649.006</v>
      </c>
      <c r="F965" t="n">
        <v>3935311</v>
      </c>
      <c r="G965" t="inlineStr">
        <is>
          <t>25-25-1.2-CRFH-PE</t>
        </is>
      </c>
      <c r="H965" t="n">
        <v>563.15</v>
      </c>
      <c r="I965" t="inlineStr">
        <is>
          <t>CUT-S-AW-AUT-25.00X25.00X1.200X1.2980</t>
        </is>
      </c>
      <c r="J965" t="inlineStr">
        <is>
          <t>TVS</t>
        </is>
      </c>
      <c r="K965" t="inlineStr">
        <is>
          <t>25-25-1.2-CRFH-PE-1.298</t>
        </is>
      </c>
    </row>
    <row r="966">
      <c r="A966" t="inlineStr">
        <is>
          <t>0000189002</t>
        </is>
      </c>
      <c r="B966" t="inlineStr">
        <is>
          <t>Marathwada Auto Compo Pvt. Ltd.</t>
        </is>
      </c>
      <c r="C966" t="inlineStr">
        <is>
          <t>NOS</t>
        </is>
      </c>
      <c r="D966" t="n">
        <v>500</v>
      </c>
      <c r="E966" t="n">
        <v>649.006</v>
      </c>
      <c r="F966" t="n">
        <v>3935311</v>
      </c>
      <c r="G966" t="inlineStr">
        <is>
          <t>25-25-1.2-CRFH-PE</t>
        </is>
      </c>
      <c r="H966" t="n">
        <v>563.15</v>
      </c>
      <c r="I966" t="inlineStr">
        <is>
          <t>CUT-S-AW-AUT-25.00X25.00X1.200X1.2980</t>
        </is>
      </c>
      <c r="J966" t="inlineStr">
        <is>
          <t>TVS</t>
        </is>
      </c>
      <c r="K966" t="inlineStr">
        <is>
          <t>25-25-1.2-CRFH-PE-1.298</t>
        </is>
      </c>
    </row>
    <row r="967">
      <c r="A967" t="inlineStr">
        <is>
          <t>0000189002</t>
        </is>
      </c>
      <c r="B967" t="inlineStr">
        <is>
          <t>Marathwada Auto Compo Pvt. Ltd.</t>
        </is>
      </c>
      <c r="C967" t="inlineStr">
        <is>
          <t>NOS</t>
        </is>
      </c>
      <c r="D967" t="n">
        <v>1000</v>
      </c>
      <c r="E967" t="n">
        <v>787.175</v>
      </c>
      <c r="F967" t="n">
        <v>3230482</v>
      </c>
      <c r="G967" t="inlineStr">
        <is>
          <t>25-25-1.2-CRFH-PE</t>
        </is>
      </c>
      <c r="H967" t="n">
        <v>712</v>
      </c>
      <c r="I967" t="inlineStr">
        <is>
          <t>TUB-S-AW-AUT-25.00X25.00X1.200X0.7870</t>
        </is>
      </c>
      <c r="J967" t="inlineStr">
        <is>
          <t>TVS</t>
        </is>
      </c>
      <c r="K967" t="inlineStr">
        <is>
          <t>25-25-1.2-CRFH-PE-0.787</t>
        </is>
      </c>
    </row>
    <row r="968">
      <c r="A968" t="inlineStr">
        <is>
          <t>0000189002</t>
        </is>
      </c>
      <c r="B968" t="inlineStr">
        <is>
          <t>Marathwada Auto Compo Pvt. Ltd.</t>
        </is>
      </c>
      <c r="C968" t="inlineStr">
        <is>
          <t>NOS</t>
        </is>
      </c>
      <c r="D968" t="n">
        <v>1000</v>
      </c>
      <c r="E968" t="n">
        <v>787.175</v>
      </c>
      <c r="F968" t="n">
        <v>3230482</v>
      </c>
      <c r="G968" t="inlineStr">
        <is>
          <t>25-25-1.2-CRFH-PE</t>
        </is>
      </c>
      <c r="H968" t="n">
        <v>712</v>
      </c>
      <c r="I968" t="inlineStr">
        <is>
          <t>TUB-S-AW-AUT-25.00X25.00X1.200X0.7870</t>
        </is>
      </c>
      <c r="J968" t="inlineStr">
        <is>
          <t>TVS</t>
        </is>
      </c>
      <c r="K968" t="inlineStr">
        <is>
          <t>25-25-1.2-CRFH-PE-0.787</t>
        </is>
      </c>
    </row>
    <row r="969">
      <c r="A969" t="inlineStr">
        <is>
          <t>0000188595</t>
        </is>
      </c>
      <c r="B969" t="inlineStr">
        <is>
          <t>Sri Balaji Gears</t>
        </is>
      </c>
      <c r="C969" t="inlineStr">
        <is>
          <t>NOS</t>
        </is>
      </c>
      <c r="D969" t="n">
        <v>1000</v>
      </c>
      <c r="E969" t="n">
        <v>787.175</v>
      </c>
      <c r="F969" t="n">
        <v>3230482</v>
      </c>
      <c r="G969" t="inlineStr">
        <is>
          <t>25-25-1.2-CRFH-PE</t>
        </is>
      </c>
      <c r="H969" t="n">
        <v>712</v>
      </c>
      <c r="I969" t="inlineStr">
        <is>
          <t>TUB-S-AW-AUT-25.00X25.00X1.200X0.7870</t>
        </is>
      </c>
      <c r="J969" t="inlineStr">
        <is>
          <t>TVS</t>
        </is>
      </c>
      <c r="K969" t="inlineStr">
        <is>
          <t>25-25-1.2-CRFH-PE-0.787</t>
        </is>
      </c>
    </row>
    <row r="970">
      <c r="A970" t="inlineStr">
        <is>
          <t>0000189002</t>
        </is>
      </c>
      <c r="B970" t="inlineStr">
        <is>
          <t>Marathwada Auto Compo Pvt. Ltd.</t>
        </is>
      </c>
      <c r="C970" t="inlineStr">
        <is>
          <t>NOS</t>
        </is>
      </c>
      <c r="D970" t="n">
        <v>1000</v>
      </c>
      <c r="E970" t="n">
        <v>787.175</v>
      </c>
      <c r="F970" t="n">
        <v>3230482</v>
      </c>
      <c r="G970" t="inlineStr">
        <is>
          <t>25-25-1.2-CRFH-PE</t>
        </is>
      </c>
      <c r="H970" t="n">
        <v>712</v>
      </c>
      <c r="I970" t="inlineStr">
        <is>
          <t>TUB-S-AW-AUT-25.00X25.00X1.200X0.7870</t>
        </is>
      </c>
      <c r="J970" t="inlineStr">
        <is>
          <t>TVS</t>
        </is>
      </c>
      <c r="K970" t="inlineStr">
        <is>
          <t>25-25-1.2-CRFH-PE-0.787</t>
        </is>
      </c>
    </row>
    <row r="971">
      <c r="A971" t="inlineStr">
        <is>
          <t>0000189002</t>
        </is>
      </c>
      <c r="B971" t="inlineStr">
        <is>
          <t>Marathwada Auto Compo Pvt. Ltd.</t>
        </is>
      </c>
      <c r="C971" t="inlineStr">
        <is>
          <t>NOS</t>
        </is>
      </c>
      <c r="D971" t="n">
        <v>1000</v>
      </c>
      <c r="E971" t="n">
        <v>787.175</v>
      </c>
      <c r="F971" t="n">
        <v>3230482</v>
      </c>
      <c r="G971" t="inlineStr">
        <is>
          <t>25-25-1.2-CRFH-PE</t>
        </is>
      </c>
      <c r="H971" t="n">
        <v>712</v>
      </c>
      <c r="I971" t="inlineStr">
        <is>
          <t>TUB-S-AW-AUT-25.00X25.00X1.200X0.7870</t>
        </is>
      </c>
      <c r="J971" t="inlineStr">
        <is>
          <t>TVS</t>
        </is>
      </c>
      <c r="K971" t="inlineStr">
        <is>
          <t>25-25-1.2-CRFH-PE-0.787</t>
        </is>
      </c>
    </row>
    <row r="972">
      <c r="A972" t="inlineStr">
        <is>
          <t>0000189002</t>
        </is>
      </c>
      <c r="B972" t="inlineStr">
        <is>
          <t>Marathwada Auto Compo Pvt. Ltd.</t>
        </is>
      </c>
      <c r="C972" t="inlineStr">
        <is>
          <t>NOS</t>
        </is>
      </c>
      <c r="D972" t="n">
        <v>599</v>
      </c>
      <c r="E972" t="n">
        <v>471.518</v>
      </c>
      <c r="F972" t="n">
        <v>3230482</v>
      </c>
      <c r="G972" t="inlineStr">
        <is>
          <t>25-25-1.2-CRFH-PE</t>
        </is>
      </c>
      <c r="H972" t="n">
        <v>426.488</v>
      </c>
      <c r="I972" t="inlineStr">
        <is>
          <t>TUB-S-AW-AUT-25.00X25.00X1.200X0.7870</t>
        </is>
      </c>
      <c r="J972" t="inlineStr">
        <is>
          <t>TVS</t>
        </is>
      </c>
      <c r="K972" t="inlineStr">
        <is>
          <t>25-25-1.2-CRFH-PE-0.787</t>
        </is>
      </c>
    </row>
    <row r="973">
      <c r="A973" t="inlineStr">
        <is>
          <t>0000189002</t>
        </is>
      </c>
      <c r="B973" t="inlineStr">
        <is>
          <t>Marathwada Auto Compo Pvt. Ltd.</t>
        </is>
      </c>
      <c r="C973" t="inlineStr">
        <is>
          <t>NOS</t>
        </is>
      </c>
      <c r="D973" t="n">
        <v>401</v>
      </c>
      <c r="E973" t="n">
        <v>315.657</v>
      </c>
      <c r="F973" t="n">
        <v>3230482</v>
      </c>
      <c r="G973" t="inlineStr">
        <is>
          <t>25-25-1.2-CRFH-PE</t>
        </is>
      </c>
      <c r="H973" t="n">
        <v>285.512</v>
      </c>
      <c r="I973" t="inlineStr">
        <is>
          <t>TUB-S-AW-AUT-25.00X25.00X1.200X0.7870</t>
        </is>
      </c>
      <c r="J973" t="inlineStr">
        <is>
          <t>TVS</t>
        </is>
      </c>
      <c r="K973" t="inlineStr">
        <is>
          <t>25-25-1.2-CRFH-PE-0.787</t>
        </is>
      </c>
    </row>
    <row r="974">
      <c r="A974" t="inlineStr">
        <is>
          <t>0000189002</t>
        </is>
      </c>
      <c r="B974" t="inlineStr">
        <is>
          <t>Marathwada Auto Compo Pvt. Ltd.</t>
        </is>
      </c>
      <c r="C974" t="inlineStr">
        <is>
          <t>NOS</t>
        </is>
      </c>
      <c r="D974" t="n">
        <v>724</v>
      </c>
      <c r="E974" t="n">
        <v>569.915</v>
      </c>
      <c r="F974" t="n">
        <v>3230482</v>
      </c>
      <c r="G974" t="inlineStr">
        <is>
          <t>25-25-1.2-CRFH-PE</t>
        </is>
      </c>
      <c r="H974" t="n">
        <v>515.4880000000001</v>
      </c>
      <c r="I974" t="inlineStr">
        <is>
          <t>TUB-S-AW-AUT-25.00X25.00X1.200X0.7870</t>
        </is>
      </c>
      <c r="J974" t="inlineStr">
        <is>
          <t>TVS</t>
        </is>
      </c>
      <c r="K974" t="inlineStr">
        <is>
          <t>25-25-1.2-CRFH-PE-0.787</t>
        </is>
      </c>
    </row>
    <row r="975">
      <c r="A975" t="inlineStr">
        <is>
          <t>0000189002</t>
        </is>
      </c>
      <c r="B975" t="inlineStr">
        <is>
          <t>Marathwada Auto Compo Pvt. Ltd.</t>
        </is>
      </c>
      <c r="C975" t="inlineStr">
        <is>
          <t>NOS</t>
        </is>
      </c>
      <c r="D975" t="n">
        <v>276</v>
      </c>
      <c r="E975" t="n">
        <v>217.26</v>
      </c>
      <c r="F975" t="n">
        <v>3230482</v>
      </c>
      <c r="G975" t="inlineStr">
        <is>
          <t>25-25-1.2-CRFH-PE</t>
        </is>
      </c>
      <c r="H975" t="n">
        <v>196.512</v>
      </c>
      <c r="I975" t="inlineStr">
        <is>
          <t>TUB-S-AW-AUT-25.00X25.00X1.200X0.7870</t>
        </is>
      </c>
      <c r="J975" t="inlineStr">
        <is>
          <t>TVS</t>
        </is>
      </c>
      <c r="K975" t="inlineStr">
        <is>
          <t>25-25-1.2-CRFH-PE-0.787</t>
        </is>
      </c>
    </row>
    <row r="976">
      <c r="A976" t="inlineStr">
        <is>
          <t>0000189002</t>
        </is>
      </c>
      <c r="B976" t="inlineStr">
        <is>
          <t>Marathwada Auto Compo Pvt. Ltd.</t>
        </is>
      </c>
      <c r="C976" t="inlineStr">
        <is>
          <t>NOS</t>
        </is>
      </c>
      <c r="D976" t="n">
        <v>1000</v>
      </c>
      <c r="E976" t="n">
        <v>682.0069999999999</v>
      </c>
      <c r="F976" t="n">
        <v>3929540</v>
      </c>
      <c r="G976" t="inlineStr">
        <is>
          <t>19-19-1.2-CRFH-PE</t>
        </is>
      </c>
      <c r="H976" t="n">
        <v>360.267</v>
      </c>
      <c r="I976" t="inlineStr">
        <is>
          <t>CUT-O-N-AUT-AW-PE-19.05X1.200X0.6820</t>
        </is>
      </c>
      <c r="J976" t="inlineStr">
        <is>
          <t>TVS</t>
        </is>
      </c>
      <c r="K976" t="inlineStr">
        <is>
          <t>19-19-1.2-CRFH-PE-0.682</t>
        </is>
      </c>
    </row>
    <row r="977">
      <c r="A977" t="inlineStr">
        <is>
          <t>0000189002</t>
        </is>
      </c>
      <c r="B977" t="inlineStr">
        <is>
          <t>Marathwada Auto Compo Pvt. Ltd.</t>
        </is>
      </c>
      <c r="C977" t="inlineStr">
        <is>
          <t>NOS</t>
        </is>
      </c>
      <c r="D977" t="n">
        <v>1000</v>
      </c>
      <c r="E977" t="n">
        <v>682.0069999999999</v>
      </c>
      <c r="F977" t="n">
        <v>3929540</v>
      </c>
      <c r="G977" t="inlineStr">
        <is>
          <t>19-19-1.2-CRFH-PE</t>
        </is>
      </c>
      <c r="H977" t="n">
        <v>360.267</v>
      </c>
      <c r="I977" t="inlineStr">
        <is>
          <t>CUT-O-N-AUT-AW-PE-19.05X1.200X0.6820</t>
        </is>
      </c>
      <c r="J977" t="inlineStr">
        <is>
          <t>TVS</t>
        </is>
      </c>
      <c r="K977" t="inlineStr">
        <is>
          <t>19-19-1.2-CRFH-PE-0.682</t>
        </is>
      </c>
    </row>
    <row r="978">
      <c r="A978" t="inlineStr">
        <is>
          <t>0000188595</t>
        </is>
      </c>
      <c r="B978" t="inlineStr">
        <is>
          <t>Sri Balaji Gears</t>
        </is>
      </c>
      <c r="C978" t="inlineStr">
        <is>
          <t>NOS</t>
        </is>
      </c>
      <c r="D978" t="n">
        <v>1000</v>
      </c>
      <c r="E978" t="n">
        <v>682.0069999999999</v>
      </c>
      <c r="F978" t="n">
        <v>3929540</v>
      </c>
      <c r="G978" t="inlineStr">
        <is>
          <t>19-19-1.2-CRFH-PE</t>
        </is>
      </c>
      <c r="H978" t="n">
        <v>360.267</v>
      </c>
      <c r="I978" t="inlineStr">
        <is>
          <t>CUT-O-N-AUT-AW-PE-19.05X1.200X0.6820</t>
        </is>
      </c>
      <c r="J978" t="inlineStr">
        <is>
          <t>TVS</t>
        </is>
      </c>
      <c r="K978" t="inlineStr">
        <is>
          <t>19-19-1.2-CRFH-PE-0.682</t>
        </is>
      </c>
    </row>
    <row r="979">
      <c r="A979" t="inlineStr">
        <is>
          <t>0000189002</t>
        </is>
      </c>
      <c r="B979" t="inlineStr">
        <is>
          <t>Marathwada Auto Compo Pvt. Ltd.</t>
        </is>
      </c>
      <c r="C979" t="inlineStr">
        <is>
          <t>NOS</t>
        </is>
      </c>
      <c r="D979" t="n">
        <v>1000</v>
      </c>
      <c r="E979" t="n">
        <v>682.0069999999999</v>
      </c>
      <c r="F979" t="n">
        <v>3929540</v>
      </c>
      <c r="G979" t="inlineStr">
        <is>
          <t>19-19-1.2-CRFH-PE</t>
        </is>
      </c>
      <c r="H979" t="n">
        <v>360.267</v>
      </c>
      <c r="I979" t="inlineStr">
        <is>
          <t>CUT-O-N-AUT-AW-PE-19.05X1.200X0.6820</t>
        </is>
      </c>
      <c r="J979" t="inlineStr">
        <is>
          <t>TVS</t>
        </is>
      </c>
      <c r="K979" t="inlineStr">
        <is>
          <t>19-19-1.2-CRFH-PE-0.682</t>
        </is>
      </c>
    </row>
    <row r="980">
      <c r="A980" t="inlineStr">
        <is>
          <t>0000189002</t>
        </is>
      </c>
      <c r="B980" t="inlineStr">
        <is>
          <t>Marathwada Auto Compo Pvt. Ltd.</t>
        </is>
      </c>
      <c r="C980" t="inlineStr">
        <is>
          <t>NOS</t>
        </is>
      </c>
      <c r="D980" t="n">
        <v>1000</v>
      </c>
      <c r="E980" t="n">
        <v>682.0069999999999</v>
      </c>
      <c r="F980" t="n">
        <v>3929540</v>
      </c>
      <c r="G980" t="inlineStr">
        <is>
          <t>19-19-1.2-CRFH-PE</t>
        </is>
      </c>
      <c r="H980" t="n">
        <v>360.267</v>
      </c>
      <c r="I980" t="inlineStr">
        <is>
          <t>CUT-O-N-AUT-AW-PE-19.05X1.200X0.6820</t>
        </is>
      </c>
      <c r="J980" t="inlineStr">
        <is>
          <t>TVS</t>
        </is>
      </c>
      <c r="K980" t="inlineStr">
        <is>
          <t>19-19-1.2-CRFH-PE-0.682</t>
        </is>
      </c>
    </row>
    <row r="981">
      <c r="A981" t="inlineStr">
        <is>
          <t>0000189002</t>
        </is>
      </c>
      <c r="B981" t="inlineStr">
        <is>
          <t>Marathwada Auto Compo Pvt. Ltd.</t>
        </is>
      </c>
      <c r="C981" t="inlineStr">
        <is>
          <t>NOS</t>
        </is>
      </c>
      <c r="D981" t="n">
        <v>1000</v>
      </c>
      <c r="E981" t="n">
        <v>682.0069999999999</v>
      </c>
      <c r="F981" t="n">
        <v>3929540</v>
      </c>
      <c r="G981" t="inlineStr">
        <is>
          <t>19-19-1.2-CRFH-PE</t>
        </is>
      </c>
      <c r="H981" t="n">
        <v>360.267</v>
      </c>
      <c r="I981" t="inlineStr">
        <is>
          <t>CUT-O-N-AUT-AW-PE-19.05X1.200X0.6820</t>
        </is>
      </c>
      <c r="J981" t="inlineStr">
        <is>
          <t>TVS</t>
        </is>
      </c>
      <c r="K981" t="inlineStr">
        <is>
          <t>19-19-1.2-CRFH-PE-0.682</t>
        </is>
      </c>
    </row>
    <row r="982">
      <c r="A982" t="inlineStr">
        <is>
          <t>0000189002</t>
        </is>
      </c>
      <c r="B982" t="inlineStr">
        <is>
          <t>Marathwada Auto Compo Pvt. Ltd.</t>
        </is>
      </c>
      <c r="C982" t="inlineStr">
        <is>
          <t>NOS</t>
        </is>
      </c>
      <c r="D982" t="n">
        <v>800</v>
      </c>
      <c r="E982" t="n">
        <v>545.606</v>
      </c>
      <c r="F982" t="n">
        <v>3929540</v>
      </c>
      <c r="G982" t="inlineStr">
        <is>
          <t>19-19-1.2-CRFH-PE</t>
        </is>
      </c>
      <c r="H982" t="n">
        <v>288.213</v>
      </c>
      <c r="I982" t="inlineStr">
        <is>
          <t>CUT-O-N-AUT-AW-PE-19.05X1.200X0.6820</t>
        </is>
      </c>
      <c r="J982" t="inlineStr">
        <is>
          <t>TVS</t>
        </is>
      </c>
      <c r="K982" t="inlineStr">
        <is>
          <t>19-19-1.2-CRFH-PE-0.682</t>
        </is>
      </c>
    </row>
    <row r="983">
      <c r="A983" t="inlineStr">
        <is>
          <t>0000189002</t>
        </is>
      </c>
      <c r="B983" t="inlineStr">
        <is>
          <t>Marathwada Auto Compo Pvt. Ltd.</t>
        </is>
      </c>
      <c r="C983" t="inlineStr">
        <is>
          <t>NOS</t>
        </is>
      </c>
      <c r="D983" t="n">
        <v>200</v>
      </c>
      <c r="E983" t="n">
        <v>136.401</v>
      </c>
      <c r="F983" t="n">
        <v>3929540</v>
      </c>
      <c r="G983" t="inlineStr">
        <is>
          <t>19-19-1.2-CRFH-PE</t>
        </is>
      </c>
      <c r="H983" t="n">
        <v>72.053</v>
      </c>
      <c r="I983" t="inlineStr">
        <is>
          <t>CUT-O-N-AUT-AW-PE-19.05X1.200X0.6820</t>
        </is>
      </c>
      <c r="J983" t="inlineStr">
        <is>
          <t>TVS</t>
        </is>
      </c>
      <c r="K983" t="inlineStr">
        <is>
          <t>19-19-1.2-CRFH-PE-0.682</t>
        </is>
      </c>
    </row>
    <row r="984">
      <c r="A984" t="inlineStr">
        <is>
          <t>0000189002</t>
        </is>
      </c>
      <c r="B984" t="inlineStr">
        <is>
          <t>Marathwada Auto Compo Pvt. Ltd.</t>
        </is>
      </c>
      <c r="C984" t="inlineStr">
        <is>
          <t>NOS</t>
        </is>
      </c>
      <c r="D984" t="n">
        <v>1000</v>
      </c>
      <c r="E984" t="n">
        <v>220.615</v>
      </c>
      <c r="F984" t="n">
        <v>3230495</v>
      </c>
      <c r="G984" t="inlineStr">
        <is>
          <t>30-30-1.2-CRFH-PE</t>
        </is>
      </c>
      <c r="H984" t="n">
        <v>241</v>
      </c>
      <c r="I984" t="inlineStr">
        <is>
          <t>TUB-S-AW-AUT-30.00X30.00X1.200X0.2200</t>
        </is>
      </c>
      <c r="J984" t="inlineStr">
        <is>
          <t>TVS</t>
        </is>
      </c>
      <c r="K984" t="inlineStr">
        <is>
          <t>30-30-1.2-CRFH-PE-0.22</t>
        </is>
      </c>
    </row>
    <row r="985">
      <c r="A985" t="inlineStr">
        <is>
          <t>0000189002</t>
        </is>
      </c>
      <c r="B985" t="inlineStr">
        <is>
          <t>Marathwada Auto Compo Pvt. Ltd.</t>
        </is>
      </c>
      <c r="C985" t="inlineStr">
        <is>
          <t>NOS</t>
        </is>
      </c>
      <c r="D985" t="n">
        <v>1000</v>
      </c>
      <c r="E985" t="n">
        <v>220.615</v>
      </c>
      <c r="F985" t="n">
        <v>3230495</v>
      </c>
      <c r="G985" t="inlineStr">
        <is>
          <t>30-30-1.2-CRFH-PE</t>
        </is>
      </c>
      <c r="H985" t="n">
        <v>241</v>
      </c>
      <c r="I985" t="inlineStr">
        <is>
          <t>TUB-S-AW-AUT-30.00X30.00X1.200X0.2200</t>
        </is>
      </c>
      <c r="J985" t="inlineStr">
        <is>
          <t>TVS</t>
        </is>
      </c>
      <c r="K985" t="inlineStr">
        <is>
          <t>30-30-1.2-CRFH-PE-0.22</t>
        </is>
      </c>
    </row>
    <row r="986">
      <c r="A986" t="inlineStr">
        <is>
          <t>0000188595</t>
        </is>
      </c>
      <c r="B986" t="inlineStr">
        <is>
          <t>Sri Balaji Gears</t>
        </is>
      </c>
      <c r="C986" t="inlineStr">
        <is>
          <t>NOS</t>
        </is>
      </c>
      <c r="D986" t="n">
        <v>1000</v>
      </c>
      <c r="E986" t="n">
        <v>220.615</v>
      </c>
      <c r="F986" t="n">
        <v>3230495</v>
      </c>
      <c r="G986" t="inlineStr">
        <is>
          <t>30-30-1.2-CRFH-PE</t>
        </is>
      </c>
      <c r="H986" t="n">
        <v>241</v>
      </c>
      <c r="I986" t="inlineStr">
        <is>
          <t>TUB-S-AW-AUT-30.00X30.00X1.200X0.2200</t>
        </is>
      </c>
      <c r="J986" t="inlineStr">
        <is>
          <t>TVS</t>
        </is>
      </c>
      <c r="K986" t="inlineStr">
        <is>
          <t>30-30-1.2-CRFH-PE-0.22</t>
        </is>
      </c>
    </row>
    <row r="987">
      <c r="A987" t="inlineStr">
        <is>
          <t>0000189002</t>
        </is>
      </c>
      <c r="B987" t="inlineStr">
        <is>
          <t>Marathwada Auto Compo Pvt. Ltd.</t>
        </is>
      </c>
      <c r="C987" t="inlineStr">
        <is>
          <t>NOS</t>
        </is>
      </c>
      <c r="D987" t="n">
        <v>1000</v>
      </c>
      <c r="E987" t="n">
        <v>220.615</v>
      </c>
      <c r="F987" t="n">
        <v>3230495</v>
      </c>
      <c r="G987" t="inlineStr">
        <is>
          <t>30-30-1.2-CRFH-PE</t>
        </is>
      </c>
      <c r="H987" t="n">
        <v>241</v>
      </c>
      <c r="I987" t="inlineStr">
        <is>
          <t>TUB-S-AW-AUT-30.00X30.00X1.200X0.2200</t>
        </is>
      </c>
      <c r="J987" t="inlineStr">
        <is>
          <t>TVS</t>
        </is>
      </c>
      <c r="K987" t="inlineStr">
        <is>
          <t>30-30-1.2-CRFH-PE-0.22</t>
        </is>
      </c>
    </row>
    <row r="988">
      <c r="A988" t="inlineStr">
        <is>
          <t>0000189002</t>
        </is>
      </c>
      <c r="B988" t="inlineStr">
        <is>
          <t>Marathwada Auto Compo Pvt. Ltd.</t>
        </is>
      </c>
      <c r="C988" t="inlineStr">
        <is>
          <t>NOS</t>
        </is>
      </c>
      <c r="D988" t="n">
        <v>1000</v>
      </c>
      <c r="E988" t="n">
        <v>220.615</v>
      </c>
      <c r="F988" t="n">
        <v>3230495</v>
      </c>
      <c r="G988" t="inlineStr">
        <is>
          <t>30-30-1.2-CRFH-PE</t>
        </is>
      </c>
      <c r="H988" t="n">
        <v>241</v>
      </c>
      <c r="I988" t="inlineStr">
        <is>
          <t>TUB-S-AW-AUT-30.00X30.00X1.200X0.2200</t>
        </is>
      </c>
      <c r="J988" t="inlineStr">
        <is>
          <t>TVS</t>
        </is>
      </c>
      <c r="K988" t="inlineStr">
        <is>
          <t>30-30-1.2-CRFH-PE-0.22</t>
        </is>
      </c>
    </row>
    <row r="989">
      <c r="A989" t="inlineStr">
        <is>
          <t>0000189002</t>
        </is>
      </c>
      <c r="B989" t="inlineStr">
        <is>
          <t>Marathwada Auto Compo Pvt. Ltd.</t>
        </is>
      </c>
      <c r="C989" t="inlineStr">
        <is>
          <t>NOS</t>
        </is>
      </c>
      <c r="D989" t="n">
        <v>887</v>
      </c>
      <c r="E989" t="n">
        <v>195.686</v>
      </c>
      <c r="F989" t="n">
        <v>3230495</v>
      </c>
      <c r="G989" t="inlineStr">
        <is>
          <t>30-30-1.2-CRFH-PE</t>
        </is>
      </c>
      <c r="H989" t="n">
        <v>213.767</v>
      </c>
      <c r="I989" t="inlineStr">
        <is>
          <t>TUB-S-AW-AUT-30.00X30.00X1.200X0.2200</t>
        </is>
      </c>
      <c r="J989" t="inlineStr">
        <is>
          <t>TVS</t>
        </is>
      </c>
      <c r="K989" t="inlineStr">
        <is>
          <t>30-30-1.2-CRFH-PE-0.22</t>
        </is>
      </c>
    </row>
    <row r="990">
      <c r="A990" t="inlineStr">
        <is>
          <t>0000189002</t>
        </is>
      </c>
      <c r="B990" t="inlineStr">
        <is>
          <t>Marathwada Auto Compo Pvt. Ltd.</t>
        </is>
      </c>
      <c r="C990" t="inlineStr">
        <is>
          <t>NOS</t>
        </is>
      </c>
      <c r="D990" t="n">
        <v>113</v>
      </c>
      <c r="E990" t="n">
        <v>24.93</v>
      </c>
      <c r="F990" t="n">
        <v>3230495</v>
      </c>
      <c r="G990" t="inlineStr">
        <is>
          <t>30-30-1.2-CRFH-PE</t>
        </is>
      </c>
      <c r="H990" t="n">
        <v>27.233</v>
      </c>
      <c r="I990" t="inlineStr">
        <is>
          <t>TUB-S-AW-AUT-30.00X30.00X1.200X0.2200</t>
        </is>
      </c>
      <c r="J990" t="inlineStr">
        <is>
          <t>TVS</t>
        </is>
      </c>
      <c r="K990" t="inlineStr">
        <is>
          <t>30-30-1.2-CRFH-PE-0.22</t>
        </is>
      </c>
    </row>
    <row r="991">
      <c r="A991" t="inlineStr">
        <is>
          <t>0000189002</t>
        </is>
      </c>
      <c r="B991" t="inlineStr">
        <is>
          <t>Marathwada Auto Compo Pvt. Ltd.</t>
        </is>
      </c>
      <c r="C991" t="inlineStr">
        <is>
          <t>NOS</t>
        </is>
      </c>
      <c r="D991" t="n">
        <v>336</v>
      </c>
      <c r="E991" t="n">
        <v>74.127</v>
      </c>
      <c r="F991" t="n">
        <v>3230495</v>
      </c>
      <c r="G991" t="inlineStr">
        <is>
          <t>30-30-1.2-CRFH-PE</t>
        </is>
      </c>
      <c r="H991" t="n">
        <v>80.976</v>
      </c>
      <c r="I991" t="inlineStr">
        <is>
          <t>TUB-S-AW-AUT-30.00X30.00X1.200X0.2200</t>
        </is>
      </c>
      <c r="J991" t="inlineStr">
        <is>
          <t>TVS</t>
        </is>
      </c>
      <c r="K991" t="inlineStr">
        <is>
          <t>30-30-1.2-CRFH-PE-0.22</t>
        </is>
      </c>
    </row>
    <row r="992">
      <c r="A992" t="inlineStr">
        <is>
          <t>0000189002</t>
        </is>
      </c>
      <c r="B992" t="inlineStr">
        <is>
          <t>Marathwada Auto Compo Pvt. Ltd.</t>
        </is>
      </c>
      <c r="C992" t="inlineStr">
        <is>
          <t>NOS</t>
        </is>
      </c>
      <c r="D992" t="n">
        <v>293</v>
      </c>
      <c r="E992" t="n">
        <v>64.64</v>
      </c>
      <c r="F992" t="n">
        <v>3230495</v>
      </c>
      <c r="G992" t="inlineStr">
        <is>
          <t>30-30-1.2-CRFH-PE</t>
        </is>
      </c>
      <c r="H992" t="n">
        <v>70.613</v>
      </c>
      <c r="I992" t="inlineStr">
        <is>
          <t>TUB-S-AW-AUT-30.00X30.00X1.200X0.2200</t>
        </is>
      </c>
      <c r="J992" t="inlineStr">
        <is>
          <t>TVS</t>
        </is>
      </c>
      <c r="K992" t="inlineStr">
        <is>
          <t>30-30-1.2-CRFH-PE-0.22</t>
        </is>
      </c>
    </row>
    <row r="993">
      <c r="A993" t="inlineStr">
        <is>
          <t>0000189002</t>
        </is>
      </c>
      <c r="B993" t="inlineStr">
        <is>
          <t>Marathwada Auto Compo Pvt. Ltd.</t>
        </is>
      </c>
      <c r="C993" t="inlineStr">
        <is>
          <t>NOS</t>
        </is>
      </c>
      <c r="D993" t="n">
        <v>286</v>
      </c>
      <c r="E993" t="n">
        <v>63.096</v>
      </c>
      <c r="F993" t="n">
        <v>3230495</v>
      </c>
      <c r="G993" t="inlineStr">
        <is>
          <t>30-30-1.2-CRFH-PE</t>
        </is>
      </c>
      <c r="H993" t="n">
        <v>68.926</v>
      </c>
      <c r="I993" t="inlineStr">
        <is>
          <t>TUB-S-AW-AUT-30.00X30.00X1.200X0.2200</t>
        </is>
      </c>
      <c r="J993" t="inlineStr">
        <is>
          <t>TVS</t>
        </is>
      </c>
      <c r="K993" t="inlineStr">
        <is>
          <t>30-30-1.2-CRFH-PE-0.22</t>
        </is>
      </c>
    </row>
    <row r="994">
      <c r="A994" t="inlineStr">
        <is>
          <t>0000189002</t>
        </is>
      </c>
      <c r="B994" t="inlineStr">
        <is>
          <t>Marathwada Auto Compo Pvt. Ltd.</t>
        </is>
      </c>
      <c r="C994" t="inlineStr">
        <is>
          <t>NOS</t>
        </is>
      </c>
      <c r="D994" t="n">
        <v>35</v>
      </c>
      <c r="E994" t="n">
        <v>7.722</v>
      </c>
      <c r="F994" t="n">
        <v>3230495</v>
      </c>
      <c r="G994" t="inlineStr">
        <is>
          <t>30-30-1.2-CRFH-PE</t>
        </is>
      </c>
      <c r="H994" t="n">
        <v>8.435</v>
      </c>
      <c r="I994" t="inlineStr">
        <is>
          <t>TUB-S-AW-AUT-30.00X30.00X1.200X0.2200</t>
        </is>
      </c>
      <c r="J994" t="inlineStr">
        <is>
          <t>TVS</t>
        </is>
      </c>
      <c r="K994" t="inlineStr">
        <is>
          <t>30-30-1.2-CRFH-PE-0.22</t>
        </is>
      </c>
    </row>
    <row r="995">
      <c r="A995" t="inlineStr">
        <is>
          <t>0000189002</t>
        </is>
      </c>
      <c r="B995" t="inlineStr">
        <is>
          <t>Marathwada Auto Compo Pvt. Ltd.</t>
        </is>
      </c>
      <c r="C995" t="inlineStr">
        <is>
          <t>NOS</t>
        </is>
      </c>
      <c r="D995" t="n">
        <v>15</v>
      </c>
      <c r="E995" t="n">
        <v>3.309</v>
      </c>
      <c r="F995" t="n">
        <v>3230495</v>
      </c>
      <c r="G995" t="inlineStr">
        <is>
          <t>30-30-1.2-CRFH-PE</t>
        </is>
      </c>
      <c r="H995" t="n">
        <v>3.615</v>
      </c>
      <c r="I995" t="inlineStr">
        <is>
          <t>TUB-S-AW-AUT-30.00X30.00X1.200X0.2200</t>
        </is>
      </c>
      <c r="J995" t="inlineStr">
        <is>
          <t>TVS</t>
        </is>
      </c>
      <c r="K995" t="inlineStr">
        <is>
          <t>30-30-1.2-CRFH-PE-0.22</t>
        </is>
      </c>
    </row>
    <row r="996">
      <c r="A996" t="inlineStr">
        <is>
          <t>0000189002</t>
        </is>
      </c>
      <c r="B996" t="inlineStr">
        <is>
          <t>Marathwada Auto Compo Pvt. Ltd.</t>
        </is>
      </c>
      <c r="C996" t="inlineStr">
        <is>
          <t>NOS</t>
        </is>
      </c>
      <c r="D996" t="n">
        <v>8</v>
      </c>
      <c r="E996" t="n">
        <v>1.765</v>
      </c>
      <c r="F996" t="n">
        <v>3230495</v>
      </c>
      <c r="G996" t="inlineStr">
        <is>
          <t>30-30-1.2-CRFH-PE</t>
        </is>
      </c>
      <c r="H996" t="n">
        <v>1.928</v>
      </c>
      <c r="I996" t="inlineStr">
        <is>
          <t>TUB-S-AW-AUT-30.00X30.00X1.200X0.2200</t>
        </is>
      </c>
      <c r="J996" t="inlineStr">
        <is>
          <t>TVS</t>
        </is>
      </c>
      <c r="K996" t="inlineStr">
        <is>
          <t>30-30-1.2-CRFH-PE-0.22</t>
        </is>
      </c>
    </row>
    <row r="997">
      <c r="A997" t="inlineStr">
        <is>
          <t>0000189002</t>
        </is>
      </c>
      <c r="B997" t="inlineStr">
        <is>
          <t>Marathwada Auto Compo Pvt. Ltd.</t>
        </is>
      </c>
      <c r="C997" t="inlineStr">
        <is>
          <t>NOS</t>
        </is>
      </c>
      <c r="D997" t="n">
        <v>8</v>
      </c>
      <c r="E997" t="n">
        <v>1.765</v>
      </c>
      <c r="F997" t="n">
        <v>3230495</v>
      </c>
      <c r="G997" t="inlineStr">
        <is>
          <t>30-30-1.2-CRFH-PE</t>
        </is>
      </c>
      <c r="H997" t="n">
        <v>1.928</v>
      </c>
      <c r="I997" t="inlineStr">
        <is>
          <t>TUB-S-AW-AUT-30.00X30.00X1.200X0.2200</t>
        </is>
      </c>
      <c r="J997" t="inlineStr">
        <is>
          <t>TVS</t>
        </is>
      </c>
      <c r="K997" t="inlineStr">
        <is>
          <t>30-30-1.2-CRFH-PE-0.22</t>
        </is>
      </c>
    </row>
    <row r="998">
      <c r="A998" t="inlineStr">
        <is>
          <t>0000189002</t>
        </is>
      </c>
      <c r="B998" t="inlineStr">
        <is>
          <t>Marathwada Auto Compo Pvt. Ltd.</t>
        </is>
      </c>
      <c r="C998" t="inlineStr">
        <is>
          <t>NOS</t>
        </is>
      </c>
      <c r="D998" t="n">
        <v>8</v>
      </c>
      <c r="E998" t="n">
        <v>1.765</v>
      </c>
      <c r="F998" t="n">
        <v>3230495</v>
      </c>
      <c r="G998" t="inlineStr">
        <is>
          <t>30-30-1.2-CRFH-PE</t>
        </is>
      </c>
      <c r="H998" t="n">
        <v>1.928</v>
      </c>
      <c r="I998" t="inlineStr">
        <is>
          <t>TUB-S-AW-AUT-30.00X30.00X1.200X0.2200</t>
        </is>
      </c>
      <c r="J998" t="inlineStr">
        <is>
          <t>TVS</t>
        </is>
      </c>
      <c r="K998" t="inlineStr">
        <is>
          <t>30-30-1.2-CRFH-PE-0.22</t>
        </is>
      </c>
    </row>
    <row r="999">
      <c r="A999" t="inlineStr">
        <is>
          <t>0000189002</t>
        </is>
      </c>
      <c r="B999" t="inlineStr">
        <is>
          <t>Marathwada Auto Compo Pvt. Ltd.</t>
        </is>
      </c>
      <c r="C999" t="inlineStr">
        <is>
          <t>NOS</t>
        </is>
      </c>
      <c r="D999" t="n">
        <v>7</v>
      </c>
      <c r="E999" t="n">
        <v>1.544</v>
      </c>
      <c r="F999" t="n">
        <v>3230495</v>
      </c>
      <c r="G999" t="inlineStr">
        <is>
          <t>30-30-1.2-CRFH-PE</t>
        </is>
      </c>
      <c r="H999" t="n">
        <v>1.687</v>
      </c>
      <c r="I999" t="inlineStr">
        <is>
          <t>TUB-S-AW-AUT-30.00X30.00X1.200X0.2200</t>
        </is>
      </c>
      <c r="J999" t="inlineStr">
        <is>
          <t>TVS</t>
        </is>
      </c>
      <c r="K999" t="inlineStr">
        <is>
          <t>30-30-1.2-CRFH-PE-0.22</t>
        </is>
      </c>
    </row>
    <row r="1000">
      <c r="A1000" t="inlineStr">
        <is>
          <t>0000189002</t>
        </is>
      </c>
      <c r="B1000" t="inlineStr">
        <is>
          <t>Marathwada Auto Compo Pvt. Ltd.</t>
        </is>
      </c>
      <c r="C1000" t="inlineStr">
        <is>
          <t>NOS</t>
        </is>
      </c>
      <c r="D1000" t="n">
        <v>4</v>
      </c>
      <c r="E1000" t="n">
        <v>0.882</v>
      </c>
      <c r="F1000" t="n">
        <v>3230495</v>
      </c>
      <c r="G1000" t="inlineStr">
        <is>
          <t>30-30-1.2-CRFH-PE</t>
        </is>
      </c>
      <c r="H1000" t="n">
        <v>0.964</v>
      </c>
      <c r="I1000" t="inlineStr">
        <is>
          <t>TUB-S-AW-AUT-30.00X30.00X1.200X0.2200</t>
        </is>
      </c>
      <c r="J1000" t="inlineStr">
        <is>
          <t>TVS</t>
        </is>
      </c>
      <c r="K1000" t="inlineStr">
        <is>
          <t>30-30-1.2-CRFH-PE-0.22</t>
        </is>
      </c>
    </row>
    <row r="1001">
      <c r="A1001" t="inlineStr">
        <is>
          <t>0000188415</t>
        </is>
      </c>
      <c r="B1001" t="inlineStr">
        <is>
          <t>Rajsriya Automotive Industries(P)</t>
        </is>
      </c>
      <c r="C1001" t="inlineStr">
        <is>
          <t>NOS</t>
        </is>
      </c>
      <c r="D1001" t="n">
        <v>1547</v>
      </c>
      <c r="E1001" t="n">
        <v>1291.728</v>
      </c>
      <c r="F1001" t="n">
        <v>3712521</v>
      </c>
      <c r="G1001" t="inlineStr">
        <is>
          <t>40-30-1.6-ERW 1-FC</t>
        </is>
      </c>
      <c r="H1001" t="n">
        <v>2184.828</v>
      </c>
      <c r="I1001" t="inlineStr">
        <is>
          <t>CUT-R-AW-RHS-40.00X30.00X1.600X0.8350</t>
        </is>
      </c>
      <c r="J1001" t="inlineStr">
        <is>
          <t>TVS</t>
        </is>
      </c>
      <c r="K1001" t="inlineStr">
        <is>
          <t>40-30-1.6-ERW 1-FC-0.835</t>
        </is>
      </c>
    </row>
    <row r="1002">
      <c r="A1002" t="inlineStr">
        <is>
          <t>0000188415</t>
        </is>
      </c>
      <c r="B1002" t="inlineStr">
        <is>
          <t>Rajsriya Automotive Industries(P)</t>
        </is>
      </c>
      <c r="C1002" t="inlineStr">
        <is>
          <t>NOS</t>
        </is>
      </c>
      <c r="D1002" t="n">
        <v>1419</v>
      </c>
      <c r="E1002" t="n">
        <v>1184.849</v>
      </c>
      <c r="F1002" t="n">
        <v>3712521</v>
      </c>
      <c r="G1002" t="inlineStr">
        <is>
          <t>40-30-1.6-ERW 1-FC</t>
        </is>
      </c>
      <c r="H1002" t="n">
        <v>2004.054</v>
      </c>
      <c r="I1002" t="inlineStr">
        <is>
          <t>CUT-R-AW-RHS-40.00X30.00X1.600X0.8350</t>
        </is>
      </c>
      <c r="J1002" t="inlineStr">
        <is>
          <t>TVS</t>
        </is>
      </c>
      <c r="K1002" t="inlineStr">
        <is>
          <t>40-30-1.6-ERW 1-FC-0.835</t>
        </is>
      </c>
    </row>
    <row r="1003">
      <c r="A1003" t="inlineStr">
        <is>
          <t>0000188415</t>
        </is>
      </c>
      <c r="B1003" t="inlineStr">
        <is>
          <t>Rajsriya Automotive Industries(P)</t>
        </is>
      </c>
      <c r="C1003" t="inlineStr">
        <is>
          <t>NOS</t>
        </is>
      </c>
      <c r="D1003" t="n">
        <v>1370</v>
      </c>
      <c r="E1003" t="n">
        <v>1143.935</v>
      </c>
      <c r="F1003" t="n">
        <v>3712521</v>
      </c>
      <c r="G1003" t="inlineStr">
        <is>
          <t>40-30-1.6-ERW 1-FC</t>
        </is>
      </c>
      <c r="H1003" t="n">
        <v>1934.851</v>
      </c>
      <c r="I1003" t="inlineStr">
        <is>
          <t>CUT-R-AW-RHS-40.00X30.00X1.600X0.8350</t>
        </is>
      </c>
      <c r="J1003" t="inlineStr">
        <is>
          <t>TVS</t>
        </is>
      </c>
      <c r="K1003" t="inlineStr">
        <is>
          <t>40-30-1.6-ERW 1-FC-0.835</t>
        </is>
      </c>
    </row>
    <row r="1004">
      <c r="A1004" t="inlineStr">
        <is>
          <t>0000188415</t>
        </is>
      </c>
      <c r="B1004" t="inlineStr">
        <is>
          <t>Rajsriya Automotive Industries(P)</t>
        </is>
      </c>
      <c r="C1004" t="inlineStr">
        <is>
          <t>NOS</t>
        </is>
      </c>
      <c r="D1004" t="n">
        <v>504</v>
      </c>
      <c r="E1004" t="n">
        <v>420.834</v>
      </c>
      <c r="F1004" t="n">
        <v>3712521</v>
      </c>
      <c r="G1004" t="inlineStr">
        <is>
          <t>40-30-1.6-ERW 1-FC</t>
        </is>
      </c>
      <c r="H1004" t="n">
        <v>711.799</v>
      </c>
      <c r="I1004" t="inlineStr">
        <is>
          <t>CUT-R-AW-RHS-40.00X30.00X1.600X0.8350</t>
        </is>
      </c>
      <c r="J1004" t="inlineStr">
        <is>
          <t>TVS</t>
        </is>
      </c>
      <c r="K1004" t="inlineStr">
        <is>
          <t>40-30-1.6-ERW 1-FC-0.835</t>
        </is>
      </c>
    </row>
    <row r="1005">
      <c r="A1005" t="inlineStr">
        <is>
          <t>0000188415</t>
        </is>
      </c>
      <c r="B1005" t="inlineStr">
        <is>
          <t>Rajsriya Automotive Industries(P)</t>
        </is>
      </c>
      <c r="C1005" t="inlineStr">
        <is>
          <t>NOS</t>
        </is>
      </c>
      <c r="D1005" t="n">
        <v>10</v>
      </c>
      <c r="E1005" t="n">
        <v>8.35</v>
      </c>
      <c r="F1005" t="n">
        <v>3712521</v>
      </c>
      <c r="G1005" t="inlineStr">
        <is>
          <t>40-30-1.6-ERW 1-FC</t>
        </is>
      </c>
      <c r="H1005" t="n">
        <v>14.123</v>
      </c>
      <c r="I1005" t="inlineStr">
        <is>
          <t>CUT-R-AW-RHS-40.00X30.00X1.600X0.8350</t>
        </is>
      </c>
      <c r="J1005" t="inlineStr">
        <is>
          <t>TVS</t>
        </is>
      </c>
      <c r="K1005" t="inlineStr">
        <is>
          <t>40-30-1.6-ERW 1-FC-0.835</t>
        </is>
      </c>
    </row>
    <row r="1006">
      <c r="A1006" t="inlineStr">
        <is>
          <t>0000188415</t>
        </is>
      </c>
      <c r="B1006" t="inlineStr">
        <is>
          <t>Rajsriya Automotive Industries(P)</t>
        </is>
      </c>
      <c r="C1006" t="inlineStr">
        <is>
          <t>NOS</t>
        </is>
      </c>
      <c r="D1006" t="n">
        <v>10</v>
      </c>
      <c r="E1006" t="n">
        <v>8.35</v>
      </c>
      <c r="F1006" t="n">
        <v>3712521</v>
      </c>
      <c r="G1006" t="inlineStr">
        <is>
          <t>40-30-1.6-ERW 1-FC</t>
        </is>
      </c>
      <c r="H1006" t="n">
        <v>14.123</v>
      </c>
      <c r="I1006" t="inlineStr">
        <is>
          <t>CUT-R-AW-RHS-40.00X30.00X1.600X0.8350</t>
        </is>
      </c>
      <c r="J1006" t="inlineStr">
        <is>
          <t>TVS</t>
        </is>
      </c>
      <c r="K1006" t="inlineStr">
        <is>
          <t>40-30-1.6-ERW 1-FC-0.835</t>
        </is>
      </c>
    </row>
    <row r="1007">
      <c r="A1007" t="inlineStr">
        <is>
          <t>0000188415</t>
        </is>
      </c>
      <c r="B1007" t="inlineStr">
        <is>
          <t>Rajsriya Automotive Industries(P)</t>
        </is>
      </c>
      <c r="C1007" t="inlineStr">
        <is>
          <t>NOS</t>
        </is>
      </c>
      <c r="D1007" t="n">
        <v>1976</v>
      </c>
      <c r="E1007" t="n">
        <v>1649.938</v>
      </c>
      <c r="F1007" t="n">
        <v>3712521</v>
      </c>
      <c r="G1007" t="inlineStr">
        <is>
          <t>40-30-1.6-ERW 1-FC</t>
        </is>
      </c>
      <c r="H1007" t="n">
        <v>2790.705</v>
      </c>
      <c r="I1007" t="inlineStr">
        <is>
          <t>CUT-R-AW-RHS-40.00X30.00X1.600X0.8350</t>
        </is>
      </c>
      <c r="J1007" t="inlineStr">
        <is>
          <t>TVS</t>
        </is>
      </c>
      <c r="K1007" t="inlineStr">
        <is>
          <t>40-30-1.6-ERW 1-FC-0.835</t>
        </is>
      </c>
    </row>
    <row r="1008">
      <c r="A1008" t="inlineStr">
        <is>
          <t>0000188415</t>
        </is>
      </c>
      <c r="B1008" t="inlineStr">
        <is>
          <t>Rajsriya Automotive Industries(P)</t>
        </is>
      </c>
      <c r="C1008" t="inlineStr">
        <is>
          <t>NOS</t>
        </is>
      </c>
      <c r="D1008" t="n">
        <v>19</v>
      </c>
      <c r="E1008" t="n">
        <v>15.865</v>
      </c>
      <c r="F1008" t="n">
        <v>3712521</v>
      </c>
      <c r="G1008" t="inlineStr">
        <is>
          <t>40-30-1.6-ERW 1-FC</t>
        </is>
      </c>
      <c r="H1008" t="n">
        <v>26.834</v>
      </c>
      <c r="I1008" t="inlineStr">
        <is>
          <t>CUT-R-AW-RHS-40.00X30.00X1.600X0.8350</t>
        </is>
      </c>
      <c r="J1008" t="inlineStr">
        <is>
          <t>TVS</t>
        </is>
      </c>
      <c r="K1008" t="inlineStr">
        <is>
          <t>40-30-1.6-ERW 1-FC-0.835</t>
        </is>
      </c>
    </row>
    <row r="1009">
      <c r="A1009" t="inlineStr">
        <is>
          <t>0000188415</t>
        </is>
      </c>
      <c r="B1009" t="inlineStr">
        <is>
          <t>Rajsriya Automotive Industries(P)</t>
        </is>
      </c>
      <c r="C1009" t="inlineStr">
        <is>
          <t>NOS</t>
        </is>
      </c>
      <c r="D1009" t="n">
        <v>132.839</v>
      </c>
      <c r="E1009" t="n">
        <v>110.919</v>
      </c>
      <c r="F1009" t="n">
        <v>3712521</v>
      </c>
      <c r="G1009" t="inlineStr">
        <is>
          <t>40-30-1.6-ERW 1-FC</t>
        </is>
      </c>
      <c r="H1009" t="n">
        <v>187.609</v>
      </c>
      <c r="I1009" t="inlineStr">
        <is>
          <t>CUT-R-AW-RHS-40.00X30.00X1.600X0.8350</t>
        </is>
      </c>
      <c r="J1009" t="inlineStr">
        <is>
          <t>TVS</t>
        </is>
      </c>
      <c r="K1009" t="inlineStr">
        <is>
          <t>40-30-1.6-ERW 1-FC-0.835</t>
        </is>
      </c>
    </row>
    <row r="1010">
      <c r="A1010" t="inlineStr">
        <is>
          <t>0000188415</t>
        </is>
      </c>
      <c r="B1010" t="inlineStr">
        <is>
          <t>Rajsriya Automotive Industries(P)</t>
        </is>
      </c>
      <c r="C1010" t="inlineStr">
        <is>
          <t>NOS</t>
        </is>
      </c>
      <c r="D1010" t="n">
        <v>354.032</v>
      </c>
      <c r="E1010" t="n">
        <v>295.613</v>
      </c>
      <c r="F1010" t="n">
        <v>3712521</v>
      </c>
      <c r="G1010" t="inlineStr">
        <is>
          <t>40-30-1.6-ERW 1-FC</t>
        </is>
      </c>
      <c r="H1010" t="n">
        <v>499.999</v>
      </c>
      <c r="I1010" t="inlineStr">
        <is>
          <t>CUT-R-AW-RHS-40.00X30.00X1.600X0.8350</t>
        </is>
      </c>
      <c r="J1010" t="inlineStr">
        <is>
          <t>TVS</t>
        </is>
      </c>
      <c r="K1010" t="inlineStr">
        <is>
          <t>40-30-1.6-ERW 1-FC-0.835</t>
        </is>
      </c>
    </row>
    <row r="1011">
      <c r="A1011" t="inlineStr">
        <is>
          <t>0000188415</t>
        </is>
      </c>
      <c r="B1011" t="inlineStr">
        <is>
          <t>Rajsriya Automotive Industries(P)</t>
        </is>
      </c>
      <c r="C1011" t="inlineStr">
        <is>
          <t>NOS</t>
        </is>
      </c>
      <c r="D1011" t="n">
        <v>226.873</v>
      </c>
      <c r="E1011" t="n">
        <v>189.436</v>
      </c>
      <c r="F1011" t="n">
        <v>3712521</v>
      </c>
      <c r="G1011" t="inlineStr">
        <is>
          <t>40-30-1.6-ERW 1-FC</t>
        </is>
      </c>
      <c r="H1011" t="n">
        <v>320.413</v>
      </c>
      <c r="I1011" t="inlineStr">
        <is>
          <t>CUT-R-AW-RHS-40.00X30.00X1.600X0.8350</t>
        </is>
      </c>
      <c r="J1011" t="inlineStr">
        <is>
          <t>TVS</t>
        </is>
      </c>
      <c r="K1011" t="inlineStr">
        <is>
          <t>40-30-1.6-ERW 1-FC-0.835</t>
        </is>
      </c>
    </row>
    <row r="1012">
      <c r="A1012" t="inlineStr">
        <is>
          <t>0000188415</t>
        </is>
      </c>
      <c r="B1012" t="inlineStr">
        <is>
          <t>Rajsriya Automotive Industries(P)</t>
        </is>
      </c>
      <c r="C1012" t="inlineStr">
        <is>
          <t>NOS</t>
        </is>
      </c>
      <c r="D1012" t="n">
        <v>1563.256</v>
      </c>
      <c r="E1012" t="n">
        <v>1305.301</v>
      </c>
      <c r="F1012" t="n">
        <v>3712521</v>
      </c>
      <c r="G1012" t="inlineStr">
        <is>
          <t>40-30-1.6-ERW 1-FC</t>
        </is>
      </c>
      <c r="H1012" t="n">
        <v>2207.786</v>
      </c>
      <c r="I1012" t="inlineStr">
        <is>
          <t>CUT-R-AW-RHS-40.00X30.00X1.600X0.8350</t>
        </is>
      </c>
      <c r="J1012" t="inlineStr">
        <is>
          <t>TVS</t>
        </is>
      </c>
      <c r="K1012" t="inlineStr">
        <is>
          <t>40-30-1.6-ERW 1-FC-0.835</t>
        </is>
      </c>
    </row>
    <row r="1013">
      <c r="A1013" t="inlineStr">
        <is>
          <t>0000188415</t>
        </is>
      </c>
      <c r="B1013" t="inlineStr">
        <is>
          <t>Rajsriya Automotive Industries(P)</t>
        </is>
      </c>
      <c r="C1013" t="inlineStr">
        <is>
          <t>NOS</t>
        </is>
      </c>
      <c r="D1013" t="n">
        <v>1290</v>
      </c>
      <c r="E1013" t="n">
        <v>1077.136</v>
      </c>
      <c r="F1013" t="n">
        <v>3712521</v>
      </c>
      <c r="G1013" t="inlineStr">
        <is>
          <t>40-30-1.6-ERW 1-FC</t>
        </is>
      </c>
      <c r="H1013" t="n">
        <v>1821.867</v>
      </c>
      <c r="I1013" t="inlineStr">
        <is>
          <t>CUT-R-AW-RHS-40.00X30.00X1.600X0.8350</t>
        </is>
      </c>
      <c r="J1013" t="inlineStr">
        <is>
          <t>TVS</t>
        </is>
      </c>
      <c r="K1013" t="inlineStr">
        <is>
          <t>40-30-1.6-ERW 1-FC-0.835</t>
        </is>
      </c>
    </row>
    <row r="1014">
      <c r="A1014" t="inlineStr">
        <is>
          <t>0000941496</t>
        </is>
      </c>
      <c r="B1014" t="inlineStr">
        <is>
          <t>SANDHAR ENGINEERING PVT LTD.(KA) -U</t>
        </is>
      </c>
      <c r="C1014" t="inlineStr">
        <is>
          <t>NOS</t>
        </is>
      </c>
      <c r="D1014" t="n">
        <v>1299</v>
      </c>
      <c r="E1014" t="n">
        <v>1059.293</v>
      </c>
      <c r="F1014" t="n">
        <v>2413708</v>
      </c>
      <c r="G1014" t="inlineStr">
        <is>
          <t>22.23-0-2-ERW 1-PE</t>
        </is>
      </c>
      <c r="H1014" t="n">
        <v>1057.386</v>
      </c>
      <c r="I1014" t="inlineStr">
        <is>
          <t>TUB-O-N-AUT-AW-PE-22.23X2.000X0.8150</t>
        </is>
      </c>
      <c r="J1014" t="inlineStr">
        <is>
          <t>TVS</t>
        </is>
      </c>
      <c r="K1014" t="inlineStr">
        <is>
          <t>22.23-0-2-ERW 1-PE-0.815</t>
        </is>
      </c>
    </row>
    <row r="1015">
      <c r="A1015" t="inlineStr">
        <is>
          <t>0000941496</t>
        </is>
      </c>
      <c r="B1015" t="inlineStr">
        <is>
          <t>SANDHAR ENGINEERING PVT LTD.(KA) -U</t>
        </is>
      </c>
      <c r="C1015" t="inlineStr">
        <is>
          <t>NOS</t>
        </is>
      </c>
      <c r="D1015" t="n">
        <v>624</v>
      </c>
      <c r="E1015" t="n">
        <v>508.852</v>
      </c>
      <c r="F1015" t="n">
        <v>2413708</v>
      </c>
      <c r="G1015" t="inlineStr">
        <is>
          <t>22.23-0-2-ERW 1-PE</t>
        </is>
      </c>
      <c r="H1015" t="n">
        <v>507.936</v>
      </c>
      <c r="I1015" t="inlineStr">
        <is>
          <t>TUB-O-N-AUT-AW-PE-22.23X2.000X0.8150</t>
        </is>
      </c>
      <c r="J1015" t="inlineStr">
        <is>
          <t>TVS</t>
        </is>
      </c>
      <c r="K1015" t="inlineStr">
        <is>
          <t>22.23-0-2-ERW 1-PE-0.815</t>
        </is>
      </c>
    </row>
    <row r="1016">
      <c r="A1016" t="inlineStr">
        <is>
          <t>0000941496</t>
        </is>
      </c>
      <c r="B1016" t="inlineStr">
        <is>
          <t>SANDHAR ENGINEERING PVT LTD.(KA) -U</t>
        </is>
      </c>
      <c r="C1016" t="inlineStr">
        <is>
          <t>NOS</t>
        </is>
      </c>
      <c r="D1016" t="n">
        <v>2</v>
      </c>
      <c r="E1016" t="n">
        <v>1.631</v>
      </c>
      <c r="F1016" t="n">
        <v>2413708</v>
      </c>
      <c r="G1016" t="inlineStr">
        <is>
          <t>22.23-0-2-ERW 1-PE</t>
        </is>
      </c>
      <c r="H1016" t="n">
        <v>1.628</v>
      </c>
      <c r="I1016" t="inlineStr">
        <is>
          <t>TUB-O-N-AUT-AW-PE-22.23X2.000X0.8150</t>
        </is>
      </c>
      <c r="J1016" t="inlineStr">
        <is>
          <t>TVS</t>
        </is>
      </c>
      <c r="K1016" t="inlineStr">
        <is>
          <t>22.23-0-2-ERW 1-PE-0.815</t>
        </is>
      </c>
    </row>
    <row r="1017">
      <c r="A1017" t="inlineStr">
        <is>
          <t>0000189226</t>
        </is>
      </c>
      <c r="B1017" t="inlineStr">
        <is>
          <t>Neel Metal Products Limited</t>
        </is>
      </c>
      <c r="C1017" t="inlineStr">
        <is>
          <t>NOS</t>
        </is>
      </c>
      <c r="D1017" t="n">
        <v>10000</v>
      </c>
      <c r="E1017" t="n">
        <v>8154.678</v>
      </c>
      <c r="F1017" t="n">
        <v>2413708</v>
      </c>
      <c r="G1017" t="inlineStr">
        <is>
          <t>22.23-0-2-ERW 1-PE</t>
        </is>
      </c>
      <c r="H1017" t="n">
        <v>8140</v>
      </c>
      <c r="I1017" t="inlineStr">
        <is>
          <t>TUB-O-N-AUT-AW-PE-22.23X2.000X0.8150</t>
        </is>
      </c>
      <c r="J1017" t="inlineStr">
        <is>
          <t>TVS</t>
        </is>
      </c>
      <c r="K1017" t="inlineStr">
        <is>
          <t>22.23-0-2-ERW 1-PE-0.815</t>
        </is>
      </c>
    </row>
    <row r="1018">
      <c r="A1018" t="inlineStr">
        <is>
          <t>0000941496</t>
        </is>
      </c>
      <c r="B1018" t="inlineStr">
        <is>
          <t>SANDHAR ENGINEERING PVT LTD.(KA) -U</t>
        </is>
      </c>
      <c r="C1018" t="inlineStr">
        <is>
          <t>NOS</t>
        </is>
      </c>
      <c r="D1018" t="n">
        <v>1057</v>
      </c>
      <c r="E1018" t="n">
        <v>861.95</v>
      </c>
      <c r="F1018" t="n">
        <v>2413708</v>
      </c>
      <c r="G1018" t="inlineStr">
        <is>
          <t>22.23-0-2-ERW 1-PE</t>
        </is>
      </c>
      <c r="H1018" t="n">
        <v>860.398</v>
      </c>
      <c r="I1018" t="inlineStr">
        <is>
          <t>TUB-O-N-AUT-AW-PE-22.23X2.000X0.8150</t>
        </is>
      </c>
      <c r="J1018" t="inlineStr">
        <is>
          <t>TVS</t>
        </is>
      </c>
      <c r="K1018" t="inlineStr">
        <is>
          <t>22.23-0-2-ERW 1-PE-0.815</t>
        </is>
      </c>
    </row>
    <row r="1019">
      <c r="A1019" t="inlineStr">
        <is>
          <t>0000941496</t>
        </is>
      </c>
      <c r="B1019" t="inlineStr">
        <is>
          <t>SANDHAR ENGINEERING PVT LTD.(KA) -U</t>
        </is>
      </c>
      <c r="C1019" t="inlineStr">
        <is>
          <t>NOS</t>
        </is>
      </c>
      <c r="D1019" t="n">
        <v>808</v>
      </c>
      <c r="E1019" t="n">
        <v>658.898</v>
      </c>
      <c r="F1019" t="n">
        <v>2413708</v>
      </c>
      <c r="G1019" t="inlineStr">
        <is>
          <t>22.23-0-2-ERW 1-PE</t>
        </is>
      </c>
      <c r="H1019" t="n">
        <v>657.712</v>
      </c>
      <c r="I1019" t="inlineStr">
        <is>
          <t>TUB-O-N-AUT-AW-PE-22.23X2.000X0.8150</t>
        </is>
      </c>
      <c r="J1019" t="inlineStr">
        <is>
          <t>TVS</t>
        </is>
      </c>
      <c r="K1019" t="inlineStr">
        <is>
          <t>22.23-0-2-ERW 1-PE-0.815</t>
        </is>
      </c>
    </row>
    <row r="1020">
      <c r="A1020" t="inlineStr">
        <is>
          <t>0000941496</t>
        </is>
      </c>
      <c r="B1020" t="inlineStr">
        <is>
          <t>SANDHAR ENGINEERING PVT LTD.(KA) -U</t>
        </is>
      </c>
      <c r="C1020" t="inlineStr">
        <is>
          <t>NOS</t>
        </is>
      </c>
      <c r="D1020" t="n">
        <v>10</v>
      </c>
      <c r="E1020" t="n">
        <v>8.154999999999999</v>
      </c>
      <c r="F1020" t="n">
        <v>2413708</v>
      </c>
      <c r="G1020" t="inlineStr">
        <is>
          <t>22.23-0-2-ERW 1-PE</t>
        </is>
      </c>
      <c r="H1020" t="n">
        <v>8.140000000000001</v>
      </c>
      <c r="I1020" t="inlineStr">
        <is>
          <t>TUB-O-N-AUT-AW-PE-22.23X2.000X0.8150</t>
        </is>
      </c>
      <c r="J1020" t="inlineStr">
        <is>
          <t>TVS</t>
        </is>
      </c>
      <c r="K1020" t="inlineStr">
        <is>
          <t>22.23-0-2-ERW 1-PE-0.815</t>
        </is>
      </c>
    </row>
    <row r="1021">
      <c r="A1021" t="inlineStr">
        <is>
          <t>0000941496</t>
        </is>
      </c>
      <c r="B1021" t="inlineStr">
        <is>
          <t>SANDHAR ENGINEERING PVT LTD.(KA) -U</t>
        </is>
      </c>
      <c r="C1021" t="inlineStr">
        <is>
          <t>NOS</t>
        </is>
      </c>
      <c r="D1021" t="n">
        <v>125</v>
      </c>
      <c r="E1021" t="n">
        <v>101.933</v>
      </c>
      <c r="F1021" t="n">
        <v>2413708</v>
      </c>
      <c r="G1021" t="inlineStr">
        <is>
          <t>22.23-0-2-ERW 1-PE</t>
        </is>
      </c>
      <c r="H1021" t="n">
        <v>101.75</v>
      </c>
      <c r="I1021" t="inlineStr">
        <is>
          <t>TUB-O-N-AUT-AW-PE-22.23X2.000X0.8150</t>
        </is>
      </c>
      <c r="J1021" t="inlineStr">
        <is>
          <t>TVS</t>
        </is>
      </c>
      <c r="K1021" t="inlineStr">
        <is>
          <t>22.23-0-2-ERW 1-PE-0.815</t>
        </is>
      </c>
    </row>
    <row r="1022">
      <c r="A1022" t="inlineStr">
        <is>
          <t>0000941496</t>
        </is>
      </c>
      <c r="B1022" t="inlineStr">
        <is>
          <t>SANDHAR ENGINEERING PVT LTD.(KA) -U</t>
        </is>
      </c>
      <c r="C1022" t="inlineStr">
        <is>
          <t>NOS</t>
        </is>
      </c>
      <c r="D1022" t="n">
        <v>2152</v>
      </c>
      <c r="E1022" t="n">
        <v>847.894</v>
      </c>
      <c r="F1022" t="n">
        <v>1940437</v>
      </c>
      <c r="G1022" t="inlineStr">
        <is>
          <t>22.23-0-2-ERW 1-PE</t>
        </is>
      </c>
      <c r="H1022" t="n">
        <v>825.698</v>
      </c>
      <c r="I1022" t="inlineStr">
        <is>
          <t>TUB-O-O-AUT-AW-PE-22.23X2.000X0.3940</t>
        </is>
      </c>
      <c r="J1022" t="inlineStr">
        <is>
          <t>TVS</t>
        </is>
      </c>
      <c r="K1022" t="inlineStr">
        <is>
          <t>22.23-0-2-ERW 1-PE-0.394</t>
        </is>
      </c>
    </row>
    <row r="1023">
      <c r="A1023" t="inlineStr">
        <is>
          <t>0000941496</t>
        </is>
      </c>
      <c r="B1023" t="inlineStr">
        <is>
          <t>SANDHAR ENGINEERING PVT LTD.(KA) -U</t>
        </is>
      </c>
      <c r="C1023" t="inlineStr">
        <is>
          <t>NOS</t>
        </is>
      </c>
      <c r="D1023" t="n">
        <v>470</v>
      </c>
      <c r="E1023" t="n">
        <v>185.181</v>
      </c>
      <c r="F1023" t="n">
        <v>1940437</v>
      </c>
      <c r="G1023" t="inlineStr">
        <is>
          <t>22.23-0-2-ERW 1-PE</t>
        </is>
      </c>
      <c r="H1023" t="n">
        <v>180.334</v>
      </c>
      <c r="I1023" t="inlineStr">
        <is>
          <t>TUB-O-O-AUT-AW-PE-22.23X2.000X0.3940</t>
        </is>
      </c>
      <c r="J1023" t="inlineStr">
        <is>
          <t>TVS</t>
        </is>
      </c>
      <c r="K1023" t="inlineStr">
        <is>
          <t>22.23-0-2-ERW 1-PE-0.394</t>
        </is>
      </c>
    </row>
    <row r="1024">
      <c r="A1024" t="inlineStr">
        <is>
          <t>0000941496</t>
        </is>
      </c>
      <c r="B1024" t="inlineStr">
        <is>
          <t>SANDHAR ENGINEERING PVT LTD.(KA) -U</t>
        </is>
      </c>
      <c r="C1024" t="inlineStr">
        <is>
          <t>NOS</t>
        </is>
      </c>
      <c r="D1024" t="n">
        <v>3</v>
      </c>
      <c r="E1024" t="n">
        <v>1.182</v>
      </c>
      <c r="F1024" t="n">
        <v>1940437</v>
      </c>
      <c r="G1024" t="inlineStr">
        <is>
          <t>22.23-0-2-ERW 1-PE</t>
        </is>
      </c>
      <c r="H1024" t="n">
        <v>1.151</v>
      </c>
      <c r="I1024" t="inlineStr">
        <is>
          <t>TUB-O-O-AUT-AW-PE-22.23X2.000X0.3940</t>
        </is>
      </c>
      <c r="J1024" t="inlineStr">
        <is>
          <t>TVS</t>
        </is>
      </c>
      <c r="K1024" t="inlineStr">
        <is>
          <t>22.23-0-2-ERW 1-PE-0.394</t>
        </is>
      </c>
    </row>
    <row r="1025">
      <c r="A1025" t="inlineStr">
        <is>
          <t>0000941496</t>
        </is>
      </c>
      <c r="B1025" t="inlineStr">
        <is>
          <t>SANDHAR ENGINEERING PVT LTD.(KA) -U</t>
        </is>
      </c>
      <c r="C1025" t="inlineStr">
        <is>
          <t>NOS</t>
        </is>
      </c>
      <c r="D1025" t="n">
        <v>2350</v>
      </c>
      <c r="E1025" t="n">
        <v>925.907</v>
      </c>
      <c r="F1025" t="n">
        <v>1940437</v>
      </c>
      <c r="G1025" t="inlineStr">
        <is>
          <t>22.23-0-2-ERW 1-PE</t>
        </is>
      </c>
      <c r="H1025" t="n">
        <v>901.669</v>
      </c>
      <c r="I1025" t="inlineStr">
        <is>
          <t>TUB-O-O-AUT-AW-PE-22.23X2.000X0.3940</t>
        </is>
      </c>
      <c r="J1025" t="inlineStr">
        <is>
          <t>TVS</t>
        </is>
      </c>
      <c r="K1025" t="inlineStr">
        <is>
          <t>22.23-0-2-ERW 1-PE-0.394</t>
        </is>
      </c>
    </row>
    <row r="1026">
      <c r="A1026" t="inlineStr">
        <is>
          <t>0000941496</t>
        </is>
      </c>
      <c r="B1026" t="inlineStr">
        <is>
          <t>SANDHAR ENGINEERING PVT LTD.(KA) -U</t>
        </is>
      </c>
      <c r="C1026" t="inlineStr">
        <is>
          <t>NOS</t>
        </is>
      </c>
      <c r="D1026" t="n">
        <v>1787</v>
      </c>
      <c r="E1026" t="n">
        <v>704.083</v>
      </c>
      <c r="F1026" t="n">
        <v>1940437</v>
      </c>
      <c r="G1026" t="inlineStr">
        <is>
          <t>22.23-0-2-ERW 1-PE</t>
        </is>
      </c>
      <c r="H1026" t="n">
        <v>685.652</v>
      </c>
      <c r="I1026" t="inlineStr">
        <is>
          <t>TUB-O-O-AUT-AW-PE-22.23X2.000X0.3940</t>
        </is>
      </c>
      <c r="J1026" t="inlineStr">
        <is>
          <t>TVS</t>
        </is>
      </c>
      <c r="K1026" t="inlineStr">
        <is>
          <t>22.23-0-2-ERW 1-PE-0.394</t>
        </is>
      </c>
    </row>
    <row r="1027">
      <c r="A1027" t="inlineStr">
        <is>
          <t>0000941496</t>
        </is>
      </c>
      <c r="B1027" t="inlineStr">
        <is>
          <t>SANDHAR ENGINEERING PVT LTD.(KA) -U</t>
        </is>
      </c>
      <c r="C1027" t="inlineStr">
        <is>
          <t>NOS</t>
        </is>
      </c>
      <c r="D1027" t="n">
        <v>571</v>
      </c>
      <c r="E1027" t="n">
        <v>224.976</v>
      </c>
      <c r="F1027" t="n">
        <v>1940437</v>
      </c>
      <c r="G1027" t="inlineStr">
        <is>
          <t>22.23-0-2-ERW 1-PE</t>
        </is>
      </c>
      <c r="H1027" t="n">
        <v>219.086</v>
      </c>
      <c r="I1027" t="inlineStr">
        <is>
          <t>TUB-O-O-AUT-AW-PE-22.23X2.000X0.3940</t>
        </is>
      </c>
      <c r="J1027" t="inlineStr">
        <is>
          <t>TVS</t>
        </is>
      </c>
      <c r="K1027" t="inlineStr">
        <is>
          <t>22.23-0-2-ERW 1-PE-0.394</t>
        </is>
      </c>
    </row>
    <row r="1028">
      <c r="A1028" t="inlineStr">
        <is>
          <t>0000941496</t>
        </is>
      </c>
      <c r="B1028" t="inlineStr">
        <is>
          <t>SANDHAR ENGINEERING PVT LTD.(KA) -U</t>
        </is>
      </c>
      <c r="C1028" t="inlineStr">
        <is>
          <t>NOS</t>
        </is>
      </c>
      <c r="D1028" t="n">
        <v>17</v>
      </c>
      <c r="E1028" t="n">
        <v>6.698</v>
      </c>
      <c r="F1028" t="n">
        <v>1940437</v>
      </c>
      <c r="G1028" t="inlineStr">
        <is>
          <t>22.23-0-2-ERW 1-PE</t>
        </is>
      </c>
      <c r="H1028" t="n">
        <v>6.523</v>
      </c>
      <c r="I1028" t="inlineStr">
        <is>
          <t>TUB-O-O-AUT-AW-PE-22.23X2.000X0.3940</t>
        </is>
      </c>
      <c r="J1028" t="inlineStr">
        <is>
          <t>TVS</t>
        </is>
      </c>
      <c r="K1028" t="inlineStr">
        <is>
          <t>22.23-0-2-ERW 1-PE-0.394</t>
        </is>
      </c>
    </row>
    <row r="1029">
      <c r="A1029" t="inlineStr">
        <is>
          <t>0000941496</t>
        </is>
      </c>
      <c r="B1029" t="inlineStr">
        <is>
          <t>SANDHAR ENGINEERING PVT LTD.(KA) -U</t>
        </is>
      </c>
      <c r="C1029" t="inlineStr">
        <is>
          <t>NOS</t>
        </is>
      </c>
      <c r="D1029" t="n">
        <v>297</v>
      </c>
      <c r="E1029" t="n">
        <v>199.876</v>
      </c>
      <c r="F1029" t="n">
        <v>3667938</v>
      </c>
      <c r="G1029" t="inlineStr">
        <is>
          <t>22.23-0-1.2-ERW 1-PE</t>
        </is>
      </c>
      <c r="H1029" t="n">
        <v>124.443</v>
      </c>
      <c r="I1029" t="inlineStr">
        <is>
          <t>CUT-O-N-AUT-AW-PE-22.20X1.200X0.6730</t>
        </is>
      </c>
      <c r="J1029" t="inlineStr">
        <is>
          <t>TVS</t>
        </is>
      </c>
      <c r="K1029" t="inlineStr">
        <is>
          <t>22.23-0-1.2-ERW 1-PE-0.673</t>
        </is>
      </c>
    </row>
    <row r="1030">
      <c r="A1030" t="inlineStr">
        <is>
          <t>0000941496</t>
        </is>
      </c>
      <c r="B1030" t="inlineStr">
        <is>
          <t>SANDHAR ENGINEERING PVT LTD.(KA) -U</t>
        </is>
      </c>
      <c r="C1030" t="inlineStr">
        <is>
          <t>NOS</t>
        </is>
      </c>
      <c r="D1030" t="n">
        <v>3</v>
      </c>
      <c r="E1030" t="n">
        <v>2.019</v>
      </c>
      <c r="F1030" t="n">
        <v>3667938</v>
      </c>
      <c r="G1030" t="inlineStr">
        <is>
          <t>22.23-0-1.2-ERW 1-PE</t>
        </is>
      </c>
      <c r="H1030" t="n">
        <v>1.257</v>
      </c>
      <c r="I1030" t="inlineStr">
        <is>
          <t>CUT-O-N-AUT-AW-PE-22.20X1.200X0.6730</t>
        </is>
      </c>
      <c r="J1030" t="inlineStr">
        <is>
          <t>TVS</t>
        </is>
      </c>
      <c r="K1030" t="inlineStr">
        <is>
          <t>22.23-0-1.2-ERW 1-PE-0.673</t>
        </is>
      </c>
    </row>
    <row r="1031">
      <c r="A1031" t="inlineStr">
        <is>
          <t>0000941496</t>
        </is>
      </c>
      <c r="B1031" t="inlineStr">
        <is>
          <t>SANDHAR ENGINEERING PVT LTD.(KA) -U</t>
        </is>
      </c>
      <c r="C1031" t="inlineStr">
        <is>
          <t>NOS</t>
        </is>
      </c>
      <c r="D1031" t="n">
        <v>100</v>
      </c>
      <c r="E1031" t="n">
        <v>67.298</v>
      </c>
      <c r="F1031" t="n">
        <v>3667938</v>
      </c>
      <c r="G1031" t="inlineStr">
        <is>
          <t>22.23-0-1.2-ERW 1-PE</t>
        </is>
      </c>
      <c r="H1031" t="n">
        <v>41.9</v>
      </c>
      <c r="I1031" t="inlineStr">
        <is>
          <t>CUT-O-N-AUT-AW-PE-22.20X1.200X0.6730</t>
        </is>
      </c>
      <c r="J1031" t="inlineStr">
        <is>
          <t>TVS</t>
        </is>
      </c>
      <c r="K1031" t="inlineStr">
        <is>
          <t>22.23-0-1.2-ERW 1-PE-0.673</t>
        </is>
      </c>
    </row>
    <row r="1032">
      <c r="A1032" t="inlineStr">
        <is>
          <t>0000949970</t>
        </is>
      </c>
      <c r="B1032" t="inlineStr">
        <is>
          <t>SANDHAR ENGINEERING PVTLTD(KA)U-III</t>
        </is>
      </c>
      <c r="C1032" t="inlineStr">
        <is>
          <t>NOS</t>
        </is>
      </c>
      <c r="D1032" t="n">
        <v>727</v>
      </c>
      <c r="E1032" t="n">
        <v>657.731</v>
      </c>
      <c r="F1032" t="n">
        <v>1940478</v>
      </c>
      <c r="G1032" t="inlineStr">
        <is>
          <t>22.23-0-2-ERW 2 MAHS-PE</t>
        </is>
      </c>
      <c r="H1032" t="n">
        <v>656.481</v>
      </c>
      <c r="I1032" t="inlineStr">
        <is>
          <t>TUB-O-O-AUT-AW-PE-22.23X2.00X0.905-MAHS</t>
        </is>
      </c>
      <c r="J1032" t="inlineStr">
        <is>
          <t>TVS</t>
        </is>
      </c>
      <c r="K1032" t="inlineStr">
        <is>
          <t>22.23-0-2-ERW 2 MAHS-PE-0.905</t>
        </is>
      </c>
    </row>
    <row r="1033">
      <c r="A1033" t="inlineStr">
        <is>
          <t>0000949970</t>
        </is>
      </c>
      <c r="B1033" t="inlineStr">
        <is>
          <t>SANDHAR ENGINEERING PVTLTD(KA)U-III</t>
        </is>
      </c>
      <c r="C1033" t="inlineStr">
        <is>
          <t>NOS</t>
        </is>
      </c>
      <c r="D1033" t="n">
        <v>100</v>
      </c>
      <c r="E1033" t="n">
        <v>90.47199999999999</v>
      </c>
      <c r="F1033" t="n">
        <v>1940478</v>
      </c>
      <c r="G1033" t="inlineStr">
        <is>
          <t>22.23-0-2-ERW 2 MAHS-PE</t>
        </is>
      </c>
      <c r="H1033" t="n">
        <v>90.3</v>
      </c>
      <c r="I1033" t="inlineStr">
        <is>
          <t>TUB-O-O-AUT-AW-PE-22.23X2.00X0.905-MAHS</t>
        </is>
      </c>
      <c r="J1033" t="inlineStr">
        <is>
          <t>TVS</t>
        </is>
      </c>
      <c r="K1033" t="inlineStr">
        <is>
          <t>22.23-0-2-ERW 2 MAHS-PE-0.905</t>
        </is>
      </c>
    </row>
    <row r="1034">
      <c r="A1034" t="inlineStr">
        <is>
          <t>0000949970</t>
        </is>
      </c>
      <c r="B1034" t="inlineStr">
        <is>
          <t>SANDHAR ENGINEERING PVTLTD(KA)U-III</t>
        </is>
      </c>
      <c r="C1034" t="inlineStr">
        <is>
          <t>NOS</t>
        </is>
      </c>
      <c r="D1034" t="n">
        <v>23</v>
      </c>
      <c r="E1034" t="n">
        <v>20.809</v>
      </c>
      <c r="F1034" t="n">
        <v>1940478</v>
      </c>
      <c r="G1034" t="inlineStr">
        <is>
          <t>22.23-0-2-ERW 2 MAHS-PE</t>
        </is>
      </c>
      <c r="H1034" t="n">
        <v>20.769</v>
      </c>
      <c r="I1034" t="inlineStr">
        <is>
          <t>TUB-O-O-AUT-AW-PE-22.23X2.00X0.905-MAHS</t>
        </is>
      </c>
      <c r="J1034" t="inlineStr">
        <is>
          <t>TVS</t>
        </is>
      </c>
      <c r="K1034" t="inlineStr">
        <is>
          <t>22.23-0-2-ERW 2 MAHS-PE-0.905</t>
        </is>
      </c>
    </row>
    <row r="1035">
      <c r="A1035" t="inlineStr">
        <is>
          <t>0000949970</t>
        </is>
      </c>
      <c r="B1035" t="inlineStr">
        <is>
          <t>SANDHAR ENGINEERING PVTLTD(KA)U-III</t>
        </is>
      </c>
      <c r="C1035" t="inlineStr">
        <is>
          <t>NOS</t>
        </is>
      </c>
      <c r="D1035" t="n">
        <v>278</v>
      </c>
      <c r="E1035" t="n">
        <v>251.512</v>
      </c>
      <c r="F1035" t="n">
        <v>1940478</v>
      </c>
      <c r="G1035" t="inlineStr">
        <is>
          <t>22.23-0-2-ERW 2 MAHS-PE</t>
        </is>
      </c>
      <c r="H1035" t="n">
        <v>251.034</v>
      </c>
      <c r="I1035" t="inlineStr">
        <is>
          <t>TUB-O-O-AUT-AW-PE-22.23X2.00X0.905-MAHS</t>
        </is>
      </c>
      <c r="J1035" t="inlineStr">
        <is>
          <t>TVS</t>
        </is>
      </c>
      <c r="K1035" t="inlineStr">
        <is>
          <t>22.23-0-2-ERW 2 MAHS-PE-0.905</t>
        </is>
      </c>
    </row>
    <row r="1036">
      <c r="A1036" t="inlineStr">
        <is>
          <t>0000949970</t>
        </is>
      </c>
      <c r="B1036" t="inlineStr">
        <is>
          <t>SANDHAR ENGINEERING PVTLTD(KA)U-III</t>
        </is>
      </c>
      <c r="C1036" t="inlineStr">
        <is>
          <t>NOS</t>
        </is>
      </c>
      <c r="D1036" t="n">
        <v>2651</v>
      </c>
      <c r="E1036" t="n">
        <v>2398.41</v>
      </c>
      <c r="F1036" t="n">
        <v>1940478</v>
      </c>
      <c r="G1036" t="inlineStr">
        <is>
          <t>22.23-0-2-ERW 2 MAHS-PE</t>
        </is>
      </c>
      <c r="H1036" t="n">
        <v>2393.853</v>
      </c>
      <c r="I1036" t="inlineStr">
        <is>
          <t>TUB-O-O-AUT-AW-PE-22.23X2.00X0.905-MAHS</t>
        </is>
      </c>
      <c r="J1036" t="inlineStr">
        <is>
          <t>TVS</t>
        </is>
      </c>
      <c r="K1036" t="inlineStr">
        <is>
          <t>22.23-0-2-ERW 2 MAHS-PE-0.905</t>
        </is>
      </c>
    </row>
    <row r="1037">
      <c r="A1037" t="inlineStr">
        <is>
          <t>0000949970</t>
        </is>
      </c>
      <c r="B1037" t="inlineStr">
        <is>
          <t>SANDHAR ENGINEERING PVTLTD(KA)U-III</t>
        </is>
      </c>
      <c r="C1037" t="inlineStr">
        <is>
          <t>NOS</t>
        </is>
      </c>
      <c r="D1037" t="n">
        <v>524</v>
      </c>
      <c r="E1037" t="n">
        <v>474.073</v>
      </c>
      <c r="F1037" t="n">
        <v>1940478</v>
      </c>
      <c r="G1037" t="inlineStr">
        <is>
          <t>22.23-0-2-ERW 2 MAHS-PE</t>
        </is>
      </c>
      <c r="H1037" t="n">
        <v>473.172</v>
      </c>
      <c r="I1037" t="inlineStr">
        <is>
          <t>TUB-O-O-AUT-AW-PE-22.23X2.00X0.905-MAHS</t>
        </is>
      </c>
      <c r="J1037" t="inlineStr">
        <is>
          <t>TVS</t>
        </is>
      </c>
      <c r="K1037" t="inlineStr">
        <is>
          <t>22.23-0-2-ERW 2 MAHS-PE-0.905</t>
        </is>
      </c>
    </row>
    <row r="1038">
      <c r="A1038" t="inlineStr">
        <is>
          <t>0000949970</t>
        </is>
      </c>
      <c r="B1038" t="inlineStr">
        <is>
          <t>SANDHAR ENGINEERING PVTLTD(KA)U-III</t>
        </is>
      </c>
      <c r="C1038" t="inlineStr">
        <is>
          <t>NOS</t>
        </is>
      </c>
      <c r="D1038" t="n">
        <v>22</v>
      </c>
      <c r="E1038" t="n">
        <v>19.904</v>
      </c>
      <c r="F1038" t="n">
        <v>1940478</v>
      </c>
      <c r="G1038" t="inlineStr">
        <is>
          <t>22.23-0-2-ERW 2 MAHS-PE</t>
        </is>
      </c>
      <c r="H1038" t="n">
        <v>19.866</v>
      </c>
      <c r="I1038" t="inlineStr">
        <is>
          <t>TUB-O-O-AUT-AW-PE-22.23X2.00X0.905-MAHS</t>
        </is>
      </c>
      <c r="J1038" t="inlineStr">
        <is>
          <t>TVS</t>
        </is>
      </c>
      <c r="K1038" t="inlineStr">
        <is>
          <t>22.23-0-2-ERW 2 MAHS-PE-0.905</t>
        </is>
      </c>
    </row>
    <row r="1039">
      <c r="A1039" t="inlineStr">
        <is>
          <t>0000949970</t>
        </is>
      </c>
      <c r="B1039" t="inlineStr">
        <is>
          <t>SANDHAR ENGINEERING PVTLTD(KA)U-III</t>
        </is>
      </c>
      <c r="C1039" t="inlineStr">
        <is>
          <t>NOS</t>
        </is>
      </c>
      <c r="D1039" t="n">
        <v>2649</v>
      </c>
      <c r="E1039" t="n">
        <v>2396.601</v>
      </c>
      <c r="F1039" t="n">
        <v>1940478</v>
      </c>
      <c r="G1039" t="inlineStr">
        <is>
          <t>22.23-0-2-ERW 2 MAHS-PE</t>
        </is>
      </c>
      <c r="H1039" t="n">
        <v>2392.047</v>
      </c>
      <c r="I1039" t="inlineStr">
        <is>
          <t>TUB-O-O-AUT-AW-PE-22.23X2.00X0.905-MAHS</t>
        </is>
      </c>
      <c r="J1039" t="inlineStr">
        <is>
          <t>TVS</t>
        </is>
      </c>
      <c r="K1039" t="inlineStr">
        <is>
          <t>22.23-0-2-ERW 2 MAHS-PE-0.905</t>
        </is>
      </c>
    </row>
    <row r="1040">
      <c r="A1040" t="inlineStr">
        <is>
          <t>0000949970</t>
        </is>
      </c>
      <c r="B1040" t="inlineStr">
        <is>
          <t>SANDHAR ENGINEERING PVTLTD(KA)U-III</t>
        </is>
      </c>
      <c r="C1040" t="inlineStr">
        <is>
          <t>NOS</t>
        </is>
      </c>
      <c r="D1040" t="n">
        <v>2476</v>
      </c>
      <c r="E1040" t="n">
        <v>2240.084</v>
      </c>
      <c r="F1040" t="n">
        <v>1940478</v>
      </c>
      <c r="G1040" t="inlineStr">
        <is>
          <t>22.23-0-2-ERW 2 MAHS-PE</t>
        </is>
      </c>
      <c r="H1040" t="n">
        <v>2235.828</v>
      </c>
      <c r="I1040" t="inlineStr">
        <is>
          <t>TUB-O-O-AUT-AW-PE-22.23X2.00X0.905-MAHS</t>
        </is>
      </c>
      <c r="J1040" t="inlineStr">
        <is>
          <t>TVS</t>
        </is>
      </c>
      <c r="K1040" t="inlineStr">
        <is>
          <t>22.23-0-2-ERW 2 MAHS-PE-0.905</t>
        </is>
      </c>
    </row>
    <row r="1041">
      <c r="A1041" t="inlineStr">
        <is>
          <t>0000949970</t>
        </is>
      </c>
      <c r="B1041" t="inlineStr">
        <is>
          <t>SANDHAR ENGINEERING PVTLTD(KA)U-III</t>
        </is>
      </c>
      <c r="C1041" t="inlineStr">
        <is>
          <t>NOS</t>
        </is>
      </c>
      <c r="D1041" t="n">
        <v>26</v>
      </c>
      <c r="E1041" t="n">
        <v>23.523</v>
      </c>
      <c r="F1041" t="n">
        <v>1940478</v>
      </c>
      <c r="G1041" t="inlineStr">
        <is>
          <t>22.23-0-2-ERW 2 MAHS-PE</t>
        </is>
      </c>
      <c r="H1041" t="n">
        <v>23.478</v>
      </c>
      <c r="I1041" t="inlineStr">
        <is>
          <t>TUB-O-O-AUT-AW-PE-22.23X2.00X0.905-MAHS</t>
        </is>
      </c>
      <c r="J1041" t="inlineStr">
        <is>
          <t>TVS</t>
        </is>
      </c>
      <c r="K1041" t="inlineStr">
        <is>
          <t>22.23-0-2-ERW 2 MAHS-PE-0.905</t>
        </is>
      </c>
    </row>
    <row r="1042">
      <c r="A1042" t="inlineStr">
        <is>
          <t>0000949970</t>
        </is>
      </c>
      <c r="B1042" t="inlineStr">
        <is>
          <t>SANDHAR ENGINEERING PVTLTD(KA)U-III</t>
        </is>
      </c>
      <c r="C1042" t="inlineStr">
        <is>
          <t>NOS</t>
        </is>
      </c>
      <c r="D1042" t="n">
        <v>2100</v>
      </c>
      <c r="E1042" t="n">
        <v>1899.91</v>
      </c>
      <c r="F1042" t="n">
        <v>1940478</v>
      </c>
      <c r="G1042" t="inlineStr">
        <is>
          <t>22.23-0-2-ERW 2 MAHS-PE</t>
        </is>
      </c>
      <c r="H1042" t="n">
        <v>1896.3</v>
      </c>
      <c r="I1042" t="inlineStr">
        <is>
          <t>TUB-O-O-AUT-AW-PE-22.23X2.00X0.905-MAHS</t>
        </is>
      </c>
      <c r="J1042" t="inlineStr">
        <is>
          <t>TVS</t>
        </is>
      </c>
      <c r="K1042" t="inlineStr">
        <is>
          <t>22.23-0-2-ERW 2 MAHS-PE-0.905</t>
        </is>
      </c>
    </row>
    <row r="1043">
      <c r="A1043" t="inlineStr">
        <is>
          <t>0000949970</t>
        </is>
      </c>
      <c r="B1043" t="inlineStr">
        <is>
          <t>SANDHAR ENGINEERING PVTLTD(KA)U-III</t>
        </is>
      </c>
      <c r="C1043" t="inlineStr">
        <is>
          <t>NOS</t>
        </is>
      </c>
      <c r="D1043" t="n">
        <v>1950</v>
      </c>
      <c r="E1043" t="n">
        <v>1764.202</v>
      </c>
      <c r="F1043" t="n">
        <v>1940478</v>
      </c>
      <c r="G1043" t="inlineStr">
        <is>
          <t>22.23-0-2-ERW 2 MAHS-PE</t>
        </is>
      </c>
      <c r="H1043" t="n">
        <v>1760.85</v>
      </c>
      <c r="I1043" t="inlineStr">
        <is>
          <t>TUB-O-O-AUT-AW-PE-22.23X2.00X0.905-MAHS</t>
        </is>
      </c>
      <c r="J1043" t="inlineStr">
        <is>
          <t>TVS</t>
        </is>
      </c>
      <c r="K1043" t="inlineStr">
        <is>
          <t>22.23-0-2-ERW 2 MAHS-PE-0.905</t>
        </is>
      </c>
    </row>
    <row r="1044">
      <c r="A1044" t="inlineStr">
        <is>
          <t>0000949970</t>
        </is>
      </c>
      <c r="B1044" t="inlineStr">
        <is>
          <t>SANDHAR ENGINEERING PVTLTD(KA)U-III</t>
        </is>
      </c>
      <c r="C1044" t="inlineStr">
        <is>
          <t>NOS</t>
        </is>
      </c>
      <c r="D1044" t="n">
        <v>24</v>
      </c>
      <c r="E1044" t="n">
        <v>21.713</v>
      </c>
      <c r="F1044" t="n">
        <v>1940478</v>
      </c>
      <c r="G1044" t="inlineStr">
        <is>
          <t>22.23-0-2-ERW 2 MAHS-PE</t>
        </is>
      </c>
      <c r="H1044" t="n">
        <v>21.672</v>
      </c>
      <c r="I1044" t="inlineStr">
        <is>
          <t>TUB-O-O-AUT-AW-PE-22.23X2.00X0.905-MAHS</t>
        </is>
      </c>
      <c r="J1044" t="inlineStr">
        <is>
          <t>TVS</t>
        </is>
      </c>
      <c r="K1044" t="inlineStr">
        <is>
          <t>22.23-0-2-ERW 2 MAHS-PE-0.905</t>
        </is>
      </c>
    </row>
    <row r="1045">
      <c r="A1045" t="inlineStr">
        <is>
          <t>0000949970</t>
        </is>
      </c>
      <c r="B1045" t="inlineStr">
        <is>
          <t>SANDHAR ENGINEERING PVTLTD(KA)U-III</t>
        </is>
      </c>
      <c r="C1045" t="inlineStr">
        <is>
          <t>NOS</t>
        </is>
      </c>
      <c r="D1045" t="n">
        <v>2124</v>
      </c>
      <c r="E1045" t="n">
        <v>1921.623</v>
      </c>
      <c r="F1045" t="n">
        <v>1940478</v>
      </c>
      <c r="G1045" t="inlineStr">
        <is>
          <t>22.23-0-2-ERW 2 MAHS-PE</t>
        </is>
      </c>
      <c r="H1045" t="n">
        <v>1917.972</v>
      </c>
      <c r="I1045" t="inlineStr">
        <is>
          <t>TUB-O-O-AUT-AW-PE-22.23X2.00X0.905-MAHS</t>
        </is>
      </c>
      <c r="J1045" t="inlineStr">
        <is>
          <t>TVS</t>
        </is>
      </c>
      <c r="K1045" t="inlineStr">
        <is>
          <t>22.23-0-2-ERW 2 MAHS-PE-0.905</t>
        </is>
      </c>
    </row>
    <row r="1046">
      <c r="A1046" t="inlineStr">
        <is>
          <t>0000949970</t>
        </is>
      </c>
      <c r="B1046" t="inlineStr">
        <is>
          <t>SANDHAR ENGINEERING PVTLTD(KA)U-III</t>
        </is>
      </c>
      <c r="C1046" t="inlineStr">
        <is>
          <t>NOS</t>
        </is>
      </c>
      <c r="D1046" t="n">
        <v>651</v>
      </c>
      <c r="E1046" t="n">
        <v>588.972</v>
      </c>
      <c r="F1046" t="n">
        <v>1940478</v>
      </c>
      <c r="G1046" t="inlineStr">
        <is>
          <t>22.23-0-2-ERW 2 MAHS-PE</t>
        </is>
      </c>
      <c r="H1046" t="n">
        <v>587.853</v>
      </c>
      <c r="I1046" t="inlineStr">
        <is>
          <t>TUB-O-O-AUT-AW-PE-22.23X2.00X0.905-MAHS</t>
        </is>
      </c>
      <c r="J1046" t="inlineStr">
        <is>
          <t>TVS</t>
        </is>
      </c>
      <c r="K1046" t="inlineStr">
        <is>
          <t>22.23-0-2-ERW 2 MAHS-PE-0.905</t>
        </is>
      </c>
    </row>
    <row r="1047">
      <c r="A1047" t="inlineStr">
        <is>
          <t>0000949970</t>
        </is>
      </c>
      <c r="B1047" t="inlineStr">
        <is>
          <t>SANDHAR ENGINEERING PVTLTD(KA)U-III</t>
        </is>
      </c>
      <c r="C1047" t="inlineStr">
        <is>
          <t>NOS</t>
        </is>
      </c>
      <c r="D1047" t="n">
        <v>3474</v>
      </c>
      <c r="E1047" t="n">
        <v>3005.015</v>
      </c>
      <c r="F1047" t="n">
        <v>4228296</v>
      </c>
      <c r="G1047" t="inlineStr">
        <is>
          <t>22.23-0-2-ERW 2-PE</t>
        </is>
      </c>
      <c r="H1047" t="n">
        <v>2999.606</v>
      </c>
      <c r="I1047" t="inlineStr">
        <is>
          <t>CUT-O-N-AUT-AW-FC-22.23X2.000X0.8650</t>
        </is>
      </c>
      <c r="J1047" t="inlineStr">
        <is>
          <t>TVS</t>
        </is>
      </c>
      <c r="K1047" t="inlineStr">
        <is>
          <t>22.23-0-2-ERW 2-PE-0.865</t>
        </is>
      </c>
    </row>
    <row r="1048">
      <c r="A1048" t="inlineStr">
        <is>
          <t>0000949970</t>
        </is>
      </c>
      <c r="B1048" t="inlineStr">
        <is>
          <t>SANDHAR ENGINEERING PVTLTD(KA)U-III</t>
        </is>
      </c>
      <c r="C1048" t="inlineStr">
        <is>
          <t>NOS</t>
        </is>
      </c>
      <c r="D1048" t="n">
        <v>299</v>
      </c>
      <c r="E1048" t="n">
        <v>258.635</v>
      </c>
      <c r="F1048" t="n">
        <v>4228296</v>
      </c>
      <c r="G1048" t="inlineStr">
        <is>
          <t>22.23-0-2-ERW 2-PE</t>
        </is>
      </c>
      <c r="H1048" t="n">
        <v>258.17</v>
      </c>
      <c r="I1048" t="inlineStr">
        <is>
          <t>CUT-O-N-AUT-AW-FC-22.23X2.000X0.8650</t>
        </is>
      </c>
      <c r="J1048" t="inlineStr">
        <is>
          <t>TVS</t>
        </is>
      </c>
      <c r="K1048" t="inlineStr">
        <is>
          <t>22.23-0-2-ERW 2-PE-0.865</t>
        </is>
      </c>
    </row>
    <row r="1049">
      <c r="A1049" t="inlineStr">
        <is>
          <t>0000949970</t>
        </is>
      </c>
      <c r="B1049" t="inlineStr">
        <is>
          <t>SANDHAR ENGINEERING PVTLTD(KA)U-III</t>
        </is>
      </c>
      <c r="C1049" t="inlineStr">
        <is>
          <t>NOS</t>
        </is>
      </c>
      <c r="D1049" t="n">
        <v>2</v>
      </c>
      <c r="E1049" t="n">
        <v>1.73</v>
      </c>
      <c r="F1049" t="n">
        <v>4228296</v>
      </c>
      <c r="G1049" t="inlineStr">
        <is>
          <t>22.23-0-2-ERW 2-PE</t>
        </is>
      </c>
      <c r="H1049" t="n">
        <v>1.727</v>
      </c>
      <c r="I1049" t="inlineStr">
        <is>
          <t>CUT-O-N-AUT-AW-FC-22.23X2.000X0.8650</t>
        </is>
      </c>
      <c r="J1049" t="inlineStr">
        <is>
          <t>TVS</t>
        </is>
      </c>
      <c r="K1049" t="inlineStr">
        <is>
          <t>22.23-0-2-ERW 2-PE-0.865</t>
        </is>
      </c>
    </row>
    <row r="1050">
      <c r="A1050" t="inlineStr">
        <is>
          <t>0000189002</t>
        </is>
      </c>
      <c r="B1050" t="inlineStr">
        <is>
          <t>Marathwada Auto Compo Pvt. Ltd.</t>
        </is>
      </c>
      <c r="C1050" t="inlineStr">
        <is>
          <t>NOS</t>
        </is>
      </c>
      <c r="D1050" t="n">
        <v>207</v>
      </c>
      <c r="E1050" t="n">
        <v>248.698</v>
      </c>
      <c r="F1050" t="n">
        <v>3635694</v>
      </c>
      <c r="G1050" t="inlineStr">
        <is>
          <t>19.05-0-1-ERW 1-PE</t>
        </is>
      </c>
      <c r="H1050" t="n">
        <v>110.745</v>
      </c>
      <c r="I1050" t="inlineStr">
        <is>
          <t>TUB-O-N-AUT-AW-PE-19.05X1.000X1.2000</t>
        </is>
      </c>
      <c r="J1050" t="inlineStr">
        <is>
          <t>TVS</t>
        </is>
      </c>
      <c r="K1050" t="inlineStr">
        <is>
          <t>19.05-0-1-ERW 1-PE-1.2</t>
        </is>
      </c>
    </row>
    <row r="1051">
      <c r="A1051" t="inlineStr">
        <is>
          <t>0000189002</t>
        </is>
      </c>
      <c r="B1051" t="inlineStr">
        <is>
          <t>Marathwada Auto Compo Pvt. Ltd.</t>
        </is>
      </c>
      <c r="C1051" t="inlineStr">
        <is>
          <t>NOS</t>
        </is>
      </c>
      <c r="D1051" t="n">
        <v>106</v>
      </c>
      <c r="E1051" t="n">
        <v>127.352</v>
      </c>
      <c r="F1051" t="n">
        <v>3635694</v>
      </c>
      <c r="G1051" t="inlineStr">
        <is>
          <t>19.05-0-1-ERW 1-PE</t>
        </is>
      </c>
      <c r="H1051" t="n">
        <v>56.71</v>
      </c>
      <c r="I1051" t="inlineStr">
        <is>
          <t>TUB-O-N-AUT-AW-PE-19.05X1.000X1.2000</t>
        </is>
      </c>
      <c r="J1051" t="inlineStr">
        <is>
          <t>TVS</t>
        </is>
      </c>
      <c r="K1051" t="inlineStr">
        <is>
          <t>19.05-0-1-ERW 1-PE-1.2</t>
        </is>
      </c>
    </row>
    <row r="1052">
      <c r="A1052" t="inlineStr">
        <is>
          <t>0000189002</t>
        </is>
      </c>
      <c r="B1052" t="inlineStr">
        <is>
          <t>Marathwada Auto Compo Pvt. Ltd.</t>
        </is>
      </c>
      <c r="C1052" t="inlineStr">
        <is>
          <t>NOS</t>
        </is>
      </c>
      <c r="D1052" t="n">
        <v>12</v>
      </c>
      <c r="E1052" t="n">
        <v>14.417</v>
      </c>
      <c r="F1052" t="n">
        <v>3635694</v>
      </c>
      <c r="G1052" t="inlineStr">
        <is>
          <t>19.05-0-1-ERW 1-PE</t>
        </is>
      </c>
      <c r="H1052" t="n">
        <v>6.42</v>
      </c>
      <c r="I1052" t="inlineStr">
        <is>
          <t>TUB-O-N-AUT-AW-PE-19.05X1.000X1.2000</t>
        </is>
      </c>
      <c r="J1052" t="inlineStr">
        <is>
          <t>TVS</t>
        </is>
      </c>
      <c r="K1052" t="inlineStr">
        <is>
          <t>19.05-0-1-ERW 1-PE-1.2</t>
        </is>
      </c>
    </row>
    <row r="1053">
      <c r="A1053" t="inlineStr">
        <is>
          <t>0000189002</t>
        </is>
      </c>
      <c r="B1053" t="inlineStr">
        <is>
          <t>Marathwada Auto Compo Pvt. Ltd.</t>
        </is>
      </c>
      <c r="C1053" t="inlineStr">
        <is>
          <t>NOS</t>
        </is>
      </c>
      <c r="D1053" t="n">
        <v>2971</v>
      </c>
      <c r="E1053" t="n">
        <v>3569.47</v>
      </c>
      <c r="F1053" t="n">
        <v>3635694</v>
      </c>
      <c r="G1053" t="inlineStr">
        <is>
          <t>19.05-0-1-ERW 1-PE</t>
        </is>
      </c>
      <c r="H1053" t="n">
        <v>1589.485</v>
      </c>
      <c r="I1053" t="inlineStr">
        <is>
          <t>TUB-O-N-AUT-AW-PE-19.05X1.000X1.2000</t>
        </is>
      </c>
      <c r="J1053" t="inlineStr">
        <is>
          <t>TVS</t>
        </is>
      </c>
      <c r="K1053" t="inlineStr">
        <is>
          <t>19.05-0-1-ERW 1-PE-1.2</t>
        </is>
      </c>
    </row>
    <row r="1054">
      <c r="A1054" t="inlineStr">
        <is>
          <t>0000189002</t>
        </is>
      </c>
      <c r="B1054" t="inlineStr">
        <is>
          <t>Marathwada Auto Compo Pvt. Ltd.</t>
        </is>
      </c>
      <c r="C1054" t="inlineStr">
        <is>
          <t>NOS</t>
        </is>
      </c>
      <c r="D1054" t="n">
        <v>1314</v>
      </c>
      <c r="E1054" t="n">
        <v>1578.689</v>
      </c>
      <c r="F1054" t="n">
        <v>3635694</v>
      </c>
      <c r="G1054" t="inlineStr">
        <is>
          <t>19.05-0-1-ERW 1-PE</t>
        </is>
      </c>
      <c r="H1054" t="n">
        <v>702.99</v>
      </c>
      <c r="I1054" t="inlineStr">
        <is>
          <t>TUB-O-N-AUT-AW-PE-19.05X1.000X1.2000</t>
        </is>
      </c>
      <c r="J1054" t="inlineStr">
        <is>
          <t>TVS</t>
        </is>
      </c>
      <c r="K1054" t="inlineStr">
        <is>
          <t>19.05-0-1-ERW 1-PE-1.2</t>
        </is>
      </c>
    </row>
    <row r="1055">
      <c r="A1055" t="inlineStr">
        <is>
          <t>0000189002</t>
        </is>
      </c>
      <c r="B1055" t="inlineStr">
        <is>
          <t>Marathwada Auto Compo Pvt. Ltd.</t>
        </is>
      </c>
      <c r="C1055" t="inlineStr">
        <is>
          <t>NOS</t>
        </is>
      </c>
      <c r="D1055" t="n">
        <v>115</v>
      </c>
      <c r="E1055" t="n">
        <v>138.165</v>
      </c>
      <c r="F1055" t="n">
        <v>3635694</v>
      </c>
      <c r="G1055" t="inlineStr">
        <is>
          <t>19.05-0-1-ERW 1-PE</t>
        </is>
      </c>
      <c r="H1055" t="n">
        <v>61.525</v>
      </c>
      <c r="I1055" t="inlineStr">
        <is>
          <t>TUB-O-N-AUT-AW-PE-19.05X1.000X1.2000</t>
        </is>
      </c>
      <c r="J1055" t="inlineStr">
        <is>
          <t>TVS</t>
        </is>
      </c>
      <c r="K1055" t="inlineStr">
        <is>
          <t>19.05-0-1-ERW 1-PE-1.2</t>
        </is>
      </c>
    </row>
    <row r="1056">
      <c r="A1056" t="inlineStr">
        <is>
          <t>0000189002</t>
        </is>
      </c>
      <c r="B1056" t="inlineStr">
        <is>
          <t>Marathwada Auto Compo Pvt. Ltd.</t>
        </is>
      </c>
      <c r="C1056" t="inlineStr">
        <is>
          <t>NOS</t>
        </is>
      </c>
      <c r="D1056" t="n">
        <v>949</v>
      </c>
      <c r="E1056" t="n">
        <v>1140.164</v>
      </c>
      <c r="F1056" t="n">
        <v>3635694</v>
      </c>
      <c r="G1056" t="inlineStr">
        <is>
          <t>19.05-0-1-ERW 1-PE</t>
        </is>
      </c>
      <c r="H1056" t="n">
        <v>507.715</v>
      </c>
      <c r="I1056" t="inlineStr">
        <is>
          <t>TUB-O-N-AUT-AW-PE-19.05X1.000X1.2000</t>
        </is>
      </c>
      <c r="J1056" t="inlineStr">
        <is>
          <t>TVS</t>
        </is>
      </c>
      <c r="K1056" t="inlineStr">
        <is>
          <t>19.05-0-1-ERW 1-PE-1.2</t>
        </is>
      </c>
    </row>
    <row r="1057">
      <c r="A1057" t="inlineStr">
        <is>
          <t>0000189002</t>
        </is>
      </c>
      <c r="B1057" t="inlineStr">
        <is>
          <t>Marathwada Auto Compo Pvt. Ltd.</t>
        </is>
      </c>
      <c r="C1057" t="inlineStr">
        <is>
          <t>NOS</t>
        </is>
      </c>
      <c r="D1057" t="n">
        <v>51</v>
      </c>
      <c r="E1057" t="n">
        <v>61.273</v>
      </c>
      <c r="F1057" t="n">
        <v>3635694</v>
      </c>
      <c r="G1057" t="inlineStr">
        <is>
          <t>19.05-0-1-ERW 1-PE</t>
        </is>
      </c>
      <c r="H1057" t="n">
        <v>27.285</v>
      </c>
      <c r="I1057" t="inlineStr">
        <is>
          <t>TUB-O-N-AUT-AW-PE-19.05X1.000X1.2000</t>
        </is>
      </c>
      <c r="J1057" t="inlineStr">
        <is>
          <t>TVS</t>
        </is>
      </c>
      <c r="K1057" t="inlineStr">
        <is>
          <t>19.05-0-1-ERW 1-PE-1.2</t>
        </is>
      </c>
    </row>
    <row r="1058">
      <c r="A1058" t="inlineStr">
        <is>
          <t>0000189002</t>
        </is>
      </c>
      <c r="B1058" t="inlineStr">
        <is>
          <t>Marathwada Auto Compo Pvt. Ltd.</t>
        </is>
      </c>
      <c r="C1058" t="inlineStr">
        <is>
          <t>NOS</t>
        </is>
      </c>
      <c r="D1058" t="n">
        <v>1971</v>
      </c>
      <c r="E1058" t="n">
        <v>2368.033</v>
      </c>
      <c r="F1058" t="n">
        <v>3635694</v>
      </c>
      <c r="G1058" t="inlineStr">
        <is>
          <t>19.05-0-1-ERW 1-PE</t>
        </is>
      </c>
      <c r="H1058" t="n">
        <v>1054.485</v>
      </c>
      <c r="I1058" t="inlineStr">
        <is>
          <t>TUB-O-N-AUT-AW-PE-19.05X1.000X1.2000</t>
        </is>
      </c>
      <c r="J1058" t="inlineStr">
        <is>
          <t>TVS</t>
        </is>
      </c>
      <c r="K1058" t="inlineStr">
        <is>
          <t>19.05-0-1-ERW 1-PE-1.2</t>
        </is>
      </c>
    </row>
    <row r="1059">
      <c r="A1059" t="inlineStr">
        <is>
          <t>0000189002</t>
        </is>
      </c>
      <c r="B1059" t="inlineStr">
        <is>
          <t>Marathwada Auto Compo Pvt. Ltd.</t>
        </is>
      </c>
      <c r="C1059" t="inlineStr">
        <is>
          <t>NOS</t>
        </is>
      </c>
      <c r="D1059" t="n">
        <v>29</v>
      </c>
      <c r="E1059" t="n">
        <v>34.842</v>
      </c>
      <c r="F1059" t="n">
        <v>3635694</v>
      </c>
      <c r="G1059" t="inlineStr">
        <is>
          <t>19.05-0-1-ERW 1-PE</t>
        </is>
      </c>
      <c r="H1059" t="n">
        <v>15.515</v>
      </c>
      <c r="I1059" t="inlineStr">
        <is>
          <t>TUB-O-N-AUT-AW-PE-19.05X1.000X1.2000</t>
        </is>
      </c>
      <c r="J1059" t="inlineStr">
        <is>
          <t>TVS</t>
        </is>
      </c>
      <c r="K1059" t="inlineStr">
        <is>
          <t>19.05-0-1-ERW 1-PE-1.2</t>
        </is>
      </c>
    </row>
    <row r="1060">
      <c r="A1060" t="inlineStr">
        <is>
          <t>0000944141</t>
        </is>
      </c>
      <c r="B1060" t="inlineStr">
        <is>
          <t>SRIKAM HITECH ENGINEERING PRIVATE L</t>
        </is>
      </c>
      <c r="C1060" t="inlineStr">
        <is>
          <t>NOS</t>
        </is>
      </c>
      <c r="D1060" t="n">
        <v>2549</v>
      </c>
      <c r="E1060" t="n">
        <v>3323.966</v>
      </c>
      <c r="F1060" t="n">
        <v>3673011</v>
      </c>
      <c r="G1060" t="inlineStr">
        <is>
          <t>22.23-0-1.6-ERW 1-PE</t>
        </is>
      </c>
      <c r="H1060" t="n">
        <v>2707.038</v>
      </c>
      <c r="I1060" t="inlineStr">
        <is>
          <t>TUB-O-N-AUT-AW-PE-22.23X1.600X1.3040</t>
        </is>
      </c>
      <c r="J1060" t="inlineStr">
        <is>
          <t>TVS</t>
        </is>
      </c>
      <c r="K1060" t="inlineStr">
        <is>
          <t>22.23-0-1.6-ERW 1-PE-1.304</t>
        </is>
      </c>
    </row>
    <row r="1061">
      <c r="A1061" t="inlineStr">
        <is>
          <t>0000944141</t>
        </is>
      </c>
      <c r="B1061" t="inlineStr">
        <is>
          <t>SRIKAM HITECH ENGINEERING PRIVATE L</t>
        </is>
      </c>
      <c r="C1061" t="inlineStr">
        <is>
          <t>NOS</t>
        </is>
      </c>
      <c r="D1061" t="n">
        <v>2451</v>
      </c>
      <c r="E1061" t="n">
        <v>3196.171</v>
      </c>
      <c r="F1061" t="n">
        <v>3673011</v>
      </c>
      <c r="G1061" t="inlineStr">
        <is>
          <t>22.23-0-1.6-ERW 1-PE</t>
        </is>
      </c>
      <c r="H1061" t="n">
        <v>2602.962</v>
      </c>
      <c r="I1061" t="inlineStr">
        <is>
          <t>TUB-O-N-AUT-AW-PE-22.23X1.600X1.3040</t>
        </is>
      </c>
      <c r="J1061" t="inlineStr">
        <is>
          <t>TVS</t>
        </is>
      </c>
      <c r="K1061" t="inlineStr">
        <is>
          <t>22.23-0-1.6-ERW 1-PE-1.304</t>
        </is>
      </c>
    </row>
    <row r="1062">
      <c r="A1062" t="inlineStr">
        <is>
          <t>0000944141</t>
        </is>
      </c>
      <c r="B1062" t="inlineStr">
        <is>
          <t>SRIKAM HITECH ENGINEERING PRIVATE L</t>
        </is>
      </c>
      <c r="C1062" t="inlineStr">
        <is>
          <t>NOS</t>
        </is>
      </c>
      <c r="D1062" t="n">
        <v>2170</v>
      </c>
      <c r="E1062" t="n">
        <v>2829.74</v>
      </c>
      <c r="F1062" t="n">
        <v>3673011</v>
      </c>
      <c r="G1062" t="inlineStr">
        <is>
          <t>22.23-0-1.6-ERW 1-PE</t>
        </is>
      </c>
      <c r="H1062" t="n">
        <v>2304.54</v>
      </c>
      <c r="I1062" t="inlineStr">
        <is>
          <t>TUB-O-N-AUT-AW-PE-22.23X1.600X1.3040</t>
        </is>
      </c>
      <c r="J1062" t="inlineStr">
        <is>
          <t>TVS</t>
        </is>
      </c>
      <c r="K1062" t="inlineStr">
        <is>
          <t>22.23-0-1.6-ERW 1-PE-1.304</t>
        </is>
      </c>
    </row>
    <row r="1063">
      <c r="A1063" t="inlineStr">
        <is>
          <t>0000944141</t>
        </is>
      </c>
      <c r="B1063" t="inlineStr">
        <is>
          <t>SRIKAM HITECH ENGINEERING PRIVATE L</t>
        </is>
      </c>
      <c r="C1063" t="inlineStr">
        <is>
          <t>NOS</t>
        </is>
      </c>
      <c r="D1063" t="n">
        <v>1149</v>
      </c>
      <c r="E1063" t="n">
        <v>1498.328</v>
      </c>
      <c r="F1063" t="n">
        <v>3673011</v>
      </c>
      <c r="G1063" t="inlineStr">
        <is>
          <t>22.23-0-1.6-ERW 1-PE</t>
        </is>
      </c>
      <c r="H1063" t="n">
        <v>1220.238</v>
      </c>
      <c r="I1063" t="inlineStr">
        <is>
          <t>TUB-O-N-AUT-AW-PE-22.23X1.600X1.3040</t>
        </is>
      </c>
      <c r="J1063" t="inlineStr">
        <is>
          <t>TVS</t>
        </is>
      </c>
      <c r="K1063" t="inlineStr">
        <is>
          <t>22.23-0-1.6-ERW 1-PE-1.304</t>
        </is>
      </c>
    </row>
    <row r="1064">
      <c r="A1064" t="inlineStr">
        <is>
          <t>0000944141</t>
        </is>
      </c>
      <c r="B1064" t="inlineStr">
        <is>
          <t>SRIKAM HITECH ENGINEERING PRIVATE L</t>
        </is>
      </c>
      <c r="C1064" t="inlineStr">
        <is>
          <t>NOS</t>
        </is>
      </c>
      <c r="D1064" t="n">
        <v>923</v>
      </c>
      <c r="E1064" t="n">
        <v>1203.617</v>
      </c>
      <c r="F1064" t="n">
        <v>3673011</v>
      </c>
      <c r="G1064" t="inlineStr">
        <is>
          <t>22.23-0-1.6-ERW 1-PE</t>
        </is>
      </c>
      <c r="H1064" t="n">
        <v>980.226</v>
      </c>
      <c r="I1064" t="inlineStr">
        <is>
          <t>TUB-O-N-AUT-AW-PE-22.23X1.600X1.3040</t>
        </is>
      </c>
      <c r="J1064" t="inlineStr">
        <is>
          <t>TVS</t>
        </is>
      </c>
      <c r="K1064" t="inlineStr">
        <is>
          <t>22.23-0-1.6-ERW 1-PE-1.304</t>
        </is>
      </c>
    </row>
    <row r="1065">
      <c r="A1065" t="inlineStr">
        <is>
          <t>0000944141</t>
        </is>
      </c>
      <c r="B1065" t="inlineStr">
        <is>
          <t>SRIKAM HITECH ENGINEERING PRIVATE L</t>
        </is>
      </c>
      <c r="C1065" t="inlineStr">
        <is>
          <t>NOS</t>
        </is>
      </c>
      <c r="D1065" t="n">
        <v>564</v>
      </c>
      <c r="E1065" t="n">
        <v>735.472</v>
      </c>
      <c r="F1065" t="n">
        <v>3673011</v>
      </c>
      <c r="G1065" t="inlineStr">
        <is>
          <t>22.23-0-1.6-ERW 1-PE</t>
        </is>
      </c>
      <c r="H1065" t="n">
        <v>598.968</v>
      </c>
      <c r="I1065" t="inlineStr">
        <is>
          <t>TUB-O-N-AUT-AW-PE-22.23X1.600X1.3040</t>
        </is>
      </c>
      <c r="J1065" t="inlineStr">
        <is>
          <t>TVS</t>
        </is>
      </c>
      <c r="K1065" t="inlineStr">
        <is>
          <t>22.23-0-1.6-ERW 1-PE-1.304</t>
        </is>
      </c>
    </row>
    <row r="1066">
      <c r="A1066" t="inlineStr">
        <is>
          <t>0000944141</t>
        </is>
      </c>
      <c r="B1066" t="inlineStr">
        <is>
          <t>SRIKAM HITECH ENGINEERING PRIVATE L</t>
        </is>
      </c>
      <c r="C1066" t="inlineStr">
        <is>
          <t>NOS</t>
        </is>
      </c>
      <c r="D1066" t="n">
        <v>387</v>
      </c>
      <c r="E1066" t="n">
        <v>504.659</v>
      </c>
      <c r="F1066" t="n">
        <v>3673011</v>
      </c>
      <c r="G1066" t="inlineStr">
        <is>
          <t>22.23-0-1.6-ERW 1-PE</t>
        </is>
      </c>
      <c r="H1066" t="n">
        <v>410.994</v>
      </c>
      <c r="I1066" t="inlineStr">
        <is>
          <t>TUB-O-N-AUT-AW-PE-22.23X1.600X1.3040</t>
        </is>
      </c>
      <c r="J1066" t="inlineStr">
        <is>
          <t>TVS</t>
        </is>
      </c>
      <c r="K1066" t="inlineStr">
        <is>
          <t>22.23-0-1.6-ERW 1-PE-1.304</t>
        </is>
      </c>
    </row>
    <row r="1067">
      <c r="A1067" t="inlineStr">
        <is>
          <t>0000944141</t>
        </is>
      </c>
      <c r="B1067" t="inlineStr">
        <is>
          <t>SRIKAM HITECH ENGINEERING PRIVATE L</t>
        </is>
      </c>
      <c r="C1067" t="inlineStr">
        <is>
          <t>NOS</t>
        </is>
      </c>
      <c r="D1067" t="n">
        <v>161</v>
      </c>
      <c r="E1067" t="n">
        <v>209.948</v>
      </c>
      <c r="F1067" t="n">
        <v>3673011</v>
      </c>
      <c r="G1067" t="inlineStr">
        <is>
          <t>22.23-0-1.6-ERW 1-PE</t>
        </is>
      </c>
      <c r="H1067" t="n">
        <v>170.982</v>
      </c>
      <c r="I1067" t="inlineStr">
        <is>
          <t>TUB-O-N-AUT-AW-PE-22.23X1.600X1.3040</t>
        </is>
      </c>
      <c r="J1067" t="inlineStr">
        <is>
          <t>TVS</t>
        </is>
      </c>
      <c r="K1067" t="inlineStr">
        <is>
          <t>22.23-0-1.6-ERW 1-PE-1.304</t>
        </is>
      </c>
    </row>
    <row r="1068">
      <c r="A1068" t="inlineStr">
        <is>
          <t>0000944141</t>
        </is>
      </c>
      <c r="B1068" t="inlineStr">
        <is>
          <t>SRIKAM HITECH ENGINEERING PRIVATE L</t>
        </is>
      </c>
      <c r="C1068" t="inlineStr">
        <is>
          <t>NOS</t>
        </is>
      </c>
      <c r="D1068" t="n">
        <v>83</v>
      </c>
      <c r="E1068" t="n">
        <v>108.234</v>
      </c>
      <c r="F1068" t="n">
        <v>3673011</v>
      </c>
      <c r="G1068" t="inlineStr">
        <is>
          <t>22.23-0-1.6-ERW 1-PE</t>
        </is>
      </c>
      <c r="H1068" t="n">
        <v>88.146</v>
      </c>
      <c r="I1068" t="inlineStr">
        <is>
          <t>TUB-O-N-AUT-AW-PE-22.23X1.600X1.3040</t>
        </is>
      </c>
      <c r="J1068" t="inlineStr">
        <is>
          <t>TVS</t>
        </is>
      </c>
      <c r="K1068" t="inlineStr">
        <is>
          <t>22.23-0-1.6-ERW 1-PE-1.304</t>
        </is>
      </c>
    </row>
    <row r="1069">
      <c r="A1069" t="inlineStr">
        <is>
          <t>0000944141</t>
        </is>
      </c>
      <c r="B1069" t="inlineStr">
        <is>
          <t>SRIKAM HITECH ENGINEERING PRIVATE L</t>
        </is>
      </c>
      <c r="C1069" t="inlineStr">
        <is>
          <t>NOS</t>
        </is>
      </c>
      <c r="D1069" t="n">
        <v>13</v>
      </c>
      <c r="E1069" t="n">
        <v>16.952</v>
      </c>
      <c r="F1069" t="n">
        <v>3673011</v>
      </c>
      <c r="G1069" t="inlineStr">
        <is>
          <t>22.23-0-1.6-ERW 1-PE</t>
        </is>
      </c>
      <c r="H1069" t="n">
        <v>13.806</v>
      </c>
      <c r="I1069" t="inlineStr">
        <is>
          <t>TUB-O-N-AUT-AW-PE-22.23X1.600X1.3040</t>
        </is>
      </c>
      <c r="J1069" t="inlineStr">
        <is>
          <t>TVS</t>
        </is>
      </c>
      <c r="K1069" t="inlineStr">
        <is>
          <t>22.23-0-1.6-ERW 1-PE-1.304</t>
        </is>
      </c>
    </row>
    <row r="1070">
      <c r="A1070" t="inlineStr">
        <is>
          <t>0000188647</t>
        </is>
      </c>
      <c r="B1070" t="inlineStr">
        <is>
          <t>Metalman Auto Private Limited</t>
        </is>
      </c>
      <c r="C1070" t="inlineStr">
        <is>
          <t>NOS</t>
        </is>
      </c>
      <c r="D1070" t="n">
        <v>210</v>
      </c>
      <c r="E1070" t="n">
        <v>51.661</v>
      </c>
      <c r="F1070" t="n">
        <v>3768907</v>
      </c>
      <c r="G1070" t="inlineStr">
        <is>
          <t>41.28-0-3.2-ERW 1-FC</t>
        </is>
      </c>
      <c r="H1070" t="n">
        <v>155.302</v>
      </c>
      <c r="I1070" t="inlineStr">
        <is>
          <t>CUT-O-N-AUT-AW-FC-41.28X3.200X0.2460</t>
        </is>
      </c>
      <c r="J1070" t="inlineStr">
        <is>
          <t>TVS</t>
        </is>
      </c>
      <c r="K1070" t="inlineStr">
        <is>
          <t>41.28-0-3.2-ERW 1-FC-0.246</t>
        </is>
      </c>
    </row>
    <row r="1071">
      <c r="A1071" t="inlineStr">
        <is>
          <t>0000188647</t>
        </is>
      </c>
      <c r="B1071" t="inlineStr">
        <is>
          <t>Metalman Auto Private Limited</t>
        </is>
      </c>
      <c r="C1071" t="inlineStr">
        <is>
          <t>NOS</t>
        </is>
      </c>
      <c r="D1071" t="n">
        <v>450</v>
      </c>
      <c r="E1071" t="n">
        <v>110.701</v>
      </c>
      <c r="F1071" t="n">
        <v>3768907</v>
      </c>
      <c r="G1071" t="inlineStr">
        <is>
          <t>41.28-0-3.2-ERW 1-FC</t>
        </is>
      </c>
      <c r="H1071" t="n">
        <v>332.79</v>
      </c>
      <c r="I1071" t="inlineStr">
        <is>
          <t>CUT-O-N-AUT-AW-FC-41.28X3.200X0.2460</t>
        </is>
      </c>
      <c r="J1071" t="inlineStr">
        <is>
          <t>TVS</t>
        </is>
      </c>
      <c r="K1071" t="inlineStr">
        <is>
          <t>41.28-0-3.2-ERW 1-FC-0.246</t>
        </is>
      </c>
    </row>
    <row r="1072">
      <c r="A1072" t="inlineStr">
        <is>
          <t>0000188647</t>
        </is>
      </c>
      <c r="B1072" t="inlineStr">
        <is>
          <t>Metalman Auto Private Limited</t>
        </is>
      </c>
      <c r="C1072" t="inlineStr">
        <is>
          <t>NOS</t>
        </is>
      </c>
      <c r="D1072" t="n">
        <v>300</v>
      </c>
      <c r="E1072" t="n">
        <v>73.801</v>
      </c>
      <c r="F1072" t="n">
        <v>3768907</v>
      </c>
      <c r="G1072" t="inlineStr">
        <is>
          <t>41.28-0-3.2-ERW 1-FC</t>
        </is>
      </c>
      <c r="H1072" t="n">
        <v>221.86</v>
      </c>
      <c r="I1072" t="inlineStr">
        <is>
          <t>CUT-O-N-AUT-AW-FC-41.28X3.200X0.2460</t>
        </is>
      </c>
      <c r="J1072" t="inlineStr">
        <is>
          <t>TVS</t>
        </is>
      </c>
      <c r="K1072" t="inlineStr">
        <is>
          <t>41.28-0-3.2-ERW 1-FC-0.246</t>
        </is>
      </c>
    </row>
    <row r="1073">
      <c r="A1073" t="inlineStr">
        <is>
          <t>0000188647</t>
        </is>
      </c>
      <c r="B1073" t="inlineStr">
        <is>
          <t>Metalman Auto Private Limited</t>
        </is>
      </c>
      <c r="C1073" t="inlineStr">
        <is>
          <t>NOS</t>
        </is>
      </c>
      <c r="D1073" t="n">
        <v>40</v>
      </c>
      <c r="E1073" t="n">
        <v>9.84</v>
      </c>
      <c r="F1073" t="n">
        <v>3768907</v>
      </c>
      <c r="G1073" t="inlineStr">
        <is>
          <t>41.28-0-3.2-ERW 1-FC</t>
        </is>
      </c>
      <c r="H1073" t="n">
        <v>29.581</v>
      </c>
      <c r="I1073" t="inlineStr">
        <is>
          <t>CUT-O-N-AUT-AW-FC-41.28X3.200X0.2460</t>
        </is>
      </c>
      <c r="J1073" t="inlineStr">
        <is>
          <t>TVS</t>
        </is>
      </c>
      <c r="K1073" t="inlineStr">
        <is>
          <t>41.28-0-3.2-ERW 1-FC-0.246</t>
        </is>
      </c>
    </row>
    <row r="1074">
      <c r="A1074" t="inlineStr">
        <is>
          <t>0000188647</t>
        </is>
      </c>
      <c r="B1074" t="inlineStr">
        <is>
          <t>Metalman Auto Private Limited</t>
        </is>
      </c>
      <c r="C1074" t="inlineStr">
        <is>
          <t>NOS</t>
        </is>
      </c>
      <c r="D1074" t="n">
        <v>824</v>
      </c>
      <c r="E1074" t="n">
        <v>724.91</v>
      </c>
      <c r="F1074" t="n">
        <v>1940831</v>
      </c>
      <c r="G1074" t="inlineStr">
        <is>
          <t>40-30-1.6-ERW 1-FC</t>
        </is>
      </c>
      <c r="H1074" t="n">
        <v>1226.112</v>
      </c>
      <c r="I1074" t="inlineStr">
        <is>
          <t>TUB-R-AW-RHS-40.00X30.00X1.600X0.8800</t>
        </is>
      </c>
      <c r="J1074" t="inlineStr">
        <is>
          <t>TVS</t>
        </is>
      </c>
      <c r="K1074" t="inlineStr">
        <is>
          <t>40-30-1.6-ERW 1-FC-0.88</t>
        </is>
      </c>
    </row>
    <row r="1075">
      <c r="A1075" t="inlineStr">
        <is>
          <t>0000188647</t>
        </is>
      </c>
      <c r="B1075" t="inlineStr">
        <is>
          <t>Metalman Auto Private Limited</t>
        </is>
      </c>
      <c r="C1075" t="inlineStr">
        <is>
          <t>NOS</t>
        </is>
      </c>
      <c r="D1075" t="n">
        <v>934</v>
      </c>
      <c r="E1075" t="n">
        <v>821.681</v>
      </c>
      <c r="F1075" t="n">
        <v>1940831</v>
      </c>
      <c r="G1075" t="inlineStr">
        <is>
          <t>40-30-1.6-ERW 1-FC</t>
        </is>
      </c>
      <c r="H1075" t="n">
        <v>1389.792</v>
      </c>
      <c r="I1075" t="inlineStr">
        <is>
          <t>TUB-R-AW-RHS-40.00X30.00X1.600X0.8800</t>
        </is>
      </c>
      <c r="J1075" t="inlineStr">
        <is>
          <t>TVS</t>
        </is>
      </c>
      <c r="K1075" t="inlineStr">
        <is>
          <t>40-30-1.6-ERW 1-FC-0.88</t>
        </is>
      </c>
    </row>
    <row r="1076">
      <c r="A1076" t="inlineStr">
        <is>
          <t>0000188647</t>
        </is>
      </c>
      <c r="B1076" t="inlineStr">
        <is>
          <t>Metalman Auto Private Limited</t>
        </is>
      </c>
      <c r="C1076" t="inlineStr">
        <is>
          <t>NOS</t>
        </is>
      </c>
      <c r="D1076" t="n">
        <v>50</v>
      </c>
      <c r="E1076" t="n">
        <v>43.987</v>
      </c>
      <c r="F1076" t="n">
        <v>1940831</v>
      </c>
      <c r="G1076" t="inlineStr">
        <is>
          <t>40-30-1.6-ERW 1-FC</t>
        </is>
      </c>
      <c r="H1076" t="n">
        <v>74.40000000000001</v>
      </c>
      <c r="I1076" t="inlineStr">
        <is>
          <t>TUB-R-AW-RHS-40.00X30.00X1.600X0.8800</t>
        </is>
      </c>
      <c r="J1076" t="inlineStr">
        <is>
          <t>TVS</t>
        </is>
      </c>
      <c r="K1076" t="inlineStr">
        <is>
          <t>40-30-1.6-ERW 1-FC-0.88</t>
        </is>
      </c>
    </row>
    <row r="1077">
      <c r="A1077" t="inlineStr">
        <is>
          <t>0000188647</t>
        </is>
      </c>
      <c r="B1077" t="inlineStr">
        <is>
          <t>Metalman Auto Private Limited</t>
        </is>
      </c>
      <c r="C1077" t="inlineStr">
        <is>
          <t>NOS</t>
        </is>
      </c>
      <c r="D1077" t="n">
        <v>22</v>
      </c>
      <c r="E1077" t="n">
        <v>19.354</v>
      </c>
      <c r="F1077" t="n">
        <v>1940831</v>
      </c>
      <c r="G1077" t="inlineStr">
        <is>
          <t>40-30-1.6-ERW 1-FC</t>
        </is>
      </c>
      <c r="H1077" t="n">
        <v>32.736</v>
      </c>
      <c r="I1077" t="inlineStr">
        <is>
          <t>TUB-R-AW-RHS-40.00X30.00X1.600X0.8800</t>
        </is>
      </c>
      <c r="J1077" t="inlineStr">
        <is>
          <t>TVS</t>
        </is>
      </c>
      <c r="K1077" t="inlineStr">
        <is>
          <t>40-30-1.6-ERW 1-FC-0.88</t>
        </is>
      </c>
    </row>
    <row r="1078">
      <c r="A1078" t="inlineStr">
        <is>
          <t>0000188647</t>
        </is>
      </c>
      <c r="B1078" t="inlineStr">
        <is>
          <t>Metalman Auto Private Limited</t>
        </is>
      </c>
      <c r="C1078" t="inlineStr">
        <is>
          <t>NOS</t>
        </is>
      </c>
      <c r="D1078" t="n">
        <v>1500</v>
      </c>
      <c r="E1078" t="n">
        <v>1319.617</v>
      </c>
      <c r="F1078" t="n">
        <v>1940831</v>
      </c>
      <c r="G1078" t="inlineStr">
        <is>
          <t>40-30-1.6-ERW 1-FC</t>
        </is>
      </c>
      <c r="H1078" t="n">
        <v>2232</v>
      </c>
      <c r="I1078" t="inlineStr">
        <is>
          <t>TUB-R-AW-RHS-40.00X30.00X1.600X0.8800</t>
        </is>
      </c>
      <c r="J1078" t="inlineStr">
        <is>
          <t>TVS</t>
        </is>
      </c>
      <c r="K1078" t="inlineStr">
        <is>
          <t>40-30-1.6-ERW 1-FC-0.88</t>
        </is>
      </c>
    </row>
    <row r="1079">
      <c r="A1079" t="inlineStr">
        <is>
          <t>0000188647</t>
        </is>
      </c>
      <c r="B1079" t="inlineStr">
        <is>
          <t>Metalman Auto Private Limited</t>
        </is>
      </c>
      <c r="C1079" t="inlineStr">
        <is>
          <t>NOS</t>
        </is>
      </c>
      <c r="D1079" t="n">
        <v>990</v>
      </c>
      <c r="E1079" t="n">
        <v>870.947</v>
      </c>
      <c r="F1079" t="n">
        <v>1940831</v>
      </c>
      <c r="G1079" t="inlineStr">
        <is>
          <t>40-30-1.6-ERW 1-FC</t>
        </is>
      </c>
      <c r="H1079" t="n">
        <v>1473.12</v>
      </c>
      <c r="I1079" t="inlineStr">
        <is>
          <t>TUB-R-AW-RHS-40.00X30.00X1.600X0.8800</t>
        </is>
      </c>
      <c r="J1079" t="inlineStr">
        <is>
          <t>TVS</t>
        </is>
      </c>
      <c r="K1079" t="inlineStr">
        <is>
          <t>40-30-1.6-ERW 1-FC-0.88</t>
        </is>
      </c>
    </row>
    <row r="1080">
      <c r="A1080" t="inlineStr">
        <is>
          <t>0000188647</t>
        </is>
      </c>
      <c r="B1080" t="inlineStr">
        <is>
          <t>Metalman Auto Private Limited</t>
        </is>
      </c>
      <c r="C1080" t="inlineStr">
        <is>
          <t>NOS</t>
        </is>
      </c>
      <c r="D1080" t="n">
        <v>1068</v>
      </c>
      <c r="E1080" t="n">
        <v>939.758</v>
      </c>
      <c r="F1080" t="n">
        <v>1940838</v>
      </c>
      <c r="G1080" t="inlineStr">
        <is>
          <t>40-30-2-ERW 1-FC</t>
        </is>
      </c>
      <c r="H1080" t="n">
        <v>1968.324</v>
      </c>
      <c r="I1080" t="inlineStr">
        <is>
          <t>TUB-R-AW-RHS-40.00X30.00X2.000X0.8800</t>
        </is>
      </c>
      <c r="J1080" t="inlineStr">
        <is>
          <t>TVS</t>
        </is>
      </c>
      <c r="K1080" t="inlineStr">
        <is>
          <t>40-30-2-ERW 1-FC-0.88</t>
        </is>
      </c>
    </row>
    <row r="1081">
      <c r="A1081" t="inlineStr">
        <is>
          <t>0000188647</t>
        </is>
      </c>
      <c r="B1081" t="inlineStr">
        <is>
          <t>Metalman Auto Private Limited</t>
        </is>
      </c>
      <c r="C1081" t="inlineStr">
        <is>
          <t>NOS</t>
        </is>
      </c>
      <c r="D1081" t="n">
        <v>419</v>
      </c>
      <c r="E1081" t="n">
        <v>368.688</v>
      </c>
      <c r="F1081" t="n">
        <v>1940838</v>
      </c>
      <c r="G1081" t="inlineStr">
        <is>
          <t>40-30-2-ERW 1-FC</t>
        </is>
      </c>
      <c r="H1081" t="n">
        <v>772.217</v>
      </c>
      <c r="I1081" t="inlineStr">
        <is>
          <t>TUB-R-AW-RHS-40.00X30.00X2.000X0.8800</t>
        </is>
      </c>
      <c r="J1081" t="inlineStr">
        <is>
          <t>TVS</t>
        </is>
      </c>
      <c r="K1081" t="inlineStr">
        <is>
          <t>40-30-2-ERW 1-FC-0.88</t>
        </is>
      </c>
    </row>
    <row r="1082">
      <c r="A1082" t="inlineStr">
        <is>
          <t>0000188647</t>
        </is>
      </c>
      <c r="B1082" t="inlineStr">
        <is>
          <t>Metalman Auto Private Limited</t>
        </is>
      </c>
      <c r="C1082" t="inlineStr">
        <is>
          <t>NOS</t>
        </is>
      </c>
      <c r="D1082" t="n">
        <v>320</v>
      </c>
      <c r="E1082" t="n">
        <v>281.576</v>
      </c>
      <c r="F1082" t="n">
        <v>1940838</v>
      </c>
      <c r="G1082" t="inlineStr">
        <is>
          <t>40-30-2-ERW 1-FC</t>
        </is>
      </c>
      <c r="H1082" t="n">
        <v>589.76</v>
      </c>
      <c r="I1082" t="inlineStr">
        <is>
          <t>TUB-R-AW-RHS-40.00X30.00X2.000X0.8800</t>
        </is>
      </c>
      <c r="J1082" t="inlineStr">
        <is>
          <t>TVS</t>
        </is>
      </c>
      <c r="K1082" t="inlineStr">
        <is>
          <t>40-30-2-ERW 1-FC-0.88</t>
        </is>
      </c>
    </row>
    <row r="1083">
      <c r="A1083" t="inlineStr">
        <is>
          <t>0000188647</t>
        </is>
      </c>
      <c r="B1083" t="inlineStr">
        <is>
          <t>Metalman Auto Private Limited</t>
        </is>
      </c>
      <c r="C1083" t="inlineStr">
        <is>
          <t>NOS</t>
        </is>
      </c>
      <c r="D1083" t="n">
        <v>143</v>
      </c>
      <c r="E1083" t="n">
        <v>125.829</v>
      </c>
      <c r="F1083" t="n">
        <v>1940838</v>
      </c>
      <c r="G1083" t="inlineStr">
        <is>
          <t>40-30-2-ERW 1-FC</t>
        </is>
      </c>
      <c r="H1083" t="n">
        <v>263.549</v>
      </c>
      <c r="I1083" t="inlineStr">
        <is>
          <t>TUB-R-AW-RHS-40.00X30.00X2.000X0.8800</t>
        </is>
      </c>
      <c r="J1083" t="inlineStr">
        <is>
          <t>TVS</t>
        </is>
      </c>
      <c r="K1083" t="inlineStr">
        <is>
          <t>40-30-2-ERW 1-FC-0.88</t>
        </is>
      </c>
    </row>
    <row r="1084">
      <c r="A1084" t="inlineStr">
        <is>
          <t>0000188647</t>
        </is>
      </c>
      <c r="B1084" t="inlineStr">
        <is>
          <t>Metalman Auto Private Limited</t>
        </is>
      </c>
      <c r="C1084" t="inlineStr">
        <is>
          <t>NOS</t>
        </is>
      </c>
      <c r="D1084" t="n">
        <v>41</v>
      </c>
      <c r="E1084" t="n">
        <v>36.077</v>
      </c>
      <c r="F1084" t="n">
        <v>1940838</v>
      </c>
      <c r="G1084" t="inlineStr">
        <is>
          <t>40-30-2-ERW 1-FC</t>
        </is>
      </c>
      <c r="H1084" t="n">
        <v>75.563</v>
      </c>
      <c r="I1084" t="inlineStr">
        <is>
          <t>TUB-R-AW-RHS-40.00X30.00X2.000X0.8800</t>
        </is>
      </c>
      <c r="J1084" t="inlineStr">
        <is>
          <t>TVS</t>
        </is>
      </c>
      <c r="K1084" t="inlineStr">
        <is>
          <t>40-30-2-ERW 1-FC-0.88</t>
        </is>
      </c>
    </row>
    <row r="1085">
      <c r="A1085" t="inlineStr">
        <is>
          <t>0000188647</t>
        </is>
      </c>
      <c r="B1085" t="inlineStr">
        <is>
          <t>Metalman Auto Private Limited</t>
        </is>
      </c>
      <c r="C1085" t="inlineStr">
        <is>
          <t>NOS</t>
        </is>
      </c>
      <c r="D1085" t="n">
        <v>1</v>
      </c>
      <c r="E1085" t="n">
        <v>0.88</v>
      </c>
      <c r="F1085" t="n">
        <v>1940838</v>
      </c>
      <c r="G1085" t="inlineStr">
        <is>
          <t>40-30-2-ERW 1-FC</t>
        </is>
      </c>
      <c r="H1085" t="n">
        <v>1.843</v>
      </c>
      <c r="I1085" t="inlineStr">
        <is>
          <t>TUB-R-AW-RHS-40.00X30.00X2.000X0.8800</t>
        </is>
      </c>
      <c r="J1085" t="inlineStr">
        <is>
          <t>TVS</t>
        </is>
      </c>
      <c r="K1085" t="inlineStr">
        <is>
          <t>40-30-2-ERW 1-FC-0.88</t>
        </is>
      </c>
    </row>
    <row r="1086">
      <c r="A1086" t="inlineStr">
        <is>
          <t>0000188647</t>
        </is>
      </c>
      <c r="B1086" t="inlineStr">
        <is>
          <t>Metalman Auto Private Limited</t>
        </is>
      </c>
      <c r="C1086" t="inlineStr">
        <is>
          <t>NOS</t>
        </is>
      </c>
      <c r="D1086" t="n">
        <v>840</v>
      </c>
      <c r="E1086" t="n">
        <v>739.136</v>
      </c>
      <c r="F1086" t="n">
        <v>1940838</v>
      </c>
      <c r="G1086" t="inlineStr">
        <is>
          <t>40-30-2-ERW 1-FC</t>
        </is>
      </c>
      <c r="H1086" t="n">
        <v>1548.12</v>
      </c>
      <c r="I1086" t="inlineStr">
        <is>
          <t>TUB-R-AW-RHS-40.00X30.00X2.000X0.8800</t>
        </is>
      </c>
      <c r="J1086" t="inlineStr">
        <is>
          <t>TVS</t>
        </is>
      </c>
      <c r="K1086" t="inlineStr">
        <is>
          <t>40-30-2-ERW 1-FC-0.88</t>
        </is>
      </c>
    </row>
    <row r="1087">
      <c r="A1087" t="inlineStr">
        <is>
          <t>0000941496</t>
        </is>
      </c>
      <c r="B1087" t="inlineStr">
        <is>
          <t>SANDHAR ENGINEERING PVT LTD.(KA) -U</t>
        </is>
      </c>
      <c r="C1087" t="inlineStr">
        <is>
          <t>NOS</t>
        </is>
      </c>
      <c r="D1087" t="n">
        <v>1356</v>
      </c>
      <c r="E1087" t="n">
        <v>880.22</v>
      </c>
      <c r="F1087" t="n">
        <v>1937022</v>
      </c>
      <c r="G1087" t="inlineStr">
        <is>
          <t>19.05-0-1.2-ERW 1-PE</t>
        </is>
      </c>
      <c r="H1087" t="n">
        <v>465.108</v>
      </c>
      <c r="I1087" t="inlineStr">
        <is>
          <t>TUB-O-N-AUT-AW-PE-19.05X1.200X0.6500</t>
        </is>
      </c>
      <c r="J1087" t="inlineStr">
        <is>
          <t>TVS</t>
        </is>
      </c>
      <c r="K1087" t="inlineStr">
        <is>
          <t>19.05-0-1.2-ERW 1-PE-0.65</t>
        </is>
      </c>
    </row>
    <row r="1088">
      <c r="A1088" t="inlineStr">
        <is>
          <t>0000941496</t>
        </is>
      </c>
      <c r="B1088" t="inlineStr">
        <is>
          <t>SANDHAR ENGINEERING PVT LTD.(KA) -U</t>
        </is>
      </c>
      <c r="C1088" t="inlineStr">
        <is>
          <t>NOS</t>
        </is>
      </c>
      <c r="D1088" t="n">
        <v>1472</v>
      </c>
      <c r="E1088" t="n">
        <v>955.519</v>
      </c>
      <c r="F1088" t="n">
        <v>1937022</v>
      </c>
      <c r="G1088" t="inlineStr">
        <is>
          <t>19.05-0-1.2-ERW 1-PE</t>
        </is>
      </c>
      <c r="H1088" t="n">
        <v>504.896</v>
      </c>
      <c r="I1088" t="inlineStr">
        <is>
          <t>TUB-O-N-AUT-AW-PE-19.05X1.200X0.6500</t>
        </is>
      </c>
      <c r="J1088" t="inlineStr">
        <is>
          <t>TVS</t>
        </is>
      </c>
      <c r="K1088" t="inlineStr">
        <is>
          <t>19.05-0-1.2-ERW 1-PE-0.65</t>
        </is>
      </c>
    </row>
    <row r="1089">
      <c r="A1089" t="inlineStr">
        <is>
          <t>0000941496</t>
        </is>
      </c>
      <c r="B1089" t="inlineStr">
        <is>
          <t>SANDHAR ENGINEERING PVT LTD.(KA) -U</t>
        </is>
      </c>
      <c r="C1089" t="inlineStr">
        <is>
          <t>NOS</t>
        </is>
      </c>
      <c r="D1089" t="n">
        <v>1166</v>
      </c>
      <c r="E1089" t="n">
        <v>756.885</v>
      </c>
      <c r="F1089" t="n">
        <v>1937022</v>
      </c>
      <c r="G1089" t="inlineStr">
        <is>
          <t>19.05-0-1.2-ERW 1-PE</t>
        </is>
      </c>
      <c r="H1089" t="n">
        <v>399.938</v>
      </c>
      <c r="I1089" t="inlineStr">
        <is>
          <t>TUB-O-N-AUT-AW-PE-19.05X1.200X0.6500</t>
        </is>
      </c>
      <c r="J1089" t="inlineStr">
        <is>
          <t>TVS</t>
        </is>
      </c>
      <c r="K1089" t="inlineStr">
        <is>
          <t>19.05-0-1.2-ERW 1-PE-0.65</t>
        </is>
      </c>
    </row>
    <row r="1090">
      <c r="A1090" t="inlineStr">
        <is>
          <t>0000941496</t>
        </is>
      </c>
      <c r="B1090" t="inlineStr">
        <is>
          <t>SANDHAR ENGINEERING PVT LTD.(KA) -U</t>
        </is>
      </c>
      <c r="C1090" t="inlineStr">
        <is>
          <t>NOS</t>
        </is>
      </c>
      <c r="D1090" t="n">
        <v>6</v>
      </c>
      <c r="E1090" t="n">
        <v>3.895</v>
      </c>
      <c r="F1090" t="n">
        <v>1937022</v>
      </c>
      <c r="G1090" t="inlineStr">
        <is>
          <t>19.05-0-1.2-ERW 1-PE</t>
        </is>
      </c>
      <c r="H1090" t="n">
        <v>2.058</v>
      </c>
      <c r="I1090" t="inlineStr">
        <is>
          <t>TUB-O-N-AUT-AW-PE-19.05X1.200X0.6500</t>
        </is>
      </c>
      <c r="J1090" t="inlineStr">
        <is>
          <t>TVS</t>
        </is>
      </c>
      <c r="K1090" t="inlineStr">
        <is>
          <t>19.05-0-1.2-ERW 1-PE-0.65</t>
        </is>
      </c>
    </row>
    <row r="1091">
      <c r="A1091" t="inlineStr">
        <is>
          <t>0000189002</t>
        </is>
      </c>
      <c r="B1091" t="inlineStr">
        <is>
          <t>Marathwada Auto Compo Pvt. Ltd.</t>
        </is>
      </c>
      <c r="C1091" t="inlineStr">
        <is>
          <t>NOS</t>
        </is>
      </c>
      <c r="D1091" t="n">
        <v>1723</v>
      </c>
      <c r="E1091" t="n">
        <v>613.399</v>
      </c>
      <c r="F1091" t="n">
        <v>4100177</v>
      </c>
      <c r="G1091" t="inlineStr">
        <is>
          <t>40-20-1.6-ERW 1-FC</t>
        </is>
      </c>
      <c r="H1091" t="n">
        <v>843.485</v>
      </c>
      <c r="I1091" t="inlineStr">
        <is>
          <t>TUB-R-AW-AUT-40.00X20.00X1.600X0.3560</t>
        </is>
      </c>
      <c r="J1091" t="inlineStr">
        <is>
          <t>TVS</t>
        </is>
      </c>
      <c r="K1091" t="inlineStr">
        <is>
          <t>40-20-1.6-ERW 1-FC-0.356</t>
        </is>
      </c>
    </row>
    <row r="1092">
      <c r="A1092" t="inlineStr">
        <is>
          <t>0000189002</t>
        </is>
      </c>
      <c r="B1092" t="inlineStr">
        <is>
          <t>Marathwada Auto Compo Pvt. Ltd.</t>
        </is>
      </c>
      <c r="C1092" t="inlineStr">
        <is>
          <t>NOS</t>
        </is>
      </c>
      <c r="D1092" t="n">
        <v>1352</v>
      </c>
      <c r="E1092" t="n">
        <v>481.321</v>
      </c>
      <c r="F1092" t="n">
        <v>4100177</v>
      </c>
      <c r="G1092" t="inlineStr">
        <is>
          <t>40-20-1.6-ERW 1-FC</t>
        </is>
      </c>
      <c r="H1092" t="n">
        <v>661.864</v>
      </c>
      <c r="I1092" t="inlineStr">
        <is>
          <t>TUB-R-AW-AUT-40.00X20.00X1.600X0.3560</t>
        </is>
      </c>
      <c r="J1092" t="inlineStr">
        <is>
          <t>TVS</t>
        </is>
      </c>
      <c r="K1092" t="inlineStr">
        <is>
          <t>40-20-1.6-ERW 1-FC-0.356</t>
        </is>
      </c>
    </row>
    <row r="1093">
      <c r="A1093" t="inlineStr">
        <is>
          <t>0000189002</t>
        </is>
      </c>
      <c r="B1093" t="inlineStr">
        <is>
          <t>Marathwada Auto Compo Pvt. Ltd.</t>
        </is>
      </c>
      <c r="C1093" t="inlineStr">
        <is>
          <t>NOS</t>
        </is>
      </c>
      <c r="D1093" t="n">
        <v>1005</v>
      </c>
      <c r="E1093" t="n">
        <v>357.786</v>
      </c>
      <c r="F1093" t="n">
        <v>4100177</v>
      </c>
      <c r="G1093" t="inlineStr">
        <is>
          <t>40-20-1.6-ERW 1-FC</t>
        </is>
      </c>
      <c r="H1093" t="n">
        <v>491.992</v>
      </c>
      <c r="I1093" t="inlineStr">
        <is>
          <t>TUB-R-AW-AUT-40.00X20.00X1.600X0.3560</t>
        </is>
      </c>
      <c r="J1093" t="inlineStr">
        <is>
          <t>TVS</t>
        </is>
      </c>
      <c r="K1093" t="inlineStr">
        <is>
          <t>40-20-1.6-ERW 1-FC-0.356</t>
        </is>
      </c>
    </row>
    <row r="1094">
      <c r="A1094" t="inlineStr">
        <is>
          <t>0000948721</t>
        </is>
      </c>
      <c r="B1094" t="inlineStr">
        <is>
          <t>ELKAYEM AUTO ANCILLARIES PRIVATE LI</t>
        </is>
      </c>
      <c r="C1094" t="inlineStr">
        <is>
          <t>NOS</t>
        </is>
      </c>
      <c r="D1094" t="n">
        <v>4074</v>
      </c>
      <c r="E1094" t="n">
        <v>1686.98</v>
      </c>
      <c r="F1094" t="n">
        <v>3598957</v>
      </c>
      <c r="G1094" t="inlineStr">
        <is>
          <t>28.58-0-1.6-ERW 1-FC</t>
        </is>
      </c>
      <c r="H1094" t="n">
        <v>1796.634</v>
      </c>
      <c r="I1094" t="inlineStr">
        <is>
          <t>TUB-O-N-AUT-AW-FC-28.58X1.600X0.4140</t>
        </is>
      </c>
      <c r="J1094" t="inlineStr">
        <is>
          <t>TVS</t>
        </is>
      </c>
      <c r="K1094" t="inlineStr">
        <is>
          <t>28.58-0-1.6-ERW 1-FC-0.414</t>
        </is>
      </c>
    </row>
    <row r="1095">
      <c r="A1095" t="inlineStr">
        <is>
          <t>0000948721</t>
        </is>
      </c>
      <c r="B1095" t="inlineStr">
        <is>
          <t>ELKAYEM AUTO ANCILLARIES PRIVATE LI</t>
        </is>
      </c>
      <c r="C1095" t="inlineStr">
        <is>
          <t>NOS</t>
        </is>
      </c>
      <c r="D1095" t="n">
        <v>1909</v>
      </c>
      <c r="E1095" t="n">
        <v>790.487</v>
      </c>
      <c r="F1095" t="n">
        <v>3598957</v>
      </c>
      <c r="G1095" t="inlineStr">
        <is>
          <t>28.58-0-1.6-ERW 1-FC</t>
        </is>
      </c>
      <c r="H1095" t="n">
        <v>841.869</v>
      </c>
      <c r="I1095" t="inlineStr">
        <is>
          <t>TUB-O-N-AUT-AW-FC-28.58X1.600X0.4140</t>
        </is>
      </c>
      <c r="J1095" t="inlineStr">
        <is>
          <t>TVS</t>
        </is>
      </c>
      <c r="K1095" t="inlineStr">
        <is>
          <t>28.58-0-1.6-ERW 1-FC-0.414</t>
        </is>
      </c>
    </row>
    <row r="1096">
      <c r="A1096" t="inlineStr">
        <is>
          <t>0000948721</t>
        </is>
      </c>
      <c r="B1096" t="inlineStr">
        <is>
          <t>ELKAYEM AUTO ANCILLARIES PRIVATE LI</t>
        </is>
      </c>
      <c r="C1096" t="inlineStr">
        <is>
          <t>NOS</t>
        </is>
      </c>
      <c r="D1096" t="n">
        <v>1240</v>
      </c>
      <c r="E1096" t="n">
        <v>513.465</v>
      </c>
      <c r="F1096" t="n">
        <v>3598957</v>
      </c>
      <c r="G1096" t="inlineStr">
        <is>
          <t>28.58-0-1.6-ERW 1-FC</t>
        </is>
      </c>
      <c r="H1096" t="n">
        <v>546.84</v>
      </c>
      <c r="I1096" t="inlineStr">
        <is>
          <t>TUB-O-N-AUT-AW-FC-28.58X1.600X0.4140</t>
        </is>
      </c>
      <c r="J1096" t="inlineStr">
        <is>
          <t>TVS</t>
        </is>
      </c>
      <c r="K1096" t="inlineStr">
        <is>
          <t>28.58-0-1.6-ERW 1-FC-0.414</t>
        </is>
      </c>
    </row>
    <row r="1097">
      <c r="A1097" t="inlineStr">
        <is>
          <t>0000948721</t>
        </is>
      </c>
      <c r="B1097" t="inlineStr">
        <is>
          <t>ELKAYEM AUTO ANCILLARIES PRIVATE LI</t>
        </is>
      </c>
      <c r="C1097" t="inlineStr">
        <is>
          <t>NOS</t>
        </is>
      </c>
      <c r="D1097" t="n">
        <v>377</v>
      </c>
      <c r="E1097" t="n">
        <v>156.11</v>
      </c>
      <c r="F1097" t="n">
        <v>3598957</v>
      </c>
      <c r="G1097" t="inlineStr">
        <is>
          <t>28.58-0-1.6-ERW 1-FC</t>
        </is>
      </c>
      <c r="H1097" t="n">
        <v>166.257</v>
      </c>
      <c r="I1097" t="inlineStr">
        <is>
          <t>TUB-O-N-AUT-AW-FC-28.58X1.600X0.4140</t>
        </is>
      </c>
      <c r="J1097" t="inlineStr">
        <is>
          <t>TVS</t>
        </is>
      </c>
      <c r="K1097" t="inlineStr">
        <is>
          <t>28.58-0-1.6-ERW 1-FC-0.414</t>
        </is>
      </c>
    </row>
    <row r="1098">
      <c r="A1098" t="inlineStr">
        <is>
          <t>0000948721</t>
        </is>
      </c>
      <c r="B1098" t="inlineStr">
        <is>
          <t>ELKAYEM AUTO ANCILLARIES PRIVATE LI</t>
        </is>
      </c>
      <c r="C1098" t="inlineStr">
        <is>
          <t>NOS</t>
        </is>
      </c>
      <c r="D1098" t="n">
        <v>4049</v>
      </c>
      <c r="E1098" t="n">
        <v>1676.628</v>
      </c>
      <c r="F1098" t="n">
        <v>3598957</v>
      </c>
      <c r="G1098" t="inlineStr">
        <is>
          <t>28.58-0-1.6-ERW 1-FC</t>
        </is>
      </c>
      <c r="H1098" t="n">
        <v>1785.609</v>
      </c>
      <c r="I1098" t="inlineStr">
        <is>
          <t>TUB-O-N-AUT-AW-FC-28.58X1.600X0.4140</t>
        </is>
      </c>
      <c r="J1098" t="inlineStr">
        <is>
          <t>TVS</t>
        </is>
      </c>
      <c r="K1098" t="inlineStr">
        <is>
          <t>28.58-0-1.6-ERW 1-FC-0.414</t>
        </is>
      </c>
    </row>
    <row r="1099">
      <c r="A1099" t="inlineStr">
        <is>
          <t>0000948721</t>
        </is>
      </c>
      <c r="B1099" t="inlineStr">
        <is>
          <t>ELKAYEM AUTO ANCILLARIES PRIVATE LI</t>
        </is>
      </c>
      <c r="C1099" t="inlineStr">
        <is>
          <t>NOS</t>
        </is>
      </c>
      <c r="D1099" t="n">
        <v>1951</v>
      </c>
      <c r="E1099" t="n">
        <v>807.879</v>
      </c>
      <c r="F1099" t="n">
        <v>3598957</v>
      </c>
      <c r="G1099" t="inlineStr">
        <is>
          <t>28.58-0-1.6-ERW 1-FC</t>
        </is>
      </c>
      <c r="H1099" t="n">
        <v>860.391</v>
      </c>
      <c r="I1099" t="inlineStr">
        <is>
          <t>TUB-O-N-AUT-AW-FC-28.58X1.600X0.4140</t>
        </is>
      </c>
      <c r="J1099" t="inlineStr">
        <is>
          <t>TVS</t>
        </is>
      </c>
      <c r="K1099" t="inlineStr">
        <is>
          <t>28.58-0-1.6-ERW 1-FC-0.414</t>
        </is>
      </c>
    </row>
    <row r="1100">
      <c r="A1100" t="inlineStr">
        <is>
          <t>0000948721</t>
        </is>
      </c>
      <c r="B1100" t="inlineStr">
        <is>
          <t>ELKAYEM AUTO ANCILLARIES PRIVATE LI</t>
        </is>
      </c>
      <c r="C1100" t="inlineStr">
        <is>
          <t>NOS</t>
        </is>
      </c>
      <c r="D1100" t="n">
        <v>1598</v>
      </c>
      <c r="E1100" t="n">
        <v>661.707</v>
      </c>
      <c r="F1100" t="n">
        <v>3598957</v>
      </c>
      <c r="G1100" t="inlineStr">
        <is>
          <t>28.58-0-1.6-ERW 1-FC</t>
        </is>
      </c>
      <c r="H1100" t="n">
        <v>704.718</v>
      </c>
      <c r="I1100" t="inlineStr">
        <is>
          <t>TUB-O-N-AUT-AW-FC-28.58X1.600X0.4140</t>
        </is>
      </c>
      <c r="J1100" t="inlineStr">
        <is>
          <t>TVS</t>
        </is>
      </c>
      <c r="K1100" t="inlineStr">
        <is>
          <t>28.58-0-1.6-ERW 1-FC-0.414</t>
        </is>
      </c>
    </row>
    <row r="1101">
      <c r="A1101" t="inlineStr">
        <is>
          <t>0000948721</t>
        </is>
      </c>
      <c r="B1101" t="inlineStr">
        <is>
          <t>ELKAYEM AUTO ANCILLARIES PRIVATE LI</t>
        </is>
      </c>
      <c r="C1101" t="inlineStr">
        <is>
          <t>NOS</t>
        </is>
      </c>
      <c r="D1101" t="n">
        <v>1058</v>
      </c>
      <c r="E1101" t="n">
        <v>438.101</v>
      </c>
      <c r="F1101" t="n">
        <v>3598957</v>
      </c>
      <c r="G1101" t="inlineStr">
        <is>
          <t>28.58-0-1.6-ERW 1-FC</t>
        </is>
      </c>
      <c r="H1101" t="n">
        <v>466.578</v>
      </c>
      <c r="I1101" t="inlineStr">
        <is>
          <t>TUB-O-N-AUT-AW-FC-28.58X1.600X0.4140</t>
        </is>
      </c>
      <c r="J1101" t="inlineStr">
        <is>
          <t>TVS</t>
        </is>
      </c>
      <c r="K1101" t="inlineStr">
        <is>
          <t>28.58-0-1.6-ERW 1-FC-0.414</t>
        </is>
      </c>
    </row>
    <row r="1102">
      <c r="A1102" t="inlineStr">
        <is>
          <t>0000948721</t>
        </is>
      </c>
      <c r="B1102" t="inlineStr">
        <is>
          <t>ELKAYEM AUTO ANCILLARIES PRIVATE LI</t>
        </is>
      </c>
      <c r="C1102" t="inlineStr">
        <is>
          <t>NOS</t>
        </is>
      </c>
      <c r="D1102" t="n">
        <v>850</v>
      </c>
      <c r="E1102" t="n">
        <v>351.972</v>
      </c>
      <c r="F1102" t="n">
        <v>3598957</v>
      </c>
      <c r="G1102" t="inlineStr">
        <is>
          <t>28.58-0-1.6-ERW 1-FC</t>
        </is>
      </c>
      <c r="H1102" t="n">
        <v>374.85</v>
      </c>
      <c r="I1102" t="inlineStr">
        <is>
          <t>TUB-O-N-AUT-AW-FC-28.58X1.600X0.4140</t>
        </is>
      </c>
      <c r="J1102" t="inlineStr">
        <is>
          <t>TVS</t>
        </is>
      </c>
      <c r="K1102" t="inlineStr">
        <is>
          <t>28.58-0-1.6-ERW 1-FC-0.414</t>
        </is>
      </c>
    </row>
    <row r="1103">
      <c r="A1103" t="inlineStr">
        <is>
          <t>0000948721</t>
        </is>
      </c>
      <c r="B1103" t="inlineStr">
        <is>
          <t>ELKAYEM AUTO ANCILLARIES PRIVATE LI</t>
        </is>
      </c>
      <c r="C1103" t="inlineStr">
        <is>
          <t>NOS</t>
        </is>
      </c>
      <c r="D1103" t="n">
        <v>775</v>
      </c>
      <c r="E1103" t="n">
        <v>320.915</v>
      </c>
      <c r="F1103" t="n">
        <v>3598957</v>
      </c>
      <c r="G1103" t="inlineStr">
        <is>
          <t>28.58-0-1.6-ERW 1-FC</t>
        </is>
      </c>
      <c r="H1103" t="n">
        <v>341.775</v>
      </c>
      <c r="I1103" t="inlineStr">
        <is>
          <t>TUB-O-N-AUT-AW-FC-28.58X1.600X0.4140</t>
        </is>
      </c>
      <c r="J1103" t="inlineStr">
        <is>
          <t>TVS</t>
        </is>
      </c>
      <c r="K1103" t="inlineStr">
        <is>
          <t>28.58-0-1.6-ERW 1-FC-0.414</t>
        </is>
      </c>
    </row>
    <row r="1104">
      <c r="A1104" t="inlineStr">
        <is>
          <t>0000948721</t>
        </is>
      </c>
      <c r="B1104" t="inlineStr">
        <is>
          <t>ELKAYEM AUTO ANCILLARIES PRIVATE LI</t>
        </is>
      </c>
      <c r="C1104" t="inlineStr">
        <is>
          <t>NOS</t>
        </is>
      </c>
      <c r="D1104" t="n">
        <v>750</v>
      </c>
      <c r="E1104" t="n">
        <v>310.563</v>
      </c>
      <c r="F1104" t="n">
        <v>3598957</v>
      </c>
      <c r="G1104" t="inlineStr">
        <is>
          <t>28.58-0-1.6-ERW 1-FC</t>
        </is>
      </c>
      <c r="H1104" t="n">
        <v>330.75</v>
      </c>
      <c r="I1104" t="inlineStr">
        <is>
          <t>TUB-O-N-AUT-AW-FC-28.58X1.600X0.4140</t>
        </is>
      </c>
      <c r="J1104" t="inlineStr">
        <is>
          <t>TVS</t>
        </is>
      </c>
      <c r="K1104" t="inlineStr">
        <is>
          <t>28.58-0-1.6-ERW 1-FC-0.414</t>
        </is>
      </c>
    </row>
    <row r="1105">
      <c r="A1105" t="inlineStr">
        <is>
          <t>0000948721</t>
        </is>
      </c>
      <c r="B1105" t="inlineStr">
        <is>
          <t>ELKAYEM AUTO ANCILLARIES PRIVATE LI</t>
        </is>
      </c>
      <c r="C1105" t="inlineStr">
        <is>
          <t>NOS</t>
        </is>
      </c>
      <c r="D1105" t="n">
        <v>616</v>
      </c>
      <c r="E1105" t="n">
        <v>255.076</v>
      </c>
      <c r="F1105" t="n">
        <v>3598957</v>
      </c>
      <c r="G1105" t="inlineStr">
        <is>
          <t>28.58-0-1.6-ERW 1-FC</t>
        </is>
      </c>
      <c r="H1105" t="n">
        <v>271.656</v>
      </c>
      <c r="I1105" t="inlineStr">
        <is>
          <t>TUB-O-N-AUT-AW-FC-28.58X1.600X0.4140</t>
        </is>
      </c>
      <c r="J1105" t="inlineStr">
        <is>
          <t>TVS</t>
        </is>
      </c>
      <c r="K1105" t="inlineStr">
        <is>
          <t>28.58-0-1.6-ERW 1-FC-0.414</t>
        </is>
      </c>
    </row>
    <row r="1106">
      <c r="A1106" t="inlineStr">
        <is>
          <t>0000948721</t>
        </is>
      </c>
      <c r="B1106" t="inlineStr">
        <is>
          <t>ELKAYEM AUTO ANCILLARIES PRIVATE LI</t>
        </is>
      </c>
      <c r="C1106" t="inlineStr">
        <is>
          <t>NOS</t>
        </is>
      </c>
      <c r="D1106" t="n">
        <v>469</v>
      </c>
      <c r="E1106" t="n">
        <v>194.206</v>
      </c>
      <c r="F1106" t="n">
        <v>3598957</v>
      </c>
      <c r="G1106" t="inlineStr">
        <is>
          <t>28.58-0-1.6-ERW 1-FC</t>
        </is>
      </c>
      <c r="H1106" t="n">
        <v>206.829</v>
      </c>
      <c r="I1106" t="inlineStr">
        <is>
          <t>TUB-O-N-AUT-AW-FC-28.58X1.600X0.4140</t>
        </is>
      </c>
      <c r="J1106" t="inlineStr">
        <is>
          <t>TVS</t>
        </is>
      </c>
      <c r="K1106" t="inlineStr">
        <is>
          <t>28.58-0-1.6-ERW 1-FC-0.414</t>
        </is>
      </c>
    </row>
    <row r="1107">
      <c r="A1107" t="inlineStr">
        <is>
          <t>0000948721</t>
        </is>
      </c>
      <c r="B1107" t="inlineStr">
        <is>
          <t>ELKAYEM AUTO ANCILLARIES PRIVATE LI</t>
        </is>
      </c>
      <c r="C1107" t="inlineStr">
        <is>
          <t>NOS</t>
        </is>
      </c>
      <c r="D1107" t="n">
        <v>448</v>
      </c>
      <c r="E1107" t="n">
        <v>185.51</v>
      </c>
      <c r="F1107" t="n">
        <v>3598957</v>
      </c>
      <c r="G1107" t="inlineStr">
        <is>
          <t>28.58-0-1.6-ERW 1-FC</t>
        </is>
      </c>
      <c r="H1107" t="n">
        <v>197.568</v>
      </c>
      <c r="I1107" t="inlineStr">
        <is>
          <t>TUB-O-N-AUT-AW-FC-28.58X1.600X0.4140</t>
        </is>
      </c>
      <c r="J1107" t="inlineStr">
        <is>
          <t>TVS</t>
        </is>
      </c>
      <c r="K1107" t="inlineStr">
        <is>
          <t>28.58-0-1.6-ERW 1-FC-0.414</t>
        </is>
      </c>
    </row>
    <row r="1108">
      <c r="A1108" t="inlineStr">
        <is>
          <t>0000948721</t>
        </is>
      </c>
      <c r="B1108" t="inlineStr">
        <is>
          <t>ELKAYEM AUTO ANCILLARIES PRIVATE LI</t>
        </is>
      </c>
      <c r="C1108" t="inlineStr">
        <is>
          <t>NOS</t>
        </is>
      </c>
      <c r="D1108" t="n">
        <v>171</v>
      </c>
      <c r="E1108" t="n">
        <v>70.80800000000001</v>
      </c>
      <c r="F1108" t="n">
        <v>3598957</v>
      </c>
      <c r="G1108" t="inlineStr">
        <is>
          <t>28.58-0-1.6-ERW 1-FC</t>
        </is>
      </c>
      <c r="H1108" t="n">
        <v>75.411</v>
      </c>
      <c r="I1108" t="inlineStr">
        <is>
          <t>TUB-O-N-AUT-AW-FC-28.58X1.600X0.4140</t>
        </is>
      </c>
      <c r="J1108" t="inlineStr">
        <is>
          <t>TVS</t>
        </is>
      </c>
      <c r="K1108" t="inlineStr">
        <is>
          <t>28.58-0-1.6-ERW 1-FC-0.414</t>
        </is>
      </c>
    </row>
    <row r="1109">
      <c r="A1109" t="inlineStr">
        <is>
          <t>0000948721</t>
        </is>
      </c>
      <c r="B1109" t="inlineStr">
        <is>
          <t>ELKAYEM AUTO ANCILLARIES PRIVATE LI</t>
        </is>
      </c>
      <c r="C1109" t="inlineStr">
        <is>
          <t>NOS</t>
        </is>
      </c>
      <c r="D1109" t="n">
        <v>127</v>
      </c>
      <c r="E1109" t="n">
        <v>52.589</v>
      </c>
      <c r="F1109" t="n">
        <v>3598957</v>
      </c>
      <c r="G1109" t="inlineStr">
        <is>
          <t>28.58-0-1.6-ERW 1-FC</t>
        </is>
      </c>
      <c r="H1109" t="n">
        <v>56.007</v>
      </c>
      <c r="I1109" t="inlineStr">
        <is>
          <t>TUB-O-N-AUT-AW-FC-28.58X1.600X0.4140</t>
        </is>
      </c>
      <c r="J1109" t="inlineStr">
        <is>
          <t>TVS</t>
        </is>
      </c>
      <c r="K1109" t="inlineStr">
        <is>
          <t>28.58-0-1.6-ERW 1-FC-0.414</t>
        </is>
      </c>
    </row>
    <row r="1110">
      <c r="A1110" t="inlineStr">
        <is>
          <t>0000948721</t>
        </is>
      </c>
      <c r="B1110" t="inlineStr">
        <is>
          <t>ELKAYEM AUTO ANCILLARIES PRIVATE LI</t>
        </is>
      </c>
      <c r="C1110" t="inlineStr">
        <is>
          <t>NOS</t>
        </is>
      </c>
      <c r="D1110" t="n">
        <v>13</v>
      </c>
      <c r="E1110" t="n">
        <v>5.383</v>
      </c>
      <c r="F1110" t="n">
        <v>3598957</v>
      </c>
      <c r="G1110" t="inlineStr">
        <is>
          <t>28.58-0-1.6-ERW 1-FC</t>
        </is>
      </c>
      <c r="H1110" t="n">
        <v>5.733</v>
      </c>
      <c r="I1110" t="inlineStr">
        <is>
          <t>TUB-O-N-AUT-AW-FC-28.58X1.600X0.4140</t>
        </is>
      </c>
      <c r="J1110" t="inlineStr">
        <is>
          <t>TVS</t>
        </is>
      </c>
      <c r="K1110" t="inlineStr">
        <is>
          <t>28.58-0-1.6-ERW 1-FC-0.414</t>
        </is>
      </c>
    </row>
    <row r="1111">
      <c r="A1111" t="inlineStr">
        <is>
          <t>0000189287</t>
        </is>
      </c>
      <c r="B1111" t="inlineStr">
        <is>
          <t>BALAJI PRESS PRODUCTS INDIA</t>
        </is>
      </c>
      <c r="C1111" t="inlineStr">
        <is>
          <t>NOS</t>
        </is>
      </c>
      <c r="D1111" t="n">
        <v>2360</v>
      </c>
      <c r="E1111" t="n">
        <v>3009.025</v>
      </c>
      <c r="F1111" t="n">
        <v>3409367</v>
      </c>
      <c r="G1111" t="inlineStr">
        <is>
          <t>19.05-0-1.2-ERW 1-PE</t>
        </is>
      </c>
      <c r="H1111" t="n">
        <v>1528.284</v>
      </c>
      <c r="I1111" t="inlineStr">
        <is>
          <t>TUB-O-N-AUT-AW-PE-19.05X1.200X1.2750</t>
        </is>
      </c>
      <c r="J1111" t="inlineStr">
        <is>
          <t>TVS</t>
        </is>
      </c>
      <c r="K1111" t="inlineStr">
        <is>
          <t>19.05-0-1.2-ERW 1-PE-1.275</t>
        </is>
      </c>
    </row>
    <row r="1112">
      <c r="A1112" t="inlineStr">
        <is>
          <t>0000189287</t>
        </is>
      </c>
      <c r="B1112" t="inlineStr">
        <is>
          <t>BALAJI PRESS PRODUCTS INDIA</t>
        </is>
      </c>
      <c r="C1112" t="inlineStr">
        <is>
          <t>NOS</t>
        </is>
      </c>
      <c r="D1112" t="n">
        <v>680</v>
      </c>
      <c r="E1112" t="n">
        <v>867.0069999999999</v>
      </c>
      <c r="F1112" t="n">
        <v>3409367</v>
      </c>
      <c r="G1112" t="inlineStr">
        <is>
          <t>19.05-0-1.2-ERW 1-PE</t>
        </is>
      </c>
      <c r="H1112" t="n">
        <v>440.353</v>
      </c>
      <c r="I1112" t="inlineStr">
        <is>
          <t>TUB-O-N-AUT-AW-PE-19.05X1.200X1.2750</t>
        </is>
      </c>
      <c r="J1112" t="inlineStr">
        <is>
          <t>TVS</t>
        </is>
      </c>
      <c r="K1112" t="inlineStr">
        <is>
          <t>19.05-0-1.2-ERW 1-PE-1.275</t>
        </is>
      </c>
    </row>
    <row r="1113">
      <c r="A1113" t="inlineStr">
        <is>
          <t>0000189287</t>
        </is>
      </c>
      <c r="B1113" t="inlineStr">
        <is>
          <t>BALAJI PRESS PRODUCTS INDIA</t>
        </is>
      </c>
      <c r="C1113" t="inlineStr">
        <is>
          <t>NOS</t>
        </is>
      </c>
      <c r="D1113" t="n">
        <v>270</v>
      </c>
      <c r="E1113" t="n">
        <v>344.253</v>
      </c>
      <c r="F1113" t="n">
        <v>3409367</v>
      </c>
      <c r="G1113" t="inlineStr">
        <is>
          <t>19.05-0-1.2-ERW 1-PE</t>
        </is>
      </c>
      <c r="H1113" t="n">
        <v>174.846</v>
      </c>
      <c r="I1113" t="inlineStr">
        <is>
          <t>TUB-O-N-AUT-AW-PE-19.05X1.200X1.2750</t>
        </is>
      </c>
      <c r="J1113" t="inlineStr">
        <is>
          <t>TVS</t>
        </is>
      </c>
      <c r="K1113" t="inlineStr">
        <is>
          <t>19.05-0-1.2-ERW 1-PE-1.275</t>
        </is>
      </c>
    </row>
    <row r="1114">
      <c r="A1114" t="inlineStr">
        <is>
          <t>0000189287</t>
        </is>
      </c>
      <c r="B1114" t="inlineStr">
        <is>
          <t>BALAJI PRESS PRODUCTS INDIA</t>
        </is>
      </c>
      <c r="C1114" t="inlineStr">
        <is>
          <t>NOS</t>
        </is>
      </c>
      <c r="D1114" t="n">
        <v>90</v>
      </c>
      <c r="E1114" t="n">
        <v>114.751</v>
      </c>
      <c r="F1114" t="n">
        <v>3409367</v>
      </c>
      <c r="G1114" t="inlineStr">
        <is>
          <t>19.05-0-1.2-ERW 1-PE</t>
        </is>
      </c>
      <c r="H1114" t="n">
        <v>58.282</v>
      </c>
      <c r="I1114" t="inlineStr">
        <is>
          <t>TUB-O-N-AUT-AW-PE-19.05X1.200X1.2750</t>
        </is>
      </c>
      <c r="J1114" t="inlineStr">
        <is>
          <t>TVS</t>
        </is>
      </c>
      <c r="K1114" t="inlineStr">
        <is>
          <t>19.05-0-1.2-ERW 1-PE-1.275</t>
        </is>
      </c>
    </row>
    <row r="1115">
      <c r="A1115" t="inlineStr">
        <is>
          <t>0000948721</t>
        </is>
      </c>
      <c r="B1115" t="inlineStr">
        <is>
          <t>ELKAYEM AUTO ANCILLARIES PRIVATE LI</t>
        </is>
      </c>
      <c r="C1115" t="inlineStr">
        <is>
          <t>NOS</t>
        </is>
      </c>
      <c r="D1115" t="n">
        <v>2349</v>
      </c>
      <c r="E1115" t="n">
        <v>505.041</v>
      </c>
      <c r="F1115" t="n">
        <v>3727212</v>
      </c>
      <c r="G1115" t="inlineStr">
        <is>
          <t>28.58-0-1.6-ERW 1-FC</t>
        </is>
      </c>
      <c r="H1115" t="n">
        <v>537.869</v>
      </c>
      <c r="I1115" t="inlineStr">
        <is>
          <t>TUB-O-N-AUT-AW-FC-28.58X1.600X0.2150</t>
        </is>
      </c>
      <c r="J1115" t="inlineStr">
        <is>
          <t>TVS</t>
        </is>
      </c>
      <c r="K1115" t="inlineStr">
        <is>
          <t>28.58-0-1.6-ERW 1-FC-0.215</t>
        </is>
      </c>
    </row>
    <row r="1116">
      <c r="A1116" t="inlineStr">
        <is>
          <t>0000948721</t>
        </is>
      </c>
      <c r="B1116" t="inlineStr">
        <is>
          <t>ELKAYEM AUTO ANCILLARIES PRIVATE LI</t>
        </is>
      </c>
      <c r="C1116" t="inlineStr">
        <is>
          <t>NOS</t>
        </is>
      </c>
      <c r="D1116" t="n">
        <v>76</v>
      </c>
      <c r="E1116" t="n">
        <v>16.34</v>
      </c>
      <c r="F1116" t="n">
        <v>3727212</v>
      </c>
      <c r="G1116" t="inlineStr">
        <is>
          <t>28.58-0-1.6-ERW 1-FC</t>
        </is>
      </c>
      <c r="H1116" t="n">
        <v>17.402</v>
      </c>
      <c r="I1116" t="inlineStr">
        <is>
          <t>TUB-O-N-AUT-AW-FC-28.58X1.600X0.2150</t>
        </is>
      </c>
      <c r="J1116" t="inlineStr">
        <is>
          <t>TVS</t>
        </is>
      </c>
      <c r="K1116" t="inlineStr">
        <is>
          <t>28.58-0-1.6-ERW 1-FC-0.215</t>
        </is>
      </c>
    </row>
    <row r="1117">
      <c r="A1117" t="inlineStr">
        <is>
          <t>0000948721</t>
        </is>
      </c>
      <c r="B1117" t="inlineStr">
        <is>
          <t>ELKAYEM AUTO ANCILLARIES PRIVATE LI</t>
        </is>
      </c>
      <c r="C1117" t="inlineStr">
        <is>
          <t>NOS</t>
        </is>
      </c>
      <c r="D1117" t="n">
        <v>1350</v>
      </c>
      <c r="E1117" t="n">
        <v>815.38</v>
      </c>
      <c r="F1117" t="n">
        <v>2427158</v>
      </c>
      <c r="G1117" t="inlineStr">
        <is>
          <t>50-30-1.6-ERW 1-FC</t>
        </is>
      </c>
      <c r="H1117" t="n">
        <v>1583.55</v>
      </c>
      <c r="I1117" t="inlineStr">
        <is>
          <t>TUB-R-AW-AUT-50.00X30.00X1.600X0.6040</t>
        </is>
      </c>
      <c r="J1117" t="inlineStr">
        <is>
          <t>TVS</t>
        </is>
      </c>
      <c r="K1117" t="inlineStr">
        <is>
          <t>50-30-1.6-ERW 1-FC-0.604</t>
        </is>
      </c>
    </row>
    <row r="1118">
      <c r="A1118" t="inlineStr">
        <is>
          <t>0000948721</t>
        </is>
      </c>
      <c r="B1118" t="inlineStr">
        <is>
          <t>ELKAYEM AUTO ANCILLARIES PRIVATE LI</t>
        </is>
      </c>
      <c r="C1118" t="inlineStr">
        <is>
          <t>NOS</t>
        </is>
      </c>
      <c r="D1118" t="n">
        <v>1329</v>
      </c>
      <c r="E1118" t="n">
        <v>802.697</v>
      </c>
      <c r="F1118" t="n">
        <v>2427158</v>
      </c>
      <c r="G1118" t="inlineStr">
        <is>
          <t>50-30-1.6-ERW 1-FC</t>
        </is>
      </c>
      <c r="H1118" t="n">
        <v>1558.917</v>
      </c>
      <c r="I1118" t="inlineStr">
        <is>
          <t>TUB-R-AW-AUT-50.00X30.00X1.600X0.6040</t>
        </is>
      </c>
      <c r="J1118" t="inlineStr">
        <is>
          <t>TVS</t>
        </is>
      </c>
      <c r="K1118" t="inlineStr">
        <is>
          <t>50-30-1.6-ERW 1-FC-0.604</t>
        </is>
      </c>
    </row>
    <row r="1119">
      <c r="A1119" t="inlineStr">
        <is>
          <t>0000948721</t>
        </is>
      </c>
      <c r="B1119" t="inlineStr">
        <is>
          <t>ELKAYEM AUTO ANCILLARIES PRIVATE LI</t>
        </is>
      </c>
      <c r="C1119" t="inlineStr">
        <is>
          <t>NOS</t>
        </is>
      </c>
      <c r="D1119" t="n">
        <v>1311</v>
      </c>
      <c r="E1119" t="n">
        <v>791.825</v>
      </c>
      <c r="F1119" t="n">
        <v>2427158</v>
      </c>
      <c r="G1119" t="inlineStr">
        <is>
          <t>50-30-1.6-ERW 1-FC</t>
        </is>
      </c>
      <c r="H1119" t="n">
        <v>1537.803</v>
      </c>
      <c r="I1119" t="inlineStr">
        <is>
          <t>TUB-R-AW-AUT-50.00X30.00X1.600X0.6040</t>
        </is>
      </c>
      <c r="J1119" t="inlineStr">
        <is>
          <t>TVS</t>
        </is>
      </c>
      <c r="K1119" t="inlineStr">
        <is>
          <t>50-30-1.6-ERW 1-FC-0.604</t>
        </is>
      </c>
    </row>
    <row r="1120">
      <c r="A1120" t="inlineStr">
        <is>
          <t>0000948721</t>
        </is>
      </c>
      <c r="B1120" t="inlineStr">
        <is>
          <t>ELKAYEM AUTO ANCILLARIES PRIVATE LI</t>
        </is>
      </c>
      <c r="C1120" t="inlineStr">
        <is>
          <t>NOS</t>
        </is>
      </c>
      <c r="D1120" t="n">
        <v>1319</v>
      </c>
      <c r="E1120" t="n">
        <v>796.657</v>
      </c>
      <c r="F1120" t="n">
        <v>2427158</v>
      </c>
      <c r="G1120" t="inlineStr">
        <is>
          <t>50-30-1.6-ERW 1-FC</t>
        </is>
      </c>
      <c r="H1120" t="n">
        <v>1547.187</v>
      </c>
      <c r="I1120" t="inlineStr">
        <is>
          <t>TUB-R-AW-AUT-50.00X30.00X1.600X0.6040</t>
        </is>
      </c>
      <c r="J1120" t="inlineStr">
        <is>
          <t>TVS</t>
        </is>
      </c>
      <c r="K1120" t="inlineStr">
        <is>
          <t>50-30-1.6-ERW 1-FC-0.604</t>
        </is>
      </c>
    </row>
    <row r="1121">
      <c r="A1121" t="inlineStr">
        <is>
          <t>0000948721</t>
        </is>
      </c>
      <c r="B1121" t="inlineStr">
        <is>
          <t>ELKAYEM AUTO ANCILLARIES PRIVATE LI</t>
        </is>
      </c>
      <c r="C1121" t="inlineStr">
        <is>
          <t>NOS</t>
        </is>
      </c>
      <c r="D1121" t="n">
        <v>1314</v>
      </c>
      <c r="E1121" t="n">
        <v>793.6369999999999</v>
      </c>
      <c r="F1121" t="n">
        <v>2427158</v>
      </c>
      <c r="G1121" t="inlineStr">
        <is>
          <t>50-30-1.6-ERW 1-FC</t>
        </is>
      </c>
      <c r="H1121" t="n">
        <v>1541.322</v>
      </c>
      <c r="I1121" t="inlineStr">
        <is>
          <t>TUB-R-AW-AUT-50.00X30.00X1.600X0.6040</t>
        </is>
      </c>
      <c r="J1121" t="inlineStr">
        <is>
          <t>TVS</t>
        </is>
      </c>
      <c r="K1121" t="inlineStr">
        <is>
          <t>50-30-1.6-ERW 1-FC-0.604</t>
        </is>
      </c>
    </row>
    <row r="1122">
      <c r="A1122" t="inlineStr">
        <is>
          <t>0000948721</t>
        </is>
      </c>
      <c r="B1122" t="inlineStr">
        <is>
          <t>ELKAYEM AUTO ANCILLARIES PRIVATE LI</t>
        </is>
      </c>
      <c r="C1122" t="inlineStr">
        <is>
          <t>NOS</t>
        </is>
      </c>
      <c r="D1122" t="n">
        <v>1000</v>
      </c>
      <c r="E1122" t="n">
        <v>603.985</v>
      </c>
      <c r="F1122" t="n">
        <v>2427158</v>
      </c>
      <c r="G1122" t="inlineStr">
        <is>
          <t>50-30-1.6-ERW 1-FC</t>
        </is>
      </c>
      <c r="H1122" t="n">
        <v>1173</v>
      </c>
      <c r="I1122" t="inlineStr">
        <is>
          <t>TUB-R-AW-AUT-50.00X30.00X1.600X0.6040</t>
        </is>
      </c>
      <c r="J1122" t="inlineStr">
        <is>
          <t>TVS</t>
        </is>
      </c>
      <c r="K1122" t="inlineStr">
        <is>
          <t>50-30-1.6-ERW 1-FC-0.604</t>
        </is>
      </c>
    </row>
    <row r="1123">
      <c r="A1123" t="inlineStr">
        <is>
          <t>0000948721</t>
        </is>
      </c>
      <c r="B1123" t="inlineStr">
        <is>
          <t>ELKAYEM AUTO ANCILLARIES PRIVATE LI</t>
        </is>
      </c>
      <c r="C1123" t="inlineStr">
        <is>
          <t>NOS</t>
        </is>
      </c>
      <c r="D1123" t="n">
        <v>305</v>
      </c>
      <c r="E1123" t="n">
        <v>184.216</v>
      </c>
      <c r="F1123" t="n">
        <v>2427158</v>
      </c>
      <c r="G1123" t="inlineStr">
        <is>
          <t>50-30-1.6-ERW 1-FC</t>
        </is>
      </c>
      <c r="H1123" t="n">
        <v>357.765</v>
      </c>
      <c r="I1123" t="inlineStr">
        <is>
          <t>TUB-R-AW-AUT-50.00X30.00X1.600X0.6040</t>
        </is>
      </c>
      <c r="J1123" t="inlineStr">
        <is>
          <t>TVS</t>
        </is>
      </c>
      <c r="K1123" t="inlineStr">
        <is>
          <t>50-30-1.6-ERW 1-FC-0.604</t>
        </is>
      </c>
    </row>
    <row r="1124">
      <c r="A1124" t="inlineStr">
        <is>
          <t>0000948721</t>
        </is>
      </c>
      <c r="B1124" t="inlineStr">
        <is>
          <t>ELKAYEM AUTO ANCILLARIES PRIVATE LI</t>
        </is>
      </c>
      <c r="C1124" t="inlineStr">
        <is>
          <t>NOS</t>
        </is>
      </c>
      <c r="D1124" t="n">
        <v>134</v>
      </c>
      <c r="E1124" t="n">
        <v>80.934</v>
      </c>
      <c r="F1124" t="n">
        <v>2427158</v>
      </c>
      <c r="G1124" t="inlineStr">
        <is>
          <t>50-30-1.6-ERW 1-FC</t>
        </is>
      </c>
      <c r="H1124" t="n">
        <v>157.182</v>
      </c>
      <c r="I1124" t="inlineStr">
        <is>
          <t>TUB-R-AW-AUT-50.00X30.00X1.600X0.6040</t>
        </is>
      </c>
      <c r="J1124" t="inlineStr">
        <is>
          <t>TVS</t>
        </is>
      </c>
      <c r="K1124" t="inlineStr">
        <is>
          <t>50-30-1.6-ERW 1-FC-0.604</t>
        </is>
      </c>
    </row>
    <row r="1125">
      <c r="A1125" t="inlineStr">
        <is>
          <t>0000948721</t>
        </is>
      </c>
      <c r="B1125" t="inlineStr">
        <is>
          <t>ELKAYEM AUTO ANCILLARIES PRIVATE LI</t>
        </is>
      </c>
      <c r="C1125" t="inlineStr">
        <is>
          <t>NOS</t>
        </is>
      </c>
      <c r="D1125" t="n">
        <v>8</v>
      </c>
      <c r="E1125" t="n">
        <v>4.832</v>
      </c>
      <c r="F1125" t="n">
        <v>2427158</v>
      </c>
      <c r="G1125" t="inlineStr">
        <is>
          <t>50-30-1.6-ERW 1-FC</t>
        </is>
      </c>
      <c r="H1125" t="n">
        <v>9.384</v>
      </c>
      <c r="I1125" t="inlineStr">
        <is>
          <t>TUB-R-AW-AUT-50.00X30.00X1.600X0.6040</t>
        </is>
      </c>
      <c r="J1125" t="inlineStr">
        <is>
          <t>TVS</t>
        </is>
      </c>
      <c r="K1125" t="inlineStr">
        <is>
          <t>50-30-1.6-ERW 1-FC-0.604</t>
        </is>
      </c>
    </row>
    <row r="1126">
      <c r="A1126" t="inlineStr">
        <is>
          <t>0000948721</t>
        </is>
      </c>
      <c r="B1126" t="inlineStr">
        <is>
          <t>ELKAYEM AUTO ANCILLARIES PRIVATE LI</t>
        </is>
      </c>
      <c r="C1126" t="inlineStr">
        <is>
          <t>NOS</t>
        </is>
      </c>
      <c r="D1126" t="n">
        <v>1329</v>
      </c>
      <c r="E1126" t="n">
        <v>802.697</v>
      </c>
      <c r="F1126" t="n">
        <v>2427158</v>
      </c>
      <c r="G1126" t="inlineStr">
        <is>
          <t>50-30-1.6-ERW 1-FC</t>
        </is>
      </c>
      <c r="H1126" t="n">
        <v>1558.917</v>
      </c>
      <c r="I1126" t="inlineStr">
        <is>
          <t>TUB-R-AW-AUT-50.00X30.00X1.600X0.6040</t>
        </is>
      </c>
      <c r="J1126" t="inlineStr">
        <is>
          <t>TVS</t>
        </is>
      </c>
      <c r="K1126" t="inlineStr">
        <is>
          <t>50-30-1.6-ERW 1-FC-0.604</t>
        </is>
      </c>
    </row>
    <row r="1127">
      <c r="A1127" t="inlineStr">
        <is>
          <t>0000948721</t>
        </is>
      </c>
      <c r="B1127" t="inlineStr">
        <is>
          <t>ELKAYEM AUTO ANCILLARIES PRIVATE LI</t>
        </is>
      </c>
      <c r="C1127" t="inlineStr">
        <is>
          <t>NOS</t>
        </is>
      </c>
      <c r="D1127" t="n">
        <v>1324</v>
      </c>
      <c r="E1127" t="n">
        <v>799.677</v>
      </c>
      <c r="F1127" t="n">
        <v>2427158</v>
      </c>
      <c r="G1127" t="inlineStr">
        <is>
          <t>50-30-1.6-ERW 1-FC</t>
        </is>
      </c>
      <c r="H1127" t="n">
        <v>1553.052</v>
      </c>
      <c r="I1127" t="inlineStr">
        <is>
          <t>TUB-R-AW-AUT-50.00X30.00X1.600X0.6040</t>
        </is>
      </c>
      <c r="J1127" t="inlineStr">
        <is>
          <t>TVS</t>
        </is>
      </c>
      <c r="K1127" t="inlineStr">
        <is>
          <t>50-30-1.6-ERW 1-FC-0.604</t>
        </is>
      </c>
    </row>
    <row r="1128">
      <c r="A1128" t="inlineStr">
        <is>
          <t>0000948721</t>
        </is>
      </c>
      <c r="B1128" t="inlineStr">
        <is>
          <t>ELKAYEM AUTO ANCILLARIES PRIVATE LI</t>
        </is>
      </c>
      <c r="C1128" t="inlineStr">
        <is>
          <t>NOS</t>
        </is>
      </c>
      <c r="D1128" t="n">
        <v>827</v>
      </c>
      <c r="E1128" t="n">
        <v>499.496</v>
      </c>
      <c r="F1128" t="n">
        <v>2427158</v>
      </c>
      <c r="G1128" t="inlineStr">
        <is>
          <t>50-30-1.6-ERW 1-FC</t>
        </is>
      </c>
      <c r="H1128" t="n">
        <v>970.071</v>
      </c>
      <c r="I1128" t="inlineStr">
        <is>
          <t>TUB-R-AW-AUT-50.00X30.00X1.600X0.6040</t>
        </is>
      </c>
      <c r="J1128" t="inlineStr">
        <is>
          <t>TVS</t>
        </is>
      </c>
      <c r="K1128" t="inlineStr">
        <is>
          <t>50-30-1.6-ERW 1-FC-0.604</t>
        </is>
      </c>
    </row>
    <row r="1129">
      <c r="A1129" t="inlineStr">
        <is>
          <t>0000948721</t>
        </is>
      </c>
      <c r="B1129" t="inlineStr">
        <is>
          <t>ELKAYEM AUTO ANCILLARIES PRIVATE LI</t>
        </is>
      </c>
      <c r="C1129" t="inlineStr">
        <is>
          <t>NOS</t>
        </is>
      </c>
      <c r="D1129" t="n">
        <v>1310</v>
      </c>
      <c r="E1129" t="n">
        <v>791.221</v>
      </c>
      <c r="F1129" t="n">
        <v>2427158</v>
      </c>
      <c r="G1129" t="inlineStr">
        <is>
          <t>50-30-1.6-ERW 1-FC</t>
        </is>
      </c>
      <c r="H1129" t="n">
        <v>1536.63</v>
      </c>
      <c r="I1129" t="inlineStr">
        <is>
          <t>TUB-R-AW-AUT-50.00X30.00X1.600X0.6040</t>
        </is>
      </c>
      <c r="J1129" t="inlineStr">
        <is>
          <t>TVS</t>
        </is>
      </c>
      <c r="K1129" t="inlineStr">
        <is>
          <t>50-30-1.6-ERW 1-FC-0.604</t>
        </is>
      </c>
    </row>
    <row r="1130">
      <c r="A1130" t="inlineStr">
        <is>
          <t>0000948721</t>
        </is>
      </c>
      <c r="B1130" t="inlineStr">
        <is>
          <t>ELKAYEM AUTO ANCILLARIES PRIVATE LI</t>
        </is>
      </c>
      <c r="C1130" t="inlineStr">
        <is>
          <t>NOS</t>
        </is>
      </c>
      <c r="D1130" t="n">
        <v>1300</v>
      </c>
      <c r="E1130" t="n">
        <v>785.181</v>
      </c>
      <c r="F1130" t="n">
        <v>2427158</v>
      </c>
      <c r="G1130" t="inlineStr">
        <is>
          <t>50-30-1.6-ERW 1-FC</t>
        </is>
      </c>
      <c r="H1130" t="n">
        <v>1524.9</v>
      </c>
      <c r="I1130" t="inlineStr">
        <is>
          <t>TUB-R-AW-AUT-50.00X30.00X1.600X0.6040</t>
        </is>
      </c>
      <c r="J1130" t="inlineStr">
        <is>
          <t>TVS</t>
        </is>
      </c>
      <c r="K1130" t="inlineStr">
        <is>
          <t>50-30-1.6-ERW 1-FC-0.604</t>
        </is>
      </c>
    </row>
    <row r="1131">
      <c r="A1131" t="inlineStr">
        <is>
          <t>0000948721</t>
        </is>
      </c>
      <c r="B1131" t="inlineStr">
        <is>
          <t>ELKAYEM AUTO ANCILLARIES PRIVATE LI</t>
        </is>
      </c>
      <c r="C1131" t="inlineStr">
        <is>
          <t>NOS</t>
        </is>
      </c>
      <c r="D1131" t="n">
        <v>390</v>
      </c>
      <c r="E1131" t="n">
        <v>235.554</v>
      </c>
      <c r="F1131" t="n">
        <v>2427158</v>
      </c>
      <c r="G1131" t="inlineStr">
        <is>
          <t>50-30-1.6-ERW 1-FC</t>
        </is>
      </c>
      <c r="H1131" t="n">
        <v>457.47</v>
      </c>
      <c r="I1131" t="inlineStr">
        <is>
          <t>TUB-R-AW-AUT-50.00X30.00X1.600X0.6040</t>
        </is>
      </c>
      <c r="J1131" t="inlineStr">
        <is>
          <t>TVS</t>
        </is>
      </c>
      <c r="K1131" t="inlineStr">
        <is>
          <t>50-30-1.6-ERW 1-FC-0.604</t>
        </is>
      </c>
    </row>
    <row r="1132">
      <c r="A1132" t="inlineStr">
        <is>
          <t>0000948721</t>
        </is>
      </c>
      <c r="B1132" t="inlineStr">
        <is>
          <t>ELKAYEM AUTO ANCILLARIES PRIVATE LI</t>
        </is>
      </c>
      <c r="C1132" t="inlineStr">
        <is>
          <t>NOS</t>
        </is>
      </c>
      <c r="D1132" t="n">
        <v>1294</v>
      </c>
      <c r="E1132" t="n">
        <v>781.557</v>
      </c>
      <c r="F1132" t="n">
        <v>2427158</v>
      </c>
      <c r="G1132" t="inlineStr">
        <is>
          <t>50-30-1.6-ERW 1-FC</t>
        </is>
      </c>
      <c r="H1132" t="n">
        <v>1517.862</v>
      </c>
      <c r="I1132" t="inlineStr">
        <is>
          <t>TUB-R-AW-AUT-50.00X30.00X1.600X0.6040</t>
        </is>
      </c>
      <c r="J1132" t="inlineStr">
        <is>
          <t>TVS</t>
        </is>
      </c>
      <c r="K1132" t="inlineStr">
        <is>
          <t>50-30-1.6-ERW 1-FC-0.604</t>
        </is>
      </c>
    </row>
    <row r="1133">
      <c r="A1133" t="inlineStr">
        <is>
          <t>0000948721</t>
        </is>
      </c>
      <c r="B1133" t="inlineStr">
        <is>
          <t>ELKAYEM AUTO ANCILLARIES PRIVATE LI</t>
        </is>
      </c>
      <c r="C1133" t="inlineStr">
        <is>
          <t>NOS</t>
        </is>
      </c>
      <c r="D1133" t="n">
        <v>910</v>
      </c>
      <c r="E1133" t="n">
        <v>549.627</v>
      </c>
      <c r="F1133" t="n">
        <v>2427158</v>
      </c>
      <c r="G1133" t="inlineStr">
        <is>
          <t>50-30-1.6-ERW 1-FC</t>
        </is>
      </c>
      <c r="H1133" t="n">
        <v>1067.43</v>
      </c>
      <c r="I1133" t="inlineStr">
        <is>
          <t>TUB-R-AW-AUT-50.00X30.00X1.600X0.6040</t>
        </is>
      </c>
      <c r="J1133" t="inlineStr">
        <is>
          <t>TVS</t>
        </is>
      </c>
      <c r="K1133" t="inlineStr">
        <is>
          <t>50-30-1.6-ERW 1-FC-0.604</t>
        </is>
      </c>
    </row>
    <row r="1134">
      <c r="A1134" t="inlineStr">
        <is>
          <t>0000948721</t>
        </is>
      </c>
      <c r="B1134" t="inlineStr">
        <is>
          <t>ELKAYEM AUTO ANCILLARIES PRIVATE LI</t>
        </is>
      </c>
      <c r="C1134" t="inlineStr">
        <is>
          <t>NOS</t>
        </is>
      </c>
      <c r="D1134" t="n">
        <v>900</v>
      </c>
      <c r="E1134" t="n">
        <v>543.587</v>
      </c>
      <c r="F1134" t="n">
        <v>2427158</v>
      </c>
      <c r="G1134" t="inlineStr">
        <is>
          <t>50-30-1.6-ERW 1-FC</t>
        </is>
      </c>
      <c r="H1134" t="n">
        <v>1055.7</v>
      </c>
      <c r="I1134" t="inlineStr">
        <is>
          <t>TUB-R-AW-AUT-50.00X30.00X1.600X0.6040</t>
        </is>
      </c>
      <c r="J1134" t="inlineStr">
        <is>
          <t>TVS</t>
        </is>
      </c>
      <c r="K1134" t="inlineStr">
        <is>
          <t>50-30-1.6-ERW 1-FC-0.604</t>
        </is>
      </c>
    </row>
    <row r="1135">
      <c r="A1135" t="inlineStr">
        <is>
          <t>0000948721</t>
        </is>
      </c>
      <c r="B1135" t="inlineStr">
        <is>
          <t>ELKAYEM AUTO ANCILLARIES PRIVATE LI</t>
        </is>
      </c>
      <c r="C1135" t="inlineStr">
        <is>
          <t>NOS</t>
        </is>
      </c>
      <c r="D1135" t="n">
        <v>525</v>
      </c>
      <c r="E1135" t="n">
        <v>317.092</v>
      </c>
      <c r="F1135" t="n">
        <v>2427158</v>
      </c>
      <c r="G1135" t="inlineStr">
        <is>
          <t>50-30-1.6-ERW 1-FC</t>
        </is>
      </c>
      <c r="H1135" t="n">
        <v>615.825</v>
      </c>
      <c r="I1135" t="inlineStr">
        <is>
          <t>TUB-R-AW-AUT-50.00X30.00X1.600X0.6040</t>
        </is>
      </c>
      <c r="J1135" t="inlineStr">
        <is>
          <t>TVS</t>
        </is>
      </c>
      <c r="K1135" t="inlineStr">
        <is>
          <t>50-30-1.6-ERW 1-FC-0.604</t>
        </is>
      </c>
    </row>
    <row r="1136">
      <c r="A1136" t="inlineStr">
        <is>
          <t>0000948721</t>
        </is>
      </c>
      <c r="B1136" t="inlineStr">
        <is>
          <t>ELKAYEM AUTO ANCILLARIES PRIVATE LI</t>
        </is>
      </c>
      <c r="C1136" t="inlineStr">
        <is>
          <t>NOS</t>
        </is>
      </c>
      <c r="D1136" t="n">
        <v>389</v>
      </c>
      <c r="E1136" t="n">
        <v>234.95</v>
      </c>
      <c r="F1136" t="n">
        <v>2427158</v>
      </c>
      <c r="G1136" t="inlineStr">
        <is>
          <t>50-30-1.6-ERW 1-FC</t>
        </is>
      </c>
      <c r="H1136" t="n">
        <v>456.297</v>
      </c>
      <c r="I1136" t="inlineStr">
        <is>
          <t>TUB-R-AW-AUT-50.00X30.00X1.600X0.6040</t>
        </is>
      </c>
      <c r="J1136" t="inlineStr">
        <is>
          <t>TVS</t>
        </is>
      </c>
      <c r="K1136" t="inlineStr">
        <is>
          <t>50-30-1.6-ERW 1-FC-0.604</t>
        </is>
      </c>
    </row>
    <row r="1137">
      <c r="A1137" t="inlineStr">
        <is>
          <t>0000948721</t>
        </is>
      </c>
      <c r="B1137" t="inlineStr">
        <is>
          <t>ELKAYEM AUTO ANCILLARIES PRIVATE LI</t>
        </is>
      </c>
      <c r="C1137" t="inlineStr">
        <is>
          <t>NOS</t>
        </is>
      </c>
      <c r="D1137" t="n">
        <v>2</v>
      </c>
      <c r="E1137" t="n">
        <v>1.208</v>
      </c>
      <c r="F1137" t="n">
        <v>2427158</v>
      </c>
      <c r="G1137" t="inlineStr">
        <is>
          <t>50-30-1.6-ERW 1-FC</t>
        </is>
      </c>
      <c r="H1137" t="n">
        <v>2.346</v>
      </c>
      <c r="I1137" t="inlineStr">
        <is>
          <t>TUB-R-AW-AUT-50.00X30.00X1.600X0.6040</t>
        </is>
      </c>
      <c r="J1137" t="inlineStr">
        <is>
          <t>TVS</t>
        </is>
      </c>
      <c r="K1137" t="inlineStr">
        <is>
          <t>50-30-1.6-ERW 1-FC-0.604</t>
        </is>
      </c>
    </row>
    <row r="1138">
      <c r="A1138" t="inlineStr">
        <is>
          <t>0000948721</t>
        </is>
      </c>
      <c r="B1138" t="inlineStr">
        <is>
          <t>ELKAYEM AUTO ANCILLARIES PRIVATE LI</t>
        </is>
      </c>
      <c r="C1138" t="inlineStr">
        <is>
          <t>NOS</t>
        </is>
      </c>
      <c r="D1138" t="n">
        <v>1385</v>
      </c>
      <c r="E1138" t="n">
        <v>836.52</v>
      </c>
      <c r="F1138" t="n">
        <v>2427158</v>
      </c>
      <c r="G1138" t="inlineStr">
        <is>
          <t>50-30-1.6-ERW 1-FC</t>
        </is>
      </c>
      <c r="H1138" t="n">
        <v>1624.605</v>
      </c>
      <c r="I1138" t="inlineStr">
        <is>
          <t>TUB-R-AW-AUT-50.00X30.00X1.600X0.6040</t>
        </is>
      </c>
      <c r="J1138" t="inlineStr">
        <is>
          <t>TVS</t>
        </is>
      </c>
      <c r="K1138" t="inlineStr">
        <is>
          <t>50-30-1.6-ERW 1-FC-0.604</t>
        </is>
      </c>
    </row>
    <row r="1139">
      <c r="A1139" t="inlineStr">
        <is>
          <t>0000948721</t>
        </is>
      </c>
      <c r="B1139" t="inlineStr">
        <is>
          <t>ELKAYEM AUTO ANCILLARIES PRIVATE LI</t>
        </is>
      </c>
      <c r="C1139" t="inlineStr">
        <is>
          <t>NOS</t>
        </is>
      </c>
      <c r="D1139" t="n">
        <v>1380</v>
      </c>
      <c r="E1139" t="n">
        <v>833.5</v>
      </c>
      <c r="F1139" t="n">
        <v>2427158</v>
      </c>
      <c r="G1139" t="inlineStr">
        <is>
          <t>50-30-1.6-ERW 1-FC</t>
        </is>
      </c>
      <c r="H1139" t="n">
        <v>1618.74</v>
      </c>
      <c r="I1139" t="inlineStr">
        <is>
          <t>TUB-R-AW-AUT-50.00X30.00X1.600X0.6040</t>
        </is>
      </c>
      <c r="J1139" t="inlineStr">
        <is>
          <t>TVS</t>
        </is>
      </c>
      <c r="K1139" t="inlineStr">
        <is>
          <t>50-30-1.6-ERW 1-FC-0.604</t>
        </is>
      </c>
    </row>
    <row r="1140">
      <c r="A1140" t="inlineStr">
        <is>
          <t>0000948721</t>
        </is>
      </c>
      <c r="B1140" t="inlineStr">
        <is>
          <t>ELKAYEM AUTO ANCILLARIES PRIVATE LI</t>
        </is>
      </c>
      <c r="C1140" t="inlineStr">
        <is>
          <t>NOS</t>
        </is>
      </c>
      <c r="D1140" t="n">
        <v>235</v>
      </c>
      <c r="E1140" t="n">
        <v>141.937</v>
      </c>
      <c r="F1140" t="n">
        <v>2427158</v>
      </c>
      <c r="G1140" t="inlineStr">
        <is>
          <t>50-30-1.6-ERW 1-FC</t>
        </is>
      </c>
      <c r="H1140" t="n">
        <v>275.655</v>
      </c>
      <c r="I1140" t="inlineStr">
        <is>
          <t>TUB-R-AW-AUT-50.00X30.00X1.600X0.6040</t>
        </is>
      </c>
      <c r="J1140" t="inlineStr">
        <is>
          <t>TVS</t>
        </is>
      </c>
      <c r="K1140" t="inlineStr">
        <is>
          <t>50-30-1.6-ERW 1-FC-0.604</t>
        </is>
      </c>
    </row>
    <row r="1141">
      <c r="A1141" t="inlineStr">
        <is>
          <t>0000948721</t>
        </is>
      </c>
      <c r="B1141" t="inlineStr">
        <is>
          <t>ELKAYEM AUTO ANCILLARIES PRIVATE LI</t>
        </is>
      </c>
      <c r="C1141" t="inlineStr">
        <is>
          <t>NOS</t>
        </is>
      </c>
      <c r="D1141" t="n">
        <v>442</v>
      </c>
      <c r="E1141" t="n">
        <v>266.962</v>
      </c>
      <c r="F1141" t="n">
        <v>2427158</v>
      </c>
      <c r="G1141" t="inlineStr">
        <is>
          <t>50-30-1.6-ERW 1-FC</t>
        </is>
      </c>
      <c r="H1141" t="n">
        <v>518.466</v>
      </c>
      <c r="I1141" t="inlineStr">
        <is>
          <t>TUB-R-AW-AUT-50.00X30.00X1.600X0.6040</t>
        </is>
      </c>
      <c r="J1141" t="inlineStr">
        <is>
          <t>TVS</t>
        </is>
      </c>
      <c r="K1141" t="inlineStr">
        <is>
          <t>50-30-1.6-ERW 1-FC-0.604</t>
        </is>
      </c>
    </row>
    <row r="1142">
      <c r="A1142" t="inlineStr">
        <is>
          <t>0000948721</t>
        </is>
      </c>
      <c r="B1142" t="inlineStr">
        <is>
          <t>ELKAYEM AUTO ANCILLARIES PRIVATE LI</t>
        </is>
      </c>
      <c r="C1142" t="inlineStr">
        <is>
          <t>NOS</t>
        </is>
      </c>
      <c r="D1142" t="n">
        <v>1350</v>
      </c>
      <c r="E1142" t="n">
        <v>815.38</v>
      </c>
      <c r="F1142" t="n">
        <v>2427158</v>
      </c>
      <c r="G1142" t="inlineStr">
        <is>
          <t>50-30-1.6-ERW 1-FC</t>
        </is>
      </c>
      <c r="H1142" t="n">
        <v>1583.55</v>
      </c>
      <c r="I1142" t="inlineStr">
        <is>
          <t>TUB-R-AW-AUT-50.00X30.00X1.600X0.6040</t>
        </is>
      </c>
      <c r="J1142" t="inlineStr">
        <is>
          <t>TVS</t>
        </is>
      </c>
      <c r="K1142" t="inlineStr">
        <is>
          <t>50-30-1.6-ERW 1-FC-0.604</t>
        </is>
      </c>
    </row>
    <row r="1143">
      <c r="A1143" t="inlineStr">
        <is>
          <t>0000948721</t>
        </is>
      </c>
      <c r="B1143" t="inlineStr">
        <is>
          <t>ELKAYEM AUTO ANCILLARIES PRIVATE LI</t>
        </is>
      </c>
      <c r="C1143" t="inlineStr">
        <is>
          <t>NOS</t>
        </is>
      </c>
      <c r="D1143" t="n">
        <v>1140</v>
      </c>
      <c r="E1143" t="n">
        <v>688.543</v>
      </c>
      <c r="F1143" t="n">
        <v>2427158</v>
      </c>
      <c r="G1143" t="inlineStr">
        <is>
          <t>50-30-1.6-ERW 1-FC</t>
        </is>
      </c>
      <c r="H1143" t="n">
        <v>1337.22</v>
      </c>
      <c r="I1143" t="inlineStr">
        <is>
          <t>TUB-R-AW-AUT-50.00X30.00X1.600X0.6040</t>
        </is>
      </c>
      <c r="J1143" t="inlineStr">
        <is>
          <t>TVS</t>
        </is>
      </c>
      <c r="K1143" t="inlineStr">
        <is>
          <t>50-30-1.6-ERW 1-FC-0.604</t>
        </is>
      </c>
    </row>
    <row r="1144">
      <c r="A1144" t="inlineStr">
        <is>
          <t>0000948721</t>
        </is>
      </c>
      <c r="B1144" t="inlineStr">
        <is>
          <t>ELKAYEM AUTO ANCILLARIES PRIVATE LI</t>
        </is>
      </c>
      <c r="C1144" t="inlineStr">
        <is>
          <t>NOS</t>
        </is>
      </c>
      <c r="D1144" t="n">
        <v>570</v>
      </c>
      <c r="E1144" t="n">
        <v>344.272</v>
      </c>
      <c r="F1144" t="n">
        <v>2427158</v>
      </c>
      <c r="G1144" t="inlineStr">
        <is>
          <t>50-30-1.6-ERW 1-FC</t>
        </is>
      </c>
      <c r="H1144" t="n">
        <v>668.61</v>
      </c>
      <c r="I1144" t="inlineStr">
        <is>
          <t>TUB-R-AW-AUT-50.00X30.00X1.600X0.6040</t>
        </is>
      </c>
      <c r="J1144" t="inlineStr">
        <is>
          <t>TVS</t>
        </is>
      </c>
      <c r="K1144" t="inlineStr">
        <is>
          <t>50-30-1.6-ERW 1-FC-0.604</t>
        </is>
      </c>
    </row>
    <row r="1145">
      <c r="A1145" t="inlineStr">
        <is>
          <t>0000948721</t>
        </is>
      </c>
      <c r="B1145" t="inlineStr">
        <is>
          <t>ELKAYEM AUTO ANCILLARIES PRIVATE LI</t>
        </is>
      </c>
      <c r="C1145" t="inlineStr">
        <is>
          <t>NOS</t>
        </is>
      </c>
      <c r="D1145" t="n">
        <v>3</v>
      </c>
      <c r="E1145" t="n">
        <v>1.812</v>
      </c>
      <c r="F1145" t="n">
        <v>2427158</v>
      </c>
      <c r="G1145" t="inlineStr">
        <is>
          <t>50-30-1.6-ERW 1-FC</t>
        </is>
      </c>
      <c r="H1145" t="n">
        <v>3.519</v>
      </c>
      <c r="I1145" t="inlineStr">
        <is>
          <t>TUB-R-AW-AUT-50.00X30.00X1.600X0.6040</t>
        </is>
      </c>
      <c r="J1145" t="inlineStr">
        <is>
          <t>TVS</t>
        </is>
      </c>
      <c r="K1145" t="inlineStr">
        <is>
          <t>50-30-1.6-ERW 1-FC-0.604</t>
        </is>
      </c>
    </row>
    <row r="1146">
      <c r="A1146" t="inlineStr">
        <is>
          <t>0000948721</t>
        </is>
      </c>
      <c r="B1146" t="inlineStr">
        <is>
          <t>ELKAYEM AUTO ANCILLARIES PRIVATE LI</t>
        </is>
      </c>
      <c r="C1146" t="inlineStr">
        <is>
          <t>NOS</t>
        </is>
      </c>
      <c r="D1146" t="n">
        <v>3</v>
      </c>
      <c r="E1146" t="n">
        <v>1.812</v>
      </c>
      <c r="F1146" t="n">
        <v>2427158</v>
      </c>
      <c r="G1146" t="inlineStr">
        <is>
          <t>50-30-1.6-ERW 1-FC</t>
        </is>
      </c>
      <c r="H1146" t="n">
        <v>3.519</v>
      </c>
      <c r="I1146" t="inlineStr">
        <is>
          <t>TUB-R-AW-AUT-50.00X30.00X1.600X0.6040</t>
        </is>
      </c>
      <c r="J1146" t="inlineStr">
        <is>
          <t>TVS</t>
        </is>
      </c>
      <c r="K1146" t="inlineStr">
        <is>
          <t>50-30-1.6-ERW 1-FC-0.604</t>
        </is>
      </c>
    </row>
    <row r="1147">
      <c r="A1147" t="inlineStr">
        <is>
          <t>0000948721</t>
        </is>
      </c>
      <c r="B1147" t="inlineStr">
        <is>
          <t>ELKAYEM AUTO ANCILLARIES PRIVATE LI</t>
        </is>
      </c>
      <c r="C1147" t="inlineStr">
        <is>
          <t>NOS</t>
        </is>
      </c>
      <c r="D1147" t="n">
        <v>1</v>
      </c>
      <c r="E1147" t="n">
        <v>0.604</v>
      </c>
      <c r="F1147" t="n">
        <v>2427158</v>
      </c>
      <c r="G1147" t="inlineStr">
        <is>
          <t>50-30-1.6-ERW 1-FC</t>
        </is>
      </c>
      <c r="H1147" t="n">
        <v>1.173</v>
      </c>
      <c r="I1147" t="inlineStr">
        <is>
          <t>TUB-R-AW-AUT-50.00X30.00X1.600X0.6040</t>
        </is>
      </c>
      <c r="J1147" t="inlineStr">
        <is>
          <t>TVS</t>
        </is>
      </c>
      <c r="K1147" t="inlineStr">
        <is>
          <t>50-30-1.6-ERW 1-FC-0.604</t>
        </is>
      </c>
    </row>
    <row r="1148">
      <c r="A1148" t="inlineStr">
        <is>
          <t>0000948721</t>
        </is>
      </c>
      <c r="B1148" t="inlineStr">
        <is>
          <t>ELKAYEM AUTO ANCILLARIES PRIVATE LI</t>
        </is>
      </c>
      <c r="C1148" t="inlineStr">
        <is>
          <t>NOS</t>
        </is>
      </c>
      <c r="D1148" t="n">
        <v>1</v>
      </c>
      <c r="E1148" t="n">
        <v>0.604</v>
      </c>
      <c r="F1148" t="n">
        <v>2427158</v>
      </c>
      <c r="G1148" t="inlineStr">
        <is>
          <t>50-30-1.6-ERW 1-FC</t>
        </is>
      </c>
      <c r="H1148" t="n">
        <v>1.173</v>
      </c>
      <c r="I1148" t="inlineStr">
        <is>
          <t>TUB-R-AW-AUT-50.00X30.00X1.600X0.6040</t>
        </is>
      </c>
      <c r="J1148" t="inlineStr">
        <is>
          <t>TVS</t>
        </is>
      </c>
      <c r="K1148" t="inlineStr">
        <is>
          <t>50-30-1.6-ERW 1-FC-0.604</t>
        </is>
      </c>
    </row>
    <row r="1149">
      <c r="A1149" t="inlineStr">
        <is>
          <t>0000948721</t>
        </is>
      </c>
      <c r="B1149" t="inlineStr">
        <is>
          <t>ELKAYEM AUTO ANCILLARIES PRIVATE LI</t>
        </is>
      </c>
      <c r="C1149" t="inlineStr">
        <is>
          <t>NOS</t>
        </is>
      </c>
      <c r="D1149" t="n">
        <v>1300</v>
      </c>
      <c r="E1149" t="n">
        <v>785.181</v>
      </c>
      <c r="F1149" t="n">
        <v>2427158</v>
      </c>
      <c r="G1149" t="inlineStr">
        <is>
          <t>50-30-1.6-ERW 1-FC</t>
        </is>
      </c>
      <c r="H1149" t="n">
        <v>1524.9</v>
      </c>
      <c r="I1149" t="inlineStr">
        <is>
          <t>TUB-R-AW-AUT-50.00X30.00X1.600X0.6040</t>
        </is>
      </c>
      <c r="J1149" t="inlineStr">
        <is>
          <t>TVS</t>
        </is>
      </c>
      <c r="K1149" t="inlineStr">
        <is>
          <t>50-30-1.6-ERW 1-FC-0.604</t>
        </is>
      </c>
    </row>
    <row r="1150">
      <c r="A1150" t="inlineStr">
        <is>
          <t>0000948721</t>
        </is>
      </c>
      <c r="B1150" t="inlineStr">
        <is>
          <t>ELKAYEM AUTO ANCILLARIES PRIVATE LI</t>
        </is>
      </c>
      <c r="C1150" t="inlineStr">
        <is>
          <t>NOS</t>
        </is>
      </c>
      <c r="D1150" t="n">
        <v>927</v>
      </c>
      <c r="E1150" t="n">
        <v>559.894</v>
      </c>
      <c r="F1150" t="n">
        <v>2427158</v>
      </c>
      <c r="G1150" t="inlineStr">
        <is>
          <t>50-30-1.6-ERW 1-FC</t>
        </is>
      </c>
      <c r="H1150" t="n">
        <v>1087.371</v>
      </c>
      <c r="I1150" t="inlineStr">
        <is>
          <t>TUB-R-AW-AUT-50.00X30.00X1.600X0.6040</t>
        </is>
      </c>
      <c r="J1150" t="inlineStr">
        <is>
          <t>TVS</t>
        </is>
      </c>
      <c r="K1150" t="inlineStr">
        <is>
          <t>50-30-1.6-ERW 1-FC-0.604</t>
        </is>
      </c>
    </row>
    <row r="1151">
      <c r="A1151" t="inlineStr">
        <is>
          <t>0000948721</t>
        </is>
      </c>
      <c r="B1151" t="inlineStr">
        <is>
          <t>ELKAYEM AUTO ANCILLARIES PRIVATE LI</t>
        </is>
      </c>
      <c r="C1151" t="inlineStr">
        <is>
          <t>NOS</t>
        </is>
      </c>
      <c r="D1151" t="n">
        <v>905</v>
      </c>
      <c r="E1151" t="n">
        <v>546.607</v>
      </c>
      <c r="F1151" t="n">
        <v>2427158</v>
      </c>
      <c r="G1151" t="inlineStr">
        <is>
          <t>50-30-1.6-ERW 1-FC</t>
        </is>
      </c>
      <c r="H1151" t="n">
        <v>1061.565</v>
      </c>
      <c r="I1151" t="inlineStr">
        <is>
          <t>TUB-R-AW-AUT-50.00X30.00X1.600X0.6040</t>
        </is>
      </c>
      <c r="J1151" t="inlineStr">
        <is>
          <t>TVS</t>
        </is>
      </c>
      <c r="K1151" t="inlineStr">
        <is>
          <t>50-30-1.6-ERW 1-FC-0.604</t>
        </is>
      </c>
    </row>
    <row r="1152">
      <c r="A1152" t="inlineStr">
        <is>
          <t>0000948721</t>
        </is>
      </c>
      <c r="B1152" t="inlineStr">
        <is>
          <t>ELKAYEM AUTO ANCILLARIES PRIVATE LI</t>
        </is>
      </c>
      <c r="C1152" t="inlineStr">
        <is>
          <t>NOS</t>
        </is>
      </c>
      <c r="D1152" t="n">
        <v>63</v>
      </c>
      <c r="E1152" t="n">
        <v>38.051</v>
      </c>
      <c r="F1152" t="n">
        <v>2427158</v>
      </c>
      <c r="G1152" t="inlineStr">
        <is>
          <t>50-30-1.6-ERW 1-FC</t>
        </is>
      </c>
      <c r="H1152" t="n">
        <v>73.899</v>
      </c>
      <c r="I1152" t="inlineStr">
        <is>
          <t>TUB-R-AW-AUT-50.00X30.00X1.600X0.6040</t>
        </is>
      </c>
      <c r="J1152" t="inlineStr">
        <is>
          <t>TVS</t>
        </is>
      </c>
      <c r="K1152" t="inlineStr">
        <is>
          <t>50-30-1.6-ERW 1-FC-0.604</t>
        </is>
      </c>
    </row>
    <row r="1153">
      <c r="A1153" t="inlineStr">
        <is>
          <t>0000940921</t>
        </is>
      </c>
      <c r="B1153" t="inlineStr">
        <is>
          <t>ELKAYEM AUTO ANCILLARIES PVT LTD -U</t>
        </is>
      </c>
      <c r="C1153" t="inlineStr">
        <is>
          <t>NOS</t>
        </is>
      </c>
      <c r="D1153" t="n">
        <v>510</v>
      </c>
      <c r="E1153" t="n">
        <v>877.718</v>
      </c>
      <c r="F1153" t="n">
        <v>1940715</v>
      </c>
      <c r="G1153" t="inlineStr">
        <is>
          <t>34.93-0-2.6-ERW 1-FC</t>
        </is>
      </c>
      <c r="H1153" t="n">
        <v>1754.91</v>
      </c>
      <c r="I1153" t="inlineStr">
        <is>
          <t>TUB-O-O-AUT-AW-FC-34.93X2.500X1.7210</t>
        </is>
      </c>
      <c r="J1153" t="inlineStr">
        <is>
          <t>TVS</t>
        </is>
      </c>
      <c r="K1153" t="inlineStr">
        <is>
          <t>34.93-0-2.6-ERW 1-FC-1.721</t>
        </is>
      </c>
    </row>
    <row r="1154">
      <c r="A1154" t="inlineStr">
        <is>
          <t>0000940921</t>
        </is>
      </c>
      <c r="B1154" t="inlineStr">
        <is>
          <t>ELKAYEM AUTO ANCILLARIES PVT LTD -U</t>
        </is>
      </c>
      <c r="C1154" t="inlineStr">
        <is>
          <t>NOS</t>
        </is>
      </c>
      <c r="D1154" t="n">
        <v>500</v>
      </c>
      <c r="E1154" t="n">
        <v>860.508</v>
      </c>
      <c r="F1154" t="n">
        <v>1940715</v>
      </c>
      <c r="G1154" t="inlineStr">
        <is>
          <t>34.93-0-2.6-ERW 1-FC</t>
        </is>
      </c>
      <c r="H1154" t="n">
        <v>1720.5</v>
      </c>
      <c r="I1154" t="inlineStr">
        <is>
          <t>TUB-O-O-AUT-AW-FC-34.93X2.500X1.7210</t>
        </is>
      </c>
      <c r="J1154" t="inlineStr">
        <is>
          <t>TVS</t>
        </is>
      </c>
      <c r="K1154" t="inlineStr">
        <is>
          <t>34.93-0-2.6-ERW 1-FC-1.721</t>
        </is>
      </c>
    </row>
    <row r="1155">
      <c r="A1155" t="inlineStr">
        <is>
          <t>0000940921</t>
        </is>
      </c>
      <c r="B1155" t="inlineStr">
        <is>
          <t>ELKAYEM AUTO ANCILLARIES PVT LTD -U</t>
        </is>
      </c>
      <c r="C1155" t="inlineStr">
        <is>
          <t>NOS</t>
        </is>
      </c>
      <c r="D1155" t="n">
        <v>500</v>
      </c>
      <c r="E1155" t="n">
        <v>860.508</v>
      </c>
      <c r="F1155" t="n">
        <v>1940715</v>
      </c>
      <c r="G1155" t="inlineStr">
        <is>
          <t>34.93-0-2.6-ERW 1-FC</t>
        </is>
      </c>
      <c r="H1155" t="n">
        <v>1720.5</v>
      </c>
      <c r="I1155" t="inlineStr">
        <is>
          <t>TUB-O-O-AUT-AW-FC-34.93X2.500X1.7210</t>
        </is>
      </c>
      <c r="J1155" t="inlineStr">
        <is>
          <t>TVS</t>
        </is>
      </c>
      <c r="K1155" t="inlineStr">
        <is>
          <t>34.93-0-2.6-ERW 1-FC-1.721</t>
        </is>
      </c>
    </row>
    <row r="1156">
      <c r="A1156" t="inlineStr">
        <is>
          <t>0000940921</t>
        </is>
      </c>
      <c r="B1156" t="inlineStr">
        <is>
          <t>ELKAYEM AUTO ANCILLARIES PVT LTD -U</t>
        </is>
      </c>
      <c r="C1156" t="inlineStr">
        <is>
          <t>NOS</t>
        </is>
      </c>
      <c r="D1156" t="n">
        <v>490</v>
      </c>
      <c r="E1156" t="n">
        <v>843.298</v>
      </c>
      <c r="F1156" t="n">
        <v>1940715</v>
      </c>
      <c r="G1156" t="inlineStr">
        <is>
          <t>34.93-0-2.6-ERW 1-FC</t>
        </is>
      </c>
      <c r="H1156" t="n">
        <v>1686.09</v>
      </c>
      <c r="I1156" t="inlineStr">
        <is>
          <t>TUB-O-O-AUT-AW-FC-34.93X2.500X1.7210</t>
        </is>
      </c>
      <c r="J1156" t="inlineStr">
        <is>
          <t>TVS</t>
        </is>
      </c>
      <c r="K1156" t="inlineStr">
        <is>
          <t>34.93-0-2.6-ERW 1-FC-1.721</t>
        </is>
      </c>
    </row>
    <row r="1157">
      <c r="A1157" t="inlineStr">
        <is>
          <t>0000940921</t>
        </is>
      </c>
      <c r="B1157" t="inlineStr">
        <is>
          <t>ELKAYEM AUTO ANCILLARIES PVT LTD -U</t>
        </is>
      </c>
      <c r="C1157" t="inlineStr">
        <is>
          <t>NOS</t>
        </is>
      </c>
      <c r="D1157" t="n">
        <v>490</v>
      </c>
      <c r="E1157" t="n">
        <v>843.298</v>
      </c>
      <c r="F1157" t="n">
        <v>1940715</v>
      </c>
      <c r="G1157" t="inlineStr">
        <is>
          <t>34.93-0-2.6-ERW 1-FC</t>
        </is>
      </c>
      <c r="H1157" t="n">
        <v>1686.09</v>
      </c>
      <c r="I1157" t="inlineStr">
        <is>
          <t>TUB-O-O-AUT-AW-FC-34.93X2.500X1.7210</t>
        </is>
      </c>
      <c r="J1157" t="inlineStr">
        <is>
          <t>TVS</t>
        </is>
      </c>
      <c r="K1157" t="inlineStr">
        <is>
          <t>34.93-0-2.6-ERW 1-FC-1.721</t>
        </is>
      </c>
    </row>
    <row r="1158">
      <c r="A1158" t="inlineStr">
        <is>
          <t>0000940921</t>
        </is>
      </c>
      <c r="B1158" t="inlineStr">
        <is>
          <t>ELKAYEM AUTO ANCILLARIES PVT LTD -U</t>
        </is>
      </c>
      <c r="C1158" t="inlineStr">
        <is>
          <t>NOS</t>
        </is>
      </c>
      <c r="D1158" t="n">
        <v>372</v>
      </c>
      <c r="E1158" t="n">
        <v>640.218</v>
      </c>
      <c r="F1158" t="n">
        <v>1940715</v>
      </c>
      <c r="G1158" t="inlineStr">
        <is>
          <t>34.93-0-2.6-ERW 1-FC</t>
        </is>
      </c>
      <c r="H1158" t="n">
        <v>1280.052</v>
      </c>
      <c r="I1158" t="inlineStr">
        <is>
          <t>TUB-O-O-AUT-AW-FC-34.93X2.500X1.7210</t>
        </is>
      </c>
      <c r="J1158" t="inlineStr">
        <is>
          <t>TVS</t>
        </is>
      </c>
      <c r="K1158" t="inlineStr">
        <is>
          <t>34.93-0-2.6-ERW 1-FC-1.721</t>
        </is>
      </c>
    </row>
    <row r="1159">
      <c r="A1159" t="inlineStr">
        <is>
          <t>0000940921</t>
        </is>
      </c>
      <c r="B1159" t="inlineStr">
        <is>
          <t>ELKAYEM AUTO ANCILLARIES PVT LTD -U</t>
        </is>
      </c>
      <c r="C1159" t="inlineStr">
        <is>
          <t>NOS</t>
        </is>
      </c>
      <c r="D1159" t="n">
        <v>138</v>
      </c>
      <c r="E1159" t="n">
        <v>237.5</v>
      </c>
      <c r="F1159" t="n">
        <v>1940715</v>
      </c>
      <c r="G1159" t="inlineStr">
        <is>
          <t>34.93-0-2.6-ERW 1-FC</t>
        </is>
      </c>
      <c r="H1159" t="n">
        <v>474.858</v>
      </c>
      <c r="I1159" t="inlineStr">
        <is>
          <t>TUB-O-O-AUT-AW-FC-34.93X2.500X1.7210</t>
        </is>
      </c>
      <c r="J1159" t="inlineStr">
        <is>
          <t>TVS</t>
        </is>
      </c>
      <c r="K1159" t="inlineStr">
        <is>
          <t>34.93-0-2.6-ERW 1-FC-1.721</t>
        </is>
      </c>
    </row>
    <row r="1160">
      <c r="A1160" t="inlineStr">
        <is>
          <t>0000940921</t>
        </is>
      </c>
      <c r="B1160" t="inlineStr">
        <is>
          <t>ELKAYEM AUTO ANCILLARIES PVT LTD -U</t>
        </is>
      </c>
      <c r="C1160" t="inlineStr">
        <is>
          <t>NOS</t>
        </is>
      </c>
      <c r="D1160" t="n">
        <v>1349</v>
      </c>
      <c r="E1160" t="n">
        <v>857.886</v>
      </c>
      <c r="F1160" t="n">
        <v>1940879</v>
      </c>
      <c r="G1160" t="inlineStr">
        <is>
          <t>50-30-1.6-ERW 1-FC</t>
        </is>
      </c>
      <c r="H1160" t="n">
        <v>1666.015</v>
      </c>
      <c r="I1160" t="inlineStr">
        <is>
          <t>TUB-R-AW-RHS-50.00X30.00X1.600X0.6360</t>
        </is>
      </c>
      <c r="J1160" t="inlineStr">
        <is>
          <t>TVS</t>
        </is>
      </c>
      <c r="K1160" t="inlineStr">
        <is>
          <t>50-30-1.6-ERW 1-FC-0.636</t>
        </is>
      </c>
    </row>
    <row r="1161">
      <c r="A1161" t="inlineStr">
        <is>
          <t>0000940921</t>
        </is>
      </c>
      <c r="B1161" t="inlineStr">
        <is>
          <t>ELKAYEM AUTO ANCILLARIES PVT LTD -U</t>
        </is>
      </c>
      <c r="C1161" t="inlineStr">
        <is>
          <t>NOS</t>
        </is>
      </c>
      <c r="D1161" t="n">
        <v>1300</v>
      </c>
      <c r="E1161" t="n">
        <v>826.725</v>
      </c>
      <c r="F1161" t="n">
        <v>1940879</v>
      </c>
      <c r="G1161" t="inlineStr">
        <is>
          <t>50-30-1.6-ERW 1-FC</t>
        </is>
      </c>
      <c r="H1161" t="n">
        <v>1605.5</v>
      </c>
      <c r="I1161" t="inlineStr">
        <is>
          <t>TUB-R-AW-RHS-50.00X30.00X1.600X0.6360</t>
        </is>
      </c>
      <c r="J1161" t="inlineStr">
        <is>
          <t>TVS</t>
        </is>
      </c>
      <c r="K1161" t="inlineStr">
        <is>
          <t>50-30-1.6-ERW 1-FC-0.636</t>
        </is>
      </c>
    </row>
    <row r="1162">
      <c r="A1162" t="inlineStr">
        <is>
          <t>0000940921</t>
        </is>
      </c>
      <c r="B1162" t="inlineStr">
        <is>
          <t>ELKAYEM AUTO ANCILLARIES PVT LTD -U</t>
        </is>
      </c>
      <c r="C1162" t="inlineStr">
        <is>
          <t>NOS</t>
        </is>
      </c>
      <c r="D1162" t="n">
        <v>1190</v>
      </c>
      <c r="E1162" t="n">
        <v>756.771</v>
      </c>
      <c r="F1162" t="n">
        <v>1940879</v>
      </c>
      <c r="G1162" t="inlineStr">
        <is>
          <t>50-30-1.6-ERW 1-FC</t>
        </is>
      </c>
      <c r="H1162" t="n">
        <v>1469.65</v>
      </c>
      <c r="I1162" t="inlineStr">
        <is>
          <t>TUB-R-AW-RHS-50.00X30.00X1.600X0.6360</t>
        </is>
      </c>
      <c r="J1162" t="inlineStr">
        <is>
          <t>TVS</t>
        </is>
      </c>
      <c r="K1162" t="inlineStr">
        <is>
          <t>50-30-1.6-ERW 1-FC-0.636</t>
        </is>
      </c>
    </row>
    <row r="1163">
      <c r="A1163" t="inlineStr">
        <is>
          <t>0000940921</t>
        </is>
      </c>
      <c r="B1163" t="inlineStr">
        <is>
          <t>ELKAYEM AUTO ANCILLARIES PVT LTD -U</t>
        </is>
      </c>
      <c r="C1163" t="inlineStr">
        <is>
          <t>NOS</t>
        </is>
      </c>
      <c r="D1163" t="n">
        <v>870</v>
      </c>
      <c r="E1163" t="n">
        <v>553.27</v>
      </c>
      <c r="F1163" t="n">
        <v>1940879</v>
      </c>
      <c r="G1163" t="inlineStr">
        <is>
          <t>50-30-1.6-ERW 1-FC</t>
        </is>
      </c>
      <c r="H1163" t="n">
        <v>1074.45</v>
      </c>
      <c r="I1163" t="inlineStr">
        <is>
          <t>TUB-R-AW-RHS-50.00X30.00X1.600X0.6360</t>
        </is>
      </c>
      <c r="J1163" t="inlineStr">
        <is>
          <t>TVS</t>
        </is>
      </c>
      <c r="K1163" t="inlineStr">
        <is>
          <t>50-30-1.6-ERW 1-FC-0.636</t>
        </is>
      </c>
    </row>
    <row r="1164">
      <c r="A1164" t="inlineStr">
        <is>
          <t>0000940921</t>
        </is>
      </c>
      <c r="B1164" t="inlineStr">
        <is>
          <t>ELKAYEM AUTO ANCILLARIES PVT LTD -U</t>
        </is>
      </c>
      <c r="C1164" t="inlineStr">
        <is>
          <t>NOS</t>
        </is>
      </c>
      <c r="D1164" t="n">
        <v>269</v>
      </c>
      <c r="E1164" t="n">
        <v>171.068</v>
      </c>
      <c r="F1164" t="n">
        <v>1940879</v>
      </c>
      <c r="G1164" t="inlineStr">
        <is>
          <t>50-30-1.6-ERW 1-FC</t>
        </is>
      </c>
      <c r="H1164" t="n">
        <v>332.215</v>
      </c>
      <c r="I1164" t="inlineStr">
        <is>
          <t>TUB-R-AW-RHS-50.00X30.00X1.600X0.6360</t>
        </is>
      </c>
      <c r="J1164" t="inlineStr">
        <is>
          <t>TVS</t>
        </is>
      </c>
      <c r="K1164" t="inlineStr">
        <is>
          <t>50-30-1.6-ERW 1-FC-0.636</t>
        </is>
      </c>
    </row>
    <row r="1165">
      <c r="A1165" t="inlineStr">
        <is>
          <t>0000940921</t>
        </is>
      </c>
      <c r="B1165" t="inlineStr">
        <is>
          <t>ELKAYEM AUTO ANCILLARIES PVT LTD -U</t>
        </is>
      </c>
      <c r="C1165" t="inlineStr">
        <is>
          <t>NOS</t>
        </is>
      </c>
      <c r="D1165" t="n">
        <v>94</v>
      </c>
      <c r="E1165" t="n">
        <v>59.779</v>
      </c>
      <c r="F1165" t="n">
        <v>1940879</v>
      </c>
      <c r="G1165" t="inlineStr">
        <is>
          <t>50-30-1.6-ERW 1-FC</t>
        </is>
      </c>
      <c r="H1165" t="n">
        <v>116.09</v>
      </c>
      <c r="I1165" t="inlineStr">
        <is>
          <t>TUB-R-AW-RHS-50.00X30.00X1.600X0.6360</t>
        </is>
      </c>
      <c r="J1165" t="inlineStr">
        <is>
          <t>TVS</t>
        </is>
      </c>
      <c r="K1165" t="inlineStr">
        <is>
          <t>50-30-1.6-ERW 1-FC-0.636</t>
        </is>
      </c>
    </row>
    <row r="1166">
      <c r="A1166" t="inlineStr">
        <is>
          <t>0000940921</t>
        </is>
      </c>
      <c r="B1166" t="inlineStr">
        <is>
          <t>ELKAYEM AUTO ANCILLARIES PVT LTD -U</t>
        </is>
      </c>
      <c r="C1166" t="inlineStr">
        <is>
          <t>NOS</t>
        </is>
      </c>
      <c r="D1166" t="n">
        <v>25</v>
      </c>
      <c r="E1166" t="n">
        <v>15.899</v>
      </c>
      <c r="F1166" t="n">
        <v>1940879</v>
      </c>
      <c r="G1166" t="inlineStr">
        <is>
          <t>50-30-1.6-ERW 1-FC</t>
        </is>
      </c>
      <c r="H1166" t="n">
        <v>30.875</v>
      </c>
      <c r="I1166" t="inlineStr">
        <is>
          <t>TUB-R-AW-RHS-50.00X30.00X1.600X0.6360</t>
        </is>
      </c>
      <c r="J1166" t="inlineStr">
        <is>
          <t>TVS</t>
        </is>
      </c>
      <c r="K1166" t="inlineStr">
        <is>
          <t>50-30-1.6-ERW 1-FC-0.636</t>
        </is>
      </c>
    </row>
    <row r="1167">
      <c r="A1167" t="inlineStr">
        <is>
          <t>0000940921</t>
        </is>
      </c>
      <c r="B1167" t="inlineStr">
        <is>
          <t>ELKAYEM AUTO ANCILLARIES PVT LTD -U</t>
        </is>
      </c>
      <c r="C1167" t="inlineStr">
        <is>
          <t>NOS</t>
        </is>
      </c>
      <c r="D1167" t="n">
        <v>3</v>
      </c>
      <c r="E1167" t="n">
        <v>1.908</v>
      </c>
      <c r="F1167" t="n">
        <v>1940879</v>
      </c>
      <c r="G1167" t="inlineStr">
        <is>
          <t>50-30-1.6-ERW 1-FC</t>
        </is>
      </c>
      <c r="H1167" t="n">
        <v>3.705</v>
      </c>
      <c r="I1167" t="inlineStr">
        <is>
          <t>TUB-R-AW-RHS-50.00X30.00X1.600X0.6360</t>
        </is>
      </c>
      <c r="J1167" t="inlineStr">
        <is>
          <t>TVS</t>
        </is>
      </c>
      <c r="K1167" t="inlineStr">
        <is>
          <t>50-30-1.6-ERW 1-FC-0.636</t>
        </is>
      </c>
    </row>
    <row r="1168">
      <c r="A1168" t="inlineStr">
        <is>
          <t>0000940921</t>
        </is>
      </c>
      <c r="B1168" t="inlineStr">
        <is>
          <t>ELKAYEM AUTO ANCILLARIES PVT LTD -U</t>
        </is>
      </c>
      <c r="C1168" t="inlineStr">
        <is>
          <t>NOS</t>
        </is>
      </c>
      <c r="D1168" t="n">
        <v>1259</v>
      </c>
      <c r="E1168" t="n">
        <v>800.651</v>
      </c>
      <c r="F1168" t="n">
        <v>1940879</v>
      </c>
      <c r="G1168" t="inlineStr">
        <is>
          <t>50-30-1.6-ERW 1-FC</t>
        </is>
      </c>
      <c r="H1168" t="n">
        <v>1554.865</v>
      </c>
      <c r="I1168" t="inlineStr">
        <is>
          <t>TUB-R-AW-RHS-50.00X30.00X1.600X0.6360</t>
        </is>
      </c>
      <c r="J1168" t="inlineStr">
        <is>
          <t>TVS</t>
        </is>
      </c>
      <c r="K1168" t="inlineStr">
        <is>
          <t>50-30-1.6-ERW 1-FC-0.636</t>
        </is>
      </c>
    </row>
    <row r="1169">
      <c r="A1169" t="inlineStr">
        <is>
          <t>0000940921</t>
        </is>
      </c>
      <c r="B1169" t="inlineStr">
        <is>
          <t>ELKAYEM AUTO ANCILLARIES PVT LTD -U</t>
        </is>
      </c>
      <c r="C1169" t="inlineStr">
        <is>
          <t>NOS</t>
        </is>
      </c>
      <c r="D1169" t="n">
        <v>659</v>
      </c>
      <c r="E1169" t="n">
        <v>419.086</v>
      </c>
      <c r="F1169" t="n">
        <v>1940879</v>
      </c>
      <c r="G1169" t="inlineStr">
        <is>
          <t>50-30-1.6-ERW 1-FC</t>
        </is>
      </c>
      <c r="H1169" t="n">
        <v>813.865</v>
      </c>
      <c r="I1169" t="inlineStr">
        <is>
          <t>TUB-R-AW-RHS-50.00X30.00X1.600X0.6360</t>
        </is>
      </c>
      <c r="J1169" t="inlineStr">
        <is>
          <t>TVS</t>
        </is>
      </c>
      <c r="K1169" t="inlineStr">
        <is>
          <t>50-30-1.6-ERW 1-FC-0.636</t>
        </is>
      </c>
    </row>
    <row r="1170">
      <c r="A1170" t="inlineStr">
        <is>
          <t>0000940921</t>
        </is>
      </c>
      <c r="B1170" t="inlineStr">
        <is>
          <t>ELKAYEM AUTO ANCILLARIES PVT LTD -U</t>
        </is>
      </c>
      <c r="C1170" t="inlineStr">
        <is>
          <t>NOS</t>
        </is>
      </c>
      <c r="D1170" t="n">
        <v>510</v>
      </c>
      <c r="E1170" t="n">
        <v>324.331</v>
      </c>
      <c r="F1170" t="n">
        <v>1940879</v>
      </c>
      <c r="G1170" t="inlineStr">
        <is>
          <t>50-30-1.6-ERW 1-FC</t>
        </is>
      </c>
      <c r="H1170" t="n">
        <v>629.85</v>
      </c>
      <c r="I1170" t="inlineStr">
        <is>
          <t>TUB-R-AW-RHS-50.00X30.00X1.600X0.6360</t>
        </is>
      </c>
      <c r="J1170" t="inlineStr">
        <is>
          <t>TVS</t>
        </is>
      </c>
      <c r="K1170" t="inlineStr">
        <is>
          <t>50-30-1.6-ERW 1-FC-0.636</t>
        </is>
      </c>
    </row>
    <row r="1171">
      <c r="A1171" t="inlineStr">
        <is>
          <t>0000940921</t>
        </is>
      </c>
      <c r="B1171" t="inlineStr">
        <is>
          <t>ELKAYEM AUTO ANCILLARIES PVT LTD -U</t>
        </is>
      </c>
      <c r="C1171" t="inlineStr">
        <is>
          <t>NOS</t>
        </is>
      </c>
      <c r="D1171" t="n">
        <v>2</v>
      </c>
      <c r="E1171" t="n">
        <v>1.272</v>
      </c>
      <c r="F1171" t="n">
        <v>1940879</v>
      </c>
      <c r="G1171" t="inlineStr">
        <is>
          <t>50-30-1.6-ERW 1-FC</t>
        </is>
      </c>
      <c r="H1171" t="n">
        <v>2.47</v>
      </c>
      <c r="I1171" t="inlineStr">
        <is>
          <t>TUB-R-AW-RHS-50.00X30.00X1.600X0.6360</t>
        </is>
      </c>
      <c r="J1171" t="inlineStr">
        <is>
          <t>TVS</t>
        </is>
      </c>
      <c r="K1171" t="inlineStr">
        <is>
          <t>50-30-1.6-ERW 1-FC-0.636</t>
        </is>
      </c>
    </row>
    <row r="1172">
      <c r="A1172" t="inlineStr">
        <is>
          <t>0000941496</t>
        </is>
      </c>
      <c r="B1172" t="inlineStr">
        <is>
          <t>SANDHAR ENGINEERING PVT LTD.(KA) -U</t>
        </is>
      </c>
      <c r="C1172" t="inlineStr">
        <is>
          <t>NOS</t>
        </is>
      </c>
      <c r="D1172" t="n">
        <v>2848</v>
      </c>
      <c r="E1172" t="n">
        <v>1695.238</v>
      </c>
      <c r="F1172" t="n">
        <v>1940247</v>
      </c>
      <c r="G1172" t="inlineStr">
        <is>
          <t>19.05-0-1.6-ERW 1-PE</t>
        </is>
      </c>
      <c r="H1172" t="n">
        <v>1167.68</v>
      </c>
      <c r="I1172" t="inlineStr">
        <is>
          <t>TUB-O-O-AUT-AW-PE-19.05X1.600X0.5950</t>
        </is>
      </c>
      <c r="J1172" t="inlineStr">
        <is>
          <t>TVS</t>
        </is>
      </c>
      <c r="K1172" t="inlineStr">
        <is>
          <t>19.05-0-1.6-ERW 1-PE-0.595</t>
        </is>
      </c>
    </row>
    <row r="1173">
      <c r="A1173" t="inlineStr">
        <is>
          <t>0000941496</t>
        </is>
      </c>
      <c r="B1173" t="inlineStr">
        <is>
          <t>SANDHAR ENGINEERING PVT LTD.(KA) -U</t>
        </is>
      </c>
      <c r="C1173" t="inlineStr">
        <is>
          <t>NOS</t>
        </is>
      </c>
      <c r="D1173" t="n">
        <v>700</v>
      </c>
      <c r="E1173" t="n">
        <v>416.667</v>
      </c>
      <c r="F1173" t="n">
        <v>1940247</v>
      </c>
      <c r="G1173" t="inlineStr">
        <is>
          <t>19.05-0-1.6-ERW 1-PE</t>
        </is>
      </c>
      <c r="H1173" t="n">
        <v>287</v>
      </c>
      <c r="I1173" t="inlineStr">
        <is>
          <t>TUB-O-O-AUT-AW-PE-19.05X1.600X0.5950</t>
        </is>
      </c>
      <c r="J1173" t="inlineStr">
        <is>
          <t>TVS</t>
        </is>
      </c>
      <c r="K1173" t="inlineStr">
        <is>
          <t>19.05-0-1.6-ERW 1-PE-0.595</t>
        </is>
      </c>
    </row>
    <row r="1174">
      <c r="A1174" t="inlineStr">
        <is>
          <t>0000941496</t>
        </is>
      </c>
      <c r="B1174" t="inlineStr">
        <is>
          <t>SANDHAR ENGINEERING PVT LTD.(KA) -U</t>
        </is>
      </c>
      <c r="C1174" t="inlineStr">
        <is>
          <t>NOS</t>
        </is>
      </c>
      <c r="D1174" t="n">
        <v>685</v>
      </c>
      <c r="E1174" t="n">
        <v>407.738</v>
      </c>
      <c r="F1174" t="n">
        <v>1940247</v>
      </c>
      <c r="G1174" t="inlineStr">
        <is>
          <t>19.05-0-1.6-ERW 1-PE</t>
        </is>
      </c>
      <c r="H1174" t="n">
        <v>280.85</v>
      </c>
      <c r="I1174" t="inlineStr">
        <is>
          <t>TUB-O-O-AUT-AW-PE-19.05X1.600X0.5950</t>
        </is>
      </c>
      <c r="J1174" t="inlineStr">
        <is>
          <t>TVS</t>
        </is>
      </c>
      <c r="K1174" t="inlineStr">
        <is>
          <t>19.05-0-1.6-ERW 1-PE-0.595</t>
        </is>
      </c>
    </row>
    <row r="1175">
      <c r="A1175" t="inlineStr">
        <is>
          <t>0000941496</t>
        </is>
      </c>
      <c r="B1175" t="inlineStr">
        <is>
          <t>SANDHAR ENGINEERING PVT LTD.(KA) -U</t>
        </is>
      </c>
      <c r="C1175" t="inlineStr">
        <is>
          <t>NOS</t>
        </is>
      </c>
      <c r="D1175" t="n">
        <v>39</v>
      </c>
      <c r="E1175" t="n">
        <v>23.214</v>
      </c>
      <c r="F1175" t="n">
        <v>1940247</v>
      </c>
      <c r="G1175" t="inlineStr">
        <is>
          <t>19.05-0-1.6-ERW 1-PE</t>
        </is>
      </c>
      <c r="H1175" t="n">
        <v>15.99</v>
      </c>
      <c r="I1175" t="inlineStr">
        <is>
          <t>TUB-O-O-AUT-AW-PE-19.05X1.600X0.5950</t>
        </is>
      </c>
      <c r="J1175" t="inlineStr">
        <is>
          <t>TVS</t>
        </is>
      </c>
      <c r="K1175" t="inlineStr">
        <is>
          <t>19.05-0-1.6-ERW 1-PE-0.595</t>
        </is>
      </c>
    </row>
    <row r="1176">
      <c r="A1176" t="inlineStr">
        <is>
          <t>0000941496</t>
        </is>
      </c>
      <c r="B1176" t="inlineStr">
        <is>
          <t>SANDHAR ENGINEERING PVT LTD.(KA) -U</t>
        </is>
      </c>
      <c r="C1176" t="inlineStr">
        <is>
          <t>NOS</t>
        </is>
      </c>
      <c r="D1176" t="n">
        <v>28</v>
      </c>
      <c r="E1176" t="n">
        <v>16.667</v>
      </c>
      <c r="F1176" t="n">
        <v>1940247</v>
      </c>
      <c r="G1176" t="inlineStr">
        <is>
          <t>19.05-0-1.6-ERW 1-PE</t>
        </is>
      </c>
      <c r="H1176" t="n">
        <v>11.48</v>
      </c>
      <c r="I1176" t="inlineStr">
        <is>
          <t>TUB-O-O-AUT-AW-PE-19.05X1.600X0.5950</t>
        </is>
      </c>
      <c r="J1176" t="inlineStr">
        <is>
          <t>TVS</t>
        </is>
      </c>
      <c r="K1176" t="inlineStr">
        <is>
          <t>19.05-0-1.6-ERW 1-PE-0.595</t>
        </is>
      </c>
    </row>
    <row r="1177">
      <c r="A1177" t="inlineStr">
        <is>
          <t>0000949971</t>
        </is>
      </c>
      <c r="B1177" t="inlineStr">
        <is>
          <t>SANDHAR ENGINEERING PVTLTD (KA)UIII</t>
        </is>
      </c>
      <c r="C1177" t="inlineStr">
        <is>
          <t>NOS</t>
        </is>
      </c>
      <c r="D1177" t="n">
        <v>6500</v>
      </c>
      <c r="E1177" t="n">
        <v>5557.754</v>
      </c>
      <c r="F1177" t="n">
        <v>3943203</v>
      </c>
      <c r="G1177" t="inlineStr">
        <is>
          <t>22.23-0-2-ERW 2 MAHS-FC</t>
        </is>
      </c>
      <c r="H1177" t="n">
        <v>5547.75</v>
      </c>
      <c r="I1177" t="inlineStr">
        <is>
          <t>CUT-O-N-AUT-AW-FC-22.23X2.000X0.8550</t>
        </is>
      </c>
      <c r="J1177" t="inlineStr">
        <is>
          <t>TVS</t>
        </is>
      </c>
      <c r="K1177" t="inlineStr">
        <is>
          <t>22.23-0-2-ERW 2 MAHS-FC-0.855</t>
        </is>
      </c>
    </row>
    <row r="1178">
      <c r="A1178" t="inlineStr">
        <is>
          <t>0000949971</t>
        </is>
      </c>
      <c r="B1178" t="inlineStr">
        <is>
          <t>SANDHAR ENGINEERING PVTLTD (KA)UIII</t>
        </is>
      </c>
      <c r="C1178" t="inlineStr">
        <is>
          <t>NOS</t>
        </is>
      </c>
      <c r="D1178" t="n">
        <v>3075</v>
      </c>
      <c r="E1178" t="n">
        <v>2629.245</v>
      </c>
      <c r="F1178" t="n">
        <v>3943203</v>
      </c>
      <c r="G1178" t="inlineStr">
        <is>
          <t>22.23-0-2-ERW 2 MAHS-FC</t>
        </is>
      </c>
      <c r="H1178" t="n">
        <v>2624.513</v>
      </c>
      <c r="I1178" t="inlineStr">
        <is>
          <t>CUT-O-N-AUT-AW-FC-22.23X2.000X0.8550</t>
        </is>
      </c>
      <c r="J1178" t="inlineStr">
        <is>
          <t>TVS</t>
        </is>
      </c>
      <c r="K1178" t="inlineStr">
        <is>
          <t>22.23-0-2-ERW 2 MAHS-FC-0.855</t>
        </is>
      </c>
    </row>
    <row r="1179">
      <c r="A1179" t="inlineStr">
        <is>
          <t>0000949971</t>
        </is>
      </c>
      <c r="B1179" t="inlineStr">
        <is>
          <t>SANDHAR ENGINEERING PVTLTD (KA)UIII</t>
        </is>
      </c>
      <c r="C1179" t="inlineStr">
        <is>
          <t>NOS</t>
        </is>
      </c>
      <c r="D1179" t="n">
        <v>75</v>
      </c>
      <c r="E1179" t="n">
        <v>64.128</v>
      </c>
      <c r="F1179" t="n">
        <v>3943203</v>
      </c>
      <c r="G1179" t="inlineStr">
        <is>
          <t>22.23-0-2-ERW 2 MAHS-FC</t>
        </is>
      </c>
      <c r="H1179" t="n">
        <v>64.01300000000001</v>
      </c>
      <c r="I1179" t="inlineStr">
        <is>
          <t>CUT-O-N-AUT-AW-FC-22.23X2.000X0.8550</t>
        </is>
      </c>
      <c r="J1179" t="inlineStr">
        <is>
          <t>TVS</t>
        </is>
      </c>
      <c r="K1179" t="inlineStr">
        <is>
          <t>22.23-0-2-ERW 2 MAHS-FC-0.855</t>
        </is>
      </c>
    </row>
    <row r="1180">
      <c r="A1180" t="inlineStr">
        <is>
          <t>0000949971</t>
        </is>
      </c>
      <c r="B1180" t="inlineStr">
        <is>
          <t>SANDHAR ENGINEERING PVTLTD (KA)UIII</t>
        </is>
      </c>
      <c r="C1180" t="inlineStr">
        <is>
          <t>NOS</t>
        </is>
      </c>
      <c r="D1180" t="n">
        <v>78</v>
      </c>
      <c r="E1180" t="n">
        <v>66.693</v>
      </c>
      <c r="F1180" t="n">
        <v>3943203</v>
      </c>
      <c r="G1180" t="inlineStr">
        <is>
          <t>22.23-0-2-ERW 2 MAHS-FC</t>
        </is>
      </c>
      <c r="H1180" t="n">
        <v>66.57299999999999</v>
      </c>
      <c r="I1180" t="inlineStr">
        <is>
          <t>CUT-O-N-AUT-AW-FC-22.23X2.000X0.8550</t>
        </is>
      </c>
      <c r="J1180" t="inlineStr">
        <is>
          <t>TVS</t>
        </is>
      </c>
      <c r="K1180" t="inlineStr">
        <is>
          <t>22.23-0-2-ERW 2 MAHS-FC-0.855</t>
        </is>
      </c>
    </row>
    <row r="1181">
      <c r="A1181" t="inlineStr">
        <is>
          <t>0000949971</t>
        </is>
      </c>
      <c r="B1181" t="inlineStr">
        <is>
          <t>SANDHAR ENGINEERING PVTLTD (KA)UIII</t>
        </is>
      </c>
      <c r="C1181" t="inlineStr">
        <is>
          <t>NOS</t>
        </is>
      </c>
      <c r="D1181" t="n">
        <v>2875</v>
      </c>
      <c r="E1181" t="n">
        <v>2458.237</v>
      </c>
      <c r="F1181" t="n">
        <v>3943203</v>
      </c>
      <c r="G1181" t="inlineStr">
        <is>
          <t>22.23-0-2-ERW 2 MAHS-FC</t>
        </is>
      </c>
      <c r="H1181" t="n">
        <v>2453.813</v>
      </c>
      <c r="I1181" t="inlineStr">
        <is>
          <t>CUT-O-N-AUT-AW-FC-22.23X2.000X0.8550</t>
        </is>
      </c>
      <c r="J1181" t="inlineStr">
        <is>
          <t>TVS</t>
        </is>
      </c>
      <c r="K1181" t="inlineStr">
        <is>
          <t>22.23-0-2-ERW 2 MAHS-FC-0.855</t>
        </is>
      </c>
    </row>
    <row r="1182">
      <c r="A1182" t="inlineStr">
        <is>
          <t>0000949971</t>
        </is>
      </c>
      <c r="B1182" t="inlineStr">
        <is>
          <t>SANDHAR ENGINEERING PVTLTD (KA)UIII</t>
        </is>
      </c>
      <c r="C1182" t="inlineStr">
        <is>
          <t>NOS</t>
        </is>
      </c>
      <c r="D1182" t="n">
        <v>466</v>
      </c>
      <c r="E1182" t="n">
        <v>398.448</v>
      </c>
      <c r="F1182" t="n">
        <v>3943203</v>
      </c>
      <c r="G1182" t="inlineStr">
        <is>
          <t>22.23-0-2-ERW 2 MAHS-FC</t>
        </is>
      </c>
      <c r="H1182" t="n">
        <v>397.731</v>
      </c>
      <c r="I1182" t="inlineStr">
        <is>
          <t>CUT-O-N-AUT-AW-FC-22.23X2.000X0.8550</t>
        </is>
      </c>
      <c r="J1182" t="inlineStr">
        <is>
          <t>TVS</t>
        </is>
      </c>
      <c r="K1182" t="inlineStr">
        <is>
          <t>22.23-0-2-ERW 2 MAHS-FC-0.855</t>
        </is>
      </c>
    </row>
    <row r="1183">
      <c r="A1183" t="inlineStr">
        <is>
          <t>0000949971</t>
        </is>
      </c>
      <c r="B1183" t="inlineStr">
        <is>
          <t>SANDHAR ENGINEERING PVTLTD (KA)UIII</t>
        </is>
      </c>
      <c r="C1183" t="inlineStr">
        <is>
          <t>NOS</t>
        </is>
      </c>
      <c r="D1183" t="n">
        <v>6</v>
      </c>
      <c r="E1183" t="n">
        <v>5.13</v>
      </c>
      <c r="F1183" t="n">
        <v>3943203</v>
      </c>
      <c r="G1183" t="inlineStr">
        <is>
          <t>22.23-0-2-ERW 2 MAHS-FC</t>
        </is>
      </c>
      <c r="H1183" t="n">
        <v>5.121</v>
      </c>
      <c r="I1183" t="inlineStr">
        <is>
          <t>CUT-O-N-AUT-AW-FC-22.23X2.000X0.8550</t>
        </is>
      </c>
      <c r="J1183" t="inlineStr">
        <is>
          <t>TVS</t>
        </is>
      </c>
      <c r="K1183" t="inlineStr">
        <is>
          <t>22.23-0-2-ERW 2 MAHS-FC-0.855</t>
        </is>
      </c>
    </row>
    <row r="1184">
      <c r="A1184" t="inlineStr">
        <is>
          <t>0000949971</t>
        </is>
      </c>
      <c r="B1184" t="inlineStr">
        <is>
          <t>SANDHAR ENGINEERING PVTLTD (KA)UIII</t>
        </is>
      </c>
      <c r="C1184" t="inlineStr">
        <is>
          <t>NOS</t>
        </is>
      </c>
      <c r="D1184" t="n">
        <v>2600</v>
      </c>
      <c r="E1184" t="n">
        <v>2223.102</v>
      </c>
      <c r="F1184" t="n">
        <v>3943203</v>
      </c>
      <c r="G1184" t="inlineStr">
        <is>
          <t>22.23-0-2-ERW 2 MAHS-FC</t>
        </is>
      </c>
      <c r="H1184" t="n">
        <v>2219.1</v>
      </c>
      <c r="I1184" t="inlineStr">
        <is>
          <t>CUT-O-N-AUT-AW-FC-22.23X2.000X0.8550</t>
        </is>
      </c>
      <c r="J1184" t="inlineStr">
        <is>
          <t>TVS</t>
        </is>
      </c>
      <c r="K1184" t="inlineStr">
        <is>
          <t>22.23-0-2-ERW 2 MAHS-FC-0.855</t>
        </is>
      </c>
    </row>
    <row r="1185">
      <c r="A1185" t="inlineStr">
        <is>
          <t>0000949971</t>
        </is>
      </c>
      <c r="B1185" t="inlineStr">
        <is>
          <t>SANDHAR ENGINEERING PVTLTD (KA)UIII</t>
        </is>
      </c>
      <c r="C1185" t="inlineStr">
        <is>
          <t>NOS</t>
        </is>
      </c>
      <c r="D1185" t="n">
        <v>48</v>
      </c>
      <c r="E1185" t="n">
        <v>41.042</v>
      </c>
      <c r="F1185" t="n">
        <v>3943203</v>
      </c>
      <c r="G1185" t="inlineStr">
        <is>
          <t>22.23-0-2-ERW 2 MAHS-FC</t>
        </is>
      </c>
      <c r="H1185" t="n">
        <v>40.968</v>
      </c>
      <c r="I1185" t="inlineStr">
        <is>
          <t>CUT-O-N-AUT-AW-FC-22.23X2.000X0.8550</t>
        </is>
      </c>
      <c r="J1185" t="inlineStr">
        <is>
          <t>TVS</t>
        </is>
      </c>
      <c r="K1185" t="inlineStr">
        <is>
          <t>22.23-0-2-ERW 2 MAHS-FC-0.855</t>
        </is>
      </c>
    </row>
    <row r="1186">
      <c r="A1186" t="inlineStr">
        <is>
          <t>0000949971</t>
        </is>
      </c>
      <c r="B1186" t="inlineStr">
        <is>
          <t>SANDHAR ENGINEERING PVTLTD (KA)UIII</t>
        </is>
      </c>
      <c r="C1186" t="inlineStr">
        <is>
          <t>NOS</t>
        </is>
      </c>
      <c r="D1186" t="n">
        <v>272</v>
      </c>
      <c r="E1186" t="n">
        <v>232.571</v>
      </c>
      <c r="F1186" t="n">
        <v>3943203</v>
      </c>
      <c r="G1186" t="inlineStr">
        <is>
          <t>22.23-0-2-ERW 2 MAHS-FC</t>
        </is>
      </c>
      <c r="H1186" t="n">
        <v>232.152</v>
      </c>
      <c r="I1186" t="inlineStr">
        <is>
          <t>CUT-O-N-AUT-AW-FC-22.23X2.000X0.8550</t>
        </is>
      </c>
      <c r="J1186" t="inlineStr">
        <is>
          <t>TVS</t>
        </is>
      </c>
      <c r="K1186" t="inlineStr">
        <is>
          <t>22.23-0-2-ERW 2 MAHS-FC-0.855</t>
        </is>
      </c>
    </row>
    <row r="1187">
      <c r="A1187" t="inlineStr">
        <is>
          <t>0000949971</t>
        </is>
      </c>
      <c r="B1187" t="inlineStr">
        <is>
          <t>SANDHAR ENGINEERING PVTLTD (KA)UIII</t>
        </is>
      </c>
      <c r="C1187" t="inlineStr">
        <is>
          <t>NOS</t>
        </is>
      </c>
      <c r="D1187" t="n">
        <v>5</v>
      </c>
      <c r="E1187" t="n">
        <v>4.275</v>
      </c>
      <c r="F1187" t="n">
        <v>3943203</v>
      </c>
      <c r="G1187" t="inlineStr">
        <is>
          <t>22.23-0-2-ERW 2 MAHS-FC</t>
        </is>
      </c>
      <c r="H1187" t="n">
        <v>4.268</v>
      </c>
      <c r="I1187" t="inlineStr">
        <is>
          <t>CUT-O-N-AUT-AW-FC-22.23X2.000X0.8550</t>
        </is>
      </c>
      <c r="J1187" t="inlineStr">
        <is>
          <t>TVS</t>
        </is>
      </c>
      <c r="K1187" t="inlineStr">
        <is>
          <t>22.23-0-2-ERW 2 MAHS-FC-0.855</t>
        </is>
      </c>
    </row>
    <row r="1188">
      <c r="A1188" t="inlineStr">
        <is>
          <t>0000189002</t>
        </is>
      </c>
      <c r="B1188" t="inlineStr">
        <is>
          <t>Marathwada Auto Compo Pvt. Ltd.</t>
        </is>
      </c>
      <c r="C1188" t="inlineStr">
        <is>
          <t>NOS</t>
        </is>
      </c>
      <c r="D1188" t="n">
        <v>1636</v>
      </c>
      <c r="E1188" t="n">
        <v>841.867</v>
      </c>
      <c r="F1188" t="n">
        <v>3438761</v>
      </c>
      <c r="G1188" t="inlineStr">
        <is>
          <t>40-25-1.6-ERW 1-FC</t>
        </is>
      </c>
      <c r="H1188" t="n">
        <v>1318.616</v>
      </c>
      <c r="I1188" t="inlineStr">
        <is>
          <t>TUB-R-AW-AUT-40.00X25.00X1.600X0.5140</t>
        </is>
      </c>
      <c r="J1188" t="inlineStr">
        <is>
          <t>TVS</t>
        </is>
      </c>
      <c r="K1188" t="inlineStr">
        <is>
          <t>40-25-1.6-ERW 1-FC-0.514</t>
        </is>
      </c>
    </row>
    <row r="1189">
      <c r="A1189" t="inlineStr">
        <is>
          <t>0000189002</t>
        </is>
      </c>
      <c r="B1189" t="inlineStr">
        <is>
          <t>Marathwada Auto Compo Pvt. Ltd.</t>
        </is>
      </c>
      <c r="C1189" t="inlineStr">
        <is>
          <t>NOS</t>
        </is>
      </c>
      <c r="D1189" t="n">
        <v>719</v>
      </c>
      <c r="E1189" t="n">
        <v>369.989</v>
      </c>
      <c r="F1189" t="n">
        <v>3438761</v>
      </c>
      <c r="G1189" t="inlineStr">
        <is>
          <t>40-25-1.6-ERW 1-FC</t>
        </is>
      </c>
      <c r="H1189" t="n">
        <v>579.514</v>
      </c>
      <c r="I1189" t="inlineStr">
        <is>
          <t>TUB-R-AW-AUT-40.00X25.00X1.600X0.5140</t>
        </is>
      </c>
      <c r="J1189" t="inlineStr">
        <is>
          <t>TVS</t>
        </is>
      </c>
      <c r="K1189" t="inlineStr">
        <is>
          <t>40-25-1.6-ERW 1-FC-0.514</t>
        </is>
      </c>
    </row>
    <row r="1190">
      <c r="A1190" t="inlineStr">
        <is>
          <t>0000189002</t>
        </is>
      </c>
      <c r="B1190" t="inlineStr">
        <is>
          <t>Marathwada Auto Compo Pvt. Ltd.</t>
        </is>
      </c>
      <c r="C1190" t="inlineStr">
        <is>
          <t>NOS</t>
        </is>
      </c>
      <c r="D1190" t="n">
        <v>435</v>
      </c>
      <c r="E1190" t="n">
        <v>223.846</v>
      </c>
      <c r="F1190" t="n">
        <v>3438761</v>
      </c>
      <c r="G1190" t="inlineStr">
        <is>
          <t>40-25-1.6-ERW 1-FC</t>
        </is>
      </c>
      <c r="H1190" t="n">
        <v>350.61</v>
      </c>
      <c r="I1190" t="inlineStr">
        <is>
          <t>TUB-R-AW-AUT-40.00X25.00X1.600X0.5140</t>
        </is>
      </c>
      <c r="J1190" t="inlineStr">
        <is>
          <t>TVS</t>
        </is>
      </c>
      <c r="K1190" t="inlineStr">
        <is>
          <t>40-25-1.6-ERW 1-FC-0.514</t>
        </is>
      </c>
    </row>
    <row r="1191">
      <c r="A1191" t="inlineStr">
        <is>
          <t>0000189002</t>
        </is>
      </c>
      <c r="B1191" t="inlineStr">
        <is>
          <t>Marathwada Auto Compo Pvt. Ltd.</t>
        </is>
      </c>
      <c r="C1191" t="inlineStr">
        <is>
          <t>NOS</t>
        </is>
      </c>
      <c r="D1191" t="n">
        <v>290</v>
      </c>
      <c r="E1191" t="n">
        <v>149.231</v>
      </c>
      <c r="F1191" t="n">
        <v>3438761</v>
      </c>
      <c r="G1191" t="inlineStr">
        <is>
          <t>40-25-1.6-ERW 1-FC</t>
        </is>
      </c>
      <c r="H1191" t="n">
        <v>233.74</v>
      </c>
      <c r="I1191" t="inlineStr">
        <is>
          <t>TUB-R-AW-AUT-40.00X25.00X1.600X0.5140</t>
        </is>
      </c>
      <c r="J1191" t="inlineStr">
        <is>
          <t>TVS</t>
        </is>
      </c>
      <c r="K1191" t="inlineStr">
        <is>
          <t>40-25-1.6-ERW 1-FC-0.514</t>
        </is>
      </c>
    </row>
    <row r="1192">
      <c r="A1192" t="inlineStr">
        <is>
          <t>0000189481</t>
        </is>
      </c>
      <c r="B1192" t="inlineStr">
        <is>
          <t>Rajsriya Automotive Industries</t>
        </is>
      </c>
      <c r="C1192" t="inlineStr">
        <is>
          <t>NOS</t>
        </is>
      </c>
      <c r="D1192" t="n">
        <v>3826</v>
      </c>
      <c r="E1192" t="n">
        <v>2965.163</v>
      </c>
      <c r="F1192" t="n">
        <v>3507464</v>
      </c>
      <c r="G1192" t="inlineStr">
        <is>
          <t>19.05-0-2-ERW 1-PE</t>
        </is>
      </c>
      <c r="H1192" t="n">
        <v>2438.352</v>
      </c>
      <c r="I1192" t="inlineStr">
        <is>
          <t>CUT-O-N-AUT-AW-PE-19.05X2.000X0.7750</t>
        </is>
      </c>
      <c r="J1192" t="inlineStr">
        <is>
          <t>TVS</t>
        </is>
      </c>
      <c r="K1192" t="inlineStr">
        <is>
          <t>19.05-0-2-ERW 1-PE-0.775</t>
        </is>
      </c>
    </row>
    <row r="1193">
      <c r="A1193" t="inlineStr">
        <is>
          <t>0000189481</t>
        </is>
      </c>
      <c r="B1193" t="inlineStr">
        <is>
          <t>Rajsriya Automotive Industries</t>
        </is>
      </c>
      <c r="C1193" t="inlineStr">
        <is>
          <t>NOS</t>
        </is>
      </c>
      <c r="D1193" t="n">
        <v>3784</v>
      </c>
      <c r="E1193" t="n">
        <v>2932.613</v>
      </c>
      <c r="F1193" t="n">
        <v>3507464</v>
      </c>
      <c r="G1193" t="inlineStr">
        <is>
          <t>19.05-0-2-ERW 1-PE</t>
        </is>
      </c>
      <c r="H1193" t="n">
        <v>2411.585</v>
      </c>
      <c r="I1193" t="inlineStr">
        <is>
          <t>CUT-O-N-AUT-AW-PE-19.05X2.000X0.7750</t>
        </is>
      </c>
      <c r="J1193" t="inlineStr">
        <is>
          <t>TVS</t>
        </is>
      </c>
      <c r="K1193" t="inlineStr">
        <is>
          <t>19.05-0-2-ERW 1-PE-0.775</t>
        </is>
      </c>
    </row>
    <row r="1194">
      <c r="A1194" t="inlineStr">
        <is>
          <t>0000189481</t>
        </is>
      </c>
      <c r="B1194" t="inlineStr">
        <is>
          <t>Rajsriya Automotive Industries</t>
        </is>
      </c>
      <c r="C1194" t="inlineStr">
        <is>
          <t>NOS</t>
        </is>
      </c>
      <c r="D1194" t="n">
        <v>2394</v>
      </c>
      <c r="E1194" t="n">
        <v>1855.358</v>
      </c>
      <c r="F1194" t="n">
        <v>3507464</v>
      </c>
      <c r="G1194" t="inlineStr">
        <is>
          <t>19.05-0-2-ERW 1-PE</t>
        </is>
      </c>
      <c r="H1194" t="n">
        <v>1525.723</v>
      </c>
      <c r="I1194" t="inlineStr">
        <is>
          <t>CUT-O-N-AUT-AW-PE-19.05X2.000X0.7750</t>
        </is>
      </c>
      <c r="J1194" t="inlineStr">
        <is>
          <t>TVS</t>
        </is>
      </c>
      <c r="K1194" t="inlineStr">
        <is>
          <t>19.05-0-2-ERW 1-PE-0.775</t>
        </is>
      </c>
    </row>
    <row r="1195">
      <c r="A1195" t="inlineStr">
        <is>
          <t>0000189481</t>
        </is>
      </c>
      <c r="B1195" t="inlineStr">
        <is>
          <t>Rajsriya Automotive Industries</t>
        </is>
      </c>
      <c r="C1195" t="inlineStr">
        <is>
          <t>NOS</t>
        </is>
      </c>
      <c r="D1195" t="n">
        <v>1749</v>
      </c>
      <c r="E1195" t="n">
        <v>1355.481</v>
      </c>
      <c r="F1195" t="n">
        <v>3507464</v>
      </c>
      <c r="G1195" t="inlineStr">
        <is>
          <t>19.05-0-2-ERW 1-PE</t>
        </is>
      </c>
      <c r="H1195" t="n">
        <v>1114.657</v>
      </c>
      <c r="I1195" t="inlineStr">
        <is>
          <t>CUT-O-N-AUT-AW-PE-19.05X2.000X0.7750</t>
        </is>
      </c>
      <c r="J1195" t="inlineStr">
        <is>
          <t>TVS</t>
        </is>
      </c>
      <c r="K1195" t="inlineStr">
        <is>
          <t>19.05-0-2-ERW 1-PE-0.775</t>
        </is>
      </c>
    </row>
    <row r="1196">
      <c r="A1196" t="inlineStr">
        <is>
          <t>0000189481</t>
        </is>
      </c>
      <c r="B1196" t="inlineStr">
        <is>
          <t>Rajsriya Automotive Industries</t>
        </is>
      </c>
      <c r="C1196" t="inlineStr">
        <is>
          <t>NOS</t>
        </is>
      </c>
      <c r="D1196" t="n">
        <v>1319</v>
      </c>
      <c r="E1196" t="n">
        <v>1022.229</v>
      </c>
      <c r="F1196" t="n">
        <v>3507464</v>
      </c>
      <c r="G1196" t="inlineStr">
        <is>
          <t>19.05-0-2-ERW 1-PE</t>
        </is>
      </c>
      <c r="H1196" t="n">
        <v>840.6130000000001</v>
      </c>
      <c r="I1196" t="inlineStr">
        <is>
          <t>CUT-O-N-AUT-AW-PE-19.05X2.000X0.7750</t>
        </is>
      </c>
      <c r="J1196" t="inlineStr">
        <is>
          <t>TVS</t>
        </is>
      </c>
      <c r="K1196" t="inlineStr">
        <is>
          <t>19.05-0-2-ERW 1-PE-0.775</t>
        </is>
      </c>
    </row>
    <row r="1197">
      <c r="A1197" t="inlineStr">
        <is>
          <t>0000189481</t>
        </is>
      </c>
      <c r="B1197" t="inlineStr">
        <is>
          <t>Rajsriya Automotive Industries</t>
        </is>
      </c>
      <c r="C1197" t="inlineStr">
        <is>
          <t>NOS</t>
        </is>
      </c>
      <c r="D1197" t="n">
        <v>3</v>
      </c>
      <c r="E1197" t="n">
        <v>2.325</v>
      </c>
      <c r="F1197" t="n">
        <v>3507464</v>
      </c>
      <c r="G1197" t="inlineStr">
        <is>
          <t>19.05-0-2-ERW 1-PE</t>
        </is>
      </c>
      <c r="H1197" t="n">
        <v>1.912</v>
      </c>
      <c r="I1197" t="inlineStr">
        <is>
          <t>CUT-O-N-AUT-AW-PE-19.05X2.000X0.7750</t>
        </is>
      </c>
      <c r="J1197" t="inlineStr">
        <is>
          <t>TVS</t>
        </is>
      </c>
      <c r="K1197" t="inlineStr">
        <is>
          <t>19.05-0-2-ERW 1-PE-0.775</t>
        </is>
      </c>
    </row>
    <row r="1198">
      <c r="A1198" t="inlineStr">
        <is>
          <t>0000188595</t>
        </is>
      </c>
      <c r="B1198" t="inlineStr">
        <is>
          <t>Sri Balaji Gears</t>
        </is>
      </c>
      <c r="C1198" t="inlineStr">
        <is>
          <t>NOS</t>
        </is>
      </c>
      <c r="D1198" t="n">
        <v>1000</v>
      </c>
      <c r="E1198" t="n">
        <v>130.904</v>
      </c>
      <c r="F1198" t="n">
        <v>3584171</v>
      </c>
      <c r="G1198" t="inlineStr">
        <is>
          <t>40-20-1.2-CRFH-PE</t>
        </is>
      </c>
      <c r="H1198" t="n">
        <v>143</v>
      </c>
      <c r="I1198" t="inlineStr">
        <is>
          <t>TUB-R-AW-RHS-40.00X20.00X1.200X0.1300</t>
        </is>
      </c>
      <c r="J1198" t="inlineStr">
        <is>
          <t>TVS</t>
        </is>
      </c>
      <c r="K1198" t="inlineStr">
        <is>
          <t>40-20-1.2-CRFH-PE-0.13</t>
        </is>
      </c>
    </row>
    <row r="1199">
      <c r="A1199" t="inlineStr">
        <is>
          <t>0000188595</t>
        </is>
      </c>
      <c r="B1199" t="inlineStr">
        <is>
          <t>Sri Balaji Gears</t>
        </is>
      </c>
      <c r="C1199" t="inlineStr">
        <is>
          <t>NOS</t>
        </is>
      </c>
      <c r="D1199" t="n">
        <v>577</v>
      </c>
      <c r="E1199" t="n">
        <v>80.947</v>
      </c>
      <c r="F1199" t="n">
        <v>1940850</v>
      </c>
      <c r="G1199" t="inlineStr">
        <is>
          <t>40-40-1.2-CRFH-PE</t>
        </is>
      </c>
      <c r="H1199" t="n">
        <v>118.862</v>
      </c>
      <c r="I1199" t="inlineStr">
        <is>
          <t>TUB-S-AW-SHS-40.00X40.00X1.200X0.1400</t>
        </is>
      </c>
      <c r="J1199" t="inlineStr">
        <is>
          <t>TVS</t>
        </is>
      </c>
      <c r="K1199" t="inlineStr">
        <is>
          <t>40-40-1.2-CRFH-PE-0.14</t>
        </is>
      </c>
    </row>
    <row r="1200">
      <c r="A1200" t="inlineStr">
        <is>
          <t>0000188595</t>
        </is>
      </c>
      <c r="B1200" t="inlineStr">
        <is>
          <t>Sri Balaji Gears</t>
        </is>
      </c>
      <c r="C1200" t="inlineStr">
        <is>
          <t>NOS</t>
        </is>
      </c>
      <c r="D1200" t="n">
        <v>310</v>
      </c>
      <c r="E1200" t="n">
        <v>43.49</v>
      </c>
      <c r="F1200" t="n">
        <v>1940850</v>
      </c>
      <c r="G1200" t="inlineStr">
        <is>
          <t>40-40-1.2-CRFH-PE</t>
        </is>
      </c>
      <c r="H1200" t="n">
        <v>63.86</v>
      </c>
      <c r="I1200" t="inlineStr">
        <is>
          <t>TUB-S-AW-SHS-40.00X40.00X1.200X0.1400</t>
        </is>
      </c>
      <c r="J1200" t="inlineStr">
        <is>
          <t>TVS</t>
        </is>
      </c>
      <c r="K1200" t="inlineStr">
        <is>
          <t>40-40-1.2-CRFH-PE-0.14</t>
        </is>
      </c>
    </row>
    <row r="1201">
      <c r="A1201" t="inlineStr">
        <is>
          <t>0000188595</t>
        </is>
      </c>
      <c r="B1201" t="inlineStr">
        <is>
          <t>Sri Balaji Gears</t>
        </is>
      </c>
      <c r="C1201" t="inlineStr">
        <is>
          <t>NOS</t>
        </is>
      </c>
      <c r="D1201" t="n">
        <v>113</v>
      </c>
      <c r="E1201" t="n">
        <v>15.853</v>
      </c>
      <c r="F1201" t="n">
        <v>1940850</v>
      </c>
      <c r="G1201" t="inlineStr">
        <is>
          <t>40-40-1.2-CRFH-PE</t>
        </is>
      </c>
      <c r="H1201" t="n">
        <v>23.278</v>
      </c>
      <c r="I1201" t="inlineStr">
        <is>
          <t>TUB-S-AW-SHS-40.00X40.00X1.200X0.1400</t>
        </is>
      </c>
      <c r="J1201" t="inlineStr">
        <is>
          <t>TVS</t>
        </is>
      </c>
      <c r="K1201" t="inlineStr">
        <is>
          <t>40-40-1.2-CRFH-PE-0.14</t>
        </is>
      </c>
    </row>
    <row r="1202">
      <c r="A1202" t="inlineStr">
        <is>
          <t>0000188595</t>
        </is>
      </c>
      <c r="B1202" t="inlineStr">
        <is>
          <t>Sri Balaji Gears</t>
        </is>
      </c>
      <c r="C1202" t="inlineStr">
        <is>
          <t>NOS</t>
        </is>
      </c>
      <c r="D1202" t="n">
        <v>1000</v>
      </c>
      <c r="E1202" t="n">
        <v>125.306</v>
      </c>
      <c r="F1202" t="n">
        <v>1940849</v>
      </c>
      <c r="G1202" t="inlineStr">
        <is>
          <t>40-40-1.2-CRFH-PE</t>
        </is>
      </c>
      <c r="H1202" t="n">
        <v>184</v>
      </c>
      <c r="I1202" t="inlineStr">
        <is>
          <t>TUB-S-AW-SHS-40.00X40.00X1.200X0.1250</t>
        </is>
      </c>
      <c r="J1202" t="inlineStr">
        <is>
          <t>TVS</t>
        </is>
      </c>
      <c r="K1202" t="inlineStr">
        <is>
          <t>40-40-1.2-CRFH-PE-0.125</t>
        </is>
      </c>
    </row>
    <row r="1203">
      <c r="A1203" t="inlineStr">
        <is>
          <t>0000941496</t>
        </is>
      </c>
      <c r="B1203" t="inlineStr">
        <is>
          <t>SANDHAR ENGINEERING PVT LTD.(KA) -U</t>
        </is>
      </c>
      <c r="C1203" t="inlineStr">
        <is>
          <t>NOS</t>
        </is>
      </c>
      <c r="D1203" t="n">
        <v>716</v>
      </c>
      <c r="E1203" t="n">
        <v>425.745</v>
      </c>
      <c r="F1203" t="n">
        <v>1940614</v>
      </c>
      <c r="G1203" t="inlineStr">
        <is>
          <t>28.58-0-1.2-ERW 1-PE</t>
        </is>
      </c>
      <c r="H1203" t="n">
        <v>325.78</v>
      </c>
      <c r="I1203" t="inlineStr">
        <is>
          <t>TUB-O-O-AUT-AW-PE-28.58X1.200X0.5950</t>
        </is>
      </c>
      <c r="J1203" t="inlineStr">
        <is>
          <t>TVS</t>
        </is>
      </c>
      <c r="K1203" t="inlineStr">
        <is>
          <t>28.58-0-1.2-ERW 1-PE-0.595</t>
        </is>
      </c>
    </row>
    <row r="1204">
      <c r="A1204" t="inlineStr">
        <is>
          <t>0000941496</t>
        </is>
      </c>
      <c r="B1204" t="inlineStr">
        <is>
          <t>SANDHAR ENGINEERING PVT LTD.(KA) -U</t>
        </is>
      </c>
      <c r="C1204" t="inlineStr">
        <is>
          <t>NOS</t>
        </is>
      </c>
      <c r="D1204" t="n">
        <v>1670</v>
      </c>
      <c r="E1204" t="n">
        <v>993.008</v>
      </c>
      <c r="F1204" t="n">
        <v>1940614</v>
      </c>
      <c r="G1204" t="inlineStr">
        <is>
          <t>28.58-0-1.2-ERW 1-PE</t>
        </is>
      </c>
      <c r="H1204" t="n">
        <v>759.85</v>
      </c>
      <c r="I1204" t="inlineStr">
        <is>
          <t>TUB-O-O-AUT-AW-PE-28.58X1.200X0.5950</t>
        </is>
      </c>
      <c r="J1204" t="inlineStr">
        <is>
          <t>TVS</t>
        </is>
      </c>
      <c r="K1204" t="inlineStr">
        <is>
          <t>28.58-0-1.2-ERW 1-PE-0.595</t>
        </is>
      </c>
    </row>
    <row r="1205">
      <c r="A1205" t="inlineStr">
        <is>
          <t>0000941496</t>
        </is>
      </c>
      <c r="B1205" t="inlineStr">
        <is>
          <t>SANDHAR ENGINEERING PVT LTD.(KA) -U</t>
        </is>
      </c>
      <c r="C1205" t="inlineStr">
        <is>
          <t>NOS</t>
        </is>
      </c>
      <c r="D1205" t="n">
        <v>1483</v>
      </c>
      <c r="E1205" t="n">
        <v>881.8150000000001</v>
      </c>
      <c r="F1205" t="n">
        <v>1940614</v>
      </c>
      <c r="G1205" t="inlineStr">
        <is>
          <t>28.58-0-1.2-ERW 1-PE</t>
        </is>
      </c>
      <c r="H1205" t="n">
        <v>674.765</v>
      </c>
      <c r="I1205" t="inlineStr">
        <is>
          <t>TUB-O-O-AUT-AW-PE-28.58X1.200X0.5950</t>
        </is>
      </c>
      <c r="J1205" t="inlineStr">
        <is>
          <t>TVS</t>
        </is>
      </c>
      <c r="K1205" t="inlineStr">
        <is>
          <t>28.58-0-1.2-ERW 1-PE-0.595</t>
        </is>
      </c>
    </row>
    <row r="1206">
      <c r="A1206" t="inlineStr">
        <is>
          <t>0000941496</t>
        </is>
      </c>
      <c r="B1206" t="inlineStr">
        <is>
          <t>SANDHAR ENGINEERING PVT LTD.(KA) -U</t>
        </is>
      </c>
      <c r="C1206" t="inlineStr">
        <is>
          <t>NOS</t>
        </is>
      </c>
      <c r="D1206" t="n">
        <v>706</v>
      </c>
      <c r="E1206" t="n">
        <v>419.799</v>
      </c>
      <c r="F1206" t="n">
        <v>1940614</v>
      </c>
      <c r="G1206" t="inlineStr">
        <is>
          <t>28.58-0-1.2-ERW 1-PE</t>
        </is>
      </c>
      <c r="H1206" t="n">
        <v>321.23</v>
      </c>
      <c r="I1206" t="inlineStr">
        <is>
          <t>TUB-O-O-AUT-AW-PE-28.58X1.200X0.5950</t>
        </is>
      </c>
      <c r="J1206" t="inlineStr">
        <is>
          <t>TVS</t>
        </is>
      </c>
      <c r="K1206" t="inlineStr">
        <is>
          <t>28.58-0-1.2-ERW 1-PE-0.595</t>
        </is>
      </c>
    </row>
    <row r="1207">
      <c r="A1207" t="inlineStr">
        <is>
          <t>0000941496</t>
        </is>
      </c>
      <c r="B1207" t="inlineStr">
        <is>
          <t>SANDHAR ENGINEERING PVT LTD.(KA) -U</t>
        </is>
      </c>
      <c r="C1207" t="inlineStr">
        <is>
          <t>NOS</t>
        </is>
      </c>
      <c r="D1207" t="n">
        <v>975</v>
      </c>
      <c r="E1207" t="n">
        <v>579.75</v>
      </c>
      <c r="F1207" t="n">
        <v>1940614</v>
      </c>
      <c r="G1207" t="inlineStr">
        <is>
          <t>28.58-0-1.2-ERW 1-PE</t>
        </is>
      </c>
      <c r="H1207" t="n">
        <v>443.625</v>
      </c>
      <c r="I1207" t="inlineStr">
        <is>
          <t>TUB-O-O-AUT-AW-PE-28.58X1.200X0.5950</t>
        </is>
      </c>
      <c r="J1207" t="inlineStr">
        <is>
          <t>TVS</t>
        </is>
      </c>
      <c r="K1207" t="inlineStr">
        <is>
          <t>28.58-0-1.2-ERW 1-PE-0.595</t>
        </is>
      </c>
    </row>
    <row r="1208">
      <c r="A1208" t="inlineStr">
        <is>
          <t>0000949970</t>
        </is>
      </c>
      <c r="B1208" t="inlineStr">
        <is>
          <t>SANDHAR ENGINEERING PVTLTD(KA)U-III</t>
        </is>
      </c>
      <c r="C1208" t="inlineStr">
        <is>
          <t>NOS</t>
        </is>
      </c>
      <c r="D1208" t="n">
        <v>1314</v>
      </c>
      <c r="E1208" t="n">
        <v>1227.992</v>
      </c>
      <c r="F1208" t="n">
        <v>1940416</v>
      </c>
      <c r="G1208" t="inlineStr">
        <is>
          <t>22.23-0-1.6-ERW 2 MAHS-PE</t>
        </is>
      </c>
      <c r="H1208" t="n">
        <v>999.954</v>
      </c>
      <c r="I1208" t="inlineStr">
        <is>
          <t>TUB-O-O-AUT-AW-PE-22.23X1.60X0.935-MAHS</t>
        </is>
      </c>
      <c r="J1208" t="inlineStr">
        <is>
          <t>TVS</t>
        </is>
      </c>
      <c r="K1208" t="inlineStr">
        <is>
          <t>22.23-0-1.6-ERW 2 MAHS-PE-0.935</t>
        </is>
      </c>
    </row>
    <row r="1209">
      <c r="A1209" t="inlineStr">
        <is>
          <t>0000949970</t>
        </is>
      </c>
      <c r="B1209" t="inlineStr">
        <is>
          <t>SANDHAR ENGINEERING PVTLTD(KA)U-III</t>
        </is>
      </c>
      <c r="C1209" t="inlineStr">
        <is>
          <t>NOS</t>
        </is>
      </c>
      <c r="D1209" t="n">
        <v>1101</v>
      </c>
      <c r="E1209" t="n">
        <v>1028.934</v>
      </c>
      <c r="F1209" t="n">
        <v>1940416</v>
      </c>
      <c r="G1209" t="inlineStr">
        <is>
          <t>22.23-0-1.6-ERW 2 MAHS-PE</t>
        </is>
      </c>
      <c r="H1209" t="n">
        <v>837.861</v>
      </c>
      <c r="I1209" t="inlineStr">
        <is>
          <t>TUB-O-O-AUT-AW-PE-22.23X1.60X0.935-MAHS</t>
        </is>
      </c>
      <c r="J1209" t="inlineStr">
        <is>
          <t>TVS</t>
        </is>
      </c>
      <c r="K1209" t="inlineStr">
        <is>
          <t>22.23-0-1.6-ERW 2 MAHS-PE-0.935</t>
        </is>
      </c>
    </row>
    <row r="1210">
      <c r="A1210" t="inlineStr">
        <is>
          <t>0000949970</t>
        </is>
      </c>
      <c r="B1210" t="inlineStr">
        <is>
          <t>SANDHAR ENGINEERING PVTLTD(KA)U-III</t>
        </is>
      </c>
      <c r="C1210" t="inlineStr">
        <is>
          <t>NOS</t>
        </is>
      </c>
      <c r="D1210" t="n">
        <v>131</v>
      </c>
      <c r="E1210" t="n">
        <v>122.425</v>
      </c>
      <c r="F1210" t="n">
        <v>1940416</v>
      </c>
      <c r="G1210" t="inlineStr">
        <is>
          <t>22.23-0-1.6-ERW 2 MAHS-PE</t>
        </is>
      </c>
      <c r="H1210" t="n">
        <v>99.691</v>
      </c>
      <c r="I1210" t="inlineStr">
        <is>
          <t>TUB-O-O-AUT-AW-PE-22.23X1.60X0.935-MAHS</t>
        </is>
      </c>
      <c r="J1210" t="inlineStr">
        <is>
          <t>TVS</t>
        </is>
      </c>
      <c r="K1210" t="inlineStr">
        <is>
          <t>22.23-0-1.6-ERW 2 MAHS-PE-0.935</t>
        </is>
      </c>
    </row>
    <row r="1211">
      <c r="A1211" t="inlineStr">
        <is>
          <t>0000949970</t>
        </is>
      </c>
      <c r="B1211" t="inlineStr">
        <is>
          <t>SANDHAR ENGINEERING PVTLTD(KA)U-III</t>
        </is>
      </c>
      <c r="C1211" t="inlineStr">
        <is>
          <t>NOS</t>
        </is>
      </c>
      <c r="D1211" t="n">
        <v>179</v>
      </c>
      <c r="E1211" t="n">
        <v>167.284</v>
      </c>
      <c r="F1211" t="n">
        <v>1940416</v>
      </c>
      <c r="G1211" t="inlineStr">
        <is>
          <t>22.23-0-1.6-ERW 2 MAHS-PE</t>
        </is>
      </c>
      <c r="H1211" t="n">
        <v>136.219</v>
      </c>
      <c r="I1211" t="inlineStr">
        <is>
          <t>TUB-O-O-AUT-AW-PE-22.23X1.60X0.935-MAHS</t>
        </is>
      </c>
      <c r="J1211" t="inlineStr">
        <is>
          <t>TVS</t>
        </is>
      </c>
      <c r="K1211" t="inlineStr">
        <is>
          <t>22.23-0-1.6-ERW 2 MAHS-PE-0.935</t>
        </is>
      </c>
    </row>
    <row r="1212">
      <c r="A1212" t="inlineStr">
        <is>
          <t>0000949971</t>
        </is>
      </c>
      <c r="B1212" t="inlineStr">
        <is>
          <t>SANDHAR ENGINEERING PVTLTD (KA)UIII</t>
        </is>
      </c>
      <c r="C1212" t="inlineStr">
        <is>
          <t>NOS</t>
        </is>
      </c>
      <c r="D1212" t="n">
        <v>2375</v>
      </c>
      <c r="E1212" t="n">
        <v>2208.196</v>
      </c>
      <c r="F1212" t="n">
        <v>1940479</v>
      </c>
      <c r="G1212" t="inlineStr">
        <is>
          <t>22.23-0-2-ERW 2 MAHS-PE</t>
        </is>
      </c>
      <c r="H1212" t="n">
        <v>2204</v>
      </c>
      <c r="I1212" t="inlineStr">
        <is>
          <t>TUB-O-O-AUT-AW-PE-22.23X2.00X0.930-MAHS</t>
        </is>
      </c>
      <c r="J1212" t="inlineStr">
        <is>
          <t>TVS</t>
        </is>
      </c>
      <c r="K1212" t="inlineStr">
        <is>
          <t>22.23-0-2-ERW 2 MAHS-PE-0.93</t>
        </is>
      </c>
    </row>
    <row r="1213">
      <c r="A1213" t="inlineStr">
        <is>
          <t>0000949971</t>
        </is>
      </c>
      <c r="B1213" t="inlineStr">
        <is>
          <t>SANDHAR ENGINEERING PVTLTD (KA)UIII</t>
        </is>
      </c>
      <c r="C1213" t="inlineStr">
        <is>
          <t>NOS</t>
        </is>
      </c>
      <c r="D1213" t="n">
        <v>2851</v>
      </c>
      <c r="E1213" t="n">
        <v>2650.764</v>
      </c>
      <c r="F1213" t="n">
        <v>1940479</v>
      </c>
      <c r="G1213" t="inlineStr">
        <is>
          <t>22.23-0-2-ERW 2 MAHS-PE</t>
        </is>
      </c>
      <c r="H1213" t="n">
        <v>2645.728</v>
      </c>
      <c r="I1213" t="inlineStr">
        <is>
          <t>TUB-O-O-AUT-AW-PE-22.23X2.00X0.930-MAHS</t>
        </is>
      </c>
      <c r="J1213" t="inlineStr">
        <is>
          <t>TVS</t>
        </is>
      </c>
      <c r="K1213" t="inlineStr">
        <is>
          <t>22.23-0-2-ERW 2 MAHS-PE-0.93</t>
        </is>
      </c>
    </row>
    <row r="1214">
      <c r="A1214" t="inlineStr">
        <is>
          <t>0000949971</t>
        </is>
      </c>
      <c r="B1214" t="inlineStr">
        <is>
          <t>SANDHAR ENGINEERING PVTLTD (KA)UIII</t>
        </is>
      </c>
      <c r="C1214" t="inlineStr">
        <is>
          <t>NOS</t>
        </is>
      </c>
      <c r="D1214" t="n">
        <v>2425</v>
      </c>
      <c r="E1214" t="n">
        <v>2254.684</v>
      </c>
      <c r="F1214" t="n">
        <v>1940479</v>
      </c>
      <c r="G1214" t="inlineStr">
        <is>
          <t>22.23-0-2-ERW 2 MAHS-PE</t>
        </is>
      </c>
      <c r="H1214" t="n">
        <v>2250.4</v>
      </c>
      <c r="I1214" t="inlineStr">
        <is>
          <t>TUB-O-O-AUT-AW-PE-22.23X2.00X0.930-MAHS</t>
        </is>
      </c>
      <c r="J1214" t="inlineStr">
        <is>
          <t>TVS</t>
        </is>
      </c>
      <c r="K1214" t="inlineStr">
        <is>
          <t>22.23-0-2-ERW 2 MAHS-PE-0.93</t>
        </is>
      </c>
    </row>
    <row r="1215">
      <c r="A1215" t="inlineStr">
        <is>
          <t>0000949971</t>
        </is>
      </c>
      <c r="B1215" t="inlineStr">
        <is>
          <t>SANDHAR ENGINEERING PVTLTD (KA)UIII</t>
        </is>
      </c>
      <c r="C1215" t="inlineStr">
        <is>
          <t>NOS</t>
        </is>
      </c>
      <c r="D1215" t="n">
        <v>574</v>
      </c>
      <c r="E1215" t="n">
        <v>533.686</v>
      </c>
      <c r="F1215" t="n">
        <v>1940479</v>
      </c>
      <c r="G1215" t="inlineStr">
        <is>
          <t>22.23-0-2-ERW 2 MAHS-PE</t>
        </is>
      </c>
      <c r="H1215" t="n">
        <v>532.672</v>
      </c>
      <c r="I1215" t="inlineStr">
        <is>
          <t>TUB-O-O-AUT-AW-PE-22.23X2.00X0.930-MAHS</t>
        </is>
      </c>
      <c r="J1215" t="inlineStr">
        <is>
          <t>TVS</t>
        </is>
      </c>
      <c r="K1215" t="inlineStr">
        <is>
          <t>22.23-0-2-ERW 2 MAHS-PE-0.93</t>
        </is>
      </c>
    </row>
    <row r="1216">
      <c r="A1216" t="inlineStr">
        <is>
          <t>0000949971</t>
        </is>
      </c>
      <c r="B1216" t="inlineStr">
        <is>
          <t>SANDHAR ENGINEERING PVTLTD (KA)UIII</t>
        </is>
      </c>
      <c r="C1216" t="inlineStr">
        <is>
          <t>NOS</t>
        </is>
      </c>
      <c r="D1216" t="n">
        <v>240</v>
      </c>
      <c r="E1216" t="n">
        <v>223.144</v>
      </c>
      <c r="F1216" t="n">
        <v>1940479</v>
      </c>
      <c r="G1216" t="inlineStr">
        <is>
          <t>22.23-0-2-ERW 2 MAHS-PE</t>
        </is>
      </c>
      <c r="H1216" t="n">
        <v>222.72</v>
      </c>
      <c r="I1216" t="inlineStr">
        <is>
          <t>TUB-O-O-AUT-AW-PE-22.23X2.00X0.930-MAHS</t>
        </is>
      </c>
      <c r="J1216" t="inlineStr">
        <is>
          <t>TVS</t>
        </is>
      </c>
      <c r="K1216" t="inlineStr">
        <is>
          <t>22.23-0-2-ERW 2 MAHS-PE-0.93</t>
        </is>
      </c>
    </row>
    <row r="1217">
      <c r="A1217" t="inlineStr">
        <is>
          <t>0000949971</t>
        </is>
      </c>
      <c r="B1217" t="inlineStr">
        <is>
          <t>SANDHAR ENGINEERING PVTLTD (KA)UIII</t>
        </is>
      </c>
      <c r="C1217" t="inlineStr">
        <is>
          <t>NOS</t>
        </is>
      </c>
      <c r="D1217" t="n">
        <v>1975</v>
      </c>
      <c r="E1217" t="n">
        <v>1836.289</v>
      </c>
      <c r="F1217" t="n">
        <v>1940479</v>
      </c>
      <c r="G1217" t="inlineStr">
        <is>
          <t>22.23-0-2-ERW 2 MAHS-PE</t>
        </is>
      </c>
      <c r="H1217" t="n">
        <v>1832.8</v>
      </c>
      <c r="I1217" t="inlineStr">
        <is>
          <t>TUB-O-O-AUT-AW-PE-22.23X2.00X0.930-MAHS</t>
        </is>
      </c>
      <c r="J1217" t="inlineStr">
        <is>
          <t>TVS</t>
        </is>
      </c>
      <c r="K1217" t="inlineStr">
        <is>
          <t>22.23-0-2-ERW 2 MAHS-PE-0.93</t>
        </is>
      </c>
    </row>
    <row r="1218">
      <c r="A1218" t="inlineStr">
        <is>
          <t>0000949971</t>
        </is>
      </c>
      <c r="B1218" t="inlineStr">
        <is>
          <t>SANDHAR ENGINEERING PVTLTD (KA)UIII</t>
        </is>
      </c>
      <c r="C1218" t="inlineStr">
        <is>
          <t>NOS</t>
        </is>
      </c>
      <c r="D1218" t="n">
        <v>801</v>
      </c>
      <c r="E1218" t="n">
        <v>744.7430000000001</v>
      </c>
      <c r="F1218" t="n">
        <v>1940479</v>
      </c>
      <c r="G1218" t="inlineStr">
        <is>
          <t>22.23-0-2-ERW 2 MAHS-PE</t>
        </is>
      </c>
      <c r="H1218" t="n">
        <v>743.328</v>
      </c>
      <c r="I1218" t="inlineStr">
        <is>
          <t>TUB-O-O-AUT-AW-PE-22.23X2.00X0.930-MAHS</t>
        </is>
      </c>
      <c r="J1218" t="inlineStr">
        <is>
          <t>TVS</t>
        </is>
      </c>
      <c r="K1218" t="inlineStr">
        <is>
          <t>22.23-0-2-ERW 2 MAHS-PE-0.93</t>
        </is>
      </c>
    </row>
    <row r="1219">
      <c r="A1219" t="inlineStr">
        <is>
          <t>0000949971</t>
        </is>
      </c>
      <c r="B1219" t="inlineStr">
        <is>
          <t>SANDHAR ENGINEERING PVTLTD (KA)UIII</t>
        </is>
      </c>
      <c r="C1219" t="inlineStr">
        <is>
          <t>NOS</t>
        </is>
      </c>
      <c r="D1219" t="n">
        <v>669</v>
      </c>
      <c r="E1219" t="n">
        <v>622.014</v>
      </c>
      <c r="F1219" t="n">
        <v>1940479</v>
      </c>
      <c r="G1219" t="inlineStr">
        <is>
          <t>22.23-0-2-ERW 2 MAHS-PE</t>
        </is>
      </c>
      <c r="H1219" t="n">
        <v>620.832</v>
      </c>
      <c r="I1219" t="inlineStr">
        <is>
          <t>TUB-O-O-AUT-AW-PE-22.23X2.00X0.930-MAHS</t>
        </is>
      </c>
      <c r="J1219" t="inlineStr">
        <is>
          <t>TVS</t>
        </is>
      </c>
      <c r="K1219" t="inlineStr">
        <is>
          <t>22.23-0-2-ERW 2 MAHS-PE-0.93</t>
        </is>
      </c>
    </row>
    <row r="1220">
      <c r="A1220" t="inlineStr">
        <is>
          <t>0000949971</t>
        </is>
      </c>
      <c r="B1220" t="inlineStr">
        <is>
          <t>SANDHAR ENGINEERING PVTLTD (KA)UIII</t>
        </is>
      </c>
      <c r="C1220" t="inlineStr">
        <is>
          <t>NOS</t>
        </is>
      </c>
      <c r="D1220" t="n">
        <v>15</v>
      </c>
      <c r="E1220" t="n">
        <v>13.946</v>
      </c>
      <c r="F1220" t="n">
        <v>1940479</v>
      </c>
      <c r="G1220" t="inlineStr">
        <is>
          <t>22.23-0-2-ERW 2 MAHS-PE</t>
        </is>
      </c>
      <c r="H1220" t="n">
        <v>13.92</v>
      </c>
      <c r="I1220" t="inlineStr">
        <is>
          <t>TUB-O-O-AUT-AW-PE-22.23X2.00X0.930-MAHS</t>
        </is>
      </c>
      <c r="J1220" t="inlineStr">
        <is>
          <t>TVS</t>
        </is>
      </c>
      <c r="K1220" t="inlineStr">
        <is>
          <t>22.23-0-2-ERW 2 MAHS-PE-0.93</t>
        </is>
      </c>
    </row>
    <row r="1221">
      <c r="A1221" t="inlineStr">
        <is>
          <t>0000949971</t>
        </is>
      </c>
      <c r="B1221" t="inlineStr">
        <is>
          <t>SANDHAR ENGINEERING PVTLTD (KA)UIII</t>
        </is>
      </c>
      <c r="C1221" t="inlineStr">
        <is>
          <t>NOS</t>
        </is>
      </c>
      <c r="D1221" t="n">
        <v>2851</v>
      </c>
      <c r="E1221" t="n">
        <v>2650.764</v>
      </c>
      <c r="F1221" t="n">
        <v>1940479</v>
      </c>
      <c r="G1221" t="inlineStr">
        <is>
          <t>22.23-0-2-ERW 2 MAHS-PE</t>
        </is>
      </c>
      <c r="H1221" t="n">
        <v>2645.728</v>
      </c>
      <c r="I1221" t="inlineStr">
        <is>
          <t>TUB-O-O-AUT-AW-PE-22.23X2.00X0.930-MAHS</t>
        </is>
      </c>
      <c r="J1221" t="inlineStr">
        <is>
          <t>TVS</t>
        </is>
      </c>
      <c r="K1221" t="inlineStr">
        <is>
          <t>22.23-0-2-ERW 2 MAHS-PE-0.93</t>
        </is>
      </c>
    </row>
    <row r="1222">
      <c r="A1222" t="inlineStr">
        <is>
          <t>0000949971</t>
        </is>
      </c>
      <c r="B1222" t="inlineStr">
        <is>
          <t>SANDHAR ENGINEERING PVTLTD (KA)UIII</t>
        </is>
      </c>
      <c r="C1222" t="inlineStr">
        <is>
          <t>NOS</t>
        </is>
      </c>
      <c r="D1222" t="n">
        <v>2024</v>
      </c>
      <c r="E1222" t="n">
        <v>1881.848</v>
      </c>
      <c r="F1222" t="n">
        <v>1940479</v>
      </c>
      <c r="G1222" t="inlineStr">
        <is>
          <t>22.23-0-2-ERW 2 MAHS-PE</t>
        </is>
      </c>
      <c r="H1222" t="n">
        <v>1878.272</v>
      </c>
      <c r="I1222" t="inlineStr">
        <is>
          <t>TUB-O-O-AUT-AW-PE-22.23X2.00X0.930-MAHS</t>
        </is>
      </c>
      <c r="J1222" t="inlineStr">
        <is>
          <t>TVS</t>
        </is>
      </c>
      <c r="K1222" t="inlineStr">
        <is>
          <t>22.23-0-2-ERW 2 MAHS-PE-0.93</t>
        </is>
      </c>
    </row>
    <row r="1223">
      <c r="A1223" t="inlineStr">
        <is>
          <t>0000952904</t>
        </is>
      </c>
      <c r="B1223" t="inlineStr">
        <is>
          <t>ELKAYEM AUTO ANCILLARIES PRIVATE LI</t>
        </is>
      </c>
      <c r="C1223" t="inlineStr">
        <is>
          <t>NOS</t>
        </is>
      </c>
      <c r="D1223" t="n">
        <v>650</v>
      </c>
      <c r="E1223" t="n">
        <v>165.751</v>
      </c>
      <c r="F1223" t="n">
        <v>2427712</v>
      </c>
      <c r="G1223" t="inlineStr">
        <is>
          <t>19.05-0-2.3-ERW 1-PE</t>
        </is>
      </c>
      <c r="H1223" t="n">
        <v>151.529</v>
      </c>
      <c r="I1223" t="inlineStr">
        <is>
          <t>TUB-O-N-AUT-AW-PE-19.05X2.300X0.2550</t>
        </is>
      </c>
      <c r="J1223" t="inlineStr">
        <is>
          <t>TVS</t>
        </is>
      </c>
      <c r="K1223" t="inlineStr">
        <is>
          <t>19.05-0-2.3-ERW 1-PE-0.255</t>
        </is>
      </c>
    </row>
    <row r="1224">
      <c r="A1224" t="inlineStr">
        <is>
          <t>0000944141</t>
        </is>
      </c>
      <c r="B1224" t="inlineStr">
        <is>
          <t>SRIKAM HITECH ENGINEERING PRIVATE L</t>
        </is>
      </c>
      <c r="C1224" t="inlineStr">
        <is>
          <t>NOS</t>
        </is>
      </c>
      <c r="D1224" t="n">
        <v>5396</v>
      </c>
      <c r="E1224" t="n">
        <v>1430.758</v>
      </c>
      <c r="F1224" t="n">
        <v>1940309</v>
      </c>
      <c r="G1224" t="inlineStr">
        <is>
          <t>19.05-0-2.3-ERW 1-PE</t>
        </is>
      </c>
      <c r="H1224" t="n">
        <v>1359.792</v>
      </c>
      <c r="I1224" t="inlineStr">
        <is>
          <t>TUB-O-O-AUT-AW-PE-19.05X2.300X0.2650</t>
        </is>
      </c>
      <c r="J1224" t="inlineStr">
        <is>
          <t>TVS</t>
        </is>
      </c>
      <c r="K1224" t="inlineStr">
        <is>
          <t>19.05-0-2.3-ERW 1-PE-0.265</t>
        </is>
      </c>
    </row>
    <row r="1225">
      <c r="A1225" t="inlineStr">
        <is>
          <t>0000944141</t>
        </is>
      </c>
      <c r="B1225" t="inlineStr">
        <is>
          <t>SRIKAM HITECH ENGINEERING PRIVATE L</t>
        </is>
      </c>
      <c r="C1225" t="inlineStr">
        <is>
          <t>NOS</t>
        </is>
      </c>
      <c r="D1225" t="n">
        <v>3599</v>
      </c>
      <c r="E1225" t="n">
        <v>954.28</v>
      </c>
      <c r="F1225" t="n">
        <v>1940309</v>
      </c>
      <c r="G1225" t="inlineStr">
        <is>
          <t>19.05-0-2.3-ERW 1-PE</t>
        </is>
      </c>
      <c r="H1225" t="n">
        <v>906.948</v>
      </c>
      <c r="I1225" t="inlineStr">
        <is>
          <t>TUB-O-O-AUT-AW-PE-19.05X2.300X0.2650</t>
        </is>
      </c>
      <c r="J1225" t="inlineStr">
        <is>
          <t>TVS</t>
        </is>
      </c>
      <c r="K1225" t="inlineStr">
        <is>
          <t>19.05-0-2.3-ERW 1-PE-0.265</t>
        </is>
      </c>
    </row>
    <row r="1226">
      <c r="A1226" t="inlineStr">
        <is>
          <t>0000944141</t>
        </is>
      </c>
      <c r="B1226" t="inlineStr">
        <is>
          <t>SRIKAM HITECH ENGINEERING PRIVATE L</t>
        </is>
      </c>
      <c r="C1226" t="inlineStr">
        <is>
          <t>NOS</t>
        </is>
      </c>
      <c r="D1226" t="n">
        <v>105</v>
      </c>
      <c r="E1226" t="n">
        <v>27.841</v>
      </c>
      <c r="F1226" t="n">
        <v>1940309</v>
      </c>
      <c r="G1226" t="inlineStr">
        <is>
          <t>19.05-0-2.3-ERW 1-PE</t>
        </is>
      </c>
      <c r="H1226" t="n">
        <v>26.46</v>
      </c>
      <c r="I1226" t="inlineStr">
        <is>
          <t>TUB-O-O-AUT-AW-PE-19.05X2.300X0.2650</t>
        </is>
      </c>
      <c r="J1226" t="inlineStr">
        <is>
          <t>TVS</t>
        </is>
      </c>
      <c r="K1226" t="inlineStr">
        <is>
          <t>19.05-0-2.3-ERW 1-PE-0.265</t>
        </is>
      </c>
    </row>
    <row r="1227">
      <c r="A1227" t="inlineStr">
        <is>
          <t>0000944141</t>
        </is>
      </c>
      <c r="B1227" t="inlineStr">
        <is>
          <t>SRIKAM HITECH ENGINEERING PRIVATE L</t>
        </is>
      </c>
      <c r="C1227" t="inlineStr">
        <is>
          <t>NOS</t>
        </is>
      </c>
      <c r="D1227" t="n">
        <v>650</v>
      </c>
      <c r="E1227" t="n">
        <v>172.348</v>
      </c>
      <c r="F1227" t="n">
        <v>1940309</v>
      </c>
      <c r="G1227" t="inlineStr">
        <is>
          <t>19.05-0-2.3-ERW 1-PE</t>
        </is>
      </c>
      <c r="H1227" t="n">
        <v>163.8</v>
      </c>
      <c r="I1227" t="inlineStr">
        <is>
          <t>TUB-O-O-AUT-AW-PE-19.05X2.300X0.2650</t>
        </is>
      </c>
      <c r="J1227" t="inlineStr">
        <is>
          <t>TVS</t>
        </is>
      </c>
      <c r="K1227" t="inlineStr">
        <is>
          <t>19.05-0-2.3-ERW 1-PE-0.265</t>
        </is>
      </c>
    </row>
    <row r="1228">
      <c r="A1228" t="inlineStr">
        <is>
          <t>0000944141</t>
        </is>
      </c>
      <c r="B1228" t="inlineStr">
        <is>
          <t>SRIKAM HITECH ENGINEERING PRIVATE L</t>
        </is>
      </c>
      <c r="C1228" t="inlineStr">
        <is>
          <t>NOS</t>
        </is>
      </c>
      <c r="D1228" t="n">
        <v>158</v>
      </c>
      <c r="E1228" t="n">
        <v>41.894</v>
      </c>
      <c r="F1228" t="n">
        <v>1940309</v>
      </c>
      <c r="G1228" t="inlineStr">
        <is>
          <t>19.05-0-2.3-ERW 1-PE</t>
        </is>
      </c>
      <c r="H1228" t="n">
        <v>39.816</v>
      </c>
      <c r="I1228" t="inlineStr">
        <is>
          <t>TUB-O-O-AUT-AW-PE-19.05X2.300X0.2650</t>
        </is>
      </c>
      <c r="J1228" t="inlineStr">
        <is>
          <t>TVS</t>
        </is>
      </c>
      <c r="K1228" t="inlineStr">
        <is>
          <t>19.05-0-2.3-ERW 1-PE-0.265</t>
        </is>
      </c>
    </row>
    <row r="1229">
      <c r="A1229" t="inlineStr">
        <is>
          <t>0000944141</t>
        </is>
      </c>
      <c r="B1229" t="inlineStr">
        <is>
          <t>SRIKAM HITECH ENGINEERING PRIVATE L</t>
        </is>
      </c>
      <c r="C1229" t="inlineStr">
        <is>
          <t>NOS</t>
        </is>
      </c>
      <c r="D1229" t="n">
        <v>92</v>
      </c>
      <c r="E1229" t="n">
        <v>24.394</v>
      </c>
      <c r="F1229" t="n">
        <v>1940309</v>
      </c>
      <c r="G1229" t="inlineStr">
        <is>
          <t>19.05-0-2.3-ERW 1-PE</t>
        </is>
      </c>
      <c r="H1229" t="n">
        <v>23.184</v>
      </c>
      <c r="I1229" t="inlineStr">
        <is>
          <t>TUB-O-O-AUT-AW-PE-19.05X2.300X0.2650</t>
        </is>
      </c>
      <c r="J1229" t="inlineStr">
        <is>
          <t>TVS</t>
        </is>
      </c>
      <c r="K1229" t="inlineStr">
        <is>
          <t>19.05-0-2.3-ERW 1-PE-0.265</t>
        </is>
      </c>
    </row>
    <row r="1230">
      <c r="A1230" t="inlineStr">
        <is>
          <t>0000944141</t>
        </is>
      </c>
      <c r="B1230" t="inlineStr">
        <is>
          <t>SRIKAM HITECH ENGINEERING PRIVATE L</t>
        </is>
      </c>
      <c r="C1230" t="inlineStr">
        <is>
          <t>NOS</t>
        </is>
      </c>
      <c r="D1230" t="n">
        <v>2797</v>
      </c>
      <c r="E1230" t="n">
        <v>741.629</v>
      </c>
      <c r="F1230" t="n">
        <v>1940309</v>
      </c>
      <c r="G1230" t="inlineStr">
        <is>
          <t>19.05-0-2.3-ERW 1-PE</t>
        </is>
      </c>
      <c r="H1230" t="n">
        <v>704.8440000000001</v>
      </c>
      <c r="I1230" t="inlineStr">
        <is>
          <t>TUB-O-O-AUT-AW-PE-19.05X2.300X0.2650</t>
        </is>
      </c>
      <c r="J1230" t="inlineStr">
        <is>
          <t>TVS</t>
        </is>
      </c>
      <c r="K1230" t="inlineStr">
        <is>
          <t>19.05-0-2.3-ERW 1-PE-0.265</t>
        </is>
      </c>
    </row>
    <row r="1231">
      <c r="A1231" t="inlineStr">
        <is>
          <t>0000944141</t>
        </is>
      </c>
      <c r="B1231" t="inlineStr">
        <is>
          <t>SRIKAM HITECH ENGINEERING PRIVATE L</t>
        </is>
      </c>
      <c r="C1231" t="inlineStr">
        <is>
          <t>NOS</t>
        </is>
      </c>
      <c r="D1231" t="n">
        <v>2744</v>
      </c>
      <c r="E1231" t="n">
        <v>727.576</v>
      </c>
      <c r="F1231" t="n">
        <v>1940309</v>
      </c>
      <c r="G1231" t="inlineStr">
        <is>
          <t>19.05-0-2.3-ERW 1-PE</t>
        </is>
      </c>
      <c r="H1231" t="n">
        <v>691.4880000000001</v>
      </c>
      <c r="I1231" t="inlineStr">
        <is>
          <t>TUB-O-O-AUT-AW-PE-19.05X2.300X0.2650</t>
        </is>
      </c>
      <c r="J1231" t="inlineStr">
        <is>
          <t>TVS</t>
        </is>
      </c>
      <c r="K1231" t="inlineStr">
        <is>
          <t>19.05-0-2.3-ERW 1-PE-0.265</t>
        </is>
      </c>
    </row>
    <row r="1232">
      <c r="A1232" t="inlineStr">
        <is>
          <t>0000944141</t>
        </is>
      </c>
      <c r="B1232" t="inlineStr">
        <is>
          <t>SRIKAM HITECH ENGINEERING PRIVATE L</t>
        </is>
      </c>
      <c r="C1232" t="inlineStr">
        <is>
          <t>NOS</t>
        </is>
      </c>
      <c r="D1232" t="n">
        <v>1609</v>
      </c>
      <c r="E1232" t="n">
        <v>426.629</v>
      </c>
      <c r="F1232" t="n">
        <v>1940309</v>
      </c>
      <c r="G1232" t="inlineStr">
        <is>
          <t>19.05-0-2.3-ERW 1-PE</t>
        </is>
      </c>
      <c r="H1232" t="n">
        <v>405.468</v>
      </c>
      <c r="I1232" t="inlineStr">
        <is>
          <t>TUB-O-O-AUT-AW-PE-19.05X2.300X0.2650</t>
        </is>
      </c>
      <c r="J1232" t="inlineStr">
        <is>
          <t>TVS</t>
        </is>
      </c>
      <c r="K1232" t="inlineStr">
        <is>
          <t>19.05-0-2.3-ERW 1-PE-0.265</t>
        </is>
      </c>
    </row>
    <row r="1233">
      <c r="A1233" t="inlineStr">
        <is>
          <t>0000952904</t>
        </is>
      </c>
      <c r="B1233" t="inlineStr">
        <is>
          <t>ELKAYEM AUTO ANCILLARIES PRIVATE LI</t>
        </is>
      </c>
      <c r="C1233" t="inlineStr">
        <is>
          <t>NOS</t>
        </is>
      </c>
      <c r="D1233" t="n">
        <v>414</v>
      </c>
      <c r="E1233" t="n">
        <v>117.992</v>
      </c>
      <c r="F1233" t="n">
        <v>2427711</v>
      </c>
      <c r="G1233" t="inlineStr">
        <is>
          <t>19.05-0-2.3-ERW 1-PE</t>
        </is>
      </c>
      <c r="H1233" t="n">
        <v>110.027</v>
      </c>
      <c r="I1233" t="inlineStr">
        <is>
          <t>TUB-O-N-AUT-AW-PE-19.05X2.300X0.2850</t>
        </is>
      </c>
      <c r="J1233" t="inlineStr">
        <is>
          <t>TVS</t>
        </is>
      </c>
      <c r="K1233" t="inlineStr">
        <is>
          <t>19.05-0-2.3-ERW 1-PE-0.285</t>
        </is>
      </c>
    </row>
    <row r="1234">
      <c r="A1234" t="inlineStr">
        <is>
          <t>0000952904</t>
        </is>
      </c>
      <c r="B1234" t="inlineStr">
        <is>
          <t>ELKAYEM AUTO ANCILLARIES PRIVATE LI</t>
        </is>
      </c>
      <c r="C1234" t="inlineStr">
        <is>
          <t>NOS</t>
        </is>
      </c>
      <c r="D1234" t="n">
        <v>236</v>
      </c>
      <c r="E1234" t="n">
        <v>67.261</v>
      </c>
      <c r="F1234" t="n">
        <v>2427711</v>
      </c>
      <c r="G1234" t="inlineStr">
        <is>
          <t>19.05-0-2.3-ERW 1-PE</t>
        </is>
      </c>
      <c r="H1234" t="n">
        <v>62.721</v>
      </c>
      <c r="I1234" t="inlineStr">
        <is>
          <t>TUB-O-N-AUT-AW-PE-19.05X2.300X0.2850</t>
        </is>
      </c>
      <c r="J1234" t="inlineStr">
        <is>
          <t>TVS</t>
        </is>
      </c>
      <c r="K1234" t="inlineStr">
        <is>
          <t>19.05-0-2.3-ERW 1-PE-0.285</t>
        </is>
      </c>
    </row>
    <row r="1235">
      <c r="A1235" t="inlineStr">
        <is>
          <t>0000952904</t>
        </is>
      </c>
      <c r="B1235" t="inlineStr">
        <is>
          <t>ELKAYEM AUTO ANCILLARIES PRIVATE LI</t>
        </is>
      </c>
      <c r="C1235" t="inlineStr">
        <is>
          <t>NOS</t>
        </is>
      </c>
      <c r="D1235" t="n">
        <v>2444</v>
      </c>
      <c r="E1235" t="n">
        <v>740.525</v>
      </c>
      <c r="F1235" t="n">
        <v>1940313</v>
      </c>
      <c r="G1235" t="inlineStr">
        <is>
          <t>19.05-0-2.3-ERW 1-PE</t>
        </is>
      </c>
      <c r="H1235" t="n">
        <v>676.9880000000001</v>
      </c>
      <c r="I1235" t="inlineStr">
        <is>
          <t>TUB-O-O-AUT-AW-PE-19.05X2.300X0.3030</t>
        </is>
      </c>
      <c r="J1235" t="inlineStr">
        <is>
          <t>TVS</t>
        </is>
      </c>
      <c r="K1235" t="inlineStr">
        <is>
          <t>19.05-0-2.3-ERW 1-PE-0.303</t>
        </is>
      </c>
    </row>
    <row r="1236">
      <c r="A1236" t="inlineStr">
        <is>
          <t>0000952904</t>
        </is>
      </c>
      <c r="B1236" t="inlineStr">
        <is>
          <t>ELKAYEM AUTO ANCILLARIES PRIVATE LI</t>
        </is>
      </c>
      <c r="C1236" t="inlineStr">
        <is>
          <t>NOS</t>
        </is>
      </c>
      <c r="D1236" t="n">
        <v>1027</v>
      </c>
      <c r="E1236" t="n">
        <v>311.178</v>
      </c>
      <c r="F1236" t="n">
        <v>1940313</v>
      </c>
      <c r="G1236" t="inlineStr">
        <is>
          <t>19.05-0-2.3-ERW 1-PE</t>
        </is>
      </c>
      <c r="H1236" t="n">
        <v>284.479</v>
      </c>
      <c r="I1236" t="inlineStr">
        <is>
          <t>TUB-O-O-AUT-AW-PE-19.05X2.300X0.3030</t>
        </is>
      </c>
      <c r="J1236" t="inlineStr">
        <is>
          <t>TVS</t>
        </is>
      </c>
      <c r="K1236" t="inlineStr">
        <is>
          <t>19.05-0-2.3-ERW 1-PE-0.303</t>
        </is>
      </c>
    </row>
    <row r="1237">
      <c r="A1237" t="inlineStr">
        <is>
          <t>0000952904</t>
        </is>
      </c>
      <c r="B1237" t="inlineStr">
        <is>
          <t>ELKAYEM AUTO ANCILLARIES PRIVATE LI</t>
        </is>
      </c>
      <c r="C1237" t="inlineStr">
        <is>
          <t>NOS</t>
        </is>
      </c>
      <c r="D1237" t="n">
        <v>570</v>
      </c>
      <c r="E1237" t="n">
        <v>172.708</v>
      </c>
      <c r="F1237" t="n">
        <v>1940313</v>
      </c>
      <c r="G1237" t="inlineStr">
        <is>
          <t>19.05-0-2.3-ERW 1-PE</t>
        </is>
      </c>
      <c r="H1237" t="n">
        <v>157.89</v>
      </c>
      <c r="I1237" t="inlineStr">
        <is>
          <t>TUB-O-O-AUT-AW-PE-19.05X2.300X0.3030</t>
        </is>
      </c>
      <c r="J1237" t="inlineStr">
        <is>
          <t>TVS</t>
        </is>
      </c>
      <c r="K1237" t="inlineStr">
        <is>
          <t>19.05-0-2.3-ERW 1-PE-0.303</t>
        </is>
      </c>
    </row>
    <row r="1238">
      <c r="A1238" t="inlineStr">
        <is>
          <t>0000952904</t>
        </is>
      </c>
      <c r="B1238" t="inlineStr">
        <is>
          <t>ELKAYEM AUTO ANCILLARIES PRIVATE LI</t>
        </is>
      </c>
      <c r="C1238" t="inlineStr">
        <is>
          <t>NOS</t>
        </is>
      </c>
      <c r="D1238" t="n">
        <v>159</v>
      </c>
      <c r="E1238" t="n">
        <v>48.177</v>
      </c>
      <c r="F1238" t="n">
        <v>1940313</v>
      </c>
      <c r="G1238" t="inlineStr">
        <is>
          <t>19.05-0-2.3-ERW 1-PE</t>
        </is>
      </c>
      <c r="H1238" t="n">
        <v>44.043</v>
      </c>
      <c r="I1238" t="inlineStr">
        <is>
          <t>TUB-O-O-AUT-AW-PE-19.05X2.300X0.3030</t>
        </is>
      </c>
      <c r="J1238" t="inlineStr">
        <is>
          <t>TVS</t>
        </is>
      </c>
      <c r="K1238" t="inlineStr">
        <is>
          <t>19.05-0-2.3-ERW 1-PE-0.303</t>
        </is>
      </c>
    </row>
    <row r="1239">
      <c r="A1239" t="inlineStr">
        <is>
          <t>0000952904</t>
        </is>
      </c>
      <c r="B1239" t="inlineStr">
        <is>
          <t>ELKAYEM AUTO ANCILLARIES PRIVATE LI</t>
        </is>
      </c>
      <c r="C1239" t="inlineStr">
        <is>
          <t>NOS</t>
        </is>
      </c>
      <c r="D1239" t="n">
        <v>5281</v>
      </c>
      <c r="E1239" t="n">
        <v>1600.128</v>
      </c>
      <c r="F1239" t="n">
        <v>1940313</v>
      </c>
      <c r="G1239" t="inlineStr">
        <is>
          <t>19.05-0-2.3-ERW 1-PE</t>
        </is>
      </c>
      <c r="H1239" t="n">
        <v>1462.837</v>
      </c>
      <c r="I1239" t="inlineStr">
        <is>
          <t>TUB-O-O-AUT-AW-PE-19.05X2.300X0.3030</t>
        </is>
      </c>
      <c r="J1239" t="inlineStr">
        <is>
          <t>TVS</t>
        </is>
      </c>
      <c r="K1239" t="inlineStr">
        <is>
          <t>19.05-0-2.3-ERW 1-PE-0.303</t>
        </is>
      </c>
    </row>
    <row r="1240">
      <c r="A1240" t="inlineStr">
        <is>
          <t>0000952904</t>
        </is>
      </c>
      <c r="B1240" t="inlineStr">
        <is>
          <t>ELKAYEM AUTO ANCILLARIES PRIVATE LI</t>
        </is>
      </c>
      <c r="C1240" t="inlineStr">
        <is>
          <t>NOS</t>
        </is>
      </c>
      <c r="D1240" t="n">
        <v>2219</v>
      </c>
      <c r="E1240" t="n">
        <v>672.351</v>
      </c>
      <c r="F1240" t="n">
        <v>1940313</v>
      </c>
      <c r="G1240" t="inlineStr">
        <is>
          <t>19.05-0-2.3-ERW 1-PE</t>
        </is>
      </c>
      <c r="H1240" t="n">
        <v>614.663</v>
      </c>
      <c r="I1240" t="inlineStr">
        <is>
          <t>TUB-O-O-AUT-AW-PE-19.05X2.300X0.3030</t>
        </is>
      </c>
      <c r="J1240" t="inlineStr">
        <is>
          <t>TVS</t>
        </is>
      </c>
      <c r="K1240" t="inlineStr">
        <is>
          <t>19.05-0-2.3-ERW 1-PE-0.303</t>
        </is>
      </c>
    </row>
    <row r="1241">
      <c r="A1241" t="inlineStr">
        <is>
          <t>0000952904</t>
        </is>
      </c>
      <c r="B1241" t="inlineStr">
        <is>
          <t>ELKAYEM AUTO ANCILLARIES PRIVATE LI</t>
        </is>
      </c>
      <c r="C1241" t="inlineStr">
        <is>
          <t>NOS</t>
        </is>
      </c>
      <c r="D1241" t="n">
        <v>586.397</v>
      </c>
      <c r="E1241" t="n">
        <v>177.677</v>
      </c>
      <c r="F1241" t="n">
        <v>1940313</v>
      </c>
      <c r="G1241" t="inlineStr">
        <is>
          <t>19.05-0-2.3-ERW 1-PE</t>
        </is>
      </c>
      <c r="H1241" t="n">
        <v>162.432</v>
      </c>
      <c r="I1241" t="inlineStr">
        <is>
          <t>TUB-O-O-AUT-AW-PE-19.05X2.300X0.3030</t>
        </is>
      </c>
      <c r="J1241" t="inlineStr">
        <is>
          <t>TVS</t>
        </is>
      </c>
      <c r="K1241" t="inlineStr">
        <is>
          <t>19.05-0-2.3-ERW 1-PE-0.303</t>
        </is>
      </c>
    </row>
    <row r="1242">
      <c r="A1242" t="inlineStr">
        <is>
          <t>0000952904</t>
        </is>
      </c>
      <c r="B1242" t="inlineStr">
        <is>
          <t>ELKAYEM AUTO ANCILLARIES PRIVATE LI</t>
        </is>
      </c>
      <c r="C1242" t="inlineStr">
        <is>
          <t>NOS</t>
        </is>
      </c>
      <c r="D1242" t="n">
        <v>2237.639</v>
      </c>
      <c r="E1242" t="n">
        <v>677.998</v>
      </c>
      <c r="F1242" t="n">
        <v>1940313</v>
      </c>
      <c r="G1242" t="inlineStr">
        <is>
          <t>19.05-0-2.3-ERW 1-PE</t>
        </is>
      </c>
      <c r="H1242" t="n">
        <v>619.826</v>
      </c>
      <c r="I1242" t="inlineStr">
        <is>
          <t>TUB-O-O-AUT-AW-PE-19.05X2.300X0.3030</t>
        </is>
      </c>
      <c r="J1242" t="inlineStr">
        <is>
          <t>TVS</t>
        </is>
      </c>
      <c r="K1242" t="inlineStr">
        <is>
          <t>19.05-0-2.3-ERW 1-PE-0.303</t>
        </is>
      </c>
    </row>
    <row r="1243">
      <c r="A1243" t="inlineStr">
        <is>
          <t>0000952904</t>
        </is>
      </c>
      <c r="B1243" t="inlineStr">
        <is>
          <t>ELKAYEM AUTO ANCILLARIES PRIVATE LI</t>
        </is>
      </c>
      <c r="C1243" t="inlineStr">
        <is>
          <t>NOS</t>
        </is>
      </c>
      <c r="D1243" t="n">
        <v>175.964</v>
      </c>
      <c r="E1243" t="n">
        <v>53.317</v>
      </c>
      <c r="F1243" t="n">
        <v>1940313</v>
      </c>
      <c r="G1243" t="inlineStr">
        <is>
          <t>19.05-0-2.3-ERW 1-PE</t>
        </is>
      </c>
      <c r="H1243" t="n">
        <v>48.742</v>
      </c>
      <c r="I1243" t="inlineStr">
        <is>
          <t>TUB-O-O-AUT-AW-PE-19.05X2.300X0.3030</t>
        </is>
      </c>
      <c r="J1243" t="inlineStr">
        <is>
          <t>TVS</t>
        </is>
      </c>
      <c r="K1243" t="inlineStr">
        <is>
          <t>19.05-0-2.3-ERW 1-PE-0.303</t>
        </is>
      </c>
    </row>
    <row r="1244">
      <c r="A1244" t="inlineStr">
        <is>
          <t>0000189226</t>
        </is>
      </c>
      <c r="B1244" t="inlineStr">
        <is>
          <t>Neel Metal Products Limited</t>
        </is>
      </c>
      <c r="C1244" t="inlineStr">
        <is>
          <t>NOS</t>
        </is>
      </c>
      <c r="D1244" t="n">
        <v>2600</v>
      </c>
      <c r="E1244" t="n">
        <v>1023.148</v>
      </c>
      <c r="F1244" t="n">
        <v>1940318</v>
      </c>
      <c r="G1244" t="inlineStr">
        <is>
          <t>19.05-0-2.3-ERW 1-PE</t>
        </is>
      </c>
      <c r="H1244" t="n">
        <v>972.4</v>
      </c>
      <c r="I1244" t="inlineStr">
        <is>
          <t>TUB-O-O-AUT-AW-PE-19.05X2.300X0.3940</t>
        </is>
      </c>
      <c r="J1244" t="inlineStr">
        <is>
          <t>TVS</t>
        </is>
      </c>
      <c r="K1244" t="inlineStr">
        <is>
          <t>19.05-0-2.3-ERW 1-PE-0.394</t>
        </is>
      </c>
    </row>
    <row r="1245">
      <c r="A1245" t="inlineStr">
        <is>
          <t>0000189227</t>
        </is>
      </c>
      <c r="B1245" t="inlineStr">
        <is>
          <t>Neel Metal Products Limited</t>
        </is>
      </c>
      <c r="C1245" t="inlineStr">
        <is>
          <t>NOS</t>
        </is>
      </c>
      <c r="D1245" t="n">
        <v>1020</v>
      </c>
      <c r="E1245" t="n">
        <v>199.92</v>
      </c>
      <c r="F1245" t="n">
        <v>3677062</v>
      </c>
      <c r="G1245" t="inlineStr">
        <is>
          <t>48.6-0-3.5-ERW 1-FC</t>
        </is>
      </c>
      <c r="H1245" t="n">
        <v>778.249</v>
      </c>
      <c r="I1245" t="inlineStr">
        <is>
          <t>TUB-O-N-AUT-AW-FC-48.60X3.500X0.1960</t>
        </is>
      </c>
      <c r="J1245" t="inlineStr">
        <is>
          <t>TVS</t>
        </is>
      </c>
      <c r="K1245" t="inlineStr">
        <is>
          <t>48.6-0-3.5-ERW 1-FC-0.196</t>
        </is>
      </c>
    </row>
    <row r="1246">
      <c r="A1246" t="inlineStr">
        <is>
          <t>0000189227</t>
        </is>
      </c>
      <c r="B1246" t="inlineStr">
        <is>
          <t>Neel Metal Products Limited</t>
        </is>
      </c>
      <c r="C1246" t="inlineStr">
        <is>
          <t>NOS</t>
        </is>
      </c>
      <c r="D1246" t="n">
        <v>500</v>
      </c>
      <c r="E1246" t="n">
        <v>98</v>
      </c>
      <c r="F1246" t="n">
        <v>3677062</v>
      </c>
      <c r="G1246" t="inlineStr">
        <is>
          <t>48.6-0-3.5-ERW 1-FC</t>
        </is>
      </c>
      <c r="H1246" t="n">
        <v>381.494</v>
      </c>
      <c r="I1246" t="inlineStr">
        <is>
          <t>TUB-O-N-AUT-AW-FC-48.60X3.500X0.1960</t>
        </is>
      </c>
      <c r="J1246" t="inlineStr">
        <is>
          <t>TVS</t>
        </is>
      </c>
      <c r="K1246" t="inlineStr">
        <is>
          <t>48.6-0-3.5-ERW 1-FC-0.196</t>
        </is>
      </c>
    </row>
    <row r="1247">
      <c r="A1247" t="inlineStr">
        <is>
          <t>0000189227</t>
        </is>
      </c>
      <c r="B1247" t="inlineStr">
        <is>
          <t>Neel Metal Products Limited</t>
        </is>
      </c>
      <c r="C1247" t="inlineStr">
        <is>
          <t>NOS</t>
        </is>
      </c>
      <c r="D1247" t="n">
        <v>1190</v>
      </c>
      <c r="E1247" t="n">
        <v>233.24</v>
      </c>
      <c r="F1247" t="n">
        <v>3677062</v>
      </c>
      <c r="G1247" t="inlineStr">
        <is>
          <t>48.6-0-3.5-ERW 1-FC</t>
        </is>
      </c>
      <c r="H1247" t="n">
        <v>907.957</v>
      </c>
      <c r="I1247" t="inlineStr">
        <is>
          <t>TUB-O-N-AUT-AW-FC-48.60X3.500X0.1960</t>
        </is>
      </c>
      <c r="J1247" t="inlineStr">
        <is>
          <t>TVS</t>
        </is>
      </c>
      <c r="K1247" t="inlineStr">
        <is>
          <t>48.6-0-3.5-ERW 1-FC-0.196</t>
        </is>
      </c>
    </row>
    <row r="1248">
      <c r="A1248" t="inlineStr">
        <is>
          <t>0000189227</t>
        </is>
      </c>
      <c r="B1248" t="inlineStr">
        <is>
          <t>Neel Metal Products Limited</t>
        </is>
      </c>
      <c r="C1248" t="inlineStr">
        <is>
          <t>NOS</t>
        </is>
      </c>
      <c r="D1248" t="n">
        <v>40</v>
      </c>
      <c r="E1248" t="n">
        <v>7.84</v>
      </c>
      <c r="F1248" t="n">
        <v>3677062</v>
      </c>
      <c r="G1248" t="inlineStr">
        <is>
          <t>48.6-0-3.5-ERW 1-FC</t>
        </is>
      </c>
      <c r="H1248" t="n">
        <v>30.52</v>
      </c>
      <c r="I1248" t="inlineStr">
        <is>
          <t>TUB-O-N-AUT-AW-FC-48.60X3.500X0.1960</t>
        </is>
      </c>
      <c r="J1248" t="inlineStr">
        <is>
          <t>TVS</t>
        </is>
      </c>
      <c r="K1248" t="inlineStr">
        <is>
          <t>48.6-0-3.5-ERW 1-FC-0.196</t>
        </is>
      </c>
    </row>
    <row r="1249">
      <c r="A1249" t="inlineStr">
        <is>
          <t>0000944141</t>
        </is>
      </c>
      <c r="B1249" t="inlineStr">
        <is>
          <t>SRIKAM HITECH ENGINEERING PRIVATE L</t>
        </is>
      </c>
      <c r="C1249" t="inlineStr">
        <is>
          <t>NOS</t>
        </is>
      </c>
      <c r="D1249" t="n">
        <v>650</v>
      </c>
      <c r="E1249" t="n">
        <v>370.686</v>
      </c>
      <c r="F1249" t="n">
        <v>1940325</v>
      </c>
      <c r="G1249" t="inlineStr">
        <is>
          <t>19.05-0-2.3-ERW 1-PE</t>
        </is>
      </c>
      <c r="H1249" t="n">
        <v>352.3</v>
      </c>
      <c r="I1249" t="inlineStr">
        <is>
          <t>TUB-O-O-AUT-AW-PE-19.05X2.300X0.5700</t>
        </is>
      </c>
      <c r="J1249" t="inlineStr">
        <is>
          <t>TVS</t>
        </is>
      </c>
      <c r="K1249" t="inlineStr">
        <is>
          <t>19.05-0-2.3-ERW 1-PE-0.57</t>
        </is>
      </c>
    </row>
    <row r="1250">
      <c r="A1250" t="inlineStr">
        <is>
          <t>0000944141</t>
        </is>
      </c>
      <c r="B1250" t="inlineStr">
        <is>
          <t>SRIKAM HITECH ENGINEERING PRIVATE L</t>
        </is>
      </c>
      <c r="C1250" t="inlineStr">
        <is>
          <t>NOS</t>
        </is>
      </c>
      <c r="D1250" t="n">
        <v>2218</v>
      </c>
      <c r="E1250" t="n">
        <v>1353.577</v>
      </c>
      <c r="F1250" t="n">
        <v>1940329</v>
      </c>
      <c r="G1250" t="inlineStr">
        <is>
          <t>19.05-0-2.3-ERW 1-PE</t>
        </is>
      </c>
      <c r="H1250" t="n">
        <v>1286.44</v>
      </c>
      <c r="I1250" t="inlineStr">
        <is>
          <t>TUB-O-O-AUT-AW-PE-19.05X2.300X0.6100</t>
        </is>
      </c>
      <c r="J1250" t="inlineStr">
        <is>
          <t>TVS</t>
        </is>
      </c>
      <c r="K1250" t="inlineStr">
        <is>
          <t>19.05-0-2.3-ERW 1-PE-0.61</t>
        </is>
      </c>
    </row>
    <row r="1251">
      <c r="A1251" t="inlineStr">
        <is>
          <t>0000944141</t>
        </is>
      </c>
      <c r="B1251" t="inlineStr">
        <is>
          <t>SRIKAM HITECH ENGINEERING PRIVATE L</t>
        </is>
      </c>
      <c r="C1251" t="inlineStr">
        <is>
          <t>NOS</t>
        </is>
      </c>
      <c r="D1251" t="n">
        <v>2129</v>
      </c>
      <c r="E1251" t="n">
        <v>1299.263</v>
      </c>
      <c r="F1251" t="n">
        <v>1940329</v>
      </c>
      <c r="G1251" t="inlineStr">
        <is>
          <t>19.05-0-2.3-ERW 1-PE</t>
        </is>
      </c>
      <c r="H1251" t="n">
        <v>1234.82</v>
      </c>
      <c r="I1251" t="inlineStr">
        <is>
          <t>TUB-O-O-AUT-AW-PE-19.05X2.300X0.6100</t>
        </is>
      </c>
      <c r="J1251" t="inlineStr">
        <is>
          <t>TVS</t>
        </is>
      </c>
      <c r="K1251" t="inlineStr">
        <is>
          <t>19.05-0-2.3-ERW 1-PE-0.61</t>
        </is>
      </c>
    </row>
    <row r="1252">
      <c r="A1252" t="inlineStr">
        <is>
          <t>0000944141</t>
        </is>
      </c>
      <c r="B1252" t="inlineStr">
        <is>
          <t>SRIKAM HITECH ENGINEERING PRIVATE L</t>
        </is>
      </c>
      <c r="C1252" t="inlineStr">
        <is>
          <t>NOS</t>
        </is>
      </c>
      <c r="D1252" t="n">
        <v>1600</v>
      </c>
      <c r="E1252" t="n">
        <v>976.431</v>
      </c>
      <c r="F1252" t="n">
        <v>1940329</v>
      </c>
      <c r="G1252" t="inlineStr">
        <is>
          <t>19.05-0-2.3-ERW 1-PE</t>
        </is>
      </c>
      <c r="H1252" t="n">
        <v>928</v>
      </c>
      <c r="I1252" t="inlineStr">
        <is>
          <t>TUB-O-O-AUT-AW-PE-19.05X2.300X0.6100</t>
        </is>
      </c>
      <c r="J1252" t="inlineStr">
        <is>
          <t>TVS</t>
        </is>
      </c>
      <c r="K1252" t="inlineStr">
        <is>
          <t>19.05-0-2.3-ERW 1-PE-0.61</t>
        </is>
      </c>
    </row>
    <row r="1253">
      <c r="A1253" t="inlineStr">
        <is>
          <t>0000944141</t>
        </is>
      </c>
      <c r="B1253" t="inlineStr">
        <is>
          <t>SRIKAM HITECH ENGINEERING PRIVATE L</t>
        </is>
      </c>
      <c r="C1253" t="inlineStr">
        <is>
          <t>NOS</t>
        </is>
      </c>
      <c r="D1253" t="n">
        <v>556</v>
      </c>
      <c r="E1253" t="n">
        <v>339.31</v>
      </c>
      <c r="F1253" t="n">
        <v>1940329</v>
      </c>
      <c r="G1253" t="inlineStr">
        <is>
          <t>19.05-0-2.3-ERW 1-PE</t>
        </is>
      </c>
      <c r="H1253" t="n">
        <v>322.48</v>
      </c>
      <c r="I1253" t="inlineStr">
        <is>
          <t>TUB-O-O-AUT-AW-PE-19.05X2.300X0.6100</t>
        </is>
      </c>
      <c r="J1253" t="inlineStr">
        <is>
          <t>TVS</t>
        </is>
      </c>
      <c r="K1253" t="inlineStr">
        <is>
          <t>19.05-0-2.3-ERW 1-PE-0.61</t>
        </is>
      </c>
    </row>
    <row r="1254">
      <c r="A1254" t="inlineStr">
        <is>
          <t>0000944141</t>
        </is>
      </c>
      <c r="B1254" t="inlineStr">
        <is>
          <t>SRIKAM HITECH ENGINEERING PRIVATE L</t>
        </is>
      </c>
      <c r="C1254" t="inlineStr">
        <is>
          <t>NOS</t>
        </is>
      </c>
      <c r="D1254" t="n">
        <v>532</v>
      </c>
      <c r="E1254" t="n">
        <v>324.663</v>
      </c>
      <c r="F1254" t="n">
        <v>1940329</v>
      </c>
      <c r="G1254" t="inlineStr">
        <is>
          <t>19.05-0-2.3-ERW 1-PE</t>
        </is>
      </c>
      <c r="H1254" t="n">
        <v>308.56</v>
      </c>
      <c r="I1254" t="inlineStr">
        <is>
          <t>TUB-O-O-AUT-AW-PE-19.05X2.300X0.6100</t>
        </is>
      </c>
      <c r="J1254" t="inlineStr">
        <is>
          <t>TVS</t>
        </is>
      </c>
      <c r="K1254" t="inlineStr">
        <is>
          <t>19.05-0-2.3-ERW 1-PE-0.61</t>
        </is>
      </c>
    </row>
    <row r="1255">
      <c r="A1255" t="inlineStr">
        <is>
          <t>0000944141</t>
        </is>
      </c>
      <c r="B1255" t="inlineStr">
        <is>
          <t>SRIKAM HITECH ENGINEERING PRIVATE L</t>
        </is>
      </c>
      <c r="C1255" t="inlineStr">
        <is>
          <t>NOS</t>
        </is>
      </c>
      <c r="D1255" t="n">
        <v>222</v>
      </c>
      <c r="E1255" t="n">
        <v>135.48</v>
      </c>
      <c r="F1255" t="n">
        <v>1940329</v>
      </c>
      <c r="G1255" t="inlineStr">
        <is>
          <t>19.05-0-2.3-ERW 1-PE</t>
        </is>
      </c>
      <c r="H1255" t="n">
        <v>128.76</v>
      </c>
      <c r="I1255" t="inlineStr">
        <is>
          <t>TUB-O-O-AUT-AW-PE-19.05X2.300X0.6100</t>
        </is>
      </c>
      <c r="J1255" t="inlineStr">
        <is>
          <t>TVS</t>
        </is>
      </c>
      <c r="K1255" t="inlineStr">
        <is>
          <t>19.05-0-2.3-ERW 1-PE-0.61</t>
        </is>
      </c>
    </row>
    <row r="1256">
      <c r="A1256" t="inlineStr">
        <is>
          <t>0000944141</t>
        </is>
      </c>
      <c r="B1256" t="inlineStr">
        <is>
          <t>SRIKAM HITECH ENGINEERING PRIVATE L</t>
        </is>
      </c>
      <c r="C1256" t="inlineStr">
        <is>
          <t>NOS</t>
        </is>
      </c>
      <c r="D1256" t="n">
        <v>168</v>
      </c>
      <c r="E1256" t="n">
        <v>102.525</v>
      </c>
      <c r="F1256" t="n">
        <v>1940329</v>
      </c>
      <c r="G1256" t="inlineStr">
        <is>
          <t>19.05-0-2.3-ERW 1-PE</t>
        </is>
      </c>
      <c r="H1256" t="n">
        <v>97.44</v>
      </c>
      <c r="I1256" t="inlineStr">
        <is>
          <t>TUB-O-O-AUT-AW-PE-19.05X2.300X0.6100</t>
        </is>
      </c>
      <c r="J1256" t="inlineStr">
        <is>
          <t>TVS</t>
        </is>
      </c>
      <c r="K1256" t="inlineStr">
        <is>
          <t>19.05-0-2.3-ERW 1-PE-0.61</t>
        </is>
      </c>
    </row>
    <row r="1257">
      <c r="A1257" t="inlineStr">
        <is>
          <t>0000185254</t>
        </is>
      </c>
      <c r="B1257" t="inlineStr">
        <is>
          <t>LAXMI METAL PRESSING WORKS PVT LTD</t>
        </is>
      </c>
      <c r="C1257" t="inlineStr">
        <is>
          <t>NOS</t>
        </is>
      </c>
      <c r="D1257" t="n">
        <v>3000</v>
      </c>
      <c r="E1257" t="n">
        <v>815.919</v>
      </c>
      <c r="F1257" t="n">
        <v>3228788</v>
      </c>
      <c r="G1257" t="inlineStr">
        <is>
          <t>20-17.16-1.42-CEW-CEW</t>
        </is>
      </c>
      <c r="H1257" t="n">
        <v>531</v>
      </c>
      <c r="I1257" t="inlineStr">
        <is>
          <t>TUB-O-C-AUT-AD-FC-20.00X1.420X0.2730</t>
        </is>
      </c>
      <c r="J1257" t="inlineStr">
        <is>
          <t>TVS</t>
        </is>
      </c>
      <c r="K1257" t="inlineStr">
        <is>
          <t>20-17.16-1.42-CEW-CEW-0.273</t>
        </is>
      </c>
    </row>
    <row r="1258">
      <c r="A1258" t="inlineStr">
        <is>
          <t>0000944141</t>
        </is>
      </c>
      <c r="B1258" t="inlineStr">
        <is>
          <t>SRIKAM HITECH ENGINEERING PRIVATE L</t>
        </is>
      </c>
      <c r="C1258" t="inlineStr">
        <is>
          <t>M</t>
        </is>
      </c>
      <c r="D1258" t="n">
        <v>505</v>
      </c>
      <c r="E1258" t="n">
        <v>2272</v>
      </c>
      <c r="F1258" t="n">
        <v>2410999</v>
      </c>
      <c r="G1258" t="inlineStr">
        <is>
          <t>21.7-16.2-2.75-CEW-CEW</t>
        </is>
      </c>
      <c r="H1258" t="n">
        <v>2920.883</v>
      </c>
      <c r="I1258" t="inlineStr">
        <is>
          <t>TUB-O-C-AUT-AD-FC-21.70X2.750X04-05</t>
        </is>
      </c>
      <c r="J1258" t="inlineStr">
        <is>
          <t>TVS</t>
        </is>
      </c>
      <c r="K1258" t="inlineStr">
        <is>
          <t>21.7-16.2-2.75-CEW-CEW-1</t>
        </is>
      </c>
    </row>
    <row r="1259">
      <c r="A1259" t="inlineStr">
        <is>
          <t>0000940921</t>
        </is>
      </c>
      <c r="B1259" t="inlineStr">
        <is>
          <t>ELKAYEM AUTO ANCILLARIES PVT LTD -U</t>
        </is>
      </c>
      <c r="C1259" t="inlineStr">
        <is>
          <t>NOS</t>
        </is>
      </c>
      <c r="D1259" t="n">
        <v>5818</v>
      </c>
      <c r="E1259" t="n">
        <v>2040.785</v>
      </c>
      <c r="F1259" t="n">
        <v>3616911</v>
      </c>
      <c r="G1259" t="inlineStr">
        <is>
          <t>25.4-0-2-ERW 1-FC</t>
        </is>
      </c>
      <c r="H1259" t="n">
        <v>2356.29</v>
      </c>
      <c r="I1259" t="inlineStr">
        <is>
          <t>TUB-O-N-AUT-AW-FC-25.40X2.000X0.3500</t>
        </is>
      </c>
      <c r="J1259" t="inlineStr">
        <is>
          <t>TVS</t>
        </is>
      </c>
      <c r="K1259" t="inlineStr">
        <is>
          <t>25.4-0-2-ERW 1-FC-0.35</t>
        </is>
      </c>
    </row>
    <row r="1260">
      <c r="A1260" t="inlineStr">
        <is>
          <t>0000940921</t>
        </is>
      </c>
      <c r="B1260" t="inlineStr">
        <is>
          <t>ELKAYEM AUTO ANCILLARIES PVT LTD -U</t>
        </is>
      </c>
      <c r="C1260" t="inlineStr">
        <is>
          <t>NOS</t>
        </is>
      </c>
      <c r="D1260" t="n">
        <v>5837</v>
      </c>
      <c r="E1260" t="n">
        <v>2047.449</v>
      </c>
      <c r="F1260" t="n">
        <v>3616911</v>
      </c>
      <c r="G1260" t="inlineStr">
        <is>
          <t>25.4-0-2-ERW 1-FC</t>
        </is>
      </c>
      <c r="H1260" t="n">
        <v>2363.985</v>
      </c>
      <c r="I1260" t="inlineStr">
        <is>
          <t>TUB-O-N-AUT-AW-FC-25.40X2.000X0.3500</t>
        </is>
      </c>
      <c r="J1260" t="inlineStr">
        <is>
          <t>TVS</t>
        </is>
      </c>
      <c r="K1260" t="inlineStr">
        <is>
          <t>25.4-0-2-ERW 1-FC-0.35</t>
        </is>
      </c>
    </row>
    <row r="1261">
      <c r="A1261" t="inlineStr">
        <is>
          <t>0000940921</t>
        </is>
      </c>
      <c r="B1261" t="inlineStr">
        <is>
          <t>ELKAYEM AUTO ANCILLARIES PVT LTD -U</t>
        </is>
      </c>
      <c r="C1261" t="inlineStr">
        <is>
          <t>NOS</t>
        </is>
      </c>
      <c r="D1261" t="n">
        <v>2269</v>
      </c>
      <c r="E1261" t="n">
        <v>795.899</v>
      </c>
      <c r="F1261" t="n">
        <v>3616911</v>
      </c>
      <c r="G1261" t="inlineStr">
        <is>
          <t>25.4-0-2-ERW 1-FC</t>
        </is>
      </c>
      <c r="H1261" t="n">
        <v>918.9450000000001</v>
      </c>
      <c r="I1261" t="inlineStr">
        <is>
          <t>TUB-O-N-AUT-AW-FC-25.40X2.000X0.3500</t>
        </is>
      </c>
      <c r="J1261" t="inlineStr">
        <is>
          <t>TVS</t>
        </is>
      </c>
      <c r="K1261" t="inlineStr">
        <is>
          <t>25.4-0-2-ERW 1-FC-0.35</t>
        </is>
      </c>
    </row>
    <row r="1262">
      <c r="A1262" t="inlineStr">
        <is>
          <t>0000940921</t>
        </is>
      </c>
      <c r="B1262" t="inlineStr">
        <is>
          <t>ELKAYEM AUTO ANCILLARIES PVT LTD -U</t>
        </is>
      </c>
      <c r="C1262" t="inlineStr">
        <is>
          <t>NOS</t>
        </is>
      </c>
      <c r="D1262" t="n">
        <v>1496</v>
      </c>
      <c r="E1262" t="n">
        <v>524.753</v>
      </c>
      <c r="F1262" t="n">
        <v>3616911</v>
      </c>
      <c r="G1262" t="inlineStr">
        <is>
          <t>25.4-0-2-ERW 1-FC</t>
        </is>
      </c>
      <c r="H1262" t="n">
        <v>605.88</v>
      </c>
      <c r="I1262" t="inlineStr">
        <is>
          <t>TUB-O-N-AUT-AW-FC-25.40X2.000X0.3500</t>
        </is>
      </c>
      <c r="J1262" t="inlineStr">
        <is>
          <t>TVS</t>
        </is>
      </c>
      <c r="K1262" t="inlineStr">
        <is>
          <t>25.4-0-2-ERW 1-FC-0.35</t>
        </is>
      </c>
    </row>
    <row r="1263">
      <c r="A1263" t="inlineStr">
        <is>
          <t>0000940921</t>
        </is>
      </c>
      <c r="B1263" t="inlineStr">
        <is>
          <t>ELKAYEM AUTO ANCILLARIES PVT LTD -U</t>
        </is>
      </c>
      <c r="C1263" t="inlineStr">
        <is>
          <t>NOS</t>
        </is>
      </c>
      <c r="D1263" t="n">
        <v>5</v>
      </c>
      <c r="E1263" t="n">
        <v>1.754</v>
      </c>
      <c r="F1263" t="n">
        <v>3616911</v>
      </c>
      <c r="G1263" t="inlineStr">
        <is>
          <t>25.4-0-2-ERW 1-FC</t>
        </is>
      </c>
      <c r="H1263" t="n">
        <v>2.025</v>
      </c>
      <c r="I1263" t="inlineStr">
        <is>
          <t>TUB-O-N-AUT-AW-FC-25.40X2.000X0.3500</t>
        </is>
      </c>
      <c r="J1263" t="inlineStr">
        <is>
          <t>TVS</t>
        </is>
      </c>
      <c r="K1263" t="inlineStr">
        <is>
          <t>25.4-0-2-ERW 1-FC-0.35</t>
        </is>
      </c>
    </row>
    <row r="1264">
      <c r="A1264" t="inlineStr">
        <is>
          <t>0000188415</t>
        </is>
      </c>
      <c r="B1264" t="inlineStr">
        <is>
          <t>Rajsriya Automotive Industries(P)</t>
        </is>
      </c>
      <c r="C1264" t="inlineStr">
        <is>
          <t>NOS</t>
        </is>
      </c>
      <c r="D1264" t="n">
        <v>2482</v>
      </c>
      <c r="E1264" t="n">
        <v>1605.804</v>
      </c>
      <c r="F1264" t="n">
        <v>4229657</v>
      </c>
      <c r="G1264" t="inlineStr">
        <is>
          <t>40-25-1.6-ERW 1-FC</t>
        </is>
      </c>
      <c r="H1264" t="n">
        <v>2515.011</v>
      </c>
      <c r="I1264" t="inlineStr">
        <is>
          <t>CUT-R-AW-RHS-40.00X25.00X1.600X0.6470</t>
        </is>
      </c>
      <c r="J1264" t="inlineStr">
        <is>
          <t>TVS</t>
        </is>
      </c>
      <c r="K1264" t="inlineStr">
        <is>
          <t>40-25-1.6-ERW 1-FC-0.647</t>
        </is>
      </c>
    </row>
    <row r="1265">
      <c r="A1265" t="inlineStr">
        <is>
          <t>0000188415</t>
        </is>
      </c>
      <c r="B1265" t="inlineStr">
        <is>
          <t>Rajsriya Automotive Industries(P)</t>
        </is>
      </c>
      <c r="C1265" t="inlineStr">
        <is>
          <t>NOS</t>
        </is>
      </c>
      <c r="D1265" t="n">
        <v>79</v>
      </c>
      <c r="E1265" t="n">
        <v>51.111</v>
      </c>
      <c r="F1265" t="n">
        <v>4229657</v>
      </c>
      <c r="G1265" t="inlineStr">
        <is>
          <t>40-25-1.6-ERW 1-FC</t>
        </is>
      </c>
      <c r="H1265" t="n">
        <v>80.051</v>
      </c>
      <c r="I1265" t="inlineStr">
        <is>
          <t>CUT-R-AW-RHS-40.00X25.00X1.600X0.6470</t>
        </is>
      </c>
      <c r="J1265" t="inlineStr">
        <is>
          <t>TVS</t>
        </is>
      </c>
      <c r="K1265" t="inlineStr">
        <is>
          <t>40-25-1.6-ERW 1-FC-0.647</t>
        </is>
      </c>
    </row>
    <row r="1266">
      <c r="A1266" t="inlineStr">
        <is>
          <t>0000188415</t>
        </is>
      </c>
      <c r="B1266" t="inlineStr">
        <is>
          <t>Rajsriya Automotive Industries(P)</t>
        </is>
      </c>
      <c r="C1266" t="inlineStr">
        <is>
          <t>NOS</t>
        </is>
      </c>
      <c r="D1266" t="n">
        <v>19</v>
      </c>
      <c r="E1266" t="n">
        <v>12.293</v>
      </c>
      <c r="F1266" t="n">
        <v>4229657</v>
      </c>
      <c r="G1266" t="inlineStr">
        <is>
          <t>40-25-1.6-ERW 1-FC</t>
        </is>
      </c>
      <c r="H1266" t="n">
        <v>19.253</v>
      </c>
      <c r="I1266" t="inlineStr">
        <is>
          <t>CUT-R-AW-RHS-40.00X25.00X1.600X0.6470</t>
        </is>
      </c>
      <c r="J1266" t="inlineStr">
        <is>
          <t>TVS</t>
        </is>
      </c>
      <c r="K1266" t="inlineStr">
        <is>
          <t>40-25-1.6-ERW 1-FC-0.647</t>
        </is>
      </c>
    </row>
    <row r="1267">
      <c r="A1267" t="inlineStr">
        <is>
          <t>0000189002</t>
        </is>
      </c>
      <c r="B1267" t="inlineStr">
        <is>
          <t>Marathwada Auto Compo Pvt. Ltd.</t>
        </is>
      </c>
      <c r="C1267" t="inlineStr">
        <is>
          <t>M</t>
        </is>
      </c>
      <c r="D1267" t="n">
        <v>303</v>
      </c>
      <c r="E1267" t="n">
        <v>1774</v>
      </c>
      <c r="F1267" t="n">
        <v>3929636</v>
      </c>
      <c r="G1267" t="inlineStr">
        <is>
          <t>40-20-1.6-ERW 1-FC</t>
        </is>
      </c>
      <c r="H1267" t="n">
        <v>2439.073</v>
      </c>
      <c r="I1267" t="inlineStr">
        <is>
          <t>TUB-R-AW-AUT-40.00X20.00X1.600X5.8600</t>
        </is>
      </c>
      <c r="J1267" t="inlineStr">
        <is>
          <t>TVS</t>
        </is>
      </c>
      <c r="K1267" t="inlineStr">
        <is>
          <t>40-20-1.6-ERW 1-FC-1</t>
        </is>
      </c>
    </row>
    <row r="1268">
      <c r="A1268" t="inlineStr">
        <is>
          <t>0000189002</t>
        </is>
      </c>
      <c r="B1268" t="inlineStr">
        <is>
          <t>Marathwada Auto Compo Pvt. Ltd.</t>
        </is>
      </c>
      <c r="C1268" t="inlineStr">
        <is>
          <t>M</t>
        </is>
      </c>
      <c r="D1268" t="n">
        <v>92</v>
      </c>
      <c r="E1268" t="n">
        <v>538</v>
      </c>
      <c r="F1268" t="n">
        <v>3929636</v>
      </c>
      <c r="G1268" t="inlineStr">
        <is>
          <t>40-20-1.6-ERW 1-FC</t>
        </is>
      </c>
      <c r="H1268" t="n">
        <v>739.696</v>
      </c>
      <c r="I1268" t="inlineStr">
        <is>
          <t>TUB-R-AW-AUT-40.00X20.00X1.600X5.8600</t>
        </is>
      </c>
      <c r="J1268" t="inlineStr">
        <is>
          <t>TVS</t>
        </is>
      </c>
      <c r="K1268" t="inlineStr">
        <is>
          <t>40-20-1.6-ERW 1-FC-1</t>
        </is>
      </c>
    </row>
    <row r="1269">
      <c r="A1269" t="inlineStr">
        <is>
          <t>0000189002</t>
        </is>
      </c>
      <c r="B1269" t="inlineStr">
        <is>
          <t>Marathwada Auto Compo Pvt. Ltd.</t>
        </is>
      </c>
      <c r="C1269" t="inlineStr">
        <is>
          <t>M</t>
        </is>
      </c>
      <c r="D1269" t="n">
        <v>5</v>
      </c>
      <c r="E1269" t="n">
        <v>32</v>
      </c>
      <c r="F1269" t="n">
        <v>3929636</v>
      </c>
      <c r="G1269" t="inlineStr">
        <is>
          <t>40-20-1.6-ERW 1-FC</t>
        </is>
      </c>
      <c r="H1269" t="n">
        <v>43.997</v>
      </c>
      <c r="I1269" t="inlineStr">
        <is>
          <t>TUB-R-AW-AUT-40.00X20.00X1.600X5.8600</t>
        </is>
      </c>
      <c r="J1269" t="inlineStr">
        <is>
          <t>TVS</t>
        </is>
      </c>
      <c r="K1269" t="inlineStr">
        <is>
          <t>40-20-1.6-ERW 1-FC-1</t>
        </is>
      </c>
    </row>
    <row r="1270">
      <c r="A1270" t="inlineStr">
        <is>
          <t>0000189002</t>
        </is>
      </c>
      <c r="B1270" t="inlineStr">
        <is>
          <t>Marathwada Auto Compo Pvt. Ltd.</t>
        </is>
      </c>
      <c r="C1270" t="inlineStr">
        <is>
          <t>M</t>
        </is>
      </c>
      <c r="D1270" t="n">
        <v>20</v>
      </c>
      <c r="E1270" t="n">
        <v>117.2</v>
      </c>
      <c r="F1270" t="n">
        <v>3929636</v>
      </c>
      <c r="G1270" t="inlineStr">
        <is>
          <t>40-20-1.6-ERW 1-FC</t>
        </is>
      </c>
      <c r="H1270" t="n">
        <v>161.138</v>
      </c>
      <c r="I1270" t="inlineStr">
        <is>
          <t>TUB-R-AW-AUT-40.00X20.00X1.600X5.8600</t>
        </is>
      </c>
      <c r="J1270" t="inlineStr">
        <is>
          <t>TVS</t>
        </is>
      </c>
      <c r="K1270" t="inlineStr">
        <is>
          <t>40-20-1.6-ERW 1-FC-1</t>
        </is>
      </c>
    </row>
    <row r="1271">
      <c r="A1271" t="inlineStr">
        <is>
          <t>0000189002</t>
        </is>
      </c>
      <c r="B1271" t="inlineStr">
        <is>
          <t>Marathwada Auto Compo Pvt. Ltd.</t>
        </is>
      </c>
      <c r="C1271" t="inlineStr">
        <is>
          <t>M</t>
        </is>
      </c>
      <c r="D1271" t="n">
        <v>200</v>
      </c>
      <c r="E1271" t="n">
        <v>1172</v>
      </c>
      <c r="F1271" t="n">
        <v>3929636</v>
      </c>
      <c r="G1271" t="inlineStr">
        <is>
          <t>40-20-1.6-ERW 1-FC</t>
        </is>
      </c>
      <c r="H1271" t="n">
        <v>1611.383</v>
      </c>
      <c r="I1271" t="inlineStr">
        <is>
          <t>TUB-R-AW-AUT-40.00X20.00X1.600X5.8600</t>
        </is>
      </c>
      <c r="J1271" t="inlineStr">
        <is>
          <t>TVS</t>
        </is>
      </c>
      <c r="K1271" t="inlineStr">
        <is>
          <t>40-20-1.6-ERW 1-FC-1</t>
        </is>
      </c>
    </row>
    <row r="1272">
      <c r="A1272" t="inlineStr">
        <is>
          <t>0000189002</t>
        </is>
      </c>
      <c r="B1272" t="inlineStr">
        <is>
          <t>Marathwada Auto Compo Pvt. Ltd.</t>
        </is>
      </c>
      <c r="C1272" t="inlineStr">
        <is>
          <t>M</t>
        </is>
      </c>
      <c r="D1272" t="n">
        <v>300</v>
      </c>
      <c r="E1272" t="n">
        <v>1704</v>
      </c>
      <c r="F1272" t="n">
        <v>3597714</v>
      </c>
      <c r="G1272" t="inlineStr">
        <is>
          <t>40-20-1.2-CRFH-PE</t>
        </is>
      </c>
      <c r="H1272" t="n">
        <v>1861.45</v>
      </c>
      <c r="I1272" t="inlineStr">
        <is>
          <t>TUB-R-AW-AUT-40.00X20.00X1.200X5.6800</t>
        </is>
      </c>
      <c r="J1272" t="inlineStr">
        <is>
          <t>TVS</t>
        </is>
      </c>
      <c r="K1272" t="inlineStr">
        <is>
          <t>40-20-1.2-CRFH-PE-1</t>
        </is>
      </c>
    </row>
    <row r="1273">
      <c r="A1273" t="inlineStr">
        <is>
          <t>0000189002</t>
        </is>
      </c>
      <c r="B1273" t="inlineStr">
        <is>
          <t>Marathwada Auto Compo Pvt. Ltd.</t>
        </is>
      </c>
      <c r="C1273" t="inlineStr">
        <is>
          <t>M</t>
        </is>
      </c>
      <c r="D1273" t="n">
        <v>31</v>
      </c>
      <c r="E1273" t="n">
        <v>178</v>
      </c>
      <c r="F1273" t="n">
        <v>3597714</v>
      </c>
      <c r="G1273" t="inlineStr">
        <is>
          <t>40-20-1.2-CRFH-PE</t>
        </is>
      </c>
      <c r="H1273" t="n">
        <v>194.447</v>
      </c>
      <c r="I1273" t="inlineStr">
        <is>
          <t>TUB-R-AW-AUT-40.00X20.00X1.200X5.6800</t>
        </is>
      </c>
      <c r="J1273" t="inlineStr">
        <is>
          <t>TVS</t>
        </is>
      </c>
      <c r="K1273" t="inlineStr">
        <is>
          <t>40-20-1.2-CRFH-PE-1</t>
        </is>
      </c>
    </row>
    <row r="1274">
      <c r="A1274" t="inlineStr">
        <is>
          <t>0000189002</t>
        </is>
      </c>
      <c r="B1274" t="inlineStr">
        <is>
          <t>Marathwada Auto Compo Pvt. Ltd.</t>
        </is>
      </c>
      <c r="C1274" t="inlineStr">
        <is>
          <t>M</t>
        </is>
      </c>
      <c r="D1274" t="n">
        <v>169</v>
      </c>
      <c r="E1274" t="n">
        <v>958</v>
      </c>
      <c r="F1274" t="n">
        <v>3597714</v>
      </c>
      <c r="G1274" t="inlineStr">
        <is>
          <t>40-20-1.2-CRFH-PE</t>
        </is>
      </c>
      <c r="H1274" t="n">
        <v>1046.519</v>
      </c>
      <c r="I1274" t="inlineStr">
        <is>
          <t>TUB-R-AW-AUT-40.00X20.00X1.200X5.6800</t>
        </is>
      </c>
      <c r="J1274" t="inlineStr">
        <is>
          <t>TVS</t>
        </is>
      </c>
      <c r="K1274" t="inlineStr">
        <is>
          <t>40-20-1.2-CRFH-PE-1</t>
        </is>
      </c>
    </row>
    <row r="1275">
      <c r="A1275" t="inlineStr">
        <is>
          <t>0000189481</t>
        </is>
      </c>
      <c r="B1275" t="inlineStr">
        <is>
          <t>Rajsriya Automotive Industries</t>
        </is>
      </c>
      <c r="C1275" t="inlineStr">
        <is>
          <t>M</t>
        </is>
      </c>
      <c r="D1275" t="n">
        <v>410</v>
      </c>
      <c r="E1275" t="n">
        <v>2550</v>
      </c>
      <c r="F1275" t="n">
        <v>3500367</v>
      </c>
      <c r="G1275" t="inlineStr">
        <is>
          <t>22.23-0-2.3-ERW 1-PE</t>
        </is>
      </c>
      <c r="H1275" t="n">
        <v>2767.005</v>
      </c>
      <c r="I1275" t="inlineStr">
        <is>
          <t>TUB-O-N-AUT-AW-PE-22.20X2.30X6.220-ERW 1</t>
        </is>
      </c>
      <c r="J1275" t="inlineStr">
        <is>
          <t>TVS</t>
        </is>
      </c>
      <c r="K1275" t="inlineStr">
        <is>
          <t>22.23-0-2.3-ERW 1-PE-1</t>
        </is>
      </c>
    </row>
    <row r="1276">
      <c r="A1276" t="inlineStr">
        <is>
          <t>0000941496</t>
        </is>
      </c>
      <c r="B1276" t="inlineStr">
        <is>
          <t>SANDHAR ENGINEERING PVT LTD.(KA) -U</t>
        </is>
      </c>
      <c r="C1276" t="inlineStr">
        <is>
          <t>NOS</t>
        </is>
      </c>
      <c r="D1276" t="n">
        <v>443</v>
      </c>
      <c r="E1276" t="n">
        <v>121.847</v>
      </c>
      <c r="F1276" t="n">
        <v>3553684</v>
      </c>
      <c r="G1276" t="inlineStr">
        <is>
          <t>22.23-0-1.6-ERW 1-PE</t>
        </is>
      </c>
      <c r="H1276" t="n">
        <v>99.232</v>
      </c>
      <c r="I1276" t="inlineStr">
        <is>
          <t>TUB-O-N-AUT-AW-PE-22.23X1.600X0.2740</t>
        </is>
      </c>
      <c r="J1276" t="inlineStr">
        <is>
          <t>TVS</t>
        </is>
      </c>
      <c r="K1276" t="inlineStr">
        <is>
          <t>22.23-0-1.6-ERW 1-PE-0.274</t>
        </is>
      </c>
    </row>
    <row r="1277">
      <c r="A1277" t="inlineStr">
        <is>
          <t>0000941496</t>
        </is>
      </c>
      <c r="B1277" t="inlineStr">
        <is>
          <t>SANDHAR ENGINEERING PVT LTD.(KA) -U</t>
        </is>
      </c>
      <c r="C1277" t="inlineStr">
        <is>
          <t>NOS</t>
        </is>
      </c>
      <c r="D1277" t="n">
        <v>85</v>
      </c>
      <c r="E1277" t="n">
        <v>23.379</v>
      </c>
      <c r="F1277" t="n">
        <v>3553684</v>
      </c>
      <c r="G1277" t="inlineStr">
        <is>
          <t>22.23-0-1.6-ERW 1-PE</t>
        </is>
      </c>
      <c r="H1277" t="n">
        <v>19.04</v>
      </c>
      <c r="I1277" t="inlineStr">
        <is>
          <t>TUB-O-N-AUT-AW-PE-22.23X1.600X0.2740</t>
        </is>
      </c>
      <c r="J1277" t="inlineStr">
        <is>
          <t>TVS</t>
        </is>
      </c>
      <c r="K1277" t="inlineStr">
        <is>
          <t>22.23-0-1.6-ERW 1-PE-0.274</t>
        </is>
      </c>
    </row>
    <row r="1278">
      <c r="A1278" t="inlineStr">
        <is>
          <t>0000941496</t>
        </is>
      </c>
      <c r="B1278" t="inlineStr">
        <is>
          <t>SANDHAR ENGINEERING PVT LTD.(KA) -U</t>
        </is>
      </c>
      <c r="C1278" t="inlineStr">
        <is>
          <t>NOS</t>
        </is>
      </c>
      <c r="D1278" t="n">
        <v>72</v>
      </c>
      <c r="E1278" t="n">
        <v>19.804</v>
      </c>
      <c r="F1278" t="n">
        <v>3553684</v>
      </c>
      <c r="G1278" t="inlineStr">
        <is>
          <t>22.23-0-1.6-ERW 1-PE</t>
        </is>
      </c>
      <c r="H1278" t="n">
        <v>16.128</v>
      </c>
      <c r="I1278" t="inlineStr">
        <is>
          <t>TUB-O-N-AUT-AW-PE-22.23X1.600X0.2740</t>
        </is>
      </c>
      <c r="J1278" t="inlineStr">
        <is>
          <t>TVS</t>
        </is>
      </c>
      <c r="K1278" t="inlineStr">
        <is>
          <t>22.23-0-1.6-ERW 1-PE-0.274</t>
        </is>
      </c>
    </row>
    <row r="1279">
      <c r="A1279" t="inlineStr">
        <is>
          <t>0000945539</t>
        </is>
      </c>
      <c r="B1279" t="inlineStr">
        <is>
          <t>Sandhar EngineeringPvt.Ltd.(KA)-Uni</t>
        </is>
      </c>
      <c r="C1279" t="inlineStr">
        <is>
          <t>NOS</t>
        </is>
      </c>
      <c r="D1279" t="n">
        <v>1224</v>
      </c>
      <c r="E1279" t="n">
        <v>844.6559999999999</v>
      </c>
      <c r="F1279" t="n">
        <v>3714733</v>
      </c>
      <c r="G1279" t="inlineStr">
        <is>
          <t>22.23-0-1.6-ERW 1-PE</t>
        </is>
      </c>
      <c r="H1279" t="n">
        <v>687.888</v>
      </c>
      <c r="I1279" t="inlineStr">
        <is>
          <t>TUB-O-N-AUT-AW-PE-22.23X1.600X0.690</t>
        </is>
      </c>
      <c r="J1279" t="inlineStr">
        <is>
          <t>TVS</t>
        </is>
      </c>
      <c r="K1279" t="inlineStr">
        <is>
          <t>22.23-0-1.6-ERW 1-PE-0.69</t>
        </is>
      </c>
    </row>
    <row r="1280">
      <c r="A1280" t="inlineStr">
        <is>
          <t>0000945539</t>
        </is>
      </c>
      <c r="B1280" t="inlineStr">
        <is>
          <t>Sandhar EngineeringPvt.Ltd.(KA)-Uni</t>
        </is>
      </c>
      <c r="C1280" t="inlineStr">
        <is>
          <t>NOS</t>
        </is>
      </c>
      <c r="D1280" t="n">
        <v>2270</v>
      </c>
      <c r="E1280" t="n">
        <v>1566.478</v>
      </c>
      <c r="F1280" t="n">
        <v>3714733</v>
      </c>
      <c r="G1280" t="inlineStr">
        <is>
          <t>22.23-0-1.6-ERW 1-PE</t>
        </is>
      </c>
      <c r="H1280" t="n">
        <v>1275.74</v>
      </c>
      <c r="I1280" t="inlineStr">
        <is>
          <t>TUB-O-N-AUT-AW-PE-22.23X1.600X0.690</t>
        </is>
      </c>
      <c r="J1280" t="inlineStr">
        <is>
          <t>TVS</t>
        </is>
      </c>
      <c r="K1280" t="inlineStr">
        <is>
          <t>22.23-0-1.6-ERW 1-PE-0.69</t>
        </is>
      </c>
    </row>
    <row r="1281">
      <c r="A1281" t="inlineStr">
        <is>
          <t>0000945539</t>
        </is>
      </c>
      <c r="B1281" t="inlineStr">
        <is>
          <t>Sandhar EngineeringPvt.Ltd.(KA)-Uni</t>
        </is>
      </c>
      <c r="C1281" t="inlineStr">
        <is>
          <t>NOS</t>
        </is>
      </c>
      <c r="D1281" t="n">
        <v>619</v>
      </c>
      <c r="E1281" t="n">
        <v>427.159</v>
      </c>
      <c r="F1281" t="n">
        <v>3714733</v>
      </c>
      <c r="G1281" t="inlineStr">
        <is>
          <t>22.23-0-1.6-ERW 1-PE</t>
        </is>
      </c>
      <c r="H1281" t="n">
        <v>347.878</v>
      </c>
      <c r="I1281" t="inlineStr">
        <is>
          <t>TUB-O-N-AUT-AW-PE-22.23X1.600X0.690</t>
        </is>
      </c>
      <c r="J1281" t="inlineStr">
        <is>
          <t>TVS</t>
        </is>
      </c>
      <c r="K1281" t="inlineStr">
        <is>
          <t>22.23-0-1.6-ERW 1-PE-0.69</t>
        </is>
      </c>
    </row>
    <row r="1282">
      <c r="A1282" t="inlineStr">
        <is>
          <t>0000945539</t>
        </is>
      </c>
      <c r="B1282" t="inlineStr">
        <is>
          <t>Sandhar EngineeringPvt.Ltd.(KA)-Uni</t>
        </is>
      </c>
      <c r="C1282" t="inlineStr">
        <is>
          <t>NOS</t>
        </is>
      </c>
      <c r="D1282" t="n">
        <v>787</v>
      </c>
      <c r="E1282" t="n">
        <v>543.092</v>
      </c>
      <c r="F1282" t="n">
        <v>3714733</v>
      </c>
      <c r="G1282" t="inlineStr">
        <is>
          <t>22.23-0-1.6-ERW 1-PE</t>
        </is>
      </c>
      <c r="H1282" t="n">
        <v>442.294</v>
      </c>
      <c r="I1282" t="inlineStr">
        <is>
          <t>TUB-O-N-AUT-AW-PE-22.23X1.600X0.690</t>
        </is>
      </c>
      <c r="J1282" t="inlineStr">
        <is>
          <t>TVS</t>
        </is>
      </c>
      <c r="K1282" t="inlineStr">
        <is>
          <t>22.23-0-1.6-ERW 1-PE-0.69</t>
        </is>
      </c>
    </row>
    <row r="1283">
      <c r="A1283" t="inlineStr">
        <is>
          <t>0000944141</t>
        </is>
      </c>
      <c r="B1283" t="inlineStr">
        <is>
          <t>SRIKAM HITECH ENGINEERING PRIVATE L</t>
        </is>
      </c>
      <c r="C1283" t="inlineStr">
        <is>
          <t>NOS</t>
        </is>
      </c>
      <c r="D1283" t="n">
        <v>2558</v>
      </c>
      <c r="E1283" t="n">
        <v>3423.649</v>
      </c>
      <c r="F1283" t="n">
        <v>2349249</v>
      </c>
      <c r="G1283" t="inlineStr">
        <is>
          <t>22.23-0-1.6-ERW 1-PE</t>
        </is>
      </c>
      <c r="H1283" t="n">
        <v>2788.22</v>
      </c>
      <c r="I1283" t="inlineStr">
        <is>
          <t>TUB-O-N-AUT-AW--22.23X1.600X1.3380</t>
        </is>
      </c>
      <c r="J1283" t="inlineStr">
        <is>
          <t>TVS</t>
        </is>
      </c>
      <c r="K1283" t="inlineStr">
        <is>
          <t>22.23-0-1.6-ERW 1-PE-1.338</t>
        </is>
      </c>
    </row>
    <row r="1284">
      <c r="A1284" t="inlineStr">
        <is>
          <t>0000944141</t>
        </is>
      </c>
      <c r="B1284" t="inlineStr">
        <is>
          <t>SRIKAM HITECH ENGINEERING PRIVATE L</t>
        </is>
      </c>
      <c r="C1284" t="inlineStr">
        <is>
          <t>NOS</t>
        </is>
      </c>
      <c r="D1284" t="n">
        <v>1649</v>
      </c>
      <c r="E1284" t="n">
        <v>2207.036</v>
      </c>
      <c r="F1284" t="n">
        <v>2349249</v>
      </c>
      <c r="G1284" t="inlineStr">
        <is>
          <t>22.23-0-1.6-ERW 1-PE</t>
        </is>
      </c>
      <c r="H1284" t="n">
        <v>1797.41</v>
      </c>
      <c r="I1284" t="inlineStr">
        <is>
          <t>TUB-O-N-AUT-AW--22.23X1.600X1.3380</t>
        </is>
      </c>
      <c r="J1284" t="inlineStr">
        <is>
          <t>TVS</t>
        </is>
      </c>
      <c r="K1284" t="inlineStr">
        <is>
          <t>22.23-0-1.6-ERW 1-PE-1.338</t>
        </is>
      </c>
    </row>
    <row r="1285">
      <c r="A1285" t="inlineStr">
        <is>
          <t>0000944141</t>
        </is>
      </c>
      <c r="B1285" t="inlineStr">
        <is>
          <t>SRIKAM HITECH ENGINEERING PRIVATE L</t>
        </is>
      </c>
      <c r="C1285" t="inlineStr">
        <is>
          <t>NOS</t>
        </is>
      </c>
      <c r="D1285" t="n">
        <v>43</v>
      </c>
      <c r="E1285" t="n">
        <v>57.552</v>
      </c>
      <c r="F1285" t="n">
        <v>2349249</v>
      </c>
      <c r="G1285" t="inlineStr">
        <is>
          <t>22.23-0-1.6-ERW 1-PE</t>
        </is>
      </c>
      <c r="H1285" t="n">
        <v>46.87</v>
      </c>
      <c r="I1285" t="inlineStr">
        <is>
          <t>TUB-O-N-AUT-AW--22.23X1.600X1.3380</t>
        </is>
      </c>
      <c r="J1285" t="inlineStr">
        <is>
          <t>TVS</t>
        </is>
      </c>
      <c r="K1285" t="inlineStr">
        <is>
          <t>22.23-0-1.6-ERW 1-PE-1.338</t>
        </is>
      </c>
    </row>
    <row r="1286">
      <c r="A1286" t="inlineStr">
        <is>
          <t>0000944141</t>
        </is>
      </c>
      <c r="B1286" t="inlineStr">
        <is>
          <t>SRIKAM HITECH ENGINEERING PRIVATE L</t>
        </is>
      </c>
      <c r="C1286" t="inlineStr">
        <is>
          <t>NOS</t>
        </is>
      </c>
      <c r="D1286" t="n">
        <v>1958</v>
      </c>
      <c r="E1286" t="n">
        <v>430.767</v>
      </c>
      <c r="F1286" t="n">
        <v>1940430</v>
      </c>
      <c r="G1286" t="inlineStr">
        <is>
          <t>22.23-0-2-ERW 1-PE</t>
        </is>
      </c>
      <c r="H1286" t="n">
        <v>419.491</v>
      </c>
      <c r="I1286" t="inlineStr">
        <is>
          <t>TUB-O-O-AUT-AW-PE-22.23X2.000X0.2200</t>
        </is>
      </c>
      <c r="J1286" t="inlineStr">
        <is>
          <t>TVS</t>
        </is>
      </c>
      <c r="K1286" t="inlineStr">
        <is>
          <t>22.23-0-2-ERW 1-PE-0.22</t>
        </is>
      </c>
    </row>
    <row r="1287">
      <c r="A1287" t="inlineStr">
        <is>
          <t>0000944141</t>
        </is>
      </c>
      <c r="B1287" t="inlineStr">
        <is>
          <t>SRIKAM HITECH ENGINEERING PRIVATE L</t>
        </is>
      </c>
      <c r="C1287" t="inlineStr">
        <is>
          <t>NOS</t>
        </is>
      </c>
      <c r="D1287" t="n">
        <v>1300</v>
      </c>
      <c r="E1287" t="n">
        <v>286.005</v>
      </c>
      <c r="F1287" t="n">
        <v>1940430</v>
      </c>
      <c r="G1287" t="inlineStr">
        <is>
          <t>22.23-0-2-ERW 1-PE</t>
        </is>
      </c>
      <c r="H1287" t="n">
        <v>278.518</v>
      </c>
      <c r="I1287" t="inlineStr">
        <is>
          <t>TUB-O-O-AUT-AW-PE-22.23X2.000X0.2200</t>
        </is>
      </c>
      <c r="J1287" t="inlineStr">
        <is>
          <t>TVS</t>
        </is>
      </c>
      <c r="K1287" t="inlineStr">
        <is>
          <t>22.23-0-2-ERW 1-PE-0.22</t>
        </is>
      </c>
    </row>
    <row r="1288">
      <c r="A1288" t="inlineStr">
        <is>
          <t>0000944141</t>
        </is>
      </c>
      <c r="B1288" t="inlineStr">
        <is>
          <t>SRIKAM HITECH ENGINEERING PRIVATE L</t>
        </is>
      </c>
      <c r="C1288" t="inlineStr">
        <is>
          <t>NOS</t>
        </is>
      </c>
      <c r="D1288" t="n">
        <v>924</v>
      </c>
      <c r="E1288" t="n">
        <v>203.283</v>
      </c>
      <c r="F1288" t="n">
        <v>1940430</v>
      </c>
      <c r="G1288" t="inlineStr">
        <is>
          <t>22.23-0-2-ERW 1-PE</t>
        </is>
      </c>
      <c r="H1288" t="n">
        <v>197.962</v>
      </c>
      <c r="I1288" t="inlineStr">
        <is>
          <t>TUB-O-O-AUT-AW-PE-22.23X2.000X0.2200</t>
        </is>
      </c>
      <c r="J1288" t="inlineStr">
        <is>
          <t>TVS</t>
        </is>
      </c>
      <c r="K1288" t="inlineStr">
        <is>
          <t>22.23-0-2-ERW 1-PE-0.22</t>
        </is>
      </c>
    </row>
    <row r="1289">
      <c r="A1289" t="inlineStr">
        <is>
          <t>0000944141</t>
        </is>
      </c>
      <c r="B1289" t="inlineStr">
        <is>
          <t>SRIKAM HITECH ENGINEERING PRIVATE L</t>
        </is>
      </c>
      <c r="C1289" t="inlineStr">
        <is>
          <t>NOS</t>
        </is>
      </c>
      <c r="D1289" t="n">
        <v>18</v>
      </c>
      <c r="E1289" t="n">
        <v>3.96</v>
      </c>
      <c r="F1289" t="n">
        <v>1940430</v>
      </c>
      <c r="G1289" t="inlineStr">
        <is>
          <t>22.23-0-2-ERW 1-PE</t>
        </is>
      </c>
      <c r="H1289" t="n">
        <v>3.856</v>
      </c>
      <c r="I1289" t="inlineStr">
        <is>
          <t>TUB-O-O-AUT-AW-PE-22.23X2.000X0.2200</t>
        </is>
      </c>
      <c r="J1289" t="inlineStr">
        <is>
          <t>TVS</t>
        </is>
      </c>
      <c r="K1289" t="inlineStr">
        <is>
          <t>22.23-0-2-ERW 1-PE-0.22</t>
        </is>
      </c>
    </row>
    <row r="1290">
      <c r="A1290" t="inlineStr">
        <is>
          <t>0000949970</t>
        </is>
      </c>
      <c r="B1290" t="inlineStr">
        <is>
          <t>SANDHAR ENGINEERING PVTLTD(KA)U-III</t>
        </is>
      </c>
      <c r="C1290" t="inlineStr">
        <is>
          <t>NOS</t>
        </is>
      </c>
      <c r="D1290" t="n">
        <v>1874</v>
      </c>
      <c r="E1290" t="n">
        <v>1453.186</v>
      </c>
      <c r="F1290" t="n">
        <v>2422186</v>
      </c>
      <c r="G1290" t="inlineStr">
        <is>
          <t>22.23-0-2-ERW 1-PE</t>
        </is>
      </c>
      <c r="H1290" t="n">
        <v>1384.886</v>
      </c>
      <c r="I1290" t="inlineStr">
        <is>
          <t>TUB-O-N-AUT-AW-PE-22.23X2.000X0.7750</t>
        </is>
      </c>
      <c r="J1290" t="inlineStr">
        <is>
          <t>TVS</t>
        </is>
      </c>
      <c r="K1290" t="inlineStr">
        <is>
          <t>22.23-0-2-ERW 1-PE-0.775</t>
        </is>
      </c>
    </row>
    <row r="1291">
      <c r="A1291" t="inlineStr">
        <is>
          <t>0000949970</t>
        </is>
      </c>
      <c r="B1291" t="inlineStr">
        <is>
          <t>SANDHAR ENGINEERING PVTLTD(KA)U-III</t>
        </is>
      </c>
      <c r="C1291" t="inlineStr">
        <is>
          <t>NOS</t>
        </is>
      </c>
      <c r="D1291" t="n">
        <v>2098</v>
      </c>
      <c r="E1291" t="n">
        <v>1626.886</v>
      </c>
      <c r="F1291" t="n">
        <v>2422186</v>
      </c>
      <c r="G1291" t="inlineStr">
        <is>
          <t>22.23-0-2-ERW 1-PE</t>
        </is>
      </c>
      <c r="H1291" t="n">
        <v>1550.422</v>
      </c>
      <c r="I1291" t="inlineStr">
        <is>
          <t>TUB-O-N-AUT-AW-PE-22.23X2.000X0.7750</t>
        </is>
      </c>
      <c r="J1291" t="inlineStr">
        <is>
          <t>TVS</t>
        </is>
      </c>
      <c r="K1291" t="inlineStr">
        <is>
          <t>22.23-0-2-ERW 1-PE-0.775</t>
        </is>
      </c>
    </row>
    <row r="1292">
      <c r="A1292" t="inlineStr">
        <is>
          <t>0000949970</t>
        </is>
      </c>
      <c r="B1292" t="inlineStr">
        <is>
          <t>SANDHAR ENGINEERING PVTLTD(KA)U-III</t>
        </is>
      </c>
      <c r="C1292" t="inlineStr">
        <is>
          <t>NOS</t>
        </is>
      </c>
      <c r="D1292" t="n">
        <v>1698</v>
      </c>
      <c r="E1292" t="n">
        <v>1316.707</v>
      </c>
      <c r="F1292" t="n">
        <v>2422186</v>
      </c>
      <c r="G1292" t="inlineStr">
        <is>
          <t>22.23-0-2-ERW 1-PE</t>
        </is>
      </c>
      <c r="H1292" t="n">
        <v>1254.822</v>
      </c>
      <c r="I1292" t="inlineStr">
        <is>
          <t>TUB-O-N-AUT-AW-PE-22.23X2.000X0.7750</t>
        </is>
      </c>
      <c r="J1292" t="inlineStr">
        <is>
          <t>TVS</t>
        </is>
      </c>
      <c r="K1292" t="inlineStr">
        <is>
          <t>22.23-0-2-ERW 1-PE-0.775</t>
        </is>
      </c>
    </row>
    <row r="1293">
      <c r="A1293" t="inlineStr">
        <is>
          <t>0000949970</t>
        </is>
      </c>
      <c r="B1293" t="inlineStr">
        <is>
          <t>SANDHAR ENGINEERING PVTLTD(KA)U-III</t>
        </is>
      </c>
      <c r="C1293" t="inlineStr">
        <is>
          <t>NOS</t>
        </is>
      </c>
      <c r="D1293" t="n">
        <v>775</v>
      </c>
      <c r="E1293" t="n">
        <v>600.971</v>
      </c>
      <c r="F1293" t="n">
        <v>2422186</v>
      </c>
      <c r="G1293" t="inlineStr">
        <is>
          <t>22.23-0-2-ERW 1-PE</t>
        </is>
      </c>
      <c r="H1293" t="n">
        <v>572.725</v>
      </c>
      <c r="I1293" t="inlineStr">
        <is>
          <t>TUB-O-N-AUT-AW-PE-22.23X2.000X0.7750</t>
        </is>
      </c>
      <c r="J1293" t="inlineStr">
        <is>
          <t>TVS</t>
        </is>
      </c>
      <c r="K1293" t="inlineStr">
        <is>
          <t>22.23-0-2-ERW 1-PE-0.775</t>
        </is>
      </c>
    </row>
    <row r="1294">
      <c r="A1294" t="inlineStr">
        <is>
          <t>0000949970</t>
        </is>
      </c>
      <c r="B1294" t="inlineStr">
        <is>
          <t>SANDHAR ENGINEERING PVTLTD(KA)U-III</t>
        </is>
      </c>
      <c r="C1294" t="inlineStr">
        <is>
          <t>NOS</t>
        </is>
      </c>
      <c r="D1294" t="n">
        <v>500</v>
      </c>
      <c r="E1294" t="n">
        <v>387.723</v>
      </c>
      <c r="F1294" t="n">
        <v>2422186</v>
      </c>
      <c r="G1294" t="inlineStr">
        <is>
          <t>22.23-0-2-ERW 1-PE</t>
        </is>
      </c>
      <c r="H1294" t="n">
        <v>369.5</v>
      </c>
      <c r="I1294" t="inlineStr">
        <is>
          <t>TUB-O-N-AUT-AW-PE-22.23X2.000X0.7750</t>
        </is>
      </c>
      <c r="J1294" t="inlineStr">
        <is>
          <t>TVS</t>
        </is>
      </c>
      <c r="K1294" t="inlineStr">
        <is>
          <t>22.23-0-2-ERW 1-PE-0.775</t>
        </is>
      </c>
    </row>
    <row r="1295">
      <c r="A1295" t="inlineStr">
        <is>
          <t>0000949970</t>
        </is>
      </c>
      <c r="B1295" t="inlineStr">
        <is>
          <t>SANDHAR ENGINEERING PVTLTD(KA)U-III</t>
        </is>
      </c>
      <c r="C1295" t="inlineStr">
        <is>
          <t>NOS</t>
        </is>
      </c>
      <c r="D1295" t="n">
        <v>237</v>
      </c>
      <c r="E1295" t="n">
        <v>183.781</v>
      </c>
      <c r="F1295" t="n">
        <v>2422186</v>
      </c>
      <c r="G1295" t="inlineStr">
        <is>
          <t>22.23-0-2-ERW 1-PE</t>
        </is>
      </c>
      <c r="H1295" t="n">
        <v>175.143</v>
      </c>
      <c r="I1295" t="inlineStr">
        <is>
          <t>TUB-O-N-AUT-AW-PE-22.23X2.000X0.7750</t>
        </is>
      </c>
      <c r="J1295" t="inlineStr">
        <is>
          <t>TVS</t>
        </is>
      </c>
      <c r="K1295" t="inlineStr">
        <is>
          <t>22.23-0-2-ERW 1-PE-0.775</t>
        </is>
      </c>
    </row>
    <row r="1296">
      <c r="A1296" t="inlineStr">
        <is>
          <t>0000949970</t>
        </is>
      </c>
      <c r="B1296" t="inlineStr">
        <is>
          <t>SANDHAR ENGINEERING PVTLTD(KA)U-III</t>
        </is>
      </c>
      <c r="C1296" t="inlineStr">
        <is>
          <t>NOS</t>
        </is>
      </c>
      <c r="D1296" t="n">
        <v>18</v>
      </c>
      <c r="E1296" t="n">
        <v>13.958</v>
      </c>
      <c r="F1296" t="n">
        <v>2422186</v>
      </c>
      <c r="G1296" t="inlineStr">
        <is>
          <t>22.23-0-2-ERW 1-PE</t>
        </is>
      </c>
      <c r="H1296" t="n">
        <v>13.302</v>
      </c>
      <c r="I1296" t="inlineStr">
        <is>
          <t>TUB-O-N-AUT-AW-PE-22.23X2.000X0.7750</t>
        </is>
      </c>
      <c r="J1296" t="inlineStr">
        <is>
          <t>TVS</t>
        </is>
      </c>
      <c r="K1296" t="inlineStr">
        <is>
          <t>22.23-0-2-ERW 1-PE-0.775</t>
        </is>
      </c>
    </row>
    <row r="1297">
      <c r="A1297" t="inlineStr">
        <is>
          <t>0000949971</t>
        </is>
      </c>
      <c r="B1297" t="inlineStr">
        <is>
          <t>SANDHAR ENGINEERING PVTLTD (KA)UIII</t>
        </is>
      </c>
      <c r="C1297" t="inlineStr">
        <is>
          <t>NOS</t>
        </is>
      </c>
      <c r="D1297" t="n">
        <v>2420</v>
      </c>
      <c r="E1297" t="n">
        <v>2032.829</v>
      </c>
      <c r="F1297" t="n">
        <v>3943202</v>
      </c>
      <c r="G1297" t="inlineStr">
        <is>
          <t>22.23-0-2-ERW 2 MAHS-FC</t>
        </is>
      </c>
      <c r="H1297" t="n">
        <v>2029.17</v>
      </c>
      <c r="I1297" t="inlineStr">
        <is>
          <t>CUT-O-N-AUT-AW-FC-22.23X2.000X0.8400</t>
        </is>
      </c>
      <c r="J1297" t="inlineStr">
        <is>
          <t>TVS</t>
        </is>
      </c>
      <c r="K1297" t="inlineStr">
        <is>
          <t>22.23-0-2-ERW 2 MAHS-FC-0.84</t>
        </is>
      </c>
    </row>
    <row r="1298">
      <c r="A1298" t="inlineStr">
        <is>
          <t>0000949971</t>
        </is>
      </c>
      <c r="B1298" t="inlineStr">
        <is>
          <t>SANDHAR ENGINEERING PVTLTD (KA)UIII</t>
        </is>
      </c>
      <c r="C1298" t="inlineStr">
        <is>
          <t>NOS</t>
        </is>
      </c>
      <c r="D1298" t="n">
        <v>5</v>
      </c>
      <c r="E1298" t="n">
        <v>4.2</v>
      </c>
      <c r="F1298" t="n">
        <v>3943202</v>
      </c>
      <c r="G1298" t="inlineStr">
        <is>
          <t>22.23-0-2-ERW 2 MAHS-FC</t>
        </is>
      </c>
      <c r="H1298" t="n">
        <v>4.192</v>
      </c>
      <c r="I1298" t="inlineStr">
        <is>
          <t>CUT-O-N-AUT-AW-FC-22.23X2.000X0.8400</t>
        </is>
      </c>
      <c r="J1298" t="inlineStr">
        <is>
          <t>TVS</t>
        </is>
      </c>
      <c r="K1298" t="inlineStr">
        <is>
          <t>22.23-0-2-ERW 2 MAHS-FC-0.84</t>
        </is>
      </c>
    </row>
    <row r="1299">
      <c r="A1299" t="inlineStr">
        <is>
          <t>0000949971</t>
        </is>
      </c>
      <c r="B1299" t="inlineStr">
        <is>
          <t>SANDHAR ENGINEERING PVTLTD (KA)UIII</t>
        </is>
      </c>
      <c r="C1299" t="inlineStr">
        <is>
          <t>NOS</t>
        </is>
      </c>
      <c r="D1299" t="n">
        <v>3174</v>
      </c>
      <c r="E1299" t="n">
        <v>2666.198</v>
      </c>
      <c r="F1299" t="n">
        <v>3943202</v>
      </c>
      <c r="G1299" t="inlineStr">
        <is>
          <t>22.23-0-2-ERW 2 MAHS-FC</t>
        </is>
      </c>
      <c r="H1299" t="n">
        <v>2661.399</v>
      </c>
      <c r="I1299" t="inlineStr">
        <is>
          <t>CUT-O-N-AUT-AW-FC-22.23X2.000X0.8400</t>
        </is>
      </c>
      <c r="J1299" t="inlineStr">
        <is>
          <t>TVS</t>
        </is>
      </c>
      <c r="K1299" t="inlineStr">
        <is>
          <t>22.23-0-2-ERW 2 MAHS-FC-0.84</t>
        </is>
      </c>
    </row>
    <row r="1300">
      <c r="A1300" t="inlineStr">
        <is>
          <t>0000949971</t>
        </is>
      </c>
      <c r="B1300" t="inlineStr">
        <is>
          <t>SANDHAR ENGINEERING PVTLTD (KA)UIII</t>
        </is>
      </c>
      <c r="C1300" t="inlineStr">
        <is>
          <t>NOS</t>
        </is>
      </c>
      <c r="D1300" t="n">
        <v>1324</v>
      </c>
      <c r="E1300" t="n">
        <v>1112.176</v>
      </c>
      <c r="F1300" t="n">
        <v>3943202</v>
      </c>
      <c r="G1300" t="inlineStr">
        <is>
          <t>22.23-0-2-ERW 2 MAHS-FC</t>
        </is>
      </c>
      <c r="H1300" t="n">
        <v>1110.174</v>
      </c>
      <c r="I1300" t="inlineStr">
        <is>
          <t>CUT-O-N-AUT-AW-FC-22.23X2.000X0.8400</t>
        </is>
      </c>
      <c r="J1300" t="inlineStr">
        <is>
          <t>TVS</t>
        </is>
      </c>
      <c r="K1300" t="inlineStr">
        <is>
          <t>22.23-0-2-ERW 2 MAHS-FC-0.84</t>
        </is>
      </c>
    </row>
    <row r="1301">
      <c r="A1301" t="inlineStr">
        <is>
          <t>0000949971</t>
        </is>
      </c>
      <c r="B1301" t="inlineStr">
        <is>
          <t>SANDHAR ENGINEERING PVTLTD (KA)UIII</t>
        </is>
      </c>
      <c r="C1301" t="inlineStr">
        <is>
          <t>NOS</t>
        </is>
      </c>
      <c r="D1301" t="n">
        <v>1049</v>
      </c>
      <c r="E1301" t="n">
        <v>881.173</v>
      </c>
      <c r="F1301" t="n">
        <v>3943202</v>
      </c>
      <c r="G1301" t="inlineStr">
        <is>
          <t>22.23-0-2-ERW 2 MAHS-FC</t>
        </is>
      </c>
      <c r="H1301" t="n">
        <v>879.587</v>
      </c>
      <c r="I1301" t="inlineStr">
        <is>
          <t>CUT-O-N-AUT-AW-FC-22.23X2.000X0.8400</t>
        </is>
      </c>
      <c r="J1301" t="inlineStr">
        <is>
          <t>TVS</t>
        </is>
      </c>
      <c r="K1301" t="inlineStr">
        <is>
          <t>22.23-0-2-ERW 2 MAHS-FC-0.84</t>
        </is>
      </c>
    </row>
    <row r="1302">
      <c r="A1302" t="inlineStr">
        <is>
          <t>0000949971</t>
        </is>
      </c>
      <c r="B1302" t="inlineStr">
        <is>
          <t>SANDHAR ENGINEERING PVTLTD (KA)UIII</t>
        </is>
      </c>
      <c r="C1302" t="inlineStr">
        <is>
          <t>NOS</t>
        </is>
      </c>
      <c r="D1302" t="n">
        <v>503</v>
      </c>
      <c r="E1302" t="n">
        <v>422.526</v>
      </c>
      <c r="F1302" t="n">
        <v>3943202</v>
      </c>
      <c r="G1302" t="inlineStr">
        <is>
          <t>22.23-0-2-ERW 2 MAHS-FC</t>
        </is>
      </c>
      <c r="H1302" t="n">
        <v>421.766</v>
      </c>
      <c r="I1302" t="inlineStr">
        <is>
          <t>CUT-O-N-AUT-AW-FC-22.23X2.000X0.8400</t>
        </is>
      </c>
      <c r="J1302" t="inlineStr">
        <is>
          <t>TVS</t>
        </is>
      </c>
      <c r="K1302" t="inlineStr">
        <is>
          <t>22.23-0-2-ERW 2 MAHS-FC-0.84</t>
        </is>
      </c>
    </row>
    <row r="1303">
      <c r="A1303" t="inlineStr">
        <is>
          <t>0000189239</t>
        </is>
      </c>
      <c r="B1303" t="inlineStr">
        <is>
          <t>Rajsriya Automotive Ind. Pvt Ltd</t>
        </is>
      </c>
      <c r="C1303" t="inlineStr">
        <is>
          <t>NOS</t>
        </is>
      </c>
      <c r="D1303" t="n">
        <v>2340</v>
      </c>
      <c r="E1303" t="n">
        <v>3101.403</v>
      </c>
      <c r="F1303" t="n">
        <v>2420106</v>
      </c>
      <c r="G1303" t="inlineStr">
        <is>
          <t>22.23-0-2-ERW 1-PE</t>
        </is>
      </c>
      <c r="H1303" t="n">
        <v>3095.82</v>
      </c>
      <c r="I1303" t="inlineStr">
        <is>
          <t>TUB-O-N-AUT-AW-PE-22.23X2.000X1.3250</t>
        </is>
      </c>
      <c r="J1303" t="inlineStr">
        <is>
          <t>TVS</t>
        </is>
      </c>
      <c r="K1303" t="inlineStr">
        <is>
          <t>22.23-0-2-ERW 1-PE-1.325</t>
        </is>
      </c>
    </row>
    <row r="1304">
      <c r="A1304" t="inlineStr">
        <is>
          <t>0000944141</t>
        </is>
      </c>
      <c r="B1304" t="inlineStr">
        <is>
          <t>SRIKAM HITECH ENGINEERING PRIVATE L</t>
        </is>
      </c>
      <c r="C1304" t="inlineStr">
        <is>
          <t>NOS</t>
        </is>
      </c>
      <c r="D1304" t="n">
        <v>6399</v>
      </c>
      <c r="E1304" t="n">
        <v>1798.148</v>
      </c>
      <c r="F1304" t="n">
        <v>1940584</v>
      </c>
      <c r="G1304" t="inlineStr">
        <is>
          <t>25.4-0-2-ERW 1-FC</t>
        </is>
      </c>
      <c r="H1304" t="n">
        <v>2027.772</v>
      </c>
      <c r="I1304" t="inlineStr">
        <is>
          <t>TUB-O-O-AUT-AW-FC-25.40X2.000X0.2810</t>
        </is>
      </c>
      <c r="J1304" t="inlineStr">
        <is>
          <t>TVS</t>
        </is>
      </c>
      <c r="K1304" t="inlineStr">
        <is>
          <t>25.4-0-2-ERW 1-FC-0.281</t>
        </is>
      </c>
    </row>
    <row r="1305">
      <c r="A1305" t="inlineStr">
        <is>
          <t>0000944141</t>
        </is>
      </c>
      <c r="B1305" t="inlineStr">
        <is>
          <t>SRIKAM HITECH ENGINEERING PRIVATE L</t>
        </is>
      </c>
      <c r="C1305" t="inlineStr">
        <is>
          <t>NOS</t>
        </is>
      </c>
      <c r="D1305" t="n">
        <v>1022</v>
      </c>
      <c r="E1305" t="n">
        <v>287.187</v>
      </c>
      <c r="F1305" t="n">
        <v>1940584</v>
      </c>
      <c r="G1305" t="inlineStr">
        <is>
          <t>25.4-0-2-ERW 1-FC</t>
        </is>
      </c>
      <c r="H1305" t="n">
        <v>323.86</v>
      </c>
      <c r="I1305" t="inlineStr">
        <is>
          <t>TUB-O-O-AUT-AW-FC-25.40X2.000X0.2810</t>
        </is>
      </c>
      <c r="J1305" t="inlineStr">
        <is>
          <t>TVS</t>
        </is>
      </c>
      <c r="K1305" t="inlineStr">
        <is>
          <t>25.4-0-2-ERW 1-FC-0.281</t>
        </is>
      </c>
    </row>
    <row r="1306">
      <c r="A1306" t="inlineStr">
        <is>
          <t>0000944141</t>
        </is>
      </c>
      <c r="B1306" t="inlineStr">
        <is>
          <t>SRIKAM HITECH ENGINEERING PRIVATE L</t>
        </is>
      </c>
      <c r="C1306" t="inlineStr">
        <is>
          <t>NOS</t>
        </is>
      </c>
      <c r="D1306" t="n">
        <v>729</v>
      </c>
      <c r="E1306" t="n">
        <v>204.852</v>
      </c>
      <c r="F1306" t="n">
        <v>1940584</v>
      </c>
      <c r="G1306" t="inlineStr">
        <is>
          <t>25.4-0-2-ERW 1-FC</t>
        </is>
      </c>
      <c r="H1306" t="n">
        <v>231.012</v>
      </c>
      <c r="I1306" t="inlineStr">
        <is>
          <t>TUB-O-O-AUT-AW-FC-25.40X2.000X0.2810</t>
        </is>
      </c>
      <c r="J1306" t="inlineStr">
        <is>
          <t>TVS</t>
        </is>
      </c>
      <c r="K1306" t="inlineStr">
        <is>
          <t>25.4-0-2-ERW 1-FC-0.281</t>
        </is>
      </c>
    </row>
    <row r="1307">
      <c r="A1307" t="inlineStr">
        <is>
          <t>0000944141</t>
        </is>
      </c>
      <c r="B1307" t="inlineStr">
        <is>
          <t>SRIKAM HITECH ENGINEERING PRIVATE L</t>
        </is>
      </c>
      <c r="C1307" t="inlineStr">
        <is>
          <t>NOS</t>
        </is>
      </c>
      <c r="D1307" t="n">
        <v>4218</v>
      </c>
      <c r="E1307" t="n">
        <v>1185.277</v>
      </c>
      <c r="F1307" t="n">
        <v>1940584</v>
      </c>
      <c r="G1307" t="inlineStr">
        <is>
          <t>25.4-0-2-ERW 1-FC</t>
        </is>
      </c>
      <c r="H1307" t="n">
        <v>1336.637</v>
      </c>
      <c r="I1307" t="inlineStr">
        <is>
          <t>TUB-O-O-AUT-AW-FC-25.40X2.000X0.2810</t>
        </is>
      </c>
      <c r="J1307" t="inlineStr">
        <is>
          <t>TVS</t>
        </is>
      </c>
      <c r="K1307" t="inlineStr">
        <is>
          <t>25.4-0-2-ERW 1-FC-0.281</t>
        </is>
      </c>
    </row>
    <row r="1308">
      <c r="A1308" t="inlineStr">
        <is>
          <t>0000944141</t>
        </is>
      </c>
      <c r="B1308" t="inlineStr">
        <is>
          <t>SRIKAM HITECH ENGINEERING PRIVATE L</t>
        </is>
      </c>
      <c r="C1308" t="inlineStr">
        <is>
          <t>NOS</t>
        </is>
      </c>
      <c r="D1308" t="n">
        <v>1915</v>
      </c>
      <c r="E1308" t="n">
        <v>538.124</v>
      </c>
      <c r="F1308" t="n">
        <v>1940584</v>
      </c>
      <c r="G1308" t="inlineStr">
        <is>
          <t>25.4-0-2-ERW 1-FC</t>
        </is>
      </c>
      <c r="H1308" t="n">
        <v>606.842</v>
      </c>
      <c r="I1308" t="inlineStr">
        <is>
          <t>TUB-O-O-AUT-AW-FC-25.40X2.000X0.2810</t>
        </is>
      </c>
      <c r="J1308" t="inlineStr">
        <is>
          <t>TVS</t>
        </is>
      </c>
      <c r="K1308" t="inlineStr">
        <is>
          <t>25.4-0-2-ERW 1-FC-0.281</t>
        </is>
      </c>
    </row>
    <row r="1309">
      <c r="A1309" t="inlineStr">
        <is>
          <t>0000944141</t>
        </is>
      </c>
      <c r="B1309" t="inlineStr">
        <is>
          <t>SRIKAM HITECH ENGINEERING PRIVATE L</t>
        </is>
      </c>
      <c r="C1309" t="inlineStr">
        <is>
          <t>NOS</t>
        </is>
      </c>
      <c r="D1309" t="n">
        <v>117</v>
      </c>
      <c r="E1309" t="n">
        <v>32.878</v>
      </c>
      <c r="F1309" t="n">
        <v>1940584</v>
      </c>
      <c r="G1309" t="inlineStr">
        <is>
          <t>25.4-0-2-ERW 1-FC</t>
        </is>
      </c>
      <c r="H1309" t="n">
        <v>37.076</v>
      </c>
      <c r="I1309" t="inlineStr">
        <is>
          <t>TUB-O-O-AUT-AW-FC-25.40X2.000X0.2810</t>
        </is>
      </c>
      <c r="J1309" t="inlineStr">
        <is>
          <t>TVS</t>
        </is>
      </c>
      <c r="K1309" t="inlineStr">
        <is>
          <t>25.4-0-2-ERW 1-FC-0.281</t>
        </is>
      </c>
    </row>
    <row r="1310">
      <c r="A1310" t="inlineStr">
        <is>
          <t>0000944141</t>
        </is>
      </c>
      <c r="B1310" t="inlineStr">
        <is>
          <t>SRIKAM HITECH ENGINEERING PRIVATE L</t>
        </is>
      </c>
      <c r="C1310" t="inlineStr">
        <is>
          <t>NOS</t>
        </is>
      </c>
      <c r="D1310" t="n">
        <v>2075</v>
      </c>
      <c r="E1310" t="n">
        <v>583.085</v>
      </c>
      <c r="F1310" t="n">
        <v>1940584</v>
      </c>
      <c r="G1310" t="inlineStr">
        <is>
          <t>25.4-0-2-ERW 1-FC</t>
        </is>
      </c>
      <c r="H1310" t="n">
        <v>657.544</v>
      </c>
      <c r="I1310" t="inlineStr">
        <is>
          <t>TUB-O-O-AUT-AW-FC-25.40X2.000X0.2810</t>
        </is>
      </c>
      <c r="J1310" t="inlineStr">
        <is>
          <t>TVS</t>
        </is>
      </c>
      <c r="K1310" t="inlineStr">
        <is>
          <t>25.4-0-2-ERW 1-FC-0.281</t>
        </is>
      </c>
    </row>
    <row r="1311">
      <c r="A1311" t="inlineStr">
        <is>
          <t>0000940921</t>
        </is>
      </c>
      <c r="B1311" t="inlineStr">
        <is>
          <t>ELKAYEM AUTO ANCILLARIES PVT LTD -U</t>
        </is>
      </c>
      <c r="C1311" t="inlineStr">
        <is>
          <t>M</t>
        </is>
      </c>
      <c r="D1311" t="n">
        <v>356</v>
      </c>
      <c r="E1311" t="n">
        <v>2137.06</v>
      </c>
      <c r="F1311" t="n">
        <v>1931535</v>
      </c>
      <c r="G1311" t="inlineStr">
        <is>
          <t>22.23-0-2-ERW 1-PE</t>
        </is>
      </c>
      <c r="H1311" t="n">
        <v>2133</v>
      </c>
      <c r="I1311" t="inlineStr">
        <is>
          <t>TUB-O-N-GEN-AW-PE-22.23X2.000X6.0000</t>
        </is>
      </c>
      <c r="J1311" t="inlineStr">
        <is>
          <t>TVS</t>
        </is>
      </c>
      <c r="K1311" t="inlineStr">
        <is>
          <t>22.23-0-2-ERW 1-PE-1</t>
        </is>
      </c>
    </row>
    <row r="1312">
      <c r="A1312" t="inlineStr">
        <is>
          <t>0000940921</t>
        </is>
      </c>
      <c r="B1312" t="inlineStr">
        <is>
          <t>ELKAYEM AUTO ANCILLARIES PVT LTD -U</t>
        </is>
      </c>
      <c r="C1312" t="inlineStr">
        <is>
          <t>M</t>
        </is>
      </c>
      <c r="D1312" t="n">
        <v>338</v>
      </c>
      <c r="E1312" t="n">
        <v>2026.851</v>
      </c>
      <c r="F1312" t="n">
        <v>1931535</v>
      </c>
      <c r="G1312" t="inlineStr">
        <is>
          <t>22.23-0-2-ERW 1-PE</t>
        </is>
      </c>
      <c r="H1312" t="n">
        <v>2023</v>
      </c>
      <c r="I1312" t="inlineStr">
        <is>
          <t>TUB-O-N-GEN-AW-PE-22.23X2.000X6.0000</t>
        </is>
      </c>
      <c r="J1312" t="inlineStr">
        <is>
          <t>TVS</t>
        </is>
      </c>
      <c r="K1312" t="inlineStr">
        <is>
          <t>22.23-0-2-ERW 1-PE-1</t>
        </is>
      </c>
    </row>
    <row r="1313">
      <c r="A1313" t="inlineStr">
        <is>
          <t>0000940921</t>
        </is>
      </c>
      <c r="B1313" t="inlineStr">
        <is>
          <t>ELKAYEM AUTO ANCILLARIES PVT LTD -U</t>
        </is>
      </c>
      <c r="C1313" t="inlineStr">
        <is>
          <t>M</t>
        </is>
      </c>
      <c r="D1313" t="n">
        <v>358</v>
      </c>
      <c r="E1313" t="n">
        <v>2149.083</v>
      </c>
      <c r="F1313" t="n">
        <v>1931535</v>
      </c>
      <c r="G1313" t="inlineStr">
        <is>
          <t>22.23-0-2-ERW 1-PE</t>
        </is>
      </c>
      <c r="H1313" t="n">
        <v>2145</v>
      </c>
      <c r="I1313" t="inlineStr">
        <is>
          <t>TUB-O-N-GEN-AW-PE-22.23X2.000X6.0000</t>
        </is>
      </c>
      <c r="J1313" t="inlineStr">
        <is>
          <t>TVS</t>
        </is>
      </c>
      <c r="K1313" t="inlineStr">
        <is>
          <t>22.23-0-2-ERW 1-PE-1</t>
        </is>
      </c>
    </row>
    <row r="1314">
      <c r="A1314" t="inlineStr">
        <is>
          <t>0000940921</t>
        </is>
      </c>
      <c r="B1314" t="inlineStr">
        <is>
          <t>ELKAYEM AUTO ANCILLARIES PVT LTD -U</t>
        </is>
      </c>
      <c r="C1314" t="inlineStr">
        <is>
          <t>M</t>
        </is>
      </c>
      <c r="D1314" t="n">
        <v>352</v>
      </c>
      <c r="E1314" t="n">
        <v>2111.762</v>
      </c>
      <c r="F1314" t="n">
        <v>1931535</v>
      </c>
      <c r="G1314" t="inlineStr">
        <is>
          <t>22.23-0-2-ERW 1-PE</t>
        </is>
      </c>
      <c r="H1314" t="n">
        <v>2107.75</v>
      </c>
      <c r="I1314" t="inlineStr">
        <is>
          <t>TUB-O-N-GEN-AW-PE-22.23X2.000X6.0000</t>
        </is>
      </c>
      <c r="J1314" t="inlineStr">
        <is>
          <t>TVS</t>
        </is>
      </c>
      <c r="K1314" t="inlineStr">
        <is>
          <t>22.23-0-2-ERW 1-PE-1</t>
        </is>
      </c>
    </row>
    <row r="1315">
      <c r="A1315" t="inlineStr">
        <is>
          <t>0000940921</t>
        </is>
      </c>
      <c r="B1315" t="inlineStr">
        <is>
          <t>ELKAYEM AUTO ANCILLARIES PVT LTD -U</t>
        </is>
      </c>
      <c r="C1315" t="inlineStr">
        <is>
          <t>M</t>
        </is>
      </c>
      <c r="D1315" t="n">
        <v>365</v>
      </c>
      <c r="E1315" t="n">
        <v>2189.911</v>
      </c>
      <c r="F1315" t="n">
        <v>1931535</v>
      </c>
      <c r="G1315" t="inlineStr">
        <is>
          <t>22.23-0-2-ERW 1-PE</t>
        </is>
      </c>
      <c r="H1315" t="n">
        <v>2185.75</v>
      </c>
      <c r="I1315" t="inlineStr">
        <is>
          <t>TUB-O-N-GEN-AW-PE-22.23X2.000X6.0000</t>
        </is>
      </c>
      <c r="J1315" t="inlineStr">
        <is>
          <t>TVS</t>
        </is>
      </c>
      <c r="K1315" t="inlineStr">
        <is>
          <t>22.23-0-2-ERW 1-PE-1</t>
        </is>
      </c>
    </row>
    <row r="1316">
      <c r="A1316" t="inlineStr">
        <is>
          <t>0000940921</t>
        </is>
      </c>
      <c r="B1316" t="inlineStr">
        <is>
          <t>ELKAYEM AUTO ANCILLARIES PVT LTD -U</t>
        </is>
      </c>
      <c r="C1316" t="inlineStr">
        <is>
          <t>M</t>
        </is>
      </c>
      <c r="D1316" t="n">
        <v>181</v>
      </c>
      <c r="E1316" t="n">
        <v>1086.815</v>
      </c>
      <c r="F1316" t="n">
        <v>1931535</v>
      </c>
      <c r="G1316" t="inlineStr">
        <is>
          <t>22.23-0-2-ERW 1-PE</t>
        </is>
      </c>
      <c r="H1316" t="n">
        <v>1084.75</v>
      </c>
      <c r="I1316" t="inlineStr">
        <is>
          <t>TUB-O-N-GEN-AW-PE-22.23X2.000X6.0000</t>
        </is>
      </c>
      <c r="J1316" t="inlineStr">
        <is>
          <t>TVS</t>
        </is>
      </c>
      <c r="K1316" t="inlineStr">
        <is>
          <t>22.23-0-2-ERW 1-PE-1</t>
        </is>
      </c>
    </row>
    <row r="1317">
      <c r="A1317" t="inlineStr">
        <is>
          <t>0000940921</t>
        </is>
      </c>
      <c r="B1317" t="inlineStr">
        <is>
          <t>ELKAYEM AUTO ANCILLARIES PVT LTD -U</t>
        </is>
      </c>
      <c r="C1317" t="inlineStr">
        <is>
          <t>M</t>
        </is>
      </c>
      <c r="D1317" t="n">
        <v>192</v>
      </c>
      <c r="E1317" t="n">
        <v>1154.193</v>
      </c>
      <c r="F1317" t="n">
        <v>1931535</v>
      </c>
      <c r="G1317" t="inlineStr">
        <is>
          <t>22.23-0-2-ERW 1-PE</t>
        </is>
      </c>
      <c r="H1317" t="n">
        <v>1152</v>
      </c>
      <c r="I1317" t="inlineStr">
        <is>
          <t>TUB-O-N-GEN-AW-PE-22.23X2.000X6.0000</t>
        </is>
      </c>
      <c r="J1317" t="inlineStr">
        <is>
          <t>TVS</t>
        </is>
      </c>
      <c r="K1317" t="inlineStr">
        <is>
          <t>22.23-0-2-ERW 1-PE-1</t>
        </is>
      </c>
    </row>
    <row r="1318">
      <c r="A1318" t="inlineStr">
        <is>
          <t>0000940921</t>
        </is>
      </c>
      <c r="B1318" t="inlineStr">
        <is>
          <t>ELKAYEM AUTO ANCILLARIES PVT LTD -U</t>
        </is>
      </c>
      <c r="C1318" t="inlineStr">
        <is>
          <t>M</t>
        </is>
      </c>
      <c r="D1318" t="n">
        <v>12</v>
      </c>
      <c r="E1318" t="n">
        <v>74.325</v>
      </c>
      <c r="F1318" t="n">
        <v>1931535</v>
      </c>
      <c r="G1318" t="inlineStr">
        <is>
          <t>22.23-0-2-ERW 1-PE</t>
        </is>
      </c>
      <c r="H1318" t="n">
        <v>74.184</v>
      </c>
      <c r="I1318" t="inlineStr">
        <is>
          <t>TUB-O-N-GEN-AW-PE-22.23X2.000X6.0000</t>
        </is>
      </c>
      <c r="J1318" t="inlineStr">
        <is>
          <t>TVS</t>
        </is>
      </c>
      <c r="K1318" t="inlineStr">
        <is>
          <t>22.23-0-2-ERW 1-PE-1</t>
        </is>
      </c>
    </row>
    <row r="1319">
      <c r="A1319" t="inlineStr">
        <is>
          <t>0000189002</t>
        </is>
      </c>
      <c r="B1319" t="inlineStr">
        <is>
          <t>Marathwada Auto Compo Pvt. Ltd.</t>
        </is>
      </c>
      <c r="C1319" t="inlineStr">
        <is>
          <t>NOS</t>
        </is>
      </c>
      <c r="D1319" t="n">
        <v>875</v>
      </c>
      <c r="E1319" t="n">
        <v>2231.158</v>
      </c>
      <c r="F1319" t="n">
        <v>2426142</v>
      </c>
      <c r="G1319" t="inlineStr">
        <is>
          <t>25.4-0-1.2-ERW 1-PE</t>
        </is>
      </c>
      <c r="H1319" t="n">
        <v>1598.625</v>
      </c>
      <c r="I1319" t="inlineStr">
        <is>
          <t>TUB-O-N-AUT-AW-PE-25.40X1.200X2.5500</t>
        </is>
      </c>
      <c r="J1319" t="inlineStr">
        <is>
          <t>TVS</t>
        </is>
      </c>
      <c r="K1319" t="inlineStr">
        <is>
          <t>25.4-0-1.2-ERW 1-PE-2.55</t>
        </is>
      </c>
    </row>
    <row r="1320">
      <c r="A1320" t="inlineStr">
        <is>
          <t>0000189002</t>
        </is>
      </c>
      <c r="B1320" t="inlineStr">
        <is>
          <t>Marathwada Auto Compo Pvt. Ltd.</t>
        </is>
      </c>
      <c r="C1320" t="inlineStr">
        <is>
          <t>NOS</t>
        </is>
      </c>
      <c r="D1320" t="n">
        <v>875</v>
      </c>
      <c r="E1320" t="n">
        <v>2231.158</v>
      </c>
      <c r="F1320" t="n">
        <v>2426142</v>
      </c>
      <c r="G1320" t="inlineStr">
        <is>
          <t>25.4-0-1.2-ERW 1-PE</t>
        </is>
      </c>
      <c r="H1320" t="n">
        <v>1598.625</v>
      </c>
      <c r="I1320" t="inlineStr">
        <is>
          <t>TUB-O-N-AUT-AW-PE-25.40X1.200X2.5500</t>
        </is>
      </c>
      <c r="J1320" t="inlineStr">
        <is>
          <t>TVS</t>
        </is>
      </c>
      <c r="K1320" t="inlineStr">
        <is>
          <t>25.4-0-1.2-ERW 1-PE-2.55</t>
        </is>
      </c>
    </row>
    <row r="1321">
      <c r="A1321" t="inlineStr">
        <is>
          <t>0000189002</t>
        </is>
      </c>
      <c r="B1321" t="inlineStr">
        <is>
          <t>Marathwada Auto Compo Pvt. Ltd.</t>
        </is>
      </c>
      <c r="C1321" t="inlineStr">
        <is>
          <t>NOS</t>
        </is>
      </c>
      <c r="D1321" t="n">
        <v>620</v>
      </c>
      <c r="E1321" t="n">
        <v>1580.935</v>
      </c>
      <c r="F1321" t="n">
        <v>2426142</v>
      </c>
      <c r="G1321" t="inlineStr">
        <is>
          <t>25.4-0-1.2-ERW 1-PE</t>
        </is>
      </c>
      <c r="H1321" t="n">
        <v>1132.74</v>
      </c>
      <c r="I1321" t="inlineStr">
        <is>
          <t>TUB-O-N-AUT-AW-PE-25.40X1.200X2.5500</t>
        </is>
      </c>
      <c r="J1321" t="inlineStr">
        <is>
          <t>TVS</t>
        </is>
      </c>
      <c r="K1321" t="inlineStr">
        <is>
          <t>25.4-0-1.2-ERW 1-PE-2.55</t>
        </is>
      </c>
    </row>
    <row r="1322">
      <c r="A1322" t="inlineStr">
        <is>
          <t>0000189002</t>
        </is>
      </c>
      <c r="B1322" t="inlineStr">
        <is>
          <t>Marathwada Auto Compo Pvt. Ltd.</t>
        </is>
      </c>
      <c r="C1322" t="inlineStr">
        <is>
          <t>NOS</t>
        </is>
      </c>
      <c r="D1322" t="n">
        <v>270</v>
      </c>
      <c r="E1322" t="n">
        <v>688.472</v>
      </c>
      <c r="F1322" t="n">
        <v>2426142</v>
      </c>
      <c r="G1322" t="inlineStr">
        <is>
          <t>25.4-0-1.2-ERW 1-PE</t>
        </is>
      </c>
      <c r="H1322" t="n">
        <v>493.29</v>
      </c>
      <c r="I1322" t="inlineStr">
        <is>
          <t>TUB-O-N-AUT-AW-PE-25.40X1.200X2.5500</t>
        </is>
      </c>
      <c r="J1322" t="inlineStr">
        <is>
          <t>TVS</t>
        </is>
      </c>
      <c r="K1322" t="inlineStr">
        <is>
          <t>25.4-0-1.2-ERW 1-PE-2.55</t>
        </is>
      </c>
    </row>
    <row r="1323">
      <c r="A1323" t="inlineStr">
        <is>
          <t>0000189002</t>
        </is>
      </c>
      <c r="B1323" t="inlineStr">
        <is>
          <t>Marathwada Auto Compo Pvt. Ltd.</t>
        </is>
      </c>
      <c r="C1323" t="inlineStr">
        <is>
          <t>NOS</t>
        </is>
      </c>
      <c r="D1323" t="n">
        <v>379</v>
      </c>
      <c r="E1323" t="n">
        <v>966.41</v>
      </c>
      <c r="F1323" t="n">
        <v>2426142</v>
      </c>
      <c r="G1323" t="inlineStr">
        <is>
          <t>25.4-0-1.2-ERW 1-PE</t>
        </is>
      </c>
      <c r="H1323" t="n">
        <v>692.433</v>
      </c>
      <c r="I1323" t="inlineStr">
        <is>
          <t>TUB-O-N-AUT-AW-PE-25.40X1.200X2.5500</t>
        </is>
      </c>
      <c r="J1323" t="inlineStr">
        <is>
          <t>TVS</t>
        </is>
      </c>
      <c r="K1323" t="inlineStr">
        <is>
          <t>25.4-0-1.2-ERW 1-PE-2.55</t>
        </is>
      </c>
    </row>
    <row r="1324">
      <c r="A1324" t="inlineStr">
        <is>
          <t>0000189002</t>
        </is>
      </c>
      <c r="B1324" t="inlineStr">
        <is>
          <t>Marathwada Auto Compo Pvt. Ltd.</t>
        </is>
      </c>
      <c r="C1324" t="inlineStr">
        <is>
          <t>NOS</t>
        </is>
      </c>
      <c r="D1324" t="n">
        <v>246</v>
      </c>
      <c r="E1324" t="n">
        <v>627.274</v>
      </c>
      <c r="F1324" t="n">
        <v>2426142</v>
      </c>
      <c r="G1324" t="inlineStr">
        <is>
          <t>25.4-0-1.2-ERW 1-PE</t>
        </is>
      </c>
      <c r="H1324" t="n">
        <v>449.442</v>
      </c>
      <c r="I1324" t="inlineStr">
        <is>
          <t>TUB-O-N-AUT-AW-PE-25.40X1.200X2.5500</t>
        </is>
      </c>
      <c r="J1324" t="inlineStr">
        <is>
          <t>TVS</t>
        </is>
      </c>
      <c r="K1324" t="inlineStr">
        <is>
          <t>25.4-0-1.2-ERW 1-PE-2.55</t>
        </is>
      </c>
    </row>
    <row r="1325">
      <c r="A1325" t="inlineStr">
        <is>
          <t>0000189002</t>
        </is>
      </c>
      <c r="B1325" t="inlineStr">
        <is>
          <t>Marathwada Auto Compo Pvt. Ltd.</t>
        </is>
      </c>
      <c r="C1325" t="inlineStr">
        <is>
          <t>NOS</t>
        </is>
      </c>
      <c r="D1325" t="n">
        <v>215</v>
      </c>
      <c r="E1325" t="n">
        <v>548.227</v>
      </c>
      <c r="F1325" t="n">
        <v>2426142</v>
      </c>
      <c r="G1325" t="inlineStr">
        <is>
          <t>25.4-0-1.2-ERW 1-PE</t>
        </is>
      </c>
      <c r="H1325" t="n">
        <v>392.805</v>
      </c>
      <c r="I1325" t="inlineStr">
        <is>
          <t>TUB-O-N-AUT-AW-PE-25.40X1.200X2.5500</t>
        </is>
      </c>
      <c r="J1325" t="inlineStr">
        <is>
          <t>TVS</t>
        </is>
      </c>
      <c r="K1325" t="inlineStr">
        <is>
          <t>25.4-0-1.2-ERW 1-PE-2.55</t>
        </is>
      </c>
    </row>
    <row r="1326">
      <c r="A1326" t="inlineStr">
        <is>
          <t>0000948721</t>
        </is>
      </c>
      <c r="B1326" t="inlineStr">
        <is>
          <t>ELKAYEM AUTO ANCILLARIES PRIVATE LI</t>
        </is>
      </c>
      <c r="C1326" t="inlineStr">
        <is>
          <t>NOS</t>
        </is>
      </c>
      <c r="D1326" t="n">
        <v>543</v>
      </c>
      <c r="E1326" t="n">
        <v>317.576</v>
      </c>
      <c r="F1326" t="n">
        <v>1940825</v>
      </c>
      <c r="G1326" t="inlineStr">
        <is>
          <t>40-25-1.6-ERW 1-FC</t>
        </is>
      </c>
      <c r="H1326" t="n">
        <v>497.388</v>
      </c>
      <c r="I1326" t="inlineStr">
        <is>
          <t>TUB-R-AW-RHS-40.00X25.00X1.600X0.5850</t>
        </is>
      </c>
      <c r="J1326" t="inlineStr">
        <is>
          <t>TVS</t>
        </is>
      </c>
      <c r="K1326" t="inlineStr">
        <is>
          <t>40-25-1.6-ERW 1-FC-0.585</t>
        </is>
      </c>
    </row>
    <row r="1327">
      <c r="A1327" t="inlineStr">
        <is>
          <t>0000948721</t>
        </is>
      </c>
      <c r="B1327" t="inlineStr">
        <is>
          <t>ELKAYEM AUTO ANCILLARIES PRIVATE LI</t>
        </is>
      </c>
      <c r="C1327" t="inlineStr">
        <is>
          <t>NOS</t>
        </is>
      </c>
      <c r="D1327" t="n">
        <v>319</v>
      </c>
      <c r="E1327" t="n">
        <v>186.569</v>
      </c>
      <c r="F1327" t="n">
        <v>1940825</v>
      </c>
      <c r="G1327" t="inlineStr">
        <is>
          <t>40-25-1.6-ERW 1-FC</t>
        </is>
      </c>
      <c r="H1327" t="n">
        <v>292.204</v>
      </c>
      <c r="I1327" t="inlineStr">
        <is>
          <t>TUB-R-AW-RHS-40.00X25.00X1.600X0.5850</t>
        </is>
      </c>
      <c r="J1327" t="inlineStr">
        <is>
          <t>TVS</t>
        </is>
      </c>
      <c r="K1327" t="inlineStr">
        <is>
          <t>40-25-1.6-ERW 1-FC-0.585</t>
        </is>
      </c>
    </row>
    <row r="1328">
      <c r="A1328" t="inlineStr">
        <is>
          <t>0000948721</t>
        </is>
      </c>
      <c r="B1328" t="inlineStr">
        <is>
          <t>ELKAYEM AUTO ANCILLARIES PRIVATE LI</t>
        </is>
      </c>
      <c r="C1328" t="inlineStr">
        <is>
          <t>NOS</t>
        </is>
      </c>
      <c r="D1328" t="n">
        <v>18</v>
      </c>
      <c r="E1328" t="n">
        <v>10.527</v>
      </c>
      <c r="F1328" t="n">
        <v>1940825</v>
      </c>
      <c r="G1328" t="inlineStr">
        <is>
          <t>40-25-1.6-ERW 1-FC</t>
        </is>
      </c>
      <c r="H1328" t="n">
        <v>16.488</v>
      </c>
      <c r="I1328" t="inlineStr">
        <is>
          <t>TUB-R-AW-RHS-40.00X25.00X1.600X0.5850</t>
        </is>
      </c>
      <c r="J1328" t="inlineStr">
        <is>
          <t>TVS</t>
        </is>
      </c>
      <c r="K1328" t="inlineStr">
        <is>
          <t>40-25-1.6-ERW 1-FC-0.585</t>
        </is>
      </c>
    </row>
    <row r="1329">
      <c r="A1329" t="inlineStr">
        <is>
          <t>0000948721</t>
        </is>
      </c>
      <c r="B1329" t="inlineStr">
        <is>
          <t>ELKAYEM AUTO ANCILLARIES PRIVATE LI</t>
        </is>
      </c>
      <c r="C1329" t="inlineStr">
        <is>
          <t>NOS</t>
        </is>
      </c>
      <c r="D1329" t="n">
        <v>1765</v>
      </c>
      <c r="E1329" t="n">
        <v>1032.269</v>
      </c>
      <c r="F1329" t="n">
        <v>1940825</v>
      </c>
      <c r="G1329" t="inlineStr">
        <is>
          <t>40-25-1.6-ERW 1-FC</t>
        </is>
      </c>
      <c r="H1329" t="n">
        <v>1616.74</v>
      </c>
      <c r="I1329" t="inlineStr">
        <is>
          <t>TUB-R-AW-RHS-40.00X25.00X1.600X0.5850</t>
        </is>
      </c>
      <c r="J1329" t="inlineStr">
        <is>
          <t>TVS</t>
        </is>
      </c>
      <c r="K1329" t="inlineStr">
        <is>
          <t>40-25-1.6-ERW 1-FC-0.585</t>
        </is>
      </c>
    </row>
    <row r="1330">
      <c r="A1330" t="inlineStr">
        <is>
          <t>0000948721</t>
        </is>
      </c>
      <c r="B1330" t="inlineStr">
        <is>
          <t>ELKAYEM AUTO ANCILLARIES PRIVATE LI</t>
        </is>
      </c>
      <c r="C1330" t="inlineStr">
        <is>
          <t>NOS</t>
        </is>
      </c>
      <c r="D1330" t="n">
        <v>95</v>
      </c>
      <c r="E1330" t="n">
        <v>55.561</v>
      </c>
      <c r="F1330" t="n">
        <v>1940825</v>
      </c>
      <c r="G1330" t="inlineStr">
        <is>
          <t>40-25-1.6-ERW 1-FC</t>
        </is>
      </c>
      <c r="H1330" t="n">
        <v>87.02</v>
      </c>
      <c r="I1330" t="inlineStr">
        <is>
          <t>TUB-R-AW-RHS-40.00X25.00X1.600X0.5850</t>
        </is>
      </c>
      <c r="J1330" t="inlineStr">
        <is>
          <t>TVS</t>
        </is>
      </c>
      <c r="K1330" t="inlineStr">
        <is>
          <t>40-25-1.6-ERW 1-FC-0.585</t>
        </is>
      </c>
    </row>
    <row r="1331">
      <c r="A1331" t="inlineStr">
        <is>
          <t>0000948721</t>
        </is>
      </c>
      <c r="B1331" t="inlineStr">
        <is>
          <t>ELKAYEM AUTO ANCILLARIES PRIVATE LI</t>
        </is>
      </c>
      <c r="C1331" t="inlineStr">
        <is>
          <t>NOS</t>
        </is>
      </c>
      <c r="D1331" t="n">
        <v>2118</v>
      </c>
      <c r="E1331" t="n">
        <v>1017.322</v>
      </c>
      <c r="F1331" t="n">
        <v>1940815</v>
      </c>
      <c r="G1331" t="inlineStr">
        <is>
          <t>40-20-1.6-ERW 1-FC</t>
        </is>
      </c>
      <c r="H1331" t="n">
        <v>1465.656</v>
      </c>
      <c r="I1331" t="inlineStr">
        <is>
          <t>TUB-R-AW-RHS-40.00X20.00X1.600X0.4800</t>
        </is>
      </c>
      <c r="J1331" t="inlineStr">
        <is>
          <t>TVS</t>
        </is>
      </c>
      <c r="K1331" t="inlineStr">
        <is>
          <t>40-20-1.6-ERW 1-FC-0.48</t>
        </is>
      </c>
    </row>
    <row r="1332">
      <c r="A1332" t="inlineStr">
        <is>
          <t>0000948721</t>
        </is>
      </c>
      <c r="B1332" t="inlineStr">
        <is>
          <t>ELKAYEM AUTO ANCILLARIES PRIVATE LI</t>
        </is>
      </c>
      <c r="C1332" t="inlineStr">
        <is>
          <t>NOS</t>
        </is>
      </c>
      <c r="D1332" t="n">
        <v>1618</v>
      </c>
      <c r="E1332" t="n">
        <v>777.1609999999999</v>
      </c>
      <c r="F1332" t="n">
        <v>1940815</v>
      </c>
      <c r="G1332" t="inlineStr">
        <is>
          <t>40-20-1.6-ERW 1-FC</t>
        </is>
      </c>
      <c r="H1332" t="n">
        <v>1119.656</v>
      </c>
      <c r="I1332" t="inlineStr">
        <is>
          <t>TUB-R-AW-RHS-40.00X20.00X1.600X0.4800</t>
        </is>
      </c>
      <c r="J1332" t="inlineStr">
        <is>
          <t>TVS</t>
        </is>
      </c>
      <c r="K1332" t="inlineStr">
        <is>
          <t>40-20-1.6-ERW 1-FC-0.48</t>
        </is>
      </c>
    </row>
    <row r="1333">
      <c r="A1333" t="inlineStr">
        <is>
          <t>0000948721</t>
        </is>
      </c>
      <c r="B1333" t="inlineStr">
        <is>
          <t>ELKAYEM AUTO ANCILLARIES PRIVATE LI</t>
        </is>
      </c>
      <c r="C1333" t="inlineStr">
        <is>
          <t>NOS</t>
        </is>
      </c>
      <c r="D1333" t="n">
        <v>424</v>
      </c>
      <c r="E1333" t="n">
        <v>203.657</v>
      </c>
      <c r="F1333" t="n">
        <v>1940815</v>
      </c>
      <c r="G1333" t="inlineStr">
        <is>
          <t>40-20-1.6-ERW 1-FC</t>
        </is>
      </c>
      <c r="H1333" t="n">
        <v>293.408</v>
      </c>
      <c r="I1333" t="inlineStr">
        <is>
          <t>TUB-R-AW-RHS-40.00X20.00X1.600X0.4800</t>
        </is>
      </c>
      <c r="J1333" t="inlineStr">
        <is>
          <t>TVS</t>
        </is>
      </c>
      <c r="K1333" t="inlineStr">
        <is>
          <t>40-20-1.6-ERW 1-FC-0.48</t>
        </is>
      </c>
    </row>
    <row r="1334">
      <c r="A1334" t="inlineStr">
        <is>
          <t>0000948721</t>
        </is>
      </c>
      <c r="B1334" t="inlineStr">
        <is>
          <t>ELKAYEM AUTO ANCILLARIES PRIVATE LI</t>
        </is>
      </c>
      <c r="C1334" t="inlineStr">
        <is>
          <t>NOS</t>
        </is>
      </c>
      <c r="D1334" t="n">
        <v>2998</v>
      </c>
      <c r="E1334" t="n">
        <v>1440.006</v>
      </c>
      <c r="F1334" t="n">
        <v>1940815</v>
      </c>
      <c r="G1334" t="inlineStr">
        <is>
          <t>40-20-1.6-ERW 1-FC</t>
        </is>
      </c>
      <c r="H1334" t="n">
        <v>2074.616</v>
      </c>
      <c r="I1334" t="inlineStr">
        <is>
          <t>TUB-R-AW-RHS-40.00X20.00X1.600X0.4800</t>
        </is>
      </c>
      <c r="J1334" t="inlineStr">
        <is>
          <t>TVS</t>
        </is>
      </c>
      <c r="K1334" t="inlineStr">
        <is>
          <t>40-20-1.6-ERW 1-FC-0.48</t>
        </is>
      </c>
    </row>
    <row r="1335">
      <c r="A1335" t="inlineStr">
        <is>
          <t>0000948721</t>
        </is>
      </c>
      <c r="B1335" t="inlineStr">
        <is>
          <t>ELKAYEM AUTO ANCILLARIES PRIVATE LI</t>
        </is>
      </c>
      <c r="C1335" t="inlineStr">
        <is>
          <t>NOS</t>
        </is>
      </c>
      <c r="D1335" t="n">
        <v>442</v>
      </c>
      <c r="E1335" t="n">
        <v>212.302</v>
      </c>
      <c r="F1335" t="n">
        <v>1940815</v>
      </c>
      <c r="G1335" t="inlineStr">
        <is>
          <t>40-20-1.6-ERW 1-FC</t>
        </is>
      </c>
      <c r="H1335" t="n">
        <v>305.864</v>
      </c>
      <c r="I1335" t="inlineStr">
        <is>
          <t>TUB-R-AW-RHS-40.00X20.00X1.600X0.4800</t>
        </is>
      </c>
      <c r="J1335" t="inlineStr">
        <is>
          <t>TVS</t>
        </is>
      </c>
      <c r="K1335" t="inlineStr">
        <is>
          <t>40-20-1.6-ERW 1-FC-0.48</t>
        </is>
      </c>
    </row>
    <row r="1336">
      <c r="A1336" t="inlineStr">
        <is>
          <t>0000948721</t>
        </is>
      </c>
      <c r="B1336" t="inlineStr">
        <is>
          <t>ELKAYEM AUTO ANCILLARIES PRIVATE LI</t>
        </is>
      </c>
      <c r="C1336" t="inlineStr">
        <is>
          <t>NOS</t>
        </is>
      </c>
      <c r="D1336" t="n">
        <v>1598</v>
      </c>
      <c r="E1336" t="n">
        <v>767.5549999999999</v>
      </c>
      <c r="F1336" t="n">
        <v>1940815</v>
      </c>
      <c r="G1336" t="inlineStr">
        <is>
          <t>40-20-1.6-ERW 1-FC</t>
        </is>
      </c>
      <c r="H1336" t="n">
        <v>1105.816</v>
      </c>
      <c r="I1336" t="inlineStr">
        <is>
          <t>TUB-R-AW-RHS-40.00X20.00X1.600X0.4800</t>
        </is>
      </c>
      <c r="J1336" t="inlineStr">
        <is>
          <t>TVS</t>
        </is>
      </c>
      <c r="K1336" t="inlineStr">
        <is>
          <t>40-20-1.6-ERW 1-FC-0.48</t>
        </is>
      </c>
    </row>
    <row r="1337">
      <c r="A1337" t="inlineStr">
        <is>
          <t>0000948721</t>
        </is>
      </c>
      <c r="B1337" t="inlineStr">
        <is>
          <t>ELKAYEM AUTO ANCILLARIES PRIVATE LI</t>
        </is>
      </c>
      <c r="C1337" t="inlineStr">
        <is>
          <t>NOS</t>
        </is>
      </c>
      <c r="D1337" t="n">
        <v>619</v>
      </c>
      <c r="E1337" t="n">
        <v>297.319</v>
      </c>
      <c r="F1337" t="n">
        <v>1940815</v>
      </c>
      <c r="G1337" t="inlineStr">
        <is>
          <t>40-20-1.6-ERW 1-FC</t>
        </is>
      </c>
      <c r="H1337" t="n">
        <v>428.348</v>
      </c>
      <c r="I1337" t="inlineStr">
        <is>
          <t>TUB-R-AW-RHS-40.00X20.00X1.600X0.4800</t>
        </is>
      </c>
      <c r="J1337" t="inlineStr">
        <is>
          <t>TVS</t>
        </is>
      </c>
      <c r="K1337" t="inlineStr">
        <is>
          <t>40-20-1.6-ERW 1-FC-0.48</t>
        </is>
      </c>
    </row>
    <row r="1338">
      <c r="A1338" t="inlineStr">
        <is>
          <t>0000948721</t>
        </is>
      </c>
      <c r="B1338" t="inlineStr">
        <is>
          <t>ELKAYEM AUTO ANCILLARIES PRIVATE LI</t>
        </is>
      </c>
      <c r="C1338" t="inlineStr">
        <is>
          <t>NOS</t>
        </is>
      </c>
      <c r="D1338" t="n">
        <v>119</v>
      </c>
      <c r="E1338" t="n">
        <v>57.158</v>
      </c>
      <c r="F1338" t="n">
        <v>1940815</v>
      </c>
      <c r="G1338" t="inlineStr">
        <is>
          <t>40-20-1.6-ERW 1-FC</t>
        </is>
      </c>
      <c r="H1338" t="n">
        <v>82.348</v>
      </c>
      <c r="I1338" t="inlineStr">
        <is>
          <t>TUB-R-AW-RHS-40.00X20.00X1.600X0.4800</t>
        </is>
      </c>
      <c r="J1338" t="inlineStr">
        <is>
          <t>TVS</t>
        </is>
      </c>
      <c r="K1338" t="inlineStr">
        <is>
          <t>40-20-1.6-ERW 1-FC-0.48</t>
        </is>
      </c>
    </row>
    <row r="1339">
      <c r="A1339" t="inlineStr">
        <is>
          <t>0000948721</t>
        </is>
      </c>
      <c r="B1339" t="inlineStr">
        <is>
          <t>ELKAYEM AUTO ANCILLARIES PRIVATE LI</t>
        </is>
      </c>
      <c r="C1339" t="inlineStr">
        <is>
          <t>NOS</t>
        </is>
      </c>
      <c r="D1339" t="n">
        <v>4</v>
      </c>
      <c r="E1339" t="n">
        <v>1.921</v>
      </c>
      <c r="F1339" t="n">
        <v>1940815</v>
      </c>
      <c r="G1339" t="inlineStr">
        <is>
          <t>40-20-1.6-ERW 1-FC</t>
        </is>
      </c>
      <c r="H1339" t="n">
        <v>2.768</v>
      </c>
      <c r="I1339" t="inlineStr">
        <is>
          <t>TUB-R-AW-RHS-40.00X20.00X1.600X0.4800</t>
        </is>
      </c>
      <c r="J1339" t="inlineStr">
        <is>
          <t>TVS</t>
        </is>
      </c>
      <c r="K1339" t="inlineStr">
        <is>
          <t>40-20-1.6-ERW 1-FC-0.48</t>
        </is>
      </c>
    </row>
    <row r="1340">
      <c r="A1340" t="inlineStr">
        <is>
          <t>0000188647</t>
        </is>
      </c>
      <c r="B1340" t="inlineStr">
        <is>
          <t>Metalman Auto Private Limited</t>
        </is>
      </c>
      <c r="C1340" t="inlineStr">
        <is>
          <t>NOS</t>
        </is>
      </c>
      <c r="D1340" t="n">
        <v>2449</v>
      </c>
      <c r="E1340" t="n">
        <v>823.721</v>
      </c>
      <c r="F1340" t="n">
        <v>2325421</v>
      </c>
      <c r="G1340" t="inlineStr">
        <is>
          <t>48.6-0-1.2-ERW 1-FC</t>
        </is>
      </c>
      <c r="H1340" t="n">
        <v>1155.928</v>
      </c>
      <c r="I1340" t="inlineStr">
        <is>
          <t>TUB-O-N-AUT-AW-FC-48.60X1.200X0.3360</t>
        </is>
      </c>
      <c r="J1340" t="inlineStr">
        <is>
          <t>TVS</t>
        </is>
      </c>
      <c r="K1340" t="inlineStr">
        <is>
          <t>48.6-0-1.2-ERW 1-FC-0.336</t>
        </is>
      </c>
    </row>
    <row r="1341">
      <c r="A1341" t="inlineStr">
        <is>
          <t>0000188647</t>
        </is>
      </c>
      <c r="B1341" t="inlineStr">
        <is>
          <t>Metalman Auto Private Limited</t>
        </is>
      </c>
      <c r="C1341" t="inlineStr">
        <is>
          <t>NOS</t>
        </is>
      </c>
      <c r="D1341" t="n">
        <v>1349</v>
      </c>
      <c r="E1341" t="n">
        <v>453.736</v>
      </c>
      <c r="F1341" t="n">
        <v>2325421</v>
      </c>
      <c r="G1341" t="inlineStr">
        <is>
          <t>48.6-0-1.2-ERW 1-FC</t>
        </is>
      </c>
      <c r="H1341" t="n">
        <v>636.728</v>
      </c>
      <c r="I1341" t="inlineStr">
        <is>
          <t>TUB-O-N-AUT-AW-FC-48.60X1.200X0.3360</t>
        </is>
      </c>
      <c r="J1341" t="inlineStr">
        <is>
          <t>TVS</t>
        </is>
      </c>
      <c r="K1341" t="inlineStr">
        <is>
          <t>48.6-0-1.2-ERW 1-FC-0.336</t>
        </is>
      </c>
    </row>
    <row r="1342">
      <c r="A1342" t="inlineStr">
        <is>
          <t>0000188647</t>
        </is>
      </c>
      <c r="B1342" t="inlineStr">
        <is>
          <t>Metalman Auto Private Limited</t>
        </is>
      </c>
      <c r="C1342" t="inlineStr">
        <is>
          <t>NOS</t>
        </is>
      </c>
      <c r="D1342" t="n">
        <v>88</v>
      </c>
      <c r="E1342" t="n">
        <v>29.599</v>
      </c>
      <c r="F1342" t="n">
        <v>2325421</v>
      </c>
      <c r="G1342" t="inlineStr">
        <is>
          <t>48.6-0-1.2-ERW 1-FC</t>
        </is>
      </c>
      <c r="H1342" t="n">
        <v>41.536</v>
      </c>
      <c r="I1342" t="inlineStr">
        <is>
          <t>TUB-O-N-AUT-AW-FC-48.60X1.200X0.3360</t>
        </is>
      </c>
      <c r="J1342" t="inlineStr">
        <is>
          <t>TVS</t>
        </is>
      </c>
      <c r="K1342" t="inlineStr">
        <is>
          <t>48.6-0-1.2-ERW 1-FC-0.336</t>
        </is>
      </c>
    </row>
    <row r="1343">
      <c r="A1343" t="inlineStr">
        <is>
          <t>0000188647</t>
        </is>
      </c>
      <c r="B1343" t="inlineStr">
        <is>
          <t>Metalman Auto Private Limited</t>
        </is>
      </c>
      <c r="C1343" t="inlineStr">
        <is>
          <t>NOS</t>
        </is>
      </c>
      <c r="D1343" t="n">
        <v>67</v>
      </c>
      <c r="E1343" t="n">
        <v>22.535</v>
      </c>
      <c r="F1343" t="n">
        <v>2325421</v>
      </c>
      <c r="G1343" t="inlineStr">
        <is>
          <t>48.6-0-1.2-ERW 1-FC</t>
        </is>
      </c>
      <c r="H1343" t="n">
        <v>31.624</v>
      </c>
      <c r="I1343" t="inlineStr">
        <is>
          <t>TUB-O-N-AUT-AW-FC-48.60X1.200X0.3360</t>
        </is>
      </c>
      <c r="J1343" t="inlineStr">
        <is>
          <t>TVS</t>
        </is>
      </c>
      <c r="K1343" t="inlineStr">
        <is>
          <t>48.6-0-1.2-ERW 1-FC-0.336</t>
        </is>
      </c>
    </row>
    <row r="1344">
      <c r="A1344" t="inlineStr">
        <is>
          <t>0000188647</t>
        </is>
      </c>
      <c r="B1344" t="inlineStr">
        <is>
          <t>Metalman Auto Private Limited</t>
        </is>
      </c>
      <c r="C1344" t="inlineStr">
        <is>
          <t>NOS</t>
        </is>
      </c>
      <c r="D1344" t="n">
        <v>47</v>
      </c>
      <c r="E1344" t="n">
        <v>15.808</v>
      </c>
      <c r="F1344" t="n">
        <v>2325421</v>
      </c>
      <c r="G1344" t="inlineStr">
        <is>
          <t>48.6-0-1.2-ERW 1-FC</t>
        </is>
      </c>
      <c r="H1344" t="n">
        <v>22.184</v>
      </c>
      <c r="I1344" t="inlineStr">
        <is>
          <t>TUB-O-N-AUT-AW-FC-48.60X1.200X0.3360</t>
        </is>
      </c>
      <c r="J1344" t="inlineStr">
        <is>
          <t>TVS</t>
        </is>
      </c>
      <c r="K1344" t="inlineStr">
        <is>
          <t>48.6-0-1.2-ERW 1-FC-0.336</t>
        </is>
      </c>
    </row>
    <row r="1345">
      <c r="A1345" t="inlineStr">
        <is>
          <t>0000188647</t>
        </is>
      </c>
      <c r="B1345" t="inlineStr">
        <is>
          <t>Metalman Auto Private Limited</t>
        </is>
      </c>
      <c r="C1345" t="inlineStr">
        <is>
          <t>NOS</t>
        </is>
      </c>
      <c r="D1345" t="n">
        <v>2647.733</v>
      </c>
      <c r="E1345" t="n">
        <v>890.5650000000001</v>
      </c>
      <c r="F1345" t="n">
        <v>2325421</v>
      </c>
      <c r="G1345" t="inlineStr">
        <is>
          <t>48.6-0-1.2-ERW 1-FC</t>
        </is>
      </c>
      <c r="H1345" t="n">
        <v>1249.73</v>
      </c>
      <c r="I1345" t="inlineStr">
        <is>
          <t>TUB-O-N-AUT-AW-FC-48.60X1.200X0.3360</t>
        </is>
      </c>
      <c r="J1345" t="inlineStr">
        <is>
          <t>TVS</t>
        </is>
      </c>
      <c r="K1345" t="inlineStr">
        <is>
          <t>48.6-0-1.2-ERW 1-FC-0.336</t>
        </is>
      </c>
    </row>
    <row r="1346">
      <c r="A1346" t="inlineStr">
        <is>
          <t>0000188647</t>
        </is>
      </c>
      <c r="B1346" t="inlineStr">
        <is>
          <t>Metalman Auto Private Limited</t>
        </is>
      </c>
      <c r="C1346" t="inlineStr">
        <is>
          <t>NOS</t>
        </is>
      </c>
      <c r="D1346" t="n">
        <v>163.826</v>
      </c>
      <c r="E1346" t="n">
        <v>55.103</v>
      </c>
      <c r="F1346" t="n">
        <v>2325421</v>
      </c>
      <c r="G1346" t="inlineStr">
        <is>
          <t>48.6-0-1.2-ERW 1-FC</t>
        </is>
      </c>
      <c r="H1346" t="n">
        <v>77.32599999999999</v>
      </c>
      <c r="I1346" t="inlineStr">
        <is>
          <t>TUB-O-N-AUT-AW-FC-48.60X1.200X0.3360</t>
        </is>
      </c>
      <c r="J1346" t="inlineStr">
        <is>
          <t>TVS</t>
        </is>
      </c>
      <c r="K1346" t="inlineStr">
        <is>
          <t>48.6-0-1.2-ERW 1-FC-0.336</t>
        </is>
      </c>
    </row>
    <row r="1347">
      <c r="A1347" t="inlineStr">
        <is>
          <t>0000188647</t>
        </is>
      </c>
      <c r="B1347" t="inlineStr">
        <is>
          <t>Metalman Auto Private Limited</t>
        </is>
      </c>
      <c r="C1347" t="inlineStr">
        <is>
          <t>NOS</t>
        </is>
      </c>
      <c r="D1347" t="n">
        <v>406.441</v>
      </c>
      <c r="E1347" t="n">
        <v>136.706</v>
      </c>
      <c r="F1347" t="n">
        <v>2325421</v>
      </c>
      <c r="G1347" t="inlineStr">
        <is>
          <t>48.6-0-1.2-ERW 1-FC</t>
        </is>
      </c>
      <c r="H1347" t="n">
        <v>191.84</v>
      </c>
      <c r="I1347" t="inlineStr">
        <is>
          <t>TUB-O-N-AUT-AW-FC-48.60X1.200X0.3360</t>
        </is>
      </c>
      <c r="J1347" t="inlineStr">
        <is>
          <t>TVS</t>
        </is>
      </c>
      <c r="K1347" t="inlineStr">
        <is>
          <t>48.6-0-1.2-ERW 1-FC-0.336</t>
        </is>
      </c>
    </row>
    <row r="1348">
      <c r="A1348" t="inlineStr">
        <is>
          <t>0000948721</t>
        </is>
      </c>
      <c r="B1348" t="inlineStr">
        <is>
          <t>ELKAYEM AUTO ANCILLARIES PRIVATE LI</t>
        </is>
      </c>
      <c r="C1348" t="inlineStr">
        <is>
          <t>NOS</t>
        </is>
      </c>
      <c r="D1348" t="n">
        <v>3219</v>
      </c>
      <c r="E1348" t="n">
        <v>1143.071</v>
      </c>
      <c r="F1348" t="n">
        <v>1940588</v>
      </c>
      <c r="G1348" t="inlineStr">
        <is>
          <t>25.4-0-2-ERW 1-FC</t>
        </is>
      </c>
      <c r="H1348" t="n">
        <v>1319.79</v>
      </c>
      <c r="I1348" t="inlineStr">
        <is>
          <t>TUB-O-O-AUT-AW-FC-25.40X2.000X0.3550</t>
        </is>
      </c>
      <c r="J1348" t="inlineStr">
        <is>
          <t>TVS</t>
        </is>
      </c>
      <c r="K1348" t="inlineStr">
        <is>
          <t>25.4-0-2-ERW 1-FC-0.355</t>
        </is>
      </c>
    </row>
    <row r="1349">
      <c r="A1349" t="inlineStr">
        <is>
          <t>0000948721</t>
        </is>
      </c>
      <c r="B1349" t="inlineStr">
        <is>
          <t>ELKAYEM AUTO ANCILLARIES PRIVATE LI</t>
        </is>
      </c>
      <c r="C1349" t="inlineStr">
        <is>
          <t>NOS</t>
        </is>
      </c>
      <c r="D1349" t="n">
        <v>3085</v>
      </c>
      <c r="E1349" t="n">
        <v>1095.488</v>
      </c>
      <c r="F1349" t="n">
        <v>1940588</v>
      </c>
      <c r="G1349" t="inlineStr">
        <is>
          <t>25.4-0-2-ERW 1-FC</t>
        </is>
      </c>
      <c r="H1349" t="n">
        <v>1264.85</v>
      </c>
      <c r="I1349" t="inlineStr">
        <is>
          <t>TUB-O-O-AUT-AW-FC-25.40X2.000X0.3550</t>
        </is>
      </c>
      <c r="J1349" t="inlineStr">
        <is>
          <t>TVS</t>
        </is>
      </c>
      <c r="K1349" t="inlineStr">
        <is>
          <t>25.4-0-2-ERW 1-FC-0.355</t>
        </is>
      </c>
    </row>
    <row r="1350">
      <c r="A1350" t="inlineStr">
        <is>
          <t>0000948721</t>
        </is>
      </c>
      <c r="B1350" t="inlineStr">
        <is>
          <t>ELKAYEM AUTO ANCILLARIES PRIVATE LI</t>
        </is>
      </c>
      <c r="C1350" t="inlineStr">
        <is>
          <t>NOS</t>
        </is>
      </c>
      <c r="D1350" t="n">
        <v>21</v>
      </c>
      <c r="E1350" t="n">
        <v>7.457</v>
      </c>
      <c r="F1350" t="n">
        <v>1940588</v>
      </c>
      <c r="G1350" t="inlineStr">
        <is>
          <t>25.4-0-2-ERW 1-FC</t>
        </is>
      </c>
      <c r="H1350" t="n">
        <v>8.609999999999999</v>
      </c>
      <c r="I1350" t="inlineStr">
        <is>
          <t>TUB-O-O-AUT-AW-FC-25.40X2.000X0.3550</t>
        </is>
      </c>
      <c r="J1350" t="inlineStr">
        <is>
          <t>TVS</t>
        </is>
      </c>
      <c r="K1350" t="inlineStr">
        <is>
          <t>25.4-0-2-ERW 1-FC-0.355</t>
        </is>
      </c>
    </row>
    <row r="1351">
      <c r="A1351" t="inlineStr">
        <is>
          <t>0000941496</t>
        </is>
      </c>
      <c r="B1351" t="inlineStr">
        <is>
          <t>SANDHAR ENGINEERING PVT LTD.(KA) -U</t>
        </is>
      </c>
      <c r="C1351" t="inlineStr">
        <is>
          <t>NOS</t>
        </is>
      </c>
      <c r="D1351" t="n">
        <v>1395</v>
      </c>
      <c r="E1351" t="n">
        <v>495.366</v>
      </c>
      <c r="F1351" t="n">
        <v>1940588</v>
      </c>
      <c r="G1351" t="inlineStr">
        <is>
          <t>25.4-0-2-ERW 1-FC</t>
        </is>
      </c>
      <c r="H1351" t="n">
        <v>571.95</v>
      </c>
      <c r="I1351" t="inlineStr">
        <is>
          <t>TUB-O-O-AUT-AW-FC-25.40X2.000X0.3550</t>
        </is>
      </c>
      <c r="J1351" t="inlineStr">
        <is>
          <t>TVS</t>
        </is>
      </c>
      <c r="K1351" t="inlineStr">
        <is>
          <t>25.4-0-2-ERW 1-FC-0.355</t>
        </is>
      </c>
    </row>
    <row r="1352">
      <c r="A1352" t="inlineStr">
        <is>
          <t>0000941496</t>
        </is>
      </c>
      <c r="B1352" t="inlineStr">
        <is>
          <t>SANDHAR ENGINEERING PVT LTD.(KA) -U</t>
        </is>
      </c>
      <c r="C1352" t="inlineStr">
        <is>
          <t>NOS</t>
        </is>
      </c>
      <c r="D1352" t="n">
        <v>105</v>
      </c>
      <c r="E1352" t="n">
        <v>37.286</v>
      </c>
      <c r="F1352" t="n">
        <v>1940588</v>
      </c>
      <c r="G1352" t="inlineStr">
        <is>
          <t>25.4-0-2-ERW 1-FC</t>
        </is>
      </c>
      <c r="H1352" t="n">
        <v>43.05</v>
      </c>
      <c r="I1352" t="inlineStr">
        <is>
          <t>TUB-O-O-AUT-AW-FC-25.40X2.000X0.3550</t>
        </is>
      </c>
      <c r="J1352" t="inlineStr">
        <is>
          <t>TVS</t>
        </is>
      </c>
      <c r="K1352" t="inlineStr">
        <is>
          <t>25.4-0-2-ERW 1-FC-0.355</t>
        </is>
      </c>
    </row>
    <row r="1353">
      <c r="A1353" t="inlineStr">
        <is>
          <t>0000940921</t>
        </is>
      </c>
      <c r="B1353" t="inlineStr">
        <is>
          <t>ELKAYEM AUTO ANCILLARIES PVT LTD -U</t>
        </is>
      </c>
      <c r="C1353" t="inlineStr">
        <is>
          <t>NOS</t>
        </is>
      </c>
      <c r="D1353" t="n">
        <v>3749</v>
      </c>
      <c r="E1353" t="n">
        <v>723.568</v>
      </c>
      <c r="F1353" t="n">
        <v>3509016</v>
      </c>
      <c r="G1353" t="inlineStr">
        <is>
          <t>31.75-0-2.5-ERW 1-FC</t>
        </is>
      </c>
      <c r="H1353" t="n">
        <v>1281.367</v>
      </c>
      <c r="I1353" t="inlineStr">
        <is>
          <t>CUT-O-N-AUT-AW-PE-31.75X2.500X0.1930</t>
        </is>
      </c>
      <c r="J1353" t="inlineStr">
        <is>
          <t>TVS</t>
        </is>
      </c>
      <c r="K1353" t="inlineStr">
        <is>
          <t>31.75-0-2.5-ERW 1-FC-0.193</t>
        </is>
      </c>
    </row>
    <row r="1354">
      <c r="A1354" t="inlineStr">
        <is>
          <t>0000940921</t>
        </is>
      </c>
      <c r="B1354" t="inlineStr">
        <is>
          <t>ELKAYEM AUTO ANCILLARIES PVT LTD -U</t>
        </is>
      </c>
      <c r="C1354" t="inlineStr">
        <is>
          <t>NOS</t>
        </is>
      </c>
      <c r="D1354" t="n">
        <v>1242</v>
      </c>
      <c r="E1354" t="n">
        <v>239.71</v>
      </c>
      <c r="F1354" t="n">
        <v>3509016</v>
      </c>
      <c r="G1354" t="inlineStr">
        <is>
          <t>31.75-0-2.5-ERW 1-FC</t>
        </is>
      </c>
      <c r="H1354" t="n">
        <v>424.502</v>
      </c>
      <c r="I1354" t="inlineStr">
        <is>
          <t>CUT-O-N-AUT-AW-PE-31.75X2.500X0.1930</t>
        </is>
      </c>
      <c r="J1354" t="inlineStr">
        <is>
          <t>TVS</t>
        </is>
      </c>
      <c r="K1354" t="inlineStr">
        <is>
          <t>31.75-0-2.5-ERW 1-FC-0.193</t>
        </is>
      </c>
    </row>
    <row r="1355">
      <c r="A1355" t="inlineStr">
        <is>
          <t>0000940921</t>
        </is>
      </c>
      <c r="B1355" t="inlineStr">
        <is>
          <t>ELKAYEM AUTO ANCILLARIES PVT LTD -U</t>
        </is>
      </c>
      <c r="C1355" t="inlineStr">
        <is>
          <t>NOS</t>
        </is>
      </c>
      <c r="D1355" t="n">
        <v>49</v>
      </c>
      <c r="E1355" t="n">
        <v>9.457000000000001</v>
      </c>
      <c r="F1355" t="n">
        <v>3509016</v>
      </c>
      <c r="G1355" t="inlineStr">
        <is>
          <t>31.75-0-2.5-ERW 1-FC</t>
        </is>
      </c>
      <c r="H1355" t="n">
        <v>16.748</v>
      </c>
      <c r="I1355" t="inlineStr">
        <is>
          <t>CUT-O-N-AUT-AW-PE-31.75X2.500X0.1930</t>
        </is>
      </c>
      <c r="J1355" t="inlineStr">
        <is>
          <t>TVS</t>
        </is>
      </c>
      <c r="K1355" t="inlineStr">
        <is>
          <t>31.75-0-2.5-ERW 1-FC-0.193</t>
        </is>
      </c>
    </row>
    <row r="1356">
      <c r="A1356" t="inlineStr">
        <is>
          <t>0000940921</t>
        </is>
      </c>
      <c r="B1356" t="inlineStr">
        <is>
          <t>ELKAYEM AUTO ANCILLARIES PVT LTD -U</t>
        </is>
      </c>
      <c r="C1356" t="inlineStr">
        <is>
          <t>NOS</t>
        </is>
      </c>
      <c r="D1356" t="n">
        <v>10</v>
      </c>
      <c r="E1356" t="n">
        <v>1.93</v>
      </c>
      <c r="F1356" t="n">
        <v>3509016</v>
      </c>
      <c r="G1356" t="inlineStr">
        <is>
          <t>31.75-0-2.5-ERW 1-FC</t>
        </is>
      </c>
      <c r="H1356" t="n">
        <v>3.418</v>
      </c>
      <c r="I1356" t="inlineStr">
        <is>
          <t>CUT-O-N-AUT-AW-PE-31.75X2.500X0.1930</t>
        </is>
      </c>
      <c r="J1356" t="inlineStr">
        <is>
          <t>TVS</t>
        </is>
      </c>
      <c r="K1356" t="inlineStr">
        <is>
          <t>31.75-0-2.5-ERW 1-FC-0.193</t>
        </is>
      </c>
    </row>
    <row r="1357">
      <c r="A1357" t="inlineStr">
        <is>
          <t>0000189002</t>
        </is>
      </c>
      <c r="B1357" t="inlineStr">
        <is>
          <t>Marathwada Auto Compo Pvt. Ltd.</t>
        </is>
      </c>
      <c r="C1357" t="inlineStr">
        <is>
          <t>NOS</t>
        </is>
      </c>
      <c r="D1357" t="n">
        <v>6000</v>
      </c>
      <c r="E1357" t="n">
        <v>1299.915</v>
      </c>
      <c r="F1357" t="n">
        <v>1939544</v>
      </c>
      <c r="G1357" t="inlineStr">
        <is>
          <t>25.4-0-2.5-CEW-CEW</t>
        </is>
      </c>
      <c r="H1357" t="n">
        <v>1836</v>
      </c>
      <c r="I1357" t="inlineStr">
        <is>
          <t>TUB-O-C-CEW-AD-FC-25.40X2.500X0.2170</t>
        </is>
      </c>
      <c r="J1357" t="inlineStr">
        <is>
          <t>TVS</t>
        </is>
      </c>
      <c r="K1357" t="inlineStr">
        <is>
          <t>25.4-0-2.5-CEW-CEW-0.217</t>
        </is>
      </c>
    </row>
    <row r="1358">
      <c r="A1358" t="inlineStr">
        <is>
          <t>0000189002</t>
        </is>
      </c>
      <c r="B1358" t="inlineStr">
        <is>
          <t>Marathwada Auto Compo Pvt. Ltd.</t>
        </is>
      </c>
      <c r="C1358" t="inlineStr">
        <is>
          <t>NOS</t>
        </is>
      </c>
      <c r="D1358" t="n">
        <v>65.35599999999999</v>
      </c>
      <c r="E1358" t="n">
        <v>14.16</v>
      </c>
      <c r="F1358" t="n">
        <v>1939544</v>
      </c>
      <c r="G1358" t="inlineStr">
        <is>
          <t>25.4-0-2.5-CEW-CEW</t>
        </is>
      </c>
      <c r="H1358" t="n">
        <v>19.999</v>
      </c>
      <c r="I1358" t="inlineStr">
        <is>
          <t>TUB-O-C-CEW-AD-FC-25.40X2.500X0.2170</t>
        </is>
      </c>
      <c r="J1358" t="inlineStr">
        <is>
          <t>TVS</t>
        </is>
      </c>
      <c r="K1358" t="inlineStr">
        <is>
          <t>25.4-0-2.5-CEW-CEW-0.217</t>
        </is>
      </c>
    </row>
    <row r="1359">
      <c r="A1359" t="inlineStr">
        <is>
          <t>0000189002</t>
        </is>
      </c>
      <c r="B1359" t="inlineStr">
        <is>
          <t>Marathwada Auto Compo Pvt. Ltd.</t>
        </is>
      </c>
      <c r="C1359" t="inlineStr">
        <is>
          <t>NOS</t>
        </is>
      </c>
      <c r="D1359" t="n">
        <v>339</v>
      </c>
      <c r="E1359" t="n">
        <v>73.44499999999999</v>
      </c>
      <c r="F1359" t="n">
        <v>1939544</v>
      </c>
      <c r="G1359" t="inlineStr">
        <is>
          <t>25.4-0-2.5-CEW-CEW</t>
        </is>
      </c>
      <c r="H1359" t="n">
        <v>103.734</v>
      </c>
      <c r="I1359" t="inlineStr">
        <is>
          <t>TUB-O-C-CEW-AD-FC-25.40X2.500X0.2170</t>
        </is>
      </c>
      <c r="J1359" t="inlineStr">
        <is>
          <t>TVS</t>
        </is>
      </c>
      <c r="K1359" t="inlineStr">
        <is>
          <t>25.4-0-2.5-CEW-CEW-0.217</t>
        </is>
      </c>
    </row>
    <row r="1360">
      <c r="A1360" t="inlineStr">
        <is>
          <t>0000189002</t>
        </is>
      </c>
      <c r="B1360" t="inlineStr">
        <is>
          <t>Marathwada Auto Compo Pvt. Ltd.</t>
        </is>
      </c>
      <c r="C1360" t="inlineStr">
        <is>
          <t>NOS</t>
        </is>
      </c>
      <c r="D1360" t="n">
        <v>1946.722</v>
      </c>
      <c r="E1360" t="n">
        <v>421.762</v>
      </c>
      <c r="F1360" t="n">
        <v>1939544</v>
      </c>
      <c r="G1360" t="inlineStr">
        <is>
          <t>25.4-0-2.5-CEW-CEW</t>
        </is>
      </c>
      <c r="H1360" t="n">
        <v>595.697</v>
      </c>
      <c r="I1360" t="inlineStr">
        <is>
          <t>TUB-O-C-CEW-AD-FC-25.40X2.500X0.2170</t>
        </is>
      </c>
      <c r="J1360" t="inlineStr">
        <is>
          <t>TVS</t>
        </is>
      </c>
      <c r="K1360" t="inlineStr">
        <is>
          <t>25.4-0-2.5-CEW-CEW-0.217</t>
        </is>
      </c>
    </row>
    <row r="1361">
      <c r="A1361" t="inlineStr">
        <is>
          <t>0000189002</t>
        </is>
      </c>
      <c r="B1361" t="inlineStr">
        <is>
          <t>Marathwada Auto Compo Pvt. Ltd.</t>
        </is>
      </c>
      <c r="C1361" t="inlineStr">
        <is>
          <t>NOS</t>
        </is>
      </c>
      <c r="D1361" t="n">
        <v>932.039</v>
      </c>
      <c r="E1361" t="n">
        <v>201.929</v>
      </c>
      <c r="F1361" t="n">
        <v>1939544</v>
      </c>
      <c r="G1361" t="inlineStr">
        <is>
          <t>25.4-0-2.5-CEW-CEW</t>
        </is>
      </c>
      <c r="H1361" t="n">
        <v>285.204</v>
      </c>
      <c r="I1361" t="inlineStr">
        <is>
          <t>TUB-O-C-CEW-AD-FC-25.40X2.500X0.2170</t>
        </is>
      </c>
      <c r="J1361" t="inlineStr">
        <is>
          <t>TVS</t>
        </is>
      </c>
      <c r="K1361" t="inlineStr">
        <is>
          <t>25.4-0-2.5-CEW-CEW-0.217</t>
        </is>
      </c>
    </row>
    <row r="1362">
      <c r="A1362" t="inlineStr">
        <is>
          <t>0000189002</t>
        </is>
      </c>
      <c r="B1362" t="inlineStr">
        <is>
          <t>Marathwada Auto Compo Pvt. Ltd.</t>
        </is>
      </c>
      <c r="C1362" t="inlineStr">
        <is>
          <t>NOS</t>
        </is>
      </c>
      <c r="D1362" t="n">
        <v>166.883</v>
      </c>
      <c r="E1362" t="n">
        <v>36.156</v>
      </c>
      <c r="F1362" t="n">
        <v>1939544</v>
      </c>
      <c r="G1362" t="inlineStr">
        <is>
          <t>25.4-0-2.5-CEW-CEW</t>
        </is>
      </c>
      <c r="H1362" t="n">
        <v>51.066</v>
      </c>
      <c r="I1362" t="inlineStr">
        <is>
          <t>TUB-O-C-CEW-AD-FC-25.40X2.500X0.2170</t>
        </is>
      </c>
      <c r="J1362" t="inlineStr">
        <is>
          <t>TVS</t>
        </is>
      </c>
      <c r="K1362" t="inlineStr">
        <is>
          <t>25.4-0-2.5-CEW-CEW-0.217</t>
        </is>
      </c>
    </row>
    <row r="1363">
      <c r="A1363" t="inlineStr">
        <is>
          <t>0000189002</t>
        </is>
      </c>
      <c r="B1363" t="inlineStr">
        <is>
          <t>Marathwada Auto Compo Pvt. Ltd.</t>
        </is>
      </c>
      <c r="C1363" t="inlineStr">
        <is>
          <t>NOS</t>
        </is>
      </c>
      <c r="D1363" t="n">
        <v>8500</v>
      </c>
      <c r="E1363" t="n">
        <v>1841.546</v>
      </c>
      <c r="F1363" t="n">
        <v>1939544</v>
      </c>
      <c r="G1363" t="inlineStr">
        <is>
          <t>25.4-0-2.5-CEW-CEW</t>
        </is>
      </c>
      <c r="H1363" t="n">
        <v>2601</v>
      </c>
      <c r="I1363" t="inlineStr">
        <is>
          <t>TUB-O-C-CEW-AD-FC-25.40X2.500X0.2170</t>
        </is>
      </c>
      <c r="J1363" t="inlineStr">
        <is>
          <t>TVS</t>
        </is>
      </c>
      <c r="K1363" t="inlineStr">
        <is>
          <t>25.4-0-2.5-CEW-CEW-0.217</t>
        </is>
      </c>
    </row>
    <row r="1364">
      <c r="A1364" t="inlineStr">
        <is>
          <t>0000945539</t>
        </is>
      </c>
      <c r="B1364" t="inlineStr">
        <is>
          <t>Sandhar EngineeringPvt.Ltd.(KA)-Uni</t>
        </is>
      </c>
      <c r="C1364" t="inlineStr">
        <is>
          <t>NOS</t>
        </is>
      </c>
      <c r="D1364" t="n">
        <v>2775</v>
      </c>
      <c r="E1364" t="n">
        <v>2172.807</v>
      </c>
      <c r="F1364" t="n">
        <v>3775636</v>
      </c>
      <c r="G1364" t="inlineStr">
        <is>
          <t>25.4-0-2.5-ERW 1-FC</t>
        </is>
      </c>
      <c r="H1364" t="n">
        <v>3068.873</v>
      </c>
      <c r="I1364" t="inlineStr">
        <is>
          <t>TUB-O-O-AUT-AW-FC-25.40X2.500X0.7830</t>
        </is>
      </c>
      <c r="J1364" t="inlineStr">
        <is>
          <t>TVS</t>
        </is>
      </c>
      <c r="K1364" t="inlineStr">
        <is>
          <t>25.4-0-2.5-ERW 1-FC-0.783</t>
        </is>
      </c>
    </row>
    <row r="1365">
      <c r="A1365" t="inlineStr">
        <is>
          <t>0000945539</t>
        </is>
      </c>
      <c r="B1365" t="inlineStr">
        <is>
          <t>Sandhar EngineeringPvt.Ltd.(KA)-Uni</t>
        </is>
      </c>
      <c r="C1365" t="inlineStr">
        <is>
          <t>NOS</t>
        </is>
      </c>
      <c r="D1365" t="n">
        <v>2099</v>
      </c>
      <c r="E1365" t="n">
        <v>1643.503</v>
      </c>
      <c r="F1365" t="n">
        <v>3775636</v>
      </c>
      <c r="G1365" t="inlineStr">
        <is>
          <t>25.4-0-2.5-ERW 1-FC</t>
        </is>
      </c>
      <c r="H1365" t="n">
        <v>2321.284</v>
      </c>
      <c r="I1365" t="inlineStr">
        <is>
          <t>TUB-O-O-AUT-AW-FC-25.40X2.500X0.7830</t>
        </is>
      </c>
      <c r="J1365" t="inlineStr">
        <is>
          <t>TVS</t>
        </is>
      </c>
      <c r="K1365" t="inlineStr">
        <is>
          <t>25.4-0-2.5-ERW 1-FC-0.783</t>
        </is>
      </c>
    </row>
    <row r="1366">
      <c r="A1366" t="inlineStr">
        <is>
          <t>0000945539</t>
        </is>
      </c>
      <c r="B1366" t="inlineStr">
        <is>
          <t>Sandhar EngineeringPvt.Ltd.(KA)-Uni</t>
        </is>
      </c>
      <c r="C1366" t="inlineStr">
        <is>
          <t>NOS</t>
        </is>
      </c>
      <c r="D1366" t="n">
        <v>126</v>
      </c>
      <c r="E1366" t="n">
        <v>98.657</v>
      </c>
      <c r="F1366" t="n">
        <v>3775636</v>
      </c>
      <c r="G1366" t="inlineStr">
        <is>
          <t>25.4-0-2.5-ERW 1-FC</t>
        </is>
      </c>
      <c r="H1366" t="n">
        <v>139.343</v>
      </c>
      <c r="I1366" t="inlineStr">
        <is>
          <t>TUB-O-O-AUT-AW-FC-25.40X2.500X0.7830</t>
        </is>
      </c>
      <c r="J1366" t="inlineStr">
        <is>
          <t>TVS</t>
        </is>
      </c>
      <c r="K1366" t="inlineStr">
        <is>
          <t>25.4-0-2.5-ERW 1-FC-0.783</t>
        </is>
      </c>
    </row>
    <row r="1367">
      <c r="A1367" t="inlineStr">
        <is>
          <t>0000189227</t>
        </is>
      </c>
      <c r="B1367" t="inlineStr">
        <is>
          <t>Neel Metal Products Limited</t>
        </is>
      </c>
      <c r="C1367" t="inlineStr">
        <is>
          <t>M</t>
        </is>
      </c>
      <c r="D1367" t="n">
        <v>202</v>
      </c>
      <c r="E1367" t="n">
        <v>909.506</v>
      </c>
      <c r="F1367" t="n">
        <v>2410997</v>
      </c>
      <c r="G1367" t="inlineStr">
        <is>
          <t>25.4-19-3.2-CEW-CEW</t>
        </is>
      </c>
      <c r="H1367" t="n">
        <v>1594</v>
      </c>
      <c r="I1367" t="inlineStr">
        <is>
          <t>TUB-O-C-AUT-AD-FC-25.40X3.200X04-05</t>
        </is>
      </c>
      <c r="J1367" t="inlineStr">
        <is>
          <t>TVS</t>
        </is>
      </c>
      <c r="K1367" t="inlineStr">
        <is>
          <t>25.4-19-3.2-CEW-CEW-1</t>
        </is>
      </c>
    </row>
    <row r="1368">
      <c r="A1368" t="inlineStr">
        <is>
          <t>0000189227</t>
        </is>
      </c>
      <c r="B1368" t="inlineStr">
        <is>
          <t>Neel Metal Products Limited</t>
        </is>
      </c>
      <c r="C1368" t="inlineStr">
        <is>
          <t>M</t>
        </is>
      </c>
      <c r="D1368" t="n">
        <v>66</v>
      </c>
      <c r="E1368" t="n">
        <v>298.77</v>
      </c>
      <c r="F1368" t="n">
        <v>2410997</v>
      </c>
      <c r="G1368" t="inlineStr">
        <is>
          <t>25.4-19-3.2-CEW-CEW</t>
        </is>
      </c>
      <c r="H1368" t="n">
        <v>523.624</v>
      </c>
      <c r="I1368" t="inlineStr">
        <is>
          <t>TUB-O-C-AUT-AD-FC-25.40X3.200X04-05</t>
        </is>
      </c>
      <c r="J1368" t="inlineStr">
        <is>
          <t>TVS</t>
        </is>
      </c>
      <c r="K1368" t="inlineStr">
        <is>
          <t>25.4-19-3.2-CEW-CEW-1</t>
        </is>
      </c>
    </row>
    <row r="1369">
      <c r="A1369" t="inlineStr">
        <is>
          <t>0000189227</t>
        </is>
      </c>
      <c r="B1369" t="inlineStr">
        <is>
          <t>Neel Metal Products Limited</t>
        </is>
      </c>
      <c r="C1369" t="inlineStr">
        <is>
          <t>M</t>
        </is>
      </c>
      <c r="D1369" t="n">
        <v>201</v>
      </c>
      <c r="E1369" t="n">
        <v>905.5119999999999</v>
      </c>
      <c r="F1369" t="n">
        <v>2410997</v>
      </c>
      <c r="G1369" t="inlineStr">
        <is>
          <t>25.4-19-3.2-CEW-CEW</t>
        </is>
      </c>
      <c r="H1369" t="n">
        <v>1587</v>
      </c>
      <c r="I1369" t="inlineStr">
        <is>
          <t>TUB-O-C-AUT-AD-FC-25.40X3.200X04-05</t>
        </is>
      </c>
      <c r="J1369" t="inlineStr">
        <is>
          <t>TVS</t>
        </is>
      </c>
      <c r="K1369" t="inlineStr">
        <is>
          <t>25.4-19-3.2-CEW-CEW-1</t>
        </is>
      </c>
    </row>
    <row r="1370">
      <c r="A1370" t="inlineStr">
        <is>
          <t>0000189227</t>
        </is>
      </c>
      <c r="B1370" t="inlineStr">
        <is>
          <t>Neel Metal Products Limited</t>
        </is>
      </c>
      <c r="C1370" t="inlineStr">
        <is>
          <t>M</t>
        </is>
      </c>
      <c r="D1370" t="n">
        <v>64</v>
      </c>
      <c r="E1370" t="n">
        <v>286.212</v>
      </c>
      <c r="F1370" t="n">
        <v>2410997</v>
      </c>
      <c r="G1370" t="inlineStr">
        <is>
          <t>25.4-19-3.2-CEW-CEW</t>
        </is>
      </c>
      <c r="H1370" t="n">
        <v>501.615</v>
      </c>
      <c r="I1370" t="inlineStr">
        <is>
          <t>TUB-O-C-AUT-AD-FC-25.40X3.200X04-05</t>
        </is>
      </c>
      <c r="J1370" t="inlineStr">
        <is>
          <t>TVS</t>
        </is>
      </c>
      <c r="K1370" t="inlineStr">
        <is>
          <t>25.4-19-3.2-CEW-CEW-1</t>
        </is>
      </c>
    </row>
    <row r="1371">
      <c r="A1371" t="inlineStr">
        <is>
          <t>0000948721</t>
        </is>
      </c>
      <c r="B1371" t="inlineStr">
        <is>
          <t>ELKAYEM AUTO ANCILLARIES PRIVATE LI</t>
        </is>
      </c>
      <c r="C1371" t="inlineStr">
        <is>
          <t>M</t>
        </is>
      </c>
      <c r="D1371" t="n">
        <v>3</v>
      </c>
      <c r="E1371" t="n">
        <v>12.154</v>
      </c>
      <c r="F1371" t="n">
        <v>2410388</v>
      </c>
      <c r="G1371" t="inlineStr">
        <is>
          <t>28.6-0-2.65-CEW-CEW</t>
        </is>
      </c>
      <c r="H1371" t="n">
        <v>20.619</v>
      </c>
      <c r="I1371" t="inlineStr">
        <is>
          <t>TUB-O-C-AUT-AD-FC-28.60X2.650X04-05</t>
        </is>
      </c>
      <c r="J1371" t="inlineStr">
        <is>
          <t>TVS</t>
        </is>
      </c>
      <c r="K1371" t="inlineStr">
        <is>
          <t>28.6-0-2.65-CEW-CEW-1</t>
        </is>
      </c>
    </row>
    <row r="1372">
      <c r="A1372" t="inlineStr">
        <is>
          <t>0000948721</t>
        </is>
      </c>
      <c r="B1372" t="inlineStr">
        <is>
          <t>ELKAYEM AUTO ANCILLARIES PRIVATE LI</t>
        </is>
      </c>
      <c r="C1372" t="inlineStr">
        <is>
          <t>M</t>
        </is>
      </c>
      <c r="D1372" t="n">
        <v>209</v>
      </c>
      <c r="E1372" t="n">
        <v>939.581</v>
      </c>
      <c r="F1372" t="n">
        <v>2410388</v>
      </c>
      <c r="G1372" t="inlineStr">
        <is>
          <t>28.6-0-2.65-CEW-CEW</t>
        </is>
      </c>
      <c r="H1372" t="n">
        <v>1593.999</v>
      </c>
      <c r="I1372" t="inlineStr">
        <is>
          <t>TUB-O-C-AUT-AD-FC-28.60X2.650X04-05</t>
        </is>
      </c>
      <c r="J1372" t="inlineStr">
        <is>
          <t>TVS</t>
        </is>
      </c>
      <c r="K1372" t="inlineStr">
        <is>
          <t>28.6-0-2.65-CEW-CEW-1</t>
        </is>
      </c>
    </row>
    <row r="1373">
      <c r="A1373" t="inlineStr">
        <is>
          <t>0000948721</t>
        </is>
      </c>
      <c r="B1373" t="inlineStr">
        <is>
          <t>ELKAYEM AUTO ANCILLARIES PRIVATE LI</t>
        </is>
      </c>
      <c r="C1373" t="inlineStr">
        <is>
          <t>M</t>
        </is>
      </c>
      <c r="D1373" t="n">
        <v>97</v>
      </c>
      <c r="E1373" t="n">
        <v>434.265</v>
      </c>
      <c r="F1373" t="n">
        <v>2410388</v>
      </c>
      <c r="G1373" t="inlineStr">
        <is>
          <t>28.6-0-2.65-CEW-CEW</t>
        </is>
      </c>
      <c r="H1373" t="n">
        <v>736.731</v>
      </c>
      <c r="I1373" t="inlineStr">
        <is>
          <t>TUB-O-C-AUT-AD-FC-28.60X2.650X04-05</t>
        </is>
      </c>
      <c r="J1373" t="inlineStr">
        <is>
          <t>TVS</t>
        </is>
      </c>
      <c r="K1373" t="inlineStr">
        <is>
          <t>28.6-0-2.65-CEW-CEW-1</t>
        </is>
      </c>
    </row>
    <row r="1374">
      <c r="A1374" t="inlineStr">
        <is>
          <t>0000188934</t>
        </is>
      </c>
      <c r="B1374" t="inlineStr">
        <is>
          <t>KAY JAY FORGINGS LIMITED</t>
        </is>
      </c>
      <c r="C1374" t="inlineStr">
        <is>
          <t>NOS</t>
        </is>
      </c>
      <c r="D1374" t="n">
        <v>108.408</v>
      </c>
      <c r="E1374" t="n">
        <v>38.701</v>
      </c>
      <c r="F1374" t="n">
        <v>3909903</v>
      </c>
      <c r="G1374" t="inlineStr">
        <is>
          <t>29.4-20.4-4.5-CEW-CEW</t>
        </is>
      </c>
      <c r="H1374" t="n">
        <v>116.441</v>
      </c>
      <c r="I1374" t="inlineStr">
        <is>
          <t>CUT-O-C-AUT-AD-FC-29.40X4.500X0.3570</t>
        </is>
      </c>
      <c r="J1374" t="inlineStr">
        <is>
          <t>TVS</t>
        </is>
      </c>
      <c r="K1374" t="inlineStr">
        <is>
          <t>29.4-20.4-4.5-CEW-CEW-0.357</t>
        </is>
      </c>
    </row>
    <row r="1375">
      <c r="A1375" t="inlineStr">
        <is>
          <t>0000188934</t>
        </is>
      </c>
      <c r="B1375" t="inlineStr">
        <is>
          <t>KAY JAY FORGINGS LIMITED</t>
        </is>
      </c>
      <c r="C1375" t="inlineStr">
        <is>
          <t>NOS</t>
        </is>
      </c>
      <c r="D1375" t="n">
        <v>558.576</v>
      </c>
      <c r="E1375" t="n">
        <v>199.411</v>
      </c>
      <c r="F1375" t="n">
        <v>3909903</v>
      </c>
      <c r="G1375" t="inlineStr">
        <is>
          <t>29.4-20.4-4.5-CEW-CEW</t>
        </is>
      </c>
      <c r="H1375" t="n">
        <v>599.966</v>
      </c>
      <c r="I1375" t="inlineStr">
        <is>
          <t>CUT-O-C-AUT-AD-FC-29.40X4.500X0.3570</t>
        </is>
      </c>
      <c r="J1375" t="inlineStr">
        <is>
          <t>TVS</t>
        </is>
      </c>
      <c r="K1375" t="inlineStr">
        <is>
          <t>29.4-20.4-4.5-CEW-CEW-0.357</t>
        </is>
      </c>
    </row>
    <row r="1376">
      <c r="A1376" t="inlineStr">
        <is>
          <t>0000188934</t>
        </is>
      </c>
      <c r="B1376" t="inlineStr">
        <is>
          <t>KAY JAY FORGINGS LIMITED</t>
        </is>
      </c>
      <c r="C1376" t="inlineStr">
        <is>
          <t>NOS</t>
        </is>
      </c>
      <c r="D1376" t="n">
        <v>1499.496</v>
      </c>
      <c r="E1376" t="n">
        <v>535.317</v>
      </c>
      <c r="F1376" t="n">
        <v>3909903</v>
      </c>
      <c r="G1376" t="inlineStr">
        <is>
          <t>29.4-20.4-4.5-CEW-CEW</t>
        </is>
      </c>
      <c r="H1376" t="n">
        <v>1610.609</v>
      </c>
      <c r="I1376" t="inlineStr">
        <is>
          <t>CUT-O-C-AUT-AD-FC-29.40X4.500X0.3570</t>
        </is>
      </c>
      <c r="J1376" t="inlineStr">
        <is>
          <t>TVS</t>
        </is>
      </c>
      <c r="K1376" t="inlineStr">
        <is>
          <t>29.4-20.4-4.5-CEW-CEW-0.357</t>
        </is>
      </c>
    </row>
    <row r="1377">
      <c r="A1377" t="inlineStr">
        <is>
          <t>0000188934</t>
        </is>
      </c>
      <c r="B1377" t="inlineStr">
        <is>
          <t>KAY JAY FORGINGS LIMITED</t>
        </is>
      </c>
      <c r="C1377" t="inlineStr">
        <is>
          <t>NOS</t>
        </is>
      </c>
      <c r="D1377" t="n">
        <v>1696.534</v>
      </c>
      <c r="E1377" t="n">
        <v>605.659</v>
      </c>
      <c r="F1377" t="n">
        <v>3909903</v>
      </c>
      <c r="G1377" t="inlineStr">
        <is>
          <t>29.4-20.4-4.5-CEW-CEW</t>
        </is>
      </c>
      <c r="H1377" t="n">
        <v>1822.247</v>
      </c>
      <c r="I1377" t="inlineStr">
        <is>
          <t>CUT-O-C-AUT-AD-FC-29.40X4.500X0.3570</t>
        </is>
      </c>
      <c r="J1377" t="inlineStr">
        <is>
          <t>TVS</t>
        </is>
      </c>
      <c r="K1377" t="inlineStr">
        <is>
          <t>29.4-20.4-4.5-CEW-CEW-0.357</t>
        </is>
      </c>
    </row>
    <row r="1378">
      <c r="A1378" t="inlineStr">
        <is>
          <t>0000188934</t>
        </is>
      </c>
      <c r="B1378" t="inlineStr">
        <is>
          <t>KAY JAY FORGINGS LIMITED</t>
        </is>
      </c>
      <c r="C1378" t="inlineStr">
        <is>
          <t>NOS</t>
        </is>
      </c>
      <c r="D1378" t="n">
        <v>1986.302</v>
      </c>
      <c r="E1378" t="n">
        <v>709.106</v>
      </c>
      <c r="F1378" t="n">
        <v>3909903</v>
      </c>
      <c r="G1378" t="inlineStr">
        <is>
          <t>29.4-20.4-4.5-CEW-CEW</t>
        </is>
      </c>
      <c r="H1378" t="n">
        <v>2133.487</v>
      </c>
      <c r="I1378" t="inlineStr">
        <is>
          <t>CUT-O-C-AUT-AD-FC-29.40X4.500X0.3570</t>
        </is>
      </c>
      <c r="J1378" t="inlineStr">
        <is>
          <t>TVS</t>
        </is>
      </c>
      <c r="K1378" t="inlineStr">
        <is>
          <t>29.4-20.4-4.5-CEW-CEW-0.357</t>
        </is>
      </c>
    </row>
    <row r="1379">
      <c r="A1379" t="inlineStr">
        <is>
          <t>0000188934</t>
        </is>
      </c>
      <c r="B1379" t="inlineStr">
        <is>
          <t>KAY JAY FORGINGS LIMITED</t>
        </is>
      </c>
      <c r="C1379" t="inlineStr">
        <is>
          <t>NOS</t>
        </is>
      </c>
      <c r="D1379" t="n">
        <v>150.684</v>
      </c>
      <c r="E1379" t="n">
        <v>53.794</v>
      </c>
      <c r="F1379" t="n">
        <v>3909903</v>
      </c>
      <c r="G1379" t="inlineStr">
        <is>
          <t>29.4-20.4-4.5-CEW-CEW</t>
        </is>
      </c>
      <c r="H1379" t="n">
        <v>161.85</v>
      </c>
      <c r="I1379" t="inlineStr">
        <is>
          <t>CUT-O-C-AUT-AD-FC-29.40X4.500X0.3570</t>
        </is>
      </c>
      <c r="J1379" t="inlineStr">
        <is>
          <t>TVS</t>
        </is>
      </c>
      <c r="K1379" t="inlineStr">
        <is>
          <t>29.4-20.4-4.5-CEW-CEW-0.357</t>
        </is>
      </c>
    </row>
    <row r="1380">
      <c r="A1380" t="inlineStr">
        <is>
          <t>0000188934</t>
        </is>
      </c>
      <c r="B1380" t="inlineStr">
        <is>
          <t>KAY JAY FORGINGS LIMITED</t>
        </is>
      </c>
      <c r="C1380" t="inlineStr">
        <is>
          <t>NOS</t>
        </is>
      </c>
      <c r="D1380" t="n">
        <v>1476.369</v>
      </c>
      <c r="E1380" t="n">
        <v>527.061</v>
      </c>
      <c r="F1380" t="n">
        <v>3909903</v>
      </c>
      <c r="G1380" t="inlineStr">
        <is>
          <t>29.4-20.4-4.5-CEW-CEW</t>
        </is>
      </c>
      <c r="H1380" t="n">
        <v>1585.768</v>
      </c>
      <c r="I1380" t="inlineStr">
        <is>
          <t>CUT-O-C-AUT-AD-FC-29.40X4.500X0.3570</t>
        </is>
      </c>
      <c r="J1380" t="inlineStr">
        <is>
          <t>TVS</t>
        </is>
      </c>
      <c r="K1380" t="inlineStr">
        <is>
          <t>29.4-20.4-4.5-CEW-CEW-0.357</t>
        </is>
      </c>
    </row>
    <row r="1381">
      <c r="A1381" t="inlineStr">
        <is>
          <t>0000188934</t>
        </is>
      </c>
      <c r="B1381" t="inlineStr">
        <is>
          <t>KAY JAY FORGINGS LIMITED</t>
        </is>
      </c>
      <c r="C1381" t="inlineStr">
        <is>
          <t>NOS</t>
        </is>
      </c>
      <c r="D1381" t="n">
        <v>1398.948</v>
      </c>
      <c r="E1381" t="n">
        <v>499.422</v>
      </c>
      <c r="F1381" t="n">
        <v>3909903</v>
      </c>
      <c r="G1381" t="inlineStr">
        <is>
          <t>29.4-20.4-4.5-CEW-CEW</t>
        </is>
      </c>
      <c r="H1381" t="n">
        <v>1502.61</v>
      </c>
      <c r="I1381" t="inlineStr">
        <is>
          <t>CUT-O-C-AUT-AD-FC-29.40X4.500X0.3570</t>
        </is>
      </c>
      <c r="J1381" t="inlineStr">
        <is>
          <t>TVS</t>
        </is>
      </c>
      <c r="K1381" t="inlineStr">
        <is>
          <t>29.4-20.4-4.5-CEW-CEW-0.357</t>
        </is>
      </c>
    </row>
    <row r="1382">
      <c r="A1382" t="inlineStr">
        <is>
          <t>0000188934</t>
        </is>
      </c>
      <c r="B1382" t="inlineStr">
        <is>
          <t>KAY JAY FORGINGS LIMITED</t>
        </is>
      </c>
      <c r="C1382" t="inlineStr">
        <is>
          <t>NOS</t>
        </is>
      </c>
      <c r="D1382" t="n">
        <v>124.683</v>
      </c>
      <c r="E1382" t="n">
        <v>44.512</v>
      </c>
      <c r="F1382" t="n">
        <v>3909903</v>
      </c>
      <c r="G1382" t="inlineStr">
        <is>
          <t>29.4-20.4-4.5-CEW-CEW</t>
        </is>
      </c>
      <c r="H1382" t="n">
        <v>133.922</v>
      </c>
      <c r="I1382" t="inlineStr">
        <is>
          <t>CUT-O-C-AUT-AD-FC-29.40X4.500X0.3570</t>
        </is>
      </c>
      <c r="J1382" t="inlineStr">
        <is>
          <t>TVS</t>
        </is>
      </c>
      <c r="K1382" t="inlineStr">
        <is>
          <t>29.4-20.4-4.5-CEW-CEW-0.357</t>
        </is>
      </c>
    </row>
    <row r="1383">
      <c r="A1383" t="inlineStr">
        <is>
          <t>0000188934</t>
        </is>
      </c>
      <c r="B1383" t="inlineStr">
        <is>
          <t>KAY JAY FORGINGS LIMITED</t>
        </is>
      </c>
      <c r="C1383" t="inlineStr">
        <is>
          <t>NOS</t>
        </is>
      </c>
      <c r="D1383" t="n">
        <v>4000</v>
      </c>
      <c r="E1383" t="n">
        <v>1427.992</v>
      </c>
      <c r="F1383" t="n">
        <v>3909903</v>
      </c>
      <c r="G1383" t="inlineStr">
        <is>
          <t>29.4-20.4-4.5-CEW-CEW</t>
        </is>
      </c>
      <c r="H1383" t="n">
        <v>4296.4</v>
      </c>
      <c r="I1383" t="inlineStr">
        <is>
          <t>CUT-O-C-AUT-AD-FC-29.40X4.500X0.3570</t>
        </is>
      </c>
      <c r="J1383" t="inlineStr">
        <is>
          <t>TVS</t>
        </is>
      </c>
      <c r="K1383" t="inlineStr">
        <is>
          <t>29.4-20.4-4.5-CEW-CEW-0.357</t>
        </is>
      </c>
    </row>
    <row r="1384">
      <c r="A1384" t="inlineStr">
        <is>
          <t>0000188934</t>
        </is>
      </c>
      <c r="B1384" t="inlineStr">
        <is>
          <t>KAY JAY FORGINGS LIMITED</t>
        </is>
      </c>
      <c r="C1384" t="inlineStr">
        <is>
          <t>NOS</t>
        </is>
      </c>
      <c r="D1384" t="n">
        <v>154.621</v>
      </c>
      <c r="E1384" t="n">
        <v>55.199</v>
      </c>
      <c r="F1384" t="n">
        <v>3909903</v>
      </c>
      <c r="G1384" t="inlineStr">
        <is>
          <t>29.4-20.4-4.5-CEW-CEW</t>
        </is>
      </c>
      <c r="H1384" t="n">
        <v>166.078</v>
      </c>
      <c r="I1384" t="inlineStr">
        <is>
          <t>CUT-O-C-AUT-AD-FC-29.40X4.500X0.3570</t>
        </is>
      </c>
      <c r="J1384" t="inlineStr">
        <is>
          <t>TVS</t>
        </is>
      </c>
      <c r="K1384" t="inlineStr">
        <is>
          <t>29.4-20.4-4.5-CEW-CEW-0.357</t>
        </is>
      </c>
    </row>
    <row r="1385">
      <c r="A1385" t="inlineStr">
        <is>
          <t>0000188934</t>
        </is>
      </c>
      <c r="B1385" t="inlineStr">
        <is>
          <t>KAY JAY FORGINGS LIMITED</t>
        </is>
      </c>
      <c r="C1385" t="inlineStr">
        <is>
          <t>NOS</t>
        </is>
      </c>
      <c r="D1385" t="n">
        <v>589.785</v>
      </c>
      <c r="E1385" t="n">
        <v>210.552</v>
      </c>
      <c r="F1385" t="n">
        <v>3909903</v>
      </c>
      <c r="G1385" t="inlineStr">
        <is>
          <t>29.4-20.4-4.5-CEW-CEW</t>
        </is>
      </c>
      <c r="H1385" t="n">
        <v>633.4880000000001</v>
      </c>
      <c r="I1385" t="inlineStr">
        <is>
          <t>CUT-O-C-AUT-AD-FC-29.40X4.500X0.3570</t>
        </is>
      </c>
      <c r="J1385" t="inlineStr">
        <is>
          <t>TVS</t>
        </is>
      </c>
      <c r="K1385" t="inlineStr">
        <is>
          <t>29.4-20.4-4.5-CEW-CEW-0.357</t>
        </is>
      </c>
    </row>
    <row r="1386">
      <c r="A1386" t="inlineStr">
        <is>
          <t>0000188934</t>
        </is>
      </c>
      <c r="B1386" t="inlineStr">
        <is>
          <t>KAY JAY FORGINGS LIMITED</t>
        </is>
      </c>
      <c r="C1386" t="inlineStr">
        <is>
          <t>NOS</t>
        </is>
      </c>
      <c r="D1386" t="n">
        <v>2041</v>
      </c>
      <c r="E1386" t="n">
        <v>728.633</v>
      </c>
      <c r="F1386" t="n">
        <v>3909903</v>
      </c>
      <c r="G1386" t="inlineStr">
        <is>
          <t>29.4-20.4-4.5-CEW-CEW</t>
        </is>
      </c>
      <c r="H1386" t="n">
        <v>2192.238</v>
      </c>
      <c r="I1386" t="inlineStr">
        <is>
          <t>CUT-O-C-AUT-AD-FC-29.40X4.500X0.3570</t>
        </is>
      </c>
      <c r="J1386" t="inlineStr">
        <is>
          <t>TVS</t>
        </is>
      </c>
      <c r="K1386" t="inlineStr">
        <is>
          <t>29.4-20.4-4.5-CEW-CEW-0.357</t>
        </is>
      </c>
    </row>
    <row r="1387">
      <c r="A1387" t="inlineStr">
        <is>
          <t>0000188934</t>
        </is>
      </c>
      <c r="B1387" t="inlineStr">
        <is>
          <t>KAY JAY FORGINGS LIMITED</t>
        </is>
      </c>
      <c r="C1387" t="inlineStr">
        <is>
          <t>NOS</t>
        </is>
      </c>
      <c r="D1387" t="n">
        <v>1944.594</v>
      </c>
      <c r="E1387" t="n">
        <v>694.216</v>
      </c>
      <c r="F1387" t="n">
        <v>3909903</v>
      </c>
      <c r="G1387" t="inlineStr">
        <is>
          <t>29.4-20.4-4.5-CEW-CEW</t>
        </is>
      </c>
      <c r="H1387" t="n">
        <v>2088.688</v>
      </c>
      <c r="I1387" t="inlineStr">
        <is>
          <t>CUT-O-C-AUT-AD-FC-29.40X4.500X0.3570</t>
        </is>
      </c>
      <c r="J1387" t="inlineStr">
        <is>
          <t>TVS</t>
        </is>
      </c>
      <c r="K1387" t="inlineStr">
        <is>
          <t>29.4-20.4-4.5-CEW-CEW-0.357</t>
        </is>
      </c>
    </row>
    <row r="1388">
      <c r="A1388" t="inlineStr">
        <is>
          <t>0000188934</t>
        </is>
      </c>
      <c r="B1388" t="inlineStr">
        <is>
          <t>KAY JAY FORGINGS LIMITED</t>
        </is>
      </c>
      <c r="C1388" t="inlineStr">
        <is>
          <t>NOS</t>
        </is>
      </c>
      <c r="D1388" t="n">
        <v>27</v>
      </c>
      <c r="E1388" t="n">
        <v>10.155</v>
      </c>
      <c r="F1388" t="n">
        <v>2359912</v>
      </c>
      <c r="G1388" t="inlineStr">
        <is>
          <t>29.4-20.4-4.5-CEW STKM 13C-CEW</t>
        </is>
      </c>
      <c r="H1388" t="n">
        <v>28.053</v>
      </c>
      <c r="I1388" t="inlineStr">
        <is>
          <t>TUB-O-C-CEW-AD-FC-29.40X4.500X0.3760</t>
        </is>
      </c>
      <c r="J1388" t="inlineStr">
        <is>
          <t>TVS</t>
        </is>
      </c>
      <c r="K1388" t="inlineStr">
        <is>
          <t>29.4-20.4-4.5-CEW STKM 13C-CEW-0.376</t>
        </is>
      </c>
    </row>
    <row r="1389">
      <c r="A1389" t="inlineStr">
        <is>
          <t>0000189002</t>
        </is>
      </c>
      <c r="B1389" t="inlineStr">
        <is>
          <t>Marathwada Auto Compo Pvt. Ltd.</t>
        </is>
      </c>
      <c r="C1389" t="inlineStr">
        <is>
          <t>NOS</t>
        </is>
      </c>
      <c r="D1389" t="n">
        <v>1082.631</v>
      </c>
      <c r="E1389" t="n">
        <v>525.044</v>
      </c>
      <c r="F1389" t="n">
        <v>2359755</v>
      </c>
      <c r="G1389" t="inlineStr">
        <is>
          <t>30-25.5-2.25-CEW-CEW</t>
        </is>
      </c>
      <c r="H1389" t="n">
        <v>808.725</v>
      </c>
      <c r="I1389" t="inlineStr">
        <is>
          <t>TUB-O-C-AUT-AD-FC-30.00X2.250X0.4850</t>
        </is>
      </c>
      <c r="J1389" t="inlineStr">
        <is>
          <t>TVS</t>
        </is>
      </c>
      <c r="K1389" t="inlineStr">
        <is>
          <t>30-25.5-2.25-CEW-CEW-0.485</t>
        </is>
      </c>
    </row>
    <row r="1390">
      <c r="A1390" t="inlineStr">
        <is>
          <t>0000189002</t>
        </is>
      </c>
      <c r="B1390" t="inlineStr">
        <is>
          <t>Marathwada Auto Compo Pvt. Ltd.</t>
        </is>
      </c>
      <c r="C1390" t="inlineStr">
        <is>
          <t>NOS</t>
        </is>
      </c>
      <c r="D1390" t="n">
        <v>1803.631</v>
      </c>
      <c r="E1390" t="n">
        <v>874.708</v>
      </c>
      <c r="F1390" t="n">
        <v>2359755</v>
      </c>
      <c r="G1390" t="inlineStr">
        <is>
          <t>30-25.5-2.25-CEW-CEW</t>
        </is>
      </c>
      <c r="H1390" t="n">
        <v>1347.312</v>
      </c>
      <c r="I1390" t="inlineStr">
        <is>
          <t>TUB-O-C-AUT-AD-FC-30.00X2.250X0.4850</t>
        </is>
      </c>
      <c r="J1390" t="inlineStr">
        <is>
          <t>TVS</t>
        </is>
      </c>
      <c r="K1390" t="inlineStr">
        <is>
          <t>30-25.5-2.25-CEW-CEW-0.485</t>
        </is>
      </c>
    </row>
    <row r="1391">
      <c r="A1391" t="inlineStr">
        <is>
          <t>0000189002</t>
        </is>
      </c>
      <c r="B1391" t="inlineStr">
        <is>
          <t>Marathwada Auto Compo Pvt. Ltd.</t>
        </is>
      </c>
      <c r="C1391" t="inlineStr">
        <is>
          <t>NOS</t>
        </is>
      </c>
      <c r="D1391" t="n">
        <v>613.7380000000001</v>
      </c>
      <c r="E1391" t="n">
        <v>297.645</v>
      </c>
      <c r="F1391" t="n">
        <v>2359755</v>
      </c>
      <c r="G1391" t="inlineStr">
        <is>
          <t>30-25.5-2.25-CEW-CEW</t>
        </is>
      </c>
      <c r="H1391" t="n">
        <v>458.462</v>
      </c>
      <c r="I1391" t="inlineStr">
        <is>
          <t>TUB-O-C-AUT-AD-FC-30.00X2.250X0.4850</t>
        </is>
      </c>
      <c r="J1391" t="inlineStr">
        <is>
          <t>TVS</t>
        </is>
      </c>
      <c r="K1391" t="inlineStr">
        <is>
          <t>30-25.5-2.25-CEW-CEW-0.485</t>
        </is>
      </c>
    </row>
    <row r="1392">
      <c r="A1392" t="inlineStr">
        <is>
          <t>0000189240</t>
        </is>
      </c>
      <c r="B1392" t="inlineStr">
        <is>
          <t>Rajsriya Automotive Ind Pvt Ltd.</t>
        </is>
      </c>
      <c r="C1392" t="inlineStr">
        <is>
          <t>NOS</t>
        </is>
      </c>
      <c r="D1392" t="n">
        <v>110.372</v>
      </c>
      <c r="E1392" t="n">
        <v>53.527</v>
      </c>
      <c r="F1392" t="n">
        <v>2359755</v>
      </c>
      <c r="G1392" t="inlineStr">
        <is>
          <t>30-25.5-2.25-CEW-CEW</t>
        </is>
      </c>
      <c r="H1392" t="n">
        <v>82.44799999999999</v>
      </c>
      <c r="I1392" t="inlineStr">
        <is>
          <t>TUB-O-C-AUT-AD-FC-30.00X2.250X0.4850</t>
        </is>
      </c>
      <c r="J1392" t="inlineStr">
        <is>
          <t>TVS</t>
        </is>
      </c>
      <c r="K1392" t="inlineStr">
        <is>
          <t>30-25.5-2.25-CEW-CEW-0.485</t>
        </is>
      </c>
    </row>
    <row r="1393">
      <c r="A1393" t="inlineStr">
        <is>
          <t>0000189240</t>
        </is>
      </c>
      <c r="B1393" t="inlineStr">
        <is>
          <t>Rajsriya Automotive Ind Pvt Ltd.</t>
        </is>
      </c>
      <c r="C1393" t="inlineStr">
        <is>
          <t>NOS</t>
        </is>
      </c>
      <c r="D1393" t="n">
        <v>926.703</v>
      </c>
      <c r="E1393" t="n">
        <v>449.424</v>
      </c>
      <c r="F1393" t="n">
        <v>2359755</v>
      </c>
      <c r="G1393" t="inlineStr">
        <is>
          <t>30-25.5-2.25-CEW-CEW</t>
        </is>
      </c>
      <c r="H1393" t="n">
        <v>692.247</v>
      </c>
      <c r="I1393" t="inlineStr">
        <is>
          <t>TUB-O-C-AUT-AD-FC-30.00X2.250X0.4850</t>
        </is>
      </c>
      <c r="J1393" t="inlineStr">
        <is>
          <t>TVS</t>
        </is>
      </c>
      <c r="K1393" t="inlineStr">
        <is>
          <t>30-25.5-2.25-CEW-CEW-0.485</t>
        </is>
      </c>
    </row>
    <row r="1394">
      <c r="A1394" t="inlineStr">
        <is>
          <t>0000189240</t>
        </is>
      </c>
      <c r="B1394" t="inlineStr">
        <is>
          <t>Rajsriya Automotive Ind Pvt Ltd.</t>
        </is>
      </c>
      <c r="C1394" t="inlineStr">
        <is>
          <t>NOS</t>
        </is>
      </c>
      <c r="D1394" t="n">
        <v>42.854</v>
      </c>
      <c r="E1394" t="n">
        <v>20.783</v>
      </c>
      <c r="F1394" t="n">
        <v>2359755</v>
      </c>
      <c r="G1394" t="inlineStr">
        <is>
          <t>30-25.5-2.25-CEW-CEW</t>
        </is>
      </c>
      <c r="H1394" t="n">
        <v>32.012</v>
      </c>
      <c r="I1394" t="inlineStr">
        <is>
          <t>TUB-O-C-AUT-AD-FC-30.00X2.250X0.4850</t>
        </is>
      </c>
      <c r="J1394" t="inlineStr">
        <is>
          <t>TVS</t>
        </is>
      </c>
      <c r="K1394" t="inlineStr">
        <is>
          <t>30-25.5-2.25-CEW-CEW-0.485</t>
        </is>
      </c>
    </row>
    <row r="1395">
      <c r="A1395" t="inlineStr">
        <is>
          <t>0000189240</t>
        </is>
      </c>
      <c r="B1395" t="inlineStr">
        <is>
          <t>Rajsriya Automotive Ind Pvt Ltd.</t>
        </is>
      </c>
      <c r="C1395" t="inlineStr">
        <is>
          <t>NOS</t>
        </is>
      </c>
      <c r="D1395" t="n">
        <v>128.676</v>
      </c>
      <c r="E1395" t="n">
        <v>62.404</v>
      </c>
      <c r="F1395" t="n">
        <v>2359755</v>
      </c>
      <c r="G1395" t="inlineStr">
        <is>
          <t>30-25.5-2.25-CEW-CEW</t>
        </is>
      </c>
      <c r="H1395" t="n">
        <v>96.121</v>
      </c>
      <c r="I1395" t="inlineStr">
        <is>
          <t>TUB-O-C-AUT-AD-FC-30.00X2.250X0.4850</t>
        </is>
      </c>
      <c r="J1395" t="inlineStr">
        <is>
          <t>TVS</t>
        </is>
      </c>
      <c r="K1395" t="inlineStr">
        <is>
          <t>30-25.5-2.25-CEW-CEW-0.485</t>
        </is>
      </c>
    </row>
    <row r="1396">
      <c r="A1396" t="inlineStr">
        <is>
          <t>0000189240</t>
        </is>
      </c>
      <c r="B1396" t="inlineStr">
        <is>
          <t>Rajsriya Automotive Ind Pvt Ltd.</t>
        </is>
      </c>
      <c r="C1396" t="inlineStr">
        <is>
          <t>NOS</t>
        </is>
      </c>
      <c r="D1396" t="n">
        <v>351.395</v>
      </c>
      <c r="E1396" t="n">
        <v>170.416</v>
      </c>
      <c r="F1396" t="n">
        <v>2359755</v>
      </c>
      <c r="G1396" t="inlineStr">
        <is>
          <t>30-25.5-2.25-CEW-CEW</t>
        </is>
      </c>
      <c r="H1396" t="n">
        <v>262.492</v>
      </c>
      <c r="I1396" t="inlineStr">
        <is>
          <t>TUB-O-C-AUT-AD-FC-30.00X2.250X0.4850</t>
        </is>
      </c>
      <c r="J1396" t="inlineStr">
        <is>
          <t>TVS</t>
        </is>
      </c>
      <c r="K1396" t="inlineStr">
        <is>
          <t>30-25.5-2.25-CEW-CEW-0.485</t>
        </is>
      </c>
    </row>
    <row r="1397">
      <c r="A1397" t="inlineStr">
        <is>
          <t>0000189002</t>
        </is>
      </c>
      <c r="B1397" t="inlineStr">
        <is>
          <t>Marathwada Auto Compo Pvt. Ltd.</t>
        </is>
      </c>
      <c r="C1397" t="inlineStr">
        <is>
          <t>NOS</t>
        </is>
      </c>
      <c r="D1397" t="n">
        <v>1000</v>
      </c>
      <c r="E1397" t="n">
        <v>484.97</v>
      </c>
      <c r="F1397" t="n">
        <v>2359755</v>
      </c>
      <c r="G1397" t="inlineStr">
        <is>
          <t>30-25.5-2.25-CEW-CEW</t>
        </is>
      </c>
      <c r="H1397" t="n">
        <v>747</v>
      </c>
      <c r="I1397" t="inlineStr">
        <is>
          <t>TUB-O-C-AUT-AD-FC-30.00X2.250X0.4850</t>
        </is>
      </c>
      <c r="J1397" t="inlineStr">
        <is>
          <t>TVS</t>
        </is>
      </c>
      <c r="K1397" t="inlineStr">
        <is>
          <t>30-25.5-2.25-CEW-CEW-0.485</t>
        </is>
      </c>
    </row>
    <row r="1398">
      <c r="A1398" t="inlineStr">
        <is>
          <t>0000189240</t>
        </is>
      </c>
      <c r="B1398" t="inlineStr">
        <is>
          <t>Rajsriya Automotive Ind Pvt Ltd.</t>
        </is>
      </c>
      <c r="C1398" t="inlineStr">
        <is>
          <t>NOS</t>
        </is>
      </c>
      <c r="D1398" t="n">
        <v>2654.064</v>
      </c>
      <c r="E1398" t="n">
        <v>1287.143</v>
      </c>
      <c r="F1398" t="n">
        <v>2359755</v>
      </c>
      <c r="G1398" t="inlineStr">
        <is>
          <t>30-25.5-2.25-CEW-CEW</t>
        </is>
      </c>
      <c r="H1398" t="n">
        <v>1982.586</v>
      </c>
      <c r="I1398" t="inlineStr">
        <is>
          <t>TUB-O-C-AUT-AD-FC-30.00X2.250X0.4850</t>
        </is>
      </c>
      <c r="J1398" t="inlineStr">
        <is>
          <t>TVS</t>
        </is>
      </c>
      <c r="K1398" t="inlineStr">
        <is>
          <t>30-25.5-2.25-CEW-CEW-0.485</t>
        </is>
      </c>
    </row>
    <row r="1399">
      <c r="A1399" t="inlineStr">
        <is>
          <t>0000189240</t>
        </is>
      </c>
      <c r="B1399" t="inlineStr">
        <is>
          <t>Rajsriya Automotive Ind Pvt Ltd.</t>
        </is>
      </c>
      <c r="C1399" t="inlineStr">
        <is>
          <t>NOS</t>
        </is>
      </c>
      <c r="D1399" t="n">
        <v>1085.936</v>
      </c>
      <c r="E1399" t="n">
        <v>526.647</v>
      </c>
      <c r="F1399" t="n">
        <v>2359755</v>
      </c>
      <c r="G1399" t="inlineStr">
        <is>
          <t>30-25.5-2.25-CEW-CEW</t>
        </is>
      </c>
      <c r="H1399" t="n">
        <v>811.194</v>
      </c>
      <c r="I1399" t="inlineStr">
        <is>
          <t>TUB-O-C-AUT-AD-FC-30.00X2.250X0.4850</t>
        </is>
      </c>
      <c r="J1399" t="inlineStr">
        <is>
          <t>TVS</t>
        </is>
      </c>
      <c r="K1399" t="inlineStr">
        <is>
          <t>30-25.5-2.25-CEW-CEW-0.485</t>
        </is>
      </c>
    </row>
    <row r="1400">
      <c r="A1400" t="inlineStr">
        <is>
          <t>0000189002</t>
        </is>
      </c>
      <c r="B1400" t="inlineStr">
        <is>
          <t>Marathwada Auto Compo Pvt. Ltd.</t>
        </is>
      </c>
      <c r="C1400" t="inlineStr">
        <is>
          <t>NOS</t>
        </is>
      </c>
      <c r="D1400" t="n">
        <v>2582.052</v>
      </c>
      <c r="E1400" t="n">
        <v>1252.219</v>
      </c>
      <c r="F1400" t="n">
        <v>2359755</v>
      </c>
      <c r="G1400" t="inlineStr">
        <is>
          <t>30-25.5-2.25-CEW-CEW</t>
        </is>
      </c>
      <c r="H1400" t="n">
        <v>1928.793</v>
      </c>
      <c r="I1400" t="inlineStr">
        <is>
          <t>TUB-O-C-AUT-AD-FC-30.00X2.250X0.4850</t>
        </is>
      </c>
      <c r="J1400" t="inlineStr">
        <is>
          <t>TVS</t>
        </is>
      </c>
      <c r="K1400" t="inlineStr">
        <is>
          <t>30-25.5-2.25-CEW-CEW-0.485</t>
        </is>
      </c>
    </row>
    <row r="1401">
      <c r="A1401" t="inlineStr">
        <is>
          <t>0000189002</t>
        </is>
      </c>
      <c r="B1401" t="inlineStr">
        <is>
          <t>Marathwada Auto Compo Pvt. Ltd.</t>
        </is>
      </c>
      <c r="C1401" t="inlineStr">
        <is>
          <t>NOS</t>
        </is>
      </c>
      <c r="D1401" t="n">
        <v>600</v>
      </c>
      <c r="E1401" t="n">
        <v>290.982</v>
      </c>
      <c r="F1401" t="n">
        <v>2359755</v>
      </c>
      <c r="G1401" t="inlineStr">
        <is>
          <t>30-25.5-2.25-CEW-CEW</t>
        </is>
      </c>
      <c r="H1401" t="n">
        <v>448.2</v>
      </c>
      <c r="I1401" t="inlineStr">
        <is>
          <t>TUB-O-C-AUT-AD-FC-30.00X2.250X0.4850</t>
        </is>
      </c>
      <c r="J1401" t="inlineStr">
        <is>
          <t>TVS</t>
        </is>
      </c>
      <c r="K1401" t="inlineStr">
        <is>
          <t>30-25.5-2.25-CEW-CEW-0.485</t>
        </is>
      </c>
    </row>
    <row r="1402">
      <c r="A1402" t="inlineStr">
        <is>
          <t>0000189002</t>
        </is>
      </c>
      <c r="B1402" t="inlineStr">
        <is>
          <t>Marathwada Auto Compo Pvt. Ltd.</t>
        </is>
      </c>
      <c r="C1402" t="inlineStr">
        <is>
          <t>NOS</t>
        </is>
      </c>
      <c r="D1402" t="n">
        <v>114.064</v>
      </c>
      <c r="E1402" t="n">
        <v>55.318</v>
      </c>
      <c r="F1402" t="n">
        <v>2359755</v>
      </c>
      <c r="G1402" t="inlineStr">
        <is>
          <t>30-25.5-2.25-CEW-CEW</t>
        </is>
      </c>
      <c r="H1402" t="n">
        <v>85.206</v>
      </c>
      <c r="I1402" t="inlineStr">
        <is>
          <t>TUB-O-C-AUT-AD-FC-30.00X2.250X0.4850</t>
        </is>
      </c>
      <c r="J1402" t="inlineStr">
        <is>
          <t>TVS</t>
        </is>
      </c>
      <c r="K1402" t="inlineStr">
        <is>
          <t>30-25.5-2.25-CEW-CEW-0.485</t>
        </is>
      </c>
    </row>
    <row r="1403">
      <c r="A1403" t="inlineStr">
        <is>
          <t>0000189002</t>
        </is>
      </c>
      <c r="B1403" t="inlineStr">
        <is>
          <t>Marathwada Auto Compo Pvt. Ltd.</t>
        </is>
      </c>
      <c r="C1403" t="inlineStr">
        <is>
          <t>NOS</t>
        </is>
      </c>
      <c r="D1403" t="n">
        <v>200</v>
      </c>
      <c r="E1403" t="n">
        <v>96.994</v>
      </c>
      <c r="F1403" t="n">
        <v>2359755</v>
      </c>
      <c r="G1403" t="inlineStr">
        <is>
          <t>30-25.5-2.25-CEW-CEW</t>
        </is>
      </c>
      <c r="H1403" t="n">
        <v>149.4</v>
      </c>
      <c r="I1403" t="inlineStr">
        <is>
          <t>TUB-O-C-AUT-AD-FC-30.00X2.250X0.4850</t>
        </is>
      </c>
      <c r="J1403" t="inlineStr">
        <is>
          <t>TVS</t>
        </is>
      </c>
      <c r="K1403" t="inlineStr">
        <is>
          <t>30-25.5-2.25-CEW-CEW-0.485</t>
        </is>
      </c>
    </row>
    <row r="1404">
      <c r="A1404" t="inlineStr">
        <is>
          <t>0000189002</t>
        </is>
      </c>
      <c r="B1404" t="inlineStr">
        <is>
          <t>Marathwada Auto Compo Pvt. Ltd.</t>
        </is>
      </c>
      <c r="C1404" t="inlineStr">
        <is>
          <t>NOS</t>
        </is>
      </c>
      <c r="D1404" t="n">
        <v>503.884</v>
      </c>
      <c r="E1404" t="n">
        <v>244.369</v>
      </c>
      <c r="F1404" t="n">
        <v>2359755</v>
      </c>
      <c r="G1404" t="inlineStr">
        <is>
          <t>30-25.5-2.25-CEW-CEW</t>
        </is>
      </c>
      <c r="H1404" t="n">
        <v>376.401</v>
      </c>
      <c r="I1404" t="inlineStr">
        <is>
          <t>TUB-O-C-AUT-AD-FC-30.00X2.250X0.4850</t>
        </is>
      </c>
      <c r="J1404" t="inlineStr">
        <is>
          <t>TVS</t>
        </is>
      </c>
      <c r="K1404" t="inlineStr">
        <is>
          <t>30-25.5-2.25-CEW-CEW-0.485</t>
        </is>
      </c>
    </row>
    <row r="1405">
      <c r="A1405" t="inlineStr">
        <is>
          <t>0000189240</t>
        </is>
      </c>
      <c r="B1405" t="inlineStr">
        <is>
          <t>Rajsriya Automotive Ind Pvt Ltd.</t>
        </is>
      </c>
      <c r="C1405" t="inlineStr">
        <is>
          <t>NOS</t>
        </is>
      </c>
      <c r="D1405" t="n">
        <v>2630.497</v>
      </c>
      <c r="E1405" t="n">
        <v>1275.713</v>
      </c>
      <c r="F1405" t="n">
        <v>2359755</v>
      </c>
      <c r="G1405" t="inlineStr">
        <is>
          <t>30-25.5-2.25-CEW-CEW</t>
        </is>
      </c>
      <c r="H1405" t="n">
        <v>1964.981</v>
      </c>
      <c r="I1405" t="inlineStr">
        <is>
          <t>TUB-O-C-AUT-AD-FC-30.00X2.250X0.4850</t>
        </is>
      </c>
      <c r="J1405" t="inlineStr">
        <is>
          <t>TVS</t>
        </is>
      </c>
      <c r="K1405" t="inlineStr">
        <is>
          <t>30-25.5-2.25-CEW-CEW-0.485</t>
        </is>
      </c>
    </row>
    <row r="1406">
      <c r="A1406" t="inlineStr">
        <is>
          <t>0000189240</t>
        </is>
      </c>
      <c r="B1406" t="inlineStr">
        <is>
          <t>Rajsriya Automotive Ind Pvt Ltd.</t>
        </is>
      </c>
      <c r="C1406" t="inlineStr">
        <is>
          <t>NOS</t>
        </is>
      </c>
      <c r="D1406" t="n">
        <v>1369.503</v>
      </c>
      <c r="E1406" t="n">
        <v>664.169</v>
      </c>
      <c r="F1406" t="n">
        <v>2359755</v>
      </c>
      <c r="G1406" t="inlineStr">
        <is>
          <t>30-25.5-2.25-CEW-CEW</t>
        </is>
      </c>
      <c r="H1406" t="n">
        <v>1023.019</v>
      </c>
      <c r="I1406" t="inlineStr">
        <is>
          <t>TUB-O-C-AUT-AD-FC-30.00X2.250X0.4850</t>
        </is>
      </c>
      <c r="J1406" t="inlineStr">
        <is>
          <t>TVS</t>
        </is>
      </c>
      <c r="K1406" t="inlineStr">
        <is>
          <t>30-25.5-2.25-CEW-CEW-0.485</t>
        </is>
      </c>
    </row>
    <row r="1407">
      <c r="A1407" t="inlineStr">
        <is>
          <t>0000189240</t>
        </is>
      </c>
      <c r="B1407" t="inlineStr">
        <is>
          <t>Rajsriya Automotive Ind Pvt Ltd.</t>
        </is>
      </c>
      <c r="C1407" t="inlineStr">
        <is>
          <t>NOS</t>
        </is>
      </c>
      <c r="D1407" t="n">
        <v>44.605</v>
      </c>
      <c r="E1407" t="n">
        <v>21.632</v>
      </c>
      <c r="F1407" t="n">
        <v>2359755</v>
      </c>
      <c r="G1407" t="inlineStr">
        <is>
          <t>30-25.5-2.25-CEW-CEW</t>
        </is>
      </c>
      <c r="H1407" t="n">
        <v>33.32</v>
      </c>
      <c r="I1407" t="inlineStr">
        <is>
          <t>TUB-O-C-AUT-AD-FC-30.00X2.250X0.4850</t>
        </is>
      </c>
      <c r="J1407" t="inlineStr">
        <is>
          <t>TVS</t>
        </is>
      </c>
      <c r="K1407" t="inlineStr">
        <is>
          <t>30-25.5-2.25-CEW-CEW-0.485</t>
        </is>
      </c>
    </row>
    <row r="1408">
      <c r="A1408" t="inlineStr">
        <is>
          <t>0000189240</t>
        </is>
      </c>
      <c r="B1408" t="inlineStr">
        <is>
          <t>Rajsriya Automotive Ind Pvt Ltd.</t>
        </is>
      </c>
      <c r="C1408" t="inlineStr">
        <is>
          <t>NOS</t>
        </is>
      </c>
      <c r="D1408" t="n">
        <v>240</v>
      </c>
      <c r="E1408" t="n">
        <v>116.393</v>
      </c>
      <c r="F1408" t="n">
        <v>2359755</v>
      </c>
      <c r="G1408" t="inlineStr">
        <is>
          <t>30-25.5-2.25-CEW-CEW</t>
        </is>
      </c>
      <c r="H1408" t="n">
        <v>179.28</v>
      </c>
      <c r="I1408" t="inlineStr">
        <is>
          <t>TUB-O-C-AUT-AD-FC-30.00X2.250X0.4850</t>
        </is>
      </c>
      <c r="J1408" t="inlineStr">
        <is>
          <t>TVS</t>
        </is>
      </c>
      <c r="K1408" t="inlineStr">
        <is>
          <t>30-25.5-2.25-CEW-CEW-0.485</t>
        </is>
      </c>
    </row>
    <row r="1409">
      <c r="A1409" t="inlineStr">
        <is>
          <t>0000189240</t>
        </is>
      </c>
      <c r="B1409" t="inlineStr">
        <is>
          <t>Rajsriya Automotive Ind Pvt Ltd.</t>
        </is>
      </c>
      <c r="C1409" t="inlineStr">
        <is>
          <t>NOS</t>
        </is>
      </c>
      <c r="D1409" t="n">
        <v>70.497</v>
      </c>
      <c r="E1409" t="n">
        <v>34.189</v>
      </c>
      <c r="F1409" t="n">
        <v>2359755</v>
      </c>
      <c r="G1409" t="inlineStr">
        <is>
          <t>30-25.5-2.25-CEW-CEW</t>
        </is>
      </c>
      <c r="H1409" t="n">
        <v>52.661</v>
      </c>
      <c r="I1409" t="inlineStr">
        <is>
          <t>TUB-O-C-AUT-AD-FC-30.00X2.250X0.4850</t>
        </is>
      </c>
      <c r="J1409" t="inlineStr">
        <is>
          <t>TVS</t>
        </is>
      </c>
      <c r="K1409" t="inlineStr">
        <is>
          <t>30-25.5-2.25-CEW-CEW-0.485</t>
        </is>
      </c>
    </row>
    <row r="1410">
      <c r="A1410" t="inlineStr">
        <is>
          <t>0000189240</t>
        </is>
      </c>
      <c r="B1410" t="inlineStr">
        <is>
          <t>Rajsriya Automotive Ind Pvt Ltd.</t>
        </is>
      </c>
      <c r="C1410" t="inlineStr">
        <is>
          <t>NOS</t>
        </is>
      </c>
      <c r="D1410" t="n">
        <v>96.116</v>
      </c>
      <c r="E1410" t="n">
        <v>46.613</v>
      </c>
      <c r="F1410" t="n">
        <v>2359755</v>
      </c>
      <c r="G1410" t="inlineStr">
        <is>
          <t>30-25.5-2.25-CEW-CEW</t>
        </is>
      </c>
      <c r="H1410" t="n">
        <v>71.79900000000001</v>
      </c>
      <c r="I1410" t="inlineStr">
        <is>
          <t>TUB-O-C-AUT-AD-FC-30.00X2.250X0.4850</t>
        </is>
      </c>
      <c r="J1410" t="inlineStr">
        <is>
          <t>TVS</t>
        </is>
      </c>
      <c r="K1410" t="inlineStr">
        <is>
          <t>30-25.5-2.25-CEW-CEW-0.485</t>
        </is>
      </c>
    </row>
    <row r="1411">
      <c r="A1411" t="inlineStr">
        <is>
          <t>0000189240</t>
        </is>
      </c>
      <c r="B1411" t="inlineStr">
        <is>
          <t>Rajsriya Automotive Ind Pvt Ltd.</t>
        </is>
      </c>
      <c r="C1411" t="inlineStr">
        <is>
          <t>NOS</t>
        </is>
      </c>
      <c r="D1411" t="n">
        <v>2548.782</v>
      </c>
      <c r="E1411" t="n">
        <v>1236.084</v>
      </c>
      <c r="F1411" t="n">
        <v>2359755</v>
      </c>
      <c r="G1411" t="inlineStr">
        <is>
          <t>30-25.5-2.25-CEW-CEW</t>
        </is>
      </c>
      <c r="H1411" t="n">
        <v>1903.94</v>
      </c>
      <c r="I1411" t="inlineStr">
        <is>
          <t>TUB-O-C-AUT-AD-FC-30.00X2.250X0.4850</t>
        </is>
      </c>
      <c r="J1411" t="inlineStr">
        <is>
          <t>TVS</t>
        </is>
      </c>
      <c r="K1411" t="inlineStr">
        <is>
          <t>30-25.5-2.25-CEW-CEW-0.485</t>
        </is>
      </c>
    </row>
    <row r="1412">
      <c r="A1412" t="inlineStr">
        <is>
          <t>0000189240</t>
        </is>
      </c>
      <c r="B1412" t="inlineStr">
        <is>
          <t>Rajsriya Automotive Ind Pvt Ltd.</t>
        </is>
      </c>
      <c r="C1412" t="inlineStr">
        <is>
          <t>NOS</t>
        </is>
      </c>
      <c r="D1412" t="n">
        <v>2642.28</v>
      </c>
      <c r="E1412" t="n">
        <v>1281.428</v>
      </c>
      <c r="F1412" t="n">
        <v>2359755</v>
      </c>
      <c r="G1412" t="inlineStr">
        <is>
          <t>30-25.5-2.25-CEW-CEW</t>
        </is>
      </c>
      <c r="H1412" t="n">
        <v>1973.783</v>
      </c>
      <c r="I1412" t="inlineStr">
        <is>
          <t>TUB-O-C-AUT-AD-FC-30.00X2.250X0.4850</t>
        </is>
      </c>
      <c r="J1412" t="inlineStr">
        <is>
          <t>TVS</t>
        </is>
      </c>
      <c r="K1412" t="inlineStr">
        <is>
          <t>30-25.5-2.25-CEW-CEW-0.485</t>
        </is>
      </c>
    </row>
    <row r="1413">
      <c r="A1413" t="inlineStr">
        <is>
          <t>0000189240</t>
        </is>
      </c>
      <c r="B1413" t="inlineStr">
        <is>
          <t>Rajsriya Automotive Ind Pvt Ltd.</t>
        </is>
      </c>
      <c r="C1413" t="inlineStr">
        <is>
          <t>NOS</t>
        </is>
      </c>
      <c r="D1413" t="n">
        <v>1357.72</v>
      </c>
      <c r="E1413" t="n">
        <v>658.454</v>
      </c>
      <c r="F1413" t="n">
        <v>2359755</v>
      </c>
      <c r="G1413" t="inlineStr">
        <is>
          <t>30-25.5-2.25-CEW-CEW</t>
        </is>
      </c>
      <c r="H1413" t="n">
        <v>1014.217</v>
      </c>
      <c r="I1413" t="inlineStr">
        <is>
          <t>TUB-O-C-AUT-AD-FC-30.00X2.250X0.4850</t>
        </is>
      </c>
      <c r="J1413" t="inlineStr">
        <is>
          <t>TVS</t>
        </is>
      </c>
      <c r="K1413" t="inlineStr">
        <is>
          <t>30-25.5-2.25-CEW-CEW-0.485</t>
        </is>
      </c>
    </row>
    <row r="1414">
      <c r="A1414" t="inlineStr">
        <is>
          <t>0000189240</t>
        </is>
      </c>
      <c r="B1414" t="inlineStr">
        <is>
          <t>Rajsriya Automotive Ind Pvt Ltd.</t>
        </is>
      </c>
      <c r="C1414" t="inlineStr">
        <is>
          <t>NOS</t>
        </is>
      </c>
      <c r="D1414" t="n">
        <v>1110</v>
      </c>
      <c r="E1414" t="n">
        <v>516.154</v>
      </c>
      <c r="F1414" t="n">
        <v>3781608</v>
      </c>
      <c r="G1414" t="inlineStr">
        <is>
          <t>30-25.5-2.25-CEW-CEW</t>
        </is>
      </c>
      <c r="H1414" t="n">
        <v>795.0309999999999</v>
      </c>
      <c r="I1414" t="inlineStr">
        <is>
          <t>CUT-I-C-AUT-AD-CH-25.50X2.320X0.4650</t>
        </is>
      </c>
      <c r="J1414" t="inlineStr">
        <is>
          <t>TVS</t>
        </is>
      </c>
      <c r="K1414" t="inlineStr">
        <is>
          <t>30-25.5-2.25-CEW-CEW-0.465</t>
        </is>
      </c>
    </row>
    <row r="1415">
      <c r="A1415" t="inlineStr">
        <is>
          <t>0000189240</t>
        </is>
      </c>
      <c r="B1415" t="inlineStr">
        <is>
          <t>Rajsriya Automotive Ind Pvt Ltd.</t>
        </is>
      </c>
      <c r="C1415" t="inlineStr">
        <is>
          <t>NOS</t>
        </is>
      </c>
      <c r="D1415" t="n">
        <v>300</v>
      </c>
      <c r="E1415" t="n">
        <v>139.501</v>
      </c>
      <c r="F1415" t="n">
        <v>3781608</v>
      </c>
      <c r="G1415" t="inlineStr">
        <is>
          <t>30-25.5-2.25-CEW-CEW</t>
        </is>
      </c>
      <c r="H1415" t="n">
        <v>214.873</v>
      </c>
      <c r="I1415" t="inlineStr">
        <is>
          <t>CUT-I-C-AUT-AD-CH-25.50X2.320X0.4650</t>
        </is>
      </c>
      <c r="J1415" t="inlineStr">
        <is>
          <t>TVS</t>
        </is>
      </c>
      <c r="K1415" t="inlineStr">
        <is>
          <t>30-25.5-2.25-CEW-CEW-0.465</t>
        </is>
      </c>
    </row>
    <row r="1416">
      <c r="A1416" t="inlineStr">
        <is>
          <t>0000189240</t>
        </is>
      </c>
      <c r="B1416" t="inlineStr">
        <is>
          <t>Rajsriya Automotive Ind Pvt Ltd.</t>
        </is>
      </c>
      <c r="C1416" t="inlineStr">
        <is>
          <t>NOS</t>
        </is>
      </c>
      <c r="D1416" t="n">
        <v>200</v>
      </c>
      <c r="E1416" t="n">
        <v>93.001</v>
      </c>
      <c r="F1416" t="n">
        <v>3781608</v>
      </c>
      <c r="G1416" t="inlineStr">
        <is>
          <t>30-25.5-2.25-CEW-CEW</t>
        </is>
      </c>
      <c r="H1416" t="n">
        <v>143.249</v>
      </c>
      <c r="I1416" t="inlineStr">
        <is>
          <t>CUT-I-C-AUT-AD-CH-25.50X2.320X0.4650</t>
        </is>
      </c>
      <c r="J1416" t="inlineStr">
        <is>
          <t>TVS</t>
        </is>
      </c>
      <c r="K1416" t="inlineStr">
        <is>
          <t>30-25.5-2.25-CEW-CEW-0.465</t>
        </is>
      </c>
    </row>
    <row r="1417">
      <c r="A1417" t="inlineStr">
        <is>
          <t>0000189240</t>
        </is>
      </c>
      <c r="B1417" t="inlineStr">
        <is>
          <t>Rajsriya Automotive Ind Pvt Ltd.</t>
        </is>
      </c>
      <c r="C1417" t="inlineStr">
        <is>
          <t>NOS</t>
        </is>
      </c>
      <c r="D1417" t="n">
        <v>830</v>
      </c>
      <c r="E1417" t="n">
        <v>385.953</v>
      </c>
      <c r="F1417" t="n">
        <v>3781608</v>
      </c>
      <c r="G1417" t="inlineStr">
        <is>
          <t>30-25.5-2.25-CEW-CEW</t>
        </is>
      </c>
      <c r="H1417" t="n">
        <v>594.4829999999999</v>
      </c>
      <c r="I1417" t="inlineStr">
        <is>
          <t>CUT-I-C-AUT-AD-CH-25.50X2.320X0.4650</t>
        </is>
      </c>
      <c r="J1417" t="inlineStr">
        <is>
          <t>TVS</t>
        </is>
      </c>
      <c r="K1417" t="inlineStr">
        <is>
          <t>30-25.5-2.25-CEW-CEW-0.465</t>
        </is>
      </c>
    </row>
    <row r="1418">
      <c r="A1418" t="inlineStr">
        <is>
          <t>0000189240</t>
        </is>
      </c>
      <c r="B1418" t="inlineStr">
        <is>
          <t>Rajsriya Automotive Ind Pvt Ltd.</t>
        </is>
      </c>
      <c r="C1418" t="inlineStr">
        <is>
          <t>NOS</t>
        </is>
      </c>
      <c r="D1418" t="n">
        <v>200</v>
      </c>
      <c r="E1418" t="n">
        <v>93.001</v>
      </c>
      <c r="F1418" t="n">
        <v>3781608</v>
      </c>
      <c r="G1418" t="inlineStr">
        <is>
          <t>30-25.5-2.25-CEW-CEW</t>
        </is>
      </c>
      <c r="H1418" t="n">
        <v>143.249</v>
      </c>
      <c r="I1418" t="inlineStr">
        <is>
          <t>CUT-I-C-AUT-AD-CH-25.50X2.320X0.4650</t>
        </is>
      </c>
      <c r="J1418" t="inlineStr">
        <is>
          <t>TVS</t>
        </is>
      </c>
      <c r="K1418" t="inlineStr">
        <is>
          <t>30-25.5-2.25-CEW-CEW-0.465</t>
        </is>
      </c>
    </row>
    <row r="1419">
      <c r="A1419" t="inlineStr">
        <is>
          <t>0000189240</t>
        </is>
      </c>
      <c r="B1419" t="inlineStr">
        <is>
          <t>Rajsriya Automotive Ind Pvt Ltd.</t>
        </is>
      </c>
      <c r="C1419" t="inlineStr">
        <is>
          <t>NOS</t>
        </is>
      </c>
      <c r="D1419" t="n">
        <v>360</v>
      </c>
      <c r="E1419" t="n">
        <v>167.401</v>
      </c>
      <c r="F1419" t="n">
        <v>3781608</v>
      </c>
      <c r="G1419" t="inlineStr">
        <is>
          <t>30-25.5-2.25-CEW-CEW</t>
        </is>
      </c>
      <c r="H1419" t="n">
        <v>257.848</v>
      </c>
      <c r="I1419" t="inlineStr">
        <is>
          <t>CUT-I-C-AUT-AD-CH-25.50X2.320X0.4650</t>
        </is>
      </c>
      <c r="J1419" t="inlineStr">
        <is>
          <t>TVS</t>
        </is>
      </c>
      <c r="K1419" t="inlineStr">
        <is>
          <t>30-25.5-2.25-CEW-CEW-0.465</t>
        </is>
      </c>
    </row>
    <row r="1420">
      <c r="A1420" t="inlineStr">
        <is>
          <t>0000189240</t>
        </is>
      </c>
      <c r="B1420" t="inlineStr">
        <is>
          <t>Rajsriya Automotive Ind Pvt Ltd.</t>
        </is>
      </c>
      <c r="C1420" t="inlineStr">
        <is>
          <t>NOS</t>
        </is>
      </c>
      <c r="D1420" t="n">
        <v>1000</v>
      </c>
      <c r="E1420" t="n">
        <v>465.003</v>
      </c>
      <c r="F1420" t="n">
        <v>3781608</v>
      </c>
      <c r="G1420" t="inlineStr">
        <is>
          <t>30-25.5-2.25-CEW-CEW</t>
        </is>
      </c>
      <c r="H1420" t="n">
        <v>716.244</v>
      </c>
      <c r="I1420" t="inlineStr">
        <is>
          <t>CUT-I-C-AUT-AD-CH-25.50X2.320X0.4650</t>
        </is>
      </c>
      <c r="J1420" t="inlineStr">
        <is>
          <t>TVS</t>
        </is>
      </c>
      <c r="K1420" t="inlineStr">
        <is>
          <t>30-25.5-2.25-CEW-CEW-0.465</t>
        </is>
      </c>
    </row>
    <row r="1421">
      <c r="A1421" t="inlineStr">
        <is>
          <t>0000189240</t>
        </is>
      </c>
      <c r="B1421" t="inlineStr">
        <is>
          <t>Rajsriya Automotive Ind Pvt Ltd.</t>
        </is>
      </c>
      <c r="C1421" t="inlineStr">
        <is>
          <t>NOS</t>
        </is>
      </c>
      <c r="D1421" t="n">
        <v>800</v>
      </c>
      <c r="E1421" t="n">
        <v>372.003</v>
      </c>
      <c r="F1421" t="n">
        <v>3781608</v>
      </c>
      <c r="G1421" t="inlineStr">
        <is>
          <t>30-25.5-2.25-CEW-CEW</t>
        </is>
      </c>
      <c r="H1421" t="n">
        <v>572.996</v>
      </c>
      <c r="I1421" t="inlineStr">
        <is>
          <t>CUT-I-C-AUT-AD-CH-25.50X2.320X0.4650</t>
        </is>
      </c>
      <c r="J1421" t="inlineStr">
        <is>
          <t>TVS</t>
        </is>
      </c>
      <c r="K1421" t="inlineStr">
        <is>
          <t>30-25.5-2.25-CEW-CEW-0.465</t>
        </is>
      </c>
    </row>
    <row r="1422">
      <c r="A1422" t="inlineStr">
        <is>
          <t>0000189240</t>
        </is>
      </c>
      <c r="B1422" t="inlineStr">
        <is>
          <t>Rajsriya Automotive Ind Pvt Ltd.</t>
        </is>
      </c>
      <c r="C1422" t="inlineStr">
        <is>
          <t>NOS</t>
        </is>
      </c>
      <c r="D1422" t="n">
        <v>200</v>
      </c>
      <c r="E1422" t="n">
        <v>93.001</v>
      </c>
      <c r="F1422" t="n">
        <v>3781608</v>
      </c>
      <c r="G1422" t="inlineStr">
        <is>
          <t>30-25.5-2.25-CEW-CEW</t>
        </is>
      </c>
      <c r="H1422" t="n">
        <v>143.249</v>
      </c>
      <c r="I1422" t="inlineStr">
        <is>
          <t>CUT-I-C-AUT-AD-CH-25.50X2.320X0.4650</t>
        </is>
      </c>
      <c r="J1422" t="inlineStr">
        <is>
          <t>TVS</t>
        </is>
      </c>
      <c r="K1422" t="inlineStr">
        <is>
          <t>30-25.5-2.25-CEW-CEW-0.465</t>
        </is>
      </c>
    </row>
    <row r="1423">
      <c r="A1423" t="inlineStr">
        <is>
          <t>0000941496</t>
        </is>
      </c>
      <c r="B1423" t="inlineStr">
        <is>
          <t>SANDHAR ENGINEERING PVT LTD.(KA) -U</t>
        </is>
      </c>
      <c r="C1423" t="inlineStr">
        <is>
          <t>NOS</t>
        </is>
      </c>
      <c r="D1423" t="n">
        <v>641</v>
      </c>
      <c r="E1423" t="n">
        <v>134.664</v>
      </c>
      <c r="F1423" t="n">
        <v>2256593</v>
      </c>
      <c r="G1423" t="inlineStr">
        <is>
          <t>31.75-0-1.2-ERW 1-FC</t>
        </is>
      </c>
      <c r="H1423" t="n">
        <v>121.79</v>
      </c>
      <c r="I1423" t="inlineStr">
        <is>
          <t>TUB-O-N-AUT-AW-FC-31.75X1.200X0.2100</t>
        </is>
      </c>
      <c r="J1423" t="inlineStr">
        <is>
          <t>TVS</t>
        </is>
      </c>
      <c r="K1423" t="inlineStr">
        <is>
          <t>31.75-0-1.2-ERW 1-FC-0.21</t>
        </is>
      </c>
    </row>
    <row r="1424">
      <c r="A1424" t="inlineStr">
        <is>
          <t>0000941496</t>
        </is>
      </c>
      <c r="B1424" t="inlineStr">
        <is>
          <t>SANDHAR ENGINEERING PVT LTD.(KA) -U</t>
        </is>
      </c>
      <c r="C1424" t="inlineStr">
        <is>
          <t>NOS</t>
        </is>
      </c>
      <c r="D1424" t="n">
        <v>9</v>
      </c>
      <c r="E1424" t="n">
        <v>1.891</v>
      </c>
      <c r="F1424" t="n">
        <v>2256593</v>
      </c>
      <c r="G1424" t="inlineStr">
        <is>
          <t>31.75-0-1.2-ERW 1-FC</t>
        </is>
      </c>
      <c r="H1424" t="n">
        <v>1.71</v>
      </c>
      <c r="I1424" t="inlineStr">
        <is>
          <t>TUB-O-N-AUT-AW-FC-31.75X1.200X0.2100</t>
        </is>
      </c>
      <c r="J1424" t="inlineStr">
        <is>
          <t>TVS</t>
        </is>
      </c>
      <c r="K1424" t="inlineStr">
        <is>
          <t>31.75-0-1.2-ERW 1-FC-0.21</t>
        </is>
      </c>
    </row>
    <row r="1425">
      <c r="A1425" t="inlineStr">
        <is>
          <t>0000189226</t>
        </is>
      </c>
      <c r="B1425" t="inlineStr">
        <is>
          <t>Neel Metal Products Limited</t>
        </is>
      </c>
      <c r="C1425" t="inlineStr">
        <is>
          <t>NOS</t>
        </is>
      </c>
      <c r="D1425" t="n">
        <v>1424</v>
      </c>
      <c r="E1425" t="n">
        <v>1039.701</v>
      </c>
      <c r="F1425" t="n">
        <v>1940881</v>
      </c>
      <c r="G1425" t="inlineStr">
        <is>
          <t>50-30-2-ERW 1-FC</t>
        </is>
      </c>
      <c r="H1425" t="n">
        <v>2503.392</v>
      </c>
      <c r="I1425" t="inlineStr">
        <is>
          <t>TUB-R-AW-RHS-50.00X30.00X2.000X0.7300</t>
        </is>
      </c>
      <c r="J1425" t="inlineStr">
        <is>
          <t>TVS</t>
        </is>
      </c>
      <c r="K1425" t="inlineStr">
        <is>
          <t>50-30-2-ERW 1-FC-0.73</t>
        </is>
      </c>
    </row>
    <row r="1426">
      <c r="A1426" t="inlineStr">
        <is>
          <t>0000189226</t>
        </is>
      </c>
      <c r="B1426" t="inlineStr">
        <is>
          <t>Neel Metal Products Limited</t>
        </is>
      </c>
      <c r="C1426" t="inlineStr">
        <is>
          <t>NOS</t>
        </is>
      </c>
      <c r="D1426" t="n">
        <v>1415</v>
      </c>
      <c r="E1426" t="n">
        <v>1033.13</v>
      </c>
      <c r="F1426" t="n">
        <v>1940881</v>
      </c>
      <c r="G1426" t="inlineStr">
        <is>
          <t>50-30-2-ERW 1-FC</t>
        </is>
      </c>
      <c r="H1426" t="n">
        <v>2487.57</v>
      </c>
      <c r="I1426" t="inlineStr">
        <is>
          <t>TUB-R-AW-RHS-50.00X30.00X2.000X0.7300</t>
        </is>
      </c>
      <c r="J1426" t="inlineStr">
        <is>
          <t>TVS</t>
        </is>
      </c>
      <c r="K1426" t="inlineStr">
        <is>
          <t>50-30-2-ERW 1-FC-0.73</t>
        </is>
      </c>
    </row>
    <row r="1427">
      <c r="A1427" t="inlineStr">
        <is>
          <t>0000189226</t>
        </is>
      </c>
      <c r="B1427" t="inlineStr">
        <is>
          <t>Neel Metal Products Limited</t>
        </is>
      </c>
      <c r="C1427" t="inlineStr">
        <is>
          <t>NOS</t>
        </is>
      </c>
      <c r="D1427" t="n">
        <v>1399</v>
      </c>
      <c r="E1427" t="n">
        <v>1021.448</v>
      </c>
      <c r="F1427" t="n">
        <v>1940881</v>
      </c>
      <c r="G1427" t="inlineStr">
        <is>
          <t>50-30-2-ERW 1-FC</t>
        </is>
      </c>
      <c r="H1427" t="n">
        <v>2459.442</v>
      </c>
      <c r="I1427" t="inlineStr">
        <is>
          <t>TUB-R-AW-RHS-50.00X30.00X2.000X0.7300</t>
        </is>
      </c>
      <c r="J1427" t="inlineStr">
        <is>
          <t>TVS</t>
        </is>
      </c>
      <c r="K1427" t="inlineStr">
        <is>
          <t>50-30-2-ERW 1-FC-0.73</t>
        </is>
      </c>
    </row>
    <row r="1428">
      <c r="A1428" t="inlineStr">
        <is>
          <t>0000189226</t>
        </is>
      </c>
      <c r="B1428" t="inlineStr">
        <is>
          <t>Neel Metal Products Limited</t>
        </is>
      </c>
      <c r="C1428" t="inlineStr">
        <is>
          <t>NOS</t>
        </is>
      </c>
      <c r="D1428" t="n">
        <v>1226</v>
      </c>
      <c r="E1428" t="n">
        <v>895.136</v>
      </c>
      <c r="F1428" t="n">
        <v>1940881</v>
      </c>
      <c r="G1428" t="inlineStr">
        <is>
          <t>50-30-2-ERW 1-FC</t>
        </is>
      </c>
      <c r="H1428" t="n">
        <v>2155.308</v>
      </c>
      <c r="I1428" t="inlineStr">
        <is>
          <t>TUB-R-AW-RHS-50.00X30.00X2.000X0.7300</t>
        </is>
      </c>
      <c r="J1428" t="inlineStr">
        <is>
          <t>TVS</t>
        </is>
      </c>
      <c r="K1428" t="inlineStr">
        <is>
          <t>50-30-2-ERW 1-FC-0.73</t>
        </is>
      </c>
    </row>
    <row r="1429">
      <c r="A1429" t="inlineStr">
        <is>
          <t>0000189226</t>
        </is>
      </c>
      <c r="B1429" t="inlineStr">
        <is>
          <t>Neel Metal Products Limited</t>
        </is>
      </c>
      <c r="C1429" t="inlineStr">
        <is>
          <t>NOS</t>
        </is>
      </c>
      <c r="D1429" t="n">
        <v>1115</v>
      </c>
      <c r="E1429" t="n">
        <v>814.092</v>
      </c>
      <c r="F1429" t="n">
        <v>1940881</v>
      </c>
      <c r="G1429" t="inlineStr">
        <is>
          <t>50-30-2-ERW 1-FC</t>
        </is>
      </c>
      <c r="H1429" t="n">
        <v>1960.17</v>
      </c>
      <c r="I1429" t="inlineStr">
        <is>
          <t>TUB-R-AW-RHS-50.00X30.00X2.000X0.7300</t>
        </is>
      </c>
      <c r="J1429" t="inlineStr">
        <is>
          <t>TVS</t>
        </is>
      </c>
      <c r="K1429" t="inlineStr">
        <is>
          <t>50-30-2-ERW 1-FC-0.73</t>
        </is>
      </c>
    </row>
    <row r="1430">
      <c r="A1430" t="inlineStr">
        <is>
          <t>0000189226</t>
        </is>
      </c>
      <c r="B1430" t="inlineStr">
        <is>
          <t>Neel Metal Products Limited</t>
        </is>
      </c>
      <c r="C1430" t="inlineStr">
        <is>
          <t>NOS</t>
        </is>
      </c>
      <c r="D1430" t="n">
        <v>699</v>
      </c>
      <c r="E1430" t="n">
        <v>510.359</v>
      </c>
      <c r="F1430" t="n">
        <v>1940881</v>
      </c>
      <c r="G1430" t="inlineStr">
        <is>
          <t>50-30-2-ERW 1-FC</t>
        </is>
      </c>
      <c r="H1430" t="n">
        <v>1228.842</v>
      </c>
      <c r="I1430" t="inlineStr">
        <is>
          <t>TUB-R-AW-RHS-50.00X30.00X2.000X0.7300</t>
        </is>
      </c>
      <c r="J1430" t="inlineStr">
        <is>
          <t>TVS</t>
        </is>
      </c>
      <c r="K1430" t="inlineStr">
        <is>
          <t>50-30-2-ERW 1-FC-0.73</t>
        </is>
      </c>
    </row>
    <row r="1431">
      <c r="A1431" t="inlineStr">
        <is>
          <t>0000189226</t>
        </is>
      </c>
      <c r="B1431" t="inlineStr">
        <is>
          <t>Neel Metal Products Limited</t>
        </is>
      </c>
      <c r="C1431" t="inlineStr">
        <is>
          <t>NOS</t>
        </is>
      </c>
      <c r="D1431" t="n">
        <v>18</v>
      </c>
      <c r="E1431" t="n">
        <v>13.142</v>
      </c>
      <c r="F1431" t="n">
        <v>1940881</v>
      </c>
      <c r="G1431" t="inlineStr">
        <is>
          <t>50-30-2-ERW 1-FC</t>
        </is>
      </c>
      <c r="H1431" t="n">
        <v>31.644</v>
      </c>
      <c r="I1431" t="inlineStr">
        <is>
          <t>TUB-R-AW-RHS-50.00X30.00X2.000X0.7300</t>
        </is>
      </c>
      <c r="J1431" t="inlineStr">
        <is>
          <t>TVS</t>
        </is>
      </c>
      <c r="K1431" t="inlineStr">
        <is>
          <t>50-30-2-ERW 1-FC-0.73</t>
        </is>
      </c>
    </row>
    <row r="1432">
      <c r="A1432" t="inlineStr">
        <is>
          <t>0000189481</t>
        </is>
      </c>
      <c r="B1432" t="inlineStr">
        <is>
          <t>Rajsriya Automotive Industries</t>
        </is>
      </c>
      <c r="C1432" t="inlineStr">
        <is>
          <t>M</t>
        </is>
      </c>
      <c r="D1432" t="n">
        <v>155</v>
      </c>
      <c r="E1432" t="n">
        <v>928.343</v>
      </c>
      <c r="F1432" t="n">
        <v>3702361</v>
      </c>
      <c r="G1432" t="inlineStr">
        <is>
          <t>31.75-0-2.5-ERW 1-FC</t>
        </is>
      </c>
      <c r="H1432" t="n">
        <v>1644.003</v>
      </c>
      <c r="I1432" t="inlineStr">
        <is>
          <t>TUB-O-N-AUT-AW-FC-31.75X2.500X6.0000</t>
        </is>
      </c>
      <c r="J1432" t="inlineStr">
        <is>
          <t>TVS</t>
        </is>
      </c>
      <c r="K1432" t="inlineStr">
        <is>
          <t>31.75-0-2.5-ERW 1-FC-1</t>
        </is>
      </c>
    </row>
    <row r="1433">
      <c r="A1433" t="inlineStr">
        <is>
          <t>0000189481</t>
        </is>
      </c>
      <c r="B1433" t="inlineStr">
        <is>
          <t>Rajsriya Automotive Industries</t>
        </is>
      </c>
      <c r="C1433" t="inlineStr">
        <is>
          <t>M</t>
        </is>
      </c>
      <c r="D1433" t="n">
        <v>141</v>
      </c>
      <c r="E1433" t="n">
        <v>846.657</v>
      </c>
      <c r="F1433" t="n">
        <v>3702361</v>
      </c>
      <c r="G1433" t="inlineStr">
        <is>
          <t>31.75-0-2.5-ERW 1-FC</t>
        </is>
      </c>
      <c r="H1433" t="n">
        <v>1499.345</v>
      </c>
      <c r="I1433" t="inlineStr">
        <is>
          <t>TUB-O-N-AUT-AW-FC-31.75X2.500X6.0000</t>
        </is>
      </c>
      <c r="J1433" t="inlineStr">
        <is>
          <t>TVS</t>
        </is>
      </c>
      <c r="K1433" t="inlineStr">
        <is>
          <t>31.75-0-2.5-ERW 1-FC-1</t>
        </is>
      </c>
    </row>
    <row r="1434">
      <c r="A1434" t="inlineStr">
        <is>
          <t>0000188647</t>
        </is>
      </c>
      <c r="B1434" t="inlineStr">
        <is>
          <t>Metalman Auto Private Limited</t>
        </is>
      </c>
      <c r="C1434" t="inlineStr">
        <is>
          <t>M</t>
        </is>
      </c>
      <c r="D1434" t="n">
        <v>216</v>
      </c>
      <c r="E1434" t="n">
        <v>1337.064</v>
      </c>
      <c r="F1434" t="n">
        <v>3502254</v>
      </c>
      <c r="G1434" t="inlineStr">
        <is>
          <t>38.1-0-1.6-ERW 1.6 MAHS-FC</t>
        </is>
      </c>
      <c r="H1434" t="n">
        <v>1925.64</v>
      </c>
      <c r="I1434" t="inlineStr">
        <is>
          <t>TUB-O-N-AUT-AW-FC-38.10X1.600X6.1900</t>
        </is>
      </c>
      <c r="J1434" t="inlineStr">
        <is>
          <t>TVS</t>
        </is>
      </c>
      <c r="K1434" t="inlineStr">
        <is>
          <t>38.1-0-1.6-ERW 1.6 MAHS-FC-1</t>
        </is>
      </c>
    </row>
    <row r="1435">
      <c r="A1435" t="inlineStr">
        <is>
          <t>0000188647</t>
        </is>
      </c>
      <c r="B1435" t="inlineStr">
        <is>
          <t>Metalman Auto Private Limited</t>
        </is>
      </c>
      <c r="C1435" t="inlineStr">
        <is>
          <t>M</t>
        </is>
      </c>
      <c r="D1435" t="n">
        <v>216</v>
      </c>
      <c r="E1435" t="n">
        <v>1337.064</v>
      </c>
      <c r="F1435" t="n">
        <v>3502254</v>
      </c>
      <c r="G1435" t="inlineStr">
        <is>
          <t>38.1-0-1.6-ERW 1.6 MAHS-FC</t>
        </is>
      </c>
      <c r="H1435" t="n">
        <v>1925.64</v>
      </c>
      <c r="I1435" t="inlineStr">
        <is>
          <t>TUB-O-N-AUT-AW-FC-38.10X1.600X6.1900</t>
        </is>
      </c>
      <c r="J1435" t="inlineStr">
        <is>
          <t>TVS</t>
        </is>
      </c>
      <c r="K1435" t="inlineStr">
        <is>
          <t>38.1-0-1.6-ERW 1.6 MAHS-FC-1</t>
        </is>
      </c>
    </row>
    <row r="1436">
      <c r="A1436" t="inlineStr">
        <is>
          <t>0000188647</t>
        </is>
      </c>
      <c r="B1436" t="inlineStr">
        <is>
          <t>Metalman Auto Private Limited</t>
        </is>
      </c>
      <c r="C1436" t="inlineStr">
        <is>
          <t>M</t>
        </is>
      </c>
      <c r="D1436" t="n">
        <v>217</v>
      </c>
      <c r="E1436" t="n">
        <v>1342.872</v>
      </c>
      <c r="F1436" t="n">
        <v>3502254</v>
      </c>
      <c r="G1436" t="inlineStr">
        <is>
          <t>38.1-0-1.6-ERW 1.6 MAHS-FC</t>
        </is>
      </c>
      <c r="H1436" t="n">
        <v>1934.004</v>
      </c>
      <c r="I1436" t="inlineStr">
        <is>
          <t>TUB-O-N-AUT-AW-FC-38.10X1.600X6.1900</t>
        </is>
      </c>
      <c r="J1436" t="inlineStr">
        <is>
          <t>TVS</t>
        </is>
      </c>
      <c r="K1436" t="inlineStr">
        <is>
          <t>38.1-0-1.6-ERW 1.6 MAHS-FC-1</t>
        </is>
      </c>
    </row>
    <row r="1437">
      <c r="A1437" t="inlineStr">
        <is>
          <t>0000189226</t>
        </is>
      </c>
      <c r="B1437" t="inlineStr">
        <is>
          <t>Neel Metal Products Limited</t>
        </is>
      </c>
      <c r="C1437" t="inlineStr">
        <is>
          <t>NOS</t>
        </is>
      </c>
      <c r="D1437" t="n">
        <v>2800</v>
      </c>
      <c r="E1437" t="n">
        <v>1190.221</v>
      </c>
      <c r="F1437" t="n">
        <v>1940738</v>
      </c>
      <c r="G1437" t="inlineStr">
        <is>
          <t>38.1-0-2-ERW 1-FC</t>
        </is>
      </c>
      <c r="H1437" t="n">
        <v>2069.2</v>
      </c>
      <c r="I1437" t="inlineStr">
        <is>
          <t>TUB-O-O-AUT-AW-FC-38.10X2.000X0.4250</t>
        </is>
      </c>
      <c r="J1437" t="inlineStr">
        <is>
          <t>TVS</t>
        </is>
      </c>
      <c r="K1437" t="inlineStr">
        <is>
          <t>38.1-0-2-ERW 1-FC-0.425</t>
        </is>
      </c>
    </row>
    <row r="1438">
      <c r="A1438" t="inlineStr">
        <is>
          <t>0000189226</t>
        </is>
      </c>
      <c r="B1438" t="inlineStr">
        <is>
          <t>Neel Metal Products Limited</t>
        </is>
      </c>
      <c r="C1438" t="inlineStr">
        <is>
          <t>NOS</t>
        </is>
      </c>
      <c r="D1438" t="n">
        <v>2800</v>
      </c>
      <c r="E1438" t="n">
        <v>1190.221</v>
      </c>
      <c r="F1438" t="n">
        <v>1940738</v>
      </c>
      <c r="G1438" t="inlineStr">
        <is>
          <t>38.1-0-2-ERW 1-FC</t>
        </is>
      </c>
      <c r="H1438" t="n">
        <v>2069.2</v>
      </c>
      <c r="I1438" t="inlineStr">
        <is>
          <t>TUB-O-O-AUT-AW-FC-38.10X2.000X0.4250</t>
        </is>
      </c>
      <c r="J1438" t="inlineStr">
        <is>
          <t>TVS</t>
        </is>
      </c>
      <c r="K1438" t="inlineStr">
        <is>
          <t>38.1-0-2-ERW 1-FC-0.425</t>
        </is>
      </c>
    </row>
    <row r="1439">
      <c r="A1439" t="inlineStr">
        <is>
          <t>0000189226</t>
        </is>
      </c>
      <c r="B1439" t="inlineStr">
        <is>
          <t>Neel Metal Products Limited</t>
        </is>
      </c>
      <c r="C1439" t="inlineStr">
        <is>
          <t>NOS</t>
        </is>
      </c>
      <c r="D1439" t="n">
        <v>400</v>
      </c>
      <c r="E1439" t="n">
        <v>170.032</v>
      </c>
      <c r="F1439" t="n">
        <v>1940738</v>
      </c>
      <c r="G1439" t="inlineStr">
        <is>
          <t>38.1-0-2-ERW 1-FC</t>
        </is>
      </c>
      <c r="H1439" t="n">
        <v>295.6</v>
      </c>
      <c r="I1439" t="inlineStr">
        <is>
          <t>TUB-O-O-AUT-AW-FC-38.10X2.000X0.4250</t>
        </is>
      </c>
      <c r="J1439" t="inlineStr">
        <is>
          <t>TVS</t>
        </is>
      </c>
      <c r="K1439" t="inlineStr">
        <is>
          <t>38.1-0-2-ERW 1-FC-0.425</t>
        </is>
      </c>
    </row>
    <row r="1440">
      <c r="A1440" t="inlineStr">
        <is>
          <t>0000189226</t>
        </is>
      </c>
      <c r="B1440" t="inlineStr">
        <is>
          <t>Neel Metal Products Limited</t>
        </is>
      </c>
      <c r="C1440" t="inlineStr">
        <is>
          <t>NOS</t>
        </is>
      </c>
      <c r="D1440" t="n">
        <v>300</v>
      </c>
      <c r="E1440" t="n">
        <v>127.524</v>
      </c>
      <c r="F1440" t="n">
        <v>1940738</v>
      </c>
      <c r="G1440" t="inlineStr">
        <is>
          <t>38.1-0-2-ERW 1-FC</t>
        </is>
      </c>
      <c r="H1440" t="n">
        <v>221.7</v>
      </c>
      <c r="I1440" t="inlineStr">
        <is>
          <t>TUB-O-O-AUT-AW-FC-38.10X2.000X0.4250</t>
        </is>
      </c>
      <c r="J1440" t="inlineStr">
        <is>
          <t>TVS</t>
        </is>
      </c>
      <c r="K1440" t="inlineStr">
        <is>
          <t>38.1-0-2-ERW 1-FC-0.425</t>
        </is>
      </c>
    </row>
    <row r="1441">
      <c r="A1441" t="inlineStr">
        <is>
          <t>0000189226</t>
        </is>
      </c>
      <c r="B1441" t="inlineStr">
        <is>
          <t>Neel Metal Products Limited</t>
        </is>
      </c>
      <c r="C1441" t="inlineStr">
        <is>
          <t>NOS</t>
        </is>
      </c>
      <c r="D1441" t="n">
        <v>700</v>
      </c>
      <c r="E1441" t="n">
        <v>297.555</v>
      </c>
      <c r="F1441" t="n">
        <v>1940738</v>
      </c>
      <c r="G1441" t="inlineStr">
        <is>
          <t>38.1-0-2-ERW 1-FC</t>
        </is>
      </c>
      <c r="H1441" t="n">
        <v>517.3</v>
      </c>
      <c r="I1441" t="inlineStr">
        <is>
          <t>TUB-O-O-AUT-AW-FC-38.10X2.000X0.4250</t>
        </is>
      </c>
      <c r="J1441" t="inlineStr">
        <is>
          <t>TVS</t>
        </is>
      </c>
      <c r="K1441" t="inlineStr">
        <is>
          <t>38.1-0-2-ERW 1-FC-0.425</t>
        </is>
      </c>
    </row>
    <row r="1442">
      <c r="A1442" t="inlineStr">
        <is>
          <t>0000189226</t>
        </is>
      </c>
      <c r="B1442" t="inlineStr">
        <is>
          <t>Neel Metal Products Limited</t>
        </is>
      </c>
      <c r="C1442" t="inlineStr">
        <is>
          <t>NOS</t>
        </is>
      </c>
      <c r="D1442" t="n">
        <v>1519</v>
      </c>
      <c r="E1442" t="n">
        <v>1233.143</v>
      </c>
      <c r="F1442" t="n">
        <v>1940743</v>
      </c>
      <c r="G1442" t="inlineStr">
        <is>
          <t>38.1-0-2-ERW 1-FC</t>
        </is>
      </c>
      <c r="H1442" t="n">
        <v>2196.474</v>
      </c>
      <c r="I1442" t="inlineStr">
        <is>
          <t>TUB-O-O-AUT-AW-FC-38.10X2.000X0.8120</t>
        </is>
      </c>
      <c r="J1442" t="inlineStr">
        <is>
          <t>TVS</t>
        </is>
      </c>
      <c r="K1442" t="inlineStr">
        <is>
          <t>38.1-0-2-ERW 1-FC-0.812</t>
        </is>
      </c>
    </row>
    <row r="1443">
      <c r="A1443" t="inlineStr">
        <is>
          <t>0000189226</t>
        </is>
      </c>
      <c r="B1443" t="inlineStr">
        <is>
          <t>Neel Metal Products Limited</t>
        </is>
      </c>
      <c r="C1443" t="inlineStr">
        <is>
          <t>NOS</t>
        </is>
      </c>
      <c r="D1443" t="n">
        <v>1512</v>
      </c>
      <c r="E1443" t="n">
        <v>1227.46</v>
      </c>
      <c r="F1443" t="n">
        <v>1940743</v>
      </c>
      <c r="G1443" t="inlineStr">
        <is>
          <t>38.1-0-2-ERW 1-FC</t>
        </is>
      </c>
      <c r="H1443" t="n">
        <v>2186.352</v>
      </c>
      <c r="I1443" t="inlineStr">
        <is>
          <t>TUB-O-O-AUT-AW-FC-38.10X2.000X0.8120</t>
        </is>
      </c>
      <c r="J1443" t="inlineStr">
        <is>
          <t>TVS</t>
        </is>
      </c>
      <c r="K1443" t="inlineStr">
        <is>
          <t>38.1-0-2-ERW 1-FC-0.812</t>
        </is>
      </c>
    </row>
    <row r="1444">
      <c r="A1444" t="inlineStr">
        <is>
          <t>0000189226</t>
        </is>
      </c>
      <c r="B1444" t="inlineStr">
        <is>
          <t>Neel Metal Products Limited</t>
        </is>
      </c>
      <c r="C1444" t="inlineStr">
        <is>
          <t>NOS</t>
        </is>
      </c>
      <c r="D1444" t="n">
        <v>1519</v>
      </c>
      <c r="E1444" t="n">
        <v>1233.143</v>
      </c>
      <c r="F1444" t="n">
        <v>1940743</v>
      </c>
      <c r="G1444" t="inlineStr">
        <is>
          <t>38.1-0-2-ERW 1-FC</t>
        </is>
      </c>
      <c r="H1444" t="n">
        <v>2196.474</v>
      </c>
      <c r="I1444" t="inlineStr">
        <is>
          <t>TUB-O-O-AUT-AW-FC-38.10X2.000X0.8120</t>
        </is>
      </c>
      <c r="J1444" t="inlineStr">
        <is>
          <t>TVS</t>
        </is>
      </c>
      <c r="K1444" t="inlineStr">
        <is>
          <t>38.1-0-2-ERW 1-FC-0.812</t>
        </is>
      </c>
    </row>
    <row r="1445">
      <c r="A1445" t="inlineStr">
        <is>
          <t>0000189226</t>
        </is>
      </c>
      <c r="B1445" t="inlineStr">
        <is>
          <t>Neel Metal Products Limited</t>
        </is>
      </c>
      <c r="C1445" t="inlineStr">
        <is>
          <t>NOS</t>
        </is>
      </c>
      <c r="D1445" t="n">
        <v>450</v>
      </c>
      <c r="E1445" t="n">
        <v>365.316</v>
      </c>
      <c r="F1445" t="n">
        <v>1940743</v>
      </c>
      <c r="G1445" t="inlineStr">
        <is>
          <t>38.1-0-2-ERW 1-FC</t>
        </is>
      </c>
      <c r="H1445" t="n">
        <v>650.7</v>
      </c>
      <c r="I1445" t="inlineStr">
        <is>
          <t>TUB-O-O-AUT-AW-FC-38.10X2.000X0.8120</t>
        </is>
      </c>
      <c r="J1445" t="inlineStr">
        <is>
          <t>TVS</t>
        </is>
      </c>
      <c r="K1445" t="inlineStr">
        <is>
          <t>38.1-0-2-ERW 1-FC-0.812</t>
        </is>
      </c>
    </row>
    <row r="1446">
      <c r="A1446" t="inlineStr">
        <is>
          <t>0000948721</t>
        </is>
      </c>
      <c r="B1446" t="inlineStr">
        <is>
          <t>ELKAYEM AUTO ANCILLARIES PRIVATE LI</t>
        </is>
      </c>
      <c r="C1446" t="inlineStr">
        <is>
          <t>NOS</t>
        </is>
      </c>
      <c r="D1446" t="n">
        <v>180</v>
      </c>
      <c r="E1446" t="n">
        <v>29.24</v>
      </c>
      <c r="F1446" t="n">
        <v>4098593</v>
      </c>
      <c r="G1446" t="inlineStr">
        <is>
          <t>40-30-2-ERW 1-FC</t>
        </is>
      </c>
      <c r="H1446" t="n">
        <v>58.32</v>
      </c>
      <c r="I1446" t="inlineStr">
        <is>
          <t>TUB-R-AW-AUT-40.00X30.00X2.000X0.1620</t>
        </is>
      </c>
      <c r="J1446" t="inlineStr">
        <is>
          <t>TVS</t>
        </is>
      </c>
      <c r="K1446" t="inlineStr">
        <is>
          <t>40-30-2-ERW 1-FC-0.162</t>
        </is>
      </c>
    </row>
    <row r="1447">
      <c r="A1447" t="inlineStr">
        <is>
          <t>0000948721</t>
        </is>
      </c>
      <c r="B1447" t="inlineStr">
        <is>
          <t>ELKAYEM AUTO ANCILLARIES PRIVATE LI</t>
        </is>
      </c>
      <c r="C1447" t="inlineStr">
        <is>
          <t>NOS</t>
        </is>
      </c>
      <c r="D1447" t="n">
        <v>1000</v>
      </c>
      <c r="E1447" t="n">
        <v>162.447</v>
      </c>
      <c r="F1447" t="n">
        <v>4098593</v>
      </c>
      <c r="G1447" t="inlineStr">
        <is>
          <t>40-30-2-ERW 1-FC</t>
        </is>
      </c>
      <c r="H1447" t="n">
        <v>324</v>
      </c>
      <c r="I1447" t="inlineStr">
        <is>
          <t>TUB-R-AW-AUT-40.00X30.00X2.000X0.1620</t>
        </is>
      </c>
      <c r="J1447" t="inlineStr">
        <is>
          <t>TVS</t>
        </is>
      </c>
      <c r="K1447" t="inlineStr">
        <is>
          <t>40-30-2-ERW 1-FC-0.162</t>
        </is>
      </c>
    </row>
    <row r="1448">
      <c r="A1448" t="inlineStr">
        <is>
          <t>0000948721</t>
        </is>
      </c>
      <c r="B1448" t="inlineStr">
        <is>
          <t>ELKAYEM AUTO ANCILLARIES PRIVATE LI</t>
        </is>
      </c>
      <c r="C1448" t="inlineStr">
        <is>
          <t>NOS</t>
        </is>
      </c>
      <c r="D1448" t="n">
        <v>629</v>
      </c>
      <c r="E1448" t="n">
        <v>102.179</v>
      </c>
      <c r="F1448" t="n">
        <v>4098593</v>
      </c>
      <c r="G1448" t="inlineStr">
        <is>
          <t>40-30-2-ERW 1-FC</t>
        </is>
      </c>
      <c r="H1448" t="n">
        <v>203.796</v>
      </c>
      <c r="I1448" t="inlineStr">
        <is>
          <t>TUB-R-AW-AUT-40.00X30.00X2.000X0.1620</t>
        </is>
      </c>
      <c r="J1448" t="inlineStr">
        <is>
          <t>TVS</t>
        </is>
      </c>
      <c r="K1448" t="inlineStr">
        <is>
          <t>40-30-2-ERW 1-FC-0.162</t>
        </is>
      </c>
    </row>
    <row r="1449">
      <c r="A1449" t="inlineStr">
        <is>
          <t>0000948721</t>
        </is>
      </c>
      <c r="B1449" t="inlineStr">
        <is>
          <t>ELKAYEM AUTO ANCILLARIES PRIVATE LI</t>
        </is>
      </c>
      <c r="C1449" t="inlineStr">
        <is>
          <t>NOS</t>
        </is>
      </c>
      <c r="D1449" t="n">
        <v>524</v>
      </c>
      <c r="E1449" t="n">
        <v>85.122</v>
      </c>
      <c r="F1449" t="n">
        <v>4098593</v>
      </c>
      <c r="G1449" t="inlineStr">
        <is>
          <t>40-30-2-ERW 1-FC</t>
        </is>
      </c>
      <c r="H1449" t="n">
        <v>169.776</v>
      </c>
      <c r="I1449" t="inlineStr">
        <is>
          <t>TUB-R-AW-AUT-40.00X30.00X2.000X0.1620</t>
        </is>
      </c>
      <c r="J1449" t="inlineStr">
        <is>
          <t>TVS</t>
        </is>
      </c>
      <c r="K1449" t="inlineStr">
        <is>
          <t>40-30-2-ERW 1-FC-0.162</t>
        </is>
      </c>
    </row>
    <row r="1450">
      <c r="A1450" t="inlineStr">
        <is>
          <t>0000948721</t>
        </is>
      </c>
      <c r="B1450" t="inlineStr">
        <is>
          <t>ELKAYEM AUTO ANCILLARIES PRIVATE LI</t>
        </is>
      </c>
      <c r="C1450" t="inlineStr">
        <is>
          <t>NOS</t>
        </is>
      </c>
      <c r="D1450" t="n">
        <v>426</v>
      </c>
      <c r="E1450" t="n">
        <v>69.202</v>
      </c>
      <c r="F1450" t="n">
        <v>4098593</v>
      </c>
      <c r="G1450" t="inlineStr">
        <is>
          <t>40-30-2-ERW 1-FC</t>
        </is>
      </c>
      <c r="H1450" t="n">
        <v>138.024</v>
      </c>
      <c r="I1450" t="inlineStr">
        <is>
          <t>TUB-R-AW-AUT-40.00X30.00X2.000X0.1620</t>
        </is>
      </c>
      <c r="J1450" t="inlineStr">
        <is>
          <t>TVS</t>
        </is>
      </c>
      <c r="K1450" t="inlineStr">
        <is>
          <t>40-30-2-ERW 1-FC-0.162</t>
        </is>
      </c>
    </row>
    <row r="1451">
      <c r="A1451" t="inlineStr">
        <is>
          <t>0000948721</t>
        </is>
      </c>
      <c r="B1451" t="inlineStr">
        <is>
          <t>ELKAYEM AUTO ANCILLARIES PRIVATE LI</t>
        </is>
      </c>
      <c r="C1451" t="inlineStr">
        <is>
          <t>NOS</t>
        </is>
      </c>
      <c r="D1451" t="n">
        <v>41</v>
      </c>
      <c r="E1451" t="n">
        <v>6.66</v>
      </c>
      <c r="F1451" t="n">
        <v>4098593</v>
      </c>
      <c r="G1451" t="inlineStr">
        <is>
          <t>40-30-2-ERW 1-FC</t>
        </is>
      </c>
      <c r="H1451" t="n">
        <v>13.284</v>
      </c>
      <c r="I1451" t="inlineStr">
        <is>
          <t>TUB-R-AW-AUT-40.00X30.00X2.000X0.1620</t>
        </is>
      </c>
      <c r="J1451" t="inlineStr">
        <is>
          <t>TVS</t>
        </is>
      </c>
      <c r="K1451" t="inlineStr">
        <is>
          <t>40-30-2-ERW 1-FC-0.162</t>
        </is>
      </c>
    </row>
    <row r="1452">
      <c r="A1452" t="inlineStr">
        <is>
          <t>0000189240</t>
        </is>
      </c>
      <c r="B1452" t="inlineStr">
        <is>
          <t>Rajsriya Automotive Ind Pvt Ltd.</t>
        </is>
      </c>
      <c r="C1452" t="inlineStr">
        <is>
          <t>NOS</t>
        </is>
      </c>
      <c r="D1452" t="n">
        <v>531.6319999999999</v>
      </c>
      <c r="E1452" t="n">
        <v>144.533</v>
      </c>
      <c r="F1452" t="n">
        <v>1938125</v>
      </c>
      <c r="G1452" t="inlineStr">
        <is>
          <t>39-34-2.5-CEW-CEW</t>
        </is>
      </c>
      <c r="H1452" t="n">
        <v>325.359</v>
      </c>
      <c r="I1452" t="inlineStr">
        <is>
          <t>TUB-I-C-AUT-AN-FC-39.00X34.00X0.2720</t>
        </is>
      </c>
      <c r="J1452" t="inlineStr">
        <is>
          <t>TVS</t>
        </is>
      </c>
      <c r="K1452" t="inlineStr">
        <is>
          <t>39-34-2.5-CEW-CEW-0.272</t>
        </is>
      </c>
    </row>
    <row r="1453">
      <c r="A1453" t="inlineStr">
        <is>
          <t>0000189240</t>
        </is>
      </c>
      <c r="B1453" t="inlineStr">
        <is>
          <t>Rajsriya Automotive Ind Pvt Ltd.</t>
        </is>
      </c>
      <c r="C1453" t="inlineStr">
        <is>
          <t>NOS</t>
        </is>
      </c>
      <c r="D1453" t="n">
        <v>616</v>
      </c>
      <c r="E1453" t="n">
        <v>167.47</v>
      </c>
      <c r="F1453" t="n">
        <v>1938125</v>
      </c>
      <c r="G1453" t="inlineStr">
        <is>
          <t>39-34-2.5-CEW-CEW</t>
        </is>
      </c>
      <c r="H1453" t="n">
        <v>376.992</v>
      </c>
      <c r="I1453" t="inlineStr">
        <is>
          <t>TUB-I-C-AUT-AN-FC-39.00X34.00X0.2720</t>
        </is>
      </c>
      <c r="J1453" t="inlineStr">
        <is>
          <t>TVS</t>
        </is>
      </c>
      <c r="K1453" t="inlineStr">
        <is>
          <t>39-34-2.5-CEW-CEW-0.272</t>
        </is>
      </c>
    </row>
    <row r="1454">
      <c r="A1454" t="inlineStr">
        <is>
          <t>0000189240</t>
        </is>
      </c>
      <c r="B1454" t="inlineStr">
        <is>
          <t>Rajsriya Automotive Ind Pvt Ltd.</t>
        </is>
      </c>
      <c r="C1454" t="inlineStr">
        <is>
          <t>NOS</t>
        </is>
      </c>
      <c r="D1454" t="n">
        <v>2852.368</v>
      </c>
      <c r="E1454" t="n">
        <v>775.465</v>
      </c>
      <c r="F1454" t="n">
        <v>1938125</v>
      </c>
      <c r="G1454" t="inlineStr">
        <is>
          <t>39-34-2.5-CEW-CEW</t>
        </is>
      </c>
      <c r="H1454" t="n">
        <v>1745.649</v>
      </c>
      <c r="I1454" t="inlineStr">
        <is>
          <t>TUB-I-C-AUT-AN-FC-39.00X34.00X0.2720</t>
        </is>
      </c>
      <c r="J1454" t="inlineStr">
        <is>
          <t>TVS</t>
        </is>
      </c>
      <c r="K1454" t="inlineStr">
        <is>
          <t>39-34-2.5-CEW-CEW-0.272</t>
        </is>
      </c>
    </row>
    <row r="1455">
      <c r="A1455" t="inlineStr">
        <is>
          <t>0000189002</t>
        </is>
      </c>
      <c r="B1455" t="inlineStr">
        <is>
          <t>Marathwada Auto Compo Pvt. Ltd.</t>
        </is>
      </c>
      <c r="C1455" t="inlineStr">
        <is>
          <t>NOS</t>
        </is>
      </c>
      <c r="D1455" t="n">
        <v>3343.516</v>
      </c>
      <c r="E1455" t="n">
        <v>908.992</v>
      </c>
      <c r="F1455" t="n">
        <v>1938125</v>
      </c>
      <c r="G1455" t="inlineStr">
        <is>
          <t>39-34-2.5-CEW-CEW</t>
        </is>
      </c>
      <c r="H1455" t="n">
        <v>2046.232</v>
      </c>
      <c r="I1455" t="inlineStr">
        <is>
          <t>TUB-I-C-AUT-AN-FC-39.00X34.00X0.2720</t>
        </is>
      </c>
      <c r="J1455" t="inlineStr">
        <is>
          <t>TVS</t>
        </is>
      </c>
      <c r="K1455" t="inlineStr">
        <is>
          <t>39-34-2.5-CEW-CEW-0.272</t>
        </is>
      </c>
    </row>
    <row r="1456">
      <c r="A1456" t="inlineStr">
        <is>
          <t>0000189002</t>
        </is>
      </c>
      <c r="B1456" t="inlineStr">
        <is>
          <t>Marathwada Auto Compo Pvt. Ltd.</t>
        </is>
      </c>
      <c r="C1456" t="inlineStr">
        <is>
          <t>NOS</t>
        </is>
      </c>
      <c r="D1456" t="n">
        <v>1656.484</v>
      </c>
      <c r="E1456" t="n">
        <v>450.343</v>
      </c>
      <c r="F1456" t="n">
        <v>1938125</v>
      </c>
      <c r="G1456" t="inlineStr">
        <is>
          <t>39-34-2.5-CEW-CEW</t>
        </is>
      </c>
      <c r="H1456" t="n">
        <v>1013.768</v>
      </c>
      <c r="I1456" t="inlineStr">
        <is>
          <t>TUB-I-C-AUT-AN-FC-39.00X34.00X0.2720</t>
        </is>
      </c>
      <c r="J1456" t="inlineStr">
        <is>
          <t>TVS</t>
        </is>
      </c>
      <c r="K1456" t="inlineStr">
        <is>
          <t>39-34-2.5-CEW-CEW-0.272</t>
        </is>
      </c>
    </row>
    <row r="1457">
      <c r="A1457" t="inlineStr">
        <is>
          <t>0000189240</t>
        </is>
      </c>
      <c r="B1457" t="inlineStr">
        <is>
          <t>Rajsriya Automotive Ind Pvt Ltd.</t>
        </is>
      </c>
      <c r="C1457" t="inlineStr">
        <is>
          <t>NOS</t>
        </is>
      </c>
      <c r="D1457" t="n">
        <v>2500</v>
      </c>
      <c r="E1457" t="n">
        <v>679.668</v>
      </c>
      <c r="F1457" t="n">
        <v>1938125</v>
      </c>
      <c r="G1457" t="inlineStr">
        <is>
          <t>39-34-2.5-CEW-CEW</t>
        </is>
      </c>
      <c r="H1457" t="n">
        <v>1530</v>
      </c>
      <c r="I1457" t="inlineStr">
        <is>
          <t>TUB-I-C-AUT-AN-FC-39.00X34.00X0.2720</t>
        </is>
      </c>
      <c r="J1457" t="inlineStr">
        <is>
          <t>TVS</t>
        </is>
      </c>
      <c r="K1457" t="inlineStr">
        <is>
          <t>39-34-2.5-CEW-CEW-0.272</t>
        </is>
      </c>
    </row>
    <row r="1458">
      <c r="A1458" t="inlineStr">
        <is>
          <t>0000189240</t>
        </is>
      </c>
      <c r="B1458" t="inlineStr">
        <is>
          <t>Rajsriya Automotive Ind Pvt Ltd.</t>
        </is>
      </c>
      <c r="C1458" t="inlineStr">
        <is>
          <t>NOS</t>
        </is>
      </c>
      <c r="D1458" t="n">
        <v>350</v>
      </c>
      <c r="E1458" t="n">
        <v>95.15300000000001</v>
      </c>
      <c r="F1458" t="n">
        <v>1938125</v>
      </c>
      <c r="G1458" t="inlineStr">
        <is>
          <t>39-34-2.5-CEW-CEW</t>
        </is>
      </c>
      <c r="H1458" t="n">
        <v>214.2</v>
      </c>
      <c r="I1458" t="inlineStr">
        <is>
          <t>TUB-I-C-AUT-AN-FC-39.00X34.00X0.2720</t>
        </is>
      </c>
      <c r="J1458" t="inlineStr">
        <is>
          <t>TVS</t>
        </is>
      </c>
      <c r="K1458" t="inlineStr">
        <is>
          <t>39-34-2.5-CEW-CEW-0.272</t>
        </is>
      </c>
    </row>
    <row r="1459">
      <c r="A1459" t="inlineStr">
        <is>
          <t>0000189240</t>
        </is>
      </c>
      <c r="B1459" t="inlineStr">
        <is>
          <t>Rajsriya Automotive Ind Pvt Ltd.</t>
        </is>
      </c>
      <c r="C1459" t="inlineStr">
        <is>
          <t>NOS</t>
        </is>
      </c>
      <c r="D1459" t="n">
        <v>1000</v>
      </c>
      <c r="E1459" t="n">
        <v>271.867</v>
      </c>
      <c r="F1459" t="n">
        <v>1938125</v>
      </c>
      <c r="G1459" t="inlineStr">
        <is>
          <t>39-34-2.5-CEW-CEW</t>
        </is>
      </c>
      <c r="H1459" t="n">
        <v>612</v>
      </c>
      <c r="I1459" t="inlineStr">
        <is>
          <t>TUB-I-C-AUT-AN-FC-39.00X34.00X0.2720</t>
        </is>
      </c>
      <c r="J1459" t="inlineStr">
        <is>
          <t>TVS</t>
        </is>
      </c>
      <c r="K1459" t="inlineStr">
        <is>
          <t>39-34-2.5-CEW-CEW-0.272</t>
        </is>
      </c>
    </row>
    <row r="1460">
      <c r="A1460" t="inlineStr">
        <is>
          <t>0000189002</t>
        </is>
      </c>
      <c r="B1460" t="inlineStr">
        <is>
          <t>Marathwada Auto Compo Pvt. Ltd.</t>
        </is>
      </c>
      <c r="C1460" t="inlineStr">
        <is>
          <t>NOS</t>
        </is>
      </c>
      <c r="D1460" t="n">
        <v>3100.394</v>
      </c>
      <c r="E1460" t="n">
        <v>842.895</v>
      </c>
      <c r="F1460" t="n">
        <v>1938125</v>
      </c>
      <c r="G1460" t="inlineStr">
        <is>
          <t>39-34-2.5-CEW-CEW</t>
        </is>
      </c>
      <c r="H1460" t="n">
        <v>1897.441</v>
      </c>
      <c r="I1460" t="inlineStr">
        <is>
          <t>TUB-I-C-AUT-AN-FC-39.00X34.00X0.2720</t>
        </is>
      </c>
      <c r="J1460" t="inlineStr">
        <is>
          <t>TVS</t>
        </is>
      </c>
      <c r="K1460" t="inlineStr">
        <is>
          <t>39-34-2.5-CEW-CEW-0.272</t>
        </is>
      </c>
    </row>
    <row r="1461">
      <c r="A1461" t="inlineStr">
        <is>
          <t>0000189002</t>
        </is>
      </c>
      <c r="B1461" t="inlineStr">
        <is>
          <t>Marathwada Auto Compo Pvt. Ltd.</t>
        </is>
      </c>
      <c r="C1461" t="inlineStr">
        <is>
          <t>NOS</t>
        </is>
      </c>
      <c r="D1461" t="n">
        <v>160.636</v>
      </c>
      <c r="E1461" t="n">
        <v>43.672</v>
      </c>
      <c r="F1461" t="n">
        <v>1938125</v>
      </c>
      <c r="G1461" t="inlineStr">
        <is>
          <t>39-34-2.5-CEW-CEW</t>
        </is>
      </c>
      <c r="H1461" t="n">
        <v>98.309</v>
      </c>
      <c r="I1461" t="inlineStr">
        <is>
          <t>TUB-I-C-AUT-AN-FC-39.00X34.00X0.2720</t>
        </is>
      </c>
      <c r="J1461" t="inlineStr">
        <is>
          <t>TVS</t>
        </is>
      </c>
      <c r="K1461" t="inlineStr">
        <is>
          <t>39-34-2.5-CEW-CEW-0.272</t>
        </is>
      </c>
    </row>
    <row r="1462">
      <c r="A1462" t="inlineStr">
        <is>
          <t>0000189002</t>
        </is>
      </c>
      <c r="B1462" t="inlineStr">
        <is>
          <t>Marathwada Auto Compo Pvt. Ltd.</t>
        </is>
      </c>
      <c r="C1462" t="inlineStr">
        <is>
          <t>NOS</t>
        </is>
      </c>
      <c r="D1462" t="n">
        <v>98.66800000000001</v>
      </c>
      <c r="E1462" t="n">
        <v>26.825</v>
      </c>
      <c r="F1462" t="n">
        <v>1938125</v>
      </c>
      <c r="G1462" t="inlineStr">
        <is>
          <t>39-34-2.5-CEW-CEW</t>
        </is>
      </c>
      <c r="H1462" t="n">
        <v>60.385</v>
      </c>
      <c r="I1462" t="inlineStr">
        <is>
          <t>TUB-I-C-AUT-AN-FC-39.00X34.00X0.2720</t>
        </is>
      </c>
      <c r="J1462" t="inlineStr">
        <is>
          <t>TVS</t>
        </is>
      </c>
      <c r="K1462" t="inlineStr">
        <is>
          <t>39-34-2.5-CEW-CEW-0.272</t>
        </is>
      </c>
    </row>
    <row r="1463">
      <c r="A1463" t="inlineStr">
        <is>
          <t>0000189002</t>
        </is>
      </c>
      <c r="B1463" t="inlineStr">
        <is>
          <t>Marathwada Auto Compo Pvt. Ltd.</t>
        </is>
      </c>
      <c r="C1463" t="inlineStr">
        <is>
          <t>NOS</t>
        </is>
      </c>
      <c r="D1463" t="n">
        <v>70.30200000000001</v>
      </c>
      <c r="E1463" t="n">
        <v>19.113</v>
      </c>
      <c r="F1463" t="n">
        <v>1938125</v>
      </c>
      <c r="G1463" t="inlineStr">
        <is>
          <t>39-34-2.5-CEW-CEW</t>
        </is>
      </c>
      <c r="H1463" t="n">
        <v>43.025</v>
      </c>
      <c r="I1463" t="inlineStr">
        <is>
          <t>TUB-I-C-AUT-AN-FC-39.00X34.00X0.2720</t>
        </is>
      </c>
      <c r="J1463" t="inlineStr">
        <is>
          <t>TVS</t>
        </is>
      </c>
      <c r="K1463" t="inlineStr">
        <is>
          <t>39-34-2.5-CEW-CEW-0.272</t>
        </is>
      </c>
    </row>
    <row r="1464">
      <c r="A1464" t="inlineStr">
        <is>
          <t>0000189240</t>
        </is>
      </c>
      <c r="B1464" t="inlineStr">
        <is>
          <t>Rajsriya Automotive Ind Pvt Ltd.</t>
        </is>
      </c>
      <c r="C1464" t="inlineStr">
        <is>
          <t>NOS</t>
        </is>
      </c>
      <c r="D1464" t="n">
        <v>1000</v>
      </c>
      <c r="E1464" t="n">
        <v>271.867</v>
      </c>
      <c r="F1464" t="n">
        <v>1938125</v>
      </c>
      <c r="G1464" t="inlineStr">
        <is>
          <t>39-34-2.5-CEW-CEW</t>
        </is>
      </c>
      <c r="H1464" t="n">
        <v>612</v>
      </c>
      <c r="I1464" t="inlineStr">
        <is>
          <t>TUB-I-C-AUT-AN-FC-39.00X34.00X0.2720</t>
        </is>
      </c>
      <c r="J1464" t="inlineStr">
        <is>
          <t>TVS</t>
        </is>
      </c>
      <c r="K1464" t="inlineStr">
        <is>
          <t>39-34-2.5-CEW-CEW-0.272</t>
        </is>
      </c>
    </row>
    <row r="1465">
      <c r="A1465" t="inlineStr">
        <is>
          <t>0000189002</t>
        </is>
      </c>
      <c r="B1465" t="inlineStr">
        <is>
          <t>Marathwada Auto Compo Pvt. Ltd.</t>
        </is>
      </c>
      <c r="C1465" t="inlineStr">
        <is>
          <t>NOS</t>
        </is>
      </c>
      <c r="D1465" t="n">
        <v>1841.366</v>
      </c>
      <c r="E1465" t="n">
        <v>500.607</v>
      </c>
      <c r="F1465" t="n">
        <v>1938125</v>
      </c>
      <c r="G1465" t="inlineStr">
        <is>
          <t>39-34-2.5-CEW-CEW</t>
        </is>
      </c>
      <c r="H1465" t="n">
        <v>1126.916</v>
      </c>
      <c r="I1465" t="inlineStr">
        <is>
          <t>TUB-I-C-AUT-AN-FC-39.00X34.00X0.2720</t>
        </is>
      </c>
      <c r="J1465" t="inlineStr">
        <is>
          <t>TVS</t>
        </is>
      </c>
      <c r="K1465" t="inlineStr">
        <is>
          <t>39-34-2.5-CEW-CEW-0.272</t>
        </is>
      </c>
    </row>
    <row r="1466">
      <c r="A1466" t="inlineStr">
        <is>
          <t>0000189002</t>
        </is>
      </c>
      <c r="B1466" t="inlineStr">
        <is>
          <t>Marathwada Auto Compo Pvt. Ltd.</t>
        </is>
      </c>
      <c r="C1466" t="inlineStr">
        <is>
          <t>NOS</t>
        </is>
      </c>
      <c r="D1466" t="n">
        <v>2795.297</v>
      </c>
      <c r="E1466" t="n">
        <v>759.949</v>
      </c>
      <c r="F1466" t="n">
        <v>1938125</v>
      </c>
      <c r="G1466" t="inlineStr">
        <is>
          <t>39-34-2.5-CEW-CEW</t>
        </is>
      </c>
      <c r="H1466" t="n">
        <v>1710.722</v>
      </c>
      <c r="I1466" t="inlineStr">
        <is>
          <t>TUB-I-C-AUT-AN-FC-39.00X34.00X0.2720</t>
        </is>
      </c>
      <c r="J1466" t="inlineStr">
        <is>
          <t>TVS</t>
        </is>
      </c>
      <c r="K1466" t="inlineStr">
        <is>
          <t>39-34-2.5-CEW-CEW-0.272</t>
        </is>
      </c>
    </row>
    <row r="1467">
      <c r="A1467" t="inlineStr">
        <is>
          <t>0000189002</t>
        </is>
      </c>
      <c r="B1467" t="inlineStr">
        <is>
          <t>Marathwada Auto Compo Pvt. Ltd.</t>
        </is>
      </c>
      <c r="C1467" t="inlineStr">
        <is>
          <t>NOS</t>
        </is>
      </c>
      <c r="D1467" t="n">
        <v>1936</v>
      </c>
      <c r="E1467" t="n">
        <v>526.335</v>
      </c>
      <c r="F1467" t="n">
        <v>1938125</v>
      </c>
      <c r="G1467" t="inlineStr">
        <is>
          <t>39-34-2.5-CEW-CEW</t>
        </is>
      </c>
      <c r="H1467" t="n">
        <v>1184.832</v>
      </c>
      <c r="I1467" t="inlineStr">
        <is>
          <t>TUB-I-C-AUT-AN-FC-39.00X34.00X0.2720</t>
        </is>
      </c>
      <c r="J1467" t="inlineStr">
        <is>
          <t>TVS</t>
        </is>
      </c>
      <c r="K1467" t="inlineStr">
        <is>
          <t>39-34-2.5-CEW-CEW-0.272</t>
        </is>
      </c>
    </row>
    <row r="1468">
      <c r="A1468" t="inlineStr">
        <is>
          <t>0000189002</t>
        </is>
      </c>
      <c r="B1468" t="inlineStr">
        <is>
          <t>Marathwada Auto Compo Pvt. Ltd.</t>
        </is>
      </c>
      <c r="C1468" t="inlineStr">
        <is>
          <t>NOS</t>
        </is>
      </c>
      <c r="D1468" t="n">
        <v>2378.926</v>
      </c>
      <c r="E1468" t="n">
        <v>646.752</v>
      </c>
      <c r="F1468" t="n">
        <v>1938125</v>
      </c>
      <c r="G1468" t="inlineStr">
        <is>
          <t>39-34-2.5-CEW-CEW</t>
        </is>
      </c>
      <c r="H1468" t="n">
        <v>1455.903</v>
      </c>
      <c r="I1468" t="inlineStr">
        <is>
          <t>TUB-I-C-AUT-AN-FC-39.00X34.00X0.2720</t>
        </is>
      </c>
      <c r="J1468" t="inlineStr">
        <is>
          <t>TVS</t>
        </is>
      </c>
      <c r="K1468" t="inlineStr">
        <is>
          <t>39-34-2.5-CEW-CEW-0.272</t>
        </is>
      </c>
    </row>
    <row r="1469">
      <c r="A1469" t="inlineStr">
        <is>
          <t>0000189002</t>
        </is>
      </c>
      <c r="B1469" t="inlineStr">
        <is>
          <t>Marathwada Auto Compo Pvt. Ltd.</t>
        </is>
      </c>
      <c r="C1469" t="inlineStr">
        <is>
          <t>NOS</t>
        </is>
      </c>
      <c r="D1469" t="n">
        <v>966.306</v>
      </c>
      <c r="E1469" t="n">
        <v>262.707</v>
      </c>
      <c r="F1469" t="n">
        <v>1938125</v>
      </c>
      <c r="G1469" t="inlineStr">
        <is>
          <t>39-34-2.5-CEW-CEW</t>
        </is>
      </c>
      <c r="H1469" t="n">
        <v>591.379</v>
      </c>
      <c r="I1469" t="inlineStr">
        <is>
          <t>TUB-I-C-AUT-AN-FC-39.00X34.00X0.2720</t>
        </is>
      </c>
      <c r="J1469" t="inlineStr">
        <is>
          <t>TVS</t>
        </is>
      </c>
      <c r="K1469" t="inlineStr">
        <is>
          <t>39-34-2.5-CEW-CEW-0.272</t>
        </is>
      </c>
    </row>
    <row r="1470">
      <c r="A1470" t="inlineStr">
        <is>
          <t>0000189002</t>
        </is>
      </c>
      <c r="B1470" t="inlineStr">
        <is>
          <t>Marathwada Auto Compo Pvt. Ltd.</t>
        </is>
      </c>
      <c r="C1470" t="inlineStr">
        <is>
          <t>NOS</t>
        </is>
      </c>
      <c r="D1470" t="n">
        <v>232.105</v>
      </c>
      <c r="E1470" t="n">
        <v>63.102</v>
      </c>
      <c r="F1470" t="n">
        <v>1938125</v>
      </c>
      <c r="G1470" t="inlineStr">
        <is>
          <t>39-34-2.5-CEW-CEW</t>
        </is>
      </c>
      <c r="H1470" t="n">
        <v>142.048</v>
      </c>
      <c r="I1470" t="inlineStr">
        <is>
          <t>TUB-I-C-AUT-AN-FC-39.00X34.00X0.2720</t>
        </is>
      </c>
      <c r="J1470" t="inlineStr">
        <is>
          <t>TVS</t>
        </is>
      </c>
      <c r="K1470" t="inlineStr">
        <is>
          <t>39-34-2.5-CEW-CEW-0.272</t>
        </is>
      </c>
    </row>
    <row r="1471">
      <c r="A1471" t="inlineStr">
        <is>
          <t>0000189240</t>
        </is>
      </c>
      <c r="B1471" t="inlineStr">
        <is>
          <t>Rajsriya Automotive Ind Pvt Ltd.</t>
        </is>
      </c>
      <c r="C1471" t="inlineStr">
        <is>
          <t>NOS</t>
        </is>
      </c>
      <c r="D1471" t="n">
        <v>2000</v>
      </c>
      <c r="E1471" t="n">
        <v>543.734</v>
      </c>
      <c r="F1471" t="n">
        <v>1938125</v>
      </c>
      <c r="G1471" t="inlineStr">
        <is>
          <t>39-34-2.5-CEW-CEW</t>
        </is>
      </c>
      <c r="H1471" t="n">
        <v>1224</v>
      </c>
      <c r="I1471" t="inlineStr">
        <is>
          <t>TUB-I-C-AUT-AN-FC-39.00X34.00X0.2720</t>
        </is>
      </c>
      <c r="J1471" t="inlineStr">
        <is>
          <t>TVS</t>
        </is>
      </c>
      <c r="K1471" t="inlineStr">
        <is>
          <t>39-34-2.5-CEW-CEW-0.272</t>
        </is>
      </c>
    </row>
    <row r="1472">
      <c r="A1472" t="inlineStr">
        <is>
          <t>0000189240</t>
        </is>
      </c>
      <c r="B1472" t="inlineStr">
        <is>
          <t>Rajsriya Automotive Ind Pvt Ltd.</t>
        </is>
      </c>
      <c r="C1472" t="inlineStr">
        <is>
          <t>NOS</t>
        </is>
      </c>
      <c r="D1472" t="n">
        <v>1500</v>
      </c>
      <c r="E1472" t="n">
        <v>407.801</v>
      </c>
      <c r="F1472" t="n">
        <v>1938125</v>
      </c>
      <c r="G1472" t="inlineStr">
        <is>
          <t>39-34-2.5-CEW-CEW</t>
        </is>
      </c>
      <c r="H1472" t="n">
        <v>918</v>
      </c>
      <c r="I1472" t="inlineStr">
        <is>
          <t>TUB-I-C-AUT-AN-FC-39.00X34.00X0.2720</t>
        </is>
      </c>
      <c r="J1472" t="inlineStr">
        <is>
          <t>TVS</t>
        </is>
      </c>
      <c r="K1472" t="inlineStr">
        <is>
          <t>39-34-2.5-CEW-CEW-0.272</t>
        </is>
      </c>
    </row>
    <row r="1473">
      <c r="A1473" t="inlineStr">
        <is>
          <t>0000945539</t>
        </is>
      </c>
      <c r="B1473" t="inlineStr">
        <is>
          <t>Sandhar EngineeringPvt.Ltd.(KA)-Uni</t>
        </is>
      </c>
      <c r="C1473" t="inlineStr">
        <is>
          <t>NOS</t>
        </is>
      </c>
      <c r="D1473" t="n">
        <v>1180</v>
      </c>
      <c r="E1473" t="n">
        <v>1002.967</v>
      </c>
      <c r="F1473" t="n">
        <v>3910648</v>
      </c>
      <c r="G1473" t="inlineStr">
        <is>
          <t>41.28-0-2.6-ERW 1-FC</t>
        </is>
      </c>
      <c r="H1473" t="n">
        <v>2487.558</v>
      </c>
      <c r="I1473" t="inlineStr">
        <is>
          <t>CUT-O-N-AUT-AW-FC-41.28X2.600X0.8500</t>
        </is>
      </c>
      <c r="J1473" t="inlineStr">
        <is>
          <t>TVS</t>
        </is>
      </c>
      <c r="K1473" t="inlineStr">
        <is>
          <t>41.28-0-2.6-ERW 1-FC-0.85</t>
        </is>
      </c>
    </row>
    <row r="1474">
      <c r="A1474" t="inlineStr">
        <is>
          <t>0000945539</t>
        </is>
      </c>
      <c r="B1474" t="inlineStr">
        <is>
          <t>Sandhar EngineeringPvt.Ltd.(KA)-Uni</t>
        </is>
      </c>
      <c r="C1474" t="inlineStr">
        <is>
          <t>NOS</t>
        </is>
      </c>
      <c r="D1474" t="n">
        <v>1180</v>
      </c>
      <c r="E1474" t="n">
        <v>1002.967</v>
      </c>
      <c r="F1474" t="n">
        <v>3910648</v>
      </c>
      <c r="G1474" t="inlineStr">
        <is>
          <t>41.28-0-2.6-ERW 1-FC</t>
        </is>
      </c>
      <c r="H1474" t="n">
        <v>2487.558</v>
      </c>
      <c r="I1474" t="inlineStr">
        <is>
          <t>CUT-O-N-AUT-AW-FC-41.28X2.600X0.8500</t>
        </is>
      </c>
      <c r="J1474" t="inlineStr">
        <is>
          <t>TVS</t>
        </is>
      </c>
      <c r="K1474" t="inlineStr">
        <is>
          <t>41.28-0-2.6-ERW 1-FC-0.85</t>
        </is>
      </c>
    </row>
    <row r="1475">
      <c r="A1475" t="inlineStr">
        <is>
          <t>0000945539</t>
        </is>
      </c>
      <c r="B1475" t="inlineStr">
        <is>
          <t>Sandhar EngineeringPvt.Ltd.(KA)-Uni</t>
        </is>
      </c>
      <c r="C1475" t="inlineStr">
        <is>
          <t>NOS</t>
        </is>
      </c>
      <c r="D1475" t="n">
        <v>1180</v>
      </c>
      <c r="E1475" t="n">
        <v>1002.967</v>
      </c>
      <c r="F1475" t="n">
        <v>3910648</v>
      </c>
      <c r="G1475" t="inlineStr">
        <is>
          <t>41.28-0-2.6-ERW 1-FC</t>
        </is>
      </c>
      <c r="H1475" t="n">
        <v>2487.558</v>
      </c>
      <c r="I1475" t="inlineStr">
        <is>
          <t>CUT-O-N-AUT-AW-FC-41.28X2.600X0.8500</t>
        </is>
      </c>
      <c r="J1475" t="inlineStr">
        <is>
          <t>TVS</t>
        </is>
      </c>
      <c r="K1475" t="inlineStr">
        <is>
          <t>41.28-0-2.6-ERW 1-FC-0.85</t>
        </is>
      </c>
    </row>
    <row r="1476">
      <c r="A1476" t="inlineStr">
        <is>
          <t>0000945539</t>
        </is>
      </c>
      <c r="B1476" t="inlineStr">
        <is>
          <t>Sandhar EngineeringPvt.Ltd.(KA)-Uni</t>
        </is>
      </c>
      <c r="C1476" t="inlineStr">
        <is>
          <t>NOS</t>
        </is>
      </c>
      <c r="D1476" t="n">
        <v>1170</v>
      </c>
      <c r="E1476" t="n">
        <v>994.467</v>
      </c>
      <c r="F1476" t="n">
        <v>3910648</v>
      </c>
      <c r="G1476" t="inlineStr">
        <is>
          <t>41.28-0-2.6-ERW 1-FC</t>
        </is>
      </c>
      <c r="H1476" t="n">
        <v>2466.477</v>
      </c>
      <c r="I1476" t="inlineStr">
        <is>
          <t>CUT-O-N-AUT-AW-FC-41.28X2.600X0.8500</t>
        </is>
      </c>
      <c r="J1476" t="inlineStr">
        <is>
          <t>TVS</t>
        </is>
      </c>
      <c r="K1476" t="inlineStr">
        <is>
          <t>41.28-0-2.6-ERW 1-FC-0.85</t>
        </is>
      </c>
    </row>
    <row r="1477">
      <c r="A1477" t="inlineStr">
        <is>
          <t>0000945539</t>
        </is>
      </c>
      <c r="B1477" t="inlineStr">
        <is>
          <t>Sandhar EngineeringPvt.Ltd.(KA)-Uni</t>
        </is>
      </c>
      <c r="C1477" t="inlineStr">
        <is>
          <t>NOS</t>
        </is>
      </c>
      <c r="D1477" t="n">
        <v>910</v>
      </c>
      <c r="E1477" t="n">
        <v>773.474</v>
      </c>
      <c r="F1477" t="n">
        <v>3910648</v>
      </c>
      <c r="G1477" t="inlineStr">
        <is>
          <t>41.28-0-2.6-ERW 1-FC</t>
        </is>
      </c>
      <c r="H1477" t="n">
        <v>1918.371</v>
      </c>
      <c r="I1477" t="inlineStr">
        <is>
          <t>CUT-O-N-AUT-AW-FC-41.28X2.600X0.8500</t>
        </is>
      </c>
      <c r="J1477" t="inlineStr">
        <is>
          <t>TVS</t>
        </is>
      </c>
      <c r="K1477" t="inlineStr">
        <is>
          <t>41.28-0-2.6-ERW 1-FC-0.85</t>
        </is>
      </c>
    </row>
    <row r="1478">
      <c r="A1478" t="inlineStr">
        <is>
          <t>0000945539</t>
        </is>
      </c>
      <c r="B1478" t="inlineStr">
        <is>
          <t>Sandhar EngineeringPvt.Ltd.(KA)-Uni</t>
        </is>
      </c>
      <c r="C1478" t="inlineStr">
        <is>
          <t>NOS</t>
        </is>
      </c>
      <c r="D1478" t="n">
        <v>20</v>
      </c>
      <c r="E1478" t="n">
        <v>16.999</v>
      </c>
      <c r="F1478" t="n">
        <v>3910648</v>
      </c>
      <c r="G1478" t="inlineStr">
        <is>
          <t>41.28-0-2.6-ERW 1-FC</t>
        </is>
      </c>
      <c r="H1478" t="n">
        <v>42.162</v>
      </c>
      <c r="I1478" t="inlineStr">
        <is>
          <t>CUT-O-N-AUT-AW-FC-41.28X2.600X0.8500</t>
        </is>
      </c>
      <c r="J1478" t="inlineStr">
        <is>
          <t>TVS</t>
        </is>
      </c>
      <c r="K1478" t="inlineStr">
        <is>
          <t>41.28-0-2.6-ERW 1-FC-0.85</t>
        </is>
      </c>
    </row>
    <row r="1479">
      <c r="A1479" t="inlineStr">
        <is>
          <t>0000188415</t>
        </is>
      </c>
      <c r="B1479" t="inlineStr">
        <is>
          <t>Rajsriya Automotive Industries(P)</t>
        </is>
      </c>
      <c r="C1479" t="inlineStr">
        <is>
          <t>NOS</t>
        </is>
      </c>
      <c r="D1479" t="n">
        <v>1621.436</v>
      </c>
      <c r="E1479" t="n">
        <v>372.934</v>
      </c>
      <c r="F1479" t="n">
        <v>4010435</v>
      </c>
      <c r="G1479" t="inlineStr">
        <is>
          <t>41.28-0-3.2-ERW 1-FC</t>
        </is>
      </c>
      <c r="H1479" t="n">
        <v>1121.115</v>
      </c>
      <c r="I1479" t="inlineStr">
        <is>
          <t>TUB-O-N-AUT-AW-FC-41.28X3.200X0.2300</t>
        </is>
      </c>
      <c r="J1479" t="inlineStr">
        <is>
          <t>TVS</t>
        </is>
      </c>
      <c r="K1479" t="inlineStr">
        <is>
          <t>41.28-0-3.2-ERW 1-FC-0.23</t>
        </is>
      </c>
    </row>
    <row r="1480">
      <c r="A1480" t="inlineStr">
        <is>
          <t>0000188415</t>
        </is>
      </c>
      <c r="B1480" t="inlineStr">
        <is>
          <t>Rajsriya Automotive Industries(P)</t>
        </is>
      </c>
      <c r="C1480" t="inlineStr">
        <is>
          <t>NOS</t>
        </is>
      </c>
      <c r="D1480" t="n">
        <v>1398.564</v>
      </c>
      <c r="E1480" t="n">
        <v>321.673</v>
      </c>
      <c r="F1480" t="n">
        <v>4010435</v>
      </c>
      <c r="G1480" t="inlineStr">
        <is>
          <t>41.28-0-3.2-ERW 1-FC</t>
        </is>
      </c>
      <c r="H1480" t="n">
        <v>967.014</v>
      </c>
      <c r="I1480" t="inlineStr">
        <is>
          <t>TUB-O-N-AUT-AW-FC-41.28X3.200X0.2300</t>
        </is>
      </c>
      <c r="J1480" t="inlineStr">
        <is>
          <t>TVS</t>
        </is>
      </c>
      <c r="K1480" t="inlineStr">
        <is>
          <t>41.28-0-3.2-ERW 1-FC-0.23</t>
        </is>
      </c>
    </row>
    <row r="1481">
      <c r="A1481" t="inlineStr">
        <is>
          <t>0000941496</t>
        </is>
      </c>
      <c r="B1481" t="inlineStr">
        <is>
          <t>SANDHAR ENGINEERING PVT LTD.(KA) -U</t>
        </is>
      </c>
      <c r="C1481" t="inlineStr">
        <is>
          <t>NOS</t>
        </is>
      </c>
      <c r="D1481" t="n">
        <v>2848.132</v>
      </c>
      <c r="E1481" t="n">
        <v>592.415</v>
      </c>
      <c r="F1481" t="n">
        <v>3722021</v>
      </c>
      <c r="G1481" t="inlineStr">
        <is>
          <t>42.7-0-3.5-ERW 1-FC</t>
        </is>
      </c>
      <c r="H1481" t="n">
        <v>2005.148</v>
      </c>
      <c r="I1481" t="inlineStr">
        <is>
          <t>TUB-O-N-AUT-AN--42.70X3.500X0.2080</t>
        </is>
      </c>
      <c r="J1481" t="inlineStr">
        <is>
          <t>TVS</t>
        </is>
      </c>
      <c r="K1481" t="inlineStr">
        <is>
          <t>42.7-0-3.5-ERW 1-FC-0.208</t>
        </is>
      </c>
    </row>
    <row r="1482">
      <c r="A1482" t="inlineStr">
        <is>
          <t>0000941496</t>
        </is>
      </c>
      <c r="B1482" t="inlineStr">
        <is>
          <t>SANDHAR ENGINEERING PVT LTD.(KA) -U</t>
        </is>
      </c>
      <c r="C1482" t="inlineStr">
        <is>
          <t>NOS</t>
        </is>
      </c>
      <c r="D1482" t="n">
        <v>2904.692</v>
      </c>
      <c r="E1482" t="n">
        <v>604.1799999999999</v>
      </c>
      <c r="F1482" t="n">
        <v>3722021</v>
      </c>
      <c r="G1482" t="inlineStr">
        <is>
          <t>42.7-0-3.5-ERW 1-FC</t>
        </is>
      </c>
      <c r="H1482" t="n">
        <v>2044.968</v>
      </c>
      <c r="I1482" t="inlineStr">
        <is>
          <t>TUB-O-N-AUT-AN--42.70X3.500X0.2080</t>
        </is>
      </c>
      <c r="J1482" t="inlineStr">
        <is>
          <t>TVS</t>
        </is>
      </c>
      <c r="K1482" t="inlineStr">
        <is>
          <t>42.7-0-3.5-ERW 1-FC-0.208</t>
        </is>
      </c>
    </row>
    <row r="1483">
      <c r="A1483" t="inlineStr">
        <is>
          <t>0000941496</t>
        </is>
      </c>
      <c r="B1483" t="inlineStr">
        <is>
          <t>SANDHAR ENGINEERING PVT LTD.(KA) -U</t>
        </is>
      </c>
      <c r="C1483" t="inlineStr">
        <is>
          <t>NOS</t>
        </is>
      </c>
      <c r="D1483" t="n">
        <v>3035.704</v>
      </c>
      <c r="E1483" t="n">
        <v>631.431</v>
      </c>
      <c r="F1483" t="n">
        <v>3722021</v>
      </c>
      <c r="G1483" t="inlineStr">
        <is>
          <t>42.7-0-3.5-ERW 1-FC</t>
        </is>
      </c>
      <c r="H1483" t="n">
        <v>2137.203</v>
      </c>
      <c r="I1483" t="inlineStr">
        <is>
          <t>TUB-O-N-AUT-AN--42.70X3.500X0.2080</t>
        </is>
      </c>
      <c r="J1483" t="inlineStr">
        <is>
          <t>TVS</t>
        </is>
      </c>
      <c r="K1483" t="inlineStr">
        <is>
          <t>42.7-0-3.5-ERW 1-FC-0.208</t>
        </is>
      </c>
    </row>
    <row r="1484">
      <c r="A1484" t="inlineStr">
        <is>
          <t>0000941496</t>
        </is>
      </c>
      <c r="B1484" t="inlineStr">
        <is>
          <t>SANDHAR ENGINEERING PVT LTD.(KA) -U</t>
        </is>
      </c>
      <c r="C1484" t="inlineStr">
        <is>
          <t>NOS</t>
        </is>
      </c>
      <c r="D1484" t="n">
        <v>536.472</v>
      </c>
      <c r="E1484" t="n">
        <v>111.587</v>
      </c>
      <c r="F1484" t="n">
        <v>3722021</v>
      </c>
      <c r="G1484" t="inlineStr">
        <is>
          <t>42.7-0-3.5-ERW 1-FC</t>
        </is>
      </c>
      <c r="H1484" t="n">
        <v>377.688</v>
      </c>
      <c r="I1484" t="inlineStr">
        <is>
          <t>TUB-O-N-AUT-AN--42.70X3.500X0.2080</t>
        </is>
      </c>
      <c r="J1484" t="inlineStr">
        <is>
          <t>TVS</t>
        </is>
      </c>
      <c r="K1484" t="inlineStr">
        <is>
          <t>42.7-0-3.5-ERW 1-FC-0.208</t>
        </is>
      </c>
    </row>
    <row r="1485">
      <c r="A1485" t="inlineStr">
        <is>
          <t>0000189226</t>
        </is>
      </c>
      <c r="B1485" t="inlineStr">
        <is>
          <t>Neel Metal Products Limited</t>
        </is>
      </c>
      <c r="C1485" t="inlineStr">
        <is>
          <t>NOS</t>
        </is>
      </c>
      <c r="D1485" t="n">
        <v>900.394</v>
      </c>
      <c r="E1485" t="n">
        <v>188.873</v>
      </c>
      <c r="F1485" t="n">
        <v>2417648</v>
      </c>
      <c r="G1485" t="inlineStr">
        <is>
          <t>42.7-0-3.5-ERW 1-FC</t>
        </is>
      </c>
      <c r="H1485" t="n">
        <v>639.28</v>
      </c>
      <c r="I1485" t="inlineStr">
        <is>
          <t>TUB-O-N-AUT-AN-FC-42.70X3.500X0.2100</t>
        </is>
      </c>
      <c r="J1485" t="inlineStr">
        <is>
          <t>TVS</t>
        </is>
      </c>
      <c r="K1485" t="inlineStr">
        <is>
          <t>42.7-0-3.5-ERW 1-FC-0.21</t>
        </is>
      </c>
    </row>
    <row r="1486">
      <c r="A1486" t="inlineStr">
        <is>
          <t>0000189226</t>
        </is>
      </c>
      <c r="B1486" t="inlineStr">
        <is>
          <t>Neel Metal Products Limited</t>
        </is>
      </c>
      <c r="C1486" t="inlineStr">
        <is>
          <t>NOS</t>
        </is>
      </c>
      <c r="D1486" t="n">
        <v>99.60599999999999</v>
      </c>
      <c r="E1486" t="n">
        <v>20.894</v>
      </c>
      <c r="F1486" t="n">
        <v>2417648</v>
      </c>
      <c r="G1486" t="inlineStr">
        <is>
          <t>42.7-0-3.5-ERW 1-FC</t>
        </is>
      </c>
      <c r="H1486" t="n">
        <v>70.72</v>
      </c>
      <c r="I1486" t="inlineStr">
        <is>
          <t>TUB-O-N-AUT-AN-FC-42.70X3.500X0.2100</t>
        </is>
      </c>
      <c r="J1486" t="inlineStr">
        <is>
          <t>TVS</t>
        </is>
      </c>
      <c r="K1486" t="inlineStr">
        <is>
          <t>42.7-0-3.5-ERW 1-FC-0.21</t>
        </is>
      </c>
    </row>
    <row r="1487">
      <c r="A1487" t="inlineStr">
        <is>
          <t>0000189226</t>
        </is>
      </c>
      <c r="B1487" t="inlineStr">
        <is>
          <t>Neel Metal Products Limited</t>
        </is>
      </c>
      <c r="C1487" t="inlineStr">
        <is>
          <t>NOS</t>
        </is>
      </c>
      <c r="D1487" t="n">
        <v>1500</v>
      </c>
      <c r="E1487" t="n">
        <v>314.651</v>
      </c>
      <c r="F1487" t="n">
        <v>2417648</v>
      </c>
      <c r="G1487" t="inlineStr">
        <is>
          <t>42.7-0-3.5-ERW 1-FC</t>
        </is>
      </c>
      <c r="H1487" t="n">
        <v>1065</v>
      </c>
      <c r="I1487" t="inlineStr">
        <is>
          <t>TUB-O-N-AUT-AN-FC-42.70X3.500X0.2100</t>
        </is>
      </c>
      <c r="J1487" t="inlineStr">
        <is>
          <t>TVS</t>
        </is>
      </c>
      <c r="K1487" t="inlineStr">
        <is>
          <t>42.7-0-3.5-ERW 1-FC-0.21</t>
        </is>
      </c>
    </row>
    <row r="1488">
      <c r="A1488" t="inlineStr">
        <is>
          <t>0000189226</t>
        </is>
      </c>
      <c r="B1488" t="inlineStr">
        <is>
          <t>Neel Metal Products Limited</t>
        </is>
      </c>
      <c r="C1488" t="inlineStr">
        <is>
          <t>NOS</t>
        </is>
      </c>
      <c r="D1488" t="n">
        <v>1432.244</v>
      </c>
      <c r="E1488" t="n">
        <v>300.438</v>
      </c>
      <c r="F1488" t="n">
        <v>2417648</v>
      </c>
      <c r="G1488" t="inlineStr">
        <is>
          <t>42.7-0-3.5-ERW 1-FC</t>
        </is>
      </c>
      <c r="H1488" t="n">
        <v>1016.893</v>
      </c>
      <c r="I1488" t="inlineStr">
        <is>
          <t>TUB-O-N-AUT-AN-FC-42.70X3.500X0.2100</t>
        </is>
      </c>
      <c r="J1488" t="inlineStr">
        <is>
          <t>TVS</t>
        </is>
      </c>
      <c r="K1488" t="inlineStr">
        <is>
          <t>42.7-0-3.5-ERW 1-FC-0.21</t>
        </is>
      </c>
    </row>
    <row r="1489">
      <c r="A1489" t="inlineStr">
        <is>
          <t>0000189226</t>
        </is>
      </c>
      <c r="B1489" t="inlineStr">
        <is>
          <t>Neel Metal Products Limited</t>
        </is>
      </c>
      <c r="C1489" t="inlineStr">
        <is>
          <t>NOS</t>
        </is>
      </c>
      <c r="D1489" t="n">
        <v>1067.756</v>
      </c>
      <c r="E1489" t="n">
        <v>223.98</v>
      </c>
      <c r="F1489" t="n">
        <v>2417648</v>
      </c>
      <c r="G1489" t="inlineStr">
        <is>
          <t>42.7-0-3.5-ERW 1-FC</t>
        </is>
      </c>
      <c r="H1489" t="n">
        <v>758.107</v>
      </c>
      <c r="I1489" t="inlineStr">
        <is>
          <t>TUB-O-N-AUT-AN-FC-42.70X3.500X0.2100</t>
        </is>
      </c>
      <c r="J1489" t="inlineStr">
        <is>
          <t>TVS</t>
        </is>
      </c>
      <c r="K1489" t="inlineStr">
        <is>
          <t>42.7-0-3.5-ERW 1-FC-0.21</t>
        </is>
      </c>
    </row>
    <row r="1490">
      <c r="A1490" t="inlineStr">
        <is>
          <t>0000189226</t>
        </is>
      </c>
      <c r="B1490" t="inlineStr">
        <is>
          <t>Neel Metal Products Limited</t>
        </is>
      </c>
      <c r="C1490" t="inlineStr">
        <is>
          <t>NOS</t>
        </is>
      </c>
      <c r="D1490" t="n">
        <v>1836.907</v>
      </c>
      <c r="E1490" t="n">
        <v>385.323</v>
      </c>
      <c r="F1490" t="n">
        <v>2417648</v>
      </c>
      <c r="G1490" t="inlineStr">
        <is>
          <t>42.7-0-3.5-ERW 1-FC</t>
        </is>
      </c>
      <c r="H1490" t="n">
        <v>1304.204</v>
      </c>
      <c r="I1490" t="inlineStr">
        <is>
          <t>TUB-O-N-AUT-AN-FC-42.70X3.500X0.2100</t>
        </is>
      </c>
      <c r="J1490" t="inlineStr">
        <is>
          <t>TVS</t>
        </is>
      </c>
      <c r="K1490" t="inlineStr">
        <is>
          <t>42.7-0-3.5-ERW 1-FC-0.21</t>
        </is>
      </c>
    </row>
    <row r="1491">
      <c r="A1491" t="inlineStr">
        <is>
          <t>0000189226</t>
        </is>
      </c>
      <c r="B1491" t="inlineStr">
        <is>
          <t>Neel Metal Products Limited</t>
        </is>
      </c>
      <c r="C1491" t="inlineStr">
        <is>
          <t>NOS</t>
        </is>
      </c>
      <c r="D1491" t="n">
        <v>3009.496</v>
      </c>
      <c r="E1491" t="n">
        <v>631.294</v>
      </c>
      <c r="F1491" t="n">
        <v>2417648</v>
      </c>
      <c r="G1491" t="inlineStr">
        <is>
          <t>42.7-0-3.5-ERW 1-FC</t>
        </is>
      </c>
      <c r="H1491" t="n">
        <v>2136.742</v>
      </c>
      <c r="I1491" t="inlineStr">
        <is>
          <t>TUB-O-N-AUT-AN-FC-42.70X3.500X0.2100</t>
        </is>
      </c>
      <c r="J1491" t="inlineStr">
        <is>
          <t>TVS</t>
        </is>
      </c>
      <c r="K1491" t="inlineStr">
        <is>
          <t>42.7-0-3.5-ERW 1-FC-0.21</t>
        </is>
      </c>
    </row>
    <row r="1492">
      <c r="A1492" t="inlineStr">
        <is>
          <t>0000189226</t>
        </is>
      </c>
      <c r="B1492" t="inlineStr">
        <is>
          <t>Neel Metal Products Limited</t>
        </is>
      </c>
      <c r="C1492" t="inlineStr">
        <is>
          <t>NOS</t>
        </is>
      </c>
      <c r="D1492" t="n">
        <v>1653.597</v>
      </c>
      <c r="E1492" t="n">
        <v>346.871</v>
      </c>
      <c r="F1492" t="n">
        <v>2417648</v>
      </c>
      <c r="G1492" t="inlineStr">
        <is>
          <t>42.7-0-3.5-ERW 1-FC</t>
        </is>
      </c>
      <c r="H1492" t="n">
        <v>1174.054</v>
      </c>
      <c r="I1492" t="inlineStr">
        <is>
          <t>TUB-O-N-AUT-AN-FC-42.70X3.500X0.2100</t>
        </is>
      </c>
      <c r="J1492" t="inlineStr">
        <is>
          <t>TVS</t>
        </is>
      </c>
      <c r="K1492" t="inlineStr">
        <is>
          <t>42.7-0-3.5-ERW 1-FC-0.21</t>
        </is>
      </c>
    </row>
    <row r="1493">
      <c r="A1493" t="inlineStr">
        <is>
          <t>0000188647</t>
        </is>
      </c>
      <c r="B1493" t="inlineStr">
        <is>
          <t>Metalman Auto Private Limited</t>
        </is>
      </c>
      <c r="C1493" t="inlineStr">
        <is>
          <t>NOS</t>
        </is>
      </c>
      <c r="D1493" t="n">
        <v>500</v>
      </c>
      <c r="E1493" t="n">
        <v>104.884</v>
      </c>
      <c r="F1493" t="n">
        <v>2417648</v>
      </c>
      <c r="G1493" t="inlineStr">
        <is>
          <t>42.7-0-3.5-ERW 1-FC</t>
        </is>
      </c>
      <c r="H1493" t="n">
        <v>355</v>
      </c>
      <c r="I1493" t="inlineStr">
        <is>
          <t>TUB-O-N-AUT-AN-FC-42.70X3.500X0.2100</t>
        </is>
      </c>
      <c r="J1493" t="inlineStr">
        <is>
          <t>TVS</t>
        </is>
      </c>
      <c r="K1493" t="inlineStr">
        <is>
          <t>42.7-0-3.5-ERW 1-FC-0.21</t>
        </is>
      </c>
    </row>
    <row r="1494">
      <c r="A1494" t="inlineStr">
        <is>
          <t>0000189226</t>
        </is>
      </c>
      <c r="B1494" t="inlineStr">
        <is>
          <t>Neel Metal Products Limited</t>
        </is>
      </c>
      <c r="C1494" t="inlineStr">
        <is>
          <t>NOS</t>
        </is>
      </c>
      <c r="D1494" t="n">
        <v>230.465</v>
      </c>
      <c r="E1494" t="n">
        <v>48.344</v>
      </c>
      <c r="F1494" t="n">
        <v>2417648</v>
      </c>
      <c r="G1494" t="inlineStr">
        <is>
          <t>42.7-0-3.5-ERW 1-FC</t>
        </is>
      </c>
      <c r="H1494" t="n">
        <v>163.63</v>
      </c>
      <c r="I1494" t="inlineStr">
        <is>
          <t>TUB-O-N-AUT-AN-FC-42.70X3.500X0.2100</t>
        </is>
      </c>
      <c r="J1494" t="inlineStr">
        <is>
          <t>TVS</t>
        </is>
      </c>
      <c r="K1494" t="inlineStr">
        <is>
          <t>42.7-0-3.5-ERW 1-FC-0.21</t>
        </is>
      </c>
    </row>
    <row r="1495">
      <c r="A1495" t="inlineStr">
        <is>
          <t>0000189226</t>
        </is>
      </c>
      <c r="B1495" t="inlineStr">
        <is>
          <t>Neel Metal Products Limited</t>
        </is>
      </c>
      <c r="C1495" t="inlineStr">
        <is>
          <t>NOS</t>
        </is>
      </c>
      <c r="D1495" t="n">
        <v>313.48</v>
      </c>
      <c r="E1495" t="n">
        <v>65.758</v>
      </c>
      <c r="F1495" t="n">
        <v>2417648</v>
      </c>
      <c r="G1495" t="inlineStr">
        <is>
          <t>42.7-0-3.5-ERW 1-FC</t>
        </is>
      </c>
      <c r="H1495" t="n">
        <v>222.571</v>
      </c>
      <c r="I1495" t="inlineStr">
        <is>
          <t>TUB-O-N-AUT-AN-FC-42.70X3.500X0.2100</t>
        </is>
      </c>
      <c r="J1495" t="inlineStr">
        <is>
          <t>TVS</t>
        </is>
      </c>
      <c r="K1495" t="inlineStr">
        <is>
          <t>42.7-0-3.5-ERW 1-FC-0.21</t>
        </is>
      </c>
    </row>
    <row r="1496">
      <c r="A1496" t="inlineStr">
        <is>
          <t>0000189226</t>
        </is>
      </c>
      <c r="B1496" t="inlineStr">
        <is>
          <t>Neel Metal Products Limited</t>
        </is>
      </c>
      <c r="C1496" t="inlineStr">
        <is>
          <t>NOS</t>
        </is>
      </c>
      <c r="D1496" t="n">
        <v>826.946</v>
      </c>
      <c r="E1496" t="n">
        <v>173.466</v>
      </c>
      <c r="F1496" t="n">
        <v>2417648</v>
      </c>
      <c r="G1496" t="inlineStr">
        <is>
          <t>42.7-0-3.5-ERW 1-FC</t>
        </is>
      </c>
      <c r="H1496" t="n">
        <v>587.1319999999999</v>
      </c>
      <c r="I1496" t="inlineStr">
        <is>
          <t>TUB-O-N-AUT-AN-FC-42.70X3.500X0.2100</t>
        </is>
      </c>
      <c r="J1496" t="inlineStr">
        <is>
          <t>TVS</t>
        </is>
      </c>
      <c r="K1496" t="inlineStr">
        <is>
          <t>42.7-0-3.5-ERW 1-FC-0.21</t>
        </is>
      </c>
    </row>
    <row r="1497">
      <c r="A1497" t="inlineStr">
        <is>
          <t>0000189226</t>
        </is>
      </c>
      <c r="B1497" t="inlineStr">
        <is>
          <t>Neel Metal Products Limited</t>
        </is>
      </c>
      <c r="C1497" t="inlineStr">
        <is>
          <t>NOS</t>
        </is>
      </c>
      <c r="D1497" t="n">
        <v>68.81999999999999</v>
      </c>
      <c r="E1497" t="n">
        <v>14.436</v>
      </c>
      <c r="F1497" t="n">
        <v>2417648</v>
      </c>
      <c r="G1497" t="inlineStr">
        <is>
          <t>42.7-0-3.5-ERW 1-FC</t>
        </is>
      </c>
      <c r="H1497" t="n">
        <v>48.862</v>
      </c>
      <c r="I1497" t="inlineStr">
        <is>
          <t>TUB-O-N-AUT-AN-FC-42.70X3.500X0.2100</t>
        </is>
      </c>
      <c r="J1497" t="inlineStr">
        <is>
          <t>TVS</t>
        </is>
      </c>
      <c r="K1497" t="inlineStr">
        <is>
          <t>42.7-0-3.5-ERW 1-FC-0.21</t>
        </is>
      </c>
    </row>
    <row r="1498">
      <c r="A1498" t="inlineStr">
        <is>
          <t>0000189226</t>
        </is>
      </c>
      <c r="B1498" t="inlineStr">
        <is>
          <t>Neel Metal Products Limited</t>
        </is>
      </c>
      <c r="C1498" t="inlineStr">
        <is>
          <t>NOS</t>
        </is>
      </c>
      <c r="D1498" t="n">
        <v>2897.776</v>
      </c>
      <c r="E1498" t="n">
        <v>607.859</v>
      </c>
      <c r="F1498" t="n">
        <v>2417648</v>
      </c>
      <c r="G1498" t="inlineStr">
        <is>
          <t>42.7-0-3.5-ERW 1-FC</t>
        </is>
      </c>
      <c r="H1498" t="n">
        <v>2057.421</v>
      </c>
      <c r="I1498" t="inlineStr">
        <is>
          <t>TUB-O-N-AUT-AN-FC-42.70X3.500X0.2100</t>
        </is>
      </c>
      <c r="J1498" t="inlineStr">
        <is>
          <t>TVS</t>
        </is>
      </c>
      <c r="K1498" t="inlineStr">
        <is>
          <t>42.7-0-3.5-ERW 1-FC-0.21</t>
        </is>
      </c>
    </row>
    <row r="1499">
      <c r="A1499" t="inlineStr">
        <is>
          <t>0000189226</t>
        </is>
      </c>
      <c r="B1499" t="inlineStr">
        <is>
          <t>Neel Metal Products Limited</t>
        </is>
      </c>
      <c r="C1499" t="inlineStr">
        <is>
          <t>NOS</t>
        </is>
      </c>
      <c r="D1499" t="n">
        <v>1292.513</v>
      </c>
      <c r="E1499" t="n">
        <v>271.127</v>
      </c>
      <c r="F1499" t="n">
        <v>2417648</v>
      </c>
      <c r="G1499" t="inlineStr">
        <is>
          <t>42.7-0-3.5-ERW 1-FC</t>
        </is>
      </c>
      <c r="H1499" t="n">
        <v>917.684</v>
      </c>
      <c r="I1499" t="inlineStr">
        <is>
          <t>TUB-O-N-AUT-AN-FC-42.70X3.500X0.2100</t>
        </is>
      </c>
      <c r="J1499" t="inlineStr">
        <is>
          <t>TVS</t>
        </is>
      </c>
      <c r="K1499" t="inlineStr">
        <is>
          <t>42.7-0-3.5-ERW 1-FC-0.21</t>
        </is>
      </c>
    </row>
    <row r="1500">
      <c r="A1500" t="inlineStr">
        <is>
          <t>0000188415</t>
        </is>
      </c>
      <c r="B1500" t="inlineStr">
        <is>
          <t>Rajsriya Automotive Industries(P)</t>
        </is>
      </c>
      <c r="C1500" t="inlineStr">
        <is>
          <t>NOS</t>
        </is>
      </c>
      <c r="D1500" t="n">
        <v>760</v>
      </c>
      <c r="E1500" t="n">
        <v>193.04</v>
      </c>
      <c r="F1500" t="n">
        <v>1938358</v>
      </c>
      <c r="G1500" t="inlineStr">
        <is>
          <t>42.7-0-4-ERW 1-FC</t>
        </is>
      </c>
      <c r="H1500" t="n">
        <v>737.2</v>
      </c>
      <c r="I1500" t="inlineStr">
        <is>
          <t>TUB-O-N-AUT-AN-FC-42.70X4.000X0.2540</t>
        </is>
      </c>
      <c r="J1500" t="inlineStr">
        <is>
          <t>TVS</t>
        </is>
      </c>
      <c r="K1500" t="inlineStr">
        <is>
          <t>42.7-0-4-ERW 1-FC-0.254</t>
        </is>
      </c>
    </row>
    <row r="1501">
      <c r="A1501" t="inlineStr">
        <is>
          <t>0000189226</t>
        </is>
      </c>
      <c r="B1501" t="inlineStr">
        <is>
          <t>Neel Metal Products Limited</t>
        </is>
      </c>
      <c r="C1501" t="inlineStr">
        <is>
          <t>NOS</t>
        </is>
      </c>
      <c r="D1501" t="n">
        <v>500</v>
      </c>
      <c r="E1501" t="n">
        <v>117.998</v>
      </c>
      <c r="F1501" t="n">
        <v>3784473</v>
      </c>
      <c r="G1501" t="inlineStr">
        <is>
          <t>63.5-0-4-ERW 1-FC</t>
        </is>
      </c>
      <c r="H1501" t="n">
        <v>676.4</v>
      </c>
      <c r="I1501" t="inlineStr">
        <is>
          <t>CUT-O-N-AUT-BH-FC-63.50X4.000X0.2360</t>
        </is>
      </c>
      <c r="J1501" t="inlineStr">
        <is>
          <t>TVS</t>
        </is>
      </c>
      <c r="K1501" t="inlineStr">
        <is>
          <t>63.5-0-4-ERW 1-FC-0.236</t>
        </is>
      </c>
    </row>
    <row r="1502">
      <c r="A1502" t="inlineStr">
        <is>
          <t>0000189226</t>
        </is>
      </c>
      <c r="B1502" t="inlineStr">
        <is>
          <t>Neel Metal Products Limited</t>
        </is>
      </c>
      <c r="C1502" t="inlineStr">
        <is>
          <t>NOS</t>
        </is>
      </c>
      <c r="D1502" t="n">
        <v>88.25</v>
      </c>
      <c r="E1502" t="n">
        <v>20.827</v>
      </c>
      <c r="F1502" t="n">
        <v>3784473</v>
      </c>
      <c r="G1502" t="inlineStr">
        <is>
          <t>63.5-0-4-ERW 1-FC</t>
        </is>
      </c>
      <c r="H1502" t="n">
        <v>119.385</v>
      </c>
      <c r="I1502" t="inlineStr">
        <is>
          <t>CUT-O-N-AUT-BH-FC-63.50X4.000X0.2360</t>
        </is>
      </c>
      <c r="J1502" t="inlineStr">
        <is>
          <t>TVS</t>
        </is>
      </c>
      <c r="K1502" t="inlineStr">
        <is>
          <t>63.5-0-4-ERW 1-FC-0.236</t>
        </is>
      </c>
    </row>
    <row r="1503">
      <c r="A1503" t="inlineStr">
        <is>
          <t>0000189226</t>
        </is>
      </c>
      <c r="B1503" t="inlineStr">
        <is>
          <t>Neel Metal Products Limited</t>
        </is>
      </c>
      <c r="C1503" t="inlineStr">
        <is>
          <t>NOS</t>
        </is>
      </c>
      <c r="D1503" t="n">
        <v>60.574</v>
      </c>
      <c r="E1503" t="n">
        <v>14.295</v>
      </c>
      <c r="F1503" t="n">
        <v>3784473</v>
      </c>
      <c r="G1503" t="inlineStr">
        <is>
          <t>63.5-0-4-ERW 1-FC</t>
        </is>
      </c>
      <c r="H1503" t="n">
        <v>81.94499999999999</v>
      </c>
      <c r="I1503" t="inlineStr">
        <is>
          <t>CUT-O-N-AUT-BH-FC-63.50X4.000X0.2360</t>
        </is>
      </c>
      <c r="J1503" t="inlineStr">
        <is>
          <t>TVS</t>
        </is>
      </c>
      <c r="K1503" t="inlineStr">
        <is>
          <t>63.5-0-4-ERW 1-FC-0.236</t>
        </is>
      </c>
    </row>
    <row r="1504">
      <c r="A1504" t="inlineStr">
        <is>
          <t>0000189226</t>
        </is>
      </c>
      <c r="B1504" t="inlineStr">
        <is>
          <t>Neel Metal Products Limited</t>
        </is>
      </c>
      <c r="C1504" t="inlineStr">
        <is>
          <t>NOS</t>
        </is>
      </c>
      <c r="D1504" t="n">
        <v>1091.176</v>
      </c>
      <c r="E1504" t="n">
        <v>257.513</v>
      </c>
      <c r="F1504" t="n">
        <v>3784473</v>
      </c>
      <c r="G1504" t="inlineStr">
        <is>
          <t>63.5-0-4-ERW 1-FC</t>
        </is>
      </c>
      <c r="H1504" t="n">
        <v>1476.143</v>
      </c>
      <c r="I1504" t="inlineStr">
        <is>
          <t>CUT-O-N-AUT-BH-FC-63.50X4.000X0.2360</t>
        </is>
      </c>
      <c r="J1504" t="inlineStr">
        <is>
          <t>TVS</t>
        </is>
      </c>
      <c r="K1504" t="inlineStr">
        <is>
          <t>63.5-0-4-ERW 1-FC-0.236</t>
        </is>
      </c>
    </row>
    <row r="1505">
      <c r="A1505" t="inlineStr">
        <is>
          <t>0000189226</t>
        </is>
      </c>
      <c r="B1505" t="inlineStr">
        <is>
          <t>Neel Metal Products Limited</t>
        </is>
      </c>
      <c r="C1505" t="inlineStr">
        <is>
          <t>NOS</t>
        </is>
      </c>
      <c r="D1505" t="n">
        <v>540</v>
      </c>
      <c r="E1505" t="n">
        <v>127.438</v>
      </c>
      <c r="F1505" t="n">
        <v>3784473</v>
      </c>
      <c r="G1505" t="inlineStr">
        <is>
          <t>63.5-0-4-ERW 1-FC</t>
        </is>
      </c>
      <c r="H1505" t="n">
        <v>730.5119999999999</v>
      </c>
      <c r="I1505" t="inlineStr">
        <is>
          <t>CUT-O-N-AUT-BH-FC-63.50X4.000X0.2360</t>
        </is>
      </c>
      <c r="J1505" t="inlineStr">
        <is>
          <t>TVS</t>
        </is>
      </c>
      <c r="K1505" t="inlineStr">
        <is>
          <t>63.5-0-4-ERW 1-FC-0.236</t>
        </is>
      </c>
    </row>
    <row r="1506">
      <c r="A1506" t="inlineStr">
        <is>
          <t>0000189226</t>
        </is>
      </c>
      <c r="B1506" t="inlineStr">
        <is>
          <t>Neel Metal Products Limited</t>
        </is>
      </c>
      <c r="C1506" t="inlineStr">
        <is>
          <t>NOS</t>
        </is>
      </c>
      <c r="D1506" t="n">
        <v>680</v>
      </c>
      <c r="E1506" t="n">
        <v>160.477</v>
      </c>
      <c r="F1506" t="n">
        <v>3784473</v>
      </c>
      <c r="G1506" t="inlineStr">
        <is>
          <t>63.5-0-4-ERW 1-FC</t>
        </is>
      </c>
      <c r="H1506" t="n">
        <v>919.904</v>
      </c>
      <c r="I1506" t="inlineStr">
        <is>
          <t>CUT-O-N-AUT-BH-FC-63.50X4.000X0.2360</t>
        </is>
      </c>
      <c r="J1506" t="inlineStr">
        <is>
          <t>TVS</t>
        </is>
      </c>
      <c r="K1506" t="inlineStr">
        <is>
          <t>63.5-0-4-ERW 1-FC-0.236</t>
        </is>
      </c>
    </row>
    <row r="1507">
      <c r="A1507" t="inlineStr">
        <is>
          <t>0000189227</t>
        </is>
      </c>
      <c r="B1507" t="inlineStr">
        <is>
          <t>Neel Metal Products Limited</t>
        </is>
      </c>
      <c r="C1507" t="inlineStr">
        <is>
          <t>NOS</t>
        </is>
      </c>
      <c r="D1507" t="n">
        <v>1000</v>
      </c>
      <c r="E1507" t="n">
        <v>196</v>
      </c>
      <c r="F1507" t="n">
        <v>3781594</v>
      </c>
      <c r="G1507" t="inlineStr">
        <is>
          <t>48.6-0-3.5-ERW 1-FC</t>
        </is>
      </c>
      <c r="H1507" t="n">
        <v>762.989</v>
      </c>
      <c r="I1507" t="inlineStr">
        <is>
          <t>CUT-O-N-AUT-AW-FC-48.60X3.500X0.1960</t>
        </is>
      </c>
      <c r="J1507" t="inlineStr">
        <is>
          <t>TVS</t>
        </is>
      </c>
      <c r="K1507" t="inlineStr">
        <is>
          <t>48.6-0-3.5-ERW 1-FC-0.196</t>
        </is>
      </c>
    </row>
    <row r="1508">
      <c r="A1508" t="inlineStr">
        <is>
          <t>0000185254</t>
        </is>
      </c>
      <c r="B1508" t="inlineStr">
        <is>
          <t>LAXMI METAL PRESSING WORKS PVT LTD</t>
        </is>
      </c>
      <c r="C1508" t="inlineStr">
        <is>
          <t>NOS</t>
        </is>
      </c>
      <c r="D1508" t="n">
        <v>600</v>
      </c>
      <c r="E1508" t="n">
        <v>140.404</v>
      </c>
      <c r="F1508" t="n">
        <v>3746291</v>
      </c>
      <c r="G1508" t="inlineStr">
        <is>
          <t>63.5-0-4-ERW 1-FC</t>
        </is>
      </c>
      <c r="H1508" t="n">
        <v>804.84</v>
      </c>
      <c r="I1508" t="inlineStr">
        <is>
          <t>CUT-O-N-AUT-BH-FC-63.50X4.000X0.2340</t>
        </is>
      </c>
      <c r="J1508" t="inlineStr">
        <is>
          <t>TVS</t>
        </is>
      </c>
      <c r="K1508" t="inlineStr">
        <is>
          <t>63.5-0-4-ERW 1-FC-0.234</t>
        </is>
      </c>
    </row>
    <row r="1509">
      <c r="A1509" t="inlineStr">
        <is>
          <t>0000185254</t>
        </is>
      </c>
      <c r="B1509" t="inlineStr">
        <is>
          <t>LAXMI METAL PRESSING WORKS PVT LTD</t>
        </is>
      </c>
      <c r="C1509" t="inlineStr">
        <is>
          <t>NOS</t>
        </is>
      </c>
      <c r="D1509" t="n">
        <v>102.725</v>
      </c>
      <c r="E1509" t="n">
        <v>24.038</v>
      </c>
      <c r="F1509" t="n">
        <v>3746291</v>
      </c>
      <c r="G1509" t="inlineStr">
        <is>
          <t>63.5-0-4-ERW 1-FC</t>
        </is>
      </c>
      <c r="H1509" t="n">
        <v>137.795</v>
      </c>
      <c r="I1509" t="inlineStr">
        <is>
          <t>CUT-O-N-AUT-BH-FC-63.50X4.000X0.2340</t>
        </is>
      </c>
      <c r="J1509" t="inlineStr">
        <is>
          <t>TVS</t>
        </is>
      </c>
      <c r="K1509" t="inlineStr">
        <is>
          <t>63.5-0-4-ERW 1-FC-0.234</t>
        </is>
      </c>
    </row>
    <row r="1510">
      <c r="A1510" t="inlineStr">
        <is>
          <t>0000185254</t>
        </is>
      </c>
      <c r="B1510" t="inlineStr">
        <is>
          <t>LAXMI METAL PRESSING WORKS PVT LTD</t>
        </is>
      </c>
      <c r="C1510" t="inlineStr">
        <is>
          <t>NOS</t>
        </is>
      </c>
      <c r="D1510" t="n">
        <v>326.275</v>
      </c>
      <c r="E1510" t="n">
        <v>76.351</v>
      </c>
      <c r="F1510" t="n">
        <v>3746291</v>
      </c>
      <c r="G1510" t="inlineStr">
        <is>
          <t>63.5-0-4-ERW 1-FC</t>
        </is>
      </c>
      <c r="H1510" t="n">
        <v>437.665</v>
      </c>
      <c r="I1510" t="inlineStr">
        <is>
          <t>CUT-O-N-AUT-BH-FC-63.50X4.000X0.2340</t>
        </is>
      </c>
      <c r="J1510" t="inlineStr">
        <is>
          <t>TVS</t>
        </is>
      </c>
      <c r="K1510" t="inlineStr">
        <is>
          <t>63.5-0-4-ERW 1-FC-0.234</t>
        </is>
      </c>
    </row>
    <row r="1511">
      <c r="A1511" t="inlineStr">
        <is>
          <t>0000185254</t>
        </is>
      </c>
      <c r="B1511" t="inlineStr">
        <is>
          <t>LAXMI METAL PRESSING WORKS PVT LTD</t>
        </is>
      </c>
      <c r="C1511" t="inlineStr">
        <is>
          <t>NOS</t>
        </is>
      </c>
      <c r="D1511" t="n">
        <v>560</v>
      </c>
      <c r="E1511" t="n">
        <v>131.044</v>
      </c>
      <c r="F1511" t="n">
        <v>3746291</v>
      </c>
      <c r="G1511" t="inlineStr">
        <is>
          <t>63.5-0-4-ERW 1-FC</t>
        </is>
      </c>
      <c r="H1511" t="n">
        <v>751.184</v>
      </c>
      <c r="I1511" t="inlineStr">
        <is>
          <t>CUT-O-N-AUT-BH-FC-63.50X4.000X0.2340</t>
        </is>
      </c>
      <c r="J1511" t="inlineStr">
        <is>
          <t>TVS</t>
        </is>
      </c>
      <c r="K1511" t="inlineStr">
        <is>
          <t>63.5-0-4-ERW 1-FC-0.234</t>
        </is>
      </c>
    </row>
    <row r="1512">
      <c r="A1512" t="inlineStr">
        <is>
          <t>0000185254</t>
        </is>
      </c>
      <c r="B1512" t="inlineStr">
        <is>
          <t>LAXMI METAL PRESSING WORKS PVT LTD</t>
        </is>
      </c>
      <c r="C1512" t="inlineStr">
        <is>
          <t>NOS</t>
        </is>
      </c>
      <c r="D1512" t="n">
        <v>307.2</v>
      </c>
      <c r="E1512" t="n">
        <v>71.887</v>
      </c>
      <c r="F1512" t="n">
        <v>3746291</v>
      </c>
      <c r="G1512" t="inlineStr">
        <is>
          <t>63.5-0-4-ERW 1-FC</t>
        </is>
      </c>
      <c r="H1512" t="n">
        <v>412.078</v>
      </c>
      <c r="I1512" t="inlineStr">
        <is>
          <t>CUT-O-N-AUT-BH-FC-63.50X4.000X0.2340</t>
        </is>
      </c>
      <c r="J1512" t="inlineStr">
        <is>
          <t>TVS</t>
        </is>
      </c>
      <c r="K1512" t="inlineStr">
        <is>
          <t>63.5-0-4-ERW 1-FC-0.234</t>
        </is>
      </c>
    </row>
    <row r="1513">
      <c r="A1513" t="inlineStr">
        <is>
          <t>0000185254</t>
        </is>
      </c>
      <c r="B1513" t="inlineStr">
        <is>
          <t>LAXMI METAL PRESSING WORKS PVT LTD</t>
        </is>
      </c>
      <c r="C1513" t="inlineStr">
        <is>
          <t>NOS</t>
        </is>
      </c>
      <c r="D1513" t="n">
        <v>192.8</v>
      </c>
      <c r="E1513" t="n">
        <v>45.117</v>
      </c>
      <c r="F1513" t="n">
        <v>3746291</v>
      </c>
      <c r="G1513" t="inlineStr">
        <is>
          <t>63.5-0-4-ERW 1-FC</t>
        </is>
      </c>
      <c r="H1513" t="n">
        <v>258.622</v>
      </c>
      <c r="I1513" t="inlineStr">
        <is>
          <t>CUT-O-N-AUT-BH-FC-63.50X4.000X0.2340</t>
        </is>
      </c>
      <c r="J1513" t="inlineStr">
        <is>
          <t>TVS</t>
        </is>
      </c>
      <c r="K1513" t="inlineStr">
        <is>
          <t>63.5-0-4-ERW 1-FC-0.234</t>
        </is>
      </c>
    </row>
    <row r="1514">
      <c r="A1514" t="inlineStr">
        <is>
          <t>0000185254</t>
        </is>
      </c>
      <c r="B1514" t="inlineStr">
        <is>
          <t>LAXMI METAL PRESSING WORKS PVT LTD</t>
        </is>
      </c>
      <c r="C1514" t="inlineStr">
        <is>
          <t>NOS</t>
        </is>
      </c>
      <c r="D1514" t="n">
        <v>795</v>
      </c>
      <c r="E1514" t="n">
        <v>186.036</v>
      </c>
      <c r="F1514" t="n">
        <v>3746291</v>
      </c>
      <c r="G1514" t="inlineStr">
        <is>
          <t>63.5-0-4-ERW 1-FC</t>
        </is>
      </c>
      <c r="H1514" t="n">
        <v>1066.413</v>
      </c>
      <c r="I1514" t="inlineStr">
        <is>
          <t>CUT-O-N-AUT-BH-FC-63.50X4.000X0.2340</t>
        </is>
      </c>
      <c r="J1514" t="inlineStr">
        <is>
          <t>TVS</t>
        </is>
      </c>
      <c r="K1514" t="inlineStr">
        <is>
          <t>63.5-0-4-ERW 1-FC-0.234</t>
        </is>
      </c>
    </row>
    <row r="1515">
      <c r="A1515" t="inlineStr">
        <is>
          <t>0000185254</t>
        </is>
      </c>
      <c r="B1515" t="inlineStr">
        <is>
          <t>LAXMI METAL PRESSING WORKS PVT LTD</t>
        </is>
      </c>
      <c r="C1515" t="inlineStr">
        <is>
          <t>NOS</t>
        </is>
      </c>
      <c r="D1515" t="n">
        <v>100</v>
      </c>
      <c r="E1515" t="n">
        <v>23.401</v>
      </c>
      <c r="F1515" t="n">
        <v>3746291</v>
      </c>
      <c r="G1515" t="inlineStr">
        <is>
          <t>63.5-0-4-ERW 1-FC</t>
        </is>
      </c>
      <c r="H1515" t="n">
        <v>134.14</v>
      </c>
      <c r="I1515" t="inlineStr">
        <is>
          <t>CUT-O-N-AUT-BH-FC-63.50X4.000X0.2340</t>
        </is>
      </c>
      <c r="J1515" t="inlineStr">
        <is>
          <t>TVS</t>
        </is>
      </c>
      <c r="K1515" t="inlineStr">
        <is>
          <t>63.5-0-4-ERW 1-FC-0.234</t>
        </is>
      </c>
    </row>
    <row r="1516">
      <c r="A1516" t="inlineStr">
        <is>
          <t>0000185254</t>
        </is>
      </c>
      <c r="B1516" t="inlineStr">
        <is>
          <t>LAXMI METAL PRESSING WORKS PVT LTD</t>
        </is>
      </c>
      <c r="C1516" t="inlineStr">
        <is>
          <t>NOS</t>
        </is>
      </c>
      <c r="D1516" t="n">
        <v>300</v>
      </c>
      <c r="E1516" t="n">
        <v>78.90000000000001</v>
      </c>
      <c r="F1516" t="n">
        <v>4196298</v>
      </c>
      <c r="G1516" t="inlineStr">
        <is>
          <t>63.5-0-4-ERW 1-FC</t>
        </is>
      </c>
      <c r="H1516" t="n">
        <v>452.28</v>
      </c>
      <c r="I1516" t="inlineStr">
        <is>
          <t>CUT-O-N-AUT-BH-FC-63.50X4.000X0.2630</t>
        </is>
      </c>
      <c r="J1516" t="inlineStr">
        <is>
          <t>TVS</t>
        </is>
      </c>
      <c r="K1516" t="inlineStr">
        <is>
          <t>63.5-0-4-ERW 1-FC-0.263</t>
        </is>
      </c>
    </row>
    <row r="1517">
      <c r="A1517" t="inlineStr">
        <is>
          <t>0000185254</t>
        </is>
      </c>
      <c r="B1517" t="inlineStr">
        <is>
          <t>LAXMI METAL PRESSING WORKS PVT LTD</t>
        </is>
      </c>
      <c r="C1517" t="inlineStr">
        <is>
          <t>NOS</t>
        </is>
      </c>
      <c r="D1517" t="n">
        <v>220</v>
      </c>
      <c r="E1517" t="n">
        <v>57.86</v>
      </c>
      <c r="F1517" t="n">
        <v>4196298</v>
      </c>
      <c r="G1517" t="inlineStr">
        <is>
          <t>63.5-0-4-ERW 1-FC</t>
        </is>
      </c>
      <c r="H1517" t="n">
        <v>331.672</v>
      </c>
      <c r="I1517" t="inlineStr">
        <is>
          <t>CUT-O-N-AUT-BH-FC-63.50X4.000X0.2630</t>
        </is>
      </c>
      <c r="J1517" t="inlineStr">
        <is>
          <t>TVS</t>
        </is>
      </c>
      <c r="K1517" t="inlineStr">
        <is>
          <t>63.5-0-4-ERW 1-FC-0.263</t>
        </is>
      </c>
    </row>
    <row r="1518">
      <c r="A1518" t="inlineStr">
        <is>
          <t>0000185254</t>
        </is>
      </c>
      <c r="B1518" t="inlineStr">
        <is>
          <t>LAXMI METAL PRESSING WORKS PVT LTD</t>
        </is>
      </c>
      <c r="C1518" t="inlineStr">
        <is>
          <t>NOS</t>
        </is>
      </c>
      <c r="D1518" t="n">
        <v>550</v>
      </c>
      <c r="E1518" t="n">
        <v>144.65</v>
      </c>
      <c r="F1518" t="n">
        <v>4196298</v>
      </c>
      <c r="G1518" t="inlineStr">
        <is>
          <t>63.5-0-4-ERW 1-FC</t>
        </is>
      </c>
      <c r="H1518" t="n">
        <v>829.1799999999999</v>
      </c>
      <c r="I1518" t="inlineStr">
        <is>
          <t>CUT-O-N-AUT-BH-FC-63.50X4.000X0.2630</t>
        </is>
      </c>
      <c r="J1518" t="inlineStr">
        <is>
          <t>TVS</t>
        </is>
      </c>
      <c r="K1518" t="inlineStr">
        <is>
          <t>63.5-0-4-ERW 1-FC-0.263</t>
        </is>
      </c>
    </row>
    <row r="1519">
      <c r="A1519" t="inlineStr">
        <is>
          <t>0000185254</t>
        </is>
      </c>
      <c r="B1519" t="inlineStr">
        <is>
          <t>LAXMI METAL PRESSING WORKS PVT LTD</t>
        </is>
      </c>
      <c r="C1519" t="inlineStr">
        <is>
          <t>NOS</t>
        </is>
      </c>
      <c r="D1519" t="n">
        <v>377</v>
      </c>
      <c r="E1519" t="n">
        <v>319.321</v>
      </c>
      <c r="F1519" t="n">
        <v>3781664</v>
      </c>
      <c r="G1519" t="inlineStr">
        <is>
          <t>50-50-1.6-ERW 2-PE</t>
        </is>
      </c>
      <c r="H1519" t="n">
        <v>733.001</v>
      </c>
      <c r="I1519" t="inlineStr">
        <is>
          <t>CUT-S-AW-SHS-50.00X50.00X1.600X0.8470</t>
        </is>
      </c>
      <c r="J1519" t="inlineStr">
        <is>
          <t>TVS</t>
        </is>
      </c>
      <c r="K1519" t="inlineStr">
        <is>
          <t>50-50-1.6-ERW 2-PE-0.847</t>
        </is>
      </c>
    </row>
    <row r="1520">
      <c r="A1520" t="inlineStr">
        <is>
          <t>0000185254</t>
        </is>
      </c>
      <c r="B1520" t="inlineStr">
        <is>
          <t>LAXMI METAL PRESSING WORKS PVT LTD</t>
        </is>
      </c>
      <c r="C1520" t="inlineStr">
        <is>
          <t>NOS</t>
        </is>
      </c>
      <c r="D1520" t="n">
        <v>631</v>
      </c>
      <c r="E1520" t="n">
        <v>534.46</v>
      </c>
      <c r="F1520" t="n">
        <v>3781664</v>
      </c>
      <c r="G1520" t="inlineStr">
        <is>
          <t>50-50-1.6-ERW 2-PE</t>
        </is>
      </c>
      <c r="H1520" t="n">
        <v>1226.853</v>
      </c>
      <c r="I1520" t="inlineStr">
        <is>
          <t>CUT-S-AW-SHS-50.00X50.00X1.600X0.8470</t>
        </is>
      </c>
      <c r="J1520" t="inlineStr">
        <is>
          <t>TVS</t>
        </is>
      </c>
      <c r="K1520" t="inlineStr">
        <is>
          <t>50-50-1.6-ERW 2-PE-0.847</t>
        </is>
      </c>
    </row>
    <row r="1521">
      <c r="A1521" t="inlineStr">
        <is>
          <t>0000189226</t>
        </is>
      </c>
      <c r="B1521" t="inlineStr">
        <is>
          <t>Neel Metal Products Limited</t>
        </is>
      </c>
      <c r="C1521" t="inlineStr">
        <is>
          <t>NOS</t>
        </is>
      </c>
      <c r="D1521" t="n">
        <v>2542</v>
      </c>
      <c r="E1521" t="n">
        <v>599.62</v>
      </c>
      <c r="F1521" t="n">
        <v>2429059</v>
      </c>
      <c r="G1521" t="inlineStr">
        <is>
          <t>63.5-0-4-ERW 1-FC</t>
        </is>
      </c>
      <c r="H1521" t="n">
        <v>3520.67</v>
      </c>
      <c r="I1521" t="inlineStr">
        <is>
          <t>TUB-O-N-AUT-AN-FC-63.50X4.000X0.2360</t>
        </is>
      </c>
      <c r="J1521" t="inlineStr">
        <is>
          <t>TVS</t>
        </is>
      </c>
      <c r="K1521" t="inlineStr">
        <is>
          <t>63.5-0-4-ERW 1-FC-0.236</t>
        </is>
      </c>
    </row>
    <row r="1522">
      <c r="A1522" t="inlineStr">
        <is>
          <t>0000189240</t>
        </is>
      </c>
      <c r="B1522" t="inlineStr">
        <is>
          <t>Rajsriya Automotive Ind Pvt Ltd.</t>
        </is>
      </c>
      <c r="C1522" t="inlineStr">
        <is>
          <t>NOS</t>
        </is>
      </c>
      <c r="D1522" t="n">
        <v>3940</v>
      </c>
      <c r="E1522" t="n">
        <v>853.611</v>
      </c>
      <c r="F1522" t="n">
        <v>1939544</v>
      </c>
      <c r="G1522" t="inlineStr">
        <is>
          <t>25.4-0-2.5-CEW-CEW</t>
        </is>
      </c>
      <c r="H1522" t="n">
        <v>1205.64</v>
      </c>
      <c r="I1522" t="inlineStr">
        <is>
          <t>TUB-O-C-CEW-AD-FC-25.40X2.500X0.2170</t>
        </is>
      </c>
      <c r="J1522" t="inlineStr">
        <is>
          <t>TVS</t>
        </is>
      </c>
      <c r="K1522" t="inlineStr">
        <is>
          <t>25.4-0-2.5-CEW-CEW-0.217</t>
        </is>
      </c>
    </row>
    <row r="1523">
      <c r="A1523" t="inlineStr">
        <is>
          <t>0000187884</t>
        </is>
      </c>
      <c r="B1523" t="inlineStr">
        <is>
          <t>Rajsriya Automotive Ind.P.Ltd Unit-</t>
        </is>
      </c>
      <c r="C1523" t="inlineStr">
        <is>
          <t>NOS</t>
        </is>
      </c>
      <c r="D1523" t="n">
        <v>480</v>
      </c>
      <c r="E1523" t="n">
        <v>282.42</v>
      </c>
      <c r="F1523" t="n">
        <v>1938191</v>
      </c>
      <c r="G1523" t="inlineStr">
        <is>
          <t>19-12.5-3.25-CEW-CEW</t>
        </is>
      </c>
      <c r="H1523" t="n">
        <v>356.64</v>
      </c>
      <c r="I1523" t="inlineStr">
        <is>
          <t>TUB-I-C-AUT-AD-FC-12.50X3.250X0.5880</t>
        </is>
      </c>
      <c r="J1523" t="inlineStr">
        <is>
          <t>TVS</t>
        </is>
      </c>
      <c r="K1523" t="inlineStr">
        <is>
          <t>19-12.5-3.25-CEW-CEW-0.588</t>
        </is>
      </c>
    </row>
    <row r="1524">
      <c r="A1524" t="inlineStr">
        <is>
          <t>0000187884</t>
        </is>
      </c>
      <c r="B1524" t="inlineStr">
        <is>
          <t>Rajsriya Automotive Ind.P.Ltd Unit-</t>
        </is>
      </c>
      <c r="C1524" t="inlineStr">
        <is>
          <t>NOS</t>
        </is>
      </c>
      <c r="D1524" t="n">
        <v>1470.17</v>
      </c>
      <c r="E1524" t="n">
        <v>865.011</v>
      </c>
      <c r="F1524" t="n">
        <v>1938191</v>
      </c>
      <c r="G1524" t="inlineStr">
        <is>
          <t>19-12.5-3.25-CEW-CEW</t>
        </is>
      </c>
      <c r="H1524" t="n">
        <v>1092.336</v>
      </c>
      <c r="I1524" t="inlineStr">
        <is>
          <t>TUB-I-C-AUT-AD-FC-12.50X3.250X0.5880</t>
        </is>
      </c>
      <c r="J1524" t="inlineStr">
        <is>
          <t>TVS</t>
        </is>
      </c>
      <c r="K1524" t="inlineStr">
        <is>
          <t>19-12.5-3.25-CEW-CEW-0.588</t>
        </is>
      </c>
    </row>
    <row r="1525">
      <c r="A1525" t="inlineStr">
        <is>
          <t>0000187884</t>
        </is>
      </c>
      <c r="B1525" t="inlineStr">
        <is>
          <t>Rajsriya Automotive Ind.P.Ltd Unit-</t>
        </is>
      </c>
      <c r="C1525" t="inlineStr">
        <is>
          <t>NOS</t>
        </is>
      </c>
      <c r="D1525" t="n">
        <v>49.83</v>
      </c>
      <c r="E1525" t="n">
        <v>29.319</v>
      </c>
      <c r="F1525" t="n">
        <v>1938191</v>
      </c>
      <c r="G1525" t="inlineStr">
        <is>
          <t>19-12.5-3.25-CEW-CEW</t>
        </is>
      </c>
      <c r="H1525" t="n">
        <v>37.024</v>
      </c>
      <c r="I1525" t="inlineStr">
        <is>
          <t>TUB-I-C-AUT-AD-FC-12.50X3.250X0.5880</t>
        </is>
      </c>
      <c r="J1525" t="inlineStr">
        <is>
          <t>TVS</t>
        </is>
      </c>
      <c r="K1525" t="inlineStr">
        <is>
          <t>19-12.5-3.25-CEW-CEW-0.588</t>
        </is>
      </c>
    </row>
    <row r="1526">
      <c r="A1526" t="inlineStr">
        <is>
          <t>0000189227</t>
        </is>
      </c>
      <c r="B1526" t="inlineStr">
        <is>
          <t>Neel Metal Products Limited</t>
        </is>
      </c>
      <c r="C1526" t="inlineStr">
        <is>
          <t>NOS</t>
        </is>
      </c>
      <c r="D1526" t="n">
        <v>1660.732</v>
      </c>
      <c r="E1526" t="n">
        <v>325.504</v>
      </c>
      <c r="F1526" t="n">
        <v>3781594</v>
      </c>
      <c r="G1526" t="inlineStr">
        <is>
          <t>48.6-0-3.5-ERW 1-FC</t>
        </is>
      </c>
      <c r="H1526" t="n">
        <v>1267.12</v>
      </c>
      <c r="I1526" t="inlineStr">
        <is>
          <t>CUT-O-N-AUT-AW-FC-48.60X3.500X0.1960</t>
        </is>
      </c>
      <c r="J1526" t="inlineStr">
        <is>
          <t>TVS</t>
        </is>
      </c>
      <c r="K1526" t="inlineStr">
        <is>
          <t>48.6-0-3.5-ERW 1-FC-0.196</t>
        </is>
      </c>
    </row>
    <row r="1527">
      <c r="A1527" t="inlineStr">
        <is>
          <t>0000189227</t>
        </is>
      </c>
      <c r="B1527" t="inlineStr">
        <is>
          <t>Neel Metal Products Limited</t>
        </is>
      </c>
      <c r="C1527" t="inlineStr">
        <is>
          <t>NOS</t>
        </is>
      </c>
      <c r="D1527" t="n">
        <v>469.268</v>
      </c>
      <c r="E1527" t="n">
        <v>91.977</v>
      </c>
      <c r="F1527" t="n">
        <v>3781594</v>
      </c>
      <c r="G1527" t="inlineStr">
        <is>
          <t>48.6-0-3.5-ERW 1-FC</t>
        </is>
      </c>
      <c r="H1527" t="n">
        <v>358.046</v>
      </c>
      <c r="I1527" t="inlineStr">
        <is>
          <t>CUT-O-N-AUT-AW-FC-48.60X3.500X0.1960</t>
        </is>
      </c>
      <c r="J1527" t="inlineStr">
        <is>
          <t>TVS</t>
        </is>
      </c>
      <c r="K1527" t="inlineStr">
        <is>
          <t>48.6-0-3.5-ERW 1-FC-0.196</t>
        </is>
      </c>
    </row>
    <row r="1528">
      <c r="A1528" t="inlineStr">
        <is>
          <t>0000189002</t>
        </is>
      </c>
      <c r="B1528" t="inlineStr">
        <is>
          <t>Marathwada Auto Compo Pvt. Ltd.</t>
        </is>
      </c>
      <c r="C1528" t="inlineStr">
        <is>
          <t>NOS</t>
        </is>
      </c>
      <c r="D1528" t="n">
        <v>2293.992</v>
      </c>
      <c r="E1528" t="n">
        <v>1112.518</v>
      </c>
      <c r="F1528" t="n">
        <v>2359755</v>
      </c>
      <c r="G1528" t="inlineStr">
        <is>
          <t>30-25.5-2.25-CEW-CEW</t>
        </is>
      </c>
      <c r="H1528" t="n">
        <v>1713.612</v>
      </c>
      <c r="I1528" t="inlineStr">
        <is>
          <t>TUB-O-C-AUT-AD-FC-30.00X2.250X0.4850</t>
        </is>
      </c>
      <c r="J1528" t="inlineStr">
        <is>
          <t>TVS</t>
        </is>
      </c>
      <c r="K1528" t="inlineStr">
        <is>
          <t>30-25.5-2.25-CEW-CEW-0.485</t>
        </is>
      </c>
    </row>
    <row r="1529">
      <c r="A1529" t="inlineStr">
        <is>
          <t>0000189002</t>
        </is>
      </c>
      <c r="B1529" t="inlineStr">
        <is>
          <t>Marathwada Auto Compo Pvt. Ltd.</t>
        </is>
      </c>
      <c r="C1529" t="inlineStr">
        <is>
          <t>NOS</t>
        </is>
      </c>
      <c r="D1529" t="n">
        <v>1706.008</v>
      </c>
      <c r="E1529" t="n">
        <v>827.3630000000001</v>
      </c>
      <c r="F1529" t="n">
        <v>2359755</v>
      </c>
      <c r="G1529" t="inlineStr">
        <is>
          <t>30-25.5-2.25-CEW-CEW</t>
        </is>
      </c>
      <c r="H1529" t="n">
        <v>1274.388</v>
      </c>
      <c r="I1529" t="inlineStr">
        <is>
          <t>TUB-O-C-AUT-AD-FC-30.00X2.250X0.4850</t>
        </is>
      </c>
      <c r="J1529" t="inlineStr">
        <is>
          <t>TVS</t>
        </is>
      </c>
      <c r="K1529" t="inlineStr">
        <is>
          <t>30-25.5-2.25-CEW-CEW-0.485</t>
        </is>
      </c>
    </row>
    <row r="1530">
      <c r="A1530" t="inlineStr">
        <is>
          <t>0000185254</t>
        </is>
      </c>
      <c r="B1530" t="inlineStr">
        <is>
          <t>LAXMI METAL PRESSING WORKS PVT LTD</t>
        </is>
      </c>
      <c r="C1530" t="inlineStr">
        <is>
          <t>NOS</t>
        </is>
      </c>
      <c r="D1530" t="n">
        <v>1325.158</v>
      </c>
      <c r="E1530" t="n">
        <v>360.407</v>
      </c>
      <c r="F1530" t="n">
        <v>3228788</v>
      </c>
      <c r="G1530" t="inlineStr">
        <is>
          <t>20-17.16-1.42-CEW-CEW</t>
        </is>
      </c>
      <c r="H1530" t="n">
        <v>234.553</v>
      </c>
      <c r="I1530" t="inlineStr">
        <is>
          <t>TUB-O-C-AUT-AD-FC-20.00X1.420X0.2730</t>
        </is>
      </c>
      <c r="J1530" t="inlineStr">
        <is>
          <t>TVS</t>
        </is>
      </c>
      <c r="K1530" t="inlineStr">
        <is>
          <t>20-17.16-1.42-CEW-CEW-0.273</t>
        </is>
      </c>
    </row>
    <row r="1531">
      <c r="A1531" t="inlineStr">
        <is>
          <t>0000185254</t>
        </is>
      </c>
      <c r="B1531" t="inlineStr">
        <is>
          <t>LAXMI METAL PRESSING WORKS PVT LTD</t>
        </is>
      </c>
      <c r="C1531" t="inlineStr">
        <is>
          <t>NOS</t>
        </is>
      </c>
      <c r="D1531" t="n">
        <v>93.48</v>
      </c>
      <c r="E1531" t="n">
        <v>25.424</v>
      </c>
      <c r="F1531" t="n">
        <v>3228788</v>
      </c>
      <c r="G1531" t="inlineStr">
        <is>
          <t>20-17.16-1.42-CEW-CEW</t>
        </is>
      </c>
      <c r="H1531" t="n">
        <v>16.546</v>
      </c>
      <c r="I1531" t="inlineStr">
        <is>
          <t>TUB-O-C-AUT-AD-FC-20.00X1.420X0.2730</t>
        </is>
      </c>
      <c r="J1531" t="inlineStr">
        <is>
          <t>TVS</t>
        </is>
      </c>
      <c r="K1531" t="inlineStr">
        <is>
          <t>20-17.16-1.42-CEW-CEW-0.273</t>
        </is>
      </c>
    </row>
    <row r="1532">
      <c r="A1532" t="inlineStr">
        <is>
          <t>0000185254</t>
        </is>
      </c>
      <c r="B1532" t="inlineStr">
        <is>
          <t>LAXMI METAL PRESSING WORKS PVT LTD</t>
        </is>
      </c>
      <c r="C1532" t="inlineStr">
        <is>
          <t>NOS</t>
        </is>
      </c>
      <c r="D1532" t="n">
        <v>779.525</v>
      </c>
      <c r="E1532" t="n">
        <v>212.01</v>
      </c>
      <c r="F1532" t="n">
        <v>3228788</v>
      </c>
      <c r="G1532" t="inlineStr">
        <is>
          <t>20-17.16-1.42-CEW-CEW</t>
        </is>
      </c>
      <c r="H1532" t="n">
        <v>137.976</v>
      </c>
      <c r="I1532" t="inlineStr">
        <is>
          <t>TUB-O-C-AUT-AD-FC-20.00X1.420X0.2730</t>
        </is>
      </c>
      <c r="J1532" t="inlineStr">
        <is>
          <t>TVS</t>
        </is>
      </c>
      <c r="K1532" t="inlineStr">
        <is>
          <t>20-17.16-1.42-CEW-CEW-0.273</t>
        </is>
      </c>
    </row>
    <row r="1533">
      <c r="A1533" t="inlineStr">
        <is>
          <t>0000185254</t>
        </is>
      </c>
      <c r="B1533" t="inlineStr">
        <is>
          <t>LAXMI METAL PRESSING WORKS PVT LTD</t>
        </is>
      </c>
      <c r="C1533" t="inlineStr">
        <is>
          <t>NOS</t>
        </is>
      </c>
      <c r="D1533" t="n">
        <v>2752.102</v>
      </c>
      <c r="E1533" t="n">
        <v>748.497</v>
      </c>
      <c r="F1533" t="n">
        <v>3228788</v>
      </c>
      <c r="G1533" t="inlineStr">
        <is>
          <t>20-17.16-1.42-CEW-CEW</t>
        </is>
      </c>
      <c r="H1533" t="n">
        <v>487.122</v>
      </c>
      <c r="I1533" t="inlineStr">
        <is>
          <t>TUB-O-C-AUT-AD-FC-20.00X1.420X0.2730</t>
        </is>
      </c>
      <c r="J1533" t="inlineStr">
        <is>
          <t>TVS</t>
        </is>
      </c>
      <c r="K1533" t="inlineStr">
        <is>
          <t>20-17.16-1.42-CEW-CEW-0.273</t>
        </is>
      </c>
    </row>
    <row r="1534">
      <c r="A1534" t="inlineStr">
        <is>
          <t>0000185254</t>
        </is>
      </c>
      <c r="B1534" t="inlineStr">
        <is>
          <t>LAXMI METAL PRESSING WORKS PVT LTD</t>
        </is>
      </c>
      <c r="C1534" t="inlineStr">
        <is>
          <t>NOS</t>
        </is>
      </c>
      <c r="D1534" t="n">
        <v>1049.735</v>
      </c>
      <c r="E1534" t="n">
        <v>285.5</v>
      </c>
      <c r="F1534" t="n">
        <v>3228788</v>
      </c>
      <c r="G1534" t="inlineStr">
        <is>
          <t>20-17.16-1.42-CEW-CEW</t>
        </is>
      </c>
      <c r="H1534" t="n">
        <v>185.803</v>
      </c>
      <c r="I1534" t="inlineStr">
        <is>
          <t>TUB-O-C-AUT-AD-FC-20.00X1.420X0.2730</t>
        </is>
      </c>
      <c r="J1534" t="inlineStr">
        <is>
          <t>TVS</t>
        </is>
      </c>
      <c r="K1534" t="inlineStr">
        <is>
          <t>20-17.16-1.42-CEW-CEW-0.273</t>
        </is>
      </c>
    </row>
    <row r="1535">
      <c r="A1535" t="inlineStr">
        <is>
          <t>0000185254</t>
        </is>
      </c>
      <c r="B1535" t="inlineStr">
        <is>
          <t>LAXMI METAL PRESSING WORKS PVT LTD</t>
        </is>
      </c>
      <c r="C1535" t="inlineStr">
        <is>
          <t>NOS</t>
        </is>
      </c>
      <c r="D1535" t="n">
        <v>99.917</v>
      </c>
      <c r="E1535" t="n">
        <v>84.63</v>
      </c>
      <c r="F1535" t="n">
        <v>3781664</v>
      </c>
      <c r="G1535" t="inlineStr">
        <is>
          <t>50-50-1.6-ERW 2-PE</t>
        </is>
      </c>
      <c r="H1535" t="n">
        <v>194.269</v>
      </c>
      <c r="I1535" t="inlineStr">
        <is>
          <t>CUT-S-AW-SHS-50.00X50.00X1.600X0.8470</t>
        </is>
      </c>
      <c r="J1535" t="inlineStr">
        <is>
          <t>TVS</t>
        </is>
      </c>
      <c r="K1535" t="inlineStr">
        <is>
          <t>50-50-1.6-ERW 2-PE-0.847</t>
        </is>
      </c>
    </row>
    <row r="1536">
      <c r="A1536" t="inlineStr">
        <is>
          <t>0000185254</t>
        </is>
      </c>
      <c r="B1536" t="inlineStr">
        <is>
          <t>LAXMI METAL PRESSING WORKS PVT LTD</t>
        </is>
      </c>
      <c r="C1536" t="inlineStr">
        <is>
          <t>NOS</t>
        </is>
      </c>
      <c r="D1536" t="n">
        <v>453.888</v>
      </c>
      <c r="E1536" t="n">
        <v>384.445</v>
      </c>
      <c r="F1536" t="n">
        <v>3781664</v>
      </c>
      <c r="G1536" t="inlineStr">
        <is>
          <t>50-50-1.6-ERW 2-PE</t>
        </is>
      </c>
      <c r="H1536" t="n">
        <v>882.494</v>
      </c>
      <c r="I1536" t="inlineStr">
        <is>
          <t>CUT-S-AW-SHS-50.00X50.00X1.600X0.8470</t>
        </is>
      </c>
      <c r="J1536" t="inlineStr">
        <is>
          <t>TVS</t>
        </is>
      </c>
      <c r="K1536" t="inlineStr">
        <is>
          <t>50-50-1.6-ERW 2-PE-0.847</t>
        </is>
      </c>
    </row>
    <row r="1537">
      <c r="A1537" t="inlineStr">
        <is>
          <t>0000185254</t>
        </is>
      </c>
      <c r="B1537" t="inlineStr">
        <is>
          <t>LAXMI METAL PRESSING WORKS PVT LTD</t>
        </is>
      </c>
      <c r="C1537" t="inlineStr">
        <is>
          <t>NOS</t>
        </is>
      </c>
      <c r="D1537" t="n">
        <v>553.1950000000001</v>
      </c>
      <c r="E1537" t="n">
        <v>468.559</v>
      </c>
      <c r="F1537" t="n">
        <v>3781664</v>
      </c>
      <c r="G1537" t="inlineStr">
        <is>
          <t>50-50-1.6-ERW 2-PE</t>
        </is>
      </c>
      <c r="H1537" t="n">
        <v>1075.577</v>
      </c>
      <c r="I1537" t="inlineStr">
        <is>
          <t>CUT-S-AW-SHS-50.00X50.00X1.600X0.8470</t>
        </is>
      </c>
      <c r="J1537" t="inlineStr">
        <is>
          <t>TVS</t>
        </is>
      </c>
      <c r="K1537" t="inlineStr">
        <is>
          <t>50-50-1.6-ERW 2-PE-0.847</t>
        </is>
      </c>
    </row>
    <row r="1538">
      <c r="A1538" t="inlineStr">
        <is>
          <t>0000185254</t>
        </is>
      </c>
      <c r="B1538" t="inlineStr">
        <is>
          <t>LAXMI METAL PRESSING WORKS PVT LTD</t>
        </is>
      </c>
      <c r="C1538" t="inlineStr">
        <is>
          <t>NOS</t>
        </is>
      </c>
      <c r="D1538" t="n">
        <v>555</v>
      </c>
      <c r="E1538" t="n">
        <v>129.874</v>
      </c>
      <c r="F1538" t="n">
        <v>3746291</v>
      </c>
      <c r="G1538" t="inlineStr">
        <is>
          <t>63.5-0-4-ERW 1-FC</t>
        </is>
      </c>
      <c r="H1538" t="n">
        <v>744.477</v>
      </c>
      <c r="I1538" t="inlineStr">
        <is>
          <t>CUT-O-N-AUT-BH-FC-63.50X4.000X0.2340</t>
        </is>
      </c>
      <c r="J1538" t="inlineStr">
        <is>
          <t>TVS</t>
        </is>
      </c>
      <c r="K1538" t="inlineStr">
        <is>
          <t>63.5-0-4-ERW 1-FC-0.234</t>
        </is>
      </c>
    </row>
    <row r="1539">
      <c r="A1539" t="inlineStr">
        <is>
          <t>0000185254</t>
        </is>
      </c>
      <c r="B1539" t="inlineStr">
        <is>
          <t>LAXMI METAL PRESSING WORKS PVT LTD</t>
        </is>
      </c>
      <c r="C1539" t="inlineStr">
        <is>
          <t>NOS</t>
        </is>
      </c>
      <c r="D1539" t="n">
        <v>35</v>
      </c>
      <c r="E1539" t="n">
        <v>9.205</v>
      </c>
      <c r="F1539" t="n">
        <v>4196298</v>
      </c>
      <c r="G1539" t="inlineStr">
        <is>
          <t>63.5-0-4-ERW 1-FC</t>
        </is>
      </c>
      <c r="H1539" t="n">
        <v>52.766</v>
      </c>
      <c r="I1539" t="inlineStr">
        <is>
          <t>CUT-O-N-AUT-BH-FC-63.50X4.000X0.2630</t>
        </is>
      </c>
      <c r="J1539" t="inlineStr">
        <is>
          <t>TVS</t>
        </is>
      </c>
      <c r="K1539" t="inlineStr">
        <is>
          <t>63.5-0-4-ERW 1-FC-0.263</t>
        </is>
      </c>
    </row>
    <row r="1540">
      <c r="A1540" t="inlineStr">
        <is>
          <t>0000948721</t>
        </is>
      </c>
      <c r="B1540" t="inlineStr">
        <is>
          <t>ELKAYEM AUTO ANCILLARIES PRIVATE LI</t>
        </is>
      </c>
      <c r="C1540" t="inlineStr">
        <is>
          <t>NOS</t>
        </is>
      </c>
      <c r="D1540" t="n">
        <v>1347</v>
      </c>
      <c r="E1540" t="n">
        <v>478.321</v>
      </c>
      <c r="F1540" t="n">
        <v>1940588</v>
      </c>
      <c r="G1540" t="inlineStr">
        <is>
          <t>25.4-0-2-ERW 1-FC</t>
        </is>
      </c>
      <c r="H1540" t="n">
        <v>552.27</v>
      </c>
      <c r="I1540" t="inlineStr">
        <is>
          <t>TUB-O-O-AUT-AW-FC-25.40X2.000X0.3550</t>
        </is>
      </c>
      <c r="J1540" t="inlineStr">
        <is>
          <t>TVS</t>
        </is>
      </c>
      <c r="K1540" t="inlineStr">
        <is>
          <t>25.4-0-2-ERW 1-FC-0.355</t>
        </is>
      </c>
    </row>
    <row r="1541">
      <c r="A1541" t="inlineStr">
        <is>
          <t>0000948721</t>
        </is>
      </c>
      <c r="B1541" t="inlineStr">
        <is>
          <t>ELKAYEM AUTO ANCILLARIES PRIVATE LI</t>
        </is>
      </c>
      <c r="C1541" t="inlineStr">
        <is>
          <t>NOS</t>
        </is>
      </c>
      <c r="D1541" t="n">
        <v>613.151</v>
      </c>
      <c r="E1541" t="n">
        <v>217.731</v>
      </c>
      <c r="F1541" t="n">
        <v>1940588</v>
      </c>
      <c r="G1541" t="inlineStr">
        <is>
          <t>25.4-0-2-ERW 1-FC</t>
        </is>
      </c>
      <c r="H1541" t="n">
        <v>251.392</v>
      </c>
      <c r="I1541" t="inlineStr">
        <is>
          <t>TUB-O-O-AUT-AW-FC-25.40X2.000X0.3550</t>
        </is>
      </c>
      <c r="J1541" t="inlineStr">
        <is>
          <t>TVS</t>
        </is>
      </c>
      <c r="K1541" t="inlineStr">
        <is>
          <t>25.4-0-2-ERW 1-FC-0.355</t>
        </is>
      </c>
    </row>
    <row r="1542">
      <c r="A1542" t="inlineStr">
        <is>
          <t>0000948721</t>
        </is>
      </c>
      <c r="B1542" t="inlineStr">
        <is>
          <t>ELKAYEM AUTO ANCILLARIES PRIVATE LI</t>
        </is>
      </c>
      <c r="C1542" t="inlineStr">
        <is>
          <t>NOS</t>
        </is>
      </c>
      <c r="D1542" t="n">
        <v>3039.849</v>
      </c>
      <c r="E1542" t="n">
        <v>1079.454</v>
      </c>
      <c r="F1542" t="n">
        <v>1940588</v>
      </c>
      <c r="G1542" t="inlineStr">
        <is>
          <t>25.4-0-2-ERW 1-FC</t>
        </is>
      </c>
      <c r="H1542" t="n">
        <v>1246.338</v>
      </c>
      <c r="I1542" t="inlineStr">
        <is>
          <t>TUB-O-O-AUT-AW-FC-25.40X2.000X0.3550</t>
        </is>
      </c>
      <c r="J1542" t="inlineStr">
        <is>
          <t>TVS</t>
        </is>
      </c>
      <c r="K1542" t="inlineStr">
        <is>
          <t>25.4-0-2-ERW 1-FC-0.355</t>
        </is>
      </c>
    </row>
    <row r="1543">
      <c r="A1543" t="inlineStr">
        <is>
          <t>0000948721</t>
        </is>
      </c>
      <c r="B1543" t="inlineStr">
        <is>
          <t>ELKAYEM AUTO ANCILLARIES PRIVATE LI</t>
        </is>
      </c>
      <c r="C1543" t="inlineStr">
        <is>
          <t>NOS</t>
        </is>
      </c>
      <c r="D1543" t="n">
        <v>560</v>
      </c>
      <c r="E1543" t="n">
        <v>231.887</v>
      </c>
      <c r="F1543" t="n">
        <v>3598957</v>
      </c>
      <c r="G1543" t="inlineStr">
        <is>
          <t>28.58-0-1.6-ERW 1-FC</t>
        </is>
      </c>
      <c r="H1543" t="n">
        <v>246.96</v>
      </c>
      <c r="I1543" t="inlineStr">
        <is>
          <t>TUB-O-N-AUT-AW-FC-28.58X1.600X0.4140</t>
        </is>
      </c>
      <c r="J1543" t="inlineStr">
        <is>
          <t>TVS</t>
        </is>
      </c>
      <c r="K1543" t="inlineStr">
        <is>
          <t>28.58-0-1.6-ERW 1-FC-0.414</t>
        </is>
      </c>
    </row>
    <row r="1544">
      <c r="A1544" t="inlineStr">
        <is>
          <t>0000952904</t>
        </is>
      </c>
      <c r="B1544" t="inlineStr">
        <is>
          <t>ELKAYEM AUTO ANCILLARIES PRIVATE LI</t>
        </is>
      </c>
      <c r="C1544" t="inlineStr">
        <is>
          <t>NOS</t>
        </is>
      </c>
      <c r="D1544" t="n">
        <v>207.828</v>
      </c>
      <c r="E1544" t="n">
        <v>98.718</v>
      </c>
      <c r="F1544" t="n">
        <v>1940626</v>
      </c>
      <c r="G1544" t="inlineStr">
        <is>
          <t>28.58-0-2-ERW 1-FC</t>
        </is>
      </c>
      <c r="H1544" t="n">
        <v>126.468</v>
      </c>
      <c r="I1544" t="inlineStr">
        <is>
          <t>TUB-O-O-AUT-AW-FC-28.58X2.000X0.4750</t>
        </is>
      </c>
      <c r="J1544" t="inlineStr">
        <is>
          <t>TVS</t>
        </is>
      </c>
      <c r="K1544" t="inlineStr">
        <is>
          <t>28.58-0-2-ERW 1-FC-0.475</t>
        </is>
      </c>
    </row>
    <row r="1545">
      <c r="A1545" t="inlineStr">
        <is>
          <t>0000952904</t>
        </is>
      </c>
      <c r="B1545" t="inlineStr">
        <is>
          <t>ELKAYEM AUTO ANCILLARIES PRIVATE LI</t>
        </is>
      </c>
      <c r="C1545" t="inlineStr">
        <is>
          <t>NOS</t>
        </is>
      </c>
      <c r="D1545" t="n">
        <v>659.999</v>
      </c>
      <c r="E1545" t="n">
        <v>313.499</v>
      </c>
      <c r="F1545" t="n">
        <v>1940626</v>
      </c>
      <c r="G1545" t="inlineStr">
        <is>
          <t>28.58-0-2-ERW 1-FC</t>
        </is>
      </c>
      <c r="H1545" t="n">
        <v>401.624</v>
      </c>
      <c r="I1545" t="inlineStr">
        <is>
          <t>TUB-O-O-AUT-AW-FC-28.58X2.000X0.4750</t>
        </is>
      </c>
      <c r="J1545" t="inlineStr">
        <is>
          <t>TVS</t>
        </is>
      </c>
      <c r="K1545" t="inlineStr">
        <is>
          <t>28.58-0-2-ERW 1-FC-0.475</t>
        </is>
      </c>
    </row>
    <row r="1546">
      <c r="A1546" t="inlineStr">
        <is>
          <t>0000952904</t>
        </is>
      </c>
      <c r="B1546" t="inlineStr">
        <is>
          <t>ELKAYEM AUTO ANCILLARIES PRIVATE LI</t>
        </is>
      </c>
      <c r="C1546" t="inlineStr">
        <is>
          <t>NOS</t>
        </is>
      </c>
      <c r="D1546" t="n">
        <v>1143.296</v>
      </c>
      <c r="E1546" t="n">
        <v>543.0650000000001</v>
      </c>
      <c r="F1546" t="n">
        <v>1940626</v>
      </c>
      <c r="G1546" t="inlineStr">
        <is>
          <t>28.58-0-2-ERW 1-FC</t>
        </is>
      </c>
      <c r="H1546" t="n">
        <v>695.721</v>
      </c>
      <c r="I1546" t="inlineStr">
        <is>
          <t>TUB-O-O-AUT-AW-FC-28.58X2.000X0.4750</t>
        </is>
      </c>
      <c r="J1546" t="inlineStr">
        <is>
          <t>TVS</t>
        </is>
      </c>
      <c r="K1546" t="inlineStr">
        <is>
          <t>28.58-0-2-ERW 1-FC-0.475</t>
        </is>
      </c>
    </row>
    <row r="1547">
      <c r="A1547" t="inlineStr">
        <is>
          <t>0000952904</t>
        </is>
      </c>
      <c r="B1547" t="inlineStr">
        <is>
          <t>ELKAYEM AUTO ANCILLARIES PRIVATE LI</t>
        </is>
      </c>
      <c r="C1547" t="inlineStr">
        <is>
          <t>NOS</t>
        </is>
      </c>
      <c r="D1547" t="n">
        <v>988.877</v>
      </c>
      <c r="E1547" t="n">
        <v>469.716</v>
      </c>
      <c r="F1547" t="n">
        <v>1940626</v>
      </c>
      <c r="G1547" t="inlineStr">
        <is>
          <t>28.58-0-2-ERW 1-FC</t>
        </is>
      </c>
      <c r="H1547" t="n">
        <v>601.754</v>
      </c>
      <c r="I1547" t="inlineStr">
        <is>
          <t>TUB-O-O-AUT-AW-FC-28.58X2.000X0.4750</t>
        </is>
      </c>
      <c r="J1547" t="inlineStr">
        <is>
          <t>TVS</t>
        </is>
      </c>
      <c r="K1547" t="inlineStr">
        <is>
          <t>28.58-0-2-ERW 1-FC-0.475</t>
        </is>
      </c>
    </row>
    <row r="1548">
      <c r="A1548" t="inlineStr">
        <is>
          <t>0000952904</t>
        </is>
      </c>
      <c r="B1548" t="inlineStr">
        <is>
          <t>ELKAYEM AUTO ANCILLARIES PRIVATE LI</t>
        </is>
      </c>
      <c r="C1548" t="inlineStr">
        <is>
          <t>NOS</t>
        </is>
      </c>
      <c r="D1548" t="n">
        <v>3000</v>
      </c>
      <c r="E1548" t="n">
        <v>908.991</v>
      </c>
      <c r="F1548" t="n">
        <v>1940313</v>
      </c>
      <c r="G1548" t="inlineStr">
        <is>
          <t>19.05-0-2.3-ERW 1-PE</t>
        </is>
      </c>
      <c r="H1548" t="n">
        <v>831</v>
      </c>
      <c r="I1548" t="inlineStr">
        <is>
          <t>TUB-O-O-AUT-AW-PE-19.05X2.300X0.3030</t>
        </is>
      </c>
      <c r="J1548" t="inlineStr">
        <is>
          <t>TVS</t>
        </is>
      </c>
      <c r="K1548" t="inlineStr">
        <is>
          <t>19.05-0-2.3-ERW 1-PE-0.303</t>
        </is>
      </c>
    </row>
    <row r="1549">
      <c r="A1549" t="inlineStr">
        <is>
          <t>0000129663</t>
        </is>
      </c>
      <c r="B1549" t="inlineStr">
        <is>
          <t>ELKAYEM AUTO ANCILLARIES (PVT) LTD.</t>
        </is>
      </c>
      <c r="C1549" t="inlineStr">
        <is>
          <t>NOS</t>
        </is>
      </c>
      <c r="D1549" t="n">
        <v>112.199</v>
      </c>
      <c r="E1549" t="n">
        <v>37.475</v>
      </c>
      <c r="F1549" t="n">
        <v>3911992</v>
      </c>
      <c r="G1549" t="inlineStr">
        <is>
          <t>34.93-0-2.3-ERW 2-FC-Ampere</t>
        </is>
      </c>
      <c r="H1549" t="n">
        <v>66.548</v>
      </c>
      <c r="I1549" t="inlineStr">
        <is>
          <t>CUT-O-N-AUT-AW-FC-34.93X2.300X0.3340</t>
        </is>
      </c>
      <c r="J1549" t="inlineStr">
        <is>
          <t>TVS</t>
        </is>
      </c>
      <c r="K1549" t="inlineStr">
        <is>
          <t>34.93-0-2.3-ERW 2-FC-Ampere-0.334</t>
        </is>
      </c>
    </row>
    <row r="1550">
      <c r="A1550" t="inlineStr">
        <is>
          <t>0000129663</t>
        </is>
      </c>
      <c r="B1550" t="inlineStr">
        <is>
          <t>ELKAYEM AUTO ANCILLARIES (PVT) LTD.</t>
        </is>
      </c>
      <c r="C1550" t="inlineStr">
        <is>
          <t>NOS</t>
        </is>
      </c>
      <c r="D1550" t="n">
        <v>757.801</v>
      </c>
      <c r="E1550" t="n">
        <v>253.108</v>
      </c>
      <c r="F1550" t="n">
        <v>3911992</v>
      </c>
      <c r="G1550" t="inlineStr">
        <is>
          <t>34.93-0-2.3-ERW 2-FC-Ampere</t>
        </is>
      </c>
      <c r="H1550" t="n">
        <v>449.469</v>
      </c>
      <c r="I1550" t="inlineStr">
        <is>
          <t>CUT-O-N-AUT-AW-FC-34.93X2.300X0.3340</t>
        </is>
      </c>
      <c r="J1550" t="inlineStr">
        <is>
          <t>TVS</t>
        </is>
      </c>
      <c r="K1550" t="inlineStr">
        <is>
          <t>34.93-0-2.3-ERW 2-FC-Ampere-0.334</t>
        </is>
      </c>
    </row>
    <row r="1551">
      <c r="A1551" t="inlineStr">
        <is>
          <t>0000189226</t>
        </is>
      </c>
      <c r="B1551" t="inlineStr">
        <is>
          <t>Neel Metal Products Limited</t>
        </is>
      </c>
      <c r="C1551" t="inlineStr">
        <is>
          <t>NOS</t>
        </is>
      </c>
      <c r="D1551" t="n">
        <v>875</v>
      </c>
      <c r="E1551" t="n">
        <v>206.497</v>
      </c>
      <c r="F1551" t="n">
        <v>3784473</v>
      </c>
      <c r="G1551" t="inlineStr">
        <is>
          <t>63.5-0-4-ERW 1-FC</t>
        </is>
      </c>
      <c r="H1551" t="n">
        <v>1183.7</v>
      </c>
      <c r="I1551" t="inlineStr">
        <is>
          <t>CUT-O-N-AUT-BH-FC-63.50X4.000X0.2360</t>
        </is>
      </c>
      <c r="J1551" t="inlineStr">
        <is>
          <t>TVS</t>
        </is>
      </c>
      <c r="K1551" t="inlineStr">
        <is>
          <t>63.5-0-4-ERW 1-FC-0.236</t>
        </is>
      </c>
    </row>
    <row r="1552">
      <c r="A1552" t="inlineStr">
        <is>
          <t>0000129663</t>
        </is>
      </c>
      <c r="B1552" t="inlineStr">
        <is>
          <t>ELKAYEM AUTO ANCILLARIES (PVT) LTD.</t>
        </is>
      </c>
      <c r="C1552" t="inlineStr">
        <is>
          <t>NOS</t>
        </is>
      </c>
      <c r="D1552" t="n">
        <v>281.639</v>
      </c>
      <c r="E1552" t="n">
        <v>104.202</v>
      </c>
      <c r="F1552" t="n">
        <v>3926424</v>
      </c>
      <c r="G1552" t="inlineStr">
        <is>
          <t>22.23-0-2-ERW 2-PE</t>
        </is>
      </c>
      <c r="H1552" t="n">
        <v>117.8</v>
      </c>
      <c r="I1552" t="inlineStr">
        <is>
          <t>TUB-O-N-AUT-AW-PE-22.23X2.300X0.37</t>
        </is>
      </c>
      <c r="J1552" t="inlineStr">
        <is>
          <t>TVS</t>
        </is>
      </c>
      <c r="K1552" t="inlineStr">
        <is>
          <t>22.23-0-2-ERW 2-PE-0.37</t>
        </is>
      </c>
    </row>
    <row r="1553">
      <c r="A1553" t="inlineStr">
        <is>
          <t>0000129663</t>
        </is>
      </c>
      <c r="B1553" t="inlineStr">
        <is>
          <t>ELKAYEM AUTO ANCILLARIES (PVT) LTD.</t>
        </is>
      </c>
      <c r="C1553" t="inlineStr">
        <is>
          <t>NOS</t>
        </is>
      </c>
      <c r="D1553" t="n">
        <v>318.361</v>
      </c>
      <c r="E1553" t="n">
        <v>117.788</v>
      </c>
      <c r="F1553" t="n">
        <v>3926424</v>
      </c>
      <c r="G1553" t="inlineStr">
        <is>
          <t>22.23-0-2-ERW 2-PE</t>
        </is>
      </c>
      <c r="H1553" t="n">
        <v>133.16</v>
      </c>
      <c r="I1553" t="inlineStr">
        <is>
          <t>TUB-O-N-AUT-AW-PE-22.23X2.300X0.37</t>
        </is>
      </c>
      <c r="J1553" t="inlineStr">
        <is>
          <t>TVS</t>
        </is>
      </c>
      <c r="K1553" t="inlineStr">
        <is>
          <t>22.23-0-2-ERW 2-PE-0.37</t>
        </is>
      </c>
    </row>
    <row r="1554">
      <c r="A1554" t="inlineStr">
        <is>
          <t>0000129663</t>
        </is>
      </c>
      <c r="B1554" t="inlineStr">
        <is>
          <t>ELKAYEM AUTO ANCILLARIES (PVT) LTD.</t>
        </is>
      </c>
      <c r="C1554" t="inlineStr">
        <is>
          <t>NOS</t>
        </is>
      </c>
      <c r="D1554" t="n">
        <v>389.999</v>
      </c>
      <c r="E1554" t="n">
        <v>155.998</v>
      </c>
      <c r="F1554" t="n">
        <v>1938119</v>
      </c>
      <c r="G1554" t="inlineStr">
        <is>
          <t>17.3-0-1.6-ERW 1-PE</t>
        </is>
      </c>
      <c r="H1554" t="n">
        <v>96.672</v>
      </c>
      <c r="I1554" t="inlineStr">
        <is>
          <t>TUB-O-N-AUT-AW-PE-17.30X1.600X0.4000</t>
        </is>
      </c>
      <c r="J1554" t="inlineStr">
        <is>
          <t>TVS</t>
        </is>
      </c>
      <c r="K1554" t="inlineStr">
        <is>
          <t>17.3-0-1.6-ERW 1-PE-0.4</t>
        </is>
      </c>
    </row>
    <row r="1555">
      <c r="A1555" t="inlineStr">
        <is>
          <t>0000129663</t>
        </is>
      </c>
      <c r="B1555" t="inlineStr">
        <is>
          <t>ELKAYEM AUTO ANCILLARIES (PVT) LTD.</t>
        </is>
      </c>
      <c r="C1555" t="inlineStr">
        <is>
          <t>NOS</t>
        </is>
      </c>
      <c r="D1555" t="n">
        <v>146.29</v>
      </c>
      <c r="E1555" t="n">
        <v>58.515</v>
      </c>
      <c r="F1555" t="n">
        <v>1938119</v>
      </c>
      <c r="G1555" t="inlineStr">
        <is>
          <t>17.3-0-1.6-ERW 1-PE</t>
        </is>
      </c>
      <c r="H1555" t="n">
        <v>36.262</v>
      </c>
      <c r="I1555" t="inlineStr">
        <is>
          <t>TUB-O-N-AUT-AW-PE-17.30X1.600X0.4000</t>
        </is>
      </c>
      <c r="J1555" t="inlineStr">
        <is>
          <t>TVS</t>
        </is>
      </c>
      <c r="K1555" t="inlineStr">
        <is>
          <t>17.3-0-1.6-ERW 1-PE-0.4</t>
        </is>
      </c>
    </row>
    <row r="1556">
      <c r="A1556" t="inlineStr">
        <is>
          <t>0000129663</t>
        </is>
      </c>
      <c r="B1556" t="inlineStr">
        <is>
          <t>ELKAYEM AUTO ANCILLARIES (PVT) LTD.</t>
        </is>
      </c>
      <c r="C1556" t="inlineStr">
        <is>
          <t>NOS</t>
        </is>
      </c>
      <c r="D1556" t="n">
        <v>463.711</v>
      </c>
      <c r="E1556" t="n">
        <v>185.483</v>
      </c>
      <c r="F1556" t="n">
        <v>1938119</v>
      </c>
      <c r="G1556" t="inlineStr">
        <is>
          <t>17.3-0-1.6-ERW 1-PE</t>
        </is>
      </c>
      <c r="H1556" t="n">
        <v>114.944</v>
      </c>
      <c r="I1556" t="inlineStr">
        <is>
          <t>TUB-O-N-AUT-AW-PE-17.30X1.600X0.4000</t>
        </is>
      </c>
      <c r="J1556" t="inlineStr">
        <is>
          <t>TVS</t>
        </is>
      </c>
      <c r="K1556" t="inlineStr">
        <is>
          <t>17.3-0-1.6-ERW 1-PE-0.4</t>
        </is>
      </c>
    </row>
    <row r="1557">
      <c r="A1557" t="inlineStr">
        <is>
          <t>0000188415</t>
        </is>
      </c>
      <c r="B1557" t="inlineStr">
        <is>
          <t>Rajsriya Automotive Industries(P)</t>
        </is>
      </c>
      <c r="C1557" t="inlineStr">
        <is>
          <t>NOS</t>
        </is>
      </c>
      <c r="D1557" t="n">
        <v>2842</v>
      </c>
      <c r="E1557" t="n">
        <v>2373.038</v>
      </c>
      <c r="F1557" t="n">
        <v>3712521</v>
      </c>
      <c r="G1557" t="inlineStr">
        <is>
          <t>40-30-1.6-ERW 1-FC</t>
        </is>
      </c>
      <c r="H1557" t="n">
        <v>4013.757</v>
      </c>
      <c r="I1557" t="inlineStr">
        <is>
          <t>CUT-R-AW-RHS-40.00X30.00X1.600X0.8350</t>
        </is>
      </c>
      <c r="J1557" t="inlineStr">
        <is>
          <t>TVS</t>
        </is>
      </c>
      <c r="K1557" t="inlineStr">
        <is>
          <t>40-30-1.6-ERW 1-FC-0.835</t>
        </is>
      </c>
    </row>
    <row r="1558">
      <c r="A1558" t="inlineStr">
        <is>
          <t>0000188415</t>
        </is>
      </c>
      <c r="B1558" t="inlineStr">
        <is>
          <t>Rajsriya Automotive Industries(P)</t>
        </is>
      </c>
      <c r="C1558" t="inlineStr">
        <is>
          <t>NOS</t>
        </is>
      </c>
      <c r="D1558" t="n">
        <v>158</v>
      </c>
      <c r="E1558" t="n">
        <v>131.928</v>
      </c>
      <c r="F1558" t="n">
        <v>3712521</v>
      </c>
      <c r="G1558" t="inlineStr">
        <is>
          <t>40-30-1.6-ERW 1-FC</t>
        </is>
      </c>
      <c r="H1558" t="n">
        <v>223.143</v>
      </c>
      <c r="I1558" t="inlineStr">
        <is>
          <t>CUT-R-AW-RHS-40.00X30.00X1.600X0.8350</t>
        </is>
      </c>
      <c r="J1558" t="inlineStr">
        <is>
          <t>TVS</t>
        </is>
      </c>
      <c r="K1558" t="inlineStr">
        <is>
          <t>40-30-1.6-ERW 1-FC-0.835</t>
        </is>
      </c>
    </row>
    <row r="1559">
      <c r="A1559" t="inlineStr">
        <is>
          <t>0000188934</t>
        </is>
      </c>
      <c r="B1559" t="inlineStr">
        <is>
          <t>KAY JAY FORGINGS LIMITED</t>
        </is>
      </c>
      <c r="C1559" t="inlineStr">
        <is>
          <t>NOS</t>
        </is>
      </c>
      <c r="D1559" t="n">
        <v>1501.836</v>
      </c>
      <c r="E1559" t="n">
        <v>536.153</v>
      </c>
      <c r="F1559" t="n">
        <v>3909903</v>
      </c>
      <c r="G1559" t="inlineStr">
        <is>
          <t>29.4-20.4-4.5-CEW-CEW</t>
        </is>
      </c>
      <c r="H1559" t="n">
        <v>1613.122</v>
      </c>
      <c r="I1559" t="inlineStr">
        <is>
          <t>CUT-O-C-AUT-AD-FC-29.40X4.500X0.3570</t>
        </is>
      </c>
      <c r="J1559" t="inlineStr">
        <is>
          <t>TVS</t>
        </is>
      </c>
      <c r="K1559" t="inlineStr">
        <is>
          <t>29.4-20.4-4.5-CEW-CEW-0.357</t>
        </is>
      </c>
    </row>
    <row r="1560">
      <c r="A1560" t="inlineStr">
        <is>
          <t>0000188934</t>
        </is>
      </c>
      <c r="B1560" t="inlineStr">
        <is>
          <t>KAY JAY FORGINGS LIMITED</t>
        </is>
      </c>
      <c r="C1560" t="inlineStr">
        <is>
          <t>NOS</t>
        </is>
      </c>
      <c r="D1560" t="n">
        <v>1498.164</v>
      </c>
      <c r="E1560" t="n">
        <v>534.842</v>
      </c>
      <c r="F1560" t="n">
        <v>3909903</v>
      </c>
      <c r="G1560" t="inlineStr">
        <is>
          <t>29.4-20.4-4.5-CEW-CEW</t>
        </is>
      </c>
      <c r="H1560" t="n">
        <v>1609.178</v>
      </c>
      <c r="I1560" t="inlineStr">
        <is>
          <t>CUT-O-C-AUT-AD-FC-29.40X4.500X0.3570</t>
        </is>
      </c>
      <c r="J1560" t="inlineStr">
        <is>
          <t>TVS</t>
        </is>
      </c>
      <c r="K1560" t="inlineStr">
        <is>
          <t>29.4-20.4-4.5-CEW-CEW-0.357</t>
        </is>
      </c>
    </row>
    <row r="1561">
      <c r="A1561" t="inlineStr">
        <is>
          <t>0000189002</t>
        </is>
      </c>
      <c r="B1561" t="inlineStr">
        <is>
          <t>Marathwada Auto Compo Pvt. Ltd.</t>
        </is>
      </c>
      <c r="C1561" t="inlineStr">
        <is>
          <t>NOS</t>
        </is>
      </c>
      <c r="D1561" t="n">
        <v>2365.62</v>
      </c>
      <c r="E1561" t="n">
        <v>1147.256</v>
      </c>
      <c r="F1561" t="n">
        <v>2359755</v>
      </c>
      <c r="G1561" t="inlineStr">
        <is>
          <t>30-25.5-2.25-CEW-CEW</t>
        </is>
      </c>
      <c r="H1561" t="n">
        <v>1767.118</v>
      </c>
      <c r="I1561" t="inlineStr">
        <is>
          <t>TUB-O-C-AUT-AD-FC-30.00X2.250X0.4850</t>
        </is>
      </c>
      <c r="J1561" t="inlineStr">
        <is>
          <t>TVS</t>
        </is>
      </c>
      <c r="K1561" t="inlineStr">
        <is>
          <t>30-25.5-2.25-CEW-CEW-0.485</t>
        </is>
      </c>
    </row>
    <row r="1562">
      <c r="A1562" t="inlineStr">
        <is>
          <t>0000189002</t>
        </is>
      </c>
      <c r="B1562" t="inlineStr">
        <is>
          <t>Marathwada Auto Compo Pvt. Ltd.</t>
        </is>
      </c>
      <c r="C1562" t="inlineStr">
        <is>
          <t>NOS</t>
        </is>
      </c>
      <c r="D1562" t="n">
        <v>634.38</v>
      </c>
      <c r="E1562" t="n">
        <v>307.656</v>
      </c>
      <c r="F1562" t="n">
        <v>2359755</v>
      </c>
      <c r="G1562" t="inlineStr">
        <is>
          <t>30-25.5-2.25-CEW-CEW</t>
        </is>
      </c>
      <c r="H1562" t="n">
        <v>473.882</v>
      </c>
      <c r="I1562" t="inlineStr">
        <is>
          <t>TUB-O-C-AUT-AD-FC-30.00X2.250X0.4850</t>
        </is>
      </c>
      <c r="J1562" t="inlineStr">
        <is>
          <t>TVS</t>
        </is>
      </c>
      <c r="K1562" t="inlineStr">
        <is>
          <t>30-25.5-2.25-CEW-CEW-0.485</t>
        </is>
      </c>
    </row>
    <row r="1563">
      <c r="A1563" t="inlineStr">
        <is>
          <t>0000189226</t>
        </is>
      </c>
      <c r="B1563" t="inlineStr">
        <is>
          <t>Neel Metal Products Limited</t>
        </is>
      </c>
      <c r="C1563" t="inlineStr">
        <is>
          <t>NOS</t>
        </is>
      </c>
      <c r="D1563" t="n">
        <v>1000</v>
      </c>
      <c r="E1563" t="n">
        <v>235.996</v>
      </c>
      <c r="F1563" t="n">
        <v>3784473</v>
      </c>
      <c r="G1563" t="inlineStr">
        <is>
          <t>63.5-0-4-ERW 1-FC</t>
        </is>
      </c>
      <c r="H1563" t="n">
        <v>1352.8</v>
      </c>
      <c r="I1563" t="inlineStr">
        <is>
          <t>CUT-O-N-AUT-BH-FC-63.50X4.000X0.2360</t>
        </is>
      </c>
      <c r="J1563" t="inlineStr">
        <is>
          <t>TVS</t>
        </is>
      </c>
      <c r="K1563" t="inlineStr">
        <is>
          <t>63.5-0-4-ERW 1-FC-0.236</t>
        </is>
      </c>
    </row>
    <row r="1564">
      <c r="A1564" t="inlineStr">
        <is>
          <t>0000189227</t>
        </is>
      </c>
      <c r="B1564" t="inlineStr">
        <is>
          <t>Neel Metal Products Limited</t>
        </is>
      </c>
      <c r="C1564" t="inlineStr">
        <is>
          <t>NOS</t>
        </is>
      </c>
      <c r="D1564" t="n">
        <v>801</v>
      </c>
      <c r="E1564" t="n">
        <v>1093.372</v>
      </c>
      <c r="F1564" t="n">
        <v>3781680</v>
      </c>
      <c r="G1564" t="inlineStr">
        <is>
          <t>57.15-0-2.3-ERW 2-FC</t>
        </is>
      </c>
      <c r="H1564" t="n">
        <v>3259.669</v>
      </c>
      <c r="I1564" t="inlineStr">
        <is>
          <t>CUT-O-N-AUT-AW-FC-57.15X2.300X1.3650</t>
        </is>
      </c>
      <c r="J1564" t="inlineStr">
        <is>
          <t>TVS</t>
        </is>
      </c>
      <c r="K1564" t="inlineStr">
        <is>
          <t>57.15-0-2.3-ERW 2-FC-1.365</t>
        </is>
      </c>
    </row>
    <row r="1565">
      <c r="A1565" t="inlineStr">
        <is>
          <t>0000129663</t>
        </is>
      </c>
      <c r="B1565" t="inlineStr">
        <is>
          <t>ELKAYEM AUTO ANCILLARIES (PVT) LTD.</t>
        </is>
      </c>
      <c r="C1565" t="inlineStr">
        <is>
          <t>NOS</t>
        </is>
      </c>
      <c r="D1565" t="n">
        <v>1615</v>
      </c>
      <c r="E1565" t="n">
        <v>481.27</v>
      </c>
      <c r="F1565" t="n">
        <v>3910451</v>
      </c>
      <c r="G1565" t="inlineStr">
        <is>
          <t>34.93-0-2.3-ERW 2-FC-Ampere</t>
        </is>
      </c>
      <c r="H1565" t="n">
        <v>854.64</v>
      </c>
      <c r="I1565" t="inlineStr">
        <is>
          <t>CUT-O-N-AUT-AW-FC-34.93X2.300X0.2980</t>
        </is>
      </c>
      <c r="J1565" t="inlineStr">
        <is>
          <t>TVS</t>
        </is>
      </c>
      <c r="K1565" t="inlineStr">
        <is>
          <t>34.93-0-2.3-ERW 2-FC-Ampere-0.298</t>
        </is>
      </c>
    </row>
    <row r="1566">
      <c r="A1566" t="inlineStr">
        <is>
          <t>0000189227</t>
        </is>
      </c>
      <c r="B1566" t="inlineStr">
        <is>
          <t>Neel Metal Products Limited</t>
        </is>
      </c>
      <c r="C1566" t="inlineStr">
        <is>
          <t>NOS</t>
        </is>
      </c>
      <c r="D1566" t="n">
        <v>1016</v>
      </c>
      <c r="E1566" t="n">
        <v>1386.849</v>
      </c>
      <c r="F1566" t="n">
        <v>3781680</v>
      </c>
      <c r="G1566" t="inlineStr">
        <is>
          <t>57.15-0-2.3-ERW 2-FC</t>
        </is>
      </c>
      <c r="H1566" t="n">
        <v>4134.612</v>
      </c>
      <c r="I1566" t="inlineStr">
        <is>
          <t>CUT-O-N-AUT-AW-FC-57.15X2.300X1.3650</t>
        </is>
      </c>
      <c r="J1566" t="inlineStr">
        <is>
          <t>TVS</t>
        </is>
      </c>
      <c r="K1566" t="inlineStr">
        <is>
          <t>57.15-0-2.3-ERW 2-FC-1.365</t>
        </is>
      </c>
    </row>
    <row r="1567">
      <c r="A1567" t="inlineStr">
        <is>
          <t>0000952904</t>
        </is>
      </c>
      <c r="B1567" t="inlineStr">
        <is>
          <t>ELKAYEM AUTO ANCILLARIES PRIVATE LI</t>
        </is>
      </c>
      <c r="C1567" t="inlineStr">
        <is>
          <t>NOS</t>
        </is>
      </c>
      <c r="D1567" t="n">
        <v>1513.966</v>
      </c>
      <c r="E1567" t="n">
        <v>504.156</v>
      </c>
      <c r="F1567" t="n">
        <v>3729146</v>
      </c>
      <c r="G1567" t="inlineStr">
        <is>
          <t>34.93-0-2.3-ERW 2-FC-Ampere</t>
        </is>
      </c>
      <c r="H1567" t="n">
        <v>933.444</v>
      </c>
      <c r="I1567" t="inlineStr">
        <is>
          <t>CUT-O-N-AUT-AW-FC-34.93X2.300X0.3330</t>
        </is>
      </c>
      <c r="J1567" t="inlineStr">
        <is>
          <t>TVS</t>
        </is>
      </c>
      <c r="K1567" t="inlineStr">
        <is>
          <t>34.93-0-2.3-ERW 2-FC-Ampere-0.333</t>
        </is>
      </c>
    </row>
    <row r="1568">
      <c r="A1568" t="inlineStr">
        <is>
          <t>0000952904</t>
        </is>
      </c>
      <c r="B1568" t="inlineStr">
        <is>
          <t>ELKAYEM AUTO ANCILLARIES PRIVATE LI</t>
        </is>
      </c>
      <c r="C1568" t="inlineStr">
        <is>
          <t>NOS</t>
        </is>
      </c>
      <c r="D1568" t="n">
        <v>1251.034</v>
      </c>
      <c r="E1568" t="n">
        <v>416.598</v>
      </c>
      <c r="F1568" t="n">
        <v>3729146</v>
      </c>
      <c r="G1568" t="inlineStr">
        <is>
          <t>34.93-0-2.3-ERW 2-FC-Ampere</t>
        </is>
      </c>
      <c r="H1568" t="n">
        <v>771.332</v>
      </c>
      <c r="I1568" t="inlineStr">
        <is>
          <t>CUT-O-N-AUT-AW-FC-34.93X2.300X0.3330</t>
        </is>
      </c>
      <c r="J1568" t="inlineStr">
        <is>
          <t>TVS</t>
        </is>
      </c>
      <c r="K1568" t="inlineStr">
        <is>
          <t>34.93-0-2.3-ERW 2-FC-Ampere-0.333</t>
        </is>
      </c>
    </row>
    <row r="1569">
      <c r="A1569" t="inlineStr">
        <is>
          <t>0000941506</t>
        </is>
      </c>
      <c r="B1569" t="inlineStr">
        <is>
          <t>ELKAYEM AUTO ANCILLARIES PRIVATE LI</t>
        </is>
      </c>
      <c r="C1569" t="inlineStr">
        <is>
          <t>NOS</t>
        </is>
      </c>
      <c r="D1569" t="n">
        <v>1260</v>
      </c>
      <c r="E1569" t="n">
        <v>1891.277</v>
      </c>
      <c r="F1569" t="n">
        <v>3911993</v>
      </c>
      <c r="G1569" t="inlineStr">
        <is>
          <t>34.93-0-2.3-ERW 2-FC-Ampere</t>
        </is>
      </c>
      <c r="H1569" t="n">
        <v>3358.53</v>
      </c>
      <c r="I1569" t="inlineStr">
        <is>
          <t>CUT-O-N-AUT-AW-FC-34.93X2.300X1.5010</t>
        </is>
      </c>
      <c r="J1569" t="inlineStr">
        <is>
          <t>TVS</t>
        </is>
      </c>
      <c r="K1569" t="inlineStr">
        <is>
          <t>34.93-0-2.3-ERW 2-FC-Ampere-1.501</t>
        </is>
      </c>
    </row>
    <row r="1570">
      <c r="A1570" t="inlineStr">
        <is>
          <t>0000189227</t>
        </is>
      </c>
      <c r="B1570" t="inlineStr">
        <is>
          <t>Neel Metal Products Limited</t>
        </is>
      </c>
      <c r="C1570" t="inlineStr">
        <is>
          <t>NOS</t>
        </is>
      </c>
      <c r="D1570" t="n">
        <v>6950</v>
      </c>
      <c r="E1570" t="n">
        <v>5622.55</v>
      </c>
      <c r="F1570" t="n">
        <v>1940466</v>
      </c>
      <c r="G1570" t="inlineStr">
        <is>
          <t>22.23-0-2-ERW 1-PE</t>
        </is>
      </c>
      <c r="H1570" t="n">
        <v>5475.364</v>
      </c>
      <c r="I1570" t="inlineStr">
        <is>
          <t>TUB-O-O-AUT-AW-PE-22.23X2.000X0.8090</t>
        </is>
      </c>
      <c r="J1570" t="inlineStr">
        <is>
          <t>TVS</t>
        </is>
      </c>
      <c r="K1570" t="inlineStr">
        <is>
          <t>22.23-0-2-ERW 1-PE-0.809</t>
        </is>
      </c>
    </row>
    <row r="1571">
      <c r="A1571" t="inlineStr">
        <is>
          <t>0000189227</t>
        </is>
      </c>
      <c r="B1571" t="inlineStr">
        <is>
          <t>Neel Metal Products Limited</t>
        </is>
      </c>
      <c r="C1571" t="inlineStr">
        <is>
          <t>NOS</t>
        </is>
      </c>
      <c r="D1571" t="n">
        <v>3000</v>
      </c>
      <c r="E1571" t="n">
        <v>446.916</v>
      </c>
      <c r="F1571" t="n">
        <v>1938195</v>
      </c>
      <c r="G1571" t="inlineStr">
        <is>
          <t>17.3-0-1.2-ERW 1-PE</t>
        </is>
      </c>
      <c r="H1571" t="n">
        <v>213</v>
      </c>
      <c r="I1571" t="inlineStr">
        <is>
          <t>TUB-O-N-AUT-AW-PE-17.30X1.200X0.1500</t>
        </is>
      </c>
      <c r="J1571" t="inlineStr">
        <is>
          <t>TVS</t>
        </is>
      </c>
      <c r="K1571" t="inlineStr">
        <is>
          <t>17.3-0-1.2-ERW 1-PE-0.15</t>
        </is>
      </c>
    </row>
    <row r="1572">
      <c r="A1572" t="inlineStr">
        <is>
          <t>0000189227</t>
        </is>
      </c>
      <c r="B1572" t="inlineStr">
        <is>
          <t>Neel Metal Products Limited</t>
        </is>
      </c>
      <c r="C1572" t="inlineStr">
        <is>
          <t>NOS</t>
        </is>
      </c>
      <c r="D1572" t="n">
        <v>5000</v>
      </c>
      <c r="E1572" t="n">
        <v>1970.015</v>
      </c>
      <c r="F1572" t="n">
        <v>1940437</v>
      </c>
      <c r="G1572" t="inlineStr">
        <is>
          <t>22.23-0-2-ERW 1-PE</t>
        </is>
      </c>
      <c r="H1572" t="n">
        <v>1918.444</v>
      </c>
      <c r="I1572" t="inlineStr">
        <is>
          <t>TUB-O-O-AUT-AW-PE-22.23X2.000X0.3940</t>
        </is>
      </c>
      <c r="J1572" t="inlineStr">
        <is>
          <t>TVS</t>
        </is>
      </c>
      <c r="K1572" t="inlineStr">
        <is>
          <t>22.23-0-2-ERW 1-PE-0.394</t>
        </is>
      </c>
    </row>
    <row r="1573">
      <c r="A1573" t="inlineStr">
        <is>
          <t>0000189226</t>
        </is>
      </c>
      <c r="B1573" t="inlineStr">
        <is>
          <t>Neel Metal Products Limited</t>
        </is>
      </c>
      <c r="C1573" t="inlineStr">
        <is>
          <t>NOS</t>
        </is>
      </c>
      <c r="D1573" t="n">
        <v>2500</v>
      </c>
      <c r="E1573" t="n">
        <v>1825.318</v>
      </c>
      <c r="F1573" t="n">
        <v>1940881</v>
      </c>
      <c r="G1573" t="inlineStr">
        <is>
          <t>50-30-2-ERW 1-FC</t>
        </is>
      </c>
      <c r="H1573" t="n">
        <v>4395</v>
      </c>
      <c r="I1573" t="inlineStr">
        <is>
          <t>TUB-R-AW-RHS-50.00X30.00X2.000X0.7300</t>
        </is>
      </c>
      <c r="J1573" t="inlineStr">
        <is>
          <t>TVS</t>
        </is>
      </c>
      <c r="K1573" t="inlineStr">
        <is>
          <t>50-30-2-ERW 1-FC-0.73</t>
        </is>
      </c>
    </row>
    <row r="1574">
      <c r="A1574" t="inlineStr">
        <is>
          <t>0000129663</t>
        </is>
      </c>
      <c r="B1574" t="inlineStr">
        <is>
          <t>ELKAYEM AUTO ANCILLARIES (PVT) LTD.</t>
        </is>
      </c>
      <c r="C1574" t="inlineStr">
        <is>
          <t>NOS</t>
        </is>
      </c>
      <c r="D1574" t="n">
        <v>700</v>
      </c>
      <c r="E1574" t="n">
        <v>202.999</v>
      </c>
      <c r="F1574" t="n">
        <v>3781701</v>
      </c>
      <c r="G1574" t="inlineStr">
        <is>
          <t>42.7-0-4-ERW 1-FC</t>
        </is>
      </c>
      <c r="H1574" t="n">
        <v>774.97</v>
      </c>
      <c r="I1574" t="inlineStr">
        <is>
          <t>CUT-O-N-AUT-BH-FC-42.70X4.000X0.2900</t>
        </is>
      </c>
      <c r="J1574" t="inlineStr">
        <is>
          <t>TVS</t>
        </is>
      </c>
      <c r="K1574" t="inlineStr">
        <is>
          <t>42.7-0-4-ERW 1-FC-0.29</t>
        </is>
      </c>
    </row>
    <row r="1575">
      <c r="A1575" t="inlineStr">
        <is>
          <t>0000129663</t>
        </is>
      </c>
      <c r="B1575" t="inlineStr">
        <is>
          <t>ELKAYEM AUTO ANCILLARIES (PVT) LTD.</t>
        </is>
      </c>
      <c r="C1575" t="inlineStr">
        <is>
          <t>NOS</t>
        </is>
      </c>
      <c r="D1575" t="n">
        <v>2500</v>
      </c>
      <c r="E1575" t="n">
        <v>724.997</v>
      </c>
      <c r="F1575" t="n">
        <v>3781701</v>
      </c>
      <c r="G1575" t="inlineStr">
        <is>
          <t>42.7-0-4-ERW 1-FC</t>
        </is>
      </c>
      <c r="H1575" t="n">
        <v>2767.75</v>
      </c>
      <c r="I1575" t="inlineStr">
        <is>
          <t>CUT-O-N-AUT-BH-FC-42.70X4.000X0.2900</t>
        </is>
      </c>
      <c r="J1575" t="inlineStr">
        <is>
          <t>TVS</t>
        </is>
      </c>
      <c r="K1575" t="inlineStr">
        <is>
          <t>42.7-0-4-ERW 1-FC-0.29</t>
        </is>
      </c>
    </row>
    <row r="1576">
      <c r="A1576" t="inlineStr">
        <is>
          <t>0000129663</t>
        </is>
      </c>
      <c r="B1576" t="inlineStr">
        <is>
          <t>ELKAYEM AUTO ANCILLARIES (PVT) LTD.</t>
        </is>
      </c>
      <c r="C1576" t="inlineStr">
        <is>
          <t>NOS</t>
        </is>
      </c>
      <c r="D1576" t="n">
        <v>8000</v>
      </c>
      <c r="E1576" t="n">
        <v>2959.87</v>
      </c>
      <c r="F1576" t="n">
        <v>3926424</v>
      </c>
      <c r="G1576" t="inlineStr">
        <is>
          <t>22.23-0-2-ERW 2-PE</t>
        </is>
      </c>
      <c r="H1576" t="n">
        <v>3346.133</v>
      </c>
      <c r="I1576" t="inlineStr">
        <is>
          <t>TUB-O-N-AUT-AW-PE-22.23X2.300X0.37</t>
        </is>
      </c>
      <c r="J1576" t="inlineStr">
        <is>
          <t>TVS</t>
        </is>
      </c>
      <c r="K1576" t="inlineStr">
        <is>
          <t>22.23-0-2-ERW 2-PE-0.37</t>
        </is>
      </c>
    </row>
    <row r="1577">
      <c r="A1577" t="inlineStr">
        <is>
          <t>0000129663</t>
        </is>
      </c>
      <c r="B1577" t="inlineStr">
        <is>
          <t>ELKAYEM AUTO ANCILLARIES (PVT) LTD.</t>
        </is>
      </c>
      <c r="C1577" t="inlineStr">
        <is>
          <t>NOS</t>
        </is>
      </c>
      <c r="D1577" t="n">
        <v>2000</v>
      </c>
      <c r="E1577" t="n">
        <v>449.995</v>
      </c>
      <c r="F1577" t="n">
        <v>3484652</v>
      </c>
      <c r="G1577" t="inlineStr">
        <is>
          <t>22.23-0-2.3-ERW 1-PE</t>
        </is>
      </c>
      <c r="H1577" t="n">
        <v>499.044</v>
      </c>
      <c r="I1577" t="inlineStr">
        <is>
          <t>TUB-O-N-AUT-AW-PE-22.20X2.300X0.2250</t>
        </is>
      </c>
      <c r="J1577" t="inlineStr">
        <is>
          <t>TVS</t>
        </is>
      </c>
      <c r="K1577" t="inlineStr">
        <is>
          <t>22.23-0-2.3-ERW 1-PE-0.225</t>
        </is>
      </c>
    </row>
    <row r="1578">
      <c r="A1578" t="inlineStr">
        <is>
          <t>0000188415</t>
        </is>
      </c>
      <c r="B1578" t="inlineStr">
        <is>
          <t>Rajsriya Automotive Industries(P)</t>
        </is>
      </c>
      <c r="C1578" t="inlineStr">
        <is>
          <t>NOS</t>
        </is>
      </c>
      <c r="D1578" t="n">
        <v>834.485</v>
      </c>
      <c r="E1578" t="n">
        <v>341.294</v>
      </c>
      <c r="F1578" t="n">
        <v>4020857</v>
      </c>
      <c r="G1578" t="inlineStr">
        <is>
          <t>57.15-0-2-ERW 1-FC</t>
        </is>
      </c>
      <c r="H1578" t="n">
        <v>906</v>
      </c>
      <c r="I1578" t="inlineStr">
        <is>
          <t>TUB-O-N-AUT-AW-FC-57.15X2.000X0.4090</t>
        </is>
      </c>
      <c r="J1578" t="inlineStr">
        <is>
          <t>TVS</t>
        </is>
      </c>
      <c r="K1578" t="inlineStr">
        <is>
          <t>57.15-0-2-ERW 1-FC-0.409</t>
        </is>
      </c>
    </row>
    <row r="1579">
      <c r="A1579" t="inlineStr">
        <is>
          <t>0000188415</t>
        </is>
      </c>
      <c r="B1579" t="inlineStr">
        <is>
          <t>Rajsriya Automotive Industries(P)</t>
        </is>
      </c>
      <c r="C1579" t="inlineStr">
        <is>
          <t>NOS</t>
        </is>
      </c>
      <c r="D1579" t="n">
        <v>180.515</v>
      </c>
      <c r="E1579" t="n">
        <v>73.828</v>
      </c>
      <c r="F1579" t="n">
        <v>4020857</v>
      </c>
      <c r="G1579" t="inlineStr">
        <is>
          <t>57.15-0-2-ERW 1-FC</t>
        </is>
      </c>
      <c r="H1579" t="n">
        <v>195.985</v>
      </c>
      <c r="I1579" t="inlineStr">
        <is>
          <t>TUB-O-N-AUT-AW-FC-57.15X2.000X0.4090</t>
        </is>
      </c>
      <c r="J1579" t="inlineStr">
        <is>
          <t>TVS</t>
        </is>
      </c>
      <c r="K1579" t="inlineStr">
        <is>
          <t>57.15-0-2-ERW 1-FC-0.409</t>
        </is>
      </c>
    </row>
    <row r="1580">
      <c r="A1580" t="inlineStr">
        <is>
          <t>0000189226</t>
        </is>
      </c>
      <c r="B1580" t="inlineStr">
        <is>
          <t>Neel Metal Products Limited</t>
        </is>
      </c>
      <c r="C1580" t="inlineStr">
        <is>
          <t>NOS</t>
        </is>
      </c>
      <c r="D1580" t="n">
        <v>5000</v>
      </c>
      <c r="E1580" t="n">
        <v>3650.635</v>
      </c>
      <c r="F1580" t="n">
        <v>1940881</v>
      </c>
      <c r="G1580" t="inlineStr">
        <is>
          <t>50-30-2-ERW 1-FC</t>
        </is>
      </c>
      <c r="H1580" t="n">
        <v>8790</v>
      </c>
      <c r="I1580" t="inlineStr">
        <is>
          <t>TUB-R-AW-RHS-50.00X30.00X2.000X0.7300</t>
        </is>
      </c>
      <c r="J1580" t="inlineStr">
        <is>
          <t>TVS</t>
        </is>
      </c>
      <c r="K1580" t="inlineStr">
        <is>
          <t>50-30-2-ERW 1-FC-0.73</t>
        </is>
      </c>
    </row>
    <row r="1581">
      <c r="A1581" t="inlineStr">
        <is>
          <t>0000940921</t>
        </is>
      </c>
      <c r="B1581" t="inlineStr">
        <is>
          <t>ELKAYEM AUTO ANCILLARIES PVT LTD -U</t>
        </is>
      </c>
      <c r="C1581" t="inlineStr">
        <is>
          <t>NOS</t>
        </is>
      </c>
      <c r="D1581" t="n">
        <v>1250</v>
      </c>
      <c r="E1581" t="n">
        <v>891.236</v>
      </c>
      <c r="F1581" t="n">
        <v>3783938</v>
      </c>
      <c r="G1581" t="inlineStr">
        <is>
          <t>57.15-0-2-ERW 1-FC</t>
        </is>
      </c>
      <c r="H1581" t="n">
        <v>2365.875</v>
      </c>
      <c r="I1581" t="inlineStr">
        <is>
          <t>CUT-O-N-AUT-NR-AG-57.15X2.000X0.7130</t>
        </is>
      </c>
      <c r="J1581" t="inlineStr">
        <is>
          <t>TVS</t>
        </is>
      </c>
      <c r="K1581" t="inlineStr">
        <is>
          <t>57.15-0-2-ERW 1-FC-0.713</t>
        </is>
      </c>
    </row>
    <row r="1582">
      <c r="A1582" t="inlineStr">
        <is>
          <t>0000940921</t>
        </is>
      </c>
      <c r="B1582" t="inlineStr">
        <is>
          <t>ELKAYEM AUTO ANCILLARIES PVT LTD -U</t>
        </is>
      </c>
      <c r="C1582" t="inlineStr">
        <is>
          <t>NOS</t>
        </is>
      </c>
      <c r="D1582" t="n">
        <v>2938</v>
      </c>
      <c r="E1582" t="n">
        <v>567.043</v>
      </c>
      <c r="F1582" t="n">
        <v>3509016</v>
      </c>
      <c r="G1582" t="inlineStr">
        <is>
          <t>31.75-0-2.5-ERW 1-FC</t>
        </is>
      </c>
      <c r="H1582" t="n">
        <v>1004.176</v>
      </c>
      <c r="I1582" t="inlineStr">
        <is>
          <t>CUT-O-N-AUT-AW-PE-31.75X2.500X0.1930</t>
        </is>
      </c>
      <c r="J1582" t="inlineStr">
        <is>
          <t>TVS</t>
        </is>
      </c>
      <c r="K1582" t="inlineStr">
        <is>
          <t>31.75-0-2.5-ERW 1-FC-0.193</t>
        </is>
      </c>
    </row>
    <row r="1583">
      <c r="A1583" t="inlineStr">
        <is>
          <t>0000189226</t>
        </is>
      </c>
      <c r="B1583" t="inlineStr">
        <is>
          <t>Neel Metal Products Limited</t>
        </is>
      </c>
      <c r="C1583" t="inlineStr">
        <is>
          <t>NOS</t>
        </is>
      </c>
      <c r="D1583" t="n">
        <v>460.002</v>
      </c>
      <c r="E1583" t="n">
        <v>96.59999999999999</v>
      </c>
      <c r="F1583" t="n">
        <v>3690546</v>
      </c>
      <c r="G1583" t="inlineStr">
        <is>
          <t>42.7-0-3.5-ERW 1-FC</t>
        </is>
      </c>
      <c r="H1583" t="n">
        <v>326.857</v>
      </c>
      <c r="I1583" t="inlineStr">
        <is>
          <t>CUT-O-N-AUT-NR-FC-42.70X3.500X0.2100</t>
        </is>
      </c>
      <c r="J1583" t="inlineStr">
        <is>
          <t>TVS</t>
        </is>
      </c>
      <c r="K1583" t="inlineStr">
        <is>
          <t>42.7-0-3.5-ERW 1-FC-0.21</t>
        </is>
      </c>
    </row>
    <row r="1584">
      <c r="A1584" t="inlineStr">
        <is>
          <t>0000189226</t>
        </is>
      </c>
      <c r="B1584" t="inlineStr">
        <is>
          <t>Neel Metal Products Limited</t>
        </is>
      </c>
      <c r="C1584" t="inlineStr">
        <is>
          <t>NOS</t>
        </is>
      </c>
      <c r="D1584" t="n">
        <v>539.998</v>
      </c>
      <c r="E1584" t="n">
        <v>113.4</v>
      </c>
      <c r="F1584" t="n">
        <v>3690546</v>
      </c>
      <c r="G1584" t="inlineStr">
        <is>
          <t>42.7-0-3.5-ERW 1-FC</t>
        </is>
      </c>
      <c r="H1584" t="n">
        <v>383.699</v>
      </c>
      <c r="I1584" t="inlineStr">
        <is>
          <t>CUT-O-N-AUT-NR-FC-42.70X3.500X0.2100</t>
        </is>
      </c>
      <c r="J1584" t="inlineStr">
        <is>
          <t>TVS</t>
        </is>
      </c>
      <c r="K1584" t="inlineStr">
        <is>
          <t>42.7-0-3.5-ERW 1-FC-0.21</t>
        </is>
      </c>
    </row>
    <row r="1585">
      <c r="A1585" t="inlineStr">
        <is>
          <t>0000189226</t>
        </is>
      </c>
      <c r="B1585" t="inlineStr">
        <is>
          <t>Neel Metal Products Limited</t>
        </is>
      </c>
      <c r="C1585" t="inlineStr">
        <is>
          <t>NOS</t>
        </is>
      </c>
      <c r="D1585" t="n">
        <v>999</v>
      </c>
      <c r="E1585" t="n">
        <v>209.79</v>
      </c>
      <c r="F1585" t="n">
        <v>3690546</v>
      </c>
      <c r="G1585" t="inlineStr">
        <is>
          <t>42.7-0-3.5-ERW 1-FC</t>
        </is>
      </c>
      <c r="H1585" t="n">
        <v>709.845</v>
      </c>
      <c r="I1585" t="inlineStr">
        <is>
          <t>CUT-O-N-AUT-NR-FC-42.70X3.500X0.2100</t>
        </is>
      </c>
      <c r="J1585" t="inlineStr">
        <is>
          <t>TVS</t>
        </is>
      </c>
      <c r="K1585" t="inlineStr">
        <is>
          <t>42.7-0-3.5-ERW 1-FC-0.21</t>
        </is>
      </c>
    </row>
    <row r="1586">
      <c r="A1586" t="inlineStr">
        <is>
          <t>0000129663</t>
        </is>
      </c>
      <c r="B1586" t="inlineStr">
        <is>
          <t>ELKAYEM AUTO ANCILLARIES (PVT) LTD.</t>
        </is>
      </c>
      <c r="C1586" t="inlineStr">
        <is>
          <t>NOS</t>
        </is>
      </c>
      <c r="D1586" t="n">
        <v>4000</v>
      </c>
      <c r="E1586" t="n">
        <v>1479.935</v>
      </c>
      <c r="F1586" t="n">
        <v>3926424</v>
      </c>
      <c r="G1586" t="inlineStr">
        <is>
          <t>22.23-0-2-ERW 2-PE</t>
        </is>
      </c>
      <c r="H1586" t="n">
        <v>1673.067</v>
      </c>
      <c r="I1586" t="inlineStr">
        <is>
          <t>TUB-O-N-AUT-AW-PE-22.23X2.300X0.37</t>
        </is>
      </c>
      <c r="J1586" t="inlineStr">
        <is>
          <t>TVS</t>
        </is>
      </c>
      <c r="K1586" t="inlineStr">
        <is>
          <t>22.23-0-2-ERW 2-PE-0.37</t>
        </is>
      </c>
    </row>
    <row r="1587">
      <c r="A1587" t="inlineStr">
        <is>
          <t>0000129663</t>
        </is>
      </c>
      <c r="B1587" t="inlineStr">
        <is>
          <t>ELKAYEM AUTO ANCILLARIES (PVT) LTD.</t>
        </is>
      </c>
      <c r="C1587" t="inlineStr">
        <is>
          <t>NOS</t>
        </is>
      </c>
      <c r="D1587" t="n">
        <v>1999</v>
      </c>
      <c r="E1587" t="n">
        <v>449.77</v>
      </c>
      <c r="F1587" t="n">
        <v>3484652</v>
      </c>
      <c r="G1587" t="inlineStr">
        <is>
          <t>22.23-0-2.3-ERW 1-PE</t>
        </is>
      </c>
      <c r="H1587" t="n">
        <v>498.795</v>
      </c>
      <c r="I1587" t="inlineStr">
        <is>
          <t>TUB-O-N-AUT-AW-PE-22.20X2.300X0.2250</t>
        </is>
      </c>
      <c r="J1587" t="inlineStr">
        <is>
          <t>TVS</t>
        </is>
      </c>
      <c r="K1587" t="inlineStr">
        <is>
          <t>22.23-0-2.3-ERW 1-PE-0.225</t>
        </is>
      </c>
    </row>
    <row r="1588">
      <c r="A1588" t="inlineStr">
        <is>
          <t>0000129663</t>
        </is>
      </c>
      <c r="B1588" t="inlineStr">
        <is>
          <t>ELKAYEM AUTO ANCILLARIES (PVT) LTD.</t>
        </is>
      </c>
      <c r="C1588" t="inlineStr">
        <is>
          <t>NOS</t>
        </is>
      </c>
      <c r="D1588" t="n">
        <v>500</v>
      </c>
      <c r="E1588" t="n">
        <v>184.992</v>
      </c>
      <c r="F1588" t="n">
        <v>3926424</v>
      </c>
      <c r="G1588" t="inlineStr">
        <is>
          <t>22.23-0-2-ERW 2-PE</t>
        </is>
      </c>
      <c r="H1588" t="n">
        <v>209.133</v>
      </c>
      <c r="I1588" t="inlineStr">
        <is>
          <t>TUB-O-N-AUT-AW-PE-22.23X2.300X0.37</t>
        </is>
      </c>
      <c r="J1588" t="inlineStr">
        <is>
          <t>TVS</t>
        </is>
      </c>
      <c r="K1588" t="inlineStr">
        <is>
          <t>22.23-0-2-ERW 2-PE-0.37</t>
        </is>
      </c>
    </row>
    <row r="1589">
      <c r="A1589" t="inlineStr">
        <is>
          <t>0000129663</t>
        </is>
      </c>
      <c r="B1589" t="inlineStr">
        <is>
          <t>ELKAYEM AUTO ANCILLARIES (PVT) LTD.</t>
        </is>
      </c>
      <c r="C1589" t="inlineStr">
        <is>
          <t>NOS</t>
        </is>
      </c>
      <c r="D1589" t="n">
        <v>2000</v>
      </c>
      <c r="E1589" t="n">
        <v>449.995</v>
      </c>
      <c r="F1589" t="n">
        <v>3484652</v>
      </c>
      <c r="G1589" t="inlineStr">
        <is>
          <t>22.23-0-2.3-ERW 1-PE</t>
        </is>
      </c>
      <c r="H1589" t="n">
        <v>499.044</v>
      </c>
      <c r="I1589" t="inlineStr">
        <is>
          <t>TUB-O-N-AUT-AW-PE-22.20X2.300X0.2250</t>
        </is>
      </c>
      <c r="J1589" t="inlineStr">
        <is>
          <t>TVS</t>
        </is>
      </c>
      <c r="K1589" t="inlineStr">
        <is>
          <t>22.23-0-2.3-ERW 1-PE-0.225</t>
        </is>
      </c>
    </row>
    <row r="1590">
      <c r="A1590" t="inlineStr">
        <is>
          <t>0000189226</t>
        </is>
      </c>
      <c r="B1590" t="inlineStr">
        <is>
          <t>Neel Metal Products Limited</t>
        </is>
      </c>
      <c r="C1590" t="inlineStr">
        <is>
          <t>NOS</t>
        </is>
      </c>
      <c r="D1590" t="n">
        <v>3000</v>
      </c>
      <c r="E1590" t="n">
        <v>2445.005</v>
      </c>
      <c r="F1590" t="n">
        <v>3781605</v>
      </c>
      <c r="G1590" t="inlineStr">
        <is>
          <t>22.23-0-2-ERW 1-PE</t>
        </is>
      </c>
      <c r="H1590" t="n">
        <v>2381</v>
      </c>
      <c r="I1590" t="inlineStr">
        <is>
          <t>CUT-O-N-AUT-AW-PE-22.20X2.000X0.8150</t>
        </is>
      </c>
      <c r="J1590" t="inlineStr">
        <is>
          <t>TVS</t>
        </is>
      </c>
      <c r="K1590" t="inlineStr">
        <is>
          <t>22.23-0-2-ERW 1-PE-0.815</t>
        </is>
      </c>
    </row>
    <row r="1591">
      <c r="A1591" t="inlineStr">
        <is>
          <t>0000189226</t>
        </is>
      </c>
      <c r="B1591" t="inlineStr">
        <is>
          <t>Neel Metal Products Limited</t>
        </is>
      </c>
      <c r="C1591" t="inlineStr">
        <is>
          <t>NOS</t>
        </is>
      </c>
      <c r="D1591" t="n">
        <v>2000</v>
      </c>
      <c r="E1591" t="n">
        <v>420</v>
      </c>
      <c r="F1591" t="n">
        <v>3690546</v>
      </c>
      <c r="G1591" t="inlineStr">
        <is>
          <t>42.7-0-3.5-ERW 1-FC</t>
        </is>
      </c>
      <c r="H1591" t="n">
        <v>1421.111</v>
      </c>
      <c r="I1591" t="inlineStr">
        <is>
          <t>CUT-O-N-AUT-NR-FC-42.70X3.500X0.2100</t>
        </is>
      </c>
      <c r="J1591" t="inlineStr">
        <is>
          <t>TVS</t>
        </is>
      </c>
      <c r="K1591" t="inlineStr">
        <is>
          <t>42.7-0-3.5-ERW 1-FC-0.21</t>
        </is>
      </c>
    </row>
    <row r="1592">
      <c r="A1592" t="inlineStr">
        <is>
          <t>0000189226</t>
        </is>
      </c>
      <c r="B1592" t="inlineStr">
        <is>
          <t>Neel Metal Products Limited</t>
        </is>
      </c>
      <c r="C1592" t="inlineStr">
        <is>
          <t>NOS</t>
        </is>
      </c>
      <c r="D1592" t="n">
        <v>660</v>
      </c>
      <c r="E1592" t="n">
        <v>323.399</v>
      </c>
      <c r="F1592" t="n">
        <v>3781610</v>
      </c>
      <c r="G1592" t="inlineStr">
        <is>
          <t>70-0-3.2-ERW 2-FC</t>
        </is>
      </c>
      <c r="H1592" t="n">
        <v>1654.026</v>
      </c>
      <c r="I1592" t="inlineStr">
        <is>
          <t>CUT-O-N-AUT-AN-AG-70.00X3.200X0.490 HST</t>
        </is>
      </c>
      <c r="J1592" t="inlineStr">
        <is>
          <t>TVS</t>
        </is>
      </c>
      <c r="K1592" t="inlineStr">
        <is>
          <t>70-0-3.2-ERW 2-FC-0.49</t>
        </is>
      </c>
    </row>
    <row r="1593">
      <c r="A1593" t="inlineStr">
        <is>
          <t>0000949970</t>
        </is>
      </c>
      <c r="B1593" t="inlineStr">
        <is>
          <t>SANDHAR ENGINEERING PVTLTD(KA)U-III</t>
        </is>
      </c>
      <c r="C1593" t="inlineStr">
        <is>
          <t>NOS</t>
        </is>
      </c>
      <c r="D1593" t="n">
        <v>2000</v>
      </c>
      <c r="E1593" t="n">
        <v>2769.262</v>
      </c>
      <c r="F1593" t="n">
        <v>1940489</v>
      </c>
      <c r="G1593" t="inlineStr">
        <is>
          <t>22.23-0-2-ERW 2 MAHS-PE</t>
        </is>
      </c>
      <c r="H1593" t="n">
        <v>2764</v>
      </c>
      <c r="I1593" t="inlineStr">
        <is>
          <t>TUB-O-O-AUT-AW-PE-22.23X2.000X1.3850</t>
        </is>
      </c>
      <c r="J1593" t="inlineStr">
        <is>
          <t>TVS</t>
        </is>
      </c>
      <c r="K1593" t="inlineStr">
        <is>
          <t>22.23-0-2-ERW 2 MAHS-PE-1.385</t>
        </is>
      </c>
    </row>
    <row r="1594">
      <c r="A1594" t="inlineStr">
        <is>
          <t>0000941496</t>
        </is>
      </c>
      <c r="B1594" t="inlineStr">
        <is>
          <t>SANDHAR ENGINEERING PVT LTD.(KA) -U</t>
        </is>
      </c>
      <c r="C1594" t="inlineStr">
        <is>
          <t>NOS</t>
        </is>
      </c>
      <c r="D1594" t="n">
        <v>4567</v>
      </c>
      <c r="E1594" t="n">
        <v>3722.112</v>
      </c>
      <c r="F1594" t="n">
        <v>3781605</v>
      </c>
      <c r="G1594" t="inlineStr">
        <is>
          <t>22.23-0-2-ERW 1-PE</t>
        </is>
      </c>
      <c r="H1594" t="n">
        <v>3624.676</v>
      </c>
      <c r="I1594" t="inlineStr">
        <is>
          <t>CUT-O-N-AUT-AW-PE-22.20X2.000X0.8150</t>
        </is>
      </c>
      <c r="J1594" t="inlineStr">
        <is>
          <t>TVS</t>
        </is>
      </c>
      <c r="K1594" t="inlineStr">
        <is>
          <t>22.23-0-2-ERW 1-PE-0.815</t>
        </is>
      </c>
    </row>
    <row r="1595">
      <c r="A1595" t="inlineStr">
        <is>
          <t>0000941496</t>
        </is>
      </c>
      <c r="B1595" t="inlineStr">
        <is>
          <t>SANDHAR ENGINEERING PVT LTD.(KA) -U</t>
        </is>
      </c>
      <c r="C1595" t="inlineStr">
        <is>
          <t>NOS</t>
        </is>
      </c>
      <c r="D1595" t="n">
        <v>1000</v>
      </c>
      <c r="E1595" t="n">
        <v>208.001</v>
      </c>
      <c r="F1595" t="n">
        <v>3722021</v>
      </c>
      <c r="G1595" t="inlineStr">
        <is>
          <t>42.7-0-3.5-ERW 1-FC</t>
        </is>
      </c>
      <c r="H1595" t="n">
        <v>704.022</v>
      </c>
      <c r="I1595" t="inlineStr">
        <is>
          <t>TUB-O-N-AUT-AN--42.70X3.500X0.2080</t>
        </is>
      </c>
      <c r="J1595" t="inlineStr">
        <is>
          <t>TVS</t>
        </is>
      </c>
      <c r="K1595" t="inlineStr">
        <is>
          <t>42.7-0-3.5-ERW 1-FC-0.208</t>
        </is>
      </c>
    </row>
    <row r="1596">
      <c r="A1596" t="inlineStr">
        <is>
          <t>0000948721</t>
        </is>
      </c>
      <c r="B1596" t="inlineStr">
        <is>
          <t>ELKAYEM AUTO ANCILLARIES PRIVATE LI</t>
        </is>
      </c>
      <c r="C1596" t="inlineStr">
        <is>
          <t>M</t>
        </is>
      </c>
      <c r="D1596" t="n">
        <v>187</v>
      </c>
      <c r="E1596" t="n">
        <v>839.374</v>
      </c>
      <c r="F1596" t="n">
        <v>2410388</v>
      </c>
      <c r="G1596" t="inlineStr">
        <is>
          <t>28.6-0-2.65-CEW-CEW</t>
        </is>
      </c>
      <c r="H1596" t="n">
        <v>1423.998</v>
      </c>
      <c r="I1596" t="inlineStr">
        <is>
          <t>TUB-O-C-AUT-AD-FC-28.60X2.650X04-05</t>
        </is>
      </c>
      <c r="J1596" t="inlineStr">
        <is>
          <t>TVS</t>
        </is>
      </c>
      <c r="K1596" t="inlineStr">
        <is>
          <t>28.6-0-2.65-CEW-CEW-1</t>
        </is>
      </c>
    </row>
    <row r="1597">
      <c r="A1597" t="inlineStr">
        <is>
          <t>0000948721</t>
        </is>
      </c>
      <c r="B1597" t="inlineStr">
        <is>
          <t>ELKAYEM AUTO ANCILLARIES PRIVATE LI</t>
        </is>
      </c>
      <c r="C1597" t="inlineStr">
        <is>
          <t>M</t>
        </is>
      </c>
      <c r="D1597" t="n">
        <v>208</v>
      </c>
      <c r="E1597" t="n">
        <v>934.275</v>
      </c>
      <c r="F1597" t="n">
        <v>2410388</v>
      </c>
      <c r="G1597" t="inlineStr">
        <is>
          <t>28.6-0-2.65-CEW-CEW</t>
        </is>
      </c>
      <c r="H1597" t="n">
        <v>1584.998</v>
      </c>
      <c r="I1597" t="inlineStr">
        <is>
          <t>TUB-O-C-AUT-AD-FC-28.60X2.650X04-05</t>
        </is>
      </c>
      <c r="J1597" t="inlineStr">
        <is>
          <t>TVS</t>
        </is>
      </c>
      <c r="K1597" t="inlineStr">
        <is>
          <t>28.6-0-2.65-CEW-CEW-1</t>
        </is>
      </c>
    </row>
    <row r="1598">
      <c r="A1598" t="inlineStr">
        <is>
          <t>0000948721</t>
        </is>
      </c>
      <c r="B1598" t="inlineStr">
        <is>
          <t>ELKAYEM AUTO ANCILLARIES PRIVATE LI</t>
        </is>
      </c>
      <c r="C1598" t="inlineStr">
        <is>
          <t>M</t>
        </is>
      </c>
      <c r="D1598" t="n">
        <v>233</v>
      </c>
      <c r="E1598" t="n">
        <v>1047.45</v>
      </c>
      <c r="F1598" t="n">
        <v>2410388</v>
      </c>
      <c r="G1598" t="inlineStr">
        <is>
          <t>28.6-0-2.65-CEW-CEW</t>
        </is>
      </c>
      <c r="H1598" t="n">
        <v>1776.999</v>
      </c>
      <c r="I1598" t="inlineStr">
        <is>
          <t>TUB-O-C-AUT-AD-FC-28.60X2.650X04-05</t>
        </is>
      </c>
      <c r="J1598" t="inlineStr">
        <is>
          <t>TVS</t>
        </is>
      </c>
      <c r="K1598" t="inlineStr">
        <is>
          <t>28.6-0-2.65-CEW-CEW-1</t>
        </is>
      </c>
    </row>
    <row r="1599">
      <c r="A1599" t="inlineStr">
        <is>
          <t>0000948721</t>
        </is>
      </c>
      <c r="B1599" t="inlineStr">
        <is>
          <t>ELKAYEM AUTO ANCILLARIES PRIVATE LI</t>
        </is>
      </c>
      <c r="C1599" t="inlineStr">
        <is>
          <t>M</t>
        </is>
      </c>
      <c r="D1599" t="n">
        <v>226</v>
      </c>
      <c r="E1599" t="n">
        <v>1016.798</v>
      </c>
      <c r="F1599" t="n">
        <v>2410388</v>
      </c>
      <c r="G1599" t="inlineStr">
        <is>
          <t>28.6-0-2.65-CEW-CEW</t>
        </is>
      </c>
      <c r="H1599" t="n">
        <v>1724.998</v>
      </c>
      <c r="I1599" t="inlineStr">
        <is>
          <t>TUB-O-C-AUT-AD-FC-28.60X2.650X04-05</t>
        </is>
      </c>
      <c r="J1599" t="inlineStr">
        <is>
          <t>TVS</t>
        </is>
      </c>
      <c r="K1599" t="inlineStr">
        <is>
          <t>28.6-0-2.65-CEW-CEW-1</t>
        </is>
      </c>
    </row>
    <row r="1600">
      <c r="A1600" t="inlineStr">
        <is>
          <t>0000948721</t>
        </is>
      </c>
      <c r="B1600" t="inlineStr">
        <is>
          <t>ELKAYEM AUTO ANCILLARIES PRIVATE LI</t>
        </is>
      </c>
      <c r="C1600" t="inlineStr">
        <is>
          <t>M</t>
        </is>
      </c>
      <c r="D1600" t="n">
        <v>223</v>
      </c>
      <c r="E1600" t="n">
        <v>1003.83</v>
      </c>
      <c r="F1600" t="n">
        <v>2410388</v>
      </c>
      <c r="G1600" t="inlineStr">
        <is>
          <t>28.6-0-2.65-CEW-CEW</t>
        </is>
      </c>
      <c r="H1600" t="n">
        <v>1702.998</v>
      </c>
      <c r="I1600" t="inlineStr">
        <is>
          <t>TUB-O-C-AUT-AD-FC-28.60X2.650X04-05</t>
        </is>
      </c>
      <c r="J1600" t="inlineStr">
        <is>
          <t>TVS</t>
        </is>
      </c>
      <c r="K1600" t="inlineStr">
        <is>
          <t>28.6-0-2.65-CEW-CEW-1</t>
        </is>
      </c>
    </row>
    <row r="1601">
      <c r="A1601" t="inlineStr">
        <is>
          <t>0000948721</t>
        </is>
      </c>
      <c r="B1601" t="inlineStr">
        <is>
          <t>ELKAYEM AUTO ANCILLARIES PRIVATE LI</t>
        </is>
      </c>
      <c r="C1601" t="inlineStr">
        <is>
          <t>M</t>
        </is>
      </c>
      <c r="D1601" t="n">
        <v>179</v>
      </c>
      <c r="E1601" t="n">
        <v>806.954</v>
      </c>
      <c r="F1601" t="n">
        <v>2410388</v>
      </c>
      <c r="G1601" t="inlineStr">
        <is>
          <t>28.6-0-2.65-CEW-CEW</t>
        </is>
      </c>
      <c r="H1601" t="n">
        <v>1368.997</v>
      </c>
      <c r="I1601" t="inlineStr">
        <is>
          <t>TUB-O-C-AUT-AD-FC-28.60X2.650X04-05</t>
        </is>
      </c>
      <c r="J1601" t="inlineStr">
        <is>
          <t>TVS</t>
        </is>
      </c>
      <c r="K1601" t="inlineStr">
        <is>
          <t>28.6-0-2.65-CEW-CEW-1</t>
        </is>
      </c>
    </row>
    <row r="1602">
      <c r="A1602" t="inlineStr">
        <is>
          <t>0000948721</t>
        </is>
      </c>
      <c r="B1602" t="inlineStr">
        <is>
          <t>ELKAYEM AUTO ANCILLARIES PRIVATE LI</t>
        </is>
      </c>
      <c r="C1602" t="inlineStr">
        <is>
          <t>M</t>
        </is>
      </c>
      <c r="D1602" t="n">
        <v>205</v>
      </c>
      <c r="E1602" t="n">
        <v>924.255</v>
      </c>
      <c r="F1602" t="n">
        <v>2410388</v>
      </c>
      <c r="G1602" t="inlineStr">
        <is>
          <t>28.6-0-2.65-CEW-CEW</t>
        </is>
      </c>
      <c r="H1602" t="n">
        <v>1567.999</v>
      </c>
      <c r="I1602" t="inlineStr">
        <is>
          <t>TUB-O-C-AUT-AD-FC-28.60X2.650X04-05</t>
        </is>
      </c>
      <c r="J1602" t="inlineStr">
        <is>
          <t>TVS</t>
        </is>
      </c>
      <c r="K1602" t="inlineStr">
        <is>
          <t>28.6-0-2.65-CEW-CEW-1</t>
        </is>
      </c>
    </row>
    <row r="1603">
      <c r="A1603" t="inlineStr">
        <is>
          <t>0000948721</t>
        </is>
      </c>
      <c r="B1603" t="inlineStr">
        <is>
          <t>ELKAYEM AUTO ANCILLARIES PRIVATE LI</t>
        </is>
      </c>
      <c r="C1603" t="inlineStr">
        <is>
          <t>M</t>
        </is>
      </c>
      <c r="D1603" t="n">
        <v>180</v>
      </c>
      <c r="E1603" t="n">
        <v>811.67</v>
      </c>
      <c r="F1603" t="n">
        <v>2410388</v>
      </c>
      <c r="G1603" t="inlineStr">
        <is>
          <t>28.6-0-2.65-CEW-CEW</t>
        </is>
      </c>
      <c r="H1603" t="n">
        <v>1376.998</v>
      </c>
      <c r="I1603" t="inlineStr">
        <is>
          <t>TUB-O-C-AUT-AD-FC-28.60X2.650X04-05</t>
        </is>
      </c>
      <c r="J1603" t="inlineStr">
        <is>
          <t>TVS</t>
        </is>
      </c>
      <c r="K1603" t="inlineStr">
        <is>
          <t>28.6-0-2.65-CEW-CEW-1</t>
        </is>
      </c>
    </row>
    <row r="1604">
      <c r="A1604" t="inlineStr">
        <is>
          <t>0000948721</t>
        </is>
      </c>
      <c r="B1604" t="inlineStr">
        <is>
          <t>ELKAYEM AUTO ANCILLARIES PRIVATE LI</t>
        </is>
      </c>
      <c r="C1604" t="inlineStr">
        <is>
          <t>M</t>
        </is>
      </c>
      <c r="D1604" t="n">
        <v>58</v>
      </c>
      <c r="E1604" t="n">
        <v>261.392</v>
      </c>
      <c r="F1604" t="n">
        <v>2410388</v>
      </c>
      <c r="G1604" t="inlineStr">
        <is>
          <t>28.6-0-2.65-CEW-CEW</t>
        </is>
      </c>
      <c r="H1604" t="n">
        <v>443.452</v>
      </c>
      <c r="I1604" t="inlineStr">
        <is>
          <t>TUB-O-C-AUT-AD-FC-28.60X2.650X04-05</t>
        </is>
      </c>
      <c r="J1604" t="inlineStr">
        <is>
          <t>TVS</t>
        </is>
      </c>
      <c r="K1604" t="inlineStr">
        <is>
          <t>28.6-0-2.65-CEW-CEW-1</t>
        </is>
      </c>
    </row>
    <row r="1605">
      <c r="A1605" t="inlineStr">
        <is>
          <t>0000948721</t>
        </is>
      </c>
      <c r="B1605" t="inlineStr">
        <is>
          <t>ELKAYEM AUTO ANCILLARIES PRIVATE LI</t>
        </is>
      </c>
      <c r="C1605" t="inlineStr">
        <is>
          <t>M</t>
        </is>
      </c>
      <c r="D1605" t="n">
        <v>169</v>
      </c>
      <c r="E1605" t="n">
        <v>760.211</v>
      </c>
      <c r="F1605" t="n">
        <v>2410960</v>
      </c>
      <c r="G1605" t="inlineStr">
        <is>
          <t>31.75-25-3.37-CEW-CEW</t>
        </is>
      </c>
      <c r="H1605" t="n">
        <v>1795.998</v>
      </c>
      <c r="I1605" t="inlineStr">
        <is>
          <t>TUB-O-C-AUT-AD-FC-31.75X3.375X04-05</t>
        </is>
      </c>
      <c r="J1605" t="inlineStr">
        <is>
          <t>TVS</t>
        </is>
      </c>
      <c r="K1605" t="inlineStr">
        <is>
          <t>31.75-25-3.37-CEW-CEW-1</t>
        </is>
      </c>
    </row>
    <row r="1606">
      <c r="A1606" t="inlineStr">
        <is>
          <t>0000948721</t>
        </is>
      </c>
      <c r="B1606" t="inlineStr">
        <is>
          <t>ELKAYEM AUTO ANCILLARIES PRIVATE LI</t>
        </is>
      </c>
      <c r="C1606" t="inlineStr">
        <is>
          <t>M</t>
        </is>
      </c>
      <c r="D1606" t="n">
        <v>167</v>
      </c>
      <c r="E1606" t="n">
        <v>751.322</v>
      </c>
      <c r="F1606" t="n">
        <v>2410960</v>
      </c>
      <c r="G1606" t="inlineStr">
        <is>
          <t>31.75-25-3.37-CEW-CEW</t>
        </is>
      </c>
      <c r="H1606" t="n">
        <v>1774.998</v>
      </c>
      <c r="I1606" t="inlineStr">
        <is>
          <t>TUB-O-C-AUT-AD-FC-31.75X3.375X04-05</t>
        </is>
      </c>
      <c r="J1606" t="inlineStr">
        <is>
          <t>TVS</t>
        </is>
      </c>
      <c r="K1606" t="inlineStr">
        <is>
          <t>31.75-25-3.37-CEW-CEW-1</t>
        </is>
      </c>
    </row>
    <row r="1607">
      <c r="A1607" t="inlineStr">
        <is>
          <t>0000948721</t>
        </is>
      </c>
      <c r="B1607" t="inlineStr">
        <is>
          <t>ELKAYEM AUTO ANCILLARIES PRIVATE LI</t>
        </is>
      </c>
      <c r="C1607" t="inlineStr">
        <is>
          <t>M</t>
        </is>
      </c>
      <c r="D1607" t="n">
        <v>163</v>
      </c>
      <c r="E1607" t="n">
        <v>734.391</v>
      </c>
      <c r="F1607" t="n">
        <v>2410960</v>
      </c>
      <c r="G1607" t="inlineStr">
        <is>
          <t>31.75-25-3.37-CEW-CEW</t>
        </is>
      </c>
      <c r="H1607" t="n">
        <v>1734.999</v>
      </c>
      <c r="I1607" t="inlineStr">
        <is>
          <t>TUB-O-C-AUT-AD-FC-31.75X3.375X04-05</t>
        </is>
      </c>
      <c r="J1607" t="inlineStr">
        <is>
          <t>TVS</t>
        </is>
      </c>
      <c r="K1607" t="inlineStr">
        <is>
          <t>31.75-25-3.37-CEW-CEW-1</t>
        </is>
      </c>
    </row>
    <row r="1608">
      <c r="A1608" t="inlineStr">
        <is>
          <t>0000948721</t>
        </is>
      </c>
      <c r="B1608" t="inlineStr">
        <is>
          <t>ELKAYEM AUTO ANCILLARIES PRIVATE LI</t>
        </is>
      </c>
      <c r="C1608" t="inlineStr">
        <is>
          <t>M</t>
        </is>
      </c>
      <c r="D1608" t="n">
        <v>150</v>
      </c>
      <c r="E1608" t="n">
        <v>673.861</v>
      </c>
      <c r="F1608" t="n">
        <v>2410960</v>
      </c>
      <c r="G1608" t="inlineStr">
        <is>
          <t>31.75-25-3.37-CEW-CEW</t>
        </is>
      </c>
      <c r="H1608" t="n">
        <v>1591.997</v>
      </c>
      <c r="I1608" t="inlineStr">
        <is>
          <t>TUB-O-C-AUT-AD-FC-31.75X3.375X04-05</t>
        </is>
      </c>
      <c r="J1608" t="inlineStr">
        <is>
          <t>TVS</t>
        </is>
      </c>
      <c r="K1608" t="inlineStr">
        <is>
          <t>31.75-25-3.37-CEW-CEW-1</t>
        </is>
      </c>
    </row>
    <row r="1609">
      <c r="A1609" t="inlineStr">
        <is>
          <t>0000948721</t>
        </is>
      </c>
      <c r="B1609" t="inlineStr">
        <is>
          <t>ELKAYEM AUTO ANCILLARIES PRIVATE LI</t>
        </is>
      </c>
      <c r="C1609" t="inlineStr">
        <is>
          <t>M</t>
        </is>
      </c>
      <c r="D1609" t="n">
        <v>156</v>
      </c>
      <c r="E1609" t="n">
        <v>701.41</v>
      </c>
      <c r="F1609" t="n">
        <v>2410960</v>
      </c>
      <c r="G1609" t="inlineStr">
        <is>
          <t>31.75-25-3.37-CEW-CEW</t>
        </is>
      </c>
      <c r="H1609" t="n">
        <v>1657.081</v>
      </c>
      <c r="I1609" t="inlineStr">
        <is>
          <t>TUB-O-C-AUT-AD-FC-31.75X3.375X04-05</t>
        </is>
      </c>
      <c r="J1609" t="inlineStr">
        <is>
          <t>TVS</t>
        </is>
      </c>
      <c r="K1609" t="inlineStr">
        <is>
          <t>31.75-25-3.37-CEW-CEW-1</t>
        </is>
      </c>
    </row>
    <row r="1610">
      <c r="A1610" t="inlineStr">
        <is>
          <t>0000189226</t>
        </is>
      </c>
      <c r="B1610" t="inlineStr">
        <is>
          <t>Neel Metal Products Limited</t>
        </is>
      </c>
      <c r="C1610" t="inlineStr">
        <is>
          <t>NOS</t>
        </is>
      </c>
      <c r="D1610" t="n">
        <v>2615</v>
      </c>
      <c r="E1610" t="n">
        <v>549.15</v>
      </c>
      <c r="F1610" t="n">
        <v>3690546</v>
      </c>
      <c r="G1610" t="inlineStr">
        <is>
          <t>42.7-0-3.5-ERW 1-FC</t>
        </is>
      </c>
      <c r="H1610" t="n">
        <v>1858.103</v>
      </c>
      <c r="I1610" t="inlineStr">
        <is>
          <t>CUT-O-N-AUT-NR-FC-42.70X3.500X0.2100</t>
        </is>
      </c>
      <c r="J1610" t="inlineStr">
        <is>
          <t>TVS</t>
        </is>
      </c>
      <c r="K1610" t="inlineStr">
        <is>
          <t>42.7-0-3.5-ERW 1-FC-0.21</t>
        </is>
      </c>
    </row>
    <row r="1611">
      <c r="A1611" t="inlineStr">
        <is>
          <t>0000189226</t>
        </is>
      </c>
      <c r="B1611" t="inlineStr">
        <is>
          <t>Neel Metal Products Limited</t>
        </is>
      </c>
      <c r="C1611" t="inlineStr">
        <is>
          <t>NOS</t>
        </is>
      </c>
      <c r="D1611" t="n">
        <v>2711.604</v>
      </c>
      <c r="E1611" t="n">
        <v>1979.816</v>
      </c>
      <c r="F1611" t="n">
        <v>1940881</v>
      </c>
      <c r="G1611" t="inlineStr">
        <is>
          <t>50-30-2-ERW 1-FC</t>
        </is>
      </c>
      <c r="H1611" t="n">
        <v>4767</v>
      </c>
      <c r="I1611" t="inlineStr">
        <is>
          <t>TUB-R-AW-RHS-50.00X30.00X2.000X0.7300</t>
        </is>
      </c>
      <c r="J1611" t="inlineStr">
        <is>
          <t>TVS</t>
        </is>
      </c>
      <c r="K1611" t="inlineStr">
        <is>
          <t>50-30-2-ERW 1-FC-0.73</t>
        </is>
      </c>
    </row>
    <row r="1612">
      <c r="A1612" t="inlineStr">
        <is>
          <t>0000189226</t>
        </is>
      </c>
      <c r="B1612" t="inlineStr">
        <is>
          <t>Neel Metal Products Limited</t>
        </is>
      </c>
      <c r="C1612" t="inlineStr">
        <is>
          <t>NOS</t>
        </is>
      </c>
      <c r="D1612" t="n">
        <v>402.396</v>
      </c>
      <c r="E1612" t="n">
        <v>293.8</v>
      </c>
      <c r="F1612" t="n">
        <v>1940881</v>
      </c>
      <c r="G1612" t="inlineStr">
        <is>
          <t>50-30-2-ERW 1-FC</t>
        </is>
      </c>
      <c r="H1612" t="n">
        <v>707.412</v>
      </c>
      <c r="I1612" t="inlineStr">
        <is>
          <t>TUB-R-AW-RHS-50.00X30.00X2.000X0.7300</t>
        </is>
      </c>
      <c r="J1612" t="inlineStr">
        <is>
          <t>TVS</t>
        </is>
      </c>
      <c r="K1612" t="inlineStr">
        <is>
          <t>50-30-2-ERW 1-FC-0.73</t>
        </is>
      </c>
    </row>
    <row r="1613">
      <c r="A1613" t="inlineStr">
        <is>
          <t>0000819045</t>
        </is>
      </c>
      <c r="B1613" t="inlineStr">
        <is>
          <t>KNITVEL NEEDLES P LTD</t>
        </is>
      </c>
      <c r="C1613" t="inlineStr">
        <is>
          <t>NOS</t>
        </is>
      </c>
      <c r="D1613" t="n">
        <v>2595</v>
      </c>
      <c r="E1613" t="n">
        <v>3171.083</v>
      </c>
      <c r="F1613" t="n">
        <v>3533249</v>
      </c>
      <c r="G1613" t="inlineStr">
        <is>
          <t>22.23-0-1.6-ERW 1-PE</t>
        </is>
      </c>
      <c r="H1613" t="n">
        <v>2488.173</v>
      </c>
      <c r="I1613" t="inlineStr">
        <is>
          <t>CUT-O-N-AUT-AW-PE-22.20X1.600X1.2220</t>
        </is>
      </c>
      <c r="J1613" t="inlineStr">
        <is>
          <t>TVS</t>
        </is>
      </c>
      <c r="K1613" t="inlineStr">
        <is>
          <t>22.23-0-1.6-ERW 1-PE-1.222</t>
        </is>
      </c>
    </row>
    <row r="1614">
      <c r="A1614" t="inlineStr">
        <is>
          <t>0000819045</t>
        </is>
      </c>
      <c r="B1614" t="inlineStr">
        <is>
          <t>KNITVEL NEEDLES P LTD</t>
        </is>
      </c>
      <c r="C1614" t="inlineStr">
        <is>
          <t>NOS</t>
        </is>
      </c>
      <c r="D1614" t="n">
        <v>2170</v>
      </c>
      <c r="E1614" t="n">
        <v>2799.324</v>
      </c>
      <c r="F1614" t="n">
        <v>3533248</v>
      </c>
      <c r="G1614" t="inlineStr">
        <is>
          <t>22.23-0-1.6-ERW 1-PE</t>
        </is>
      </c>
      <c r="H1614" t="n">
        <v>2196.474</v>
      </c>
      <c r="I1614" t="inlineStr">
        <is>
          <t>CUT-O-N-AUT-AW-PE-22.20X1.600X1.2900</t>
        </is>
      </c>
      <c r="J1614" t="inlineStr">
        <is>
          <t>TVS</t>
        </is>
      </c>
      <c r="K1614" t="inlineStr">
        <is>
          <t>22.23-0-1.6-ERW 1-PE-1.29</t>
        </is>
      </c>
    </row>
    <row r="1615">
      <c r="A1615" t="inlineStr">
        <is>
          <t>0000948721</t>
        </is>
      </c>
      <c r="B1615" t="inlineStr">
        <is>
          <t>ELKAYEM AUTO ANCILLARIES PRIVATE LI</t>
        </is>
      </c>
      <c r="C1615" t="inlineStr">
        <is>
          <t>NOS</t>
        </is>
      </c>
      <c r="D1615" t="n">
        <v>584.763</v>
      </c>
      <c r="E1615" t="n">
        <v>122.364</v>
      </c>
      <c r="F1615" t="n">
        <v>3617058</v>
      </c>
      <c r="G1615" t="inlineStr">
        <is>
          <t>28.6-0-2.65-CEW-CEW</t>
        </is>
      </c>
      <c r="H1615" t="n">
        <v>207.591</v>
      </c>
      <c r="I1615" t="inlineStr">
        <is>
          <t>TUB-O-C-AUT-AD-FC-28.60X2.650X0.2090</t>
        </is>
      </c>
      <c r="J1615" t="inlineStr">
        <is>
          <t>TVS</t>
        </is>
      </c>
      <c r="K1615" t="inlineStr">
        <is>
          <t>28.6-0-2.65-CEW-CEW-0.209</t>
        </is>
      </c>
    </row>
    <row r="1616">
      <c r="A1616" t="inlineStr">
        <is>
          <t>0000948721</t>
        </is>
      </c>
      <c r="B1616" t="inlineStr">
        <is>
          <t>ELKAYEM AUTO ANCILLARIES PRIVATE LI</t>
        </is>
      </c>
      <c r="C1616" t="inlineStr">
        <is>
          <t>NOS</t>
        </is>
      </c>
      <c r="D1616" t="n">
        <v>1415.237</v>
      </c>
      <c r="E1616" t="n">
        <v>296.144</v>
      </c>
      <c r="F1616" t="n">
        <v>3617058</v>
      </c>
      <c r="G1616" t="inlineStr">
        <is>
          <t>28.6-0-2.65-CEW-CEW</t>
        </is>
      </c>
      <c r="H1616" t="n">
        <v>502.409</v>
      </c>
      <c r="I1616" t="inlineStr">
        <is>
          <t>TUB-O-C-AUT-AD-FC-28.60X2.650X0.2090</t>
        </is>
      </c>
      <c r="J1616" t="inlineStr">
        <is>
          <t>TVS</t>
        </is>
      </c>
      <c r="K1616" t="inlineStr">
        <is>
          <t>28.6-0-2.65-CEW-CEW-0.209</t>
        </is>
      </c>
    </row>
    <row r="1617">
      <c r="A1617" t="inlineStr">
        <is>
          <t>0000941496</t>
        </is>
      </c>
      <c r="B1617" t="inlineStr">
        <is>
          <t>SANDHAR ENGINEERING PVT LTD.(KA) -U</t>
        </is>
      </c>
      <c r="C1617" t="inlineStr">
        <is>
          <t>NOS</t>
        </is>
      </c>
      <c r="D1617" t="n">
        <v>2000</v>
      </c>
      <c r="E1617" t="n">
        <v>1072.66</v>
      </c>
      <c r="F1617" t="n">
        <v>1940822</v>
      </c>
      <c r="G1617" t="inlineStr">
        <is>
          <t>40-25-1.6-ERW 1-FC</t>
        </is>
      </c>
      <c r="H1617" t="n">
        <v>1680</v>
      </c>
      <c r="I1617" t="inlineStr">
        <is>
          <t>TUB-R-AW-RHS-40.00X25.00X1.600X0.5360</t>
        </is>
      </c>
      <c r="J1617" t="inlineStr">
        <is>
          <t>TVS</t>
        </is>
      </c>
      <c r="K1617" t="inlineStr">
        <is>
          <t>40-25-1.6-ERW 1-FC-0.536</t>
        </is>
      </c>
    </row>
    <row r="1618">
      <c r="A1618" t="inlineStr">
        <is>
          <t>0000941496</t>
        </is>
      </c>
      <c r="B1618" t="inlineStr">
        <is>
          <t>SANDHAR ENGINEERING PVT LTD.(KA) -U</t>
        </is>
      </c>
      <c r="C1618" t="inlineStr">
        <is>
          <t>NOS</t>
        </is>
      </c>
      <c r="D1618" t="n">
        <v>2000</v>
      </c>
      <c r="E1618" t="n">
        <v>416.003</v>
      </c>
      <c r="F1618" t="n">
        <v>3722021</v>
      </c>
      <c r="G1618" t="inlineStr">
        <is>
          <t>42.7-0-3.5-ERW 1-FC</t>
        </is>
      </c>
      <c r="H1618" t="n">
        <v>1408.044</v>
      </c>
      <c r="I1618" t="inlineStr">
        <is>
          <t>TUB-O-N-AUT-AN--42.70X3.500X0.2080</t>
        </is>
      </c>
      <c r="J1618" t="inlineStr">
        <is>
          <t>TVS</t>
        </is>
      </c>
      <c r="K1618" t="inlineStr">
        <is>
          <t>42.7-0-3.5-ERW 1-FC-0.208</t>
        </is>
      </c>
    </row>
    <row r="1619">
      <c r="A1619" t="inlineStr">
        <is>
          <t>0000941496</t>
        </is>
      </c>
      <c r="B1619" t="inlineStr">
        <is>
          <t>SANDHAR ENGINEERING PVT LTD.(KA) -U</t>
        </is>
      </c>
      <c r="C1619" t="inlineStr">
        <is>
          <t>NOS</t>
        </is>
      </c>
      <c r="D1619" t="n">
        <v>2000</v>
      </c>
      <c r="E1619" t="n">
        <v>1025.412</v>
      </c>
      <c r="F1619" t="n">
        <v>1940821</v>
      </c>
      <c r="G1619" t="inlineStr">
        <is>
          <t>40-25-1.6-ERW 1-FC</t>
        </is>
      </c>
      <c r="H1619" t="n">
        <v>1606</v>
      </c>
      <c r="I1619" t="inlineStr">
        <is>
          <t>TUB-R-AW-RHS-40.00X25.00X1.600X0.5130</t>
        </is>
      </c>
      <c r="J1619" t="inlineStr">
        <is>
          <t>TVS</t>
        </is>
      </c>
      <c r="K1619" t="inlineStr">
        <is>
          <t>40-25-1.6-ERW 1-FC-0.513</t>
        </is>
      </c>
    </row>
    <row r="1620">
      <c r="A1620" t="inlineStr">
        <is>
          <t>0000941496</t>
        </is>
      </c>
      <c r="B1620" t="inlineStr">
        <is>
          <t>SANDHAR ENGINEERING PVT LTD.(KA) -U</t>
        </is>
      </c>
      <c r="C1620" t="inlineStr">
        <is>
          <t>NOS</t>
        </is>
      </c>
      <c r="D1620" t="n">
        <v>1240</v>
      </c>
      <c r="E1620" t="n">
        <v>635.755</v>
      </c>
      <c r="F1620" t="n">
        <v>1940821</v>
      </c>
      <c r="G1620" t="inlineStr">
        <is>
          <t>40-25-1.6-ERW 1-FC</t>
        </is>
      </c>
      <c r="H1620" t="n">
        <v>995.72</v>
      </c>
      <c r="I1620" t="inlineStr">
        <is>
          <t>TUB-R-AW-RHS-40.00X25.00X1.600X0.5130</t>
        </is>
      </c>
      <c r="J1620" t="inlineStr">
        <is>
          <t>TVS</t>
        </is>
      </c>
      <c r="K1620" t="inlineStr">
        <is>
          <t>40-25-1.6-ERW 1-FC-0.513</t>
        </is>
      </c>
    </row>
    <row r="1621">
      <c r="A1621" t="inlineStr">
        <is>
          <t>0000941496</t>
        </is>
      </c>
      <c r="B1621" t="inlineStr">
        <is>
          <t>SANDHAR ENGINEERING PVT LTD.(KA) -U</t>
        </is>
      </c>
      <c r="C1621" t="inlineStr">
        <is>
          <t>NOS</t>
        </is>
      </c>
      <c r="D1621" t="n">
        <v>1867</v>
      </c>
      <c r="E1621" t="n">
        <v>957.222</v>
      </c>
      <c r="F1621" t="n">
        <v>1940821</v>
      </c>
      <c r="G1621" t="inlineStr">
        <is>
          <t>40-25-1.6-ERW 1-FC</t>
        </is>
      </c>
      <c r="H1621" t="n">
        <v>1499.201</v>
      </c>
      <c r="I1621" t="inlineStr">
        <is>
          <t>TUB-R-AW-RHS-40.00X25.00X1.600X0.5130</t>
        </is>
      </c>
      <c r="J1621" t="inlineStr">
        <is>
          <t>TVS</t>
        </is>
      </c>
      <c r="K1621" t="inlineStr">
        <is>
          <t>40-25-1.6-ERW 1-FC-0.513</t>
        </is>
      </c>
    </row>
    <row r="1622">
      <c r="A1622" t="inlineStr">
        <is>
          <t>0000941496</t>
        </is>
      </c>
      <c r="B1622" t="inlineStr">
        <is>
          <t>SANDHAR ENGINEERING PVT LTD.(KA) -U</t>
        </is>
      </c>
      <c r="C1622" t="inlineStr">
        <is>
          <t>NOS</t>
        </is>
      </c>
      <c r="D1622" t="n">
        <v>1097.619</v>
      </c>
      <c r="E1622" t="n">
        <v>588.686</v>
      </c>
      <c r="F1622" t="n">
        <v>1940822</v>
      </c>
      <c r="G1622" t="inlineStr">
        <is>
          <t>40-25-1.6-ERW 1-FC</t>
        </is>
      </c>
      <c r="H1622" t="n">
        <v>922</v>
      </c>
      <c r="I1622" t="inlineStr">
        <is>
          <t>TUB-R-AW-RHS-40.00X25.00X1.600X0.5360</t>
        </is>
      </c>
      <c r="J1622" t="inlineStr">
        <is>
          <t>TVS</t>
        </is>
      </c>
      <c r="K1622" t="inlineStr">
        <is>
          <t>40-25-1.6-ERW 1-FC-0.536</t>
        </is>
      </c>
    </row>
    <row r="1623">
      <c r="A1623" t="inlineStr">
        <is>
          <t>0000941496</t>
        </is>
      </c>
      <c r="B1623" t="inlineStr">
        <is>
          <t>SANDHAR ENGINEERING PVT LTD.(KA) -U</t>
        </is>
      </c>
      <c r="C1623" t="inlineStr">
        <is>
          <t>NOS</t>
        </is>
      </c>
      <c r="D1623" t="n">
        <v>2352.381</v>
      </c>
      <c r="E1623" t="n">
        <v>1261.652</v>
      </c>
      <c r="F1623" t="n">
        <v>1940822</v>
      </c>
      <c r="G1623" t="inlineStr">
        <is>
          <t>40-25-1.6-ERW 1-FC</t>
        </is>
      </c>
      <c r="H1623" t="n">
        <v>1976</v>
      </c>
      <c r="I1623" t="inlineStr">
        <is>
          <t>TUB-R-AW-RHS-40.00X25.00X1.600X0.5360</t>
        </is>
      </c>
      <c r="J1623" t="inlineStr">
        <is>
          <t>TVS</t>
        </is>
      </c>
      <c r="K1623" t="inlineStr">
        <is>
          <t>40-25-1.6-ERW 1-FC-0.536</t>
        </is>
      </c>
    </row>
    <row r="1624">
      <c r="A1624" t="inlineStr">
        <is>
          <t>0000129663</t>
        </is>
      </c>
      <c r="B1624" t="inlineStr">
        <is>
          <t>ELKAYEM AUTO ANCILLARIES (PVT) LTD.</t>
        </is>
      </c>
      <c r="C1624" t="inlineStr">
        <is>
          <t>NOS</t>
        </is>
      </c>
      <c r="D1624" t="n">
        <v>4660</v>
      </c>
      <c r="E1624" t="n">
        <v>2595.561</v>
      </c>
      <c r="F1624" t="n">
        <v>4079374</v>
      </c>
      <c r="G1624" t="inlineStr">
        <is>
          <t>48.6-0-4-ERW 2-FC-Ampere</t>
        </is>
      </c>
      <c r="H1624" t="n">
        <v>11158.836</v>
      </c>
      <c r="I1624" t="inlineStr">
        <is>
          <t>CUT-O-N-AUT-AW-FC-48.60X4.000X0.5570</t>
        </is>
      </c>
      <c r="J1624" t="inlineStr">
        <is>
          <t>TVS</t>
        </is>
      </c>
      <c r="K1624" t="inlineStr">
        <is>
          <t>48.6-0-4-ERW 2-FC-Ampere-0.557</t>
        </is>
      </c>
    </row>
    <row r="1625">
      <c r="A1625" t="inlineStr">
        <is>
          <t>0000185254</t>
        </is>
      </c>
      <c r="B1625" t="inlineStr">
        <is>
          <t>LAXMI METAL PRESSING WORKS PVT LTD</t>
        </is>
      </c>
      <c r="C1625" t="inlineStr">
        <is>
          <t>NOS</t>
        </is>
      </c>
      <c r="D1625" t="n">
        <v>2500</v>
      </c>
      <c r="E1625" t="n">
        <v>2849.384</v>
      </c>
      <c r="F1625" t="n">
        <v>2396464</v>
      </c>
      <c r="G1625" t="inlineStr">
        <is>
          <t>54-0-3-ERW 2-FC</t>
        </is>
      </c>
      <c r="H1625" t="n">
        <v>10755</v>
      </c>
      <c r="I1625" t="inlineStr">
        <is>
          <t>TUB-O-N-AUT-AN-FC-54.00X3.000X1.1400</t>
        </is>
      </c>
      <c r="J1625" t="inlineStr">
        <is>
          <t>TVS</t>
        </is>
      </c>
      <c r="K1625" t="inlineStr">
        <is>
          <t>54-0-3-ERW 2-FC-1.14</t>
        </is>
      </c>
    </row>
    <row r="1626">
      <c r="A1626" t="inlineStr">
        <is>
          <t>0000185254</t>
        </is>
      </c>
      <c r="B1626" t="inlineStr">
        <is>
          <t>LAXMI METAL PRESSING WORKS PVT LTD</t>
        </is>
      </c>
      <c r="C1626" t="inlineStr">
        <is>
          <t>NOS</t>
        </is>
      </c>
      <c r="D1626" t="n">
        <v>250</v>
      </c>
      <c r="E1626" t="n">
        <v>128.002</v>
      </c>
      <c r="F1626" t="n">
        <v>3801263</v>
      </c>
      <c r="G1626" t="inlineStr">
        <is>
          <t>70-0-3.2-ERW 2-FC</t>
        </is>
      </c>
      <c r="H1626" t="n">
        <v>674.775</v>
      </c>
      <c r="I1626" t="inlineStr">
        <is>
          <t>CUT-N-AUT-AN-FC-70.00X3.200X0.5120</t>
        </is>
      </c>
      <c r="J1626" t="inlineStr">
        <is>
          <t>TVS</t>
        </is>
      </c>
      <c r="K1626" t="inlineStr">
        <is>
          <t>70-0-3.2-ERW 2-FC-0.512</t>
        </is>
      </c>
    </row>
    <row r="1627">
      <c r="A1627" t="inlineStr">
        <is>
          <t>0000948721</t>
        </is>
      </c>
      <c r="B1627" t="inlineStr">
        <is>
          <t>ELKAYEM AUTO ANCILLARIES PRIVATE LI</t>
        </is>
      </c>
      <c r="C1627" t="inlineStr">
        <is>
          <t>NOS</t>
        </is>
      </c>
      <c r="D1627" t="n">
        <v>3000</v>
      </c>
      <c r="E1627" t="n">
        <v>627.763</v>
      </c>
      <c r="F1627" t="n">
        <v>3617058</v>
      </c>
      <c r="G1627" t="inlineStr">
        <is>
          <t>28.6-0-2.65-CEW-CEW</t>
        </is>
      </c>
      <c r="H1627" t="n">
        <v>1065</v>
      </c>
      <c r="I1627" t="inlineStr">
        <is>
          <t>TUB-O-C-AUT-AD-FC-28.60X2.650X0.2090</t>
        </is>
      </c>
      <c r="J1627" t="inlineStr">
        <is>
          <t>TVS</t>
        </is>
      </c>
      <c r="K1627" t="inlineStr">
        <is>
          <t>28.6-0-2.65-CEW-CEW-0.209</t>
        </is>
      </c>
    </row>
    <row r="1628">
      <c r="A1628" t="inlineStr">
        <is>
          <t>0000189226</t>
        </is>
      </c>
      <c r="B1628" t="inlineStr">
        <is>
          <t>Neel Metal Products Limited</t>
        </is>
      </c>
      <c r="C1628" t="inlineStr">
        <is>
          <t>NOS</t>
        </is>
      </c>
      <c r="D1628" t="n">
        <v>1480</v>
      </c>
      <c r="E1628" t="n">
        <v>310.8</v>
      </c>
      <c r="F1628" t="n">
        <v>3690546</v>
      </c>
      <c r="G1628" t="inlineStr">
        <is>
          <t>42.7-0-3.5-ERW 1-FC</t>
        </is>
      </c>
      <c r="H1628" t="n">
        <v>1051.622</v>
      </c>
      <c r="I1628" t="inlineStr">
        <is>
          <t>CUT-O-N-AUT-NR-FC-42.70X3.500X0.2100</t>
        </is>
      </c>
      <c r="J1628" t="inlineStr">
        <is>
          <t>TVS</t>
        </is>
      </c>
      <c r="K1628" t="inlineStr">
        <is>
          <t>42.7-0-3.5-ERW 1-FC-0.21</t>
        </is>
      </c>
    </row>
    <row r="1629">
      <c r="A1629" t="inlineStr">
        <is>
          <t>0000189226</t>
        </is>
      </c>
      <c r="B1629" t="inlineStr">
        <is>
          <t>Neel Metal Products Limited</t>
        </is>
      </c>
      <c r="C1629" t="inlineStr">
        <is>
          <t>NOS</t>
        </is>
      </c>
      <c r="D1629" t="n">
        <v>2000</v>
      </c>
      <c r="E1629" t="n">
        <v>2280.022</v>
      </c>
      <c r="F1629" t="n">
        <v>3711330</v>
      </c>
      <c r="G1629" t="inlineStr">
        <is>
          <t>54-0-3-ERW 2-FC</t>
        </is>
      </c>
      <c r="H1629" t="n">
        <v>8468</v>
      </c>
      <c r="I1629" t="inlineStr">
        <is>
          <t>CUT-O-N-AUT-AW-FC-54.00X3.000X1.1400</t>
        </is>
      </c>
      <c r="J1629" t="inlineStr">
        <is>
          <t>TVS</t>
        </is>
      </c>
      <c r="K1629" t="inlineStr">
        <is>
          <t>54-0-3-ERW 2-FC-1.14</t>
        </is>
      </c>
    </row>
    <row r="1630">
      <c r="A1630" t="inlineStr">
        <is>
          <t>0000189226</t>
        </is>
      </c>
      <c r="B1630" t="inlineStr">
        <is>
          <t>Neel Metal Products Limited</t>
        </is>
      </c>
      <c r="C1630" t="inlineStr">
        <is>
          <t>NOS</t>
        </is>
      </c>
      <c r="D1630" t="n">
        <v>725</v>
      </c>
      <c r="E1630" t="n">
        <v>586.525</v>
      </c>
      <c r="F1630" t="n">
        <v>1940466</v>
      </c>
      <c r="G1630" t="inlineStr">
        <is>
          <t>22.23-0-2-ERW 1-PE</t>
        </is>
      </c>
      <c r="H1630" t="n">
        <v>571.171</v>
      </c>
      <c r="I1630" t="inlineStr">
        <is>
          <t>TUB-O-O-AUT-AW-PE-22.23X2.000X0.8090</t>
        </is>
      </c>
      <c r="J1630" t="inlineStr">
        <is>
          <t>TVS</t>
        </is>
      </c>
      <c r="K1630" t="inlineStr">
        <is>
          <t>22.23-0-2-ERW 1-PE-0.809</t>
        </is>
      </c>
    </row>
    <row r="1631">
      <c r="A1631" t="inlineStr">
        <is>
          <t>0000189226</t>
        </is>
      </c>
      <c r="B1631" t="inlineStr">
        <is>
          <t>Neel Metal Products Limited</t>
        </is>
      </c>
      <c r="C1631" t="inlineStr">
        <is>
          <t>NOS</t>
        </is>
      </c>
      <c r="D1631" t="n">
        <v>4000</v>
      </c>
      <c r="E1631" t="n">
        <v>3247.249</v>
      </c>
      <c r="F1631" t="n">
        <v>1940743</v>
      </c>
      <c r="G1631" t="inlineStr">
        <is>
          <t>38.1-0-2-ERW 1-FC</t>
        </is>
      </c>
      <c r="H1631" t="n">
        <v>5784</v>
      </c>
      <c r="I1631" t="inlineStr">
        <is>
          <t>TUB-O-O-AUT-AW-FC-38.10X2.000X0.8120</t>
        </is>
      </c>
      <c r="J1631" t="inlineStr">
        <is>
          <t>TVS</t>
        </is>
      </c>
      <c r="K1631" t="inlineStr">
        <is>
          <t>38.1-0-2-ERW 1-FC-0.812</t>
        </is>
      </c>
    </row>
    <row r="1632">
      <c r="A1632" t="inlineStr">
        <is>
          <t>0000189481</t>
        </is>
      </c>
      <c r="B1632" t="inlineStr">
        <is>
          <t>Rajsriya Automotive Industries</t>
        </is>
      </c>
      <c r="C1632" t="inlineStr">
        <is>
          <t>NOS</t>
        </is>
      </c>
      <c r="D1632" t="n">
        <v>600</v>
      </c>
      <c r="E1632" t="n">
        <v>463.206</v>
      </c>
      <c r="F1632" t="n">
        <v>3784472</v>
      </c>
      <c r="G1632" t="inlineStr">
        <is>
          <t>57.15-0-2.5-ERW 1-FC</t>
        </is>
      </c>
      <c r="H1632" t="n">
        <v>1501.02</v>
      </c>
      <c r="I1632" t="inlineStr">
        <is>
          <t>CUT-O-N-AUT-AW-PE-57.15X2.500X0.7720</t>
        </is>
      </c>
      <c r="J1632" t="inlineStr">
        <is>
          <t>TVS</t>
        </is>
      </c>
      <c r="K1632" t="inlineStr">
        <is>
          <t>57.15-0-2.5-ERW 1-FC-0.772</t>
        </is>
      </c>
    </row>
    <row r="1633">
      <c r="A1633" t="inlineStr">
        <is>
          <t>0000944141</t>
        </is>
      </c>
      <c r="B1633" t="inlineStr">
        <is>
          <t>SRIKAM HITECH ENGINEERING PRIVATE L</t>
        </is>
      </c>
      <c r="C1633" t="inlineStr">
        <is>
          <t>NOS</t>
        </is>
      </c>
      <c r="D1633" t="n">
        <v>7000</v>
      </c>
      <c r="E1633" t="n">
        <v>2988.972</v>
      </c>
      <c r="F1633" t="n">
        <v>3629057</v>
      </c>
      <c r="G1633" t="inlineStr">
        <is>
          <t>22.23-0-2.3-ERW 1-PE</t>
        </is>
      </c>
      <c r="H1633" t="n">
        <v>3243.333</v>
      </c>
      <c r="I1633" t="inlineStr">
        <is>
          <t>PT2-O-N-AUT-NR-PE-22.20X2.300X0.4270</t>
        </is>
      </c>
      <c r="J1633" t="inlineStr">
        <is>
          <t>TVS</t>
        </is>
      </c>
      <c r="K1633" t="inlineStr">
        <is>
          <t>22.23-0-2.3-ERW 1-PE-0.427</t>
        </is>
      </c>
    </row>
    <row r="1634">
      <c r="A1634" t="inlineStr">
        <is>
          <t>0000185254</t>
        </is>
      </c>
      <c r="B1634" t="inlineStr">
        <is>
          <t>LAXMI METAL PRESSING WORKS PVT LTD</t>
        </is>
      </c>
      <c r="C1634" t="inlineStr">
        <is>
          <t>NOS</t>
        </is>
      </c>
      <c r="D1634" t="n">
        <v>630</v>
      </c>
      <c r="E1634" t="n">
        <v>718.045</v>
      </c>
      <c r="F1634" t="n">
        <v>2396464</v>
      </c>
      <c r="G1634" t="inlineStr">
        <is>
          <t>54-0-3-ERW 2-FC</t>
        </is>
      </c>
      <c r="H1634" t="n">
        <v>2710.26</v>
      </c>
      <c r="I1634" t="inlineStr">
        <is>
          <t>TUB-O-N-AUT-AN-FC-54.00X3.000X1.1400</t>
        </is>
      </c>
      <c r="J1634" t="inlineStr">
        <is>
          <t>TVS</t>
        </is>
      </c>
      <c r="K1634" t="inlineStr">
        <is>
          <t>54-0-3-ERW 2-FC-1.14</t>
        </is>
      </c>
    </row>
    <row r="1635">
      <c r="A1635" t="inlineStr">
        <is>
          <t>0000185254</t>
        </is>
      </c>
      <c r="B1635" t="inlineStr">
        <is>
          <t>LAXMI METAL PRESSING WORKS PVT LTD</t>
        </is>
      </c>
      <c r="C1635" t="inlineStr">
        <is>
          <t>NOS</t>
        </is>
      </c>
      <c r="D1635" t="n">
        <v>500</v>
      </c>
      <c r="E1635" t="n">
        <v>256.004</v>
      </c>
      <c r="F1635" t="n">
        <v>3801263</v>
      </c>
      <c r="G1635" t="inlineStr">
        <is>
          <t>70-0-3.2-ERW 2-FC</t>
        </is>
      </c>
      <c r="H1635" t="n">
        <v>1349.55</v>
      </c>
      <c r="I1635" t="inlineStr">
        <is>
          <t>CUT-N-AUT-AN-FC-70.00X3.200X0.5120</t>
        </is>
      </c>
      <c r="J1635" t="inlineStr">
        <is>
          <t>TVS</t>
        </is>
      </c>
      <c r="K1635" t="inlineStr">
        <is>
          <t>70-0-3.2-ERW 2-FC-0.512</t>
        </is>
      </c>
    </row>
    <row r="1636">
      <c r="A1636" t="inlineStr">
        <is>
          <t>0000945539</t>
        </is>
      </c>
      <c r="B1636" t="inlineStr">
        <is>
          <t>Sandhar EngineeringPvt.Ltd.(KA)-Uni</t>
        </is>
      </c>
      <c r="C1636" t="inlineStr">
        <is>
          <t>NOS</t>
        </is>
      </c>
      <c r="D1636" t="n">
        <v>1441.281</v>
      </c>
      <c r="E1636" t="n">
        <v>994.597</v>
      </c>
      <c r="F1636" t="n">
        <v>3714733</v>
      </c>
      <c r="G1636" t="inlineStr">
        <is>
          <t>22.23-0-1.6-ERW 1-PE</t>
        </is>
      </c>
      <c r="H1636" t="n">
        <v>810</v>
      </c>
      <c r="I1636" t="inlineStr">
        <is>
          <t>TUB-O-N-AUT-AW-PE-22.23X1.600X0.690</t>
        </is>
      </c>
      <c r="J1636" t="inlineStr">
        <is>
          <t>TVS</t>
        </is>
      </c>
      <c r="K1636" t="inlineStr">
        <is>
          <t>22.23-0-1.6-ERW 1-PE-0.69</t>
        </is>
      </c>
    </row>
    <row r="1637">
      <c r="A1637" t="inlineStr">
        <is>
          <t>0000945539</t>
        </is>
      </c>
      <c r="B1637" t="inlineStr">
        <is>
          <t>Sandhar EngineeringPvt.Ltd.(KA)-Uni</t>
        </is>
      </c>
      <c r="C1637" t="inlineStr">
        <is>
          <t>NOS</t>
        </is>
      </c>
      <c r="D1637" t="n">
        <v>3558.719</v>
      </c>
      <c r="E1637" t="n">
        <v>2455.796</v>
      </c>
      <c r="F1637" t="n">
        <v>3714733</v>
      </c>
      <c r="G1637" t="inlineStr">
        <is>
          <t>22.23-0-1.6-ERW 1-PE</t>
        </is>
      </c>
      <c r="H1637" t="n">
        <v>2000</v>
      </c>
      <c r="I1637" t="inlineStr">
        <is>
          <t>TUB-O-N-AUT-AW-PE-22.23X1.600X0.690</t>
        </is>
      </c>
      <c r="J1637" t="inlineStr">
        <is>
          <t>TVS</t>
        </is>
      </c>
      <c r="K1637" t="inlineStr">
        <is>
          <t>22.23-0-1.6-ERW 1-PE-0.69</t>
        </is>
      </c>
    </row>
    <row r="1638">
      <c r="A1638" t="inlineStr">
        <is>
          <t>0000944141</t>
        </is>
      </c>
      <c r="B1638" t="inlineStr">
        <is>
          <t>SRIKAM HITECH ENGINEERING PRIVATE L</t>
        </is>
      </c>
      <c r="C1638" t="inlineStr">
        <is>
          <t>NOS</t>
        </is>
      </c>
      <c r="D1638" t="n">
        <v>35617</v>
      </c>
      <c r="E1638" t="n">
        <v>10008.312</v>
      </c>
      <c r="F1638" t="n">
        <v>3508156</v>
      </c>
      <c r="G1638" t="inlineStr">
        <is>
          <t>22.23-0-2.3-ERW 1-PE</t>
        </is>
      </c>
      <c r="H1638" t="n">
        <v>10860.019</v>
      </c>
      <c r="I1638" t="inlineStr">
        <is>
          <t>CUT-O-N-AUT-AW-PE-22.20X2.300X0.2810</t>
        </is>
      </c>
      <c r="J1638" t="inlineStr">
        <is>
          <t>TVS</t>
        </is>
      </c>
      <c r="K1638" t="inlineStr">
        <is>
          <t>22.23-0-2.3-ERW 1-PE-0.281</t>
        </is>
      </c>
    </row>
    <row r="1639">
      <c r="A1639" t="inlineStr">
        <is>
          <t>0000189226</t>
        </is>
      </c>
      <c r="B1639" t="inlineStr">
        <is>
          <t>Neel Metal Products Limited</t>
        </is>
      </c>
      <c r="C1639" t="inlineStr">
        <is>
          <t>NOS</t>
        </is>
      </c>
      <c r="D1639" t="n">
        <v>500</v>
      </c>
      <c r="E1639" t="n">
        <v>245</v>
      </c>
      <c r="F1639" t="n">
        <v>3781610</v>
      </c>
      <c r="G1639" t="inlineStr">
        <is>
          <t>70-0-3.2-ERW 2-FC</t>
        </is>
      </c>
      <c r="H1639" t="n">
        <v>1253.05</v>
      </c>
      <c r="I1639" t="inlineStr">
        <is>
          <t>CUT-O-N-AUT-AN-AG-70.00X3.200X0.490 HST</t>
        </is>
      </c>
      <c r="J1639" t="inlineStr">
        <is>
          <t>TVS</t>
        </is>
      </c>
      <c r="K1639" t="inlineStr">
        <is>
          <t>70-0-3.2-ERW 2-FC-0.49</t>
        </is>
      </c>
    </row>
    <row r="1640">
      <c r="A1640" t="inlineStr">
        <is>
          <t>0000189226</t>
        </is>
      </c>
      <c r="B1640" t="inlineStr">
        <is>
          <t>Neel Metal Products Limited</t>
        </is>
      </c>
      <c r="C1640" t="inlineStr">
        <is>
          <t>NOS</t>
        </is>
      </c>
      <c r="D1640" t="n">
        <v>540.3390000000001</v>
      </c>
      <c r="E1640" t="n">
        <v>438.654</v>
      </c>
      <c r="F1640" t="n">
        <v>1940743</v>
      </c>
      <c r="G1640" t="inlineStr">
        <is>
          <t>38.1-0-2-ERW 1-FC</t>
        </is>
      </c>
      <c r="H1640" t="n">
        <v>781.33</v>
      </c>
      <c r="I1640" t="inlineStr">
        <is>
          <t>TUB-O-O-AUT-AW-FC-38.10X2.000X0.8120</t>
        </is>
      </c>
      <c r="J1640" t="inlineStr">
        <is>
          <t>TVS</t>
        </is>
      </c>
      <c r="K1640" t="inlineStr">
        <is>
          <t>38.1-0-2-ERW 1-FC-0.812</t>
        </is>
      </c>
    </row>
    <row r="1641">
      <c r="A1641" t="inlineStr">
        <is>
          <t>0000189226</t>
        </is>
      </c>
      <c r="B1641" t="inlineStr">
        <is>
          <t>Neel Metal Products Limited</t>
        </is>
      </c>
      <c r="C1641" t="inlineStr">
        <is>
          <t>NOS</t>
        </is>
      </c>
      <c r="D1641" t="n">
        <v>417.661</v>
      </c>
      <c r="E1641" t="n">
        <v>339.062</v>
      </c>
      <c r="F1641" t="n">
        <v>1940743</v>
      </c>
      <c r="G1641" t="inlineStr">
        <is>
          <t>38.1-0-2-ERW 1-FC</t>
        </is>
      </c>
      <c r="H1641" t="n">
        <v>603.938</v>
      </c>
      <c r="I1641" t="inlineStr">
        <is>
          <t>TUB-O-O-AUT-AW-FC-38.10X2.000X0.8120</t>
        </is>
      </c>
      <c r="J1641" t="inlineStr">
        <is>
          <t>TVS</t>
        </is>
      </c>
      <c r="K1641" t="inlineStr">
        <is>
          <t>38.1-0-2-ERW 1-FC-0.812</t>
        </is>
      </c>
    </row>
    <row r="1642">
      <c r="A1642" t="inlineStr">
        <is>
          <t>0000189481</t>
        </is>
      </c>
      <c r="B1642" t="inlineStr">
        <is>
          <t>Rajsriya Automotive Industries</t>
        </is>
      </c>
      <c r="C1642" t="inlineStr">
        <is>
          <t>NOS</t>
        </is>
      </c>
      <c r="D1642" t="n">
        <v>1030.928</v>
      </c>
      <c r="E1642" t="n">
        <v>261.856</v>
      </c>
      <c r="F1642" t="n">
        <v>1938358</v>
      </c>
      <c r="G1642" t="inlineStr">
        <is>
          <t>42.7-0-4-ERW 1-FC</t>
        </is>
      </c>
      <c r="H1642" t="n">
        <v>1000</v>
      </c>
      <c r="I1642" t="inlineStr">
        <is>
          <t>TUB-O-N-AUT-AN-FC-42.70X4.000X0.2540</t>
        </is>
      </c>
      <c r="J1642" t="inlineStr">
        <is>
          <t>TVS</t>
        </is>
      </c>
      <c r="K1642" t="inlineStr">
        <is>
          <t>42.7-0-4-ERW 1-FC-0.254</t>
        </is>
      </c>
    </row>
    <row r="1643">
      <c r="A1643" t="inlineStr">
        <is>
          <t>0000189481</t>
        </is>
      </c>
      <c r="B1643" t="inlineStr">
        <is>
          <t>Rajsriya Automotive Industries</t>
        </is>
      </c>
      <c r="C1643" t="inlineStr">
        <is>
          <t>NOS</t>
        </is>
      </c>
      <c r="D1643" t="n">
        <v>824.072</v>
      </c>
      <c r="E1643" t="n">
        <v>209.314</v>
      </c>
      <c r="F1643" t="n">
        <v>1938358</v>
      </c>
      <c r="G1643" t="inlineStr">
        <is>
          <t>42.7-0-4-ERW 1-FC</t>
        </is>
      </c>
      <c r="H1643" t="n">
        <v>799.35</v>
      </c>
      <c r="I1643" t="inlineStr">
        <is>
          <t>TUB-O-N-AUT-AN-FC-42.70X4.000X0.2540</t>
        </is>
      </c>
      <c r="J1643" t="inlineStr">
        <is>
          <t>TVS</t>
        </is>
      </c>
      <c r="K1643" t="inlineStr">
        <is>
          <t>42.7-0-4-ERW 1-FC-0.254</t>
        </is>
      </c>
    </row>
    <row r="1644">
      <c r="A1644" t="inlineStr">
        <is>
          <t>0000189481</t>
        </is>
      </c>
      <c r="B1644" t="inlineStr">
        <is>
          <t>Rajsriya Automotive Industries</t>
        </is>
      </c>
      <c r="C1644" t="inlineStr">
        <is>
          <t>NOS</t>
        </is>
      </c>
      <c r="D1644" t="n">
        <v>799</v>
      </c>
      <c r="E1644" t="n">
        <v>616.836</v>
      </c>
      <c r="F1644" t="n">
        <v>3784472</v>
      </c>
      <c r="G1644" t="inlineStr">
        <is>
          <t>57.15-0-2.5-ERW 1-FC</t>
        </is>
      </c>
      <c r="H1644" t="n">
        <v>1998.858</v>
      </c>
      <c r="I1644" t="inlineStr">
        <is>
          <t>CUT-O-N-AUT-AW-PE-57.15X2.500X0.7720</t>
        </is>
      </c>
      <c r="J1644" t="inlineStr">
        <is>
          <t>TVS</t>
        </is>
      </c>
      <c r="K1644" t="inlineStr">
        <is>
          <t>57.15-0-2.5-ERW 1-FC-0.772</t>
        </is>
      </c>
    </row>
    <row r="1645">
      <c r="A1645" t="inlineStr">
        <is>
          <t>0000189481</t>
        </is>
      </c>
      <c r="B1645" t="inlineStr">
        <is>
          <t>Rajsriya Automotive Industries</t>
        </is>
      </c>
      <c r="C1645" t="inlineStr">
        <is>
          <t>NOS</t>
        </is>
      </c>
      <c r="D1645" t="n">
        <v>215</v>
      </c>
      <c r="E1645" t="n">
        <v>165.982</v>
      </c>
      <c r="F1645" t="n">
        <v>3784472</v>
      </c>
      <c r="G1645" t="inlineStr">
        <is>
          <t>57.15-0-2.5-ERW 1-FC</t>
        </is>
      </c>
      <c r="H1645" t="n">
        <v>537.866</v>
      </c>
      <c r="I1645" t="inlineStr">
        <is>
          <t>CUT-O-N-AUT-AW-PE-57.15X2.500X0.7720</t>
        </is>
      </c>
      <c r="J1645" t="inlineStr">
        <is>
          <t>TVS</t>
        </is>
      </c>
      <c r="K1645" t="inlineStr">
        <is>
          <t>57.15-0-2.5-ERW 1-FC-0.772</t>
        </is>
      </c>
    </row>
    <row r="1646">
      <c r="A1646" t="inlineStr">
        <is>
          <t>0000189481</t>
        </is>
      </c>
      <c r="B1646" t="inlineStr">
        <is>
          <t>Rajsriya Automotive Industries</t>
        </is>
      </c>
      <c r="C1646" t="inlineStr">
        <is>
          <t>NOS</t>
        </is>
      </c>
      <c r="D1646" t="n">
        <v>185</v>
      </c>
      <c r="E1646" t="n">
        <v>142.822</v>
      </c>
      <c r="F1646" t="n">
        <v>3784472</v>
      </c>
      <c r="G1646" t="inlineStr">
        <is>
          <t>57.15-0-2.5-ERW 1-FC</t>
        </is>
      </c>
      <c r="H1646" t="n">
        <v>462.815</v>
      </c>
      <c r="I1646" t="inlineStr">
        <is>
          <t>CUT-O-N-AUT-AW-PE-57.15X2.500X0.7720</t>
        </is>
      </c>
      <c r="J1646" t="inlineStr">
        <is>
          <t>TVS</t>
        </is>
      </c>
      <c r="K1646" t="inlineStr">
        <is>
          <t>57.15-0-2.5-ERW 1-FC-0.772</t>
        </is>
      </c>
    </row>
    <row r="1647">
      <c r="A1647" t="inlineStr">
        <is>
          <t>0000187884</t>
        </is>
      </c>
      <c r="B1647" t="inlineStr">
        <is>
          <t>Rajsriya Automotive Ind.P.Ltd Unit-</t>
        </is>
      </c>
      <c r="C1647" t="inlineStr">
        <is>
          <t>NOS</t>
        </is>
      </c>
      <c r="D1647" t="n">
        <v>2077</v>
      </c>
      <c r="E1647" t="n">
        <v>2440.471</v>
      </c>
      <c r="F1647" t="n">
        <v>3781609</v>
      </c>
      <c r="G1647" t="inlineStr">
        <is>
          <t>22.23-0-1.6-ERW 1-PE</t>
        </is>
      </c>
      <c r="H1647" t="n">
        <v>1914.902</v>
      </c>
      <c r="I1647" t="inlineStr">
        <is>
          <t>CUT-O-N-AUT-AW-PE-22.20X1.600X1.1750</t>
        </is>
      </c>
      <c r="J1647" t="inlineStr">
        <is>
          <t>TVS</t>
        </is>
      </c>
      <c r="K1647" t="inlineStr">
        <is>
          <t>22.23-0-1.6-ERW 1-PE-1.175</t>
        </is>
      </c>
    </row>
    <row r="1648">
      <c r="A1648" t="inlineStr">
        <is>
          <t>0000944141</t>
        </is>
      </c>
      <c r="B1648" t="inlineStr">
        <is>
          <t>SRIKAM HITECH ENGINEERING PRIVATE L</t>
        </is>
      </c>
      <c r="C1648" t="inlineStr">
        <is>
          <t>NOS</t>
        </is>
      </c>
      <c r="D1648" t="n">
        <v>1000</v>
      </c>
      <c r="E1648" t="n">
        <v>426.996</v>
      </c>
      <c r="F1648" t="n">
        <v>3629057</v>
      </c>
      <c r="G1648" t="inlineStr">
        <is>
          <t>22.23-0-2.3-ERW 1-PE</t>
        </is>
      </c>
      <c r="H1648" t="n">
        <v>463.333</v>
      </c>
      <c r="I1648" t="inlineStr">
        <is>
          <t>PT2-O-N-AUT-NR-PE-22.20X2.300X0.4270</t>
        </is>
      </c>
      <c r="J1648" t="inlineStr">
        <is>
          <t>TVS</t>
        </is>
      </c>
      <c r="K1648" t="inlineStr">
        <is>
          <t>22.23-0-2.3-ERW 1-PE-0.427</t>
        </is>
      </c>
    </row>
    <row r="1649">
      <c r="A1649" t="inlineStr">
        <is>
          <t>0000819045</t>
        </is>
      </c>
      <c r="B1649" t="inlineStr">
        <is>
          <t>KNITVEL NEEDLES P LTD</t>
        </is>
      </c>
      <c r="C1649" t="inlineStr">
        <is>
          <t>NOS</t>
        </is>
      </c>
      <c r="D1649" t="n">
        <v>323.677</v>
      </c>
      <c r="E1649" t="n">
        <v>395.532</v>
      </c>
      <c r="F1649" t="n">
        <v>3533249</v>
      </c>
      <c r="G1649" t="inlineStr">
        <is>
          <t>22.23-0-1.6-ERW 1-PE</t>
        </is>
      </c>
      <c r="H1649" t="n">
        <v>310.352</v>
      </c>
      <c r="I1649" t="inlineStr">
        <is>
          <t>CUT-O-N-AUT-AW-PE-22.20X1.600X1.2220</t>
        </is>
      </c>
      <c r="J1649" t="inlineStr">
        <is>
          <t>TVS</t>
        </is>
      </c>
      <c r="K1649" t="inlineStr">
        <is>
          <t>22.23-0-1.6-ERW 1-PE-1.222</t>
        </is>
      </c>
    </row>
    <row r="1650">
      <c r="A1650" t="inlineStr">
        <is>
          <t>0000819045</t>
        </is>
      </c>
      <c r="B1650" t="inlineStr">
        <is>
          <t>KNITVEL NEEDLES P LTD</t>
        </is>
      </c>
      <c r="C1650" t="inlineStr">
        <is>
          <t>NOS</t>
        </is>
      </c>
      <c r="D1650" t="n">
        <v>922.323</v>
      </c>
      <c r="E1650" t="n">
        <v>1127.076</v>
      </c>
      <c r="F1650" t="n">
        <v>3533249</v>
      </c>
      <c r="G1650" t="inlineStr">
        <is>
          <t>22.23-0-1.6-ERW 1-PE</t>
        </is>
      </c>
      <c r="H1650" t="n">
        <v>884.354</v>
      </c>
      <c r="I1650" t="inlineStr">
        <is>
          <t>CUT-O-N-AUT-AW-PE-22.20X1.600X1.2220</t>
        </is>
      </c>
      <c r="J1650" t="inlineStr">
        <is>
          <t>TVS</t>
        </is>
      </c>
      <c r="K1650" t="inlineStr">
        <is>
          <t>22.23-0-1.6-ERW 1-PE-1.222</t>
        </is>
      </c>
    </row>
    <row r="1651">
      <c r="A1651" t="inlineStr">
        <is>
          <t>0000819045</t>
        </is>
      </c>
      <c r="B1651" t="inlineStr">
        <is>
          <t>KNITVEL NEEDLES P LTD</t>
        </is>
      </c>
      <c r="C1651" t="inlineStr">
        <is>
          <t>NOS</t>
        </is>
      </c>
      <c r="D1651" t="n">
        <v>1223</v>
      </c>
      <c r="E1651" t="n">
        <v>1577.684</v>
      </c>
      <c r="F1651" t="n">
        <v>3533248</v>
      </c>
      <c r="G1651" t="inlineStr">
        <is>
          <t>22.23-0-1.6-ERW 1-PE</t>
        </is>
      </c>
      <c r="H1651" t="n">
        <v>1237.921</v>
      </c>
      <c r="I1651" t="inlineStr">
        <is>
          <t>CUT-O-N-AUT-AW-PE-22.20X1.600X1.2900</t>
        </is>
      </c>
      <c r="J1651" t="inlineStr">
        <is>
          <t>TVS</t>
        </is>
      </c>
      <c r="K1651" t="inlineStr">
        <is>
          <t>22.23-0-1.6-ERW 1-PE-1.29</t>
        </is>
      </c>
    </row>
    <row r="1652">
      <c r="A1652" t="inlineStr">
        <is>
          <t>0000948721</t>
        </is>
      </c>
      <c r="B1652" t="inlineStr">
        <is>
          <t>ELKAYEM AUTO ANCILLARIES PRIVATE LI</t>
        </is>
      </c>
      <c r="C1652" t="inlineStr">
        <is>
          <t>NOS</t>
        </is>
      </c>
      <c r="D1652" t="n">
        <v>170.679</v>
      </c>
      <c r="E1652" t="n">
        <v>35.715</v>
      </c>
      <c r="F1652" t="n">
        <v>3617058</v>
      </c>
      <c r="G1652" t="inlineStr">
        <is>
          <t>28.6-0-2.65-CEW-CEW</t>
        </is>
      </c>
      <c r="H1652" t="n">
        <v>60.591</v>
      </c>
      <c r="I1652" t="inlineStr">
        <is>
          <t>TUB-O-C-AUT-AD-FC-28.60X2.650X0.2090</t>
        </is>
      </c>
      <c r="J1652" t="inlineStr">
        <is>
          <t>TVS</t>
        </is>
      </c>
      <c r="K1652" t="inlineStr">
        <is>
          <t>28.6-0-2.65-CEW-CEW-0.209</t>
        </is>
      </c>
    </row>
    <row r="1653">
      <c r="A1653" t="inlineStr">
        <is>
          <t>0000948721</t>
        </is>
      </c>
      <c r="B1653" t="inlineStr">
        <is>
          <t>ELKAYEM AUTO ANCILLARIES PRIVATE LI</t>
        </is>
      </c>
      <c r="C1653" t="inlineStr">
        <is>
          <t>NOS</t>
        </is>
      </c>
      <c r="D1653" t="n">
        <v>4017.321</v>
      </c>
      <c r="E1653" t="n">
        <v>840.6420000000001</v>
      </c>
      <c r="F1653" t="n">
        <v>3617058</v>
      </c>
      <c r="G1653" t="inlineStr">
        <is>
          <t>28.6-0-2.65-CEW-CEW</t>
        </is>
      </c>
      <c r="H1653" t="n">
        <v>1426.149</v>
      </c>
      <c r="I1653" t="inlineStr">
        <is>
          <t>TUB-O-C-AUT-AD-FC-28.60X2.650X0.2090</t>
        </is>
      </c>
      <c r="J1653" t="inlineStr">
        <is>
          <t>TVS</t>
        </is>
      </c>
      <c r="K1653" t="inlineStr">
        <is>
          <t>28.6-0-2.65-CEW-CEW-0.209</t>
        </is>
      </c>
    </row>
    <row r="1654">
      <c r="A1654" t="inlineStr">
        <is>
          <t>0000189227</t>
        </is>
      </c>
      <c r="B1654" t="inlineStr">
        <is>
          <t>Neel Metal Products Limited</t>
        </is>
      </c>
      <c r="C1654" t="inlineStr">
        <is>
          <t>NOS</t>
        </is>
      </c>
      <c r="D1654" t="n">
        <v>630.03</v>
      </c>
      <c r="E1654" t="n">
        <v>859.996</v>
      </c>
      <c r="F1654" t="n">
        <v>3781680</v>
      </c>
      <c r="G1654" t="inlineStr">
        <is>
          <t>57.15-0-2.3-ERW 2-FC</t>
        </is>
      </c>
      <c r="H1654" t="n">
        <v>2563.907</v>
      </c>
      <c r="I1654" t="inlineStr">
        <is>
          <t>CUT-O-N-AUT-AW-FC-57.15X2.300X1.3650</t>
        </is>
      </c>
      <c r="J1654" t="inlineStr">
        <is>
          <t>TVS</t>
        </is>
      </c>
      <c r="K1654" t="inlineStr">
        <is>
          <t>57.15-0-2.3-ERW 2-FC-1.365</t>
        </is>
      </c>
    </row>
    <row r="1655">
      <c r="A1655" t="inlineStr">
        <is>
          <t>0000189227</t>
        </is>
      </c>
      <c r="B1655" t="inlineStr">
        <is>
          <t>Neel Metal Products Limited</t>
        </is>
      </c>
      <c r="C1655" t="inlineStr">
        <is>
          <t>NOS</t>
        </is>
      </c>
      <c r="D1655" t="n">
        <v>1120.97</v>
      </c>
      <c r="E1655" t="n">
        <v>1530.134</v>
      </c>
      <c r="F1655" t="n">
        <v>3781680</v>
      </c>
      <c r="G1655" t="inlineStr">
        <is>
          <t>57.15-0-2.3-ERW 2-FC</t>
        </is>
      </c>
      <c r="H1655" t="n">
        <v>4561.787</v>
      </c>
      <c r="I1655" t="inlineStr">
        <is>
          <t>CUT-O-N-AUT-AW-FC-57.15X2.300X1.3650</t>
        </is>
      </c>
      <c r="J1655" t="inlineStr">
        <is>
          <t>TVS</t>
        </is>
      </c>
      <c r="K1655" t="inlineStr">
        <is>
          <t>57.15-0-2.3-ERW 2-FC-1.365</t>
        </is>
      </c>
    </row>
    <row r="1656">
      <c r="A1656" t="inlineStr">
        <is>
          <t>0000189227</t>
        </is>
      </c>
      <c r="B1656" t="inlineStr">
        <is>
          <t>Neel Metal Products Limited</t>
        </is>
      </c>
      <c r="C1656" t="inlineStr">
        <is>
          <t>NOS</t>
        </is>
      </c>
      <c r="D1656" t="n">
        <v>5000</v>
      </c>
      <c r="E1656" t="n">
        <v>744.859</v>
      </c>
      <c r="F1656" t="n">
        <v>1938195</v>
      </c>
      <c r="G1656" t="inlineStr">
        <is>
          <t>17.3-0-1.2-ERW 1-PE</t>
        </is>
      </c>
      <c r="H1656" t="n">
        <v>355</v>
      </c>
      <c r="I1656" t="inlineStr">
        <is>
          <t>TUB-O-N-AUT-AW-PE-17.30X1.200X0.1500</t>
        </is>
      </c>
      <c r="J1656" t="inlineStr">
        <is>
          <t>TVS</t>
        </is>
      </c>
      <c r="K1656" t="inlineStr">
        <is>
          <t>17.3-0-1.2-ERW 1-PE-0.15</t>
        </is>
      </c>
    </row>
    <row r="1657">
      <c r="A1657" t="inlineStr">
        <is>
          <t>0000945539</t>
        </is>
      </c>
      <c r="B1657" t="inlineStr">
        <is>
          <t>Sandhar EngineeringPvt.Ltd.(KA)-Uni</t>
        </is>
      </c>
      <c r="C1657" t="inlineStr">
        <is>
          <t>NOS</t>
        </is>
      </c>
      <c r="D1657" t="n">
        <v>2064</v>
      </c>
      <c r="E1657" t="n">
        <v>847.0599999999999</v>
      </c>
      <c r="F1657" t="n">
        <v>3508742</v>
      </c>
      <c r="G1657" t="inlineStr">
        <is>
          <t>38.1-0-2-ERW 1-FC</t>
        </is>
      </c>
      <c r="H1657" t="n">
        <v>1508.784</v>
      </c>
      <c r="I1657" t="inlineStr">
        <is>
          <t>CUT-O-N-AUT-AW-FC-38.10X2.000X0.4100</t>
        </is>
      </c>
      <c r="J1657" t="inlineStr">
        <is>
          <t>TVS</t>
        </is>
      </c>
      <c r="K1657" t="inlineStr">
        <is>
          <t>38.1-0-2-ERW 1-FC-0.41</t>
        </is>
      </c>
    </row>
    <row r="1658">
      <c r="A1658" t="inlineStr">
        <is>
          <t>0000945539</t>
        </is>
      </c>
      <c r="B1658" t="inlineStr">
        <is>
          <t>Sandhar EngineeringPvt.Ltd.(KA)-Uni</t>
        </is>
      </c>
      <c r="C1658" t="inlineStr">
        <is>
          <t>NOS</t>
        </is>
      </c>
      <c r="D1658" t="n">
        <v>4898</v>
      </c>
      <c r="E1658" t="n">
        <v>3835.102</v>
      </c>
      <c r="F1658" t="n">
        <v>3775636</v>
      </c>
      <c r="G1658" t="inlineStr">
        <is>
          <t>25.4-0-2.5-ERW 1-FC</t>
        </is>
      </c>
      <c r="H1658" t="n">
        <v>5416.698</v>
      </c>
      <c r="I1658" t="inlineStr">
        <is>
          <t>TUB-O-O-AUT-AW-FC-25.40X2.500X0.7830</t>
        </is>
      </c>
      <c r="J1658" t="inlineStr">
        <is>
          <t>TVS</t>
        </is>
      </c>
      <c r="K1658" t="inlineStr">
        <is>
          <t>25.4-0-2.5-ERW 1-FC-0.783</t>
        </is>
      </c>
    </row>
    <row r="1659">
      <c r="A1659" t="inlineStr">
        <is>
          <t>0000945539</t>
        </is>
      </c>
      <c r="B1659" t="inlineStr">
        <is>
          <t>Sandhar EngineeringPvt.Ltd.(KA)-Uni</t>
        </is>
      </c>
      <c r="C1659" t="inlineStr">
        <is>
          <t>NOS</t>
        </is>
      </c>
      <c r="D1659" t="n">
        <v>2375.297</v>
      </c>
      <c r="E1659" t="n">
        <v>1441.813</v>
      </c>
      <c r="F1659" t="n">
        <v>3775637</v>
      </c>
      <c r="G1659" t="inlineStr">
        <is>
          <t>50-30-1.6-ERW 1-FC</t>
        </is>
      </c>
      <c r="H1659" t="n">
        <v>2800</v>
      </c>
      <c r="I1659" t="inlineStr">
        <is>
          <t>TUB-R-AW-RHS-50.00X30.00X1.600X0.6070</t>
        </is>
      </c>
      <c r="J1659" t="inlineStr">
        <is>
          <t>TVS</t>
        </is>
      </c>
      <c r="K1659" t="inlineStr">
        <is>
          <t>50-30-1.6-ERW 1-FC-0.607</t>
        </is>
      </c>
    </row>
    <row r="1660">
      <c r="A1660" t="inlineStr">
        <is>
          <t>0000945539</t>
        </is>
      </c>
      <c r="B1660" t="inlineStr">
        <is>
          <t>Sandhar EngineeringPvt.Ltd.(KA)-Uni</t>
        </is>
      </c>
      <c r="C1660" t="inlineStr">
        <is>
          <t>NOS</t>
        </is>
      </c>
      <c r="D1660" t="n">
        <v>1224.703</v>
      </c>
      <c r="E1660" t="n">
        <v>743.399</v>
      </c>
      <c r="F1660" t="n">
        <v>3775637</v>
      </c>
      <c r="G1660" t="inlineStr">
        <is>
          <t>50-30-1.6-ERW 1-FC</t>
        </is>
      </c>
      <c r="H1660" t="n">
        <v>1443.68</v>
      </c>
      <c r="I1660" t="inlineStr">
        <is>
          <t>TUB-R-AW-RHS-50.00X30.00X1.600X0.6070</t>
        </is>
      </c>
      <c r="J1660" t="inlineStr">
        <is>
          <t>TVS</t>
        </is>
      </c>
      <c r="K1660" t="inlineStr">
        <is>
          <t>50-30-1.6-ERW 1-FC-0.607</t>
        </is>
      </c>
    </row>
    <row r="1661">
      <c r="A1661" t="inlineStr">
        <is>
          <t>0000945539</t>
        </is>
      </c>
      <c r="B1661" t="inlineStr">
        <is>
          <t>Sandhar EngineeringPvt.Ltd.(KA)-Uni</t>
        </is>
      </c>
      <c r="C1661" t="inlineStr">
        <is>
          <t>NOS</t>
        </is>
      </c>
      <c r="D1661" t="n">
        <v>5741.647</v>
      </c>
      <c r="E1661" t="n">
        <v>1234.445</v>
      </c>
      <c r="F1661" t="n">
        <v>3901714</v>
      </c>
      <c r="G1661" t="inlineStr">
        <is>
          <t>42.7-0-4-ERW 1-FC</t>
        </is>
      </c>
      <c r="H1661" t="n">
        <v>4712.616</v>
      </c>
      <c r="I1661" t="inlineStr">
        <is>
          <t>CUT-N-AUT-AN-FC-42.70X4.000X0.2150</t>
        </is>
      </c>
      <c r="J1661" t="inlineStr">
        <is>
          <t>TVS</t>
        </is>
      </c>
      <c r="K1661" t="inlineStr">
        <is>
          <t>42.7-0-4-ERW 1-FC-0.215</t>
        </is>
      </c>
    </row>
    <row r="1662">
      <c r="A1662" t="inlineStr">
        <is>
          <t>0000945539</t>
        </is>
      </c>
      <c r="B1662" t="inlineStr">
        <is>
          <t>Sandhar EngineeringPvt.Ltd.(KA)-Uni</t>
        </is>
      </c>
      <c r="C1662" t="inlineStr">
        <is>
          <t>NOS</t>
        </is>
      </c>
      <c r="D1662" t="n">
        <v>4258.353</v>
      </c>
      <c r="E1662" t="n">
        <v>915.539</v>
      </c>
      <c r="F1662" t="n">
        <v>3901714</v>
      </c>
      <c r="G1662" t="inlineStr">
        <is>
          <t>42.7-0-4-ERW 1-FC</t>
        </is>
      </c>
      <c r="H1662" t="n">
        <v>3495.162</v>
      </c>
      <c r="I1662" t="inlineStr">
        <is>
          <t>CUT-N-AUT-AN-FC-42.70X4.000X0.2150</t>
        </is>
      </c>
      <c r="J1662" t="inlineStr">
        <is>
          <t>TVS</t>
        </is>
      </c>
      <c r="K1662" t="inlineStr">
        <is>
          <t>42.7-0-4-ERW 1-FC-0.215</t>
        </is>
      </c>
    </row>
    <row r="1663">
      <c r="A1663" t="inlineStr">
        <is>
          <t>0000185254</t>
        </is>
      </c>
      <c r="B1663" t="inlineStr">
        <is>
          <t>LAXMI METAL PRESSING WORKS PVT LTD</t>
        </is>
      </c>
      <c r="C1663" t="inlineStr">
        <is>
          <t>NOS</t>
        </is>
      </c>
      <c r="D1663" t="n">
        <v>441.98</v>
      </c>
      <c r="E1663" t="n">
        <v>226.297</v>
      </c>
      <c r="F1663" t="n">
        <v>3801263</v>
      </c>
      <c r="G1663" t="inlineStr">
        <is>
          <t>70-0-3.2-ERW 2-FC</t>
        </is>
      </c>
      <c r="H1663" t="n">
        <v>1192.948</v>
      </c>
      <c r="I1663" t="inlineStr">
        <is>
          <t>CUT-N-AUT-AN-FC-70.00X3.200X0.5120</t>
        </is>
      </c>
      <c r="J1663" t="inlineStr">
        <is>
          <t>TVS</t>
        </is>
      </c>
      <c r="K1663" t="inlineStr">
        <is>
          <t>70-0-3.2-ERW 2-FC-0.512</t>
        </is>
      </c>
    </row>
    <row r="1664">
      <c r="A1664" t="inlineStr">
        <is>
          <t>0000185254</t>
        </is>
      </c>
      <c r="B1664" t="inlineStr">
        <is>
          <t>LAXMI METAL PRESSING WORKS PVT LTD</t>
        </is>
      </c>
      <c r="C1664" t="inlineStr">
        <is>
          <t>NOS</t>
        </is>
      </c>
      <c r="D1664" t="n">
        <v>58.02</v>
      </c>
      <c r="E1664" t="n">
        <v>29.707</v>
      </c>
      <c r="F1664" t="n">
        <v>3801263</v>
      </c>
      <c r="G1664" t="inlineStr">
        <is>
          <t>70-0-3.2-ERW 2-FC</t>
        </is>
      </c>
      <c r="H1664" t="n">
        <v>156.602</v>
      </c>
      <c r="I1664" t="inlineStr">
        <is>
          <t>CUT-N-AUT-AN-FC-70.00X3.200X0.5120</t>
        </is>
      </c>
      <c r="J1664" t="inlineStr">
        <is>
          <t>TVS</t>
        </is>
      </c>
      <c r="K1664" t="inlineStr">
        <is>
          <t>70-0-3.2-ERW 2-FC-0.512</t>
        </is>
      </c>
    </row>
    <row r="1665">
      <c r="A1665" t="inlineStr">
        <is>
          <t>0000941496</t>
        </is>
      </c>
      <c r="B1665" t="inlineStr">
        <is>
          <t>SANDHAR ENGINEERING PVT LTD.(KA) -U</t>
        </is>
      </c>
      <c r="C1665" t="inlineStr">
        <is>
          <t>NOS</t>
        </is>
      </c>
      <c r="D1665" t="n">
        <v>3650</v>
      </c>
      <c r="E1665" t="n">
        <v>2481.758</v>
      </c>
      <c r="F1665" t="n">
        <v>3819143</v>
      </c>
      <c r="G1665" t="inlineStr">
        <is>
          <t>31.75-0-1.2-ERW 1-PE</t>
        </is>
      </c>
      <c r="H1665" t="n">
        <v>2244.75</v>
      </c>
      <c r="I1665" t="inlineStr">
        <is>
          <t>CUT-O-N-AUT-AW-PE-31.75X1.200X0.6800</t>
        </is>
      </c>
      <c r="J1665" t="inlineStr">
        <is>
          <t>TVS</t>
        </is>
      </c>
      <c r="K1665" t="inlineStr">
        <is>
          <t>31.75-0-1.2-ERW 1-PE-0.68</t>
        </is>
      </c>
    </row>
    <row r="1666">
      <c r="A1666" t="inlineStr">
        <is>
          <t>0000941496</t>
        </is>
      </c>
      <c r="B1666" t="inlineStr">
        <is>
          <t>SANDHAR ENGINEERING PVT LTD.(KA) -U</t>
        </is>
      </c>
      <c r="C1666" t="inlineStr">
        <is>
          <t>NOS</t>
        </is>
      </c>
      <c r="D1666" t="n">
        <v>2900</v>
      </c>
      <c r="E1666" t="n">
        <v>2354.256</v>
      </c>
      <c r="F1666" t="n">
        <v>1940743</v>
      </c>
      <c r="G1666" t="inlineStr">
        <is>
          <t>38.1-0-2-ERW 1-FC</t>
        </is>
      </c>
      <c r="H1666" t="n">
        <v>4193.4</v>
      </c>
      <c r="I1666" t="inlineStr">
        <is>
          <t>TUB-O-O-AUT-AW-FC-38.10X2.000X0.8120</t>
        </is>
      </c>
      <c r="J1666" t="inlineStr">
        <is>
          <t>TVS</t>
        </is>
      </c>
      <c r="K1666" t="inlineStr">
        <is>
          <t>38.1-0-2-ERW 1-FC-0.812</t>
        </is>
      </c>
    </row>
    <row r="1667">
      <c r="A1667" t="inlineStr">
        <is>
          <t>0000944141</t>
        </is>
      </c>
      <c r="B1667" t="inlineStr">
        <is>
          <t>SRIKAM HITECH ENGINEERING PRIVATE L</t>
        </is>
      </c>
      <c r="C1667" t="inlineStr">
        <is>
          <t>NOS</t>
        </is>
      </c>
      <c r="D1667" t="n">
        <v>3000</v>
      </c>
      <c r="E1667" t="n">
        <v>883.838</v>
      </c>
      <c r="F1667" t="n">
        <v>1940312</v>
      </c>
      <c r="G1667" t="inlineStr">
        <is>
          <t>19.05-0-2.3-ERW 1-PE</t>
        </is>
      </c>
      <c r="H1667" t="n">
        <v>840</v>
      </c>
      <c r="I1667" t="inlineStr">
        <is>
          <t>TUB-O-O-AUT-AW-PE-19.05X2.300X0.2950</t>
        </is>
      </c>
      <c r="J1667" t="inlineStr">
        <is>
          <t>TVS</t>
        </is>
      </c>
      <c r="K1667" t="inlineStr">
        <is>
          <t>19.05-0-2.3-ERW 1-PE-0.295</t>
        </is>
      </c>
    </row>
    <row r="1668">
      <c r="A1668" t="inlineStr">
        <is>
          <t>0000944141</t>
        </is>
      </c>
      <c r="B1668" t="inlineStr">
        <is>
          <t>SRIKAM HITECH ENGINEERING PRIVATE L</t>
        </is>
      </c>
      <c r="C1668" t="inlineStr">
        <is>
          <t>NOS</t>
        </is>
      </c>
      <c r="D1668" t="n">
        <v>3000</v>
      </c>
      <c r="E1668" t="n">
        <v>1709.983</v>
      </c>
      <c r="F1668" t="n">
        <v>3507077</v>
      </c>
      <c r="G1668" t="inlineStr">
        <is>
          <t>19.05-0-2.3-ERW 1-PE</t>
        </is>
      </c>
      <c r="H1668" t="n">
        <v>1563.267</v>
      </c>
      <c r="I1668" t="inlineStr">
        <is>
          <t>CUT-O-N-AUT-AW-PE-19.05X2.300X0.570</t>
        </is>
      </c>
      <c r="J1668" t="inlineStr">
        <is>
          <t>TVS</t>
        </is>
      </c>
      <c r="K1668" t="inlineStr">
        <is>
          <t>19.05-0-2.3-ERW 1-PE-0.57</t>
        </is>
      </c>
    </row>
    <row r="1669">
      <c r="A1669" t="inlineStr">
        <is>
          <t>0000189227</t>
        </is>
      </c>
      <c r="B1669" t="inlineStr">
        <is>
          <t>Neel Metal Products Limited</t>
        </is>
      </c>
      <c r="C1669" t="inlineStr">
        <is>
          <t>NOS</t>
        </is>
      </c>
      <c r="D1669" t="n">
        <v>2400</v>
      </c>
      <c r="E1669" t="n">
        <v>3276.021</v>
      </c>
      <c r="F1669" t="n">
        <v>3781680</v>
      </c>
      <c r="G1669" t="inlineStr">
        <is>
          <t>57.15-0-2.3-ERW 2-FC</t>
        </is>
      </c>
      <c r="H1669" t="n">
        <v>9766.799999999999</v>
      </c>
      <c r="I1669" t="inlineStr">
        <is>
          <t>CUT-O-N-AUT-AW-FC-57.15X2.300X1.3650</t>
        </is>
      </c>
      <c r="J1669" t="inlineStr">
        <is>
          <t>TVS</t>
        </is>
      </c>
      <c r="K1669" t="inlineStr">
        <is>
          <t>57.15-0-2.3-ERW 2-FC-1.365</t>
        </is>
      </c>
    </row>
    <row r="1670">
      <c r="A1670" t="inlineStr">
        <is>
          <t>0000189227</t>
        </is>
      </c>
      <c r="B1670" t="inlineStr">
        <is>
          <t>Neel Metal Products Limited</t>
        </is>
      </c>
      <c r="C1670" t="inlineStr">
        <is>
          <t>NOS</t>
        </is>
      </c>
      <c r="D1670" t="n">
        <v>2000</v>
      </c>
      <c r="E1670" t="n">
        <v>823.998</v>
      </c>
      <c r="F1670" t="n">
        <v>3863819</v>
      </c>
      <c r="G1670" t="inlineStr">
        <is>
          <t>25.4-0-2-ERW 1-FC</t>
        </is>
      </c>
      <c r="H1670" t="n">
        <v>929.222</v>
      </c>
      <c r="I1670" t="inlineStr">
        <is>
          <t>CUT-O-N-AUT-AW-FC-25.40X2.000X0.4120</t>
        </is>
      </c>
      <c r="J1670" t="inlineStr">
        <is>
          <t>TVS</t>
        </is>
      </c>
      <c r="K1670" t="inlineStr">
        <is>
          <t>25.4-0-2-ERW 1-FC-0.412</t>
        </is>
      </c>
    </row>
    <row r="1671">
      <c r="A1671" t="inlineStr">
        <is>
          <t>0000188415</t>
        </is>
      </c>
      <c r="B1671" t="inlineStr">
        <is>
          <t>Rajsriya Automotive Industries(P)</t>
        </is>
      </c>
      <c r="C1671" t="inlineStr">
        <is>
          <t>NOS</t>
        </is>
      </c>
      <c r="D1671" t="n">
        <v>3218</v>
      </c>
      <c r="E1671" t="n">
        <v>1316.124</v>
      </c>
      <c r="F1671" t="n">
        <v>4020857</v>
      </c>
      <c r="G1671" t="inlineStr">
        <is>
          <t>57.15-0-2-ERW 1-FC</t>
        </is>
      </c>
      <c r="H1671" t="n">
        <v>3493.783</v>
      </c>
      <c r="I1671" t="inlineStr">
        <is>
          <t>TUB-O-N-AUT-AW-FC-57.15X2.000X0.4090</t>
        </is>
      </c>
      <c r="J1671" t="inlineStr">
        <is>
          <t>TVS</t>
        </is>
      </c>
      <c r="K1671" t="inlineStr">
        <is>
          <t>57.15-0-2-ERW 1-FC-0.409</t>
        </is>
      </c>
    </row>
    <row r="1672">
      <c r="A1672" t="inlineStr">
        <is>
          <t>0000189239</t>
        </is>
      </c>
      <c r="B1672" t="inlineStr">
        <is>
          <t>Rajsriya Automotive Ind. Pvt Ltd</t>
        </is>
      </c>
      <c r="C1672" t="inlineStr">
        <is>
          <t>NOS</t>
        </is>
      </c>
      <c r="D1672" t="n">
        <v>4835</v>
      </c>
      <c r="E1672" t="n">
        <v>2755.923</v>
      </c>
      <c r="F1672" t="n">
        <v>3781672</v>
      </c>
      <c r="G1672" t="inlineStr">
        <is>
          <t>19.05-0-2.3-ERW 1-PE</t>
        </is>
      </c>
      <c r="H1672" t="n">
        <v>2519.465</v>
      </c>
      <c r="I1672" t="inlineStr">
        <is>
          <t>CUT-O-N-AUT-AW-PE-19.05X2.300X0.5700</t>
        </is>
      </c>
      <c r="J1672" t="inlineStr">
        <is>
          <t>TVS</t>
        </is>
      </c>
      <c r="K1672" t="inlineStr">
        <is>
          <t>19.05-0-2.3-ERW 1-PE-0.57</t>
        </is>
      </c>
    </row>
    <row r="1673">
      <c r="A1673" t="inlineStr">
        <is>
          <t>0000189239</t>
        </is>
      </c>
      <c r="B1673" t="inlineStr">
        <is>
          <t>Rajsriya Automotive Ind. Pvt Ltd</t>
        </is>
      </c>
      <c r="C1673" t="inlineStr">
        <is>
          <t>NOS</t>
        </is>
      </c>
      <c r="D1673" t="n">
        <v>5784.692</v>
      </c>
      <c r="E1673" t="n">
        <v>3384.142</v>
      </c>
      <c r="F1673" t="n">
        <v>1940327</v>
      </c>
      <c r="G1673" t="inlineStr">
        <is>
          <t>19.05-0-2.3-ERW 1-PE</t>
        </is>
      </c>
      <c r="H1673" t="n">
        <v>3216.289</v>
      </c>
      <c r="I1673" t="inlineStr">
        <is>
          <t>TUB-O-O-AUT-AW-PE-19.05X2.300X0.5850</t>
        </is>
      </c>
      <c r="J1673" t="inlineStr">
        <is>
          <t>TVS</t>
        </is>
      </c>
      <c r="K1673" t="inlineStr">
        <is>
          <t>19.05-0-2.3-ERW 1-PE-0.585</t>
        </is>
      </c>
    </row>
    <row r="1674">
      <c r="A1674" t="inlineStr">
        <is>
          <t>0000189239</t>
        </is>
      </c>
      <c r="B1674" t="inlineStr">
        <is>
          <t>Rajsriya Automotive Ind. Pvt Ltd</t>
        </is>
      </c>
      <c r="C1674" t="inlineStr">
        <is>
          <t>NOS</t>
        </is>
      </c>
      <c r="D1674" t="n">
        <v>1215.308</v>
      </c>
      <c r="E1674" t="n">
        <v>710.976</v>
      </c>
      <c r="F1674" t="n">
        <v>1940327</v>
      </c>
      <c r="G1674" t="inlineStr">
        <is>
          <t>19.05-0-2.3-ERW 1-PE</t>
        </is>
      </c>
      <c r="H1674" t="n">
        <v>675.711</v>
      </c>
      <c r="I1674" t="inlineStr">
        <is>
          <t>TUB-O-O-AUT-AW-PE-19.05X2.300X0.5850</t>
        </is>
      </c>
      <c r="J1674" t="inlineStr">
        <is>
          <t>TVS</t>
        </is>
      </c>
      <c r="K1674" t="inlineStr">
        <is>
          <t>19.05-0-2.3-ERW 1-PE-0.585</t>
        </is>
      </c>
    </row>
    <row r="1675">
      <c r="A1675" t="inlineStr">
        <is>
          <t>0000129695</t>
        </is>
      </c>
      <c r="B1675" t="inlineStr">
        <is>
          <t>RAJSRIYA AUTOMOTIVE IND. P LTD</t>
        </is>
      </c>
      <c r="C1675" t="inlineStr">
        <is>
          <t>NOS</t>
        </is>
      </c>
      <c r="D1675" t="n">
        <v>1723</v>
      </c>
      <c r="E1675" t="n">
        <v>1030.562</v>
      </c>
      <c r="F1675" t="n">
        <v>4082199</v>
      </c>
      <c r="G1675" t="inlineStr">
        <is>
          <t>31.75-0-1.2-ERW 1-FC</t>
        </is>
      </c>
      <c r="H1675" t="n">
        <v>932.143</v>
      </c>
      <c r="I1675" t="inlineStr">
        <is>
          <t>CUT-O-N-AUT-AW-FC-31.75X1.200X0.5980</t>
        </is>
      </c>
      <c r="J1675" t="inlineStr">
        <is>
          <t>TVS</t>
        </is>
      </c>
      <c r="K1675" t="inlineStr">
        <is>
          <t>31.75-0-1.2-ERW 1-FC-0.598</t>
        </is>
      </c>
    </row>
    <row r="1676">
      <c r="A1676" t="inlineStr">
        <is>
          <t>0000189226</t>
        </is>
      </c>
      <c r="B1676" t="inlineStr">
        <is>
          <t>Neel Metal Products Limited</t>
        </is>
      </c>
      <c r="C1676" t="inlineStr">
        <is>
          <t>NOS</t>
        </is>
      </c>
      <c r="D1676" t="n">
        <v>100</v>
      </c>
      <c r="E1676" t="n">
        <v>23.6</v>
      </c>
      <c r="F1676" t="n">
        <v>3784473</v>
      </c>
      <c r="G1676" t="inlineStr">
        <is>
          <t>63.5-0-4-ERW 1-FC</t>
        </is>
      </c>
      <c r="H1676" t="n">
        <v>135.28</v>
      </c>
      <c r="I1676" t="inlineStr">
        <is>
          <t>CUT-O-N-AUT-BH-FC-63.50X4.000X0.2360</t>
        </is>
      </c>
      <c r="J1676" t="inlineStr">
        <is>
          <t>TVS</t>
        </is>
      </c>
      <c r="K1676" t="inlineStr">
        <is>
          <t>63.5-0-4-ERW 1-FC-0.236</t>
        </is>
      </c>
    </row>
    <row r="1677">
      <c r="A1677" t="inlineStr">
        <is>
          <t>0000945539</t>
        </is>
      </c>
      <c r="B1677" t="inlineStr">
        <is>
          <t>Sandhar EngineeringPvt.Ltd.(KA)-Uni</t>
        </is>
      </c>
      <c r="C1677" t="inlineStr">
        <is>
          <t>NOS</t>
        </is>
      </c>
      <c r="D1677" t="n">
        <v>220.005</v>
      </c>
      <c r="E1677" t="n">
        <v>172.262</v>
      </c>
      <c r="F1677" t="n">
        <v>3775636</v>
      </c>
      <c r="G1677" t="inlineStr">
        <is>
          <t>25.4-0-2.5-ERW 1-FC</t>
        </is>
      </c>
      <c r="H1677" t="n">
        <v>243.304</v>
      </c>
      <c r="I1677" t="inlineStr">
        <is>
          <t>TUB-O-O-AUT-AW-FC-25.40X2.500X0.7830</t>
        </is>
      </c>
      <c r="J1677" t="inlineStr">
        <is>
          <t>TVS</t>
        </is>
      </c>
      <c r="K1677" t="inlineStr">
        <is>
          <t>25.4-0-2.5-ERW 1-FC-0.783</t>
        </is>
      </c>
    </row>
    <row r="1678">
      <c r="A1678" t="inlineStr">
        <is>
          <t>0000945539</t>
        </is>
      </c>
      <c r="B1678" t="inlineStr">
        <is>
          <t>Sandhar EngineeringPvt.Ltd.(KA)-Uni</t>
        </is>
      </c>
      <c r="C1678" t="inlineStr">
        <is>
          <t>NOS</t>
        </is>
      </c>
      <c r="D1678" t="n">
        <v>6279.995</v>
      </c>
      <c r="E1678" t="n">
        <v>4917.195</v>
      </c>
      <c r="F1678" t="n">
        <v>3775636</v>
      </c>
      <c r="G1678" t="inlineStr">
        <is>
          <t>25.4-0-2.5-ERW 1-FC</t>
        </is>
      </c>
      <c r="H1678" t="n">
        <v>6945.046</v>
      </c>
      <c r="I1678" t="inlineStr">
        <is>
          <t>TUB-O-O-AUT-AW-FC-25.40X2.500X0.7830</t>
        </is>
      </c>
      <c r="J1678" t="inlineStr">
        <is>
          <t>TVS</t>
        </is>
      </c>
      <c r="K1678" t="inlineStr">
        <is>
          <t>25.4-0-2.5-ERW 1-FC-0.783</t>
        </is>
      </c>
    </row>
    <row r="1679">
      <c r="A1679" t="inlineStr">
        <is>
          <t>0000945539</t>
        </is>
      </c>
      <c r="B1679" t="inlineStr">
        <is>
          <t>Sandhar EngineeringPvt.Ltd.(KA)-Uni</t>
        </is>
      </c>
      <c r="C1679" t="inlineStr">
        <is>
          <t>NOS</t>
        </is>
      </c>
      <c r="D1679" t="n">
        <v>500</v>
      </c>
      <c r="E1679" t="n">
        <v>107.499</v>
      </c>
      <c r="F1679" t="n">
        <v>3901714</v>
      </c>
      <c r="G1679" t="inlineStr">
        <is>
          <t>42.7-0-4-ERW 1-FC</t>
        </is>
      </c>
      <c r="H1679" t="n">
        <v>410.389</v>
      </c>
      <c r="I1679" t="inlineStr">
        <is>
          <t>CUT-N-AUT-AN-FC-42.70X4.000X0.2150</t>
        </is>
      </c>
      <c r="J1679" t="inlineStr">
        <is>
          <t>TVS</t>
        </is>
      </c>
      <c r="K1679" t="inlineStr">
        <is>
          <t>42.7-0-4-ERW 1-FC-0.215</t>
        </is>
      </c>
    </row>
    <row r="1680">
      <c r="A1680" t="inlineStr">
        <is>
          <t>0000945539</t>
        </is>
      </c>
      <c r="B1680" t="inlineStr">
        <is>
          <t>Sandhar EngineeringPvt.Ltd.(KA)-Uni</t>
        </is>
      </c>
      <c r="C1680" t="inlineStr">
        <is>
          <t>NOS</t>
        </is>
      </c>
      <c r="D1680" t="n">
        <v>4000</v>
      </c>
      <c r="E1680" t="n">
        <v>1671.997</v>
      </c>
      <c r="F1680" t="n">
        <v>3926270</v>
      </c>
      <c r="G1680" t="inlineStr">
        <is>
          <t>25.4-0-2-ERW 1-FC</t>
        </is>
      </c>
      <c r="H1680" t="n">
        <v>1885.511</v>
      </c>
      <c r="I1680" t="inlineStr">
        <is>
          <t>CUT-O-N-AUT-AW-FC-25.40X2.000X0.4180</t>
        </is>
      </c>
      <c r="J1680" t="inlineStr">
        <is>
          <t>TVS</t>
        </is>
      </c>
      <c r="K1680" t="inlineStr">
        <is>
          <t>25.4-0-2-ERW 1-FC-0.418</t>
        </is>
      </c>
    </row>
    <row r="1681">
      <c r="A1681" t="inlineStr">
        <is>
          <t>0000940921</t>
        </is>
      </c>
      <c r="B1681" t="inlineStr">
        <is>
          <t>ELKAYEM AUTO ANCILLARIES PVT LTD -U</t>
        </is>
      </c>
      <c r="C1681" t="inlineStr">
        <is>
          <t>NOS</t>
        </is>
      </c>
      <c r="D1681" t="n">
        <v>800</v>
      </c>
      <c r="E1681" t="n">
        <v>570.391</v>
      </c>
      <c r="F1681" t="n">
        <v>3783938</v>
      </c>
      <c r="G1681" t="inlineStr">
        <is>
          <t>57.15-0-2-ERW 1-FC</t>
        </is>
      </c>
      <c r="H1681" t="n">
        <v>1514.16</v>
      </c>
      <c r="I1681" t="inlineStr">
        <is>
          <t>CUT-O-N-AUT-NR-AG-57.15X2.000X0.7130</t>
        </is>
      </c>
      <c r="J1681" t="inlineStr">
        <is>
          <t>TVS</t>
        </is>
      </c>
      <c r="K1681" t="inlineStr">
        <is>
          <t>57.15-0-2-ERW 1-FC-0.713</t>
        </is>
      </c>
    </row>
    <row r="1682">
      <c r="A1682" t="inlineStr">
        <is>
          <t>0000940921</t>
        </is>
      </c>
      <c r="B1682" t="inlineStr">
        <is>
          <t>ELKAYEM AUTO ANCILLARIES PVT LTD -U</t>
        </is>
      </c>
      <c r="C1682" t="inlineStr">
        <is>
          <t>NOS</t>
        </is>
      </c>
      <c r="D1682" t="n">
        <v>292.578</v>
      </c>
      <c r="E1682" t="n">
        <v>56.468</v>
      </c>
      <c r="F1682" t="n">
        <v>3509016</v>
      </c>
      <c r="G1682" t="inlineStr">
        <is>
          <t>31.75-0-2.5-ERW 1-FC</t>
        </is>
      </c>
      <c r="H1682" t="n">
        <v>100</v>
      </c>
      <c r="I1682" t="inlineStr">
        <is>
          <t>CUT-O-N-AUT-AW-PE-31.75X2.500X0.1930</t>
        </is>
      </c>
      <c r="J1682" t="inlineStr">
        <is>
          <t>TVS</t>
        </is>
      </c>
      <c r="K1682" t="inlineStr">
        <is>
          <t>31.75-0-2.5-ERW 1-FC-0.193</t>
        </is>
      </c>
    </row>
    <row r="1683">
      <c r="A1683" t="inlineStr">
        <is>
          <t>0000940921</t>
        </is>
      </c>
      <c r="B1683" t="inlineStr">
        <is>
          <t>ELKAYEM AUTO ANCILLARIES PVT LTD -U</t>
        </is>
      </c>
      <c r="C1683" t="inlineStr">
        <is>
          <t>NOS</t>
        </is>
      </c>
      <c r="D1683" t="n">
        <v>707.422</v>
      </c>
      <c r="E1683" t="n">
        <v>136.535</v>
      </c>
      <c r="F1683" t="n">
        <v>3509016</v>
      </c>
      <c r="G1683" t="inlineStr">
        <is>
          <t>31.75-0-2.5-ERW 1-FC</t>
        </is>
      </c>
      <c r="H1683" t="n">
        <v>241.789</v>
      </c>
      <c r="I1683" t="inlineStr">
        <is>
          <t>CUT-O-N-AUT-AW-PE-31.75X2.500X0.1930</t>
        </is>
      </c>
      <c r="J1683" t="inlineStr">
        <is>
          <t>TVS</t>
        </is>
      </c>
      <c r="K1683" t="inlineStr">
        <is>
          <t>31.75-0-2.5-ERW 1-FC-0.193</t>
        </is>
      </c>
    </row>
    <row r="1684">
      <c r="A1684" t="inlineStr">
        <is>
          <t>0000945539</t>
        </is>
      </c>
      <c r="B1684" t="inlineStr">
        <is>
          <t>Sandhar EngineeringPvt.Ltd.(KA)-Uni</t>
        </is>
      </c>
      <c r="C1684" t="inlineStr">
        <is>
          <t>NOS</t>
        </is>
      </c>
      <c r="D1684" t="n">
        <v>772</v>
      </c>
      <c r="E1684" t="n">
        <v>604.471</v>
      </c>
      <c r="F1684" t="n">
        <v>3775636</v>
      </c>
      <c r="G1684" t="inlineStr">
        <is>
          <t>25.4-0-2.5-ERW 1-FC</t>
        </is>
      </c>
      <c r="H1684" t="n">
        <v>853.755</v>
      </c>
      <c r="I1684" t="inlineStr">
        <is>
          <t>TUB-O-O-AUT-AW-FC-25.40X2.500X0.7830</t>
        </is>
      </c>
      <c r="J1684" t="inlineStr">
        <is>
          <t>TVS</t>
        </is>
      </c>
      <c r="K1684" t="inlineStr">
        <is>
          <t>25.4-0-2.5-ERW 1-FC-0.783</t>
        </is>
      </c>
    </row>
    <row r="1685">
      <c r="A1685" t="inlineStr">
        <is>
          <t>0000945539</t>
        </is>
      </c>
      <c r="B1685" t="inlineStr">
        <is>
          <t>Sandhar EngineeringPvt.Ltd.(KA)-Uni</t>
        </is>
      </c>
      <c r="C1685" t="inlineStr">
        <is>
          <t>NOS</t>
        </is>
      </c>
      <c r="D1685" t="n">
        <v>1500</v>
      </c>
      <c r="E1685" t="n">
        <v>841.793</v>
      </c>
      <c r="F1685" t="n">
        <v>3801265</v>
      </c>
      <c r="G1685" t="inlineStr">
        <is>
          <t>40-25-1.6-ERW 1-FC</t>
        </is>
      </c>
      <c r="H1685" t="n">
        <v>1318.5</v>
      </c>
      <c r="I1685" t="inlineStr">
        <is>
          <t>CUT-AW-AUT-40.00X25.00X1.600X0.5610</t>
        </is>
      </c>
      <c r="J1685" t="inlineStr">
        <is>
          <t>TVS</t>
        </is>
      </c>
      <c r="K1685" t="inlineStr">
        <is>
          <t>40-25-1.6-ERW 1-FC-0.561</t>
        </is>
      </c>
    </row>
    <row r="1686">
      <c r="A1686" t="inlineStr">
        <is>
          <t>0000945539</t>
        </is>
      </c>
      <c r="B1686" t="inlineStr">
        <is>
          <t>Sandhar EngineeringPvt.Ltd.(KA)-Uni</t>
        </is>
      </c>
      <c r="C1686" t="inlineStr">
        <is>
          <t>NOS</t>
        </is>
      </c>
      <c r="D1686" t="n">
        <v>685.02</v>
      </c>
      <c r="E1686" t="n">
        <v>147.278</v>
      </c>
      <c r="F1686" t="n">
        <v>3901714</v>
      </c>
      <c r="G1686" t="inlineStr">
        <is>
          <t>42.7-0-4-ERW 1-FC</t>
        </is>
      </c>
      <c r="H1686" t="n">
        <v>562.249</v>
      </c>
      <c r="I1686" t="inlineStr">
        <is>
          <t>CUT-N-AUT-AN-FC-42.70X4.000X0.2150</t>
        </is>
      </c>
      <c r="J1686" t="inlineStr">
        <is>
          <t>TVS</t>
        </is>
      </c>
      <c r="K1686" t="inlineStr">
        <is>
          <t>42.7-0-4-ERW 1-FC-0.215</t>
        </is>
      </c>
    </row>
    <row r="1687">
      <c r="A1687" t="inlineStr">
        <is>
          <t>0000945539</t>
        </is>
      </c>
      <c r="B1687" t="inlineStr">
        <is>
          <t>Sandhar EngineeringPvt.Ltd.(KA)-Uni</t>
        </is>
      </c>
      <c r="C1687" t="inlineStr">
        <is>
          <t>NOS</t>
        </is>
      </c>
      <c r="D1687" t="n">
        <v>814.98</v>
      </c>
      <c r="E1687" t="n">
        <v>175.219</v>
      </c>
      <c r="F1687" t="n">
        <v>3901714</v>
      </c>
      <c r="G1687" t="inlineStr">
        <is>
          <t>42.7-0-4-ERW 1-FC</t>
        </is>
      </c>
      <c r="H1687" t="n">
        <v>668.917</v>
      </c>
      <c r="I1687" t="inlineStr">
        <is>
          <t>CUT-N-AUT-AN-FC-42.70X4.000X0.2150</t>
        </is>
      </c>
      <c r="J1687" t="inlineStr">
        <is>
          <t>TVS</t>
        </is>
      </c>
      <c r="K1687" t="inlineStr">
        <is>
          <t>42.7-0-4-ERW 1-FC-0.215</t>
        </is>
      </c>
    </row>
    <row r="1688">
      <c r="A1688" t="inlineStr">
        <is>
          <t>0000945539</t>
        </is>
      </c>
      <c r="B1688" t="inlineStr">
        <is>
          <t>Sandhar EngineeringPvt.Ltd.(KA)-Uni</t>
        </is>
      </c>
      <c r="C1688" t="inlineStr">
        <is>
          <t>NOS</t>
        </is>
      </c>
      <c r="D1688" t="n">
        <v>3499</v>
      </c>
      <c r="E1688" t="n">
        <v>1462.579</v>
      </c>
      <c r="F1688" t="n">
        <v>3926270</v>
      </c>
      <c r="G1688" t="inlineStr">
        <is>
          <t>25.4-0-2-ERW 1-FC</t>
        </is>
      </c>
      <c r="H1688" t="n">
        <v>1649.351</v>
      </c>
      <c r="I1688" t="inlineStr">
        <is>
          <t>CUT-O-N-AUT-AW-FC-25.40X2.000X0.4180</t>
        </is>
      </c>
      <c r="J1688" t="inlineStr">
        <is>
          <t>TVS</t>
        </is>
      </c>
      <c r="K1688" t="inlineStr">
        <is>
          <t>25.4-0-2-ERW 1-FC-0.418</t>
        </is>
      </c>
    </row>
    <row r="1689">
      <c r="A1689" t="inlineStr">
        <is>
          <t>0000189226</t>
        </is>
      </c>
      <c r="B1689" t="inlineStr">
        <is>
          <t>Neel Metal Products Limited</t>
        </is>
      </c>
      <c r="C1689" t="inlineStr">
        <is>
          <t>NOS</t>
        </is>
      </c>
      <c r="D1689" t="n">
        <v>500</v>
      </c>
      <c r="E1689" t="n">
        <v>117.998</v>
      </c>
      <c r="F1689" t="n">
        <v>3784473</v>
      </c>
      <c r="G1689" t="inlineStr">
        <is>
          <t>63.5-0-4-ERW 1-FC</t>
        </is>
      </c>
      <c r="H1689" t="n">
        <v>676.4</v>
      </c>
      <c r="I1689" t="inlineStr">
        <is>
          <t>CUT-O-N-AUT-BH-FC-63.50X4.000X0.2360</t>
        </is>
      </c>
      <c r="J1689" t="inlineStr">
        <is>
          <t>TVS</t>
        </is>
      </c>
      <c r="K1689" t="inlineStr">
        <is>
          <t>63.5-0-4-ERW 1-FC-0.236</t>
        </is>
      </c>
    </row>
    <row r="1690">
      <c r="A1690" t="inlineStr">
        <is>
          <t>0000188415</t>
        </is>
      </c>
      <c r="B1690" t="inlineStr">
        <is>
          <t>Rajsriya Automotive Industries(P)</t>
        </is>
      </c>
      <c r="C1690" t="inlineStr">
        <is>
          <t>NOS</t>
        </is>
      </c>
      <c r="D1690" t="n">
        <v>1819.727</v>
      </c>
      <c r="E1690" t="n">
        <v>1519.452</v>
      </c>
      <c r="F1690" t="n">
        <v>3712521</v>
      </c>
      <c r="G1690" t="inlineStr">
        <is>
          <t>40-30-1.6-ERW 1-FC</t>
        </is>
      </c>
      <c r="H1690" t="n">
        <v>2570</v>
      </c>
      <c r="I1690" t="inlineStr">
        <is>
          <t>CUT-R-AW-RHS-40.00X30.00X1.600X0.8350</t>
        </is>
      </c>
      <c r="J1690" t="inlineStr">
        <is>
          <t>TVS</t>
        </is>
      </c>
      <c r="K1690" t="inlineStr">
        <is>
          <t>40-30-1.6-ERW 1-FC-0.835</t>
        </is>
      </c>
    </row>
    <row r="1691">
      <c r="A1691" t="inlineStr">
        <is>
          <t>0000188415</t>
        </is>
      </c>
      <c r="B1691" t="inlineStr">
        <is>
          <t>Rajsriya Automotive Industries(P)</t>
        </is>
      </c>
      <c r="C1691" t="inlineStr">
        <is>
          <t>NOS</t>
        </is>
      </c>
      <c r="D1691" t="n">
        <v>3180.273</v>
      </c>
      <c r="E1691" t="n">
        <v>2655.492</v>
      </c>
      <c r="F1691" t="n">
        <v>3712521</v>
      </c>
      <c r="G1691" t="inlineStr">
        <is>
          <t>40-30-1.6-ERW 1-FC</t>
        </is>
      </c>
      <c r="H1691" t="n">
        <v>4491.5</v>
      </c>
      <c r="I1691" t="inlineStr">
        <is>
          <t>CUT-R-AW-RHS-40.00X30.00X1.600X0.8350</t>
        </is>
      </c>
      <c r="J1691" t="inlineStr">
        <is>
          <t>TVS</t>
        </is>
      </c>
      <c r="K1691" t="inlineStr">
        <is>
          <t>40-30-1.6-ERW 1-FC-0.835</t>
        </is>
      </c>
    </row>
    <row r="1692">
      <c r="A1692" t="inlineStr">
        <is>
          <t>0000189226</t>
        </is>
      </c>
      <c r="B1692" t="inlineStr">
        <is>
          <t>Neel Metal Products Limited</t>
        </is>
      </c>
      <c r="C1692" t="inlineStr">
        <is>
          <t>NOS</t>
        </is>
      </c>
      <c r="D1692" t="n">
        <v>400</v>
      </c>
      <c r="E1692" t="n">
        <v>94.398</v>
      </c>
      <c r="F1692" t="n">
        <v>3784473</v>
      </c>
      <c r="G1692" t="inlineStr">
        <is>
          <t>63.5-0-4-ERW 1-FC</t>
        </is>
      </c>
      <c r="H1692" t="n">
        <v>541.12</v>
      </c>
      <c r="I1692" t="inlineStr">
        <is>
          <t>CUT-O-N-AUT-BH-FC-63.50X4.000X0.2360</t>
        </is>
      </c>
      <c r="J1692" t="inlineStr">
        <is>
          <t>TVS</t>
        </is>
      </c>
      <c r="K1692" t="inlineStr">
        <is>
          <t>63.5-0-4-ERW 1-FC-0.236</t>
        </is>
      </c>
    </row>
    <row r="1693">
      <c r="A1693" t="inlineStr">
        <is>
          <t>0000188415</t>
        </is>
      </c>
      <c r="B1693" t="inlineStr">
        <is>
          <t>Rajsriya Automotive Industries(P)</t>
        </is>
      </c>
      <c r="C1693" t="inlineStr">
        <is>
          <t>NOS</t>
        </is>
      </c>
      <c r="D1693" t="n">
        <v>1329</v>
      </c>
      <c r="E1693" t="n">
        <v>1109.7</v>
      </c>
      <c r="F1693" t="n">
        <v>3712521</v>
      </c>
      <c r="G1693" t="inlineStr">
        <is>
          <t>40-30-1.6-ERW 1-FC</t>
        </is>
      </c>
      <c r="H1693" t="n">
        <v>1876.947</v>
      </c>
      <c r="I1693" t="inlineStr">
        <is>
          <t>CUT-R-AW-RHS-40.00X30.00X1.600X0.8350</t>
        </is>
      </c>
      <c r="J1693" t="inlineStr">
        <is>
          <t>TVS</t>
        </is>
      </c>
      <c r="K1693" t="inlineStr">
        <is>
          <t>40-30-1.6-ERW 1-FC-0.835</t>
        </is>
      </c>
    </row>
    <row r="1694">
      <c r="A1694" t="inlineStr">
        <is>
          <t>0000944141</t>
        </is>
      </c>
      <c r="B1694" t="inlineStr">
        <is>
          <t>SRIKAM HITECH ENGINEERING PRIVATE L</t>
        </is>
      </c>
      <c r="C1694" t="inlineStr">
        <is>
          <t>NOS</t>
        </is>
      </c>
      <c r="D1694" t="n">
        <v>5000</v>
      </c>
      <c r="E1694" t="n">
        <v>2849.972</v>
      </c>
      <c r="F1694" t="n">
        <v>3507077</v>
      </c>
      <c r="G1694" t="inlineStr">
        <is>
          <t>19.05-0-2.3-ERW 1-PE</t>
        </is>
      </c>
      <c r="H1694" t="n">
        <v>2605.444</v>
      </c>
      <c r="I1694" t="inlineStr">
        <is>
          <t>CUT-O-N-AUT-AW-PE-19.05X2.300X0.570</t>
        </is>
      </c>
      <c r="J1694" t="inlineStr">
        <is>
          <t>TVS</t>
        </is>
      </c>
      <c r="K1694" t="inlineStr">
        <is>
          <t>19.05-0-2.3-ERW 1-PE-0.57</t>
        </is>
      </c>
    </row>
    <row r="1695">
      <c r="A1695" t="inlineStr">
        <is>
          <t>0000189226</t>
        </is>
      </c>
      <c r="B1695" t="inlineStr">
        <is>
          <t>Neel Metal Products Limited</t>
        </is>
      </c>
      <c r="C1695" t="inlineStr">
        <is>
          <t>NOS</t>
        </is>
      </c>
      <c r="D1695" t="n">
        <v>1500</v>
      </c>
      <c r="E1695" t="n">
        <v>1710.016</v>
      </c>
      <c r="F1695" t="n">
        <v>3711330</v>
      </c>
      <c r="G1695" t="inlineStr">
        <is>
          <t>54-0-3-ERW 2-FC</t>
        </is>
      </c>
      <c r="H1695" t="n">
        <v>6351</v>
      </c>
      <c r="I1695" t="inlineStr">
        <is>
          <t>CUT-O-N-AUT-AW-FC-54.00X3.000X1.1400</t>
        </is>
      </c>
      <c r="J1695" t="inlineStr">
        <is>
          <t>TVS</t>
        </is>
      </c>
      <c r="K1695" t="inlineStr">
        <is>
          <t>54-0-3-ERW 2-FC-1.14</t>
        </is>
      </c>
    </row>
    <row r="1696">
      <c r="A1696" t="inlineStr">
        <is>
          <t>0000189226</t>
        </is>
      </c>
      <c r="B1696" t="inlineStr">
        <is>
          <t>Neel Metal Products Limited</t>
        </is>
      </c>
      <c r="C1696" t="inlineStr">
        <is>
          <t>NOS</t>
        </is>
      </c>
      <c r="D1696" t="n">
        <v>516.1319999999999</v>
      </c>
      <c r="E1696" t="n">
        <v>419.002</v>
      </c>
      <c r="F1696" t="n">
        <v>1940743</v>
      </c>
      <c r="G1696" t="inlineStr">
        <is>
          <t>38.1-0-2-ERW 1-FC</t>
        </is>
      </c>
      <c r="H1696" t="n">
        <v>746.327</v>
      </c>
      <c r="I1696" t="inlineStr">
        <is>
          <t>TUB-O-O-AUT-AW-FC-38.10X2.000X0.8120</t>
        </is>
      </c>
      <c r="J1696" t="inlineStr">
        <is>
          <t>TVS</t>
        </is>
      </c>
      <c r="K1696" t="inlineStr">
        <is>
          <t>38.1-0-2-ERW 1-FC-0.812</t>
        </is>
      </c>
    </row>
    <row r="1697">
      <c r="A1697" t="inlineStr">
        <is>
          <t>0000189226</t>
        </is>
      </c>
      <c r="B1697" t="inlineStr">
        <is>
          <t>Neel Metal Products Limited</t>
        </is>
      </c>
      <c r="C1697" t="inlineStr">
        <is>
          <t>NOS</t>
        </is>
      </c>
      <c r="D1697" t="n">
        <v>1513.447</v>
      </c>
      <c r="E1697" t="n">
        <v>1228.635</v>
      </c>
      <c r="F1697" t="n">
        <v>1940743</v>
      </c>
      <c r="G1697" t="inlineStr">
        <is>
          <t>38.1-0-2-ERW 1-FC</t>
        </is>
      </c>
      <c r="H1697" t="n">
        <v>2188.444</v>
      </c>
      <c r="I1697" t="inlineStr">
        <is>
          <t>TUB-O-O-AUT-AW-FC-38.10X2.000X0.8120</t>
        </is>
      </c>
      <c r="J1697" t="inlineStr">
        <is>
          <t>TVS</t>
        </is>
      </c>
      <c r="K1697" t="inlineStr">
        <is>
          <t>38.1-0-2-ERW 1-FC-0.812</t>
        </is>
      </c>
    </row>
    <row r="1698">
      <c r="A1698" t="inlineStr">
        <is>
          <t>0000189226</t>
        </is>
      </c>
      <c r="B1698" t="inlineStr">
        <is>
          <t>Neel Metal Products Limited</t>
        </is>
      </c>
      <c r="C1698" t="inlineStr">
        <is>
          <t>NOS</t>
        </is>
      </c>
      <c r="D1698" t="n">
        <v>3970.421</v>
      </c>
      <c r="E1698" t="n">
        <v>3223.236</v>
      </c>
      <c r="F1698" t="n">
        <v>1940743</v>
      </c>
      <c r="G1698" t="inlineStr">
        <is>
          <t>38.1-0-2-ERW 1-FC</t>
        </is>
      </c>
      <c r="H1698" t="n">
        <v>5741.229</v>
      </c>
      <c r="I1698" t="inlineStr">
        <is>
          <t>TUB-O-O-AUT-AW-FC-38.10X2.000X0.8120</t>
        </is>
      </c>
      <c r="J1698" t="inlineStr">
        <is>
          <t>TVS</t>
        </is>
      </c>
      <c r="K1698" t="inlineStr">
        <is>
          <t>38.1-0-2-ERW 1-FC-0.812</t>
        </is>
      </c>
    </row>
    <row r="1699">
      <c r="A1699" t="inlineStr">
        <is>
          <t>0000189226</t>
        </is>
      </c>
      <c r="B1699" t="inlineStr">
        <is>
          <t>Neel Metal Products Limited</t>
        </is>
      </c>
      <c r="C1699" t="inlineStr">
        <is>
          <t>NOS</t>
        </is>
      </c>
      <c r="D1699" t="n">
        <v>10000</v>
      </c>
      <c r="E1699" t="n">
        <v>3935.185</v>
      </c>
      <c r="F1699" t="n">
        <v>1940318</v>
      </c>
      <c r="G1699" t="inlineStr">
        <is>
          <t>19.05-0-2.3-ERW 1-PE</t>
        </is>
      </c>
      <c r="H1699" t="n">
        <v>3740</v>
      </c>
      <c r="I1699" t="inlineStr">
        <is>
          <t>TUB-O-O-AUT-AW-PE-19.05X2.300X0.3940</t>
        </is>
      </c>
      <c r="J1699" t="inlineStr">
        <is>
          <t>TVS</t>
        </is>
      </c>
      <c r="K1699" t="inlineStr">
        <is>
          <t>19.05-0-2.3-ERW 1-PE-0.394</t>
        </is>
      </c>
    </row>
    <row r="1700">
      <c r="A1700" t="inlineStr">
        <is>
          <t>0000185254</t>
        </is>
      </c>
      <c r="B1700" t="inlineStr">
        <is>
          <t>LAXMI METAL PRESSING WORKS PVT LTD</t>
        </is>
      </c>
      <c r="C1700" t="inlineStr">
        <is>
          <t>NOS</t>
        </is>
      </c>
      <c r="D1700" t="n">
        <v>175.671</v>
      </c>
      <c r="E1700" t="n">
        <v>200.222</v>
      </c>
      <c r="F1700" t="n">
        <v>2396464</v>
      </c>
      <c r="G1700" t="inlineStr">
        <is>
          <t>54-0-3-ERW 2-FC</t>
        </is>
      </c>
      <c r="H1700" t="n">
        <v>755.737</v>
      </c>
      <c r="I1700" t="inlineStr">
        <is>
          <t>TUB-O-N-AUT-AN-FC-54.00X3.000X1.1400</t>
        </is>
      </c>
      <c r="J1700" t="inlineStr">
        <is>
          <t>TVS</t>
        </is>
      </c>
      <c r="K1700" t="inlineStr">
        <is>
          <t>54-0-3-ERW 2-FC-1.14</t>
        </is>
      </c>
    </row>
    <row r="1701">
      <c r="A1701" t="inlineStr">
        <is>
          <t>0000185254</t>
        </is>
      </c>
      <c r="B1701" t="inlineStr">
        <is>
          <t>LAXMI METAL PRESSING WORKS PVT LTD</t>
        </is>
      </c>
      <c r="C1701" t="inlineStr">
        <is>
          <t>NOS</t>
        </is>
      </c>
      <c r="D1701" t="n">
        <v>1824.329</v>
      </c>
      <c r="E1701" t="n">
        <v>2079.286</v>
      </c>
      <c r="F1701" t="n">
        <v>2396464</v>
      </c>
      <c r="G1701" t="inlineStr">
        <is>
          <t>54-0-3-ERW 2-FC</t>
        </is>
      </c>
      <c r="H1701" t="n">
        <v>7848.263</v>
      </c>
      <c r="I1701" t="inlineStr">
        <is>
          <t>TUB-O-N-AUT-AN-FC-54.00X3.000X1.1400</t>
        </is>
      </c>
      <c r="J1701" t="inlineStr">
        <is>
          <t>TVS</t>
        </is>
      </c>
      <c r="K1701" t="inlineStr">
        <is>
          <t>54-0-3-ERW 2-FC-1.14</t>
        </is>
      </c>
    </row>
    <row r="1702">
      <c r="A1702" t="inlineStr">
        <is>
          <t>0000185254</t>
        </is>
      </c>
      <c r="B1702" t="inlineStr">
        <is>
          <t>LAXMI METAL PRESSING WORKS PVT LTD</t>
        </is>
      </c>
      <c r="C1702" t="inlineStr">
        <is>
          <t>NOS</t>
        </is>
      </c>
      <c r="D1702" t="n">
        <v>259.345</v>
      </c>
      <c r="E1702" t="n">
        <v>132.787</v>
      </c>
      <c r="F1702" t="n">
        <v>3801263</v>
      </c>
      <c r="G1702" t="inlineStr">
        <is>
          <t>70-0-3.2-ERW 2-FC</t>
        </is>
      </c>
      <c r="H1702" t="n">
        <v>699.998</v>
      </c>
      <c r="I1702" t="inlineStr">
        <is>
          <t>CUT-N-AUT-AN-FC-70.00X3.200X0.5120</t>
        </is>
      </c>
      <c r="J1702" t="inlineStr">
        <is>
          <t>TVS</t>
        </is>
      </c>
      <c r="K1702" t="inlineStr">
        <is>
          <t>70-0-3.2-ERW 2-FC-0.512</t>
        </is>
      </c>
    </row>
    <row r="1703">
      <c r="A1703" t="inlineStr">
        <is>
          <t>0000185254</t>
        </is>
      </c>
      <c r="B1703" t="inlineStr">
        <is>
          <t>LAXMI METAL PRESSING WORKS PVT LTD</t>
        </is>
      </c>
      <c r="C1703" t="inlineStr">
        <is>
          <t>NOS</t>
        </is>
      </c>
      <c r="D1703" t="n">
        <v>340.655</v>
      </c>
      <c r="E1703" t="n">
        <v>174.418</v>
      </c>
      <c r="F1703" t="n">
        <v>3801263</v>
      </c>
      <c r="G1703" t="inlineStr">
        <is>
          <t>70-0-3.2-ERW 2-FC</t>
        </is>
      </c>
      <c r="H1703" t="n">
        <v>919.462</v>
      </c>
      <c r="I1703" t="inlineStr">
        <is>
          <t>CUT-N-AUT-AN-FC-70.00X3.200X0.5120</t>
        </is>
      </c>
      <c r="J1703" t="inlineStr">
        <is>
          <t>TVS</t>
        </is>
      </c>
      <c r="K1703" t="inlineStr">
        <is>
          <t>70-0-3.2-ERW 2-FC-0.512</t>
        </is>
      </c>
    </row>
    <row r="1704">
      <c r="A1704" t="inlineStr">
        <is>
          <t>0000941506</t>
        </is>
      </c>
      <c r="B1704" t="inlineStr">
        <is>
          <t>ELKAYEM AUTO ANCILLARIES PRIVATE LI</t>
        </is>
      </c>
      <c r="C1704" t="inlineStr">
        <is>
          <t>NOS</t>
        </is>
      </c>
      <c r="D1704" t="n">
        <v>1043</v>
      </c>
      <c r="E1704" t="n">
        <v>1565.557</v>
      </c>
      <c r="F1704" t="n">
        <v>3911993</v>
      </c>
      <c r="G1704" t="inlineStr">
        <is>
          <t>34.93-0-2.3-ERW 2-FC-Ampere</t>
        </is>
      </c>
      <c r="H1704" t="n">
        <v>2780.117</v>
      </c>
      <c r="I1704" t="inlineStr">
        <is>
          <t>CUT-O-N-AUT-AW-FC-34.93X2.300X1.5010</t>
        </is>
      </c>
      <c r="J1704" t="inlineStr">
        <is>
          <t>TVS</t>
        </is>
      </c>
      <c r="K1704" t="inlineStr">
        <is>
          <t>34.93-0-2.3-ERW 2-FC-Ampere-1.501</t>
        </is>
      </c>
    </row>
    <row r="1705">
      <c r="A1705" t="inlineStr">
        <is>
          <t>0000189226</t>
        </is>
      </c>
      <c r="B1705" t="inlineStr">
        <is>
          <t>Neel Metal Products Limited</t>
        </is>
      </c>
      <c r="C1705" t="inlineStr">
        <is>
          <t>NOS</t>
        </is>
      </c>
      <c r="D1705" t="n">
        <v>1800</v>
      </c>
      <c r="E1705" t="n">
        <v>1314.229</v>
      </c>
      <c r="F1705" t="n">
        <v>1940881</v>
      </c>
      <c r="G1705" t="inlineStr">
        <is>
          <t>50-30-2-ERW 1-FC</t>
        </is>
      </c>
      <c r="H1705" t="n">
        <v>3164.4</v>
      </c>
      <c r="I1705" t="inlineStr">
        <is>
          <t>TUB-R-AW-RHS-50.00X30.00X2.000X0.7300</t>
        </is>
      </c>
      <c r="J1705" t="inlineStr">
        <is>
          <t>TVS</t>
        </is>
      </c>
      <c r="K1705" t="inlineStr">
        <is>
          <t>50-30-2-ERW 1-FC-0.73</t>
        </is>
      </c>
    </row>
    <row r="1706">
      <c r="A1706" t="inlineStr">
        <is>
          <t>0000189002</t>
        </is>
      </c>
      <c r="B1706" t="inlineStr">
        <is>
          <t>Marathwada Auto Compo Pvt. Ltd.</t>
        </is>
      </c>
      <c r="C1706" t="inlineStr">
        <is>
          <t>NOS</t>
        </is>
      </c>
      <c r="D1706" t="n">
        <v>610</v>
      </c>
      <c r="E1706" t="n">
        <v>1574.296</v>
      </c>
      <c r="F1706" t="n">
        <v>3605861</v>
      </c>
      <c r="G1706" t="inlineStr">
        <is>
          <t>25.4-0-1.6-ERW 1-PE</t>
        </is>
      </c>
      <c r="H1706" t="n">
        <v>1504.87</v>
      </c>
      <c r="I1706" t="inlineStr">
        <is>
          <t>TUB-O-N-AUT-AW-PE-25.40X1.630X2.5800</t>
        </is>
      </c>
      <c r="J1706" t="inlineStr">
        <is>
          <t>TVS</t>
        </is>
      </c>
      <c r="K1706" t="inlineStr">
        <is>
          <t>25.4-0-1.6-ERW 1-PE-2.58</t>
        </is>
      </c>
    </row>
    <row r="1707">
      <c r="A1707" t="inlineStr">
        <is>
          <t>0000189002</t>
        </is>
      </c>
      <c r="B1707" t="inlineStr">
        <is>
          <t>Marathwada Auto Compo Pvt. Ltd.</t>
        </is>
      </c>
      <c r="C1707" t="inlineStr">
        <is>
          <t>NOS</t>
        </is>
      </c>
      <c r="D1707" t="n">
        <v>3389</v>
      </c>
      <c r="E1707" t="n">
        <v>8746.378000000001</v>
      </c>
      <c r="F1707" t="n">
        <v>3605861</v>
      </c>
      <c r="G1707" t="inlineStr">
        <is>
          <t>25.4-0-1.6-ERW 1-PE</t>
        </is>
      </c>
      <c r="H1707" t="n">
        <v>8360.663</v>
      </c>
      <c r="I1707" t="inlineStr">
        <is>
          <t>TUB-O-N-AUT-AW-PE-25.40X1.630X2.5800</t>
        </is>
      </c>
      <c r="J1707" t="inlineStr">
        <is>
          <t>TVS</t>
        </is>
      </c>
      <c r="K1707" t="inlineStr">
        <is>
          <t>25.4-0-1.6-ERW 1-PE-2.58</t>
        </is>
      </c>
    </row>
    <row r="1708">
      <c r="A1708" t="inlineStr">
        <is>
          <t>0000944141</t>
        </is>
      </c>
      <c r="B1708" t="inlineStr">
        <is>
          <t>SRIKAM HITECH ENGINEERING PRIVATE L</t>
        </is>
      </c>
      <c r="C1708" t="inlineStr">
        <is>
          <t>NOS</t>
        </is>
      </c>
      <c r="D1708" t="n">
        <v>181.458</v>
      </c>
      <c r="E1708" t="n">
        <v>103.43</v>
      </c>
      <c r="F1708" t="n">
        <v>3507077</v>
      </c>
      <c r="G1708" t="inlineStr">
        <is>
          <t>19.05-0-2.3-ERW 1-PE</t>
        </is>
      </c>
      <c r="H1708" t="n">
        <v>94.556</v>
      </c>
      <c r="I1708" t="inlineStr">
        <is>
          <t>CUT-O-N-AUT-AW-PE-19.05X2.300X0.570</t>
        </is>
      </c>
      <c r="J1708" t="inlineStr">
        <is>
          <t>TVS</t>
        </is>
      </c>
      <c r="K1708" t="inlineStr">
        <is>
          <t>19.05-0-2.3-ERW 1-PE-0.57</t>
        </is>
      </c>
    </row>
    <row r="1709">
      <c r="A1709" t="inlineStr">
        <is>
          <t>0000944141</t>
        </is>
      </c>
      <c r="B1709" t="inlineStr">
        <is>
          <t>SRIKAM HITECH ENGINEERING PRIVATE L</t>
        </is>
      </c>
      <c r="C1709" t="inlineStr">
        <is>
          <t>NOS</t>
        </is>
      </c>
      <c r="D1709" t="n">
        <v>4818.542</v>
      </c>
      <c r="E1709" t="n">
        <v>2746.542</v>
      </c>
      <c r="F1709" t="n">
        <v>3507077</v>
      </c>
      <c r="G1709" t="inlineStr">
        <is>
          <t>19.05-0-2.3-ERW 1-PE</t>
        </is>
      </c>
      <c r="H1709" t="n">
        <v>2510.889</v>
      </c>
      <c r="I1709" t="inlineStr">
        <is>
          <t>CUT-O-N-AUT-AW-PE-19.05X2.300X0.570</t>
        </is>
      </c>
      <c r="J1709" t="inlineStr">
        <is>
          <t>TVS</t>
        </is>
      </c>
      <c r="K1709" t="inlineStr">
        <is>
          <t>19.05-0-2.3-ERW 1-PE-0.57</t>
        </is>
      </c>
    </row>
    <row r="1710">
      <c r="A1710" t="inlineStr">
        <is>
          <t>0000189226</t>
        </is>
      </c>
      <c r="B1710" t="inlineStr">
        <is>
          <t>Neel Metal Products Limited</t>
        </is>
      </c>
      <c r="C1710" t="inlineStr">
        <is>
          <t>NOS</t>
        </is>
      </c>
      <c r="D1710" t="n">
        <v>300</v>
      </c>
      <c r="E1710" t="n">
        <v>70.79900000000001</v>
      </c>
      <c r="F1710" t="n">
        <v>3784473</v>
      </c>
      <c r="G1710" t="inlineStr">
        <is>
          <t>63.5-0-4-ERW 1-FC</t>
        </is>
      </c>
      <c r="H1710" t="n">
        <v>405.84</v>
      </c>
      <c r="I1710" t="inlineStr">
        <is>
          <t>CUT-O-N-AUT-BH-FC-63.50X4.000X0.2360</t>
        </is>
      </c>
      <c r="J1710" t="inlineStr">
        <is>
          <t>TVS</t>
        </is>
      </c>
      <c r="K1710" t="inlineStr">
        <is>
          <t>63.5-0-4-ERW 1-FC-0.236</t>
        </is>
      </c>
    </row>
    <row r="1711">
      <c r="A1711" t="inlineStr">
        <is>
          <t>0000189226</t>
        </is>
      </c>
      <c r="B1711" t="inlineStr">
        <is>
          <t>Neel Metal Products Limited</t>
        </is>
      </c>
      <c r="C1711" t="inlineStr">
        <is>
          <t>NOS</t>
        </is>
      </c>
      <c r="D1711" t="n">
        <v>300</v>
      </c>
      <c r="E1711" t="n">
        <v>70.79900000000001</v>
      </c>
      <c r="F1711" t="n">
        <v>3784473</v>
      </c>
      <c r="G1711" t="inlineStr">
        <is>
          <t>63.5-0-4-ERW 1-FC</t>
        </is>
      </c>
      <c r="H1711" t="n">
        <v>405.84</v>
      </c>
      <c r="I1711" t="inlineStr">
        <is>
          <t>CUT-O-N-AUT-BH-FC-63.50X4.000X0.2360</t>
        </is>
      </c>
      <c r="J1711" t="inlineStr">
        <is>
          <t>TVS</t>
        </is>
      </c>
      <c r="K1711" t="inlineStr">
        <is>
          <t>63.5-0-4-ERW 1-FC-0.236</t>
        </is>
      </c>
    </row>
    <row r="1712">
      <c r="A1712" t="inlineStr">
        <is>
          <t>0000941496</t>
        </is>
      </c>
      <c r="B1712" t="inlineStr">
        <is>
          <t>SANDHAR ENGINEERING PVT LTD.(KA) -U</t>
        </is>
      </c>
      <c r="C1712" t="inlineStr">
        <is>
          <t>NOS</t>
        </is>
      </c>
      <c r="D1712" t="n">
        <v>3000</v>
      </c>
      <c r="E1712" t="n">
        <v>2445.005</v>
      </c>
      <c r="F1712" t="n">
        <v>3781605</v>
      </c>
      <c r="G1712" t="inlineStr">
        <is>
          <t>22.23-0-2-ERW 1-PE</t>
        </is>
      </c>
      <c r="H1712" t="n">
        <v>2381</v>
      </c>
      <c r="I1712" t="inlineStr">
        <is>
          <t>CUT-O-N-AUT-AW-PE-22.20X2.000X0.8150</t>
        </is>
      </c>
      <c r="J1712" t="inlineStr">
        <is>
          <t>TVS</t>
        </is>
      </c>
      <c r="K1712" t="inlineStr">
        <is>
          <t>22.23-0-2-ERW 1-PE-0.815</t>
        </is>
      </c>
    </row>
    <row r="1713">
      <c r="A1713" t="inlineStr">
        <is>
          <t>0000941496</t>
        </is>
      </c>
      <c r="B1713" t="inlineStr">
        <is>
          <t>SANDHAR ENGINEERING PVT LTD.(KA) -U</t>
        </is>
      </c>
      <c r="C1713" t="inlineStr">
        <is>
          <t>NOS</t>
        </is>
      </c>
      <c r="D1713" t="n">
        <v>1000</v>
      </c>
      <c r="E1713" t="n">
        <v>431.998</v>
      </c>
      <c r="F1713" t="n">
        <v>1903849</v>
      </c>
      <c r="G1713" t="inlineStr">
        <is>
          <t>38.1-0-2-ERW 1-FC</t>
        </is>
      </c>
      <c r="H1713" t="n">
        <v>732.756</v>
      </c>
      <c r="I1713" t="inlineStr">
        <is>
          <t>TUB-O-N-AUT-AW-FC-38.10X2.000X0.4320</t>
        </is>
      </c>
      <c r="J1713" t="inlineStr">
        <is>
          <t>TVS</t>
        </is>
      </c>
      <c r="K1713" t="inlineStr">
        <is>
          <t>38.1-0-2-ERW 1-FC-0.432</t>
        </is>
      </c>
    </row>
    <row r="1714">
      <c r="A1714" t="inlineStr">
        <is>
          <t>0000941496</t>
        </is>
      </c>
      <c r="B1714" t="inlineStr">
        <is>
          <t>SANDHAR ENGINEERING PVT LTD.(KA) -U</t>
        </is>
      </c>
      <c r="C1714" t="inlineStr">
        <is>
          <t>NOS</t>
        </is>
      </c>
      <c r="D1714" t="n">
        <v>2950</v>
      </c>
      <c r="E1714" t="n">
        <v>619.498</v>
      </c>
      <c r="F1714" t="n">
        <v>3508456</v>
      </c>
      <c r="G1714" t="inlineStr">
        <is>
          <t>31.75-0-1.2-ERW 1-PE</t>
        </is>
      </c>
      <c r="H1714" t="n">
        <v>537.621</v>
      </c>
      <c r="I1714" t="inlineStr">
        <is>
          <t>CUT-O-N-AUT-AW-PE-31.75X1.200X0.2100</t>
        </is>
      </c>
      <c r="J1714" t="inlineStr">
        <is>
          <t>TVS</t>
        </is>
      </c>
      <c r="K1714" t="inlineStr">
        <is>
          <t>31.75-0-1.2-ERW 1-PE-0.21</t>
        </is>
      </c>
    </row>
    <row r="1715">
      <c r="A1715" t="inlineStr">
        <is>
          <t>0000941496</t>
        </is>
      </c>
      <c r="B1715" t="inlineStr">
        <is>
          <t>SANDHAR ENGINEERING PVT LTD.(KA) -U</t>
        </is>
      </c>
      <c r="C1715" t="inlineStr">
        <is>
          <t>NOS</t>
        </is>
      </c>
      <c r="D1715" t="n">
        <v>1020.649</v>
      </c>
      <c r="E1715" t="n">
        <v>828.575</v>
      </c>
      <c r="F1715" t="n">
        <v>1940743</v>
      </c>
      <c r="G1715" t="inlineStr">
        <is>
          <t>38.1-0-2-ERW 1-FC</t>
        </is>
      </c>
      <c r="H1715" t="n">
        <v>1475.858</v>
      </c>
      <c r="I1715" t="inlineStr">
        <is>
          <t>TUB-O-O-AUT-AW-FC-38.10X2.000X0.8120</t>
        </is>
      </c>
      <c r="J1715" t="inlineStr">
        <is>
          <t>TVS</t>
        </is>
      </c>
      <c r="K1715" t="inlineStr">
        <is>
          <t>38.1-0-2-ERW 1-FC-0.812</t>
        </is>
      </c>
    </row>
    <row r="1716">
      <c r="A1716" t="inlineStr">
        <is>
          <t>0000941496</t>
        </is>
      </c>
      <c r="B1716" t="inlineStr">
        <is>
          <t>SANDHAR ENGINEERING PVT LTD.(KA) -U</t>
        </is>
      </c>
      <c r="C1716" t="inlineStr">
        <is>
          <t>NOS</t>
        </is>
      </c>
      <c r="D1716" t="n">
        <v>979.351</v>
      </c>
      <c r="E1716" t="n">
        <v>795.049</v>
      </c>
      <c r="F1716" t="n">
        <v>1940743</v>
      </c>
      <c r="G1716" t="inlineStr">
        <is>
          <t>38.1-0-2-ERW 1-FC</t>
        </is>
      </c>
      <c r="H1716" t="n">
        <v>1416.142</v>
      </c>
      <c r="I1716" t="inlineStr">
        <is>
          <t>TUB-O-O-AUT-AW-FC-38.10X2.000X0.8120</t>
        </is>
      </c>
      <c r="J1716" t="inlineStr">
        <is>
          <t>TVS</t>
        </is>
      </c>
      <c r="K1716" t="inlineStr">
        <is>
          <t>38.1-0-2-ERW 1-FC-0.812</t>
        </is>
      </c>
    </row>
    <row r="1717">
      <c r="A1717" t="inlineStr">
        <is>
          <t>0000188415</t>
        </is>
      </c>
      <c r="B1717" t="inlineStr">
        <is>
          <t>Rajsriya Automotive Industries(P)</t>
        </is>
      </c>
      <c r="C1717" t="inlineStr">
        <is>
          <t>NOS</t>
        </is>
      </c>
      <c r="D1717" t="n">
        <v>5000</v>
      </c>
      <c r="E1717" t="n">
        <v>1150.012</v>
      </c>
      <c r="F1717" t="n">
        <v>4010435</v>
      </c>
      <c r="G1717" t="inlineStr">
        <is>
          <t>41.28-0-3.2-ERW 1-FC</t>
        </is>
      </c>
      <c r="H1717" t="n">
        <v>3457.167</v>
      </c>
      <c r="I1717" t="inlineStr">
        <is>
          <t>TUB-O-N-AUT-AW-FC-41.28X3.200X0.2300</t>
        </is>
      </c>
      <c r="J1717" t="inlineStr">
        <is>
          <t>TVS</t>
        </is>
      </c>
      <c r="K1717" t="inlineStr">
        <is>
          <t>41.28-0-3.2-ERW 1-FC-0.23</t>
        </is>
      </c>
    </row>
    <row r="1718">
      <c r="A1718" t="inlineStr">
        <is>
          <t>0000189227</t>
        </is>
      </c>
      <c r="B1718" t="inlineStr">
        <is>
          <t>Neel Metal Products Limited</t>
        </is>
      </c>
      <c r="C1718" t="inlineStr">
        <is>
          <t>NOS</t>
        </is>
      </c>
      <c r="D1718" t="n">
        <v>563.297</v>
      </c>
      <c r="E1718" t="n">
        <v>768.905</v>
      </c>
      <c r="F1718" t="n">
        <v>3781680</v>
      </c>
      <c r="G1718" t="inlineStr">
        <is>
          <t>57.15-0-2.3-ERW 2-FC</t>
        </is>
      </c>
      <c r="H1718" t="n">
        <v>2292.337</v>
      </c>
      <c r="I1718" t="inlineStr">
        <is>
          <t>CUT-O-N-AUT-AW-FC-57.15X2.300X1.3650</t>
        </is>
      </c>
      <c r="J1718" t="inlineStr">
        <is>
          <t>TVS</t>
        </is>
      </c>
      <c r="K1718" t="inlineStr">
        <is>
          <t>57.15-0-2.3-ERW 2-FC-1.365</t>
        </is>
      </c>
    </row>
    <row r="1719">
      <c r="A1719" t="inlineStr">
        <is>
          <t>0000189227</t>
        </is>
      </c>
      <c r="B1719" t="inlineStr">
        <is>
          <t>Neel Metal Products Limited</t>
        </is>
      </c>
      <c r="C1719" t="inlineStr">
        <is>
          <t>NOS</t>
        </is>
      </c>
      <c r="D1719" t="n">
        <v>646.625</v>
      </c>
      <c r="E1719" t="n">
        <v>882.649</v>
      </c>
      <c r="F1719" t="n">
        <v>3781680</v>
      </c>
      <c r="G1719" t="inlineStr">
        <is>
          <t>57.15-0-2.3-ERW 2-FC</t>
        </is>
      </c>
      <c r="H1719" t="n">
        <v>2631.44</v>
      </c>
      <c r="I1719" t="inlineStr">
        <is>
          <t>CUT-O-N-AUT-AW-FC-57.15X2.300X1.3650</t>
        </is>
      </c>
      <c r="J1719" t="inlineStr">
        <is>
          <t>TVS</t>
        </is>
      </c>
      <c r="K1719" t="inlineStr">
        <is>
          <t>57.15-0-2.3-ERW 2-FC-1.365</t>
        </is>
      </c>
    </row>
    <row r="1720">
      <c r="A1720" t="inlineStr">
        <is>
          <t>0000189227</t>
        </is>
      </c>
      <c r="B1720" t="inlineStr">
        <is>
          <t>Neel Metal Products Limited</t>
        </is>
      </c>
      <c r="C1720" t="inlineStr">
        <is>
          <t>NOS</t>
        </is>
      </c>
      <c r="D1720" t="n">
        <v>1190.078</v>
      </c>
      <c r="E1720" t="n">
        <v>1624.467</v>
      </c>
      <c r="F1720" t="n">
        <v>3781680</v>
      </c>
      <c r="G1720" t="inlineStr">
        <is>
          <t>57.15-0-2.3-ERW 2-FC</t>
        </is>
      </c>
      <c r="H1720" t="n">
        <v>4843.022</v>
      </c>
      <c r="I1720" t="inlineStr">
        <is>
          <t>CUT-O-N-AUT-AW-FC-57.15X2.300X1.3650</t>
        </is>
      </c>
      <c r="J1720" t="inlineStr">
        <is>
          <t>TVS</t>
        </is>
      </c>
      <c r="K1720" t="inlineStr">
        <is>
          <t>57.15-0-2.3-ERW 2-FC-1.365</t>
        </is>
      </c>
    </row>
    <row r="1721">
      <c r="A1721" t="inlineStr">
        <is>
          <t>0000185254</t>
        </is>
      </c>
      <c r="B1721" t="inlineStr">
        <is>
          <t>LAXMI METAL PRESSING WORKS PVT LTD</t>
        </is>
      </c>
      <c r="C1721" t="inlineStr">
        <is>
          <t>NOS</t>
        </is>
      </c>
      <c r="D1721" t="n">
        <v>159.514</v>
      </c>
      <c r="E1721" t="n">
        <v>81.672</v>
      </c>
      <c r="F1721" t="n">
        <v>3801263</v>
      </c>
      <c r="G1721" t="inlineStr">
        <is>
          <t>70-0-3.2-ERW 2-FC</t>
        </is>
      </c>
      <c r="H1721" t="n">
        <v>430.544</v>
      </c>
      <c r="I1721" t="inlineStr">
        <is>
          <t>CUT-N-AUT-AN-FC-70.00X3.200X0.5120</t>
        </is>
      </c>
      <c r="J1721" t="inlineStr">
        <is>
          <t>TVS</t>
        </is>
      </c>
      <c r="K1721" t="inlineStr">
        <is>
          <t>70-0-3.2-ERW 2-FC-0.512</t>
        </is>
      </c>
    </row>
    <row r="1722">
      <c r="A1722" t="inlineStr">
        <is>
          <t>0000185254</t>
        </is>
      </c>
      <c r="B1722" t="inlineStr">
        <is>
          <t>LAXMI METAL PRESSING WORKS PVT LTD</t>
        </is>
      </c>
      <c r="C1722" t="inlineStr">
        <is>
          <t>NOS</t>
        </is>
      </c>
      <c r="D1722" t="n">
        <v>740.486</v>
      </c>
      <c r="E1722" t="n">
        <v>379.135</v>
      </c>
      <c r="F1722" t="n">
        <v>3801263</v>
      </c>
      <c r="G1722" t="inlineStr">
        <is>
          <t>70-0-3.2-ERW 2-FC</t>
        </is>
      </c>
      <c r="H1722" t="n">
        <v>1998.646</v>
      </c>
      <c r="I1722" t="inlineStr">
        <is>
          <t>CUT-N-AUT-AN-FC-70.00X3.200X0.5120</t>
        </is>
      </c>
      <c r="J1722" t="inlineStr">
        <is>
          <t>TVS</t>
        </is>
      </c>
      <c r="K1722" t="inlineStr">
        <is>
          <t>70-0-3.2-ERW 2-FC-0.512</t>
        </is>
      </c>
    </row>
    <row r="1723">
      <c r="A1723" t="inlineStr">
        <is>
          <t>0000944141</t>
        </is>
      </c>
      <c r="B1723" t="inlineStr">
        <is>
          <t>SRIKAM HITECH ENGINEERING PRIVATE L</t>
        </is>
      </c>
      <c r="C1723" t="inlineStr">
        <is>
          <t>NOS</t>
        </is>
      </c>
      <c r="D1723" t="n">
        <v>1000</v>
      </c>
      <c r="E1723" t="n">
        <v>588.375</v>
      </c>
      <c r="F1723" t="n">
        <v>1938191</v>
      </c>
      <c r="G1723" t="inlineStr">
        <is>
          <t>19-12.5-3.25-CEW-CEW</t>
        </is>
      </c>
      <c r="H1723" t="n">
        <v>743</v>
      </c>
      <c r="I1723" t="inlineStr">
        <is>
          <t>TUB-I-C-AUT-AD-FC-12.50X3.250X0.5880</t>
        </is>
      </c>
      <c r="J1723" t="inlineStr">
        <is>
          <t>TVS</t>
        </is>
      </c>
      <c r="K1723" t="inlineStr">
        <is>
          <t>19-12.5-3.25-CEW-CEW-0.588</t>
        </is>
      </c>
    </row>
    <row r="1724">
      <c r="A1724" t="inlineStr">
        <is>
          <t>0000944141</t>
        </is>
      </c>
      <c r="B1724" t="inlineStr">
        <is>
          <t>SRIKAM HITECH ENGINEERING PRIVATE L</t>
        </is>
      </c>
      <c r="C1724" t="inlineStr">
        <is>
          <t>NOS</t>
        </is>
      </c>
      <c r="D1724" t="n">
        <v>6000</v>
      </c>
      <c r="E1724" t="n">
        <v>3659.958</v>
      </c>
      <c r="F1724" t="n">
        <v>3508521</v>
      </c>
      <c r="G1724" t="inlineStr">
        <is>
          <t>19.05-0-2.3-ERW 1-PE</t>
        </is>
      </c>
      <c r="H1724" t="n">
        <v>3345.933</v>
      </c>
      <c r="I1724" t="inlineStr">
        <is>
          <t>CUT-O-N-AUT-AW-PE-19.05X2.300X0.6100</t>
        </is>
      </c>
      <c r="J1724" t="inlineStr">
        <is>
          <t>TVS</t>
        </is>
      </c>
      <c r="K1724" t="inlineStr">
        <is>
          <t>19.05-0-2.3-ERW 1-PE-0.61</t>
        </is>
      </c>
    </row>
    <row r="1725">
      <c r="A1725" t="inlineStr">
        <is>
          <t>0000945539</t>
        </is>
      </c>
      <c r="B1725" t="inlineStr">
        <is>
          <t>Sandhar EngineeringPvt.Ltd.(KA)-Uni</t>
        </is>
      </c>
      <c r="C1725" t="inlineStr">
        <is>
          <t>NOS</t>
        </is>
      </c>
      <c r="D1725" t="n">
        <v>145.763</v>
      </c>
      <c r="E1725" t="n">
        <v>114.131</v>
      </c>
      <c r="F1725" t="n">
        <v>3775636</v>
      </c>
      <c r="G1725" t="inlineStr">
        <is>
          <t>25.4-0-2.5-ERW 1-FC</t>
        </is>
      </c>
      <c r="H1725" t="n">
        <v>161.199</v>
      </c>
      <c r="I1725" t="inlineStr">
        <is>
          <t>TUB-O-O-AUT-AW-FC-25.40X2.500X0.7830</t>
        </is>
      </c>
      <c r="J1725" t="inlineStr">
        <is>
          <t>TVS</t>
        </is>
      </c>
      <c r="K1725" t="inlineStr">
        <is>
          <t>25.4-0-2.5-ERW 1-FC-0.783</t>
        </is>
      </c>
    </row>
    <row r="1726">
      <c r="A1726" t="inlineStr">
        <is>
          <t>0000945539</t>
        </is>
      </c>
      <c r="B1726" t="inlineStr">
        <is>
          <t>Sandhar EngineeringPvt.Ltd.(KA)-Uni</t>
        </is>
      </c>
      <c r="C1726" t="inlineStr">
        <is>
          <t>NOS</t>
        </is>
      </c>
      <c r="D1726" t="n">
        <v>4754.237</v>
      </c>
      <c r="E1726" t="n">
        <v>3722.537</v>
      </c>
      <c r="F1726" t="n">
        <v>3775636</v>
      </c>
      <c r="G1726" t="inlineStr">
        <is>
          <t>25.4-0-2.5-ERW 1-FC</t>
        </is>
      </c>
      <c r="H1726" t="n">
        <v>5257.711</v>
      </c>
      <c r="I1726" t="inlineStr">
        <is>
          <t>TUB-O-O-AUT-AW-FC-25.40X2.500X0.7830</t>
        </is>
      </c>
      <c r="J1726" t="inlineStr">
        <is>
          <t>TVS</t>
        </is>
      </c>
      <c r="K1726" t="inlineStr">
        <is>
          <t>25.4-0-2.5-ERW 1-FC-0.783</t>
        </is>
      </c>
    </row>
    <row r="1727">
      <c r="A1727" t="inlineStr">
        <is>
          <t>0000189226</t>
        </is>
      </c>
      <c r="B1727" t="inlineStr">
        <is>
          <t>Neel Metal Products Limited</t>
        </is>
      </c>
      <c r="C1727" t="inlineStr">
        <is>
          <t>NOS</t>
        </is>
      </c>
      <c r="D1727" t="n">
        <v>666</v>
      </c>
      <c r="E1727" t="n">
        <v>486.265</v>
      </c>
      <c r="F1727" t="n">
        <v>1940881</v>
      </c>
      <c r="G1727" t="inlineStr">
        <is>
          <t>50-30-2-ERW 1-FC</t>
        </is>
      </c>
      <c r="H1727" t="n">
        <v>1170.828</v>
      </c>
      <c r="I1727" t="inlineStr">
        <is>
          <t>TUB-R-AW-RHS-50.00X30.00X2.000X0.7300</t>
        </is>
      </c>
      <c r="J1727" t="inlineStr">
        <is>
          <t>TVS</t>
        </is>
      </c>
      <c r="K1727" t="inlineStr">
        <is>
          <t>50-30-2-ERW 1-FC-0.73</t>
        </is>
      </c>
    </row>
    <row r="1728">
      <c r="A1728" t="inlineStr">
        <is>
          <t>0000188415</t>
        </is>
      </c>
      <c r="B1728" t="inlineStr">
        <is>
          <t>Rajsriya Automotive Industries(P)</t>
        </is>
      </c>
      <c r="C1728" t="inlineStr">
        <is>
          <t>NOS</t>
        </is>
      </c>
      <c r="D1728" t="n">
        <v>3176</v>
      </c>
      <c r="E1728" t="n">
        <v>730.4880000000001</v>
      </c>
      <c r="F1728" t="n">
        <v>4010435</v>
      </c>
      <c r="G1728" t="inlineStr">
        <is>
          <t>41.28-0-3.2-ERW 1-FC</t>
        </is>
      </c>
      <c r="H1728" t="n">
        <v>2195.992</v>
      </c>
      <c r="I1728" t="inlineStr">
        <is>
          <t>TUB-O-N-AUT-AW-FC-41.28X3.200X0.2300</t>
        </is>
      </c>
      <c r="J1728" t="inlineStr">
        <is>
          <t>TVS</t>
        </is>
      </c>
      <c r="K1728" t="inlineStr">
        <is>
          <t>41.28-0-3.2-ERW 1-FC-0.23</t>
        </is>
      </c>
    </row>
    <row r="1729">
      <c r="A1729" t="inlineStr">
        <is>
          <t>0000189226</t>
        </is>
      </c>
      <c r="B1729" t="inlineStr">
        <is>
          <t>Neel Metal Products Limited</t>
        </is>
      </c>
      <c r="C1729" t="inlineStr">
        <is>
          <t>NOS</t>
        </is>
      </c>
      <c r="D1729" t="n">
        <v>1400</v>
      </c>
      <c r="E1729" t="n">
        <v>330.394</v>
      </c>
      <c r="F1729" t="n">
        <v>3784473</v>
      </c>
      <c r="G1729" t="inlineStr">
        <is>
          <t>63.5-0-4-ERW 1-FC</t>
        </is>
      </c>
      <c r="H1729" t="n">
        <v>1893.92</v>
      </c>
      <c r="I1729" t="inlineStr">
        <is>
          <t>CUT-O-N-AUT-BH-FC-63.50X4.000X0.2360</t>
        </is>
      </c>
      <c r="J1729" t="inlineStr">
        <is>
          <t>TVS</t>
        </is>
      </c>
      <c r="K1729" t="inlineStr">
        <is>
          <t>63.5-0-4-ERW 1-FC-0.236</t>
        </is>
      </c>
    </row>
    <row r="1730">
      <c r="A1730" t="inlineStr">
        <is>
          <t>0000819045</t>
        </is>
      </c>
      <c r="B1730" t="inlineStr">
        <is>
          <t>KNITVEL NEEDLES P LTD</t>
        </is>
      </c>
      <c r="C1730" t="inlineStr">
        <is>
          <t>NOS</t>
        </is>
      </c>
      <c r="D1730" t="n">
        <v>500</v>
      </c>
      <c r="E1730" t="n">
        <v>405.771</v>
      </c>
      <c r="F1730" t="n">
        <v>1940467</v>
      </c>
      <c r="G1730" t="inlineStr">
        <is>
          <t>22.23-0-2-ERW 2 MAHS-PE</t>
        </is>
      </c>
      <c r="H1730" t="n">
        <v>405</v>
      </c>
      <c r="I1730" t="inlineStr">
        <is>
          <t>TUB-O-O-AUT-AW-PE-22.23X2.00X0.812-MAHS</t>
        </is>
      </c>
      <c r="J1730" t="inlineStr">
        <is>
          <t>TVS</t>
        </is>
      </c>
      <c r="K1730" t="inlineStr">
        <is>
          <t>22.23-0-2-ERW 2 MAHS-PE-0.812</t>
        </is>
      </c>
    </row>
    <row r="1731">
      <c r="A1731" t="inlineStr">
        <is>
          <t>0000819045</t>
        </is>
      </c>
      <c r="B1731" t="inlineStr">
        <is>
          <t>KNITVEL NEEDLES P LTD</t>
        </is>
      </c>
      <c r="C1731" t="inlineStr">
        <is>
          <t>NOS</t>
        </is>
      </c>
      <c r="D1731" t="n">
        <v>1000</v>
      </c>
      <c r="E1731" t="n">
        <v>1290.011</v>
      </c>
      <c r="F1731" t="n">
        <v>3533248</v>
      </c>
      <c r="G1731" t="inlineStr">
        <is>
          <t>22.23-0-1.6-ERW 1-PE</t>
        </is>
      </c>
      <c r="H1731" t="n">
        <v>1012.2</v>
      </c>
      <c r="I1731" t="inlineStr">
        <is>
          <t>CUT-O-N-AUT-AW-PE-22.20X1.600X1.2900</t>
        </is>
      </c>
      <c r="J1731" t="inlineStr">
        <is>
          <t>TVS</t>
        </is>
      </c>
      <c r="K1731" t="inlineStr">
        <is>
          <t>22.23-0-1.6-ERW 1-PE-1.29</t>
        </is>
      </c>
    </row>
    <row r="1732">
      <c r="A1732" t="inlineStr">
        <is>
          <t>0000188415</t>
        </is>
      </c>
      <c r="B1732" t="inlineStr">
        <is>
          <t>Rajsriya Automotive Industries(P)</t>
        </is>
      </c>
      <c r="C1732" t="inlineStr">
        <is>
          <t>NOS</t>
        </is>
      </c>
      <c r="D1732" t="n">
        <v>1038</v>
      </c>
      <c r="E1732" t="n">
        <v>424.53</v>
      </c>
      <c r="F1732" t="n">
        <v>4020857</v>
      </c>
      <c r="G1732" t="inlineStr">
        <is>
          <t>57.15-0-2-ERW 1-FC</t>
        </is>
      </c>
      <c r="H1732" t="n">
        <v>1126.957</v>
      </c>
      <c r="I1732" t="inlineStr">
        <is>
          <t>TUB-O-N-AUT-AW-FC-57.15X2.000X0.4090</t>
        </is>
      </c>
      <c r="J1732" t="inlineStr">
        <is>
          <t>TVS</t>
        </is>
      </c>
      <c r="K1732" t="inlineStr">
        <is>
          <t>57.15-0-2-ERW 1-FC-0.409</t>
        </is>
      </c>
    </row>
    <row r="1733">
      <c r="A1733" t="inlineStr">
        <is>
          <t>0000189226</t>
        </is>
      </c>
      <c r="B1733" t="inlineStr">
        <is>
          <t>Neel Metal Products Limited</t>
        </is>
      </c>
      <c r="C1733" t="inlineStr">
        <is>
          <t>NOS</t>
        </is>
      </c>
      <c r="D1733" t="n">
        <v>500</v>
      </c>
      <c r="E1733" t="n">
        <v>117.998</v>
      </c>
      <c r="F1733" t="n">
        <v>3784473</v>
      </c>
      <c r="G1733" t="inlineStr">
        <is>
          <t>63.5-0-4-ERW 1-FC</t>
        </is>
      </c>
      <c r="H1733" t="n">
        <v>676.4</v>
      </c>
      <c r="I1733" t="inlineStr">
        <is>
          <t>CUT-O-N-AUT-BH-FC-63.50X4.000X0.2360</t>
        </is>
      </c>
      <c r="J1733" t="inlineStr">
        <is>
          <t>TVS</t>
        </is>
      </c>
      <c r="K1733" t="inlineStr">
        <is>
          <t>63.5-0-4-ERW 1-FC-0.236</t>
        </is>
      </c>
    </row>
    <row r="1734">
      <c r="A1734" t="inlineStr">
        <is>
          <t>0000189227</t>
        </is>
      </c>
      <c r="B1734" t="inlineStr">
        <is>
          <t>Neel Metal Products Limited</t>
        </is>
      </c>
      <c r="C1734" t="inlineStr">
        <is>
          <t>NOS</t>
        </is>
      </c>
      <c r="D1734" t="n">
        <v>931</v>
      </c>
      <c r="E1734" t="n">
        <v>753.179</v>
      </c>
      <c r="F1734" t="n">
        <v>1940466</v>
      </c>
      <c r="G1734" t="inlineStr">
        <is>
          <t>22.23-0-2-ERW 1-PE</t>
        </is>
      </c>
      <c r="H1734" t="n">
        <v>733.462</v>
      </c>
      <c r="I1734" t="inlineStr">
        <is>
          <t>TUB-O-O-AUT-AW-PE-22.23X2.000X0.8090</t>
        </is>
      </c>
      <c r="J1734" t="inlineStr">
        <is>
          <t>TVS</t>
        </is>
      </c>
      <c r="K1734" t="inlineStr">
        <is>
          <t>22.23-0-2-ERW 1-PE-0.809</t>
        </is>
      </c>
    </row>
    <row r="1735">
      <c r="A1735" t="inlineStr">
        <is>
          <t>0000189227</t>
        </is>
      </c>
      <c r="B1735" t="inlineStr">
        <is>
          <t>Neel Metal Products Limited</t>
        </is>
      </c>
      <c r="C1735" t="inlineStr">
        <is>
          <t>NOS</t>
        </is>
      </c>
      <c r="D1735" t="n">
        <v>2500</v>
      </c>
      <c r="E1735" t="n">
        <v>985.008</v>
      </c>
      <c r="F1735" t="n">
        <v>1940437</v>
      </c>
      <c r="G1735" t="inlineStr">
        <is>
          <t>22.23-0-2-ERW 1-PE</t>
        </is>
      </c>
      <c r="H1735" t="n">
        <v>959.222</v>
      </c>
      <c r="I1735" t="inlineStr">
        <is>
          <t>TUB-O-O-AUT-AW-PE-22.23X2.000X0.3940</t>
        </is>
      </c>
      <c r="J1735" t="inlineStr">
        <is>
          <t>TVS</t>
        </is>
      </c>
      <c r="K1735" t="inlineStr">
        <is>
          <t>22.23-0-2-ERW 1-PE-0.394</t>
        </is>
      </c>
    </row>
    <row r="1736">
      <c r="A1736" t="inlineStr">
        <is>
          <t>0000941496</t>
        </is>
      </c>
      <c r="B1736" t="inlineStr">
        <is>
          <t>SANDHAR ENGINEERING PVT LTD.(KA) -U</t>
        </is>
      </c>
      <c r="C1736" t="inlineStr">
        <is>
          <t>NOS</t>
        </is>
      </c>
      <c r="D1736" t="n">
        <v>1220</v>
      </c>
      <c r="E1736" t="n">
        <v>990.4109999999999</v>
      </c>
      <c r="F1736" t="n">
        <v>1940743</v>
      </c>
      <c r="G1736" t="inlineStr">
        <is>
          <t>38.1-0-2-ERW 1-FC</t>
        </is>
      </c>
      <c r="H1736" t="n">
        <v>1764.12</v>
      </c>
      <c r="I1736" t="inlineStr">
        <is>
          <t>TUB-O-O-AUT-AW-FC-38.10X2.000X0.8120</t>
        </is>
      </c>
      <c r="J1736" t="inlineStr">
        <is>
          <t>TVS</t>
        </is>
      </c>
      <c r="K1736" t="inlineStr">
        <is>
          <t>38.1-0-2-ERW 1-FC-0.812</t>
        </is>
      </c>
    </row>
    <row r="1737">
      <c r="A1737" t="inlineStr">
        <is>
          <t>0000941496</t>
        </is>
      </c>
      <c r="B1737" t="inlineStr">
        <is>
          <t>SANDHAR ENGINEERING PVT LTD.(KA) -U</t>
        </is>
      </c>
      <c r="C1737" t="inlineStr">
        <is>
          <t>NOS</t>
        </is>
      </c>
      <c r="D1737" t="n">
        <v>244</v>
      </c>
      <c r="E1737" t="n">
        <v>105.408</v>
      </c>
      <c r="F1737" t="n">
        <v>1903849</v>
      </c>
      <c r="G1737" t="inlineStr">
        <is>
          <t>38.1-0-2-ERW 1-FC</t>
        </is>
      </c>
      <c r="H1737" t="n">
        <v>178.792</v>
      </c>
      <c r="I1737" t="inlineStr">
        <is>
          <t>TUB-O-N-AUT-AW-FC-38.10X2.000X0.4320</t>
        </is>
      </c>
      <c r="J1737" t="inlineStr">
        <is>
          <t>TVS</t>
        </is>
      </c>
      <c r="K1737" t="inlineStr">
        <is>
          <t>38.1-0-2-ERW 1-FC-0.432</t>
        </is>
      </c>
    </row>
    <row r="1738">
      <c r="A1738" t="inlineStr">
        <is>
          <t>0000941496</t>
        </is>
      </c>
      <c r="B1738" t="inlineStr">
        <is>
          <t>SANDHAR ENGINEERING PVT LTD.(KA) -U</t>
        </is>
      </c>
      <c r="C1738" t="inlineStr">
        <is>
          <t>NOS</t>
        </is>
      </c>
      <c r="D1738" t="n">
        <v>4500</v>
      </c>
      <c r="E1738" t="n">
        <v>936.006</v>
      </c>
      <c r="F1738" t="n">
        <v>3722021</v>
      </c>
      <c r="G1738" t="inlineStr">
        <is>
          <t>42.7-0-3.5-ERW 1-FC</t>
        </is>
      </c>
      <c r="H1738" t="n">
        <v>3168.1</v>
      </c>
      <c r="I1738" t="inlineStr">
        <is>
          <t>TUB-O-N-AUT-AN--42.70X3.500X0.2080</t>
        </is>
      </c>
      <c r="J1738" t="inlineStr">
        <is>
          <t>TVS</t>
        </is>
      </c>
      <c r="K1738" t="inlineStr">
        <is>
          <t>42.7-0-3.5-ERW 1-FC-0.208</t>
        </is>
      </c>
    </row>
    <row r="1739">
      <c r="A1739" t="inlineStr">
        <is>
          <t>0000941496</t>
        </is>
      </c>
      <c r="B1739" t="inlineStr">
        <is>
          <t>SANDHAR ENGINEERING PVT LTD.(KA) -U</t>
        </is>
      </c>
      <c r="C1739" t="inlineStr">
        <is>
          <t>NOS</t>
        </is>
      </c>
      <c r="D1739" t="n">
        <v>546</v>
      </c>
      <c r="E1739" t="n">
        <v>113.569</v>
      </c>
      <c r="F1739" t="n">
        <v>3722021</v>
      </c>
      <c r="G1739" t="inlineStr">
        <is>
          <t>42.7-0-3.5-ERW 1-FC</t>
        </is>
      </c>
      <c r="H1739" t="n">
        <v>384.396</v>
      </c>
      <c r="I1739" t="inlineStr">
        <is>
          <t>TUB-O-N-AUT-AN--42.70X3.500X0.2080</t>
        </is>
      </c>
      <c r="J1739" t="inlineStr">
        <is>
          <t>TVS</t>
        </is>
      </c>
      <c r="K1739" t="inlineStr">
        <is>
          <t>42.7-0-3.5-ERW 1-FC-0.208</t>
        </is>
      </c>
    </row>
    <row r="1740">
      <c r="A1740" t="inlineStr">
        <is>
          <t>0000941496</t>
        </is>
      </c>
      <c r="B1740" t="inlineStr">
        <is>
          <t>SANDHAR ENGINEERING PVT LTD.(KA) -U</t>
        </is>
      </c>
      <c r="C1740" t="inlineStr">
        <is>
          <t>NOS</t>
        </is>
      </c>
      <c r="D1740" t="n">
        <v>2000</v>
      </c>
      <c r="E1740" t="n">
        <v>1609.99</v>
      </c>
      <c r="F1740" t="n">
        <v>3694069</v>
      </c>
      <c r="G1740" t="inlineStr">
        <is>
          <t>22.23-0-2-ERW 1-PE</t>
        </is>
      </c>
      <c r="H1740" t="n">
        <v>1603.711</v>
      </c>
      <c r="I1740" t="inlineStr">
        <is>
          <t>CUT-O-N-AUT-AW-PE-22.20X2.000X0.8050</t>
        </is>
      </c>
      <c r="J1740" t="inlineStr">
        <is>
          <t>TVS</t>
        </is>
      </c>
      <c r="K1740" t="inlineStr">
        <is>
          <t>22.23-0-2-ERW 1-PE-0.805</t>
        </is>
      </c>
    </row>
    <row r="1741">
      <c r="A1741" t="inlineStr">
        <is>
          <t>0000941496</t>
        </is>
      </c>
      <c r="B1741" t="inlineStr">
        <is>
          <t>SANDHAR ENGINEERING PVT LTD.(KA) -U</t>
        </is>
      </c>
      <c r="C1741" t="inlineStr">
        <is>
          <t>NOS</t>
        </is>
      </c>
      <c r="D1741" t="n">
        <v>153</v>
      </c>
      <c r="E1741" t="n">
        <v>123.164</v>
      </c>
      <c r="F1741" t="n">
        <v>3694069</v>
      </c>
      <c r="G1741" t="inlineStr">
        <is>
          <t>22.23-0-2-ERW 1-PE</t>
        </is>
      </c>
      <c r="H1741" t="n">
        <v>122.684</v>
      </c>
      <c r="I1741" t="inlineStr">
        <is>
          <t>CUT-O-N-AUT-AW-PE-22.20X2.000X0.8050</t>
        </is>
      </c>
      <c r="J1741" t="inlineStr">
        <is>
          <t>TVS</t>
        </is>
      </c>
      <c r="K1741" t="inlineStr">
        <is>
          <t>22.23-0-2-ERW 1-PE-0.805</t>
        </is>
      </c>
    </row>
    <row r="1742">
      <c r="A1742" t="inlineStr">
        <is>
          <t>0000940921</t>
        </is>
      </c>
      <c r="B1742" t="inlineStr">
        <is>
          <t>ELKAYEM AUTO ANCILLARIES PVT LTD -U</t>
        </is>
      </c>
      <c r="C1742" t="inlineStr">
        <is>
          <t>NOS</t>
        </is>
      </c>
      <c r="D1742" t="n">
        <v>289</v>
      </c>
      <c r="E1742" t="n">
        <v>206.054</v>
      </c>
      <c r="F1742" t="n">
        <v>3783938</v>
      </c>
      <c r="G1742" t="inlineStr">
        <is>
          <t>57.15-0-2-ERW 1-FC</t>
        </is>
      </c>
      <c r="H1742" t="n">
        <v>546.99</v>
      </c>
      <c r="I1742" t="inlineStr">
        <is>
          <t>CUT-O-N-AUT-NR-AG-57.15X2.000X0.7130</t>
        </is>
      </c>
      <c r="J1742" t="inlineStr">
        <is>
          <t>TVS</t>
        </is>
      </c>
      <c r="K1742" t="inlineStr">
        <is>
          <t>57.15-0-2-ERW 1-FC-0.713</t>
        </is>
      </c>
    </row>
    <row r="1743">
      <c r="A1743" t="inlineStr">
        <is>
          <t>0000940921</t>
        </is>
      </c>
      <c r="B1743" t="inlineStr">
        <is>
          <t>ELKAYEM AUTO ANCILLARIES PVT LTD -U</t>
        </is>
      </c>
      <c r="C1743" t="inlineStr">
        <is>
          <t>NOS</t>
        </is>
      </c>
      <c r="D1743" t="n">
        <v>49.376</v>
      </c>
      <c r="E1743" t="n">
        <v>9.529999999999999</v>
      </c>
      <c r="F1743" t="n">
        <v>3509016</v>
      </c>
      <c r="G1743" t="inlineStr">
        <is>
          <t>31.75-0-2.5-ERW 1-FC</t>
        </is>
      </c>
      <c r="H1743" t="n">
        <v>16.876</v>
      </c>
      <c r="I1743" t="inlineStr">
        <is>
          <t>CUT-O-N-AUT-AW-PE-31.75X2.500X0.1930</t>
        </is>
      </c>
      <c r="J1743" t="inlineStr">
        <is>
          <t>TVS</t>
        </is>
      </c>
      <c r="K1743" t="inlineStr">
        <is>
          <t>31.75-0-2.5-ERW 1-FC-0.193</t>
        </is>
      </c>
    </row>
    <row r="1744">
      <c r="A1744" t="inlineStr">
        <is>
          <t>0000940921</t>
        </is>
      </c>
      <c r="B1744" t="inlineStr">
        <is>
          <t>ELKAYEM AUTO ANCILLARIES PVT LTD -U</t>
        </is>
      </c>
      <c r="C1744" t="inlineStr">
        <is>
          <t>NOS</t>
        </is>
      </c>
      <c r="D1744" t="n">
        <v>900.624</v>
      </c>
      <c r="E1744" t="n">
        <v>173.823</v>
      </c>
      <c r="F1744" t="n">
        <v>3509016</v>
      </c>
      <c r="G1744" t="inlineStr">
        <is>
          <t>31.75-0-2.5-ERW 1-FC</t>
        </is>
      </c>
      <c r="H1744" t="n">
        <v>307.823</v>
      </c>
      <c r="I1744" t="inlineStr">
        <is>
          <t>CUT-O-N-AUT-AW-PE-31.75X2.500X0.1930</t>
        </is>
      </c>
      <c r="J1744" t="inlineStr">
        <is>
          <t>TVS</t>
        </is>
      </c>
      <c r="K1744" t="inlineStr">
        <is>
          <t>31.75-0-2.5-ERW 1-FC-0.193</t>
        </is>
      </c>
    </row>
    <row r="1745">
      <c r="A1745" t="inlineStr">
        <is>
          <t>0000944141</t>
        </is>
      </c>
      <c r="B1745" t="inlineStr">
        <is>
          <t>SRIKAM HITECH ENGINEERING PRIVATE L</t>
        </is>
      </c>
      <c r="C1745" t="inlineStr">
        <is>
          <t>NOS</t>
        </is>
      </c>
      <c r="D1745" t="n">
        <v>1148.048</v>
      </c>
      <c r="E1745" t="n">
        <v>675.4829999999999</v>
      </c>
      <c r="F1745" t="n">
        <v>1938191</v>
      </c>
      <c r="G1745" t="inlineStr">
        <is>
          <t>19-12.5-3.25-CEW-CEW</t>
        </is>
      </c>
      <c r="H1745" t="n">
        <v>853</v>
      </c>
      <c r="I1745" t="inlineStr">
        <is>
          <t>TUB-I-C-AUT-AD-FC-12.50X3.250X0.5880</t>
        </is>
      </c>
      <c r="J1745" t="inlineStr">
        <is>
          <t>TVS</t>
        </is>
      </c>
      <c r="K1745" t="inlineStr">
        <is>
          <t>19-12.5-3.25-CEW-CEW-0.588</t>
        </is>
      </c>
    </row>
    <row r="1746">
      <c r="A1746" t="inlineStr">
        <is>
          <t>0000944141</t>
        </is>
      </c>
      <c r="B1746" t="inlineStr">
        <is>
          <t>SRIKAM HITECH ENGINEERING PRIVATE L</t>
        </is>
      </c>
      <c r="C1746" t="inlineStr">
        <is>
          <t>NOS</t>
        </is>
      </c>
      <c r="D1746" t="n">
        <v>5212.651</v>
      </c>
      <c r="E1746" t="n">
        <v>3066.994</v>
      </c>
      <c r="F1746" t="n">
        <v>1938191</v>
      </c>
      <c r="G1746" t="inlineStr">
        <is>
          <t>19-12.5-3.25-CEW-CEW</t>
        </is>
      </c>
      <c r="H1746" t="n">
        <v>3873</v>
      </c>
      <c r="I1746" t="inlineStr">
        <is>
          <t>TUB-I-C-AUT-AD-FC-12.50X3.250X0.5880</t>
        </is>
      </c>
      <c r="J1746" t="inlineStr">
        <is>
          <t>TVS</t>
        </is>
      </c>
      <c r="K1746" t="inlineStr">
        <is>
          <t>19-12.5-3.25-CEW-CEW-0.588</t>
        </is>
      </c>
    </row>
    <row r="1747">
      <c r="A1747" t="inlineStr">
        <is>
          <t>0000944141</t>
        </is>
      </c>
      <c r="B1747" t="inlineStr">
        <is>
          <t>SRIKAM HITECH ENGINEERING PRIVATE L</t>
        </is>
      </c>
      <c r="C1747" t="inlineStr">
        <is>
          <t>NOS</t>
        </is>
      </c>
      <c r="D1747" t="n">
        <v>2639.301</v>
      </c>
      <c r="E1747" t="n">
        <v>1552.899</v>
      </c>
      <c r="F1747" t="n">
        <v>1938191</v>
      </c>
      <c r="G1747" t="inlineStr">
        <is>
          <t>19-12.5-3.25-CEW-CEW</t>
        </is>
      </c>
      <c r="H1747" t="n">
        <v>1961.001</v>
      </c>
      <c r="I1747" t="inlineStr">
        <is>
          <t>TUB-I-C-AUT-AD-FC-12.50X3.250X0.5880</t>
        </is>
      </c>
      <c r="J1747" t="inlineStr">
        <is>
          <t>TVS</t>
        </is>
      </c>
      <c r="K1747" t="inlineStr">
        <is>
          <t>19-12.5-3.25-CEW-CEW-0.588</t>
        </is>
      </c>
    </row>
    <row r="1748">
      <c r="A1748" t="inlineStr">
        <is>
          <t>0000944141</t>
        </is>
      </c>
      <c r="B1748" t="inlineStr">
        <is>
          <t>SRIKAM HITECH ENGINEERING PRIVATE L</t>
        </is>
      </c>
      <c r="C1748" t="inlineStr">
        <is>
          <t>NOS</t>
        </is>
      </c>
      <c r="D1748" t="n">
        <v>3000</v>
      </c>
      <c r="E1748" t="n">
        <v>1829.979</v>
      </c>
      <c r="F1748" t="n">
        <v>3508521</v>
      </c>
      <c r="G1748" t="inlineStr">
        <is>
          <t>19.05-0-2.3-ERW 1-PE</t>
        </is>
      </c>
      <c r="H1748" t="n">
        <v>1672.967</v>
      </c>
      <c r="I1748" t="inlineStr">
        <is>
          <t>CUT-O-N-AUT-AW-PE-19.05X2.300X0.6100</t>
        </is>
      </c>
      <c r="J1748" t="inlineStr">
        <is>
          <t>TVS</t>
        </is>
      </c>
      <c r="K1748" t="inlineStr">
        <is>
          <t>19.05-0-2.3-ERW 1-PE-0.61</t>
        </is>
      </c>
    </row>
    <row r="1749">
      <c r="A1749" t="inlineStr">
        <is>
          <t>0000944141</t>
        </is>
      </c>
      <c r="B1749" t="inlineStr">
        <is>
          <t>SRIKAM HITECH ENGINEERING PRIVATE L</t>
        </is>
      </c>
      <c r="C1749" t="inlineStr">
        <is>
          <t>NOS</t>
        </is>
      </c>
      <c r="D1749" t="n">
        <v>450</v>
      </c>
      <c r="E1749" t="n">
        <v>274.497</v>
      </c>
      <c r="F1749" t="n">
        <v>3508521</v>
      </c>
      <c r="G1749" t="inlineStr">
        <is>
          <t>19.05-0-2.3-ERW 1-PE</t>
        </is>
      </c>
      <c r="H1749" t="n">
        <v>250.945</v>
      </c>
      <c r="I1749" t="inlineStr">
        <is>
          <t>CUT-O-N-AUT-AW-PE-19.05X2.300X0.6100</t>
        </is>
      </c>
      <c r="J1749" t="inlineStr">
        <is>
          <t>TVS</t>
        </is>
      </c>
      <c r="K1749" t="inlineStr">
        <is>
          <t>19.05-0-2.3-ERW 1-PE-0.61</t>
        </is>
      </c>
    </row>
    <row r="1750">
      <c r="A1750" t="inlineStr">
        <is>
          <t>0000945539</t>
        </is>
      </c>
      <c r="B1750" t="inlineStr">
        <is>
          <t>Sandhar EngineeringPvt.Ltd.(KA)-Uni</t>
        </is>
      </c>
      <c r="C1750" t="inlineStr">
        <is>
          <t>NOS</t>
        </is>
      </c>
      <c r="D1750" t="n">
        <v>1321.388</v>
      </c>
      <c r="E1750" t="n">
        <v>741.557</v>
      </c>
      <c r="F1750" t="n">
        <v>3801265</v>
      </c>
      <c r="G1750" t="inlineStr">
        <is>
          <t>40-25-1.6-ERW 1-FC</t>
        </is>
      </c>
      <c r="H1750" t="n">
        <v>1161.5</v>
      </c>
      <c r="I1750" t="inlineStr">
        <is>
          <t>CUT-AW-AUT-40.00X25.00X1.600X0.5610</t>
        </is>
      </c>
      <c r="J1750" t="inlineStr">
        <is>
          <t>TVS</t>
        </is>
      </c>
      <c r="K1750" t="inlineStr">
        <is>
          <t>40-25-1.6-ERW 1-FC-0.561</t>
        </is>
      </c>
    </row>
    <row r="1751">
      <c r="A1751" t="inlineStr">
        <is>
          <t>0000945539</t>
        </is>
      </c>
      <c r="B1751" t="inlineStr">
        <is>
          <t>Sandhar EngineeringPvt.Ltd.(KA)-Uni</t>
        </is>
      </c>
      <c r="C1751" t="inlineStr">
        <is>
          <t>NOS</t>
        </is>
      </c>
      <c r="D1751" t="n">
        <v>58.612</v>
      </c>
      <c r="E1751" t="n">
        <v>32.893</v>
      </c>
      <c r="F1751" t="n">
        <v>3801265</v>
      </c>
      <c r="G1751" t="inlineStr">
        <is>
          <t>40-25-1.6-ERW 1-FC</t>
        </is>
      </c>
      <c r="H1751" t="n">
        <v>51.52</v>
      </c>
      <c r="I1751" t="inlineStr">
        <is>
          <t>CUT-AW-AUT-40.00X25.00X1.600X0.5610</t>
        </is>
      </c>
      <c r="J1751" t="inlineStr">
        <is>
          <t>TVS</t>
        </is>
      </c>
      <c r="K1751" t="inlineStr">
        <is>
          <t>40-25-1.6-ERW 1-FC-0.561</t>
        </is>
      </c>
    </row>
    <row r="1752">
      <c r="A1752" t="inlineStr">
        <is>
          <t>0000945539</t>
        </is>
      </c>
      <c r="B1752" t="inlineStr">
        <is>
          <t>Sandhar EngineeringPvt.Ltd.(KA)-Uni</t>
        </is>
      </c>
      <c r="C1752" t="inlineStr">
        <is>
          <t>NOS</t>
        </is>
      </c>
      <c r="D1752" t="n">
        <v>1725</v>
      </c>
      <c r="E1752" t="n">
        <v>370.872</v>
      </c>
      <c r="F1752" t="n">
        <v>3901714</v>
      </c>
      <c r="G1752" t="inlineStr">
        <is>
          <t>42.7-0-4-ERW 1-FC</t>
        </is>
      </c>
      <c r="H1752" t="n">
        <v>1415.842</v>
      </c>
      <c r="I1752" t="inlineStr">
        <is>
          <t>CUT-N-AUT-AN-FC-42.70X4.000X0.2150</t>
        </is>
      </c>
      <c r="J1752" t="inlineStr">
        <is>
          <t>TVS</t>
        </is>
      </c>
      <c r="K1752" t="inlineStr">
        <is>
          <t>42.7-0-4-ERW 1-FC-0.215</t>
        </is>
      </c>
    </row>
    <row r="1753">
      <c r="A1753" t="inlineStr">
        <is>
          <t>0000945539</t>
        </is>
      </c>
      <c r="B1753" t="inlineStr">
        <is>
          <t>Sandhar EngineeringPvt.Ltd.(KA)-Uni</t>
        </is>
      </c>
      <c r="C1753" t="inlineStr">
        <is>
          <t>NOS</t>
        </is>
      </c>
      <c r="D1753" t="n">
        <v>2610</v>
      </c>
      <c r="E1753" t="n">
        <v>2253.877</v>
      </c>
      <c r="F1753" t="n">
        <v>3910649</v>
      </c>
      <c r="G1753" t="inlineStr">
        <is>
          <t>22.23-0-2-ERW 2-FC</t>
        </is>
      </c>
      <c r="H1753" t="n">
        <v>2249.82</v>
      </c>
      <c r="I1753" t="inlineStr">
        <is>
          <t>CUT-O-N-AUT-AW-FC-22.23X2.000X0.8630</t>
        </is>
      </c>
      <c r="J1753" t="inlineStr">
        <is>
          <t>TVS</t>
        </is>
      </c>
      <c r="K1753" t="inlineStr">
        <is>
          <t>22.23-0-2-ERW 2-FC-0.863</t>
        </is>
      </c>
    </row>
    <row r="1754">
      <c r="A1754" t="inlineStr">
        <is>
          <t>0000945539</t>
        </is>
      </c>
      <c r="B1754" t="inlineStr">
        <is>
          <t>Sandhar EngineeringPvt.Ltd.(KA)-Uni</t>
        </is>
      </c>
      <c r="C1754" t="inlineStr">
        <is>
          <t>NOS</t>
        </is>
      </c>
      <c r="D1754" t="n">
        <v>2497</v>
      </c>
      <c r="E1754" t="n">
        <v>2136.283</v>
      </c>
      <c r="F1754" t="n">
        <v>3910650</v>
      </c>
      <c r="G1754" t="inlineStr">
        <is>
          <t>22.23-0-2-ERW 2-FC</t>
        </is>
      </c>
      <c r="H1754" t="n">
        <v>2132.438</v>
      </c>
      <c r="I1754" t="inlineStr">
        <is>
          <t>CUT-O-N-AUT-AS-FC-22.23X2.000X0.8550</t>
        </is>
      </c>
      <c r="J1754" t="inlineStr">
        <is>
          <t>TVS</t>
        </is>
      </c>
      <c r="K1754" t="inlineStr">
        <is>
          <t>22.23-0-2-ERW 2-FC-0.855</t>
        </is>
      </c>
    </row>
    <row r="1755">
      <c r="A1755" t="inlineStr">
        <is>
          <t>0000945539</t>
        </is>
      </c>
      <c r="B1755" t="inlineStr">
        <is>
          <t>Sandhar EngineeringPvt.Ltd.(KA)-Uni</t>
        </is>
      </c>
      <c r="C1755" t="inlineStr">
        <is>
          <t>NOS</t>
        </is>
      </c>
      <c r="D1755" t="n">
        <v>2000</v>
      </c>
      <c r="E1755" t="n">
        <v>1699.944</v>
      </c>
      <c r="F1755" t="n">
        <v>3910648</v>
      </c>
      <c r="G1755" t="inlineStr">
        <is>
          <t>41.28-0-2.6-ERW 1-FC</t>
        </is>
      </c>
      <c r="H1755" t="n">
        <v>4216.2</v>
      </c>
      <c r="I1755" t="inlineStr">
        <is>
          <t>CUT-O-N-AUT-AW-FC-41.28X2.600X0.8500</t>
        </is>
      </c>
      <c r="J1755" t="inlineStr">
        <is>
          <t>TVS</t>
        </is>
      </c>
      <c r="K1755" t="inlineStr">
        <is>
          <t>41.28-0-2.6-ERW 1-FC-0.85</t>
        </is>
      </c>
    </row>
    <row r="1756">
      <c r="A1756" t="inlineStr">
        <is>
          <t>0000129663</t>
        </is>
      </c>
      <c r="B1756" t="inlineStr">
        <is>
          <t>ELKAYEM AUTO ANCILLARIES (PVT) LTD.</t>
        </is>
      </c>
      <c r="C1756" t="inlineStr">
        <is>
          <t>NOS</t>
        </is>
      </c>
      <c r="D1756" t="n">
        <v>1000</v>
      </c>
      <c r="E1756" t="n">
        <v>302.997</v>
      </c>
      <c r="F1756" t="n">
        <v>3781671</v>
      </c>
      <c r="G1756" t="inlineStr">
        <is>
          <t>19.05-0-2.3-ERW 1-PE</t>
        </is>
      </c>
      <c r="H1756" t="n">
        <v>277</v>
      </c>
      <c r="I1756" t="inlineStr">
        <is>
          <t>CUT-O-N-AUT-AW-PE-19.05X2.300X0.3030</t>
        </is>
      </c>
      <c r="J1756" t="inlineStr">
        <is>
          <t>TVS</t>
        </is>
      </c>
      <c r="K1756" t="inlineStr">
        <is>
          <t>19.05-0-2.3-ERW 1-PE-0.303</t>
        </is>
      </c>
    </row>
    <row r="1757">
      <c r="A1757" t="inlineStr">
        <is>
          <t>0000129663</t>
        </is>
      </c>
      <c r="B1757" t="inlineStr">
        <is>
          <t>ELKAYEM AUTO ANCILLARIES (PVT) LTD.</t>
        </is>
      </c>
      <c r="C1757" t="inlineStr">
        <is>
          <t>NOS</t>
        </is>
      </c>
      <c r="D1757" t="n">
        <v>1000</v>
      </c>
      <c r="E1757" t="n">
        <v>254.994</v>
      </c>
      <c r="F1757" t="n">
        <v>3508993</v>
      </c>
      <c r="G1757" t="inlineStr">
        <is>
          <t>19.05-0-2.3-ERW 1-PE</t>
        </is>
      </c>
      <c r="H1757" t="n">
        <v>242.267</v>
      </c>
      <c r="I1757" t="inlineStr">
        <is>
          <t>CUT-O-N-AUT-AW-PE-19.05X2.300X0.2550</t>
        </is>
      </c>
      <c r="J1757" t="inlineStr">
        <is>
          <t>TVS</t>
        </is>
      </c>
      <c r="K1757" t="inlineStr">
        <is>
          <t>19.05-0-2.3-ERW 1-PE-0.255</t>
        </is>
      </c>
    </row>
    <row r="1758">
      <c r="A1758" t="inlineStr">
        <is>
          <t>0000129663</t>
        </is>
      </c>
      <c r="B1758" t="inlineStr">
        <is>
          <t>ELKAYEM AUTO ANCILLARIES (PVT) LTD.</t>
        </is>
      </c>
      <c r="C1758" t="inlineStr">
        <is>
          <t>NOS</t>
        </is>
      </c>
      <c r="D1758" t="n">
        <v>1000</v>
      </c>
      <c r="E1758" t="n">
        <v>285.004</v>
      </c>
      <c r="F1758" t="n">
        <v>2427711</v>
      </c>
      <c r="G1758" t="inlineStr">
        <is>
          <t>19.05-0-2.3-ERW 1-PE</t>
        </is>
      </c>
      <c r="H1758" t="n">
        <v>265.767</v>
      </c>
      <c r="I1758" t="inlineStr">
        <is>
          <t>TUB-O-N-AUT-AW-PE-19.05X2.300X0.2850</t>
        </is>
      </c>
      <c r="J1758" t="inlineStr">
        <is>
          <t>TVS</t>
        </is>
      </c>
      <c r="K1758" t="inlineStr">
        <is>
          <t>19.05-0-2.3-ERW 1-PE-0.285</t>
        </is>
      </c>
    </row>
    <row r="1759">
      <c r="A1759" t="inlineStr">
        <is>
          <t>0000944141</t>
        </is>
      </c>
      <c r="B1759" t="inlineStr">
        <is>
          <t>SRIKAM HITECH ENGINEERING PRIVATE L</t>
        </is>
      </c>
      <c r="C1759" t="inlineStr">
        <is>
          <t>NOS</t>
        </is>
      </c>
      <c r="D1759" t="n">
        <v>1600</v>
      </c>
      <c r="E1759" t="n">
        <v>941.4</v>
      </c>
      <c r="F1759" t="n">
        <v>1938191</v>
      </c>
      <c r="G1759" t="inlineStr">
        <is>
          <t>19-12.5-3.25-CEW-CEW</t>
        </is>
      </c>
      <c r="H1759" t="n">
        <v>1188.8</v>
      </c>
      <c r="I1759" t="inlineStr">
        <is>
          <t>TUB-I-C-AUT-AD-FC-12.50X3.250X0.5880</t>
        </is>
      </c>
      <c r="J1759" t="inlineStr">
        <is>
          <t>TVS</t>
        </is>
      </c>
      <c r="K1759" t="inlineStr">
        <is>
          <t>19-12.5-3.25-CEW-CEW-0.588</t>
        </is>
      </c>
    </row>
    <row r="1760">
      <c r="A1760" t="inlineStr">
        <is>
          <t>0000189226</t>
        </is>
      </c>
      <c r="B1760" t="inlineStr">
        <is>
          <t>Neel Metal Products Limited</t>
        </is>
      </c>
      <c r="C1760" t="inlineStr">
        <is>
          <t>NOS</t>
        </is>
      </c>
      <c r="D1760" t="n">
        <v>480</v>
      </c>
      <c r="E1760" t="n">
        <v>113.278</v>
      </c>
      <c r="F1760" t="n">
        <v>3784473</v>
      </c>
      <c r="G1760" t="inlineStr">
        <is>
          <t>63.5-0-4-ERW 1-FC</t>
        </is>
      </c>
      <c r="H1760" t="n">
        <v>649.3440000000001</v>
      </c>
      <c r="I1760" t="inlineStr">
        <is>
          <t>CUT-O-N-AUT-BH-FC-63.50X4.000X0.2360</t>
        </is>
      </c>
      <c r="J1760" t="inlineStr">
        <is>
          <t>TVS</t>
        </is>
      </c>
      <c r="K1760" t="inlineStr">
        <is>
          <t>63.5-0-4-ERW 1-FC-0.236</t>
        </is>
      </c>
    </row>
    <row r="1761">
      <c r="A1761" t="inlineStr">
        <is>
          <t>0000189226</t>
        </is>
      </c>
      <c r="B1761" t="inlineStr">
        <is>
          <t>Neel Metal Products Limited</t>
        </is>
      </c>
      <c r="C1761" t="inlineStr">
        <is>
          <t>NOS</t>
        </is>
      </c>
      <c r="D1761" t="n">
        <v>2441.508</v>
      </c>
      <c r="E1761" t="n">
        <v>1782.611</v>
      </c>
      <c r="F1761" t="n">
        <v>1940881</v>
      </c>
      <c r="G1761" t="inlineStr">
        <is>
          <t>50-30-2-ERW 1-FC</t>
        </is>
      </c>
      <c r="H1761" t="n">
        <v>4292.171</v>
      </c>
      <c r="I1761" t="inlineStr">
        <is>
          <t>TUB-R-AW-RHS-50.00X30.00X2.000X0.7300</t>
        </is>
      </c>
      <c r="J1761" t="inlineStr">
        <is>
          <t>TVS</t>
        </is>
      </c>
      <c r="K1761" t="inlineStr">
        <is>
          <t>50-30-2-ERW 1-FC-0.73</t>
        </is>
      </c>
    </row>
    <row r="1762">
      <c r="A1762" t="inlineStr">
        <is>
          <t>0000189226</t>
        </is>
      </c>
      <c r="B1762" t="inlineStr">
        <is>
          <t>Neel Metal Products Limited</t>
        </is>
      </c>
      <c r="C1762" t="inlineStr">
        <is>
          <t>NOS</t>
        </is>
      </c>
      <c r="D1762" t="n">
        <v>9.444000000000001</v>
      </c>
      <c r="E1762" t="n">
        <v>6.895</v>
      </c>
      <c r="F1762" t="n">
        <v>1940881</v>
      </c>
      <c r="G1762" t="inlineStr">
        <is>
          <t>50-30-2-ERW 1-FC</t>
        </is>
      </c>
      <c r="H1762" t="n">
        <v>16.603</v>
      </c>
      <c r="I1762" t="inlineStr">
        <is>
          <t>TUB-R-AW-RHS-50.00X30.00X2.000X0.7300</t>
        </is>
      </c>
      <c r="J1762" t="inlineStr">
        <is>
          <t>TVS</t>
        </is>
      </c>
      <c r="K1762" t="inlineStr">
        <is>
          <t>50-30-2-ERW 1-FC-0.73</t>
        </is>
      </c>
    </row>
    <row r="1763">
      <c r="A1763" t="inlineStr">
        <is>
          <t>0000189226</t>
        </is>
      </c>
      <c r="B1763" t="inlineStr">
        <is>
          <t>Neel Metal Products Limited</t>
        </is>
      </c>
      <c r="C1763" t="inlineStr">
        <is>
          <t>NOS</t>
        </is>
      </c>
      <c r="D1763" t="n">
        <v>239.048</v>
      </c>
      <c r="E1763" t="n">
        <v>174.535</v>
      </c>
      <c r="F1763" t="n">
        <v>1940881</v>
      </c>
      <c r="G1763" t="inlineStr">
        <is>
          <t>50-30-2-ERW 1-FC</t>
        </is>
      </c>
      <c r="H1763" t="n">
        <v>420.246</v>
      </c>
      <c r="I1763" t="inlineStr">
        <is>
          <t>TUB-R-AW-RHS-50.00X30.00X2.000X0.7300</t>
        </is>
      </c>
      <c r="J1763" t="inlineStr">
        <is>
          <t>TVS</t>
        </is>
      </c>
      <c r="K1763" t="inlineStr">
        <is>
          <t>50-30-2-ERW 1-FC-0.73</t>
        </is>
      </c>
    </row>
    <row r="1764">
      <c r="A1764" t="inlineStr">
        <is>
          <t>0000189227</t>
        </is>
      </c>
      <c r="B1764" t="inlineStr">
        <is>
          <t>Neel Metal Products Limited</t>
        </is>
      </c>
      <c r="C1764" t="inlineStr">
        <is>
          <t>NOS</t>
        </is>
      </c>
      <c r="D1764" t="n">
        <v>97.706</v>
      </c>
      <c r="E1764" t="n">
        <v>133.37</v>
      </c>
      <c r="F1764" t="n">
        <v>3781680</v>
      </c>
      <c r="G1764" t="inlineStr">
        <is>
          <t>57.15-0-2.3-ERW 2-FC</t>
        </is>
      </c>
      <c r="H1764" t="n">
        <v>397.615</v>
      </c>
      <c r="I1764" t="inlineStr">
        <is>
          <t>CUT-O-N-AUT-AW-FC-57.15X2.300X1.3650</t>
        </is>
      </c>
      <c r="J1764" t="inlineStr">
        <is>
          <t>TVS</t>
        </is>
      </c>
      <c r="K1764" t="inlineStr">
        <is>
          <t>57.15-0-2.3-ERW 2-FC-1.365</t>
        </is>
      </c>
    </row>
    <row r="1765">
      <c r="A1765" t="inlineStr">
        <is>
          <t>0000189227</t>
        </is>
      </c>
      <c r="B1765" t="inlineStr">
        <is>
          <t>Neel Metal Products Limited</t>
        </is>
      </c>
      <c r="C1765" t="inlineStr">
        <is>
          <t>NOS</t>
        </is>
      </c>
      <c r="D1765" t="n">
        <v>646.624</v>
      </c>
      <c r="E1765" t="n">
        <v>882.647</v>
      </c>
      <c r="F1765" t="n">
        <v>3781680</v>
      </c>
      <c r="G1765" t="inlineStr">
        <is>
          <t>57.15-0-2.3-ERW 2-FC</t>
        </is>
      </c>
      <c r="H1765" t="n">
        <v>2631.436</v>
      </c>
      <c r="I1765" t="inlineStr">
        <is>
          <t>CUT-O-N-AUT-AW-FC-57.15X2.300X1.3650</t>
        </is>
      </c>
      <c r="J1765" t="inlineStr">
        <is>
          <t>TVS</t>
        </is>
      </c>
      <c r="K1765" t="inlineStr">
        <is>
          <t>57.15-0-2.3-ERW 2-FC-1.365</t>
        </is>
      </c>
    </row>
    <row r="1766">
      <c r="A1766" t="inlineStr">
        <is>
          <t>0000189227</t>
        </is>
      </c>
      <c r="B1766" t="inlineStr">
        <is>
          <t>Neel Metal Products Limited</t>
        </is>
      </c>
      <c r="C1766" t="inlineStr">
        <is>
          <t>NOS</t>
        </is>
      </c>
      <c r="D1766" t="n">
        <v>1055.67</v>
      </c>
      <c r="E1766" t="n">
        <v>1440.999</v>
      </c>
      <c r="F1766" t="n">
        <v>3781680</v>
      </c>
      <c r="G1766" t="inlineStr">
        <is>
          <t>57.15-0-2.3-ERW 2-FC</t>
        </is>
      </c>
      <c r="H1766" t="n">
        <v>4296.049</v>
      </c>
      <c r="I1766" t="inlineStr">
        <is>
          <t>CUT-O-N-AUT-AW-FC-57.15X2.300X1.3650</t>
        </is>
      </c>
      <c r="J1766" t="inlineStr">
        <is>
          <t>TVS</t>
        </is>
      </c>
      <c r="K1766" t="inlineStr">
        <is>
          <t>57.15-0-2.3-ERW 2-FC-1.365</t>
        </is>
      </c>
    </row>
    <row r="1767">
      <c r="A1767" t="inlineStr">
        <is>
          <t>0000189227</t>
        </is>
      </c>
      <c r="B1767" t="inlineStr">
        <is>
          <t>Neel Metal Products Limited</t>
        </is>
      </c>
      <c r="C1767" t="inlineStr">
        <is>
          <t>NOS</t>
        </is>
      </c>
      <c r="D1767" t="n">
        <v>2063</v>
      </c>
      <c r="E1767" t="n">
        <v>422.919</v>
      </c>
      <c r="F1767" t="n">
        <v>4114991</v>
      </c>
      <c r="G1767" t="inlineStr">
        <is>
          <t>42.7-0-3.5-ERW 1-FC</t>
        </is>
      </c>
      <c r="H1767" t="n">
        <v>1430.988</v>
      </c>
      <c r="I1767" t="inlineStr">
        <is>
          <t>CUT-O-N-AUT-BH-FC-42.70X3.500X0.2050</t>
        </is>
      </c>
      <c r="J1767" t="inlineStr">
        <is>
          <t>TVS</t>
        </is>
      </c>
      <c r="K1767" t="inlineStr">
        <is>
          <t>42.7-0-3.5-ERW 1-FC-0.205</t>
        </is>
      </c>
    </row>
    <row r="1768">
      <c r="A1768" t="inlineStr">
        <is>
          <t>0000129663</t>
        </is>
      </c>
      <c r="B1768" t="inlineStr">
        <is>
          <t>ELKAYEM AUTO ANCILLARIES (PVT) LTD.</t>
        </is>
      </c>
      <c r="C1768" t="inlineStr">
        <is>
          <t>NOS</t>
        </is>
      </c>
      <c r="D1768" t="n">
        <v>583.4640000000001</v>
      </c>
      <c r="E1768" t="n">
        <v>324.982</v>
      </c>
      <c r="F1768" t="n">
        <v>4079374</v>
      </c>
      <c r="G1768" t="inlineStr">
        <is>
          <t>48.6-0-4-ERW 2-FC-Ampere</t>
        </is>
      </c>
      <c r="H1768" t="n">
        <v>1397.163</v>
      </c>
      <c r="I1768" t="inlineStr">
        <is>
          <t>CUT-O-N-AUT-AW-FC-48.60X4.000X0.5570</t>
        </is>
      </c>
      <c r="J1768" t="inlineStr">
        <is>
          <t>TVS</t>
        </is>
      </c>
      <c r="K1768" t="inlineStr">
        <is>
          <t>48.6-0-4-ERW 2-FC-Ampere-0.557</t>
        </is>
      </c>
    </row>
    <row r="1769">
      <c r="A1769" t="inlineStr">
        <is>
          <t>0000129663</t>
        </is>
      </c>
      <c r="B1769" t="inlineStr">
        <is>
          <t>ELKAYEM AUTO ANCILLARIES (PVT) LTD.</t>
        </is>
      </c>
      <c r="C1769" t="inlineStr">
        <is>
          <t>NOS</t>
        </is>
      </c>
      <c r="D1769" t="n">
        <v>686.5359999999999</v>
      </c>
      <c r="E1769" t="n">
        <v>382.392</v>
      </c>
      <c r="F1769" t="n">
        <v>4079374</v>
      </c>
      <c r="G1769" t="inlineStr">
        <is>
          <t>48.6-0-4-ERW 2-FC-Ampere</t>
        </is>
      </c>
      <c r="H1769" t="n">
        <v>1643.979</v>
      </c>
      <c r="I1769" t="inlineStr">
        <is>
          <t>CUT-O-N-AUT-AW-FC-48.60X4.000X0.5570</t>
        </is>
      </c>
      <c r="J1769" t="inlineStr">
        <is>
          <t>TVS</t>
        </is>
      </c>
      <c r="K1769" t="inlineStr">
        <is>
          <t>48.6-0-4-ERW 2-FC-Ampere-0.557</t>
        </is>
      </c>
    </row>
    <row r="1770">
      <c r="A1770" t="inlineStr">
        <is>
          <t>0000819045</t>
        </is>
      </c>
      <c r="B1770" t="inlineStr">
        <is>
          <t>KNITVEL NEEDLES P LTD</t>
        </is>
      </c>
      <c r="C1770" t="inlineStr">
        <is>
          <t>NOS</t>
        </is>
      </c>
      <c r="D1770" t="n">
        <v>467.05</v>
      </c>
      <c r="E1770" t="n">
        <v>570.734</v>
      </c>
      <c r="F1770" t="n">
        <v>3533249</v>
      </c>
      <c r="G1770" t="inlineStr">
        <is>
          <t>22.23-0-1.6-ERW 1-PE</t>
        </is>
      </c>
      <c r="H1770" t="n">
        <v>447.823</v>
      </c>
      <c r="I1770" t="inlineStr">
        <is>
          <t>CUT-O-N-AUT-AW-PE-22.20X1.600X1.2220</t>
        </is>
      </c>
      <c r="J1770" t="inlineStr">
        <is>
          <t>TVS</t>
        </is>
      </c>
      <c r="K1770" t="inlineStr">
        <is>
          <t>22.23-0-1.6-ERW 1-PE-1.222</t>
        </is>
      </c>
    </row>
    <row r="1771">
      <c r="A1771" t="inlineStr">
        <is>
          <t>0000819045</t>
        </is>
      </c>
      <c r="B1771" t="inlineStr">
        <is>
          <t>KNITVEL NEEDLES P LTD</t>
        </is>
      </c>
      <c r="C1771" t="inlineStr">
        <is>
          <t>NOS</t>
        </is>
      </c>
      <c r="D1771" t="n">
        <v>585.95</v>
      </c>
      <c r="E1771" t="n">
        <v>716.029</v>
      </c>
      <c r="F1771" t="n">
        <v>3533249</v>
      </c>
      <c r="G1771" t="inlineStr">
        <is>
          <t>22.23-0-1.6-ERW 1-PE</t>
        </is>
      </c>
      <c r="H1771" t="n">
        <v>561.828</v>
      </c>
      <c r="I1771" t="inlineStr">
        <is>
          <t>CUT-O-N-AUT-AW-PE-22.20X1.600X1.2220</t>
        </is>
      </c>
      <c r="J1771" t="inlineStr">
        <is>
          <t>TVS</t>
        </is>
      </c>
      <c r="K1771" t="inlineStr">
        <is>
          <t>22.23-0-1.6-ERW 1-PE-1.222</t>
        </is>
      </c>
    </row>
    <row r="1772">
      <c r="A1772" t="inlineStr">
        <is>
          <t>0000189226</t>
        </is>
      </c>
      <c r="B1772" t="inlineStr">
        <is>
          <t>Neel Metal Products Limited</t>
        </is>
      </c>
      <c r="C1772" t="inlineStr">
        <is>
          <t>NOS</t>
        </is>
      </c>
      <c r="D1772" t="n">
        <v>1700</v>
      </c>
      <c r="E1772" t="n">
        <v>357</v>
      </c>
      <c r="F1772" t="n">
        <v>3690546</v>
      </c>
      <c r="G1772" t="inlineStr">
        <is>
          <t>42.7-0-3.5-ERW 1-FC</t>
        </is>
      </c>
      <c r="H1772" t="n">
        <v>1207.944</v>
      </c>
      <c r="I1772" t="inlineStr">
        <is>
          <t>CUT-O-N-AUT-NR-FC-42.70X3.500X0.2100</t>
        </is>
      </c>
      <c r="J1772" t="inlineStr">
        <is>
          <t>TVS</t>
        </is>
      </c>
      <c r="K1772" t="inlineStr">
        <is>
          <t>42.7-0-3.5-ERW 1-FC-0.21</t>
        </is>
      </c>
    </row>
    <row r="1773">
      <c r="A1773" t="inlineStr">
        <is>
          <t>0000189226</t>
        </is>
      </c>
      <c r="B1773" t="inlineStr">
        <is>
          <t>Neel Metal Products Limited</t>
        </is>
      </c>
      <c r="C1773" t="inlineStr">
        <is>
          <t>NOS</t>
        </is>
      </c>
      <c r="D1773" t="n">
        <v>6590</v>
      </c>
      <c r="E1773" t="n">
        <v>2593.287</v>
      </c>
      <c r="F1773" t="n">
        <v>1940318</v>
      </c>
      <c r="G1773" t="inlineStr">
        <is>
          <t>19.05-0-2.3-ERW 1-PE</t>
        </is>
      </c>
      <c r="H1773" t="n">
        <v>2464.66</v>
      </c>
      <c r="I1773" t="inlineStr">
        <is>
          <t>TUB-O-O-AUT-AW-PE-19.05X2.300X0.3940</t>
        </is>
      </c>
      <c r="J1773" t="inlineStr">
        <is>
          <t>TVS</t>
        </is>
      </c>
      <c r="K1773" t="inlineStr">
        <is>
          <t>19.05-0-2.3-ERW 1-PE-0.394</t>
        </is>
      </c>
    </row>
    <row r="1774">
      <c r="A1774" t="inlineStr">
        <is>
          <t>0000188934</t>
        </is>
      </c>
      <c r="B1774" t="inlineStr">
        <is>
          <t>KAY JAY FORGINGS LIMITED</t>
        </is>
      </c>
      <c r="C1774" t="inlineStr">
        <is>
          <t>NOS</t>
        </is>
      </c>
      <c r="D1774" t="n">
        <v>1108</v>
      </c>
      <c r="E1774" t="n">
        <v>416.743</v>
      </c>
      <c r="F1774" t="n">
        <v>2359912</v>
      </c>
      <c r="G1774" t="inlineStr">
        <is>
          <t>29.4-20.4-4.5-CEW STKM 13C-CEW</t>
        </is>
      </c>
      <c r="H1774" t="n">
        <v>1151.212</v>
      </c>
      <c r="I1774" t="inlineStr">
        <is>
          <t>TUB-O-C-CEW-AD-FC-29.40X4.500X0.3760</t>
        </is>
      </c>
      <c r="J1774" t="inlineStr">
        <is>
          <t>TVS</t>
        </is>
      </c>
      <c r="K1774" t="inlineStr">
        <is>
          <t>29.4-20.4-4.5-CEW STKM 13C-CEW-0.376</t>
        </is>
      </c>
    </row>
    <row r="1775">
      <c r="A1775" t="inlineStr">
        <is>
          <t>0000189287</t>
        </is>
      </c>
      <c r="B1775" t="inlineStr">
        <is>
          <t>BALAJI PRESS PRODUCTS INDIA</t>
        </is>
      </c>
      <c r="C1775" t="inlineStr">
        <is>
          <t>NOS</t>
        </is>
      </c>
      <c r="D1775" t="n">
        <v>935.95</v>
      </c>
      <c r="E1775" t="n">
        <v>2424.803</v>
      </c>
      <c r="F1775" t="n">
        <v>2409618</v>
      </c>
      <c r="G1775" t="inlineStr">
        <is>
          <t>25.4-0-1.6-ERW 1-PE</t>
        </is>
      </c>
      <c r="H1775" t="n">
        <v>2278.102</v>
      </c>
      <c r="I1775" t="inlineStr">
        <is>
          <t>TUB-O-N-AUT-AW-PE-25.40X1.600X2.5900</t>
        </is>
      </c>
      <c r="J1775" t="inlineStr">
        <is>
          <t>TVS</t>
        </is>
      </c>
      <c r="K1775" t="inlineStr">
        <is>
          <t>25.4-0-1.6-ERW 1-PE-2.59</t>
        </is>
      </c>
    </row>
    <row r="1776">
      <c r="A1776" t="inlineStr">
        <is>
          <t>0000189287</t>
        </is>
      </c>
      <c r="B1776" t="inlineStr">
        <is>
          <t>BALAJI PRESS PRODUCTS INDIA</t>
        </is>
      </c>
      <c r="C1776" t="inlineStr">
        <is>
          <t>NOS</t>
        </is>
      </c>
      <c r="D1776" t="n">
        <v>1064.05</v>
      </c>
      <c r="E1776" t="n">
        <v>2756.677</v>
      </c>
      <c r="F1776" t="n">
        <v>2409618</v>
      </c>
      <c r="G1776" t="inlineStr">
        <is>
          <t>25.4-0-1.6-ERW 1-PE</t>
        </is>
      </c>
      <c r="H1776" t="n">
        <v>2589.898</v>
      </c>
      <c r="I1776" t="inlineStr">
        <is>
          <t>TUB-O-N-AUT-AW-PE-25.40X1.600X2.5900</t>
        </is>
      </c>
      <c r="J1776" t="inlineStr">
        <is>
          <t>TVS</t>
        </is>
      </c>
      <c r="K1776" t="inlineStr">
        <is>
          <t>25.4-0-1.6-ERW 1-PE-2.59</t>
        </is>
      </c>
    </row>
    <row r="1777">
      <c r="A1777" t="inlineStr">
        <is>
          <t>0000944141</t>
        </is>
      </c>
      <c r="B1777" t="inlineStr">
        <is>
          <t>SRIKAM HITECH ENGINEERING PRIVATE L</t>
        </is>
      </c>
      <c r="C1777" t="inlineStr">
        <is>
          <t>NOS</t>
        </is>
      </c>
      <c r="D1777" t="n">
        <v>9606</v>
      </c>
      <c r="E1777" t="n">
        <v>2545.633</v>
      </c>
      <c r="F1777" t="n">
        <v>3507718</v>
      </c>
      <c r="G1777" t="inlineStr">
        <is>
          <t>19.05-0-2.3-ERW 1-PE</t>
        </is>
      </c>
      <c r="H1777" t="n">
        <v>2418.577</v>
      </c>
      <c r="I1777" t="inlineStr">
        <is>
          <t>CUT-O-N-AUT-AW-PE-19.05X2.300X0.2650</t>
        </is>
      </c>
      <c r="J1777" t="inlineStr">
        <is>
          <t>TVS</t>
        </is>
      </c>
      <c r="K1777" t="inlineStr">
        <is>
          <t>19.05-0-2.3-ERW 1-PE-0.265</t>
        </is>
      </c>
    </row>
    <row r="1778">
      <c r="A1778" t="inlineStr">
        <is>
          <t>0000941496</t>
        </is>
      </c>
      <c r="B1778" t="inlineStr">
        <is>
          <t>SANDHAR ENGINEERING PVT LTD.(KA) -U</t>
        </is>
      </c>
      <c r="C1778" t="inlineStr">
        <is>
          <t>NOS</t>
        </is>
      </c>
      <c r="D1778" t="n">
        <v>2000</v>
      </c>
      <c r="E1778" t="n">
        <v>1623.625</v>
      </c>
      <c r="F1778" t="n">
        <v>1940743</v>
      </c>
      <c r="G1778" t="inlineStr">
        <is>
          <t>38.1-0-2-ERW 1-FC</t>
        </is>
      </c>
      <c r="H1778" t="n">
        <v>2892</v>
      </c>
      <c r="I1778" t="inlineStr">
        <is>
          <t>TUB-O-O-AUT-AW-FC-38.10X2.000X0.8120</t>
        </is>
      </c>
      <c r="J1778" t="inlineStr">
        <is>
          <t>TVS</t>
        </is>
      </c>
      <c r="K1778" t="inlineStr">
        <is>
          <t>38.1-0-2-ERW 1-FC-0.812</t>
        </is>
      </c>
    </row>
    <row r="1779">
      <c r="A1779" t="inlineStr">
        <is>
          <t>0000941496</t>
        </is>
      </c>
      <c r="B1779" t="inlineStr">
        <is>
          <t>SANDHAR ENGINEERING PVT LTD.(KA) -U</t>
        </is>
      </c>
      <c r="C1779" t="inlineStr">
        <is>
          <t>NOS</t>
        </is>
      </c>
      <c r="D1779" t="n">
        <v>497</v>
      </c>
      <c r="E1779" t="n">
        <v>214.703</v>
      </c>
      <c r="F1779" t="n">
        <v>1903849</v>
      </c>
      <c r="G1779" t="inlineStr">
        <is>
          <t>38.1-0-2-ERW 1-FC</t>
        </is>
      </c>
      <c r="H1779" t="n">
        <v>364.18</v>
      </c>
      <c r="I1779" t="inlineStr">
        <is>
          <t>TUB-O-N-AUT-AW-FC-38.10X2.000X0.4320</t>
        </is>
      </c>
      <c r="J1779" t="inlineStr">
        <is>
          <t>TVS</t>
        </is>
      </c>
      <c r="K1779" t="inlineStr">
        <is>
          <t>38.1-0-2-ERW 1-FC-0.432</t>
        </is>
      </c>
    </row>
    <row r="1780">
      <c r="A1780" t="inlineStr">
        <is>
          <t>0000941496</t>
        </is>
      </c>
      <c r="B1780" t="inlineStr">
        <is>
          <t>SANDHAR ENGINEERING PVT LTD.(KA) -U</t>
        </is>
      </c>
      <c r="C1780" t="inlineStr">
        <is>
          <t>NOS</t>
        </is>
      </c>
      <c r="D1780" t="n">
        <v>1343</v>
      </c>
      <c r="E1780" t="n">
        <v>279.346</v>
      </c>
      <c r="F1780" t="n">
        <v>3722021</v>
      </c>
      <c r="G1780" t="inlineStr">
        <is>
          <t>42.7-0-3.5-ERW 1-FC</t>
        </is>
      </c>
      <c r="H1780" t="n">
        <v>945.502</v>
      </c>
      <c r="I1780" t="inlineStr">
        <is>
          <t>TUB-O-N-AUT-AN--42.70X3.500X0.2080</t>
        </is>
      </c>
      <c r="J1780" t="inlineStr">
        <is>
          <t>TVS</t>
        </is>
      </c>
      <c r="K1780" t="inlineStr">
        <is>
          <t>42.7-0-3.5-ERW 1-FC-0.208</t>
        </is>
      </c>
    </row>
    <row r="1781">
      <c r="A1781" t="inlineStr">
        <is>
          <t>0000819045</t>
        </is>
      </c>
      <c r="B1781" t="inlineStr">
        <is>
          <t>KNITVEL NEEDLES P LTD</t>
        </is>
      </c>
      <c r="C1781" t="inlineStr">
        <is>
          <t>NOS</t>
        </is>
      </c>
      <c r="D1781" t="n">
        <v>31.288</v>
      </c>
      <c r="E1781" t="n">
        <v>38.234</v>
      </c>
      <c r="F1781" t="n">
        <v>3533249</v>
      </c>
      <c r="G1781" t="inlineStr">
        <is>
          <t>22.23-0-1.6-ERW 1-PE</t>
        </is>
      </c>
      <c r="H1781" t="n">
        <v>30</v>
      </c>
      <c r="I1781" t="inlineStr">
        <is>
          <t>CUT-O-N-AUT-AW-PE-22.20X1.600X1.2220</t>
        </is>
      </c>
      <c r="J1781" t="inlineStr">
        <is>
          <t>TVS</t>
        </is>
      </c>
      <c r="K1781" t="inlineStr">
        <is>
          <t>22.23-0-1.6-ERW 1-PE-1.222</t>
        </is>
      </c>
    </row>
    <row r="1782">
      <c r="A1782" t="inlineStr">
        <is>
          <t>0000819045</t>
        </is>
      </c>
      <c r="B1782" t="inlineStr">
        <is>
          <t>KNITVEL NEEDLES P LTD</t>
        </is>
      </c>
      <c r="C1782" t="inlineStr">
        <is>
          <t>NOS</t>
        </is>
      </c>
      <c r="D1782" t="n">
        <v>1928.712</v>
      </c>
      <c r="E1782" t="n">
        <v>2356.881</v>
      </c>
      <c r="F1782" t="n">
        <v>3533249</v>
      </c>
      <c r="G1782" t="inlineStr">
        <is>
          <t>22.23-0-1.6-ERW 1-PE</t>
        </is>
      </c>
      <c r="H1782" t="n">
        <v>1849.313</v>
      </c>
      <c r="I1782" t="inlineStr">
        <is>
          <t>CUT-O-N-AUT-AW-PE-22.20X1.600X1.2220</t>
        </is>
      </c>
      <c r="J1782" t="inlineStr">
        <is>
          <t>TVS</t>
        </is>
      </c>
      <c r="K1782" t="inlineStr">
        <is>
          <t>22.23-0-1.6-ERW 1-PE-1.222</t>
        </is>
      </c>
    </row>
    <row r="1783">
      <c r="A1783" t="inlineStr">
        <is>
          <t>0000819045</t>
        </is>
      </c>
      <c r="B1783" t="inlineStr">
        <is>
          <t>KNITVEL NEEDLES P LTD</t>
        </is>
      </c>
      <c r="C1783" t="inlineStr">
        <is>
          <t>NOS</t>
        </is>
      </c>
      <c r="D1783" t="n">
        <v>1620</v>
      </c>
      <c r="E1783" t="n">
        <v>2089.818</v>
      </c>
      <c r="F1783" t="n">
        <v>3533248</v>
      </c>
      <c r="G1783" t="inlineStr">
        <is>
          <t>22.23-0-1.6-ERW 1-PE</t>
        </is>
      </c>
      <c r="H1783" t="n">
        <v>1639.764</v>
      </c>
      <c r="I1783" t="inlineStr">
        <is>
          <t>CUT-O-N-AUT-AW-PE-22.20X1.600X1.2900</t>
        </is>
      </c>
      <c r="J1783" t="inlineStr">
        <is>
          <t>TVS</t>
        </is>
      </c>
      <c r="K1783" t="inlineStr">
        <is>
          <t>22.23-0-1.6-ERW 1-PE-1.29</t>
        </is>
      </c>
    </row>
    <row r="1784">
      <c r="A1784" t="inlineStr">
        <is>
          <t>0000189287</t>
        </is>
      </c>
      <c r="B1784" t="inlineStr">
        <is>
          <t>BALAJI PRESS PRODUCTS INDIA</t>
        </is>
      </c>
      <c r="C1784" t="inlineStr">
        <is>
          <t>NOS</t>
        </is>
      </c>
      <c r="D1784" t="n">
        <v>687.2910000000001</v>
      </c>
      <c r="E1784" t="n">
        <v>1780.592</v>
      </c>
      <c r="F1784" t="n">
        <v>2409618</v>
      </c>
      <c r="G1784" t="inlineStr">
        <is>
          <t>25.4-0-1.6-ERW 1-PE</t>
        </is>
      </c>
      <c r="H1784" t="n">
        <v>1672.866</v>
      </c>
      <c r="I1784" t="inlineStr">
        <is>
          <t>TUB-O-N-AUT-AW-PE-25.40X1.600X2.5900</t>
        </is>
      </c>
      <c r="J1784" t="inlineStr">
        <is>
          <t>TVS</t>
        </is>
      </c>
      <c r="K1784" t="inlineStr">
        <is>
          <t>25.4-0-1.6-ERW 1-PE-2.59</t>
        </is>
      </c>
    </row>
    <row r="1785">
      <c r="A1785" t="inlineStr">
        <is>
          <t>0000189287</t>
        </is>
      </c>
      <c r="B1785" t="inlineStr">
        <is>
          <t>BALAJI PRESS PRODUCTS INDIA</t>
        </is>
      </c>
      <c r="C1785" t="inlineStr">
        <is>
          <t>NOS</t>
        </is>
      </c>
      <c r="D1785" t="n">
        <v>266.709</v>
      </c>
      <c r="E1785" t="n">
        <v>690.974</v>
      </c>
      <c r="F1785" t="n">
        <v>2409618</v>
      </c>
      <c r="G1785" t="inlineStr">
        <is>
          <t>25.4-0-1.6-ERW 1-PE</t>
        </is>
      </c>
      <c r="H1785" t="n">
        <v>649.17</v>
      </c>
      <c r="I1785" t="inlineStr">
        <is>
          <t>TUB-O-N-AUT-AW-PE-25.40X1.600X2.5900</t>
        </is>
      </c>
      <c r="J1785" t="inlineStr">
        <is>
          <t>TVS</t>
        </is>
      </c>
      <c r="K1785" t="inlineStr">
        <is>
          <t>25.4-0-1.6-ERW 1-PE-2.59</t>
        </is>
      </c>
    </row>
    <row r="1786">
      <c r="A1786" t="inlineStr">
        <is>
          <t>0000189226</t>
        </is>
      </c>
      <c r="B1786" t="inlineStr">
        <is>
          <t>Neel Metal Products Limited</t>
        </is>
      </c>
      <c r="C1786" t="inlineStr">
        <is>
          <t>NOS</t>
        </is>
      </c>
      <c r="D1786" t="n">
        <v>3710.474</v>
      </c>
      <c r="E1786" t="n">
        <v>779.199</v>
      </c>
      <c r="F1786" t="n">
        <v>3690546</v>
      </c>
      <c r="G1786" t="inlineStr">
        <is>
          <t>42.7-0-3.5-ERW 1-FC</t>
        </is>
      </c>
      <c r="H1786" t="n">
        <v>2636.498</v>
      </c>
      <c r="I1786" t="inlineStr">
        <is>
          <t>CUT-O-N-AUT-NR-FC-42.70X3.500X0.2100</t>
        </is>
      </c>
      <c r="J1786" t="inlineStr">
        <is>
          <t>TVS</t>
        </is>
      </c>
      <c r="K1786" t="inlineStr">
        <is>
          <t>42.7-0-3.5-ERW 1-FC-0.21</t>
        </is>
      </c>
    </row>
    <row r="1787">
      <c r="A1787" t="inlineStr">
        <is>
          <t>0000189226</t>
        </is>
      </c>
      <c r="B1787" t="inlineStr">
        <is>
          <t>Neel Metal Products Limited</t>
        </is>
      </c>
      <c r="C1787" t="inlineStr">
        <is>
          <t>NOS</t>
        </is>
      </c>
      <c r="D1787" t="n">
        <v>765.526</v>
      </c>
      <c r="E1787" t="n">
        <v>160.76</v>
      </c>
      <c r="F1787" t="n">
        <v>3690546</v>
      </c>
      <c r="G1787" t="inlineStr">
        <is>
          <t>42.7-0-3.5-ERW 1-FC</t>
        </is>
      </c>
      <c r="H1787" t="n">
        <v>543.949</v>
      </c>
      <c r="I1787" t="inlineStr">
        <is>
          <t>CUT-O-N-AUT-NR-FC-42.70X3.500X0.2100</t>
        </is>
      </c>
      <c r="J1787" t="inlineStr">
        <is>
          <t>TVS</t>
        </is>
      </c>
      <c r="K1787" t="inlineStr">
        <is>
          <t>42.7-0-3.5-ERW 1-FC-0.21</t>
        </is>
      </c>
    </row>
    <row r="1788">
      <c r="A1788" t="inlineStr">
        <is>
          <t>0000189226</t>
        </is>
      </c>
      <c r="B1788" t="inlineStr">
        <is>
          <t>Neel Metal Products Limited</t>
        </is>
      </c>
      <c r="C1788" t="inlineStr">
        <is>
          <t>NOS</t>
        </is>
      </c>
      <c r="D1788" t="n">
        <v>1100</v>
      </c>
      <c r="E1788" t="n">
        <v>1254.012</v>
      </c>
      <c r="F1788" t="n">
        <v>3711330</v>
      </c>
      <c r="G1788" t="inlineStr">
        <is>
          <t>54-0-3-ERW 2-FC</t>
        </is>
      </c>
      <c r="H1788" t="n">
        <v>4657.4</v>
      </c>
      <c r="I1788" t="inlineStr">
        <is>
          <t>CUT-O-N-AUT-AW-FC-54.00X3.000X1.1400</t>
        </is>
      </c>
      <c r="J1788" t="inlineStr">
        <is>
          <t>TVS</t>
        </is>
      </c>
      <c r="K1788" t="inlineStr">
        <is>
          <t>54-0-3-ERW 2-FC-1.14</t>
        </is>
      </c>
    </row>
    <row r="1789">
      <c r="A1789" t="inlineStr">
        <is>
          <t>0000189226</t>
        </is>
      </c>
      <c r="B1789" t="inlineStr">
        <is>
          <t>Neel Metal Products Limited</t>
        </is>
      </c>
      <c r="C1789" t="inlineStr">
        <is>
          <t>NOS</t>
        </is>
      </c>
      <c r="D1789" t="n">
        <v>300</v>
      </c>
      <c r="E1789" t="n">
        <v>147</v>
      </c>
      <c r="F1789" t="n">
        <v>3781610</v>
      </c>
      <c r="G1789" t="inlineStr">
        <is>
          <t>70-0-3.2-ERW 2-FC</t>
        </is>
      </c>
      <c r="H1789" t="n">
        <v>751.83</v>
      </c>
      <c r="I1789" t="inlineStr">
        <is>
          <t>CUT-O-N-AUT-AN-AG-70.00X3.200X0.490 HST</t>
        </is>
      </c>
      <c r="J1789" t="inlineStr">
        <is>
          <t>TVS</t>
        </is>
      </c>
      <c r="K1789" t="inlineStr">
        <is>
          <t>70-0-3.2-ERW 2-FC-0.49</t>
        </is>
      </c>
    </row>
    <row r="1790">
      <c r="A1790" t="inlineStr">
        <is>
          <t>0000189226</t>
        </is>
      </c>
      <c r="B1790" t="inlineStr">
        <is>
          <t>Neel Metal Products Limited</t>
        </is>
      </c>
      <c r="C1790" t="inlineStr">
        <is>
          <t>NOS</t>
        </is>
      </c>
      <c r="D1790" t="n">
        <v>2500</v>
      </c>
      <c r="E1790" t="n">
        <v>2029.531</v>
      </c>
      <c r="F1790" t="n">
        <v>1940743</v>
      </c>
      <c r="G1790" t="inlineStr">
        <is>
          <t>38.1-0-2-ERW 1-FC</t>
        </is>
      </c>
      <c r="H1790" t="n">
        <v>3615</v>
      </c>
      <c r="I1790" t="inlineStr">
        <is>
          <t>TUB-O-O-AUT-AW-FC-38.10X2.000X0.8120</t>
        </is>
      </c>
      <c r="J1790" t="inlineStr">
        <is>
          <t>TVS</t>
        </is>
      </c>
      <c r="K1790" t="inlineStr">
        <is>
          <t>38.1-0-2-ERW 1-FC-0.812</t>
        </is>
      </c>
    </row>
    <row r="1791">
      <c r="A1791" t="inlineStr">
        <is>
          <t>0000941506</t>
        </is>
      </c>
      <c r="B1791" t="inlineStr">
        <is>
          <t>ELKAYEM AUTO ANCILLARIES PRIVATE LI</t>
        </is>
      </c>
      <c r="C1791" t="inlineStr">
        <is>
          <t>NOS</t>
        </is>
      </c>
      <c r="D1791" t="n">
        <v>1936</v>
      </c>
      <c r="E1791" t="n">
        <v>2249.643</v>
      </c>
      <c r="F1791" t="n">
        <v>3781676</v>
      </c>
      <c r="G1791" t="inlineStr">
        <is>
          <t>22.23-0-1.2-ERW 1-PE</t>
        </is>
      </c>
      <c r="H1791" t="n">
        <v>1354.06</v>
      </c>
      <c r="I1791" t="inlineStr">
        <is>
          <t>CUT-O-N-AUT-AW-PE-22.20X1.200X1.1620</t>
        </is>
      </c>
      <c r="J1791" t="inlineStr">
        <is>
          <t>TVS</t>
        </is>
      </c>
      <c r="K1791" t="inlineStr">
        <is>
          <t>22.23-0-1.2-ERW 1-PE-1.162</t>
        </is>
      </c>
    </row>
    <row r="1792">
      <c r="A1792" t="inlineStr">
        <is>
          <t>0000129663</t>
        </is>
      </c>
      <c r="B1792" t="inlineStr">
        <is>
          <t>ELKAYEM AUTO ANCILLARIES (PVT) LTD.</t>
        </is>
      </c>
      <c r="C1792" t="inlineStr">
        <is>
          <t>NOS</t>
        </is>
      </c>
      <c r="D1792" t="n">
        <v>1000</v>
      </c>
      <c r="E1792" t="n">
        <v>302.997</v>
      </c>
      <c r="F1792" t="n">
        <v>3781671</v>
      </c>
      <c r="G1792" t="inlineStr">
        <is>
          <t>19.05-0-2.3-ERW 1-PE</t>
        </is>
      </c>
      <c r="H1792" t="n">
        <v>277</v>
      </c>
      <c r="I1792" t="inlineStr">
        <is>
          <t>CUT-O-N-AUT-AW-PE-19.05X2.300X0.3030</t>
        </is>
      </c>
      <c r="J1792" t="inlineStr">
        <is>
          <t>TVS</t>
        </is>
      </c>
      <c r="K1792" t="inlineStr">
        <is>
          <t>19.05-0-2.3-ERW 1-PE-0.303</t>
        </is>
      </c>
    </row>
    <row r="1793">
      <c r="A1793" t="inlineStr">
        <is>
          <t>0000129663</t>
        </is>
      </c>
      <c r="B1793" t="inlineStr">
        <is>
          <t>ELKAYEM AUTO ANCILLARIES (PVT) LTD.</t>
        </is>
      </c>
      <c r="C1793" t="inlineStr">
        <is>
          <t>NOS</t>
        </is>
      </c>
      <c r="D1793" t="n">
        <v>1000</v>
      </c>
      <c r="E1793" t="n">
        <v>285.004</v>
      </c>
      <c r="F1793" t="n">
        <v>2427711</v>
      </c>
      <c r="G1793" t="inlineStr">
        <is>
          <t>19.05-0-2.3-ERW 1-PE</t>
        </is>
      </c>
      <c r="H1793" t="n">
        <v>265.767</v>
      </c>
      <c r="I1793" t="inlineStr">
        <is>
          <t>TUB-O-N-AUT-AW-PE-19.05X2.300X0.2850</t>
        </is>
      </c>
      <c r="J1793" t="inlineStr">
        <is>
          <t>TVS</t>
        </is>
      </c>
      <c r="K1793" t="inlineStr">
        <is>
          <t>19.05-0-2.3-ERW 1-PE-0.285</t>
        </is>
      </c>
    </row>
    <row r="1794">
      <c r="A1794" t="inlineStr">
        <is>
          <t>0000819045</t>
        </is>
      </c>
      <c r="B1794" t="inlineStr">
        <is>
          <t>KNITVEL NEEDLES P LTD</t>
        </is>
      </c>
      <c r="C1794" t="inlineStr">
        <is>
          <t>NOS</t>
        </is>
      </c>
      <c r="D1794" t="n">
        <v>526</v>
      </c>
      <c r="E1794" t="n">
        <v>642.771</v>
      </c>
      <c r="F1794" t="n">
        <v>3533249</v>
      </c>
      <c r="G1794" t="inlineStr">
        <is>
          <t>22.23-0-1.6-ERW 1-PE</t>
        </is>
      </c>
      <c r="H1794" t="n">
        <v>504.346</v>
      </c>
      <c r="I1794" t="inlineStr">
        <is>
          <t>CUT-O-N-AUT-AW-PE-22.20X1.600X1.2220</t>
        </is>
      </c>
      <c r="J1794" t="inlineStr">
        <is>
          <t>TVS</t>
        </is>
      </c>
      <c r="K1794" t="inlineStr">
        <is>
          <t>22.23-0-1.6-ERW 1-PE-1.222</t>
        </is>
      </c>
    </row>
    <row r="1795">
      <c r="A1795" t="inlineStr">
        <is>
          <t>0000189227</t>
        </is>
      </c>
      <c r="B1795" t="inlineStr">
        <is>
          <t>Neel Metal Products Limited</t>
        </is>
      </c>
      <c r="C1795" t="inlineStr">
        <is>
          <t>NOS</t>
        </is>
      </c>
      <c r="D1795" t="n">
        <v>1800</v>
      </c>
      <c r="E1795" t="n">
        <v>2457.015</v>
      </c>
      <c r="F1795" t="n">
        <v>3781680</v>
      </c>
      <c r="G1795" t="inlineStr">
        <is>
          <t>57.15-0-2.3-ERW 2-FC</t>
        </is>
      </c>
      <c r="H1795" t="n">
        <v>7325.1</v>
      </c>
      <c r="I1795" t="inlineStr">
        <is>
          <t>CUT-O-N-AUT-AW-FC-57.15X2.300X1.3650</t>
        </is>
      </c>
      <c r="J1795" t="inlineStr">
        <is>
          <t>TVS</t>
        </is>
      </c>
      <c r="K1795" t="inlineStr">
        <is>
          <t>57.15-0-2.3-ERW 2-FC-1.365</t>
        </is>
      </c>
    </row>
    <row r="1796">
      <c r="A1796" t="inlineStr">
        <is>
          <t>0000941496</t>
        </is>
      </c>
      <c r="B1796" t="inlineStr">
        <is>
          <t>SANDHAR ENGINEERING PVT LTD.(KA) -U</t>
        </is>
      </c>
      <c r="C1796" t="inlineStr">
        <is>
          <t>NOS</t>
        </is>
      </c>
      <c r="D1796" t="n">
        <v>1147.669</v>
      </c>
      <c r="E1796" t="n">
        <v>931.692</v>
      </c>
      <c r="F1796" t="n">
        <v>1940743</v>
      </c>
      <c r="G1796" t="inlineStr">
        <is>
          <t>38.1-0-2-ERW 1-FC</t>
        </is>
      </c>
      <c r="H1796" t="n">
        <v>1659.529</v>
      </c>
      <c r="I1796" t="inlineStr">
        <is>
          <t>TUB-O-O-AUT-AW-FC-38.10X2.000X0.8120</t>
        </is>
      </c>
      <c r="J1796" t="inlineStr">
        <is>
          <t>TVS</t>
        </is>
      </c>
      <c r="K1796" t="inlineStr">
        <is>
          <t>38.1-0-2-ERW 1-FC-0.812</t>
        </is>
      </c>
    </row>
    <row r="1797">
      <c r="A1797" t="inlineStr">
        <is>
          <t>0000941496</t>
        </is>
      </c>
      <c r="B1797" t="inlineStr">
        <is>
          <t>SANDHAR ENGINEERING PVT LTD.(KA) -U</t>
        </is>
      </c>
      <c r="C1797" t="inlineStr">
        <is>
          <t>NOS</t>
        </is>
      </c>
      <c r="D1797" t="n">
        <v>2852.331</v>
      </c>
      <c r="E1797" t="n">
        <v>2315.557</v>
      </c>
      <c r="F1797" t="n">
        <v>1940743</v>
      </c>
      <c r="G1797" t="inlineStr">
        <is>
          <t>38.1-0-2-ERW 1-FC</t>
        </is>
      </c>
      <c r="H1797" t="n">
        <v>4124.471</v>
      </c>
      <c r="I1797" t="inlineStr">
        <is>
          <t>TUB-O-O-AUT-AW-FC-38.10X2.000X0.8120</t>
        </is>
      </c>
      <c r="J1797" t="inlineStr">
        <is>
          <t>TVS</t>
        </is>
      </c>
      <c r="K1797" t="inlineStr">
        <is>
          <t>38.1-0-2-ERW 1-FC-0.812</t>
        </is>
      </c>
    </row>
    <row r="1798">
      <c r="A1798" t="inlineStr">
        <is>
          <t>0000941496</t>
        </is>
      </c>
      <c r="B1798" t="inlineStr">
        <is>
          <t>SANDHAR ENGINEERING PVT LTD.(KA) -U</t>
        </is>
      </c>
      <c r="C1798" t="inlineStr">
        <is>
          <t>NOS</t>
        </is>
      </c>
      <c r="D1798" t="n">
        <v>2000</v>
      </c>
      <c r="E1798" t="n">
        <v>710.203</v>
      </c>
      <c r="F1798" t="n">
        <v>1940588</v>
      </c>
      <c r="G1798" t="inlineStr">
        <is>
          <t>25.4-0-2-ERW 1-FC</t>
        </is>
      </c>
      <c r="H1798" t="n">
        <v>820</v>
      </c>
      <c r="I1798" t="inlineStr">
        <is>
          <t>TUB-O-O-AUT-AW-FC-25.40X2.000X0.3550</t>
        </is>
      </c>
      <c r="J1798" t="inlineStr">
        <is>
          <t>TVS</t>
        </is>
      </c>
      <c r="K1798" t="inlineStr">
        <is>
          <t>25.4-0-2-ERW 1-FC-0.355</t>
        </is>
      </c>
    </row>
    <row r="1799">
      <c r="A1799" t="inlineStr">
        <is>
          <t>0000941496</t>
        </is>
      </c>
      <c r="B1799" t="inlineStr">
        <is>
          <t>SANDHAR ENGINEERING PVT LTD.(KA) -U</t>
        </is>
      </c>
      <c r="C1799" t="inlineStr">
        <is>
          <t>NOS</t>
        </is>
      </c>
      <c r="D1799" t="n">
        <v>783.998</v>
      </c>
      <c r="E1799" t="n">
        <v>338.686</v>
      </c>
      <c r="F1799" t="n">
        <v>1903849</v>
      </c>
      <c r="G1799" t="inlineStr">
        <is>
          <t>38.1-0-2-ERW 1-FC</t>
        </is>
      </c>
      <c r="H1799" t="n">
        <v>574.479</v>
      </c>
      <c r="I1799" t="inlineStr">
        <is>
          <t>TUB-O-N-AUT-AW-FC-38.10X2.000X0.4320</t>
        </is>
      </c>
      <c r="J1799" t="inlineStr">
        <is>
          <t>TVS</t>
        </is>
      </c>
      <c r="K1799" t="inlineStr">
        <is>
          <t>38.1-0-2-ERW 1-FC-0.432</t>
        </is>
      </c>
    </row>
    <row r="1800">
      <c r="A1800" t="inlineStr">
        <is>
          <t>0000941496</t>
        </is>
      </c>
      <c r="B1800" t="inlineStr">
        <is>
          <t>SANDHAR ENGINEERING PVT LTD.(KA) -U</t>
        </is>
      </c>
      <c r="C1800" t="inlineStr">
        <is>
          <t>NOS</t>
        </is>
      </c>
      <c r="D1800" t="n">
        <v>1216.002</v>
      </c>
      <c r="E1800" t="n">
        <v>525.311</v>
      </c>
      <c r="F1800" t="n">
        <v>1903849</v>
      </c>
      <c r="G1800" t="inlineStr">
        <is>
          <t>38.1-0-2-ERW 1-FC</t>
        </is>
      </c>
      <c r="H1800" t="n">
        <v>891.032</v>
      </c>
      <c r="I1800" t="inlineStr">
        <is>
          <t>TUB-O-N-AUT-AW-FC-38.10X2.000X0.4320</t>
        </is>
      </c>
      <c r="J1800" t="inlineStr">
        <is>
          <t>TVS</t>
        </is>
      </c>
      <c r="K1800" t="inlineStr">
        <is>
          <t>38.1-0-2-ERW 1-FC-0.432</t>
        </is>
      </c>
    </row>
    <row r="1801">
      <c r="A1801" t="inlineStr">
        <is>
          <t>0000944141</t>
        </is>
      </c>
      <c r="B1801" t="inlineStr">
        <is>
          <t>SRIKAM HITECH ENGINEERING PRIVATE L</t>
        </is>
      </c>
      <c r="C1801" t="inlineStr">
        <is>
          <t>NOS</t>
        </is>
      </c>
      <c r="D1801" t="n">
        <v>4000</v>
      </c>
      <c r="E1801" t="n">
        <v>1178.451</v>
      </c>
      <c r="F1801" t="n">
        <v>1940312</v>
      </c>
      <c r="G1801" t="inlineStr">
        <is>
          <t>19.05-0-2.3-ERW 1-PE</t>
        </is>
      </c>
      <c r="H1801" t="n">
        <v>1120</v>
      </c>
      <c r="I1801" t="inlineStr">
        <is>
          <t>TUB-O-O-AUT-AW-PE-19.05X2.300X0.2950</t>
        </is>
      </c>
      <c r="J1801" t="inlineStr">
        <is>
          <t>TVS</t>
        </is>
      </c>
      <c r="K1801" t="inlineStr">
        <is>
          <t>19.05-0-2.3-ERW 1-PE-0.295</t>
        </is>
      </c>
    </row>
    <row r="1802">
      <c r="A1802" t="inlineStr">
        <is>
          <t>0000944141</t>
        </is>
      </c>
      <c r="B1802" t="inlineStr">
        <is>
          <t>SRIKAM HITECH ENGINEERING PRIVATE L</t>
        </is>
      </c>
      <c r="C1802" t="inlineStr">
        <is>
          <t>NOS</t>
        </is>
      </c>
      <c r="D1802" t="n">
        <v>2780</v>
      </c>
      <c r="E1802" t="n">
        <v>1635.683</v>
      </c>
      <c r="F1802" t="n">
        <v>1938191</v>
      </c>
      <c r="G1802" t="inlineStr">
        <is>
          <t>19-12.5-3.25-CEW-CEW</t>
        </is>
      </c>
      <c r="H1802" t="n">
        <v>2065.54</v>
      </c>
      <c r="I1802" t="inlineStr">
        <is>
          <t>TUB-I-C-AUT-AD-FC-12.50X3.250X0.5880</t>
        </is>
      </c>
      <c r="J1802" t="inlineStr">
        <is>
          <t>TVS</t>
        </is>
      </c>
      <c r="K1802" t="inlineStr">
        <is>
          <t>19-12.5-3.25-CEW-CEW-0.588</t>
        </is>
      </c>
    </row>
    <row r="1803">
      <c r="A1803" t="inlineStr">
        <is>
          <t>0000189226</t>
        </is>
      </c>
      <c r="B1803" t="inlineStr">
        <is>
          <t>Neel Metal Products Limited</t>
        </is>
      </c>
      <c r="C1803" t="inlineStr">
        <is>
          <t>NOS</t>
        </is>
      </c>
      <c r="D1803" t="n">
        <v>4990</v>
      </c>
      <c r="E1803" t="n">
        <v>2121.145</v>
      </c>
      <c r="F1803" t="n">
        <v>1940738</v>
      </c>
      <c r="G1803" t="inlineStr">
        <is>
          <t>38.1-0-2-ERW 1-FC</t>
        </is>
      </c>
      <c r="H1803" t="n">
        <v>3687.61</v>
      </c>
      <c r="I1803" t="inlineStr">
        <is>
          <t>TUB-O-O-AUT-AW-FC-38.10X2.000X0.4250</t>
        </is>
      </c>
      <c r="J1803" t="inlineStr">
        <is>
          <t>TVS</t>
        </is>
      </c>
      <c r="K1803" t="inlineStr">
        <is>
          <t>38.1-0-2-ERW 1-FC-0.425</t>
        </is>
      </c>
    </row>
    <row r="1804">
      <c r="A1804" t="inlineStr">
        <is>
          <t>0000189226</t>
        </is>
      </c>
      <c r="B1804" t="inlineStr">
        <is>
          <t>Neel Metal Products Limited</t>
        </is>
      </c>
      <c r="C1804" t="inlineStr">
        <is>
          <t>NOS</t>
        </is>
      </c>
      <c r="D1804" t="n">
        <v>10</v>
      </c>
      <c r="E1804" t="n">
        <v>4.251</v>
      </c>
      <c r="F1804" t="n">
        <v>1940738</v>
      </c>
      <c r="G1804" t="inlineStr">
        <is>
          <t>38.1-0-2-ERW 1-FC</t>
        </is>
      </c>
      <c r="H1804" t="n">
        <v>7.39</v>
      </c>
      <c r="I1804" t="inlineStr">
        <is>
          <t>TUB-O-O-AUT-AW-FC-38.10X2.000X0.4250</t>
        </is>
      </c>
      <c r="J1804" t="inlineStr">
        <is>
          <t>TVS</t>
        </is>
      </c>
      <c r="K1804" t="inlineStr">
        <is>
          <t>38.1-0-2-ERW 1-FC-0.425</t>
        </is>
      </c>
    </row>
    <row r="1805">
      <c r="A1805" t="inlineStr">
        <is>
          <t>0000941496</t>
        </is>
      </c>
      <c r="B1805" t="inlineStr">
        <is>
          <t>SANDHAR ENGINEERING PVT LTD.(KA) -U</t>
        </is>
      </c>
      <c r="C1805" t="inlineStr">
        <is>
          <t>NOS</t>
        </is>
      </c>
      <c r="D1805" t="n">
        <v>3999.559</v>
      </c>
      <c r="E1805" t="n">
        <v>1727.803</v>
      </c>
      <c r="F1805" t="n">
        <v>1903849</v>
      </c>
      <c r="G1805" t="inlineStr">
        <is>
          <t>38.1-0-2-ERW 1-FC</t>
        </is>
      </c>
      <c r="H1805" t="n">
        <v>2930.699</v>
      </c>
      <c r="I1805" t="inlineStr">
        <is>
          <t>TUB-O-N-AUT-AW-FC-38.10X2.000X0.4320</t>
        </is>
      </c>
      <c r="J1805" t="inlineStr">
        <is>
          <t>TVS</t>
        </is>
      </c>
      <c r="K1805" t="inlineStr">
        <is>
          <t>38.1-0-2-ERW 1-FC-0.432</t>
        </is>
      </c>
    </row>
    <row r="1806">
      <c r="A1806" t="inlineStr">
        <is>
          <t>0000941496</t>
        </is>
      </c>
      <c r="B1806" t="inlineStr">
        <is>
          <t>SANDHAR ENGINEERING PVT LTD.(KA) -U</t>
        </is>
      </c>
      <c r="C1806" t="inlineStr">
        <is>
          <t>NOS</t>
        </is>
      </c>
      <c r="D1806" t="n">
        <v>1000.441</v>
      </c>
      <c r="E1806" t="n">
        <v>432.189</v>
      </c>
      <c r="F1806" t="n">
        <v>1903849</v>
      </c>
      <c r="G1806" t="inlineStr">
        <is>
          <t>38.1-0-2-ERW 1-FC</t>
        </is>
      </c>
      <c r="H1806" t="n">
        <v>733.079</v>
      </c>
      <c r="I1806" t="inlineStr">
        <is>
          <t>TUB-O-N-AUT-AW-FC-38.10X2.000X0.4320</t>
        </is>
      </c>
      <c r="J1806" t="inlineStr">
        <is>
          <t>TVS</t>
        </is>
      </c>
      <c r="K1806" t="inlineStr">
        <is>
          <t>38.1-0-2-ERW 1-FC-0.432</t>
        </is>
      </c>
    </row>
    <row r="1807">
      <c r="A1807" t="inlineStr">
        <is>
          <t>0000941496</t>
        </is>
      </c>
      <c r="B1807" t="inlineStr">
        <is>
          <t>SANDHAR ENGINEERING PVT LTD.(KA) -U</t>
        </is>
      </c>
      <c r="C1807" t="inlineStr">
        <is>
          <t>NOS</t>
        </is>
      </c>
      <c r="D1807" t="n">
        <v>3000</v>
      </c>
      <c r="E1807" t="n">
        <v>1065.304</v>
      </c>
      <c r="F1807" t="n">
        <v>1940588</v>
      </c>
      <c r="G1807" t="inlineStr">
        <is>
          <t>25.4-0-2-ERW 1-FC</t>
        </is>
      </c>
      <c r="H1807" t="n">
        <v>1230</v>
      </c>
      <c r="I1807" t="inlineStr">
        <is>
          <t>TUB-O-O-AUT-AW-FC-25.40X2.000X0.3550</t>
        </is>
      </c>
      <c r="J1807" t="inlineStr">
        <is>
          <t>TVS</t>
        </is>
      </c>
      <c r="K1807" t="inlineStr">
        <is>
          <t>25.4-0-2-ERW 1-FC-0.355</t>
        </is>
      </c>
    </row>
    <row r="1808">
      <c r="A1808" t="inlineStr">
        <is>
          <t>0000189226</t>
        </is>
      </c>
      <c r="B1808" t="inlineStr">
        <is>
          <t>Neel Metal Products Limited</t>
        </is>
      </c>
      <c r="C1808" t="inlineStr">
        <is>
          <t>NOS</t>
        </is>
      </c>
      <c r="D1808" t="n">
        <v>460</v>
      </c>
      <c r="E1808" t="n">
        <v>225.4</v>
      </c>
      <c r="F1808" t="n">
        <v>3781610</v>
      </c>
      <c r="G1808" t="inlineStr">
        <is>
          <t>70-0-3.2-ERW 2-FC</t>
        </is>
      </c>
      <c r="H1808" t="n">
        <v>1152.806</v>
      </c>
      <c r="I1808" t="inlineStr">
        <is>
          <t>CUT-O-N-AUT-AN-AG-70.00X3.200X0.490 HST</t>
        </is>
      </c>
      <c r="J1808" t="inlineStr">
        <is>
          <t>TVS</t>
        </is>
      </c>
      <c r="K1808" t="inlineStr">
        <is>
          <t>70-0-3.2-ERW 2-FC-0.49</t>
        </is>
      </c>
    </row>
    <row r="1809">
      <c r="A1809" t="inlineStr">
        <is>
          <t>0000189226</t>
        </is>
      </c>
      <c r="B1809" t="inlineStr">
        <is>
          <t>Neel Metal Products Limited</t>
        </is>
      </c>
      <c r="C1809" t="inlineStr">
        <is>
          <t>NOS</t>
        </is>
      </c>
      <c r="D1809" t="n">
        <v>3000</v>
      </c>
      <c r="E1809" t="n">
        <v>2435.437</v>
      </c>
      <c r="F1809" t="n">
        <v>1940743</v>
      </c>
      <c r="G1809" t="inlineStr">
        <is>
          <t>38.1-0-2-ERW 1-FC</t>
        </is>
      </c>
      <c r="H1809" t="n">
        <v>4338</v>
      </c>
      <c r="I1809" t="inlineStr">
        <is>
          <t>TUB-O-O-AUT-AW-FC-38.10X2.000X0.8120</t>
        </is>
      </c>
      <c r="J1809" t="inlineStr">
        <is>
          <t>TVS</t>
        </is>
      </c>
      <c r="K1809" t="inlineStr">
        <is>
          <t>38.1-0-2-ERW 1-FC-0.812</t>
        </is>
      </c>
    </row>
    <row r="1810">
      <c r="A1810" t="inlineStr">
        <is>
          <t>0000945539</t>
        </is>
      </c>
      <c r="B1810" t="inlineStr">
        <is>
          <t>Sandhar EngineeringPvt.Ltd.(KA)-Uni</t>
        </is>
      </c>
      <c r="C1810" t="inlineStr">
        <is>
          <t>NOS</t>
        </is>
      </c>
      <c r="D1810" t="n">
        <v>2000</v>
      </c>
      <c r="E1810" t="n">
        <v>429.997</v>
      </c>
      <c r="F1810" t="n">
        <v>3901714</v>
      </c>
      <c r="G1810" t="inlineStr">
        <is>
          <t>42.7-0-4-ERW 1-FC</t>
        </is>
      </c>
      <c r="H1810" t="n">
        <v>1641.556</v>
      </c>
      <c r="I1810" t="inlineStr">
        <is>
          <t>CUT-N-AUT-AN-FC-42.70X4.000X0.2150</t>
        </is>
      </c>
      <c r="J1810" t="inlineStr">
        <is>
          <t>TVS</t>
        </is>
      </c>
      <c r="K1810" t="inlineStr">
        <is>
          <t>42.7-0-4-ERW 1-FC-0.215</t>
        </is>
      </c>
    </row>
    <row r="1811">
      <c r="A1811" t="inlineStr">
        <is>
          <t>0000945539</t>
        </is>
      </c>
      <c r="B1811" t="inlineStr">
        <is>
          <t>Sandhar EngineeringPvt.Ltd.(KA)-Uni</t>
        </is>
      </c>
      <c r="C1811" t="inlineStr">
        <is>
          <t>NOS</t>
        </is>
      </c>
      <c r="D1811" t="n">
        <v>1500</v>
      </c>
      <c r="E1811" t="n">
        <v>1274.958</v>
      </c>
      <c r="F1811" t="n">
        <v>3910648</v>
      </c>
      <c r="G1811" t="inlineStr">
        <is>
          <t>41.28-0-2.6-ERW 1-FC</t>
        </is>
      </c>
      <c r="H1811" t="n">
        <v>3162.15</v>
      </c>
      <c r="I1811" t="inlineStr">
        <is>
          <t>CUT-O-N-AUT-AW-FC-41.28X2.600X0.8500</t>
        </is>
      </c>
      <c r="J1811" t="inlineStr">
        <is>
          <t>TVS</t>
        </is>
      </c>
      <c r="K1811" t="inlineStr">
        <is>
          <t>41.28-0-2.6-ERW 1-FC-0.85</t>
        </is>
      </c>
    </row>
    <row r="1812">
      <c r="A1812" t="inlineStr">
        <is>
          <t>0000945539</t>
        </is>
      </c>
      <c r="B1812" t="inlineStr">
        <is>
          <t>Sandhar EngineeringPvt.Ltd.(KA)-Uni</t>
        </is>
      </c>
      <c r="C1812" t="inlineStr">
        <is>
          <t>NOS</t>
        </is>
      </c>
      <c r="D1812" t="n">
        <v>1000</v>
      </c>
      <c r="E1812" t="n">
        <v>863.554</v>
      </c>
      <c r="F1812" t="n">
        <v>3910649</v>
      </c>
      <c r="G1812" t="inlineStr">
        <is>
          <t>22.23-0-2-ERW 2-FC</t>
        </is>
      </c>
      <c r="H1812" t="n">
        <v>862</v>
      </c>
      <c r="I1812" t="inlineStr">
        <is>
          <t>CUT-O-N-AUT-AW-FC-22.23X2.000X0.8630</t>
        </is>
      </c>
      <c r="J1812" t="inlineStr">
        <is>
          <t>TVS</t>
        </is>
      </c>
      <c r="K1812" t="inlineStr">
        <is>
          <t>22.23-0-2-ERW 2-FC-0.863</t>
        </is>
      </c>
    </row>
    <row r="1813">
      <c r="A1813" t="inlineStr">
        <is>
          <t>0000945539</t>
        </is>
      </c>
      <c r="B1813" t="inlineStr">
        <is>
          <t>Sandhar EngineeringPvt.Ltd.(KA)-Uni</t>
        </is>
      </c>
      <c r="C1813" t="inlineStr">
        <is>
          <t>NOS</t>
        </is>
      </c>
      <c r="D1813" t="n">
        <v>2000</v>
      </c>
      <c r="E1813" t="n">
        <v>1711.08</v>
      </c>
      <c r="F1813" t="n">
        <v>3910650</v>
      </c>
      <c r="G1813" t="inlineStr">
        <is>
          <t>22.23-0-2-ERW 2-FC</t>
        </is>
      </c>
      <c r="H1813" t="n">
        <v>1708</v>
      </c>
      <c r="I1813" t="inlineStr">
        <is>
          <t>CUT-O-N-AUT-AS-FC-22.23X2.000X0.8550</t>
        </is>
      </c>
      <c r="J1813" t="inlineStr">
        <is>
          <t>TVS</t>
        </is>
      </c>
      <c r="K1813" t="inlineStr">
        <is>
          <t>22.23-0-2-ERW 2-FC-0.855</t>
        </is>
      </c>
    </row>
    <row r="1814">
      <c r="A1814" t="inlineStr">
        <is>
          <t>0000945539</t>
        </is>
      </c>
      <c r="B1814" t="inlineStr">
        <is>
          <t>Sandhar EngineeringPvt.Ltd.(KA)-Uni</t>
        </is>
      </c>
      <c r="C1814" t="inlineStr">
        <is>
          <t>NOS</t>
        </is>
      </c>
      <c r="D1814" t="n">
        <v>3000</v>
      </c>
      <c r="E1814" t="n">
        <v>1253.998</v>
      </c>
      <c r="F1814" t="n">
        <v>3926270</v>
      </c>
      <c r="G1814" t="inlineStr">
        <is>
          <t>25.4-0-2-ERW 1-FC</t>
        </is>
      </c>
      <c r="H1814" t="n">
        <v>1414.133</v>
      </c>
      <c r="I1814" t="inlineStr">
        <is>
          <t>CUT-O-N-AUT-AW-FC-25.40X2.000X0.4180</t>
        </is>
      </c>
      <c r="J1814" t="inlineStr">
        <is>
          <t>TVS</t>
        </is>
      </c>
      <c r="K1814" t="inlineStr">
        <is>
          <t>25.4-0-2-ERW 1-FC-0.418</t>
        </is>
      </c>
    </row>
    <row r="1815">
      <c r="A1815" t="inlineStr">
        <is>
          <t>0000940921</t>
        </is>
      </c>
      <c r="B1815" t="inlineStr">
        <is>
          <t>ELKAYEM AUTO ANCILLARIES PVT LTD -U</t>
        </is>
      </c>
      <c r="C1815" t="inlineStr">
        <is>
          <t>NOS</t>
        </is>
      </c>
      <c r="D1815" t="n">
        <v>975</v>
      </c>
      <c r="E1815" t="n">
        <v>695.164</v>
      </c>
      <c r="F1815" t="n">
        <v>3783938</v>
      </c>
      <c r="G1815" t="inlineStr">
        <is>
          <t>57.15-0-2-ERW 1-FC</t>
        </is>
      </c>
      <c r="H1815" t="n">
        <v>1845.382</v>
      </c>
      <c r="I1815" t="inlineStr">
        <is>
          <t>CUT-O-N-AUT-NR-AG-57.15X2.000X0.7130</t>
        </is>
      </c>
      <c r="J1815" t="inlineStr">
        <is>
          <t>TVS</t>
        </is>
      </c>
      <c r="K1815" t="inlineStr">
        <is>
          <t>57.15-0-2-ERW 1-FC-0.713</t>
        </is>
      </c>
    </row>
    <row r="1816">
      <c r="A1816" t="inlineStr">
        <is>
          <t>0000819045</t>
        </is>
      </c>
      <c r="B1816" t="inlineStr">
        <is>
          <t>KNITVEL NEEDLES P LTD</t>
        </is>
      </c>
      <c r="C1816" t="inlineStr">
        <is>
          <t>NOS</t>
        </is>
      </c>
      <c r="D1816" t="n">
        <v>1000</v>
      </c>
      <c r="E1816" t="n">
        <v>739.004</v>
      </c>
      <c r="F1816" t="n">
        <v>3984123</v>
      </c>
      <c r="G1816" t="inlineStr">
        <is>
          <t>19.05-0-2.3-ERW 1-PE</t>
        </is>
      </c>
      <c r="H1816" t="n">
        <v>702.111</v>
      </c>
      <c r="I1816" t="inlineStr">
        <is>
          <t>TUB-O-N-AUT-AW-PE-19.05X2.300X0.7390</t>
        </is>
      </c>
      <c r="J1816" t="inlineStr">
        <is>
          <t>TVS</t>
        </is>
      </c>
      <c r="K1816" t="inlineStr">
        <is>
          <t>19.05-0-2.3-ERW 1-PE-0.739</t>
        </is>
      </c>
    </row>
    <row r="1817">
      <c r="A1817" t="inlineStr">
        <is>
          <t>0000819045</t>
        </is>
      </c>
      <c r="B1817" t="inlineStr">
        <is>
          <t>KNITVEL NEEDLES P LTD</t>
        </is>
      </c>
      <c r="C1817" t="inlineStr">
        <is>
          <t>NOS</t>
        </is>
      </c>
      <c r="D1817" t="n">
        <v>1000</v>
      </c>
      <c r="E1817" t="n">
        <v>887.003</v>
      </c>
      <c r="F1817" t="n">
        <v>3984124</v>
      </c>
      <c r="G1817" t="inlineStr">
        <is>
          <t>19.05-0-2.3-ERW 1-PE</t>
        </is>
      </c>
      <c r="H1817" t="n">
        <v>842.722</v>
      </c>
      <c r="I1817" t="inlineStr">
        <is>
          <t>TUB-O-N-AUT-AW-PE-19.05X2.300X0.8870</t>
        </is>
      </c>
      <c r="J1817" t="inlineStr">
        <is>
          <t>TVS</t>
        </is>
      </c>
      <c r="K1817" t="inlineStr">
        <is>
          <t>19.05-0-2.3-ERW 1-PE-0.887</t>
        </is>
      </c>
    </row>
    <row r="1818">
      <c r="A1818" t="inlineStr">
        <is>
          <t>0000189226</t>
        </is>
      </c>
      <c r="B1818" t="inlineStr">
        <is>
          <t>Neel Metal Products Limited</t>
        </is>
      </c>
      <c r="C1818" t="inlineStr">
        <is>
          <t>NOS</t>
        </is>
      </c>
      <c r="D1818" t="n">
        <v>500</v>
      </c>
      <c r="E1818" t="n">
        <v>117.998</v>
      </c>
      <c r="F1818" t="n">
        <v>3784473</v>
      </c>
      <c r="G1818" t="inlineStr">
        <is>
          <t>63.5-0-4-ERW 1-FC</t>
        </is>
      </c>
      <c r="H1818" t="n">
        <v>676.4</v>
      </c>
      <c r="I1818" t="inlineStr">
        <is>
          <t>CUT-O-N-AUT-BH-FC-63.50X4.000X0.2360</t>
        </is>
      </c>
      <c r="J1818" t="inlineStr">
        <is>
          <t>TVS</t>
        </is>
      </c>
      <c r="K1818" t="inlineStr">
        <is>
          <t>63.5-0-4-ERW 1-FC-0.236</t>
        </is>
      </c>
    </row>
    <row r="1819">
      <c r="A1819" t="inlineStr">
        <is>
          <t>0000944141</t>
        </is>
      </c>
      <c r="B1819" t="inlineStr">
        <is>
          <t>SRIKAM HITECH ENGINEERING PRIVATE L</t>
        </is>
      </c>
      <c r="C1819" t="inlineStr">
        <is>
          <t>NOS</t>
        </is>
      </c>
      <c r="D1819" t="n">
        <v>5183</v>
      </c>
      <c r="E1819" t="n">
        <v>1526.978</v>
      </c>
      <c r="F1819" t="n">
        <v>1940312</v>
      </c>
      <c r="G1819" t="inlineStr">
        <is>
          <t>19.05-0-2.3-ERW 1-PE</t>
        </is>
      </c>
      <c r="H1819" t="n">
        <v>1451.24</v>
      </c>
      <c r="I1819" t="inlineStr">
        <is>
          <t>TUB-O-O-AUT-AW-PE-19.05X2.300X0.2950</t>
        </is>
      </c>
      <c r="J1819" t="inlineStr">
        <is>
          <t>TVS</t>
        </is>
      </c>
      <c r="K1819" t="inlineStr">
        <is>
          <t>19.05-0-2.3-ERW 1-PE-0.295</t>
        </is>
      </c>
    </row>
    <row r="1820">
      <c r="A1820" t="inlineStr">
        <is>
          <t>0000944141</t>
        </is>
      </c>
      <c r="B1820" t="inlineStr">
        <is>
          <t>SRIKAM HITECH ENGINEERING PRIVATE L</t>
        </is>
      </c>
      <c r="C1820" t="inlineStr">
        <is>
          <t>NOS</t>
        </is>
      </c>
      <c r="D1820" t="n">
        <v>643.759</v>
      </c>
      <c r="E1820" t="n">
        <v>180.899</v>
      </c>
      <c r="F1820" t="n">
        <v>1940584</v>
      </c>
      <c r="G1820" t="inlineStr">
        <is>
          <t>25.4-0-2-ERW 1-FC</t>
        </is>
      </c>
      <c r="H1820" t="n">
        <v>204</v>
      </c>
      <c r="I1820" t="inlineStr">
        <is>
          <t>TUB-O-O-AUT-AW-FC-25.40X2.000X0.2810</t>
        </is>
      </c>
      <c r="J1820" t="inlineStr">
        <is>
          <t>TVS</t>
        </is>
      </c>
      <c r="K1820" t="inlineStr">
        <is>
          <t>25.4-0-2-ERW 1-FC-0.281</t>
        </is>
      </c>
    </row>
    <row r="1821">
      <c r="A1821" t="inlineStr">
        <is>
          <t>0000944141</t>
        </is>
      </c>
      <c r="B1821" t="inlineStr">
        <is>
          <t>SRIKAM HITECH ENGINEERING PRIVATE L</t>
        </is>
      </c>
      <c r="C1821" t="inlineStr">
        <is>
          <t>NOS</t>
        </is>
      </c>
      <c r="D1821" t="n">
        <v>1356.241</v>
      </c>
      <c r="E1821" t="n">
        <v>381.11</v>
      </c>
      <c r="F1821" t="n">
        <v>1940584</v>
      </c>
      <c r="G1821" t="inlineStr">
        <is>
          <t>25.4-0-2-ERW 1-FC</t>
        </is>
      </c>
      <c r="H1821" t="n">
        <v>429.778</v>
      </c>
      <c r="I1821" t="inlineStr">
        <is>
          <t>TUB-O-O-AUT-AW-FC-25.40X2.000X0.2810</t>
        </is>
      </c>
      <c r="J1821" t="inlineStr">
        <is>
          <t>TVS</t>
        </is>
      </c>
      <c r="K1821" t="inlineStr">
        <is>
          <t>25.4-0-2-ERW 1-FC-0.281</t>
        </is>
      </c>
    </row>
    <row r="1822">
      <c r="A1822" t="inlineStr">
        <is>
          <t>0000941496</t>
        </is>
      </c>
      <c r="B1822" t="inlineStr">
        <is>
          <t>SANDHAR ENGINEERING PVT LTD.(KA) -U</t>
        </is>
      </c>
      <c r="C1822" t="inlineStr">
        <is>
          <t>NOS</t>
        </is>
      </c>
      <c r="D1822" t="n">
        <v>2000</v>
      </c>
      <c r="E1822" t="n">
        <v>1623.625</v>
      </c>
      <c r="F1822" t="n">
        <v>1940743</v>
      </c>
      <c r="G1822" t="inlineStr">
        <is>
          <t>38.1-0-2-ERW 1-FC</t>
        </is>
      </c>
      <c r="H1822" t="n">
        <v>2892</v>
      </c>
      <c r="I1822" t="inlineStr">
        <is>
          <t>TUB-O-O-AUT-AW-FC-38.10X2.000X0.8120</t>
        </is>
      </c>
      <c r="J1822" t="inlineStr">
        <is>
          <t>TVS</t>
        </is>
      </c>
      <c r="K1822" t="inlineStr">
        <is>
          <t>38.1-0-2-ERW 1-FC-0.812</t>
        </is>
      </c>
    </row>
    <row r="1823">
      <c r="A1823" t="inlineStr">
        <is>
          <t>0000941496</t>
        </is>
      </c>
      <c r="B1823" t="inlineStr">
        <is>
          <t>SANDHAR ENGINEERING PVT LTD.(KA) -U</t>
        </is>
      </c>
      <c r="C1823" t="inlineStr">
        <is>
          <t>NOS</t>
        </is>
      </c>
      <c r="D1823" t="n">
        <v>2004</v>
      </c>
      <c r="E1823" t="n">
        <v>711.623</v>
      </c>
      <c r="F1823" t="n">
        <v>1940588</v>
      </c>
      <c r="G1823" t="inlineStr">
        <is>
          <t>25.4-0-2-ERW 1-FC</t>
        </is>
      </c>
      <c r="H1823" t="n">
        <v>821.64</v>
      </c>
      <c r="I1823" t="inlineStr">
        <is>
          <t>TUB-O-O-AUT-AW-FC-25.40X2.000X0.3550</t>
        </is>
      </c>
      <c r="J1823" t="inlineStr">
        <is>
          <t>TVS</t>
        </is>
      </c>
      <c r="K1823" t="inlineStr">
        <is>
          <t>25.4-0-2-ERW 1-FC-0.355</t>
        </is>
      </c>
    </row>
    <row r="1824">
      <c r="A1824" t="inlineStr">
        <is>
          <t>0000941496</t>
        </is>
      </c>
      <c r="B1824" t="inlineStr">
        <is>
          <t>SANDHAR ENGINEERING PVT LTD.(KA) -U</t>
        </is>
      </c>
      <c r="C1824" t="inlineStr">
        <is>
          <t>NOS</t>
        </is>
      </c>
      <c r="D1824" t="n">
        <v>1925</v>
      </c>
      <c r="E1824" t="n">
        <v>1549.615</v>
      </c>
      <c r="F1824" t="n">
        <v>3694069</v>
      </c>
      <c r="G1824" t="inlineStr">
        <is>
          <t>22.23-0-2-ERW 1-PE</t>
        </is>
      </c>
      <c r="H1824" t="n">
        <v>1543.572</v>
      </c>
      <c r="I1824" t="inlineStr">
        <is>
          <t>CUT-O-N-AUT-AW-PE-22.20X2.000X0.8050</t>
        </is>
      </c>
      <c r="J1824" t="inlineStr">
        <is>
          <t>TVS</t>
        </is>
      </c>
      <c r="K1824" t="inlineStr">
        <is>
          <t>22.23-0-2-ERW 1-PE-0.805</t>
        </is>
      </c>
    </row>
    <row r="1825">
      <c r="A1825" t="inlineStr">
        <is>
          <t>0000944141</t>
        </is>
      </c>
      <c r="B1825" t="inlineStr">
        <is>
          <t>SRIKAM HITECH ENGINEERING PRIVATE L</t>
        </is>
      </c>
      <c r="C1825" t="inlineStr">
        <is>
          <t>NOS</t>
        </is>
      </c>
      <c r="D1825" t="n">
        <v>3500</v>
      </c>
      <c r="E1825" t="n">
        <v>1031.145</v>
      </c>
      <c r="F1825" t="n">
        <v>1940312</v>
      </c>
      <c r="G1825" t="inlineStr">
        <is>
          <t>19.05-0-2.3-ERW 1-PE</t>
        </is>
      </c>
      <c r="H1825" t="n">
        <v>980</v>
      </c>
      <c r="I1825" t="inlineStr">
        <is>
          <t>TUB-O-O-AUT-AW-PE-19.05X2.300X0.2950</t>
        </is>
      </c>
      <c r="J1825" t="inlineStr">
        <is>
          <t>TVS</t>
        </is>
      </c>
      <c r="K1825" t="inlineStr">
        <is>
          <t>19.05-0-2.3-ERW 1-PE-0.295</t>
        </is>
      </c>
    </row>
    <row r="1826">
      <c r="A1826" t="inlineStr">
        <is>
          <t>0000944141</t>
        </is>
      </c>
      <c r="B1826" t="inlineStr">
        <is>
          <t>SRIKAM HITECH ENGINEERING PRIVATE L</t>
        </is>
      </c>
      <c r="C1826" t="inlineStr">
        <is>
          <t>NOS</t>
        </is>
      </c>
      <c r="D1826" t="n">
        <v>2862.903</v>
      </c>
      <c r="E1826" t="n">
        <v>804.489</v>
      </c>
      <c r="F1826" t="n">
        <v>1940584</v>
      </c>
      <c r="G1826" t="inlineStr">
        <is>
          <t>25.4-0-2-ERW 1-FC</t>
        </is>
      </c>
      <c r="H1826" t="n">
        <v>907.222</v>
      </c>
      <c r="I1826" t="inlineStr">
        <is>
          <t>TUB-O-O-AUT-AW-FC-25.40X2.000X0.2810</t>
        </is>
      </c>
      <c r="J1826" t="inlineStr">
        <is>
          <t>TVS</t>
        </is>
      </c>
      <c r="K1826" t="inlineStr">
        <is>
          <t>25.4-0-2-ERW 1-FC-0.281</t>
        </is>
      </c>
    </row>
    <row r="1827">
      <c r="A1827" t="inlineStr">
        <is>
          <t>0000944141</t>
        </is>
      </c>
      <c r="B1827" t="inlineStr">
        <is>
          <t>SRIKAM HITECH ENGINEERING PRIVATE L</t>
        </is>
      </c>
      <c r="C1827" t="inlineStr">
        <is>
          <t>NOS</t>
        </is>
      </c>
      <c r="D1827" t="n">
        <v>380.097</v>
      </c>
      <c r="E1827" t="n">
        <v>106.809</v>
      </c>
      <c r="F1827" t="n">
        <v>1940584</v>
      </c>
      <c r="G1827" t="inlineStr">
        <is>
          <t>25.4-0-2-ERW 1-FC</t>
        </is>
      </c>
      <c r="H1827" t="n">
        <v>120.449</v>
      </c>
      <c r="I1827" t="inlineStr">
        <is>
          <t>TUB-O-O-AUT-AW-FC-25.40X2.000X0.2810</t>
        </is>
      </c>
      <c r="J1827" t="inlineStr">
        <is>
          <t>TVS</t>
        </is>
      </c>
      <c r="K1827" t="inlineStr">
        <is>
          <t>25.4-0-2-ERW 1-FC-0.281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codeName="Sheet18">
    <outlinePr summaryBelow="1" summaryRight="1"/>
    <pageSetUpPr/>
  </sheetPr>
  <dimension ref="A3:A32"/>
  <sheetViews>
    <sheetView workbookViewId="0">
      <selection activeCell="D14" sqref="D14"/>
    </sheetView>
  </sheetViews>
  <sheetFormatPr baseColWidth="8" defaultRowHeight="15"/>
  <cols>
    <col width="31.140625" bestFit="1" customWidth="1" style="584" min="1" max="1"/>
    <col width="16.7109375" bestFit="1" customWidth="1" style="584" min="2" max="2"/>
  </cols>
  <sheetData>
    <row r="3">
      <c r="A3" s="42" t="inlineStr">
        <is>
          <t>Row Labels</t>
        </is>
      </c>
    </row>
    <row r="4">
      <c r="A4" s="90" t="inlineStr">
        <is>
          <t>Balaji press product</t>
        </is>
      </c>
    </row>
    <row r="5">
      <c r="A5" s="90" t="inlineStr">
        <is>
          <t>ELKAYEM AUTO</t>
        </is>
      </c>
    </row>
    <row r="6">
      <c r="A6" s="90" t="inlineStr">
        <is>
          <t xml:space="preserve">ELKAYEM AUTO MYSORE </t>
        </is>
      </c>
    </row>
    <row r="7">
      <c r="A7" s="90" t="inlineStr">
        <is>
          <t>KAY JAY</t>
        </is>
      </c>
    </row>
    <row r="8">
      <c r="A8" s="90" t="inlineStr">
        <is>
          <t>KNITVEL NEEDLES P LTD</t>
        </is>
      </c>
    </row>
    <row r="9">
      <c r="A9" s="90" t="inlineStr">
        <is>
          <t>Marathwada</t>
        </is>
      </c>
    </row>
    <row r="10">
      <c r="A10" s="90" t="inlineStr">
        <is>
          <t>Metalman</t>
        </is>
      </c>
    </row>
    <row r="11">
      <c r="A11" s="90" t="inlineStr">
        <is>
          <t>Narasipur Auto Component(P)Ltd</t>
        </is>
      </c>
    </row>
    <row r="12">
      <c r="A12" s="90" t="inlineStr">
        <is>
          <t>Rajsriya Automotive</t>
        </is>
      </c>
    </row>
    <row r="13">
      <c r="A13" s="90" t="inlineStr">
        <is>
          <t xml:space="preserve">Rajsriya Mysore </t>
        </is>
      </c>
    </row>
    <row r="14">
      <c r="A14" s="90" t="inlineStr">
        <is>
          <t>Rajsriya Unit 1</t>
        </is>
      </c>
    </row>
    <row r="15">
      <c r="A15" s="90" t="inlineStr">
        <is>
          <t>Rajsriya Unit 2</t>
        </is>
      </c>
    </row>
    <row r="16">
      <c r="A16" s="90" t="inlineStr">
        <is>
          <t>Rajsriya Unit 4</t>
        </is>
      </c>
    </row>
    <row r="17">
      <c r="A17" s="90" t="inlineStr">
        <is>
          <t>Rajsriya Unit 5</t>
        </is>
      </c>
    </row>
    <row r="18">
      <c r="A18" s="90" t="inlineStr">
        <is>
          <t>Rajsriya Unit 8</t>
        </is>
      </c>
    </row>
    <row r="19">
      <c r="A19" s="90" t="inlineStr">
        <is>
          <t>RUCHA</t>
        </is>
      </c>
    </row>
    <row r="20">
      <c r="A20" s="90" t="inlineStr">
        <is>
          <t>Sandhar Automach</t>
        </is>
      </c>
    </row>
    <row r="21">
      <c r="A21" s="90" t="inlineStr">
        <is>
          <t xml:space="preserve">Sandhar Engg Mysore </t>
        </is>
      </c>
    </row>
    <row r="22">
      <c r="A22" s="90" t="inlineStr">
        <is>
          <t>SANDHAR ENGINEERING PVT LTD.</t>
        </is>
      </c>
    </row>
    <row r="23">
      <c r="A23" s="90" t="inlineStr">
        <is>
          <t>SRI BALAJI GEARS V4</t>
        </is>
      </c>
    </row>
    <row r="24">
      <c r="A24" s="90" t="inlineStr">
        <is>
          <t>SRIKAM HITECH</t>
        </is>
      </c>
    </row>
    <row r="25">
      <c r="A25" s="90" t="inlineStr">
        <is>
          <t>TVS MOTOR COMPANY LIMITED</t>
        </is>
      </c>
    </row>
    <row r="26">
      <c r="A26" s="90" t="inlineStr">
        <is>
          <t>Laxmi</t>
        </is>
      </c>
    </row>
    <row r="27">
      <c r="A27" s="90" t="inlineStr">
        <is>
          <t>SRI BALAJI GEARS V7</t>
        </is>
      </c>
    </row>
    <row r="28">
      <c r="A28" s="90" t="inlineStr">
        <is>
          <t>Marathwada v7</t>
        </is>
      </c>
    </row>
    <row r="29">
      <c r="A29" s="90" t="inlineStr">
        <is>
          <t>Balaji Gears V3</t>
        </is>
      </c>
    </row>
    <row r="30">
      <c r="A30" s="90" t="inlineStr">
        <is>
          <t>NMPL TVSM</t>
        </is>
      </c>
    </row>
    <row r="31">
      <c r="A31" s="90" t="inlineStr">
        <is>
          <t>NMPL HUB</t>
        </is>
      </c>
    </row>
    <row r="32">
      <c r="A32" s="90" t="inlineStr">
        <is>
          <t>Grand Total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5">
    <tabColor rgb="FFFFC000"/>
    <outlinePr summaryBelow="1" summaryRight="1"/>
    <pageSetUpPr fitToPage="1"/>
  </sheetPr>
  <dimension ref="A1:R55"/>
  <sheetViews>
    <sheetView view="pageBreakPreview" zoomScale="60" zoomScaleNormal="100" workbookViewId="0">
      <selection activeCell="A4" sqref="A4"/>
    </sheetView>
  </sheetViews>
  <sheetFormatPr baseColWidth="8" defaultRowHeight="15"/>
  <cols>
    <col width="22.28515625" bestFit="1" customWidth="1" style="584" min="1" max="1"/>
    <col width="14.42578125" customWidth="1" style="584" min="2" max="2"/>
    <col width="15.5703125" bestFit="1" customWidth="1" style="584" min="9" max="9"/>
    <col width="17" bestFit="1" customWidth="1" style="584" min="10" max="10"/>
    <col width="14.7109375" bestFit="1" customWidth="1" style="584" min="11" max="11"/>
    <col width="11.5703125" bestFit="1" customWidth="1" style="584" min="12" max="12"/>
    <col width="9.5703125" bestFit="1" customWidth="1" style="584" min="13" max="13"/>
    <col width="32" bestFit="1" customWidth="1" style="584" min="17" max="17"/>
  </cols>
  <sheetData>
    <row r="1">
      <c r="A1" t="inlineStr">
        <is>
          <t>CUSTOMER NAME</t>
        </is>
      </c>
      <c r="B1" t="inlineStr">
        <is>
          <t>Sandhar</t>
        </is>
      </c>
    </row>
    <row r="3" ht="30" customHeight="1" s="584">
      <c r="A3" s="202" t="inlineStr">
        <is>
          <t>CUSTOMER NAME</t>
        </is>
      </c>
      <c r="B3" s="101" t="inlineStr">
        <is>
          <t>ACTUAL OD</t>
        </is>
      </c>
      <c r="C3" s="101" t="inlineStr">
        <is>
          <t>OD</t>
        </is>
      </c>
      <c r="D3" s="101" t="inlineStr">
        <is>
          <t>ID</t>
        </is>
      </c>
      <c r="E3" s="101" t="inlineStr">
        <is>
          <t>TICKNESS</t>
        </is>
      </c>
      <c r="F3" s="101" t="inlineStr">
        <is>
          <t>LENGTH</t>
        </is>
      </c>
      <c r="G3" s="101" t="inlineStr">
        <is>
          <t>UoM</t>
        </is>
      </c>
      <c r="H3" s="102" t="inlineStr">
        <is>
          <t>SCHEDULE</t>
        </is>
      </c>
      <c r="I3" s="203" t="inlineStr">
        <is>
          <t>DISPATCH</t>
        </is>
      </c>
      <c r="J3" s="191" t="inlineStr">
        <is>
          <t>BAL IN NOS</t>
        </is>
      </c>
      <c r="K3" s="204" t="inlineStr">
        <is>
          <t>CTL stock in nos</t>
        </is>
      </c>
      <c r="L3" s="204" t="inlineStr">
        <is>
          <t>LL Stock</t>
        </is>
      </c>
      <c r="M3" s="204" t="inlineStr">
        <is>
          <t>WIP</t>
        </is>
      </c>
      <c r="N3" s="204" t="inlineStr">
        <is>
          <t>Model</t>
        </is>
      </c>
      <c r="O3" s="204" t="inlineStr">
        <is>
          <t>Application</t>
        </is>
      </c>
      <c r="Q3" t="inlineStr">
        <is>
          <t>Balaji press product</t>
        </is>
      </c>
      <c r="R3" t="inlineStr">
        <is>
          <t>Balaji Press</t>
        </is>
      </c>
    </row>
    <row r="4">
      <c r="A4" s="15">
        <f t="array" ref="A4">_xlfn.CHOOSECOLS(scheduleapr[],_xlfn.XMATCH(A3:M3,scheduleapr[#Headers]))</f>
        <v/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62" t="n"/>
      <c r="L4" s="62" t="n"/>
      <c r="M4" s="62" t="n"/>
      <c r="N4" s="62" t="n"/>
      <c r="O4" s="62" t="n"/>
      <c r="Q4" t="inlineStr">
        <is>
          <t>ELKAYEM AUTO</t>
        </is>
      </c>
      <c r="R4" t="inlineStr">
        <is>
          <t>Elkayem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62" t="n"/>
      <c r="L5" s="62" t="n"/>
      <c r="M5" s="62" t="n"/>
      <c r="N5" s="62" t="n"/>
      <c r="O5" s="62" t="n"/>
      <c r="Q5" t="inlineStr">
        <is>
          <t>ELKAYEM AUTO ANCILLARIES (PVT)</t>
        </is>
      </c>
      <c r="R5" t="inlineStr">
        <is>
          <t>Elkayem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62" t="n"/>
      <c r="L6" s="62" t="n"/>
      <c r="M6" s="62" t="n"/>
      <c r="N6" s="62" t="n"/>
      <c r="O6" s="62" t="n"/>
      <c r="Q6" t="inlineStr">
        <is>
          <t xml:space="preserve">ELKAYEM AUTO MYSORE </t>
        </is>
      </c>
      <c r="R6" t="inlineStr">
        <is>
          <t>Elkayem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62" t="n"/>
      <c r="L7" s="62" t="n"/>
      <c r="M7" s="62" t="n"/>
      <c r="N7" s="62" t="n"/>
      <c r="O7" s="62" t="n"/>
      <c r="Q7" t="inlineStr">
        <is>
          <t>KAY JAY</t>
        </is>
      </c>
      <c r="R7" t="inlineStr">
        <is>
          <t>Kay Jay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62" t="n"/>
      <c r="L8" s="62" t="n"/>
      <c r="M8" s="62" t="n"/>
      <c r="N8" s="62" t="n"/>
      <c r="O8" s="62" t="n"/>
      <c r="Q8" t="inlineStr">
        <is>
          <t>KNITVEL NEEDLES P LTD</t>
        </is>
      </c>
      <c r="R8" t="inlineStr">
        <is>
          <t>Knitvel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62" t="n"/>
      <c r="L9" s="62" t="n"/>
      <c r="M9" s="62" t="n"/>
      <c r="N9" s="62" t="n"/>
      <c r="O9" s="62" t="n"/>
      <c r="Q9" t="inlineStr">
        <is>
          <t>Marathwada</t>
        </is>
      </c>
      <c r="R9" t="inlineStr">
        <is>
          <t>Marathwada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62" t="n"/>
      <c r="L10" s="62" t="n"/>
      <c r="M10" s="62" t="n"/>
      <c r="N10" s="62" t="n"/>
      <c r="O10" s="62" t="n"/>
      <c r="Q10" t="inlineStr">
        <is>
          <t>Metalman</t>
        </is>
      </c>
      <c r="R10" t="inlineStr">
        <is>
          <t>Metalman</t>
        </is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62" t="n"/>
      <c r="L11" s="62" t="n"/>
      <c r="M11" s="62" t="n"/>
      <c r="N11" s="62" t="n"/>
      <c r="O11" s="62" t="n"/>
      <c r="Q11" t="inlineStr">
        <is>
          <t>Narasipur Auto Component(P)Ltd</t>
        </is>
      </c>
      <c r="R11" t="inlineStr">
        <is>
          <t>Narsipur</t>
        </is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62" t="n"/>
      <c r="L12" s="62" t="n"/>
      <c r="M12" s="62" t="n"/>
      <c r="N12" s="62" t="n"/>
      <c r="O12" s="62" t="n"/>
      <c r="Q12" t="inlineStr">
        <is>
          <t>NEEL METAL PRODUCTS LIMITED</t>
        </is>
      </c>
      <c r="R12" t="inlineStr">
        <is>
          <t>NMPL</t>
        </is>
      </c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62" t="n"/>
      <c r="L13" s="62" t="n"/>
      <c r="M13" s="62" t="n"/>
      <c r="N13" s="62" t="n"/>
      <c r="O13" s="62" t="n"/>
      <c r="Q13" t="inlineStr">
        <is>
          <t>NMPL (HUB)</t>
        </is>
      </c>
      <c r="R13" t="inlineStr">
        <is>
          <t>NMPL HUB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62" t="n"/>
      <c r="L14" s="62" t="n"/>
      <c r="M14" s="62" t="n"/>
      <c r="N14" s="62" t="n"/>
      <c r="O14" s="62" t="n"/>
      <c r="Q14" t="inlineStr">
        <is>
          <t>NMPL 1</t>
        </is>
      </c>
      <c r="R14" t="inlineStr">
        <is>
          <t>NMPL 1</t>
        </is>
      </c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62" t="n"/>
      <c r="L15" s="62" t="n"/>
      <c r="M15" s="62" t="n"/>
      <c r="N15" s="62" t="n"/>
      <c r="O15" s="62" t="n"/>
      <c r="Q15" t="inlineStr">
        <is>
          <t>Rajsriya Automotive</t>
        </is>
      </c>
      <c r="R15" t="inlineStr">
        <is>
          <t>Rajsriya</t>
        </is>
      </c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62" t="n"/>
      <c r="L16" s="62" t="n"/>
      <c r="M16" s="62" t="n"/>
      <c r="N16" s="62" t="n"/>
      <c r="O16" s="62" t="n"/>
      <c r="Q16" t="inlineStr">
        <is>
          <t>Rajsriya Unit 2</t>
        </is>
      </c>
      <c r="R16" t="inlineStr">
        <is>
          <t>Rajsriya</t>
        </is>
      </c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62" t="n"/>
      <c r="L17" s="62" t="n"/>
      <c r="M17" s="62" t="n"/>
      <c r="N17" s="62" t="n"/>
      <c r="O17" s="62" t="n"/>
      <c r="Q17" t="inlineStr">
        <is>
          <t xml:space="preserve">Rajsriya Mysore </t>
        </is>
      </c>
      <c r="R17" t="inlineStr">
        <is>
          <t>Rajsriya</t>
        </is>
      </c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62" t="n"/>
      <c r="L18" s="62" t="n"/>
      <c r="M18" s="62" t="n"/>
      <c r="N18" s="62" t="n"/>
      <c r="O18" s="62" t="n"/>
      <c r="Q18" t="inlineStr">
        <is>
          <t>Rajsriya Unit 1</t>
        </is>
      </c>
      <c r="R18" t="inlineStr">
        <is>
          <t>Rajsriya</t>
        </is>
      </c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62" t="n"/>
      <c r="L19" s="62" t="n"/>
      <c r="M19" s="62" t="n"/>
      <c r="N19" s="62" t="n"/>
      <c r="O19" s="62" t="n"/>
      <c r="Q19" t="inlineStr">
        <is>
          <t>Rajsriya Unit 4</t>
        </is>
      </c>
      <c r="R19" t="inlineStr">
        <is>
          <t>Rajsriya</t>
        </is>
      </c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62" t="n"/>
      <c r="L20" s="62" t="n"/>
      <c r="M20" s="62" t="n"/>
      <c r="N20" s="62" t="n"/>
      <c r="O20" s="62" t="n"/>
      <c r="Q20" t="inlineStr">
        <is>
          <t>Rajsriya Unit 5</t>
        </is>
      </c>
      <c r="R20" t="inlineStr">
        <is>
          <t>Rajsriya</t>
        </is>
      </c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62" t="n"/>
      <c r="L21" s="62" t="n"/>
      <c r="M21" s="62" t="n"/>
      <c r="N21" s="62" t="n"/>
      <c r="O21" s="62" t="n"/>
      <c r="Q21" t="inlineStr">
        <is>
          <t>Rajsriya Unit 8</t>
        </is>
      </c>
      <c r="R21" t="inlineStr">
        <is>
          <t>Rajsriya</t>
        </is>
      </c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62" t="n"/>
      <c r="L22" s="62" t="n"/>
      <c r="M22" s="62" t="n"/>
      <c r="N22" s="62" t="n"/>
      <c r="O22" s="62" t="n"/>
      <c r="Q22" t="inlineStr">
        <is>
          <t>RUCHA</t>
        </is>
      </c>
      <c r="R22" t="inlineStr">
        <is>
          <t>Rucha</t>
        </is>
      </c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62" t="n"/>
      <c r="L23" s="62" t="n"/>
      <c r="M23" s="62" t="n"/>
      <c r="N23" s="62" t="n"/>
      <c r="O23" s="62" t="n"/>
      <c r="Q23" t="inlineStr">
        <is>
          <t>Sandhar Automach</t>
        </is>
      </c>
      <c r="R23" t="inlineStr">
        <is>
          <t>Sandhar Technology</t>
        </is>
      </c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62" t="n"/>
      <c r="L24" s="62" t="n"/>
      <c r="M24" s="62" t="n"/>
      <c r="N24" s="62" t="n"/>
      <c r="O24" s="62" t="n"/>
      <c r="Q24" t="inlineStr">
        <is>
          <t xml:space="preserve">Sandhar Engg Mysore </t>
        </is>
      </c>
      <c r="R24" t="inlineStr">
        <is>
          <t>Sandhar</t>
        </is>
      </c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62" t="n"/>
      <c r="L25" s="62" t="n"/>
      <c r="M25" s="62" t="n"/>
      <c r="N25" s="62" t="n"/>
      <c r="O25" s="62" t="n"/>
      <c r="Q25" t="inlineStr">
        <is>
          <t>SANDHAR ENGINEERING PVT LTD.</t>
        </is>
      </c>
      <c r="R25" t="inlineStr">
        <is>
          <t>Sandhar Engineering Hosur</t>
        </is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62" t="n"/>
      <c r="L26" s="62" t="n"/>
      <c r="M26" s="62" t="n"/>
      <c r="N26" s="62" t="n"/>
      <c r="O26" s="62" t="n"/>
      <c r="Q26" t="inlineStr">
        <is>
          <t>SRI BALAJI GEARS V3</t>
        </is>
      </c>
      <c r="R26" t="inlineStr">
        <is>
          <t>Sri Balaji</t>
        </is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62" t="n"/>
      <c r="L27" s="62" t="n"/>
      <c r="M27" s="62" t="n"/>
      <c r="N27" s="62" t="n"/>
      <c r="O27" s="62" t="n"/>
      <c r="Q27" t="inlineStr">
        <is>
          <t>SRI BALAJI GEARS V4</t>
        </is>
      </c>
      <c r="R27" t="inlineStr">
        <is>
          <t>Sri Balaji</t>
        </is>
      </c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62" t="n"/>
      <c r="L28" s="62" t="n"/>
      <c r="M28" s="62" t="n"/>
      <c r="N28" s="62" t="n"/>
      <c r="O28" s="62" t="n"/>
      <c r="Q28" t="inlineStr">
        <is>
          <t>SRIKAM HITECH</t>
        </is>
      </c>
      <c r="R28" t="inlineStr">
        <is>
          <t>SRIKAM</t>
        </is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62" t="n"/>
      <c r="L29" s="62" t="n"/>
      <c r="M29" s="62" t="n"/>
      <c r="N29" s="62" t="n"/>
      <c r="O29" s="62" t="n"/>
      <c r="Q29" t="inlineStr">
        <is>
          <t>TVS MOTOR COMPANY LIMITED</t>
        </is>
      </c>
      <c r="R29" t="inlineStr">
        <is>
          <t>Tvs</t>
        </is>
      </c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62" t="n"/>
      <c r="L30" s="62" t="n"/>
      <c r="M30" s="62" t="n"/>
      <c r="N30" s="62" t="n"/>
      <c r="O30" s="62" t="n"/>
      <c r="Q30" t="n">
        <v>0</v>
      </c>
      <c r="R30" t="n">
        <v>0</v>
      </c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62" t="n"/>
      <c r="L31" s="62" t="n"/>
      <c r="M31" s="62" t="n"/>
      <c r="N31" s="62" t="n"/>
      <c r="O31" s="62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62" t="n"/>
      <c r="L32" s="62" t="n"/>
      <c r="M32" s="62" t="n"/>
      <c r="N32" s="62" t="n"/>
      <c r="O32" s="62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62" t="n"/>
      <c r="L33" s="62" t="n"/>
      <c r="M33" s="62" t="n"/>
      <c r="N33" s="62" t="n"/>
      <c r="O33" s="62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62" t="n"/>
      <c r="L34" s="62" t="n"/>
      <c r="M34" s="62" t="n"/>
      <c r="N34" s="62" t="n"/>
      <c r="O34" s="62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62" t="n"/>
      <c r="L35" s="62" t="n"/>
      <c r="M35" s="62" t="n"/>
      <c r="N35" s="62" t="n"/>
      <c r="O35" s="62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62" t="n"/>
      <c r="L36" s="62" t="n"/>
      <c r="M36" s="62" t="n"/>
      <c r="N36" s="62" t="n"/>
      <c r="O36" s="62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62" t="n"/>
      <c r="L37" s="62" t="n"/>
      <c r="M37" s="62" t="n"/>
      <c r="N37" s="62" t="n"/>
      <c r="O37" s="62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62" t="n"/>
      <c r="L38" s="62" t="n"/>
      <c r="M38" s="62" t="n"/>
      <c r="N38" s="62" t="n"/>
      <c r="O38" s="62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62" t="n"/>
      <c r="L39" s="62" t="n"/>
      <c r="M39" s="62" t="n"/>
      <c r="N39" s="62" t="n"/>
      <c r="O39" s="62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62" t="n"/>
      <c r="L40" s="62" t="n"/>
      <c r="M40" s="62" t="n"/>
      <c r="N40" s="62" t="n"/>
      <c r="O40" s="62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62" t="n"/>
      <c r="L41" s="62" t="n"/>
      <c r="M41" s="62" t="n"/>
      <c r="N41" s="62" t="n"/>
      <c r="O41" s="62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62" t="n"/>
      <c r="L42" s="62" t="n"/>
      <c r="M42" s="62" t="n"/>
      <c r="N42" s="62" t="n"/>
      <c r="O42" s="62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62" t="n"/>
      <c r="L43" s="62" t="n"/>
      <c r="M43" s="62" t="n"/>
      <c r="N43" s="62" t="n"/>
      <c r="O43" s="62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62" t="n"/>
      <c r="L44" s="62" t="n"/>
      <c r="M44" s="62" t="n"/>
      <c r="N44" s="62" t="n"/>
      <c r="O44" s="62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62" t="n"/>
      <c r="L45" s="62" t="n"/>
      <c r="M45" s="62" t="n"/>
      <c r="N45" s="62" t="n"/>
      <c r="O45" s="62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62" t="n"/>
      <c r="L46" s="62" t="n"/>
      <c r="M46" s="62" t="n"/>
      <c r="N46" s="62" t="n"/>
      <c r="O46" s="62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62" t="n"/>
      <c r="L47" s="62" t="n"/>
      <c r="M47" s="62" t="n"/>
      <c r="N47" s="62" t="n"/>
      <c r="O47" s="62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62" t="n"/>
      <c r="L48" s="62" t="n"/>
      <c r="M48" s="62" t="n"/>
      <c r="N48" s="62" t="n"/>
      <c r="O48" s="62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62" t="n"/>
      <c r="L49" s="62" t="n"/>
      <c r="M49" s="62" t="n"/>
      <c r="N49" s="62" t="n"/>
      <c r="O49" s="62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62" t="n"/>
      <c r="L50" s="62" t="n"/>
      <c r="M50" s="62" t="n"/>
      <c r="N50" s="62" t="n"/>
      <c r="O50" s="62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62" t="n"/>
      <c r="L51" s="62" t="n"/>
      <c r="M51" s="62" t="n"/>
      <c r="N51" s="62" t="n"/>
      <c r="O51" s="62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62" t="n"/>
      <c r="L52" s="62" t="n"/>
      <c r="M52" s="62" t="n"/>
      <c r="N52" s="62" t="n"/>
      <c r="O52" s="62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</sheetData>
  <pageMargins left="0.25" right="0.25" top="0.75" bottom="0.75" header="0.3" footer="0.3"/>
  <pageSetup orientation="landscape" scale="75" fitToHeight="0"/>
  <colBreaks count="1" manualBreakCount="1">
    <brk id="13" min="0" max="1048575" man="1"/>
  </colBreaks>
</worksheet>
</file>

<file path=xl/worksheets/sheet14.xml><?xml version="1.0" encoding="utf-8"?>
<worksheet xmlns="http://schemas.openxmlformats.org/spreadsheetml/2006/main">
  <sheetPr codeName="Sheet12" filterMode="1">
    <outlinePr summaryBelow="1" summaryRight="1"/>
    <pageSetUpPr/>
  </sheetPr>
  <dimension ref="A3:AJ196"/>
  <sheetViews>
    <sheetView workbookViewId="0">
      <pane xSplit="7" ySplit="4" topLeftCell="H73" activePane="bottomRight" state="frozen"/>
      <selection pane="topRight" activeCell="H1" sqref="H1"/>
      <selection pane="bottomLeft" activeCell="A5" sqref="A5"/>
      <selection pane="bottomRight" activeCell="E95" sqref="E95"/>
    </sheetView>
  </sheetViews>
  <sheetFormatPr baseColWidth="8" defaultColWidth="4.140625" defaultRowHeight="15"/>
  <cols>
    <col width="12.42578125" customWidth="1" style="584" min="1" max="1"/>
    <col width="8" customWidth="1" style="584" min="2" max="2"/>
    <col width="6.5703125" customWidth="1" style="584" min="3" max="3"/>
    <col width="9" customWidth="1" style="584" min="4" max="4"/>
    <col width="14" bestFit="1" customWidth="1" style="584" min="5" max="5"/>
    <col width="9.85546875" bestFit="1" customWidth="1" style="584" min="6" max="6"/>
    <col width="32.140625" bestFit="1" customWidth="1" style="584" min="7" max="7"/>
    <col width="33.5703125" bestFit="1" customWidth="1" style="584" min="8" max="35"/>
    <col width="13.5703125" bestFit="1" customWidth="1" style="584" min="36" max="36"/>
    <col width="33.5703125" bestFit="1" customWidth="1" style="584" min="37" max="37"/>
    <col width="13.5703125" bestFit="1" customWidth="1" style="584" min="38" max="38"/>
  </cols>
  <sheetData>
    <row r="3">
      <c r="A3" s="42" t="inlineStr">
        <is>
          <t>Sum of SCHEDULE IN MT</t>
        </is>
      </c>
      <c r="H3" s="42" t="inlineStr">
        <is>
          <t>CUSTOMER NAME</t>
        </is>
      </c>
    </row>
    <row r="4">
      <c r="A4" s="42" t="inlineStr">
        <is>
          <t>ACTUAL OD</t>
        </is>
      </c>
      <c r="B4" s="42" t="inlineStr">
        <is>
          <t>OD</t>
        </is>
      </c>
      <c r="C4" s="42" t="inlineStr">
        <is>
          <t>ID</t>
        </is>
      </c>
      <c r="D4" s="42" t="inlineStr">
        <is>
          <t>TICKNESS</t>
        </is>
      </c>
      <c r="E4" s="42" t="inlineStr">
        <is>
          <t>Grade</t>
        </is>
      </c>
      <c r="F4" s="42" t="inlineStr">
        <is>
          <t>FC/NFC</t>
        </is>
      </c>
      <c r="G4" s="42" t="inlineStr">
        <is>
          <t>Bucket</t>
        </is>
      </c>
      <c r="H4" t="inlineStr">
        <is>
          <t>Balaji press product</t>
        </is>
      </c>
      <c r="I4" t="inlineStr">
        <is>
          <t>ELKAYEM AUTO</t>
        </is>
      </c>
      <c r="J4" t="inlineStr">
        <is>
          <t xml:space="preserve">ELKAYEM AUTO MYSORE </t>
        </is>
      </c>
      <c r="K4" t="inlineStr">
        <is>
          <t>KAY JAY</t>
        </is>
      </c>
      <c r="L4" t="inlineStr">
        <is>
          <t>KNITVEL NEEDLES P LTD</t>
        </is>
      </c>
      <c r="M4" t="inlineStr">
        <is>
          <t>Marathwada</t>
        </is>
      </c>
      <c r="N4" t="inlineStr">
        <is>
          <t>Metalman</t>
        </is>
      </c>
      <c r="O4" t="inlineStr">
        <is>
          <t>Narasipur Auto Component(P)Ltd</t>
        </is>
      </c>
      <c r="P4" t="inlineStr">
        <is>
          <t>Rajsriya Automotive</t>
        </is>
      </c>
      <c r="Q4" t="inlineStr">
        <is>
          <t xml:space="preserve">Rajsriya Mysore </t>
        </is>
      </c>
      <c r="R4" t="inlineStr">
        <is>
          <t>Rajsriya Unit 1</t>
        </is>
      </c>
      <c r="S4" t="inlineStr">
        <is>
          <t>Rajsriya Unit 2</t>
        </is>
      </c>
      <c r="T4" t="inlineStr">
        <is>
          <t>Rajsriya Unit 4</t>
        </is>
      </c>
      <c r="U4" t="inlineStr">
        <is>
          <t>Rajsriya Unit 5</t>
        </is>
      </c>
      <c r="V4" t="inlineStr">
        <is>
          <t>Rajsriya Unit 8</t>
        </is>
      </c>
      <c r="W4" t="inlineStr">
        <is>
          <t>RUCHA</t>
        </is>
      </c>
      <c r="X4" t="inlineStr">
        <is>
          <t>Sandhar Automach</t>
        </is>
      </c>
      <c r="Y4" t="inlineStr">
        <is>
          <t xml:space="preserve">Sandhar Engg Mysore </t>
        </is>
      </c>
      <c r="Z4" t="inlineStr">
        <is>
          <t>SANDHAR ENGINEERING PVT LTD.</t>
        </is>
      </c>
      <c r="AA4" t="inlineStr">
        <is>
          <t>SRIKAM HITECH</t>
        </is>
      </c>
      <c r="AB4" t="inlineStr">
        <is>
          <t>TVS MOTOR COMPANY LIMITED</t>
        </is>
      </c>
      <c r="AC4" t="inlineStr">
        <is>
          <t>SRI BALAJI GEARS V4</t>
        </is>
      </c>
      <c r="AD4" t="inlineStr">
        <is>
          <t>Laxmi</t>
        </is>
      </c>
      <c r="AE4" t="inlineStr">
        <is>
          <t>SRI BALAJI GEARS V7</t>
        </is>
      </c>
      <c r="AF4" t="inlineStr">
        <is>
          <t>Marathwada v7</t>
        </is>
      </c>
      <c r="AG4" t="inlineStr">
        <is>
          <t>Balaji Gears V3</t>
        </is>
      </c>
      <c r="AH4" t="inlineStr">
        <is>
          <t>NMPL TVSM</t>
        </is>
      </c>
      <c r="AI4" t="inlineStr">
        <is>
          <t>NMPL HUB</t>
        </is>
      </c>
      <c r="AJ4" t="inlineStr">
        <is>
          <t>Grand Total</t>
        </is>
      </c>
    </row>
    <row r="5">
      <c r="A5" s="43" t="n">
        <v>12.7</v>
      </c>
      <c r="B5" s="43" t="n">
        <v>12.7</v>
      </c>
      <c r="C5" t="n">
        <v>0</v>
      </c>
      <c r="D5" s="43" t="n">
        <v>1.2</v>
      </c>
      <c r="E5" t="inlineStr">
        <is>
          <t>ERW 1</t>
        </is>
      </c>
      <c r="F5" t="inlineStr">
        <is>
          <t>PE</t>
        </is>
      </c>
      <c r="G5" t="inlineStr">
        <is>
          <t>12.7-0-1.2-ERW 1-PE</t>
        </is>
      </c>
      <c r="H5" s="604" t="n"/>
      <c r="I5" s="604" t="n">
        <v>4.009761285600001</v>
      </c>
      <c r="J5" s="604" t="n"/>
      <c r="K5" s="604" t="n"/>
      <c r="L5" s="604" t="n"/>
      <c r="M5" s="604" t="n"/>
      <c r="N5" s="604" t="n"/>
      <c r="O5" s="604" t="n"/>
      <c r="P5" s="604" t="n"/>
      <c r="Q5" s="604" t="n"/>
      <c r="R5" s="604" t="n"/>
      <c r="S5" s="604" t="n"/>
      <c r="T5" s="604" t="n"/>
      <c r="U5" s="604" t="n"/>
      <c r="V5" s="604" t="n"/>
      <c r="W5" s="604" t="n"/>
      <c r="X5" s="604" t="n">
        <v>0</v>
      </c>
      <c r="Y5" s="604" t="n"/>
      <c r="Z5" s="604" t="n"/>
      <c r="AA5" s="604" t="n">
        <v>2.836902708</v>
      </c>
      <c r="AB5" s="604" t="n"/>
      <c r="AC5" s="604" t="n"/>
      <c r="AD5" s="604" t="n"/>
      <c r="AE5" s="604" t="n"/>
      <c r="AF5" s="604" t="n"/>
      <c r="AG5" s="604" t="n"/>
      <c r="AH5" s="604" t="n"/>
      <c r="AI5" s="604" t="n"/>
      <c r="AJ5" s="604" t="n">
        <v>6.8466639936</v>
      </c>
    </row>
    <row r="6">
      <c r="A6" s="43" t="n">
        <v>12.7</v>
      </c>
      <c r="B6" s="43" t="n">
        <v>12.7</v>
      </c>
      <c r="C6" t="n">
        <v>0</v>
      </c>
      <c r="D6" s="43" t="n">
        <v>1.6</v>
      </c>
      <c r="E6" t="inlineStr">
        <is>
          <t>ERW 1</t>
        </is>
      </c>
      <c r="F6" t="inlineStr">
        <is>
          <t>PE</t>
        </is>
      </c>
      <c r="G6" t="inlineStr">
        <is>
          <t>12.7-0-1.6-ERW 1-PE</t>
        </is>
      </c>
      <c r="H6" s="604" t="n">
        <v>2.8958236776</v>
      </c>
      <c r="I6" s="604" t="n">
        <v>7.349000754</v>
      </c>
      <c r="J6" s="604" t="n"/>
      <c r="K6" s="604" t="n"/>
      <c r="L6" s="604" t="n"/>
      <c r="M6" s="604" t="n"/>
      <c r="N6" s="604" t="n"/>
      <c r="O6" s="604" t="n"/>
      <c r="P6" s="604" t="n">
        <v>0</v>
      </c>
      <c r="Q6" s="604" t="n">
        <v>4.771652016</v>
      </c>
      <c r="R6" s="604" t="n"/>
      <c r="S6" s="604" t="n">
        <v>0.8602106616000001</v>
      </c>
      <c r="T6" s="604" t="n"/>
      <c r="U6" s="604" t="n">
        <v>5.581519559999999</v>
      </c>
      <c r="V6" s="604" t="n"/>
      <c r="W6" s="604" t="n"/>
      <c r="X6" s="604" t="n"/>
      <c r="Y6" s="604" t="n"/>
      <c r="Z6" s="604" t="n"/>
      <c r="AA6" s="604" t="n">
        <v>13.29145857888</v>
      </c>
      <c r="AB6" s="604" t="n"/>
      <c r="AC6" s="604" t="n"/>
      <c r="AD6" s="604" t="n"/>
      <c r="AE6" s="604" t="n"/>
      <c r="AF6" s="604" t="n"/>
      <c r="AG6" s="604" t="n"/>
      <c r="AH6" s="604" t="n">
        <v>0.952141572</v>
      </c>
      <c r="AI6" s="604" t="n"/>
      <c r="AJ6" s="604" t="n">
        <v>35.70180682008</v>
      </c>
    </row>
    <row r="7">
      <c r="A7" s="43" t="n">
        <v>12.7</v>
      </c>
      <c r="B7" s="43" t="n">
        <v>12.7</v>
      </c>
      <c r="C7" t="n">
        <v>0</v>
      </c>
      <c r="D7" s="43" t="n">
        <v>2</v>
      </c>
      <c r="E7" t="inlineStr">
        <is>
          <t>ERW 1</t>
        </is>
      </c>
      <c r="F7" t="inlineStr">
        <is>
          <t>PE</t>
        </is>
      </c>
      <c r="G7" t="inlineStr">
        <is>
          <t>12.7-0-2-ERW 1-PE</t>
        </is>
      </c>
      <c r="H7" s="604" t="n"/>
      <c r="I7" s="604" t="n"/>
      <c r="J7" s="604" t="n"/>
      <c r="K7" s="604" t="n"/>
      <c r="L7" s="604" t="n"/>
      <c r="M7" s="604" t="n"/>
      <c r="N7" s="604" t="n"/>
      <c r="O7" s="604" t="n"/>
      <c r="P7" s="604" t="n"/>
      <c r="Q7" s="604" t="n"/>
      <c r="R7" s="604" t="n"/>
      <c r="S7" s="604" t="n"/>
      <c r="T7" s="604" t="n"/>
      <c r="U7" s="604" t="n"/>
      <c r="V7" s="604" t="n"/>
      <c r="W7" s="604" t="n"/>
      <c r="X7" s="604" t="n"/>
      <c r="Y7" s="604" t="n"/>
      <c r="Z7" s="604" t="n"/>
      <c r="AA7" s="604" t="n"/>
      <c r="AB7" s="604" t="n"/>
      <c r="AC7" s="604" t="n"/>
      <c r="AD7" s="604" t="n"/>
      <c r="AE7" s="604" t="n"/>
      <c r="AF7" s="604" t="n"/>
      <c r="AG7" s="604" t="n"/>
      <c r="AH7" s="604" t="n"/>
      <c r="AI7" s="604" t="n">
        <v>0</v>
      </c>
      <c r="AJ7" s="604" t="n">
        <v>0</v>
      </c>
    </row>
    <row r="8" hidden="1" s="584">
      <c r="A8" s="43" t="n">
        <v>14</v>
      </c>
      <c r="B8" s="43" t="n">
        <v>14</v>
      </c>
      <c r="C8" t="n">
        <v>0</v>
      </c>
      <c r="D8" s="43" t="n">
        <v>1.6</v>
      </c>
      <c r="E8" t="inlineStr">
        <is>
          <t>CEW</t>
        </is>
      </c>
      <c r="F8" t="inlineStr">
        <is>
          <t>CEW</t>
        </is>
      </c>
      <c r="G8" t="inlineStr">
        <is>
          <t>14-0-1.6-CEW-CEW</t>
        </is>
      </c>
      <c r="H8" s="604" t="n"/>
      <c r="I8" s="604" t="n">
        <v>0</v>
      </c>
      <c r="J8" s="604" t="n"/>
      <c r="K8" s="604" t="n"/>
      <c r="L8" s="604" t="n"/>
      <c r="M8" s="604" t="n"/>
      <c r="N8" s="604" t="n"/>
      <c r="O8" s="604" t="n"/>
      <c r="P8" s="604" t="n"/>
      <c r="Q8" s="604" t="n"/>
      <c r="R8" s="604" t="n"/>
      <c r="S8" s="604" t="n"/>
      <c r="T8" s="604" t="n"/>
      <c r="U8" s="604" t="n"/>
      <c r="V8" s="604" t="n"/>
      <c r="W8" s="604" t="n"/>
      <c r="X8" s="604" t="n"/>
      <c r="Y8" s="604" t="n"/>
      <c r="Z8" s="604" t="n"/>
      <c r="AA8" s="604" t="n"/>
      <c r="AB8" s="604" t="n"/>
      <c r="AC8" s="604" t="n"/>
      <c r="AD8" s="604" t="n"/>
      <c r="AE8" s="604" t="n"/>
      <c r="AF8" s="604" t="n"/>
      <c r="AG8" s="604" t="n"/>
      <c r="AH8" s="604" t="n"/>
      <c r="AI8" s="604" t="n"/>
      <c r="AJ8" s="604" t="n">
        <v>0</v>
      </c>
    </row>
    <row r="9">
      <c r="A9" s="43" t="n">
        <v>14</v>
      </c>
      <c r="B9" s="43" t="n">
        <v>14</v>
      </c>
      <c r="C9" t="n">
        <v>0</v>
      </c>
      <c r="D9" s="43" t="n">
        <v>2.45</v>
      </c>
      <c r="E9" t="inlineStr">
        <is>
          <t>CEW</t>
        </is>
      </c>
      <c r="F9" t="inlineStr">
        <is>
          <t>CEW</t>
        </is>
      </c>
      <c r="G9" t="inlineStr">
        <is>
          <t>14-0-2.45-CEW-CEW</t>
        </is>
      </c>
      <c r="H9" s="604" t="n"/>
      <c r="I9" s="604" t="n"/>
      <c r="J9" s="604" t="n"/>
      <c r="K9" s="604" t="n"/>
      <c r="L9" s="604" t="n"/>
      <c r="M9" s="604" t="n"/>
      <c r="N9" s="604" t="n"/>
      <c r="O9" s="604" t="n"/>
      <c r="P9" s="604" t="n"/>
      <c r="Q9" s="604" t="n"/>
      <c r="R9" s="604" t="n"/>
      <c r="S9" s="604" t="n"/>
      <c r="T9" s="604" t="n"/>
      <c r="U9" s="604" t="n"/>
      <c r="V9" s="604" t="n"/>
      <c r="W9" s="604" t="n"/>
      <c r="X9" s="604" t="n"/>
      <c r="Y9" s="604" t="n">
        <v>0</v>
      </c>
      <c r="Z9" s="604" t="n"/>
      <c r="AA9" s="604" t="n"/>
      <c r="AB9" s="604" t="n"/>
      <c r="AC9" s="604" t="n"/>
      <c r="AD9" s="604" t="n"/>
      <c r="AE9" s="604" t="n"/>
      <c r="AF9" s="604" t="n"/>
      <c r="AG9" s="604" t="n"/>
      <c r="AH9" s="604" t="n">
        <v>4.185030465000001</v>
      </c>
      <c r="AI9" s="604" t="n"/>
      <c r="AJ9" s="604" t="n">
        <v>4.185030465000001</v>
      </c>
    </row>
    <row r="10" hidden="1" s="584">
      <c r="A10" s="43" t="n">
        <v>14</v>
      </c>
      <c r="B10" s="43" t="n">
        <v>14</v>
      </c>
      <c r="C10" t="n">
        <v>0</v>
      </c>
      <c r="D10" s="43" t="n">
        <v>2.45</v>
      </c>
      <c r="E10" t="inlineStr">
        <is>
          <t>CEW</t>
        </is>
      </c>
      <c r="F10" t="inlineStr">
        <is>
          <t>(blank)</t>
        </is>
      </c>
      <c r="G10" t="inlineStr">
        <is>
          <t>14-0-2.45-CEW-</t>
        </is>
      </c>
      <c r="H10" s="604" t="n"/>
      <c r="I10" s="604" t="n"/>
      <c r="J10" s="604" t="n"/>
      <c r="K10" s="604" t="n"/>
      <c r="L10" s="604" t="n"/>
      <c r="M10" s="604" t="n"/>
      <c r="N10" s="604" t="n"/>
      <c r="O10" s="604" t="n"/>
      <c r="P10" s="604" t="n"/>
      <c r="Q10" s="604" t="n">
        <v>0</v>
      </c>
      <c r="R10" s="604" t="n"/>
      <c r="S10" s="604" t="n"/>
      <c r="T10" s="604" t="n"/>
      <c r="U10" s="604" t="n"/>
      <c r="V10" s="604" t="n"/>
      <c r="W10" s="604" t="n"/>
      <c r="X10" s="604" t="n"/>
      <c r="Y10" s="604" t="n"/>
      <c r="Z10" s="604" t="n"/>
      <c r="AA10" s="604" t="n"/>
      <c r="AB10" s="604" t="n"/>
      <c r="AC10" s="604" t="n"/>
      <c r="AD10" s="604" t="n"/>
      <c r="AE10" s="604" t="n"/>
      <c r="AF10" s="604" t="n"/>
      <c r="AG10" s="604" t="n"/>
      <c r="AH10" s="604" t="n"/>
      <c r="AI10" s="604" t="n"/>
      <c r="AJ10" s="604" t="n">
        <v>0</v>
      </c>
    </row>
    <row r="11" hidden="1" s="584">
      <c r="A11" s="43" t="n">
        <v>14</v>
      </c>
      <c r="B11" s="43" t="n">
        <v>14</v>
      </c>
      <c r="C11" t="n">
        <v>9.1</v>
      </c>
      <c r="D11" s="43" t="n">
        <v>2.45</v>
      </c>
      <c r="E11" t="inlineStr">
        <is>
          <t>CEW</t>
        </is>
      </c>
      <c r="F11" t="inlineStr">
        <is>
          <t>(blank)</t>
        </is>
      </c>
      <c r="G11" t="inlineStr">
        <is>
          <t>14-9.1-2.45-CEW-</t>
        </is>
      </c>
      <c r="H11" s="604" t="n"/>
      <c r="I11" s="604" t="n"/>
      <c r="J11" s="604" t="n"/>
      <c r="K11" s="604" t="n"/>
      <c r="L11" s="604" t="n"/>
      <c r="M11" s="604" t="n"/>
      <c r="N11" s="604" t="n">
        <v>0</v>
      </c>
      <c r="O11" s="604" t="n"/>
      <c r="P11" s="604" t="n"/>
      <c r="Q11" s="604" t="n"/>
      <c r="R11" s="604" t="n"/>
      <c r="S11" s="604" t="n"/>
      <c r="T11" s="604" t="n"/>
      <c r="U11" s="604" t="n"/>
      <c r="V11" s="604" t="n"/>
      <c r="W11" s="604" t="n"/>
      <c r="X11" s="604" t="n"/>
      <c r="Y11" s="604" t="n"/>
      <c r="Z11" s="604" t="n"/>
      <c r="AA11" s="604" t="n"/>
      <c r="AB11" s="604" t="n"/>
      <c r="AC11" s="604" t="n"/>
      <c r="AD11" s="604" t="n"/>
      <c r="AE11" s="604" t="n"/>
      <c r="AF11" s="604" t="n"/>
      <c r="AG11" s="604" t="n"/>
      <c r="AH11" s="604" t="n"/>
      <c r="AI11" s="604" t="n"/>
      <c r="AJ11" s="604" t="n">
        <v>0</v>
      </c>
    </row>
    <row r="12" hidden="1" s="584">
      <c r="A12" s="43" t="n">
        <v>14</v>
      </c>
      <c r="B12" s="43" t="n">
        <v>14</v>
      </c>
      <c r="C12" t="n">
        <v>10.1</v>
      </c>
      <c r="D12" s="43" t="n">
        <v>1.95</v>
      </c>
      <c r="E12" t="inlineStr">
        <is>
          <t>CEW</t>
        </is>
      </c>
      <c r="F12" t="inlineStr">
        <is>
          <t>CEW</t>
        </is>
      </c>
      <c r="G12" t="inlineStr">
        <is>
          <t>14-10.1-1.95-CEW-CEW</t>
        </is>
      </c>
      <c r="H12" s="604" t="n"/>
      <c r="I12" s="604" t="n"/>
      <c r="J12" s="604" t="n"/>
      <c r="K12" s="604" t="n"/>
      <c r="L12" s="604" t="n"/>
      <c r="M12" s="604" t="n"/>
      <c r="N12" s="604" t="n"/>
      <c r="O12" s="604" t="n"/>
      <c r="P12" s="604" t="n"/>
      <c r="Q12" s="604" t="n"/>
      <c r="R12" s="604" t="n"/>
      <c r="S12" s="604" t="n"/>
      <c r="T12" s="604" t="n"/>
      <c r="U12" s="604" t="n"/>
      <c r="V12" s="604" t="n"/>
      <c r="W12" s="604" t="n"/>
      <c r="X12" s="604" t="n"/>
      <c r="Y12" s="604" t="n"/>
      <c r="Z12" s="604" t="n"/>
      <c r="AA12" s="604" t="n">
        <v>0</v>
      </c>
      <c r="AB12" s="604" t="n"/>
      <c r="AC12" s="604" t="n"/>
      <c r="AD12" s="604" t="n"/>
      <c r="AE12" s="604" t="n"/>
      <c r="AF12" s="604" t="n"/>
      <c r="AG12" s="604" t="n"/>
      <c r="AH12" s="604" t="n"/>
      <c r="AI12" s="604" t="n"/>
      <c r="AJ12" s="604" t="n">
        <v>0</v>
      </c>
    </row>
    <row r="13">
      <c r="A13" s="43" t="n">
        <v>15.88</v>
      </c>
      <c r="B13" s="43" t="n">
        <v>15.88</v>
      </c>
      <c r="C13" t="n">
        <v>0</v>
      </c>
      <c r="D13" s="43" t="n">
        <v>1</v>
      </c>
      <c r="E13" t="inlineStr">
        <is>
          <t>ERW 1</t>
        </is>
      </c>
      <c r="F13" t="inlineStr">
        <is>
          <t>PE</t>
        </is>
      </c>
      <c r="G13" t="inlineStr">
        <is>
          <t>15.88-0-1-ERW 1-PE</t>
        </is>
      </c>
      <c r="H13" s="604" t="n"/>
      <c r="I13" s="604" t="n"/>
      <c r="J13" s="604" t="n"/>
      <c r="K13" s="604" t="n"/>
      <c r="L13" s="604" t="n"/>
      <c r="M13" s="604" t="n">
        <v>20.5826150316</v>
      </c>
      <c r="N13" s="604" t="n"/>
      <c r="O13" s="604" t="n"/>
      <c r="P13" s="604" t="n"/>
      <c r="Q13" s="604" t="n"/>
      <c r="R13" s="604" t="n"/>
      <c r="S13" s="604" t="n"/>
      <c r="T13" s="604" t="n"/>
      <c r="U13" s="604" t="n"/>
      <c r="V13" s="604" t="n"/>
      <c r="W13" s="604" t="n"/>
      <c r="X13" s="604" t="n"/>
      <c r="Y13" s="604" t="n"/>
      <c r="Z13" s="604" t="n"/>
      <c r="AA13" s="604" t="n"/>
      <c r="AB13" s="604" t="n"/>
      <c r="AC13" s="604" t="n"/>
      <c r="AD13" s="604" t="n"/>
      <c r="AE13" s="604" t="n"/>
      <c r="AF13" s="604" t="n"/>
      <c r="AG13" s="604" t="n"/>
      <c r="AH13" s="604" t="n">
        <v>13.72076528208</v>
      </c>
      <c r="AI13" s="604" t="n">
        <v>0.3080927808</v>
      </c>
      <c r="AJ13" s="604" t="n">
        <v>34.61147309448</v>
      </c>
    </row>
    <row r="14">
      <c r="A14" s="43" t="n">
        <v>15.88</v>
      </c>
      <c r="B14" s="43" t="n">
        <v>15.88</v>
      </c>
      <c r="C14" t="n">
        <v>0</v>
      </c>
      <c r="D14" s="43" t="n">
        <v>1</v>
      </c>
      <c r="E14" t="inlineStr">
        <is>
          <t>ERW 1</t>
        </is>
      </c>
      <c r="F14" t="inlineStr">
        <is>
          <t>(blank)</t>
        </is>
      </c>
      <c r="G14" t="inlineStr">
        <is>
          <t>(blank)</t>
        </is>
      </c>
      <c r="H14" s="604" t="n">
        <v>6.668008041600001</v>
      </c>
      <c r="I14" s="604" t="n"/>
      <c r="J14" s="604" t="n"/>
      <c r="K14" s="604" t="n"/>
      <c r="L14" s="604" t="n"/>
      <c r="M14" s="604" t="n"/>
      <c r="N14" s="604" t="n"/>
      <c r="O14" s="604" t="n"/>
      <c r="P14" s="604" t="n"/>
      <c r="Q14" s="604" t="n"/>
      <c r="R14" s="604" t="n"/>
      <c r="S14" s="604" t="n"/>
      <c r="T14" s="604" t="n"/>
      <c r="U14" s="604" t="n"/>
      <c r="V14" s="604" t="n"/>
      <c r="W14" s="604" t="n"/>
      <c r="X14" s="604" t="n"/>
      <c r="Y14" s="604" t="n"/>
      <c r="Z14" s="604" t="n"/>
      <c r="AA14" s="604" t="n"/>
      <c r="AB14" s="604" t="n"/>
      <c r="AC14" s="604" t="n"/>
      <c r="AD14" s="604" t="n"/>
      <c r="AE14" s="604" t="n"/>
      <c r="AF14" s="604" t="n"/>
      <c r="AG14" s="604" t="n"/>
      <c r="AH14" s="604" t="n"/>
      <c r="AI14" s="604" t="n"/>
      <c r="AJ14" s="604" t="n">
        <v>6.668008041600001</v>
      </c>
    </row>
    <row r="15">
      <c r="A15" s="43" t="n">
        <v>15.88</v>
      </c>
      <c r="B15" s="43" t="n">
        <v>15.88</v>
      </c>
      <c r="C15" t="n">
        <v>0</v>
      </c>
      <c r="D15" s="43" t="n">
        <v>1.2</v>
      </c>
      <c r="E15" t="inlineStr">
        <is>
          <t>ERW 1</t>
        </is>
      </c>
      <c r="F15" t="inlineStr">
        <is>
          <t>PE</t>
        </is>
      </c>
      <c r="G15" t="inlineStr">
        <is>
          <t>15.88-0-1.2-ERW 1-PE</t>
        </is>
      </c>
      <c r="H15" s="604" t="n">
        <v>5.514553156800001</v>
      </c>
      <c r="I15" s="604" t="n"/>
      <c r="J15" s="604" t="n"/>
      <c r="K15" s="604" t="n"/>
      <c r="L15" s="604" t="n"/>
      <c r="M15" s="604" t="n"/>
      <c r="N15" s="604" t="n"/>
      <c r="O15" s="604" t="n"/>
      <c r="P15" s="604" t="n"/>
      <c r="Q15" s="604" t="n"/>
      <c r="R15" s="604" t="n"/>
      <c r="S15" s="604" t="n"/>
      <c r="T15" s="604" t="n"/>
      <c r="U15" s="604" t="n"/>
      <c r="V15" s="604" t="n"/>
      <c r="W15" s="604" t="n">
        <v>0</v>
      </c>
      <c r="X15" s="604" t="n"/>
      <c r="Y15" s="604" t="n"/>
      <c r="Z15" s="604" t="n"/>
      <c r="AA15" s="604" t="n">
        <v>11.56753512576</v>
      </c>
      <c r="AB15" s="604" t="n"/>
      <c r="AC15" s="604" t="n">
        <v>0.0651325176</v>
      </c>
      <c r="AD15" s="604" t="n"/>
      <c r="AE15" s="604" t="n">
        <v>0.7815902111999999</v>
      </c>
      <c r="AF15" s="604" t="n"/>
      <c r="AG15" s="604" t="n">
        <v>0.0651325176</v>
      </c>
      <c r="AH15" s="604" t="n"/>
      <c r="AI15" s="604" t="n"/>
      <c r="AJ15" s="604" t="n">
        <v>17.99394352896</v>
      </c>
    </row>
    <row r="16">
      <c r="A16" s="43" t="n">
        <v>15.88</v>
      </c>
      <c r="B16" s="43" t="n">
        <v>15.88</v>
      </c>
      <c r="C16" t="n">
        <v>0</v>
      </c>
      <c r="D16" s="43" t="n">
        <v>1.6</v>
      </c>
      <c r="E16" t="inlineStr">
        <is>
          <t>ERW 1</t>
        </is>
      </c>
      <c r="F16" t="inlineStr">
        <is>
          <t>PE</t>
        </is>
      </c>
      <c r="G16" t="inlineStr">
        <is>
          <t>15.88-0-1.6-ERW 1-PE</t>
        </is>
      </c>
      <c r="H16" s="604" t="n"/>
      <c r="I16" s="604" t="n">
        <v>5.136204810240001</v>
      </c>
      <c r="J16" s="604" t="n">
        <v>2.393516496</v>
      </c>
      <c r="K16" s="604" t="n"/>
      <c r="L16" s="604" t="n"/>
      <c r="M16" s="604" t="n">
        <v>0</v>
      </c>
      <c r="N16" s="604" t="n"/>
      <c r="O16" s="604" t="n"/>
      <c r="P16" s="604" t="n">
        <v>0</v>
      </c>
      <c r="Q16" s="604" t="n"/>
      <c r="R16" s="604" t="n"/>
      <c r="S16" s="604" t="n">
        <v>1.24462857792</v>
      </c>
      <c r="T16" s="604" t="n"/>
      <c r="U16" s="604" t="n">
        <v>1.40795088</v>
      </c>
      <c r="V16" s="604" t="n"/>
      <c r="W16" s="604" t="n"/>
      <c r="X16" s="604" t="n"/>
      <c r="Y16" s="604" t="n"/>
      <c r="Z16" s="604" t="n"/>
      <c r="AA16" s="604" t="n">
        <v>4.8996690624</v>
      </c>
      <c r="AB16" s="604" t="n"/>
      <c r="AC16" s="604" t="n"/>
      <c r="AD16" s="604" t="n"/>
      <c r="AE16" s="604" t="n"/>
      <c r="AF16" s="604" t="n"/>
      <c r="AG16" s="604" t="n"/>
      <c r="AH16" s="604" t="n"/>
      <c r="AI16" s="604" t="n"/>
      <c r="AJ16" s="604" t="n">
        <v>15.08196982656</v>
      </c>
    </row>
    <row r="17">
      <c r="A17" s="43" t="n">
        <v>15.88</v>
      </c>
      <c r="B17" s="43" t="n">
        <v>15.88</v>
      </c>
      <c r="C17" t="n">
        <v>0</v>
      </c>
      <c r="D17" s="43" t="n">
        <v>2</v>
      </c>
      <c r="E17" t="inlineStr">
        <is>
          <t>ERW 1</t>
        </is>
      </c>
      <c r="F17" t="inlineStr">
        <is>
          <t>PE</t>
        </is>
      </c>
      <c r="G17" t="inlineStr">
        <is>
          <t>15.88-0-2-ERW 1-PE</t>
        </is>
      </c>
      <c r="H17" s="604" t="n"/>
      <c r="I17" s="604" t="n">
        <v>0</v>
      </c>
      <c r="J17" s="604" t="n">
        <v>2.469070216416</v>
      </c>
      <c r="K17" s="604" t="n"/>
      <c r="L17" s="604" t="n"/>
      <c r="M17" s="604" t="n"/>
      <c r="N17" s="604" t="n"/>
      <c r="O17" s="604" t="n"/>
      <c r="P17" s="604" t="n"/>
      <c r="Q17" s="604" t="n">
        <v>3.982371316800001</v>
      </c>
      <c r="R17" s="604" t="n">
        <v>0</v>
      </c>
      <c r="S17" s="604" t="n"/>
      <c r="T17" s="604" t="n"/>
      <c r="U17" s="604" t="n"/>
      <c r="V17" s="604" t="n">
        <v>0.9955928292000001</v>
      </c>
      <c r="W17" s="604" t="n">
        <v>0</v>
      </c>
      <c r="X17" s="604" t="n"/>
      <c r="Y17" s="604" t="n"/>
      <c r="Z17" s="604" t="n"/>
      <c r="AA17" s="604" t="n">
        <v>5.38851789</v>
      </c>
      <c r="AB17" s="604" t="n"/>
      <c r="AC17" s="604" t="n"/>
      <c r="AD17" s="604" t="n"/>
      <c r="AE17" s="604" t="n"/>
      <c r="AF17" s="604" t="n"/>
      <c r="AG17" s="604" t="n"/>
      <c r="AH17" s="604" t="n"/>
      <c r="AI17" s="604" t="n"/>
      <c r="AJ17" s="604" t="n">
        <v>12.835552252416</v>
      </c>
    </row>
    <row r="18" hidden="1" s="584">
      <c r="A18" s="43" t="n">
        <v>16.1</v>
      </c>
      <c r="B18" s="43" t="n">
        <v>16.1</v>
      </c>
      <c r="C18" t="n">
        <v>0</v>
      </c>
      <c r="D18" s="43" t="n">
        <v>2</v>
      </c>
      <c r="E18" t="inlineStr">
        <is>
          <t>CEW</t>
        </is>
      </c>
      <c r="F18" t="inlineStr">
        <is>
          <t>CEW</t>
        </is>
      </c>
      <c r="G18" t="inlineStr">
        <is>
          <t>16.1-0-2-CEW-CEW</t>
        </is>
      </c>
      <c r="H18" s="604" t="n"/>
      <c r="I18" s="604" t="n"/>
      <c r="J18" s="604" t="n"/>
      <c r="K18" s="604" t="n"/>
      <c r="L18" s="604" t="n"/>
      <c r="M18" s="604" t="n"/>
      <c r="N18" s="604" t="n"/>
      <c r="O18" s="604" t="n"/>
      <c r="P18" s="604" t="n"/>
      <c r="Q18" s="604" t="n"/>
      <c r="R18" s="604" t="n"/>
      <c r="S18" s="604" t="n"/>
      <c r="T18" s="604" t="n"/>
      <c r="U18" s="604" t="n"/>
      <c r="V18" s="604" t="n"/>
      <c r="W18" s="604" t="n"/>
      <c r="X18" s="604" t="n"/>
      <c r="Y18" s="604" t="n"/>
      <c r="Z18" s="604" t="n"/>
      <c r="AA18" s="604" t="n"/>
      <c r="AB18" s="604" t="n"/>
      <c r="AC18" s="604" t="n"/>
      <c r="AD18" s="604" t="n"/>
      <c r="AE18" s="604" t="n"/>
      <c r="AF18" s="604" t="n"/>
      <c r="AG18" s="604" t="n"/>
      <c r="AH18" s="604" t="n"/>
      <c r="AI18" s="604" t="n">
        <v>0</v>
      </c>
      <c r="AJ18" s="604" t="n">
        <v>0</v>
      </c>
    </row>
    <row r="19">
      <c r="A19" s="43" t="n">
        <v>16.1</v>
      </c>
      <c r="B19" s="43" t="n">
        <v>16.1</v>
      </c>
      <c r="C19" t="n">
        <v>0</v>
      </c>
      <c r="D19" s="43" t="n">
        <v>2.8</v>
      </c>
      <c r="E19" t="inlineStr">
        <is>
          <t>CEW</t>
        </is>
      </c>
      <c r="F19" t="inlineStr">
        <is>
          <t>CEW</t>
        </is>
      </c>
      <c r="G19" t="inlineStr">
        <is>
          <t>16.1-0-2.8-CEW-CEW</t>
        </is>
      </c>
      <c r="H19" s="604" t="n"/>
      <c r="I19" s="604" t="n">
        <v>0</v>
      </c>
      <c r="J19" s="604" t="n"/>
      <c r="K19" s="604" t="n"/>
      <c r="L19" s="604" t="n"/>
      <c r="M19" s="604" t="n"/>
      <c r="N19" s="604" t="n"/>
      <c r="O19" s="604" t="n"/>
      <c r="P19" s="604" t="n">
        <v>0</v>
      </c>
      <c r="Q19" s="604" t="n"/>
      <c r="R19" s="604" t="n"/>
      <c r="S19" s="604" t="n"/>
      <c r="T19" s="604" t="n"/>
      <c r="U19" s="604" t="n"/>
      <c r="V19" s="604" t="n"/>
      <c r="W19" s="604" t="n"/>
      <c r="X19" s="604" t="n"/>
      <c r="Y19" s="604" t="n"/>
      <c r="Z19" s="604" t="n"/>
      <c r="AA19" s="604" t="n"/>
      <c r="AB19" s="604" t="n"/>
      <c r="AC19" s="604" t="n"/>
      <c r="AD19" s="604" t="n"/>
      <c r="AE19" s="604" t="n"/>
      <c r="AF19" s="604" t="n"/>
      <c r="AG19" s="604" t="n"/>
      <c r="AH19" s="604" t="n"/>
      <c r="AI19" s="604" t="n"/>
      <c r="AJ19" s="604" t="n">
        <v>0</v>
      </c>
    </row>
    <row r="20" hidden="1" s="584">
      <c r="A20" s="43" t="n">
        <v>16.1</v>
      </c>
      <c r="B20" s="43" t="n">
        <v>16.1</v>
      </c>
      <c r="C20" t="n">
        <v>0</v>
      </c>
      <c r="D20" s="43" t="n">
        <v>2.8</v>
      </c>
      <c r="E20" t="inlineStr">
        <is>
          <t>CEW</t>
        </is>
      </c>
      <c r="F20" t="inlineStr">
        <is>
          <t>(blank)</t>
        </is>
      </c>
      <c r="G20" t="inlineStr">
        <is>
          <t>(blank)</t>
        </is>
      </c>
      <c r="H20" s="604" t="n"/>
      <c r="I20" s="604" t="n"/>
      <c r="J20" s="604" t="n">
        <v>6.884465699999999</v>
      </c>
      <c r="K20" s="604" t="n"/>
      <c r="L20" s="604" t="n"/>
      <c r="M20" s="604" t="n"/>
      <c r="N20" s="604" t="n"/>
      <c r="O20" s="604" t="n"/>
      <c r="P20" s="604" t="n"/>
      <c r="Q20" s="604" t="n"/>
      <c r="R20" s="604" t="n"/>
      <c r="S20" s="604" t="n"/>
      <c r="T20" s="604" t="n"/>
      <c r="U20" s="604" t="n"/>
      <c r="V20" s="604" t="n"/>
      <c r="W20" s="604" t="n"/>
      <c r="X20" s="604" t="n"/>
      <c r="Y20" s="604" t="n"/>
      <c r="Z20" s="604" t="n"/>
      <c r="AA20" s="604" t="n"/>
      <c r="AB20" s="604" t="n"/>
      <c r="AC20" s="604" t="n"/>
      <c r="AD20" s="604" t="n"/>
      <c r="AE20" s="604" t="n"/>
      <c r="AF20" s="604" t="n"/>
      <c r="AG20" s="604" t="n"/>
      <c r="AH20" s="604" t="n"/>
      <c r="AI20" s="604" t="n"/>
      <c r="AJ20" s="604" t="n">
        <v>6.884465699999999</v>
      </c>
    </row>
    <row r="21" hidden="1" s="584">
      <c r="A21" s="43" t="n">
        <v>16.1</v>
      </c>
      <c r="B21" s="43" t="n">
        <v>16.1</v>
      </c>
      <c r="C21" t="n">
        <v>10.4</v>
      </c>
      <c r="D21" s="43" t="n">
        <v>2.7</v>
      </c>
      <c r="E21" t="inlineStr">
        <is>
          <t>CEW</t>
        </is>
      </c>
      <c r="F21" t="inlineStr">
        <is>
          <t>CEW</t>
        </is>
      </c>
      <c r="G21" t="inlineStr">
        <is>
          <t>16.1-10.4-2.7-CEW-CEW</t>
        </is>
      </c>
      <c r="H21" s="604" t="n"/>
      <c r="I21" s="604" t="n"/>
      <c r="J21" s="604" t="n"/>
      <c r="K21" s="604" t="n"/>
      <c r="L21" s="604" t="n"/>
      <c r="M21" s="604" t="n"/>
      <c r="N21" s="604" t="n"/>
      <c r="O21" s="604" t="n"/>
      <c r="P21" s="604" t="n"/>
      <c r="Q21" s="604" t="n">
        <v>2.675402460000001</v>
      </c>
      <c r="R21" s="604" t="n"/>
      <c r="S21" s="604" t="n"/>
      <c r="T21" s="604" t="n"/>
      <c r="U21" s="604" t="n">
        <v>0</v>
      </c>
      <c r="V21" s="604" t="n"/>
      <c r="W21" s="604" t="n"/>
      <c r="X21" s="604" t="n"/>
      <c r="Y21" s="604" t="n"/>
      <c r="Z21" s="604" t="n"/>
      <c r="AA21" s="604" t="n"/>
      <c r="AB21" s="604" t="n"/>
      <c r="AC21" s="604" t="n"/>
      <c r="AD21" s="604" t="n"/>
      <c r="AE21" s="604" t="n"/>
      <c r="AF21" s="604" t="n"/>
      <c r="AG21" s="604" t="n"/>
      <c r="AH21" s="604" t="n"/>
      <c r="AI21" s="604" t="n"/>
      <c r="AJ21" s="604" t="n">
        <v>2.675402460000001</v>
      </c>
    </row>
    <row r="22" hidden="1" s="584">
      <c r="A22" s="43" t="n">
        <v>16.1</v>
      </c>
      <c r="B22" s="43" t="n">
        <v>16.1</v>
      </c>
      <c r="C22" t="n">
        <v>10.7</v>
      </c>
      <c r="D22" s="43" t="n">
        <v>2.95</v>
      </c>
      <c r="E22" t="inlineStr">
        <is>
          <t>CEW</t>
        </is>
      </c>
      <c r="F22" t="inlineStr">
        <is>
          <t>CEW</t>
        </is>
      </c>
      <c r="G22" t="inlineStr">
        <is>
          <t>16.1-10.7-2.95-CEW-CEW</t>
        </is>
      </c>
      <c r="H22" s="604" t="n"/>
      <c r="I22" s="604" t="n">
        <v>0</v>
      </c>
      <c r="J22" s="604" t="n"/>
      <c r="K22" s="604" t="n"/>
      <c r="L22" s="604" t="n"/>
      <c r="M22" s="604" t="n"/>
      <c r="N22" s="604" t="n"/>
      <c r="O22" s="604" t="n"/>
      <c r="P22" s="604" t="n"/>
      <c r="Q22" s="604" t="n"/>
      <c r="R22" s="604" t="n"/>
      <c r="S22" s="604" t="n"/>
      <c r="T22" s="604" t="n"/>
      <c r="U22" s="604" t="n"/>
      <c r="V22" s="604" t="n"/>
      <c r="W22" s="604" t="n"/>
      <c r="X22" s="604" t="n"/>
      <c r="Y22" s="604" t="n"/>
      <c r="Z22" s="604" t="n"/>
      <c r="AA22" s="604" t="n"/>
      <c r="AB22" s="604" t="n"/>
      <c r="AC22" s="604" t="n"/>
      <c r="AD22" s="604" t="n"/>
      <c r="AE22" s="604" t="n"/>
      <c r="AF22" s="604" t="n"/>
      <c r="AG22" s="604" t="n"/>
      <c r="AH22" s="604" t="n"/>
      <c r="AI22" s="604" t="n"/>
      <c r="AJ22" s="604" t="n">
        <v>0</v>
      </c>
    </row>
    <row r="23">
      <c r="A23" s="43" t="n">
        <v>17.3</v>
      </c>
      <c r="B23" s="43" t="n">
        <v>17.3</v>
      </c>
      <c r="C23" t="n">
        <v>0</v>
      </c>
      <c r="D23" s="43" t="n">
        <v>1.2</v>
      </c>
      <c r="E23" t="inlineStr">
        <is>
          <t>CEW</t>
        </is>
      </c>
      <c r="F23" t="inlineStr">
        <is>
          <t>CEW</t>
        </is>
      </c>
      <c r="G23" t="inlineStr">
        <is>
          <t>17.3-0-1.2-CEW-CEW</t>
        </is>
      </c>
      <c r="H23" s="604" t="n"/>
      <c r="I23" s="604" t="n"/>
      <c r="J23" s="604" t="n"/>
      <c r="K23" s="604" t="n"/>
      <c r="L23" s="604" t="n"/>
      <c r="M23" s="604" t="n"/>
      <c r="N23" s="604" t="n"/>
      <c r="O23" s="604" t="n"/>
      <c r="P23" s="604" t="n">
        <v>0</v>
      </c>
      <c r="Q23" s="604" t="n"/>
      <c r="R23" s="604" t="n"/>
      <c r="S23" s="604" t="n"/>
      <c r="T23" s="604" t="n"/>
      <c r="U23" s="604" t="n"/>
      <c r="V23" s="604" t="n"/>
      <c r="W23" s="604" t="n"/>
      <c r="X23" s="604" t="n"/>
      <c r="Y23" s="604" t="n"/>
      <c r="Z23" s="604" t="n"/>
      <c r="AA23" s="604" t="n"/>
      <c r="AB23" s="604" t="n"/>
      <c r="AC23" s="604" t="n"/>
      <c r="AD23" s="604" t="n"/>
      <c r="AE23" s="604" t="n"/>
      <c r="AF23" s="604" t="n"/>
      <c r="AG23" s="604" t="n"/>
      <c r="AH23" s="604" t="n"/>
      <c r="AI23" s="604" t="n"/>
      <c r="AJ23" s="604" t="n">
        <v>0</v>
      </c>
    </row>
    <row r="24" hidden="1" s="584">
      <c r="A24" s="43" t="n">
        <v>17.3</v>
      </c>
      <c r="B24" s="43" t="n">
        <v>17.3</v>
      </c>
      <c r="C24" t="n">
        <v>0</v>
      </c>
      <c r="D24" s="43" t="n">
        <v>1.2</v>
      </c>
      <c r="E24" t="inlineStr">
        <is>
          <t>CEW</t>
        </is>
      </c>
      <c r="F24" t="inlineStr">
        <is>
          <t>(blank)</t>
        </is>
      </c>
      <c r="G24" t="inlineStr">
        <is>
          <t>17.3-0-1.2-CEW-</t>
        </is>
      </c>
      <c r="H24" s="604" t="n"/>
      <c r="I24" s="604" t="n"/>
      <c r="J24" s="604" t="n"/>
      <c r="K24" s="604" t="n"/>
      <c r="L24" s="604" t="n"/>
      <c r="M24" s="604" t="n"/>
      <c r="N24" s="604" t="n"/>
      <c r="O24" s="604" t="n"/>
      <c r="P24" s="604" t="n"/>
      <c r="Q24" s="604" t="n"/>
      <c r="R24" s="604" t="n"/>
      <c r="S24" s="604" t="n"/>
      <c r="T24" s="604" t="n"/>
      <c r="U24" s="604" t="n"/>
      <c r="V24" s="604" t="n"/>
      <c r="W24" s="604" t="n"/>
      <c r="X24" s="604" t="n"/>
      <c r="Y24" s="604" t="n"/>
      <c r="Z24" s="604" t="n"/>
      <c r="AA24" s="604" t="n"/>
      <c r="AB24" s="604" t="n"/>
      <c r="AC24" s="604" t="n"/>
      <c r="AD24" s="604" t="n"/>
      <c r="AE24" s="604" t="n"/>
      <c r="AF24" s="604" t="n"/>
      <c r="AG24" s="604" t="n"/>
      <c r="AH24" s="604" t="n">
        <v>0</v>
      </c>
      <c r="AI24" s="604" t="n"/>
      <c r="AJ24" s="604" t="n">
        <v>0</v>
      </c>
    </row>
    <row r="25" hidden="1" s="584">
      <c r="A25" s="43" t="n">
        <v>17.3</v>
      </c>
      <c r="B25" s="43" t="n">
        <v>17.3</v>
      </c>
      <c r="C25" t="n">
        <v>0</v>
      </c>
      <c r="D25" s="43" t="n">
        <v>1.2</v>
      </c>
      <c r="E25" t="inlineStr">
        <is>
          <t>ERW 1</t>
        </is>
      </c>
      <c r="F25" t="inlineStr">
        <is>
          <t>PE</t>
        </is>
      </c>
      <c r="G25" t="inlineStr">
        <is>
          <t>17.3-0-1.2-ERW 1-PE</t>
        </is>
      </c>
      <c r="H25" s="604" t="n"/>
      <c r="I25" s="604" t="n"/>
      <c r="J25" s="604" t="n"/>
      <c r="K25" s="604" t="n"/>
      <c r="L25" s="604" t="n"/>
      <c r="M25" s="604" t="n"/>
      <c r="N25" s="604" t="n"/>
      <c r="O25" s="604" t="n"/>
      <c r="P25" s="604" t="n"/>
      <c r="Q25" s="604" t="n"/>
      <c r="R25" s="604" t="n"/>
      <c r="S25" s="604" t="n"/>
      <c r="T25" s="604" t="n"/>
      <c r="U25" s="604" t="n"/>
      <c r="V25" s="604" t="n"/>
      <c r="W25" s="604" t="n"/>
      <c r="X25" s="604" t="n"/>
      <c r="Y25" s="604" t="n"/>
      <c r="Z25" s="604" t="n"/>
      <c r="AA25" s="604" t="n"/>
      <c r="AB25" s="604" t="n"/>
      <c r="AC25" s="604" t="n"/>
      <c r="AD25" s="604" t="n"/>
      <c r="AE25" s="604" t="n"/>
      <c r="AF25" s="604" t="n"/>
      <c r="AG25" s="604" t="n"/>
      <c r="AH25" s="604" t="n">
        <v>0.3571640100000001</v>
      </c>
      <c r="AI25" s="604" t="n">
        <v>1.0857785904</v>
      </c>
      <c r="AJ25" s="604" t="n">
        <v>1.4429426004</v>
      </c>
    </row>
    <row r="26">
      <c r="A26" s="43" t="n">
        <v>17.3</v>
      </c>
      <c r="B26" s="43" t="n">
        <v>17.3</v>
      </c>
      <c r="C26" t="n">
        <v>0</v>
      </c>
      <c r="D26" s="43" t="n">
        <v>1.2</v>
      </c>
      <c r="E26" t="inlineStr">
        <is>
          <t>ERW 1</t>
        </is>
      </c>
      <c r="F26" t="inlineStr">
        <is>
          <t>(blank)</t>
        </is>
      </c>
      <c r="G26" t="inlineStr">
        <is>
          <t>17.3-0-1.2-ERW 1-</t>
        </is>
      </c>
      <c r="H26" s="604" t="n"/>
      <c r="I26" s="604" t="n"/>
      <c r="J26" s="604" t="n"/>
      <c r="K26" s="604" t="n"/>
      <c r="L26" s="604" t="n"/>
      <c r="M26" s="604" t="n"/>
      <c r="N26" s="604" t="n"/>
      <c r="O26" s="604" t="n"/>
      <c r="P26" s="604" t="n"/>
      <c r="Q26" s="604" t="n">
        <v>0</v>
      </c>
      <c r="R26" s="604" t="n"/>
      <c r="S26" s="604" t="n"/>
      <c r="T26" s="604" t="n"/>
      <c r="U26" s="604" t="n"/>
      <c r="V26" s="604" t="n"/>
      <c r="W26" s="604" t="n"/>
      <c r="X26" s="604" t="n"/>
      <c r="Y26" s="604" t="n"/>
      <c r="Z26" s="604" t="n"/>
      <c r="AA26" s="604" t="n"/>
      <c r="AB26" s="604" t="n"/>
      <c r="AC26" s="604" t="n"/>
      <c r="AD26" s="604" t="n"/>
      <c r="AE26" s="604" t="n"/>
      <c r="AF26" s="604" t="n"/>
      <c r="AG26" s="604" t="n"/>
      <c r="AH26" s="604" t="n"/>
      <c r="AI26" s="604" t="n"/>
      <c r="AJ26" s="604" t="n">
        <v>0</v>
      </c>
    </row>
    <row r="27" hidden="1" s="584">
      <c r="A27" s="43" t="n">
        <v>17.3</v>
      </c>
      <c r="B27" s="43" t="n">
        <v>17.3</v>
      </c>
      <c r="C27" t="n">
        <v>0</v>
      </c>
      <c r="D27" s="43" t="n">
        <v>1.6</v>
      </c>
      <c r="E27" t="inlineStr">
        <is>
          <t>CEW</t>
        </is>
      </c>
      <c r="F27" t="inlineStr">
        <is>
          <t>(blank)</t>
        </is>
      </c>
      <c r="G27" t="inlineStr">
        <is>
          <t>17.3-0-1.6-CEW-</t>
        </is>
      </c>
      <c r="H27" s="604" t="n"/>
      <c r="I27" s="604" t="n">
        <v>0</v>
      </c>
      <c r="J27" s="604" t="n"/>
      <c r="K27" s="604" t="n"/>
      <c r="L27" s="604" t="n"/>
      <c r="M27" s="604" t="n"/>
      <c r="N27" s="604" t="n"/>
      <c r="O27" s="604" t="n"/>
      <c r="P27" s="604" t="n"/>
      <c r="Q27" s="604" t="n"/>
      <c r="R27" s="604" t="n"/>
      <c r="S27" s="604" t="n"/>
      <c r="T27" s="604" t="n"/>
      <c r="U27" s="604" t="n"/>
      <c r="V27" s="604" t="n"/>
      <c r="W27" s="604" t="n"/>
      <c r="X27" s="604" t="n"/>
      <c r="Y27" s="604" t="n"/>
      <c r="Z27" s="604" t="n"/>
      <c r="AA27" s="604" t="n"/>
      <c r="AB27" s="604" t="n"/>
      <c r="AC27" s="604" t="n"/>
      <c r="AD27" s="604" t="n"/>
      <c r="AE27" s="604" t="n"/>
      <c r="AF27" s="604" t="n"/>
      <c r="AG27" s="604" t="n"/>
      <c r="AH27" s="604" t="n"/>
      <c r="AI27" s="604" t="n"/>
      <c r="AJ27" s="604" t="n">
        <v>0</v>
      </c>
    </row>
    <row r="28">
      <c r="A28" s="43" t="n">
        <v>17.3</v>
      </c>
      <c r="B28" s="43" t="n">
        <v>17.3</v>
      </c>
      <c r="C28" t="n">
        <v>0</v>
      </c>
      <c r="D28" s="43" t="n">
        <v>1.6</v>
      </c>
      <c r="E28" t="inlineStr">
        <is>
          <t>ERW 1</t>
        </is>
      </c>
      <c r="F28" t="inlineStr">
        <is>
          <t>PE</t>
        </is>
      </c>
      <c r="G28" t="inlineStr">
        <is>
          <t>17.3-0-1.6-ERW 1-PE</t>
        </is>
      </c>
      <c r="H28" s="604" t="n"/>
      <c r="I28" s="604" t="n">
        <v>9.349661488000001</v>
      </c>
      <c r="J28" s="604" t="n"/>
      <c r="K28" s="604" t="n"/>
      <c r="L28" s="604" t="n"/>
      <c r="M28" s="604" t="n">
        <v>0</v>
      </c>
      <c r="N28" s="604" t="n"/>
      <c r="O28" s="604" t="n"/>
      <c r="P28" s="604" t="n"/>
      <c r="Q28" s="604" t="n"/>
      <c r="R28" s="604" t="n"/>
      <c r="S28" s="604" t="n"/>
      <c r="T28" s="604" t="n"/>
      <c r="U28" s="604" t="n"/>
      <c r="V28" s="604" t="n"/>
      <c r="W28" s="604" t="n"/>
      <c r="X28" s="604" t="n"/>
      <c r="Y28" s="604" t="n"/>
      <c r="Z28" s="604" t="n">
        <v>4.396198448</v>
      </c>
      <c r="AA28" s="604" t="n">
        <v>1.981385216</v>
      </c>
      <c r="AB28" s="604" t="n"/>
      <c r="AC28" s="604" t="n"/>
      <c r="AD28" s="604" t="n"/>
      <c r="AE28" s="604" t="n"/>
      <c r="AF28" s="604" t="n"/>
      <c r="AG28" s="604" t="n"/>
      <c r="AH28" s="604" t="n"/>
      <c r="AI28" s="604" t="n"/>
      <c r="AJ28" s="604" t="n">
        <v>15.727245152</v>
      </c>
    </row>
    <row r="29">
      <c r="A29" s="43" t="n">
        <v>18</v>
      </c>
      <c r="B29" s="43" t="n">
        <v>26</v>
      </c>
      <c r="C29" t="n">
        <v>18</v>
      </c>
      <c r="D29" s="43" t="n">
        <v>4</v>
      </c>
      <c r="E29" t="inlineStr">
        <is>
          <t>CEW</t>
        </is>
      </c>
      <c r="F29" t="inlineStr">
        <is>
          <t>(blank)</t>
        </is>
      </c>
      <c r="G29" t="inlineStr">
        <is>
          <t>26-18-4-CEW-</t>
        </is>
      </c>
      <c r="H29" s="604" t="n"/>
      <c r="I29" s="604" t="n"/>
      <c r="J29" s="604" t="n"/>
      <c r="K29" s="604" t="n"/>
      <c r="L29" s="604" t="n"/>
      <c r="M29" s="604" t="n"/>
      <c r="N29" s="604" t="n"/>
      <c r="O29" s="604" t="n">
        <v>0</v>
      </c>
      <c r="P29" s="604" t="n"/>
      <c r="Q29" s="604" t="n"/>
      <c r="R29" s="604" t="n"/>
      <c r="S29" s="604" t="n"/>
      <c r="T29" s="604" t="n"/>
      <c r="U29" s="604" t="n"/>
      <c r="V29" s="604" t="n"/>
      <c r="W29" s="604" t="n"/>
      <c r="X29" s="604" t="n"/>
      <c r="Y29" s="604" t="n"/>
      <c r="Z29" s="604" t="n"/>
      <c r="AA29" s="604" t="n"/>
      <c r="AB29" s="604" t="n"/>
      <c r="AC29" s="604" t="n"/>
      <c r="AD29" s="604" t="n"/>
      <c r="AE29" s="604" t="n"/>
      <c r="AF29" s="604" t="n"/>
      <c r="AG29" s="604" t="n"/>
      <c r="AH29" s="604" t="n"/>
      <c r="AI29" s="604" t="n"/>
      <c r="AJ29" s="604" t="n">
        <v>0</v>
      </c>
    </row>
    <row r="30">
      <c r="A30" s="43" t="n">
        <v>18.2</v>
      </c>
      <c r="B30" s="43" t="n">
        <v>18.2</v>
      </c>
      <c r="C30" t="n">
        <v>0</v>
      </c>
      <c r="D30" s="43" t="n">
        <v>1</v>
      </c>
      <c r="E30" t="inlineStr">
        <is>
          <t>ERW 1</t>
        </is>
      </c>
      <c r="F30" t="inlineStr">
        <is>
          <t>PE</t>
        </is>
      </c>
      <c r="G30" t="inlineStr">
        <is>
          <t>18.2-0-1-ERW 1-PE</t>
        </is>
      </c>
      <c r="H30" s="604" t="n"/>
      <c r="I30" s="604" t="n"/>
      <c r="J30" s="604" t="n"/>
      <c r="K30" s="604" t="n"/>
      <c r="L30" s="604" t="n"/>
      <c r="M30" s="604" t="n"/>
      <c r="N30" s="604" t="n"/>
      <c r="O30" s="604" t="n"/>
      <c r="P30" s="604" t="n"/>
      <c r="Q30" s="604" t="n"/>
      <c r="R30" s="604" t="n"/>
      <c r="S30" s="604" t="n"/>
      <c r="T30" s="604" t="n"/>
      <c r="U30" s="604" t="n"/>
      <c r="V30" s="604" t="n"/>
      <c r="W30" s="604" t="n"/>
      <c r="X30" s="604" t="n"/>
      <c r="Y30" s="604" t="n"/>
      <c r="Z30" s="604" t="n"/>
      <c r="AA30" s="604" t="n"/>
      <c r="AB30" s="604" t="n"/>
      <c r="AC30" s="604" t="n"/>
      <c r="AD30" s="604" t="n"/>
      <c r="AE30" s="604" t="n"/>
      <c r="AF30" s="604" t="n"/>
      <c r="AG30" s="604" t="n"/>
      <c r="AH30" s="604" t="n">
        <v>0.54055257</v>
      </c>
      <c r="AI30" s="604" t="n">
        <v>3.340826864</v>
      </c>
      <c r="AJ30" s="604" t="n">
        <v>3.881379434</v>
      </c>
    </row>
    <row r="31" hidden="1" s="584">
      <c r="A31" s="43" t="n">
        <v>18.2</v>
      </c>
      <c r="B31" s="43" t="n">
        <v>18.2</v>
      </c>
      <c r="C31" t="n">
        <v>12.3</v>
      </c>
      <c r="D31" s="43" t="n">
        <v>2.95</v>
      </c>
      <c r="E31" t="inlineStr">
        <is>
          <t>CEW</t>
        </is>
      </c>
      <c r="F31" t="inlineStr">
        <is>
          <t>CEW</t>
        </is>
      </c>
      <c r="G31" t="inlineStr">
        <is>
          <t>18.2-12.3-2.95-CEW-CEW</t>
        </is>
      </c>
      <c r="H31" s="604" t="n"/>
      <c r="I31" s="604" t="n"/>
      <c r="J31" s="604" t="n"/>
      <c r="K31" s="604" t="n"/>
      <c r="L31" s="604" t="n"/>
      <c r="M31" s="604" t="n"/>
      <c r="N31" s="604" t="n"/>
      <c r="O31" s="604" t="n"/>
      <c r="P31" s="604" t="n"/>
      <c r="Q31" s="604" t="n">
        <v>0</v>
      </c>
      <c r="R31" s="604" t="n"/>
      <c r="S31" s="604" t="n"/>
      <c r="T31" s="604" t="n"/>
      <c r="U31" s="604" t="n">
        <v>2.772242218750001</v>
      </c>
      <c r="V31" s="604" t="n"/>
      <c r="W31" s="604" t="n"/>
      <c r="X31" s="604" t="n"/>
      <c r="Y31" s="604" t="n"/>
      <c r="Z31" s="604" t="n"/>
      <c r="AA31" s="604" t="n"/>
      <c r="AB31" s="604" t="n"/>
      <c r="AC31" s="604" t="n"/>
      <c r="AD31" s="604" t="n"/>
      <c r="AE31" s="604" t="n"/>
      <c r="AF31" s="604" t="n"/>
      <c r="AG31" s="604" t="n"/>
      <c r="AH31" s="604" t="n"/>
      <c r="AI31" s="604" t="n"/>
      <c r="AJ31" s="604" t="n">
        <v>2.772242218750001</v>
      </c>
    </row>
    <row r="32" hidden="1" s="584">
      <c r="A32" s="43" t="n">
        <v>19</v>
      </c>
      <c r="B32" s="43" t="n">
        <v>19</v>
      </c>
      <c r="C32" t="n">
        <v>12.5</v>
      </c>
      <c r="D32" s="43" t="n">
        <v>3.25</v>
      </c>
      <c r="E32" t="inlineStr">
        <is>
          <t>CEW</t>
        </is>
      </c>
      <c r="F32" t="inlineStr">
        <is>
          <t>CEW</t>
        </is>
      </c>
      <c r="G32" t="inlineStr">
        <is>
          <t>19-12.5-3.25-CEW-CEW</t>
        </is>
      </c>
      <c r="H32" s="604" t="n"/>
      <c r="I32" s="604" t="n"/>
      <c r="J32" s="604" t="n"/>
      <c r="K32" s="604" t="n"/>
      <c r="L32" s="604" t="n"/>
      <c r="M32" s="604" t="n"/>
      <c r="N32" s="604" t="n">
        <v>1.3626583425</v>
      </c>
      <c r="O32" s="604" t="n"/>
      <c r="P32" s="604" t="n">
        <v>0</v>
      </c>
      <c r="Q32" s="604" t="n"/>
      <c r="R32" s="604" t="n">
        <v>0</v>
      </c>
      <c r="S32" s="604" t="n"/>
      <c r="T32" s="604" t="n"/>
      <c r="U32" s="604" t="n"/>
      <c r="V32" s="604" t="n">
        <v>9.841421362500002</v>
      </c>
      <c r="W32" s="604" t="n"/>
      <c r="X32" s="604" t="n"/>
      <c r="Y32" s="604" t="n"/>
      <c r="Z32" s="604" t="n"/>
      <c r="AA32" s="604" t="n">
        <v>14.837835285</v>
      </c>
      <c r="AB32" s="604" t="n"/>
      <c r="AC32" s="604" t="n"/>
      <c r="AD32" s="604" t="n"/>
      <c r="AE32" s="604" t="n"/>
      <c r="AF32" s="604" t="n"/>
      <c r="AG32" s="604" t="n"/>
      <c r="AH32" s="604" t="n"/>
      <c r="AI32" s="604" t="n"/>
      <c r="AJ32" s="604" t="n">
        <v>26.04191499</v>
      </c>
    </row>
    <row r="33">
      <c r="A33" s="43" t="n">
        <v>19</v>
      </c>
      <c r="B33" s="43" t="n">
        <v>19</v>
      </c>
      <c r="C33" t="n">
        <v>12.5</v>
      </c>
      <c r="D33" s="43" t="n">
        <v>3.25</v>
      </c>
      <c r="E33" t="inlineStr">
        <is>
          <t>CEW</t>
        </is>
      </c>
      <c r="F33" t="inlineStr">
        <is>
          <t>(blank)</t>
        </is>
      </c>
      <c r="G33" t="inlineStr">
        <is>
          <t>19-12.5-3.25-CEW-</t>
        </is>
      </c>
      <c r="H33" s="604" t="n"/>
      <c r="I33" s="604" t="n"/>
      <c r="J33" s="604" t="n"/>
      <c r="K33" s="604" t="n"/>
      <c r="L33" s="604" t="n"/>
      <c r="M33" s="604" t="n"/>
      <c r="N33" s="604" t="n"/>
      <c r="O33" s="604" t="n"/>
      <c r="P33" s="604" t="n"/>
      <c r="Q33" s="604" t="n"/>
      <c r="R33" s="604" t="n"/>
      <c r="S33" s="604" t="n"/>
      <c r="T33" s="604" t="n"/>
      <c r="U33" s="604" t="n"/>
      <c r="V33" s="604" t="n"/>
      <c r="W33" s="604" t="n"/>
      <c r="X33" s="604" t="n"/>
      <c r="Y33" s="604" t="n"/>
      <c r="Z33" s="604" t="n"/>
      <c r="AA33" s="604" t="n">
        <v>0</v>
      </c>
      <c r="AB33" s="604" t="n"/>
      <c r="AC33" s="604" t="n"/>
      <c r="AD33" s="604" t="n"/>
      <c r="AE33" s="604" t="n"/>
      <c r="AF33" s="604" t="n"/>
      <c r="AG33" s="604" t="n"/>
      <c r="AH33" s="604" t="n"/>
      <c r="AI33" s="604" t="n"/>
      <c r="AJ33" s="604" t="n">
        <v>0</v>
      </c>
    </row>
    <row r="34">
      <c r="A34" s="43" t="n">
        <v>19.05</v>
      </c>
      <c r="B34" s="43" t="n">
        <v>19</v>
      </c>
      <c r="C34" t="n">
        <v>12.5</v>
      </c>
      <c r="D34" s="43" t="n">
        <v>3.25</v>
      </c>
      <c r="E34" t="inlineStr">
        <is>
          <t>CEW</t>
        </is>
      </c>
      <c r="F34" t="inlineStr">
        <is>
          <t>CEW</t>
        </is>
      </c>
      <c r="G34" t="inlineStr">
        <is>
          <t>19-12.5-3.25-CEW-CEW</t>
        </is>
      </c>
      <c r="H34" s="604" t="n"/>
      <c r="I34" s="604" t="n"/>
      <c r="J34" s="604" t="n"/>
      <c r="K34" s="604" t="n"/>
      <c r="L34" s="604" t="n"/>
      <c r="M34" s="604" t="n"/>
      <c r="N34" s="604" t="n"/>
      <c r="O34" s="604" t="n"/>
      <c r="P34" s="604" t="n">
        <v>0</v>
      </c>
      <c r="Q34" s="604" t="n"/>
      <c r="R34" s="604" t="n"/>
      <c r="S34" s="604" t="n"/>
      <c r="T34" s="604" t="n"/>
      <c r="U34" s="604" t="n"/>
      <c r="V34" s="604" t="n"/>
      <c r="W34" s="604" t="n"/>
      <c r="X34" s="604" t="n"/>
      <c r="Y34" s="604" t="n"/>
      <c r="Z34" s="604" t="n"/>
      <c r="AA34" s="604" t="n"/>
      <c r="AB34" s="604" t="n"/>
      <c r="AC34" s="604" t="n"/>
      <c r="AD34" s="604" t="n"/>
      <c r="AE34" s="604" t="n"/>
      <c r="AF34" s="604" t="n"/>
      <c r="AG34" s="604" t="n"/>
      <c r="AH34" s="604" t="n"/>
      <c r="AI34" s="604" t="n"/>
      <c r="AJ34" s="604" t="n">
        <v>0</v>
      </c>
    </row>
    <row r="35">
      <c r="A35" s="43" t="n">
        <v>19.05</v>
      </c>
      <c r="B35" s="43" t="n">
        <v>19.05</v>
      </c>
      <c r="C35" t="n">
        <v>0</v>
      </c>
      <c r="D35" s="43" t="n">
        <v>1</v>
      </c>
      <c r="E35" t="inlineStr">
        <is>
          <t>ERW 1</t>
        </is>
      </c>
      <c r="F35" t="inlineStr">
        <is>
          <t>PE</t>
        </is>
      </c>
      <c r="G35" t="inlineStr">
        <is>
          <t>19.05-0-1-ERW 1-PE</t>
        </is>
      </c>
      <c r="H35" s="604" t="n">
        <v>8.542357440000002</v>
      </c>
      <c r="I35" s="604" t="n"/>
      <c r="J35" s="604" t="n"/>
      <c r="K35" s="604" t="n"/>
      <c r="L35" s="604" t="n"/>
      <c r="M35" s="604" t="n">
        <v>5.3389734</v>
      </c>
      <c r="N35" s="604" t="n"/>
      <c r="O35" s="604" t="n"/>
      <c r="P35" s="604" t="n"/>
      <c r="Q35" s="604" t="n"/>
      <c r="R35" s="604" t="n"/>
      <c r="S35" s="604" t="n"/>
      <c r="T35" s="604" t="n"/>
      <c r="U35" s="604" t="n"/>
      <c r="V35" s="604" t="n"/>
      <c r="W35" s="604" t="n"/>
      <c r="X35" s="604" t="n"/>
      <c r="Y35" s="604" t="n"/>
      <c r="Z35" s="604" t="n"/>
      <c r="AA35" s="604" t="n"/>
      <c r="AB35" s="604" t="n"/>
      <c r="AC35" s="604" t="n"/>
      <c r="AD35" s="604" t="n"/>
      <c r="AE35" s="604" t="n"/>
      <c r="AF35" s="604" t="n"/>
      <c r="AG35" s="604" t="n"/>
      <c r="AH35" s="604" t="n">
        <v>1.948725291</v>
      </c>
      <c r="AI35" s="604" t="n"/>
      <c r="AJ35" s="604" t="n">
        <v>15.830056131</v>
      </c>
    </row>
    <row r="36">
      <c r="A36" s="43" t="n">
        <v>19.05</v>
      </c>
      <c r="B36" s="43" t="n">
        <v>19.05</v>
      </c>
      <c r="C36" t="n">
        <v>0</v>
      </c>
      <c r="D36" s="43" t="n">
        <v>1.2</v>
      </c>
      <c r="E36" t="inlineStr">
        <is>
          <t>CRFH</t>
        </is>
      </c>
      <c r="F36" t="inlineStr">
        <is>
          <t>PE</t>
        </is>
      </c>
      <c r="G36" t="inlineStr">
        <is>
          <t>19.05-0-1.2-CRFH-PE</t>
        </is>
      </c>
      <c r="H36" s="604" t="n"/>
      <c r="I36" s="604" t="n"/>
      <c r="J36" s="604" t="n"/>
      <c r="K36" s="604" t="n"/>
      <c r="L36" s="604" t="n"/>
      <c r="M36" s="604" t="n"/>
      <c r="N36" s="604" t="n"/>
      <c r="O36" s="604" t="n"/>
      <c r="P36" s="604" t="n"/>
      <c r="Q36" s="604" t="n"/>
      <c r="R36" s="604" t="n"/>
      <c r="S36" s="604" t="n"/>
      <c r="T36" s="604" t="n"/>
      <c r="U36" s="604" t="n"/>
      <c r="V36" s="604" t="n"/>
      <c r="W36" s="604" t="n"/>
      <c r="X36" s="604" t="n"/>
      <c r="Y36" s="604" t="n"/>
      <c r="Z36" s="604" t="n"/>
      <c r="AA36" s="604" t="n"/>
      <c r="AB36" s="604" t="n"/>
      <c r="AC36" s="604" t="n">
        <v>0.8941368057300001</v>
      </c>
      <c r="AD36" s="604" t="n"/>
      <c r="AE36" s="604" t="n">
        <v>8.743374964800001</v>
      </c>
      <c r="AF36" s="604" t="n">
        <v>9.935557372440002</v>
      </c>
      <c r="AG36" s="604" t="n"/>
      <c r="AH36" s="604" t="n"/>
      <c r="AI36" s="604" t="n"/>
      <c r="AJ36" s="604" t="n">
        <v>19.57306914297</v>
      </c>
    </row>
    <row r="37" hidden="1" s="584">
      <c r="A37" s="43" t="n">
        <v>19.05</v>
      </c>
      <c r="B37" s="43" t="n">
        <v>19.05</v>
      </c>
      <c r="C37" t="n">
        <v>0</v>
      </c>
      <c r="D37" s="43" t="n">
        <v>1.2</v>
      </c>
      <c r="E37" t="inlineStr">
        <is>
          <t>ERW 1</t>
        </is>
      </c>
      <c r="F37" t="inlineStr">
        <is>
          <t>PE</t>
        </is>
      </c>
      <c r="G37" t="inlineStr">
        <is>
          <t>19.05-0-1.2-ERW 1-PE</t>
        </is>
      </c>
      <c r="H37" s="604" t="n">
        <v>24.30088020108</v>
      </c>
      <c r="I37" s="604" t="n"/>
      <c r="J37" s="604" t="n"/>
      <c r="K37" s="604" t="n"/>
      <c r="L37" s="604" t="n"/>
      <c r="M37" s="604" t="n">
        <v>0</v>
      </c>
      <c r="N37" s="604" t="n"/>
      <c r="O37" s="604" t="n"/>
      <c r="P37" s="604" t="n"/>
      <c r="Q37" s="604" t="n"/>
      <c r="R37" s="604" t="n"/>
      <c r="S37" s="604" t="n"/>
      <c r="T37" s="604" t="n"/>
      <c r="U37" s="604" t="n"/>
      <c r="V37" s="604" t="n"/>
      <c r="W37" s="604" t="n"/>
      <c r="X37" s="604" t="n"/>
      <c r="Y37" s="604" t="n"/>
      <c r="Z37" s="604" t="n">
        <v>8.579700675000002</v>
      </c>
      <c r="AA37" s="604" t="n"/>
      <c r="AB37" s="604" t="n"/>
      <c r="AC37" s="604" t="n"/>
      <c r="AD37" s="604" t="n"/>
      <c r="AE37" s="604" t="n"/>
      <c r="AF37" s="604" t="n"/>
      <c r="AG37" s="604" t="n">
        <v>0.9831017019600001</v>
      </c>
      <c r="AH37" s="604" t="n">
        <v>6.91893461511</v>
      </c>
      <c r="AI37" s="604" t="n"/>
      <c r="AJ37" s="604" t="n">
        <v>40.78261719315</v>
      </c>
    </row>
    <row r="38" hidden="1" s="584">
      <c r="A38" s="43" t="n">
        <v>19.05</v>
      </c>
      <c r="B38" s="43" t="n">
        <v>19.05</v>
      </c>
      <c r="C38" t="n">
        <v>0</v>
      </c>
      <c r="D38" s="43" t="n">
        <v>1.2</v>
      </c>
      <c r="E38" t="inlineStr">
        <is>
          <t>ERW 1</t>
        </is>
      </c>
      <c r="F38" t="inlineStr">
        <is>
          <t>(blank)</t>
        </is>
      </c>
      <c r="G38" t="inlineStr">
        <is>
          <t>(blank)</t>
        </is>
      </c>
      <c r="H38" s="604" t="n">
        <v>4.194813653100001</v>
      </c>
      <c r="I38" s="604" t="n"/>
      <c r="J38" s="604" t="n"/>
      <c r="K38" s="604" t="n"/>
      <c r="L38" s="604" t="n"/>
      <c r="M38" s="604" t="n"/>
      <c r="N38" s="604" t="n"/>
      <c r="O38" s="604" t="n"/>
      <c r="P38" s="604" t="n"/>
      <c r="Q38" s="604" t="n"/>
      <c r="R38" s="604" t="n"/>
      <c r="S38" s="604" t="n"/>
      <c r="T38" s="604" t="n"/>
      <c r="U38" s="604" t="n"/>
      <c r="V38" s="604" t="n"/>
      <c r="W38" s="604" t="n"/>
      <c r="X38" s="604" t="n"/>
      <c r="Y38" s="604" t="n"/>
      <c r="Z38" s="604" t="n"/>
      <c r="AA38" s="604" t="n"/>
      <c r="AB38" s="604" t="n"/>
      <c r="AC38" s="604" t="n"/>
      <c r="AD38" s="604" t="n"/>
      <c r="AE38" s="604" t="n"/>
      <c r="AF38" s="604" t="n"/>
      <c r="AG38" s="604" t="n"/>
      <c r="AH38" s="604" t="n"/>
      <c r="AI38" s="604" t="n"/>
      <c r="AJ38" s="604" t="n">
        <v>4.194813653100001</v>
      </c>
    </row>
    <row r="39" hidden="1" s="584">
      <c r="A39" s="43" t="n">
        <v>19.05</v>
      </c>
      <c r="B39" s="43" t="n">
        <v>19.05</v>
      </c>
      <c r="C39" t="n">
        <v>0</v>
      </c>
      <c r="D39" s="43" t="n">
        <v>1.6</v>
      </c>
      <c r="E39" t="inlineStr">
        <is>
          <t>ERW 1</t>
        </is>
      </c>
      <c r="F39" t="inlineStr">
        <is>
          <t>PE</t>
        </is>
      </c>
      <c r="G39" t="inlineStr">
        <is>
          <t>19.05-0-1.6-ERW 1-PE</t>
        </is>
      </c>
      <c r="H39" s="604" t="n"/>
      <c r="I39" s="604" t="n"/>
      <c r="J39" s="604" t="n"/>
      <c r="K39" s="604" t="n"/>
      <c r="L39" s="604" t="n"/>
      <c r="M39" s="604" t="n"/>
      <c r="N39" s="604" t="n">
        <v>0</v>
      </c>
      <c r="O39" s="604" t="n"/>
      <c r="P39" s="604" t="n"/>
      <c r="Q39" s="604" t="n"/>
      <c r="R39" s="604" t="n"/>
      <c r="S39" s="604" t="n"/>
      <c r="T39" s="604" t="n"/>
      <c r="U39" s="604" t="n"/>
      <c r="V39" s="604" t="n"/>
      <c r="W39" s="604" t="n"/>
      <c r="X39" s="604" t="n"/>
      <c r="Y39" s="604" t="n"/>
      <c r="Z39" s="604" t="n">
        <v>3.2758323808</v>
      </c>
      <c r="AA39" s="604" t="n">
        <v>0</v>
      </c>
      <c r="AB39" s="604" t="n"/>
      <c r="AC39" s="604" t="n"/>
      <c r="AD39" s="604" t="n"/>
      <c r="AE39" s="604" t="n"/>
      <c r="AF39" s="604" t="n"/>
      <c r="AG39" s="604" t="n"/>
      <c r="AH39" s="604" t="n">
        <v>0.8396040975999999</v>
      </c>
      <c r="AI39" s="604" t="n"/>
      <c r="AJ39" s="604" t="n">
        <v>4.115436478399999</v>
      </c>
    </row>
    <row r="40" hidden="1" s="584">
      <c r="A40" s="43" t="n">
        <v>19.05</v>
      </c>
      <c r="B40" s="43" t="n">
        <v>19.05</v>
      </c>
      <c r="C40" t="n">
        <v>0</v>
      </c>
      <c r="D40" s="43" t="n">
        <v>1.6</v>
      </c>
      <c r="E40" t="inlineStr">
        <is>
          <t>ERW 1</t>
        </is>
      </c>
      <c r="F40" t="inlineStr">
        <is>
          <t>(blank)</t>
        </is>
      </c>
      <c r="G40" t="inlineStr">
        <is>
          <t>19.05-0-1.6-ERW 1-</t>
        </is>
      </c>
      <c r="H40" s="604" t="n"/>
      <c r="I40" s="604" t="n"/>
      <c r="J40" s="604" t="n"/>
      <c r="K40" s="604" t="n"/>
      <c r="L40" s="604" t="n"/>
      <c r="M40" s="604" t="n"/>
      <c r="N40" s="604" t="n"/>
      <c r="O40" s="604" t="n"/>
      <c r="P40" s="604" t="n">
        <v>0</v>
      </c>
      <c r="Q40" s="604" t="n"/>
      <c r="R40" s="604" t="n"/>
      <c r="S40" s="604" t="n"/>
      <c r="T40" s="604" t="n"/>
      <c r="U40" s="604" t="n"/>
      <c r="V40" s="604" t="n"/>
      <c r="W40" s="604" t="n"/>
      <c r="X40" s="604" t="n"/>
      <c r="Y40" s="604" t="n"/>
      <c r="Z40" s="604" t="n"/>
      <c r="AA40" s="604" t="n"/>
      <c r="AB40" s="604" t="n"/>
      <c r="AC40" s="604" t="n"/>
      <c r="AD40" s="604" t="n"/>
      <c r="AE40" s="604" t="n"/>
      <c r="AF40" s="604" t="n"/>
      <c r="AG40" s="604" t="n"/>
      <c r="AH40" s="604" t="n">
        <v>0</v>
      </c>
      <c r="AI40" s="604" t="n"/>
      <c r="AJ40" s="604" t="n">
        <v>0</v>
      </c>
    </row>
    <row r="41">
      <c r="A41" s="43" t="n">
        <v>19.05</v>
      </c>
      <c r="B41" s="43" t="n">
        <v>19.05</v>
      </c>
      <c r="C41" t="n">
        <v>0</v>
      </c>
      <c r="D41" s="43" t="n">
        <v>1.6</v>
      </c>
      <c r="E41" t="inlineStr">
        <is>
          <t>ERW 2 MAHS</t>
        </is>
      </c>
      <c r="F41" t="inlineStr">
        <is>
          <t>PE</t>
        </is>
      </c>
      <c r="G41" t="inlineStr">
        <is>
          <t>19.05-0-1.6-ERW 2 MAHS-PE</t>
        </is>
      </c>
      <c r="H41" s="604" t="n"/>
      <c r="I41" s="604" t="n"/>
      <c r="J41" s="604" t="n"/>
      <c r="K41" s="604" t="n"/>
      <c r="L41" s="604" t="n"/>
      <c r="M41" s="604" t="n"/>
      <c r="N41" s="604" t="n"/>
      <c r="O41" s="604" t="n"/>
      <c r="P41" s="604" t="n"/>
      <c r="Q41" s="604" t="n"/>
      <c r="R41" s="604" t="n"/>
      <c r="S41" s="604" t="n"/>
      <c r="T41" s="604" t="n"/>
      <c r="U41" s="604" t="n"/>
      <c r="V41" s="604" t="n">
        <v>0</v>
      </c>
      <c r="W41" s="604" t="n"/>
      <c r="X41" s="604" t="n"/>
      <c r="Y41" s="604" t="n"/>
      <c r="Z41" s="604" t="n"/>
      <c r="AA41" s="604" t="n"/>
      <c r="AB41" s="604" t="n"/>
      <c r="AC41" s="604" t="n"/>
      <c r="AD41" s="604" t="n"/>
      <c r="AE41" s="604" t="n"/>
      <c r="AF41" s="604" t="n"/>
      <c r="AG41" s="604" t="n"/>
      <c r="AH41" s="604" t="n"/>
      <c r="AI41" s="604" t="n"/>
      <c r="AJ41" s="604" t="n">
        <v>0</v>
      </c>
    </row>
    <row r="42">
      <c r="A42" s="43" t="n">
        <v>19.05</v>
      </c>
      <c r="B42" s="43" t="n">
        <v>19.05</v>
      </c>
      <c r="C42" t="n">
        <v>0</v>
      </c>
      <c r="D42" s="43" t="n">
        <v>1.6</v>
      </c>
      <c r="E42" t="inlineStr">
        <is>
          <t>(blank)</t>
        </is>
      </c>
      <c r="F42" t="inlineStr">
        <is>
          <t>(blank)</t>
        </is>
      </c>
      <c r="G42" t="inlineStr">
        <is>
          <t>19.05-0-1.6--</t>
        </is>
      </c>
      <c r="H42" s="604" t="n"/>
      <c r="I42" s="604" t="n">
        <v>0</v>
      </c>
      <c r="J42" s="604" t="n"/>
      <c r="K42" s="604" t="n"/>
      <c r="L42" s="604" t="n"/>
      <c r="M42" s="604" t="n"/>
      <c r="N42" s="604" t="n"/>
      <c r="O42" s="604" t="n"/>
      <c r="P42" s="604" t="n"/>
      <c r="Q42" s="604" t="n"/>
      <c r="R42" s="604" t="n"/>
      <c r="S42" s="604" t="n"/>
      <c r="T42" s="604" t="n"/>
      <c r="U42" s="604" t="n"/>
      <c r="V42" s="604" t="n"/>
      <c r="W42" s="604" t="n">
        <v>0</v>
      </c>
      <c r="X42" s="604" t="n"/>
      <c r="Y42" s="604" t="n"/>
      <c r="Z42" s="604" t="n"/>
      <c r="AA42" s="604" t="n"/>
      <c r="AB42" s="604" t="n"/>
      <c r="AC42" s="604" t="n"/>
      <c r="AD42" s="604" t="n"/>
      <c r="AE42" s="604" t="n"/>
      <c r="AF42" s="604" t="n"/>
      <c r="AG42" s="604" t="n"/>
      <c r="AH42" s="604" t="n"/>
      <c r="AI42" s="604" t="n"/>
      <c r="AJ42" s="604" t="n">
        <v>0</v>
      </c>
    </row>
    <row r="43" hidden="1" s="584">
      <c r="A43" s="43" t="n">
        <v>19.05</v>
      </c>
      <c r="B43" s="43" t="n">
        <v>19.05</v>
      </c>
      <c r="C43" t="n">
        <v>0</v>
      </c>
      <c r="D43" s="43" t="n">
        <v>1.63</v>
      </c>
      <c r="E43" t="inlineStr">
        <is>
          <t>(blank)</t>
        </is>
      </c>
      <c r="F43" t="inlineStr">
        <is>
          <t>(blank)</t>
        </is>
      </c>
      <c r="G43" t="inlineStr">
        <is>
          <t>19.05-0-1.63--</t>
        </is>
      </c>
      <c r="H43" s="604" t="n"/>
      <c r="I43" s="604" t="n">
        <v>0</v>
      </c>
      <c r="J43" s="604" t="n"/>
      <c r="K43" s="604" t="n"/>
      <c r="L43" s="604" t="n"/>
      <c r="M43" s="604" t="n"/>
      <c r="N43" s="604" t="n"/>
      <c r="O43" s="604" t="n"/>
      <c r="P43" s="604" t="n"/>
      <c r="Q43" s="604" t="n"/>
      <c r="R43" s="604" t="n"/>
      <c r="S43" s="604" t="n"/>
      <c r="T43" s="604" t="n"/>
      <c r="U43" s="604" t="n"/>
      <c r="V43" s="604" t="n"/>
      <c r="W43" s="604" t="n"/>
      <c r="X43" s="604" t="n"/>
      <c r="Y43" s="604" t="n"/>
      <c r="Z43" s="604" t="n"/>
      <c r="AA43" s="604" t="n"/>
      <c r="AB43" s="604" t="n"/>
      <c r="AC43" s="604" t="n"/>
      <c r="AD43" s="604" t="n"/>
      <c r="AE43" s="604" t="n"/>
      <c r="AF43" s="604" t="n"/>
      <c r="AG43" s="604" t="n"/>
      <c r="AH43" s="604" t="n"/>
      <c r="AI43" s="604" t="n"/>
      <c r="AJ43" s="604" t="n">
        <v>0</v>
      </c>
    </row>
    <row r="44" hidden="1" s="584">
      <c r="A44" s="43" t="n">
        <v>19.05</v>
      </c>
      <c r="B44" s="43" t="n">
        <v>19.05</v>
      </c>
      <c r="C44" t="n">
        <v>0</v>
      </c>
      <c r="D44" s="43" t="n">
        <v>2</v>
      </c>
      <c r="E44" t="inlineStr">
        <is>
          <t>ERW 1</t>
        </is>
      </c>
      <c r="F44" t="inlineStr">
        <is>
          <t>PE</t>
        </is>
      </c>
      <c r="G44" t="inlineStr">
        <is>
          <t>19.05-0-2-ERW 1-PE</t>
        </is>
      </c>
      <c r="H44" s="604" t="n"/>
      <c r="I44" s="604" t="n">
        <v>1.3574574035</v>
      </c>
      <c r="J44" s="604" t="n"/>
      <c r="K44" s="604" t="n"/>
      <c r="L44" s="604" t="n">
        <v>3.3621236</v>
      </c>
      <c r="M44" s="604" t="n"/>
      <c r="N44" s="604" t="n"/>
      <c r="O44" s="604" t="n"/>
      <c r="P44" s="604" t="n"/>
      <c r="Q44" s="604" t="n">
        <v>10.994144172</v>
      </c>
      <c r="R44" s="604" t="n">
        <v>4.454813769999999</v>
      </c>
      <c r="S44" s="604" t="n">
        <v>4.7876640064</v>
      </c>
      <c r="T44" s="604" t="n"/>
      <c r="U44" s="604" t="n">
        <v>10.994144172</v>
      </c>
      <c r="V44" s="604" t="n">
        <v>3.2570572375</v>
      </c>
      <c r="W44" s="604" t="n">
        <v>0</v>
      </c>
      <c r="X44" s="604" t="n"/>
      <c r="Y44" s="604" t="n"/>
      <c r="Z44" s="604" t="n"/>
      <c r="AA44" s="604" t="n">
        <v>34.251634175</v>
      </c>
      <c r="AB44" s="604" t="n"/>
      <c r="AC44" s="604" t="n"/>
      <c r="AD44" s="604" t="n"/>
      <c r="AE44" s="604" t="n"/>
      <c r="AF44" s="604" t="n"/>
      <c r="AG44" s="604" t="n"/>
      <c r="AH44" s="604" t="n"/>
      <c r="AI44" s="604" t="n"/>
      <c r="AJ44" s="604" t="n">
        <v>73.4590385364</v>
      </c>
    </row>
    <row r="45" hidden="1" s="584">
      <c r="A45" s="43" t="n">
        <v>19.05</v>
      </c>
      <c r="B45" s="43" t="n">
        <v>19.05</v>
      </c>
      <c r="C45" t="n">
        <v>0</v>
      </c>
      <c r="D45" s="43" t="n">
        <v>2</v>
      </c>
      <c r="E45" t="inlineStr">
        <is>
          <t>ERW 1</t>
        </is>
      </c>
      <c r="F45" t="inlineStr">
        <is>
          <t>PE</t>
        </is>
      </c>
      <c r="G45" t="inlineStr">
        <is>
          <t>(blank)</t>
        </is>
      </c>
      <c r="H45" s="604" t="n"/>
      <c r="I45" s="604" t="n"/>
      <c r="J45" s="604" t="n"/>
      <c r="K45" s="604" t="n"/>
      <c r="L45" s="604" t="n"/>
      <c r="M45" s="604" t="n"/>
      <c r="N45" s="604" t="n"/>
      <c r="O45" s="604" t="n"/>
      <c r="P45" s="604" t="n"/>
      <c r="Q45" s="604" t="n"/>
      <c r="R45" s="604" t="n"/>
      <c r="S45" s="604" t="n"/>
      <c r="T45" s="604" t="n"/>
      <c r="U45" s="604" t="n"/>
      <c r="V45" s="604" t="n"/>
      <c r="W45" s="604" t="n"/>
      <c r="X45" s="604" t="n"/>
      <c r="Y45" s="604" t="n"/>
      <c r="Z45" s="604" t="n"/>
      <c r="AA45" s="604" t="n">
        <v>3.5092165075</v>
      </c>
      <c r="AB45" s="604" t="n"/>
      <c r="AC45" s="604" t="n"/>
      <c r="AD45" s="604" t="n"/>
      <c r="AE45" s="604" t="n"/>
      <c r="AF45" s="604" t="n"/>
      <c r="AG45" s="604" t="n"/>
      <c r="AH45" s="604" t="n"/>
      <c r="AI45" s="604" t="n"/>
      <c r="AJ45" s="604" t="n">
        <v>3.5092165075</v>
      </c>
    </row>
    <row r="46">
      <c r="A46" s="43" t="n">
        <v>19.05</v>
      </c>
      <c r="B46" s="43" t="n">
        <v>19.05</v>
      </c>
      <c r="C46" t="n">
        <v>0</v>
      </c>
      <c r="D46" s="43" t="n">
        <v>2</v>
      </c>
      <c r="E46" t="inlineStr">
        <is>
          <t>ERW 1</t>
        </is>
      </c>
      <c r="F46" t="inlineStr">
        <is>
          <t>(blank)</t>
        </is>
      </c>
      <c r="G46" t="inlineStr">
        <is>
          <t>19.05-0-2-ERW 1-</t>
        </is>
      </c>
      <c r="H46" s="604" t="n"/>
      <c r="I46" s="604" t="n"/>
      <c r="J46" s="604" t="n"/>
      <c r="K46" s="604" t="n"/>
      <c r="L46" s="604" t="n"/>
      <c r="M46" s="604" t="n"/>
      <c r="N46" s="604" t="n"/>
      <c r="O46" s="604" t="n"/>
      <c r="P46" s="604" t="n">
        <v>0</v>
      </c>
      <c r="Q46" s="604" t="n">
        <v>0</v>
      </c>
      <c r="R46" s="604" t="n"/>
      <c r="S46" s="604" t="n"/>
      <c r="T46" s="604" t="n"/>
      <c r="U46" s="604" t="n"/>
      <c r="V46" s="604" t="n"/>
      <c r="W46" s="604" t="n"/>
      <c r="X46" s="604" t="n"/>
      <c r="Y46" s="604" t="n"/>
      <c r="Z46" s="604" t="n"/>
      <c r="AA46" s="604" t="n"/>
      <c r="AB46" s="604" t="n"/>
      <c r="AC46" s="604" t="n"/>
      <c r="AD46" s="604" t="n"/>
      <c r="AE46" s="604" t="n"/>
      <c r="AF46" s="604" t="n"/>
      <c r="AG46" s="604" t="n"/>
      <c r="AH46" s="604" t="n"/>
      <c r="AI46" s="604" t="n"/>
      <c r="AJ46" s="604" t="n">
        <v>0</v>
      </c>
    </row>
    <row r="47" hidden="1" s="584">
      <c r="A47" s="43" t="n">
        <v>19.05</v>
      </c>
      <c r="B47" s="43" t="n">
        <v>19.05</v>
      </c>
      <c r="C47" t="n">
        <v>0</v>
      </c>
      <c r="D47" s="43" t="n">
        <v>2</v>
      </c>
      <c r="E47" t="inlineStr">
        <is>
          <t>ERW 1</t>
        </is>
      </c>
      <c r="F47" t="inlineStr">
        <is>
          <t>(blank)</t>
        </is>
      </c>
      <c r="G47" t="inlineStr">
        <is>
          <t>(blank)</t>
        </is>
      </c>
      <c r="H47" s="604" t="n"/>
      <c r="I47" s="604" t="n"/>
      <c r="J47" s="604" t="n"/>
      <c r="K47" s="604" t="n"/>
      <c r="L47" s="604" t="n"/>
      <c r="M47" s="604" t="n"/>
      <c r="N47" s="604" t="n"/>
      <c r="O47" s="604" t="n"/>
      <c r="P47" s="604" t="n"/>
      <c r="Q47" s="604" t="n">
        <v>6.514114475</v>
      </c>
      <c r="R47" s="604" t="n"/>
      <c r="S47" s="604" t="n"/>
      <c r="T47" s="604" t="n"/>
      <c r="U47" s="604" t="n"/>
      <c r="V47" s="604" t="n"/>
      <c r="W47" s="604" t="n"/>
      <c r="X47" s="604" t="n"/>
      <c r="Y47" s="604" t="n"/>
      <c r="Z47" s="604" t="n"/>
      <c r="AA47" s="604" t="n"/>
      <c r="AB47" s="604" t="n"/>
      <c r="AC47" s="604" t="n"/>
      <c r="AD47" s="604" t="n"/>
      <c r="AE47" s="604" t="n"/>
      <c r="AF47" s="604" t="n"/>
      <c r="AG47" s="604" t="n"/>
      <c r="AH47" s="604" t="n"/>
      <c r="AI47" s="604" t="n"/>
      <c r="AJ47" s="604" t="n">
        <v>6.514114475</v>
      </c>
    </row>
    <row r="48" hidden="1" s="584">
      <c r="A48" s="43" t="n">
        <v>19.05</v>
      </c>
      <c r="B48" s="43" t="n">
        <v>19.05</v>
      </c>
      <c r="C48" t="n">
        <v>0</v>
      </c>
      <c r="D48" s="43" t="n">
        <v>2</v>
      </c>
      <c r="E48" t="inlineStr">
        <is>
          <t>(blank)</t>
        </is>
      </c>
      <c r="F48" t="inlineStr">
        <is>
          <t>(blank)</t>
        </is>
      </c>
      <c r="G48" t="inlineStr">
        <is>
          <t>19.05-0-2--</t>
        </is>
      </c>
      <c r="H48" s="604" t="n"/>
      <c r="I48" s="604" t="n"/>
      <c r="J48" s="604" t="n"/>
      <c r="K48" s="604" t="n"/>
      <c r="L48" s="604" t="n"/>
      <c r="M48" s="604" t="n"/>
      <c r="N48" s="604" t="n"/>
      <c r="O48" s="604" t="n"/>
      <c r="P48" s="604" t="n"/>
      <c r="Q48" s="604" t="n"/>
      <c r="R48" s="604" t="n"/>
      <c r="S48" s="604" t="n"/>
      <c r="T48" s="604" t="n"/>
      <c r="U48" s="604" t="n"/>
      <c r="V48" s="604" t="n"/>
      <c r="W48" s="604" t="n"/>
      <c r="X48" s="604" t="n"/>
      <c r="Y48" s="604" t="n"/>
      <c r="Z48" s="604" t="n"/>
      <c r="AA48" s="604" t="n">
        <v>0</v>
      </c>
      <c r="AB48" s="604" t="n"/>
      <c r="AC48" s="604" t="n"/>
      <c r="AD48" s="604" t="n"/>
      <c r="AE48" s="604" t="n"/>
      <c r="AF48" s="604" t="n"/>
      <c r="AG48" s="604" t="n"/>
      <c r="AH48" s="604" t="n"/>
      <c r="AI48" s="604" t="n"/>
      <c r="AJ48" s="604" t="n">
        <v>0</v>
      </c>
    </row>
    <row r="49" hidden="1" s="584">
      <c r="A49" s="43" t="n">
        <v>19.05</v>
      </c>
      <c r="B49" s="43" t="n">
        <v>19.05</v>
      </c>
      <c r="C49" t="n">
        <v>0</v>
      </c>
      <c r="D49" s="43" t="n">
        <v>2.3</v>
      </c>
      <c r="E49" t="inlineStr">
        <is>
          <t>ERW 1</t>
        </is>
      </c>
      <c r="F49" t="inlineStr">
        <is>
          <t>PE</t>
        </is>
      </c>
      <c r="G49" t="inlineStr">
        <is>
          <t>19.05-0-2.3-ERW 1-PE</t>
        </is>
      </c>
      <c r="H49" s="604" t="n"/>
      <c r="I49" s="604" t="n">
        <v>6.576473671987499</v>
      </c>
      <c r="J49" s="604" t="n"/>
      <c r="K49" s="604" t="n"/>
      <c r="L49" s="604" t="n"/>
      <c r="M49" s="604" t="n"/>
      <c r="N49" s="604" t="n"/>
      <c r="O49" s="604" t="n"/>
      <c r="P49" s="604" t="n">
        <v>0</v>
      </c>
      <c r="Q49" s="604" t="n"/>
      <c r="R49" s="604" t="n">
        <v>3.418569809999999</v>
      </c>
      <c r="S49" s="604" t="n">
        <v>7.753506249625001</v>
      </c>
      <c r="T49" s="604" t="n"/>
      <c r="U49" s="604" t="n">
        <v>6.510476282599999</v>
      </c>
      <c r="V49" s="604" t="n"/>
      <c r="W49" s="604" t="n">
        <v>0</v>
      </c>
      <c r="X49" s="604" t="n"/>
      <c r="Y49" s="604" t="n"/>
      <c r="Z49" s="604" t="n">
        <v>3.798410899999999</v>
      </c>
      <c r="AA49" s="604" t="n">
        <v>67.953571001</v>
      </c>
      <c r="AB49" s="604" t="n"/>
      <c r="AC49" s="604" t="n"/>
      <c r="AD49" s="604" t="n"/>
      <c r="AE49" s="604" t="n"/>
      <c r="AF49" s="604" t="n"/>
      <c r="AG49" s="604" t="n"/>
      <c r="AH49" s="604" t="n">
        <v>3.7414347365</v>
      </c>
      <c r="AI49" s="604" t="n"/>
      <c r="AJ49" s="604" t="n">
        <v>99.7524426517125</v>
      </c>
    </row>
    <row r="50" hidden="1" s="584">
      <c r="A50" s="43" t="n">
        <v>19.05</v>
      </c>
      <c r="B50" s="43" t="n">
        <v>19.05</v>
      </c>
      <c r="C50" t="n">
        <v>0</v>
      </c>
      <c r="D50" s="43" t="n">
        <v>2.3</v>
      </c>
      <c r="E50" t="inlineStr">
        <is>
          <t>ERW 1</t>
        </is>
      </c>
      <c r="F50" t="inlineStr">
        <is>
          <t>(blank)</t>
        </is>
      </c>
      <c r="G50" t="inlineStr">
        <is>
          <t>19.05-0-2.3-ERW 1-</t>
        </is>
      </c>
      <c r="H50" s="604" t="n"/>
      <c r="I50" s="604" t="n"/>
      <c r="J50" s="604" t="n"/>
      <c r="K50" s="604" t="n"/>
      <c r="L50" s="604" t="n"/>
      <c r="M50" s="604" t="n"/>
      <c r="N50" s="604" t="n"/>
      <c r="O50" s="604" t="n"/>
      <c r="P50" s="604" t="n">
        <v>0</v>
      </c>
      <c r="Q50" s="604" t="n"/>
      <c r="R50" s="604" t="n"/>
      <c r="S50" s="604" t="n"/>
      <c r="T50" s="604" t="n"/>
      <c r="U50" s="604" t="n"/>
      <c r="V50" s="604" t="n"/>
      <c r="W50" s="604" t="n">
        <v>0</v>
      </c>
      <c r="X50" s="604" t="n"/>
      <c r="Y50" s="604" t="n"/>
      <c r="Z50" s="604" t="n">
        <v>0</v>
      </c>
      <c r="AA50" s="604" t="n"/>
      <c r="AB50" s="604" t="n"/>
      <c r="AC50" s="604" t="n"/>
      <c r="AD50" s="604" t="n"/>
      <c r="AE50" s="604" t="n"/>
      <c r="AF50" s="604" t="n"/>
      <c r="AG50" s="604" t="n"/>
      <c r="AH50" s="604" t="n"/>
      <c r="AI50" s="604" t="n"/>
      <c r="AJ50" s="604" t="n">
        <v>0</v>
      </c>
    </row>
    <row r="51">
      <c r="A51" s="43" t="n">
        <v>19.05</v>
      </c>
      <c r="B51" s="43" t="n">
        <v>19.05</v>
      </c>
      <c r="C51" t="n">
        <v>0</v>
      </c>
      <c r="D51" s="43" t="n">
        <v>2.34</v>
      </c>
      <c r="E51" t="inlineStr">
        <is>
          <t>ERW 1</t>
        </is>
      </c>
      <c r="F51" t="inlineStr">
        <is>
          <t>(blank)</t>
        </is>
      </c>
      <c r="G51" t="inlineStr">
        <is>
          <t>19.05-0-2.34-ERW 1-</t>
        </is>
      </c>
      <c r="H51" s="604" t="n"/>
      <c r="I51" s="604" t="n"/>
      <c r="J51" s="604" t="n"/>
      <c r="K51" s="604" t="n"/>
      <c r="L51" s="604" t="n"/>
      <c r="M51" s="604" t="n"/>
      <c r="N51" s="604" t="n"/>
      <c r="O51" s="604" t="n"/>
      <c r="P51" s="604" t="n">
        <v>0</v>
      </c>
      <c r="Q51" s="604" t="n"/>
      <c r="R51" s="604" t="n"/>
      <c r="S51" s="604" t="n"/>
      <c r="T51" s="604" t="n"/>
      <c r="U51" s="604" t="n"/>
      <c r="V51" s="604" t="n"/>
      <c r="W51" s="604" t="n"/>
      <c r="X51" s="604" t="n"/>
      <c r="Y51" s="604" t="n"/>
      <c r="Z51" s="604" t="n"/>
      <c r="AA51" s="604" t="n">
        <v>0</v>
      </c>
      <c r="AB51" s="604" t="n"/>
      <c r="AC51" s="604" t="n"/>
      <c r="AD51" s="604" t="n"/>
      <c r="AE51" s="604" t="n"/>
      <c r="AF51" s="604" t="n"/>
      <c r="AG51" s="604" t="n"/>
      <c r="AH51" s="604" t="n"/>
      <c r="AI51" s="604" t="n"/>
      <c r="AJ51" s="604" t="n">
        <v>0</v>
      </c>
    </row>
    <row r="52">
      <c r="A52" s="43" t="n">
        <v>19.05</v>
      </c>
      <c r="B52" s="43" t="n">
        <v>19.05</v>
      </c>
      <c r="C52" t="n">
        <v>0</v>
      </c>
      <c r="D52" s="43" t="n">
        <v>2.5</v>
      </c>
      <c r="E52" t="inlineStr">
        <is>
          <t>ERW 2</t>
        </is>
      </c>
      <c r="F52" t="inlineStr">
        <is>
          <t>(blank)</t>
        </is>
      </c>
      <c r="G52" t="inlineStr">
        <is>
          <t>19.05-0-2.5-ERW 2-</t>
        </is>
      </c>
      <c r="H52" s="604" t="n"/>
      <c r="I52" s="604" t="n"/>
      <c r="J52" s="604" t="n"/>
      <c r="K52" s="604" t="n"/>
      <c r="L52" s="604" t="n"/>
      <c r="M52" s="604" t="n"/>
      <c r="N52" s="604" t="n"/>
      <c r="O52" s="604" t="n"/>
      <c r="P52" s="604" t="n">
        <v>0</v>
      </c>
      <c r="Q52" s="604" t="n"/>
      <c r="R52" s="604" t="n"/>
      <c r="S52" s="604" t="n"/>
      <c r="T52" s="604" t="n"/>
      <c r="U52" s="604" t="n"/>
      <c r="V52" s="604" t="n"/>
      <c r="W52" s="604" t="n"/>
      <c r="X52" s="604" t="n"/>
      <c r="Y52" s="604" t="n"/>
      <c r="Z52" s="604" t="n"/>
      <c r="AA52" s="604" t="n"/>
      <c r="AB52" s="604" t="n"/>
      <c r="AC52" s="604" t="n"/>
      <c r="AD52" s="604" t="n"/>
      <c r="AE52" s="604" t="n"/>
      <c r="AF52" s="604" t="n"/>
      <c r="AG52" s="604" t="n"/>
      <c r="AH52" s="604" t="n"/>
      <c r="AI52" s="604" t="n"/>
      <c r="AJ52" s="604" t="n">
        <v>0</v>
      </c>
    </row>
    <row r="53">
      <c r="A53" s="43" t="n">
        <v>20</v>
      </c>
      <c r="B53" s="43" t="n">
        <v>20</v>
      </c>
      <c r="C53" t="n">
        <v>12.4</v>
      </c>
      <c r="D53" s="43" t="n">
        <v>3.8</v>
      </c>
      <c r="E53" t="inlineStr">
        <is>
          <t>CEW</t>
        </is>
      </c>
      <c r="F53" t="inlineStr">
        <is>
          <t>CEW</t>
        </is>
      </c>
      <c r="G53" t="inlineStr">
        <is>
          <t>20-12.4-3.8-CEW-CEW</t>
        </is>
      </c>
      <c r="H53" s="604" t="n"/>
      <c r="I53" s="604" t="n"/>
      <c r="J53" s="604" t="n"/>
      <c r="K53" s="604" t="n"/>
      <c r="L53" s="604" t="n"/>
      <c r="M53" s="604" t="n"/>
      <c r="N53" s="604" t="n"/>
      <c r="O53" s="604" t="n"/>
      <c r="P53" s="604" t="n"/>
      <c r="Q53" s="604" t="n"/>
      <c r="R53" s="604" t="n"/>
      <c r="S53" s="604" t="n"/>
      <c r="T53" s="604" t="n"/>
      <c r="U53" s="604" t="n"/>
      <c r="V53" s="604" t="n"/>
      <c r="W53" s="604" t="n"/>
      <c r="X53" s="604" t="n"/>
      <c r="Y53" s="604" t="n">
        <v>0</v>
      </c>
      <c r="Z53" s="604" t="n"/>
      <c r="AA53" s="604" t="n"/>
      <c r="AB53" s="604" t="n"/>
      <c r="AC53" s="604" t="n"/>
      <c r="AD53" s="604" t="n"/>
      <c r="AE53" s="604" t="n"/>
      <c r="AF53" s="604" t="n"/>
      <c r="AG53" s="604" t="n"/>
      <c r="AH53" s="604" t="n"/>
      <c r="AI53" s="604" t="n"/>
      <c r="AJ53" s="604" t="n">
        <v>0</v>
      </c>
    </row>
    <row r="54" hidden="1" s="584">
      <c r="A54" s="43" t="n">
        <v>20</v>
      </c>
      <c r="B54" s="43" t="n">
        <v>20</v>
      </c>
      <c r="C54" t="n">
        <v>12.4</v>
      </c>
      <c r="D54" s="43" t="n">
        <v>4.5</v>
      </c>
      <c r="E54" t="inlineStr">
        <is>
          <t>CEW</t>
        </is>
      </c>
      <c r="F54" t="inlineStr">
        <is>
          <t>CEW</t>
        </is>
      </c>
      <c r="G54" t="inlineStr">
        <is>
          <t>20-12.4-4.5-CEW-CEW</t>
        </is>
      </c>
      <c r="H54" s="604" t="n"/>
      <c r="I54" s="604" t="n"/>
      <c r="J54" s="604" t="n"/>
      <c r="K54" s="604" t="n"/>
      <c r="L54" s="604" t="n"/>
      <c r="M54" s="604" t="n"/>
      <c r="N54" s="604" t="n"/>
      <c r="O54" s="604" t="n"/>
      <c r="P54" s="604" t="n"/>
      <c r="Q54" s="604" t="n"/>
      <c r="R54" s="604" t="n"/>
      <c r="S54" s="604" t="n"/>
      <c r="T54" s="604" t="n"/>
      <c r="U54" s="604" t="n"/>
      <c r="V54" s="604" t="n"/>
      <c r="W54" s="604" t="n"/>
      <c r="X54" s="604" t="n"/>
      <c r="Y54" s="604" t="n">
        <v>0</v>
      </c>
      <c r="Z54" s="604" t="n"/>
      <c r="AA54" s="604" t="n"/>
      <c r="AB54" s="604" t="n"/>
      <c r="AC54" s="604" t="n"/>
      <c r="AD54" s="604" t="n"/>
      <c r="AE54" s="604" t="n"/>
      <c r="AF54" s="604" t="n"/>
      <c r="AG54" s="604" t="n"/>
      <c r="AH54" s="604" t="n"/>
      <c r="AI54" s="604" t="n">
        <v>3.4385355</v>
      </c>
      <c r="AJ54" s="604" t="n">
        <v>3.4385355</v>
      </c>
    </row>
    <row r="55" hidden="1" s="584">
      <c r="A55" s="43" t="n">
        <v>20</v>
      </c>
      <c r="B55" s="43" t="n">
        <v>20</v>
      </c>
      <c r="C55" t="n">
        <v>17.16</v>
      </c>
      <c r="D55" s="43" t="n">
        <v>1.42</v>
      </c>
      <c r="E55" t="inlineStr">
        <is>
          <t>CEW</t>
        </is>
      </c>
      <c r="F55" t="inlineStr">
        <is>
          <t>CEW</t>
        </is>
      </c>
      <c r="G55" t="inlineStr">
        <is>
          <t>20-17.16-1.42-CEW-CEW</t>
        </is>
      </c>
      <c r="H55" s="604" t="n"/>
      <c r="I55" s="604" t="n"/>
      <c r="J55" s="604" t="n"/>
      <c r="K55" s="604" t="n"/>
      <c r="L55" s="604" t="n"/>
      <c r="M55" s="604" t="n"/>
      <c r="N55" s="604" t="n"/>
      <c r="O55" s="604" t="n"/>
      <c r="P55" s="604" t="n"/>
      <c r="Q55" s="604" t="n"/>
      <c r="R55" s="604" t="n"/>
      <c r="S55" s="604" t="n"/>
      <c r="T55" s="604" t="n"/>
      <c r="U55" s="604" t="n"/>
      <c r="V55" s="604" t="n"/>
      <c r="W55" s="604" t="n"/>
      <c r="X55" s="604" t="n"/>
      <c r="Y55" s="604" t="n"/>
      <c r="Z55" s="604" t="n"/>
      <c r="AA55" s="604" t="n"/>
      <c r="AB55" s="604" t="n"/>
      <c r="AC55" s="604" t="n"/>
      <c r="AD55" s="604" t="n">
        <v>2.4855588001608</v>
      </c>
      <c r="AE55" s="604" t="n"/>
      <c r="AF55" s="604" t="n"/>
      <c r="AG55" s="604" t="n"/>
      <c r="AH55" s="604" t="n">
        <v>3.550798285943999</v>
      </c>
      <c r="AI55" s="604" t="n"/>
      <c r="AJ55" s="604" t="n">
        <v>6.036357086104799</v>
      </c>
    </row>
    <row r="56" hidden="1" s="584">
      <c r="A56" s="43" t="n">
        <v>21.7</v>
      </c>
      <c r="B56" s="43" t="n">
        <v>21.7</v>
      </c>
      <c r="C56" t="n">
        <v>16.2</v>
      </c>
      <c r="D56" s="43" t="n">
        <v>2.75</v>
      </c>
      <c r="E56" t="inlineStr">
        <is>
          <t>CEW</t>
        </is>
      </c>
      <c r="F56" t="inlineStr">
        <is>
          <t>CEW</t>
        </is>
      </c>
      <c r="G56" t="inlineStr">
        <is>
          <t>21.7-16.2-2.75-CEW-CEW</t>
        </is>
      </c>
      <c r="H56" s="604" t="n"/>
      <c r="I56" s="604" t="n"/>
      <c r="J56" s="604" t="n"/>
      <c r="K56" s="604" t="n"/>
      <c r="L56" s="604" t="n"/>
      <c r="M56" s="604" t="n"/>
      <c r="N56" s="604" t="n"/>
      <c r="O56" s="604" t="n"/>
      <c r="P56" s="604" t="n"/>
      <c r="Q56" s="604" t="n"/>
      <c r="R56" s="604" t="n"/>
      <c r="S56" s="604" t="n"/>
      <c r="T56" s="604" t="n"/>
      <c r="U56" s="604" t="n">
        <v>1.92678151875</v>
      </c>
      <c r="V56" s="604" t="n"/>
      <c r="W56" s="604" t="n"/>
      <c r="X56" s="604" t="n"/>
      <c r="Y56" s="604" t="n"/>
      <c r="Z56" s="604" t="n"/>
      <c r="AA56" s="604" t="n">
        <v>0</v>
      </c>
      <c r="AB56" s="604" t="n"/>
      <c r="AC56" s="604" t="n"/>
      <c r="AD56" s="604" t="n"/>
      <c r="AE56" s="604" t="n"/>
      <c r="AF56" s="604" t="n"/>
      <c r="AG56" s="604" t="n"/>
      <c r="AH56" s="604" t="n">
        <v>0</v>
      </c>
      <c r="AI56" s="604" t="n"/>
      <c r="AJ56" s="604" t="n">
        <v>1.92678151875</v>
      </c>
    </row>
    <row r="57">
      <c r="A57" s="43" t="n">
        <v>21.75</v>
      </c>
      <c r="B57" s="43" t="n">
        <v>21.75</v>
      </c>
      <c r="C57" t="n">
        <v>0</v>
      </c>
      <c r="D57" s="43" t="n">
        <v>3.5</v>
      </c>
      <c r="E57" t="inlineStr">
        <is>
          <t>CEW</t>
        </is>
      </c>
      <c r="F57" t="inlineStr">
        <is>
          <t>CEW</t>
        </is>
      </c>
      <c r="G57" t="inlineStr">
        <is>
          <t>21.75-0-3.5-CEW-CEW</t>
        </is>
      </c>
      <c r="H57" s="604" t="n"/>
      <c r="I57" s="604" t="n"/>
      <c r="J57" s="604" t="n"/>
      <c r="K57" s="604" t="n"/>
      <c r="L57" s="604" t="n"/>
      <c r="M57" s="604" t="n"/>
      <c r="N57" s="604" t="n"/>
      <c r="O57" s="604" t="n"/>
      <c r="P57" s="604" t="n"/>
      <c r="Q57" s="604" t="n"/>
      <c r="R57" s="604" t="n"/>
      <c r="S57" s="604" t="n"/>
      <c r="T57" s="604" t="n"/>
      <c r="U57" s="604" t="n"/>
      <c r="V57" s="604" t="n"/>
      <c r="W57" s="604" t="n"/>
      <c r="X57" s="604" t="n"/>
      <c r="Y57" s="604" t="n">
        <v>0</v>
      </c>
      <c r="Z57" s="604" t="n"/>
      <c r="AA57" s="604" t="n"/>
      <c r="AB57" s="604" t="n"/>
      <c r="AC57" s="604" t="n"/>
      <c r="AD57" s="604" t="n"/>
      <c r="AE57" s="604" t="n"/>
      <c r="AF57" s="604" t="n"/>
      <c r="AG57" s="604" t="n"/>
      <c r="AH57" s="604" t="n">
        <v>0</v>
      </c>
      <c r="AI57" s="604" t="n"/>
      <c r="AJ57" s="604" t="n">
        <v>0</v>
      </c>
    </row>
    <row r="58" hidden="1" s="584">
      <c r="A58" s="43" t="n">
        <v>21.75</v>
      </c>
      <c r="B58" s="43" t="n">
        <v>21.75</v>
      </c>
      <c r="C58" t="n">
        <v>0</v>
      </c>
      <c r="D58" s="43" t="n">
        <v>3.5</v>
      </c>
      <c r="E58" t="inlineStr">
        <is>
          <t>CEW</t>
        </is>
      </c>
      <c r="F58" t="inlineStr">
        <is>
          <t>(blank)</t>
        </is>
      </c>
      <c r="G58" t="inlineStr">
        <is>
          <t>21.75-0-3.5-CEW-</t>
        </is>
      </c>
      <c r="H58" s="604" t="n"/>
      <c r="I58" s="604" t="n"/>
      <c r="J58" s="604" t="n"/>
      <c r="K58" s="604" t="n"/>
      <c r="L58" s="604" t="n"/>
      <c r="M58" s="604" t="n"/>
      <c r="N58" s="604" t="n">
        <v>0</v>
      </c>
      <c r="O58" s="604" t="n"/>
      <c r="P58" s="604" t="n"/>
      <c r="Q58" s="604" t="n">
        <v>0</v>
      </c>
      <c r="R58" s="604" t="n"/>
      <c r="S58" s="604" t="n"/>
      <c r="T58" s="604" t="n"/>
      <c r="U58" s="604" t="n"/>
      <c r="V58" s="604" t="n"/>
      <c r="W58" s="604" t="n"/>
      <c r="X58" s="604" t="n"/>
      <c r="Y58" s="604" t="n"/>
      <c r="Z58" s="604" t="n"/>
      <c r="AA58" s="604" t="n"/>
      <c r="AB58" s="604" t="n"/>
      <c r="AC58" s="604" t="n"/>
      <c r="AD58" s="604" t="n"/>
      <c r="AE58" s="604" t="n"/>
      <c r="AF58" s="604" t="n"/>
      <c r="AG58" s="604" t="n"/>
      <c r="AH58" s="604" t="n"/>
      <c r="AI58" s="604" t="n"/>
      <c r="AJ58" s="604" t="n">
        <v>0</v>
      </c>
    </row>
    <row r="59" hidden="1" s="584">
      <c r="A59" s="43" t="n">
        <v>22.23</v>
      </c>
      <c r="B59" s="43" t="n">
        <v>22.2</v>
      </c>
      <c r="C59" t="n">
        <v>0</v>
      </c>
      <c r="D59" s="43" t="n">
        <v>1.2</v>
      </c>
      <c r="E59" t="inlineStr">
        <is>
          <t>(blank)</t>
        </is>
      </c>
      <c r="F59" t="inlineStr">
        <is>
          <t>(blank)</t>
        </is>
      </c>
      <c r="G59" t="inlineStr">
        <is>
          <t>22.2-0-1.2--</t>
        </is>
      </c>
      <c r="H59" s="604" t="n"/>
      <c r="I59" s="604" t="n"/>
      <c r="J59" s="604" t="n"/>
      <c r="K59" s="604" t="n"/>
      <c r="L59" s="604" t="n"/>
      <c r="M59" s="604" t="n"/>
      <c r="N59" s="604" t="n"/>
      <c r="O59" s="604" t="n"/>
      <c r="P59" s="604" t="n">
        <v>0</v>
      </c>
      <c r="Q59" s="604" t="n"/>
      <c r="R59" s="604" t="n"/>
      <c r="S59" s="604" t="n"/>
      <c r="T59" s="604" t="n"/>
      <c r="U59" s="604" t="n"/>
      <c r="V59" s="604" t="n"/>
      <c r="W59" s="604" t="n"/>
      <c r="X59" s="604" t="n"/>
      <c r="Y59" s="604" t="n"/>
      <c r="Z59" s="604" t="n"/>
      <c r="AA59" s="604" t="n"/>
      <c r="AB59" s="604" t="n"/>
      <c r="AC59" s="604" t="n"/>
      <c r="AD59" s="604" t="n"/>
      <c r="AE59" s="604" t="n"/>
      <c r="AF59" s="604" t="n"/>
      <c r="AG59" s="604" t="n"/>
      <c r="AH59" s="604" t="n"/>
      <c r="AI59" s="604" t="n"/>
      <c r="AJ59" s="604" t="n">
        <v>0</v>
      </c>
    </row>
    <row r="60">
      <c r="A60" s="43" t="n">
        <v>22.23</v>
      </c>
      <c r="B60" s="43" t="n">
        <v>22.23</v>
      </c>
      <c r="C60" t="n">
        <v>0</v>
      </c>
      <c r="D60" s="43" t="n">
        <v>1.2</v>
      </c>
      <c r="E60" t="inlineStr">
        <is>
          <t>ERW 1</t>
        </is>
      </c>
      <c r="F60" t="inlineStr">
        <is>
          <t>PE</t>
        </is>
      </c>
      <c r="G60" t="inlineStr">
        <is>
          <t>22.23-0-1.2-ERW 1-PE</t>
        </is>
      </c>
      <c r="H60" s="604" t="n"/>
      <c r="I60" s="604" t="n">
        <v>6.505316951112</v>
      </c>
      <c r="J60" s="604" t="n"/>
      <c r="K60" s="604" t="n"/>
      <c r="L60" s="604" t="n"/>
      <c r="M60" s="604" t="n"/>
      <c r="N60" s="604" t="n"/>
      <c r="O60" s="604" t="n"/>
      <c r="P60" s="604" t="n"/>
      <c r="Q60" s="604" t="n"/>
      <c r="R60" s="604" t="n"/>
      <c r="S60" s="604" t="n">
        <v>0</v>
      </c>
      <c r="T60" s="604" t="n">
        <v>3.596025750084001</v>
      </c>
      <c r="U60" s="604" t="n"/>
      <c r="V60" s="604" t="n"/>
      <c r="W60" s="604" t="n"/>
      <c r="X60" s="604" t="n">
        <v>2.478215981376001</v>
      </c>
      <c r="Y60" s="604" t="n"/>
      <c r="Z60" s="604" t="n">
        <v>0</v>
      </c>
      <c r="AA60" s="604" t="n">
        <v>8.136311505120002</v>
      </c>
      <c r="AB60" s="604" t="n"/>
      <c r="AC60" s="604" t="n"/>
      <c r="AD60" s="604" t="n"/>
      <c r="AE60" s="604" t="n"/>
      <c r="AF60" s="604" t="n"/>
      <c r="AG60" s="604" t="n"/>
      <c r="AH60" s="604" t="n"/>
      <c r="AI60" s="604" t="n">
        <v>0.52251541776</v>
      </c>
      <c r="AJ60" s="604" t="n">
        <v>21.23838560545201</v>
      </c>
    </row>
    <row r="61" hidden="1" s="584">
      <c r="A61" s="43" t="n">
        <v>22.23</v>
      </c>
      <c r="B61" s="43" t="n">
        <v>22.23</v>
      </c>
      <c r="C61" t="n">
        <v>0</v>
      </c>
      <c r="D61" s="43" t="n">
        <v>1.2</v>
      </c>
      <c r="E61" t="inlineStr">
        <is>
          <t>ERW 1</t>
        </is>
      </c>
      <c r="F61" t="inlineStr">
        <is>
          <t>(blank)</t>
        </is>
      </c>
      <c r="G61" t="inlineStr">
        <is>
          <t>22.23-0-1.2-ERW 1-</t>
        </is>
      </c>
      <c r="H61" s="604" t="n"/>
      <c r="I61" s="604" t="n"/>
      <c r="J61" s="604" t="n"/>
      <c r="K61" s="604" t="n"/>
      <c r="L61" s="604" t="n"/>
      <c r="M61" s="604" t="n"/>
      <c r="N61" s="604" t="n"/>
      <c r="O61" s="604" t="n"/>
      <c r="P61" s="604" t="n"/>
      <c r="Q61" s="604" t="n"/>
      <c r="R61" s="604" t="n"/>
      <c r="S61" s="604" t="n"/>
      <c r="T61" s="604" t="n"/>
      <c r="U61" s="604" t="n"/>
      <c r="V61" s="604" t="n"/>
      <c r="W61" s="604" t="n"/>
      <c r="X61" s="604" t="n"/>
      <c r="Y61" s="604" t="n"/>
      <c r="Z61" s="604" t="n"/>
      <c r="AA61" s="604" t="n">
        <v>0</v>
      </c>
      <c r="AB61" s="604" t="n"/>
      <c r="AC61" s="604" t="n"/>
      <c r="AD61" s="604" t="n"/>
      <c r="AE61" s="604" t="n"/>
      <c r="AF61" s="604" t="n"/>
      <c r="AG61" s="604" t="n"/>
      <c r="AH61" s="604" t="n"/>
      <c r="AI61" s="604" t="n"/>
      <c r="AJ61" s="604" t="n">
        <v>0</v>
      </c>
    </row>
    <row r="62">
      <c r="A62" s="43" t="n">
        <v>22.23</v>
      </c>
      <c r="B62" s="43" t="n">
        <v>22.23</v>
      </c>
      <c r="C62" t="n">
        <v>0</v>
      </c>
      <c r="D62" s="43" t="n">
        <v>1.2</v>
      </c>
      <c r="E62" t="inlineStr">
        <is>
          <t>(blank)</t>
        </is>
      </c>
      <c r="F62" t="inlineStr">
        <is>
          <t>(blank)</t>
        </is>
      </c>
      <c r="G62" t="inlineStr">
        <is>
          <t>22.23-0-1.2--</t>
        </is>
      </c>
      <c r="H62" s="604" t="n"/>
      <c r="I62" s="604" t="n"/>
      <c r="J62" s="604" t="n"/>
      <c r="K62" s="604" t="n"/>
      <c r="L62" s="604" t="n"/>
      <c r="M62" s="604" t="n"/>
      <c r="N62" s="604" t="n"/>
      <c r="O62" s="604" t="n"/>
      <c r="P62" s="604" t="n"/>
      <c r="Q62" s="604" t="n"/>
      <c r="R62" s="604" t="n"/>
      <c r="S62" s="604" t="n"/>
      <c r="T62" s="604" t="n"/>
      <c r="U62" s="604" t="n"/>
      <c r="V62" s="604" t="n"/>
      <c r="W62" s="604" t="n"/>
      <c r="X62" s="604" t="n"/>
      <c r="Y62" s="604" t="n"/>
      <c r="Z62" s="604" t="n"/>
      <c r="AA62" s="604" t="n">
        <v>0</v>
      </c>
      <c r="AB62" s="604" t="n"/>
      <c r="AC62" s="604" t="n"/>
      <c r="AD62" s="604" t="n"/>
      <c r="AE62" s="604" t="n"/>
      <c r="AF62" s="604" t="n"/>
      <c r="AG62" s="604" t="n"/>
      <c r="AH62" s="604" t="n"/>
      <c r="AI62" s="604" t="n"/>
      <c r="AJ62" s="604" t="n">
        <v>0</v>
      </c>
    </row>
    <row r="63">
      <c r="A63" s="43" t="n">
        <v>22.23</v>
      </c>
      <c r="B63" s="43" t="n">
        <v>22.23</v>
      </c>
      <c r="C63" t="n">
        <v>0</v>
      </c>
      <c r="D63" s="43" t="n">
        <v>1.6</v>
      </c>
      <c r="E63" t="inlineStr">
        <is>
          <t>ERW 1</t>
        </is>
      </c>
      <c r="F63" t="inlineStr">
        <is>
          <t>PE</t>
        </is>
      </c>
      <c r="G63" t="inlineStr">
        <is>
          <t>22.23-0-1.6-ERW 1-PE</t>
        </is>
      </c>
      <c r="H63" s="604" t="n"/>
      <c r="I63" s="604" t="n">
        <v>0</v>
      </c>
      <c r="J63" s="604" t="n"/>
      <c r="K63" s="604" t="n"/>
      <c r="L63" s="604" t="n">
        <v>10.4956230768</v>
      </c>
      <c r="M63" s="604" t="n">
        <v>0</v>
      </c>
      <c r="N63" s="604" t="n">
        <v>3.95416497312</v>
      </c>
      <c r="O63" s="604" t="n"/>
      <c r="P63" s="604" t="n"/>
      <c r="Q63" s="604" t="n"/>
      <c r="R63" s="604" t="n"/>
      <c r="S63" s="604" t="n">
        <v>14.112951774432</v>
      </c>
      <c r="T63" s="604" t="n"/>
      <c r="U63" s="604" t="n">
        <v>14.339950134</v>
      </c>
      <c r="V63" s="604" t="n"/>
      <c r="W63" s="604" t="n"/>
      <c r="X63" s="604" t="n"/>
      <c r="Y63" s="604" t="n">
        <v>22.4557516992</v>
      </c>
      <c r="Z63" s="604" t="n">
        <v>2.22930288608</v>
      </c>
      <c r="AA63" s="604" t="n">
        <v>22.85849072424</v>
      </c>
      <c r="AB63" s="604" t="n"/>
      <c r="AC63" s="604" t="n"/>
      <c r="AD63" s="604" t="n"/>
      <c r="AE63" s="604" t="n"/>
      <c r="AF63" s="604" t="n"/>
      <c r="AG63" s="604" t="n"/>
      <c r="AH63" s="604" t="n">
        <v>9.217435181168002</v>
      </c>
      <c r="AI63" s="604" t="n">
        <v>34.1984826094976</v>
      </c>
      <c r="AJ63" s="604" t="n">
        <v>133.8621530585376</v>
      </c>
    </row>
    <row r="64">
      <c r="A64" s="43" t="n">
        <v>22.23</v>
      </c>
      <c r="B64" s="43" t="n">
        <v>22.23</v>
      </c>
      <c r="C64" t="n">
        <v>0</v>
      </c>
      <c r="D64" s="43" t="n">
        <v>1.6</v>
      </c>
      <c r="E64" t="inlineStr">
        <is>
          <t>ERW 1</t>
        </is>
      </c>
      <c r="F64" t="inlineStr">
        <is>
          <t>(blank)</t>
        </is>
      </c>
      <c r="G64" t="inlineStr">
        <is>
          <t>22.23-0-1.6-ERW 1-</t>
        </is>
      </c>
      <c r="H64" s="604" t="n"/>
      <c r="I64" s="604" t="n"/>
      <c r="J64" s="604" t="n"/>
      <c r="K64" s="604" t="n"/>
      <c r="L64" s="604" t="n"/>
      <c r="M64" s="604" t="n"/>
      <c r="N64" s="604" t="n"/>
      <c r="O64" s="604" t="n"/>
      <c r="P64" s="604" t="n">
        <v>0</v>
      </c>
      <c r="Q64" s="604" t="n">
        <v>0</v>
      </c>
      <c r="R64" s="604" t="n"/>
      <c r="S64" s="604" t="n"/>
      <c r="T64" s="604" t="n"/>
      <c r="U64" s="604" t="n"/>
      <c r="V64" s="604" t="n"/>
      <c r="W64" s="604" t="n"/>
      <c r="X64" s="604" t="n"/>
      <c r="Y64" s="604" t="n"/>
      <c r="Z64" s="604" t="n"/>
      <c r="AA64" s="604" t="n"/>
      <c r="AB64" s="604" t="n"/>
      <c r="AC64" s="604" t="n"/>
      <c r="AD64" s="604" t="n"/>
      <c r="AE64" s="604" t="n"/>
      <c r="AF64" s="604" t="n"/>
      <c r="AG64" s="604" t="n"/>
      <c r="AH64" s="604" t="n"/>
      <c r="AI64" s="604" t="n"/>
      <c r="AJ64" s="604" t="n">
        <v>0</v>
      </c>
    </row>
    <row r="65" hidden="1" s="584">
      <c r="A65" s="43" t="n">
        <v>22.23</v>
      </c>
      <c r="B65" s="43" t="n">
        <v>22.23</v>
      </c>
      <c r="C65" t="n">
        <v>0</v>
      </c>
      <c r="D65" s="43" t="n">
        <v>1.6</v>
      </c>
      <c r="E65" t="inlineStr">
        <is>
          <t>ERW 2 MAHS</t>
        </is>
      </c>
      <c r="F65" t="inlineStr">
        <is>
          <t>PE</t>
        </is>
      </c>
      <c r="G65" t="inlineStr">
        <is>
          <t>22.23-0-1.6-ERW 2 MAHS-PE</t>
        </is>
      </c>
      <c r="H65" s="604" t="n"/>
      <c r="I65" s="604" t="n"/>
      <c r="J65" s="604" t="n"/>
      <c r="K65" s="604" t="n"/>
      <c r="L65" s="604" t="n"/>
      <c r="M65" s="604" t="n"/>
      <c r="N65" s="604" t="n"/>
      <c r="O65" s="604" t="n"/>
      <c r="P65" s="604" t="n"/>
      <c r="Q65" s="604" t="n"/>
      <c r="R65" s="604" t="n"/>
      <c r="S65" s="604" t="n"/>
      <c r="T65" s="604" t="n"/>
      <c r="U65" s="604" t="n"/>
      <c r="V65" s="604" t="n"/>
      <c r="W65" s="604" t="n"/>
      <c r="X65" s="604" t="n">
        <v>22.8218780856</v>
      </c>
      <c r="Y65" s="604" t="n"/>
      <c r="Z65" s="604" t="n"/>
      <c r="AA65" s="604" t="n"/>
      <c r="AB65" s="604" t="n"/>
      <c r="AC65" s="604" t="n"/>
      <c r="AD65" s="604" t="n"/>
      <c r="AE65" s="604" t="n"/>
      <c r="AF65" s="604" t="n"/>
      <c r="AG65" s="604" t="n"/>
      <c r="AH65" s="604" t="n"/>
      <c r="AI65" s="604" t="n"/>
      <c r="AJ65" s="604" t="n">
        <v>22.8218780856</v>
      </c>
    </row>
    <row r="66">
      <c r="A66" s="43" t="n">
        <v>22.23</v>
      </c>
      <c r="B66" s="43" t="n">
        <v>22.23</v>
      </c>
      <c r="C66" t="n">
        <v>0</v>
      </c>
      <c r="D66" s="43" t="n">
        <v>2</v>
      </c>
      <c r="E66" t="inlineStr">
        <is>
          <t>ERW 1</t>
        </is>
      </c>
      <c r="F66" t="inlineStr">
        <is>
          <t>FC</t>
        </is>
      </c>
      <c r="G66" t="inlineStr">
        <is>
          <t>22.23-0-2-ERW 1-FC</t>
        </is>
      </c>
      <c r="H66" s="604" t="n"/>
      <c r="I66" s="604" t="n">
        <v>0</v>
      </c>
      <c r="J66" s="604" t="n">
        <v>17.54148402006</v>
      </c>
      <c r="K66" s="604" t="n"/>
      <c r="L66" s="604" t="n"/>
      <c r="M66" s="604" t="n"/>
      <c r="N66" s="604" t="n"/>
      <c r="O66" s="604" t="n"/>
      <c r="P66" s="604" t="n"/>
      <c r="Q66" s="604" t="n"/>
      <c r="R66" s="604" t="n"/>
      <c r="S66" s="604" t="n"/>
      <c r="T66" s="604" t="n"/>
      <c r="U66" s="604" t="n"/>
      <c r="V66" s="604" t="n"/>
      <c r="W66" s="604" t="n"/>
      <c r="X66" s="604" t="n"/>
      <c r="Y66" s="604" t="n">
        <v>64.27495443967094</v>
      </c>
      <c r="Z66" s="604" t="n"/>
      <c r="AA66" s="604" t="n"/>
      <c r="AB66" s="604" t="n"/>
      <c r="AC66" s="604" t="n"/>
      <c r="AD66" s="604" t="n"/>
      <c r="AE66" s="604" t="n"/>
      <c r="AF66" s="604" t="n"/>
      <c r="AG66" s="604" t="n"/>
      <c r="AH66" s="604" t="n"/>
      <c r="AI66" s="604" t="n"/>
      <c r="AJ66" s="604" t="n">
        <v>81.81643845973093</v>
      </c>
    </row>
    <row r="67">
      <c r="A67" s="43" t="n">
        <v>22.23</v>
      </c>
      <c r="B67" s="43" t="n">
        <v>22.23</v>
      </c>
      <c r="C67" t="n">
        <v>0</v>
      </c>
      <c r="D67" s="43" t="n">
        <v>2</v>
      </c>
      <c r="E67" t="inlineStr">
        <is>
          <t>ERW 1</t>
        </is>
      </c>
      <c r="F67" t="inlineStr">
        <is>
          <t>PE</t>
        </is>
      </c>
      <c r="G67" t="inlineStr">
        <is>
          <t>22.23-0-2-ERW 1-PE</t>
        </is>
      </c>
      <c r="H67" s="604" t="n"/>
      <c r="I67" s="604" t="n"/>
      <c r="J67" s="604" t="n">
        <v>13.662989998</v>
      </c>
      <c r="K67" s="604" t="n"/>
      <c r="L67" s="604" t="n"/>
      <c r="M67" s="604" t="n"/>
      <c r="N67" s="604" t="n"/>
      <c r="O67" s="604" t="n"/>
      <c r="P67" s="604" t="n"/>
      <c r="Q67" s="604" t="n"/>
      <c r="R67" s="604" t="n"/>
      <c r="S67" s="604" t="n">
        <v>6.158318484500001</v>
      </c>
      <c r="T67" s="604" t="n"/>
      <c r="U67" s="604" t="n">
        <v>1.88289964352</v>
      </c>
      <c r="V67" s="604" t="n"/>
      <c r="W67" s="604" t="n"/>
      <c r="X67" s="604" t="n">
        <v>0</v>
      </c>
      <c r="Y67" s="604" t="n"/>
      <c r="Z67" s="604" t="n">
        <v>28.0789403937</v>
      </c>
      <c r="AA67" s="604" t="n">
        <v>4.388113576</v>
      </c>
      <c r="AB67" s="604" t="n"/>
      <c r="AC67" s="604" t="n"/>
      <c r="AD67" s="604" t="n"/>
      <c r="AE67" s="604" t="n"/>
      <c r="AF67" s="604" t="n"/>
      <c r="AG67" s="604" t="n"/>
      <c r="AH67" s="604" t="n">
        <v>11.33130601148</v>
      </c>
      <c r="AI67" s="604" t="n">
        <v>8.068145188600001</v>
      </c>
      <c r="AJ67" s="604" t="n">
        <v>73.5707132958</v>
      </c>
    </row>
    <row r="68">
      <c r="A68" s="43" t="n">
        <v>22.23</v>
      </c>
      <c r="B68" s="43" t="n">
        <v>22.23</v>
      </c>
      <c r="C68" t="n">
        <v>0</v>
      </c>
      <c r="D68" s="43" t="n">
        <v>2</v>
      </c>
      <c r="E68" t="inlineStr">
        <is>
          <t>ERW 1</t>
        </is>
      </c>
      <c r="F68" t="inlineStr">
        <is>
          <t>(blank)</t>
        </is>
      </c>
      <c r="G68" t="inlineStr">
        <is>
          <t>22.23-0-2-ERW 1-</t>
        </is>
      </c>
      <c r="H68" s="604" t="n"/>
      <c r="I68" s="604" t="n">
        <v>0</v>
      </c>
      <c r="J68" s="604" t="n"/>
      <c r="K68" s="604" t="n"/>
      <c r="L68" s="604" t="n"/>
      <c r="M68" s="604" t="n"/>
      <c r="N68" s="604" t="n"/>
      <c r="O68" s="604" t="n"/>
      <c r="P68" s="604" t="n">
        <v>0</v>
      </c>
      <c r="Q68" s="604" t="n">
        <v>0</v>
      </c>
      <c r="R68" s="604" t="n"/>
      <c r="S68" s="604" t="n"/>
      <c r="T68" s="604" t="n"/>
      <c r="U68" s="604" t="n"/>
      <c r="V68" s="604" t="n"/>
      <c r="W68" s="604" t="n"/>
      <c r="X68" s="604" t="n"/>
      <c r="Y68" s="604" t="n"/>
      <c r="Z68" s="604" t="n"/>
      <c r="AA68" s="604" t="n">
        <v>0</v>
      </c>
      <c r="AB68" s="604" t="n"/>
      <c r="AC68" s="604" t="n"/>
      <c r="AD68" s="604" t="n"/>
      <c r="AE68" s="604" t="n"/>
      <c r="AF68" s="604" t="n"/>
      <c r="AG68" s="604" t="n"/>
      <c r="AH68" s="604" t="n"/>
      <c r="AI68" s="604" t="n"/>
      <c r="AJ68" s="604" t="n">
        <v>0</v>
      </c>
    </row>
    <row r="69" hidden="1" s="584">
      <c r="A69" s="43" t="n">
        <v>22.23</v>
      </c>
      <c r="B69" s="43" t="n">
        <v>22.23</v>
      </c>
      <c r="C69" t="n">
        <v>0</v>
      </c>
      <c r="D69" s="43" t="n">
        <v>2</v>
      </c>
      <c r="E69" t="inlineStr">
        <is>
          <t>ERW 2</t>
        </is>
      </c>
      <c r="F69" t="inlineStr">
        <is>
          <t>FC</t>
        </is>
      </c>
      <c r="G69" t="inlineStr">
        <is>
          <t>22.23-0-2-ERW 2-FC</t>
        </is>
      </c>
      <c r="H69" s="604" t="n"/>
      <c r="I69" s="604" t="n"/>
      <c r="J69" s="604" t="n"/>
      <c r="K69" s="604" t="n"/>
      <c r="L69" s="604" t="n"/>
      <c r="M69" s="604" t="n"/>
      <c r="N69" s="604" t="n"/>
      <c r="O69" s="604" t="n"/>
      <c r="P69" s="604" t="n"/>
      <c r="Q69" s="604" t="n"/>
      <c r="R69" s="604" t="n"/>
      <c r="S69" s="604" t="n"/>
      <c r="T69" s="604" t="n"/>
      <c r="U69" s="604" t="n"/>
      <c r="V69" s="604" t="n"/>
      <c r="W69" s="604" t="n"/>
      <c r="X69" s="604" t="n"/>
      <c r="Y69" s="604" t="n"/>
      <c r="Z69" s="604" t="n">
        <v>0</v>
      </c>
      <c r="AA69" s="604" t="n"/>
      <c r="AB69" s="604" t="n"/>
      <c r="AC69" s="604" t="n"/>
      <c r="AD69" s="604" t="n"/>
      <c r="AE69" s="604" t="n"/>
      <c r="AF69" s="604" t="n"/>
      <c r="AG69" s="604" t="n"/>
      <c r="AH69" s="604" t="n"/>
      <c r="AI69" s="604" t="n">
        <v>5.972621496352</v>
      </c>
      <c r="AJ69" s="604" t="n">
        <v>5.972621496352</v>
      </c>
    </row>
    <row r="70">
      <c r="A70" s="43" t="n">
        <v>22.23</v>
      </c>
      <c r="B70" s="43" t="n">
        <v>22.23</v>
      </c>
      <c r="C70" t="n">
        <v>0</v>
      </c>
      <c r="D70" s="43" t="n">
        <v>2</v>
      </c>
      <c r="E70" t="inlineStr">
        <is>
          <t>ERW 2</t>
        </is>
      </c>
      <c r="F70" t="inlineStr">
        <is>
          <t>(blank)</t>
        </is>
      </c>
      <c r="G70" t="inlineStr">
        <is>
          <t>(blank)</t>
        </is>
      </c>
      <c r="H70" s="604" t="n"/>
      <c r="I70" s="604" t="n"/>
      <c r="J70" s="604" t="n"/>
      <c r="K70" s="604" t="n"/>
      <c r="L70" s="604" t="n"/>
      <c r="M70" s="604" t="n"/>
      <c r="N70" s="604" t="n"/>
      <c r="O70" s="604" t="n"/>
      <c r="P70" s="604" t="n"/>
      <c r="Q70" s="604" t="n"/>
      <c r="R70" s="604" t="n"/>
      <c r="S70" s="604" t="n"/>
      <c r="T70" s="604" t="n"/>
      <c r="U70" s="604" t="n">
        <v>8.626632370999999</v>
      </c>
      <c r="V70" s="604" t="n"/>
      <c r="W70" s="604" t="n"/>
      <c r="X70" s="604" t="n"/>
      <c r="Y70" s="604" t="n"/>
      <c r="Z70" s="604" t="n"/>
      <c r="AA70" s="604" t="n"/>
      <c r="AB70" s="604" t="n"/>
      <c r="AC70" s="604" t="n"/>
      <c r="AD70" s="604" t="n"/>
      <c r="AE70" s="604" t="n"/>
      <c r="AF70" s="604" t="n"/>
      <c r="AG70" s="604" t="n"/>
      <c r="AH70" s="604" t="n"/>
      <c r="AI70" s="604" t="n"/>
      <c r="AJ70" s="604" t="n">
        <v>8.626632370999999</v>
      </c>
    </row>
    <row r="71">
      <c r="A71" s="43" t="n">
        <v>22.23</v>
      </c>
      <c r="B71" s="43" t="n">
        <v>22.23</v>
      </c>
      <c r="C71" t="n">
        <v>0</v>
      </c>
      <c r="D71" s="43" t="n">
        <v>2</v>
      </c>
      <c r="E71" t="inlineStr">
        <is>
          <t>ERW 2 MAHS</t>
        </is>
      </c>
      <c r="F71" t="inlineStr">
        <is>
          <t>FC</t>
        </is>
      </c>
      <c r="G71" t="inlineStr">
        <is>
          <t>22.23-0-2-ERW 2 MAHS-FC</t>
        </is>
      </c>
      <c r="H71" s="604" t="n"/>
      <c r="I71" s="604" t="n"/>
      <c r="J71" s="604" t="n"/>
      <c r="K71" s="604" t="n"/>
      <c r="L71" s="604" t="n"/>
      <c r="M71" s="604" t="n"/>
      <c r="N71" s="604" t="n"/>
      <c r="O71" s="604" t="n"/>
      <c r="P71" s="604" t="n"/>
      <c r="Q71" s="604" t="n"/>
      <c r="R71" s="604" t="n"/>
      <c r="S71" s="604" t="n"/>
      <c r="T71" s="604" t="n"/>
      <c r="U71" s="604" t="n"/>
      <c r="V71" s="604" t="n"/>
      <c r="W71" s="604" t="n"/>
      <c r="X71" s="604" t="n">
        <v>41.5973221034</v>
      </c>
      <c r="Y71" s="604" t="n"/>
      <c r="Z71" s="604" t="n"/>
      <c r="AA71" s="604" t="n"/>
      <c r="AB71" s="604" t="n"/>
      <c r="AC71" s="604" t="n"/>
      <c r="AD71" s="604" t="n"/>
      <c r="AE71" s="604" t="n"/>
      <c r="AF71" s="604" t="n"/>
      <c r="AG71" s="604" t="n"/>
      <c r="AH71" s="604" t="n"/>
      <c r="AI71" s="604" t="n"/>
      <c r="AJ71" s="604" t="n">
        <v>41.5973221034</v>
      </c>
    </row>
    <row r="72" hidden="1" s="584">
      <c r="A72" s="43" t="n">
        <v>22.23</v>
      </c>
      <c r="B72" s="43" t="n">
        <v>22.23</v>
      </c>
      <c r="C72" t="n">
        <v>0</v>
      </c>
      <c r="D72" s="43" t="n">
        <v>2</v>
      </c>
      <c r="E72" t="inlineStr">
        <is>
          <t>ERW 2 MAHS</t>
        </is>
      </c>
      <c r="F72" t="inlineStr">
        <is>
          <t>PE</t>
        </is>
      </c>
      <c r="G72" t="inlineStr">
        <is>
          <t>22.23-0-2-ERW 2 MAHS-PE</t>
        </is>
      </c>
      <c r="H72" s="604" t="n"/>
      <c r="I72" s="604" t="n"/>
      <c r="J72" s="604" t="n"/>
      <c r="K72" s="604" t="n"/>
      <c r="L72" s="604" t="n">
        <v>0.80980641448</v>
      </c>
      <c r="M72" s="604" t="n"/>
      <c r="N72" s="604" t="n"/>
      <c r="O72" s="604" t="n"/>
      <c r="P72" s="604" t="n"/>
      <c r="Q72" s="604" t="n"/>
      <c r="R72" s="604" t="n"/>
      <c r="S72" s="604" t="n"/>
      <c r="T72" s="604" t="n"/>
      <c r="U72" s="604" t="n"/>
      <c r="V72" s="604" t="n"/>
      <c r="W72" s="604" t="n"/>
      <c r="X72" s="604" t="n">
        <v>63.178862509</v>
      </c>
      <c r="Y72" s="604" t="n"/>
      <c r="Z72" s="604" t="n"/>
      <c r="AA72" s="604" t="n">
        <v>0</v>
      </c>
      <c r="AB72" s="604" t="n"/>
      <c r="AC72" s="604" t="n"/>
      <c r="AD72" s="604" t="n"/>
      <c r="AE72" s="604" t="n"/>
      <c r="AF72" s="604" t="n"/>
      <c r="AG72" s="604" t="n"/>
      <c r="AH72" s="604" t="n"/>
      <c r="AI72" s="604" t="n"/>
      <c r="AJ72" s="604" t="n">
        <v>63.98866892348</v>
      </c>
    </row>
    <row r="73">
      <c r="A73" s="43" t="n">
        <v>22.23</v>
      </c>
      <c r="B73" s="43" t="n">
        <v>22.23</v>
      </c>
      <c r="C73" t="n">
        <v>0</v>
      </c>
      <c r="D73" s="43" t="n">
        <v>2</v>
      </c>
      <c r="E73" t="inlineStr">
        <is>
          <t>ERW 2 MAHS</t>
        </is>
      </c>
      <c r="F73" t="inlineStr">
        <is>
          <t>(blank)</t>
        </is>
      </c>
      <c r="G73" t="inlineStr">
        <is>
          <t>(blank)</t>
        </is>
      </c>
      <c r="H73" s="604" t="n"/>
      <c r="I73" s="604" t="n"/>
      <c r="J73" s="604" t="n"/>
      <c r="K73" s="604" t="n"/>
      <c r="L73" s="604" t="n"/>
      <c r="M73" s="604" t="n"/>
      <c r="N73" s="604" t="n"/>
      <c r="O73" s="604" t="n"/>
      <c r="P73" s="604" t="n"/>
      <c r="Q73" s="604" t="n"/>
      <c r="R73" s="604" t="n"/>
      <c r="S73" s="604" t="n"/>
      <c r="T73" s="604" t="n"/>
      <c r="U73" s="604" t="n"/>
      <c r="V73" s="604" t="n"/>
      <c r="W73" s="604" t="n"/>
      <c r="X73" s="604" t="n">
        <v>13.912314633</v>
      </c>
      <c r="Y73" s="604" t="n"/>
      <c r="Z73" s="604" t="n"/>
      <c r="AA73" s="604" t="n"/>
      <c r="AB73" s="604" t="n"/>
      <c r="AC73" s="604" t="n"/>
      <c r="AD73" s="604" t="n"/>
      <c r="AE73" s="604" t="n"/>
      <c r="AF73" s="604" t="n"/>
      <c r="AG73" s="604" t="n"/>
      <c r="AH73" s="604" t="n"/>
      <c r="AI73" s="604" t="n"/>
      <c r="AJ73" s="604" t="n">
        <v>13.912314633</v>
      </c>
    </row>
    <row r="74">
      <c r="A74" s="43" t="n">
        <v>22.23</v>
      </c>
      <c r="B74" s="43" t="n">
        <v>22.23</v>
      </c>
      <c r="C74" t="n">
        <v>0</v>
      </c>
      <c r="D74" s="43" t="n">
        <v>2</v>
      </c>
      <c r="E74" t="inlineStr">
        <is>
          <t>(blank)</t>
        </is>
      </c>
      <c r="F74" t="inlineStr">
        <is>
          <t>(blank)</t>
        </is>
      </c>
      <c r="G74" t="inlineStr">
        <is>
          <t>22.23-0-2--</t>
        </is>
      </c>
      <c r="H74" s="604" t="n"/>
      <c r="I74" s="604" t="n"/>
      <c r="J74" s="604" t="n"/>
      <c r="K74" s="604" t="n"/>
      <c r="L74" s="604" t="n">
        <v>0</v>
      </c>
      <c r="M74" s="604" t="n"/>
      <c r="N74" s="604" t="n"/>
      <c r="O74" s="604" t="n"/>
      <c r="P74" s="604" t="n"/>
      <c r="Q74" s="604" t="n"/>
      <c r="R74" s="604" t="n"/>
      <c r="S74" s="604" t="n"/>
      <c r="T74" s="604" t="n"/>
      <c r="U74" s="604" t="n"/>
      <c r="V74" s="604" t="n"/>
      <c r="W74" s="604" t="n"/>
      <c r="X74" s="604" t="n"/>
      <c r="Y74" s="604" t="n"/>
      <c r="Z74" s="604" t="n"/>
      <c r="AA74" s="604" t="n"/>
      <c r="AB74" s="604" t="n"/>
      <c r="AC74" s="604" t="n"/>
      <c r="AD74" s="604" t="n"/>
      <c r="AE74" s="604" t="n"/>
      <c r="AF74" s="604" t="n"/>
      <c r="AG74" s="604" t="n"/>
      <c r="AH74" s="604" t="n"/>
      <c r="AI74" s="604" t="n"/>
      <c r="AJ74" s="604" t="n">
        <v>0</v>
      </c>
    </row>
    <row r="75" hidden="1" s="584">
      <c r="A75" s="43" t="n">
        <v>22.23</v>
      </c>
      <c r="B75" s="43" t="n">
        <v>22.23</v>
      </c>
      <c r="C75" t="n">
        <v>0</v>
      </c>
      <c r="D75" s="43" t="n">
        <v>2.3</v>
      </c>
      <c r="E75" t="inlineStr">
        <is>
          <t>ERW 1</t>
        </is>
      </c>
      <c r="F75" t="inlineStr">
        <is>
          <t>PE</t>
        </is>
      </c>
      <c r="G75" t="inlineStr">
        <is>
          <t>22.23-0-2.3-ERW 1-PE</t>
        </is>
      </c>
      <c r="H75" s="604" t="n"/>
      <c r="I75" s="604" t="n">
        <v>0</v>
      </c>
      <c r="J75" s="604" t="n"/>
      <c r="K75" s="604" t="n"/>
      <c r="L75" s="604" t="n"/>
      <c r="M75" s="604" t="n">
        <v>0</v>
      </c>
      <c r="N75" s="604" t="n"/>
      <c r="O75" s="604" t="n"/>
      <c r="P75" s="604" t="n">
        <v>0</v>
      </c>
      <c r="Q75" s="604" t="n">
        <v>10.45144097675</v>
      </c>
      <c r="R75" s="604" t="n"/>
      <c r="S75" s="604" t="n">
        <v>0</v>
      </c>
      <c r="T75" s="604" t="n"/>
      <c r="U75" s="604" t="n">
        <v>6.779313065999999</v>
      </c>
      <c r="V75" s="604" t="n"/>
      <c r="W75" s="604" t="n"/>
      <c r="X75" s="604" t="n"/>
      <c r="Y75" s="604" t="n"/>
      <c r="Z75" s="604" t="n"/>
      <c r="AA75" s="604" t="n">
        <v>24.637153567355</v>
      </c>
      <c r="AB75" s="604" t="n"/>
      <c r="AC75" s="604" t="n"/>
      <c r="AD75" s="604" t="n"/>
      <c r="AE75" s="604" t="n"/>
      <c r="AF75" s="604" t="n"/>
      <c r="AG75" s="604" t="n"/>
      <c r="AH75" s="604" t="n">
        <v>0</v>
      </c>
      <c r="AI75" s="604" t="n"/>
      <c r="AJ75" s="604" t="n">
        <v>41.86790761010499</v>
      </c>
    </row>
    <row r="76">
      <c r="A76" s="43" t="n">
        <v>22.23</v>
      </c>
      <c r="B76" s="43" t="n">
        <v>22.23</v>
      </c>
      <c r="C76" t="n">
        <v>0</v>
      </c>
      <c r="D76" s="43" t="n">
        <v>2.3</v>
      </c>
      <c r="E76" t="inlineStr">
        <is>
          <t>ERW 1</t>
        </is>
      </c>
      <c r="F76" t="inlineStr">
        <is>
          <t>PE</t>
        </is>
      </c>
      <c r="G76" t="inlineStr">
        <is>
          <t>(blank)</t>
        </is>
      </c>
      <c r="H76" s="604" t="n"/>
      <c r="I76" s="604" t="n"/>
      <c r="J76" s="604" t="n"/>
      <c r="K76" s="604" t="n"/>
      <c r="L76" s="604" t="n"/>
      <c r="M76" s="604" t="n"/>
      <c r="N76" s="604" t="n"/>
      <c r="O76" s="604" t="n"/>
      <c r="P76" s="604" t="n"/>
      <c r="Q76" s="604" t="n"/>
      <c r="R76" s="604" t="n"/>
      <c r="S76" s="604" t="n"/>
      <c r="T76" s="604" t="n"/>
      <c r="U76" s="604" t="n"/>
      <c r="V76" s="604" t="n"/>
      <c r="W76" s="604" t="n"/>
      <c r="X76" s="604" t="n"/>
      <c r="Y76" s="604" t="n"/>
      <c r="Z76" s="604" t="n"/>
      <c r="AA76" s="604" t="n">
        <v>0</v>
      </c>
      <c r="AB76" s="604" t="n"/>
      <c r="AC76" s="604" t="n"/>
      <c r="AD76" s="604" t="n"/>
      <c r="AE76" s="604" t="n"/>
      <c r="AF76" s="604" t="n"/>
      <c r="AG76" s="604" t="n"/>
      <c r="AH76" s="604" t="n"/>
      <c r="AI76" s="604" t="n"/>
      <c r="AJ76" s="604" t="n">
        <v>0</v>
      </c>
    </row>
    <row r="77">
      <c r="A77" s="43" t="n">
        <v>22.23</v>
      </c>
      <c r="B77" s="43" t="n">
        <v>22.23</v>
      </c>
      <c r="C77" t="n">
        <v>0</v>
      </c>
      <c r="D77" s="43" t="n">
        <v>2.3</v>
      </c>
      <c r="E77" t="inlineStr">
        <is>
          <t>(blank)</t>
        </is>
      </c>
      <c r="F77" t="inlineStr">
        <is>
          <t>PE</t>
        </is>
      </c>
      <c r="G77" t="inlineStr">
        <is>
          <t>22.23-0-2.3--PE</t>
        </is>
      </c>
      <c r="H77" s="604" t="n"/>
      <c r="I77" s="604" t="n"/>
      <c r="J77" s="604" t="n"/>
      <c r="K77" s="604" t="n"/>
      <c r="L77" s="604" t="n"/>
      <c r="M77" s="604" t="n"/>
      <c r="N77" s="604" t="n"/>
      <c r="O77" s="604" t="n"/>
      <c r="P77" s="604" t="n"/>
      <c r="Q77" s="604" t="n"/>
      <c r="R77" s="604" t="n"/>
      <c r="S77" s="604" t="n"/>
      <c r="T77" s="604" t="n"/>
      <c r="U77" s="604" t="n"/>
      <c r="V77" s="604" t="n"/>
      <c r="W77" s="604" t="n"/>
      <c r="X77" s="604" t="n"/>
      <c r="Y77" s="604" t="n"/>
      <c r="Z77" s="604" t="n"/>
      <c r="AA77" s="604" t="n">
        <v>0</v>
      </c>
      <c r="AB77" s="604" t="n"/>
      <c r="AC77" s="604" t="n"/>
      <c r="AD77" s="604" t="n"/>
      <c r="AE77" s="604" t="n"/>
      <c r="AF77" s="604" t="n"/>
      <c r="AG77" s="604" t="n"/>
      <c r="AH77" s="604" t="n"/>
      <c r="AI77" s="604" t="n"/>
      <c r="AJ77" s="604" t="n">
        <v>0</v>
      </c>
    </row>
    <row r="78">
      <c r="A78" s="43" t="n">
        <v>23.42</v>
      </c>
      <c r="B78" s="43" t="n">
        <v>19</v>
      </c>
      <c r="C78" t="n">
        <v>19</v>
      </c>
      <c r="D78" s="43" t="n">
        <v>1</v>
      </c>
      <c r="E78" t="inlineStr">
        <is>
          <t>CRFH</t>
        </is>
      </c>
      <c r="F78" t="inlineStr">
        <is>
          <t>PE</t>
        </is>
      </c>
      <c r="G78" t="inlineStr">
        <is>
          <t>19-19-1-CRFH-PE</t>
        </is>
      </c>
      <c r="H78" s="604" t="n"/>
      <c r="I78" s="604" t="n"/>
      <c r="J78" s="604" t="n"/>
      <c r="K78" s="604" t="n"/>
      <c r="L78" s="604" t="n"/>
      <c r="M78" s="604" t="n">
        <v>0</v>
      </c>
      <c r="N78" s="604" t="n"/>
      <c r="O78" s="604" t="n"/>
      <c r="P78" s="604" t="n"/>
      <c r="Q78" s="604" t="n"/>
      <c r="R78" s="604" t="n"/>
      <c r="S78" s="604" t="n"/>
      <c r="T78" s="604" t="n"/>
      <c r="U78" s="604" t="n"/>
      <c r="V78" s="604" t="n"/>
      <c r="W78" s="604" t="n"/>
      <c r="X78" s="604" t="n"/>
      <c r="Y78" s="604" t="n"/>
      <c r="Z78" s="604" t="n"/>
      <c r="AA78" s="604" t="n"/>
      <c r="AB78" s="604" t="n"/>
      <c r="AC78" s="604" t="n">
        <v>3.98695331941</v>
      </c>
      <c r="AD78" s="604" t="n"/>
      <c r="AE78" s="604" t="n">
        <v>61.65699381060001</v>
      </c>
      <c r="AF78" s="604" t="n">
        <v>58.2002895327</v>
      </c>
      <c r="AG78" s="604" t="n">
        <v>4.214084487789999</v>
      </c>
      <c r="AH78" s="604" t="n"/>
      <c r="AI78" s="604" t="n"/>
      <c r="AJ78" s="604" t="n">
        <v>128.0583211505</v>
      </c>
    </row>
    <row r="79">
      <c r="A79" s="43" t="n">
        <v>25.4</v>
      </c>
      <c r="B79" s="43" t="n">
        <v>25.4</v>
      </c>
      <c r="C79" t="n">
        <v>0</v>
      </c>
      <c r="D79" s="43" t="n">
        <v>1.2</v>
      </c>
      <c r="E79" t="inlineStr">
        <is>
          <t>ERW 1</t>
        </is>
      </c>
      <c r="F79" t="inlineStr">
        <is>
          <t>PE</t>
        </is>
      </c>
      <c r="G79" t="inlineStr">
        <is>
          <t>25.4-0-1.2-ERW 1-PE</t>
        </is>
      </c>
      <c r="H79" s="604" t="n"/>
      <c r="I79" s="604" t="n"/>
      <c r="J79" s="604" t="n"/>
      <c r="K79" s="604" t="n"/>
      <c r="L79" s="604" t="n"/>
      <c r="M79" s="604" t="n">
        <v>9.1766452272</v>
      </c>
      <c r="N79" s="604" t="n"/>
      <c r="O79" s="604" t="n"/>
      <c r="P79" s="604" t="n"/>
      <c r="Q79" s="604" t="n"/>
      <c r="R79" s="604" t="n"/>
      <c r="S79" s="604" t="n"/>
      <c r="T79" s="604" t="n"/>
      <c r="U79" s="604" t="n"/>
      <c r="V79" s="604" t="n"/>
      <c r="W79" s="604" t="n"/>
      <c r="X79" s="604" t="n"/>
      <c r="Y79" s="604" t="n"/>
      <c r="Z79" s="604" t="n"/>
      <c r="AA79" s="604" t="n"/>
      <c r="AB79" s="604" t="n"/>
      <c r="AC79" s="604" t="n"/>
      <c r="AD79" s="604" t="n"/>
      <c r="AE79" s="604" t="n"/>
      <c r="AF79" s="604" t="n"/>
      <c r="AG79" s="604" t="n"/>
      <c r="AH79" s="604" t="n">
        <v>2.419427524799999</v>
      </c>
      <c r="AI79" s="604" t="n">
        <v>0</v>
      </c>
      <c r="AJ79" s="604" t="n">
        <v>11.596072752</v>
      </c>
    </row>
    <row r="80" hidden="1" s="584">
      <c r="A80" s="43" t="n">
        <v>25.4</v>
      </c>
      <c r="B80" s="43" t="n">
        <v>25.4</v>
      </c>
      <c r="C80" t="n">
        <v>0</v>
      </c>
      <c r="D80" s="43" t="n">
        <v>1.6</v>
      </c>
      <c r="E80" t="inlineStr">
        <is>
          <t>ERW 1</t>
        </is>
      </c>
      <c r="F80" t="inlineStr">
        <is>
          <t>FC</t>
        </is>
      </c>
      <c r="G80" t="inlineStr">
        <is>
          <t>25.4-0-1.6-ERW 1-FC</t>
        </is>
      </c>
      <c r="H80" s="604" t="n"/>
      <c r="I80" s="604" t="n"/>
      <c r="J80" s="604" t="n"/>
      <c r="K80" s="604" t="n"/>
      <c r="L80" s="604" t="n"/>
      <c r="M80" s="604" t="n"/>
      <c r="N80" s="604" t="n">
        <v>0</v>
      </c>
      <c r="O80" s="604" t="n"/>
      <c r="P80" s="604" t="n"/>
      <c r="Q80" s="604" t="n">
        <v>0</v>
      </c>
      <c r="R80" s="604" t="n"/>
      <c r="S80" s="604" t="n"/>
      <c r="T80" s="604" t="n"/>
      <c r="U80" s="604" t="n"/>
      <c r="V80" s="604" t="n"/>
      <c r="W80" s="604" t="n">
        <v>0</v>
      </c>
      <c r="X80" s="604" t="n"/>
      <c r="Y80" s="604" t="n"/>
      <c r="Z80" s="604" t="n"/>
      <c r="AA80" s="604" t="n"/>
      <c r="AB80" s="604" t="n"/>
      <c r="AC80" s="604" t="n"/>
      <c r="AD80" s="604" t="n"/>
      <c r="AE80" s="604" t="n"/>
      <c r="AF80" s="604" t="n"/>
      <c r="AG80" s="604" t="n"/>
      <c r="AH80" s="604" t="n"/>
      <c r="AI80" s="604" t="n"/>
      <c r="AJ80" s="604" t="n">
        <v>0</v>
      </c>
    </row>
    <row r="81" hidden="1" s="584">
      <c r="A81" s="43" t="n">
        <v>25.4</v>
      </c>
      <c r="B81" s="43" t="n">
        <v>25.4</v>
      </c>
      <c r="C81" t="n">
        <v>0</v>
      </c>
      <c r="D81" s="43" t="n">
        <v>1.6</v>
      </c>
      <c r="E81" t="inlineStr">
        <is>
          <t>ERW 1</t>
        </is>
      </c>
      <c r="F81" t="inlineStr">
        <is>
          <t>PE</t>
        </is>
      </c>
      <c r="G81" t="inlineStr">
        <is>
          <t>25.4-0-1.6-ERW 1-PE</t>
        </is>
      </c>
      <c r="H81" s="604" t="n">
        <v>19.4484948224</v>
      </c>
      <c r="I81" s="604" t="n"/>
      <c r="J81" s="604" t="n"/>
      <c r="K81" s="604" t="n"/>
      <c r="L81" s="604" t="n"/>
      <c r="M81" s="604" t="n">
        <v>4.8433510272</v>
      </c>
      <c r="N81" s="604" t="n"/>
      <c r="O81" s="604" t="n"/>
      <c r="P81" s="604" t="n">
        <v>0</v>
      </c>
      <c r="Q81" s="604" t="n"/>
      <c r="R81" s="604" t="n"/>
      <c r="S81" s="604" t="n"/>
      <c r="T81" s="604" t="n"/>
      <c r="U81" s="604" t="n"/>
      <c r="V81" s="604" t="n"/>
      <c r="W81" s="604" t="n"/>
      <c r="X81" s="604" t="n"/>
      <c r="Y81" s="604" t="n"/>
      <c r="Z81" s="604" t="n"/>
      <c r="AA81" s="604" t="n"/>
      <c r="AB81" s="604" t="n"/>
      <c r="AC81" s="604" t="n"/>
      <c r="AD81" s="604" t="n"/>
      <c r="AE81" s="604" t="n"/>
      <c r="AF81" s="604" t="n"/>
      <c r="AG81" s="604" t="n"/>
      <c r="AH81" s="604" t="n">
        <v>0</v>
      </c>
      <c r="AI81" s="604" t="n"/>
      <c r="AJ81" s="604" t="n">
        <v>24.2918458496</v>
      </c>
    </row>
    <row r="82">
      <c r="A82" s="43" t="n">
        <v>25.4</v>
      </c>
      <c r="B82" s="43" t="n">
        <v>25.4</v>
      </c>
      <c r="C82" t="n">
        <v>0</v>
      </c>
      <c r="D82" s="43" t="n">
        <v>2</v>
      </c>
      <c r="E82" t="inlineStr">
        <is>
          <t>ERW 1</t>
        </is>
      </c>
      <c r="F82" t="inlineStr">
        <is>
          <t>FC</t>
        </is>
      </c>
      <c r="G82" t="inlineStr">
        <is>
          <t>25.4-0-2-ERW 1-FC</t>
        </is>
      </c>
      <c r="H82" s="604" t="n"/>
      <c r="I82" s="604" t="n">
        <v>0</v>
      </c>
      <c r="J82" s="604" t="n">
        <v>4.199006448</v>
      </c>
      <c r="K82" s="604" t="n"/>
      <c r="L82" s="604" t="n"/>
      <c r="M82" s="604" t="n">
        <v>6.69072456</v>
      </c>
      <c r="N82" s="604" t="n"/>
      <c r="O82" s="604" t="n"/>
      <c r="P82" s="604" t="n">
        <v>0</v>
      </c>
      <c r="Q82" s="604" t="n"/>
      <c r="R82" s="604" t="n"/>
      <c r="S82" s="604" t="n"/>
      <c r="T82" s="604" t="n"/>
      <c r="U82" s="604" t="n"/>
      <c r="V82" s="604" t="n">
        <v>7.821226295999999</v>
      </c>
      <c r="W82" s="604" t="n"/>
      <c r="X82" s="604" t="n"/>
      <c r="Y82" s="604" t="n">
        <v>10.2070740739968</v>
      </c>
      <c r="Z82" s="604" t="n">
        <v>0</v>
      </c>
      <c r="AA82" s="604" t="n">
        <v>6.483081384</v>
      </c>
      <c r="AB82" s="604" t="n"/>
      <c r="AC82" s="604" t="n"/>
      <c r="AD82" s="604" t="n"/>
      <c r="AE82" s="604" t="n"/>
      <c r="AF82" s="604" t="n"/>
      <c r="AG82" s="604" t="n"/>
      <c r="AH82" s="604" t="n"/>
      <c r="AI82" s="604" t="n"/>
      <c r="AJ82" s="604" t="n">
        <v>35.4011127619968</v>
      </c>
    </row>
    <row r="83">
      <c r="A83" s="43" t="n">
        <v>25.4</v>
      </c>
      <c r="B83" s="43" t="n">
        <v>25.4</v>
      </c>
      <c r="C83" t="n">
        <v>0</v>
      </c>
      <c r="D83" s="43" t="n">
        <v>2</v>
      </c>
      <c r="E83" t="inlineStr">
        <is>
          <t>ERW 1</t>
        </is>
      </c>
      <c r="F83" t="inlineStr">
        <is>
          <t>FC</t>
        </is>
      </c>
      <c r="G83" t="inlineStr">
        <is>
          <t>(blank)</t>
        </is>
      </c>
      <c r="H83" s="604" t="n"/>
      <c r="I83" s="604" t="n"/>
      <c r="J83" s="604" t="n"/>
      <c r="K83" s="604" t="n"/>
      <c r="L83" s="604" t="n"/>
      <c r="M83" s="604" t="n"/>
      <c r="N83" s="604" t="n"/>
      <c r="O83" s="604" t="n"/>
      <c r="P83" s="604" t="n"/>
      <c r="Q83" s="604" t="n"/>
      <c r="R83" s="604" t="n"/>
      <c r="S83" s="604" t="n"/>
      <c r="T83" s="604" t="n"/>
      <c r="U83" s="604" t="n"/>
      <c r="V83" s="604" t="n">
        <v>1.8099563508</v>
      </c>
      <c r="W83" s="604" t="n"/>
      <c r="X83" s="604" t="n"/>
      <c r="Y83" s="604" t="n"/>
      <c r="Z83" s="604" t="n"/>
      <c r="AA83" s="604" t="n"/>
      <c r="AB83" s="604" t="n"/>
      <c r="AC83" s="604" t="n"/>
      <c r="AD83" s="604" t="n"/>
      <c r="AE83" s="604" t="n"/>
      <c r="AF83" s="604" t="n"/>
      <c r="AG83" s="604" t="n"/>
      <c r="AH83" s="604" t="n"/>
      <c r="AI83" s="604" t="n"/>
      <c r="AJ83" s="604" t="n">
        <v>1.8099563508</v>
      </c>
    </row>
    <row r="84" hidden="1" s="584">
      <c r="A84" s="43" t="n">
        <v>25.4</v>
      </c>
      <c r="B84" s="43" t="n">
        <v>25.4</v>
      </c>
      <c r="C84" t="n">
        <v>0</v>
      </c>
      <c r="D84" s="43" t="n">
        <v>2</v>
      </c>
      <c r="E84" t="inlineStr">
        <is>
          <t>ERW 1</t>
        </is>
      </c>
      <c r="F84" t="inlineStr">
        <is>
          <t>PE</t>
        </is>
      </c>
      <c r="G84" t="inlineStr">
        <is>
          <t>25.4-0-2-ERW 1-PE</t>
        </is>
      </c>
      <c r="H84" s="604" t="n"/>
      <c r="I84" s="604" t="n"/>
      <c r="J84" s="604" t="n"/>
      <c r="K84" s="604" t="n"/>
      <c r="L84" s="604" t="n"/>
      <c r="M84" s="604" t="n"/>
      <c r="N84" s="604" t="n"/>
      <c r="O84" s="604" t="n"/>
      <c r="P84" s="604" t="n"/>
      <c r="Q84" s="604" t="n"/>
      <c r="R84" s="604" t="n"/>
      <c r="S84" s="604" t="n">
        <v>6.540760044000001</v>
      </c>
      <c r="T84" s="604" t="n"/>
      <c r="U84" s="604" t="n"/>
      <c r="V84" s="604" t="n"/>
      <c r="W84" s="604" t="n"/>
      <c r="X84" s="604" t="n"/>
      <c r="Y84" s="604" t="n">
        <v>0</v>
      </c>
      <c r="Z84" s="604" t="n"/>
      <c r="AA84" s="604" t="n"/>
      <c r="AB84" s="604" t="n"/>
      <c r="AC84" s="604" t="n"/>
      <c r="AD84" s="604" t="n"/>
      <c r="AE84" s="604" t="n"/>
      <c r="AF84" s="604" t="n"/>
      <c r="AG84" s="604" t="n"/>
      <c r="AH84" s="604" t="n"/>
      <c r="AI84" s="604" t="n">
        <v>10.4559874848</v>
      </c>
      <c r="AJ84" s="604" t="n">
        <v>16.9967475288</v>
      </c>
    </row>
    <row r="85" hidden="1" s="584">
      <c r="A85" s="43" t="n">
        <v>25.4</v>
      </c>
      <c r="B85" s="43" t="n">
        <v>25.4</v>
      </c>
      <c r="C85" t="n">
        <v>0</v>
      </c>
      <c r="D85" s="43" t="n">
        <v>2</v>
      </c>
      <c r="E85" t="inlineStr">
        <is>
          <t>ERW 1</t>
        </is>
      </c>
      <c r="F85" t="inlineStr">
        <is>
          <t>(blank)</t>
        </is>
      </c>
      <c r="G85" t="inlineStr">
        <is>
          <t>25.4-0-2-ERW 1-</t>
        </is>
      </c>
      <c r="H85" s="604" t="n"/>
      <c r="I85" s="604" t="n"/>
      <c r="J85" s="604" t="n"/>
      <c r="K85" s="604" t="n"/>
      <c r="L85" s="604" t="n"/>
      <c r="M85" s="604" t="n"/>
      <c r="N85" s="604" t="n"/>
      <c r="O85" s="604" t="n"/>
      <c r="P85" s="604" t="n"/>
      <c r="Q85" s="604" t="n"/>
      <c r="R85" s="604" t="n"/>
      <c r="S85" s="604" t="n"/>
      <c r="T85" s="604" t="n"/>
      <c r="U85" s="604" t="n"/>
      <c r="V85" s="604" t="n"/>
      <c r="W85" s="604" t="n">
        <v>0</v>
      </c>
      <c r="X85" s="604" t="n"/>
      <c r="Y85" s="604" t="n"/>
      <c r="Z85" s="604" t="n"/>
      <c r="AA85" s="604" t="n"/>
      <c r="AB85" s="604" t="n"/>
      <c r="AC85" s="604" t="n"/>
      <c r="AD85" s="604" t="n"/>
      <c r="AE85" s="604" t="n"/>
      <c r="AF85" s="604" t="n"/>
      <c r="AG85" s="604" t="n"/>
      <c r="AH85" s="604" t="n"/>
      <c r="AI85" s="604" t="n"/>
      <c r="AJ85" s="604" t="n">
        <v>0</v>
      </c>
    </row>
    <row r="86">
      <c r="A86" s="43" t="n">
        <v>25.4</v>
      </c>
      <c r="B86" s="43" t="n">
        <v>25.4</v>
      </c>
      <c r="C86" t="n">
        <v>0</v>
      </c>
      <c r="D86" s="43" t="n">
        <v>2</v>
      </c>
      <c r="E86" t="inlineStr">
        <is>
          <t>(blank)</t>
        </is>
      </c>
      <c r="F86" t="inlineStr">
        <is>
          <t>(blank)</t>
        </is>
      </c>
      <c r="G86" t="inlineStr">
        <is>
          <t>25.4-0-2--</t>
        </is>
      </c>
      <c r="H86" s="604" t="n"/>
      <c r="I86" s="604" t="n">
        <v>0</v>
      </c>
      <c r="J86" s="604" t="n"/>
      <c r="K86" s="604" t="n"/>
      <c r="L86" s="604" t="n">
        <v>0</v>
      </c>
      <c r="M86" s="604" t="n"/>
      <c r="N86" s="604" t="n"/>
      <c r="O86" s="604" t="n"/>
      <c r="P86" s="604" t="n">
        <v>0</v>
      </c>
      <c r="Q86" s="604" t="n"/>
      <c r="R86" s="604" t="n"/>
      <c r="S86" s="604" t="n"/>
      <c r="T86" s="604" t="n"/>
      <c r="U86" s="604" t="n"/>
      <c r="V86" s="604" t="n"/>
      <c r="W86" s="604" t="n"/>
      <c r="X86" s="604" t="n"/>
      <c r="Y86" s="604" t="n"/>
      <c r="Z86" s="604" t="n"/>
      <c r="AA86" s="604" t="n"/>
      <c r="AB86" s="604" t="n"/>
      <c r="AC86" s="604" t="n"/>
      <c r="AD86" s="604" t="n"/>
      <c r="AE86" s="604" t="n"/>
      <c r="AF86" s="604" t="n"/>
      <c r="AG86" s="604" t="n"/>
      <c r="AH86" s="604" t="n"/>
      <c r="AI86" s="604" t="n"/>
      <c r="AJ86" s="604" t="n">
        <v>0</v>
      </c>
    </row>
    <row r="87" hidden="1" s="584">
      <c r="A87" s="43" t="n">
        <v>25.4</v>
      </c>
      <c r="B87" s="43" t="n">
        <v>25.4</v>
      </c>
      <c r="C87" t="n">
        <v>0</v>
      </c>
      <c r="D87" s="43" t="n">
        <v>2.5</v>
      </c>
      <c r="E87" t="inlineStr">
        <is>
          <t>CEW</t>
        </is>
      </c>
      <c r="F87" t="inlineStr">
        <is>
          <t>CEW</t>
        </is>
      </c>
      <c r="G87" t="inlineStr">
        <is>
          <t>25.4-0-2.5-CEW-CEW</t>
        </is>
      </c>
      <c r="H87" s="604" t="n"/>
      <c r="I87" s="604" t="n"/>
      <c r="J87" s="604" t="n"/>
      <c r="K87" s="604" t="n"/>
      <c r="L87" s="604" t="n"/>
      <c r="M87" s="604" t="n">
        <v>9.186620677499999</v>
      </c>
      <c r="N87" s="604" t="n"/>
      <c r="O87" s="604" t="n"/>
      <c r="P87" s="604" t="n"/>
      <c r="Q87" s="604" t="n"/>
      <c r="R87" s="604" t="n">
        <v>6.124413784999999</v>
      </c>
      <c r="S87" s="604" t="n"/>
      <c r="T87" s="604" t="n"/>
      <c r="U87" s="604" t="n"/>
      <c r="V87" s="604" t="n"/>
      <c r="W87" s="604" t="n"/>
      <c r="X87" s="604" t="n"/>
      <c r="Y87" s="604" t="n"/>
      <c r="Z87" s="604" t="n"/>
      <c r="AA87" s="604" t="n"/>
      <c r="AB87" s="604" t="n"/>
      <c r="AC87" s="604" t="n"/>
      <c r="AD87" s="604" t="n"/>
      <c r="AE87" s="604" t="n"/>
      <c r="AF87" s="604" t="n"/>
      <c r="AG87" s="604" t="n"/>
      <c r="AH87" s="604" t="n"/>
      <c r="AI87" s="604" t="n"/>
      <c r="AJ87" s="604" t="n">
        <v>15.3110344625</v>
      </c>
    </row>
    <row r="88">
      <c r="A88" s="43" t="n">
        <v>25.4</v>
      </c>
      <c r="B88" s="43" t="n">
        <v>25.4</v>
      </c>
      <c r="C88" t="n">
        <v>0</v>
      </c>
      <c r="D88" s="43" t="n">
        <v>2.5</v>
      </c>
      <c r="E88" t="inlineStr">
        <is>
          <t>ERW 1</t>
        </is>
      </c>
      <c r="F88" t="inlineStr">
        <is>
          <t>FC</t>
        </is>
      </c>
      <c r="G88" t="inlineStr">
        <is>
          <t>25.4-0-2.5-ERW 1-FC</t>
        </is>
      </c>
      <c r="H88" s="604" t="n"/>
      <c r="I88" s="604" t="n"/>
      <c r="J88" s="604" t="n"/>
      <c r="K88" s="604" t="n"/>
      <c r="L88" s="604" t="n"/>
      <c r="M88" s="604" t="n"/>
      <c r="N88" s="604" t="n"/>
      <c r="O88" s="604" t="n"/>
      <c r="P88" s="604" t="n"/>
      <c r="Q88" s="604" t="n"/>
      <c r="R88" s="604" t="n"/>
      <c r="S88" s="604" t="n"/>
      <c r="T88" s="604" t="n"/>
      <c r="U88" s="604" t="n"/>
      <c r="V88" s="604" t="n"/>
      <c r="W88" s="604" t="n"/>
      <c r="X88" s="604" t="n"/>
      <c r="Y88" s="604" t="n">
        <v>32.45303298378825</v>
      </c>
      <c r="Z88" s="604" t="n"/>
      <c r="AA88" s="604" t="n"/>
      <c r="AB88" s="604" t="n"/>
      <c r="AC88" s="604" t="n"/>
      <c r="AD88" s="604" t="n"/>
      <c r="AE88" s="604" t="n"/>
      <c r="AF88" s="604" t="n"/>
      <c r="AG88" s="604" t="n"/>
      <c r="AH88" s="604" t="n"/>
      <c r="AI88" s="604" t="n"/>
      <c r="AJ88" s="604" t="n">
        <v>32.45303298378825</v>
      </c>
    </row>
    <row r="89" hidden="1" s="584">
      <c r="A89" s="43" t="n">
        <v>25.4</v>
      </c>
      <c r="B89" s="43" t="n">
        <v>25.4</v>
      </c>
      <c r="C89" t="n">
        <v>0</v>
      </c>
      <c r="D89" s="43" t="n">
        <v>2.5</v>
      </c>
      <c r="E89" t="inlineStr">
        <is>
          <t>ERW 1</t>
        </is>
      </c>
      <c r="F89" t="inlineStr">
        <is>
          <t>(blank)</t>
        </is>
      </c>
      <c r="G89" t="inlineStr">
        <is>
          <t>25.4-0-2.5-ERW 1-</t>
        </is>
      </c>
      <c r="H89" s="604" t="n"/>
      <c r="I89" s="604" t="n"/>
      <c r="J89" s="604" t="n"/>
      <c r="K89" s="604" t="n"/>
      <c r="L89" s="604" t="n"/>
      <c r="M89" s="604" t="n"/>
      <c r="N89" s="604" t="n">
        <v>0</v>
      </c>
      <c r="O89" s="604" t="n"/>
      <c r="P89" s="604" t="n"/>
      <c r="Q89" s="604" t="n"/>
      <c r="R89" s="604" t="n"/>
      <c r="S89" s="604" t="n"/>
      <c r="T89" s="604" t="n"/>
      <c r="U89" s="604" t="n"/>
      <c r="V89" s="604" t="n"/>
      <c r="W89" s="604" t="n"/>
      <c r="X89" s="604" t="n"/>
      <c r="Y89" s="604" t="n"/>
      <c r="Z89" s="604" t="n"/>
      <c r="AA89" s="604" t="n"/>
      <c r="AB89" s="604" t="n"/>
      <c r="AC89" s="604" t="n"/>
      <c r="AD89" s="604" t="n"/>
      <c r="AE89" s="604" t="n"/>
      <c r="AF89" s="604" t="n"/>
      <c r="AG89" s="604" t="n"/>
      <c r="AH89" s="604" t="n"/>
      <c r="AI89" s="604" t="n"/>
      <c r="AJ89" s="604" t="n">
        <v>0</v>
      </c>
    </row>
    <row r="90" hidden="1" s="584">
      <c r="A90" s="43" t="n">
        <v>25.4</v>
      </c>
      <c r="B90" s="43" t="n">
        <v>25.4</v>
      </c>
      <c r="C90" t="n">
        <v>0</v>
      </c>
      <c r="D90" s="43" t="n">
        <v>2.6</v>
      </c>
      <c r="E90" t="inlineStr">
        <is>
          <t>ERW 1</t>
        </is>
      </c>
      <c r="F90" t="inlineStr">
        <is>
          <t>(blank)</t>
        </is>
      </c>
      <c r="G90" t="inlineStr">
        <is>
          <t>25.4-0-2.6-ERW 1-</t>
        </is>
      </c>
      <c r="H90" s="604" t="n"/>
      <c r="I90" s="604" t="n"/>
      <c r="J90" s="604" t="n"/>
      <c r="K90" s="604" t="n"/>
      <c r="L90" s="604" t="n"/>
      <c r="M90" s="604" t="n"/>
      <c r="N90" s="604" t="n"/>
      <c r="O90" s="604" t="n"/>
      <c r="P90" s="604" t="n">
        <v>0</v>
      </c>
      <c r="Q90" s="604" t="n">
        <v>0</v>
      </c>
      <c r="R90" s="604" t="n"/>
      <c r="S90" s="604" t="n"/>
      <c r="T90" s="604" t="n"/>
      <c r="U90" s="604" t="n"/>
      <c r="V90" s="604" t="n"/>
      <c r="W90" s="604" t="n"/>
      <c r="X90" s="604" t="n"/>
      <c r="Y90" s="604" t="n"/>
      <c r="Z90" s="604" t="n"/>
      <c r="AA90" s="604" t="n"/>
      <c r="AB90" s="604" t="n"/>
      <c r="AC90" s="604" t="n"/>
      <c r="AD90" s="604" t="n"/>
      <c r="AE90" s="604" t="n"/>
      <c r="AF90" s="604" t="n"/>
      <c r="AG90" s="604" t="n"/>
      <c r="AH90" s="604" t="n"/>
      <c r="AI90" s="604" t="n"/>
      <c r="AJ90" s="604" t="n">
        <v>0</v>
      </c>
    </row>
    <row r="91" hidden="1" s="584">
      <c r="A91" s="43" t="n">
        <v>25.4</v>
      </c>
      <c r="B91" s="43" t="n">
        <v>25.4</v>
      </c>
      <c r="C91" t="n">
        <v>18.4</v>
      </c>
      <c r="D91" s="43" t="n">
        <v>3.5</v>
      </c>
      <c r="E91" t="inlineStr">
        <is>
          <t>CEW</t>
        </is>
      </c>
      <c r="F91" t="inlineStr">
        <is>
          <t>CEW</t>
        </is>
      </c>
      <c r="G91" t="inlineStr">
        <is>
          <t>25.4-18.4-3.5-CEW-CEW</t>
        </is>
      </c>
      <c r="H91" s="604" t="n"/>
      <c r="I91" s="604" t="n"/>
      <c r="J91" s="604" t="n"/>
      <c r="K91" s="604" t="n"/>
      <c r="L91" s="604" t="n"/>
      <c r="M91" s="604" t="n"/>
      <c r="N91" s="604" t="n"/>
      <c r="O91" s="604" t="n">
        <v>35.3194313199</v>
      </c>
      <c r="P91" s="604" t="n"/>
      <c r="Q91" s="604" t="n"/>
      <c r="R91" s="604" t="n"/>
      <c r="S91" s="604" t="n"/>
      <c r="T91" s="604" t="n"/>
      <c r="U91" s="604" t="n"/>
      <c r="V91" s="604" t="n"/>
      <c r="W91" s="604" t="n"/>
      <c r="X91" s="604" t="n"/>
      <c r="Y91" s="604" t="n"/>
      <c r="Z91" s="604" t="n"/>
      <c r="AA91" s="604" t="n"/>
      <c r="AB91" s="604" t="n"/>
      <c r="AC91" s="604" t="n"/>
      <c r="AD91" s="604" t="n"/>
      <c r="AE91" s="604" t="n"/>
      <c r="AF91" s="604" t="n"/>
      <c r="AG91" s="604" t="n"/>
      <c r="AH91" s="604" t="n"/>
      <c r="AI91" s="604" t="n"/>
      <c r="AJ91" s="604" t="n">
        <v>35.3194313199</v>
      </c>
    </row>
    <row r="92" hidden="1" s="584">
      <c r="A92" s="43" t="n">
        <v>25.4</v>
      </c>
      <c r="B92" s="43" t="n">
        <v>25.4</v>
      </c>
      <c r="C92" t="n">
        <v>18.4</v>
      </c>
      <c r="D92" s="43" t="n">
        <v>3.5</v>
      </c>
      <c r="E92" t="inlineStr">
        <is>
          <t>CEW</t>
        </is>
      </c>
      <c r="F92" t="inlineStr">
        <is>
          <t>(blank)</t>
        </is>
      </c>
      <c r="G92" t="inlineStr">
        <is>
          <t>25.4-18.4-3.5-CEW-</t>
        </is>
      </c>
      <c r="H92" s="604" t="n"/>
      <c r="I92" s="604" t="n"/>
      <c r="J92" s="604" t="n"/>
      <c r="K92" s="604" t="n"/>
      <c r="L92" s="604" t="n"/>
      <c r="M92" s="604" t="n"/>
      <c r="N92" s="604" t="n"/>
      <c r="O92" s="604" t="n">
        <v>0</v>
      </c>
      <c r="P92" s="604" t="n"/>
      <c r="Q92" s="604" t="n"/>
      <c r="R92" s="604" t="n"/>
      <c r="S92" s="604" t="n"/>
      <c r="T92" s="604" t="n"/>
      <c r="U92" s="604" t="n"/>
      <c r="V92" s="604" t="n"/>
      <c r="W92" s="604" t="n"/>
      <c r="X92" s="604" t="n"/>
      <c r="Y92" s="604" t="n"/>
      <c r="Z92" s="604" t="n"/>
      <c r="AA92" s="604" t="n"/>
      <c r="AB92" s="604" t="n"/>
      <c r="AC92" s="604" t="n"/>
      <c r="AD92" s="604" t="n"/>
      <c r="AE92" s="604" t="n"/>
      <c r="AF92" s="604" t="n"/>
      <c r="AG92" s="604" t="n"/>
      <c r="AH92" s="604" t="n"/>
      <c r="AI92" s="604" t="n"/>
      <c r="AJ92" s="604" t="n">
        <v>0</v>
      </c>
    </row>
    <row r="93" hidden="1" s="584">
      <c r="A93" s="43" t="n">
        <v>25.4</v>
      </c>
      <c r="B93" s="43" t="n">
        <v>25.4</v>
      </c>
      <c r="C93" t="n">
        <v>19</v>
      </c>
      <c r="D93" s="43" t="n">
        <v>3.2</v>
      </c>
      <c r="E93" t="inlineStr">
        <is>
          <t>CEW</t>
        </is>
      </c>
      <c r="F93" t="inlineStr">
        <is>
          <t>CEW</t>
        </is>
      </c>
      <c r="G93" t="inlineStr">
        <is>
          <t>25.4-19-3.2-CEW-CEW</t>
        </is>
      </c>
      <c r="H93" s="604" t="n"/>
      <c r="I93" s="604" t="n"/>
      <c r="J93" s="604" t="n"/>
      <c r="K93" s="604" t="n"/>
      <c r="L93" s="604" t="n"/>
      <c r="M93" s="604" t="n"/>
      <c r="N93" s="604" t="n"/>
      <c r="O93" s="604" t="n"/>
      <c r="P93" s="604" t="n"/>
      <c r="Q93" s="604" t="n"/>
      <c r="R93" s="604" t="n"/>
      <c r="S93" s="604" t="n"/>
      <c r="T93" s="604" t="n"/>
      <c r="U93" s="604" t="n"/>
      <c r="V93" s="604" t="n"/>
      <c r="W93" s="604" t="n"/>
      <c r="X93" s="604" t="n"/>
      <c r="Y93" s="604" t="n">
        <v>0</v>
      </c>
      <c r="Z93" s="604" t="n"/>
      <c r="AA93" s="604" t="n"/>
      <c r="AB93" s="604" t="n"/>
      <c r="AC93" s="604" t="n"/>
      <c r="AD93" s="604" t="n"/>
      <c r="AE93" s="604" t="n"/>
      <c r="AF93" s="604" t="n"/>
      <c r="AG93" s="604" t="n"/>
      <c r="AH93" s="604" t="n">
        <v>0</v>
      </c>
      <c r="AI93" s="604" t="n">
        <v>3.50212992</v>
      </c>
      <c r="AJ93" s="604" t="n">
        <v>3.50212992</v>
      </c>
    </row>
    <row r="94">
      <c r="A94" s="43" t="n">
        <v>25.4</v>
      </c>
      <c r="B94" s="43" t="n">
        <v>25.4</v>
      </c>
      <c r="C94" t="n">
        <v>19</v>
      </c>
      <c r="D94" s="43" t="n">
        <v>3.2</v>
      </c>
      <c r="E94" t="inlineStr">
        <is>
          <t>CEW</t>
        </is>
      </c>
      <c r="F94" t="inlineStr">
        <is>
          <t>(blank)</t>
        </is>
      </c>
      <c r="G94" t="inlineStr">
        <is>
          <t>25.4-19-3.2-CEW-</t>
        </is>
      </c>
      <c r="H94" s="604" t="n"/>
      <c r="I94" s="604" t="n"/>
      <c r="J94" s="604" t="n"/>
      <c r="K94" s="604" t="n"/>
      <c r="L94" s="604" t="n"/>
      <c r="M94" s="604" t="n"/>
      <c r="N94" s="604" t="n"/>
      <c r="O94" s="604" t="n"/>
      <c r="P94" s="604" t="n"/>
      <c r="Q94" s="604" t="n">
        <v>0</v>
      </c>
      <c r="R94" s="604" t="n"/>
      <c r="S94" s="604" t="n"/>
      <c r="T94" s="604" t="n"/>
      <c r="U94" s="604" t="n"/>
      <c r="V94" s="604" t="n"/>
      <c r="W94" s="604" t="n"/>
      <c r="X94" s="604" t="n"/>
      <c r="Y94" s="604" t="n"/>
      <c r="Z94" s="604" t="n"/>
      <c r="AA94" s="604" t="n"/>
      <c r="AB94" s="604" t="n"/>
      <c r="AC94" s="604" t="n"/>
      <c r="AD94" s="604" t="n"/>
      <c r="AE94" s="604" t="n"/>
      <c r="AF94" s="604" t="n"/>
      <c r="AG94" s="604" t="n"/>
      <c r="AH94" s="604" t="n"/>
      <c r="AI94" s="604" t="n"/>
      <c r="AJ94" s="604" t="n">
        <v>0</v>
      </c>
    </row>
    <row r="95">
      <c r="A95" s="43" t="n">
        <v>25.4</v>
      </c>
      <c r="B95" s="43" t="n">
        <v>25.4</v>
      </c>
      <c r="C95" t="n">
        <v>20.4</v>
      </c>
      <c r="D95" s="43" t="n">
        <v>2.5</v>
      </c>
      <c r="E95" t="inlineStr">
        <is>
          <t>CEW</t>
        </is>
      </c>
      <c r="F95" t="inlineStr">
        <is>
          <t>CEW</t>
        </is>
      </c>
      <c r="G95" t="inlineStr">
        <is>
          <t>25.4-20.4-2.5-CEW-CEW</t>
        </is>
      </c>
      <c r="H95" s="604" t="n"/>
      <c r="I95" s="604" t="n"/>
      <c r="J95" s="604" t="n"/>
      <c r="K95" s="604" t="n"/>
      <c r="L95" s="604" t="n"/>
      <c r="M95" s="604" t="n"/>
      <c r="N95" s="604" t="n"/>
      <c r="O95" s="604" t="n"/>
      <c r="P95" s="604" t="n">
        <v>0</v>
      </c>
      <c r="Q95" s="604" t="n"/>
      <c r="R95" s="604" t="n"/>
      <c r="S95" s="604" t="n"/>
      <c r="T95" s="604" t="n"/>
      <c r="U95" s="604" t="n"/>
      <c r="V95" s="604" t="n"/>
      <c r="W95" s="604" t="n"/>
      <c r="X95" s="604" t="n"/>
      <c r="Y95" s="604" t="n"/>
      <c r="Z95" s="604" t="n"/>
      <c r="AA95" s="604" t="n"/>
      <c r="AB95" s="604" t="n"/>
      <c r="AC95" s="604" t="n"/>
      <c r="AD95" s="604" t="n"/>
      <c r="AE95" s="604" t="n"/>
      <c r="AF95" s="604" t="n"/>
      <c r="AG95" s="604" t="n"/>
      <c r="AH95" s="604" t="n"/>
      <c r="AI95" s="604" t="n"/>
      <c r="AJ95" s="604" t="n">
        <v>0</v>
      </c>
    </row>
    <row r="96" hidden="1" s="584">
      <c r="A96" s="43" t="n">
        <v>25.4</v>
      </c>
      <c r="B96" s="43" t="n">
        <v>25.4</v>
      </c>
      <c r="C96" t="n">
        <v>20.4</v>
      </c>
      <c r="D96" s="43" t="n">
        <v>2.5</v>
      </c>
      <c r="E96" t="inlineStr">
        <is>
          <t>CEW</t>
        </is>
      </c>
      <c r="F96" t="inlineStr">
        <is>
          <t>(blank)</t>
        </is>
      </c>
      <c r="G96" t="inlineStr">
        <is>
          <t>25.4-20.4-2.5-CEW-</t>
        </is>
      </c>
      <c r="H96" s="604" t="n"/>
      <c r="I96" s="604" t="n"/>
      <c r="J96" s="604" t="n"/>
      <c r="K96" s="604" t="n"/>
      <c r="L96" s="604" t="n"/>
      <c r="M96" s="604" t="n">
        <v>0</v>
      </c>
      <c r="N96" s="604" t="n"/>
      <c r="O96" s="604" t="n"/>
      <c r="P96" s="604" t="n"/>
      <c r="Q96" s="604" t="n"/>
      <c r="R96" s="604" t="n"/>
      <c r="S96" s="604" t="n"/>
      <c r="T96" s="604" t="n"/>
      <c r="U96" s="604" t="n"/>
      <c r="V96" s="604" t="n"/>
      <c r="W96" s="604" t="n"/>
      <c r="X96" s="604" t="n"/>
      <c r="Y96" s="604" t="n"/>
      <c r="Z96" s="604" t="n"/>
      <c r="AA96" s="604" t="n"/>
      <c r="AB96" s="604" t="n"/>
      <c r="AC96" s="604" t="n"/>
      <c r="AD96" s="604" t="n"/>
      <c r="AE96" s="604" t="n"/>
      <c r="AF96" s="604" t="n"/>
      <c r="AG96" s="604" t="n"/>
      <c r="AH96" s="604" t="n"/>
      <c r="AI96" s="604" t="n"/>
      <c r="AJ96" s="604" t="n">
        <v>0</v>
      </c>
    </row>
    <row r="97" hidden="1" s="584">
      <c r="A97" s="43" t="n">
        <v>25.5</v>
      </c>
      <c r="B97" s="43" t="n">
        <v>30.15</v>
      </c>
      <c r="C97" t="n">
        <v>25.5</v>
      </c>
      <c r="D97" s="43" t="n">
        <v>2.32</v>
      </c>
      <c r="E97" t="inlineStr">
        <is>
          <t>CEW</t>
        </is>
      </c>
      <c r="F97" t="inlineStr">
        <is>
          <t>CEW</t>
        </is>
      </c>
      <c r="G97" t="inlineStr">
        <is>
          <t>30.15-25.5-2.32-CEW-CEW</t>
        </is>
      </c>
      <c r="H97" s="604" t="n"/>
      <c r="I97" s="604" t="n"/>
      <c r="J97" s="604" t="n"/>
      <c r="K97" s="604" t="n"/>
      <c r="L97" s="604" t="n"/>
      <c r="M97" s="604" t="n"/>
      <c r="N97" s="604" t="n"/>
      <c r="O97" s="604" t="n"/>
      <c r="P97" s="604" t="n">
        <v>0</v>
      </c>
      <c r="Q97" s="604" t="n"/>
      <c r="R97" s="604" t="n"/>
      <c r="S97" s="604" t="n"/>
      <c r="T97" s="604" t="n"/>
      <c r="U97" s="604" t="n"/>
      <c r="V97" s="604" t="n"/>
      <c r="W97" s="604" t="n"/>
      <c r="X97" s="604" t="n"/>
      <c r="Y97" s="604" t="n"/>
      <c r="Z97" s="604" t="n"/>
      <c r="AA97" s="604" t="n"/>
      <c r="AB97" s="604" t="n"/>
      <c r="AC97" s="604" t="n"/>
      <c r="AD97" s="604" t="n"/>
      <c r="AE97" s="604" t="n"/>
      <c r="AF97" s="604" t="n"/>
      <c r="AG97" s="604" t="n"/>
      <c r="AH97" s="604" t="n"/>
      <c r="AI97" s="604" t="n"/>
      <c r="AJ97" s="604" t="n">
        <v>0</v>
      </c>
    </row>
    <row r="98" hidden="1" s="584">
      <c r="A98" s="43" t="n">
        <v>25.6</v>
      </c>
      <c r="B98" s="43" t="n">
        <v>25.6</v>
      </c>
      <c r="C98" t="n">
        <v>16.6</v>
      </c>
      <c r="D98" s="43" t="n">
        <v>4.5</v>
      </c>
      <c r="E98" t="inlineStr">
        <is>
          <t>CEW</t>
        </is>
      </c>
      <c r="F98" t="inlineStr">
        <is>
          <t>(blank)</t>
        </is>
      </c>
      <c r="G98" t="inlineStr">
        <is>
          <t>25.6-16.6-4.5-CEW-</t>
        </is>
      </c>
      <c r="H98" s="604" t="n"/>
      <c r="I98" s="604" t="n"/>
      <c r="J98" s="604" t="n"/>
      <c r="K98" s="604" t="n"/>
      <c r="L98" s="604" t="n"/>
      <c r="M98" s="604" t="n"/>
      <c r="N98" s="604" t="n"/>
      <c r="O98" s="604" t="n">
        <v>0</v>
      </c>
      <c r="P98" s="604" t="n"/>
      <c r="Q98" s="604" t="n"/>
      <c r="R98" s="604" t="n"/>
      <c r="S98" s="604" t="n"/>
      <c r="T98" s="604" t="n"/>
      <c r="U98" s="604" t="n"/>
      <c r="V98" s="604" t="n"/>
      <c r="W98" s="604" t="n"/>
      <c r="X98" s="604" t="n"/>
      <c r="Y98" s="604" t="n"/>
      <c r="Z98" s="604" t="n"/>
      <c r="AA98" s="604" t="n"/>
      <c r="AB98" s="604" t="n"/>
      <c r="AC98" s="604" t="n"/>
      <c r="AD98" s="604" t="n"/>
      <c r="AE98" s="604" t="n"/>
      <c r="AF98" s="604" t="n"/>
      <c r="AG98" s="604" t="n"/>
      <c r="AH98" s="604" t="n"/>
      <c r="AI98" s="604" t="n"/>
      <c r="AJ98" s="604" t="n">
        <v>0</v>
      </c>
    </row>
    <row r="99">
      <c r="A99" s="43" t="n">
        <v>28.58</v>
      </c>
      <c r="B99" s="43" t="n">
        <v>28.58</v>
      </c>
      <c r="C99" t="n">
        <v>0</v>
      </c>
      <c r="D99" s="43" t="n">
        <v>1.2</v>
      </c>
      <c r="E99" t="inlineStr">
        <is>
          <t>ERW 1</t>
        </is>
      </c>
      <c r="F99" t="inlineStr">
        <is>
          <t>PE</t>
        </is>
      </c>
      <c r="G99" t="inlineStr">
        <is>
          <t>28.58-0-1.2-ERW 1-PE</t>
        </is>
      </c>
      <c r="H99" s="604" t="n"/>
      <c r="I99" s="604" t="n"/>
      <c r="J99" s="604" t="n"/>
      <c r="K99" s="604" t="n"/>
      <c r="L99" s="604" t="n"/>
      <c r="M99" s="604" t="n"/>
      <c r="N99" s="604" t="n"/>
      <c r="O99" s="604" t="n"/>
      <c r="P99" s="604" t="n"/>
      <c r="Q99" s="604" t="n"/>
      <c r="R99" s="604" t="n"/>
      <c r="S99" s="604" t="n"/>
      <c r="T99" s="604" t="n"/>
      <c r="U99" s="604" t="n"/>
      <c r="V99" s="604" t="n"/>
      <c r="W99" s="604" t="n"/>
      <c r="X99" s="604" t="n"/>
      <c r="Y99" s="604" t="n"/>
      <c r="Z99" s="604" t="n">
        <v>3.85496950944</v>
      </c>
      <c r="AA99" s="604" t="n"/>
      <c r="AB99" s="604" t="n"/>
      <c r="AC99" s="604" t="n"/>
      <c r="AD99" s="604" t="n"/>
      <c r="AE99" s="604" t="n"/>
      <c r="AF99" s="604" t="n"/>
      <c r="AG99" s="604" t="n"/>
      <c r="AH99" s="604" t="n">
        <v>0.98803840368</v>
      </c>
      <c r="AI99" s="604" t="n"/>
      <c r="AJ99" s="604" t="n">
        <v>4.843007913119999</v>
      </c>
    </row>
    <row r="100" hidden="1" s="584">
      <c r="A100" s="43" t="n">
        <v>28.58</v>
      </c>
      <c r="B100" s="43" t="n">
        <v>28.58</v>
      </c>
      <c r="C100" t="n">
        <v>0</v>
      </c>
      <c r="D100" s="43" t="n">
        <v>1.6</v>
      </c>
      <c r="E100" t="inlineStr">
        <is>
          <t>ERW 1</t>
        </is>
      </c>
      <c r="F100" t="inlineStr">
        <is>
          <t>FC</t>
        </is>
      </c>
      <c r="G100" t="inlineStr">
        <is>
          <t>28.58-0-1.6-ERW 1-FC</t>
        </is>
      </c>
      <c r="H100" s="604" t="n"/>
      <c r="I100" s="604" t="n">
        <v>5.549010486879999</v>
      </c>
      <c r="J100" s="604" t="n"/>
      <c r="K100" s="604" t="n"/>
      <c r="L100" s="604" t="n"/>
      <c r="M100" s="604" t="n"/>
      <c r="N100" s="604" t="n"/>
      <c r="O100" s="604" t="n"/>
      <c r="P100" s="604" t="n"/>
      <c r="Q100" s="604" t="n"/>
      <c r="R100" s="604" t="n"/>
      <c r="S100" s="604" t="n"/>
      <c r="T100" s="604" t="n"/>
      <c r="U100" s="604" t="n"/>
      <c r="V100" s="604" t="n"/>
      <c r="W100" s="604" t="n"/>
      <c r="X100" s="604" t="n"/>
      <c r="Y100" s="604" t="n"/>
      <c r="Z100" s="604" t="n"/>
      <c r="AA100" s="604" t="n"/>
      <c r="AB100" s="604" t="n"/>
      <c r="AC100" s="604" t="n"/>
      <c r="AD100" s="604" t="n"/>
      <c r="AE100" s="604" t="n"/>
      <c r="AF100" s="604" t="n"/>
      <c r="AG100" s="604" t="n"/>
      <c r="AH100" s="604" t="n"/>
      <c r="AI100" s="604" t="n"/>
      <c r="AJ100" s="604" t="n">
        <v>5.549010486879999</v>
      </c>
    </row>
    <row r="101">
      <c r="A101" s="43" t="n">
        <v>28.58</v>
      </c>
      <c r="B101" s="43" t="n">
        <v>28.58</v>
      </c>
      <c r="C101" t="n">
        <v>0</v>
      </c>
      <c r="D101" s="43" t="n">
        <v>1.6</v>
      </c>
      <c r="E101" t="inlineStr">
        <is>
          <t>ERW 1</t>
        </is>
      </c>
      <c r="F101" t="inlineStr">
        <is>
          <t>PE</t>
        </is>
      </c>
      <c r="G101" t="inlineStr">
        <is>
          <t>28.58-0-1.6-ERW 1-PE</t>
        </is>
      </c>
      <c r="H101" s="604" t="n"/>
      <c r="I101" s="604" t="n"/>
      <c r="J101" s="604" t="n"/>
      <c r="K101" s="604" t="n"/>
      <c r="L101" s="604" t="n"/>
      <c r="M101" s="604" t="n"/>
      <c r="N101" s="604" t="n"/>
      <c r="O101" s="604" t="n"/>
      <c r="P101" s="604" t="n"/>
      <c r="Q101" s="604" t="n"/>
      <c r="R101" s="604" t="n"/>
      <c r="S101" s="604" t="n"/>
      <c r="T101" s="604" t="n"/>
      <c r="U101" s="604" t="n"/>
      <c r="V101" s="604" t="n"/>
      <c r="W101" s="604" t="n"/>
      <c r="X101" s="604" t="n"/>
      <c r="Y101" s="604" t="n"/>
      <c r="Z101" s="604" t="n"/>
      <c r="AA101" s="604" t="n">
        <v>0</v>
      </c>
      <c r="AB101" s="604" t="n"/>
      <c r="AC101" s="604" t="n"/>
      <c r="AD101" s="604" t="n"/>
      <c r="AE101" s="604" t="n"/>
      <c r="AF101" s="604" t="n"/>
      <c r="AG101" s="604" t="n"/>
      <c r="AH101" s="604" t="n"/>
      <c r="AI101" s="604" t="n"/>
      <c r="AJ101" s="604" t="n">
        <v>0</v>
      </c>
    </row>
    <row r="102" hidden="1" s="584">
      <c r="A102" s="43" t="n">
        <v>28.58</v>
      </c>
      <c r="B102" s="43" t="n">
        <v>28.58</v>
      </c>
      <c r="C102" t="n">
        <v>0</v>
      </c>
      <c r="D102" s="43" t="n">
        <v>1.6</v>
      </c>
      <c r="E102" t="inlineStr">
        <is>
          <t>ERW 1</t>
        </is>
      </c>
      <c r="F102" t="inlineStr">
        <is>
          <t>(blank)</t>
        </is>
      </c>
      <c r="G102" t="inlineStr">
        <is>
          <t>28.58-0-1.6-ERW 1-</t>
        </is>
      </c>
      <c r="H102" s="604" t="n"/>
      <c r="I102" s="604" t="n"/>
      <c r="J102" s="604" t="n"/>
      <c r="K102" s="604" t="n"/>
      <c r="L102" s="604" t="n"/>
      <c r="M102" s="604" t="n"/>
      <c r="N102" s="604" t="n">
        <v>0</v>
      </c>
      <c r="O102" s="604" t="n"/>
      <c r="P102" s="604" t="n"/>
      <c r="Q102" s="604" t="n"/>
      <c r="R102" s="604" t="n"/>
      <c r="S102" s="604" t="n"/>
      <c r="T102" s="604" t="n"/>
      <c r="U102" s="604" t="n"/>
      <c r="V102" s="604" t="n"/>
      <c r="W102" s="604" t="n"/>
      <c r="X102" s="604" t="n"/>
      <c r="Y102" s="604" t="n"/>
      <c r="Z102" s="604" t="n"/>
      <c r="AA102" s="604" t="n"/>
      <c r="AB102" s="604" t="n"/>
      <c r="AC102" s="604" t="n"/>
      <c r="AD102" s="604" t="n"/>
      <c r="AE102" s="604" t="n"/>
      <c r="AF102" s="604" t="n"/>
      <c r="AG102" s="604" t="n"/>
      <c r="AH102" s="604" t="n"/>
      <c r="AI102" s="604" t="n"/>
      <c r="AJ102" s="604" t="n">
        <v>0</v>
      </c>
    </row>
    <row r="103">
      <c r="A103" s="43" t="n">
        <v>28.58</v>
      </c>
      <c r="B103" s="43" t="n">
        <v>28.58</v>
      </c>
      <c r="C103" t="n">
        <v>0</v>
      </c>
      <c r="D103" s="43" t="n">
        <v>1.6</v>
      </c>
      <c r="E103" t="inlineStr">
        <is>
          <t>ERW 2</t>
        </is>
      </c>
      <c r="F103" t="inlineStr">
        <is>
          <t>PE</t>
        </is>
      </c>
      <c r="G103" t="inlineStr">
        <is>
          <t>28.58-0-1.6-ERW 2-PE</t>
        </is>
      </c>
      <c r="H103" s="604" t="n"/>
      <c r="I103" s="604" t="n"/>
      <c r="J103" s="604" t="n"/>
      <c r="K103" s="604" t="n"/>
      <c r="L103" s="604" t="n"/>
      <c r="M103" s="604" t="n"/>
      <c r="N103" s="604" t="n"/>
      <c r="O103" s="604" t="n"/>
      <c r="P103" s="604" t="n"/>
      <c r="Q103" s="604" t="n"/>
      <c r="R103" s="604" t="n"/>
      <c r="S103" s="604" t="n"/>
      <c r="T103" s="604" t="n"/>
      <c r="U103" s="604" t="n"/>
      <c r="V103" s="604" t="n"/>
      <c r="W103" s="604" t="n"/>
      <c r="X103" s="604" t="n"/>
      <c r="Y103" s="604" t="n"/>
      <c r="Z103" s="604" t="n"/>
      <c r="AA103" s="604" t="n"/>
      <c r="AB103" s="604" t="n"/>
      <c r="AC103" s="604" t="n"/>
      <c r="AD103" s="604" t="n"/>
      <c r="AE103" s="604" t="n"/>
      <c r="AF103" s="604" t="n"/>
      <c r="AG103" s="604" t="n"/>
      <c r="AH103" s="604" t="n"/>
      <c r="AI103" s="604" t="n">
        <v>0</v>
      </c>
      <c r="AJ103" s="604" t="n">
        <v>0</v>
      </c>
    </row>
    <row r="104">
      <c r="A104" s="43" t="n">
        <v>28.58</v>
      </c>
      <c r="B104" s="43" t="n">
        <v>28.58</v>
      </c>
      <c r="C104" t="n">
        <v>0</v>
      </c>
      <c r="D104" s="43" t="n">
        <v>2</v>
      </c>
      <c r="E104" t="inlineStr">
        <is>
          <t>ERW 1</t>
        </is>
      </c>
      <c r="F104" t="inlineStr">
        <is>
          <t>FC</t>
        </is>
      </c>
      <c r="G104" t="inlineStr">
        <is>
          <t>28.58-0-2-ERW 1-FC</t>
        </is>
      </c>
      <c r="H104" s="604" t="n"/>
      <c r="I104" s="604" t="n">
        <v>6.846530888999998</v>
      </c>
      <c r="J104" s="604" t="n"/>
      <c r="K104" s="604" t="n"/>
      <c r="L104" s="604" t="n"/>
      <c r="M104" s="604" t="n"/>
      <c r="N104" s="604" t="n"/>
      <c r="O104" s="604" t="n"/>
      <c r="P104" s="604" t="n"/>
      <c r="Q104" s="604" t="n"/>
      <c r="R104" s="604" t="n"/>
      <c r="S104" s="604" t="n"/>
      <c r="T104" s="604" t="n"/>
      <c r="U104" s="604" t="n"/>
      <c r="V104" s="604" t="n"/>
      <c r="W104" s="604" t="n"/>
      <c r="X104" s="604" t="n"/>
      <c r="Y104" s="604" t="n"/>
      <c r="Z104" s="604" t="n"/>
      <c r="AA104" s="604" t="n"/>
      <c r="AB104" s="604" t="n"/>
      <c r="AC104" s="604" t="n"/>
      <c r="AD104" s="604" t="n"/>
      <c r="AE104" s="604" t="n"/>
      <c r="AF104" s="604" t="n"/>
      <c r="AG104" s="604" t="n"/>
      <c r="AH104" s="604" t="n"/>
      <c r="AI104" s="604" t="n"/>
      <c r="AJ104" s="604" t="n">
        <v>6.846530888999998</v>
      </c>
    </row>
    <row r="105">
      <c r="A105" s="43" t="n">
        <v>28.6</v>
      </c>
      <c r="B105" s="43" t="n">
        <v>28.6</v>
      </c>
      <c r="C105" t="n">
        <v>0</v>
      </c>
      <c r="D105" s="43" t="n">
        <v>2.6</v>
      </c>
      <c r="E105" t="inlineStr">
        <is>
          <t>CEW</t>
        </is>
      </c>
      <c r="F105" t="inlineStr">
        <is>
          <t>CEW</t>
        </is>
      </c>
      <c r="G105" t="inlineStr">
        <is>
          <t>28.6-0-2.6-CEW-CEW</t>
        </is>
      </c>
      <c r="H105" s="604" t="n"/>
      <c r="I105" s="604" t="n"/>
      <c r="J105" s="604" t="n">
        <v>0</v>
      </c>
      <c r="K105" s="604" t="n"/>
      <c r="L105" s="604" t="n"/>
      <c r="M105" s="604" t="n"/>
      <c r="N105" s="604" t="n"/>
      <c r="O105" s="604" t="n"/>
      <c r="P105" s="604" t="n"/>
      <c r="Q105" s="604" t="n"/>
      <c r="R105" s="604" t="n"/>
      <c r="S105" s="604" t="n"/>
      <c r="T105" s="604" t="n"/>
      <c r="U105" s="604" t="n"/>
      <c r="V105" s="604" t="n"/>
      <c r="W105" s="604" t="n"/>
      <c r="X105" s="604" t="n"/>
      <c r="Y105" s="604" t="n"/>
      <c r="Z105" s="604" t="n"/>
      <c r="AA105" s="604" t="n"/>
      <c r="AB105" s="604" t="n"/>
      <c r="AC105" s="604" t="n"/>
      <c r="AD105" s="604" t="n"/>
      <c r="AE105" s="604" t="n"/>
      <c r="AF105" s="604" t="n"/>
      <c r="AG105" s="604" t="n"/>
      <c r="AH105" s="604" t="n"/>
      <c r="AI105" s="604" t="n"/>
      <c r="AJ105" s="604" t="n">
        <v>0</v>
      </c>
    </row>
    <row r="106" hidden="1" s="584">
      <c r="A106" s="43" t="n">
        <v>28.6</v>
      </c>
      <c r="B106" s="43" t="n">
        <v>28.6</v>
      </c>
      <c r="C106" t="n">
        <v>0</v>
      </c>
      <c r="D106" s="43" t="n">
        <v>2.65</v>
      </c>
      <c r="E106" t="inlineStr">
        <is>
          <t>CEW</t>
        </is>
      </c>
      <c r="F106" t="inlineStr">
        <is>
          <t>CEW</t>
        </is>
      </c>
      <c r="G106" t="inlineStr">
        <is>
          <t>28.6-0-2.65-CEW-CEW</t>
        </is>
      </c>
      <c r="H106" s="604" t="n"/>
      <c r="I106" s="604" t="n">
        <v>22.34076041685</v>
      </c>
      <c r="J106" s="604" t="n"/>
      <c r="K106" s="604" t="n"/>
      <c r="L106" s="604" t="n"/>
      <c r="M106" s="604" t="n">
        <v>0</v>
      </c>
      <c r="N106" s="604" t="n"/>
      <c r="O106" s="604" t="n"/>
      <c r="P106" s="604" t="n"/>
      <c r="Q106" s="604" t="n"/>
      <c r="R106" s="604" t="n"/>
      <c r="S106" s="604" t="n"/>
      <c r="T106" s="604" t="n"/>
      <c r="U106" s="604" t="n"/>
      <c r="V106" s="604" t="n"/>
      <c r="W106" s="604" t="n"/>
      <c r="X106" s="604" t="n"/>
      <c r="Y106" s="604" t="n"/>
      <c r="Z106" s="604" t="n"/>
      <c r="AA106" s="604" t="n"/>
      <c r="AB106" s="604" t="n"/>
      <c r="AC106" s="604" t="n"/>
      <c r="AD106" s="604" t="n"/>
      <c r="AE106" s="604" t="n"/>
      <c r="AF106" s="604" t="n"/>
      <c r="AG106" s="604" t="n"/>
      <c r="AH106" s="604" t="n"/>
      <c r="AI106" s="604" t="n"/>
      <c r="AJ106" s="604" t="n">
        <v>22.34076041685</v>
      </c>
    </row>
    <row r="107">
      <c r="A107" s="43" t="n">
        <v>29.4</v>
      </c>
      <c r="B107" s="43" t="n">
        <v>29.4</v>
      </c>
      <c r="C107" t="n">
        <v>20.4</v>
      </c>
      <c r="D107" s="43" t="n">
        <v>4.5</v>
      </c>
      <c r="E107" t="inlineStr">
        <is>
          <t>CEW</t>
        </is>
      </c>
      <c r="F107" t="inlineStr">
        <is>
          <t>CEW</t>
        </is>
      </c>
      <c r="G107" t="inlineStr">
        <is>
          <t>29.4-20.4-4.5-CEW-CEW</t>
        </is>
      </c>
      <c r="H107" s="604" t="n"/>
      <c r="I107" s="604" t="n"/>
      <c r="J107" s="604" t="n"/>
      <c r="K107" s="604" t="n">
        <v>0</v>
      </c>
      <c r="L107" s="604" t="n"/>
      <c r="M107" s="604" t="n"/>
      <c r="N107" s="604" t="n"/>
      <c r="O107" s="604" t="n"/>
      <c r="P107" s="604" t="n"/>
      <c r="Q107" s="604" t="n"/>
      <c r="R107" s="604" t="n"/>
      <c r="S107" s="604" t="n"/>
      <c r="T107" s="604" t="n"/>
      <c r="U107" s="604" t="n"/>
      <c r="V107" s="604" t="n"/>
      <c r="W107" s="604" t="n"/>
      <c r="X107" s="604" t="n"/>
      <c r="Y107" s="604" t="n"/>
      <c r="Z107" s="604" t="n"/>
      <c r="AA107" s="604" t="n"/>
      <c r="AB107" s="604" t="n"/>
      <c r="AC107" s="604" t="n"/>
      <c r="AD107" s="604" t="n"/>
      <c r="AE107" s="604" t="n"/>
      <c r="AF107" s="604" t="n"/>
      <c r="AG107" s="604" t="n"/>
      <c r="AH107" s="604" t="n"/>
      <c r="AI107" s="604" t="n"/>
      <c r="AJ107" s="604" t="n">
        <v>0</v>
      </c>
    </row>
    <row r="108" hidden="1" s="584">
      <c r="A108" s="43" t="n">
        <v>29.4</v>
      </c>
      <c r="B108" s="43" t="n">
        <v>29.4</v>
      </c>
      <c r="C108" t="n">
        <v>20.4</v>
      </c>
      <c r="D108" s="43" t="n">
        <v>4.5</v>
      </c>
      <c r="E108" t="inlineStr">
        <is>
          <t>CEW STKM 13C</t>
        </is>
      </c>
      <c r="F108" t="inlineStr">
        <is>
          <t>CEW</t>
        </is>
      </c>
      <c r="G108" t="inlineStr">
        <is>
          <t>29.4-20.4-4.5-CEW STKM 13C-CEW</t>
        </is>
      </c>
      <c r="H108" s="604" t="n"/>
      <c r="I108" s="604" t="n"/>
      <c r="J108" s="604" t="n"/>
      <c r="K108" s="604" t="n">
        <v>57.25461092849999</v>
      </c>
      <c r="L108" s="604" t="n"/>
      <c r="M108" s="604" t="n"/>
      <c r="N108" s="604" t="n"/>
      <c r="O108" s="604" t="n"/>
      <c r="P108" s="604" t="n"/>
      <c r="Q108" s="604" t="n"/>
      <c r="R108" s="604" t="n"/>
      <c r="S108" s="604" t="n"/>
      <c r="T108" s="604" t="n"/>
      <c r="U108" s="604" t="n"/>
      <c r="V108" s="604" t="n"/>
      <c r="W108" s="604" t="n"/>
      <c r="X108" s="604" t="n"/>
      <c r="Y108" s="604" t="n"/>
      <c r="Z108" s="604" t="n"/>
      <c r="AA108" s="604" t="n"/>
      <c r="AB108" s="604" t="n"/>
      <c r="AC108" s="604" t="n"/>
      <c r="AD108" s="604" t="n"/>
      <c r="AE108" s="604" t="n"/>
      <c r="AF108" s="604" t="n"/>
      <c r="AG108" s="604" t="n"/>
      <c r="AH108" s="604" t="n"/>
      <c r="AI108" s="604" t="n"/>
      <c r="AJ108" s="604" t="n">
        <v>57.25461092849999</v>
      </c>
    </row>
    <row r="109">
      <c r="A109" s="43" t="n">
        <v>29.4</v>
      </c>
      <c r="B109" s="43" t="n">
        <v>29.4</v>
      </c>
      <c r="C109" t="n">
        <v>20.4</v>
      </c>
      <c r="D109" s="43" t="n">
        <v>4.5</v>
      </c>
      <c r="E109" t="inlineStr">
        <is>
          <t xml:space="preserve">CEW </t>
        </is>
      </c>
      <c r="F109" t="inlineStr">
        <is>
          <t>CEW</t>
        </is>
      </c>
      <c r="G109" t="inlineStr">
        <is>
          <t>29.4-20.4-4.5-CEW-CEW</t>
        </is>
      </c>
      <c r="H109" s="604" t="n"/>
      <c r="I109" s="604" t="n"/>
      <c r="J109" s="604" t="n"/>
      <c r="K109" s="604" t="n">
        <v>44.37025202925</v>
      </c>
      <c r="L109" s="604" t="n"/>
      <c r="M109" s="604" t="n"/>
      <c r="N109" s="604" t="n"/>
      <c r="O109" s="604" t="n"/>
      <c r="P109" s="604" t="n"/>
      <c r="Q109" s="604" t="n"/>
      <c r="R109" s="604" t="n"/>
      <c r="S109" s="604" t="n"/>
      <c r="T109" s="604" t="n"/>
      <c r="U109" s="604" t="n"/>
      <c r="V109" s="604" t="n"/>
      <c r="W109" s="604" t="n"/>
      <c r="X109" s="604" t="n"/>
      <c r="Y109" s="604" t="n"/>
      <c r="Z109" s="604" t="n"/>
      <c r="AA109" s="604" t="n"/>
      <c r="AB109" s="604" t="n"/>
      <c r="AC109" s="604" t="n"/>
      <c r="AD109" s="604" t="n"/>
      <c r="AE109" s="604" t="n"/>
      <c r="AF109" s="604" t="n"/>
      <c r="AG109" s="604" t="n"/>
      <c r="AH109" s="604" t="n"/>
      <c r="AI109" s="604" t="n"/>
      <c r="AJ109" s="604" t="n">
        <v>44.37025202925</v>
      </c>
    </row>
    <row r="110" hidden="1" s="584">
      <c r="A110" s="43" t="n">
        <v>29.4</v>
      </c>
      <c r="B110" s="43" t="n">
        <v>29.4</v>
      </c>
      <c r="C110" t="n">
        <v>20.4</v>
      </c>
      <c r="D110" s="43" t="n">
        <v>4.5</v>
      </c>
      <c r="E110" t="inlineStr">
        <is>
          <t xml:space="preserve">CEW </t>
        </is>
      </c>
      <c r="F110" t="inlineStr">
        <is>
          <t xml:space="preserve">CEW </t>
        </is>
      </c>
      <c r="G110" t="inlineStr">
        <is>
          <t>29.4-20.4-4.5-CEW-CEW</t>
        </is>
      </c>
      <c r="H110" s="604" t="n"/>
      <c r="I110" s="604" t="n"/>
      <c r="J110" s="604" t="n"/>
      <c r="K110" s="604" t="n"/>
      <c r="L110" s="604" t="n"/>
      <c r="M110" s="604" t="n"/>
      <c r="N110" s="604" t="n"/>
      <c r="O110" s="604" t="n">
        <v>29.27580438591</v>
      </c>
      <c r="P110" s="604" t="n"/>
      <c r="Q110" s="604" t="n"/>
      <c r="R110" s="604" t="n"/>
      <c r="S110" s="604" t="n"/>
      <c r="T110" s="604" t="n"/>
      <c r="U110" s="604" t="n"/>
      <c r="V110" s="604" t="n"/>
      <c r="W110" s="604" t="n"/>
      <c r="X110" s="604" t="n"/>
      <c r="Y110" s="604" t="n"/>
      <c r="Z110" s="604" t="n"/>
      <c r="AA110" s="604" t="n"/>
      <c r="AB110" s="604" t="n"/>
      <c r="AC110" s="604" t="n"/>
      <c r="AD110" s="604" t="n"/>
      <c r="AE110" s="604" t="n"/>
      <c r="AF110" s="604" t="n"/>
      <c r="AG110" s="604" t="n"/>
      <c r="AH110" s="604" t="n"/>
      <c r="AI110" s="604" t="n"/>
      <c r="AJ110" s="604" t="n">
        <v>29.27580438591</v>
      </c>
    </row>
    <row r="111">
      <c r="A111" s="43" t="n">
        <v>30</v>
      </c>
      <c r="B111" s="43" t="n">
        <v>30</v>
      </c>
      <c r="C111" t="n">
        <v>25.5</v>
      </c>
      <c r="D111" s="43" t="n">
        <v>2.25</v>
      </c>
      <c r="E111" t="inlineStr">
        <is>
          <t>CEW</t>
        </is>
      </c>
      <c r="F111" t="inlineStr">
        <is>
          <t>(blank)</t>
        </is>
      </c>
      <c r="G111" t="inlineStr">
        <is>
          <t>30-25.5-2.25-CEW-</t>
        </is>
      </c>
      <c r="H111" s="604" t="n"/>
      <c r="I111" s="604" t="n"/>
      <c r="J111" s="604" t="n"/>
      <c r="K111" s="604" t="n"/>
      <c r="L111" s="604" t="n"/>
      <c r="M111" s="604" t="n">
        <v>0</v>
      </c>
      <c r="N111" s="604" t="n"/>
      <c r="O111" s="604" t="n"/>
      <c r="P111" s="604" t="n"/>
      <c r="Q111" s="604" t="n"/>
      <c r="R111" s="604" t="n"/>
      <c r="S111" s="604" t="n"/>
      <c r="T111" s="604" t="n"/>
      <c r="U111" s="604" t="n"/>
      <c r="V111" s="604" t="n"/>
      <c r="W111" s="604" t="n"/>
      <c r="X111" s="604" t="n"/>
      <c r="Y111" s="604" t="n"/>
      <c r="Z111" s="604" t="n"/>
      <c r="AA111" s="604" t="n"/>
      <c r="AB111" s="604" t="n"/>
      <c r="AC111" s="604" t="n"/>
      <c r="AD111" s="604" t="n"/>
      <c r="AE111" s="604" t="n"/>
      <c r="AF111" s="604" t="n"/>
      <c r="AG111" s="604" t="n"/>
      <c r="AH111" s="604" t="n"/>
      <c r="AI111" s="604" t="n"/>
      <c r="AJ111" s="604" t="n">
        <v>0</v>
      </c>
    </row>
    <row r="112">
      <c r="A112" s="43" t="n">
        <v>30.15</v>
      </c>
      <c r="B112" s="43" t="n">
        <v>30</v>
      </c>
      <c r="C112" t="n">
        <v>25.5</v>
      </c>
      <c r="D112" s="43" t="n">
        <v>2.25</v>
      </c>
      <c r="E112" t="inlineStr">
        <is>
          <t>CEW</t>
        </is>
      </c>
      <c r="F112" t="inlineStr">
        <is>
          <t>CEW</t>
        </is>
      </c>
      <c r="G112" t="inlineStr">
        <is>
          <t>30-25.5-2.25-CEW-CEW</t>
        </is>
      </c>
      <c r="H112" s="604" t="n"/>
      <c r="I112" s="604" t="n"/>
      <c r="J112" s="604" t="n"/>
      <c r="K112" s="604" t="n"/>
      <c r="L112" s="604" t="n"/>
      <c r="M112" s="604" t="n">
        <v>45.02762237250001</v>
      </c>
      <c r="N112" s="604" t="n"/>
      <c r="O112" s="604" t="n"/>
      <c r="P112" s="604" t="n"/>
      <c r="Q112" s="604" t="n"/>
      <c r="R112" s="604" t="n">
        <v>25.956644855625</v>
      </c>
      <c r="S112" s="604" t="n"/>
      <c r="T112" s="604" t="n"/>
      <c r="U112" s="604" t="n"/>
      <c r="V112" s="604" t="n"/>
      <c r="W112" s="604" t="n"/>
      <c r="X112" s="604" t="n"/>
      <c r="Y112" s="604" t="n"/>
      <c r="Z112" s="604" t="n"/>
      <c r="AA112" s="604" t="n"/>
      <c r="AB112" s="604" t="n"/>
      <c r="AC112" s="604" t="n"/>
      <c r="AD112" s="604" t="n"/>
      <c r="AE112" s="604" t="n"/>
      <c r="AF112" s="604" t="n"/>
      <c r="AG112" s="604" t="n"/>
      <c r="AH112" s="604" t="n"/>
      <c r="AI112" s="604" t="n"/>
      <c r="AJ112" s="604" t="n">
        <v>70.98426722812501</v>
      </c>
    </row>
    <row r="113" hidden="1" s="584">
      <c r="A113" s="43" t="n">
        <v>31.2</v>
      </c>
      <c r="B113" s="43" t="n">
        <v>37.6</v>
      </c>
      <c r="C113" t="n">
        <v>31.2</v>
      </c>
      <c r="D113" s="43" t="n">
        <v>3.2</v>
      </c>
      <c r="E113" t="inlineStr">
        <is>
          <t>(blank)</t>
        </is>
      </c>
      <c r="F113" t="inlineStr">
        <is>
          <t>(blank)</t>
        </is>
      </c>
      <c r="G113" t="inlineStr">
        <is>
          <t>37.6-31.2-3.2--</t>
        </is>
      </c>
      <c r="H113" s="604" t="n"/>
      <c r="I113" s="604" t="n">
        <v>0</v>
      </c>
      <c r="J113" s="604" t="n"/>
      <c r="K113" s="604" t="n"/>
      <c r="L113" s="604" t="n"/>
      <c r="M113" s="604" t="n"/>
      <c r="N113" s="604" t="n"/>
      <c r="O113" s="604" t="n"/>
      <c r="P113" s="604" t="n"/>
      <c r="Q113" s="604" t="n"/>
      <c r="R113" s="604" t="n"/>
      <c r="S113" s="604" t="n"/>
      <c r="T113" s="604" t="n"/>
      <c r="U113" s="604" t="n"/>
      <c r="V113" s="604" t="n"/>
      <c r="W113" s="604" t="n"/>
      <c r="X113" s="604" t="n"/>
      <c r="Y113" s="604" t="n"/>
      <c r="Z113" s="604" t="n"/>
      <c r="AA113" s="604" t="n"/>
      <c r="AB113" s="604" t="n"/>
      <c r="AC113" s="604" t="n"/>
      <c r="AD113" s="604" t="n"/>
      <c r="AE113" s="604" t="n"/>
      <c r="AF113" s="604" t="n"/>
      <c r="AG113" s="604" t="n"/>
      <c r="AH113" s="604" t="n"/>
      <c r="AI113" s="604" t="n"/>
      <c r="AJ113" s="604" t="n">
        <v>0</v>
      </c>
    </row>
    <row r="114" hidden="1" s="584">
      <c r="A114" s="43" t="n">
        <v>31.75</v>
      </c>
      <c r="B114" s="43" t="n">
        <v>25</v>
      </c>
      <c r="C114" t="n">
        <v>25</v>
      </c>
      <c r="D114" s="43" t="n">
        <v>1.2</v>
      </c>
      <c r="E114" t="inlineStr">
        <is>
          <t>CRFH</t>
        </is>
      </c>
      <c r="F114" t="inlineStr">
        <is>
          <t>PE</t>
        </is>
      </c>
      <c r="G114" t="inlineStr">
        <is>
          <t>25-25-1.2-CRFH-PE</t>
        </is>
      </c>
      <c r="H114" s="604" t="n"/>
      <c r="I114" s="604" t="n"/>
      <c r="J114" s="604" t="n"/>
      <c r="K114" s="604" t="n"/>
      <c r="L114" s="604" t="n"/>
      <c r="M114" s="604" t="n"/>
      <c r="N114" s="604" t="n"/>
      <c r="O114" s="604" t="n"/>
      <c r="P114" s="604" t="n"/>
      <c r="Q114" s="604" t="n"/>
      <c r="R114" s="604" t="n"/>
      <c r="S114" s="604" t="n"/>
      <c r="T114" s="604" t="n"/>
      <c r="U114" s="604" t="n"/>
      <c r="V114" s="604" t="n"/>
      <c r="W114" s="604" t="n"/>
      <c r="X114" s="604" t="n"/>
      <c r="Y114" s="604" t="n"/>
      <c r="Z114" s="604" t="n"/>
      <c r="AA114" s="604" t="n"/>
      <c r="AB114" s="604" t="n"/>
      <c r="AC114" s="604" t="n">
        <v>0.5801319622800001</v>
      </c>
      <c r="AD114" s="604" t="n"/>
      <c r="AE114" s="604" t="n">
        <v>6.9398963712</v>
      </c>
      <c r="AF114" s="604" t="n">
        <v>18.16662456336</v>
      </c>
      <c r="AG114" s="604" t="n">
        <v>1.29761604024</v>
      </c>
      <c r="AH114" s="604" t="n"/>
      <c r="AI114" s="604" t="n"/>
      <c r="AJ114" s="604" t="n">
        <v>26.98426893708</v>
      </c>
    </row>
    <row r="115" hidden="1" s="584">
      <c r="A115" s="43" t="n">
        <v>31.75</v>
      </c>
      <c r="B115" s="43" t="n">
        <v>25</v>
      </c>
      <c r="C115" t="n">
        <v>25</v>
      </c>
      <c r="D115" s="43" t="n">
        <v>2</v>
      </c>
      <c r="E115" t="inlineStr">
        <is>
          <t>ERW 1</t>
        </is>
      </c>
      <c r="F115" t="inlineStr">
        <is>
          <t>(blank)</t>
        </is>
      </c>
      <c r="G115" t="inlineStr">
        <is>
          <t>25-25-2-ERW 1-</t>
        </is>
      </c>
      <c r="H115" s="604" t="n"/>
      <c r="I115" s="604" t="n">
        <v>0</v>
      </c>
      <c r="J115" s="604" t="n"/>
      <c r="K115" s="604" t="n"/>
      <c r="L115" s="604" t="n"/>
      <c r="M115" s="604" t="n"/>
      <c r="N115" s="604" t="n"/>
      <c r="O115" s="604" t="n"/>
      <c r="P115" s="604" t="n"/>
      <c r="Q115" s="604" t="n"/>
      <c r="R115" s="604" t="n"/>
      <c r="S115" s="604" t="n"/>
      <c r="T115" s="604" t="n"/>
      <c r="U115" s="604" t="n"/>
      <c r="V115" s="604" t="n"/>
      <c r="W115" s="604" t="n"/>
      <c r="X115" s="604" t="n"/>
      <c r="Y115" s="604" t="n"/>
      <c r="Z115" s="604" t="n"/>
      <c r="AA115" s="604" t="n"/>
      <c r="AB115" s="604" t="n"/>
      <c r="AC115" s="604" t="n"/>
      <c r="AD115" s="604" t="n"/>
      <c r="AE115" s="604" t="n"/>
      <c r="AF115" s="604" t="n"/>
      <c r="AG115" s="604" t="n"/>
      <c r="AH115" s="604" t="n"/>
      <c r="AI115" s="604" t="n"/>
      <c r="AJ115" s="604" t="n">
        <v>0</v>
      </c>
    </row>
    <row r="116" hidden="1" s="584">
      <c r="A116" s="43" t="n">
        <v>31.75</v>
      </c>
      <c r="B116" s="43" t="n">
        <v>31.75</v>
      </c>
      <c r="C116" t="n">
        <v>0</v>
      </c>
      <c r="D116" s="43" t="n">
        <v>1.2</v>
      </c>
      <c r="E116" t="inlineStr">
        <is>
          <t>ERW 1</t>
        </is>
      </c>
      <c r="F116" t="inlineStr">
        <is>
          <t>FC</t>
        </is>
      </c>
      <c r="G116" t="inlineStr">
        <is>
          <t>31.75-0-1.2-ERW 1-FC</t>
        </is>
      </c>
      <c r="H116" s="604" t="n"/>
      <c r="I116" s="604" t="n"/>
      <c r="J116" s="604" t="n"/>
      <c r="K116" s="604" t="n"/>
      <c r="L116" s="604" t="n"/>
      <c r="M116" s="604" t="n"/>
      <c r="N116" s="604" t="n"/>
      <c r="O116" s="604" t="n"/>
      <c r="P116" s="604" t="n">
        <v>0</v>
      </c>
      <c r="Q116" s="604" t="n"/>
      <c r="R116" s="604" t="n"/>
      <c r="S116" s="604" t="n">
        <v>2.71089702</v>
      </c>
      <c r="T116" s="604" t="n">
        <v>2.7018606966</v>
      </c>
      <c r="U116" s="604" t="n"/>
      <c r="V116" s="604" t="n"/>
      <c r="W116" s="604" t="n"/>
      <c r="X116" s="604" t="n"/>
      <c r="Y116" s="604" t="n"/>
      <c r="Z116" s="604" t="n">
        <v>10.7351521992</v>
      </c>
      <c r="AA116" s="604" t="n"/>
      <c r="AB116" s="604" t="n"/>
      <c r="AC116" s="604" t="n"/>
      <c r="AD116" s="604" t="n"/>
      <c r="AE116" s="604" t="n"/>
      <c r="AF116" s="604" t="n"/>
      <c r="AG116" s="604" t="n"/>
      <c r="AH116" s="604" t="n">
        <v>7.265204013600001</v>
      </c>
      <c r="AI116" s="604" t="n"/>
      <c r="AJ116" s="604" t="n">
        <v>23.4131139294</v>
      </c>
    </row>
    <row r="117">
      <c r="A117" s="43" t="n">
        <v>31.75</v>
      </c>
      <c r="B117" s="43" t="n">
        <v>31.75</v>
      </c>
      <c r="C117" t="n">
        <v>0</v>
      </c>
      <c r="D117" s="43" t="n">
        <v>1.6</v>
      </c>
      <c r="E117" t="inlineStr">
        <is>
          <t>ERW 1</t>
        </is>
      </c>
      <c r="F117" t="inlineStr">
        <is>
          <t>FC</t>
        </is>
      </c>
      <c r="G117" t="inlineStr">
        <is>
          <t>31.75-0-1.6-ERW 1-FC</t>
        </is>
      </c>
      <c r="H117" s="604" t="n"/>
      <c r="I117" s="604" t="n"/>
      <c r="J117" s="604" t="n"/>
      <c r="K117" s="604" t="n"/>
      <c r="L117" s="604" t="n"/>
      <c r="M117" s="604" t="n"/>
      <c r="N117" s="604" t="n"/>
      <c r="O117" s="604" t="n"/>
      <c r="P117" s="604" t="n"/>
      <c r="Q117" s="604" t="n"/>
      <c r="R117" s="604" t="n"/>
      <c r="S117" s="604" t="n"/>
      <c r="T117" s="604" t="n"/>
      <c r="U117" s="604" t="n"/>
      <c r="V117" s="604" t="n"/>
      <c r="W117" s="604" t="n"/>
      <c r="X117" s="604" t="n"/>
      <c r="Y117" s="604" t="n"/>
      <c r="Z117" s="604" t="n">
        <v>0</v>
      </c>
      <c r="AA117" s="604" t="n"/>
      <c r="AB117" s="604" t="n"/>
      <c r="AC117" s="604" t="n"/>
      <c r="AD117" s="604" t="n"/>
      <c r="AE117" s="604" t="n"/>
      <c r="AF117" s="604" t="n"/>
      <c r="AG117" s="604" t="n"/>
      <c r="AH117" s="604" t="n"/>
      <c r="AI117" s="604" t="n"/>
      <c r="AJ117" s="604" t="n">
        <v>0</v>
      </c>
    </row>
    <row r="118">
      <c r="A118" s="43" t="n">
        <v>31.75</v>
      </c>
      <c r="B118" s="43" t="n">
        <v>31.75</v>
      </c>
      <c r="C118" t="n">
        <v>0</v>
      </c>
      <c r="D118" s="43" t="n">
        <v>2.3</v>
      </c>
      <c r="E118" t="inlineStr">
        <is>
          <t>ERW 1</t>
        </is>
      </c>
      <c r="F118" t="inlineStr">
        <is>
          <t>FC</t>
        </is>
      </c>
      <c r="G118" t="inlineStr">
        <is>
          <t>31.75-0-2.3-ERW 1-FC</t>
        </is>
      </c>
      <c r="H118" s="604" t="n"/>
      <c r="I118" s="604" t="n"/>
      <c r="J118" s="604" t="n"/>
      <c r="K118" s="604" t="n"/>
      <c r="L118" s="604" t="n"/>
      <c r="M118" s="604" t="n"/>
      <c r="N118" s="604" t="n"/>
      <c r="O118" s="604" t="n"/>
      <c r="P118" s="604" t="n"/>
      <c r="Q118" s="604" t="n"/>
      <c r="R118" s="604" t="n"/>
      <c r="S118" s="604" t="n"/>
      <c r="T118" s="604" t="n"/>
      <c r="U118" s="604" t="n"/>
      <c r="V118" s="604" t="n"/>
      <c r="W118" s="604" t="n">
        <v>0</v>
      </c>
      <c r="X118" s="604" t="n"/>
      <c r="Y118" s="604" t="n"/>
      <c r="Z118" s="604" t="n"/>
      <c r="AA118" s="604" t="n"/>
      <c r="AB118" s="604" t="n"/>
      <c r="AC118" s="604" t="n"/>
      <c r="AD118" s="604" t="n"/>
      <c r="AE118" s="604" t="n"/>
      <c r="AF118" s="604" t="n"/>
      <c r="AG118" s="604" t="n"/>
      <c r="AH118" s="604" t="n"/>
      <c r="AI118" s="604" t="n"/>
      <c r="AJ118" s="604" t="n">
        <v>0</v>
      </c>
    </row>
    <row r="119">
      <c r="A119" s="43" t="n">
        <v>31.75</v>
      </c>
      <c r="B119" s="43" t="n">
        <v>31.75</v>
      </c>
      <c r="C119" t="n">
        <v>0</v>
      </c>
      <c r="D119" s="43" t="n">
        <v>2.5</v>
      </c>
      <c r="E119" t="inlineStr">
        <is>
          <t>ERW 1</t>
        </is>
      </c>
      <c r="F119" t="inlineStr">
        <is>
          <t>FC</t>
        </is>
      </c>
      <c r="G119" t="inlineStr">
        <is>
          <t>31.75-0-2.5-ERW 1-FC</t>
        </is>
      </c>
      <c r="H119" s="604" t="n"/>
      <c r="I119" s="604" t="n"/>
      <c r="J119" s="604" t="n"/>
      <c r="K119" s="604" t="n"/>
      <c r="L119" s="604" t="n"/>
      <c r="M119" s="604" t="n"/>
      <c r="N119" s="604" t="n"/>
      <c r="O119" s="604" t="n"/>
      <c r="P119" s="604" t="n"/>
      <c r="Q119" s="604" t="n">
        <v>5.407374375000001</v>
      </c>
      <c r="R119" s="604" t="n"/>
      <c r="S119" s="604" t="n"/>
      <c r="T119" s="604" t="n"/>
      <c r="U119" s="604" t="n">
        <v>27.036871875</v>
      </c>
      <c r="V119" s="604" t="n"/>
      <c r="W119" s="604" t="n"/>
      <c r="X119" s="604" t="n"/>
      <c r="Y119" s="604" t="n"/>
      <c r="Z119" s="604" t="n"/>
      <c r="AA119" s="604" t="n"/>
      <c r="AB119" s="604" t="n"/>
      <c r="AC119" s="604" t="n"/>
      <c r="AD119" s="604" t="n"/>
      <c r="AE119" s="604" t="n"/>
      <c r="AF119" s="604" t="n"/>
      <c r="AG119" s="604" t="n"/>
      <c r="AH119" s="604" t="n"/>
      <c r="AI119" s="604" t="n"/>
      <c r="AJ119" s="604" t="n">
        <v>32.44424625</v>
      </c>
    </row>
    <row r="120" hidden="1" s="584">
      <c r="A120" s="43" t="n">
        <v>31.75</v>
      </c>
      <c r="B120" s="43" t="n">
        <v>31.75</v>
      </c>
      <c r="C120" t="n">
        <v>0</v>
      </c>
      <c r="D120" s="43" t="n">
        <v>2.5</v>
      </c>
      <c r="E120" t="inlineStr">
        <is>
          <t>ERW 1</t>
        </is>
      </c>
      <c r="F120" t="inlineStr">
        <is>
          <t>FC</t>
        </is>
      </c>
      <c r="G120" t="inlineStr">
        <is>
          <t>(blank)</t>
        </is>
      </c>
      <c r="H120" s="604" t="n"/>
      <c r="I120" s="604" t="n"/>
      <c r="J120" s="604" t="n">
        <v>8.505529523156248</v>
      </c>
      <c r="K120" s="604" t="n"/>
      <c r="L120" s="604" t="n"/>
      <c r="M120" s="604" t="n"/>
      <c r="N120" s="604" t="n"/>
      <c r="O120" s="604" t="n"/>
      <c r="P120" s="604" t="n"/>
      <c r="Q120" s="604" t="n"/>
      <c r="R120" s="604" t="n"/>
      <c r="S120" s="604" t="n"/>
      <c r="T120" s="604" t="n"/>
      <c r="U120" s="604" t="n"/>
      <c r="V120" s="604" t="n"/>
      <c r="W120" s="604" t="n"/>
      <c r="X120" s="604" t="n"/>
      <c r="Y120" s="604" t="n"/>
      <c r="Z120" s="604" t="n"/>
      <c r="AA120" s="604" t="n"/>
      <c r="AB120" s="604" t="n"/>
      <c r="AC120" s="604" t="n"/>
      <c r="AD120" s="604" t="n"/>
      <c r="AE120" s="604" t="n"/>
      <c r="AF120" s="604" t="n"/>
      <c r="AG120" s="604" t="n"/>
      <c r="AH120" s="604" t="n"/>
      <c r="AI120" s="604" t="n"/>
      <c r="AJ120" s="604" t="n">
        <v>8.505529523156248</v>
      </c>
    </row>
    <row r="121" hidden="1" s="584">
      <c r="A121" s="43" t="n">
        <v>31.75</v>
      </c>
      <c r="B121" s="43" t="n">
        <v>31.75</v>
      </c>
      <c r="C121" t="n">
        <v>25</v>
      </c>
      <c r="D121" s="43" t="n">
        <v>3.37</v>
      </c>
      <c r="E121" t="inlineStr">
        <is>
          <t>CEW</t>
        </is>
      </c>
      <c r="F121" t="inlineStr">
        <is>
          <t>CEW</t>
        </is>
      </c>
      <c r="G121" t="inlineStr">
        <is>
          <t>31.75-25-3.37-CEW-CEW</t>
        </is>
      </c>
      <c r="H121" s="604" t="n"/>
      <c r="I121" s="604" t="n">
        <v>5.8936128735</v>
      </c>
      <c r="J121" s="604" t="n"/>
      <c r="K121" s="604" t="n"/>
      <c r="L121" s="604" t="n"/>
      <c r="M121" s="604" t="n"/>
      <c r="N121" s="604" t="n"/>
      <c r="O121" s="604" t="n"/>
      <c r="P121" s="604" t="n"/>
      <c r="Q121" s="604" t="n"/>
      <c r="R121" s="604" t="n"/>
      <c r="S121" s="604" t="n"/>
      <c r="T121" s="604" t="n"/>
      <c r="U121" s="604" t="n"/>
      <c r="V121" s="604" t="n"/>
      <c r="W121" s="604" t="n"/>
      <c r="X121" s="604" t="n"/>
      <c r="Y121" s="604" t="n">
        <v>0</v>
      </c>
      <c r="Z121" s="604" t="n"/>
      <c r="AA121" s="604" t="n"/>
      <c r="AB121" s="604" t="n"/>
      <c r="AC121" s="604" t="n"/>
      <c r="AD121" s="604" t="n"/>
      <c r="AE121" s="604" t="n"/>
      <c r="AF121" s="604" t="n"/>
      <c r="AG121" s="604" t="n"/>
      <c r="AH121" s="604" t="n"/>
      <c r="AI121" s="604" t="n"/>
      <c r="AJ121" s="604" t="n">
        <v>5.8936128735</v>
      </c>
    </row>
    <row r="122" hidden="1" s="584">
      <c r="A122" s="43" t="n">
        <v>32</v>
      </c>
      <c r="B122" s="43" t="n">
        <v>32</v>
      </c>
      <c r="C122" t="n">
        <v>0</v>
      </c>
      <c r="D122" s="43" t="n">
        <v>4.5</v>
      </c>
      <c r="E122" t="inlineStr">
        <is>
          <t>CEW</t>
        </is>
      </c>
      <c r="F122" t="inlineStr">
        <is>
          <t>(blank)</t>
        </is>
      </c>
      <c r="G122" t="inlineStr">
        <is>
          <t>32-0-4.5-CEW-</t>
        </is>
      </c>
      <c r="H122" s="604" t="n"/>
      <c r="I122" s="604" t="n"/>
      <c r="J122" s="604" t="n"/>
      <c r="K122" s="604" t="n"/>
      <c r="L122" s="604" t="n"/>
      <c r="M122" s="604" t="n"/>
      <c r="N122" s="604" t="n"/>
      <c r="O122" s="604" t="n">
        <v>0</v>
      </c>
      <c r="P122" s="604" t="n"/>
      <c r="Q122" s="604" t="n"/>
      <c r="R122" s="604" t="n"/>
      <c r="S122" s="604" t="n"/>
      <c r="T122" s="604" t="n"/>
      <c r="U122" s="604" t="n"/>
      <c r="V122" s="604" t="n"/>
      <c r="W122" s="604" t="n"/>
      <c r="X122" s="604" t="n"/>
      <c r="Y122" s="604" t="n"/>
      <c r="Z122" s="604" t="n"/>
      <c r="AA122" s="604" t="n"/>
      <c r="AB122" s="604" t="n"/>
      <c r="AC122" s="604" t="n"/>
      <c r="AD122" s="604" t="n"/>
      <c r="AE122" s="604" t="n"/>
      <c r="AF122" s="604" t="n"/>
      <c r="AG122" s="604" t="n"/>
      <c r="AH122" s="604" t="n"/>
      <c r="AI122" s="604" t="n"/>
      <c r="AJ122" s="604" t="n">
        <v>0</v>
      </c>
    </row>
    <row r="123" hidden="1" s="584">
      <c r="A123" s="43" t="n">
        <v>33.3</v>
      </c>
      <c r="B123" s="43" t="n">
        <v>0.09601098752945636</v>
      </c>
      <c r="C123" t="n">
        <v>0</v>
      </c>
      <c r="D123" s="43" t="n">
        <v>2</v>
      </c>
      <c r="E123" t="inlineStr">
        <is>
          <t>CEW</t>
        </is>
      </c>
      <c r="F123" t="inlineStr">
        <is>
          <t>(blank)</t>
        </is>
      </c>
      <c r="G123" t="inlineStr">
        <is>
          <t>0.0960109875294564-0-2-CEW-</t>
        </is>
      </c>
      <c r="H123" s="604" t="n"/>
      <c r="I123" s="604" t="n"/>
      <c r="J123" s="604" t="n"/>
      <c r="K123" s="604" t="n"/>
      <c r="L123" s="604" t="n"/>
      <c r="M123" s="604" t="n"/>
      <c r="N123" s="604" t="n"/>
      <c r="O123" s="604" t="n"/>
      <c r="P123" s="604" t="n"/>
      <c r="Q123" s="604" t="n"/>
      <c r="R123" s="604" t="n"/>
      <c r="S123" s="604" t="n"/>
      <c r="T123" s="604" t="n"/>
      <c r="U123" s="604" t="n"/>
      <c r="V123" s="604" t="n"/>
      <c r="W123" s="604" t="n"/>
      <c r="X123" s="604" t="n"/>
      <c r="Y123" s="604" t="n"/>
      <c r="Z123" s="604" t="n"/>
      <c r="AA123" s="604" t="n"/>
      <c r="AB123" s="604" t="n"/>
      <c r="AC123" s="604" t="n"/>
      <c r="AD123" s="604" t="n"/>
      <c r="AE123" s="604" t="n"/>
      <c r="AF123" s="604" t="n"/>
      <c r="AG123" s="604" t="n"/>
      <c r="AH123" s="604" t="n">
        <v>0</v>
      </c>
      <c r="AI123" s="604" t="n"/>
      <c r="AJ123" s="604" t="n">
        <v>0</v>
      </c>
    </row>
    <row r="124" hidden="1" s="584">
      <c r="A124" s="43" t="n">
        <v>33.3</v>
      </c>
      <c r="B124" s="43" t="n">
        <v>33.3</v>
      </c>
      <c r="C124" t="n">
        <v>29.3</v>
      </c>
      <c r="D124" s="43" t="n">
        <v>2</v>
      </c>
      <c r="E124" t="inlineStr">
        <is>
          <t>CEW</t>
        </is>
      </c>
      <c r="F124" t="inlineStr">
        <is>
          <t>CEW</t>
        </is>
      </c>
      <c r="G124" t="inlineStr">
        <is>
          <t>33.3-29.3-2-CEW-CEW</t>
        </is>
      </c>
      <c r="H124" s="604" t="n"/>
      <c r="I124" s="604" t="n"/>
      <c r="J124" s="604" t="n"/>
      <c r="K124" s="604" t="n"/>
      <c r="L124" s="604" t="n"/>
      <c r="M124" s="604" t="n"/>
      <c r="N124" s="604" t="n"/>
      <c r="O124" s="604" t="n"/>
      <c r="P124" s="604" t="n"/>
      <c r="Q124" s="604" t="n"/>
      <c r="R124" s="604" t="n"/>
      <c r="S124" s="604" t="n"/>
      <c r="T124" s="604" t="n"/>
      <c r="U124" s="604" t="n"/>
      <c r="V124" s="604" t="n"/>
      <c r="W124" s="604" t="n"/>
      <c r="X124" s="604" t="n"/>
      <c r="Y124" s="604" t="n"/>
      <c r="Z124" s="604" t="n">
        <v>1.5430274</v>
      </c>
      <c r="AA124" s="604" t="n"/>
      <c r="AB124" s="604" t="n"/>
      <c r="AC124" s="604" t="n"/>
      <c r="AD124" s="604" t="n"/>
      <c r="AE124" s="604" t="n"/>
      <c r="AF124" s="604" t="n"/>
      <c r="AG124" s="604" t="n"/>
      <c r="AH124" s="604" t="n"/>
      <c r="AI124" s="604" t="n"/>
      <c r="AJ124" s="604" t="n">
        <v>1.5430274</v>
      </c>
    </row>
    <row r="125" hidden="1" s="584">
      <c r="A125" s="43" t="n">
        <v>33.3</v>
      </c>
      <c r="B125" s="43" t="n">
        <v>2.299999552645019</v>
      </c>
      <c r="C125" t="n">
        <v>29.3</v>
      </c>
      <c r="D125" s="43" t="n">
        <v>2</v>
      </c>
      <c r="E125" t="inlineStr">
        <is>
          <t>CEW</t>
        </is>
      </c>
      <c r="F125" t="inlineStr">
        <is>
          <t>(blank)</t>
        </is>
      </c>
      <c r="G125" t="inlineStr">
        <is>
          <t>2.29999955264502-29.3-2-CEW-</t>
        </is>
      </c>
      <c r="H125" s="604" t="n"/>
      <c r="I125" s="604" t="n"/>
      <c r="J125" s="604" t="n"/>
      <c r="K125" s="604" t="n"/>
      <c r="L125" s="604" t="n"/>
      <c r="M125" s="604" t="n"/>
      <c r="N125" s="604" t="n"/>
      <c r="O125" s="604" t="n"/>
      <c r="P125" s="604" t="n"/>
      <c r="Q125" s="604" t="n"/>
      <c r="R125" s="604" t="n"/>
      <c r="S125" s="604" t="n"/>
      <c r="T125" s="604" t="n"/>
      <c r="U125" s="604" t="n"/>
      <c r="V125" s="604" t="n"/>
      <c r="W125" s="604" t="n"/>
      <c r="X125" s="604" t="n"/>
      <c r="Y125" s="604" t="n"/>
      <c r="Z125" s="604" t="n"/>
      <c r="AA125" s="604" t="n"/>
      <c r="AB125" s="604" t="n"/>
      <c r="AC125" s="604" t="n"/>
      <c r="AD125" s="604" t="n"/>
      <c r="AE125" s="604" t="n"/>
      <c r="AF125" s="604" t="n"/>
      <c r="AG125" s="604" t="n"/>
      <c r="AH125" s="604" t="n"/>
      <c r="AI125" s="604" t="n">
        <v>0</v>
      </c>
      <c r="AJ125" s="604" t="n">
        <v>0</v>
      </c>
    </row>
    <row r="126">
      <c r="A126" s="43" t="n">
        <v>34.93</v>
      </c>
      <c r="B126" s="43" t="n">
        <v>34.93</v>
      </c>
      <c r="C126" t="n">
        <v>0</v>
      </c>
      <c r="D126" s="43" t="n">
        <v>1.2</v>
      </c>
      <c r="E126" t="inlineStr">
        <is>
          <t>ERW 1</t>
        </is>
      </c>
      <c r="F126" t="inlineStr">
        <is>
          <t>FC</t>
        </is>
      </c>
      <c r="G126" t="inlineStr">
        <is>
          <t>34.93-0-1.2-ERW 1-FC</t>
        </is>
      </c>
      <c r="H126" s="604" t="n"/>
      <c r="I126" s="604" t="n"/>
      <c r="J126" s="604" t="n"/>
      <c r="K126" s="604" t="n"/>
      <c r="L126" s="604" t="n">
        <v>0</v>
      </c>
      <c r="M126" s="604" t="n"/>
      <c r="N126" s="604" t="n"/>
      <c r="O126" s="604" t="n"/>
      <c r="P126" s="604" t="n"/>
      <c r="Q126" s="604" t="n"/>
      <c r="R126" s="604" t="n"/>
      <c r="S126" s="604" t="n"/>
      <c r="T126" s="604" t="n"/>
      <c r="U126" s="604" t="n"/>
      <c r="V126" s="604" t="n"/>
      <c r="W126" s="604" t="n"/>
      <c r="X126" s="604" t="n"/>
      <c r="Y126" s="604" t="n"/>
      <c r="Z126" s="604" t="n"/>
      <c r="AA126" s="604" t="n"/>
      <c r="AB126" s="604" t="n"/>
      <c r="AC126" s="604" t="n"/>
      <c r="AD126" s="604" t="n"/>
      <c r="AE126" s="604" t="n"/>
      <c r="AF126" s="604" t="n"/>
      <c r="AG126" s="604" t="n"/>
      <c r="AH126" s="604" t="n"/>
      <c r="AI126" s="604" t="n">
        <v>0</v>
      </c>
      <c r="AJ126" s="604" t="n">
        <v>0</v>
      </c>
    </row>
    <row r="127">
      <c r="A127" s="43" t="n">
        <v>34.93</v>
      </c>
      <c r="B127" s="43" t="n">
        <v>34.93</v>
      </c>
      <c r="C127" t="n">
        <v>0</v>
      </c>
      <c r="D127" s="43" t="n">
        <v>1.2</v>
      </c>
      <c r="E127" t="inlineStr">
        <is>
          <t>ERW 1</t>
        </is>
      </c>
      <c r="F127" t="inlineStr">
        <is>
          <t>(blank)</t>
        </is>
      </c>
      <c r="G127" t="inlineStr">
        <is>
          <t>34.93-0-1.2-ERW 1-</t>
        </is>
      </c>
      <c r="H127" s="604" t="n"/>
      <c r="I127" s="604" t="n"/>
      <c r="J127" s="604" t="n"/>
      <c r="K127" s="604" t="n"/>
      <c r="L127" s="604" t="n"/>
      <c r="M127" s="604" t="n"/>
      <c r="N127" s="604" t="n"/>
      <c r="O127" s="604" t="n"/>
      <c r="P127" s="604" t="n"/>
      <c r="Q127" s="604" t="n"/>
      <c r="R127" s="604" t="n"/>
      <c r="S127" s="604" t="n"/>
      <c r="T127" s="604" t="n"/>
      <c r="U127" s="604" t="n"/>
      <c r="V127" s="604" t="n"/>
      <c r="W127" s="604" t="n"/>
      <c r="X127" s="604" t="n"/>
      <c r="Y127" s="604" t="n"/>
      <c r="Z127" s="604" t="n"/>
      <c r="AA127" s="604" t="n"/>
      <c r="AB127" s="604" t="n"/>
      <c r="AC127" s="604" t="n"/>
      <c r="AD127" s="604" t="n"/>
      <c r="AE127" s="604" t="n"/>
      <c r="AF127" s="604" t="n"/>
      <c r="AG127" s="604" t="n"/>
      <c r="AH127" s="604" t="n">
        <v>0</v>
      </c>
      <c r="AI127" s="604" t="n"/>
      <c r="AJ127" s="604" t="n">
        <v>0</v>
      </c>
    </row>
    <row r="128" hidden="1" s="584">
      <c r="A128" s="43" t="n">
        <v>34.93</v>
      </c>
      <c r="B128" s="43" t="n">
        <v>34.93</v>
      </c>
      <c r="C128" t="n">
        <v>0</v>
      </c>
      <c r="D128" s="43" t="n">
        <v>1.6</v>
      </c>
      <c r="E128" t="inlineStr">
        <is>
          <t>ERW 1</t>
        </is>
      </c>
      <c r="F128" t="inlineStr">
        <is>
          <t>FC</t>
        </is>
      </c>
      <c r="G128" t="inlineStr">
        <is>
          <t>34.93-0-1.6-ERW 1-FC</t>
        </is>
      </c>
      <c r="H128" s="604" t="n"/>
      <c r="I128" s="604" t="n">
        <v>0</v>
      </c>
      <c r="J128" s="604" t="n">
        <v>6.352627991001599</v>
      </c>
      <c r="K128" s="604" t="n"/>
      <c r="L128" s="604" t="n"/>
      <c r="M128" s="604" t="n"/>
      <c r="N128" s="604" t="n"/>
      <c r="O128" s="604" t="n"/>
      <c r="P128" s="604" t="n"/>
      <c r="Q128" s="604" t="n"/>
      <c r="R128" s="604" t="n"/>
      <c r="S128" s="604" t="n"/>
      <c r="T128" s="604" t="n"/>
      <c r="U128" s="604" t="n"/>
      <c r="V128" s="604" t="n"/>
      <c r="W128" s="604" t="n"/>
      <c r="X128" s="604" t="n"/>
      <c r="Y128" s="604" t="n"/>
      <c r="Z128" s="604" t="n"/>
      <c r="AA128" s="604" t="n"/>
      <c r="AB128" s="604" t="n"/>
      <c r="AC128" s="604" t="n"/>
      <c r="AD128" s="604" t="n"/>
      <c r="AE128" s="604" t="n"/>
      <c r="AF128" s="604" t="n"/>
      <c r="AG128" s="604" t="n"/>
      <c r="AH128" s="604" t="n"/>
      <c r="AI128" s="604" t="n"/>
      <c r="AJ128" s="604" t="n">
        <v>6.352627991001599</v>
      </c>
    </row>
    <row r="129" hidden="1" s="584">
      <c r="A129" s="43" t="n">
        <v>34.93</v>
      </c>
      <c r="B129" s="43" t="n">
        <v>34.93</v>
      </c>
      <c r="C129" t="n">
        <v>0</v>
      </c>
      <c r="D129" s="43" t="n">
        <v>2</v>
      </c>
      <c r="E129" t="inlineStr">
        <is>
          <t>ERW 1</t>
        </is>
      </c>
      <c r="F129" t="inlineStr">
        <is>
          <t>FC</t>
        </is>
      </c>
      <c r="G129" t="inlineStr">
        <is>
          <t>34.93-0-2-ERW 1-FC</t>
        </is>
      </c>
      <c r="H129" s="604" t="n"/>
      <c r="I129" s="604" t="n">
        <v>0</v>
      </c>
      <c r="J129" s="604" t="n"/>
      <c r="K129" s="604" t="n"/>
      <c r="L129" s="604" t="n"/>
      <c r="M129" s="604" t="n"/>
      <c r="N129" s="604" t="n"/>
      <c r="O129" s="604" t="n"/>
      <c r="P129" s="604" t="n"/>
      <c r="Q129" s="604" t="n"/>
      <c r="R129" s="604" t="n"/>
      <c r="S129" s="604" t="n"/>
      <c r="T129" s="604" t="n"/>
      <c r="U129" s="604" t="n"/>
      <c r="V129" s="604" t="n"/>
      <c r="W129" s="604" t="n"/>
      <c r="X129" s="604" t="n"/>
      <c r="Y129" s="604" t="n"/>
      <c r="Z129" s="604" t="n"/>
      <c r="AA129" s="604" t="n"/>
      <c r="AB129" s="604" t="n"/>
      <c r="AC129" s="604" t="n"/>
      <c r="AD129" s="604" t="n"/>
      <c r="AE129" s="604" t="n"/>
      <c r="AF129" s="604" t="n"/>
      <c r="AG129" s="604" t="n"/>
      <c r="AH129" s="604" t="n"/>
      <c r="AI129" s="604" t="n"/>
      <c r="AJ129" s="604" t="n">
        <v>0</v>
      </c>
    </row>
    <row r="130">
      <c r="A130" s="43" t="n">
        <v>34.93</v>
      </c>
      <c r="B130" s="43" t="n">
        <v>34.93</v>
      </c>
      <c r="C130" t="n">
        <v>0</v>
      </c>
      <c r="D130" s="43" t="n">
        <v>2</v>
      </c>
      <c r="E130" t="inlineStr">
        <is>
          <t>(blank)</t>
        </is>
      </c>
      <c r="F130" t="inlineStr">
        <is>
          <t>(blank)</t>
        </is>
      </c>
      <c r="G130" t="inlineStr">
        <is>
          <t>34.93-0-2--</t>
        </is>
      </c>
      <c r="H130" s="604" t="n"/>
      <c r="I130" s="604" t="n">
        <v>0</v>
      </c>
      <c r="J130" s="604" t="n"/>
      <c r="K130" s="604" t="n"/>
      <c r="L130" s="604" t="n">
        <v>0</v>
      </c>
      <c r="M130" s="604" t="n"/>
      <c r="N130" s="604" t="n"/>
      <c r="O130" s="604" t="n"/>
      <c r="P130" s="604" t="n"/>
      <c r="Q130" s="604" t="n"/>
      <c r="R130" s="604" t="n"/>
      <c r="S130" s="604" t="n"/>
      <c r="T130" s="604" t="n"/>
      <c r="U130" s="604" t="n"/>
      <c r="V130" s="604" t="n"/>
      <c r="W130" s="604" t="n"/>
      <c r="X130" s="604" t="n"/>
      <c r="Y130" s="604" t="n"/>
      <c r="Z130" s="604" t="n"/>
      <c r="AA130" s="604" t="n"/>
      <c r="AB130" s="604" t="n"/>
      <c r="AC130" s="604" t="n"/>
      <c r="AD130" s="604" t="n"/>
      <c r="AE130" s="604" t="n"/>
      <c r="AF130" s="604" t="n"/>
      <c r="AG130" s="604" t="n"/>
      <c r="AH130" s="604" t="n"/>
      <c r="AI130" s="604" t="n"/>
      <c r="AJ130" s="604" t="n">
        <v>0</v>
      </c>
    </row>
    <row r="131" hidden="1" s="584">
      <c r="A131" s="43" t="n">
        <v>34.93</v>
      </c>
      <c r="B131" s="43" t="n">
        <v>34.93</v>
      </c>
      <c r="C131" t="n">
        <v>0</v>
      </c>
      <c r="D131" s="43" t="n">
        <v>2.5</v>
      </c>
      <c r="E131" t="inlineStr">
        <is>
          <t>ERW 1</t>
        </is>
      </c>
      <c r="F131" t="inlineStr">
        <is>
          <t>FC</t>
        </is>
      </c>
      <c r="G131" t="inlineStr">
        <is>
          <t>34.93-0-2.5-ERW 1-FC</t>
        </is>
      </c>
      <c r="H131" s="604" t="n"/>
      <c r="I131" s="604" t="n">
        <v>0</v>
      </c>
      <c r="J131" s="604" t="n"/>
      <c r="K131" s="604" t="n"/>
      <c r="L131" s="604" t="n"/>
      <c r="M131" s="604" t="n"/>
      <c r="N131" s="604" t="n"/>
      <c r="O131" s="604" t="n"/>
      <c r="P131" s="604" t="n"/>
      <c r="Q131" s="604" t="n"/>
      <c r="R131" s="604" t="n"/>
      <c r="S131" s="604" t="n"/>
      <c r="T131" s="604" t="n"/>
      <c r="U131" s="604" t="n"/>
      <c r="V131" s="604" t="n"/>
      <c r="W131" s="604" t="n"/>
      <c r="X131" s="604" t="n"/>
      <c r="Y131" s="604" t="n"/>
      <c r="Z131" s="604" t="n"/>
      <c r="AA131" s="604" t="n"/>
      <c r="AB131" s="604" t="n"/>
      <c r="AC131" s="604" t="n"/>
      <c r="AD131" s="604" t="n"/>
      <c r="AE131" s="604" t="n"/>
      <c r="AF131" s="604" t="n"/>
      <c r="AG131" s="604" t="n"/>
      <c r="AH131" s="604" t="n"/>
      <c r="AI131" s="604" t="n"/>
      <c r="AJ131" s="604" t="n">
        <v>0</v>
      </c>
    </row>
    <row r="132" hidden="1" s="584">
      <c r="A132" s="43" t="n">
        <v>34.93</v>
      </c>
      <c r="B132" s="43" t="n">
        <v>34.93</v>
      </c>
      <c r="C132" t="n">
        <v>0</v>
      </c>
      <c r="D132" s="43" t="n">
        <v>2.6</v>
      </c>
      <c r="E132" t="inlineStr">
        <is>
          <t>ERW 1</t>
        </is>
      </c>
      <c r="F132" t="inlineStr">
        <is>
          <t>FC</t>
        </is>
      </c>
      <c r="G132" t="inlineStr">
        <is>
          <t>34.93-0-2.6-ERW 1-FC</t>
        </is>
      </c>
      <c r="H132" s="604" t="n"/>
      <c r="I132" s="604" t="n"/>
      <c r="J132" s="604" t="n">
        <v>10.697455349646</v>
      </c>
      <c r="K132" s="604" t="n"/>
      <c r="L132" s="604" t="n"/>
      <c r="M132" s="604" t="n"/>
      <c r="N132" s="604" t="n"/>
      <c r="O132" s="604" t="n"/>
      <c r="P132" s="604" t="n"/>
      <c r="Q132" s="604" t="n"/>
      <c r="R132" s="604" t="n"/>
      <c r="S132" s="604" t="n"/>
      <c r="T132" s="604" t="n"/>
      <c r="U132" s="604" t="n"/>
      <c r="V132" s="604" t="n"/>
      <c r="W132" s="604" t="n"/>
      <c r="X132" s="604" t="n"/>
      <c r="Y132" s="604" t="n"/>
      <c r="Z132" s="604" t="n"/>
      <c r="AA132" s="604" t="n"/>
      <c r="AB132" s="604" t="n"/>
      <c r="AC132" s="604" t="n"/>
      <c r="AD132" s="604" t="n"/>
      <c r="AE132" s="604" t="n"/>
      <c r="AF132" s="604" t="n"/>
      <c r="AG132" s="604" t="n"/>
      <c r="AH132" s="604" t="n"/>
      <c r="AI132" s="604" t="n"/>
      <c r="AJ132" s="604" t="n">
        <v>10.697455349646</v>
      </c>
    </row>
    <row r="133">
      <c r="A133" s="43" t="n">
        <v>36</v>
      </c>
      <c r="B133" s="43" t="n">
        <v>36</v>
      </c>
      <c r="C133" t="n">
        <v>34</v>
      </c>
      <c r="D133" s="43" t="n">
        <v>0.91</v>
      </c>
      <c r="E133" t="inlineStr">
        <is>
          <t>CEW</t>
        </is>
      </c>
      <c r="F133" t="inlineStr">
        <is>
          <t>CEW</t>
        </is>
      </c>
      <c r="G133" t="inlineStr">
        <is>
          <t>36-34-0.91-CEW-CEW</t>
        </is>
      </c>
      <c r="H133" s="604" t="n"/>
      <c r="I133" s="604" t="n"/>
      <c r="J133" s="604" t="n"/>
      <c r="K133" s="604" t="n"/>
      <c r="L133" s="604" t="n"/>
      <c r="M133" s="604" t="n"/>
      <c r="N133" s="604" t="n"/>
      <c r="O133" s="604" t="n"/>
      <c r="P133" s="604" t="n">
        <v>0</v>
      </c>
      <c r="Q133" s="604" t="n"/>
      <c r="R133" s="604" t="n"/>
      <c r="S133" s="604" t="n"/>
      <c r="T133" s="604" t="n"/>
      <c r="U133" s="604" t="n"/>
      <c r="V133" s="604" t="n"/>
      <c r="W133" s="604" t="n"/>
      <c r="X133" s="604" t="n"/>
      <c r="Y133" s="604" t="n"/>
      <c r="Z133" s="604" t="n"/>
      <c r="AA133" s="604" t="n"/>
      <c r="AB133" s="604" t="n"/>
      <c r="AC133" s="604" t="n"/>
      <c r="AD133" s="604" t="n"/>
      <c r="AE133" s="604" t="n"/>
      <c r="AF133" s="604" t="n"/>
      <c r="AG133" s="604" t="n"/>
      <c r="AH133" s="604" t="n"/>
      <c r="AI133" s="604" t="n"/>
      <c r="AJ133" s="604" t="n">
        <v>0</v>
      </c>
    </row>
    <row r="134">
      <c r="A134" s="43" t="n">
        <v>36</v>
      </c>
      <c r="B134" s="43" t="n">
        <v>36</v>
      </c>
      <c r="C134" t="n">
        <v>34</v>
      </c>
      <c r="D134" s="43" t="n">
        <v>0.91</v>
      </c>
      <c r="E134" t="inlineStr">
        <is>
          <t>CEW</t>
        </is>
      </c>
      <c r="F134" t="inlineStr">
        <is>
          <t>(blank)</t>
        </is>
      </c>
      <c r="G134" t="inlineStr">
        <is>
          <t>36-34-0.91-CEW-</t>
        </is>
      </c>
      <c r="H134" s="604" t="n"/>
      <c r="I134" s="604" t="n"/>
      <c r="J134" s="604" t="n"/>
      <c r="K134" s="604" t="n"/>
      <c r="L134" s="604" t="n"/>
      <c r="M134" s="604" t="n"/>
      <c r="N134" s="604" t="n"/>
      <c r="O134" s="604" t="n"/>
      <c r="P134" s="604" t="n"/>
      <c r="Q134" s="604" t="n"/>
      <c r="R134" s="604" t="n">
        <v>0</v>
      </c>
      <c r="S134" s="604" t="n"/>
      <c r="T134" s="604" t="n"/>
      <c r="U134" s="604" t="n"/>
      <c r="V134" s="604" t="n"/>
      <c r="W134" s="604" t="n"/>
      <c r="X134" s="604" t="n"/>
      <c r="Y134" s="604" t="n"/>
      <c r="Z134" s="604" t="n"/>
      <c r="AA134" s="604" t="n"/>
      <c r="AB134" s="604" t="n"/>
      <c r="AC134" s="604" t="n"/>
      <c r="AD134" s="604" t="n"/>
      <c r="AE134" s="604" t="n"/>
      <c r="AF134" s="604" t="n"/>
      <c r="AG134" s="604" t="n"/>
      <c r="AH134" s="604" t="n"/>
      <c r="AI134" s="604" t="n"/>
      <c r="AJ134" s="604" t="n">
        <v>0</v>
      </c>
    </row>
    <row r="135">
      <c r="A135" s="43" t="n">
        <v>37.6</v>
      </c>
      <c r="B135" s="43" t="n">
        <v>37.6</v>
      </c>
      <c r="C135" t="n">
        <v>31.2</v>
      </c>
      <c r="D135" s="43" t="n">
        <v>3.2</v>
      </c>
      <c r="E135" t="inlineStr">
        <is>
          <t>CEW</t>
        </is>
      </c>
      <c r="F135" t="inlineStr">
        <is>
          <t>CEW</t>
        </is>
      </c>
      <c r="G135" t="inlineStr">
        <is>
          <t>37.6-31.2-3.2-CEW-CEW</t>
        </is>
      </c>
      <c r="H135" s="604" t="n"/>
      <c r="I135" s="604" t="n"/>
      <c r="J135" s="604" t="n">
        <v>4.52249598016</v>
      </c>
      <c r="K135" s="604" t="n"/>
      <c r="L135" s="604" t="n"/>
      <c r="M135" s="604" t="n"/>
      <c r="N135" s="604" t="n"/>
      <c r="O135" s="604" t="n"/>
      <c r="P135" s="604" t="n"/>
      <c r="Q135" s="604" t="n"/>
      <c r="R135" s="604" t="n"/>
      <c r="S135" s="604" t="n"/>
      <c r="T135" s="604" t="n"/>
      <c r="U135" s="604" t="n"/>
      <c r="V135" s="604" t="n"/>
      <c r="W135" s="604" t="n"/>
      <c r="X135" s="604" t="n"/>
      <c r="Y135" s="604" t="n"/>
      <c r="Z135" s="604" t="n"/>
      <c r="AA135" s="604" t="n"/>
      <c r="AB135" s="604" t="n"/>
      <c r="AC135" s="604" t="n"/>
      <c r="AD135" s="604" t="n"/>
      <c r="AE135" s="604" t="n"/>
      <c r="AF135" s="604" t="n"/>
      <c r="AG135" s="604" t="n"/>
      <c r="AH135" s="604" t="n"/>
      <c r="AI135" s="604" t="n"/>
      <c r="AJ135" s="604" t="n">
        <v>4.52249598016</v>
      </c>
    </row>
    <row r="136">
      <c r="A136" s="43" t="n">
        <v>37.95</v>
      </c>
      <c r="B136" s="43" t="n">
        <v>37.95</v>
      </c>
      <c r="C136" t="n">
        <v>32</v>
      </c>
      <c r="D136" s="43" t="n">
        <v>2.95</v>
      </c>
      <c r="E136" t="inlineStr">
        <is>
          <t>CEW</t>
        </is>
      </c>
      <c r="F136" t="inlineStr">
        <is>
          <t>CEW</t>
        </is>
      </c>
      <c r="G136" t="inlineStr">
        <is>
          <t>37.95-32-2.95-CEW-CEW</t>
        </is>
      </c>
      <c r="H136" s="604" t="n"/>
      <c r="I136" s="604" t="n"/>
      <c r="J136" s="604" t="n"/>
      <c r="K136" s="604" t="n"/>
      <c r="L136" s="604" t="n"/>
      <c r="M136" s="604" t="n"/>
      <c r="N136" s="604" t="n"/>
      <c r="O136" s="604" t="n"/>
      <c r="P136" s="604" t="n"/>
      <c r="Q136" s="604" t="n"/>
      <c r="R136" s="604" t="n"/>
      <c r="S136" s="604" t="n"/>
      <c r="T136" s="604" t="n"/>
      <c r="U136" s="604" t="n"/>
      <c r="V136" s="604" t="n"/>
      <c r="W136" s="604" t="n"/>
      <c r="X136" s="604" t="n"/>
      <c r="Y136" s="604" t="n"/>
      <c r="Z136" s="604" t="n"/>
      <c r="AA136" s="604" t="n"/>
      <c r="AB136" s="604" t="n"/>
      <c r="AC136" s="604" t="n"/>
      <c r="AD136" s="604" t="n"/>
      <c r="AE136" s="604" t="n"/>
      <c r="AF136" s="604" t="n"/>
      <c r="AG136" s="604" t="n"/>
      <c r="AH136" s="604" t="n">
        <v>0</v>
      </c>
      <c r="AI136" s="604" t="n">
        <v>7.635027750000002</v>
      </c>
      <c r="AJ136" s="604" t="n">
        <v>7.635027750000002</v>
      </c>
    </row>
    <row r="137" hidden="1" s="584">
      <c r="A137" s="43" t="n">
        <v>38.1</v>
      </c>
      <c r="B137" s="43" t="n">
        <v>30</v>
      </c>
      <c r="C137" t="n">
        <v>30</v>
      </c>
      <c r="D137" s="43" t="n">
        <v>1.2</v>
      </c>
      <c r="E137" t="inlineStr">
        <is>
          <t>CRFH</t>
        </is>
      </c>
      <c r="F137" t="inlineStr">
        <is>
          <t>PE</t>
        </is>
      </c>
      <c r="G137" t="inlineStr">
        <is>
          <t>30-30-1.2-CRFH-PE</t>
        </is>
      </c>
      <c r="H137" s="604" t="n"/>
      <c r="I137" s="604" t="n"/>
      <c r="J137" s="604" t="n"/>
      <c r="K137" s="604" t="n"/>
      <c r="L137" s="604" t="n"/>
      <c r="M137" s="604" t="n"/>
      <c r="N137" s="604" t="n"/>
      <c r="O137" s="604" t="n"/>
      <c r="P137" s="604" t="n"/>
      <c r="Q137" s="604" t="n"/>
      <c r="R137" s="604" t="n"/>
      <c r="S137" s="604" t="n"/>
      <c r="T137" s="604" t="n"/>
      <c r="U137" s="604" t="n"/>
      <c r="V137" s="604" t="n"/>
      <c r="W137" s="604" t="n"/>
      <c r="X137" s="604" t="n"/>
      <c r="Y137" s="604" t="n"/>
      <c r="Z137" s="604" t="n"/>
      <c r="AA137" s="604" t="n"/>
      <c r="AB137" s="604" t="n"/>
      <c r="AC137" s="604" t="n">
        <v>0.1528040808</v>
      </c>
      <c r="AD137" s="604" t="n"/>
      <c r="AE137" s="604" t="n">
        <v>2.4885236016</v>
      </c>
      <c r="AF137" s="604" t="n">
        <v>3.3616897776</v>
      </c>
      <c r="AG137" s="604" t="n">
        <v>0.2401206984</v>
      </c>
      <c r="AH137" s="604" t="n"/>
      <c r="AI137" s="604" t="n"/>
      <c r="AJ137" s="604" t="n">
        <v>6.243138158400001</v>
      </c>
    </row>
    <row r="138">
      <c r="A138" s="43" t="n">
        <v>38.1</v>
      </c>
      <c r="B138" s="43" t="n">
        <v>38.1</v>
      </c>
      <c r="C138" t="n">
        <v>0</v>
      </c>
      <c r="D138" s="43" t="n">
        <v>1.6</v>
      </c>
      <c r="E138" t="inlineStr">
        <is>
          <t>ERW 1</t>
        </is>
      </c>
      <c r="F138" t="inlineStr">
        <is>
          <t>FC</t>
        </is>
      </c>
      <c r="G138" t="inlineStr">
        <is>
          <t>38.1-0-1.6-ERW 1-FC</t>
        </is>
      </c>
      <c r="H138" s="604" t="n"/>
      <c r="I138" s="604" t="n"/>
      <c r="J138" s="604" t="n"/>
      <c r="K138" s="604" t="n"/>
      <c r="L138" s="604" t="n"/>
      <c r="M138" s="604" t="n"/>
      <c r="N138" s="604" t="n">
        <v>4.136407847599999</v>
      </c>
      <c r="O138" s="604" t="n"/>
      <c r="P138" s="604" t="n"/>
      <c r="Q138" s="604" t="n"/>
      <c r="R138" s="604" t="n"/>
      <c r="S138" s="604" t="n"/>
      <c r="T138" s="604" t="n"/>
      <c r="U138" s="604" t="n"/>
      <c r="V138" s="604" t="n"/>
      <c r="W138" s="604" t="n"/>
      <c r="X138" s="604" t="n"/>
      <c r="Y138" s="604" t="n"/>
      <c r="Z138" s="604" t="n"/>
      <c r="AA138" s="604" t="n"/>
      <c r="AB138" s="604" t="n"/>
      <c r="AC138" s="604" t="n"/>
      <c r="AD138" s="604" t="n"/>
      <c r="AE138" s="604" t="n"/>
      <c r="AF138" s="604" t="n"/>
      <c r="AG138" s="604" t="n"/>
      <c r="AH138" s="604" t="n">
        <v>0.7024767808</v>
      </c>
      <c r="AI138" s="604" t="n">
        <v>7.0132517952</v>
      </c>
      <c r="AJ138" s="604" t="n">
        <v>11.8521364236</v>
      </c>
    </row>
    <row r="139">
      <c r="A139" s="43" t="n">
        <v>38.1</v>
      </c>
      <c r="B139" s="43" t="n">
        <v>38.1</v>
      </c>
      <c r="C139" t="n">
        <v>0</v>
      </c>
      <c r="D139" s="43" t="n">
        <v>1.6</v>
      </c>
      <c r="E139" t="inlineStr">
        <is>
          <t>ERW 1</t>
        </is>
      </c>
      <c r="F139" t="inlineStr">
        <is>
          <t>(blank)</t>
        </is>
      </c>
      <c r="G139" t="inlineStr">
        <is>
          <t>38.1-0-1.6-ERW 1-</t>
        </is>
      </c>
      <c r="H139" s="604" t="n"/>
      <c r="I139" s="604" t="n"/>
      <c r="J139" s="604" t="n"/>
      <c r="K139" s="604" t="n"/>
      <c r="L139" s="604" t="n"/>
      <c r="M139" s="604" t="n"/>
      <c r="N139" s="604" t="n"/>
      <c r="O139" s="604" t="n"/>
      <c r="P139" s="604" t="n"/>
      <c r="Q139" s="604" t="n"/>
      <c r="R139" s="604" t="n"/>
      <c r="S139" s="604" t="n"/>
      <c r="T139" s="604" t="n"/>
      <c r="U139" s="604" t="n"/>
      <c r="V139" s="604" t="n"/>
      <c r="W139" s="604" t="n"/>
      <c r="X139" s="604" t="n"/>
      <c r="Y139" s="604" t="n"/>
      <c r="Z139" s="604" t="n"/>
      <c r="AA139" s="604" t="n"/>
      <c r="AB139" s="604" t="n"/>
      <c r="AC139" s="604" t="n"/>
      <c r="AD139" s="604" t="n"/>
      <c r="AE139" s="604" t="n"/>
      <c r="AF139" s="604" t="n"/>
      <c r="AG139" s="604" t="n"/>
      <c r="AH139" s="604" t="n">
        <v>0</v>
      </c>
      <c r="AI139" s="604" t="n"/>
      <c r="AJ139" s="604" t="n">
        <v>0</v>
      </c>
    </row>
    <row r="140" hidden="1" s="584">
      <c r="A140" s="43" t="n">
        <v>38.1</v>
      </c>
      <c r="B140" s="43" t="n">
        <v>38.1</v>
      </c>
      <c r="C140" t="n">
        <v>0</v>
      </c>
      <c r="D140" s="43" t="n">
        <v>1.6</v>
      </c>
      <c r="E140" t="inlineStr">
        <is>
          <t>ERW 2 MAHS</t>
        </is>
      </c>
      <c r="F140" t="inlineStr">
        <is>
          <t>FC</t>
        </is>
      </c>
      <c r="G140" t="inlineStr">
        <is>
          <t>38.1-0-1.6-ERW 2 MAHS-FC</t>
        </is>
      </c>
      <c r="H140" s="604" t="n"/>
      <c r="I140" s="604" t="n"/>
      <c r="J140" s="604" t="n"/>
      <c r="K140" s="604" t="n"/>
      <c r="L140" s="604" t="n"/>
      <c r="M140" s="604" t="n"/>
      <c r="N140" s="604" t="n">
        <v>10.0765112</v>
      </c>
      <c r="O140" s="604" t="n"/>
      <c r="P140" s="604" t="n"/>
      <c r="Q140" s="604" t="n"/>
      <c r="R140" s="604" t="n"/>
      <c r="S140" s="604" t="n"/>
      <c r="T140" s="604" t="n"/>
      <c r="U140" s="604" t="n"/>
      <c r="V140" s="604" t="n"/>
      <c r="W140" s="604" t="n">
        <v>0</v>
      </c>
      <c r="X140" s="604" t="n"/>
      <c r="Y140" s="604" t="n"/>
      <c r="Z140" s="604" t="n"/>
      <c r="AA140" s="604" t="n"/>
      <c r="AB140" s="604" t="n"/>
      <c r="AC140" s="604" t="n"/>
      <c r="AD140" s="604" t="n"/>
      <c r="AE140" s="604" t="n"/>
      <c r="AF140" s="604" t="n"/>
      <c r="AG140" s="604" t="n"/>
      <c r="AH140" s="604" t="n"/>
      <c r="AI140" s="604" t="n"/>
      <c r="AJ140" s="604" t="n">
        <v>10.0765112</v>
      </c>
    </row>
    <row r="141" hidden="1" s="584">
      <c r="A141" s="43" t="n">
        <v>38.1</v>
      </c>
      <c r="B141" s="43" t="n">
        <v>38.1</v>
      </c>
      <c r="C141" t="n">
        <v>0</v>
      </c>
      <c r="D141" s="43" t="n">
        <v>2</v>
      </c>
      <c r="E141" t="inlineStr">
        <is>
          <t>ERW 1</t>
        </is>
      </c>
      <c r="F141" t="inlineStr">
        <is>
          <t>FC</t>
        </is>
      </c>
      <c r="G141" t="inlineStr">
        <is>
          <t>38.1-0-2-ERW 1-FC</t>
        </is>
      </c>
      <c r="H141" s="604" t="n"/>
      <c r="I141" s="604" t="n"/>
      <c r="J141" s="604" t="n"/>
      <c r="K141" s="604" t="n"/>
      <c r="L141" s="604" t="n"/>
      <c r="M141" s="604" t="n"/>
      <c r="N141" s="604" t="n"/>
      <c r="O141" s="604" t="n"/>
      <c r="P141" s="604" t="n"/>
      <c r="Q141" s="604" t="n"/>
      <c r="R141" s="604" t="n"/>
      <c r="S141" s="604" t="n"/>
      <c r="T141" s="604" t="n"/>
      <c r="U141" s="604" t="n"/>
      <c r="V141" s="604" t="n"/>
      <c r="W141" s="604" t="n">
        <v>0</v>
      </c>
      <c r="X141" s="604" t="n"/>
      <c r="Y141" s="604" t="n">
        <v>6.178028662966001</v>
      </c>
      <c r="Z141" s="604" t="n">
        <v>33.208414548</v>
      </c>
      <c r="AA141" s="604" t="n"/>
      <c r="AB141" s="604" t="n"/>
      <c r="AC141" s="604" t="n"/>
      <c r="AD141" s="604" t="n"/>
      <c r="AE141" s="604" t="n"/>
      <c r="AF141" s="604" t="n"/>
      <c r="AG141" s="604" t="n"/>
      <c r="AH141" s="604" t="n">
        <v>38.02950752820001</v>
      </c>
      <c r="AI141" s="604" t="n">
        <v>21.6548761104</v>
      </c>
      <c r="AJ141" s="604" t="n">
        <v>99.070826849566</v>
      </c>
    </row>
    <row r="142">
      <c r="A142" s="43" t="n">
        <v>38.1</v>
      </c>
      <c r="B142" s="43" t="n">
        <v>38.1</v>
      </c>
      <c r="C142" t="n">
        <v>0</v>
      </c>
      <c r="D142" s="43" t="n">
        <v>2</v>
      </c>
      <c r="E142" t="inlineStr">
        <is>
          <t>ERW 1</t>
        </is>
      </c>
      <c r="F142" t="inlineStr">
        <is>
          <t>(blank)</t>
        </is>
      </c>
      <c r="G142" t="inlineStr">
        <is>
          <t>38.1-0-2-ERW 1-</t>
        </is>
      </c>
      <c r="H142" s="604" t="n"/>
      <c r="I142" s="604" t="n"/>
      <c r="J142" s="604" t="n"/>
      <c r="K142" s="604" t="n"/>
      <c r="L142" s="604" t="n"/>
      <c r="M142" s="604" t="n"/>
      <c r="N142" s="604" t="n">
        <v>0</v>
      </c>
      <c r="O142" s="604" t="n"/>
      <c r="P142" s="604" t="n">
        <v>0</v>
      </c>
      <c r="Q142" s="604" t="n"/>
      <c r="R142" s="604" t="n"/>
      <c r="S142" s="604" t="n"/>
      <c r="T142" s="604" t="n"/>
      <c r="U142" s="604" t="n"/>
      <c r="V142" s="604" t="n"/>
      <c r="W142" s="604" t="n"/>
      <c r="X142" s="604" t="n"/>
      <c r="Y142" s="604" t="n"/>
      <c r="Z142" s="604" t="n"/>
      <c r="AA142" s="604" t="n"/>
      <c r="AB142" s="604" t="n"/>
      <c r="AC142" s="604" t="n"/>
      <c r="AD142" s="604" t="n"/>
      <c r="AE142" s="604" t="n"/>
      <c r="AF142" s="604" t="n"/>
      <c r="AG142" s="604" t="n"/>
      <c r="AH142" s="604" t="n"/>
      <c r="AI142" s="604" t="n"/>
      <c r="AJ142" s="604" t="n">
        <v>0</v>
      </c>
    </row>
    <row r="143" hidden="1" s="584">
      <c r="A143" s="43" t="n">
        <v>38.1</v>
      </c>
      <c r="B143" s="43" t="n">
        <v>38.1</v>
      </c>
      <c r="C143" t="n">
        <v>0</v>
      </c>
      <c r="D143" s="43" t="n">
        <v>2</v>
      </c>
      <c r="E143" t="inlineStr">
        <is>
          <t>ERW 2 MAHS</t>
        </is>
      </c>
      <c r="F143" t="inlineStr">
        <is>
          <t>(blank)</t>
        </is>
      </c>
      <c r="G143" t="inlineStr">
        <is>
          <t>38.1-0-2-ERW 2 MAHS-</t>
        </is>
      </c>
      <c r="H143" s="604" t="n"/>
      <c r="I143" s="604" t="n"/>
      <c r="J143" s="604" t="n"/>
      <c r="K143" s="604" t="n"/>
      <c r="L143" s="604" t="n"/>
      <c r="M143" s="604" t="n"/>
      <c r="N143" s="604" t="n">
        <v>0</v>
      </c>
      <c r="O143" s="604" t="n"/>
      <c r="P143" s="604" t="n"/>
      <c r="Q143" s="604" t="n"/>
      <c r="R143" s="604" t="n"/>
      <c r="S143" s="604" t="n"/>
      <c r="T143" s="604" t="n"/>
      <c r="U143" s="604" t="n"/>
      <c r="V143" s="604" t="n"/>
      <c r="W143" s="604" t="n"/>
      <c r="X143" s="604" t="n"/>
      <c r="Y143" s="604" t="n"/>
      <c r="Z143" s="604" t="n"/>
      <c r="AA143" s="604" t="n"/>
      <c r="AB143" s="604" t="n"/>
      <c r="AC143" s="604" t="n"/>
      <c r="AD143" s="604" t="n"/>
      <c r="AE143" s="604" t="n"/>
      <c r="AF143" s="604" t="n"/>
      <c r="AG143" s="604" t="n"/>
      <c r="AH143" s="604" t="n"/>
      <c r="AI143" s="604" t="n"/>
      <c r="AJ143" s="604" t="n">
        <v>0</v>
      </c>
    </row>
    <row r="144">
      <c r="A144" s="43" t="n">
        <v>38.1</v>
      </c>
      <c r="B144" s="43" t="n">
        <v>38.1</v>
      </c>
      <c r="C144" t="n">
        <v>0</v>
      </c>
      <c r="D144" s="43" t="n">
        <v>2.5</v>
      </c>
      <c r="E144" t="inlineStr">
        <is>
          <t>ERW 2 MAHS</t>
        </is>
      </c>
      <c r="F144" t="inlineStr">
        <is>
          <t>FC</t>
        </is>
      </c>
      <c r="G144" t="inlineStr">
        <is>
          <t>38.1-0-2.5-ERW 2 MAHS-FC</t>
        </is>
      </c>
      <c r="H144" s="604" t="n"/>
      <c r="I144" s="604" t="n"/>
      <c r="J144" s="604" t="n"/>
      <c r="K144" s="604" t="n"/>
      <c r="L144" s="604" t="n"/>
      <c r="M144" s="604" t="n"/>
      <c r="N144" s="604" t="n">
        <v>15.356327</v>
      </c>
      <c r="O144" s="604" t="n"/>
      <c r="P144" s="604" t="n"/>
      <c r="Q144" s="604" t="n"/>
      <c r="R144" s="604" t="n"/>
      <c r="S144" s="604" t="n"/>
      <c r="T144" s="604" t="n"/>
      <c r="U144" s="604" t="n"/>
      <c r="V144" s="604" t="n"/>
      <c r="W144" s="604" t="n">
        <v>0</v>
      </c>
      <c r="X144" s="604" t="n"/>
      <c r="Y144" s="604" t="n"/>
      <c r="Z144" s="604" t="n"/>
      <c r="AA144" s="604" t="n"/>
      <c r="AB144" s="604" t="n"/>
      <c r="AC144" s="604" t="n"/>
      <c r="AD144" s="604" t="n"/>
      <c r="AE144" s="604" t="n"/>
      <c r="AF144" s="604" t="n"/>
      <c r="AG144" s="604" t="n"/>
      <c r="AH144" s="604" t="n"/>
      <c r="AI144" s="604" t="n"/>
      <c r="AJ144" s="604" t="n">
        <v>15.356327</v>
      </c>
    </row>
    <row r="145">
      <c r="A145" s="43" t="n">
        <v>38.1</v>
      </c>
      <c r="B145" s="43" t="n">
        <v>38.1</v>
      </c>
      <c r="C145" t="n">
        <v>0</v>
      </c>
      <c r="D145" s="43" t="n">
        <v>3.66</v>
      </c>
      <c r="E145" t="inlineStr">
        <is>
          <t>ERW 1</t>
        </is>
      </c>
      <c r="F145" t="inlineStr">
        <is>
          <t>FC</t>
        </is>
      </c>
      <c r="G145" t="inlineStr">
        <is>
          <t>38.1-0-3.66-ERW 1-FC</t>
        </is>
      </c>
      <c r="H145" s="604" t="n"/>
      <c r="I145" s="604" t="n"/>
      <c r="J145" s="604" t="n"/>
      <c r="K145" s="604" t="n"/>
      <c r="L145" s="604" t="n"/>
      <c r="M145" s="604" t="n">
        <v>0</v>
      </c>
      <c r="N145" s="604" t="n"/>
      <c r="O145" s="604" t="n"/>
      <c r="P145" s="604" t="n"/>
      <c r="Q145" s="604" t="n"/>
      <c r="R145" s="604" t="n"/>
      <c r="S145" s="604" t="n"/>
      <c r="T145" s="604" t="n"/>
      <c r="U145" s="604" t="n"/>
      <c r="V145" s="604" t="n"/>
      <c r="W145" s="604" t="n"/>
      <c r="X145" s="604" t="n"/>
      <c r="Y145" s="604" t="n"/>
      <c r="Z145" s="604" t="n"/>
      <c r="AA145" s="604" t="n"/>
      <c r="AB145" s="604" t="n"/>
      <c r="AC145" s="604" t="n"/>
      <c r="AD145" s="604" t="n"/>
      <c r="AE145" s="604" t="n"/>
      <c r="AF145" s="604" t="n"/>
      <c r="AG145" s="604" t="n"/>
      <c r="AH145" s="604" t="n"/>
      <c r="AI145" s="604" t="n"/>
      <c r="AJ145" s="604" t="n">
        <v>0</v>
      </c>
    </row>
    <row r="146">
      <c r="A146" s="43" t="n">
        <v>38.1</v>
      </c>
      <c r="B146" s="43" t="n">
        <v>40</v>
      </c>
      <c r="C146" t="n">
        <v>20</v>
      </c>
      <c r="D146" s="43" t="n">
        <v>1.2</v>
      </c>
      <c r="E146" t="inlineStr">
        <is>
          <t>CRFH</t>
        </is>
      </c>
      <c r="F146" t="inlineStr">
        <is>
          <t>PE</t>
        </is>
      </c>
      <c r="G146" t="inlineStr">
        <is>
          <t>40-20-1.2-CRFH-PE</t>
        </is>
      </c>
      <c r="H146" s="604" t="n"/>
      <c r="I146" s="604" t="n"/>
      <c r="J146" s="604" t="n"/>
      <c r="K146" s="604" t="n"/>
      <c r="L146" s="604" t="n"/>
      <c r="M146" s="604" t="n">
        <v>0</v>
      </c>
      <c r="N146" s="604" t="n"/>
      <c r="O146" s="604" t="n"/>
      <c r="P146" s="604" t="n"/>
      <c r="Q146" s="604" t="n"/>
      <c r="R146" s="604" t="n"/>
      <c r="S146" s="604" t="n"/>
      <c r="T146" s="604" t="n"/>
      <c r="U146" s="604" t="n"/>
      <c r="V146" s="604" t="n"/>
      <c r="W146" s="604" t="n"/>
      <c r="X146" s="604" t="n"/>
      <c r="Y146" s="604" t="n"/>
      <c r="Z146" s="604" t="n"/>
      <c r="AA146" s="604" t="n"/>
      <c r="AB146" s="604" t="n"/>
      <c r="AC146" s="604" t="n">
        <v>8.429327971559999</v>
      </c>
      <c r="AD146" s="604" t="n"/>
      <c r="AE146" s="604" t="n">
        <v>98.66341205711998</v>
      </c>
      <c r="AF146" s="604" t="n">
        <v>112.28043857184</v>
      </c>
      <c r="AG146" s="604" t="n">
        <v>8.29289575656</v>
      </c>
      <c r="AH146" s="604" t="n"/>
      <c r="AI146" s="604" t="n"/>
      <c r="AJ146" s="604" t="n">
        <v>227.66607435708</v>
      </c>
    </row>
    <row r="147" hidden="1" s="584">
      <c r="A147" s="43" t="n">
        <v>38.1</v>
      </c>
      <c r="B147" s="43" t="n">
        <v>40</v>
      </c>
      <c r="C147" t="n">
        <v>20</v>
      </c>
      <c r="D147" s="43" t="n">
        <v>1.6</v>
      </c>
      <c r="E147" t="inlineStr">
        <is>
          <t>ERW 1</t>
        </is>
      </c>
      <c r="F147" t="inlineStr">
        <is>
          <t>FC</t>
        </is>
      </c>
      <c r="G147" t="inlineStr">
        <is>
          <t>40-20-1.6-ERW 1-FC</t>
        </is>
      </c>
      <c r="H147" s="604" t="n"/>
      <c r="I147" s="604" t="n">
        <v>6.909607679999999</v>
      </c>
      <c r="J147" s="604" t="n"/>
      <c r="K147" s="604" t="n"/>
      <c r="L147" s="604" t="n"/>
      <c r="M147" s="604" t="n">
        <v>9.224326252800001</v>
      </c>
      <c r="N147" s="604" t="n"/>
      <c r="O147" s="604" t="n"/>
      <c r="P147" s="604" t="n"/>
      <c r="Q147" s="604" t="n"/>
      <c r="R147" s="604" t="n"/>
      <c r="S147" s="604" t="n"/>
      <c r="T147" s="604" t="n"/>
      <c r="U147" s="604" t="n"/>
      <c r="V147" s="604" t="n"/>
      <c r="W147" s="604" t="n"/>
      <c r="X147" s="604" t="n"/>
      <c r="Y147" s="604" t="n"/>
      <c r="Z147" s="604" t="n"/>
      <c r="AA147" s="604" t="n"/>
      <c r="AB147" s="604" t="n"/>
      <c r="AC147" s="604" t="n"/>
      <c r="AD147" s="604" t="n"/>
      <c r="AE147" s="604" t="n"/>
      <c r="AF147" s="604" t="n"/>
      <c r="AG147" s="604" t="n"/>
      <c r="AH147" s="604" t="n"/>
      <c r="AI147" s="604" t="n"/>
      <c r="AJ147" s="604" t="n">
        <v>16.1339339328</v>
      </c>
    </row>
    <row r="148">
      <c r="A148" s="43" t="n">
        <v>39</v>
      </c>
      <c r="B148" s="43" t="n">
        <v>39</v>
      </c>
      <c r="C148" t="n">
        <v>34</v>
      </c>
      <c r="D148" s="43" t="n">
        <v>2.5</v>
      </c>
      <c r="E148" t="inlineStr">
        <is>
          <t>CEW</t>
        </is>
      </c>
      <c r="F148" t="inlineStr">
        <is>
          <t>CEW</t>
        </is>
      </c>
      <c r="G148" t="inlineStr">
        <is>
          <t>39-34-2.5-CEW-CEW</t>
        </is>
      </c>
      <c r="H148" s="604" t="n"/>
      <c r="I148" s="604" t="n"/>
      <c r="J148" s="604" t="n"/>
      <c r="K148" s="604" t="n"/>
      <c r="L148" s="604" t="n"/>
      <c r="M148" s="604" t="n">
        <v>36.7072908</v>
      </c>
      <c r="N148" s="604" t="n"/>
      <c r="O148" s="604" t="n"/>
      <c r="P148" s="604" t="n"/>
      <c r="Q148" s="604" t="n"/>
      <c r="R148" s="604" t="n">
        <v>15.2947045</v>
      </c>
      <c r="S148" s="604" t="n"/>
      <c r="T148" s="604" t="n"/>
      <c r="U148" s="604" t="n"/>
      <c r="V148" s="604" t="n"/>
      <c r="W148" s="604" t="n"/>
      <c r="X148" s="604" t="n"/>
      <c r="Y148" s="604" t="n"/>
      <c r="Z148" s="604" t="n"/>
      <c r="AA148" s="604" t="n"/>
      <c r="AB148" s="604" t="n"/>
      <c r="AC148" s="604" t="n"/>
      <c r="AD148" s="604" t="n"/>
      <c r="AE148" s="604" t="n"/>
      <c r="AF148" s="604" t="n"/>
      <c r="AG148" s="604" t="n"/>
      <c r="AH148" s="604" t="n"/>
      <c r="AI148" s="604" t="n"/>
      <c r="AJ148" s="604" t="n">
        <v>52.00199529999999</v>
      </c>
    </row>
    <row r="149">
      <c r="A149" s="43" t="n">
        <v>39</v>
      </c>
      <c r="B149" s="43" t="n">
        <v>39</v>
      </c>
      <c r="C149" t="n">
        <v>34</v>
      </c>
      <c r="D149" s="43" t="n">
        <v>2.5</v>
      </c>
      <c r="E149" t="inlineStr">
        <is>
          <t>CEW</t>
        </is>
      </c>
      <c r="F149" t="inlineStr">
        <is>
          <t>(blank)</t>
        </is>
      </c>
      <c r="G149" t="inlineStr">
        <is>
          <t>39-34-2.5-CEW-</t>
        </is>
      </c>
      <c r="H149" s="604" t="n"/>
      <c r="I149" s="604" t="n"/>
      <c r="J149" s="604" t="n"/>
      <c r="K149" s="604" t="n"/>
      <c r="L149" s="604" t="n"/>
      <c r="M149" s="604" t="n">
        <v>0</v>
      </c>
      <c r="N149" s="604" t="n"/>
      <c r="O149" s="604" t="n"/>
      <c r="P149" s="604" t="n"/>
      <c r="Q149" s="604" t="n"/>
      <c r="R149" s="604" t="n"/>
      <c r="S149" s="604" t="n"/>
      <c r="T149" s="604" t="n"/>
      <c r="U149" s="604" t="n"/>
      <c r="V149" s="604" t="n"/>
      <c r="W149" s="604" t="n"/>
      <c r="X149" s="604" t="n"/>
      <c r="Y149" s="604" t="n"/>
      <c r="Z149" s="604" t="n"/>
      <c r="AA149" s="604" t="n"/>
      <c r="AB149" s="604" t="n"/>
      <c r="AC149" s="604" t="n"/>
      <c r="AD149" s="604" t="n"/>
      <c r="AE149" s="604" t="n"/>
      <c r="AF149" s="604" t="n"/>
      <c r="AG149" s="604" t="n"/>
      <c r="AH149" s="604" t="n"/>
      <c r="AI149" s="604" t="n"/>
      <c r="AJ149" s="604" t="n">
        <v>0</v>
      </c>
    </row>
    <row r="150">
      <c r="A150" s="43" t="n">
        <v>40</v>
      </c>
      <c r="B150" s="43" t="n">
        <v>40</v>
      </c>
      <c r="C150" t="n">
        <v>40</v>
      </c>
      <c r="D150" s="43" t="n">
        <v>1.2</v>
      </c>
      <c r="E150" t="inlineStr">
        <is>
          <t>ERW 1</t>
        </is>
      </c>
      <c r="F150" t="inlineStr">
        <is>
          <t>PE</t>
        </is>
      </c>
      <c r="G150" t="inlineStr">
        <is>
          <t>40-40-1.2-ERW 1-PE</t>
        </is>
      </c>
      <c r="H150" s="604" t="n"/>
      <c r="I150" s="604" t="n"/>
      <c r="J150" s="604" t="n"/>
      <c r="K150" s="604" t="n"/>
      <c r="L150" s="604" t="n"/>
      <c r="M150" s="604" t="n"/>
      <c r="N150" s="604" t="n"/>
      <c r="O150" s="604" t="n"/>
      <c r="P150" s="604" t="n"/>
      <c r="Q150" s="604" t="n"/>
      <c r="R150" s="604" t="n"/>
      <c r="S150" s="604" t="n"/>
      <c r="T150" s="604" t="n"/>
      <c r="U150" s="604" t="n"/>
      <c r="V150" s="604" t="n"/>
      <c r="W150" s="604" t="n"/>
      <c r="X150" s="604" t="n"/>
      <c r="Y150" s="604" t="n"/>
      <c r="Z150" s="604" t="n">
        <v>0</v>
      </c>
      <c r="AA150" s="604" t="n"/>
      <c r="AB150" s="604" t="n"/>
      <c r="AC150" s="604" t="n"/>
      <c r="AD150" s="604" t="n"/>
      <c r="AE150" s="604" t="n"/>
      <c r="AF150" s="604" t="n"/>
      <c r="AG150" s="604" t="n"/>
      <c r="AH150" s="604" t="n"/>
      <c r="AI150" s="604" t="n"/>
      <c r="AJ150" s="604" t="n">
        <v>0</v>
      </c>
    </row>
    <row r="151" hidden="1" s="584">
      <c r="A151" s="43" t="n">
        <v>41.28</v>
      </c>
      <c r="B151" s="43" t="n">
        <v>40</v>
      </c>
      <c r="C151" t="n">
        <v>25</v>
      </c>
      <c r="D151" s="43" t="n">
        <v>1.6</v>
      </c>
      <c r="E151" t="inlineStr">
        <is>
          <t>ERW 1</t>
        </is>
      </c>
      <c r="F151" t="inlineStr">
        <is>
          <t>FC</t>
        </is>
      </c>
      <c r="G151" t="inlineStr">
        <is>
          <t>40-25-1.6-ERW 1-FC</t>
        </is>
      </c>
      <c r="H151" s="604" t="n"/>
      <c r="I151" s="604" t="n">
        <v>73.38281002496001</v>
      </c>
      <c r="J151" s="604" t="n"/>
      <c r="K151" s="604" t="n"/>
      <c r="L151" s="604" t="n"/>
      <c r="M151" s="604" t="n">
        <v>22.278140076032</v>
      </c>
      <c r="N151" s="604" t="n">
        <v>0</v>
      </c>
      <c r="O151" s="604" t="n"/>
      <c r="P151" s="604" t="n"/>
      <c r="Q151" s="604" t="n"/>
      <c r="R151" s="604" t="n"/>
      <c r="S151" s="604" t="n"/>
      <c r="T151" s="604" t="n"/>
      <c r="U151" s="604" t="n"/>
      <c r="V151" s="604" t="n"/>
      <c r="W151" s="604" t="n">
        <v>0</v>
      </c>
      <c r="X151" s="604" t="n"/>
      <c r="Y151" s="604" t="n">
        <v>31.63664275727156</v>
      </c>
      <c r="Z151" s="604" t="n">
        <v>24.62394872832</v>
      </c>
      <c r="AA151" s="604" t="n"/>
      <c r="AB151" s="604" t="n"/>
      <c r="AC151" s="604" t="n"/>
      <c r="AD151" s="604" t="n"/>
      <c r="AE151" s="604" t="n"/>
      <c r="AF151" s="604" t="n"/>
      <c r="AG151" s="604" t="n"/>
      <c r="AH151" s="604" t="n"/>
      <c r="AI151" s="604" t="n"/>
      <c r="AJ151" s="604" t="n">
        <v>151.9215415865836</v>
      </c>
    </row>
    <row r="152">
      <c r="A152" s="43" t="n">
        <v>41.28</v>
      </c>
      <c r="B152" s="43" t="n">
        <v>40</v>
      </c>
      <c r="C152" t="n">
        <v>25</v>
      </c>
      <c r="D152" s="43" t="n">
        <v>1.6</v>
      </c>
      <c r="E152" t="inlineStr">
        <is>
          <t>ERW 1</t>
        </is>
      </c>
      <c r="F152" t="inlineStr">
        <is>
          <t>FC</t>
        </is>
      </c>
      <c r="G152" t="inlineStr">
        <is>
          <t>(blank)</t>
        </is>
      </c>
      <c r="H152" s="604" t="n"/>
      <c r="I152" s="604" t="n"/>
      <c r="J152" s="604" t="n"/>
      <c r="K152" s="604" t="n"/>
      <c r="L152" s="604" t="n"/>
      <c r="M152" s="604" t="n"/>
      <c r="N152" s="604" t="n"/>
      <c r="O152" s="604" t="n"/>
      <c r="P152" s="604" t="n"/>
      <c r="Q152" s="604" t="n"/>
      <c r="R152" s="604" t="n"/>
      <c r="S152" s="604" t="n"/>
      <c r="T152" s="604" t="n"/>
      <c r="U152" s="604" t="n"/>
      <c r="V152" s="604" t="n">
        <v>8.100003725312</v>
      </c>
      <c r="W152" s="604" t="n"/>
      <c r="X152" s="604" t="n"/>
      <c r="Y152" s="604" t="n"/>
      <c r="Z152" s="604" t="n"/>
      <c r="AA152" s="604" t="n"/>
      <c r="AB152" s="604" t="n"/>
      <c r="AC152" s="604" t="n"/>
      <c r="AD152" s="604" t="n"/>
      <c r="AE152" s="604" t="n"/>
      <c r="AF152" s="604" t="n"/>
      <c r="AG152" s="604" t="n"/>
      <c r="AH152" s="604" t="n"/>
      <c r="AI152" s="604" t="n"/>
      <c r="AJ152" s="604" t="n">
        <v>8.100003725312</v>
      </c>
    </row>
    <row r="153" hidden="1" s="584">
      <c r="A153" s="43" t="n">
        <v>41.28</v>
      </c>
      <c r="B153" s="43" t="n">
        <v>40</v>
      </c>
      <c r="C153" t="n">
        <v>25</v>
      </c>
      <c r="D153" s="43" t="n">
        <v>2</v>
      </c>
      <c r="E153" t="inlineStr">
        <is>
          <t>ERW 1</t>
        </is>
      </c>
      <c r="F153" t="inlineStr">
        <is>
          <t>FC</t>
        </is>
      </c>
      <c r="G153" t="inlineStr">
        <is>
          <t>40-25-2-ERW 1-FC</t>
        </is>
      </c>
      <c r="H153" s="604" t="n"/>
      <c r="I153" s="604" t="n">
        <v>0</v>
      </c>
      <c r="J153" s="604" t="n"/>
      <c r="K153" s="604" t="n"/>
      <c r="L153" s="604" t="n"/>
      <c r="M153" s="604" t="n"/>
      <c r="N153" s="604" t="n"/>
      <c r="O153" s="604" t="n"/>
      <c r="P153" s="604" t="n"/>
      <c r="Q153" s="604" t="n"/>
      <c r="R153" s="604" t="n"/>
      <c r="S153" s="604" t="n"/>
      <c r="T153" s="604" t="n"/>
      <c r="U153" s="604" t="n"/>
      <c r="V153" s="604" t="n"/>
      <c r="W153" s="604" t="n"/>
      <c r="X153" s="604" t="n"/>
      <c r="Y153" s="604" t="n"/>
      <c r="Z153" s="604" t="n"/>
      <c r="AA153" s="604" t="n"/>
      <c r="AB153" s="604" t="n"/>
      <c r="AC153" s="604" t="n"/>
      <c r="AD153" s="604" t="n"/>
      <c r="AE153" s="604" t="n"/>
      <c r="AF153" s="604" t="n"/>
      <c r="AG153" s="604" t="n"/>
      <c r="AH153" s="604" t="n"/>
      <c r="AI153" s="604" t="n"/>
      <c r="AJ153" s="604" t="n">
        <v>0</v>
      </c>
    </row>
    <row r="154">
      <c r="A154" s="43" t="n">
        <v>41.28</v>
      </c>
      <c r="B154" s="43" t="n">
        <v>41.28</v>
      </c>
      <c r="C154" t="n">
        <v>0</v>
      </c>
      <c r="D154" s="43" t="n">
        <v>2.6</v>
      </c>
      <c r="E154" t="inlineStr">
        <is>
          <t>ERW 1</t>
        </is>
      </c>
      <c r="F154" t="inlineStr">
        <is>
          <t>FC</t>
        </is>
      </c>
      <c r="G154" t="inlineStr">
        <is>
          <t>41.28-0-2.6-ERW 1-FC</t>
        </is>
      </c>
      <c r="H154" s="604" t="n"/>
      <c r="I154" s="604" t="n"/>
      <c r="J154" s="604" t="n"/>
      <c r="K154" s="604" t="n"/>
      <c r="L154" s="604" t="n"/>
      <c r="M154" s="604" t="n"/>
      <c r="N154" s="604" t="n"/>
      <c r="O154" s="604" t="n"/>
      <c r="P154" s="604" t="n">
        <v>0</v>
      </c>
      <c r="Q154" s="604" t="n">
        <v>0</v>
      </c>
      <c r="R154" s="604" t="n"/>
      <c r="S154" s="604" t="n"/>
      <c r="T154" s="604" t="n"/>
      <c r="U154" s="604" t="n"/>
      <c r="V154" s="604" t="n"/>
      <c r="W154" s="604" t="n"/>
      <c r="X154" s="604" t="n"/>
      <c r="Y154" s="604" t="n">
        <v>66.7054807766776</v>
      </c>
      <c r="Z154" s="604" t="n"/>
      <c r="AA154" s="604" t="n"/>
      <c r="AB154" s="604" t="n"/>
      <c r="AC154" s="604" t="n"/>
      <c r="AD154" s="604" t="n"/>
      <c r="AE154" s="604" t="n"/>
      <c r="AF154" s="604" t="n"/>
      <c r="AG154" s="604" t="n"/>
      <c r="AH154" s="604" t="n"/>
      <c r="AI154" s="604" t="n"/>
      <c r="AJ154" s="604" t="n">
        <v>66.7054807766776</v>
      </c>
    </row>
    <row r="155" hidden="1" s="584">
      <c r="A155" s="43" t="n">
        <v>41.28</v>
      </c>
      <c r="B155" s="43" t="n">
        <v>41.28</v>
      </c>
      <c r="C155" t="n">
        <v>0</v>
      </c>
      <c r="D155" s="43" t="n">
        <v>2.9</v>
      </c>
      <c r="E155" t="inlineStr">
        <is>
          <t>(blank)</t>
        </is>
      </c>
      <c r="F155" t="inlineStr">
        <is>
          <t>(blank)</t>
        </is>
      </c>
      <c r="G155" t="inlineStr">
        <is>
          <t>41.28-0-2.9--</t>
        </is>
      </c>
      <c r="H155" s="604" t="n"/>
      <c r="I155" s="604" t="n"/>
      <c r="J155" s="604" t="n"/>
      <c r="K155" s="604" t="n"/>
      <c r="L155" s="604" t="n"/>
      <c r="M155" s="604" t="n"/>
      <c r="N155" s="604" t="n"/>
      <c r="O155" s="604" t="n"/>
      <c r="P155" s="604" t="n"/>
      <c r="Q155" s="604" t="n"/>
      <c r="R155" s="604" t="n"/>
      <c r="S155" s="604" t="n"/>
      <c r="T155" s="604" t="n"/>
      <c r="U155" s="604" t="n"/>
      <c r="V155" s="604" t="n"/>
      <c r="W155" s="604" t="n"/>
      <c r="X155" s="604" t="n"/>
      <c r="Y155" s="604" t="n"/>
      <c r="Z155" s="604" t="n"/>
      <c r="AA155" s="604" t="n"/>
      <c r="AB155" s="604" t="n"/>
      <c r="AC155" s="604" t="n"/>
      <c r="AD155" s="604" t="n"/>
      <c r="AE155" s="604" t="n"/>
      <c r="AF155" s="604" t="n"/>
      <c r="AG155" s="604" t="n"/>
      <c r="AH155" s="604" t="n">
        <v>0</v>
      </c>
      <c r="AI155" s="604" t="n"/>
      <c r="AJ155" s="604" t="n">
        <v>0</v>
      </c>
    </row>
    <row r="156" hidden="1" s="584">
      <c r="A156" s="43" t="n">
        <v>41.28</v>
      </c>
      <c r="B156" s="43" t="n">
        <v>41.28</v>
      </c>
      <c r="C156" t="n">
        <v>0</v>
      </c>
      <c r="D156" s="43" t="n">
        <v>3.2</v>
      </c>
      <c r="E156" t="inlineStr">
        <is>
          <t>ERW 1</t>
        </is>
      </c>
      <c r="F156" t="inlineStr">
        <is>
          <t>FC</t>
        </is>
      </c>
      <c r="G156" t="inlineStr">
        <is>
          <t>41.28-0-3.2-ERW 1-FC</t>
        </is>
      </c>
      <c r="H156" s="604" t="n"/>
      <c r="I156" s="604" t="n"/>
      <c r="J156" s="604" t="n"/>
      <c r="K156" s="604" t="n"/>
      <c r="L156" s="604" t="n"/>
      <c r="M156" s="604" t="n"/>
      <c r="N156" s="604" t="n">
        <v>5.911140974592</v>
      </c>
      <c r="O156" s="604" t="n"/>
      <c r="P156" s="604" t="n"/>
      <c r="Q156" s="604" t="n"/>
      <c r="R156" s="604" t="n"/>
      <c r="S156" s="604" t="n"/>
      <c r="T156" s="604" t="n"/>
      <c r="U156" s="604" t="n"/>
      <c r="V156" s="604" t="n">
        <v>6.908345651200001</v>
      </c>
      <c r="W156" s="604" t="n"/>
      <c r="X156" s="604" t="n"/>
      <c r="Y156" s="604" t="n"/>
      <c r="Z156" s="604" t="n"/>
      <c r="AA156" s="604" t="n"/>
      <c r="AB156" s="604" t="n"/>
      <c r="AC156" s="604" t="n"/>
      <c r="AD156" s="604" t="n"/>
      <c r="AE156" s="604" t="n"/>
      <c r="AF156" s="604" t="n"/>
      <c r="AG156" s="604" t="n"/>
      <c r="AH156" s="604" t="n"/>
      <c r="AI156" s="604" t="n"/>
      <c r="AJ156" s="604" t="n">
        <v>12.819486625792</v>
      </c>
    </row>
    <row r="157" hidden="1" s="584">
      <c r="A157" s="43" t="n">
        <v>41.28</v>
      </c>
      <c r="B157" s="43" t="n">
        <v>41.28</v>
      </c>
      <c r="C157" t="n">
        <v>0</v>
      </c>
      <c r="D157" s="43" t="n">
        <v>3.2</v>
      </c>
      <c r="E157" t="inlineStr">
        <is>
          <t>ERW 1</t>
        </is>
      </c>
      <c r="F157" t="inlineStr">
        <is>
          <t>(blank)</t>
        </is>
      </c>
      <c r="G157" t="inlineStr">
        <is>
          <t>41.28-0-3.2-ERW 1-</t>
        </is>
      </c>
      <c r="H157" s="604" t="n"/>
      <c r="I157" s="604" t="n"/>
      <c r="J157" s="604" t="n"/>
      <c r="K157" s="604" t="n"/>
      <c r="L157" s="604" t="n"/>
      <c r="M157" s="604" t="n"/>
      <c r="N157" s="604" t="n"/>
      <c r="O157" s="604" t="n"/>
      <c r="P157" s="604" t="n">
        <v>0</v>
      </c>
      <c r="Q157" s="604" t="n"/>
      <c r="R157" s="604" t="n"/>
      <c r="S157" s="604" t="n"/>
      <c r="T157" s="604" t="n"/>
      <c r="U157" s="604" t="n"/>
      <c r="V157" s="604" t="n"/>
      <c r="W157" s="604" t="n"/>
      <c r="X157" s="604" t="n"/>
      <c r="Y157" s="604" t="n"/>
      <c r="Z157" s="604" t="n"/>
      <c r="AA157" s="604" t="n"/>
      <c r="AB157" s="604" t="n"/>
      <c r="AC157" s="604" t="n"/>
      <c r="AD157" s="604" t="n"/>
      <c r="AE157" s="604" t="n"/>
      <c r="AF157" s="604" t="n"/>
      <c r="AG157" s="604" t="n"/>
      <c r="AH157" s="604" t="n"/>
      <c r="AI157" s="604" t="n"/>
      <c r="AJ157" s="604" t="n">
        <v>0</v>
      </c>
    </row>
    <row r="158">
      <c r="A158" s="43" t="n">
        <v>42.7</v>
      </c>
      <c r="B158" s="43" t="n">
        <v>0</v>
      </c>
      <c r="C158" t="n">
        <v>0</v>
      </c>
      <c r="D158" s="43" t="n">
        <v>4</v>
      </c>
      <c r="E158" t="inlineStr">
        <is>
          <t>ERW 1</t>
        </is>
      </c>
      <c r="F158" t="inlineStr">
        <is>
          <t>(blank)</t>
        </is>
      </c>
      <c r="G158" t="inlineStr">
        <is>
          <t>0-0-4-ERW 1-</t>
        </is>
      </c>
      <c r="H158" s="604" t="n"/>
      <c r="I158" s="604" t="n"/>
      <c r="J158" s="604" t="n"/>
      <c r="K158" s="604" t="n"/>
      <c r="L158" s="604" t="n"/>
      <c r="M158" s="604" t="n"/>
      <c r="N158" s="604" t="n">
        <v>0</v>
      </c>
      <c r="O158" s="604" t="n"/>
      <c r="P158" s="604" t="n"/>
      <c r="Q158" s="604" t="n"/>
      <c r="R158" s="604" t="n"/>
      <c r="S158" s="604" t="n"/>
      <c r="T158" s="604" t="n"/>
      <c r="U158" s="604" t="n"/>
      <c r="V158" s="604" t="n"/>
      <c r="W158" s="604" t="n"/>
      <c r="X158" s="604" t="n"/>
      <c r="Y158" s="604" t="n"/>
      <c r="Z158" s="604" t="n"/>
      <c r="AA158" s="604" t="n"/>
      <c r="AB158" s="604" t="n"/>
      <c r="AC158" s="604" t="n"/>
      <c r="AD158" s="604" t="n"/>
      <c r="AE158" s="604" t="n"/>
      <c r="AF158" s="604" t="n"/>
      <c r="AG158" s="604" t="n"/>
      <c r="AH158" s="604" t="n"/>
      <c r="AI158" s="604" t="n"/>
      <c r="AJ158" s="604" t="n">
        <v>0</v>
      </c>
    </row>
    <row r="159" hidden="1" s="584">
      <c r="A159" s="43" t="n">
        <v>42.7</v>
      </c>
      <c r="B159" s="43" t="n">
        <v>42.7</v>
      </c>
      <c r="C159" t="n">
        <v>0</v>
      </c>
      <c r="D159" s="43" t="n">
        <v>3.5</v>
      </c>
      <c r="E159" t="inlineStr">
        <is>
          <t>CEW</t>
        </is>
      </c>
      <c r="F159" t="inlineStr">
        <is>
          <t>(blank)</t>
        </is>
      </c>
      <c r="G159" t="inlineStr">
        <is>
          <t>42.7-0-3.5-CEW-</t>
        </is>
      </c>
      <c r="H159" s="604" t="n"/>
      <c r="I159" s="604" t="n"/>
      <c r="J159" s="604" t="n"/>
      <c r="K159" s="604" t="n"/>
      <c r="L159" s="604" t="n"/>
      <c r="M159" s="604" t="n"/>
      <c r="N159" s="604" t="n">
        <v>0</v>
      </c>
      <c r="O159" s="604" t="n"/>
      <c r="P159" s="604" t="n"/>
      <c r="Q159" s="604" t="n"/>
      <c r="R159" s="604" t="n"/>
      <c r="S159" s="604" t="n"/>
      <c r="T159" s="604" t="n"/>
      <c r="U159" s="604" t="n"/>
      <c r="V159" s="604" t="n"/>
      <c r="W159" s="604" t="n"/>
      <c r="X159" s="604" t="n"/>
      <c r="Y159" s="604" t="n"/>
      <c r="Z159" s="604" t="n"/>
      <c r="AA159" s="604" t="n"/>
      <c r="AB159" s="604" t="n"/>
      <c r="AC159" s="604" t="n"/>
      <c r="AD159" s="604" t="n"/>
      <c r="AE159" s="604" t="n"/>
      <c r="AF159" s="604" t="n"/>
      <c r="AG159" s="604" t="n"/>
      <c r="AH159" s="604" t="n"/>
      <c r="AI159" s="604" t="n"/>
      <c r="AJ159" s="604" t="n">
        <v>0</v>
      </c>
    </row>
    <row r="160" hidden="1" s="584">
      <c r="A160" s="43" t="n">
        <v>42.7</v>
      </c>
      <c r="B160" s="43" t="n">
        <v>42.7</v>
      </c>
      <c r="C160" t="n">
        <v>0</v>
      </c>
      <c r="D160" s="43" t="n">
        <v>3.5</v>
      </c>
      <c r="E160" t="inlineStr">
        <is>
          <t>ERW 1</t>
        </is>
      </c>
      <c r="F160" t="inlineStr">
        <is>
          <t>FC</t>
        </is>
      </c>
      <c r="G160" t="inlineStr">
        <is>
          <t>42.7-0-3.5-ERW 1-FC</t>
        </is>
      </c>
      <c r="H160" s="604" t="n"/>
      <c r="I160" s="604" t="n"/>
      <c r="J160" s="604" t="n"/>
      <c r="K160" s="604" t="n"/>
      <c r="L160" s="604" t="n"/>
      <c r="M160" s="604" t="n"/>
      <c r="N160" s="604" t="n">
        <v>2.130560964</v>
      </c>
      <c r="O160" s="604" t="n"/>
      <c r="P160" s="604" t="n"/>
      <c r="Q160" s="604" t="n"/>
      <c r="R160" s="604" t="n"/>
      <c r="S160" s="604" t="n"/>
      <c r="T160" s="604" t="n"/>
      <c r="U160" s="604" t="n"/>
      <c r="V160" s="604" t="n"/>
      <c r="W160" s="604" t="n">
        <v>0</v>
      </c>
      <c r="X160" s="604" t="n"/>
      <c r="Y160" s="604" t="n"/>
      <c r="Z160" s="604" t="n">
        <v>24.619815584</v>
      </c>
      <c r="AA160" s="604" t="n"/>
      <c r="AB160" s="604" t="n"/>
      <c r="AC160" s="604" t="n"/>
      <c r="AD160" s="604" t="n"/>
      <c r="AE160" s="604" t="n"/>
      <c r="AF160" s="604" t="n"/>
      <c r="AG160" s="604" t="n"/>
      <c r="AH160" s="604" t="n">
        <v>34.088975424</v>
      </c>
      <c r="AI160" s="604" t="n">
        <v>13.831737052</v>
      </c>
      <c r="AJ160" s="604" t="n">
        <v>74.67108902400001</v>
      </c>
    </row>
    <row r="161">
      <c r="A161" s="43" t="n">
        <v>42.7</v>
      </c>
      <c r="B161" s="43" t="n">
        <v>42.7</v>
      </c>
      <c r="C161" t="n">
        <v>0</v>
      </c>
      <c r="D161" s="43" t="n">
        <v>4</v>
      </c>
      <c r="E161" t="inlineStr">
        <is>
          <t>CEW</t>
        </is>
      </c>
      <c r="F161" t="inlineStr">
        <is>
          <t>CEW</t>
        </is>
      </c>
      <c r="G161" t="inlineStr">
        <is>
          <t>42.7-0-4-CEW-CEW</t>
        </is>
      </c>
      <c r="H161" s="604" t="n"/>
      <c r="I161" s="604" t="n"/>
      <c r="J161" s="604" t="n"/>
      <c r="K161" s="604" t="n"/>
      <c r="L161" s="604" t="n"/>
      <c r="M161" s="604" t="n"/>
      <c r="N161" s="604" t="n"/>
      <c r="O161" s="604" t="n"/>
      <c r="P161" s="604" t="n">
        <v>0</v>
      </c>
      <c r="Q161" s="604" t="n"/>
      <c r="R161" s="604" t="n"/>
      <c r="S161" s="604" t="n"/>
      <c r="T161" s="604" t="n"/>
      <c r="U161" s="604" t="n"/>
      <c r="V161" s="604" t="n"/>
      <c r="W161" s="604" t="n"/>
      <c r="X161" s="604" t="n"/>
      <c r="Y161" s="604" t="n"/>
      <c r="Z161" s="604" t="n"/>
      <c r="AA161" s="604" t="n"/>
      <c r="AB161" s="604" t="n"/>
      <c r="AC161" s="604" t="n"/>
      <c r="AD161" s="604" t="n"/>
      <c r="AE161" s="604" t="n"/>
      <c r="AF161" s="604" t="n"/>
      <c r="AG161" s="604" t="n"/>
      <c r="AH161" s="604" t="n"/>
      <c r="AI161" s="604" t="n"/>
      <c r="AJ161" s="604" t="n">
        <v>0</v>
      </c>
    </row>
    <row r="162" hidden="1" s="584">
      <c r="A162" s="43" t="n">
        <v>42.7</v>
      </c>
      <c r="B162" s="43" t="n">
        <v>42.7</v>
      </c>
      <c r="C162" t="n">
        <v>0</v>
      </c>
      <c r="D162" s="43" t="n">
        <v>4</v>
      </c>
      <c r="E162" t="inlineStr">
        <is>
          <t>CEW</t>
        </is>
      </c>
      <c r="F162" t="inlineStr">
        <is>
          <t>(blank)</t>
        </is>
      </c>
      <c r="G162" t="inlineStr">
        <is>
          <t>42.7-0-4-CEW-</t>
        </is>
      </c>
      <c r="H162" s="604" t="n"/>
      <c r="I162" s="604" t="n"/>
      <c r="J162" s="604" t="n"/>
      <c r="K162" s="604" t="n"/>
      <c r="L162" s="604" t="n"/>
      <c r="M162" s="604" t="n"/>
      <c r="N162" s="604" t="n">
        <v>0</v>
      </c>
      <c r="O162" s="604" t="n"/>
      <c r="P162" s="604" t="n"/>
      <c r="Q162" s="604" t="n">
        <v>0</v>
      </c>
      <c r="R162" s="604" t="n"/>
      <c r="S162" s="604" t="n"/>
      <c r="T162" s="604" t="n"/>
      <c r="U162" s="604" t="n"/>
      <c r="V162" s="604" t="n"/>
      <c r="W162" s="604" t="n"/>
      <c r="X162" s="604" t="n"/>
      <c r="Y162" s="604" t="n"/>
      <c r="Z162" s="604" t="n"/>
      <c r="AA162" s="604" t="n"/>
      <c r="AB162" s="604" t="n"/>
      <c r="AC162" s="604" t="n"/>
      <c r="AD162" s="604" t="n"/>
      <c r="AE162" s="604" t="n"/>
      <c r="AF162" s="604" t="n"/>
      <c r="AG162" s="604" t="n"/>
      <c r="AH162" s="604" t="n"/>
      <c r="AI162" s="604" t="n"/>
      <c r="AJ162" s="604" t="n">
        <v>0</v>
      </c>
    </row>
    <row r="163">
      <c r="A163" s="43" t="n">
        <v>42.7</v>
      </c>
      <c r="B163" s="43" t="n">
        <v>42.7</v>
      </c>
      <c r="C163" t="n">
        <v>0</v>
      </c>
      <c r="D163" s="43" t="n">
        <v>4</v>
      </c>
      <c r="E163" t="inlineStr">
        <is>
          <t>ERW 1</t>
        </is>
      </c>
      <c r="F163" t="inlineStr">
        <is>
          <t>FC</t>
        </is>
      </c>
      <c r="G163" t="inlineStr">
        <is>
          <t>42.7-0-4-ERW 1-FC</t>
        </is>
      </c>
      <c r="H163" s="604" t="n"/>
      <c r="I163" s="604" t="n">
        <v>0</v>
      </c>
      <c r="J163" s="604" t="n"/>
      <c r="K163" s="604" t="n"/>
      <c r="L163" s="604" t="n"/>
      <c r="M163" s="604" t="n"/>
      <c r="N163" s="604" t="n">
        <v>6.276769254</v>
      </c>
      <c r="O163" s="604" t="n"/>
      <c r="P163" s="604" t="n"/>
      <c r="Q163" s="604" t="n">
        <v>9.691789608000001</v>
      </c>
      <c r="R163" s="604" t="n"/>
      <c r="S163" s="604" t="n"/>
      <c r="T163" s="604" t="n"/>
      <c r="U163" s="604" t="n"/>
      <c r="V163" s="604" t="n">
        <v>6.7842527256</v>
      </c>
      <c r="W163" s="604" t="n"/>
      <c r="X163" s="604" t="n"/>
      <c r="Y163" s="604" t="n">
        <v>51.94160105967</v>
      </c>
      <c r="Z163" s="604" t="n"/>
      <c r="AA163" s="604" t="n"/>
      <c r="AB163" s="604" t="n"/>
      <c r="AC163" s="604" t="n"/>
      <c r="AD163" s="604" t="n"/>
      <c r="AE163" s="604" t="n"/>
      <c r="AF163" s="604" t="n"/>
      <c r="AG163" s="604" t="n"/>
      <c r="AH163" s="604" t="n"/>
      <c r="AI163" s="604" t="n"/>
      <c r="AJ163" s="604" t="n">
        <v>74.69441264727</v>
      </c>
    </row>
    <row r="164">
      <c r="A164" s="43" t="n">
        <v>42.7</v>
      </c>
      <c r="B164" s="43" t="n">
        <v>42.7</v>
      </c>
      <c r="C164" t="n">
        <v>0</v>
      </c>
      <c r="D164" s="43" t="n">
        <v>4</v>
      </c>
      <c r="E164" t="inlineStr">
        <is>
          <t>ERW 1</t>
        </is>
      </c>
      <c r="F164" t="inlineStr">
        <is>
          <t>(blank)</t>
        </is>
      </c>
      <c r="G164" t="inlineStr">
        <is>
          <t>42.7-0-4-ERW 1-</t>
        </is>
      </c>
      <c r="H164" s="604" t="n"/>
      <c r="I164" s="604" t="n"/>
      <c r="J164" s="604" t="n"/>
      <c r="K164" s="604" t="n"/>
      <c r="L164" s="604" t="n">
        <v>0</v>
      </c>
      <c r="M164" s="604" t="n"/>
      <c r="N164" s="604" t="n"/>
      <c r="O164" s="604" t="n"/>
      <c r="P164" s="604" t="n">
        <v>0</v>
      </c>
      <c r="Q164" s="604" t="n"/>
      <c r="R164" s="604" t="n"/>
      <c r="S164" s="604" t="n"/>
      <c r="T164" s="604" t="n"/>
      <c r="U164" s="604" t="n"/>
      <c r="V164" s="604" t="n"/>
      <c r="W164" s="604" t="n"/>
      <c r="X164" s="604" t="n"/>
      <c r="Y164" s="604" t="n"/>
      <c r="Z164" s="604" t="n"/>
      <c r="AA164" s="604" t="n"/>
      <c r="AB164" s="604" t="n"/>
      <c r="AC164" s="604" t="n"/>
      <c r="AD164" s="604" t="n"/>
      <c r="AE164" s="604" t="n"/>
      <c r="AF164" s="604" t="n"/>
      <c r="AG164" s="604" t="n"/>
      <c r="AH164" s="604" t="n"/>
      <c r="AI164" s="604" t="n"/>
      <c r="AJ164" s="604" t="n">
        <v>0</v>
      </c>
    </row>
    <row r="165" hidden="1" s="584">
      <c r="A165" s="43" t="n">
        <v>44.45</v>
      </c>
      <c r="B165" s="43" t="n">
        <v>40</v>
      </c>
      <c r="C165" t="n">
        <v>30</v>
      </c>
      <c r="D165" s="43" t="n">
        <v>1.6</v>
      </c>
      <c r="E165" t="inlineStr">
        <is>
          <t>ERW 1</t>
        </is>
      </c>
      <c r="F165" t="inlineStr">
        <is>
          <t>FC</t>
        </is>
      </c>
      <c r="G165" t="inlineStr">
        <is>
          <t>40-30-1.6-ERW 1-FC</t>
        </is>
      </c>
      <c r="H165" s="604" t="n"/>
      <c r="I165" s="604" t="n">
        <v>0</v>
      </c>
      <c r="J165" s="604" t="n"/>
      <c r="K165" s="604" t="n"/>
      <c r="L165" s="604" t="n"/>
      <c r="M165" s="604" t="n"/>
      <c r="N165" s="604" t="n">
        <v>24.2167748552</v>
      </c>
      <c r="O165" s="604" t="n"/>
      <c r="P165" s="604" t="n"/>
      <c r="Q165" s="604" t="n">
        <v>11.6267558272</v>
      </c>
      <c r="R165" s="604" t="n"/>
      <c r="S165" s="604" t="n"/>
      <c r="T165" s="604" t="n"/>
      <c r="U165" s="604" t="n"/>
      <c r="V165" s="604" t="n">
        <v>63.71056608800001</v>
      </c>
      <c r="W165" s="604" t="n"/>
      <c r="X165" s="604" t="n"/>
      <c r="Y165" s="604" t="n"/>
      <c r="Z165" s="604" t="n"/>
      <c r="AA165" s="604" t="n"/>
      <c r="AB165" s="604" t="n">
        <v>0</v>
      </c>
      <c r="AC165" s="604" t="n"/>
      <c r="AD165" s="604" t="n"/>
      <c r="AE165" s="604" t="n"/>
      <c r="AF165" s="604" t="n"/>
      <c r="AG165" s="604" t="n"/>
      <c r="AH165" s="604" t="n"/>
      <c r="AI165" s="604" t="n"/>
      <c r="AJ165" s="604" t="n">
        <v>99.55409677040001</v>
      </c>
    </row>
    <row r="166">
      <c r="A166" s="43" t="n">
        <v>44.45</v>
      </c>
      <c r="B166" s="43" t="n">
        <v>40</v>
      </c>
      <c r="C166" t="n">
        <v>30</v>
      </c>
      <c r="D166" s="43" t="n">
        <v>1.6</v>
      </c>
      <c r="E166" t="inlineStr">
        <is>
          <t>ERW 1</t>
        </is>
      </c>
      <c r="F166" t="inlineStr">
        <is>
          <t>FC</t>
        </is>
      </c>
      <c r="G166" t="inlineStr">
        <is>
          <t>(blank)</t>
        </is>
      </c>
      <c r="H166" s="604" t="n"/>
      <c r="I166" s="604" t="n"/>
      <c r="J166" s="604" t="n">
        <v>0</v>
      </c>
      <c r="K166" s="604" t="n"/>
      <c r="L166" s="604" t="n"/>
      <c r="M166" s="604" t="n"/>
      <c r="N166" s="604" t="n"/>
      <c r="O166" s="604" t="n"/>
      <c r="P166" s="604" t="n"/>
      <c r="Q166" s="604" t="n"/>
      <c r="R166" s="604" t="n"/>
      <c r="S166" s="604" t="n"/>
      <c r="T166" s="604" t="n"/>
      <c r="U166" s="604" t="n"/>
      <c r="V166" s="604" t="n"/>
      <c r="W166" s="604" t="n"/>
      <c r="X166" s="604" t="n"/>
      <c r="Y166" s="604" t="n"/>
      <c r="Z166" s="604" t="n"/>
      <c r="AA166" s="604" t="n"/>
      <c r="AB166" s="604" t="n"/>
      <c r="AC166" s="604" t="n"/>
      <c r="AD166" s="604" t="n"/>
      <c r="AE166" s="604" t="n"/>
      <c r="AF166" s="604" t="n"/>
      <c r="AG166" s="604" t="n"/>
      <c r="AH166" s="604" t="n"/>
      <c r="AI166" s="604" t="n"/>
      <c r="AJ166" s="604" t="n">
        <v>0</v>
      </c>
    </row>
    <row r="167">
      <c r="A167" s="43" t="n">
        <v>44.45</v>
      </c>
      <c r="B167" s="43" t="n">
        <v>40</v>
      </c>
      <c r="C167" t="n">
        <v>30</v>
      </c>
      <c r="D167" s="43" t="n">
        <v>1.6</v>
      </c>
      <c r="E167" t="inlineStr">
        <is>
          <t>ERW 1</t>
        </is>
      </c>
      <c r="F167" t="inlineStr">
        <is>
          <t>(blank)</t>
        </is>
      </c>
      <c r="G167" t="inlineStr">
        <is>
          <t>40-30-1.6-ERW 1-</t>
        </is>
      </c>
      <c r="H167" s="604" t="n"/>
      <c r="I167" s="604" t="n"/>
      <c r="J167" s="604" t="n"/>
      <c r="K167" s="604" t="n"/>
      <c r="L167" s="604" t="n"/>
      <c r="M167" s="604" t="n"/>
      <c r="N167" s="604" t="n">
        <v>0</v>
      </c>
      <c r="O167" s="604" t="n"/>
      <c r="P167" s="604" t="n">
        <v>0</v>
      </c>
      <c r="Q167" s="604" t="n"/>
      <c r="R167" s="604" t="n"/>
      <c r="S167" s="604" t="n"/>
      <c r="T167" s="604" t="n"/>
      <c r="U167" s="604" t="n"/>
      <c r="V167" s="604" t="n"/>
      <c r="W167" s="604" t="n"/>
      <c r="X167" s="604" t="n"/>
      <c r="Y167" s="604" t="n"/>
      <c r="Z167" s="604" t="n"/>
      <c r="AA167" s="604" t="n"/>
      <c r="AB167" s="604" t="n"/>
      <c r="AC167" s="604" t="n"/>
      <c r="AD167" s="604" t="n"/>
      <c r="AE167" s="604" t="n"/>
      <c r="AF167" s="604" t="n"/>
      <c r="AG167" s="604" t="n"/>
      <c r="AH167" s="604" t="n"/>
      <c r="AI167" s="604" t="n"/>
      <c r="AJ167" s="604" t="n">
        <v>0</v>
      </c>
    </row>
    <row r="168">
      <c r="A168" s="43" t="n">
        <v>44.45</v>
      </c>
      <c r="B168" s="43" t="n">
        <v>40</v>
      </c>
      <c r="C168" t="n">
        <v>30</v>
      </c>
      <c r="D168" s="43" t="n">
        <v>2</v>
      </c>
      <c r="E168" t="inlineStr">
        <is>
          <t>ERW 1</t>
        </is>
      </c>
      <c r="F168" t="inlineStr">
        <is>
          <t>FC</t>
        </is>
      </c>
      <c r="G168" t="inlineStr">
        <is>
          <t>40-30-2-ERW 1-FC</t>
        </is>
      </c>
      <c r="H168" s="604" t="n"/>
      <c r="I168" s="604" t="n">
        <v>15.862666758</v>
      </c>
      <c r="J168" s="604" t="n">
        <v>8.029167108675001</v>
      </c>
      <c r="K168" s="604" t="n"/>
      <c r="L168" s="604" t="n"/>
      <c r="M168" s="604" t="n">
        <v>0</v>
      </c>
      <c r="N168" s="604" t="n">
        <v>0</v>
      </c>
      <c r="O168" s="604" t="n"/>
      <c r="P168" s="604" t="n"/>
      <c r="Q168" s="604" t="n">
        <v>14.565192696</v>
      </c>
      <c r="R168" s="604" t="n"/>
      <c r="S168" s="604" t="n"/>
      <c r="T168" s="604" t="n"/>
      <c r="U168" s="604" t="n"/>
      <c r="V168" s="604" t="n">
        <v>7.282596348</v>
      </c>
      <c r="W168" s="604" t="n"/>
      <c r="X168" s="604" t="n"/>
      <c r="Y168" s="604" t="n"/>
      <c r="Z168" s="604" t="n"/>
      <c r="AA168" s="604" t="n"/>
      <c r="AB168" s="604" t="n"/>
      <c r="AC168" s="604" t="n"/>
      <c r="AD168" s="604" t="n"/>
      <c r="AE168" s="604" t="n"/>
      <c r="AF168" s="604" t="n"/>
      <c r="AG168" s="604" t="n"/>
      <c r="AH168" s="604" t="n"/>
      <c r="AI168" s="604" t="n"/>
      <c r="AJ168" s="604" t="n">
        <v>45.739622910675</v>
      </c>
    </row>
    <row r="169" hidden="1" s="584">
      <c r="A169" s="43" t="n">
        <v>44.45</v>
      </c>
      <c r="B169" s="43" t="n">
        <v>40</v>
      </c>
      <c r="C169" t="n">
        <v>30</v>
      </c>
      <c r="D169" s="43" t="n">
        <v>2</v>
      </c>
      <c r="E169" t="inlineStr">
        <is>
          <t>ERW 1</t>
        </is>
      </c>
      <c r="F169" t="inlineStr">
        <is>
          <t>FC</t>
        </is>
      </c>
      <c r="G169" t="inlineStr">
        <is>
          <t>(blank)</t>
        </is>
      </c>
      <c r="H169" s="604" t="n"/>
      <c r="I169" s="604" t="n"/>
      <c r="J169" s="604" t="n">
        <v>1.05095399022</v>
      </c>
      <c r="K169" s="604" t="n"/>
      <c r="L169" s="604" t="n"/>
      <c r="M169" s="604" t="n"/>
      <c r="N169" s="604" t="n"/>
      <c r="O169" s="604" t="n"/>
      <c r="P169" s="604" t="n"/>
      <c r="Q169" s="604" t="n"/>
      <c r="R169" s="604" t="n"/>
      <c r="S169" s="604" t="n"/>
      <c r="T169" s="604" t="n"/>
      <c r="U169" s="604" t="n"/>
      <c r="V169" s="604" t="n"/>
      <c r="W169" s="604" t="n"/>
      <c r="X169" s="604" t="n"/>
      <c r="Y169" s="604" t="n"/>
      <c r="Z169" s="604" t="n"/>
      <c r="AA169" s="604" t="n"/>
      <c r="AB169" s="604" t="n"/>
      <c r="AC169" s="604" t="n"/>
      <c r="AD169" s="604" t="n"/>
      <c r="AE169" s="604" t="n"/>
      <c r="AF169" s="604" t="n"/>
      <c r="AG169" s="604" t="n"/>
      <c r="AH169" s="604" t="n"/>
      <c r="AI169" s="604" t="n"/>
      <c r="AJ169" s="604" t="n">
        <v>1.05095399022</v>
      </c>
    </row>
    <row r="170">
      <c r="A170" s="43" t="n">
        <v>48.6</v>
      </c>
      <c r="B170" s="43" t="n">
        <v>48.6</v>
      </c>
      <c r="C170" t="n">
        <v>0</v>
      </c>
      <c r="D170" s="43" t="n">
        <v>1.2</v>
      </c>
      <c r="E170" t="inlineStr">
        <is>
          <t>ERW 1</t>
        </is>
      </c>
      <c r="F170" t="inlineStr">
        <is>
          <t>FC</t>
        </is>
      </c>
      <c r="G170" t="inlineStr">
        <is>
          <t>48.6-0-1.2-ERW 1-FC</t>
        </is>
      </c>
      <c r="H170" s="604" t="n"/>
      <c r="I170" s="604" t="n"/>
      <c r="J170" s="604" t="n"/>
      <c r="K170" s="604" t="n"/>
      <c r="L170" s="604" t="n"/>
      <c r="M170" s="604" t="n"/>
      <c r="N170" s="604" t="n">
        <v>7.066257004800001</v>
      </c>
      <c r="O170" s="604" t="n"/>
      <c r="P170" s="604" t="n"/>
      <c r="Q170" s="604" t="n"/>
      <c r="R170" s="604" t="n"/>
      <c r="S170" s="604" t="n"/>
      <c r="T170" s="604" t="n"/>
      <c r="U170" s="604" t="n"/>
      <c r="V170" s="604" t="n"/>
      <c r="W170" s="604" t="n"/>
      <c r="X170" s="604" t="n"/>
      <c r="Y170" s="604" t="n"/>
      <c r="Z170" s="604" t="n">
        <v>5.653005603840001</v>
      </c>
      <c r="AA170" s="604" t="n"/>
      <c r="AB170" s="604" t="n"/>
      <c r="AC170" s="604" t="n"/>
      <c r="AD170" s="604" t="n"/>
      <c r="AE170" s="604" t="n"/>
      <c r="AF170" s="604" t="n"/>
      <c r="AG170" s="604" t="n"/>
      <c r="AH170" s="604" t="n"/>
      <c r="AI170" s="604" t="n"/>
      <c r="AJ170" s="604" t="n">
        <v>12.71926260864</v>
      </c>
    </row>
    <row r="171" hidden="1" s="584">
      <c r="A171" s="43" t="n">
        <v>48.6</v>
      </c>
      <c r="B171" s="43" t="n">
        <v>48.6</v>
      </c>
      <c r="C171" t="n">
        <v>0</v>
      </c>
      <c r="D171" s="43" t="n">
        <v>2</v>
      </c>
      <c r="E171" t="inlineStr">
        <is>
          <t>ERW 1</t>
        </is>
      </c>
      <c r="F171" t="inlineStr">
        <is>
          <t>(blank)</t>
        </is>
      </c>
      <c r="G171" t="inlineStr">
        <is>
          <t>48.6-0-2-ERW 1-</t>
        </is>
      </c>
      <c r="H171" s="604" t="n"/>
      <c r="I171" s="604" t="n">
        <v>0</v>
      </c>
      <c r="J171" s="604" t="n"/>
      <c r="K171" s="604" t="n"/>
      <c r="L171" s="604" t="n"/>
      <c r="M171" s="604" t="n"/>
      <c r="N171" s="604" t="n"/>
      <c r="O171" s="604" t="n"/>
      <c r="P171" s="604" t="n"/>
      <c r="Q171" s="604" t="n"/>
      <c r="R171" s="604" t="n"/>
      <c r="S171" s="604" t="n"/>
      <c r="T171" s="604" t="n"/>
      <c r="U171" s="604" t="n"/>
      <c r="V171" s="604" t="n"/>
      <c r="W171" s="604" t="n"/>
      <c r="X171" s="604" t="n"/>
      <c r="Y171" s="604" t="n"/>
      <c r="Z171" s="604" t="n"/>
      <c r="AA171" s="604" t="n"/>
      <c r="AB171" s="604" t="n"/>
      <c r="AC171" s="604" t="n"/>
      <c r="AD171" s="604" t="n"/>
      <c r="AE171" s="604" t="n"/>
      <c r="AF171" s="604" t="n"/>
      <c r="AG171" s="604" t="n"/>
      <c r="AH171" s="604" t="n"/>
      <c r="AI171" s="604" t="n"/>
      <c r="AJ171" s="604" t="n">
        <v>0</v>
      </c>
    </row>
    <row r="172" hidden="1" s="584">
      <c r="A172" s="43" t="n">
        <v>48.6</v>
      </c>
      <c r="B172" s="43" t="n">
        <v>48.6</v>
      </c>
      <c r="C172" t="n">
        <v>0</v>
      </c>
      <c r="D172" s="43" t="n">
        <v>3.5</v>
      </c>
      <c r="E172" t="inlineStr">
        <is>
          <t>ERW 1</t>
        </is>
      </c>
      <c r="F172" t="inlineStr">
        <is>
          <t>FC</t>
        </is>
      </c>
      <c r="G172" t="inlineStr">
        <is>
          <t>48.6-0-3.5-ERW 1-FC</t>
        </is>
      </c>
      <c r="H172" s="604" t="n"/>
      <c r="I172" s="604" t="n"/>
      <c r="J172" s="604" t="n"/>
      <c r="K172" s="604" t="n"/>
      <c r="L172" s="604" t="n"/>
      <c r="M172" s="604" t="n"/>
      <c r="N172" s="604" t="n"/>
      <c r="O172" s="604" t="n"/>
      <c r="P172" s="604" t="n"/>
      <c r="Q172" s="604" t="n"/>
      <c r="R172" s="604" t="n"/>
      <c r="S172" s="604" t="n"/>
      <c r="T172" s="604" t="n"/>
      <c r="U172" s="604" t="n"/>
      <c r="V172" s="604" t="n"/>
      <c r="W172" s="604" t="n"/>
      <c r="X172" s="604" t="n"/>
      <c r="Y172" s="604" t="n">
        <v>0</v>
      </c>
      <c r="Z172" s="604" t="n"/>
      <c r="AA172" s="604" t="n"/>
      <c r="AB172" s="604" t="n"/>
      <c r="AC172" s="604" t="n"/>
      <c r="AD172" s="604" t="n"/>
      <c r="AE172" s="604" t="n"/>
      <c r="AF172" s="604" t="n"/>
      <c r="AG172" s="604" t="n"/>
      <c r="AH172" s="604" t="n"/>
      <c r="AI172" s="604" t="n">
        <v>15.252111028</v>
      </c>
      <c r="AJ172" s="604" t="n">
        <v>15.252111028</v>
      </c>
    </row>
    <row r="173">
      <c r="A173" s="43" t="n">
        <v>48.6</v>
      </c>
      <c r="B173" s="43" t="n">
        <v>48.6</v>
      </c>
      <c r="C173" t="n">
        <v>0</v>
      </c>
      <c r="D173" s="43" t="n">
        <v>3.5</v>
      </c>
      <c r="E173" t="inlineStr">
        <is>
          <t>(blank)</t>
        </is>
      </c>
      <c r="F173" t="inlineStr">
        <is>
          <t>(blank)</t>
        </is>
      </c>
      <c r="G173" t="inlineStr">
        <is>
          <t>48.6-0-3.5--</t>
        </is>
      </c>
      <c r="H173" s="604" t="n"/>
      <c r="I173" s="604" t="n"/>
      <c r="J173" s="604" t="n"/>
      <c r="K173" s="604" t="n"/>
      <c r="L173" s="604" t="n">
        <v>0</v>
      </c>
      <c r="M173" s="604" t="n"/>
      <c r="N173" s="604" t="n"/>
      <c r="O173" s="604" t="n"/>
      <c r="P173" s="604" t="n"/>
      <c r="Q173" s="604" t="n"/>
      <c r="R173" s="604" t="n"/>
      <c r="S173" s="604" t="n"/>
      <c r="T173" s="604" t="n"/>
      <c r="U173" s="604" t="n"/>
      <c r="V173" s="604" t="n"/>
      <c r="W173" s="604" t="n"/>
      <c r="X173" s="604" t="n"/>
      <c r="Y173" s="604" t="n"/>
      <c r="Z173" s="604" t="n"/>
      <c r="AA173" s="604" t="n"/>
      <c r="AB173" s="604" t="n"/>
      <c r="AC173" s="604" t="n"/>
      <c r="AD173" s="604" t="n"/>
      <c r="AE173" s="604" t="n"/>
      <c r="AF173" s="604" t="n"/>
      <c r="AG173" s="604" t="n"/>
      <c r="AH173" s="604" t="n"/>
      <c r="AI173" s="604" t="n"/>
      <c r="AJ173" s="604" t="n">
        <v>0</v>
      </c>
    </row>
    <row r="174">
      <c r="A174" s="43" t="n">
        <v>48.6</v>
      </c>
      <c r="B174" s="43" t="n">
        <v>48.6</v>
      </c>
      <c r="C174" t="n">
        <v>0</v>
      </c>
      <c r="D174" s="43" t="n">
        <v>4</v>
      </c>
      <c r="E174" t="inlineStr">
        <is>
          <t>ERW 1</t>
        </is>
      </c>
      <c r="F174" t="inlineStr">
        <is>
          <t>(blank)</t>
        </is>
      </c>
      <c r="G174" t="inlineStr">
        <is>
          <t>48.6-0-4-ERW 1-</t>
        </is>
      </c>
      <c r="H174" s="604" t="n"/>
      <c r="I174" s="604" t="n">
        <v>0</v>
      </c>
      <c r="J174" s="604" t="n"/>
      <c r="K174" s="604" t="n"/>
      <c r="L174" s="604" t="n"/>
      <c r="M174" s="604" t="n"/>
      <c r="N174" s="604" t="n"/>
      <c r="O174" s="604" t="n"/>
      <c r="P174" s="604" t="n"/>
      <c r="Q174" s="604" t="n"/>
      <c r="R174" s="604" t="n"/>
      <c r="S174" s="604" t="n"/>
      <c r="T174" s="604" t="n"/>
      <c r="U174" s="604" t="n"/>
      <c r="V174" s="604" t="n"/>
      <c r="W174" s="604" t="n"/>
      <c r="X174" s="604" t="n"/>
      <c r="Y174" s="604" t="n"/>
      <c r="Z174" s="604" t="n"/>
      <c r="AA174" s="604" t="n"/>
      <c r="AB174" s="604" t="n"/>
      <c r="AC174" s="604" t="n"/>
      <c r="AD174" s="604" t="n"/>
      <c r="AE174" s="604" t="n"/>
      <c r="AF174" s="604" t="n"/>
      <c r="AG174" s="604" t="n"/>
      <c r="AH174" s="604" t="n"/>
      <c r="AI174" s="604" t="n"/>
      <c r="AJ174" s="604" t="n">
        <v>0</v>
      </c>
    </row>
    <row r="175">
      <c r="A175" s="43" t="n">
        <v>48.6</v>
      </c>
      <c r="B175" s="43" t="n">
        <v>59</v>
      </c>
      <c r="C175" t="n">
        <v>30</v>
      </c>
      <c r="D175" s="43" t="n">
        <v>1.6</v>
      </c>
      <c r="E175" t="inlineStr">
        <is>
          <t>ERW 1</t>
        </is>
      </c>
      <c r="F175" t="inlineStr">
        <is>
          <t>FIN CUT</t>
        </is>
      </c>
      <c r="G175" t="inlineStr">
        <is>
          <t>59-30-1.6-ERW 1-FIN CUT</t>
        </is>
      </c>
      <c r="H175" s="604" t="n"/>
      <c r="I175" s="604" t="n">
        <v>0</v>
      </c>
      <c r="J175" s="604" t="n">
        <v>16.27780127216</v>
      </c>
      <c r="K175" s="604" t="n"/>
      <c r="L175" s="604" t="n"/>
      <c r="M175" s="604" t="n"/>
      <c r="N175" s="604" t="n"/>
      <c r="O175" s="604" t="n"/>
      <c r="P175" s="604" t="n"/>
      <c r="Q175" s="604" t="n"/>
      <c r="R175" s="604" t="n"/>
      <c r="S175" s="604" t="n"/>
      <c r="T175" s="604" t="n"/>
      <c r="U175" s="604" t="n"/>
      <c r="V175" s="604" t="n"/>
      <c r="W175" s="604" t="n"/>
      <c r="X175" s="604" t="n"/>
      <c r="Y175" s="604" t="n"/>
      <c r="Z175" s="604" t="n"/>
      <c r="AA175" s="604" t="n"/>
      <c r="AB175" s="604" t="n"/>
      <c r="AC175" s="604" t="n"/>
      <c r="AD175" s="604" t="n">
        <v>0</v>
      </c>
      <c r="AE175" s="604" t="n"/>
      <c r="AF175" s="604" t="n"/>
      <c r="AG175" s="604" t="n"/>
      <c r="AH175" s="604" t="n"/>
      <c r="AI175" s="604" t="n"/>
      <c r="AJ175" s="604" t="n">
        <v>16.27780127216</v>
      </c>
    </row>
    <row r="176">
      <c r="A176" s="43" t="n">
        <v>50.8</v>
      </c>
      <c r="B176" s="43" t="n">
        <v>40</v>
      </c>
      <c r="C176" t="n">
        <v>40</v>
      </c>
      <c r="D176" s="43" t="n">
        <v>1.2</v>
      </c>
      <c r="E176" t="inlineStr">
        <is>
          <t>CRFH</t>
        </is>
      </c>
      <c r="F176" t="inlineStr">
        <is>
          <t>PE</t>
        </is>
      </c>
      <c r="G176" t="inlineStr">
        <is>
          <t>40-40-1.2-CRFH-PE</t>
        </is>
      </c>
      <c r="H176" s="604" t="n"/>
      <c r="I176" s="604" t="n"/>
      <c r="J176" s="604" t="n"/>
      <c r="K176" s="604" t="n"/>
      <c r="L176" s="604" t="n"/>
      <c r="M176" s="604" t="n">
        <v>0</v>
      </c>
      <c r="N176" s="604" t="n"/>
      <c r="O176" s="604" t="n"/>
      <c r="P176" s="604" t="n"/>
      <c r="Q176" s="604" t="n"/>
      <c r="R176" s="604" t="n"/>
      <c r="S176" s="604" t="n"/>
      <c r="T176" s="604" t="n"/>
      <c r="U176" s="604" t="n"/>
      <c r="V176" s="604" t="n"/>
      <c r="W176" s="604" t="n"/>
      <c r="X176" s="604" t="n"/>
      <c r="Y176" s="604" t="n"/>
      <c r="Z176" s="604" t="n"/>
      <c r="AA176" s="604" t="n"/>
      <c r="AB176" s="604" t="n"/>
      <c r="AC176" s="604" t="n">
        <v>0.58831050048</v>
      </c>
      <c r="AD176" s="604" t="n"/>
      <c r="AE176" s="604" t="n">
        <v>7.58788505856</v>
      </c>
      <c r="AF176" s="604" t="n"/>
      <c r="AG176" s="604" t="n">
        <v>0</v>
      </c>
      <c r="AH176" s="604" t="n"/>
      <c r="AI176" s="604" t="n"/>
      <c r="AJ176" s="604" t="n">
        <v>8.17619555904</v>
      </c>
    </row>
    <row r="177">
      <c r="A177" s="43" t="n">
        <v>50.8</v>
      </c>
      <c r="B177" s="43" t="n">
        <v>50</v>
      </c>
      <c r="C177" t="n">
        <v>30</v>
      </c>
      <c r="D177" s="43" t="n">
        <v>1.6</v>
      </c>
      <c r="E177" t="inlineStr">
        <is>
          <t>ERW 1</t>
        </is>
      </c>
      <c r="F177" t="inlineStr">
        <is>
          <t>FC</t>
        </is>
      </c>
      <c r="G177" t="inlineStr">
        <is>
          <t>50-30-1.6-ERW 1-FC</t>
        </is>
      </c>
      <c r="H177" s="604" t="n">
        <v>10.67203104</v>
      </c>
      <c r="I177" s="604" t="n">
        <v>37.50345744384</v>
      </c>
      <c r="J177" s="604" t="n">
        <v>28.69224054336</v>
      </c>
      <c r="K177" s="604" t="n"/>
      <c r="L177" s="604" t="n"/>
      <c r="M177" s="604" t="n"/>
      <c r="N177" s="604" t="n"/>
      <c r="O177" s="604" t="n"/>
      <c r="P177" s="604" t="n"/>
      <c r="Q177" s="604" t="n"/>
      <c r="R177" s="604" t="n"/>
      <c r="S177" s="604" t="n"/>
      <c r="T177" s="604" t="n"/>
      <c r="U177" s="604" t="n"/>
      <c r="V177" s="604" t="n"/>
      <c r="W177" s="604" t="n"/>
      <c r="X177" s="604" t="n"/>
      <c r="Y177" s="604" t="n">
        <v>26.67221522367744</v>
      </c>
      <c r="Z177" s="604" t="n"/>
      <c r="AA177" s="604" t="n"/>
      <c r="AB177" s="604" t="n"/>
      <c r="AC177" s="604" t="n"/>
      <c r="AD177" s="604" t="n"/>
      <c r="AE177" s="604" t="n"/>
      <c r="AF177" s="604" t="n"/>
      <c r="AG177" s="604" t="n"/>
      <c r="AH177" s="604" t="n"/>
      <c r="AI177" s="604" t="n"/>
      <c r="AJ177" s="604" t="n">
        <v>103.5399442508774</v>
      </c>
    </row>
    <row r="178">
      <c r="A178" s="43" t="n">
        <v>50.8</v>
      </c>
      <c r="B178" s="43" t="n">
        <v>50</v>
      </c>
      <c r="C178" t="n">
        <v>30</v>
      </c>
      <c r="D178" s="43" t="n">
        <v>2</v>
      </c>
      <c r="E178" t="inlineStr">
        <is>
          <t>ERW 1</t>
        </is>
      </c>
      <c r="F178" t="inlineStr">
        <is>
          <t>FC</t>
        </is>
      </c>
      <c r="G178" t="inlineStr">
        <is>
          <t>50-30-2-ERW 1-FC</t>
        </is>
      </c>
      <c r="H178" s="604" t="n"/>
      <c r="I178" s="604" t="n"/>
      <c r="J178" s="604" t="n"/>
      <c r="K178" s="604" t="n"/>
      <c r="L178" s="604" t="n"/>
      <c r="M178" s="604" t="n"/>
      <c r="N178" s="604" t="n"/>
      <c r="O178" s="604" t="n"/>
      <c r="P178" s="604" t="n"/>
      <c r="Q178" s="604" t="n"/>
      <c r="R178" s="604" t="n"/>
      <c r="S178" s="604" t="n"/>
      <c r="T178" s="604" t="n"/>
      <c r="U178" s="604" t="n"/>
      <c r="V178" s="604" t="n"/>
      <c r="W178" s="604" t="n"/>
      <c r="X178" s="604" t="n"/>
      <c r="Y178" s="604" t="n"/>
      <c r="Z178" s="604" t="n"/>
      <c r="AA178" s="604" t="n"/>
      <c r="AB178" s="604" t="n"/>
      <c r="AC178" s="604" t="n"/>
      <c r="AD178" s="604" t="n"/>
      <c r="AE178" s="604" t="n"/>
      <c r="AF178" s="604" t="n"/>
      <c r="AG178" s="604" t="n"/>
      <c r="AH178" s="604" t="n">
        <v>21.41110736</v>
      </c>
      <c r="AI178" s="604" t="n"/>
      <c r="AJ178" s="604" t="n">
        <v>21.41110736</v>
      </c>
    </row>
    <row r="179">
      <c r="A179" s="43" t="n">
        <v>50.8</v>
      </c>
      <c r="B179" s="43" t="n">
        <v>50</v>
      </c>
      <c r="C179" t="n">
        <v>30</v>
      </c>
      <c r="D179" s="43" t="n">
        <v>2</v>
      </c>
      <c r="E179" t="inlineStr">
        <is>
          <t>ERW 1</t>
        </is>
      </c>
      <c r="F179" t="inlineStr">
        <is>
          <t>(blank)</t>
        </is>
      </c>
      <c r="G179" t="inlineStr">
        <is>
          <t>(blank)</t>
        </is>
      </c>
      <c r="H179" s="604" t="n"/>
      <c r="I179" s="604" t="n"/>
      <c r="J179" s="604" t="n"/>
      <c r="K179" s="604" t="n"/>
      <c r="L179" s="604" t="n"/>
      <c r="M179" s="604" t="n"/>
      <c r="N179" s="604" t="n"/>
      <c r="O179" s="604" t="n"/>
      <c r="P179" s="604" t="n"/>
      <c r="Q179" s="604" t="n"/>
      <c r="R179" s="604" t="n"/>
      <c r="S179" s="604" t="n"/>
      <c r="T179" s="604" t="n"/>
      <c r="U179" s="604" t="n"/>
      <c r="V179" s="604" t="n">
        <v>9.26210824</v>
      </c>
      <c r="W179" s="604" t="n"/>
      <c r="X179" s="604" t="n"/>
      <c r="Y179" s="604" t="n"/>
      <c r="Z179" s="604" t="n"/>
      <c r="AA179" s="604" t="n"/>
      <c r="AB179" s="604" t="n"/>
      <c r="AC179" s="604" t="n"/>
      <c r="AD179" s="604" t="n"/>
      <c r="AE179" s="604" t="n"/>
      <c r="AF179" s="604" t="n"/>
      <c r="AG179" s="604" t="n"/>
      <c r="AH179" s="604" t="n"/>
      <c r="AI179" s="604" t="n"/>
      <c r="AJ179" s="604" t="n">
        <v>9.26210824</v>
      </c>
    </row>
    <row r="180">
      <c r="A180" s="43" t="n">
        <v>50.8</v>
      </c>
      <c r="B180" s="43" t="n">
        <v>50</v>
      </c>
      <c r="C180" t="n">
        <v>30</v>
      </c>
      <c r="D180" s="43" t="n">
        <v>2.5</v>
      </c>
      <c r="E180" t="inlineStr">
        <is>
          <t>ERW 1</t>
        </is>
      </c>
      <c r="F180" t="inlineStr">
        <is>
          <t>FC</t>
        </is>
      </c>
      <c r="G180" t="inlineStr">
        <is>
          <t>50-30-2.5-ERW 1-FC</t>
        </is>
      </c>
      <c r="H180" s="604" t="n"/>
      <c r="I180" s="604" t="n"/>
      <c r="J180" s="604" t="n"/>
      <c r="K180" s="604" t="n"/>
      <c r="L180" s="604" t="n"/>
      <c r="M180" s="604" t="n"/>
      <c r="N180" s="604" t="n">
        <v>6.83076169125</v>
      </c>
      <c r="O180" s="604" t="n"/>
      <c r="P180" s="604" t="n"/>
      <c r="Q180" s="604" t="n"/>
      <c r="R180" s="604" t="n"/>
      <c r="S180" s="604" t="n"/>
      <c r="T180" s="604" t="n"/>
      <c r="U180" s="604" t="n"/>
      <c r="V180" s="604" t="n"/>
      <c r="W180" s="604" t="n"/>
      <c r="X180" s="604" t="n"/>
      <c r="Y180" s="604" t="n"/>
      <c r="Z180" s="604" t="n"/>
      <c r="AA180" s="604" t="n"/>
      <c r="AB180" s="604" t="n"/>
      <c r="AC180" s="604" t="n"/>
      <c r="AD180" s="604" t="n"/>
      <c r="AE180" s="604" t="n"/>
      <c r="AF180" s="604" t="n"/>
      <c r="AG180" s="604" t="n"/>
      <c r="AH180" s="604" t="n"/>
      <c r="AI180" s="604" t="n"/>
      <c r="AJ180" s="604" t="n">
        <v>6.83076169125</v>
      </c>
    </row>
    <row r="181" hidden="1" s="584">
      <c r="A181" s="43" t="n">
        <v>50.8</v>
      </c>
      <c r="B181" s="43" t="n">
        <v>50.8</v>
      </c>
      <c r="C181" t="n">
        <v>0</v>
      </c>
      <c r="D181" s="43" t="n">
        <v>1.6</v>
      </c>
      <c r="E181" t="inlineStr">
        <is>
          <t>ERW 1</t>
        </is>
      </c>
      <c r="F181" t="inlineStr">
        <is>
          <t>FC</t>
        </is>
      </c>
      <c r="G181" t="inlineStr">
        <is>
          <t>50.8-0-1.6-ERW 1-FC</t>
        </is>
      </c>
      <c r="H181" s="604" t="n"/>
      <c r="I181" s="604" t="n"/>
      <c r="J181" s="604" t="n"/>
      <c r="K181" s="604" t="n"/>
      <c r="L181" s="604" t="n"/>
      <c r="M181" s="604" t="n"/>
      <c r="N181" s="604" t="n"/>
      <c r="O181" s="604" t="n"/>
      <c r="P181" s="604" t="n"/>
      <c r="Q181" s="604" t="n"/>
      <c r="R181" s="604" t="n"/>
      <c r="S181" s="604" t="n"/>
      <c r="T181" s="604" t="n"/>
      <c r="U181" s="604" t="n"/>
      <c r="V181" s="604" t="n"/>
      <c r="W181" s="604" t="n"/>
      <c r="X181" s="604" t="n"/>
      <c r="Y181" s="604" t="n">
        <v>0</v>
      </c>
      <c r="Z181" s="604" t="n"/>
      <c r="AA181" s="604" t="n"/>
      <c r="AB181" s="604" t="n"/>
      <c r="AC181" s="604" t="n"/>
      <c r="AD181" s="604" t="n"/>
      <c r="AE181" s="604" t="n"/>
      <c r="AF181" s="604" t="n"/>
      <c r="AG181" s="604" t="n"/>
      <c r="AH181" s="604" t="n"/>
      <c r="AI181" s="604" t="n">
        <v>11.205632592</v>
      </c>
      <c r="AJ181" s="604" t="n">
        <v>11.205632592</v>
      </c>
    </row>
    <row r="182">
      <c r="A182" s="43" t="n">
        <v>54</v>
      </c>
      <c r="B182" s="43" t="n">
        <v>54</v>
      </c>
      <c r="C182" t="n">
        <v>0</v>
      </c>
      <c r="D182" s="43" t="n">
        <v>3</v>
      </c>
      <c r="E182" t="inlineStr">
        <is>
          <t>ERW 2</t>
        </is>
      </c>
      <c r="F182" t="inlineStr">
        <is>
          <t>FC</t>
        </is>
      </c>
      <c r="G182" t="inlineStr">
        <is>
          <t>54-0-3-ERW 2-FC</t>
        </is>
      </c>
      <c r="H182" s="604" t="n"/>
      <c r="I182" s="604" t="n"/>
      <c r="J182" s="604" t="n"/>
      <c r="K182" s="604" t="n"/>
      <c r="L182" s="604" t="n"/>
      <c r="M182" s="604" t="n"/>
      <c r="N182" s="604" t="n"/>
      <c r="O182" s="604" t="n"/>
      <c r="P182" s="604" t="n"/>
      <c r="Q182" s="604" t="n"/>
      <c r="R182" s="604" t="n"/>
      <c r="S182" s="604" t="n"/>
      <c r="T182" s="604" t="n"/>
      <c r="U182" s="604" t="n"/>
      <c r="V182" s="604" t="n"/>
      <c r="W182" s="604" t="n"/>
      <c r="X182" s="604" t="n"/>
      <c r="Y182" s="604" t="n"/>
      <c r="Z182" s="604" t="n"/>
      <c r="AA182" s="604" t="n"/>
      <c r="AB182" s="604" t="n"/>
      <c r="AC182" s="604" t="n"/>
      <c r="AD182" s="604" t="n">
        <v>12.89783574</v>
      </c>
      <c r="AE182" s="604" t="n"/>
      <c r="AF182" s="604" t="n"/>
      <c r="AG182" s="604" t="n"/>
      <c r="AH182" s="604" t="n">
        <v>25.79567148</v>
      </c>
      <c r="AI182" s="604" t="n"/>
      <c r="AJ182" s="604" t="n">
        <v>38.69350722</v>
      </c>
    </row>
    <row r="183" hidden="1" s="584">
      <c r="A183" s="43" t="n">
        <v>57.15</v>
      </c>
      <c r="B183" s="43" t="n">
        <v>57.15</v>
      </c>
      <c r="C183" t="n">
        <v>0</v>
      </c>
      <c r="D183" s="43" t="n">
        <v>2</v>
      </c>
      <c r="E183" t="inlineStr">
        <is>
          <t>ERW 1</t>
        </is>
      </c>
      <c r="F183" t="inlineStr">
        <is>
          <t>FC</t>
        </is>
      </c>
      <c r="G183" t="inlineStr">
        <is>
          <t>57.15-0-2-ERW 1-FC</t>
        </is>
      </c>
      <c r="H183" s="604" t="n"/>
      <c r="I183" s="604" t="n"/>
      <c r="J183" s="604" t="n">
        <v>13.860228461365</v>
      </c>
      <c r="K183" s="604" t="n"/>
      <c r="L183" s="604" t="n"/>
      <c r="M183" s="604" t="n"/>
      <c r="N183" s="604" t="n"/>
      <c r="O183" s="604" t="n"/>
      <c r="P183" s="604" t="n"/>
      <c r="Q183" s="604" t="n"/>
      <c r="R183" s="604" t="n"/>
      <c r="S183" s="604" t="n"/>
      <c r="T183" s="604" t="n"/>
      <c r="U183" s="604" t="n"/>
      <c r="V183" s="604" t="n">
        <v>16.6797441345</v>
      </c>
      <c r="W183" s="604" t="n"/>
      <c r="X183" s="604" t="n"/>
      <c r="Y183" s="604" t="n"/>
      <c r="Z183" s="604" t="n"/>
      <c r="AA183" s="604" t="n"/>
      <c r="AB183" s="604" t="n"/>
      <c r="AC183" s="604" t="n"/>
      <c r="AD183" s="604" t="n"/>
      <c r="AE183" s="604" t="n"/>
      <c r="AF183" s="604" t="n"/>
      <c r="AG183" s="604" t="n"/>
      <c r="AH183" s="604" t="n"/>
      <c r="AI183" s="604" t="n"/>
      <c r="AJ183" s="604" t="n">
        <v>30.539972595865</v>
      </c>
    </row>
    <row r="184" hidden="1" s="584">
      <c r="A184" s="43" t="n">
        <v>57.15</v>
      </c>
      <c r="B184" s="43" t="n">
        <v>57.15</v>
      </c>
      <c r="C184" t="n">
        <v>0</v>
      </c>
      <c r="D184" s="43" t="n">
        <v>2</v>
      </c>
      <c r="E184" t="inlineStr">
        <is>
          <t>ERW 1</t>
        </is>
      </c>
      <c r="F184" t="inlineStr">
        <is>
          <t>(blank)</t>
        </is>
      </c>
      <c r="G184" t="inlineStr">
        <is>
          <t>57.15-0-2-ERW 1-</t>
        </is>
      </c>
      <c r="H184" s="604" t="n"/>
      <c r="I184" s="604" t="n">
        <v>0</v>
      </c>
      <c r="J184" s="604" t="n"/>
      <c r="K184" s="604" t="n"/>
      <c r="L184" s="604" t="n"/>
      <c r="M184" s="604" t="n"/>
      <c r="N184" s="604" t="n"/>
      <c r="O184" s="604" t="n"/>
      <c r="P184" s="604" t="n">
        <v>0</v>
      </c>
      <c r="Q184" s="604" t="n"/>
      <c r="R184" s="604" t="n"/>
      <c r="S184" s="604" t="n"/>
      <c r="T184" s="604" t="n"/>
      <c r="U184" s="604" t="n"/>
      <c r="V184" s="604" t="n"/>
      <c r="W184" s="604" t="n"/>
      <c r="X184" s="604" t="n"/>
      <c r="Y184" s="604" t="n"/>
      <c r="Z184" s="604" t="n"/>
      <c r="AA184" s="604" t="n"/>
      <c r="AB184" s="604" t="n"/>
      <c r="AC184" s="604" t="n"/>
      <c r="AD184" s="604" t="n"/>
      <c r="AE184" s="604" t="n"/>
      <c r="AF184" s="604" t="n"/>
      <c r="AG184" s="604" t="n"/>
      <c r="AH184" s="604" t="n"/>
      <c r="AI184" s="604" t="n"/>
      <c r="AJ184" s="604" t="n">
        <v>0</v>
      </c>
    </row>
    <row r="185" hidden="1" s="584">
      <c r="A185" s="43" t="n">
        <v>57.15</v>
      </c>
      <c r="B185" s="43" t="n">
        <v>57.15</v>
      </c>
      <c r="C185" t="n">
        <v>0</v>
      </c>
      <c r="D185" s="43" t="n">
        <v>2.3</v>
      </c>
      <c r="E185" t="inlineStr">
        <is>
          <t>ERW 2</t>
        </is>
      </c>
      <c r="F185" t="inlineStr">
        <is>
          <t>FC</t>
        </is>
      </c>
      <c r="G185" t="inlineStr">
        <is>
          <t>57.15-0-2.3-ERW 2-FC</t>
        </is>
      </c>
      <c r="H185" s="604" t="n"/>
      <c r="I185" s="604" t="n"/>
      <c r="J185" s="604" t="n"/>
      <c r="K185" s="604" t="n"/>
      <c r="L185" s="604" t="n"/>
      <c r="M185" s="604" t="n"/>
      <c r="N185" s="604" t="n"/>
      <c r="O185" s="604" t="n"/>
      <c r="P185" s="604" t="n"/>
      <c r="Q185" s="604" t="n"/>
      <c r="R185" s="604" t="n"/>
      <c r="S185" s="604" t="n"/>
      <c r="T185" s="604" t="n"/>
      <c r="U185" s="604" t="n"/>
      <c r="V185" s="604" t="n"/>
      <c r="W185" s="604" t="n"/>
      <c r="X185" s="604" t="n"/>
      <c r="Y185" s="604" t="n"/>
      <c r="Z185" s="604" t="n"/>
      <c r="AA185" s="604" t="n"/>
      <c r="AB185" s="604" t="n"/>
      <c r="AC185" s="604" t="n"/>
      <c r="AD185" s="604" t="n"/>
      <c r="AE185" s="604" t="n"/>
      <c r="AF185" s="604" t="n"/>
      <c r="AG185" s="604" t="n"/>
      <c r="AH185" s="604" t="n"/>
      <c r="AI185" s="604" t="n">
        <v>50.9351594661</v>
      </c>
      <c r="AJ185" s="604" t="n">
        <v>50.9351594661</v>
      </c>
    </row>
    <row r="186" hidden="1" s="584">
      <c r="A186" s="43" t="n">
        <v>57.15</v>
      </c>
      <c r="B186" s="43" t="n">
        <v>57.15</v>
      </c>
      <c r="C186" t="n">
        <v>0</v>
      </c>
      <c r="D186" s="43" t="n">
        <v>2.5</v>
      </c>
      <c r="E186" t="inlineStr">
        <is>
          <t>ERW 1</t>
        </is>
      </c>
      <c r="F186" t="inlineStr">
        <is>
          <t>FC</t>
        </is>
      </c>
      <c r="G186" t="inlineStr">
        <is>
          <t>57.15-0-2.5-ERW 1-FC</t>
        </is>
      </c>
      <c r="H186" s="604" t="n"/>
      <c r="I186" s="604" t="n"/>
      <c r="J186" s="604" t="n"/>
      <c r="K186" s="604" t="n"/>
      <c r="L186" s="604" t="n"/>
      <c r="M186" s="604" t="n"/>
      <c r="N186" s="604" t="n">
        <v>0</v>
      </c>
      <c r="O186" s="604" t="n"/>
      <c r="P186" s="604" t="n"/>
      <c r="Q186" s="604" t="n">
        <v>0</v>
      </c>
      <c r="R186" s="604" t="n"/>
      <c r="S186" s="604" t="n"/>
      <c r="T186" s="604" t="n"/>
      <c r="U186" s="604" t="n"/>
      <c r="V186" s="604" t="n">
        <v>12.9992047525</v>
      </c>
      <c r="W186" s="604" t="n">
        <v>0</v>
      </c>
      <c r="X186" s="604" t="n"/>
      <c r="Y186" s="604" t="n"/>
      <c r="Z186" s="604" t="n"/>
      <c r="AA186" s="604" t="n"/>
      <c r="AB186" s="604" t="n"/>
      <c r="AC186" s="604" t="n"/>
      <c r="AD186" s="604" t="n"/>
      <c r="AE186" s="604" t="n"/>
      <c r="AF186" s="604" t="n"/>
      <c r="AG186" s="604" t="n"/>
      <c r="AH186" s="604" t="n"/>
      <c r="AI186" s="604" t="n"/>
      <c r="AJ186" s="604" t="n">
        <v>12.9992047525</v>
      </c>
    </row>
    <row r="187" hidden="1" s="584">
      <c r="A187" s="43" t="n">
        <v>57.15</v>
      </c>
      <c r="B187" s="43" t="n">
        <v>57.15</v>
      </c>
      <c r="C187" t="n">
        <v>0</v>
      </c>
      <c r="D187" s="43" t="n">
        <v>2.5</v>
      </c>
      <c r="E187" t="inlineStr">
        <is>
          <t>ERW 1</t>
        </is>
      </c>
      <c r="F187" t="inlineStr">
        <is>
          <t>(blank)</t>
        </is>
      </c>
      <c r="G187" t="inlineStr">
        <is>
          <t>57.15-0-2.5-ERW 1-</t>
        </is>
      </c>
      <c r="H187" s="604" t="n"/>
      <c r="I187" s="604" t="n"/>
      <c r="J187" s="604" t="n"/>
      <c r="K187" s="604" t="n"/>
      <c r="L187" s="604" t="n"/>
      <c r="M187" s="604" t="n"/>
      <c r="N187" s="604" t="n">
        <v>0</v>
      </c>
      <c r="O187" s="604" t="n"/>
      <c r="P187" s="604" t="n"/>
      <c r="Q187" s="604" t="n"/>
      <c r="R187" s="604" t="n"/>
      <c r="S187" s="604" t="n"/>
      <c r="T187" s="604" t="n"/>
      <c r="U187" s="604" t="n"/>
      <c r="V187" s="604" t="n"/>
      <c r="W187" s="604" t="n"/>
      <c r="X187" s="604" t="n"/>
      <c r="Y187" s="604" t="n"/>
      <c r="Z187" s="604" t="n"/>
      <c r="AA187" s="604" t="n"/>
      <c r="AB187" s="604" t="n"/>
      <c r="AC187" s="604" t="n"/>
      <c r="AD187" s="604" t="n"/>
      <c r="AE187" s="604" t="n"/>
      <c r="AF187" s="604" t="n"/>
      <c r="AG187" s="604" t="n"/>
      <c r="AH187" s="604" t="n"/>
      <c r="AI187" s="604" t="n"/>
      <c r="AJ187" s="604" t="n">
        <v>0</v>
      </c>
    </row>
    <row r="188">
      <c r="A188" s="43" t="n">
        <v>57.15</v>
      </c>
      <c r="B188" s="43" t="n">
        <v>57.15</v>
      </c>
      <c r="C188" t="n">
        <v>0</v>
      </c>
      <c r="D188" s="43" t="n">
        <v>2.5</v>
      </c>
      <c r="E188" t="inlineStr">
        <is>
          <t>(blank)</t>
        </is>
      </c>
      <c r="F188" t="inlineStr">
        <is>
          <t>(blank)</t>
        </is>
      </c>
      <c r="G188" t="inlineStr">
        <is>
          <t>57.15-0-2.5--</t>
        </is>
      </c>
      <c r="H188" s="604" t="n"/>
      <c r="I188" s="604" t="n"/>
      <c r="J188" s="604" t="n"/>
      <c r="K188" s="604" t="n"/>
      <c r="L188" s="604" t="n"/>
      <c r="M188" s="604" t="n"/>
      <c r="N188" s="604" t="n"/>
      <c r="O188" s="604" t="n"/>
      <c r="P188" s="604" t="n">
        <v>0</v>
      </c>
      <c r="Q188" s="604" t="n"/>
      <c r="R188" s="604" t="n"/>
      <c r="S188" s="604" t="n"/>
      <c r="T188" s="604" t="n"/>
      <c r="U188" s="604" t="n"/>
      <c r="V188" s="604" t="n"/>
      <c r="W188" s="604" t="n">
        <v>0</v>
      </c>
      <c r="X188" s="604" t="n"/>
      <c r="Y188" s="604" t="n"/>
      <c r="Z188" s="604" t="n"/>
      <c r="AA188" s="604" t="n"/>
      <c r="AB188" s="604" t="n"/>
      <c r="AC188" s="604" t="n"/>
      <c r="AD188" s="604" t="n"/>
      <c r="AE188" s="604" t="n"/>
      <c r="AF188" s="604" t="n"/>
      <c r="AG188" s="604" t="n"/>
      <c r="AH188" s="604" t="n"/>
      <c r="AI188" s="604" t="n"/>
      <c r="AJ188" s="604" t="n">
        <v>0</v>
      </c>
    </row>
    <row r="189" hidden="1" s="584">
      <c r="A189" s="43" t="n">
        <v>60.3</v>
      </c>
      <c r="B189" s="43" t="n">
        <v>60.3</v>
      </c>
      <c r="C189" t="n">
        <v>0</v>
      </c>
      <c r="D189" s="43" t="n">
        <v>2</v>
      </c>
      <c r="E189" t="inlineStr">
        <is>
          <t>CEW</t>
        </is>
      </c>
      <c r="F189" t="inlineStr">
        <is>
          <t>CEW</t>
        </is>
      </c>
      <c r="G189" t="inlineStr">
        <is>
          <t>60.3-0-2-CEW-CEW</t>
        </is>
      </c>
      <c r="H189" s="604" t="n"/>
      <c r="I189" s="604" t="n"/>
      <c r="J189" s="604" t="n"/>
      <c r="K189" s="604" t="n"/>
      <c r="L189" s="604" t="n"/>
      <c r="M189" s="604" t="n"/>
      <c r="N189" s="604" t="n"/>
      <c r="O189" s="604" t="n"/>
      <c r="P189" s="604" t="n">
        <v>0</v>
      </c>
      <c r="Q189" s="604" t="n"/>
      <c r="R189" s="604" t="n"/>
      <c r="S189" s="604" t="n"/>
      <c r="T189" s="604" t="n"/>
      <c r="U189" s="604" t="n"/>
      <c r="V189" s="604" t="n"/>
      <c r="W189" s="604" t="n"/>
      <c r="X189" s="604" t="n"/>
      <c r="Y189" s="604" t="n"/>
      <c r="Z189" s="604" t="n"/>
      <c r="AA189" s="604" t="n"/>
      <c r="AB189" s="604" t="n"/>
      <c r="AC189" s="604" t="n"/>
      <c r="AD189" s="604" t="n"/>
      <c r="AE189" s="604" t="n"/>
      <c r="AF189" s="604" t="n"/>
      <c r="AG189" s="604" t="n"/>
      <c r="AH189" s="604" t="n"/>
      <c r="AI189" s="604" t="n"/>
      <c r="AJ189" s="604" t="n">
        <v>0</v>
      </c>
    </row>
    <row r="190">
      <c r="A190" s="43" t="n">
        <v>60.3</v>
      </c>
      <c r="B190" s="43" t="n">
        <v>60.3</v>
      </c>
      <c r="C190" t="n">
        <v>0</v>
      </c>
      <c r="D190" s="43" t="n">
        <v>2</v>
      </c>
      <c r="E190" t="inlineStr">
        <is>
          <t>ERW 1</t>
        </is>
      </c>
      <c r="F190" t="inlineStr">
        <is>
          <t>FC</t>
        </is>
      </c>
      <c r="G190" t="inlineStr">
        <is>
          <t>60.3-0-2-ERW 1-FC</t>
        </is>
      </c>
      <c r="H190" s="604" t="n"/>
      <c r="I190" s="604" t="n"/>
      <c r="J190" s="604" t="n"/>
      <c r="K190" s="604" t="n"/>
      <c r="L190" s="604" t="n"/>
      <c r="M190" s="604" t="n"/>
      <c r="N190" s="604" t="n">
        <v>7.544442674999999</v>
      </c>
      <c r="O190" s="604" t="n"/>
      <c r="P190" s="604" t="n"/>
      <c r="Q190" s="604" t="n"/>
      <c r="R190" s="604" t="n"/>
      <c r="S190" s="604" t="n"/>
      <c r="T190" s="604" t="n"/>
      <c r="U190" s="604" t="n"/>
      <c r="V190" s="604" t="n">
        <v>0</v>
      </c>
      <c r="W190" s="604" t="n"/>
      <c r="X190" s="604" t="n"/>
      <c r="Y190" s="604" t="n"/>
      <c r="Z190" s="604" t="n"/>
      <c r="AA190" s="604" t="n"/>
      <c r="AB190" s="604" t="n"/>
      <c r="AC190" s="604" t="n"/>
      <c r="AD190" s="604" t="n"/>
      <c r="AE190" s="604" t="n"/>
      <c r="AF190" s="604" t="n"/>
      <c r="AG190" s="604" t="n"/>
      <c r="AH190" s="604" t="n"/>
      <c r="AI190" s="604" t="n"/>
      <c r="AJ190" s="604" t="n">
        <v>7.544442674999999</v>
      </c>
    </row>
    <row r="191">
      <c r="A191" s="43" t="n">
        <v>60.3</v>
      </c>
      <c r="B191" s="43" t="n">
        <v>60.3</v>
      </c>
      <c r="C191" t="n">
        <v>0</v>
      </c>
      <c r="D191" s="43" t="n">
        <v>2</v>
      </c>
      <c r="E191" t="inlineStr">
        <is>
          <t>(blank)</t>
        </is>
      </c>
      <c r="F191" t="inlineStr">
        <is>
          <t>(blank)</t>
        </is>
      </c>
      <c r="G191" t="inlineStr">
        <is>
          <t>60.3-0-2--</t>
        </is>
      </c>
      <c r="H191" s="604" t="n"/>
      <c r="I191" s="604" t="n"/>
      <c r="J191" s="604" t="n"/>
      <c r="K191" s="604" t="n"/>
      <c r="L191" s="604" t="n"/>
      <c r="M191" s="604" t="n"/>
      <c r="N191" s="604" t="n"/>
      <c r="O191" s="604" t="n"/>
      <c r="P191" s="604" t="n">
        <v>0</v>
      </c>
      <c r="Q191" s="604" t="n"/>
      <c r="R191" s="604" t="n"/>
      <c r="S191" s="604" t="n"/>
      <c r="T191" s="604" t="n"/>
      <c r="U191" s="604" t="n"/>
      <c r="V191" s="604" t="n"/>
      <c r="W191" s="604" t="n"/>
      <c r="X191" s="604" t="n"/>
      <c r="Y191" s="604" t="n"/>
      <c r="Z191" s="604" t="n"/>
      <c r="AA191" s="604" t="n"/>
      <c r="AB191" s="604" t="n"/>
      <c r="AC191" s="604" t="n"/>
      <c r="AD191" s="604" t="n"/>
      <c r="AE191" s="604" t="n"/>
      <c r="AF191" s="604" t="n"/>
      <c r="AG191" s="604" t="n"/>
      <c r="AH191" s="604" t="n"/>
      <c r="AI191" s="604" t="n"/>
      <c r="AJ191" s="604" t="n">
        <v>0</v>
      </c>
    </row>
    <row r="192">
      <c r="A192" s="43" t="n">
        <v>63.5</v>
      </c>
      <c r="B192" s="43" t="n">
        <v>50</v>
      </c>
      <c r="C192" t="n">
        <v>50</v>
      </c>
      <c r="D192" s="43" t="n">
        <v>1.6</v>
      </c>
      <c r="E192" t="inlineStr">
        <is>
          <t>ERW 2</t>
        </is>
      </c>
      <c r="F192" t="inlineStr">
        <is>
          <t>PE</t>
        </is>
      </c>
      <c r="G192" t="inlineStr">
        <is>
          <t>50-50-1.6-ERW 2-PE</t>
        </is>
      </c>
      <c r="H192" s="604" t="n"/>
      <c r="I192" s="604" t="n"/>
      <c r="J192" s="604" t="n"/>
      <c r="K192" s="604" t="n"/>
      <c r="L192" s="604" t="n"/>
      <c r="M192" s="604" t="n"/>
      <c r="N192" s="604" t="n"/>
      <c r="O192" s="604" t="n"/>
      <c r="P192" s="604" t="n"/>
      <c r="Q192" s="604" t="n"/>
      <c r="R192" s="604" t="n"/>
      <c r="S192" s="604" t="n"/>
      <c r="T192" s="604" t="n"/>
      <c r="U192" s="604" t="n"/>
      <c r="V192" s="604" t="n"/>
      <c r="W192" s="604" t="n"/>
      <c r="X192" s="604" t="n"/>
      <c r="Y192" s="604" t="n"/>
      <c r="Z192" s="604" t="n"/>
      <c r="AA192" s="604" t="n"/>
      <c r="AB192" s="604" t="n"/>
      <c r="AC192" s="604" t="n"/>
      <c r="AD192" s="604" t="n">
        <v>4.342228180752</v>
      </c>
      <c r="AE192" s="604" t="n"/>
      <c r="AF192" s="604" t="n"/>
      <c r="AG192" s="604" t="n"/>
      <c r="AH192" s="604" t="n">
        <v>12.40636623072</v>
      </c>
      <c r="AI192" s="604" t="n"/>
      <c r="AJ192" s="604" t="n">
        <v>16.748594411472</v>
      </c>
    </row>
    <row r="193" hidden="1" s="584">
      <c r="A193" s="43" t="n">
        <v>63.5</v>
      </c>
      <c r="B193" s="43" t="n">
        <v>63.5</v>
      </c>
      <c r="C193" t="n">
        <v>0</v>
      </c>
      <c r="D193" s="43" t="n">
        <v>4</v>
      </c>
      <c r="E193" t="inlineStr">
        <is>
          <t>ERW 1</t>
        </is>
      </c>
      <c r="F193" t="inlineStr">
        <is>
          <t>FC</t>
        </is>
      </c>
      <c r="G193" t="inlineStr">
        <is>
          <t>63.5-0-4-ERW 1-FC</t>
        </is>
      </c>
      <c r="H193" s="604" t="n"/>
      <c r="I193" s="604" t="n"/>
      <c r="J193" s="604" t="n"/>
      <c r="K193" s="604" t="n"/>
      <c r="L193" s="604" t="n"/>
      <c r="M193" s="604" t="n"/>
      <c r="N193" s="604" t="n"/>
      <c r="O193" s="604" t="n"/>
      <c r="P193" s="604" t="n"/>
      <c r="Q193" s="604" t="n"/>
      <c r="R193" s="604" t="n"/>
      <c r="S193" s="604" t="n"/>
      <c r="T193" s="604" t="n"/>
      <c r="U193" s="604" t="n"/>
      <c r="V193" s="604" t="n"/>
      <c r="W193" s="604" t="n"/>
      <c r="X193" s="604" t="n"/>
      <c r="Y193" s="604" t="n"/>
      <c r="Z193" s="604" t="n"/>
      <c r="AA193" s="604" t="n"/>
      <c r="AB193" s="604" t="n"/>
      <c r="AC193" s="604" t="n"/>
      <c r="AD193" s="604" t="n">
        <v>16.041840339</v>
      </c>
      <c r="AE193" s="604" t="n"/>
      <c r="AF193" s="604" t="n"/>
      <c r="AG193" s="604" t="n"/>
      <c r="AH193" s="604" t="n">
        <v>22.151760512</v>
      </c>
      <c r="AI193" s="604" t="n"/>
      <c r="AJ193" s="604" t="n">
        <v>38.193600851</v>
      </c>
    </row>
    <row r="194">
      <c r="A194" s="43" t="n">
        <v>70</v>
      </c>
      <c r="B194" s="43" t="n">
        <v>70</v>
      </c>
      <c r="C194" t="n">
        <v>0</v>
      </c>
      <c r="D194" s="43" t="n">
        <v>3.2</v>
      </c>
      <c r="E194" t="inlineStr">
        <is>
          <t>ERW 2</t>
        </is>
      </c>
      <c r="F194" t="inlineStr">
        <is>
          <t>FC</t>
        </is>
      </c>
      <c r="G194" t="inlineStr">
        <is>
          <t>70-0-3.2-ERW 2-FC</t>
        </is>
      </c>
      <c r="H194" s="604" t="n"/>
      <c r="I194" s="604" t="n"/>
      <c r="J194" s="604" t="n"/>
      <c r="K194" s="604" t="n"/>
      <c r="L194" s="604" t="n"/>
      <c r="M194" s="604" t="n"/>
      <c r="N194" s="604" t="n"/>
      <c r="O194" s="604" t="n"/>
      <c r="P194" s="604" t="n"/>
      <c r="Q194" s="604" t="n"/>
      <c r="R194" s="604" t="n"/>
      <c r="S194" s="604" t="n"/>
      <c r="T194" s="604" t="n"/>
      <c r="U194" s="604" t="n"/>
      <c r="V194" s="604" t="n"/>
      <c r="W194" s="604" t="n"/>
      <c r="X194" s="604" t="n"/>
      <c r="Y194" s="604" t="n"/>
      <c r="Z194" s="604" t="n"/>
      <c r="AA194" s="604" t="n"/>
      <c r="AB194" s="604" t="n"/>
      <c r="AC194" s="604" t="n"/>
      <c r="AD194" s="604" t="n">
        <v>8.093138288639999</v>
      </c>
      <c r="AE194" s="604" t="n"/>
      <c r="AF194" s="604" t="n"/>
      <c r="AG194" s="604" t="n"/>
      <c r="AH194" s="604" t="n">
        <v>15.4907725056</v>
      </c>
      <c r="AI194" s="604" t="n"/>
      <c r="AJ194" s="604" t="n">
        <v>23.58391079424</v>
      </c>
    </row>
    <row r="195">
      <c r="A195" s="43" t="n">
        <v>29.35</v>
      </c>
      <c r="B195" s="43" t="n">
        <v>29.35</v>
      </c>
      <c r="C195" t="n">
        <v>20.4</v>
      </c>
      <c r="D195" s="43" t="n">
        <v>4.4</v>
      </c>
      <c r="E195" t="inlineStr">
        <is>
          <t>CEW STKM 13C</t>
        </is>
      </c>
      <c r="F195" t="inlineStr">
        <is>
          <t>CEW</t>
        </is>
      </c>
      <c r="G195" t="inlineStr">
        <is>
          <t>29.35-20.4-4.4-CEW STKM 13C-CEW</t>
        </is>
      </c>
      <c r="H195" s="604" t="n"/>
      <c r="I195" s="604" t="n"/>
      <c r="J195" s="604" t="n"/>
      <c r="K195" s="604" t="n">
        <v>0</v>
      </c>
      <c r="L195" s="604" t="n"/>
      <c r="M195" s="604" t="n"/>
      <c r="N195" s="604" t="n"/>
      <c r="O195" s="604" t="n"/>
      <c r="P195" s="604" t="n"/>
      <c r="Q195" s="604" t="n"/>
      <c r="R195" s="604" t="n"/>
      <c r="S195" s="604" t="n"/>
      <c r="T195" s="604" t="n"/>
      <c r="U195" s="604" t="n"/>
      <c r="V195" s="604" t="n"/>
      <c r="W195" s="604" t="n"/>
      <c r="X195" s="604" t="n"/>
      <c r="Y195" s="604" t="n"/>
      <c r="Z195" s="604" t="n"/>
      <c r="AA195" s="604" t="n"/>
      <c r="AB195" s="604" t="n"/>
      <c r="AC195" s="604" t="n"/>
      <c r="AD195" s="604" t="n"/>
      <c r="AE195" s="604" t="n"/>
      <c r="AF195" s="604" t="n"/>
      <c r="AG195" s="604" t="n"/>
      <c r="AH195" s="604" t="n"/>
      <c r="AI195" s="604" t="n"/>
      <c r="AJ195" s="604" t="n">
        <v>0</v>
      </c>
    </row>
    <row r="196">
      <c r="A196" s="43" t="n">
        <v>29.28</v>
      </c>
      <c r="B196" s="43" t="n">
        <v>29.28</v>
      </c>
      <c r="C196" t="n">
        <v>0</v>
      </c>
      <c r="D196" s="43" t="n">
        <v>3.4</v>
      </c>
      <c r="E196" t="inlineStr">
        <is>
          <t>CEW</t>
        </is>
      </c>
      <c r="F196" t="inlineStr">
        <is>
          <t>CEW</t>
        </is>
      </c>
      <c r="G196" t="inlineStr">
        <is>
          <t>29.28-0-3.4-CEW-CEW</t>
        </is>
      </c>
      <c r="H196" s="604" t="n"/>
      <c r="I196" s="604" t="n">
        <v>0</v>
      </c>
      <c r="J196" s="604" t="n"/>
      <c r="K196" s="604" t="n"/>
      <c r="L196" s="604" t="n"/>
      <c r="M196" s="604" t="n"/>
      <c r="N196" s="604" t="n"/>
      <c r="O196" s="604" t="n"/>
      <c r="P196" s="604" t="n"/>
      <c r="Q196" s="604" t="n"/>
      <c r="R196" s="604" t="n"/>
      <c r="S196" s="604" t="n"/>
      <c r="T196" s="604" t="n"/>
      <c r="U196" s="604" t="n"/>
      <c r="V196" s="604" t="n"/>
      <c r="W196" s="604" t="n"/>
      <c r="X196" s="604" t="n"/>
      <c r="Y196" s="604" t="n"/>
      <c r="Z196" s="604" t="n"/>
      <c r="AA196" s="604" t="n"/>
      <c r="AB196" s="604" t="n"/>
      <c r="AC196" s="604" t="n"/>
      <c r="AD196" s="604" t="n"/>
      <c r="AE196" s="604" t="n"/>
      <c r="AF196" s="604" t="n"/>
      <c r="AG196" s="604" t="n"/>
      <c r="AH196" s="604" t="n"/>
      <c r="AI196" s="604" t="n"/>
      <c r="AJ196" s="604" t="n">
        <v>0</v>
      </c>
    </row>
  </sheetData>
  <autoFilter ref="A4:AL196">
    <filterColumn colId="37" hiddenButton="0" showButton="1">
      <filters blank="1">
        <filter val="1.3"/>
        <filter val="1.4"/>
        <filter val="1.5"/>
        <filter val="1.6"/>
        <filter val="1.8"/>
        <filter val="1.9"/>
        <filter val="10.0"/>
        <filter val="10.1"/>
        <filter val="10.3"/>
        <filter val="100.0"/>
        <filter val="108.2"/>
        <filter val="11.2"/>
        <filter val="11.5"/>
        <filter val="11.6"/>
        <filter val="11.8"/>
        <filter val="110.1"/>
        <filter val="115.8"/>
        <filter val="12.4"/>
        <filter val="12.5"/>
        <filter val="13.4"/>
        <filter val="13.7"/>
        <filter val="131.7"/>
        <filter val="14.9"/>
        <filter val="147.7"/>
        <filter val="15.1"/>
        <filter val="15.3"/>
        <filter val="16.8"/>
        <filter val="17.6"/>
        <filter val="19.5"/>
        <filter val="19.7"/>
        <filter val="2.1"/>
        <filter val="2.2"/>
        <filter val="2.7"/>
        <filter val="2.8"/>
        <filter val="20.7"/>
        <filter val="20.9"/>
        <filter val="21.0"/>
        <filter val="21.1"/>
        <filter val="21.6"/>
        <filter val="22.9"/>
        <filter val="23.2"/>
        <filter val="23.5"/>
        <filter val="24.2"/>
        <filter val="253.5"/>
        <filter val="26.6"/>
        <filter val="27.1"/>
        <filter val="27.4"/>
        <filter val="29.1"/>
        <filter val="29.6"/>
        <filter val="3.0"/>
        <filter val="3.4"/>
        <filter val="3.5"/>
        <filter val="30.0"/>
        <filter val="31.5"/>
        <filter val="32.4"/>
        <filter val="35.3"/>
        <filter val="37.6"/>
        <filter val="38.0"/>
        <filter val="4.6"/>
        <filter val="41.1"/>
        <filter val="41.6"/>
        <filter val="42.4"/>
        <filter val="44.7"/>
        <filter val="45.1"/>
        <filter val="45.9"/>
        <filter val="46.0"/>
        <filter val="47.7"/>
        <filter val="49.4"/>
        <filter val="49.8"/>
        <filter val="5.0"/>
        <filter val="5.1"/>
        <filter val="5.5"/>
        <filter val="5.6"/>
        <filter val="5.8"/>
        <filter val="50.2"/>
        <filter val="56.0"/>
        <filter val="58.0"/>
        <filter val="6.0"/>
        <filter val="6.4"/>
        <filter val="6.8"/>
        <filter val="62.8"/>
        <filter val="63.9"/>
        <filter val="7.6"/>
        <filter val="73.4"/>
        <filter val="8.1"/>
        <filter val="8.6"/>
        <filter val="82.5"/>
        <filter val="9.0"/>
        <filter val="90.3"/>
        <filter val="99.7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K8" sqref="K8"/>
    </sheetView>
  </sheetViews>
  <sheetFormatPr baseColWidth="8" defaultColWidth="8.42578125" defaultRowHeight="15"/>
  <cols>
    <col width="7.28515625" customWidth="1" style="584" min="5" max="5"/>
    <col width="5" customWidth="1" style="584" min="7" max="7"/>
    <col width="5.85546875" customWidth="1" style="584" min="8" max="8"/>
    <col width="5.42578125" customWidth="1" style="584" min="10" max="10"/>
    <col width="8.42578125" customWidth="1" style="584" min="11" max="12"/>
    <col width="8.42578125" customWidth="1" style="199" min="13" max="13"/>
    <col width="8.42578125" customWidth="1" style="584" min="14" max="18"/>
    <col width="8.42578125" customWidth="1" style="162" min="21" max="21"/>
    <col width="8.42578125" customWidth="1" style="174" min="22" max="22"/>
  </cols>
  <sheetData>
    <row r="1" ht="75" customHeight="1" s="584">
      <c r="A1" s="138" t="n"/>
      <c r="B1" s="138" t="inlineStr">
        <is>
          <t>Customer</t>
        </is>
      </c>
      <c r="C1" s="606" t="inlineStr">
        <is>
          <t>Metallurgy condition</t>
        </is>
      </c>
      <c r="D1" s="140" t="inlineStr">
        <is>
          <t>Material Type</t>
        </is>
      </c>
      <c r="E1" s="138" t="inlineStr">
        <is>
          <t>GRADE</t>
        </is>
      </c>
      <c r="F1" s="141" t="inlineStr">
        <is>
          <t>OD</t>
        </is>
      </c>
      <c r="G1" s="141" t="inlineStr">
        <is>
          <t>ID</t>
        </is>
      </c>
      <c r="H1" s="141" t="inlineStr">
        <is>
          <t>THK</t>
        </is>
      </c>
      <c r="I1" s="138" t="inlineStr">
        <is>
          <t>LENGTH</t>
        </is>
      </c>
      <c r="J1" s="140" t="inlineStr">
        <is>
          <t>Length in Mtrs</t>
        </is>
      </c>
      <c r="K1" s="138" t="inlineStr">
        <is>
          <t>Key</t>
        </is>
      </c>
      <c r="L1" s="138" t="inlineStr">
        <is>
          <t>plant</t>
        </is>
      </c>
      <c r="M1" s="195" t="inlineStr">
        <is>
          <t>TSL Material Code</t>
        </is>
      </c>
      <c r="N1" s="525" t="inlineStr">
        <is>
          <t>SCH DEC- 25</t>
        </is>
      </c>
      <c r="O1" s="140" t="inlineStr">
        <is>
          <t>BALANCE TO BE SUPPLY</t>
        </is>
      </c>
      <c r="P1" s="144" t="inlineStr">
        <is>
          <t>Stock     24-11-25</t>
        </is>
      </c>
      <c r="Q1" s="140" t="inlineStr">
        <is>
          <t xml:space="preserve">intransist </t>
        </is>
      </c>
      <c r="R1" s="140" t="inlineStr">
        <is>
          <t>OPENIG STOCK FOR DEC-2025</t>
        </is>
      </c>
      <c r="S1" s="140" t="inlineStr">
        <is>
          <t xml:space="preserve">order logg </t>
        </is>
      </c>
      <c r="T1" s="140" t="inlineStr">
        <is>
          <t>Opening stock including order logger</t>
        </is>
      </c>
      <c r="U1" s="145" t="inlineStr">
        <is>
          <t xml:space="preserve">    INDENT  FOR DEC-25 as per VSM</t>
        </is>
      </c>
      <c r="V1" s="145" t="inlineStr">
        <is>
          <t xml:space="preserve"> INDENT  FOR DEC-25 recommended</t>
        </is>
      </c>
      <c r="W1" s="146" t="inlineStr">
        <is>
          <t>Before 20th</t>
        </is>
      </c>
      <c r="X1" s="146" t="inlineStr">
        <is>
          <t>ofter 20th</t>
        </is>
      </c>
    </row>
    <row r="2">
      <c r="A2" s="147" t="inlineStr">
        <is>
          <t>TVS</t>
        </is>
      </c>
      <c r="B2" s="147" t="inlineStr">
        <is>
          <t>RUCHA</t>
        </is>
      </c>
      <c r="C2" s="147" t="inlineStr">
        <is>
          <t>CEW AN</t>
        </is>
      </c>
      <c r="D2" s="147" t="inlineStr">
        <is>
          <t>NON FIN</t>
        </is>
      </c>
      <c r="E2" s="147" t="inlineStr">
        <is>
          <t xml:space="preserve">CEW </t>
        </is>
      </c>
      <c r="F2" s="148" t="n">
        <v>11</v>
      </c>
      <c r="G2" s="148" t="n"/>
      <c r="H2" s="148" t="n">
        <v>1.5</v>
      </c>
      <c r="I2" s="147" t="n">
        <v>6000</v>
      </c>
      <c r="J2" s="147" t="n">
        <v>6</v>
      </c>
      <c r="K2" s="147" t="inlineStr">
        <is>
          <t xml:space="preserve">111.56CEW </t>
        </is>
      </c>
      <c r="L2" s="149" t="n">
        <v>789</v>
      </c>
      <c r="M2" s="150" t="n">
        <v>2442390</v>
      </c>
      <c r="N2" s="19" t="n">
        <v>0</v>
      </c>
      <c r="O2" s="147" t="n">
        <v>0</v>
      </c>
      <c r="P2" s="147" t="n">
        <v>0</v>
      </c>
      <c r="Q2" s="147" t="n">
        <v>0</v>
      </c>
      <c r="R2" s="147">
        <f>P2-O2</f>
        <v/>
      </c>
      <c r="S2" s="147" t="n">
        <v>0</v>
      </c>
      <c r="T2" s="147">
        <f>R2+S2</f>
        <v/>
      </c>
      <c r="U2" s="19">
        <f>N2-T2</f>
        <v/>
      </c>
      <c r="V2" s="167">
        <f>IF(U2&gt;0,U2,0)*150%</f>
        <v/>
      </c>
      <c r="W2" s="19" t="n"/>
      <c r="X2" s="19" t="n"/>
    </row>
    <row r="3">
      <c r="A3" s="147" t="inlineStr">
        <is>
          <t>TVS</t>
        </is>
      </c>
      <c r="B3" s="147" t="inlineStr">
        <is>
          <t>RUCHA</t>
        </is>
      </c>
      <c r="C3" s="147" t="inlineStr">
        <is>
          <t>ERW1</t>
        </is>
      </c>
      <c r="D3" s="147" t="inlineStr">
        <is>
          <t>NON FIN</t>
        </is>
      </c>
      <c r="E3" s="147" t="inlineStr">
        <is>
          <t>ERW</t>
        </is>
      </c>
      <c r="F3" s="148" t="n">
        <v>12.7</v>
      </c>
      <c r="G3" s="148" t="n"/>
      <c r="H3" s="148" t="n">
        <v>1.2</v>
      </c>
      <c r="I3" s="147" t="n">
        <v>6000</v>
      </c>
      <c r="J3" s="147" t="n">
        <v>6</v>
      </c>
      <c r="K3" s="147" t="inlineStr">
        <is>
          <t>12.71.26ERW</t>
        </is>
      </c>
      <c r="L3" s="151" t="inlineStr">
        <is>
          <t>0789</t>
        </is>
      </c>
      <c r="M3" s="150" t="n">
        <v>1939985</v>
      </c>
      <c r="N3" s="19" t="n">
        <v>10</v>
      </c>
      <c r="O3" s="147" t="n">
        <v>3</v>
      </c>
      <c r="P3" s="147" t="n">
        <v>7</v>
      </c>
      <c r="Q3" s="147" t="n">
        <v>0</v>
      </c>
      <c r="R3" s="147">
        <f>P3-O3</f>
        <v/>
      </c>
      <c r="S3" s="147" t="n">
        <v>0</v>
      </c>
      <c r="T3" s="147">
        <f>R3+S3</f>
        <v/>
      </c>
      <c r="U3" s="19">
        <f>N3-T3</f>
        <v/>
      </c>
      <c r="V3" s="167">
        <f>IF(U3&gt;0,U3,0)*150%</f>
        <v/>
      </c>
      <c r="W3" s="19" t="n"/>
      <c r="X3" s="19" t="n"/>
    </row>
    <row r="4">
      <c r="A4" s="147" t="inlineStr">
        <is>
          <t>HMSI</t>
        </is>
      </c>
      <c r="B4" s="147" t="inlineStr">
        <is>
          <t>BADVE</t>
        </is>
      </c>
      <c r="C4" s="147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12.7</v>
      </c>
      <c r="G4" s="148" t="n"/>
      <c r="H4" s="148" t="n">
        <v>1.4</v>
      </c>
      <c r="I4" s="147" t="n">
        <v>6000</v>
      </c>
      <c r="J4" s="147" t="n">
        <v>6</v>
      </c>
      <c r="K4" s="147" t="inlineStr">
        <is>
          <t>12.71.46ERW</t>
        </is>
      </c>
      <c r="L4" s="151" t="inlineStr">
        <is>
          <t>0789</t>
        </is>
      </c>
      <c r="M4" s="150" t="n">
        <v>1931117</v>
      </c>
      <c r="N4" s="19" t="n">
        <v>0</v>
      </c>
      <c r="O4" s="147" t="n">
        <v>0</v>
      </c>
      <c r="P4" s="147" t="n">
        <v>4.5</v>
      </c>
      <c r="Q4" s="147" t="n">
        <v>0</v>
      </c>
      <c r="R4" s="147">
        <f>P4-O4</f>
        <v/>
      </c>
      <c r="S4" s="147" t="n">
        <v>0</v>
      </c>
      <c r="T4" s="147">
        <f>R4+S4</f>
        <v/>
      </c>
      <c r="U4" s="19">
        <f>N4-T4</f>
        <v/>
      </c>
      <c r="V4" s="167">
        <f>IF(U4&gt;0,U4,0)*150%</f>
        <v/>
      </c>
      <c r="W4" s="19" t="n"/>
      <c r="X4" s="19" t="n"/>
    </row>
    <row r="5">
      <c r="A5" s="147" t="inlineStr">
        <is>
          <t>HMSI</t>
        </is>
      </c>
      <c r="B5" s="147" t="inlineStr">
        <is>
          <t>BADVE</t>
        </is>
      </c>
      <c r="C5" s="147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12.7</v>
      </c>
      <c r="G5" s="148" t="n"/>
      <c r="H5" s="148" t="n">
        <v>1.6</v>
      </c>
      <c r="I5" s="147" t="n">
        <v>6000</v>
      </c>
      <c r="J5" s="147" t="n">
        <v>6</v>
      </c>
      <c r="K5" s="147" t="inlineStr">
        <is>
          <t>12.71.66ERW</t>
        </is>
      </c>
      <c r="L5" s="151" t="inlineStr">
        <is>
          <t>0789</t>
        </is>
      </c>
      <c r="M5" s="150" t="n">
        <v>1931154</v>
      </c>
      <c r="N5" s="19" t="n">
        <v>0</v>
      </c>
      <c r="O5" s="147" t="n">
        <v>0</v>
      </c>
      <c r="P5" s="147" t="n">
        <v>3</v>
      </c>
      <c r="Q5" s="147" t="n">
        <v>0</v>
      </c>
      <c r="R5" s="147">
        <f>P5-O5</f>
        <v/>
      </c>
      <c r="S5" s="147" t="n">
        <v>0</v>
      </c>
      <c r="T5" s="147">
        <f>R5+S5</f>
        <v/>
      </c>
      <c r="U5" s="19">
        <f>N5-T5</f>
        <v/>
      </c>
      <c r="V5" s="167">
        <f>IF(U5&gt;0,U5,0)*150%</f>
        <v/>
      </c>
      <c r="W5" s="19" t="n"/>
      <c r="X5" s="19" t="n"/>
    </row>
    <row r="6">
      <c r="A6" s="147" t="inlineStr">
        <is>
          <t>TVS</t>
        </is>
      </c>
      <c r="B6" s="147" t="inlineStr">
        <is>
          <t>RUCHA</t>
        </is>
      </c>
      <c r="C6" s="147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12</v>
      </c>
      <c r="G6" s="148" t="n"/>
      <c r="H6" s="148" t="n">
        <v>2</v>
      </c>
      <c r="I6" s="147" t="n">
        <v>6000</v>
      </c>
      <c r="J6" s="147" t="n">
        <v>6</v>
      </c>
      <c r="K6" s="147" t="inlineStr">
        <is>
          <t>12.726ERW</t>
        </is>
      </c>
      <c r="L6" s="151" t="inlineStr">
        <is>
          <t>0789</t>
        </is>
      </c>
      <c r="M6" s="149" t="n">
        <v>236166</v>
      </c>
      <c r="N6" s="19" t="n">
        <v>0</v>
      </c>
      <c r="O6" s="147" t="n">
        <v>0</v>
      </c>
      <c r="P6" s="147" t="n">
        <v>0</v>
      </c>
      <c r="Q6" s="147" t="n">
        <v>0</v>
      </c>
      <c r="R6" s="147">
        <f>P6-O6</f>
        <v/>
      </c>
      <c r="S6" s="147" t="n">
        <v>0</v>
      </c>
      <c r="T6" s="147">
        <f>R6+S6</f>
        <v/>
      </c>
      <c r="U6" s="19">
        <f>N6-T6</f>
        <v/>
      </c>
      <c r="V6" s="167">
        <f>IF(U6&gt;0,U6,0)*150%</f>
        <v/>
      </c>
      <c r="W6" s="19" t="n"/>
      <c r="X6" s="19" t="n"/>
    </row>
    <row r="7">
      <c r="A7" s="147" t="inlineStr">
        <is>
          <t>HMSI</t>
        </is>
      </c>
      <c r="B7" s="147" t="inlineStr">
        <is>
          <t>BADVE</t>
        </is>
      </c>
      <c r="C7" s="147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48" t="n">
        <v>15.88</v>
      </c>
      <c r="G7" s="148" t="n"/>
      <c r="H7" s="148" t="n">
        <v>1</v>
      </c>
      <c r="I7" s="147" t="n">
        <v>6000</v>
      </c>
      <c r="J7" s="147" t="n">
        <v>6</v>
      </c>
      <c r="K7" s="147" t="inlineStr">
        <is>
          <t>15.8816ERW</t>
        </is>
      </c>
      <c r="L7" s="151" t="inlineStr">
        <is>
          <t>0789</t>
        </is>
      </c>
      <c r="M7" s="150" t="n">
        <v>1940054</v>
      </c>
      <c r="N7" s="19" t="n">
        <v>0</v>
      </c>
      <c r="O7" s="147" t="n">
        <v>0</v>
      </c>
      <c r="P7" s="147" t="n">
        <v>1.4</v>
      </c>
      <c r="Q7" s="147" t="n">
        <v>0</v>
      </c>
      <c r="R7" s="147">
        <f>P7-O7</f>
        <v/>
      </c>
      <c r="S7" s="147" t="n">
        <v>0</v>
      </c>
      <c r="T7" s="147">
        <f>R7+S7</f>
        <v/>
      </c>
      <c r="U7" s="19">
        <f>N7-T7</f>
        <v/>
      </c>
      <c r="V7" s="167">
        <f>IF(U7&gt;0,U7,0)*150%</f>
        <v/>
      </c>
      <c r="W7" s="19" t="n"/>
      <c r="X7" s="19" t="n"/>
    </row>
    <row r="8">
      <c r="A8" s="147" t="inlineStr">
        <is>
          <t>TVS</t>
        </is>
      </c>
      <c r="B8" s="147" t="inlineStr">
        <is>
          <t>RUCHA</t>
        </is>
      </c>
      <c r="C8" s="147" t="inlineStr">
        <is>
          <t>ERW1</t>
        </is>
      </c>
      <c r="D8" s="147" t="inlineStr">
        <is>
          <t>NON FIN</t>
        </is>
      </c>
      <c r="E8" s="147" t="inlineStr">
        <is>
          <t>ERW</t>
        </is>
      </c>
      <c r="F8" s="148" t="n">
        <v>15.88</v>
      </c>
      <c r="G8" s="148" t="n"/>
      <c r="H8" s="148" t="n">
        <v>1.2</v>
      </c>
      <c r="I8" s="147" t="n">
        <v>6000</v>
      </c>
      <c r="J8" s="147" t="n">
        <v>6</v>
      </c>
      <c r="K8" s="147" t="inlineStr">
        <is>
          <t>15.881.26ERW</t>
        </is>
      </c>
      <c r="L8" s="151" t="inlineStr">
        <is>
          <t>0789</t>
        </is>
      </c>
      <c r="M8" s="150" t="n">
        <v>1940054</v>
      </c>
      <c r="N8" s="19" t="n">
        <v>8</v>
      </c>
      <c r="O8" s="147" t="n">
        <v>3</v>
      </c>
      <c r="P8" s="147" t="n">
        <v>19.8</v>
      </c>
      <c r="Q8" s="147" t="n">
        <v>0</v>
      </c>
      <c r="R8" s="147">
        <f>P8-O8</f>
        <v/>
      </c>
      <c r="S8" s="147" t="n">
        <v>0</v>
      </c>
      <c r="T8" s="147">
        <f>R8+S8</f>
        <v/>
      </c>
      <c r="U8" s="19">
        <f>N8-T8</f>
        <v/>
      </c>
      <c r="V8" s="167">
        <f>IF(U8&gt;0,U8,0)*150%</f>
        <v/>
      </c>
      <c r="W8" s="19" t="n"/>
      <c r="X8" s="19" t="n"/>
    </row>
    <row r="9">
      <c r="A9" s="147" t="inlineStr">
        <is>
          <t>HMSI</t>
        </is>
      </c>
      <c r="B9" s="147" t="inlineStr">
        <is>
          <t>BADVE</t>
        </is>
      </c>
      <c r="C9" s="147" t="inlineStr">
        <is>
          <t>ERW1</t>
        </is>
      </c>
      <c r="D9" s="147" t="inlineStr">
        <is>
          <t>NON FIN</t>
        </is>
      </c>
      <c r="E9" s="147" t="inlineStr">
        <is>
          <t>ERW</t>
        </is>
      </c>
      <c r="F9" s="148" t="n">
        <v>15.88</v>
      </c>
      <c r="G9" s="148" t="n"/>
      <c r="H9" s="148" t="n">
        <v>1.6</v>
      </c>
      <c r="I9" s="147" t="n">
        <v>6000</v>
      </c>
      <c r="J9" s="147" t="n">
        <v>6</v>
      </c>
      <c r="K9" s="147" t="inlineStr">
        <is>
          <t>15.881.66ERW</t>
        </is>
      </c>
      <c r="L9" s="151" t="inlineStr">
        <is>
          <t>0789</t>
        </is>
      </c>
      <c r="M9" s="150" t="n">
        <v>1900224</v>
      </c>
      <c r="N9" s="19" t="n">
        <v>0</v>
      </c>
      <c r="O9" s="147" t="n">
        <v>1</v>
      </c>
      <c r="P9" s="147" t="n">
        <v>3.1</v>
      </c>
      <c r="Q9" s="147" t="n">
        <v>0</v>
      </c>
      <c r="R9" s="147">
        <f>P9-O9</f>
        <v/>
      </c>
      <c r="S9" s="147" t="n">
        <v>0</v>
      </c>
      <c r="T9" s="147">
        <f>R9+S9</f>
        <v/>
      </c>
      <c r="U9" s="19">
        <f>N9-T9</f>
        <v/>
      </c>
      <c r="V9" s="167">
        <f>IF(U9&gt;0,U9,0)*150%</f>
        <v/>
      </c>
      <c r="W9" s="19" t="n"/>
      <c r="X9" s="19" t="n"/>
    </row>
    <row r="10">
      <c r="A10" s="147" t="inlineStr">
        <is>
          <t>HMSI</t>
        </is>
      </c>
      <c r="B10" s="147" t="inlineStr">
        <is>
          <t>BADVE</t>
        </is>
      </c>
      <c r="C10" s="147" t="inlineStr">
        <is>
          <t>ERW1</t>
        </is>
      </c>
      <c r="D10" s="147" t="inlineStr">
        <is>
          <t>NON FIN</t>
        </is>
      </c>
      <c r="E10" s="147" t="inlineStr">
        <is>
          <t>ERW</t>
        </is>
      </c>
      <c r="F10" s="148" t="n">
        <v>15.88</v>
      </c>
      <c r="G10" s="148" t="n"/>
      <c r="H10" s="148" t="n">
        <v>2</v>
      </c>
      <c r="I10" s="147" t="n">
        <v>6000</v>
      </c>
      <c r="J10" s="147" t="n">
        <v>6</v>
      </c>
      <c r="K10" s="147" t="inlineStr">
        <is>
          <t>15.8826ERW</t>
        </is>
      </c>
      <c r="L10" s="151" t="inlineStr">
        <is>
          <t>0789</t>
        </is>
      </c>
      <c r="M10" s="150" t="n">
        <v>1940120</v>
      </c>
      <c r="N10" s="19" t="n">
        <v>0</v>
      </c>
      <c r="O10" s="147" t="n">
        <v>0</v>
      </c>
      <c r="P10" s="147" t="n">
        <v>9</v>
      </c>
      <c r="Q10" s="147" t="n">
        <v>0</v>
      </c>
      <c r="R10" s="147">
        <f>P10-O10</f>
        <v/>
      </c>
      <c r="S10" s="147" t="n">
        <v>0</v>
      </c>
      <c r="T10" s="147">
        <f>R10+S10</f>
        <v/>
      </c>
      <c r="U10" s="19">
        <f>N10-T10</f>
        <v/>
      </c>
      <c r="V10" s="167">
        <f>IF(U10&gt;0,U10,0)*150%</f>
        <v/>
      </c>
      <c r="W10" s="19" t="n"/>
      <c r="X10" s="19" t="n"/>
    </row>
    <row r="11">
      <c r="A11" s="147" t="inlineStr">
        <is>
          <t>TVS</t>
        </is>
      </c>
      <c r="B11" s="147" t="inlineStr">
        <is>
          <t>Rucha</t>
        </is>
      </c>
      <c r="C11" s="147" t="inlineStr">
        <is>
          <t>ERW1</t>
        </is>
      </c>
      <c r="D11" s="147" t="inlineStr">
        <is>
          <t>NON FIN</t>
        </is>
      </c>
      <c r="E11" s="147" t="inlineStr">
        <is>
          <t>ERW</t>
        </is>
      </c>
      <c r="F11" s="148" t="n">
        <v>18.3</v>
      </c>
      <c r="G11" s="148" t="n"/>
      <c r="H11" s="148" t="n">
        <v>1</v>
      </c>
      <c r="I11" s="147" t="n">
        <v>6000</v>
      </c>
      <c r="J11" s="147" t="n">
        <v>6</v>
      </c>
      <c r="K11" s="147" t="inlineStr">
        <is>
          <t>18.316ERW</t>
        </is>
      </c>
      <c r="L11" s="151" t="inlineStr">
        <is>
          <t>0789</t>
        </is>
      </c>
      <c r="M11" s="150" t="n">
        <v>2288945</v>
      </c>
      <c r="N11" s="19" t="n">
        <v>5</v>
      </c>
      <c r="O11" s="147" t="n">
        <v>2</v>
      </c>
      <c r="P11" s="147" t="n">
        <v>6.5</v>
      </c>
      <c r="Q11" s="147" t="n">
        <v>0</v>
      </c>
      <c r="R11" s="147">
        <f>P11-O11</f>
        <v/>
      </c>
      <c r="S11" s="147" t="n">
        <v>0</v>
      </c>
      <c r="T11" s="147">
        <f>R11+S11</f>
        <v/>
      </c>
      <c r="U11" s="19">
        <f>N11-T11</f>
        <v/>
      </c>
      <c r="V11" s="167">
        <f>IF(U11&gt;0,U11,0)*150%</f>
        <v/>
      </c>
      <c r="W11" s="19" t="n"/>
      <c r="X11" s="19" t="n"/>
    </row>
    <row r="12">
      <c r="A12" s="147" t="inlineStr">
        <is>
          <t>HMSI</t>
        </is>
      </c>
      <c r="B12" s="147" t="inlineStr">
        <is>
          <t>BADVE</t>
        </is>
      </c>
      <c r="C12" s="153" t="inlineStr">
        <is>
          <t>ERW1</t>
        </is>
      </c>
      <c r="D12" s="147" t="inlineStr">
        <is>
          <t>NON FIN</t>
        </is>
      </c>
      <c r="E12" s="147" t="inlineStr">
        <is>
          <t>ERW</t>
        </is>
      </c>
      <c r="F12" s="148" t="n">
        <v>19.05</v>
      </c>
      <c r="G12" s="148" t="n"/>
      <c r="H12" s="148" t="n">
        <v>1.6</v>
      </c>
      <c r="I12" s="147" t="n">
        <v>6000</v>
      </c>
      <c r="J12" s="147" t="n">
        <v>6</v>
      </c>
      <c r="K12" s="147" t="inlineStr">
        <is>
          <t>19.051.66ERW</t>
        </is>
      </c>
      <c r="L12" s="149" t="n">
        <v>56</v>
      </c>
      <c r="M12" s="150" t="n">
        <v>3498997</v>
      </c>
      <c r="N12" s="19" t="n">
        <v>5</v>
      </c>
      <c r="O12" s="147" t="n">
        <v>3</v>
      </c>
      <c r="P12" s="147" t="n">
        <v>12.5</v>
      </c>
      <c r="Q12" s="147" t="n">
        <v>0</v>
      </c>
      <c r="R12" s="147">
        <f>P12-O12</f>
        <v/>
      </c>
      <c r="S12" s="147" t="n">
        <v>0</v>
      </c>
      <c r="T12" s="147">
        <f>R12+S12</f>
        <v/>
      </c>
      <c r="U12" s="19">
        <f>N12-T12</f>
        <v/>
      </c>
      <c r="V12" s="167">
        <f>IF(U12&gt;0,U12,0)*150%</f>
        <v/>
      </c>
      <c r="W12" s="19" t="n"/>
      <c r="X12" s="19" t="n"/>
    </row>
    <row r="13">
      <c r="A13" s="147" t="inlineStr">
        <is>
          <t>HMSI</t>
        </is>
      </c>
      <c r="B13" s="147" t="inlineStr">
        <is>
          <t>BADVE</t>
        </is>
      </c>
      <c r="C13" s="147" t="inlineStr">
        <is>
          <t>ERW2</t>
        </is>
      </c>
      <c r="D13" s="147" t="inlineStr">
        <is>
          <t>NON FIN</t>
        </is>
      </c>
      <c r="E13" s="147" t="inlineStr">
        <is>
          <t>ERW2</t>
        </is>
      </c>
      <c r="F13" s="148" t="n">
        <v>19.05</v>
      </c>
      <c r="G13" s="148" t="n"/>
      <c r="H13" s="148" t="n">
        <v>1.4</v>
      </c>
      <c r="I13" s="147" t="n">
        <v>6000</v>
      </c>
      <c r="J13" s="147" t="n">
        <v>6</v>
      </c>
      <c r="K13" s="147" t="inlineStr">
        <is>
          <t>19.051.46ERW2</t>
        </is>
      </c>
      <c r="L13" s="151" t="inlineStr">
        <is>
          <t>056</t>
        </is>
      </c>
      <c r="M13" s="149" t="n">
        <v>3891285</v>
      </c>
      <c r="N13" s="19" t="n">
        <v>5</v>
      </c>
      <c r="O13" s="147" t="n">
        <v>0</v>
      </c>
      <c r="P13" s="147" t="n">
        <v>0</v>
      </c>
      <c r="Q13" s="147" t="n">
        <v>0</v>
      </c>
      <c r="R13" s="147">
        <f>P13-O13</f>
        <v/>
      </c>
      <c r="S13" s="147" t="n">
        <v>25</v>
      </c>
      <c r="T13" s="147">
        <f>R13+S13</f>
        <v/>
      </c>
      <c r="U13" s="19">
        <f>N13-T13</f>
        <v/>
      </c>
      <c r="V13" s="167">
        <f>IF(U13&gt;0,U13,0)*150%</f>
        <v/>
      </c>
      <c r="W13" s="19" t="n"/>
      <c r="X13" s="19" t="n"/>
    </row>
    <row r="14">
      <c r="A14" s="147" t="inlineStr">
        <is>
          <t>TVS</t>
        </is>
      </c>
      <c r="B14" s="147" t="inlineStr">
        <is>
          <t>RUCHA</t>
        </is>
      </c>
      <c r="C14" s="153" t="inlineStr">
        <is>
          <t>ERW1</t>
        </is>
      </c>
      <c r="D14" s="147" t="inlineStr">
        <is>
          <t>NON FIN</t>
        </is>
      </c>
      <c r="E14" s="147" t="inlineStr">
        <is>
          <t>ERW</t>
        </is>
      </c>
      <c r="F14" s="154" t="n">
        <v>19.05</v>
      </c>
      <c r="G14" s="154" t="n"/>
      <c r="H14" s="154" t="n">
        <v>2</v>
      </c>
      <c r="I14" s="155" t="n">
        <v>5800</v>
      </c>
      <c r="J14" s="147" t="n"/>
      <c r="K14" s="147" t="n"/>
      <c r="L14" s="151" t="n"/>
      <c r="M14" s="150" t="n"/>
      <c r="N14" s="19" t="n">
        <v>35</v>
      </c>
      <c r="O14" s="147" t="n">
        <v>0</v>
      </c>
      <c r="P14" s="147" t="n">
        <v>0</v>
      </c>
      <c r="Q14" s="147" t="n">
        <v>0</v>
      </c>
      <c r="R14" s="147" t="n">
        <v>0</v>
      </c>
      <c r="S14" s="147" t="n">
        <v>0</v>
      </c>
      <c r="T14" s="147">
        <f>R14+S14</f>
        <v/>
      </c>
      <c r="U14" s="19">
        <f>N14-T14</f>
        <v/>
      </c>
      <c r="V14" s="167">
        <f>IF(U14&gt;0,U14,0)*150%</f>
        <v/>
      </c>
      <c r="W14" s="15" t="n"/>
      <c r="X14" s="15" t="n"/>
    </row>
    <row r="15">
      <c r="A15" s="147" t="inlineStr">
        <is>
          <t>TVS</t>
        </is>
      </c>
      <c r="B15" s="147" t="inlineStr">
        <is>
          <t>RUCHA,METALMAN</t>
        </is>
      </c>
      <c r="C15" s="153" t="inlineStr">
        <is>
          <t>ERW1</t>
        </is>
      </c>
      <c r="D15" s="147" t="inlineStr">
        <is>
          <t>NON FIN</t>
        </is>
      </c>
      <c r="E15" s="147" t="inlineStr">
        <is>
          <t>ERW</t>
        </is>
      </c>
      <c r="F15" s="148" t="n">
        <v>19.05</v>
      </c>
      <c r="G15" s="148" t="n"/>
      <c r="H15" s="148" t="n">
        <v>2.3</v>
      </c>
      <c r="I15" s="147" t="n">
        <v>7000</v>
      </c>
      <c r="J15" s="147" t="n">
        <v>7</v>
      </c>
      <c r="K15" s="147" t="inlineStr">
        <is>
          <t>19.052.37ERW</t>
        </is>
      </c>
      <c r="L15" s="151" t="inlineStr">
        <is>
          <t>056</t>
        </is>
      </c>
      <c r="M15" s="150" t="n">
        <v>3500582</v>
      </c>
      <c r="N15" s="19" t="n">
        <v>20</v>
      </c>
      <c r="O15" s="147" t="n">
        <v>6</v>
      </c>
      <c r="P15" s="147" t="n">
        <v>8</v>
      </c>
      <c r="Q15" s="147" t="n">
        <v>0</v>
      </c>
      <c r="R15" s="147">
        <f>P15-O15</f>
        <v/>
      </c>
      <c r="S15" s="147" t="n">
        <v>0</v>
      </c>
      <c r="T15" s="147">
        <f>R15+S15</f>
        <v/>
      </c>
      <c r="U15" s="19">
        <f>N15-T15</f>
        <v/>
      </c>
      <c r="V15" s="167">
        <f>IF(U15&gt;0,U15,0)*150%</f>
        <v/>
      </c>
      <c r="W15" s="15" t="n"/>
      <c r="X15" s="15" t="n"/>
    </row>
    <row r="16">
      <c r="A16" s="147" t="inlineStr">
        <is>
          <t>TVS</t>
        </is>
      </c>
      <c r="B16" s="147" t="inlineStr">
        <is>
          <t>RUCHA</t>
        </is>
      </c>
      <c r="C16" s="147" t="inlineStr">
        <is>
          <t>ERW1</t>
        </is>
      </c>
      <c r="D16" s="147" t="inlineStr">
        <is>
          <t>NON FIN</t>
        </is>
      </c>
      <c r="E16" s="147" t="inlineStr">
        <is>
          <t>ERW</t>
        </is>
      </c>
      <c r="F16" s="148" t="n">
        <v>21.4</v>
      </c>
      <c r="G16" s="148" t="n"/>
      <c r="H16" s="148" t="n">
        <v>1.6</v>
      </c>
      <c r="I16" s="147" t="n">
        <v>6000</v>
      </c>
      <c r="J16" s="147" t="n">
        <v>6</v>
      </c>
      <c r="K16" s="147" t="inlineStr">
        <is>
          <t>21.41.66ERW</t>
        </is>
      </c>
      <c r="L16" s="149" t="n"/>
      <c r="M16" s="150" t="n">
        <v>3219710</v>
      </c>
      <c r="N16" s="19" t="n">
        <v>10</v>
      </c>
      <c r="O16" s="147" t="n">
        <v>2</v>
      </c>
      <c r="P16" s="147" t="n">
        <v>12.9</v>
      </c>
      <c r="Q16" s="147" t="n">
        <v>0</v>
      </c>
      <c r="R16" s="147">
        <f>P16-O16</f>
        <v/>
      </c>
      <c r="S16" s="147" t="n">
        <v>0</v>
      </c>
      <c r="T16" s="147">
        <f>R16+S16</f>
        <v/>
      </c>
      <c r="U16" s="19">
        <f>N16-T16</f>
        <v/>
      </c>
      <c r="V16" s="167">
        <f>IF(U16&gt;0,U16,0)*150%</f>
        <v/>
      </c>
      <c r="W16" s="15" t="n"/>
      <c r="X16" s="15" t="n"/>
    </row>
    <row r="17">
      <c r="A17" s="147" t="inlineStr">
        <is>
          <t>TVS</t>
        </is>
      </c>
      <c r="B17" s="147" t="inlineStr">
        <is>
          <t>RUCHA</t>
        </is>
      </c>
      <c r="C17" s="153" t="inlineStr">
        <is>
          <t>ERW1</t>
        </is>
      </c>
      <c r="D17" s="147" t="inlineStr">
        <is>
          <t>NON FIN</t>
        </is>
      </c>
      <c r="E17" s="147" t="inlineStr">
        <is>
          <t>ERW</t>
        </is>
      </c>
      <c r="F17" s="148" t="n">
        <v>22.2</v>
      </c>
      <c r="G17" s="148" t="n"/>
      <c r="H17" s="148" t="n">
        <v>1.2</v>
      </c>
      <c r="I17" s="147" t="n">
        <v>5870</v>
      </c>
      <c r="J17" s="147" t="n">
        <v>5.87</v>
      </c>
      <c r="K17" s="147" t="inlineStr">
        <is>
          <t>22.21.25.87ERW</t>
        </is>
      </c>
      <c r="L17" s="151" t="inlineStr">
        <is>
          <t>056</t>
        </is>
      </c>
      <c r="M17" s="385" t="n">
        <v>3882110</v>
      </c>
      <c r="N17" s="19" t="n">
        <v>30</v>
      </c>
      <c r="O17" s="147" t="n">
        <v>10</v>
      </c>
      <c r="P17" s="147" t="n">
        <v>11</v>
      </c>
      <c r="Q17" s="147" t="n">
        <v>0</v>
      </c>
      <c r="R17" s="147">
        <f>P17-O17</f>
        <v/>
      </c>
      <c r="S17" s="147" t="n">
        <v>45</v>
      </c>
      <c r="T17" s="147">
        <f>R17+S17</f>
        <v/>
      </c>
      <c r="U17" s="19">
        <f>N17-T17</f>
        <v/>
      </c>
      <c r="V17" s="167">
        <f>IF(U17&gt;0,U17,0)*150%</f>
        <v/>
      </c>
      <c r="W17" s="15" t="n"/>
      <c r="X17" s="15" t="n"/>
    </row>
    <row r="18">
      <c r="A18" s="147" t="inlineStr">
        <is>
          <t>HMSI</t>
        </is>
      </c>
      <c r="B18" s="147" t="inlineStr">
        <is>
          <t>BADVE</t>
        </is>
      </c>
      <c r="C18" s="153" t="inlineStr">
        <is>
          <t>ERW2</t>
        </is>
      </c>
      <c r="D18" s="147" t="inlineStr">
        <is>
          <t>NON FIN</t>
        </is>
      </c>
      <c r="E18" s="147" t="inlineStr">
        <is>
          <t>ERW-2</t>
        </is>
      </c>
      <c r="F18" s="148" t="n">
        <v>22.2</v>
      </c>
      <c r="G18" s="148" t="n"/>
      <c r="H18" s="148" t="n">
        <v>1.4</v>
      </c>
      <c r="I18" s="147" t="n">
        <v>6000</v>
      </c>
      <c r="J18" s="147" t="n">
        <v>6</v>
      </c>
      <c r="K18" s="147" t="inlineStr">
        <is>
          <t>22.21.46ERW-2</t>
        </is>
      </c>
      <c r="L18" s="151" t="inlineStr">
        <is>
          <t>056</t>
        </is>
      </c>
      <c r="M18" s="150" t="n">
        <v>3829175</v>
      </c>
      <c r="N18" s="19" t="n">
        <v>10</v>
      </c>
      <c r="O18" s="147" t="n">
        <v>2</v>
      </c>
      <c r="P18" s="147" t="n">
        <v>19.7</v>
      </c>
      <c r="Q18" s="147" t="n">
        <v>0</v>
      </c>
      <c r="R18" s="147">
        <f>P18-O18</f>
        <v/>
      </c>
      <c r="S18" s="147" t="n">
        <v>0</v>
      </c>
      <c r="T18" s="147">
        <f>R18+S18</f>
        <v/>
      </c>
      <c r="U18" s="19">
        <f>N18-T18</f>
        <v/>
      </c>
      <c r="V18" s="167">
        <f>IF(U18&gt;0,U18,0)*150%</f>
        <v/>
      </c>
      <c r="W18" s="15" t="n"/>
      <c r="X18" s="15" t="n"/>
    </row>
    <row r="19">
      <c r="A19" s="147" t="inlineStr">
        <is>
          <t>TVS</t>
        </is>
      </c>
      <c r="B19" s="147" t="inlineStr">
        <is>
          <t>RUCHA</t>
        </is>
      </c>
      <c r="C19" s="153" t="inlineStr">
        <is>
          <t>ERW1</t>
        </is>
      </c>
      <c r="D19" s="147" t="inlineStr">
        <is>
          <t>NON FIN</t>
        </is>
      </c>
      <c r="E19" s="147" t="inlineStr">
        <is>
          <t>ERW</t>
        </is>
      </c>
      <c r="F19" s="148" t="n">
        <v>22.2</v>
      </c>
      <c r="G19" s="148" t="n"/>
      <c r="H19" s="148" t="n">
        <v>1.6</v>
      </c>
      <c r="I19" s="147" t="n">
        <v>5270</v>
      </c>
      <c r="J19" s="147" t="n"/>
      <c r="K19" s="147" t="n"/>
      <c r="L19" s="151" t="n"/>
      <c r="M19" s="150" t="n"/>
      <c r="N19" s="19" t="n">
        <v>35</v>
      </c>
      <c r="O19" s="147" t="n">
        <v>10</v>
      </c>
      <c r="P19" s="147" t="n">
        <v>20</v>
      </c>
      <c r="Q19" s="147" t="n">
        <v>0</v>
      </c>
      <c r="R19" s="147">
        <f>P19-O19</f>
        <v/>
      </c>
      <c r="S19" s="147" t="n">
        <v>0</v>
      </c>
      <c r="T19" s="147">
        <f>R19+S19</f>
        <v/>
      </c>
      <c r="U19" s="19">
        <f>N19-T19</f>
        <v/>
      </c>
      <c r="V19" s="167">
        <f>IF(U19&gt;0,U19,0)*150%</f>
        <v/>
      </c>
      <c r="W19" s="15" t="n"/>
      <c r="X19" s="15" t="n"/>
    </row>
    <row r="20">
      <c r="A20" s="147" t="inlineStr">
        <is>
          <t>TVS</t>
        </is>
      </c>
      <c r="B20" s="147" t="inlineStr">
        <is>
          <t>RUCHA</t>
        </is>
      </c>
      <c r="C20" s="153" t="inlineStr">
        <is>
          <t>ERW1</t>
        </is>
      </c>
      <c r="D20" s="147" t="inlineStr">
        <is>
          <t>NON FIN</t>
        </is>
      </c>
      <c r="E20" s="147" t="inlineStr">
        <is>
          <t>ERW</t>
        </is>
      </c>
      <c r="F20" s="148" t="n">
        <v>22.2</v>
      </c>
      <c r="G20" s="148" t="n"/>
      <c r="H20" s="148" t="n">
        <v>1.6</v>
      </c>
      <c r="I20" s="147" t="n">
        <v>5670</v>
      </c>
      <c r="J20" s="147" t="n"/>
      <c r="K20" s="147" t="n"/>
      <c r="L20" s="151" t="n"/>
      <c r="M20" s="150" t="n"/>
      <c r="N20" s="19" t="n">
        <v>30</v>
      </c>
      <c r="O20" s="147" t="n">
        <v>10</v>
      </c>
      <c r="P20" s="147" t="n">
        <v>0</v>
      </c>
      <c r="Q20" s="147" t="n">
        <v>0</v>
      </c>
      <c r="R20" s="147">
        <f>P20-O20</f>
        <v/>
      </c>
      <c r="S20" s="147" t="n">
        <v>0</v>
      </c>
      <c r="T20" s="147">
        <f>R20+S20</f>
        <v/>
      </c>
      <c r="U20" s="19">
        <f>N20-T20</f>
        <v/>
      </c>
      <c r="V20" s="167">
        <f>IF(U20&gt;0,U20,0)*150%</f>
        <v/>
      </c>
      <c r="W20" s="15" t="n"/>
      <c r="X20" s="15" t="n"/>
    </row>
    <row r="21">
      <c r="A21" s="147" t="inlineStr">
        <is>
          <t>TVS</t>
        </is>
      </c>
      <c r="B21" s="147" t="inlineStr">
        <is>
          <t>RUCHA</t>
        </is>
      </c>
      <c r="C21" s="155" t="inlineStr">
        <is>
          <t>;;;;;o;;l;ll;;;;l;l;;;l;;;l;;;;l;l;;l;;;;l;;;;;;l;l;;;;;;l;;;;;;;l;;;;;lll;;;;;l;l;o;;;;;;;;;l;;;;;;;;;l;;;;l;;;l;l;;;;;l;;ll;l;;;l;;;ll;;o;l;;;lll;;lll;l;;l;;;;;lllllllllllllllllllllllllllllllllllllllll;o;ooooooooooooooooooooooooooooooooooooooooooooooooooooooooooooooooooo;o</t>
        </is>
      </c>
      <c r="D21" s="147" t="inlineStr">
        <is>
          <t>NON FIN</t>
        </is>
      </c>
      <c r="E21" s="147" t="inlineStr">
        <is>
          <t>ERW</t>
        </is>
      </c>
      <c r="F21" s="154" t="n">
        <v>22.2</v>
      </c>
      <c r="G21" s="154" t="n"/>
      <c r="H21" s="154" t="n">
        <v>2</v>
      </c>
      <c r="I21" s="155" t="n">
        <v>5950</v>
      </c>
      <c r="J21" s="147" t="n">
        <v>5.95</v>
      </c>
      <c r="K21" s="147" t="n"/>
      <c r="L21" s="151" t="inlineStr">
        <is>
          <t>056</t>
        </is>
      </c>
      <c r="M21" s="385" t="n">
        <v>3905466</v>
      </c>
      <c r="N21" s="19" t="n">
        <v>90</v>
      </c>
      <c r="O21" s="147" t="n">
        <v>30</v>
      </c>
      <c r="P21" s="147" t="n">
        <v>20</v>
      </c>
      <c r="Q21" s="147" t="n">
        <v>0</v>
      </c>
      <c r="R21" s="147">
        <f>P21-O21</f>
        <v/>
      </c>
      <c r="S21" s="147" t="n">
        <v>90</v>
      </c>
      <c r="T21" s="147">
        <f>R21+S21</f>
        <v/>
      </c>
      <c r="U21" s="19">
        <f>N21-T21</f>
        <v/>
      </c>
      <c r="V21" s="167">
        <f>IF(U21&gt;0,U21,0)*150%</f>
        <v/>
      </c>
      <c r="W21" s="15" t="n"/>
      <c r="X21" s="15" t="n"/>
    </row>
    <row r="22">
      <c r="A22" s="147" t="inlineStr">
        <is>
          <t>TVS</t>
        </is>
      </c>
      <c r="B22" s="147" t="inlineStr">
        <is>
          <t>RUCHA</t>
        </is>
      </c>
      <c r="C22" s="155" t="inlineStr">
        <is>
          <t>ERW1</t>
        </is>
      </c>
      <c r="D22" s="147" t="inlineStr">
        <is>
          <t>NON FIN</t>
        </is>
      </c>
      <c r="E22" s="147" t="inlineStr">
        <is>
          <t>ERW</t>
        </is>
      </c>
      <c r="F22" s="154" t="n">
        <v>22.2</v>
      </c>
      <c r="G22" s="154" t="n"/>
      <c r="H22" s="154" t="n">
        <v>2</v>
      </c>
      <c r="I22" s="155" t="n">
        <v>5100</v>
      </c>
      <c r="J22" s="147" t="n">
        <v>5.95</v>
      </c>
      <c r="K22" s="147" t="n"/>
      <c r="L22" s="151" t="inlineStr">
        <is>
          <t>056</t>
        </is>
      </c>
      <c r="M22" s="150" t="n">
        <v>3500554</v>
      </c>
      <c r="N22" s="19" t="n">
        <v>20</v>
      </c>
      <c r="O22" s="147" t="n">
        <v>5</v>
      </c>
      <c r="P22" s="147" t="n">
        <v>5</v>
      </c>
      <c r="Q22" s="147" t="n">
        <v>0</v>
      </c>
      <c r="R22" s="147">
        <f>P22-O22</f>
        <v/>
      </c>
      <c r="S22" s="147" t="n">
        <v>4.1</v>
      </c>
      <c r="T22" s="147">
        <f>R22+S22</f>
        <v/>
      </c>
      <c r="U22" s="19">
        <f>N22-T22</f>
        <v/>
      </c>
      <c r="V22" s="167">
        <f>IF(U22&gt;0,U22,0)*150%</f>
        <v/>
      </c>
      <c r="W22" s="15" t="n"/>
      <c r="X22" s="15" t="n"/>
    </row>
    <row r="23">
      <c r="A23" s="147" t="inlineStr">
        <is>
          <t>TVS</t>
        </is>
      </c>
      <c r="B23" s="147" t="inlineStr">
        <is>
          <t>RUCHA</t>
        </is>
      </c>
      <c r="C23" s="147" t="inlineStr">
        <is>
          <t>ERW2</t>
        </is>
      </c>
      <c r="D23" s="147" t="inlineStr">
        <is>
          <t>FIN CUT</t>
        </is>
      </c>
      <c r="E23" s="147" t="inlineStr">
        <is>
          <t>HST</t>
        </is>
      </c>
      <c r="F23" s="148" t="n">
        <v>22.2</v>
      </c>
      <c r="G23" s="148" t="n"/>
      <c r="H23" s="148" t="n">
        <v>2</v>
      </c>
      <c r="I23" s="147" t="n">
        <v>6000</v>
      </c>
      <c r="J23" s="147" t="n">
        <v>6000</v>
      </c>
      <c r="K23" s="147" t="inlineStr">
        <is>
          <t>22.226.15HST</t>
        </is>
      </c>
      <c r="L23" s="151" t="inlineStr">
        <is>
          <t>056</t>
        </is>
      </c>
      <c r="M23" s="150" t="n"/>
      <c r="N23" s="19" t="n">
        <v>40</v>
      </c>
      <c r="O23" s="147" t="n">
        <v>5</v>
      </c>
      <c r="P23" s="147" t="n">
        <v>14.6</v>
      </c>
      <c r="Q23" s="147" t="n">
        <v>0</v>
      </c>
      <c r="R23" s="147">
        <f>P23-O23</f>
        <v/>
      </c>
      <c r="S23" s="147" t="n">
        <v>2.6</v>
      </c>
      <c r="T23" s="147">
        <f>R23+S23</f>
        <v/>
      </c>
      <c r="U23" s="19">
        <f>N23-T23</f>
        <v/>
      </c>
      <c r="V23" s="167">
        <f>IF(U23&gt;0,U23,0)*150%</f>
        <v/>
      </c>
      <c r="W23" s="15" t="n"/>
      <c r="X23" s="15" t="n"/>
    </row>
    <row r="24">
      <c r="A24" s="147" t="inlineStr">
        <is>
          <t>HMSI</t>
        </is>
      </c>
      <c r="B24" s="147" t="inlineStr">
        <is>
          <t>BADVE</t>
        </is>
      </c>
      <c r="C24" s="147" t="inlineStr">
        <is>
          <t>CR ERW 1</t>
        </is>
      </c>
      <c r="D24" s="147" t="inlineStr">
        <is>
          <t>FIN CUT</t>
        </is>
      </c>
      <c r="E24" s="147" t="inlineStr">
        <is>
          <t xml:space="preserve">CR ERW </t>
        </is>
      </c>
      <c r="F24" s="148" t="n">
        <v>22.2</v>
      </c>
      <c r="G24" s="148" t="n"/>
      <c r="H24" s="148" t="n">
        <v>2</v>
      </c>
      <c r="I24" s="147" t="n">
        <v>5400</v>
      </c>
      <c r="J24" s="147" t="n">
        <v>5.39</v>
      </c>
      <c r="K24" s="147" t="inlineStr">
        <is>
          <t xml:space="preserve">22.225.39CR ERW </t>
        </is>
      </c>
      <c r="L24" s="151" t="inlineStr">
        <is>
          <t>056</t>
        </is>
      </c>
      <c r="M24" s="149" t="n">
        <v>3568328</v>
      </c>
      <c r="N24" s="19" t="n">
        <v>10</v>
      </c>
      <c r="O24" s="147" t="n">
        <v>2</v>
      </c>
      <c r="P24" s="147" t="n">
        <v>23.5</v>
      </c>
      <c r="Q24" s="147" t="n">
        <v>0</v>
      </c>
      <c r="R24" s="147">
        <f>P24-O24</f>
        <v/>
      </c>
      <c r="S24" s="147" t="n">
        <v>0</v>
      </c>
      <c r="T24" s="147">
        <f>R24+S24</f>
        <v/>
      </c>
      <c r="U24" s="19">
        <f>N24-T24</f>
        <v/>
      </c>
      <c r="V24" s="167">
        <f>IF(U24&gt;0,U24,0)*150%</f>
        <v/>
      </c>
      <c r="W24" s="15" t="n"/>
      <c r="X24" s="15" t="n"/>
    </row>
    <row r="25">
      <c r="A25" s="147" t="inlineStr">
        <is>
          <t>HMSI</t>
        </is>
      </c>
      <c r="B25" s="147" t="inlineStr">
        <is>
          <t>BADVE</t>
        </is>
      </c>
      <c r="C25" s="153" t="inlineStr">
        <is>
          <t>ERW2</t>
        </is>
      </c>
      <c r="D25" s="147" t="inlineStr">
        <is>
          <t>FIN CUT</t>
        </is>
      </c>
      <c r="E25" s="147" t="inlineStr">
        <is>
          <t>HST</t>
        </is>
      </c>
      <c r="F25" s="148" t="n">
        <v>25.4</v>
      </c>
      <c r="G25" s="148" t="n"/>
      <c r="H25" s="148" t="n">
        <v>1.4</v>
      </c>
      <c r="I25" s="147" t="n">
        <v>5531</v>
      </c>
      <c r="J25" s="147" t="n">
        <v>5.531</v>
      </c>
      <c r="K25" s="147" t="inlineStr">
        <is>
          <t>25.41.45.531HST</t>
        </is>
      </c>
      <c r="L25" s="151" t="inlineStr">
        <is>
          <t>056</t>
        </is>
      </c>
      <c r="M25" s="150" t="n">
        <v>3501900</v>
      </c>
      <c r="N25" s="19" t="n">
        <v>15</v>
      </c>
      <c r="O25" s="147" t="n">
        <v>0</v>
      </c>
      <c r="P25" s="147" t="n">
        <v>0</v>
      </c>
      <c r="Q25" s="147" t="n">
        <v>0</v>
      </c>
      <c r="R25" s="147">
        <f>P25-O25</f>
        <v/>
      </c>
      <c r="S25" s="147" t="n">
        <v>5.9</v>
      </c>
      <c r="T25" s="147">
        <f>R25+S25</f>
        <v/>
      </c>
      <c r="U25" s="19">
        <f>N25-T25</f>
        <v/>
      </c>
      <c r="V25" s="167">
        <f>IF(U25&gt;0,U25,0)*150%</f>
        <v/>
      </c>
      <c r="W25" s="15" t="n"/>
      <c r="X25" s="15" t="n"/>
    </row>
    <row r="26">
      <c r="A26" s="147" t="inlineStr">
        <is>
          <t>HMSI</t>
        </is>
      </c>
      <c r="B26" s="147" t="inlineStr">
        <is>
          <t>BADVE</t>
        </is>
      </c>
      <c r="C26" s="153" t="inlineStr">
        <is>
          <t>ERW1</t>
        </is>
      </c>
      <c r="D26" s="147" t="inlineStr">
        <is>
          <t>FIN CUT</t>
        </is>
      </c>
      <c r="E26" s="147" t="inlineStr">
        <is>
          <t>ERW</t>
        </is>
      </c>
      <c r="F26" s="148" t="n">
        <v>25.4</v>
      </c>
      <c r="G26" s="148" t="n"/>
      <c r="H26" s="148" t="n">
        <v>1.4</v>
      </c>
      <c r="I26" s="147" t="n">
        <v>6060</v>
      </c>
      <c r="J26" s="147" t="n">
        <v>6.06</v>
      </c>
      <c r="K26" s="147" t="inlineStr">
        <is>
          <t>25.41.46.06ERW</t>
        </is>
      </c>
      <c r="L26" s="151" t="n"/>
      <c r="M26" s="149" t="n">
        <v>3557792</v>
      </c>
      <c r="N26" s="19" t="n">
        <v>15</v>
      </c>
      <c r="O26" s="147" t="n">
        <v>0</v>
      </c>
      <c r="P26" s="147" t="n">
        <v>0</v>
      </c>
      <c r="Q26" s="147" t="n">
        <v>0</v>
      </c>
      <c r="R26" s="147">
        <f>P26-O26</f>
        <v/>
      </c>
      <c r="S26" s="147" t="n">
        <v>0</v>
      </c>
      <c r="T26" s="147">
        <f>R26+S26</f>
        <v/>
      </c>
      <c r="U26" s="19">
        <f>N26-T26</f>
        <v/>
      </c>
      <c r="V26" s="167">
        <f>IF(U26&gt;0,U26,0)*150%</f>
        <v/>
      </c>
      <c r="W26" s="15" t="n"/>
      <c r="X26" s="15" t="n"/>
    </row>
    <row r="27">
      <c r="A27" s="147" t="inlineStr">
        <is>
          <t>TVS</t>
        </is>
      </c>
      <c r="B27" s="147" t="inlineStr">
        <is>
          <t>RUCHA</t>
        </is>
      </c>
      <c r="C27" s="153" t="inlineStr">
        <is>
          <t>ERW1</t>
        </is>
      </c>
      <c r="D27" s="147" t="inlineStr">
        <is>
          <t>NON FIN</t>
        </is>
      </c>
      <c r="E27" s="147" t="inlineStr">
        <is>
          <t>ERW</t>
        </is>
      </c>
      <c r="F27" s="148" t="n">
        <v>25.4</v>
      </c>
      <c r="G27" s="148" t="n"/>
      <c r="H27" s="148" t="n">
        <v>1.6</v>
      </c>
      <c r="I27" s="147" t="n">
        <v>6000</v>
      </c>
      <c r="J27" s="147" t="n">
        <v>6</v>
      </c>
      <c r="K27" s="147" t="inlineStr">
        <is>
          <t>25.41.66ERW</t>
        </is>
      </c>
      <c r="L27" s="151" t="inlineStr">
        <is>
          <t>056</t>
        </is>
      </c>
      <c r="M27" s="150" t="n">
        <v>3500097</v>
      </c>
      <c r="N27" s="19" t="n">
        <v>25</v>
      </c>
      <c r="O27" s="147" t="n">
        <v>5</v>
      </c>
      <c r="P27" s="147" t="n">
        <v>52.8</v>
      </c>
      <c r="Q27" s="147" t="n">
        <v>0</v>
      </c>
      <c r="R27" s="147">
        <f>P27-O27</f>
        <v/>
      </c>
      <c r="S27" s="147" t="n">
        <v>15</v>
      </c>
      <c r="T27" s="147">
        <f>R27+S27</f>
        <v/>
      </c>
      <c r="U27" s="19">
        <f>N27-T27</f>
        <v/>
      </c>
      <c r="V27" s="167">
        <f>IF(U27&gt;0,U27,0)*150%</f>
        <v/>
      </c>
      <c r="W27" s="15" t="n"/>
      <c r="X27" s="15" t="n"/>
    </row>
    <row r="28">
      <c r="A28" s="147" t="inlineStr">
        <is>
          <t>RE</t>
        </is>
      </c>
      <c r="B28" s="147" t="inlineStr">
        <is>
          <t>BELRISE CHENNAI</t>
        </is>
      </c>
      <c r="C28" s="153" t="inlineStr">
        <is>
          <t>MICRO ALLOY</t>
        </is>
      </c>
      <c r="D28" s="147" t="inlineStr">
        <is>
          <t>NON FIN</t>
        </is>
      </c>
      <c r="E28" s="153" t="inlineStr">
        <is>
          <t>MICRO ALLOY</t>
        </is>
      </c>
      <c r="F28" s="148" t="n">
        <v>25.4</v>
      </c>
      <c r="G28" s="148" t="n"/>
      <c r="H28" s="148" t="n">
        <v>1.6</v>
      </c>
      <c r="I28" s="147" t="n">
        <v>5840</v>
      </c>
      <c r="J28" s="147" t="n">
        <v>5.82</v>
      </c>
      <c r="K28" s="147" t="n"/>
      <c r="L28" s="151" t="n"/>
      <c r="M28" s="149" t="n"/>
      <c r="N28" s="19" t="n">
        <v>25</v>
      </c>
      <c r="O28" s="147" t="n">
        <v>0</v>
      </c>
      <c r="P28" s="147" t="n">
        <v>22.7</v>
      </c>
      <c r="Q28" s="147" t="n">
        <v>0</v>
      </c>
      <c r="R28" s="147">
        <f>P28-O28</f>
        <v/>
      </c>
      <c r="S28" s="147" t="n">
        <v>0</v>
      </c>
      <c r="T28" s="147">
        <f>R28+S28</f>
        <v/>
      </c>
      <c r="U28" s="19">
        <f>N28-T28</f>
        <v/>
      </c>
      <c r="V28" s="167">
        <f>IF(U28&gt;0,U28,0)*150%</f>
        <v/>
      </c>
      <c r="W28" s="15" t="n"/>
      <c r="X28" s="15" t="n"/>
    </row>
    <row r="29">
      <c r="A29" s="147" t="inlineStr">
        <is>
          <t>TVS</t>
        </is>
      </c>
      <c r="B29" s="147" t="inlineStr">
        <is>
          <t>RUCHA</t>
        </is>
      </c>
      <c r="C29" s="153" t="inlineStr">
        <is>
          <t>ERW1</t>
        </is>
      </c>
      <c r="D29" s="147" t="inlineStr">
        <is>
          <t>NON FIN</t>
        </is>
      </c>
      <c r="E29" s="147" t="inlineStr">
        <is>
          <t>ERW</t>
        </is>
      </c>
      <c r="F29" s="148" t="n">
        <v>25.4</v>
      </c>
      <c r="G29" s="148" t="n"/>
      <c r="H29" s="148" t="n">
        <v>2</v>
      </c>
      <c r="I29" s="147" t="n">
        <v>6050</v>
      </c>
      <c r="J29" s="147" t="n"/>
      <c r="K29" s="147" t="n"/>
      <c r="L29" s="151" t="n"/>
      <c r="M29" s="149" t="n"/>
      <c r="N29" s="19" t="n">
        <v>0</v>
      </c>
      <c r="O29" s="147" t="n">
        <v>0</v>
      </c>
      <c r="P29" s="147" t="n">
        <v>13.4</v>
      </c>
      <c r="Q29" s="147" t="n">
        <v>0</v>
      </c>
      <c r="R29" s="147">
        <f>P29-O29</f>
        <v/>
      </c>
      <c r="S29" s="147" t="n">
        <v>20</v>
      </c>
      <c r="T29" s="147">
        <f>R29+S29</f>
        <v/>
      </c>
      <c r="U29" s="19">
        <f>N29-T29</f>
        <v/>
      </c>
      <c r="V29" s="167">
        <f>IF(U29&gt;0,U29,0)*150%</f>
        <v/>
      </c>
      <c r="W29" s="15" t="n"/>
      <c r="X29" s="15" t="n"/>
    </row>
    <row r="30">
      <c r="A30" s="147" t="inlineStr">
        <is>
          <t>TVS</t>
        </is>
      </c>
      <c r="B30" s="147" t="inlineStr">
        <is>
          <t>RUCHA</t>
        </is>
      </c>
      <c r="C30" s="153" t="inlineStr">
        <is>
          <t>ERW1</t>
        </is>
      </c>
      <c r="D30" s="147" t="inlineStr">
        <is>
          <t>NON FIN</t>
        </is>
      </c>
      <c r="E30" s="147" t="inlineStr">
        <is>
          <t>ERW</t>
        </is>
      </c>
      <c r="F30" s="148" t="n">
        <v>25.4</v>
      </c>
      <c r="G30" s="148" t="n"/>
      <c r="H30" s="148" t="n">
        <v>2.5</v>
      </c>
      <c r="I30" s="147" t="n">
        <v>5530</v>
      </c>
      <c r="J30" s="147" t="n">
        <v>5.53</v>
      </c>
      <c r="K30" s="147" t="inlineStr">
        <is>
          <t>25.42.55.53ERW</t>
        </is>
      </c>
      <c r="L30" s="151" t="inlineStr">
        <is>
          <t>056</t>
        </is>
      </c>
      <c r="M30" s="150" t="n">
        <v>3502256</v>
      </c>
      <c r="N30" s="19" t="n">
        <v>0</v>
      </c>
      <c r="O30" s="147" t="n">
        <v>10</v>
      </c>
      <c r="P30" s="147" t="n">
        <v>43</v>
      </c>
      <c r="Q30" s="147" t="n">
        <v>0</v>
      </c>
      <c r="R30" s="147">
        <f>P30-O30</f>
        <v/>
      </c>
      <c r="S30" s="147" t="n">
        <v>2.8</v>
      </c>
      <c r="T30" s="147">
        <f>R30+S30</f>
        <v/>
      </c>
      <c r="U30" s="19">
        <f>N30-T30</f>
        <v/>
      </c>
      <c r="V30" s="167">
        <f>IF(U30&gt;0,U30,0)*150%</f>
        <v/>
      </c>
      <c r="W30" s="15" t="n"/>
      <c r="X30" s="15" t="n"/>
    </row>
    <row r="31">
      <c r="A31" s="147" t="inlineStr">
        <is>
          <t>TVS</t>
        </is>
      </c>
      <c r="B31" s="147" t="inlineStr">
        <is>
          <t>RUCHA,METALMAN</t>
        </is>
      </c>
      <c r="C31" s="153" t="inlineStr">
        <is>
          <t>ERW1</t>
        </is>
      </c>
      <c r="D31" s="147" t="inlineStr">
        <is>
          <t>FIN CUT</t>
        </is>
      </c>
      <c r="E31" s="147" t="inlineStr">
        <is>
          <t>ERW</t>
        </is>
      </c>
      <c r="F31" s="148" t="n">
        <v>28.6</v>
      </c>
      <c r="G31" s="148" t="n"/>
      <c r="H31" s="148" t="n">
        <v>1.2</v>
      </c>
      <c r="I31" s="147" t="n">
        <v>6000</v>
      </c>
      <c r="J31" s="147" t="n">
        <v>6</v>
      </c>
      <c r="K31" s="147" t="inlineStr">
        <is>
          <t>28.61.26ERW</t>
        </is>
      </c>
      <c r="L31" s="149" t="n"/>
      <c r="M31" s="150" t="n">
        <v>3702101</v>
      </c>
      <c r="N31" s="19" t="n">
        <v>0</v>
      </c>
      <c r="O31" s="147" t="n">
        <v>0</v>
      </c>
      <c r="P31" s="147" t="n">
        <v>2.3</v>
      </c>
      <c r="Q31" s="147" t="n">
        <v>0</v>
      </c>
      <c r="R31" s="147">
        <f>P31-O31</f>
        <v/>
      </c>
      <c r="S31" s="147" t="n">
        <v>0</v>
      </c>
      <c r="T31" s="147">
        <f>R31+S31</f>
        <v/>
      </c>
      <c r="U31" s="19">
        <f>N31-T31</f>
        <v/>
      </c>
      <c r="V31" s="167">
        <f>IF(U31&gt;0,U31,0)*150%</f>
        <v/>
      </c>
      <c r="W31" s="15" t="n"/>
      <c r="X31" s="15" t="n"/>
    </row>
    <row r="32">
      <c r="A32" s="147" t="inlineStr">
        <is>
          <t>TVS</t>
        </is>
      </c>
      <c r="B32" s="147" t="inlineStr">
        <is>
          <t>RUCHA</t>
        </is>
      </c>
      <c r="C32" s="159" t="inlineStr">
        <is>
          <t>CEW1</t>
        </is>
      </c>
      <c r="D32" s="147" t="inlineStr">
        <is>
          <t>FIN CUT</t>
        </is>
      </c>
      <c r="E32" s="147" t="inlineStr">
        <is>
          <t>CEW</t>
        </is>
      </c>
      <c r="F32" s="168" t="n">
        <v>28.6</v>
      </c>
      <c r="G32" s="168" t="n"/>
      <c r="H32" s="168" t="n">
        <v>2.65</v>
      </c>
      <c r="I32" s="169" t="n">
        <v>6000</v>
      </c>
      <c r="J32" s="147" t="n">
        <v>6</v>
      </c>
      <c r="K32" s="147" t="inlineStr">
        <is>
          <t>28.62.656CEW</t>
        </is>
      </c>
      <c r="L32" s="151" t="inlineStr">
        <is>
          <t>0788</t>
        </is>
      </c>
      <c r="M32" s="150" t="n">
        <v>2410388</v>
      </c>
      <c r="N32" s="19" t="n">
        <v>10</v>
      </c>
      <c r="O32" s="147" t="n">
        <v>0</v>
      </c>
      <c r="P32" s="147" t="n">
        <v>9.800000000000001</v>
      </c>
      <c r="Q32" s="147" t="n">
        <v>0</v>
      </c>
      <c r="R32" s="147">
        <f>P32-O32</f>
        <v/>
      </c>
      <c r="S32" s="147" t="n">
        <v>0</v>
      </c>
      <c r="T32" s="147">
        <f>R32+S32</f>
        <v/>
      </c>
      <c r="U32" s="19">
        <f>N32-T32</f>
        <v/>
      </c>
      <c r="V32" s="167">
        <f>IF(U32&gt;0,U32,0)*150%</f>
        <v/>
      </c>
      <c r="W32" s="15" t="n"/>
      <c r="X32" s="15" t="n"/>
    </row>
    <row r="33">
      <c r="A33" s="147" t="inlineStr">
        <is>
          <t>TVS</t>
        </is>
      </c>
      <c r="B33" s="147" t="inlineStr">
        <is>
          <t>RUCHA,METALMAN</t>
        </is>
      </c>
      <c r="C33" s="153" t="inlineStr">
        <is>
          <t>ERW1</t>
        </is>
      </c>
      <c r="D33" s="147" t="inlineStr">
        <is>
          <t>FIN CUT</t>
        </is>
      </c>
      <c r="E33" s="147" t="inlineStr">
        <is>
          <t>ERW</t>
        </is>
      </c>
      <c r="F33" s="148" t="n">
        <v>31.75</v>
      </c>
      <c r="G33" s="148" t="n"/>
      <c r="H33" s="148" t="n">
        <v>1.2</v>
      </c>
      <c r="I33" s="147" t="n">
        <v>6000</v>
      </c>
      <c r="J33" s="147" t="n">
        <v>6</v>
      </c>
      <c r="K33" s="147" t="inlineStr">
        <is>
          <t>31.751.26ERW</t>
        </is>
      </c>
      <c r="L33" s="151" t="inlineStr">
        <is>
          <t>056</t>
        </is>
      </c>
      <c r="M33" s="150" t="n">
        <v>3884381</v>
      </c>
      <c r="N33" s="19" t="n">
        <v>0</v>
      </c>
      <c r="O33" s="147" t="n">
        <v>0</v>
      </c>
      <c r="P33" s="147" t="n">
        <v>29.1</v>
      </c>
      <c r="Q33" s="147" t="n">
        <v>2</v>
      </c>
      <c r="R33" s="147">
        <f>P33-O33</f>
        <v/>
      </c>
      <c r="S33" s="147" t="n">
        <v>1.2</v>
      </c>
      <c r="T33" s="147">
        <f>R33+S33</f>
        <v/>
      </c>
      <c r="U33" s="19">
        <f>N33-T33</f>
        <v/>
      </c>
      <c r="V33" s="167">
        <f>IF(U33&gt;0,U33,0)*150%</f>
        <v/>
      </c>
      <c r="W33" s="15" t="n"/>
      <c r="X33" s="15" t="n"/>
    </row>
    <row r="34">
      <c r="A34" s="147" t="inlineStr">
        <is>
          <t>TVS</t>
        </is>
      </c>
      <c r="B34" s="147" t="inlineStr">
        <is>
          <t>RUCHA,METALMAN</t>
        </is>
      </c>
      <c r="C34" s="153" t="inlineStr">
        <is>
          <t>ERW1</t>
        </is>
      </c>
      <c r="D34" s="147" t="inlineStr">
        <is>
          <t>FIN CUT</t>
        </is>
      </c>
      <c r="E34" s="147" t="inlineStr">
        <is>
          <t>ERW</t>
        </is>
      </c>
      <c r="F34" s="148" t="n">
        <v>31.75</v>
      </c>
      <c r="G34" s="148" t="n"/>
      <c r="H34" s="148" t="n">
        <v>2</v>
      </c>
      <c r="I34" s="147" t="n">
        <v>6000</v>
      </c>
      <c r="J34" s="147" t="n">
        <v>6</v>
      </c>
      <c r="K34" s="147" t="n"/>
      <c r="L34" s="151" t="n"/>
      <c r="M34" s="150" t="n"/>
      <c r="N34" s="19" t="n">
        <v>0</v>
      </c>
      <c r="O34" s="147" t="n">
        <v>1</v>
      </c>
      <c r="P34" s="147" t="n">
        <v>10.4</v>
      </c>
      <c r="Q34" s="147" t="n">
        <v>1.5</v>
      </c>
      <c r="R34" s="147">
        <f>P34-O34</f>
        <v/>
      </c>
      <c r="S34" s="147" t="n">
        <v>0</v>
      </c>
      <c r="T34" s="147">
        <f>R34+S34</f>
        <v/>
      </c>
      <c r="U34" s="19">
        <f>N34-T34</f>
        <v/>
      </c>
      <c r="V34" s="167">
        <f>IF(U34&gt;0,U34,0)*150%</f>
        <v/>
      </c>
      <c r="W34" s="15" t="n"/>
      <c r="X34" s="15" t="n"/>
    </row>
    <row r="35">
      <c r="A35" s="147" t="inlineStr">
        <is>
          <t>RE</t>
        </is>
      </c>
      <c r="B35" s="147" t="inlineStr">
        <is>
          <t>BELRISE</t>
        </is>
      </c>
      <c r="C35" s="153" t="inlineStr">
        <is>
          <t>ERW1</t>
        </is>
      </c>
      <c r="D35" s="147" t="inlineStr">
        <is>
          <t>FIN CUT</t>
        </is>
      </c>
      <c r="E35" s="147" t="inlineStr">
        <is>
          <t>ERW</t>
        </is>
      </c>
      <c r="F35" s="148" t="n">
        <v>31.75</v>
      </c>
      <c r="G35" s="148" t="n"/>
      <c r="H35" s="148" t="n">
        <v>2.3</v>
      </c>
      <c r="I35" s="147" t="n">
        <v>5920</v>
      </c>
      <c r="J35" s="147" t="n"/>
      <c r="K35" s="147" t="n"/>
      <c r="L35" s="149" t="n"/>
      <c r="M35" s="150" t="n"/>
      <c r="N35" s="19" t="n">
        <v>15</v>
      </c>
      <c r="O35" s="147" t="n">
        <v>2</v>
      </c>
      <c r="P35" s="147" t="n">
        <v>7</v>
      </c>
      <c r="Q35" s="147" t="n">
        <v>0</v>
      </c>
      <c r="R35" s="147">
        <f>P35-O35</f>
        <v/>
      </c>
      <c r="S35" s="147" t="n">
        <v>0</v>
      </c>
      <c r="T35" s="147">
        <f>R35+S35</f>
        <v/>
      </c>
      <c r="U35" s="19">
        <f>N35-T35</f>
        <v/>
      </c>
      <c r="V35" s="167">
        <f>IF(U35&gt;0,U35,0)*150%</f>
        <v/>
      </c>
      <c r="W35" s="15" t="n"/>
      <c r="X35" s="15" t="n"/>
    </row>
    <row r="36">
      <c r="A36" s="147" t="n">
        <v>0</v>
      </c>
      <c r="B36" s="147" t="inlineStr">
        <is>
          <t>RUCHA,METALMAN</t>
        </is>
      </c>
      <c r="C36" s="153" t="inlineStr">
        <is>
          <t>ERW1</t>
        </is>
      </c>
      <c r="D36" s="147" t="inlineStr">
        <is>
          <t>FIN CUT</t>
        </is>
      </c>
      <c r="E36" s="147" t="inlineStr">
        <is>
          <t>ERW</t>
        </is>
      </c>
      <c r="F36" s="148" t="n">
        <v>34.93</v>
      </c>
      <c r="G36" s="148" t="n"/>
      <c r="H36" s="148" t="n">
        <v>1.2</v>
      </c>
      <c r="I36" s="147" t="n">
        <v>6000</v>
      </c>
      <c r="J36" s="147" t="n">
        <v>6</v>
      </c>
      <c r="K36" s="147" t="inlineStr">
        <is>
          <t>34.931.26ERW</t>
        </is>
      </c>
      <c r="L36" s="149" t="n"/>
      <c r="M36" s="150" t="n">
        <v>1940701</v>
      </c>
      <c r="N36" s="19" t="n">
        <v>0</v>
      </c>
      <c r="O36" s="147" t="n">
        <v>3</v>
      </c>
      <c r="P36" s="147" t="n">
        <v>60</v>
      </c>
      <c r="Q36" s="147" t="n">
        <v>30</v>
      </c>
      <c r="R36" s="147">
        <f>P36-O36</f>
        <v/>
      </c>
      <c r="S36" s="147" t="n">
        <v>47</v>
      </c>
      <c r="T36" s="147">
        <f>R36+S36</f>
        <v/>
      </c>
      <c r="U36" s="19">
        <f>N36-T36</f>
        <v/>
      </c>
      <c r="V36" s="167">
        <f>IF(U36&gt;0,U36,0)*150%</f>
        <v/>
      </c>
      <c r="W36" s="15" t="n"/>
      <c r="X36" s="15" t="n"/>
    </row>
    <row r="37">
      <c r="A37" s="147" t="inlineStr">
        <is>
          <t>RE</t>
        </is>
      </c>
      <c r="B37" s="147" t="inlineStr">
        <is>
          <t>BELRISE</t>
        </is>
      </c>
      <c r="C37" s="153" t="inlineStr">
        <is>
          <t>ERW1</t>
        </is>
      </c>
      <c r="D37" s="147" t="inlineStr">
        <is>
          <t>FIN CUT</t>
        </is>
      </c>
      <c r="E37" s="147" t="inlineStr">
        <is>
          <t>ERW</t>
        </is>
      </c>
      <c r="F37" s="148" t="n">
        <v>34.93</v>
      </c>
      <c r="G37" s="148" t="n"/>
      <c r="H37" s="148" t="n">
        <v>1.2</v>
      </c>
      <c r="I37" s="147" t="n">
        <v>780</v>
      </c>
      <c r="J37" s="147" t="n">
        <v>0.62</v>
      </c>
      <c r="K37" s="147" t="n"/>
      <c r="L37" s="151" t="inlineStr">
        <is>
          <t>0789</t>
        </is>
      </c>
      <c r="M37" s="150" t="n">
        <v>2397073</v>
      </c>
      <c r="N37" s="19" t="n">
        <v>10</v>
      </c>
      <c r="O37" s="147" t="n">
        <v>0</v>
      </c>
      <c r="P37" s="147" t="n">
        <v>0</v>
      </c>
      <c r="Q37" s="147" t="n">
        <v>0</v>
      </c>
      <c r="R37" s="147">
        <f>P37-O37</f>
        <v/>
      </c>
      <c r="S37" s="147" t="n">
        <v>0</v>
      </c>
      <c r="T37" s="147">
        <f>R37+S37</f>
        <v/>
      </c>
      <c r="U37" s="19">
        <f>N37-T37</f>
        <v/>
      </c>
      <c r="V37" s="167">
        <f>IF(U37&gt;0,U37,0)*150%</f>
        <v/>
      </c>
      <c r="W37" s="15" t="n"/>
      <c r="X37" s="15" t="n"/>
    </row>
    <row r="38">
      <c r="A38" s="147" t="inlineStr">
        <is>
          <t>RE</t>
        </is>
      </c>
      <c r="B38" s="147" t="inlineStr">
        <is>
          <t>RAJSRIYA</t>
        </is>
      </c>
      <c r="C38" s="153" t="inlineStr">
        <is>
          <t>ERW1</t>
        </is>
      </c>
      <c r="D38" s="147" t="inlineStr">
        <is>
          <t>FIN CUT</t>
        </is>
      </c>
      <c r="E38" s="147" t="inlineStr">
        <is>
          <t>ERW</t>
        </is>
      </c>
      <c r="F38" s="148" t="n">
        <v>34.93</v>
      </c>
      <c r="G38" s="148" t="n"/>
      <c r="H38" s="148" t="n">
        <v>1.2</v>
      </c>
      <c r="I38" s="147" t="n">
        <v>650</v>
      </c>
      <c r="J38" s="147" t="n">
        <v>0.7</v>
      </c>
      <c r="K38" s="147" t="n"/>
      <c r="L38" s="151" t="inlineStr">
        <is>
          <t>0789</t>
        </is>
      </c>
      <c r="M38" s="150" t="n">
        <v>3649699</v>
      </c>
      <c r="N38" s="19" t="n">
        <v>10</v>
      </c>
      <c r="O38" s="147" t="n">
        <v>0</v>
      </c>
      <c r="P38" s="147" t="n">
        <v>0</v>
      </c>
      <c r="Q38" s="147" t="n">
        <v>0</v>
      </c>
      <c r="R38" s="147">
        <f>P38-O38</f>
        <v/>
      </c>
      <c r="S38" s="147" t="n">
        <v>0</v>
      </c>
      <c r="T38" s="147">
        <f>R38+S38</f>
        <v/>
      </c>
      <c r="U38" s="19">
        <f>N38-T38</f>
        <v/>
      </c>
      <c r="V38" s="167">
        <f>IF(U38&gt;0,U38,0)*150%</f>
        <v/>
      </c>
      <c r="W38" s="15" t="n"/>
      <c r="X38" s="15" t="n"/>
    </row>
    <row r="39">
      <c r="A39" s="147" t="inlineStr">
        <is>
          <t>HMSI</t>
        </is>
      </c>
      <c r="B39" s="147" t="inlineStr">
        <is>
          <t>BADVE</t>
        </is>
      </c>
      <c r="C39" s="155" t="inlineStr">
        <is>
          <t>ERW2</t>
        </is>
      </c>
      <c r="D39" s="147" t="inlineStr">
        <is>
          <t>FIN CUT</t>
        </is>
      </c>
      <c r="E39" s="147" t="inlineStr">
        <is>
          <t>ERW</t>
        </is>
      </c>
      <c r="F39" s="154" t="n">
        <v>34</v>
      </c>
      <c r="G39" s="154" t="n"/>
      <c r="H39" s="154" t="n">
        <v>1.4</v>
      </c>
      <c r="I39" s="155" t="n">
        <v>5660</v>
      </c>
      <c r="J39" s="147" t="n">
        <v>5.66</v>
      </c>
      <c r="K39" s="147" t="inlineStr">
        <is>
          <t>341.45.66ERW</t>
        </is>
      </c>
      <c r="L39" s="151" t="inlineStr">
        <is>
          <t>0788</t>
        </is>
      </c>
      <c r="M39" s="150" t="n">
        <v>3702855</v>
      </c>
      <c r="N39" s="19" t="n">
        <v>5</v>
      </c>
      <c r="O39" s="147" t="n">
        <v>0</v>
      </c>
      <c r="P39" s="147" t="n">
        <v>0</v>
      </c>
      <c r="Q39" s="147" t="n">
        <v>0</v>
      </c>
      <c r="R39" s="147">
        <f>P39-O39</f>
        <v/>
      </c>
      <c r="S39" s="147" t="n">
        <v>7.5</v>
      </c>
      <c r="T39" s="147">
        <f>R39+S39</f>
        <v/>
      </c>
      <c r="U39" s="19">
        <f>N39-T39</f>
        <v/>
      </c>
      <c r="V39" s="167">
        <f>IF(U39&gt;0,U39,0)*150%</f>
        <v/>
      </c>
      <c r="W39" s="15" t="n"/>
      <c r="X39" s="15" t="n"/>
    </row>
    <row r="40">
      <c r="A40" s="147" t="inlineStr">
        <is>
          <t>TVS</t>
        </is>
      </c>
      <c r="B40" s="147" t="inlineStr">
        <is>
          <t>RUCHA,METALMAN</t>
        </is>
      </c>
      <c r="C40" s="153" t="inlineStr">
        <is>
          <t>ERW370</t>
        </is>
      </c>
      <c r="D40" s="147" t="inlineStr">
        <is>
          <t>FIN CUT</t>
        </is>
      </c>
      <c r="E40" s="147" t="inlineStr">
        <is>
          <t>HST</t>
        </is>
      </c>
      <c r="F40" s="148" t="n">
        <v>38.1</v>
      </c>
      <c r="G40" s="148" t="n"/>
      <c r="H40" s="148" t="n">
        <v>1.6</v>
      </c>
      <c r="I40" s="147" t="n">
        <v>6190</v>
      </c>
      <c r="J40" s="147" t="n">
        <v>6.19</v>
      </c>
      <c r="K40" s="147" t="inlineStr">
        <is>
          <t>38.11.66.19HST</t>
        </is>
      </c>
      <c r="L40" s="151" t="inlineStr">
        <is>
          <t>056</t>
        </is>
      </c>
      <c r="M40" s="150" t="n">
        <v>3502254</v>
      </c>
      <c r="N40" s="19" t="n">
        <v>30</v>
      </c>
      <c r="O40" s="147" t="n">
        <v>10</v>
      </c>
      <c r="P40" s="147" t="n">
        <v>59</v>
      </c>
      <c r="Q40" s="147" t="n">
        <v>0</v>
      </c>
      <c r="R40" s="147">
        <f>P40-O40</f>
        <v/>
      </c>
      <c r="S40" s="147" t="n">
        <v>0</v>
      </c>
      <c r="T40" s="147">
        <f>R40+S40</f>
        <v/>
      </c>
      <c r="U40" s="19">
        <f>N40-T40</f>
        <v/>
      </c>
      <c r="V40" s="167">
        <f>IF(U40&gt;0,U40,0)*150%</f>
        <v/>
      </c>
      <c r="W40" s="15" t="n"/>
      <c r="X40" s="15" t="n"/>
    </row>
    <row r="41">
      <c r="A41" s="147" t="inlineStr">
        <is>
          <t>TVS</t>
        </is>
      </c>
      <c r="B41" s="147" t="inlineStr">
        <is>
          <t>RUCHA,METALMAN</t>
        </is>
      </c>
      <c r="C41" s="153" t="inlineStr">
        <is>
          <t>ERW1</t>
        </is>
      </c>
      <c r="D41" s="147" t="inlineStr">
        <is>
          <t>FIN CUT</t>
        </is>
      </c>
      <c r="E41" s="147" t="inlineStr">
        <is>
          <t>ERW</t>
        </is>
      </c>
      <c r="F41" s="148" t="n">
        <v>38.1</v>
      </c>
      <c r="G41" s="148" t="n"/>
      <c r="H41" s="148" t="n">
        <v>2</v>
      </c>
      <c r="I41" s="147" t="n">
        <v>5650</v>
      </c>
      <c r="J41" s="147" t="n">
        <v>5.65</v>
      </c>
      <c r="K41" s="147" t="inlineStr">
        <is>
          <t>38.125.65ERW</t>
        </is>
      </c>
      <c r="L41" s="151" t="inlineStr">
        <is>
          <t>056</t>
        </is>
      </c>
      <c r="M41" s="150" t="n">
        <v>3500959</v>
      </c>
      <c r="N41" s="19" t="n">
        <v>20</v>
      </c>
      <c r="O41" s="147" t="n">
        <v>5</v>
      </c>
      <c r="P41" s="147" t="n">
        <v>35</v>
      </c>
      <c r="Q41" s="147" t="n">
        <v>0</v>
      </c>
      <c r="R41" s="147">
        <f>P41-O41</f>
        <v/>
      </c>
      <c r="S41" s="147" t="n">
        <v>0</v>
      </c>
      <c r="T41" s="147">
        <f>R41+S41</f>
        <v/>
      </c>
      <c r="U41" s="19">
        <f>N41-T41</f>
        <v/>
      </c>
      <c r="V41" s="167">
        <f>IF(U41&gt;0,U41,0)*150%</f>
        <v/>
      </c>
      <c r="W41" s="15" t="n"/>
      <c r="X41" s="15" t="n"/>
    </row>
    <row r="42">
      <c r="A42" s="147" t="inlineStr">
        <is>
          <t>TVS</t>
        </is>
      </c>
      <c r="B42" s="147" t="inlineStr">
        <is>
          <t>RUCHA,METALMAN</t>
        </is>
      </c>
      <c r="C42" s="153" t="inlineStr">
        <is>
          <t>ERW2</t>
        </is>
      </c>
      <c r="D42" s="147" t="inlineStr">
        <is>
          <t>FIN CUT</t>
        </is>
      </c>
      <c r="E42" s="147" t="inlineStr">
        <is>
          <t>HST</t>
        </is>
      </c>
      <c r="F42" s="148" t="n">
        <v>38.1</v>
      </c>
      <c r="G42" s="148" t="n"/>
      <c r="H42" s="148" t="n">
        <v>2.5</v>
      </c>
      <c r="I42" s="147" t="n">
        <v>6190</v>
      </c>
      <c r="J42" s="147" t="n">
        <v>6.19</v>
      </c>
      <c r="K42" s="147" t="inlineStr">
        <is>
          <t>38.12.56.19HST</t>
        </is>
      </c>
      <c r="L42" s="151" t="inlineStr">
        <is>
          <t>056</t>
        </is>
      </c>
      <c r="M42" s="150" t="n">
        <v>3502007</v>
      </c>
      <c r="N42" s="19" t="n">
        <v>35</v>
      </c>
      <c r="O42" s="147" t="n">
        <v>10</v>
      </c>
      <c r="P42" s="147" t="n">
        <v>64</v>
      </c>
      <c r="Q42" s="147" t="n">
        <v>0</v>
      </c>
      <c r="R42" s="147">
        <f>P42-O42</f>
        <v/>
      </c>
      <c r="S42" s="147" t="n">
        <v>16</v>
      </c>
      <c r="T42" s="147">
        <f>R42+S42</f>
        <v/>
      </c>
      <c r="U42" s="19">
        <f>N42-T42</f>
        <v/>
      </c>
      <c r="V42" s="167">
        <f>IF(U42&gt;0,U42,0)*150%</f>
        <v/>
      </c>
      <c r="W42" s="15" t="n"/>
      <c r="X42" s="15" t="n"/>
    </row>
    <row r="43" customFormat="1" s="45">
      <c r="A43" s="156" t="inlineStr">
        <is>
          <t>RE</t>
        </is>
      </c>
      <c r="B43" s="156" t="inlineStr">
        <is>
          <t>BELRISE</t>
        </is>
      </c>
      <c r="C43" s="157" t="inlineStr">
        <is>
          <t>ERW2</t>
        </is>
      </c>
      <c r="D43" s="156" t="inlineStr">
        <is>
          <t>FIN CUT</t>
        </is>
      </c>
      <c r="E43" s="156" t="inlineStr">
        <is>
          <t>ERW -2</t>
        </is>
      </c>
      <c r="F43" s="248" t="n">
        <v>38.1</v>
      </c>
      <c r="G43" s="248" t="n"/>
      <c r="H43" s="248" t="n">
        <v>3.2</v>
      </c>
      <c r="I43" s="156" t="n">
        <v>6000</v>
      </c>
      <c r="J43" s="156" t="n">
        <v>6</v>
      </c>
      <c r="K43" s="156" t="n"/>
      <c r="L43" s="201" t="n"/>
      <c r="M43" s="245" t="n"/>
      <c r="N43" s="246" t="n">
        <v>10</v>
      </c>
      <c r="O43" s="147" t="n">
        <v>0</v>
      </c>
      <c r="P43" s="147" t="n">
        <v>1.9</v>
      </c>
      <c r="Q43" s="147" t="n">
        <v>0</v>
      </c>
      <c r="R43" s="156">
        <f>P43-O43</f>
        <v/>
      </c>
      <c r="S43" s="147" t="n">
        <v>15</v>
      </c>
      <c r="T43" s="147">
        <f>R43+S43</f>
        <v/>
      </c>
      <c r="U43" s="246">
        <f>N43-T43</f>
        <v/>
      </c>
      <c r="V43" s="167">
        <f>IF(U43&gt;0,U43,0)*150%</f>
        <v/>
      </c>
      <c r="W43" s="80" t="inlineStr">
        <is>
          <t>khopoli</t>
        </is>
      </c>
      <c r="X43" s="80" t="n"/>
    </row>
    <row r="44" customFormat="1" s="386">
      <c r="A44" s="147" t="inlineStr">
        <is>
          <t>TVS</t>
        </is>
      </c>
      <c r="B44" s="147" t="inlineStr">
        <is>
          <t>RUCHA</t>
        </is>
      </c>
      <c r="C44" s="147" t="inlineStr">
        <is>
          <t>ERW1</t>
        </is>
      </c>
      <c r="D44" s="147" t="inlineStr">
        <is>
          <t>FIN CUT</t>
        </is>
      </c>
      <c r="E44" s="147" t="inlineStr">
        <is>
          <t>ERW</t>
        </is>
      </c>
      <c r="F44" s="148" t="n">
        <v>41.28</v>
      </c>
      <c r="G44" s="148" t="n"/>
      <c r="H44" s="148" t="n">
        <v>2.6</v>
      </c>
      <c r="I44" s="147" t="n">
        <v>6000</v>
      </c>
      <c r="J44" s="147" t="n">
        <v>6</v>
      </c>
      <c r="K44" s="147" t="inlineStr">
        <is>
          <t>41.282.66.08ERW</t>
        </is>
      </c>
      <c r="L44" s="151" t="inlineStr">
        <is>
          <t>0789</t>
        </is>
      </c>
      <c r="M44" s="150" t="n">
        <v>3994149</v>
      </c>
      <c r="N44" s="19" t="n">
        <v>35</v>
      </c>
      <c r="O44" s="147" t="n">
        <v>0</v>
      </c>
      <c r="P44" s="147" t="n">
        <v>0</v>
      </c>
      <c r="Q44" s="147" t="n">
        <v>18</v>
      </c>
      <c r="R44" s="147">
        <f>P44-O44</f>
        <v/>
      </c>
      <c r="S44" s="147" t="n">
        <v>13</v>
      </c>
      <c r="T44" s="147">
        <f>R44+S44</f>
        <v/>
      </c>
      <c r="U44" s="19">
        <f>N44-T44</f>
        <v/>
      </c>
      <c r="V44" s="167">
        <f>IF(U44&gt;0,U44,0)*150%</f>
        <v/>
      </c>
      <c r="W44" s="526" t="n"/>
      <c r="X44" s="526" t="n"/>
    </row>
    <row r="45">
      <c r="A45" s="147" t="inlineStr">
        <is>
          <t>TVS</t>
        </is>
      </c>
      <c r="B45" s="147" t="inlineStr">
        <is>
          <t>RUCHA</t>
        </is>
      </c>
      <c r="C45" s="159" t="inlineStr">
        <is>
          <t>ERW1</t>
        </is>
      </c>
      <c r="D45" s="147" t="inlineStr">
        <is>
          <t>FIN CUT</t>
        </is>
      </c>
      <c r="E45" s="147" t="inlineStr">
        <is>
          <t>ERW</t>
        </is>
      </c>
      <c r="F45" s="168" t="inlineStr">
        <is>
          <t>40x25</t>
        </is>
      </c>
      <c r="G45" s="168" t="n"/>
      <c r="H45" s="168" t="n">
        <v>1.6</v>
      </c>
      <c r="I45" s="169" t="n">
        <v>5900</v>
      </c>
      <c r="J45" s="147" t="n">
        <v>6.13</v>
      </c>
      <c r="K45" s="147" t="n"/>
      <c r="L45" s="151" t="inlineStr">
        <is>
          <t>0789</t>
        </is>
      </c>
      <c r="M45" s="150" t="n"/>
      <c r="N45" s="19" t="n">
        <v>0</v>
      </c>
      <c r="O45" s="147" t="n">
        <v>0</v>
      </c>
      <c r="P45" s="147" t="n">
        <v>7.8</v>
      </c>
      <c r="Q45" s="147" t="n">
        <v>0</v>
      </c>
      <c r="R45" s="147">
        <f>P45-O45</f>
        <v/>
      </c>
      <c r="S45" s="147" t="n">
        <v>0</v>
      </c>
      <c r="T45" s="147">
        <f>R45+S45</f>
        <v/>
      </c>
      <c r="U45" s="19">
        <f>N45-T45</f>
        <v/>
      </c>
      <c r="V45" s="167">
        <f>IF(U45&gt;0,U45,0)*150%</f>
        <v/>
      </c>
      <c r="W45" s="15" t="n"/>
      <c r="X45" s="15" t="n"/>
    </row>
    <row r="46">
      <c r="A46" s="147" t="inlineStr">
        <is>
          <t>HMSI</t>
        </is>
      </c>
      <c r="B46" s="147" t="inlineStr">
        <is>
          <t>BADVE</t>
        </is>
      </c>
      <c r="C46" s="153" t="inlineStr">
        <is>
          <t>ERW1</t>
        </is>
      </c>
      <c r="D46" s="147" t="inlineStr">
        <is>
          <t>FIN CUT</t>
        </is>
      </c>
      <c r="E46" s="147" t="inlineStr">
        <is>
          <t>ERW</t>
        </is>
      </c>
      <c r="F46" s="148" t="n">
        <v>41.28</v>
      </c>
      <c r="G46" s="148" t="n"/>
      <c r="H46" s="148" t="n">
        <v>3.15</v>
      </c>
      <c r="I46" s="147" t="n">
        <v>5860</v>
      </c>
      <c r="J46" s="147" t="n">
        <v>5.86</v>
      </c>
      <c r="K46" s="147" t="inlineStr">
        <is>
          <t>41.283.155.86ERW</t>
        </is>
      </c>
      <c r="L46" s="149" t="n"/>
      <c r="M46" s="150" t="n">
        <v>3673889</v>
      </c>
      <c r="N46" s="19" t="n">
        <v>30</v>
      </c>
      <c r="O46" s="147" t="n">
        <v>8</v>
      </c>
      <c r="P46" s="147" t="n">
        <v>58</v>
      </c>
      <c r="Q46" s="147" t="n">
        <v>0</v>
      </c>
      <c r="R46" s="147">
        <f>P46-O46</f>
        <v/>
      </c>
      <c r="S46" s="147" t="n">
        <v>18.5</v>
      </c>
      <c r="T46" s="147">
        <f>R46+S46</f>
        <v/>
      </c>
      <c r="U46" s="19">
        <f>N46-T46</f>
        <v/>
      </c>
      <c r="V46" s="167">
        <f>IF(U46&gt;0,U46,0)*150%</f>
        <v/>
      </c>
      <c r="W46" s="15" t="n"/>
      <c r="X46" s="15" t="n"/>
    </row>
    <row r="47">
      <c r="A47" s="147" t="inlineStr">
        <is>
          <t>TVS</t>
        </is>
      </c>
      <c r="B47" s="147" t="inlineStr">
        <is>
          <t>RUCHA,METALMAN</t>
        </is>
      </c>
      <c r="C47" s="153" t="inlineStr">
        <is>
          <t>ERW AN</t>
        </is>
      </c>
      <c r="D47" s="147" t="inlineStr">
        <is>
          <t>FIN CUT</t>
        </is>
      </c>
      <c r="E47" s="147" t="inlineStr">
        <is>
          <t>ERW</t>
        </is>
      </c>
      <c r="F47" s="148" t="n">
        <v>42.7</v>
      </c>
      <c r="G47" s="148" t="n"/>
      <c r="H47" s="148" t="n">
        <v>3.5</v>
      </c>
      <c r="I47" s="147" t="n">
        <v>6000</v>
      </c>
      <c r="J47" s="147" t="n">
        <v>6</v>
      </c>
      <c r="K47" s="147" t="inlineStr">
        <is>
          <t>42.73.56ERW</t>
        </is>
      </c>
      <c r="L47" s="151" t="inlineStr">
        <is>
          <t>0788</t>
        </is>
      </c>
      <c r="M47" s="150" t="n">
        <v>2396465</v>
      </c>
      <c r="N47" s="19" t="n">
        <v>0</v>
      </c>
      <c r="O47" s="147" t="n">
        <v>0</v>
      </c>
      <c r="P47" s="147" t="n">
        <v>17</v>
      </c>
      <c r="Q47" s="147" t="n">
        <v>0</v>
      </c>
      <c r="R47" s="147">
        <f>P47-O47</f>
        <v/>
      </c>
      <c r="S47" s="147" t="n">
        <v>0</v>
      </c>
      <c r="T47" s="147">
        <f>R47+S47</f>
        <v/>
      </c>
      <c r="U47" s="19">
        <f>N47-T47</f>
        <v/>
      </c>
      <c r="V47" s="167">
        <f>IF(U47&gt;0,U47,0)*150%</f>
        <v/>
      </c>
      <c r="W47" s="15" t="n"/>
      <c r="X47" s="15" t="n"/>
    </row>
    <row r="48">
      <c r="A48" s="147" t="inlineStr">
        <is>
          <t>TVS</t>
        </is>
      </c>
      <c r="B48" s="147" t="inlineStr">
        <is>
          <t>RUCHA,METALMAN</t>
        </is>
      </c>
      <c r="C48" s="153" t="inlineStr">
        <is>
          <t>ERW AN</t>
        </is>
      </c>
      <c r="D48" s="147" t="inlineStr">
        <is>
          <t>FIN CUT</t>
        </is>
      </c>
      <c r="E48" s="147" t="inlineStr">
        <is>
          <t>ERW</t>
        </is>
      </c>
      <c r="F48" s="148" t="n">
        <v>42.7</v>
      </c>
      <c r="G48" s="148" t="n"/>
      <c r="H48" s="148" t="n">
        <v>4</v>
      </c>
      <c r="I48" s="147" t="n">
        <v>6000</v>
      </c>
      <c r="J48" s="147" t="n">
        <v>6</v>
      </c>
      <c r="K48" s="147" t="inlineStr">
        <is>
          <t>42.746ERW</t>
        </is>
      </c>
      <c r="L48" s="149" t="n"/>
      <c r="M48" s="150" t="n">
        <v>3501985</v>
      </c>
      <c r="N48" s="19" t="n">
        <v>30</v>
      </c>
      <c r="O48" s="147" t="n">
        <v>0</v>
      </c>
      <c r="P48" s="147" t="n">
        <v>0</v>
      </c>
      <c r="Q48" s="147" t="n">
        <v>0</v>
      </c>
      <c r="R48" s="147">
        <f>P48-O48</f>
        <v/>
      </c>
      <c r="S48" s="147" t="n">
        <v>0</v>
      </c>
      <c r="T48" s="147">
        <f>R48+S48</f>
        <v/>
      </c>
      <c r="U48" s="19">
        <f>N48-T48</f>
        <v/>
      </c>
      <c r="V48" s="167">
        <f>IF(U48&gt;0,U48,0)*150%</f>
        <v/>
      </c>
      <c r="W48" s="15" t="n"/>
      <c r="X48" s="15" t="n"/>
    </row>
    <row r="49">
      <c r="A49" s="147" t="inlineStr">
        <is>
          <t>TVS</t>
        </is>
      </c>
      <c r="B49" s="147" t="inlineStr">
        <is>
          <t>RUCHA,METALMAN</t>
        </is>
      </c>
      <c r="C49" s="155" t="inlineStr">
        <is>
          <t>ERW1</t>
        </is>
      </c>
      <c r="D49" s="147" t="inlineStr">
        <is>
          <t>FIN CUT</t>
        </is>
      </c>
      <c r="E49" s="147" t="inlineStr">
        <is>
          <t>ERW</t>
        </is>
      </c>
      <c r="F49" s="154" t="inlineStr">
        <is>
          <t>40x30</t>
        </is>
      </c>
      <c r="G49" s="154" t="n"/>
      <c r="H49" s="154" t="n">
        <v>1.6</v>
      </c>
      <c r="I49" s="155" t="n">
        <v>5900</v>
      </c>
      <c r="J49" s="147" t="n">
        <v>5.9</v>
      </c>
      <c r="K49" s="147" t="n"/>
      <c r="L49" s="151" t="inlineStr">
        <is>
          <t>0788</t>
        </is>
      </c>
      <c r="M49" s="150" t="n">
        <v>3836440</v>
      </c>
      <c r="N49" s="19" t="n">
        <v>10</v>
      </c>
      <c r="O49" s="147" t="n">
        <v>2</v>
      </c>
      <c r="P49" s="147" t="n">
        <v>3</v>
      </c>
      <c r="Q49" s="147" t="n">
        <v>0</v>
      </c>
      <c r="R49" s="147">
        <f>P49-O49</f>
        <v/>
      </c>
      <c r="S49" s="147" t="n">
        <v>0</v>
      </c>
      <c r="T49" s="147">
        <f>R49+S49</f>
        <v/>
      </c>
      <c r="U49" s="19">
        <f>N49-T49</f>
        <v/>
      </c>
      <c r="V49" s="167">
        <f>IF(U49&gt;0,U49,0)*150%</f>
        <v/>
      </c>
      <c r="W49" s="15" t="n"/>
      <c r="X49" s="15" t="n"/>
    </row>
    <row r="50">
      <c r="A50" s="147" t="inlineStr">
        <is>
          <t>HMSI</t>
        </is>
      </c>
      <c r="B50" s="147" t="inlineStr">
        <is>
          <t>BADVE</t>
        </is>
      </c>
      <c r="C50" s="153" t="inlineStr">
        <is>
          <t>ERW2</t>
        </is>
      </c>
      <c r="D50" s="147" t="inlineStr">
        <is>
          <t>FIN CUT</t>
        </is>
      </c>
      <c r="E50" s="147" t="inlineStr">
        <is>
          <t>HST</t>
        </is>
      </c>
      <c r="F50" s="148" t="n">
        <v>45</v>
      </c>
      <c r="G50" s="148" t="n"/>
      <c r="H50" s="148" t="n">
        <v>1.4</v>
      </c>
      <c r="I50" s="147" t="n">
        <v>6400</v>
      </c>
      <c r="J50" s="147" t="n">
        <v>6.42</v>
      </c>
      <c r="K50" s="147" t="inlineStr">
        <is>
          <t>451.46.42HST</t>
        </is>
      </c>
      <c r="L50" s="149" t="n"/>
      <c r="M50" s="150" t="n">
        <v>3502343</v>
      </c>
      <c r="N50" s="19" t="n">
        <v>0</v>
      </c>
      <c r="O50" s="147" t="n">
        <v>0</v>
      </c>
      <c r="P50" s="147" t="n">
        <v>46</v>
      </c>
      <c r="Q50" s="147" t="n">
        <v>0</v>
      </c>
      <c r="R50" s="147">
        <f>P50-O50</f>
        <v/>
      </c>
      <c r="S50" s="147" t="n">
        <v>0</v>
      </c>
      <c r="T50" s="147">
        <f>R50+S50</f>
        <v/>
      </c>
      <c r="U50" s="19">
        <f>N50-T50</f>
        <v/>
      </c>
      <c r="V50" s="167">
        <f>IF(U50&gt;0,U50,0)*150%</f>
        <v/>
      </c>
      <c r="W50" s="15" t="n"/>
      <c r="X50" s="15" t="n"/>
    </row>
    <row r="51">
      <c r="A51" s="147" t="inlineStr">
        <is>
          <t>HMSI</t>
        </is>
      </c>
      <c r="B51" s="147" t="inlineStr">
        <is>
          <t>BADVE</t>
        </is>
      </c>
      <c r="C51" s="153" t="inlineStr">
        <is>
          <t>ERW1</t>
        </is>
      </c>
      <c r="D51" s="147" t="inlineStr">
        <is>
          <t>FIN CUT</t>
        </is>
      </c>
      <c r="E51" s="147" t="inlineStr">
        <is>
          <t>ERW</t>
        </is>
      </c>
      <c r="F51" s="148" t="n">
        <v>45</v>
      </c>
      <c r="G51" s="148" t="n"/>
      <c r="H51" s="148" t="n">
        <v>1.4</v>
      </c>
      <c r="I51" s="147" t="n">
        <v>5700</v>
      </c>
      <c r="J51" s="147" t="n">
        <v>5.7</v>
      </c>
      <c r="K51" s="147" t="inlineStr">
        <is>
          <t>451.45.7ERW</t>
        </is>
      </c>
      <c r="L51" s="151" t="inlineStr">
        <is>
          <t>056</t>
        </is>
      </c>
      <c r="M51" s="150" t="n">
        <v>3545558</v>
      </c>
      <c r="N51" s="19" t="n">
        <v>0</v>
      </c>
      <c r="O51" s="147" t="n">
        <v>0</v>
      </c>
      <c r="P51" s="147" t="n">
        <v>8</v>
      </c>
      <c r="Q51" s="147" t="n">
        <v>0</v>
      </c>
      <c r="R51" s="147">
        <f>P51-O51</f>
        <v/>
      </c>
      <c r="S51" s="147" t="n">
        <v>0</v>
      </c>
      <c r="T51" s="147">
        <f>R51+S51</f>
        <v/>
      </c>
      <c r="U51" s="19">
        <f>N51-T51</f>
        <v/>
      </c>
      <c r="V51" s="167">
        <f>IF(U51&gt;0,U51,0)*150%</f>
        <v/>
      </c>
      <c r="W51" s="15" t="n"/>
      <c r="X51" s="15" t="n"/>
    </row>
    <row r="52">
      <c r="A52" s="147" t="inlineStr">
        <is>
          <t>HMSI</t>
        </is>
      </c>
      <c r="B52" s="147" t="inlineStr">
        <is>
          <t>BADVE</t>
        </is>
      </c>
      <c r="C52" s="153" t="inlineStr">
        <is>
          <t>ERW2</t>
        </is>
      </c>
      <c r="D52" s="147" t="inlineStr">
        <is>
          <t>FIN CUT</t>
        </is>
      </c>
      <c r="E52" s="147" t="inlineStr">
        <is>
          <t>HST</t>
        </is>
      </c>
      <c r="F52" s="148" t="n">
        <v>45</v>
      </c>
      <c r="G52" s="148" t="n"/>
      <c r="H52" s="148" t="n">
        <v>1.6</v>
      </c>
      <c r="I52" s="147" t="n">
        <v>6400</v>
      </c>
      <c r="J52" s="147" t="n">
        <v>6.42</v>
      </c>
      <c r="K52" s="147" t="inlineStr">
        <is>
          <t>451.66.42HST</t>
        </is>
      </c>
      <c r="L52" s="149" t="n"/>
      <c r="M52" s="150" t="n">
        <v>3502388</v>
      </c>
      <c r="N52" s="19" t="n">
        <v>0</v>
      </c>
      <c r="O52" s="147" t="n">
        <v>0</v>
      </c>
      <c r="P52" s="147" t="n">
        <v>15</v>
      </c>
      <c r="Q52" s="147" t="n">
        <v>0</v>
      </c>
      <c r="R52" s="147">
        <f>P52-O52</f>
        <v/>
      </c>
      <c r="S52" s="147" t="n">
        <v>0</v>
      </c>
      <c r="T52" s="147">
        <f>R52+S52</f>
        <v/>
      </c>
      <c r="U52" s="19">
        <f>N52-T52</f>
        <v/>
      </c>
      <c r="V52" s="167">
        <f>IF(U52&gt;0,U52,0)*150%</f>
        <v/>
      </c>
      <c r="W52" s="15" t="n"/>
      <c r="X52" s="15" t="n"/>
    </row>
    <row r="53">
      <c r="A53" s="147" t="inlineStr">
        <is>
          <t>HMSI</t>
        </is>
      </c>
      <c r="B53" s="147" t="inlineStr">
        <is>
          <t>BADVE</t>
        </is>
      </c>
      <c r="C53" s="153" t="inlineStr">
        <is>
          <t>CEW-1</t>
        </is>
      </c>
      <c r="D53" s="147" t="inlineStr">
        <is>
          <t>FIN CUT</t>
        </is>
      </c>
      <c r="E53" s="147" t="inlineStr">
        <is>
          <t>CEW-1</t>
        </is>
      </c>
      <c r="F53" s="148" t="n">
        <v>45</v>
      </c>
      <c r="G53" s="148" t="n"/>
      <c r="H53" s="148" t="n">
        <v>3.5</v>
      </c>
      <c r="I53" s="147" t="n">
        <v>6100</v>
      </c>
      <c r="J53" s="147" t="n"/>
      <c r="K53" s="147" t="n"/>
      <c r="L53" s="149" t="n"/>
      <c r="M53" s="15" t="n">
        <v>3500263</v>
      </c>
      <c r="N53" s="19" t="n">
        <v>10</v>
      </c>
      <c r="O53" s="147" t="n">
        <v>0</v>
      </c>
      <c r="P53" s="147" t="n">
        <v>6</v>
      </c>
      <c r="Q53" s="147" t="n">
        <v>0</v>
      </c>
      <c r="R53" s="147">
        <f>P53-O53</f>
        <v/>
      </c>
      <c r="S53" s="147" t="n">
        <v>18</v>
      </c>
      <c r="T53" s="147">
        <f>R53+S53</f>
        <v/>
      </c>
      <c r="U53" s="19">
        <f>N53-T53</f>
        <v/>
      </c>
      <c r="V53" s="167">
        <f>IF(U53&gt;0,U53,0)*150%</f>
        <v/>
      </c>
      <c r="W53" s="15" t="n"/>
      <c r="X53" s="15" t="n"/>
    </row>
    <row r="54">
      <c r="A54" s="147" t="inlineStr">
        <is>
          <t>RE</t>
        </is>
      </c>
      <c r="B54" s="147" t="inlineStr">
        <is>
          <t>BELRISE</t>
        </is>
      </c>
      <c r="C54" s="153" t="inlineStr">
        <is>
          <t>CEW-1</t>
        </is>
      </c>
      <c r="D54" s="147" t="inlineStr">
        <is>
          <t>FIN CUT</t>
        </is>
      </c>
      <c r="E54" s="147" t="inlineStr">
        <is>
          <t>CEW</t>
        </is>
      </c>
      <c r="F54" s="148" t="n">
        <v>47.63</v>
      </c>
      <c r="G54" s="148" t="n"/>
      <c r="H54" s="148" t="n">
        <v>4</v>
      </c>
      <c r="I54" s="147" t="n">
        <v>6040</v>
      </c>
      <c r="J54" s="147" t="n">
        <v>6.04</v>
      </c>
      <c r="K54" s="147" t="n"/>
      <c r="L54" s="149" t="n"/>
      <c r="M54" s="150" t="n"/>
      <c r="N54" s="19" t="n">
        <v>0</v>
      </c>
      <c r="O54" s="147" t="n">
        <v>0</v>
      </c>
      <c r="P54" s="147" t="n">
        <v>1.4</v>
      </c>
      <c r="Q54" s="147" t="n">
        <v>0</v>
      </c>
      <c r="R54" s="147">
        <f>P54-O54</f>
        <v/>
      </c>
      <c r="S54" s="147" t="n">
        <v>13.5</v>
      </c>
      <c r="T54" s="147">
        <f>R54+S54</f>
        <v/>
      </c>
      <c r="U54" s="19">
        <f>N54-T54</f>
        <v/>
      </c>
      <c r="V54" s="167">
        <f>IF(U54&gt;0,U54,0)*150%</f>
        <v/>
      </c>
      <c r="W54" s="15" t="n"/>
      <c r="X54" s="15" t="n"/>
    </row>
    <row r="55">
      <c r="A55" s="147" t="inlineStr">
        <is>
          <t>RE</t>
        </is>
      </c>
      <c r="B55" s="147" t="inlineStr">
        <is>
          <t>BELRISE</t>
        </is>
      </c>
      <c r="C55" s="153" t="inlineStr">
        <is>
          <t>ERW1</t>
        </is>
      </c>
      <c r="D55" s="147" t="inlineStr">
        <is>
          <t>FIN CUT</t>
        </is>
      </c>
      <c r="E55" s="147" t="inlineStr">
        <is>
          <t>ERW</t>
        </is>
      </c>
      <c r="F55" s="148" t="n">
        <v>48</v>
      </c>
      <c r="G55" s="148" t="n"/>
      <c r="H55" s="148" t="n">
        <v>1.2</v>
      </c>
      <c r="I55" s="147" t="n">
        <v>780</v>
      </c>
      <c r="J55" s="147" t="n">
        <v>0.62</v>
      </c>
      <c r="K55" s="147" t="n"/>
      <c r="L55" s="151" t="inlineStr">
        <is>
          <t>0789</t>
        </is>
      </c>
      <c r="M55" s="150" t="n">
        <v>2397072</v>
      </c>
      <c r="N55" s="19" t="n">
        <v>15</v>
      </c>
      <c r="O55" s="147" t="n">
        <v>0</v>
      </c>
      <c r="P55" s="147" t="n">
        <v>0</v>
      </c>
      <c r="Q55" s="147" t="n">
        <v>0</v>
      </c>
      <c r="R55" s="147">
        <f>P55-O55</f>
        <v/>
      </c>
      <c r="S55" s="147" t="n">
        <v>0</v>
      </c>
      <c r="T55" s="147">
        <f>R55+S55</f>
        <v/>
      </c>
      <c r="U55" s="19">
        <f>N55-T55</f>
        <v/>
      </c>
      <c r="V55" s="167">
        <f>IF(U55&gt;0,U55,0)*150%</f>
        <v/>
      </c>
      <c r="W55" s="15" t="n"/>
      <c r="X55" s="15" t="n"/>
    </row>
    <row r="56">
      <c r="A56" s="147" t="inlineStr">
        <is>
          <t>RE</t>
        </is>
      </c>
      <c r="B56" s="147" t="inlineStr">
        <is>
          <t>RAJSRIYA</t>
        </is>
      </c>
      <c r="C56" s="153" t="inlineStr">
        <is>
          <t>ERW1</t>
        </is>
      </c>
      <c r="D56" s="147" t="inlineStr">
        <is>
          <t>FIN CUT</t>
        </is>
      </c>
      <c r="E56" s="147" t="inlineStr">
        <is>
          <t>ERW</t>
        </is>
      </c>
      <c r="F56" s="148" t="n">
        <v>48</v>
      </c>
      <c r="G56" s="148" t="n"/>
      <c r="H56" s="148" t="n">
        <v>1.2</v>
      </c>
      <c r="I56" s="147" t="n">
        <v>650</v>
      </c>
      <c r="J56" s="147" t="n">
        <v>0.7</v>
      </c>
      <c r="K56" s="147" t="n"/>
      <c r="L56" s="151" t="inlineStr">
        <is>
          <t>0789</t>
        </is>
      </c>
      <c r="M56" s="150" t="n">
        <v>3649700</v>
      </c>
      <c r="N56" s="19" t="n">
        <v>14</v>
      </c>
      <c r="O56" s="147" t="n">
        <v>0</v>
      </c>
      <c r="P56" s="147" t="n">
        <v>0</v>
      </c>
      <c r="Q56" s="147" t="n">
        <v>0</v>
      </c>
      <c r="R56" s="147">
        <f>P56-O56</f>
        <v/>
      </c>
      <c r="S56" s="147" t="n">
        <v>0</v>
      </c>
      <c r="T56" s="147">
        <f>R56+S56</f>
        <v/>
      </c>
      <c r="U56" s="19">
        <f>N56-T56</f>
        <v/>
      </c>
      <c r="V56" s="167">
        <f>IF(U56&gt;0,U56,0)*150%</f>
        <v/>
      </c>
      <c r="W56" s="15" t="n"/>
      <c r="X56" s="15" t="n"/>
    </row>
    <row r="57">
      <c r="A57" s="147" t="inlineStr">
        <is>
          <t>HMSI</t>
        </is>
      </c>
      <c r="B57" s="147" t="inlineStr">
        <is>
          <t>BADVE</t>
        </is>
      </c>
      <c r="C57" s="153" t="inlineStr">
        <is>
          <t>ERW2</t>
        </is>
      </c>
      <c r="D57" s="147" t="inlineStr">
        <is>
          <t>FIN CUT</t>
        </is>
      </c>
      <c r="E57" s="147" t="inlineStr">
        <is>
          <t>HST</t>
        </is>
      </c>
      <c r="F57" s="148" t="n">
        <v>48.6</v>
      </c>
      <c r="G57" s="148" t="n"/>
      <c r="H57" s="148" t="n">
        <v>2</v>
      </c>
      <c r="I57" s="147" t="n">
        <v>6270</v>
      </c>
      <c r="J57" s="147" t="n">
        <v>6.27</v>
      </c>
      <c r="K57" s="147" t="inlineStr">
        <is>
          <t>48.626.27HST</t>
        </is>
      </c>
      <c r="L57" s="149" t="n"/>
      <c r="M57" s="150" t="n">
        <v>3502301</v>
      </c>
      <c r="N57" s="19" t="n">
        <v>0</v>
      </c>
      <c r="O57" s="147" t="n">
        <v>0</v>
      </c>
      <c r="P57" s="147" t="n">
        <v>24</v>
      </c>
      <c r="Q57" s="147" t="n">
        <v>0</v>
      </c>
      <c r="R57" s="147">
        <f>P57-O57</f>
        <v/>
      </c>
      <c r="S57" s="147" t="n">
        <v>0</v>
      </c>
      <c r="T57" s="147">
        <f>R57+S57</f>
        <v/>
      </c>
      <c r="U57" s="19">
        <f>N57-T57</f>
        <v/>
      </c>
      <c r="V57" s="167">
        <f>IF(U57&gt;0,U57,0)*150%</f>
        <v/>
      </c>
      <c r="W57" s="15" t="n"/>
      <c r="X57" s="15" t="n"/>
    </row>
    <row r="58">
      <c r="A58" s="147" t="inlineStr">
        <is>
          <t>HMSI</t>
        </is>
      </c>
      <c r="B58" s="147" t="inlineStr">
        <is>
          <t>BADVE</t>
        </is>
      </c>
      <c r="C58" s="153" t="inlineStr">
        <is>
          <t>ERW2</t>
        </is>
      </c>
      <c r="D58" s="147" t="inlineStr">
        <is>
          <t>FIN CUT</t>
        </is>
      </c>
      <c r="E58" s="147" t="inlineStr">
        <is>
          <t>HST</t>
        </is>
      </c>
      <c r="F58" s="148" t="n">
        <v>48.6</v>
      </c>
      <c r="G58" s="148" t="n"/>
      <c r="H58" s="148" t="n">
        <v>2.3</v>
      </c>
      <c r="I58" s="147" t="n">
        <v>6270</v>
      </c>
      <c r="J58" s="147" t="n">
        <v>6.27</v>
      </c>
      <c r="K58" s="147" t="inlineStr">
        <is>
          <t>48.62.36.27HST</t>
        </is>
      </c>
      <c r="L58" s="149" t="n"/>
      <c r="M58" s="150" t="n">
        <v>3549720</v>
      </c>
      <c r="N58" s="19" t="n">
        <v>0</v>
      </c>
      <c r="O58" s="147" t="n">
        <v>0</v>
      </c>
      <c r="P58" s="147" t="n">
        <v>23</v>
      </c>
      <c r="Q58" s="147" t="n">
        <v>0</v>
      </c>
      <c r="R58" s="147">
        <f>P58-O58</f>
        <v/>
      </c>
      <c r="S58" s="147" t="n">
        <v>0</v>
      </c>
      <c r="T58" s="147">
        <f>R58+S58</f>
        <v/>
      </c>
      <c r="U58" s="19">
        <f>N58-T58</f>
        <v/>
      </c>
      <c r="V58" s="167">
        <f>IF(U58&gt;0,U58,0)*150%</f>
        <v/>
      </c>
      <c r="W58" s="15" t="n"/>
      <c r="X58" s="15" t="n"/>
    </row>
    <row r="59">
      <c r="A59" s="147" t="inlineStr">
        <is>
          <t>HMSI</t>
        </is>
      </c>
      <c r="B59" s="147" t="inlineStr">
        <is>
          <t>BADVE</t>
        </is>
      </c>
      <c r="C59" s="153" t="inlineStr">
        <is>
          <t>ERW1</t>
        </is>
      </c>
      <c r="D59" s="147" t="inlineStr">
        <is>
          <t>FIN CUT</t>
        </is>
      </c>
      <c r="E59" s="147" t="inlineStr">
        <is>
          <t>ERW</t>
        </is>
      </c>
      <c r="F59" s="148" t="n">
        <v>48.6</v>
      </c>
      <c r="G59" s="148" t="n"/>
      <c r="H59" s="148" t="n">
        <v>3.5</v>
      </c>
      <c r="I59" s="147" t="n">
        <v>6000</v>
      </c>
      <c r="J59" s="147" t="n">
        <v>6</v>
      </c>
      <c r="K59" s="147" t="inlineStr">
        <is>
          <t>48.63.56ERW</t>
        </is>
      </c>
      <c r="L59" s="149" t="n"/>
      <c r="M59" s="150" t="n">
        <v>3502422</v>
      </c>
      <c r="N59" s="19" t="n">
        <v>20</v>
      </c>
      <c r="O59" s="147" t="n">
        <v>0</v>
      </c>
      <c r="P59" s="147" t="n">
        <v>0</v>
      </c>
      <c r="Q59" s="147" t="n">
        <v>0</v>
      </c>
      <c r="R59" s="147">
        <f>P59-O59</f>
        <v/>
      </c>
      <c r="S59" s="147" t="n">
        <v>0</v>
      </c>
      <c r="T59" s="147">
        <f>R59+S59</f>
        <v/>
      </c>
      <c r="U59" s="19">
        <f>N59-T59</f>
        <v/>
      </c>
      <c r="V59" s="167">
        <f>IF(U59&gt;0,U59,0)*150%</f>
        <v/>
      </c>
      <c r="W59" s="15" t="n"/>
      <c r="X59" s="15" t="n"/>
    </row>
    <row r="60">
      <c r="A60" s="147" t="inlineStr">
        <is>
          <t>TVS</t>
        </is>
      </c>
      <c r="B60" s="147" t="inlineStr">
        <is>
          <t>RUCHA</t>
        </is>
      </c>
      <c r="C60" s="153" t="inlineStr">
        <is>
          <t>ERW1</t>
        </is>
      </c>
      <c r="D60" s="147" t="inlineStr">
        <is>
          <t>FIN CUT</t>
        </is>
      </c>
      <c r="E60" s="147" t="inlineStr">
        <is>
          <t>ERW</t>
        </is>
      </c>
      <c r="F60" s="168" t="inlineStr">
        <is>
          <t>59x30</t>
        </is>
      </c>
      <c r="G60" s="168" t="n"/>
      <c r="H60" s="168" t="n">
        <v>1.6</v>
      </c>
      <c r="I60" s="147" t="n">
        <v>6000</v>
      </c>
      <c r="J60" s="147" t="n">
        <v>6</v>
      </c>
      <c r="K60" s="147" t="n"/>
      <c r="L60" s="151" t="inlineStr">
        <is>
          <t>0789</t>
        </is>
      </c>
      <c r="M60" s="150" t="n"/>
      <c r="N60" s="19" t="n">
        <v>5</v>
      </c>
      <c r="O60" s="147" t="n">
        <v>0</v>
      </c>
      <c r="P60" s="147" t="n">
        <v>0</v>
      </c>
      <c r="Q60" s="147" t="n">
        <v>0</v>
      </c>
      <c r="R60" s="147">
        <f>P60-O60</f>
        <v/>
      </c>
      <c r="S60" s="147" t="n">
        <v>0</v>
      </c>
      <c r="T60" s="147">
        <f>R60+S60</f>
        <v/>
      </c>
      <c r="U60" s="19">
        <f>N60-T60</f>
        <v/>
      </c>
      <c r="V60" s="167">
        <f>IF(U60&gt;0,U60,0)*150%</f>
        <v/>
      </c>
      <c r="W60" s="15" t="n"/>
      <c r="X60" s="15" t="n"/>
    </row>
    <row r="61">
      <c r="A61" s="147" t="inlineStr">
        <is>
          <t>RE</t>
        </is>
      </c>
      <c r="B61" s="147" t="inlineStr">
        <is>
          <t>KUNAL</t>
        </is>
      </c>
      <c r="C61" s="153" t="inlineStr">
        <is>
          <t>ERW1</t>
        </is>
      </c>
      <c r="D61" s="147" t="inlineStr">
        <is>
          <t>FIN CUT</t>
        </is>
      </c>
      <c r="E61" s="147" t="inlineStr">
        <is>
          <t>ERW</t>
        </is>
      </c>
      <c r="F61" s="168" t="inlineStr">
        <is>
          <t>59x30</t>
        </is>
      </c>
      <c r="G61" s="168" t="n"/>
      <c r="H61" s="168" t="n">
        <v>1.6</v>
      </c>
      <c r="I61" s="169" t="n">
        <v>572.5</v>
      </c>
      <c r="J61" s="147" t="n">
        <v>0.5725</v>
      </c>
      <c r="K61" s="147" t="inlineStr">
        <is>
          <t>59x301.60.5725ERW</t>
        </is>
      </c>
      <c r="L61" s="151" t="inlineStr">
        <is>
          <t>0789</t>
        </is>
      </c>
      <c r="M61" s="150" t="n">
        <v>2420716</v>
      </c>
      <c r="N61" s="19" t="n">
        <v>20</v>
      </c>
      <c r="O61" s="147" t="n">
        <v>0</v>
      </c>
      <c r="P61" s="147" t="n">
        <v>0</v>
      </c>
      <c r="Q61" s="147" t="n">
        <v>0</v>
      </c>
      <c r="R61" s="147">
        <f>P61-O61</f>
        <v/>
      </c>
      <c r="S61" s="147" t="n">
        <v>0</v>
      </c>
      <c r="T61" s="147">
        <f>R61+S61</f>
        <v/>
      </c>
      <c r="U61" s="19">
        <f>N61-T61</f>
        <v/>
      </c>
      <c r="V61" s="167">
        <f>IF(U61&gt;0,U61,0)*150%</f>
        <v/>
      </c>
      <c r="W61" s="15" t="n"/>
      <c r="X61" s="15" t="n"/>
    </row>
    <row r="62">
      <c r="A62" s="147" t="inlineStr">
        <is>
          <t>RE</t>
        </is>
      </c>
      <c r="B62" s="147" t="inlineStr">
        <is>
          <t>BELRISE</t>
        </is>
      </c>
      <c r="C62" s="153" t="inlineStr">
        <is>
          <t>ERW1</t>
        </is>
      </c>
      <c r="D62" s="147" t="inlineStr">
        <is>
          <t>FIN CUT</t>
        </is>
      </c>
      <c r="E62" s="147" t="inlineStr">
        <is>
          <t>ERW</t>
        </is>
      </c>
      <c r="F62" s="168" t="inlineStr">
        <is>
          <t>50X50</t>
        </is>
      </c>
      <c r="G62" s="168" t="n"/>
      <c r="H62" s="168" t="n">
        <v>1.6</v>
      </c>
      <c r="I62" s="169" t="n">
        <v>6040</v>
      </c>
      <c r="J62" s="147" t="n">
        <v>6.04</v>
      </c>
      <c r="K62" s="147" t="n"/>
      <c r="L62" s="151" t="n"/>
      <c r="M62" s="150" t="n"/>
      <c r="N62" s="19" t="n">
        <v>10</v>
      </c>
      <c r="O62" s="147" t="n">
        <v>2</v>
      </c>
      <c r="P62" s="147" t="n">
        <v>3</v>
      </c>
      <c r="Q62" s="147" t="n">
        <v>0</v>
      </c>
      <c r="R62" s="147">
        <f>P62-O62</f>
        <v/>
      </c>
      <c r="S62" s="147" t="n">
        <v>0</v>
      </c>
      <c r="T62" s="147">
        <f>R62+S62</f>
        <v/>
      </c>
      <c r="U62" s="19">
        <f>N62-T62</f>
        <v/>
      </c>
      <c r="V62" s="167">
        <f>IF(U62&gt;0,U62,0)*150%</f>
        <v/>
      </c>
      <c r="W62" s="15" t="n"/>
      <c r="X62" s="15" t="n"/>
    </row>
    <row r="63">
      <c r="A63" s="147" t="inlineStr">
        <is>
          <t>RE</t>
        </is>
      </c>
      <c r="B63" s="147" t="inlineStr">
        <is>
          <t>BELRISE</t>
        </is>
      </c>
      <c r="C63" s="153" t="inlineStr">
        <is>
          <t>ERW1</t>
        </is>
      </c>
      <c r="D63" s="147" t="inlineStr">
        <is>
          <t>FIN CUT</t>
        </is>
      </c>
      <c r="E63" s="147" t="inlineStr">
        <is>
          <t>ERW</t>
        </is>
      </c>
      <c r="F63" s="168" t="n">
        <v>50.8</v>
      </c>
      <c r="G63" s="168" t="n"/>
      <c r="H63" s="168" t="n">
        <v>2.6</v>
      </c>
      <c r="I63" s="169" t="n">
        <v>6000</v>
      </c>
      <c r="J63" s="147" t="n">
        <v>6</v>
      </c>
      <c r="K63" s="147" t="n">
        <v>0</v>
      </c>
      <c r="L63" s="151" t="inlineStr">
        <is>
          <t>0</t>
        </is>
      </c>
      <c r="M63" s="150" t="n"/>
      <c r="N63" s="19" t="n">
        <v>0</v>
      </c>
      <c r="O63" s="147" t="n">
        <v>0</v>
      </c>
      <c r="P63" s="147" t="n">
        <v>27</v>
      </c>
      <c r="Q63" s="147" t="n">
        <v>9</v>
      </c>
      <c r="R63" s="147">
        <f>P63-O63</f>
        <v/>
      </c>
      <c r="S63" s="147" t="n">
        <v>20</v>
      </c>
      <c r="T63" s="147">
        <f>R63+S63</f>
        <v/>
      </c>
      <c r="U63" s="19" t="n">
        <v>5</v>
      </c>
      <c r="V63" s="167">
        <f>IF(U63&gt;0,U63,0)*150%</f>
        <v/>
      </c>
      <c r="W63" s="15" t="n"/>
      <c r="X63" s="15" t="n"/>
    </row>
    <row r="64" customFormat="1" s="45">
      <c r="A64" s="156" t="inlineStr">
        <is>
          <t>RE</t>
        </is>
      </c>
      <c r="B64" s="156" t="inlineStr">
        <is>
          <t>BELRISE</t>
        </is>
      </c>
      <c r="C64" s="157" t="inlineStr">
        <is>
          <t>CEW-1</t>
        </is>
      </c>
      <c r="D64" s="156" t="inlineStr">
        <is>
          <t>FIN CUT</t>
        </is>
      </c>
      <c r="E64" s="156" t="inlineStr">
        <is>
          <t>CEW</t>
        </is>
      </c>
      <c r="F64" s="398" t="n">
        <v>50.8</v>
      </c>
      <c r="G64" s="398" t="n">
        <v>45.6</v>
      </c>
      <c r="H64" s="398" t="n">
        <v>2.6</v>
      </c>
      <c r="I64" s="399" t="n">
        <v>6000</v>
      </c>
      <c r="J64" s="156" t="n">
        <v>6</v>
      </c>
      <c r="K64" s="156" t="n">
        <v>0</v>
      </c>
      <c r="L64" s="201" t="n"/>
      <c r="M64" s="245" t="n"/>
      <c r="N64" s="246" t="n">
        <v>0</v>
      </c>
      <c r="O64" s="156" t="n">
        <v>0</v>
      </c>
      <c r="P64" s="156" t="n">
        <v>1.2</v>
      </c>
      <c r="Q64" s="156" t="n">
        <v>0</v>
      </c>
      <c r="R64" s="156">
        <f>P64-O64</f>
        <v/>
      </c>
      <c r="S64" s="156" t="n">
        <v>32</v>
      </c>
      <c r="T64" s="156">
        <f>R64+S64</f>
        <v/>
      </c>
      <c r="U64" s="246" t="n">
        <v>5</v>
      </c>
      <c r="V64" s="247">
        <f>IF(U64&gt;0,U64,0)*150%</f>
        <v/>
      </c>
      <c r="W64" s="80" t="n"/>
      <c r="X64" s="80" t="n"/>
    </row>
    <row r="65">
      <c r="A65" s="147" t="inlineStr">
        <is>
          <t>TVS</t>
        </is>
      </c>
      <c r="B65" s="147" t="inlineStr">
        <is>
          <t>METALMAN</t>
        </is>
      </c>
      <c r="C65" s="153" t="inlineStr">
        <is>
          <t>ERW1</t>
        </is>
      </c>
      <c r="D65" s="147" t="inlineStr">
        <is>
          <t>FIN CUT</t>
        </is>
      </c>
      <c r="E65" s="147" t="inlineStr">
        <is>
          <t>ERW</t>
        </is>
      </c>
      <c r="F65" s="168" t="n">
        <v>54</v>
      </c>
      <c r="G65" s="168" t="n"/>
      <c r="H65" s="168" t="n">
        <v>3</v>
      </c>
      <c r="I65" s="169" t="n">
        <v>59100</v>
      </c>
      <c r="J65" s="147" t="n"/>
      <c r="K65" s="147" t="n"/>
      <c r="L65" s="151" t="n"/>
      <c r="M65" s="150" t="n"/>
      <c r="N65" s="19" t="n">
        <v>15</v>
      </c>
      <c r="O65" s="147" t="n">
        <v>0</v>
      </c>
      <c r="P65" s="147" t="n">
        <v>0</v>
      </c>
      <c r="Q65" s="147" t="n">
        <v>0</v>
      </c>
      <c r="R65" s="147">
        <f>P65-O65</f>
        <v/>
      </c>
      <c r="S65" s="147" t="n">
        <v>15</v>
      </c>
      <c r="T65" s="147">
        <f>R65+S65</f>
        <v/>
      </c>
      <c r="U65" s="19" t="n">
        <v>10</v>
      </c>
      <c r="V65" s="167">
        <f>IF(U65&gt;0,U65,0)*150%</f>
        <v/>
      </c>
      <c r="W65" s="15" t="n"/>
      <c r="X65" s="15" t="n"/>
    </row>
    <row r="66">
      <c r="A66" s="147" t="inlineStr">
        <is>
          <t>TVS</t>
        </is>
      </c>
      <c r="B66" s="147" t="inlineStr">
        <is>
          <t>RUCHA,METALMAN</t>
        </is>
      </c>
      <c r="C66" s="153" t="inlineStr">
        <is>
          <t>ERW1</t>
        </is>
      </c>
      <c r="D66" s="147" t="inlineStr">
        <is>
          <t>FIN CUT</t>
        </is>
      </c>
      <c r="E66" s="147" t="inlineStr">
        <is>
          <t>ERW</t>
        </is>
      </c>
      <c r="F66" s="148" t="n">
        <v>57.15</v>
      </c>
      <c r="G66" s="148" t="n"/>
      <c r="H66" s="148" t="n">
        <v>2.5</v>
      </c>
      <c r="I66" s="147" t="n">
        <v>5710</v>
      </c>
      <c r="J66" s="147" t="n">
        <v>5.71</v>
      </c>
      <c r="K66" s="147" t="n"/>
      <c r="L66" s="151" t="inlineStr">
        <is>
          <t>056</t>
        </is>
      </c>
      <c r="M66" s="150" t="n">
        <v>3907863</v>
      </c>
      <c r="N66" s="19" t="n">
        <v>60</v>
      </c>
      <c r="O66" s="147" t="n">
        <v>10</v>
      </c>
      <c r="P66" s="147" t="n">
        <v>69.5</v>
      </c>
      <c r="Q66" s="147" t="n">
        <v>0</v>
      </c>
      <c r="R66" s="147">
        <f>P66-O66</f>
        <v/>
      </c>
      <c r="S66" s="147" t="n">
        <v>59</v>
      </c>
      <c r="T66" s="147">
        <f>R66+S66</f>
        <v/>
      </c>
      <c r="U66" s="19">
        <f>N66-T66</f>
        <v/>
      </c>
      <c r="V66" s="167">
        <f>IF(U66&gt;0,U66,0)*150%</f>
        <v/>
      </c>
      <c r="W66" s="15" t="n"/>
      <c r="X66" s="15" t="n"/>
    </row>
    <row r="67">
      <c r="A67" s="147" t="inlineStr">
        <is>
          <t>TVS</t>
        </is>
      </c>
      <c r="B67" s="147" t="inlineStr">
        <is>
          <t>RUCHA,METALMAN</t>
        </is>
      </c>
      <c r="C67" s="153" t="inlineStr">
        <is>
          <t>ERW1</t>
        </is>
      </c>
      <c r="D67" s="147" t="inlineStr">
        <is>
          <t>FIN CUT</t>
        </is>
      </c>
      <c r="E67" s="147" t="inlineStr">
        <is>
          <t>ERW</t>
        </is>
      </c>
      <c r="F67" s="148" t="n">
        <v>57.15</v>
      </c>
      <c r="G67" s="148" t="n"/>
      <c r="H67" s="148" t="n">
        <v>2.5</v>
      </c>
      <c r="I67" s="147" t="n">
        <v>5750</v>
      </c>
      <c r="J67" s="147" t="n"/>
      <c r="K67" s="147" t="n"/>
      <c r="L67" s="151" t="inlineStr">
        <is>
          <t>056</t>
        </is>
      </c>
      <c r="M67" s="150" t="n"/>
      <c r="N67" s="19" t="n">
        <v>15</v>
      </c>
      <c r="O67" s="147" t="n">
        <v>2</v>
      </c>
      <c r="P67" s="147" t="n">
        <v>60.8</v>
      </c>
      <c r="Q67" s="147" t="n">
        <v>0</v>
      </c>
      <c r="R67" s="147">
        <f>P67-O67</f>
        <v/>
      </c>
      <c r="S67" s="147" t="n">
        <v>0</v>
      </c>
      <c r="T67" s="147">
        <f>R67+S67</f>
        <v/>
      </c>
      <c r="U67" s="19">
        <f>N67-T67</f>
        <v/>
      </c>
      <c r="V67" s="167">
        <f>IF(U67&gt;0,U67,0)*150%</f>
        <v/>
      </c>
      <c r="W67" s="15" t="n"/>
      <c r="X67" s="15" t="n"/>
    </row>
    <row r="68">
      <c r="A68" s="147" t="inlineStr">
        <is>
          <t>TVS</t>
        </is>
      </c>
      <c r="B68" s="147" t="inlineStr">
        <is>
          <t>RUCHA,METALMAN</t>
        </is>
      </c>
      <c r="C68" s="153" t="inlineStr">
        <is>
          <t>ERW1</t>
        </is>
      </c>
      <c r="D68" s="147" t="inlineStr">
        <is>
          <t>FIN CUT</t>
        </is>
      </c>
      <c r="E68" s="147" t="inlineStr">
        <is>
          <t>ERW</t>
        </is>
      </c>
      <c r="F68" s="148" t="n">
        <v>57.15</v>
      </c>
      <c r="G68" s="148" t="n"/>
      <c r="H68" s="148" t="n">
        <v>2.5</v>
      </c>
      <c r="I68" s="147" t="n">
        <v>6100</v>
      </c>
      <c r="J68" s="147" t="n">
        <v>6.75</v>
      </c>
      <c r="K68" s="147" t="n"/>
      <c r="L68" s="151" t="inlineStr">
        <is>
          <t>056</t>
        </is>
      </c>
      <c r="M68" s="150" t="n">
        <v>3910001</v>
      </c>
      <c r="N68" s="19" t="n">
        <v>60</v>
      </c>
      <c r="O68" s="147" t="n">
        <v>10</v>
      </c>
      <c r="P68" s="147" t="n">
        <v>60</v>
      </c>
      <c r="Q68" s="147" t="n">
        <v>0</v>
      </c>
      <c r="R68" s="147">
        <f>P68-O68</f>
        <v/>
      </c>
      <c r="S68" s="147" t="n">
        <v>16.7</v>
      </c>
      <c r="T68" s="147">
        <f>R68+S68</f>
        <v/>
      </c>
      <c r="U68" s="19">
        <f>N68-T68</f>
        <v/>
      </c>
      <c r="V68" s="167">
        <f>IF(U68&gt;0,U68,0)*150%</f>
        <v/>
      </c>
      <c r="W68" s="15" t="n"/>
      <c r="X68" s="15" t="n"/>
    </row>
    <row r="69">
      <c r="A69" s="147" t="inlineStr">
        <is>
          <t>HMSI</t>
        </is>
      </c>
      <c r="B69" s="147" t="inlineStr">
        <is>
          <t>BADVE</t>
        </is>
      </c>
      <c r="C69" s="153" t="inlineStr">
        <is>
          <t>ERW1</t>
        </is>
      </c>
      <c r="D69" s="147" t="inlineStr">
        <is>
          <t>FIN CUT</t>
        </is>
      </c>
      <c r="E69" s="147" t="inlineStr">
        <is>
          <t>ERW</t>
        </is>
      </c>
      <c r="F69" s="148" t="n">
        <v>57.15</v>
      </c>
      <c r="G69" s="148" t="n"/>
      <c r="H69" s="148" t="n">
        <v>3</v>
      </c>
      <c r="I69" s="147" t="n">
        <v>5650</v>
      </c>
      <c r="J69" s="147" t="n">
        <v>5.65</v>
      </c>
      <c r="K69" s="147" t="inlineStr">
        <is>
          <t>57.1535.65ERW</t>
        </is>
      </c>
      <c r="L69" s="151" t="inlineStr">
        <is>
          <t>056</t>
        </is>
      </c>
      <c r="M69" s="150" t="n">
        <v>3501105</v>
      </c>
      <c r="N69" s="19" t="n">
        <v>10</v>
      </c>
      <c r="O69" s="147" t="n">
        <v>0</v>
      </c>
      <c r="P69" s="147" t="n">
        <v>15.5</v>
      </c>
      <c r="Q69" s="147" t="n">
        <v>0</v>
      </c>
      <c r="R69" s="147">
        <f>P69-O69</f>
        <v/>
      </c>
      <c r="S69" s="147" t="n">
        <v>1.7</v>
      </c>
      <c r="T69" s="147">
        <f>R69+S69</f>
        <v/>
      </c>
      <c r="U69" s="19">
        <f>N69-T69</f>
        <v/>
      </c>
      <c r="V69" s="167">
        <f>IF(U69&gt;0,U69,0)*150%</f>
        <v/>
      </c>
      <c r="W69" s="15" t="n"/>
      <c r="X69" s="15" t="n"/>
    </row>
    <row r="70">
      <c r="A70" s="147" t="inlineStr">
        <is>
          <t>TVS</t>
        </is>
      </c>
      <c r="B70" s="147" t="inlineStr">
        <is>
          <t>METALMAN</t>
        </is>
      </c>
      <c r="C70" s="153" t="inlineStr">
        <is>
          <t>ERW1</t>
        </is>
      </c>
      <c r="D70" s="147" t="inlineStr">
        <is>
          <t>FIN CUT</t>
        </is>
      </c>
      <c r="E70" s="147" t="inlineStr">
        <is>
          <t>ERW</t>
        </is>
      </c>
      <c r="F70" s="148" t="n">
        <v>60.3</v>
      </c>
      <c r="G70" s="148" t="n"/>
      <c r="H70" s="148" t="n">
        <v>2</v>
      </c>
      <c r="I70" s="147" t="n">
        <v>5900</v>
      </c>
      <c r="J70" s="147" t="n">
        <v>5.9</v>
      </c>
      <c r="K70" s="147" t="n"/>
      <c r="L70" s="151" t="inlineStr">
        <is>
          <t>0788</t>
        </is>
      </c>
      <c r="M70" s="150" t="n"/>
      <c r="N70" s="19" t="n">
        <v>20</v>
      </c>
      <c r="O70" s="147" t="n">
        <v>5</v>
      </c>
      <c r="P70" s="147" t="n">
        <v>22</v>
      </c>
      <c r="Q70" s="147" t="n">
        <v>0</v>
      </c>
      <c r="R70" s="147">
        <f>P70-O70</f>
        <v/>
      </c>
      <c r="S70" s="147" t="n">
        <v>0</v>
      </c>
      <c r="T70" s="147">
        <f>R70+S70</f>
        <v/>
      </c>
      <c r="U70" s="19">
        <f>N70-T70</f>
        <v/>
      </c>
      <c r="V70" s="167">
        <f>IF(U70&gt;0,U70,0)*150%</f>
        <v/>
      </c>
      <c r="W70" s="15" t="n"/>
      <c r="X70" s="19" t="n"/>
    </row>
    <row r="71">
      <c r="I71" s="152" t="inlineStr">
        <is>
          <t>TOTAL</t>
        </is>
      </c>
      <c r="J71" s="152" t="n"/>
      <c r="K71" s="152" t="n"/>
      <c r="L71" s="152" t="n"/>
      <c r="M71" s="197" t="n"/>
      <c r="N71" s="152">
        <f>SUM(N2:N70)</f>
        <v/>
      </c>
      <c r="O71" s="152">
        <f>SUM(O2:O70)</f>
        <v/>
      </c>
      <c r="P71" s="152">
        <f>SUM(P2:P70)</f>
        <v/>
      </c>
      <c r="Q71" s="152">
        <f>SUM(Q2:Q70)</f>
        <v/>
      </c>
      <c r="R71" s="152">
        <f>SUM(R2:R70)</f>
        <v/>
      </c>
      <c r="S71" s="152">
        <f>SUM(S2:S70)</f>
        <v/>
      </c>
      <c r="T71" s="152">
        <f>SUM(T2:T70)</f>
        <v/>
      </c>
      <c r="U71" s="152">
        <f>SUM(U2:U70)</f>
        <v/>
      </c>
      <c r="V71" s="172">
        <f>SUM(V2:V70)</f>
        <v/>
      </c>
      <c r="W71" s="15">
        <f>SUM(W2:W70)</f>
        <v/>
      </c>
      <c r="X71" s="15">
        <f>SUM(X2:X70)</f>
        <v/>
      </c>
    </row>
    <row r="72">
      <c r="M72" s="198" t="n"/>
      <c r="V72" s="173" t="n"/>
    </row>
    <row r="73">
      <c r="M73" s="198" t="n"/>
      <c r="V73" s="173" t="n"/>
    </row>
    <row r="74">
      <c r="M74" s="198" t="n"/>
      <c r="V74" s="173" t="n"/>
    </row>
    <row r="75">
      <c r="M75" s="198" t="n"/>
      <c r="V75" s="173" t="n"/>
    </row>
    <row r="76">
      <c r="M76" s="198" t="n"/>
      <c r="V76" s="173" t="n"/>
    </row>
    <row r="77">
      <c r="M77" s="198" t="n"/>
      <c r="V77" s="173" t="n"/>
    </row>
    <row r="78">
      <c r="M78" s="198" t="n"/>
      <c r="V78" s="173" t="n"/>
    </row>
    <row r="79">
      <c r="M79" s="198" t="n"/>
      <c r="V79" s="173" t="n"/>
    </row>
    <row r="80">
      <c r="M80" s="198" t="n"/>
      <c r="V80" s="173" t="n"/>
    </row>
    <row r="81">
      <c r="M81" s="198" t="n"/>
      <c r="V81" s="173" t="n"/>
    </row>
    <row r="82">
      <c r="M82" s="198" t="n"/>
      <c r="V82" s="173" t="n"/>
    </row>
    <row r="83">
      <c r="M83" s="198" t="n"/>
      <c r="V83" s="173" t="n"/>
    </row>
    <row r="84">
      <c r="M84" s="198" t="n"/>
      <c r="V84" s="173" t="n"/>
    </row>
    <row r="85">
      <c r="M85" s="198" t="n"/>
      <c r="V85" s="173" t="n"/>
    </row>
    <row r="86">
      <c r="M86" s="198" t="n"/>
      <c r="V86" s="173" t="n"/>
    </row>
    <row r="87">
      <c r="M87" s="198" t="n"/>
      <c r="V87" s="173" t="n"/>
    </row>
    <row r="88">
      <c r="M88" s="198" t="n"/>
      <c r="V88" s="173" t="n"/>
    </row>
    <row r="89">
      <c r="M89" s="198" t="n"/>
      <c r="V89" s="173" t="n"/>
    </row>
    <row r="90">
      <c r="M90" s="198" t="n"/>
      <c r="V90" s="173" t="n"/>
    </row>
    <row r="91">
      <c r="M91" s="198" t="n"/>
      <c r="V91" s="173" t="n"/>
    </row>
    <row r="92">
      <c r="M92" s="198" t="n"/>
      <c r="V92" s="173" t="n"/>
    </row>
    <row r="93">
      <c r="M93" s="198" t="n"/>
      <c r="V93" s="173" t="n"/>
    </row>
    <row r="94">
      <c r="M94" s="198" t="n"/>
      <c r="V94" s="173" t="n"/>
    </row>
    <row r="95">
      <c r="M95" s="198" t="n"/>
      <c r="V95" s="173" t="n"/>
    </row>
    <row r="96">
      <c r="M96" s="198" t="n"/>
      <c r="V96" s="173" t="n"/>
    </row>
  </sheetData>
  <autoFilter ref="A1:X71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8">
    <outlinePr summaryBelow="1" summaryRight="1"/>
    <pageSetUpPr/>
  </sheetPr>
  <dimension ref="A1:F576"/>
  <sheetViews>
    <sheetView workbookViewId="0">
      <selection activeCell="E11" sqref="E11"/>
    </sheetView>
  </sheetViews>
  <sheetFormatPr baseColWidth="8" defaultRowHeight="15"/>
  <cols>
    <col width="20.5703125" bestFit="1" customWidth="1" style="584" min="4" max="4"/>
    <col width="42.7109375" bestFit="1" customWidth="1" style="584" min="5" max="5"/>
  </cols>
  <sheetData>
    <row r="1">
      <c r="A1" t="inlineStr">
        <is>
          <t>Outer Diameter of Material</t>
        </is>
      </c>
      <c r="B1" t="inlineStr">
        <is>
          <t>Thickness for TATA Tubes Material</t>
        </is>
      </c>
      <c r="C1" t="inlineStr">
        <is>
          <t>Length for TATA Tubes Material</t>
        </is>
      </c>
      <c r="D1" t="inlineStr">
        <is>
          <t>MATERAIL NUMBER</t>
        </is>
      </c>
      <c r="E1" t="inlineStr">
        <is>
          <t>Material   Description</t>
        </is>
      </c>
      <c r="F1" t="inlineStr">
        <is>
          <t>Cham/Angle Cut</t>
        </is>
      </c>
    </row>
    <row r="2" hidden="1" s="584">
      <c r="A2" t="n">
        <v>12.7</v>
      </c>
      <c r="B2" t="n">
        <v>1.2</v>
      </c>
      <c r="C2" t="n">
        <v>0.278</v>
      </c>
      <c r="D2" t="inlineStr">
        <is>
          <t>000000000001939963</t>
        </is>
      </c>
      <c r="E2" t="inlineStr">
        <is>
          <t>TUB-O-O-AUT-AW-PE-12.70X1.200X0.2780</t>
        </is>
      </c>
      <c r="F2" t="inlineStr">
        <is>
          <t>De-burring</t>
        </is>
      </c>
    </row>
    <row r="3" hidden="1" s="584">
      <c r="A3" t="n">
        <v>12.7</v>
      </c>
      <c r="B3" t="n">
        <v>1.2</v>
      </c>
      <c r="C3" t="n">
        <v>0.408</v>
      </c>
      <c r="D3" t="inlineStr">
        <is>
          <t>000000000001939966</t>
        </is>
      </c>
      <c r="E3" t="inlineStr">
        <is>
          <t>TUB-O-O-AUT-AW-PE-12.70X1.200X0.4080</t>
        </is>
      </c>
      <c r="F3" t="inlineStr">
        <is>
          <t>De-burring</t>
        </is>
      </c>
    </row>
    <row r="4" hidden="1" s="584">
      <c r="A4" t="n">
        <v>12.7</v>
      </c>
      <c r="B4" t="n">
        <v>1.2</v>
      </c>
      <c r="C4" t="n">
        <v>0.772</v>
      </c>
      <c r="D4" t="inlineStr">
        <is>
          <t>000000000001939974</t>
        </is>
      </c>
      <c r="E4" t="inlineStr">
        <is>
          <t>TUB-O-O-AUT-AW-PE-12.70X1.200X0.7720</t>
        </is>
      </c>
      <c r="F4" t="inlineStr">
        <is>
          <t>De-burring</t>
        </is>
      </c>
    </row>
    <row r="5" hidden="1" s="584">
      <c r="A5" t="n">
        <v>12.7</v>
      </c>
      <c r="B5" t="n">
        <v>1.2</v>
      </c>
      <c r="C5" t="n">
        <v>6</v>
      </c>
      <c r="D5" t="inlineStr">
        <is>
          <t>000000000001939986</t>
        </is>
      </c>
      <c r="E5" t="inlineStr">
        <is>
          <t>TUB-O-O-GEN-AW-PE-12.70X1.200X6.0000</t>
        </is>
      </c>
      <c r="F5" t="inlineStr">
        <is>
          <t>De-burring</t>
        </is>
      </c>
    </row>
    <row r="6" hidden="1" s="584">
      <c r="A6" t="n">
        <v>12.7</v>
      </c>
      <c r="B6" t="n">
        <v>1.2</v>
      </c>
      <c r="C6" t="n">
        <v>6</v>
      </c>
      <c r="D6" t="inlineStr">
        <is>
          <t>000000000001939985</t>
        </is>
      </c>
      <c r="E6" t="inlineStr">
        <is>
          <t>TUB-O-O-AUT-AW-PE-12.70X1.200X6.0000</t>
        </is>
      </c>
      <c r="F6" t="inlineStr">
        <is>
          <t>De-burring</t>
        </is>
      </c>
    </row>
    <row r="7" hidden="1" s="584">
      <c r="A7" t="n">
        <v>12.7</v>
      </c>
      <c r="B7" t="n">
        <v>1.5</v>
      </c>
      <c r="C7" t="n">
        <v>0.164</v>
      </c>
      <c r="D7" t="inlineStr">
        <is>
          <t>000000000003181176</t>
        </is>
      </c>
      <c r="E7" t="inlineStr">
        <is>
          <t>TUB-O-N-AUT-AW-PE-12.70X1.500X0.1640</t>
        </is>
      </c>
      <c r="F7" t="inlineStr">
        <is>
          <t>De-burring</t>
        </is>
      </c>
    </row>
    <row r="8" hidden="1" s="584">
      <c r="A8" t="n">
        <v>12.7</v>
      </c>
      <c r="B8" t="n">
        <v>1.5</v>
      </c>
      <c r="C8" t="n">
        <v>0.17</v>
      </c>
      <c r="D8" t="inlineStr">
        <is>
          <t>000000000003204542</t>
        </is>
      </c>
      <c r="E8" t="inlineStr">
        <is>
          <t>TUB-O-N-AUT-AW-PE-12.70X1.500X0.1703</t>
        </is>
      </c>
      <c r="F8" t="inlineStr">
        <is>
          <t>De-burring</t>
        </is>
      </c>
    </row>
    <row r="9" hidden="1" s="584">
      <c r="A9" t="n">
        <v>12.7</v>
      </c>
      <c r="B9" t="n">
        <v>1.5</v>
      </c>
      <c r="C9" t="n">
        <v>0.174</v>
      </c>
      <c r="D9" t="inlineStr">
        <is>
          <t>000000000003181177</t>
        </is>
      </c>
      <c r="E9" t="inlineStr">
        <is>
          <t>TUB-O-N-AUT-AW-PE-12.70X1.500X0.1740</t>
        </is>
      </c>
      <c r="F9" t="inlineStr">
        <is>
          <t>De-burring</t>
        </is>
      </c>
    </row>
    <row r="10" hidden="1" s="584">
      <c r="A10" t="n">
        <v>12.7</v>
      </c>
      <c r="B10" t="n">
        <v>1.5</v>
      </c>
      <c r="C10" t="n">
        <v>0.184</v>
      </c>
      <c r="D10" t="inlineStr">
        <is>
          <t>000000000003204544</t>
        </is>
      </c>
      <c r="E10" t="inlineStr">
        <is>
          <t>TUB-O-N-AUT-AW-PE-12.70X1.500X0.1840</t>
        </is>
      </c>
      <c r="F10" t="inlineStr">
        <is>
          <t>De-burring</t>
        </is>
      </c>
    </row>
    <row r="11" hidden="1" s="584">
      <c r="A11" t="n">
        <v>12.7</v>
      </c>
      <c r="B11" t="n">
        <v>1.6</v>
      </c>
      <c r="C11" t="n">
        <v>0.145</v>
      </c>
      <c r="D11" t="inlineStr">
        <is>
          <t>000000000001939991</t>
        </is>
      </c>
      <c r="E11" t="inlineStr">
        <is>
          <t>TUB-O-O-AUT-AW-PE-12.70X1.600X0.1450</t>
        </is>
      </c>
      <c r="F11" t="inlineStr">
        <is>
          <t>De-burring</t>
        </is>
      </c>
    </row>
    <row r="12" hidden="1" s="584">
      <c r="A12" t="n">
        <v>12.7</v>
      </c>
      <c r="B12" t="n">
        <v>1.6</v>
      </c>
      <c r="C12" t="n">
        <v>0.189</v>
      </c>
      <c r="D12" t="inlineStr">
        <is>
          <t>000000000003432081</t>
        </is>
      </c>
      <c r="E12" t="inlineStr">
        <is>
          <t>TUB-O-N-AUT-AW-PE-12.70X1.600X0.1890</t>
        </is>
      </c>
      <c r="F12" t="inlineStr">
        <is>
          <t>De-burring</t>
        </is>
      </c>
    </row>
    <row r="13" hidden="1" s="584">
      <c r="A13" t="n">
        <v>12.7</v>
      </c>
      <c r="B13" t="n">
        <v>1.6</v>
      </c>
      <c r="C13" t="n">
        <v>0.255</v>
      </c>
      <c r="D13" t="inlineStr">
        <is>
          <t>000000000003223304</t>
        </is>
      </c>
      <c r="E13" t="inlineStr">
        <is>
          <t>TUB-O-N-AUT-AW-PE-12.70X1.600X0.2550</t>
        </is>
      </c>
      <c r="F13" t="inlineStr">
        <is>
          <t>De-burring</t>
        </is>
      </c>
    </row>
    <row r="14" hidden="1" s="584">
      <c r="A14" t="n">
        <v>12.7</v>
      </c>
      <c r="B14" t="n">
        <v>1.6</v>
      </c>
      <c r="C14" t="n">
        <v>0.257</v>
      </c>
      <c r="D14" t="inlineStr">
        <is>
          <t>000000000003676336</t>
        </is>
      </c>
      <c r="E14" t="inlineStr">
        <is>
          <t>TUB-O-N-AUT-AW-PE-12.70X1.600X0.2570</t>
        </is>
      </c>
      <c r="F14" t="inlineStr">
        <is>
          <t>De-burring</t>
        </is>
      </c>
    </row>
    <row r="15" hidden="1" s="584">
      <c r="A15" t="n">
        <v>12.7</v>
      </c>
      <c r="B15" t="n">
        <v>1.6</v>
      </c>
      <c r="C15" t="n">
        <v>0.26</v>
      </c>
      <c r="D15" t="inlineStr">
        <is>
          <t>000000000001932848</t>
        </is>
      </c>
      <c r="E15" t="inlineStr">
        <is>
          <t>TUB-O-N-AUT-AW-PE-12.70X1.600X0.2600</t>
        </is>
      </c>
      <c r="F15" t="inlineStr">
        <is>
          <t>De-burring</t>
        </is>
      </c>
    </row>
    <row r="16" hidden="1" s="584">
      <c r="A16" t="n">
        <v>12.7</v>
      </c>
      <c r="B16" t="n">
        <v>1.6</v>
      </c>
      <c r="C16" t="n">
        <v>0.28</v>
      </c>
      <c r="D16" t="inlineStr">
        <is>
          <t>000000000001939994</t>
        </is>
      </c>
      <c r="E16" t="inlineStr">
        <is>
          <t>TUB-O-O-AUT-AW-PE-12.70X1.600X0.2800</t>
        </is>
      </c>
      <c r="F16" t="inlineStr">
        <is>
          <t>De-burring</t>
        </is>
      </c>
    </row>
    <row r="17" hidden="1" s="584">
      <c r="A17" t="n">
        <v>12.7</v>
      </c>
      <c r="B17" t="n">
        <v>1.6</v>
      </c>
      <c r="C17" t="n">
        <v>0.32</v>
      </c>
      <c r="D17" t="inlineStr">
        <is>
          <t>000000000003676337</t>
        </is>
      </c>
      <c r="E17" t="inlineStr">
        <is>
          <t>TUB-O-N-AUT-AW-PE-12.70X1.600X0.3200</t>
        </is>
      </c>
      <c r="F17" t="inlineStr">
        <is>
          <t>De-burring</t>
        </is>
      </c>
    </row>
    <row r="18" hidden="1" s="584">
      <c r="A18" t="n">
        <v>12.7</v>
      </c>
      <c r="B18" t="n">
        <v>1.6</v>
      </c>
      <c r="C18" t="n">
        <v>0.338</v>
      </c>
      <c r="D18" t="inlineStr">
        <is>
          <t>000000000002276261</t>
        </is>
      </c>
      <c r="E18" t="inlineStr">
        <is>
          <t>TUB-O-N-AUT-AW-PE-12.70X1.600X0.3380</t>
        </is>
      </c>
      <c r="F18" t="inlineStr">
        <is>
          <t>De-burring</t>
        </is>
      </c>
    </row>
    <row r="19" hidden="1" s="584">
      <c r="A19" t="n">
        <v>12.7</v>
      </c>
      <c r="B19" t="n">
        <v>1.6</v>
      </c>
      <c r="C19" t="n">
        <v>0.7</v>
      </c>
      <c r="D19" t="inlineStr">
        <is>
          <t>000000000002319114</t>
        </is>
      </c>
      <c r="E19" t="inlineStr">
        <is>
          <t>TUB-O-N-AUT-AW-PE-12.70X1.600X0.7000</t>
        </is>
      </c>
      <c r="F19" t="inlineStr">
        <is>
          <t>De-burring</t>
        </is>
      </c>
    </row>
    <row r="20" hidden="1" s="584">
      <c r="A20" t="n">
        <v>12.7</v>
      </c>
      <c r="B20" t="n">
        <v>1.6</v>
      </c>
      <c r="C20" t="n">
        <v>0.95</v>
      </c>
      <c r="D20" t="inlineStr">
        <is>
          <t>000000000003172238</t>
        </is>
      </c>
      <c r="E20" t="inlineStr">
        <is>
          <t>TUB-O-N-AUT-AW-PE-12.70X1.600X0.9500</t>
        </is>
      </c>
      <c r="F20" t="inlineStr">
        <is>
          <t>De-burring</t>
        </is>
      </c>
    </row>
    <row r="21" hidden="1" s="584">
      <c r="A21" t="n">
        <v>12.7</v>
      </c>
      <c r="B21" t="n">
        <v>1.6</v>
      </c>
      <c r="C21" t="n">
        <v>0.95</v>
      </c>
      <c r="D21" t="inlineStr">
        <is>
          <t>000000000003620427</t>
        </is>
      </c>
      <c r="E21" t="inlineStr">
        <is>
          <t>TUB-O-N-AUT-AW-PE-12.70X1.600X0.9500</t>
        </is>
      </c>
      <c r="F21" t="inlineStr">
        <is>
          <t>De-burring</t>
        </is>
      </c>
    </row>
    <row r="22" hidden="1" s="584">
      <c r="A22" t="n">
        <v>12.7</v>
      </c>
      <c r="B22" t="n">
        <v>1.6</v>
      </c>
      <c r="C22" t="n">
        <v>6</v>
      </c>
      <c r="D22" t="inlineStr">
        <is>
          <t>000000000001940014</t>
        </is>
      </c>
      <c r="E22" t="inlineStr">
        <is>
          <t>TUB-O-O-GEN-AW-PE-12.70X1.600X6.0000</t>
        </is>
      </c>
      <c r="F22" t="inlineStr">
        <is>
          <t>De-burring</t>
        </is>
      </c>
    </row>
    <row r="23" hidden="1" s="584">
      <c r="A23" t="n">
        <v>14</v>
      </c>
      <c r="B23" t="n">
        <v>1.6</v>
      </c>
      <c r="C23" t="n">
        <v>0</v>
      </c>
      <c r="D23" t="inlineStr">
        <is>
          <t>000000000002410389</t>
        </is>
      </c>
      <c r="E23" t="inlineStr">
        <is>
          <t>TUB-O-C-AUT-AN-FC-14.00X1.600X04-05</t>
        </is>
      </c>
      <c r="F23" t="inlineStr">
        <is>
          <t>De-burring</t>
        </is>
      </c>
    </row>
    <row r="24" hidden="1" s="584">
      <c r="A24" t="n">
        <v>15</v>
      </c>
      <c r="B24" t="n">
        <v>2.3</v>
      </c>
      <c r="C24" t="n">
        <v>0</v>
      </c>
      <c r="D24" t="inlineStr">
        <is>
          <t>000000000002410988</t>
        </is>
      </c>
      <c r="E24" t="inlineStr">
        <is>
          <t>TUB-O-C-AUT-AD-FC-15.00X2.300X04-05</t>
        </is>
      </c>
      <c r="F24" t="inlineStr">
        <is>
          <t>De-burring</t>
        </is>
      </c>
    </row>
    <row r="25" hidden="1" s="584">
      <c r="A25" t="n">
        <v>15.88</v>
      </c>
      <c r="B25" t="n">
        <v>1</v>
      </c>
      <c r="C25" t="n">
        <v>0.594</v>
      </c>
      <c r="D25" t="inlineStr">
        <is>
          <t>000000000003398266</t>
        </is>
      </c>
      <c r="E25" t="inlineStr">
        <is>
          <t>TUB-O-N-AUT-AW-PE-15.88X1.000X0.5940</t>
        </is>
      </c>
      <c r="F25" t="inlineStr">
        <is>
          <t>De-burring</t>
        </is>
      </c>
    </row>
    <row r="26" hidden="1" s="584">
      <c r="A26" t="n">
        <v>15.88</v>
      </c>
      <c r="B26" t="n">
        <v>1</v>
      </c>
      <c r="C26" t="n">
        <v>0.765</v>
      </c>
      <c r="D26" t="inlineStr">
        <is>
          <t>000000000003241518</t>
        </is>
      </c>
      <c r="E26" t="inlineStr">
        <is>
          <t>TUB-O-N-AUT-AW-PE-15.88X1.000X0.7650</t>
        </is>
      </c>
      <c r="F26" t="inlineStr">
        <is>
          <t>De-burring</t>
        </is>
      </c>
    </row>
    <row r="27" hidden="1" s="584">
      <c r="A27" t="n">
        <v>15.88</v>
      </c>
      <c r="B27" t="n">
        <v>1</v>
      </c>
      <c r="C27" t="n">
        <v>1.234</v>
      </c>
      <c r="D27" t="inlineStr">
        <is>
          <t>000000000001941845</t>
        </is>
      </c>
      <c r="E27" t="inlineStr">
        <is>
          <t>TUB-E-O-AUT-AW-FC-15.88X1.000X1.2340</t>
        </is>
      </c>
      <c r="F27" t="inlineStr">
        <is>
          <t>De-burring</t>
        </is>
      </c>
    </row>
    <row r="28" hidden="1" s="584">
      <c r="A28" t="n">
        <v>15.88</v>
      </c>
      <c r="B28" t="n">
        <v>1</v>
      </c>
      <c r="C28" t="n">
        <v>2.185</v>
      </c>
      <c r="D28" t="inlineStr">
        <is>
          <t>000000000001941847</t>
        </is>
      </c>
      <c r="E28" t="inlineStr">
        <is>
          <t>TUB-E-O-AUT-AW-FC-15.88X1.000X2.1850</t>
        </is>
      </c>
      <c r="F28" t="inlineStr">
        <is>
          <t>De-burring</t>
        </is>
      </c>
    </row>
    <row r="29" hidden="1" s="584">
      <c r="A29" t="n">
        <v>15.88</v>
      </c>
      <c r="B29" t="n">
        <v>1</v>
      </c>
      <c r="C29" t="n">
        <v>2.905</v>
      </c>
      <c r="D29" t="inlineStr">
        <is>
          <t>000000000003541434</t>
        </is>
      </c>
      <c r="E29" t="inlineStr">
        <is>
          <t>TUB-O-N-AUT-AW-PE-15.88X1.000X2.9050</t>
        </is>
      </c>
      <c r="F29" t="inlineStr">
        <is>
          <t>De-burring</t>
        </is>
      </c>
    </row>
    <row r="30" hidden="1" s="584">
      <c r="A30" t="n">
        <v>15.88</v>
      </c>
      <c r="B30" t="n">
        <v>1</v>
      </c>
      <c r="C30" t="n">
        <v>6</v>
      </c>
      <c r="D30" t="inlineStr">
        <is>
          <t>000000000003701633</t>
        </is>
      </c>
      <c r="E30" t="inlineStr">
        <is>
          <t>TUB-O-N-AUT-AW-PE-15.88X1.000X6.0000</t>
        </is>
      </c>
      <c r="F30" t="inlineStr">
        <is>
          <t>De-burring</t>
        </is>
      </c>
    </row>
    <row r="31" hidden="1" s="584">
      <c r="A31" t="n">
        <v>15.88</v>
      </c>
      <c r="B31" t="n">
        <v>1.2</v>
      </c>
      <c r="C31" t="n">
        <v>0.484</v>
      </c>
      <c r="D31" t="inlineStr">
        <is>
          <t>000000000003241517</t>
        </is>
      </c>
      <c r="E31" t="inlineStr">
        <is>
          <t>TUB-O-N-AUT-AW-PE-15.88X1.200X0.4840</t>
        </is>
      </c>
      <c r="F31" t="inlineStr">
        <is>
          <t>De-burring</t>
        </is>
      </c>
    </row>
    <row r="32" hidden="1" s="584">
      <c r="A32" t="n">
        <v>15.88</v>
      </c>
      <c r="B32" t="n">
        <v>1.2</v>
      </c>
      <c r="C32" t="n">
        <v>0.505</v>
      </c>
      <c r="D32" t="inlineStr">
        <is>
          <t>000000000003447258</t>
        </is>
      </c>
      <c r="E32" t="inlineStr">
        <is>
          <t>TUB-O-N-AUT-AW-PE-15.88X1.200X0.5050</t>
        </is>
      </c>
      <c r="F32" t="inlineStr">
        <is>
          <t>De-burring</t>
        </is>
      </c>
    </row>
    <row r="33" hidden="1" s="584">
      <c r="A33" t="n">
        <v>15.88</v>
      </c>
      <c r="B33" t="n">
        <v>1.2</v>
      </c>
      <c r="C33" t="n">
        <v>0.54</v>
      </c>
      <c r="D33" t="inlineStr">
        <is>
          <t>000000000001940034</t>
        </is>
      </c>
      <c r="E33" t="inlineStr">
        <is>
          <t>TUB-O-O-AUT-AW-PE-15.88X1.200X0.5400</t>
        </is>
      </c>
      <c r="F33" t="inlineStr">
        <is>
          <t>De-burring</t>
        </is>
      </c>
    </row>
    <row r="34" hidden="1" s="584">
      <c r="A34" t="n">
        <v>15.88</v>
      </c>
      <c r="B34" t="n">
        <v>1.2</v>
      </c>
      <c r="C34" t="n">
        <v>0.68</v>
      </c>
      <c r="D34" t="inlineStr">
        <is>
          <t>000000000001940038</t>
        </is>
      </c>
      <c r="E34" t="inlineStr">
        <is>
          <t>TUB-O-O-AUT-AW-PE-15.88X1.200X0.6800</t>
        </is>
      </c>
      <c r="F34" t="inlineStr">
        <is>
          <t>De-burring</t>
        </is>
      </c>
    </row>
    <row r="35" hidden="1" s="584">
      <c r="A35" t="n">
        <v>15.88</v>
      </c>
      <c r="B35" t="n">
        <v>1.2</v>
      </c>
      <c r="C35" t="n">
        <v>0.755</v>
      </c>
      <c r="D35" t="inlineStr">
        <is>
          <t>000000000003715199</t>
        </is>
      </c>
      <c r="E35" t="inlineStr">
        <is>
          <t>TUB-O-O-AUT-AW-PE-15.88X1.200X0.7550</t>
        </is>
      </c>
      <c r="F35" t="inlineStr">
        <is>
          <t>De-burring</t>
        </is>
      </c>
    </row>
    <row r="36" hidden="1" s="584">
      <c r="A36" t="n">
        <v>15.88</v>
      </c>
      <c r="B36" t="n">
        <v>1.2</v>
      </c>
      <c r="C36" t="n">
        <v>0.888</v>
      </c>
      <c r="D36" t="inlineStr">
        <is>
          <t>000000000001940043</t>
        </is>
      </c>
      <c r="E36" t="inlineStr">
        <is>
          <t>TUB-O-O-AUT-AW-PE-15.88X1.200X0.8880</t>
        </is>
      </c>
      <c r="F36" t="inlineStr">
        <is>
          <t>De-burring</t>
        </is>
      </c>
    </row>
    <row r="37" hidden="1" s="584">
      <c r="A37" t="n">
        <v>15.88</v>
      </c>
      <c r="B37" t="n">
        <v>1.2</v>
      </c>
      <c r="C37" t="n">
        <v>1.13</v>
      </c>
      <c r="D37" t="inlineStr">
        <is>
          <t>000000000001940045</t>
        </is>
      </c>
      <c r="E37" t="inlineStr">
        <is>
          <t>TUB-O-O-AUT-AW-PE-15.88X1.200X1.1300</t>
        </is>
      </c>
      <c r="F37" t="inlineStr">
        <is>
          <t>De-burring</t>
        </is>
      </c>
    </row>
    <row r="38" hidden="1" s="584">
      <c r="A38" t="n">
        <v>15.88</v>
      </c>
      <c r="B38" t="n">
        <v>1.2</v>
      </c>
      <c r="C38" t="n">
        <v>1.254</v>
      </c>
      <c r="D38" t="inlineStr">
        <is>
          <t>000000000003241515</t>
        </is>
      </c>
      <c r="E38" t="inlineStr">
        <is>
          <t>TUB-O-N-AUT-AW-PE-15.88X1.200X1.2540</t>
        </is>
      </c>
      <c r="F38" t="inlineStr">
        <is>
          <t>De-burring</t>
        </is>
      </c>
    </row>
    <row r="39" hidden="1" s="584">
      <c r="A39" t="n">
        <v>15.88</v>
      </c>
      <c r="B39" t="n">
        <v>1.2</v>
      </c>
      <c r="C39" t="n">
        <v>1.294</v>
      </c>
      <c r="D39" t="inlineStr">
        <is>
          <t>000000000003241514</t>
        </is>
      </c>
      <c r="E39" t="inlineStr">
        <is>
          <t>TUB-O-N-AUT-AW-PE-15.88X1.200X1.2940</t>
        </is>
      </c>
      <c r="F39" t="inlineStr">
        <is>
          <t>De-burring</t>
        </is>
      </c>
    </row>
    <row r="40" hidden="1" s="584">
      <c r="A40" t="n">
        <v>15.88</v>
      </c>
      <c r="B40" t="n">
        <v>1.2</v>
      </c>
      <c r="C40" t="n">
        <v>1.31</v>
      </c>
      <c r="D40" t="inlineStr">
        <is>
          <t>000000000001940046</t>
        </is>
      </c>
      <c r="E40" t="inlineStr">
        <is>
          <t>TUB-O-O-AUT-AW-PE-15.88X1.200X1.3100</t>
        </is>
      </c>
      <c r="F40" t="inlineStr">
        <is>
          <t>De-burring</t>
        </is>
      </c>
    </row>
    <row r="41" hidden="1" s="584">
      <c r="A41" t="n">
        <v>15.88</v>
      </c>
      <c r="B41" t="n">
        <v>1.6</v>
      </c>
      <c r="C41" t="n">
        <v>0.435</v>
      </c>
      <c r="D41" t="inlineStr">
        <is>
          <t>000000000003620428</t>
        </is>
      </c>
      <c r="E41" t="inlineStr">
        <is>
          <t>TUB-O-N-AUT-AW-PE-15.88X1.600X0.4350</t>
        </is>
      </c>
      <c r="F41" t="inlineStr">
        <is>
          <t>De-burring</t>
        </is>
      </c>
    </row>
    <row r="42" hidden="1" s="584">
      <c r="A42" t="n">
        <v>15.88</v>
      </c>
      <c r="B42" t="n">
        <v>1.6</v>
      </c>
      <c r="C42" t="n">
        <v>6</v>
      </c>
      <c r="D42" t="inlineStr">
        <is>
          <t>000000000001940078</t>
        </is>
      </c>
      <c r="E42" t="inlineStr">
        <is>
          <t>TUB-O-O-GEN-AW-PE-15.88X1.600X6.0000</t>
        </is>
      </c>
      <c r="F42" t="inlineStr">
        <is>
          <t>De-burring</t>
        </is>
      </c>
    </row>
    <row r="43" hidden="1" s="584">
      <c r="A43" t="n">
        <v>15.88</v>
      </c>
      <c r="B43" t="n">
        <v>1.6</v>
      </c>
      <c r="C43" t="n">
        <v>6</v>
      </c>
      <c r="D43" t="inlineStr">
        <is>
          <t>000000000002243792</t>
        </is>
      </c>
      <c r="E43" t="inlineStr">
        <is>
          <t>TUB-O-N-GEN-AP-PE-15.88X1.600X6.0000</t>
        </is>
      </c>
      <c r="F43" t="inlineStr">
        <is>
          <t>De-burring</t>
        </is>
      </c>
    </row>
    <row r="44" hidden="1" s="584">
      <c r="A44" t="n">
        <v>15.88</v>
      </c>
      <c r="B44" t="n">
        <v>1.6</v>
      </c>
      <c r="C44" t="n">
        <v>6</v>
      </c>
      <c r="D44" t="inlineStr">
        <is>
          <t>000000000001900224</t>
        </is>
      </c>
      <c r="E44" t="inlineStr">
        <is>
          <t>TUB-O-N-AUT-AP-PE-15.88X1.600X6.0000</t>
        </is>
      </c>
      <c r="F44" t="inlineStr">
        <is>
          <t>De-burring</t>
        </is>
      </c>
    </row>
    <row r="45" hidden="1" s="584">
      <c r="A45" t="n">
        <v>15.88</v>
      </c>
      <c r="B45" t="n">
        <v>1.6</v>
      </c>
      <c r="C45" t="n">
        <v>6</v>
      </c>
      <c r="D45" t="inlineStr">
        <is>
          <t>000000000001940077</t>
        </is>
      </c>
      <c r="E45" t="inlineStr">
        <is>
          <t>TUB-O-O-AUT-AW-PE-15.88X1.600X6.0000</t>
        </is>
      </c>
      <c r="F45" t="inlineStr">
        <is>
          <t>De-burring</t>
        </is>
      </c>
    </row>
    <row r="46" hidden="1" s="584">
      <c r="A46" t="n">
        <v>15.88</v>
      </c>
      <c r="B46" t="n">
        <v>2</v>
      </c>
      <c r="C46" t="n">
        <v>0.291</v>
      </c>
      <c r="D46" t="inlineStr">
        <is>
          <t>000000000001940090</t>
        </is>
      </c>
      <c r="E46" t="inlineStr">
        <is>
          <t>TUB-O-O-AUT-AW-PE-15.88X2.000X0.2910</t>
        </is>
      </c>
      <c r="F46" t="inlineStr">
        <is>
          <t>De-burring</t>
        </is>
      </c>
    </row>
    <row r="47" hidden="1" s="584">
      <c r="A47" t="n">
        <v>15.88</v>
      </c>
      <c r="B47" t="n">
        <v>2</v>
      </c>
      <c r="C47" t="n">
        <v>0.38</v>
      </c>
      <c r="D47" t="inlineStr">
        <is>
          <t>000000000003696706</t>
        </is>
      </c>
      <c r="E47" t="inlineStr">
        <is>
          <t>TUB-O-N-AUT-AW-PE-15.88X2.000X0.3800</t>
        </is>
      </c>
      <c r="F47" t="inlineStr">
        <is>
          <t>De-burring</t>
        </is>
      </c>
    </row>
    <row r="48" hidden="1" s="584">
      <c r="A48" t="n">
        <v>15.88</v>
      </c>
      <c r="B48" t="n">
        <v>2</v>
      </c>
      <c r="C48" t="n">
        <v>0.442</v>
      </c>
      <c r="D48" t="inlineStr">
        <is>
          <t>000000000002243845</t>
        </is>
      </c>
      <c r="E48" t="inlineStr">
        <is>
          <t>TUB-O-N-AUT-HR-PE-15.88X2.000X0.4420</t>
        </is>
      </c>
      <c r="F48" t="inlineStr">
        <is>
          <t>De-burring</t>
        </is>
      </c>
    </row>
    <row r="49" hidden="1" s="584">
      <c r="A49" t="n">
        <v>15.88</v>
      </c>
      <c r="B49" t="n">
        <v>2</v>
      </c>
      <c r="C49" t="n">
        <v>0.46</v>
      </c>
      <c r="D49" t="inlineStr">
        <is>
          <t>000000000003696705</t>
        </is>
      </c>
      <c r="E49" t="inlineStr">
        <is>
          <t>TUB-O-N-AUT-AW-PE-15.88X2.000X0.4600</t>
        </is>
      </c>
      <c r="F49" t="inlineStr">
        <is>
          <t>De-burring</t>
        </is>
      </c>
    </row>
    <row r="50" hidden="1" s="584">
      <c r="A50" t="n">
        <v>15.88</v>
      </c>
      <c r="B50" t="n">
        <v>2</v>
      </c>
      <c r="C50" t="n">
        <v>0.493</v>
      </c>
      <c r="D50" t="inlineStr">
        <is>
          <t>000000000003436935</t>
        </is>
      </c>
      <c r="E50" t="inlineStr">
        <is>
          <t>TUB-O-N-AUT-AW-PE-15.88X2.000X0.4930</t>
        </is>
      </c>
      <c r="F50" t="inlineStr">
        <is>
          <t>De-burring</t>
        </is>
      </c>
    </row>
    <row r="51" hidden="1" s="584">
      <c r="A51" t="n">
        <v>15.88</v>
      </c>
      <c r="B51" t="n">
        <v>2</v>
      </c>
      <c r="C51" t="n">
        <v>0.5</v>
      </c>
      <c r="D51" t="inlineStr">
        <is>
          <t>000000000003442448</t>
        </is>
      </c>
      <c r="E51" t="inlineStr">
        <is>
          <t>TUB-O-N-AUT-AW-PE-15.88X2.000X0.5000</t>
        </is>
      </c>
      <c r="F51" t="inlineStr">
        <is>
          <t>De-burring</t>
        </is>
      </c>
    </row>
    <row r="52" hidden="1" s="584">
      <c r="A52" t="n">
        <v>15.88</v>
      </c>
      <c r="B52" t="n">
        <v>2</v>
      </c>
      <c r="C52" t="n">
        <v>0.507</v>
      </c>
      <c r="D52" t="inlineStr">
        <is>
          <t>000000000003442449</t>
        </is>
      </c>
      <c r="E52" t="inlineStr">
        <is>
          <t>TUB-O-N-AUT-AW-PE-15.88X2.000X0.5070</t>
        </is>
      </c>
      <c r="F52" t="inlineStr">
        <is>
          <t>De-burring</t>
        </is>
      </c>
    </row>
    <row r="53" hidden="1" s="584">
      <c r="A53" t="n">
        <v>15.88</v>
      </c>
      <c r="B53" t="n">
        <v>2</v>
      </c>
      <c r="C53" t="n">
        <v>0.51</v>
      </c>
      <c r="D53" t="inlineStr">
        <is>
          <t>000000000002420714</t>
        </is>
      </c>
      <c r="E53" t="inlineStr">
        <is>
          <t>TUB-O-N-AUT-AW-PE-15.88X2.000X0.5100</t>
        </is>
      </c>
      <c r="F53" t="inlineStr">
        <is>
          <t>De-burring</t>
        </is>
      </c>
    </row>
    <row r="54" hidden="1" s="584">
      <c r="A54" t="n">
        <v>15.88</v>
      </c>
      <c r="B54" t="n">
        <v>2</v>
      </c>
      <c r="C54" t="n">
        <v>0.515</v>
      </c>
      <c r="D54" t="inlineStr">
        <is>
          <t>000000000001940099</t>
        </is>
      </c>
      <c r="E54" t="inlineStr">
        <is>
          <t>TUB-O-O-AUT-AW-PE-15.88X2.000X0.5150</t>
        </is>
      </c>
      <c r="F54" t="inlineStr">
        <is>
          <t>De-burring</t>
        </is>
      </c>
    </row>
    <row r="55" hidden="1" s="584">
      <c r="A55" t="n">
        <v>15.88</v>
      </c>
      <c r="B55" t="n">
        <v>2</v>
      </c>
      <c r="C55" t="n">
        <v>0.585</v>
      </c>
      <c r="D55" t="inlineStr">
        <is>
          <t>000000000003696704</t>
        </is>
      </c>
      <c r="E55" t="inlineStr">
        <is>
          <t>TUB-O-N-AUT-AW-PE-15.88X2.000X0.5850</t>
        </is>
      </c>
      <c r="F55" t="inlineStr">
        <is>
          <t>De-burring</t>
        </is>
      </c>
    </row>
    <row r="56" hidden="1" s="584">
      <c r="A56" t="n">
        <v>15.88</v>
      </c>
      <c r="B56" t="n">
        <v>2</v>
      </c>
      <c r="C56" t="n">
        <v>0.61</v>
      </c>
      <c r="D56" t="inlineStr">
        <is>
          <t>000000000001940109</t>
        </is>
      </c>
      <c r="E56" t="inlineStr">
        <is>
          <t>TUB-O-O-AUT-AW-PE-15.88X2.000X0.6100</t>
        </is>
      </c>
      <c r="F56" t="inlineStr">
        <is>
          <t>De-burring</t>
        </is>
      </c>
    </row>
    <row r="57" hidden="1" s="584">
      <c r="A57" t="n">
        <v>15.88</v>
      </c>
      <c r="B57" t="n">
        <v>2</v>
      </c>
      <c r="C57" t="n">
        <v>0.668</v>
      </c>
      <c r="D57" t="inlineStr">
        <is>
          <t>000000000003863795</t>
        </is>
      </c>
      <c r="E57" t="inlineStr">
        <is>
          <t>CUT-O-N-AUT-AW-PE-15.88X2.000X0.6680</t>
        </is>
      </c>
      <c r="F57" t="inlineStr">
        <is>
          <t>De-burring</t>
        </is>
      </c>
    </row>
    <row r="58" hidden="1" s="584">
      <c r="A58" t="n">
        <v>15.88</v>
      </c>
      <c r="B58" t="n">
        <v>2</v>
      </c>
      <c r="C58" t="n">
        <v>0.745</v>
      </c>
      <c r="D58" t="inlineStr">
        <is>
          <t>000000000003722839</t>
        </is>
      </c>
      <c r="E58" t="inlineStr">
        <is>
          <t>TUB-O-N-AUT-AW-PE-15.88X2.000X0.7450</t>
        </is>
      </c>
      <c r="F58" t="inlineStr">
        <is>
          <t>De-burring</t>
        </is>
      </c>
    </row>
    <row r="59" hidden="1" s="584">
      <c r="A59" t="n">
        <v>15.88</v>
      </c>
      <c r="B59" t="n">
        <v>2</v>
      </c>
      <c r="C59" t="n">
        <v>6</v>
      </c>
      <c r="D59" t="inlineStr">
        <is>
          <t>000000000001940120</t>
        </is>
      </c>
      <c r="E59" t="inlineStr">
        <is>
          <t>TUB-O-O-AUT-AW-PE-15.88X2.000X6.0000</t>
        </is>
      </c>
      <c r="F59" t="inlineStr">
        <is>
          <t>De-burring</t>
        </is>
      </c>
    </row>
    <row r="60" hidden="1" s="584">
      <c r="A60" t="n">
        <v>16.1</v>
      </c>
      <c r="B60" t="n">
        <v>2.7</v>
      </c>
      <c r="C60" t="n">
        <v>0</v>
      </c>
      <c r="D60" t="inlineStr">
        <is>
          <t>000000000002410996</t>
        </is>
      </c>
      <c r="E60" t="inlineStr">
        <is>
          <t>TUB-O-C-AUT-AD-FC-16.10X2.700X04-05</t>
        </is>
      </c>
      <c r="F60" t="inlineStr">
        <is>
          <t>De-burring</t>
        </is>
      </c>
    </row>
    <row r="61" hidden="1" s="584">
      <c r="A61" t="n">
        <v>17.3</v>
      </c>
      <c r="B61" t="n">
        <v>1.2</v>
      </c>
      <c r="C61" t="n">
        <v>0.15</v>
      </c>
      <c r="D61" t="inlineStr">
        <is>
          <t>000000000001938195</t>
        </is>
      </c>
      <c r="E61" t="inlineStr">
        <is>
          <t>TUB-O-N-AUT-AW-PE-17.30X1.200X0.1500</t>
        </is>
      </c>
      <c r="F61" t="inlineStr">
        <is>
          <t>De-burring</t>
        </is>
      </c>
    </row>
    <row r="62" hidden="1" s="584">
      <c r="A62" t="n">
        <v>17.3</v>
      </c>
      <c r="B62" t="n">
        <v>1.6</v>
      </c>
      <c r="C62" t="n">
        <v>0.355</v>
      </c>
      <c r="D62" t="inlineStr">
        <is>
          <t>000000000001938118</t>
        </is>
      </c>
      <c r="E62" t="inlineStr">
        <is>
          <t>TUB-O-N-AUT-AW-PE-17.30X1.600X0.3550</t>
        </is>
      </c>
      <c r="F62" t="inlineStr">
        <is>
          <t>De-burring</t>
        </is>
      </c>
    </row>
    <row r="63" hidden="1" s="584">
      <c r="A63" t="n">
        <v>17.3</v>
      </c>
      <c r="B63" t="n">
        <v>1.6</v>
      </c>
      <c r="C63" t="n">
        <v>0.4</v>
      </c>
      <c r="D63" t="inlineStr">
        <is>
          <t>000000000001938119</t>
        </is>
      </c>
      <c r="E63" t="inlineStr">
        <is>
          <t>TUB-O-N-AUT-AW-PE-17.30X1.600X0.4000</t>
        </is>
      </c>
      <c r="F63" t="inlineStr">
        <is>
          <t>De-burring</t>
        </is>
      </c>
    </row>
    <row r="64" hidden="1" s="584">
      <c r="A64" t="n">
        <v>18.2</v>
      </c>
      <c r="B64" t="n">
        <v>1</v>
      </c>
      <c r="C64" t="n">
        <v>0.11</v>
      </c>
      <c r="D64" t="inlineStr">
        <is>
          <t>000000000001938116</t>
        </is>
      </c>
      <c r="E64" t="inlineStr">
        <is>
          <t>TUB-O-N-GEN-AW-PE-18.20X1.000X0.1100</t>
        </is>
      </c>
      <c r="F64" t="inlineStr">
        <is>
          <t>De-burring</t>
        </is>
      </c>
    </row>
    <row r="65" hidden="1" s="584">
      <c r="A65" t="n">
        <v>18.2</v>
      </c>
      <c r="B65" t="n">
        <v>1</v>
      </c>
      <c r="C65" t="n">
        <v>0.145</v>
      </c>
      <c r="D65" t="inlineStr">
        <is>
          <t>000000000001938117</t>
        </is>
      </c>
      <c r="E65" t="inlineStr">
        <is>
          <t>TUB-O-N-GEN-AW-PE-18.20X1.000X0.1450</t>
        </is>
      </c>
      <c r="F65" t="inlineStr">
        <is>
          <t>De-burring</t>
        </is>
      </c>
    </row>
    <row r="66" hidden="1" s="584">
      <c r="A66" t="n">
        <v>18.2</v>
      </c>
      <c r="B66" t="n">
        <v>1</v>
      </c>
      <c r="C66" t="n">
        <v>6.145</v>
      </c>
      <c r="D66" t="inlineStr">
        <is>
          <t>000000000002288945</t>
        </is>
      </c>
      <c r="E66" t="inlineStr">
        <is>
          <t>TUB-O-N-AUT-AW-PE-18.20X1.000X6.1450</t>
        </is>
      </c>
      <c r="F66" t="inlineStr">
        <is>
          <t>De-burring</t>
        </is>
      </c>
    </row>
    <row r="67" hidden="1" s="584">
      <c r="A67" t="n">
        <v>19</v>
      </c>
      <c r="B67" t="n">
        <v>0.8100000000000001</v>
      </c>
      <c r="C67" t="n">
        <v>6</v>
      </c>
      <c r="D67" t="inlineStr">
        <is>
          <t>000000000001931621</t>
        </is>
      </c>
      <c r="E67" t="inlineStr">
        <is>
          <t>TUB-S-FH-SHS-19.00X19.00X0.810X6.0000</t>
        </is>
      </c>
      <c r="F67" t="inlineStr">
        <is>
          <t>De-burring</t>
        </is>
      </c>
    </row>
    <row r="68" hidden="1" s="584">
      <c r="A68" t="n">
        <v>19</v>
      </c>
      <c r="B68" t="n">
        <v>1</v>
      </c>
      <c r="C68" t="n">
        <v>0.15</v>
      </c>
      <c r="D68" t="inlineStr">
        <is>
          <t>000000000003230486</t>
        </is>
      </c>
      <c r="E68" t="inlineStr">
        <is>
          <t>TUB-S-AW-AUT-19.00X19.00X1.000X0.1500</t>
        </is>
      </c>
      <c r="F68" t="inlineStr">
        <is>
          <t>De-burring</t>
        </is>
      </c>
    </row>
    <row r="69" hidden="1" s="584">
      <c r="A69" t="n">
        <v>19</v>
      </c>
      <c r="B69" t="n">
        <v>1</v>
      </c>
      <c r="C69" t="n">
        <v>0.164</v>
      </c>
      <c r="D69" t="inlineStr">
        <is>
          <t>000000000003571862</t>
        </is>
      </c>
      <c r="E69" t="inlineStr">
        <is>
          <t>TUB-S-AW-AUT-19.00X19.00X1.000X0.1640</t>
        </is>
      </c>
      <c r="F69" t="inlineStr">
        <is>
          <t>De-burring</t>
        </is>
      </c>
    </row>
    <row r="70" hidden="1" s="584">
      <c r="A70" t="n">
        <v>19</v>
      </c>
      <c r="B70" t="n">
        <v>1</v>
      </c>
      <c r="C70" t="n">
        <v>0.2</v>
      </c>
      <c r="D70" t="inlineStr">
        <is>
          <t>000000000003584173</t>
        </is>
      </c>
      <c r="E70" t="inlineStr">
        <is>
          <t>TUB-S-AW-SHS-19.00X19.00X1.000X0.2000</t>
        </is>
      </c>
      <c r="F70" t="inlineStr">
        <is>
          <t>De-burring</t>
        </is>
      </c>
    </row>
    <row r="71" hidden="1" s="584">
      <c r="A71" t="n">
        <v>19</v>
      </c>
      <c r="B71" t="n">
        <v>1</v>
      </c>
      <c r="C71" t="n">
        <v>0.22</v>
      </c>
      <c r="D71" t="inlineStr">
        <is>
          <t>000000000003571863</t>
        </is>
      </c>
      <c r="E71" t="inlineStr">
        <is>
          <t>TUB-S-AW-AUT-19.00X19.00X1.000X0.2200</t>
        </is>
      </c>
      <c r="F71" t="inlineStr">
        <is>
          <t>De-burring</t>
        </is>
      </c>
    </row>
    <row r="72" hidden="1" s="584">
      <c r="A72" t="n">
        <v>19</v>
      </c>
      <c r="B72" t="n">
        <v>1</v>
      </c>
      <c r="C72" t="n">
        <v>0.29</v>
      </c>
      <c r="D72" t="inlineStr">
        <is>
          <t>000000000003571864</t>
        </is>
      </c>
      <c r="E72" t="inlineStr">
        <is>
          <t>TUB-S-AW-AUT-19.00X19.00X1.000X0.2900</t>
        </is>
      </c>
      <c r="F72" t="inlineStr">
        <is>
          <t>De-burring</t>
        </is>
      </c>
    </row>
    <row r="73" hidden="1" s="584">
      <c r="A73" t="n">
        <v>19</v>
      </c>
      <c r="B73" t="n">
        <v>1</v>
      </c>
      <c r="C73" t="n">
        <v>0.32</v>
      </c>
      <c r="D73" t="inlineStr">
        <is>
          <t>000000000003571866</t>
        </is>
      </c>
      <c r="E73" t="inlineStr">
        <is>
          <t>TUB-S-AW-AUT-19.00X19.00X1.000X0.3200</t>
        </is>
      </c>
      <c r="F73" t="inlineStr">
        <is>
          <t>De-burring</t>
        </is>
      </c>
    </row>
    <row r="74" hidden="1" s="584">
      <c r="A74" t="n">
        <v>19</v>
      </c>
      <c r="B74" t="n">
        <v>1</v>
      </c>
      <c r="C74" t="n">
        <v>0.33</v>
      </c>
      <c r="D74" t="inlineStr">
        <is>
          <t>000000000003838020</t>
        </is>
      </c>
      <c r="E74" t="inlineStr">
        <is>
          <t>CUT-S-AW-AUT-19.00X19.00X1.000X0.3300</t>
        </is>
      </c>
      <c r="F74" t="inlineStr">
        <is>
          <t>De-burring</t>
        </is>
      </c>
    </row>
    <row r="75" hidden="1" s="584">
      <c r="A75" t="n">
        <v>19</v>
      </c>
      <c r="B75" t="n">
        <v>1</v>
      </c>
      <c r="C75" t="n">
        <v>0.355</v>
      </c>
      <c r="D75" t="inlineStr">
        <is>
          <t>000000000003230490</t>
        </is>
      </c>
      <c r="E75" t="inlineStr">
        <is>
          <t>TUB-S-AW-AUT-19.00X19.00X1.000X0.3550</t>
        </is>
      </c>
      <c r="F75" t="inlineStr">
        <is>
          <t>De-burring</t>
        </is>
      </c>
    </row>
    <row r="76" hidden="1" s="584">
      <c r="A76" t="n">
        <v>19</v>
      </c>
      <c r="B76" t="n">
        <v>1</v>
      </c>
      <c r="C76" t="n">
        <v>0.377</v>
      </c>
      <c r="D76" t="inlineStr">
        <is>
          <t>000000000003571867</t>
        </is>
      </c>
      <c r="E76" t="inlineStr">
        <is>
          <t>TUB-S-AW-AUT-19.00X19.00X1.000X0.3770</t>
        </is>
      </c>
      <c r="F76" t="inlineStr">
        <is>
          <t>De-burring</t>
        </is>
      </c>
    </row>
    <row r="77" hidden="1" s="584">
      <c r="A77" t="n">
        <v>19</v>
      </c>
      <c r="B77" t="n">
        <v>1</v>
      </c>
      <c r="C77" t="n">
        <v>0.392</v>
      </c>
      <c r="D77" t="inlineStr">
        <is>
          <t>000000000003571868</t>
        </is>
      </c>
      <c r="E77" t="inlineStr">
        <is>
          <t>TUB-S-AW-AUT-19.00X19.00X1.000X0.3920</t>
        </is>
      </c>
      <c r="F77" t="inlineStr">
        <is>
          <t>De-burring</t>
        </is>
      </c>
    </row>
    <row r="78" hidden="1" s="584">
      <c r="A78" t="n">
        <v>19</v>
      </c>
      <c r="B78" t="n">
        <v>1</v>
      </c>
      <c r="C78" t="n">
        <v>0.4</v>
      </c>
      <c r="D78" t="inlineStr">
        <is>
          <t>000000000003230487</t>
        </is>
      </c>
      <c r="E78" t="inlineStr">
        <is>
          <t>TUB-S-AW-AUT-19.00X19.00X1.000X0.4000</t>
        </is>
      </c>
      <c r="F78" t="inlineStr">
        <is>
          <t>De-burring</t>
        </is>
      </c>
    </row>
    <row r="79" hidden="1" s="584">
      <c r="A79" t="n">
        <v>19</v>
      </c>
      <c r="B79" t="n">
        <v>1</v>
      </c>
      <c r="C79" t="n">
        <v>0.462</v>
      </c>
      <c r="D79" t="inlineStr">
        <is>
          <t>000000000003234371</t>
        </is>
      </c>
      <c r="E79" t="inlineStr">
        <is>
          <t>TUB-S-AW-AUT-19.00X19.00X1.000X0.4620</t>
        </is>
      </c>
      <c r="F79" t="inlineStr">
        <is>
          <t>De-burring</t>
        </is>
      </c>
    </row>
    <row r="80" hidden="1" s="584">
      <c r="A80" t="n">
        <v>19</v>
      </c>
      <c r="B80" t="n">
        <v>1</v>
      </c>
      <c r="C80" t="n">
        <v>0.47</v>
      </c>
      <c r="D80" t="inlineStr">
        <is>
          <t>000000000003230488</t>
        </is>
      </c>
      <c r="E80" t="inlineStr">
        <is>
          <t>TUB-S-AW-AUT-19.00X19.00X1.000X0.4700</t>
        </is>
      </c>
      <c r="F80" t="inlineStr">
        <is>
          <t>De-burring</t>
        </is>
      </c>
    </row>
    <row r="81" hidden="1" s="584">
      <c r="A81" t="n">
        <v>19</v>
      </c>
      <c r="B81" t="n">
        <v>1</v>
      </c>
      <c r="C81" t="n">
        <v>0.486</v>
      </c>
      <c r="D81" t="inlineStr">
        <is>
          <t>000000000003571869</t>
        </is>
      </c>
      <c r="E81" t="inlineStr">
        <is>
          <t>TUB-S-AW-AUT-19.00X19.00X1.000X0.4860</t>
        </is>
      </c>
      <c r="F81" t="inlineStr">
        <is>
          <t>De-burring</t>
        </is>
      </c>
    </row>
    <row r="82" hidden="1" s="584">
      <c r="A82" t="n">
        <v>19</v>
      </c>
      <c r="B82" t="n">
        <v>1</v>
      </c>
      <c r="C82" t="n">
        <v>0.54</v>
      </c>
      <c r="D82" t="inlineStr">
        <is>
          <t>000000000003571870</t>
        </is>
      </c>
      <c r="E82" t="inlineStr">
        <is>
          <t>TUB-S-AW-AUT-19.00X19.00X1.000X0.5400</t>
        </is>
      </c>
      <c r="F82" t="inlineStr">
        <is>
          <t>De-burring</t>
        </is>
      </c>
    </row>
    <row r="83" hidden="1" s="584">
      <c r="A83" t="n">
        <v>19</v>
      </c>
      <c r="B83" t="n">
        <v>1</v>
      </c>
      <c r="C83" t="n">
        <v>0.6820000000000001</v>
      </c>
      <c r="D83" t="inlineStr">
        <is>
          <t>000000000003230491</t>
        </is>
      </c>
      <c r="E83" t="inlineStr">
        <is>
          <t>TUB-S-AW-AUT-19.00X19.00X1.000X0.6820</t>
        </is>
      </c>
      <c r="F83" t="inlineStr">
        <is>
          <t>De-burring</t>
        </is>
      </c>
    </row>
    <row r="84" hidden="1" s="584">
      <c r="A84" t="n">
        <v>19</v>
      </c>
      <c r="B84" t="n">
        <v>1</v>
      </c>
      <c r="C84" t="n">
        <v>0.71</v>
      </c>
      <c r="D84" t="inlineStr">
        <is>
          <t>000000000003572031</t>
        </is>
      </c>
      <c r="E84" t="inlineStr">
        <is>
          <t>TUB-S-AW-AUT-19.00X19.00X1.000X0.7100</t>
        </is>
      </c>
      <c r="F84" t="inlineStr">
        <is>
          <t>De-burring</t>
        </is>
      </c>
    </row>
    <row r="85" hidden="1" s="584">
      <c r="A85" t="n">
        <v>19</v>
      </c>
      <c r="B85" t="n">
        <v>1</v>
      </c>
      <c r="C85" t="n">
        <v>0.75</v>
      </c>
      <c r="D85" t="inlineStr">
        <is>
          <t>000000000003572032</t>
        </is>
      </c>
      <c r="E85" t="inlineStr">
        <is>
          <t>TUB-S-AW-AUT-19.00X19.00X1.000X0.7500</t>
        </is>
      </c>
      <c r="F85" t="inlineStr">
        <is>
          <t>De-burring</t>
        </is>
      </c>
    </row>
    <row r="86" hidden="1" s="584">
      <c r="A86" t="n">
        <v>19</v>
      </c>
      <c r="B86" t="n">
        <v>1</v>
      </c>
      <c r="C86" t="n">
        <v>0.79</v>
      </c>
      <c r="D86" t="inlineStr">
        <is>
          <t>000000000003572033</t>
        </is>
      </c>
      <c r="E86" t="inlineStr">
        <is>
          <t>TUB-S-AW-AUT-19.00X19.00X1.000X0.7900</t>
        </is>
      </c>
      <c r="F86" t="inlineStr">
        <is>
          <t>De-burring</t>
        </is>
      </c>
    </row>
    <row r="87" hidden="1" s="584">
      <c r="A87" t="n">
        <v>19</v>
      </c>
      <c r="B87" t="n">
        <v>1</v>
      </c>
      <c r="C87" t="n">
        <v>0.84</v>
      </c>
      <c r="D87" t="inlineStr">
        <is>
          <t>000000000003230485</t>
        </is>
      </c>
      <c r="E87" t="inlineStr">
        <is>
          <t>TUB-S-AW-AUT-19.00X19.00X1.000X0.8400</t>
        </is>
      </c>
      <c r="F87" t="inlineStr">
        <is>
          <t>De-burring</t>
        </is>
      </c>
    </row>
    <row r="88" hidden="1" s="584">
      <c r="A88" t="n">
        <v>19</v>
      </c>
      <c r="B88" t="n">
        <v>1</v>
      </c>
      <c r="C88" t="n">
        <v>0.875</v>
      </c>
      <c r="D88" t="inlineStr">
        <is>
          <t>000000000003233560</t>
        </is>
      </c>
      <c r="E88" t="inlineStr">
        <is>
          <t>TUB-S-AW-AUT-19.00X19.00X1.000X0.8750</t>
        </is>
      </c>
      <c r="F88" t="inlineStr">
        <is>
          <t>De-burring</t>
        </is>
      </c>
    </row>
    <row r="89" hidden="1" s="584">
      <c r="A89" t="n">
        <v>19</v>
      </c>
      <c r="B89" t="n">
        <v>1</v>
      </c>
      <c r="C89" t="n">
        <v>0.88</v>
      </c>
      <c r="D89" t="inlineStr">
        <is>
          <t>000000000003230492</t>
        </is>
      </c>
      <c r="E89" t="inlineStr">
        <is>
          <t>TUB-S-AW-AUT-19.00X19.00X1.000X0.8800</t>
        </is>
      </c>
      <c r="F89" t="inlineStr">
        <is>
          <t>De-burring</t>
        </is>
      </c>
    </row>
    <row r="90" hidden="1" s="584">
      <c r="A90" t="n">
        <v>19</v>
      </c>
      <c r="B90" t="n">
        <v>1</v>
      </c>
      <c r="C90" t="n">
        <v>0.888</v>
      </c>
      <c r="D90" t="inlineStr">
        <is>
          <t>000000000003572034</t>
        </is>
      </c>
      <c r="E90" t="inlineStr">
        <is>
          <t>TUB-S-AW-AUT-19.00X19.00X1.000X0.8880</t>
        </is>
      </c>
      <c r="F90" t="inlineStr">
        <is>
          <t>De-burring</t>
        </is>
      </c>
    </row>
    <row r="91" hidden="1" s="584">
      <c r="A91" t="n">
        <v>19</v>
      </c>
      <c r="B91" t="n">
        <v>1</v>
      </c>
      <c r="C91" t="n">
        <v>0.89</v>
      </c>
      <c r="D91" t="inlineStr">
        <is>
          <t>000000000003572035</t>
        </is>
      </c>
      <c r="E91" t="inlineStr">
        <is>
          <t>TUB-S-AW-AUT-19.00X19.00X1.000X0.8900</t>
        </is>
      </c>
      <c r="F91" t="inlineStr">
        <is>
          <t>De-burring</t>
        </is>
      </c>
    </row>
    <row r="92" hidden="1" s="584">
      <c r="A92" t="n">
        <v>19</v>
      </c>
      <c r="B92" t="n">
        <v>1</v>
      </c>
      <c r="C92" t="n">
        <v>0.96</v>
      </c>
      <c r="D92" t="inlineStr">
        <is>
          <t>000000000003572036</t>
        </is>
      </c>
      <c r="E92" t="inlineStr">
        <is>
          <t>TUB-S-AW-AUT-19.00X19.00X1.000X0.9600</t>
        </is>
      </c>
      <c r="F92" t="inlineStr">
        <is>
          <t>De-burring</t>
        </is>
      </c>
    </row>
    <row r="93" hidden="1" s="584">
      <c r="A93" t="n">
        <v>19</v>
      </c>
      <c r="B93" t="n">
        <v>1</v>
      </c>
      <c r="C93" t="n">
        <v>1.1</v>
      </c>
      <c r="D93" t="inlineStr">
        <is>
          <t>000000000003572037</t>
        </is>
      </c>
      <c r="E93" t="inlineStr">
        <is>
          <t>TUB-S-AW-AUT-19.00X19.00X1.000X1.1000</t>
        </is>
      </c>
      <c r="F93" t="inlineStr">
        <is>
          <t>De-burring</t>
        </is>
      </c>
    </row>
    <row r="94" hidden="1" s="584">
      <c r="A94" t="n">
        <v>19</v>
      </c>
      <c r="B94" t="n">
        <v>1</v>
      </c>
      <c r="C94" t="n">
        <v>1.246</v>
      </c>
      <c r="D94" t="inlineStr">
        <is>
          <t>000000000003572038</t>
        </is>
      </c>
      <c r="E94" t="inlineStr">
        <is>
          <t>TUB-S-AW-AUT-19.00X19.00X1.000X1.2460</t>
        </is>
      </c>
      <c r="F94" t="inlineStr">
        <is>
          <t>De-burring</t>
        </is>
      </c>
    </row>
    <row r="95" hidden="1" s="584">
      <c r="A95" t="n">
        <v>19</v>
      </c>
      <c r="B95" t="n">
        <v>1</v>
      </c>
      <c r="C95" t="n">
        <v>1.3</v>
      </c>
      <c r="D95" t="inlineStr">
        <is>
          <t>000000000003230494</t>
        </is>
      </c>
      <c r="E95" t="inlineStr">
        <is>
          <t>TUB-S-AW-AUT-19.00X19.00X1.000X1.3000</t>
        </is>
      </c>
      <c r="F95" t="inlineStr">
        <is>
          <t>De-burring</t>
        </is>
      </c>
    </row>
    <row r="96" hidden="1" s="584">
      <c r="A96" t="n">
        <v>19</v>
      </c>
      <c r="B96" t="n">
        <v>1</v>
      </c>
      <c r="C96" t="n">
        <v>1.304</v>
      </c>
      <c r="D96" t="inlineStr">
        <is>
          <t>000000000003572039</t>
        </is>
      </c>
      <c r="E96" t="inlineStr">
        <is>
          <t>TUB-S-AW-AUT-19.00X19.00X1.000X1.3040</t>
        </is>
      </c>
      <c r="F96" t="inlineStr">
        <is>
          <t>De-burring</t>
        </is>
      </c>
    </row>
    <row r="97" hidden="1" s="584">
      <c r="A97" t="n">
        <v>19</v>
      </c>
      <c r="B97" t="n">
        <v>1</v>
      </c>
      <c r="C97" t="n">
        <v>1.31</v>
      </c>
      <c r="D97" t="inlineStr">
        <is>
          <t>000000000003572040</t>
        </is>
      </c>
      <c r="E97" t="inlineStr">
        <is>
          <t>TUB-S-AW-AUT-19.00X19.00X1.000X1.3100</t>
        </is>
      </c>
      <c r="F97" t="inlineStr">
        <is>
          <t>De-burring</t>
        </is>
      </c>
    </row>
    <row r="98" hidden="1" s="584">
      <c r="A98" t="n">
        <v>19</v>
      </c>
      <c r="B98" t="n">
        <v>1</v>
      </c>
      <c r="C98" t="n">
        <v>6</v>
      </c>
      <c r="D98" t="inlineStr">
        <is>
          <t>000000000001940146</t>
        </is>
      </c>
      <c r="E98" t="inlineStr">
        <is>
          <t>TUB-S-FH-SHS-19.00X19.00X1.000X6.0000</t>
        </is>
      </c>
      <c r="F98" t="inlineStr">
        <is>
          <t>De-burring</t>
        </is>
      </c>
    </row>
    <row r="99" hidden="1" s="584">
      <c r="A99" t="n">
        <v>19</v>
      </c>
      <c r="B99" t="n">
        <v>1.01</v>
      </c>
      <c r="C99" t="n">
        <v>0.675</v>
      </c>
      <c r="D99" t="inlineStr">
        <is>
          <t>000000000003605740</t>
        </is>
      </c>
      <c r="E99" t="inlineStr">
        <is>
          <t>TUB-S-AW-AUT-19.00X19.00X1.010X0.6750</t>
        </is>
      </c>
      <c r="F99" t="inlineStr">
        <is>
          <t>De-burring</t>
        </is>
      </c>
    </row>
    <row r="100" hidden="1" s="584">
      <c r="A100" t="n">
        <v>19</v>
      </c>
      <c r="B100" t="n">
        <v>1.01</v>
      </c>
      <c r="C100" t="n">
        <v>0.871</v>
      </c>
      <c r="D100" t="inlineStr">
        <is>
          <t>000000000003605739</t>
        </is>
      </c>
      <c r="E100" t="inlineStr">
        <is>
          <t>TUB-S-AW-AUT-19.00X19.00X1.010X0.8710</t>
        </is>
      </c>
      <c r="F100" t="inlineStr">
        <is>
          <t>De-burring</t>
        </is>
      </c>
    </row>
    <row r="101" hidden="1" s="584">
      <c r="A101" t="n">
        <v>19</v>
      </c>
      <c r="B101" t="n">
        <v>1.01</v>
      </c>
      <c r="C101" t="n">
        <v>6</v>
      </c>
      <c r="D101" t="inlineStr">
        <is>
          <t>000000000001931878</t>
        </is>
      </c>
      <c r="E101" t="inlineStr">
        <is>
          <t>TUB-S-AW-SHS-19.00X19.00X1.010X6.0000</t>
        </is>
      </c>
      <c r="F101" t="inlineStr">
        <is>
          <t>De-burring</t>
        </is>
      </c>
    </row>
    <row r="102" hidden="1" s="584">
      <c r="A102" t="n">
        <v>19</v>
      </c>
      <c r="B102" t="n">
        <v>1.2</v>
      </c>
      <c r="C102" t="n">
        <v>0.129</v>
      </c>
      <c r="D102" t="inlineStr">
        <is>
          <t>000000000003234372</t>
        </is>
      </c>
      <c r="E102" t="inlineStr">
        <is>
          <t>TUB-S-AW-AUT-19.00X19.00X1.200X0.1290</t>
        </is>
      </c>
      <c r="F102" t="inlineStr">
        <is>
          <t>De-burring</t>
        </is>
      </c>
    </row>
    <row r="103" hidden="1" s="584">
      <c r="A103" t="n">
        <v>19</v>
      </c>
      <c r="B103" t="n">
        <v>1.2</v>
      </c>
      <c r="C103" t="n">
        <v>6</v>
      </c>
      <c r="D103" t="inlineStr">
        <is>
          <t>000000000001932237</t>
        </is>
      </c>
      <c r="E103" t="inlineStr">
        <is>
          <t>TUB-S-AW-SHS-19.00X19.00X1.200X6.0000</t>
        </is>
      </c>
      <c r="F103" t="inlineStr">
        <is>
          <t>De-burring</t>
        </is>
      </c>
    </row>
    <row r="104" hidden="1" s="584">
      <c r="A104" t="n">
        <v>19</v>
      </c>
      <c r="B104" t="n">
        <v>1.21</v>
      </c>
      <c r="C104" t="n">
        <v>0.33</v>
      </c>
      <c r="D104" t="inlineStr">
        <is>
          <t>000000000003432217</t>
        </is>
      </c>
      <c r="E104" t="inlineStr">
        <is>
          <t>TUB-S-AW-AUT-19.00X19.00X1.210X0.3300</t>
        </is>
      </c>
      <c r="F104" t="inlineStr">
        <is>
          <t>De-burring</t>
        </is>
      </c>
    </row>
    <row r="105" hidden="1" s="584">
      <c r="A105" t="n">
        <v>19</v>
      </c>
      <c r="B105" t="n">
        <v>3.25</v>
      </c>
      <c r="C105" t="n">
        <v>0.588</v>
      </c>
      <c r="D105" t="inlineStr">
        <is>
          <t>000000000001938191</t>
        </is>
      </c>
      <c r="E105" t="inlineStr">
        <is>
          <t>TUB-I-C-AUT-AD-FC-12.50X3.250X0.5880</t>
        </is>
      </c>
      <c r="F105" t="inlineStr">
        <is>
          <t>De-burring</t>
        </is>
      </c>
    </row>
    <row r="106" hidden="1" s="584">
      <c r="A106" t="n">
        <v>19.05</v>
      </c>
      <c r="B106" t="n">
        <v>0.8</v>
      </c>
      <c r="C106" t="n">
        <v>6</v>
      </c>
      <c r="D106" t="inlineStr">
        <is>
          <t>000000000003702324</t>
        </is>
      </c>
      <c r="E106" t="inlineStr">
        <is>
          <t>TUB-O-N-AUT-AW-PE-19.05X0.800X6.0000</t>
        </is>
      </c>
      <c r="F106" t="inlineStr">
        <is>
          <t>De-burring</t>
        </is>
      </c>
    </row>
    <row r="107" hidden="1" s="584">
      <c r="A107" t="n">
        <v>19.05</v>
      </c>
      <c r="B107" t="n">
        <v>1</v>
      </c>
      <c r="C107" t="n">
        <v>1.2</v>
      </c>
      <c r="D107" t="inlineStr">
        <is>
          <t>000000000003635694</t>
        </is>
      </c>
      <c r="E107" t="inlineStr">
        <is>
          <t>TUB-O-N-AUT-AW-PE-19.05X1.000X1.2000</t>
        </is>
      </c>
      <c r="F107" t="inlineStr">
        <is>
          <t>De-burring</t>
        </is>
      </c>
    </row>
    <row r="108" hidden="1" s="584">
      <c r="A108" t="n">
        <v>19.05</v>
      </c>
      <c r="B108" t="n">
        <v>1.02</v>
      </c>
      <c r="C108" t="n">
        <v>1.095</v>
      </c>
      <c r="D108" t="inlineStr">
        <is>
          <t>000000000003518158</t>
        </is>
      </c>
      <c r="E108" t="inlineStr">
        <is>
          <t>TUB-O-N-AUT-AW-PE-19.05X1.020X1.0950</t>
        </is>
      </c>
      <c r="F108" t="inlineStr">
        <is>
          <t>De-burring</t>
        </is>
      </c>
    </row>
    <row r="109" hidden="1" s="584">
      <c r="A109" t="n">
        <v>19.05</v>
      </c>
      <c r="B109" t="n">
        <v>1.2</v>
      </c>
      <c r="C109" t="n">
        <v>0.109</v>
      </c>
      <c r="D109" t="inlineStr">
        <is>
          <t>000000000003409366</t>
        </is>
      </c>
      <c r="E109" t="inlineStr">
        <is>
          <t>TUB-O-N-AUT-AW-PE-19.05X1.200X0.1090</t>
        </is>
      </c>
      <c r="F109" t="inlineStr">
        <is>
          <t>De-burring</t>
        </is>
      </c>
    </row>
    <row r="110" hidden="1" s="584">
      <c r="A110" t="n">
        <v>19.05</v>
      </c>
      <c r="B110" t="n">
        <v>1.2</v>
      </c>
      <c r="C110" t="n">
        <v>0.33</v>
      </c>
      <c r="D110" t="inlineStr">
        <is>
          <t>000000000003239890</t>
        </is>
      </c>
      <c r="E110" t="inlineStr">
        <is>
          <t>TUB-O-N-AUT-AW-PE-19.05X1.200X0.3300</t>
        </is>
      </c>
      <c r="F110" t="inlineStr">
        <is>
          <t>De-burring</t>
        </is>
      </c>
    </row>
    <row r="111" hidden="1" s="584">
      <c r="A111" t="n">
        <v>19.05</v>
      </c>
      <c r="B111" t="n">
        <v>1.2</v>
      </c>
      <c r="C111" t="n">
        <v>0.513</v>
      </c>
      <c r="D111" t="inlineStr">
        <is>
          <t>000000000002409616</t>
        </is>
      </c>
      <c r="E111" t="inlineStr">
        <is>
          <t>TUB-O-N-AUT-AW-PE-19.05X1.200X0.5130</t>
        </is>
      </c>
      <c r="F111" t="inlineStr">
        <is>
          <t>De-burring</t>
        </is>
      </c>
    </row>
    <row r="112" hidden="1" s="584">
      <c r="A112" t="n">
        <v>19.05</v>
      </c>
      <c r="B112" t="n">
        <v>1.2</v>
      </c>
      <c r="C112" t="n">
        <v>0.631</v>
      </c>
      <c r="D112" t="inlineStr">
        <is>
          <t>000000000003506438</t>
        </is>
      </c>
      <c r="E112" t="inlineStr">
        <is>
          <t>CUT-O-N-AUT-AW-PE-19.05X1.200X0.631</t>
        </is>
      </c>
      <c r="F112" t="inlineStr">
        <is>
          <t>De-burring</t>
        </is>
      </c>
    </row>
    <row r="113" hidden="1" s="584">
      <c r="A113" t="n">
        <v>19.05</v>
      </c>
      <c r="B113" t="n">
        <v>1.2</v>
      </c>
      <c r="C113" t="n">
        <v>0.65</v>
      </c>
      <c r="D113" t="inlineStr">
        <is>
          <t>000000000001937022</t>
        </is>
      </c>
      <c r="E113" t="inlineStr">
        <is>
          <t>TUB-O-N-AUT-AW-PE-19.05X1.200X0.6500</t>
        </is>
      </c>
      <c r="F113" t="inlineStr">
        <is>
          <t>De-burring</t>
        </is>
      </c>
    </row>
    <row r="114" hidden="1" s="584">
      <c r="A114" t="n">
        <v>19.05</v>
      </c>
      <c r="B114" t="n">
        <v>1.2</v>
      </c>
      <c r="C114" t="n">
        <v>1.075</v>
      </c>
      <c r="D114" t="inlineStr">
        <is>
          <t>000000000003229740</t>
        </is>
      </c>
      <c r="E114" t="inlineStr">
        <is>
          <t>TUB-O-N-AUT-AW-PE-19.05X1.200X1.0750</t>
        </is>
      </c>
      <c r="F114" t="inlineStr">
        <is>
          <t>De-burring</t>
        </is>
      </c>
    </row>
    <row r="115" hidden="1" s="584">
      <c r="A115" t="n">
        <v>19.05</v>
      </c>
      <c r="B115" t="n">
        <v>1.2</v>
      </c>
      <c r="C115" t="n">
        <v>1.13</v>
      </c>
      <c r="D115" t="inlineStr">
        <is>
          <t>000000000003229739</t>
        </is>
      </c>
      <c r="E115" t="inlineStr">
        <is>
          <t>TUB-O-N-AUT-AW-PE-19.05X1.200X1.1300</t>
        </is>
      </c>
      <c r="F115" t="inlineStr">
        <is>
          <t>De-burring</t>
        </is>
      </c>
    </row>
    <row r="116" hidden="1" s="584">
      <c r="A116" t="n">
        <v>19.05</v>
      </c>
      <c r="B116" t="n">
        <v>1.2</v>
      </c>
      <c r="C116" t="n">
        <v>1.275</v>
      </c>
      <c r="D116" t="inlineStr">
        <is>
          <t>000000000003409367</t>
        </is>
      </c>
      <c r="E116" t="inlineStr">
        <is>
          <t>TUB-O-N-AUT-AW-PE-19.05X1.200X1.2750</t>
        </is>
      </c>
      <c r="F116" t="inlineStr">
        <is>
          <t>De-burring</t>
        </is>
      </c>
    </row>
    <row r="117" hidden="1" s="584">
      <c r="A117" t="n">
        <v>19.05</v>
      </c>
      <c r="B117" t="n">
        <v>1.4</v>
      </c>
      <c r="C117" t="n">
        <v>0.273</v>
      </c>
      <c r="D117" t="inlineStr">
        <is>
          <t>000000000001940204</t>
        </is>
      </c>
      <c r="E117" t="inlineStr">
        <is>
          <t>TUB-O-O-AUT-AW-PE-19.05X1.400X0.2730</t>
        </is>
      </c>
      <c r="F117" t="inlineStr">
        <is>
          <t>De-burring</t>
        </is>
      </c>
    </row>
    <row r="118" hidden="1" s="584">
      <c r="A118" t="n">
        <v>19.05</v>
      </c>
      <c r="B118" t="n">
        <v>1.4</v>
      </c>
      <c r="C118" t="n">
        <v>6</v>
      </c>
      <c r="D118" t="inlineStr">
        <is>
          <t>000000000003891285</t>
        </is>
      </c>
      <c r="E118" t="inlineStr">
        <is>
          <t>TUB-O-N-AUT-AW-PE-19.05X1.40X6.000 HST</t>
        </is>
      </c>
      <c r="F118" t="inlineStr">
        <is>
          <t>De-burring</t>
        </is>
      </c>
    </row>
    <row r="119" hidden="1" s="584">
      <c r="A119" t="n">
        <v>19.05</v>
      </c>
      <c r="B119" t="n">
        <v>1.6</v>
      </c>
      <c r="C119" t="n">
        <v>0.23</v>
      </c>
      <c r="D119" t="inlineStr">
        <is>
          <t>000000000001904450</t>
        </is>
      </c>
      <c r="E119" t="inlineStr">
        <is>
          <t>TUB-O-N-AUT-AW-PE-19.05X1.600X0.2300</t>
        </is>
      </c>
      <c r="F119" t="inlineStr">
        <is>
          <t>De-burring</t>
        </is>
      </c>
    </row>
    <row r="120" hidden="1" s="584">
      <c r="A120" t="n">
        <v>19.05</v>
      </c>
      <c r="B120" t="n">
        <v>1.6</v>
      </c>
      <c r="C120" t="n">
        <v>0.25</v>
      </c>
      <c r="D120" t="inlineStr">
        <is>
          <t>000000000003677063</t>
        </is>
      </c>
      <c r="E120" t="inlineStr">
        <is>
          <t>TUB-O-N-AUT-AW-PE-19.05X1.600X0.2500</t>
        </is>
      </c>
      <c r="F120" t="inlineStr">
        <is>
          <t>De-burring</t>
        </is>
      </c>
    </row>
    <row r="121" hidden="1" s="584">
      <c r="A121" t="n">
        <v>19.05</v>
      </c>
      <c r="B121" t="n">
        <v>1.6</v>
      </c>
      <c r="C121" t="n">
        <v>0.258</v>
      </c>
      <c r="D121" t="inlineStr">
        <is>
          <t>000000000003838038</t>
        </is>
      </c>
      <c r="E121" t="inlineStr">
        <is>
          <t>CUT-O-N-AUT-AW-PE-19.05X1.600X0.2580</t>
        </is>
      </c>
      <c r="F121" t="inlineStr">
        <is>
          <t>De-burring</t>
        </is>
      </c>
    </row>
    <row r="122" hidden="1" s="584">
      <c r="A122" t="n">
        <v>19.05</v>
      </c>
      <c r="B122" t="n">
        <v>1.6</v>
      </c>
      <c r="C122" t="n">
        <v>0.265</v>
      </c>
      <c r="D122" t="inlineStr">
        <is>
          <t>000000000003181179</t>
        </is>
      </c>
      <c r="E122" t="inlineStr">
        <is>
          <t>TUB-O-N-AUT-AW-PE-19.05X1.600X0.2650</t>
        </is>
      </c>
      <c r="F122" t="inlineStr">
        <is>
          <t>De-burring</t>
        </is>
      </c>
    </row>
    <row r="123" hidden="1" s="584">
      <c r="A123" t="n">
        <v>19.05</v>
      </c>
      <c r="B123" t="n">
        <v>1.6</v>
      </c>
      <c r="C123" t="n">
        <v>0.268</v>
      </c>
      <c r="D123" t="inlineStr">
        <is>
          <t>000000000003850310</t>
        </is>
      </c>
      <c r="E123" t="inlineStr">
        <is>
          <t>CUT-O-N-AUT-AW-PE-19.05X1.600X0.2680</t>
        </is>
      </c>
      <c r="F123" t="inlineStr">
        <is>
          <t>De-burring</t>
        </is>
      </c>
    </row>
    <row r="124" hidden="1" s="584">
      <c r="A124" t="n">
        <v>19.05</v>
      </c>
      <c r="B124" t="n">
        <v>1.6</v>
      </c>
      <c r="C124" t="n">
        <v>0.275</v>
      </c>
      <c r="D124" t="inlineStr">
        <is>
          <t>000000000003217232</t>
        </is>
      </c>
      <c r="E124" t="inlineStr">
        <is>
          <t>TUB-O-N-AUT-AW-PE-19.05X1.600X0.2750</t>
        </is>
      </c>
      <c r="F124" t="inlineStr">
        <is>
          <t>De-burring</t>
        </is>
      </c>
    </row>
    <row r="125" hidden="1" s="584">
      <c r="A125" t="n">
        <v>19.05</v>
      </c>
      <c r="B125" t="n">
        <v>1.6</v>
      </c>
      <c r="C125" t="n">
        <v>0.355</v>
      </c>
      <c r="D125" t="inlineStr">
        <is>
          <t>000000000003508615</t>
        </is>
      </c>
      <c r="E125" t="inlineStr">
        <is>
          <t>CUT-O-N-AUT-AW-PE-19.05X1.600X0.3550</t>
        </is>
      </c>
      <c r="F125" t="inlineStr">
        <is>
          <t>De-burring</t>
        </is>
      </c>
    </row>
    <row r="126" hidden="1" s="584">
      <c r="A126" t="n">
        <v>19.05</v>
      </c>
      <c r="B126" t="n">
        <v>1.6</v>
      </c>
      <c r="C126" t="n">
        <v>0.385</v>
      </c>
      <c r="D126" t="inlineStr">
        <is>
          <t>000000000003605738</t>
        </is>
      </c>
      <c r="E126" t="inlineStr">
        <is>
          <t>TUB-O-N-AUT-AW-PE-19.05X1.600X0.3850</t>
        </is>
      </c>
      <c r="F126" t="inlineStr">
        <is>
          <t>De-burring</t>
        </is>
      </c>
    </row>
    <row r="127" hidden="1" s="584">
      <c r="A127" t="n">
        <v>19.05</v>
      </c>
      <c r="B127" t="n">
        <v>1.6</v>
      </c>
      <c r="C127" t="n">
        <v>0.394</v>
      </c>
      <c r="D127" t="inlineStr">
        <is>
          <t>000000000003122347</t>
        </is>
      </c>
      <c r="E127" t="inlineStr">
        <is>
          <t>TUB-O-N-AUT-AW-PE-19.05X1.600X0.3940</t>
        </is>
      </c>
      <c r="F127" t="inlineStr">
        <is>
          <t>De-burring</t>
        </is>
      </c>
    </row>
    <row r="128" hidden="1" s="584">
      <c r="A128" t="n">
        <v>19.05</v>
      </c>
      <c r="B128" t="n">
        <v>1.6</v>
      </c>
      <c r="C128" t="n">
        <v>0.595</v>
      </c>
      <c r="D128" t="inlineStr">
        <is>
          <t>000000000001940247</t>
        </is>
      </c>
      <c r="E128" t="inlineStr">
        <is>
          <t>TUB-O-O-AUT-AW-PE-19.05X1.600X0.5950</t>
        </is>
      </c>
      <c r="F128" t="inlineStr">
        <is>
          <t>De-burring</t>
        </is>
      </c>
    </row>
    <row r="129" hidden="1" s="584">
      <c r="A129" t="n">
        <v>19.05</v>
      </c>
      <c r="B129" t="n">
        <v>1.6</v>
      </c>
      <c r="C129" t="n">
        <v>0.775</v>
      </c>
      <c r="D129" t="inlineStr">
        <is>
          <t>000000000001908799</t>
        </is>
      </c>
      <c r="E129" t="inlineStr">
        <is>
          <t>TUB-O-N-AUT-AW-PE-19.05X1.600X0.7750</t>
        </is>
      </c>
      <c r="F129" t="inlineStr">
        <is>
          <t>De-burring</t>
        </is>
      </c>
    </row>
    <row r="130" hidden="1" s="584">
      <c r="A130" t="n">
        <v>19.05</v>
      </c>
      <c r="B130" t="n">
        <v>1.6</v>
      </c>
      <c r="C130" t="n">
        <v>1.405</v>
      </c>
      <c r="D130" t="inlineStr">
        <is>
          <t>000000000002418569</t>
        </is>
      </c>
      <c r="E130" t="inlineStr">
        <is>
          <t>TUB-O-N-AUT-AW-PE-19.05X1.600X1.4050</t>
        </is>
      </c>
      <c r="F130" t="inlineStr">
        <is>
          <t>De-burring</t>
        </is>
      </c>
    </row>
    <row r="131" hidden="1" s="584">
      <c r="A131" t="n">
        <v>19.05</v>
      </c>
      <c r="B131" t="n">
        <v>1.6</v>
      </c>
      <c r="C131" t="n">
        <v>6</v>
      </c>
      <c r="D131" t="inlineStr">
        <is>
          <t>000000000003498997</t>
        </is>
      </c>
      <c r="E131" t="inlineStr">
        <is>
          <t>TUB-O-N-AUT-AW-PE-19.05X1.60X6.000-ERW 1</t>
        </is>
      </c>
      <c r="F131" t="inlineStr">
        <is>
          <t>De-burring</t>
        </is>
      </c>
    </row>
    <row r="132" hidden="1" s="584">
      <c r="A132" t="n">
        <v>19.05</v>
      </c>
      <c r="B132" t="n">
        <v>2</v>
      </c>
      <c r="C132" t="n">
        <v>0.104</v>
      </c>
      <c r="D132" t="inlineStr">
        <is>
          <t>000000000001940262</t>
        </is>
      </c>
      <c r="E132" t="inlineStr">
        <is>
          <t>TUB-O-O-AUT-AW-PE-19.05X2.000X0.1040</t>
        </is>
      </c>
      <c r="F132" t="inlineStr">
        <is>
          <t>De-burring</t>
        </is>
      </c>
    </row>
    <row r="133" hidden="1" s="584">
      <c r="A133" t="n">
        <v>19.05</v>
      </c>
      <c r="B133" t="n">
        <v>2</v>
      </c>
      <c r="C133" t="n">
        <v>0.104</v>
      </c>
      <c r="D133" t="inlineStr">
        <is>
          <t>000000000003781674</t>
        </is>
      </c>
      <c r="E133" t="inlineStr">
        <is>
          <t>CUT-O-N-AUT-AW-PE-19.05X2.000X0.1040</t>
        </is>
      </c>
      <c r="F133" t="inlineStr">
        <is>
          <t>De-burring</t>
        </is>
      </c>
    </row>
    <row r="134" hidden="1" s="584">
      <c r="A134" t="n">
        <v>19.05</v>
      </c>
      <c r="B134" t="n">
        <v>2</v>
      </c>
      <c r="C134" t="n">
        <v>0.213</v>
      </c>
      <c r="D134" t="inlineStr">
        <is>
          <t>000000000001940266</t>
        </is>
      </c>
      <c r="E134" t="inlineStr">
        <is>
          <t>TUB-O-O-AUT-AW-PE-19.05X2.000X0.2130</t>
        </is>
      </c>
      <c r="F134" t="inlineStr">
        <is>
          <t>De-burring</t>
        </is>
      </c>
    </row>
    <row r="135" hidden="1" s="584">
      <c r="A135" t="n">
        <v>19.05</v>
      </c>
      <c r="B135" t="n">
        <v>2</v>
      </c>
      <c r="C135" t="n">
        <v>0.258</v>
      </c>
      <c r="D135" t="inlineStr">
        <is>
          <t>000000000003507089</t>
        </is>
      </c>
      <c r="E135" t="inlineStr">
        <is>
          <t>CUT-O-N-AUT-AW-PE-19.05X2.000X0.258</t>
        </is>
      </c>
      <c r="F135" t="inlineStr">
        <is>
          <t>De-burring</t>
        </is>
      </c>
    </row>
    <row r="136" hidden="1" s="584">
      <c r="A136" t="n">
        <v>19.05</v>
      </c>
      <c r="B136" t="n">
        <v>2</v>
      </c>
      <c r="C136" t="n">
        <v>0.449</v>
      </c>
      <c r="D136" t="inlineStr">
        <is>
          <t>000000000002403384</t>
        </is>
      </c>
      <c r="E136" t="inlineStr">
        <is>
          <t>TUB-O-N-AUT-AW-PE-19.05X2.000X0.4490</t>
        </is>
      </c>
      <c r="F136" t="inlineStr">
        <is>
          <t>De-burring</t>
        </is>
      </c>
    </row>
    <row r="137" hidden="1" s="584">
      <c r="A137" t="n">
        <v>19.05</v>
      </c>
      <c r="B137" t="n">
        <v>2</v>
      </c>
      <c r="C137" t="n">
        <v>0.547</v>
      </c>
      <c r="D137" t="inlineStr">
        <is>
          <t>000000000003676836</t>
        </is>
      </c>
      <c r="E137" t="inlineStr">
        <is>
          <t>TUB-O-N-AUT-AW-PE-19.05X2.000X0.5470</t>
        </is>
      </c>
      <c r="F137" t="inlineStr">
        <is>
          <t>De-burring</t>
        </is>
      </c>
    </row>
    <row r="138" hidden="1" s="584">
      <c r="A138" t="n">
        <v>19.05</v>
      </c>
      <c r="B138" t="n">
        <v>2</v>
      </c>
      <c r="C138" t="n">
        <v>0.785</v>
      </c>
      <c r="D138" t="inlineStr">
        <is>
          <t>000000000001188598</t>
        </is>
      </c>
      <c r="E138" t="inlineStr">
        <is>
          <t>TUB-O-N-AUT-AW-PE-19.05X2.000X0.785</t>
        </is>
      </c>
      <c r="F138" t="inlineStr">
        <is>
          <t>De-burring</t>
        </is>
      </c>
    </row>
    <row r="139" hidden="1" s="584">
      <c r="A139" t="n">
        <v>19.05</v>
      </c>
      <c r="B139" t="n">
        <v>2</v>
      </c>
      <c r="C139" t="n">
        <v>0.785</v>
      </c>
      <c r="D139" t="inlineStr">
        <is>
          <t>000000000003784368</t>
        </is>
      </c>
      <c r="E139" t="inlineStr">
        <is>
          <t>CUT-O-N-AUT-AW-PE-19.05X2.000X0.7850</t>
        </is>
      </c>
      <c r="F139" t="inlineStr">
        <is>
          <t>De-burring</t>
        </is>
      </c>
    </row>
    <row r="140" hidden="1" s="584">
      <c r="A140" t="n">
        <v>19.05</v>
      </c>
      <c r="B140" t="n">
        <v>2</v>
      </c>
      <c r="C140" t="n">
        <v>0.785</v>
      </c>
      <c r="D140" t="inlineStr">
        <is>
          <t>000000000001940284</t>
        </is>
      </c>
      <c r="E140" t="inlineStr">
        <is>
          <t>TUB-O-O-AUT-AW-PE-19.05X2.000X0.7850</t>
        </is>
      </c>
      <c r="F140" t="inlineStr">
        <is>
          <t>De-burring</t>
        </is>
      </c>
    </row>
    <row r="141" hidden="1" s="584">
      <c r="A141" t="n">
        <v>19.05</v>
      </c>
      <c r="B141" t="n">
        <v>2</v>
      </c>
      <c r="C141" t="n">
        <v>0.8149999999999999</v>
      </c>
      <c r="D141" t="inlineStr">
        <is>
          <t>000000000001284065</t>
        </is>
      </c>
      <c r="E141" t="inlineStr">
        <is>
          <t>TUB-O-N-AUT-AW-PE-19.05X2.000X0.8150</t>
        </is>
      </c>
      <c r="F141" t="inlineStr">
        <is>
          <t>De-burring</t>
        </is>
      </c>
    </row>
    <row r="142" hidden="1" s="584">
      <c r="A142" t="n">
        <v>19.05</v>
      </c>
      <c r="B142" t="n">
        <v>2</v>
      </c>
      <c r="C142" t="n">
        <v>0.8149999999999999</v>
      </c>
      <c r="D142" t="inlineStr">
        <is>
          <t>000000000001940287</t>
        </is>
      </c>
      <c r="E142" t="inlineStr">
        <is>
          <t>TUB-O-O-AUT-AW-PE-19.05X2.000X0.8150</t>
        </is>
      </c>
      <c r="F142" t="inlineStr">
        <is>
          <t>De-burring</t>
        </is>
      </c>
    </row>
    <row r="143" hidden="1" s="584">
      <c r="A143" t="n">
        <v>19.05</v>
      </c>
      <c r="B143" t="n">
        <v>2</v>
      </c>
      <c r="C143" t="n">
        <v>0.82</v>
      </c>
      <c r="D143" t="inlineStr">
        <is>
          <t>000000000003509196</t>
        </is>
      </c>
      <c r="E143" t="inlineStr">
        <is>
          <t>CUT-O-N-AUT-AW-PE-19.05X2.000X0.8200</t>
        </is>
      </c>
      <c r="F143" t="inlineStr">
        <is>
          <t>De-burring</t>
        </is>
      </c>
    </row>
    <row r="144" hidden="1" s="584">
      <c r="A144" t="n">
        <v>19.05</v>
      </c>
      <c r="B144" t="n">
        <v>2</v>
      </c>
      <c r="C144" t="n">
        <v>0.83</v>
      </c>
      <c r="D144" t="inlineStr">
        <is>
          <t>000000000001399341</t>
        </is>
      </c>
      <c r="E144" t="inlineStr">
        <is>
          <t>TUB-O-N-AUT-AW-PE-19.05X2.000X0.8300</t>
        </is>
      </c>
      <c r="F144" t="inlineStr">
        <is>
          <t>De-burring</t>
        </is>
      </c>
    </row>
    <row r="145" hidden="1" s="584">
      <c r="A145" t="n">
        <v>19.05</v>
      </c>
      <c r="B145" t="n">
        <v>2</v>
      </c>
      <c r="C145" t="n">
        <v>5.841</v>
      </c>
      <c r="D145" t="inlineStr">
        <is>
          <t>000000000003673888</t>
        </is>
      </c>
      <c r="E145" t="inlineStr">
        <is>
          <t>TUB-O-N-AUT-AW-PE-19.05X2.000X5.8410</t>
        </is>
      </c>
      <c r="F145" t="inlineStr">
        <is>
          <t>De-burring</t>
        </is>
      </c>
    </row>
    <row r="146" hidden="1" s="584">
      <c r="A146" t="n">
        <v>19.05</v>
      </c>
      <c r="B146" t="n">
        <v>2</v>
      </c>
      <c r="C146" t="n">
        <v>6</v>
      </c>
      <c r="D146" t="inlineStr">
        <is>
          <t>000000000000235292</t>
        </is>
      </c>
      <c r="E146" t="inlineStr">
        <is>
          <t>TUB-O-N-AUT-AW-PE-19.05X2.00X6.000-ERW 1</t>
        </is>
      </c>
      <c r="F146" t="inlineStr">
        <is>
          <t>De-burring</t>
        </is>
      </c>
    </row>
    <row r="147" hidden="1" s="584">
      <c r="A147" t="n">
        <v>19.05</v>
      </c>
      <c r="B147" t="n">
        <v>2.03</v>
      </c>
      <c r="C147" t="n">
        <v>0.83</v>
      </c>
      <c r="D147" t="inlineStr">
        <is>
          <t>000000000001937438</t>
        </is>
      </c>
      <c r="E147" t="inlineStr">
        <is>
          <t>TUB-O-N-AUT-AW-PE-19.05X2.030X0.8300</t>
        </is>
      </c>
      <c r="F147" t="inlineStr">
        <is>
          <t>De-burring</t>
        </is>
      </c>
    </row>
    <row r="148" hidden="1" s="584">
      <c r="A148" t="n">
        <v>19.05</v>
      </c>
      <c r="B148" t="n">
        <v>2.3</v>
      </c>
      <c r="C148" t="n">
        <v>0.195</v>
      </c>
      <c r="D148" t="inlineStr">
        <is>
          <t>000000000001333189</t>
        </is>
      </c>
      <c r="E148" t="inlineStr">
        <is>
          <t>TUB-O-N-AUT-AW-PE-19.05X2.300X0.1950</t>
        </is>
      </c>
      <c r="F148" t="inlineStr">
        <is>
          <t>De-burring</t>
        </is>
      </c>
    </row>
    <row r="149" hidden="1" s="584">
      <c r="A149" t="n">
        <v>19.05</v>
      </c>
      <c r="B149" t="n">
        <v>2.3</v>
      </c>
      <c r="C149" t="n">
        <v>0.195</v>
      </c>
      <c r="D149" t="inlineStr">
        <is>
          <t>000000000001940302</t>
        </is>
      </c>
      <c r="E149" t="inlineStr">
        <is>
          <t>TUB-O-O-AUT-AW-PE-19.05X2.300X0.1950</t>
        </is>
      </c>
      <c r="F149" t="inlineStr">
        <is>
          <t>De-burring</t>
        </is>
      </c>
    </row>
    <row r="150" hidden="1" s="584">
      <c r="A150" t="n">
        <v>19.05</v>
      </c>
      <c r="B150" t="n">
        <v>2.3</v>
      </c>
      <c r="C150" t="n">
        <v>0.236</v>
      </c>
      <c r="D150" t="inlineStr">
        <is>
          <t>000000000000511879</t>
        </is>
      </c>
      <c r="E150" t="inlineStr">
        <is>
          <t>PT2-O-N-AUT-AW-PE-19.05X2.300X0.236</t>
        </is>
      </c>
      <c r="F150" t="inlineStr">
        <is>
          <t>De-burring</t>
        </is>
      </c>
    </row>
    <row r="151" hidden="1" s="584">
      <c r="A151" t="n">
        <v>19.05</v>
      </c>
      <c r="B151" t="n">
        <v>2.3</v>
      </c>
      <c r="C151" t="n">
        <v>0.236</v>
      </c>
      <c r="D151" t="inlineStr">
        <is>
          <t>000000000001940306</t>
        </is>
      </c>
      <c r="E151" t="inlineStr">
        <is>
          <t>TUB-O-O-AUT-AW-PE-19.05X2.300X0.2360</t>
        </is>
      </c>
      <c r="F151" t="inlineStr">
        <is>
          <t>De-burring</t>
        </is>
      </c>
    </row>
    <row r="152" hidden="1" s="584">
      <c r="A152" t="n">
        <v>19.05</v>
      </c>
      <c r="B152" t="n">
        <v>2.3</v>
      </c>
      <c r="C152" t="n">
        <v>0.252</v>
      </c>
      <c r="D152" t="inlineStr">
        <is>
          <t>000000000000437147</t>
        </is>
      </c>
      <c r="E152" t="inlineStr">
        <is>
          <t>PT2-O-N-AUT-AW-PE-19.05X2.300X0.252</t>
        </is>
      </c>
      <c r="F152" t="inlineStr">
        <is>
          <t>De-burring</t>
        </is>
      </c>
    </row>
    <row r="153" hidden="1" s="584">
      <c r="A153" t="n">
        <v>19.05</v>
      </c>
      <c r="B153" t="n">
        <v>2.3</v>
      </c>
      <c r="C153" t="n">
        <v>0.252</v>
      </c>
      <c r="D153" t="inlineStr">
        <is>
          <t>000000000001940307</t>
        </is>
      </c>
      <c r="E153" t="inlineStr">
        <is>
          <t>TUB-O-O-AUT-AW-PE-19.05X2.300X0.2520</t>
        </is>
      </c>
      <c r="F153" t="inlineStr">
        <is>
          <t>De-burring</t>
        </is>
      </c>
    </row>
    <row r="154" hidden="1" s="584">
      <c r="A154" t="n">
        <v>19.05</v>
      </c>
      <c r="B154" t="n">
        <v>2.3</v>
      </c>
      <c r="C154" t="n">
        <v>0.255</v>
      </c>
      <c r="D154" t="inlineStr">
        <is>
          <t>000000000001442308</t>
        </is>
      </c>
      <c r="E154" t="inlineStr">
        <is>
          <t>TUB-O-N-AUT-AW-PE-19.05X2.300X0.2550</t>
        </is>
      </c>
      <c r="F154" t="inlineStr">
        <is>
          <t>De-burring</t>
        </is>
      </c>
    </row>
    <row r="155" hidden="1" s="584">
      <c r="A155" t="n">
        <v>19.05</v>
      </c>
      <c r="B155" t="n">
        <v>2.3</v>
      </c>
      <c r="C155" t="n">
        <v>0.255</v>
      </c>
      <c r="D155" t="inlineStr">
        <is>
          <t>000000000002427712</t>
        </is>
      </c>
      <c r="E155" t="inlineStr">
        <is>
          <t>TUB-O-N-AUT-AW-PE-19.05X2.300X0.2550</t>
        </is>
      </c>
      <c r="F155" t="inlineStr">
        <is>
          <t>De-burring</t>
        </is>
      </c>
    </row>
    <row r="156" hidden="1" s="584">
      <c r="A156" t="n">
        <v>19.05</v>
      </c>
      <c r="B156" t="n">
        <v>2.3</v>
      </c>
      <c r="C156" t="n">
        <v>0.265</v>
      </c>
      <c r="D156" t="inlineStr">
        <is>
          <t>000000000001300148</t>
        </is>
      </c>
      <c r="E156" t="inlineStr">
        <is>
          <t>TUB-O-N-AUT-AW-PE-19.05X2.300X0.2650</t>
        </is>
      </c>
      <c r="F156" t="inlineStr">
        <is>
          <t>De-burring</t>
        </is>
      </c>
    </row>
    <row r="157" hidden="1" s="584">
      <c r="A157" t="n">
        <v>19.05</v>
      </c>
      <c r="B157" t="n">
        <v>2.3</v>
      </c>
      <c r="C157" t="n">
        <v>0.265</v>
      </c>
      <c r="D157" t="inlineStr">
        <is>
          <t>000000000001940309</t>
        </is>
      </c>
      <c r="E157" t="inlineStr">
        <is>
          <t>TUB-O-O-AUT-AW-PE-19.05X2.300X0.2650</t>
        </is>
      </c>
      <c r="F157" t="inlineStr">
        <is>
          <t>De-burring</t>
        </is>
      </c>
    </row>
    <row r="158" hidden="1" s="584">
      <c r="A158" t="n">
        <v>19.05</v>
      </c>
      <c r="B158" t="n">
        <v>2.3</v>
      </c>
      <c r="C158" t="n">
        <v>0.279</v>
      </c>
      <c r="D158" t="inlineStr">
        <is>
          <t>000000000000437156</t>
        </is>
      </c>
      <c r="E158" t="inlineStr">
        <is>
          <t>PT2-O-N-AUT-AW-PE-19.05X2.300X0.279</t>
        </is>
      </c>
      <c r="F158" t="inlineStr">
        <is>
          <t>De-burring</t>
        </is>
      </c>
    </row>
    <row r="159" hidden="1" s="584">
      <c r="A159" t="n">
        <v>19.05</v>
      </c>
      <c r="B159" t="n">
        <v>2.3</v>
      </c>
      <c r="C159" t="n">
        <v>0.285</v>
      </c>
      <c r="D159" t="inlineStr">
        <is>
          <t>000000000002427711</t>
        </is>
      </c>
      <c r="E159" t="inlineStr">
        <is>
          <t>TUB-O-N-AUT-AW-PE-19.05X2.300X0.2850</t>
        </is>
      </c>
      <c r="F159" t="inlineStr">
        <is>
          <t>De-burring</t>
        </is>
      </c>
    </row>
    <row r="160" hidden="1" s="584">
      <c r="A160" t="n">
        <v>19.05</v>
      </c>
      <c r="B160" t="n">
        <v>2.3</v>
      </c>
      <c r="C160" t="n">
        <v>0.295</v>
      </c>
      <c r="D160" t="inlineStr">
        <is>
          <t>000000000000437154</t>
        </is>
      </c>
      <c r="E160" t="inlineStr">
        <is>
          <t>PT2-O-N-AUT-AW-PE-19.05X2.300X0.295</t>
        </is>
      </c>
      <c r="F160" t="inlineStr">
        <is>
          <t>De-burring</t>
        </is>
      </c>
    </row>
    <row r="161" hidden="1" s="584">
      <c r="A161" t="n">
        <v>19.05</v>
      </c>
      <c r="B161" t="n">
        <v>2.3</v>
      </c>
      <c r="C161" t="n">
        <v>0.295</v>
      </c>
      <c r="D161" t="inlineStr">
        <is>
          <t>000000000001940312</t>
        </is>
      </c>
      <c r="E161" t="inlineStr">
        <is>
          <t>TUB-O-O-AUT-AW-PE-19.05X2.300X0.2950</t>
        </is>
      </c>
      <c r="F161" t="inlineStr">
        <is>
          <t>De-burring</t>
        </is>
      </c>
    </row>
    <row r="162" hidden="1" s="584">
      <c r="A162" t="n">
        <v>19.05</v>
      </c>
      <c r="B162" t="n">
        <v>2.3</v>
      </c>
      <c r="C162" t="n">
        <v>0.303</v>
      </c>
      <c r="D162" t="inlineStr">
        <is>
          <t>000000000000508988</t>
        </is>
      </c>
      <c r="E162" t="inlineStr">
        <is>
          <t>PT2-O-N-AUT-AW-PE-19.05X2.300X0.303</t>
        </is>
      </c>
      <c r="F162" t="inlineStr">
        <is>
          <t>De-burring</t>
        </is>
      </c>
    </row>
    <row r="163" hidden="1" s="584">
      <c r="A163" t="n">
        <v>19.05</v>
      </c>
      <c r="B163" t="n">
        <v>2.3</v>
      </c>
      <c r="C163" t="n">
        <v>0.394</v>
      </c>
      <c r="D163" t="inlineStr">
        <is>
          <t>000000000000437148</t>
        </is>
      </c>
      <c r="E163" t="inlineStr">
        <is>
          <t>PT2-O-N-AUT-AW-PE-19.05X2.300X0.394</t>
        </is>
      </c>
      <c r="F163" t="inlineStr">
        <is>
          <t>De-burring</t>
        </is>
      </c>
    </row>
    <row r="164" hidden="1" s="584">
      <c r="A164" t="n">
        <v>19.05</v>
      </c>
      <c r="B164" t="n">
        <v>2.3</v>
      </c>
      <c r="C164" t="n">
        <v>0.394</v>
      </c>
      <c r="D164" t="inlineStr">
        <is>
          <t>000000000001940318</t>
        </is>
      </c>
      <c r="E164" t="inlineStr">
        <is>
          <t>TUB-O-O-AUT-AW-PE-19.05X2.300X0.3940</t>
        </is>
      </c>
      <c r="F164" t="inlineStr">
        <is>
          <t>De-burring</t>
        </is>
      </c>
    </row>
    <row r="165" hidden="1" s="584">
      <c r="A165" t="n">
        <v>19.05</v>
      </c>
      <c r="B165" t="n">
        <v>2.3</v>
      </c>
      <c r="C165" t="n">
        <v>0.4</v>
      </c>
      <c r="D165" t="inlineStr">
        <is>
          <t>000000000002320564</t>
        </is>
      </c>
      <c r="E165" t="inlineStr">
        <is>
          <t>TUB-O-N-AUT-AW-PE-19.05X2.300X0.4000</t>
        </is>
      </c>
      <c r="F165" t="inlineStr">
        <is>
          <t>De-burring</t>
        </is>
      </c>
    </row>
    <row r="166" hidden="1" s="584">
      <c r="A166" t="n">
        <v>19.05</v>
      </c>
      <c r="B166" t="n">
        <v>2.3</v>
      </c>
      <c r="C166" t="n">
        <v>0.57</v>
      </c>
      <c r="D166" t="inlineStr">
        <is>
          <t>000000000003507077</t>
        </is>
      </c>
      <c r="E166" t="inlineStr">
        <is>
          <t>CUT-O-N-AUT-AW-PE-19.05X2.300X0.570</t>
        </is>
      </c>
      <c r="F166" t="inlineStr">
        <is>
          <t>De-burring</t>
        </is>
      </c>
    </row>
    <row r="167" hidden="1" s="584">
      <c r="A167" t="n">
        <v>19.05</v>
      </c>
      <c r="B167" t="n">
        <v>2.3</v>
      </c>
      <c r="C167" t="n">
        <v>0.57</v>
      </c>
      <c r="D167" t="inlineStr">
        <is>
          <t>000000000001940325</t>
        </is>
      </c>
      <c r="E167" t="inlineStr">
        <is>
          <t>TUB-O-O-AUT-AW-PE-19.05X2.300X0.5700</t>
        </is>
      </c>
      <c r="F167" t="inlineStr">
        <is>
          <t>De-burring</t>
        </is>
      </c>
    </row>
    <row r="168" hidden="1" s="584">
      <c r="A168" t="n">
        <v>19.05</v>
      </c>
      <c r="B168" t="n">
        <v>2.3</v>
      </c>
      <c r="C168" t="n">
        <v>0.61</v>
      </c>
      <c r="D168" t="inlineStr">
        <is>
          <t>000000000003508521</t>
        </is>
      </c>
      <c r="E168" t="inlineStr">
        <is>
          <t>CUT-O-N-AUT-AW-PE-19.05X2.300X0.6100</t>
        </is>
      </c>
      <c r="F168" t="inlineStr">
        <is>
          <t>De-burring</t>
        </is>
      </c>
    </row>
    <row r="169" hidden="1" s="584">
      <c r="A169" t="n">
        <v>19.05</v>
      </c>
      <c r="B169" t="n">
        <v>2.3</v>
      </c>
      <c r="C169" t="n">
        <v>0.61</v>
      </c>
      <c r="D169" t="inlineStr">
        <is>
          <t>000000000001940329</t>
        </is>
      </c>
      <c r="E169" t="inlineStr">
        <is>
          <t>TUB-O-O-AUT-AW-PE-19.05X2.300X0.6100</t>
        </is>
      </c>
      <c r="F169" t="inlineStr">
        <is>
          <t>De-burring</t>
        </is>
      </c>
    </row>
    <row r="170" hidden="1" s="584">
      <c r="A170" t="n">
        <v>19.05</v>
      </c>
      <c r="B170" t="n">
        <v>2.3</v>
      </c>
      <c r="C170" t="n">
        <v>6.999</v>
      </c>
      <c r="D170" t="inlineStr">
        <is>
          <t>000000000003691082</t>
        </is>
      </c>
      <c r="E170" t="inlineStr">
        <is>
          <t>TUB-O-N-AUT-AW-PE-19.05X2.300X6.9990</t>
        </is>
      </c>
      <c r="F170" t="inlineStr">
        <is>
          <t>De-burring</t>
        </is>
      </c>
    </row>
    <row r="171" hidden="1" s="584">
      <c r="A171" t="n">
        <v>19.05</v>
      </c>
      <c r="B171" t="n">
        <v>2.3</v>
      </c>
      <c r="C171" t="n">
        <v>7</v>
      </c>
      <c r="D171" t="inlineStr">
        <is>
          <t>000000000003500582</t>
        </is>
      </c>
      <c r="E171" t="inlineStr">
        <is>
          <t>TUB-O-N-AUT-AW-PE-19.05X2.300X7.00-ERW 1</t>
        </is>
      </c>
      <c r="F171" t="inlineStr">
        <is>
          <t>De-burring</t>
        </is>
      </c>
    </row>
    <row r="172" hidden="1" s="584">
      <c r="A172" t="n">
        <v>19.05</v>
      </c>
      <c r="B172" t="n">
        <v>2.34</v>
      </c>
      <c r="C172" t="n">
        <v>0.25</v>
      </c>
      <c r="D172" t="inlineStr">
        <is>
          <t>000000000000238726</t>
        </is>
      </c>
      <c r="E172" t="inlineStr">
        <is>
          <t>PT2-O-N-AUT-AW-PE-19.05X2.340X0.250</t>
        </is>
      </c>
      <c r="F172" t="inlineStr">
        <is>
          <t>De-burring</t>
        </is>
      </c>
    </row>
    <row r="173" hidden="1" s="584">
      <c r="A173" t="n">
        <v>20</v>
      </c>
      <c r="B173" t="n">
        <v>1.42</v>
      </c>
      <c r="C173" t="n">
        <v>0.273</v>
      </c>
      <c r="D173" t="inlineStr">
        <is>
          <t>000000000003228788</t>
        </is>
      </c>
      <c r="E173" t="inlineStr">
        <is>
          <t>TUB-O-C-AUT-AD-FC-20.00X1.420X0.2730</t>
        </is>
      </c>
      <c r="F173" t="inlineStr">
        <is>
          <t>De-burring</t>
        </is>
      </c>
    </row>
    <row r="174" hidden="1" s="584">
      <c r="A174" t="n">
        <v>20</v>
      </c>
      <c r="B174" t="n">
        <v>3.8</v>
      </c>
      <c r="C174" t="n">
        <v>0</v>
      </c>
      <c r="D174" t="inlineStr">
        <is>
          <t>000000000002439536</t>
        </is>
      </c>
      <c r="E174" t="inlineStr">
        <is>
          <t>TUB-O-C-AUT-AD-FC-20.00X3.800X04-05</t>
        </is>
      </c>
      <c r="F174" t="inlineStr">
        <is>
          <t>De-burring</t>
        </is>
      </c>
    </row>
    <row r="175" hidden="1" s="584">
      <c r="A175" t="n">
        <v>20</v>
      </c>
      <c r="B175" t="n">
        <v>4.5</v>
      </c>
      <c r="C175" t="n">
        <v>0</v>
      </c>
      <c r="D175" t="inlineStr">
        <is>
          <t>000000000002439535</t>
        </is>
      </c>
      <c r="E175" t="inlineStr">
        <is>
          <t>TUB-O-C-AUT-AD-FC-20.00X4.500X04-05</t>
        </is>
      </c>
      <c r="F175" t="inlineStr">
        <is>
          <t>De-burring</t>
        </is>
      </c>
    </row>
    <row r="176" hidden="1" s="584">
      <c r="A176" t="n">
        <v>21.2</v>
      </c>
      <c r="B176" t="n">
        <v>2.75</v>
      </c>
      <c r="C176" t="n">
        <v>0</v>
      </c>
      <c r="D176" t="inlineStr">
        <is>
          <t>000000000002411624</t>
        </is>
      </c>
      <c r="E176" t="inlineStr">
        <is>
          <t>TUB-O-C-AUT-AD-FC-21.20X2.750X04-05</t>
        </is>
      </c>
      <c r="F176" t="inlineStr">
        <is>
          <t>De-burring</t>
        </is>
      </c>
    </row>
    <row r="177" hidden="1" s="584">
      <c r="A177" t="n">
        <v>21.4</v>
      </c>
      <c r="B177" t="n">
        <v>1.6</v>
      </c>
      <c r="C177" t="n">
        <v>6</v>
      </c>
      <c r="D177" t="inlineStr">
        <is>
          <t>000000000003219710</t>
        </is>
      </c>
      <c r="E177" t="inlineStr">
        <is>
          <t>TUB-O-N-AUT-AW-PE-21.40X1.600X6.0000</t>
        </is>
      </c>
      <c r="F177" t="inlineStr">
        <is>
          <t>De-burring</t>
        </is>
      </c>
    </row>
    <row r="178" hidden="1" s="584">
      <c r="A178" t="n">
        <v>21.4</v>
      </c>
      <c r="B178" t="n">
        <v>2</v>
      </c>
      <c r="C178" t="n">
        <v>0.426</v>
      </c>
      <c r="D178" t="inlineStr">
        <is>
          <t>000000000002436110</t>
        </is>
      </c>
      <c r="E178" t="inlineStr">
        <is>
          <t>TUB-O-N-AUT-AW-PE-21.40X2.000X0.4260</t>
        </is>
      </c>
      <c r="F178" t="inlineStr">
        <is>
          <t>De-burring</t>
        </is>
      </c>
    </row>
    <row r="179" hidden="1" s="584">
      <c r="A179" t="n">
        <v>21.4</v>
      </c>
      <c r="B179" t="n">
        <v>2</v>
      </c>
      <c r="C179" t="n">
        <v>0.451</v>
      </c>
      <c r="D179" t="inlineStr">
        <is>
          <t>000000000003614495</t>
        </is>
      </c>
      <c r="E179" t="inlineStr">
        <is>
          <t>TUB-O-N-AUT-AW-PE-21.40X2.000X0.4510</t>
        </is>
      </c>
      <c r="F179" t="inlineStr">
        <is>
          <t>De-burring</t>
        </is>
      </c>
    </row>
    <row r="180" hidden="1" s="584">
      <c r="A180" t="n">
        <v>21.4</v>
      </c>
      <c r="B180" t="n">
        <v>2</v>
      </c>
      <c r="C180" t="n">
        <v>0.454</v>
      </c>
      <c r="D180" t="inlineStr">
        <is>
          <t>000000000003181178</t>
        </is>
      </c>
      <c r="E180" t="inlineStr">
        <is>
          <t>TUB-O-N-AUT-AW-PE-21.40X2.000X0.4540</t>
        </is>
      </c>
      <c r="F180" t="inlineStr">
        <is>
          <t>De-burring</t>
        </is>
      </c>
    </row>
    <row r="181" hidden="1" s="584">
      <c r="A181" t="n">
        <v>21.7</v>
      </c>
      <c r="B181" t="n">
        <v>2.45</v>
      </c>
      <c r="C181" t="n">
        <v>4.4</v>
      </c>
      <c r="D181" t="inlineStr">
        <is>
          <t>000000000001938393</t>
        </is>
      </c>
      <c r="E181" t="inlineStr">
        <is>
          <t>TUB-I-C-AUT-AD-FC-16.80X2.450X4.4000</t>
        </is>
      </c>
      <c r="F181" t="inlineStr">
        <is>
          <t>De-burring</t>
        </is>
      </c>
    </row>
    <row r="182" hidden="1" s="584">
      <c r="A182" t="n">
        <v>21.7</v>
      </c>
      <c r="B182" t="n">
        <v>2.75</v>
      </c>
      <c r="C182" t="n">
        <v>0</v>
      </c>
      <c r="D182" t="inlineStr">
        <is>
          <t>000000000002410999</t>
        </is>
      </c>
      <c r="E182" t="inlineStr">
        <is>
          <t>TUB-O-C-AUT-AD-FC-21.70X2.750X04-05</t>
        </is>
      </c>
      <c r="F182" t="inlineStr">
        <is>
          <t>De-burring</t>
        </is>
      </c>
    </row>
    <row r="183" hidden="1" s="584">
      <c r="A183" t="n">
        <v>22.2</v>
      </c>
      <c r="B183" t="n">
        <v>1.2</v>
      </c>
      <c r="C183" t="n">
        <v>0.3</v>
      </c>
      <c r="D183" t="inlineStr">
        <is>
          <t>000000000000314118</t>
        </is>
      </c>
      <c r="E183" t="inlineStr">
        <is>
          <t>TUB-O-N-AUT-AW-PE-22.20X1.200X0.300</t>
        </is>
      </c>
      <c r="F183" t="inlineStr">
        <is>
          <t>De-burring</t>
        </is>
      </c>
    </row>
    <row r="184" hidden="1" s="584">
      <c r="A184" t="n">
        <v>22.2</v>
      </c>
      <c r="B184" t="n">
        <v>1.2</v>
      </c>
      <c r="C184" t="n">
        <v>0.673</v>
      </c>
      <c r="D184" t="inlineStr">
        <is>
          <t>000000000003667938</t>
        </is>
      </c>
      <c r="E184" t="inlineStr">
        <is>
          <t>CUT-O-N-AUT-AW-PE-22.20X1.200X0.6730</t>
        </is>
      </c>
      <c r="F184" t="inlineStr">
        <is>
          <t>De-burring</t>
        </is>
      </c>
    </row>
    <row r="185" hidden="1" s="584">
      <c r="A185" t="n">
        <v>22.2</v>
      </c>
      <c r="B185" t="n">
        <v>1.2</v>
      </c>
      <c r="C185" t="n">
        <v>0.681</v>
      </c>
      <c r="D185" t="inlineStr">
        <is>
          <t>000000000001270328</t>
        </is>
      </c>
      <c r="E185" t="inlineStr">
        <is>
          <t>TUB-O-N-AUT-AW-PE-22.20X1.200X0.6810</t>
        </is>
      </c>
      <c r="F185" t="inlineStr">
        <is>
          <t>De-burring</t>
        </is>
      </c>
    </row>
    <row r="186" hidden="1" s="584">
      <c r="A186" t="n">
        <v>22.2</v>
      </c>
      <c r="B186" t="n">
        <v>1.2</v>
      </c>
      <c r="C186" t="n">
        <v>1.162</v>
      </c>
      <c r="D186" t="inlineStr">
        <is>
          <t>000000000000521118</t>
        </is>
      </c>
      <c r="E186" t="inlineStr">
        <is>
          <t>PT2-O-N-AUT-AW-PE-22.20X1.200X1.162</t>
        </is>
      </c>
      <c r="F186" t="inlineStr">
        <is>
          <t>De-burring</t>
        </is>
      </c>
    </row>
    <row r="187" hidden="1" s="584">
      <c r="A187" t="n">
        <v>22.2</v>
      </c>
      <c r="B187" t="n">
        <v>1.2</v>
      </c>
      <c r="C187" t="n">
        <v>1.3</v>
      </c>
      <c r="D187" t="inlineStr">
        <is>
          <t>000000000003669081</t>
        </is>
      </c>
      <c r="E187" t="inlineStr">
        <is>
          <t>TUB-O-N-AUT-AW-PE-22.20X1.200X1.3000</t>
        </is>
      </c>
      <c r="F187" t="inlineStr">
        <is>
          <t>De-burring</t>
        </is>
      </c>
    </row>
    <row r="188" hidden="1" s="584">
      <c r="A188" t="n">
        <v>22.2</v>
      </c>
      <c r="B188" t="n">
        <v>1.2</v>
      </c>
      <c r="C188" t="n">
        <v>5.87</v>
      </c>
      <c r="D188" t="inlineStr">
        <is>
          <t>000000000003882110</t>
        </is>
      </c>
      <c r="E188" t="inlineStr">
        <is>
          <t>TUB-O-N-AUT-AW-PE-22.20X1.200X5.8700</t>
        </is>
      </c>
      <c r="F188" t="inlineStr">
        <is>
          <t>De-burring</t>
        </is>
      </c>
    </row>
    <row r="189" hidden="1" s="584">
      <c r="A189" t="n">
        <v>22.2</v>
      </c>
      <c r="B189" t="n">
        <v>1.4</v>
      </c>
      <c r="C189" t="n">
        <v>6</v>
      </c>
      <c r="D189" t="inlineStr">
        <is>
          <t>000000000003829175</t>
        </is>
      </c>
      <c r="E189" t="inlineStr">
        <is>
          <t>TUB-O-N-AUT-AW-PE-22.20X1.40X6.000 HST</t>
        </is>
      </c>
      <c r="F189" t="inlineStr">
        <is>
          <t>De-burring</t>
        </is>
      </c>
    </row>
    <row r="190" hidden="1" s="584">
      <c r="A190" t="n">
        <v>22.2</v>
      </c>
      <c r="B190" t="n">
        <v>1.6</v>
      </c>
      <c r="C190" t="n">
        <v>0.285</v>
      </c>
      <c r="D190" t="inlineStr">
        <is>
          <t>000000000000237644</t>
        </is>
      </c>
      <c r="E190" t="inlineStr">
        <is>
          <t>PT2-O-N-AUT-AW-PE-22.20X1.600X0.285</t>
        </is>
      </c>
      <c r="F190" t="inlineStr">
        <is>
          <t>De-burring</t>
        </is>
      </c>
    </row>
    <row r="191" hidden="1" s="584">
      <c r="A191" t="n">
        <v>22.2</v>
      </c>
      <c r="B191" t="n">
        <v>1.6</v>
      </c>
      <c r="C191" t="n">
        <v>0.394</v>
      </c>
      <c r="D191" t="inlineStr">
        <is>
          <t>000000000000292334</t>
        </is>
      </c>
      <c r="E191" t="inlineStr">
        <is>
          <t>TUB-O-N-AUT-AW-PE-22.20X1.600X0.394</t>
        </is>
      </c>
      <c r="F191" t="inlineStr">
        <is>
          <t>De-burring</t>
        </is>
      </c>
    </row>
    <row r="192" hidden="1" s="584">
      <c r="A192" t="n">
        <v>22.2</v>
      </c>
      <c r="B192" t="n">
        <v>1.6</v>
      </c>
      <c r="C192" t="n">
        <v>0.401</v>
      </c>
      <c r="D192" t="inlineStr">
        <is>
          <t>000000000000508985</t>
        </is>
      </c>
      <c r="E192" t="inlineStr">
        <is>
          <t>PT2-O-N-AUT-AW-PE-22.20X1.600X0.401</t>
        </is>
      </c>
      <c r="F192" t="inlineStr">
        <is>
          <t>De-burring</t>
        </is>
      </c>
    </row>
    <row r="193" hidden="1" s="584">
      <c r="A193" t="n">
        <v>22.2</v>
      </c>
      <c r="B193" t="n">
        <v>1.6</v>
      </c>
      <c r="C193" t="n">
        <v>0.64</v>
      </c>
      <c r="D193" t="inlineStr">
        <is>
          <t>000000000003556680</t>
        </is>
      </c>
      <c r="E193" t="inlineStr">
        <is>
          <t>TUB-O-N-AUT-AW-PE-22.20X1.600X0.6400</t>
        </is>
      </c>
      <c r="F193" t="inlineStr">
        <is>
          <t>De-burring</t>
        </is>
      </c>
    </row>
    <row r="194" hidden="1" s="584">
      <c r="A194" t="n">
        <v>22.2</v>
      </c>
      <c r="B194" t="n">
        <v>1.6</v>
      </c>
      <c r="C194" t="n">
        <v>0.8090000000000001</v>
      </c>
      <c r="D194" t="inlineStr">
        <is>
          <t>000000000000292333</t>
        </is>
      </c>
      <c r="E194" t="inlineStr">
        <is>
          <t>TUB-O-N-AUT-AW-PE-22.20X1.600X0.809</t>
        </is>
      </c>
      <c r="F194" t="inlineStr">
        <is>
          <t>De-burring</t>
        </is>
      </c>
    </row>
    <row r="195" hidden="1" s="584">
      <c r="A195" t="n">
        <v>22.2</v>
      </c>
      <c r="B195" t="n">
        <v>1.6</v>
      </c>
      <c r="C195" t="n">
        <v>0.967</v>
      </c>
      <c r="D195" t="inlineStr">
        <is>
          <t>000000000001254735</t>
        </is>
      </c>
      <c r="E195" t="inlineStr">
        <is>
          <t>Use--00003507486</t>
        </is>
      </c>
      <c r="F195" t="inlineStr">
        <is>
          <t>De-burring</t>
        </is>
      </c>
    </row>
    <row r="196" hidden="1" s="584">
      <c r="A196" t="n">
        <v>22.2</v>
      </c>
      <c r="B196" t="n">
        <v>1.6</v>
      </c>
      <c r="C196" t="n">
        <v>1.222</v>
      </c>
      <c r="D196" t="inlineStr">
        <is>
          <t>000000000003533249</t>
        </is>
      </c>
      <c r="E196" t="inlineStr">
        <is>
          <t>CUT-O-N-AUT-AW-PE-22.20X1.600X1.2220</t>
        </is>
      </c>
      <c r="F196" t="inlineStr">
        <is>
          <t>De-burring</t>
        </is>
      </c>
    </row>
    <row r="197" hidden="1" s="584">
      <c r="A197" t="n">
        <v>22.2</v>
      </c>
      <c r="B197" t="n">
        <v>1.6</v>
      </c>
      <c r="C197" t="n">
        <v>1.29</v>
      </c>
      <c r="D197" t="inlineStr">
        <is>
          <t>000000000003533248</t>
        </is>
      </c>
      <c r="E197" t="inlineStr">
        <is>
          <t>CUT-O-N-AUT-AW-PE-22.20X1.600X1.2900</t>
        </is>
      </c>
      <c r="F197" t="inlineStr">
        <is>
          <t>De-burring</t>
        </is>
      </c>
    </row>
    <row r="198" hidden="1" s="584">
      <c r="A198" t="n">
        <v>22.2</v>
      </c>
      <c r="B198" t="n">
        <v>1.6</v>
      </c>
      <c r="C198" t="n">
        <v>1.3</v>
      </c>
      <c r="D198" t="inlineStr">
        <is>
          <t>000000000000267070</t>
        </is>
      </c>
      <c r="E198" t="inlineStr">
        <is>
          <t>PT2-O-N-AUT-AW-PE-22.20X1.600X1.300</t>
        </is>
      </c>
      <c r="F198" t="inlineStr">
        <is>
          <t>De-burring</t>
        </is>
      </c>
    </row>
    <row r="199" hidden="1" s="584">
      <c r="A199" t="n">
        <v>22.2</v>
      </c>
      <c r="B199" t="n">
        <v>1.6</v>
      </c>
      <c r="C199" t="n">
        <v>6</v>
      </c>
      <c r="D199" t="inlineStr">
        <is>
          <t>000000000003499239</t>
        </is>
      </c>
      <c r="E199" t="inlineStr">
        <is>
          <t>TUB-O-N-AUT-AW-PE-22.20X1.600X6.00-ERW 1</t>
        </is>
      </c>
      <c r="F199" t="inlineStr">
        <is>
          <t>De-burring</t>
        </is>
      </c>
    </row>
    <row r="200" hidden="1" s="584">
      <c r="A200" t="n">
        <v>22.2</v>
      </c>
      <c r="B200" t="n">
        <v>1.63</v>
      </c>
      <c r="C200" t="n">
        <v>0.7</v>
      </c>
      <c r="D200" t="inlineStr">
        <is>
          <t>000000000000296754</t>
        </is>
      </c>
      <c r="E200" t="inlineStr">
        <is>
          <t>PT2-O-N-AUT-AW-PE-22.20X1.630X0.700</t>
        </is>
      </c>
      <c r="F200" t="inlineStr">
        <is>
          <t>De-burring</t>
        </is>
      </c>
    </row>
    <row r="201" hidden="1" s="584">
      <c r="A201" t="n">
        <v>22.2</v>
      </c>
      <c r="B201" t="n">
        <v>2</v>
      </c>
      <c r="C201" t="n">
        <v>0.22</v>
      </c>
      <c r="D201" t="inlineStr">
        <is>
          <t>000000000000471489</t>
        </is>
      </c>
      <c r="E201" t="inlineStr">
        <is>
          <t>PT2-O-N-AUT-AW-PE-22.20X2.000X0.220</t>
        </is>
      </c>
      <c r="F201" t="inlineStr">
        <is>
          <t>De-burring</t>
        </is>
      </c>
    </row>
    <row r="202" hidden="1" s="584">
      <c r="A202" t="n">
        <v>22.2</v>
      </c>
      <c r="B202" t="n">
        <v>2</v>
      </c>
      <c r="C202" t="n">
        <v>0.394</v>
      </c>
      <c r="D202" t="inlineStr">
        <is>
          <t>000000000001154248</t>
        </is>
      </c>
      <c r="E202" t="inlineStr">
        <is>
          <t>TUB-O-N-AUT-AW-PE-22.20X2.000X0.394HB</t>
        </is>
      </c>
      <c r="F202" t="inlineStr">
        <is>
          <t>De-burring</t>
        </is>
      </c>
    </row>
    <row r="203" hidden="1" s="584">
      <c r="A203" t="n">
        <v>22.2</v>
      </c>
      <c r="B203" t="n">
        <v>2</v>
      </c>
      <c r="C203" t="n">
        <v>0.715</v>
      </c>
      <c r="D203" t="inlineStr">
        <is>
          <t>000000000000288719</t>
        </is>
      </c>
      <c r="E203" t="inlineStr">
        <is>
          <t>PT2-O-N-AUT-AW-PE-22.20X2.000X0.715</t>
        </is>
      </c>
      <c r="F203" t="inlineStr">
        <is>
          <t>De-burring</t>
        </is>
      </c>
    </row>
    <row r="204" hidden="1" s="584">
      <c r="A204" t="n">
        <v>22.2</v>
      </c>
      <c r="B204" t="n">
        <v>2</v>
      </c>
      <c r="C204" t="n">
        <v>0.8149999999999999</v>
      </c>
      <c r="D204" t="inlineStr">
        <is>
          <t>000000000000319684</t>
        </is>
      </c>
      <c r="E204" t="inlineStr">
        <is>
          <t>PT2-O-N-AUT-AW-PE-22.20X2.000X0.815</t>
        </is>
      </c>
      <c r="F204" t="inlineStr">
        <is>
          <t>De-burring</t>
        </is>
      </c>
    </row>
    <row r="205" hidden="1" s="584">
      <c r="A205" t="n">
        <v>22.2</v>
      </c>
      <c r="B205" t="n">
        <v>2</v>
      </c>
      <c r="C205" t="n">
        <v>5.1</v>
      </c>
      <c r="D205" t="inlineStr">
        <is>
          <t>000000000003500554</t>
        </is>
      </c>
      <c r="E205" t="inlineStr">
        <is>
          <t>TUB-O-N-AUT-AW-PE-22.20X2.000X5.1000</t>
        </is>
      </c>
      <c r="F205" t="inlineStr">
        <is>
          <t>De-burring</t>
        </is>
      </c>
    </row>
    <row r="206" hidden="1" s="584">
      <c r="A206" t="n">
        <v>22.2</v>
      </c>
      <c r="B206" t="n">
        <v>2</v>
      </c>
      <c r="C206" t="n">
        <v>5.951</v>
      </c>
      <c r="D206" t="inlineStr">
        <is>
          <t>000000000003905466</t>
        </is>
      </c>
      <c r="E206" t="inlineStr">
        <is>
          <t>TUB-O-N-AUT-AW-PE-22.20X2.000X5.9510</t>
        </is>
      </c>
      <c r="F206" t="inlineStr">
        <is>
          <t>De-burring</t>
        </is>
      </c>
    </row>
    <row r="207" hidden="1" s="584">
      <c r="A207" t="n">
        <v>22.2</v>
      </c>
      <c r="B207" t="n">
        <v>2.3</v>
      </c>
      <c r="C207" t="n">
        <v>0.225</v>
      </c>
      <c r="D207" t="inlineStr">
        <is>
          <t>000000000003484652</t>
        </is>
      </c>
      <c r="E207" t="inlineStr">
        <is>
          <t>TUB-O-N-AUT-AW-PE-22.20X2.300X0.2250</t>
        </is>
      </c>
      <c r="F207" t="inlineStr">
        <is>
          <t>De-burring</t>
        </is>
      </c>
    </row>
    <row r="208" hidden="1" s="584">
      <c r="A208" t="n">
        <v>22.2</v>
      </c>
      <c r="B208" t="n">
        <v>2.3</v>
      </c>
      <c r="C208" t="n">
        <v>0.37</v>
      </c>
      <c r="D208" t="inlineStr">
        <is>
          <t>000000000001241174</t>
        </is>
      </c>
      <c r="E208" t="inlineStr">
        <is>
          <t>TUB-O-N-AUT-AW-PE-22.20X2.300X0.370</t>
        </is>
      </c>
      <c r="F208" t="inlineStr">
        <is>
          <t>De-burring</t>
        </is>
      </c>
    </row>
    <row r="209" hidden="1" s="584">
      <c r="A209" t="n">
        <v>22.2</v>
      </c>
      <c r="B209" t="n">
        <v>2.3</v>
      </c>
      <c r="C209" t="n">
        <v>0.425</v>
      </c>
      <c r="D209" t="inlineStr">
        <is>
          <t>000000000003087645</t>
        </is>
      </c>
      <c r="E209" t="inlineStr">
        <is>
          <t>PT2-O-N-AUT-AW-PE-22.20X2.300X0.4250</t>
        </is>
      </c>
      <c r="F209" t="inlineStr">
        <is>
          <t>De-burring</t>
        </is>
      </c>
    </row>
    <row r="210" hidden="1" s="584">
      <c r="A210" t="n">
        <v>22.2</v>
      </c>
      <c r="B210" t="n">
        <v>2.3</v>
      </c>
      <c r="C210" t="n">
        <v>6</v>
      </c>
      <c r="D210" t="inlineStr">
        <is>
          <t>000000000000235488</t>
        </is>
      </c>
      <c r="E210" t="inlineStr">
        <is>
          <t>TUB-O-N-AUT-AW-PE-22.20X2.30X6.000-ERW 1</t>
        </is>
      </c>
      <c r="F210" t="inlineStr">
        <is>
          <t>De-burring</t>
        </is>
      </c>
    </row>
    <row r="211" hidden="1" s="584">
      <c r="A211" t="n">
        <v>22.2</v>
      </c>
      <c r="B211" t="n">
        <v>2.6</v>
      </c>
      <c r="C211" t="n">
        <v>1.082</v>
      </c>
      <c r="D211" t="inlineStr">
        <is>
          <t>000000000003659973</t>
        </is>
      </c>
      <c r="E211" t="inlineStr">
        <is>
          <t>TUB-O-N-HST-AH-PE-22.20X2.600X1.0820</t>
        </is>
      </c>
      <c r="F211" t="inlineStr">
        <is>
          <t>De-burring</t>
        </is>
      </c>
    </row>
    <row r="212" hidden="1" s="584">
      <c r="A212" t="n">
        <v>22.23</v>
      </c>
      <c r="B212" t="n">
        <v>0.8</v>
      </c>
      <c r="C212" t="n">
        <v>6</v>
      </c>
      <c r="D212" t="inlineStr">
        <is>
          <t>000000000003702303</t>
        </is>
      </c>
      <c r="E212" t="inlineStr">
        <is>
          <t>TUB-O-N-AUT-AW-PE-22.23X0.800X6.0000</t>
        </is>
      </c>
      <c r="F212" t="inlineStr">
        <is>
          <t>De-burring</t>
        </is>
      </c>
    </row>
    <row r="213" hidden="1" s="584">
      <c r="A213" t="n">
        <v>22.23</v>
      </c>
      <c r="B213" t="n">
        <v>1.2</v>
      </c>
      <c r="C213" t="n">
        <v>1.162</v>
      </c>
      <c r="D213" t="inlineStr">
        <is>
          <t>000000000001940363</t>
        </is>
      </c>
      <c r="E213" t="inlineStr">
        <is>
          <t>TUB-O-O-AUT-AW-PE-22.23X1.200X1.1620</t>
        </is>
      </c>
      <c r="F213" t="inlineStr">
        <is>
          <t>De-burring</t>
        </is>
      </c>
    </row>
    <row r="214" hidden="1" s="584">
      <c r="A214" t="n">
        <v>22.23</v>
      </c>
      <c r="B214" t="n">
        <v>1.2</v>
      </c>
      <c r="C214" t="n">
        <v>1.308</v>
      </c>
      <c r="D214" t="inlineStr">
        <is>
          <t>000000000003747393</t>
        </is>
      </c>
      <c r="E214" t="inlineStr">
        <is>
          <t>CUT-O-N-AUT-AW-PE-22.23X1.200X1.3080</t>
        </is>
      </c>
      <c r="F214" t="inlineStr">
        <is>
          <t>De-burring</t>
        </is>
      </c>
    </row>
    <row r="215" hidden="1" s="584">
      <c r="A215" t="n">
        <v>22.23</v>
      </c>
      <c r="B215" t="n">
        <v>1.5</v>
      </c>
      <c r="C215" t="n">
        <v>6</v>
      </c>
      <c r="D215" t="inlineStr">
        <is>
          <t>000000000003701605</t>
        </is>
      </c>
      <c r="E215" t="inlineStr">
        <is>
          <t>TUB-O-N-AUT-AW-PE-22.23X1.500X6.0000</t>
        </is>
      </c>
      <c r="F215" t="inlineStr">
        <is>
          <t>De-burring</t>
        </is>
      </c>
    </row>
    <row r="216" hidden="1" s="584">
      <c r="A216" t="n">
        <v>22.23</v>
      </c>
      <c r="B216" t="n">
        <v>1.6</v>
      </c>
      <c r="C216" t="n">
        <v>0.274</v>
      </c>
      <c r="D216" t="inlineStr">
        <is>
          <t>000000000003553684</t>
        </is>
      </c>
      <c r="E216" t="inlineStr">
        <is>
          <t>TUB-O-N-AUT-AW-PE-22.23X1.600X0.2740</t>
        </is>
      </c>
      <c r="F216" t="inlineStr">
        <is>
          <t>De-burring</t>
        </is>
      </c>
    </row>
    <row r="217" hidden="1" s="584">
      <c r="A217" t="n">
        <v>22.23</v>
      </c>
      <c r="B217" t="n">
        <v>1.6</v>
      </c>
      <c r="C217" t="n">
        <v>0.283</v>
      </c>
      <c r="D217" t="inlineStr">
        <is>
          <t>000000000001940390</t>
        </is>
      </c>
      <c r="E217" t="inlineStr">
        <is>
          <t>TUB-O-O-AUT-AW-PE-22.23X1.600X0.2830</t>
        </is>
      </c>
      <c r="F217" t="inlineStr">
        <is>
          <t>De-burring</t>
        </is>
      </c>
    </row>
    <row r="218" hidden="1" s="584">
      <c r="A218" t="n">
        <v>22.23</v>
      </c>
      <c r="B218" t="n">
        <v>1.6</v>
      </c>
      <c r="C218" t="n">
        <v>0.321</v>
      </c>
      <c r="D218" t="inlineStr">
        <is>
          <t>000000000003868655</t>
        </is>
      </c>
      <c r="E218" t="inlineStr">
        <is>
          <t>CUT-O-N-AUT-AW-FC-22.23X1.600X0.3210</t>
        </is>
      </c>
      <c r="F218" t="inlineStr">
        <is>
          <t>De-burring</t>
        </is>
      </c>
    </row>
    <row r="219" hidden="1" s="584">
      <c r="A219" t="n">
        <v>22.23</v>
      </c>
      <c r="B219" t="n">
        <v>1.6</v>
      </c>
      <c r="C219" t="n">
        <v>0.394</v>
      </c>
      <c r="D219" t="inlineStr">
        <is>
          <t>000000000001938251</t>
        </is>
      </c>
      <c r="E219" t="inlineStr">
        <is>
          <t>TUB-O-N-AUT-AW-PE-22.23X1.600X0.3940</t>
        </is>
      </c>
      <c r="F219" t="inlineStr">
        <is>
          <t>De-burring</t>
        </is>
      </c>
    </row>
    <row r="220" hidden="1" s="584">
      <c r="A220" t="n">
        <v>22.23</v>
      </c>
      <c r="B220" t="n">
        <v>1.6</v>
      </c>
      <c r="C220" s="50" t="n">
        <v>0.675</v>
      </c>
      <c r="D220" t="n">
        <v>2427939</v>
      </c>
      <c r="E220" t="inlineStr">
        <is>
          <t>TUB-O-N-AUT-AW-PE-22.23X1.600X0.6750</t>
        </is>
      </c>
      <c r="F220" t="inlineStr">
        <is>
          <t>Taper Cutting</t>
        </is>
      </c>
    </row>
    <row r="221" hidden="1" s="584">
      <c r="A221" t="n">
        <v>22.23</v>
      </c>
      <c r="B221" t="n">
        <v>1.6</v>
      </c>
      <c r="C221" t="n">
        <v>0.6899999999999999</v>
      </c>
      <c r="D221" t="n">
        <v>3714733</v>
      </c>
      <c r="E221" t="inlineStr">
        <is>
          <t>TUB-O-N-AUT-AW-PE-22.23X1.600X0.690</t>
        </is>
      </c>
      <c r="F221" t="inlineStr">
        <is>
          <t>De-burring</t>
        </is>
      </c>
    </row>
    <row r="222" hidden="1" s="584">
      <c r="A222" t="n">
        <v>22.23</v>
      </c>
      <c r="B222" t="n">
        <v>1.6</v>
      </c>
      <c r="C222" t="n">
        <v>0.7</v>
      </c>
      <c r="D222" t="n">
        <v>2270133</v>
      </c>
      <c r="E222" t="inlineStr">
        <is>
          <t>TUB-O-N-AUT-HR-PE-22.23X1.600X0.7000</t>
        </is>
      </c>
      <c r="F222" t="inlineStr">
        <is>
          <t>De-burring</t>
        </is>
      </c>
    </row>
    <row r="223" hidden="1" s="584">
      <c r="A223" t="n">
        <v>22.23</v>
      </c>
      <c r="B223" t="n">
        <v>1.6</v>
      </c>
      <c r="C223" t="n">
        <v>0.74</v>
      </c>
      <c r="D223" t="n">
        <v>1940407</v>
      </c>
      <c r="E223" t="inlineStr">
        <is>
          <t>TUB-O-O-AUT-AW-PE-22.23X1.600X0.7400</t>
        </is>
      </c>
      <c r="F223" t="inlineStr">
        <is>
          <t>De-burring</t>
        </is>
      </c>
    </row>
    <row r="224" hidden="1" s="584">
      <c r="A224" t="n">
        <v>22.23</v>
      </c>
      <c r="B224" t="n">
        <v>1.6</v>
      </c>
      <c r="C224" t="n">
        <v>0.88</v>
      </c>
      <c r="D224" t="n">
        <v>2418687</v>
      </c>
      <c r="E224" t="inlineStr">
        <is>
          <t>TUB-O-N-AUT-AW-PE-22.23X1.600X0.8800</t>
        </is>
      </c>
      <c r="F224" t="inlineStr">
        <is>
          <t>De-burring</t>
        </is>
      </c>
    </row>
    <row r="225" hidden="1" s="584">
      <c r="A225" t="n">
        <v>22.23</v>
      </c>
      <c r="B225" t="n">
        <v>1.6</v>
      </c>
      <c r="C225" t="n">
        <v>0.9350000000000001</v>
      </c>
      <c r="D225" t="n">
        <v>1940416</v>
      </c>
      <c r="E225" t="inlineStr">
        <is>
          <t>TUB-O-O-AUT-AW-PE-22.23X1.60X0.935-MAHS</t>
        </is>
      </c>
      <c r="F225" t="inlineStr">
        <is>
          <t>Chamferring</t>
        </is>
      </c>
    </row>
    <row r="226" hidden="1" s="584">
      <c r="A226" t="n">
        <v>22.23</v>
      </c>
      <c r="B226" t="n">
        <v>1.6</v>
      </c>
      <c r="C226" t="n">
        <v>0.945</v>
      </c>
      <c r="D226" t="n">
        <v>3599863</v>
      </c>
      <c r="E226" t="inlineStr">
        <is>
          <t>TUB-O-N-AUT-AW-PE-22.23X1.600X0.9450</t>
        </is>
      </c>
      <c r="F226" t="inlineStr">
        <is>
          <t>De-burring</t>
        </is>
      </c>
    </row>
    <row r="227" hidden="1" s="584">
      <c r="A227" t="n">
        <v>22.23</v>
      </c>
      <c r="B227" t="n">
        <v>1.6</v>
      </c>
      <c r="C227" t="n">
        <v>0.949</v>
      </c>
      <c r="D227" t="n">
        <v>3673012</v>
      </c>
      <c r="E227" t="inlineStr">
        <is>
          <t>TUB-O-N-AUT-AW-PE-22.23X1.600X0.9490</t>
        </is>
      </c>
      <c r="F227" t="inlineStr">
        <is>
          <t>De-burring</t>
        </is>
      </c>
    </row>
    <row r="228" hidden="1" s="584">
      <c r="A228" t="n">
        <v>22.23</v>
      </c>
      <c r="B228" t="n">
        <v>1.6</v>
      </c>
      <c r="C228" t="n">
        <v>1.175</v>
      </c>
      <c r="D228" t="n">
        <v>1940420</v>
      </c>
      <c r="E228" t="inlineStr">
        <is>
          <t>TUB-O-O-AUT-AW-PE-22.23X1.600X1.1750</t>
        </is>
      </c>
      <c r="F228" t="inlineStr">
        <is>
          <t>De-burring</t>
        </is>
      </c>
    </row>
    <row r="229" hidden="1" s="584">
      <c r="A229" t="n">
        <v>22.23</v>
      </c>
      <c r="B229" t="n">
        <v>1.6</v>
      </c>
      <c r="C229" t="n">
        <v>1.304</v>
      </c>
      <c r="D229" t="n">
        <v>3673011</v>
      </c>
      <c r="E229" t="inlineStr">
        <is>
          <t>TUB-O-N-AUT-AW-PE-22.23X1.600X1.3040</t>
        </is>
      </c>
      <c r="F229" t="inlineStr">
        <is>
          <t>De-burring</t>
        </is>
      </c>
    </row>
    <row r="230" hidden="1" s="584">
      <c r="A230" t="n">
        <v>22.23</v>
      </c>
      <c r="B230" t="n">
        <v>2</v>
      </c>
      <c r="C230" t="n">
        <v>0.124</v>
      </c>
      <c r="D230" t="n">
        <v>3181172</v>
      </c>
      <c r="E230" t="inlineStr">
        <is>
          <t>TUB-O-N-AUT-AW-PE-22.23X2.000X0.1240</t>
        </is>
      </c>
      <c r="F230" t="inlineStr">
        <is>
          <t>De-burring</t>
        </is>
      </c>
    </row>
    <row r="231" hidden="1" s="584">
      <c r="A231" t="n">
        <v>22.23</v>
      </c>
      <c r="B231" t="n">
        <v>2</v>
      </c>
      <c r="C231" t="n">
        <v>0.178</v>
      </c>
      <c r="D231" t="n">
        <v>3181173</v>
      </c>
      <c r="E231" t="inlineStr">
        <is>
          <t>TUB-O-N-AUT-AW-PE-22.23X2.000X0.1780</t>
        </is>
      </c>
      <c r="F231" t="inlineStr">
        <is>
          <t>De-burring</t>
        </is>
      </c>
    </row>
    <row r="232" hidden="1" s="584">
      <c r="A232" t="n">
        <v>22.23</v>
      </c>
      <c r="B232" t="n">
        <v>2</v>
      </c>
      <c r="C232" t="n">
        <v>0.22</v>
      </c>
      <c r="D232" t="n">
        <v>1940430</v>
      </c>
      <c r="E232" t="inlineStr">
        <is>
          <t>TUB-O-O-AUT-AW-PE-22.23X2.000X0.2200</t>
        </is>
      </c>
      <c r="F232" t="inlineStr">
        <is>
          <t>De-burring</t>
        </is>
      </c>
    </row>
    <row r="233" hidden="1" s="584">
      <c r="A233" t="n">
        <v>22.23</v>
      </c>
      <c r="B233" t="n">
        <v>2</v>
      </c>
      <c r="C233" t="n">
        <v>0.242</v>
      </c>
      <c r="D233" t="n">
        <v>3181180</v>
      </c>
      <c r="E233" t="inlineStr">
        <is>
          <t>TUB-O-N-AUT-AW-PE-22.23X2.00X0.242-MAHS</t>
        </is>
      </c>
      <c r="F233" t="inlineStr">
        <is>
          <t>De-burring</t>
        </is>
      </c>
    </row>
    <row r="234" hidden="1" s="584">
      <c r="A234" t="n">
        <v>22.23</v>
      </c>
      <c r="B234" t="n">
        <v>2</v>
      </c>
      <c r="C234" t="n">
        <v>0.394</v>
      </c>
      <c r="D234" t="n">
        <v>1940437</v>
      </c>
      <c r="E234" t="inlineStr">
        <is>
          <t>TUB-O-O-AUT-AW-PE-22.23X2.000X0.3940</t>
        </is>
      </c>
      <c r="F234" t="inlineStr">
        <is>
          <t>De-burring</t>
        </is>
      </c>
    </row>
    <row r="235" hidden="1" s="584">
      <c r="A235" t="n">
        <v>22.23</v>
      </c>
      <c r="B235" t="n">
        <v>2</v>
      </c>
      <c r="C235" t="n">
        <v>0.468</v>
      </c>
      <c r="D235" t="n">
        <v>2398619</v>
      </c>
      <c r="E235" t="inlineStr">
        <is>
          <t>TUB-O-N-AUT-AW-PE-22.23X2.000X0.4680</t>
        </is>
      </c>
      <c r="F235" t="inlineStr">
        <is>
          <t>De-burring</t>
        </is>
      </c>
    </row>
    <row r="236" hidden="1" s="584">
      <c r="A236" t="n">
        <v>22.23</v>
      </c>
      <c r="B236" t="n">
        <v>2</v>
      </c>
      <c r="C236" t="n">
        <v>0.715</v>
      </c>
      <c r="D236" t="n">
        <v>3910020</v>
      </c>
      <c r="E236" t="inlineStr">
        <is>
          <t>CUT-O-N-AUT-AW-FC-22.23X2.000X0.7150</t>
        </is>
      </c>
      <c r="F236" t="inlineStr">
        <is>
          <t>De-burring</t>
        </is>
      </c>
    </row>
    <row r="237" hidden="1" s="584">
      <c r="A237" t="n">
        <v>22.23</v>
      </c>
      <c r="B237" t="n">
        <v>2</v>
      </c>
      <c r="C237" t="n">
        <v>0.76</v>
      </c>
      <c r="D237" t="n">
        <v>2244444</v>
      </c>
      <c r="E237" t="inlineStr">
        <is>
          <t>TUB-O-N-AUT-AW-PE-22.23X2.000X0.7600</t>
        </is>
      </c>
      <c r="F237" t="inlineStr">
        <is>
          <t>De-burring</t>
        </is>
      </c>
    </row>
    <row r="238" hidden="1" s="584">
      <c r="A238" t="n">
        <v>22.23</v>
      </c>
      <c r="B238" t="n">
        <v>2</v>
      </c>
      <c r="C238" t="n">
        <v>0.775</v>
      </c>
      <c r="D238" t="n">
        <v>3765171</v>
      </c>
      <c r="E238" t="inlineStr">
        <is>
          <t>TUB-O-C-AUT-AP-PE-22.23X2.000X0.7750</t>
        </is>
      </c>
      <c r="F238" t="inlineStr">
        <is>
          <t>De-burring</t>
        </is>
      </c>
    </row>
    <row r="239" hidden="1" s="584">
      <c r="A239" t="n">
        <v>22.23</v>
      </c>
      <c r="B239" t="n">
        <v>2</v>
      </c>
      <c r="C239" t="n">
        <v>0.786</v>
      </c>
      <c r="D239" t="n">
        <v>3915668</v>
      </c>
      <c r="E239" t="inlineStr">
        <is>
          <t>CUT-O-N-AUT-AW-CH-22.23X2.000X0.7860</t>
        </is>
      </c>
      <c r="F239" t="inlineStr">
        <is>
          <t>De-burring</t>
        </is>
      </c>
    </row>
    <row r="240" hidden="1" s="584">
      <c r="A240" t="n">
        <v>22.23</v>
      </c>
      <c r="B240" t="n">
        <v>2</v>
      </c>
      <c r="C240" t="n">
        <v>0.8090000000000001</v>
      </c>
      <c r="D240" t="n">
        <v>1940466</v>
      </c>
      <c r="E240" t="inlineStr">
        <is>
          <t>TUB-O-O-AUT-AW-PE-22.23X2.000X0.8090</t>
        </is>
      </c>
      <c r="F240" t="inlineStr">
        <is>
          <t>De-burring</t>
        </is>
      </c>
    </row>
    <row r="241" hidden="1" s="584">
      <c r="A241" t="n">
        <v>22.23</v>
      </c>
      <c r="B241" t="n">
        <v>2</v>
      </c>
      <c r="C241" t="n">
        <v>0.8120000000000001</v>
      </c>
      <c r="D241" t="n">
        <v>1940467</v>
      </c>
      <c r="E241" t="inlineStr">
        <is>
          <t>TUB-O-O-AUT-AW-PE-22.23X2.00X0.812-MAHS</t>
        </is>
      </c>
      <c r="F241" t="inlineStr">
        <is>
          <t>Chamferring</t>
        </is>
      </c>
    </row>
    <row r="242" hidden="1" s="584">
      <c r="A242" t="n">
        <v>22.23</v>
      </c>
      <c r="B242" t="n">
        <v>2</v>
      </c>
      <c r="C242" t="n">
        <v>0.8149999999999999</v>
      </c>
      <c r="D242" t="n">
        <v>2413708</v>
      </c>
      <c r="E242" t="inlineStr">
        <is>
          <t>TUB-O-N-AUT-AW-PE-22.23X2.000X0.8150</t>
        </is>
      </c>
      <c r="F242" t="inlineStr">
        <is>
          <t>De-burring</t>
        </is>
      </c>
    </row>
    <row r="243" hidden="1" s="584">
      <c r="A243" t="n">
        <v>22.23</v>
      </c>
      <c r="B243" t="n">
        <v>2</v>
      </c>
      <c r="C243" t="n">
        <v>0.8159999999999999</v>
      </c>
      <c r="D243" t="n">
        <v>2332780</v>
      </c>
      <c r="E243" t="inlineStr">
        <is>
          <t>TUB-O-N-AUT-AW-CH-22.23X2.000X0.8160</t>
        </is>
      </c>
      <c r="F243" t="inlineStr">
        <is>
          <t>Chamferring</t>
        </is>
      </c>
    </row>
    <row r="244" hidden="1" s="584">
      <c r="A244" t="n">
        <v>22.23</v>
      </c>
      <c r="B244" t="n">
        <v>2</v>
      </c>
      <c r="C244" t="n">
        <v>0.825</v>
      </c>
      <c r="D244" t="n">
        <v>3897780</v>
      </c>
      <c r="E244" t="inlineStr">
        <is>
          <t>TUB-O-N-AUT-AW-CH-22.23X2.000X0.8250</t>
        </is>
      </c>
      <c r="F244" t="inlineStr">
        <is>
          <t>Chamferring</t>
        </is>
      </c>
    </row>
    <row r="245" hidden="1" s="584">
      <c r="A245" t="n">
        <v>22.23</v>
      </c>
      <c r="B245" t="n">
        <v>2</v>
      </c>
      <c r="C245" t="n">
        <v>0.827</v>
      </c>
      <c r="D245" t="n">
        <v>3915667</v>
      </c>
      <c r="E245" t="inlineStr">
        <is>
          <t>CUT-O-N-AUT-AW-CH-22.23X2.000X0.8270</t>
        </is>
      </c>
      <c r="F245" t="inlineStr">
        <is>
          <t>Chamferring</t>
        </is>
      </c>
    </row>
    <row r="246" hidden="1" s="584">
      <c r="A246" t="n">
        <v>22.23</v>
      </c>
      <c r="B246" t="n">
        <v>2</v>
      </c>
      <c r="C246" t="n">
        <v>0.845</v>
      </c>
      <c r="D246" t="n">
        <v>2409619</v>
      </c>
      <c r="E246" t="inlineStr">
        <is>
          <t>TUB-O-N-AUT-AW-PE-22.23X2.00X0.845-MAHS</t>
        </is>
      </c>
      <c r="F246" t="inlineStr">
        <is>
          <t>De-burring</t>
        </is>
      </c>
    </row>
    <row r="247" hidden="1" s="584">
      <c r="A247" t="n">
        <v>22.23</v>
      </c>
      <c r="B247" t="n">
        <v>2</v>
      </c>
      <c r="C247" t="n">
        <v>0.855</v>
      </c>
      <c r="D247" t="n">
        <v>3910650</v>
      </c>
      <c r="E247" t="inlineStr">
        <is>
          <t>CUT-O-N-AUT-AS-FC-22.23X2.000X0.8550</t>
        </is>
      </c>
      <c r="F247" t="inlineStr">
        <is>
          <t>De-burring</t>
        </is>
      </c>
    </row>
    <row r="248" hidden="1" s="584">
      <c r="A248" t="n">
        <v>22.23</v>
      </c>
      <c r="B248" t="n">
        <v>2</v>
      </c>
      <c r="C248" t="n">
        <v>0.863</v>
      </c>
      <c r="D248" t="n">
        <v>3910649</v>
      </c>
      <c r="E248" t="inlineStr">
        <is>
          <t>CUT-O-N-AUT-AW-FC-22.23X2.000X0.8630</t>
        </is>
      </c>
      <c r="F248" t="inlineStr">
        <is>
          <t>Chamferring</t>
        </is>
      </c>
    </row>
    <row r="249" hidden="1" s="584">
      <c r="A249" t="n">
        <v>22.23</v>
      </c>
      <c r="B249" t="n">
        <v>2</v>
      </c>
      <c r="C249" t="n">
        <v>0.872</v>
      </c>
      <c r="D249" t="n">
        <v>2435111</v>
      </c>
      <c r="E249" t="inlineStr">
        <is>
          <t>TUB-O-N-AUT-AW-PE-22.23X2.00X0.872-MAHS</t>
        </is>
      </c>
      <c r="F249" t="inlineStr">
        <is>
          <t>Chamferring</t>
        </is>
      </c>
    </row>
    <row r="250" hidden="1" s="584">
      <c r="A250" t="n">
        <v>22.23</v>
      </c>
      <c r="B250" t="n">
        <v>2</v>
      </c>
      <c r="C250" t="n">
        <v>0.884</v>
      </c>
      <c r="D250" t="n">
        <v>1942696</v>
      </c>
      <c r="E250" t="inlineStr">
        <is>
          <t>TUB-O-N-AUT-AW-PE-22.23X2.000X0.8840</t>
        </is>
      </c>
      <c r="F250" t="inlineStr">
        <is>
          <t>Chamferring</t>
        </is>
      </c>
    </row>
    <row r="251" hidden="1" s="584">
      <c r="A251" t="n">
        <v>22.23</v>
      </c>
      <c r="B251" t="n">
        <v>2</v>
      </c>
      <c r="C251" t="n">
        <v>0.888</v>
      </c>
      <c r="D251" t="n">
        <v>2320962</v>
      </c>
      <c r="E251" t="inlineStr">
        <is>
          <t>TUB-O-N-AUT-AW-PE-22.23X2.000X0.8880</t>
        </is>
      </c>
      <c r="F251" t="inlineStr">
        <is>
          <t>Chamferring</t>
        </is>
      </c>
    </row>
    <row r="252" hidden="1" s="584">
      <c r="A252" t="n">
        <v>22.23</v>
      </c>
      <c r="B252" t="n">
        <v>2</v>
      </c>
      <c r="C252" t="n">
        <v>0.905</v>
      </c>
      <c r="D252" t="n">
        <v>1940478</v>
      </c>
      <c r="E252" t="inlineStr">
        <is>
          <t>TUB-O-O-AUT-AW-PE-22.23X2.00X0.905-MAHS</t>
        </is>
      </c>
      <c r="F252" t="inlineStr">
        <is>
          <t>Chamferring</t>
        </is>
      </c>
    </row>
    <row r="253" hidden="1" s="584">
      <c r="A253" t="n">
        <v>22.23</v>
      </c>
      <c r="B253" t="n">
        <v>2</v>
      </c>
      <c r="C253" t="n">
        <v>0.93</v>
      </c>
      <c r="D253" t="n">
        <v>1940479</v>
      </c>
      <c r="E253" t="inlineStr">
        <is>
          <t>TUB-O-O-AUT-AW-PE-22.23X2.00X0.930-MAHS</t>
        </is>
      </c>
      <c r="F253" t="inlineStr">
        <is>
          <t>Chamferring</t>
        </is>
      </c>
    </row>
    <row r="254" hidden="1" s="584">
      <c r="A254" t="n">
        <v>22.23</v>
      </c>
      <c r="B254" t="n">
        <v>2.03</v>
      </c>
      <c r="C254" t="n">
        <v>0.859</v>
      </c>
      <c r="D254" t="n">
        <v>3471015</v>
      </c>
      <c r="E254" t="inlineStr">
        <is>
          <t>TUB-O-N-AUT-AW-PE-22.23X2.030X0.8590</t>
        </is>
      </c>
      <c r="F254" t="inlineStr">
        <is>
          <t>Chamferring</t>
        </is>
      </c>
    </row>
    <row r="255" hidden="1" s="584">
      <c r="A255" t="n">
        <v>22.23</v>
      </c>
      <c r="B255" t="n">
        <v>2.3</v>
      </c>
      <c r="C255" t="n">
        <v>0.281</v>
      </c>
      <c r="D255" t="n">
        <v>1940498</v>
      </c>
      <c r="E255" t="inlineStr">
        <is>
          <t>TUB-O-O-AUT-AW-PE-22.23X2.300X0.2810</t>
        </is>
      </c>
      <c r="F255" t="inlineStr">
        <is>
          <t>De-burring</t>
        </is>
      </c>
    </row>
    <row r="256" hidden="1" s="584">
      <c r="A256" t="n">
        <v>22.23</v>
      </c>
      <c r="B256" t="n">
        <v>2.3</v>
      </c>
      <c r="C256" t="n">
        <v>6</v>
      </c>
      <c r="D256" t="n">
        <v>1940510</v>
      </c>
      <c r="E256" t="inlineStr">
        <is>
          <t>TUB-O-O-AUT-AW-PE-22.23X2.300X6.0000</t>
        </is>
      </c>
      <c r="F256" t="inlineStr">
        <is>
          <t>De-burring</t>
        </is>
      </c>
    </row>
    <row r="257" hidden="1" s="584">
      <c r="A257" t="n">
        <v>22.23</v>
      </c>
      <c r="B257" t="n">
        <v>2.6</v>
      </c>
      <c r="C257" t="n">
        <v>0.27</v>
      </c>
      <c r="D257" t="n">
        <v>3515987</v>
      </c>
      <c r="E257" t="inlineStr">
        <is>
          <t>TUB-O-N-AUT-AW-PE-22.23X2.600X0.2700</t>
        </is>
      </c>
      <c r="F257" t="inlineStr">
        <is>
          <t>De-burring</t>
        </is>
      </c>
    </row>
    <row r="258" hidden="1" s="584">
      <c r="A258" t="n">
        <v>22.23</v>
      </c>
      <c r="B258" t="n">
        <v>2.6</v>
      </c>
      <c r="C258" t="n">
        <v>0.896</v>
      </c>
      <c r="D258" t="n">
        <v>3765472</v>
      </c>
      <c r="E258" t="inlineStr">
        <is>
          <t>TUB-O-N-AUT-AW-PE-22.23X2.600X0.8960</t>
        </is>
      </c>
      <c r="F258" t="inlineStr">
        <is>
          <t>De-burring</t>
        </is>
      </c>
    </row>
    <row r="259" hidden="1" s="584">
      <c r="A259" t="n">
        <v>22.23</v>
      </c>
      <c r="B259" t="n">
        <v>2.6</v>
      </c>
      <c r="C259" t="n">
        <v>0.907</v>
      </c>
      <c r="D259" t="n">
        <v>3765473</v>
      </c>
      <c r="E259" t="inlineStr">
        <is>
          <t>TUB-O-N-AUT-AW-PE-22.23X2.600X0.9070</t>
        </is>
      </c>
      <c r="F259" t="inlineStr">
        <is>
          <t>De-burring</t>
        </is>
      </c>
    </row>
    <row r="260" hidden="1" s="584">
      <c r="A260" t="n">
        <v>25</v>
      </c>
      <c r="B260" t="n">
        <v>1</v>
      </c>
      <c r="C260" t="n">
        <v>6</v>
      </c>
      <c r="D260" t="n">
        <v>3507704</v>
      </c>
      <c r="E260" t="inlineStr">
        <is>
          <t>TUB-S-BU-SHS-25.00X25.00X1.000X6.000-210</t>
        </is>
      </c>
      <c r="F260" t="inlineStr">
        <is>
          <t>De-burring</t>
        </is>
      </c>
    </row>
    <row r="261" hidden="1" s="584">
      <c r="A261" t="n">
        <v>25</v>
      </c>
      <c r="B261" t="n">
        <v>1.15</v>
      </c>
      <c r="C261" t="n">
        <v>6</v>
      </c>
      <c r="D261" t="n">
        <v>1931405</v>
      </c>
      <c r="E261" t="inlineStr">
        <is>
          <t>TUB-S-AW-SHS-25.00X25.00X1.150X6.0000</t>
        </is>
      </c>
      <c r="F261" t="inlineStr">
        <is>
          <t>De-burring</t>
        </is>
      </c>
    </row>
    <row r="262" hidden="1" s="584">
      <c r="A262" t="n">
        <v>25</v>
      </c>
      <c r="B262" t="n">
        <v>1.16</v>
      </c>
      <c r="C262" t="n">
        <v>6</v>
      </c>
      <c r="D262" t="n">
        <v>1931988</v>
      </c>
      <c r="E262" t="inlineStr">
        <is>
          <t>TUB-S-AW-SHS-25.00X25.00X1.160X6.0000</t>
        </is>
      </c>
      <c r="F262" t="inlineStr">
        <is>
          <t>De-burring</t>
        </is>
      </c>
    </row>
    <row r="263" hidden="1" s="584">
      <c r="A263" t="n">
        <v>25</v>
      </c>
      <c r="B263" t="n">
        <v>1.2</v>
      </c>
      <c r="C263" t="n">
        <v>0.33</v>
      </c>
      <c r="D263" t="n">
        <v>3230483</v>
      </c>
      <c r="E263" t="inlineStr">
        <is>
          <t>TUB-S-AW-AUT-25.00X25.00X1.200X0.3300</t>
        </is>
      </c>
      <c r="F263" t="inlineStr">
        <is>
          <t>De-burring</t>
        </is>
      </c>
    </row>
    <row r="264" hidden="1" s="584">
      <c r="A264" t="n">
        <v>25</v>
      </c>
      <c r="B264" t="n">
        <v>1.2</v>
      </c>
      <c r="C264" t="n">
        <v>0.642</v>
      </c>
      <c r="D264" t="n">
        <v>3572043</v>
      </c>
      <c r="E264" t="inlineStr">
        <is>
          <t>TUB-S-AW-AUT-25.00X25.00X1.200X0.6420</t>
        </is>
      </c>
      <c r="F264" t="inlineStr">
        <is>
          <t>De-burring</t>
        </is>
      </c>
    </row>
    <row r="265" hidden="1" s="584">
      <c r="A265" t="n">
        <v>25</v>
      </c>
      <c r="B265" t="n">
        <v>1.2</v>
      </c>
      <c r="C265" t="n">
        <v>0.787</v>
      </c>
      <c r="D265" t="n">
        <v>3230482</v>
      </c>
      <c r="E265" t="inlineStr">
        <is>
          <t>TUB-S-AW-AUT-25.00X25.00X1.200X0.7870</t>
        </is>
      </c>
      <c r="F265" t="inlineStr">
        <is>
          <t>De-burring</t>
        </is>
      </c>
    </row>
    <row r="266" hidden="1" s="584">
      <c r="A266" t="n">
        <v>25</v>
      </c>
      <c r="B266" t="n">
        <v>1.2</v>
      </c>
      <c r="C266" t="n">
        <v>1.246</v>
      </c>
      <c r="D266" t="n">
        <v>3230484</v>
      </c>
      <c r="E266" t="inlineStr">
        <is>
          <t>TUB-S-AW-AUT-25.00X25.00X1.200X1.2460</t>
        </is>
      </c>
      <c r="F266" t="inlineStr">
        <is>
          <t>De-burring</t>
        </is>
      </c>
    </row>
    <row r="267" hidden="1" s="584">
      <c r="A267" t="n">
        <v>25</v>
      </c>
      <c r="B267" t="n">
        <v>1.2</v>
      </c>
      <c r="C267" t="n">
        <v>6</v>
      </c>
      <c r="D267" t="n">
        <v>3572044</v>
      </c>
      <c r="E267" t="inlineStr">
        <is>
          <t>TUB-S-AW-AUT-25.00X25.00X1.200X6.0000</t>
        </is>
      </c>
      <c r="F267" t="inlineStr">
        <is>
          <t>De-burring</t>
        </is>
      </c>
    </row>
    <row r="268" hidden="1" s="584">
      <c r="A268" t="n">
        <v>25</v>
      </c>
      <c r="B268" t="n">
        <v>1.51</v>
      </c>
      <c r="C268" t="n">
        <v>6</v>
      </c>
      <c r="D268" t="n">
        <v>3702226</v>
      </c>
      <c r="E268" t="inlineStr">
        <is>
          <t>TUB-S-AW-SHS-25.00X25.00X1.510X6.0000</t>
        </is>
      </c>
      <c r="F268" t="inlineStr">
        <is>
          <t>De-burring</t>
        </is>
      </c>
    </row>
    <row r="269" hidden="1" s="584">
      <c r="A269" t="n">
        <v>25</v>
      </c>
      <c r="B269" t="n">
        <v>1.51</v>
      </c>
      <c r="C269" t="n">
        <v>6</v>
      </c>
      <c r="D269" t="n">
        <v>1931892</v>
      </c>
      <c r="E269" t="inlineStr">
        <is>
          <t>TUB-S-AW-SHS-25.00X25.00X1.510X6.0000</t>
        </is>
      </c>
      <c r="F269" t="inlineStr">
        <is>
          <t>De-burring</t>
        </is>
      </c>
    </row>
    <row r="270" hidden="1" s="584">
      <c r="A270" t="n">
        <v>25.4</v>
      </c>
      <c r="B270" t="n">
        <v>0.8</v>
      </c>
      <c r="C270" t="n">
        <v>6</v>
      </c>
      <c r="D270" t="n">
        <v>3702254</v>
      </c>
      <c r="E270" t="inlineStr">
        <is>
          <t>TUB-O-N-AUT-AW-PE-25.40X0.800X6.0000</t>
        </is>
      </c>
      <c r="F270" t="inlineStr">
        <is>
          <t>De-burring</t>
        </is>
      </c>
    </row>
    <row r="271" hidden="1" s="584">
      <c r="A271" t="n">
        <v>25.4</v>
      </c>
      <c r="B271" t="n">
        <v>1</v>
      </c>
      <c r="C271" t="n">
        <v>6</v>
      </c>
      <c r="D271" t="n">
        <v>3701553</v>
      </c>
      <c r="E271" t="inlineStr">
        <is>
          <t>TUB-O-N-AUT-AW-PE-25.40X1.000X6.0000</t>
        </is>
      </c>
      <c r="F271" t="inlineStr">
        <is>
          <t>De-burring</t>
        </is>
      </c>
    </row>
    <row r="272" hidden="1" s="584">
      <c r="A272" t="n">
        <v>25.4</v>
      </c>
      <c r="B272" t="n">
        <v>1</v>
      </c>
      <c r="C272" t="n">
        <v>6</v>
      </c>
      <c r="D272" t="n">
        <v>1950645</v>
      </c>
      <c r="E272" t="inlineStr">
        <is>
          <t>TUB-O-N-GEN-GP-PE-25.40X1.000X6.0000</t>
        </is>
      </c>
      <c r="F272" t="inlineStr">
        <is>
          <t>De-burring</t>
        </is>
      </c>
    </row>
    <row r="273" hidden="1" s="584">
      <c r="A273" t="n">
        <v>25.4</v>
      </c>
      <c r="B273" t="n">
        <v>1</v>
      </c>
      <c r="C273" t="n">
        <v>6</v>
      </c>
      <c r="D273" t="n">
        <v>1931083</v>
      </c>
      <c r="E273" t="inlineStr">
        <is>
          <t>TUB-O-N-GEN-AW-PE-25.40X1.000X6.0000</t>
        </is>
      </c>
      <c r="F273" t="inlineStr">
        <is>
          <t>De-burring</t>
        </is>
      </c>
    </row>
    <row r="274" hidden="1" s="584">
      <c r="A274" t="n">
        <v>25.4</v>
      </c>
      <c r="B274" t="n">
        <v>1.02</v>
      </c>
      <c r="C274" t="n">
        <v>0.87</v>
      </c>
      <c r="D274" t="n">
        <v>3518157</v>
      </c>
      <c r="E274" t="inlineStr">
        <is>
          <t>TUB-O-N-AUT-AW-PE-25.40X1.020X0.8700</t>
        </is>
      </c>
      <c r="F274" t="inlineStr">
        <is>
          <t>De-burring</t>
        </is>
      </c>
    </row>
    <row r="275">
      <c r="A275" t="n">
        <v>25.4</v>
      </c>
      <c r="B275" t="n">
        <v>1.2</v>
      </c>
      <c r="C275" s="50" t="n">
        <v>0.845</v>
      </c>
      <c r="D275" t="n">
        <v>1940538</v>
      </c>
      <c r="E275" t="inlineStr">
        <is>
          <t>TUB-O-O-AUT-AW-PE-25.40X1.200X0.8450</t>
        </is>
      </c>
      <c r="F275" t="inlineStr">
        <is>
          <t>Angle Cut</t>
        </is>
      </c>
    </row>
    <row r="276" hidden="1" s="584">
      <c r="A276" t="n">
        <v>25.4</v>
      </c>
      <c r="B276" t="n">
        <v>1.2</v>
      </c>
      <c r="C276" t="n">
        <v>6</v>
      </c>
      <c r="D276" t="n">
        <v>3701615</v>
      </c>
      <c r="E276" t="inlineStr">
        <is>
          <t>TUB-O-N-AUT-AW-PE-25.40X1.200X6.0000</t>
        </is>
      </c>
      <c r="F276" t="inlineStr">
        <is>
          <t>De-burring</t>
        </is>
      </c>
    </row>
    <row r="277" hidden="1" s="584">
      <c r="A277" t="n">
        <v>25.4</v>
      </c>
      <c r="B277" t="n">
        <v>1.2</v>
      </c>
      <c r="C277" t="n">
        <v>6.2</v>
      </c>
      <c r="D277" t="n">
        <v>3702426</v>
      </c>
      <c r="E277" t="inlineStr">
        <is>
          <t>TUB-O-N-AUT-AW-PE-25.40X1.200X6.2000</t>
        </is>
      </c>
      <c r="F277" t="inlineStr">
        <is>
          <t>De-burring</t>
        </is>
      </c>
    </row>
    <row r="278" hidden="1" s="584">
      <c r="A278" t="n">
        <v>25.4</v>
      </c>
      <c r="B278" t="n">
        <v>1.4</v>
      </c>
      <c r="C278" t="n">
        <v>0.408</v>
      </c>
      <c r="D278" t="n">
        <v>3723531</v>
      </c>
      <c r="E278" t="inlineStr">
        <is>
          <t>CUT-O-N-AUT-AW-FC-25.40X1.400X0.4080</t>
        </is>
      </c>
      <c r="F278" t="inlineStr">
        <is>
          <t>De-burring</t>
        </is>
      </c>
    </row>
    <row r="279" hidden="1" s="584">
      <c r="A279" t="n">
        <v>25.4</v>
      </c>
      <c r="B279" t="n">
        <v>1.4</v>
      </c>
      <c r="C279" t="n">
        <v>0.457</v>
      </c>
      <c r="D279" t="n">
        <v>2332782</v>
      </c>
      <c r="E279" t="inlineStr">
        <is>
          <t>TUB-O-N-AUT-AW-PE-25.40X1.400X0.4570</t>
        </is>
      </c>
      <c r="F279" t="inlineStr">
        <is>
          <t>De-burring</t>
        </is>
      </c>
    </row>
    <row r="280" hidden="1" s="584">
      <c r="A280" t="n">
        <v>25.4</v>
      </c>
      <c r="B280" t="n">
        <v>1.4</v>
      </c>
      <c r="C280" t="n">
        <v>0.46</v>
      </c>
      <c r="D280" t="n">
        <v>3509536</v>
      </c>
      <c r="E280" t="inlineStr">
        <is>
          <t>CUT-O-N-AUT-AW-PE-25.40X1.400X0.4600</t>
        </is>
      </c>
      <c r="F280" t="inlineStr">
        <is>
          <t>De-burring</t>
        </is>
      </c>
    </row>
    <row r="281" hidden="1" s="584">
      <c r="A281" t="n">
        <v>25.4</v>
      </c>
      <c r="B281" t="n">
        <v>1.4</v>
      </c>
      <c r="C281" t="n">
        <v>0.778</v>
      </c>
      <c r="D281" t="n">
        <v>3509537</v>
      </c>
      <c r="E281" t="inlineStr">
        <is>
          <t>CUT-O-N-AUT-AW-PE-25.40X1.400X0.7780</t>
        </is>
      </c>
      <c r="F281" t="inlineStr">
        <is>
          <t>De-burring</t>
        </is>
      </c>
    </row>
    <row r="282" hidden="1" s="584">
      <c r="A282" t="n">
        <v>25.4</v>
      </c>
      <c r="B282" t="n">
        <v>1.4</v>
      </c>
      <c r="C282" t="n">
        <v>0.783</v>
      </c>
      <c r="D282" t="n">
        <v>2371410</v>
      </c>
      <c r="E282" t="inlineStr">
        <is>
          <t>TUB-O-O-AUT-AP-PE-25.40X1.400X0.7830</t>
        </is>
      </c>
      <c r="F282" t="inlineStr">
        <is>
          <t>De-burring</t>
        </is>
      </c>
    </row>
    <row r="283" hidden="1" s="584">
      <c r="A283" t="n">
        <v>25.4</v>
      </c>
      <c r="B283" t="n">
        <v>1.4</v>
      </c>
      <c r="C283" t="n">
        <v>0.902</v>
      </c>
      <c r="D283" t="n">
        <v>2422181</v>
      </c>
      <c r="E283" t="inlineStr">
        <is>
          <t>TUB-O-N-AUT-AW-FC-25.40X1.400X0.9020</t>
        </is>
      </c>
      <c r="F283" t="inlineStr">
        <is>
          <t>De-burring</t>
        </is>
      </c>
    </row>
    <row r="284" hidden="1" s="584">
      <c r="A284" t="n">
        <v>25.4</v>
      </c>
      <c r="B284" t="n">
        <v>1.4</v>
      </c>
      <c r="C284" t="n">
        <v>5.531</v>
      </c>
      <c r="D284" t="n">
        <v>3501900</v>
      </c>
      <c r="E284" t="inlineStr">
        <is>
          <t>TUB-O-N-AUT-AW-FC-25.40X1.400X5.531 HST</t>
        </is>
      </c>
      <c r="F284" t="inlineStr">
        <is>
          <t>De-burring</t>
        </is>
      </c>
    </row>
    <row r="285" hidden="1" s="584">
      <c r="A285" t="n">
        <v>25.4</v>
      </c>
      <c r="B285" t="n">
        <v>1.4</v>
      </c>
      <c r="C285" t="n">
        <v>6.06</v>
      </c>
      <c r="D285" t="n">
        <v>3557792</v>
      </c>
      <c r="E285" t="inlineStr">
        <is>
          <t>TUB-O-N-AUT-AW-FC-25.40X1.400X6.0600</t>
        </is>
      </c>
      <c r="F285" t="inlineStr">
        <is>
          <t>De-burring</t>
        </is>
      </c>
    </row>
    <row r="286" hidden="1" s="584">
      <c r="A286" t="n">
        <v>25.4</v>
      </c>
      <c r="B286" t="n">
        <v>1.5</v>
      </c>
      <c r="C286" t="n">
        <v>6</v>
      </c>
      <c r="D286" t="n">
        <v>3701606</v>
      </c>
      <c r="E286" t="inlineStr">
        <is>
          <t>TUB-O-N-AUT-AW-PE-25.40X1.500X6.0000</t>
        </is>
      </c>
      <c r="F286" t="inlineStr">
        <is>
          <t>De-burring</t>
        </is>
      </c>
    </row>
    <row r="287" hidden="1" s="584">
      <c r="A287" t="n">
        <v>25.4</v>
      </c>
      <c r="B287" t="n">
        <v>1.6</v>
      </c>
      <c r="C287" t="n">
        <v>0.208</v>
      </c>
      <c r="D287" t="n">
        <v>3732180</v>
      </c>
      <c r="E287" t="inlineStr">
        <is>
          <t>TUB-O-O-AUT-AW-FC-25.40X1.600X0.2080</t>
        </is>
      </c>
      <c r="F287" t="inlineStr">
        <is>
          <t>De-burring</t>
        </is>
      </c>
    </row>
    <row r="288" hidden="1" s="584">
      <c r="A288" t="n">
        <v>25.4</v>
      </c>
      <c r="B288" t="n">
        <v>1.6</v>
      </c>
      <c r="C288" t="n">
        <v>0.23</v>
      </c>
      <c r="D288" t="n">
        <v>2398620</v>
      </c>
      <c r="E288" t="inlineStr">
        <is>
          <t>TUB-O-N-AUT-AW-PE-25.40X1.600X0.2300</t>
        </is>
      </c>
      <c r="F288" t="inlineStr">
        <is>
          <t>De-burring</t>
        </is>
      </c>
    </row>
    <row r="289" hidden="1" s="584">
      <c r="A289" t="n">
        <v>25.4</v>
      </c>
      <c r="B289" t="n">
        <v>1.6</v>
      </c>
      <c r="C289" t="n">
        <v>0.412</v>
      </c>
      <c r="D289" t="n">
        <v>3677047</v>
      </c>
      <c r="E289" t="inlineStr">
        <is>
          <t>PT2-O-N-AUT-AW-PE-25.40X1.600X0.4120</t>
        </is>
      </c>
      <c r="F289" t="inlineStr">
        <is>
          <t>De-burring</t>
        </is>
      </c>
    </row>
    <row r="290" hidden="1" s="584">
      <c r="A290" t="n">
        <v>25.4</v>
      </c>
      <c r="B290" t="n">
        <v>1.6</v>
      </c>
      <c r="C290" t="n">
        <v>0.415</v>
      </c>
      <c r="D290" t="n">
        <v>3551623</v>
      </c>
      <c r="E290" t="inlineStr">
        <is>
          <t>TUB-O-N-AUT-AW-FC-25.40X1.600X0.4150</t>
        </is>
      </c>
      <c r="F290" t="inlineStr">
        <is>
          <t>De-burring</t>
        </is>
      </c>
    </row>
    <row r="291" hidden="1" s="584">
      <c r="A291" t="n">
        <v>25.4</v>
      </c>
      <c r="B291" t="n">
        <v>1.6</v>
      </c>
      <c r="C291" t="n">
        <v>2.59</v>
      </c>
      <c r="D291" t="n">
        <v>2409618</v>
      </c>
      <c r="E291" t="inlineStr">
        <is>
          <t>TUB-O-N-AUT-AW-PE-25.40X1.600X2.5900</t>
        </is>
      </c>
      <c r="F291" t="inlineStr">
        <is>
          <t>De-burring</t>
        </is>
      </c>
    </row>
    <row r="292" hidden="1" s="584">
      <c r="A292" t="n">
        <v>25.4</v>
      </c>
      <c r="B292" t="n">
        <v>2</v>
      </c>
      <c r="C292" t="n">
        <v>0.181</v>
      </c>
      <c r="D292" t="n">
        <v>3181175</v>
      </c>
      <c r="E292" t="inlineStr">
        <is>
          <t>TUB-O-N-AUT-AW-FC-25.40X2.000X0.1810</t>
        </is>
      </c>
      <c r="F292" t="inlineStr">
        <is>
          <t>De-burring</t>
        </is>
      </c>
    </row>
    <row r="293" hidden="1" s="584">
      <c r="A293" t="n">
        <v>25.4</v>
      </c>
      <c r="B293" t="n">
        <v>2</v>
      </c>
      <c r="C293" t="n">
        <v>0.221</v>
      </c>
      <c r="D293" t="n">
        <v>3181174</v>
      </c>
      <c r="E293" t="inlineStr">
        <is>
          <t>TUB-O-N-AUT-AW-FC-25.40X2.000X0.2210</t>
        </is>
      </c>
      <c r="F293" t="inlineStr">
        <is>
          <t>De-burring</t>
        </is>
      </c>
    </row>
    <row r="294" hidden="1" s="584">
      <c r="A294" t="n">
        <v>25.4</v>
      </c>
      <c r="B294" t="n">
        <v>2</v>
      </c>
      <c r="C294" t="n">
        <v>0.281</v>
      </c>
      <c r="D294" t="n">
        <v>3506206</v>
      </c>
      <c r="E294" t="inlineStr">
        <is>
          <t>CUT-O-N-AUT-AW-PE-25.40X2.000X0.281</t>
        </is>
      </c>
      <c r="F294" t="inlineStr">
        <is>
          <t>De-burring</t>
        </is>
      </c>
    </row>
    <row r="295" hidden="1" s="584">
      <c r="A295" t="n">
        <v>25.4</v>
      </c>
      <c r="B295" t="n">
        <v>2</v>
      </c>
      <c r="C295" t="n">
        <v>0.281</v>
      </c>
      <c r="D295" t="n">
        <v>1940584</v>
      </c>
      <c r="E295" t="inlineStr">
        <is>
          <t>TUB-O-O-AUT-AW-FC-25.40X2.000X0.2810</t>
        </is>
      </c>
      <c r="F295" t="inlineStr">
        <is>
          <t>De-burring</t>
        </is>
      </c>
    </row>
    <row r="296" hidden="1" s="584">
      <c r="A296" t="n">
        <v>25.4</v>
      </c>
      <c r="B296" t="n">
        <v>2</v>
      </c>
      <c r="C296" t="n">
        <v>0.355</v>
      </c>
      <c r="D296" t="n">
        <v>1940588</v>
      </c>
      <c r="E296" t="inlineStr">
        <is>
          <t>TUB-O-O-AUT-AW-FC-25.40X2.000X0.3550</t>
        </is>
      </c>
      <c r="F296" t="inlineStr">
        <is>
          <t>De-burring</t>
        </is>
      </c>
    </row>
    <row r="297" hidden="1" s="584">
      <c r="A297" t="n">
        <v>25.4</v>
      </c>
      <c r="B297" t="n">
        <v>2</v>
      </c>
      <c r="C297" t="n">
        <v>0.412</v>
      </c>
      <c r="D297" t="n">
        <v>3863819</v>
      </c>
      <c r="E297" t="inlineStr">
        <is>
          <t>CUT-O-N-AUT-AW-FC-25.40X2.000X0.4120</t>
        </is>
      </c>
      <c r="F297" t="inlineStr">
        <is>
          <t>De-burring</t>
        </is>
      </c>
    </row>
    <row r="298" hidden="1" s="584">
      <c r="A298" t="n">
        <v>25.4</v>
      </c>
      <c r="B298" t="n">
        <v>2</v>
      </c>
      <c r="C298" t="n">
        <v>0.418</v>
      </c>
      <c r="D298" t="n">
        <v>3926270</v>
      </c>
      <c r="E298" t="inlineStr">
        <is>
          <t>CUT-O-N-AUT-AW-FC-25.40X2.000X0.4180</t>
        </is>
      </c>
      <c r="F298" t="inlineStr">
        <is>
          <t>De-burring</t>
        </is>
      </c>
    </row>
    <row r="299" hidden="1" s="584">
      <c r="A299" t="n">
        <v>25.4</v>
      </c>
      <c r="B299" t="n">
        <v>2</v>
      </c>
      <c r="C299" t="n">
        <v>0.45</v>
      </c>
      <c r="D299" t="n">
        <v>3868654</v>
      </c>
      <c r="E299" t="inlineStr">
        <is>
          <t>CUT-N-AUT-AW-FC-25.40X2.000X0.4500</t>
        </is>
      </c>
      <c r="F299" t="inlineStr">
        <is>
          <t>De-burring</t>
        </is>
      </c>
    </row>
    <row r="300" hidden="1" s="584">
      <c r="A300" t="n">
        <v>25.4</v>
      </c>
      <c r="B300" t="n">
        <v>2</v>
      </c>
      <c r="C300" t="n">
        <v>0.458</v>
      </c>
      <c r="D300" t="n">
        <v>2432731</v>
      </c>
      <c r="E300" t="inlineStr">
        <is>
          <t>TUB-O-N-AUT-AW-PE-25.40X2.000X0.4580</t>
        </is>
      </c>
      <c r="F300" t="inlineStr">
        <is>
          <t>De-burring</t>
        </is>
      </c>
    </row>
    <row r="301" hidden="1" s="584">
      <c r="A301" t="n">
        <v>25.4</v>
      </c>
      <c r="B301" t="n">
        <v>2</v>
      </c>
      <c r="C301" t="n">
        <v>0.47</v>
      </c>
      <c r="D301" t="n">
        <v>3924502</v>
      </c>
      <c r="E301" t="inlineStr">
        <is>
          <t>TUB-O-N-AUT-AW-FC-25.40X2.000X0.4700</t>
        </is>
      </c>
      <c r="F301" t="inlineStr">
        <is>
          <t>De-burring</t>
        </is>
      </c>
    </row>
    <row r="302" hidden="1" s="584">
      <c r="A302" t="n">
        <v>25.4</v>
      </c>
      <c r="B302" t="n">
        <v>2</v>
      </c>
      <c r="C302" t="n">
        <v>0.473</v>
      </c>
      <c r="D302" t="n">
        <v>2432732</v>
      </c>
      <c r="E302" t="inlineStr">
        <is>
          <t>TUB-O-N-AUT-AW-PE-25.40X2.000X0.4730</t>
        </is>
      </c>
      <c r="F302" t="inlineStr">
        <is>
          <t>De-burring</t>
        </is>
      </c>
    </row>
    <row r="303" hidden="1" s="584">
      <c r="A303" t="n">
        <v>25.4</v>
      </c>
      <c r="B303" t="n">
        <v>2</v>
      </c>
      <c r="C303" t="n">
        <v>0.73</v>
      </c>
      <c r="D303" t="n">
        <v>3522310</v>
      </c>
      <c r="E303" t="inlineStr">
        <is>
          <t>TUB-O-N-AUT-HR-FC-25.40X2.000X0.7300</t>
        </is>
      </c>
      <c r="F303" t="inlineStr">
        <is>
          <t>De-burring</t>
        </is>
      </c>
    </row>
    <row r="304" hidden="1" s="584">
      <c r="A304" t="n">
        <v>25.4</v>
      </c>
      <c r="B304" t="n">
        <v>2</v>
      </c>
      <c r="C304" t="n">
        <v>0.825</v>
      </c>
      <c r="D304" t="n">
        <v>2420715</v>
      </c>
      <c r="E304" t="inlineStr">
        <is>
          <t>TUB-O-N-AUT-AW-FC-25.40X2.000X0.8250</t>
        </is>
      </c>
      <c r="F304" t="inlineStr">
        <is>
          <t>De-burring</t>
        </is>
      </c>
    </row>
    <row r="305" hidden="1" s="584">
      <c r="A305" t="n">
        <v>25.4</v>
      </c>
      <c r="B305" t="n">
        <v>2.5</v>
      </c>
      <c r="C305" t="n">
        <v>0.18</v>
      </c>
      <c r="D305" t="n">
        <v>1902039</v>
      </c>
      <c r="E305" t="inlineStr">
        <is>
          <t>TUB-O-N-AUT-AW-PE-25.40X2.500X0.1800</t>
        </is>
      </c>
      <c r="F305" t="inlineStr">
        <is>
          <t>De-burring</t>
        </is>
      </c>
    </row>
    <row r="306" hidden="1" s="584">
      <c r="A306" t="n">
        <v>25.4</v>
      </c>
      <c r="B306" t="n">
        <v>2.5</v>
      </c>
      <c r="C306" t="n">
        <v>0.217</v>
      </c>
      <c r="D306" t="n">
        <v>1939544</v>
      </c>
      <c r="E306" t="inlineStr">
        <is>
          <t>TUB-O-C-CEW-AD-FC-25.40X2.500X0.2170</t>
        </is>
      </c>
      <c r="F306" t="inlineStr">
        <is>
          <t>De-burring</t>
        </is>
      </c>
    </row>
    <row r="307" hidden="1" s="584">
      <c r="A307" t="n">
        <v>25.4</v>
      </c>
      <c r="B307" t="n">
        <v>2.5</v>
      </c>
      <c r="C307" t="n">
        <v>0.783</v>
      </c>
      <c r="D307" t="n">
        <v>3775636</v>
      </c>
      <c r="E307" t="inlineStr">
        <is>
          <t>TUB-O-O-AUT-AW-FC-25.40X2.500X0.7830</t>
        </is>
      </c>
      <c r="F307" t="inlineStr">
        <is>
          <t>De-burring</t>
        </is>
      </c>
    </row>
    <row r="308" hidden="1" s="584">
      <c r="A308" t="n">
        <v>25.4</v>
      </c>
      <c r="B308" t="n">
        <v>2.5</v>
      </c>
      <c r="C308" t="n">
        <v>5.53</v>
      </c>
      <c r="D308" t="n">
        <v>3502256</v>
      </c>
      <c r="E308" t="inlineStr">
        <is>
          <t>TUB-O-N-AUT-AW-PE-25.40X2.500X5.5300</t>
        </is>
      </c>
      <c r="F308" t="inlineStr">
        <is>
          <t>De-burring</t>
        </is>
      </c>
    </row>
    <row r="309" hidden="1" s="584">
      <c r="A309" t="n">
        <v>25.4</v>
      </c>
      <c r="B309" t="n">
        <v>2.5</v>
      </c>
      <c r="C309" t="n">
        <v>5.56</v>
      </c>
      <c r="D309" t="n">
        <v>3929585</v>
      </c>
      <c r="E309" t="inlineStr">
        <is>
          <t>TUB-O-N-AUT-AW-FC-25.40X2.500X5.5600</t>
        </is>
      </c>
      <c r="F309" t="inlineStr">
        <is>
          <t>De-burring</t>
        </is>
      </c>
    </row>
    <row r="310" hidden="1" s="584">
      <c r="A310" t="n">
        <v>25.4</v>
      </c>
      <c r="B310" t="n">
        <v>2.5</v>
      </c>
      <c r="C310" t="n">
        <v>5.9</v>
      </c>
      <c r="D310" t="n">
        <v>3586645</v>
      </c>
      <c r="E310" t="inlineStr">
        <is>
          <t>TUB-O-N-AUT-AW-PE-25.40X2.500X5.9000</t>
        </is>
      </c>
      <c r="F310" t="inlineStr">
        <is>
          <t>De-burring</t>
        </is>
      </c>
    </row>
    <row r="311" hidden="1" s="584">
      <c r="A311" t="n">
        <v>25.4</v>
      </c>
      <c r="B311" t="n">
        <v>2.5</v>
      </c>
      <c r="C311" t="n">
        <v>5.97</v>
      </c>
      <c r="D311" t="n">
        <v>3929604</v>
      </c>
      <c r="E311" t="inlineStr">
        <is>
          <t>TUB-O-N-AUT-AW-PE-25.40X2.500X5.9700</t>
        </is>
      </c>
      <c r="F311" t="inlineStr">
        <is>
          <t>De-burring</t>
        </is>
      </c>
    </row>
    <row r="312" hidden="1" s="584">
      <c r="A312" t="n">
        <v>25.4</v>
      </c>
      <c r="B312" t="n">
        <v>2.6</v>
      </c>
      <c r="C312" t="n">
        <v>0.08500000000000001</v>
      </c>
      <c r="D312" t="n">
        <v>1940601</v>
      </c>
      <c r="E312" t="inlineStr">
        <is>
          <t>TUB-O-O-AUT-AW-FC-25.40X2.600X0.0850</t>
        </is>
      </c>
      <c r="F312" t="inlineStr">
        <is>
          <t>De-burring</t>
        </is>
      </c>
    </row>
    <row r="313" hidden="1" s="584">
      <c r="A313" t="n">
        <v>25.4</v>
      </c>
      <c r="B313" t="n">
        <v>3.5</v>
      </c>
      <c r="C313" t="n">
        <v>0.247</v>
      </c>
      <c r="D313" t="n">
        <v>1939284</v>
      </c>
      <c r="E313" t="inlineStr">
        <is>
          <t>TUB-O-C-CEW-AD-FC-25.40X3.500X0.2470</t>
        </is>
      </c>
      <c r="F313" t="inlineStr">
        <is>
          <t>De-burring</t>
        </is>
      </c>
    </row>
    <row r="314" hidden="1" s="584">
      <c r="A314" t="n">
        <v>25.4</v>
      </c>
      <c r="B314" t="n">
        <v>3.5</v>
      </c>
      <c r="C314" t="n">
        <v>0.263</v>
      </c>
      <c r="D314" t="n">
        <v>1939283</v>
      </c>
      <c r="E314" t="inlineStr">
        <is>
          <t>TUB-O-C-CEW-AD-FC-25.40X3.500X0.2630</t>
        </is>
      </c>
      <c r="F314" t="inlineStr">
        <is>
          <t>De-burring</t>
        </is>
      </c>
    </row>
    <row r="315" hidden="1" s="584">
      <c r="A315" t="n">
        <v>28.58</v>
      </c>
      <c r="B315" t="n">
        <v>1.2</v>
      </c>
      <c r="C315" t="n">
        <v>0.595</v>
      </c>
      <c r="D315" t="n">
        <v>1940614</v>
      </c>
      <c r="E315" t="inlineStr">
        <is>
          <t>TUB-O-O-AUT-AW-PE-28.58X1.200X0.5950</t>
        </is>
      </c>
      <c r="F315" t="inlineStr">
        <is>
          <t>De-burring</t>
        </is>
      </c>
    </row>
    <row r="316" hidden="1" s="584">
      <c r="A316" t="n">
        <v>28.58</v>
      </c>
      <c r="B316" t="n">
        <v>1.6</v>
      </c>
      <c r="C316" t="n">
        <v>0.215</v>
      </c>
      <c r="D316" t="n">
        <v>3727212</v>
      </c>
      <c r="E316" t="inlineStr">
        <is>
          <t>TUB-O-N-AUT-AW-FC-28.58X1.600X0.2150</t>
        </is>
      </c>
      <c r="F316" t="inlineStr">
        <is>
          <t>De-burring</t>
        </is>
      </c>
    </row>
    <row r="317" hidden="1" s="584">
      <c r="A317" t="n">
        <v>28.58</v>
      </c>
      <c r="B317" t="n">
        <v>1.6</v>
      </c>
      <c r="C317" t="n">
        <v>0.414</v>
      </c>
      <c r="D317" t="n">
        <v>3598957</v>
      </c>
      <c r="E317" t="inlineStr">
        <is>
          <t>TUB-O-N-AUT-AW-FC-28.58X1.600X0.4140</t>
        </is>
      </c>
      <c r="F317" t="inlineStr">
        <is>
          <t>De-burring</t>
        </is>
      </c>
    </row>
    <row r="318" hidden="1" s="584">
      <c r="A318" t="n">
        <v>28.58</v>
      </c>
      <c r="B318" t="n">
        <v>2</v>
      </c>
      <c r="C318" t="n">
        <v>0.475</v>
      </c>
      <c r="D318" t="n">
        <v>1940626</v>
      </c>
      <c r="E318" t="inlineStr">
        <is>
          <t>TUB-O-O-AUT-AW-FC-28.58X2.000X0.4750</t>
        </is>
      </c>
      <c r="F318" t="inlineStr">
        <is>
          <t>De-burring</t>
        </is>
      </c>
    </row>
    <row r="319" hidden="1" s="584">
      <c r="A319" t="n">
        <v>28.58</v>
      </c>
      <c r="B319" t="n">
        <v>3.2</v>
      </c>
      <c r="C319" t="n">
        <v>6</v>
      </c>
      <c r="D319" t="n">
        <v>1940627</v>
      </c>
      <c r="E319" t="inlineStr">
        <is>
          <t>TUB-O-O-AUT-AW-FC-28.58X3.200X6.0000</t>
        </is>
      </c>
      <c r="F319" t="inlineStr">
        <is>
          <t>De-burring</t>
        </is>
      </c>
    </row>
    <row r="320" hidden="1" s="584">
      <c r="A320" t="n">
        <v>28.6</v>
      </c>
      <c r="B320" t="n">
        <v>2.65</v>
      </c>
      <c r="C320" t="n">
        <v>0</v>
      </c>
      <c r="D320" t="n">
        <v>2410388</v>
      </c>
      <c r="E320" t="inlineStr">
        <is>
          <t>TUB-O-C-AUT-AD-FC-28.60X2.650X04-05</t>
        </is>
      </c>
      <c r="F320" t="inlineStr">
        <is>
          <t>De-burring</t>
        </is>
      </c>
    </row>
    <row r="321" hidden="1" s="584">
      <c r="A321" t="n">
        <v>28.6</v>
      </c>
      <c r="B321" t="n">
        <v>2.65</v>
      </c>
      <c r="C321" t="n">
        <v>0.209</v>
      </c>
      <c r="D321" t="n">
        <v>3617058</v>
      </c>
      <c r="E321" t="inlineStr">
        <is>
          <t>TUB-O-C-AUT-AD-FC-28.60X2.650X0.2090</t>
        </is>
      </c>
      <c r="F321" t="inlineStr">
        <is>
          <t>De-burring</t>
        </is>
      </c>
    </row>
    <row r="322" hidden="1" s="584">
      <c r="A322" t="n">
        <v>29.4</v>
      </c>
      <c r="B322" t="n">
        <v>4.5</v>
      </c>
      <c r="C322" t="n">
        <v>0.357</v>
      </c>
      <c r="D322" t="n">
        <v>3190072</v>
      </c>
      <c r="E322" t="inlineStr">
        <is>
          <t>TUB-O-C-AUT-AD-FC-29.40X4.500X0.3570</t>
        </is>
      </c>
      <c r="F322" t="inlineStr">
        <is>
          <t>Chamferring</t>
        </is>
      </c>
    </row>
    <row r="323" hidden="1" s="584">
      <c r="A323" t="n">
        <v>29.4</v>
      </c>
      <c r="B323" t="n">
        <v>4.5</v>
      </c>
      <c r="C323" t="n">
        <v>0.361</v>
      </c>
      <c r="D323" t="n">
        <v>1939285</v>
      </c>
      <c r="E323" t="inlineStr">
        <is>
          <t>TUB-O-C-CEW-AD-FC-29.40X4.500X0.3610</t>
        </is>
      </c>
      <c r="F323" t="inlineStr">
        <is>
          <t>Chamferring</t>
        </is>
      </c>
    </row>
    <row r="324" hidden="1" s="584">
      <c r="A324" t="n">
        <v>29.4</v>
      </c>
      <c r="B324" t="n">
        <v>4.5</v>
      </c>
      <c r="C324" t="n">
        <v>0.361</v>
      </c>
      <c r="D324" t="n">
        <v>1941303</v>
      </c>
      <c r="E324" t="inlineStr">
        <is>
          <t>TUB-O-C-AUT-AD-FC-29.40X4.500X0.3610</t>
        </is>
      </c>
      <c r="F324" t="inlineStr">
        <is>
          <t>Chamferring</t>
        </is>
      </c>
    </row>
    <row r="325" hidden="1" s="584">
      <c r="A325" t="n">
        <v>29.4</v>
      </c>
      <c r="B325" t="n">
        <v>4.5</v>
      </c>
      <c r="C325" t="n">
        <v>0.376</v>
      </c>
      <c r="D325" t="n">
        <v>2359912</v>
      </c>
      <c r="E325" t="inlineStr">
        <is>
          <t>TUB-O-C-CEW-AD-FC-29.40X4.500X0.3760</t>
        </is>
      </c>
      <c r="F325" t="inlineStr">
        <is>
          <t>Chamferring</t>
        </is>
      </c>
    </row>
    <row r="326" hidden="1" s="584">
      <c r="A326" t="n">
        <v>30</v>
      </c>
      <c r="B326" t="n">
        <v>1.16</v>
      </c>
      <c r="C326" t="n">
        <v>6</v>
      </c>
      <c r="D326" t="n">
        <v>1931938</v>
      </c>
      <c r="E326" t="inlineStr">
        <is>
          <t>TUB-S-AW-SHS-30.00X30.00X1.160X6.0000</t>
        </is>
      </c>
      <c r="F326" t="inlineStr">
        <is>
          <t>De-burring</t>
        </is>
      </c>
    </row>
    <row r="327" hidden="1" s="584">
      <c r="A327" t="n">
        <v>30</v>
      </c>
      <c r="B327" t="n">
        <v>1.16</v>
      </c>
      <c r="C327" t="n">
        <v>6</v>
      </c>
      <c r="D327" t="n">
        <v>3702246</v>
      </c>
      <c r="E327" t="inlineStr">
        <is>
          <t>TUB-S-AW-SHS-30.00X30.00X1.160X6.0000</t>
        </is>
      </c>
      <c r="F327" t="inlineStr">
        <is>
          <t>De-burring</t>
        </is>
      </c>
    </row>
    <row r="328" hidden="1" s="584">
      <c r="A328" t="n">
        <v>30</v>
      </c>
      <c r="B328" t="n">
        <v>1.2</v>
      </c>
      <c r="C328" t="n">
        <v>0.14</v>
      </c>
      <c r="D328" t="n">
        <v>3572045</v>
      </c>
      <c r="E328" t="inlineStr">
        <is>
          <t>TUB-S-AW-AUT-30.00X30.00X1.200X0.1400</t>
        </is>
      </c>
      <c r="F328" t="inlineStr">
        <is>
          <t>De-burring</t>
        </is>
      </c>
    </row>
    <row r="329" hidden="1" s="584">
      <c r="A329" t="n">
        <v>30</v>
      </c>
      <c r="B329" t="n">
        <v>1.2</v>
      </c>
      <c r="C329" t="n">
        <v>0.22</v>
      </c>
      <c r="D329" t="n">
        <v>3230495</v>
      </c>
      <c r="E329" t="inlineStr">
        <is>
          <t>TUB-S-AW-AUT-30.00X30.00X1.200X0.2200</t>
        </is>
      </c>
      <c r="F329" t="inlineStr">
        <is>
          <t>De-burring</t>
        </is>
      </c>
    </row>
    <row r="330" hidden="1" s="584">
      <c r="A330" t="n">
        <v>30</v>
      </c>
      <c r="B330" t="n">
        <v>1.51</v>
      </c>
      <c r="C330" t="n">
        <v>6</v>
      </c>
      <c r="D330" t="n">
        <v>1932015</v>
      </c>
      <c r="E330" t="inlineStr">
        <is>
          <t>TUB-S-AW-SHS-30.00X30.00X1.510X6.0000</t>
        </is>
      </c>
      <c r="F330" t="inlineStr">
        <is>
          <t>De-burring</t>
        </is>
      </c>
    </row>
    <row r="331" hidden="1" s="584">
      <c r="A331" t="n">
        <v>30</v>
      </c>
      <c r="B331" t="n">
        <v>1.51</v>
      </c>
      <c r="C331" t="n">
        <v>6</v>
      </c>
      <c r="D331" t="n">
        <v>3702266</v>
      </c>
      <c r="E331" t="inlineStr">
        <is>
          <t>TUB-S-AW-SHS-30.00X30.00X1.510X6.0000</t>
        </is>
      </c>
      <c r="F331" t="inlineStr">
        <is>
          <t>De-burring</t>
        </is>
      </c>
    </row>
    <row r="332" hidden="1" s="584">
      <c r="A332" t="n">
        <v>30</v>
      </c>
      <c r="B332" t="n">
        <v>2.25</v>
      </c>
      <c r="C332" t="n">
        <v>0.485</v>
      </c>
      <c r="D332" t="n">
        <v>1938121</v>
      </c>
      <c r="E332" t="inlineStr">
        <is>
          <t>TUB-I-C-AUT-AD-FC-30.00X25.50X0.4850</t>
        </is>
      </c>
      <c r="F332" t="inlineStr">
        <is>
          <t>Chamferring</t>
        </is>
      </c>
    </row>
    <row r="333" hidden="1" s="584">
      <c r="A333" t="n">
        <v>30</v>
      </c>
      <c r="B333" t="n">
        <v>2.25</v>
      </c>
      <c r="C333" t="n">
        <v>0.485</v>
      </c>
      <c r="D333" t="n">
        <v>2359755</v>
      </c>
      <c r="E333" t="inlineStr">
        <is>
          <t>TUB-O-C-AUT-AD-FC-30.00X2.250X0.4850</t>
        </is>
      </c>
      <c r="F333" t="inlineStr">
        <is>
          <t>Chamferring</t>
        </is>
      </c>
    </row>
    <row r="334" hidden="1" s="584">
      <c r="A334" t="n">
        <v>30</v>
      </c>
      <c r="B334" t="n">
        <v>3.025</v>
      </c>
      <c r="C334" t="n">
        <v>0</v>
      </c>
      <c r="D334" t="n">
        <v>2410989</v>
      </c>
      <c r="E334" t="inlineStr">
        <is>
          <t>TUB-O-C-AUT-AD-FC-30.00X3.025X04-05</t>
        </is>
      </c>
      <c r="F334" t="inlineStr">
        <is>
          <t>De-burring</t>
        </is>
      </c>
    </row>
    <row r="335" hidden="1" s="584">
      <c r="A335" t="n">
        <v>30</v>
      </c>
      <c r="B335" t="n">
        <v>3.03</v>
      </c>
      <c r="C335" t="n">
        <v>0</v>
      </c>
      <c r="D335" t="n">
        <v>3411883</v>
      </c>
      <c r="E335" t="inlineStr">
        <is>
          <t>TUB-O-C-AUT-AD-FC-30.00X3.030X03-04</t>
        </is>
      </c>
      <c r="F335" t="inlineStr">
        <is>
          <t>De-burring</t>
        </is>
      </c>
    </row>
    <row r="336" hidden="1" s="584">
      <c r="A336" t="n">
        <v>30.15</v>
      </c>
      <c r="B336" t="n">
        <v>2.32</v>
      </c>
      <c r="C336" t="n">
        <v>0.465</v>
      </c>
      <c r="D336" t="n">
        <v>403040</v>
      </c>
      <c r="E336" t="inlineStr">
        <is>
          <t>PT3-I-C-AUT-AD-CH-25.50X2.320X0.465</t>
        </is>
      </c>
      <c r="F336" t="inlineStr">
        <is>
          <t>Chamferring</t>
        </is>
      </c>
    </row>
    <row r="337" hidden="1" s="584">
      <c r="A337" t="n">
        <v>31.75</v>
      </c>
      <c r="B337" t="n">
        <v>1.2</v>
      </c>
      <c r="C337" t="n">
        <v>0.21</v>
      </c>
      <c r="D337" t="n">
        <v>3508456</v>
      </c>
      <c r="E337" t="inlineStr">
        <is>
          <t>CUT-O-N-AUT-AW-PE-31.75X1.200X0.2100</t>
        </is>
      </c>
      <c r="F337" t="inlineStr">
        <is>
          <t>De-burring</t>
        </is>
      </c>
    </row>
    <row r="338" hidden="1" s="584">
      <c r="A338" t="n">
        <v>31.75</v>
      </c>
      <c r="B338" t="n">
        <v>1.2</v>
      </c>
      <c r="C338" t="n">
        <v>0.21</v>
      </c>
      <c r="D338" t="n">
        <v>2256593</v>
      </c>
      <c r="E338" t="inlineStr">
        <is>
          <t>TUB-O-N-AUT-AW-FC-31.75X1.200X0.2100</t>
        </is>
      </c>
      <c r="F338" t="inlineStr">
        <is>
          <t>De-burring</t>
        </is>
      </c>
    </row>
    <row r="339" hidden="1" s="584">
      <c r="A339" t="n">
        <v>31.75</v>
      </c>
      <c r="B339" t="n">
        <v>1.2</v>
      </c>
      <c r="C339" t="n">
        <v>0.67</v>
      </c>
      <c r="D339" t="n">
        <v>373013</v>
      </c>
      <c r="E339" t="inlineStr">
        <is>
          <t>PT2-O-N-AUT-AW-PE-31.75X1.200X0.670</t>
        </is>
      </c>
      <c r="F339" t="inlineStr">
        <is>
          <t>De-burring</t>
        </is>
      </c>
    </row>
    <row r="340" hidden="1" s="584">
      <c r="A340" t="n">
        <v>31.75</v>
      </c>
      <c r="B340" t="n">
        <v>1.2</v>
      </c>
      <c r="C340" t="n">
        <v>0.67</v>
      </c>
      <c r="D340" t="n">
        <v>3506437</v>
      </c>
      <c r="E340" t="inlineStr">
        <is>
          <t>CUT-O-N-AUT-AW-PE-31.75X1.200X0.670</t>
        </is>
      </c>
      <c r="F340" t="inlineStr">
        <is>
          <t>De-burring</t>
        </is>
      </c>
    </row>
    <row r="341" hidden="1" s="584">
      <c r="A341" t="n">
        <v>31.75</v>
      </c>
      <c r="B341" t="n">
        <v>1.2</v>
      </c>
      <c r="C341" t="n">
        <v>0.67</v>
      </c>
      <c r="D341" t="n">
        <v>1940653</v>
      </c>
      <c r="E341" t="inlineStr">
        <is>
          <t>TUB-O-O-AUT-AW-PE-31.75X1.200X0.6700</t>
        </is>
      </c>
      <c r="F341" t="inlineStr">
        <is>
          <t>De-burring</t>
        </is>
      </c>
    </row>
    <row r="342" hidden="1" s="584">
      <c r="A342" t="n">
        <v>31.75</v>
      </c>
      <c r="B342" t="n">
        <v>1.2</v>
      </c>
      <c r="C342" t="n">
        <v>0.68</v>
      </c>
      <c r="D342" t="n">
        <v>3819143</v>
      </c>
      <c r="E342" t="inlineStr">
        <is>
          <t>CUT-O-N-AUT-AW-PE-31.75X1.200X0.6800</t>
        </is>
      </c>
      <c r="F342" t="inlineStr">
        <is>
          <t>De-burring</t>
        </is>
      </c>
    </row>
    <row r="343" hidden="1" s="584">
      <c r="A343" t="n">
        <v>31.75</v>
      </c>
      <c r="B343" t="n">
        <v>1.2</v>
      </c>
      <c r="C343" t="n">
        <v>0.6860000000000001</v>
      </c>
      <c r="D343" t="n">
        <v>1904406</v>
      </c>
      <c r="E343" t="inlineStr">
        <is>
          <t>TUB-O-N-AUT-AW-PE-31.75X1.200X0.6858</t>
        </is>
      </c>
      <c r="F343" t="inlineStr">
        <is>
          <t>De-burring</t>
        </is>
      </c>
    </row>
    <row r="344" hidden="1" s="584">
      <c r="A344" t="n">
        <v>31.75</v>
      </c>
      <c r="B344" t="n">
        <v>1.2</v>
      </c>
      <c r="C344" t="n">
        <v>5.45</v>
      </c>
      <c r="D344" t="n">
        <v>3586648</v>
      </c>
      <c r="E344" t="inlineStr">
        <is>
          <t>TUB-O-N-AUT-AW-PE-31.75X1.200X5.4500</t>
        </is>
      </c>
      <c r="F344" t="inlineStr">
        <is>
          <t>De-burring</t>
        </is>
      </c>
    </row>
    <row r="345" hidden="1" s="584">
      <c r="A345" t="n">
        <v>31.75</v>
      </c>
      <c r="B345" t="n">
        <v>1.2</v>
      </c>
      <c r="C345" t="n">
        <v>6.001</v>
      </c>
      <c r="D345" t="n">
        <v>3884381</v>
      </c>
      <c r="E345" t="inlineStr">
        <is>
          <t>TUB-O-N-AUT-AW-FC-31.75X1.200X6.0010</t>
        </is>
      </c>
      <c r="F345" t="inlineStr">
        <is>
          <t>De-burring</t>
        </is>
      </c>
    </row>
    <row r="346" hidden="1" s="584">
      <c r="A346" t="n">
        <v>31.75</v>
      </c>
      <c r="B346" t="n">
        <v>1.6</v>
      </c>
      <c r="C346" t="n">
        <v>0.78</v>
      </c>
      <c r="D346" t="n">
        <v>3447257</v>
      </c>
      <c r="E346" t="inlineStr">
        <is>
          <t>TUB-O-N-AUT-AW-FC-31.75X1.600X0.7800</t>
        </is>
      </c>
      <c r="F346" t="inlineStr">
        <is>
          <t>De-burring</t>
        </is>
      </c>
    </row>
    <row r="347" hidden="1" s="584">
      <c r="A347" t="n">
        <v>31.75</v>
      </c>
      <c r="B347" t="n">
        <v>2</v>
      </c>
      <c r="C347" t="n">
        <v>0.483</v>
      </c>
      <c r="D347" t="n">
        <v>3181171</v>
      </c>
      <c r="E347" t="inlineStr">
        <is>
          <t>TUB-O-N-AUT-AW-FC-31.75X2.000X0.4830</t>
        </is>
      </c>
      <c r="F347" t="inlineStr">
        <is>
          <t>De-burring</t>
        </is>
      </c>
    </row>
    <row r="348" hidden="1" s="584">
      <c r="A348" t="n">
        <v>31.75</v>
      </c>
      <c r="B348" t="n">
        <v>2</v>
      </c>
      <c r="C348" t="n">
        <v>0.485</v>
      </c>
      <c r="D348" t="n">
        <v>2385283</v>
      </c>
      <c r="E348" t="inlineStr">
        <is>
          <t>TUB-O-N-AUT-AW-FC-31.75X2.000X0.4850</t>
        </is>
      </c>
      <c r="F348" t="inlineStr">
        <is>
          <t>De-burring</t>
        </is>
      </c>
    </row>
    <row r="349" hidden="1" s="584">
      <c r="A349" t="n">
        <v>31.75</v>
      </c>
      <c r="B349" t="n">
        <v>2</v>
      </c>
      <c r="C349" t="n">
        <v>0.792</v>
      </c>
      <c r="D349" t="n">
        <v>3447256</v>
      </c>
      <c r="E349" t="inlineStr">
        <is>
          <t>TUB-O-N-AUT-AW-FC-31.75X2.000X0.7920</t>
        </is>
      </c>
      <c r="F349" t="inlineStr">
        <is>
          <t>De-burring</t>
        </is>
      </c>
    </row>
    <row r="350" hidden="1" s="584">
      <c r="A350" t="n">
        <v>31.75</v>
      </c>
      <c r="B350" t="n">
        <v>2</v>
      </c>
      <c r="C350" t="n">
        <v>0.968</v>
      </c>
      <c r="D350" t="n">
        <v>3776929</v>
      </c>
      <c r="E350" t="inlineStr">
        <is>
          <t>CUT-O-N-AUT-AW-FC-31.75X2.000X0.9680</t>
        </is>
      </c>
      <c r="F350" t="inlineStr">
        <is>
          <t>De-burring</t>
        </is>
      </c>
    </row>
    <row r="351" hidden="1" s="584">
      <c r="A351" t="n">
        <v>31.75</v>
      </c>
      <c r="B351" t="n">
        <v>2.3</v>
      </c>
      <c r="C351" t="n">
        <v>6</v>
      </c>
      <c r="D351" t="n">
        <v>3500081</v>
      </c>
      <c r="E351" t="inlineStr">
        <is>
          <t>TUB-O-N-AUT-AW-FC-31.75X2.30X6.000-ERW 1</t>
        </is>
      </c>
      <c r="F351" t="inlineStr">
        <is>
          <t>De-burring</t>
        </is>
      </c>
    </row>
    <row r="352" hidden="1" s="584">
      <c r="A352" t="n">
        <v>31.75</v>
      </c>
      <c r="B352" t="n">
        <v>2.5</v>
      </c>
      <c r="C352" t="n">
        <v>6</v>
      </c>
      <c r="D352" t="n">
        <v>3500352</v>
      </c>
      <c r="E352" t="inlineStr">
        <is>
          <t>TUB-O-N-AUT-AW-FC-31.75X2.50X6.000-ERW 1</t>
        </is>
      </c>
      <c r="F352" t="inlineStr">
        <is>
          <t>De-burring</t>
        </is>
      </c>
    </row>
    <row r="353" hidden="1" s="584">
      <c r="A353" t="n">
        <v>31.75</v>
      </c>
      <c r="B353" t="n">
        <v>2.9</v>
      </c>
      <c r="C353" t="n">
        <v>5.7</v>
      </c>
      <c r="D353" t="n">
        <v>3915536</v>
      </c>
      <c r="E353" t="inlineStr">
        <is>
          <t>TUB-O-N-GEN-AW-FC-31.75X2.900X5.7000</t>
        </is>
      </c>
      <c r="F353" t="inlineStr">
        <is>
          <t>De-burring</t>
        </is>
      </c>
    </row>
    <row r="354" hidden="1" s="584">
      <c r="A354" t="n">
        <v>31.75</v>
      </c>
      <c r="B354" t="n">
        <v>2.9</v>
      </c>
      <c r="C354" t="n">
        <v>5.9</v>
      </c>
      <c r="D354" t="n">
        <v>3915537</v>
      </c>
      <c r="E354" t="inlineStr">
        <is>
          <t>TUB-O-N-GEN-AW-FC-31.75X2.900X5.9000</t>
        </is>
      </c>
      <c r="F354" t="inlineStr">
        <is>
          <t>De-burring</t>
        </is>
      </c>
    </row>
    <row r="355" hidden="1" s="584">
      <c r="A355" t="n">
        <v>31.75</v>
      </c>
      <c r="B355" t="n">
        <v>3.25</v>
      </c>
      <c r="C355" t="n">
        <v>6.1</v>
      </c>
      <c r="D355" t="n">
        <v>3499137</v>
      </c>
      <c r="E355" t="inlineStr">
        <is>
          <t>TUB-O-N-BOT-NR-FC-31.75X3.250X6.100</t>
        </is>
      </c>
      <c r="F355" t="inlineStr">
        <is>
          <t>De-burring</t>
        </is>
      </c>
    </row>
    <row r="356" hidden="1" s="584">
      <c r="A356" t="n">
        <v>31.75</v>
      </c>
      <c r="B356" t="n">
        <v>3.375</v>
      </c>
      <c r="C356" t="n">
        <v>0</v>
      </c>
      <c r="D356" t="n">
        <v>2410960</v>
      </c>
      <c r="E356" t="inlineStr">
        <is>
          <t>TUB-O-C-AUT-AD-FC-31.75X3.375X04-05</t>
        </is>
      </c>
      <c r="F356" t="inlineStr">
        <is>
          <t>De-burring</t>
        </is>
      </c>
    </row>
    <row r="357" hidden="1" s="584">
      <c r="A357" t="n">
        <v>32</v>
      </c>
      <c r="B357" t="n">
        <v>4.5</v>
      </c>
      <c r="C357" t="n">
        <v>6.4</v>
      </c>
      <c r="D357" t="n">
        <v>3694074</v>
      </c>
      <c r="E357" t="inlineStr">
        <is>
          <t>TUB-O-C-SLT-DT-FC-32.00X4.500X6.4000</t>
        </is>
      </c>
      <c r="F357" t="inlineStr">
        <is>
          <t>De-burring</t>
        </is>
      </c>
    </row>
    <row r="358" hidden="1" s="584">
      <c r="A358" t="n">
        <v>34</v>
      </c>
      <c r="B358" t="n">
        <v>1</v>
      </c>
      <c r="C358" t="n">
        <v>6</v>
      </c>
      <c r="D358" t="n">
        <v>3434787</v>
      </c>
      <c r="E358" t="inlineStr">
        <is>
          <t>TUB-O-C-CEW-AD-FC-34.00X1.000X6.0000</t>
        </is>
      </c>
      <c r="F358" t="inlineStr">
        <is>
          <t>De-burring</t>
        </is>
      </c>
    </row>
    <row r="359" hidden="1" s="584">
      <c r="A359" t="n">
        <v>34.93</v>
      </c>
      <c r="B359" t="n">
        <v>1.2</v>
      </c>
      <c r="C359" t="n">
        <v>0.62</v>
      </c>
      <c r="D359" t="n">
        <v>2397073</v>
      </c>
      <c r="E359" t="inlineStr">
        <is>
          <t>TUB-O-N-AUT-AW-FC-34.93X1.200X0.6200</t>
        </is>
      </c>
      <c r="F359" t="inlineStr">
        <is>
          <t>De-burring</t>
        </is>
      </c>
    </row>
    <row r="360" hidden="1" s="584">
      <c r="A360" t="n">
        <v>34.93</v>
      </c>
      <c r="B360" t="n">
        <v>1.2</v>
      </c>
      <c r="C360" t="n">
        <v>0.66</v>
      </c>
      <c r="D360" t="n">
        <v>2437215</v>
      </c>
      <c r="E360" t="inlineStr">
        <is>
          <t>TUB-O-N-AUT-AW-FC-34.93X1.200X0.6600</t>
        </is>
      </c>
      <c r="F360" t="inlineStr">
        <is>
          <t>De-burring</t>
        </is>
      </c>
    </row>
    <row r="361" hidden="1" s="584">
      <c r="A361" t="n">
        <v>34.93</v>
      </c>
      <c r="B361" t="n">
        <v>1.2</v>
      </c>
      <c r="C361" t="n">
        <v>0.67</v>
      </c>
      <c r="D361" t="n">
        <v>3538480</v>
      </c>
      <c r="E361" t="inlineStr">
        <is>
          <t>CUT-O-N-AUT-AW-FC-34.93X1.200X0.6700</t>
        </is>
      </c>
      <c r="F361" t="inlineStr">
        <is>
          <t>De-burring</t>
        </is>
      </c>
    </row>
    <row r="362" hidden="1" s="584">
      <c r="A362" t="n">
        <v>34.93</v>
      </c>
      <c r="B362" t="n">
        <v>1.2</v>
      </c>
      <c r="C362" t="n">
        <v>6</v>
      </c>
      <c r="D362" t="n">
        <v>3499611</v>
      </c>
      <c r="E362" t="inlineStr">
        <is>
          <t>TUB-O-N-AUT-AW-FC-34.93X1.200X6.0-ERW 1</t>
        </is>
      </c>
      <c r="F362" t="inlineStr">
        <is>
          <t>De-burring</t>
        </is>
      </c>
    </row>
    <row r="363" hidden="1" s="584">
      <c r="A363" t="n">
        <v>34.93</v>
      </c>
      <c r="B363" t="n">
        <v>1.6</v>
      </c>
      <c r="C363" t="n">
        <v>0.4</v>
      </c>
      <c r="D363" t="n">
        <v>3863799</v>
      </c>
      <c r="E363" t="inlineStr">
        <is>
          <t>CUT-O-N-AUT-AW-FC-34.93X1.600X0.4000</t>
        </is>
      </c>
      <c r="F363" t="inlineStr">
        <is>
          <t>De-burring</t>
        </is>
      </c>
    </row>
    <row r="364" hidden="1" s="584">
      <c r="A364" t="n">
        <v>34.93</v>
      </c>
      <c r="B364" t="n">
        <v>1.6</v>
      </c>
      <c r="C364" t="n">
        <v>0.405</v>
      </c>
      <c r="D364" t="n">
        <v>2397067</v>
      </c>
      <c r="E364" t="inlineStr">
        <is>
          <t>TUB-O-N-AUT-AW-FC-34.93X1.600X0.4050</t>
        </is>
      </c>
      <c r="F364" t="inlineStr">
        <is>
          <t>De-burring</t>
        </is>
      </c>
    </row>
    <row r="365" hidden="1" s="584">
      <c r="A365" t="n">
        <v>34.93</v>
      </c>
      <c r="B365" t="n">
        <v>1.6</v>
      </c>
      <c r="C365" t="n">
        <v>0.455</v>
      </c>
      <c r="D365" t="n">
        <v>2397066</v>
      </c>
      <c r="E365" t="inlineStr">
        <is>
          <t>TUB-O-N-AUT-AW-FC-34.93X1.600X0.4550</t>
        </is>
      </c>
      <c r="F365" t="inlineStr">
        <is>
          <t>De-burring</t>
        </is>
      </c>
    </row>
    <row r="366" hidden="1" s="584">
      <c r="A366" t="n">
        <v>34.93</v>
      </c>
      <c r="B366" t="n">
        <v>1.6</v>
      </c>
      <c r="C366" t="n">
        <v>0.58</v>
      </c>
      <c r="D366" t="n">
        <v>3863797</v>
      </c>
      <c r="E366" t="inlineStr">
        <is>
          <t>CUT-O-N-AUT-AW-FC-34.93X1.600X0.5800</t>
        </is>
      </c>
      <c r="F366" t="inlineStr">
        <is>
          <t>De-burring</t>
        </is>
      </c>
    </row>
    <row r="367" hidden="1" s="584">
      <c r="A367" t="n">
        <v>34.93</v>
      </c>
      <c r="B367" t="n">
        <v>1.6</v>
      </c>
      <c r="C367" t="n">
        <v>0.59</v>
      </c>
      <c r="D367" t="n">
        <v>2397065</v>
      </c>
      <c r="E367" t="inlineStr">
        <is>
          <t>TUB-O-N-AUT-AW-FC-34.93X1.600X0.5900</t>
        </is>
      </c>
      <c r="F367" t="inlineStr">
        <is>
          <t>De-burring</t>
        </is>
      </c>
    </row>
    <row r="368" hidden="1" s="584">
      <c r="A368" t="n">
        <v>34.93</v>
      </c>
      <c r="B368" t="n">
        <v>1.6</v>
      </c>
      <c r="C368" t="n">
        <v>0.64</v>
      </c>
      <c r="D368" t="n">
        <v>2397064</v>
      </c>
      <c r="E368" t="inlineStr">
        <is>
          <t>TUB-O-N-AUT-AW-FC-34.93X1.600X0.6400</t>
        </is>
      </c>
      <c r="F368" t="inlineStr">
        <is>
          <t>De-burring</t>
        </is>
      </c>
    </row>
    <row r="369" hidden="1" s="584">
      <c r="A369" t="n">
        <v>34.93</v>
      </c>
      <c r="B369" t="n">
        <v>1.6</v>
      </c>
      <c r="C369" t="n">
        <v>1.726</v>
      </c>
      <c r="D369" t="n">
        <v>1940710</v>
      </c>
      <c r="E369" t="inlineStr">
        <is>
          <t>TUB-O-O-AUT-AW-FC-34.93X1.600X1.7260</t>
        </is>
      </c>
      <c r="F369" t="inlineStr">
        <is>
          <t>De-burring</t>
        </is>
      </c>
    </row>
    <row r="370" hidden="1" s="584">
      <c r="A370" t="n">
        <v>34.93</v>
      </c>
      <c r="B370" t="n">
        <v>1.6</v>
      </c>
      <c r="C370" t="n">
        <v>1.726</v>
      </c>
      <c r="D370" t="n">
        <v>1155165</v>
      </c>
      <c r="E370" t="inlineStr">
        <is>
          <t>TUB-O-N-AUT-AW-PE-34.93X1.600X1.726</t>
        </is>
      </c>
      <c r="F370" t="inlineStr">
        <is>
          <t>De-burring</t>
        </is>
      </c>
    </row>
    <row r="371" hidden="1" s="584">
      <c r="A371" t="n">
        <v>34.93</v>
      </c>
      <c r="B371" t="n">
        <v>2</v>
      </c>
      <c r="C371" t="n">
        <v>6</v>
      </c>
      <c r="D371" t="n">
        <v>3500083</v>
      </c>
      <c r="E371" t="inlineStr">
        <is>
          <t>TUB-O-N-AUT-AW-PE-34.93X2.00X6.000-ERW 1</t>
        </is>
      </c>
      <c r="F371" t="inlineStr">
        <is>
          <t>De-burring</t>
        </is>
      </c>
    </row>
    <row r="372" hidden="1" s="584">
      <c r="A372" t="n">
        <v>34.93</v>
      </c>
      <c r="B372" t="n">
        <v>2.3</v>
      </c>
      <c r="C372" t="n">
        <v>0.298</v>
      </c>
      <c r="D372" t="n">
        <v>3910451</v>
      </c>
      <c r="E372" t="inlineStr">
        <is>
          <t>CUT-O-N-AUT-AW-FC-34.93X2.300X0.2980</t>
        </is>
      </c>
      <c r="F372" t="inlineStr">
        <is>
          <t>De-burring</t>
        </is>
      </c>
    </row>
    <row r="373" hidden="1" s="584">
      <c r="A373" t="n">
        <v>34.93</v>
      </c>
      <c r="B373" t="n">
        <v>2.3</v>
      </c>
      <c r="C373" t="n">
        <v>0.333</v>
      </c>
      <c r="D373" t="n">
        <v>3729146</v>
      </c>
      <c r="E373" t="inlineStr">
        <is>
          <t>CUT-O-N-AUT-AW-FC-34.93X2.300X0.3330</t>
        </is>
      </c>
      <c r="F373" t="inlineStr">
        <is>
          <t>De-burring</t>
        </is>
      </c>
    </row>
    <row r="374" hidden="1" s="584">
      <c r="A374" t="n">
        <v>34.93</v>
      </c>
      <c r="B374" t="n">
        <v>2.3</v>
      </c>
      <c r="C374" t="n">
        <v>0.334</v>
      </c>
      <c r="D374" t="n">
        <v>3911992</v>
      </c>
      <c r="E374" t="inlineStr">
        <is>
          <t>CUT-O-N-AUT-AW-FC-34.93X2.300X0.3340</t>
        </is>
      </c>
      <c r="F374" t="inlineStr">
        <is>
          <t>De-burring</t>
        </is>
      </c>
    </row>
    <row r="375" hidden="1" s="584">
      <c r="A375" t="n">
        <v>34.93</v>
      </c>
      <c r="B375" t="n">
        <v>2.3</v>
      </c>
      <c r="C375" t="n">
        <v>1.501</v>
      </c>
      <c r="D375" t="n">
        <v>3911993</v>
      </c>
      <c r="E375" t="inlineStr">
        <is>
          <t>CUT-O-N-AUT-AW-FC-34.93X2.300X1.5010</t>
        </is>
      </c>
      <c r="F375" t="inlineStr">
        <is>
          <t>De-burring</t>
        </is>
      </c>
    </row>
    <row r="376" hidden="1" s="584">
      <c r="A376" t="n">
        <v>34.93</v>
      </c>
      <c r="B376" t="n">
        <v>2.5</v>
      </c>
      <c r="C376" t="n">
        <v>1.721</v>
      </c>
      <c r="D376" t="n">
        <v>1940715</v>
      </c>
      <c r="E376" t="inlineStr">
        <is>
          <t>TUB-O-O-AUT-AW-FC-34.93X2.500X1.7210</t>
        </is>
      </c>
      <c r="F376" t="inlineStr">
        <is>
          <t>De-burring</t>
        </is>
      </c>
    </row>
    <row r="377" hidden="1" s="584">
      <c r="A377" t="n">
        <v>34.93</v>
      </c>
      <c r="B377" t="n">
        <v>2.5</v>
      </c>
      <c r="C377" t="n">
        <v>1.723</v>
      </c>
      <c r="D377" t="n">
        <v>1155164</v>
      </c>
      <c r="E377" t="inlineStr">
        <is>
          <t>TUB-O-N-AUT-NR-PE-34.93X2.500X1.723</t>
        </is>
      </c>
      <c r="F377" t="inlineStr">
        <is>
          <t>De-burring</t>
        </is>
      </c>
    </row>
    <row r="378" hidden="1" s="584">
      <c r="A378" t="n">
        <v>34.93</v>
      </c>
      <c r="B378" t="n">
        <v>2.6</v>
      </c>
      <c r="C378" t="n">
        <v>1.721</v>
      </c>
      <c r="D378" t="n">
        <v>1940718</v>
      </c>
      <c r="E378" t="inlineStr">
        <is>
          <t>TUB-O-O-AUT-AW-FC-34.93X2.600X1.7210</t>
        </is>
      </c>
      <c r="F378" t="inlineStr">
        <is>
          <t>De-burring</t>
        </is>
      </c>
    </row>
    <row r="379" hidden="1" s="584">
      <c r="A379" t="n">
        <v>36</v>
      </c>
      <c r="B379" t="n">
        <v>4</v>
      </c>
      <c r="C379" t="n">
        <v>1.41</v>
      </c>
      <c r="D379" t="n">
        <v>3547256</v>
      </c>
      <c r="E379" t="inlineStr">
        <is>
          <t>CUT-C-SLT-DT-FC-36.00X4.000X1.4100</t>
        </is>
      </c>
      <c r="F379" t="inlineStr">
        <is>
          <t>De-burring</t>
        </is>
      </c>
    </row>
    <row r="380" hidden="1" s="584">
      <c r="A380" t="n">
        <v>36</v>
      </c>
      <c r="B380" t="n">
        <v>4</v>
      </c>
      <c r="C380" t="n">
        <v>5.7</v>
      </c>
      <c r="D380" t="n">
        <v>3578410</v>
      </c>
      <c r="E380" t="inlineStr">
        <is>
          <t>TUB-O-C-SLT-DT-FC-36.00X4.000X5.7000</t>
        </is>
      </c>
      <c r="F380" t="inlineStr">
        <is>
          <t>De-burring</t>
        </is>
      </c>
    </row>
    <row r="381" hidden="1" s="584">
      <c r="A381" t="n">
        <v>37</v>
      </c>
      <c r="B381" t="n">
        <v>1</v>
      </c>
      <c r="C381" t="n">
        <v>6</v>
      </c>
      <c r="D381" t="n">
        <v>2386079</v>
      </c>
      <c r="E381" t="inlineStr">
        <is>
          <t>TUB-O-C-CEW-AD-FC-37.00X1.000X6.0000</t>
        </is>
      </c>
      <c r="F381" t="inlineStr">
        <is>
          <t>De-burring</t>
        </is>
      </c>
    </row>
    <row r="382" hidden="1" s="584">
      <c r="A382" t="n">
        <v>37.6</v>
      </c>
      <c r="B382" t="n">
        <v>3.2</v>
      </c>
      <c r="C382" t="n">
        <v>0.295</v>
      </c>
      <c r="D382" t="n">
        <v>403039</v>
      </c>
      <c r="E382" t="inlineStr">
        <is>
          <t>PT3-I-C-AUT-AD-CH-31.20X3.200X0.295</t>
        </is>
      </c>
      <c r="F382" t="inlineStr">
        <is>
          <t>De-burring</t>
        </is>
      </c>
    </row>
    <row r="383" hidden="1" s="584">
      <c r="A383" t="n">
        <v>37.9</v>
      </c>
      <c r="B383" t="n">
        <v>2.95</v>
      </c>
      <c r="C383" t="n">
        <v>0.9399999999999999</v>
      </c>
      <c r="D383" t="n">
        <v>3731917</v>
      </c>
      <c r="E383" t="inlineStr">
        <is>
          <t>CUT-I-C-AUT-AD-PE-32.00X2.950X0.9400</t>
        </is>
      </c>
      <c r="F383" t="inlineStr">
        <is>
          <t>De-burring</t>
        </is>
      </c>
    </row>
    <row r="384" hidden="1" s="584">
      <c r="A384" t="n">
        <v>38</v>
      </c>
      <c r="B384" t="n">
        <v>3</v>
      </c>
      <c r="C384" t="n">
        <v>0.358</v>
      </c>
      <c r="D384" t="n">
        <v>3557582</v>
      </c>
      <c r="E384" t="inlineStr">
        <is>
          <t>TUB-O-C-AUT-AD-FC-38.00X3.000X0.3580</t>
        </is>
      </c>
      <c r="F384" t="inlineStr">
        <is>
          <t>De-burring</t>
        </is>
      </c>
    </row>
    <row r="385" hidden="1" s="584">
      <c r="A385" t="n">
        <v>38.1</v>
      </c>
      <c r="B385" t="n">
        <v>1</v>
      </c>
      <c r="C385" t="n">
        <v>6</v>
      </c>
      <c r="D385" t="n">
        <v>3701607</v>
      </c>
      <c r="E385" t="inlineStr">
        <is>
          <t>TUB-O-N-AUT-AW-PE-38.10X1.000X6.0000</t>
        </is>
      </c>
      <c r="F385" t="inlineStr">
        <is>
          <t>De-burring</t>
        </is>
      </c>
    </row>
    <row r="386" hidden="1" s="584">
      <c r="A386" t="n">
        <v>38.1</v>
      </c>
      <c r="B386" t="n">
        <v>1.5</v>
      </c>
      <c r="C386" t="n">
        <v>6</v>
      </c>
      <c r="D386" t="n">
        <v>1931757</v>
      </c>
      <c r="E386" t="inlineStr">
        <is>
          <t>TUB-O-N-GEN-AW-FC-38.10X1.500X6.0000</t>
        </is>
      </c>
      <c r="F386" t="inlineStr">
        <is>
          <t>De-burring</t>
        </is>
      </c>
    </row>
    <row r="387" hidden="1" s="584">
      <c r="A387" t="n">
        <v>38.1</v>
      </c>
      <c r="B387" t="n">
        <v>1.6</v>
      </c>
      <c r="C387" t="n">
        <v>0.488</v>
      </c>
      <c r="D387" t="n">
        <v>1940730</v>
      </c>
      <c r="E387" t="inlineStr">
        <is>
          <t>TUB-O-O-AUT-AW-FC-38.10X1.600X0.4880</t>
        </is>
      </c>
      <c r="F387" t="inlineStr">
        <is>
          <t>De-burring</t>
        </is>
      </c>
    </row>
    <row r="388" hidden="1" s="584">
      <c r="A388" t="n">
        <v>38.1</v>
      </c>
      <c r="B388" t="n">
        <v>1.6</v>
      </c>
      <c r="C388" t="n">
        <v>0.8120000000000001</v>
      </c>
      <c r="D388" t="n">
        <v>302897</v>
      </c>
      <c r="E388" t="inlineStr">
        <is>
          <t>TUB-O-N-AUT-AW-FC-38.10X1.600X0.812</t>
        </is>
      </c>
      <c r="F388" t="inlineStr">
        <is>
          <t>De-burring</t>
        </is>
      </c>
    </row>
    <row r="389" hidden="1" s="584">
      <c r="A389" t="n">
        <v>38.1</v>
      </c>
      <c r="B389" t="n">
        <v>1.6</v>
      </c>
      <c r="C389" t="n">
        <v>0.8120000000000001</v>
      </c>
      <c r="D389" t="n">
        <v>1940731</v>
      </c>
      <c r="E389" t="inlineStr">
        <is>
          <t>TUB-O-O-AUT-AW-FC-38.10X1.600X0.8120</t>
        </is>
      </c>
      <c r="F389" t="inlineStr">
        <is>
          <t>De-burring</t>
        </is>
      </c>
    </row>
    <row r="390" hidden="1" s="584">
      <c r="A390" t="n">
        <v>38.1</v>
      </c>
      <c r="B390" t="n">
        <v>1.6</v>
      </c>
      <c r="C390" t="n">
        <v>0.875</v>
      </c>
      <c r="D390" t="n">
        <v>2436343</v>
      </c>
      <c r="E390" t="inlineStr">
        <is>
          <t>TUB-O-N-AUT-AW-FC-38.10X1.600X0.8750</t>
        </is>
      </c>
      <c r="F390" t="inlineStr">
        <is>
          <t>De-burring</t>
        </is>
      </c>
    </row>
    <row r="391" hidden="1" s="584">
      <c r="A391" t="n">
        <v>38.1</v>
      </c>
      <c r="B391" t="n">
        <v>1.6</v>
      </c>
      <c r="C391" t="n">
        <v>0.875</v>
      </c>
      <c r="D391" t="n">
        <v>3841884</v>
      </c>
      <c r="E391" t="inlineStr">
        <is>
          <t>TUB-O-N-AUT-AW-FC-38.10X1.600X0.8750</t>
        </is>
      </c>
      <c r="F391" t="inlineStr">
        <is>
          <t>De-burring</t>
        </is>
      </c>
    </row>
    <row r="392" hidden="1" s="584">
      <c r="A392" t="n">
        <v>38.1</v>
      </c>
      <c r="B392" t="n">
        <v>1.6</v>
      </c>
      <c r="C392" t="n">
        <v>0.878</v>
      </c>
      <c r="D392" t="n">
        <v>3768904</v>
      </c>
      <c r="E392" t="inlineStr">
        <is>
          <t>CUT-O-N-AUT-AW-FC-38.10X1.600X0.8780</t>
        </is>
      </c>
      <c r="F392" t="inlineStr">
        <is>
          <t>De-burring</t>
        </is>
      </c>
    </row>
    <row r="393" hidden="1" s="584">
      <c r="A393" t="n">
        <v>38.1</v>
      </c>
      <c r="B393" t="n">
        <v>1.6</v>
      </c>
      <c r="C393" t="n">
        <v>5.63</v>
      </c>
      <c r="D393" t="n">
        <v>3514376</v>
      </c>
      <c r="E393" t="inlineStr">
        <is>
          <t>TUB-O-N-AUT-AW-FC-38.10X1.600X5.6300</t>
        </is>
      </c>
      <c r="F393" t="inlineStr">
        <is>
          <t>De-burring</t>
        </is>
      </c>
    </row>
    <row r="394" hidden="1" s="584">
      <c r="A394" t="n">
        <v>38.1</v>
      </c>
      <c r="B394" t="n">
        <v>1.6</v>
      </c>
      <c r="C394" t="n">
        <v>6.19</v>
      </c>
      <c r="D394" t="n">
        <v>3502254</v>
      </c>
      <c r="E394" t="inlineStr">
        <is>
          <t>TUB-O-N-AUT-AW-FC-38.10X1.600X6.1900</t>
        </is>
      </c>
      <c r="F394" t="inlineStr">
        <is>
          <t>De-burring</t>
        </is>
      </c>
    </row>
    <row r="395" hidden="1" s="584">
      <c r="A395" t="n">
        <v>38.1</v>
      </c>
      <c r="B395" t="n">
        <v>2</v>
      </c>
      <c r="C395" t="n">
        <v>0.277</v>
      </c>
      <c r="D395" t="n">
        <v>3768902</v>
      </c>
      <c r="E395" t="inlineStr">
        <is>
          <t>CUT-O-N-AUT-AW-FC-38.10X2.000X0.2770</t>
        </is>
      </c>
      <c r="F395" t="inlineStr">
        <is>
          <t>De-burring</t>
        </is>
      </c>
    </row>
    <row r="396" hidden="1" s="584">
      <c r="A396" t="n">
        <v>38.1</v>
      </c>
      <c r="B396" t="n">
        <v>2</v>
      </c>
      <c r="C396" t="n">
        <v>0.41</v>
      </c>
      <c r="D396" t="n">
        <v>3508742</v>
      </c>
      <c r="E396" t="inlineStr">
        <is>
          <t>CUT-O-N-AUT-AW-FC-38.10X2.000X0.4100</t>
        </is>
      </c>
      <c r="F396" t="inlineStr">
        <is>
          <t>De-burring</t>
        </is>
      </c>
    </row>
    <row r="397" hidden="1" s="584">
      <c r="A397" t="n">
        <v>38.1</v>
      </c>
      <c r="B397" t="n">
        <v>2</v>
      </c>
      <c r="C397" t="n">
        <v>0.425</v>
      </c>
      <c r="D397" t="n">
        <v>444029</v>
      </c>
      <c r="E397" t="inlineStr">
        <is>
          <t>PT2-O-N-AUT-AW-FC-38.10X2.000X0.425</t>
        </is>
      </c>
      <c r="F397" t="inlineStr">
        <is>
          <t>De-burring</t>
        </is>
      </c>
    </row>
    <row r="398" hidden="1" s="584">
      <c r="A398" t="n">
        <v>38.1</v>
      </c>
      <c r="B398" t="n">
        <v>2</v>
      </c>
      <c r="C398" t="n">
        <v>0.432</v>
      </c>
      <c r="D398" t="n">
        <v>1903849</v>
      </c>
      <c r="E398" t="inlineStr">
        <is>
          <t>TUB-O-N-AUT-AW-FC-38.10X2.000X0.4320</t>
        </is>
      </c>
      <c r="F398" t="inlineStr">
        <is>
          <t>De-burring</t>
        </is>
      </c>
    </row>
    <row r="399" hidden="1" s="584">
      <c r="A399" t="n">
        <v>38.1</v>
      </c>
      <c r="B399" t="n">
        <v>2</v>
      </c>
      <c r="C399" t="n">
        <v>0.488</v>
      </c>
      <c r="D399" t="n">
        <v>437159</v>
      </c>
      <c r="E399" t="inlineStr">
        <is>
          <t>PT3-O-N-AUT-AW-FC-38.10X2.000X0.488</t>
        </is>
      </c>
      <c r="F399" t="inlineStr">
        <is>
          <t>De-burring</t>
        </is>
      </c>
    </row>
    <row r="400" hidden="1" s="584">
      <c r="A400" t="n">
        <v>38.1</v>
      </c>
      <c r="B400" t="n">
        <v>2</v>
      </c>
      <c r="C400" t="n">
        <v>0.488</v>
      </c>
      <c r="D400" t="n">
        <v>1940739</v>
      </c>
      <c r="E400" t="inlineStr">
        <is>
          <t>TUB-O-O-AUT-AW-FC-38.10X2.000X0.4880</t>
        </is>
      </c>
      <c r="F400" t="inlineStr">
        <is>
          <t>De-burring</t>
        </is>
      </c>
    </row>
    <row r="401" hidden="1" s="584">
      <c r="A401" t="n">
        <v>38.1</v>
      </c>
      <c r="B401" t="n">
        <v>2</v>
      </c>
      <c r="C401" t="n">
        <v>0.494</v>
      </c>
      <c r="D401" t="n">
        <v>3516769</v>
      </c>
      <c r="E401" t="inlineStr">
        <is>
          <t>TUB-O-N-AUT-AW-FC-38.10X2.000X0.4940</t>
        </is>
      </c>
      <c r="F401" t="inlineStr">
        <is>
          <t>De-burring</t>
        </is>
      </c>
    </row>
    <row r="402" hidden="1" s="584">
      <c r="A402" t="n">
        <v>38.1</v>
      </c>
      <c r="B402" t="n">
        <v>2</v>
      </c>
      <c r="C402" t="n">
        <v>0.8120000000000001</v>
      </c>
      <c r="D402" t="n">
        <v>1940743</v>
      </c>
      <c r="E402" t="inlineStr">
        <is>
          <t>TUB-O-O-AUT-AW-FC-38.10X2.000X0.8120</t>
        </is>
      </c>
      <c r="F402" t="inlineStr">
        <is>
          <t>De-burring</t>
        </is>
      </c>
    </row>
    <row r="403" hidden="1" s="584">
      <c r="A403" t="n">
        <v>38.1</v>
      </c>
      <c r="B403" t="n">
        <v>2</v>
      </c>
      <c r="C403" t="n">
        <v>5.65</v>
      </c>
      <c r="D403" t="n">
        <v>3500959</v>
      </c>
      <c r="E403" t="inlineStr">
        <is>
          <t>TUB-O-N-AUT-AW-FC-38.10X2.00X5.650-ERW 1</t>
        </is>
      </c>
      <c r="F403" t="inlineStr">
        <is>
          <t>De-burring</t>
        </is>
      </c>
    </row>
    <row r="404" hidden="1" s="584">
      <c r="A404" t="n">
        <v>38.1</v>
      </c>
      <c r="B404" t="n">
        <v>2</v>
      </c>
      <c r="C404" t="n">
        <v>5.85</v>
      </c>
      <c r="D404" t="n">
        <v>3533164</v>
      </c>
      <c r="E404" t="inlineStr">
        <is>
          <t>TUB-O-N-AUT-AW-FC-38.10X2.000X5.8500</t>
        </is>
      </c>
      <c r="F404" t="inlineStr">
        <is>
          <t>De-burring</t>
        </is>
      </c>
    </row>
    <row r="405" hidden="1" s="584">
      <c r="A405" t="n">
        <v>38.1</v>
      </c>
      <c r="B405" t="n">
        <v>2.03</v>
      </c>
      <c r="C405" t="n">
        <v>0.8120000000000001</v>
      </c>
      <c r="D405" t="n">
        <v>257093</v>
      </c>
      <c r="E405" t="inlineStr">
        <is>
          <t>TUB-O-N-AUT-AW-PE-38.10X2.030X0.812</t>
        </is>
      </c>
      <c r="F405" t="inlineStr">
        <is>
          <t>De-burring</t>
        </is>
      </c>
    </row>
    <row r="406" hidden="1" s="584">
      <c r="A406" t="n">
        <v>38.1</v>
      </c>
      <c r="B406" t="n">
        <v>2.5</v>
      </c>
      <c r="C406" t="n">
        <v>0.875</v>
      </c>
      <c r="D406" t="n">
        <v>3509424</v>
      </c>
      <c r="E406" t="inlineStr">
        <is>
          <t>CUT-O-N-AUT-AW-FC-38.10X2.500X0.8750</t>
        </is>
      </c>
      <c r="F406" t="inlineStr">
        <is>
          <t>De-burring</t>
        </is>
      </c>
    </row>
    <row r="407" hidden="1" s="584">
      <c r="A407" t="n">
        <v>38.1</v>
      </c>
      <c r="B407" t="n">
        <v>2.5</v>
      </c>
      <c r="C407" t="n">
        <v>0.878</v>
      </c>
      <c r="D407" t="n">
        <v>3788034</v>
      </c>
      <c r="E407" t="inlineStr">
        <is>
          <t>CUT-O-N-AUT-AW-FC-38.10X2.500X0.8780</t>
        </is>
      </c>
      <c r="F407" t="inlineStr">
        <is>
          <t>De-burring</t>
        </is>
      </c>
    </row>
    <row r="408" hidden="1" s="584">
      <c r="A408" t="n">
        <v>38.1</v>
      </c>
      <c r="B408" t="n">
        <v>3.2</v>
      </c>
      <c r="C408" t="n">
        <v>0.319</v>
      </c>
      <c r="D408" t="n">
        <v>1939479</v>
      </c>
      <c r="E408" t="inlineStr">
        <is>
          <t>TUB-O-C-CEW-AD-FC-38.10X3.200X0.3190</t>
        </is>
      </c>
      <c r="F408" t="inlineStr">
        <is>
          <t>De-burring</t>
        </is>
      </c>
    </row>
    <row r="409" hidden="1" s="584">
      <c r="A409" t="n">
        <v>38.1</v>
      </c>
      <c r="B409" t="n">
        <v>3.66</v>
      </c>
      <c r="C409" t="n">
        <v>4.735</v>
      </c>
      <c r="D409" t="n">
        <v>3500718</v>
      </c>
      <c r="E409" t="inlineStr">
        <is>
          <t>TUB-O-N-AUT-AW-FC-38.10X3.66X4.735-ERW 1</t>
        </is>
      </c>
      <c r="F409" t="inlineStr">
        <is>
          <t>De-burring</t>
        </is>
      </c>
    </row>
    <row r="410" hidden="1" s="584">
      <c r="A410" t="n">
        <v>38.1</v>
      </c>
      <c r="B410" t="n">
        <v>3.66</v>
      </c>
      <c r="C410" t="n">
        <v>6.1</v>
      </c>
      <c r="D410" t="n">
        <v>3499236</v>
      </c>
      <c r="E410" t="inlineStr">
        <is>
          <t>TUB-O-N-BOT-NR-FC-38.10X3.660X6.100</t>
        </is>
      </c>
      <c r="F410" t="inlineStr">
        <is>
          <t>De-burring</t>
        </is>
      </c>
    </row>
    <row r="411" hidden="1" s="584">
      <c r="A411" t="n">
        <v>39</v>
      </c>
      <c r="B411" t="n">
        <v>2.5</v>
      </c>
      <c r="C411" t="n">
        <v>0.272</v>
      </c>
      <c r="D411" t="n">
        <v>1938125</v>
      </c>
      <c r="E411" t="inlineStr">
        <is>
          <t>TUB-I-C-AUT-AN-FC-39.00X34.00X0.2720</t>
        </is>
      </c>
      <c r="F411" t="inlineStr">
        <is>
          <t>Chamferring</t>
        </is>
      </c>
    </row>
    <row r="412" hidden="1" s="584">
      <c r="A412" t="n">
        <v>39.8</v>
      </c>
      <c r="B412" t="n">
        <v>5.8</v>
      </c>
      <c r="C412" t="n">
        <v>6.6</v>
      </c>
      <c r="D412" t="n">
        <v>3501038</v>
      </c>
      <c r="E412" t="inlineStr">
        <is>
          <t>TUB-O-C-SLT-NR-FC-39.80X5.800X6.6000</t>
        </is>
      </c>
      <c r="F412" t="inlineStr">
        <is>
          <t>De-burring</t>
        </is>
      </c>
    </row>
    <row r="413" hidden="1" s="584">
      <c r="A413" t="n">
        <v>40</v>
      </c>
      <c r="B413" t="n">
        <v>0.8100000000000001</v>
      </c>
      <c r="C413" t="n">
        <v>6</v>
      </c>
      <c r="D413" t="n">
        <v>3702461</v>
      </c>
      <c r="E413" t="inlineStr">
        <is>
          <t>TUB-R-FH-RHS-40.00X20.00X0.810X6.0000</t>
        </is>
      </c>
      <c r="F413" t="inlineStr">
        <is>
          <t>De-burring</t>
        </is>
      </c>
    </row>
    <row r="414" hidden="1" s="584">
      <c r="A414" t="n">
        <v>40</v>
      </c>
      <c r="B414" t="n">
        <v>1.16</v>
      </c>
      <c r="C414" t="n">
        <v>6</v>
      </c>
      <c r="D414" t="n">
        <v>1932148</v>
      </c>
      <c r="E414" t="inlineStr">
        <is>
          <t>TUB-R-AW-RHS-40.00X20.00X1.160X6.0000</t>
        </is>
      </c>
      <c r="F414" t="inlineStr">
        <is>
          <t>De-burring</t>
        </is>
      </c>
    </row>
    <row r="415" hidden="1" s="584">
      <c r="A415" t="n">
        <v>40</v>
      </c>
      <c r="B415" t="n">
        <v>1.2</v>
      </c>
      <c r="C415" t="n">
        <v>0.105</v>
      </c>
      <c r="D415" t="n">
        <v>3572046</v>
      </c>
      <c r="E415" t="inlineStr">
        <is>
          <t>TUB-R-AW-AUT-40.00X20.00X1.200X0.1050</t>
        </is>
      </c>
      <c r="F415" t="inlineStr">
        <is>
          <t>De-burring</t>
        </is>
      </c>
    </row>
    <row r="416" hidden="1" s="584">
      <c r="A416" t="n">
        <v>40</v>
      </c>
      <c r="B416" t="n">
        <v>1.2</v>
      </c>
      <c r="C416" t="n">
        <v>0.11</v>
      </c>
      <c r="D416" t="n">
        <v>3572047</v>
      </c>
      <c r="E416" t="inlineStr">
        <is>
          <t>TUB-R-AW-AUT-40.00X20.00X1.200X0.1100</t>
        </is>
      </c>
      <c r="F416" t="inlineStr">
        <is>
          <t>De-burring</t>
        </is>
      </c>
    </row>
    <row r="417" hidden="1" s="584">
      <c r="A417" t="n">
        <v>40</v>
      </c>
      <c r="B417" t="n">
        <v>1.2</v>
      </c>
      <c r="C417" t="n">
        <v>0.113</v>
      </c>
      <c r="D417" t="n">
        <v>3584174</v>
      </c>
      <c r="E417" t="inlineStr">
        <is>
          <t>TUB-R-AW-RHS-40.00X20.00X1.200X0.1130</t>
        </is>
      </c>
      <c r="F417" t="inlineStr">
        <is>
          <t>De-burring</t>
        </is>
      </c>
    </row>
    <row r="418" hidden="1" s="584">
      <c r="A418" t="n">
        <v>40</v>
      </c>
      <c r="B418" t="n">
        <v>1.2</v>
      </c>
      <c r="C418" t="n">
        <v>0.125</v>
      </c>
      <c r="D418" t="n">
        <v>1940849</v>
      </c>
      <c r="E418" t="inlineStr">
        <is>
          <t>TUB-S-AW-SHS-40.00X40.00X1.200X0.1250</t>
        </is>
      </c>
      <c r="F418" t="inlineStr">
        <is>
          <t>De-burring</t>
        </is>
      </c>
    </row>
    <row r="419" hidden="1" s="584">
      <c r="A419" t="n">
        <v>40</v>
      </c>
      <c r="B419" t="n">
        <v>1.2</v>
      </c>
      <c r="C419" t="n">
        <v>0.13</v>
      </c>
      <c r="D419" t="n">
        <v>3584171</v>
      </c>
      <c r="E419" t="inlineStr">
        <is>
          <t>TUB-R-AW-RHS-40.00X20.00X1.200X0.1300</t>
        </is>
      </c>
      <c r="F419" t="inlineStr">
        <is>
          <t>De-burring</t>
        </is>
      </c>
    </row>
    <row r="420" hidden="1" s="584">
      <c r="A420" t="n">
        <v>40</v>
      </c>
      <c r="B420" t="n">
        <v>1.2</v>
      </c>
      <c r="C420" t="n">
        <v>0.14</v>
      </c>
      <c r="D420" t="n">
        <v>1940850</v>
      </c>
      <c r="E420" t="inlineStr">
        <is>
          <t>TUB-S-AW-SHS-40.00X40.00X1.200X0.1400</t>
        </is>
      </c>
      <c r="F420" t="inlineStr">
        <is>
          <t>De-burring</t>
        </is>
      </c>
    </row>
    <row r="421" hidden="1" s="584">
      <c r="A421" t="n">
        <v>40</v>
      </c>
      <c r="B421" t="n">
        <v>1.2</v>
      </c>
      <c r="C421" t="n">
        <v>0.14</v>
      </c>
      <c r="D421" t="n">
        <v>3572048</v>
      </c>
      <c r="E421" t="inlineStr">
        <is>
          <t>TUB-R-AW-AUT-40.00X20.00X1.200X0.1400</t>
        </is>
      </c>
      <c r="F421" t="inlineStr">
        <is>
          <t>De-burring</t>
        </is>
      </c>
    </row>
    <row r="422" hidden="1" s="584">
      <c r="A422" t="n">
        <v>40</v>
      </c>
      <c r="B422" t="n">
        <v>1.2</v>
      </c>
      <c r="C422" t="n">
        <v>0.158</v>
      </c>
      <c r="D422" t="n">
        <v>3572055</v>
      </c>
      <c r="E422" t="inlineStr">
        <is>
          <t>TUB-S-AW-AUT-40.00X40.00X1.200X0.1580</t>
        </is>
      </c>
      <c r="F422" t="inlineStr">
        <is>
          <t>De-burring</t>
        </is>
      </c>
    </row>
    <row r="423" hidden="1" s="584">
      <c r="A423" t="n">
        <v>40</v>
      </c>
      <c r="B423" t="n">
        <v>1.2</v>
      </c>
      <c r="C423" t="n">
        <v>0.65</v>
      </c>
      <c r="D423" t="n">
        <v>3572049</v>
      </c>
      <c r="E423" t="inlineStr">
        <is>
          <t>TUB-R-AW-AUT-40.00X20.00X1.200X0.6500</t>
        </is>
      </c>
      <c r="F423" t="inlineStr">
        <is>
          <t>De-burring</t>
        </is>
      </c>
    </row>
    <row r="424" hidden="1" s="584">
      <c r="A424" t="n">
        <v>40</v>
      </c>
      <c r="B424" t="n">
        <v>1.2</v>
      </c>
      <c r="C424" t="n">
        <v>0.71</v>
      </c>
      <c r="D424" t="n">
        <v>3572050</v>
      </c>
      <c r="E424" t="inlineStr">
        <is>
          <t>TUB-R-AW-AUT-40.00X20.00X1.200X0.7100</t>
        </is>
      </c>
      <c r="F424" t="inlineStr">
        <is>
          <t>De-burring</t>
        </is>
      </c>
    </row>
    <row r="425" hidden="1" s="584">
      <c r="A425" t="n">
        <v>40</v>
      </c>
      <c r="B425" t="n">
        <v>1.2</v>
      </c>
      <c r="C425" t="n">
        <v>0.86</v>
      </c>
      <c r="D425" t="n">
        <v>3572051</v>
      </c>
      <c r="E425" t="inlineStr">
        <is>
          <t>TUB-R-AW-AUT-40.00X20.00X1.200X0.8600</t>
        </is>
      </c>
      <c r="F425" t="inlineStr">
        <is>
          <t>De-burring</t>
        </is>
      </c>
    </row>
    <row r="426" hidden="1" s="584">
      <c r="A426" t="n">
        <v>40</v>
      </c>
      <c r="B426" t="n">
        <v>1.2</v>
      </c>
      <c r="C426" t="n">
        <v>0.89</v>
      </c>
      <c r="D426" t="n">
        <v>3572052</v>
      </c>
      <c r="E426" t="inlineStr">
        <is>
          <t>TUB-R-AW-AUT-40.00X20.00X1.200X0.8900</t>
        </is>
      </c>
      <c r="F426" t="inlineStr">
        <is>
          <t>De-burring</t>
        </is>
      </c>
    </row>
    <row r="427" hidden="1" s="584">
      <c r="A427" t="n">
        <v>40</v>
      </c>
      <c r="B427" t="n">
        <v>1.2</v>
      </c>
      <c r="C427" t="n">
        <v>0.93</v>
      </c>
      <c r="D427" t="n">
        <v>3572053</v>
      </c>
      <c r="E427" t="inlineStr">
        <is>
          <t>TUB-R-AW-AUT-40.00X20.00X1.200X0.9300</t>
        </is>
      </c>
      <c r="F427" t="inlineStr">
        <is>
          <t>De-burring</t>
        </is>
      </c>
    </row>
    <row r="428" hidden="1" s="584">
      <c r="A428" t="n">
        <v>40</v>
      </c>
      <c r="B428" t="n">
        <v>1.2</v>
      </c>
      <c r="C428" t="n">
        <v>1.06</v>
      </c>
      <c r="D428" t="n">
        <v>3572054</v>
      </c>
      <c r="E428" t="inlineStr">
        <is>
          <t>TUB-R-AW-AUT-40.00X20.00X1.200X1.0600</t>
        </is>
      </c>
      <c r="F428" t="inlineStr">
        <is>
          <t>De-burring</t>
        </is>
      </c>
    </row>
    <row r="429" hidden="1" s="584">
      <c r="A429" t="n">
        <v>40</v>
      </c>
      <c r="B429" t="n">
        <v>1.2</v>
      </c>
      <c r="C429" t="n">
        <v>1.12</v>
      </c>
      <c r="D429" t="n">
        <v>3230465</v>
      </c>
      <c r="E429" t="inlineStr">
        <is>
          <t>TUB-R-AW-AUT-40.00X20.00X1.200X1.1200</t>
        </is>
      </c>
      <c r="F429" t="inlineStr">
        <is>
          <t>De-burring</t>
        </is>
      </c>
    </row>
    <row r="430" hidden="1" s="584">
      <c r="A430" t="n">
        <v>40</v>
      </c>
      <c r="B430" t="n">
        <v>1.2</v>
      </c>
      <c r="C430" t="n">
        <v>1.246</v>
      </c>
      <c r="D430" t="n">
        <v>3230470</v>
      </c>
      <c r="E430" t="inlineStr">
        <is>
          <t>TUB-R-AW-AUT-40.00X20.00X1.200X1.2460</t>
        </is>
      </c>
      <c r="F430" t="inlineStr">
        <is>
          <t>De-burring</t>
        </is>
      </c>
    </row>
    <row r="431" hidden="1" s="584">
      <c r="A431" t="n">
        <v>40</v>
      </c>
      <c r="B431" t="n">
        <v>1.2</v>
      </c>
      <c r="C431" t="n">
        <v>6</v>
      </c>
      <c r="D431" t="n">
        <v>1940852</v>
      </c>
      <c r="E431" t="inlineStr">
        <is>
          <t>TUB-S-AW-SHS-40.00X40.00X1.200X6.0000</t>
        </is>
      </c>
      <c r="F431" t="inlineStr">
        <is>
          <t>De-burring</t>
        </is>
      </c>
    </row>
    <row r="432" hidden="1" s="584">
      <c r="A432" t="n">
        <v>40</v>
      </c>
      <c r="B432" t="n">
        <v>1.21</v>
      </c>
      <c r="C432" t="n">
        <v>0.12</v>
      </c>
      <c r="D432" t="n">
        <v>3233559</v>
      </c>
      <c r="E432" t="inlineStr">
        <is>
          <t>TUB-R-AW-AUT-40.00X20.00X1.210X0.1200</t>
        </is>
      </c>
      <c r="F432" t="inlineStr">
        <is>
          <t>De-burring</t>
        </is>
      </c>
    </row>
    <row r="433" hidden="1" s="584">
      <c r="A433" t="n">
        <v>40</v>
      </c>
      <c r="B433" t="n">
        <v>1.21</v>
      </c>
      <c r="C433" t="n">
        <v>0.8</v>
      </c>
      <c r="D433" t="n">
        <v>3233557</v>
      </c>
      <c r="E433" t="inlineStr">
        <is>
          <t>TUB-R-AW-AUT-40.00X20.00X1.210X0.8000</t>
        </is>
      </c>
      <c r="F433" t="inlineStr">
        <is>
          <t>De-burring</t>
        </is>
      </c>
    </row>
    <row r="434" hidden="1" s="584">
      <c r="A434" t="n">
        <v>40</v>
      </c>
      <c r="B434" t="n">
        <v>1.21</v>
      </c>
      <c r="C434" t="n">
        <v>0.9399999999999999</v>
      </c>
      <c r="D434" t="n">
        <v>3233556</v>
      </c>
      <c r="E434" t="inlineStr">
        <is>
          <t>TUB-R-AW-AUT-40.00X20.00X1.210X0.9400</t>
        </is>
      </c>
      <c r="F434" t="inlineStr">
        <is>
          <t>De-burring</t>
        </is>
      </c>
    </row>
    <row r="435" hidden="1" s="584">
      <c r="A435" t="n">
        <v>40</v>
      </c>
      <c r="B435" t="n">
        <v>1.21</v>
      </c>
      <c r="C435" t="n">
        <v>1.12</v>
      </c>
      <c r="D435" t="n">
        <v>3233555</v>
      </c>
      <c r="E435" t="inlineStr">
        <is>
          <t>TUB-R-AW-AUT-40.00X20.00X1.210X1.1200</t>
        </is>
      </c>
      <c r="F435" t="inlineStr">
        <is>
          <t>De-burring</t>
        </is>
      </c>
    </row>
    <row r="436" hidden="1" s="584">
      <c r="A436" t="n">
        <v>40</v>
      </c>
      <c r="B436" t="n">
        <v>1.21</v>
      </c>
      <c r="C436" t="n">
        <v>1.246</v>
      </c>
      <c r="D436" t="n">
        <v>3233554</v>
      </c>
      <c r="E436" t="inlineStr">
        <is>
          <t>TUB-R-AW-AUT-40.00X20.00X1.210X1.2460</t>
        </is>
      </c>
      <c r="F436" t="inlineStr">
        <is>
          <t>De-burring</t>
        </is>
      </c>
    </row>
    <row r="437" hidden="1" s="584">
      <c r="A437" t="n">
        <v>40</v>
      </c>
      <c r="B437" t="n">
        <v>1.21</v>
      </c>
      <c r="C437" t="n">
        <v>1.298</v>
      </c>
      <c r="D437" t="n">
        <v>3233553</v>
      </c>
      <c r="E437" t="inlineStr">
        <is>
          <t>TUB-R-AW-AUT-40.00X20.00X1.210X1.2980</t>
        </is>
      </c>
      <c r="F437" t="inlineStr">
        <is>
          <t>De-burring</t>
        </is>
      </c>
    </row>
    <row r="438" hidden="1" s="584">
      <c r="A438" t="n">
        <v>40</v>
      </c>
      <c r="B438" t="n">
        <v>1.21</v>
      </c>
      <c r="C438" t="n">
        <v>1.31</v>
      </c>
      <c r="D438" t="n">
        <v>1940801</v>
      </c>
      <c r="E438" t="inlineStr">
        <is>
          <t>TUB-R-AW-RHS-40.00X20.00X1.210X1.3100</t>
        </is>
      </c>
      <c r="F438" t="inlineStr">
        <is>
          <t>De-burring</t>
        </is>
      </c>
    </row>
    <row r="439" hidden="1" s="584">
      <c r="A439" t="n">
        <v>40</v>
      </c>
      <c r="B439" t="n">
        <v>1.21</v>
      </c>
      <c r="C439" t="n">
        <v>6</v>
      </c>
      <c r="D439" t="n">
        <v>1940807</v>
      </c>
      <c r="E439" t="inlineStr">
        <is>
          <t>TUB-R-AW-RHS-40.00X20.00X1.210X6.0000</t>
        </is>
      </c>
      <c r="F439" t="inlineStr">
        <is>
          <t>De-burring</t>
        </is>
      </c>
    </row>
    <row r="440" hidden="1" s="584">
      <c r="A440" t="n">
        <v>40</v>
      </c>
      <c r="B440" t="n">
        <v>1.51</v>
      </c>
      <c r="C440" t="n">
        <v>6</v>
      </c>
      <c r="D440" t="n">
        <v>1931893</v>
      </c>
      <c r="E440" t="inlineStr">
        <is>
          <t>TUB-R-FH-RHS-40.00X20.00X1.510X6.0000</t>
        </is>
      </c>
      <c r="F440" t="inlineStr">
        <is>
          <t>De-burring</t>
        </is>
      </c>
    </row>
    <row r="441" hidden="1" s="584">
      <c r="A441" t="n">
        <v>40</v>
      </c>
      <c r="B441" t="n">
        <v>1.6</v>
      </c>
      <c r="C441" t="n">
        <v>0.318</v>
      </c>
      <c r="D441" t="n">
        <v>2440971</v>
      </c>
      <c r="E441" t="inlineStr">
        <is>
          <t>TUB-R-AW-AUT-40.00X25.00X1.600X0.3180</t>
        </is>
      </c>
      <c r="F441" t="inlineStr">
        <is>
          <t>De-burring</t>
        </is>
      </c>
    </row>
    <row r="442" hidden="1" s="584">
      <c r="A442" t="n">
        <v>40</v>
      </c>
      <c r="B442" t="n">
        <v>1.6</v>
      </c>
      <c r="C442" t="n">
        <v>0.322</v>
      </c>
      <c r="D442" t="n">
        <v>3768905</v>
      </c>
      <c r="E442" t="inlineStr">
        <is>
          <t>CUT-R-AW-AUT-40.00X25.00X1.600X0.3220</t>
        </is>
      </c>
      <c r="F442" t="inlineStr">
        <is>
          <t>De-burring</t>
        </is>
      </c>
    </row>
    <row r="443" hidden="1" s="584">
      <c r="A443" t="n">
        <v>40</v>
      </c>
      <c r="B443" t="n">
        <v>1.6</v>
      </c>
      <c r="C443" t="n">
        <v>0.4</v>
      </c>
      <c r="D443" t="n">
        <v>1941860</v>
      </c>
      <c r="E443" t="inlineStr">
        <is>
          <t>TUB-R-AW-RHS-40.00X30.00X1.600X0.4000</t>
        </is>
      </c>
      <c r="F443" t="inlineStr">
        <is>
          <t>De-burring</t>
        </is>
      </c>
    </row>
    <row r="444" hidden="1" s="584">
      <c r="A444" t="n">
        <v>40</v>
      </c>
      <c r="B444" t="n">
        <v>1.6</v>
      </c>
      <c r="C444" t="n">
        <v>0.48</v>
      </c>
      <c r="D444" t="n">
        <v>1940815</v>
      </c>
      <c r="E444" t="inlineStr">
        <is>
          <t>TUB-R-AW-RHS-40.00X20.00X1.600X0.4800</t>
        </is>
      </c>
      <c r="F444" t="inlineStr">
        <is>
          <t>De-burring</t>
        </is>
      </c>
    </row>
    <row r="445" hidden="1" s="584">
      <c r="A445" t="n">
        <v>40</v>
      </c>
      <c r="B445" t="n">
        <v>1.6</v>
      </c>
      <c r="C445" t="n">
        <v>0.513</v>
      </c>
      <c r="D445" t="n">
        <v>1940821</v>
      </c>
      <c r="E445" t="inlineStr">
        <is>
          <t>TUB-R-AW-RHS-40.00X25.00X1.600X0.5130</t>
        </is>
      </c>
      <c r="F445" t="inlineStr">
        <is>
          <t>De-burring</t>
        </is>
      </c>
    </row>
    <row r="446" hidden="1" s="584">
      <c r="A446" t="n">
        <v>40</v>
      </c>
      <c r="B446" t="n">
        <v>1.6</v>
      </c>
      <c r="C446" t="n">
        <v>0.536</v>
      </c>
      <c r="D446" t="n">
        <v>1940822</v>
      </c>
      <c r="E446" t="inlineStr">
        <is>
          <t>TUB-R-AW-RHS-40.00X25.00X1.600X0.5360</t>
        </is>
      </c>
      <c r="F446" t="inlineStr">
        <is>
          <t>De-burring</t>
        </is>
      </c>
    </row>
    <row r="447" hidden="1" s="584">
      <c r="A447" t="n">
        <v>40</v>
      </c>
      <c r="B447" t="n">
        <v>1.6</v>
      </c>
      <c r="C447" t="n">
        <v>0.546</v>
      </c>
      <c r="D447" t="n">
        <v>1940817</v>
      </c>
      <c r="E447" t="inlineStr">
        <is>
          <t>TUB-R-AW-RHS-40.00X20.00X1.600X0.5460</t>
        </is>
      </c>
      <c r="F447" t="inlineStr">
        <is>
          <t>De-burring</t>
        </is>
      </c>
    </row>
    <row r="448" hidden="1" s="584">
      <c r="A448" t="n">
        <v>40</v>
      </c>
      <c r="B448" t="n">
        <v>1.6</v>
      </c>
      <c r="C448" t="n">
        <v>0.5600000000000001</v>
      </c>
      <c r="D448" t="n">
        <v>1940823</v>
      </c>
      <c r="E448" t="inlineStr">
        <is>
          <t>TUB-R-AW-RHS-40.00X25.00X1.600X0.5600</t>
        </is>
      </c>
      <c r="F448" t="inlineStr">
        <is>
          <t>De-burring</t>
        </is>
      </c>
    </row>
    <row r="449" hidden="1" s="584">
      <c r="A449" t="n">
        <v>40</v>
      </c>
      <c r="B449" t="n">
        <v>1.6</v>
      </c>
      <c r="C449" t="n">
        <v>0.5610000000000001</v>
      </c>
      <c r="D449" t="n">
        <v>3801265</v>
      </c>
      <c r="E449" t="inlineStr">
        <is>
          <t>CUT-AW-AUT-40.00X25.00X1.600X0.5610</t>
        </is>
      </c>
      <c r="F449" t="inlineStr">
        <is>
          <t>De-burring</t>
        </is>
      </c>
    </row>
    <row r="450" hidden="1" s="584">
      <c r="A450" t="n">
        <v>40</v>
      </c>
      <c r="B450" t="n">
        <v>1.6</v>
      </c>
      <c r="C450" t="n">
        <v>0.585</v>
      </c>
      <c r="D450" t="n">
        <v>1940825</v>
      </c>
      <c r="E450" t="inlineStr">
        <is>
          <t>TUB-R-AW-RHS-40.00X25.00X1.600X0.5850</t>
        </is>
      </c>
      <c r="F450" t="inlineStr">
        <is>
          <t>De-burring</t>
        </is>
      </c>
    </row>
    <row r="451" hidden="1" s="584">
      <c r="A451" t="n">
        <v>40</v>
      </c>
      <c r="B451" t="n">
        <v>1.6</v>
      </c>
      <c r="C451" t="n">
        <v>0.587</v>
      </c>
      <c r="D451" t="n">
        <v>3786202</v>
      </c>
      <c r="E451" t="inlineStr">
        <is>
          <t>TUB-R-AW-RHS-40.00X25.00X1.600X0.5870</t>
        </is>
      </c>
      <c r="F451" t="inlineStr">
        <is>
          <t>De-burring</t>
        </is>
      </c>
    </row>
    <row r="452" hidden="1" s="584">
      <c r="A452" t="n">
        <v>40</v>
      </c>
      <c r="B452" t="n">
        <v>1.6</v>
      </c>
      <c r="C452" t="n">
        <v>0.835</v>
      </c>
      <c r="D452" t="n">
        <v>3712521</v>
      </c>
      <c r="E452" t="inlineStr">
        <is>
          <t>CUT-R-AW-RHS-40.00X30.00X1.600X0.8350</t>
        </is>
      </c>
      <c r="F452" t="inlineStr">
        <is>
          <t>De-burring</t>
        </is>
      </c>
    </row>
    <row r="453" hidden="1" s="584">
      <c r="A453" t="n">
        <v>40</v>
      </c>
      <c r="B453" t="n">
        <v>1.6</v>
      </c>
      <c r="C453" t="n">
        <v>0.86</v>
      </c>
      <c r="D453" t="n">
        <v>1940830</v>
      </c>
      <c r="E453" t="inlineStr">
        <is>
          <t>TUB-R-AW-RHS-40.00X30.00X1.600X0.8600</t>
        </is>
      </c>
      <c r="F453" t="inlineStr">
        <is>
          <t>De-burring</t>
        </is>
      </c>
    </row>
    <row r="454" hidden="1" s="584">
      <c r="A454" t="n">
        <v>40</v>
      </c>
      <c r="B454" t="n">
        <v>1.6</v>
      </c>
      <c r="C454" t="n">
        <v>5.93</v>
      </c>
      <c r="D454" t="n">
        <v>3925391</v>
      </c>
      <c r="E454" t="inlineStr">
        <is>
          <t>TUB-R-AW-AUT-40.00X30.00X1.600X5.9300</t>
        </is>
      </c>
      <c r="F454" t="inlineStr">
        <is>
          <t>De-burring</t>
        </is>
      </c>
    </row>
    <row r="455" hidden="1" s="584">
      <c r="A455" t="n">
        <v>40</v>
      </c>
      <c r="B455" t="n">
        <v>1.6</v>
      </c>
      <c r="C455" t="n">
        <v>6</v>
      </c>
      <c r="D455" t="n">
        <v>3441727</v>
      </c>
      <c r="E455" t="inlineStr">
        <is>
          <t>TUB-R-AW-AUT-40.00X30.00X1.600X6.0000</t>
        </is>
      </c>
      <c r="F455" t="inlineStr">
        <is>
          <t>De-burring</t>
        </is>
      </c>
    </row>
    <row r="456" hidden="1" s="584">
      <c r="A456" t="n">
        <v>40</v>
      </c>
      <c r="B456" t="n">
        <v>1.6</v>
      </c>
      <c r="C456" t="n">
        <v>6.05</v>
      </c>
      <c r="D456" t="n">
        <v>3702497</v>
      </c>
      <c r="E456" t="inlineStr">
        <is>
          <t>TUB-R-AP-AUT-40.00X25.00X1.600X6.0500</t>
        </is>
      </c>
      <c r="F456" t="inlineStr">
        <is>
          <t>De-burring</t>
        </is>
      </c>
    </row>
    <row r="457" hidden="1" s="584">
      <c r="A457" t="n">
        <v>40</v>
      </c>
      <c r="B457" t="n">
        <v>1.6</v>
      </c>
      <c r="C457" t="n">
        <v>6.1</v>
      </c>
      <c r="D457" t="n">
        <v>1940832</v>
      </c>
      <c r="E457" t="inlineStr">
        <is>
          <t>TUB-R-AW-RHS-40.00X30.00X1.600X6.1000</t>
        </is>
      </c>
      <c r="F457" t="inlineStr">
        <is>
          <t>De-burring</t>
        </is>
      </c>
    </row>
    <row r="458" hidden="1" s="584">
      <c r="A458" t="n">
        <v>40</v>
      </c>
      <c r="B458" t="n">
        <v>2</v>
      </c>
      <c r="C458" t="n">
        <v>0.87</v>
      </c>
      <c r="D458" t="n">
        <v>1940837</v>
      </c>
      <c r="E458" t="inlineStr">
        <is>
          <t>TUB-R-AW-RHS-40.00X30.00X2.000X0.8700</t>
        </is>
      </c>
      <c r="F458" t="inlineStr">
        <is>
          <t>De-burring</t>
        </is>
      </c>
    </row>
    <row r="459" hidden="1" s="584">
      <c r="A459" t="n">
        <v>40</v>
      </c>
      <c r="B459" t="n">
        <v>2</v>
      </c>
      <c r="C459" t="n">
        <v>6</v>
      </c>
      <c r="D459" t="n">
        <v>1940840</v>
      </c>
      <c r="E459" t="inlineStr">
        <is>
          <t>TUB-R-AW-RHS-40.00X30.00X2.000X6.0000</t>
        </is>
      </c>
      <c r="F459" t="inlineStr">
        <is>
          <t>De-burring</t>
        </is>
      </c>
    </row>
    <row r="460" hidden="1" s="584">
      <c r="A460" t="n">
        <v>40</v>
      </c>
      <c r="B460" t="n">
        <v>2</v>
      </c>
      <c r="C460" t="n">
        <v>6.175</v>
      </c>
      <c r="D460" t="n">
        <v>3474555</v>
      </c>
      <c r="E460" t="inlineStr">
        <is>
          <t>TUB-R-AW-AUT-40.00X30.00X2.000X6.1750</t>
        </is>
      </c>
      <c r="F460" t="inlineStr">
        <is>
          <t>De-burring</t>
        </is>
      </c>
    </row>
    <row r="461" hidden="1" s="584">
      <c r="A461" t="n">
        <v>41.28</v>
      </c>
      <c r="B461" t="n">
        <v>2.41</v>
      </c>
      <c r="C461" t="n">
        <v>0.204</v>
      </c>
      <c r="D461" t="n">
        <v>3557583</v>
      </c>
      <c r="E461" t="inlineStr">
        <is>
          <t>TUB-O-C-AUT-AD-FC-41.28X2.410X0.2040</t>
        </is>
      </c>
      <c r="F461" t="inlineStr">
        <is>
          <t>Chamferring</t>
        </is>
      </c>
    </row>
    <row r="462" hidden="1" s="584">
      <c r="A462" t="n">
        <v>41.28</v>
      </c>
      <c r="B462" t="n">
        <v>2.6</v>
      </c>
      <c r="C462" t="n">
        <v>0.848</v>
      </c>
      <c r="D462" t="n">
        <v>3509641</v>
      </c>
      <c r="E462" t="inlineStr">
        <is>
          <t>CUT-O-N-AUT-AW-FC-41.28X2.600X0.8480</t>
        </is>
      </c>
      <c r="F462" t="inlineStr">
        <is>
          <t>De-burring</t>
        </is>
      </c>
    </row>
    <row r="463" hidden="1" s="584">
      <c r="A463" t="n">
        <v>41.28</v>
      </c>
      <c r="B463" t="n">
        <v>2.6</v>
      </c>
      <c r="C463" t="n">
        <v>0.85</v>
      </c>
      <c r="D463" t="n">
        <v>3910648</v>
      </c>
      <c r="E463" t="inlineStr">
        <is>
          <t>CUT-O-N-AUT-AW-FC-41.28X2.600X0.8500</t>
        </is>
      </c>
      <c r="F463" t="inlineStr">
        <is>
          <t>De-burring</t>
        </is>
      </c>
    </row>
    <row r="464" hidden="1" s="584">
      <c r="A464" t="n">
        <v>41.28</v>
      </c>
      <c r="B464" t="n">
        <v>2.6</v>
      </c>
      <c r="C464" t="n">
        <v>6.08</v>
      </c>
      <c r="D464" t="n">
        <v>3502252</v>
      </c>
      <c r="E464" t="inlineStr">
        <is>
          <t>TUB-O-N-AUT-AW-FC-41.28X2.600X6.0800</t>
        </is>
      </c>
      <c r="F464" t="inlineStr">
        <is>
          <t>De-burring</t>
        </is>
      </c>
    </row>
    <row r="465" hidden="1" s="584">
      <c r="A465" t="n">
        <v>41.28</v>
      </c>
      <c r="B465" t="n">
        <v>3.15</v>
      </c>
      <c r="C465" t="n">
        <v>0.291</v>
      </c>
      <c r="D465" t="n">
        <v>1940857</v>
      </c>
      <c r="E465" t="inlineStr">
        <is>
          <t>TUB-O-O-AUT-AW-CH-41.28X3.150X0.2910</t>
        </is>
      </c>
      <c r="F465" t="inlineStr">
        <is>
          <t>Chamferring</t>
        </is>
      </c>
    </row>
    <row r="466" hidden="1" s="584">
      <c r="A466" t="n">
        <v>41.28</v>
      </c>
      <c r="B466" t="n">
        <v>3.2</v>
      </c>
      <c r="C466" t="n">
        <v>0.246</v>
      </c>
      <c r="D466" t="n">
        <v>3768907</v>
      </c>
      <c r="E466" t="inlineStr">
        <is>
          <t>CUT-O-N-AUT-AW-FC-41.28X3.200X0.2460</t>
        </is>
      </c>
      <c r="F466" t="inlineStr">
        <is>
          <t>Chamferring</t>
        </is>
      </c>
    </row>
    <row r="467" hidden="1" s="584">
      <c r="A467" t="n">
        <v>42.7</v>
      </c>
      <c r="B467" t="n">
        <v>1.6</v>
      </c>
      <c r="C467" t="n">
        <v>0.416</v>
      </c>
      <c r="D467" t="n">
        <v>3731691</v>
      </c>
      <c r="E467" t="inlineStr">
        <is>
          <t>TUB-O-N-AUT-AW-FC-42.70X1.600X0.4160</t>
        </is>
      </c>
      <c r="F467" t="inlineStr">
        <is>
          <t>De-burring</t>
        </is>
      </c>
    </row>
    <row r="468" hidden="1" s="584">
      <c r="A468" t="n">
        <v>42.7</v>
      </c>
      <c r="B468" t="n">
        <v>1.6</v>
      </c>
      <c r="C468" t="n">
        <v>0.417</v>
      </c>
      <c r="D468" t="n">
        <v>3531649</v>
      </c>
      <c r="E468" t="inlineStr">
        <is>
          <t>TUB-O-N-AUT-AW-FC-42.70X1.600X0.4170</t>
        </is>
      </c>
      <c r="F468" t="inlineStr">
        <is>
          <t>De-burring</t>
        </is>
      </c>
    </row>
    <row r="469" hidden="1" s="584">
      <c r="A469" t="n">
        <v>42.7</v>
      </c>
      <c r="B469" t="n">
        <v>3.5</v>
      </c>
      <c r="C469" t="n">
        <v>0.208</v>
      </c>
      <c r="D469" t="n">
        <v>3722021</v>
      </c>
      <c r="E469" t="inlineStr">
        <is>
          <t>TUB-O-N-AUT-AN--42.70X3.500X0.2080</t>
        </is>
      </c>
      <c r="F469" t="inlineStr">
        <is>
          <t>Chamferring</t>
        </is>
      </c>
    </row>
    <row r="470" hidden="1" s="584">
      <c r="A470" t="n">
        <v>42.7</v>
      </c>
      <c r="B470" t="n">
        <v>3.5</v>
      </c>
      <c r="C470" t="n">
        <v>0.21</v>
      </c>
      <c r="D470" t="n">
        <v>1310731</v>
      </c>
      <c r="E470" t="inlineStr">
        <is>
          <t>TUB-O-N-AUT-NR-FC-42.70X3.500X0.2100</t>
        </is>
      </c>
      <c r="F470" t="inlineStr">
        <is>
          <t>Chamferring</t>
        </is>
      </c>
    </row>
    <row r="471" hidden="1" s="584">
      <c r="A471" t="n">
        <v>42.7</v>
      </c>
      <c r="B471" t="n">
        <v>3.5</v>
      </c>
      <c r="C471" t="n">
        <v>0.21</v>
      </c>
      <c r="D471" t="n">
        <v>2417648</v>
      </c>
      <c r="E471" t="inlineStr">
        <is>
          <t>TUB-O-N-AUT-AN-FC-42.70X3.500X0.2100</t>
        </is>
      </c>
      <c r="F471" t="inlineStr">
        <is>
          <t>Chamferring</t>
        </is>
      </c>
    </row>
    <row r="472" hidden="1" s="584">
      <c r="A472" t="n">
        <v>42.7</v>
      </c>
      <c r="B472" t="n">
        <v>3.5</v>
      </c>
      <c r="C472" t="n">
        <v>0.247</v>
      </c>
      <c r="D472" t="n">
        <v>3433148</v>
      </c>
      <c r="E472" t="inlineStr">
        <is>
          <t>TUB-O-N-AUT-BH-FC-42.70X3.500X0.2470</t>
        </is>
      </c>
      <c r="F472" t="inlineStr">
        <is>
          <t>Chamferring</t>
        </is>
      </c>
    </row>
    <row r="473" hidden="1" s="584">
      <c r="A473" t="n">
        <v>42.7</v>
      </c>
      <c r="B473" t="n">
        <v>3.5</v>
      </c>
      <c r="C473" t="n">
        <v>6</v>
      </c>
      <c r="D473" t="n">
        <v>3500650</v>
      </c>
      <c r="E473" t="inlineStr">
        <is>
          <t>TUB-O-N-AUT-BH-FC-42.70X3.500X6.000</t>
        </is>
      </c>
      <c r="F473" t="inlineStr">
        <is>
          <t>Chamferring</t>
        </is>
      </c>
    </row>
    <row r="474" hidden="1" s="584">
      <c r="A474" t="n">
        <v>42.7</v>
      </c>
      <c r="B474" t="n">
        <v>4</v>
      </c>
      <c r="C474" t="n">
        <v>0.215</v>
      </c>
      <c r="D474" t="n">
        <v>3901714</v>
      </c>
      <c r="E474" t="inlineStr">
        <is>
          <t>CUT-N-AUT-AN-FC-42.70X4.000X0.2150</t>
        </is>
      </c>
      <c r="F474" t="inlineStr">
        <is>
          <t>Chamferring</t>
        </is>
      </c>
    </row>
    <row r="475" hidden="1" s="584">
      <c r="A475" t="n">
        <v>42.7</v>
      </c>
      <c r="B475" t="n">
        <v>4</v>
      </c>
      <c r="C475" t="n">
        <v>0.235</v>
      </c>
      <c r="D475" t="n">
        <v>2428441</v>
      </c>
      <c r="E475" t="inlineStr">
        <is>
          <t>TUB-O-N-AUT-AN-FC-42.70X4.000X0.2350</t>
        </is>
      </c>
      <c r="F475" t="inlineStr">
        <is>
          <t>Chamferring</t>
        </is>
      </c>
    </row>
    <row r="476" hidden="1" s="584">
      <c r="A476" t="n">
        <v>42.7</v>
      </c>
      <c r="B476" t="n">
        <v>4</v>
      </c>
      <c r="C476" t="n">
        <v>0.29</v>
      </c>
      <c r="D476" t="n">
        <v>3499121</v>
      </c>
      <c r="E476" t="inlineStr">
        <is>
          <t>TUB-N-AUT-BH-FC-42.70X4.000X0.2900</t>
        </is>
      </c>
      <c r="F476" t="inlineStr">
        <is>
          <t>Chamferring</t>
        </is>
      </c>
    </row>
    <row r="477" hidden="1" s="584">
      <c r="A477" t="n">
        <v>42.7</v>
      </c>
      <c r="B477" t="n">
        <v>4</v>
      </c>
      <c r="C477" t="n">
        <v>0.344</v>
      </c>
      <c r="D477" t="n">
        <v>3690017</v>
      </c>
      <c r="E477" t="inlineStr">
        <is>
          <t>TUB-O-N-AUT-BH-FC-42.70X4.000X0.3440</t>
        </is>
      </c>
      <c r="F477" t="inlineStr">
        <is>
          <t>Chamferring</t>
        </is>
      </c>
    </row>
    <row r="478" hidden="1" s="584">
      <c r="A478" t="n">
        <v>45</v>
      </c>
      <c r="B478" t="n">
        <v>1.4</v>
      </c>
      <c r="C478" t="n">
        <v>1.054</v>
      </c>
      <c r="D478" t="n">
        <v>3605736</v>
      </c>
      <c r="E478" t="inlineStr">
        <is>
          <t>TUB-O-N-AUT-AW-FC-45.00X1.400X1.0540</t>
        </is>
      </c>
      <c r="F478" t="inlineStr">
        <is>
          <t>De-burring</t>
        </is>
      </c>
    </row>
    <row r="479" hidden="1" s="584">
      <c r="A479" t="n">
        <v>45</v>
      </c>
      <c r="B479" t="n">
        <v>1.6</v>
      </c>
      <c r="C479" t="n">
        <v>1.054</v>
      </c>
      <c r="D479" t="n">
        <v>3605737</v>
      </c>
      <c r="E479" t="inlineStr">
        <is>
          <t>CUT-O-N-AUT-AW-FC-45.00X1.600X1.0540</t>
        </is>
      </c>
      <c r="F479" t="inlineStr">
        <is>
          <t>De-burring</t>
        </is>
      </c>
    </row>
    <row r="480" hidden="1" s="584">
      <c r="A480" t="n">
        <v>47.63</v>
      </c>
      <c r="B480" t="n">
        <v>4</v>
      </c>
      <c r="C480" t="n">
        <v>0.212</v>
      </c>
      <c r="D480" t="n">
        <v>1938350</v>
      </c>
      <c r="E480" t="inlineStr">
        <is>
          <t>TUB-O-C-CEW-AN-FC-47.63X4.000X0.2120</t>
        </is>
      </c>
      <c r="F480" t="inlineStr">
        <is>
          <t>Chamferring</t>
        </is>
      </c>
    </row>
    <row r="481" hidden="1" s="584">
      <c r="A481" t="n">
        <v>47.63</v>
      </c>
      <c r="B481" t="n">
        <v>4</v>
      </c>
      <c r="C481" t="n">
        <v>0.215</v>
      </c>
      <c r="D481" t="n">
        <v>3614493</v>
      </c>
      <c r="E481" t="inlineStr">
        <is>
          <t>TUB-O-C-AUT-AN-FC-47.63X4.000X0.2150</t>
        </is>
      </c>
      <c r="F481" t="inlineStr">
        <is>
          <t>Chamferring</t>
        </is>
      </c>
    </row>
    <row r="482" hidden="1" s="584">
      <c r="A482" t="n">
        <v>48</v>
      </c>
      <c r="B482" t="n">
        <v>1.2</v>
      </c>
      <c r="C482" t="n">
        <v>0.18</v>
      </c>
      <c r="D482" t="n">
        <v>2437217</v>
      </c>
      <c r="E482" t="inlineStr">
        <is>
          <t>TUB-O-N-AUT-AW-FC-48.00X1.200X0.1800</t>
        </is>
      </c>
      <c r="F482" t="inlineStr">
        <is>
          <t>De-burring</t>
        </is>
      </c>
    </row>
    <row r="483" hidden="1" s="584">
      <c r="A483" t="n">
        <v>48</v>
      </c>
      <c r="B483" t="n">
        <v>1.2</v>
      </c>
      <c r="C483" t="n">
        <v>0.62</v>
      </c>
      <c r="D483" t="n">
        <v>2397072</v>
      </c>
      <c r="E483" t="inlineStr">
        <is>
          <t>TUB-O-N-AUT-AW-FC-48.00X1.200X0.6200</t>
        </is>
      </c>
      <c r="F483" t="inlineStr">
        <is>
          <t>De-burring</t>
        </is>
      </c>
    </row>
    <row r="484" hidden="1" s="584">
      <c r="A484" t="n">
        <v>48</v>
      </c>
      <c r="B484" t="n">
        <v>1.2</v>
      </c>
      <c r="C484" t="n">
        <v>0.65</v>
      </c>
      <c r="D484" t="n">
        <v>2397060</v>
      </c>
      <c r="E484" t="inlineStr">
        <is>
          <t>TUB-O-N-AUT-AW-FC-48.00X1.200X0.6500</t>
        </is>
      </c>
      <c r="F484" t="inlineStr">
        <is>
          <t>De-burring</t>
        </is>
      </c>
    </row>
    <row r="485" hidden="1" s="584">
      <c r="A485" t="n">
        <v>48</v>
      </c>
      <c r="B485" t="n">
        <v>1.2</v>
      </c>
      <c r="C485" t="n">
        <v>0.66</v>
      </c>
      <c r="D485" t="n">
        <v>3460498</v>
      </c>
      <c r="E485" t="inlineStr">
        <is>
          <t>TUB-O-N-AUT-AW-FC-48.00X1.200X0.6600</t>
        </is>
      </c>
      <c r="F485" t="inlineStr">
        <is>
          <t>De-burring</t>
        </is>
      </c>
    </row>
    <row r="486" hidden="1" s="584">
      <c r="A486" t="n">
        <v>48</v>
      </c>
      <c r="B486" t="n">
        <v>1.2</v>
      </c>
      <c r="C486" t="n">
        <v>5.01</v>
      </c>
      <c r="D486" t="n">
        <v>2397327</v>
      </c>
      <c r="E486" t="inlineStr">
        <is>
          <t>TUB-O-N-AUT-AW-FC-48.00X1.200X5.0100</t>
        </is>
      </c>
      <c r="F486" t="inlineStr">
        <is>
          <t>De-burring</t>
        </is>
      </c>
    </row>
    <row r="487" hidden="1" s="584">
      <c r="A487" t="n">
        <v>48</v>
      </c>
      <c r="B487" t="n">
        <v>1.6</v>
      </c>
      <c r="C487" t="n">
        <v>0.4</v>
      </c>
      <c r="D487" t="n">
        <v>3863798</v>
      </c>
      <c r="E487" t="inlineStr">
        <is>
          <t>CUT-O-N-AUT-AW-FC-48.00X1.600X0.4000</t>
        </is>
      </c>
      <c r="F487" t="inlineStr">
        <is>
          <t>De-burring</t>
        </is>
      </c>
    </row>
    <row r="488" hidden="1" s="584">
      <c r="A488" t="n">
        <v>48</v>
      </c>
      <c r="B488" t="n">
        <v>1.6</v>
      </c>
      <c r="C488" t="n">
        <v>0.415</v>
      </c>
      <c r="D488" t="n">
        <v>2397071</v>
      </c>
      <c r="E488" t="inlineStr">
        <is>
          <t>TUB-O-N-AUT-AW-FC-48.00X1.600X0.4150</t>
        </is>
      </c>
      <c r="F488" t="inlineStr">
        <is>
          <t>De-burring</t>
        </is>
      </c>
    </row>
    <row r="489" hidden="1" s="584">
      <c r="A489" t="n">
        <v>48</v>
      </c>
      <c r="B489" t="n">
        <v>1.6</v>
      </c>
      <c r="C489" t="n">
        <v>0.465</v>
      </c>
      <c r="D489" t="n">
        <v>2397070</v>
      </c>
      <c r="E489" t="inlineStr">
        <is>
          <t>TUB-O-N-AUT-AW-FC-48.00X1.600X0.4650</t>
        </is>
      </c>
      <c r="F489" t="inlineStr">
        <is>
          <t>De-burring</t>
        </is>
      </c>
    </row>
    <row r="490" hidden="1" s="584">
      <c r="A490" t="n">
        <v>48</v>
      </c>
      <c r="B490" t="n">
        <v>1.6</v>
      </c>
      <c r="C490" t="n">
        <v>0.58</v>
      </c>
      <c r="D490" t="n">
        <v>3863796</v>
      </c>
      <c r="E490" t="inlineStr">
        <is>
          <t>CUT-O-N-AUT-AW-FC-48.00X1.600X0.5800</t>
        </is>
      </c>
      <c r="F490" t="inlineStr">
        <is>
          <t>De-burring</t>
        </is>
      </c>
    </row>
    <row r="491" hidden="1" s="584">
      <c r="A491" t="n">
        <v>48</v>
      </c>
      <c r="B491" t="n">
        <v>1.6</v>
      </c>
      <c r="C491" t="n">
        <v>0.6</v>
      </c>
      <c r="D491" t="n">
        <v>2397069</v>
      </c>
      <c r="E491" t="inlineStr">
        <is>
          <t>TUB-O-N-AUT-AW-FC-48.00X1.600X0.6000</t>
        </is>
      </c>
      <c r="F491" t="inlineStr">
        <is>
          <t>De-burring</t>
        </is>
      </c>
    </row>
    <row r="492" hidden="1" s="584">
      <c r="A492" t="n">
        <v>48</v>
      </c>
      <c r="B492" t="n">
        <v>1.6</v>
      </c>
      <c r="C492" t="n">
        <v>0.65</v>
      </c>
      <c r="D492" t="n">
        <v>2397068</v>
      </c>
      <c r="E492" t="inlineStr">
        <is>
          <t>TUB-O-N-AUT-AW-FC-48.00X1.600X0.6500</t>
        </is>
      </c>
      <c r="F492" t="inlineStr">
        <is>
          <t>De-burring</t>
        </is>
      </c>
    </row>
    <row r="493" hidden="1" s="584">
      <c r="A493" t="n">
        <v>48.6</v>
      </c>
      <c r="B493" t="n">
        <v>1.2</v>
      </c>
      <c r="C493" t="n">
        <v>0.336</v>
      </c>
      <c r="D493" t="n">
        <v>2325421</v>
      </c>
      <c r="E493" t="inlineStr">
        <is>
          <t>TUB-O-N-AUT-AW-FC-48.60X1.200X0.3360</t>
        </is>
      </c>
      <c r="F493" t="inlineStr">
        <is>
          <t>De-burring</t>
        </is>
      </c>
    </row>
    <row r="494" hidden="1" s="584">
      <c r="A494" t="n">
        <v>48.6</v>
      </c>
      <c r="B494" t="n">
        <v>2</v>
      </c>
      <c r="C494" t="n">
        <v>0.31</v>
      </c>
      <c r="D494" t="n">
        <v>2244440</v>
      </c>
      <c r="E494" t="inlineStr">
        <is>
          <t>TUB-O-N-AUT-AW-FC-48.60X2.000X0.3100</t>
        </is>
      </c>
      <c r="F494" t="inlineStr">
        <is>
          <t>De-burring</t>
        </is>
      </c>
    </row>
    <row r="495" hidden="1" s="584">
      <c r="A495" t="n">
        <v>48.6</v>
      </c>
      <c r="B495" t="n">
        <v>2.3</v>
      </c>
      <c r="C495" t="n">
        <v>0.31</v>
      </c>
      <c r="D495" t="n">
        <v>2244441</v>
      </c>
      <c r="E495" t="inlineStr">
        <is>
          <t>TUB-O-N-AUT-AW-FC-48.60X2.300X0.3100</t>
        </is>
      </c>
      <c r="F495" t="inlineStr">
        <is>
          <t>De-burring</t>
        </is>
      </c>
    </row>
    <row r="496" hidden="1" s="584">
      <c r="A496" t="n">
        <v>48.6</v>
      </c>
      <c r="B496" t="n">
        <v>3.4</v>
      </c>
      <c r="C496" t="n">
        <v>0.184</v>
      </c>
      <c r="D496" t="n">
        <v>1940868</v>
      </c>
      <c r="E496" t="inlineStr">
        <is>
          <t>TUB-O-O-AUT-AW-FC-48.60X3.400X0.1840</t>
        </is>
      </c>
      <c r="F496" t="inlineStr">
        <is>
          <t>Chamferring</t>
        </is>
      </c>
    </row>
    <row r="497" hidden="1" s="584">
      <c r="A497" t="n">
        <v>48.6</v>
      </c>
      <c r="B497" t="n">
        <v>3.4</v>
      </c>
      <c r="C497" t="n">
        <v>0.197</v>
      </c>
      <c r="D497" t="n">
        <v>2422184</v>
      </c>
      <c r="E497" t="inlineStr">
        <is>
          <t>TUB-O-N-AUT-AW-FC-48.60X3.400X0.1970</t>
        </is>
      </c>
      <c r="F497" t="inlineStr">
        <is>
          <t>Chamferring</t>
        </is>
      </c>
    </row>
    <row r="498" hidden="1" s="584">
      <c r="A498" t="n">
        <v>48.6</v>
      </c>
      <c r="B498" t="n">
        <v>3.5</v>
      </c>
      <c r="C498" t="n">
        <v>0.185</v>
      </c>
      <c r="D498" t="n">
        <v>3531650</v>
      </c>
      <c r="E498" t="inlineStr">
        <is>
          <t>TUB-O-N-AUT-AW-CH-48.60X3.500X0.1850</t>
        </is>
      </c>
      <c r="F498" t="inlineStr">
        <is>
          <t>Chamferring</t>
        </is>
      </c>
    </row>
    <row r="499" hidden="1" s="584">
      <c r="A499" t="n">
        <v>48.6</v>
      </c>
      <c r="B499" t="n">
        <v>3.5</v>
      </c>
      <c r="C499" t="n">
        <v>0.196</v>
      </c>
      <c r="D499" t="n">
        <v>1568170</v>
      </c>
      <c r="E499" t="inlineStr">
        <is>
          <t>TUB-O-N-AUT-BH-FC-48.60X3.500X0.1960</t>
        </is>
      </c>
      <c r="F499" t="inlineStr">
        <is>
          <t>Chamferring</t>
        </is>
      </c>
    </row>
    <row r="500" hidden="1" s="584">
      <c r="A500" t="n">
        <v>48.6</v>
      </c>
      <c r="B500" t="n">
        <v>3.5</v>
      </c>
      <c r="C500" t="n">
        <v>0.196</v>
      </c>
      <c r="D500" t="n">
        <v>281785</v>
      </c>
      <c r="E500" t="inlineStr">
        <is>
          <t>PT4-O-N-AUT-AW-FC-48.60X3.500X0.196</t>
        </is>
      </c>
      <c r="F500" t="inlineStr">
        <is>
          <t>Chamferring</t>
        </is>
      </c>
    </row>
    <row r="501" hidden="1" s="584">
      <c r="A501" t="n">
        <v>48.6</v>
      </c>
      <c r="B501" t="n">
        <v>4</v>
      </c>
      <c r="C501" t="n">
        <v>0.5649999999999999</v>
      </c>
      <c r="D501" t="n">
        <v>3472304</v>
      </c>
      <c r="E501" t="inlineStr">
        <is>
          <t>TUB-O-N-AUT-AW-FC-48.60X4.000X0.5650</t>
        </is>
      </c>
      <c r="F501" t="inlineStr">
        <is>
          <t>De-burring</t>
        </is>
      </c>
    </row>
    <row r="502" hidden="1" s="584">
      <c r="A502" t="n">
        <v>49</v>
      </c>
      <c r="B502" t="n">
        <v>2</v>
      </c>
      <c r="C502" t="n">
        <v>0.629</v>
      </c>
      <c r="D502" t="n">
        <v>1940871</v>
      </c>
      <c r="E502" t="inlineStr">
        <is>
          <t>TUB-V-AW-AUT-49.00X38.00X2.000X0.6290</t>
        </is>
      </c>
      <c r="F502" t="inlineStr">
        <is>
          <t>De-burring</t>
        </is>
      </c>
    </row>
    <row r="503" hidden="1" s="584">
      <c r="A503" t="n">
        <v>49</v>
      </c>
      <c r="B503" t="n">
        <v>2</v>
      </c>
      <c r="C503" t="n">
        <v>0.633</v>
      </c>
      <c r="D503" t="n">
        <v>1940873</v>
      </c>
      <c r="E503" t="inlineStr">
        <is>
          <t>TUB-V-AW-AUT-49.00X38.00X2.000X0.6330</t>
        </is>
      </c>
      <c r="F503" t="inlineStr">
        <is>
          <t>De-burring</t>
        </is>
      </c>
    </row>
    <row r="504" hidden="1" s="584">
      <c r="A504" t="n">
        <v>50</v>
      </c>
      <c r="B504" t="n">
        <v>1.01</v>
      </c>
      <c r="C504" t="n">
        <v>6</v>
      </c>
      <c r="D504" t="n">
        <v>1931672</v>
      </c>
      <c r="E504" t="inlineStr">
        <is>
          <t>TUB-R-AW-RHS-50.00X25.00X1.010X6.0000</t>
        </is>
      </c>
      <c r="F504" t="inlineStr">
        <is>
          <t>De-burring</t>
        </is>
      </c>
    </row>
    <row r="505" hidden="1" s="584">
      <c r="A505" t="n">
        <v>50</v>
      </c>
      <c r="B505" t="n">
        <v>1.16</v>
      </c>
      <c r="C505" t="n">
        <v>6</v>
      </c>
      <c r="D505" t="n">
        <v>1932090</v>
      </c>
      <c r="E505" t="inlineStr">
        <is>
          <t>TUB-R-AW-RHS-50.00X25.00X1.160X6.0000</t>
        </is>
      </c>
      <c r="F505" t="inlineStr">
        <is>
          <t>De-burring</t>
        </is>
      </c>
    </row>
    <row r="506" hidden="1" s="584">
      <c r="A506" t="n">
        <v>50</v>
      </c>
      <c r="B506" t="n">
        <v>1.16</v>
      </c>
      <c r="C506" t="n">
        <v>6</v>
      </c>
      <c r="D506" t="n">
        <v>3702282</v>
      </c>
      <c r="E506" t="inlineStr">
        <is>
          <t>TUB-R-AW-RHS-50.00X25.00X1.160X6.0000</t>
        </is>
      </c>
      <c r="F506" t="inlineStr">
        <is>
          <t>De-burring</t>
        </is>
      </c>
    </row>
    <row r="507" hidden="1" s="584">
      <c r="A507" t="n">
        <v>50</v>
      </c>
      <c r="B507" t="n">
        <v>1.5</v>
      </c>
      <c r="C507" t="n">
        <v>6</v>
      </c>
      <c r="D507" t="n">
        <v>3702331</v>
      </c>
      <c r="E507" t="inlineStr">
        <is>
          <t>TUB-S-AW-GEN-50.00X50.00X1.500X6.0000</t>
        </is>
      </c>
      <c r="F507" t="inlineStr">
        <is>
          <t>De-burring</t>
        </is>
      </c>
    </row>
    <row r="508" hidden="1" s="584">
      <c r="A508" t="n">
        <v>50</v>
      </c>
      <c r="B508" t="n">
        <v>1.51</v>
      </c>
      <c r="C508" t="n">
        <v>6</v>
      </c>
      <c r="D508" t="n">
        <v>1931891</v>
      </c>
      <c r="E508" t="inlineStr">
        <is>
          <t>TUB-R-AW-RHS-50.00X25.00X1.510X6.0000</t>
        </is>
      </c>
      <c r="F508" t="inlineStr">
        <is>
          <t>De-burring</t>
        </is>
      </c>
    </row>
    <row r="509" hidden="1" s="584">
      <c r="A509" t="n">
        <v>50</v>
      </c>
      <c r="B509" t="n">
        <v>1.6</v>
      </c>
      <c r="C509" t="n">
        <v>0.542</v>
      </c>
      <c r="D509" t="n">
        <v>3191790</v>
      </c>
      <c r="E509" t="inlineStr">
        <is>
          <t>TUB-S-AW-AUT-50.00X50.00X1.600X0.5420</t>
        </is>
      </c>
      <c r="F509" t="inlineStr">
        <is>
          <t>De-burring</t>
        </is>
      </c>
    </row>
    <row r="510" hidden="1" s="584">
      <c r="A510" t="n">
        <v>50</v>
      </c>
      <c r="B510" t="n">
        <v>1.6</v>
      </c>
      <c r="C510" t="n">
        <v>0.597</v>
      </c>
      <c r="D510" t="n">
        <v>3676838</v>
      </c>
      <c r="E510" t="inlineStr">
        <is>
          <t>TUB-R-AW-AUT-50.00X30.00X1.600X0.5970</t>
        </is>
      </c>
      <c r="F510" t="inlineStr">
        <is>
          <t>De-burring</t>
        </is>
      </c>
    </row>
    <row r="511" hidden="1" s="584">
      <c r="A511" t="n">
        <v>50</v>
      </c>
      <c r="B511" t="n">
        <v>1.6</v>
      </c>
      <c r="C511" t="n">
        <v>0.6</v>
      </c>
      <c r="D511" t="n">
        <v>3676839</v>
      </c>
      <c r="E511" t="inlineStr">
        <is>
          <t>TUB-R-AW-AUT-50.00X30.00X1.600X0.6000</t>
        </is>
      </c>
      <c r="F511" t="inlineStr">
        <is>
          <t>De-burring</t>
        </is>
      </c>
    </row>
    <row r="512" hidden="1" s="584">
      <c r="A512" t="n">
        <v>50</v>
      </c>
      <c r="B512" t="n">
        <v>1.6</v>
      </c>
      <c r="C512" t="n">
        <v>0.604</v>
      </c>
      <c r="D512" t="n">
        <v>2427158</v>
      </c>
      <c r="E512" t="inlineStr">
        <is>
          <t>TUB-R-AW-AUT-50.00X30.00X1.600X0.6040</t>
        </is>
      </c>
      <c r="F512" t="inlineStr">
        <is>
          <t>De-burring</t>
        </is>
      </c>
    </row>
    <row r="513" hidden="1" s="584">
      <c r="A513" t="n">
        <v>50</v>
      </c>
      <c r="B513" t="n">
        <v>1.6</v>
      </c>
      <c r="C513" t="n">
        <v>0.607</v>
      </c>
      <c r="D513" t="n">
        <v>3780004</v>
      </c>
      <c r="E513" t="inlineStr">
        <is>
          <t>TUB-R-AW-AUT-50.00X30.00X1.600X0.6070</t>
        </is>
      </c>
      <c r="F513" t="inlineStr">
        <is>
          <t>De-burring</t>
        </is>
      </c>
    </row>
    <row r="514" hidden="1" s="584">
      <c r="A514" t="n">
        <v>50</v>
      </c>
      <c r="B514" t="n">
        <v>1.6</v>
      </c>
      <c r="C514" t="n">
        <v>0.636</v>
      </c>
      <c r="D514" t="n">
        <v>1940879</v>
      </c>
      <c r="E514" t="inlineStr">
        <is>
          <t>TUB-R-AW-RHS-50.00X30.00X1.600X0.6360</t>
        </is>
      </c>
      <c r="F514" t="inlineStr">
        <is>
          <t>De-burring</t>
        </is>
      </c>
    </row>
    <row r="515" hidden="1" s="584">
      <c r="A515" t="n">
        <v>50</v>
      </c>
      <c r="B515" t="n">
        <v>1.6</v>
      </c>
      <c r="C515" t="n">
        <v>0.638</v>
      </c>
      <c r="D515" t="n">
        <v>3780005</v>
      </c>
      <c r="E515" t="inlineStr">
        <is>
          <t>TUB-R-AW-AUT-50.00X30.00X1.600X0.6380</t>
        </is>
      </c>
      <c r="F515" t="inlineStr">
        <is>
          <t>De-burring</t>
        </is>
      </c>
    </row>
    <row r="516" hidden="1" s="584">
      <c r="A516" t="n">
        <v>50</v>
      </c>
      <c r="B516" t="n">
        <v>1.6</v>
      </c>
      <c r="C516" t="n">
        <v>0.847</v>
      </c>
      <c r="D516" t="n">
        <v>468843</v>
      </c>
      <c r="E516" t="inlineStr">
        <is>
          <t>PT3-S-AW-SHS-50.00X50.00X1.600X0.847</t>
        </is>
      </c>
      <c r="F516" t="inlineStr">
        <is>
          <t>De-burring</t>
        </is>
      </c>
    </row>
    <row r="517" hidden="1" s="584">
      <c r="A517" t="n">
        <v>50</v>
      </c>
      <c r="B517" t="n">
        <v>1.6</v>
      </c>
      <c r="C517" t="n">
        <v>0.847</v>
      </c>
      <c r="D517" t="n">
        <v>1938127</v>
      </c>
      <c r="E517" t="inlineStr">
        <is>
          <t>TUB-S-AW-SHS-50.00X50.00X1.600X0.8470</t>
        </is>
      </c>
      <c r="F517" t="inlineStr">
        <is>
          <t>De-burring</t>
        </is>
      </c>
    </row>
    <row r="518" hidden="1" s="584">
      <c r="A518" t="n">
        <v>50</v>
      </c>
      <c r="B518" t="n">
        <v>1.6</v>
      </c>
      <c r="C518" t="n">
        <v>1.1</v>
      </c>
      <c r="D518" t="n">
        <v>2430128</v>
      </c>
      <c r="E518" t="inlineStr">
        <is>
          <t>TUB-R-AW-AUT-50.00X30.00X1.600X1.1000</t>
        </is>
      </c>
      <c r="F518" t="inlineStr">
        <is>
          <t>De-burring</t>
        </is>
      </c>
    </row>
    <row r="519" hidden="1" s="584">
      <c r="A519" t="n">
        <v>50</v>
      </c>
      <c r="B519" t="n">
        <v>2</v>
      </c>
      <c r="C519" t="n">
        <v>0.5649999999999999</v>
      </c>
      <c r="D519" t="n">
        <v>3219709</v>
      </c>
      <c r="E519" t="inlineStr">
        <is>
          <t>TUB-R-AW-AUT-50.00X30.00X2.000X0.5650</t>
        </is>
      </c>
      <c r="F519" t="inlineStr">
        <is>
          <t>De-burring</t>
        </is>
      </c>
    </row>
    <row r="520" hidden="1" s="584">
      <c r="A520" t="n">
        <v>50</v>
      </c>
      <c r="B520" t="n">
        <v>2</v>
      </c>
      <c r="C520" t="n">
        <v>6</v>
      </c>
      <c r="D520" t="n">
        <v>3702456</v>
      </c>
      <c r="E520" t="inlineStr">
        <is>
          <t>TUB-R-AP-AUT-50.00X25.00X2.000X6.0000</t>
        </is>
      </c>
      <c r="F520" t="inlineStr">
        <is>
          <t>De-burring</t>
        </is>
      </c>
    </row>
    <row r="521" hidden="1" s="584">
      <c r="A521" t="n">
        <v>50</v>
      </c>
      <c r="B521" t="n">
        <v>6</v>
      </c>
      <c r="C521" t="n">
        <v>4.775</v>
      </c>
      <c r="D521" t="n">
        <v>3502725</v>
      </c>
      <c r="E521" t="inlineStr">
        <is>
          <t>TUB-O-C-SLT-NR-FC-50.00X6.000X4.775</t>
        </is>
      </c>
      <c r="F521" t="inlineStr">
        <is>
          <t>De-burring</t>
        </is>
      </c>
    </row>
    <row r="522" hidden="1" s="584">
      <c r="A522" t="n">
        <v>50.8</v>
      </c>
      <c r="B522" t="n">
        <v>1.4</v>
      </c>
      <c r="C522" t="n">
        <v>0.739</v>
      </c>
      <c r="D522" t="n">
        <v>3531648</v>
      </c>
      <c r="E522" t="inlineStr">
        <is>
          <t>TUB-O-N-AUT-AW-FC-50.80X1.400X0.7390</t>
        </is>
      </c>
      <c r="F522" t="inlineStr">
        <is>
          <t>De-burring</t>
        </is>
      </c>
    </row>
    <row r="523" hidden="1" s="584">
      <c r="A523" t="n">
        <v>50.8</v>
      </c>
      <c r="B523" t="n">
        <v>1.42</v>
      </c>
      <c r="C523" t="n">
        <v>0.737</v>
      </c>
      <c r="D523" t="n">
        <v>1932730</v>
      </c>
      <c r="E523" t="inlineStr">
        <is>
          <t>TUB-O-N-AUT-AW-FC-50.80X1.420X0.7370</t>
        </is>
      </c>
      <c r="F523" t="inlineStr">
        <is>
          <t>De-burring</t>
        </is>
      </c>
    </row>
    <row r="524" hidden="1" s="584">
      <c r="A524" t="n">
        <v>50.8</v>
      </c>
      <c r="B524" t="n">
        <v>2</v>
      </c>
      <c r="C524" t="n">
        <v>0.733</v>
      </c>
      <c r="D524" t="n">
        <v>2422185</v>
      </c>
      <c r="E524" t="inlineStr">
        <is>
          <t>TUB-O-N-AUT-AW-FC-50.80X2.000X0.7330</t>
        </is>
      </c>
      <c r="F524" t="inlineStr">
        <is>
          <t>De-burring</t>
        </is>
      </c>
    </row>
    <row r="525" hidden="1" s="584">
      <c r="A525" t="n">
        <v>50.8</v>
      </c>
      <c r="B525" t="n">
        <v>2.6</v>
      </c>
      <c r="C525" t="n">
        <v>0.13</v>
      </c>
      <c r="D525" t="n">
        <v>3623581</v>
      </c>
      <c r="E525" t="inlineStr">
        <is>
          <t>TUB-O-N-AUT-AW-FC-50.80X2.600X0.1300</t>
        </is>
      </c>
      <c r="F525" t="inlineStr">
        <is>
          <t>De-burring</t>
        </is>
      </c>
    </row>
    <row r="526" hidden="1" s="584">
      <c r="A526" t="n">
        <v>50.8</v>
      </c>
      <c r="B526" t="n">
        <v>2.6</v>
      </c>
      <c r="C526" t="n">
        <v>0.142</v>
      </c>
      <c r="D526" t="n">
        <v>3784470</v>
      </c>
      <c r="E526" t="inlineStr">
        <is>
          <t>CUT-O-C-AUT-AD-FC-50.80X2.600X0.1420</t>
        </is>
      </c>
      <c r="F526" t="inlineStr">
        <is>
          <t>De-burring</t>
        </is>
      </c>
    </row>
    <row r="527" hidden="1" s="584">
      <c r="A527" t="n">
        <v>50.8</v>
      </c>
      <c r="B527" t="n">
        <v>2.6</v>
      </c>
      <c r="C527" t="n">
        <v>0.142</v>
      </c>
      <c r="D527" t="n">
        <v>1342575</v>
      </c>
      <c r="E527" t="inlineStr">
        <is>
          <t>TUB-O-C-AUT-AD-FC-50.80X2.600X0.1420</t>
        </is>
      </c>
      <c r="F527" t="inlineStr">
        <is>
          <t>De-burring</t>
        </is>
      </c>
    </row>
    <row r="528" hidden="1" s="584">
      <c r="A528" t="n">
        <v>54</v>
      </c>
      <c r="B528" t="n">
        <v>3</v>
      </c>
      <c r="C528" t="n">
        <v>1.14</v>
      </c>
      <c r="D528" t="n">
        <v>3711330</v>
      </c>
      <c r="E528" t="inlineStr">
        <is>
          <t>CUT-O-N-AUT-AW-FC-54.00X3.000X1.1400</t>
        </is>
      </c>
      <c r="F528" t="inlineStr">
        <is>
          <t>De-burring</t>
        </is>
      </c>
    </row>
    <row r="529" hidden="1" s="584">
      <c r="A529" t="n">
        <v>54</v>
      </c>
      <c r="B529" t="n">
        <v>3</v>
      </c>
      <c r="C529" t="n">
        <v>1.14</v>
      </c>
      <c r="D529" t="n">
        <v>2396464</v>
      </c>
      <c r="E529" t="inlineStr">
        <is>
          <t>TUB-O-N-AUT-AN-FC-54.00X3.000X1.1400</t>
        </is>
      </c>
      <c r="F529" t="inlineStr">
        <is>
          <t>De-burring</t>
        </is>
      </c>
    </row>
    <row r="530">
      <c r="A530" t="n">
        <v>57.15</v>
      </c>
      <c r="B530" t="n">
        <v>2</v>
      </c>
      <c r="C530" s="50" t="n">
        <v>0.713</v>
      </c>
      <c r="D530" t="inlineStr">
        <is>
          <t>460176|1940908</t>
        </is>
      </c>
      <c r="E530" t="inlineStr">
        <is>
          <t>PT4-O-N-AUT-NR-AG-57.15X2.000X0.713</t>
        </is>
      </c>
      <c r="F530" t="inlineStr">
        <is>
          <t>Angle Cut</t>
        </is>
      </c>
    </row>
    <row r="531">
      <c r="A531" t="n">
        <v>57.15</v>
      </c>
      <c r="B531" t="n">
        <v>2.3</v>
      </c>
      <c r="C531" s="50" t="n">
        <v>1.365</v>
      </c>
      <c r="D531" t="n">
        <v>3182342</v>
      </c>
      <c r="E531" t="inlineStr">
        <is>
          <t>TUB-O-N-AUT-AW-FC-57.15X2.300X1.3650</t>
        </is>
      </c>
      <c r="F531" t="inlineStr">
        <is>
          <t>Angle Cut</t>
        </is>
      </c>
    </row>
    <row r="532">
      <c r="A532" t="n">
        <v>57.15</v>
      </c>
      <c r="B532" t="n">
        <v>2.5</v>
      </c>
      <c r="C532" s="50" t="n">
        <v>0.326</v>
      </c>
      <c r="D532" t="n">
        <v>3732177</v>
      </c>
      <c r="E532" t="inlineStr">
        <is>
          <t>TUB-O-N-AUT-AW-AG-57.15X2.500X0.3260</t>
        </is>
      </c>
      <c r="F532" t="inlineStr">
        <is>
          <t>Angle Cut</t>
        </is>
      </c>
    </row>
    <row r="533" hidden="1" s="584">
      <c r="A533" t="n">
        <v>57.15</v>
      </c>
      <c r="B533" t="n">
        <v>2.5</v>
      </c>
      <c r="C533" t="n">
        <v>0.375</v>
      </c>
      <c r="D533" t="n">
        <v>2440972</v>
      </c>
      <c r="E533" t="inlineStr">
        <is>
          <t>TUB-O-N-AUT-AW-FC-57.15X2.500X0.3750</t>
        </is>
      </c>
      <c r="F533" t="inlineStr">
        <is>
          <t>De-burring</t>
        </is>
      </c>
    </row>
    <row r="534">
      <c r="A534" t="n">
        <v>57.15</v>
      </c>
      <c r="B534" t="n">
        <v>2.5</v>
      </c>
      <c r="C534" s="50" t="n">
        <v>0.526</v>
      </c>
      <c r="D534" t="n">
        <v>3731697</v>
      </c>
      <c r="E534" t="inlineStr">
        <is>
          <t>CUT-O-N-AUT-AW-AG-57.15X2.500X0.5260</t>
        </is>
      </c>
      <c r="F534" t="inlineStr">
        <is>
          <t>Angle Cut</t>
        </is>
      </c>
    </row>
    <row r="535" hidden="1" s="584">
      <c r="A535" t="n">
        <v>57.15</v>
      </c>
      <c r="B535" t="n">
        <v>2.5</v>
      </c>
      <c r="C535" t="n">
        <v>5.711</v>
      </c>
      <c r="D535" t="n">
        <v>3907863</v>
      </c>
      <c r="E535" t="inlineStr">
        <is>
          <t>TUB-O-N-AUT-AW-FC-57.15X2.500X5.7110</t>
        </is>
      </c>
      <c r="F535" t="inlineStr">
        <is>
          <t>De-burring</t>
        </is>
      </c>
    </row>
    <row r="536" hidden="1" s="584">
      <c r="A536" t="n">
        <v>57.15</v>
      </c>
      <c r="B536" t="n">
        <v>2.5</v>
      </c>
      <c r="C536" t="n">
        <v>6</v>
      </c>
      <c r="D536" t="n">
        <v>3515489</v>
      </c>
      <c r="E536" t="inlineStr">
        <is>
          <t>TUB-O-N-AUT-AP-FC-57.15X2.500X6.0000</t>
        </is>
      </c>
      <c r="F536" t="inlineStr">
        <is>
          <t>De-burring</t>
        </is>
      </c>
    </row>
    <row r="537" hidden="1" s="584">
      <c r="A537" t="n">
        <v>57.15</v>
      </c>
      <c r="B537" t="n">
        <v>2.5</v>
      </c>
      <c r="C537" t="n">
        <v>6.02</v>
      </c>
      <c r="D537" t="n">
        <v>3520439</v>
      </c>
      <c r="E537" t="inlineStr">
        <is>
          <t>TUB-O-N-AUT-HR-FC-57.15X2.500X6.0200</t>
        </is>
      </c>
      <c r="F537" t="inlineStr">
        <is>
          <t>De-burring</t>
        </is>
      </c>
    </row>
    <row r="538" hidden="1" s="584">
      <c r="A538" t="n">
        <v>57.15</v>
      </c>
      <c r="B538" t="n">
        <v>2.5</v>
      </c>
      <c r="C538" t="n">
        <v>6.1</v>
      </c>
      <c r="D538" t="n">
        <v>3910001</v>
      </c>
      <c r="E538" t="inlineStr">
        <is>
          <t>TUB-O-N-AUT-AW-FC-57.15X2.500X6.1000</t>
        </is>
      </c>
      <c r="F538" t="inlineStr">
        <is>
          <t>De-burring</t>
        </is>
      </c>
    </row>
    <row r="539" hidden="1" s="584">
      <c r="A539" t="n">
        <v>57.15</v>
      </c>
      <c r="B539" t="n">
        <v>3</v>
      </c>
      <c r="C539" t="n">
        <v>0.46</v>
      </c>
      <c r="D539" t="n">
        <v>3136139</v>
      </c>
      <c r="E539" t="inlineStr">
        <is>
          <t>TUB-O-N-AUT-AW-FC-57.15X3.000X0.4600</t>
        </is>
      </c>
      <c r="F539" t="inlineStr">
        <is>
          <t>De-burring</t>
        </is>
      </c>
    </row>
    <row r="540" hidden="1" s="584">
      <c r="A540" t="n">
        <v>57.15</v>
      </c>
      <c r="B540" t="n">
        <v>3</v>
      </c>
      <c r="C540" t="n">
        <v>5.65</v>
      </c>
      <c r="D540" t="n">
        <v>3501105</v>
      </c>
      <c r="E540" t="inlineStr">
        <is>
          <t>TUB-O-N-AUT-AW-FC-57.15X3.000X5.65-ERW 1</t>
        </is>
      </c>
      <c r="F540" t="inlineStr">
        <is>
          <t>De-burring</t>
        </is>
      </c>
    </row>
    <row r="541" hidden="1" s="584">
      <c r="A541" t="n">
        <v>59</v>
      </c>
      <c r="B541" t="n">
        <v>1.6</v>
      </c>
      <c r="C541" t="n">
        <v>0.571</v>
      </c>
      <c r="D541" t="n">
        <v>3781648</v>
      </c>
      <c r="E541" t="inlineStr">
        <is>
          <t>TUB-E-AW-AUT-59.00X30.00X1.600X0.5710</t>
        </is>
      </c>
      <c r="F541" t="inlineStr">
        <is>
          <t>De-burring</t>
        </is>
      </c>
    </row>
    <row r="542" hidden="1" s="584">
      <c r="A542" t="n">
        <v>59</v>
      </c>
      <c r="B542" t="n">
        <v>1.6</v>
      </c>
      <c r="C542" t="n">
        <v>0.573</v>
      </c>
      <c r="D542" t="n">
        <v>2420716</v>
      </c>
      <c r="E542" t="inlineStr">
        <is>
          <t>TUB-E-AW-AUT-59.00X30.00X1.600X0.5725</t>
        </is>
      </c>
      <c r="F542" t="inlineStr">
        <is>
          <t>De-burring</t>
        </is>
      </c>
    </row>
    <row r="543" hidden="1" s="584">
      <c r="A543" t="n">
        <v>59</v>
      </c>
      <c r="B543" t="n">
        <v>1.6</v>
      </c>
      <c r="C543" t="n">
        <v>0.641</v>
      </c>
      <c r="D543" t="n">
        <v>3781649</v>
      </c>
      <c r="E543" t="inlineStr">
        <is>
          <t>TUB-E-AW-AUT-59.00X30.00X1.600X0.6410</t>
        </is>
      </c>
      <c r="F543" t="inlineStr">
        <is>
          <t>De-burring</t>
        </is>
      </c>
    </row>
    <row r="544" hidden="1" s="584">
      <c r="A544" t="n">
        <v>59</v>
      </c>
      <c r="B544" t="n">
        <v>1.6</v>
      </c>
      <c r="C544" t="n">
        <v>0.645</v>
      </c>
      <c r="D544" t="n">
        <v>2256692</v>
      </c>
      <c r="E544" t="inlineStr">
        <is>
          <t>TUB-E-HR-AUT-59.00X30.00X1.600X0.6450</t>
        </is>
      </c>
      <c r="F544" t="inlineStr">
        <is>
          <t>De-burring</t>
        </is>
      </c>
    </row>
    <row r="545" hidden="1" s="584">
      <c r="A545" t="n">
        <v>60</v>
      </c>
      <c r="B545" t="n">
        <v>1.2</v>
      </c>
      <c r="C545" t="n">
        <v>6</v>
      </c>
      <c r="D545" t="n">
        <v>3702372</v>
      </c>
      <c r="E545" t="inlineStr">
        <is>
          <t>TUB-R-AW-GEN-60.00X40.00X1.200X6.0000</t>
        </is>
      </c>
      <c r="F545" t="inlineStr">
        <is>
          <t>De-burring</t>
        </is>
      </c>
    </row>
    <row r="546" hidden="1" s="584">
      <c r="A546" t="n">
        <v>60.3</v>
      </c>
      <c r="B546" t="n">
        <v>2</v>
      </c>
      <c r="C546" t="n">
        <v>0.525</v>
      </c>
      <c r="D546" t="n">
        <v>3768903</v>
      </c>
      <c r="E546" t="inlineStr">
        <is>
          <t>CUT-O-N-AUT-AW-FC-60.30X2.000X0.5250</t>
        </is>
      </c>
      <c r="F546" t="inlineStr">
        <is>
          <t>De-burring</t>
        </is>
      </c>
    </row>
    <row r="547" hidden="1" s="584">
      <c r="A547" t="n">
        <v>63.5</v>
      </c>
      <c r="B547" t="n">
        <v>3.66</v>
      </c>
      <c r="C547" t="n">
        <v>3.75</v>
      </c>
      <c r="D547" t="n">
        <v>3498966</v>
      </c>
      <c r="E547" t="inlineStr">
        <is>
          <t>TUB-O-N-BOT-NR-FC-63.50X3.660X3.750</t>
        </is>
      </c>
      <c r="F547" t="inlineStr">
        <is>
          <t>De-burring</t>
        </is>
      </c>
    </row>
    <row r="548" hidden="1" s="584">
      <c r="A548" t="n">
        <v>63.5</v>
      </c>
      <c r="B548" t="n">
        <v>3.66</v>
      </c>
      <c r="C548" t="n">
        <v>4</v>
      </c>
      <c r="D548" t="n">
        <v>3499247</v>
      </c>
      <c r="E548" t="inlineStr">
        <is>
          <t>TUB-O-N-BOT-NR-FC-63.50X3.660X4.000</t>
        </is>
      </c>
      <c r="F548" t="inlineStr">
        <is>
          <t>De-burring</t>
        </is>
      </c>
    </row>
    <row r="549" hidden="1" s="584">
      <c r="A549" t="n">
        <v>63.5</v>
      </c>
      <c r="B549" t="n">
        <v>3.66</v>
      </c>
      <c r="C549" t="n">
        <v>5</v>
      </c>
      <c r="D549" t="n">
        <v>3499180</v>
      </c>
      <c r="E549" t="inlineStr">
        <is>
          <t>TUB-O-N-BOT-NR-FC-63.50X3.660X5.000</t>
        </is>
      </c>
      <c r="F549" t="inlineStr">
        <is>
          <t>De-burring</t>
        </is>
      </c>
    </row>
    <row r="550" hidden="1" s="584">
      <c r="A550" t="n">
        <v>63.5</v>
      </c>
      <c r="B550" t="n">
        <v>3.66</v>
      </c>
      <c r="C550" t="n">
        <v>6.1</v>
      </c>
      <c r="D550" t="n">
        <v>3498881</v>
      </c>
      <c r="E550" t="inlineStr">
        <is>
          <t>TUB-O-N-BOT-NR-FC-63.50X3.660X6.100</t>
        </is>
      </c>
      <c r="F550" t="inlineStr">
        <is>
          <t>De-burring</t>
        </is>
      </c>
    </row>
    <row r="551" hidden="1" s="584">
      <c r="A551" t="n">
        <v>63.5</v>
      </c>
      <c r="B551" t="n">
        <v>4</v>
      </c>
      <c r="C551" t="n">
        <v>0.234</v>
      </c>
      <c r="D551" t="n">
        <v>3746291</v>
      </c>
      <c r="E551" t="inlineStr">
        <is>
          <t>CUT-O-N-AUT-BH-FC-63.50X4.000X0.2340</t>
        </is>
      </c>
      <c r="F551" t="inlineStr">
        <is>
          <t>De-burring</t>
        </is>
      </c>
    </row>
    <row r="552" hidden="1" s="584">
      <c r="A552" t="n">
        <v>63.5</v>
      </c>
      <c r="B552" t="n">
        <v>4</v>
      </c>
      <c r="C552" t="n">
        <v>0.236</v>
      </c>
      <c r="D552" t="n">
        <v>1470103</v>
      </c>
      <c r="E552" t="inlineStr">
        <is>
          <t>TUB-O-N-AUT-BH-FC-63.50X4.000X0.2360</t>
        </is>
      </c>
      <c r="F552" t="inlineStr">
        <is>
          <t>De-burring</t>
        </is>
      </c>
    </row>
    <row r="553" hidden="1" s="584">
      <c r="A553" t="n">
        <v>63.5</v>
      </c>
      <c r="B553" t="n">
        <v>4</v>
      </c>
      <c r="C553" t="n">
        <v>0.265</v>
      </c>
      <c r="D553" t="n">
        <v>3775122</v>
      </c>
      <c r="E553" t="inlineStr">
        <is>
          <t>CUT-O-N-AUT-BH-FC-63.50X4.000X0.2650</t>
        </is>
      </c>
      <c r="F553" t="inlineStr">
        <is>
          <t>De-burring</t>
        </is>
      </c>
    </row>
    <row r="554" hidden="1" s="584">
      <c r="A554" t="n">
        <v>65</v>
      </c>
      <c r="B554" t="n">
        <v>3.6</v>
      </c>
      <c r="C554" t="n">
        <v>6</v>
      </c>
      <c r="D554" t="n">
        <v>3504887</v>
      </c>
      <c r="E554" t="inlineStr">
        <is>
          <t>TUB-N-N-STU-BU-PE-65 X 3.6 X 6 - 310</t>
        </is>
      </c>
      <c r="F554" t="inlineStr">
        <is>
          <t>De-burring</t>
        </is>
      </c>
    </row>
    <row r="555" hidden="1" s="584">
      <c r="A555" t="n">
        <v>67</v>
      </c>
      <c r="B555" t="n">
        <v>1.2</v>
      </c>
      <c r="C555" t="n">
        <v>5.5</v>
      </c>
      <c r="D555" t="n">
        <v>3770405</v>
      </c>
      <c r="E555" t="inlineStr">
        <is>
          <t>TUB-O-C-AUT-AD-FC-67.00X1.20X5.500-HDPE</t>
        </is>
      </c>
      <c r="F555" t="inlineStr">
        <is>
          <t>De-burring</t>
        </is>
      </c>
    </row>
    <row r="556">
      <c r="A556" t="n">
        <v>70</v>
      </c>
      <c r="B556" t="n">
        <v>3.2</v>
      </c>
      <c r="C556" s="50" t="n">
        <v>0.49</v>
      </c>
      <c r="D556" t="n">
        <v>424601</v>
      </c>
      <c r="E556" t="inlineStr">
        <is>
          <t>TUB-O-N-AUT-AN-AG-70.00X3.200X0.490 HST</t>
        </is>
      </c>
      <c r="F556" t="inlineStr">
        <is>
          <t>Angle Cut</t>
        </is>
      </c>
    </row>
    <row r="557">
      <c r="A557" t="n">
        <v>70</v>
      </c>
      <c r="B557" t="n">
        <v>3.2</v>
      </c>
      <c r="C557" t="n">
        <v>0.512</v>
      </c>
      <c r="D557" t="inlineStr">
        <is>
          <t>3801263|3768903</t>
        </is>
      </c>
      <c r="E557" t="inlineStr">
        <is>
          <t>CUT-N-AUT-AN-FC-70.00X3.200X0.5120</t>
        </is>
      </c>
      <c r="F557" t="inlineStr">
        <is>
          <t>Angle Cut</t>
        </is>
      </c>
    </row>
    <row r="558" hidden="1" s="584">
      <c r="A558" t="n">
        <v>88.90000000000001</v>
      </c>
      <c r="B558" t="n">
        <v>3.2</v>
      </c>
      <c r="C558" t="n">
        <v>6</v>
      </c>
      <c r="D558" t="inlineStr">
        <is>
          <t>000000000003702274</t>
        </is>
      </c>
      <c r="E558" t="inlineStr">
        <is>
          <t>TUB-O-N-GEN-AW-FC-88.90X3.200X6.0000</t>
        </is>
      </c>
      <c r="F558" t="inlineStr">
        <is>
          <t>De-burring</t>
        </is>
      </c>
    </row>
    <row r="559" hidden="1" s="584">
      <c r="A559" t="n">
        <v>88.90000000000001</v>
      </c>
      <c r="B559" t="n">
        <v>4.5</v>
      </c>
      <c r="C559" t="n">
        <v>6</v>
      </c>
      <c r="D559" t="inlineStr">
        <is>
          <t>000000000003702251</t>
        </is>
      </c>
      <c r="E559" t="inlineStr">
        <is>
          <t>TUB-O-N-GEN-AW-FC-88.90X4.500X6.0000</t>
        </is>
      </c>
      <c r="F559" t="inlineStr">
        <is>
          <t>De-burring</t>
        </is>
      </c>
    </row>
    <row r="560" hidden="1" s="584">
      <c r="A560" t="n">
        <v>96</v>
      </c>
      <c r="B560" t="n">
        <v>3.6</v>
      </c>
      <c r="C560" t="n">
        <v>6</v>
      </c>
      <c r="D560" t="inlineStr">
        <is>
          <t>000000000003504753</t>
        </is>
      </c>
      <c r="E560" t="inlineStr">
        <is>
          <t>TUB-R-BU-RHS-96.00X48.00X3.600X6.00-210</t>
        </is>
      </c>
      <c r="F560" t="inlineStr">
        <is>
          <t>De-burring</t>
        </is>
      </c>
    </row>
    <row r="561" hidden="1" s="584">
      <c r="A561" t="n">
        <v>96</v>
      </c>
      <c r="B561" t="n">
        <v>3.6</v>
      </c>
      <c r="C561" t="n">
        <v>6</v>
      </c>
      <c r="D561" t="inlineStr">
        <is>
          <t>000000000003503970</t>
        </is>
      </c>
      <c r="E561" t="inlineStr">
        <is>
          <t>TUB-R-BU-RHS-96.00X48.00X3.60X6.000-310</t>
        </is>
      </c>
      <c r="F561" t="inlineStr">
        <is>
          <t>De-burring</t>
        </is>
      </c>
    </row>
    <row r="562" hidden="1" s="584">
      <c r="A562" t="n">
        <v>100</v>
      </c>
      <c r="B562" t="n">
        <v>2.5</v>
      </c>
      <c r="C562" t="n">
        <v>6</v>
      </c>
      <c r="D562" t="inlineStr">
        <is>
          <t>000000000003505208</t>
        </is>
      </c>
      <c r="E562" t="inlineStr">
        <is>
          <t>TUB-S-BL-SHS-100.00X100.00X2.50X6.00 310</t>
        </is>
      </c>
      <c r="F562" t="inlineStr">
        <is>
          <t>De-burring</t>
        </is>
      </c>
    </row>
    <row r="563" hidden="1" s="584">
      <c r="A563" t="n">
        <v>101.6</v>
      </c>
      <c r="B563" t="n">
        <v>3.2</v>
      </c>
      <c r="C563" t="n">
        <v>6</v>
      </c>
      <c r="D563" t="inlineStr">
        <is>
          <t>000000000003702252</t>
        </is>
      </c>
      <c r="E563" t="inlineStr">
        <is>
          <t>TUB-O-N-GEN-AW-FC-101.60X3.200X6.0000</t>
        </is>
      </c>
      <c r="F563" t="inlineStr">
        <is>
          <t>De-burring</t>
        </is>
      </c>
    </row>
    <row r="564" hidden="1" s="584">
      <c r="A564" t="n">
        <v>113.5</v>
      </c>
      <c r="B564" t="n">
        <v>4.5</v>
      </c>
      <c r="C564" t="n">
        <v>6</v>
      </c>
      <c r="D564" t="inlineStr">
        <is>
          <t>000000000003504024</t>
        </is>
      </c>
      <c r="E564" t="inlineStr">
        <is>
          <t>TUB-S-BU-SHS-113.50X113.50X4.50X6.00-310</t>
        </is>
      </c>
      <c r="F564" t="inlineStr">
        <is>
          <t>De-burring</t>
        </is>
      </c>
    </row>
    <row r="565" hidden="1" s="584">
      <c r="A565" t="n">
        <v>114.3</v>
      </c>
      <c r="B565" t="n">
        <v>3.2</v>
      </c>
      <c r="C565" t="n">
        <v>6</v>
      </c>
      <c r="D565" t="inlineStr">
        <is>
          <t>000000000003702253</t>
        </is>
      </c>
      <c r="E565" t="inlineStr">
        <is>
          <t>TUB-O-N-GEN-AW-FC-114.30X3.200X6.0000</t>
        </is>
      </c>
      <c r="F565" t="inlineStr">
        <is>
          <t>De-burring</t>
        </is>
      </c>
    </row>
    <row r="566" hidden="1" s="584">
      <c r="A566" t="n">
        <v>122</v>
      </c>
      <c r="B566" t="n">
        <v>3.6</v>
      </c>
      <c r="C566" t="n">
        <v>6</v>
      </c>
      <c r="D566" t="inlineStr">
        <is>
          <t>000000000003693901</t>
        </is>
      </c>
      <c r="E566" t="inlineStr">
        <is>
          <t>TUB-R-BU-RHS-122.00X61.00X3.60X6.000-240</t>
        </is>
      </c>
      <c r="F566" t="inlineStr">
        <is>
          <t>De-burring</t>
        </is>
      </c>
    </row>
    <row r="567" hidden="1" s="584">
      <c r="A567" t="n">
        <v>132</v>
      </c>
      <c r="B567" t="n">
        <v>3.6</v>
      </c>
      <c r="C567" t="n">
        <v>6</v>
      </c>
      <c r="D567" t="inlineStr">
        <is>
          <t>000000000003503188</t>
        </is>
      </c>
      <c r="E567" t="inlineStr">
        <is>
          <t>TUB-S-BU-SHS-132.00X132.00X3.60X6.00-210</t>
        </is>
      </c>
      <c r="F567" t="inlineStr">
        <is>
          <t>De-burring</t>
        </is>
      </c>
    </row>
    <row r="568" hidden="1" s="584">
      <c r="A568" t="n">
        <v>145</v>
      </c>
      <c r="B568" t="n">
        <v>2.9</v>
      </c>
      <c r="C568" t="n">
        <v>6</v>
      </c>
      <c r="D568" t="inlineStr">
        <is>
          <t>000000000003504369</t>
        </is>
      </c>
      <c r="E568" t="inlineStr">
        <is>
          <t>TUB-R-BU-RHS-145.00X82.00X2.900X6.00-310</t>
        </is>
      </c>
      <c r="F568" t="inlineStr">
        <is>
          <t>De-burring</t>
        </is>
      </c>
    </row>
    <row r="569" hidden="1" s="584">
      <c r="A569" t="n">
        <v>145</v>
      </c>
      <c r="B569" t="n">
        <v>3.2</v>
      </c>
      <c r="C569" t="n">
        <v>6</v>
      </c>
      <c r="D569" t="inlineStr">
        <is>
          <t>000000000003505295</t>
        </is>
      </c>
      <c r="E569" t="inlineStr">
        <is>
          <t>TUB-R-BU-RHS-145.00X82.00X3.200X6.00-310</t>
        </is>
      </c>
      <c r="F569" t="inlineStr">
        <is>
          <t>De-burring</t>
        </is>
      </c>
    </row>
    <row r="570" hidden="1" s="584">
      <c r="A570" t="n">
        <v>150</v>
      </c>
      <c r="B570" t="n">
        <v>6</v>
      </c>
      <c r="C570" t="n">
        <v>6</v>
      </c>
      <c r="D570" t="inlineStr">
        <is>
          <t>000000000003509371</t>
        </is>
      </c>
      <c r="E570" t="inlineStr">
        <is>
          <t>TUB-S-BU-SHS-150.00X150.00X6.000X6.0-210</t>
        </is>
      </c>
      <c r="F570" t="inlineStr">
        <is>
          <t>De-burring</t>
        </is>
      </c>
    </row>
    <row r="571">
      <c r="A571" t="n">
        <v>50.8</v>
      </c>
      <c r="B571" t="n">
        <v>1.6</v>
      </c>
      <c r="C571" s="50" t="n">
        <v>0.385</v>
      </c>
      <c r="D571" t="n">
        <v>2353927</v>
      </c>
      <c r="F571" t="inlineStr">
        <is>
          <t>Angle Cut</t>
        </is>
      </c>
    </row>
    <row r="572">
      <c r="A572" t="n">
        <v>57.15</v>
      </c>
      <c r="B572" t="n">
        <v>2.5</v>
      </c>
      <c r="C572" s="50" t="n">
        <v>0.772</v>
      </c>
      <c r="D572" t="inlineStr">
        <is>
          <t>1940911 | 114860</t>
        </is>
      </c>
      <c r="F572" t="inlineStr">
        <is>
          <t>Angle Cut</t>
        </is>
      </c>
    </row>
    <row r="573">
      <c r="A573" t="n">
        <v>60.3</v>
      </c>
      <c r="B573" t="n">
        <v>2</v>
      </c>
      <c r="C573" s="50" t="n">
        <v>0.493</v>
      </c>
      <c r="D573" t="n">
        <v>3662752</v>
      </c>
      <c r="F573" t="inlineStr">
        <is>
          <t>Angle Cut</t>
        </is>
      </c>
    </row>
    <row r="574">
      <c r="A574" t="n">
        <v>60.3</v>
      </c>
      <c r="B574" t="n">
        <v>2</v>
      </c>
      <c r="C574" s="50" t="n">
        <v>0.525</v>
      </c>
      <c r="D574" t="n">
        <v>3768903</v>
      </c>
      <c r="F574" t="inlineStr">
        <is>
          <t>Angle Cut</t>
        </is>
      </c>
    </row>
    <row r="575">
      <c r="A575" t="n">
        <v>19.05</v>
      </c>
      <c r="B575" t="n">
        <v>1.6</v>
      </c>
      <c r="C575" s="50" t="n">
        <v>394</v>
      </c>
      <c r="D575" t="n">
        <v>3122347</v>
      </c>
      <c r="E575" t="inlineStr">
        <is>
          <t>TUB-O-N-AUT-AW-PE-19.05X1.600X0.3940(HSST)</t>
        </is>
      </c>
      <c r="F575" t="inlineStr">
        <is>
          <t>Angle Cut</t>
        </is>
      </c>
    </row>
    <row r="576">
      <c r="A576" t="n">
        <v>19.05</v>
      </c>
      <c r="B576" t="n">
        <v>1.6</v>
      </c>
      <c r="C576" s="50" t="n">
        <v>775</v>
      </c>
      <c r="D576" t="n">
        <v>2425969</v>
      </c>
      <c r="E576" t="inlineStr">
        <is>
          <t>TUB-O-N-AUT-AW-FC-19.05X1.600X0.7750</t>
        </is>
      </c>
      <c r="F576" t="inlineStr">
        <is>
          <t>Angle Cut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codeName="Sheet16">
    <outlinePr summaryBelow="1" summaryRight="1"/>
    <pageSetUpPr fitToPage="1"/>
  </sheetPr>
  <dimension ref="A1:BE197"/>
  <sheetViews>
    <sheetView view="pageBreakPreview" topLeftCell="AH83" zoomScale="80" zoomScaleNormal="100" zoomScaleSheetLayoutView="80" workbookViewId="0">
      <selection activeCell="A4" sqref="A4"/>
    </sheetView>
  </sheetViews>
  <sheetFormatPr baseColWidth="8" defaultRowHeight="15"/>
  <cols>
    <col width="54.42578125" bestFit="1" customWidth="1" style="584" min="1" max="1"/>
    <col width="9.5703125" bestFit="1" customWidth="1" style="584" min="7" max="7"/>
    <col width="9.5703125" customWidth="1" style="584" min="8" max="9"/>
    <col width="7.28515625" customWidth="1" style="584" min="10" max="13"/>
    <col width="14" bestFit="1" customWidth="1" style="584" min="14" max="14"/>
    <col width="14" customWidth="1" style="584" min="15" max="15"/>
    <col width="31.140625" bestFit="1" customWidth="1" style="584" min="16" max="16"/>
    <col width="12.42578125" customWidth="1" style="584" min="17" max="17"/>
    <col width="8.42578125" customWidth="1" style="584" min="18" max="24"/>
    <col width="42.85546875" customWidth="1" style="584" min="25" max="25"/>
    <col hidden="1" outlineLevel="1" width="9.140625" customWidth="1" style="584" min="26" max="31"/>
    <col collapsed="1" width="32.7109375" bestFit="1" customWidth="1" style="584" min="32" max="32"/>
    <col width="32.7109375" customWidth="1" style="584" min="33" max="33"/>
  </cols>
  <sheetData>
    <row r="1">
      <c r="A1" t="inlineStr">
        <is>
          <t>Buckets not in paster rm tracker but are in RM tracker</t>
        </is>
      </c>
      <c r="C1" t="inlineStr">
        <is>
          <t>Buckets not in RM tracker but are in paster rm tracker</t>
        </is>
      </c>
      <c r="J1" s="98" t="inlineStr">
        <is>
          <t>ACTUAL OD</t>
        </is>
      </c>
      <c r="K1" s="99" t="inlineStr">
        <is>
          <t>OD</t>
        </is>
      </c>
      <c r="L1" s="99" t="inlineStr">
        <is>
          <t>ID</t>
        </is>
      </c>
      <c r="M1" s="99" t="inlineStr">
        <is>
          <t>TICKNESS</t>
        </is>
      </c>
      <c r="N1" s="99" t="inlineStr">
        <is>
          <t>GRADE</t>
        </is>
      </c>
      <c r="O1" s="99" t="inlineStr">
        <is>
          <t>FC/NFC</t>
        </is>
      </c>
      <c r="P1" s="99" t="inlineStr">
        <is>
          <t>Bucket</t>
        </is>
      </c>
      <c r="Q1" s="99" t="inlineStr">
        <is>
          <t>Plant</t>
        </is>
      </c>
      <c r="R1" s="99" t="inlineStr">
        <is>
          <t>Requirement</t>
        </is>
      </c>
      <c r="S1" s="99" t="inlineStr">
        <is>
          <t>Sales</t>
        </is>
      </c>
      <c r="T1" s="99" t="inlineStr">
        <is>
          <t>Stock CTL</t>
        </is>
      </c>
      <c r="U1" s="99" t="inlineStr">
        <is>
          <t>Stock LL</t>
        </is>
      </c>
      <c r="V1" s="99" t="inlineStr">
        <is>
          <t>WIP</t>
        </is>
      </c>
      <c r="W1" s="99" t="inlineStr">
        <is>
          <t>Total Stock</t>
        </is>
      </c>
      <c r="X1" s="99" t="inlineStr">
        <is>
          <t>GAP</t>
        </is>
      </c>
      <c r="Y1" s="99" t="inlineStr">
        <is>
          <t>Remark</t>
        </is>
      </c>
      <c r="Z1" s="99" t="inlineStr">
        <is>
          <t>ACTUAL OD2</t>
        </is>
      </c>
      <c r="AA1" s="99" t="inlineStr">
        <is>
          <t>OD3</t>
        </is>
      </c>
      <c r="AB1" s="99" t="inlineStr">
        <is>
          <t>ID4</t>
        </is>
      </c>
      <c r="AC1" s="99" t="inlineStr">
        <is>
          <t>TICKNESS5</t>
        </is>
      </c>
      <c r="AD1" s="99" t="inlineStr">
        <is>
          <t>GRADE6</t>
        </is>
      </c>
      <c r="AE1" s="99" t="inlineStr">
        <is>
          <t>FC/NFC7</t>
        </is>
      </c>
      <c r="AF1" s="99" t="inlineStr">
        <is>
          <t>Bucket8</t>
        </is>
      </c>
      <c r="AG1" s="99" t="inlineStr">
        <is>
          <t>Bucket9</t>
        </is>
      </c>
      <c r="AH1" s="99" t="inlineStr">
        <is>
          <t>Balaji press product</t>
        </is>
      </c>
      <c r="AI1" s="99" t="inlineStr">
        <is>
          <t>ELKAYEM AUTO</t>
        </is>
      </c>
      <c r="AJ1" s="99" t="inlineStr">
        <is>
          <t xml:space="preserve">ELKAYEM AUTO MYSORE </t>
        </is>
      </c>
      <c r="AK1" s="99" t="inlineStr">
        <is>
          <t>KAY JAY</t>
        </is>
      </c>
      <c r="AL1" s="99" t="inlineStr">
        <is>
          <t>Marathwada</t>
        </is>
      </c>
      <c r="AM1" s="99" t="inlineStr">
        <is>
          <t>Metalman</t>
        </is>
      </c>
      <c r="AN1" s="99" t="inlineStr">
        <is>
          <t>Narasipur Auto Component(P)Ltd</t>
        </is>
      </c>
      <c r="AO1" s="99" t="inlineStr">
        <is>
          <t>NMPL (HUB)</t>
        </is>
      </c>
      <c r="AP1" s="99" t="inlineStr">
        <is>
          <t>NMPL 1</t>
        </is>
      </c>
      <c r="AQ1" s="99" t="inlineStr">
        <is>
          <t xml:space="preserve">Rajsriya Mysore </t>
        </is>
      </c>
      <c r="AR1" s="99" t="inlineStr">
        <is>
          <t>Rajsriya Unit 1</t>
        </is>
      </c>
      <c r="AS1" s="99" t="inlineStr">
        <is>
          <t>Rajsriya Unit 2</t>
        </is>
      </c>
      <c r="AT1" s="99" t="inlineStr">
        <is>
          <t>Rajsriya Unit 4</t>
        </is>
      </c>
      <c r="AU1" s="99" t="inlineStr">
        <is>
          <t>Rajsriya Unit 5</t>
        </is>
      </c>
      <c r="AV1" s="99" t="inlineStr">
        <is>
          <t>Rajsriya Unit 8</t>
        </is>
      </c>
      <c r="AW1" s="99" t="inlineStr">
        <is>
          <t>Sandhar Automach</t>
        </is>
      </c>
      <c r="AX1" s="99" t="inlineStr">
        <is>
          <t xml:space="preserve">Sandhar Engg Mysore </t>
        </is>
      </c>
      <c r="AY1" s="99" t="inlineStr">
        <is>
          <t>SANDHAR ENGINEERING PVT LTD.</t>
        </is>
      </c>
      <c r="AZ1" s="99" t="inlineStr">
        <is>
          <t>SRIKAM HITECH</t>
        </is>
      </c>
      <c r="BA1" s="99" t="inlineStr">
        <is>
          <t>TVS MOTOR COMPANY LIMITED</t>
        </is>
      </c>
      <c r="BB1" s="99" t="inlineStr">
        <is>
          <t>SRI BALAJI GEARS V4</t>
        </is>
      </c>
      <c r="BC1" s="99" t="inlineStr">
        <is>
          <t>SRI BALAJI GEARS V3</t>
        </is>
      </c>
      <c r="BD1" s="99" t="inlineStr">
        <is>
          <t>Laxmi</t>
        </is>
      </c>
      <c r="BE1" s="99" t="inlineStr">
        <is>
          <t>Grand Total</t>
        </is>
      </c>
    </row>
    <row r="2">
      <c r="A2" s="136">
        <f t="array" ref="A2:A52">_xlfn._xlws.FILTER('RM Tracker'!$G$5:$G$106,ISNA(_xlfn.XMATCH('RM Tracker'!$G$5:$G$106,Table11[Bucket])))</f>
        <v/>
      </c>
      <c r="B2" s="136" t="n"/>
      <c r="C2">
        <f t="array" ref="C2:C52">_xlfn._xlws.FILTER(Table11[Bucket],ISNA(_xlfn.XMATCH(Table11[Bucket],'RM Tracker'!G5:G104)))</f>
        <v/>
      </c>
      <c r="D2" s="136" t="n"/>
      <c r="G2" s="43" t="n"/>
      <c r="H2" s="43" t="n"/>
      <c r="I2" s="43" t="n"/>
      <c r="J2" s="91" t="n">
        <v>12.7</v>
      </c>
      <c r="K2" s="15" t="n">
        <v>12.7</v>
      </c>
      <c r="L2" s="15" t="n">
        <v>0</v>
      </c>
      <c r="M2" s="15" t="n">
        <v>1.2</v>
      </c>
      <c r="N2" s="15" t="inlineStr">
        <is>
          <t>ERW 1</t>
        </is>
      </c>
      <c r="O2" s="15" t="inlineStr">
        <is>
          <t>PE</t>
        </is>
      </c>
      <c r="P2" s="15" t="inlineStr">
        <is>
          <t>12.7-0-1.2-ERW 1-PE</t>
        </is>
      </c>
      <c r="Q2" s="92" t="inlineStr">
        <is>
          <t>Hosur</t>
        </is>
      </c>
      <c r="R2" s="607">
        <f>Table11[[#This Row],[Grand Total]]</f>
        <v/>
      </c>
      <c r="S2" s="93">
        <f>VLOOKUP(Table11[[#This Row],[Bucket]],salesforecast[[#All],[Bucket2]:[WIP]],3,0)</f>
        <v/>
      </c>
      <c r="T2" s="93">
        <f>VLOOKUP(Table11[[#This Row],[Bucket]],salesforecast[[#All],[Bucket2]:[WIP]],4,0)</f>
        <v/>
      </c>
      <c r="U2" s="93">
        <f>VLOOKUP(Table11[[#This Row],[Bucket]],salesforecast[[#All],[Bucket2]:[WIP]],5,0)</f>
        <v/>
      </c>
      <c r="V2" s="93">
        <f>VLOOKUP(Table11[[#This Row],[Bucket]],salesforecast[[#All],[Bucket2]:[WIP]],7,0)</f>
        <v/>
      </c>
      <c r="W2" s="93">
        <f>Table11[[#This Row],[Stock LL]]+Table11[[#This Row],[WIP]]+Table11[[#This Row],[Stock CTL]]</f>
        <v/>
      </c>
      <c r="X2" s="93">
        <f>IF((Table11[[#This Row],[Requirement]]-Table11[[#This Row],[Sales]]-Table11[[#This Row],[Total Stock]])&lt;0,0,Table11[[#This Row],[Requirement]]-Table11[[#This Row],[Sales]]-Table11[[#This Row],[Total Stock]])</f>
        <v/>
      </c>
      <c r="Y2" s="96" t="n"/>
      <c r="Z2" s="93" t="n">
        <v>12.7</v>
      </c>
      <c r="AA2" s="93" t="n">
        <v>12.7</v>
      </c>
      <c r="AB2" s="93" t="n">
        <v>0</v>
      </c>
      <c r="AC2" s="93" t="n">
        <v>1.2</v>
      </c>
      <c r="AD2" s="93" t="inlineStr">
        <is>
          <t>ERW 1</t>
        </is>
      </c>
      <c r="AE2" s="93" t="inlineStr">
        <is>
          <t>PE</t>
        </is>
      </c>
      <c r="AF2" s="93" t="inlineStr">
        <is>
          <t>12.7-0-1.2-ERW 1-PE</t>
        </is>
      </c>
      <c r="AG2" s="93">
        <f>EXACT(Table11[[#This Row],[Bucket8]],Table11[[#This Row],[Bucket]])</f>
        <v/>
      </c>
      <c r="AH2" s="93" t="n"/>
      <c r="AI2" s="93" t="n">
        <v>4.291410619200001</v>
      </c>
      <c r="AJ2" s="93" t="n"/>
      <c r="AK2" s="93" t="n"/>
      <c r="AL2" s="93" t="n"/>
      <c r="AM2" s="93" t="n"/>
      <c r="AN2" s="93" t="n"/>
      <c r="AO2" s="93" t="n"/>
      <c r="AP2" s="93" t="n"/>
      <c r="AQ2" s="93" t="n"/>
      <c r="AR2" s="93" t="n"/>
      <c r="AS2" s="93" t="n"/>
      <c r="AT2" s="93" t="n"/>
      <c r="AU2" s="93" t="n"/>
      <c r="AV2" s="93" t="n"/>
      <c r="AW2" s="93" t="n"/>
      <c r="AX2" s="93" t="n"/>
      <c r="AY2" s="93" t="n"/>
      <c r="AZ2" s="93" t="n">
        <v>1.891268472</v>
      </c>
      <c r="BA2" s="93" t="n"/>
      <c r="BB2" s="93" t="n"/>
      <c r="BC2" s="93" t="n"/>
      <c r="BD2" s="468" t="n"/>
      <c r="BE2" s="469" t="n">
        <v>6.182679091200001</v>
      </c>
    </row>
    <row r="3">
      <c r="A3" s="137" t="inlineStr">
        <is>
          <t>14-0-2.45-CEW-</t>
        </is>
      </c>
      <c r="B3" s="136" t="n"/>
      <c r="C3" t="inlineStr">
        <is>
          <t>29.4-20.4-4.5-CEW-CEW</t>
        </is>
      </c>
      <c r="D3" s="136" t="n"/>
      <c r="G3" s="43" t="n"/>
      <c r="H3" s="43" t="n"/>
      <c r="I3" s="43" t="n"/>
      <c r="J3" s="91" t="n">
        <v>12.7</v>
      </c>
      <c r="K3" s="15" t="n">
        <v>12.7</v>
      </c>
      <c r="L3" s="15" t="n">
        <v>0</v>
      </c>
      <c r="M3" s="15" t="n">
        <v>1.6</v>
      </c>
      <c r="N3" s="15" t="inlineStr">
        <is>
          <t>ERW 1</t>
        </is>
      </c>
      <c r="O3" s="15" t="inlineStr">
        <is>
          <t>PE</t>
        </is>
      </c>
      <c r="P3" s="15" t="inlineStr">
        <is>
          <t>12.7-0-1.6-ERW 1-PE</t>
        </is>
      </c>
      <c r="Q3" s="92" t="inlineStr">
        <is>
          <t>Hosur</t>
        </is>
      </c>
      <c r="R3" s="607">
        <f>Table11[[#This Row],[Grand Total]]</f>
        <v/>
      </c>
      <c r="S3" s="93">
        <f>VLOOKUP(Table11[[#This Row],[Bucket]],salesforecast[[#All],[Bucket2]:[WIP]],3,0)</f>
        <v/>
      </c>
      <c r="T3" s="93">
        <f>VLOOKUP(Table11[[#This Row],[Bucket]],salesforecast[[#All],[Bucket2]:[WIP]],4,0)</f>
        <v/>
      </c>
      <c r="U3" s="93">
        <f>VLOOKUP(Table11[[#This Row],[Bucket]],salesforecast[[#All],[Bucket2]:[WIP]],5,0)</f>
        <v/>
      </c>
      <c r="V3" s="93">
        <f>VLOOKUP(Table11[[#This Row],[Bucket]],salesforecast[[#All],[Bucket2]:[WIP]],7,0)</f>
        <v/>
      </c>
      <c r="W3" s="93">
        <f>Table11[[#This Row],[Stock LL]]+Table11[[#This Row],[WIP]]+Table11[[#This Row],[Stock CTL]]</f>
        <v/>
      </c>
      <c r="X3" s="93">
        <f>IF((Table11[[#This Row],[Requirement]]-Table11[[#This Row],[Sales]]-Table11[[#This Row],[Total Stock]])&lt;0,0,Table11[[#This Row],[Requirement]]-Table11[[#This Row],[Sales]]-Table11[[#This Row],[Total Stock]])</f>
        <v/>
      </c>
      <c r="Y3" s="608">
        <f>ROUND(Table11[[#This Row],[Total Stock]]/Table11[[#This Row],[Requirement]]*100,0) &amp; "% coverage. Further rolling by week 2"</f>
        <v/>
      </c>
      <c r="Z3" s="93" t="n">
        <v>12.7</v>
      </c>
      <c r="AA3" s="93" t="n">
        <v>12.7</v>
      </c>
      <c r="AB3" s="93" t="n">
        <v>0</v>
      </c>
      <c r="AC3" s="93" t="n">
        <v>1.6</v>
      </c>
      <c r="AD3" s="93" t="inlineStr">
        <is>
          <t>ERW 1</t>
        </is>
      </c>
      <c r="AE3" s="93" t="inlineStr">
        <is>
          <t>PE</t>
        </is>
      </c>
      <c r="AF3" s="93" t="inlineStr">
        <is>
          <t>12.7-0-1.6-ERW 1-PE</t>
        </is>
      </c>
      <c r="AG3" s="93">
        <f>EXACT(Table11[[#This Row],[Bucket8]],Table11[[#This Row],[Bucket]])</f>
        <v/>
      </c>
      <c r="AH3" s="93" t="n">
        <v>1.6547563872</v>
      </c>
      <c r="AI3" s="93" t="n">
        <v>5.686583457599999</v>
      </c>
      <c r="AJ3" s="93" t="n"/>
      <c r="AK3" s="93" t="n"/>
      <c r="AL3" s="93" t="n"/>
      <c r="AM3" s="93" t="n"/>
      <c r="AN3" s="93" t="n"/>
      <c r="AO3" s="93" t="n"/>
      <c r="AP3" s="93" t="n">
        <v>0.6347610480000001</v>
      </c>
      <c r="AQ3" s="93" t="n">
        <v>4.771652016</v>
      </c>
      <c r="AR3" s="93" t="n"/>
      <c r="AS3" s="93" t="n">
        <v>0.5078088384</v>
      </c>
      <c r="AT3" s="93" t="n"/>
      <c r="AU3" s="93" t="n">
        <v>5.581519559999999</v>
      </c>
      <c r="AV3" s="93" t="n"/>
      <c r="AW3" s="93" t="n"/>
      <c r="AX3" s="93" t="n"/>
      <c r="AY3" s="93" t="n"/>
      <c r="AZ3" s="93" t="n">
        <v>6.916706592000001</v>
      </c>
      <c r="BA3" s="93" t="n"/>
      <c r="BB3" s="93" t="n"/>
      <c r="BC3" s="93" t="n"/>
      <c r="BD3" s="93" t="n"/>
      <c r="BE3" s="467" t="n">
        <v>25.7537878992</v>
      </c>
    </row>
    <row r="4">
      <c r="A4" t="inlineStr">
        <is>
          <t>14-9.1-2.45-CEW-</t>
        </is>
      </c>
      <c r="C4" t="inlineStr">
        <is>
          <t>29.4-20.4-4.5-CEW STKM 13C-CEW</t>
        </is>
      </c>
      <c r="H4" s="43" t="n"/>
      <c r="I4" s="43" t="n"/>
      <c r="J4" s="91" t="n">
        <v>14</v>
      </c>
      <c r="K4" s="15" t="n">
        <v>14</v>
      </c>
      <c r="L4" s="15" t="n">
        <v>0</v>
      </c>
      <c r="M4" s="15" t="n">
        <v>1.6</v>
      </c>
      <c r="N4" s="15" t="inlineStr">
        <is>
          <t>CEW</t>
        </is>
      </c>
      <c r="O4" s="15" t="inlineStr">
        <is>
          <t>CEW</t>
        </is>
      </c>
      <c r="P4" s="15" t="inlineStr">
        <is>
          <t>14-0-1.6-CEW-CEW</t>
        </is>
      </c>
      <c r="Q4" s="92" t="inlineStr">
        <is>
          <t>Khopoli</t>
        </is>
      </c>
      <c r="R4" s="607">
        <f>Table11[[#This Row],[Grand Total]]</f>
        <v/>
      </c>
      <c r="S4" s="93">
        <f>VLOOKUP(Table11[[#This Row],[Bucket]],salesforecast[[#All],[Bucket2]:[WIP]],3,0)</f>
        <v/>
      </c>
      <c r="T4" s="93">
        <f>VLOOKUP(Table11[[#This Row],[Bucket]],salesforecast[[#All],[Bucket2]:[WIP]],4,0)</f>
        <v/>
      </c>
      <c r="U4" s="93">
        <f>VLOOKUP(Table11[[#This Row],[Bucket]],salesforecast[[#All],[Bucket2]:[WIP]],5,0)</f>
        <v/>
      </c>
      <c r="V4" s="93">
        <f>VLOOKUP(Table11[[#This Row],[Bucket]],salesforecast[[#All],[Bucket2]:[WIP]],7,0)</f>
        <v/>
      </c>
      <c r="W4" s="93">
        <f>Table11[[#This Row],[Stock LL]]+Table11[[#This Row],[WIP]]+Table11[[#This Row],[Stock CTL]]</f>
        <v/>
      </c>
      <c r="X4" s="93">
        <f>IF((Table11[[#This Row],[Requirement]]-Table11[[#This Row],[Sales]]-Table11[[#This Row],[Total Stock]])&lt;0,0,Table11[[#This Row],[Requirement]]-Table11[[#This Row],[Sales]]-Table11[[#This Row],[Total Stock]])</f>
        <v/>
      </c>
      <c r="Y4" s="94" t="inlineStr">
        <is>
          <t>no order</t>
        </is>
      </c>
      <c r="Z4" s="93" t="n">
        <v>14</v>
      </c>
      <c r="AA4" s="93" t="n">
        <v>14</v>
      </c>
      <c r="AB4" s="93" t="n">
        <v>0</v>
      </c>
      <c r="AC4" s="93" t="n">
        <v>1.6</v>
      </c>
      <c r="AD4" s="93" t="inlineStr">
        <is>
          <t>CEW</t>
        </is>
      </c>
      <c r="AE4" s="93" t="inlineStr">
        <is>
          <t>CEW</t>
        </is>
      </c>
      <c r="AF4" s="93" t="inlineStr">
        <is>
          <t>14-0-1.6-CEW-CEW</t>
        </is>
      </c>
      <c r="AG4" s="93">
        <f>EXACT(Table11[[#This Row],[Bucket8]],Table11[[#This Row],[Bucket]])</f>
        <v/>
      </c>
      <c r="AH4" s="93" t="n"/>
      <c r="AI4" s="93" t="n">
        <v>1.2225904</v>
      </c>
      <c r="AJ4" s="93" t="n"/>
      <c r="AK4" s="93" t="n"/>
      <c r="AL4" s="93" t="n"/>
      <c r="AM4" s="93" t="n"/>
      <c r="AN4" s="93" t="n"/>
      <c r="AO4" s="93" t="n"/>
      <c r="AP4" s="93" t="n"/>
      <c r="AQ4" s="93" t="n"/>
      <c r="AR4" s="93" t="n"/>
      <c r="AS4" s="93" t="n"/>
      <c r="AT4" s="93" t="n"/>
      <c r="AU4" s="93" t="n"/>
      <c r="AV4" s="93" t="n"/>
      <c r="AW4" s="93" t="n"/>
      <c r="AX4" s="93" t="n"/>
      <c r="AY4" s="93" t="n"/>
      <c r="AZ4" s="93" t="n"/>
      <c r="BA4" s="93" t="n"/>
      <c r="BB4" s="93" t="n"/>
      <c r="BC4" s="93" t="n"/>
      <c r="BD4" s="93" t="n"/>
      <c r="BE4" s="467" t="n">
        <v>1.2225904</v>
      </c>
    </row>
    <row r="5">
      <c r="A5" s="136" t="inlineStr">
        <is>
          <t>(blank)</t>
        </is>
      </c>
      <c r="B5" s="136" t="n"/>
      <c r="C5" t="inlineStr">
        <is>
          <t>30-25.5-2.25-CEW-CEW</t>
        </is>
      </c>
      <c r="D5" s="136" t="n"/>
      <c r="G5" s="43" t="n"/>
      <c r="H5" s="43" t="n"/>
      <c r="I5" s="43" t="n"/>
      <c r="J5" s="91" t="n">
        <v>14</v>
      </c>
      <c r="K5" s="15" t="n">
        <v>14</v>
      </c>
      <c r="L5" s="15" t="n">
        <v>0</v>
      </c>
      <c r="M5" s="15" t="n">
        <v>2.45</v>
      </c>
      <c r="N5" s="15" t="inlineStr">
        <is>
          <t>CEW</t>
        </is>
      </c>
      <c r="O5" s="15" t="inlineStr">
        <is>
          <t>CEW</t>
        </is>
      </c>
      <c r="P5" s="15" t="inlineStr">
        <is>
          <t>14-0-2.45-CEW-CEW</t>
        </is>
      </c>
      <c r="Q5" s="92" t="inlineStr">
        <is>
          <t>Khopoli</t>
        </is>
      </c>
      <c r="R5" s="607">
        <f>Table11[[#This Row],[Grand Total]]</f>
        <v/>
      </c>
      <c r="S5" s="93">
        <f>VLOOKUP(Table11[[#This Row],[Bucket]],salesforecast[[#All],[Bucket2]:[WIP]],3,0)</f>
        <v/>
      </c>
      <c r="T5" s="93">
        <f>VLOOKUP(Table11[[#This Row],[Bucket]],salesforecast[[#All],[Bucket2]:[WIP]],4,0)</f>
        <v/>
      </c>
      <c r="U5" s="93">
        <f>VLOOKUP(Table11[[#This Row],[Bucket]],salesforecast[[#All],[Bucket2]:[WIP]],5,0)</f>
        <v/>
      </c>
      <c r="V5" s="93">
        <f>VLOOKUP(Table11[[#This Row],[Bucket]],salesforecast[[#All],[Bucket2]:[WIP]],7,0)</f>
        <v/>
      </c>
      <c r="W5" s="93">
        <f>Table11[[#This Row],[Stock LL]]+Table11[[#This Row],[WIP]]+Table11[[#This Row],[Stock CTL]]</f>
        <v/>
      </c>
      <c r="X5" s="93">
        <f>IF((Table11[[#This Row],[Requirement]]-Table11[[#This Row],[Sales]]-Table11[[#This Row],[Total Stock]])&lt;0,0,Table11[[#This Row],[Requirement]]-Table11[[#This Row],[Sales]]-Table11[[#This Row],[Total Stock]])</f>
        <v/>
      </c>
      <c r="Y5" s="94" t="inlineStr">
        <is>
          <t>no order</t>
        </is>
      </c>
      <c r="Z5" s="93" t="n">
        <v>14</v>
      </c>
      <c r="AA5" s="93" t="n">
        <v>14</v>
      </c>
      <c r="AB5" s="93" t="n">
        <v>0</v>
      </c>
      <c r="AC5" s="93" t="n">
        <v>2.45</v>
      </c>
      <c r="AD5" s="93" t="inlineStr">
        <is>
          <t>CEW</t>
        </is>
      </c>
      <c r="AE5" s="93" t="inlineStr">
        <is>
          <t>CEW</t>
        </is>
      </c>
      <c r="AF5" s="93" t="inlineStr">
        <is>
          <t>14-0-2.45-CEW-CEW</t>
        </is>
      </c>
      <c r="AG5" s="93">
        <f>EXACT(Table11[[#This Row],[Bucket8]],Table11[[#This Row],[Bucket]])</f>
        <v/>
      </c>
      <c r="AH5" s="93" t="n"/>
      <c r="AI5" s="93" t="n"/>
      <c r="AJ5" s="93" t="n"/>
      <c r="AK5" s="93" t="n"/>
      <c r="AL5" s="93" t="n"/>
      <c r="AM5" s="93" t="n"/>
      <c r="AN5" s="93" t="n"/>
      <c r="AO5" s="93" t="n"/>
      <c r="AP5" s="93" t="n">
        <v>2.790020310000001</v>
      </c>
      <c r="AQ5" s="93" t="n"/>
      <c r="AR5" s="93" t="n"/>
      <c r="AS5" s="93" t="n"/>
      <c r="AT5" s="93" t="n"/>
      <c r="AU5" s="93" t="n"/>
      <c r="AV5" s="93" t="n"/>
      <c r="AW5" s="93" t="n"/>
      <c r="AX5" s="93" t="n">
        <v>0.3354999422775001</v>
      </c>
      <c r="AY5" s="93" t="n"/>
      <c r="AZ5" s="93" t="n"/>
      <c r="BA5" s="93" t="n"/>
      <c r="BB5" s="93" t="n"/>
      <c r="BC5" s="93" t="n"/>
      <c r="BD5" s="93" t="n"/>
      <c r="BE5" s="467" t="n">
        <v>3.125520252277501</v>
      </c>
    </row>
    <row r="6">
      <c r="A6" s="137" t="inlineStr">
        <is>
          <t>16.1-0-2-CEW-CEW</t>
        </is>
      </c>
      <c r="B6" s="136" t="n"/>
      <c r="C6" t="inlineStr">
        <is>
          <t>25-25-1.2-CRFH-PE</t>
        </is>
      </c>
      <c r="D6" s="136" t="n"/>
      <c r="G6" s="43" t="n"/>
      <c r="H6" s="43" t="n"/>
      <c r="I6" s="43" t="n"/>
      <c r="J6" s="91" t="n">
        <v>14</v>
      </c>
      <c r="K6" s="15" t="n">
        <v>14</v>
      </c>
      <c r="L6" s="15" t="n">
        <v>10.1</v>
      </c>
      <c r="M6" s="15" t="n">
        <v>1.95</v>
      </c>
      <c r="N6" s="15" t="inlineStr">
        <is>
          <t>CEW</t>
        </is>
      </c>
      <c r="O6" s="15" t="inlineStr">
        <is>
          <t>CEW</t>
        </is>
      </c>
      <c r="P6" s="15" t="inlineStr">
        <is>
          <t>14-10.1-1.95-CEW-CEW</t>
        </is>
      </c>
      <c r="Q6" s="92" t="inlineStr">
        <is>
          <t>Khopoli</t>
        </is>
      </c>
      <c r="R6" s="607">
        <f>Table11[[#This Row],[Grand Total]]</f>
        <v/>
      </c>
      <c r="S6" s="93">
        <f>VLOOKUP(Table11[[#This Row],[Bucket]],salesforecast[[#All],[Bucket2]:[WIP]],3,0)</f>
        <v/>
      </c>
      <c r="T6" s="93">
        <f>VLOOKUP(Table11[[#This Row],[Bucket]],salesforecast[[#All],[Bucket2]:[WIP]],4,0)</f>
        <v/>
      </c>
      <c r="U6" s="93">
        <f>VLOOKUP(Table11[[#This Row],[Bucket]],salesforecast[[#All],[Bucket2]:[WIP]],5,0)</f>
        <v/>
      </c>
      <c r="V6" s="93">
        <f>VLOOKUP(Table11[[#This Row],[Bucket]],salesforecast[[#All],[Bucket2]:[WIP]],7,0)</f>
        <v/>
      </c>
      <c r="W6" s="93">
        <f>Table11[[#This Row],[Stock LL]]+Table11[[#This Row],[WIP]]+Table11[[#This Row],[Stock CTL]]</f>
        <v/>
      </c>
      <c r="X6" s="93">
        <f>IF((Table11[[#This Row],[Requirement]]-Table11[[#This Row],[Sales]]-Table11[[#This Row],[Total Stock]])&lt;0,0,Table11[[#This Row],[Requirement]]-Table11[[#This Row],[Sales]]-Table11[[#This Row],[Total Stock]])</f>
        <v/>
      </c>
      <c r="Y6" s="95" t="inlineStr">
        <is>
          <t>No Commitment</t>
        </is>
      </c>
      <c r="Z6" s="93" t="n">
        <v>14</v>
      </c>
      <c r="AA6" s="93" t="n">
        <v>14</v>
      </c>
      <c r="AB6" s="93" t="n">
        <v>10.1</v>
      </c>
      <c r="AC6" s="93" t="n">
        <v>1.95</v>
      </c>
      <c r="AD6" s="93" t="inlineStr">
        <is>
          <t>CEW</t>
        </is>
      </c>
      <c r="AE6" s="93" t="inlineStr">
        <is>
          <t>CEW</t>
        </is>
      </c>
      <c r="AF6" s="93" t="inlineStr">
        <is>
          <t>14-10.1-1.95-CEW-CEW</t>
        </is>
      </c>
      <c r="AG6" s="93">
        <f>EXACT(Table11[[#This Row],[Bucket8]],Table11[[#This Row],[Bucket]])</f>
        <v/>
      </c>
      <c r="AH6" s="93" t="n"/>
      <c r="AI6" s="93" t="n"/>
      <c r="AJ6" s="93" t="n"/>
      <c r="AK6" s="93" t="n"/>
      <c r="AL6" s="93" t="n"/>
      <c r="AM6" s="93" t="n"/>
      <c r="AN6" s="93" t="n"/>
      <c r="AO6" s="93" t="n"/>
      <c r="AP6" s="93" t="n"/>
      <c r="AQ6" s="93" t="n"/>
      <c r="AR6" s="93" t="n"/>
      <c r="AS6" s="93" t="n"/>
      <c r="AT6" s="93" t="n"/>
      <c r="AU6" s="93" t="n"/>
      <c r="AV6" s="93" t="n"/>
      <c r="AW6" s="93" t="n"/>
      <c r="AX6" s="93" t="n"/>
      <c r="AY6" s="93" t="n"/>
      <c r="AZ6" s="93" t="n">
        <v>1.7375696325</v>
      </c>
      <c r="BA6" s="93" t="n"/>
      <c r="BB6" s="93" t="n"/>
      <c r="BC6" s="93" t="n"/>
      <c r="BD6" s="93" t="n"/>
      <c r="BE6" s="467" t="n">
        <v>1.7375696325</v>
      </c>
    </row>
    <row r="7">
      <c r="A7" t="inlineStr">
        <is>
          <t>(blank)</t>
        </is>
      </c>
      <c r="C7" t="inlineStr">
        <is>
          <t>31.75-0-1.2-ERW 1-FC</t>
        </is>
      </c>
      <c r="H7" s="43" t="n"/>
      <c r="I7" s="43" t="n"/>
      <c r="J7" s="91" t="n">
        <v>15.88</v>
      </c>
      <c r="K7" s="15" t="n">
        <v>15.88</v>
      </c>
      <c r="L7" s="15" t="n">
        <v>0</v>
      </c>
      <c r="M7" s="15" t="n">
        <v>1</v>
      </c>
      <c r="N7" s="15" t="inlineStr">
        <is>
          <t>ERW 1</t>
        </is>
      </c>
      <c r="O7" s="15" t="inlineStr">
        <is>
          <t>PE</t>
        </is>
      </c>
      <c r="P7" s="15" t="inlineStr">
        <is>
          <t>15.88-0-1-ERW 1-PE</t>
        </is>
      </c>
      <c r="Q7" s="92" t="inlineStr">
        <is>
          <t>Hosur</t>
        </is>
      </c>
      <c r="R7" s="607">
        <f>Table11[[#This Row],[Grand Total]]</f>
        <v/>
      </c>
      <c r="S7" s="93">
        <f>VLOOKUP(Table11[[#This Row],[Bucket]],salesforecast[[#All],[Bucket2]:[WIP]],3,0)</f>
        <v/>
      </c>
      <c r="T7" s="93">
        <f>VLOOKUP(Table11[[#This Row],[Bucket]],salesforecast[[#All],[Bucket2]:[WIP]],4,0)</f>
        <v/>
      </c>
      <c r="U7" s="93">
        <f>VLOOKUP(Table11[[#This Row],[Bucket]],salesforecast[[#All],[Bucket2]:[WIP]],5,0)</f>
        <v/>
      </c>
      <c r="V7" s="93">
        <f>VLOOKUP(Table11[[#This Row],[Bucket]],salesforecast[[#All],[Bucket2]:[WIP]],7,0)</f>
        <v/>
      </c>
      <c r="W7" s="93">
        <f>Table11[[#This Row],[Stock LL]]+Table11[[#This Row],[WIP]]+Table11[[#This Row],[Stock CTL]]</f>
        <v/>
      </c>
      <c r="X7" s="93">
        <f>IF((Table11[[#This Row],[Requirement]]-Table11[[#This Row],[Sales]]-Table11[[#This Row],[Total Stock]])&lt;0,0,Table11[[#This Row],[Requirement]]-Table11[[#This Row],[Sales]]-Table11[[#This Row],[Total Stock]])</f>
        <v/>
      </c>
      <c r="Y7" s="96" t="n"/>
      <c r="Z7" s="93" t="n">
        <v>15.88</v>
      </c>
      <c r="AA7" s="93" t="n">
        <v>15.88</v>
      </c>
      <c r="AB7" s="93" t="n">
        <v>0</v>
      </c>
      <c r="AC7" s="93" t="n">
        <v>1</v>
      </c>
      <c r="AD7" s="93" t="inlineStr">
        <is>
          <t>ERW 1</t>
        </is>
      </c>
      <c r="AE7" s="93" t="inlineStr">
        <is>
          <t>PE</t>
        </is>
      </c>
      <c r="AF7" s="93" t="inlineStr">
        <is>
          <t>15.88-0-1-ERW 1-PE</t>
        </is>
      </c>
      <c r="AG7" s="93">
        <f>EXACT(Table11[[#This Row],[Bucket8]],Table11[[#This Row],[Bucket]])</f>
        <v/>
      </c>
      <c r="AH7" s="93" t="n"/>
      <c r="AI7" s="93" t="n"/>
      <c r="AJ7" s="93" t="n"/>
      <c r="AK7" s="93" t="n"/>
      <c r="AL7" s="93" t="n"/>
      <c r="AM7" s="93" t="n"/>
      <c r="AN7" s="93" t="n"/>
      <c r="AO7" s="93" t="n">
        <v>0.1026975936</v>
      </c>
      <c r="AP7" s="93" t="n">
        <v>6.6716758128</v>
      </c>
      <c r="AQ7" s="93" t="n"/>
      <c r="AR7" s="93" t="n"/>
      <c r="AS7" s="93" t="n"/>
      <c r="AT7" s="93" t="n"/>
      <c r="AU7" s="93" t="n"/>
      <c r="AV7" s="93" t="n"/>
      <c r="AW7" s="93" t="n"/>
      <c r="AX7" s="93" t="n"/>
      <c r="AY7" s="93" t="n"/>
      <c r="AZ7" s="93" t="n"/>
      <c r="BA7" s="93" t="n"/>
      <c r="BB7" s="93" t="n"/>
      <c r="BC7" s="93" t="n"/>
      <c r="BD7" s="93" t="n"/>
      <c r="BE7" s="467" t="n">
        <v>6.774373406400001</v>
      </c>
    </row>
    <row r="8">
      <c r="A8" s="136" t="inlineStr">
        <is>
          <t>16.1-10.7-2.95-CEW-CEW</t>
        </is>
      </c>
      <c r="B8" s="136" t="n"/>
      <c r="C8" t="inlineStr">
        <is>
          <t>31.75-0-1.2-ERW 1-PE</t>
        </is>
      </c>
      <c r="D8" s="136" t="n"/>
      <c r="G8" s="43" t="n"/>
      <c r="H8" s="43" t="n"/>
      <c r="I8" s="43" t="n"/>
      <c r="J8" s="91" t="n">
        <v>15.88</v>
      </c>
      <c r="K8" s="15" t="n">
        <v>15.88</v>
      </c>
      <c r="L8" s="15" t="n">
        <v>0</v>
      </c>
      <c r="M8" s="15" t="n">
        <v>1.2</v>
      </c>
      <c r="N8" s="15" t="inlineStr">
        <is>
          <t>ERW 1</t>
        </is>
      </c>
      <c r="O8" s="15" t="inlineStr">
        <is>
          <t>PE</t>
        </is>
      </c>
      <c r="P8" s="15" t="inlineStr">
        <is>
          <t>15.88-0-1.2-ERW 1-PE</t>
        </is>
      </c>
      <c r="Q8" s="92" t="inlineStr">
        <is>
          <t>Hosur</t>
        </is>
      </c>
      <c r="R8" s="607">
        <f>Table11[[#This Row],[Grand Total]]</f>
        <v/>
      </c>
      <c r="S8" s="93">
        <f>VLOOKUP(Table11[[#This Row],[Bucket]],salesforecast[[#All],[Bucket2]:[WIP]],3,0)</f>
        <v/>
      </c>
      <c r="T8" s="93">
        <f>VLOOKUP(Table11[[#This Row],[Bucket]],salesforecast[[#All],[Bucket2]:[WIP]],4,0)</f>
        <v/>
      </c>
      <c r="U8" s="93">
        <f>VLOOKUP(Table11[[#This Row],[Bucket]],salesforecast[[#All],[Bucket2]:[WIP]],5,0)</f>
        <v/>
      </c>
      <c r="V8" s="93">
        <f>VLOOKUP(Table11[[#This Row],[Bucket]],salesforecast[[#All],[Bucket2]:[WIP]],7,0)</f>
        <v/>
      </c>
      <c r="W8" s="93">
        <f>Table11[[#This Row],[Stock LL]]+Table11[[#This Row],[WIP]]+Table11[[#This Row],[Stock CTL]]</f>
        <v/>
      </c>
      <c r="X8" s="93">
        <f>IF((Table11[[#This Row],[Requirement]]-Table11[[#This Row],[Sales]]-Table11[[#This Row],[Total Stock]])&lt;0,0,Table11[[#This Row],[Requirement]]-Table11[[#This Row],[Sales]]-Table11[[#This Row],[Total Stock]])</f>
        <v/>
      </c>
      <c r="Y8" s="94">
        <f>_xlfn.CONCAT(ROUND(Table11[[#This Row],[Total Stock]]/Table11[[#This Row],[Requirement]]*100,0),"% Coverage. Rest by Week 3")</f>
        <v/>
      </c>
      <c r="Z8" s="93" t="n">
        <v>15.88</v>
      </c>
      <c r="AA8" s="93" t="n">
        <v>15.88</v>
      </c>
      <c r="AB8" s="93" t="n">
        <v>0</v>
      </c>
      <c r="AC8" s="93" t="n">
        <v>1.2</v>
      </c>
      <c r="AD8" s="93" t="inlineStr">
        <is>
          <t>ERW 1</t>
        </is>
      </c>
      <c r="AE8" s="93" t="inlineStr">
        <is>
          <t>PE</t>
        </is>
      </c>
      <c r="AF8" s="93" t="inlineStr">
        <is>
          <t>15.88-0-1.2-ERW 1-PE</t>
        </is>
      </c>
      <c r="AG8" s="93">
        <f>EXACT(Table11[[#This Row],[Bucket8]],Table11[[#This Row],[Bucket]])</f>
        <v/>
      </c>
      <c r="AH8" s="93" t="n">
        <v>3.98176790928</v>
      </c>
      <c r="AI8" s="93" t="n"/>
      <c r="AJ8" s="93" t="n"/>
      <c r="AK8" s="93" t="n"/>
      <c r="AL8" s="93" t="n"/>
      <c r="AM8" s="93" t="n"/>
      <c r="AN8" s="93" t="n"/>
      <c r="AO8" s="93" t="n"/>
      <c r="AP8" s="93" t="n"/>
      <c r="AQ8" s="93" t="n"/>
      <c r="AR8" s="93" t="n"/>
      <c r="AS8" s="93" t="n"/>
      <c r="AT8" s="93" t="n"/>
      <c r="AU8" s="93" t="n"/>
      <c r="AV8" s="93" t="n"/>
      <c r="AW8" s="93" t="n"/>
      <c r="AX8" s="93" t="n"/>
      <c r="AY8" s="93" t="n"/>
      <c r="AZ8" s="93" t="n">
        <v>9.6396126048</v>
      </c>
      <c r="BA8" s="93" t="n"/>
      <c r="BB8" s="93" t="n">
        <v>0.5644818192000001</v>
      </c>
      <c r="BC8" s="93" t="n">
        <v>0.5644818192000001</v>
      </c>
      <c r="BD8" s="93" t="n"/>
      <c r="BE8" s="467" t="n">
        <v>14.75034415248</v>
      </c>
    </row>
    <row r="9">
      <c r="A9" s="136" t="inlineStr">
        <is>
          <t>17.3-0-1.2-CEW-CEW</t>
        </is>
      </c>
      <c r="B9" s="136" t="n"/>
      <c r="C9" t="inlineStr">
        <is>
          <t>31.75-0-1.6-ERW 1-FC</t>
        </is>
      </c>
      <c r="D9" s="136" t="n"/>
      <c r="G9" s="43" t="n"/>
      <c r="H9" s="43" t="n"/>
      <c r="I9" s="43" t="n"/>
      <c r="J9" s="91" t="n">
        <v>15.88</v>
      </c>
      <c r="K9" s="15" t="n">
        <v>15.88</v>
      </c>
      <c r="L9" s="15" t="n">
        <v>0</v>
      </c>
      <c r="M9" s="15" t="n">
        <v>1.6</v>
      </c>
      <c r="N9" s="15" t="inlineStr">
        <is>
          <t>ERW 1</t>
        </is>
      </c>
      <c r="O9" s="15" t="inlineStr">
        <is>
          <t>PE</t>
        </is>
      </c>
      <c r="P9" s="15" t="inlineStr">
        <is>
          <t>15.88-0-1.6-ERW 1-PE</t>
        </is>
      </c>
      <c r="Q9" s="92" t="inlineStr">
        <is>
          <t>Hosur</t>
        </is>
      </c>
      <c r="R9" s="607">
        <f>Table11[[#This Row],[Grand Total]]</f>
        <v/>
      </c>
      <c r="S9" s="93">
        <f>VLOOKUP(Table11[[#This Row],[Bucket]],salesforecast[[#All],[Bucket2]:[WIP]],3,0)</f>
        <v/>
      </c>
      <c r="T9" s="93">
        <f>VLOOKUP(Table11[[#This Row],[Bucket]],salesforecast[[#All],[Bucket2]:[WIP]],4,0)</f>
        <v/>
      </c>
      <c r="U9" s="93">
        <f>VLOOKUP(Table11[[#This Row],[Bucket]],salesforecast[[#All],[Bucket2]:[WIP]],5,0)</f>
        <v/>
      </c>
      <c r="V9" s="93">
        <f>VLOOKUP(Table11[[#This Row],[Bucket]],salesforecast[[#All],[Bucket2]:[WIP]],7,0)</f>
        <v/>
      </c>
      <c r="W9" s="93">
        <f>Table11[[#This Row],[Stock LL]]+Table11[[#This Row],[WIP]]+Table11[[#This Row],[Stock CTL]]</f>
        <v/>
      </c>
      <c r="X9" s="93">
        <f>IF((Table11[[#This Row],[Requirement]]-Table11[[#This Row],[Sales]]-Table11[[#This Row],[Total Stock]])&lt;0,0,Table11[[#This Row],[Requirement]]-Table11[[#This Row],[Sales]]-Table11[[#This Row],[Total Stock]])</f>
        <v/>
      </c>
      <c r="Y9" s="96" t="n"/>
      <c r="Z9" s="93" t="n">
        <v>15.88</v>
      </c>
      <c r="AA9" s="93" t="n">
        <v>15.88</v>
      </c>
      <c r="AB9" s="93" t="n">
        <v>0</v>
      </c>
      <c r="AC9" s="93" t="n">
        <v>1.6</v>
      </c>
      <c r="AD9" s="93" t="inlineStr">
        <is>
          <t>ERW 1</t>
        </is>
      </c>
      <c r="AE9" s="93" t="inlineStr">
        <is>
          <t>PE</t>
        </is>
      </c>
      <c r="AF9" s="93" t="inlineStr">
        <is>
          <t>15.88-0-1.6-ERW 1-PE</t>
        </is>
      </c>
      <c r="AG9" s="93">
        <f>EXACT(Table11[[#This Row],[Bucket8]],Table11[[#This Row],[Bucket]])</f>
        <v/>
      </c>
      <c r="AH9" s="93" t="n"/>
      <c r="AI9" s="93" t="n">
        <v>6.19779977376</v>
      </c>
      <c r="AJ9" s="93" t="n"/>
      <c r="AK9" s="93" t="n"/>
      <c r="AL9" s="93" t="n">
        <v>1.126360704</v>
      </c>
      <c r="AM9" s="93" t="n"/>
      <c r="AN9" s="93" t="n"/>
      <c r="AO9" s="93" t="n"/>
      <c r="AP9" s="93" t="n"/>
      <c r="AQ9" s="93" t="n"/>
      <c r="AR9" s="93" t="n"/>
      <c r="AS9" s="93" t="n">
        <v>0.497851431168</v>
      </c>
      <c r="AT9" s="93" t="n"/>
      <c r="AU9" s="93" t="n"/>
      <c r="AV9" s="93" t="n"/>
      <c r="AW9" s="93" t="n"/>
      <c r="AX9" s="93" t="n"/>
      <c r="AY9" s="93" t="n"/>
      <c r="AZ9" s="93" t="n">
        <v>6.318883549439999</v>
      </c>
      <c r="BA9" s="93" t="n"/>
      <c r="BB9" s="93" t="n"/>
      <c r="BC9" s="93" t="n"/>
      <c r="BD9" s="93" t="n"/>
      <c r="BE9" s="467" t="n">
        <v>14.140895458368</v>
      </c>
    </row>
    <row r="10">
      <c r="A10" s="137" t="inlineStr">
        <is>
          <t>17.3-0-1.2-CEW-</t>
        </is>
      </c>
      <c r="B10" s="136" t="n"/>
      <c r="C10" t="inlineStr">
        <is>
          <t>31.75-0-2.3-ERW 1-FC</t>
        </is>
      </c>
      <c r="D10" s="136" t="n"/>
      <c r="G10" s="43" t="n"/>
      <c r="H10" s="43" t="n"/>
      <c r="I10" s="43" t="n"/>
      <c r="J10" s="91" t="n">
        <v>15.88</v>
      </c>
      <c r="K10" s="15" t="n">
        <v>15.88</v>
      </c>
      <c r="L10" s="15" t="n">
        <v>0</v>
      </c>
      <c r="M10" s="15" t="n">
        <v>2</v>
      </c>
      <c r="N10" s="15" t="inlineStr">
        <is>
          <t>ERW 1</t>
        </is>
      </c>
      <c r="O10" s="15" t="inlineStr">
        <is>
          <t>PE</t>
        </is>
      </c>
      <c r="P10" s="15" t="inlineStr">
        <is>
          <t>15.88-0-2-ERW 1-PE</t>
        </is>
      </c>
      <c r="Q10" s="92" t="inlineStr">
        <is>
          <t>Hosur</t>
        </is>
      </c>
      <c r="R10" s="607">
        <f>Table11[[#This Row],[Grand Total]]</f>
        <v/>
      </c>
      <c r="S10" s="93">
        <f>VLOOKUP(Table11[[#This Row],[Bucket]],salesforecast[[#All],[Bucket2]:[WIP]],3,0)</f>
        <v/>
      </c>
      <c r="T10" s="93">
        <f>VLOOKUP(Table11[[#This Row],[Bucket]],salesforecast[[#All],[Bucket2]:[WIP]],4,0)</f>
        <v/>
      </c>
      <c r="U10" s="93">
        <f>VLOOKUP(Table11[[#This Row],[Bucket]],salesforecast[[#All],[Bucket2]:[WIP]],5,0)</f>
        <v/>
      </c>
      <c r="V10" s="93">
        <f>VLOOKUP(Table11[[#This Row],[Bucket]],salesforecast[[#All],[Bucket2]:[WIP]],7,0)</f>
        <v/>
      </c>
      <c r="W10" s="93">
        <f>Table11[[#This Row],[Stock LL]]+Table11[[#This Row],[WIP]]+Table11[[#This Row],[Stock CTL]]</f>
        <v/>
      </c>
      <c r="X10" s="93">
        <f>IF((Table11[[#This Row],[Requirement]]-Table11[[#This Row],[Sales]]-Table11[[#This Row],[Total Stock]])&lt;0,0,Table11[[#This Row],[Requirement]]-Table11[[#This Row],[Sales]]-Table11[[#This Row],[Total Stock]])</f>
        <v/>
      </c>
      <c r="Y10" s="94">
        <f>_xlfn.CONCAT(ROUND(Table11[[#This Row],[Total Stock]]/Table11[[#This Row],[Requirement]]*100,0),"% Coverage. Rest by Week 3")</f>
        <v/>
      </c>
      <c r="Z10" s="93" t="n">
        <v>15.88</v>
      </c>
      <c r="AA10" s="93" t="n">
        <v>15.88</v>
      </c>
      <c r="AB10" s="93" t="n">
        <v>0</v>
      </c>
      <c r="AC10" s="93" t="n">
        <v>2</v>
      </c>
      <c r="AD10" s="93" t="inlineStr">
        <is>
          <t>ERW 1</t>
        </is>
      </c>
      <c r="AE10" s="93" t="inlineStr">
        <is>
          <t>PE</t>
        </is>
      </c>
      <c r="AF10" s="93" t="inlineStr">
        <is>
          <t>15.88-0-2-ERW 1-PE</t>
        </is>
      </c>
      <c r="AG10" s="93">
        <f>EXACT(Table11[[#This Row],[Bucket8]],Table11[[#This Row],[Bucket]])</f>
        <v/>
      </c>
      <c r="AH10" s="93" t="n"/>
      <c r="AI10" s="93" t="n"/>
      <c r="AJ10" s="93" t="n">
        <v>1.712419666224</v>
      </c>
      <c r="AK10" s="93" t="n"/>
      <c r="AL10" s="93" t="n"/>
      <c r="AM10" s="93" t="n"/>
      <c r="AN10" s="93" t="n"/>
      <c r="AO10" s="93" t="n"/>
      <c r="AP10" s="93" t="n"/>
      <c r="AQ10" s="93" t="n">
        <v>0.9955928292000001</v>
      </c>
      <c r="AR10" s="93" t="n"/>
      <c r="AS10" s="93" t="n"/>
      <c r="AT10" s="93" t="n"/>
      <c r="AU10" s="93" t="n"/>
      <c r="AV10" s="93" t="n">
        <v>0.9955928292000001</v>
      </c>
      <c r="AW10" s="93" t="n"/>
      <c r="AX10" s="93" t="n"/>
      <c r="AY10" s="93" t="n"/>
      <c r="AZ10" s="93" t="n">
        <v>5.38851789</v>
      </c>
      <c r="BA10" s="93" t="n"/>
      <c r="BB10" s="93" t="n"/>
      <c r="BC10" s="93" t="n"/>
      <c r="BD10" s="93" t="n"/>
      <c r="BE10" s="467" t="n">
        <v>9.092123214623999</v>
      </c>
    </row>
    <row r="11">
      <c r="A11" s="136" t="inlineStr">
        <is>
          <t>17.3-0-1.2-ERW 1-</t>
        </is>
      </c>
      <c r="B11" s="136" t="n"/>
      <c r="C11" t="inlineStr">
        <is>
          <t>31.75-0-2.5-ERW 1-FC</t>
        </is>
      </c>
      <c r="D11" s="136" t="n"/>
      <c r="G11" s="43" t="n"/>
      <c r="H11" s="43" t="n"/>
      <c r="I11" s="43" t="n"/>
      <c r="J11" s="91" t="n">
        <v>16.1</v>
      </c>
      <c r="K11" s="15" t="n">
        <v>16.1</v>
      </c>
      <c r="L11" s="15" t="n">
        <v>0</v>
      </c>
      <c r="M11" s="15" t="n">
        <v>2.8</v>
      </c>
      <c r="N11" s="15" t="inlineStr">
        <is>
          <t>CEW</t>
        </is>
      </c>
      <c r="O11" s="15" t="inlineStr">
        <is>
          <t>CEW</t>
        </is>
      </c>
      <c r="P11" s="15" t="inlineStr">
        <is>
          <t>16.1-0-2.8-CEW-CEW</t>
        </is>
      </c>
      <c r="Q11" s="92" t="inlineStr">
        <is>
          <t>Khopoli</t>
        </is>
      </c>
      <c r="R11" s="607">
        <f>Table11[[#This Row],[Grand Total]]</f>
        <v/>
      </c>
      <c r="S11" s="93">
        <f>VLOOKUP(Table11[[#This Row],[Bucket]],salesforecast[[#All],[Bucket2]:[WIP]],3,0)</f>
        <v/>
      </c>
      <c r="T11" s="93">
        <f>VLOOKUP(Table11[[#This Row],[Bucket]],salesforecast[[#All],[Bucket2]:[WIP]],4,0)</f>
        <v/>
      </c>
      <c r="U11" s="93">
        <f>VLOOKUP(Table11[[#This Row],[Bucket]],salesforecast[[#All],[Bucket2]:[WIP]],5,0)</f>
        <v/>
      </c>
      <c r="V11" s="93">
        <f>VLOOKUP(Table11[[#This Row],[Bucket]],salesforecast[[#All],[Bucket2]:[WIP]],7,0)</f>
        <v/>
      </c>
      <c r="W11" s="93">
        <f>Table11[[#This Row],[Stock LL]]+Table11[[#This Row],[WIP]]+Table11[[#This Row],[Stock CTL]]</f>
        <v/>
      </c>
      <c r="X11" s="93">
        <f>IF((Table11[[#This Row],[Requirement]]-Table11[[#This Row],[Sales]]-Table11[[#This Row],[Total Stock]])&lt;0,0,Table11[[#This Row],[Requirement]]-Table11[[#This Row],[Sales]]-Table11[[#This Row],[Total Stock]])</f>
        <v/>
      </c>
      <c r="Y11" s="94" t="inlineStr">
        <is>
          <t>no order</t>
        </is>
      </c>
      <c r="Z11" s="93" t="n">
        <v>16.1</v>
      </c>
      <c r="AA11" s="93" t="n">
        <v>16.1</v>
      </c>
      <c r="AB11" s="93" t="n">
        <v>0</v>
      </c>
      <c r="AC11" s="93" t="n">
        <v>2.8</v>
      </c>
      <c r="AD11" s="93" t="inlineStr">
        <is>
          <t>CEW</t>
        </is>
      </c>
      <c r="AE11" s="93" t="inlineStr">
        <is>
          <t>CEW</t>
        </is>
      </c>
      <c r="AF11" s="93" t="inlineStr">
        <is>
          <t>16.1-0-2.8-CEW-CEW</t>
        </is>
      </c>
      <c r="AG11" s="93">
        <f>EXACT(Table11[[#This Row],[Bucket8]],Table11[[#This Row],[Bucket]])</f>
        <v/>
      </c>
      <c r="AH11" s="93" t="n"/>
      <c r="AI11" s="93" t="n">
        <v>2.75378628</v>
      </c>
      <c r="AJ11" s="93" t="n"/>
      <c r="AK11" s="93" t="n"/>
      <c r="AL11" s="93" t="n"/>
      <c r="AM11" s="93" t="n"/>
      <c r="AN11" s="93" t="n"/>
      <c r="AO11" s="93" t="n"/>
      <c r="AP11" s="93" t="n"/>
      <c r="AQ11" s="93" t="n"/>
      <c r="AR11" s="93" t="n"/>
      <c r="AS11" s="93" t="n"/>
      <c r="AT11" s="93" t="n"/>
      <c r="AU11" s="93" t="n"/>
      <c r="AV11" s="93" t="n"/>
      <c r="AW11" s="93" t="n"/>
      <c r="AX11" s="93" t="n"/>
      <c r="AY11" s="93" t="n"/>
      <c r="AZ11" s="93" t="n"/>
      <c r="BA11" s="93" t="n"/>
      <c r="BB11" s="93" t="n"/>
      <c r="BC11" s="93" t="n"/>
      <c r="BD11" s="93" t="n"/>
      <c r="BE11" s="467" t="n">
        <v>2.75378628</v>
      </c>
    </row>
    <row r="12" ht="30" customHeight="1" s="584">
      <c r="A12" s="136" t="inlineStr">
        <is>
          <t>17.3-0-1.6-CEW-</t>
        </is>
      </c>
      <c r="B12" s="136" t="n"/>
      <c r="C12" t="inlineStr">
        <is>
          <t>31.75-25-3.37-CEW-CEW</t>
        </is>
      </c>
      <c r="D12" s="136" t="n"/>
      <c r="G12" s="43" t="n"/>
      <c r="H12" s="43" t="n"/>
      <c r="I12" s="43" t="n"/>
      <c r="J12" s="91" t="n">
        <v>16.1</v>
      </c>
      <c r="K12" s="15" t="n">
        <v>16.1</v>
      </c>
      <c r="L12" s="15" t="n">
        <v>10.4</v>
      </c>
      <c r="M12" s="15" t="n">
        <v>2.7</v>
      </c>
      <c r="N12" s="15" t="inlineStr">
        <is>
          <t>CEW</t>
        </is>
      </c>
      <c r="O12" s="15" t="inlineStr">
        <is>
          <t>CEW</t>
        </is>
      </c>
      <c r="P12" s="15" t="inlineStr">
        <is>
          <t>16.1-10.4-2.7-CEW-CEW</t>
        </is>
      </c>
      <c r="Q12" s="92" t="inlineStr">
        <is>
          <t>Khopoli</t>
        </is>
      </c>
      <c r="R12" s="607">
        <f>Table11[[#This Row],[Grand Total]]</f>
        <v/>
      </c>
      <c r="S12" s="93">
        <f>VLOOKUP(Table11[[#This Row],[Bucket]],salesforecast[[#All],[Bucket2]:[WIP]],3,0)</f>
        <v/>
      </c>
      <c r="T12" s="93">
        <f>VLOOKUP(Table11[[#This Row],[Bucket]],salesforecast[[#All],[Bucket2]:[WIP]],4,0)</f>
        <v/>
      </c>
      <c r="U12" s="93">
        <f>VLOOKUP(Table11[[#This Row],[Bucket]],salesforecast[[#All],[Bucket2]:[WIP]],5,0)</f>
        <v/>
      </c>
      <c r="V12" s="93">
        <f>VLOOKUP(Table11[[#This Row],[Bucket]],salesforecast[[#All],[Bucket2]:[WIP]],7,0)</f>
        <v/>
      </c>
      <c r="W12" s="93">
        <f>Table11[[#This Row],[Stock LL]]+Table11[[#This Row],[WIP]]+Table11[[#This Row],[Stock CTL]]</f>
        <v/>
      </c>
      <c r="X12" s="93">
        <f>IF((Table11[[#This Row],[Requirement]]-Table11[[#This Row],[Sales]]-Table11[[#This Row],[Total Stock]])&lt;0,0,Table11[[#This Row],[Requirement]]-Table11[[#This Row],[Sales]]-Table11[[#This Row],[Total Stock]])</f>
        <v/>
      </c>
      <c r="Y12" s="216" t="inlineStr">
        <is>
          <t>16 MT supplied in Apr against schedule of 6 MT. Next Lot expected in last week of May'25</t>
        </is>
      </c>
      <c r="Z12" s="93" t="n">
        <v>16.1</v>
      </c>
      <c r="AA12" s="93" t="n">
        <v>16.1</v>
      </c>
      <c r="AB12" s="93" t="n">
        <v>10.4</v>
      </c>
      <c r="AC12" s="93" t="n">
        <v>2.7</v>
      </c>
      <c r="AD12" s="93" t="inlineStr">
        <is>
          <t>CEW</t>
        </is>
      </c>
      <c r="AE12" s="93" t="inlineStr">
        <is>
          <t>CEW</t>
        </is>
      </c>
      <c r="AF12" s="93" t="inlineStr">
        <is>
          <t>16.1-10.4-2.7-CEW-CEW</t>
        </is>
      </c>
      <c r="AG12" s="93">
        <f>EXACT(Table11[[#This Row],[Bucket8]],Table11[[#This Row],[Bucket]])</f>
        <v/>
      </c>
      <c r="AH12" s="93" t="n"/>
      <c r="AI12" s="93" t="n"/>
      <c r="AJ12" s="93" t="n"/>
      <c r="AK12" s="93" t="n"/>
      <c r="AL12" s="93" t="n"/>
      <c r="AM12" s="93" t="n"/>
      <c r="AN12" s="93" t="n"/>
      <c r="AO12" s="93" t="n"/>
      <c r="AP12" s="93" t="n"/>
      <c r="AQ12" s="93" t="n">
        <v>2.675402460000001</v>
      </c>
      <c r="AR12" s="93" t="n"/>
      <c r="AS12" s="93" t="n"/>
      <c r="AT12" s="93" t="n"/>
      <c r="AU12" s="93" t="n"/>
      <c r="AV12" s="93" t="n"/>
      <c r="AW12" s="93" t="n"/>
      <c r="AX12" s="93" t="n"/>
      <c r="AY12" s="93" t="n"/>
      <c r="AZ12" s="93" t="n"/>
      <c r="BA12" s="93" t="n"/>
      <c r="BB12" s="93" t="n"/>
      <c r="BC12" s="93" t="n"/>
      <c r="BD12" s="93" t="n"/>
      <c r="BE12" s="467" t="n">
        <v>2.675402460000001</v>
      </c>
    </row>
    <row r="13">
      <c r="A13" s="137" t="inlineStr">
        <is>
          <t>26-18-4-CEW-</t>
        </is>
      </c>
      <c r="B13" s="136" t="n"/>
      <c r="C13" t="inlineStr">
        <is>
          <t>33.3-29.3-2-CEW-CEW</t>
        </is>
      </c>
      <c r="D13" s="136" t="n"/>
      <c r="G13" s="43" t="n"/>
      <c r="H13" s="43" t="n"/>
      <c r="I13" s="43" t="n"/>
      <c r="J13" s="91" t="n">
        <v>17.3</v>
      </c>
      <c r="K13" s="15" t="n">
        <v>17.3</v>
      </c>
      <c r="L13" s="15" t="n">
        <v>0</v>
      </c>
      <c r="M13" s="15" t="n">
        <v>1.2</v>
      </c>
      <c r="N13" s="15" t="inlineStr">
        <is>
          <t>ERW 1</t>
        </is>
      </c>
      <c r="O13" s="15" t="inlineStr">
        <is>
          <t>PE</t>
        </is>
      </c>
      <c r="P13" s="15" t="inlineStr">
        <is>
          <t>17.3-0-1.2-ERW 1-PE</t>
        </is>
      </c>
      <c r="Q13" s="92" t="inlineStr">
        <is>
          <t>Hosur</t>
        </is>
      </c>
      <c r="R13" s="607">
        <f>Table11[[#This Row],[Grand Total]]</f>
        <v/>
      </c>
      <c r="S13" s="93">
        <f>VLOOKUP(Table11[[#This Row],[Bucket]],salesforecast[[#All],[Bucket2]:[WIP]],3,0)</f>
        <v/>
      </c>
      <c r="T13" s="93">
        <f>VLOOKUP(Table11[[#This Row],[Bucket]],salesforecast[[#All],[Bucket2]:[WIP]],4,0)</f>
        <v/>
      </c>
      <c r="U13" s="93">
        <f>VLOOKUP(Table11[[#This Row],[Bucket]],salesforecast[[#All],[Bucket2]:[WIP]],5,0)</f>
        <v/>
      </c>
      <c r="V13" s="93">
        <f>VLOOKUP(Table11[[#This Row],[Bucket]],salesforecast[[#All],[Bucket2]:[WIP]],7,0)</f>
        <v/>
      </c>
      <c r="W13" s="93">
        <f>Table11[[#This Row],[Stock LL]]+Table11[[#This Row],[WIP]]+Table11[[#This Row],[Stock CTL]]</f>
        <v/>
      </c>
      <c r="X13" s="93">
        <f>IF((Table11[[#This Row],[Requirement]]-Table11[[#This Row],[Sales]]-Table11[[#This Row],[Total Stock]])&lt;0,0,Table11[[#This Row],[Requirement]]-Table11[[#This Row],[Sales]]-Table11[[#This Row],[Total Stock]])</f>
        <v/>
      </c>
      <c r="Y13" s="95" t="inlineStr">
        <is>
          <t>No Commitment</t>
        </is>
      </c>
      <c r="Z13" s="93" t="n">
        <v>17.3</v>
      </c>
      <c r="AA13" s="93" t="n">
        <v>17.3</v>
      </c>
      <c r="AB13" s="93" t="n">
        <v>0</v>
      </c>
      <c r="AC13" s="93" t="n">
        <v>1.2</v>
      </c>
      <c r="AD13" s="93" t="inlineStr">
        <is>
          <t>ERW 1</t>
        </is>
      </c>
      <c r="AE13" s="93" t="inlineStr">
        <is>
          <t>PE</t>
        </is>
      </c>
      <c r="AF13" s="93" t="inlineStr">
        <is>
          <t>17.3-0-1.2-ERW 1-PE</t>
        </is>
      </c>
      <c r="AG13" s="93">
        <f>EXACT(Table11[[#This Row],[Bucket8]],Table11[[#This Row],[Bucket]])</f>
        <v/>
      </c>
      <c r="AH13" s="93" t="n"/>
      <c r="AI13" s="93" t="n"/>
      <c r="AJ13" s="93" t="n"/>
      <c r="AK13" s="93" t="n"/>
      <c r="AL13" s="93" t="n"/>
      <c r="AM13" s="93" t="n"/>
      <c r="AN13" s="93" t="n"/>
      <c r="AO13" s="93" t="n">
        <v>1.07149203</v>
      </c>
      <c r="AP13" s="93" t="n"/>
      <c r="AQ13" s="93" t="n"/>
      <c r="AR13" s="93" t="n"/>
      <c r="AS13" s="93" t="n"/>
      <c r="AT13" s="93" t="n"/>
      <c r="AU13" s="93" t="n"/>
      <c r="AV13" s="93" t="n"/>
      <c r="AW13" s="93" t="n"/>
      <c r="AX13" s="93" t="n"/>
      <c r="AY13" s="93" t="n"/>
      <c r="AZ13" s="93" t="n"/>
      <c r="BA13" s="93" t="n"/>
      <c r="BB13" s="93" t="n"/>
      <c r="BC13" s="93" t="n"/>
      <c r="BD13" s="93" t="n"/>
      <c r="BE13" s="467" t="n">
        <v>1.07149203</v>
      </c>
    </row>
    <row r="14">
      <c r="A14" s="136" t="inlineStr">
        <is>
          <t>19-12.5-3.25-CEW-</t>
        </is>
      </c>
      <c r="B14" s="136" t="n"/>
      <c r="C14" t="inlineStr">
        <is>
          <t>34.93-0-1.2-ERW 1-FC</t>
        </is>
      </c>
      <c r="D14" s="136" t="n"/>
      <c r="G14" s="43" t="n"/>
      <c r="H14" s="43" t="n"/>
      <c r="I14" s="43" t="n"/>
      <c r="J14" s="91" t="n">
        <v>17.3</v>
      </c>
      <c r="K14" s="15" t="n">
        <v>17.3</v>
      </c>
      <c r="L14" s="15" t="n">
        <v>0</v>
      </c>
      <c r="M14" s="15" t="n">
        <v>1.6</v>
      </c>
      <c r="N14" s="15" t="inlineStr">
        <is>
          <t>ERW 1</t>
        </is>
      </c>
      <c r="O14" s="15" t="inlineStr">
        <is>
          <t>PE</t>
        </is>
      </c>
      <c r="P14" s="15" t="inlineStr">
        <is>
          <t>17.3-0-1.6-ERW 1-PE</t>
        </is>
      </c>
      <c r="Q14" s="92" t="inlineStr">
        <is>
          <t>Hosur</t>
        </is>
      </c>
      <c r="R14" s="607">
        <f>Table11[[#This Row],[Grand Total]]</f>
        <v/>
      </c>
      <c r="S14" s="93">
        <f>VLOOKUP(Table11[[#This Row],[Bucket]],salesforecast[[#All],[Bucket2]:[WIP]],3,0)</f>
        <v/>
      </c>
      <c r="T14" s="93">
        <f>VLOOKUP(Table11[[#This Row],[Bucket]],salesforecast[[#All],[Bucket2]:[WIP]],4,0)</f>
        <v/>
      </c>
      <c r="U14" s="93">
        <f>VLOOKUP(Table11[[#This Row],[Bucket]],salesforecast[[#All],[Bucket2]:[WIP]],5,0)</f>
        <v/>
      </c>
      <c r="V14" s="93">
        <f>VLOOKUP(Table11[[#This Row],[Bucket]],salesforecast[[#All],[Bucket2]:[WIP]],7,0)</f>
        <v/>
      </c>
      <c r="W14" s="93">
        <f>Table11[[#This Row],[Stock LL]]+Table11[[#This Row],[WIP]]+Table11[[#This Row],[Stock CTL]]</f>
        <v/>
      </c>
      <c r="X14" s="93">
        <f>IF((Table11[[#This Row],[Requirement]]-Table11[[#This Row],[Sales]]-Table11[[#This Row],[Total Stock]])&lt;0,0,Table11[[#This Row],[Requirement]]-Table11[[#This Row],[Sales]]-Table11[[#This Row],[Total Stock]])</f>
        <v/>
      </c>
      <c r="Y14" s="96" t="n"/>
      <c r="Z14" s="93" t="n">
        <v>17.3</v>
      </c>
      <c r="AA14" s="93" t="n">
        <v>17.3</v>
      </c>
      <c r="AB14" s="93" t="n">
        <v>0</v>
      </c>
      <c r="AC14" s="93" t="n">
        <v>1.6</v>
      </c>
      <c r="AD14" s="93" t="inlineStr">
        <is>
          <t>ERW 1</t>
        </is>
      </c>
      <c r="AE14" s="93" t="inlineStr">
        <is>
          <t>PE</t>
        </is>
      </c>
      <c r="AF14" s="93" t="inlineStr">
        <is>
          <t>17.3-0-1.6-ERW 1-PE</t>
        </is>
      </c>
      <c r="AG14" s="93">
        <f>EXACT(Table11[[#This Row],[Bucket8]],Table11[[#This Row],[Bucket]])</f>
        <v/>
      </c>
      <c r="AH14" s="93" t="n"/>
      <c r="AI14" s="93" t="n">
        <v>12.4982064328</v>
      </c>
      <c r="AJ14" s="93" t="n"/>
      <c r="AK14" s="93" t="n"/>
      <c r="AL14" s="93" t="n"/>
      <c r="AM14" s="93" t="n"/>
      <c r="AN14" s="93" t="n"/>
      <c r="AO14" s="93" t="n"/>
      <c r="AP14" s="93" t="n"/>
      <c r="AQ14" s="93" t="n"/>
      <c r="AR14" s="93" t="n"/>
      <c r="AS14" s="93" t="n"/>
      <c r="AT14" s="93" t="n"/>
      <c r="AU14" s="93" t="n"/>
      <c r="AV14" s="93" t="n"/>
      <c r="AW14" s="93" t="n"/>
      <c r="AX14" s="93" t="n"/>
      <c r="AY14" s="93" t="n">
        <v>5.526207204</v>
      </c>
      <c r="AZ14" s="93" t="n">
        <v>1.981385216</v>
      </c>
      <c r="BA14" s="93" t="n"/>
      <c r="BB14" s="93" t="n"/>
      <c r="BC14" s="93" t="n"/>
      <c r="BD14" s="93" t="n"/>
      <c r="BE14" s="467" t="n">
        <v>20.0057988528</v>
      </c>
    </row>
    <row r="15">
      <c r="A15" s="137" t="inlineStr">
        <is>
          <t>(blank)</t>
        </is>
      </c>
      <c r="B15" s="136" t="n"/>
      <c r="C15" t="inlineStr">
        <is>
          <t>34.93-0-1.6-ERW 1-FC</t>
        </is>
      </c>
      <c r="D15" s="136" t="n"/>
      <c r="G15" s="43" t="n"/>
      <c r="H15" s="43" t="n"/>
      <c r="I15" s="43" t="n"/>
      <c r="J15" s="91" t="n">
        <v>18.2</v>
      </c>
      <c r="K15" s="15" t="n">
        <v>18.2</v>
      </c>
      <c r="L15" s="15" t="n">
        <v>0</v>
      </c>
      <c r="M15" s="15" t="n">
        <v>1</v>
      </c>
      <c r="N15" s="15" t="inlineStr">
        <is>
          <t>ERW 1</t>
        </is>
      </c>
      <c r="O15" s="15" t="inlineStr">
        <is>
          <t>PE</t>
        </is>
      </c>
      <c r="P15" s="15" t="inlineStr">
        <is>
          <t>18.2-0-1-ERW 1-PE</t>
        </is>
      </c>
      <c r="Q15" s="92" t="inlineStr">
        <is>
          <t>Hosur</t>
        </is>
      </c>
      <c r="R15" s="607">
        <f>Table11[[#This Row],[Grand Total]]</f>
        <v/>
      </c>
      <c r="S15" s="93">
        <f>VLOOKUP(Table11[[#This Row],[Bucket]],salesforecast[[#All],[Bucket2]:[WIP]],3,0)</f>
        <v/>
      </c>
      <c r="T15" s="93">
        <f>VLOOKUP(Table11[[#This Row],[Bucket]],salesforecast[[#All],[Bucket2]:[WIP]],4,0)</f>
        <v/>
      </c>
      <c r="U15" s="93">
        <f>VLOOKUP(Table11[[#This Row],[Bucket]],salesforecast[[#All],[Bucket2]:[WIP]],5,0)</f>
        <v/>
      </c>
      <c r="V15" s="93">
        <f>VLOOKUP(Table11[[#This Row],[Bucket]],salesforecast[[#All],[Bucket2]:[WIP]],7,0)</f>
        <v/>
      </c>
      <c r="W15" s="93">
        <f>Table11[[#This Row],[Stock LL]]+Table11[[#This Row],[WIP]]+Table11[[#This Row],[Stock CTL]]</f>
        <v/>
      </c>
      <c r="X15" s="93">
        <f>IF((Table11[[#This Row],[Requirement]]-Table11[[#This Row],[Sales]]-Table11[[#This Row],[Total Stock]])&lt;0,0,Table11[[#This Row],[Requirement]]-Table11[[#This Row],[Sales]]-Table11[[#This Row],[Total Stock]])</f>
        <v/>
      </c>
      <c r="Y15" s="96" t="n"/>
      <c r="Z15" s="93" t="n">
        <v>18.2</v>
      </c>
      <c r="AA15" s="93" t="n">
        <v>18.2</v>
      </c>
      <c r="AB15" s="93" t="n">
        <v>0</v>
      </c>
      <c r="AC15" s="93" t="n">
        <v>1</v>
      </c>
      <c r="AD15" s="93" t="inlineStr">
        <is>
          <t>ERW 1</t>
        </is>
      </c>
      <c r="AE15" s="93" t="inlineStr">
        <is>
          <t>PE</t>
        </is>
      </c>
      <c r="AF15" s="93" t="inlineStr">
        <is>
          <t>18.2-0-1-ERW 1-PE</t>
        </is>
      </c>
      <c r="AG15" s="93">
        <f>EXACT(Table11[[#This Row],[Bucket8]],Table11[[#This Row],[Bucket]])</f>
        <v/>
      </c>
      <c r="AH15" s="93" t="n"/>
      <c r="AI15" s="93" t="n"/>
      <c r="AJ15" s="93" t="n"/>
      <c r="AK15" s="93" t="n"/>
      <c r="AL15" s="93" t="n"/>
      <c r="AM15" s="93" t="n"/>
      <c r="AN15" s="93" t="n"/>
      <c r="AO15" s="93" t="n">
        <v>2.39538982</v>
      </c>
      <c r="AP15" s="93" t="n">
        <v>0.279815448</v>
      </c>
      <c r="AQ15" s="93" t="n"/>
      <c r="AR15" s="93" t="n"/>
      <c r="AS15" s="93" t="n"/>
      <c r="AT15" s="93" t="n"/>
      <c r="AU15" s="93" t="n"/>
      <c r="AV15" s="93" t="n"/>
      <c r="AW15" s="93" t="n"/>
      <c r="AX15" s="93" t="n"/>
      <c r="AY15" s="93" t="n"/>
      <c r="AZ15" s="93" t="n"/>
      <c r="BA15" s="93" t="n"/>
      <c r="BB15" s="93" t="n"/>
      <c r="BC15" s="93" t="n"/>
      <c r="BD15" s="93" t="n"/>
      <c r="BE15" s="467" t="n">
        <v>2.675205268</v>
      </c>
    </row>
    <row r="16">
      <c r="A16" s="137" t="inlineStr">
        <is>
          <t>19.05-0-1.6-ERW 1-</t>
        </is>
      </c>
      <c r="B16" s="136" t="n"/>
      <c r="C16" t="inlineStr">
        <is>
          <t>34.93-0-2.6-ERW 1-FC</t>
        </is>
      </c>
      <c r="D16" s="136" t="n"/>
      <c r="G16" s="43" t="n"/>
      <c r="H16" s="43" t="n"/>
      <c r="I16" s="43" t="n"/>
      <c r="J16" s="91" t="n">
        <v>18.2</v>
      </c>
      <c r="K16" s="15" t="n">
        <v>18.2</v>
      </c>
      <c r="L16" s="15" t="n">
        <v>12.3</v>
      </c>
      <c r="M16" s="15" t="n">
        <v>2.95</v>
      </c>
      <c r="N16" s="15" t="inlineStr">
        <is>
          <t>ERW 1</t>
        </is>
      </c>
      <c r="O16" s="15" t="inlineStr">
        <is>
          <t>PE</t>
        </is>
      </c>
      <c r="P16" s="15" t="inlineStr">
        <is>
          <t>18.2-12.3-2.95-CEW-CEW</t>
        </is>
      </c>
      <c r="Q16" s="92" t="inlineStr">
        <is>
          <t>Khopoli</t>
        </is>
      </c>
      <c r="R16" s="607">
        <f>Table11[[#This Row],[Grand Total]]</f>
        <v/>
      </c>
      <c r="S16" s="93">
        <f>VLOOKUP(Table11[[#This Row],[Bucket]],salesforecast[[#All],[Bucket2]:[WIP]],3,0)</f>
        <v/>
      </c>
      <c r="T16" s="93">
        <f>VLOOKUP(Table11[[#This Row],[Bucket]],salesforecast[[#All],[Bucket2]:[WIP]],4,0)</f>
        <v/>
      </c>
      <c r="U16" s="93">
        <f>VLOOKUP(Table11[[#This Row],[Bucket]],salesforecast[[#All],[Bucket2]:[WIP]],5,0)</f>
        <v/>
      </c>
      <c r="V16" s="93">
        <f>VLOOKUP(Table11[[#This Row],[Bucket]],salesforecast[[#All],[Bucket2]:[WIP]],7,0)</f>
        <v/>
      </c>
      <c r="W16" s="93">
        <f>Table11[[#This Row],[Stock LL]]+Table11[[#This Row],[WIP]]+Table11[[#This Row],[Stock CTL]]</f>
        <v/>
      </c>
      <c r="X16" s="93">
        <f>IF((Table11[[#This Row],[Requirement]]-Table11[[#This Row],[Sales]]-Table11[[#This Row],[Total Stock]])&lt;0,0,Table11[[#This Row],[Requirement]]-Table11[[#This Row],[Sales]]-Table11[[#This Row],[Total Stock]])</f>
        <v/>
      </c>
      <c r="Y16" s="96" t="n"/>
      <c r="Z16" s="93" t="n">
        <v>18.2</v>
      </c>
      <c r="AA16" s="93" t="n">
        <v>18.2</v>
      </c>
      <c r="AB16" s="93" t="n">
        <v>12.3</v>
      </c>
      <c r="AC16" s="93" t="n">
        <v>2.95</v>
      </c>
      <c r="AD16" s="93" t="inlineStr">
        <is>
          <t>CEW</t>
        </is>
      </c>
      <c r="AE16" s="93" t="inlineStr">
        <is>
          <t>CEW</t>
        </is>
      </c>
      <c r="AF16" s="93" t="inlineStr">
        <is>
          <t>18.2-12.3-2.95-CEW-CEW</t>
        </is>
      </c>
      <c r="AG16" s="93">
        <f>EXACT(Table11[[#This Row],[Bucket8]],Table11[[#This Row],[Bucket]])</f>
        <v/>
      </c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>
        <v>2.217793775000001</v>
      </c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467" t="n">
        <v>2.217793775000001</v>
      </c>
    </row>
    <row r="17">
      <c r="A17" s="137" t="inlineStr">
        <is>
          <t>19.05-0-1.6--</t>
        </is>
      </c>
      <c r="B17" s="136" t="n"/>
      <c r="C17" t="inlineStr">
        <is>
          <t>37.6-31.2-3.2-CEW-CEW</t>
        </is>
      </c>
      <c r="D17" s="136" t="n"/>
      <c r="G17" s="43" t="n"/>
      <c r="H17" s="43" t="n"/>
      <c r="I17" s="43" t="n"/>
      <c r="J17" s="91" t="n">
        <v>19</v>
      </c>
      <c r="K17" s="15" t="n">
        <v>19</v>
      </c>
      <c r="L17" s="15" t="n">
        <v>12.5</v>
      </c>
      <c r="M17" s="15" t="n">
        <v>3.25</v>
      </c>
      <c r="N17" s="15" t="inlineStr">
        <is>
          <t>CEW</t>
        </is>
      </c>
      <c r="O17" s="15" t="inlineStr">
        <is>
          <t>CEW</t>
        </is>
      </c>
      <c r="P17" s="15" t="inlineStr">
        <is>
          <t>19-12.5-3.25-CEW-CEW</t>
        </is>
      </c>
      <c r="Q17" s="92" t="inlineStr">
        <is>
          <t>Khopoli</t>
        </is>
      </c>
      <c r="R17" s="607">
        <f>Table11[[#This Row],[Grand Total]]</f>
        <v/>
      </c>
      <c r="S17" s="93">
        <f>VLOOKUP(Table11[[#This Row],[Bucket]],salesforecast[[#All],[Bucket2]:[WIP]],3,0)</f>
        <v/>
      </c>
      <c r="T17" s="93">
        <f>VLOOKUP(Table11[[#This Row],[Bucket]],salesforecast[[#All],[Bucket2]:[WIP]],4,0)</f>
        <v/>
      </c>
      <c r="U17" s="93">
        <f>VLOOKUP(Table11[[#This Row],[Bucket]],salesforecast[[#All],[Bucket2]:[WIP]],5,0)</f>
        <v/>
      </c>
      <c r="V17" s="93">
        <f>VLOOKUP(Table11[[#This Row],[Bucket]],salesforecast[[#All],[Bucket2]:[WIP]],7,0)</f>
        <v/>
      </c>
      <c r="W17" s="93">
        <f>Table11[[#This Row],[Stock LL]]+Table11[[#This Row],[WIP]]+Table11[[#This Row],[Stock CTL]]</f>
        <v/>
      </c>
      <c r="X17" s="93">
        <f>IF((Table11[[#This Row],[Requirement]]-Table11[[#This Row],[Sales]]-Table11[[#This Row],[Total Stock]])&lt;0,0,Table11[[#This Row],[Requirement]]-Table11[[#This Row],[Sales]]-Table11[[#This Row],[Total Stock]])</f>
        <v/>
      </c>
      <c r="Y17" s="96" t="n"/>
      <c r="Z17" s="93" t="n">
        <v>19</v>
      </c>
      <c r="AA17" s="93" t="n">
        <v>19</v>
      </c>
      <c r="AB17" s="93" t="n">
        <v>12.5</v>
      </c>
      <c r="AC17" s="93" t="n">
        <v>3.25</v>
      </c>
      <c r="AD17" s="93" t="inlineStr">
        <is>
          <t>CEW</t>
        </is>
      </c>
      <c r="AE17" s="93" t="inlineStr">
        <is>
          <t>CEW</t>
        </is>
      </c>
      <c r="AF17" s="93" t="inlineStr">
        <is>
          <t>19-12.5-3.25-CEW-CEW</t>
        </is>
      </c>
      <c r="AG17" s="93">
        <f>EXACT(Table11[[#This Row],[Bucket8]],Table11[[#This Row],[Bucket]])</f>
        <v/>
      </c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>
        <v>3.70945882125</v>
      </c>
      <c r="AS17" s="93" t="n"/>
      <c r="AT17" s="93" t="n"/>
      <c r="AU17" s="93" t="n"/>
      <c r="AV17" s="93" t="n">
        <v>1.9682842725</v>
      </c>
      <c r="AW17" s="93" t="n"/>
      <c r="AX17" s="93" t="n"/>
      <c r="AY17" s="93" t="n"/>
      <c r="AZ17" s="93" t="n">
        <v>11.12837646375</v>
      </c>
      <c r="BA17" s="93" t="n"/>
      <c r="BB17" s="93" t="n"/>
      <c r="BC17" s="93" t="n"/>
      <c r="BD17" s="93" t="n"/>
      <c r="BE17" s="467" t="n">
        <v>16.8061195575</v>
      </c>
    </row>
    <row r="18">
      <c r="A18" s="137" t="inlineStr">
        <is>
          <t>19.05-0-1.63--</t>
        </is>
      </c>
      <c r="B18" s="136" t="n"/>
      <c r="C18" t="inlineStr">
        <is>
          <t>37.95-32-2.95-CEW-CEW</t>
        </is>
      </c>
      <c r="D18" s="136" t="n"/>
      <c r="G18" s="43" t="n"/>
      <c r="H18" s="43" t="n"/>
      <c r="I18" s="43" t="n"/>
      <c r="J18" s="91" t="n">
        <v>19.05</v>
      </c>
      <c r="K18" s="15" t="n">
        <v>19.05</v>
      </c>
      <c r="L18" s="15" t="n">
        <v>0</v>
      </c>
      <c r="M18" s="15" t="n">
        <v>1</v>
      </c>
      <c r="N18" s="15" t="inlineStr">
        <is>
          <t>ERW 1</t>
        </is>
      </c>
      <c r="O18" s="15" t="inlineStr">
        <is>
          <t>PE</t>
        </is>
      </c>
      <c r="P18" s="15" t="inlineStr">
        <is>
          <t>19.05-0-1-ERW 1-PE</t>
        </is>
      </c>
      <c r="Q18" s="92" t="inlineStr">
        <is>
          <t>Hosur</t>
        </is>
      </c>
      <c r="R18" s="607">
        <f>Table11[[#This Row],[Grand Total]]</f>
        <v/>
      </c>
      <c r="S18" s="93">
        <f>VLOOKUP(Table11[[#This Row],[Bucket]],salesforecast[[#All],[Bucket2]:[WIP]],3,0)</f>
        <v/>
      </c>
      <c r="T18" s="93">
        <f>VLOOKUP(Table11[[#This Row],[Bucket]],salesforecast[[#All],[Bucket2]:[WIP]],4,0)</f>
        <v/>
      </c>
      <c r="U18" s="93">
        <f>VLOOKUP(Table11[[#This Row],[Bucket]],salesforecast[[#All],[Bucket2]:[WIP]],5,0)</f>
        <v/>
      </c>
      <c r="V18" s="93">
        <f>VLOOKUP(Table11[[#This Row],[Bucket]],salesforecast[[#All],[Bucket2]:[WIP]],7,0)</f>
        <v/>
      </c>
      <c r="W18" s="93">
        <f>Table11[[#This Row],[Stock LL]]+Table11[[#This Row],[WIP]]+Table11[[#This Row],[Stock CTL]]</f>
        <v/>
      </c>
      <c r="X18" s="93">
        <f>IF((Table11[[#This Row],[Requirement]]-Table11[[#This Row],[Sales]]-Table11[[#This Row],[Total Stock]])&lt;0,0,Table11[[#This Row],[Requirement]]-Table11[[#This Row],[Sales]]-Table11[[#This Row],[Total Stock]])</f>
        <v/>
      </c>
      <c r="Y18" s="94" t="inlineStr">
        <is>
          <t>Available from week 2</t>
        </is>
      </c>
      <c r="Z18" s="93" t="n">
        <v>19.05</v>
      </c>
      <c r="AA18" s="93" t="n">
        <v>19.05</v>
      </c>
      <c r="AB18" s="93" t="n">
        <v>0</v>
      </c>
      <c r="AC18" s="93" t="n">
        <v>1</v>
      </c>
      <c r="AD18" s="93" t="inlineStr">
        <is>
          <t>ERW 1</t>
        </is>
      </c>
      <c r="AE18" s="93" t="inlineStr">
        <is>
          <t>PE</t>
        </is>
      </c>
      <c r="AF18" s="93" t="inlineStr">
        <is>
          <t>19.05-0-1-ERW 1-PE</t>
        </is>
      </c>
      <c r="AG18" s="93">
        <f>EXACT(Table11[[#This Row],[Bucket8]],Table11[[#This Row],[Bucket]])</f>
        <v/>
      </c>
      <c r="AH18" s="93" t="n">
        <v>4.271178720000001</v>
      </c>
      <c r="AI18" s="93" t="n"/>
      <c r="AJ18" s="93" t="n"/>
      <c r="AK18" s="93" t="n"/>
      <c r="AL18" s="93" t="n"/>
      <c r="AM18" s="93" t="n"/>
      <c r="AN18" s="93" t="n"/>
      <c r="AO18" s="93" t="n"/>
      <c r="AP18" s="93" t="n">
        <v>4.871813227500001</v>
      </c>
      <c r="AQ18" s="93" t="n"/>
      <c r="AR18" s="93" t="n"/>
      <c r="AS18" s="93" t="n"/>
      <c r="AT18" s="93" t="n"/>
      <c r="AU18" s="93" t="n"/>
      <c r="AV18" s="93" t="n"/>
      <c r="AW18" s="93" t="n"/>
      <c r="AX18" s="93" t="n"/>
      <c r="AY18" s="93" t="n"/>
      <c r="AZ18" s="93" t="n"/>
      <c r="BA18" s="93" t="n"/>
      <c r="BB18" s="93" t="n"/>
      <c r="BC18" s="93" t="n"/>
      <c r="BD18" s="93" t="n"/>
      <c r="BE18" s="467" t="n">
        <v>9.142991947500001</v>
      </c>
    </row>
    <row r="19">
      <c r="A19" s="136" t="inlineStr">
        <is>
          <t>(blank)</t>
        </is>
      </c>
      <c r="B19" s="136" t="n"/>
      <c r="C19" t="inlineStr">
        <is>
          <t>30-30-1.2-CRFH-PE</t>
        </is>
      </c>
      <c r="D19" s="136" t="n"/>
      <c r="G19" s="43" t="n"/>
      <c r="H19" s="43" t="n"/>
      <c r="I19" s="43" t="n"/>
      <c r="J19" s="91" t="n">
        <v>19.05</v>
      </c>
      <c r="K19" s="15" t="n">
        <v>19.05</v>
      </c>
      <c r="L19" s="15" t="n">
        <v>0</v>
      </c>
      <c r="M19" s="15" t="n">
        <v>1.2</v>
      </c>
      <c r="N19" s="15" t="inlineStr">
        <is>
          <t>CRFH</t>
        </is>
      </c>
      <c r="O19" s="15" t="inlineStr">
        <is>
          <t>PE</t>
        </is>
      </c>
      <c r="P19" s="15" t="inlineStr">
        <is>
          <t>19.05-0-1.2-CRFH-PE</t>
        </is>
      </c>
      <c r="Q19" s="92" t="inlineStr">
        <is>
          <t>Hosur</t>
        </is>
      </c>
      <c r="R19" s="607">
        <f>Table11[[#This Row],[Grand Total]]</f>
        <v/>
      </c>
      <c r="S19" s="93">
        <f>VLOOKUP(Table11[[#This Row],[Bucket]],salesforecast[[#All],[Bucket2]:[WIP]],3,0)</f>
        <v/>
      </c>
      <c r="T19" s="93">
        <f>VLOOKUP(Table11[[#This Row],[Bucket]],salesforecast[[#All],[Bucket2]:[WIP]],4,0)</f>
        <v/>
      </c>
      <c r="U19" s="93">
        <f>VLOOKUP(Table11[[#This Row],[Bucket]],salesforecast[[#All],[Bucket2]:[WIP]],5,0)</f>
        <v/>
      </c>
      <c r="V19" s="93">
        <f>VLOOKUP(Table11[[#This Row],[Bucket]],salesforecast[[#All],[Bucket2]:[WIP]],7,0)</f>
        <v/>
      </c>
      <c r="W19" s="93">
        <f>Table11[[#This Row],[Stock LL]]+Table11[[#This Row],[WIP]]+Table11[[#This Row],[Stock CTL]]</f>
        <v/>
      </c>
      <c r="X19" s="93">
        <f>IF((Table11[[#This Row],[Requirement]]-Table11[[#This Row],[Sales]]-Table11[[#This Row],[Total Stock]])&lt;0,0,Table11[[#This Row],[Requirement]]-Table11[[#This Row],[Sales]]-Table11[[#This Row],[Total Stock]])</f>
        <v/>
      </c>
      <c r="Y19" s="96" t="n"/>
      <c r="Z19" s="93" t="n">
        <v>19.05</v>
      </c>
      <c r="AA19" s="93" t="n">
        <v>19.05</v>
      </c>
      <c r="AB19" s="93" t="n">
        <v>0</v>
      </c>
      <c r="AC19" s="93" t="n">
        <v>1.2</v>
      </c>
      <c r="AD19" s="93" t="inlineStr">
        <is>
          <t>CRFH</t>
        </is>
      </c>
      <c r="AE19" s="93" t="inlineStr">
        <is>
          <t>PE</t>
        </is>
      </c>
      <c r="AF19" s="93" t="inlineStr">
        <is>
          <t>19.05-0-1.2-CRFH-PE</t>
        </is>
      </c>
      <c r="AG19" s="93">
        <f>EXACT(Table11[[#This Row],[Bucket8]],Table11[[#This Row],[Bucket]])</f>
        <v/>
      </c>
      <c r="AH19" s="93" t="n"/>
      <c r="AI19" s="93" t="n"/>
      <c r="AJ19" s="93" t="n"/>
      <c r="AK19" s="93" t="n"/>
      <c r="AL19" s="93" t="n"/>
      <c r="AM19" s="93" t="n"/>
      <c r="AN19" s="93" t="n"/>
      <c r="AO19" s="93" t="n"/>
      <c r="AP19" s="93" t="n"/>
      <c r="AQ19" s="93" t="n"/>
      <c r="AR19" s="93" t="n"/>
      <c r="AS19" s="93" t="n"/>
      <c r="AT19" s="93" t="n"/>
      <c r="AU19" s="93" t="n"/>
      <c r="AV19" s="93" t="n"/>
      <c r="AW19" s="93" t="n"/>
      <c r="AX19" s="93" t="n"/>
      <c r="AY19" s="93" t="n"/>
      <c r="AZ19" s="93" t="n"/>
      <c r="BA19" s="93" t="n"/>
      <c r="BB19" s="93" t="n">
        <v>7.208796502529999</v>
      </c>
      <c r="BC19" s="93" t="n">
        <v>10.03481790948</v>
      </c>
      <c r="BD19" s="93" t="n"/>
      <c r="BE19" s="467" t="n">
        <v>17.24361441201</v>
      </c>
    </row>
    <row r="20">
      <c r="A20" s="136" t="inlineStr">
        <is>
          <t>19.05-0-2-ERW 1-</t>
        </is>
      </c>
      <c r="B20" s="136" t="n"/>
      <c r="C20" t="inlineStr">
        <is>
          <t>38.1-0-1.6-ERW 1-FC</t>
        </is>
      </c>
      <c r="D20" s="136" t="n"/>
      <c r="G20" s="43" t="n"/>
      <c r="H20" s="43" t="n"/>
      <c r="I20" s="43" t="n"/>
      <c r="J20" s="91" t="n">
        <v>19.05</v>
      </c>
      <c r="K20" s="15" t="n">
        <v>19.05</v>
      </c>
      <c r="L20" s="15" t="n">
        <v>0</v>
      </c>
      <c r="M20" s="15" t="n">
        <v>1.2</v>
      </c>
      <c r="N20" s="15" t="inlineStr">
        <is>
          <t>ERW 1</t>
        </is>
      </c>
      <c r="O20" s="15" t="inlineStr">
        <is>
          <t>PE</t>
        </is>
      </c>
      <c r="P20" s="15" t="inlineStr">
        <is>
          <t>19.05-0-1.2-ERW 1-PE</t>
        </is>
      </c>
      <c r="Q20" s="92" t="inlineStr">
        <is>
          <t>Hosur</t>
        </is>
      </c>
      <c r="R20" s="607">
        <f>Table11[[#This Row],[Grand Total]]</f>
        <v/>
      </c>
      <c r="S20" s="93">
        <f>VLOOKUP(Table11[[#This Row],[Bucket]],salesforecast[[#All],[Bucket2]:[WIP]],3,0)</f>
        <v/>
      </c>
      <c r="T20" s="93">
        <f>VLOOKUP(Table11[[#This Row],[Bucket]],salesforecast[[#All],[Bucket2]:[WIP]],4,0)</f>
        <v/>
      </c>
      <c r="U20" s="93">
        <f>VLOOKUP(Table11[[#This Row],[Bucket]],salesforecast[[#All],[Bucket2]:[WIP]],5,0)</f>
        <v/>
      </c>
      <c r="V20" s="93">
        <f>VLOOKUP(Table11[[#This Row],[Bucket]],salesforecast[[#All],[Bucket2]:[WIP]],7,0)</f>
        <v/>
      </c>
      <c r="W20" s="93">
        <f>Table11[[#This Row],[Stock LL]]+Table11[[#This Row],[WIP]]+Table11[[#This Row],[Stock CTL]]</f>
        <v/>
      </c>
      <c r="X20" s="93">
        <f>IF((Table11[[#This Row],[Requirement]]-Table11[[#This Row],[Sales]]-Table11[[#This Row],[Total Stock]])&lt;0,0,Table11[[#This Row],[Requirement]]-Table11[[#This Row],[Sales]]-Table11[[#This Row],[Total Stock]])</f>
        <v/>
      </c>
      <c r="Y20" s="94">
        <f>_xlfn.CONCAT(ROUND(Table11[[#This Row],[Total Stock]]/Table11[[#This Row],[Requirement]]*100,0),"% Coverage. Rest by Week 3")</f>
        <v/>
      </c>
      <c r="Z20" s="93" t="n">
        <v>19.05</v>
      </c>
      <c r="AA20" s="93" t="n">
        <v>19.05</v>
      </c>
      <c r="AB20" s="93" t="n">
        <v>0</v>
      </c>
      <c r="AC20" s="93" t="n">
        <v>1.2</v>
      </c>
      <c r="AD20" s="93" t="inlineStr">
        <is>
          <t>ERW 1</t>
        </is>
      </c>
      <c r="AE20" s="93" t="inlineStr">
        <is>
          <t>PE</t>
        </is>
      </c>
      <c r="AF20" s="93" t="inlineStr">
        <is>
          <t>19.05-0-1.2-ERW 1-PE</t>
        </is>
      </c>
      <c r="AG20" s="93">
        <f>EXACT(Table11[[#This Row],[Bucket8]],Table11[[#This Row],[Bucket]])</f>
        <v/>
      </c>
      <c r="AH20" s="93" t="n">
        <v>7.98941726856</v>
      </c>
      <c r="AI20" s="93" t="n"/>
      <c r="AJ20" s="93" t="n"/>
      <c r="AK20" s="93" t="n"/>
      <c r="AL20" s="93" t="n"/>
      <c r="AM20" s="93" t="n"/>
      <c r="AN20" s="93" t="n"/>
      <c r="AO20" s="93" t="n"/>
      <c r="AP20" s="93" t="n">
        <v>5.4857286162</v>
      </c>
      <c r="AQ20" s="93" t="n"/>
      <c r="AR20" s="93" t="n"/>
      <c r="AS20" s="93" t="n"/>
      <c r="AT20" s="93" t="n"/>
      <c r="AU20" s="93" t="n"/>
      <c r="AV20" s="93" t="n"/>
      <c r="AW20" s="93" t="n"/>
      <c r="AX20" s="93" t="n"/>
      <c r="AY20" s="93" t="n">
        <v>1.715940135</v>
      </c>
      <c r="AZ20" s="93" t="n"/>
      <c r="BA20" s="93" t="n"/>
      <c r="BB20" s="93" t="n"/>
      <c r="BC20" s="93" t="n"/>
      <c r="BD20" s="93" t="n"/>
      <c r="BE20" s="467" t="n">
        <v>15.19108601976</v>
      </c>
    </row>
    <row r="21">
      <c r="A21" s="136" t="inlineStr">
        <is>
          <t>(blank)</t>
        </is>
      </c>
      <c r="B21" s="136" t="n"/>
      <c r="C21" t="inlineStr">
        <is>
          <t>38.1-0-1.6-ERW 2 MAHS-FC</t>
        </is>
      </c>
      <c r="D21" s="136" t="n"/>
      <c r="G21" s="43" t="n"/>
      <c r="H21" s="43" t="n"/>
      <c r="I21" s="43" t="n"/>
      <c r="J21" s="91" t="n">
        <v>19.05</v>
      </c>
      <c r="K21" s="15" t="n">
        <v>19.05</v>
      </c>
      <c r="L21" s="15" t="n">
        <v>0</v>
      </c>
      <c r="M21" s="15" t="n">
        <v>1.6</v>
      </c>
      <c r="N21" s="15" t="inlineStr">
        <is>
          <t>ERW 1</t>
        </is>
      </c>
      <c r="O21" s="15" t="inlineStr">
        <is>
          <t>PE</t>
        </is>
      </c>
      <c r="P21" s="15" t="inlineStr">
        <is>
          <t>19.05-0-1.6-ERW 1-PE</t>
        </is>
      </c>
      <c r="Q21" s="92" t="inlineStr">
        <is>
          <t>Hosur</t>
        </is>
      </c>
      <c r="R21" s="607">
        <f>Table11[[#This Row],[Grand Total]]</f>
        <v/>
      </c>
      <c r="S21" s="93">
        <f>VLOOKUP(Table11[[#This Row],[Bucket]],salesforecast[[#All],[Bucket2]:[WIP]],3,0)</f>
        <v/>
      </c>
      <c r="T21" s="93">
        <f>VLOOKUP(Table11[[#This Row],[Bucket]],salesforecast[[#All],[Bucket2]:[WIP]],4,0)</f>
        <v/>
      </c>
      <c r="U21" s="93">
        <f>VLOOKUP(Table11[[#This Row],[Bucket]],salesforecast[[#All],[Bucket2]:[WIP]],5,0)</f>
        <v/>
      </c>
      <c r="V21" s="93">
        <f>VLOOKUP(Table11[[#This Row],[Bucket]],salesforecast[[#All],[Bucket2]:[WIP]],7,0)</f>
        <v/>
      </c>
      <c r="W21" s="93">
        <f>Table11[[#This Row],[Stock LL]]+Table11[[#This Row],[WIP]]+Table11[[#This Row],[Stock CTL]]</f>
        <v/>
      </c>
      <c r="X21" s="93">
        <f>IF((Table11[[#This Row],[Requirement]]-Table11[[#This Row],[Sales]]-Table11[[#This Row],[Total Stock]])&lt;0,0,Table11[[#This Row],[Requirement]]-Table11[[#This Row],[Sales]]-Table11[[#This Row],[Total Stock]])</f>
        <v/>
      </c>
      <c r="Y21" s="94">
        <f>_xlfn.CONCAT(ROUND(Table11[[#This Row],[Total Stock]]/Table11[[#This Row],[Requirement]]*100,0),"% Coverage. Rest by Week 3")</f>
        <v/>
      </c>
      <c r="Z21" s="93" t="n">
        <v>19.05</v>
      </c>
      <c r="AA21" s="93" t="n">
        <v>19.05</v>
      </c>
      <c r="AB21" s="93" t="n">
        <v>0</v>
      </c>
      <c r="AC21" s="93" t="n">
        <v>1.6</v>
      </c>
      <c r="AD21" s="93" t="inlineStr">
        <is>
          <t>ERW 1</t>
        </is>
      </c>
      <c r="AE21" s="93" t="inlineStr">
        <is>
          <t>PE</t>
        </is>
      </c>
      <c r="AF21" s="93" t="inlineStr">
        <is>
          <t>19.05-0-1.6-ERW 1-PE</t>
        </is>
      </c>
      <c r="AG21" s="93">
        <f>EXACT(Table11[[#This Row],[Bucket8]],Table11[[#This Row],[Bucket]])</f>
        <v/>
      </c>
      <c r="AH21" s="93" t="n"/>
      <c r="AI21" s="93" t="n"/>
      <c r="AJ21" s="93" t="n"/>
      <c r="AK21" s="93" t="n"/>
      <c r="AL21" s="93" t="n"/>
      <c r="AM21" s="93" t="n"/>
      <c r="AN21" s="93" t="n"/>
      <c r="AO21" s="93" t="n"/>
      <c r="AP21" s="93" t="n">
        <v>1.2594061464</v>
      </c>
      <c r="AQ21" s="93" t="n"/>
      <c r="AR21" s="93" t="n"/>
      <c r="AS21" s="93" t="n"/>
      <c r="AT21" s="93" t="n"/>
      <c r="AU21" s="93" t="n"/>
      <c r="AV21" s="93" t="n"/>
      <c r="AW21" s="93" t="n"/>
      <c r="AX21" s="93" t="n"/>
      <c r="AY21" s="93" t="n">
        <v>2.047395238</v>
      </c>
      <c r="AZ21" s="93" t="n"/>
      <c r="BA21" s="93" t="n"/>
      <c r="BB21" s="93" t="n"/>
      <c r="BC21" s="93" t="n"/>
      <c r="BD21" s="93" t="n"/>
      <c r="BE21" s="467" t="n">
        <v>3.3068013844</v>
      </c>
    </row>
    <row r="22">
      <c r="A22" t="inlineStr">
        <is>
          <t>19.05-0-2--</t>
        </is>
      </c>
      <c r="C22" t="inlineStr">
        <is>
          <t>38.1-0-2-ERW 1-FC</t>
        </is>
      </c>
      <c r="H22" s="43" t="n"/>
      <c r="I22" s="43" t="n"/>
      <c r="J22" s="91" t="n">
        <v>19.05</v>
      </c>
      <c r="K22" s="15" t="n">
        <v>19.05</v>
      </c>
      <c r="L22" s="15" t="n">
        <v>0</v>
      </c>
      <c r="M22" s="15" t="n">
        <v>1.6</v>
      </c>
      <c r="N22" s="15" t="inlineStr">
        <is>
          <t>ERW 2 MAHS</t>
        </is>
      </c>
      <c r="O22" s="15" t="inlineStr">
        <is>
          <t>PE</t>
        </is>
      </c>
      <c r="P22" s="15" t="inlineStr">
        <is>
          <t>19.05-0-1.6-ERW 2 MAHS-PE</t>
        </is>
      </c>
      <c r="Q22" s="92" t="inlineStr">
        <is>
          <t>Hosur</t>
        </is>
      </c>
      <c r="R22" s="607">
        <f>Table11[[#This Row],[Grand Total]]</f>
        <v/>
      </c>
      <c r="S22" s="93">
        <f>VLOOKUP(Table11[[#This Row],[Bucket]],salesforecast[[#All],[Bucket2]:[WIP]],3,0)</f>
        <v/>
      </c>
      <c r="T22" s="93">
        <f>VLOOKUP(Table11[[#This Row],[Bucket]],salesforecast[[#All],[Bucket2]:[WIP]],4,0)</f>
        <v/>
      </c>
      <c r="U22" s="93">
        <f>VLOOKUP(Table11[[#This Row],[Bucket]],salesforecast[[#All],[Bucket2]:[WIP]],5,0)</f>
        <v/>
      </c>
      <c r="V22" s="93">
        <f>VLOOKUP(Table11[[#This Row],[Bucket]],salesforecast[[#All],[Bucket2]:[WIP]],7,0)</f>
        <v/>
      </c>
      <c r="W22" s="93">
        <f>Table11[[#This Row],[Stock LL]]+Table11[[#This Row],[WIP]]+Table11[[#This Row],[Stock CTL]]</f>
        <v/>
      </c>
      <c r="X22" s="93">
        <f>IF((Table11[[#This Row],[Requirement]]-Table11[[#This Row],[Sales]]-Table11[[#This Row],[Total Stock]])&lt;0,0,Table11[[#This Row],[Requirement]]-Table11[[#This Row],[Sales]]-Table11[[#This Row],[Total Stock]])</f>
        <v/>
      </c>
      <c r="Y22" s="96" t="n"/>
      <c r="Z22" s="93" t="n">
        <v>19.05</v>
      </c>
      <c r="AA22" s="93" t="n">
        <v>19.05</v>
      </c>
      <c r="AB22" s="93" t="n">
        <v>0</v>
      </c>
      <c r="AC22" s="93" t="n">
        <v>1.6</v>
      </c>
      <c r="AD22" s="93" t="inlineStr">
        <is>
          <t>ERW 2 MAHS</t>
        </is>
      </c>
      <c r="AE22" s="93" t="inlineStr">
        <is>
          <t>PE</t>
        </is>
      </c>
      <c r="AF22" s="93" t="inlineStr">
        <is>
          <t>19.05-0-1.6-ERW 2 MAHS-PE</t>
        </is>
      </c>
      <c r="AG22" s="93">
        <f>EXACT(Table11[[#This Row],[Bucket8]],Table11[[#This Row],[Bucket]])</f>
        <v/>
      </c>
      <c r="AH22" s="93" t="n"/>
      <c r="AI22" s="93" t="n"/>
      <c r="AJ22" s="93" t="n"/>
      <c r="AK22" s="93" t="n"/>
      <c r="AL22" s="93" t="n"/>
      <c r="AM22" s="93" t="n"/>
      <c r="AN22" s="93" t="n"/>
      <c r="AO22" s="93" t="n"/>
      <c r="AP22" s="93" t="n"/>
      <c r="AQ22" s="93" t="n">
        <v>13.557541576</v>
      </c>
      <c r="AR22" s="93" t="n"/>
      <c r="AS22" s="93" t="n"/>
      <c r="AT22" s="93" t="n"/>
      <c r="AU22" s="93" t="n"/>
      <c r="AV22" s="93" t="n">
        <v>5.33355062</v>
      </c>
      <c r="AW22" s="93" t="n"/>
      <c r="AX22" s="93" t="n"/>
      <c r="AY22" s="93" t="n"/>
      <c r="AZ22" s="93" t="n"/>
      <c r="BA22" s="93" t="n"/>
      <c r="BB22" s="93" t="n"/>
      <c r="BC22" s="93" t="n"/>
      <c r="BD22" s="93" t="n"/>
      <c r="BE22" s="467" t="n">
        <v>18.891092196</v>
      </c>
    </row>
    <row r="23">
      <c r="A23" s="136" t="inlineStr">
        <is>
          <t>19.05-0-2.3-ERW 1-</t>
        </is>
      </c>
      <c r="B23" s="136" t="n"/>
      <c r="C23" t="inlineStr">
        <is>
          <t>38.1-0-2.5-ERW 2 MAHS-FC</t>
        </is>
      </c>
      <c r="D23" s="136" t="n"/>
      <c r="G23" s="43" t="n"/>
      <c r="H23" s="43" t="n"/>
      <c r="I23" s="43" t="n"/>
      <c r="J23" s="91" t="n">
        <v>19.05</v>
      </c>
      <c r="K23" s="15" t="n">
        <v>19.05</v>
      </c>
      <c r="L23" s="15" t="n">
        <v>0</v>
      </c>
      <c r="M23" s="15" t="n">
        <v>2</v>
      </c>
      <c r="N23" s="15" t="inlineStr">
        <is>
          <t>ERW 1</t>
        </is>
      </c>
      <c r="O23" s="15" t="inlineStr">
        <is>
          <t>PE</t>
        </is>
      </c>
      <c r="P23" s="15" t="inlineStr">
        <is>
          <t>19.05-0-2-ERW 1-PE</t>
        </is>
      </c>
      <c r="Q23" s="92" t="inlineStr">
        <is>
          <t>Hosur</t>
        </is>
      </c>
      <c r="R23" s="607">
        <f>Table11[[#This Row],[Grand Total]]</f>
        <v/>
      </c>
      <c r="S23" s="93">
        <f>VLOOKUP(Table11[[#This Row],[Bucket]],salesforecast[[#All],[Bucket2]:[WIP]],3,0)</f>
        <v/>
      </c>
      <c r="T23" s="93">
        <f>VLOOKUP(Table11[[#This Row],[Bucket]],salesforecast[[#All],[Bucket2]:[WIP]],4,0)</f>
        <v/>
      </c>
      <c r="U23" s="93">
        <f>VLOOKUP(Table11[[#This Row],[Bucket]],salesforecast[[#All],[Bucket2]:[WIP]],5,0)</f>
        <v/>
      </c>
      <c r="V23" s="93">
        <f>VLOOKUP(Table11[[#This Row],[Bucket]],salesforecast[[#All],[Bucket2]:[WIP]],7,0)</f>
        <v/>
      </c>
      <c r="W23" s="93">
        <f>Table11[[#This Row],[Stock LL]]+Table11[[#This Row],[WIP]]+Table11[[#This Row],[Stock CTL]]</f>
        <v/>
      </c>
      <c r="X23" s="93">
        <f>IF((Table11[[#This Row],[Requirement]]-Table11[[#This Row],[Sales]]-Table11[[#This Row],[Total Stock]])&lt;0,0,Table11[[#This Row],[Requirement]]-Table11[[#This Row],[Sales]]-Table11[[#This Row],[Total Stock]])</f>
        <v/>
      </c>
      <c r="Y23" s="94">
        <f>_xlfn.CONCAT(ROUND(Table11[[#This Row],[Total Stock]]/Table11[[#This Row],[Requirement]]*100,0),"% Coverage. Rest by Week 3")</f>
        <v/>
      </c>
      <c r="Z23" s="93" t="n">
        <v>19.05</v>
      </c>
      <c r="AA23" s="93" t="n">
        <v>19.05</v>
      </c>
      <c r="AB23" s="93" t="n">
        <v>0</v>
      </c>
      <c r="AC23" s="93" t="n">
        <v>2</v>
      </c>
      <c r="AD23" s="93" t="inlineStr">
        <is>
          <t>ERW 1</t>
        </is>
      </c>
      <c r="AE23" s="93" t="inlineStr">
        <is>
          <t>PE</t>
        </is>
      </c>
      <c r="AF23" s="93" t="inlineStr">
        <is>
          <t>19.05-0-2-ERW 1-PE</t>
        </is>
      </c>
      <c r="AG23" s="93">
        <f>EXACT(Table11[[#This Row],[Bucket8]],Table11[[#This Row],[Bucket]])</f>
        <v/>
      </c>
      <c r="AH23" s="93" t="n"/>
      <c r="AI23" s="93" t="n">
        <v>2.714914807</v>
      </c>
      <c r="AJ23" s="93" t="n"/>
      <c r="AK23" s="93" t="n"/>
      <c r="AL23" s="93" t="n"/>
      <c r="AM23" s="93" t="n"/>
      <c r="AN23" s="93" t="n"/>
      <c r="AO23" s="93" t="n"/>
      <c r="AP23" s="93" t="n"/>
      <c r="AQ23" s="93" t="n">
        <v>1.9962608875</v>
      </c>
      <c r="AR23" s="93" t="n"/>
      <c r="AS23" s="93" t="n">
        <v>5.984580008</v>
      </c>
      <c r="AT23" s="93" t="n"/>
      <c r="AU23" s="93" t="n">
        <v>7.001622397</v>
      </c>
      <c r="AV23" s="93" t="n"/>
      <c r="AW23" s="93" t="n"/>
      <c r="AX23" s="93" t="n"/>
      <c r="AY23" s="93" t="n"/>
      <c r="AZ23" s="93" t="n">
        <v>21.0595016995</v>
      </c>
      <c r="BA23" s="93" t="n"/>
      <c r="BB23" s="93" t="n"/>
      <c r="BC23" s="93" t="n"/>
      <c r="BD23" s="93" t="n"/>
      <c r="BE23" s="467" t="n">
        <v>38.756879799</v>
      </c>
    </row>
    <row r="24">
      <c r="A24" s="136" t="inlineStr">
        <is>
          <t>19.05-0-2.34-ERW 1-</t>
        </is>
      </c>
      <c r="B24" s="136" t="n"/>
      <c r="C24" t="inlineStr">
        <is>
          <t>38.1-0-3.66-ERW 1-FC</t>
        </is>
      </c>
      <c r="D24" s="136" t="n"/>
      <c r="G24" s="43" t="n"/>
      <c r="H24" s="43" t="n"/>
      <c r="I24" s="43" t="n"/>
      <c r="J24" s="91" t="n">
        <v>19.05</v>
      </c>
      <c r="K24" s="15" t="n">
        <v>19.05</v>
      </c>
      <c r="L24" s="15" t="n">
        <v>0</v>
      </c>
      <c r="M24" s="15" t="n">
        <v>2.3</v>
      </c>
      <c r="N24" s="15" t="inlineStr">
        <is>
          <t>ERW 1</t>
        </is>
      </c>
      <c r="O24" s="15" t="inlineStr">
        <is>
          <t>PE</t>
        </is>
      </c>
      <c r="P24" s="15" t="inlineStr">
        <is>
          <t>19.05-0-2.3-ERW 1-PE</t>
        </is>
      </c>
      <c r="Q24" s="92" t="inlineStr">
        <is>
          <t>Hosur</t>
        </is>
      </c>
      <c r="R24" s="607">
        <f>Table11[[#This Row],[Grand Total]]</f>
        <v/>
      </c>
      <c r="S24" s="93">
        <f>VLOOKUP(Table11[[#This Row],[Bucket]],salesforecast[[#All],[Bucket2]:[WIP]],3,0)</f>
        <v/>
      </c>
      <c r="T24" s="93">
        <f>VLOOKUP(Table11[[#This Row],[Bucket]],salesforecast[[#All],[Bucket2]:[WIP]],4,0)</f>
        <v/>
      </c>
      <c r="U24" s="93">
        <f>VLOOKUP(Table11[[#This Row],[Bucket]],salesforecast[[#All],[Bucket2]:[WIP]],5,0)</f>
        <v/>
      </c>
      <c r="V24" s="93">
        <f>VLOOKUP(Table11[[#This Row],[Bucket]],salesforecast[[#All],[Bucket2]:[WIP]],7,0)</f>
        <v/>
      </c>
      <c r="W24" s="93">
        <f>Table11[[#This Row],[Stock LL]]+Table11[[#This Row],[WIP]]+Table11[[#This Row],[Stock CTL]]</f>
        <v/>
      </c>
      <c r="X24" s="93">
        <f>IF((Table11[[#This Row],[Requirement]]-Table11[[#This Row],[Sales]]-Table11[[#This Row],[Total Stock]])&lt;0,0,Table11[[#This Row],[Requirement]]-Table11[[#This Row],[Sales]]-Table11[[#This Row],[Total Stock]])</f>
        <v/>
      </c>
      <c r="Y24" s="96" t="n"/>
      <c r="Z24" s="93" t="n">
        <v>19.05</v>
      </c>
      <c r="AA24" s="93" t="n">
        <v>19.05</v>
      </c>
      <c r="AB24" s="93" t="n">
        <v>0</v>
      </c>
      <c r="AC24" s="93" t="n">
        <v>2.3</v>
      </c>
      <c r="AD24" s="93" t="inlineStr">
        <is>
          <t>ERW 1</t>
        </is>
      </c>
      <c r="AE24" s="93" t="inlineStr">
        <is>
          <t>PE</t>
        </is>
      </c>
      <c r="AF24" s="93" t="inlineStr">
        <is>
          <t>19.05-0-2.3-ERW 1-PE</t>
        </is>
      </c>
      <c r="AG24" s="93">
        <f>EXACT(Table11[[#This Row],[Bucket8]],Table11[[#This Row],[Bucket]])</f>
        <v/>
      </c>
      <c r="AH24" s="93" t="n"/>
      <c r="AI24" s="93" t="n">
        <v>10.133210678475</v>
      </c>
      <c r="AJ24" s="93" t="n"/>
      <c r="AK24" s="93" t="n"/>
      <c r="AL24" s="93" t="n">
        <v>2.673131670875</v>
      </c>
      <c r="AM24" s="93" t="n"/>
      <c r="AN24" s="93" t="n"/>
      <c r="AO24" s="93" t="n"/>
      <c r="AP24" s="93" t="n">
        <v>3.7414347365</v>
      </c>
      <c r="AQ24" s="93" t="n"/>
      <c r="AR24" s="93" t="n"/>
      <c r="AS24" s="93" t="n">
        <v>4.629313284375</v>
      </c>
      <c r="AT24" s="93" t="n"/>
      <c r="AU24" s="93" t="n"/>
      <c r="AV24" s="93" t="n"/>
      <c r="AW24" s="93" t="n"/>
      <c r="AX24" s="93" t="n"/>
      <c r="AY24" s="93" t="n"/>
      <c r="AZ24" s="93" t="n">
        <v>61.1354234355</v>
      </c>
      <c r="BA24" s="93" t="n"/>
      <c r="BB24" s="93" t="n"/>
      <c r="BC24" s="93" t="n"/>
      <c r="BD24" s="93" t="n"/>
      <c r="BE24" s="467" t="n">
        <v>82.31251380572499</v>
      </c>
    </row>
    <row r="25">
      <c r="A25" s="137" t="inlineStr">
        <is>
          <t>19.05-0-2.5-ERW 2-</t>
        </is>
      </c>
      <c r="B25" s="136" t="n"/>
      <c r="C25" t="inlineStr">
        <is>
          <t>40-20-1.2-CRFH-PE</t>
        </is>
      </c>
      <c r="D25" s="136" t="n"/>
      <c r="G25" s="43" t="n"/>
      <c r="H25" s="43" t="n"/>
      <c r="I25" s="43" t="n"/>
      <c r="J25" s="91" t="n">
        <v>20</v>
      </c>
      <c r="K25" s="15" t="n">
        <v>20</v>
      </c>
      <c r="L25" s="15" t="n">
        <v>12.4</v>
      </c>
      <c r="M25" s="15" t="n">
        <v>3.8</v>
      </c>
      <c r="N25" s="15" t="inlineStr">
        <is>
          <t>CEW</t>
        </is>
      </c>
      <c r="O25" s="15" t="inlineStr">
        <is>
          <t>CEW</t>
        </is>
      </c>
      <c r="P25" s="15" t="inlineStr">
        <is>
          <t>20-12.4-3.8-CEW-CEW</t>
        </is>
      </c>
      <c r="Q25" s="92" t="inlineStr">
        <is>
          <t>Khopoli</t>
        </is>
      </c>
      <c r="R25" s="607">
        <f>Table11[[#This Row],[Grand Total]]</f>
        <v/>
      </c>
      <c r="S25" s="93">
        <f>VLOOKUP(Table11[[#This Row],[Bucket]],salesforecast[[#All],[Bucket2]:[WIP]],3,0)</f>
        <v/>
      </c>
      <c r="T25" s="93">
        <f>VLOOKUP(Table11[[#This Row],[Bucket]],salesforecast[[#All],[Bucket2]:[WIP]],4,0)</f>
        <v/>
      </c>
      <c r="U25" s="93">
        <f>VLOOKUP(Table11[[#This Row],[Bucket]],salesforecast[[#All],[Bucket2]:[WIP]],5,0)</f>
        <v/>
      </c>
      <c r="V25" s="93">
        <f>VLOOKUP(Table11[[#This Row],[Bucket]],salesforecast[[#All],[Bucket2]:[WIP]],7,0)</f>
        <v/>
      </c>
      <c r="W25" s="93">
        <f>Table11[[#This Row],[Stock LL]]+Table11[[#This Row],[WIP]]+Table11[[#This Row],[Stock CTL]]</f>
        <v/>
      </c>
      <c r="X25" s="93">
        <f>IF((Table11[[#This Row],[Requirement]]-Table11[[#This Row],[Sales]]-Table11[[#This Row],[Total Stock]])&lt;0,0,Table11[[#This Row],[Requirement]]-Table11[[#This Row],[Sales]]-Table11[[#This Row],[Total Stock]])</f>
        <v/>
      </c>
      <c r="Y25" s="94">
        <f>_xlfn.CONCAT(ROUND(Table11[[#This Row],[Total Stock]]/Table11[[#This Row],[Requirement]]*100,0),"% Coverage. Rest by Week 3")</f>
        <v/>
      </c>
      <c r="Z25" s="93" t="n">
        <v>20</v>
      </c>
      <c r="AA25" s="93" t="n">
        <v>20</v>
      </c>
      <c r="AB25" s="93" t="n">
        <v>12.4</v>
      </c>
      <c r="AC25" s="93" t="n">
        <v>3.8</v>
      </c>
      <c r="AD25" s="93" t="inlineStr">
        <is>
          <t>CEW</t>
        </is>
      </c>
      <c r="AE25" s="93" t="inlineStr">
        <is>
          <t>CEW</t>
        </is>
      </c>
      <c r="AF25" s="93" t="inlineStr">
        <is>
          <t>20-12.4-3.8-CEW-CEW</t>
        </is>
      </c>
      <c r="AG25" s="93">
        <f>EXACT(Table11[[#This Row],[Bucket8]],Table11[[#This Row],[Bucket]])</f>
        <v/>
      </c>
      <c r="AH25" s="93" t="n"/>
      <c r="AI25" s="93" t="n"/>
      <c r="AJ25" s="93" t="n"/>
      <c r="AK25" s="93" t="n"/>
      <c r="AL25" s="93" t="n"/>
      <c r="AM25" s="93" t="n"/>
      <c r="AN25" s="93" t="n"/>
      <c r="AO25" s="93" t="n"/>
      <c r="AP25" s="93" t="n">
        <v>12.13913952</v>
      </c>
      <c r="AQ25" s="93" t="n"/>
      <c r="AR25" s="93" t="n"/>
      <c r="AS25" s="93" t="n"/>
      <c r="AT25" s="93" t="n"/>
      <c r="AU25" s="93" t="n"/>
      <c r="AV25" s="93" t="n"/>
      <c r="AW25" s="93" t="n"/>
      <c r="AX25" s="93" t="n">
        <v>1.01513554236</v>
      </c>
      <c r="AY25" s="93" t="n"/>
      <c r="AZ25" s="93" t="n"/>
      <c r="BA25" s="93" t="n"/>
      <c r="BB25" s="93" t="n"/>
      <c r="BC25" s="93" t="n"/>
      <c r="BD25" s="93" t="n"/>
      <c r="BE25" s="467" t="n">
        <v>13.15427506236</v>
      </c>
    </row>
    <row r="26">
      <c r="A26" s="136" t="inlineStr">
        <is>
          <t>21.75-0-3.5-CEW-</t>
        </is>
      </c>
      <c r="B26" s="136" t="n"/>
      <c r="C26" t="inlineStr">
        <is>
          <t>40-20-1.6-ERW 1-FC</t>
        </is>
      </c>
      <c r="D26" s="136" t="n"/>
      <c r="G26" s="43" t="n"/>
      <c r="H26" s="43" t="n"/>
      <c r="I26" s="43" t="n"/>
      <c r="J26" s="91" t="n">
        <v>20</v>
      </c>
      <c r="K26" s="15" t="n">
        <v>20</v>
      </c>
      <c r="L26" s="15" t="n">
        <v>12.4</v>
      </c>
      <c r="M26" s="15" t="n">
        <v>4.5</v>
      </c>
      <c r="N26" s="15" t="inlineStr">
        <is>
          <t>CEW</t>
        </is>
      </c>
      <c r="O26" s="15" t="inlineStr">
        <is>
          <t>CEW</t>
        </is>
      </c>
      <c r="P26" s="15" t="inlineStr">
        <is>
          <t>20-12.4-4.5-CEW-CEW</t>
        </is>
      </c>
      <c r="Q26" s="92" t="inlineStr">
        <is>
          <t>Khopoli</t>
        </is>
      </c>
      <c r="R26" s="607">
        <f>Table11[[#This Row],[Grand Total]]</f>
        <v/>
      </c>
      <c r="S26" s="93">
        <f>VLOOKUP(Table11[[#This Row],[Bucket]],salesforecast[[#All],[Bucket2]:[WIP]],3,0)</f>
        <v/>
      </c>
      <c r="T26" s="93">
        <f>VLOOKUP(Table11[[#This Row],[Bucket]],salesforecast[[#All],[Bucket2]:[WIP]],4,0)</f>
        <v/>
      </c>
      <c r="U26" s="93">
        <f>VLOOKUP(Table11[[#This Row],[Bucket]],salesforecast[[#All],[Bucket2]:[WIP]],5,0)</f>
        <v/>
      </c>
      <c r="V26" s="93">
        <f>VLOOKUP(Table11[[#This Row],[Bucket]],salesforecast[[#All],[Bucket2]:[WIP]],7,0)</f>
        <v/>
      </c>
      <c r="W26" s="93">
        <f>Table11[[#This Row],[Stock LL]]+Table11[[#This Row],[WIP]]+Table11[[#This Row],[Stock CTL]]</f>
        <v/>
      </c>
      <c r="X26" s="93">
        <f>IF((Table11[[#This Row],[Requirement]]-Table11[[#This Row],[Sales]]-Table11[[#This Row],[Total Stock]])&lt;0,0,Table11[[#This Row],[Requirement]]-Table11[[#This Row],[Sales]]-Table11[[#This Row],[Total Stock]])</f>
        <v/>
      </c>
      <c r="Y26" s="96" t="n"/>
      <c r="Z26" s="93" t="n">
        <v>20</v>
      </c>
      <c r="AA26" s="93" t="n">
        <v>20</v>
      </c>
      <c r="AB26" s="93" t="n">
        <v>12.4</v>
      </c>
      <c r="AC26" s="93" t="n">
        <v>4.5</v>
      </c>
      <c r="AD26" s="93" t="inlineStr">
        <is>
          <t>CEW</t>
        </is>
      </c>
      <c r="AE26" s="93" t="inlineStr">
        <is>
          <t>CEW</t>
        </is>
      </c>
      <c r="AF26" s="93" t="inlineStr">
        <is>
          <t>20-12.4-4.5-CEW-CEW</t>
        </is>
      </c>
      <c r="AG26" s="93">
        <f>EXACT(Table11[[#This Row],[Bucket8]],Table11[[#This Row],[Bucket]])</f>
        <v/>
      </c>
      <c r="AH26" s="93" t="n"/>
      <c r="AI26" s="93" t="n"/>
      <c r="AJ26" s="93" t="n"/>
      <c r="AK26" s="93" t="n"/>
      <c r="AL26" s="93" t="n"/>
      <c r="AM26" s="93" t="n"/>
      <c r="AN26" s="93" t="n"/>
      <c r="AO26" s="93" t="n">
        <v>4.298169375000001</v>
      </c>
      <c r="AP26" s="93" t="n"/>
      <c r="AQ26" s="93" t="n"/>
      <c r="AR26" s="93" t="n"/>
      <c r="AS26" s="93" t="n"/>
      <c r="AT26" s="93" t="n"/>
      <c r="AU26" s="93" t="n"/>
      <c r="AV26" s="93" t="n"/>
      <c r="AW26" s="93" t="n"/>
      <c r="AX26" s="93" t="n"/>
      <c r="AY26" s="93" t="n"/>
      <c r="AZ26" s="93" t="n"/>
      <c r="BA26" s="93" t="n"/>
      <c r="BB26" s="93" t="n"/>
      <c r="BC26" s="93" t="n"/>
      <c r="BD26" s="93" t="n"/>
      <c r="BE26" s="467" t="n">
        <v>4.298169375000001</v>
      </c>
    </row>
    <row r="27">
      <c r="A27" s="137" t="inlineStr">
        <is>
          <t>22.2-0-1.2--</t>
        </is>
      </c>
      <c r="B27" s="136" t="n"/>
      <c r="C27" t="inlineStr">
        <is>
          <t>39-34-2.5-CEW-CEW</t>
        </is>
      </c>
      <c r="D27" s="136" t="n"/>
      <c r="G27" s="43" t="n"/>
      <c r="H27" s="43" t="n"/>
      <c r="I27" s="43" t="n"/>
      <c r="J27" s="91" t="n">
        <v>20</v>
      </c>
      <c r="K27" s="15" t="n">
        <v>20</v>
      </c>
      <c r="L27" s="15" t="n">
        <v>17.16</v>
      </c>
      <c r="M27" s="15" t="n">
        <v>1.42</v>
      </c>
      <c r="N27" s="15" t="inlineStr">
        <is>
          <t>CEW</t>
        </is>
      </c>
      <c r="O27" s="15" t="inlineStr">
        <is>
          <t>CEW</t>
        </is>
      </c>
      <c r="P27" s="15" t="inlineStr">
        <is>
          <t>20-17.16-1.42-CEW-CEW</t>
        </is>
      </c>
      <c r="Q27" s="92" t="inlineStr">
        <is>
          <t>Khopoli</t>
        </is>
      </c>
      <c r="R27" s="607">
        <f>Table11[[#This Row],[Grand Total]]</f>
        <v/>
      </c>
      <c r="S27" s="93">
        <f>VLOOKUP(Table11[[#This Row],[Bucket]],salesforecast[[#All],[Bucket2]:[WIP]],3,0)</f>
        <v/>
      </c>
      <c r="T27" s="93">
        <f>VLOOKUP(Table11[[#This Row],[Bucket]],salesforecast[[#All],[Bucket2]:[WIP]],4,0)</f>
        <v/>
      </c>
      <c r="U27" s="93">
        <f>VLOOKUP(Table11[[#This Row],[Bucket]],salesforecast[[#All],[Bucket2]:[WIP]],5,0)</f>
        <v/>
      </c>
      <c r="V27" s="93">
        <f>VLOOKUP(Table11[[#This Row],[Bucket]],salesforecast[[#All],[Bucket2]:[WIP]],7,0)</f>
        <v/>
      </c>
      <c r="W27" s="93">
        <f>Table11[[#This Row],[Stock LL]]+Table11[[#This Row],[WIP]]+Table11[[#This Row],[Stock CTL]]</f>
        <v/>
      </c>
      <c r="X27" s="93">
        <f>IF((Table11[[#This Row],[Requirement]]-Table11[[#This Row],[Sales]]-Table11[[#This Row],[Total Stock]])&lt;0,0,Table11[[#This Row],[Requirement]]-Table11[[#This Row],[Sales]]-Table11[[#This Row],[Total Stock]])</f>
        <v/>
      </c>
      <c r="Y27" s="96" t="n"/>
      <c r="Z27" s="93" t="n">
        <v>20</v>
      </c>
      <c r="AA27" s="93" t="n">
        <v>20</v>
      </c>
      <c r="AB27" s="93" t="n">
        <v>17.16</v>
      </c>
      <c r="AC27" s="93" t="n">
        <v>1.42</v>
      </c>
      <c r="AD27" s="93" t="inlineStr">
        <is>
          <t>CEW</t>
        </is>
      </c>
      <c r="AE27" s="93" t="inlineStr">
        <is>
          <t>CEW</t>
        </is>
      </c>
      <c r="AF27" s="93" t="inlineStr">
        <is>
          <t>20-17.16-1.42-CEW-CEW</t>
        </is>
      </c>
      <c r="AG27" s="93">
        <f>EXACT(Table11[[#This Row],[Bucket8]],Table11[[#This Row],[Bucket]])</f>
        <v/>
      </c>
      <c r="AH27" s="93" t="n"/>
      <c r="AI27" s="93" t="n"/>
      <c r="AJ27" s="93" t="n"/>
      <c r="AK27" s="93" t="n"/>
      <c r="AL27" s="93" t="n"/>
      <c r="AM27" s="93" t="n"/>
      <c r="AN27" s="93" t="n"/>
      <c r="AO27" s="93" t="n"/>
      <c r="AP27" s="93" t="n">
        <v>1.0652394857832</v>
      </c>
      <c r="AQ27" s="93" t="n"/>
      <c r="AR27" s="93" t="n"/>
      <c r="AS27" s="93" t="n"/>
      <c r="AT27" s="93" t="n"/>
      <c r="AU27" s="93" t="n"/>
      <c r="AV27" s="93" t="n"/>
      <c r="AW27" s="93" t="n"/>
      <c r="AX27" s="93" t="n"/>
      <c r="AY27" s="93" t="n"/>
      <c r="AZ27" s="93" t="n"/>
      <c r="BA27" s="93" t="n"/>
      <c r="BB27" s="93" t="n"/>
      <c r="BC27" s="93" t="n"/>
      <c r="BD27" s="93" t="n">
        <v>1.4203193143776</v>
      </c>
      <c r="BE27" s="467" t="n">
        <v>2.4855588001608</v>
      </c>
    </row>
    <row r="28">
      <c r="A28" s="137" t="inlineStr">
        <is>
          <t>22.23-0-1.2-ERW 1-</t>
        </is>
      </c>
      <c r="B28" s="136" t="n"/>
      <c r="C28" t="inlineStr">
        <is>
          <t>40-25-1.6-ERW 1-FC</t>
        </is>
      </c>
      <c r="D28" s="136" t="n"/>
      <c r="G28" s="43" t="n"/>
      <c r="H28" s="43" t="n"/>
      <c r="I28" s="43" t="n"/>
      <c r="J28" s="91" t="n">
        <v>21.7</v>
      </c>
      <c r="K28" s="15" t="n">
        <v>21.7</v>
      </c>
      <c r="L28" s="15" t="n">
        <v>16.2</v>
      </c>
      <c r="M28" s="15" t="n">
        <v>2.75</v>
      </c>
      <c r="N28" s="15" t="inlineStr">
        <is>
          <t>CEW</t>
        </is>
      </c>
      <c r="O28" s="15" t="inlineStr">
        <is>
          <t>CEW</t>
        </is>
      </c>
      <c r="P28" s="15" t="inlineStr">
        <is>
          <t>21.7-16.2-2.75-CEW-CEW</t>
        </is>
      </c>
      <c r="Q28" s="92" t="inlineStr">
        <is>
          <t>Khopoli</t>
        </is>
      </c>
      <c r="R28" s="607">
        <f>Table11[[#This Row],[Grand Total]]</f>
        <v/>
      </c>
      <c r="S28" s="93">
        <f>VLOOKUP(Table11[[#This Row],[Bucket]],salesforecast[[#All],[Bucket2]:[WIP]],3,0)</f>
        <v/>
      </c>
      <c r="T28" s="93">
        <f>VLOOKUP(Table11[[#This Row],[Bucket]],salesforecast[[#All],[Bucket2]:[WIP]],4,0)</f>
        <v/>
      </c>
      <c r="U28" s="93">
        <f>VLOOKUP(Table11[[#This Row],[Bucket]],salesforecast[[#All],[Bucket2]:[WIP]],5,0)</f>
        <v/>
      </c>
      <c r="V28" s="93">
        <f>VLOOKUP(Table11[[#This Row],[Bucket]],salesforecast[[#All],[Bucket2]:[WIP]],7,0)</f>
        <v/>
      </c>
      <c r="W28" s="93">
        <f>Table11[[#This Row],[Stock LL]]+Table11[[#This Row],[WIP]]+Table11[[#This Row],[Stock CTL]]</f>
        <v/>
      </c>
      <c r="X28" s="93">
        <f>IF((Table11[[#This Row],[Requirement]]-Table11[[#This Row],[Sales]]-Table11[[#This Row],[Total Stock]])&lt;0,0,Table11[[#This Row],[Requirement]]-Table11[[#This Row],[Sales]]-Table11[[#This Row],[Total Stock]])</f>
        <v/>
      </c>
      <c r="Y28" s="96" t="n"/>
      <c r="Z28" s="93" t="n">
        <v>21.7</v>
      </c>
      <c r="AA28" s="93" t="n">
        <v>21.7</v>
      </c>
      <c r="AB28" s="93" t="n">
        <v>16.2</v>
      </c>
      <c r="AC28" s="93" t="n">
        <v>2.75</v>
      </c>
      <c r="AD28" s="93" t="inlineStr">
        <is>
          <t>CEW</t>
        </is>
      </c>
      <c r="AE28" s="93" t="inlineStr">
        <is>
          <t>CEW</t>
        </is>
      </c>
      <c r="AF28" s="93" t="inlineStr">
        <is>
          <t>21.7-16.2-2.75-CEW-CEW</t>
        </is>
      </c>
      <c r="AG28" s="93">
        <f>EXACT(Table11[[#This Row],[Bucket8]],Table11[[#This Row],[Bucket]])</f>
        <v/>
      </c>
      <c r="AH28" s="93" t="n"/>
      <c r="AI28" s="93" t="n"/>
      <c r="AJ28" s="93" t="n"/>
      <c r="AK28" s="93" t="n"/>
      <c r="AL28" s="93" t="n"/>
      <c r="AM28" s="93" t="n"/>
      <c r="AN28" s="93" t="n"/>
      <c r="AO28" s="93" t="n"/>
      <c r="AP28" s="93" t="n"/>
      <c r="AQ28" s="93" t="n"/>
      <c r="AR28" s="93" t="n"/>
      <c r="AS28" s="93" t="n"/>
      <c r="AT28" s="93" t="n"/>
      <c r="AU28" s="93" t="n">
        <v>3.21130253125</v>
      </c>
      <c r="AV28" s="93" t="n"/>
      <c r="AW28" s="93" t="n"/>
      <c r="AX28" s="93" t="n"/>
      <c r="AY28" s="93" t="n"/>
      <c r="AZ28" s="93" t="n">
        <v>3.8535630375</v>
      </c>
      <c r="BA28" s="93" t="n"/>
      <c r="BB28" s="93" t="n"/>
      <c r="BC28" s="93" t="n"/>
      <c r="BD28" s="93" t="n"/>
      <c r="BE28" s="467" t="n">
        <v>7.064865568749999</v>
      </c>
    </row>
    <row r="29">
      <c r="A29" s="137" t="inlineStr">
        <is>
          <t>22.23-0-1.2--</t>
        </is>
      </c>
      <c r="B29" s="136" t="n"/>
      <c r="C29" t="inlineStr">
        <is>
          <t>40-25-1.6-ERW 2-FC</t>
        </is>
      </c>
      <c r="D29" s="136" t="n"/>
      <c r="G29" s="43" t="n"/>
      <c r="H29" s="43" t="n"/>
      <c r="I29" s="43" t="n"/>
      <c r="J29" s="91" t="n">
        <v>21.75</v>
      </c>
      <c r="K29" s="15" t="n">
        <v>21.75</v>
      </c>
      <c r="L29" s="15" t="n">
        <v>0</v>
      </c>
      <c r="M29" s="15" t="n">
        <v>3.5</v>
      </c>
      <c r="N29" s="15" t="inlineStr">
        <is>
          <t>CEW</t>
        </is>
      </c>
      <c r="O29" s="15" t="inlineStr">
        <is>
          <t>CEW</t>
        </is>
      </c>
      <c r="P29" s="15" t="inlineStr">
        <is>
          <t>21.75-0-3.5-CEW-CEW</t>
        </is>
      </c>
      <c r="Q29" s="92" t="inlineStr">
        <is>
          <t>Khopoli</t>
        </is>
      </c>
      <c r="R29" s="607">
        <f>Table11[[#This Row],[Grand Total]]</f>
        <v/>
      </c>
      <c r="S29" s="93">
        <f>VLOOKUP(Table11[[#This Row],[Bucket]],salesforecast[[#All],[Bucket2]:[WIP]],3,0)</f>
        <v/>
      </c>
      <c r="T29" s="93">
        <f>VLOOKUP(Table11[[#This Row],[Bucket]],salesforecast[[#All],[Bucket2]:[WIP]],4,0)</f>
        <v/>
      </c>
      <c r="U29" s="93">
        <f>VLOOKUP(Table11[[#This Row],[Bucket]],salesforecast[[#All],[Bucket2]:[WIP]],5,0)</f>
        <v/>
      </c>
      <c r="V29" s="93">
        <f>VLOOKUP(Table11[[#This Row],[Bucket]],salesforecast[[#All],[Bucket2]:[WIP]],7,0)</f>
        <v/>
      </c>
      <c r="W29" s="93">
        <f>Table11[[#This Row],[Stock LL]]+Table11[[#This Row],[WIP]]+Table11[[#This Row],[Stock CTL]]</f>
        <v/>
      </c>
      <c r="X29" s="93">
        <f>IF((Table11[[#This Row],[Requirement]]-Table11[[#This Row],[Sales]]-Table11[[#This Row],[Total Stock]])&lt;0,0,Table11[[#This Row],[Requirement]]-Table11[[#This Row],[Sales]]-Table11[[#This Row],[Total Stock]])</f>
        <v/>
      </c>
      <c r="Y29" s="96" t="n"/>
      <c r="Z29" s="93" t="n">
        <v>21.75</v>
      </c>
      <c r="AA29" s="93" t="n">
        <v>21.75</v>
      </c>
      <c r="AB29" s="93" t="n">
        <v>0</v>
      </c>
      <c r="AC29" s="93" t="n">
        <v>3.5</v>
      </c>
      <c r="AD29" s="93" t="inlineStr">
        <is>
          <t>CEW</t>
        </is>
      </c>
      <c r="AE29" s="93" t="inlineStr">
        <is>
          <t>CEW</t>
        </is>
      </c>
      <c r="AF29" s="93" t="inlineStr">
        <is>
          <t>21.75-0-3.5-CEW-CEW</t>
        </is>
      </c>
      <c r="AG29" s="93">
        <f>EXACT(Table11[[#This Row],[Bucket8]],Table11[[#This Row],[Bucket]])</f>
        <v/>
      </c>
      <c r="AH29" s="93" t="n"/>
      <c r="AI29" s="93" t="n"/>
      <c r="AJ29" s="93" t="n"/>
      <c r="AK29" s="93" t="n"/>
      <c r="AL29" s="93" t="n"/>
      <c r="AM29" s="93" t="n"/>
      <c r="AN29" s="93" t="n"/>
      <c r="AO29" s="93" t="n"/>
      <c r="AP29" s="93" t="n"/>
      <c r="AQ29" s="93" t="n"/>
      <c r="AR29" s="93" t="n"/>
      <c r="AS29" s="93" t="n"/>
      <c r="AT29" s="93" t="n"/>
      <c r="AU29" s="93" t="n"/>
      <c r="AV29" s="93" t="n"/>
      <c r="AW29" s="93" t="n"/>
      <c r="AX29" s="93" t="n">
        <v>3.559842472375</v>
      </c>
      <c r="AY29" s="93" t="n"/>
      <c r="AZ29" s="93" t="n"/>
      <c r="BA29" s="93" t="n"/>
      <c r="BB29" s="93" t="n"/>
      <c r="BC29" s="93" t="n"/>
      <c r="BD29" s="93" t="n"/>
      <c r="BE29" s="467" t="n">
        <v>3.559842472375</v>
      </c>
    </row>
    <row r="30">
      <c r="A30" s="136" t="inlineStr">
        <is>
          <t>22.23-0-1.6-ERW 1-</t>
        </is>
      </c>
      <c r="B30" s="136" t="n"/>
      <c r="C30" t="inlineStr">
        <is>
          <t>41.28-0-2.6-ERW 1-FC</t>
        </is>
      </c>
      <c r="D30" s="136" t="n"/>
      <c r="G30" s="43" t="n"/>
      <c r="H30" s="43" t="n"/>
      <c r="I30" s="43" t="n"/>
      <c r="J30" s="91" t="n">
        <v>22.23</v>
      </c>
      <c r="K30" s="15" t="n">
        <v>22.23</v>
      </c>
      <c r="L30" s="15" t="n">
        <v>0</v>
      </c>
      <c r="M30" s="15" t="n">
        <v>1.2</v>
      </c>
      <c r="N30" s="15" t="inlineStr">
        <is>
          <t>ERW 1</t>
        </is>
      </c>
      <c r="O30" s="15" t="inlineStr">
        <is>
          <t>PE</t>
        </is>
      </c>
      <c r="P30" s="15" t="inlineStr">
        <is>
          <t>22.23-0-1.2-ERW 1-PE</t>
        </is>
      </c>
      <c r="Q30" s="92" t="inlineStr">
        <is>
          <t>Hosur</t>
        </is>
      </c>
      <c r="R30" s="607">
        <f>Table11[[#This Row],[Grand Total]]</f>
        <v/>
      </c>
      <c r="S30" s="93">
        <f>VLOOKUP(Table11[[#This Row],[Bucket]],salesforecast[[#All],[Bucket2]:[WIP]],3,0)</f>
        <v/>
      </c>
      <c r="T30" s="93">
        <f>VLOOKUP(Table11[[#This Row],[Bucket]],salesforecast[[#All],[Bucket2]:[WIP]],4,0)</f>
        <v/>
      </c>
      <c r="U30" s="93">
        <f>VLOOKUP(Table11[[#This Row],[Bucket]],salesforecast[[#All],[Bucket2]:[WIP]],5,0)</f>
        <v/>
      </c>
      <c r="V30" s="93">
        <f>VLOOKUP(Table11[[#This Row],[Bucket]],salesforecast[[#All],[Bucket2]:[WIP]],7,0)</f>
        <v/>
      </c>
      <c r="W30" s="93">
        <f>Table11[[#This Row],[Stock LL]]+Table11[[#This Row],[WIP]]+Table11[[#This Row],[Stock CTL]]</f>
        <v/>
      </c>
      <c r="X30" s="93">
        <f>IF((Table11[[#This Row],[Requirement]]-Table11[[#This Row],[Sales]]-Table11[[#This Row],[Total Stock]])&lt;0,0,Table11[[#This Row],[Requirement]]-Table11[[#This Row],[Sales]]-Table11[[#This Row],[Total Stock]])</f>
        <v/>
      </c>
      <c r="Y30" s="95" t="inlineStr">
        <is>
          <t>No Commitment</t>
        </is>
      </c>
      <c r="Z30" s="93" t="n">
        <v>22.23</v>
      </c>
      <c r="AA30" s="93" t="n">
        <v>22.23</v>
      </c>
      <c r="AB30" s="93" t="n">
        <v>0</v>
      </c>
      <c r="AC30" s="93" t="n">
        <v>1.2</v>
      </c>
      <c r="AD30" s="93" t="inlineStr">
        <is>
          <t>ERW 1</t>
        </is>
      </c>
      <c r="AE30" s="93" t="inlineStr">
        <is>
          <t>PE</t>
        </is>
      </c>
      <c r="AF30" s="93" t="inlineStr">
        <is>
          <t>22.23-0-1.2-ERW 1-PE</t>
        </is>
      </c>
      <c r="AG30" s="93">
        <f>EXACT(Table11[[#This Row],[Bucket8]],Table11[[#This Row],[Bucket]])</f>
        <v/>
      </c>
      <c r="AH30" s="93" t="n"/>
      <c r="AI30" s="93" t="n">
        <v>5.782503956544</v>
      </c>
      <c r="AJ30" s="93" t="n"/>
      <c r="AK30" s="93" t="n"/>
      <c r="AL30" s="93" t="n"/>
      <c r="AM30" s="93" t="n"/>
      <c r="AN30" s="93" t="n"/>
      <c r="AO30" s="93" t="n">
        <v>0.17417180592</v>
      </c>
      <c r="AP30" s="93" t="n"/>
      <c r="AQ30" s="93" t="n"/>
      <c r="AR30" s="93" t="n"/>
      <c r="AS30" s="93" t="n">
        <v>0.9330632460000001</v>
      </c>
      <c r="AT30" s="93" t="n">
        <v>2.194564754592</v>
      </c>
      <c r="AU30" s="93" t="n"/>
      <c r="AV30" s="93" t="n"/>
      <c r="AW30" s="93" t="n">
        <v>1.652143987584</v>
      </c>
      <c r="AX30" s="93" t="n"/>
      <c r="AY30" s="93" t="n">
        <v>5.442246892836001</v>
      </c>
      <c r="AZ30" s="93" t="n">
        <v>4.068155752560001</v>
      </c>
      <c r="BA30" s="93" t="n"/>
      <c r="BB30" s="93" t="n"/>
      <c r="BC30" s="93" t="n"/>
      <c r="BD30" s="93" t="n"/>
      <c r="BE30" s="467" t="n">
        <v>20.246850396036</v>
      </c>
    </row>
    <row r="31">
      <c r="A31" s="136" t="inlineStr">
        <is>
          <t>22.23-0-2-ERW 1-</t>
        </is>
      </c>
      <c r="B31" s="136" t="n"/>
      <c r="C31" t="inlineStr">
        <is>
          <t>41.28-0-3.2-ERW 1-FC</t>
        </is>
      </c>
      <c r="D31" s="136" t="n"/>
      <c r="G31" s="43" t="n"/>
      <c r="H31" s="43" t="n"/>
      <c r="I31" s="43" t="n"/>
      <c r="J31" s="91" t="n">
        <v>22.23</v>
      </c>
      <c r="K31" s="15" t="n">
        <v>22.23</v>
      </c>
      <c r="L31" s="15" t="n">
        <v>0</v>
      </c>
      <c r="M31" s="15" t="n">
        <v>1.6</v>
      </c>
      <c r="N31" s="15" t="inlineStr">
        <is>
          <t>ERW 1</t>
        </is>
      </c>
      <c r="O31" s="15" t="inlineStr">
        <is>
          <t>PE</t>
        </is>
      </c>
      <c r="P31" s="15" t="inlineStr">
        <is>
          <t>22.23-0-1.6-ERW 1-PE</t>
        </is>
      </c>
      <c r="Q31" s="92" t="inlineStr">
        <is>
          <t>Hosur</t>
        </is>
      </c>
      <c r="R31" s="607">
        <f>Table11[[#This Row],[Grand Total]]</f>
        <v/>
      </c>
      <c r="S31" s="93">
        <f>VLOOKUP(Table11[[#This Row],[Bucket]],salesforecast[[#All],[Bucket2]:[WIP]],3,0)</f>
        <v/>
      </c>
      <c r="T31" s="93">
        <f>VLOOKUP(Table11[[#This Row],[Bucket]],salesforecast[[#All],[Bucket2]:[WIP]],4,0)</f>
        <v/>
      </c>
      <c r="U31" s="93">
        <f>VLOOKUP(Table11[[#This Row],[Bucket]],salesforecast[[#All],[Bucket2]:[WIP]],5,0)</f>
        <v/>
      </c>
      <c r="V31" s="93">
        <f>VLOOKUP(Table11[[#This Row],[Bucket]],salesforecast[[#All],[Bucket2]:[WIP]],7,0)</f>
        <v/>
      </c>
      <c r="W31" s="93">
        <f>Table11[[#This Row],[Stock LL]]+Table11[[#This Row],[WIP]]+Table11[[#This Row],[Stock CTL]]</f>
        <v/>
      </c>
      <c r="X31" s="93">
        <f>IF((Table11[[#This Row],[Requirement]]-Table11[[#This Row],[Sales]]-Table11[[#This Row],[Total Stock]])&lt;0,0,Table11[[#This Row],[Requirement]]-Table11[[#This Row],[Sales]]-Table11[[#This Row],[Total Stock]])</f>
        <v/>
      </c>
      <c r="Y31" s="94">
        <f>_xlfn.CONCAT(ROUND(Table11[[#This Row],[Total Stock]]/Table11[[#This Row],[Requirement]]*100,0),"% Coverage. Rest by Week 3")</f>
        <v/>
      </c>
      <c r="Z31" s="93" t="n">
        <v>22.23</v>
      </c>
      <c r="AA31" s="93" t="n">
        <v>22.23</v>
      </c>
      <c r="AB31" s="93" t="n">
        <v>0</v>
      </c>
      <c r="AC31" s="93" t="n">
        <v>1.6</v>
      </c>
      <c r="AD31" s="93" t="inlineStr">
        <is>
          <t>ERW 1</t>
        </is>
      </c>
      <c r="AE31" s="93" t="inlineStr">
        <is>
          <t>PE</t>
        </is>
      </c>
      <c r="AF31" s="93" t="inlineStr">
        <is>
          <t>22.23-0-1.6-ERW 1-PE</t>
        </is>
      </c>
      <c r="AG31" s="93">
        <f>EXACT(Table11[[#This Row],[Bucket8]],Table11[[#This Row],[Bucket]])</f>
        <v/>
      </c>
      <c r="AH31" s="93" t="n"/>
      <c r="AI31" s="93" t="n"/>
      <c r="AJ31" s="93" t="n"/>
      <c r="AK31" s="93" t="n"/>
      <c r="AL31" s="93" t="n">
        <v>1.1594002236</v>
      </c>
      <c r="AM31" s="93" t="n">
        <v>3.95416497312</v>
      </c>
      <c r="AN31" s="93" t="n"/>
      <c r="AO31" s="93" t="n">
        <v>14.632037628928</v>
      </c>
      <c r="AP31" s="93" t="n">
        <v>4.136414552128</v>
      </c>
      <c r="AQ31" s="93" t="n"/>
      <c r="AR31" s="93" t="n"/>
      <c r="AS31" s="93" t="n">
        <v>15.040471953312</v>
      </c>
      <c r="AT31" s="93" t="n"/>
      <c r="AU31" s="93" t="n">
        <v>7.6479734048</v>
      </c>
      <c r="AV31" s="93" t="n"/>
      <c r="AW31" s="93" t="n"/>
      <c r="AX31" s="93" t="n">
        <v>19.6487827368</v>
      </c>
      <c r="AY31" s="93" t="n">
        <v>1.783442308864</v>
      </c>
      <c r="AZ31" s="93" t="n">
        <v>54.827833170496</v>
      </c>
      <c r="BA31" s="93" t="n"/>
      <c r="BB31" s="93" t="n"/>
      <c r="BC31" s="93" t="n"/>
      <c r="BD31" s="93" t="n"/>
      <c r="BE31" s="467" t="n">
        <v>122.830520952048</v>
      </c>
    </row>
    <row r="32">
      <c r="A32" s="136" t="inlineStr">
        <is>
          <t>(blank)</t>
        </is>
      </c>
      <c r="B32" s="136" t="n"/>
      <c r="C32" t="inlineStr">
        <is>
          <t>42.7-0-3.5-ERW 1-FC</t>
        </is>
      </c>
      <c r="D32" s="136" t="n"/>
      <c r="G32" s="43" t="n"/>
      <c r="H32" s="43" t="n"/>
      <c r="I32" s="43" t="n"/>
      <c r="J32" s="91" t="n">
        <v>22.23</v>
      </c>
      <c r="K32" s="15" t="n">
        <v>22.23</v>
      </c>
      <c r="L32" s="15" t="n">
        <v>0</v>
      </c>
      <c r="M32" s="15" t="n">
        <v>1.6</v>
      </c>
      <c r="N32" s="15" t="inlineStr">
        <is>
          <t>ERW 2 MAHS</t>
        </is>
      </c>
      <c r="O32" s="15" t="inlineStr">
        <is>
          <t>PE</t>
        </is>
      </c>
      <c r="P32" s="15" t="inlineStr">
        <is>
          <t>22.23-0-1.6-ERW 2 MAHS-PE</t>
        </is>
      </c>
      <c r="Q32" s="92" t="inlineStr">
        <is>
          <t>Hosur</t>
        </is>
      </c>
      <c r="R32" s="607">
        <f>Table11[[#This Row],[Grand Total]]</f>
        <v/>
      </c>
      <c r="S32" s="93">
        <f>VLOOKUP(Table11[[#This Row],[Bucket]],salesforecast[[#All],[Bucket2]:[WIP]],3,0)</f>
        <v/>
      </c>
      <c r="T32" s="93">
        <f>VLOOKUP(Table11[[#This Row],[Bucket]],salesforecast[[#All],[Bucket2]:[WIP]],4,0)</f>
        <v/>
      </c>
      <c r="U32" s="93">
        <f>VLOOKUP(Table11[[#This Row],[Bucket]],salesforecast[[#All],[Bucket2]:[WIP]],5,0)</f>
        <v/>
      </c>
      <c r="V32" s="93">
        <f>VLOOKUP(Table11[[#This Row],[Bucket]],salesforecast[[#All],[Bucket2]:[WIP]],7,0)</f>
        <v/>
      </c>
      <c r="W32" s="93">
        <f>Table11[[#This Row],[Stock LL]]+Table11[[#This Row],[WIP]]+Table11[[#This Row],[Stock CTL]]</f>
        <v/>
      </c>
      <c r="X32" s="93">
        <f>IF((Table11[[#This Row],[Requirement]]-Table11[[#This Row],[Sales]]-Table11[[#This Row],[Total Stock]])&lt;0,0,Table11[[#This Row],[Requirement]]-Table11[[#This Row],[Sales]]-Table11[[#This Row],[Total Stock]])</f>
        <v/>
      </c>
      <c r="Y32" s="94">
        <f>_xlfn.CONCAT(ROUND(Table11[[#This Row],[Total Stock]]/Table11[[#This Row],[Requirement]]*100,0),"% Coverage. Rest by Week 3")</f>
        <v/>
      </c>
      <c r="Z32" s="93" t="n">
        <v>22.23</v>
      </c>
      <c r="AA32" s="93" t="n">
        <v>22.23</v>
      </c>
      <c r="AB32" s="93" t="n">
        <v>0</v>
      </c>
      <c r="AC32" s="93" t="n">
        <v>1.6</v>
      </c>
      <c r="AD32" s="93" t="inlineStr">
        <is>
          <t>ERW 2 MAHS</t>
        </is>
      </c>
      <c r="AE32" s="93" t="inlineStr">
        <is>
          <t>PE</t>
        </is>
      </c>
      <c r="AF32" s="93" t="inlineStr">
        <is>
          <t>22.23-0-1.6-ERW 2 MAHS-PE</t>
        </is>
      </c>
      <c r="AG32" s="93">
        <f>EXACT(Table11[[#This Row],[Bucket8]],Table11[[#This Row],[Bucket]])</f>
        <v/>
      </c>
      <c r="AH32" s="93" t="n"/>
      <c r="AI32" s="93" t="n"/>
      <c r="AJ32" s="93" t="n"/>
      <c r="AK32" s="93" t="n"/>
      <c r="AL32" s="93" t="n"/>
      <c r="AM32" s="93" t="n"/>
      <c r="AN32" s="93" t="n"/>
      <c r="AO32" s="93" t="n"/>
      <c r="AP32" s="93" t="n"/>
      <c r="AQ32" s="93" t="n"/>
      <c r="AR32" s="93" t="n"/>
      <c r="AS32" s="93" t="n"/>
      <c r="AT32" s="93" t="n"/>
      <c r="AU32" s="93" t="n"/>
      <c r="AV32" s="93" t="n"/>
      <c r="AW32" s="93" t="n">
        <v>22.8218780856</v>
      </c>
      <c r="AX32" s="93" t="n"/>
      <c r="AY32" s="93" t="n"/>
      <c r="AZ32" s="93" t="n"/>
      <c r="BA32" s="93" t="n"/>
      <c r="BB32" s="93" t="n"/>
      <c r="BC32" s="93" t="n"/>
      <c r="BD32" s="93" t="n"/>
      <c r="BE32" s="467" t="n">
        <v>22.8218780856</v>
      </c>
    </row>
    <row r="33">
      <c r="A33" t="inlineStr">
        <is>
          <t>22.23-0-2-ERW 2 MAHS-FC</t>
        </is>
      </c>
      <c r="C33" t="inlineStr">
        <is>
          <t>42.7-0-4-ERW 1-FC</t>
        </is>
      </c>
      <c r="G33" s="43" t="n"/>
      <c r="H33" s="43" t="n"/>
      <c r="I33" s="43" t="n"/>
      <c r="J33" s="91" t="n">
        <v>22.23</v>
      </c>
      <c r="K33" s="15" t="n">
        <v>22.23</v>
      </c>
      <c r="L33" s="15" t="n">
        <v>0</v>
      </c>
      <c r="M33" s="15" t="n">
        <v>2</v>
      </c>
      <c r="N33" s="15" t="inlineStr">
        <is>
          <t>ERW 1</t>
        </is>
      </c>
      <c r="O33" s="15" t="inlineStr">
        <is>
          <t>FC</t>
        </is>
      </c>
      <c r="P33" s="15" t="inlineStr">
        <is>
          <t>22.23-0-2-ERW 1-FC</t>
        </is>
      </c>
      <c r="Q33" s="92" t="inlineStr">
        <is>
          <t>Hosur</t>
        </is>
      </c>
      <c r="R33" s="607">
        <f>Table11[[#This Row],[Grand Total]]</f>
        <v/>
      </c>
      <c r="S33" s="93">
        <f>VLOOKUP(Table11[[#This Row],[Bucket]],salesforecast[[#All],[Bucket2]:[WIP]],3,0)</f>
        <v/>
      </c>
      <c r="T33" s="93">
        <f>VLOOKUP(Table11[[#This Row],[Bucket]],salesforecast[[#All],[Bucket2]:[WIP]],4,0)</f>
        <v/>
      </c>
      <c r="U33" s="93">
        <f>VLOOKUP(Table11[[#This Row],[Bucket]],salesforecast[[#All],[Bucket2]:[WIP]],5,0)</f>
        <v/>
      </c>
      <c r="V33" s="93">
        <f>VLOOKUP(Table11[[#This Row],[Bucket]],salesforecast[[#All],[Bucket2]:[WIP]],7,0)</f>
        <v/>
      </c>
      <c r="W33" s="93">
        <f>Table11[[#This Row],[Stock LL]]+Table11[[#This Row],[WIP]]+Table11[[#This Row],[Stock CTL]]</f>
        <v/>
      </c>
      <c r="X33" s="93">
        <f>IF((Table11[[#This Row],[Requirement]]-Table11[[#This Row],[Sales]]-Table11[[#This Row],[Total Stock]])&lt;0,0,Table11[[#This Row],[Requirement]]-Table11[[#This Row],[Sales]]-Table11[[#This Row],[Total Stock]])</f>
        <v/>
      </c>
      <c r="Y33" s="94">
        <f>_xlfn.CONCAT(ROUND(Table11[[#This Row],[Total Stock]]/Table11[[#This Row],[Requirement]]*100,0),"% Coverage. Rest by Week 3")</f>
        <v/>
      </c>
      <c r="Z33" s="93" t="n">
        <v>22.23</v>
      </c>
      <c r="AA33" s="93" t="n">
        <v>22.23</v>
      </c>
      <c r="AB33" s="93" t="n">
        <v>0</v>
      </c>
      <c r="AC33" s="93" t="n">
        <v>2</v>
      </c>
      <c r="AD33" s="93" t="inlineStr">
        <is>
          <t>ERW 1</t>
        </is>
      </c>
      <c r="AE33" s="93" t="inlineStr">
        <is>
          <t>FC</t>
        </is>
      </c>
      <c r="AF33" s="93" t="inlineStr">
        <is>
          <t>22.23-0-2-ERW 1-FC</t>
        </is>
      </c>
      <c r="AG33" s="93">
        <f>EXACT(Table11[[#This Row],[Bucket8]],Table11[[#This Row],[Bucket]])</f>
        <v/>
      </c>
      <c r="AH33" s="93" t="n"/>
      <c r="AI33" s="93" t="n">
        <v>2.99189562</v>
      </c>
      <c r="AJ33" s="93" t="n">
        <v>8.97568686</v>
      </c>
      <c r="AK33" s="93" t="n"/>
      <c r="AL33" s="93" t="n"/>
      <c r="AM33" s="93" t="n"/>
      <c r="AN33" s="93" t="n"/>
      <c r="AO33" s="93" t="n"/>
      <c r="AP33" s="93" t="n"/>
      <c r="AQ33" s="93" t="n"/>
      <c r="AR33" s="93" t="n"/>
      <c r="AS33" s="93" t="n"/>
      <c r="AT33" s="93" t="n"/>
      <c r="AU33" s="93" t="n"/>
      <c r="AV33" s="93" t="n"/>
      <c r="AW33" s="93" t="n"/>
      <c r="AX33" s="93" t="n"/>
      <c r="AY33" s="93" t="n"/>
      <c r="AZ33" s="93" t="n"/>
      <c r="BA33" s="93" t="n"/>
      <c r="BB33" s="93" t="n"/>
      <c r="BC33" s="93" t="n"/>
      <c r="BD33" s="93" t="n"/>
      <c r="BE33" s="467" t="n">
        <v>11.96758248</v>
      </c>
    </row>
    <row r="34">
      <c r="A34" s="136" t="inlineStr">
        <is>
          <t>(blank)</t>
        </is>
      </c>
      <c r="B34" s="136" t="n"/>
      <c r="C34" t="inlineStr">
        <is>
          <t>40-30-1.6-ERW 1-FC</t>
        </is>
      </c>
      <c r="D34" s="136" t="n"/>
      <c r="H34" s="43" t="n"/>
      <c r="I34" s="43" t="n"/>
      <c r="J34" s="91" t="n">
        <v>22.23</v>
      </c>
      <c r="K34" s="15" t="n">
        <v>22.23</v>
      </c>
      <c r="L34" s="15" t="n">
        <v>0</v>
      </c>
      <c r="M34" s="15" t="n">
        <v>2</v>
      </c>
      <c r="N34" s="15" t="inlineStr">
        <is>
          <t>ERW 1</t>
        </is>
      </c>
      <c r="O34" s="15" t="inlineStr">
        <is>
          <t>PE</t>
        </is>
      </c>
      <c r="P34" s="15" t="inlineStr">
        <is>
          <t>22.23-0-2-ERW 1-PE</t>
        </is>
      </c>
      <c r="Q34" s="92" t="inlineStr">
        <is>
          <t>Hosur</t>
        </is>
      </c>
      <c r="R34" s="607">
        <f>Table11[[#This Row],[Grand Total]]</f>
        <v/>
      </c>
      <c r="S34" s="93">
        <f>VLOOKUP(Table11[[#This Row],[Bucket]],salesforecast[[#All],[Bucket2]:[WIP]],3,0)</f>
        <v/>
      </c>
      <c r="T34" s="93">
        <f>VLOOKUP(Table11[[#This Row],[Bucket]],salesforecast[[#All],[Bucket2]:[WIP]],4,0)</f>
        <v/>
      </c>
      <c r="U34" s="93">
        <f>VLOOKUP(Table11[[#This Row],[Bucket]],salesforecast[[#All],[Bucket2]:[WIP]],5,0)</f>
        <v/>
      </c>
      <c r="V34" s="93">
        <f>VLOOKUP(Table11[[#This Row],[Bucket]],salesforecast[[#All],[Bucket2]:[WIP]],7,0)</f>
        <v/>
      </c>
      <c r="W34" s="93">
        <f>Table11[[#This Row],[Stock LL]]+Table11[[#This Row],[WIP]]+Table11[[#This Row],[Stock CTL]]</f>
        <v/>
      </c>
      <c r="X34" s="93">
        <f>IF((Table11[[#This Row],[Requirement]]-Table11[[#This Row],[Sales]]-Table11[[#This Row],[Total Stock]])&lt;0,0,Table11[[#This Row],[Requirement]]-Table11[[#This Row],[Sales]]-Table11[[#This Row],[Total Stock]])</f>
        <v/>
      </c>
      <c r="Y34" s="94">
        <f>_xlfn.CONCAT(ROUND(Table11[[#This Row],[Total Stock]]/Table11[[#This Row],[Requirement]]*100,0),"% Coverage. Rest by Week 3")</f>
        <v/>
      </c>
      <c r="Z34" s="93" t="n">
        <v>22.23</v>
      </c>
      <c r="AA34" s="93" t="n">
        <v>22.23</v>
      </c>
      <c r="AB34" s="93" t="n">
        <v>0</v>
      </c>
      <c r="AC34" s="93" t="n">
        <v>2</v>
      </c>
      <c r="AD34" s="93" t="inlineStr">
        <is>
          <t>ERW 1</t>
        </is>
      </c>
      <c r="AE34" s="93" t="inlineStr">
        <is>
          <t>PE</t>
        </is>
      </c>
      <c r="AF34" s="93" t="inlineStr">
        <is>
          <t>22.23-0-2-ERW 1-PE</t>
        </is>
      </c>
      <c r="AG34" s="93">
        <f>EXACT(Table11[[#This Row],[Bucket8]],Table11[[#This Row],[Bucket]])</f>
        <v/>
      </c>
      <c r="AH34" s="93" t="n"/>
      <c r="AI34" s="93" t="n"/>
      <c r="AJ34" s="93" t="n"/>
      <c r="AK34" s="93" t="n"/>
      <c r="AL34" s="93" t="n"/>
      <c r="AM34" s="93" t="n"/>
      <c r="AN34" s="93" t="n"/>
      <c r="AO34" s="93" t="n">
        <v>7.612379755820001</v>
      </c>
      <c r="AP34" s="93" t="n">
        <v>12.9449350492</v>
      </c>
      <c r="AQ34" s="93" t="n"/>
      <c r="AR34" s="93" t="n"/>
      <c r="AS34" s="93" t="n">
        <v>5.0612900905</v>
      </c>
      <c r="AT34" s="93" t="n"/>
      <c r="AU34" s="93" t="n"/>
      <c r="AV34" s="93" t="n"/>
      <c r="AW34" s="93" t="n">
        <v>2.7625169558</v>
      </c>
      <c r="AX34" s="93" t="n"/>
      <c r="AY34" s="93" t="n">
        <v>16.1213308991</v>
      </c>
      <c r="AZ34" s="93" t="n">
        <v>2.194056788</v>
      </c>
      <c r="BA34" s="93" t="n"/>
      <c r="BB34" s="93" t="n"/>
      <c r="BC34" s="93" t="n"/>
      <c r="BD34" s="93" t="n"/>
      <c r="BE34" s="467" t="n">
        <v>46.69650953842</v>
      </c>
    </row>
    <row r="35">
      <c r="A35" s="136" t="inlineStr">
        <is>
          <t>22.23-0-2--</t>
        </is>
      </c>
      <c r="B35" s="136" t="n"/>
      <c r="C35" t="inlineStr">
        <is>
          <t>40-30-2-ERW 1-FC</t>
        </is>
      </c>
      <c r="D35" s="136" t="n"/>
      <c r="G35" s="43" t="n"/>
      <c r="H35" s="43" t="n"/>
      <c r="I35" s="43" t="n"/>
      <c r="J35" s="91" t="n">
        <v>22.23</v>
      </c>
      <c r="K35" s="15" t="n">
        <v>22.23</v>
      </c>
      <c r="L35" s="15" t="n">
        <v>0</v>
      </c>
      <c r="M35" s="15" t="n">
        <v>2</v>
      </c>
      <c r="N35" s="15" t="inlineStr">
        <is>
          <t>ERW 2</t>
        </is>
      </c>
      <c r="O35" s="15" t="inlineStr">
        <is>
          <t>FC</t>
        </is>
      </c>
      <c r="P35" s="15" t="inlineStr">
        <is>
          <t>22.23-0-2-ERW 2-FC</t>
        </is>
      </c>
      <c r="Q35" s="92" t="inlineStr">
        <is>
          <t>Hosur</t>
        </is>
      </c>
      <c r="R35" s="607">
        <f>Table11[[#This Row],[Grand Total]]</f>
        <v/>
      </c>
      <c r="S35" s="93">
        <f>VLOOKUP(Table11[[#This Row],[Bucket]],salesforecast[[#All],[Bucket2]:[WIP]],3,0)</f>
        <v/>
      </c>
      <c r="T35" s="93">
        <f>VLOOKUP(Table11[[#This Row],[Bucket]],salesforecast[[#All],[Bucket2]:[WIP]],4,0)</f>
        <v/>
      </c>
      <c r="U35" s="93">
        <f>VLOOKUP(Table11[[#This Row],[Bucket]],salesforecast[[#All],[Bucket2]:[WIP]],5,0)</f>
        <v/>
      </c>
      <c r="V35" s="93">
        <f>VLOOKUP(Table11[[#This Row],[Bucket]],salesforecast[[#All],[Bucket2]:[WIP]],7,0)</f>
        <v/>
      </c>
      <c r="W35" s="93">
        <f>Table11[[#This Row],[Stock LL]]+Table11[[#This Row],[WIP]]+Table11[[#This Row],[Stock CTL]]</f>
        <v/>
      </c>
      <c r="X35" s="93">
        <f>IF((Table11[[#This Row],[Requirement]]-Table11[[#This Row],[Sales]]-Table11[[#This Row],[Total Stock]])&lt;0,0,Table11[[#This Row],[Requirement]]-Table11[[#This Row],[Sales]]-Table11[[#This Row],[Total Stock]])</f>
        <v/>
      </c>
      <c r="Y35" s="96" t="n"/>
      <c r="Z35" s="93" t="n">
        <v>22.23</v>
      </c>
      <c r="AA35" s="93" t="n">
        <v>22.23</v>
      </c>
      <c r="AB35" s="93" t="n">
        <v>0</v>
      </c>
      <c r="AC35" s="93" t="n">
        <v>2</v>
      </c>
      <c r="AD35" s="93" t="inlineStr">
        <is>
          <t>ERW 2</t>
        </is>
      </c>
      <c r="AE35" s="93" t="inlineStr">
        <is>
          <t>FC</t>
        </is>
      </c>
      <c r="AF35" s="93" t="inlineStr">
        <is>
          <t>22.23-0-2-ERW 2-FC</t>
        </is>
      </c>
      <c r="AG35" s="93">
        <f>EXACT(Table11[[#This Row],[Bucket8]],Table11[[#This Row],[Bucket]])</f>
        <v/>
      </c>
      <c r="AH35" s="93" t="n"/>
      <c r="AI35" s="93" t="n"/>
      <c r="AJ35" s="93" t="n"/>
      <c r="AK35" s="93" t="n"/>
      <c r="AL35" s="93" t="n"/>
      <c r="AM35" s="93" t="n"/>
      <c r="AN35" s="93" t="n"/>
      <c r="AO35" s="93" t="n"/>
      <c r="AP35" s="93" t="n"/>
      <c r="AQ35" s="93" t="n"/>
      <c r="AR35" s="93" t="n"/>
      <c r="AS35" s="93" t="n"/>
      <c r="AT35" s="93" t="n"/>
      <c r="AU35" s="93" t="n"/>
      <c r="AV35" s="93" t="n"/>
      <c r="AW35" s="93" t="n"/>
      <c r="AX35" s="93" t="n">
        <v>10.43904993480258</v>
      </c>
      <c r="AY35" s="93" t="n"/>
      <c r="AZ35" s="93" t="n"/>
      <c r="BA35" s="93" t="n"/>
      <c r="BB35" s="93" t="n"/>
      <c r="BC35" s="93" t="n"/>
      <c r="BD35" s="93" t="n"/>
      <c r="BE35" s="467" t="n">
        <v>10.43904993480258</v>
      </c>
    </row>
    <row r="36">
      <c r="A36" s="136" t="inlineStr">
        <is>
          <t>(blank)</t>
        </is>
      </c>
      <c r="B36" s="136" t="n"/>
      <c r="C36" t="inlineStr">
        <is>
          <t>48.6-0-1.2-ERW 1-FC</t>
        </is>
      </c>
      <c r="D36" s="136" t="n"/>
      <c r="G36" s="43" t="n"/>
      <c r="H36" s="43" t="n"/>
      <c r="I36" s="43" t="n"/>
      <c r="J36" s="91" t="n">
        <v>22.23</v>
      </c>
      <c r="K36" s="15" t="n">
        <v>22.23</v>
      </c>
      <c r="L36" s="15" t="n">
        <v>0</v>
      </c>
      <c r="M36" s="15" t="n">
        <v>2</v>
      </c>
      <c r="N36" s="15" t="inlineStr">
        <is>
          <t>ERW 2 MAHS</t>
        </is>
      </c>
      <c r="O36" s="15" t="inlineStr">
        <is>
          <t>PE</t>
        </is>
      </c>
      <c r="P36" s="15" t="inlineStr">
        <is>
          <t>22.23-0-2-ERW 2 MAHS-PE</t>
        </is>
      </c>
      <c r="Q36" s="92" t="inlineStr">
        <is>
          <t>Hosur</t>
        </is>
      </c>
      <c r="R36" s="607">
        <f>Table11[[#This Row],[Grand Total]]</f>
        <v/>
      </c>
      <c r="S36" s="93">
        <f>VLOOKUP(Table11[[#This Row],[Bucket]],salesforecast[[#All],[Bucket2]:[WIP]],3,0)</f>
        <v/>
      </c>
      <c r="T36" s="93">
        <f>VLOOKUP(Table11[[#This Row],[Bucket]],salesforecast[[#All],[Bucket2]:[WIP]],4,0)</f>
        <v/>
      </c>
      <c r="U36" s="93">
        <f>VLOOKUP(Table11[[#This Row],[Bucket]],salesforecast[[#All],[Bucket2]:[WIP]],5,0)</f>
        <v/>
      </c>
      <c r="V36" s="93">
        <f>VLOOKUP(Table11[[#This Row],[Bucket]],salesforecast[[#All],[Bucket2]:[WIP]],7,0)</f>
        <v/>
      </c>
      <c r="W36" s="93">
        <f>Table11[[#This Row],[Stock LL]]+Table11[[#This Row],[WIP]]+Table11[[#This Row],[Stock CTL]]</f>
        <v/>
      </c>
      <c r="X36" s="93">
        <f>IF((Table11[[#This Row],[Requirement]]-Table11[[#This Row],[Sales]]-Table11[[#This Row],[Total Stock]])&lt;0,0,Table11[[#This Row],[Requirement]]-Table11[[#This Row],[Sales]]-Table11[[#This Row],[Total Stock]])</f>
        <v/>
      </c>
      <c r="Y36" s="94">
        <f>_xlfn.CONCAT(ROUND(Table11[[#This Row],[Total Stock]]/Table11[[#This Row],[Requirement]]*100,0),"% Coverage. Rest by Week 3")</f>
        <v/>
      </c>
      <c r="Z36" s="93" t="n">
        <v>22.23</v>
      </c>
      <c r="AA36" s="93" t="n">
        <v>22.23</v>
      </c>
      <c r="AB36" s="93" t="n">
        <v>0</v>
      </c>
      <c r="AC36" s="93" t="n">
        <v>2</v>
      </c>
      <c r="AD36" s="93" t="inlineStr">
        <is>
          <t>ERW 2 MAHS</t>
        </is>
      </c>
      <c r="AE36" s="93" t="inlineStr">
        <is>
          <t>PE</t>
        </is>
      </c>
      <c r="AF36" s="93" t="inlineStr">
        <is>
          <t>22.23-0-2-ERW 2 MAHS-PE</t>
        </is>
      </c>
      <c r="AG36" s="93">
        <f>EXACT(Table11[[#This Row],[Bucket8]],Table11[[#This Row],[Bucket]])</f>
        <v/>
      </c>
      <c r="AH36" s="93" t="n"/>
      <c r="AI36" s="93" t="n"/>
      <c r="AJ36" s="93" t="n"/>
      <c r="AK36" s="93" t="n"/>
      <c r="AL36" s="93" t="n"/>
      <c r="AM36" s="93" t="n"/>
      <c r="AN36" s="93" t="n"/>
      <c r="AO36" s="93" t="n"/>
      <c r="AP36" s="93" t="n"/>
      <c r="AQ36" s="93" t="n"/>
      <c r="AR36" s="93" t="n"/>
      <c r="AS36" s="93" t="n"/>
      <c r="AT36" s="93" t="n"/>
      <c r="AU36" s="93" t="n"/>
      <c r="AV36" s="93" t="n"/>
      <c r="AW36" s="93" t="n">
        <v>54.153310722</v>
      </c>
      <c r="AX36" s="93" t="n"/>
      <c r="AY36" s="93" t="n"/>
      <c r="AZ36" s="93" t="n"/>
      <c r="BA36" s="93" t="n"/>
      <c r="BB36" s="93" t="n"/>
      <c r="BC36" s="93" t="n"/>
      <c r="BD36" s="93" t="n"/>
      <c r="BE36" s="467" t="n">
        <v>54.153310722</v>
      </c>
    </row>
    <row r="37">
      <c r="A37" s="136" t="inlineStr">
        <is>
          <t>22.23-0-2.3--PE</t>
        </is>
      </c>
      <c r="B37" s="136" t="n"/>
      <c r="C37" t="inlineStr">
        <is>
          <t>48.6-0-3.5-ERW 1-FC</t>
        </is>
      </c>
      <c r="D37" s="136" t="n"/>
      <c r="G37" s="43" t="n"/>
      <c r="H37" s="43" t="n"/>
      <c r="I37" s="43" t="n"/>
      <c r="J37" s="91" t="n">
        <v>22.23</v>
      </c>
      <c r="K37" s="15" t="n">
        <v>22.23</v>
      </c>
      <c r="L37" s="15" t="n">
        <v>0</v>
      </c>
      <c r="M37" s="15" t="n">
        <v>2.3</v>
      </c>
      <c r="N37" s="15" t="inlineStr">
        <is>
          <t>ERW 1</t>
        </is>
      </c>
      <c r="O37" s="15" t="inlineStr">
        <is>
          <t>PE</t>
        </is>
      </c>
      <c r="P37" s="15" t="inlineStr">
        <is>
          <t>22.23-0-2.3-ERW 1-PE</t>
        </is>
      </c>
      <c r="Q37" s="92" t="inlineStr">
        <is>
          <t>Hosur</t>
        </is>
      </c>
      <c r="R37" s="607">
        <f>Table11[[#This Row],[Grand Total]]</f>
        <v/>
      </c>
      <c r="S37" s="93">
        <f>VLOOKUP(Table11[[#This Row],[Bucket]],salesforecast[[#All],[Bucket2]:[WIP]],3,0)</f>
        <v/>
      </c>
      <c r="T37" s="93">
        <f>VLOOKUP(Table11[[#This Row],[Bucket]],salesforecast[[#All],[Bucket2]:[WIP]],4,0)</f>
        <v/>
      </c>
      <c r="U37" s="93">
        <f>VLOOKUP(Table11[[#This Row],[Bucket]],salesforecast[[#All],[Bucket2]:[WIP]],5,0)</f>
        <v/>
      </c>
      <c r="V37" s="93">
        <f>VLOOKUP(Table11[[#This Row],[Bucket]],salesforecast[[#All],[Bucket2]:[WIP]],7,0)</f>
        <v/>
      </c>
      <c r="W37" s="93">
        <f>Table11[[#This Row],[Stock LL]]+Table11[[#This Row],[WIP]]+Table11[[#This Row],[Stock CTL]]</f>
        <v/>
      </c>
      <c r="X37" s="93">
        <f>IF((Table11[[#This Row],[Requirement]]-Table11[[#This Row],[Sales]]-Table11[[#This Row],[Total Stock]])&lt;0,0,Table11[[#This Row],[Requirement]]-Table11[[#This Row],[Sales]]-Table11[[#This Row],[Total Stock]])</f>
        <v/>
      </c>
      <c r="Y37" s="96" t="n"/>
      <c r="Z37" s="93" t="n">
        <v>22.23</v>
      </c>
      <c r="AA37" s="93" t="n">
        <v>22.23</v>
      </c>
      <c r="AB37" s="93" t="n">
        <v>0</v>
      </c>
      <c r="AC37" s="93" t="n">
        <v>2.3</v>
      </c>
      <c r="AD37" s="93" t="inlineStr">
        <is>
          <t>ERW 1</t>
        </is>
      </c>
      <c r="AE37" s="93" t="inlineStr">
        <is>
          <t>PE</t>
        </is>
      </c>
      <c r="AF37" s="93" t="inlineStr">
        <is>
          <t>22.23-0-2.3-ERW 1-PE</t>
        </is>
      </c>
      <c r="AG37" s="93">
        <f>EXACT(Table11[[#This Row],[Bucket8]],Table11[[#This Row],[Bucket]])</f>
        <v/>
      </c>
      <c r="AH37" s="93" t="n"/>
      <c r="AI37" s="93" t="n">
        <v>2.98289774904</v>
      </c>
      <c r="AJ37" s="93" t="n"/>
      <c r="AK37" s="93" t="n"/>
      <c r="AL37" s="93" t="n">
        <v>2.728673509065</v>
      </c>
      <c r="AM37" s="93" t="n"/>
      <c r="AN37" s="93" t="n"/>
      <c r="AO37" s="93" t="n"/>
      <c r="AP37" s="93" t="n"/>
      <c r="AQ37" s="93" t="n">
        <v>2.401006710875</v>
      </c>
      <c r="AR37" s="93" t="n"/>
      <c r="AS37" s="93" t="n"/>
      <c r="AT37" s="93" t="n"/>
      <c r="AU37" s="93" t="n">
        <v>3.389656533</v>
      </c>
      <c r="AV37" s="93" t="n"/>
      <c r="AW37" s="93" t="n"/>
      <c r="AX37" s="93" t="n"/>
      <c r="AY37" s="93" t="n"/>
      <c r="AZ37" s="93" t="n">
        <v>18.287196995535</v>
      </c>
      <c r="BA37" s="93" t="n"/>
      <c r="BB37" s="93" t="n"/>
      <c r="BC37" s="93" t="n"/>
      <c r="BD37" s="93" t="n"/>
      <c r="BE37" s="467" t="n">
        <v>29.789431497515</v>
      </c>
    </row>
    <row r="38">
      <c r="A38" t="inlineStr">
        <is>
          <t>(blank)</t>
        </is>
      </c>
      <c r="C38" t="inlineStr">
        <is>
          <t>59-30-1.6-ERW 1-FIN CUT</t>
        </is>
      </c>
      <c r="H38" s="43" t="n"/>
      <c r="I38" s="43" t="n"/>
      <c r="J38" s="91" t="n">
        <v>23.42</v>
      </c>
      <c r="K38" s="15" t="n">
        <v>19</v>
      </c>
      <c r="L38" s="15" t="n">
        <v>19</v>
      </c>
      <c r="M38" s="15" t="n">
        <v>1</v>
      </c>
      <c r="N38" s="15" t="inlineStr">
        <is>
          <t>CRFH</t>
        </is>
      </c>
      <c r="O38" s="15" t="inlineStr">
        <is>
          <t>PE</t>
        </is>
      </c>
      <c r="P38" s="15" t="inlineStr">
        <is>
          <t>19-19-1-CRFH-PE</t>
        </is>
      </c>
      <c r="Q38" s="92" t="inlineStr">
        <is>
          <t>Hosur</t>
        </is>
      </c>
      <c r="R38" s="607">
        <f>Table11[[#This Row],[Grand Total]]</f>
        <v/>
      </c>
      <c r="S38" s="93">
        <f>VLOOKUP(Table11[[#This Row],[Bucket]],salesforecast[[#All],[Bucket2]:[WIP]],3,0)</f>
        <v/>
      </c>
      <c r="T38" s="93">
        <f>VLOOKUP(Table11[[#This Row],[Bucket]],salesforecast[[#All],[Bucket2]:[WIP]],4,0)</f>
        <v/>
      </c>
      <c r="U38" s="93">
        <f>VLOOKUP(Table11[[#This Row],[Bucket]],salesforecast[[#All],[Bucket2]:[WIP]],5,0)</f>
        <v/>
      </c>
      <c r="V38" s="93">
        <f>VLOOKUP(Table11[[#This Row],[Bucket]],salesforecast[[#All],[Bucket2]:[WIP]],7,0)</f>
        <v/>
      </c>
      <c r="W38" s="93">
        <f>Table11[[#This Row],[Stock LL]]+Table11[[#This Row],[WIP]]+Table11[[#This Row],[Stock CTL]]</f>
        <v/>
      </c>
      <c r="X38" s="93">
        <f>IF((Table11[[#This Row],[Requirement]]-Table11[[#This Row],[Sales]]-Table11[[#This Row],[Total Stock]])&lt;0,0,Table11[[#This Row],[Requirement]]-Table11[[#This Row],[Sales]]-Table11[[#This Row],[Total Stock]])</f>
        <v/>
      </c>
      <c r="Y38" s="96" t="n"/>
      <c r="Z38" s="93" t="n">
        <v>23.42</v>
      </c>
      <c r="AA38" s="93" t="n">
        <v>19</v>
      </c>
      <c r="AB38" s="93" t="n">
        <v>19</v>
      </c>
      <c r="AC38" s="93" t="n">
        <v>1</v>
      </c>
      <c r="AD38" s="93" t="inlineStr">
        <is>
          <t>CRFH</t>
        </is>
      </c>
      <c r="AE38" s="93" t="inlineStr">
        <is>
          <t>PE</t>
        </is>
      </c>
      <c r="AF38" s="93" t="inlineStr">
        <is>
          <t>19-19-1-CRFH-PE</t>
        </is>
      </c>
      <c r="AG38" s="93">
        <f>EXACT(Table11[[#This Row],[Bucket8]],Table11[[#This Row],[Bucket]])</f>
        <v/>
      </c>
      <c r="AH38" s="93" t="n"/>
      <c r="AI38" s="93" t="n"/>
      <c r="AJ38" s="93" t="n"/>
      <c r="AK38" s="93" t="n"/>
      <c r="AL38" s="93" t="n">
        <v>44.82497160496001</v>
      </c>
      <c r="AM38" s="93" t="n"/>
      <c r="AN38" s="93" t="n"/>
      <c r="AO38" s="93" t="n"/>
      <c r="AP38" s="93" t="n"/>
      <c r="AQ38" s="93" t="n"/>
      <c r="AR38" s="93" t="n"/>
      <c r="AS38" s="93" t="n"/>
      <c r="AT38" s="93" t="n"/>
      <c r="AU38" s="93" t="n"/>
      <c r="AV38" s="93" t="n"/>
      <c r="AW38" s="93" t="n"/>
      <c r="AX38" s="93" t="n"/>
      <c r="AY38" s="93" t="n"/>
      <c r="AZ38" s="93" t="n"/>
      <c r="BA38" s="93" t="n"/>
      <c r="BB38" s="93" t="n">
        <v>16.38825984990001</v>
      </c>
      <c r="BC38" s="93" t="n">
        <v>49.26204253178</v>
      </c>
      <c r="BD38" s="93" t="n"/>
      <c r="BE38" s="467" t="n">
        <v>110.47527398664</v>
      </c>
    </row>
    <row r="39">
      <c r="A39" s="137" t="inlineStr">
        <is>
          <t>25.4-0-2-ERW 1-</t>
        </is>
      </c>
      <c r="B39" s="136" t="n"/>
      <c r="C39" t="inlineStr">
        <is>
          <t>40-40-1.2-CRFH-PE</t>
        </is>
      </c>
      <c r="D39" s="136" t="n"/>
      <c r="G39" s="43" t="n"/>
      <c r="H39" s="43" t="n"/>
      <c r="I39" s="43" t="n"/>
      <c r="J39" s="91" t="n">
        <v>25.4</v>
      </c>
      <c r="K39" s="15" t="n">
        <v>25.4</v>
      </c>
      <c r="L39" s="15" t="n">
        <v>0</v>
      </c>
      <c r="M39" s="15" t="n">
        <v>1.2</v>
      </c>
      <c r="N39" s="15" t="inlineStr">
        <is>
          <t>ERW 1</t>
        </is>
      </c>
      <c r="O39" s="15" t="inlineStr">
        <is>
          <t>PE</t>
        </is>
      </c>
      <c r="P39" s="15" t="inlineStr">
        <is>
          <t>25.4-0-1.2-ERW 1-PE</t>
        </is>
      </c>
      <c r="Q39" s="92" t="inlineStr">
        <is>
          <t>Hosur</t>
        </is>
      </c>
      <c r="R39" s="607">
        <f>Table11[[#This Row],[Grand Total]]</f>
        <v/>
      </c>
      <c r="S39" s="93">
        <f>VLOOKUP(Table11[[#This Row],[Bucket]],salesforecast[[#All],[Bucket2]:[WIP]],3,0)</f>
        <v/>
      </c>
      <c r="T39" s="93">
        <f>VLOOKUP(Table11[[#This Row],[Bucket]],salesforecast[[#All],[Bucket2]:[WIP]],4,0)</f>
        <v/>
      </c>
      <c r="U39" s="93">
        <f>VLOOKUP(Table11[[#This Row],[Bucket]],salesforecast[[#All],[Bucket2]:[WIP]],5,0)</f>
        <v/>
      </c>
      <c r="V39" s="93">
        <f>VLOOKUP(Table11[[#This Row],[Bucket]],salesforecast[[#All],[Bucket2]:[WIP]],7,0)</f>
        <v/>
      </c>
      <c r="W39" s="93">
        <f>Table11[[#This Row],[Stock LL]]+Table11[[#This Row],[WIP]]+Table11[[#This Row],[Stock CTL]]</f>
        <v/>
      </c>
      <c r="X39" s="93">
        <f>IF((Table11[[#This Row],[Requirement]]-Table11[[#This Row],[Sales]]-Table11[[#This Row],[Total Stock]])&lt;0,0,Table11[[#This Row],[Requirement]]-Table11[[#This Row],[Sales]]-Table11[[#This Row],[Total Stock]])</f>
        <v/>
      </c>
      <c r="Y39" s="94">
        <f>_xlfn.CONCAT(ROUND(Table11[[#This Row],[Total Stock]]/Table11[[#This Row],[Requirement]]*100,0),"% Coverage. Rest by Week 3")</f>
        <v/>
      </c>
      <c r="Z39" s="93" t="n">
        <v>25.4</v>
      </c>
      <c r="AA39" s="93" t="n">
        <v>25.4</v>
      </c>
      <c r="AB39" s="93" t="n">
        <v>0</v>
      </c>
      <c r="AC39" s="93" t="n">
        <v>1.2</v>
      </c>
      <c r="AD39" s="93" t="inlineStr">
        <is>
          <t>ERW 1</t>
        </is>
      </c>
      <c r="AE39" s="93" t="inlineStr">
        <is>
          <t>PE</t>
        </is>
      </c>
      <c r="AF39" s="93" t="inlineStr">
        <is>
          <t>25.4-0-1.2-ERW 1-PE</t>
        </is>
      </c>
      <c r="AG39" s="93">
        <f>EXACT(Table11[[#This Row],[Bucket8]],Table11[[#This Row],[Bucket]])</f>
        <v/>
      </c>
      <c r="AH39" s="93" t="n"/>
      <c r="AI39" s="93" t="n"/>
      <c r="AJ39" s="93" t="n"/>
      <c r="AK39" s="93" t="n"/>
      <c r="AL39" s="93" t="n"/>
      <c r="AM39" s="93" t="n"/>
      <c r="AN39" s="93" t="n"/>
      <c r="AO39" s="93" t="n"/>
      <c r="AP39" s="93" t="n">
        <v>1.2097137624</v>
      </c>
      <c r="AQ39" s="93" t="n"/>
      <c r="AR39" s="93" t="n"/>
      <c r="AS39" s="93" t="n"/>
      <c r="AT39" s="93" t="n"/>
      <c r="AU39" s="93" t="n"/>
      <c r="AV39" s="93" t="n"/>
      <c r="AW39" s="93" t="n"/>
      <c r="AX39" s="93" t="n"/>
      <c r="AY39" s="93" t="n"/>
      <c r="AZ39" s="93" t="n"/>
      <c r="BA39" s="93" t="n"/>
      <c r="BB39" s="93" t="n"/>
      <c r="BC39" s="93" t="n"/>
      <c r="BD39" s="93" t="n"/>
      <c r="BE39" s="467" t="n">
        <v>1.2097137624</v>
      </c>
    </row>
    <row r="40">
      <c r="A40" s="137" t="inlineStr">
        <is>
          <t>25.4-0-2--</t>
        </is>
      </c>
      <c r="B40" s="136" t="n"/>
      <c r="C40" t="inlineStr">
        <is>
          <t>50-30-1.6-ERW 1-FC</t>
        </is>
      </c>
      <c r="D40" s="136" t="n"/>
      <c r="H40" s="43" t="n"/>
      <c r="I40" s="43" t="n"/>
      <c r="J40" s="91" t="n">
        <v>25.4</v>
      </c>
      <c r="K40" s="15" t="n">
        <v>25.4</v>
      </c>
      <c r="L40" s="15" t="n">
        <v>0</v>
      </c>
      <c r="M40" s="15" t="n">
        <v>1.6</v>
      </c>
      <c r="N40" s="15" t="inlineStr">
        <is>
          <t>ERW 1</t>
        </is>
      </c>
      <c r="O40" s="15" t="inlineStr">
        <is>
          <t>FC</t>
        </is>
      </c>
      <c r="P40" s="15" t="inlineStr">
        <is>
          <t>25.4-0-1.6-ERW 1-FC</t>
        </is>
      </c>
      <c r="Q40" s="92" t="inlineStr">
        <is>
          <t>Hosur</t>
        </is>
      </c>
      <c r="R40" s="607">
        <f>Table11[[#This Row],[Grand Total]]</f>
        <v/>
      </c>
      <c r="S40" s="93">
        <f>VLOOKUP(Table11[[#This Row],[Bucket]],salesforecast[[#All],[Bucket2]:[WIP]],3,0)</f>
        <v/>
      </c>
      <c r="T40" s="93">
        <f>VLOOKUP(Table11[[#This Row],[Bucket]],salesforecast[[#All],[Bucket2]:[WIP]],4,0)</f>
        <v/>
      </c>
      <c r="U40" s="93">
        <f>VLOOKUP(Table11[[#This Row],[Bucket]],salesforecast[[#All],[Bucket2]:[WIP]],5,0)</f>
        <v/>
      </c>
      <c r="V40" s="93">
        <f>VLOOKUP(Table11[[#This Row],[Bucket]],salesforecast[[#All],[Bucket2]:[WIP]],7,0)</f>
        <v/>
      </c>
      <c r="W40" s="93">
        <f>Table11[[#This Row],[Stock LL]]+Table11[[#This Row],[WIP]]+Table11[[#This Row],[Stock CTL]]</f>
        <v/>
      </c>
      <c r="X40" s="93">
        <f>IF((Table11[[#This Row],[Requirement]]-Table11[[#This Row],[Sales]]-Table11[[#This Row],[Total Stock]])&lt;0,0,Table11[[#This Row],[Requirement]]-Table11[[#This Row],[Sales]]-Table11[[#This Row],[Total Stock]])</f>
        <v/>
      </c>
      <c r="Y40" s="608">
        <f>ROUND(Table11[[#This Row],[Total Stock]]/Table11[[#This Row],[Requirement]]*100,0) &amp; "% coverage. Further rolling by 12th May'25"</f>
        <v/>
      </c>
      <c r="Z40" s="93" t="n">
        <v>25.4</v>
      </c>
      <c r="AA40" s="93" t="n">
        <v>25.4</v>
      </c>
      <c r="AB40" s="93" t="n">
        <v>0</v>
      </c>
      <c r="AC40" s="93" t="n">
        <v>1.6</v>
      </c>
      <c r="AD40" s="93" t="inlineStr">
        <is>
          <t>ERW 1</t>
        </is>
      </c>
      <c r="AE40" s="93" t="inlineStr">
        <is>
          <t>FC</t>
        </is>
      </c>
      <c r="AF40" s="93" t="inlineStr">
        <is>
          <t>25.4-0-1.6-ERW 1-FC</t>
        </is>
      </c>
      <c r="AG40" s="93">
        <f>EXACT(Table11[[#This Row],[Bucket8]],Table11[[#This Row],[Bucket]])</f>
        <v/>
      </c>
      <c r="AH40" s="93" t="n"/>
      <c r="AI40" s="93" t="n"/>
      <c r="AJ40" s="93" t="n"/>
      <c r="AK40" s="93" t="n"/>
      <c r="AL40" s="93" t="n"/>
      <c r="AM40" s="93" t="n">
        <v>1.56188684288</v>
      </c>
      <c r="AN40" s="93" t="n"/>
      <c r="AO40" s="93" t="n"/>
      <c r="AP40" s="93" t="n"/>
      <c r="AQ40" s="93" t="n"/>
      <c r="AR40" s="93" t="n"/>
      <c r="AS40" s="93" t="n"/>
      <c r="AT40" s="93" t="n"/>
      <c r="AU40" s="93" t="n"/>
      <c r="AV40" s="93" t="n"/>
      <c r="AW40" s="93" t="n"/>
      <c r="AX40" s="93" t="n"/>
      <c r="AY40" s="93" t="n"/>
      <c r="AZ40" s="93" t="n"/>
      <c r="BA40" s="93" t="n"/>
      <c r="BB40" s="93" t="n"/>
      <c r="BC40" s="93" t="n"/>
      <c r="BD40" s="93" t="n"/>
      <c r="BE40" s="467" t="n">
        <v>1.56188684288</v>
      </c>
    </row>
    <row r="41">
      <c r="A41" s="136" t="inlineStr">
        <is>
          <t>25.4-0-2.5-ERW 1-</t>
        </is>
      </c>
      <c r="B41" s="136" t="n"/>
      <c r="C41" t="inlineStr">
        <is>
          <t>50-30-1.6-ERW 2-FC</t>
        </is>
      </c>
      <c r="D41" s="136" t="n"/>
      <c r="H41" s="43" t="n"/>
      <c r="I41" s="43" t="n"/>
      <c r="J41" s="91" t="n">
        <v>25.4</v>
      </c>
      <c r="K41" s="15" t="n">
        <v>25.4</v>
      </c>
      <c r="L41" s="15" t="n">
        <v>0</v>
      </c>
      <c r="M41" s="15" t="n">
        <v>1.6</v>
      </c>
      <c r="N41" s="15" t="inlineStr">
        <is>
          <t>ERW 1</t>
        </is>
      </c>
      <c r="O41" s="15" t="inlineStr">
        <is>
          <t>PE</t>
        </is>
      </c>
      <c r="P41" s="15" t="inlineStr">
        <is>
          <t>25.4-0-1.6-ERW 1-PE</t>
        </is>
      </c>
      <c r="Q41" s="92" t="inlineStr">
        <is>
          <t>Hosur</t>
        </is>
      </c>
      <c r="R41" s="607">
        <f>Table11[[#This Row],[Grand Total]]</f>
        <v/>
      </c>
      <c r="S41" s="93">
        <f>VLOOKUP(Table11[[#This Row],[Bucket]],salesforecast[[#All],[Bucket2]:[WIP]],3,0)</f>
        <v/>
      </c>
      <c r="T41" s="93">
        <f>VLOOKUP(Table11[[#This Row],[Bucket]],salesforecast[[#All],[Bucket2]:[WIP]],4,0)</f>
        <v/>
      </c>
      <c r="U41" s="93">
        <f>VLOOKUP(Table11[[#This Row],[Bucket]],salesforecast[[#All],[Bucket2]:[WIP]],5,0)</f>
        <v/>
      </c>
      <c r="V41" s="93">
        <f>VLOOKUP(Table11[[#This Row],[Bucket]],salesforecast[[#All],[Bucket2]:[WIP]],7,0)</f>
        <v/>
      </c>
      <c r="W41" s="93">
        <f>Table11[[#This Row],[Stock LL]]+Table11[[#This Row],[WIP]]+Table11[[#This Row],[Stock CTL]]</f>
        <v/>
      </c>
      <c r="X41" s="93">
        <f>IF((Table11[[#This Row],[Requirement]]-Table11[[#This Row],[Sales]]-Table11[[#This Row],[Total Stock]])&lt;0,0,Table11[[#This Row],[Requirement]]-Table11[[#This Row],[Sales]]-Table11[[#This Row],[Total Stock]])</f>
        <v/>
      </c>
      <c r="Y41" s="608">
        <f>ROUND(Table11[[#This Row],[Total Stock]]/Table11[[#This Row],[Requirement]]*100,0) &amp; "% coverage. Further rolling by week 3"</f>
        <v/>
      </c>
      <c r="Z41" s="93" t="n">
        <v>25.4</v>
      </c>
      <c r="AA41" s="93" t="n">
        <v>25.4</v>
      </c>
      <c r="AB41" s="93" t="n">
        <v>0</v>
      </c>
      <c r="AC41" s="93" t="n">
        <v>1.6</v>
      </c>
      <c r="AD41" s="93" t="inlineStr">
        <is>
          <t>ERW 1</t>
        </is>
      </c>
      <c r="AE41" s="93" t="inlineStr">
        <is>
          <t>PE</t>
        </is>
      </c>
      <c r="AF41" s="93" t="inlineStr">
        <is>
          <t>25.4-0-1.6-ERW 1-PE</t>
        </is>
      </c>
      <c r="AG41" s="93">
        <f>EXACT(Table11[[#This Row],[Bucket8]],Table11[[#This Row],[Bucket]])</f>
        <v/>
      </c>
      <c r="AH41" s="93" t="n">
        <v>4.8621237056</v>
      </c>
      <c r="AI41" s="93" t="n"/>
      <c r="AJ41" s="93" t="n"/>
      <c r="AK41" s="93" t="n"/>
      <c r="AL41" s="93" t="n"/>
      <c r="AM41" s="93" t="n"/>
      <c r="AN41" s="93" t="n"/>
      <c r="AO41" s="93" t="n"/>
      <c r="AP41" s="93" t="n"/>
      <c r="AQ41" s="93" t="n"/>
      <c r="AR41" s="93" t="n"/>
      <c r="AS41" s="93" t="n"/>
      <c r="AT41" s="93" t="n"/>
      <c r="AU41" s="93" t="n"/>
      <c r="AV41" s="93" t="n"/>
      <c r="AW41" s="93" t="n"/>
      <c r="AX41" s="93" t="n"/>
      <c r="AY41" s="93" t="n"/>
      <c r="AZ41" s="93" t="n"/>
      <c r="BA41" s="93" t="n"/>
      <c r="BB41" s="93" t="n"/>
      <c r="BC41" s="93" t="n"/>
      <c r="BD41" s="93" t="n"/>
      <c r="BE41" s="467" t="n">
        <v>4.8621237056</v>
      </c>
    </row>
    <row r="42">
      <c r="A42" s="136" t="inlineStr">
        <is>
          <t>25.4-0-2.6-ERW 1-</t>
        </is>
      </c>
      <c r="B42" s="136" t="n"/>
      <c r="C42" t="inlineStr">
        <is>
          <t>50-30-2-ERW 1-FC</t>
        </is>
      </c>
      <c r="D42" s="136" t="n"/>
      <c r="G42" s="43" t="n"/>
      <c r="H42" s="43" t="n"/>
      <c r="I42" s="43" t="n"/>
      <c r="J42" s="91" t="n">
        <v>25.4</v>
      </c>
      <c r="K42" s="15" t="n">
        <v>25.4</v>
      </c>
      <c r="L42" s="15" t="n">
        <v>0</v>
      </c>
      <c r="M42" s="15" t="n">
        <v>2</v>
      </c>
      <c r="N42" s="15" t="inlineStr">
        <is>
          <t>ERW 1</t>
        </is>
      </c>
      <c r="O42" s="15" t="inlineStr">
        <is>
          <t>FC</t>
        </is>
      </c>
      <c r="P42" s="15" t="inlineStr">
        <is>
          <t>25.4-0-2-ERW 1-FC</t>
        </is>
      </c>
      <c r="Q42" s="92" t="inlineStr">
        <is>
          <t>Hosur</t>
        </is>
      </c>
      <c r="R42" s="607">
        <f>Table11[[#This Row],[Grand Total]]</f>
        <v/>
      </c>
      <c r="S42" s="93">
        <f>VLOOKUP(Table11[[#This Row],[Bucket]],salesforecast[[#All],[Bucket2]:[WIP]],3,0)</f>
        <v/>
      </c>
      <c r="T42" s="93">
        <f>VLOOKUP(Table11[[#This Row],[Bucket]],salesforecast[[#All],[Bucket2]:[WIP]],4,0)</f>
        <v/>
      </c>
      <c r="U42" s="93">
        <f>VLOOKUP(Table11[[#This Row],[Bucket]],salesforecast[[#All],[Bucket2]:[WIP]],5,0)</f>
        <v/>
      </c>
      <c r="V42" s="93">
        <f>VLOOKUP(Table11[[#This Row],[Bucket]],salesforecast[[#All],[Bucket2]:[WIP]],7,0)</f>
        <v/>
      </c>
      <c r="W42" s="93">
        <f>Table11[[#This Row],[Stock LL]]+Table11[[#This Row],[WIP]]+Table11[[#This Row],[Stock CTL]]</f>
        <v/>
      </c>
      <c r="X42" s="93">
        <f>IF((Table11[[#This Row],[Requirement]]-Table11[[#This Row],[Sales]]-Table11[[#This Row],[Total Stock]])&lt;0,0,Table11[[#This Row],[Requirement]]-Table11[[#This Row],[Sales]]-Table11[[#This Row],[Total Stock]])</f>
        <v/>
      </c>
      <c r="Y42" s="94">
        <f>_xlfn.CONCAT(ROUND(Table11[[#This Row],[Total Stock]]/Table11[[#This Row],[Requirement]]*100,0),"% Coverage. Rest by Week 3")</f>
        <v/>
      </c>
      <c r="Z42" s="93" t="n">
        <v>25.4</v>
      </c>
      <c r="AA42" s="93" t="n">
        <v>25.4</v>
      </c>
      <c r="AB42" s="93" t="n">
        <v>0</v>
      </c>
      <c r="AC42" s="93" t="n">
        <v>2</v>
      </c>
      <c r="AD42" s="93" t="inlineStr">
        <is>
          <t>ERW 1</t>
        </is>
      </c>
      <c r="AE42" s="93" t="inlineStr">
        <is>
          <t>FC</t>
        </is>
      </c>
      <c r="AF42" s="93" t="inlineStr">
        <is>
          <t>25.4-0-2-ERW 1-FC</t>
        </is>
      </c>
      <c r="AG42" s="93">
        <f>EXACT(Table11[[#This Row],[Bucket8]],Table11[[#This Row],[Bucket]])</f>
        <v/>
      </c>
      <c r="AH42" s="93" t="n"/>
      <c r="AI42" s="93" t="n">
        <v>3.071388644999999</v>
      </c>
      <c r="AJ42" s="93" t="n"/>
      <c r="AK42" s="93" t="n"/>
      <c r="AL42" s="93" t="n">
        <v>1.67268114</v>
      </c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  <c r="AW42" s="93" t="n"/>
      <c r="AX42" s="93" t="n">
        <v>4.0986455796</v>
      </c>
      <c r="AY42" s="93" t="n">
        <v>4.09518486</v>
      </c>
      <c r="AZ42" s="93" t="n">
        <v>6.483081384</v>
      </c>
      <c r="BA42" s="93" t="n"/>
      <c r="BB42" s="93" t="n"/>
      <c r="BC42" s="93" t="n"/>
      <c r="BD42" s="93" t="n"/>
      <c r="BE42" s="467" t="n">
        <v>19.4209816086</v>
      </c>
    </row>
    <row r="43">
      <c r="A43" s="136" t="inlineStr">
        <is>
          <t>25.4-18.4-3.5-CEW-</t>
        </is>
      </c>
      <c r="B43" s="136" t="n"/>
      <c r="C43" t="inlineStr">
        <is>
          <t>50.8-0-1.6-ERW 1-FC</t>
        </is>
      </c>
      <c r="D43" s="136" t="n"/>
      <c r="H43" s="43" t="n"/>
      <c r="I43" s="43" t="n"/>
      <c r="J43" s="91" t="n">
        <v>25.4</v>
      </c>
      <c r="K43" s="15" t="n">
        <v>25.4</v>
      </c>
      <c r="L43" s="15" t="n">
        <v>0</v>
      </c>
      <c r="M43" s="15" t="n">
        <v>2</v>
      </c>
      <c r="N43" s="15" t="inlineStr">
        <is>
          <t>ERW 1</t>
        </is>
      </c>
      <c r="O43" s="15" t="inlineStr">
        <is>
          <t>PE</t>
        </is>
      </c>
      <c r="P43" s="15" t="inlineStr">
        <is>
          <t>25.4-0-2-ERW 1-PE</t>
        </is>
      </c>
      <c r="Q43" s="92" t="inlineStr">
        <is>
          <t>Hosur</t>
        </is>
      </c>
      <c r="R43" s="607">
        <f>Table11[[#This Row],[Grand Total]]</f>
        <v/>
      </c>
      <c r="S43" s="93">
        <f>VLOOKUP(Table11[[#This Row],[Bucket]],salesforecast[[#All],[Bucket2]:[WIP]],3,0)</f>
        <v/>
      </c>
      <c r="T43" s="93">
        <f>VLOOKUP(Table11[[#This Row],[Bucket]],salesforecast[[#All],[Bucket2]:[WIP]],4,0)</f>
        <v/>
      </c>
      <c r="U43" s="93">
        <f>VLOOKUP(Table11[[#This Row],[Bucket]],salesforecast[[#All],[Bucket2]:[WIP]],5,0)</f>
        <v/>
      </c>
      <c r="V43" s="93">
        <f>VLOOKUP(Table11[[#This Row],[Bucket]],salesforecast[[#All],[Bucket2]:[WIP]],7,0)</f>
        <v/>
      </c>
      <c r="W43" s="93">
        <f>Table11[[#This Row],[Stock LL]]+Table11[[#This Row],[WIP]]+Table11[[#This Row],[Stock CTL]]</f>
        <v/>
      </c>
      <c r="X43" s="93">
        <f>IF((Table11[[#This Row],[Requirement]]-Table11[[#This Row],[Sales]]-Table11[[#This Row],[Total Stock]])&lt;0,0,Table11[[#This Row],[Requirement]]-Table11[[#This Row],[Sales]]-Table11[[#This Row],[Total Stock]])</f>
        <v/>
      </c>
      <c r="Y43" s="96" t="n"/>
      <c r="Z43" s="93" t="n">
        <v>25.4</v>
      </c>
      <c r="AA43" s="93" t="n">
        <v>25.4</v>
      </c>
      <c r="AB43" s="93" t="n">
        <v>0</v>
      </c>
      <c r="AC43" s="93" t="n">
        <v>2</v>
      </c>
      <c r="AD43" s="93" t="inlineStr">
        <is>
          <t>ERW 1</t>
        </is>
      </c>
      <c r="AE43" s="93" t="inlineStr">
        <is>
          <t>PE</t>
        </is>
      </c>
      <c r="AF43" s="93" t="inlineStr">
        <is>
          <t>25.4-0-2-ERW 1-PE</t>
        </is>
      </c>
      <c r="AG43" s="93">
        <f>EXACT(Table11[[#This Row],[Bucket8]],Table11[[#This Row],[Bucket]])</f>
        <v/>
      </c>
      <c r="AH43" s="93" t="n"/>
      <c r="AI43" s="93" t="n"/>
      <c r="AJ43" s="93" t="n"/>
      <c r="AK43" s="93" t="n"/>
      <c r="AL43" s="93" t="n"/>
      <c r="AM43" s="93" t="n"/>
      <c r="AN43" s="93" t="n"/>
      <c r="AO43" s="93" t="n">
        <v>3.3269051088</v>
      </c>
      <c r="AP43" s="93" t="n"/>
      <c r="AQ43" s="93" t="n"/>
      <c r="AR43" s="93" t="n"/>
      <c r="AS43" s="93" t="n">
        <v>3.270380022</v>
      </c>
      <c r="AT43" s="93" t="n"/>
      <c r="AU43" s="93" t="n"/>
      <c r="AV43" s="93" t="n"/>
      <c r="AW43" s="93" t="n"/>
      <c r="AX43" s="93" t="n"/>
      <c r="AY43" s="93" t="n"/>
      <c r="AZ43" s="93" t="n"/>
      <c r="BA43" s="93" t="n"/>
      <c r="BB43" s="93" t="n"/>
      <c r="BC43" s="93" t="n"/>
      <c r="BD43" s="93" t="n"/>
      <c r="BE43" s="467" t="n">
        <v>6.5972851308</v>
      </c>
    </row>
    <row r="44">
      <c r="A44" s="136" t="inlineStr">
        <is>
          <t>25.4-19-3.2-CEW-</t>
        </is>
      </c>
      <c r="B44" s="136" t="n"/>
      <c r="C44" t="inlineStr">
        <is>
          <t>54-0-3-ERW 2-FC</t>
        </is>
      </c>
      <c r="D44" s="136" t="n"/>
      <c r="G44" s="43" t="n"/>
      <c r="H44" s="43" t="n"/>
      <c r="I44" s="43" t="n"/>
      <c r="J44" s="91" t="n">
        <v>25.4</v>
      </c>
      <c r="K44" s="15" t="n">
        <v>25.4</v>
      </c>
      <c r="L44" s="15" t="n">
        <v>0</v>
      </c>
      <c r="M44" s="15" t="n">
        <v>2.5</v>
      </c>
      <c r="N44" s="15" t="inlineStr">
        <is>
          <t>CEW</t>
        </is>
      </c>
      <c r="O44" s="15" t="inlineStr">
        <is>
          <t>CEW</t>
        </is>
      </c>
      <c r="P44" s="15" t="inlineStr">
        <is>
          <t>25.4-0-2.5-CEW-CEW</t>
        </is>
      </c>
      <c r="Q44" s="92" t="inlineStr">
        <is>
          <t>Khopoli</t>
        </is>
      </c>
      <c r="R44" s="607">
        <f>Table11[[#This Row],[Grand Total]]</f>
        <v/>
      </c>
      <c r="S44" s="93">
        <f>VLOOKUP(Table11[[#This Row],[Bucket]],salesforecast[[#All],[Bucket2]:[WIP]],3,0)</f>
        <v/>
      </c>
      <c r="T44" s="93">
        <f>VLOOKUP(Table11[[#This Row],[Bucket]],salesforecast[[#All],[Bucket2]:[WIP]],4,0)</f>
        <v/>
      </c>
      <c r="U44" s="93">
        <f>VLOOKUP(Table11[[#This Row],[Bucket]],salesforecast[[#All],[Bucket2]:[WIP]],5,0)</f>
        <v/>
      </c>
      <c r="V44" s="93">
        <f>VLOOKUP(Table11[[#This Row],[Bucket]],salesforecast[[#All],[Bucket2]:[WIP]],7,0)</f>
        <v/>
      </c>
      <c r="W44" s="93">
        <f>Table11[[#This Row],[Stock LL]]+Table11[[#This Row],[WIP]]+Table11[[#This Row],[Stock CTL]]</f>
        <v/>
      </c>
      <c r="X44" s="93">
        <f>IF((Table11[[#This Row],[Requirement]]-Table11[[#This Row],[Sales]]-Table11[[#This Row],[Total Stock]])&lt;0,0,Table11[[#This Row],[Requirement]]-Table11[[#This Row],[Sales]]-Table11[[#This Row],[Total Stock]])</f>
        <v/>
      </c>
      <c r="Y44" s="608">
        <f>ROUND(Table11[[#This Row],[Total Stock]]/Table11[[#This Row],[Requirement]]*100,0) &amp; "% coverage. Further rolling by week 3"</f>
        <v/>
      </c>
      <c r="Z44" s="93" t="n">
        <v>25.4</v>
      </c>
      <c r="AA44" s="93" t="n">
        <v>25.4</v>
      </c>
      <c r="AB44" s="93" t="n">
        <v>0</v>
      </c>
      <c r="AC44" s="93" t="n">
        <v>2.5</v>
      </c>
      <c r="AD44" s="93" t="inlineStr">
        <is>
          <t>CEW</t>
        </is>
      </c>
      <c r="AE44" s="93" t="inlineStr">
        <is>
          <t>CEW</t>
        </is>
      </c>
      <c r="AF44" s="93" t="inlineStr">
        <is>
          <t>25.4-0-2.5-CEW-CEW</t>
        </is>
      </c>
      <c r="AG44" s="93">
        <f>EXACT(Table11[[#This Row],[Bucket8]],Table11[[#This Row],[Bucket]])</f>
        <v/>
      </c>
      <c r="AH44" s="93" t="n"/>
      <c r="AI44" s="93" t="n"/>
      <c r="AJ44" s="93" t="n"/>
      <c r="AK44" s="93" t="n"/>
      <c r="AL44" s="93" t="n">
        <v>4.746420683375</v>
      </c>
      <c r="AM44" s="93" t="n"/>
      <c r="AN44" s="93" t="n"/>
      <c r="AO44" s="93" t="n"/>
      <c r="AP44" s="93" t="n"/>
      <c r="AQ44" s="93" t="n"/>
      <c r="AR44" s="93" t="n">
        <v>1.53110344625</v>
      </c>
      <c r="AS44" s="93" t="n"/>
      <c r="AT44" s="93" t="n"/>
      <c r="AU44" s="93" t="n"/>
      <c r="AV44" s="93" t="n"/>
      <c r="AW44" s="93" t="n"/>
      <c r="AX44" s="93" t="n"/>
      <c r="AY44" s="93" t="n"/>
      <c r="AZ44" s="93" t="n"/>
      <c r="BA44" s="93" t="n"/>
      <c r="BB44" s="93" t="n"/>
      <c r="BC44" s="93" t="n"/>
      <c r="BD44" s="93" t="n"/>
      <c r="BE44" s="467" t="n">
        <v>6.277524129624999</v>
      </c>
    </row>
    <row r="45">
      <c r="A45" s="136" t="inlineStr">
        <is>
          <t>25.4-20.4-2.5-CEW-CEW</t>
        </is>
      </c>
      <c r="B45" s="136" t="n"/>
      <c r="C45" t="inlineStr">
        <is>
          <t>57.15-0-2-ERW 1-FC</t>
        </is>
      </c>
      <c r="D45" s="136" t="n"/>
      <c r="G45" s="43" t="n"/>
      <c r="H45" s="43" t="n"/>
      <c r="I45" s="43" t="n"/>
      <c r="J45" s="91" t="n">
        <v>25.4</v>
      </c>
      <c r="K45" s="15" t="n">
        <v>25.4</v>
      </c>
      <c r="L45" s="15" t="n">
        <v>0</v>
      </c>
      <c r="M45" s="15" t="n">
        <v>2.5</v>
      </c>
      <c r="N45" s="15" t="inlineStr">
        <is>
          <t>ERW 1</t>
        </is>
      </c>
      <c r="O45" s="15" t="inlineStr">
        <is>
          <t>FC</t>
        </is>
      </c>
      <c r="P45" s="15" t="inlineStr">
        <is>
          <t>25.4-0-2.5-ERW 1-FC</t>
        </is>
      </c>
      <c r="Q45" s="92" t="inlineStr">
        <is>
          <t>Hosur</t>
        </is>
      </c>
      <c r="R45" s="607">
        <f>Table11[[#This Row],[Grand Total]]</f>
        <v/>
      </c>
      <c r="S45" s="93">
        <f>VLOOKUP(Table11[[#This Row],[Bucket]],salesforecast[[#All],[Bucket2]:[WIP]],3,0)</f>
        <v/>
      </c>
      <c r="T45" s="93">
        <f>VLOOKUP(Table11[[#This Row],[Bucket]],salesforecast[[#All],[Bucket2]:[WIP]],4,0)</f>
        <v/>
      </c>
      <c r="U45" s="93">
        <f>VLOOKUP(Table11[[#This Row],[Bucket]],salesforecast[[#All],[Bucket2]:[WIP]],5,0)</f>
        <v/>
      </c>
      <c r="V45" s="93">
        <f>VLOOKUP(Table11[[#This Row],[Bucket]],salesforecast[[#All],[Bucket2]:[WIP]],7,0)</f>
        <v/>
      </c>
      <c r="W45" s="93">
        <f>Table11[[#This Row],[Stock LL]]+Table11[[#This Row],[WIP]]+Table11[[#This Row],[Stock CTL]]</f>
        <v/>
      </c>
      <c r="X45" s="93">
        <f>IF((Table11[[#This Row],[Requirement]]-Table11[[#This Row],[Sales]]-Table11[[#This Row],[Total Stock]])&lt;0,0,Table11[[#This Row],[Requirement]]-Table11[[#This Row],[Sales]]-Table11[[#This Row],[Total Stock]])</f>
        <v/>
      </c>
      <c r="Y45" s="96" t="n"/>
      <c r="Z45" s="93" t="n">
        <v>25.4</v>
      </c>
      <c r="AA45" s="93" t="n">
        <v>25.4</v>
      </c>
      <c r="AB45" s="93" t="n">
        <v>0</v>
      </c>
      <c r="AC45" s="93" t="n">
        <v>2.5</v>
      </c>
      <c r="AD45" s="93" t="inlineStr">
        <is>
          <t>ERW 1</t>
        </is>
      </c>
      <c r="AE45" s="93" t="inlineStr">
        <is>
          <t>FC</t>
        </is>
      </c>
      <c r="AF45" s="93" t="inlineStr">
        <is>
          <t>25.4-0-2.5-ERW 1-FC</t>
        </is>
      </c>
      <c r="AG45" s="93">
        <f>EXACT(Table11[[#This Row],[Bucket8]],Table11[[#This Row],[Bucket]])</f>
        <v/>
      </c>
      <c r="AH45" s="93" t="n"/>
      <c r="AI45" s="93" t="n"/>
      <c r="AJ45" s="93" t="n"/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  <c r="AW45" s="93" t="n"/>
      <c r="AX45" s="93" t="n">
        <v>19.76838422637825</v>
      </c>
      <c r="AY45" s="93" t="n"/>
      <c r="AZ45" s="93" t="n"/>
      <c r="BA45" s="93" t="n"/>
      <c r="BB45" s="93" t="n"/>
      <c r="BC45" s="93" t="n"/>
      <c r="BD45" s="93" t="n"/>
      <c r="BE45" s="467" t="n">
        <v>19.76838422637825</v>
      </c>
    </row>
    <row r="46">
      <c r="A46" s="136" t="inlineStr">
        <is>
          <t>25.4-20.4-2.5-CEW-</t>
        </is>
      </c>
      <c r="B46" s="136" t="n"/>
      <c r="C46" t="inlineStr">
        <is>
          <t>57.15-0-2.3-ERW 2-FC</t>
        </is>
      </c>
      <c r="D46" s="136" t="n"/>
      <c r="G46" s="43" t="n"/>
      <c r="H46" s="43" t="n"/>
      <c r="I46" s="43" t="n"/>
      <c r="J46" s="91" t="n">
        <v>25.4</v>
      </c>
      <c r="K46" s="15" t="n">
        <v>25.4</v>
      </c>
      <c r="L46" s="15" t="n">
        <v>18.4</v>
      </c>
      <c r="M46" s="15" t="n">
        <v>3.5</v>
      </c>
      <c r="N46" s="15" t="inlineStr">
        <is>
          <t>CEW</t>
        </is>
      </c>
      <c r="O46" s="15" t="inlineStr">
        <is>
          <t>CEW</t>
        </is>
      </c>
      <c r="P46" s="15" t="inlineStr">
        <is>
          <t>25.4-18.4-3.5-CEW-CEW</t>
        </is>
      </c>
      <c r="Q46" s="92" t="inlineStr">
        <is>
          <t>Khopoli</t>
        </is>
      </c>
      <c r="R46" s="607">
        <f>Table11[[#This Row],[Grand Total]]</f>
        <v/>
      </c>
      <c r="S46" s="93">
        <f>VLOOKUP(Table11[[#This Row],[Bucket]],salesforecast[[#All],[Bucket2]:[WIP]],3,0)</f>
        <v/>
      </c>
      <c r="T46" s="93">
        <f>VLOOKUP(Table11[[#This Row],[Bucket]],salesforecast[[#All],[Bucket2]:[WIP]],4,0)</f>
        <v/>
      </c>
      <c r="U46" s="93">
        <f>VLOOKUP(Table11[[#This Row],[Bucket]],salesforecast[[#All],[Bucket2]:[WIP]],5,0)</f>
        <v/>
      </c>
      <c r="V46" s="93">
        <f>VLOOKUP(Table11[[#This Row],[Bucket]],salesforecast[[#All],[Bucket2]:[WIP]],7,0)</f>
        <v/>
      </c>
      <c r="W46" s="93">
        <f>Table11[[#This Row],[Stock LL]]+Table11[[#This Row],[WIP]]+Table11[[#This Row],[Stock CTL]]</f>
        <v/>
      </c>
      <c r="X46" s="93">
        <f>IF((Table11[[#This Row],[Requirement]]-Table11[[#This Row],[Sales]]-Table11[[#This Row],[Total Stock]])&lt;0,0,Table11[[#This Row],[Requirement]]-Table11[[#This Row],[Sales]]-Table11[[#This Row],[Total Stock]])</f>
        <v/>
      </c>
      <c r="Y46" s="608">
        <f>ROUND(Table11[[#This Row],[Total Stock]]/Table11[[#This Row],[Requirement]]*100,0) &amp; "% coverage. Further rolling by week 2"</f>
        <v/>
      </c>
      <c r="Z46" s="93" t="n">
        <v>25.4</v>
      </c>
      <c r="AA46" s="93" t="n">
        <v>25.4</v>
      </c>
      <c r="AB46" s="93" t="n">
        <v>18.4</v>
      </c>
      <c r="AC46" s="93" t="n">
        <v>3.5</v>
      </c>
      <c r="AD46" s="93" t="inlineStr">
        <is>
          <t>CEW</t>
        </is>
      </c>
      <c r="AE46" s="93" t="inlineStr">
        <is>
          <t>CEW</t>
        </is>
      </c>
      <c r="AF46" s="93" t="inlineStr">
        <is>
          <t>25.4-18.4-3.5-CEW-CEW</t>
        </is>
      </c>
      <c r="AG46" s="93">
        <f>EXACT(Table11[[#This Row],[Bucket8]],Table11[[#This Row],[Bucket]])</f>
        <v/>
      </c>
      <c r="AH46" s="93" t="n"/>
      <c r="AI46" s="93" t="n"/>
      <c r="AJ46" s="93" t="n"/>
      <c r="AK46" s="93" t="n"/>
      <c r="AL46" s="93" t="n"/>
      <c r="AM46" s="93" t="n"/>
      <c r="AN46" s="93" t="n">
        <v>27.360561926775</v>
      </c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  <c r="BA46" s="93" t="n"/>
      <c r="BB46" s="93" t="n"/>
      <c r="BC46" s="93" t="n"/>
      <c r="BD46" s="93" t="n"/>
      <c r="BE46" s="467" t="n">
        <v>27.360561926775</v>
      </c>
    </row>
    <row r="47">
      <c r="A47" s="136" t="inlineStr">
        <is>
          <t>30.15-25.5-2.32-CEW-CEW</t>
        </is>
      </c>
      <c r="B47" s="136" t="n"/>
      <c r="C47" t="inlineStr">
        <is>
          <t>57.15-0-2.5-ERW 1-FC</t>
        </is>
      </c>
      <c r="D47" s="136" t="n"/>
      <c r="G47" s="43" t="n"/>
      <c r="H47" s="43" t="n"/>
      <c r="I47" s="43" t="n"/>
      <c r="J47" s="91" t="n">
        <v>25.4</v>
      </c>
      <c r="K47" s="15" t="n">
        <v>25.4</v>
      </c>
      <c r="L47" s="15" t="n">
        <v>19</v>
      </c>
      <c r="M47" s="15" t="n">
        <v>3.2</v>
      </c>
      <c r="N47" s="15" t="inlineStr">
        <is>
          <t>CEW</t>
        </is>
      </c>
      <c r="O47" s="15" t="inlineStr">
        <is>
          <t>CEW</t>
        </is>
      </c>
      <c r="P47" s="15" t="inlineStr">
        <is>
          <t>25.4-19-3.2-CEW-CEW</t>
        </is>
      </c>
      <c r="Q47" s="92" t="inlineStr">
        <is>
          <t>Khopoli</t>
        </is>
      </c>
      <c r="R47" s="607">
        <f>Table11[[#This Row],[Grand Total]]</f>
        <v/>
      </c>
      <c r="S47" s="93">
        <f>VLOOKUP(Table11[[#This Row],[Bucket]],salesforecast[[#All],[Bucket2]:[WIP]],3,0)</f>
        <v/>
      </c>
      <c r="T47" s="93">
        <f>VLOOKUP(Table11[[#This Row],[Bucket]],salesforecast[[#All],[Bucket2]:[WIP]],4,0)</f>
        <v/>
      </c>
      <c r="U47" s="93">
        <f>VLOOKUP(Table11[[#This Row],[Bucket]],salesforecast[[#All],[Bucket2]:[WIP]],5,0)</f>
        <v/>
      </c>
      <c r="V47" s="93">
        <f>VLOOKUP(Table11[[#This Row],[Bucket]],salesforecast[[#All],[Bucket2]:[WIP]],7,0)</f>
        <v/>
      </c>
      <c r="W47" s="93">
        <f>Table11[[#This Row],[Stock LL]]+Table11[[#This Row],[WIP]]+Table11[[#This Row],[Stock CTL]]</f>
        <v/>
      </c>
      <c r="X47" s="93">
        <f>IF((Table11[[#This Row],[Requirement]]-Table11[[#This Row],[Sales]]-Table11[[#This Row],[Total Stock]])&lt;0,0,Table11[[#This Row],[Requirement]]-Table11[[#This Row],[Sales]]-Table11[[#This Row],[Total Stock]])</f>
        <v/>
      </c>
      <c r="Y47" s="94" t="inlineStr">
        <is>
          <t>Available from week 2</t>
        </is>
      </c>
      <c r="Z47" s="93" t="n">
        <v>25.4</v>
      </c>
      <c r="AA47" s="93" t="n">
        <v>25.4</v>
      </c>
      <c r="AB47" s="93" t="n">
        <v>19</v>
      </c>
      <c r="AC47" s="93" t="n">
        <v>3.2</v>
      </c>
      <c r="AD47" s="93" t="inlineStr">
        <is>
          <t>CEW</t>
        </is>
      </c>
      <c r="AE47" s="93" t="inlineStr">
        <is>
          <t>CEW</t>
        </is>
      </c>
      <c r="AF47" s="93" t="inlineStr">
        <is>
          <t>25.4-19-3.2-CEW-CEW</t>
        </is>
      </c>
      <c r="AG47" s="93">
        <f>EXACT(Table11[[#This Row],[Bucket8]],Table11[[#This Row],[Bucket]])</f>
        <v/>
      </c>
      <c r="AH47" s="93" t="n"/>
      <c r="AI47" s="93" t="n"/>
      <c r="AJ47" s="93" t="n"/>
      <c r="AK47" s="93" t="n"/>
      <c r="AL47" s="93" t="n"/>
      <c r="AM47" s="93" t="n"/>
      <c r="AN47" s="93" t="n"/>
      <c r="AO47" s="93" t="n">
        <v>7.87979232</v>
      </c>
      <c r="AP47" s="93" t="n"/>
      <c r="AQ47" s="93" t="n"/>
      <c r="AR47" s="93" t="n"/>
      <c r="AS47" s="93" t="n"/>
      <c r="AT47" s="93" t="n"/>
      <c r="AU47" s="93" t="n"/>
      <c r="AV47" s="93" t="n"/>
      <c r="AW47" s="93" t="n"/>
      <c r="AX47" s="93" t="n">
        <v>2.04174174336</v>
      </c>
      <c r="AY47" s="93" t="n"/>
      <c r="AZ47" s="93" t="n"/>
      <c r="BA47" s="93" t="n"/>
      <c r="BB47" s="93" t="n"/>
      <c r="BC47" s="93" t="n"/>
      <c r="BD47" s="93" t="n"/>
      <c r="BE47" s="467" t="n">
        <v>9.921534063359999</v>
      </c>
    </row>
    <row r="48">
      <c r="A48" s="136" t="inlineStr">
        <is>
          <t>25.6-16.6-4.5-CEW-</t>
        </is>
      </c>
      <c r="B48" s="136" t="n"/>
      <c r="C48" t="inlineStr">
        <is>
          <t>60.3-0-2-ERW 1-FC</t>
        </is>
      </c>
      <c r="D48" s="136" t="n"/>
      <c r="H48" s="43" t="n"/>
      <c r="I48" s="43" t="n"/>
      <c r="J48" s="91" t="n">
        <v>28.58</v>
      </c>
      <c r="K48" s="15" t="n">
        <v>28.58</v>
      </c>
      <c r="L48" s="15" t="n">
        <v>0</v>
      </c>
      <c r="M48" s="15" t="n">
        <v>1.2</v>
      </c>
      <c r="N48" s="15" t="inlineStr">
        <is>
          <t>ERW 1</t>
        </is>
      </c>
      <c r="O48" s="15" t="inlineStr">
        <is>
          <t>PE</t>
        </is>
      </c>
      <c r="P48" s="15" t="inlineStr">
        <is>
          <t>28.58-0-1.2-ERW 1-PE</t>
        </is>
      </c>
      <c r="Q48" s="92" t="inlineStr">
        <is>
          <t>Hosur</t>
        </is>
      </c>
      <c r="R48" s="607">
        <f>Table11[[#This Row],[Grand Total]]</f>
        <v/>
      </c>
      <c r="S48" s="93">
        <f>VLOOKUP(Table11[[#This Row],[Bucket]],salesforecast[[#All],[Bucket2]:[WIP]],3,0)</f>
        <v/>
      </c>
      <c r="T48" s="93">
        <f>VLOOKUP(Table11[[#This Row],[Bucket]],salesforecast[[#All],[Bucket2]:[WIP]],4,0)</f>
        <v/>
      </c>
      <c r="U48" s="93">
        <f>VLOOKUP(Table11[[#This Row],[Bucket]],salesforecast[[#All],[Bucket2]:[WIP]],5,0)</f>
        <v/>
      </c>
      <c r="V48" s="93">
        <f>VLOOKUP(Table11[[#This Row],[Bucket]],salesforecast[[#All],[Bucket2]:[WIP]],7,0)</f>
        <v/>
      </c>
      <c r="W48" s="93">
        <f>Table11[[#This Row],[Stock LL]]+Table11[[#This Row],[WIP]]+Table11[[#This Row],[Stock CTL]]</f>
        <v/>
      </c>
      <c r="X48" s="93">
        <f>IF((Table11[[#This Row],[Requirement]]-Table11[[#This Row],[Sales]]-Table11[[#This Row],[Total Stock]])&lt;0,0,Table11[[#This Row],[Requirement]]-Table11[[#This Row],[Sales]]-Table11[[#This Row],[Total Stock]])</f>
        <v/>
      </c>
      <c r="Y48" s="96" t="n"/>
      <c r="Z48" s="93" t="n">
        <v>28.58</v>
      </c>
      <c r="AA48" s="93" t="n">
        <v>28.58</v>
      </c>
      <c r="AB48" s="93" t="n">
        <v>0</v>
      </c>
      <c r="AC48" s="93" t="n">
        <v>1.2</v>
      </c>
      <c r="AD48" s="93" t="inlineStr">
        <is>
          <t>ERW 1</t>
        </is>
      </c>
      <c r="AE48" s="93" t="inlineStr">
        <is>
          <t>PE</t>
        </is>
      </c>
      <c r="AF48" s="93" t="inlineStr">
        <is>
          <t>28.58-0-1.2-ERW 1-PE</t>
        </is>
      </c>
      <c r="AG48" s="93">
        <f>EXACT(Table11[[#This Row],[Bucket8]],Table11[[#This Row],[Bucket]])</f>
        <v/>
      </c>
      <c r="AH48" s="93" t="n"/>
      <c r="AI48" s="93" t="n"/>
      <c r="AJ48" s="93" t="n"/>
      <c r="AK48" s="93" t="n"/>
      <c r="AL48" s="93" t="n"/>
      <c r="AM48" s="93" t="n"/>
      <c r="AN48" s="93" t="n"/>
      <c r="AO48" s="93" t="n"/>
      <c r="AP48" s="93" t="n">
        <v>1.97607680736</v>
      </c>
      <c r="AQ48" s="93" t="n"/>
      <c r="AR48" s="93" t="n"/>
      <c r="AS48" s="93" t="n"/>
      <c r="AT48" s="93" t="n"/>
      <c r="AU48" s="93" t="n"/>
      <c r="AV48" s="93" t="n"/>
      <c r="AW48" s="93" t="n"/>
      <c r="AX48" s="93" t="n"/>
      <c r="AY48" s="93" t="n">
        <v>5.782454264159999</v>
      </c>
      <c r="AZ48" s="93" t="n"/>
      <c r="BA48" s="93" t="n"/>
      <c r="BB48" s="93" t="n"/>
      <c r="BC48" s="93" t="n"/>
      <c r="BD48" s="93" t="n"/>
      <c r="BE48" s="467" t="n">
        <v>7.758531071519999</v>
      </c>
    </row>
    <row r="49">
      <c r="A49" s="137" t="inlineStr">
        <is>
          <t>28.58-0-1.6-ERW 1-PE</t>
        </is>
      </c>
      <c r="B49" s="136" t="n"/>
      <c r="C49" t="inlineStr">
        <is>
          <t>50-50-1.6-ERW 2-PE</t>
        </is>
      </c>
      <c r="D49" s="136" t="n"/>
      <c r="G49" s="43" t="n"/>
      <c r="H49" s="43" t="n"/>
      <c r="I49" s="43" t="n"/>
      <c r="J49" s="91" t="n">
        <v>28.58</v>
      </c>
      <c r="K49" s="15" t="n">
        <v>28.58</v>
      </c>
      <c r="L49" s="15" t="n">
        <v>0</v>
      </c>
      <c r="M49" s="15" t="n">
        <v>1.6</v>
      </c>
      <c r="N49" s="15" t="inlineStr">
        <is>
          <t>ERW 1</t>
        </is>
      </c>
      <c r="O49" s="15" t="inlineStr">
        <is>
          <t>FC</t>
        </is>
      </c>
      <c r="P49" s="15" t="inlineStr">
        <is>
          <t>28.58-0-1.6-ERW 1-FC</t>
        </is>
      </c>
      <c r="Q49" s="92" t="inlineStr">
        <is>
          <t>Hosur</t>
        </is>
      </c>
      <c r="R49" s="607">
        <f>Table11[[#This Row],[Grand Total]]</f>
        <v/>
      </c>
      <c r="S49" s="93">
        <f>VLOOKUP(Table11[[#This Row],[Bucket]],salesforecast[[#All],[Bucket2]:[WIP]],3,0)</f>
        <v/>
      </c>
      <c r="T49" s="93">
        <f>VLOOKUP(Table11[[#This Row],[Bucket]],salesforecast[[#All],[Bucket2]:[WIP]],4,0)</f>
        <v/>
      </c>
      <c r="U49" s="93">
        <f>VLOOKUP(Table11[[#This Row],[Bucket]],salesforecast[[#All],[Bucket2]:[WIP]],5,0)</f>
        <v/>
      </c>
      <c r="V49" s="93">
        <f>VLOOKUP(Table11[[#This Row],[Bucket]],salesforecast[[#All],[Bucket2]:[WIP]],7,0)</f>
        <v/>
      </c>
      <c r="W49" s="93">
        <f>Table11[[#This Row],[Stock LL]]+Table11[[#This Row],[WIP]]+Table11[[#This Row],[Stock CTL]]</f>
        <v/>
      </c>
      <c r="X49" s="93">
        <f>IF((Table11[[#This Row],[Requirement]]-Table11[[#This Row],[Sales]]-Table11[[#This Row],[Total Stock]])&lt;0,0,Table11[[#This Row],[Requirement]]-Table11[[#This Row],[Sales]]-Table11[[#This Row],[Total Stock]])</f>
        <v/>
      </c>
      <c r="Y49" s="96" t="n"/>
      <c r="Z49" s="93" t="n">
        <v>28.58</v>
      </c>
      <c r="AA49" s="93" t="n">
        <v>28.58</v>
      </c>
      <c r="AB49" s="93" t="n">
        <v>0</v>
      </c>
      <c r="AC49" s="93" t="n">
        <v>1.6</v>
      </c>
      <c r="AD49" s="93" t="inlineStr">
        <is>
          <t>ERW 1</t>
        </is>
      </c>
      <c r="AE49" s="93" t="inlineStr">
        <is>
          <t>FC</t>
        </is>
      </c>
      <c r="AF49" s="93" t="inlineStr">
        <is>
          <t>28.58-0-1.6-ERW 1-FC</t>
        </is>
      </c>
      <c r="AG49" s="93">
        <f>EXACT(Table11[[#This Row],[Bucket8]],Table11[[#This Row],[Bucket]])</f>
        <v/>
      </c>
      <c r="AH49" s="93" t="n"/>
      <c r="AI49" s="93" t="n">
        <v>5.320240159999999</v>
      </c>
      <c r="AJ49" s="93" t="n"/>
      <c r="AK49" s="93" t="n"/>
      <c r="AL49" s="93" t="n"/>
      <c r="AM49" s="93" t="n"/>
      <c r="AN49" s="93" t="n"/>
      <c r="AO49" s="93" t="n"/>
      <c r="AP49" s="93" t="n"/>
      <c r="AQ49" s="93" t="n"/>
      <c r="AR49" s="93" t="n"/>
      <c r="AS49" s="93" t="n"/>
      <c r="AT49" s="93" t="n"/>
      <c r="AU49" s="93" t="n"/>
      <c r="AV49" s="93" t="n"/>
      <c r="AW49" s="93" t="n"/>
      <c r="AX49" s="93" t="n"/>
      <c r="AY49" s="93" t="n"/>
      <c r="AZ49" s="93" t="n"/>
      <c r="BA49" s="93" t="n"/>
      <c r="BB49" s="93" t="n"/>
      <c r="BC49" s="93" t="n"/>
      <c r="BD49" s="93" t="n"/>
      <c r="BE49" s="467" t="n">
        <v>5.320240159999999</v>
      </c>
    </row>
    <row r="50">
      <c r="A50" t="inlineStr">
        <is>
          <t>28.58-0-1.6-ERW 1-</t>
        </is>
      </c>
      <c r="C50" t="inlineStr">
        <is>
          <t>63.5-0-4-ERW 1-FC</t>
        </is>
      </c>
      <c r="H50" s="43" t="n"/>
      <c r="I50" s="43" t="n"/>
      <c r="J50" s="91" t="n">
        <v>28.58</v>
      </c>
      <c r="K50" s="15" t="n">
        <v>28.58</v>
      </c>
      <c r="L50" s="15" t="n">
        <v>0</v>
      </c>
      <c r="M50" s="15" t="n">
        <v>2</v>
      </c>
      <c r="N50" s="15" t="inlineStr">
        <is>
          <t>ERW 1</t>
        </is>
      </c>
      <c r="O50" s="15" t="inlineStr">
        <is>
          <t>FC</t>
        </is>
      </c>
      <c r="P50" s="15" t="inlineStr">
        <is>
          <t>28.58-0-2-ERW 1-FC</t>
        </is>
      </c>
      <c r="Q50" s="92" t="inlineStr">
        <is>
          <t>Hosur</t>
        </is>
      </c>
      <c r="R50" s="607">
        <f>Table11[[#This Row],[Grand Total]]</f>
        <v/>
      </c>
      <c r="S50" s="93">
        <f>VLOOKUP(Table11[[#This Row],[Bucket]],salesforecast[[#All],[Bucket2]:[WIP]],3,0)</f>
        <v/>
      </c>
      <c r="T50" s="93">
        <f>VLOOKUP(Table11[[#This Row],[Bucket]],salesforecast[[#All],[Bucket2]:[WIP]],4,0)</f>
        <v/>
      </c>
      <c r="U50" s="93">
        <f>VLOOKUP(Table11[[#This Row],[Bucket]],salesforecast[[#All],[Bucket2]:[WIP]],5,0)</f>
        <v/>
      </c>
      <c r="V50" s="93">
        <f>VLOOKUP(Table11[[#This Row],[Bucket]],salesforecast[[#All],[Bucket2]:[WIP]],7,0)</f>
        <v/>
      </c>
      <c r="W50" s="93">
        <f>Table11[[#This Row],[Stock LL]]+Table11[[#This Row],[WIP]]+Table11[[#This Row],[Stock CTL]]</f>
        <v/>
      </c>
      <c r="X50" s="93">
        <f>IF((Table11[[#This Row],[Requirement]]-Table11[[#This Row],[Sales]]-Table11[[#This Row],[Total Stock]])&lt;0,0,Table11[[#This Row],[Requirement]]-Table11[[#This Row],[Sales]]-Table11[[#This Row],[Total Stock]])</f>
        <v/>
      </c>
      <c r="Y50" s="609">
        <f>ROUND(Table11[[#This Row],[Total Stock]]/Table11[[#This Row],[Requirement]]*100,0) &amp; "% coverage. Further rolling by 10th May'25"</f>
        <v/>
      </c>
      <c r="Z50" s="93" t="n">
        <v>28.58</v>
      </c>
      <c r="AA50" s="93" t="n">
        <v>28.58</v>
      </c>
      <c r="AB50" s="93" t="n">
        <v>0</v>
      </c>
      <c r="AC50" s="93" t="n">
        <v>2</v>
      </c>
      <c r="AD50" s="93" t="inlineStr">
        <is>
          <t>ERW 1</t>
        </is>
      </c>
      <c r="AE50" s="93" t="inlineStr">
        <is>
          <t>FC</t>
        </is>
      </c>
      <c r="AF50" s="93" t="inlineStr">
        <is>
          <t>28.58-0-2-ERW 1-FC</t>
        </is>
      </c>
      <c r="AG50" s="93">
        <f>EXACT(Table11[[#This Row],[Bucket8]],Table11[[#This Row],[Bucket]])</f>
        <v/>
      </c>
      <c r="AH50" s="93" t="n"/>
      <c r="AI50" s="93" t="n">
        <v>4.668089242499998</v>
      </c>
      <c r="AJ50" s="93" t="n"/>
      <c r="AK50" s="93" t="n"/>
      <c r="AL50" s="93" t="n"/>
      <c r="AM50" s="93" t="n"/>
      <c r="AN50" s="93" t="n"/>
      <c r="AO50" s="93" t="n"/>
      <c r="AP50" s="93" t="n"/>
      <c r="AQ50" s="93" t="n"/>
      <c r="AR50" s="93" t="n"/>
      <c r="AS50" s="93" t="n"/>
      <c r="AT50" s="93" t="n"/>
      <c r="AU50" s="93" t="n"/>
      <c r="AV50" s="93" t="n"/>
      <c r="AW50" s="93" t="n"/>
      <c r="AX50" s="93" t="n"/>
      <c r="AY50" s="93" t="n"/>
      <c r="AZ50" s="93" t="n"/>
      <c r="BA50" s="93" t="n"/>
      <c r="BB50" s="93" t="n"/>
      <c r="BC50" s="93" t="n"/>
      <c r="BD50" s="93" t="n"/>
      <c r="BE50" s="467" t="n">
        <v>4.668089242499998</v>
      </c>
    </row>
    <row r="51">
      <c r="A51" s="136" t="inlineStr">
        <is>
          <t>28.58-0-1.6-ERW 2-PE</t>
        </is>
      </c>
      <c r="B51" s="136" t="n"/>
      <c r="C51" t="inlineStr">
        <is>
          <t>70-0-3.2-ERW 2-FC</t>
        </is>
      </c>
      <c r="D51" s="136" t="n"/>
      <c r="G51" s="43" t="n"/>
      <c r="H51" s="43" t="n"/>
      <c r="I51" s="43" t="n"/>
      <c r="J51" s="91" t="n">
        <v>28.6</v>
      </c>
      <c r="K51" s="15" t="n">
        <v>28.6</v>
      </c>
      <c r="L51" s="15" t="n">
        <v>0</v>
      </c>
      <c r="M51" s="15" t="n">
        <v>2.65</v>
      </c>
      <c r="N51" s="15" t="inlineStr">
        <is>
          <t>CEW</t>
        </is>
      </c>
      <c r="O51" s="15" t="inlineStr">
        <is>
          <t>CEW</t>
        </is>
      </c>
      <c r="P51" s="15" t="inlineStr">
        <is>
          <t>28.6-0-2.65-CEW-CEW</t>
        </is>
      </c>
      <c r="Q51" s="92" t="inlineStr">
        <is>
          <t>Khopoli</t>
        </is>
      </c>
      <c r="R51" s="607">
        <f>Table11[[#This Row],[Grand Total]]</f>
        <v/>
      </c>
      <c r="S51" s="93">
        <f>VLOOKUP(Table11[[#This Row],[Bucket]],salesforecast[[#All],[Bucket2]:[WIP]],3,0)</f>
        <v/>
      </c>
      <c r="T51" s="93">
        <f>VLOOKUP(Table11[[#This Row],[Bucket]],salesforecast[[#All],[Bucket2]:[WIP]],4,0)</f>
        <v/>
      </c>
      <c r="U51" s="93">
        <f>VLOOKUP(Table11[[#This Row],[Bucket]],salesforecast[[#All],[Bucket2]:[WIP]],5,0)</f>
        <v/>
      </c>
      <c r="V51" s="93">
        <f>VLOOKUP(Table11[[#This Row],[Bucket]],salesforecast[[#All],[Bucket2]:[WIP]],7,0)</f>
        <v/>
      </c>
      <c r="W51" s="93">
        <f>Table11[[#This Row],[Stock LL]]+Table11[[#This Row],[WIP]]+Table11[[#This Row],[Stock CTL]]</f>
        <v/>
      </c>
      <c r="X51" s="93">
        <f>IF((Table11[[#This Row],[Requirement]]-Table11[[#This Row],[Sales]]-Table11[[#This Row],[Total Stock]])&lt;0,0,Table11[[#This Row],[Requirement]]-Table11[[#This Row],[Sales]]-Table11[[#This Row],[Total Stock]])</f>
        <v/>
      </c>
      <c r="Y51" s="97" t="n"/>
      <c r="Z51" s="93" t="n">
        <v>28.6</v>
      </c>
      <c r="AA51" s="93" t="n">
        <v>28.6</v>
      </c>
      <c r="AB51" s="93" t="n">
        <v>0</v>
      </c>
      <c r="AC51" s="93" t="n">
        <v>2.65</v>
      </c>
      <c r="AD51" s="93" t="inlineStr">
        <is>
          <t>CEW</t>
        </is>
      </c>
      <c r="AE51" s="93" t="inlineStr">
        <is>
          <t>CEW</t>
        </is>
      </c>
      <c r="AF51" s="93" t="inlineStr">
        <is>
          <t>28.6-0-2.65-CEW-CEW</t>
        </is>
      </c>
      <c r="AG51" s="93">
        <f>EXACT(Table11[[#This Row],[Bucket8]],Table11[[#This Row],[Bucket]])</f>
        <v/>
      </c>
      <c r="AH51" s="93" t="n"/>
      <c r="AI51" s="93" t="n">
        <v>19.22864841948</v>
      </c>
      <c r="AJ51" s="93" t="n"/>
      <c r="AK51" s="93" t="n"/>
      <c r="AL51" s="93" t="n">
        <v>0.8475250537500001</v>
      </c>
      <c r="AM51" s="93" t="n"/>
      <c r="AN51" s="93" t="n"/>
      <c r="AO51" s="93" t="n"/>
      <c r="AP51" s="93" t="n"/>
      <c r="AQ51" s="93" t="n"/>
      <c r="AR51" s="93" t="n"/>
      <c r="AS51" s="93" t="n"/>
      <c r="AT51" s="93" t="n"/>
      <c r="AU51" s="93" t="n"/>
      <c r="AV51" s="93" t="n"/>
      <c r="AW51" s="93" t="n"/>
      <c r="AX51" s="93" t="n"/>
      <c r="AY51" s="93" t="n"/>
      <c r="AZ51" s="93" t="n"/>
      <c r="BA51" s="93" t="n"/>
      <c r="BB51" s="93" t="n"/>
      <c r="BC51" s="93" t="n"/>
      <c r="BD51" s="93" t="n"/>
      <c r="BE51" s="467" t="n">
        <v>20.07617347323</v>
      </c>
    </row>
    <row r="52">
      <c r="A52" t="inlineStr">
        <is>
          <t>28.6-0-2.6-CEW-CEW</t>
        </is>
      </c>
      <c r="C52" t="inlineStr">
        <is>
          <t>29.28-0-3.4-CEW-CEW</t>
        </is>
      </c>
      <c r="H52" s="43" t="n"/>
      <c r="I52" s="43" t="n"/>
      <c r="J52" s="15" t="n">
        <v>29.4</v>
      </c>
      <c r="K52" s="15" t="n">
        <v>29.4</v>
      </c>
      <c r="L52" s="15" t="n">
        <v>20.4</v>
      </c>
      <c r="M52" s="15" t="n">
        <v>4.5</v>
      </c>
      <c r="N52" s="15" t="inlineStr">
        <is>
          <t>CEW</t>
        </is>
      </c>
      <c r="O52" s="15" t="inlineStr">
        <is>
          <t>CEW</t>
        </is>
      </c>
      <c r="P52" s="15" t="inlineStr">
        <is>
          <t>29.4-20.4-4.5-CEW-CEW</t>
        </is>
      </c>
      <c r="Q52" s="92" t="inlineStr">
        <is>
          <t>Hosur</t>
        </is>
      </c>
      <c r="R52" s="607">
        <f>Table11[[#This Row],[Grand Total]]</f>
        <v/>
      </c>
      <c r="S52" s="93">
        <f>VLOOKUP(Table11[[#This Row],[Bucket]],salesforecast[[#All],[Bucket2]:[WIP]],3,0)</f>
        <v/>
      </c>
      <c r="T52" s="93">
        <f>VLOOKUP(Table11[[#This Row],[Bucket]],salesforecast[[#All],[Bucket2]:[WIP]],4,0)</f>
        <v/>
      </c>
      <c r="U52" s="93">
        <f>VLOOKUP(Table11[[#This Row],[Bucket]],salesforecast[[#All],[Bucket2]:[WIP]],5,0)</f>
        <v/>
      </c>
      <c r="V52" s="93">
        <f>VLOOKUP(Table11[[#This Row],[Bucket]],salesforecast[[#All],[Bucket2]:[WIP]],7,0)</f>
        <v/>
      </c>
      <c r="W52" s="93">
        <f>Table11[[#This Row],[Stock LL]]+Table11[[#This Row],[WIP]]+Table11[[#This Row],[Stock CTL]]</f>
        <v/>
      </c>
      <c r="X52" s="93">
        <f>IF((Table11[[#This Row],[Requirement]]-Table11[[#This Row],[Sales]]-Table11[[#This Row],[Total Stock]])&lt;0,0,Table11[[#This Row],[Requirement]]-Table11[[#This Row],[Sales]]-Table11[[#This Row],[Total Stock]])</f>
        <v/>
      </c>
      <c r="Y52" s="94">
        <f>_xlfn.CONCAT(ROUND(Table11[[#This Row],[Total Stock]]/Table11[[#This Row],[Requirement]]*100,0),"% Coverage. Rest by Week 3")</f>
        <v/>
      </c>
      <c r="Z52" s="93" t="n">
        <v>29.4</v>
      </c>
      <c r="AA52" s="93" t="n">
        <v>29.4</v>
      </c>
      <c r="AB52" s="93" t="n">
        <v>20.4</v>
      </c>
      <c r="AC52" s="93" t="n">
        <v>4.5</v>
      </c>
      <c r="AD52" s="93" t="inlineStr">
        <is>
          <t>CEW</t>
        </is>
      </c>
      <c r="AE52" s="93" t="inlineStr">
        <is>
          <t>CEW</t>
        </is>
      </c>
      <c r="AF52" s="93" t="inlineStr">
        <is>
          <t>29.4-20.4-4.5-CEW-CEW</t>
        </is>
      </c>
      <c r="AG52" s="93">
        <f>EXACT(Table11[[#This Row],[Bucket8]],Table11[[#This Row],[Bucket]])</f>
        <v/>
      </c>
      <c r="AH52" s="93" t="n"/>
      <c r="AI52" s="93" t="n"/>
      <c r="AJ52" s="93" t="n"/>
      <c r="AK52" s="93" t="n">
        <v>13.920079068</v>
      </c>
      <c r="AL52" s="93" t="n"/>
      <c r="AM52" s="93" t="n"/>
      <c r="AN52" s="93" t="n">
        <v>12.325070008125</v>
      </c>
      <c r="AO52" s="93" t="n"/>
      <c r="AP52" s="93" t="n"/>
      <c r="AQ52" s="93" t="n"/>
      <c r="AR52" s="93" t="n"/>
      <c r="AS52" s="93" t="n"/>
      <c r="AT52" s="93" t="n"/>
      <c r="AU52" s="93" t="n"/>
      <c r="AV52" s="93" t="n"/>
      <c r="AW52" s="93" t="n"/>
      <c r="AX52" s="93" t="n"/>
      <c r="AY52" s="93" t="n"/>
      <c r="AZ52" s="93" t="n"/>
      <c r="BA52" s="93" t="n"/>
      <c r="BB52" s="93" t="n"/>
      <c r="BC52" s="93" t="n"/>
      <c r="BD52" s="93" t="n"/>
      <c r="BE52" s="467" t="n">
        <v>26.245149076125</v>
      </c>
    </row>
    <row r="53">
      <c r="A53" s="137" t="n"/>
      <c r="B53" s="136" t="n"/>
      <c r="D53" s="136" t="n"/>
      <c r="G53" s="43" t="n"/>
      <c r="H53" s="43" t="n"/>
      <c r="I53" s="43" t="n"/>
      <c r="J53" s="91" t="n">
        <v>29.4</v>
      </c>
      <c r="K53" s="15" t="n">
        <v>29.4</v>
      </c>
      <c r="L53" s="15" t="n">
        <v>20.4</v>
      </c>
      <c r="M53" s="15" t="n">
        <v>4.5</v>
      </c>
      <c r="N53" s="15" t="inlineStr">
        <is>
          <t>CEW STKM 13C</t>
        </is>
      </c>
      <c r="O53" s="15" t="inlineStr">
        <is>
          <t>CEW</t>
        </is>
      </c>
      <c r="P53" s="15" t="inlineStr">
        <is>
          <t>29.4-20.4-4.5-CEW STKM 13C-CEW</t>
        </is>
      </c>
      <c r="Q53" s="92" t="inlineStr">
        <is>
          <t>Khopoli</t>
        </is>
      </c>
      <c r="R53" s="607">
        <f>Table11[[#This Row],[Grand Total]]</f>
        <v/>
      </c>
      <c r="S53" s="93">
        <f>VLOOKUP(Table11[[#This Row],[Bucket]],salesforecast[[#All],[Bucket2]:[WIP]],3,0)</f>
        <v/>
      </c>
      <c r="T53" s="93">
        <f>VLOOKUP(Table11[[#This Row],[Bucket]],salesforecast[[#All],[Bucket2]:[WIP]],4,0)</f>
        <v/>
      </c>
      <c r="U53" s="93">
        <f>VLOOKUP(Table11[[#This Row],[Bucket]],salesforecast[[#All],[Bucket2]:[WIP]],5,0)</f>
        <v/>
      </c>
      <c r="V53" s="93">
        <f>VLOOKUP(Table11[[#This Row],[Bucket]],salesforecast[[#All],[Bucket2]:[WIP]],7,0)</f>
        <v/>
      </c>
      <c r="W53" s="93">
        <f>Table11[[#This Row],[Stock LL]]+Table11[[#This Row],[WIP]]+Table11[[#This Row],[Stock CTL]]</f>
        <v/>
      </c>
      <c r="X53" s="93">
        <f>IF((Table11[[#This Row],[Requirement]]-Table11[[#This Row],[Sales]]-Table11[[#This Row],[Total Stock]])&lt;0,0,Table11[[#This Row],[Requirement]]-Table11[[#This Row],[Sales]]-Table11[[#This Row],[Total Stock]])</f>
        <v/>
      </c>
      <c r="Y53" s="96" t="n"/>
      <c r="Z53" s="93" t="n">
        <v>29.4</v>
      </c>
      <c r="AA53" s="93" t="n">
        <v>29.4</v>
      </c>
      <c r="AB53" s="93" t="n">
        <v>20.4</v>
      </c>
      <c r="AC53" s="93" t="n">
        <v>4.5</v>
      </c>
      <c r="AD53" s="93" t="inlineStr">
        <is>
          <t>CEW STKM 13C</t>
        </is>
      </c>
      <c r="AE53" s="93" t="inlineStr">
        <is>
          <t>CEW</t>
        </is>
      </c>
      <c r="AF53" s="93" t="inlineStr">
        <is>
          <t>29.4-20.4-4.5-CEW STKM 13C-CEW</t>
        </is>
      </c>
      <c r="AG53" s="93">
        <f>EXACT(Table11[[#This Row],[Bucket8]],Table11[[#This Row],[Bucket]])</f>
        <v/>
      </c>
      <c r="AH53" s="93" t="n"/>
      <c r="AI53" s="93" t="n"/>
      <c r="AJ53" s="93" t="n"/>
      <c r="AK53" s="93" t="n">
        <v>20.3553537165</v>
      </c>
      <c r="AL53" s="93" t="n"/>
      <c r="AM53" s="93" t="n"/>
      <c r="AN53" s="93" t="n"/>
      <c r="AO53" s="93" t="n"/>
      <c r="AP53" s="93" t="n"/>
      <c r="AQ53" s="93" t="n"/>
      <c r="AR53" s="93" t="n"/>
      <c r="AS53" s="93" t="n"/>
      <c r="AT53" s="93" t="n"/>
      <c r="AU53" s="93" t="n"/>
      <c r="AV53" s="93" t="n"/>
      <c r="AW53" s="93" t="n"/>
      <c r="AX53" s="93" t="n"/>
      <c r="AY53" s="93" t="n"/>
      <c r="AZ53" s="93" t="n"/>
      <c r="BA53" s="93" t="n"/>
      <c r="BB53" s="93" t="n"/>
      <c r="BC53" s="93" t="n"/>
      <c r="BD53" s="93" t="n"/>
      <c r="BE53" s="467" t="n">
        <v>20.3553537165</v>
      </c>
    </row>
    <row r="54">
      <c r="A54" s="137" t="n"/>
      <c r="B54" s="136" t="n"/>
      <c r="D54" s="136" t="n"/>
      <c r="H54" s="43" t="n"/>
      <c r="I54" s="43" t="n"/>
      <c r="J54" s="91" t="n">
        <v>30.15</v>
      </c>
      <c r="K54" s="15" t="n">
        <v>30</v>
      </c>
      <c r="L54" s="15" t="n">
        <v>25.5</v>
      </c>
      <c r="M54" s="15" t="n">
        <v>2.25</v>
      </c>
      <c r="N54" s="15" t="inlineStr">
        <is>
          <t>CEW</t>
        </is>
      </c>
      <c r="O54" s="15" t="inlineStr">
        <is>
          <t>CEW</t>
        </is>
      </c>
      <c r="P54" s="15" t="inlineStr">
        <is>
          <t>30-25.5-2.25-CEW-CEW</t>
        </is>
      </c>
      <c r="Q54" s="92" t="inlineStr">
        <is>
          <t>Khopoli</t>
        </is>
      </c>
      <c r="R54" s="607">
        <f>Table11[[#This Row],[Grand Total]]</f>
        <v/>
      </c>
      <c r="S54" s="93">
        <f>VLOOKUP(Table11[[#This Row],[Bucket]],salesforecast[[#All],[Bucket2]:[WIP]],3,0)</f>
        <v/>
      </c>
      <c r="T54" s="93">
        <f>VLOOKUP(Table11[[#This Row],[Bucket]],salesforecast[[#All],[Bucket2]:[WIP]],4,0)</f>
        <v/>
      </c>
      <c r="U54" s="93">
        <f>VLOOKUP(Table11[[#This Row],[Bucket]],salesforecast[[#All],[Bucket2]:[WIP]],5,0)</f>
        <v/>
      </c>
      <c r="V54" s="93">
        <f>VLOOKUP(Table11[[#This Row],[Bucket]],salesforecast[[#All],[Bucket2]:[WIP]],7,0)</f>
        <v/>
      </c>
      <c r="W54" s="93">
        <f>Table11[[#This Row],[Stock LL]]+Table11[[#This Row],[WIP]]+Table11[[#This Row],[Stock CTL]]</f>
        <v/>
      </c>
      <c r="X54" s="93">
        <f>IF((Table11[[#This Row],[Requirement]]-Table11[[#This Row],[Sales]]-Table11[[#This Row],[Total Stock]])&lt;0,0,Table11[[#This Row],[Requirement]]-Table11[[#This Row],[Sales]]-Table11[[#This Row],[Total Stock]])</f>
        <v/>
      </c>
      <c r="Y54" s="96" t="n"/>
      <c r="Z54" s="93" t="n">
        <v>30.15</v>
      </c>
      <c r="AA54" s="93" t="n">
        <v>30</v>
      </c>
      <c r="AB54" s="93" t="n">
        <v>25.5</v>
      </c>
      <c r="AC54" s="93" t="n">
        <v>2.25</v>
      </c>
      <c r="AD54" s="93" t="inlineStr">
        <is>
          <t>CEW</t>
        </is>
      </c>
      <c r="AE54" s="93" t="inlineStr">
        <is>
          <t>CEW</t>
        </is>
      </c>
      <c r="AF54" s="93" t="inlineStr">
        <is>
          <t>30-25.5-2.25-CEW-CEW</t>
        </is>
      </c>
      <c r="AG54" s="93">
        <f>EXACT(Table11[[#This Row],[Bucket8]],Table11[[#This Row],[Bucket]])</f>
        <v/>
      </c>
      <c r="AH54" s="93" t="n"/>
      <c r="AI54" s="93" t="n"/>
      <c r="AJ54" s="93" t="n"/>
      <c r="AK54" s="93" t="n"/>
      <c r="AL54" s="93" t="n">
        <v>30.018414915</v>
      </c>
      <c r="AM54" s="93" t="n"/>
      <c r="AN54" s="93" t="n"/>
      <c r="AO54" s="93" t="n"/>
      <c r="AP54" s="93" t="n"/>
      <c r="AQ54" s="93" t="n"/>
      <c r="AR54" s="93" t="n">
        <v>10.38265794225</v>
      </c>
      <c r="AS54" s="93" t="n"/>
      <c r="AT54" s="93" t="n"/>
      <c r="AU54" s="93" t="n"/>
      <c r="AV54" s="93" t="n"/>
      <c r="AW54" s="93" t="n"/>
      <c r="AX54" s="93" t="n"/>
      <c r="AY54" s="93" t="n"/>
      <c r="AZ54" s="93" t="n"/>
      <c r="BA54" s="93" t="n"/>
      <c r="BB54" s="93" t="n"/>
      <c r="BC54" s="93" t="n"/>
      <c r="BD54" s="93" t="n"/>
      <c r="BE54" s="467" t="n">
        <v>40.40107285725</v>
      </c>
    </row>
    <row r="55">
      <c r="A55" s="136" t="n"/>
      <c r="B55" s="136" t="n"/>
      <c r="D55" s="136" t="n"/>
      <c r="H55" s="43" t="n"/>
      <c r="I55" s="43" t="n"/>
      <c r="J55" s="91" t="n">
        <v>31.75</v>
      </c>
      <c r="K55" s="15" t="n">
        <v>25</v>
      </c>
      <c r="L55" s="15" t="n">
        <v>25</v>
      </c>
      <c r="M55" s="15" t="n">
        <v>1.2</v>
      </c>
      <c r="N55" s="15" t="inlineStr">
        <is>
          <t>CRFH</t>
        </is>
      </c>
      <c r="O55" s="15" t="inlineStr">
        <is>
          <t>PE</t>
        </is>
      </c>
      <c r="P55" s="15" t="inlineStr">
        <is>
          <t>25-25-1.2-CRFH-PE</t>
        </is>
      </c>
      <c r="Q55" s="92" t="inlineStr">
        <is>
          <t>Hosur</t>
        </is>
      </c>
      <c r="R55" s="607">
        <f>Table11[[#This Row],[Grand Total]]</f>
        <v/>
      </c>
      <c r="S55" s="93">
        <f>VLOOKUP(Table11[[#This Row],[Bucket]],salesforecast[[#All],[Bucket2]:[WIP]],3,0)</f>
        <v/>
      </c>
      <c r="T55" s="93">
        <f>VLOOKUP(Table11[[#This Row],[Bucket]],salesforecast[[#All],[Bucket2]:[WIP]],4,0)</f>
        <v/>
      </c>
      <c r="U55" s="93">
        <f>VLOOKUP(Table11[[#This Row],[Bucket]],salesforecast[[#All],[Bucket2]:[WIP]],5,0)</f>
        <v/>
      </c>
      <c r="V55" s="93">
        <f>VLOOKUP(Table11[[#This Row],[Bucket]],salesforecast[[#All],[Bucket2]:[WIP]],7,0)</f>
        <v/>
      </c>
      <c r="W55" s="93">
        <f>Table11[[#This Row],[Stock LL]]+Table11[[#This Row],[WIP]]+Table11[[#This Row],[Stock CTL]]</f>
        <v/>
      </c>
      <c r="X55" s="93">
        <f>IF((Table11[[#This Row],[Requirement]]-Table11[[#This Row],[Sales]]-Table11[[#This Row],[Total Stock]])&lt;0,0,Table11[[#This Row],[Requirement]]-Table11[[#This Row],[Sales]]-Table11[[#This Row],[Total Stock]])</f>
        <v/>
      </c>
      <c r="Y55" s="94">
        <f>_xlfn.CONCAT(ROUND(Table11[[#This Row],[Total Stock]]/Table11[[#This Row],[Requirement]]*100,0),"% Coverage. Rest by Week 4")</f>
        <v/>
      </c>
      <c r="Z55" s="93" t="n">
        <v>31.75</v>
      </c>
      <c r="AA55" s="93" t="n">
        <v>25</v>
      </c>
      <c r="AB55" s="93" t="n">
        <v>25</v>
      </c>
      <c r="AC55" s="93" t="n">
        <v>1.2</v>
      </c>
      <c r="AD55" s="93" t="inlineStr">
        <is>
          <t>CRFH</t>
        </is>
      </c>
      <c r="AE55" s="93" t="inlineStr">
        <is>
          <t>PE</t>
        </is>
      </c>
      <c r="AF55" s="93" t="inlineStr">
        <is>
          <t>25-25-1.2-CRFH-PE</t>
        </is>
      </c>
      <c r="AG55" s="93">
        <f>EXACT(Table11[[#This Row],[Bucket8]],Table11[[#This Row],[Bucket]])</f>
        <v/>
      </c>
      <c r="AH55" s="93" t="n"/>
      <c r="AI55" s="93" t="n"/>
      <c r="AJ55" s="93" t="n"/>
      <c r="AK55" s="93" t="n"/>
      <c r="AL55" s="93" t="n">
        <v>11.4670943946</v>
      </c>
      <c r="AM55" s="93" t="n"/>
      <c r="AN55" s="93" t="n"/>
      <c r="AO55" s="93" t="n"/>
      <c r="AP55" s="93" t="n"/>
      <c r="AQ55" s="93" t="n"/>
      <c r="AR55" s="93" t="n"/>
      <c r="AS55" s="93" t="n"/>
      <c r="AT55" s="93" t="n"/>
      <c r="AU55" s="93" t="n"/>
      <c r="AV55" s="93" t="n"/>
      <c r="AW55" s="93" t="n"/>
      <c r="AX55" s="93" t="n"/>
      <c r="AY55" s="93" t="n"/>
      <c r="AZ55" s="93" t="n"/>
      <c r="BA55" s="93" t="n"/>
      <c r="BB55" s="93" t="n">
        <v>0.5801319622800001</v>
      </c>
      <c r="BC55" s="93" t="n">
        <v>16.86900852312</v>
      </c>
      <c r="BD55" s="93" t="n"/>
      <c r="BE55" s="467" t="n">
        <v>28.91623488</v>
      </c>
    </row>
    <row r="56">
      <c r="A56" s="136" t="n"/>
      <c r="B56" s="136" t="n"/>
      <c r="D56" s="136" t="n"/>
      <c r="G56" s="43" t="n"/>
      <c r="H56" s="43" t="n"/>
      <c r="I56" s="43" t="n"/>
      <c r="J56" s="91" t="n">
        <v>31.75</v>
      </c>
      <c r="K56" s="15" t="n">
        <v>31.75</v>
      </c>
      <c r="L56" s="15" t="n">
        <v>0</v>
      </c>
      <c r="M56" s="15" t="n">
        <v>1.2</v>
      </c>
      <c r="N56" s="15" t="inlineStr">
        <is>
          <t>ERW 1</t>
        </is>
      </c>
      <c r="O56" s="15" t="inlineStr">
        <is>
          <t>FC</t>
        </is>
      </c>
      <c r="P56" s="15" t="inlineStr">
        <is>
          <t>31.75-0-1.2-ERW 1-FC</t>
        </is>
      </c>
      <c r="Q56" s="92" t="inlineStr">
        <is>
          <t>Hosur</t>
        </is>
      </c>
      <c r="R56" s="607">
        <f>Table11[[#This Row],[Grand Total]]</f>
        <v/>
      </c>
      <c r="S56" s="93">
        <f>VLOOKUP(Table11[[#This Row],[Bucket]],salesforecast[[#All],[Bucket2]:[WIP]],3,0)</f>
        <v/>
      </c>
      <c r="T56" s="93">
        <f>VLOOKUP(Table11[[#This Row],[Bucket]],salesforecast[[#All],[Bucket2]:[WIP]],4,0)</f>
        <v/>
      </c>
      <c r="U56" s="93">
        <f>VLOOKUP(Table11[[#This Row],[Bucket]],salesforecast[[#All],[Bucket2]:[WIP]],5,0)</f>
        <v/>
      </c>
      <c r="V56" s="93">
        <f>VLOOKUP(Table11[[#This Row],[Bucket]],salesforecast[[#All],[Bucket2]:[WIP]],7,0)</f>
        <v/>
      </c>
      <c r="W56" s="93">
        <f>Table11[[#This Row],[Stock LL]]+Table11[[#This Row],[WIP]]+Table11[[#This Row],[Stock CTL]]</f>
        <v/>
      </c>
      <c r="X56" s="93">
        <f>IF((Table11[[#This Row],[Requirement]]-Table11[[#This Row],[Sales]]-Table11[[#This Row],[Total Stock]])&lt;0,0,Table11[[#This Row],[Requirement]]-Table11[[#This Row],[Sales]]-Table11[[#This Row],[Total Stock]])</f>
        <v/>
      </c>
      <c r="Y56" s="94" t="inlineStr">
        <is>
          <t>Available from week 2</t>
        </is>
      </c>
      <c r="Z56" s="93" t="n">
        <v>31.75</v>
      </c>
      <c r="AA56" s="93" t="n">
        <v>31.75</v>
      </c>
      <c r="AB56" s="93" t="n">
        <v>0</v>
      </c>
      <c r="AC56" s="93" t="n">
        <v>1.2</v>
      </c>
      <c r="AD56" s="93" t="inlineStr">
        <is>
          <t>ERW 1</t>
        </is>
      </c>
      <c r="AE56" s="93" t="inlineStr">
        <is>
          <t>FC</t>
        </is>
      </c>
      <c r="AF56" s="93" t="inlineStr">
        <is>
          <t>31.75-0-1.2-ERW 1-FC</t>
        </is>
      </c>
      <c r="AG56" s="93">
        <f>EXACT(Table11[[#This Row],[Bucket8]],Table11[[#This Row],[Bucket]])</f>
        <v/>
      </c>
      <c r="AH56" s="93" t="n"/>
      <c r="AI56" s="93" t="n"/>
      <c r="AJ56" s="93" t="n"/>
      <c r="AK56" s="93" t="n"/>
      <c r="AL56" s="93" t="n"/>
      <c r="AM56" s="93" t="n"/>
      <c r="AN56" s="93" t="n"/>
      <c r="AO56" s="93" t="n"/>
      <c r="AP56" s="93" t="n"/>
      <c r="AQ56" s="93" t="n"/>
      <c r="AR56" s="93" t="n"/>
      <c r="AS56" s="93" t="n"/>
      <c r="AT56" s="93" t="n"/>
      <c r="AU56" s="93" t="n"/>
      <c r="AV56" s="93" t="n"/>
      <c r="AW56" s="93" t="n"/>
      <c r="AX56" s="93" t="n"/>
      <c r="AY56" s="93" t="n">
        <v>2.6566790796</v>
      </c>
      <c r="AZ56" s="93" t="n"/>
      <c r="BA56" s="93" t="n"/>
      <c r="BB56" s="93" t="n"/>
      <c r="BC56" s="93" t="n"/>
      <c r="BD56" s="93" t="n"/>
      <c r="BE56" s="467" t="n">
        <v>2.6566790796</v>
      </c>
    </row>
    <row r="57">
      <c r="A57" s="137" t="n"/>
      <c r="B57" s="136" t="n"/>
      <c r="D57" s="136" t="n"/>
      <c r="G57" s="43" t="n"/>
      <c r="H57" s="43" t="n"/>
      <c r="I57" s="43" t="n"/>
      <c r="J57" s="91" t="n">
        <v>31.75</v>
      </c>
      <c r="K57" s="15" t="n">
        <v>31.75</v>
      </c>
      <c r="L57" s="15" t="n">
        <v>0</v>
      </c>
      <c r="M57" s="15" t="n">
        <v>1.2</v>
      </c>
      <c r="N57" s="15" t="inlineStr">
        <is>
          <t>ERW 1</t>
        </is>
      </c>
      <c r="O57" s="15" t="inlineStr">
        <is>
          <t>PE</t>
        </is>
      </c>
      <c r="P57" s="15" t="inlineStr">
        <is>
          <t>31.75-0-1.2-ERW 1-PE</t>
        </is>
      </c>
      <c r="Q57" s="92" t="inlineStr">
        <is>
          <t>Hosur</t>
        </is>
      </c>
      <c r="R57" s="607">
        <f>Table11[[#This Row],[Grand Total]]</f>
        <v/>
      </c>
      <c r="S57" s="93">
        <f>VLOOKUP(Table11[[#This Row],[Bucket]],salesforecast[[#All],[Bucket2]:[WIP]],3,0)</f>
        <v/>
      </c>
      <c r="T57" s="93">
        <f>VLOOKUP(Table11[[#This Row],[Bucket]],salesforecast[[#All],[Bucket2]:[WIP]],4,0)</f>
        <v/>
      </c>
      <c r="U57" s="93">
        <f>VLOOKUP(Table11[[#This Row],[Bucket]],salesforecast[[#All],[Bucket2]:[WIP]],5,0)</f>
        <v/>
      </c>
      <c r="V57" s="93">
        <f>VLOOKUP(Table11[[#This Row],[Bucket]],salesforecast[[#All],[Bucket2]:[WIP]],7,0)</f>
        <v/>
      </c>
      <c r="W57" s="93">
        <f>Table11[[#This Row],[Stock LL]]+Table11[[#This Row],[WIP]]+Table11[[#This Row],[Stock CTL]]</f>
        <v/>
      </c>
      <c r="X57" s="93">
        <f>IF((Table11[[#This Row],[Requirement]]-Table11[[#This Row],[Sales]]-Table11[[#This Row],[Total Stock]])&lt;0,0,Table11[[#This Row],[Requirement]]-Table11[[#This Row],[Sales]]-Table11[[#This Row],[Total Stock]])</f>
        <v/>
      </c>
      <c r="Y57" s="96" t="n"/>
      <c r="Z57" s="93" t="n">
        <v>31.75</v>
      </c>
      <c r="AA57" s="93" t="n">
        <v>31.75</v>
      </c>
      <c r="AB57" s="93" t="n">
        <v>0</v>
      </c>
      <c r="AC57" s="93" t="n">
        <v>1.2</v>
      </c>
      <c r="AD57" s="93" t="inlineStr">
        <is>
          <t>ERW 1</t>
        </is>
      </c>
      <c r="AE57" s="93" t="inlineStr">
        <is>
          <t>PE</t>
        </is>
      </c>
      <c r="AF57" s="93" t="inlineStr">
        <is>
          <t>31.75-0-1.2-ERW 1-PE</t>
        </is>
      </c>
      <c r="AG57" s="93">
        <f>EXACT(Table11[[#This Row],[Bucket8]],Table11[[#This Row],[Bucket]])</f>
        <v/>
      </c>
      <c r="AH57" s="93" t="n"/>
      <c r="AI57" s="93" t="n"/>
      <c r="AJ57" s="93" t="n"/>
      <c r="AK57" s="93" t="n"/>
      <c r="AL57" s="93" t="n"/>
      <c r="AM57" s="93" t="n"/>
      <c r="AN57" s="93" t="n"/>
      <c r="AO57" s="93" t="n"/>
      <c r="AP57" s="93" t="n">
        <v>6.054336678</v>
      </c>
      <c r="AQ57" s="93" t="n"/>
      <c r="AR57" s="93" t="n"/>
      <c r="AS57" s="93" t="n"/>
      <c r="AT57" s="93" t="n">
        <v>3.24223283592</v>
      </c>
      <c r="AU57" s="93" t="n"/>
      <c r="AV57" s="93" t="n"/>
      <c r="AW57" s="93" t="n"/>
      <c r="AX57" s="93" t="n"/>
      <c r="AY57" s="93" t="n">
        <v>7.988109885599999</v>
      </c>
      <c r="AZ57" s="93" t="n"/>
      <c r="BA57" s="93" t="n"/>
      <c r="BB57" s="93" t="n"/>
      <c r="BC57" s="93" t="n"/>
      <c r="BD57" s="93" t="n"/>
      <c r="BE57" s="467" t="n">
        <v>17.28467939952</v>
      </c>
    </row>
    <row r="58">
      <c r="A58" s="137" t="n"/>
      <c r="B58" s="136" t="n"/>
      <c r="D58" s="136" t="n"/>
      <c r="G58" s="43" t="n"/>
      <c r="H58" s="43" t="n"/>
      <c r="I58" s="43" t="n"/>
      <c r="J58" s="91" t="n">
        <v>31.75</v>
      </c>
      <c r="K58" s="15" t="n">
        <v>31.75</v>
      </c>
      <c r="L58" s="15" t="n">
        <v>0</v>
      </c>
      <c r="M58" s="15" t="n">
        <v>1.6</v>
      </c>
      <c r="N58" s="15" t="inlineStr">
        <is>
          <t>ERW 1</t>
        </is>
      </c>
      <c r="O58" s="15" t="inlineStr">
        <is>
          <t>FC</t>
        </is>
      </c>
      <c r="P58" s="15" t="inlineStr">
        <is>
          <t>31.75-0-1.6-ERW 1-FC</t>
        </is>
      </c>
      <c r="Q58" s="92" t="inlineStr">
        <is>
          <t>Hosur</t>
        </is>
      </c>
      <c r="R58" s="607">
        <f>Table11[[#This Row],[Grand Total]]</f>
        <v/>
      </c>
      <c r="S58" s="93">
        <f>VLOOKUP(Table11[[#This Row],[Bucket]],salesforecast[[#All],[Bucket2]:[WIP]],3,0)</f>
        <v/>
      </c>
      <c r="T58" s="93">
        <f>VLOOKUP(Table11[[#This Row],[Bucket]],salesforecast[[#All],[Bucket2]:[WIP]],4,0)</f>
        <v/>
      </c>
      <c r="U58" s="93">
        <f>VLOOKUP(Table11[[#This Row],[Bucket]],salesforecast[[#All],[Bucket2]:[WIP]],5,0)</f>
        <v/>
      </c>
      <c r="V58" s="93">
        <f>VLOOKUP(Table11[[#This Row],[Bucket]],salesforecast[[#All],[Bucket2]:[WIP]],7,0)</f>
        <v/>
      </c>
      <c r="W58" s="93">
        <f>Table11[[#This Row],[Stock LL]]+Table11[[#This Row],[WIP]]+Table11[[#This Row],[Stock CTL]]</f>
        <v/>
      </c>
      <c r="X58" s="93">
        <f>IF((Table11[[#This Row],[Requirement]]-Table11[[#This Row],[Sales]]-Table11[[#This Row],[Total Stock]])&lt;0,0,Table11[[#This Row],[Requirement]]-Table11[[#This Row],[Sales]]-Table11[[#This Row],[Total Stock]])</f>
        <v/>
      </c>
      <c r="Y58" s="94">
        <f>_xlfn.CONCAT(ROUND(Table11[[#This Row],[Total Stock]]/Table11[[#This Row],[Requirement]]*100,0),"% Coverage. Rest by Week 3")</f>
        <v/>
      </c>
      <c r="Z58" s="93" t="n">
        <v>31.75</v>
      </c>
      <c r="AA58" s="93" t="n">
        <v>31.75</v>
      </c>
      <c r="AB58" s="93" t="n">
        <v>0</v>
      </c>
      <c r="AC58" s="93" t="n">
        <v>1.6</v>
      </c>
      <c r="AD58" s="93" t="inlineStr">
        <is>
          <t>ERW 1</t>
        </is>
      </c>
      <c r="AE58" s="93" t="inlineStr">
        <is>
          <t>FC</t>
        </is>
      </c>
      <c r="AF58" s="93" t="inlineStr">
        <is>
          <t>31.75-0-1.6-ERW 1-FC</t>
        </is>
      </c>
      <c r="AG58" s="93">
        <f>EXACT(Table11[[#This Row],[Bucket8]],Table11[[#This Row],[Bucket]])</f>
        <v/>
      </c>
      <c r="AH58" s="93" t="n"/>
      <c r="AI58" s="93" t="n"/>
      <c r="AJ58" s="93" t="n"/>
      <c r="AK58" s="93" t="n"/>
      <c r="AL58" s="93" t="n"/>
      <c r="AM58" s="93" t="n"/>
      <c r="AN58" s="93" t="n"/>
      <c r="AO58" s="93" t="n"/>
      <c r="AP58" s="93" t="n"/>
      <c r="AQ58" s="93" t="n"/>
      <c r="AR58" s="93" t="n"/>
      <c r="AS58" s="93" t="n"/>
      <c r="AT58" s="93" t="n"/>
      <c r="AU58" s="93" t="n"/>
      <c r="AV58" s="93" t="n"/>
      <c r="AW58" s="93" t="n"/>
      <c r="AX58" s="93" t="n"/>
      <c r="AY58" s="93" t="n">
        <v>10.17128561904</v>
      </c>
      <c r="AZ58" s="93" t="n"/>
      <c r="BA58" s="93" t="n"/>
      <c r="BB58" s="93" t="n"/>
      <c r="BC58" s="93" t="n"/>
      <c r="BD58" s="93" t="n"/>
      <c r="BE58" s="467" t="n">
        <v>10.17128561904</v>
      </c>
    </row>
    <row r="59">
      <c r="A59" s="136" t="n"/>
      <c r="B59" s="136" t="n"/>
      <c r="D59" s="136" t="n"/>
      <c r="G59" s="43" t="n"/>
      <c r="H59" s="43" t="n"/>
      <c r="I59" s="43" t="n"/>
      <c r="J59" s="91" t="n">
        <v>31.75</v>
      </c>
      <c r="K59" s="15" t="n">
        <v>31.75</v>
      </c>
      <c r="L59" s="15" t="n">
        <v>0</v>
      </c>
      <c r="M59" s="15" t="n">
        <v>2.3</v>
      </c>
      <c r="N59" s="15" t="inlineStr">
        <is>
          <t>ERW 1</t>
        </is>
      </c>
      <c r="O59" s="15" t="inlineStr">
        <is>
          <t>FC</t>
        </is>
      </c>
      <c r="P59" s="15" t="inlineStr">
        <is>
          <t>31.75-0-2.3-ERW 1-FC</t>
        </is>
      </c>
      <c r="Q59" s="92" t="inlineStr">
        <is>
          <t>Hosur</t>
        </is>
      </c>
      <c r="R59" s="607">
        <f>Table11[[#This Row],[Grand Total]]</f>
        <v/>
      </c>
      <c r="S59" s="93">
        <f>VLOOKUP(Table11[[#This Row],[Bucket]],salesforecast[[#All],[Bucket2]:[WIP]],3,0)</f>
        <v/>
      </c>
      <c r="T59" s="93">
        <f>VLOOKUP(Table11[[#This Row],[Bucket]],salesforecast[[#All],[Bucket2]:[WIP]],4,0)</f>
        <v/>
      </c>
      <c r="U59" s="93">
        <f>VLOOKUP(Table11[[#This Row],[Bucket]],salesforecast[[#All],[Bucket2]:[WIP]],5,0)</f>
        <v/>
      </c>
      <c r="V59" s="93">
        <f>VLOOKUP(Table11[[#This Row],[Bucket]],salesforecast[[#All],[Bucket2]:[WIP]],7,0)</f>
        <v/>
      </c>
      <c r="W59" s="93">
        <f>Table11[[#This Row],[Stock LL]]+Table11[[#This Row],[WIP]]+Table11[[#This Row],[Stock CTL]]</f>
        <v/>
      </c>
      <c r="X59" s="93">
        <f>IF((Table11[[#This Row],[Requirement]]-Table11[[#This Row],[Sales]]-Table11[[#This Row],[Total Stock]])&lt;0,0,Table11[[#This Row],[Requirement]]-Table11[[#This Row],[Sales]]-Table11[[#This Row],[Total Stock]])</f>
        <v/>
      </c>
      <c r="Y59" s="94">
        <f>_xlfn.CONCAT(ROUND(Table11[[#This Row],[Total Stock]]/Table11[[#This Row],[Requirement]]*100,0),"% Coverage. Rest by Week 3")</f>
        <v/>
      </c>
      <c r="Z59" s="93" t="n">
        <v>31.75</v>
      </c>
      <c r="AA59" s="93" t="n">
        <v>31.75</v>
      </c>
      <c r="AB59" s="93" t="n">
        <v>0</v>
      </c>
      <c r="AC59" s="93" t="n">
        <v>2.3</v>
      </c>
      <c r="AD59" s="93" t="inlineStr">
        <is>
          <t>ERW 1</t>
        </is>
      </c>
      <c r="AE59" s="93" t="inlineStr">
        <is>
          <t>FC</t>
        </is>
      </c>
      <c r="AF59" s="93" t="inlineStr">
        <is>
          <t>31.75-0-2.3-ERW 1-FC</t>
        </is>
      </c>
      <c r="AG59" s="93">
        <f>EXACT(Table11[[#This Row],[Bucket8]],Table11[[#This Row],[Bucket]])</f>
        <v/>
      </c>
      <c r="AH59" s="93" t="n"/>
      <c r="AI59" s="93" t="n"/>
      <c r="AJ59" s="93" t="n">
        <v>6.444656057899999</v>
      </c>
      <c r="AK59" s="93" t="n"/>
      <c r="AL59" s="93" t="n"/>
      <c r="AM59" s="93" t="n"/>
      <c r="AN59" s="93" t="n"/>
      <c r="AO59" s="93" t="n"/>
      <c r="AP59" s="93" t="n"/>
      <c r="AQ59" s="93" t="n"/>
      <c r="AR59" s="93" t="n"/>
      <c r="AS59" s="93" t="n"/>
      <c r="AT59" s="93" t="n"/>
      <c r="AU59" s="93" t="n"/>
      <c r="AV59" s="93" t="n"/>
      <c r="AW59" s="93" t="n"/>
      <c r="AX59" s="93" t="n"/>
      <c r="AY59" s="93" t="n"/>
      <c r="AZ59" s="93" t="n"/>
      <c r="BA59" s="93" t="n"/>
      <c r="BB59" s="93" t="n"/>
      <c r="BC59" s="93" t="n"/>
      <c r="BD59" s="93" t="n"/>
      <c r="BE59" s="467" t="n">
        <v>6.444656057899999</v>
      </c>
    </row>
    <row r="60">
      <c r="A60" s="136" t="n"/>
      <c r="B60" s="136" t="n"/>
      <c r="D60" s="136" t="n"/>
      <c r="G60" s="43" t="n"/>
      <c r="H60" s="43" t="n"/>
      <c r="I60" s="43" t="n"/>
      <c r="J60" s="91" t="n">
        <v>31.75</v>
      </c>
      <c r="K60" s="15" t="n">
        <v>31.75</v>
      </c>
      <c r="L60" s="15" t="n">
        <v>0</v>
      </c>
      <c r="M60" s="15" t="n">
        <v>2.5</v>
      </c>
      <c r="N60" s="15" t="inlineStr">
        <is>
          <t>ERW 1</t>
        </is>
      </c>
      <c r="O60" s="15" t="inlineStr">
        <is>
          <t>FC</t>
        </is>
      </c>
      <c r="P60" s="15" t="inlineStr">
        <is>
          <t>31.75-0-2.5-ERW 1-FC</t>
        </is>
      </c>
      <c r="Q60" s="92" t="inlineStr">
        <is>
          <t>Hosur</t>
        </is>
      </c>
      <c r="R60" s="607">
        <f>Table11[[#This Row],[Grand Total]]</f>
        <v/>
      </c>
      <c r="S60" s="93">
        <f>VLOOKUP(Table11[[#This Row],[Bucket]],salesforecast[[#All],[Bucket2]:[WIP]],3,0)</f>
        <v/>
      </c>
      <c r="T60" s="93">
        <f>VLOOKUP(Table11[[#This Row],[Bucket]],salesforecast[[#All],[Bucket2]:[WIP]],4,0)</f>
        <v/>
      </c>
      <c r="U60" s="93">
        <f>VLOOKUP(Table11[[#This Row],[Bucket]],salesforecast[[#All],[Bucket2]:[WIP]],5,0)</f>
        <v/>
      </c>
      <c r="V60" s="93">
        <f>VLOOKUP(Table11[[#This Row],[Bucket]],salesforecast[[#All],[Bucket2]:[WIP]],7,0)</f>
        <v/>
      </c>
      <c r="W60" s="93">
        <f>Table11[[#This Row],[Stock LL]]+Table11[[#This Row],[WIP]]+Table11[[#This Row],[Stock CTL]]</f>
        <v/>
      </c>
      <c r="X60" s="93">
        <f>IF((Table11[[#This Row],[Requirement]]-Table11[[#This Row],[Sales]]-Table11[[#This Row],[Total Stock]])&lt;0,0,Table11[[#This Row],[Requirement]]-Table11[[#This Row],[Sales]]-Table11[[#This Row],[Total Stock]])</f>
        <v/>
      </c>
      <c r="Y60" s="94" t="n"/>
      <c r="Z60" s="93" t="n">
        <v>31.75</v>
      </c>
      <c r="AA60" s="93" t="n">
        <v>31.75</v>
      </c>
      <c r="AB60" s="93" t="n">
        <v>0</v>
      </c>
      <c r="AC60" s="93" t="n">
        <v>2.5</v>
      </c>
      <c r="AD60" s="93" t="inlineStr">
        <is>
          <t>ERW 1</t>
        </is>
      </c>
      <c r="AE60" s="93" t="inlineStr">
        <is>
          <t>FC</t>
        </is>
      </c>
      <c r="AF60" s="93" t="inlineStr">
        <is>
          <t>31.75-0-2.5-ERW 1-FC</t>
        </is>
      </c>
      <c r="AG60" s="93">
        <f>EXACT(Table11[[#This Row],[Bucket8]],Table11[[#This Row],[Bucket]])</f>
        <v/>
      </c>
      <c r="AH60" s="93" t="n"/>
      <c r="AI60" s="93" t="n"/>
      <c r="AJ60" s="93" t="n"/>
      <c r="AK60" s="93" t="n"/>
      <c r="AL60" s="93" t="n"/>
      <c r="AM60" s="93" t="n"/>
      <c r="AN60" s="93" t="n"/>
      <c r="AO60" s="93" t="n"/>
      <c r="AP60" s="93" t="n"/>
      <c r="AQ60" s="93" t="n"/>
      <c r="AR60" s="93" t="n"/>
      <c r="AS60" s="93" t="n"/>
      <c r="AT60" s="93" t="n"/>
      <c r="AU60" s="93" t="n">
        <v>23.431955625</v>
      </c>
      <c r="AV60" s="93" t="n"/>
      <c r="AW60" s="93" t="n"/>
      <c r="AX60" s="93" t="n"/>
      <c r="AY60" s="93" t="n"/>
      <c r="AZ60" s="93" t="n"/>
      <c r="BA60" s="93" t="n"/>
      <c r="BB60" s="93" t="n"/>
      <c r="BC60" s="93" t="n"/>
      <c r="BD60" s="93" t="n"/>
      <c r="BE60" s="467" t="n">
        <v>23.431955625</v>
      </c>
    </row>
    <row r="61">
      <c r="A61" s="136" t="n"/>
      <c r="B61" s="136" t="n"/>
      <c r="D61" s="136" t="n"/>
      <c r="G61" s="43" t="n"/>
      <c r="H61" s="43" t="n"/>
      <c r="I61" s="43" t="n"/>
      <c r="J61" s="91" t="n">
        <v>31.75</v>
      </c>
      <c r="K61" s="15" t="n">
        <v>31.75</v>
      </c>
      <c r="L61" s="15" t="n">
        <v>25</v>
      </c>
      <c r="M61" s="15" t="n">
        <v>3.37</v>
      </c>
      <c r="N61" s="15" t="inlineStr">
        <is>
          <t>CEW</t>
        </is>
      </c>
      <c r="O61" s="15" t="inlineStr">
        <is>
          <t>CEW</t>
        </is>
      </c>
      <c r="P61" s="15" t="inlineStr">
        <is>
          <t>31.75-25-3.37-CEW-CEW</t>
        </is>
      </c>
      <c r="Q61" s="92" t="inlineStr">
        <is>
          <t>Hosur</t>
        </is>
      </c>
      <c r="R61" s="607">
        <f>Table11[[#This Row],[Grand Total]]</f>
        <v/>
      </c>
      <c r="S61" s="93">
        <f>VLOOKUP(Table11[[#This Row],[Bucket]],salesforecast[[#All],[Bucket2]:[WIP]],3,0)</f>
        <v/>
      </c>
      <c r="T61" s="93">
        <f>VLOOKUP(Table11[[#This Row],[Bucket]],salesforecast[[#All],[Bucket2]:[WIP]],4,0)</f>
        <v/>
      </c>
      <c r="U61" s="93">
        <f>VLOOKUP(Table11[[#This Row],[Bucket]],salesforecast[[#All],[Bucket2]:[WIP]],5,0)</f>
        <v/>
      </c>
      <c r="V61" s="93">
        <f>VLOOKUP(Table11[[#This Row],[Bucket]],salesforecast[[#All],[Bucket2]:[WIP]],7,0)</f>
        <v/>
      </c>
      <c r="W61" s="93">
        <f>Table11[[#This Row],[Stock LL]]+Table11[[#This Row],[WIP]]+Table11[[#This Row],[Stock CTL]]</f>
        <v/>
      </c>
      <c r="X61" s="93">
        <f>IF((Table11[[#This Row],[Requirement]]-Table11[[#This Row],[Sales]]-Table11[[#This Row],[Total Stock]])&lt;0,0,Table11[[#This Row],[Requirement]]-Table11[[#This Row],[Sales]]-Table11[[#This Row],[Total Stock]])</f>
        <v/>
      </c>
      <c r="Y61" s="94">
        <f>_xlfn.CONCAT(ROUND(Table11[[#This Row],[Total Stock]]/Table11[[#This Row],[Requirement]]*100,0),"% Coverage. Rest by Week 3")</f>
        <v/>
      </c>
      <c r="Z61" s="93" t="n">
        <v>31.75</v>
      </c>
      <c r="AA61" s="93" t="n">
        <v>31.75</v>
      </c>
      <c r="AB61" s="93" t="n">
        <v>25</v>
      </c>
      <c r="AC61" s="93" t="n">
        <v>3.37</v>
      </c>
      <c r="AD61" s="93" t="inlineStr">
        <is>
          <t>CEW</t>
        </is>
      </c>
      <c r="AE61" s="93" t="inlineStr">
        <is>
          <t>CEW</t>
        </is>
      </c>
      <c r="AF61" s="93" t="inlineStr">
        <is>
          <t>31.75-25-3.37-CEW-CEW</t>
        </is>
      </c>
      <c r="AG61" s="93">
        <f>EXACT(Table11[[#This Row],[Bucket8]],Table11[[#This Row],[Bucket]])</f>
        <v/>
      </c>
      <c r="AH61" s="93" t="n"/>
      <c r="AI61" s="93" t="n">
        <v>5.8936128735</v>
      </c>
      <c r="AJ61" s="93" t="n"/>
      <c r="AK61" s="93" t="n"/>
      <c r="AL61" s="93" t="n"/>
      <c r="AM61" s="93" t="n"/>
      <c r="AN61" s="93" t="n"/>
      <c r="AO61" s="93" t="n"/>
      <c r="AP61" s="93" t="n"/>
      <c r="AQ61" s="93" t="n"/>
      <c r="AR61" s="93" t="n"/>
      <c r="AS61" s="93" t="n"/>
      <c r="AT61" s="93" t="n"/>
      <c r="AU61" s="93" t="n"/>
      <c r="AV61" s="93" t="n"/>
      <c r="AW61" s="93" t="n"/>
      <c r="AX61" s="93" t="n">
        <v>1.7350796299584</v>
      </c>
      <c r="AY61" s="93" t="n"/>
      <c r="AZ61" s="93" t="n"/>
      <c r="BA61" s="93" t="n"/>
      <c r="BB61" s="93" t="n"/>
      <c r="BC61" s="93" t="n"/>
      <c r="BD61" s="93" t="n"/>
      <c r="BE61" s="467" t="n">
        <v>7.6286925034584</v>
      </c>
    </row>
    <row r="62">
      <c r="A62" s="136" t="n"/>
      <c r="B62" s="136" t="n"/>
      <c r="D62" s="136" t="n"/>
      <c r="G62" s="43" t="n"/>
      <c r="H62" s="43" t="n"/>
      <c r="I62" s="43" t="n"/>
      <c r="J62" s="91" t="n">
        <v>33.3</v>
      </c>
      <c r="K62" s="15" t="n">
        <v>33.3</v>
      </c>
      <c r="L62" s="15" t="n">
        <v>29.3</v>
      </c>
      <c r="M62" s="15" t="n">
        <v>2</v>
      </c>
      <c r="N62" s="15" t="inlineStr">
        <is>
          <t>CEW</t>
        </is>
      </c>
      <c r="O62" s="15" t="inlineStr">
        <is>
          <t>CEW</t>
        </is>
      </c>
      <c r="P62" s="15" t="inlineStr">
        <is>
          <t>33.3-29.3-2-CEW-CEW</t>
        </is>
      </c>
      <c r="Q62" s="92" t="inlineStr">
        <is>
          <t>Khopoli</t>
        </is>
      </c>
      <c r="R62" s="607">
        <f>Table11[[#This Row],[Grand Total]]</f>
        <v/>
      </c>
      <c r="S62" s="93">
        <f>VLOOKUP(Table11[[#This Row],[Bucket]],salesforecast[[#All],[Bucket2]:[WIP]],3,0)</f>
        <v/>
      </c>
      <c r="T62" s="93">
        <f>VLOOKUP(Table11[[#This Row],[Bucket]],salesforecast[[#All],[Bucket2]:[WIP]],4,0)</f>
        <v/>
      </c>
      <c r="U62" s="93">
        <f>VLOOKUP(Table11[[#This Row],[Bucket]],salesforecast[[#All],[Bucket2]:[WIP]],5,0)</f>
        <v/>
      </c>
      <c r="V62" s="93">
        <f>VLOOKUP(Table11[[#This Row],[Bucket]],salesforecast[[#All],[Bucket2]:[WIP]],7,0)</f>
        <v/>
      </c>
      <c r="W62" s="93">
        <f>Table11[[#This Row],[Stock LL]]+Table11[[#This Row],[WIP]]+Table11[[#This Row],[Stock CTL]]</f>
        <v/>
      </c>
      <c r="X62" s="93">
        <f>IF((Table11[[#This Row],[Requirement]]-Table11[[#This Row],[Sales]]-Table11[[#This Row],[Total Stock]])&lt;0,0,Table11[[#This Row],[Requirement]]-Table11[[#This Row],[Sales]]-Table11[[#This Row],[Total Stock]])</f>
        <v/>
      </c>
      <c r="Y62" s="608">
        <f>ROUND(Table11[[#This Row],[Total Stock]]/Table11[[#This Row],[Requirement]]*100,0) &amp; "% coverage. Further rolling by week 2"</f>
        <v/>
      </c>
      <c r="Z62" s="93" t="n">
        <v>33.3</v>
      </c>
      <c r="AA62" s="93" t="n">
        <v>33.3</v>
      </c>
      <c r="AB62" s="93" t="n">
        <v>29.3</v>
      </c>
      <c r="AC62" s="93" t="n">
        <v>2</v>
      </c>
      <c r="AD62" s="93" t="inlineStr">
        <is>
          <t>CEW</t>
        </is>
      </c>
      <c r="AE62" s="93" t="inlineStr">
        <is>
          <t>CEW</t>
        </is>
      </c>
      <c r="AF62" s="93" t="inlineStr">
        <is>
          <t>33.3-29.3-2-CEW-CEW</t>
        </is>
      </c>
      <c r="AG62" s="93">
        <f>EXACT(Table11[[#This Row],[Bucket8]],Table11[[#This Row],[Bucket]])</f>
        <v/>
      </c>
      <c r="AH62" s="93" t="n"/>
      <c r="AI62" s="93" t="n"/>
      <c r="AJ62" s="93" t="n"/>
      <c r="AK62" s="93" t="n"/>
      <c r="AL62" s="93" t="n"/>
      <c r="AM62" s="93" t="n"/>
      <c r="AN62" s="93" t="n"/>
      <c r="AO62" s="93" t="n"/>
      <c r="AP62" s="93" t="n"/>
      <c r="AQ62" s="93" t="n"/>
      <c r="AR62" s="93" t="n"/>
      <c r="AS62" s="93" t="n"/>
      <c r="AT62" s="93" t="n"/>
      <c r="AU62" s="93" t="n"/>
      <c r="AV62" s="93" t="n"/>
      <c r="AW62" s="93" t="n"/>
      <c r="AX62" s="93" t="n"/>
      <c r="AY62" s="93" t="n">
        <v>0.7715137</v>
      </c>
      <c r="AZ62" s="93" t="n"/>
      <c r="BA62" s="93" t="n"/>
      <c r="BB62" s="93" t="n"/>
      <c r="BC62" s="93" t="n"/>
      <c r="BD62" s="93" t="n"/>
      <c r="BE62" s="467" t="n">
        <v>0.7715137</v>
      </c>
    </row>
    <row r="63">
      <c r="A63" s="136" t="n"/>
      <c r="B63" s="136" t="n"/>
      <c r="D63" s="136" t="n"/>
      <c r="G63" s="43" t="n"/>
      <c r="H63" s="43" t="n"/>
      <c r="I63" s="43" t="n"/>
      <c r="J63" s="91" t="n">
        <v>34.93</v>
      </c>
      <c r="K63" s="15" t="n">
        <v>34.93</v>
      </c>
      <c r="L63" s="15" t="n">
        <v>0</v>
      </c>
      <c r="M63" s="15" t="n">
        <v>1.6</v>
      </c>
      <c r="N63" s="15" t="inlineStr">
        <is>
          <t>ERW 1</t>
        </is>
      </c>
      <c r="O63" s="15" t="inlineStr">
        <is>
          <t>FC</t>
        </is>
      </c>
      <c r="P63" s="15" t="inlineStr">
        <is>
          <t>34.93-0-1.2-ERW 1-FC</t>
        </is>
      </c>
      <c r="Q63" s="92" t="inlineStr">
        <is>
          <t>Hosur</t>
        </is>
      </c>
      <c r="R63" s="607">
        <f>Table11[[#This Row],[Grand Total]]</f>
        <v/>
      </c>
      <c r="S63" s="93">
        <f>VLOOKUP(Table11[[#This Row],[Bucket]],salesforecast[[#All],[Bucket2]:[WIP]],3,0)</f>
        <v/>
      </c>
      <c r="T63" s="93">
        <f>VLOOKUP(Table11[[#This Row],[Bucket]],salesforecast[[#All],[Bucket2]:[WIP]],4,0)</f>
        <v/>
      </c>
      <c r="U63" s="93">
        <f>VLOOKUP(Table11[[#This Row],[Bucket]],salesforecast[[#All],[Bucket2]:[WIP]],5,0)</f>
        <v/>
      </c>
      <c r="V63" s="93">
        <f>VLOOKUP(Table11[[#This Row],[Bucket]],salesforecast[[#All],[Bucket2]:[WIP]],7,0)</f>
        <v/>
      </c>
      <c r="W63" s="93">
        <f>Table11[[#This Row],[Stock LL]]+Table11[[#This Row],[WIP]]+Table11[[#This Row],[Stock CTL]]</f>
        <v/>
      </c>
      <c r="X63" s="93">
        <f>IF((Table11[[#This Row],[Requirement]]-Table11[[#This Row],[Sales]]-Table11[[#This Row],[Total Stock]])&lt;0,0,Table11[[#This Row],[Requirement]]-Table11[[#This Row],[Sales]]-Table11[[#This Row],[Total Stock]])</f>
        <v/>
      </c>
      <c r="Y63" s="94" t="n"/>
      <c r="Z63" s="93" t="n">
        <v>34.93</v>
      </c>
      <c r="AA63" s="93" t="n">
        <v>34.93</v>
      </c>
      <c r="AB63" s="93" t="n">
        <v>0</v>
      </c>
      <c r="AC63" s="93" t="n">
        <v>1.2</v>
      </c>
      <c r="AD63" s="93" t="inlineStr">
        <is>
          <t>ERW 1</t>
        </is>
      </c>
      <c r="AE63" s="93" t="inlineStr">
        <is>
          <t>FC</t>
        </is>
      </c>
      <c r="AF63" s="93" t="inlineStr">
        <is>
          <t>34.93-0-1.2-ERW 1-FC</t>
        </is>
      </c>
      <c r="AG63" s="93">
        <f>EXACT(Table11[[#This Row],[Bucket8]],Table11[[#This Row],[Bucket]])</f>
        <v/>
      </c>
      <c r="AH63" s="93" t="n"/>
      <c r="AI63" s="93" t="n"/>
      <c r="AJ63" s="93" t="n"/>
      <c r="AK63" s="93" t="n"/>
      <c r="AL63" s="93" t="n"/>
      <c r="AM63" s="93" t="n"/>
      <c r="AN63" s="93" t="n"/>
      <c r="AO63" s="93" t="n">
        <v>0.0997692924</v>
      </c>
      <c r="AP63" s="93" t="n"/>
      <c r="AQ63" s="93" t="n"/>
      <c r="AR63" s="93" t="n"/>
      <c r="AS63" s="93" t="n"/>
      <c r="AT63" s="93" t="n"/>
      <c r="AU63" s="93" t="n"/>
      <c r="AV63" s="93" t="n"/>
      <c r="AW63" s="93" t="n"/>
      <c r="AX63" s="93" t="n"/>
      <c r="AY63" s="93" t="n"/>
      <c r="AZ63" s="93" t="n"/>
      <c r="BA63" s="93" t="n"/>
      <c r="BB63" s="93" t="n"/>
      <c r="BC63" s="93" t="n"/>
      <c r="BD63" s="93" t="n"/>
      <c r="BE63" s="467" t="n">
        <v>0.0997692924</v>
      </c>
    </row>
    <row r="64">
      <c r="A64" s="136" t="n"/>
      <c r="B64" s="136" t="n"/>
      <c r="D64" s="136" t="n"/>
      <c r="G64" s="43" t="n"/>
      <c r="H64" s="43" t="n"/>
      <c r="I64" s="43" t="n"/>
      <c r="J64" s="91" t="n">
        <v>34.93</v>
      </c>
      <c r="K64" s="15" t="n">
        <v>34.93</v>
      </c>
      <c r="L64" s="15" t="n">
        <v>0</v>
      </c>
      <c r="M64" s="15" t="n">
        <v>1.6</v>
      </c>
      <c r="N64" s="15" t="inlineStr">
        <is>
          <t>ERW 1</t>
        </is>
      </c>
      <c r="O64" s="15" t="inlineStr">
        <is>
          <t>FC</t>
        </is>
      </c>
      <c r="P64" s="15" t="inlineStr">
        <is>
          <t>34.93-0-1.6-ERW 1-FC</t>
        </is>
      </c>
      <c r="Q64" s="92" t="inlineStr">
        <is>
          <t>Hosur</t>
        </is>
      </c>
      <c r="R64" s="607">
        <f>Table11[[#This Row],[Grand Total]]</f>
        <v/>
      </c>
      <c r="S64" s="93">
        <f>VLOOKUP(Table11[[#This Row],[Bucket]],salesforecast[[#All],[Bucket2]:[WIP]],3,0)</f>
        <v/>
      </c>
      <c r="T64" s="93">
        <f>VLOOKUP(Table11[[#This Row],[Bucket]],salesforecast[[#All],[Bucket2]:[WIP]],4,0)</f>
        <v/>
      </c>
      <c r="U64" s="93">
        <f>VLOOKUP(Table11[[#This Row],[Bucket]],salesforecast[[#All],[Bucket2]:[WIP]],5,0)</f>
        <v/>
      </c>
      <c r="V64" s="93">
        <f>VLOOKUP(Table11[[#This Row],[Bucket]],salesforecast[[#All],[Bucket2]:[WIP]],7,0)</f>
        <v/>
      </c>
      <c r="W64" s="93">
        <f>Table11[[#This Row],[Stock LL]]+Table11[[#This Row],[WIP]]+Table11[[#This Row],[Stock CTL]]</f>
        <v/>
      </c>
      <c r="X64" s="93">
        <f>IF((Table11[[#This Row],[Requirement]]-Table11[[#This Row],[Sales]]-Table11[[#This Row],[Total Stock]])&lt;0,0,Table11[[#This Row],[Requirement]]-Table11[[#This Row],[Sales]]-Table11[[#This Row],[Total Stock]])</f>
        <v/>
      </c>
      <c r="Y64" s="608">
        <f>ROUND(Table11[[#This Row],[Total Stock]]/Table11[[#This Row],[Requirement]]*100,0) &amp; "% coverage. Further rolling by week 2"</f>
        <v/>
      </c>
      <c r="Z64" s="93" t="n">
        <v>34.93</v>
      </c>
      <c r="AA64" s="93" t="n">
        <v>34.93</v>
      </c>
      <c r="AB64" s="93" t="n">
        <v>0</v>
      </c>
      <c r="AC64" s="93" t="n">
        <v>1.6</v>
      </c>
      <c r="AD64" s="93" t="inlineStr">
        <is>
          <t>ERW 1</t>
        </is>
      </c>
      <c r="AE64" s="93" t="inlineStr">
        <is>
          <t>FC</t>
        </is>
      </c>
      <c r="AF64" s="93" t="inlineStr">
        <is>
          <t>34.93-0-1.6-ERW 1-FC</t>
        </is>
      </c>
      <c r="AG64" s="93">
        <f>EXACT(Table11[[#This Row],[Bucket8]],Table11[[#This Row],[Bucket]])</f>
        <v/>
      </c>
      <c r="AH64" s="93" t="n"/>
      <c r="AI64" s="93" t="n"/>
      <c r="AJ64" s="93" t="n">
        <v>5.104790349911999</v>
      </c>
      <c r="AK64" s="93" t="n"/>
      <c r="AL64" s="93" t="n"/>
      <c r="AM64" s="93" t="n"/>
      <c r="AN64" s="93" t="n"/>
      <c r="AO64" s="93" t="n"/>
      <c r="AP64" s="93" t="n"/>
      <c r="AQ64" s="93" t="n"/>
      <c r="AR64" s="93" t="n"/>
      <c r="AS64" s="93" t="n"/>
      <c r="AT64" s="93" t="n"/>
      <c r="AU64" s="93" t="n"/>
      <c r="AV64" s="93" t="n"/>
      <c r="AW64" s="93" t="n"/>
      <c r="AX64" s="93" t="n"/>
      <c r="AY64" s="93" t="n"/>
      <c r="AZ64" s="93" t="n"/>
      <c r="BA64" s="93" t="n"/>
      <c r="BB64" s="93" t="n"/>
      <c r="BC64" s="93" t="n"/>
      <c r="BD64" s="93" t="n"/>
      <c r="BE64" s="467" t="n">
        <v>5.104790349911999</v>
      </c>
    </row>
    <row r="65">
      <c r="A65" s="136" t="n"/>
      <c r="B65" s="136" t="n"/>
      <c r="D65" s="136" t="n"/>
      <c r="G65" s="43" t="n"/>
      <c r="H65" s="43" t="n"/>
      <c r="I65" s="43" t="n"/>
      <c r="J65" s="91" t="n">
        <v>34.93</v>
      </c>
      <c r="K65" s="15" t="n">
        <v>34.93</v>
      </c>
      <c r="L65" s="15" t="n">
        <v>0</v>
      </c>
      <c r="M65" s="15" t="n">
        <v>2.6</v>
      </c>
      <c r="N65" s="15" t="inlineStr">
        <is>
          <t>ERW 1</t>
        </is>
      </c>
      <c r="O65" s="15" t="inlineStr">
        <is>
          <t>FC</t>
        </is>
      </c>
      <c r="P65" s="15" t="inlineStr">
        <is>
          <t>34.93-0-2.6-ERW 1-FC</t>
        </is>
      </c>
      <c r="Q65" s="92" t="inlineStr">
        <is>
          <t>Hosur</t>
        </is>
      </c>
      <c r="R65" s="607">
        <f>Table11[[#This Row],[Grand Total]]</f>
        <v/>
      </c>
      <c r="S65" s="93">
        <f>VLOOKUP(Table11[[#This Row],[Bucket]],salesforecast[[#All],[Bucket2]:[WIP]],3,0)</f>
        <v/>
      </c>
      <c r="T65" s="93">
        <f>VLOOKUP(Table11[[#This Row],[Bucket]],salesforecast[[#All],[Bucket2]:[WIP]],4,0)</f>
        <v/>
      </c>
      <c r="U65" s="93">
        <f>VLOOKUP(Table11[[#This Row],[Bucket]],salesforecast[[#All],[Bucket2]:[WIP]],5,0)</f>
        <v/>
      </c>
      <c r="V65" s="93">
        <f>VLOOKUP(Table11[[#This Row],[Bucket]],salesforecast[[#All],[Bucket2]:[WIP]],7,0)</f>
        <v/>
      </c>
      <c r="W65" s="93">
        <f>Table11[[#This Row],[Stock LL]]+Table11[[#This Row],[WIP]]+Table11[[#This Row],[Stock CTL]]</f>
        <v/>
      </c>
      <c r="X65" s="93">
        <f>IF((Table11[[#This Row],[Requirement]]-Table11[[#This Row],[Sales]]-Table11[[#This Row],[Total Stock]])&lt;0,0,Table11[[#This Row],[Requirement]]-Table11[[#This Row],[Sales]]-Table11[[#This Row],[Total Stock]])</f>
        <v/>
      </c>
      <c r="Y65" s="94">
        <f>_xlfn.CONCAT(ROUND((Table11[[#This Row],[Total Stock]]+Table11[[#This Row],[Sales]])/Table11[[#This Row],[Requirement]]*100,0),"% Coverage. Rest by Week 3")</f>
        <v/>
      </c>
      <c r="Z65" s="93" t="n">
        <v>34.93</v>
      </c>
      <c r="AA65" s="93" t="n">
        <v>34.93</v>
      </c>
      <c r="AB65" s="93" t="n">
        <v>0</v>
      </c>
      <c r="AC65" s="93" t="n">
        <v>2.6</v>
      </c>
      <c r="AD65" s="93" t="inlineStr">
        <is>
          <t>ERW 1</t>
        </is>
      </c>
      <c r="AE65" s="93" t="inlineStr">
        <is>
          <t>FC</t>
        </is>
      </c>
      <c r="AF65" s="93" t="inlineStr">
        <is>
          <t>34.93-0-2.6-ERW 1-FC</t>
        </is>
      </c>
      <c r="AG65" s="93">
        <f>EXACT(Table11[[#This Row],[Bucket8]],Table11[[#This Row],[Bucket]])</f>
        <v/>
      </c>
      <c r="AH65" s="93" t="n"/>
      <c r="AI65" s="93" t="n"/>
      <c r="AJ65" s="93" t="n">
        <v>9.627709814681399</v>
      </c>
      <c r="AK65" s="93" t="n"/>
      <c r="AL65" s="93" t="n"/>
      <c r="AM65" s="93" t="n"/>
      <c r="AN65" s="93" t="n"/>
      <c r="AO65" s="93" t="n"/>
      <c r="AP65" s="93" t="n"/>
      <c r="AQ65" s="93" t="n"/>
      <c r="AR65" s="93" t="n"/>
      <c r="AS65" s="93" t="n"/>
      <c r="AT65" s="93" t="n"/>
      <c r="AU65" s="93" t="n"/>
      <c r="AV65" s="93" t="n"/>
      <c r="AW65" s="93" t="n"/>
      <c r="AX65" s="93" t="n"/>
      <c r="AY65" s="93" t="n"/>
      <c r="AZ65" s="93" t="n"/>
      <c r="BA65" s="93" t="n"/>
      <c r="BB65" s="93" t="n"/>
      <c r="BC65" s="93" t="n"/>
      <c r="BD65" s="93" t="n"/>
      <c r="BE65" s="467" t="n">
        <v>9.627709814681399</v>
      </c>
    </row>
    <row r="66">
      <c r="A66" s="137" t="n"/>
      <c r="B66" s="136" t="n"/>
      <c r="D66" s="136" t="n"/>
      <c r="G66" s="43" t="n"/>
      <c r="H66" s="43" t="n"/>
      <c r="I66" s="43" t="n"/>
      <c r="J66" s="91" t="n">
        <v>37.6</v>
      </c>
      <c r="K66" s="15" t="n">
        <v>37.6</v>
      </c>
      <c r="L66" s="15" t="n">
        <v>31.2</v>
      </c>
      <c r="M66" s="15" t="n">
        <v>3.2</v>
      </c>
      <c r="N66" s="15" t="inlineStr">
        <is>
          <t>CEW</t>
        </is>
      </c>
      <c r="O66" s="15" t="inlineStr">
        <is>
          <t>CEW</t>
        </is>
      </c>
      <c r="P66" s="15" t="inlineStr">
        <is>
          <t>37.6-31.2-3.2-CEW-CEW</t>
        </is>
      </c>
      <c r="Q66" s="92" t="inlineStr">
        <is>
          <t>Khopoli</t>
        </is>
      </c>
      <c r="R66" s="607">
        <f>Table11[[#This Row],[Grand Total]]</f>
        <v/>
      </c>
      <c r="S66" s="93">
        <f>VLOOKUP(Table11[[#This Row],[Bucket]],salesforecast[[#All],[Bucket2]:[WIP]],3,0)</f>
        <v/>
      </c>
      <c r="T66" s="93">
        <f>VLOOKUP(Table11[[#This Row],[Bucket]],salesforecast[[#All],[Bucket2]:[WIP]],4,0)</f>
        <v/>
      </c>
      <c r="U66" s="93">
        <f>VLOOKUP(Table11[[#This Row],[Bucket]],salesforecast[[#All],[Bucket2]:[WIP]],5,0)</f>
        <v/>
      </c>
      <c r="V66" s="93">
        <f>VLOOKUP(Table11[[#This Row],[Bucket]],salesforecast[[#All],[Bucket2]:[WIP]],7,0)</f>
        <v/>
      </c>
      <c r="W66" s="93">
        <f>Table11[[#This Row],[Stock LL]]+Table11[[#This Row],[WIP]]+Table11[[#This Row],[Stock CTL]]</f>
        <v/>
      </c>
      <c r="X66" s="93">
        <f>IF((Table11[[#This Row],[Requirement]]-Table11[[#This Row],[Sales]]-Table11[[#This Row],[Total Stock]])&lt;0,0,Table11[[#This Row],[Requirement]]-Table11[[#This Row],[Sales]]-Table11[[#This Row],[Total Stock]])</f>
        <v/>
      </c>
      <c r="Y66" s="96" t="n"/>
      <c r="Z66" s="93" t="n">
        <v>37.6</v>
      </c>
      <c r="AA66" s="93" t="n">
        <v>37.6</v>
      </c>
      <c r="AB66" s="93" t="n">
        <v>31.2</v>
      </c>
      <c r="AC66" s="93" t="n">
        <v>3.2</v>
      </c>
      <c r="AD66" s="93" t="inlineStr">
        <is>
          <t>CEW</t>
        </is>
      </c>
      <c r="AE66" s="93" t="inlineStr">
        <is>
          <t>CEW</t>
        </is>
      </c>
      <c r="AF66" s="93" t="inlineStr">
        <is>
          <t>37.6-31.2-3.2-CEW-CEW</t>
        </is>
      </c>
      <c r="AG66" s="93">
        <f>EXACT(Table11[[#This Row],[Bucket8]],Table11[[#This Row],[Bucket]])</f>
        <v/>
      </c>
      <c r="AH66" s="93" t="n"/>
      <c r="AI66" s="93" t="n"/>
      <c r="AJ66" s="93" t="n">
        <v>3.64201003712</v>
      </c>
      <c r="AK66" s="93" t="n"/>
      <c r="AL66" s="93" t="n"/>
      <c r="AM66" s="93" t="n"/>
      <c r="AN66" s="93" t="n"/>
      <c r="AO66" s="93" t="n"/>
      <c r="AP66" s="93" t="n"/>
      <c r="AQ66" s="93" t="n"/>
      <c r="AR66" s="93" t="n"/>
      <c r="AS66" s="93" t="n"/>
      <c r="AT66" s="93" t="n"/>
      <c r="AU66" s="93" t="n"/>
      <c r="AV66" s="93" t="n"/>
      <c r="AW66" s="93" t="n"/>
      <c r="AX66" s="93" t="n"/>
      <c r="AY66" s="93" t="n"/>
      <c r="AZ66" s="93" t="n"/>
      <c r="BA66" s="93" t="n"/>
      <c r="BB66" s="93" t="n"/>
      <c r="BC66" s="93" t="n"/>
      <c r="BD66" s="93" t="n"/>
      <c r="BE66" s="467" t="n">
        <v>3.64201003712</v>
      </c>
    </row>
    <row r="67">
      <c r="H67" s="43" t="n"/>
      <c r="I67" s="43" t="n"/>
      <c r="J67" s="93" t="n">
        <v>37.95</v>
      </c>
      <c r="K67" s="93" t="n">
        <v>37.95</v>
      </c>
      <c r="L67" s="93" t="n">
        <v>32</v>
      </c>
      <c r="M67" s="93" t="n">
        <v>2.95</v>
      </c>
      <c r="N67" s="93" t="inlineStr">
        <is>
          <t>CEW</t>
        </is>
      </c>
      <c r="O67" s="93" t="inlineStr">
        <is>
          <t>CEW</t>
        </is>
      </c>
      <c r="P67" s="15" t="inlineStr">
        <is>
          <t>37.95-32-2.95-CEW-CEW</t>
        </is>
      </c>
      <c r="Q67" s="92" t="inlineStr">
        <is>
          <t>Khopoli</t>
        </is>
      </c>
      <c r="R67" s="607">
        <f>Table11[[#This Row],[Grand Total]]</f>
        <v/>
      </c>
      <c r="S67" s="93">
        <f>VLOOKUP(Table11[[#This Row],[Bucket]],salesforecast[[#All],[Bucket2]:[WIP]],3,0)</f>
        <v/>
      </c>
      <c r="T67" s="93">
        <f>VLOOKUP(Table11[[#This Row],[Bucket]],salesforecast[[#All],[Bucket2]:[WIP]],4,0)</f>
        <v/>
      </c>
      <c r="U67" s="93">
        <f>VLOOKUP(Table11[[#This Row],[Bucket]],salesforecast[[#All],[Bucket2]:[WIP]],5,0)</f>
        <v/>
      </c>
      <c r="V67" s="93">
        <f>VLOOKUP(Table11[[#This Row],[Bucket]],salesforecast[[#All],[Bucket2]:[WIP]],7,0)</f>
        <v/>
      </c>
      <c r="W67" s="93">
        <f>Table11[[#This Row],[Stock LL]]+Table11[[#This Row],[WIP]]+Table11[[#This Row],[Stock CTL]]</f>
        <v/>
      </c>
      <c r="X67" s="93">
        <f>IF((Table11[[#This Row],[Requirement]]-Table11[[#This Row],[Sales]]-Table11[[#This Row],[Total Stock]])&lt;0,0,Table11[[#This Row],[Requirement]]-Table11[[#This Row],[Sales]]-Table11[[#This Row],[Total Stock]])</f>
        <v/>
      </c>
      <c r="Y67" s="94">
        <f>_xlfn.CONCAT(ROUND(Table11[[#This Row],[Total Stock]]/Table11[[#This Row],[Requirement]]*100,0),"% Coverage. Rest by Week 3")</f>
        <v/>
      </c>
      <c r="Z67" s="93" t="n">
        <v>37.95</v>
      </c>
      <c r="AA67" s="93" t="n">
        <v>37.95</v>
      </c>
      <c r="AB67" s="93" t="n">
        <v>32</v>
      </c>
      <c r="AC67" s="93" t="n">
        <v>2.95</v>
      </c>
      <c r="AD67" s="93" t="inlineStr">
        <is>
          <t>CEW</t>
        </is>
      </c>
      <c r="AE67" s="93" t="inlineStr">
        <is>
          <t>CEW</t>
        </is>
      </c>
      <c r="AF67" s="93" t="inlineStr">
        <is>
          <t>37.95-32-2.95-CEW-CEW</t>
        </is>
      </c>
      <c r="AG67" s="93">
        <f>EXACT(Table11[[#This Row],[Bucket8]],Table11[[#This Row],[Bucket]])</f>
        <v/>
      </c>
      <c r="AH67" s="93" t="n"/>
      <c r="AI67" s="93" t="n"/>
      <c r="AJ67" s="93" t="n"/>
      <c r="AK67" s="93" t="n"/>
      <c r="AL67" s="93" t="n"/>
      <c r="AM67" s="93" t="n"/>
      <c r="AN67" s="93" t="n"/>
      <c r="AO67" s="93" t="n">
        <v>4.784617389999999</v>
      </c>
      <c r="AP67" s="93" t="n"/>
      <c r="AQ67" s="93" t="n"/>
      <c r="AR67" s="93" t="n"/>
      <c r="AS67" s="93" t="n"/>
      <c r="AT67" s="93" t="n"/>
      <c r="AU67" s="93" t="n"/>
      <c r="AV67" s="93" t="n"/>
      <c r="AW67" s="93" t="n"/>
      <c r="AX67" s="93" t="n"/>
      <c r="AY67" s="93" t="n"/>
      <c r="AZ67" s="93" t="n"/>
      <c r="BA67" s="93" t="n"/>
      <c r="BB67" s="93" t="n"/>
      <c r="BC67" s="93" t="n"/>
      <c r="BD67" s="93" t="n"/>
      <c r="BE67" s="467" t="n">
        <v>4.784617389999999</v>
      </c>
    </row>
    <row r="68">
      <c r="H68" s="43" t="n"/>
      <c r="I68" s="43" t="n"/>
      <c r="J68" s="91" t="n">
        <v>38.1</v>
      </c>
      <c r="K68" s="15" t="n">
        <v>30</v>
      </c>
      <c r="L68" s="15" t="n">
        <v>30</v>
      </c>
      <c r="M68" s="15" t="n">
        <v>1.2</v>
      </c>
      <c r="N68" s="15" t="inlineStr">
        <is>
          <t>CRFH</t>
        </is>
      </c>
      <c r="O68" s="15" t="inlineStr">
        <is>
          <t>PE</t>
        </is>
      </c>
      <c r="P68" s="15" t="inlineStr">
        <is>
          <t>30-30-1.2-CRFH-PE</t>
        </is>
      </c>
      <c r="Q68" s="92" t="inlineStr">
        <is>
          <t>Hosur</t>
        </is>
      </c>
      <c r="R68" s="607">
        <f>Table11[[#This Row],[Grand Total]]</f>
        <v/>
      </c>
      <c r="S68" s="93">
        <f>VLOOKUP(Table11[[#This Row],[Bucket]],salesforecast[[#All],[Bucket2]:[WIP]],3,0)</f>
        <v/>
      </c>
      <c r="T68" s="93">
        <f>VLOOKUP(Table11[[#This Row],[Bucket]],salesforecast[[#All],[Bucket2]:[WIP]],4,0)</f>
        <v/>
      </c>
      <c r="U68" s="93">
        <f>VLOOKUP(Table11[[#This Row],[Bucket]],salesforecast[[#All],[Bucket2]:[WIP]],5,0)</f>
        <v/>
      </c>
      <c r="V68" s="93">
        <f>VLOOKUP(Table11[[#This Row],[Bucket]],salesforecast[[#All],[Bucket2]:[WIP]],7,0)</f>
        <v/>
      </c>
      <c r="W68" s="93">
        <f>Table11[[#This Row],[Stock LL]]+Table11[[#This Row],[WIP]]+Table11[[#This Row],[Stock CTL]]</f>
        <v/>
      </c>
      <c r="X68" s="93">
        <f>IF((Table11[[#This Row],[Requirement]]-Table11[[#This Row],[Sales]]-Table11[[#This Row],[Total Stock]])&lt;0,0,Table11[[#This Row],[Requirement]]-Table11[[#This Row],[Sales]]-Table11[[#This Row],[Total Stock]])</f>
        <v/>
      </c>
      <c r="Y68" s="94">
        <f>_xlfn.CONCAT(ROUND(Table11[[#This Row],[Total Stock]]/Table11[[#This Row],[Requirement]]*100,0),"% Coverage. Rest by Week 3")</f>
        <v/>
      </c>
      <c r="Z68" s="93" t="n">
        <v>38.1</v>
      </c>
      <c r="AA68" s="93" t="n">
        <v>30</v>
      </c>
      <c r="AB68" s="93" t="n">
        <v>30</v>
      </c>
      <c r="AC68" s="93" t="n">
        <v>1.2</v>
      </c>
      <c r="AD68" s="93" t="inlineStr">
        <is>
          <t>CRFH</t>
        </is>
      </c>
      <c r="AE68" s="93" t="inlineStr">
        <is>
          <t>PE</t>
        </is>
      </c>
      <c r="AF68" s="93" t="inlineStr">
        <is>
          <t>30-30-1.2-CRFH-PE</t>
        </is>
      </c>
      <c r="AG68" s="93">
        <f>EXACT(Table11[[#This Row],[Bucket8]],Table11[[#This Row],[Bucket]])</f>
        <v/>
      </c>
      <c r="AH68" s="93" t="n"/>
      <c r="AI68" s="93" t="n"/>
      <c r="AJ68" s="93" t="n"/>
      <c r="AK68" s="93" t="n"/>
      <c r="AL68" s="93" t="n">
        <v>2.1610862856</v>
      </c>
      <c r="AM68" s="93" t="n"/>
      <c r="AN68" s="93" t="n"/>
      <c r="AO68" s="93" t="n"/>
      <c r="AP68" s="93" t="n"/>
      <c r="AQ68" s="93" t="n"/>
      <c r="AR68" s="93" t="n"/>
      <c r="AS68" s="93" t="n"/>
      <c r="AT68" s="93" t="n"/>
      <c r="AU68" s="93" t="n"/>
      <c r="AV68" s="93" t="n"/>
      <c r="AW68" s="93" t="n"/>
      <c r="AX68" s="93" t="n"/>
      <c r="AY68" s="93" t="n"/>
      <c r="AZ68" s="93" t="n"/>
      <c r="BA68" s="93" t="n"/>
      <c r="BB68" s="93" t="n">
        <v>0.1528040808</v>
      </c>
      <c r="BC68" s="93" t="n">
        <v>3.1215690792</v>
      </c>
      <c r="BD68" s="93" t="n"/>
      <c r="BE68" s="467" t="n">
        <v>5.435459445599999</v>
      </c>
    </row>
    <row r="69">
      <c r="A69" s="136" t="n"/>
      <c r="B69" s="136" t="n"/>
      <c r="D69" s="136" t="n"/>
      <c r="G69" s="43" t="n"/>
      <c r="H69" s="43" t="n"/>
      <c r="I69" s="43" t="n"/>
      <c r="J69" s="91" t="n">
        <v>38.1</v>
      </c>
      <c r="K69" s="15" t="n">
        <v>38.1</v>
      </c>
      <c r="L69" s="15" t="n">
        <v>0</v>
      </c>
      <c r="M69" s="15" t="n">
        <v>1.6</v>
      </c>
      <c r="N69" s="15" t="inlineStr">
        <is>
          <t>ERW 1</t>
        </is>
      </c>
      <c r="O69" s="15" t="inlineStr">
        <is>
          <t>FC</t>
        </is>
      </c>
      <c r="P69" s="15" t="inlineStr">
        <is>
          <t>38.1-0-1.6-ERW 1-FC</t>
        </is>
      </c>
      <c r="Q69" s="92" t="inlineStr">
        <is>
          <t>Hosur</t>
        </is>
      </c>
      <c r="R69" s="607">
        <f>Table11[[#This Row],[Grand Total]]</f>
        <v/>
      </c>
      <c r="S69" s="93">
        <f>VLOOKUP(Table11[[#This Row],[Bucket]],salesforecast[[#All],[Bucket2]:[WIP]],3,0)</f>
        <v/>
      </c>
      <c r="T69" s="93">
        <f>VLOOKUP(Table11[[#This Row],[Bucket]],salesforecast[[#All],[Bucket2]:[WIP]],4,0)</f>
        <v/>
      </c>
      <c r="U69" s="93">
        <f>VLOOKUP(Table11[[#This Row],[Bucket]],salesforecast[[#All],[Bucket2]:[WIP]],5,0)</f>
        <v/>
      </c>
      <c r="V69" s="93">
        <f>VLOOKUP(Table11[[#This Row],[Bucket]],salesforecast[[#All],[Bucket2]:[WIP]],7,0)</f>
        <v/>
      </c>
      <c r="W69" s="93">
        <f>Table11[[#This Row],[Stock LL]]+Table11[[#This Row],[WIP]]+Table11[[#This Row],[Stock CTL]]</f>
        <v/>
      </c>
      <c r="X69" s="93">
        <f>IF((Table11[[#This Row],[Requirement]]-Table11[[#This Row],[Sales]]-Table11[[#This Row],[Total Stock]])&lt;0,0,Table11[[#This Row],[Requirement]]-Table11[[#This Row],[Sales]]-Table11[[#This Row],[Total Stock]])</f>
        <v/>
      </c>
      <c r="Y69" s="94">
        <f>_xlfn.CONCAT(ROUND(Table11[[#This Row],[Total Stock]]/Table11[[#This Row],[Requirement]]*100,0),"% Coverage. Rest by Week 3")</f>
        <v/>
      </c>
      <c r="Z69" s="93" t="n">
        <v>38.1</v>
      </c>
      <c r="AA69" s="93" t="n">
        <v>38.1</v>
      </c>
      <c r="AB69" s="93" t="n">
        <v>0</v>
      </c>
      <c r="AC69" s="93" t="n">
        <v>1.6</v>
      </c>
      <c r="AD69" s="93" t="inlineStr">
        <is>
          <t>ERW 1</t>
        </is>
      </c>
      <c r="AE69" s="93" t="inlineStr">
        <is>
          <t>FC</t>
        </is>
      </c>
      <c r="AF69" s="93" t="inlineStr">
        <is>
          <t>38.1-0-1.6-ERW 1-FC</t>
        </is>
      </c>
      <c r="AG69" s="93">
        <f>EXACT(Table11[[#This Row],[Bucket8]],Table11[[#This Row],[Bucket]])</f>
        <v/>
      </c>
      <c r="AH69" s="93" t="n"/>
      <c r="AI69" s="93" t="n"/>
      <c r="AJ69" s="93" t="n"/>
      <c r="AK69" s="93" t="n"/>
      <c r="AL69" s="93" t="n"/>
      <c r="AM69" s="93" t="n">
        <v>3.5454924408</v>
      </c>
      <c r="AN69" s="93" t="n"/>
      <c r="AO69" s="93" t="n">
        <v>2.3377505984</v>
      </c>
      <c r="AP69" s="93" t="n">
        <v>1.87135208</v>
      </c>
      <c r="AQ69" s="93" t="n"/>
      <c r="AR69" s="93" t="n"/>
      <c r="AS69" s="93" t="n"/>
      <c r="AT69" s="93" t="n"/>
      <c r="AU69" s="93" t="n"/>
      <c r="AV69" s="93" t="n"/>
      <c r="AW69" s="93" t="n"/>
      <c r="AX69" s="93" t="n"/>
      <c r="AY69" s="93" t="n"/>
      <c r="AZ69" s="93" t="n"/>
      <c r="BA69" s="93" t="n"/>
      <c r="BB69" s="93" t="n"/>
      <c r="BC69" s="93" t="n"/>
      <c r="BD69" s="93" t="n"/>
      <c r="BE69" s="467" t="n">
        <v>7.754595119199999</v>
      </c>
    </row>
    <row r="70">
      <c r="A70" s="137" t="n"/>
      <c r="B70" s="136" t="n"/>
      <c r="D70" s="136" t="n"/>
      <c r="G70" s="43" t="n"/>
      <c r="H70" s="43" t="n"/>
      <c r="I70" s="43" t="n"/>
      <c r="J70" s="91" t="n">
        <v>38.1</v>
      </c>
      <c r="K70" s="15" t="n">
        <v>38.1</v>
      </c>
      <c r="L70" s="15" t="n">
        <v>0</v>
      </c>
      <c r="M70" s="15" t="n">
        <v>1.6</v>
      </c>
      <c r="N70" s="15" t="inlineStr">
        <is>
          <t>ERW 2 MAHS</t>
        </is>
      </c>
      <c r="O70" s="15" t="inlineStr">
        <is>
          <t>FC</t>
        </is>
      </c>
      <c r="P70" s="15" t="inlineStr">
        <is>
          <t>38.1-0-1.6-ERW 2 MAHS-FC</t>
        </is>
      </c>
      <c r="Q70" s="92" t="inlineStr">
        <is>
          <t>Hosur</t>
        </is>
      </c>
      <c r="R70" s="607">
        <f>Table11[[#This Row],[Grand Total]]</f>
        <v/>
      </c>
      <c r="S70" s="93">
        <f>VLOOKUP(Table11[[#This Row],[Bucket]],salesforecast[[#All],[Bucket2]:[WIP]],3,0)</f>
        <v/>
      </c>
      <c r="T70" s="93">
        <f>VLOOKUP(Table11[[#This Row],[Bucket]],salesforecast[[#All],[Bucket2]:[WIP]],4,0)</f>
        <v/>
      </c>
      <c r="U70" s="93">
        <f>VLOOKUP(Table11[[#This Row],[Bucket]],salesforecast[[#All],[Bucket2]:[WIP]],5,0)</f>
        <v/>
      </c>
      <c r="V70" s="93">
        <f>VLOOKUP(Table11[[#This Row],[Bucket]],salesforecast[[#All],[Bucket2]:[WIP]],7,0)</f>
        <v/>
      </c>
      <c r="W70" s="93">
        <f>Table11[[#This Row],[Stock LL]]+Table11[[#This Row],[WIP]]+Table11[[#This Row],[Stock CTL]]</f>
        <v/>
      </c>
      <c r="X70" s="93">
        <f>IF((Table11[[#This Row],[Requirement]]-Table11[[#This Row],[Sales]]-Table11[[#This Row],[Total Stock]])&lt;0,0,Table11[[#This Row],[Requirement]]-Table11[[#This Row],[Sales]]-Table11[[#This Row],[Total Stock]])</f>
        <v/>
      </c>
      <c r="Y70" s="94" t="inlineStr">
        <is>
          <t>no order</t>
        </is>
      </c>
      <c r="Z70" s="93" t="n">
        <v>38.1</v>
      </c>
      <c r="AA70" s="93" t="n">
        <v>38.1</v>
      </c>
      <c r="AB70" s="93" t="n">
        <v>0</v>
      </c>
      <c r="AC70" s="93" t="n">
        <v>1.6</v>
      </c>
      <c r="AD70" s="93" t="inlineStr">
        <is>
          <t>ERW 2 MAHS</t>
        </is>
      </c>
      <c r="AE70" s="93" t="inlineStr">
        <is>
          <t>FC</t>
        </is>
      </c>
      <c r="AF70" s="93" t="inlineStr">
        <is>
          <t>38.1-0-1.6-ERW 2 MAHS-FC</t>
        </is>
      </c>
      <c r="AG70" s="93">
        <f>EXACT(Table11[[#This Row],[Bucket8]],Table11[[#This Row],[Bucket]])</f>
        <v/>
      </c>
      <c r="AH70" s="93" t="n"/>
      <c r="AI70" s="93" t="n"/>
      <c r="AJ70" s="93" t="n"/>
      <c r="AK70" s="93" t="n"/>
      <c r="AL70" s="93" t="n"/>
      <c r="AM70" s="93" t="n">
        <v>5.0555296192</v>
      </c>
      <c r="AN70" s="93" t="n"/>
      <c r="AO70" s="93" t="n"/>
      <c r="AP70" s="93" t="n"/>
      <c r="AQ70" s="93" t="n"/>
      <c r="AR70" s="93" t="n"/>
      <c r="AS70" s="93" t="n"/>
      <c r="AT70" s="93" t="n"/>
      <c r="AU70" s="93" t="n"/>
      <c r="AV70" s="93" t="n"/>
      <c r="AW70" s="93" t="n"/>
      <c r="AX70" s="93" t="n"/>
      <c r="AY70" s="93" t="n"/>
      <c r="AZ70" s="93" t="n"/>
      <c r="BA70" s="93" t="n"/>
      <c r="BB70" s="93" t="n"/>
      <c r="BC70" s="93" t="n"/>
      <c r="BD70" s="93" t="n"/>
      <c r="BE70" s="467" t="n">
        <v>5.0555296192</v>
      </c>
    </row>
    <row r="71">
      <c r="A71" s="137" t="n"/>
      <c r="B71" s="136" t="n"/>
      <c r="D71" s="136" t="n"/>
      <c r="G71" s="43" t="n"/>
      <c r="H71" s="43" t="n"/>
      <c r="I71" s="43" t="n"/>
      <c r="J71" s="91" t="n">
        <v>38.1</v>
      </c>
      <c r="K71" s="15" t="n">
        <v>38.1</v>
      </c>
      <c r="L71" s="15" t="n">
        <v>0</v>
      </c>
      <c r="M71" s="15" t="n">
        <v>2</v>
      </c>
      <c r="N71" s="15" t="inlineStr">
        <is>
          <t>ERW 1</t>
        </is>
      </c>
      <c r="O71" s="15" t="inlineStr">
        <is>
          <t>FC</t>
        </is>
      </c>
      <c r="P71" s="15" t="inlineStr">
        <is>
          <t>38.1-0-2-ERW 1-FC</t>
        </is>
      </c>
      <c r="Q71" s="92" t="inlineStr">
        <is>
          <t>Hosur</t>
        </is>
      </c>
      <c r="R71" s="607">
        <f>Table11[[#This Row],[Grand Total]]</f>
        <v/>
      </c>
      <c r="S71" s="93">
        <f>VLOOKUP(Table11[[#This Row],[Bucket]],salesforecast[[#All],[Bucket2]:[WIP]],3,0)</f>
        <v/>
      </c>
      <c r="T71" s="93">
        <f>VLOOKUP(Table11[[#This Row],[Bucket]],salesforecast[[#All],[Bucket2]:[WIP]],4,0)</f>
        <v/>
      </c>
      <c r="U71" s="93">
        <f>VLOOKUP(Table11[[#This Row],[Bucket]],salesforecast[[#All],[Bucket2]:[WIP]],5,0)</f>
        <v/>
      </c>
      <c r="V71" s="93">
        <f>VLOOKUP(Table11[[#This Row],[Bucket]],salesforecast[[#All],[Bucket2]:[WIP]],7,0)</f>
        <v/>
      </c>
      <c r="W71" s="93">
        <f>Table11[[#This Row],[Stock LL]]+Table11[[#This Row],[WIP]]+Table11[[#This Row],[Stock CTL]]</f>
        <v/>
      </c>
      <c r="X71" s="93">
        <f>IF((Table11[[#This Row],[Requirement]]-Table11[[#This Row],[Sales]]-Table11[[#This Row],[Total Stock]])&lt;0,0,Table11[[#This Row],[Requirement]]-Table11[[#This Row],[Sales]]-Table11[[#This Row],[Total Stock]])</f>
        <v/>
      </c>
      <c r="Y71" s="94" t="inlineStr">
        <is>
          <t>Available from week 4</t>
        </is>
      </c>
      <c r="Z71" s="93" t="n">
        <v>38.1</v>
      </c>
      <c r="AA71" s="93" t="n">
        <v>38.1</v>
      </c>
      <c r="AB71" s="93" t="n">
        <v>0</v>
      </c>
      <c r="AC71" s="93" t="n">
        <v>2</v>
      </c>
      <c r="AD71" s="93" t="inlineStr">
        <is>
          <t>ERW 1</t>
        </is>
      </c>
      <c r="AE71" s="93" t="inlineStr">
        <is>
          <t>FC</t>
        </is>
      </c>
      <c r="AF71" s="93" t="inlineStr">
        <is>
          <t>38.1-0-2-ERW 1-FC</t>
        </is>
      </c>
      <c r="AG71" s="93">
        <f>EXACT(Table11[[#This Row],[Bucket8]],Table11[[#This Row],[Bucket]])</f>
        <v/>
      </c>
      <c r="AH71" s="93" t="n"/>
      <c r="AI71" s="93" t="n"/>
      <c r="AJ71" s="93" t="n"/>
      <c r="AK71" s="93" t="n"/>
      <c r="AL71" s="93" t="n"/>
      <c r="AM71" s="93" t="n"/>
      <c r="AN71" s="93" t="n"/>
      <c r="AO71" s="93" t="n">
        <v>11.8952327352</v>
      </c>
      <c r="AP71" s="93" t="n">
        <v>29.6882514196</v>
      </c>
      <c r="AQ71" s="93" t="n"/>
      <c r="AR71" s="93" t="n"/>
      <c r="AS71" s="93" t="n"/>
      <c r="AT71" s="93" t="n"/>
      <c r="AU71" s="93" t="n"/>
      <c r="AV71" s="93" t="n"/>
      <c r="AW71" s="93" t="n"/>
      <c r="AX71" s="93" t="n">
        <v>6.202107433000001</v>
      </c>
      <c r="AY71" s="93" t="n">
        <v>18.294882184</v>
      </c>
      <c r="AZ71" s="93" t="n"/>
      <c r="BA71" s="93" t="n"/>
      <c r="BB71" s="93" t="n"/>
      <c r="BC71" s="93" t="n"/>
      <c r="BD71" s="93" t="n"/>
      <c r="BE71" s="467" t="n">
        <v>66.0804737718</v>
      </c>
    </row>
    <row r="72">
      <c r="A72" s="137" t="n"/>
      <c r="B72" s="136" t="n"/>
      <c r="D72" s="136" t="n"/>
      <c r="G72" s="43" t="n"/>
      <c r="H72" s="43" t="n"/>
      <c r="I72" s="43" t="n"/>
      <c r="J72" s="91" t="n">
        <v>38.1</v>
      </c>
      <c r="K72" s="15" t="n">
        <v>38.1</v>
      </c>
      <c r="L72" s="15" t="n">
        <v>0</v>
      </c>
      <c r="M72" s="15" t="n">
        <v>2.5</v>
      </c>
      <c r="N72" s="15" t="inlineStr">
        <is>
          <t>ERW 2 MAHS</t>
        </is>
      </c>
      <c r="O72" s="15" t="inlineStr">
        <is>
          <t>FC</t>
        </is>
      </c>
      <c r="P72" s="15" t="inlineStr">
        <is>
          <t>38.1-0-2.5-ERW 2 MAHS-FC</t>
        </is>
      </c>
      <c r="Q72" s="92" t="inlineStr">
        <is>
          <t>Hosur</t>
        </is>
      </c>
      <c r="R72" s="607">
        <f>Table11[[#This Row],[Grand Total]]</f>
        <v/>
      </c>
      <c r="S72" s="93">
        <f>VLOOKUP(Table11[[#This Row],[Bucket]],salesforecast[[#All],[Bucket2]:[WIP]],3,0)</f>
        <v/>
      </c>
      <c r="T72" s="93">
        <f>VLOOKUP(Table11[[#This Row],[Bucket]],salesforecast[[#All],[Bucket2]:[WIP]],4,0)</f>
        <v/>
      </c>
      <c r="U72" s="93">
        <f>VLOOKUP(Table11[[#This Row],[Bucket]],salesforecast[[#All],[Bucket2]:[WIP]],5,0)</f>
        <v/>
      </c>
      <c r="V72" s="93">
        <f>VLOOKUP(Table11[[#This Row],[Bucket]],salesforecast[[#All],[Bucket2]:[WIP]],7,0)</f>
        <v/>
      </c>
      <c r="W72" s="93">
        <f>Table11[[#This Row],[Stock LL]]+Table11[[#This Row],[WIP]]+Table11[[#This Row],[Stock CTL]]</f>
        <v/>
      </c>
      <c r="X72" s="93">
        <f>IF((Table11[[#This Row],[Requirement]]-Table11[[#This Row],[Sales]]-Table11[[#This Row],[Total Stock]])&lt;0,0,Table11[[#This Row],[Requirement]]-Table11[[#This Row],[Sales]]-Table11[[#This Row],[Total Stock]])</f>
        <v/>
      </c>
      <c r="Y72" s="94">
        <f>_xlfn.CONCAT(ROUND(Table11[[#This Row],[Total Stock]]/Table11[[#This Row],[Requirement]]*100,0),"% Coverage. Rest by Week 3")</f>
        <v/>
      </c>
      <c r="Z72" s="93" t="n">
        <v>38.1</v>
      </c>
      <c r="AA72" s="93" t="n">
        <v>38.1</v>
      </c>
      <c r="AB72" s="93" t="n">
        <v>0</v>
      </c>
      <c r="AC72" s="93" t="n">
        <v>2.5</v>
      </c>
      <c r="AD72" s="93" t="inlineStr">
        <is>
          <t>ERW 2 MAHS</t>
        </is>
      </c>
      <c r="AE72" s="93" t="inlineStr">
        <is>
          <t>FC</t>
        </is>
      </c>
      <c r="AF72" s="93" t="inlineStr">
        <is>
          <t>38.1-0-2.5-ERW 2 MAHS-FC</t>
        </is>
      </c>
      <c r="AG72" s="93">
        <f>EXACT(Table11[[#This Row],[Bucket8]],Table11[[#This Row],[Bucket]])</f>
        <v/>
      </c>
      <c r="AH72" s="93" t="n"/>
      <c r="AI72" s="93" t="n"/>
      <c r="AJ72" s="93" t="n"/>
      <c r="AK72" s="93" t="n"/>
      <c r="AL72" s="93" t="n"/>
      <c r="AM72" s="93" t="n">
        <v>7.704488632000001</v>
      </c>
      <c r="AN72" s="93" t="n"/>
      <c r="AO72" s="93" t="n"/>
      <c r="AP72" s="93" t="n"/>
      <c r="AQ72" s="93" t="n"/>
      <c r="AR72" s="93" t="n"/>
      <c r="AS72" s="93" t="n"/>
      <c r="AT72" s="93" t="n"/>
      <c r="AU72" s="93" t="n"/>
      <c r="AV72" s="93" t="n"/>
      <c r="AW72" s="93" t="n"/>
      <c r="AX72" s="93" t="n"/>
      <c r="AY72" s="93" t="n"/>
      <c r="AZ72" s="93" t="n"/>
      <c r="BA72" s="93" t="n"/>
      <c r="BB72" s="93" t="n"/>
      <c r="BC72" s="93" t="n"/>
      <c r="BD72" s="93" t="n"/>
      <c r="BE72" s="467" t="n">
        <v>7.704488632000001</v>
      </c>
    </row>
    <row r="73">
      <c r="A73" s="136" t="n"/>
      <c r="B73" s="136" t="n"/>
      <c r="D73" s="136" t="n"/>
      <c r="G73" s="43" t="n"/>
      <c r="H73" s="43" t="n"/>
      <c r="I73" s="43" t="n"/>
      <c r="J73" s="91" t="n">
        <v>38.1</v>
      </c>
      <c r="K73" s="15" t="n">
        <v>38.1</v>
      </c>
      <c r="L73" s="15" t="n">
        <v>0</v>
      </c>
      <c r="M73" s="15" t="n">
        <v>3.66</v>
      </c>
      <c r="N73" s="15" t="inlineStr">
        <is>
          <t>ERW 1</t>
        </is>
      </c>
      <c r="O73" s="15" t="inlineStr">
        <is>
          <t>FC</t>
        </is>
      </c>
      <c r="P73" s="15" t="inlineStr">
        <is>
          <t>38.1-0-3.66-ERW 1-FC</t>
        </is>
      </c>
      <c r="Q73" s="92" t="inlineStr">
        <is>
          <t>Hosur</t>
        </is>
      </c>
      <c r="R73" s="607">
        <f>Table11[[#This Row],[Grand Total]]</f>
        <v/>
      </c>
      <c r="S73" s="93">
        <f>VLOOKUP(Table11[[#This Row],[Bucket]],salesforecast[[#All],[Bucket2]:[WIP]],3,0)</f>
        <v/>
      </c>
      <c r="T73" s="93">
        <f>VLOOKUP(Table11[[#This Row],[Bucket]],salesforecast[[#All],[Bucket2]:[WIP]],4,0)</f>
        <v/>
      </c>
      <c r="U73" s="93">
        <f>VLOOKUP(Table11[[#This Row],[Bucket]],salesforecast[[#All],[Bucket2]:[WIP]],5,0)</f>
        <v/>
      </c>
      <c r="V73" s="93">
        <f>VLOOKUP(Table11[[#This Row],[Bucket]],salesforecast[[#All],[Bucket2]:[WIP]],7,0)</f>
        <v/>
      </c>
      <c r="W73" s="93">
        <f>Table11[[#This Row],[Stock LL]]+Table11[[#This Row],[WIP]]+Table11[[#This Row],[Stock CTL]]</f>
        <v/>
      </c>
      <c r="X73" s="93">
        <f>IF((Table11[[#This Row],[Requirement]]-Table11[[#This Row],[Sales]]-Table11[[#This Row],[Total Stock]])&lt;0,0,Table11[[#This Row],[Requirement]]-Table11[[#This Row],[Sales]]-Table11[[#This Row],[Total Stock]])</f>
        <v/>
      </c>
      <c r="Y73" s="94">
        <f>_xlfn.CONCAT(ROUND(Table11[[#This Row],[Total Stock]]/Table11[[#This Row],[Requirement]]*100,0),"% Coverage. Rest by Week 3")</f>
        <v/>
      </c>
      <c r="Z73" s="93" t="n">
        <v>38.1</v>
      </c>
      <c r="AA73" s="93" t="n">
        <v>38.1</v>
      </c>
      <c r="AB73" s="93" t="n">
        <v>0</v>
      </c>
      <c r="AC73" s="93" t="n">
        <v>3.66</v>
      </c>
      <c r="AD73" s="93" t="inlineStr">
        <is>
          <t>ERW 1</t>
        </is>
      </c>
      <c r="AE73" s="93" t="inlineStr">
        <is>
          <t>FC</t>
        </is>
      </c>
      <c r="AF73" s="93" t="inlineStr">
        <is>
          <t>38.1-0-3.66-ERW 1-FC</t>
        </is>
      </c>
      <c r="AG73" s="93">
        <f>EXACT(Table11[[#This Row],[Bucket8]],Table11[[#This Row],[Bucket]])</f>
        <v/>
      </c>
      <c r="AH73" s="93" t="n"/>
      <c r="AI73" s="93" t="n"/>
      <c r="AJ73" s="93" t="n"/>
      <c r="AK73" s="93" t="n"/>
      <c r="AL73" s="93" t="n">
        <v>8.743143895214398</v>
      </c>
      <c r="AM73" s="93" t="n"/>
      <c r="AN73" s="93" t="n"/>
      <c r="AO73" s="93" t="n"/>
      <c r="AP73" s="93" t="n"/>
      <c r="AQ73" s="93" t="n"/>
      <c r="AR73" s="93" t="n"/>
      <c r="AS73" s="93" t="n"/>
      <c r="AT73" s="93" t="n"/>
      <c r="AU73" s="93" t="n"/>
      <c r="AV73" s="93" t="n"/>
      <c r="AW73" s="93" t="n"/>
      <c r="AX73" s="93" t="n"/>
      <c r="AY73" s="93" t="n"/>
      <c r="AZ73" s="93" t="n"/>
      <c r="BA73" s="93" t="n"/>
      <c r="BB73" s="93" t="n"/>
      <c r="BC73" s="93" t="n"/>
      <c r="BD73" s="93" t="n"/>
      <c r="BE73" s="467" t="n">
        <v>8.743143895214398</v>
      </c>
    </row>
    <row r="74">
      <c r="A74" s="136" t="n"/>
      <c r="B74" s="136" t="n"/>
      <c r="D74" s="136" t="n"/>
      <c r="G74" s="43" t="n"/>
      <c r="H74" s="43" t="n"/>
      <c r="I74" s="43" t="n"/>
      <c r="J74" s="91" t="n">
        <v>38.1</v>
      </c>
      <c r="K74" s="15" t="n">
        <v>40</v>
      </c>
      <c r="L74" s="15" t="n">
        <v>20</v>
      </c>
      <c r="M74" s="15" t="n">
        <v>1.2</v>
      </c>
      <c r="N74" s="15" t="inlineStr">
        <is>
          <t>CRFH</t>
        </is>
      </c>
      <c r="O74" s="15" t="inlineStr">
        <is>
          <t>PE</t>
        </is>
      </c>
      <c r="P74" s="15" t="inlineStr">
        <is>
          <t>40-20-1.2-CRFH-PE</t>
        </is>
      </c>
      <c r="Q74" s="92" t="inlineStr">
        <is>
          <t>Hosur</t>
        </is>
      </c>
      <c r="R74" s="607">
        <f>Table11[[#This Row],[Grand Total]]</f>
        <v/>
      </c>
      <c r="S74" s="93">
        <f>VLOOKUP(Table11[[#This Row],[Bucket]],salesforecast[[#All],[Bucket2]:[WIP]],3,0)</f>
        <v/>
      </c>
      <c r="T74" s="93">
        <f>VLOOKUP(Table11[[#This Row],[Bucket]],salesforecast[[#All],[Bucket2]:[WIP]],4,0)</f>
        <v/>
      </c>
      <c r="U74" s="93">
        <f>VLOOKUP(Table11[[#This Row],[Bucket]],salesforecast[[#All],[Bucket2]:[WIP]],5,0)</f>
        <v/>
      </c>
      <c r="V74" s="93">
        <f>VLOOKUP(Table11[[#This Row],[Bucket]],salesforecast[[#All],[Bucket2]:[WIP]],7,0)</f>
        <v/>
      </c>
      <c r="W74" s="93">
        <f>Table11[[#This Row],[Stock LL]]+Table11[[#This Row],[WIP]]+Table11[[#This Row],[Stock CTL]]</f>
        <v/>
      </c>
      <c r="X74" s="93">
        <f>IF((Table11[[#This Row],[Requirement]]-Table11[[#This Row],[Sales]]-Table11[[#This Row],[Total Stock]])&lt;0,0,Table11[[#This Row],[Requirement]]-Table11[[#This Row],[Sales]]-Table11[[#This Row],[Total Stock]])</f>
        <v/>
      </c>
      <c r="Y74" s="96" t="n"/>
      <c r="Z74" s="93" t="n">
        <v>38.1</v>
      </c>
      <c r="AA74" s="93" t="n">
        <v>40</v>
      </c>
      <c r="AB74" s="93" t="n">
        <v>20</v>
      </c>
      <c r="AC74" s="93" t="n">
        <v>1.2</v>
      </c>
      <c r="AD74" s="93" t="inlineStr">
        <is>
          <t>CRFH</t>
        </is>
      </c>
      <c r="AE74" s="93" t="inlineStr">
        <is>
          <t>PE</t>
        </is>
      </c>
      <c r="AF74" s="93" t="inlineStr">
        <is>
          <t>40-20-1.2-CRFH-PE</t>
        </is>
      </c>
      <c r="AG74" s="93">
        <f>EXACT(Table11[[#This Row],[Bucket8]],Table11[[#This Row],[Bucket]])</f>
        <v/>
      </c>
      <c r="AH74" s="93" t="n"/>
      <c r="AI74" s="93" t="n"/>
      <c r="AJ74" s="93" t="n"/>
      <c r="AK74" s="93" t="n"/>
      <c r="AL74" s="93" t="n">
        <v>95.84417676635998</v>
      </c>
      <c r="AM74" s="93" t="n"/>
      <c r="AN74" s="93" t="n"/>
      <c r="AO74" s="93" t="n"/>
      <c r="AP74" s="93" t="n"/>
      <c r="AQ74" s="93" t="n"/>
      <c r="AR74" s="93" t="n"/>
      <c r="AS74" s="93" t="n"/>
      <c r="AT74" s="93" t="n"/>
      <c r="AU74" s="93" t="n"/>
      <c r="AV74" s="93" t="n"/>
      <c r="AW74" s="93" t="n"/>
      <c r="AX74" s="93" t="n"/>
      <c r="AY74" s="93" t="n"/>
      <c r="AZ74" s="93" t="n"/>
      <c r="BA74" s="93" t="n"/>
      <c r="BB74" s="93" t="n">
        <v>73.23572155428</v>
      </c>
      <c r="BC74" s="93" t="n">
        <v>110.07787689288</v>
      </c>
      <c r="BD74" s="93" t="n"/>
      <c r="BE74" s="467" t="n">
        <v>279.15777521352</v>
      </c>
    </row>
    <row r="75">
      <c r="A75" s="136" t="n"/>
      <c r="B75" s="136" t="n"/>
      <c r="D75" s="136" t="n"/>
      <c r="G75" s="43" t="n"/>
      <c r="H75" s="43" t="n"/>
      <c r="I75" s="43" t="n"/>
      <c r="J75" s="91" t="n">
        <v>38.1</v>
      </c>
      <c r="K75" s="15" t="n">
        <v>40</v>
      </c>
      <c r="L75" s="15" t="n">
        <v>20</v>
      </c>
      <c r="M75" s="15" t="n">
        <v>1.6</v>
      </c>
      <c r="N75" s="15" t="inlineStr">
        <is>
          <t>ERW 1</t>
        </is>
      </c>
      <c r="O75" s="15" t="inlineStr">
        <is>
          <t>FC</t>
        </is>
      </c>
      <c r="P75" s="15" t="inlineStr">
        <is>
          <t>40-20-1.6-ERW 1-FC</t>
        </is>
      </c>
      <c r="Q75" s="92" t="inlineStr">
        <is>
          <t>Hosur</t>
        </is>
      </c>
      <c r="R75" s="607">
        <f>Table11[[#This Row],[Grand Total]]</f>
        <v/>
      </c>
      <c r="S75" s="93">
        <f>VLOOKUP(Table11[[#This Row],[Bucket]],salesforecast[[#All],[Bucket2]:[WIP]],3,0)</f>
        <v/>
      </c>
      <c r="T75" s="93">
        <f>VLOOKUP(Table11[[#This Row],[Bucket]],salesforecast[[#All],[Bucket2]:[WIP]],4,0)</f>
        <v/>
      </c>
      <c r="U75" s="93">
        <f>VLOOKUP(Table11[[#This Row],[Bucket]],salesforecast[[#All],[Bucket2]:[WIP]],5,0)</f>
        <v/>
      </c>
      <c r="V75" s="93">
        <f>VLOOKUP(Table11[[#This Row],[Bucket]],salesforecast[[#All],[Bucket2]:[WIP]],7,0)</f>
        <v/>
      </c>
      <c r="W75" s="93">
        <f>Table11[[#This Row],[Stock LL]]+Table11[[#This Row],[WIP]]+Table11[[#This Row],[Stock CTL]]</f>
        <v/>
      </c>
      <c r="X75" s="93">
        <f>IF((Table11[[#This Row],[Requirement]]-Table11[[#This Row],[Sales]]-Table11[[#This Row],[Total Stock]])&lt;0,0,Table11[[#This Row],[Requirement]]-Table11[[#This Row],[Sales]]-Table11[[#This Row],[Total Stock]])</f>
        <v/>
      </c>
      <c r="Y75" s="94">
        <f>_xlfn.CONCAT(ROUND(Table11[[#This Row],[Total Stock]]/Table11[[#This Row],[Requirement]]*100,0),"% Coverage. Rest by Week 3")</f>
        <v/>
      </c>
      <c r="Z75" s="93" t="n">
        <v>38.1</v>
      </c>
      <c r="AA75" s="93" t="n">
        <v>40</v>
      </c>
      <c r="AB75" s="93" t="n">
        <v>20</v>
      </c>
      <c r="AC75" s="93" t="n">
        <v>1.6</v>
      </c>
      <c r="AD75" s="93" t="inlineStr">
        <is>
          <t>ERW 1</t>
        </is>
      </c>
      <c r="AE75" s="93" t="inlineStr">
        <is>
          <t>FC</t>
        </is>
      </c>
      <c r="AF75" s="93" t="inlineStr">
        <is>
          <t>40-20-1.6-ERW 1-FC</t>
        </is>
      </c>
      <c r="AG75" s="93">
        <f>EXACT(Table11[[#This Row],[Bucket8]],Table11[[#This Row],[Bucket]])</f>
        <v/>
      </c>
      <c r="AH75" s="93" t="n"/>
      <c r="AI75" s="93" t="n">
        <v>10.36441152</v>
      </c>
      <c r="AJ75" s="93" t="n"/>
      <c r="AK75" s="93" t="n"/>
      <c r="AL75" s="93" t="n"/>
      <c r="AM75" s="93" t="n"/>
      <c r="AN75" s="93" t="n"/>
      <c r="AO75" s="93" t="n"/>
      <c r="AP75" s="93" t="n"/>
      <c r="AQ75" s="93" t="n"/>
      <c r="AR75" s="93" t="n"/>
      <c r="AS75" s="93" t="n"/>
      <c r="AT75" s="93" t="n"/>
      <c r="AU75" s="93" t="n"/>
      <c r="AV75" s="93" t="n"/>
      <c r="AW75" s="93" t="n"/>
      <c r="AX75" s="93" t="n"/>
      <c r="AY75" s="93" t="n"/>
      <c r="AZ75" s="93" t="n"/>
      <c r="BA75" s="93" t="n"/>
      <c r="BB75" s="93" t="n"/>
      <c r="BC75" s="93" t="n"/>
      <c r="BD75" s="93" t="n"/>
      <c r="BE75" s="467" t="n">
        <v>10.36441152</v>
      </c>
    </row>
    <row r="76">
      <c r="A76" s="136" t="n"/>
      <c r="B76" s="136" t="n"/>
      <c r="D76" s="136" t="n"/>
      <c r="G76" s="43" t="n"/>
      <c r="H76" s="43" t="n"/>
      <c r="I76" s="43" t="n"/>
      <c r="J76" s="91" t="n">
        <v>39</v>
      </c>
      <c r="K76" s="15" t="n">
        <v>39</v>
      </c>
      <c r="L76" s="15" t="n">
        <v>34</v>
      </c>
      <c r="M76" s="15" t="n">
        <v>2.5</v>
      </c>
      <c r="N76" s="15" t="inlineStr">
        <is>
          <t>CEW</t>
        </is>
      </c>
      <c r="O76" s="15" t="inlineStr">
        <is>
          <t>CEW</t>
        </is>
      </c>
      <c r="P76" s="15" t="inlineStr">
        <is>
          <t>39-34-2.5-CEW-CEW</t>
        </is>
      </c>
      <c r="Q76" s="92" t="inlineStr">
        <is>
          <t>Khopoli</t>
        </is>
      </c>
      <c r="R76" s="607">
        <f>Table11[[#This Row],[Grand Total]]</f>
        <v/>
      </c>
      <c r="S76" s="93">
        <f>VLOOKUP(Table11[[#This Row],[Bucket]],salesforecast[[#All],[Bucket2]:[WIP]],3,0)</f>
        <v/>
      </c>
      <c r="T76" s="93">
        <f>VLOOKUP(Table11[[#This Row],[Bucket]],salesforecast[[#All],[Bucket2]:[WIP]],4,0)</f>
        <v/>
      </c>
      <c r="U76" s="93">
        <f>VLOOKUP(Table11[[#This Row],[Bucket]],salesforecast[[#All],[Bucket2]:[WIP]],5,0)</f>
        <v/>
      </c>
      <c r="V76" s="93">
        <f>VLOOKUP(Table11[[#This Row],[Bucket]],salesforecast[[#All],[Bucket2]:[WIP]],7,0)</f>
        <v/>
      </c>
      <c r="W76" s="93">
        <f>Table11[[#This Row],[Stock LL]]+Table11[[#This Row],[WIP]]+Table11[[#This Row],[Stock CTL]]</f>
        <v/>
      </c>
      <c r="X76" s="93">
        <f>IF((Table11[[#This Row],[Requirement]]-Table11[[#This Row],[Sales]]-Table11[[#This Row],[Total Stock]])&lt;0,0,Table11[[#This Row],[Requirement]]-Table11[[#This Row],[Sales]]-Table11[[#This Row],[Total Stock]])</f>
        <v/>
      </c>
      <c r="Y76" s="96" t="n"/>
      <c r="Z76" s="93" t="n">
        <v>39</v>
      </c>
      <c r="AA76" s="93" t="n">
        <v>39</v>
      </c>
      <c r="AB76" s="93" t="n">
        <v>34</v>
      </c>
      <c r="AC76" s="93" t="n">
        <v>2.5</v>
      </c>
      <c r="AD76" s="93" t="inlineStr">
        <is>
          <t>CEW</t>
        </is>
      </c>
      <c r="AE76" s="93" t="inlineStr">
        <is>
          <t>CEW</t>
        </is>
      </c>
      <c r="AF76" s="93" t="inlineStr">
        <is>
          <t>39-34-2.5-CEW-CEW</t>
        </is>
      </c>
      <c r="AG76" s="93">
        <f>EXACT(Table11[[#This Row],[Bucket8]],Table11[[#This Row],[Bucket]])</f>
        <v/>
      </c>
      <c r="AH76" s="93" t="n"/>
      <c r="AI76" s="93" t="n"/>
      <c r="AJ76" s="93" t="n"/>
      <c r="AK76" s="93" t="n"/>
      <c r="AL76" s="93" t="n">
        <v>13.45933996</v>
      </c>
      <c r="AM76" s="93" t="n"/>
      <c r="AN76" s="93" t="n"/>
      <c r="AO76" s="93" t="n"/>
      <c r="AP76" s="93" t="n"/>
      <c r="AQ76" s="93" t="n"/>
      <c r="AR76" s="93" t="n">
        <v>6.117881799999999</v>
      </c>
      <c r="AS76" s="93" t="n"/>
      <c r="AT76" s="93" t="n"/>
      <c r="AU76" s="93" t="n"/>
      <c r="AV76" s="93" t="n"/>
      <c r="AW76" s="93" t="n"/>
      <c r="AX76" s="93" t="n"/>
      <c r="AY76" s="93" t="n"/>
      <c r="AZ76" s="93" t="n"/>
      <c r="BA76" s="93" t="n"/>
      <c r="BB76" s="93" t="n"/>
      <c r="BC76" s="93" t="n"/>
      <c r="BD76" s="93" t="n"/>
      <c r="BE76" s="467" t="n">
        <v>19.57722176</v>
      </c>
    </row>
    <row r="77">
      <c r="A77" s="136" t="n"/>
      <c r="B77" s="136" t="n"/>
      <c r="D77" s="136" t="n"/>
      <c r="G77" s="43" t="n"/>
      <c r="H77" s="43" t="n"/>
      <c r="I77" s="43" t="n"/>
      <c r="J77" s="93" t="n">
        <v>41.28</v>
      </c>
      <c r="K77" s="93" t="n">
        <v>40</v>
      </c>
      <c r="L77" s="93" t="n">
        <v>25</v>
      </c>
      <c r="M77" s="93" t="n">
        <v>1.6</v>
      </c>
      <c r="N77" s="93" t="inlineStr">
        <is>
          <t>ERW 1</t>
        </is>
      </c>
      <c r="O77" s="93" t="inlineStr">
        <is>
          <t>FC</t>
        </is>
      </c>
      <c r="P77" s="15" t="inlineStr">
        <is>
          <t>40-25-1.6-ERW 1-FC</t>
        </is>
      </c>
      <c r="Q77" s="92" t="inlineStr">
        <is>
          <t>Hosur</t>
        </is>
      </c>
      <c r="R77" s="607">
        <f>Table11[[#This Row],[Grand Total]]</f>
        <v/>
      </c>
      <c r="S77" s="93">
        <f>VLOOKUP(Table11[[#This Row],[Bucket]],salesforecast[[#All],[Bucket2]:[WIP]],3,0)</f>
        <v/>
      </c>
      <c r="T77" s="93">
        <f>VLOOKUP(Table11[[#This Row],[Bucket]],salesforecast[[#All],[Bucket2]:[WIP]],4,0)</f>
        <v/>
      </c>
      <c r="U77" s="93">
        <f>VLOOKUP(Table11[[#This Row],[Bucket]],salesforecast[[#All],[Bucket2]:[WIP]],5,0)</f>
        <v/>
      </c>
      <c r="V77" s="93">
        <f>VLOOKUP(Table11[[#This Row],[Bucket]],salesforecast[[#All],[Bucket2]:[WIP]],7,0)</f>
        <v/>
      </c>
      <c r="W77" s="93">
        <f>Table11[[#This Row],[Stock LL]]+Table11[[#This Row],[WIP]]+Table11[[#This Row],[Stock CTL]]</f>
        <v/>
      </c>
      <c r="X77" s="93">
        <f>IF((Table11[[#This Row],[Requirement]]-Table11[[#This Row],[Sales]]-Table11[[#This Row],[Total Stock]])&lt;0,0,Table11[[#This Row],[Requirement]]-Table11[[#This Row],[Sales]]-Table11[[#This Row],[Total Stock]])</f>
        <v/>
      </c>
      <c r="Y77" s="96" t="n"/>
      <c r="Z77" s="93" t="n">
        <v>41.28</v>
      </c>
      <c r="AA77" s="93" t="n">
        <v>40</v>
      </c>
      <c r="AB77" s="93" t="n">
        <v>25</v>
      </c>
      <c r="AC77" s="93" t="n">
        <v>1.6</v>
      </c>
      <c r="AD77" s="93" t="inlineStr">
        <is>
          <t>ERW 1</t>
        </is>
      </c>
      <c r="AE77" s="93" t="inlineStr">
        <is>
          <t>FC</t>
        </is>
      </c>
      <c r="AF77" s="93" t="inlineStr">
        <is>
          <t>40-25-1.6-ERW 1-FC</t>
        </is>
      </c>
      <c r="AG77" s="93">
        <f>EXACT(Table11[[#This Row],[Bucket8]],Table11[[#This Row],[Bucket]])</f>
        <v/>
      </c>
      <c r="AH77" s="93" t="n"/>
      <c r="AI77" s="93" t="n">
        <v>70.84373428224001</v>
      </c>
      <c r="AJ77" s="93" t="n"/>
      <c r="AK77" s="93" t="n"/>
      <c r="AL77" s="93" t="n">
        <v>12.05767556096</v>
      </c>
      <c r="AM77" s="93" t="n">
        <v>4.031222874112</v>
      </c>
      <c r="AN77" s="93" t="n"/>
      <c r="AO77" s="93" t="n"/>
      <c r="AP77" s="93" t="n"/>
      <c r="AQ77" s="93" t="n"/>
      <c r="AR77" s="93" t="n"/>
      <c r="AS77" s="93" t="n"/>
      <c r="AT77" s="93" t="n"/>
      <c r="AU77" s="93" t="n"/>
      <c r="AV77" s="93" t="n"/>
      <c r="AW77" s="93" t="n"/>
      <c r="AX77" s="93" t="n"/>
      <c r="AY77" s="93" t="n">
        <v>24.80391403520001</v>
      </c>
      <c r="AZ77" s="93" t="n"/>
      <c r="BA77" s="93" t="n"/>
      <c r="BB77" s="93" t="n"/>
      <c r="BC77" s="93" t="n"/>
      <c r="BD77" s="93" t="n"/>
      <c r="BE77" s="467" t="n">
        <v>111.736546752512</v>
      </c>
    </row>
    <row r="78">
      <c r="A78" s="136" t="n"/>
      <c r="B78" s="136" t="n"/>
      <c r="D78" s="136" t="n"/>
      <c r="H78" s="43" t="n"/>
      <c r="I78" s="43" t="n"/>
      <c r="J78" s="91" t="n">
        <v>41.28</v>
      </c>
      <c r="K78" s="15" t="n">
        <v>40</v>
      </c>
      <c r="L78" s="15" t="n">
        <v>25</v>
      </c>
      <c r="M78" s="15" t="n">
        <v>1.6</v>
      </c>
      <c r="N78" s="15" t="inlineStr">
        <is>
          <t>ERW 2</t>
        </is>
      </c>
      <c r="O78" s="15" t="inlineStr">
        <is>
          <t>FC</t>
        </is>
      </c>
      <c r="P78" s="15" t="inlineStr">
        <is>
          <t>40-25-1.6-ERW 2-FC</t>
        </is>
      </c>
      <c r="Q78" s="92" t="inlineStr">
        <is>
          <t>Hosur</t>
        </is>
      </c>
      <c r="R78" s="607">
        <f>Table11[[#This Row],[Grand Total]]</f>
        <v/>
      </c>
      <c r="S78" s="93">
        <f>VLOOKUP(Table11[[#This Row],[Bucket]],salesforecast[[#All],[Bucket2]:[WIP]],3,0)</f>
        <v/>
      </c>
      <c r="T78" s="93">
        <f>VLOOKUP(Table11[[#This Row],[Bucket]],salesforecast[[#All],[Bucket2]:[WIP]],4,0)</f>
        <v/>
      </c>
      <c r="U78" s="93">
        <f>VLOOKUP(Table11[[#This Row],[Bucket]],salesforecast[[#All],[Bucket2]:[WIP]],5,0)</f>
        <v/>
      </c>
      <c r="V78" s="93">
        <f>VLOOKUP(Table11[[#This Row],[Bucket]],salesforecast[[#All],[Bucket2]:[WIP]],7,0)</f>
        <v/>
      </c>
      <c r="W78" s="93">
        <f>Table11[[#This Row],[Stock LL]]+Table11[[#This Row],[WIP]]+Table11[[#This Row],[Stock CTL]]</f>
        <v/>
      </c>
      <c r="X78" s="93">
        <f>IF((Table11[[#This Row],[Requirement]]-Table11[[#This Row],[Sales]]-Table11[[#This Row],[Total Stock]])&lt;0,0,Table11[[#This Row],[Requirement]]-Table11[[#This Row],[Sales]]-Table11[[#This Row],[Total Stock]])</f>
        <v/>
      </c>
      <c r="Y78" s="94">
        <f>_xlfn.CONCAT(ROUND(Table11[[#This Row],[Total Stock]]/Table11[[#This Row],[Requirement]]*100,0),"% Coverage. Rest by Week 3")</f>
        <v/>
      </c>
      <c r="Z78" s="93" t="n">
        <v>41.28</v>
      </c>
      <c r="AA78" s="93" t="n">
        <v>40</v>
      </c>
      <c r="AB78" s="93" t="n">
        <v>25</v>
      </c>
      <c r="AC78" s="93" t="n">
        <v>1.6</v>
      </c>
      <c r="AD78" s="93" t="inlineStr">
        <is>
          <t>ERW 2</t>
        </is>
      </c>
      <c r="AE78" s="93" t="inlineStr">
        <is>
          <t>FC</t>
        </is>
      </c>
      <c r="AF78" s="93" t="inlineStr">
        <is>
          <t>40-25-1.6-ERW 2-FC</t>
        </is>
      </c>
      <c r="AG78" s="93">
        <f>EXACT(Table11[[#This Row],[Bucket8]],Table11[[#This Row],[Bucket]])</f>
        <v/>
      </c>
      <c r="AH78" s="93" t="n"/>
      <c r="AI78" s="93" t="n"/>
      <c r="AJ78" s="93" t="n"/>
      <c r="AK78" s="93" t="n"/>
      <c r="AL78" s="93" t="n"/>
      <c r="AM78" s="93" t="n"/>
      <c r="AN78" s="93" t="n"/>
      <c r="AO78" s="93" t="n"/>
      <c r="AP78" s="93" t="n"/>
      <c r="AQ78" s="93" t="n"/>
      <c r="AR78" s="93" t="n"/>
      <c r="AS78" s="93" t="n"/>
      <c r="AT78" s="93" t="n"/>
      <c r="AU78" s="93" t="n"/>
      <c r="AV78" s="93" t="n"/>
      <c r="AW78" s="93" t="n"/>
      <c r="AX78" s="93" t="n">
        <v>13.16876571648</v>
      </c>
      <c r="AY78" s="93" t="n"/>
      <c r="AZ78" s="93" t="n"/>
      <c r="BA78" s="93" t="n"/>
      <c r="BB78" s="93" t="n"/>
      <c r="BC78" s="93" t="n"/>
      <c r="BD78" s="93" t="n"/>
      <c r="BE78" s="467" t="n">
        <v>13.16876571648</v>
      </c>
    </row>
    <row r="79">
      <c r="A79" s="136" t="n"/>
      <c r="B79" s="136" t="n"/>
      <c r="D79" s="136" t="n"/>
      <c r="H79" s="43" t="n"/>
      <c r="I79" s="43" t="n"/>
      <c r="J79" s="91" t="n">
        <v>41.28</v>
      </c>
      <c r="K79" s="15" t="n">
        <v>41.28</v>
      </c>
      <c r="L79" s="15" t="n">
        <v>0</v>
      </c>
      <c r="M79" s="15" t="n">
        <v>2.6</v>
      </c>
      <c r="N79" s="15" t="inlineStr">
        <is>
          <t>ERW 1</t>
        </is>
      </c>
      <c r="O79" s="15" t="inlineStr">
        <is>
          <t>FC</t>
        </is>
      </c>
      <c r="P79" s="15" t="inlineStr">
        <is>
          <t>41.28-0-2.6-ERW 1-FC</t>
        </is>
      </c>
      <c r="Q79" s="92" t="inlineStr">
        <is>
          <t>Hosur</t>
        </is>
      </c>
      <c r="R79" s="607">
        <f>Table11[[#This Row],[Grand Total]]</f>
        <v/>
      </c>
      <c r="S79" s="93">
        <f>VLOOKUP(Table11[[#This Row],[Bucket]],salesforecast[[#All],[Bucket2]:[WIP]],3,0)</f>
        <v/>
      </c>
      <c r="T79" s="93">
        <f>VLOOKUP(Table11[[#This Row],[Bucket]],salesforecast[[#All],[Bucket2]:[WIP]],4,0)</f>
        <v/>
      </c>
      <c r="U79" s="93">
        <f>VLOOKUP(Table11[[#This Row],[Bucket]],salesforecast[[#All],[Bucket2]:[WIP]],5,0)</f>
        <v/>
      </c>
      <c r="V79" s="93">
        <f>VLOOKUP(Table11[[#This Row],[Bucket]],salesforecast[[#All],[Bucket2]:[WIP]],7,0)</f>
        <v/>
      </c>
      <c r="W79" s="93">
        <f>Table11[[#This Row],[Stock LL]]+Table11[[#This Row],[WIP]]+Table11[[#This Row],[Stock CTL]]</f>
        <v/>
      </c>
      <c r="X79" s="93">
        <f>IF((Table11[[#This Row],[Requirement]]-Table11[[#This Row],[Sales]]-Table11[[#This Row],[Total Stock]])&lt;0,0,Table11[[#This Row],[Requirement]]-Table11[[#This Row],[Sales]]-Table11[[#This Row],[Total Stock]])</f>
        <v/>
      </c>
      <c r="Y79" s="94">
        <f>_xlfn.CONCAT(ROUND(Table11[[#This Row],[Total Stock]]/Table11[[#This Row],[Requirement]]*100,0),"% Coverage. Rest by Week 3")</f>
        <v/>
      </c>
      <c r="Z79" s="93" t="n">
        <v>41.28</v>
      </c>
      <c r="AA79" s="93" t="n">
        <v>41.28</v>
      </c>
      <c r="AB79" s="93" t="n">
        <v>0</v>
      </c>
      <c r="AC79" s="93" t="n">
        <v>2.6</v>
      </c>
      <c r="AD79" s="93" t="inlineStr">
        <is>
          <t>ERW 1</t>
        </is>
      </c>
      <c r="AE79" s="93" t="inlineStr">
        <is>
          <t>FC</t>
        </is>
      </c>
      <c r="AF79" s="93" t="inlineStr">
        <is>
          <t>41.28-0-2.6-ERW 1-FC</t>
        </is>
      </c>
      <c r="AG79" s="93">
        <f>EXACT(Table11[[#This Row],[Bucket8]],Table11[[#This Row],[Bucket]])</f>
        <v/>
      </c>
      <c r="AH79" s="93" t="n"/>
      <c r="AI79" s="93" t="n"/>
      <c r="AJ79" s="93" t="n"/>
      <c r="AK79" s="93" t="n"/>
      <c r="AL79" s="93" t="n"/>
      <c r="AM79" s="93" t="n"/>
      <c r="AN79" s="93" t="n"/>
      <c r="AO79" s="93" t="n"/>
      <c r="AP79" s="93" t="n"/>
      <c r="AQ79" s="93" t="n"/>
      <c r="AR79" s="93" t="n"/>
      <c r="AS79" s="93" t="n"/>
      <c r="AT79" s="93" t="n"/>
      <c r="AU79" s="93" t="n"/>
      <c r="AV79" s="93" t="n"/>
      <c r="AW79" s="93" t="n"/>
      <c r="AX79" s="93" t="n">
        <v>33.9406116732176</v>
      </c>
      <c r="AY79" s="93" t="n"/>
      <c r="AZ79" s="93" t="n"/>
      <c r="BA79" s="93" t="n"/>
      <c r="BB79" s="93" t="n"/>
      <c r="BC79" s="93" t="n"/>
      <c r="BD79" s="93" t="n"/>
      <c r="BE79" s="467" t="n">
        <v>33.9406116732176</v>
      </c>
    </row>
    <row r="80">
      <c r="A80" s="137" t="n"/>
      <c r="B80" s="136" t="n"/>
      <c r="D80" s="136" t="n"/>
      <c r="H80" s="43" t="n"/>
      <c r="I80" s="43" t="n"/>
      <c r="J80" s="91" t="n">
        <v>41.28</v>
      </c>
      <c r="K80" s="15" t="n">
        <v>41.28</v>
      </c>
      <c r="L80" s="15" t="n">
        <v>0</v>
      </c>
      <c r="M80" s="15" t="n">
        <v>3.2</v>
      </c>
      <c r="N80" s="15" t="inlineStr">
        <is>
          <t>ERW 1</t>
        </is>
      </c>
      <c r="O80" s="15" t="inlineStr">
        <is>
          <t>FC</t>
        </is>
      </c>
      <c r="P80" s="15" t="inlineStr">
        <is>
          <t>41.28-0-3.2-ERW 1-FC</t>
        </is>
      </c>
      <c r="Q80" s="92" t="inlineStr">
        <is>
          <t>Hosur</t>
        </is>
      </c>
      <c r="R80" s="607">
        <f>Table11[[#This Row],[Grand Total]]</f>
        <v/>
      </c>
      <c r="S80" s="93">
        <f>VLOOKUP(Table11[[#This Row],[Bucket]],salesforecast[[#All],[Bucket2]:[WIP]],3,0)</f>
        <v/>
      </c>
      <c r="T80" s="93">
        <f>VLOOKUP(Table11[[#This Row],[Bucket]],salesforecast[[#All],[Bucket2]:[WIP]],4,0)</f>
        <v/>
      </c>
      <c r="U80" s="93">
        <f>VLOOKUP(Table11[[#This Row],[Bucket]],salesforecast[[#All],[Bucket2]:[WIP]],5,0)</f>
        <v/>
      </c>
      <c r="V80" s="93">
        <f>VLOOKUP(Table11[[#This Row],[Bucket]],salesforecast[[#All],[Bucket2]:[WIP]],7,0)</f>
        <v/>
      </c>
      <c r="W80" s="93">
        <f>Table11[[#This Row],[Stock LL]]+Table11[[#This Row],[WIP]]+Table11[[#This Row],[Stock CTL]]</f>
        <v/>
      </c>
      <c r="X80" s="93">
        <f>IF((Table11[[#This Row],[Requirement]]-Table11[[#This Row],[Sales]]-Table11[[#This Row],[Total Stock]])&lt;0,0,Table11[[#This Row],[Requirement]]-Table11[[#This Row],[Sales]]-Table11[[#This Row],[Total Stock]])</f>
        <v/>
      </c>
      <c r="Y80" s="96" t="n"/>
      <c r="Z80" s="93" t="n">
        <v>41.28</v>
      </c>
      <c r="AA80" s="93" t="n">
        <v>41.28</v>
      </c>
      <c r="AB80" s="93" t="n">
        <v>0</v>
      </c>
      <c r="AC80" s="93" t="n">
        <v>3.2</v>
      </c>
      <c r="AD80" s="93" t="inlineStr">
        <is>
          <t>ERW 1</t>
        </is>
      </c>
      <c r="AE80" s="93" t="inlineStr">
        <is>
          <t>FC</t>
        </is>
      </c>
      <c r="AF80" s="93" t="inlineStr">
        <is>
          <t>41.28-0-3.2-ERW 1-FC</t>
        </is>
      </c>
      <c r="AG80" s="93">
        <f>EXACT(Table11[[#This Row],[Bucket8]],Table11[[#This Row],[Bucket]])</f>
        <v/>
      </c>
      <c r="AH80" s="93" t="n"/>
      <c r="AI80" s="93" t="n"/>
      <c r="AJ80" s="93" t="n"/>
      <c r="AK80" s="93" t="n"/>
      <c r="AL80" s="93" t="n"/>
      <c r="AM80" s="93" t="n">
        <v>4.433355730944001</v>
      </c>
      <c r="AN80" s="93" t="n"/>
      <c r="AO80" s="93" t="n"/>
      <c r="AP80" s="93" t="n"/>
      <c r="AQ80" s="93" t="n"/>
      <c r="AR80" s="93" t="n"/>
      <c r="AS80" s="93" t="n"/>
      <c r="AT80" s="93" t="n"/>
      <c r="AU80" s="93" t="n"/>
      <c r="AV80" s="93" t="n">
        <v>10.3625184768</v>
      </c>
      <c r="AW80" s="93" t="n"/>
      <c r="AX80" s="93" t="n"/>
      <c r="AY80" s="93" t="n"/>
      <c r="AZ80" s="93" t="n"/>
      <c r="BA80" s="93" t="n"/>
      <c r="BB80" s="93" t="n"/>
      <c r="BC80" s="93" t="n"/>
      <c r="BD80" s="93" t="n"/>
      <c r="BE80" s="467" t="n">
        <v>14.795874207744</v>
      </c>
    </row>
    <row r="81">
      <c r="A81" s="136" t="n"/>
      <c r="B81" s="136" t="n"/>
      <c r="D81" s="136" t="n"/>
      <c r="G81" s="43" t="n"/>
      <c r="H81" s="43" t="n"/>
      <c r="I81" s="43" t="n"/>
      <c r="J81" s="91" t="n">
        <v>42.7</v>
      </c>
      <c r="K81" s="15" t="n">
        <v>42.7</v>
      </c>
      <c r="L81" s="15" t="n">
        <v>0</v>
      </c>
      <c r="M81" s="15" t="n">
        <v>3.5</v>
      </c>
      <c r="N81" s="15" t="inlineStr">
        <is>
          <t>ERW 1</t>
        </is>
      </c>
      <c r="O81" s="15" t="inlineStr">
        <is>
          <t>FC</t>
        </is>
      </c>
      <c r="P81" s="15" t="inlineStr">
        <is>
          <t>42.7-0-3.5-ERW 1-FC</t>
        </is>
      </c>
      <c r="Q81" s="92" t="inlineStr">
        <is>
          <t>Khopoli</t>
        </is>
      </c>
      <c r="R81" s="607">
        <f>Table11[[#This Row],[Grand Total]]</f>
        <v/>
      </c>
      <c r="S81" s="93">
        <f>VLOOKUP(Table11[[#This Row],[Bucket]],salesforecast[[#All],[Bucket2]:[WIP]],3,0)</f>
        <v/>
      </c>
      <c r="T81" s="93">
        <f>VLOOKUP(Table11[[#This Row],[Bucket]],salesforecast[[#All],[Bucket2]:[WIP]],4,0)</f>
        <v/>
      </c>
      <c r="U81" s="93">
        <f>VLOOKUP(Table11[[#This Row],[Bucket]],salesforecast[[#All],[Bucket2]:[WIP]],5,0)</f>
        <v/>
      </c>
      <c r="V81" s="93">
        <f>VLOOKUP(Table11[[#This Row],[Bucket]],salesforecast[[#All],[Bucket2]:[WIP]],7,0)</f>
        <v/>
      </c>
      <c r="W81" s="93">
        <f>Table11[[#This Row],[Stock LL]]+Table11[[#This Row],[WIP]]+Table11[[#This Row],[Stock CTL]]</f>
        <v/>
      </c>
      <c r="X81" s="93">
        <f>IF((Table11[[#This Row],[Requirement]]-Table11[[#This Row],[Sales]]-Table11[[#This Row],[Total Stock]])&lt;0,0,Table11[[#This Row],[Requirement]]-Table11[[#This Row],[Sales]]-Table11[[#This Row],[Total Stock]])</f>
        <v/>
      </c>
      <c r="Y81" s="94">
        <f>_xlfn.CONCAT(ROUND(Table11[[#This Row],[Total Stock]]/Table11[[#This Row],[Requirement]]*100,0),"% Coverage. Rest by Week 3")</f>
        <v/>
      </c>
      <c r="Z81" s="93" t="n">
        <v>42.7</v>
      </c>
      <c r="AA81" s="93" t="n">
        <v>42.7</v>
      </c>
      <c r="AB81" s="93" t="n">
        <v>0</v>
      </c>
      <c r="AC81" s="93" t="n">
        <v>3.5</v>
      </c>
      <c r="AD81" s="93" t="inlineStr">
        <is>
          <t>ERW 1</t>
        </is>
      </c>
      <c r="AE81" s="93" t="inlineStr">
        <is>
          <t>FC</t>
        </is>
      </c>
      <c r="AF81" s="93" t="inlineStr">
        <is>
          <t>42.7-0-3.5-ERW 1-FC</t>
        </is>
      </c>
      <c r="AG81" s="93">
        <f>EXACT(Table11[[#This Row],[Bucket8]],Table11[[#This Row],[Bucket]])</f>
        <v/>
      </c>
      <c r="AH81" s="93" t="n"/>
      <c r="AI81" s="93" t="n"/>
      <c r="AJ81" s="93" t="n"/>
      <c r="AK81" s="93" t="n"/>
      <c r="AL81" s="93" t="n"/>
      <c r="AM81" s="93" t="n">
        <v>1.420373976</v>
      </c>
      <c r="AN81" s="93" t="n"/>
      <c r="AO81" s="93" t="n"/>
      <c r="AP81" s="93" t="n">
        <v>35.5093494</v>
      </c>
      <c r="AQ81" s="93" t="n"/>
      <c r="AR81" s="93" t="n"/>
      <c r="AS81" s="93" t="n"/>
      <c r="AT81" s="93" t="n"/>
      <c r="AU81" s="93" t="n"/>
      <c r="AV81" s="93" t="n"/>
      <c r="AW81" s="93" t="n"/>
      <c r="AX81" s="93" t="n"/>
      <c r="AY81" s="93" t="n">
        <v>16.8821592576</v>
      </c>
      <c r="AZ81" s="93" t="n"/>
      <c r="BA81" s="93" t="n"/>
      <c r="BB81" s="93" t="n"/>
      <c r="BC81" s="93" t="n"/>
      <c r="BD81" s="93" t="n"/>
      <c r="BE81" s="467" t="n">
        <v>53.8118826336</v>
      </c>
    </row>
    <row r="82">
      <c r="A82" s="136" t="n"/>
      <c r="B82" s="136" t="n"/>
      <c r="D82" s="136" t="n"/>
      <c r="G82" s="43" t="n"/>
      <c r="H82" s="43" t="n"/>
      <c r="I82" s="43" t="n"/>
      <c r="J82" s="91" t="n">
        <v>42.7</v>
      </c>
      <c r="K82" s="15" t="n">
        <v>42.7</v>
      </c>
      <c r="L82" s="15" t="n">
        <v>0</v>
      </c>
      <c r="M82" s="15" t="n">
        <v>4</v>
      </c>
      <c r="N82" s="15" t="inlineStr">
        <is>
          <t>ERW 1</t>
        </is>
      </c>
      <c r="O82" s="15" t="inlineStr">
        <is>
          <t>FC</t>
        </is>
      </c>
      <c r="P82" s="15" t="inlineStr">
        <is>
          <t>42.7-0-4-ERW 1-FC</t>
        </is>
      </c>
      <c r="Q82" s="92" t="inlineStr">
        <is>
          <t>Khopoli</t>
        </is>
      </c>
      <c r="R82" s="607">
        <f>Table11[[#This Row],[Grand Total]]</f>
        <v/>
      </c>
      <c r="S82" s="93">
        <f>VLOOKUP(Table11[[#This Row],[Bucket]],salesforecast[[#All],[Bucket2]:[WIP]],3,0)</f>
        <v/>
      </c>
      <c r="T82" s="93">
        <f>VLOOKUP(Table11[[#This Row],[Bucket]],salesforecast[[#All],[Bucket2]:[WIP]],4,0)</f>
        <v/>
      </c>
      <c r="U82" s="93">
        <f>VLOOKUP(Table11[[#This Row],[Bucket]],salesforecast[[#All],[Bucket2]:[WIP]],5,0)</f>
        <v/>
      </c>
      <c r="V82" s="93">
        <f>VLOOKUP(Table11[[#This Row],[Bucket]],salesforecast[[#All],[Bucket2]:[WIP]],7,0)</f>
        <v/>
      </c>
      <c r="W82" s="93">
        <f>Table11[[#This Row],[Stock LL]]+Table11[[#This Row],[WIP]]+Table11[[#This Row],[Stock CTL]]</f>
        <v/>
      </c>
      <c r="X82" s="93">
        <f>IF((Table11[[#This Row],[Requirement]]-Table11[[#This Row],[Sales]]-Table11[[#This Row],[Total Stock]])&lt;0,0,Table11[[#This Row],[Requirement]]-Table11[[#This Row],[Sales]]-Table11[[#This Row],[Total Stock]])</f>
        <v/>
      </c>
      <c r="Y82" s="94">
        <f>_xlfn.CONCAT(ROUND(Table11[[#This Row],[Total Stock]]/Table11[[#This Row],[Requirement]]*100,0),"% Coverage. Rest by Week 3")</f>
        <v/>
      </c>
      <c r="Z82" s="93" t="n">
        <v>42.7</v>
      </c>
      <c r="AA82" s="93" t="n">
        <v>42.7</v>
      </c>
      <c r="AB82" s="93" t="n">
        <v>0</v>
      </c>
      <c r="AC82" s="93" t="n">
        <v>4</v>
      </c>
      <c r="AD82" s="93" t="inlineStr">
        <is>
          <t>ERW 1</t>
        </is>
      </c>
      <c r="AE82" s="93" t="inlineStr">
        <is>
          <t>FC</t>
        </is>
      </c>
      <c r="AF82" s="93" t="inlineStr">
        <is>
          <t>42.7-0-4-ERW 1-FC</t>
        </is>
      </c>
      <c r="AG82" s="93">
        <f>EXACT(Table11[[#This Row],[Bucket8]],Table11[[#This Row],[Bucket]])</f>
        <v/>
      </c>
      <c r="AH82" s="93" t="n"/>
      <c r="AI82" s="93" t="n"/>
      <c r="AJ82" s="93" t="n"/>
      <c r="AK82" s="93" t="n"/>
      <c r="AL82" s="93" t="n"/>
      <c r="AM82" s="93" t="n">
        <v>3.586725288</v>
      </c>
      <c r="AN82" s="93" t="n"/>
      <c r="AO82" s="93" t="n"/>
      <c r="AP82" s="93" t="n"/>
      <c r="AQ82" s="93" t="n"/>
      <c r="AR82" s="93" t="n"/>
      <c r="AS82" s="93" t="n"/>
      <c r="AT82" s="93" t="n"/>
      <c r="AU82" s="93" t="n"/>
      <c r="AV82" s="93" t="n">
        <v>7.753431686400001</v>
      </c>
      <c r="AW82" s="93" t="n"/>
      <c r="AX82" s="93" t="n">
        <v>21.739752477</v>
      </c>
      <c r="AY82" s="93" t="n"/>
      <c r="AZ82" s="93" t="n"/>
      <c r="BA82" s="93" t="n"/>
      <c r="BB82" s="93" t="n"/>
      <c r="BC82" s="93" t="n"/>
      <c r="BD82" s="93" t="n"/>
      <c r="BE82" s="467" t="n">
        <v>33.07990945140001</v>
      </c>
    </row>
    <row r="83">
      <c r="A83" s="136" t="n"/>
      <c r="B83" s="136" t="n"/>
      <c r="D83" s="136" t="n"/>
      <c r="G83" s="43" t="n"/>
      <c r="H83" s="43" t="n"/>
      <c r="I83" s="43" t="n"/>
      <c r="J83" s="91" t="n">
        <v>44.45</v>
      </c>
      <c r="K83" s="15" t="n">
        <v>40</v>
      </c>
      <c r="L83" s="15" t="n">
        <v>30</v>
      </c>
      <c r="M83" s="15" t="n">
        <v>1.6</v>
      </c>
      <c r="N83" s="15" t="inlineStr">
        <is>
          <t>ERW 1</t>
        </is>
      </c>
      <c r="O83" s="15" t="inlineStr">
        <is>
          <t>FC</t>
        </is>
      </c>
      <c r="P83" s="15" t="inlineStr">
        <is>
          <t>40-30-1.6-ERW 1-FC</t>
        </is>
      </c>
      <c r="Q83" s="92" t="inlineStr">
        <is>
          <t>Hosur</t>
        </is>
      </c>
      <c r="R83" s="607">
        <f>Table11[[#This Row],[Grand Total]]</f>
        <v/>
      </c>
      <c r="S83" s="93">
        <f>VLOOKUP(Table11[[#This Row],[Bucket]],salesforecast[[#All],[Bucket2]:[WIP]],3,0)</f>
        <v/>
      </c>
      <c r="T83" s="93">
        <f>VLOOKUP(Table11[[#This Row],[Bucket]],salesforecast[[#All],[Bucket2]:[WIP]],4,0)</f>
        <v/>
      </c>
      <c r="U83" s="93">
        <f>VLOOKUP(Table11[[#This Row],[Bucket]],salesforecast[[#All],[Bucket2]:[WIP]],5,0)</f>
        <v/>
      </c>
      <c r="V83" s="93">
        <f>VLOOKUP(Table11[[#This Row],[Bucket]],salesforecast[[#All],[Bucket2]:[WIP]],7,0)</f>
        <v/>
      </c>
      <c r="W83" s="93">
        <f>Table11[[#This Row],[Stock LL]]+Table11[[#This Row],[WIP]]+Table11[[#This Row],[Stock CTL]]</f>
        <v/>
      </c>
      <c r="X83" s="93">
        <f>IF((Table11[[#This Row],[Requirement]]-Table11[[#This Row],[Sales]]-Table11[[#This Row],[Total Stock]])&lt;0,0,Table11[[#This Row],[Requirement]]-Table11[[#This Row],[Sales]]-Table11[[#This Row],[Total Stock]])</f>
        <v/>
      </c>
      <c r="Y83" s="96" t="n"/>
      <c r="Z83" s="93" t="n">
        <v>44.45</v>
      </c>
      <c r="AA83" s="93" t="n">
        <v>40</v>
      </c>
      <c r="AB83" s="93" t="n">
        <v>30</v>
      </c>
      <c r="AC83" s="93" t="n">
        <v>1.6</v>
      </c>
      <c r="AD83" s="93" t="inlineStr">
        <is>
          <t>ERW 1</t>
        </is>
      </c>
      <c r="AE83" s="93" t="inlineStr">
        <is>
          <t>FC</t>
        </is>
      </c>
      <c r="AF83" s="93" t="inlineStr">
        <is>
          <t>40-30-1.6-ERW 1-FC</t>
        </is>
      </c>
      <c r="AG83" s="93">
        <f>EXACT(Table11[[#This Row],[Bucket8]],Table11[[#This Row],[Bucket]])</f>
        <v/>
      </c>
      <c r="AH83" s="93" t="n"/>
      <c r="AI83" s="93" t="n"/>
      <c r="AJ83" s="93" t="n"/>
      <c r="AK83" s="93" t="n"/>
      <c r="AL83" s="93" t="n"/>
      <c r="AM83" s="93" t="n">
        <v>14.2630551136</v>
      </c>
      <c r="AN83" s="93" t="n"/>
      <c r="AO83" s="93" t="n"/>
      <c r="AP83" s="93" t="n"/>
      <c r="AQ83" s="93" t="n">
        <v>4.3600334352</v>
      </c>
      <c r="AR83" s="93" t="n"/>
      <c r="AS83" s="93" t="n"/>
      <c r="AT83" s="93" t="n"/>
      <c r="AU83" s="93" t="n"/>
      <c r="AV83" s="93" t="n">
        <v>56.866327556</v>
      </c>
      <c r="AW83" s="93" t="n"/>
      <c r="AX83" s="93" t="n"/>
      <c r="AY83" s="93" t="n"/>
      <c r="AZ83" s="93" t="n"/>
      <c r="BA83" s="93" t="n">
        <v>8.111690112000002</v>
      </c>
      <c r="BB83" s="93" t="n"/>
      <c r="BC83" s="93" t="n"/>
      <c r="BD83" s="93" t="n"/>
      <c r="BE83" s="467" t="n">
        <v>83.60110621680001</v>
      </c>
    </row>
    <row r="84">
      <c r="H84" s="43" t="n"/>
      <c r="I84" s="43" t="n"/>
      <c r="J84" s="91" t="n">
        <v>44.45</v>
      </c>
      <c r="K84" s="15" t="n">
        <v>40</v>
      </c>
      <c r="L84" s="15" t="n">
        <v>30</v>
      </c>
      <c r="M84" s="15" t="n">
        <v>2</v>
      </c>
      <c r="N84" s="15" t="inlineStr">
        <is>
          <t>ERW 1</t>
        </is>
      </c>
      <c r="O84" s="15" t="inlineStr">
        <is>
          <t>FC</t>
        </is>
      </c>
      <c r="P84" s="15" t="inlineStr">
        <is>
          <t>40-30-2-ERW 1-FC</t>
        </is>
      </c>
      <c r="Q84" s="92" t="inlineStr">
        <is>
          <t>Hosur</t>
        </is>
      </c>
      <c r="R84" s="607">
        <f>Table11[[#This Row],[Grand Total]]</f>
        <v/>
      </c>
      <c r="S84" s="93">
        <f>VLOOKUP(Table11[[#This Row],[Bucket]],salesforecast[[#All],[Bucket2]:[WIP]],3,0)</f>
        <v/>
      </c>
      <c r="T84" s="93">
        <f>VLOOKUP(Table11[[#This Row],[Bucket]],salesforecast[[#All],[Bucket2]:[WIP]],4,0)</f>
        <v/>
      </c>
      <c r="U84" s="93">
        <f>VLOOKUP(Table11[[#This Row],[Bucket]],salesforecast[[#All],[Bucket2]:[WIP]],5,0)</f>
        <v/>
      </c>
      <c r="V84" s="93">
        <f>VLOOKUP(Table11[[#This Row],[Bucket]],salesforecast[[#All],[Bucket2]:[WIP]],7,0)</f>
        <v/>
      </c>
      <c r="W84" s="93">
        <f>Table11[[#This Row],[Stock LL]]+Table11[[#This Row],[WIP]]+Table11[[#This Row],[Stock CTL]]</f>
        <v/>
      </c>
      <c r="X84" s="93">
        <f>IF((Table11[[#This Row],[Requirement]]-Table11[[#This Row],[Sales]]-Table11[[#This Row],[Total Stock]])&lt;0,0,Table11[[#This Row],[Requirement]]-Table11[[#This Row],[Sales]]-Table11[[#This Row],[Total Stock]])</f>
        <v/>
      </c>
      <c r="Y84" s="94">
        <f>_xlfn.CONCAT(ROUND(Table11[[#This Row],[Total Stock]]/Table11[[#This Row],[Requirement]]*100,0),"% Coverage. Rest by Week 3")</f>
        <v/>
      </c>
      <c r="Z84" s="93" t="n">
        <v>44.45</v>
      </c>
      <c r="AA84" s="93" t="n">
        <v>40</v>
      </c>
      <c r="AB84" s="93" t="n">
        <v>30</v>
      </c>
      <c r="AC84" s="93" t="n">
        <v>2</v>
      </c>
      <c r="AD84" s="93" t="inlineStr">
        <is>
          <t>ERW 1</t>
        </is>
      </c>
      <c r="AE84" s="93" t="inlineStr">
        <is>
          <t>FC</t>
        </is>
      </c>
      <c r="AF84" s="93" t="inlineStr">
        <is>
          <t>40-30-2-ERW 1-FC</t>
        </is>
      </c>
      <c r="AG84" s="93">
        <f>EXACT(Table11[[#This Row],[Bucket8]],Table11[[#This Row],[Bucket]])</f>
        <v/>
      </c>
      <c r="AH84" s="93" t="n"/>
      <c r="AI84" s="93" t="n">
        <v>26.3240745579</v>
      </c>
      <c r="AJ84" s="93" t="n"/>
      <c r="AK84" s="93" t="n"/>
      <c r="AL84" s="93" t="n">
        <v>6.2781003</v>
      </c>
      <c r="AM84" s="93" t="n"/>
      <c r="AN84" s="93" t="n"/>
      <c r="AO84" s="93" t="n"/>
      <c r="AP84" s="93" t="n"/>
      <c r="AQ84" s="93" t="n"/>
      <c r="AR84" s="93" t="n"/>
      <c r="AS84" s="93" t="n"/>
      <c r="AT84" s="93" t="n"/>
      <c r="AU84" s="93" t="n"/>
      <c r="AV84" s="93" t="n">
        <v>5.461947261000001</v>
      </c>
      <c r="AW84" s="93" t="n"/>
      <c r="AX84" s="93" t="n"/>
      <c r="AY84" s="93" t="n"/>
      <c r="AZ84" s="93" t="n"/>
      <c r="BA84" s="93" t="n"/>
      <c r="BB84" s="93" t="n"/>
      <c r="BC84" s="93" t="n"/>
      <c r="BD84" s="93" t="n"/>
      <c r="BE84" s="467" t="n">
        <v>38.06412211889999</v>
      </c>
    </row>
    <row r="85">
      <c r="A85" s="136" t="n"/>
      <c r="B85" s="136" t="n"/>
      <c r="D85" s="136" t="n"/>
      <c r="G85" s="43" t="n"/>
      <c r="H85" s="43" t="n"/>
      <c r="I85" s="43" t="n"/>
      <c r="J85" s="91" t="n">
        <v>48.6</v>
      </c>
      <c r="K85" s="15" t="n">
        <v>48.6</v>
      </c>
      <c r="L85" s="15" t="n">
        <v>0</v>
      </c>
      <c r="M85" s="15" t="n">
        <v>1.2</v>
      </c>
      <c r="N85" s="15" t="inlineStr">
        <is>
          <t>ERW 1</t>
        </is>
      </c>
      <c r="O85" s="15" t="inlineStr">
        <is>
          <t>FC</t>
        </is>
      </c>
      <c r="P85" s="15" t="inlineStr">
        <is>
          <t>48.6-0-1.2-ERW 1-FC</t>
        </is>
      </c>
      <c r="Q85" s="92" t="inlineStr">
        <is>
          <t>Hosur</t>
        </is>
      </c>
      <c r="R85" s="607">
        <f>Table11[[#This Row],[Grand Total]]</f>
        <v/>
      </c>
      <c r="S85" s="93">
        <f>VLOOKUP(Table11[[#This Row],[Bucket]],salesforecast[[#All],[Bucket2]:[WIP]],3,0)</f>
        <v/>
      </c>
      <c r="T85" s="93">
        <f>VLOOKUP(Table11[[#This Row],[Bucket]],salesforecast[[#All],[Bucket2]:[WIP]],4,0)</f>
        <v/>
      </c>
      <c r="U85" s="93">
        <f>VLOOKUP(Table11[[#This Row],[Bucket]],salesforecast[[#All],[Bucket2]:[WIP]],5,0)</f>
        <v/>
      </c>
      <c r="V85" s="93">
        <f>VLOOKUP(Table11[[#This Row],[Bucket]],salesforecast[[#All],[Bucket2]:[WIP]],7,0)</f>
        <v/>
      </c>
      <c r="W85" s="93">
        <f>Table11[[#This Row],[Stock LL]]+Table11[[#This Row],[WIP]]+Table11[[#This Row],[Stock CTL]]</f>
        <v/>
      </c>
      <c r="X85" s="93">
        <f>IF((Table11[[#This Row],[Requirement]]-Table11[[#This Row],[Sales]]-Table11[[#This Row],[Total Stock]])&lt;0,0,Table11[[#This Row],[Requirement]]-Table11[[#This Row],[Sales]]-Table11[[#This Row],[Total Stock]])</f>
        <v/>
      </c>
      <c r="Y85" s="94">
        <f>_xlfn.CONCAT(ROUND(Table11[[#This Row],[Total Stock]]/Table11[[#This Row],[Requirement]]*100,0),"% Coverage. Rest by Week 3")</f>
        <v/>
      </c>
      <c r="Z85" s="93" t="n">
        <v>48.6</v>
      </c>
      <c r="AA85" s="93" t="n">
        <v>48.6</v>
      </c>
      <c r="AB85" s="93" t="n">
        <v>0</v>
      </c>
      <c r="AC85" s="93" t="n">
        <v>1.2</v>
      </c>
      <c r="AD85" s="93" t="inlineStr">
        <is>
          <t>ERW 1</t>
        </is>
      </c>
      <c r="AE85" s="93" t="inlineStr">
        <is>
          <t>FC</t>
        </is>
      </c>
      <c r="AF85" s="93" t="inlineStr">
        <is>
          <t>48.6-0-1.2-ERW 1-FC</t>
        </is>
      </c>
      <c r="AG85" s="93">
        <f>EXACT(Table11[[#This Row],[Bucket8]],Table11[[#This Row],[Bucket]])</f>
        <v/>
      </c>
      <c r="AH85" s="93" t="n"/>
      <c r="AI85" s="93" t="n"/>
      <c r="AJ85" s="93" t="n"/>
      <c r="AK85" s="93" t="n"/>
      <c r="AL85" s="93" t="n"/>
      <c r="AM85" s="93" t="n">
        <v>11.30601120768</v>
      </c>
      <c r="AN85" s="93" t="n"/>
      <c r="AO85" s="93" t="n"/>
      <c r="AP85" s="93" t="n"/>
      <c r="AQ85" s="93" t="n"/>
      <c r="AR85" s="93" t="n"/>
      <c r="AS85" s="93" t="n"/>
      <c r="AT85" s="93" t="n"/>
      <c r="AU85" s="93" t="n"/>
      <c r="AV85" s="93" t="n"/>
      <c r="AW85" s="93" t="n"/>
      <c r="AX85" s="93" t="n"/>
      <c r="AY85" s="93" t="n">
        <v>7.066257004800001</v>
      </c>
      <c r="AZ85" s="93" t="n"/>
      <c r="BA85" s="93" t="n"/>
      <c r="BB85" s="93" t="n"/>
      <c r="BC85" s="93" t="n"/>
      <c r="BD85" s="93" t="n"/>
      <c r="BE85" s="467" t="n">
        <v>18.37226821248</v>
      </c>
    </row>
    <row r="86">
      <c r="A86" s="137" t="n"/>
      <c r="B86" s="136" t="n"/>
      <c r="D86" s="136" t="n"/>
      <c r="G86" s="43" t="n"/>
      <c r="H86" s="43" t="n"/>
      <c r="I86" s="43" t="n"/>
      <c r="J86" s="91" t="n">
        <v>48.6</v>
      </c>
      <c r="K86" s="15" t="n">
        <v>48.6</v>
      </c>
      <c r="L86" s="15" t="n">
        <v>0</v>
      </c>
      <c r="M86" s="15" t="n">
        <v>3.5</v>
      </c>
      <c r="N86" s="15" t="inlineStr">
        <is>
          <t>ERW 1</t>
        </is>
      </c>
      <c r="O86" s="15" t="inlineStr">
        <is>
          <t>FC</t>
        </is>
      </c>
      <c r="P86" s="15" t="inlineStr">
        <is>
          <t>48.6-0-3.5-ERW 1-FC</t>
        </is>
      </c>
      <c r="Q86" s="92" t="inlineStr">
        <is>
          <t>Hosur</t>
        </is>
      </c>
      <c r="R86" s="607">
        <f>Table11[[#This Row],[Grand Total]]</f>
        <v/>
      </c>
      <c r="S86" s="93">
        <f>VLOOKUP(Table11[[#This Row],[Bucket]],salesforecast[[#All],[Bucket2]:[WIP]],3,0)</f>
        <v/>
      </c>
      <c r="T86" s="93">
        <f>VLOOKUP(Table11[[#This Row],[Bucket]],salesforecast[[#All],[Bucket2]:[WIP]],4,0)</f>
        <v/>
      </c>
      <c r="U86" s="93">
        <f>VLOOKUP(Table11[[#This Row],[Bucket]],salesforecast[[#All],[Bucket2]:[WIP]],5,0)</f>
        <v/>
      </c>
      <c r="V86" s="93">
        <f>VLOOKUP(Table11[[#This Row],[Bucket]],salesforecast[[#All],[Bucket2]:[WIP]],7,0)</f>
        <v/>
      </c>
      <c r="W86" s="93">
        <f>Table11[[#This Row],[Stock LL]]+Table11[[#This Row],[WIP]]+Table11[[#This Row],[Stock CTL]]</f>
        <v/>
      </c>
      <c r="X86" s="93">
        <f>IF((Table11[[#This Row],[Requirement]]-Table11[[#This Row],[Sales]]-Table11[[#This Row],[Total Stock]])&lt;0,0,Table11[[#This Row],[Requirement]]-Table11[[#This Row],[Sales]]-Table11[[#This Row],[Total Stock]])</f>
        <v/>
      </c>
      <c r="Y86" s="96" t="n"/>
      <c r="Z86" s="93" t="n">
        <v>48.6</v>
      </c>
      <c r="AA86" s="93" t="n">
        <v>48.6</v>
      </c>
      <c r="AB86" s="93" t="n">
        <v>0</v>
      </c>
      <c r="AC86" s="93" t="n">
        <v>3.5</v>
      </c>
      <c r="AD86" s="93" t="inlineStr">
        <is>
          <t>ERW 1</t>
        </is>
      </c>
      <c r="AE86" s="93" t="inlineStr">
        <is>
          <t>FC</t>
        </is>
      </c>
      <c r="AF86" s="93" t="inlineStr">
        <is>
          <t>48.6-0-3.5-ERW 1-FC</t>
        </is>
      </c>
      <c r="AG86" s="93">
        <f>EXACT(Table11[[#This Row],[Bucket8]],Table11[[#This Row],[Bucket]])</f>
        <v/>
      </c>
      <c r="AH86" s="93" t="n"/>
      <c r="AI86" s="93" t="n"/>
      <c r="AJ86" s="93" t="n"/>
      <c r="AK86" s="93" t="n"/>
      <c r="AL86" s="93" t="n"/>
      <c r="AM86" s="93" t="n"/>
      <c r="AN86" s="93" t="n"/>
      <c r="AO86" s="93" t="n">
        <v>11.439083271</v>
      </c>
      <c r="AP86" s="93" t="n"/>
      <c r="AQ86" s="93" t="n"/>
      <c r="AR86" s="93" t="n"/>
      <c r="AS86" s="93" t="n"/>
      <c r="AT86" s="93" t="n"/>
      <c r="AU86" s="93" t="n"/>
      <c r="AV86" s="93" t="n"/>
      <c r="AW86" s="93" t="n"/>
      <c r="AX86" s="93" t="n"/>
      <c r="AY86" s="93" t="n"/>
      <c r="AZ86" s="93" t="n"/>
      <c r="BA86" s="93" t="n"/>
      <c r="BB86" s="93" t="n"/>
      <c r="BC86" s="93" t="n"/>
      <c r="BD86" s="93" t="n"/>
      <c r="BE86" s="467" t="n">
        <v>11.439083271</v>
      </c>
    </row>
    <row r="87">
      <c r="A87" s="136" t="n"/>
      <c r="B87" s="136" t="n"/>
      <c r="D87" s="136" t="n"/>
      <c r="G87" s="43" t="n"/>
      <c r="H87" s="43" t="n"/>
      <c r="I87" s="43" t="n"/>
      <c r="J87" s="91" t="n">
        <v>48.6</v>
      </c>
      <c r="K87" s="15" t="n">
        <v>59</v>
      </c>
      <c r="L87" s="15" t="n">
        <v>30</v>
      </c>
      <c r="M87" s="15" t="n">
        <v>1.6</v>
      </c>
      <c r="N87" s="15" t="inlineStr">
        <is>
          <t>ERW 1</t>
        </is>
      </c>
      <c r="O87" s="15" t="inlineStr">
        <is>
          <t>FIN CUT</t>
        </is>
      </c>
      <c r="P87" s="15" t="inlineStr">
        <is>
          <t>59-30-1.6-ERW 1-FIN CUT</t>
        </is>
      </c>
      <c r="Q87" s="92" t="inlineStr">
        <is>
          <t>Hosur</t>
        </is>
      </c>
      <c r="R87" s="607">
        <f>Table11[[#This Row],[Grand Total]]</f>
        <v/>
      </c>
      <c r="S87" s="93">
        <f>VLOOKUP(Table11[[#This Row],[Bucket]],salesforecast[[#All],[Bucket2]:[WIP]],3,0)</f>
        <v/>
      </c>
      <c r="T87" s="93">
        <f>VLOOKUP(Table11[[#This Row],[Bucket]],salesforecast[[#All],[Bucket2]:[WIP]],4,0)</f>
        <v/>
      </c>
      <c r="U87" s="93">
        <f>VLOOKUP(Table11[[#This Row],[Bucket]],salesforecast[[#All],[Bucket2]:[WIP]],5,0)</f>
        <v/>
      </c>
      <c r="V87" s="93">
        <f>VLOOKUP(Table11[[#This Row],[Bucket]],salesforecast[[#All],[Bucket2]:[WIP]],7,0)</f>
        <v/>
      </c>
      <c r="W87" s="93">
        <f>Table11[[#This Row],[Stock LL]]+Table11[[#This Row],[WIP]]+Table11[[#This Row],[Stock CTL]]</f>
        <v/>
      </c>
      <c r="X87" s="93">
        <f>IF((Table11[[#This Row],[Requirement]]-Table11[[#This Row],[Sales]]-Table11[[#This Row],[Total Stock]])&lt;0,0,Table11[[#This Row],[Requirement]]-Table11[[#This Row],[Sales]]-Table11[[#This Row],[Total Stock]])</f>
        <v/>
      </c>
      <c r="Y87" s="96" t="n"/>
      <c r="Z87" s="93" t="n">
        <v>48.6</v>
      </c>
      <c r="AA87" s="93" t="n">
        <v>59</v>
      </c>
      <c r="AB87" s="93" t="n">
        <v>30</v>
      </c>
      <c r="AC87" s="93" t="n">
        <v>1.6</v>
      </c>
      <c r="AD87" s="93" t="inlineStr">
        <is>
          <t>ERW 1</t>
        </is>
      </c>
      <c r="AE87" s="93" t="inlineStr">
        <is>
          <t>FIN CUT</t>
        </is>
      </c>
      <c r="AF87" s="93" t="inlineStr">
        <is>
          <t>59-30-1.6-ERW 1-FIN CUT</t>
        </is>
      </c>
      <c r="AG87" s="93">
        <f>EXACT(Table11[[#This Row],[Bucket8]],Table11[[#This Row],[Bucket]])</f>
        <v/>
      </c>
      <c r="AH87" s="93" t="n"/>
      <c r="AI87" s="93" t="n"/>
      <c r="AJ87" s="93" t="n">
        <v>22.45623679152</v>
      </c>
      <c r="AK87" s="93" t="n"/>
      <c r="AL87" s="93" t="n"/>
      <c r="AM87" s="93" t="n"/>
      <c r="AN87" s="93" t="n"/>
      <c r="AO87" s="93" t="n"/>
      <c r="AP87" s="93" t="n"/>
      <c r="AQ87" s="93" t="n"/>
      <c r="AR87" s="93" t="n"/>
      <c r="AS87" s="93" t="n"/>
      <c r="AT87" s="93" t="n"/>
      <c r="AU87" s="93" t="n"/>
      <c r="AV87" s="93" t="n"/>
      <c r="AW87" s="93" t="n"/>
      <c r="AX87" s="93" t="n"/>
      <c r="AY87" s="93" t="n"/>
      <c r="AZ87" s="93" t="n"/>
      <c r="BA87" s="93" t="n"/>
      <c r="BB87" s="93" t="n"/>
      <c r="BC87" s="93" t="n"/>
      <c r="BD87" s="93" t="n"/>
      <c r="BE87" s="467" t="n">
        <v>22.45623679152</v>
      </c>
    </row>
    <row r="88">
      <c r="A88" s="137" t="n"/>
      <c r="B88" s="136" t="n"/>
      <c r="D88" s="136" t="n"/>
      <c r="G88" s="43" t="n"/>
      <c r="H88" s="43" t="n"/>
      <c r="I88" s="43" t="n"/>
      <c r="J88" s="91" t="n">
        <v>50.8</v>
      </c>
      <c r="K88" s="15" t="n">
        <v>40</v>
      </c>
      <c r="L88" s="15" t="n">
        <v>40</v>
      </c>
      <c r="M88" s="15" t="n">
        <v>1.2</v>
      </c>
      <c r="N88" s="15" t="inlineStr">
        <is>
          <t>CRFH</t>
        </is>
      </c>
      <c r="O88" s="15" t="inlineStr">
        <is>
          <t>PE</t>
        </is>
      </c>
      <c r="P88" s="15" t="inlineStr">
        <is>
          <t>40-40-1.2-CRFH-PE</t>
        </is>
      </c>
      <c r="Q88" s="92" t="inlineStr">
        <is>
          <t>Hosur</t>
        </is>
      </c>
      <c r="R88" s="607">
        <f>Table11[[#This Row],[Grand Total]]</f>
        <v/>
      </c>
      <c r="S88" s="93">
        <f>VLOOKUP(Table11[[#This Row],[Bucket]],salesforecast[[#All],[Bucket2]:[WIP]],3,0)</f>
        <v/>
      </c>
      <c r="T88" s="93">
        <f>VLOOKUP(Table11[[#This Row],[Bucket]],salesforecast[[#All],[Bucket2]:[WIP]],4,0)</f>
        <v/>
      </c>
      <c r="U88" s="93">
        <f>VLOOKUP(Table11[[#This Row],[Bucket]],salesforecast[[#All],[Bucket2]:[WIP]],5,0)</f>
        <v/>
      </c>
      <c r="V88" s="93">
        <f>VLOOKUP(Table11[[#This Row],[Bucket]],salesforecast[[#All],[Bucket2]:[WIP]],7,0)</f>
        <v/>
      </c>
      <c r="W88" s="93">
        <f>Table11[[#This Row],[Stock LL]]+Table11[[#This Row],[WIP]]+Table11[[#This Row],[Stock CTL]]</f>
        <v/>
      </c>
      <c r="X88" s="93">
        <f>IF((Table11[[#This Row],[Requirement]]-Table11[[#This Row],[Sales]]-Table11[[#This Row],[Total Stock]])&lt;0,0,Table11[[#This Row],[Requirement]]-Table11[[#This Row],[Sales]]-Table11[[#This Row],[Total Stock]])</f>
        <v/>
      </c>
      <c r="Y88" s="94">
        <f>_xlfn.CONCAT(ROUND(Table11[[#This Row],[Total Stock]]/Table11[[#This Row],[Requirement]]*100,0),"% Coverage. Rest by Week 3")</f>
        <v/>
      </c>
      <c r="Z88" s="93" t="n">
        <v>50.8</v>
      </c>
      <c r="AA88" s="93" t="n">
        <v>40</v>
      </c>
      <c r="AB88" s="93" t="n">
        <v>40</v>
      </c>
      <c r="AC88" s="93" t="n">
        <v>1.2</v>
      </c>
      <c r="AD88" s="93" t="inlineStr">
        <is>
          <t>CRFH</t>
        </is>
      </c>
      <c r="AE88" s="93" t="inlineStr">
        <is>
          <t>PE</t>
        </is>
      </c>
      <c r="AF88" s="93" t="inlineStr">
        <is>
          <t>40-40-1.2-CRFH-PE</t>
        </is>
      </c>
      <c r="AG88" s="93">
        <f>EXACT(Table11[[#This Row],[Bucket8]],Table11[[#This Row],[Bucket]])</f>
        <v/>
      </c>
      <c r="AH88" s="93" t="n"/>
      <c r="AI88" s="93" t="n"/>
      <c r="AJ88" s="93" t="n"/>
      <c r="AK88" s="93" t="n"/>
      <c r="AL88" s="93" t="n">
        <v>5.134879679999999</v>
      </c>
      <c r="AM88" s="93" t="n"/>
      <c r="AN88" s="93" t="n"/>
      <c r="AO88" s="93" t="n"/>
      <c r="AP88" s="93" t="n"/>
      <c r="AQ88" s="93" t="n"/>
      <c r="AR88" s="93" t="n"/>
      <c r="AS88" s="93" t="n"/>
      <c r="AT88" s="93" t="n"/>
      <c r="AU88" s="93" t="n"/>
      <c r="AV88" s="93" t="n"/>
      <c r="AW88" s="93" t="n"/>
      <c r="AX88" s="93" t="n"/>
      <c r="AY88" s="93" t="n"/>
      <c r="AZ88" s="93" t="n"/>
      <c r="BA88" s="93" t="n"/>
      <c r="BB88" s="93" t="n">
        <v>0.58831050048</v>
      </c>
      <c r="BC88" s="93" t="n">
        <v>5.054188713599999</v>
      </c>
      <c r="BD88" s="93" t="n"/>
      <c r="BE88" s="467" t="n">
        <v>10.77737889408</v>
      </c>
    </row>
    <row r="89">
      <c r="A89" s="136" t="n"/>
      <c r="B89" s="136" t="n"/>
      <c r="D89" s="136" t="n"/>
      <c r="G89" s="43" t="n"/>
      <c r="H89" s="43" t="n"/>
      <c r="I89" s="43" t="n"/>
      <c r="J89" s="91" t="n">
        <v>50.8</v>
      </c>
      <c r="K89" s="15" t="n">
        <v>50</v>
      </c>
      <c r="L89" s="15" t="n">
        <v>30</v>
      </c>
      <c r="M89" s="15" t="n">
        <v>1.6</v>
      </c>
      <c r="N89" s="15" t="inlineStr">
        <is>
          <t>ERW 1</t>
        </is>
      </c>
      <c r="O89" s="15" t="inlineStr">
        <is>
          <t>FC</t>
        </is>
      </c>
      <c r="P89" s="15" t="inlineStr">
        <is>
          <t>50-30-1.6-ERW 1-FC</t>
        </is>
      </c>
      <c r="Q89" s="92" t="inlineStr">
        <is>
          <t>Hosur</t>
        </is>
      </c>
      <c r="R89" s="607">
        <f>Table11[[#This Row],[Grand Total]]</f>
        <v/>
      </c>
      <c r="S89" s="93">
        <f>VLOOKUP(Table11[[#This Row],[Bucket]],salesforecast[[#All],[Bucket2]:[WIP]],3,0)</f>
        <v/>
      </c>
      <c r="T89" s="93">
        <f>VLOOKUP(Table11[[#This Row],[Bucket]],salesforecast[[#All],[Bucket2]:[WIP]],4,0)</f>
        <v/>
      </c>
      <c r="U89" s="93">
        <f>VLOOKUP(Table11[[#This Row],[Bucket]],salesforecast[[#All],[Bucket2]:[WIP]],5,0)</f>
        <v/>
      </c>
      <c r="V89" s="93">
        <f>VLOOKUP(Table11[[#This Row],[Bucket]],salesforecast[[#All],[Bucket2]:[WIP]],7,0)</f>
        <v/>
      </c>
      <c r="W89" s="93">
        <f>Table11[[#This Row],[Stock LL]]+Table11[[#This Row],[WIP]]+Table11[[#This Row],[Stock CTL]]</f>
        <v/>
      </c>
      <c r="X89" s="93">
        <f>IF((Table11[[#This Row],[Requirement]]-Table11[[#This Row],[Sales]]-Table11[[#This Row],[Total Stock]])&lt;0,0,Table11[[#This Row],[Requirement]]-Table11[[#This Row],[Sales]]-Table11[[#This Row],[Total Stock]])</f>
        <v/>
      </c>
      <c r="Y89" s="94">
        <f>_xlfn.CONCAT(ROUND(Table11[[#This Row],[Total Stock]]/Table11[[#This Row],[Requirement]]*100,0),"% Coverage. Rest by Week 3")</f>
        <v/>
      </c>
      <c r="Z89" s="93" t="n">
        <v>50.8</v>
      </c>
      <c r="AA89" s="93" t="n">
        <v>50</v>
      </c>
      <c r="AB89" s="93" t="n">
        <v>30</v>
      </c>
      <c r="AC89" s="93" t="n">
        <v>1.6</v>
      </c>
      <c r="AD89" s="93" t="inlineStr">
        <is>
          <t>ERW 1</t>
        </is>
      </c>
      <c r="AE89" s="93" t="inlineStr">
        <is>
          <t>FC</t>
        </is>
      </c>
      <c r="AF89" s="93" t="inlineStr">
        <is>
          <t>50-30-1.6-ERW 1-FC</t>
        </is>
      </c>
      <c r="AG89" s="93">
        <f>EXACT(Table11[[#This Row],[Bucket8]],Table11[[#This Row],[Bucket]])</f>
        <v/>
      </c>
      <c r="AH89" s="93" t="n">
        <v>4.268812416</v>
      </c>
      <c r="AI89" s="93" t="n">
        <v>38.67544048896</v>
      </c>
      <c r="AJ89" s="93" t="n">
        <v>11.230081244928</v>
      </c>
      <c r="AK89" s="93" t="n"/>
      <c r="AL89" s="93" t="n"/>
      <c r="AM89" s="93" t="n"/>
      <c r="AN89" s="93" t="n"/>
      <c r="AO89" s="93" t="n"/>
      <c r="AP89" s="93" t="n"/>
      <c r="AQ89" s="93" t="n"/>
      <c r="AR89" s="93" t="n"/>
      <c r="AS89" s="93" t="n"/>
      <c r="AT89" s="93" t="n"/>
      <c r="AU89" s="93" t="n"/>
      <c r="AV89" s="93" t="n"/>
      <c r="AW89" s="93" t="n"/>
      <c r="AX89" s="93" t="n"/>
      <c r="AY89" s="93" t="n"/>
      <c r="AZ89" s="93" t="n"/>
      <c r="BA89" s="93" t="n"/>
      <c r="BB89" s="93" t="n"/>
      <c r="BC89" s="93" t="n"/>
      <c r="BD89" s="93" t="n"/>
      <c r="BE89" s="467" t="n">
        <v>54.174334149888</v>
      </c>
    </row>
    <row r="90">
      <c r="A90" s="137" t="n"/>
      <c r="B90" s="136" t="n"/>
      <c r="D90" s="136" t="n"/>
      <c r="G90" s="43" t="n"/>
      <c r="H90" s="43" t="n"/>
      <c r="I90" s="43" t="n"/>
      <c r="J90" s="91" t="n">
        <v>50.8</v>
      </c>
      <c r="K90" s="15" t="n">
        <v>50</v>
      </c>
      <c r="L90" s="15" t="n">
        <v>30</v>
      </c>
      <c r="M90" s="15" t="n">
        <v>1.6</v>
      </c>
      <c r="N90" s="15" t="inlineStr">
        <is>
          <t>ERW 2</t>
        </is>
      </c>
      <c r="O90" s="15" t="inlineStr">
        <is>
          <t>FC</t>
        </is>
      </c>
      <c r="P90" s="15" t="inlineStr">
        <is>
          <t>50-30-1.6-ERW 2-FC</t>
        </is>
      </c>
      <c r="Q90" s="92" t="inlineStr">
        <is>
          <t>Hosur</t>
        </is>
      </c>
      <c r="R90" s="607">
        <f>Table11[[#This Row],[Grand Total]]</f>
        <v/>
      </c>
      <c r="S90" s="93">
        <f>VLOOKUP(Table11[[#This Row],[Bucket]],salesforecast[[#All],[Bucket2]:[WIP]],3,0)</f>
        <v/>
      </c>
      <c r="T90" s="93">
        <f>VLOOKUP(Table11[[#This Row],[Bucket]],salesforecast[[#All],[Bucket2]:[WIP]],4,0)</f>
        <v/>
      </c>
      <c r="U90" s="93">
        <f>VLOOKUP(Table11[[#This Row],[Bucket]],salesforecast[[#All],[Bucket2]:[WIP]],5,0)</f>
        <v/>
      </c>
      <c r="V90" s="93">
        <f>VLOOKUP(Table11[[#This Row],[Bucket]],salesforecast[[#All],[Bucket2]:[WIP]],7,0)</f>
        <v/>
      </c>
      <c r="W90" s="93">
        <f>Table11[[#This Row],[Stock LL]]+Table11[[#This Row],[WIP]]+Table11[[#This Row],[Stock CTL]]</f>
        <v/>
      </c>
      <c r="X90" s="93">
        <f>IF((Table11[[#This Row],[Requirement]]-Table11[[#This Row],[Sales]]-Table11[[#This Row],[Total Stock]])&lt;0,0,Table11[[#This Row],[Requirement]]-Table11[[#This Row],[Sales]]-Table11[[#This Row],[Total Stock]])</f>
        <v/>
      </c>
      <c r="Y90" s="94">
        <f>_xlfn.CONCAT(ROUND(Table11[[#This Row],[Total Stock]]/Table11[[#This Row],[Requirement]]*100,0),"% Coverage. Rest by Week 3")</f>
        <v/>
      </c>
      <c r="Z90" s="93" t="n">
        <v>50.8</v>
      </c>
      <c r="AA90" s="93" t="n">
        <v>50</v>
      </c>
      <c r="AB90" s="93" t="n">
        <v>30</v>
      </c>
      <c r="AC90" s="93" t="n">
        <v>1.6</v>
      </c>
      <c r="AD90" s="93" t="inlineStr">
        <is>
          <t>ERW 2</t>
        </is>
      </c>
      <c r="AE90" s="93" t="inlineStr">
        <is>
          <t>FC</t>
        </is>
      </c>
      <c r="AF90" s="93" t="inlineStr">
        <is>
          <t>50-30-1.6-ERW 2-FC</t>
        </is>
      </c>
      <c r="AG90" s="93">
        <f>EXACT(Table11[[#This Row],[Bucket8]],Table11[[#This Row],[Bucket]])</f>
        <v/>
      </c>
      <c r="AH90" s="93" t="n"/>
      <c r="AI90" s="93" t="n"/>
      <c r="AJ90" s="93" t="n"/>
      <c r="AK90" s="93" t="n"/>
      <c r="AL90" s="93" t="n"/>
      <c r="AM90" s="93" t="n"/>
      <c r="AN90" s="93" t="n"/>
      <c r="AO90" s="93" t="n"/>
      <c r="AP90" s="93" t="n"/>
      <c r="AQ90" s="93" t="n"/>
      <c r="AR90" s="93" t="n"/>
      <c r="AS90" s="93" t="n"/>
      <c r="AT90" s="93" t="n"/>
      <c r="AU90" s="93" t="n"/>
      <c r="AV90" s="93" t="n"/>
      <c r="AW90" s="93" t="n"/>
      <c r="AX90" s="93" t="n">
        <v>13.97346847071744</v>
      </c>
      <c r="AY90" s="93" t="n"/>
      <c r="AZ90" s="93" t="n"/>
      <c r="BA90" s="93" t="n"/>
      <c r="BB90" s="93" t="n"/>
      <c r="BC90" s="93" t="n"/>
      <c r="BD90" s="93" t="n"/>
      <c r="BE90" s="467" t="n">
        <v>13.97346847071744</v>
      </c>
    </row>
    <row r="91">
      <c r="A91" s="136" t="n"/>
      <c r="B91" s="136" t="n"/>
      <c r="D91" s="136" t="n"/>
      <c r="G91" s="43" t="n"/>
      <c r="H91" s="43" t="n"/>
      <c r="I91" s="43" t="n"/>
      <c r="J91" s="91" t="n">
        <v>50.8</v>
      </c>
      <c r="K91" s="15" t="n">
        <v>50</v>
      </c>
      <c r="L91" s="15" t="n">
        <v>30</v>
      </c>
      <c r="M91" s="15" t="n">
        <v>2</v>
      </c>
      <c r="N91" s="15" t="inlineStr">
        <is>
          <t>ERW 1</t>
        </is>
      </c>
      <c r="O91" s="15" t="inlineStr">
        <is>
          <t>FC</t>
        </is>
      </c>
      <c r="P91" s="15" t="inlineStr">
        <is>
          <t>50-30-2-ERW 1-FC</t>
        </is>
      </c>
      <c r="Q91" s="92" t="inlineStr">
        <is>
          <t>Hosur</t>
        </is>
      </c>
      <c r="R91" s="607">
        <f>Table11[[#This Row],[Grand Total]]</f>
        <v/>
      </c>
      <c r="S91" s="93">
        <f>VLOOKUP(Table11[[#This Row],[Bucket]],salesforecast[[#All],[Bucket2]:[WIP]],3,0)</f>
        <v/>
      </c>
      <c r="T91" s="93">
        <f>VLOOKUP(Table11[[#This Row],[Bucket]],salesforecast[[#All],[Bucket2]:[WIP]],4,0)</f>
        <v/>
      </c>
      <c r="U91" s="93">
        <f>VLOOKUP(Table11[[#This Row],[Bucket]],salesforecast[[#All],[Bucket2]:[WIP]],5,0)</f>
        <v/>
      </c>
      <c r="V91" s="93">
        <f>VLOOKUP(Table11[[#This Row],[Bucket]],salesforecast[[#All],[Bucket2]:[WIP]],7,0)</f>
        <v/>
      </c>
      <c r="W91" s="93">
        <f>Table11[[#This Row],[Stock LL]]+Table11[[#This Row],[WIP]]+Table11[[#This Row],[Stock CTL]]</f>
        <v/>
      </c>
      <c r="X91" s="93">
        <f>IF((Table11[[#This Row],[Requirement]]-Table11[[#This Row],[Sales]]-Table11[[#This Row],[Total Stock]])&lt;0,0,Table11[[#This Row],[Requirement]]-Table11[[#This Row],[Sales]]-Table11[[#This Row],[Total Stock]])</f>
        <v/>
      </c>
      <c r="Y91" s="94" t="inlineStr">
        <is>
          <t>80% Coverage. Rest by 15th</t>
        </is>
      </c>
      <c r="Z91" s="93" t="n">
        <v>50.8</v>
      </c>
      <c r="AA91" s="93" t="n">
        <v>50</v>
      </c>
      <c r="AB91" s="93" t="n">
        <v>30</v>
      </c>
      <c r="AC91" s="93" t="n">
        <v>2</v>
      </c>
      <c r="AD91" s="93" t="inlineStr">
        <is>
          <t>ERW 1</t>
        </is>
      </c>
      <c r="AE91" s="93" t="inlineStr">
        <is>
          <t>FC</t>
        </is>
      </c>
      <c r="AF91" s="93" t="inlineStr">
        <is>
          <t>50-30-2-ERW 1-FC</t>
        </is>
      </c>
      <c r="AG91" s="93">
        <f>EXACT(Table11[[#This Row],[Bucket8]],Table11[[#This Row],[Bucket]])</f>
        <v/>
      </c>
      <c r="AH91" s="93" t="n"/>
      <c r="AI91" s="93" t="n"/>
      <c r="AJ91" s="93" t="n"/>
      <c r="AK91" s="93" t="n"/>
      <c r="AL91" s="93" t="n"/>
      <c r="AM91" s="93" t="n"/>
      <c r="AN91" s="93" t="n"/>
      <c r="AO91" s="93" t="n"/>
      <c r="AP91" s="93" t="n">
        <v>11.042357616</v>
      </c>
      <c r="AQ91" s="93" t="n"/>
      <c r="AR91" s="93" t="n"/>
      <c r="AS91" s="93" t="n"/>
      <c r="AT91" s="93" t="n"/>
      <c r="AU91" s="93" t="n"/>
      <c r="AV91" s="93" t="n"/>
      <c r="AW91" s="93" t="n"/>
      <c r="AX91" s="93" t="n"/>
      <c r="AY91" s="93" t="n"/>
      <c r="AZ91" s="93" t="n"/>
      <c r="BA91" s="93" t="n"/>
      <c r="BB91" s="93" t="n"/>
      <c r="BC91" s="93" t="n"/>
      <c r="BD91" s="93" t="n"/>
      <c r="BE91" s="467" t="n">
        <v>11.042357616</v>
      </c>
    </row>
    <row r="92">
      <c r="A92" s="136" t="n"/>
      <c r="B92" s="136" t="n"/>
      <c r="D92" s="136" t="n"/>
      <c r="G92" s="43" t="n"/>
      <c r="H92" s="43" t="n"/>
      <c r="I92" s="43" t="n"/>
      <c r="J92" s="91" t="n">
        <v>50.8</v>
      </c>
      <c r="K92" s="15" t="n">
        <v>50.8</v>
      </c>
      <c r="L92" s="15" t="n">
        <v>0</v>
      </c>
      <c r="M92" s="15" t="n">
        <v>1.6</v>
      </c>
      <c r="N92" s="15" t="inlineStr">
        <is>
          <t>ERW 1</t>
        </is>
      </c>
      <c r="O92" s="15" t="inlineStr">
        <is>
          <t>FC</t>
        </is>
      </c>
      <c r="P92" s="15" t="inlineStr">
        <is>
          <t>50.8-0-1.6-ERW 1-FC</t>
        </is>
      </c>
      <c r="Q92" s="92" t="inlineStr">
        <is>
          <t>Hosur</t>
        </is>
      </c>
      <c r="R92" s="607">
        <f>Table11[[#This Row],[Grand Total]]</f>
        <v/>
      </c>
      <c r="S92" s="93">
        <f>VLOOKUP(Table11[[#This Row],[Bucket]],salesforecast[[#All],[Bucket2]:[WIP]],3,0)</f>
        <v/>
      </c>
      <c r="T92" s="93">
        <f>VLOOKUP(Table11[[#This Row],[Bucket]],salesforecast[[#All],[Bucket2]:[WIP]],4,0)</f>
        <v/>
      </c>
      <c r="U92" s="93">
        <f>VLOOKUP(Table11[[#This Row],[Bucket]],salesforecast[[#All],[Bucket2]:[WIP]],5,0)</f>
        <v/>
      </c>
      <c r="V92" s="93">
        <f>VLOOKUP(Table11[[#This Row],[Bucket]],salesforecast[[#All],[Bucket2]:[WIP]],7,0)</f>
        <v/>
      </c>
      <c r="W92" s="93">
        <f>Table11[[#This Row],[Stock LL]]+Table11[[#This Row],[WIP]]+Table11[[#This Row],[Stock CTL]]</f>
        <v/>
      </c>
      <c r="X92" s="93">
        <f>IF((Table11[[#This Row],[Requirement]]-Table11[[#This Row],[Sales]]-Table11[[#This Row],[Total Stock]])&lt;0,0,Table11[[#This Row],[Requirement]]-Table11[[#This Row],[Sales]]-Table11[[#This Row],[Total Stock]])</f>
        <v/>
      </c>
      <c r="Y92" s="94">
        <f>_xlfn.CONCAT(ROUND(Table11[[#This Row],[Total Stock]]/Table11[[#This Row],[Requirement]]*100,0),"% Coverage. Rest by Week 3")</f>
        <v/>
      </c>
      <c r="Z92" s="93" t="n">
        <v>50.8</v>
      </c>
      <c r="AA92" s="93" t="n">
        <v>50.8</v>
      </c>
      <c r="AB92" s="93" t="n">
        <v>0</v>
      </c>
      <c r="AC92" s="93" t="n">
        <v>1.6</v>
      </c>
      <c r="AD92" s="93" t="inlineStr">
        <is>
          <t>ERW 1</t>
        </is>
      </c>
      <c r="AE92" s="93" t="inlineStr">
        <is>
          <t>FC</t>
        </is>
      </c>
      <c r="AF92" s="93" t="inlineStr">
        <is>
          <t>50.8-0-1.6-ERW 1-FC</t>
        </is>
      </c>
      <c r="AG92" s="93">
        <f>EXACT(Table11[[#This Row],[Bucket8]],Table11[[#This Row],[Bucket]])</f>
        <v/>
      </c>
      <c r="AH92" s="93" t="n"/>
      <c r="AI92" s="93" t="n"/>
      <c r="AJ92" s="93" t="n"/>
      <c r="AK92" s="93" t="n"/>
      <c r="AL92" s="93" t="n"/>
      <c r="AM92" s="93" t="n"/>
      <c r="AN92" s="93" t="n"/>
      <c r="AO92" s="93" t="n">
        <v>4.4822530368</v>
      </c>
      <c r="AP92" s="93" t="n"/>
      <c r="AQ92" s="93" t="n"/>
      <c r="AR92" s="93" t="n"/>
      <c r="AS92" s="93" t="n"/>
      <c r="AT92" s="93" t="n"/>
      <c r="AU92" s="93" t="n"/>
      <c r="AV92" s="93" t="n"/>
      <c r="AW92" s="93" t="n"/>
      <c r="AX92" s="93" t="n"/>
      <c r="AY92" s="93" t="n"/>
      <c r="AZ92" s="93" t="n"/>
      <c r="BA92" s="93" t="n"/>
      <c r="BB92" s="93" t="n"/>
      <c r="BC92" s="93" t="n"/>
      <c r="BD92" s="93" t="n"/>
      <c r="BE92" s="467" t="n">
        <v>4.4822530368</v>
      </c>
    </row>
    <row r="93">
      <c r="A93" s="137" t="n"/>
      <c r="B93" s="136" t="n"/>
      <c r="D93" s="136" t="n"/>
      <c r="G93" s="43" t="n"/>
      <c r="H93" s="43" t="n"/>
      <c r="I93" s="43" t="n"/>
      <c r="J93" s="91" t="n">
        <v>54</v>
      </c>
      <c r="K93" s="15" t="n">
        <v>54</v>
      </c>
      <c r="L93" s="15" t="n">
        <v>0</v>
      </c>
      <c r="M93" s="15" t="n">
        <v>3</v>
      </c>
      <c r="N93" s="15" t="inlineStr">
        <is>
          <t>ERW 2</t>
        </is>
      </c>
      <c r="O93" s="15" t="inlineStr">
        <is>
          <t>FC</t>
        </is>
      </c>
      <c r="P93" s="15" t="inlineStr">
        <is>
          <t>54-0-3-ERW 2-FC</t>
        </is>
      </c>
      <c r="Q93" s="92" t="inlineStr">
        <is>
          <t>Khopoli</t>
        </is>
      </c>
      <c r="R93" s="607">
        <f>Table11[[#This Row],[Grand Total]]</f>
        <v/>
      </c>
      <c r="S93" s="93">
        <f>VLOOKUP(Table11[[#This Row],[Bucket]],salesforecast[[#All],[Bucket2]:[WIP]],3,0)</f>
        <v/>
      </c>
      <c r="T93" s="93">
        <f>VLOOKUP(Table11[[#This Row],[Bucket]],salesforecast[[#All],[Bucket2]:[WIP]],4,0)</f>
        <v/>
      </c>
      <c r="U93" s="93">
        <f>VLOOKUP(Table11[[#This Row],[Bucket]],salesforecast[[#All],[Bucket2]:[WIP]],5,0)</f>
        <v/>
      </c>
      <c r="V93" s="93">
        <f>VLOOKUP(Table11[[#This Row],[Bucket]],salesforecast[[#All],[Bucket2]:[WIP]],7,0)</f>
        <v/>
      </c>
      <c r="W93" s="93">
        <f>Table11[[#This Row],[Stock LL]]+Table11[[#This Row],[WIP]]+Table11[[#This Row],[Stock CTL]]</f>
        <v/>
      </c>
      <c r="X93" s="93">
        <f>IF((Table11[[#This Row],[Requirement]]-Table11[[#This Row],[Sales]]-Table11[[#This Row],[Total Stock]])&lt;0,0,Table11[[#This Row],[Requirement]]-Table11[[#This Row],[Sales]]-Table11[[#This Row],[Total Stock]])</f>
        <v/>
      </c>
      <c r="Y93" s="94">
        <f>_xlfn.CONCAT(ROUND(Table11[[#This Row],[Total Stock]]/Table11[[#This Row],[Requirement]]*100,0),"% Coverage. Rest by Week 3")</f>
        <v/>
      </c>
      <c r="Z93" s="93" t="n">
        <v>54</v>
      </c>
      <c r="AA93" s="93" t="n">
        <v>54</v>
      </c>
      <c r="AB93" s="93" t="n">
        <v>0</v>
      </c>
      <c r="AC93" s="93" t="n">
        <v>3</v>
      </c>
      <c r="AD93" s="93" t="inlineStr">
        <is>
          <t>ERW 2</t>
        </is>
      </c>
      <c r="AE93" s="93" t="inlineStr">
        <is>
          <t>FC</t>
        </is>
      </c>
      <c r="AF93" s="93" t="inlineStr">
        <is>
          <t>54-0-3-ERW 2-FC</t>
        </is>
      </c>
      <c r="AG93" s="93">
        <f>EXACT(Table11[[#This Row],[Bucket8]],Table11[[#This Row],[Bucket]])</f>
        <v/>
      </c>
      <c r="AH93" s="93" t="n"/>
      <c r="AI93" s="93" t="n"/>
      <c r="AJ93" s="93" t="n"/>
      <c r="AK93" s="93" t="n"/>
      <c r="AL93" s="93" t="n"/>
      <c r="AM93" s="93" t="n"/>
      <c r="AN93" s="93" t="n"/>
      <c r="AO93" s="93" t="n"/>
      <c r="AP93" s="93" t="n">
        <v>21.4963929</v>
      </c>
      <c r="AQ93" s="93" t="n"/>
      <c r="AR93" s="93" t="n"/>
      <c r="AS93" s="93" t="n"/>
      <c r="AT93" s="93" t="n"/>
      <c r="AU93" s="93" t="n"/>
      <c r="AV93" s="93" t="n"/>
      <c r="AW93" s="93" t="n"/>
      <c r="AX93" s="93" t="n"/>
      <c r="AY93" s="93" t="n"/>
      <c r="AZ93" s="93" t="n"/>
      <c r="BA93" s="93" t="n"/>
      <c r="BB93" s="93" t="n"/>
      <c r="BC93" s="93" t="n"/>
      <c r="BD93" s="93" t="n">
        <v>10.0603118772</v>
      </c>
      <c r="BE93" s="467" t="n">
        <v>31.5567047772</v>
      </c>
    </row>
    <row r="94">
      <c r="A94" s="136" t="n"/>
      <c r="B94" s="136" t="n"/>
      <c r="D94" s="136" t="n"/>
      <c r="H94" s="43" t="n"/>
      <c r="I94" s="43" t="n"/>
      <c r="J94" s="91" t="n">
        <v>57.15</v>
      </c>
      <c r="K94" s="15" t="n">
        <v>57.15</v>
      </c>
      <c r="L94" s="15" t="n">
        <v>0</v>
      </c>
      <c r="M94" s="15" t="n">
        <v>2</v>
      </c>
      <c r="N94" s="15" t="inlineStr">
        <is>
          <t>ERW 1</t>
        </is>
      </c>
      <c r="O94" s="15" t="inlineStr">
        <is>
          <t>FC</t>
        </is>
      </c>
      <c r="P94" s="15" t="inlineStr">
        <is>
          <t>57.15-0-2-ERW 1-FC</t>
        </is>
      </c>
      <c r="Q94" s="92" t="inlineStr">
        <is>
          <t>Hosur</t>
        </is>
      </c>
      <c r="R94" s="607">
        <f>Table11[[#This Row],[Grand Total]]</f>
        <v/>
      </c>
      <c r="S94" s="93">
        <f>VLOOKUP(Table11[[#This Row],[Bucket]],salesforecast[[#All],[Bucket2]:[WIP]],3,0)</f>
        <v/>
      </c>
      <c r="T94" s="93">
        <f>VLOOKUP(Table11[[#This Row],[Bucket]],salesforecast[[#All],[Bucket2]:[WIP]],4,0)</f>
        <v/>
      </c>
      <c r="U94" s="93">
        <f>VLOOKUP(Table11[[#This Row],[Bucket]],salesforecast[[#All],[Bucket2]:[WIP]],5,0)</f>
        <v/>
      </c>
      <c r="V94" s="93">
        <f>VLOOKUP(Table11[[#This Row],[Bucket]],salesforecast[[#All],[Bucket2]:[WIP]],7,0)</f>
        <v/>
      </c>
      <c r="W94" s="93">
        <f>Table11[[#This Row],[Stock LL]]+Table11[[#This Row],[WIP]]+Table11[[#This Row],[Stock CTL]]</f>
        <v/>
      </c>
      <c r="X94" s="93">
        <f>IF((Table11[[#This Row],[Requirement]]-Table11[[#This Row],[Sales]]-Table11[[#This Row],[Total Stock]])&lt;0,0,Table11[[#This Row],[Requirement]]-Table11[[#This Row],[Sales]]-Table11[[#This Row],[Total Stock]])</f>
        <v/>
      </c>
      <c r="Y94" s="94">
        <f>_xlfn.CONCAT(ROUND(Table11[[#This Row],[Total Stock]]/Table11[[#This Row],[Requirement]]*100,0),"% Coverage. Rest by Week 3")</f>
        <v/>
      </c>
      <c r="Z94" s="93" t="n">
        <v>57.15</v>
      </c>
      <c r="AA94" s="93" t="n">
        <v>57.15</v>
      </c>
      <c r="AB94" s="93" t="n">
        <v>0</v>
      </c>
      <c r="AC94" s="93" t="n">
        <v>2</v>
      </c>
      <c r="AD94" s="93" t="inlineStr">
        <is>
          <t>ERW 1</t>
        </is>
      </c>
      <c r="AE94" s="93" t="inlineStr">
        <is>
          <t>FC</t>
        </is>
      </c>
      <c r="AF94" s="93" t="inlineStr">
        <is>
          <t>57.15-0-2-ERW 1-FC</t>
        </is>
      </c>
      <c r="AG94" s="93">
        <f>EXACT(Table11[[#This Row],[Bucket8]],Table11[[#This Row],[Bucket]])</f>
        <v/>
      </c>
      <c r="AH94" s="93" t="n"/>
      <c r="AI94" s="93" t="n"/>
      <c r="AJ94" s="93" t="n">
        <v>11.43711159749</v>
      </c>
      <c r="AK94" s="93" t="n"/>
      <c r="AL94" s="93" t="n"/>
      <c r="AM94" s="93" t="n"/>
      <c r="AN94" s="93" t="n"/>
      <c r="AO94" s="93" t="n"/>
      <c r="AP94" s="93" t="n"/>
      <c r="AQ94" s="93" t="n"/>
      <c r="AR94" s="93" t="n"/>
      <c r="AS94" s="93" t="n"/>
      <c r="AT94" s="93" t="n"/>
      <c r="AU94" s="93" t="n"/>
      <c r="AV94" s="93" t="n">
        <v>5.5599147115</v>
      </c>
      <c r="AW94" s="93" t="n"/>
      <c r="AX94" s="93" t="n"/>
      <c r="AY94" s="93" t="n"/>
      <c r="AZ94" s="93" t="n"/>
      <c r="BA94" s="93" t="n"/>
      <c r="BB94" s="93" t="n"/>
      <c r="BC94" s="93" t="n"/>
      <c r="BD94" s="93" t="n"/>
      <c r="BE94" s="467" t="n">
        <v>16.99702630899</v>
      </c>
    </row>
    <row r="95">
      <c r="A95" s="136" t="n"/>
      <c r="B95" s="136" t="n"/>
      <c r="D95" s="136" t="n"/>
      <c r="H95" s="43" t="n"/>
      <c r="I95" s="43" t="n"/>
      <c r="J95" s="91" t="n">
        <v>57.15</v>
      </c>
      <c r="K95" s="15" t="n">
        <v>57.15</v>
      </c>
      <c r="L95" s="15" t="n">
        <v>0</v>
      </c>
      <c r="M95" s="15" t="n">
        <v>2.3</v>
      </c>
      <c r="N95" s="15" t="inlineStr">
        <is>
          <t>ERW 2</t>
        </is>
      </c>
      <c r="O95" s="15" t="inlineStr">
        <is>
          <t>FC</t>
        </is>
      </c>
      <c r="P95" s="15" t="inlineStr">
        <is>
          <t>57.15-0-2.3-ERW 2-FC</t>
        </is>
      </c>
      <c r="Q95" s="92" t="inlineStr">
        <is>
          <t>Jamshedpur</t>
        </is>
      </c>
      <c r="R95" s="607">
        <f>Table11[[#This Row],[Grand Total]]</f>
        <v/>
      </c>
      <c r="S95" s="93">
        <f>VLOOKUP(Table11[[#This Row],[Bucket]],salesforecast[[#All],[Bucket2]:[WIP]],3,0)</f>
        <v/>
      </c>
      <c r="T95" s="93">
        <f>VLOOKUP(Table11[[#This Row],[Bucket]],salesforecast[[#All],[Bucket2]:[WIP]],4,0)</f>
        <v/>
      </c>
      <c r="U95" s="93">
        <f>VLOOKUP(Table11[[#This Row],[Bucket]],salesforecast[[#All],[Bucket2]:[WIP]],5,0)</f>
        <v/>
      </c>
      <c r="V95" s="93">
        <f>VLOOKUP(Table11[[#This Row],[Bucket]],salesforecast[[#All],[Bucket2]:[WIP]],7,0)</f>
        <v/>
      </c>
      <c r="W95" s="93">
        <f>Table11[[#This Row],[Stock LL]]+Table11[[#This Row],[WIP]]+Table11[[#This Row],[Stock CTL]]</f>
        <v/>
      </c>
      <c r="X95" s="93">
        <f>IF((Table11[[#This Row],[Requirement]]-Table11[[#This Row],[Sales]]-Table11[[#This Row],[Total Stock]])&lt;0,0,Table11[[#This Row],[Requirement]]-Table11[[#This Row],[Sales]]-Table11[[#This Row],[Total Stock]])</f>
        <v/>
      </c>
      <c r="Y95" s="94">
        <f>_xlfn.CONCAT(ROUND(Table11[[#This Row],[Total Stock]]/Table11[[#This Row],[Requirement]]*100,0),"% Coverage. Rest by Week 3")</f>
        <v/>
      </c>
      <c r="Z95" s="93" t="n">
        <v>57.15</v>
      </c>
      <c r="AA95" s="93" t="n">
        <v>57.15</v>
      </c>
      <c r="AB95" s="93" t="n">
        <v>0</v>
      </c>
      <c r="AC95" s="93" t="n">
        <v>2.3</v>
      </c>
      <c r="AD95" s="93" t="inlineStr">
        <is>
          <t>ERW 2</t>
        </is>
      </c>
      <c r="AE95" s="93" t="inlineStr">
        <is>
          <t>FC</t>
        </is>
      </c>
      <c r="AF95" s="93" t="inlineStr">
        <is>
          <t>57.15-0-2.3-ERW 2-FC</t>
        </is>
      </c>
      <c r="AG95" s="93">
        <f>EXACT(Table11[[#This Row],[Bucket8]],Table11[[#This Row],[Bucket]])</f>
        <v/>
      </c>
      <c r="AH95" s="93" t="n"/>
      <c r="AI95" s="93" t="n"/>
      <c r="AJ95" s="93" t="n"/>
      <c r="AK95" s="93" t="n"/>
      <c r="AL95" s="93" t="n"/>
      <c r="AM95" s="93" t="n"/>
      <c r="AN95" s="93" t="n"/>
      <c r="AO95" s="93" t="n">
        <v>55.179756088275</v>
      </c>
      <c r="AP95" s="93" t="n"/>
      <c r="AQ95" s="93" t="n"/>
      <c r="AR95" s="93" t="n"/>
      <c r="AS95" s="93" t="n"/>
      <c r="AT95" s="93" t="n"/>
      <c r="AU95" s="93" t="n"/>
      <c r="AV95" s="93" t="n"/>
      <c r="AW95" s="93" t="n"/>
      <c r="AX95" s="93" t="n"/>
      <c r="AY95" s="93" t="n"/>
      <c r="AZ95" s="93" t="n"/>
      <c r="BA95" s="93" t="n"/>
      <c r="BB95" s="93" t="n"/>
      <c r="BC95" s="93" t="n"/>
      <c r="BD95" s="93" t="n"/>
      <c r="BE95" s="467" t="n">
        <v>55.179756088275</v>
      </c>
    </row>
    <row r="96">
      <c r="A96" s="136" t="n"/>
      <c r="B96" s="136" t="n"/>
      <c r="D96" s="136" t="n"/>
      <c r="H96" s="43" t="n"/>
      <c r="I96" s="43" t="n"/>
      <c r="J96" s="91" t="n">
        <v>57.15</v>
      </c>
      <c r="K96" s="15" t="n">
        <v>57.15</v>
      </c>
      <c r="L96" s="15" t="n">
        <v>0</v>
      </c>
      <c r="M96" s="15" t="n">
        <v>2.5</v>
      </c>
      <c r="N96" s="15" t="inlineStr">
        <is>
          <t>ERW 1</t>
        </is>
      </c>
      <c r="O96" s="15" t="inlineStr">
        <is>
          <t>FC</t>
        </is>
      </c>
      <c r="P96" s="15" t="inlineStr">
        <is>
          <t>57.15-0-2.5-ERW 1-FC</t>
        </is>
      </c>
      <c r="Q96" s="92" t="inlineStr">
        <is>
          <t>Hosur</t>
        </is>
      </c>
      <c r="R96" s="607">
        <f>Table11[[#This Row],[Grand Total]]</f>
        <v/>
      </c>
      <c r="S96" s="93">
        <f>VLOOKUP(Table11[[#This Row],[Bucket]],salesforecast[[#All],[Bucket2]:[WIP]],3,0)</f>
        <v/>
      </c>
      <c r="T96" s="93">
        <f>VLOOKUP(Table11[[#This Row],[Bucket]],salesforecast[[#All],[Bucket2]:[WIP]],4,0)</f>
        <v/>
      </c>
      <c r="U96" s="93">
        <f>VLOOKUP(Table11[[#This Row],[Bucket]],salesforecast[[#All],[Bucket2]:[WIP]],5,0)</f>
        <v/>
      </c>
      <c r="V96" s="93">
        <f>VLOOKUP(Table11[[#This Row],[Bucket]],salesforecast[[#All],[Bucket2]:[WIP]],7,0)</f>
        <v/>
      </c>
      <c r="W96" s="93">
        <f>Table11[[#This Row],[Stock LL]]+Table11[[#This Row],[WIP]]+Table11[[#This Row],[Stock CTL]]</f>
        <v/>
      </c>
      <c r="X96" s="93">
        <f>IF((Table11[[#This Row],[Requirement]]-Table11[[#This Row],[Sales]]-Table11[[#This Row],[Total Stock]])&lt;0,0,Table11[[#This Row],[Requirement]]-Table11[[#This Row],[Sales]]-Table11[[#This Row],[Total Stock]])</f>
        <v/>
      </c>
      <c r="Y96" s="94">
        <f>_xlfn.CONCAT(ROUND(Table11[[#This Row],[Total Stock]]/Table11[[#This Row],[Requirement]]*100,0),"% Coverage. Rest by Week 3")</f>
        <v/>
      </c>
      <c r="Z96" s="93" t="n">
        <v>57.15</v>
      </c>
      <c r="AA96" s="93" t="n">
        <v>57.15</v>
      </c>
      <c r="AB96" s="93" t="n">
        <v>0</v>
      </c>
      <c r="AC96" s="93" t="n">
        <v>2.5</v>
      </c>
      <c r="AD96" s="93" t="inlineStr">
        <is>
          <t>ERW 1</t>
        </is>
      </c>
      <c r="AE96" s="93" t="inlineStr">
        <is>
          <t>FC</t>
        </is>
      </c>
      <c r="AF96" s="93" t="inlineStr">
        <is>
          <t>57.15-0-2.5-ERW 1-FC</t>
        </is>
      </c>
      <c r="AG96" s="93">
        <f>EXACT(Table11[[#This Row],[Bucket8]],Table11[[#This Row],[Bucket]])</f>
        <v/>
      </c>
      <c r="AH96" s="93" t="n"/>
      <c r="AI96" s="93" t="n"/>
      <c r="AJ96" s="93" t="n"/>
      <c r="AK96" s="93" t="n"/>
      <c r="AL96" s="93" t="n"/>
      <c r="AM96" s="93" t="n"/>
      <c r="AN96" s="93" t="n"/>
      <c r="AO96" s="93" t="n"/>
      <c r="AP96" s="93" t="n"/>
      <c r="AQ96" s="93" t="n">
        <v>7.7995228515</v>
      </c>
      <c r="AR96" s="93" t="n"/>
      <c r="AS96" s="93" t="n"/>
      <c r="AT96" s="93" t="n"/>
      <c r="AU96" s="93" t="n"/>
      <c r="AV96" s="93" t="n">
        <v>11.5982541885</v>
      </c>
      <c r="AW96" s="93" t="n"/>
      <c r="AX96" s="93" t="n"/>
      <c r="AY96" s="93" t="n"/>
      <c r="AZ96" s="93" t="n"/>
      <c r="BA96" s="93" t="n"/>
      <c r="BB96" s="93" t="n"/>
      <c r="BC96" s="93" t="n"/>
      <c r="BD96" s="93" t="n"/>
      <c r="BE96" s="467" t="n">
        <v>19.39777704</v>
      </c>
    </row>
    <row r="97">
      <c r="A97" s="136" t="n"/>
      <c r="B97" s="136" t="n"/>
      <c r="D97" s="136" t="n"/>
      <c r="G97" s="43" t="n"/>
      <c r="H97" s="43" t="n"/>
      <c r="I97" s="43" t="n"/>
      <c r="J97" s="91" t="n">
        <v>60.3</v>
      </c>
      <c r="K97" s="15" t="n">
        <v>60.3</v>
      </c>
      <c r="L97" s="15" t="n">
        <v>0</v>
      </c>
      <c r="M97" s="15" t="n">
        <v>2</v>
      </c>
      <c r="N97" s="15" t="inlineStr">
        <is>
          <t>ERW 1</t>
        </is>
      </c>
      <c r="O97" s="15" t="inlineStr">
        <is>
          <t>FC</t>
        </is>
      </c>
      <c r="P97" s="15" t="inlineStr">
        <is>
          <t>60.3-0-2-ERW 1-FC</t>
        </is>
      </c>
      <c r="Q97" s="92" t="inlineStr">
        <is>
          <t>Khopoli</t>
        </is>
      </c>
      <c r="R97" s="607">
        <f>Table11[[#This Row],[Grand Total]]</f>
        <v/>
      </c>
      <c r="S97" s="93">
        <f>VLOOKUP(Table11[[#This Row],[Bucket]],salesforecast[[#All],[Bucket2]:[WIP]],3,0)</f>
        <v/>
      </c>
      <c r="T97" s="93">
        <f>VLOOKUP(Table11[[#This Row],[Bucket]],salesforecast[[#All],[Bucket2]:[WIP]],4,0)</f>
        <v/>
      </c>
      <c r="U97" s="93">
        <f>VLOOKUP(Table11[[#This Row],[Bucket]],salesforecast[[#All],[Bucket2]:[WIP]],5,0)</f>
        <v/>
      </c>
      <c r="V97" s="93">
        <f>VLOOKUP(Table11[[#This Row],[Bucket]],salesforecast[[#All],[Bucket2]:[WIP]],7,0)</f>
        <v/>
      </c>
      <c r="W97" s="93">
        <f>Table11[[#This Row],[Stock LL]]+Table11[[#This Row],[WIP]]+Table11[[#This Row],[Stock CTL]]</f>
        <v/>
      </c>
      <c r="X97" s="93">
        <f>IF((Table11[[#This Row],[Requirement]]-Table11[[#This Row],[Sales]]-Table11[[#This Row],[Total Stock]])&lt;0,0,Table11[[#This Row],[Requirement]]-Table11[[#This Row],[Sales]]-Table11[[#This Row],[Total Stock]])</f>
        <v/>
      </c>
      <c r="Y97" s="96" t="n"/>
      <c r="Z97" s="93" t="n">
        <v>60.3</v>
      </c>
      <c r="AA97" s="93" t="n">
        <v>60.3</v>
      </c>
      <c r="AB97" s="93" t="n">
        <v>0</v>
      </c>
      <c r="AC97" s="93" t="n">
        <v>2</v>
      </c>
      <c r="AD97" s="93" t="inlineStr">
        <is>
          <t>ERW 1</t>
        </is>
      </c>
      <c r="AE97" s="93" t="inlineStr">
        <is>
          <t>FC</t>
        </is>
      </c>
      <c r="AF97" s="93" t="inlineStr">
        <is>
          <t>60.3-0-2-ERW 1-FC</t>
        </is>
      </c>
      <c r="AG97" s="93">
        <f>EXACT(Table11[[#This Row],[Bucket8]],Table11[[#This Row],[Bucket]])</f>
        <v/>
      </c>
      <c r="AH97" s="93" t="n"/>
      <c r="AI97" s="93" t="n"/>
      <c r="AJ97" s="93" t="n"/>
      <c r="AK97" s="93" t="n"/>
      <c r="AL97" s="93" t="n"/>
      <c r="AM97" s="93" t="n">
        <v>6.035554139999999</v>
      </c>
      <c r="AN97" s="93" t="n"/>
      <c r="AO97" s="93" t="n"/>
      <c r="AP97" s="93" t="n"/>
      <c r="AQ97" s="93" t="n"/>
      <c r="AR97" s="93" t="n"/>
      <c r="AS97" s="93" t="n"/>
      <c r="AT97" s="93" t="n"/>
      <c r="AU97" s="93" t="n"/>
      <c r="AV97" s="93" t="n">
        <v>4.233510118200001</v>
      </c>
      <c r="AW97" s="93" t="n"/>
      <c r="AX97" s="93" t="n"/>
      <c r="AY97" s="93" t="n"/>
      <c r="AZ97" s="93" t="n"/>
      <c r="BA97" s="93" t="n"/>
      <c r="BB97" s="93" t="n"/>
      <c r="BC97" s="93" t="n"/>
      <c r="BD97" s="93" t="n"/>
      <c r="BE97" s="467" t="n">
        <v>10.2690642582</v>
      </c>
    </row>
    <row r="98">
      <c r="A98" s="137" t="n"/>
      <c r="B98" s="136" t="n"/>
      <c r="D98" s="136" t="n"/>
      <c r="G98" s="43" t="n"/>
      <c r="H98" s="43" t="n"/>
      <c r="I98" s="43" t="n"/>
      <c r="J98" s="91" t="n">
        <v>63.5</v>
      </c>
      <c r="K98" s="15" t="n">
        <v>50</v>
      </c>
      <c r="L98" s="15" t="n">
        <v>50</v>
      </c>
      <c r="M98" s="15" t="n">
        <v>1.6</v>
      </c>
      <c r="N98" s="15" t="inlineStr">
        <is>
          <t>ERW 2</t>
        </is>
      </c>
      <c r="O98" s="15" t="inlineStr">
        <is>
          <t>PE</t>
        </is>
      </c>
      <c r="P98" s="15" t="inlineStr">
        <is>
          <t>50-50-1.6-ERW 2-PE</t>
        </is>
      </c>
      <c r="Q98" s="92" t="inlineStr">
        <is>
          <t>Jamshedpur</t>
        </is>
      </c>
      <c r="R98" s="607">
        <f>Table11[[#This Row],[Grand Total]]</f>
        <v/>
      </c>
      <c r="S98" s="93">
        <f>VLOOKUP(Table11[[#This Row],[Bucket]],salesforecast[[#All],[Bucket2]:[WIP]],3,0)</f>
        <v/>
      </c>
      <c r="T98" s="93">
        <f>VLOOKUP(Table11[[#This Row],[Bucket]],salesforecast[[#All],[Bucket2]:[WIP]],4,0)</f>
        <v/>
      </c>
      <c r="U98" s="93">
        <f>VLOOKUP(Table11[[#This Row],[Bucket]],salesforecast[[#All],[Bucket2]:[WIP]],5,0)</f>
        <v/>
      </c>
      <c r="V98" s="93">
        <f>VLOOKUP(Table11[[#This Row],[Bucket]],salesforecast[[#All],[Bucket2]:[WIP]],7,0)</f>
        <v/>
      </c>
      <c r="W98" s="93">
        <f>Table11[[#This Row],[Stock LL]]+Table11[[#This Row],[WIP]]+Table11[[#This Row],[Stock CTL]]</f>
        <v/>
      </c>
      <c r="X98" s="93">
        <f>IF((Table11[[#This Row],[Requirement]]-Table11[[#This Row],[Sales]]-Table11[[#This Row],[Total Stock]])&lt;0,0,Table11[[#This Row],[Requirement]]-Table11[[#This Row],[Sales]]-Table11[[#This Row],[Total Stock]])</f>
        <v/>
      </c>
      <c r="Y98" s="96" t="n"/>
      <c r="Z98" s="93" t="n">
        <v>63.5</v>
      </c>
      <c r="AA98" s="93" t="n">
        <v>50</v>
      </c>
      <c r="AB98" s="93" t="n">
        <v>50</v>
      </c>
      <c r="AC98" s="93" t="n">
        <v>1.6</v>
      </c>
      <c r="AD98" s="93" t="inlineStr">
        <is>
          <t>ERW 2</t>
        </is>
      </c>
      <c r="AE98" s="93" t="inlineStr">
        <is>
          <t>PE</t>
        </is>
      </c>
      <c r="AF98" s="93" t="inlineStr">
        <is>
          <t>50-50-1.6-ERW 2-PE</t>
        </is>
      </c>
      <c r="AG98" s="93">
        <f>EXACT(Table11[[#This Row],[Bucket8]],Table11[[#This Row],[Bucket]])</f>
        <v/>
      </c>
      <c r="AH98" s="93" t="n"/>
      <c r="AI98" s="93" t="n"/>
      <c r="AJ98" s="93" t="n"/>
      <c r="AK98" s="93" t="n"/>
      <c r="AL98" s="93" t="n"/>
      <c r="AM98" s="93" t="n"/>
      <c r="AN98" s="93" t="n"/>
      <c r="AO98" s="93" t="n"/>
      <c r="AP98" s="93" t="n">
        <v>10.3386385256</v>
      </c>
      <c r="AQ98" s="93" t="n"/>
      <c r="AR98" s="93" t="n"/>
      <c r="AS98" s="93" t="n"/>
      <c r="AT98" s="93" t="n"/>
      <c r="AU98" s="93" t="n"/>
      <c r="AV98" s="93" t="n"/>
      <c r="AW98" s="93" t="n"/>
      <c r="AX98" s="93" t="n"/>
      <c r="AY98" s="93" t="n"/>
      <c r="AZ98" s="93" t="n"/>
      <c r="BA98" s="93" t="n"/>
      <c r="BB98" s="93" t="n"/>
      <c r="BC98" s="93" t="n"/>
      <c r="BD98" s="93" t="n">
        <v>5.065932877544001</v>
      </c>
      <c r="BE98" s="467" t="n">
        <v>15.404571403144</v>
      </c>
    </row>
    <row r="99">
      <c r="A99" s="137" t="n"/>
      <c r="B99" s="136" t="n"/>
      <c r="D99" s="136" t="n"/>
      <c r="G99" s="43" t="n"/>
      <c r="H99" s="43" t="n"/>
      <c r="I99" s="43" t="n"/>
      <c r="J99" s="91" t="n">
        <v>63.5</v>
      </c>
      <c r="K99" s="15" t="n">
        <v>63.5</v>
      </c>
      <c r="L99" s="15" t="n">
        <v>0</v>
      </c>
      <c r="M99" s="15" t="n">
        <v>4</v>
      </c>
      <c r="N99" s="15" t="inlineStr">
        <is>
          <t>ERW 1</t>
        </is>
      </c>
      <c r="O99" s="15" t="inlineStr">
        <is>
          <t>FC</t>
        </is>
      </c>
      <c r="P99" s="15" t="inlineStr">
        <is>
          <t>63.5-0-4-ERW 1-FC</t>
        </is>
      </c>
      <c r="Q99" s="92" t="inlineStr">
        <is>
          <t>Khopoli</t>
        </is>
      </c>
      <c r="R99" s="607">
        <f>Table11[[#This Row],[Grand Total]]</f>
        <v/>
      </c>
      <c r="S99" s="93">
        <f>VLOOKUP(Table11[[#This Row],[Bucket]],salesforecast[[#All],[Bucket2]:[WIP]],3,0)</f>
        <v/>
      </c>
      <c r="T99" s="93">
        <f>VLOOKUP(Table11[[#This Row],[Bucket]],salesforecast[[#All],[Bucket2]:[WIP]],4,0)</f>
        <v/>
      </c>
      <c r="U99" s="93">
        <f>VLOOKUP(Table11[[#This Row],[Bucket]],salesforecast[[#All],[Bucket2]:[WIP]],5,0)</f>
        <v/>
      </c>
      <c r="V99" s="93">
        <f>VLOOKUP(Table11[[#This Row],[Bucket]],salesforecast[[#All],[Bucket2]:[WIP]],7,0)</f>
        <v/>
      </c>
      <c r="W99" s="93">
        <f>Table11[[#This Row],[Stock LL]]+Table11[[#This Row],[WIP]]+Table11[[#This Row],[Stock CTL]]</f>
        <v/>
      </c>
      <c r="X99" s="93">
        <f>IF((Table11[[#This Row],[Requirement]]-Table11[[#This Row],[Sales]]-Table11[[#This Row],[Total Stock]])&lt;0,0,Table11[[#This Row],[Requirement]]-Table11[[#This Row],[Sales]]-Table11[[#This Row],[Total Stock]])</f>
        <v/>
      </c>
      <c r="Y99" s="96" t="n"/>
      <c r="Z99" s="93" t="n">
        <v>63.5</v>
      </c>
      <c r="AA99" s="93" t="n">
        <v>63.5</v>
      </c>
      <c r="AB99" s="93" t="n">
        <v>0</v>
      </c>
      <c r="AC99" s="93" t="n">
        <v>4</v>
      </c>
      <c r="AD99" s="93" t="inlineStr">
        <is>
          <t>ERW 1</t>
        </is>
      </c>
      <c r="AE99" s="93" t="inlineStr">
        <is>
          <t>FC</t>
        </is>
      </c>
      <c r="AF99" s="93" t="inlineStr">
        <is>
          <t>63.5-0-4-ERW 1-FC</t>
        </is>
      </c>
      <c r="AG99" s="93">
        <f>EXACT(Table11[[#This Row],[Bucket8]],Table11[[#This Row],[Bucket]])</f>
        <v/>
      </c>
      <c r="AH99" s="93" t="n"/>
      <c r="AI99" s="93" t="n"/>
      <c r="AJ99" s="93" t="n"/>
      <c r="AK99" s="93" t="n"/>
      <c r="AL99" s="93" t="n"/>
      <c r="AM99" s="93" t="n"/>
      <c r="AN99" s="93" t="n"/>
      <c r="AO99" s="93" t="n"/>
      <c r="AP99" s="93" t="n">
        <v>17.998305416</v>
      </c>
      <c r="AQ99" s="93" t="n"/>
      <c r="AR99" s="93" t="n"/>
      <c r="AS99" s="93" t="n"/>
      <c r="AT99" s="93" t="n"/>
      <c r="AU99" s="93" t="n"/>
      <c r="AV99" s="93" t="n"/>
      <c r="AW99" s="93" t="n"/>
      <c r="AX99" s="93" t="n"/>
      <c r="AY99" s="93" t="n"/>
      <c r="AZ99" s="93" t="n"/>
      <c r="BA99" s="93" t="n"/>
      <c r="BB99" s="93" t="n"/>
      <c r="BC99" s="93" t="n"/>
      <c r="BD99" s="93" t="n">
        <v>13.041145026</v>
      </c>
      <c r="BE99" s="467" t="n">
        <v>31.039450442</v>
      </c>
    </row>
    <row r="100">
      <c r="A100" s="136" t="n"/>
      <c r="B100" s="136" t="n"/>
      <c r="D100" s="136" t="n"/>
      <c r="G100" s="43" t="n"/>
      <c r="H100" s="43" t="n"/>
      <c r="I100" s="43" t="n"/>
      <c r="J100" s="91" t="n">
        <v>70</v>
      </c>
      <c r="K100" s="15" t="n">
        <v>70</v>
      </c>
      <c r="L100" s="15" t="n">
        <v>0</v>
      </c>
      <c r="M100" s="15" t="n">
        <v>3.2</v>
      </c>
      <c r="N100" s="15" t="inlineStr">
        <is>
          <t>ERW 2</t>
        </is>
      </c>
      <c r="O100" s="15" t="inlineStr">
        <is>
          <t>FC</t>
        </is>
      </c>
      <c r="P100" s="15" t="inlineStr">
        <is>
          <t>70-0-3.2-ERW 2-FC</t>
        </is>
      </c>
      <c r="Q100" s="92" t="inlineStr">
        <is>
          <t>Khopoli</t>
        </is>
      </c>
      <c r="R100" s="607">
        <f>Table11[[#This Row],[Grand Total]]</f>
        <v/>
      </c>
      <c r="S100" s="93">
        <f>VLOOKUP(Table11[[#This Row],[Bucket]],salesforecast[[#All],[Bucket2]:[WIP]],3,0)</f>
        <v/>
      </c>
      <c r="T100" s="93">
        <f>VLOOKUP(Table11[[#This Row],[Bucket]],salesforecast[[#All],[Bucket2]:[WIP]],4,0)</f>
        <v/>
      </c>
      <c r="U100" s="93">
        <f>VLOOKUP(Table11[[#This Row],[Bucket]],salesforecast[[#All],[Bucket2]:[WIP]],5,0)</f>
        <v/>
      </c>
      <c r="V100" s="93">
        <f>VLOOKUP(Table11[[#This Row],[Bucket]],salesforecast[[#All],[Bucket2]:[WIP]],7,0)</f>
        <v/>
      </c>
      <c r="W100" s="93">
        <f>Table11[[#This Row],[Stock LL]]+Table11[[#This Row],[WIP]]+Table11[[#This Row],[Stock CTL]]</f>
        <v/>
      </c>
      <c r="X100" s="93">
        <f>IF((Table11[[#This Row],[Requirement]]-Table11[[#This Row],[Sales]]-Table11[[#This Row],[Total Stock]])&lt;0,0,Table11[[#This Row],[Requirement]]-Table11[[#This Row],[Sales]]-Table11[[#This Row],[Total Stock]])</f>
        <v/>
      </c>
      <c r="Y100" s="94" t="inlineStr">
        <is>
          <t>Available by Week 2</t>
        </is>
      </c>
      <c r="Z100" s="93" t="n">
        <v>70</v>
      </c>
      <c r="AA100" s="93" t="n">
        <v>70</v>
      </c>
      <c r="AB100" s="93" t="n">
        <v>0</v>
      </c>
      <c r="AC100" s="93" t="n">
        <v>3.2</v>
      </c>
      <c r="AD100" s="93" t="inlineStr">
        <is>
          <t>ERW 2</t>
        </is>
      </c>
      <c r="AE100" s="93" t="inlineStr">
        <is>
          <t>FC</t>
        </is>
      </c>
      <c r="AF100" s="93" t="inlineStr">
        <is>
          <t>70-0-3.2-ERW 2-FC</t>
        </is>
      </c>
      <c r="AG100" s="93">
        <f>EXACT(Table11[[#This Row],[Bucket8]],Table11[[#This Row],[Bucket]])</f>
        <v/>
      </c>
      <c r="AH100" s="93" t="n"/>
      <c r="AI100" s="93" t="n"/>
      <c r="AJ100" s="93" t="n"/>
      <c r="AK100" s="93" t="n"/>
      <c r="AL100" s="93" t="n"/>
      <c r="AM100" s="93" t="n"/>
      <c r="AN100" s="93" t="n"/>
      <c r="AO100" s="93" t="n"/>
      <c r="AP100" s="93" t="n">
        <v>12.908977088</v>
      </c>
      <c r="AQ100" s="93" t="n"/>
      <c r="AR100" s="93" t="n"/>
      <c r="AS100" s="93" t="n"/>
      <c r="AT100" s="93" t="n"/>
      <c r="AU100" s="93" t="n"/>
      <c r="AV100" s="93" t="n"/>
      <c r="AW100" s="93" t="n"/>
      <c r="AX100" s="93" t="n"/>
      <c r="AY100" s="93" t="n"/>
      <c r="AZ100" s="93" t="n"/>
      <c r="BA100" s="93" t="n"/>
      <c r="BB100" s="93" t="n"/>
      <c r="BC100" s="93" t="n"/>
      <c r="BD100" s="93" t="n">
        <v>5.934968078335999</v>
      </c>
      <c r="BE100" s="467" t="n">
        <v>18.843945166336</v>
      </c>
    </row>
    <row r="101">
      <c r="A101" s="136" t="n"/>
      <c r="B101" s="136" t="n"/>
      <c r="D101" s="136" t="n"/>
      <c r="G101" s="43" t="n"/>
      <c r="H101" s="43" t="n"/>
      <c r="I101" s="43" t="n"/>
      <c r="J101" s="91" t="n">
        <v>29.28</v>
      </c>
      <c r="K101" s="15" t="n">
        <v>29.28</v>
      </c>
      <c r="L101" s="15" t="n">
        <v>0</v>
      </c>
      <c r="M101" s="15" t="n">
        <v>3.4</v>
      </c>
      <c r="N101" s="15" t="inlineStr">
        <is>
          <t>CEW</t>
        </is>
      </c>
      <c r="O101" s="15" t="inlineStr">
        <is>
          <t>CEW</t>
        </is>
      </c>
      <c r="P101" s="15" t="inlineStr">
        <is>
          <t>29.28-0-3.4-CEW-CEW</t>
        </is>
      </c>
      <c r="Q101" s="92" t="inlineStr">
        <is>
          <t>Khopoli</t>
        </is>
      </c>
      <c r="R101" s="607">
        <f>Table11[[#This Row],[Grand Total]]</f>
        <v/>
      </c>
      <c r="S101" s="93">
        <f>VLOOKUP(Table11[[#This Row],[Bucket]],salesforecast[[#All],[Bucket2]:[WIP]],3,0)</f>
        <v/>
      </c>
      <c r="T101" s="93">
        <f>VLOOKUP(Table11[[#This Row],[Bucket]],salesforecast[[#All],[Bucket2]:[WIP]],4,0)</f>
        <v/>
      </c>
      <c r="U101" s="93">
        <f>VLOOKUP(Table11[[#This Row],[Bucket]],salesforecast[[#All],[Bucket2]:[WIP]],5,0)</f>
        <v/>
      </c>
      <c r="V101" s="93">
        <f>VLOOKUP(Table11[[#This Row],[Bucket]],salesforecast[[#All],[Bucket2]:[WIP]],7,0)</f>
        <v/>
      </c>
      <c r="W101" s="93">
        <f>Table11[[#This Row],[Stock LL]]+Table11[[#This Row],[WIP]]+Table11[[#This Row],[Stock CTL]]</f>
        <v/>
      </c>
      <c r="X101" s="93">
        <f>IF((Table11[[#This Row],[Requirement]]-Table11[[#This Row],[Sales]]-Table11[[#This Row],[Total Stock]])&lt;0,0,Table11[[#This Row],[Requirement]]-Table11[[#This Row],[Sales]]-Table11[[#This Row],[Total Stock]])</f>
        <v/>
      </c>
      <c r="Y101" s="94">
        <f>_xlfn.CONCAT(ROUND(Table11[[#This Row],[Total Stock]]/Table11[[#This Row],[Requirement]]*100,0),"% Coverage. Rest by Week 3")</f>
        <v/>
      </c>
      <c r="Z101" s="93" t="n">
        <v>29.28</v>
      </c>
      <c r="AA101" s="93" t="n">
        <v>29.28</v>
      </c>
      <c r="AB101" s="93" t="n">
        <v>0</v>
      </c>
      <c r="AC101" s="93" t="n">
        <v>3.4</v>
      </c>
      <c r="AD101" s="93" t="inlineStr">
        <is>
          <t>CEW</t>
        </is>
      </c>
      <c r="AE101" s="93" t="inlineStr">
        <is>
          <t>CEW</t>
        </is>
      </c>
      <c r="AF101" s="93" t="inlineStr">
        <is>
          <t>29.28-0-3.4-CEW-CEW</t>
        </is>
      </c>
      <c r="AG101" s="93">
        <f>EXACT(Table11[[#This Row],[Bucket8]],Table11[[#This Row],[Bucket]])</f>
        <v/>
      </c>
      <c r="AH101" s="93" t="n"/>
      <c r="AI101" s="93" t="n">
        <v>2.3858062888</v>
      </c>
      <c r="AJ101" s="93" t="n"/>
      <c r="AK101" s="93" t="n"/>
      <c r="AL101" s="93" t="n"/>
      <c r="AM101" s="93" t="n"/>
      <c r="AN101" s="93" t="n"/>
      <c r="AO101" s="93" t="n"/>
      <c r="AP101" s="93" t="n"/>
      <c r="AQ101" s="93" t="n"/>
      <c r="AR101" s="93" t="n"/>
      <c r="AS101" s="93" t="n"/>
      <c r="AT101" s="93" t="n"/>
      <c r="AU101" s="93" t="n"/>
      <c r="AV101" s="93" t="n"/>
      <c r="AW101" s="93" t="n"/>
      <c r="AX101" s="93" t="n"/>
      <c r="AY101" s="93" t="n"/>
      <c r="AZ101" s="93" t="n"/>
      <c r="BA101" s="93" t="n"/>
      <c r="BB101" s="93" t="n"/>
      <c r="BC101" s="93" t="n"/>
      <c r="BD101" s="470" t="n"/>
      <c r="BE101" s="471" t="n">
        <v>2.3858062888</v>
      </c>
    </row>
    <row r="102">
      <c r="A102" s="137" t="n"/>
      <c r="B102" s="136" t="n"/>
      <c r="D102" s="136" t="n"/>
      <c r="G102" s="43" t="n"/>
      <c r="H102" s="43" t="n"/>
      <c r="I102" s="43" t="n"/>
    </row>
    <row r="105">
      <c r="A105" s="136" t="n"/>
      <c r="B105" s="136" t="n"/>
      <c r="D105" s="136" t="n"/>
      <c r="G105" s="43" t="n"/>
    </row>
    <row r="106">
      <c r="A106" s="136" t="n"/>
      <c r="B106" s="136" t="n"/>
      <c r="D106" s="136" t="n"/>
      <c r="G106" s="43" t="n"/>
      <c r="P106">
        <f t="array" ref="P106:P160">_xlfn._xlws.FILTER(H107:H210,ISNA(_xlfn.XMATCH(H107:H210,'RM Tracker Pasted'!P2:P101)))</f>
        <v/>
      </c>
    </row>
    <row r="107">
      <c r="A107" s="137" t="n"/>
      <c r="B107" s="136" t="n"/>
      <c r="D107" s="136" t="n"/>
      <c r="G107" s="43" t="n"/>
      <c r="H107">
        <f t="array" ref="H107:H197">_xlfn.UNIQUE('RM Tracker'!G5:G104)</f>
        <v/>
      </c>
      <c r="P107" t="inlineStr">
        <is>
          <t>14-0-2.45-CEW-</t>
        </is>
      </c>
    </row>
    <row r="108">
      <c r="A108" s="137" t="n"/>
      <c r="B108" s="136" t="n"/>
      <c r="D108" s="136" t="n"/>
      <c r="G108" s="43" t="n"/>
      <c r="H108" t="inlineStr">
        <is>
          <t>12.7-0-1.6-ERW 1-PE</t>
        </is>
      </c>
      <c r="P108" t="inlineStr">
        <is>
          <t>14-9.1-2.45-CEW-</t>
        </is>
      </c>
    </row>
    <row r="109">
      <c r="A109" s="136" t="n"/>
      <c r="B109" s="136" t="n"/>
      <c r="D109" s="136" t="n"/>
      <c r="G109" s="43" t="n"/>
      <c r="H109" t="inlineStr">
        <is>
          <t>12.7-0-2-ERW 1-PE</t>
        </is>
      </c>
      <c r="P109" t="inlineStr">
        <is>
          <t>(blank)</t>
        </is>
      </c>
    </row>
    <row r="110">
      <c r="A110" s="136" t="n"/>
      <c r="B110" s="136" t="n"/>
      <c r="D110" s="136" t="n"/>
      <c r="G110" s="43" t="n"/>
      <c r="H110" t="inlineStr">
        <is>
          <t>14-0-1.6-CEW-CEW</t>
        </is>
      </c>
      <c r="P110" t="inlineStr">
        <is>
          <t>16.1-0-2-CEW-CEW</t>
        </is>
      </c>
    </row>
    <row r="111">
      <c r="A111" s="137" t="n"/>
      <c r="B111" s="136" t="n"/>
      <c r="D111" s="136" t="n"/>
      <c r="G111" s="43" t="n"/>
      <c r="H111" t="inlineStr">
        <is>
          <t>14-0-2.45-CEW-CEW</t>
        </is>
      </c>
      <c r="P111" t="inlineStr">
        <is>
          <t>16.1-10.7-2.95-CEW-CEW</t>
        </is>
      </c>
    </row>
    <row r="112">
      <c r="A112" s="137" t="n"/>
      <c r="B112" s="136" t="n"/>
      <c r="D112" s="136" t="n"/>
      <c r="G112" s="43" t="n"/>
      <c r="H112" t="inlineStr">
        <is>
          <t>14-0-2.45-CEW-</t>
        </is>
      </c>
      <c r="P112" t="inlineStr">
        <is>
          <t>17.3-0-1.2-CEW-CEW</t>
        </is>
      </c>
    </row>
    <row r="113">
      <c r="A113" s="136" t="n"/>
      <c r="B113" s="136" t="n"/>
      <c r="D113" s="136" t="n"/>
      <c r="G113" s="43" t="n"/>
      <c r="H113" t="inlineStr">
        <is>
          <t>14-9.1-2.45-CEW-</t>
        </is>
      </c>
      <c r="P113" t="inlineStr">
        <is>
          <t>17.3-0-1.2-CEW-</t>
        </is>
      </c>
    </row>
    <row r="114">
      <c r="A114" s="137" t="n"/>
      <c r="B114" s="136" t="n"/>
      <c r="D114" s="136" t="n"/>
      <c r="G114" s="43" t="n"/>
      <c r="H114" t="inlineStr">
        <is>
          <t>14-10.1-1.95-CEW-CEW</t>
        </is>
      </c>
      <c r="P114" t="inlineStr">
        <is>
          <t>17.3-0-1.2-ERW 1-</t>
        </is>
      </c>
    </row>
    <row r="115">
      <c r="A115" s="137" t="n"/>
      <c r="B115" s="136" t="n"/>
      <c r="D115" s="136" t="n"/>
      <c r="G115" s="43" t="n"/>
      <c r="H115" t="inlineStr">
        <is>
          <t>15.88-0-1-ERW 1-PE</t>
        </is>
      </c>
      <c r="P115" t="inlineStr">
        <is>
          <t>17.3-0-1.6-CEW-</t>
        </is>
      </c>
    </row>
    <row r="116">
      <c r="H116" t="inlineStr">
        <is>
          <t>(blank)</t>
        </is>
      </c>
      <c r="P116" t="inlineStr">
        <is>
          <t>26-18-4-CEW-</t>
        </is>
      </c>
    </row>
    <row r="117">
      <c r="H117" t="inlineStr">
        <is>
          <t>15.88-0-1.2-ERW 1-PE</t>
        </is>
      </c>
      <c r="P117" t="inlineStr">
        <is>
          <t>19-12.5-3.25-CEW-</t>
        </is>
      </c>
    </row>
    <row r="118">
      <c r="H118" t="inlineStr">
        <is>
          <t>15.88-0-1.6-ERW 1-PE</t>
        </is>
      </c>
      <c r="P118" t="inlineStr">
        <is>
          <t>19.05-0-1.6-ERW 1-</t>
        </is>
      </c>
    </row>
    <row r="119">
      <c r="H119" t="inlineStr">
        <is>
          <t>15.88-0-2-ERW 1-PE</t>
        </is>
      </c>
      <c r="P119" t="inlineStr">
        <is>
          <t>19.05-0-1.6--</t>
        </is>
      </c>
    </row>
    <row r="120">
      <c r="H120" t="inlineStr">
        <is>
          <t>16.1-0-2-CEW-CEW</t>
        </is>
      </c>
      <c r="P120" t="inlineStr">
        <is>
          <t>19.05-0-1.63--</t>
        </is>
      </c>
    </row>
    <row r="121">
      <c r="H121" t="inlineStr">
        <is>
          <t>16.1-0-2.8-CEW-CEW</t>
        </is>
      </c>
      <c r="P121" t="inlineStr">
        <is>
          <t>19.05-0-2-ERW 1-</t>
        </is>
      </c>
    </row>
    <row r="122">
      <c r="H122" t="inlineStr">
        <is>
          <t>16.1-10.4-2.7-CEW-CEW</t>
        </is>
      </c>
      <c r="P122" t="inlineStr">
        <is>
          <t>19.05-0-2--</t>
        </is>
      </c>
    </row>
    <row r="123">
      <c r="H123" t="inlineStr">
        <is>
          <t>16.1-10.7-2.95-CEW-CEW</t>
        </is>
      </c>
      <c r="P123" t="inlineStr">
        <is>
          <t>19.05-0-2.3-ERW 1-</t>
        </is>
      </c>
    </row>
    <row r="124">
      <c r="H124" t="inlineStr">
        <is>
          <t>17.3-0-1.2-CEW-CEW</t>
        </is>
      </c>
      <c r="P124" t="inlineStr">
        <is>
          <t>19.05-0-2.34-ERW 1-</t>
        </is>
      </c>
    </row>
    <row r="125">
      <c r="H125" t="inlineStr">
        <is>
          <t>17.3-0-1.2-CEW-</t>
        </is>
      </c>
      <c r="P125" t="inlineStr">
        <is>
          <t>19.05-0-2.5-ERW 2-</t>
        </is>
      </c>
    </row>
    <row r="126">
      <c r="H126" t="inlineStr">
        <is>
          <t>17.3-0-1.2-ERW 1-PE</t>
        </is>
      </c>
      <c r="P126" t="inlineStr">
        <is>
          <t>21.75-0-3.5-CEW-</t>
        </is>
      </c>
    </row>
    <row r="127">
      <c r="H127" t="inlineStr">
        <is>
          <t>17.3-0-1.2-ERW 1-</t>
        </is>
      </c>
      <c r="P127" t="inlineStr">
        <is>
          <t>22.2-0-1.2--</t>
        </is>
      </c>
    </row>
    <row r="128">
      <c r="H128" t="inlineStr">
        <is>
          <t>17.3-0-1.6-CEW-</t>
        </is>
      </c>
      <c r="P128" t="inlineStr">
        <is>
          <t>22.23-0-1.2-ERW 1-</t>
        </is>
      </c>
    </row>
    <row r="129">
      <c r="H129" t="inlineStr">
        <is>
          <t>17.3-0-1.6-ERW 1-PE</t>
        </is>
      </c>
      <c r="P129" t="inlineStr">
        <is>
          <t>22.23-0-1.2--</t>
        </is>
      </c>
    </row>
    <row r="130">
      <c r="H130" t="inlineStr">
        <is>
          <t>26-18-4-CEW-</t>
        </is>
      </c>
      <c r="P130" t="inlineStr">
        <is>
          <t>22.23-0-1.6-ERW 1-</t>
        </is>
      </c>
    </row>
    <row r="131">
      <c r="H131" t="inlineStr">
        <is>
          <t>18.2-0-1-ERW 1-PE</t>
        </is>
      </c>
      <c r="P131" t="inlineStr">
        <is>
          <t>22.23-0-2-ERW 1-</t>
        </is>
      </c>
    </row>
    <row r="132">
      <c r="H132" t="inlineStr">
        <is>
          <t>18.2-12.3-2.95-CEW-CEW</t>
        </is>
      </c>
      <c r="P132" t="inlineStr">
        <is>
          <t>22.23-0-2-ERW 2 MAHS-FC</t>
        </is>
      </c>
    </row>
    <row r="133">
      <c r="H133" t="inlineStr">
        <is>
          <t>19-12.5-3.25-CEW-CEW</t>
        </is>
      </c>
      <c r="P133" t="inlineStr">
        <is>
          <t>22.23-0-2--</t>
        </is>
      </c>
    </row>
    <row r="134">
      <c r="H134" t="inlineStr">
        <is>
          <t>19-12.5-3.25-CEW-</t>
        </is>
      </c>
      <c r="P134" t="inlineStr">
        <is>
          <t>22.23-0-2.3--PE</t>
        </is>
      </c>
    </row>
    <row r="135">
      <c r="H135" t="inlineStr">
        <is>
          <t>19.05-0-1-ERW 1-PE</t>
        </is>
      </c>
      <c r="P135" t="inlineStr">
        <is>
          <t>25.4-0-2-ERW 1-</t>
        </is>
      </c>
    </row>
    <row r="136">
      <c r="H136" t="inlineStr">
        <is>
          <t>19.05-0-1.2-CRFH-PE</t>
        </is>
      </c>
      <c r="P136" t="inlineStr">
        <is>
          <t>25.4-0-2--</t>
        </is>
      </c>
    </row>
    <row r="137">
      <c r="H137" t="inlineStr">
        <is>
          <t>19.05-0-1.2-ERW 1-PE</t>
        </is>
      </c>
      <c r="P137" t="inlineStr">
        <is>
          <t>25.4-0-2.5-ERW 1-</t>
        </is>
      </c>
    </row>
    <row r="138">
      <c r="H138" t="inlineStr">
        <is>
          <t>19.05-0-1.6-ERW 1-PE</t>
        </is>
      </c>
      <c r="P138" t="inlineStr">
        <is>
          <t>25.4-0-2.6-ERW 1-</t>
        </is>
      </c>
    </row>
    <row r="139">
      <c r="H139" t="inlineStr">
        <is>
          <t>19.05-0-1.6-ERW 1-</t>
        </is>
      </c>
      <c r="P139" t="inlineStr">
        <is>
          <t>25.4-18.4-3.5-CEW-</t>
        </is>
      </c>
    </row>
    <row r="140">
      <c r="H140" t="inlineStr">
        <is>
          <t>19.05-0-1.6-ERW 2 MAHS-PE</t>
        </is>
      </c>
      <c r="P140" t="inlineStr">
        <is>
          <t>25.4-19-3.2-CEW-</t>
        </is>
      </c>
    </row>
    <row r="141">
      <c r="H141" t="inlineStr">
        <is>
          <t>19.05-0-1.6--</t>
        </is>
      </c>
      <c r="P141" t="inlineStr">
        <is>
          <t>25.4-20.4-2.5-CEW-CEW</t>
        </is>
      </c>
    </row>
    <row r="142">
      <c r="H142" t="inlineStr">
        <is>
          <t>19.05-0-1.63--</t>
        </is>
      </c>
      <c r="P142" t="inlineStr">
        <is>
          <t>25.4-20.4-2.5-CEW-</t>
        </is>
      </c>
    </row>
    <row r="143">
      <c r="H143" t="inlineStr">
        <is>
          <t>19.05-0-2-ERW 1-PE</t>
        </is>
      </c>
      <c r="P143" t="inlineStr">
        <is>
          <t>30.15-25.5-2.32-CEW-CEW</t>
        </is>
      </c>
    </row>
    <row r="144">
      <c r="H144" t="inlineStr">
        <is>
          <t>19.05-0-2-ERW 1-</t>
        </is>
      </c>
      <c r="P144" t="inlineStr">
        <is>
          <t>25.6-16.6-4.5-CEW-</t>
        </is>
      </c>
    </row>
    <row r="145">
      <c r="H145" t="inlineStr">
        <is>
          <t>19.05-0-2--</t>
        </is>
      </c>
      <c r="P145" t="inlineStr">
        <is>
          <t>28.58-0-1.6-ERW 1-PE</t>
        </is>
      </c>
    </row>
    <row r="146">
      <c r="H146" t="inlineStr">
        <is>
          <t>19.05-0-2.3-ERW 1-PE</t>
        </is>
      </c>
      <c r="P146" t="inlineStr">
        <is>
          <t>28.58-0-1.6-ERW 1-</t>
        </is>
      </c>
    </row>
    <row r="147">
      <c r="H147" t="inlineStr">
        <is>
          <t>19.05-0-2.3-ERW 1-</t>
        </is>
      </c>
      <c r="P147" t="inlineStr">
        <is>
          <t>28.58-0-1.6-ERW 2-PE</t>
        </is>
      </c>
    </row>
    <row r="148">
      <c r="H148" t="inlineStr">
        <is>
          <t>19.05-0-2.34-ERW 1-</t>
        </is>
      </c>
      <c r="P148" t="n">
        <v>0</v>
      </c>
    </row>
    <row r="149">
      <c r="H149" t="inlineStr">
        <is>
          <t>19.05-0-2.5-ERW 2-</t>
        </is>
      </c>
      <c r="P149" t="n">
        <v>0</v>
      </c>
    </row>
    <row r="150">
      <c r="H150" t="inlineStr">
        <is>
          <t>20-12.4-3.8-CEW-CEW</t>
        </is>
      </c>
      <c r="P150" t="n">
        <v>0</v>
      </c>
    </row>
    <row r="151">
      <c r="H151" t="inlineStr">
        <is>
          <t>20-12.4-4.5-CEW-CEW</t>
        </is>
      </c>
      <c r="P151" t="n">
        <v>0</v>
      </c>
    </row>
    <row r="152">
      <c r="H152" t="inlineStr">
        <is>
          <t>20-17.16-1.42-CEW-CEW</t>
        </is>
      </c>
      <c r="P152" t="n">
        <v>0</v>
      </c>
    </row>
    <row r="153">
      <c r="H153" t="inlineStr">
        <is>
          <t>21.7-16.2-2.75-CEW-CEW</t>
        </is>
      </c>
      <c r="P153" t="n">
        <v>0</v>
      </c>
    </row>
    <row r="154">
      <c r="H154" t="inlineStr">
        <is>
          <t>21.75-0-3.5-CEW-CEW</t>
        </is>
      </c>
      <c r="P154" t="n">
        <v>0</v>
      </c>
    </row>
    <row r="155">
      <c r="H155" t="inlineStr">
        <is>
          <t>21.75-0-3.5-CEW-</t>
        </is>
      </c>
      <c r="P155" t="n">
        <v>0</v>
      </c>
    </row>
    <row r="156">
      <c r="H156" t="inlineStr">
        <is>
          <t>22.2-0-1.2--</t>
        </is>
      </c>
      <c r="P156" t="n">
        <v>0</v>
      </c>
    </row>
    <row r="157">
      <c r="H157" t="inlineStr">
        <is>
          <t>22.23-0-1.2-ERW 1-PE</t>
        </is>
      </c>
      <c r="P157" t="n">
        <v>0</v>
      </c>
    </row>
    <row r="158">
      <c r="H158" t="inlineStr">
        <is>
          <t>22.23-0-1.2-ERW 1-</t>
        </is>
      </c>
      <c r="P158" t="n">
        <v>0</v>
      </c>
    </row>
    <row r="159">
      <c r="H159" t="inlineStr">
        <is>
          <t>22.23-0-1.2--</t>
        </is>
      </c>
      <c r="P159" t="n">
        <v>0</v>
      </c>
    </row>
    <row r="160">
      <c r="H160" t="inlineStr">
        <is>
          <t>22.23-0-1.6-ERW 1-PE</t>
        </is>
      </c>
      <c r="P160" t="n">
        <v>0</v>
      </c>
    </row>
    <row r="161">
      <c r="H161" t="inlineStr">
        <is>
          <t>22.23-0-1.6-ERW 1-</t>
        </is>
      </c>
    </row>
    <row r="162">
      <c r="H162" t="inlineStr">
        <is>
          <t>22.23-0-1.6-ERW 2 MAHS-PE</t>
        </is>
      </c>
    </row>
    <row r="163">
      <c r="H163" t="inlineStr">
        <is>
          <t>22.23-0-2-ERW 1-FC</t>
        </is>
      </c>
    </row>
    <row r="164">
      <c r="H164" t="inlineStr">
        <is>
          <t>22.23-0-2-ERW 1-PE</t>
        </is>
      </c>
    </row>
    <row r="165">
      <c r="H165" t="inlineStr">
        <is>
          <t>22.23-0-2-ERW 1-</t>
        </is>
      </c>
    </row>
    <row r="166">
      <c r="H166" t="inlineStr">
        <is>
          <t>22.23-0-2-ERW 2-FC</t>
        </is>
      </c>
    </row>
    <row r="167">
      <c r="H167" t="inlineStr">
        <is>
          <t>22.23-0-2-ERW 2 MAHS-FC</t>
        </is>
      </c>
    </row>
    <row r="168">
      <c r="H168" t="inlineStr">
        <is>
          <t>22.23-0-2-ERW 2 MAHS-PE</t>
        </is>
      </c>
    </row>
    <row r="169">
      <c r="H169" t="inlineStr">
        <is>
          <t>22.23-0-2--</t>
        </is>
      </c>
    </row>
    <row r="170">
      <c r="H170" t="inlineStr">
        <is>
          <t>22.23-0-2.3-ERW 1-PE</t>
        </is>
      </c>
    </row>
    <row r="171">
      <c r="H171" t="inlineStr">
        <is>
          <t>22.23-0-2.3--PE</t>
        </is>
      </c>
    </row>
    <row r="172">
      <c r="H172" t="inlineStr">
        <is>
          <t>19-19-1-CRFH-PE</t>
        </is>
      </c>
    </row>
    <row r="173">
      <c r="H173" t="inlineStr">
        <is>
          <t>25.4-0-1.2-ERW 1-PE</t>
        </is>
      </c>
    </row>
    <row r="174">
      <c r="H174" t="inlineStr">
        <is>
          <t>25.4-0-1.6-ERW 1-FC</t>
        </is>
      </c>
    </row>
    <row r="175">
      <c r="H175" t="inlineStr">
        <is>
          <t>25.4-0-1.6-ERW 1-PE</t>
        </is>
      </c>
    </row>
    <row r="176">
      <c r="H176" t="inlineStr">
        <is>
          <t>25.4-0-2-ERW 1-FC</t>
        </is>
      </c>
    </row>
    <row r="177">
      <c r="H177" t="inlineStr">
        <is>
          <t>25.4-0-2-ERW 1-PE</t>
        </is>
      </c>
    </row>
    <row r="178">
      <c r="H178" t="inlineStr">
        <is>
          <t>25.4-0-2-ERW 1-</t>
        </is>
      </c>
    </row>
    <row r="179">
      <c r="H179" t="inlineStr">
        <is>
          <t>25.4-0-2--</t>
        </is>
      </c>
    </row>
    <row r="180">
      <c r="H180" t="inlineStr">
        <is>
          <t>25.4-0-2.5-CEW-CEW</t>
        </is>
      </c>
    </row>
    <row r="181">
      <c r="H181" t="inlineStr">
        <is>
          <t>25.4-0-2.5-ERW 1-FC</t>
        </is>
      </c>
    </row>
    <row r="182">
      <c r="H182" t="inlineStr">
        <is>
          <t>25.4-0-2.5-ERW 1-</t>
        </is>
      </c>
    </row>
    <row r="183">
      <c r="H183" t="inlineStr">
        <is>
          <t>25.4-0-2.6-ERW 1-</t>
        </is>
      </c>
    </row>
    <row r="184">
      <c r="H184" t="inlineStr">
        <is>
          <t>25.4-18.4-3.5-CEW-CEW</t>
        </is>
      </c>
    </row>
    <row r="185">
      <c r="H185" t="inlineStr">
        <is>
          <t>25.4-18.4-3.5-CEW-</t>
        </is>
      </c>
    </row>
    <row r="186">
      <c r="H186" t="inlineStr">
        <is>
          <t>25.4-19-3.2-CEW-CEW</t>
        </is>
      </c>
    </row>
    <row r="187">
      <c r="H187" t="inlineStr">
        <is>
          <t>25.4-19-3.2-CEW-</t>
        </is>
      </c>
    </row>
    <row r="188">
      <c r="H188" t="inlineStr">
        <is>
          <t>25.4-20.4-2.5-CEW-CEW</t>
        </is>
      </c>
    </row>
    <row r="189">
      <c r="H189" t="inlineStr">
        <is>
          <t>25.4-20.4-2.5-CEW-</t>
        </is>
      </c>
    </row>
    <row r="190">
      <c r="H190" t="inlineStr">
        <is>
          <t>30.15-25.5-2.32-CEW-CEW</t>
        </is>
      </c>
    </row>
    <row r="191">
      <c r="H191" t="inlineStr">
        <is>
          <t>25.6-16.6-4.5-CEW-</t>
        </is>
      </c>
    </row>
    <row r="192">
      <c r="H192" t="inlineStr">
        <is>
          <t>28.58-0-1.2-ERW 1-PE</t>
        </is>
      </c>
    </row>
    <row r="193">
      <c r="H193" t="inlineStr">
        <is>
          <t>28.58-0-1.6-ERW 1-FC</t>
        </is>
      </c>
    </row>
    <row r="194">
      <c r="H194" t="inlineStr">
        <is>
          <t>28.58-0-1.6-ERW 1-PE</t>
        </is>
      </c>
    </row>
    <row r="195">
      <c r="H195" t="inlineStr">
        <is>
          <t>28.58-0-1.6-ERW 1-</t>
        </is>
      </c>
    </row>
    <row r="196">
      <c r="H196" t="inlineStr">
        <is>
          <t>28.58-0-1.6-ERW 2-PE</t>
        </is>
      </c>
    </row>
    <row r="197">
      <c r="H197" t="inlineStr">
        <is>
          <t>28.58-0-2-ERW 1-FC</t>
        </is>
      </c>
    </row>
  </sheetData>
  <conditionalFormatting sqref="P2:P61 P64:P65 P68:P101">
    <cfRule type="duplicateValues" priority="362" dxfId="0"/>
  </conditionalFormatting>
  <conditionalFormatting sqref="X2:X101">
    <cfRule type="dataBar" priority="392">
      <dataBar>
        <cfvo type="min"/>
        <cfvo type="max"/>
        <color rgb="FF638EC6"/>
      </dataBar>
    </cfRule>
  </conditionalFormatting>
  <pageMargins left="0.7086614173228346" right="0.7086614173228346" top="0.7480314960629921" bottom="0.7480314960629921" header="0.3149606299212598" footer="0.3149606299212598"/>
  <pageSetup orientation="portrait" paperSize="9" scale="43"/>
  <colBreaks count="2" manualBreakCount="2">
    <brk id="25" min="0" max="102" man="1"/>
    <brk id="31" min="0" max="1048575" man="1"/>
  </colBreaks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13.85546875" bestFit="1" customWidth="1" style="584" min="1" max="1"/>
    <col width="28" bestFit="1" customWidth="1" style="584" min="2" max="2"/>
    <col width="7" bestFit="1" customWidth="1" style="584" min="3" max="3"/>
  </cols>
  <sheetData>
    <row r="1">
      <c r="A1" t="inlineStr">
        <is>
          <t>Material No</t>
        </is>
      </c>
      <c r="B1" t="inlineStr">
        <is>
          <t>Bucket</t>
        </is>
      </c>
      <c r="C1" t="inlineStr">
        <is>
          <t>WIP</t>
        </is>
      </c>
    </row>
    <row r="2">
      <c r="A2" t="n">
        <v>110102145</v>
      </c>
      <c r="B2" t="inlineStr">
        <is>
          <t>12.7-0-1.2-ERW 1-PE</t>
        </is>
      </c>
      <c r="C2" t="n">
        <v>2.15</v>
      </c>
    </row>
    <row r="3">
      <c r="A3" t="n">
        <v>111120664</v>
      </c>
      <c r="B3" t="inlineStr">
        <is>
          <t>15.88-0-1.2-ERW 1-PE</t>
        </is>
      </c>
      <c r="C3" t="n">
        <v>1.45</v>
      </c>
    </row>
    <row r="4">
      <c r="A4" t="n">
        <v>111116473</v>
      </c>
      <c r="B4" t="inlineStr">
        <is>
          <t>12.7-0-1.6-ERW 1-PE</t>
        </is>
      </c>
      <c r="C4" t="n">
        <v>1.57</v>
      </c>
    </row>
    <row r="5">
      <c r="A5" t="n">
        <v>111106833</v>
      </c>
      <c r="B5" t="inlineStr">
        <is>
          <t>12.7-0-1.6-ERW 1-PE</t>
        </is>
      </c>
      <c r="C5" t="n">
        <v>1.41</v>
      </c>
    </row>
    <row r="6">
      <c r="A6" t="n">
        <v>111001733</v>
      </c>
      <c r="B6" t="inlineStr">
        <is>
          <t>12.7-0-1.6-ERW 1-PE</t>
        </is>
      </c>
      <c r="C6" t="n">
        <v>1.15</v>
      </c>
    </row>
    <row r="7">
      <c r="A7" t="n">
        <v>111116471</v>
      </c>
      <c r="B7" t="inlineStr">
        <is>
          <t>12.7-0-1.6-ERW 1-PE</t>
        </is>
      </c>
      <c r="C7" t="n">
        <v>1.49</v>
      </c>
    </row>
    <row r="8">
      <c r="A8" t="n">
        <v>111106834</v>
      </c>
      <c r="B8" t="inlineStr">
        <is>
          <t>12.7-0-1.6-ERW 1-PE</t>
        </is>
      </c>
      <c r="C8" t="n">
        <v>0.44</v>
      </c>
    </row>
    <row r="9">
      <c r="A9" t="n">
        <v>111116475</v>
      </c>
      <c r="B9" t="inlineStr">
        <is>
          <t>15.88-0-1.2-ERW 1-PE</t>
        </is>
      </c>
      <c r="C9" t="n">
        <v>1</v>
      </c>
    </row>
    <row r="10">
      <c r="A10" t="n">
        <v>111114034</v>
      </c>
      <c r="B10" t="inlineStr">
        <is>
          <t>15.88-0-1.2-ERW 1-PE</t>
        </is>
      </c>
      <c r="C10" t="n">
        <v>2.31</v>
      </c>
    </row>
    <row r="11">
      <c r="A11" t="n">
        <v>111106839</v>
      </c>
      <c r="B11" t="inlineStr">
        <is>
          <t>15.88-0-1.6-ERW 1-PE</t>
        </is>
      </c>
      <c r="C11" t="n">
        <v>3.9</v>
      </c>
    </row>
    <row r="12">
      <c r="A12" t="n">
        <v>110102205</v>
      </c>
      <c r="B12" t="inlineStr">
        <is>
          <t>15.88-0-1.2-ERW 1-PE</t>
        </is>
      </c>
      <c r="C12" t="n">
        <v>2.53</v>
      </c>
    </row>
    <row r="13">
      <c r="A13" t="n">
        <v>111116358</v>
      </c>
      <c r="B13" t="inlineStr">
        <is>
          <t>19-19-1-CRFH-PE</t>
        </is>
      </c>
      <c r="C13" t="n">
        <v>5.779999999999999</v>
      </c>
    </row>
    <row r="14">
      <c r="A14" t="n">
        <v>111117608</v>
      </c>
      <c r="B14" t="inlineStr">
        <is>
          <t>19-19-1-CRFH-PE</t>
        </is>
      </c>
      <c r="C14" t="n">
        <v>6.13</v>
      </c>
    </row>
    <row r="15">
      <c r="A15" t="n">
        <v>110102297</v>
      </c>
      <c r="B15" t="inlineStr">
        <is>
          <t>19-19-1-CRFH-PE</t>
        </is>
      </c>
      <c r="C15" t="n">
        <v>4.82</v>
      </c>
    </row>
    <row r="16">
      <c r="A16" t="n">
        <v>111117591</v>
      </c>
      <c r="B16" t="inlineStr">
        <is>
          <t>19-19-1-CRFH-PE</t>
        </is>
      </c>
      <c r="C16" t="n">
        <v>13.29</v>
      </c>
    </row>
    <row r="17">
      <c r="A17" t="n">
        <v>111102399</v>
      </c>
      <c r="B17" t="inlineStr">
        <is>
          <t>19-19-1-CRFH-PE</t>
        </is>
      </c>
      <c r="C17" t="n">
        <v>0.21</v>
      </c>
    </row>
    <row r="18">
      <c r="A18" t="n">
        <v>111116486</v>
      </c>
      <c r="B18" t="inlineStr">
        <is>
          <t>19-19-1-CRFH-PE</t>
        </is>
      </c>
      <c r="C18" t="n">
        <v>1.32</v>
      </c>
    </row>
    <row r="19">
      <c r="A19" t="n">
        <v>111002371</v>
      </c>
      <c r="B19" t="inlineStr">
        <is>
          <t>19.05-0-1-ERW 1-PE</t>
        </is>
      </c>
      <c r="C19" t="n">
        <v>7.000000000000001</v>
      </c>
    </row>
    <row r="20">
      <c r="A20" t="n">
        <v>111116350</v>
      </c>
      <c r="B20" t="inlineStr">
        <is>
          <t>19.05-0-1-ERW 1-PE</t>
        </is>
      </c>
      <c r="C20" t="n">
        <v>9.65</v>
      </c>
    </row>
    <row r="21">
      <c r="A21" t="n">
        <v>111116351</v>
      </c>
      <c r="B21" t="inlineStr">
        <is>
          <t>19.05-0-1.2-ERW 1-PE</t>
        </is>
      </c>
      <c r="C21" t="n">
        <v>1.71</v>
      </c>
    </row>
    <row r="22">
      <c r="A22" t="n">
        <v>111002144</v>
      </c>
      <c r="B22" t="inlineStr">
        <is>
          <t>19.05-0-1.2-ERW 1-PE</t>
        </is>
      </c>
      <c r="C22" t="n">
        <v>0.6</v>
      </c>
    </row>
    <row r="23">
      <c r="A23" t="n">
        <v>111121736</v>
      </c>
      <c r="B23" t="inlineStr">
        <is>
          <t>19.05-0-1.2-CRFH-PE</t>
        </is>
      </c>
      <c r="C23" t="n">
        <v>5.859999999999999</v>
      </c>
    </row>
    <row r="24">
      <c r="A24" t="n">
        <v>111120702</v>
      </c>
      <c r="B24" t="inlineStr">
        <is>
          <t>19.05-0-1.2-ERW 1-PE</t>
        </is>
      </c>
      <c r="C24" t="n">
        <v>4.26</v>
      </c>
    </row>
    <row r="25">
      <c r="A25" t="n">
        <v>111120703</v>
      </c>
      <c r="B25" t="inlineStr">
        <is>
          <t>19.05-0-1.2-ERW 1-PE</t>
        </is>
      </c>
      <c r="C25" t="n">
        <v>2.59</v>
      </c>
    </row>
    <row r="26">
      <c r="A26" t="n">
        <v>111002146</v>
      </c>
      <c r="B26" t="inlineStr">
        <is>
          <t>19.05-0-1.2-ERW 1-PE</t>
        </is>
      </c>
      <c r="C26" t="n">
        <v>1.97</v>
      </c>
    </row>
    <row r="27">
      <c r="A27" t="n">
        <v>111002143</v>
      </c>
      <c r="B27" t="inlineStr">
        <is>
          <t>19.05-0-1.2-ERW 1-PE</t>
        </is>
      </c>
      <c r="C27" t="n">
        <v>0.52</v>
      </c>
    </row>
    <row r="28">
      <c r="A28" t="n">
        <v>110102339</v>
      </c>
      <c r="B28" t="inlineStr">
        <is>
          <t>19.05-0-1.2-ERW 1-PE</t>
        </is>
      </c>
      <c r="C28" t="n">
        <v>4.12</v>
      </c>
    </row>
    <row r="29">
      <c r="A29" t="n">
        <v>111121701</v>
      </c>
      <c r="B29" t="inlineStr">
        <is>
          <t>19-19-1.2-CRFH-PE</t>
        </is>
      </c>
      <c r="C29" t="n">
        <v>13.45</v>
      </c>
    </row>
    <row r="30">
      <c r="A30" t="n">
        <v>111116483</v>
      </c>
      <c r="B30" t="inlineStr">
        <is>
          <t>19.05-0-1.2-ERW 1-PE</t>
        </is>
      </c>
      <c r="C30" t="n">
        <v>3.68</v>
      </c>
    </row>
    <row r="31">
      <c r="A31" t="n">
        <v>111120700</v>
      </c>
      <c r="B31" t="inlineStr">
        <is>
          <t>19.05-0-1.6-ERW 1-PE</t>
        </is>
      </c>
      <c r="C31" t="n">
        <v>0.78</v>
      </c>
    </row>
    <row r="32">
      <c r="A32" t="n">
        <v>110102428</v>
      </c>
      <c r="B32" t="inlineStr">
        <is>
          <t>19.05-0-2-ERW 1-PE</t>
        </is>
      </c>
      <c r="C32" t="n">
        <v>3.93</v>
      </c>
    </row>
    <row r="33">
      <c r="A33" t="n">
        <v>111002199</v>
      </c>
      <c r="B33" t="inlineStr">
        <is>
          <t>19.05-0-2-ERW 1-PE</t>
        </is>
      </c>
      <c r="C33" t="n">
        <v>1.11</v>
      </c>
    </row>
    <row r="34">
      <c r="A34" t="n">
        <v>110102404</v>
      </c>
      <c r="B34" t="inlineStr">
        <is>
          <t>19.05-0-2-ERW 1-PE</t>
        </is>
      </c>
      <c r="C34" t="n">
        <v>4.31</v>
      </c>
    </row>
    <row r="35">
      <c r="A35" t="n">
        <v>110102443</v>
      </c>
      <c r="B35" t="inlineStr">
        <is>
          <t>19.05-0-2-ERW 1-PE</t>
        </is>
      </c>
      <c r="C35" t="n">
        <v>3.36</v>
      </c>
    </row>
    <row r="36">
      <c r="A36" t="n">
        <v>111106948</v>
      </c>
      <c r="B36" t="inlineStr">
        <is>
          <t>19.05-0-2.3-ERW 1-PE</t>
        </is>
      </c>
      <c r="C36" t="n">
        <v>4.67</v>
      </c>
    </row>
    <row r="37">
      <c r="A37" t="n">
        <v>111001373</v>
      </c>
      <c r="B37" t="inlineStr">
        <is>
          <t>19.05-0-2.3-ERW 1-PE</t>
        </is>
      </c>
      <c r="C37" t="n">
        <v>5.600000000000001</v>
      </c>
    </row>
    <row r="38">
      <c r="A38" t="n">
        <v>110102449</v>
      </c>
      <c r="B38" t="inlineStr">
        <is>
          <t>19.05-0-2.3-ERW 1-PE</t>
        </is>
      </c>
      <c r="C38" t="n">
        <v>0</v>
      </c>
    </row>
    <row r="39">
      <c r="A39" t="n">
        <v>110102474</v>
      </c>
      <c r="B39" t="inlineStr">
        <is>
          <t>19.05-0-2.3-ERW 1-PE</t>
        </is>
      </c>
      <c r="C39" t="n">
        <v>8.6</v>
      </c>
    </row>
    <row r="40">
      <c r="A40" t="n">
        <v>110102470</v>
      </c>
      <c r="B40" t="inlineStr">
        <is>
          <t>19.05-0-2.3-ERW 1-PE</t>
        </is>
      </c>
      <c r="C40" t="n">
        <v>2.32</v>
      </c>
    </row>
    <row r="41">
      <c r="A41" t="n">
        <v>110102477</v>
      </c>
      <c r="B41" t="inlineStr">
        <is>
          <t>19.05-0-2.3-ERW 1-PE</t>
        </is>
      </c>
      <c r="C41" t="n">
        <v>0.01</v>
      </c>
    </row>
    <row r="42">
      <c r="A42" t="n">
        <v>111118011</v>
      </c>
      <c r="B42" t="inlineStr">
        <is>
          <t>22.23-0-1.2-ERW 1-PE</t>
        </is>
      </c>
      <c r="C42" t="n">
        <v>0.46</v>
      </c>
    </row>
    <row r="43">
      <c r="A43" t="n">
        <v>110102502</v>
      </c>
      <c r="B43" t="inlineStr">
        <is>
          <t>22.23-0-1.2-ERW 1-PE</t>
        </is>
      </c>
      <c r="C43" t="n">
        <v>1.45</v>
      </c>
    </row>
    <row r="44">
      <c r="A44" t="n">
        <v>110102509</v>
      </c>
      <c r="B44" t="inlineStr">
        <is>
          <t>22.23-0-1.2-ERW 1-PE</t>
        </is>
      </c>
      <c r="C44" t="n">
        <v>3.05</v>
      </c>
    </row>
    <row r="45">
      <c r="A45" t="n">
        <v>111002410</v>
      </c>
      <c r="B45" t="inlineStr">
        <is>
          <t>22.23-0-1.6-ERW 1-PE</t>
        </is>
      </c>
      <c r="C45" t="n">
        <v>2.12</v>
      </c>
    </row>
    <row r="46">
      <c r="A46" t="n">
        <v>110102553</v>
      </c>
      <c r="B46" t="inlineStr">
        <is>
          <t>22.23-0-1.6-ERW 2 MAHS-PE</t>
        </is>
      </c>
      <c r="C46" t="n">
        <v>56.73999999999999</v>
      </c>
    </row>
    <row r="47">
      <c r="A47" t="n">
        <v>110102614</v>
      </c>
      <c r="B47" t="inlineStr">
        <is>
          <t>22.23-0-2-ERW 2 MAHS-PE</t>
        </is>
      </c>
      <c r="C47" t="n">
        <v>53.23000000000001</v>
      </c>
    </row>
    <row r="48">
      <c r="A48" t="n">
        <v>110102615</v>
      </c>
      <c r="B48" t="inlineStr">
        <is>
          <t>22.23-0-2-ERW 1-PE</t>
        </is>
      </c>
      <c r="C48" t="n">
        <v>1</v>
      </c>
    </row>
    <row r="49">
      <c r="A49" t="n">
        <v>110102570</v>
      </c>
      <c r="B49" t="inlineStr">
        <is>
          <t>22.23-0-2-ERW 1-FC</t>
        </is>
      </c>
      <c r="C49" t="n">
        <v>3.82</v>
      </c>
    </row>
    <row r="50">
      <c r="A50" t="n">
        <v>111002657</v>
      </c>
      <c r="B50" t="inlineStr">
        <is>
          <t>22.23-0-2-ERW 2 MAHS-FC</t>
        </is>
      </c>
      <c r="C50" t="n">
        <v>5.01</v>
      </c>
    </row>
    <row r="51">
      <c r="A51" t="n">
        <v>110102574</v>
      </c>
      <c r="B51" t="inlineStr">
        <is>
          <t>22.23-0-2-ERW 1-PE</t>
        </is>
      </c>
      <c r="C51" t="n">
        <v>1.16</v>
      </c>
    </row>
    <row r="52">
      <c r="A52" t="n">
        <v>111113835</v>
      </c>
      <c r="B52" t="inlineStr">
        <is>
          <t>22.23-0-2-ERW 1-PE</t>
        </is>
      </c>
      <c r="C52" t="n">
        <v>8.049999999999999</v>
      </c>
    </row>
    <row r="53">
      <c r="A53" t="n">
        <v>111121738</v>
      </c>
      <c r="B53" t="inlineStr">
        <is>
          <t>25-25-1.2-CRFH-PE</t>
        </is>
      </c>
      <c r="C53" t="n">
        <v>2.92</v>
      </c>
    </row>
    <row r="54">
      <c r="A54" t="n">
        <v>111116364</v>
      </c>
      <c r="B54" t="inlineStr">
        <is>
          <t>25-25-1.2-CRFH-PE</t>
        </is>
      </c>
      <c r="C54" t="n">
        <v>18.26</v>
      </c>
    </row>
    <row r="55">
      <c r="A55" t="n">
        <v>111116491</v>
      </c>
      <c r="B55" t="inlineStr">
        <is>
          <t>25-25-1.2-CRFH-PE</t>
        </is>
      </c>
      <c r="C55" t="n">
        <v>4.35</v>
      </c>
    </row>
    <row r="56">
      <c r="A56" t="n">
        <v>111002373</v>
      </c>
      <c r="B56" t="inlineStr">
        <is>
          <t>25.4-0-1.2-ERW 1-PE</t>
        </is>
      </c>
      <c r="C56" t="n">
        <v>7.36</v>
      </c>
    </row>
    <row r="57">
      <c r="A57" t="n">
        <v>111002372</v>
      </c>
      <c r="B57" t="inlineStr">
        <is>
          <t>25.4-0-1.2-ERW 1-PE</t>
        </is>
      </c>
      <c r="C57" t="n">
        <v>3.63</v>
      </c>
    </row>
    <row r="58">
      <c r="A58" t="n">
        <v>111001994</v>
      </c>
      <c r="B58" t="inlineStr">
        <is>
          <t>25.4-0-1.6-ERW 1-PE</t>
        </is>
      </c>
      <c r="C58" t="n">
        <v>2.91</v>
      </c>
    </row>
    <row r="59">
      <c r="A59" t="n">
        <v>111002135</v>
      </c>
      <c r="B59" t="inlineStr">
        <is>
          <t>25.4-0-2-ERW 1-FC</t>
        </is>
      </c>
      <c r="C59" t="n">
        <v>4.81</v>
      </c>
    </row>
    <row r="60">
      <c r="A60" t="n">
        <v>111001243</v>
      </c>
      <c r="B60" t="inlineStr">
        <is>
          <t>25.4-0-2-ERW 1-FC</t>
        </is>
      </c>
      <c r="C60" t="n">
        <v>8.880000000000001</v>
      </c>
    </row>
    <row r="61">
      <c r="A61" t="n">
        <v>111116361</v>
      </c>
      <c r="B61" t="inlineStr">
        <is>
          <t>25.4-0-2-ERW 1-FC</t>
        </is>
      </c>
      <c r="C61" t="n">
        <v>10.51</v>
      </c>
    </row>
    <row r="62">
      <c r="A62" t="n">
        <v>111120564</v>
      </c>
      <c r="B62" t="inlineStr">
        <is>
          <t>25.4-0-2-ERW 1-FC</t>
        </is>
      </c>
      <c r="C62" t="n">
        <v>6.1</v>
      </c>
    </row>
    <row r="63">
      <c r="A63" t="n">
        <v>111002141</v>
      </c>
      <c r="B63" t="inlineStr">
        <is>
          <t>25.4-0-2.5-ERW 1-FC</t>
        </is>
      </c>
      <c r="C63" t="n">
        <v>10.04</v>
      </c>
    </row>
    <row r="64">
      <c r="A64" t="n">
        <v>110102749</v>
      </c>
      <c r="B64" t="inlineStr">
        <is>
          <t>28.58-0-1.2-ERW 1-PE</t>
        </is>
      </c>
      <c r="C64" t="n">
        <v>5.27</v>
      </c>
    </row>
    <row r="65">
      <c r="A65" t="n">
        <v>111002097</v>
      </c>
      <c r="B65" t="inlineStr">
        <is>
          <t>28.58-0-1.2-ERW 1-PE</t>
        </is>
      </c>
      <c r="C65" t="n">
        <v>0.62</v>
      </c>
    </row>
    <row r="66">
      <c r="A66" t="n">
        <v>111107137</v>
      </c>
      <c r="B66" t="inlineStr">
        <is>
          <t>28.58-0-1.6-ERW 1-FC</t>
        </is>
      </c>
      <c r="C66" t="n">
        <v>7.01</v>
      </c>
    </row>
    <row r="67">
      <c r="A67" t="n">
        <v>111118633</v>
      </c>
      <c r="B67" t="inlineStr">
        <is>
          <t>28.58-0-1.6-ERW 1-FC</t>
        </is>
      </c>
      <c r="C67" t="n">
        <v>3.75</v>
      </c>
    </row>
    <row r="68">
      <c r="A68" t="n">
        <v>110102758</v>
      </c>
      <c r="B68" t="inlineStr">
        <is>
          <t>28.58-0-2-ERW 1-FC</t>
        </is>
      </c>
      <c r="C68" t="n">
        <v>2.01</v>
      </c>
    </row>
    <row r="69">
      <c r="A69" t="n">
        <v>111116368</v>
      </c>
      <c r="B69" t="inlineStr">
        <is>
          <t>30-30-1.2-CRFH-PE</t>
        </is>
      </c>
      <c r="C69" t="n">
        <v>21.98</v>
      </c>
    </row>
    <row r="70">
      <c r="A70" t="n">
        <v>110102775</v>
      </c>
      <c r="B70" t="inlineStr">
        <is>
          <t>31.75-0-1.2-ERW 1-FC</t>
        </is>
      </c>
      <c r="C70" t="n">
        <v>0.24</v>
      </c>
    </row>
    <row r="71">
      <c r="A71" t="n">
        <v>111121233</v>
      </c>
      <c r="B71" t="inlineStr">
        <is>
          <t>34.93-0-2.3-ERW 2-FC-Ampere</t>
        </is>
      </c>
      <c r="C71" t="n">
        <v>2</v>
      </c>
    </row>
    <row r="72">
      <c r="A72" t="n">
        <v>111117590</v>
      </c>
      <c r="B72" t="inlineStr">
        <is>
          <t>40-20-1.2-CRFH-PE</t>
        </is>
      </c>
      <c r="C72" t="n">
        <v>0.37</v>
      </c>
    </row>
    <row r="73">
      <c r="A73" t="n">
        <v>111106758</v>
      </c>
      <c r="B73" t="inlineStr">
        <is>
          <t>40-20-1.2-CRFH-PE</t>
        </is>
      </c>
      <c r="C73" t="n">
        <v>0.1</v>
      </c>
    </row>
    <row r="74">
      <c r="A74" t="n">
        <v>111116372</v>
      </c>
      <c r="B74" t="inlineStr">
        <is>
          <t>40-20-1.2-CRFH-PE</t>
        </is>
      </c>
      <c r="C74" t="n">
        <v>11.9</v>
      </c>
    </row>
    <row r="75">
      <c r="A75" t="n">
        <v>110102927</v>
      </c>
      <c r="B75" t="inlineStr">
        <is>
          <t>40-20-1.2-CRFH-PE</t>
        </is>
      </c>
      <c r="C75" t="n">
        <v>38.4</v>
      </c>
    </row>
    <row r="76">
      <c r="A76" t="n">
        <v>110102922</v>
      </c>
      <c r="B76" t="inlineStr">
        <is>
          <t>40-20-1.2-CRFH-PE</t>
        </is>
      </c>
      <c r="C76" t="n">
        <v>0.96</v>
      </c>
    </row>
    <row r="77">
      <c r="A77" t="n">
        <v>111001341</v>
      </c>
      <c r="B77" t="inlineStr">
        <is>
          <t>40-20-1.2-CRFH-PE</t>
        </is>
      </c>
      <c r="C77" t="n">
        <v>41.11</v>
      </c>
    </row>
    <row r="78">
      <c r="A78" t="n">
        <v>111116373</v>
      </c>
      <c r="B78" t="inlineStr">
        <is>
          <t>40-20-1.6-ERW 1-FC</t>
        </is>
      </c>
      <c r="C78" t="n">
        <v>1.27</v>
      </c>
    </row>
    <row r="79">
      <c r="A79" t="n">
        <v>110102951</v>
      </c>
      <c r="B79" t="inlineStr">
        <is>
          <t>40-25-1.6-ERW 1-FC</t>
        </is>
      </c>
      <c r="C79" t="n">
        <v>0.61</v>
      </c>
    </row>
    <row r="80">
      <c r="A80" t="n">
        <v>111120633</v>
      </c>
      <c r="B80" t="inlineStr">
        <is>
          <t>40-25-1.6-ERW 1-FC</t>
        </is>
      </c>
      <c r="C80" t="n">
        <v>0.8</v>
      </c>
    </row>
    <row r="81">
      <c r="A81" t="n">
        <v>111118043</v>
      </c>
      <c r="B81" t="inlineStr">
        <is>
          <t>40-30-1.6-ERW 1-FC</t>
        </is>
      </c>
      <c r="C81" t="n">
        <v>0.05</v>
      </c>
    </row>
    <row r="82">
      <c r="A82" t="n">
        <v>110102958</v>
      </c>
      <c r="B82" t="inlineStr">
        <is>
          <t>40-30-1.6-ERW 1-FC</t>
        </is>
      </c>
      <c r="C82" t="n">
        <v>0</v>
      </c>
    </row>
    <row r="83">
      <c r="A83" t="n">
        <v>111001353</v>
      </c>
      <c r="B83" t="inlineStr">
        <is>
          <t>40-30-2-ERW 1-FC</t>
        </is>
      </c>
      <c r="C83" t="n">
        <v>4.109999999999999</v>
      </c>
    </row>
    <row r="84">
      <c r="A84" t="n">
        <v>111001352</v>
      </c>
      <c r="B84" t="inlineStr">
        <is>
          <t>40-30-2-ERW 1-FC</t>
        </is>
      </c>
      <c r="C84" t="n">
        <v>3.37</v>
      </c>
    </row>
    <row r="85">
      <c r="A85" t="n">
        <v>110102963</v>
      </c>
      <c r="B85" t="inlineStr">
        <is>
          <t>40-30-2-ERW 1-FC</t>
        </is>
      </c>
      <c r="C85" t="n">
        <v>16.91</v>
      </c>
    </row>
    <row r="86">
      <c r="A86" t="n">
        <v>111117555</v>
      </c>
      <c r="B86" t="inlineStr">
        <is>
          <t>40-40-1.2-CRFH-PE</t>
        </is>
      </c>
      <c r="C86" t="n">
        <v>6.4</v>
      </c>
    </row>
    <row r="87">
      <c r="A87" t="n">
        <v>110102977</v>
      </c>
      <c r="B87" t="inlineStr">
        <is>
          <t>40-40-1.2-CRFH-PE</t>
        </is>
      </c>
      <c r="C87" t="n">
        <v>1.66</v>
      </c>
    </row>
    <row r="88">
      <c r="A88" t="n">
        <v>111122744</v>
      </c>
      <c r="B88" t="inlineStr">
        <is>
          <t>41.28-0-3.2-ERW 1-FC</t>
        </is>
      </c>
      <c r="C88" t="n">
        <v>5</v>
      </c>
    </row>
    <row r="89">
      <c r="A89" t="n">
        <v>111118634</v>
      </c>
      <c r="B89" t="inlineStr">
        <is>
          <t>41.28-0-3.2-ERW 1-FC</t>
        </is>
      </c>
      <c r="C89" t="n">
        <v>4.149999999999999</v>
      </c>
    </row>
    <row r="90">
      <c r="A90" t="n">
        <v>111106621</v>
      </c>
      <c r="B90" t="inlineStr">
        <is>
          <t>48.6-0-1.2-ERW 1-FC</t>
        </is>
      </c>
      <c r="C90" t="n">
        <v>17.02</v>
      </c>
    </row>
    <row r="91">
      <c r="A91" t="n">
        <v>111002411</v>
      </c>
      <c r="B91" t="inlineStr">
        <is>
          <t>50-30-1.6-ERW 1-FC</t>
        </is>
      </c>
      <c r="C91" t="n">
        <v>5.3</v>
      </c>
    </row>
    <row r="92">
      <c r="A92" t="n">
        <v>111002503</v>
      </c>
      <c r="B92" t="inlineStr">
        <is>
          <t>50-30-1.6-ERW 1-FC</t>
        </is>
      </c>
      <c r="C92" t="n">
        <v>14.2</v>
      </c>
    </row>
    <row r="93">
      <c r="A93" t="n">
        <v>110103004</v>
      </c>
      <c r="B93" t="inlineStr">
        <is>
          <t>50-30-1.6-ERW 1-FC</t>
        </is>
      </c>
      <c r="C93" t="n">
        <v>17.09</v>
      </c>
    </row>
    <row r="94">
      <c r="A94" t="n">
        <v>111117697</v>
      </c>
      <c r="B94" t="inlineStr">
        <is>
          <t>50.8-0-1.6-ERW 1-FC</t>
        </is>
      </c>
      <c r="C94" t="n">
        <v>1.45</v>
      </c>
    </row>
    <row r="95">
      <c r="A95" t="n">
        <v>111118812</v>
      </c>
      <c r="B95" t="inlineStr">
        <is>
          <t>59-30-1.6-ERW 1-FIN CUT</t>
        </is>
      </c>
      <c r="C95" t="n">
        <v>0.95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/>
  </sheetPr>
  <dimension ref="A1:K48"/>
  <sheetViews>
    <sheetView workbookViewId="0">
      <selection activeCell="A1" sqref="A1:J47"/>
    </sheetView>
  </sheetViews>
  <sheetFormatPr baseColWidth="8" defaultRowHeight="15"/>
  <cols>
    <col width="22.42578125" bestFit="1" customWidth="1" style="584" min="1" max="1"/>
    <col width="11.42578125" bestFit="1" customWidth="1" style="584" min="2" max="2"/>
    <col width="10.85546875" bestFit="1" customWidth="1" style="584" min="3" max="3"/>
    <col width="10.140625" bestFit="1" customWidth="1" style="584" min="4" max="4"/>
    <col width="10.7109375" bestFit="1" customWidth="1" style="584" min="5" max="5"/>
    <col width="6.28515625" bestFit="1" customWidth="1" style="584" min="6" max="6"/>
    <col width="7.28515625" bestFit="1" customWidth="1" style="584" min="7" max="8"/>
    <col width="6.85546875" bestFit="1" customWidth="1" style="584" min="9" max="9"/>
    <col width="19.28515625" bestFit="1" customWidth="1" style="584" min="10" max="10"/>
    <col width="12.7109375" customWidth="1" style="584" min="11" max="11"/>
    <col width="16.5703125" customWidth="1" style="584" min="12" max="12"/>
  </cols>
  <sheetData>
    <row r="1">
      <c r="A1" t="inlineStr">
        <is>
          <t>Bucket</t>
        </is>
      </c>
      <c r="B1" t="inlineStr">
        <is>
          <t>Schedule</t>
        </is>
      </c>
      <c r="C1" t="inlineStr">
        <is>
          <t>Dispatch</t>
        </is>
      </c>
      <c r="D1" t="inlineStr">
        <is>
          <t>Balance</t>
        </is>
      </c>
      <c r="E1" t="inlineStr">
        <is>
          <t>LL or CTL</t>
        </is>
      </c>
      <c r="F1" t="inlineStr">
        <is>
          <t>789</t>
        </is>
      </c>
      <c r="G1" t="inlineStr">
        <is>
          <t>4731</t>
        </is>
      </c>
      <c r="H1" t="inlineStr">
        <is>
          <t>8406</t>
        </is>
      </c>
      <c r="I1" t="inlineStr">
        <is>
          <t>WIP</t>
        </is>
      </c>
      <c r="J1" t="inlineStr">
        <is>
          <t>Transfer Required</t>
        </is>
      </c>
      <c r="K1" t="inlineStr">
        <is>
          <t>FG Code</t>
        </is>
      </c>
    </row>
    <row r="2">
      <c r="A2" t="inlineStr">
        <is>
          <t>12.7-0-1.6-ERW 1-PE</t>
        </is>
      </c>
      <c r="B2" t="n">
        <v>0.95</v>
      </c>
      <c r="C2" t="n">
        <v>0</v>
      </c>
      <c r="D2" t="n">
        <v>0.95</v>
      </c>
      <c r="E2" t="inlineStr">
        <is>
          <t>LL</t>
        </is>
      </c>
      <c r="F2" t="n">
        <v>0.07000000000000001</v>
      </c>
      <c r="I2" t="n">
        <v>6.06</v>
      </c>
      <c r="J2">
        <f>IF((_4318_ll_req[[#This Row],[Balance]]-_4318_ll_req[[#This Row],[8406]])&lt;0,0,_4318_ll_req[[#This Row],[Balance]]-_4318_ll_req[[#This Row],[8406]])</f>
        <v/>
      </c>
      <c r="K2">
        <f t="array" ref="K2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">
      <c r="A3" t="inlineStr">
        <is>
          <t>19.05-0-2.3-ERW 1-PE</t>
        </is>
      </c>
      <c r="B3" t="n">
        <v>3.74</v>
      </c>
      <c r="C3" t="n">
        <v>7.18</v>
      </c>
      <c r="D3" t="n">
        <v>-3.44</v>
      </c>
      <c r="E3" t="inlineStr">
        <is>
          <t>LL</t>
        </is>
      </c>
      <c r="F3" t="n">
        <v>10.96</v>
      </c>
      <c r="G3" t="n">
        <v>24.64</v>
      </c>
      <c r="H3" t="n">
        <v>38.36</v>
      </c>
      <c r="I3" t="n">
        <v>21.2</v>
      </c>
      <c r="J3">
        <f>IF((_4318_ll_req[[#This Row],[Balance]]-_4318_ll_req[[#This Row],[8406]])&lt;0,0,_4318_ll_req[[#This Row],[Balance]]-_4318_ll_req[[#This Row],[8406]])</f>
        <v/>
      </c>
      <c r="K3">
        <f t="array" ref="K3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">
      <c r="A4" t="inlineStr">
        <is>
          <t>22.23-0-1.2-ERW 1-PE</t>
        </is>
      </c>
      <c r="B4" t="n">
        <v>0.52</v>
      </c>
      <c r="C4" t="n">
        <v>0</v>
      </c>
      <c r="D4" t="n">
        <v>0.52</v>
      </c>
      <c r="E4" t="inlineStr">
        <is>
          <t>LL</t>
        </is>
      </c>
      <c r="F4" t="n">
        <v>0.08</v>
      </c>
      <c r="I4" t="n">
        <v>4.96</v>
      </c>
      <c r="J4">
        <f>IF((_4318_ll_req[[#This Row],[Balance]]-_4318_ll_req[[#This Row],[8406]])&lt;0,0,_4318_ll_req[[#This Row],[Balance]]-_4318_ll_req[[#This Row],[8406]])</f>
        <v/>
      </c>
      <c r="K4">
        <f t="array" ref="K4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5">
      <c r="A5" t="inlineStr">
        <is>
          <t>22.23-0-1.6-ERW 1-PE</t>
        </is>
      </c>
      <c r="B5" t="n">
        <v>43.42</v>
      </c>
      <c r="C5" t="n">
        <v>0</v>
      </c>
      <c r="D5" t="n">
        <v>43.42</v>
      </c>
      <c r="E5" t="inlineStr">
        <is>
          <t>LL</t>
        </is>
      </c>
      <c r="F5" t="n">
        <v>62.68</v>
      </c>
      <c r="G5" t="n">
        <v>0.06</v>
      </c>
      <c r="I5" t="n">
        <v>2.12</v>
      </c>
      <c r="J5">
        <f>IF((_4318_ll_req[[#This Row],[Balance]]-_4318_ll_req[[#This Row],[8406]])&lt;0,0,_4318_ll_req[[#This Row],[Balance]]-_4318_ll_req[[#This Row],[8406]])</f>
        <v/>
      </c>
      <c r="K5">
        <f t="array" ref="K5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6">
      <c r="A6" t="inlineStr">
        <is>
          <t>22.23-0-2-ERW 1-PE</t>
        </is>
      </c>
      <c r="B6" t="n">
        <v>19.4</v>
      </c>
      <c r="C6" t="n">
        <v>17.51</v>
      </c>
      <c r="D6" t="n">
        <v>1.89</v>
      </c>
      <c r="E6" t="inlineStr">
        <is>
          <t>LL</t>
        </is>
      </c>
      <c r="F6" t="n">
        <v>5.14</v>
      </c>
      <c r="G6" t="n">
        <v>5.5</v>
      </c>
      <c r="H6" t="n">
        <v>1.05</v>
      </c>
      <c r="I6" t="n">
        <v>10.21</v>
      </c>
      <c r="J6">
        <f>IF((_4318_ll_req[[#This Row],[Balance]]-_4318_ll_req[[#This Row],[8406]])&lt;0,0,_4318_ll_req[[#This Row],[Balance]]-_4318_ll_req[[#This Row],[8406]])</f>
        <v/>
      </c>
      <c r="K6">
        <f t="array" ref="K6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7">
      <c r="A7" t="inlineStr">
        <is>
          <t>28.58-0-1.2-ERW 1-PE</t>
        </is>
      </c>
      <c r="B7" t="n">
        <v>0.99</v>
      </c>
      <c r="C7" t="n">
        <v>0</v>
      </c>
      <c r="D7" t="n">
        <v>0.99</v>
      </c>
      <c r="E7" t="inlineStr">
        <is>
          <t>LL</t>
        </is>
      </c>
      <c r="G7" t="n">
        <v>0.1</v>
      </c>
      <c r="I7" t="n">
        <v>5.89</v>
      </c>
      <c r="J7">
        <f>IF((_4318_ll_req[[#This Row],[Balance]]-_4318_ll_req[[#This Row],[8406]])&lt;0,0,_4318_ll_req[[#This Row],[Balance]]-_4318_ll_req[[#This Row],[8406]])</f>
        <v/>
      </c>
      <c r="K7">
        <f t="array" ref="K7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8">
      <c r="A8" t="inlineStr">
        <is>
          <t>15.88-0-1-ERW 1-PE</t>
        </is>
      </c>
      <c r="B8" t="n">
        <v>14.03</v>
      </c>
      <c r="C8" t="n">
        <v>5.37</v>
      </c>
      <c r="D8" t="n">
        <v>8.66</v>
      </c>
      <c r="E8" t="inlineStr">
        <is>
          <t>LL</t>
        </is>
      </c>
      <c r="F8" t="n">
        <v>0.18</v>
      </c>
      <c r="J8">
        <f>IF((_4318_ll_req[[#This Row],[Balance]]-_4318_ll_req[[#This Row],[8406]])&lt;0,0,_4318_ll_req[[#This Row],[Balance]]-_4318_ll_req[[#This Row],[8406]])</f>
        <v/>
      </c>
      <c r="K8">
        <f t="array" ref="K8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9">
      <c r="A9" t="inlineStr">
        <is>
          <t>17.3-0-1.2-ERW 1-PE</t>
        </is>
      </c>
      <c r="B9" t="n">
        <v>1.44</v>
      </c>
      <c r="C9" t="n">
        <v>1.14</v>
      </c>
      <c r="D9" t="n">
        <v>0.3</v>
      </c>
      <c r="E9" t="inlineStr">
        <is>
          <t>LL</t>
        </is>
      </c>
      <c r="G9" t="n">
        <v>3.3</v>
      </c>
      <c r="H9" t="n">
        <v>1.2</v>
      </c>
      <c r="J9">
        <f>IF((_4318_ll_req[[#This Row],[Balance]]-_4318_ll_req[[#This Row],[8406]])&lt;0,0,_4318_ll_req[[#This Row],[Balance]]-_4318_ll_req[[#This Row],[8406]])</f>
        <v/>
      </c>
      <c r="K9">
        <f t="array" ref="K9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0">
      <c r="A10" t="inlineStr">
        <is>
          <t>18.2-0-1-ERW 1-PE</t>
        </is>
      </c>
      <c r="B10" t="n">
        <v>3.88</v>
      </c>
      <c r="C10" t="n">
        <v>0</v>
      </c>
      <c r="D10" t="n">
        <v>3.88</v>
      </c>
      <c r="E10" t="inlineStr">
        <is>
          <t>LL</t>
        </is>
      </c>
      <c r="G10" t="n">
        <v>0.19</v>
      </c>
      <c r="J10">
        <f>IF((_4318_ll_req[[#This Row],[Balance]]-_4318_ll_req[[#This Row],[8406]])&lt;0,0,_4318_ll_req[[#This Row],[Balance]]-_4318_ll_req[[#This Row],[8406]])</f>
        <v/>
      </c>
      <c r="K10">
        <f t="array" ref="K10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1">
      <c r="A11" t="inlineStr">
        <is>
          <t>25.4-0-2-ERW 1-PE</t>
        </is>
      </c>
      <c r="B11" t="n">
        <v>10.46</v>
      </c>
      <c r="C11" t="n">
        <v>0</v>
      </c>
      <c r="D11" t="n">
        <v>10.46</v>
      </c>
      <c r="E11" t="inlineStr">
        <is>
          <t>LL</t>
        </is>
      </c>
      <c r="G11" t="n">
        <v>1.15</v>
      </c>
      <c r="J11">
        <f>IF((_4318_ll_req[[#This Row],[Balance]]-_4318_ll_req[[#This Row],[8406]])&lt;0,0,_4318_ll_req[[#This Row],[Balance]]-_4318_ll_req[[#This Row],[8406]])</f>
        <v/>
      </c>
      <c r="K11">
        <f t="array" ref="K11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2">
      <c r="A12" t="inlineStr">
        <is>
          <t>25.4-19-3.2-CEW-CEW</t>
        </is>
      </c>
      <c r="B12" t="n">
        <v>3.5</v>
      </c>
      <c r="C12" t="n">
        <v>4.2</v>
      </c>
      <c r="D12" t="n">
        <v>-0.7</v>
      </c>
      <c r="E12" t="inlineStr">
        <is>
          <t>LL</t>
        </is>
      </c>
      <c r="G12" t="n">
        <v>0.2</v>
      </c>
      <c r="J12">
        <f>IF((_4318_ll_req[[#This Row],[Balance]]-_4318_ll_req[[#This Row],[8406]])&lt;0,0,_4318_ll_req[[#This Row],[Balance]]-_4318_ll_req[[#This Row],[8406]])</f>
        <v/>
      </c>
      <c r="K12">
        <f t="array" ref="K12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3">
      <c r="A13" t="inlineStr">
        <is>
          <t>37.95-32-2.95-CEW-CEW</t>
        </is>
      </c>
      <c r="B13" t="n">
        <v>7.64</v>
      </c>
      <c r="C13" t="n">
        <v>0</v>
      </c>
      <c r="D13" t="n">
        <v>7.64</v>
      </c>
      <c r="E13" t="inlineStr">
        <is>
          <t>LL</t>
        </is>
      </c>
      <c r="G13" t="n">
        <v>14.74</v>
      </c>
      <c r="J13">
        <f>IF((_4318_ll_req[[#This Row],[Balance]]-_4318_ll_req[[#This Row],[8406]])&lt;0,0,_4318_ll_req[[#This Row],[Balance]]-_4318_ll_req[[#This Row],[8406]])</f>
        <v/>
      </c>
      <c r="K13">
        <f t="array" ref="K13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4">
      <c r="A14" t="inlineStr">
        <is>
          <t>38.1-0-1.6-ERW 1-FC</t>
        </is>
      </c>
      <c r="B14" t="n">
        <v>7.72</v>
      </c>
      <c r="C14" t="n">
        <v>0</v>
      </c>
      <c r="D14" t="n">
        <v>7.72</v>
      </c>
      <c r="E14" t="inlineStr">
        <is>
          <t>LL</t>
        </is>
      </c>
      <c r="G14" t="n">
        <v>5.18</v>
      </c>
      <c r="H14" t="n">
        <v>2.97</v>
      </c>
      <c r="J14">
        <f>IF((_4318_ll_req[[#This Row],[Balance]]-_4318_ll_req[[#This Row],[8406]])&lt;0,0,_4318_ll_req[[#This Row],[Balance]]-_4318_ll_req[[#This Row],[8406]])</f>
        <v/>
      </c>
      <c r="K14">
        <f t="array" ref="K14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5">
      <c r="A15" t="inlineStr">
        <is>
          <t>38.1-0-2-ERW 1-FC</t>
        </is>
      </c>
      <c r="B15" t="n">
        <v>59.68</v>
      </c>
      <c r="C15" t="n">
        <v>40.08</v>
      </c>
      <c r="D15" t="n">
        <v>19.6</v>
      </c>
      <c r="E15" t="inlineStr">
        <is>
          <t>LL</t>
        </is>
      </c>
      <c r="F15" t="n">
        <v>5.44</v>
      </c>
      <c r="G15" t="n">
        <v>30.65</v>
      </c>
      <c r="H15" t="n">
        <v>49.19</v>
      </c>
      <c r="J15">
        <f>IF((_4318_ll_req[[#This Row],[Balance]]-_4318_ll_req[[#This Row],[8406]])&lt;0,0,_4318_ll_req[[#This Row],[Balance]]-_4318_ll_req[[#This Row],[8406]])</f>
        <v/>
      </c>
      <c r="K15">
        <f t="array" ref="K15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6">
      <c r="A16" t="inlineStr">
        <is>
          <t>42.7-0-3.5-ERW 1-FC</t>
        </is>
      </c>
      <c r="B16" t="n">
        <v>47.92</v>
      </c>
      <c r="C16" t="n">
        <v>22.3</v>
      </c>
      <c r="D16" t="n">
        <v>25.62</v>
      </c>
      <c r="E16" t="inlineStr">
        <is>
          <t>LL</t>
        </is>
      </c>
      <c r="G16" t="n">
        <v>4.82</v>
      </c>
      <c r="H16" t="n">
        <v>4.65</v>
      </c>
      <c r="J16">
        <f>IF((_4318_ll_req[[#This Row],[Balance]]-_4318_ll_req[[#This Row],[8406]])&lt;0,0,_4318_ll_req[[#This Row],[Balance]]-_4318_ll_req[[#This Row],[8406]])</f>
        <v/>
      </c>
      <c r="K16">
        <f t="array" ref="K16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7">
      <c r="A17" t="inlineStr">
        <is>
          <t>48.6-0-3.5-ERW 1-FC</t>
        </is>
      </c>
      <c r="B17" t="n">
        <v>15.25</v>
      </c>
      <c r="C17" t="n">
        <v>4.48</v>
      </c>
      <c r="D17" t="n">
        <v>10.77</v>
      </c>
      <c r="E17" t="inlineStr">
        <is>
          <t>LL</t>
        </is>
      </c>
      <c r="F17" t="n">
        <v>2.74</v>
      </c>
      <c r="G17" t="n">
        <v>6.03</v>
      </c>
      <c r="J17">
        <f>IF((_4318_ll_req[[#This Row],[Balance]]-_4318_ll_req[[#This Row],[8406]])&lt;0,0,_4318_ll_req[[#This Row],[Balance]]-_4318_ll_req[[#This Row],[8406]])</f>
        <v/>
      </c>
      <c r="K17">
        <f t="array" ref="K17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8">
      <c r="A18" t="inlineStr">
        <is>
          <t>50-50-1.6-ERW 2-PE</t>
        </is>
      </c>
      <c r="B18" t="n">
        <v>12.41</v>
      </c>
      <c r="C18" t="n">
        <v>0</v>
      </c>
      <c r="D18" t="n">
        <v>12.41</v>
      </c>
      <c r="E18" t="inlineStr">
        <is>
          <t>LL</t>
        </is>
      </c>
      <c r="G18" t="n">
        <v>1.35</v>
      </c>
      <c r="H18" t="n">
        <v>12.85</v>
      </c>
      <c r="J18">
        <f>IF((_4318_ll_req[[#This Row],[Balance]]-_4318_ll_req[[#This Row],[8406]])&lt;0,0,_4318_ll_req[[#This Row],[Balance]]-_4318_ll_req[[#This Row],[8406]])</f>
        <v/>
      </c>
      <c r="K18">
        <f t="array" ref="K18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19">
      <c r="A19" t="inlineStr">
        <is>
          <t>54-0-3-ERW 2-FC</t>
        </is>
      </c>
      <c r="B19" t="n">
        <v>25.8</v>
      </c>
      <c r="C19" t="n">
        <v>19.78</v>
      </c>
      <c r="D19" t="n">
        <v>6.02</v>
      </c>
      <c r="E19" t="inlineStr">
        <is>
          <t>LL</t>
        </is>
      </c>
      <c r="G19" t="n">
        <v>6.82</v>
      </c>
      <c r="H19" t="n">
        <v>18.77</v>
      </c>
      <c r="J19">
        <f>IF((_4318_ll_req[[#This Row],[Balance]]-_4318_ll_req[[#This Row],[8406]])&lt;0,0,_4318_ll_req[[#This Row],[Balance]]-_4318_ll_req[[#This Row],[8406]])</f>
        <v/>
      </c>
      <c r="K19">
        <f t="array" ref="K19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0">
      <c r="A20" t="inlineStr">
        <is>
          <t>57.15-0-2.3-ERW 2-FC</t>
        </is>
      </c>
      <c r="B20" t="n">
        <v>50.94</v>
      </c>
      <c r="C20" t="n">
        <v>50.8</v>
      </c>
      <c r="D20" t="n">
        <v>0.14</v>
      </c>
      <c r="E20" t="inlineStr">
        <is>
          <t>LL</t>
        </is>
      </c>
      <c r="G20" t="n">
        <v>0.08</v>
      </c>
      <c r="H20" t="n">
        <v>19.86</v>
      </c>
      <c r="J20">
        <f>IF((_4318_ll_req[[#This Row],[Balance]]-_4318_ll_req[[#This Row],[8406]])&lt;0,0,_4318_ll_req[[#This Row],[Balance]]-_4318_ll_req[[#This Row],[8406]])</f>
        <v/>
      </c>
      <c r="K20">
        <f t="array" ref="K20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1">
      <c r="A21" t="inlineStr">
        <is>
          <t>63.5-0-4-ERW 1-FC</t>
        </is>
      </c>
      <c r="B21" t="n">
        <v>22.15</v>
      </c>
      <c r="C21" t="n">
        <v>16.42</v>
      </c>
      <c r="D21" t="n">
        <v>5.74</v>
      </c>
      <c r="E21" t="inlineStr">
        <is>
          <t>LL</t>
        </is>
      </c>
      <c r="G21" t="n">
        <v>20.65</v>
      </c>
      <c r="H21" t="n">
        <v>3.26</v>
      </c>
      <c r="J21">
        <f>IF((_4318_ll_req[[#This Row],[Balance]]-_4318_ll_req[[#This Row],[8406]])&lt;0,0,_4318_ll_req[[#This Row],[Balance]]-_4318_ll_req[[#This Row],[8406]])</f>
        <v/>
      </c>
      <c r="K21">
        <f t="array" ref="K21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2">
      <c r="A22" t="inlineStr">
        <is>
          <t>70-0-3.2-ERW 2-FC</t>
        </is>
      </c>
      <c r="B22" t="n">
        <v>15.49</v>
      </c>
      <c r="C22" t="n">
        <v>4.96</v>
      </c>
      <c r="D22" t="n">
        <v>10.53</v>
      </c>
      <c r="E22" t="inlineStr">
        <is>
          <t>LL</t>
        </is>
      </c>
      <c r="G22" t="n">
        <v>3.58</v>
      </c>
      <c r="H22" t="n">
        <v>7.22</v>
      </c>
      <c r="J22">
        <f>IF((_4318_ll_req[[#This Row],[Balance]]-_4318_ll_req[[#This Row],[8406]])&lt;0,0,_4318_ll_req[[#This Row],[Balance]]-_4318_ll_req[[#This Row],[8406]])</f>
        <v/>
      </c>
      <c r="K22">
        <f t="array" ref="K22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3">
      <c r="K23">
        <f t="array" ref="K23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4">
      <c r="K24">
        <f t="array" ref="K24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5">
      <c r="K25">
        <f t="array" ref="K25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6">
      <c r="K26">
        <f t="array" ref="K26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7">
      <c r="K27">
        <f t="array" ref="K27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8">
      <c r="K28">
        <f t="array" ref="K28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29">
      <c r="K29">
        <f t="array" ref="K29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0">
      <c r="K30">
        <f t="array" ref="K30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1">
      <c r="K31">
        <f t="array" ref="K31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2">
      <c r="K32">
        <f t="array" ref="K32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3">
      <c r="K33">
        <f t="array" ref="K33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4">
      <c r="K34">
        <f t="array" ref="K34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5">
      <c r="K35">
        <f t="array" ref="K35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6">
      <c r="K36">
        <f t="array" ref="K36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7">
      <c r="K37">
        <f t="array" ref="K37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8">
      <c r="K38">
        <f t="array" ref="K38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39">
      <c r="K39">
        <f t="array" ref="K39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0">
      <c r="K40">
        <f t="array" ref="K40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1">
      <c r="K41">
        <f t="array" ref="K41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2">
      <c r="K42">
        <f t="array" ref="K42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3">
      <c r="K43">
        <f t="array" ref="K43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4">
      <c r="K44">
        <f t="array" ref="K44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5">
      <c r="K45">
        <f t="array" ref="K45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6">
      <c r="K46">
        <f t="array" ref="K46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7">
      <c r="K47">
        <f t="array" ref="K47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  <row r="48">
      <c r="K48">
        <f t="array" ref="K48">_xlfn.TEXTJOIN("|",TRUE,_xlfn.UNIQUE(_xlfn._xlws.FILTER(stock[Material],(stock[Bucket]=_4318_ll_req[[#This Row],[Bucket]])*(stock[LL or CTL]="LL"))), IFERROR(_xlfn.TEXTJOIN("|",TRUE,_xlfn.UNIQUE(_xlfn._xlws.FILTER(wip_ystockn_newest_codes_bucket[Material No],wip_ystockn_newest_codes_bucket[Bucket]=_4318_ll_req[[#This Row],[Bucket]]))),""))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codeName="Sheet14">
    <tabColor rgb="FF00B0F0"/>
    <outlinePr summaryBelow="1" summaryRight="1"/>
    <pageSetUpPr fitToPage="1"/>
  </sheetPr>
  <dimension ref="A1:AT828"/>
  <sheetViews>
    <sheetView topLeftCell="H15" zoomScale="85" zoomScaleNormal="85" workbookViewId="0">
      <selection activeCell="K573" sqref="K573"/>
    </sheetView>
  </sheetViews>
  <sheetFormatPr baseColWidth="8" defaultColWidth="8.85546875" defaultRowHeight="15"/>
  <cols>
    <col width="9" bestFit="1" customWidth="1" style="584" min="1" max="1"/>
    <col width="13.85546875" customWidth="1" style="584" min="2" max="2"/>
    <col width="18.5703125" customWidth="1" style="584" min="3" max="3"/>
    <col width="26.7109375" bestFit="1" customWidth="1" style="584" min="4" max="4"/>
    <col width="20.42578125" customWidth="1" style="584" min="5" max="5"/>
    <col outlineLevel="1" width="19.28515625" customWidth="1" style="198" min="6" max="6"/>
    <col outlineLevel="1" width="24.42578125" customWidth="1" style="198" min="7" max="7"/>
    <col width="48.7109375" bestFit="1" customWidth="1" style="584" min="8" max="8"/>
    <col width="13" bestFit="1" customWidth="1" style="584" min="9" max="9"/>
    <col hidden="1" outlineLevel="1" width="11.28515625" customWidth="1" style="584" min="10" max="16"/>
    <col hidden="1" outlineLevel="1" width="37.140625" customWidth="1" style="584" min="17" max="18"/>
    <col hidden="1" outlineLevel="1" width="8.140625" customWidth="1" style="584" min="19" max="19"/>
    <col hidden="1" outlineLevel="1" width="7.85546875" customWidth="1" style="584" min="20" max="20"/>
    <col hidden="1" outlineLevel="1" width="6.28515625" customWidth="1" style="584" min="21" max="21"/>
    <col hidden="1" outlineLevel="1" width="11.28515625" customWidth="1" style="584" min="22" max="22"/>
    <col hidden="1" outlineLevel="1" width="4.5703125" customWidth="1" style="584" min="23" max="23"/>
    <col collapsed="1" width="13.140625" customWidth="1" style="198" min="24" max="24"/>
    <col width="9" bestFit="1" customWidth="1" style="198" min="25" max="26"/>
    <col width="11.140625" customWidth="1" style="198" min="27" max="27"/>
    <col width="10" customWidth="1" style="198" min="28" max="28"/>
    <col width="12.7109375" customWidth="1" style="198" min="29" max="29"/>
    <col hidden="1" width="12.7109375" customWidth="1" style="198" min="30" max="31"/>
    <col width="23.28515625" bestFit="1" customWidth="1" style="90" min="32" max="32"/>
    <col width="8.42578125" customWidth="1" style="90" min="33" max="33"/>
    <col width="17.7109375" bestFit="1" customWidth="1" style="584" min="34" max="35"/>
    <col outlineLevel="1" width="17.42578125" customWidth="1" style="584" min="36" max="36"/>
    <col outlineLevel="1" width="19.28515625" customWidth="1" style="584" min="37" max="37"/>
    <col outlineLevel="1" width="24.42578125" customWidth="1" style="584" min="38" max="38"/>
    <col width="13" customWidth="1" style="584" min="39" max="39"/>
    <col hidden="1" outlineLevel="1" width="15.7109375" customWidth="1" style="584" min="40" max="40"/>
    <col hidden="1" outlineLevel="1" width="25.7109375" customWidth="1" style="584" min="41" max="41"/>
    <col collapsed="1" width="15.7109375" customWidth="1" style="584" min="42" max="42"/>
    <col width="15.7109375" customWidth="1" style="584" min="43" max="43"/>
    <col width="28.28515625" customWidth="1" style="584" min="44" max="44"/>
    <col width="12.7109375" customWidth="1" style="584" min="45" max="45"/>
    <col width="11" bestFit="1" customWidth="1" style="584" min="46" max="46"/>
  </cols>
  <sheetData>
    <row r="1" ht="104.25" customHeight="1" s="584">
      <c r="A1" s="15" t="n"/>
      <c r="B1" s="15" t="n"/>
      <c r="C1" s="15" t="inlineStr">
        <is>
          <t> </t>
        </is>
      </c>
      <c r="D1" s="15" t="n"/>
      <c r="E1" s="15" t="n"/>
      <c r="F1" s="10" t="n"/>
      <c r="G1" s="10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9" t="n"/>
      <c r="AG1" s="19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92" t="n"/>
    </row>
    <row r="2" ht="18.75" customHeight="1" s="584">
      <c r="A2" s="11" t="n"/>
      <c r="B2" s="11" t="n"/>
      <c r="C2" s="11" t="n"/>
      <c r="D2" s="11" t="n"/>
      <c r="E2" s="11" t="n"/>
      <c r="F2" s="8" t="n"/>
      <c r="G2" s="8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8" t="n"/>
      <c r="Y2" s="12" t="n"/>
      <c r="Z2" s="12" t="n"/>
      <c r="AA2" s="12" t="n"/>
      <c r="AB2" s="13" t="n"/>
      <c r="AC2" s="522" t="n"/>
      <c r="AD2" s="522" t="n"/>
      <c r="AE2" s="522" t="n"/>
      <c r="AF2" s="545">
        <f>SUBTOTAL(9,AF4:AF1048576)</f>
        <v/>
      </c>
      <c r="AG2" s="545" t="n"/>
      <c r="AH2" s="545">
        <f>SUBTOTAL(9,AH4:AH1048576)</f>
        <v/>
      </c>
      <c r="AI2" s="545">
        <f>SUBTOTAL(9,AI4:AI1048576)</f>
        <v/>
      </c>
      <c r="AJ2" s="21">
        <f>SUBTOTAL(9,AJ4:AJ1048576)</f>
        <v/>
      </c>
      <c r="AK2" s="21">
        <f>SUBTOTAL(9,AK4:AK1048576)</f>
        <v/>
      </c>
      <c r="AL2" s="21">
        <f>SUBTOTAL(9,AL4:AL1048576)</f>
        <v/>
      </c>
      <c r="AM2" s="21">
        <f>SUBTOTAL(9,AM4:AM1048576)</f>
        <v/>
      </c>
      <c r="AN2" s="21">
        <f>SUBTOTAL(9,AN4:AN1048576)</f>
        <v/>
      </c>
      <c r="AO2" s="21">
        <f>SUBTOTAL(9,AO4:AO1048576)</f>
        <v/>
      </c>
      <c r="AP2" s="21">
        <f>SUBTOTAL(9,AP4:AP1048576)</f>
        <v/>
      </c>
      <c r="AQ2" s="21">
        <f>SUBTOTAL(9,AQ4:AQ1048576)</f>
        <v/>
      </c>
      <c r="AR2" s="14">
        <f>SUBTOTAL(9,AR4:AR1048576)</f>
        <v/>
      </c>
      <c r="AS2" s="527" t="n"/>
    </row>
    <row r="3" ht="23.45" customHeight="1" s="584">
      <c r="A3" s="31" t="inlineStr">
        <is>
          <t>SNO</t>
        </is>
      </c>
      <c r="B3" s="32" t="inlineStr">
        <is>
          <t>RM Loaction</t>
        </is>
      </c>
      <c r="C3" s="33" t="inlineStr">
        <is>
          <t>CUSTOMER NAME</t>
        </is>
      </c>
      <c r="D3" s="33" t="inlineStr">
        <is>
          <t>Helper Customer</t>
        </is>
      </c>
      <c r="E3" s="34" t="inlineStr">
        <is>
          <t>CUSTOMER CODE</t>
        </is>
      </c>
      <c r="F3" s="35" t="inlineStr">
        <is>
          <t>MATERIAL NO</t>
        </is>
      </c>
      <c r="G3" s="35" t="inlineStr">
        <is>
          <t>Key</t>
        </is>
      </c>
      <c r="H3" s="36" t="inlineStr">
        <is>
          <t>MATERIAL DES</t>
        </is>
      </c>
      <c r="I3" s="37" t="inlineStr">
        <is>
          <t>Grade</t>
        </is>
      </c>
      <c r="J3" s="37" t="inlineStr">
        <is>
          <t>h</t>
        </is>
      </c>
      <c r="K3" s="37" t="inlineStr">
        <is>
          <t>FC/NFC</t>
        </is>
      </c>
      <c r="L3" s="37" t="inlineStr">
        <is>
          <t>HR/CR</t>
        </is>
      </c>
      <c r="M3" s="37" t="inlineStr">
        <is>
          <t>HR/CR Check</t>
        </is>
      </c>
      <c r="N3" s="37" t="inlineStr">
        <is>
          <t xml:space="preserve">Chamferring </t>
        </is>
      </c>
      <c r="O3" s="37" t="inlineStr">
        <is>
          <t>Angle Cut</t>
        </is>
      </c>
      <c r="P3" s="37" t="inlineStr">
        <is>
          <t>Surface Critical</t>
        </is>
      </c>
      <c r="Q3" s="37" t="inlineStr">
        <is>
          <t>Bucket</t>
        </is>
      </c>
      <c r="R3" s="37" t="inlineStr">
        <is>
          <t>CTL Bucket</t>
        </is>
      </c>
      <c r="S3" s="37" t="inlineStr">
        <is>
          <t>Check if CTL bucket is in sales sheet or not</t>
        </is>
      </c>
      <c r="T3" s="37" t="inlineStr">
        <is>
          <t>Plant</t>
        </is>
      </c>
      <c r="U3" s="37" t="inlineStr">
        <is>
          <t>4731 LL Stock</t>
        </is>
      </c>
      <c r="V3" s="37" t="inlineStr">
        <is>
          <t>4318 + 8406 stock</t>
        </is>
      </c>
      <c r="W3" s="37" t="inlineStr">
        <is>
          <t>Application</t>
        </is>
      </c>
      <c r="X3" s="38" t="inlineStr">
        <is>
          <t>ACTUAL OD</t>
        </is>
      </c>
      <c r="Y3" s="38" t="inlineStr">
        <is>
          <t>OD</t>
        </is>
      </c>
      <c r="Z3" s="38" t="inlineStr">
        <is>
          <t>ID</t>
        </is>
      </c>
      <c r="AA3" s="38" t="inlineStr">
        <is>
          <t>TICKNESS</t>
        </is>
      </c>
      <c r="AB3" s="38" t="inlineStr">
        <is>
          <t>LENGTH</t>
        </is>
      </c>
      <c r="AC3" s="38" t="inlineStr">
        <is>
          <t>UoM</t>
        </is>
      </c>
      <c r="AD3" s="38" t="inlineStr">
        <is>
          <t>Source Plant</t>
        </is>
      </c>
      <c r="AE3" s="38" t="inlineStr">
        <is>
          <t>Commitment Date</t>
        </is>
      </c>
      <c r="AF3" s="102" t="inlineStr">
        <is>
          <t>SCHEDULE in nos</t>
        </is>
      </c>
      <c r="AG3" s="39" t="inlineStr">
        <is>
          <t>Customer remarks</t>
        </is>
      </c>
      <c r="AH3" s="40" t="inlineStr">
        <is>
          <t>DISPATCH</t>
        </is>
      </c>
      <c r="AI3" s="41" t="inlineStr">
        <is>
          <t>BAL IN NOS</t>
        </is>
      </c>
      <c r="AJ3" s="104" t="inlineStr">
        <is>
          <t>SCHEDULE IN MT</t>
        </is>
      </c>
      <c r="AK3" s="104" t="inlineStr">
        <is>
          <t>DISPATCH MT</t>
        </is>
      </c>
      <c r="AL3" s="104" t="inlineStr">
        <is>
          <t>BALANCE FOR DISP</t>
        </is>
      </c>
      <c r="AM3" s="104" t="inlineStr">
        <is>
          <t>CTL stock in nos</t>
        </is>
      </c>
      <c r="AN3" s="104" t="inlineStr">
        <is>
          <t>CTL Stock</t>
        </is>
      </c>
      <c r="AO3" s="104" t="inlineStr">
        <is>
          <t>Total Long Stock in MT</t>
        </is>
      </c>
      <c r="AP3" s="104" t="inlineStr">
        <is>
          <t>LL Stock</t>
        </is>
      </c>
      <c r="AQ3" s="104" t="inlineStr">
        <is>
          <t>WIP</t>
        </is>
      </c>
      <c r="AR3" s="105" t="inlineStr">
        <is>
          <t>BALANCE REQUIRED IN MT</t>
        </is>
      </c>
      <c r="AS3" s="117" t="inlineStr">
        <is>
          <t>% COMP</t>
        </is>
      </c>
      <c r="AT3" t="inlineStr">
        <is>
          <t>so</t>
        </is>
      </c>
    </row>
    <row r="4">
      <c r="A4" s="594" t="n">
        <v>1</v>
      </c>
      <c r="B4" s="5" t="inlineStr">
        <is>
          <t>Hosur</t>
        </is>
      </c>
      <c r="C4" s="601" t="inlineStr">
        <is>
          <t>Balaji press product</t>
        </is>
      </c>
      <c r="D4" s="15" t="inlineStr">
        <is>
          <t>Balaji Press Product</t>
        </is>
      </c>
      <c r="E4" s="601" t="n">
        <v>189287</v>
      </c>
      <c r="F4" s="601" t="n">
        <v>3432081</v>
      </c>
      <c r="G4" s="601">
        <f>_xlfn.CONCAT(scheduleapr[[#This Row],[CUSTOMER CODE]],"-",scheduleapr[[#This Row],[MATERIAL NO]])</f>
        <v/>
      </c>
      <c r="H4" s="601" t="inlineStr">
        <is>
          <t>TUB-O-N-AUT-AW-PE-12.70X1.600X0.1890</t>
        </is>
      </c>
      <c r="I4" s="601" t="inlineStr">
        <is>
          <t>ERW 1</t>
        </is>
      </c>
      <c r="J4" s="601" t="n"/>
      <c r="K4" s="601" t="inlineStr">
        <is>
          <t>PE</t>
        </is>
      </c>
      <c r="L4" s="601" t="inlineStr">
        <is>
          <t>CR</t>
        </is>
      </c>
      <c r="M4" s="596" t="inlineStr">
        <is>
          <t>HROP</t>
        </is>
      </c>
      <c r="N4" s="601" t="n"/>
      <c r="O4" s="601" t="n"/>
      <c r="P4" s="601" t="n"/>
      <c r="Q4" s="557">
        <f>CONCATENATE(scheduleapr[[#This Row],[OD]],"-",scheduleapr[[#This Row],[ID]],"-",scheduleapr[[#This Row],[TICKNESS]],"-",scheduleapr[[#This Row],[Grade]],"-",scheduleapr[[#This Row],[FC/NFC]])</f>
        <v/>
      </c>
      <c r="R4" s="557">
        <f>_xlfn.CONCAT(scheduleapr[[#This Row],[Bucket]],"-",scheduleapr[[#This Row],[LENGTH]]/1000)</f>
        <v/>
      </c>
      <c r="S4" s="557">
        <f>COUNTIF(scheduleapr[CTL Bucket],scheduleapr[[#This Row],[CTL Bucket]])</f>
        <v/>
      </c>
      <c r="T4" s="601" t="inlineStr">
        <is>
          <t>Hosur</t>
        </is>
      </c>
      <c r="U4" s="601">
        <f>_xlfn.IFNA(VLOOKUP(scheduleapr[[#This Row],[Bucket]],salesforecast[[#All],[Bucket2]:[8406 Stock]],19,0),0)</f>
        <v/>
      </c>
      <c r="V4" s="562">
        <f>_xlfn.IFNA(VLOOKUP(scheduleapr[[#This Row],[Bucket]],salesforecast[[#All],[Bucket2]:[8406 Stock]],20,0),0)+_xlfn.IFNA(VLOOKUP(scheduleapr[[#This Row],[Bucket]],salesforecast[[#All],[Bucket2]:[8406 Stock]],17,0),0)</f>
        <v/>
      </c>
      <c r="W4" s="557" t="n"/>
      <c r="X4" s="599" t="n">
        <v>12.7</v>
      </c>
      <c r="Y4" s="599" t="n">
        <v>12.7</v>
      </c>
      <c r="Z4" s="599" t="n">
        <v>0</v>
      </c>
      <c r="AA4" s="599" t="n">
        <v>1.6</v>
      </c>
      <c r="AB4" s="600" t="n">
        <v>189</v>
      </c>
      <c r="AC4" s="600" t="inlineStr">
        <is>
          <t>NOS</t>
        </is>
      </c>
      <c r="AD4" s="600" t="inlineStr">
        <is>
          <t>Hosur Plant</t>
        </is>
      </c>
      <c r="AE4" s="600" t="n"/>
      <c r="AF4" s="601" t="n">
        <v>25000</v>
      </c>
      <c r="AG4" s="601" t="n"/>
      <c r="AH4" s="601">
        <f t="array" ref="AH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" s="602">
        <f>scheduleapr[[#This Row],[SCHEDULE in nos]]-scheduleapr[[#This Row],[DISPATCH]]</f>
        <v/>
      </c>
      <c r="AJ4" s="599">
        <f>(3.14*(scheduleapr[[#This Row],[ACTUAL OD]]-scheduleapr[[#This Row],[TICKNESS]])*scheduleapr[[#This Row],[TICKNESS]]*scheduleapr[[#This Row],[LENGTH]]*7.85)/1000000*scheduleapr[[#This Row],[SCHEDULE in nos]]/1000</f>
        <v/>
      </c>
      <c r="AK4" s="599">
        <f>(3.14*(scheduleapr[[#This Row],[ACTUAL OD]]-scheduleapr[[#This Row],[TICKNESS]])*scheduleapr[[#This Row],[TICKNESS]]*scheduleapr[[#This Row],[LENGTH]]*7.85)/1000000*scheduleapr[[#This Row],[DISPATCH]]/1000</f>
        <v/>
      </c>
      <c r="AL4" s="599">
        <f>AJ4-AK4</f>
        <v/>
      </c>
      <c r="AM4" s="599">
        <f>scheduleapr[[#This Row],[SCHEDULE in nos]]/scheduleapr[[#This Row],[SCHEDULE IN MT]]*scheduleapr[[#This Row],[CTL Stock]]</f>
        <v/>
      </c>
      <c r="AN4" s="599">
        <f>SUMIFS(stock[MT],stock[Bucket],scheduleapr[[#This Row],[Bucket]],stock[CTL Bucket],scheduleapr[[#This Row],[CTL Bucket]],stock[Plant],"0789")</f>
        <v/>
      </c>
      <c r="AO4" s="599" t="n"/>
      <c r="AP4" s="599">
        <f>SUMIFS(stock[MT],stock[Bucket],scheduleapr[[#This Row],[Bucket]],stock[LL or CTL],"LL")</f>
        <v/>
      </c>
      <c r="AQ4" s="208">
        <f>+SUMIFS(wip[Stock(Net Wt)],wip[Bucket],scheduleapr[[#This Row],[Bucket]])/1000</f>
        <v/>
      </c>
      <c r="AR4" s="599">
        <f>AJ4-AN4</f>
        <v/>
      </c>
      <c r="AS4" s="118" t="n"/>
    </row>
    <row r="5">
      <c r="A5" s="556" t="n"/>
      <c r="B5" s="5" t="inlineStr">
        <is>
          <t>Hosur</t>
        </is>
      </c>
      <c r="C5" s="601" t="inlineStr">
        <is>
          <t>Balaji press product</t>
        </is>
      </c>
      <c r="D5" s="15" t="inlineStr">
        <is>
          <t>Balaji Press Product</t>
        </is>
      </c>
      <c r="E5" s="601" t="n">
        <v>189287</v>
      </c>
      <c r="F5" s="557" t="n"/>
      <c r="G5" s="601">
        <f>_xlfn.CONCAT(scheduleapr[[#This Row],[CUSTOMER CODE]],"-",scheduleapr[[#This Row],[MATERIAL NO]])</f>
        <v/>
      </c>
      <c r="H5" s="557" t="n"/>
      <c r="I5" s="601" t="inlineStr">
        <is>
          <t>ERW 1</t>
        </is>
      </c>
      <c r="J5" s="557" t="n"/>
      <c r="K5" s="557" t="n"/>
      <c r="L5" s="557" t="n"/>
      <c r="M5" s="558" t="n"/>
      <c r="N5" s="557" t="n"/>
      <c r="O5" s="557" t="n"/>
      <c r="P5" s="557" t="n"/>
      <c r="Q5" s="557" t="n"/>
      <c r="R5" s="557" t="n"/>
      <c r="S5" s="557" t="n"/>
      <c r="T5" s="601" t="n"/>
      <c r="U5" s="601" t="n"/>
      <c r="V5" s="598" t="n"/>
      <c r="W5" s="601" t="n"/>
      <c r="X5" s="559" t="n">
        <v>15.88</v>
      </c>
      <c r="Y5" s="559" t="n">
        <v>15.88</v>
      </c>
      <c r="Z5" s="559" t="n">
        <v>0</v>
      </c>
      <c r="AA5" s="559" t="n">
        <v>1</v>
      </c>
      <c r="AB5" s="600" t="n">
        <v>585</v>
      </c>
      <c r="AC5" s="600" t="inlineStr">
        <is>
          <t>NOS</t>
        </is>
      </c>
      <c r="AD5" s="600" t="n"/>
      <c r="AE5" s="600" t="n"/>
      <c r="AF5" s="557" t="n">
        <v>5000</v>
      </c>
      <c r="AG5" s="557" t="n"/>
      <c r="AH5" s="557">
        <f t="array" ref="AH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" s="560">
        <f>scheduleapr[[#This Row],[SCHEDULE in nos]]-scheduleapr[[#This Row],[DISPATCH]]</f>
        <v/>
      </c>
      <c r="AJ5" s="559">
        <f>(3.14*(scheduleapr[[#This Row],[ACTUAL OD]]-scheduleapr[[#This Row],[TICKNESS]])*scheduleapr[[#This Row],[TICKNESS]]*scheduleapr[[#This Row],[LENGTH]]*7.85)/1000000*scheduleapr[[#This Row],[SCHEDULE in nos]]/1000</f>
        <v/>
      </c>
      <c r="AK5" s="599">
        <f>(3.14*(scheduleapr[[#This Row],[ACTUAL OD]]-scheduleapr[[#This Row],[TICKNESS]])*scheduleapr[[#This Row],[TICKNESS]]*scheduleapr[[#This Row],[LENGTH]]*7.85)/1000000*scheduleapr[[#This Row],[DISPATCH]]/1000</f>
        <v/>
      </c>
      <c r="AL5" s="599">
        <f>AJ5-AK5</f>
        <v/>
      </c>
      <c r="AM5" s="559">
        <f>scheduleapr[[#This Row],[SCHEDULE in nos]]/scheduleapr[[#This Row],[SCHEDULE IN MT]]*scheduleapr[[#This Row],[CTL Stock]]</f>
        <v/>
      </c>
      <c r="AN5" s="599">
        <f>SUMIFS(stock[MT],stock[Bucket],scheduleapr[[#This Row],[Bucket]],stock[CTL Bucket],scheduleapr[[#This Row],[CTL Bucket]],stock[Plant],"0789")</f>
        <v/>
      </c>
      <c r="AO5" s="599" t="n"/>
      <c r="AP5" s="599">
        <f>SUMIFS(stock[MT],stock[Bucket],scheduleapr[[#This Row],[Bucket]],stock[LL or CTL],"LL")</f>
        <v/>
      </c>
      <c r="AQ5" s="599">
        <f>+SUMIFS(wip[Stock(Net Wt)],wip[Bucket],scheduleapr[[#This Row],[Bucket]])/1000</f>
        <v/>
      </c>
      <c r="AR5" s="599">
        <f>AJ5-AN5</f>
        <v/>
      </c>
      <c r="AS5" s="118" t="n"/>
    </row>
    <row r="6">
      <c r="A6" s="556" t="n"/>
      <c r="B6" s="5" t="inlineStr">
        <is>
          <t>Hosur</t>
        </is>
      </c>
      <c r="C6" s="601" t="inlineStr">
        <is>
          <t>Balaji press product</t>
        </is>
      </c>
      <c r="D6" s="15" t="inlineStr">
        <is>
          <t>Balaji Press Product</t>
        </is>
      </c>
      <c r="E6" s="601" t="n">
        <v>189287</v>
      </c>
      <c r="F6" s="557" t="n"/>
      <c r="G6" s="601">
        <f>_xlfn.CONCAT(scheduleapr[[#This Row],[CUSTOMER CODE]],"-",scheduleapr[[#This Row],[MATERIAL NO]])</f>
        <v/>
      </c>
      <c r="H6" s="557" t="n"/>
      <c r="I6" s="601" t="inlineStr">
        <is>
          <t>ERW 1</t>
        </is>
      </c>
      <c r="J6" s="557" t="n"/>
      <c r="K6" s="557" t="n"/>
      <c r="L6" s="557" t="n"/>
      <c r="M6" s="558" t="n"/>
      <c r="N6" s="557" t="n"/>
      <c r="O6" s="557" t="n"/>
      <c r="P6" s="557" t="n"/>
      <c r="Q6" s="557" t="n"/>
      <c r="R6" s="557" t="n"/>
      <c r="S6" s="557" t="n"/>
      <c r="T6" s="601" t="n"/>
      <c r="U6" s="601" t="n"/>
      <c r="V6" s="598" t="n"/>
      <c r="W6" s="601" t="n"/>
      <c r="X6" s="559" t="n">
        <v>15.88</v>
      </c>
      <c r="Y6" s="599" t="n">
        <v>15.88</v>
      </c>
      <c r="Z6" s="559" t="n">
        <v>0</v>
      </c>
      <c r="AA6" s="559" t="n">
        <v>1</v>
      </c>
      <c r="AB6" s="600" t="n">
        <v>1233</v>
      </c>
      <c r="AC6" s="600" t="inlineStr">
        <is>
          <t>NOS</t>
        </is>
      </c>
      <c r="AD6" s="600" t="n"/>
      <c r="AE6" s="600" t="n"/>
      <c r="AF6" s="557" t="n">
        <v>2000</v>
      </c>
      <c r="AG6" s="557" t="n"/>
      <c r="AH6" s="557">
        <f t="array" ref="AH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" s="560">
        <f>scheduleapr[[#This Row],[SCHEDULE in nos]]-scheduleapr[[#This Row],[DISPATCH]]</f>
        <v/>
      </c>
      <c r="AJ6" s="559">
        <f>(3.14*(scheduleapr[[#This Row],[ACTUAL OD]]-scheduleapr[[#This Row],[TICKNESS]])*scheduleapr[[#This Row],[TICKNESS]]*scheduleapr[[#This Row],[LENGTH]]*7.85)/1000000*scheduleapr[[#This Row],[SCHEDULE in nos]]/1000</f>
        <v/>
      </c>
      <c r="AK6" s="599">
        <f>(3.14*(scheduleapr[[#This Row],[ACTUAL OD]]-scheduleapr[[#This Row],[TICKNESS]])*scheduleapr[[#This Row],[TICKNESS]]*scheduleapr[[#This Row],[LENGTH]]*7.85)/1000000*scheduleapr[[#This Row],[DISPATCH]]/1000</f>
        <v/>
      </c>
      <c r="AL6" s="599">
        <f>AJ6-AK6</f>
        <v/>
      </c>
      <c r="AM6" s="559">
        <f>scheduleapr[[#This Row],[SCHEDULE in nos]]/scheduleapr[[#This Row],[SCHEDULE IN MT]]*scheduleapr[[#This Row],[CTL Stock]]</f>
        <v/>
      </c>
      <c r="AN6" s="599">
        <f>SUMIFS(stock[MT],stock[Bucket],scheduleapr[[#This Row],[Bucket]],stock[CTL Bucket],scheduleapr[[#This Row],[CTL Bucket]],stock[Plant],"0789")</f>
        <v/>
      </c>
      <c r="AO6" s="599" t="n"/>
      <c r="AP6" s="599">
        <f>SUMIFS(stock[MT],stock[Bucket],scheduleapr[[#This Row],[Bucket]],stock[LL or CTL],"LL")</f>
        <v/>
      </c>
      <c r="AQ6" s="599">
        <f>+SUMIFS(wip[Stock(Net Wt)],wip[Bucket],scheduleapr[[#This Row],[Bucket]])/1000</f>
        <v/>
      </c>
      <c r="AR6" s="599">
        <f>AJ6-AN6</f>
        <v/>
      </c>
      <c r="AS6" s="118" t="n"/>
    </row>
    <row r="7">
      <c r="A7" s="594" t="n">
        <v>2</v>
      </c>
      <c r="B7" s="5" t="inlineStr">
        <is>
          <t>Hosur</t>
        </is>
      </c>
      <c r="C7" s="601" t="inlineStr">
        <is>
          <t>Balaji press product</t>
        </is>
      </c>
      <c r="D7" s="15" t="inlineStr">
        <is>
          <t>Balaji Press Product</t>
        </is>
      </c>
      <c r="E7" s="601" t="n">
        <v>189287</v>
      </c>
      <c r="F7" s="601" t="n">
        <v>1940034</v>
      </c>
      <c r="G7" s="601">
        <f>_xlfn.CONCAT(scheduleapr[[#This Row],[CUSTOMER CODE]],"-",scheduleapr[[#This Row],[MATERIAL NO]])</f>
        <v/>
      </c>
      <c r="H7" s="601" t="inlineStr">
        <is>
          <t>TUB-O-O-AUT-AW-PE-15.88X1.200X0.5400</t>
        </is>
      </c>
      <c r="I7" s="601" t="inlineStr">
        <is>
          <t>ERW 1</t>
        </is>
      </c>
      <c r="J7" s="601" t="n"/>
      <c r="K7" s="601" t="inlineStr">
        <is>
          <t>PE</t>
        </is>
      </c>
      <c r="L7" s="601" t="inlineStr">
        <is>
          <t>HR</t>
        </is>
      </c>
      <c r="M7" s="601" t="n"/>
      <c r="N7" s="601" t="n"/>
      <c r="O7" s="601" t="n"/>
      <c r="P7" s="601" t="n"/>
      <c r="Q7" s="557">
        <f>CONCATENATE(scheduleapr[[#This Row],[OD]],"-",scheduleapr[[#This Row],[ID]],"-",scheduleapr[[#This Row],[TICKNESS]],"-",scheduleapr[[#This Row],[Grade]],"-",scheduleapr[[#This Row],[FC/NFC]])</f>
        <v/>
      </c>
      <c r="R7" s="557">
        <f>_xlfn.CONCAT(scheduleapr[[#This Row],[Bucket]],"-",scheduleapr[[#This Row],[LENGTH]]/1000)</f>
        <v/>
      </c>
      <c r="S7" s="557">
        <f>COUNTIF(scheduleapr[CTL Bucket],scheduleapr[[#This Row],[CTL Bucket]])</f>
        <v/>
      </c>
      <c r="T7" s="601" t="inlineStr">
        <is>
          <t>Hosur</t>
        </is>
      </c>
      <c r="U7" s="601">
        <f>_xlfn.IFNA(VLOOKUP(scheduleapr[[#This Row],[Bucket]],salesforecast[[#All],[Bucket2]:[8406 Stock]],19,0),0)</f>
        <v/>
      </c>
      <c r="V7" s="562">
        <f>_xlfn.IFNA(VLOOKUP(scheduleapr[[#This Row],[Bucket]],salesforecast[[#All],[Bucket2]:[8406 Stock]],20,0),0)+_xlfn.IFNA(VLOOKUP(scheduleapr[[#This Row],[Bucket]],salesforecast[[#All],[Bucket2]:[8406 Stock]],17,0),0)</f>
        <v/>
      </c>
      <c r="W7" s="557" t="n"/>
      <c r="X7" s="599" t="n">
        <v>15.88</v>
      </c>
      <c r="Y7" s="599" t="n">
        <v>15.88</v>
      </c>
      <c r="Z7" s="599" t="n">
        <v>0</v>
      </c>
      <c r="AA7" s="599" t="n">
        <v>1.2</v>
      </c>
      <c r="AB7" s="81" t="n">
        <v>540</v>
      </c>
      <c r="AC7" s="600" t="inlineStr">
        <is>
          <t>NOS</t>
        </is>
      </c>
      <c r="AD7" s="600" t="inlineStr">
        <is>
          <t>Hosur Plant</t>
        </is>
      </c>
      <c r="AE7" s="600" t="n">
        <v>2000</v>
      </c>
      <c r="AF7" s="601" t="n">
        <v>1500</v>
      </c>
      <c r="AG7" s="601" t="n"/>
      <c r="AH7" s="601">
        <f t="array" ref="AH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" s="602">
        <f>scheduleapr[[#This Row],[SCHEDULE in nos]]-scheduleapr[[#This Row],[DISPATCH]]</f>
        <v/>
      </c>
      <c r="AJ7" s="599">
        <f>(3.14*(scheduleapr[[#This Row],[ACTUAL OD]]-scheduleapr[[#This Row],[TICKNESS]])*scheduleapr[[#This Row],[TICKNESS]]*scheduleapr[[#This Row],[LENGTH]]*7.85)/1000000*scheduleapr[[#This Row],[SCHEDULE in nos]]/1000</f>
        <v/>
      </c>
      <c r="AK7" s="599">
        <f>(3.14*(scheduleapr[[#This Row],[ACTUAL OD]]-scheduleapr[[#This Row],[TICKNESS]])*scheduleapr[[#This Row],[TICKNESS]]*scheduleapr[[#This Row],[LENGTH]]*7.85)/1000000*scheduleapr[[#This Row],[DISPATCH]]/1000</f>
        <v/>
      </c>
      <c r="AL7" s="599">
        <f>AJ7-AK7</f>
        <v/>
      </c>
      <c r="AM7" s="599">
        <f>scheduleapr[[#This Row],[SCHEDULE in nos]]/scheduleapr[[#This Row],[SCHEDULE IN MT]]*scheduleapr[[#This Row],[CTL Stock]]</f>
        <v/>
      </c>
      <c r="AN7" s="599">
        <f>SUMIFS(stock[MT],stock[Bucket],scheduleapr[[#This Row],[Bucket]],stock[CTL Bucket],scheduleapr[[#This Row],[CTL Bucket]],stock[Plant],"0789")</f>
        <v/>
      </c>
      <c r="AO7" s="599" t="n"/>
      <c r="AP7" s="599">
        <f>SUMIFS(stock[MT],stock[Bucket],scheduleapr[[#This Row],[Bucket]],stock[LL or CTL],"LL")</f>
        <v/>
      </c>
      <c r="AQ7" s="599">
        <f>+SUMIFS(wip[Stock(Net Wt)],wip[Bucket],scheduleapr[[#This Row],[Bucket]])/1000</f>
        <v/>
      </c>
      <c r="AR7" s="599">
        <f>AJ7-AN7</f>
        <v/>
      </c>
      <c r="AS7" s="118" t="n"/>
    </row>
    <row r="8">
      <c r="A8" s="594" t="n">
        <v>3</v>
      </c>
      <c r="B8" s="5" t="inlineStr">
        <is>
          <t>Hosur</t>
        </is>
      </c>
      <c r="C8" s="601" t="inlineStr">
        <is>
          <t>Balaji press product</t>
        </is>
      </c>
      <c r="D8" s="15" t="inlineStr">
        <is>
          <t>Balaji Press Product</t>
        </is>
      </c>
      <c r="E8" s="601" t="n">
        <v>189287</v>
      </c>
      <c r="F8" s="601" t="n">
        <v>1940038</v>
      </c>
      <c r="G8" s="601">
        <f>_xlfn.CONCAT(scheduleapr[[#This Row],[CUSTOMER CODE]],"-",scheduleapr[[#This Row],[MATERIAL NO]])</f>
        <v/>
      </c>
      <c r="H8" s="601" t="inlineStr">
        <is>
          <t>TUB-O-O-AUT-AW-PE-15.88X1.200X0.6800</t>
        </is>
      </c>
      <c r="I8" s="601" t="inlineStr">
        <is>
          <t>ERW 1</t>
        </is>
      </c>
      <c r="J8" s="601" t="n"/>
      <c r="K8" s="601" t="inlineStr">
        <is>
          <t>PE</t>
        </is>
      </c>
      <c r="L8" s="601" t="inlineStr">
        <is>
          <t>HR</t>
        </is>
      </c>
      <c r="M8" s="601" t="n"/>
      <c r="N8" s="601" t="n"/>
      <c r="O8" s="601" t="n"/>
      <c r="P8" s="601" t="n"/>
      <c r="Q8" s="557">
        <f>CONCATENATE(scheduleapr[[#This Row],[OD]],"-",scheduleapr[[#This Row],[ID]],"-",scheduleapr[[#This Row],[TICKNESS]],"-",scheduleapr[[#This Row],[Grade]],"-",scheduleapr[[#This Row],[FC/NFC]])</f>
        <v/>
      </c>
      <c r="R8" s="557">
        <f>_xlfn.CONCAT(scheduleapr[[#This Row],[Bucket]],"-",scheduleapr[[#This Row],[LENGTH]]/1000)</f>
        <v/>
      </c>
      <c r="S8" s="557">
        <f>COUNTIF(scheduleapr[CTL Bucket],scheduleapr[[#This Row],[CTL Bucket]])</f>
        <v/>
      </c>
      <c r="T8" s="601" t="inlineStr">
        <is>
          <t>Hosur</t>
        </is>
      </c>
      <c r="U8" s="601">
        <f>_xlfn.IFNA(VLOOKUP(scheduleapr[[#This Row],[Bucket]],salesforecast[[#All],[Bucket2]:[8406 Stock]],19,0),0)</f>
        <v/>
      </c>
      <c r="V8" s="562">
        <f>_xlfn.IFNA(VLOOKUP(scheduleapr[[#This Row],[Bucket]],salesforecast[[#All],[Bucket2]:[8406 Stock]],20,0),0)+_xlfn.IFNA(VLOOKUP(scheduleapr[[#This Row],[Bucket]],salesforecast[[#All],[Bucket2]:[8406 Stock]],17,0),0)</f>
        <v/>
      </c>
      <c r="W8" s="557" t="n"/>
      <c r="X8" s="599" t="n">
        <v>15.88</v>
      </c>
      <c r="Y8" s="599" t="n">
        <v>15.88</v>
      </c>
      <c r="Z8" s="599" t="n">
        <v>0</v>
      </c>
      <c r="AA8" s="599" t="n">
        <v>1.2</v>
      </c>
      <c r="AB8" s="600" t="n">
        <v>680</v>
      </c>
      <c r="AC8" s="600" t="inlineStr">
        <is>
          <t>NOS</t>
        </is>
      </c>
      <c r="AD8" s="600" t="inlineStr">
        <is>
          <t>Hosur Plant</t>
        </is>
      </c>
      <c r="AE8" s="600" t="n"/>
      <c r="AF8" s="601" t="n">
        <v>3000</v>
      </c>
      <c r="AG8" s="601" t="n"/>
      <c r="AH8" s="601">
        <f t="array" ref="AH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" s="602">
        <f>scheduleapr[[#This Row],[SCHEDULE in nos]]-scheduleapr[[#This Row],[DISPATCH]]</f>
        <v/>
      </c>
      <c r="AJ8" s="599">
        <f>(3.14*(scheduleapr[[#This Row],[ACTUAL OD]]-scheduleapr[[#This Row],[TICKNESS]])*scheduleapr[[#This Row],[TICKNESS]]*scheduleapr[[#This Row],[LENGTH]]*7.85)/1000000*scheduleapr[[#This Row],[SCHEDULE in nos]]/1000</f>
        <v/>
      </c>
      <c r="AK8" s="599">
        <f>(3.14*(scheduleapr[[#This Row],[ACTUAL OD]]-scheduleapr[[#This Row],[TICKNESS]])*scheduleapr[[#This Row],[TICKNESS]]*scheduleapr[[#This Row],[LENGTH]]*7.85)/1000000*scheduleapr[[#This Row],[DISPATCH]]/1000</f>
        <v/>
      </c>
      <c r="AL8" s="599">
        <f>AJ8-AK8</f>
        <v/>
      </c>
      <c r="AM8" s="599">
        <f>scheduleapr[[#This Row],[SCHEDULE in nos]]/scheduleapr[[#This Row],[SCHEDULE IN MT]]*scheduleapr[[#This Row],[CTL Stock]]</f>
        <v/>
      </c>
      <c r="AN8" s="599">
        <f>SUMIFS(stock[MT],stock[Bucket],scheduleapr[[#This Row],[Bucket]],stock[CTL Bucket],scheduleapr[[#This Row],[CTL Bucket]],stock[Plant],"0789")</f>
        <v/>
      </c>
      <c r="AO8" s="599" t="n"/>
      <c r="AP8" s="599">
        <f>SUMIFS(stock[MT],stock[Bucket],scheduleapr[[#This Row],[Bucket]],stock[LL or CTL],"LL")</f>
        <v/>
      </c>
      <c r="AQ8" s="599">
        <f>+SUMIFS(wip[Stock(Net Wt)],wip[Bucket],scheduleapr[[#This Row],[Bucket]])/1000</f>
        <v/>
      </c>
      <c r="AR8" s="599">
        <f>AJ8-AN8</f>
        <v/>
      </c>
      <c r="AS8" s="118" t="n"/>
    </row>
    <row r="9">
      <c r="A9" s="556" t="n"/>
      <c r="B9" s="5" t="inlineStr">
        <is>
          <t>Hosur</t>
        </is>
      </c>
      <c r="C9" s="601" t="inlineStr">
        <is>
          <t>Balaji press product</t>
        </is>
      </c>
      <c r="D9" s="15" t="inlineStr">
        <is>
          <t>Balaji Press Product</t>
        </is>
      </c>
      <c r="E9" s="601" t="n">
        <v>189287</v>
      </c>
      <c r="F9" s="557" t="n"/>
      <c r="G9" s="601">
        <f>_xlfn.CONCAT(scheduleapr[[#This Row],[CUSTOMER CODE]],"-",scheduleapr[[#This Row],[MATERIAL NO]])</f>
        <v/>
      </c>
      <c r="H9" s="557" t="n"/>
      <c r="I9" s="601" t="inlineStr">
        <is>
          <t>ERW 1</t>
        </is>
      </c>
      <c r="J9" s="557" t="n"/>
      <c r="K9" s="601" t="inlineStr">
        <is>
          <t>PE</t>
        </is>
      </c>
      <c r="L9" s="601" t="inlineStr">
        <is>
          <t>HR</t>
        </is>
      </c>
      <c r="M9" s="558" t="n"/>
      <c r="N9" s="557" t="n"/>
      <c r="O9" s="557" t="n"/>
      <c r="P9" s="557" t="n"/>
      <c r="Q9" s="557">
        <f>CONCATENATE(scheduleapr[[#This Row],[OD]],"-",scheduleapr[[#This Row],[ID]],"-",scheduleapr[[#This Row],[TICKNESS]],"-",scheduleapr[[#This Row],[Grade]],"-",scheduleapr[[#This Row],[FC/NFC]])</f>
        <v/>
      </c>
      <c r="R9" s="557">
        <f>_xlfn.CONCAT(scheduleapr[[#This Row],[Bucket]],"-",scheduleapr[[#This Row],[LENGTH]]/1000)</f>
        <v/>
      </c>
      <c r="S9" s="557" t="n"/>
      <c r="T9" s="601" t="n"/>
      <c r="U9" s="601">
        <f>_xlfn.IFNA(VLOOKUP(scheduleapr[[#This Row],[Bucket]],salesforecast[[#All],[Bucket2]:[8406 Stock]],19,0),0)</f>
        <v/>
      </c>
      <c r="V9" s="562">
        <f>_xlfn.IFNA(VLOOKUP(scheduleapr[[#This Row],[Bucket]],salesforecast[[#All],[Bucket2]:[8406 Stock]],20,0),0)+_xlfn.IFNA(VLOOKUP(scheduleapr[[#This Row],[Bucket]],salesforecast[[#All],[Bucket2]:[8406 Stock]],17,0),0)</f>
        <v/>
      </c>
      <c r="W9" s="601" t="n"/>
      <c r="X9" s="599" t="n">
        <v>15.88</v>
      </c>
      <c r="Y9" s="599" t="n">
        <v>15.88</v>
      </c>
      <c r="Z9" s="599" t="n">
        <v>0</v>
      </c>
      <c r="AA9" s="599" t="n">
        <v>1.2</v>
      </c>
      <c r="AB9" s="600" t="n">
        <v>730</v>
      </c>
      <c r="AC9" s="600" t="inlineStr">
        <is>
          <t>NOS</t>
        </is>
      </c>
      <c r="AD9" s="600" t="inlineStr">
        <is>
          <t>Hosur Plant</t>
        </is>
      </c>
      <c r="AE9" s="600" t="n"/>
      <c r="AF9" s="557" t="n">
        <v>6000</v>
      </c>
      <c r="AG9" s="557" t="n"/>
      <c r="AH9" s="601">
        <f t="array" ref="AH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" s="602">
        <f>scheduleapr[[#This Row],[SCHEDULE in nos]]-scheduleapr[[#This Row],[DISPATCH]]</f>
        <v/>
      </c>
      <c r="AJ9" s="559">
        <f>(3.14*(scheduleapr[[#This Row],[ACTUAL OD]]-scheduleapr[[#This Row],[TICKNESS]])*scheduleapr[[#This Row],[TICKNESS]]*scheduleapr[[#This Row],[LENGTH]]*7.85)/1000000*scheduleapr[[#This Row],[SCHEDULE in nos]]/1000</f>
        <v/>
      </c>
      <c r="AK9" s="599">
        <f>(3.14*(scheduleapr[[#This Row],[ACTUAL OD]]-scheduleapr[[#This Row],[TICKNESS]])*scheduleapr[[#This Row],[TICKNESS]]*scheduleapr[[#This Row],[LENGTH]]*7.85)/1000000*scheduleapr[[#This Row],[DISPATCH]]/1000</f>
        <v/>
      </c>
      <c r="AL9" s="599">
        <f>AJ9-AK9</f>
        <v/>
      </c>
      <c r="AM9" s="559">
        <f>scheduleapr[[#This Row],[SCHEDULE in nos]]/scheduleapr[[#This Row],[SCHEDULE IN MT]]*scheduleapr[[#This Row],[CTL Stock]]</f>
        <v/>
      </c>
      <c r="AN9" s="599">
        <f>SUMIFS(stock[MT],stock[Bucket],scheduleapr[[#This Row],[Bucket]],stock[CTL Bucket],scheduleapr[[#This Row],[CTL Bucket]],stock[Plant],"0789")</f>
        <v/>
      </c>
      <c r="AO9" s="599" t="n"/>
      <c r="AP9" s="599">
        <f>SUMIFS(stock[MT],stock[Bucket],scheduleapr[[#This Row],[Bucket]],stock[LL or CTL],"LL")</f>
        <v/>
      </c>
      <c r="AQ9" s="599">
        <f>+SUMIFS(wip[Stock(Net Wt)],wip[Bucket],scheduleapr[[#This Row],[Bucket]])/1000</f>
        <v/>
      </c>
      <c r="AR9" s="599">
        <f>AJ9-AN9</f>
        <v/>
      </c>
      <c r="AS9" s="118" t="n"/>
    </row>
    <row r="10">
      <c r="A10" s="594" t="n">
        <v>4</v>
      </c>
      <c r="B10" s="5" t="inlineStr">
        <is>
          <t>Hosur</t>
        </is>
      </c>
      <c r="C10" s="601" t="inlineStr">
        <is>
          <t>Balaji press product</t>
        </is>
      </c>
      <c r="D10" s="15" t="inlineStr">
        <is>
          <t>Balaji Press Product</t>
        </is>
      </c>
      <c r="E10" s="601" t="n">
        <v>189287</v>
      </c>
      <c r="F10" s="601" t="n">
        <v>3715199</v>
      </c>
      <c r="G10" s="601">
        <f>_xlfn.CONCAT(scheduleapr[[#This Row],[CUSTOMER CODE]],"-",scheduleapr[[#This Row],[MATERIAL NO]])</f>
        <v/>
      </c>
      <c r="H10" s="601" t="inlineStr">
        <is>
          <t>TUB-O-O-AUT-AW-PE-15.88X1.200X0.7550</t>
        </is>
      </c>
      <c r="I10" s="601" t="inlineStr">
        <is>
          <t>ERW 1</t>
        </is>
      </c>
      <c r="J10" s="601" t="n"/>
      <c r="K10" s="601" t="inlineStr">
        <is>
          <t>PE</t>
        </is>
      </c>
      <c r="L10" s="601" t="inlineStr">
        <is>
          <t>CR</t>
        </is>
      </c>
      <c r="M10" s="601" t="n"/>
      <c r="N10" s="601" t="n"/>
      <c r="O10" s="601" t="n"/>
      <c r="P10" s="601" t="n"/>
      <c r="Q10" s="557">
        <f>CONCATENATE(scheduleapr[[#This Row],[OD]],"-",scheduleapr[[#This Row],[ID]],"-",scheduleapr[[#This Row],[TICKNESS]],"-",scheduleapr[[#This Row],[Grade]],"-",scheduleapr[[#This Row],[FC/NFC]])</f>
        <v/>
      </c>
      <c r="R10" s="557">
        <f>_xlfn.CONCAT(scheduleapr[[#This Row],[Bucket]],"-",scheduleapr[[#This Row],[LENGTH]]/1000)</f>
        <v/>
      </c>
      <c r="S10" s="557">
        <f>COUNTIF(scheduleapr[CTL Bucket],scheduleapr[[#This Row],[CTL Bucket]])</f>
        <v/>
      </c>
      <c r="T10" s="601" t="inlineStr">
        <is>
          <t>Hosur</t>
        </is>
      </c>
      <c r="U10" s="601" t="n"/>
      <c r="V10" s="557" t="n"/>
      <c r="W10" s="557" t="n"/>
      <c r="X10" s="599" t="n">
        <v>15.88</v>
      </c>
      <c r="Y10" s="599" t="n">
        <v>15.88</v>
      </c>
      <c r="Z10" s="599" t="n">
        <v>0</v>
      </c>
      <c r="AA10" s="599" t="n">
        <v>1.2</v>
      </c>
      <c r="AB10" s="600" t="n">
        <v>755</v>
      </c>
      <c r="AC10" s="600" t="inlineStr">
        <is>
          <t>NOS</t>
        </is>
      </c>
      <c r="AD10" s="600" t="n"/>
      <c r="AE10" s="600" t="n"/>
      <c r="AF10" s="601" t="n"/>
      <c r="AG10" s="601" t="n"/>
      <c r="AH10" s="601">
        <f t="array" ref="AH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" s="602">
        <f>scheduleapr[[#This Row],[SCHEDULE in nos]]-scheduleapr[[#This Row],[DISPATCH]]</f>
        <v/>
      </c>
      <c r="AJ10" s="599">
        <f>(3.14*(scheduleapr[[#This Row],[ACTUAL OD]]-scheduleapr[[#This Row],[TICKNESS]])*scheduleapr[[#This Row],[TICKNESS]]*scheduleapr[[#This Row],[LENGTH]]*7.85)/1000000*scheduleapr[[#This Row],[SCHEDULE in nos]]/1000</f>
        <v/>
      </c>
      <c r="AK10" s="599">
        <f>(3.14*(scheduleapr[[#This Row],[ACTUAL OD]]-scheduleapr[[#This Row],[TICKNESS]])*scheduleapr[[#This Row],[TICKNESS]]*scheduleapr[[#This Row],[LENGTH]]*7.85)/1000000*scheduleapr[[#This Row],[DISPATCH]]/1000</f>
        <v/>
      </c>
      <c r="AL10" s="599">
        <f>AJ10-AK10</f>
        <v/>
      </c>
      <c r="AM10" s="599">
        <f>scheduleapr[[#This Row],[SCHEDULE in nos]]/scheduleapr[[#This Row],[SCHEDULE IN MT]]*scheduleapr[[#This Row],[CTL Stock]]</f>
        <v/>
      </c>
      <c r="AN10" s="599">
        <f>SUMIFS(stock[MT],stock[Bucket],scheduleapr[[#This Row],[Bucket]],stock[CTL Bucket],scheduleapr[[#This Row],[CTL Bucket]],stock[Plant],"0789")</f>
        <v/>
      </c>
      <c r="AO10" s="599" t="n"/>
      <c r="AP10" s="599">
        <f>SUMIFS(stock[MT],stock[Bucket],scheduleapr[[#This Row],[Bucket]],stock[LL or CTL],"LL")</f>
        <v/>
      </c>
      <c r="AQ10" s="599">
        <f>+SUMIFS(wip[Stock(Net Wt)],wip[Bucket],scheduleapr[[#This Row],[Bucket]])/1000</f>
        <v/>
      </c>
      <c r="AR10" s="599">
        <f>AJ10-AN10</f>
        <v/>
      </c>
      <c r="AS10" s="118" t="n"/>
    </row>
    <row r="11">
      <c r="A11" s="594" t="n">
        <v>5</v>
      </c>
      <c r="B11" s="5" t="inlineStr">
        <is>
          <t>Hosur</t>
        </is>
      </c>
      <c r="C11" s="601" t="inlineStr">
        <is>
          <t>Balaji press product</t>
        </is>
      </c>
      <c r="D11" s="15" t="inlineStr">
        <is>
          <t>Balaji Press Product</t>
        </is>
      </c>
      <c r="E11" s="601" t="n">
        <v>189287</v>
      </c>
      <c r="F11" s="601" t="n">
        <v>1940045</v>
      </c>
      <c r="G11" s="601">
        <f>_xlfn.CONCAT(scheduleapr[[#This Row],[CUSTOMER CODE]],"-",scheduleapr[[#This Row],[MATERIAL NO]])</f>
        <v/>
      </c>
      <c r="H11" s="601" t="inlineStr">
        <is>
          <t>TUB-O-O-AUT-AW-PE-15.88X1.200X1.1300</t>
        </is>
      </c>
      <c r="I11" s="601" t="inlineStr">
        <is>
          <t>ERW 1</t>
        </is>
      </c>
      <c r="J11" s="601" t="n"/>
      <c r="K11" s="601" t="inlineStr">
        <is>
          <t>PE</t>
        </is>
      </c>
      <c r="L11" s="601" t="inlineStr">
        <is>
          <t>HR</t>
        </is>
      </c>
      <c r="M11" s="601" t="n"/>
      <c r="N11" s="601" t="n"/>
      <c r="O11" s="601" t="n"/>
      <c r="P11" s="601" t="n"/>
      <c r="Q11" s="557">
        <f>CONCATENATE(scheduleapr[[#This Row],[OD]],"-",scheduleapr[[#This Row],[ID]],"-",scheduleapr[[#This Row],[TICKNESS]],"-",scheduleapr[[#This Row],[Grade]],"-",scheduleapr[[#This Row],[FC/NFC]])</f>
        <v/>
      </c>
      <c r="R11" s="557">
        <f>_xlfn.CONCAT(scheduleapr[[#This Row],[Bucket]],"-",scheduleapr[[#This Row],[LENGTH]]/1000)</f>
        <v/>
      </c>
      <c r="S11" s="557">
        <f>COUNTIF(scheduleapr[CTL Bucket],scheduleapr[[#This Row],[CTL Bucket]])</f>
        <v/>
      </c>
      <c r="T11" s="601" t="inlineStr">
        <is>
          <t>Hosur</t>
        </is>
      </c>
      <c r="U11" s="601">
        <f>_xlfn.IFNA(VLOOKUP(scheduleapr[[#This Row],[Bucket]],salesforecast[[#All],[Bucket2]:[8406 Stock]],19,0),0)</f>
        <v/>
      </c>
      <c r="V11" s="562">
        <f>_xlfn.IFNA(VLOOKUP(scheduleapr[[#This Row],[Bucket]],salesforecast[[#All],[Bucket2]:[8406 Stock]],20,0),0)+_xlfn.IFNA(VLOOKUP(scheduleapr[[#This Row],[Bucket]],salesforecast[[#All],[Bucket2]:[8406 Stock]],17,0),0)</f>
        <v/>
      </c>
      <c r="W11" s="557" t="n"/>
      <c r="X11" s="599" t="n">
        <v>15.88</v>
      </c>
      <c r="Y11" s="599" t="n">
        <v>15.88</v>
      </c>
      <c r="Z11" s="599" t="n">
        <v>0</v>
      </c>
      <c r="AA11" s="599" t="n">
        <v>1.2</v>
      </c>
      <c r="AB11" s="600" t="n">
        <v>1130</v>
      </c>
      <c r="AC11" s="600" t="inlineStr">
        <is>
          <t>NOS</t>
        </is>
      </c>
      <c r="AD11" s="600" t="inlineStr">
        <is>
          <t>Hosur Plant</t>
        </is>
      </c>
      <c r="AE11" s="600" t="n"/>
      <c r="AF11" s="601" t="n">
        <v>1500</v>
      </c>
      <c r="AG11" s="601" t="n"/>
      <c r="AH11" s="601">
        <f t="array" ref="AH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" s="602">
        <f>scheduleapr[[#This Row],[SCHEDULE in nos]]-scheduleapr[[#This Row],[DISPATCH]]</f>
        <v/>
      </c>
      <c r="AJ11" s="599">
        <f>(3.14*(scheduleapr[[#This Row],[ACTUAL OD]]-scheduleapr[[#This Row],[TICKNESS]])*scheduleapr[[#This Row],[TICKNESS]]*scheduleapr[[#This Row],[LENGTH]]*7.85)/1000000*scheduleapr[[#This Row],[SCHEDULE in nos]]/1000</f>
        <v/>
      </c>
      <c r="AK11" s="599">
        <f>(3.14*(scheduleapr[[#This Row],[ACTUAL OD]]-scheduleapr[[#This Row],[TICKNESS]])*scheduleapr[[#This Row],[TICKNESS]]*scheduleapr[[#This Row],[LENGTH]]*7.85)/1000000*scheduleapr[[#This Row],[DISPATCH]]/1000</f>
        <v/>
      </c>
      <c r="AL11" s="599">
        <f>AJ11-AK11</f>
        <v/>
      </c>
      <c r="AM11" s="599">
        <f>scheduleapr[[#This Row],[SCHEDULE in nos]]/scheduleapr[[#This Row],[SCHEDULE IN MT]]*scheduleapr[[#This Row],[CTL Stock]]</f>
        <v/>
      </c>
      <c r="AN11" s="599">
        <f>SUMIFS(stock[MT],stock[Bucket],scheduleapr[[#This Row],[Bucket]],stock[CTL Bucket],scheduleapr[[#This Row],[CTL Bucket]],stock[Plant],"0789")</f>
        <v/>
      </c>
      <c r="AO11" s="599" t="n"/>
      <c r="AP11" s="599">
        <f>SUMIFS(stock[MT],stock[Bucket],scheduleapr[[#This Row],[Bucket]],stock[LL or CTL],"LL")</f>
        <v/>
      </c>
      <c r="AQ11" s="599">
        <f>+SUMIFS(wip[Stock(Net Wt)],wip[Bucket],scheduleapr[[#This Row],[Bucket]])/1000</f>
        <v/>
      </c>
      <c r="AR11" s="599">
        <f>AJ11-AN11</f>
        <v/>
      </c>
      <c r="AS11" s="118" t="n"/>
    </row>
    <row r="12">
      <c r="A12" s="594" t="n">
        <v>6</v>
      </c>
      <c r="B12" s="5" t="inlineStr">
        <is>
          <t>Hosur</t>
        </is>
      </c>
      <c r="C12" s="601" t="inlineStr">
        <is>
          <t>Balaji press product</t>
        </is>
      </c>
      <c r="D12" s="15" t="inlineStr">
        <is>
          <t>Balaji Press Product</t>
        </is>
      </c>
      <c r="E12" s="601" t="n">
        <v>189287</v>
      </c>
      <c r="F12" s="601" t="n">
        <v>1940046</v>
      </c>
      <c r="G12" s="601">
        <f>_xlfn.CONCAT(scheduleapr[[#This Row],[CUSTOMER CODE]],"-",scheduleapr[[#This Row],[MATERIAL NO]])</f>
        <v/>
      </c>
      <c r="H12" s="601" t="inlineStr">
        <is>
          <t>TUB-O-O-AUT-AW-PE-15.88X1.200X1.3100</t>
        </is>
      </c>
      <c r="I12" s="601" t="inlineStr">
        <is>
          <t>ERW 1</t>
        </is>
      </c>
      <c r="J12" s="601" t="n"/>
      <c r="K12" s="601" t="inlineStr">
        <is>
          <t>PE</t>
        </is>
      </c>
      <c r="L12" s="601" t="inlineStr">
        <is>
          <t>HR</t>
        </is>
      </c>
      <c r="M12" s="601" t="n"/>
      <c r="N12" s="601" t="n"/>
      <c r="O12" s="601" t="n"/>
      <c r="P12" s="601" t="n"/>
      <c r="Q12" s="557">
        <f>CONCATENATE(scheduleapr[[#This Row],[OD]],"-",scheduleapr[[#This Row],[ID]],"-",scheduleapr[[#This Row],[TICKNESS]],"-",scheduleapr[[#This Row],[Grade]],"-",scheduleapr[[#This Row],[FC/NFC]])</f>
        <v/>
      </c>
      <c r="R12" s="557">
        <f>_xlfn.CONCAT(scheduleapr[[#This Row],[Bucket]],"-",scheduleapr[[#This Row],[LENGTH]]/1000)</f>
        <v/>
      </c>
      <c r="S12" s="557">
        <f>COUNTIF(scheduleapr[CTL Bucket],scheduleapr[[#This Row],[CTL Bucket]])</f>
        <v/>
      </c>
      <c r="T12" s="601" t="inlineStr">
        <is>
          <t>Hosur</t>
        </is>
      </c>
      <c r="U12" s="601">
        <f>_xlfn.IFNA(VLOOKUP(scheduleapr[[#This Row],[Bucket]],salesforecast[[#All],[Bucket2]:[8406 Stock]],19,0),0)</f>
        <v/>
      </c>
      <c r="V12" s="562">
        <f>_xlfn.IFNA(VLOOKUP(scheduleapr[[#This Row],[Bucket]],salesforecast[[#All],[Bucket2]:[8406 Stock]],20,0),0)+_xlfn.IFNA(VLOOKUP(scheduleapr[[#This Row],[Bucket]],salesforecast[[#All],[Bucket2]:[8406 Stock]],17,0),0)</f>
        <v/>
      </c>
      <c r="W12" s="557" t="n"/>
      <c r="X12" s="599" t="n">
        <v>15.88</v>
      </c>
      <c r="Y12" s="599" t="n">
        <v>15.88</v>
      </c>
      <c r="Z12" s="599" t="n">
        <v>0</v>
      </c>
      <c r="AA12" s="599" t="n">
        <v>1.2</v>
      </c>
      <c r="AB12" s="81" t="n">
        <v>1310</v>
      </c>
      <c r="AC12" s="600" t="inlineStr">
        <is>
          <t>NOS</t>
        </is>
      </c>
      <c r="AD12" s="600" t="inlineStr">
        <is>
          <t>Hosur Plant</t>
        </is>
      </c>
      <c r="AE12" s="600" t="n">
        <v>2000</v>
      </c>
      <c r="AF12" s="601" t="n">
        <v>1500</v>
      </c>
      <c r="AG12" s="601" t="n"/>
      <c r="AH12" s="601">
        <f t="array" ref="AH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" s="602">
        <f>scheduleapr[[#This Row],[SCHEDULE in nos]]-scheduleapr[[#This Row],[DISPATCH]]</f>
        <v/>
      </c>
      <c r="AJ12" s="599">
        <f>(3.14*(scheduleapr[[#This Row],[ACTUAL OD]]-scheduleapr[[#This Row],[TICKNESS]])*scheduleapr[[#This Row],[TICKNESS]]*scheduleapr[[#This Row],[LENGTH]]*7.85)/1000000*scheduleapr[[#This Row],[SCHEDULE in nos]]/1000</f>
        <v/>
      </c>
      <c r="AK12" s="599">
        <f>(3.14*(scheduleapr[[#This Row],[ACTUAL OD]]-scheduleapr[[#This Row],[TICKNESS]])*scheduleapr[[#This Row],[TICKNESS]]*scheduleapr[[#This Row],[LENGTH]]*7.85)/1000000*scheduleapr[[#This Row],[DISPATCH]]/1000</f>
        <v/>
      </c>
      <c r="AL12" s="599">
        <f>AJ12-AK12</f>
        <v/>
      </c>
      <c r="AM12" s="599">
        <f>scheduleapr[[#This Row],[SCHEDULE in nos]]/scheduleapr[[#This Row],[SCHEDULE IN MT]]*scheduleapr[[#This Row],[CTL Stock]]</f>
        <v/>
      </c>
      <c r="AN12" s="599">
        <f>SUMIFS(stock[MT],stock[Bucket],scheduleapr[[#This Row],[Bucket]],stock[CTL Bucket],scheduleapr[[#This Row],[CTL Bucket]],stock[Plant],"0789")</f>
        <v/>
      </c>
      <c r="AO12" s="599" t="n"/>
      <c r="AP12" s="599">
        <f>SUMIFS(stock[MT],stock[Bucket],scheduleapr[[#This Row],[Bucket]],stock[LL or CTL],"LL")</f>
        <v/>
      </c>
      <c r="AQ12" s="599">
        <f>+SUMIFS(wip[Stock(Net Wt)],wip[Bucket],scheduleapr[[#This Row],[Bucket]])/1000</f>
        <v/>
      </c>
      <c r="AR12" s="599">
        <f>AJ12-AN12</f>
        <v/>
      </c>
      <c r="AS12" s="118" t="n"/>
    </row>
    <row r="13">
      <c r="A13" s="594" t="n">
        <v>7</v>
      </c>
      <c r="B13" s="5" t="inlineStr">
        <is>
          <t>Hosur</t>
        </is>
      </c>
      <c r="C13" s="601" t="inlineStr">
        <is>
          <t>Balaji press product</t>
        </is>
      </c>
      <c r="D13" s="15" t="inlineStr">
        <is>
          <t>Balaji Press Product</t>
        </is>
      </c>
      <c r="E13" s="601" t="n">
        <v>189287</v>
      </c>
      <c r="F13" s="601" t="n">
        <v>3635694</v>
      </c>
      <c r="G13" s="601">
        <f>_xlfn.CONCAT(scheduleapr[[#This Row],[CUSTOMER CODE]],"-",scheduleapr[[#This Row],[MATERIAL NO]])</f>
        <v/>
      </c>
      <c r="H13" s="601" t="inlineStr">
        <is>
          <t>TUB-O-N-AUT-AW-PE-19.05X1.000X1.2000</t>
        </is>
      </c>
      <c r="I13" s="601" t="inlineStr">
        <is>
          <t>ERW 1</t>
        </is>
      </c>
      <c r="J13" s="601" t="n"/>
      <c r="K13" s="601" t="inlineStr">
        <is>
          <t>PE</t>
        </is>
      </c>
      <c r="L13" s="601" t="inlineStr">
        <is>
          <t>CR</t>
        </is>
      </c>
      <c r="M13" s="601" t="n"/>
      <c r="N13" s="601" t="n"/>
      <c r="O13" s="601" t="n"/>
      <c r="P13" s="601" t="n"/>
      <c r="Q13" s="557">
        <f>CONCATENATE(scheduleapr[[#This Row],[OD]],"-",scheduleapr[[#This Row],[ID]],"-",scheduleapr[[#This Row],[TICKNESS]],"-",scheduleapr[[#This Row],[Grade]],"-",scheduleapr[[#This Row],[FC/NFC]])</f>
        <v/>
      </c>
      <c r="R13" s="557">
        <f>_xlfn.CONCAT(scheduleapr[[#This Row],[Bucket]],"-",scheduleapr[[#This Row],[LENGTH]]/1000)</f>
        <v/>
      </c>
      <c r="S13" s="557">
        <f>COUNTIF(scheduleapr[CTL Bucket],scheduleapr[[#This Row],[CTL Bucket]])</f>
        <v/>
      </c>
      <c r="T13" s="601" t="inlineStr">
        <is>
          <t>Hosur</t>
        </is>
      </c>
      <c r="U13" s="601">
        <f>_xlfn.IFNA(VLOOKUP(scheduleapr[[#This Row],[Bucket]],salesforecast[[#All],[Bucket2]:[8406 Stock]],19,0),0)</f>
        <v/>
      </c>
      <c r="V13" s="562">
        <f>_xlfn.IFNA(VLOOKUP(scheduleapr[[#This Row],[Bucket]],salesforecast[[#All],[Bucket2]:[8406 Stock]],20,0),0)+_xlfn.IFNA(VLOOKUP(scheduleapr[[#This Row],[Bucket]],salesforecast[[#All],[Bucket2]:[8406 Stock]],17,0),0)</f>
        <v/>
      </c>
      <c r="W13" s="557" t="n"/>
      <c r="X13" s="599" t="n">
        <v>19.05</v>
      </c>
      <c r="Y13" s="599" t="n">
        <v>19.05</v>
      </c>
      <c r="Z13" s="599" t="n">
        <v>0</v>
      </c>
      <c r="AA13" s="599" t="n">
        <v>1</v>
      </c>
      <c r="AB13" s="600" t="n">
        <v>1200</v>
      </c>
      <c r="AC13" s="600" t="inlineStr">
        <is>
          <t>NOS</t>
        </is>
      </c>
      <c r="AD13" s="600" t="inlineStr">
        <is>
          <t>Hosur Plant</t>
        </is>
      </c>
      <c r="AE13" s="600" t="n"/>
      <c r="AF13" s="601" t="n">
        <v>6000</v>
      </c>
      <c r="AG13" s="601" t="n"/>
      <c r="AH13" s="601">
        <f t="array" ref="AH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" s="602">
        <f>scheduleapr[[#This Row],[SCHEDULE in nos]]-scheduleapr[[#This Row],[DISPATCH]]</f>
        <v/>
      </c>
      <c r="AJ13" s="599">
        <f>(3.14*(scheduleapr[[#This Row],[ACTUAL OD]]-scheduleapr[[#This Row],[TICKNESS]])*scheduleapr[[#This Row],[TICKNESS]]*scheduleapr[[#This Row],[LENGTH]]*7.85)/1000000*scheduleapr[[#This Row],[SCHEDULE in nos]]/1000</f>
        <v/>
      </c>
      <c r="AK13" s="599">
        <f>(3.14*(scheduleapr[[#This Row],[ACTUAL OD]]-scheduleapr[[#This Row],[TICKNESS]])*scheduleapr[[#This Row],[TICKNESS]]*scheduleapr[[#This Row],[LENGTH]]*7.85)/1000000*scheduleapr[[#This Row],[DISPATCH]]/1000</f>
        <v/>
      </c>
      <c r="AL13" s="599">
        <f>AJ13-AK13</f>
        <v/>
      </c>
      <c r="AM13" s="599">
        <f>scheduleapr[[#This Row],[SCHEDULE in nos]]/scheduleapr[[#This Row],[SCHEDULE IN MT]]*scheduleapr[[#This Row],[CTL Stock]]</f>
        <v/>
      </c>
      <c r="AN13" s="599">
        <f>SUMIFS(stock[MT],stock[Bucket],scheduleapr[[#This Row],[Bucket]],stock[CTL Bucket],scheduleapr[[#This Row],[CTL Bucket]],stock[Plant],"0789")</f>
        <v/>
      </c>
      <c r="AO13" s="599" t="n"/>
      <c r="AP13" s="599">
        <f>SUMIFS(stock[MT],stock[Bucket],scheduleapr[[#This Row],[Bucket]],stock[LL or CTL],"LL")</f>
        <v/>
      </c>
      <c r="AQ13" s="599">
        <f>+SUMIFS(wip[Stock(Net Wt)],wip[Bucket],scheduleapr[[#This Row],[Bucket]])/1000</f>
        <v/>
      </c>
      <c r="AR13" s="599">
        <f>AJ13-AN13</f>
        <v/>
      </c>
      <c r="AS13" s="118" t="n"/>
    </row>
    <row r="14">
      <c r="A14" s="594" t="n">
        <v>8</v>
      </c>
      <c r="B14" s="5" t="inlineStr">
        <is>
          <t>Hosur</t>
        </is>
      </c>
      <c r="C14" s="601" t="inlineStr">
        <is>
          <t>Balaji press product</t>
        </is>
      </c>
      <c r="D14" s="15" t="inlineStr">
        <is>
          <t>Balaji Press Product</t>
        </is>
      </c>
      <c r="E14" s="601" t="n">
        <v>189287</v>
      </c>
      <c r="F14" s="601" t="n">
        <v>3409366</v>
      </c>
      <c r="G14" s="601">
        <f>_xlfn.CONCAT(scheduleapr[[#This Row],[CUSTOMER CODE]],"-",scheduleapr[[#This Row],[MATERIAL NO]])</f>
        <v/>
      </c>
      <c r="H14" s="601" t="inlineStr">
        <is>
          <t>TUB-O-N-AUT-AW-PE-19.05X1.200X0.1090</t>
        </is>
      </c>
      <c r="I14" s="601" t="inlineStr">
        <is>
          <t>ERW 1</t>
        </is>
      </c>
      <c r="J14" s="601" t="n"/>
      <c r="K14" s="601" t="inlineStr">
        <is>
          <t>PE</t>
        </is>
      </c>
      <c r="L14" s="601" t="inlineStr">
        <is>
          <t>CR</t>
        </is>
      </c>
      <c r="M14" s="601" t="n"/>
      <c r="N14" s="601" t="n"/>
      <c r="O14" s="601" t="n"/>
      <c r="P14" s="601" t="n"/>
      <c r="Q14" s="557">
        <f>CONCATENATE(scheduleapr[[#This Row],[OD]],"-",scheduleapr[[#This Row],[ID]],"-",scheduleapr[[#This Row],[TICKNESS]],"-",scheduleapr[[#This Row],[Grade]],"-",scheduleapr[[#This Row],[FC/NFC]])</f>
        <v/>
      </c>
      <c r="R14" s="557">
        <f>_xlfn.CONCAT(scheduleapr[[#This Row],[Bucket]],"-",scheduleapr[[#This Row],[LENGTH]]/1000)</f>
        <v/>
      </c>
      <c r="S14" s="557">
        <f>COUNTIF(scheduleapr[CTL Bucket],scheduleapr[[#This Row],[CTL Bucket]])</f>
        <v/>
      </c>
      <c r="T14" s="601" t="inlineStr">
        <is>
          <t>Hosur</t>
        </is>
      </c>
      <c r="U14" s="601">
        <f>_xlfn.IFNA(VLOOKUP(scheduleapr[[#This Row],[Bucket]],salesforecast[[#All],[Bucket2]:[8406 Stock]],19,0),0)</f>
        <v/>
      </c>
      <c r="V14" s="562">
        <f>_xlfn.IFNA(VLOOKUP(scheduleapr[[#This Row],[Bucket]],salesforecast[[#All],[Bucket2]:[8406 Stock]],20,0),0)+_xlfn.IFNA(VLOOKUP(scheduleapr[[#This Row],[Bucket]],salesforecast[[#All],[Bucket2]:[8406 Stock]],17,0),0)</f>
        <v/>
      </c>
      <c r="W14" s="557" t="n"/>
      <c r="X14" s="599" t="n">
        <v>19.05</v>
      </c>
      <c r="Y14" s="599" t="n">
        <v>19.05</v>
      </c>
      <c r="Z14" s="599" t="n">
        <v>0</v>
      </c>
      <c r="AA14" s="599" t="n">
        <v>1.2</v>
      </c>
      <c r="AB14" s="600" t="n">
        <v>109</v>
      </c>
      <c r="AC14" s="600" t="inlineStr">
        <is>
          <t>NOS</t>
        </is>
      </c>
      <c r="AD14" s="600" t="inlineStr">
        <is>
          <t>Hosur Plant</t>
        </is>
      </c>
      <c r="AE14" s="600" t="n"/>
      <c r="AF14" s="601" t="n">
        <v>6000</v>
      </c>
      <c r="AG14" s="601" t="n"/>
      <c r="AH14" s="601">
        <f t="array" ref="AH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" s="602">
        <f>scheduleapr[[#This Row],[SCHEDULE in nos]]-scheduleapr[[#This Row],[DISPATCH]]</f>
        <v/>
      </c>
      <c r="AJ14" s="599">
        <f>(3.14*(scheduleapr[[#This Row],[ACTUAL OD]]-scheduleapr[[#This Row],[TICKNESS]])*scheduleapr[[#This Row],[TICKNESS]]*scheduleapr[[#This Row],[LENGTH]]*7.85)/1000000*scheduleapr[[#This Row],[SCHEDULE in nos]]/1000</f>
        <v/>
      </c>
      <c r="AK14" s="599">
        <f>(3.14*(scheduleapr[[#This Row],[ACTUAL OD]]-scheduleapr[[#This Row],[TICKNESS]])*scheduleapr[[#This Row],[TICKNESS]]*scheduleapr[[#This Row],[LENGTH]]*7.85)/1000000*scheduleapr[[#This Row],[DISPATCH]]/1000</f>
        <v/>
      </c>
      <c r="AL14" s="599">
        <f>AJ14-AK14</f>
        <v/>
      </c>
      <c r="AM14" s="599">
        <f>scheduleapr[[#This Row],[SCHEDULE in nos]]/scheduleapr[[#This Row],[SCHEDULE IN MT]]*scheduleapr[[#This Row],[CTL Stock]]</f>
        <v/>
      </c>
      <c r="AN14" s="599">
        <f>SUMIFS(stock[MT],stock[Bucket],scheduleapr[[#This Row],[Bucket]],stock[CTL Bucket],scheduleapr[[#This Row],[CTL Bucket]],stock[Plant],"0789")</f>
        <v/>
      </c>
      <c r="AO14" s="599" t="n"/>
      <c r="AP14" s="599">
        <f>SUMIFS(stock[MT],stock[Bucket],scheduleapr[[#This Row],[Bucket]],stock[LL or CTL],"LL")</f>
        <v/>
      </c>
      <c r="AQ14" s="599">
        <f>+SUMIFS(wip[Stock(Net Wt)],wip[Bucket],scheduleapr[[#This Row],[Bucket]])/1000</f>
        <v/>
      </c>
      <c r="AR14" s="599">
        <f>AJ14-AN14</f>
        <v/>
      </c>
      <c r="AS14" s="118" t="n"/>
    </row>
    <row r="15">
      <c r="A15" s="556" t="n"/>
      <c r="B15" s="5" t="inlineStr">
        <is>
          <t>Hosur</t>
        </is>
      </c>
      <c r="C15" s="601" t="inlineStr">
        <is>
          <t>Balaji press product</t>
        </is>
      </c>
      <c r="D15" s="15" t="inlineStr">
        <is>
          <t>Balaji Press Product</t>
        </is>
      </c>
      <c r="E15" s="601" t="n">
        <v>189287</v>
      </c>
      <c r="F15" s="557" t="n"/>
      <c r="G15" s="601">
        <f>_xlfn.CONCAT(scheduleapr[[#This Row],[CUSTOMER CODE]],"-",scheduleapr[[#This Row],[MATERIAL NO]])</f>
        <v/>
      </c>
      <c r="H15" s="557" t="n"/>
      <c r="I15" s="601" t="inlineStr">
        <is>
          <t>ERW 1</t>
        </is>
      </c>
      <c r="J15" s="557" t="n"/>
      <c r="K15" s="557" t="n"/>
      <c r="L15" s="557" t="n"/>
      <c r="M15" s="558" t="n"/>
      <c r="N15" s="557" t="n"/>
      <c r="O15" s="557" t="n"/>
      <c r="P15" s="557" t="n"/>
      <c r="Q15" s="557" t="n"/>
      <c r="R15" s="557" t="n"/>
      <c r="S15" s="557" t="n"/>
      <c r="T15" s="601" t="n"/>
      <c r="U15" s="601" t="n"/>
      <c r="V15" s="598" t="n"/>
      <c r="W15" s="601" t="n"/>
      <c r="X15" s="559" t="n">
        <v>19.05</v>
      </c>
      <c r="Y15" s="559" t="n">
        <v>19.05</v>
      </c>
      <c r="Z15" s="6" t="n">
        <v>0</v>
      </c>
      <c r="AA15" s="559" t="n">
        <v>1.2</v>
      </c>
      <c r="AB15" s="600" t="n">
        <v>175</v>
      </c>
      <c r="AC15" s="600" t="inlineStr">
        <is>
          <t>NOS</t>
        </is>
      </c>
      <c r="AD15" s="600" t="n"/>
      <c r="AE15" s="600" t="n"/>
      <c r="AF15" s="557" t="n">
        <v>2000</v>
      </c>
      <c r="AG15" s="557" t="n"/>
      <c r="AH15" s="557">
        <f t="array" ref="AH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" s="560">
        <f>scheduleapr[[#This Row],[SCHEDULE in nos]]-scheduleapr[[#This Row],[DISPATCH]]</f>
        <v/>
      </c>
      <c r="AJ15" s="559">
        <f>(3.14*(scheduleapr[[#This Row],[ACTUAL OD]]-scheduleapr[[#This Row],[TICKNESS]])*scheduleapr[[#This Row],[TICKNESS]]*scheduleapr[[#This Row],[LENGTH]]*7.85)/1000000*scheduleapr[[#This Row],[SCHEDULE in nos]]/1000</f>
        <v/>
      </c>
      <c r="AK15" s="599">
        <f>(3.14*(scheduleapr[[#This Row],[ACTUAL OD]]-scheduleapr[[#This Row],[TICKNESS]])*scheduleapr[[#This Row],[TICKNESS]]*scheduleapr[[#This Row],[LENGTH]]*7.85)/1000000*scheduleapr[[#This Row],[DISPATCH]]/1000</f>
        <v/>
      </c>
      <c r="AL15" s="599">
        <f>AJ15-AK15</f>
        <v/>
      </c>
      <c r="AM15" s="559">
        <f>scheduleapr[[#This Row],[SCHEDULE in nos]]/scheduleapr[[#This Row],[SCHEDULE IN MT]]*scheduleapr[[#This Row],[CTL Stock]]</f>
        <v/>
      </c>
      <c r="AN15" s="599">
        <f>SUMIFS(stock[MT],stock[Bucket],scheduleapr[[#This Row],[Bucket]],stock[CTL Bucket],scheduleapr[[#This Row],[CTL Bucket]],stock[Plant],"0789")</f>
        <v/>
      </c>
      <c r="AO15" s="599" t="n"/>
      <c r="AP15" s="599">
        <f>SUMIFS(stock[MT],stock[Bucket],scheduleapr[[#This Row],[Bucket]],stock[LL or CTL],"LL")</f>
        <v/>
      </c>
      <c r="AQ15" s="599">
        <f>+SUMIFS(wip[Stock(Net Wt)],wip[Bucket],scheduleapr[[#This Row],[Bucket]])/1000</f>
        <v/>
      </c>
      <c r="AR15" s="599">
        <f>AJ15-AN15</f>
        <v/>
      </c>
      <c r="AS15" s="118" t="n"/>
    </row>
    <row r="16">
      <c r="A16" s="594" t="n">
        <v>9</v>
      </c>
      <c r="B16" s="5" t="inlineStr">
        <is>
          <t>Hosur</t>
        </is>
      </c>
      <c r="C16" s="601" t="inlineStr">
        <is>
          <t>Balaji press product</t>
        </is>
      </c>
      <c r="D16" s="15" t="inlineStr">
        <is>
          <t>Balaji Press Product</t>
        </is>
      </c>
      <c r="E16" s="601" t="n">
        <v>189287</v>
      </c>
      <c r="F16" s="601" t="n">
        <v>3239890</v>
      </c>
      <c r="G16" s="601">
        <f>_xlfn.CONCAT(scheduleapr[[#This Row],[CUSTOMER CODE]],"-",scheduleapr[[#This Row],[MATERIAL NO]])</f>
        <v/>
      </c>
      <c r="H16" s="601" t="inlineStr">
        <is>
          <t>TUB-O-N-AUT-AW-PE-19.05X1.200X0.3300</t>
        </is>
      </c>
      <c r="I16" s="601" t="inlineStr">
        <is>
          <t>ERW 1</t>
        </is>
      </c>
      <c r="J16" s="601" t="n"/>
      <c r="K16" s="601" t="inlineStr">
        <is>
          <t>PE</t>
        </is>
      </c>
      <c r="L16" s="601" t="inlineStr">
        <is>
          <t>CR</t>
        </is>
      </c>
      <c r="M16" s="601" t="n"/>
      <c r="N16" s="601" t="n"/>
      <c r="O16" s="601" t="n"/>
      <c r="P16" s="601" t="n"/>
      <c r="Q16" s="557">
        <f>CONCATENATE(scheduleapr[[#This Row],[OD]],"-",scheduleapr[[#This Row],[ID]],"-",scheduleapr[[#This Row],[TICKNESS]],"-",scheduleapr[[#This Row],[Grade]],"-",scheduleapr[[#This Row],[FC/NFC]])</f>
        <v/>
      </c>
      <c r="R16" s="557">
        <f>_xlfn.CONCAT(scheduleapr[[#This Row],[Bucket]],"-",scheduleapr[[#This Row],[LENGTH]]/1000)</f>
        <v/>
      </c>
      <c r="S16" s="557">
        <f>COUNTIF(scheduleapr[CTL Bucket],scheduleapr[[#This Row],[CTL Bucket]])</f>
        <v/>
      </c>
      <c r="T16" s="601" t="inlineStr">
        <is>
          <t>Hosur</t>
        </is>
      </c>
      <c r="U16" s="601">
        <f>_xlfn.IFNA(VLOOKUP(scheduleapr[[#This Row],[Bucket]],salesforecast[[#All],[Bucket2]:[8406 Stock]],19,0),0)</f>
        <v/>
      </c>
      <c r="V16" s="562">
        <f>_xlfn.IFNA(VLOOKUP(scheduleapr[[#This Row],[Bucket]],salesforecast[[#All],[Bucket2]:[8406 Stock]],20,0),0)+_xlfn.IFNA(VLOOKUP(scheduleapr[[#This Row],[Bucket]],salesforecast[[#All],[Bucket2]:[8406 Stock]],17,0),0)</f>
        <v/>
      </c>
      <c r="W16" s="557" t="n"/>
      <c r="X16" s="599" t="n">
        <v>19.05</v>
      </c>
      <c r="Y16" s="599" t="n">
        <v>19.05</v>
      </c>
      <c r="Z16" s="599" t="n">
        <v>0</v>
      </c>
      <c r="AA16" s="599" t="n">
        <v>1.2</v>
      </c>
      <c r="AB16" s="81" t="n">
        <v>330</v>
      </c>
      <c r="AC16" s="600" t="inlineStr">
        <is>
          <t>NOS</t>
        </is>
      </c>
      <c r="AD16" s="600" t="inlineStr">
        <is>
          <t>Hosur Plant</t>
        </is>
      </c>
      <c r="AE16" s="600" t="n"/>
      <c r="AF16" s="601" t="n">
        <v>18000</v>
      </c>
      <c r="AG16" s="601" t="n"/>
      <c r="AH16" s="601">
        <f t="array" ref="AH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" s="602">
        <f>scheduleapr[[#This Row],[SCHEDULE in nos]]-scheduleapr[[#This Row],[DISPATCH]]</f>
        <v/>
      </c>
      <c r="AJ16" s="599">
        <f>(3.14*(scheduleapr[[#This Row],[ACTUAL OD]]-scheduleapr[[#This Row],[TICKNESS]])*scheduleapr[[#This Row],[TICKNESS]]*scheduleapr[[#This Row],[LENGTH]]*7.85)/1000000*scheduleapr[[#This Row],[SCHEDULE in nos]]/1000</f>
        <v/>
      </c>
      <c r="AK16" s="599">
        <f>(3.14*(scheduleapr[[#This Row],[ACTUAL OD]]-scheduleapr[[#This Row],[TICKNESS]])*scheduleapr[[#This Row],[TICKNESS]]*scheduleapr[[#This Row],[LENGTH]]*7.85)/1000000*scheduleapr[[#This Row],[DISPATCH]]/1000</f>
        <v/>
      </c>
      <c r="AL16" s="599">
        <f>AJ16-AK16</f>
        <v/>
      </c>
      <c r="AM16" s="599">
        <f>scheduleapr[[#This Row],[SCHEDULE in nos]]/scheduleapr[[#This Row],[SCHEDULE IN MT]]*scheduleapr[[#This Row],[CTL Stock]]</f>
        <v/>
      </c>
      <c r="AN16" s="599">
        <f>SUMIFS(stock[MT],stock[Bucket],scheduleapr[[#This Row],[Bucket]],stock[CTL Bucket],scheduleapr[[#This Row],[CTL Bucket]],stock[Plant],"0789")</f>
        <v/>
      </c>
      <c r="AO16" s="599" t="n"/>
      <c r="AP16" s="599">
        <f>SUMIFS(stock[MT],stock[Bucket],scheduleapr[[#This Row],[Bucket]],stock[LL or CTL],"LL")</f>
        <v/>
      </c>
      <c r="AQ16" s="599">
        <f>+SUMIFS(wip[Stock(Net Wt)],wip[Bucket],scheduleapr[[#This Row],[Bucket]])/1000</f>
        <v/>
      </c>
      <c r="AR16" s="599">
        <f>AJ16-AN16</f>
        <v/>
      </c>
      <c r="AS16" s="118" t="n"/>
    </row>
    <row r="17">
      <c r="A17" s="594" t="n">
        <v>10</v>
      </c>
      <c r="B17" s="5" t="inlineStr">
        <is>
          <t>Hosur</t>
        </is>
      </c>
      <c r="C17" s="601" t="inlineStr">
        <is>
          <t>Balaji press product</t>
        </is>
      </c>
      <c r="D17" s="15" t="inlineStr">
        <is>
          <t>Balaji Press Product</t>
        </is>
      </c>
      <c r="E17" s="601" t="n">
        <v>189287</v>
      </c>
      <c r="F17" s="9" t="n">
        <v>3929662</v>
      </c>
      <c r="G17" s="601">
        <f>_xlfn.CONCAT(scheduleapr[[#This Row],[CUSTOMER CODE]],"-",scheduleapr[[#This Row],[MATERIAL NO]])</f>
        <v/>
      </c>
      <c r="H17" s="9" t="inlineStr">
        <is>
          <t>CUT-O-N-AUT-AW-PE-19.05X1.200X0.4030</t>
        </is>
      </c>
      <c r="I17" s="601" t="inlineStr">
        <is>
          <t>ERW 1</t>
        </is>
      </c>
      <c r="J17" s="601" t="n"/>
      <c r="K17" s="601" t="inlineStr">
        <is>
          <t>PE</t>
        </is>
      </c>
      <c r="L17" s="601" t="inlineStr">
        <is>
          <t>CR</t>
        </is>
      </c>
      <c r="M17" s="601" t="n"/>
      <c r="N17" s="601" t="n"/>
      <c r="O17" s="601" t="n"/>
      <c r="P17" s="601" t="n"/>
      <c r="Q17" s="557">
        <f>CONCATENATE(scheduleapr[[#This Row],[OD]],"-",scheduleapr[[#This Row],[ID]],"-",scheduleapr[[#This Row],[TICKNESS]],"-",scheduleapr[[#This Row],[Grade]],"-",scheduleapr[[#This Row],[FC/NFC]])</f>
        <v/>
      </c>
      <c r="R17" s="557">
        <f>_xlfn.CONCAT(scheduleapr[[#This Row],[Bucket]],"-",scheduleapr[[#This Row],[LENGTH]]/1000)</f>
        <v/>
      </c>
      <c r="S17" s="557">
        <f>COUNTIF(scheduleapr[CTL Bucket],scheduleapr[[#This Row],[CTL Bucket]])</f>
        <v/>
      </c>
      <c r="T17" s="601" t="inlineStr">
        <is>
          <t>Hosur</t>
        </is>
      </c>
      <c r="U17" s="557" t="n"/>
      <c r="V17" s="557" t="n"/>
      <c r="W17" s="557" t="n"/>
      <c r="X17" s="599" t="n">
        <v>19.05</v>
      </c>
      <c r="Y17" s="599" t="n">
        <v>19.05</v>
      </c>
      <c r="Z17" s="599" t="n">
        <v>0</v>
      </c>
      <c r="AA17" s="599" t="n">
        <v>1.2</v>
      </c>
      <c r="AB17" s="600" t="n">
        <v>403</v>
      </c>
      <c r="AC17" s="600" t="inlineStr">
        <is>
          <t>NOS</t>
        </is>
      </c>
      <c r="AD17" s="600" t="n"/>
      <c r="AE17" s="600" t="n"/>
      <c r="AF17" s="601" t="n"/>
      <c r="AG17" s="601" t="n"/>
      <c r="AH17" s="601">
        <f t="array" ref="AH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" s="602">
        <f>scheduleapr[[#This Row],[SCHEDULE in nos]]-scheduleapr[[#This Row],[DISPATCH]]</f>
        <v/>
      </c>
      <c r="AJ17" s="599">
        <f>(3.14*(scheduleapr[[#This Row],[ACTUAL OD]]-scheduleapr[[#This Row],[TICKNESS]])*scheduleapr[[#This Row],[TICKNESS]]*scheduleapr[[#This Row],[LENGTH]]*7.85)/1000000*scheduleapr[[#This Row],[SCHEDULE in nos]]/1000</f>
        <v/>
      </c>
      <c r="AK17" s="599">
        <f>(3.14*(scheduleapr[[#This Row],[ACTUAL OD]]-scheduleapr[[#This Row],[TICKNESS]])*scheduleapr[[#This Row],[TICKNESS]]*scheduleapr[[#This Row],[LENGTH]]*7.85)/1000000*scheduleapr[[#This Row],[DISPATCH]]/1000</f>
        <v/>
      </c>
      <c r="AL17" s="599">
        <f>AJ17-AK17</f>
        <v/>
      </c>
      <c r="AM17" s="599">
        <f>scheduleapr[[#This Row],[SCHEDULE in nos]]/scheduleapr[[#This Row],[SCHEDULE IN MT]]*scheduleapr[[#This Row],[CTL Stock]]</f>
        <v/>
      </c>
      <c r="AN17" s="599">
        <f>SUMIFS(stock[MT],stock[Bucket],scheduleapr[[#This Row],[Bucket]],stock[CTL Bucket],scheduleapr[[#This Row],[CTL Bucket]],stock[Plant],"0789")</f>
        <v/>
      </c>
      <c r="AO17" s="599" t="n"/>
      <c r="AP17" s="599">
        <f>SUMIFS(stock[MT],stock[Bucket],scheduleapr[[#This Row],[Bucket]],stock[LL or CTL],"LL")</f>
        <v/>
      </c>
      <c r="AQ17" s="599">
        <f>+SUMIFS(wip[Stock(Net Wt)],wip[Bucket],scheduleapr[[#This Row],[Bucket]])/1000</f>
        <v/>
      </c>
      <c r="AR17" s="599">
        <f>AJ17-AN17</f>
        <v/>
      </c>
      <c r="AS17" s="118" t="n"/>
    </row>
    <row r="18">
      <c r="A18" s="594" t="n">
        <v>11</v>
      </c>
      <c r="B18" s="5" t="inlineStr">
        <is>
          <t>Hosur</t>
        </is>
      </c>
      <c r="C18" s="601" t="inlineStr">
        <is>
          <t>Balaji press product</t>
        </is>
      </c>
      <c r="D18" s="15" t="inlineStr">
        <is>
          <t>Balaji Press Product</t>
        </is>
      </c>
      <c r="E18" s="601" t="n">
        <v>189287</v>
      </c>
      <c r="F18" s="601" t="n">
        <v>2409616</v>
      </c>
      <c r="G18" s="601">
        <f>_xlfn.CONCAT(scheduleapr[[#This Row],[CUSTOMER CODE]],"-",scheduleapr[[#This Row],[MATERIAL NO]])</f>
        <v/>
      </c>
      <c r="H18" s="601" t="inlineStr">
        <is>
          <t>TUB-O-N-AUT-AW-PE-19.05X1.200X0.5130</t>
        </is>
      </c>
      <c r="I18" s="601" t="inlineStr">
        <is>
          <t>ERW 1</t>
        </is>
      </c>
      <c r="J18" s="601" t="n"/>
      <c r="K18" s="601" t="inlineStr">
        <is>
          <t>PE</t>
        </is>
      </c>
      <c r="L18" s="601" t="inlineStr">
        <is>
          <t>CR</t>
        </is>
      </c>
      <c r="M18" s="601" t="n"/>
      <c r="N18" s="601" t="n"/>
      <c r="O18" s="601" t="n"/>
      <c r="P18" s="601" t="n"/>
      <c r="Q18" s="557">
        <f>CONCATENATE(scheduleapr[[#This Row],[OD]],"-",scheduleapr[[#This Row],[ID]],"-",scheduleapr[[#This Row],[TICKNESS]],"-",scheduleapr[[#This Row],[Grade]],"-",scheduleapr[[#This Row],[FC/NFC]])</f>
        <v/>
      </c>
      <c r="R18" s="557">
        <f>_xlfn.CONCAT(scheduleapr[[#This Row],[Bucket]],"-",scheduleapr[[#This Row],[LENGTH]]/1000)</f>
        <v/>
      </c>
      <c r="S18" s="557">
        <f>COUNTIF(scheduleapr[CTL Bucket],scheduleapr[[#This Row],[CTL Bucket]])</f>
        <v/>
      </c>
      <c r="T18" s="601" t="inlineStr">
        <is>
          <t>Hosur</t>
        </is>
      </c>
      <c r="U18" s="601">
        <f>_xlfn.IFNA(VLOOKUP(scheduleapr[[#This Row],[Bucket]],salesforecast[[#All],[Bucket2]:[8406 Stock]],19,0),0)</f>
        <v/>
      </c>
      <c r="V18" s="562">
        <f>_xlfn.IFNA(VLOOKUP(scheduleapr[[#This Row],[Bucket]],salesforecast[[#All],[Bucket2]:[8406 Stock]],20,0),0)+_xlfn.IFNA(VLOOKUP(scheduleapr[[#This Row],[Bucket]],salesforecast[[#All],[Bucket2]:[8406 Stock]],17,0),0)</f>
        <v/>
      </c>
      <c r="W18" s="557" t="n"/>
      <c r="X18" s="599" t="n">
        <v>19.05</v>
      </c>
      <c r="Y18" s="599" t="n">
        <v>19.05</v>
      </c>
      <c r="Z18" s="599" t="n">
        <v>0</v>
      </c>
      <c r="AA18" s="599" t="n">
        <v>1.2</v>
      </c>
      <c r="AB18" s="600" t="n">
        <v>513</v>
      </c>
      <c r="AC18" s="600" t="inlineStr">
        <is>
          <t>NOS</t>
        </is>
      </c>
      <c r="AD18" s="600" t="inlineStr">
        <is>
          <t>Hosur Plant</t>
        </is>
      </c>
      <c r="AE18" s="600" t="n"/>
      <c r="AF18" s="601" t="n">
        <v>4000</v>
      </c>
      <c r="AG18" s="601" t="n"/>
      <c r="AH18" s="601">
        <f t="array" ref="AH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" s="602">
        <f>scheduleapr[[#This Row],[SCHEDULE in nos]]-scheduleapr[[#This Row],[DISPATCH]]</f>
        <v/>
      </c>
      <c r="AJ18" s="599">
        <f>(3.14*(scheduleapr[[#This Row],[ACTUAL OD]]-scheduleapr[[#This Row],[TICKNESS]])*scheduleapr[[#This Row],[TICKNESS]]*scheduleapr[[#This Row],[LENGTH]]*7.85)/1000000*scheduleapr[[#This Row],[SCHEDULE in nos]]/1000</f>
        <v/>
      </c>
      <c r="AK18" s="599">
        <f>(3.14*(scheduleapr[[#This Row],[ACTUAL OD]]-scheduleapr[[#This Row],[TICKNESS]])*scheduleapr[[#This Row],[TICKNESS]]*scheduleapr[[#This Row],[LENGTH]]*7.85)/1000000*scheduleapr[[#This Row],[DISPATCH]]/1000</f>
        <v/>
      </c>
      <c r="AL18" s="599">
        <f>AJ18-AK18</f>
        <v/>
      </c>
      <c r="AM18" s="599">
        <f>scheduleapr[[#This Row],[SCHEDULE in nos]]/scheduleapr[[#This Row],[SCHEDULE IN MT]]*scheduleapr[[#This Row],[CTL Stock]]</f>
        <v/>
      </c>
      <c r="AN18" s="599">
        <f>SUMIFS(stock[MT],stock[Bucket],scheduleapr[[#This Row],[Bucket]],stock[CTL Bucket],scheduleapr[[#This Row],[CTL Bucket]],stock[Plant],"0789")</f>
        <v/>
      </c>
      <c r="AO18" s="599" t="n"/>
      <c r="AP18" s="599">
        <f>SUMIFS(stock[MT],stock[Bucket],scheduleapr[[#This Row],[Bucket]],stock[LL or CTL],"LL")</f>
        <v/>
      </c>
      <c r="AQ18" s="599">
        <f>+SUMIFS(wip[Stock(Net Wt)],wip[Bucket],scheduleapr[[#This Row],[Bucket]])/1000</f>
        <v/>
      </c>
      <c r="AR18" s="599">
        <f>AJ18-AN18</f>
        <v/>
      </c>
      <c r="AS18" s="118" t="n"/>
    </row>
    <row r="19">
      <c r="A19" s="556" t="n"/>
      <c r="B19" s="5" t="inlineStr">
        <is>
          <t>Hosur</t>
        </is>
      </c>
      <c r="C19" s="601" t="inlineStr">
        <is>
          <t>Balaji press product</t>
        </is>
      </c>
      <c r="D19" s="15" t="inlineStr">
        <is>
          <t>Balaji Press Product</t>
        </is>
      </c>
      <c r="E19" s="601" t="n">
        <v>189287</v>
      </c>
      <c r="F19" s="557" t="n"/>
      <c r="G19" s="601">
        <f>_xlfn.CONCAT(scheduleapr[[#This Row],[CUSTOMER CODE]],"-",scheduleapr[[#This Row],[MATERIAL NO]])</f>
        <v/>
      </c>
      <c r="H19" s="557" t="n"/>
      <c r="I19" s="601" t="inlineStr">
        <is>
          <t>ERW 1</t>
        </is>
      </c>
      <c r="J19" s="557" t="n"/>
      <c r="K19" s="557" t="n"/>
      <c r="L19" s="557" t="n"/>
      <c r="M19" s="558" t="n"/>
      <c r="N19" s="557" t="n"/>
      <c r="O19" s="557" t="n"/>
      <c r="P19" s="557" t="n"/>
      <c r="Q19" s="557" t="n"/>
      <c r="R19" s="557" t="n"/>
      <c r="S19" s="557" t="n"/>
      <c r="T19" s="601" t="n"/>
      <c r="U19" s="601" t="n"/>
      <c r="V19" s="598" t="n"/>
      <c r="W19" s="601" t="n"/>
      <c r="X19" s="559" t="n">
        <v>19.05</v>
      </c>
      <c r="Y19" s="559" t="n">
        <v>19.05</v>
      </c>
      <c r="Z19" s="559" t="n">
        <v>0</v>
      </c>
      <c r="AA19" s="559" t="n">
        <v>1.2</v>
      </c>
      <c r="AB19" s="600" t="n">
        <v>665</v>
      </c>
      <c r="AC19" s="600" t="inlineStr">
        <is>
          <t>NOS</t>
        </is>
      </c>
      <c r="AD19" s="600" t="n"/>
      <c r="AE19" s="600" t="n"/>
      <c r="AF19" s="557" t="n">
        <v>5000</v>
      </c>
      <c r="AG19" s="557" t="n"/>
      <c r="AH19" s="557">
        <f t="array" ref="AH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" s="560">
        <f>scheduleapr[[#This Row],[SCHEDULE in nos]]-scheduleapr[[#This Row],[DISPATCH]]</f>
        <v/>
      </c>
      <c r="AJ19" s="559">
        <f>(3.14*(scheduleapr[[#This Row],[ACTUAL OD]]-scheduleapr[[#This Row],[TICKNESS]])*scheduleapr[[#This Row],[TICKNESS]]*scheduleapr[[#This Row],[LENGTH]]*7.85)/1000000*scheduleapr[[#This Row],[SCHEDULE in nos]]/1000</f>
        <v/>
      </c>
      <c r="AK19" s="599">
        <f>(3.14*(scheduleapr[[#This Row],[ACTUAL OD]]-scheduleapr[[#This Row],[TICKNESS]])*scheduleapr[[#This Row],[TICKNESS]]*scheduleapr[[#This Row],[LENGTH]]*7.85)/1000000*scheduleapr[[#This Row],[DISPATCH]]/1000</f>
        <v/>
      </c>
      <c r="AL19" s="599">
        <f>AJ19-AK19</f>
        <v/>
      </c>
      <c r="AM19" s="559">
        <f>scheduleapr[[#This Row],[SCHEDULE in nos]]/scheduleapr[[#This Row],[SCHEDULE IN MT]]*scheduleapr[[#This Row],[CTL Stock]]</f>
        <v/>
      </c>
      <c r="AN19" s="599">
        <f>SUMIFS(stock[MT],stock[Bucket],scheduleapr[[#This Row],[Bucket]],stock[CTL Bucket],scheduleapr[[#This Row],[CTL Bucket]],stock[Plant],"0789")</f>
        <v/>
      </c>
      <c r="AO19" s="599" t="n"/>
      <c r="AP19" s="599">
        <f>SUMIFS(stock[MT],stock[Bucket],scheduleapr[[#This Row],[Bucket]],stock[LL or CTL],"LL")</f>
        <v/>
      </c>
      <c r="AQ19" s="599">
        <f>+SUMIFS(wip[Stock(Net Wt)],wip[Bucket],scheduleapr[[#This Row],[Bucket]])/1000</f>
        <v/>
      </c>
      <c r="AR19" s="599">
        <f>AJ19-AN19</f>
        <v/>
      </c>
      <c r="AS19" s="118" t="n"/>
    </row>
    <row r="20">
      <c r="A20" s="594" t="n">
        <v>12</v>
      </c>
      <c r="B20" s="5" t="inlineStr">
        <is>
          <t>Hosur</t>
        </is>
      </c>
      <c r="C20" s="601" t="inlineStr">
        <is>
          <t>Balaji press product</t>
        </is>
      </c>
      <c r="D20" s="15" t="inlineStr">
        <is>
          <t>Balaji Press Product</t>
        </is>
      </c>
      <c r="E20" s="601" t="n">
        <v>189287</v>
      </c>
      <c r="F20" s="601" t="n">
        <v>3229740</v>
      </c>
      <c r="G20" s="601">
        <f>_xlfn.CONCAT(scheduleapr[[#This Row],[CUSTOMER CODE]],"-",scheduleapr[[#This Row],[MATERIAL NO]])</f>
        <v/>
      </c>
      <c r="H20" s="601" t="inlineStr">
        <is>
          <t>TUB-O-N-AUT-AW-PE-19.05X1.200X1.0750</t>
        </is>
      </c>
      <c r="I20" s="601" t="inlineStr">
        <is>
          <t>ERW 1</t>
        </is>
      </c>
      <c r="J20" s="601" t="n"/>
      <c r="K20" s="601" t="inlineStr">
        <is>
          <t>PE</t>
        </is>
      </c>
      <c r="L20" s="601" t="inlineStr">
        <is>
          <t>CR</t>
        </is>
      </c>
      <c r="M20" s="601" t="n"/>
      <c r="N20" s="601" t="n"/>
      <c r="O20" s="601" t="n"/>
      <c r="P20" s="601" t="n"/>
      <c r="Q20" s="557">
        <f>CONCATENATE(scheduleapr[[#This Row],[OD]],"-",scheduleapr[[#This Row],[ID]],"-",scheduleapr[[#This Row],[TICKNESS]],"-",scheduleapr[[#This Row],[Grade]],"-",scheduleapr[[#This Row],[FC/NFC]])</f>
        <v/>
      </c>
      <c r="R20" s="557">
        <f>_xlfn.CONCAT(scheduleapr[[#This Row],[Bucket]],"-",scheduleapr[[#This Row],[LENGTH]]/1000)</f>
        <v/>
      </c>
      <c r="S20" s="557">
        <f>COUNTIF(scheduleapr[CTL Bucket],scheduleapr[[#This Row],[CTL Bucket]])</f>
        <v/>
      </c>
      <c r="T20" s="601" t="inlineStr">
        <is>
          <t>Hosur</t>
        </is>
      </c>
      <c r="U20" s="601">
        <f>_xlfn.IFNA(VLOOKUP(scheduleapr[[#This Row],[Bucket]],salesforecast[[#All],[Bucket2]:[8406 Stock]],19,0),0)</f>
        <v/>
      </c>
      <c r="V20" s="562">
        <f>_xlfn.IFNA(VLOOKUP(scheduleapr[[#This Row],[Bucket]],salesforecast[[#All],[Bucket2]:[8406 Stock]],20,0),0)+_xlfn.IFNA(VLOOKUP(scheduleapr[[#This Row],[Bucket]],salesforecast[[#All],[Bucket2]:[8406 Stock]],17,0),0)</f>
        <v/>
      </c>
      <c r="W20" s="557" t="n"/>
      <c r="X20" s="599" t="n">
        <v>19.05</v>
      </c>
      <c r="Y20" s="599" t="n">
        <v>19.05</v>
      </c>
      <c r="Z20" s="599" t="n">
        <v>0</v>
      </c>
      <c r="AA20" s="599" t="n">
        <v>1.2</v>
      </c>
      <c r="AB20" s="600" t="n">
        <v>1075</v>
      </c>
      <c r="AC20" s="600" t="inlineStr">
        <is>
          <t>NOS</t>
        </is>
      </c>
      <c r="AD20" s="600" t="inlineStr">
        <is>
          <t>Hosur Plant</t>
        </is>
      </c>
      <c r="AE20" s="600" t="n"/>
      <c r="AF20" s="601" t="n">
        <v>9000</v>
      </c>
      <c r="AG20" s="601" t="n"/>
      <c r="AH20" s="601">
        <f t="array" ref="AH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" s="602">
        <f>scheduleapr[[#This Row],[SCHEDULE in nos]]-scheduleapr[[#This Row],[DISPATCH]]</f>
        <v/>
      </c>
      <c r="AJ20" s="599">
        <f>(3.14*(scheduleapr[[#This Row],[ACTUAL OD]]-scheduleapr[[#This Row],[TICKNESS]])*scheduleapr[[#This Row],[TICKNESS]]*scheduleapr[[#This Row],[LENGTH]]*7.85)/1000000*scheduleapr[[#This Row],[SCHEDULE in nos]]/1000</f>
        <v/>
      </c>
      <c r="AK20" s="599">
        <f>(3.14*(scheduleapr[[#This Row],[ACTUAL OD]]-scheduleapr[[#This Row],[TICKNESS]])*scheduleapr[[#This Row],[TICKNESS]]*scheduleapr[[#This Row],[LENGTH]]*7.85)/1000000*scheduleapr[[#This Row],[DISPATCH]]/1000</f>
        <v/>
      </c>
      <c r="AL20" s="599">
        <f>AJ20-AK20</f>
        <v/>
      </c>
      <c r="AM20" s="599">
        <f>scheduleapr[[#This Row],[SCHEDULE in nos]]/scheduleapr[[#This Row],[SCHEDULE IN MT]]*scheduleapr[[#This Row],[CTL Stock]]</f>
        <v/>
      </c>
      <c r="AN20" s="599">
        <f>SUMIFS(stock[MT],stock[Bucket],scheduleapr[[#This Row],[Bucket]],stock[CTL Bucket],scheduleapr[[#This Row],[CTL Bucket]],stock[Plant],"0789")</f>
        <v/>
      </c>
      <c r="AO20" s="599" t="n"/>
      <c r="AP20" s="599">
        <f>SUMIFS(stock[MT],stock[Bucket],scheduleapr[[#This Row],[Bucket]],stock[LL or CTL],"LL")</f>
        <v/>
      </c>
      <c r="AQ20" s="599">
        <f>+SUMIFS(wip[Stock(Net Wt)],wip[Bucket],scheduleapr[[#This Row],[Bucket]])/1000</f>
        <v/>
      </c>
      <c r="AR20" s="599">
        <f>AJ20-AN20</f>
        <v/>
      </c>
      <c r="AS20" s="118" t="n"/>
    </row>
    <row r="21">
      <c r="A21" s="594" t="n">
        <v>13</v>
      </c>
      <c r="B21" s="5" t="inlineStr">
        <is>
          <t>Hosur</t>
        </is>
      </c>
      <c r="C21" s="601" t="inlineStr">
        <is>
          <t>Balaji press product</t>
        </is>
      </c>
      <c r="D21" s="15" t="inlineStr">
        <is>
          <t>ara</t>
        </is>
      </c>
      <c r="E21" s="601" t="n">
        <v>189287</v>
      </c>
      <c r="F21" s="601" t="n">
        <v>3229739</v>
      </c>
      <c r="G21" s="601">
        <f>_xlfn.CONCAT(scheduleapr[[#This Row],[CUSTOMER CODE]],"-",scheduleapr[[#This Row],[MATERIAL NO]])</f>
        <v/>
      </c>
      <c r="H21" s="601" t="inlineStr">
        <is>
          <t>TUB-O-N-AUT-AW-PE-19.05X1.200X1.1300</t>
        </is>
      </c>
      <c r="I21" s="601" t="inlineStr">
        <is>
          <t>ERW 1</t>
        </is>
      </c>
      <c r="J21" s="601" t="n"/>
      <c r="K21" s="601" t="inlineStr">
        <is>
          <t>PE</t>
        </is>
      </c>
      <c r="L21" s="601" t="inlineStr">
        <is>
          <t>CR</t>
        </is>
      </c>
      <c r="M21" s="601" t="n"/>
      <c r="N21" s="601" t="n"/>
      <c r="O21" s="601" t="n"/>
      <c r="P21" s="601" t="n"/>
      <c r="Q21" s="557">
        <f>CONCATENATE(scheduleapr[[#This Row],[OD]],"-",scheduleapr[[#This Row],[ID]],"-",scheduleapr[[#This Row],[TICKNESS]],"-",scheduleapr[[#This Row],[Grade]],"-",scheduleapr[[#This Row],[FC/NFC]])</f>
        <v/>
      </c>
      <c r="R21" s="557">
        <f>_xlfn.CONCAT(scheduleapr[[#This Row],[Bucket]],"-",scheduleapr[[#This Row],[LENGTH]]/1000)</f>
        <v/>
      </c>
      <c r="S21" s="557">
        <f>COUNTIF(scheduleapr[CTL Bucket],scheduleapr[[#This Row],[CTL Bucket]])</f>
        <v/>
      </c>
      <c r="T21" s="601" t="inlineStr">
        <is>
          <t>Hosur</t>
        </is>
      </c>
      <c r="U21" s="601" t="n"/>
      <c r="V21" s="557" t="n"/>
      <c r="W21" s="557" t="n"/>
      <c r="X21" s="599" t="n">
        <v>19.05</v>
      </c>
      <c r="Y21" s="599" t="n">
        <v>19.05</v>
      </c>
      <c r="Z21" s="599" t="n">
        <v>0</v>
      </c>
      <c r="AA21" s="599" t="n">
        <v>1.2</v>
      </c>
      <c r="AB21" s="600" t="n">
        <v>1130</v>
      </c>
      <c r="AC21" s="600" t="inlineStr">
        <is>
          <t>NOS</t>
        </is>
      </c>
      <c r="AD21" s="600" t="n"/>
      <c r="AE21" s="600" t="n"/>
      <c r="AF21" s="601" t="n"/>
      <c r="AG21" s="601" t="n"/>
      <c r="AH21" s="601">
        <f t="array" ref="AH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" s="602">
        <f>scheduleapr[[#This Row],[SCHEDULE in nos]]-scheduleapr[[#This Row],[DISPATCH]]</f>
        <v/>
      </c>
      <c r="AJ21" s="599">
        <f>(3.14*(scheduleapr[[#This Row],[ACTUAL OD]]-scheduleapr[[#This Row],[TICKNESS]])*scheduleapr[[#This Row],[TICKNESS]]*scheduleapr[[#This Row],[LENGTH]]*7.85)/1000000*scheduleapr[[#This Row],[SCHEDULE in nos]]/1000</f>
        <v/>
      </c>
      <c r="AK21" s="599">
        <f>(3.14*(scheduleapr[[#This Row],[ACTUAL OD]]-scheduleapr[[#This Row],[TICKNESS]])*scheduleapr[[#This Row],[TICKNESS]]*scheduleapr[[#This Row],[LENGTH]]*7.85)/1000000*scheduleapr[[#This Row],[DISPATCH]]/1000</f>
        <v/>
      </c>
      <c r="AL21" s="599">
        <f>AJ21-AK21</f>
        <v/>
      </c>
      <c r="AM21" s="599">
        <f>scheduleapr[[#This Row],[SCHEDULE in nos]]/scheduleapr[[#This Row],[SCHEDULE IN MT]]*scheduleapr[[#This Row],[CTL Stock]]</f>
        <v/>
      </c>
      <c r="AN21" s="599">
        <f>SUMIFS(stock[MT],stock[Bucket],scheduleapr[[#This Row],[Bucket]],stock[CTL Bucket],scheduleapr[[#This Row],[CTL Bucket]],stock[Plant],"0789")</f>
        <v/>
      </c>
      <c r="AO21" s="599" t="n"/>
      <c r="AP21" s="599">
        <f>SUMIFS(stock[MT],stock[Bucket],scheduleapr[[#This Row],[Bucket]],stock[LL or CTL],"LL")</f>
        <v/>
      </c>
      <c r="AQ21" s="599">
        <f>+SUMIFS(wip[Stock(Net Wt)],wip[Bucket],scheduleapr[[#This Row],[Bucket]])/1000</f>
        <v/>
      </c>
      <c r="AR21" s="599">
        <f>AJ21-AN21</f>
        <v/>
      </c>
      <c r="AS21" s="118" t="n"/>
    </row>
    <row r="22">
      <c r="A22" s="556" t="n"/>
      <c r="B22" s="5" t="inlineStr">
        <is>
          <t>Hosur</t>
        </is>
      </c>
      <c r="C22" s="601" t="inlineStr">
        <is>
          <t>Balaji press product</t>
        </is>
      </c>
      <c r="D22" s="15" t="inlineStr">
        <is>
          <t>Balaji Press Product</t>
        </is>
      </c>
      <c r="E22" s="601" t="n">
        <v>189287</v>
      </c>
      <c r="F22" s="557" t="n"/>
      <c r="G22" s="601">
        <f>_xlfn.CONCAT(scheduleapr[[#This Row],[CUSTOMER CODE]],"-",scheduleapr[[#This Row],[MATERIAL NO]])</f>
        <v/>
      </c>
      <c r="H22" s="557" t="n"/>
      <c r="I22" s="601" t="inlineStr">
        <is>
          <t>ERW 1</t>
        </is>
      </c>
      <c r="J22" s="557" t="n"/>
      <c r="K22" s="601" t="inlineStr">
        <is>
          <t>PE</t>
        </is>
      </c>
      <c r="L22" s="557" t="n"/>
      <c r="M22" s="558" t="n"/>
      <c r="N22" s="557" t="n"/>
      <c r="O22" s="557" t="n"/>
      <c r="P22" s="557" t="n"/>
      <c r="Q22" s="557">
        <f>CONCATENATE(scheduleapr[[#This Row],[OD]],"-",scheduleapr[[#This Row],[ID]],"-",scheduleapr[[#This Row],[TICKNESS]],"-",scheduleapr[[#This Row],[Grade]],"-",scheduleapr[[#This Row],[FC/NFC]])</f>
        <v/>
      </c>
      <c r="R22" s="557">
        <f>_xlfn.CONCAT(scheduleapr[[#This Row],[Bucket]],"-",scheduleapr[[#This Row],[LENGTH]]/1000)</f>
        <v/>
      </c>
      <c r="S22" s="557" t="n"/>
      <c r="T22" s="601" t="n"/>
      <c r="U22" s="601">
        <f>_xlfn.IFNA(VLOOKUP(scheduleapr[[#This Row],[Bucket]],salesforecast[[#All],[Bucket2]:[8406 Stock]],19,0),0)</f>
        <v/>
      </c>
      <c r="V22" s="562">
        <f>_xlfn.IFNA(VLOOKUP(scheduleapr[[#This Row],[Bucket]],salesforecast[[#All],[Bucket2]:[8406 Stock]],20,0),0)+_xlfn.IFNA(VLOOKUP(scheduleapr[[#This Row],[Bucket]],salesforecast[[#All],[Bucket2]:[8406 Stock]],17,0),0)</f>
        <v/>
      </c>
      <c r="W22" s="601" t="n"/>
      <c r="X22" s="599" t="n">
        <v>19.05</v>
      </c>
      <c r="Y22" s="599" t="n">
        <v>19.05</v>
      </c>
      <c r="Z22" s="599" t="n">
        <v>0</v>
      </c>
      <c r="AA22" s="599" t="n">
        <v>1.2</v>
      </c>
      <c r="AB22" s="600" t="n">
        <v>1145</v>
      </c>
      <c r="AC22" s="600" t="inlineStr">
        <is>
          <t>NOS</t>
        </is>
      </c>
      <c r="AD22" s="600" t="inlineStr">
        <is>
          <t>Hosur Plant</t>
        </is>
      </c>
      <c r="AE22" s="600" t="n"/>
      <c r="AF22" s="557" t="n">
        <v>8000</v>
      </c>
      <c r="AG22" s="557" t="n"/>
      <c r="AH22" s="601">
        <f t="array" ref="AH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" s="602">
        <f>scheduleapr[[#This Row],[SCHEDULE in nos]]-scheduleapr[[#This Row],[DISPATCH]]</f>
        <v/>
      </c>
      <c r="AJ22" s="559">
        <f>(3.14*(scheduleapr[[#This Row],[ACTUAL OD]]-scheduleapr[[#This Row],[TICKNESS]])*scheduleapr[[#This Row],[TICKNESS]]*scheduleapr[[#This Row],[LENGTH]]*7.85)/1000000*scheduleapr[[#This Row],[SCHEDULE in nos]]/1000</f>
        <v/>
      </c>
      <c r="AK22" s="599">
        <f>(3.14*(scheduleapr[[#This Row],[ACTUAL OD]]-scheduleapr[[#This Row],[TICKNESS]])*scheduleapr[[#This Row],[TICKNESS]]*scheduleapr[[#This Row],[LENGTH]]*7.85)/1000000*scheduleapr[[#This Row],[DISPATCH]]/1000</f>
        <v/>
      </c>
      <c r="AL22" s="599">
        <f>AJ22-AK22</f>
        <v/>
      </c>
      <c r="AM22" s="559">
        <f>scheduleapr[[#This Row],[SCHEDULE in nos]]/scheduleapr[[#This Row],[SCHEDULE IN MT]]*scheduleapr[[#This Row],[CTL Stock]]</f>
        <v/>
      </c>
      <c r="AN22" s="599">
        <f>SUMIFS(stock[MT],stock[Bucket],scheduleapr[[#This Row],[Bucket]],stock[CTL Bucket],scheduleapr[[#This Row],[CTL Bucket]],stock[Plant],"0789")</f>
        <v/>
      </c>
      <c r="AO22" s="599" t="n"/>
      <c r="AP22" s="599">
        <f>SUMIFS(stock[MT],stock[Bucket],scheduleapr[[#This Row],[Bucket]],stock[LL or CTL],"LL")</f>
        <v/>
      </c>
      <c r="AQ22" s="599">
        <f>+SUMIFS(wip[Stock(Net Wt)],wip[Bucket],scheduleapr[[#This Row],[Bucket]])/1000</f>
        <v/>
      </c>
      <c r="AR22" s="599">
        <f>AJ22-AN22</f>
        <v/>
      </c>
      <c r="AS22" s="118" t="n"/>
    </row>
    <row r="23">
      <c r="A23" s="594" t="n">
        <v>14</v>
      </c>
      <c r="B23" s="5" t="inlineStr">
        <is>
          <t>Hosur</t>
        </is>
      </c>
      <c r="C23" s="601" t="inlineStr">
        <is>
          <t>Balaji press product</t>
        </is>
      </c>
      <c r="D23" s="15" t="inlineStr">
        <is>
          <t>Balaji Press Product</t>
        </is>
      </c>
      <c r="E23" s="601" t="n">
        <v>189287</v>
      </c>
      <c r="F23" s="601" t="n">
        <v>3409367</v>
      </c>
      <c r="G23" s="601">
        <f>_xlfn.CONCAT(scheduleapr[[#This Row],[CUSTOMER CODE]],"-",scheduleapr[[#This Row],[MATERIAL NO]])</f>
        <v/>
      </c>
      <c r="H23" s="601" t="inlineStr">
        <is>
          <t>TUB-O-N-AUT-AW-PE-19.05X1.200X1.2750</t>
        </is>
      </c>
      <c r="I23" s="601" t="inlineStr">
        <is>
          <t>ERW 1</t>
        </is>
      </c>
      <c r="J23" s="601" t="n"/>
      <c r="K23" s="601" t="inlineStr">
        <is>
          <t>PE</t>
        </is>
      </c>
      <c r="L23" s="601" t="inlineStr">
        <is>
          <t>CR</t>
        </is>
      </c>
      <c r="M23" s="601" t="n"/>
      <c r="N23" s="601" t="n"/>
      <c r="O23" s="601" t="n"/>
      <c r="P23" s="601" t="n"/>
      <c r="Q23" s="557">
        <f>CONCATENATE(scheduleapr[[#This Row],[OD]],"-",scheduleapr[[#This Row],[ID]],"-",scheduleapr[[#This Row],[TICKNESS]],"-",scheduleapr[[#This Row],[Grade]],"-",scheduleapr[[#This Row],[FC/NFC]])</f>
        <v/>
      </c>
      <c r="R23" s="557">
        <f>_xlfn.CONCAT(scheduleapr[[#This Row],[Bucket]],"-",scheduleapr[[#This Row],[LENGTH]]/1000)</f>
        <v/>
      </c>
      <c r="S23" s="557">
        <f>COUNTIF(scheduleapr[CTL Bucket],scheduleapr[[#This Row],[CTL Bucket]])</f>
        <v/>
      </c>
      <c r="T23" s="601" t="inlineStr">
        <is>
          <t>Hosur</t>
        </is>
      </c>
      <c r="U23" s="601">
        <f>_xlfn.IFNA(VLOOKUP(scheduleapr[[#This Row],[Bucket]],salesforecast[[#All],[Bucket2]:[8406 Stock]],19,0),0)</f>
        <v/>
      </c>
      <c r="V23" s="562">
        <f>_xlfn.IFNA(VLOOKUP(scheduleapr[[#This Row],[Bucket]],salesforecast[[#All],[Bucket2]:[8406 Stock]],20,0),0)+_xlfn.IFNA(VLOOKUP(scheduleapr[[#This Row],[Bucket]],salesforecast[[#All],[Bucket2]:[8406 Stock]],17,0),0)</f>
        <v/>
      </c>
      <c r="W23" s="557" t="n"/>
      <c r="X23" s="599" t="n">
        <v>19.05</v>
      </c>
      <c r="Y23" s="599" t="n">
        <v>19.05</v>
      </c>
      <c r="Z23" s="599" t="n">
        <v>0</v>
      </c>
      <c r="AA23" s="599" t="n">
        <v>1.2</v>
      </c>
      <c r="AB23" s="600" t="n">
        <v>1275</v>
      </c>
      <c r="AC23" s="600" t="inlineStr">
        <is>
          <t>NOS</t>
        </is>
      </c>
      <c r="AD23" s="600" t="inlineStr">
        <is>
          <t>Hosur Plant</t>
        </is>
      </c>
      <c r="AE23" s="600" t="n"/>
      <c r="AF23" s="601" t="n">
        <v>6000</v>
      </c>
      <c r="AG23" s="601" t="n"/>
      <c r="AH23" s="601">
        <f t="array" ref="AH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" s="602">
        <f>scheduleapr[[#This Row],[SCHEDULE in nos]]-scheduleapr[[#This Row],[DISPATCH]]</f>
        <v/>
      </c>
      <c r="AJ23" s="599">
        <f>(3.14*(scheduleapr[[#This Row],[ACTUAL OD]]-scheduleapr[[#This Row],[TICKNESS]])*scheduleapr[[#This Row],[TICKNESS]]*scheduleapr[[#This Row],[LENGTH]]*7.85)/1000000*scheduleapr[[#This Row],[SCHEDULE in nos]]/1000</f>
        <v/>
      </c>
      <c r="AK23" s="599">
        <f>(3.14*(scheduleapr[[#This Row],[ACTUAL OD]]-scheduleapr[[#This Row],[TICKNESS]])*scheduleapr[[#This Row],[TICKNESS]]*scheduleapr[[#This Row],[LENGTH]]*7.85)/1000000*scheduleapr[[#This Row],[DISPATCH]]/1000</f>
        <v/>
      </c>
      <c r="AL23" s="599">
        <f>AJ23-AK23</f>
        <v/>
      </c>
      <c r="AM23" s="599">
        <f>scheduleapr[[#This Row],[SCHEDULE in nos]]/scheduleapr[[#This Row],[SCHEDULE IN MT]]*scheduleapr[[#This Row],[CTL Stock]]</f>
        <v/>
      </c>
      <c r="AN23" s="599">
        <f>SUMIFS(stock[MT],stock[Bucket],scheduleapr[[#This Row],[Bucket]],stock[CTL Bucket],scheduleapr[[#This Row],[CTL Bucket]],stock[Plant],"0789")</f>
        <v/>
      </c>
      <c r="AO23" s="599" t="n"/>
      <c r="AP23" s="599">
        <f>SUMIFS(stock[MT],stock[Bucket],scheduleapr[[#This Row],[Bucket]],stock[LL or CTL],"LL")</f>
        <v/>
      </c>
      <c r="AQ23" s="599">
        <f>+SUMIFS(wip[Stock(Net Wt)],wip[Bucket],scheduleapr[[#This Row],[Bucket]])/1000</f>
        <v/>
      </c>
      <c r="AR23" s="599">
        <f>AJ23-AN23</f>
        <v/>
      </c>
      <c r="AS23" s="118" t="n"/>
    </row>
    <row r="24">
      <c r="A24" s="556" t="n"/>
      <c r="B24" s="5" t="inlineStr">
        <is>
          <t>Hosur</t>
        </is>
      </c>
      <c r="C24" s="601" t="inlineStr">
        <is>
          <t>Balaji press product</t>
        </is>
      </c>
      <c r="D24" s="15" t="inlineStr">
        <is>
          <t>Balaji Press Product</t>
        </is>
      </c>
      <c r="E24" s="601" t="n">
        <v>189287</v>
      </c>
      <c r="F24" s="557" t="n"/>
      <c r="G24" s="601">
        <f>_xlfn.CONCAT(scheduleapr[[#This Row],[CUSTOMER CODE]],"-",scheduleapr[[#This Row],[MATERIAL NO]])</f>
        <v/>
      </c>
      <c r="H24" s="557" t="n"/>
      <c r="I24" s="601" t="inlineStr">
        <is>
          <t>ERW 1</t>
        </is>
      </c>
      <c r="J24" s="557" t="n"/>
      <c r="K24" s="557" t="n"/>
      <c r="L24" s="557" t="n"/>
      <c r="M24" s="558" t="n"/>
      <c r="N24" s="557" t="n"/>
      <c r="O24" s="557" t="n"/>
      <c r="P24" s="557" t="n"/>
      <c r="Q24" s="557" t="n"/>
      <c r="R24" s="557" t="n"/>
      <c r="S24" s="557" t="n"/>
      <c r="T24" s="601" t="n"/>
      <c r="U24" s="601" t="n"/>
      <c r="V24" s="598" t="n"/>
      <c r="W24" s="601" t="n"/>
      <c r="X24" s="559" t="n">
        <v>19.05</v>
      </c>
      <c r="Y24" s="559" t="n">
        <v>19.05</v>
      </c>
      <c r="Z24" s="6" t="n">
        <v>0</v>
      </c>
      <c r="AA24" s="559" t="n">
        <v>1.2</v>
      </c>
      <c r="AB24" s="600" t="n">
        <v>1365</v>
      </c>
      <c r="AC24" s="600" t="inlineStr">
        <is>
          <t>NOS</t>
        </is>
      </c>
      <c r="AD24" s="600" t="n"/>
      <c r="AE24" s="600" t="n"/>
      <c r="AF24" s="557" t="n">
        <v>2000</v>
      </c>
      <c r="AG24" s="557" t="n"/>
      <c r="AH24" s="557">
        <f t="array" ref="AH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" s="560">
        <f>scheduleapr[[#This Row],[SCHEDULE in nos]]-scheduleapr[[#This Row],[DISPATCH]]</f>
        <v/>
      </c>
      <c r="AJ24" s="559">
        <f>(3.14*(scheduleapr[[#This Row],[ACTUAL OD]]-scheduleapr[[#This Row],[TICKNESS]])*scheduleapr[[#This Row],[TICKNESS]]*scheduleapr[[#This Row],[LENGTH]]*7.85)/1000000*scheduleapr[[#This Row],[SCHEDULE in nos]]/1000</f>
        <v/>
      </c>
      <c r="AK24" s="599">
        <f>(3.14*(scheduleapr[[#This Row],[ACTUAL OD]]-scheduleapr[[#This Row],[TICKNESS]])*scheduleapr[[#This Row],[TICKNESS]]*scheduleapr[[#This Row],[LENGTH]]*7.85)/1000000*scheduleapr[[#This Row],[DISPATCH]]/1000</f>
        <v/>
      </c>
      <c r="AL24" s="599">
        <f>AJ24-AK24</f>
        <v/>
      </c>
      <c r="AM24" s="559">
        <f>scheduleapr[[#This Row],[SCHEDULE in nos]]/scheduleapr[[#This Row],[SCHEDULE IN MT]]*scheduleapr[[#This Row],[CTL Stock]]</f>
        <v/>
      </c>
      <c r="AN24" s="599">
        <f>SUMIFS(stock[MT],stock[Bucket],scheduleapr[[#This Row],[Bucket]],stock[CTL Bucket],scheduleapr[[#This Row],[CTL Bucket]],stock[Plant],"0789")</f>
        <v/>
      </c>
      <c r="AO24" s="599" t="n"/>
      <c r="AP24" s="599">
        <f>SUMIFS(stock[MT],stock[Bucket],scheduleapr[[#This Row],[Bucket]],stock[LL or CTL],"LL")</f>
        <v/>
      </c>
      <c r="AQ24" s="599">
        <f>+SUMIFS(wip[Stock(Net Wt)],wip[Bucket],scheduleapr[[#This Row],[Bucket]])/1000</f>
        <v/>
      </c>
      <c r="AR24" s="599">
        <f>AJ24-AN24</f>
        <v/>
      </c>
      <c r="AS24" s="118" t="n"/>
    </row>
    <row r="25">
      <c r="A25" s="594" t="n">
        <v>15</v>
      </c>
      <c r="B25" s="5" t="inlineStr">
        <is>
          <t>Hosur</t>
        </is>
      </c>
      <c r="C25" s="601" t="inlineStr">
        <is>
          <t>Balaji press product</t>
        </is>
      </c>
      <c r="D25" s="15" t="inlineStr">
        <is>
          <t>Balaji Press Product</t>
        </is>
      </c>
      <c r="E25" s="601" t="n">
        <v>189287</v>
      </c>
      <c r="F25" s="601" t="n">
        <v>2409618</v>
      </c>
      <c r="G25" s="601">
        <f>_xlfn.CONCAT(scheduleapr[[#This Row],[CUSTOMER CODE]],"-",scheduleapr[[#This Row],[MATERIAL NO]])</f>
        <v/>
      </c>
      <c r="H25" s="601" t="inlineStr">
        <is>
          <t>TUB-O-N-AUT-AW-PE-25.40X1.600X2.5900</t>
        </is>
      </c>
      <c r="I25" s="601" t="inlineStr">
        <is>
          <t>ERW 1</t>
        </is>
      </c>
      <c r="J25" s="601" t="n"/>
      <c r="K25" s="601" t="inlineStr">
        <is>
          <t>PE</t>
        </is>
      </c>
      <c r="L25" s="601" t="inlineStr">
        <is>
          <t>CR</t>
        </is>
      </c>
      <c r="M25" s="596" t="inlineStr">
        <is>
          <t>HROP</t>
        </is>
      </c>
      <c r="N25" s="601" t="n"/>
      <c r="O25" s="601" t="n"/>
      <c r="P25" s="601" t="n"/>
      <c r="Q25" s="557">
        <f>CONCATENATE(scheduleapr[[#This Row],[OD]],"-",scheduleapr[[#This Row],[ID]],"-",scheduleapr[[#This Row],[TICKNESS]],"-",scheduleapr[[#This Row],[Grade]],"-",scheduleapr[[#This Row],[FC/NFC]])</f>
        <v/>
      </c>
      <c r="R25" s="557">
        <f>_xlfn.CONCAT(scheduleapr[[#This Row],[Bucket]],"-",scheduleapr[[#This Row],[LENGTH]]/1000)</f>
        <v/>
      </c>
      <c r="S25" s="557">
        <f>COUNTIF(scheduleapr[CTL Bucket],scheduleapr[[#This Row],[CTL Bucket]])</f>
        <v/>
      </c>
      <c r="T25" s="601" t="inlineStr">
        <is>
          <t>Hosur</t>
        </is>
      </c>
      <c r="U25" s="601">
        <f>_xlfn.IFNA(VLOOKUP(scheduleapr[[#This Row],[Bucket]],salesforecast[[#All],[Bucket2]:[8406 Stock]],19,0),0)</f>
        <v/>
      </c>
      <c r="V25" s="562">
        <f>_xlfn.IFNA(VLOOKUP(scheduleapr[[#This Row],[Bucket]],salesforecast[[#All],[Bucket2]:[8406 Stock]],20,0),0)+_xlfn.IFNA(VLOOKUP(scheduleapr[[#This Row],[Bucket]],salesforecast[[#All],[Bucket2]:[8406 Stock]],17,0),0)</f>
        <v/>
      </c>
      <c r="W25" s="557" t="n"/>
      <c r="X25" s="599" t="n">
        <v>25.4</v>
      </c>
      <c r="Y25" s="599" t="n">
        <v>25.4</v>
      </c>
      <c r="Z25" s="599" t="n">
        <v>0</v>
      </c>
      <c r="AA25" s="599" t="n">
        <v>1.6</v>
      </c>
      <c r="AB25" s="600" t="n">
        <v>2590</v>
      </c>
      <c r="AC25" s="600" t="inlineStr">
        <is>
          <t>NOS</t>
        </is>
      </c>
      <c r="AD25" s="600" t="inlineStr">
        <is>
          <t>Hosur Plant</t>
        </is>
      </c>
      <c r="AE25" s="600" t="n">
        <v>1000</v>
      </c>
      <c r="AF25" s="601" t="n">
        <v>3000</v>
      </c>
      <c r="AG25" s="601" t="n"/>
      <c r="AH25" s="601">
        <f t="array" ref="AH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" s="602">
        <f>scheduleapr[[#This Row],[SCHEDULE in nos]]-scheduleapr[[#This Row],[DISPATCH]]</f>
        <v/>
      </c>
      <c r="AJ25" s="599">
        <f>(3.14*(scheduleapr[[#This Row],[ACTUAL OD]]-scheduleapr[[#This Row],[TICKNESS]])*scheduleapr[[#This Row],[TICKNESS]]*scheduleapr[[#This Row],[LENGTH]]*7.85)/1000000*scheduleapr[[#This Row],[SCHEDULE in nos]]/1000</f>
        <v/>
      </c>
      <c r="AK25" s="599">
        <f>(3.14*(scheduleapr[[#This Row],[ACTUAL OD]]-scheduleapr[[#This Row],[TICKNESS]])*scheduleapr[[#This Row],[TICKNESS]]*scheduleapr[[#This Row],[LENGTH]]*7.85)/1000000*scheduleapr[[#This Row],[DISPATCH]]/1000</f>
        <v/>
      </c>
      <c r="AL25" s="599">
        <f>AJ25-AK25</f>
        <v/>
      </c>
      <c r="AM25" s="599">
        <f>scheduleapr[[#This Row],[SCHEDULE in nos]]/scheduleapr[[#This Row],[SCHEDULE IN MT]]*scheduleapr[[#This Row],[CTL Stock]]</f>
        <v/>
      </c>
      <c r="AN25" s="599">
        <f>SUMIFS(stock[MT],stock[Bucket],scheduleapr[[#This Row],[Bucket]],stock[CTL Bucket],scheduleapr[[#This Row],[CTL Bucket]],stock[Plant],"0789")</f>
        <v/>
      </c>
      <c r="AO25" s="599" t="n"/>
      <c r="AP25" s="599">
        <f>SUMIFS(stock[MT],stock[Bucket],scheduleapr[[#This Row],[Bucket]],stock[LL or CTL],"LL")</f>
        <v/>
      </c>
      <c r="AQ25" s="599">
        <f>+SUMIFS(wip[Stock(Net Wt)],wip[Bucket],scheduleapr[[#This Row],[Bucket]])/1000</f>
        <v/>
      </c>
      <c r="AR25" s="599">
        <f>AJ25-AN25</f>
        <v/>
      </c>
      <c r="AS25" s="118" t="n"/>
    </row>
    <row r="26">
      <c r="A26" s="594" t="n">
        <v>16</v>
      </c>
      <c r="B26" s="5" t="inlineStr">
        <is>
          <t>Hosur</t>
        </is>
      </c>
      <c r="C26" s="601" t="inlineStr">
        <is>
          <t>Balaji press product</t>
        </is>
      </c>
      <c r="D26" s="15" t="inlineStr">
        <is>
          <t>Balaji Press Product</t>
        </is>
      </c>
      <c r="E26" s="601" t="n">
        <v>189287</v>
      </c>
      <c r="F26" s="48" t="n">
        <v>2430128</v>
      </c>
      <c r="G26" s="601">
        <f>_xlfn.CONCAT(scheduleapr[[#This Row],[CUSTOMER CODE]],"-",scheduleapr[[#This Row],[MATERIAL NO]])</f>
        <v/>
      </c>
      <c r="H26" s="48" t="inlineStr">
        <is>
          <t>TUB-R-AW-AUT-50.00X30.00X1.600X1.1000</t>
        </is>
      </c>
      <c r="I26" s="601" t="inlineStr">
        <is>
          <t>ERW 1</t>
        </is>
      </c>
      <c r="J26" s="601" t="n"/>
      <c r="K26" s="601" t="inlineStr">
        <is>
          <t>FC</t>
        </is>
      </c>
      <c r="L26" s="601" t="inlineStr">
        <is>
          <t>HR</t>
        </is>
      </c>
      <c r="M26" s="601" t="inlineStr">
        <is>
          <t>HROP</t>
        </is>
      </c>
      <c r="N26" s="601" t="n"/>
      <c r="O26" s="601" t="n"/>
      <c r="P26" s="601" t="n"/>
      <c r="Q26" s="557">
        <f>CONCATENATE(scheduleapr[[#This Row],[OD]],"-",scheduleapr[[#This Row],[ID]],"-",scheduleapr[[#This Row],[TICKNESS]],"-",scheduleapr[[#This Row],[Grade]],"-",scheduleapr[[#This Row],[FC/NFC]])</f>
        <v/>
      </c>
      <c r="R26" s="557">
        <f>_xlfn.CONCAT(scheduleapr[[#This Row],[Bucket]],"-",scheduleapr[[#This Row],[LENGTH]]/1000)</f>
        <v/>
      </c>
      <c r="S26" s="557">
        <f>COUNTIF(scheduleapr[CTL Bucket],scheduleapr[[#This Row],[CTL Bucket]])</f>
        <v/>
      </c>
      <c r="T26" s="601" t="inlineStr">
        <is>
          <t>Hosur</t>
        </is>
      </c>
      <c r="U26" s="601">
        <f>_xlfn.IFNA(VLOOKUP(scheduleapr[[#This Row],[Bucket]],salesforecast[[#All],[Bucket2]:[8406 Stock]],19,0),0)</f>
        <v/>
      </c>
      <c r="V26" s="562">
        <f>_xlfn.IFNA(VLOOKUP(scheduleapr[[#This Row],[Bucket]],salesforecast[[#All],[Bucket2]:[8406 Stock]],20,0),0)+_xlfn.IFNA(VLOOKUP(scheduleapr[[#This Row],[Bucket]],salesforecast[[#All],[Bucket2]:[8406 Stock]],17,0),0)</f>
        <v/>
      </c>
      <c r="W26" s="557" t="n"/>
      <c r="X26" s="599" t="n">
        <v>50.8</v>
      </c>
      <c r="Y26" s="599" t="n">
        <v>50</v>
      </c>
      <c r="Z26" s="599" t="n">
        <v>30</v>
      </c>
      <c r="AA26" s="599" t="n">
        <v>1.6</v>
      </c>
      <c r="AB26" s="600" t="n">
        <v>1100</v>
      </c>
      <c r="AC26" s="600" t="inlineStr">
        <is>
          <t>NOS</t>
        </is>
      </c>
      <c r="AD26" s="600" t="inlineStr">
        <is>
          <t>Hosur Plant</t>
        </is>
      </c>
      <c r="AE26" s="600" t="n"/>
      <c r="AF26" s="601" t="n">
        <v>2000</v>
      </c>
      <c r="AG26" s="601" t="n"/>
      <c r="AH26" s="601">
        <f t="array" ref="AH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" s="602">
        <f>scheduleapr[[#This Row],[SCHEDULE in nos]]-scheduleapr[[#This Row],[DISPATCH]]</f>
        <v/>
      </c>
      <c r="AJ26" s="599">
        <f>(3.14*(scheduleapr[[#This Row],[ACTUAL OD]]-scheduleapr[[#This Row],[TICKNESS]])*scheduleapr[[#This Row],[TICKNESS]]*scheduleapr[[#This Row],[LENGTH]]*7.85)/1000000*scheduleapr[[#This Row],[SCHEDULE in nos]]/1000</f>
        <v/>
      </c>
      <c r="AK26" s="599">
        <f>(3.14*(scheduleapr[[#This Row],[ACTUAL OD]]-scheduleapr[[#This Row],[TICKNESS]])*scheduleapr[[#This Row],[TICKNESS]]*scheduleapr[[#This Row],[LENGTH]]*7.85)/1000000*scheduleapr[[#This Row],[DISPATCH]]/1000</f>
        <v/>
      </c>
      <c r="AL26" s="599">
        <f>AJ26-AK26</f>
        <v/>
      </c>
      <c r="AM26" s="599">
        <f>scheduleapr[[#This Row],[SCHEDULE in nos]]/scheduleapr[[#This Row],[SCHEDULE IN MT]]*scheduleapr[[#This Row],[CTL Stock]]</f>
        <v/>
      </c>
      <c r="AN26" s="599">
        <f>SUMIFS(stock[MT],stock[Bucket],scheduleapr[[#This Row],[Bucket]],stock[CTL Bucket],scheduleapr[[#This Row],[CTL Bucket]],stock[Plant],"0789")</f>
        <v/>
      </c>
      <c r="AO26" s="599" t="n"/>
      <c r="AP26" s="599">
        <f>SUMIFS(stock[MT],stock[Bucket],scheduleapr[[#This Row],[Bucket]],stock[LL or CTL],"LL")</f>
        <v/>
      </c>
      <c r="AQ26" s="599">
        <f>+SUMIFS(wip[Stock(Net Wt)],wip[Bucket],scheduleapr[[#This Row],[Bucket]])/1000</f>
        <v/>
      </c>
      <c r="AR26" s="599">
        <f>AJ26-AN26</f>
        <v/>
      </c>
      <c r="AS26" s="118" t="n"/>
    </row>
    <row r="27">
      <c r="A27" s="594" t="n">
        <v>26</v>
      </c>
      <c r="B27" s="5" t="inlineStr">
        <is>
          <t xml:space="preserve">Khopoli </t>
        </is>
      </c>
      <c r="C27" s="601" t="inlineStr">
        <is>
          <t>ELKAYEM AUTO</t>
        </is>
      </c>
      <c r="D27" s="601" t="inlineStr">
        <is>
          <t>ELKAYEM AUTO Hosur</t>
        </is>
      </c>
      <c r="E27" s="601" t="inlineStr">
        <is>
          <t>129663|948721</t>
        </is>
      </c>
      <c r="F27" s="601" t="n">
        <v>2410389</v>
      </c>
      <c r="G27" s="601">
        <f>_xlfn.CONCAT(scheduleapr[[#This Row],[CUSTOMER CODE]],"-",scheduleapr[[#This Row],[MATERIAL NO]])</f>
        <v/>
      </c>
      <c r="H27" s="601" t="inlineStr">
        <is>
          <t>TUB-O-C-AUT-AN-FC-14.00X1.600X04-05</t>
        </is>
      </c>
      <c r="I27" s="601" t="inlineStr">
        <is>
          <t>CEW</t>
        </is>
      </c>
      <c r="J27" s="601" t="n"/>
      <c r="K27" s="601" t="inlineStr">
        <is>
          <t>CEW</t>
        </is>
      </c>
      <c r="L27" s="601" t="inlineStr">
        <is>
          <t>CR</t>
        </is>
      </c>
      <c r="M27" s="601" t="inlineStr">
        <is>
          <t>KGR2</t>
        </is>
      </c>
      <c r="N27" s="601" t="n"/>
      <c r="O27" s="601" t="n"/>
      <c r="P27" s="601" t="n"/>
      <c r="Q27" s="557">
        <f>CONCATENATE(scheduleapr[[#This Row],[OD]],"-",scheduleapr[[#This Row],[ID]],"-",scheduleapr[[#This Row],[TICKNESS]],"-",scheduleapr[[#This Row],[Grade]],"-",scheduleapr[[#This Row],[FC/NFC]])</f>
        <v/>
      </c>
      <c r="R27" s="557">
        <f>_xlfn.CONCAT(scheduleapr[[#This Row],[Bucket]],"-",scheduleapr[[#This Row],[LENGTH]]/1000)</f>
        <v/>
      </c>
      <c r="S27" s="557">
        <f>COUNTIF([2]!buckets[CTL Bucket],[2]!scheduleapr[[#This Row],[CTL Bucket]])</f>
        <v/>
      </c>
      <c r="T27" s="601" t="inlineStr">
        <is>
          <t>Khopoli</t>
        </is>
      </c>
      <c r="U27" s="601" t="n"/>
      <c r="V27" s="557" t="n"/>
      <c r="W27" s="557" t="n"/>
      <c r="X27" s="599" t="n">
        <v>14</v>
      </c>
      <c r="Y27" s="599" t="n">
        <v>14</v>
      </c>
      <c r="Z27" s="599" t="n">
        <v>0</v>
      </c>
      <c r="AA27" s="599" t="n">
        <v>1.6</v>
      </c>
      <c r="AB27" s="600" t="n">
        <v>1000</v>
      </c>
      <c r="AC27" s="600" t="inlineStr">
        <is>
          <t>M</t>
        </is>
      </c>
      <c r="AD27" s="600" t="n"/>
      <c r="AE27" s="600" t="n"/>
      <c r="AF27" s="601" t="n"/>
      <c r="AG27" s="601" t="n"/>
      <c r="AH27" s="601">
        <f t="array" ref="AH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" s="602">
        <f>scheduleapr[[#This Row],[SCHEDULE in nos]]-scheduleapr[[#This Row],[DISPATCH]]</f>
        <v/>
      </c>
      <c r="AJ27" s="599">
        <f>(3.14*(scheduleapr[[#This Row],[ACTUAL OD]]-scheduleapr[[#This Row],[TICKNESS]])*scheduleapr[[#This Row],[TICKNESS]]*scheduleapr[[#This Row],[LENGTH]]*7.85)/1000000*scheduleapr[[#This Row],[SCHEDULE in nos]]/1000</f>
        <v/>
      </c>
      <c r="AK27" s="599">
        <f>(3.14*(scheduleapr[[#This Row],[ACTUAL OD]]-scheduleapr[[#This Row],[TICKNESS]])*scheduleapr[[#This Row],[TICKNESS]]*scheduleapr[[#This Row],[LENGTH]]*7.85)/1000000*scheduleapr[[#This Row],[DISPATCH]]/1000</f>
        <v/>
      </c>
      <c r="AL27" s="599">
        <f>AJ27-AK27</f>
        <v/>
      </c>
      <c r="AM27" s="599">
        <f>scheduleapr[[#This Row],[SCHEDULE in nos]]/scheduleapr[[#This Row],[SCHEDULE IN MT]]*scheduleapr[[#This Row],[CTL Stock]]</f>
        <v/>
      </c>
      <c r="AN27" s="599">
        <f>SUMIFS(stock[MT],stock[Bucket],scheduleapr[[#This Row],[Bucket]],stock[CTL Bucket],scheduleapr[[#This Row],[CTL Bucket]],stock[Plant],"0789")</f>
        <v/>
      </c>
      <c r="AO27" s="599" t="n"/>
      <c r="AP27" s="599">
        <f>SUMIFS(stock[MT],stock[Bucket],scheduleapr[[#This Row],[Bucket]],stock[LL or CTL],"LL")</f>
        <v/>
      </c>
      <c r="AQ27" s="599">
        <f>+SUMIFS(wip[Stock(Net Wt)],wip[Bucket],scheduleapr[[#This Row],[Bucket]])/1000</f>
        <v/>
      </c>
      <c r="AR27" s="599">
        <f>AJ27-AN27</f>
        <v/>
      </c>
      <c r="AS27" s="118" t="n"/>
    </row>
    <row r="28">
      <c r="A28" s="594" t="n">
        <v>31</v>
      </c>
      <c r="B28" s="5" t="inlineStr">
        <is>
          <t xml:space="preserve">Khopoli </t>
        </is>
      </c>
      <c r="C28" s="601" t="inlineStr">
        <is>
          <t>ELKAYEM AUTO</t>
        </is>
      </c>
      <c r="D28" s="601" t="inlineStr">
        <is>
          <t>ELKAYEM AUTO Hosur</t>
        </is>
      </c>
      <c r="E28" s="601" t="inlineStr">
        <is>
          <t>129663|948721</t>
        </is>
      </c>
      <c r="F28" s="601" t="n">
        <v>3188792</v>
      </c>
      <c r="G28" s="601">
        <f>_xlfn.CONCAT(scheduleapr[[#This Row],[CUSTOMER CODE]],"-",scheduleapr[[#This Row],[MATERIAL NO]])</f>
        <v/>
      </c>
      <c r="H28" s="601" t="inlineStr">
        <is>
          <t>TUB-O-C-AUT-AD-FC-16.00X2.800X04-06</t>
        </is>
      </c>
      <c r="I28" s="601" t="inlineStr">
        <is>
          <t>CEW</t>
        </is>
      </c>
      <c r="J28" s="601" t="n"/>
      <c r="K28" s="601" t="inlineStr">
        <is>
          <t>CEW</t>
        </is>
      </c>
      <c r="L28" s="601" t="inlineStr">
        <is>
          <t>HR</t>
        </is>
      </c>
      <c r="M28" s="601" t="n"/>
      <c r="N28" s="601" t="n"/>
      <c r="O28" s="601" t="n"/>
      <c r="P28" s="601" t="n"/>
      <c r="Q28" s="557">
        <f>CONCATENATE(scheduleapr[[#This Row],[OD]],"-",scheduleapr[[#This Row],[ID]],"-",scheduleapr[[#This Row],[TICKNESS]],"-",scheduleapr[[#This Row],[Grade]],"-",scheduleapr[[#This Row],[FC/NFC]])</f>
        <v/>
      </c>
      <c r="R28" s="557">
        <f>_xlfn.CONCAT(scheduleapr[[#This Row],[Bucket]],"-",scheduleapr[[#This Row],[LENGTH]]/1000)</f>
        <v/>
      </c>
      <c r="S28" s="557">
        <f>COUNTIF(scheduleapr[CTL Bucket],scheduleapr[[#This Row],[CTL Bucket]])</f>
        <v/>
      </c>
      <c r="T28" s="601" t="inlineStr">
        <is>
          <t>Khopoli</t>
        </is>
      </c>
      <c r="U28" s="601" t="n"/>
      <c r="V28" s="557" t="n"/>
      <c r="W28" s="557" t="n"/>
      <c r="X28" s="599" t="n">
        <v>16.1</v>
      </c>
      <c r="Y28" s="599" t="n">
        <v>16.1</v>
      </c>
      <c r="Z28" s="599" t="n">
        <v>0</v>
      </c>
      <c r="AA28" s="599" t="n">
        <v>2.8</v>
      </c>
      <c r="AB28" s="600" t="n">
        <v>1000</v>
      </c>
      <c r="AC28" s="600" t="inlineStr">
        <is>
          <t>M</t>
        </is>
      </c>
      <c r="AD28" s="600" t="n"/>
      <c r="AE28" s="600" t="n"/>
      <c r="AF28" s="601" t="n"/>
      <c r="AG28" s="601" t="n"/>
      <c r="AH28" s="601">
        <f t="array" ref="AH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" s="602">
        <f>scheduleapr[[#This Row],[SCHEDULE in nos]]-scheduleapr[[#This Row],[DISPATCH]]</f>
        <v/>
      </c>
      <c r="AJ28" s="599">
        <f>(3.14*(scheduleapr[[#This Row],[ACTUAL OD]]-scheduleapr[[#This Row],[TICKNESS]])*scheduleapr[[#This Row],[TICKNESS]]*scheduleapr[[#This Row],[LENGTH]]*7.85)/1000000*scheduleapr[[#This Row],[SCHEDULE in nos]]/1000</f>
        <v/>
      </c>
      <c r="AK28" s="599">
        <f>(3.14*(scheduleapr[[#This Row],[ACTUAL OD]]-scheduleapr[[#This Row],[TICKNESS]])*scheduleapr[[#This Row],[TICKNESS]]*scheduleapr[[#This Row],[LENGTH]]*7.85)/1000000*scheduleapr[[#This Row],[DISPATCH]]/1000</f>
        <v/>
      </c>
      <c r="AL28" s="599">
        <f>AJ28-AK28</f>
        <v/>
      </c>
      <c r="AM28" s="599">
        <f>scheduleapr[[#This Row],[SCHEDULE in nos]]/scheduleapr[[#This Row],[SCHEDULE IN MT]]*scheduleapr[[#This Row],[CTL Stock]]</f>
        <v/>
      </c>
      <c r="AN28" s="599">
        <f>SUMIFS(stock[MT],stock[Bucket],scheduleapr[[#This Row],[Bucket]],stock[CTL Bucket],scheduleapr[[#This Row],[CTL Bucket]],stock[Plant],"0789")</f>
        <v/>
      </c>
      <c r="AO28" s="599" t="n"/>
      <c r="AP28" s="599">
        <f>SUMIFS(stock[MT],stock[Bucket],scheduleapr[[#This Row],[Bucket]],stock[LL or CTL],"LL")</f>
        <v/>
      </c>
      <c r="AQ28" s="599">
        <f>+SUMIFS(wip[Stock(Net Wt)],wip[Bucket],scheduleapr[[#This Row],[Bucket]])/1000</f>
        <v/>
      </c>
      <c r="AR28" s="599">
        <f>AJ28-AN28</f>
        <v/>
      </c>
      <c r="AS28" s="118" t="n"/>
    </row>
    <row r="29">
      <c r="A29" s="594" t="n">
        <v>32</v>
      </c>
      <c r="B29" s="5" t="inlineStr">
        <is>
          <t>Hosur</t>
        </is>
      </c>
      <c r="C29" s="601" t="inlineStr">
        <is>
          <t>ELKAYEM AUTO</t>
        </is>
      </c>
      <c r="D29" s="601" t="inlineStr">
        <is>
          <t>ELKAYEM AUTO Hosur</t>
        </is>
      </c>
      <c r="E29" s="601" t="inlineStr">
        <is>
          <t>129663|948721</t>
        </is>
      </c>
      <c r="F29" s="48" t="n">
        <v>2410995</v>
      </c>
      <c r="G29" s="601">
        <f>_xlfn.CONCAT(scheduleapr[[#This Row],[CUSTOMER CODE]],"-",scheduleapr[[#This Row],[MATERIAL NO]])</f>
        <v/>
      </c>
      <c r="H29" s="48" t="inlineStr">
        <is>
          <t>TUB-O-C-AUT-AD-FC-16.10X2.950X04-05</t>
        </is>
      </c>
      <c r="I29" s="601" t="inlineStr">
        <is>
          <t>CEW</t>
        </is>
      </c>
      <c r="J29" s="601" t="n"/>
      <c r="K29" s="601" t="inlineStr">
        <is>
          <t>CEW</t>
        </is>
      </c>
      <c r="L29" s="601" t="inlineStr">
        <is>
          <t>HR</t>
        </is>
      </c>
      <c r="M29" s="601" t="n"/>
      <c r="N29" s="601" t="n"/>
      <c r="O29" s="601" t="n"/>
      <c r="P29" s="601" t="n"/>
      <c r="Q29" s="557">
        <f>CONCATENATE(scheduleapr[[#This Row],[OD]],"-",scheduleapr[[#This Row],[ID]],"-",scheduleapr[[#This Row],[TICKNESS]],"-",scheduleapr[[#This Row],[Grade]],"-",scheduleapr[[#This Row],[FC/NFC]])</f>
        <v/>
      </c>
      <c r="R29" s="557">
        <f>_xlfn.CONCAT(scheduleapr[[#This Row],[Bucket]],"-",scheduleapr[[#This Row],[LENGTH]]/1000)</f>
        <v/>
      </c>
      <c r="S29" s="557">
        <f>COUNTIF(scheduleapr[CTL Bucket],scheduleapr[[#This Row],[CTL Bucket]])</f>
        <v/>
      </c>
      <c r="T29" s="601" t="inlineStr">
        <is>
          <t>Khopoli</t>
        </is>
      </c>
      <c r="U29" s="601" t="n"/>
      <c r="V29" s="557" t="n"/>
      <c r="W29" s="557" t="n"/>
      <c r="X29" s="599" t="n">
        <v>16.1</v>
      </c>
      <c r="Y29" s="599" t="n">
        <v>16.1</v>
      </c>
      <c r="Z29" s="599" t="n">
        <v>10.7</v>
      </c>
      <c r="AA29" s="599" t="n">
        <v>2.95</v>
      </c>
      <c r="AB29" s="600" t="n">
        <v>1000</v>
      </c>
      <c r="AC29" s="600" t="inlineStr">
        <is>
          <t>M</t>
        </is>
      </c>
      <c r="AD29" s="600" t="n"/>
      <c r="AE29" s="600" t="n"/>
      <c r="AF29" s="601" t="n"/>
      <c r="AG29" s="601" t="n"/>
      <c r="AH29" s="601">
        <f t="array" ref="AH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" s="602">
        <f>scheduleapr[[#This Row],[SCHEDULE in nos]]-scheduleapr[[#This Row],[DISPATCH]]</f>
        <v/>
      </c>
      <c r="AJ29" s="599">
        <f>(3.14*(scheduleapr[[#This Row],[ACTUAL OD]]-scheduleapr[[#This Row],[TICKNESS]])*scheduleapr[[#This Row],[TICKNESS]]*scheduleapr[[#This Row],[LENGTH]]*7.85)/1000000*scheduleapr[[#This Row],[SCHEDULE in nos]]/1000</f>
        <v/>
      </c>
      <c r="AK29" s="599">
        <f>(3.14*(scheduleapr[[#This Row],[ACTUAL OD]]-scheduleapr[[#This Row],[TICKNESS]])*scheduleapr[[#This Row],[TICKNESS]]*scheduleapr[[#This Row],[LENGTH]]*7.85)/1000000*scheduleapr[[#This Row],[DISPATCH]]/1000</f>
        <v/>
      </c>
      <c r="AL29" s="599">
        <f>AJ29-AK29</f>
        <v/>
      </c>
      <c r="AM29" s="599">
        <f>scheduleapr[[#This Row],[SCHEDULE in nos]]/scheduleapr[[#This Row],[SCHEDULE IN MT]]*scheduleapr[[#This Row],[CTL Stock]]</f>
        <v/>
      </c>
      <c r="AN29" s="599">
        <f>SUMIFS(stock[MT],stock[Bucket],scheduleapr[[#This Row],[Bucket]],stock[CTL Bucket],scheduleapr[[#This Row],[CTL Bucket]],stock[Plant],"0789")</f>
        <v/>
      </c>
      <c r="AO29" s="599" t="n"/>
      <c r="AP29" s="599">
        <f>SUMIFS(stock[MT],stock[Bucket],scheduleapr[[#This Row],[Bucket]],stock[LL or CTL],"LL")</f>
        <v/>
      </c>
      <c r="AQ29" s="599">
        <f>+SUMIFS(wip[Stock(Net Wt)],wip[Bucket],scheduleapr[[#This Row],[Bucket]])/1000</f>
        <v/>
      </c>
      <c r="AR29" s="599">
        <f>AJ29-AN29</f>
        <v/>
      </c>
      <c r="AS29" s="118" t="n"/>
    </row>
    <row r="30">
      <c r="A30" s="594" t="n">
        <v>86</v>
      </c>
      <c r="B30" s="5" t="inlineStr">
        <is>
          <t xml:space="preserve">Khopoli </t>
        </is>
      </c>
      <c r="C30" s="601" t="inlineStr">
        <is>
          <t>ELKAYEM AUTO</t>
        </is>
      </c>
      <c r="D30" s="601" t="inlineStr">
        <is>
          <t>ELKAYEM AUTO Hosur</t>
        </is>
      </c>
      <c r="E30" s="601" t="inlineStr">
        <is>
          <t>129663|948721</t>
        </is>
      </c>
      <c r="F30" s="601" t="n">
        <v>1931823</v>
      </c>
      <c r="G30" s="601">
        <f>_xlfn.CONCAT(scheduleapr[[#This Row],[CUSTOMER CODE]],"-",scheduleapr[[#This Row],[MATERIAL NO]])</f>
        <v/>
      </c>
      <c r="H30" s="601" t="inlineStr">
        <is>
          <t>TUB-O-N-AUT-AW-PE-17.30X1.600X6.0000</t>
        </is>
      </c>
      <c r="I30" s="601" t="inlineStr">
        <is>
          <t>CEW</t>
        </is>
      </c>
      <c r="J30" s="601" t="n"/>
      <c r="K30" s="601" t="n"/>
      <c r="L30" s="601" t="inlineStr">
        <is>
          <t>HR</t>
        </is>
      </c>
      <c r="M30" s="601" t="n"/>
      <c r="N30" s="601" t="n"/>
      <c r="O30" s="601" t="n"/>
      <c r="P30" s="601" t="n"/>
      <c r="Q30" s="557">
        <f>CONCATENATE(scheduleapr[[#This Row],[OD]],"-",scheduleapr[[#This Row],[ID]],"-",scheduleapr[[#This Row],[TICKNESS]],"-",scheduleapr[[#This Row],[Grade]],"-",scheduleapr[[#This Row],[FC/NFC]])</f>
        <v/>
      </c>
      <c r="R30" s="557">
        <f>_xlfn.CONCAT(scheduleapr[[#This Row],[Bucket]],"-",scheduleapr[[#This Row],[LENGTH]]/1000)</f>
        <v/>
      </c>
      <c r="S30" s="557">
        <f>COUNTIF([2]!buckets[CTL Bucket],[2]!scheduleapr[[#This Row],[CTL Bucket]])</f>
        <v/>
      </c>
      <c r="T30" s="557" t="n"/>
      <c r="U30" s="557" t="n"/>
      <c r="V30" s="557" t="n"/>
      <c r="W30" s="557" t="n"/>
      <c r="X30" s="599" t="n">
        <v>17.3</v>
      </c>
      <c r="Y30" s="599" t="n">
        <v>17.3</v>
      </c>
      <c r="Z30" s="599" t="n">
        <v>0</v>
      </c>
      <c r="AA30" s="599" t="n">
        <v>1.6</v>
      </c>
      <c r="AB30" s="600" t="n">
        <v>6000</v>
      </c>
      <c r="AC30" s="600" t="inlineStr">
        <is>
          <t>NOS</t>
        </is>
      </c>
      <c r="AD30" s="600" t="n"/>
      <c r="AE30" s="600" t="n"/>
      <c r="AF30" s="600" t="n"/>
      <c r="AG30" s="600" t="n"/>
      <c r="AH30" s="601">
        <f t="array" ref="AH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" s="602">
        <f>scheduleapr[[#This Row],[SCHEDULE in nos]]-scheduleapr[[#This Row],[DISPATCH]]</f>
        <v/>
      </c>
      <c r="AJ30" s="599">
        <f>(3.14*(scheduleapr[[#This Row],[ACTUAL OD]]-scheduleapr[[#This Row],[TICKNESS]])*scheduleapr[[#This Row],[TICKNESS]]*scheduleapr[[#This Row],[LENGTH]]*7.85)/1000000*scheduleapr[[#This Row],[SCHEDULE in nos]]/1000</f>
        <v/>
      </c>
      <c r="AK30" s="599">
        <f>(3.14*(scheduleapr[[#This Row],[ACTUAL OD]]-scheduleapr[[#This Row],[TICKNESS]])*scheduleapr[[#This Row],[TICKNESS]]*scheduleapr[[#This Row],[LENGTH]]*7.85)/1000000*scheduleapr[[#This Row],[DISPATCH]]/1000</f>
        <v/>
      </c>
      <c r="AL30" s="599">
        <f>AJ30-AK30</f>
        <v/>
      </c>
      <c r="AM30" s="599">
        <f>scheduleapr[[#This Row],[SCHEDULE in nos]]/scheduleapr[[#This Row],[SCHEDULE IN MT]]*scheduleapr[[#This Row],[CTL Stock]]</f>
        <v/>
      </c>
      <c r="AN30" s="599">
        <f>SUMIFS(stock[MT],stock[Bucket],scheduleapr[[#This Row],[Bucket]],stock[CTL Bucket],scheduleapr[[#This Row],[CTL Bucket]],stock[Plant],"0789")</f>
        <v/>
      </c>
      <c r="AO30" s="599" t="n"/>
      <c r="AP30" s="599">
        <f>SUMIFS(stock[MT],stock[Bucket],scheduleapr[[#This Row],[Bucket]],stock[LL or CTL],"LL")</f>
        <v/>
      </c>
      <c r="AQ30" s="599">
        <f>+SUMIFS(wip[Stock(Net Wt)],wip[Bucket],scheduleapr[[#This Row],[Bucket]])/1000</f>
        <v/>
      </c>
      <c r="AR30" s="599">
        <f>AJ30-AN30</f>
        <v/>
      </c>
      <c r="AS30" s="118" t="n"/>
    </row>
    <row r="31">
      <c r="A31" s="594" t="n">
        <v>59</v>
      </c>
      <c r="B31" s="5" t="inlineStr">
        <is>
          <t xml:space="preserve">Khopoli </t>
        </is>
      </c>
      <c r="C31" s="601" t="inlineStr">
        <is>
          <t>ELKAYEM AUTO</t>
        </is>
      </c>
      <c r="D31" s="601" t="inlineStr">
        <is>
          <t>ELKAYEM AUTO Hosur</t>
        </is>
      </c>
      <c r="E31" s="601" t="inlineStr">
        <is>
          <t>129663|948721</t>
        </is>
      </c>
      <c r="F31" s="601" t="n">
        <v>3617058</v>
      </c>
      <c r="G31" s="601">
        <f>_xlfn.CONCAT(scheduleapr[[#This Row],[CUSTOMER CODE]],"-",scheduleapr[[#This Row],[MATERIAL NO]])</f>
        <v/>
      </c>
      <c r="H31" s="601" t="inlineStr">
        <is>
          <t>TUB-O-C-AUT-AD-FC-28.60X2.650X0.2090</t>
        </is>
      </c>
      <c r="I31" s="601" t="inlineStr">
        <is>
          <t>CEW</t>
        </is>
      </c>
      <c r="J31" s="601" t="n"/>
      <c r="K31" s="601" t="inlineStr">
        <is>
          <t>CEW</t>
        </is>
      </c>
      <c r="L31" s="601" t="inlineStr">
        <is>
          <t>HR</t>
        </is>
      </c>
      <c r="M31" s="601" t="n"/>
      <c r="N31" s="601" t="n"/>
      <c r="O31" s="601" t="n"/>
      <c r="P31" s="601" t="n"/>
      <c r="Q31" s="557">
        <f>CONCATENATE(scheduleapr[[#This Row],[OD]],"-",scheduleapr[[#This Row],[ID]],"-",scheduleapr[[#This Row],[TICKNESS]],"-",scheduleapr[[#This Row],[Grade]],"-",scheduleapr[[#This Row],[FC/NFC]])</f>
        <v/>
      </c>
      <c r="R31" s="557">
        <f>_xlfn.CONCAT(scheduleapr[[#This Row],[Bucket]],"-",scheduleapr[[#This Row],[LENGTH]]/1000)</f>
        <v/>
      </c>
      <c r="S31" s="557">
        <f>COUNTIF(scheduleapr[CTL Bucket],scheduleapr[[#This Row],[CTL Bucket]])</f>
        <v/>
      </c>
      <c r="T31" s="601" t="inlineStr">
        <is>
          <t>Khopoli</t>
        </is>
      </c>
      <c r="U31" s="601">
        <f>_xlfn.IFNA(VLOOKUP(scheduleapr[[#This Row],[Bucket]],salesforecast[[#All],[Bucket2]:[8406 Stock]],19,0),0)</f>
        <v/>
      </c>
      <c r="V31" s="562">
        <f>_xlfn.IFNA(VLOOKUP(scheduleapr[[#This Row],[Bucket]],salesforecast[[#All],[Bucket2]:[8406 Stock]],20,0),0)+_xlfn.IFNA(VLOOKUP(scheduleapr[[#This Row],[Bucket]],salesforecast[[#All],[Bucket2]:[8406 Stock]],17,0),0)</f>
        <v/>
      </c>
      <c r="W31" s="557" t="n"/>
      <c r="X31" s="599" t="n">
        <v>28.6</v>
      </c>
      <c r="Y31" s="599" t="n">
        <v>28.6</v>
      </c>
      <c r="Z31" s="599" t="n">
        <v>0</v>
      </c>
      <c r="AA31" s="599" t="n">
        <v>2.65</v>
      </c>
      <c r="AB31" s="600" t="n">
        <v>209</v>
      </c>
      <c r="AC31" s="600" t="inlineStr">
        <is>
          <t>NOS</t>
        </is>
      </c>
      <c r="AD31" s="600" t="n"/>
      <c r="AE31" s="600" t="n"/>
      <c r="AF31" s="601" t="n">
        <v>10000</v>
      </c>
      <c r="AG31" s="601" t="n"/>
      <c r="AH31" s="601">
        <f t="array" ref="AH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" s="602">
        <f>scheduleapr[[#This Row],[SCHEDULE in nos]]-scheduleapr[[#This Row],[DISPATCH]]</f>
        <v/>
      </c>
      <c r="AJ31" s="599">
        <f>(3.14*(scheduleapr[[#This Row],[ACTUAL OD]]-scheduleapr[[#This Row],[TICKNESS]])*scheduleapr[[#This Row],[TICKNESS]]*scheduleapr[[#This Row],[LENGTH]]*7.85)/1000000*scheduleapr[[#This Row],[SCHEDULE in nos]]/1000</f>
        <v/>
      </c>
      <c r="AK31" s="599">
        <f>(3.14*(scheduleapr[[#This Row],[ACTUAL OD]]-scheduleapr[[#This Row],[TICKNESS]])*scheduleapr[[#This Row],[TICKNESS]]*scheduleapr[[#This Row],[LENGTH]]*7.85)/1000000*scheduleapr[[#This Row],[DISPATCH]]/1000</f>
        <v/>
      </c>
      <c r="AL31" s="599">
        <f>AJ31-AK31</f>
        <v/>
      </c>
      <c r="AM31" s="599">
        <f>scheduleapr[[#This Row],[SCHEDULE in nos]]/scheduleapr[[#This Row],[SCHEDULE IN MT]]*scheduleapr[[#This Row],[CTL Stock]]</f>
        <v/>
      </c>
      <c r="AN31" s="599">
        <f>SUMIFS(stock[MT],stock[Bucket],scheduleapr[[#This Row],[Bucket]],stock[CTL Bucket],scheduleapr[[#This Row],[CTL Bucket]],stock[Plant],"0789")</f>
        <v/>
      </c>
      <c r="AO31" s="599" t="n"/>
      <c r="AP31" s="599">
        <f>SUMIFS(stock[MT],stock[Bucket],scheduleapr[[#This Row],[Bucket]],stock[LL or CTL],"LL")</f>
        <v/>
      </c>
      <c r="AQ31" s="599">
        <f>+SUMIFS(wip[Stock(Net Wt)],wip[Bucket],scheduleapr[[#This Row],[Bucket]])/1000</f>
        <v/>
      </c>
      <c r="AR31" s="599">
        <f>AJ31-AN31</f>
        <v/>
      </c>
      <c r="AS31" s="118" t="n"/>
    </row>
    <row r="32">
      <c r="A32" s="594" t="n"/>
      <c r="B32" s="5" t="inlineStr">
        <is>
          <t xml:space="preserve">Khopoli </t>
        </is>
      </c>
      <c r="C32" s="601" t="inlineStr">
        <is>
          <t>ELKAYEM AUTO</t>
        </is>
      </c>
      <c r="D32" s="601" t="inlineStr">
        <is>
          <t>ELKAYEM AUTO Hosur</t>
        </is>
      </c>
      <c r="E32" s="601" t="inlineStr">
        <is>
          <t>129663|948721</t>
        </is>
      </c>
      <c r="F32" s="601" t="n"/>
      <c r="G32" s="601">
        <f>_xlfn.CONCAT(scheduleapr[[#This Row],[CUSTOMER CODE]],"-",scheduleapr[[#This Row],[MATERIAL NO]])</f>
        <v/>
      </c>
      <c r="H32" s="601" t="n"/>
      <c r="I32" s="601" t="inlineStr">
        <is>
          <t>CEW</t>
        </is>
      </c>
      <c r="J32" s="601" t="n"/>
      <c r="K32" s="601" t="n"/>
      <c r="L32" s="601" t="n"/>
      <c r="M32" s="596" t="n"/>
      <c r="N32" s="601" t="n"/>
      <c r="O32" s="601" t="n"/>
      <c r="P32" s="601" t="n"/>
      <c r="Q32" s="601" t="n"/>
      <c r="R32" s="601" t="n"/>
      <c r="S32" s="601" t="n"/>
      <c r="T32" s="601" t="n"/>
      <c r="U32" s="601" t="n"/>
      <c r="V32" s="598" t="n"/>
      <c r="W32" s="601" t="n"/>
      <c r="X32" s="599" t="n">
        <v>28.6</v>
      </c>
      <c r="Y32" s="599" t="n">
        <v>28.6</v>
      </c>
      <c r="Z32" s="599" t="n">
        <v>0</v>
      </c>
      <c r="AA32" s="599" t="n">
        <v>2.6</v>
      </c>
      <c r="AB32" s="600" t="n">
        <v>284</v>
      </c>
      <c r="AC32" s="600" t="inlineStr">
        <is>
          <t>NOS</t>
        </is>
      </c>
      <c r="AD32" s="600" t="n"/>
      <c r="AE32" s="600" t="n"/>
      <c r="AF32" s="601" t="n">
        <v>2500</v>
      </c>
      <c r="AG32" s="601" t="n"/>
      <c r="AH32" s="601">
        <f t="array" ref="AH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" s="602">
        <f>scheduleapr[[#This Row],[SCHEDULE in nos]]-scheduleapr[[#This Row],[DISPATCH]]</f>
        <v/>
      </c>
      <c r="AJ32" s="599">
        <f>(3.14*(scheduleapr[[#This Row],[ACTUAL OD]]-scheduleapr[[#This Row],[TICKNESS]])*scheduleapr[[#This Row],[TICKNESS]]*scheduleapr[[#This Row],[LENGTH]]*7.85)/1000000*scheduleapr[[#This Row],[SCHEDULE in nos]]/1000</f>
        <v/>
      </c>
      <c r="AK32" s="599">
        <f>(3.14*(scheduleapr[[#This Row],[ACTUAL OD]]-scheduleapr[[#This Row],[TICKNESS]])*scheduleapr[[#This Row],[TICKNESS]]*scheduleapr[[#This Row],[LENGTH]]*7.85)/1000000*scheduleapr[[#This Row],[DISPATCH]]/1000</f>
        <v/>
      </c>
      <c r="AL32" s="599">
        <f>AJ32-AK32</f>
        <v/>
      </c>
      <c r="AM32" s="599">
        <f>scheduleapr[[#This Row],[SCHEDULE in nos]]/scheduleapr[[#This Row],[SCHEDULE IN MT]]*scheduleapr[[#This Row],[CTL Stock]]</f>
        <v/>
      </c>
      <c r="AN32" s="599">
        <f>SUMIFS(stock[MT],stock[Bucket],scheduleapr[[#This Row],[Bucket]],stock[CTL Bucket],scheduleapr[[#This Row],[CTL Bucket]],stock[Plant],"0789")</f>
        <v/>
      </c>
      <c r="AO32" s="599" t="n"/>
      <c r="AP32" s="599">
        <f>SUMIFS(stock[MT],stock[Bucket],scheduleapr[[#This Row],[Bucket]],stock[LL or CTL],"LL")</f>
        <v/>
      </c>
      <c r="AQ32" s="599">
        <f>+SUMIFS(wip[Stock(Net Wt)],wip[Bucket],scheduleapr[[#This Row],[Bucket]])/1000</f>
        <v/>
      </c>
      <c r="AR32" s="599">
        <f>AJ32-AN32</f>
        <v/>
      </c>
      <c r="AS32" s="118" t="n"/>
    </row>
    <row r="33">
      <c r="A33" s="594" t="n">
        <v>60</v>
      </c>
      <c r="B33" s="5" t="inlineStr">
        <is>
          <t xml:space="preserve">Khopoli </t>
        </is>
      </c>
      <c r="C33" s="601" t="inlineStr">
        <is>
          <t>ELKAYEM AUTO</t>
        </is>
      </c>
      <c r="D33" s="601" t="inlineStr">
        <is>
          <t>ELKAYEM AUTO Hosur</t>
        </is>
      </c>
      <c r="E33" s="601" t="inlineStr">
        <is>
          <t>129663|948721</t>
        </is>
      </c>
      <c r="F33" s="601" t="n">
        <v>2410388</v>
      </c>
      <c r="G33" s="601">
        <f>_xlfn.CONCAT(scheduleapr[[#This Row],[CUSTOMER CODE]],"-",scheduleapr[[#This Row],[MATERIAL NO]])</f>
        <v/>
      </c>
      <c r="H33" s="601" t="inlineStr">
        <is>
          <t>TUB-O-C-AUT-AD-FC-28.60X2.650X04-05</t>
        </is>
      </c>
      <c r="I33" s="601" t="inlineStr">
        <is>
          <t>CEW</t>
        </is>
      </c>
      <c r="J33" s="601" t="n"/>
      <c r="K33" s="601" t="inlineStr">
        <is>
          <t>CEW</t>
        </is>
      </c>
      <c r="L33" s="601" t="inlineStr">
        <is>
          <t>HR</t>
        </is>
      </c>
      <c r="M33" s="601" t="n"/>
      <c r="N33" s="601" t="n"/>
      <c r="O33" s="601" t="n"/>
      <c r="P33" s="601" t="n"/>
      <c r="Q33" s="557">
        <f>CONCATENATE(scheduleapr[[#This Row],[OD]],"-",scheduleapr[[#This Row],[ID]],"-",scheduleapr[[#This Row],[TICKNESS]],"-",scheduleapr[[#This Row],[Grade]],"-",scheduleapr[[#This Row],[FC/NFC]])</f>
        <v/>
      </c>
      <c r="R33" s="557">
        <f>_xlfn.CONCAT(scheduleapr[[#This Row],[Bucket]],"-",scheduleapr[[#This Row],[LENGTH]]/1000)</f>
        <v/>
      </c>
      <c r="S33" s="557">
        <f>COUNTIF(scheduleapr[CTL Bucket],scheduleapr[[#This Row],[CTL Bucket]])</f>
        <v/>
      </c>
      <c r="T33" s="601" t="inlineStr">
        <is>
          <t>Khopoli</t>
        </is>
      </c>
      <c r="U33" s="601">
        <f>_xlfn.IFNA(VLOOKUP(scheduleapr[[#This Row],[Bucket]],salesforecast[[#All],[Bucket2]:[8406 Stock]],19,0),0)</f>
        <v/>
      </c>
      <c r="V33" s="562">
        <f>_xlfn.IFNA(VLOOKUP(scheduleapr[[#This Row],[Bucket]],salesforecast[[#All],[Bucket2]:[8406 Stock]],20,0),0)+_xlfn.IFNA(VLOOKUP(scheduleapr[[#This Row],[Bucket]],salesforecast[[#All],[Bucket2]:[8406 Stock]],17,0),0)</f>
        <v/>
      </c>
      <c r="W33" s="557" t="n"/>
      <c r="X33" s="599" t="n">
        <v>28.6</v>
      </c>
      <c r="Y33" s="599" t="n">
        <v>28.6</v>
      </c>
      <c r="Z33" s="599" t="n">
        <v>0</v>
      </c>
      <c r="AA33" s="599" t="n">
        <v>2.65</v>
      </c>
      <c r="AB33" s="600" t="n">
        <v>1000</v>
      </c>
      <c r="AC33" s="600" t="inlineStr">
        <is>
          <t>M</t>
        </is>
      </c>
      <c r="AD33" s="600" t="n"/>
      <c r="AE33" s="600" t="n"/>
      <c r="AF33" s="601" t="n">
        <v>6000</v>
      </c>
      <c r="AG33" s="601" t="n"/>
      <c r="AH33" s="601">
        <f t="array" ref="AH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" s="602">
        <f>scheduleapr[[#This Row],[SCHEDULE in nos]]-scheduleapr[[#This Row],[DISPATCH]]</f>
        <v/>
      </c>
      <c r="AJ33" s="599">
        <f>(3.14*(scheduleapr[[#This Row],[ACTUAL OD]]-scheduleapr[[#This Row],[TICKNESS]])*scheduleapr[[#This Row],[TICKNESS]]*scheduleapr[[#This Row],[LENGTH]]*7.85)/1000000*scheduleapr[[#This Row],[SCHEDULE in nos]]/1000</f>
        <v/>
      </c>
      <c r="AK33" s="599">
        <f>(3.14*(scheduleapr[[#This Row],[ACTUAL OD]]-scheduleapr[[#This Row],[TICKNESS]])*scheduleapr[[#This Row],[TICKNESS]]*scheduleapr[[#This Row],[LENGTH]]*7.85)/1000000*scheduleapr[[#This Row],[DISPATCH]]/1000</f>
        <v/>
      </c>
      <c r="AL33" s="599">
        <f>AJ33-AK33</f>
        <v/>
      </c>
      <c r="AM33" s="599">
        <f>scheduleapr[[#This Row],[SCHEDULE in nos]]/scheduleapr[[#This Row],[SCHEDULE IN MT]]*scheduleapr[[#This Row],[CTL Stock]]</f>
        <v/>
      </c>
      <c r="AN33" s="599">
        <f>SUMIFS(stock[MT],stock[Bucket],scheduleapr[[#This Row],[Bucket]],stock[CTL Bucket],scheduleapr[[#This Row],[CTL Bucket]],stock[Plant],"0789")</f>
        <v/>
      </c>
      <c r="AO33" s="599" t="n"/>
      <c r="AP33" s="599">
        <f>SUMIFS(stock[MT],stock[Bucket],scheduleapr[[#This Row],[Bucket]],stock[LL or CTL],"LL")</f>
        <v/>
      </c>
      <c r="AQ33" s="599">
        <f>+SUMIFS(wip[Stock(Net Wt)],wip[Bucket],scheduleapr[[#This Row],[Bucket]])/1000</f>
        <v/>
      </c>
      <c r="AR33" s="599">
        <f>AJ33-AN33</f>
        <v/>
      </c>
      <c r="AS33" s="118" t="n"/>
    </row>
    <row r="34">
      <c r="A34" s="594" t="n">
        <v>63</v>
      </c>
      <c r="B34" s="5" t="inlineStr">
        <is>
          <t xml:space="preserve">Khopoli </t>
        </is>
      </c>
      <c r="C34" s="601" t="inlineStr">
        <is>
          <t>ELKAYEM AUTO</t>
        </is>
      </c>
      <c r="D34" s="601" t="inlineStr">
        <is>
          <t>ELKAYEM AUTO Hosur</t>
        </is>
      </c>
      <c r="E34" s="601" t="inlineStr">
        <is>
          <t>129663|948721</t>
        </is>
      </c>
      <c r="F34" s="601" t="n">
        <v>2426240</v>
      </c>
      <c r="G34" s="601">
        <f>_xlfn.CONCAT(scheduleapr[[#This Row],[CUSTOMER CODE]],"-",scheduleapr[[#This Row],[MATERIAL NO]])</f>
        <v/>
      </c>
      <c r="H34" s="601" t="inlineStr">
        <is>
          <t>TUB-O-C-AUT-AD-FC-29.28X3.400X3.5000</t>
        </is>
      </c>
      <c r="I34" s="601" t="inlineStr">
        <is>
          <t>CEW</t>
        </is>
      </c>
      <c r="J34" s="601" t="n"/>
      <c r="K34" s="601" t="inlineStr">
        <is>
          <t>CEW</t>
        </is>
      </c>
      <c r="L34" s="601" t="inlineStr">
        <is>
          <t>HR</t>
        </is>
      </c>
      <c r="M34" s="601" t="n"/>
      <c r="N34" s="601" t="n"/>
      <c r="O34" s="601" t="n"/>
      <c r="P34" s="601" t="n"/>
      <c r="Q34" s="557">
        <f>CONCATENATE(scheduleapr[[#This Row],[OD]],"-",scheduleapr[[#This Row],[ID]],"-",scheduleapr[[#This Row],[TICKNESS]],"-",scheduleapr[[#This Row],[Grade]],"-",scheduleapr[[#This Row],[FC/NFC]])</f>
        <v/>
      </c>
      <c r="R34" s="557">
        <f>_xlfn.CONCAT(scheduleapr[[#This Row],[Bucket]],"-",scheduleapr[[#This Row],[LENGTH]]/1000)</f>
        <v/>
      </c>
      <c r="S34" s="557">
        <f>COUNTIF(scheduleapr[CTL Bucket],scheduleapr[[#This Row],[CTL Bucket]])</f>
        <v/>
      </c>
      <c r="T34" s="601" t="n"/>
      <c r="U34" s="601">
        <f>_xlfn.IFNA(VLOOKUP(scheduleapr[[#This Row],[Bucket]],salesforecast[[#All],[Bucket2]:[8406 Stock]],19,0),0)</f>
        <v/>
      </c>
      <c r="V34" s="601" t="n"/>
      <c r="W34" s="601" t="n"/>
      <c r="X34" s="599" t="n">
        <v>29.28</v>
      </c>
      <c r="Y34" s="599" t="n">
        <v>29.28</v>
      </c>
      <c r="Z34" s="599" t="n">
        <v>0</v>
      </c>
      <c r="AA34" s="599" t="n">
        <v>3.4</v>
      </c>
      <c r="AB34" s="600" t="n">
        <v>1000</v>
      </c>
      <c r="AC34" s="600" t="inlineStr">
        <is>
          <t>M</t>
        </is>
      </c>
      <c r="AD34" s="600" t="n"/>
      <c r="AE34" s="600" t="n"/>
      <c r="AF34" s="601" t="n"/>
      <c r="AG34" s="601" t="n"/>
      <c r="AH34" s="601">
        <f t="array" ref="AH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" s="602">
        <f>scheduleapr[[#This Row],[SCHEDULE in nos]]-scheduleapr[[#This Row],[DISPATCH]]</f>
        <v/>
      </c>
      <c r="AJ34" s="599">
        <f>(3.14*(scheduleapr[[#This Row],[ACTUAL OD]]-scheduleapr[[#This Row],[TICKNESS]])*scheduleapr[[#This Row],[TICKNESS]]*scheduleapr[[#This Row],[LENGTH]]*7.85)/1000000*scheduleapr[[#This Row],[SCHEDULE in nos]]/1000</f>
        <v/>
      </c>
      <c r="AK34" s="599">
        <f>(3.14*(scheduleapr[[#This Row],[ACTUAL OD]]-scheduleapr[[#This Row],[TICKNESS]])*scheduleapr[[#This Row],[TICKNESS]]*scheduleapr[[#This Row],[LENGTH]]*7.85)/1000000*scheduleapr[[#This Row],[DISPATCH]]/1000</f>
        <v/>
      </c>
      <c r="AL34" s="599">
        <f>AJ34-AK34</f>
        <v/>
      </c>
      <c r="AM34" s="599">
        <f>scheduleapr[[#This Row],[SCHEDULE in nos]]/scheduleapr[[#This Row],[SCHEDULE IN MT]]*scheduleapr[[#This Row],[CTL Stock]]</f>
        <v/>
      </c>
      <c r="AN34" s="599">
        <f>SUMIFS(stock[MT],stock[Bucket],scheduleapr[[#This Row],[Bucket]],stock[CTL Bucket],scheduleapr[[#This Row],[CTL Bucket]],stock[Plant],"0789")</f>
        <v/>
      </c>
      <c r="AO34" s="599" t="n"/>
      <c r="AP34" s="599">
        <f>SUMIFS(stock[MT],stock[Bucket],scheduleapr[[#This Row],[Bucket]],stock[LL or CTL],"LL")</f>
        <v/>
      </c>
      <c r="AQ34" s="599">
        <f>+SUMIFS(wip[Stock(Net Wt)],wip[Bucket],scheduleapr[[#This Row],[Bucket]])/1000</f>
        <v/>
      </c>
      <c r="AR34" s="599">
        <f>AJ34-AN34</f>
        <v/>
      </c>
      <c r="AS34" s="118" t="n"/>
    </row>
    <row r="35">
      <c r="A35" s="594" t="n">
        <v>64</v>
      </c>
      <c r="B35" s="5" t="inlineStr">
        <is>
          <t xml:space="preserve">Khopoli </t>
        </is>
      </c>
      <c r="C35" s="601" t="inlineStr">
        <is>
          <t>ELKAYEM AUTO</t>
        </is>
      </c>
      <c r="D35" s="601" t="inlineStr">
        <is>
          <t>ELKAYEM AUTO Hosur</t>
        </is>
      </c>
      <c r="E35" s="601" t="inlineStr">
        <is>
          <t>129663|948721</t>
        </is>
      </c>
      <c r="F35" s="601" t="n">
        <v>2410960</v>
      </c>
      <c r="G35" s="601">
        <f>_xlfn.CONCAT(scheduleapr[[#This Row],[CUSTOMER CODE]],"-",scheduleapr[[#This Row],[MATERIAL NO]])</f>
        <v/>
      </c>
      <c r="H35" s="601" t="inlineStr">
        <is>
          <t>TUB-O-C-AUT-AD-FC-31.75X3.375X04-05</t>
        </is>
      </c>
      <c r="I35" s="601" t="inlineStr">
        <is>
          <t>CEW</t>
        </is>
      </c>
      <c r="J35" s="601" t="n"/>
      <c r="K35" s="601" t="inlineStr">
        <is>
          <t>CEW</t>
        </is>
      </c>
      <c r="L35" s="601" t="inlineStr">
        <is>
          <t>HR</t>
        </is>
      </c>
      <c r="M35" s="601" t="n"/>
      <c r="N35" s="601" t="n"/>
      <c r="O35" s="601" t="n"/>
      <c r="P35" s="601" t="n"/>
      <c r="Q35" s="557">
        <f>CONCATENATE(scheduleapr[[#This Row],[OD]],"-",scheduleapr[[#This Row],[ID]],"-",scheduleapr[[#This Row],[TICKNESS]],"-",scheduleapr[[#This Row],[Grade]],"-",scheduleapr[[#This Row],[FC/NFC]])</f>
        <v/>
      </c>
      <c r="R35" s="557">
        <f>_xlfn.CONCAT(scheduleapr[[#This Row],[Bucket]],"-",scheduleapr[[#This Row],[LENGTH]]/1000)</f>
        <v/>
      </c>
      <c r="S35" s="557">
        <f>COUNTIF(scheduleapr[CTL Bucket],scheduleapr[[#This Row],[CTL Bucket]])</f>
        <v/>
      </c>
      <c r="T35" s="601" t="inlineStr">
        <is>
          <t>Khopoli</t>
        </is>
      </c>
      <c r="U35" s="601">
        <f>_xlfn.IFNA(VLOOKUP(scheduleapr[[#This Row],[Bucket]],salesforecast[[#All],[Bucket2]:[8406 Stock]],19,0),0)</f>
        <v/>
      </c>
      <c r="V35" s="562">
        <f>_xlfn.IFNA(VLOOKUP(scheduleapr[[#This Row],[Bucket]],salesforecast[[#All],[Bucket2]:[8406 Stock]],20,0),0)+_xlfn.IFNA(VLOOKUP(scheduleapr[[#This Row],[Bucket]],salesforecast[[#All],[Bucket2]:[8406 Stock]],17,0),0)</f>
        <v/>
      </c>
      <c r="W35" s="557" t="n"/>
      <c r="X35" s="599" t="n">
        <v>31.75</v>
      </c>
      <c r="Y35" s="599" t="n">
        <v>31.75</v>
      </c>
      <c r="Z35" s="599" t="n">
        <v>25</v>
      </c>
      <c r="AA35" s="599" t="n">
        <v>3.37</v>
      </c>
      <c r="AB35" s="600" t="n">
        <v>1000</v>
      </c>
      <c r="AC35" s="600" t="inlineStr">
        <is>
          <t>M</t>
        </is>
      </c>
      <c r="AD35" s="600" t="n"/>
      <c r="AE35" s="600" t="n"/>
      <c r="AF35" s="601" t="n">
        <v>1500</v>
      </c>
      <c r="AG35" s="601" t="n"/>
      <c r="AH35" s="601">
        <f t="array" ref="AH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" s="602">
        <f>scheduleapr[[#This Row],[SCHEDULE in nos]]-scheduleapr[[#This Row],[DISPATCH]]</f>
        <v/>
      </c>
      <c r="AJ35" s="599">
        <f>(3.14*(scheduleapr[[#This Row],[ACTUAL OD]]-scheduleapr[[#This Row],[TICKNESS]])*scheduleapr[[#This Row],[TICKNESS]]*scheduleapr[[#This Row],[LENGTH]]*7.85)/1000000*scheduleapr[[#This Row],[SCHEDULE in nos]]/1000</f>
        <v/>
      </c>
      <c r="AK35" s="599">
        <f>(3.14*(scheduleapr[[#This Row],[ACTUAL OD]]-scheduleapr[[#This Row],[TICKNESS]])*scheduleapr[[#This Row],[TICKNESS]]*scheduleapr[[#This Row],[LENGTH]]*7.85)/1000000*scheduleapr[[#This Row],[DISPATCH]]/1000</f>
        <v/>
      </c>
      <c r="AL35" s="599">
        <f>AJ35-AK35</f>
        <v/>
      </c>
      <c r="AM35" s="599">
        <f>scheduleapr[[#This Row],[SCHEDULE in nos]]/scheduleapr[[#This Row],[SCHEDULE IN MT]]*scheduleapr[[#This Row],[CTL Stock]]</f>
        <v/>
      </c>
      <c r="AN35" s="599">
        <f>SUMIFS(stock[MT],stock[Bucket],scheduleapr[[#This Row],[Bucket]],stock[CTL Bucket],scheduleapr[[#This Row],[CTL Bucket]],stock[Plant],"0789")</f>
        <v/>
      </c>
      <c r="AO35" s="599" t="n"/>
      <c r="AP35" s="599">
        <f>SUMIFS(stock[MT],stock[Bucket],scheduleapr[[#This Row],[Bucket]],stock[LL or CTL],"LL")</f>
        <v/>
      </c>
      <c r="AQ35" s="599">
        <f>+SUMIFS(wip[Stock(Net Wt)],wip[Bucket],scheduleapr[[#This Row],[Bucket]])/1000</f>
        <v/>
      </c>
      <c r="AR35" s="599">
        <f>AJ35-AN35</f>
        <v/>
      </c>
      <c r="AS35" s="118" t="n"/>
    </row>
    <row r="36">
      <c r="A36" s="594" t="n">
        <v>17</v>
      </c>
      <c r="B36" s="5" t="inlineStr">
        <is>
          <t>Hosur</t>
        </is>
      </c>
      <c r="C36" s="601" t="inlineStr">
        <is>
          <t>ELKAYEM AUTO</t>
        </is>
      </c>
      <c r="D36" s="601" t="inlineStr">
        <is>
          <t>ELKAYEM AUTO Hosur</t>
        </is>
      </c>
      <c r="E36" s="601" t="inlineStr">
        <is>
          <t>129663|948721</t>
        </is>
      </c>
      <c r="F36" s="601" t="n">
        <v>1939966</v>
      </c>
      <c r="G36" s="601">
        <f>_xlfn.CONCAT(scheduleapr[[#This Row],[CUSTOMER CODE]],"-",scheduleapr[[#This Row],[MATERIAL NO]])</f>
        <v/>
      </c>
      <c r="H36" s="601" t="inlineStr">
        <is>
          <t>TUB-O-O-AUT-AW-PE-12.70X1.200X0.4080</t>
        </is>
      </c>
      <c r="I36" s="601" t="inlineStr">
        <is>
          <t>ERW 1</t>
        </is>
      </c>
      <c r="J36" s="601" t="n"/>
      <c r="K36" s="601" t="inlineStr">
        <is>
          <t>PE</t>
        </is>
      </c>
      <c r="L36" s="601" t="inlineStr">
        <is>
          <t>CR</t>
        </is>
      </c>
      <c r="M36" s="601" t="n"/>
      <c r="N36" s="601" t="n"/>
      <c r="O36" s="601" t="n"/>
      <c r="P36" s="601" t="n"/>
      <c r="Q36" s="557">
        <f>CONCATENATE(scheduleapr[[#This Row],[OD]],"-",scheduleapr[[#This Row],[ID]],"-",scheduleapr[[#This Row],[TICKNESS]],"-",scheduleapr[[#This Row],[Grade]],"-",scheduleapr[[#This Row],[FC/NFC]])</f>
        <v/>
      </c>
      <c r="R36" s="557">
        <f>_xlfn.CONCAT(scheduleapr[[#This Row],[Bucket]],"-",scheduleapr[[#This Row],[LENGTH]]/1000)</f>
        <v/>
      </c>
      <c r="S36" s="557">
        <f>COUNTIF(scheduleapr[CTL Bucket],scheduleapr[[#This Row],[CTL Bucket]])</f>
        <v/>
      </c>
      <c r="T36" s="601" t="inlineStr">
        <is>
          <t>Hosur</t>
        </is>
      </c>
      <c r="U36" s="601">
        <f>_xlfn.IFNA(VLOOKUP(scheduleapr[[#This Row],[Bucket]],salesforecast[[#All],[Bucket2]:[8406 Stock]],19,0),0)</f>
        <v/>
      </c>
      <c r="V36" s="562">
        <f>_xlfn.IFNA(VLOOKUP(scheduleapr[[#This Row],[Bucket]],salesforecast[[#All],[Bucket2]:[8406 Stock]],20,0),0)+_xlfn.IFNA(VLOOKUP(scheduleapr[[#This Row],[Bucket]],salesforecast[[#All],[Bucket2]:[8406 Stock]],17,0),0)</f>
        <v/>
      </c>
      <c r="W36" s="557" t="n"/>
      <c r="X36" s="599" t="n">
        <v>12.7</v>
      </c>
      <c r="Y36" s="599" t="n">
        <v>12.7</v>
      </c>
      <c r="Z36" s="599" t="n">
        <v>0</v>
      </c>
      <c r="AA36" s="599" t="n">
        <v>1.2</v>
      </c>
      <c r="AB36" s="600" t="n">
        <v>408</v>
      </c>
      <c r="AC36" s="600" t="inlineStr">
        <is>
          <t>NOS</t>
        </is>
      </c>
      <c r="AD36" s="600" t="n"/>
      <c r="AE36" s="600" t="n"/>
      <c r="AF36" s="601" t="n">
        <v>20000</v>
      </c>
      <c r="AG36" s="601" t="n"/>
      <c r="AH36" s="601">
        <f t="array" ref="AH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" s="602">
        <f>scheduleapr[[#This Row],[SCHEDULE in nos]]-scheduleapr[[#This Row],[DISPATCH]]</f>
        <v/>
      </c>
      <c r="AJ36" s="599">
        <f>(3.14*(scheduleapr[[#This Row],[ACTUAL OD]]-scheduleapr[[#This Row],[TICKNESS]])*scheduleapr[[#This Row],[TICKNESS]]*scheduleapr[[#This Row],[LENGTH]]*7.85)/1000000*scheduleapr[[#This Row],[SCHEDULE in nos]]/1000</f>
        <v/>
      </c>
      <c r="AK36" s="599">
        <f>(3.14*(scheduleapr[[#This Row],[ACTUAL OD]]-scheduleapr[[#This Row],[TICKNESS]])*scheduleapr[[#This Row],[TICKNESS]]*scheduleapr[[#This Row],[LENGTH]]*7.85)/1000000*scheduleapr[[#This Row],[DISPATCH]]/1000</f>
        <v/>
      </c>
      <c r="AL36" s="599">
        <f>AJ36-AK36</f>
        <v/>
      </c>
      <c r="AM36" s="599">
        <f>scheduleapr[[#This Row],[SCHEDULE in nos]]/scheduleapr[[#This Row],[SCHEDULE IN MT]]*scheduleapr[[#This Row],[CTL Stock]]</f>
        <v/>
      </c>
      <c r="AN36" s="599">
        <f>SUMIFS(stock[MT],stock[Bucket],scheduleapr[[#This Row],[Bucket]],stock[CTL Bucket],scheduleapr[[#This Row],[CTL Bucket]],stock[Plant],"0789")</f>
        <v/>
      </c>
      <c r="AO36" s="599" t="n"/>
      <c r="AP36" s="599">
        <f>SUMIFS(stock[MT],stock[Bucket],scheduleapr[[#This Row],[Bucket]],stock[LL or CTL],"LL")</f>
        <v/>
      </c>
      <c r="AQ36" s="599">
        <f>+SUMIFS(wip[Stock(Net Wt)],wip[Bucket],scheduleapr[[#This Row],[Bucket]])/1000</f>
        <v/>
      </c>
      <c r="AR36" s="599">
        <f>AJ36-AN36</f>
        <v/>
      </c>
      <c r="AS36" s="118" t="n"/>
    </row>
    <row r="37">
      <c r="A37" s="594" t="n">
        <v>19</v>
      </c>
      <c r="B37" s="5" t="inlineStr">
        <is>
          <t>Hosur</t>
        </is>
      </c>
      <c r="C37" s="601" t="inlineStr">
        <is>
          <t>ELKAYEM AUTO</t>
        </is>
      </c>
      <c r="D37" s="601" t="inlineStr">
        <is>
          <t>ELKAYEM AUTO Hosur</t>
        </is>
      </c>
      <c r="E37" s="601" t="inlineStr">
        <is>
          <t>129663|948721</t>
        </is>
      </c>
      <c r="F37" s="601" t="n">
        <v>1939974</v>
      </c>
      <c r="G37" s="601">
        <f>_xlfn.CONCAT(scheduleapr[[#This Row],[CUSTOMER CODE]],"-",scheduleapr[[#This Row],[MATERIAL NO]])</f>
        <v/>
      </c>
      <c r="H37" s="601" t="inlineStr">
        <is>
          <t>TUB-O-O-AUT-AW-PE-12.70X1.200X0.7720</t>
        </is>
      </c>
      <c r="I37" s="601" t="inlineStr">
        <is>
          <t>ERW 1</t>
        </is>
      </c>
      <c r="J37" s="601" t="n"/>
      <c r="K37" s="601" t="inlineStr">
        <is>
          <t>PE</t>
        </is>
      </c>
      <c r="L37" s="601" t="inlineStr">
        <is>
          <t>CR</t>
        </is>
      </c>
      <c r="M37" s="601" t="n"/>
      <c r="N37" s="601" t="n"/>
      <c r="O37" s="601" t="n"/>
      <c r="P37" s="601" t="n"/>
      <c r="Q37" s="557">
        <f>CONCATENATE(scheduleapr[[#This Row],[OD]],"-",scheduleapr[[#This Row],[ID]],"-",scheduleapr[[#This Row],[TICKNESS]],"-",scheduleapr[[#This Row],[Grade]],"-",scheduleapr[[#This Row],[FC/NFC]])</f>
        <v/>
      </c>
      <c r="R37" s="557">
        <f>_xlfn.CONCAT(scheduleapr[[#This Row],[Bucket]],"-",scheduleapr[[#This Row],[LENGTH]]/1000)</f>
        <v/>
      </c>
      <c r="S37" s="557">
        <f>COUNTIF(scheduleapr[CTL Bucket],scheduleapr[[#This Row],[CTL Bucket]])</f>
        <v/>
      </c>
      <c r="T37" s="601" t="inlineStr">
        <is>
          <t>Hosur</t>
        </is>
      </c>
      <c r="U37" s="601">
        <f>_xlfn.IFNA(VLOOKUP(scheduleapr[[#This Row],[Bucket]],salesforecast[[#All],[Bucket2]:[8406 Stock]],19,0),0)</f>
        <v/>
      </c>
      <c r="V37" s="562">
        <f>_xlfn.IFNA(VLOOKUP(scheduleapr[[#This Row],[Bucket]],salesforecast[[#All],[Bucket2]:[8406 Stock]],20,0),0)+_xlfn.IFNA(VLOOKUP(scheduleapr[[#This Row],[Bucket]],salesforecast[[#All],[Bucket2]:[8406 Stock]],17,0),0)</f>
        <v/>
      </c>
      <c r="W37" s="557" t="n"/>
      <c r="X37" s="599" t="n">
        <v>12.7</v>
      </c>
      <c r="Y37" s="599" t="n">
        <v>12.7</v>
      </c>
      <c r="Z37" s="599" t="n">
        <v>0</v>
      </c>
      <c r="AA37" s="599" t="n">
        <v>1.2</v>
      </c>
      <c r="AB37" s="600" t="n">
        <v>772</v>
      </c>
      <c r="AC37" s="600" t="inlineStr">
        <is>
          <t>NOS</t>
        </is>
      </c>
      <c r="AD37" s="600" t="n"/>
      <c r="AE37" s="600" t="n"/>
      <c r="AF37" s="601" t="n">
        <v>15000</v>
      </c>
      <c r="AG37" s="601" t="n"/>
      <c r="AH37" s="601">
        <f t="array" ref="AH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" s="602">
        <f>scheduleapr[[#This Row],[SCHEDULE in nos]]-scheduleapr[[#This Row],[DISPATCH]]</f>
        <v/>
      </c>
      <c r="AJ37" s="599">
        <f>(3.14*(scheduleapr[[#This Row],[ACTUAL OD]]-scheduleapr[[#This Row],[TICKNESS]])*scheduleapr[[#This Row],[TICKNESS]]*scheduleapr[[#This Row],[LENGTH]]*7.85)/1000000*scheduleapr[[#This Row],[SCHEDULE in nos]]/1000</f>
        <v/>
      </c>
      <c r="AK37" s="599">
        <f>(3.14*(scheduleapr[[#This Row],[ACTUAL OD]]-scheduleapr[[#This Row],[TICKNESS]])*scheduleapr[[#This Row],[TICKNESS]]*scheduleapr[[#This Row],[LENGTH]]*7.85)/1000000*scheduleapr[[#This Row],[DISPATCH]]/1000</f>
        <v/>
      </c>
      <c r="AL37" s="599">
        <f>AJ37-AK37</f>
        <v/>
      </c>
      <c r="AM37" s="599">
        <f>scheduleapr[[#This Row],[SCHEDULE in nos]]/scheduleapr[[#This Row],[SCHEDULE IN MT]]*scheduleapr[[#This Row],[CTL Stock]]</f>
        <v/>
      </c>
      <c r="AN37" s="599">
        <f>SUMIFS(stock[MT],stock[Bucket],scheduleapr[[#This Row],[Bucket]],stock[CTL Bucket],scheduleapr[[#This Row],[CTL Bucket]],stock[Plant],"0789")</f>
        <v/>
      </c>
      <c r="AO37" s="599" t="n"/>
      <c r="AP37" s="599">
        <f>SUMIFS(stock[MT],stock[Bucket],scheduleapr[[#This Row],[Bucket]],stock[LL or CTL],"LL")</f>
        <v/>
      </c>
      <c r="AQ37" s="599">
        <f>+SUMIFS(wip[Stock(Net Wt)],wip[Bucket],scheduleapr[[#This Row],[Bucket]])/1000</f>
        <v/>
      </c>
      <c r="AR37" s="599">
        <f>AJ37-AN37</f>
        <v/>
      </c>
      <c r="AS37" s="118" t="n"/>
    </row>
    <row r="38">
      <c r="A38" s="594" t="n">
        <v>18</v>
      </c>
      <c r="B38" s="5" t="inlineStr">
        <is>
          <t>Hosur</t>
        </is>
      </c>
      <c r="C38" s="601" t="inlineStr">
        <is>
          <t>ELKAYEM AUTO</t>
        </is>
      </c>
      <c r="D38" s="601" t="inlineStr">
        <is>
          <t>ELKAYEM AUTO Hosur</t>
        </is>
      </c>
      <c r="E38" s="601" t="inlineStr">
        <is>
          <t>129663|948721</t>
        </is>
      </c>
      <c r="F38" s="601" t="n"/>
      <c r="G38" s="601">
        <f>_xlfn.CONCAT(scheduleapr[[#This Row],[CUSTOMER CODE]],"-",scheduleapr[[#This Row],[MATERIAL NO]])</f>
        <v/>
      </c>
      <c r="H38" s="601" t="n"/>
      <c r="I38" s="601" t="inlineStr">
        <is>
          <t>ERW 1</t>
        </is>
      </c>
      <c r="J38" s="601" t="n"/>
      <c r="K38" s="601" t="inlineStr">
        <is>
          <t>PE</t>
        </is>
      </c>
      <c r="L38" s="601" t="inlineStr">
        <is>
          <t>CR</t>
        </is>
      </c>
      <c r="M38" s="601" t="n"/>
      <c r="N38" s="601" t="n"/>
      <c r="O38" s="601" t="n"/>
      <c r="P38" s="601" t="n"/>
      <c r="Q38" s="557">
        <f>CONCATENATE(scheduleapr[[#This Row],[OD]],"-",scheduleapr[[#This Row],[ID]],"-",scheduleapr[[#This Row],[TICKNESS]],"-",scheduleapr[[#This Row],[Grade]],"-",scheduleapr[[#This Row],[FC/NFC]])</f>
        <v/>
      </c>
      <c r="R38" s="557">
        <f>_xlfn.CONCAT(scheduleapr[[#This Row],[Bucket]],"-",scheduleapr[[#This Row],[LENGTH]]/1000)</f>
        <v/>
      </c>
      <c r="S38" s="601">
        <f>COUNTIF([2]!buckets[CTL Bucket],[2]!scheduleapr[[#This Row],[CTL Bucket]])</f>
        <v/>
      </c>
      <c r="T38" s="601" t="n"/>
      <c r="U38" s="601" t="n"/>
      <c r="V38" s="601" t="n"/>
      <c r="W38" s="601" t="n"/>
      <c r="X38" s="599" t="n">
        <v>12.7</v>
      </c>
      <c r="Y38" s="599" t="n">
        <v>12.7</v>
      </c>
      <c r="Z38" s="599" t="n">
        <v>0</v>
      </c>
      <c r="AA38" s="599" t="n">
        <v>1.2</v>
      </c>
      <c r="AB38" s="600" t="n">
        <v>1000</v>
      </c>
      <c r="AC38" s="600" t="inlineStr">
        <is>
          <t>NOS</t>
        </is>
      </c>
      <c r="AD38" s="600" t="n"/>
      <c r="AE38" s="600" t="n"/>
      <c r="AF38" s="601" t="n"/>
      <c r="AG38" s="601" t="n"/>
      <c r="AH38" s="601">
        <f t="array" ref="AH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" s="602">
        <f>scheduleapr[[#This Row],[SCHEDULE in nos]]-scheduleapr[[#This Row],[DISPATCH]]</f>
        <v/>
      </c>
      <c r="AJ38" s="599">
        <f>(3.14*(scheduleapr[[#This Row],[ACTUAL OD]]-scheduleapr[[#This Row],[TICKNESS]])*scheduleapr[[#This Row],[TICKNESS]]*scheduleapr[[#This Row],[LENGTH]]*7.85)/1000000*scheduleapr[[#This Row],[SCHEDULE in nos]]/1000</f>
        <v/>
      </c>
      <c r="AK38" s="599">
        <f>(3.14*(scheduleapr[[#This Row],[ACTUAL OD]]-scheduleapr[[#This Row],[TICKNESS]])*scheduleapr[[#This Row],[TICKNESS]]*scheduleapr[[#This Row],[LENGTH]]*7.85)/1000000*scheduleapr[[#This Row],[DISPATCH]]/1000</f>
        <v/>
      </c>
      <c r="AL38" s="599">
        <f>AJ38-AK38</f>
        <v/>
      </c>
      <c r="AM38" s="599">
        <f>scheduleapr[[#This Row],[SCHEDULE in nos]]/scheduleapr[[#This Row],[SCHEDULE IN MT]]*scheduleapr[[#This Row],[CTL Stock]]</f>
        <v/>
      </c>
      <c r="AN38" s="599">
        <f>SUMIFS(stock[MT],stock[Bucket],scheduleapr[[#This Row],[Bucket]],stock[CTL Bucket],scheduleapr[[#This Row],[CTL Bucket]],stock[Plant],"0789")</f>
        <v/>
      </c>
      <c r="AO38" s="599" t="n"/>
      <c r="AP38" s="599">
        <f>SUMIFS(stock[MT],stock[Bucket],scheduleapr[[#This Row],[Bucket]],stock[LL or CTL],"LL")</f>
        <v/>
      </c>
      <c r="AQ38" s="599">
        <f>+SUMIFS(wip[Stock(Net Wt)],wip[Bucket],scheduleapr[[#This Row],[Bucket]])/1000</f>
        <v/>
      </c>
      <c r="AR38" s="599">
        <f>AJ38-AN38</f>
        <v/>
      </c>
      <c r="AS38" s="118" t="n"/>
    </row>
    <row r="39">
      <c r="A39" s="594" t="n">
        <v>20</v>
      </c>
      <c r="B39" s="5" t="inlineStr">
        <is>
          <t>Hosur</t>
        </is>
      </c>
      <c r="C39" s="601" t="inlineStr">
        <is>
          <t>ELKAYEM AUTO</t>
        </is>
      </c>
      <c r="D39" s="601" t="inlineStr">
        <is>
          <t>ELKAYEM AUTO Hosur</t>
        </is>
      </c>
      <c r="E39" s="601" t="inlineStr">
        <is>
          <t>129663|948721</t>
        </is>
      </c>
      <c r="F39" s="601" t="inlineStr">
        <is>
          <t>NO MATERIAL CODE</t>
        </is>
      </c>
      <c r="G39" s="601">
        <f>_xlfn.CONCAT(scheduleapr[[#This Row],[CUSTOMER CODE]],"-",scheduleapr[[#This Row],[MATERIAL NO]])</f>
        <v/>
      </c>
      <c r="H39" s="601" t="n"/>
      <c r="I39" s="601" t="inlineStr">
        <is>
          <t>ERW 1</t>
        </is>
      </c>
      <c r="J39" s="601" t="n"/>
      <c r="K39" s="601" t="inlineStr">
        <is>
          <t>PE</t>
        </is>
      </c>
      <c r="L39" s="601" t="inlineStr">
        <is>
          <t>HR</t>
        </is>
      </c>
      <c r="M39" s="601" t="n"/>
      <c r="N39" s="601" t="n"/>
      <c r="O39" s="601" t="n"/>
      <c r="P39" s="601" t="n"/>
      <c r="Q39" s="557">
        <f>CONCATENATE(scheduleapr[[#This Row],[OD]],"-",scheduleapr[[#This Row],[ID]],"-",scheduleapr[[#This Row],[TICKNESS]],"-",scheduleapr[[#This Row],[Grade]],"-",scheduleapr[[#This Row],[FC/NFC]])</f>
        <v/>
      </c>
      <c r="R39" s="557">
        <f>_xlfn.CONCAT(scheduleapr[[#This Row],[Bucket]],"-",scheduleapr[[#This Row],[LENGTH]]/1000)</f>
        <v/>
      </c>
      <c r="S39" s="557">
        <f>COUNTIF(scheduleapr[CTL Bucket],scheduleapr[[#This Row],[CTL Bucket]])</f>
        <v/>
      </c>
      <c r="T39" s="601" t="inlineStr">
        <is>
          <t>Hosur</t>
        </is>
      </c>
      <c r="U39" s="601">
        <f>_xlfn.IFNA(VLOOKUP(scheduleapr[[#This Row],[Bucket]],salesforecast[[#All],[Bucket2]:[8406 Stock]],19,0),0)</f>
        <v/>
      </c>
      <c r="V39" s="562">
        <f>_xlfn.IFNA(VLOOKUP(scheduleapr[[#This Row],[Bucket]],salesforecast[[#All],[Bucket2]:[8406 Stock]],20,0),0)+_xlfn.IFNA(VLOOKUP(scheduleapr[[#This Row],[Bucket]],salesforecast[[#All],[Bucket2]:[8406 Stock]],17,0),0)</f>
        <v/>
      </c>
      <c r="W39" s="557" t="n"/>
      <c r="X39" s="599" t="n">
        <v>12.7</v>
      </c>
      <c r="Y39" s="599" t="n">
        <v>12.7</v>
      </c>
      <c r="Z39" s="599" t="n">
        <v>0</v>
      </c>
      <c r="AA39" s="599" t="n">
        <v>1.6</v>
      </c>
      <c r="AB39" s="22" t="n">
        <v>252</v>
      </c>
      <c r="AC39" s="600" t="inlineStr">
        <is>
          <t>NOS</t>
        </is>
      </c>
      <c r="AD39" s="600" t="n"/>
      <c r="AE39" s="600" t="n"/>
      <c r="AF39" s="601" t="n">
        <v>10000</v>
      </c>
      <c r="AG39" s="601" t="n"/>
      <c r="AH39" s="601">
        <f t="array" ref="AH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" s="602">
        <f>scheduleapr[[#This Row],[SCHEDULE in nos]]-scheduleapr[[#This Row],[DISPATCH]]</f>
        <v/>
      </c>
      <c r="AJ39" s="599">
        <f>(3.14*(scheduleapr[[#This Row],[ACTUAL OD]]-scheduleapr[[#This Row],[TICKNESS]])*scheduleapr[[#This Row],[TICKNESS]]*scheduleapr[[#This Row],[LENGTH]]*7.85)/1000000*scheduleapr[[#This Row],[SCHEDULE in nos]]/1000</f>
        <v/>
      </c>
      <c r="AK39" s="599">
        <f>(3.14*(scheduleapr[[#This Row],[ACTUAL OD]]-scheduleapr[[#This Row],[TICKNESS]])*scheduleapr[[#This Row],[TICKNESS]]*scheduleapr[[#This Row],[LENGTH]]*7.85)/1000000*scheduleapr[[#This Row],[DISPATCH]]/1000</f>
        <v/>
      </c>
      <c r="AL39" s="599">
        <f>AJ39-AK39</f>
        <v/>
      </c>
      <c r="AM39" s="599">
        <f>scheduleapr[[#This Row],[SCHEDULE in nos]]/scheduleapr[[#This Row],[SCHEDULE IN MT]]*scheduleapr[[#This Row],[CTL Stock]]</f>
        <v/>
      </c>
      <c r="AN39" s="599">
        <f>SUMIFS(stock[MT],stock[Bucket],scheduleapr[[#This Row],[Bucket]],stock[CTL Bucket],scheduleapr[[#This Row],[CTL Bucket]],stock[Plant],"0789")</f>
        <v/>
      </c>
      <c r="AO39" s="599" t="n"/>
      <c r="AP39" s="599">
        <f>SUMIFS(stock[MT],stock[Bucket],scheduleapr[[#This Row],[Bucket]],stock[LL or CTL],"LL")</f>
        <v/>
      </c>
      <c r="AQ39" s="599">
        <f>+SUMIFS(wip[Stock(Net Wt)],wip[Bucket],scheduleapr[[#This Row],[Bucket]])/1000</f>
        <v/>
      </c>
      <c r="AR39" s="599">
        <f>AJ39-AN39</f>
        <v/>
      </c>
      <c r="AS39" s="118" t="n"/>
    </row>
    <row r="40">
      <c r="A40" s="594" t="n">
        <v>21</v>
      </c>
      <c r="B40" s="5" t="inlineStr">
        <is>
          <t>Hosur</t>
        </is>
      </c>
      <c r="C40" s="601" t="inlineStr">
        <is>
          <t>ELKAYEM AUTO</t>
        </is>
      </c>
      <c r="D40" s="601" t="inlineStr">
        <is>
          <t>ELKAYEM AUTO Hosur</t>
        </is>
      </c>
      <c r="E40" s="601" t="inlineStr">
        <is>
          <t>129663|948721</t>
        </is>
      </c>
      <c r="F40" s="601" t="n"/>
      <c r="G40" s="601">
        <f>_xlfn.CONCAT(scheduleapr[[#This Row],[CUSTOMER CODE]],"-",scheduleapr[[#This Row],[MATERIAL NO]])</f>
        <v/>
      </c>
      <c r="H40" s="601" t="n"/>
      <c r="I40" s="601" t="inlineStr">
        <is>
          <t>ERW 1</t>
        </is>
      </c>
      <c r="J40" s="601" t="n"/>
      <c r="K40" s="601" t="inlineStr">
        <is>
          <t>PE</t>
        </is>
      </c>
      <c r="L40" s="601" t="inlineStr">
        <is>
          <t>CR</t>
        </is>
      </c>
      <c r="M40" s="601" t="n"/>
      <c r="N40" s="601" t="n"/>
      <c r="O40" s="601" t="n"/>
      <c r="P40" s="601" t="n"/>
      <c r="Q40" s="557">
        <f>CONCATENATE(scheduleapr[[#This Row],[OD]],"-",scheduleapr[[#This Row],[ID]],"-",scheduleapr[[#This Row],[TICKNESS]],"-",scheduleapr[[#This Row],[Grade]],"-",scheduleapr[[#This Row],[FC/NFC]])</f>
        <v/>
      </c>
      <c r="R40" s="557">
        <f>_xlfn.CONCAT(scheduleapr[[#This Row],[Bucket]],"-",scheduleapr[[#This Row],[LENGTH]]/1000)</f>
        <v/>
      </c>
      <c r="S40" s="557">
        <f>COUNTIF(scheduleapr[CTL Bucket],scheduleapr[[#This Row],[CTL Bucket]])</f>
        <v/>
      </c>
      <c r="T40" s="601" t="inlineStr">
        <is>
          <t>Hosur</t>
        </is>
      </c>
      <c r="U40" s="601">
        <f>_xlfn.IFNA(VLOOKUP(scheduleapr[[#This Row],[Bucket]],salesforecast[[#All],[Bucket2]:[8406 Stock]],19,0),0)</f>
        <v/>
      </c>
      <c r="V40" s="562">
        <f>_xlfn.IFNA(VLOOKUP(scheduleapr[[#This Row],[Bucket]],salesforecast[[#All],[Bucket2]:[8406 Stock]],20,0),0)+_xlfn.IFNA(VLOOKUP(scheduleapr[[#This Row],[Bucket]],salesforecast[[#All],[Bucket2]:[8406 Stock]],17,0),0)</f>
        <v/>
      </c>
      <c r="W40" s="601" t="n"/>
      <c r="X40" s="599" t="n">
        <v>12.7</v>
      </c>
      <c r="Y40" s="599" t="n">
        <v>12.7</v>
      </c>
      <c r="Z40" s="599" t="n">
        <v>0</v>
      </c>
      <c r="AA40" s="599" t="n">
        <v>1.6</v>
      </c>
      <c r="AB40" s="600" t="n">
        <v>320</v>
      </c>
      <c r="AC40" s="600" t="inlineStr">
        <is>
          <t>NOS</t>
        </is>
      </c>
      <c r="AD40" s="600" t="n"/>
      <c r="AE40" s="600" t="n"/>
      <c r="AF40" s="601" t="n">
        <v>5000</v>
      </c>
      <c r="AG40" s="601" t="n"/>
      <c r="AH40" s="601">
        <f t="array" ref="AH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" s="602">
        <f>scheduleapr[[#This Row],[SCHEDULE in nos]]-scheduleapr[[#This Row],[DISPATCH]]</f>
        <v/>
      </c>
      <c r="AJ40" s="599">
        <f>(3.14*(scheduleapr[[#This Row],[ACTUAL OD]]-scheduleapr[[#This Row],[TICKNESS]])*scheduleapr[[#This Row],[TICKNESS]]*scheduleapr[[#This Row],[LENGTH]]*7.85)/1000000*scheduleapr[[#This Row],[SCHEDULE in nos]]/1000</f>
        <v/>
      </c>
      <c r="AK40" s="599">
        <f>(3.14*(scheduleapr[[#This Row],[ACTUAL OD]]-scheduleapr[[#This Row],[TICKNESS]])*scheduleapr[[#This Row],[TICKNESS]]*scheduleapr[[#This Row],[LENGTH]]*7.85)/1000000*scheduleapr[[#This Row],[DISPATCH]]/1000</f>
        <v/>
      </c>
      <c r="AL40" s="599">
        <f>AJ40-AK40</f>
        <v/>
      </c>
      <c r="AM40" s="599">
        <f>scheduleapr[[#This Row],[SCHEDULE in nos]]/scheduleapr[[#This Row],[SCHEDULE IN MT]]*scheduleapr[[#This Row],[CTL Stock]]</f>
        <v/>
      </c>
      <c r="AN40" s="599">
        <f>SUMIFS(stock[MT],stock[Bucket],scheduleapr[[#This Row],[Bucket]],stock[CTL Bucket],scheduleapr[[#This Row],[CTL Bucket]],stock[Plant],"0789")</f>
        <v/>
      </c>
      <c r="AO40" s="599" t="n"/>
      <c r="AP40" s="599">
        <f>SUMIFS(stock[MT],stock[Bucket],scheduleapr[[#This Row],[Bucket]],stock[LL or CTL],"LL")</f>
        <v/>
      </c>
      <c r="AQ40" s="599">
        <f>+SUMIFS(wip[Stock(Net Wt)],wip[Bucket],scheduleapr[[#This Row],[Bucket]])/1000</f>
        <v/>
      </c>
      <c r="AR40" s="599">
        <f>AJ40-AN40</f>
        <v/>
      </c>
      <c r="AS40" s="118" t="n"/>
    </row>
    <row r="41">
      <c r="A41" s="556" t="n"/>
      <c r="B41" s="5" t="inlineStr">
        <is>
          <t>Hosur</t>
        </is>
      </c>
      <c r="C41" s="601" t="inlineStr">
        <is>
          <t>ELKAYEM AUTO</t>
        </is>
      </c>
      <c r="D41" s="601" t="inlineStr">
        <is>
          <t>ELKAYEM AUTO Hosur</t>
        </is>
      </c>
      <c r="E41" s="601" t="inlineStr">
        <is>
          <t>129663|948721</t>
        </is>
      </c>
      <c r="F41" s="477" t="n">
        <v>4151968</v>
      </c>
      <c r="G41" s="601">
        <f>_xlfn.CONCAT(scheduleapr[[#This Row],[CUSTOMER CODE]],"-",scheduleapr[[#This Row],[MATERIAL NO]])</f>
        <v/>
      </c>
      <c r="H41" s="477" t="inlineStr">
        <is>
          <t>TUB-O-N-AUT-AW-PE-12.70X1.600X0.9070</t>
        </is>
      </c>
      <c r="I41" s="601" t="inlineStr">
        <is>
          <t>ERW 1</t>
        </is>
      </c>
      <c r="J41" s="557" t="n"/>
      <c r="K41" s="601" t="inlineStr">
        <is>
          <t>PE</t>
        </is>
      </c>
      <c r="L41" s="601" t="inlineStr">
        <is>
          <t>CR</t>
        </is>
      </c>
      <c r="M41" s="558" t="n"/>
      <c r="N41" s="557" t="n"/>
      <c r="O41" s="557" t="n"/>
      <c r="P41" s="557" t="n"/>
      <c r="Q41" s="557">
        <f>CONCATENATE(scheduleapr[[#This Row],[OD]],"-",scheduleapr[[#This Row],[ID]],"-",scheduleapr[[#This Row],[TICKNESS]],"-",scheduleapr[[#This Row],[Grade]],"-",scheduleapr[[#This Row],[FC/NFC]])</f>
        <v/>
      </c>
      <c r="R41" s="557">
        <f>_xlfn.CONCAT(scheduleapr[[#This Row],[Bucket]],"-",scheduleapr[[#This Row],[LENGTH]]/1000)</f>
        <v/>
      </c>
      <c r="S41" s="557">
        <f>COUNTIF(scheduleapr[CTL Bucket],scheduleapr[[#This Row],[CTL Bucket]])</f>
        <v/>
      </c>
      <c r="T41" s="601" t="inlineStr">
        <is>
          <t>Hosur</t>
        </is>
      </c>
      <c r="U41" s="601">
        <f>_xlfn.IFNA(VLOOKUP(scheduleapr[[#This Row],[Bucket]],salesforecast[[#All],[Bucket2]:[8406 Stock]],19,0),0)</f>
        <v/>
      </c>
      <c r="V41" s="562">
        <f>_xlfn.IFNA(VLOOKUP(scheduleapr[[#This Row],[Bucket]],salesforecast[[#All],[Bucket2]:[8406 Stock]],20,0),0)+_xlfn.IFNA(VLOOKUP(scheduleapr[[#This Row],[Bucket]],salesforecast[[#All],[Bucket2]:[8406 Stock]],17,0),0)</f>
        <v/>
      </c>
      <c r="W41" s="601" t="n"/>
      <c r="X41" s="559" t="n">
        <v>12.7</v>
      </c>
      <c r="Y41" s="559" t="n">
        <v>12.7</v>
      </c>
      <c r="Z41" s="599" t="n">
        <v>0</v>
      </c>
      <c r="AA41" s="599" t="n">
        <v>1.6</v>
      </c>
      <c r="AB41" s="600" t="n">
        <v>907</v>
      </c>
      <c r="AC41" s="600" t="inlineStr">
        <is>
          <t>NOS</t>
        </is>
      </c>
      <c r="AD41" s="600" t="n"/>
      <c r="AE41" s="600" t="n"/>
      <c r="AF41" s="557" t="n">
        <v>12000</v>
      </c>
      <c r="AG41" s="557" t="n"/>
      <c r="AH41" s="601">
        <f t="array" ref="AH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" s="602">
        <f>scheduleapr[[#This Row],[SCHEDULE in nos]]-scheduleapr[[#This Row],[DISPATCH]]</f>
        <v/>
      </c>
      <c r="AJ41" s="559">
        <f>(3.14*(scheduleapr[[#This Row],[ACTUAL OD]]-scheduleapr[[#This Row],[TICKNESS]])*scheduleapr[[#This Row],[TICKNESS]]*scheduleapr[[#This Row],[LENGTH]]*7.85)/1000000*scheduleapr[[#This Row],[SCHEDULE in nos]]/1000</f>
        <v/>
      </c>
      <c r="AK41" s="599">
        <f>(3.14*(scheduleapr[[#This Row],[ACTUAL OD]]-scheduleapr[[#This Row],[TICKNESS]])*scheduleapr[[#This Row],[TICKNESS]]*scheduleapr[[#This Row],[LENGTH]]*7.85)/1000000*scheduleapr[[#This Row],[DISPATCH]]/1000</f>
        <v/>
      </c>
      <c r="AL41" s="599">
        <f>AJ41-AK41</f>
        <v/>
      </c>
      <c r="AM41" s="559">
        <f>scheduleapr[[#This Row],[SCHEDULE in nos]]/scheduleapr[[#This Row],[SCHEDULE IN MT]]*scheduleapr[[#This Row],[CTL Stock]]</f>
        <v/>
      </c>
      <c r="AN41" s="599">
        <f>SUMIFS(stock[MT],stock[Bucket],scheduleapr[[#This Row],[Bucket]],stock[CTL Bucket],scheduleapr[[#This Row],[CTL Bucket]],stock[Plant],"0789")</f>
        <v/>
      </c>
      <c r="AO41" s="599" t="n"/>
      <c r="AP41" s="599">
        <f>SUMIFS(stock[MT],stock[Bucket],scheduleapr[[#This Row],[Bucket]],stock[LL or CTL],"LL")</f>
        <v/>
      </c>
      <c r="AQ41" s="599">
        <f>+SUMIFS(wip[Stock(Net Wt)],wip[Bucket],scheduleapr[[#This Row],[Bucket]])/1000</f>
        <v/>
      </c>
      <c r="AR41" s="599">
        <f>AJ41-AN41</f>
        <v/>
      </c>
      <c r="AS41" s="118" t="n"/>
    </row>
    <row r="42">
      <c r="A42" s="594" t="n">
        <v>22</v>
      </c>
      <c r="B42" s="5" t="inlineStr">
        <is>
          <t>Hosur</t>
        </is>
      </c>
      <c r="C42" s="601" t="inlineStr">
        <is>
          <t>ELKAYEM AUTO</t>
        </is>
      </c>
      <c r="D42" s="601" t="inlineStr">
        <is>
          <t>ELKAYEM AUTO Hosur</t>
        </is>
      </c>
      <c r="E42" s="601" t="inlineStr">
        <is>
          <t>129663|948721</t>
        </is>
      </c>
      <c r="F42" s="601" t="n">
        <v>3172238</v>
      </c>
      <c r="G42" s="601">
        <f>_xlfn.CONCAT(scheduleapr[[#This Row],[CUSTOMER CODE]],"-",scheduleapr[[#This Row],[MATERIAL NO]])</f>
        <v/>
      </c>
      <c r="H42" s="601" t="inlineStr">
        <is>
          <t>TUB-O-N-AUT-AW-PE-12.70X1.600X0.9500</t>
        </is>
      </c>
      <c r="I42" s="601" t="inlineStr">
        <is>
          <t>ERW 1</t>
        </is>
      </c>
      <c r="J42" s="601" t="n"/>
      <c r="K42" s="601" t="inlineStr">
        <is>
          <t>PE</t>
        </is>
      </c>
      <c r="L42" s="601" t="inlineStr">
        <is>
          <t>CR</t>
        </is>
      </c>
      <c r="M42" s="596" t="inlineStr">
        <is>
          <t>HROP</t>
        </is>
      </c>
      <c r="N42" s="601" t="n"/>
      <c r="O42" s="601" t="n"/>
      <c r="P42" s="601" t="n"/>
      <c r="Q42" s="557">
        <f>CONCATENATE(scheduleapr[[#This Row],[OD]],"-",scheduleapr[[#This Row],[ID]],"-",scheduleapr[[#This Row],[TICKNESS]],"-",scheduleapr[[#This Row],[Grade]],"-",scheduleapr[[#This Row],[FC/NFC]])</f>
        <v/>
      </c>
      <c r="R42" s="557">
        <f>_xlfn.CONCAT(scheduleapr[[#This Row],[Bucket]],"-",scheduleapr[[#This Row],[LENGTH]]/1000)</f>
        <v/>
      </c>
      <c r="S42" s="557">
        <f>COUNTIF(scheduleapr[CTL Bucket],scheduleapr[[#This Row],[CTL Bucket]])</f>
        <v/>
      </c>
      <c r="T42" s="601" t="inlineStr">
        <is>
          <t>Hosur</t>
        </is>
      </c>
      <c r="U42" s="601">
        <f>_xlfn.IFNA(VLOOKUP(scheduleapr[[#This Row],[Bucket]],salesforecast[[#All],[Bucket2]:[8406 Stock]],19,0),0)</f>
        <v/>
      </c>
      <c r="V42" s="562">
        <f>_xlfn.IFNA(VLOOKUP(scheduleapr[[#This Row],[Bucket]],salesforecast[[#All],[Bucket2]:[8406 Stock]],20,0),0)+_xlfn.IFNA(VLOOKUP(scheduleapr[[#This Row],[Bucket]],salesforecast[[#All],[Bucket2]:[8406 Stock]],17,0),0)</f>
        <v/>
      </c>
      <c r="W42" s="557" t="n"/>
      <c r="X42" s="599" t="n">
        <v>12.7</v>
      </c>
      <c r="Y42" s="599" t="n">
        <v>12.7</v>
      </c>
      <c r="Z42" s="599" t="n">
        <v>0</v>
      </c>
      <c r="AA42" s="599" t="n">
        <v>1.6</v>
      </c>
      <c r="AB42" s="600" t="n">
        <v>950</v>
      </c>
      <c r="AC42" s="600" t="inlineStr">
        <is>
          <t>NOS</t>
        </is>
      </c>
      <c r="AD42" s="600" t="n"/>
      <c r="AE42" s="600" t="n"/>
      <c r="AF42" s="601" t="n">
        <v>12000</v>
      </c>
      <c r="AG42" s="601" t="n"/>
      <c r="AH42" s="601">
        <f t="array" ref="AH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" s="602">
        <f>scheduleapr[[#This Row],[SCHEDULE in nos]]-scheduleapr[[#This Row],[DISPATCH]]</f>
        <v/>
      </c>
      <c r="AJ42" s="599">
        <f>(3.14*(scheduleapr[[#This Row],[ACTUAL OD]]-scheduleapr[[#This Row],[TICKNESS]])*scheduleapr[[#This Row],[TICKNESS]]*scheduleapr[[#This Row],[LENGTH]]*7.85)/1000000*scheduleapr[[#This Row],[SCHEDULE in nos]]/1000</f>
        <v/>
      </c>
      <c r="AK42" s="599">
        <f>(3.14*(scheduleapr[[#This Row],[ACTUAL OD]]-scheduleapr[[#This Row],[TICKNESS]])*scheduleapr[[#This Row],[TICKNESS]]*scheduleapr[[#This Row],[LENGTH]]*7.85)/1000000*scheduleapr[[#This Row],[DISPATCH]]/1000</f>
        <v/>
      </c>
      <c r="AL42" s="599">
        <f>AJ42-AK42</f>
        <v/>
      </c>
      <c r="AM42" s="599">
        <f>scheduleapr[[#This Row],[SCHEDULE in nos]]/scheduleapr[[#This Row],[SCHEDULE IN MT]]*scheduleapr[[#This Row],[CTL Stock]]</f>
        <v/>
      </c>
      <c r="AN42" s="599">
        <f>SUMIFS(stock[MT],stock[Bucket],scheduleapr[[#This Row],[Bucket]],stock[CTL Bucket],scheduleapr[[#This Row],[CTL Bucket]],stock[Plant],"0789")</f>
        <v/>
      </c>
      <c r="AO42" s="599" t="n"/>
      <c r="AP42" s="599">
        <f>SUMIFS(stock[MT],stock[Bucket],scheduleapr[[#This Row],[Bucket]],stock[LL or CTL],"LL")</f>
        <v/>
      </c>
      <c r="AQ42" s="599">
        <f>+SUMIFS(wip[Stock(Net Wt)],wip[Bucket],scheduleapr[[#This Row],[Bucket]])/1000</f>
        <v/>
      </c>
      <c r="AR42" s="599">
        <f>AJ42-AN42</f>
        <v/>
      </c>
      <c r="AS42" s="118" t="n"/>
    </row>
    <row r="43">
      <c r="A43" s="594" t="n">
        <v>25</v>
      </c>
      <c r="B43" s="5" t="inlineStr">
        <is>
          <t>Hosur</t>
        </is>
      </c>
      <c r="C43" s="601" t="inlineStr">
        <is>
          <t>ELKAYEM AUTO</t>
        </is>
      </c>
      <c r="D43" s="601" t="inlineStr">
        <is>
          <t>ELKAYEM AUTO Hosur</t>
        </is>
      </c>
      <c r="E43" s="601" t="inlineStr">
        <is>
          <t>129663|948721</t>
        </is>
      </c>
      <c r="F43" s="601" t="n">
        <v>1940014</v>
      </c>
      <c r="G43" s="601">
        <f>_xlfn.CONCAT(scheduleapr[[#This Row],[CUSTOMER CODE]],"-",scheduleapr[[#This Row],[MATERIAL NO]])</f>
        <v/>
      </c>
      <c r="H43" s="601" t="inlineStr">
        <is>
          <t>TUB-O-O-GEN-AW-PE-12.70X1.600X6.0000</t>
        </is>
      </c>
      <c r="I43" s="601" t="inlineStr">
        <is>
          <t>ERW 1</t>
        </is>
      </c>
      <c r="J43" s="601" t="n"/>
      <c r="K43" s="601" t="inlineStr">
        <is>
          <t>PE</t>
        </is>
      </c>
      <c r="L43" s="601" t="inlineStr">
        <is>
          <t>HR</t>
        </is>
      </c>
      <c r="M43" s="601" t="n"/>
      <c r="N43" s="601" t="n"/>
      <c r="O43" s="601" t="n"/>
      <c r="P43" s="601" t="n"/>
      <c r="Q43" s="557">
        <f>CONCATENATE(scheduleapr[[#This Row],[OD]],"-",scheduleapr[[#This Row],[ID]],"-",scheduleapr[[#This Row],[TICKNESS]],"-",scheduleapr[[#This Row],[Grade]],"-",scheduleapr[[#This Row],[FC/NFC]])</f>
        <v/>
      </c>
      <c r="R43" s="557">
        <f>_xlfn.CONCAT(scheduleapr[[#This Row],[Bucket]],"-",scheduleapr[[#This Row],[LENGTH]]/1000)</f>
        <v/>
      </c>
      <c r="S43" s="557">
        <f>COUNTIF([2]!buckets[CTL Bucket],[2]!scheduleapr[[#This Row],[CTL Bucket]])</f>
        <v/>
      </c>
      <c r="T43" s="557" t="n"/>
      <c r="U43" s="557" t="n"/>
      <c r="V43" s="557" t="n"/>
      <c r="W43" s="557" t="n"/>
      <c r="X43" s="599" t="n">
        <v>12.7</v>
      </c>
      <c r="Y43" s="599" t="n">
        <v>12.7</v>
      </c>
      <c r="Z43" s="599" t="n">
        <v>0</v>
      </c>
      <c r="AA43" s="599" t="n">
        <v>1.6</v>
      </c>
      <c r="AB43" s="600" t="n">
        <v>6000</v>
      </c>
      <c r="AC43" s="600" t="inlineStr">
        <is>
          <t>M</t>
        </is>
      </c>
      <c r="AD43" s="600" t="n"/>
      <c r="AE43" s="600" t="n"/>
      <c r="AF43" s="601" t="n"/>
      <c r="AG43" s="601" t="n"/>
      <c r="AH43" s="601">
        <f t="array" ref="AH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" s="602">
        <f>scheduleapr[[#This Row],[SCHEDULE in nos]]-scheduleapr[[#This Row],[DISPATCH]]</f>
        <v/>
      </c>
      <c r="AJ43" s="599">
        <f>(3.14*(scheduleapr[[#This Row],[ACTUAL OD]]-scheduleapr[[#This Row],[TICKNESS]])*scheduleapr[[#This Row],[TICKNESS]]*scheduleapr[[#This Row],[LENGTH]]*7.85)/1000000*scheduleapr[[#This Row],[SCHEDULE in nos]]/1000</f>
        <v/>
      </c>
      <c r="AK43" s="599">
        <f>(3.14*(scheduleapr[[#This Row],[ACTUAL OD]]-scheduleapr[[#This Row],[TICKNESS]])*scheduleapr[[#This Row],[TICKNESS]]*scheduleapr[[#This Row],[LENGTH]]*7.85)/1000000*scheduleapr[[#This Row],[DISPATCH]]/1000</f>
        <v/>
      </c>
      <c r="AL43" s="599">
        <f>AJ43-AK43</f>
        <v/>
      </c>
      <c r="AM43" s="599">
        <f>scheduleapr[[#This Row],[SCHEDULE in nos]]/scheduleapr[[#This Row],[SCHEDULE IN MT]]*scheduleapr[[#This Row],[CTL Stock]]</f>
        <v/>
      </c>
      <c r="AN43" s="599">
        <f>SUMIFS(stock[MT],stock[Bucket],scheduleapr[[#This Row],[Bucket]],stock[CTL Bucket],scheduleapr[[#This Row],[CTL Bucket]],stock[Plant],"0789")</f>
        <v/>
      </c>
      <c r="AO43" s="599" t="n"/>
      <c r="AP43" s="599">
        <f>SUMIFS(stock[MT],stock[Bucket],scheduleapr[[#This Row],[Bucket]],stock[LL or CTL],"LL")</f>
        <v/>
      </c>
      <c r="AQ43" s="599">
        <f>+SUMIFS(wip[Stock(Net Wt)],wip[Bucket],scheduleapr[[#This Row],[Bucket]])/1000</f>
        <v/>
      </c>
      <c r="AR43" s="599">
        <f>AJ43-AN43</f>
        <v/>
      </c>
      <c r="AS43" s="118" t="n"/>
    </row>
    <row r="44">
      <c r="A44" s="594" t="n">
        <v>27</v>
      </c>
      <c r="B44" s="5" t="inlineStr">
        <is>
          <t>Hosur</t>
        </is>
      </c>
      <c r="C44" s="601" t="inlineStr">
        <is>
          <t>ELKAYEM AUTO</t>
        </is>
      </c>
      <c r="D44" s="601" t="inlineStr">
        <is>
          <t>ELKAYEM AUTO Hosur</t>
        </is>
      </c>
      <c r="E44" s="601" t="inlineStr">
        <is>
          <t>129663|948721</t>
        </is>
      </c>
      <c r="F44" s="601" t="n"/>
      <c r="G44" s="601">
        <f>_xlfn.CONCAT(scheduleapr[[#This Row],[CUSTOMER CODE]],"-",scheduleapr[[#This Row],[MATERIAL NO]])</f>
        <v/>
      </c>
      <c r="H44" s="601" t="inlineStr">
        <is>
          <t>TUB-O-O-AUT-AW-PE-15.88X1.6.000X6.0000</t>
        </is>
      </c>
      <c r="I44" s="601" t="inlineStr">
        <is>
          <t>ERW 1</t>
        </is>
      </c>
      <c r="J44" s="601" t="n"/>
      <c r="K44" s="601" t="inlineStr">
        <is>
          <t>PE</t>
        </is>
      </c>
      <c r="L44" s="601" t="inlineStr">
        <is>
          <t>CR</t>
        </is>
      </c>
      <c r="M44" s="601" t="inlineStr">
        <is>
          <t>WG</t>
        </is>
      </c>
      <c r="N44" s="601" t="n"/>
      <c r="O44" s="601" t="n"/>
      <c r="P44" s="601" t="n"/>
      <c r="Q44" s="557">
        <f>CONCATENATE(scheduleapr[[#This Row],[OD]],"-",scheduleapr[[#This Row],[ID]],"-",scheduleapr[[#This Row],[TICKNESS]],"-",scheduleapr[[#This Row],[Grade]],"-",scheduleapr[[#This Row],[FC/NFC]])</f>
        <v/>
      </c>
      <c r="R44" s="557">
        <f>_xlfn.CONCAT(scheduleapr[[#This Row],[Bucket]],"-",scheduleapr[[#This Row],[LENGTH]]/1000)</f>
        <v/>
      </c>
      <c r="S44" s="557">
        <f>COUNTIF(scheduleapr[CTL Bucket],scheduleapr[[#This Row],[CTL Bucket]])</f>
        <v/>
      </c>
      <c r="T44" s="601" t="inlineStr">
        <is>
          <t>Hosur</t>
        </is>
      </c>
      <c r="U44" s="601">
        <f>_xlfn.IFNA(VLOOKUP(scheduleapr[[#This Row],[Bucket]],salesforecast[[#All],[Bucket2]:[8406 Stock]],19,0),0)</f>
        <v/>
      </c>
      <c r="V44" s="562">
        <f>_xlfn.IFNA(VLOOKUP(scheduleapr[[#This Row],[Bucket]],salesforecast[[#All],[Bucket2]:[8406 Stock]],20,0),0)+_xlfn.IFNA(VLOOKUP(scheduleapr[[#This Row],[Bucket]],salesforecast[[#All],[Bucket2]:[8406 Stock]],17,0),0)</f>
        <v/>
      </c>
      <c r="W44" s="601" t="n"/>
      <c r="X44" s="559" t="n">
        <v>15.88</v>
      </c>
      <c r="Y44" s="559" t="n">
        <v>15.88</v>
      </c>
      <c r="Z44" s="559" t="n">
        <v>0</v>
      </c>
      <c r="AA44" s="599" t="n">
        <v>1.6</v>
      </c>
      <c r="AB44" s="600" t="n">
        <v>150</v>
      </c>
      <c r="AC44" s="600" t="inlineStr">
        <is>
          <t>NOS</t>
        </is>
      </c>
      <c r="AD44" s="600" t="n"/>
      <c r="AE44" s="600" t="n"/>
      <c r="AF44" s="601" t="n">
        <v>20000</v>
      </c>
      <c r="AG44" s="601" t="n"/>
      <c r="AH44" s="601">
        <f t="array" ref="AH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" s="602">
        <f>scheduleapr[[#This Row],[SCHEDULE in nos]]-scheduleapr[[#This Row],[DISPATCH]]</f>
        <v/>
      </c>
      <c r="AJ44" s="599">
        <f>(3.14*(scheduleapr[[#This Row],[ACTUAL OD]]-scheduleapr[[#This Row],[TICKNESS]])*scheduleapr[[#This Row],[TICKNESS]]*scheduleapr[[#This Row],[LENGTH]]*7.85)/1000000*scheduleapr[[#This Row],[SCHEDULE in nos]]/1000</f>
        <v/>
      </c>
      <c r="AK44" s="599">
        <f>(3.14*(scheduleapr[[#This Row],[ACTUAL OD]]-scheduleapr[[#This Row],[TICKNESS]])*scheduleapr[[#This Row],[TICKNESS]]*scheduleapr[[#This Row],[LENGTH]]*7.85)/1000000*scheduleapr[[#This Row],[DISPATCH]]/1000</f>
        <v/>
      </c>
      <c r="AL44" s="599">
        <f>AJ44-AK44</f>
        <v/>
      </c>
      <c r="AM44" s="599">
        <f>scheduleapr[[#This Row],[SCHEDULE in nos]]/scheduleapr[[#This Row],[SCHEDULE IN MT]]*scheduleapr[[#This Row],[CTL Stock]]</f>
        <v/>
      </c>
      <c r="AN44" s="599">
        <f>SUMIFS(stock[MT],stock[Bucket],scheduleapr[[#This Row],[Bucket]],stock[CTL Bucket],scheduleapr[[#This Row],[CTL Bucket]],stock[Plant],"0789")</f>
        <v/>
      </c>
      <c r="AO44" s="599" t="n"/>
      <c r="AP44" s="599">
        <f>SUMIFS(stock[MT],stock[Bucket],scheduleapr[[#This Row],[Bucket]],stock[LL or CTL],"LL")</f>
        <v/>
      </c>
      <c r="AQ44" s="599">
        <f>+SUMIFS(wip[Stock(Net Wt)],wip[Bucket],scheduleapr[[#This Row],[Bucket]])/1000</f>
        <v/>
      </c>
      <c r="AR44" s="599">
        <f>AJ44-AN44</f>
        <v/>
      </c>
      <c r="AS44" s="118" t="n"/>
    </row>
    <row r="45">
      <c r="A45" s="594" t="n">
        <v>28</v>
      </c>
      <c r="B45" s="5" t="inlineStr">
        <is>
          <t>Hosur</t>
        </is>
      </c>
      <c r="C45" s="601" t="inlineStr">
        <is>
          <t>ELKAYEM AUTO</t>
        </is>
      </c>
      <c r="D45" s="601" t="inlineStr">
        <is>
          <t>ELKAYEM AUTO Hosur</t>
        </is>
      </c>
      <c r="E45" s="601" t="inlineStr">
        <is>
          <t>129663|948721</t>
        </is>
      </c>
      <c r="F45" s="601" t="n"/>
      <c r="G45" s="601">
        <f>_xlfn.CONCAT(scheduleapr[[#This Row],[CUSTOMER CODE]],"-",scheduleapr[[#This Row],[MATERIAL NO]])</f>
        <v/>
      </c>
      <c r="H45" s="601" t="inlineStr">
        <is>
          <t>TUB-O-O-AUT-AW-PE-15.88X1.6.000X6.0000</t>
        </is>
      </c>
      <c r="I45" s="601" t="inlineStr">
        <is>
          <t>ERW 1</t>
        </is>
      </c>
      <c r="J45" s="601" t="n"/>
      <c r="K45" s="601" t="inlineStr">
        <is>
          <t>PE</t>
        </is>
      </c>
      <c r="L45" s="601" t="inlineStr">
        <is>
          <t>CR</t>
        </is>
      </c>
      <c r="M45" s="601" t="inlineStr">
        <is>
          <t>WG</t>
        </is>
      </c>
      <c r="N45" s="601" t="n"/>
      <c r="O45" s="601" t="n"/>
      <c r="P45" s="601" t="n"/>
      <c r="Q45" s="557">
        <f>CONCATENATE(scheduleapr[[#This Row],[OD]],"-",scheduleapr[[#This Row],[ID]],"-",scheduleapr[[#This Row],[TICKNESS]],"-",scheduleapr[[#This Row],[Grade]],"-",scheduleapr[[#This Row],[FC/NFC]])</f>
        <v/>
      </c>
      <c r="R45" s="557">
        <f>_xlfn.CONCAT(scheduleapr[[#This Row],[Bucket]],"-",scheduleapr[[#This Row],[LENGTH]]/1000)</f>
        <v/>
      </c>
      <c r="S45" s="557">
        <f>COUNTIF(scheduleapr[CTL Bucket],scheduleapr[[#This Row],[CTL Bucket]])</f>
        <v/>
      </c>
      <c r="T45" s="601" t="inlineStr">
        <is>
          <t>Hosur</t>
        </is>
      </c>
      <c r="U45" s="601">
        <f>_xlfn.IFNA(VLOOKUP(scheduleapr[[#This Row],[Bucket]],salesforecast[[#All],[Bucket2]:[8406 Stock]],19,0),0)</f>
        <v/>
      </c>
      <c r="V45" s="562">
        <f>_xlfn.IFNA(VLOOKUP(scheduleapr[[#This Row],[Bucket]],salesforecast[[#All],[Bucket2]:[8406 Stock]],20,0),0)+_xlfn.IFNA(VLOOKUP(scheduleapr[[#This Row],[Bucket]],salesforecast[[#All],[Bucket2]:[8406 Stock]],17,0),0)</f>
        <v/>
      </c>
      <c r="W45" s="601" t="n"/>
      <c r="X45" s="559" t="n">
        <v>15.88</v>
      </c>
      <c r="Y45" s="559" t="n">
        <v>15.88</v>
      </c>
      <c r="Z45" s="559" t="n">
        <v>0</v>
      </c>
      <c r="AA45" s="599" t="n">
        <v>1.6</v>
      </c>
      <c r="AB45" s="600" t="n">
        <v>154</v>
      </c>
      <c r="AC45" s="600" t="inlineStr">
        <is>
          <t>NOS</t>
        </is>
      </c>
      <c r="AD45" s="600" t="n"/>
      <c r="AE45" s="600" t="n"/>
      <c r="AF45" s="601" t="n">
        <v>20000</v>
      </c>
      <c r="AG45" s="601" t="n"/>
      <c r="AH45" s="601">
        <f t="array" ref="AH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" s="602">
        <f>scheduleapr[[#This Row],[SCHEDULE in nos]]-scheduleapr[[#This Row],[DISPATCH]]</f>
        <v/>
      </c>
      <c r="AJ45" s="599">
        <f>(3.14*(scheduleapr[[#This Row],[ACTUAL OD]]-scheduleapr[[#This Row],[TICKNESS]])*scheduleapr[[#This Row],[TICKNESS]]*scheduleapr[[#This Row],[LENGTH]]*7.85)/1000000*scheduleapr[[#This Row],[SCHEDULE in nos]]/1000</f>
        <v/>
      </c>
      <c r="AK45" s="599">
        <f>(3.14*(scheduleapr[[#This Row],[ACTUAL OD]]-scheduleapr[[#This Row],[TICKNESS]])*scheduleapr[[#This Row],[TICKNESS]]*scheduleapr[[#This Row],[LENGTH]]*7.85)/1000000*scheduleapr[[#This Row],[DISPATCH]]/1000</f>
        <v/>
      </c>
      <c r="AL45" s="599">
        <f>AJ45-AK45</f>
        <v/>
      </c>
      <c r="AM45" s="599">
        <f>scheduleapr[[#This Row],[SCHEDULE in nos]]/scheduleapr[[#This Row],[SCHEDULE IN MT]]*scheduleapr[[#This Row],[CTL Stock]]</f>
        <v/>
      </c>
      <c r="AN45" s="599">
        <f>SUMIFS(stock[MT],stock[Bucket],scheduleapr[[#This Row],[Bucket]],stock[CTL Bucket],scheduleapr[[#This Row],[CTL Bucket]],stock[Plant],"0789")</f>
        <v/>
      </c>
      <c r="AO45" s="599" t="n"/>
      <c r="AP45" s="599">
        <f>SUMIFS(stock[MT],stock[Bucket],scheduleapr[[#This Row],[Bucket]],stock[LL or CTL],"LL")</f>
        <v/>
      </c>
      <c r="AQ45" s="599">
        <f>+SUMIFS(wip[Stock(Net Wt)],wip[Bucket],scheduleapr[[#This Row],[Bucket]])/1000</f>
        <v/>
      </c>
      <c r="AR45" s="599">
        <f>AJ45-AN45</f>
        <v/>
      </c>
      <c r="AS45" s="118" t="n"/>
    </row>
    <row r="46">
      <c r="A46" s="594" t="n">
        <v>29</v>
      </c>
      <c r="B46" s="5" t="inlineStr">
        <is>
          <t>Hosur</t>
        </is>
      </c>
      <c r="C46" s="601" t="inlineStr">
        <is>
          <t>ELKAYEM AUTO</t>
        </is>
      </c>
      <c r="D46" s="601" t="inlineStr">
        <is>
          <t>ELKAYEM AUTO Hosur</t>
        </is>
      </c>
      <c r="E46" s="601" t="inlineStr">
        <is>
          <t>129663|948721</t>
        </is>
      </c>
      <c r="F46" s="601" t="n">
        <v>1900224</v>
      </c>
      <c r="G46" s="601">
        <f>_xlfn.CONCAT(scheduleapr[[#This Row],[CUSTOMER CODE]],"-",scheduleapr[[#This Row],[MATERIAL NO]])</f>
        <v/>
      </c>
      <c r="H46" s="601" t="inlineStr">
        <is>
          <t>TUB-O-O-AUT-AW-PE-15.88X1.6.000X6.0000</t>
        </is>
      </c>
      <c r="I46" s="601" t="inlineStr">
        <is>
          <t>ERW 1</t>
        </is>
      </c>
      <c r="J46" s="601" t="n"/>
      <c r="K46" s="601" t="inlineStr">
        <is>
          <t>PE</t>
        </is>
      </c>
      <c r="L46" s="601" t="inlineStr">
        <is>
          <t>CR</t>
        </is>
      </c>
      <c r="M46" s="596" t="inlineStr">
        <is>
          <t>HROP</t>
        </is>
      </c>
      <c r="N46" s="601" t="n"/>
      <c r="O46" s="601" t="n"/>
      <c r="P46" s="601" t="n"/>
      <c r="Q46" s="557">
        <f>CONCATENATE(scheduleapr[[#This Row],[OD]],"-",scheduleapr[[#This Row],[ID]],"-",scheduleapr[[#This Row],[TICKNESS]],"-",scheduleapr[[#This Row],[Grade]],"-",scheduleapr[[#This Row],[FC/NFC]])</f>
        <v/>
      </c>
      <c r="R46" s="557">
        <f>_xlfn.CONCAT(scheduleapr[[#This Row],[Bucket]],"-",scheduleapr[[#This Row],[LENGTH]]/1000)</f>
        <v/>
      </c>
      <c r="S46" s="557">
        <f>COUNTIF(scheduleapr[CTL Bucket],scheduleapr[[#This Row],[CTL Bucket]])</f>
        <v/>
      </c>
      <c r="T46" s="601" t="inlineStr">
        <is>
          <t>Hosur</t>
        </is>
      </c>
      <c r="U46" s="601" t="n"/>
      <c r="V46" s="557" t="n"/>
      <c r="W46" s="557" t="n"/>
      <c r="X46" s="599" t="n">
        <v>15.88</v>
      </c>
      <c r="Y46" s="599" t="n">
        <v>15.88</v>
      </c>
      <c r="Z46" s="599" t="n">
        <v>0</v>
      </c>
      <c r="AA46" s="599" t="n">
        <v>1.6</v>
      </c>
      <c r="AB46" s="600" t="n">
        <v>1000</v>
      </c>
      <c r="AC46" s="600" t="inlineStr">
        <is>
          <t>M</t>
        </is>
      </c>
      <c r="AD46" s="600" t="n"/>
      <c r="AE46" s="600" t="n"/>
      <c r="AF46" s="601" t="n"/>
      <c r="AG46" s="601" t="n"/>
      <c r="AH46" s="601">
        <f t="array" ref="AH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" s="602">
        <f>scheduleapr[[#This Row],[SCHEDULE in nos]]-scheduleapr[[#This Row],[DISPATCH]]</f>
        <v/>
      </c>
      <c r="AJ46" s="599">
        <f>(3.14*(scheduleapr[[#This Row],[ACTUAL OD]]-scheduleapr[[#This Row],[TICKNESS]])*scheduleapr[[#This Row],[TICKNESS]]*scheduleapr[[#This Row],[LENGTH]]*7.85)/1000000*scheduleapr[[#This Row],[SCHEDULE in nos]]/1000</f>
        <v/>
      </c>
      <c r="AK46" s="599">
        <f>(3.14*(scheduleapr[[#This Row],[ACTUAL OD]]-scheduleapr[[#This Row],[TICKNESS]])*scheduleapr[[#This Row],[TICKNESS]]*scheduleapr[[#This Row],[LENGTH]]*7.85)/1000000*scheduleapr[[#This Row],[DISPATCH]]/1000</f>
        <v/>
      </c>
      <c r="AL46" s="599">
        <f>AJ46-AK46</f>
        <v/>
      </c>
      <c r="AM46" s="599">
        <f>scheduleapr[[#This Row],[SCHEDULE in nos]]/scheduleapr[[#This Row],[SCHEDULE IN MT]]*scheduleapr[[#This Row],[CTL Stock]]</f>
        <v/>
      </c>
      <c r="AN46" s="599">
        <f>SUMIFS(stock[MT],stock[Bucket],scheduleapr[[#This Row],[Bucket]],stock[CTL Bucket],scheduleapr[[#This Row],[CTL Bucket]],stock[Plant],"0789")</f>
        <v/>
      </c>
      <c r="AO46" s="599" t="n"/>
      <c r="AP46" s="599">
        <f>SUMIFS(stock[MT],stock[Bucket],scheduleapr[[#This Row],[Bucket]],stock[LL or CTL],"LL")</f>
        <v/>
      </c>
      <c r="AQ46" s="599">
        <f>+SUMIFS(wip[Stock(Net Wt)],wip[Bucket],scheduleapr[[#This Row],[Bucket]])/1000</f>
        <v/>
      </c>
      <c r="AR46" s="599">
        <f>AJ46-AN46</f>
        <v/>
      </c>
      <c r="AS46" s="118" t="n"/>
    </row>
    <row r="47">
      <c r="A47" s="594" t="n">
        <v>30</v>
      </c>
      <c r="B47" s="5" t="inlineStr">
        <is>
          <t>Hosur</t>
        </is>
      </c>
      <c r="C47" s="601" t="inlineStr">
        <is>
          <t>ELKAYEM AUTO</t>
        </is>
      </c>
      <c r="D47" s="601" t="inlineStr">
        <is>
          <t>ELKAYEM AUTO Hosur</t>
        </is>
      </c>
      <c r="E47" s="601" t="inlineStr">
        <is>
          <t>129663|948721</t>
        </is>
      </c>
      <c r="F47" s="601" t="n">
        <v>468311</v>
      </c>
      <c r="G47" s="601">
        <f>_xlfn.CONCAT(scheduleapr[[#This Row],[CUSTOMER CODE]],"-",scheduleapr[[#This Row],[MATERIAL NO]])</f>
        <v/>
      </c>
      <c r="H47" s="601" t="inlineStr">
        <is>
          <t>TUB-O-N-AUT-AW-PE-15.88X2.000X0.291</t>
        </is>
      </c>
      <c r="I47" s="601" t="inlineStr">
        <is>
          <t>ERW 1</t>
        </is>
      </c>
      <c r="J47" s="601" t="n"/>
      <c r="K47" s="601" t="inlineStr">
        <is>
          <t>PE</t>
        </is>
      </c>
      <c r="L47" s="601" t="inlineStr">
        <is>
          <t>HR</t>
        </is>
      </c>
      <c r="M47" s="601" t="n"/>
      <c r="N47" s="601" t="n"/>
      <c r="O47" s="601" t="n"/>
      <c r="P47" s="601" t="n"/>
      <c r="Q47" s="557">
        <f>CONCATENATE(scheduleapr[[#This Row],[OD]],"-",scheduleapr[[#This Row],[ID]],"-",scheduleapr[[#This Row],[TICKNESS]],"-",scheduleapr[[#This Row],[Grade]],"-",scheduleapr[[#This Row],[FC/NFC]])</f>
        <v/>
      </c>
      <c r="R47" s="557">
        <f>_xlfn.CONCAT(scheduleapr[[#This Row],[Bucket]],"-",scheduleapr[[#This Row],[LENGTH]]/1000)</f>
        <v/>
      </c>
      <c r="S47" s="557">
        <f>COUNTIF(scheduleapr[CTL Bucket],scheduleapr[[#This Row],[CTL Bucket]])</f>
        <v/>
      </c>
      <c r="T47" s="601" t="inlineStr">
        <is>
          <t>Hosur</t>
        </is>
      </c>
      <c r="U47" s="557" t="n"/>
      <c r="V47" s="557" t="n"/>
      <c r="W47" s="557" t="n"/>
      <c r="X47" s="6" t="n">
        <v>15.88</v>
      </c>
      <c r="Y47" s="6" t="n">
        <v>15.88</v>
      </c>
      <c r="Z47" s="599" t="n">
        <v>0</v>
      </c>
      <c r="AA47" s="599" t="n">
        <v>2</v>
      </c>
      <c r="AB47" s="600" t="n">
        <v>291</v>
      </c>
      <c r="AC47" s="600" t="inlineStr">
        <is>
          <t>NOS</t>
        </is>
      </c>
      <c r="AD47" s="600" t="n"/>
      <c r="AE47" s="600" t="n"/>
      <c r="AF47" s="601" t="n"/>
      <c r="AG47" s="601" t="n"/>
      <c r="AH47" s="601">
        <f t="array" ref="AH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" s="602">
        <f>scheduleapr[[#This Row],[SCHEDULE in nos]]-scheduleapr[[#This Row],[DISPATCH]]</f>
        <v/>
      </c>
      <c r="AJ47" s="599">
        <f>(3.14*(scheduleapr[[#This Row],[ACTUAL OD]]-scheduleapr[[#This Row],[TICKNESS]])*scheduleapr[[#This Row],[TICKNESS]]*scheduleapr[[#This Row],[LENGTH]]*7.85)/1000000*scheduleapr[[#This Row],[SCHEDULE in nos]]/1000</f>
        <v/>
      </c>
      <c r="AK47" s="599">
        <f>(3.14*(scheduleapr[[#This Row],[ACTUAL OD]]-scheduleapr[[#This Row],[TICKNESS]])*scheduleapr[[#This Row],[TICKNESS]]*scheduleapr[[#This Row],[LENGTH]]*7.85)/1000000*scheduleapr[[#This Row],[DISPATCH]]/1000</f>
        <v/>
      </c>
      <c r="AL47" s="599">
        <f>AJ47-AK47</f>
        <v/>
      </c>
      <c r="AM47" s="599">
        <f>scheduleapr[[#This Row],[SCHEDULE in nos]]/scheduleapr[[#This Row],[SCHEDULE IN MT]]*scheduleapr[[#This Row],[CTL Stock]]</f>
        <v/>
      </c>
      <c r="AN47" s="599">
        <f>SUMIFS(stock[MT],stock[Bucket],scheduleapr[[#This Row],[Bucket]],stock[CTL Bucket],scheduleapr[[#This Row],[CTL Bucket]],stock[Plant],"0789")</f>
        <v/>
      </c>
      <c r="AO47" s="599" t="n"/>
      <c r="AP47" s="599">
        <f>SUMIFS(stock[MT],stock[Bucket],scheduleapr[[#This Row],[Bucket]],stock[LL or CTL],"LL")</f>
        <v/>
      </c>
      <c r="AQ47" s="599">
        <f>+SUMIFS(wip[Stock(Net Wt)],wip[Bucket],scheduleapr[[#This Row],[Bucket]])/1000</f>
        <v/>
      </c>
      <c r="AR47" s="599">
        <f>AJ47-AN47</f>
        <v/>
      </c>
      <c r="AS47" s="118" t="n"/>
    </row>
    <row r="48">
      <c r="A48" s="594" t="n">
        <v>33</v>
      </c>
      <c r="B48" s="5" t="inlineStr">
        <is>
          <t xml:space="preserve">Khopoli </t>
        </is>
      </c>
      <c r="C48" s="601" t="inlineStr">
        <is>
          <t>ELKAYEM AUTO</t>
        </is>
      </c>
      <c r="D48" s="601" t="inlineStr">
        <is>
          <t>ELKAYEM AUTO Hosur</t>
        </is>
      </c>
      <c r="E48" s="601" t="inlineStr">
        <is>
          <t>129663|948721</t>
        </is>
      </c>
      <c r="F48" s="601" t="n">
        <v>1938118</v>
      </c>
      <c r="G48" s="601">
        <f>_xlfn.CONCAT(scheduleapr[[#This Row],[CUSTOMER CODE]],"-",scheduleapr[[#This Row],[MATERIAL NO]])</f>
        <v/>
      </c>
      <c r="H48" s="601" t="inlineStr">
        <is>
          <t>TUB-O-N-AUT-AW-PE-17.30X1.600X0.3550</t>
        </is>
      </c>
      <c r="I48" s="601" t="inlineStr">
        <is>
          <t>ERW 1</t>
        </is>
      </c>
      <c r="J48" s="601" t="n"/>
      <c r="K48" s="601" t="inlineStr">
        <is>
          <t>PE</t>
        </is>
      </c>
      <c r="L48" s="601" t="inlineStr">
        <is>
          <t>CR</t>
        </is>
      </c>
      <c r="M48" s="601" t="inlineStr">
        <is>
          <t>D</t>
        </is>
      </c>
      <c r="N48" s="601" t="n"/>
      <c r="O48" s="601" t="n"/>
      <c r="P48" s="601" t="n"/>
      <c r="Q48" s="557">
        <f>CONCATENATE(scheduleapr[[#This Row],[OD]],"-",scheduleapr[[#This Row],[ID]],"-",scheduleapr[[#This Row],[TICKNESS]],"-",scheduleapr[[#This Row],[Grade]],"-",scheduleapr[[#This Row],[FC/NFC]])</f>
        <v/>
      </c>
      <c r="R48" s="557">
        <f>_xlfn.CONCAT(scheduleapr[[#This Row],[Bucket]],"-",scheduleapr[[#This Row],[LENGTH]]/1000)</f>
        <v/>
      </c>
      <c r="S48" s="557">
        <f>COUNTIF(scheduleapr[CTL Bucket],scheduleapr[[#This Row],[CTL Bucket]])</f>
        <v/>
      </c>
      <c r="T48" s="601" t="inlineStr">
        <is>
          <t>Khopoli</t>
        </is>
      </c>
      <c r="U48" s="601">
        <f>_xlfn.IFNA(VLOOKUP(scheduleapr[[#This Row],[Bucket]],salesforecast[[#All],[Bucket2]:[8406 Stock]],19,0),0)</f>
        <v/>
      </c>
      <c r="V48" s="562">
        <f>_xlfn.IFNA(VLOOKUP(scheduleapr[[#This Row],[Bucket]],salesforecast[[#All],[Bucket2]:[8406 Stock]],20,0),0)+_xlfn.IFNA(VLOOKUP(scheduleapr[[#This Row],[Bucket]],salesforecast[[#All],[Bucket2]:[8406 Stock]],17,0),0)</f>
        <v/>
      </c>
      <c r="W48" s="557" t="n"/>
      <c r="X48" s="6" t="n">
        <v>17.3</v>
      </c>
      <c r="Y48" s="6" t="n">
        <v>17.3</v>
      </c>
      <c r="Z48" s="599" t="n">
        <v>0</v>
      </c>
      <c r="AA48" s="599" t="n">
        <v>1.6</v>
      </c>
      <c r="AB48" s="600" t="n">
        <v>355</v>
      </c>
      <c r="AC48" s="600" t="inlineStr">
        <is>
          <t>NOS</t>
        </is>
      </c>
      <c r="AD48" s="600" t="n"/>
      <c r="AE48" s="600" t="n"/>
      <c r="AF48" s="601" t="n">
        <v>15000</v>
      </c>
      <c r="AG48" s="601" t="n"/>
      <c r="AH48" s="601">
        <f t="array" ref="AH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" s="602">
        <f>scheduleapr[[#This Row],[SCHEDULE in nos]]-scheduleapr[[#This Row],[DISPATCH]]</f>
        <v/>
      </c>
      <c r="AJ48" s="599">
        <f>(3.14*(scheduleapr[[#This Row],[ACTUAL OD]]-scheduleapr[[#This Row],[TICKNESS]])*scheduleapr[[#This Row],[TICKNESS]]*scheduleapr[[#This Row],[LENGTH]]*7.85)/1000000*scheduleapr[[#This Row],[SCHEDULE in nos]]/1000</f>
        <v/>
      </c>
      <c r="AK48" s="599">
        <f>(3.14*(scheduleapr[[#This Row],[ACTUAL OD]]-scheduleapr[[#This Row],[TICKNESS]])*scheduleapr[[#This Row],[TICKNESS]]*scheduleapr[[#This Row],[LENGTH]]*7.85)/1000000*scheduleapr[[#This Row],[DISPATCH]]/1000</f>
        <v/>
      </c>
      <c r="AL48" s="599">
        <f>AJ48-AK48</f>
        <v/>
      </c>
      <c r="AM48" s="599">
        <f>scheduleapr[[#This Row],[SCHEDULE in nos]]/scheduleapr[[#This Row],[SCHEDULE IN MT]]*scheduleapr[[#This Row],[CTL Stock]]</f>
        <v/>
      </c>
      <c r="AN48" s="599">
        <f>SUMIFS(stock[MT],stock[Bucket],scheduleapr[[#This Row],[Bucket]],stock[CTL Bucket],scheduleapr[[#This Row],[CTL Bucket]],stock[Plant],"0789")</f>
        <v/>
      </c>
      <c r="AO48" s="599" t="n"/>
      <c r="AP48" s="599">
        <f>SUMIFS(stock[MT],stock[Bucket],scheduleapr[[#This Row],[Bucket]],stock[LL or CTL],"LL")</f>
        <v/>
      </c>
      <c r="AQ48" s="599">
        <f>+SUMIFS(wip[Stock(Net Wt)],wip[Bucket],scheduleapr[[#This Row],[Bucket]])/1000</f>
        <v/>
      </c>
      <c r="AR48" s="599">
        <f>AJ48-AN48</f>
        <v/>
      </c>
      <c r="AS48" s="118" t="n"/>
    </row>
    <row r="49">
      <c r="A49" s="594" t="n">
        <v>34</v>
      </c>
      <c r="B49" s="5" t="inlineStr">
        <is>
          <t xml:space="preserve">Khopoli </t>
        </is>
      </c>
      <c r="C49" s="601" t="inlineStr">
        <is>
          <t>ELKAYEM AUTO</t>
        </is>
      </c>
      <c r="D49" s="601" t="inlineStr">
        <is>
          <t>ELKAYEM AUTO Hosur</t>
        </is>
      </c>
      <c r="E49" s="601" t="inlineStr">
        <is>
          <t>129663|948721</t>
        </is>
      </c>
      <c r="F49" s="601" t="n"/>
      <c r="G49" s="601">
        <f>_xlfn.CONCAT(scheduleapr[[#This Row],[CUSTOMER CODE]],"-",scheduleapr[[#This Row],[MATERIAL NO]])</f>
        <v/>
      </c>
      <c r="H49" s="601" t="inlineStr">
        <is>
          <t>TUB-O-N-AUT-AW-PE-17.30X1.600X0.3850</t>
        </is>
      </c>
      <c r="I49" s="601" t="inlineStr">
        <is>
          <t>ERW 1</t>
        </is>
      </c>
      <c r="J49" s="601" t="n"/>
      <c r="K49" s="601" t="inlineStr">
        <is>
          <t>PE</t>
        </is>
      </c>
      <c r="L49" s="601" t="inlineStr">
        <is>
          <t>HR</t>
        </is>
      </c>
      <c r="M49" s="601" t="n"/>
      <c r="N49" s="601" t="n"/>
      <c r="O49" s="601" t="n"/>
      <c r="P49" s="601" t="n"/>
      <c r="Q49" s="557">
        <f>CONCATENATE(scheduleapr[[#This Row],[OD]],"-",scheduleapr[[#This Row],[ID]],"-",scheduleapr[[#This Row],[TICKNESS]],"-",scheduleapr[[#This Row],[Grade]],"-",scheduleapr[[#This Row],[FC/NFC]])</f>
        <v/>
      </c>
      <c r="R49" s="557">
        <f>_xlfn.CONCAT(scheduleapr[[#This Row],[Bucket]],"-",scheduleapr[[#This Row],[LENGTH]]/1000)</f>
        <v/>
      </c>
      <c r="S49" s="557">
        <f>COUNTIF(scheduleapr[CTL Bucket],scheduleapr[[#This Row],[CTL Bucket]])</f>
        <v/>
      </c>
      <c r="T49" s="557" t="n"/>
      <c r="U49" s="557" t="n"/>
      <c r="V49" s="557" t="n"/>
      <c r="W49" s="557" t="n"/>
      <c r="X49" s="6" t="n">
        <v>17.3</v>
      </c>
      <c r="Y49" s="6" t="n">
        <v>17.3</v>
      </c>
      <c r="Z49" s="599" t="n">
        <v>0</v>
      </c>
      <c r="AA49" s="599" t="n">
        <v>1.6</v>
      </c>
      <c r="AB49" s="600" t="n">
        <v>385</v>
      </c>
      <c r="AC49" s="600" t="inlineStr">
        <is>
          <t>NOS</t>
        </is>
      </c>
      <c r="AD49" s="600" t="n"/>
      <c r="AE49" s="600" t="n"/>
      <c r="AF49" s="601" t="n"/>
      <c r="AG49" s="601" t="n"/>
      <c r="AH49" s="601">
        <f t="array" ref="AH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" s="602">
        <f>scheduleapr[[#This Row],[SCHEDULE in nos]]-scheduleapr[[#This Row],[DISPATCH]]</f>
        <v/>
      </c>
      <c r="AJ49" s="599">
        <f>(3.14*(scheduleapr[[#This Row],[ACTUAL OD]]-scheduleapr[[#This Row],[TICKNESS]])*scheduleapr[[#This Row],[TICKNESS]]*scheduleapr[[#This Row],[LENGTH]]*7.85)/1000000*scheduleapr[[#This Row],[SCHEDULE in nos]]/1000</f>
        <v/>
      </c>
      <c r="AK49" s="599">
        <f>(3.14*(scheduleapr[[#This Row],[ACTUAL OD]]-scheduleapr[[#This Row],[TICKNESS]])*scheduleapr[[#This Row],[TICKNESS]]*scheduleapr[[#This Row],[LENGTH]]*7.85)/1000000*scheduleapr[[#This Row],[DISPATCH]]/1000</f>
        <v/>
      </c>
      <c r="AL49" s="599">
        <f>AJ49-AK49</f>
        <v/>
      </c>
      <c r="AM49" s="599">
        <f>scheduleapr[[#This Row],[SCHEDULE in nos]]/scheduleapr[[#This Row],[SCHEDULE IN MT]]*scheduleapr[[#This Row],[CTL Stock]]</f>
        <v/>
      </c>
      <c r="AN49" s="599">
        <f>SUMIFS(stock[MT],stock[Bucket],scheduleapr[[#This Row],[Bucket]],stock[CTL Bucket],scheduleapr[[#This Row],[CTL Bucket]],stock[Plant],"0789")</f>
        <v/>
      </c>
      <c r="AO49" s="599" t="n"/>
      <c r="AP49" s="599">
        <f>SUMIFS(stock[MT],stock[Bucket],scheduleapr[[#This Row],[Bucket]],stock[LL or CTL],"LL")</f>
        <v/>
      </c>
      <c r="AQ49" s="599">
        <f>+SUMIFS(wip[Stock(Net Wt)],wip[Bucket],scheduleapr[[#This Row],[Bucket]])/1000</f>
        <v/>
      </c>
      <c r="AR49" s="599">
        <f>AJ49-AN49</f>
        <v/>
      </c>
      <c r="AS49" s="118" t="n"/>
    </row>
    <row r="50">
      <c r="A50" s="594" t="n">
        <v>35</v>
      </c>
      <c r="B50" s="5" t="inlineStr">
        <is>
          <t xml:space="preserve">Khopoli </t>
        </is>
      </c>
      <c r="C50" s="601" t="inlineStr">
        <is>
          <t>ELKAYEM AUTO</t>
        </is>
      </c>
      <c r="D50" s="601" t="inlineStr">
        <is>
          <t>ELKAYEM AUTO Hosur</t>
        </is>
      </c>
      <c r="E50" s="601" t="inlineStr">
        <is>
          <t>129663|948721</t>
        </is>
      </c>
      <c r="F50" s="601" t="n">
        <v>1938119</v>
      </c>
      <c r="G50" s="601">
        <f>_xlfn.CONCAT(scheduleapr[[#This Row],[CUSTOMER CODE]],"-",scheduleapr[[#This Row],[MATERIAL NO]])</f>
        <v/>
      </c>
      <c r="H50" s="601" t="inlineStr">
        <is>
          <t>TUB-O-N-AUT-AW-PE-17.30X1.600X0.4000</t>
        </is>
      </c>
      <c r="I50" s="601" t="inlineStr">
        <is>
          <t>ERW 1</t>
        </is>
      </c>
      <c r="J50" s="601" t="n"/>
      <c r="K50" s="601" t="inlineStr">
        <is>
          <t>PE</t>
        </is>
      </c>
      <c r="L50" s="601" t="inlineStr">
        <is>
          <t>CR</t>
        </is>
      </c>
      <c r="M50" s="601" t="inlineStr">
        <is>
          <t>D</t>
        </is>
      </c>
      <c r="N50" s="601" t="n"/>
      <c r="O50" s="601" t="n"/>
      <c r="P50" s="601" t="n"/>
      <c r="Q50" s="557">
        <f>CONCATENATE(scheduleapr[[#This Row],[OD]],"-",scheduleapr[[#This Row],[ID]],"-",scheduleapr[[#This Row],[TICKNESS]],"-",scheduleapr[[#This Row],[Grade]],"-",scheduleapr[[#This Row],[FC/NFC]])</f>
        <v/>
      </c>
      <c r="R50" s="557">
        <f>_xlfn.CONCAT(scheduleapr[[#This Row],[Bucket]],"-",scheduleapr[[#This Row],[LENGTH]]/1000)</f>
        <v/>
      </c>
      <c r="S50" s="557">
        <f>COUNTIF(scheduleapr[CTL Bucket],scheduleapr[[#This Row],[CTL Bucket]])</f>
        <v/>
      </c>
      <c r="T50" s="601" t="inlineStr">
        <is>
          <t>Khopoli</t>
        </is>
      </c>
      <c r="U50" s="601">
        <f>_xlfn.IFNA(VLOOKUP(scheduleapr[[#This Row],[Bucket]],salesforecast[[#All],[Bucket2]:[8406 Stock]],19,0),0)</f>
        <v/>
      </c>
      <c r="V50" s="562">
        <f>_xlfn.IFNA(VLOOKUP(scheduleapr[[#This Row],[Bucket]],salesforecast[[#All],[Bucket2]:[8406 Stock]],20,0),0)+_xlfn.IFNA(VLOOKUP(scheduleapr[[#This Row],[Bucket]],salesforecast[[#All],[Bucket2]:[8406 Stock]],17,0),0)</f>
        <v/>
      </c>
      <c r="W50" s="557" t="n"/>
      <c r="X50" s="6" t="n">
        <v>17.3</v>
      </c>
      <c r="Y50" s="6" t="n">
        <v>17.3</v>
      </c>
      <c r="Z50" s="599" t="n">
        <v>0</v>
      </c>
      <c r="AA50" s="599" t="n">
        <v>1.6</v>
      </c>
      <c r="AB50" s="600" t="n">
        <v>400</v>
      </c>
      <c r="AC50" s="600" t="inlineStr">
        <is>
          <t>NOS</t>
        </is>
      </c>
      <c r="AD50" s="600" t="n"/>
      <c r="AE50" s="600" t="n"/>
      <c r="AF50" s="601" t="n">
        <v>20000</v>
      </c>
      <c r="AG50" s="601" t="n"/>
      <c r="AH50" s="601">
        <f t="array" ref="AH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" s="602">
        <f>scheduleapr[[#This Row],[SCHEDULE in nos]]-scheduleapr[[#This Row],[DISPATCH]]</f>
        <v/>
      </c>
      <c r="AJ50" s="599">
        <f>(3.14*(scheduleapr[[#This Row],[ACTUAL OD]]-scheduleapr[[#This Row],[TICKNESS]])*scheduleapr[[#This Row],[TICKNESS]]*scheduleapr[[#This Row],[LENGTH]]*7.85)/1000000*scheduleapr[[#This Row],[SCHEDULE in nos]]/1000</f>
        <v/>
      </c>
      <c r="AK50" s="599">
        <f>(3.14*(scheduleapr[[#This Row],[ACTUAL OD]]-scheduleapr[[#This Row],[TICKNESS]])*scheduleapr[[#This Row],[TICKNESS]]*scheduleapr[[#This Row],[LENGTH]]*7.85)/1000000*scheduleapr[[#This Row],[DISPATCH]]/1000</f>
        <v/>
      </c>
      <c r="AL50" s="599">
        <f>AJ50-AK50</f>
        <v/>
      </c>
      <c r="AM50" s="599">
        <f>scheduleapr[[#This Row],[SCHEDULE in nos]]/scheduleapr[[#This Row],[SCHEDULE IN MT]]*scheduleapr[[#This Row],[CTL Stock]]</f>
        <v/>
      </c>
      <c r="AN50" s="599">
        <f>SUMIFS(stock[MT],stock[Bucket],scheduleapr[[#This Row],[Bucket]],stock[CTL Bucket],scheduleapr[[#This Row],[CTL Bucket]],stock[Plant],"0789")</f>
        <v/>
      </c>
      <c r="AO50" s="599" t="n"/>
      <c r="AP50" s="599">
        <f>SUMIFS(stock[MT],stock[Bucket],scheduleapr[[#This Row],[Bucket]],stock[LL or CTL],"LL")</f>
        <v/>
      </c>
      <c r="AQ50" s="599">
        <f>+SUMIFS(wip[Stock(Net Wt)],wip[Bucket],scheduleapr[[#This Row],[Bucket]])/1000</f>
        <v/>
      </c>
      <c r="AR50" s="599">
        <f>AJ50-AN50</f>
        <v/>
      </c>
      <c r="AS50" s="118" t="n"/>
    </row>
    <row r="51">
      <c r="A51" s="594" t="n">
        <v>43</v>
      </c>
      <c r="B51" s="5" t="inlineStr">
        <is>
          <t>Hosur</t>
        </is>
      </c>
      <c r="C51" s="601" t="inlineStr">
        <is>
          <t>ELKAYEM AUTO</t>
        </is>
      </c>
      <c r="D51" s="601" t="inlineStr">
        <is>
          <t>ELKAYEM AUTO Hosur</t>
        </is>
      </c>
      <c r="E51" s="601" t="inlineStr">
        <is>
          <t>129663|948721</t>
        </is>
      </c>
      <c r="F51" s="601" t="n">
        <v>1940284</v>
      </c>
      <c r="G51" s="601">
        <f>_xlfn.CONCAT(scheduleapr[[#This Row],[CUSTOMER CODE]],"-",scheduleapr[[#This Row],[MATERIAL NO]])</f>
        <v/>
      </c>
      <c r="H51" s="601" t="inlineStr">
        <is>
          <t>TUB-O-O-AUT-AW-PE-19.05X2.000X0.7850</t>
        </is>
      </c>
      <c r="I51" s="601" t="inlineStr">
        <is>
          <t>ERW 1</t>
        </is>
      </c>
      <c r="J51" s="601" t="n"/>
      <c r="K51" s="601" t="inlineStr">
        <is>
          <t>PE</t>
        </is>
      </c>
      <c r="L51" s="601" t="inlineStr">
        <is>
          <t>HR</t>
        </is>
      </c>
      <c r="M51" s="601" t="n"/>
      <c r="N51" s="601" t="n"/>
      <c r="O51" s="601" t="n"/>
      <c r="P51" s="601" t="n"/>
      <c r="Q51" s="557">
        <f>CONCATENATE(scheduleapr[[#This Row],[OD]],"-",scheduleapr[[#This Row],[ID]],"-",scheduleapr[[#This Row],[TICKNESS]],"-",scheduleapr[[#This Row],[Grade]],"-",scheduleapr[[#This Row],[FC/NFC]])</f>
        <v/>
      </c>
      <c r="R51" s="557">
        <f>_xlfn.CONCAT(scheduleapr[[#This Row],[Bucket]],"-",scheduleapr[[#This Row],[LENGTH]]/1000)</f>
        <v/>
      </c>
      <c r="S51" s="557">
        <f>COUNTIF(scheduleapr[CTL Bucket],scheduleapr[[#This Row],[CTL Bucket]])</f>
        <v/>
      </c>
      <c r="T51" s="601" t="inlineStr">
        <is>
          <t>Hosur</t>
        </is>
      </c>
      <c r="U51" s="601">
        <f>_xlfn.IFNA(VLOOKUP(scheduleapr[[#This Row],[Bucket]],salesforecast[[#All],[Bucket2]:[8406 Stock]],19,0),0)</f>
        <v/>
      </c>
      <c r="V51" s="562">
        <f>_xlfn.IFNA(VLOOKUP(scheduleapr[[#This Row],[Bucket]],salesforecast[[#All],[Bucket2]:[8406 Stock]],20,0),0)+_xlfn.IFNA(VLOOKUP(scheduleapr[[#This Row],[Bucket]],salesforecast[[#All],[Bucket2]:[8406 Stock]],17,0),0)</f>
        <v/>
      </c>
      <c r="W51" s="557" t="n"/>
      <c r="X51" s="599" t="n">
        <v>19.05</v>
      </c>
      <c r="Y51" s="599" t="n">
        <v>19.05</v>
      </c>
      <c r="Z51" s="599" t="n">
        <v>0</v>
      </c>
      <c r="AA51" s="599" t="n">
        <v>2</v>
      </c>
      <c r="AB51" s="600" t="n">
        <v>785</v>
      </c>
      <c r="AC51" s="600" t="inlineStr">
        <is>
          <t>NOS</t>
        </is>
      </c>
      <c r="AD51" s="600" t="n"/>
      <c r="AE51" s="600" t="n"/>
      <c r="AF51" s="601" t="n">
        <v>3000</v>
      </c>
      <c r="AG51" s="601" t="n"/>
      <c r="AH51" s="601">
        <f t="array" ref="AH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" s="602">
        <f>scheduleapr[[#This Row],[SCHEDULE in nos]]-scheduleapr[[#This Row],[DISPATCH]]</f>
        <v/>
      </c>
      <c r="AJ51" s="599">
        <f>(3.14*(scheduleapr[[#This Row],[ACTUAL OD]]-scheduleapr[[#This Row],[TICKNESS]])*scheduleapr[[#This Row],[TICKNESS]]*scheduleapr[[#This Row],[LENGTH]]*7.85)/1000000*scheduleapr[[#This Row],[SCHEDULE in nos]]/1000</f>
        <v/>
      </c>
      <c r="AK51" s="599">
        <f>(3.14*(scheduleapr[[#This Row],[ACTUAL OD]]-scheduleapr[[#This Row],[TICKNESS]])*scheduleapr[[#This Row],[TICKNESS]]*scheduleapr[[#This Row],[LENGTH]]*7.85)/1000000*scheduleapr[[#This Row],[DISPATCH]]/1000</f>
        <v/>
      </c>
      <c r="AL51" s="599">
        <f>AJ51-AK51</f>
        <v/>
      </c>
      <c r="AM51" s="599">
        <f>scheduleapr[[#This Row],[SCHEDULE in nos]]/scheduleapr[[#This Row],[SCHEDULE IN MT]]*scheduleapr[[#This Row],[CTL Stock]]</f>
        <v/>
      </c>
      <c r="AN51" s="599">
        <f>SUMIFS(stock[MT],stock[Bucket],scheduleapr[[#This Row],[Bucket]],stock[CTL Bucket],scheduleapr[[#This Row],[CTL Bucket]],stock[Plant],"0789")</f>
        <v/>
      </c>
      <c r="AO51" s="599" t="n"/>
      <c r="AP51" s="599">
        <f>SUMIFS(stock[MT],stock[Bucket],scheduleapr[[#This Row],[Bucket]],stock[LL or CTL],"LL")</f>
        <v/>
      </c>
      <c r="AQ51" s="599">
        <f>+SUMIFS(wip[Stock(Net Wt)],wip[Bucket],scheduleapr[[#This Row],[Bucket]])/1000</f>
        <v/>
      </c>
      <c r="AR51" s="599">
        <f>AJ51-AN51</f>
        <v/>
      </c>
      <c r="AS51" s="118" t="n"/>
    </row>
    <row r="52">
      <c r="A52" s="594" t="n">
        <v>44</v>
      </c>
      <c r="B52" s="5" t="inlineStr">
        <is>
          <t>Hosur</t>
        </is>
      </c>
      <c r="C52" s="601" t="inlineStr">
        <is>
          <t>ELKAYEM AUTO</t>
        </is>
      </c>
      <c r="D52" s="601" t="inlineStr">
        <is>
          <t>ELKAYEM AUTO Hosur</t>
        </is>
      </c>
      <c r="E52" s="601" t="inlineStr">
        <is>
          <t>129663|948721</t>
        </is>
      </c>
      <c r="F52" s="601" t="n">
        <v>1937438</v>
      </c>
      <c r="G52" s="601">
        <f>_xlfn.CONCAT(scheduleapr[[#This Row],[CUSTOMER CODE]],"-",scheduleapr[[#This Row],[MATERIAL NO]])</f>
        <v/>
      </c>
      <c r="H52" s="601" t="inlineStr">
        <is>
          <t>TUB-O-N-AUT-AW-PE-19.05X2.030X0.8300</t>
        </is>
      </c>
      <c r="I52" s="601" t="inlineStr">
        <is>
          <t>ERW 1</t>
        </is>
      </c>
      <c r="J52" s="601" t="n"/>
      <c r="K52" s="601" t="inlineStr">
        <is>
          <t>PE</t>
        </is>
      </c>
      <c r="L52" s="601" t="inlineStr">
        <is>
          <t>HR</t>
        </is>
      </c>
      <c r="M52" s="601" t="n"/>
      <c r="N52" s="601" t="n"/>
      <c r="O52" s="601" t="n"/>
      <c r="P52" s="601" t="n"/>
      <c r="Q52" s="557">
        <f>CONCATENATE(scheduleapr[[#This Row],[OD]],"-",scheduleapr[[#This Row],[ID]],"-",scheduleapr[[#This Row],[TICKNESS]],"-",scheduleapr[[#This Row],[Grade]],"-",scheduleapr[[#This Row],[FC/NFC]])</f>
        <v/>
      </c>
      <c r="R52" s="557">
        <f>_xlfn.CONCAT(scheduleapr[[#This Row],[Bucket]],"-",scheduleapr[[#This Row],[LENGTH]]/1000)</f>
        <v/>
      </c>
      <c r="S52" s="557">
        <f>COUNTIF(scheduleapr[CTL Bucket],scheduleapr[[#This Row],[CTL Bucket]])</f>
        <v/>
      </c>
      <c r="T52" s="601" t="inlineStr">
        <is>
          <t>Hosur</t>
        </is>
      </c>
      <c r="U52" s="601">
        <f>_xlfn.IFNA(VLOOKUP(scheduleapr[[#This Row],[Bucket]],salesforecast[[#All],[Bucket2]:[8406 Stock]],19,0),0)</f>
        <v/>
      </c>
      <c r="V52" s="562">
        <f>_xlfn.IFNA(VLOOKUP(scheduleapr[[#This Row],[Bucket]],salesforecast[[#All],[Bucket2]:[8406 Stock]],20,0),0)+_xlfn.IFNA(VLOOKUP(scheduleapr[[#This Row],[Bucket]],salesforecast[[#All],[Bucket2]:[8406 Stock]],17,0),0)</f>
        <v/>
      </c>
      <c r="W52" s="557" t="n"/>
      <c r="X52" s="599" t="n">
        <v>19.05</v>
      </c>
      <c r="Y52" s="599" t="n">
        <v>19.05</v>
      </c>
      <c r="Z52" s="599" t="n">
        <v>0</v>
      </c>
      <c r="AA52" s="599" t="n">
        <v>2</v>
      </c>
      <c r="AB52" s="600" t="n">
        <v>830</v>
      </c>
      <c r="AC52" s="600" t="inlineStr">
        <is>
          <t>NOS</t>
        </is>
      </c>
      <c r="AD52" s="600" t="n"/>
      <c r="AE52" s="600" t="n"/>
      <c r="AF52" s="601" t="n">
        <v>3000</v>
      </c>
      <c r="AG52" s="601" t="n"/>
      <c r="AH52" s="601">
        <f t="array" ref="AH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" s="602">
        <f>scheduleapr[[#This Row],[SCHEDULE in nos]]-scheduleapr[[#This Row],[DISPATCH]]</f>
        <v/>
      </c>
      <c r="AJ52" s="599">
        <f>(3.14*(scheduleapr[[#This Row],[ACTUAL OD]]-scheduleapr[[#This Row],[TICKNESS]])*scheduleapr[[#This Row],[TICKNESS]]*scheduleapr[[#This Row],[LENGTH]]*7.85)/1000000*scheduleapr[[#This Row],[SCHEDULE in nos]]/1000</f>
        <v/>
      </c>
      <c r="AK52" s="599">
        <f>(3.14*(scheduleapr[[#This Row],[ACTUAL OD]]-scheduleapr[[#This Row],[TICKNESS]])*scheduleapr[[#This Row],[TICKNESS]]*scheduleapr[[#This Row],[LENGTH]]*7.85)/1000000*scheduleapr[[#This Row],[DISPATCH]]/1000</f>
        <v/>
      </c>
      <c r="AL52" s="599">
        <f>AJ52-AK52</f>
        <v/>
      </c>
      <c r="AM52" s="599">
        <f>scheduleapr[[#This Row],[SCHEDULE in nos]]/scheduleapr[[#This Row],[SCHEDULE IN MT]]*scheduleapr[[#This Row],[CTL Stock]]</f>
        <v/>
      </c>
      <c r="AN52" s="599">
        <f>SUMIFS(stock[MT],stock[Bucket],scheduleapr[[#This Row],[Bucket]],stock[CTL Bucket],scheduleapr[[#This Row],[CTL Bucket]],stock[Plant],"0789")</f>
        <v/>
      </c>
      <c r="AO52" s="599" t="n"/>
      <c r="AP52" s="599">
        <f>SUMIFS(stock[MT],stock[Bucket],scheduleapr[[#This Row],[Bucket]],stock[LL or CTL],"LL")</f>
        <v/>
      </c>
      <c r="AQ52" s="599">
        <f>+SUMIFS(wip[Stock(Net Wt)],wip[Bucket],scheduleapr[[#This Row],[Bucket]])/1000</f>
        <v/>
      </c>
      <c r="AR52" s="599">
        <f>AJ52-AN52</f>
        <v/>
      </c>
      <c r="AS52" s="118" t="n"/>
    </row>
    <row r="53">
      <c r="A53" s="594" t="n">
        <v>45</v>
      </c>
      <c r="B53" s="5" t="inlineStr">
        <is>
          <t>Hosur</t>
        </is>
      </c>
      <c r="C53" s="601" t="inlineStr">
        <is>
          <t>ELKAYEM AUTO</t>
        </is>
      </c>
      <c r="D53" s="601" t="inlineStr">
        <is>
          <t>ELKAYEM AUTO Hosur</t>
        </is>
      </c>
      <c r="E53" s="601" t="inlineStr">
        <is>
          <t>129663|948721</t>
        </is>
      </c>
      <c r="F53" s="601" t="n">
        <v>2427712</v>
      </c>
      <c r="G53" s="601">
        <f>_xlfn.CONCAT(scheduleapr[[#This Row],[CUSTOMER CODE]],"-",scheduleapr[[#This Row],[MATERIAL NO]])</f>
        <v/>
      </c>
      <c r="H53" s="601" t="inlineStr">
        <is>
          <t>TUB-O-N-AUT-AW-PE-19.05X2.300X0.2550</t>
        </is>
      </c>
      <c r="I53" s="601" t="inlineStr">
        <is>
          <t>ERW 1</t>
        </is>
      </c>
      <c r="J53" s="601" t="n"/>
      <c r="K53" s="601" t="inlineStr">
        <is>
          <t>PE</t>
        </is>
      </c>
      <c r="L53" s="601" t="inlineStr">
        <is>
          <t>HR</t>
        </is>
      </c>
      <c r="M53" s="601" t="n"/>
      <c r="N53" s="601" t="n"/>
      <c r="O53" s="601" t="n"/>
      <c r="P53" s="601" t="n"/>
      <c r="Q53" s="557">
        <f>CONCATENATE(scheduleapr[[#This Row],[OD]],"-",scheduleapr[[#This Row],[ID]],"-",scheduleapr[[#This Row],[TICKNESS]],"-",scheduleapr[[#This Row],[Grade]],"-",scheduleapr[[#This Row],[FC/NFC]])</f>
        <v/>
      </c>
      <c r="R53" s="557">
        <f>_xlfn.CONCAT(scheduleapr[[#This Row],[Bucket]],"-",scheduleapr[[#This Row],[LENGTH]]/1000)</f>
        <v/>
      </c>
      <c r="S53" s="557">
        <f>COUNTIF(scheduleapr[CTL Bucket],scheduleapr[[#This Row],[CTL Bucket]])</f>
        <v/>
      </c>
      <c r="T53" s="601" t="inlineStr">
        <is>
          <t>Hosur</t>
        </is>
      </c>
      <c r="U53" s="601">
        <f>_xlfn.IFNA(VLOOKUP(scheduleapr[[#This Row],[Bucket]],salesforecast[[#All],[Bucket2]:[8406 Stock]],19,0),0)</f>
        <v/>
      </c>
      <c r="V53" s="562">
        <f>_xlfn.IFNA(VLOOKUP(scheduleapr[[#This Row],[Bucket]],salesforecast[[#All],[Bucket2]:[8406 Stock]],20,0),0)+_xlfn.IFNA(VLOOKUP(scheduleapr[[#This Row],[Bucket]],salesforecast[[#All],[Bucket2]:[8406 Stock]],17,0),0)</f>
        <v/>
      </c>
      <c r="W53" s="557" t="n"/>
      <c r="X53" s="599" t="n">
        <v>19.05</v>
      </c>
      <c r="Y53" s="599" t="n">
        <v>19.05</v>
      </c>
      <c r="Z53" s="599" t="n">
        <v>0</v>
      </c>
      <c r="AA53" s="599" t="n">
        <v>2.3</v>
      </c>
      <c r="AB53" s="600" t="n">
        <v>255</v>
      </c>
      <c r="AC53" s="600" t="inlineStr">
        <is>
          <t>NOS</t>
        </is>
      </c>
      <c r="AD53" s="600" t="n"/>
      <c r="AE53" s="600" t="n"/>
      <c r="AF53" s="600" t="n">
        <v>9000</v>
      </c>
      <c r="AG53" s="600" t="n"/>
      <c r="AH53" s="601">
        <f t="array" ref="AH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" s="602">
        <f>scheduleapr[[#This Row],[SCHEDULE in nos]]-scheduleapr[[#This Row],[DISPATCH]]</f>
        <v/>
      </c>
      <c r="AJ53" s="599">
        <f>(3.14*(scheduleapr[[#This Row],[ACTUAL OD]]-scheduleapr[[#This Row],[TICKNESS]])*scheduleapr[[#This Row],[TICKNESS]]*scheduleapr[[#This Row],[LENGTH]]*7.85)/1000000*scheduleapr[[#This Row],[SCHEDULE in nos]]/1000</f>
        <v/>
      </c>
      <c r="AK53" s="599">
        <f>(3.14*(scheduleapr[[#This Row],[ACTUAL OD]]-scheduleapr[[#This Row],[TICKNESS]])*scheduleapr[[#This Row],[TICKNESS]]*scheduleapr[[#This Row],[LENGTH]]*7.85)/1000000*scheduleapr[[#This Row],[DISPATCH]]/1000</f>
        <v/>
      </c>
      <c r="AL53" s="599">
        <f>AJ53-AK53</f>
        <v/>
      </c>
      <c r="AM53" s="599">
        <f>scheduleapr[[#This Row],[SCHEDULE in nos]]/scheduleapr[[#This Row],[SCHEDULE IN MT]]*scheduleapr[[#This Row],[CTL Stock]]</f>
        <v/>
      </c>
      <c r="AN53" s="599">
        <f>SUMIFS(stock[MT],stock[Bucket],scheduleapr[[#This Row],[Bucket]],stock[CTL Bucket],scheduleapr[[#This Row],[CTL Bucket]],stock[Plant],"0789")</f>
        <v/>
      </c>
      <c r="AO53" s="599" t="n"/>
      <c r="AP53" s="599">
        <f>SUMIFS(stock[MT],stock[Bucket],scheduleapr[[#This Row],[Bucket]],stock[LL or CTL],"LL")</f>
        <v/>
      </c>
      <c r="AQ53" s="599">
        <f>+SUMIFS(wip[Stock(Net Wt)],wip[Bucket],scheduleapr[[#This Row],[Bucket]])/1000</f>
        <v/>
      </c>
      <c r="AR53" s="599">
        <f>AJ53-AN53</f>
        <v/>
      </c>
      <c r="AS53" s="118" t="n"/>
    </row>
    <row r="54">
      <c r="A54" s="594" t="n">
        <v>46</v>
      </c>
      <c r="B54" s="5" t="inlineStr">
        <is>
          <t>Hosur</t>
        </is>
      </c>
      <c r="C54" s="601" t="inlineStr">
        <is>
          <t>ELKAYEM AUTO</t>
        </is>
      </c>
      <c r="D54" s="601" t="inlineStr">
        <is>
          <t>ELKAYEM AUTO Hosur</t>
        </is>
      </c>
      <c r="E54" s="601" t="inlineStr">
        <is>
          <t>129663|948721</t>
        </is>
      </c>
      <c r="F54" s="601" t="n">
        <v>2427711</v>
      </c>
      <c r="G54" s="601">
        <f>_xlfn.CONCAT(scheduleapr[[#This Row],[CUSTOMER CODE]],"-",scheduleapr[[#This Row],[MATERIAL NO]])</f>
        <v/>
      </c>
      <c r="H54" s="601" t="inlineStr">
        <is>
          <t>TUB-O-N-AUT-AW-PE-19.05X2.300X0.2850</t>
        </is>
      </c>
      <c r="I54" s="601" t="inlineStr">
        <is>
          <t>ERW 1</t>
        </is>
      </c>
      <c r="J54" s="601" t="n"/>
      <c r="K54" s="601" t="inlineStr">
        <is>
          <t>PE</t>
        </is>
      </c>
      <c r="L54" s="601" t="inlineStr">
        <is>
          <t>HR</t>
        </is>
      </c>
      <c r="M54" s="601" t="n"/>
      <c r="N54" s="601" t="n"/>
      <c r="O54" s="601" t="n"/>
      <c r="P54" s="601" t="n"/>
      <c r="Q54" s="557">
        <f>CONCATENATE(scheduleapr[[#This Row],[OD]],"-",scheduleapr[[#This Row],[ID]],"-",scheduleapr[[#This Row],[TICKNESS]],"-",scheduleapr[[#This Row],[Grade]],"-",scheduleapr[[#This Row],[FC/NFC]])</f>
        <v/>
      </c>
      <c r="R54" s="557">
        <f>_xlfn.CONCAT(scheduleapr[[#This Row],[Bucket]],"-",scheduleapr[[#This Row],[LENGTH]]/1000)</f>
        <v/>
      </c>
      <c r="S54" s="557">
        <f>COUNTIF(scheduleapr[CTL Bucket],scheduleapr[[#This Row],[CTL Bucket]])</f>
        <v/>
      </c>
      <c r="T54" s="601" t="inlineStr">
        <is>
          <t>Hosur</t>
        </is>
      </c>
      <c r="U54" s="601">
        <f>_xlfn.IFNA(VLOOKUP(scheduleapr[[#This Row],[Bucket]],salesforecast[[#All],[Bucket2]:[8406 Stock]],19,0),0)</f>
        <v/>
      </c>
      <c r="V54" s="562">
        <f>_xlfn.IFNA(VLOOKUP(scheduleapr[[#This Row],[Bucket]],salesforecast[[#All],[Bucket2]:[8406 Stock]],20,0),0)+_xlfn.IFNA(VLOOKUP(scheduleapr[[#This Row],[Bucket]],salesforecast[[#All],[Bucket2]:[8406 Stock]],17,0),0)</f>
        <v/>
      </c>
      <c r="W54" s="557" t="n"/>
      <c r="X54" s="599" t="n">
        <v>19.05</v>
      </c>
      <c r="Y54" s="599" t="n">
        <v>19.05</v>
      </c>
      <c r="Z54" s="599" t="n">
        <v>0</v>
      </c>
      <c r="AA54" s="599" t="n">
        <v>2.3</v>
      </c>
      <c r="AB54" s="600" t="n">
        <v>285</v>
      </c>
      <c r="AC54" s="600" t="inlineStr">
        <is>
          <t>NOS</t>
        </is>
      </c>
      <c r="AD54" s="600" t="n"/>
      <c r="AE54" s="600" t="n"/>
      <c r="AF54" s="600" t="n">
        <v>7500</v>
      </c>
      <c r="AG54" s="600" t="n"/>
      <c r="AH54" s="601">
        <f t="array" ref="AH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" s="602">
        <f>scheduleapr[[#This Row],[SCHEDULE in nos]]-scheduleapr[[#This Row],[DISPATCH]]</f>
        <v/>
      </c>
      <c r="AJ54" s="599">
        <f>(3.14*(scheduleapr[[#This Row],[ACTUAL OD]]-scheduleapr[[#This Row],[TICKNESS]])*scheduleapr[[#This Row],[TICKNESS]]*scheduleapr[[#This Row],[LENGTH]]*7.85)/1000000*scheduleapr[[#This Row],[SCHEDULE in nos]]/1000</f>
        <v/>
      </c>
      <c r="AK54" s="599">
        <f>(3.14*(scheduleapr[[#This Row],[ACTUAL OD]]-scheduleapr[[#This Row],[TICKNESS]])*scheduleapr[[#This Row],[TICKNESS]]*scheduleapr[[#This Row],[LENGTH]]*7.85)/1000000*scheduleapr[[#This Row],[DISPATCH]]/1000</f>
        <v/>
      </c>
      <c r="AL54" s="599">
        <f>AJ54-AK54</f>
        <v/>
      </c>
      <c r="AM54" s="599">
        <f>scheduleapr[[#This Row],[SCHEDULE in nos]]/scheduleapr[[#This Row],[SCHEDULE IN MT]]*scheduleapr[[#This Row],[CTL Stock]]</f>
        <v/>
      </c>
      <c r="AN54" s="599">
        <f>SUMIFS(stock[MT],stock[Bucket],scheduleapr[[#This Row],[Bucket]],stock[CTL Bucket],scheduleapr[[#This Row],[CTL Bucket]],stock[Plant],"0789")</f>
        <v/>
      </c>
      <c r="AO54" s="599" t="n"/>
      <c r="AP54" s="599">
        <f>SUMIFS(stock[MT],stock[Bucket],scheduleapr[[#This Row],[Bucket]],stock[LL or CTL],"LL")</f>
        <v/>
      </c>
      <c r="AQ54" s="599">
        <f>+SUMIFS(wip[Stock(Net Wt)],wip[Bucket],scheduleapr[[#This Row],[Bucket]])/1000</f>
        <v/>
      </c>
      <c r="AR54" s="599">
        <f>AJ54-AN54</f>
        <v/>
      </c>
      <c r="AS54" s="118" t="n"/>
    </row>
    <row r="55">
      <c r="A55" s="594" t="n">
        <v>47</v>
      </c>
      <c r="B55" s="5" t="inlineStr">
        <is>
          <t>Hosur</t>
        </is>
      </c>
      <c r="C55" s="601" t="inlineStr">
        <is>
          <t>ELKAYEM AUTO</t>
        </is>
      </c>
      <c r="D55" s="601" t="inlineStr">
        <is>
          <t>ELKAYEM AUTO Hosur</t>
        </is>
      </c>
      <c r="E55" s="601" t="inlineStr">
        <is>
          <t>129663|948721</t>
        </is>
      </c>
      <c r="F55" s="601" t="n">
        <v>1940313</v>
      </c>
      <c r="G55" s="601">
        <f>_xlfn.CONCAT(scheduleapr[[#This Row],[CUSTOMER CODE]],"-",scheduleapr[[#This Row],[MATERIAL NO]])</f>
        <v/>
      </c>
      <c r="H55" s="601" t="inlineStr">
        <is>
          <t>TUB-O-O-AUT-AW-PE-19.05X2.300X0.3030</t>
        </is>
      </c>
      <c r="I55" s="601" t="inlineStr">
        <is>
          <t>ERW 1</t>
        </is>
      </c>
      <c r="J55" s="601" t="n"/>
      <c r="K55" s="601" t="inlineStr">
        <is>
          <t>PE</t>
        </is>
      </c>
      <c r="L55" s="601" t="inlineStr">
        <is>
          <t>HR</t>
        </is>
      </c>
      <c r="M55" s="601" t="n"/>
      <c r="N55" s="601" t="n"/>
      <c r="O55" s="601" t="n"/>
      <c r="P55" s="601" t="n"/>
      <c r="Q55" s="557">
        <f>CONCATENATE(scheduleapr[[#This Row],[OD]],"-",scheduleapr[[#This Row],[ID]],"-",scheduleapr[[#This Row],[TICKNESS]],"-",scheduleapr[[#This Row],[Grade]],"-",scheduleapr[[#This Row],[FC/NFC]])</f>
        <v/>
      </c>
      <c r="R55" s="557">
        <f>_xlfn.CONCAT(scheduleapr[[#This Row],[Bucket]],"-",scheduleapr[[#This Row],[LENGTH]]/1000)</f>
        <v/>
      </c>
      <c r="S55" s="557">
        <f>COUNTIF(scheduleapr[CTL Bucket],scheduleapr[[#This Row],[CTL Bucket]])</f>
        <v/>
      </c>
      <c r="T55" s="601" t="inlineStr">
        <is>
          <t>Hosur</t>
        </is>
      </c>
      <c r="U55" s="601">
        <f>_xlfn.IFNA(VLOOKUP(scheduleapr[[#This Row],[Bucket]],salesforecast[[#All],[Bucket2]:[8406 Stock]],19,0),0)</f>
        <v/>
      </c>
      <c r="V55" s="562">
        <f>_xlfn.IFNA(VLOOKUP(scheduleapr[[#This Row],[Bucket]],salesforecast[[#All],[Bucket2]:[8406 Stock]],20,0),0)+_xlfn.IFNA(VLOOKUP(scheduleapr[[#This Row],[Bucket]],salesforecast[[#All],[Bucket2]:[8406 Stock]],17,0),0)</f>
        <v/>
      </c>
      <c r="W55" s="557" t="n"/>
      <c r="X55" s="599" t="n">
        <v>19.05</v>
      </c>
      <c r="Y55" s="599" t="n">
        <v>19.05</v>
      </c>
      <c r="Z55" s="599" t="n">
        <v>0</v>
      </c>
      <c r="AA55" s="599" t="n">
        <v>2.3</v>
      </c>
      <c r="AB55" s="600" t="n">
        <v>303</v>
      </c>
      <c r="AC55" s="600" t="inlineStr">
        <is>
          <t>NOS</t>
        </is>
      </c>
      <c r="AD55" s="600" t="n"/>
      <c r="AE55" s="600" t="n"/>
      <c r="AF55" s="601" t="n">
        <v>10000</v>
      </c>
      <c r="AG55" s="601" t="n"/>
      <c r="AH55" s="601">
        <f t="array" ref="AH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" s="602">
        <f>scheduleapr[[#This Row],[SCHEDULE in nos]]-scheduleapr[[#This Row],[DISPATCH]]</f>
        <v/>
      </c>
      <c r="AJ55" s="599">
        <f>(3.14*(scheduleapr[[#This Row],[ACTUAL OD]]-scheduleapr[[#This Row],[TICKNESS]])*scheduleapr[[#This Row],[TICKNESS]]*scheduleapr[[#This Row],[LENGTH]]*7.85)/1000000*scheduleapr[[#This Row],[SCHEDULE in nos]]/1000</f>
        <v/>
      </c>
      <c r="AK55" s="599">
        <f>(3.14*(scheduleapr[[#This Row],[ACTUAL OD]]-scheduleapr[[#This Row],[TICKNESS]])*scheduleapr[[#This Row],[TICKNESS]]*scheduleapr[[#This Row],[LENGTH]]*7.85)/1000000*scheduleapr[[#This Row],[DISPATCH]]/1000</f>
        <v/>
      </c>
      <c r="AL55" s="599">
        <f>AJ55-AK55</f>
        <v/>
      </c>
      <c r="AM55" s="599">
        <f>scheduleapr[[#This Row],[SCHEDULE in nos]]/scheduleapr[[#This Row],[SCHEDULE IN MT]]*scheduleapr[[#This Row],[CTL Stock]]</f>
        <v/>
      </c>
      <c r="AN55" s="599">
        <f>SUMIFS(stock[MT],stock[Bucket],scheduleapr[[#This Row],[Bucket]],stock[CTL Bucket],scheduleapr[[#This Row],[CTL Bucket]],stock[Plant],"0789")</f>
        <v/>
      </c>
      <c r="AO55" s="599" t="n"/>
      <c r="AP55" s="599">
        <f>SUMIFS(stock[MT],stock[Bucket],scheduleapr[[#This Row],[Bucket]],stock[LL or CTL],"LL")</f>
        <v/>
      </c>
      <c r="AQ55" s="599">
        <f>+SUMIFS(wip[Stock(Net Wt)],wip[Bucket],scheduleapr[[#This Row],[Bucket]])/1000</f>
        <v/>
      </c>
      <c r="AR55" s="599">
        <f>AJ55-AN55</f>
        <v/>
      </c>
      <c r="AS55" s="118" t="n"/>
    </row>
    <row r="56">
      <c r="A56" s="594" t="n">
        <v>48</v>
      </c>
      <c r="B56" s="5" t="inlineStr">
        <is>
          <t>Hosur</t>
        </is>
      </c>
      <c r="C56" s="601" t="inlineStr">
        <is>
          <t>ELKAYEM AUTO</t>
        </is>
      </c>
      <c r="D56" s="601" t="inlineStr">
        <is>
          <t>ELKAYEM AUTO Hosur</t>
        </is>
      </c>
      <c r="E56" s="601" t="inlineStr">
        <is>
          <t>129663|948721</t>
        </is>
      </c>
      <c r="F56" s="601" t="n">
        <v>1940363</v>
      </c>
      <c r="G56" s="601">
        <f>_xlfn.CONCAT(scheduleapr[[#This Row],[CUSTOMER CODE]],"-",scheduleapr[[#This Row],[MATERIAL NO]])</f>
        <v/>
      </c>
      <c r="H56" s="601" t="inlineStr">
        <is>
          <t>TUB-O-O-AUT-AW-PE-22.23X1.200X1.1620</t>
        </is>
      </c>
      <c r="I56" s="601" t="inlineStr">
        <is>
          <t>ERW 1</t>
        </is>
      </c>
      <c r="J56" s="601" t="n"/>
      <c r="K56" s="601" t="inlineStr">
        <is>
          <t>PE</t>
        </is>
      </c>
      <c r="L56" s="601" t="inlineStr">
        <is>
          <t>CR</t>
        </is>
      </c>
      <c r="M56" s="601" t="n"/>
      <c r="N56" s="601" t="n"/>
      <c r="O56" s="601" t="n"/>
      <c r="P56" s="601" t="n"/>
      <c r="Q56" s="557">
        <f>CONCATENATE(scheduleapr[[#This Row],[OD]],"-",scheduleapr[[#This Row],[ID]],"-",scheduleapr[[#This Row],[TICKNESS]],"-",scheduleapr[[#This Row],[Grade]],"-",scheduleapr[[#This Row],[FC/NFC]])</f>
        <v/>
      </c>
      <c r="R56" s="557">
        <f>_xlfn.CONCAT(scheduleapr[[#This Row],[Bucket]],"-",scheduleapr[[#This Row],[LENGTH]]/1000)</f>
        <v/>
      </c>
      <c r="S56" s="557">
        <f>COUNTIF(scheduleapr[CTL Bucket],scheduleapr[[#This Row],[CTL Bucket]])</f>
        <v/>
      </c>
      <c r="T56" s="601" t="inlineStr">
        <is>
          <t>Hosur</t>
        </is>
      </c>
      <c r="U56" s="601">
        <f>_xlfn.IFNA(VLOOKUP(scheduleapr[[#This Row],[Bucket]],salesforecast[[#All],[Bucket2]:[8406 Stock]],19,0),0)</f>
        <v/>
      </c>
      <c r="V56" s="562">
        <f>_xlfn.IFNA(VLOOKUP(scheduleapr[[#This Row],[Bucket]],salesforecast[[#All],[Bucket2]:[8406 Stock]],20,0),0)+_xlfn.IFNA(VLOOKUP(scheduleapr[[#This Row],[Bucket]],salesforecast[[#All],[Bucket2]:[8406 Stock]],17,0),0)</f>
        <v/>
      </c>
      <c r="W56" s="557" t="n"/>
      <c r="X56" s="599" t="n">
        <v>22.23</v>
      </c>
      <c r="Y56" s="599" t="n">
        <v>22.23</v>
      </c>
      <c r="Z56" s="599" t="n">
        <v>0</v>
      </c>
      <c r="AA56" s="599" t="n">
        <v>1.2</v>
      </c>
      <c r="AB56" s="600" t="n">
        <v>1162</v>
      </c>
      <c r="AC56" s="600" t="inlineStr">
        <is>
          <t>NOS</t>
        </is>
      </c>
      <c r="AD56" s="600" t="n"/>
      <c r="AE56" s="600" t="n"/>
      <c r="AF56" s="601" t="n">
        <v>8000</v>
      </c>
      <c r="AG56" s="601" t="n"/>
      <c r="AH56" s="601">
        <f t="array" ref="AH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" s="602">
        <f>scheduleapr[[#This Row],[SCHEDULE in nos]]-scheduleapr[[#This Row],[DISPATCH]]</f>
        <v/>
      </c>
      <c r="AJ56" s="599">
        <f>(3.14*(scheduleapr[[#This Row],[ACTUAL OD]]-scheduleapr[[#This Row],[TICKNESS]])*scheduleapr[[#This Row],[TICKNESS]]*scheduleapr[[#This Row],[LENGTH]]*7.85)/1000000*scheduleapr[[#This Row],[SCHEDULE in nos]]/1000</f>
        <v/>
      </c>
      <c r="AK56" s="599">
        <f>(3.14*(scheduleapr[[#This Row],[ACTUAL OD]]-scheduleapr[[#This Row],[TICKNESS]])*scheduleapr[[#This Row],[TICKNESS]]*scheduleapr[[#This Row],[LENGTH]]*7.85)/1000000*scheduleapr[[#This Row],[DISPATCH]]/1000</f>
        <v/>
      </c>
      <c r="AL56" s="599">
        <f>AJ56-AK56</f>
        <v/>
      </c>
      <c r="AM56" s="599">
        <f>scheduleapr[[#This Row],[SCHEDULE in nos]]/scheduleapr[[#This Row],[SCHEDULE IN MT]]*scheduleapr[[#This Row],[CTL Stock]]</f>
        <v/>
      </c>
      <c r="AN56" s="599">
        <f>SUMIFS(stock[MT],stock[Bucket],scheduleapr[[#This Row],[Bucket]],stock[CTL Bucket],scheduleapr[[#This Row],[CTL Bucket]],stock[Plant],"0789")</f>
        <v/>
      </c>
      <c r="AO56" s="599" t="n"/>
      <c r="AP56" s="599">
        <f>SUMIFS(stock[MT],stock[Bucket],scheduleapr[[#This Row],[Bucket]],stock[LL or CTL],"LL")</f>
        <v/>
      </c>
      <c r="AQ56" s="599">
        <f>+SUMIFS(wip[Stock(Net Wt)],wip[Bucket],scheduleapr[[#This Row],[Bucket]])/1000</f>
        <v/>
      </c>
      <c r="AR56" s="599">
        <f>AJ56-AN56</f>
        <v/>
      </c>
      <c r="AS56" s="118" t="n"/>
    </row>
    <row r="57">
      <c r="A57" s="594" t="n">
        <v>49</v>
      </c>
      <c r="B57" s="5" t="inlineStr">
        <is>
          <t>Hosur</t>
        </is>
      </c>
      <c r="C57" s="601" t="inlineStr">
        <is>
          <t>ELKAYEM AUTO</t>
        </is>
      </c>
      <c r="D57" s="601" t="inlineStr">
        <is>
          <t>ELKAYEM AUTO Hosur</t>
        </is>
      </c>
      <c r="E57" s="601" t="inlineStr">
        <is>
          <t>129663|948721</t>
        </is>
      </c>
      <c r="F57" s="601" t="n">
        <v>3599863</v>
      </c>
      <c r="G57" s="601">
        <f>_xlfn.CONCAT(scheduleapr[[#This Row],[CUSTOMER CODE]],"-",scheduleapr[[#This Row],[MATERIAL NO]])</f>
        <v/>
      </c>
      <c r="H57" s="601" t="inlineStr">
        <is>
          <t>TUB-O-N-AUT-AW-PE-22.23X1.600X0.9450</t>
        </is>
      </c>
      <c r="I57" s="601" t="inlineStr">
        <is>
          <t>ERW 1</t>
        </is>
      </c>
      <c r="J57" s="601" t="n"/>
      <c r="K57" s="601" t="inlineStr">
        <is>
          <t>PE</t>
        </is>
      </c>
      <c r="L57" s="601" t="inlineStr">
        <is>
          <t>CR</t>
        </is>
      </c>
      <c r="M57" s="596" t="inlineStr">
        <is>
          <t>HROP</t>
        </is>
      </c>
      <c r="N57" s="601" t="n"/>
      <c r="O57" s="601" t="n"/>
      <c r="P57" s="601" t="n"/>
      <c r="Q57" s="557">
        <f>CONCATENATE(scheduleapr[[#This Row],[OD]],"-",scheduleapr[[#This Row],[ID]],"-",scheduleapr[[#This Row],[TICKNESS]],"-",scheduleapr[[#This Row],[Grade]],"-",scheduleapr[[#This Row],[FC/NFC]])</f>
        <v/>
      </c>
      <c r="R57" s="557">
        <f>_xlfn.CONCAT(scheduleapr[[#This Row],[Bucket]],"-",scheduleapr[[#This Row],[LENGTH]]/1000)</f>
        <v/>
      </c>
      <c r="S57" s="557">
        <f>COUNTIF(scheduleapr[CTL Bucket],scheduleapr[[#This Row],[CTL Bucket]])</f>
        <v/>
      </c>
      <c r="T57" s="601" t="inlineStr">
        <is>
          <t>Hosur</t>
        </is>
      </c>
      <c r="U57" s="601" t="n"/>
      <c r="V57" s="557" t="n"/>
      <c r="W57" s="557" t="n"/>
      <c r="X57" s="6" t="n">
        <v>22.23</v>
      </c>
      <c r="Y57" s="6" t="n">
        <v>22.23</v>
      </c>
      <c r="Z57" s="599" t="n">
        <v>0</v>
      </c>
      <c r="AA57" s="599" t="n">
        <v>1.6</v>
      </c>
      <c r="AB57" s="600" t="n">
        <v>945</v>
      </c>
      <c r="AC57" s="600" t="inlineStr">
        <is>
          <t>NOS</t>
        </is>
      </c>
      <c r="AD57" s="600" t="n"/>
      <c r="AE57" s="600" t="n"/>
      <c r="AF57" s="601" t="n">
        <v>3000</v>
      </c>
      <c r="AG57" s="601" t="n"/>
      <c r="AH57" s="601">
        <f t="array" ref="AH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" s="602">
        <f>scheduleapr[[#This Row],[SCHEDULE in nos]]-scheduleapr[[#This Row],[DISPATCH]]</f>
        <v/>
      </c>
      <c r="AJ57" s="599">
        <f>(3.14*(scheduleapr[[#This Row],[ACTUAL OD]]-scheduleapr[[#This Row],[TICKNESS]])*scheduleapr[[#This Row],[TICKNESS]]*scheduleapr[[#This Row],[LENGTH]]*7.85)/1000000*scheduleapr[[#This Row],[SCHEDULE in nos]]/1000</f>
        <v/>
      </c>
      <c r="AK57" s="599">
        <f>(3.14*(scheduleapr[[#This Row],[ACTUAL OD]]-scheduleapr[[#This Row],[TICKNESS]])*scheduleapr[[#This Row],[TICKNESS]]*scheduleapr[[#This Row],[LENGTH]]*7.85)/1000000*scheduleapr[[#This Row],[DISPATCH]]/1000</f>
        <v/>
      </c>
      <c r="AL57" s="599">
        <f>AJ57-AK57</f>
        <v/>
      </c>
      <c r="AM57" s="599">
        <f>scheduleapr[[#This Row],[SCHEDULE in nos]]/scheduleapr[[#This Row],[SCHEDULE IN MT]]*scheduleapr[[#This Row],[CTL Stock]]</f>
        <v/>
      </c>
      <c r="AN57" s="599">
        <f>SUMIFS(stock[MT],stock[Bucket],scheduleapr[[#This Row],[Bucket]],stock[CTL Bucket],scheduleapr[[#This Row],[CTL Bucket]],stock[Plant],"0789")</f>
        <v/>
      </c>
      <c r="AO57" s="599" t="n"/>
      <c r="AP57" s="599">
        <f>SUMIFS(stock[MT],stock[Bucket],scheduleapr[[#This Row],[Bucket]],stock[LL or CTL],"LL")</f>
        <v/>
      </c>
      <c r="AQ57" s="599">
        <f>+SUMIFS(wip[Stock(Net Wt)],wip[Bucket],scheduleapr[[#This Row],[Bucket]])/1000</f>
        <v/>
      </c>
      <c r="AR57" s="599">
        <f>AJ57-AN57</f>
        <v/>
      </c>
      <c r="AS57" s="118" t="n"/>
    </row>
    <row r="58">
      <c r="A58" s="594" t="n">
        <v>50</v>
      </c>
      <c r="B58" s="5" t="inlineStr">
        <is>
          <t>Hosur</t>
        </is>
      </c>
      <c r="C58" s="601" t="inlineStr">
        <is>
          <t>ELKAYEM AUTO</t>
        </is>
      </c>
      <c r="D58" s="601" t="inlineStr">
        <is>
          <t>ELKAYEM AUTO Hosur</t>
        </is>
      </c>
      <c r="E58" s="601" t="inlineStr">
        <is>
          <t>129663|948721</t>
        </is>
      </c>
      <c r="F58" s="601" t="n">
        <v>288719</v>
      </c>
      <c r="G58" s="601">
        <f>_xlfn.CONCAT(scheduleapr[[#This Row],[CUSTOMER CODE]],"-",scheduleapr[[#This Row],[MATERIAL NO]])</f>
        <v/>
      </c>
      <c r="H58" s="601" t="inlineStr">
        <is>
          <t>PT2-O-N-AUT-AW-PE-22.20X2.000X0.715</t>
        </is>
      </c>
      <c r="I58" s="601" t="inlineStr">
        <is>
          <t>ERW 1</t>
        </is>
      </c>
      <c r="J58" s="601" t="n"/>
      <c r="K58" s="601" t="n"/>
      <c r="L58" s="601" t="inlineStr">
        <is>
          <t>HR</t>
        </is>
      </c>
      <c r="M58" s="601" t="n"/>
      <c r="N58" s="601" t="n"/>
      <c r="O58" s="601" t="n"/>
      <c r="P58" s="601" t="n"/>
      <c r="Q58" s="557">
        <f>CONCATENATE(scheduleapr[[#This Row],[OD]],"-",scheduleapr[[#This Row],[ID]],"-",scheduleapr[[#This Row],[TICKNESS]],"-",scheduleapr[[#This Row],[Grade]],"-",scheduleapr[[#This Row],[FC/NFC]])</f>
        <v/>
      </c>
      <c r="R58" s="557">
        <f>_xlfn.CONCAT(scheduleapr[[#This Row],[Bucket]],"-",scheduleapr[[#This Row],[LENGTH]]/1000)</f>
        <v/>
      </c>
      <c r="S58" s="557">
        <f>COUNTIF([2]!buckets[CTL Bucket],[2]!scheduleapr[[#This Row],[CTL Bucket]])</f>
        <v/>
      </c>
      <c r="T58" s="557" t="n"/>
      <c r="U58" s="557" t="n"/>
      <c r="V58" s="557" t="n"/>
      <c r="W58" s="557" t="n"/>
      <c r="X58" s="6" t="n">
        <v>22.23</v>
      </c>
      <c r="Y58" s="6" t="n">
        <v>22.23</v>
      </c>
      <c r="Z58" s="599" t="n">
        <v>0</v>
      </c>
      <c r="AA58" s="599" t="n">
        <v>2</v>
      </c>
      <c r="AB58" s="600" t="n">
        <v>715</v>
      </c>
      <c r="AC58" s="600" t="n"/>
      <c r="AD58" s="600" t="n"/>
      <c r="AE58" s="600" t="n"/>
      <c r="AF58" s="601" t="n"/>
      <c r="AG58" s="601" t="n"/>
      <c r="AH58" s="601">
        <f t="array" ref="AH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" s="602">
        <f>scheduleapr[[#This Row],[SCHEDULE in nos]]-scheduleapr[[#This Row],[DISPATCH]]</f>
        <v/>
      </c>
      <c r="AJ58" s="599">
        <f>(3.14*(scheduleapr[[#This Row],[ACTUAL OD]]-scheduleapr[[#This Row],[TICKNESS]])*scheduleapr[[#This Row],[TICKNESS]]*scheduleapr[[#This Row],[LENGTH]]*7.85)/1000000*scheduleapr[[#This Row],[SCHEDULE in nos]]/1000</f>
        <v/>
      </c>
      <c r="AK58" s="599">
        <f>(3.14*(scheduleapr[[#This Row],[ACTUAL OD]]-scheduleapr[[#This Row],[TICKNESS]])*scheduleapr[[#This Row],[TICKNESS]]*scheduleapr[[#This Row],[LENGTH]]*7.85)/1000000*scheduleapr[[#This Row],[DISPATCH]]/1000</f>
        <v/>
      </c>
      <c r="AL58" s="599">
        <f>AJ58-AK58</f>
        <v/>
      </c>
      <c r="AM58" s="599">
        <f>scheduleapr[[#This Row],[SCHEDULE in nos]]/scheduleapr[[#This Row],[SCHEDULE IN MT]]*scheduleapr[[#This Row],[CTL Stock]]</f>
        <v/>
      </c>
      <c r="AN58" s="599">
        <f>SUMIFS(stock[MT],stock[Bucket],scheduleapr[[#This Row],[Bucket]],stock[CTL Bucket],scheduleapr[[#This Row],[CTL Bucket]],stock[Plant],"0789")</f>
        <v/>
      </c>
      <c r="AO58" s="599" t="n"/>
      <c r="AP58" s="599">
        <f>SUMIFS(stock[MT],stock[Bucket],scheduleapr[[#This Row],[Bucket]],stock[LL or CTL],"LL")</f>
        <v/>
      </c>
      <c r="AQ58" s="599">
        <f>+SUMIFS(wip[Stock(Net Wt)],wip[Bucket],scheduleapr[[#This Row],[Bucket]])/1000</f>
        <v/>
      </c>
      <c r="AR58" s="599">
        <f>AJ58-AN58</f>
        <v/>
      </c>
      <c r="AS58" s="118" t="n"/>
    </row>
    <row r="59">
      <c r="A59" s="594" t="n"/>
      <c r="B59" s="5" t="inlineStr">
        <is>
          <t>Hosur</t>
        </is>
      </c>
      <c r="C59" s="601" t="inlineStr">
        <is>
          <t>ELKAYEM AUTO</t>
        </is>
      </c>
      <c r="D59" s="601" t="inlineStr">
        <is>
          <t>ELKAYEM AUTO Hosur</t>
        </is>
      </c>
      <c r="E59" s="601" t="inlineStr">
        <is>
          <t>129663|948721</t>
        </is>
      </c>
      <c r="F59" s="477" t="n">
        <v>4267147</v>
      </c>
      <c r="G59" s="601">
        <f>_xlfn.CONCAT(scheduleapr[[#This Row],[CUSTOMER CODE]],"-",scheduleapr[[#This Row],[MATERIAL NO]])</f>
        <v/>
      </c>
      <c r="H59" s="477" t="inlineStr">
        <is>
          <t>TUB-E-O-AUT-AW-FC-22.23X2.000X0.7380</t>
        </is>
      </c>
      <c r="I59" s="601" t="inlineStr">
        <is>
          <t>ERW 1</t>
        </is>
      </c>
      <c r="J59" s="601" t="n"/>
      <c r="K59" s="601" t="n"/>
      <c r="L59" s="601" t="n"/>
      <c r="M59" s="596" t="n"/>
      <c r="N59" s="601" t="n"/>
      <c r="O59" s="601" t="n"/>
      <c r="P59" s="601" t="n"/>
      <c r="Q59" s="601" t="n"/>
      <c r="R59" s="601" t="n"/>
      <c r="S59" s="601" t="n"/>
      <c r="T59" s="601" t="n"/>
      <c r="U59" s="601" t="n"/>
      <c r="V59" s="601" t="n"/>
      <c r="W59" s="601" t="n"/>
      <c r="X59" s="599" t="n">
        <v>22.23</v>
      </c>
      <c r="Y59" s="599" t="n">
        <v>22.23</v>
      </c>
      <c r="Z59" s="599" t="n">
        <v>0</v>
      </c>
      <c r="AA59" s="599" t="n">
        <v>2</v>
      </c>
      <c r="AB59" s="600" t="n">
        <v>738</v>
      </c>
      <c r="AC59" s="600" t="inlineStr">
        <is>
          <t>NOS</t>
        </is>
      </c>
      <c r="AD59" s="600" t="n"/>
      <c r="AE59" s="600" t="n"/>
      <c r="AF59" s="601" t="n">
        <v>17500</v>
      </c>
      <c r="AG59" s="601" t="n"/>
      <c r="AH59" s="601">
        <f t="array" ref="AH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" s="602">
        <f>scheduleapr[[#This Row],[SCHEDULE in nos]]-scheduleapr[[#This Row],[DISPATCH]]</f>
        <v/>
      </c>
      <c r="AJ59" s="599">
        <f>(3.14*(scheduleapr[[#This Row],[ACTUAL OD]]-scheduleapr[[#This Row],[TICKNESS]])*scheduleapr[[#This Row],[TICKNESS]]*scheduleapr[[#This Row],[LENGTH]]*7.85)/1000000*scheduleapr[[#This Row],[SCHEDULE in nos]]/1000</f>
        <v/>
      </c>
      <c r="AK59" s="599">
        <f>(3.14*(scheduleapr[[#This Row],[ACTUAL OD]]-scheduleapr[[#This Row],[TICKNESS]])*scheduleapr[[#This Row],[TICKNESS]]*scheduleapr[[#This Row],[LENGTH]]*7.85)/1000000*scheduleapr[[#This Row],[DISPATCH]]/1000</f>
        <v/>
      </c>
      <c r="AL59" s="599">
        <f>AJ59-AK59</f>
        <v/>
      </c>
      <c r="AM59" s="599">
        <f>scheduleapr[[#This Row],[SCHEDULE in nos]]/scheduleapr[[#This Row],[SCHEDULE IN MT]]*scheduleapr[[#This Row],[CTL Stock]]</f>
        <v/>
      </c>
      <c r="AN59" s="599">
        <f>SUMIFS(stock[MT],stock[Bucket],scheduleapr[[#This Row],[Bucket]],stock[CTL Bucket],scheduleapr[[#This Row],[CTL Bucket]],stock[Plant],"0789")</f>
        <v/>
      </c>
      <c r="AO59" s="599" t="n"/>
      <c r="AP59" s="599">
        <f>SUMIFS(stock[MT],stock[Bucket],scheduleapr[[#This Row],[Bucket]],stock[LL or CTL],"LL")</f>
        <v/>
      </c>
      <c r="AQ59" s="599">
        <f>+SUMIFS(wip[Stock(Net Wt)],wip[Bucket],scheduleapr[[#This Row],[Bucket]])/1000</f>
        <v/>
      </c>
      <c r="AR59" s="599">
        <f>AJ59-AN59</f>
        <v/>
      </c>
      <c r="AS59" s="118" t="n"/>
    </row>
    <row r="60">
      <c r="A60" s="594" t="n">
        <v>23</v>
      </c>
      <c r="B60" s="5" t="inlineStr">
        <is>
          <t>Hosur</t>
        </is>
      </c>
      <c r="C60" s="601" t="inlineStr">
        <is>
          <t>ELKAYEM AUTO</t>
        </is>
      </c>
      <c r="D60" s="601" t="inlineStr">
        <is>
          <t>ELKAYEM AUTO Hosur</t>
        </is>
      </c>
      <c r="E60" s="601" t="inlineStr">
        <is>
          <t>129663|948722</t>
        </is>
      </c>
      <c r="F60" s="9" t="n">
        <v>1940494</v>
      </c>
      <c r="G60" s="601">
        <f>_xlfn.CONCAT(scheduleapr[[#This Row],[CUSTOMER CODE]],"-",scheduleapr[[#This Row],[MATERIAL NO]])</f>
        <v/>
      </c>
      <c r="H60" s="127" t="inlineStr">
        <is>
          <t>TUB-O-O-AUT-AW-PE-22.23X2.000X6.0000</t>
        </is>
      </c>
      <c r="I60" s="601" t="inlineStr">
        <is>
          <t>ERW 1</t>
        </is>
      </c>
      <c r="J60" s="557" t="n"/>
      <c r="K60" s="557" t="inlineStr">
        <is>
          <t>FC</t>
        </is>
      </c>
      <c r="L60" s="601" t="inlineStr">
        <is>
          <t>HR</t>
        </is>
      </c>
      <c r="M60" s="557" t="n"/>
      <c r="N60" s="557" t="n"/>
      <c r="O60" s="557" t="n"/>
      <c r="P60" s="557" t="n"/>
      <c r="Q60" s="557">
        <f>CONCATENATE(scheduleapr[[#This Row],[OD]],"-",scheduleapr[[#This Row],[ID]],"-",scheduleapr[[#This Row],[TICKNESS]],"-",scheduleapr[[#This Row],[Grade]],"-",scheduleapr[[#This Row],[FC/NFC]])</f>
        <v/>
      </c>
      <c r="R60" s="557">
        <f>_xlfn.CONCAT(scheduleapr[[#This Row],[Bucket]],"-",scheduleapr[[#This Row],[LENGTH]]/1000)</f>
        <v/>
      </c>
      <c r="S60" s="557">
        <f>COUNTIF([2]!buckets[CTL Bucket],[2]!scheduleapr[[#This Row],[CTL Bucket]])</f>
        <v/>
      </c>
      <c r="T60" s="557" t="n"/>
      <c r="U60" s="557" t="n"/>
      <c r="V60" s="557" t="n"/>
      <c r="W60" s="557" t="n"/>
      <c r="X60" s="559" t="n">
        <v>22.23</v>
      </c>
      <c r="Y60" s="559" t="n">
        <v>22.23</v>
      </c>
      <c r="Z60" s="559" t="n">
        <v>0</v>
      </c>
      <c r="AA60" s="599" t="n">
        <v>2</v>
      </c>
      <c r="AB60" s="600" t="n">
        <v>1000</v>
      </c>
      <c r="AC60" s="600" t="inlineStr">
        <is>
          <t>M</t>
        </is>
      </c>
      <c r="AD60" s="600" t="n"/>
      <c r="AE60" s="600" t="n"/>
      <c r="AF60" s="557" t="n"/>
      <c r="AG60" s="557" t="n"/>
      <c r="AH60" s="601">
        <f t="array" ref="AH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" s="602">
        <f>scheduleapr[[#This Row],[SCHEDULE in nos]]-scheduleapr[[#This Row],[DISPATCH]]</f>
        <v/>
      </c>
      <c r="AJ60" s="599">
        <f>(3.14*(scheduleapr[[#This Row],[ACTUAL OD]]-scheduleapr[[#This Row],[TICKNESS]])*scheduleapr[[#This Row],[TICKNESS]]*scheduleapr[[#This Row],[LENGTH]]*7.85)/1000000*scheduleapr[[#This Row],[SCHEDULE in nos]]/1000</f>
        <v/>
      </c>
      <c r="AK60" s="599">
        <f>(3.14*(scheduleapr[[#This Row],[ACTUAL OD]]-scheduleapr[[#This Row],[TICKNESS]])*scheduleapr[[#This Row],[TICKNESS]]*scheduleapr[[#This Row],[LENGTH]]*7.85)/1000000*scheduleapr[[#This Row],[DISPATCH]]/1000</f>
        <v/>
      </c>
      <c r="AL60" s="599">
        <f>AJ60-AK60</f>
        <v/>
      </c>
      <c r="AM60" s="599">
        <f>scheduleapr[[#This Row],[SCHEDULE in nos]]/scheduleapr[[#This Row],[SCHEDULE IN MT]]*scheduleapr[[#This Row],[CTL Stock]]</f>
        <v/>
      </c>
      <c r="AN60" s="599">
        <f>SUMIFS(stock[MT],stock[Bucket],scheduleapr[[#This Row],[Bucket]],stock[CTL Bucket],scheduleapr[[#This Row],[CTL Bucket]],stock[Plant],"0789")</f>
        <v/>
      </c>
      <c r="AO60" s="599" t="n"/>
      <c r="AP60" s="599">
        <f>SUMIFS(stock[MT],stock[Bucket],scheduleapr[[#This Row],[Bucket]],stock[LL or CTL],"LL")</f>
        <v/>
      </c>
      <c r="AQ60" s="599">
        <f>+SUMIFS(wip[Stock(Net Wt)],wip[Bucket],scheduleapr[[#This Row],[Bucket]])/1000</f>
        <v/>
      </c>
      <c r="AR60" s="599">
        <f>AJ60-AN60</f>
        <v/>
      </c>
      <c r="AS60" s="118" t="n"/>
    </row>
    <row r="61">
      <c r="A61" s="594" t="n">
        <v>24</v>
      </c>
      <c r="B61" s="5" t="inlineStr">
        <is>
          <t>Hosur</t>
        </is>
      </c>
      <c r="C61" s="601" t="inlineStr">
        <is>
          <t>ELKAYEM AUTO</t>
        </is>
      </c>
      <c r="D61" s="601" t="inlineStr">
        <is>
          <t>ELKAYEM AUTO Hosur</t>
        </is>
      </c>
      <c r="E61" s="601" t="inlineStr">
        <is>
          <t>129663|948721</t>
        </is>
      </c>
      <c r="F61" s="557" t="inlineStr">
        <is>
          <t>NO MATERIAL CODE</t>
        </is>
      </c>
      <c r="G61" s="601">
        <f>_xlfn.CONCAT(scheduleapr[[#This Row],[CUSTOMER CODE]],"-",scheduleapr[[#This Row],[MATERIAL NO]])</f>
        <v/>
      </c>
      <c r="H61" s="557" t="n"/>
      <c r="I61" s="601" t="inlineStr">
        <is>
          <t>ERW 1</t>
        </is>
      </c>
      <c r="J61" s="557" t="n"/>
      <c r="K61" s="601" t="inlineStr">
        <is>
          <t>PE</t>
        </is>
      </c>
      <c r="L61" s="601" t="inlineStr">
        <is>
          <t>HR</t>
        </is>
      </c>
      <c r="M61" s="557" t="n"/>
      <c r="N61" s="557" t="n"/>
      <c r="O61" s="557" t="n"/>
      <c r="P61" s="557" t="n"/>
      <c r="Q61" s="557">
        <f>CONCATENATE(scheduleapr[[#This Row],[OD]],"-",scheduleapr[[#This Row],[ID]],"-",scheduleapr[[#This Row],[TICKNESS]],"-",scheduleapr[[#This Row],[Grade]],"-",scheduleapr[[#This Row],[FC/NFC]])</f>
        <v/>
      </c>
      <c r="R61" s="557">
        <f>_xlfn.CONCAT(scheduleapr[[#This Row],[Bucket]],"-",scheduleapr[[#This Row],[LENGTH]]/1000)</f>
        <v/>
      </c>
      <c r="S61" s="557">
        <f>COUNTIF(scheduleapr[CTL Bucket],scheduleapr[[#This Row],[CTL Bucket]])</f>
        <v/>
      </c>
      <c r="T61" s="557" t="n"/>
      <c r="U61" s="601">
        <f>_xlfn.IFNA(VLOOKUP(scheduleapr[[#This Row],[Bucket]],salesforecast[[#All],[Bucket2]:[8406 Stock]],19,0),0)</f>
        <v/>
      </c>
      <c r="V61" s="562">
        <f>_xlfn.IFNA(VLOOKUP(scheduleapr[[#This Row],[Bucket]],salesforecast[[#All],[Bucket2]:[8406 Stock]],20,0),0)+_xlfn.IFNA(VLOOKUP(scheduleapr[[#This Row],[Bucket]],salesforecast[[#All],[Bucket2]:[8406 Stock]],17,0),0)</f>
        <v/>
      </c>
      <c r="W61" s="557" t="n"/>
      <c r="X61" s="559" t="n">
        <v>22.23</v>
      </c>
      <c r="Y61" s="559" t="n">
        <v>22.23</v>
      </c>
      <c r="Z61" s="559" t="n">
        <v>0</v>
      </c>
      <c r="AA61" s="599" t="n">
        <v>2.3</v>
      </c>
      <c r="AB61" s="600" t="n">
        <v>220</v>
      </c>
      <c r="AC61" s="600" t="inlineStr">
        <is>
          <t>NOS</t>
        </is>
      </c>
      <c r="AD61" s="600" t="n"/>
      <c r="AE61" s="600" t="n"/>
      <c r="AF61" s="557" t="n"/>
      <c r="AG61" s="557" t="n"/>
      <c r="AH61" s="601">
        <f t="array" ref="AH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" s="602">
        <f>scheduleapr[[#This Row],[SCHEDULE in nos]]-scheduleapr[[#This Row],[DISPATCH]]</f>
        <v/>
      </c>
      <c r="AJ61" s="599">
        <f>(3.14*(scheduleapr[[#This Row],[ACTUAL OD]]-scheduleapr[[#This Row],[TICKNESS]])*scheduleapr[[#This Row],[TICKNESS]]*scheduleapr[[#This Row],[LENGTH]]*7.85)/1000000*scheduleapr[[#This Row],[SCHEDULE in nos]]/1000</f>
        <v/>
      </c>
      <c r="AK61" s="599">
        <f>(3.14*(scheduleapr[[#This Row],[ACTUAL OD]]-scheduleapr[[#This Row],[TICKNESS]])*scheduleapr[[#This Row],[TICKNESS]]*scheduleapr[[#This Row],[LENGTH]]*7.85)/1000000*scheduleapr[[#This Row],[DISPATCH]]/1000</f>
        <v/>
      </c>
      <c r="AL61" s="599">
        <f>AJ61-AK61</f>
        <v/>
      </c>
      <c r="AM61" s="599">
        <f>scheduleapr[[#This Row],[SCHEDULE in nos]]/scheduleapr[[#This Row],[SCHEDULE IN MT]]*scheduleapr[[#This Row],[CTL Stock]]</f>
        <v/>
      </c>
      <c r="AN61" s="599">
        <f>SUMIFS(stock[MT],stock[Bucket],scheduleapr[[#This Row],[Bucket]],stock[CTL Bucket],scheduleapr[[#This Row],[CTL Bucket]],stock[Plant],"0789")</f>
        <v/>
      </c>
      <c r="AO61" s="599" t="n"/>
      <c r="AP61" s="599">
        <f>SUMIFS(stock[MT],stock[Bucket],scheduleapr[[#This Row],[Bucket]],stock[LL or CTL],"LL")</f>
        <v/>
      </c>
      <c r="AQ61" s="599">
        <f>+SUMIFS(wip[Stock(Net Wt)],wip[Bucket],scheduleapr[[#This Row],[Bucket]])/1000</f>
        <v/>
      </c>
      <c r="AR61" s="599">
        <f>AJ61-AN61</f>
        <v/>
      </c>
      <c r="AS61" s="118" t="n"/>
    </row>
    <row r="62">
      <c r="A62" s="594" t="n">
        <v>51</v>
      </c>
      <c r="B62" s="5" t="inlineStr">
        <is>
          <t>Hosur</t>
        </is>
      </c>
      <c r="C62" s="601" t="inlineStr">
        <is>
          <t>ELKAYEM AUTO</t>
        </is>
      </c>
      <c r="D62" s="601" t="inlineStr">
        <is>
          <t>ELKAYEM AUTO Hosur</t>
        </is>
      </c>
      <c r="E62" s="601" t="inlineStr">
        <is>
          <t>129663|948721</t>
        </is>
      </c>
      <c r="F62" s="601" t="n">
        <v>1413976</v>
      </c>
      <c r="G62" s="601">
        <f>_xlfn.CONCAT(scheduleapr[[#This Row],[CUSTOMER CODE]],"-",scheduleapr[[#This Row],[MATERIAL NO]])</f>
        <v/>
      </c>
      <c r="H62" s="601" t="inlineStr">
        <is>
          <t>TUB-O-N-AUT-AH-PE-25.40X2.000X0.3150 HST</t>
        </is>
      </c>
      <c r="I62" s="601" t="inlineStr">
        <is>
          <t>ERW 1</t>
        </is>
      </c>
      <c r="J62" s="601" t="n"/>
      <c r="K62" s="601" t="inlineStr">
        <is>
          <t>FC</t>
        </is>
      </c>
      <c r="L62" s="601" t="inlineStr">
        <is>
          <t>HR</t>
        </is>
      </c>
      <c r="M62" s="601" t="n"/>
      <c r="N62" s="601" t="n"/>
      <c r="O62" s="601" t="n"/>
      <c r="P62" s="601" t="n"/>
      <c r="Q62" s="557">
        <f>CONCATENATE(scheduleapr[[#This Row],[OD]],"-",scheduleapr[[#This Row],[ID]],"-",scheduleapr[[#This Row],[TICKNESS]],"-",scheduleapr[[#This Row],[Grade]],"-",scheduleapr[[#This Row],[FC/NFC]])</f>
        <v/>
      </c>
      <c r="R62" s="557">
        <f>_xlfn.CONCAT(scheduleapr[[#This Row],[Bucket]],"-",scheduleapr[[#This Row],[LENGTH]]/1000)</f>
        <v/>
      </c>
      <c r="S62" s="557">
        <f>COUNTIF([2]!buckets[CTL Bucket],[2]!scheduleapr[[#This Row],[CTL Bucket]])</f>
        <v/>
      </c>
      <c r="T62" s="557" t="n"/>
      <c r="U62" s="557" t="n"/>
      <c r="V62" s="557" t="n"/>
      <c r="W62" s="557" t="n"/>
      <c r="X62" s="6" t="n">
        <v>25.4</v>
      </c>
      <c r="Y62" s="6" t="n">
        <v>25.4</v>
      </c>
      <c r="Z62" s="599" t="n">
        <v>0</v>
      </c>
      <c r="AA62" s="599" t="n">
        <v>2</v>
      </c>
      <c r="AB62" s="600" t="n">
        <v>315</v>
      </c>
      <c r="AC62" s="600" t="inlineStr">
        <is>
          <t>NOS</t>
        </is>
      </c>
      <c r="AD62" s="600" t="n"/>
      <c r="AE62" s="600" t="n"/>
      <c r="AF62" s="601" t="n"/>
      <c r="AG62" s="601" t="n"/>
      <c r="AH62" s="601">
        <f t="array" ref="AH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" s="602">
        <f>scheduleapr[[#This Row],[SCHEDULE in nos]]-scheduleapr[[#This Row],[DISPATCH]]</f>
        <v/>
      </c>
      <c r="AJ62" s="599">
        <f>(3.14*(scheduleapr[[#This Row],[ACTUAL OD]]-scheduleapr[[#This Row],[TICKNESS]])*scheduleapr[[#This Row],[TICKNESS]]*scheduleapr[[#This Row],[LENGTH]]*7.85)/1000000*scheduleapr[[#This Row],[SCHEDULE in nos]]/1000</f>
        <v/>
      </c>
      <c r="AK62" s="599">
        <f>(3.14*(scheduleapr[[#This Row],[ACTUAL OD]]-scheduleapr[[#This Row],[TICKNESS]])*scheduleapr[[#This Row],[TICKNESS]]*scheduleapr[[#This Row],[LENGTH]]*7.85)/1000000*scheduleapr[[#This Row],[DISPATCH]]/1000</f>
        <v/>
      </c>
      <c r="AL62" s="599">
        <f>AJ62-AK62</f>
        <v/>
      </c>
      <c r="AM62" s="599">
        <f>scheduleapr[[#This Row],[SCHEDULE in nos]]/scheduleapr[[#This Row],[SCHEDULE IN MT]]*scheduleapr[[#This Row],[CTL Stock]]</f>
        <v/>
      </c>
      <c r="AN62" s="599">
        <f>SUMIFS(stock[MT],stock[Bucket],scheduleapr[[#This Row],[Bucket]],stock[CTL Bucket],scheduleapr[[#This Row],[CTL Bucket]],stock[Plant],"0789")</f>
        <v/>
      </c>
      <c r="AO62" s="599" t="n"/>
      <c r="AP62" s="599">
        <f>SUMIFS(stock[MT],stock[Bucket],scheduleapr[[#This Row],[Bucket]],stock[LL or CTL],"LL")</f>
        <v/>
      </c>
      <c r="AQ62" s="599">
        <f>+SUMIFS(wip[Stock(Net Wt)],wip[Bucket],scheduleapr[[#This Row],[Bucket]])/1000</f>
        <v/>
      </c>
      <c r="AR62" s="599">
        <f>AJ62-AN62</f>
        <v/>
      </c>
      <c r="AS62" s="118" t="n"/>
    </row>
    <row r="63">
      <c r="A63" s="594" t="n">
        <v>52</v>
      </c>
      <c r="B63" s="5" t="inlineStr">
        <is>
          <t>Hosur</t>
        </is>
      </c>
      <c r="C63" s="601" t="inlineStr">
        <is>
          <t>ELKAYEM AUTO</t>
        </is>
      </c>
      <c r="D63" s="601" t="inlineStr">
        <is>
          <t>ELKAYEM AUTO Hosur</t>
        </is>
      </c>
      <c r="E63" s="601" t="inlineStr">
        <is>
          <t>129663|948721</t>
        </is>
      </c>
      <c r="F63" s="601" t="n">
        <v>1940588</v>
      </c>
      <c r="G63" s="601">
        <f>_xlfn.CONCAT(scheduleapr[[#This Row],[CUSTOMER CODE]],"-",scheduleapr[[#This Row],[MATERIAL NO]])</f>
        <v/>
      </c>
      <c r="H63" s="601" t="inlineStr">
        <is>
          <t>TUB-O-O-AUT-AW-FC-25.40X2.000X0.3550</t>
        </is>
      </c>
      <c r="I63" s="601" t="inlineStr">
        <is>
          <t>ERW 1</t>
        </is>
      </c>
      <c r="J63" s="601" t="n"/>
      <c r="K63" s="601" t="inlineStr">
        <is>
          <t>FC</t>
        </is>
      </c>
      <c r="L63" s="601" t="inlineStr">
        <is>
          <t>HR</t>
        </is>
      </c>
      <c r="M63" s="601" t="n"/>
      <c r="N63" s="601" t="n"/>
      <c r="O63" s="601" t="n"/>
      <c r="P63" s="601" t="n"/>
      <c r="Q63" s="557">
        <f>CONCATENATE(scheduleapr[[#This Row],[OD]],"-",scheduleapr[[#This Row],[ID]],"-",scheduleapr[[#This Row],[TICKNESS]],"-",scheduleapr[[#This Row],[Grade]],"-",scheduleapr[[#This Row],[FC/NFC]])</f>
        <v/>
      </c>
      <c r="R63" s="557">
        <f>_xlfn.CONCAT(scheduleapr[[#This Row],[Bucket]],"-",scheduleapr[[#This Row],[LENGTH]]/1000)</f>
        <v/>
      </c>
      <c r="S63" s="557">
        <f>COUNTIF(scheduleapr[CTL Bucket],scheduleapr[[#This Row],[CTL Bucket]])</f>
        <v/>
      </c>
      <c r="T63" s="601" t="inlineStr">
        <is>
          <t>Hosur</t>
        </is>
      </c>
      <c r="U63" s="601">
        <f>_xlfn.IFNA(VLOOKUP(scheduleapr[[#This Row],[Bucket]],salesforecast[[#All],[Bucket2]:[8406 Stock]],19,0),0)</f>
        <v/>
      </c>
      <c r="V63" s="562">
        <f>_xlfn.IFNA(VLOOKUP(scheduleapr[[#This Row],[Bucket]],salesforecast[[#All],[Bucket2]:[8406 Stock]],20,0),0)+_xlfn.IFNA(VLOOKUP(scheduleapr[[#This Row],[Bucket]],salesforecast[[#All],[Bucket2]:[8406 Stock]],17,0),0)</f>
        <v/>
      </c>
      <c r="W63" s="557" t="n"/>
      <c r="X63" s="599" t="n">
        <v>25.4</v>
      </c>
      <c r="Y63" s="599" t="n">
        <v>25.4</v>
      </c>
      <c r="Z63" s="599" t="n">
        <v>0</v>
      </c>
      <c r="AA63" s="599" t="n">
        <v>2</v>
      </c>
      <c r="AB63" s="600" t="n">
        <v>355</v>
      </c>
      <c r="AC63" s="600" t="inlineStr">
        <is>
          <t>NOS</t>
        </is>
      </c>
      <c r="AD63" s="600" t="n"/>
      <c r="AE63" s="600" t="n"/>
      <c r="AF63" s="601" t="n">
        <v>5000</v>
      </c>
      <c r="AG63" s="601" t="n"/>
      <c r="AH63" s="601">
        <f t="array" ref="AH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" s="602">
        <f>scheduleapr[[#This Row],[SCHEDULE in nos]]-scheduleapr[[#This Row],[DISPATCH]]</f>
        <v/>
      </c>
      <c r="AJ63" s="599">
        <f>(3.14*(scheduleapr[[#This Row],[ACTUAL OD]]-scheduleapr[[#This Row],[TICKNESS]])*scheduleapr[[#This Row],[TICKNESS]]*scheduleapr[[#This Row],[LENGTH]]*7.85)/1000000*scheduleapr[[#This Row],[SCHEDULE in nos]]/1000</f>
        <v/>
      </c>
      <c r="AK63" s="599">
        <f>(3.14*(scheduleapr[[#This Row],[ACTUAL OD]]-scheduleapr[[#This Row],[TICKNESS]])*scheduleapr[[#This Row],[TICKNESS]]*scheduleapr[[#This Row],[LENGTH]]*7.85)/1000000*scheduleapr[[#This Row],[DISPATCH]]/1000</f>
        <v/>
      </c>
      <c r="AL63" s="599">
        <f>AJ63-AK63</f>
        <v/>
      </c>
      <c r="AM63" s="599">
        <f>scheduleapr[[#This Row],[SCHEDULE in nos]]/scheduleapr[[#This Row],[SCHEDULE IN MT]]*scheduleapr[[#This Row],[CTL Stock]]</f>
        <v/>
      </c>
      <c r="AN63" s="599">
        <f>SUMIFS(stock[MT],stock[Bucket],scheduleapr[[#This Row],[Bucket]],stock[CTL Bucket],scheduleapr[[#This Row],[CTL Bucket]],stock[Plant],"0789")</f>
        <v/>
      </c>
      <c r="AO63" s="599" t="n"/>
      <c r="AP63" s="599">
        <f>SUMIFS(stock[MT],stock[Bucket],scheduleapr[[#This Row],[Bucket]],stock[LL or CTL],"LL")</f>
        <v/>
      </c>
      <c r="AQ63" s="599">
        <f>+SUMIFS(wip[Stock(Net Wt)],wip[Bucket],scheduleapr[[#This Row],[Bucket]])/1000</f>
        <v/>
      </c>
      <c r="AR63" s="599">
        <f>AJ63-AN63</f>
        <v/>
      </c>
      <c r="AS63" s="118" t="n"/>
    </row>
    <row r="64">
      <c r="A64" s="594" t="n">
        <v>55</v>
      </c>
      <c r="B64" s="5" t="inlineStr">
        <is>
          <t>Hosur</t>
        </is>
      </c>
      <c r="C64" s="601" t="inlineStr">
        <is>
          <t>ELKAYEM AUTO</t>
        </is>
      </c>
      <c r="D64" s="601" t="inlineStr">
        <is>
          <t>ELKAYEM AUTO Hosur</t>
        </is>
      </c>
      <c r="E64" s="601" t="inlineStr">
        <is>
          <t>129663|948721</t>
        </is>
      </c>
      <c r="F64" s="601" t="n">
        <v>3727212</v>
      </c>
      <c r="G64" s="601">
        <f>_xlfn.CONCAT(scheduleapr[[#This Row],[CUSTOMER CODE]],"-",scheduleapr[[#This Row],[MATERIAL NO]])</f>
        <v/>
      </c>
      <c r="H64" s="601" t="inlineStr">
        <is>
          <t>TUB-O-N-AUT-AW-FC-28.58X1.600X0.2150</t>
        </is>
      </c>
      <c r="I64" s="601" t="inlineStr">
        <is>
          <t>ERW 1</t>
        </is>
      </c>
      <c r="J64" s="601" t="n"/>
      <c r="K64" s="601" t="inlineStr">
        <is>
          <t>FC</t>
        </is>
      </c>
      <c r="L64" s="601" t="inlineStr">
        <is>
          <t>CR</t>
        </is>
      </c>
      <c r="M64" s="596" t="inlineStr">
        <is>
          <t>HROP</t>
        </is>
      </c>
      <c r="N64" s="601" t="n"/>
      <c r="O64" s="601" t="n"/>
      <c r="P64" s="601" t="n"/>
      <c r="Q64" s="557">
        <f>CONCATENATE(scheduleapr[[#This Row],[OD]],"-",scheduleapr[[#This Row],[ID]],"-",scheduleapr[[#This Row],[TICKNESS]],"-",scheduleapr[[#This Row],[Grade]],"-",scheduleapr[[#This Row],[FC/NFC]])</f>
        <v/>
      </c>
      <c r="R64" s="557">
        <f>_xlfn.CONCAT(scheduleapr[[#This Row],[Bucket]],"-",scheduleapr[[#This Row],[LENGTH]]/1000)</f>
        <v/>
      </c>
      <c r="S64" s="557">
        <f>COUNTIF(scheduleapr[CTL Bucket],scheduleapr[[#This Row],[CTL Bucket]])</f>
        <v/>
      </c>
      <c r="T64" s="601" t="inlineStr">
        <is>
          <t>Hosur</t>
        </is>
      </c>
      <c r="U64" s="601">
        <f>_xlfn.IFNA(VLOOKUP(scheduleapr[[#This Row],[Bucket]],salesforecast[[#All],[Bucket2]:[8406 Stock]],19,0),0)</f>
        <v/>
      </c>
      <c r="V64" s="562">
        <f>_xlfn.IFNA(VLOOKUP(scheduleapr[[#This Row],[Bucket]],salesforecast[[#All],[Bucket2]:[8406 Stock]],20,0),0)+_xlfn.IFNA(VLOOKUP(scheduleapr[[#This Row],[Bucket]],salesforecast[[#All],[Bucket2]:[8406 Stock]],17,0),0)</f>
        <v/>
      </c>
      <c r="W64" s="557" t="n"/>
      <c r="X64" s="599" t="n">
        <v>28.58</v>
      </c>
      <c r="Y64" s="599" t="n">
        <v>28.58</v>
      </c>
      <c r="Z64" s="6" t="n">
        <v>0</v>
      </c>
      <c r="AA64" s="599" t="n">
        <v>1.6</v>
      </c>
      <c r="AB64" s="600" t="n">
        <v>215</v>
      </c>
      <c r="AC64" s="600" t="inlineStr">
        <is>
          <t>NOS</t>
        </is>
      </c>
      <c r="AD64" s="600" t="n"/>
      <c r="AE64" s="600" t="n"/>
      <c r="AF64" s="601" t="n">
        <v>10000</v>
      </c>
      <c r="AG64" s="601" t="n"/>
      <c r="AH64" s="601">
        <f t="array" ref="AH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" s="602">
        <f>scheduleapr[[#This Row],[SCHEDULE in nos]]-scheduleapr[[#This Row],[DISPATCH]]</f>
        <v/>
      </c>
      <c r="AJ64" s="599">
        <f>(3.14*(scheduleapr[[#This Row],[ACTUAL OD]]-scheduleapr[[#This Row],[TICKNESS]])*scheduleapr[[#This Row],[TICKNESS]]*scheduleapr[[#This Row],[LENGTH]]*7.85)/1000000*scheduleapr[[#This Row],[SCHEDULE in nos]]/1000</f>
        <v/>
      </c>
      <c r="AK64" s="599">
        <f>(3.14*(scheduleapr[[#This Row],[ACTUAL OD]]-scheduleapr[[#This Row],[TICKNESS]])*scheduleapr[[#This Row],[TICKNESS]]*scheduleapr[[#This Row],[LENGTH]]*7.85)/1000000*scheduleapr[[#This Row],[DISPATCH]]/1000</f>
        <v/>
      </c>
      <c r="AL64" s="599">
        <f>AJ64-AK64</f>
        <v/>
      </c>
      <c r="AM64" s="599">
        <f>scheduleapr[[#This Row],[SCHEDULE in nos]]/scheduleapr[[#This Row],[SCHEDULE IN MT]]*scheduleapr[[#This Row],[CTL Stock]]</f>
        <v/>
      </c>
      <c r="AN64" s="599">
        <f>SUMIFS(stock[MT],stock[Bucket],scheduleapr[[#This Row],[Bucket]],stock[CTL Bucket],scheduleapr[[#This Row],[CTL Bucket]],stock[Plant],"0789")</f>
        <v/>
      </c>
      <c r="AO64" s="599" t="n"/>
      <c r="AP64" s="599">
        <f>SUMIFS(stock[MT],stock[Bucket],scheduleapr[[#This Row],[Bucket]],stock[LL or CTL],"LL")</f>
        <v/>
      </c>
      <c r="AQ64" s="599">
        <f>+SUMIFS(wip[Stock(Net Wt)],wip[Bucket],scheduleapr[[#This Row],[Bucket]])/1000</f>
        <v/>
      </c>
      <c r="AR64" s="599">
        <f>AJ64-AN64</f>
        <v/>
      </c>
      <c r="AS64" s="118" t="n"/>
    </row>
    <row r="65">
      <c r="A65" s="594" t="n"/>
      <c r="B65" s="5" t="inlineStr">
        <is>
          <t>Hosur</t>
        </is>
      </c>
      <c r="C65" s="601" t="inlineStr">
        <is>
          <t>ELKAYEM AUTO</t>
        </is>
      </c>
      <c r="D65" s="601" t="inlineStr">
        <is>
          <t>ELKAYEM AUTO Hosur</t>
        </is>
      </c>
      <c r="E65" s="601" t="inlineStr">
        <is>
          <t>129663|948721</t>
        </is>
      </c>
      <c r="F65" s="477" t="n">
        <v>4185618</v>
      </c>
      <c r="G65" s="601">
        <f>_xlfn.CONCAT(scheduleapr[[#This Row],[CUSTOMER CODE]],"-",scheduleapr[[#This Row],[MATERIAL NO]])</f>
        <v/>
      </c>
      <c r="H65" s="603" t="inlineStr">
        <is>
          <t>TUB-O-N-AUT-AW-FC-28.58X1.600X0.4200</t>
        </is>
      </c>
      <c r="I65" s="601" t="inlineStr">
        <is>
          <t>ERW 1</t>
        </is>
      </c>
      <c r="J65" s="601" t="n"/>
      <c r="K65" s="601" t="n"/>
      <c r="L65" s="601" t="n"/>
      <c r="M65" s="596" t="n"/>
      <c r="N65" s="601" t="n"/>
      <c r="O65" s="601" t="n"/>
      <c r="P65" s="601" t="n"/>
      <c r="Q65" s="601" t="n"/>
      <c r="R65" s="601" t="n"/>
      <c r="S65" s="601" t="n"/>
      <c r="T65" s="601" t="n"/>
      <c r="U65" s="601" t="n"/>
      <c r="V65" s="598" t="n"/>
      <c r="W65" s="601" t="n"/>
      <c r="X65" s="599" t="n">
        <v>28.58</v>
      </c>
      <c r="Y65" s="599" t="n">
        <v>28.58</v>
      </c>
      <c r="Z65" s="599" t="n">
        <v>0</v>
      </c>
      <c r="AA65" s="599" t="n">
        <v>1.6</v>
      </c>
      <c r="AB65" s="600" t="n">
        <v>420</v>
      </c>
      <c r="AC65" s="600" t="inlineStr">
        <is>
          <t>NOS</t>
        </is>
      </c>
      <c r="AD65" s="600" t="n"/>
      <c r="AE65" s="600" t="n"/>
      <c r="AF65" s="601" t="n">
        <v>8000</v>
      </c>
      <c r="AG65" s="601" t="n"/>
      <c r="AH65" s="601">
        <f t="array" ref="AH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" s="602">
        <f>scheduleapr[[#This Row],[SCHEDULE in nos]]-scheduleapr[[#This Row],[DISPATCH]]</f>
        <v/>
      </c>
      <c r="AJ65" s="599">
        <f>(3.14*(scheduleapr[[#This Row],[ACTUAL OD]]-scheduleapr[[#This Row],[TICKNESS]])*scheduleapr[[#This Row],[TICKNESS]]*scheduleapr[[#This Row],[LENGTH]]*7.85)/1000000*scheduleapr[[#This Row],[SCHEDULE in nos]]/1000</f>
        <v/>
      </c>
      <c r="AK65" s="599">
        <f>(3.14*(scheduleapr[[#This Row],[ACTUAL OD]]-scheduleapr[[#This Row],[TICKNESS]])*scheduleapr[[#This Row],[TICKNESS]]*scheduleapr[[#This Row],[LENGTH]]*7.85)/1000000*scheduleapr[[#This Row],[DISPATCH]]/1000</f>
        <v/>
      </c>
      <c r="AL65" s="599">
        <f>AJ65-AK65</f>
        <v/>
      </c>
      <c r="AM65" s="599">
        <f>scheduleapr[[#This Row],[SCHEDULE in nos]]/scheduleapr[[#This Row],[SCHEDULE IN MT]]*scheduleapr[[#This Row],[CTL Stock]]</f>
        <v/>
      </c>
      <c r="AN65" s="599">
        <f>SUMIFS(stock[MT],stock[Bucket],scheduleapr[[#This Row],[Bucket]],stock[CTL Bucket],scheduleapr[[#This Row],[CTL Bucket]],stock[Plant],"0789")</f>
        <v/>
      </c>
      <c r="AO65" s="599" t="n"/>
      <c r="AP65" s="599">
        <f>SUMIFS(stock[MT],stock[Bucket],scheduleapr[[#This Row],[Bucket]],stock[LL or CTL],"LL")</f>
        <v/>
      </c>
      <c r="AQ65" s="599">
        <f>+SUMIFS(wip[Stock(Net Wt)],wip[Bucket],scheduleapr[[#This Row],[Bucket]])/1000</f>
        <v/>
      </c>
      <c r="AR65" s="599">
        <f>AJ65-AN65</f>
        <v/>
      </c>
      <c r="AS65" s="118" t="n"/>
    </row>
    <row r="66">
      <c r="A66" s="594" t="n">
        <v>56</v>
      </c>
      <c r="B66" s="5" t="inlineStr">
        <is>
          <t>Hosur</t>
        </is>
      </c>
      <c r="C66" s="601" t="inlineStr">
        <is>
          <t>ELKAYEM AUTO</t>
        </is>
      </c>
      <c r="D66" s="601" t="inlineStr">
        <is>
          <t>ELKAYEM AUTO Hosur</t>
        </is>
      </c>
      <c r="E66" s="601" t="inlineStr">
        <is>
          <t>129663|948721</t>
        </is>
      </c>
      <c r="F66" s="601" t="n">
        <v>3598957</v>
      </c>
      <c r="G66" s="601">
        <f>_xlfn.CONCAT(scheduleapr[[#This Row],[CUSTOMER CODE]],"-",scheduleapr[[#This Row],[MATERIAL NO]])</f>
        <v/>
      </c>
      <c r="H66" s="601" t="inlineStr">
        <is>
          <t>TUB-O-N-AUT-AW-FC-28.58X1.600X0.4140</t>
        </is>
      </c>
      <c r="I66" s="601" t="inlineStr">
        <is>
          <t>ERW 1</t>
        </is>
      </c>
      <c r="J66" s="601" t="n"/>
      <c r="K66" s="601" t="inlineStr">
        <is>
          <t>FC</t>
        </is>
      </c>
      <c r="L66" s="601" t="inlineStr">
        <is>
          <t>CR</t>
        </is>
      </c>
      <c r="M66" s="596" t="inlineStr">
        <is>
          <t>HROP</t>
        </is>
      </c>
      <c r="N66" s="601" t="n"/>
      <c r="O66" s="601" t="n"/>
      <c r="P66" s="601" t="n"/>
      <c r="Q66" s="557">
        <f>CONCATENATE(scheduleapr[[#This Row],[OD]],"-",scheduleapr[[#This Row],[ID]],"-",scheduleapr[[#This Row],[TICKNESS]],"-",scheduleapr[[#This Row],[Grade]],"-",scheduleapr[[#This Row],[FC/NFC]])</f>
        <v/>
      </c>
      <c r="R66" s="557">
        <f>_xlfn.CONCAT(scheduleapr[[#This Row],[Bucket]],"-",scheduleapr[[#This Row],[LENGTH]]/1000)</f>
        <v/>
      </c>
      <c r="S66" s="557">
        <f>COUNTIF(scheduleapr[CTL Bucket],scheduleapr[[#This Row],[CTL Bucket]])</f>
        <v/>
      </c>
      <c r="T66" s="601" t="inlineStr">
        <is>
          <t>Hosur</t>
        </is>
      </c>
      <c r="U66" s="601">
        <f>_xlfn.IFNA(VLOOKUP(scheduleapr[[#This Row],[Bucket]],salesforecast[[#All],[Bucket2]:[8406 Stock]],19,0),0)</f>
        <v/>
      </c>
      <c r="V66" s="562">
        <f>_xlfn.IFNA(VLOOKUP(scheduleapr[[#This Row],[Bucket]],salesforecast[[#All],[Bucket2]:[8406 Stock]],20,0),0)+_xlfn.IFNA(VLOOKUP(scheduleapr[[#This Row],[Bucket]],salesforecast[[#All],[Bucket2]:[8406 Stock]],17,0),0)</f>
        <v/>
      </c>
      <c r="W66" s="557" t="n"/>
      <c r="X66" s="599" t="n">
        <v>28.58</v>
      </c>
      <c r="Y66" s="599" t="n">
        <v>28.58</v>
      </c>
      <c r="Z66" s="6" t="n">
        <v>0</v>
      </c>
      <c r="AA66" s="599" t="n">
        <v>1.6</v>
      </c>
      <c r="AB66" s="600" t="n">
        <v>414</v>
      </c>
      <c r="AC66" s="600" t="inlineStr">
        <is>
          <t>NOS</t>
        </is>
      </c>
      <c r="AD66" s="600" t="n"/>
      <c r="AE66" s="600" t="n"/>
      <c r="AF66" s="601" t="n">
        <v>14000</v>
      </c>
      <c r="AG66" s="601" t="n"/>
      <c r="AH66" s="601">
        <f t="array" ref="AH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" s="602">
        <f>scheduleapr[[#This Row],[SCHEDULE in nos]]-scheduleapr[[#This Row],[DISPATCH]]</f>
        <v/>
      </c>
      <c r="AJ66" s="599">
        <f>(3.14*(scheduleapr[[#This Row],[ACTUAL OD]]-scheduleapr[[#This Row],[TICKNESS]])*scheduleapr[[#This Row],[TICKNESS]]*scheduleapr[[#This Row],[LENGTH]]*7.85)/1000000*scheduleapr[[#This Row],[SCHEDULE in nos]]/1000</f>
        <v/>
      </c>
      <c r="AK66" s="599">
        <f>(3.14*(scheduleapr[[#This Row],[ACTUAL OD]]-scheduleapr[[#This Row],[TICKNESS]])*scheduleapr[[#This Row],[TICKNESS]]*scheduleapr[[#This Row],[LENGTH]]*7.85)/1000000*scheduleapr[[#This Row],[DISPATCH]]/1000</f>
        <v/>
      </c>
      <c r="AL66" s="599">
        <f>AJ66-AK66</f>
        <v/>
      </c>
      <c r="AM66" s="599">
        <f>scheduleapr[[#This Row],[SCHEDULE in nos]]/scheduleapr[[#This Row],[SCHEDULE IN MT]]*scheduleapr[[#This Row],[CTL Stock]]</f>
        <v/>
      </c>
      <c r="AN66" s="599">
        <f>SUMIFS(stock[MT],stock[Bucket],scheduleapr[[#This Row],[Bucket]],stock[CTL Bucket],scheduleapr[[#This Row],[CTL Bucket]],stock[Plant],"0789")</f>
        <v/>
      </c>
      <c r="AO66" s="599" t="n"/>
      <c r="AP66" s="599">
        <f>SUMIFS(stock[MT],stock[Bucket],scheduleapr[[#This Row],[Bucket]],stock[LL or CTL],"LL")</f>
        <v/>
      </c>
      <c r="AQ66" s="599">
        <f>+SUMIFS(wip[Stock(Net Wt)],wip[Bucket],scheduleapr[[#This Row],[Bucket]])/1000</f>
        <v/>
      </c>
      <c r="AR66" s="599">
        <f>AJ66-AN66</f>
        <v/>
      </c>
      <c r="AS66" s="118" t="n"/>
    </row>
    <row r="67">
      <c r="A67" s="594" t="n">
        <v>57</v>
      </c>
      <c r="B67" s="5" t="inlineStr">
        <is>
          <t>Hosur</t>
        </is>
      </c>
      <c r="C67" s="601" t="inlineStr">
        <is>
          <t>ELKAYEM AUTO</t>
        </is>
      </c>
      <c r="D67" s="601" t="inlineStr">
        <is>
          <t>ELKAYEM AUTO Hosur</t>
        </is>
      </c>
      <c r="E67" s="601" t="inlineStr">
        <is>
          <t>129663|948721</t>
        </is>
      </c>
      <c r="F67" s="601" t="n">
        <v>2397074</v>
      </c>
      <c r="G67" s="601">
        <f>_xlfn.CONCAT(scheduleapr[[#This Row],[CUSTOMER CODE]],"-",scheduleapr[[#This Row],[MATERIAL NO]])</f>
        <v/>
      </c>
      <c r="H67" s="601" t="inlineStr">
        <is>
          <t>TUB-O-N-AUT-AW-FC-28.58X2.000X0.4690</t>
        </is>
      </c>
      <c r="I67" s="601" t="inlineStr">
        <is>
          <t>ERW 1</t>
        </is>
      </c>
      <c r="J67" s="601" t="n"/>
      <c r="K67" s="601" t="inlineStr">
        <is>
          <t>FC</t>
        </is>
      </c>
      <c r="L67" s="601" t="inlineStr">
        <is>
          <t>HR</t>
        </is>
      </c>
      <c r="M67" s="601" t="n"/>
      <c r="N67" s="601" t="n"/>
      <c r="O67" s="601" t="n"/>
      <c r="P67" s="601" t="n"/>
      <c r="Q67" s="557">
        <f>CONCATENATE(scheduleapr[[#This Row],[OD]],"-",scheduleapr[[#This Row],[ID]],"-",scheduleapr[[#This Row],[TICKNESS]],"-",scheduleapr[[#This Row],[Grade]],"-",scheduleapr[[#This Row],[FC/NFC]])</f>
        <v/>
      </c>
      <c r="R67" s="557">
        <f>_xlfn.CONCAT(scheduleapr[[#This Row],[Bucket]],"-",scheduleapr[[#This Row],[LENGTH]]/1000)</f>
        <v/>
      </c>
      <c r="S67" s="557">
        <f>COUNTIF([2]!buckets[CTL Bucket],[2]!scheduleapr[[#This Row],[CTL Bucket]])</f>
        <v/>
      </c>
      <c r="T67" s="557" t="n"/>
      <c r="U67" s="557" t="n"/>
      <c r="V67" s="557" t="n"/>
      <c r="W67" s="557" t="n"/>
      <c r="X67" s="599" t="n">
        <v>28.58</v>
      </c>
      <c r="Y67" s="599" t="n">
        <v>28.58</v>
      </c>
      <c r="Z67" s="599" t="n">
        <v>0</v>
      </c>
      <c r="AA67" s="599" t="n">
        <v>2</v>
      </c>
      <c r="AB67" s="600" t="n">
        <v>469</v>
      </c>
      <c r="AC67" s="600" t="inlineStr">
        <is>
          <t>NOS</t>
        </is>
      </c>
      <c r="AD67" s="600" t="n"/>
      <c r="AE67" s="600" t="n"/>
      <c r="AF67" s="601" t="n"/>
      <c r="AG67" s="601" t="n"/>
      <c r="AH67" s="601">
        <f t="array" ref="AH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" s="602">
        <f>scheduleapr[[#This Row],[SCHEDULE in nos]]-scheduleapr[[#This Row],[DISPATCH]]</f>
        <v/>
      </c>
      <c r="AJ67" s="599">
        <f>(3.14*(scheduleapr[[#This Row],[ACTUAL OD]]-scheduleapr[[#This Row],[TICKNESS]])*scheduleapr[[#This Row],[TICKNESS]]*scheduleapr[[#This Row],[LENGTH]]*7.85)/1000000*scheduleapr[[#This Row],[SCHEDULE in nos]]/1000</f>
        <v/>
      </c>
      <c r="AK67" s="599">
        <f>(3.14*(scheduleapr[[#This Row],[ACTUAL OD]]-scheduleapr[[#This Row],[TICKNESS]])*scheduleapr[[#This Row],[TICKNESS]]*scheduleapr[[#This Row],[LENGTH]]*7.85)/1000000*scheduleapr[[#This Row],[DISPATCH]]/1000</f>
        <v/>
      </c>
      <c r="AL67" s="599">
        <f>AJ67-AK67</f>
        <v/>
      </c>
      <c r="AM67" s="599">
        <f>scheduleapr[[#This Row],[SCHEDULE in nos]]/scheduleapr[[#This Row],[SCHEDULE IN MT]]*scheduleapr[[#This Row],[CTL Stock]]</f>
        <v/>
      </c>
      <c r="AN67" s="599">
        <f>SUMIFS(stock[MT],stock[Bucket],scheduleapr[[#This Row],[Bucket]],stock[CTL Bucket],scheduleapr[[#This Row],[CTL Bucket]],stock[Plant],"0789")</f>
        <v/>
      </c>
      <c r="AO67" s="599" t="n"/>
      <c r="AP67" s="599">
        <f>SUMIFS(stock[MT],stock[Bucket],scheduleapr[[#This Row],[Bucket]],stock[LL or CTL],"LL")</f>
        <v/>
      </c>
      <c r="AQ67" s="599">
        <f>+SUMIFS(wip[Stock(Net Wt)],wip[Bucket],scheduleapr[[#This Row],[Bucket]])/1000</f>
        <v/>
      </c>
      <c r="AR67" s="599">
        <f>AJ67-AN67</f>
        <v/>
      </c>
      <c r="AS67" s="118" t="n"/>
    </row>
    <row r="68">
      <c r="A68" s="594" t="n">
        <v>58</v>
      </c>
      <c r="B68" s="5" t="inlineStr">
        <is>
          <t>Hosur</t>
        </is>
      </c>
      <c r="C68" s="601" t="inlineStr">
        <is>
          <t>ELKAYEM AUTO</t>
        </is>
      </c>
      <c r="D68" s="601" t="inlineStr">
        <is>
          <t>ELKAYEM AUTO Hosur</t>
        </is>
      </c>
      <c r="E68" s="601" t="inlineStr">
        <is>
          <t>129663|948721</t>
        </is>
      </c>
      <c r="F68" s="601">
        <f>_xlfn.CONCAT([2]!scheduleapr[[#This Row],[OD]],"-",[2]!scheduleapr[[#This Row],[ID]],"-",[2]!scheduleapr[[#This Row],[TICKNESS]],"-",[2]!scheduleapr[[#This Row],[LENGTH]])</f>
        <v/>
      </c>
      <c r="G68" s="601">
        <f>_xlfn.CONCAT(scheduleapr[[#This Row],[CUSTOMER CODE]],"-",scheduleapr[[#This Row],[MATERIAL NO]])</f>
        <v/>
      </c>
      <c r="H68" s="601" t="inlineStr">
        <is>
          <t>TUB-O-N-AUT-AW-FC-28.58X2.000X0.475</t>
        </is>
      </c>
      <c r="I68" s="601" t="inlineStr">
        <is>
          <t>ERW 1</t>
        </is>
      </c>
      <c r="J68" s="601" t="n"/>
      <c r="K68" s="601" t="inlineStr">
        <is>
          <t>FC</t>
        </is>
      </c>
      <c r="L68" s="601" t="inlineStr">
        <is>
          <t>HR</t>
        </is>
      </c>
      <c r="M68" s="601" t="n"/>
      <c r="N68" s="601" t="n"/>
      <c r="O68" s="601" t="n"/>
      <c r="P68" s="601" t="n"/>
      <c r="Q68" s="557">
        <f>CONCATENATE(scheduleapr[[#This Row],[OD]],"-",scheduleapr[[#This Row],[ID]],"-",scheduleapr[[#This Row],[TICKNESS]],"-",scheduleapr[[#This Row],[Grade]],"-",scheduleapr[[#This Row],[FC/NFC]])</f>
        <v/>
      </c>
      <c r="R68" s="557">
        <f>_xlfn.CONCAT(scheduleapr[[#This Row],[Bucket]],"-",scheduleapr[[#This Row],[LENGTH]]/1000)</f>
        <v/>
      </c>
      <c r="S68" s="557">
        <f>COUNTIF(scheduleapr[CTL Bucket],scheduleapr[[#This Row],[CTL Bucket]])</f>
        <v/>
      </c>
      <c r="T68" s="601" t="inlineStr">
        <is>
          <t>Hosur</t>
        </is>
      </c>
      <c r="U68" s="601">
        <f>_xlfn.IFNA(VLOOKUP(scheduleapr[[#This Row],[Bucket]],salesforecast[[#All],[Bucket2]:[8406 Stock]],19,0),0)</f>
        <v/>
      </c>
      <c r="V68" s="562">
        <f>_xlfn.IFNA(VLOOKUP(scheduleapr[[#This Row],[Bucket]],salesforecast[[#All],[Bucket2]:[8406 Stock]],20,0),0)+_xlfn.IFNA(VLOOKUP(scheduleapr[[#This Row],[Bucket]],salesforecast[[#All],[Bucket2]:[8406 Stock]],17,0),0)</f>
        <v/>
      </c>
      <c r="W68" s="557" t="n"/>
      <c r="X68" s="599" t="n">
        <v>28.58</v>
      </c>
      <c r="Y68" s="599" t="n">
        <v>28.58</v>
      </c>
      <c r="Z68" s="599" t="n">
        <v>0</v>
      </c>
      <c r="AA68" s="599" t="n">
        <v>2</v>
      </c>
      <c r="AB68" s="600" t="n">
        <v>475</v>
      </c>
      <c r="AC68" s="600" t="inlineStr">
        <is>
          <t>NOS</t>
        </is>
      </c>
      <c r="AD68" s="600" t="n"/>
      <c r="AE68" s="600" t="n"/>
      <c r="AF68" s="601" t="n">
        <v>10000</v>
      </c>
      <c r="AG68" s="601" t="n"/>
      <c r="AH68" s="601">
        <f t="array" ref="AH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" s="602">
        <f>scheduleapr[[#This Row],[SCHEDULE in nos]]-scheduleapr[[#This Row],[DISPATCH]]</f>
        <v/>
      </c>
      <c r="AJ68" s="599">
        <f>(3.14*(scheduleapr[[#This Row],[ACTUAL OD]]-scheduleapr[[#This Row],[TICKNESS]])*scheduleapr[[#This Row],[TICKNESS]]*scheduleapr[[#This Row],[LENGTH]]*7.85)/1000000*scheduleapr[[#This Row],[SCHEDULE in nos]]/1000</f>
        <v/>
      </c>
      <c r="AK68" s="599">
        <f>(3.14*(scheduleapr[[#This Row],[ACTUAL OD]]-scheduleapr[[#This Row],[TICKNESS]])*scheduleapr[[#This Row],[TICKNESS]]*scheduleapr[[#This Row],[LENGTH]]*7.85)/1000000*scheduleapr[[#This Row],[DISPATCH]]/1000</f>
        <v/>
      </c>
      <c r="AL68" s="599">
        <f>AJ68-AK68</f>
        <v/>
      </c>
      <c r="AM68" s="599">
        <f>scheduleapr[[#This Row],[SCHEDULE in nos]]/scheduleapr[[#This Row],[SCHEDULE IN MT]]*scheduleapr[[#This Row],[CTL Stock]]</f>
        <v/>
      </c>
      <c r="AN68" s="599">
        <f>SUMIFS(stock[MT],stock[Bucket],scheduleapr[[#This Row],[Bucket]],stock[CTL Bucket],scheduleapr[[#This Row],[CTL Bucket]],stock[Plant],"0789")</f>
        <v/>
      </c>
      <c r="AO68" s="599" t="n"/>
      <c r="AP68" s="599">
        <f>SUMIFS(stock[MT],stock[Bucket],scheduleapr[[#This Row],[Bucket]],stock[LL or CTL],"LL")</f>
        <v/>
      </c>
      <c r="AQ68" s="599">
        <f>+SUMIFS(wip[Stock(Net Wt)],wip[Bucket],scheduleapr[[#This Row],[Bucket]])/1000</f>
        <v/>
      </c>
      <c r="AR68" s="599">
        <f>AJ68-AN68</f>
        <v/>
      </c>
      <c r="AS68" s="118" t="n"/>
    </row>
    <row r="69">
      <c r="A69" s="594" t="n">
        <v>62</v>
      </c>
      <c r="B69" s="5" t="inlineStr">
        <is>
          <t>Hosur</t>
        </is>
      </c>
      <c r="C69" s="601" t="inlineStr">
        <is>
          <t>ELKAYEM AUTO</t>
        </is>
      </c>
      <c r="D69" s="601" t="inlineStr">
        <is>
          <t>ELKAYEM AUTO Hosur</t>
        </is>
      </c>
      <c r="E69" s="601" t="inlineStr">
        <is>
          <t>129663|948721</t>
        </is>
      </c>
      <c r="F69" s="601" t="n">
        <v>1932548</v>
      </c>
      <c r="G69" s="601">
        <f>_xlfn.CONCAT(scheduleapr[[#This Row],[CUSTOMER CODE]],"-",scheduleapr[[#This Row],[MATERIAL NO]])</f>
        <v/>
      </c>
      <c r="H69" s="601" t="inlineStr">
        <is>
          <t>TUB-S-AW-SHS-25.00X25.00X2.000X6.0000</t>
        </is>
      </c>
      <c r="I69" s="601" t="inlineStr">
        <is>
          <t>ERW 1</t>
        </is>
      </c>
      <c r="J69" s="601" t="n"/>
      <c r="K69" s="601" t="n"/>
      <c r="L69" s="601" t="inlineStr">
        <is>
          <t>HR</t>
        </is>
      </c>
      <c r="M69" s="601" t="n"/>
      <c r="N69" s="601" t="n"/>
      <c r="O69" s="601" t="n"/>
      <c r="P69" s="601" t="n"/>
      <c r="Q69" s="557">
        <f>CONCATENATE(scheduleapr[[#This Row],[OD]],"-",scheduleapr[[#This Row],[ID]],"-",scheduleapr[[#This Row],[TICKNESS]],"-",scheduleapr[[#This Row],[Grade]],"-",scheduleapr[[#This Row],[FC/NFC]])</f>
        <v/>
      </c>
      <c r="R69" s="557">
        <f>_xlfn.CONCAT(scheduleapr[[#This Row],[Bucket]],"-",scheduleapr[[#This Row],[LENGTH]]/1000)</f>
        <v/>
      </c>
      <c r="S69" s="557">
        <f>COUNTIF([2]!buckets[CTL Bucket],[2]!scheduleapr[[#This Row],[CTL Bucket]])</f>
        <v/>
      </c>
      <c r="T69" s="557" t="n"/>
      <c r="U69" s="557" t="n"/>
      <c r="V69" s="557" t="n"/>
      <c r="W69" s="557" t="n"/>
      <c r="X69" s="599" t="n">
        <v>31.75</v>
      </c>
      <c r="Y69" s="599" t="n">
        <v>25</v>
      </c>
      <c r="Z69" s="599" t="n">
        <v>25</v>
      </c>
      <c r="AA69" s="599" t="n">
        <v>2</v>
      </c>
      <c r="AB69" s="600" t="n">
        <v>6000</v>
      </c>
      <c r="AC69" s="600" t="n"/>
      <c r="AD69" s="600" t="n"/>
      <c r="AE69" s="600" t="n"/>
      <c r="AF69" s="601" t="n"/>
      <c r="AG69" s="601" t="n"/>
      <c r="AH69" s="601">
        <f t="array" ref="AH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" s="602">
        <f>scheduleapr[[#This Row],[SCHEDULE in nos]]-scheduleapr[[#This Row],[DISPATCH]]</f>
        <v/>
      </c>
      <c r="AJ69" s="599">
        <f>(3.14*(scheduleapr[[#This Row],[ACTUAL OD]]-scheduleapr[[#This Row],[TICKNESS]])*scheduleapr[[#This Row],[TICKNESS]]*scheduleapr[[#This Row],[LENGTH]]*7.85)/1000000*scheduleapr[[#This Row],[SCHEDULE in nos]]/1000</f>
        <v/>
      </c>
      <c r="AK69" s="599">
        <f>(3.14*(scheduleapr[[#This Row],[ACTUAL OD]]-scheduleapr[[#This Row],[TICKNESS]])*scheduleapr[[#This Row],[TICKNESS]]*scheduleapr[[#This Row],[LENGTH]]*7.85)/1000000*scheduleapr[[#This Row],[DISPATCH]]/1000</f>
        <v/>
      </c>
      <c r="AL69" s="599">
        <f>AJ69-AK69</f>
        <v/>
      </c>
      <c r="AM69" s="599">
        <f>scheduleapr[[#This Row],[SCHEDULE in nos]]/scheduleapr[[#This Row],[SCHEDULE IN MT]]*scheduleapr[[#This Row],[CTL Stock]]</f>
        <v/>
      </c>
      <c r="AN69" s="599">
        <f>SUMIFS(stock[MT],stock[Bucket],scheduleapr[[#This Row],[Bucket]],stock[CTL Bucket],scheduleapr[[#This Row],[CTL Bucket]],stock[Plant],"0789")</f>
        <v/>
      </c>
      <c r="AO69" s="599" t="n"/>
      <c r="AP69" s="599">
        <f>SUMIFS(stock[MT],stock[Bucket],scheduleapr[[#This Row],[Bucket]],stock[LL or CTL],"LL")</f>
        <v/>
      </c>
      <c r="AQ69" s="599">
        <f>+SUMIFS(wip[Stock(Net Wt)],wip[Bucket],scheduleapr[[#This Row],[Bucket]])/1000</f>
        <v/>
      </c>
      <c r="AR69" s="599">
        <f>AJ69-AN69</f>
        <v/>
      </c>
      <c r="AS69" s="118" t="n"/>
    </row>
    <row r="70">
      <c r="A70" s="594" t="n">
        <v>65</v>
      </c>
      <c r="B70" s="5" t="inlineStr">
        <is>
          <t>Hosur</t>
        </is>
      </c>
      <c r="C70" s="601" t="inlineStr">
        <is>
          <t>ELKAYEM AUTO</t>
        </is>
      </c>
      <c r="D70" s="601" t="inlineStr">
        <is>
          <t>ELKAYEM AUTO Hosur</t>
        </is>
      </c>
      <c r="E70" s="601" t="inlineStr">
        <is>
          <t>129663|948721</t>
        </is>
      </c>
      <c r="F70" s="601" t="n">
        <v>1155165</v>
      </c>
      <c r="G70" s="601">
        <f>_xlfn.CONCAT(scheduleapr[[#This Row],[CUSTOMER CODE]],"-",scheduleapr[[#This Row],[MATERIAL NO]])</f>
        <v/>
      </c>
      <c r="H70" s="601" t="inlineStr">
        <is>
          <t>TUB-O-N-AUT-AW-PE-34.93X1.600X1.726</t>
        </is>
      </c>
      <c r="I70" s="601" t="inlineStr">
        <is>
          <t>ERW 1</t>
        </is>
      </c>
      <c r="J70" s="601" t="n"/>
      <c r="K70" s="601" t="inlineStr">
        <is>
          <t>FC</t>
        </is>
      </c>
      <c r="L70" s="601" t="inlineStr">
        <is>
          <t>HR</t>
        </is>
      </c>
      <c r="M70" s="601" t="n"/>
      <c r="N70" s="601" t="n"/>
      <c r="O70" s="601" t="n"/>
      <c r="P70" s="601" t="n"/>
      <c r="Q70" s="557">
        <f>CONCATENATE(scheduleapr[[#This Row],[OD]],"-",scheduleapr[[#This Row],[ID]],"-",scheduleapr[[#This Row],[TICKNESS]],"-",scheduleapr[[#This Row],[Grade]],"-",scheduleapr[[#This Row],[FC/NFC]])</f>
        <v/>
      </c>
      <c r="R70" s="557">
        <f>_xlfn.CONCAT(scheduleapr[[#This Row],[Bucket]],"-",scheduleapr[[#This Row],[LENGTH]]/1000)</f>
        <v/>
      </c>
      <c r="S70" s="557">
        <f>COUNTIF([2]!buckets[CTL Bucket],[2]!scheduleapr[[#This Row],[CTL Bucket]])</f>
        <v/>
      </c>
      <c r="T70" s="557" t="n"/>
      <c r="U70" s="557" t="n"/>
      <c r="V70" s="557" t="n"/>
      <c r="W70" s="557" t="n"/>
      <c r="X70" s="6" t="n">
        <v>34.93</v>
      </c>
      <c r="Y70" s="6" t="n">
        <v>34.93</v>
      </c>
      <c r="Z70" s="599" t="n">
        <v>0</v>
      </c>
      <c r="AA70" s="599" t="n">
        <v>1.6</v>
      </c>
      <c r="AB70" s="600" t="n">
        <v>1726</v>
      </c>
      <c r="AC70" s="600" t="n"/>
      <c r="AD70" s="600" t="n"/>
      <c r="AE70" s="600" t="n"/>
      <c r="AF70" s="600" t="n"/>
      <c r="AG70" s="600" t="n"/>
      <c r="AH70" s="601">
        <f t="array" ref="AH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" s="602">
        <f>scheduleapr[[#This Row],[SCHEDULE in nos]]-scheduleapr[[#This Row],[DISPATCH]]</f>
        <v/>
      </c>
      <c r="AJ70" s="599">
        <f>(3.14*(scheduleapr[[#This Row],[ACTUAL OD]]-scheduleapr[[#This Row],[TICKNESS]])*scheduleapr[[#This Row],[TICKNESS]]*scheduleapr[[#This Row],[LENGTH]]*7.85)/1000000*scheduleapr[[#This Row],[SCHEDULE in nos]]/1000</f>
        <v/>
      </c>
      <c r="AK70" s="599">
        <f>(3.14*(scheduleapr[[#This Row],[ACTUAL OD]]-scheduleapr[[#This Row],[TICKNESS]])*scheduleapr[[#This Row],[TICKNESS]]*scheduleapr[[#This Row],[LENGTH]]*7.85)/1000000*scheduleapr[[#This Row],[DISPATCH]]/1000</f>
        <v/>
      </c>
      <c r="AL70" s="599">
        <f>AJ70-AK70</f>
        <v/>
      </c>
      <c r="AM70" s="599">
        <f>scheduleapr[[#This Row],[SCHEDULE in nos]]/scheduleapr[[#This Row],[SCHEDULE IN MT]]*scheduleapr[[#This Row],[CTL Stock]]</f>
        <v/>
      </c>
      <c r="AN70" s="599">
        <f>SUMIFS(stock[MT],stock[Bucket],scheduleapr[[#This Row],[Bucket]],stock[CTL Bucket],scheduleapr[[#This Row],[CTL Bucket]],stock[Plant],"0789")</f>
        <v/>
      </c>
      <c r="AO70" s="599" t="n"/>
      <c r="AP70" s="599">
        <f>SUMIFS(stock[MT],stock[Bucket],scheduleapr[[#This Row],[Bucket]],stock[LL or CTL],"LL")</f>
        <v/>
      </c>
      <c r="AQ70" s="599">
        <f>+SUMIFS(wip[Stock(Net Wt)],wip[Bucket],scheduleapr[[#This Row],[Bucket]])/1000</f>
        <v/>
      </c>
      <c r="AR70" s="599">
        <f>AJ70-AN70</f>
        <v/>
      </c>
      <c r="AS70" s="118" t="n"/>
    </row>
    <row r="71">
      <c r="A71" s="594" t="n">
        <v>68</v>
      </c>
      <c r="B71" s="5" t="inlineStr">
        <is>
          <t>Hosur</t>
        </is>
      </c>
      <c r="C71" s="601" t="inlineStr">
        <is>
          <t>ELKAYEM AUTO</t>
        </is>
      </c>
      <c r="D71" s="601" t="inlineStr">
        <is>
          <t>ELKAYEM AUTO Hosur</t>
        </is>
      </c>
      <c r="E71" s="601" t="inlineStr">
        <is>
          <t>129663|948721</t>
        </is>
      </c>
      <c r="F71" s="601" t="n">
        <v>3210056</v>
      </c>
      <c r="G71" s="601">
        <f>_xlfn.CONCAT(scheduleapr[[#This Row],[CUSTOMER CODE]],"-",scheduleapr[[#This Row],[MATERIAL NO]])</f>
        <v/>
      </c>
      <c r="H71" s="601" t="inlineStr">
        <is>
          <t>TUB-O-N-AUT-AW-PE-34.93X2.000X1.1750</t>
        </is>
      </c>
      <c r="I71" s="601" t="inlineStr">
        <is>
          <t>ERW 1</t>
        </is>
      </c>
      <c r="J71" s="601" t="n"/>
      <c r="K71" s="601" t="inlineStr">
        <is>
          <t>FC</t>
        </is>
      </c>
      <c r="L71" s="601" t="inlineStr">
        <is>
          <t>HR</t>
        </is>
      </c>
      <c r="M71" s="601" t="n"/>
      <c r="N71" s="601" t="n"/>
      <c r="O71" s="601" t="n"/>
      <c r="P71" s="601" t="n"/>
      <c r="Q71" s="557">
        <f>CONCATENATE(scheduleapr[[#This Row],[OD]],"-",scheduleapr[[#This Row],[ID]],"-",scheduleapr[[#This Row],[TICKNESS]],"-",scheduleapr[[#This Row],[Grade]],"-",scheduleapr[[#This Row],[FC/NFC]])</f>
        <v/>
      </c>
      <c r="R71" s="557">
        <f>_xlfn.CONCAT(scheduleapr[[#This Row],[Bucket]],"-",scheduleapr[[#This Row],[LENGTH]]/1000)</f>
        <v/>
      </c>
      <c r="S71" s="557">
        <f>COUNTIF([2]!buckets[CTL Bucket],[2]!scheduleapr[[#This Row],[CTL Bucket]])</f>
        <v/>
      </c>
      <c r="T71" s="557" t="n"/>
      <c r="U71" s="601">
        <f>_xlfn.IFNA(VLOOKUP(scheduleapr[[#This Row],[Bucket]],salesforecast[[#All],[Bucket2]:[8406 Stock]],19,0),0)</f>
        <v/>
      </c>
      <c r="V71" s="557" t="n"/>
      <c r="W71" s="557" t="n"/>
      <c r="X71" s="599" t="n">
        <v>34.93</v>
      </c>
      <c r="Y71" s="599" t="n">
        <v>34.93</v>
      </c>
      <c r="Z71" s="599" t="n">
        <v>0</v>
      </c>
      <c r="AA71" s="599" t="n">
        <v>2</v>
      </c>
      <c r="AB71" s="600" t="n">
        <v>1175</v>
      </c>
      <c r="AC71" s="600" t="inlineStr">
        <is>
          <t>NOS</t>
        </is>
      </c>
      <c r="AD71" s="600" t="n"/>
      <c r="AE71" s="600" t="n"/>
      <c r="AF71" s="600" t="n"/>
      <c r="AG71" s="600" t="n"/>
      <c r="AH71" s="601">
        <f t="array" ref="AH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" s="602">
        <f>scheduleapr[[#This Row],[SCHEDULE in nos]]-scheduleapr[[#This Row],[DISPATCH]]</f>
        <v/>
      </c>
      <c r="AJ71" s="599">
        <f>(3.14*(scheduleapr[[#This Row],[ACTUAL OD]]-scheduleapr[[#This Row],[TICKNESS]])*scheduleapr[[#This Row],[TICKNESS]]*scheduleapr[[#This Row],[LENGTH]]*7.85)/1000000*scheduleapr[[#This Row],[SCHEDULE in nos]]/1000</f>
        <v/>
      </c>
      <c r="AK71" s="599">
        <f>(3.14*(scheduleapr[[#This Row],[ACTUAL OD]]-scheduleapr[[#This Row],[TICKNESS]])*scheduleapr[[#This Row],[TICKNESS]]*scheduleapr[[#This Row],[LENGTH]]*7.85)/1000000*scheduleapr[[#This Row],[DISPATCH]]/1000</f>
        <v/>
      </c>
      <c r="AL71" s="599">
        <f>AJ71-AK71</f>
        <v/>
      </c>
      <c r="AM71" s="599">
        <f>scheduleapr[[#This Row],[SCHEDULE in nos]]/scheduleapr[[#This Row],[SCHEDULE IN MT]]*scheduleapr[[#This Row],[CTL Stock]]</f>
        <v/>
      </c>
      <c r="AN71" s="599">
        <f>SUMIFS(stock[MT],stock[Bucket],scheduleapr[[#This Row],[Bucket]],stock[CTL Bucket],scheduleapr[[#This Row],[CTL Bucket]],stock[Plant],"0789")</f>
        <v/>
      </c>
      <c r="AO71" s="599" t="n"/>
      <c r="AP71" s="599">
        <f>SUMIFS(stock[MT],stock[Bucket],scheduleapr[[#This Row],[Bucket]],stock[LL or CTL],"LL")</f>
        <v/>
      </c>
      <c r="AQ71" s="599">
        <f>+SUMIFS(wip[Stock(Net Wt)],wip[Bucket],scheduleapr[[#This Row],[Bucket]])/1000</f>
        <v/>
      </c>
      <c r="AR71" s="599">
        <f>AJ71-AN71</f>
        <v/>
      </c>
      <c r="AS71" s="118" t="n"/>
    </row>
    <row r="72">
      <c r="A72" s="594" t="n">
        <v>69</v>
      </c>
      <c r="B72" s="5" t="inlineStr">
        <is>
          <t xml:space="preserve">Khopoli </t>
        </is>
      </c>
      <c r="C72" s="601" t="inlineStr">
        <is>
          <t>ELKAYEM AUTO</t>
        </is>
      </c>
      <c r="D72" s="601" t="inlineStr">
        <is>
          <t>ELKAYEM AUTO Hosur</t>
        </is>
      </c>
      <c r="E72" s="601" t="inlineStr">
        <is>
          <t>129663|948721</t>
        </is>
      </c>
      <c r="F72" s="601" t="n">
        <v>1155164</v>
      </c>
      <c r="G72" s="601">
        <f>_xlfn.CONCAT(scheduleapr[[#This Row],[CUSTOMER CODE]],"-",scheduleapr[[#This Row],[MATERIAL NO]])</f>
        <v/>
      </c>
      <c r="H72" s="601" t="inlineStr">
        <is>
          <t>TUB-O-N-AUT-NR-PE-34.93X2.500X1.723</t>
        </is>
      </c>
      <c r="I72" s="601" t="inlineStr">
        <is>
          <t>ERW 1</t>
        </is>
      </c>
      <c r="J72" s="601" t="n"/>
      <c r="K72" s="601" t="inlineStr">
        <is>
          <t>FC</t>
        </is>
      </c>
      <c r="L72" s="601" t="inlineStr">
        <is>
          <t>HR</t>
        </is>
      </c>
      <c r="M72" s="601" t="n"/>
      <c r="N72" s="601" t="n"/>
      <c r="O72" s="601" t="n"/>
      <c r="P72" s="601" t="n"/>
      <c r="Q72" s="557">
        <f>CONCATENATE(scheduleapr[[#This Row],[OD]],"-",scheduleapr[[#This Row],[ID]],"-",scheduleapr[[#This Row],[TICKNESS]],"-",scheduleapr[[#This Row],[Grade]],"-",scheduleapr[[#This Row],[FC/NFC]])</f>
        <v/>
      </c>
      <c r="R72" s="557">
        <f>_xlfn.CONCAT(scheduleapr[[#This Row],[Bucket]],"-",scheduleapr[[#This Row],[LENGTH]]/1000)</f>
        <v/>
      </c>
      <c r="S72" s="557">
        <f>COUNTIF([2]!buckets[CTL Bucket],[2]!scheduleapr[[#This Row],[CTL Bucket]])</f>
        <v/>
      </c>
      <c r="T72" s="557" t="n"/>
      <c r="U72" s="557" t="n"/>
      <c r="V72" s="557" t="n"/>
      <c r="W72" s="557" t="n"/>
      <c r="X72" s="6" t="n">
        <v>34.93</v>
      </c>
      <c r="Y72" s="6" t="n">
        <v>34.93</v>
      </c>
      <c r="Z72" s="599" t="n">
        <v>0</v>
      </c>
      <c r="AA72" s="599" t="n">
        <v>2.5</v>
      </c>
      <c r="AB72" s="600" t="n">
        <v>1723</v>
      </c>
      <c r="AC72" s="600" t="n"/>
      <c r="AD72" s="600" t="n"/>
      <c r="AE72" s="600" t="n"/>
      <c r="AF72" s="600" t="n"/>
      <c r="AG72" s="600" t="n"/>
      <c r="AH72" s="601">
        <f t="array" ref="AH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" s="602">
        <f>scheduleapr[[#This Row],[SCHEDULE in nos]]-scheduleapr[[#This Row],[DISPATCH]]</f>
        <v/>
      </c>
      <c r="AJ72" s="599">
        <f>(3.14*(scheduleapr[[#This Row],[ACTUAL OD]]-scheduleapr[[#This Row],[TICKNESS]])*scheduleapr[[#This Row],[TICKNESS]]*scheduleapr[[#This Row],[LENGTH]]*7.85)/1000000*scheduleapr[[#This Row],[SCHEDULE in nos]]/1000</f>
        <v/>
      </c>
      <c r="AK72" s="599">
        <f>(3.14*(scheduleapr[[#This Row],[ACTUAL OD]]-scheduleapr[[#This Row],[TICKNESS]])*scheduleapr[[#This Row],[TICKNESS]]*scheduleapr[[#This Row],[LENGTH]]*7.85)/1000000*scheduleapr[[#This Row],[DISPATCH]]/1000</f>
        <v/>
      </c>
      <c r="AL72" s="599">
        <f>AJ72-AK72</f>
        <v/>
      </c>
      <c r="AM72" s="599">
        <f>scheduleapr[[#This Row],[SCHEDULE in nos]]/scheduleapr[[#This Row],[SCHEDULE IN MT]]*scheduleapr[[#This Row],[CTL Stock]]</f>
        <v/>
      </c>
      <c r="AN72" s="599">
        <f>SUMIFS(stock[MT],stock[Bucket],scheduleapr[[#This Row],[Bucket]],stock[CTL Bucket],scheduleapr[[#This Row],[CTL Bucket]],stock[Plant],"0789")</f>
        <v/>
      </c>
      <c r="AO72" s="599" t="n"/>
      <c r="AP72" s="599">
        <f>SUMIFS(stock[MT],stock[Bucket],scheduleapr[[#This Row],[Bucket]],stock[LL or CTL],"LL")</f>
        <v/>
      </c>
      <c r="AQ72" s="599">
        <f>+SUMIFS(wip[Stock(Net Wt)],wip[Bucket],scheduleapr[[#This Row],[Bucket]])/1000</f>
        <v/>
      </c>
      <c r="AR72" s="599">
        <f>AJ72-AN72</f>
        <v/>
      </c>
      <c r="AS72" s="118" t="n"/>
    </row>
    <row r="73">
      <c r="A73" s="594" t="n">
        <v>70</v>
      </c>
      <c r="B73" s="5" t="inlineStr">
        <is>
          <t>Hosur</t>
        </is>
      </c>
      <c r="C73" s="601" t="inlineStr">
        <is>
          <t>ELKAYEM AUTO</t>
        </is>
      </c>
      <c r="D73" s="601" t="inlineStr">
        <is>
          <t>ELKAYEM AUTO Hosur</t>
        </is>
      </c>
      <c r="E73" s="601" t="inlineStr">
        <is>
          <t>129663|948721</t>
        </is>
      </c>
      <c r="F73" s="601" t="n">
        <v>1940815</v>
      </c>
      <c r="G73" s="601">
        <f>_xlfn.CONCAT(scheduleapr[[#This Row],[CUSTOMER CODE]],"-",scheduleapr[[#This Row],[MATERIAL NO]])</f>
        <v/>
      </c>
      <c r="H73" s="601" t="inlineStr">
        <is>
          <t>TUB-R-AW-RHS-40.00X20.00X1.600X0.4800</t>
        </is>
      </c>
      <c r="I73" s="601" t="inlineStr">
        <is>
          <t>ERW 1</t>
        </is>
      </c>
      <c r="J73" s="601" t="n"/>
      <c r="K73" s="601" t="inlineStr">
        <is>
          <t>FC</t>
        </is>
      </c>
      <c r="L73" s="601" t="inlineStr">
        <is>
          <t>HR</t>
        </is>
      </c>
      <c r="M73" s="601" t="inlineStr">
        <is>
          <t>GR1</t>
        </is>
      </c>
      <c r="N73" s="601" t="n"/>
      <c r="O73" s="601" t="n"/>
      <c r="P73" s="601" t="inlineStr">
        <is>
          <t>SC</t>
        </is>
      </c>
      <c r="Q73" s="557">
        <f>CONCATENATE(scheduleapr[[#This Row],[OD]],"-",scheduleapr[[#This Row],[ID]],"-",scheduleapr[[#This Row],[TICKNESS]],"-",scheduleapr[[#This Row],[Grade]],"-",scheduleapr[[#This Row],[FC/NFC]])</f>
        <v/>
      </c>
      <c r="R73" s="557">
        <f>_xlfn.CONCAT(scheduleapr[[#This Row],[Bucket]],"-",scheduleapr[[#This Row],[LENGTH]]/1000)</f>
        <v/>
      </c>
      <c r="S73" s="557">
        <f>COUNTIF(scheduleapr[CTL Bucket],scheduleapr[[#This Row],[CTL Bucket]])</f>
        <v/>
      </c>
      <c r="T73" s="601" t="inlineStr">
        <is>
          <t>Hosur</t>
        </is>
      </c>
      <c r="U73" s="601">
        <f>_xlfn.IFNA(VLOOKUP(scheduleapr[[#This Row],[Bucket]],salesforecast[[#All],[Bucket2]:[8406 Stock]],19,0),0)</f>
        <v/>
      </c>
      <c r="V73" s="562">
        <f>_xlfn.IFNA(VLOOKUP(scheduleapr[[#This Row],[Bucket]],salesforecast[[#All],[Bucket2]:[8406 Stock]],20,0),0)+_xlfn.IFNA(VLOOKUP(scheduleapr[[#This Row],[Bucket]],salesforecast[[#All],[Bucket2]:[8406 Stock]],17,0),0)</f>
        <v/>
      </c>
      <c r="W73" s="557" t="n"/>
      <c r="X73" s="599" t="n">
        <v>38.1</v>
      </c>
      <c r="Y73" s="599" t="n">
        <v>40</v>
      </c>
      <c r="Z73" s="599" t="n">
        <v>20</v>
      </c>
      <c r="AA73" s="599" t="n">
        <v>1.6</v>
      </c>
      <c r="AB73" s="600" t="n">
        <v>480</v>
      </c>
      <c r="AC73" s="600" t="inlineStr">
        <is>
          <t>NOS</t>
        </is>
      </c>
      <c r="AD73" s="600" t="n"/>
      <c r="AE73" s="600" t="n"/>
      <c r="AF73" s="601" t="n">
        <v>10000</v>
      </c>
      <c r="AG73" s="601" t="n"/>
      <c r="AH73" s="601">
        <f t="array" ref="AH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" s="602">
        <f>scheduleapr[[#This Row],[SCHEDULE in nos]]-scheduleapr[[#This Row],[DISPATCH]]</f>
        <v/>
      </c>
      <c r="AJ73" s="599">
        <f>(3.14*(scheduleapr[[#This Row],[ACTUAL OD]]-scheduleapr[[#This Row],[TICKNESS]])*scheduleapr[[#This Row],[TICKNESS]]*scheduleapr[[#This Row],[LENGTH]]*7.85)/1000000*scheduleapr[[#This Row],[SCHEDULE in nos]]/1000</f>
        <v/>
      </c>
      <c r="AK73" s="599">
        <f>(3.14*(scheduleapr[[#This Row],[ACTUAL OD]]-scheduleapr[[#This Row],[TICKNESS]])*scheduleapr[[#This Row],[TICKNESS]]*scheduleapr[[#This Row],[LENGTH]]*7.85)/1000000*scheduleapr[[#This Row],[DISPATCH]]/1000</f>
        <v/>
      </c>
      <c r="AL73" s="599">
        <f>AJ73-AK73</f>
        <v/>
      </c>
      <c r="AM73" s="599">
        <f>scheduleapr[[#This Row],[SCHEDULE in nos]]/scheduleapr[[#This Row],[SCHEDULE IN MT]]*scheduleapr[[#This Row],[CTL Stock]]</f>
        <v/>
      </c>
      <c r="AN73" s="599">
        <f>SUMIFS(stock[MT],stock[Bucket],scheduleapr[[#This Row],[Bucket]],stock[CTL Bucket],scheduleapr[[#This Row],[CTL Bucket]],stock[Plant],"0789")</f>
        <v/>
      </c>
      <c r="AO73" s="599" t="n"/>
      <c r="AP73" s="599">
        <f>SUMIFS(stock[MT],stock[Bucket],scheduleapr[[#This Row],[Bucket]],stock[LL or CTL],"LL")</f>
        <v/>
      </c>
      <c r="AQ73" s="599">
        <f>+SUMIFS(wip[Stock(Net Wt)],wip[Bucket],scheduleapr[[#This Row],[Bucket]])/1000</f>
        <v/>
      </c>
      <c r="AR73" s="599">
        <f>AJ73-AN73</f>
        <v/>
      </c>
      <c r="AS73" s="118" t="n"/>
    </row>
    <row r="74">
      <c r="A74" s="594" t="n">
        <v>71</v>
      </c>
      <c r="B74" s="5" t="inlineStr">
        <is>
          <t>Hosur</t>
        </is>
      </c>
      <c r="C74" s="601" t="inlineStr">
        <is>
          <t>ELKAYEM AUTO</t>
        </is>
      </c>
      <c r="D74" s="601" t="inlineStr">
        <is>
          <t>ELKAYEM AUTO Hosur</t>
        </is>
      </c>
      <c r="E74" s="601" t="inlineStr">
        <is>
          <t>129663|948721</t>
        </is>
      </c>
      <c r="F74" s="601" t="n">
        <v>1940821</v>
      </c>
      <c r="G74" s="601">
        <f>_xlfn.CONCAT(scheduleapr[[#This Row],[CUSTOMER CODE]],"-",scheduleapr[[#This Row],[MATERIAL NO]])</f>
        <v/>
      </c>
      <c r="H74" s="601" t="inlineStr">
        <is>
          <t>TUB-R-AW-RHS-40.00X25.00X1.600X0.5130</t>
        </is>
      </c>
      <c r="I74" s="601" t="inlineStr">
        <is>
          <t>ERW 1</t>
        </is>
      </c>
      <c r="J74" s="601" t="n"/>
      <c r="K74" s="601" t="inlineStr">
        <is>
          <t>FC</t>
        </is>
      </c>
      <c r="L74" s="601" t="inlineStr">
        <is>
          <t>CR</t>
        </is>
      </c>
      <c r="M74" s="596" t="inlineStr">
        <is>
          <t>GR1</t>
        </is>
      </c>
      <c r="N74" s="601" t="n"/>
      <c r="O74" s="601" t="n"/>
      <c r="P74" s="601" t="inlineStr">
        <is>
          <t>SC</t>
        </is>
      </c>
      <c r="Q74" s="557">
        <f>CONCATENATE(scheduleapr[[#This Row],[OD]],"-",scheduleapr[[#This Row],[ID]],"-",scheduleapr[[#This Row],[TICKNESS]],"-",scheduleapr[[#This Row],[Grade]],"-",scheduleapr[[#This Row],[FC/NFC]])</f>
        <v/>
      </c>
      <c r="R74" s="557">
        <f>_xlfn.CONCAT(scheduleapr[[#This Row],[Bucket]],"-",scheduleapr[[#This Row],[LENGTH]]/1000)</f>
        <v/>
      </c>
      <c r="S74" s="557">
        <f>COUNTIF(scheduleapr[CTL Bucket],scheduleapr[[#This Row],[CTL Bucket]])</f>
        <v/>
      </c>
      <c r="T74" s="601" t="inlineStr">
        <is>
          <t>Hosur</t>
        </is>
      </c>
      <c r="U74" s="601">
        <f>_xlfn.IFNA(VLOOKUP(scheduleapr[[#This Row],[Bucket]],salesforecast[[#All],[Bucket2]:[8406 Stock]],19,0),0)</f>
        <v/>
      </c>
      <c r="V74" s="562">
        <f>_xlfn.IFNA(VLOOKUP(scheduleapr[[#This Row],[Bucket]],salesforecast[[#All],[Bucket2]:[8406 Stock]],20,0),0)+_xlfn.IFNA(VLOOKUP(scheduleapr[[#This Row],[Bucket]],salesforecast[[#All],[Bucket2]:[8406 Stock]],17,0),0)</f>
        <v/>
      </c>
      <c r="W74" s="557" t="n"/>
      <c r="X74" s="599" t="n">
        <v>41.28</v>
      </c>
      <c r="Y74" s="599" t="n">
        <v>40</v>
      </c>
      <c r="Z74" s="599" t="n">
        <v>25</v>
      </c>
      <c r="AA74" s="599" t="n">
        <v>1.6</v>
      </c>
      <c r="AB74" s="600" t="n">
        <v>513</v>
      </c>
      <c r="AC74" s="600" t="inlineStr">
        <is>
          <t>NOS</t>
        </is>
      </c>
      <c r="AD74" s="600" t="n"/>
      <c r="AE74" s="600" t="n"/>
      <c r="AF74" s="601" t="n">
        <v>6000</v>
      </c>
      <c r="AG74" s="601" t="n"/>
      <c r="AH74" s="601">
        <f t="array" ref="AH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" s="602">
        <f>scheduleapr[[#This Row],[SCHEDULE in nos]]-scheduleapr[[#This Row],[DISPATCH]]</f>
        <v/>
      </c>
      <c r="AJ74" s="599">
        <f>(3.14*(scheduleapr[[#This Row],[ACTUAL OD]]-scheduleapr[[#This Row],[TICKNESS]])*scheduleapr[[#This Row],[TICKNESS]]*scheduleapr[[#This Row],[LENGTH]]*7.85)/1000000*scheduleapr[[#This Row],[SCHEDULE in nos]]/1000</f>
        <v/>
      </c>
      <c r="AK74" s="599">
        <f>(3.14*(scheduleapr[[#This Row],[ACTUAL OD]]-scheduleapr[[#This Row],[TICKNESS]])*scheduleapr[[#This Row],[TICKNESS]]*scheduleapr[[#This Row],[LENGTH]]*7.85)/1000000*scheduleapr[[#This Row],[DISPATCH]]/1000</f>
        <v/>
      </c>
      <c r="AL74" s="599">
        <f>AJ74-AK74</f>
        <v/>
      </c>
      <c r="AM74" s="599">
        <f>scheduleapr[[#This Row],[SCHEDULE in nos]]/scheduleapr[[#This Row],[SCHEDULE IN MT]]*scheduleapr[[#This Row],[CTL Stock]]</f>
        <v/>
      </c>
      <c r="AN74" s="599">
        <f>SUMIFS(stock[MT],stock[Bucket],scheduleapr[[#This Row],[Bucket]],stock[CTL Bucket],scheduleapr[[#This Row],[CTL Bucket]],stock[Plant],"0789")</f>
        <v/>
      </c>
      <c r="AO74" s="599" t="n"/>
      <c r="AP74" s="599">
        <f>SUMIFS(stock[MT],stock[Bucket],scheduleapr[[#This Row],[Bucket]],stock[LL or CTL],"LL")</f>
        <v/>
      </c>
      <c r="AQ74" s="599">
        <f>+SUMIFS(wip[Stock(Net Wt)],wip[Bucket],scheduleapr[[#This Row],[Bucket]])/1000</f>
        <v/>
      </c>
      <c r="AR74" s="599">
        <f>AJ74-AN74</f>
        <v/>
      </c>
      <c r="AS74" s="118" t="n"/>
    </row>
    <row r="75">
      <c r="A75" s="594" t="n">
        <v>72</v>
      </c>
      <c r="B75" s="5" t="inlineStr">
        <is>
          <t>Hosur</t>
        </is>
      </c>
      <c r="C75" s="601" t="inlineStr">
        <is>
          <t>ELKAYEM AUTO</t>
        </is>
      </c>
      <c r="D75" s="601" t="inlineStr">
        <is>
          <t>ELKAYEM AUTO Hosur</t>
        </is>
      </c>
      <c r="E75" s="601" t="inlineStr">
        <is>
          <t>129663|948721</t>
        </is>
      </c>
      <c r="F75" s="601" t="n">
        <v>1940822</v>
      </c>
      <c r="G75" s="601">
        <f>_xlfn.CONCAT(scheduleapr[[#This Row],[CUSTOMER CODE]],"-",scheduleapr[[#This Row],[MATERIAL NO]])</f>
        <v/>
      </c>
      <c r="H75" s="601" t="inlineStr">
        <is>
          <t>TUB-R-AW-RHS-40.00X25.00X1.600X0.5360</t>
        </is>
      </c>
      <c r="I75" s="601" t="inlineStr">
        <is>
          <t>ERW 1</t>
        </is>
      </c>
      <c r="J75" s="601" t="n"/>
      <c r="K75" s="601" t="inlineStr">
        <is>
          <t>FC</t>
        </is>
      </c>
      <c r="L75" s="601" t="inlineStr">
        <is>
          <t>CR</t>
        </is>
      </c>
      <c r="M75" s="596" t="inlineStr">
        <is>
          <t>GR1</t>
        </is>
      </c>
      <c r="N75" s="601" t="n"/>
      <c r="O75" s="601" t="n"/>
      <c r="P75" s="601" t="inlineStr">
        <is>
          <t>SC</t>
        </is>
      </c>
      <c r="Q75" s="557">
        <f>CONCATENATE(scheduleapr[[#This Row],[OD]],"-",scheduleapr[[#This Row],[ID]],"-",scheduleapr[[#This Row],[TICKNESS]],"-",scheduleapr[[#This Row],[Grade]],"-",scheduleapr[[#This Row],[FC/NFC]])</f>
        <v/>
      </c>
      <c r="R75" s="557">
        <f>_xlfn.CONCAT(scheduleapr[[#This Row],[Bucket]],"-",scheduleapr[[#This Row],[LENGTH]]/1000)</f>
        <v/>
      </c>
      <c r="S75" s="557">
        <f>COUNTIF(scheduleapr[CTL Bucket],scheduleapr[[#This Row],[CTL Bucket]])</f>
        <v/>
      </c>
      <c r="T75" s="601" t="inlineStr">
        <is>
          <t>Hosur</t>
        </is>
      </c>
      <c r="U75" s="601">
        <f>_xlfn.IFNA(VLOOKUP(scheduleapr[[#This Row],[Bucket]],salesforecast[[#All],[Bucket2]:[8406 Stock]],19,0),0)</f>
        <v/>
      </c>
      <c r="V75" s="562">
        <f>_xlfn.IFNA(VLOOKUP(scheduleapr[[#This Row],[Bucket]],salesforecast[[#All],[Bucket2]:[8406 Stock]],20,0),0)+_xlfn.IFNA(VLOOKUP(scheduleapr[[#This Row],[Bucket]],salesforecast[[#All],[Bucket2]:[8406 Stock]],17,0),0)</f>
        <v/>
      </c>
      <c r="W75" s="557" t="n"/>
      <c r="X75" s="599" t="n">
        <v>41.28</v>
      </c>
      <c r="Y75" s="599" t="n">
        <v>40</v>
      </c>
      <c r="Z75" s="599" t="n">
        <v>25</v>
      </c>
      <c r="AA75" s="599" t="n">
        <v>1.6</v>
      </c>
      <c r="AB75" s="600" t="n">
        <v>536</v>
      </c>
      <c r="AC75" s="600" t="inlineStr">
        <is>
          <t>NOS</t>
        </is>
      </c>
      <c r="AD75" s="600" t="n"/>
      <c r="AE75" s="600" t="n"/>
      <c r="AF75" s="601" t="n">
        <v>45000</v>
      </c>
      <c r="AG75" s="601" t="n"/>
      <c r="AH75" s="601">
        <f t="array" ref="AH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5" s="602">
        <f>scheduleapr[[#This Row],[SCHEDULE in nos]]-scheduleapr[[#This Row],[DISPATCH]]</f>
        <v/>
      </c>
      <c r="AJ75" s="599">
        <f>(3.14*(scheduleapr[[#This Row],[ACTUAL OD]]-scheduleapr[[#This Row],[TICKNESS]])*scheduleapr[[#This Row],[TICKNESS]]*scheduleapr[[#This Row],[LENGTH]]*7.85)/1000000*scheduleapr[[#This Row],[SCHEDULE in nos]]/1000</f>
        <v/>
      </c>
      <c r="AK75" s="599">
        <f>(3.14*(scheduleapr[[#This Row],[ACTUAL OD]]-scheduleapr[[#This Row],[TICKNESS]])*scheduleapr[[#This Row],[TICKNESS]]*scheduleapr[[#This Row],[LENGTH]]*7.85)/1000000*scheduleapr[[#This Row],[DISPATCH]]/1000</f>
        <v/>
      </c>
      <c r="AL75" s="599">
        <f>AJ75-AK75</f>
        <v/>
      </c>
      <c r="AM75" s="599">
        <f>scheduleapr[[#This Row],[SCHEDULE in nos]]/scheduleapr[[#This Row],[SCHEDULE IN MT]]*scheduleapr[[#This Row],[CTL Stock]]</f>
        <v/>
      </c>
      <c r="AN75" s="599">
        <f>SUMIFS(stock[MT],stock[Bucket],scheduleapr[[#This Row],[Bucket]],stock[CTL Bucket],scheduleapr[[#This Row],[CTL Bucket]],stock[Plant],"0789")</f>
        <v/>
      </c>
      <c r="AO75" s="599" t="n"/>
      <c r="AP75" s="599">
        <f>SUMIFS(stock[MT],stock[Bucket],scheduleapr[[#This Row],[Bucket]],stock[LL or CTL],"LL")</f>
        <v/>
      </c>
      <c r="AQ75" s="599">
        <f>+SUMIFS(wip[Stock(Net Wt)],wip[Bucket],scheduleapr[[#This Row],[Bucket]])/1000</f>
        <v/>
      </c>
      <c r="AR75" s="599">
        <f>AJ75-AN75</f>
        <v/>
      </c>
      <c r="AS75" s="118" t="n"/>
    </row>
    <row r="76">
      <c r="A76" s="594" t="n">
        <v>73</v>
      </c>
      <c r="B76" s="5" t="inlineStr">
        <is>
          <t>Hosur</t>
        </is>
      </c>
      <c r="C76" s="601" t="inlineStr">
        <is>
          <t>ELKAYEM AUTO</t>
        </is>
      </c>
      <c r="D76" s="601" t="inlineStr">
        <is>
          <t>ELKAYEM AUTO Hosur</t>
        </is>
      </c>
      <c r="E76" s="601" t="inlineStr">
        <is>
          <t>129663|948721</t>
        </is>
      </c>
      <c r="F76" s="601" t="n">
        <v>1940823</v>
      </c>
      <c r="G76" s="601">
        <f>_xlfn.CONCAT(scheduleapr[[#This Row],[CUSTOMER CODE]],"-",scheduleapr[[#This Row],[MATERIAL NO]])</f>
        <v/>
      </c>
      <c r="H76" s="601" t="inlineStr">
        <is>
          <t>TUB-R-AW-RHS-40.00X25.00X1.600X0.5600</t>
        </is>
      </c>
      <c r="I76" s="601" t="inlineStr">
        <is>
          <t>ERW 1</t>
        </is>
      </c>
      <c r="J76" s="601" t="n"/>
      <c r="K76" s="601" t="inlineStr">
        <is>
          <t>FC</t>
        </is>
      </c>
      <c r="L76" s="601" t="inlineStr">
        <is>
          <t>CR</t>
        </is>
      </c>
      <c r="M76" s="596" t="inlineStr">
        <is>
          <t>GR1</t>
        </is>
      </c>
      <c r="N76" s="601" t="n"/>
      <c r="O76" s="601" t="n"/>
      <c r="P76" s="601" t="inlineStr">
        <is>
          <t>SC</t>
        </is>
      </c>
      <c r="Q76" s="557">
        <f>CONCATENATE(scheduleapr[[#This Row],[OD]],"-",scheduleapr[[#This Row],[ID]],"-",scheduleapr[[#This Row],[TICKNESS]],"-",scheduleapr[[#This Row],[Grade]],"-",scheduleapr[[#This Row],[FC/NFC]])</f>
        <v/>
      </c>
      <c r="R76" s="557">
        <f>_xlfn.CONCAT(scheduleapr[[#This Row],[Bucket]],"-",scheduleapr[[#This Row],[LENGTH]]/1000)</f>
        <v/>
      </c>
      <c r="S76" s="557">
        <f>COUNTIF(scheduleapr[CTL Bucket],scheduleapr[[#This Row],[CTL Bucket]])</f>
        <v/>
      </c>
      <c r="T76" s="601" t="inlineStr">
        <is>
          <t>Hosur</t>
        </is>
      </c>
      <c r="U76" s="601">
        <f>_xlfn.IFNA(VLOOKUP(scheduleapr[[#This Row],[Bucket]],salesforecast[[#All],[Bucket2]:[8406 Stock]],19,0),0)</f>
        <v/>
      </c>
      <c r="V76" s="562">
        <f>_xlfn.IFNA(VLOOKUP(scheduleapr[[#This Row],[Bucket]],salesforecast[[#All],[Bucket2]:[8406 Stock]],20,0),0)+_xlfn.IFNA(VLOOKUP(scheduleapr[[#This Row],[Bucket]],salesforecast[[#All],[Bucket2]:[8406 Stock]],17,0),0)</f>
        <v/>
      </c>
      <c r="W76" s="557" t="n"/>
      <c r="X76" s="599" t="n">
        <v>41.28</v>
      </c>
      <c r="Y76" s="599" t="n">
        <v>40</v>
      </c>
      <c r="Z76" s="599" t="n">
        <v>25</v>
      </c>
      <c r="AA76" s="599" t="n">
        <v>1.6</v>
      </c>
      <c r="AB76" s="600" t="n">
        <v>560</v>
      </c>
      <c r="AC76" s="600" t="inlineStr">
        <is>
          <t>NOS</t>
        </is>
      </c>
      <c r="AD76" s="600" t="n"/>
      <c r="AE76" s="600" t="n"/>
      <c r="AF76" s="601" t="n">
        <v>20000</v>
      </c>
      <c r="AG76" s="601" t="n"/>
      <c r="AH76" s="601">
        <f t="array" ref="AH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6" s="602">
        <f>scheduleapr[[#This Row],[SCHEDULE in nos]]-scheduleapr[[#This Row],[DISPATCH]]</f>
        <v/>
      </c>
      <c r="AJ76" s="599">
        <f>(3.14*(scheduleapr[[#This Row],[ACTUAL OD]]-scheduleapr[[#This Row],[TICKNESS]])*scheduleapr[[#This Row],[TICKNESS]]*scheduleapr[[#This Row],[LENGTH]]*7.85)/1000000*scheduleapr[[#This Row],[SCHEDULE in nos]]/1000</f>
        <v/>
      </c>
      <c r="AK76" s="599">
        <f>(3.14*(scheduleapr[[#This Row],[ACTUAL OD]]-scheduleapr[[#This Row],[TICKNESS]])*scheduleapr[[#This Row],[TICKNESS]]*scheduleapr[[#This Row],[LENGTH]]*7.85)/1000000*scheduleapr[[#This Row],[DISPATCH]]/1000</f>
        <v/>
      </c>
      <c r="AL76" s="599">
        <f>AJ76-AK76</f>
        <v/>
      </c>
      <c r="AM76" s="599">
        <f>scheduleapr[[#This Row],[SCHEDULE in nos]]/scheduleapr[[#This Row],[SCHEDULE IN MT]]*scheduleapr[[#This Row],[CTL Stock]]</f>
        <v/>
      </c>
      <c r="AN76" s="599">
        <f>SUMIFS(stock[MT],stock[Bucket],scheduleapr[[#This Row],[Bucket]],stock[CTL Bucket],scheduleapr[[#This Row],[CTL Bucket]],stock[Plant],"0789")</f>
        <v/>
      </c>
      <c r="AO76" s="599" t="n"/>
      <c r="AP76" s="599">
        <f>SUMIFS(stock[MT],stock[Bucket],scheduleapr[[#This Row],[Bucket]],stock[LL or CTL],"LL")</f>
        <v/>
      </c>
      <c r="AQ76" s="599">
        <f>+SUMIFS(wip[Stock(Net Wt)],wip[Bucket],scheduleapr[[#This Row],[Bucket]])/1000</f>
        <v/>
      </c>
      <c r="AR76" s="599">
        <f>AJ76-AN76</f>
        <v/>
      </c>
      <c r="AS76" s="118" t="n"/>
    </row>
    <row r="77">
      <c r="A77" s="594" t="n">
        <v>74</v>
      </c>
      <c r="B77" s="5" t="inlineStr">
        <is>
          <t>Hosur</t>
        </is>
      </c>
      <c r="C77" s="601" t="inlineStr">
        <is>
          <t>ELKAYEM AUTO</t>
        </is>
      </c>
      <c r="D77" s="601" t="inlineStr">
        <is>
          <t>ELKAYEM AUTO Hosur</t>
        </is>
      </c>
      <c r="E77" s="601" t="inlineStr">
        <is>
          <t>129663|948721</t>
        </is>
      </c>
      <c r="F77" s="601" t="n">
        <v>1940825</v>
      </c>
      <c r="G77" s="601">
        <f>_xlfn.CONCAT(scheduleapr[[#This Row],[CUSTOMER CODE]],"-",scheduleapr[[#This Row],[MATERIAL NO]])</f>
        <v/>
      </c>
      <c r="H77" s="601" t="inlineStr">
        <is>
          <t>TUB-R-AW-RHS-40.00X25.00X1.600X0.5850</t>
        </is>
      </c>
      <c r="I77" s="601" t="inlineStr">
        <is>
          <t>ERW 1</t>
        </is>
      </c>
      <c r="J77" s="601" t="n"/>
      <c r="K77" s="601" t="inlineStr">
        <is>
          <t>FC</t>
        </is>
      </c>
      <c r="L77" s="601" t="inlineStr">
        <is>
          <t>CR</t>
        </is>
      </c>
      <c r="M77" s="596" t="inlineStr">
        <is>
          <t>GR1</t>
        </is>
      </c>
      <c r="N77" s="601" t="n"/>
      <c r="O77" s="601" t="n"/>
      <c r="P77" s="601" t="inlineStr">
        <is>
          <t>SC</t>
        </is>
      </c>
      <c r="Q77" s="557">
        <f>CONCATENATE(scheduleapr[[#This Row],[OD]],"-",scheduleapr[[#This Row],[ID]],"-",scheduleapr[[#This Row],[TICKNESS]],"-",scheduleapr[[#This Row],[Grade]],"-",scheduleapr[[#This Row],[FC/NFC]])</f>
        <v/>
      </c>
      <c r="R77" s="557">
        <f>_xlfn.CONCAT(scheduleapr[[#This Row],[Bucket]],"-",scheduleapr[[#This Row],[LENGTH]]/1000)</f>
        <v/>
      </c>
      <c r="S77" s="557">
        <f>COUNTIF(scheduleapr[CTL Bucket],scheduleapr[[#This Row],[CTL Bucket]])</f>
        <v/>
      </c>
      <c r="T77" s="601" t="inlineStr">
        <is>
          <t>Hosur</t>
        </is>
      </c>
      <c r="U77" s="601">
        <f>_xlfn.IFNA(VLOOKUP(scheduleapr[[#This Row],[Bucket]],salesforecast[[#All],[Bucket2]:[8406 Stock]],19,0),0)</f>
        <v/>
      </c>
      <c r="V77" s="562">
        <f>_xlfn.IFNA(VLOOKUP(scheduleapr[[#This Row],[Bucket]],salesforecast[[#All],[Bucket2]:[8406 Stock]],20,0),0)+_xlfn.IFNA(VLOOKUP(scheduleapr[[#This Row],[Bucket]],salesforecast[[#All],[Bucket2]:[8406 Stock]],17,0),0)</f>
        <v/>
      </c>
      <c r="W77" s="557" t="n"/>
      <c r="X77" s="599" t="n">
        <v>41.28</v>
      </c>
      <c r="Y77" s="599" t="n">
        <v>40</v>
      </c>
      <c r="Z77" s="599" t="n">
        <v>25</v>
      </c>
      <c r="AA77" s="599" t="n">
        <v>1.6</v>
      </c>
      <c r="AB77" s="600" t="n">
        <v>585</v>
      </c>
      <c r="AC77" s="600" t="inlineStr">
        <is>
          <t>NOS</t>
        </is>
      </c>
      <c r="AD77" s="600" t="n"/>
      <c r="AE77" s="600" t="n"/>
      <c r="AF77" s="601" t="n">
        <v>6000</v>
      </c>
      <c r="AG77" s="601" t="n"/>
      <c r="AH77" s="601">
        <f t="array" ref="AH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7" s="602">
        <f>scheduleapr[[#This Row],[SCHEDULE in nos]]-scheduleapr[[#This Row],[DISPATCH]]</f>
        <v/>
      </c>
      <c r="AJ77" s="599">
        <f>(3.14*(scheduleapr[[#This Row],[ACTUAL OD]]-scheduleapr[[#This Row],[TICKNESS]])*scheduleapr[[#This Row],[TICKNESS]]*scheduleapr[[#This Row],[LENGTH]]*7.85)/1000000*scheduleapr[[#This Row],[SCHEDULE in nos]]/1000</f>
        <v/>
      </c>
      <c r="AK77" s="599">
        <f>(3.14*(scheduleapr[[#This Row],[ACTUAL OD]]-scheduleapr[[#This Row],[TICKNESS]])*scheduleapr[[#This Row],[TICKNESS]]*scheduleapr[[#This Row],[LENGTH]]*7.85)/1000000*scheduleapr[[#This Row],[DISPATCH]]/1000</f>
        <v/>
      </c>
      <c r="AL77" s="599">
        <f>AJ77-AK77</f>
        <v/>
      </c>
      <c r="AM77" s="599">
        <f>scheduleapr[[#This Row],[SCHEDULE in nos]]/scheduleapr[[#This Row],[SCHEDULE IN MT]]*scheduleapr[[#This Row],[CTL Stock]]</f>
        <v/>
      </c>
      <c r="AN77" s="599">
        <f>SUMIFS(stock[MT],stock[Bucket],scheduleapr[[#This Row],[Bucket]],stock[CTL Bucket],scheduleapr[[#This Row],[CTL Bucket]],stock[Plant],"0789")</f>
        <v/>
      </c>
      <c r="AO77" s="599" t="n"/>
      <c r="AP77" s="599">
        <f>SUMIFS(stock[MT],stock[Bucket],scheduleapr[[#This Row],[Bucket]],stock[LL or CTL],"LL")</f>
        <v/>
      </c>
      <c r="AQ77" s="599">
        <f>+SUMIFS(wip[Stock(Net Wt)],wip[Bucket],scheduleapr[[#This Row],[Bucket]])/1000</f>
        <v/>
      </c>
      <c r="AR77" s="599">
        <f>AJ77-AN77</f>
        <v/>
      </c>
      <c r="AS77" s="118" t="n"/>
    </row>
    <row r="78">
      <c r="A78" s="594" t="n">
        <v>75</v>
      </c>
      <c r="B78" s="5" t="inlineStr">
        <is>
          <t>Hosur</t>
        </is>
      </c>
      <c r="C78" s="601" t="inlineStr">
        <is>
          <t>ELKAYEM AUTO</t>
        </is>
      </c>
      <c r="D78" s="601" t="inlineStr">
        <is>
          <t>ELKAYEM AUTO Hosur</t>
        </is>
      </c>
      <c r="E78" s="601" t="inlineStr">
        <is>
          <t>129663|948721</t>
        </is>
      </c>
      <c r="F78" s="601" t="n">
        <v>1932559</v>
      </c>
      <c r="G78" s="601">
        <f>_xlfn.CONCAT(scheduleapr[[#This Row],[CUSTOMER CODE]],"-",scheduleapr[[#This Row],[MATERIAL NO]])</f>
        <v/>
      </c>
      <c r="H78" s="601" t="inlineStr">
        <is>
          <t>TUB-R-AW-RHS-40.00X25.00X2.000X6.0000</t>
        </is>
      </c>
      <c r="I78" s="601" t="inlineStr">
        <is>
          <t>ERW 1</t>
        </is>
      </c>
      <c r="J78" s="601" t="n"/>
      <c r="K78" s="601" t="inlineStr">
        <is>
          <t>FC</t>
        </is>
      </c>
      <c r="L78" s="601" t="inlineStr">
        <is>
          <t>HR</t>
        </is>
      </c>
      <c r="M78" s="601" t="n"/>
      <c r="N78" s="601" t="n"/>
      <c r="O78" s="601" t="n"/>
      <c r="P78" s="601" t="inlineStr">
        <is>
          <t>SC</t>
        </is>
      </c>
      <c r="Q78" s="557">
        <f>CONCATENATE(scheduleapr[[#This Row],[OD]],"-",scheduleapr[[#This Row],[ID]],"-",scheduleapr[[#This Row],[TICKNESS]],"-",scheduleapr[[#This Row],[Grade]],"-",scheduleapr[[#This Row],[FC/NFC]])</f>
        <v/>
      </c>
      <c r="R78" s="557">
        <f>_xlfn.CONCAT(scheduleapr[[#This Row],[Bucket]],"-",scheduleapr[[#This Row],[LENGTH]]/1000)</f>
        <v/>
      </c>
      <c r="S78" s="557">
        <f>COUNTIF([2]!buckets[CTL Bucket],[2]!scheduleapr[[#This Row],[CTL Bucket]])</f>
        <v/>
      </c>
      <c r="T78" s="557" t="n"/>
      <c r="U78" s="557" t="n"/>
      <c r="V78" s="557" t="n"/>
      <c r="W78" s="557" t="n"/>
      <c r="X78" s="599" t="n">
        <v>41.28</v>
      </c>
      <c r="Y78" s="599" t="n">
        <v>40</v>
      </c>
      <c r="Z78" s="599" t="n">
        <v>25</v>
      </c>
      <c r="AA78" s="599" t="n">
        <v>2</v>
      </c>
      <c r="AB78" s="600" t="n">
        <v>1000</v>
      </c>
      <c r="AC78" s="600" t="inlineStr">
        <is>
          <t>M</t>
        </is>
      </c>
      <c r="AD78" s="600" t="n"/>
      <c r="AE78" s="600" t="n"/>
      <c r="AF78" s="600" t="n"/>
      <c r="AG78" s="600" t="n"/>
      <c r="AH78" s="601">
        <f t="array" ref="AH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8" s="602">
        <f>scheduleapr[[#This Row],[SCHEDULE in nos]]-scheduleapr[[#This Row],[DISPATCH]]</f>
        <v/>
      </c>
      <c r="AJ78" s="599">
        <f>(3.14*(scheduleapr[[#This Row],[ACTUAL OD]]-scheduleapr[[#This Row],[TICKNESS]])*scheduleapr[[#This Row],[TICKNESS]]*scheduleapr[[#This Row],[LENGTH]]*7.85)/1000000*scheduleapr[[#This Row],[SCHEDULE in nos]]/1000</f>
        <v/>
      </c>
      <c r="AK78" s="599">
        <f>(3.14*(scheduleapr[[#This Row],[ACTUAL OD]]-scheduleapr[[#This Row],[TICKNESS]])*scheduleapr[[#This Row],[TICKNESS]]*scheduleapr[[#This Row],[LENGTH]]*7.85)/1000000*scheduleapr[[#This Row],[DISPATCH]]/1000</f>
        <v/>
      </c>
      <c r="AL78" s="599">
        <f>AJ78-AK78</f>
        <v/>
      </c>
      <c r="AM78" s="599">
        <f>scheduleapr[[#This Row],[SCHEDULE in nos]]/scheduleapr[[#This Row],[SCHEDULE IN MT]]*scheduleapr[[#This Row],[CTL Stock]]</f>
        <v/>
      </c>
      <c r="AN78" s="599">
        <f>SUMIFS(stock[MT],stock[Bucket],scheduleapr[[#This Row],[Bucket]],stock[CTL Bucket],scheduleapr[[#This Row],[CTL Bucket]],stock[Plant],"0789")</f>
        <v/>
      </c>
      <c r="AO78" s="599" t="n"/>
      <c r="AP78" s="599">
        <f>SUMIFS(stock[MT],stock[Bucket],scheduleapr[[#This Row],[Bucket]],stock[LL or CTL],"LL")</f>
        <v/>
      </c>
      <c r="AQ78" s="599">
        <f>+SUMIFS(wip[Stock(Net Wt)],wip[Bucket],scheduleapr[[#This Row],[Bucket]])/1000</f>
        <v/>
      </c>
      <c r="AR78" s="599">
        <f>AJ78-AN78</f>
        <v/>
      </c>
      <c r="AS78" s="118" t="n"/>
    </row>
    <row r="79">
      <c r="A79" s="594" t="n">
        <v>76</v>
      </c>
      <c r="B79" s="5" t="inlineStr">
        <is>
          <t>Hosur</t>
        </is>
      </c>
      <c r="C79" s="601" t="inlineStr">
        <is>
          <t>ELKAYEM AUTO</t>
        </is>
      </c>
      <c r="D79" s="601" t="inlineStr">
        <is>
          <t>ELKAYEM AUTO Hosur</t>
        </is>
      </c>
      <c r="E79" s="601" t="inlineStr">
        <is>
          <t>129663|948721</t>
        </is>
      </c>
      <c r="F79" s="601" t="n">
        <v>3499121</v>
      </c>
      <c r="G79" s="601">
        <f>_xlfn.CONCAT(scheduleapr[[#This Row],[CUSTOMER CODE]],"-",scheduleapr[[#This Row],[MATERIAL NO]])</f>
        <v/>
      </c>
      <c r="H79" s="601" t="inlineStr">
        <is>
          <t>TUB-N-AUT-BH-FC-42.70X4.000X0.2900</t>
        </is>
      </c>
      <c r="I79" s="601" t="inlineStr">
        <is>
          <t>ERW 1</t>
        </is>
      </c>
      <c r="J79" s="601" t="inlineStr">
        <is>
          <t>Annealed</t>
        </is>
      </c>
      <c r="K79" s="601" t="inlineStr">
        <is>
          <t>FC</t>
        </is>
      </c>
      <c r="L79" s="601" t="inlineStr">
        <is>
          <t>HR</t>
        </is>
      </c>
      <c r="M79" s="601" t="n"/>
      <c r="N79" s="601" t="n"/>
      <c r="O79" s="601" t="n"/>
      <c r="P79" s="601" t="n"/>
      <c r="Q79" s="557">
        <f>CONCATENATE(scheduleapr[[#This Row],[OD]],"-",scheduleapr[[#This Row],[ID]],"-",scheduleapr[[#This Row],[TICKNESS]],"-",scheduleapr[[#This Row],[Grade]],"-",scheduleapr[[#This Row],[FC/NFC]])</f>
        <v/>
      </c>
      <c r="R79" s="557">
        <f>_xlfn.CONCAT(scheduleapr[[#This Row],[Bucket]],"-",scheduleapr[[#This Row],[LENGTH]]/1000)</f>
        <v/>
      </c>
      <c r="S79" s="557">
        <f>COUNTIF([2]!buckets[CTL Bucket],[2]!scheduleapr[[#This Row],[CTL Bucket]])</f>
        <v/>
      </c>
      <c r="T79" s="601" t="inlineStr">
        <is>
          <t>Khopoli</t>
        </is>
      </c>
      <c r="U79" s="601" t="n"/>
      <c r="V79" s="557" t="n"/>
      <c r="W79" s="557" t="n"/>
      <c r="X79" s="599" t="n">
        <v>42.7</v>
      </c>
      <c r="Y79" s="599" t="n">
        <v>42.7</v>
      </c>
      <c r="Z79" s="599" t="n">
        <v>0</v>
      </c>
      <c r="AA79" s="599" t="n">
        <v>4</v>
      </c>
      <c r="AB79" s="600" t="n">
        <v>290</v>
      </c>
      <c r="AC79" s="600" t="inlineStr">
        <is>
          <t>NOS</t>
        </is>
      </c>
      <c r="AD79" s="600" t="n"/>
      <c r="AE79" s="600" t="n"/>
      <c r="AF79" s="600" t="n"/>
      <c r="AG79" s="600" t="n"/>
      <c r="AH79" s="601">
        <f t="array" ref="AH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9" s="602">
        <f>scheduleapr[[#This Row],[SCHEDULE in nos]]-scheduleapr[[#This Row],[DISPATCH]]</f>
        <v/>
      </c>
      <c r="AJ79" s="599">
        <f>(3.14*(scheduleapr[[#This Row],[ACTUAL OD]]-scheduleapr[[#This Row],[TICKNESS]])*scheduleapr[[#This Row],[TICKNESS]]*scheduleapr[[#This Row],[LENGTH]]*7.85)/1000000*scheduleapr[[#This Row],[SCHEDULE in nos]]/1000</f>
        <v/>
      </c>
      <c r="AK79" s="599">
        <f>(3.14*(scheduleapr[[#This Row],[ACTUAL OD]]-scheduleapr[[#This Row],[TICKNESS]])*scheduleapr[[#This Row],[TICKNESS]]*scheduleapr[[#This Row],[LENGTH]]*7.85)/1000000*scheduleapr[[#This Row],[DISPATCH]]/1000</f>
        <v/>
      </c>
      <c r="AL79" s="599">
        <f>AJ79-AK79</f>
        <v/>
      </c>
      <c r="AM79" s="599">
        <f>scheduleapr[[#This Row],[SCHEDULE in nos]]/scheduleapr[[#This Row],[SCHEDULE IN MT]]*scheduleapr[[#This Row],[CTL Stock]]</f>
        <v/>
      </c>
      <c r="AN79" s="599">
        <f>SUMIFS(stock[MT],stock[Bucket],scheduleapr[[#This Row],[Bucket]],stock[CTL Bucket],scheduleapr[[#This Row],[CTL Bucket]],stock[Plant],"0789")</f>
        <v/>
      </c>
      <c r="AO79" s="599" t="n"/>
      <c r="AP79" s="599">
        <f>SUMIFS(stock[MT],stock[Bucket],scheduleapr[[#This Row],[Bucket]],stock[LL or CTL],"LL")</f>
        <v/>
      </c>
      <c r="AQ79" s="599">
        <f>+SUMIFS(wip[Stock(Net Wt)],wip[Bucket],scheduleapr[[#This Row],[Bucket]])/1000</f>
        <v/>
      </c>
      <c r="AR79" s="599">
        <f>AJ79-AN79</f>
        <v/>
      </c>
      <c r="AS79" s="118" t="n"/>
    </row>
    <row r="80">
      <c r="A80" s="594" t="n">
        <v>77</v>
      </c>
      <c r="B80" s="5" t="inlineStr">
        <is>
          <t>Hosur</t>
        </is>
      </c>
      <c r="C80" s="601" t="inlineStr">
        <is>
          <t>ELKAYEM AUTO</t>
        </is>
      </c>
      <c r="D80" s="601" t="inlineStr">
        <is>
          <t>ELKAYEM AUTO Hosur</t>
        </is>
      </c>
      <c r="E80" s="601" t="inlineStr">
        <is>
          <t>129663|948721</t>
        </is>
      </c>
      <c r="F80" s="601" t="n">
        <v>3441727</v>
      </c>
      <c r="G80" s="601">
        <f>_xlfn.CONCAT(scheduleapr[[#This Row],[CUSTOMER CODE]],"-",scheduleapr[[#This Row],[MATERIAL NO]])</f>
        <v/>
      </c>
      <c r="H80" s="9" t="inlineStr">
        <is>
          <t>TUB-R-AW-AUT-40.00X30.00X1.600X6.0000</t>
        </is>
      </c>
      <c r="I80" s="601" t="inlineStr">
        <is>
          <t>ERW 1</t>
        </is>
      </c>
      <c r="J80" s="601" t="n"/>
      <c r="K80" s="601" t="inlineStr">
        <is>
          <t>FC</t>
        </is>
      </c>
      <c r="L80" s="601" t="inlineStr">
        <is>
          <t>HR</t>
        </is>
      </c>
      <c r="M80" s="601" t="n"/>
      <c r="N80" s="601" t="n"/>
      <c r="O80" s="601" t="n"/>
      <c r="P80" s="601" t="n"/>
      <c r="Q80" s="557">
        <f>CONCATENATE(scheduleapr[[#This Row],[OD]],"-",scheduleapr[[#This Row],[ID]],"-",scheduleapr[[#This Row],[TICKNESS]],"-",scheduleapr[[#This Row],[Grade]],"-",scheduleapr[[#This Row],[FC/NFC]])</f>
        <v/>
      </c>
      <c r="R80" s="557">
        <f>_xlfn.CONCAT(scheduleapr[[#This Row],[Bucket]],"-",scheduleapr[[#This Row],[LENGTH]]/1000)</f>
        <v/>
      </c>
      <c r="S80" s="557">
        <f>COUNTIF(scheduleapr[CTL Bucket],scheduleapr[[#This Row],[CTL Bucket]])</f>
        <v/>
      </c>
      <c r="T80" s="557" t="n"/>
      <c r="U80" s="557" t="n"/>
      <c r="V80" s="557" t="n"/>
      <c r="W80" s="557" t="n"/>
      <c r="X80" s="599" t="n">
        <v>44.45</v>
      </c>
      <c r="Y80" s="599" t="n">
        <v>40</v>
      </c>
      <c r="Z80" s="599" t="n">
        <v>30</v>
      </c>
      <c r="AA80" s="599" t="n">
        <v>1.6</v>
      </c>
      <c r="AB80" s="600" t="n">
        <v>1000</v>
      </c>
      <c r="AC80" s="600" t="inlineStr">
        <is>
          <t>M</t>
        </is>
      </c>
      <c r="AD80" s="600" t="n"/>
      <c r="AE80" s="600" t="n"/>
      <c r="AF80" s="600" t="n"/>
      <c r="AG80" s="600" t="n"/>
      <c r="AH80" s="601">
        <f t="array" ref="AH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0" s="602">
        <f>scheduleapr[[#This Row],[SCHEDULE in nos]]-scheduleapr[[#This Row],[DISPATCH]]</f>
        <v/>
      </c>
      <c r="AJ80" s="599">
        <f>(3.14*(scheduleapr[[#This Row],[ACTUAL OD]]-scheduleapr[[#This Row],[TICKNESS]])*scheduleapr[[#This Row],[TICKNESS]]*scheduleapr[[#This Row],[LENGTH]]*7.85)/1000000*scheduleapr[[#This Row],[SCHEDULE in nos]]/1000</f>
        <v/>
      </c>
      <c r="AK80" s="599">
        <f>(3.14*(scheduleapr[[#This Row],[ACTUAL OD]]-scheduleapr[[#This Row],[TICKNESS]])*scheduleapr[[#This Row],[TICKNESS]]*scheduleapr[[#This Row],[LENGTH]]*7.85)/1000000*scheduleapr[[#This Row],[DISPATCH]]/1000</f>
        <v/>
      </c>
      <c r="AL80" s="599">
        <f>AJ80-AK80</f>
        <v/>
      </c>
      <c r="AM80" s="599">
        <f>scheduleapr[[#This Row],[SCHEDULE in nos]]/scheduleapr[[#This Row],[SCHEDULE IN MT]]*scheduleapr[[#This Row],[CTL Stock]]</f>
        <v/>
      </c>
      <c r="AN80" s="599">
        <f>SUMIFS(stock[MT],stock[Bucket],scheduleapr[[#This Row],[Bucket]],stock[CTL Bucket],scheduleapr[[#This Row],[CTL Bucket]],stock[Plant],"0789")</f>
        <v/>
      </c>
      <c r="AO80" s="599" t="n"/>
      <c r="AP80" s="599">
        <f>SUMIFS(stock[MT],stock[Bucket],scheduleapr[[#This Row],[Bucket]],stock[LL or CTL],"LL")</f>
        <v/>
      </c>
      <c r="AQ80" s="599">
        <f>+SUMIFS(wip[Stock(Net Wt)],wip[Bucket],scheduleapr[[#This Row],[Bucket]])/1000</f>
        <v/>
      </c>
      <c r="AR80" s="599">
        <f>AJ80-AN80</f>
        <v/>
      </c>
      <c r="AS80" s="118" t="n"/>
    </row>
    <row r="81">
      <c r="A81" s="594" t="n">
        <v>78</v>
      </c>
      <c r="B81" s="5" t="inlineStr">
        <is>
          <t>Hosur</t>
        </is>
      </c>
      <c r="C81" s="601" t="inlineStr">
        <is>
          <t>ELKAYEM AUTO</t>
        </is>
      </c>
      <c r="D81" s="601" t="inlineStr">
        <is>
          <t>ELKAYEM AUTO Hosur</t>
        </is>
      </c>
      <c r="E81" s="601" t="inlineStr">
        <is>
          <t>129663|948721</t>
        </is>
      </c>
      <c r="F81" s="127" t="n">
        <v>4098592</v>
      </c>
      <c r="G81" s="601">
        <f>_xlfn.CONCAT(scheduleapr[[#This Row],[CUSTOMER CODE]],"-",scheduleapr[[#This Row],[MATERIAL NO]])</f>
        <v/>
      </c>
      <c r="H81" s="601" t="inlineStr">
        <is>
          <t>TUB-R-AW-AUT-40.00X30.00X2.000X0.1480</t>
        </is>
      </c>
      <c r="I81" s="601" t="inlineStr">
        <is>
          <t>ERW 1</t>
        </is>
      </c>
      <c r="J81" s="601" t="n"/>
      <c r="K81" s="601" t="inlineStr">
        <is>
          <t>FC</t>
        </is>
      </c>
      <c r="L81" s="601" t="inlineStr">
        <is>
          <t>HR</t>
        </is>
      </c>
      <c r="M81" s="601" t="n"/>
      <c r="N81" s="601" t="n"/>
      <c r="O81" s="601" t="inlineStr">
        <is>
          <t>AG</t>
        </is>
      </c>
      <c r="P81" s="601" t="n"/>
      <c r="Q81" s="557">
        <f>CONCATENATE(scheduleapr[[#This Row],[OD]],"-",scheduleapr[[#This Row],[ID]],"-",scheduleapr[[#This Row],[TICKNESS]],"-",scheduleapr[[#This Row],[Grade]],"-",scheduleapr[[#This Row],[FC/NFC]])</f>
        <v/>
      </c>
      <c r="R81" s="557">
        <f>_xlfn.CONCAT(scheduleapr[[#This Row],[Bucket]],"-",scheduleapr[[#This Row],[LENGTH]]/1000)</f>
        <v/>
      </c>
      <c r="S81" s="557">
        <f>COUNTIF(scheduleapr[CTL Bucket],scheduleapr[[#This Row],[CTL Bucket]])</f>
        <v/>
      </c>
      <c r="T81" s="601" t="n"/>
      <c r="U81" s="601">
        <f>_xlfn.IFNA(VLOOKUP(scheduleapr[[#This Row],[Bucket]],salesforecast[[#All],[Bucket2]:[8406 Stock]],19,0),0)</f>
        <v/>
      </c>
      <c r="V81" s="562">
        <f>_xlfn.IFNA(VLOOKUP(scheduleapr[[#This Row],[Bucket]],salesforecast[[#All],[Bucket2]:[8406 Stock]],20,0),0)+_xlfn.IFNA(VLOOKUP(scheduleapr[[#This Row],[Bucket]],salesforecast[[#All],[Bucket2]:[8406 Stock]],17,0),0)</f>
        <v/>
      </c>
      <c r="W81" s="601" t="n"/>
      <c r="X81" s="599" t="n">
        <v>44.45</v>
      </c>
      <c r="Y81" s="599" t="n">
        <v>40</v>
      </c>
      <c r="Z81" s="599" t="n">
        <v>30</v>
      </c>
      <c r="AA81" s="599" t="n">
        <v>2</v>
      </c>
      <c r="AB81" s="600" t="n">
        <v>149</v>
      </c>
      <c r="AC81" s="600" t="inlineStr">
        <is>
          <t>NOS</t>
        </is>
      </c>
      <c r="AD81" s="600" t="n"/>
      <c r="AE81" s="600" t="n"/>
      <c r="AF81" s="601" t="n">
        <v>40000</v>
      </c>
      <c r="AG81" s="601" t="n"/>
      <c r="AH81" s="601">
        <f t="array" ref="AH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1" s="602">
        <f>scheduleapr[[#This Row],[SCHEDULE in nos]]-scheduleapr[[#This Row],[DISPATCH]]</f>
        <v/>
      </c>
      <c r="AJ81" s="599">
        <f>(3.14*(scheduleapr[[#This Row],[ACTUAL OD]]-scheduleapr[[#This Row],[TICKNESS]])*scheduleapr[[#This Row],[TICKNESS]]*scheduleapr[[#This Row],[LENGTH]]*7.85)/1000000*scheduleapr[[#This Row],[SCHEDULE in nos]]/1000</f>
        <v/>
      </c>
      <c r="AK81" s="599">
        <f>(3.14*(scheduleapr[[#This Row],[ACTUAL OD]]-scheduleapr[[#This Row],[TICKNESS]])*scheduleapr[[#This Row],[TICKNESS]]*scheduleapr[[#This Row],[LENGTH]]*7.85)/1000000*scheduleapr[[#This Row],[DISPATCH]]/1000</f>
        <v/>
      </c>
      <c r="AL81" s="599">
        <f>AJ81-AK81</f>
        <v/>
      </c>
      <c r="AM81" s="599">
        <f>scheduleapr[[#This Row],[SCHEDULE in nos]]/scheduleapr[[#This Row],[SCHEDULE IN MT]]*scheduleapr[[#This Row],[CTL Stock]]</f>
        <v/>
      </c>
      <c r="AN81" s="599">
        <f>SUMIFS(stock[MT],stock[Bucket],scheduleapr[[#This Row],[Bucket]],stock[CTL Bucket],scheduleapr[[#This Row],[CTL Bucket]],stock[Plant],"0789")</f>
        <v/>
      </c>
      <c r="AO81" s="599" t="n"/>
      <c r="AP81" s="599">
        <f>SUMIFS(stock[MT],stock[Bucket],scheduleapr[[#This Row],[Bucket]],stock[LL or CTL],"LL")</f>
        <v/>
      </c>
      <c r="AQ81" s="599">
        <f>+SUMIFS(wip[Stock(Net Wt)],wip[Bucket],scheduleapr[[#This Row],[Bucket]])/1000</f>
        <v/>
      </c>
      <c r="AR81" s="599">
        <f>AJ81-AN81</f>
        <v/>
      </c>
      <c r="AS81" s="118" t="n"/>
    </row>
    <row r="82">
      <c r="A82" s="594" t="n">
        <v>79</v>
      </c>
      <c r="B82" s="5" t="inlineStr">
        <is>
          <t>Hosur</t>
        </is>
      </c>
      <c r="C82" s="601" t="inlineStr">
        <is>
          <t>ELKAYEM AUTO</t>
        </is>
      </c>
      <c r="D82" s="601" t="inlineStr">
        <is>
          <t>ELKAYEM AUTO Hosur</t>
        </is>
      </c>
      <c r="E82" s="601" t="inlineStr">
        <is>
          <t>129663|948721</t>
        </is>
      </c>
      <c r="F82" s="127" t="n">
        <v>4098593</v>
      </c>
      <c r="G82" s="601">
        <f>_xlfn.CONCAT(scheduleapr[[#This Row],[CUSTOMER CODE]],"-",scheduleapr[[#This Row],[MATERIAL NO]])</f>
        <v/>
      </c>
      <c r="H82" s="601" t="inlineStr">
        <is>
          <t>TUB-R-AW-AUT-40.00X30.00X2.000X0.1620</t>
        </is>
      </c>
      <c r="I82" s="601" t="inlineStr">
        <is>
          <t>ERW 1</t>
        </is>
      </c>
      <c r="J82" s="601" t="n"/>
      <c r="K82" s="601" t="inlineStr">
        <is>
          <t>FC</t>
        </is>
      </c>
      <c r="L82" s="601" t="inlineStr">
        <is>
          <t>HR</t>
        </is>
      </c>
      <c r="M82" s="601" t="n"/>
      <c r="N82" s="601" t="n"/>
      <c r="O82" s="601" t="inlineStr">
        <is>
          <t>AG</t>
        </is>
      </c>
      <c r="P82" s="601" t="n"/>
      <c r="Q82" s="557">
        <f>CONCATENATE(scheduleapr[[#This Row],[OD]],"-",scheduleapr[[#This Row],[ID]],"-",scheduleapr[[#This Row],[TICKNESS]],"-",scheduleapr[[#This Row],[Grade]],"-",scheduleapr[[#This Row],[FC/NFC]])</f>
        <v/>
      </c>
      <c r="R82" s="557">
        <f>_xlfn.CONCAT(scheduleapr[[#This Row],[Bucket]],"-",scheduleapr[[#This Row],[LENGTH]]/1000)</f>
        <v/>
      </c>
      <c r="S82" s="557">
        <f>COUNTIF(scheduleapr[CTL Bucket],scheduleapr[[#This Row],[CTL Bucket]])</f>
        <v/>
      </c>
      <c r="T82" s="601" t="n"/>
      <c r="U82" s="601">
        <f>_xlfn.IFNA(VLOOKUP(scheduleapr[[#This Row],[Bucket]],salesforecast[[#All],[Bucket2]:[8406 Stock]],19,0),0)</f>
        <v/>
      </c>
      <c r="V82" s="562">
        <f>_xlfn.IFNA(VLOOKUP(scheduleapr[[#This Row],[Bucket]],salesforecast[[#All],[Bucket2]:[8406 Stock]],20,0),0)+_xlfn.IFNA(VLOOKUP(scheduleapr[[#This Row],[Bucket]],salesforecast[[#All],[Bucket2]:[8406 Stock]],17,0),0)</f>
        <v/>
      </c>
      <c r="W82" s="601" t="n"/>
      <c r="X82" s="599" t="n">
        <v>44.45</v>
      </c>
      <c r="Y82" s="599" t="n">
        <v>40</v>
      </c>
      <c r="Z82" s="599" t="n">
        <v>30</v>
      </c>
      <c r="AA82" s="599" t="n">
        <v>2</v>
      </c>
      <c r="AB82" s="600" t="n">
        <v>162</v>
      </c>
      <c r="AC82" s="600" t="inlineStr">
        <is>
          <t>NOS</t>
        </is>
      </c>
      <c r="AD82" s="600" t="n"/>
      <c r="AE82" s="600" t="n"/>
      <c r="AF82" s="601" t="n">
        <v>5000</v>
      </c>
      <c r="AG82" s="601" t="n"/>
      <c r="AH82" s="601">
        <f t="array" ref="AH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2" s="602">
        <f>scheduleapr[[#This Row],[SCHEDULE in nos]]-scheduleapr[[#This Row],[DISPATCH]]</f>
        <v/>
      </c>
      <c r="AJ82" s="599">
        <f>(3.14*(scheduleapr[[#This Row],[ACTUAL OD]]-scheduleapr[[#This Row],[TICKNESS]])*scheduleapr[[#This Row],[TICKNESS]]*scheduleapr[[#This Row],[LENGTH]]*7.85)/1000000*scheduleapr[[#This Row],[SCHEDULE in nos]]/1000</f>
        <v/>
      </c>
      <c r="AK82" s="599">
        <f>(3.14*(scheduleapr[[#This Row],[ACTUAL OD]]-scheduleapr[[#This Row],[TICKNESS]])*scheduleapr[[#This Row],[TICKNESS]]*scheduleapr[[#This Row],[LENGTH]]*7.85)/1000000*scheduleapr[[#This Row],[DISPATCH]]/1000</f>
        <v/>
      </c>
      <c r="AL82" s="599">
        <f>AJ82-AK82</f>
        <v/>
      </c>
      <c r="AM82" s="599">
        <f>scheduleapr[[#This Row],[SCHEDULE in nos]]/scheduleapr[[#This Row],[SCHEDULE IN MT]]*scheduleapr[[#This Row],[CTL Stock]]</f>
        <v/>
      </c>
      <c r="AN82" s="599">
        <f>SUMIFS(stock[MT],stock[Bucket],scheduleapr[[#This Row],[Bucket]],stock[CTL Bucket],scheduleapr[[#This Row],[CTL Bucket]],stock[Plant],"0789")</f>
        <v/>
      </c>
      <c r="AO82" s="599" t="n"/>
      <c r="AP82" s="599">
        <f>SUMIFS(stock[MT],stock[Bucket],scheduleapr[[#This Row],[Bucket]],stock[LL or CTL],"LL")</f>
        <v/>
      </c>
      <c r="AQ82" s="599">
        <f>+SUMIFS(wip[Stock(Net Wt)],wip[Bucket],scheduleapr[[#This Row],[Bucket]])/1000</f>
        <v/>
      </c>
      <c r="AR82" s="599">
        <f>AJ82-AN82</f>
        <v/>
      </c>
      <c r="AS82" s="118" t="n"/>
    </row>
    <row r="83">
      <c r="A83" s="594" t="n">
        <v>80</v>
      </c>
      <c r="B83" s="5" t="inlineStr">
        <is>
          <t>Hosur</t>
        </is>
      </c>
      <c r="C83" s="601" t="inlineStr">
        <is>
          <t>ELKAYEM AUTO</t>
        </is>
      </c>
      <c r="D83" s="601" t="inlineStr">
        <is>
          <t>ELKAYEM AUTO Hosur</t>
        </is>
      </c>
      <c r="E83" s="601" t="inlineStr">
        <is>
          <t>129663|948721</t>
        </is>
      </c>
      <c r="F83" s="601" t="n">
        <v>1940840</v>
      </c>
      <c r="G83" s="601">
        <f>_xlfn.CONCAT(scheduleapr[[#This Row],[CUSTOMER CODE]],"-",scheduleapr[[#This Row],[MATERIAL NO]])</f>
        <v/>
      </c>
      <c r="H83" s="601" t="inlineStr">
        <is>
          <t>TUB-R-AW-RHS-40.00X30.00X2.000X6.0000</t>
        </is>
      </c>
      <c r="I83" s="601" t="inlineStr">
        <is>
          <t>ERW 1</t>
        </is>
      </c>
      <c r="J83" s="601" t="n"/>
      <c r="K83" s="601" t="inlineStr">
        <is>
          <t>FC</t>
        </is>
      </c>
      <c r="L83" s="601" t="inlineStr">
        <is>
          <t>HR</t>
        </is>
      </c>
      <c r="M83" s="601" t="n"/>
      <c r="N83" s="601" t="n"/>
      <c r="O83" s="601" t="n"/>
      <c r="P83" s="601" t="n"/>
      <c r="Q83" s="557">
        <f>CONCATENATE(scheduleapr[[#This Row],[OD]],"-",scheduleapr[[#This Row],[ID]],"-",scheduleapr[[#This Row],[TICKNESS]],"-",scheduleapr[[#This Row],[Grade]],"-",scheduleapr[[#This Row],[FC/NFC]])</f>
        <v/>
      </c>
      <c r="R83" s="557">
        <f>_xlfn.CONCAT(scheduleapr[[#This Row],[Bucket]],"-",scheduleapr[[#This Row],[LENGTH]]/1000)</f>
        <v/>
      </c>
      <c r="S83" s="557">
        <f>COUNTIF([2]!buckets[CTL Bucket],[2]!scheduleapr[[#This Row],[CTL Bucket]])</f>
        <v/>
      </c>
      <c r="T83" s="601" t="inlineStr">
        <is>
          <t>Hosur</t>
        </is>
      </c>
      <c r="U83" s="601" t="n"/>
      <c r="V83" s="557" t="n"/>
      <c r="W83" s="557" t="n"/>
      <c r="X83" s="599" t="n">
        <v>44.45</v>
      </c>
      <c r="Y83" s="599" t="n">
        <v>40</v>
      </c>
      <c r="Z83" s="6" t="n">
        <v>30</v>
      </c>
      <c r="AA83" s="599" t="n">
        <v>2</v>
      </c>
      <c r="AB83" s="600" t="n">
        <v>1000</v>
      </c>
      <c r="AC83" s="600" t="inlineStr">
        <is>
          <t>M</t>
        </is>
      </c>
      <c r="AD83" s="600" t="n"/>
      <c r="AE83" s="600" t="n"/>
      <c r="AF83" s="600" t="n"/>
      <c r="AG83" s="600" t="n"/>
      <c r="AH83" s="601">
        <f t="array" ref="AH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3" s="602">
        <f>scheduleapr[[#This Row],[SCHEDULE in nos]]-scheduleapr[[#This Row],[DISPATCH]]</f>
        <v/>
      </c>
      <c r="AJ83" s="599">
        <f>(3.14*(scheduleapr[[#This Row],[ACTUAL OD]]-scheduleapr[[#This Row],[TICKNESS]])*scheduleapr[[#This Row],[TICKNESS]]*scheduleapr[[#This Row],[LENGTH]]*7.85)/1000000*scheduleapr[[#This Row],[SCHEDULE in nos]]/1000</f>
        <v/>
      </c>
      <c r="AK83" s="599">
        <f>(3.14*(scheduleapr[[#This Row],[ACTUAL OD]]-scheduleapr[[#This Row],[TICKNESS]])*scheduleapr[[#This Row],[TICKNESS]]*scheduleapr[[#This Row],[LENGTH]]*7.85)/1000000*scheduleapr[[#This Row],[DISPATCH]]/1000</f>
        <v/>
      </c>
      <c r="AL83" s="599">
        <f>AJ83-AK83</f>
        <v/>
      </c>
      <c r="AM83" s="599">
        <f>scheduleapr[[#This Row],[SCHEDULE in nos]]/scheduleapr[[#This Row],[SCHEDULE IN MT]]*scheduleapr[[#This Row],[CTL Stock]]</f>
        <v/>
      </c>
      <c r="AN83" s="599">
        <f>SUMIFS(stock[MT],stock[Bucket],scheduleapr[[#This Row],[Bucket]],stock[CTL Bucket],scheduleapr[[#This Row],[CTL Bucket]],stock[Plant],"0789")</f>
        <v/>
      </c>
      <c r="AO83" s="599" t="n"/>
      <c r="AP83" s="599">
        <f>SUMIFS(stock[MT],stock[Bucket],scheduleapr[[#This Row],[Bucket]],stock[LL or CTL],"LL")</f>
        <v/>
      </c>
      <c r="AQ83" s="599">
        <f>+SUMIFS(wip[Stock(Net Wt)],wip[Bucket],scheduleapr[[#This Row],[Bucket]])/1000</f>
        <v/>
      </c>
      <c r="AR83" s="599">
        <f>AJ83-AN83</f>
        <v/>
      </c>
      <c r="AS83" s="118" t="n"/>
    </row>
    <row r="84">
      <c r="A84" s="594" t="n">
        <v>81</v>
      </c>
      <c r="B84" s="5" t="inlineStr">
        <is>
          <t>Hosur</t>
        </is>
      </c>
      <c r="C84" s="601" t="inlineStr">
        <is>
          <t>ELKAYEM AUTO</t>
        </is>
      </c>
      <c r="D84" s="601" t="inlineStr">
        <is>
          <t>ELKAYEM AUTO Hosur</t>
        </is>
      </c>
      <c r="E84" s="601" t="inlineStr">
        <is>
          <t>129663|948721</t>
        </is>
      </c>
      <c r="F84" s="601" t="n">
        <v>3453634</v>
      </c>
      <c r="G84" s="601">
        <f>_xlfn.CONCAT(scheduleapr[[#This Row],[CUSTOMER CODE]],"-",scheduleapr[[#This Row],[MATERIAL NO]])</f>
        <v/>
      </c>
      <c r="H84" s="17" t="inlineStr">
        <is>
          <t>TUB-O-N-AUT-AW-FC-48.60X2.000X0.5450</t>
        </is>
      </c>
      <c r="I84" s="601" t="inlineStr">
        <is>
          <t>ERW 1</t>
        </is>
      </c>
      <c r="J84" s="601" t="n"/>
      <c r="K84" s="601" t="n"/>
      <c r="L84" s="601" t="inlineStr">
        <is>
          <t>HR</t>
        </is>
      </c>
      <c r="M84" s="601" t="n"/>
      <c r="N84" s="601" t="n"/>
      <c r="O84" s="601" t="n"/>
      <c r="P84" s="601" t="n"/>
      <c r="Q84" s="557">
        <f>CONCATENATE(scheduleapr[[#This Row],[OD]],"-",scheduleapr[[#This Row],[ID]],"-",scheduleapr[[#This Row],[TICKNESS]],"-",scheduleapr[[#This Row],[Grade]],"-",scheduleapr[[#This Row],[FC/NFC]])</f>
        <v/>
      </c>
      <c r="R84" s="557">
        <f>_xlfn.CONCAT(scheduleapr[[#This Row],[Bucket]],"-",scheduleapr[[#This Row],[LENGTH]]/1000)</f>
        <v/>
      </c>
      <c r="S84" s="557">
        <f>COUNTIF([2]!buckets[CTL Bucket],[2]!scheduleapr[[#This Row],[CTL Bucket]])</f>
        <v/>
      </c>
      <c r="T84" s="557" t="n"/>
      <c r="U84" s="557" t="n"/>
      <c r="V84" s="557" t="n"/>
      <c r="W84" s="557" t="n"/>
      <c r="X84" s="599" t="n">
        <v>48.6</v>
      </c>
      <c r="Y84" s="599" t="n">
        <v>48.6</v>
      </c>
      <c r="Z84" s="599" t="n">
        <v>0</v>
      </c>
      <c r="AA84" s="599" t="n">
        <v>2</v>
      </c>
      <c r="AB84" s="600" t="n">
        <v>545</v>
      </c>
      <c r="AC84" s="600" t="inlineStr">
        <is>
          <t>NOS</t>
        </is>
      </c>
      <c r="AD84" s="600" t="n"/>
      <c r="AE84" s="600" t="n"/>
      <c r="AF84" s="600" t="n"/>
      <c r="AG84" s="600" t="n"/>
      <c r="AH84" s="601">
        <f t="array" ref="AH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4" s="602">
        <f>scheduleapr[[#This Row],[SCHEDULE in nos]]-scheduleapr[[#This Row],[DISPATCH]]</f>
        <v/>
      </c>
      <c r="AJ84" s="599">
        <f>(3.14*(scheduleapr[[#This Row],[ACTUAL OD]]-scheduleapr[[#This Row],[TICKNESS]])*scheduleapr[[#This Row],[TICKNESS]]*scheduleapr[[#This Row],[LENGTH]]*7.85)/1000000*scheduleapr[[#This Row],[SCHEDULE in nos]]/1000</f>
        <v/>
      </c>
      <c r="AK84" s="599">
        <f>(3.14*(scheduleapr[[#This Row],[ACTUAL OD]]-scheduleapr[[#This Row],[TICKNESS]])*scheduleapr[[#This Row],[TICKNESS]]*scheduleapr[[#This Row],[LENGTH]]*7.85)/1000000*scheduleapr[[#This Row],[DISPATCH]]/1000</f>
        <v/>
      </c>
      <c r="AL84" s="599">
        <f>AJ84-AK84</f>
        <v/>
      </c>
      <c r="AM84" s="599">
        <f>scheduleapr[[#This Row],[SCHEDULE in nos]]/scheduleapr[[#This Row],[SCHEDULE IN MT]]*scheduleapr[[#This Row],[CTL Stock]]</f>
        <v/>
      </c>
      <c r="AN84" s="599">
        <f>SUMIFS(stock[MT],stock[Bucket],scheduleapr[[#This Row],[Bucket]],stock[CTL Bucket],scheduleapr[[#This Row],[CTL Bucket]],stock[Plant],"0789")</f>
        <v/>
      </c>
      <c r="AO84" s="599" t="n"/>
      <c r="AP84" s="599">
        <f>SUMIFS(stock[MT],stock[Bucket],scheduleapr[[#This Row],[Bucket]],stock[LL or CTL],"LL")</f>
        <v/>
      </c>
      <c r="AQ84" s="599">
        <f>+SUMIFS(wip[Stock(Net Wt)],wip[Bucket],scheduleapr[[#This Row],[Bucket]])/1000</f>
        <v/>
      </c>
      <c r="AR84" s="599">
        <f>AJ84-AN84</f>
        <v/>
      </c>
      <c r="AS84" s="118" t="n"/>
    </row>
    <row r="85">
      <c r="A85" s="594" t="n">
        <v>82</v>
      </c>
      <c r="B85" s="5" t="inlineStr">
        <is>
          <t>Hosur</t>
        </is>
      </c>
      <c r="C85" s="601" t="inlineStr">
        <is>
          <t>ELKAYEM AUTO</t>
        </is>
      </c>
      <c r="D85" s="601" t="inlineStr">
        <is>
          <t>ELKAYEM AUTO Hosur</t>
        </is>
      </c>
      <c r="E85" s="601" t="inlineStr">
        <is>
          <t>129663|948721</t>
        </is>
      </c>
      <c r="F85" s="601" t="n">
        <v>3545983</v>
      </c>
      <c r="G85" s="601">
        <f>_xlfn.CONCAT(scheduleapr[[#This Row],[CUSTOMER CODE]],"-",scheduleapr[[#This Row],[MATERIAL NO]])</f>
        <v/>
      </c>
      <c r="H85" s="601" t="inlineStr">
        <is>
          <t>CUT-N-AUT-AW-FC-48.60X4.000X0.5950</t>
        </is>
      </c>
      <c r="I85" s="601" t="inlineStr">
        <is>
          <t>ERW 1</t>
        </is>
      </c>
      <c r="J85" s="601" t="n"/>
      <c r="K85" s="601" t="n"/>
      <c r="L85" s="601" t="inlineStr">
        <is>
          <t>HR</t>
        </is>
      </c>
      <c r="M85" s="601" t="n"/>
      <c r="N85" s="601" t="n"/>
      <c r="O85" s="601" t="n"/>
      <c r="P85" s="601" t="n"/>
      <c r="Q85" s="557">
        <f>CONCATENATE(scheduleapr[[#This Row],[OD]],"-",scheduleapr[[#This Row],[ID]],"-",scheduleapr[[#This Row],[TICKNESS]],"-",scheduleapr[[#This Row],[Grade]],"-",scheduleapr[[#This Row],[FC/NFC]])</f>
        <v/>
      </c>
      <c r="R85" s="557">
        <f>_xlfn.CONCAT(scheduleapr[[#This Row],[Bucket]],"-",scheduleapr[[#This Row],[LENGTH]]/1000)</f>
        <v/>
      </c>
      <c r="S85" s="557">
        <f>COUNTIF([2]!buckets[CTL Bucket],[2]!scheduleapr[[#This Row],[CTL Bucket]])</f>
        <v/>
      </c>
      <c r="T85" s="557" t="n"/>
      <c r="U85" s="557" t="n"/>
      <c r="V85" s="557" t="n"/>
      <c r="W85" s="557" t="n"/>
      <c r="X85" s="6" t="n">
        <v>48.6</v>
      </c>
      <c r="Y85" s="6" t="n">
        <v>48.6</v>
      </c>
      <c r="Z85" s="599" t="n">
        <v>0</v>
      </c>
      <c r="AA85" s="599" t="n">
        <v>4</v>
      </c>
      <c r="AB85" s="600" t="n">
        <v>595</v>
      </c>
      <c r="AC85" s="600" t="inlineStr">
        <is>
          <t>NOS</t>
        </is>
      </c>
      <c r="AD85" s="600" t="n"/>
      <c r="AE85" s="600" t="n"/>
      <c r="AF85" s="600" t="n"/>
      <c r="AG85" s="600" t="n"/>
      <c r="AH85" s="601">
        <f t="array" ref="AH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5" s="602">
        <f>scheduleapr[[#This Row],[SCHEDULE in nos]]-scheduleapr[[#This Row],[DISPATCH]]</f>
        <v/>
      </c>
      <c r="AJ85" s="599">
        <f>(3.14*(scheduleapr[[#This Row],[ACTUAL OD]]-scheduleapr[[#This Row],[TICKNESS]])*scheduleapr[[#This Row],[TICKNESS]]*scheduleapr[[#This Row],[LENGTH]]*7.85)/1000000*scheduleapr[[#This Row],[SCHEDULE in nos]]/1000</f>
        <v/>
      </c>
      <c r="AK85" s="599">
        <f>(3.14*(scheduleapr[[#This Row],[ACTUAL OD]]-scheduleapr[[#This Row],[TICKNESS]])*scheduleapr[[#This Row],[TICKNESS]]*scheduleapr[[#This Row],[LENGTH]]*7.85)/1000000*scheduleapr[[#This Row],[DISPATCH]]/1000</f>
        <v/>
      </c>
      <c r="AL85" s="599">
        <f>AJ85-AK85</f>
        <v/>
      </c>
      <c r="AM85" s="599">
        <f>scheduleapr[[#This Row],[SCHEDULE in nos]]/scheduleapr[[#This Row],[SCHEDULE IN MT]]*scheduleapr[[#This Row],[CTL Stock]]</f>
        <v/>
      </c>
      <c r="AN85" s="599">
        <f>SUMIFS(stock[MT],stock[Bucket],scheduleapr[[#This Row],[Bucket]],stock[CTL Bucket],scheduleapr[[#This Row],[CTL Bucket]],stock[Plant],"0789")</f>
        <v/>
      </c>
      <c r="AO85" s="599" t="n"/>
      <c r="AP85" s="599">
        <f>SUMIFS(stock[MT],stock[Bucket],scheduleapr[[#This Row],[Bucket]],stock[LL or CTL],"LL")</f>
        <v/>
      </c>
      <c r="AQ85" s="599">
        <f>+SUMIFS(wip[Stock(Net Wt)],wip[Bucket],scheduleapr[[#This Row],[Bucket]])/1000</f>
        <v/>
      </c>
      <c r="AR85" s="599">
        <f>AJ85-AN85</f>
        <v/>
      </c>
      <c r="AS85" s="118" t="n"/>
    </row>
    <row r="86">
      <c r="A86" s="594" t="n">
        <v>83</v>
      </c>
      <c r="B86" s="5" t="inlineStr">
        <is>
          <t>Hosur</t>
        </is>
      </c>
      <c r="C86" s="601" t="inlineStr">
        <is>
          <t>ELKAYEM AUTO</t>
        </is>
      </c>
      <c r="D86" s="601" t="inlineStr">
        <is>
          <t>ELKAYEM AUTO Hosur</t>
        </is>
      </c>
      <c r="E86" s="601" t="inlineStr">
        <is>
          <t>129663|948721</t>
        </is>
      </c>
      <c r="F86" s="601" t="n">
        <v>3164112</v>
      </c>
      <c r="G86" s="601">
        <f>_xlfn.CONCAT(scheduleapr[[#This Row],[CUSTOMER CODE]],"-",scheduleapr[[#This Row],[MATERIAL NO]])</f>
        <v/>
      </c>
      <c r="H86" s="601" t="inlineStr">
        <is>
          <t>TUB-E-AW-AUT-59.00X30.00X1.600X0.6410</t>
        </is>
      </c>
      <c r="I86" s="601" t="inlineStr">
        <is>
          <t>ERW 1</t>
        </is>
      </c>
      <c r="J86" s="601" t="n"/>
      <c r="K86" s="601" t="inlineStr">
        <is>
          <t>FIN CUT</t>
        </is>
      </c>
      <c r="L86" s="601" t="inlineStr">
        <is>
          <t>HR</t>
        </is>
      </c>
      <c r="M86" s="601" t="n"/>
      <c r="N86" s="601" t="n"/>
      <c r="O86" s="601" t="n"/>
      <c r="P86" s="601" t="n"/>
      <c r="Q86" s="557">
        <f>CONCATENATE(scheduleapr[[#This Row],[OD]],"-",scheduleapr[[#This Row],[ID]],"-",scheduleapr[[#This Row],[TICKNESS]],"-",scheduleapr[[#This Row],[Grade]],"-",scheduleapr[[#This Row],[FC/NFC]])</f>
        <v/>
      </c>
      <c r="R86" s="557">
        <f>_xlfn.CONCAT(scheduleapr[[#This Row],[Bucket]],"-",scheduleapr[[#This Row],[LENGTH]]/1000)</f>
        <v/>
      </c>
      <c r="S86" s="557">
        <f>COUNTIF([2]!buckets[CTL Bucket],[2]!scheduleapr[[#This Row],[CTL Bucket]])</f>
        <v/>
      </c>
      <c r="T86" s="557" t="n"/>
      <c r="U86" s="557" t="n"/>
      <c r="V86" s="557" t="n"/>
      <c r="W86" s="557" t="n"/>
      <c r="X86" s="599" t="n">
        <v>48.6</v>
      </c>
      <c r="Y86" s="599" t="n">
        <v>59</v>
      </c>
      <c r="Z86" s="599" t="n">
        <v>30</v>
      </c>
      <c r="AA86" s="599" t="n">
        <v>1.6</v>
      </c>
      <c r="AB86" s="600" t="n">
        <v>641</v>
      </c>
      <c r="AC86" s="600" t="inlineStr">
        <is>
          <t>NOS</t>
        </is>
      </c>
      <c r="AD86" s="600" t="n"/>
      <c r="AE86" s="600" t="n"/>
      <c r="AF86" s="600" t="n"/>
      <c r="AG86" s="600" t="n"/>
      <c r="AH86" s="601">
        <f t="array" ref="AH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6" s="602">
        <f>scheduleapr[[#This Row],[SCHEDULE in nos]]-scheduleapr[[#This Row],[DISPATCH]]</f>
        <v/>
      </c>
      <c r="AJ86" s="599">
        <f>(3.14*(scheduleapr[[#This Row],[ACTUAL OD]]-scheduleapr[[#This Row],[TICKNESS]])*scheduleapr[[#This Row],[TICKNESS]]*scheduleapr[[#This Row],[LENGTH]]*7.85)/1000000*scheduleapr[[#This Row],[SCHEDULE in nos]]/1000</f>
        <v/>
      </c>
      <c r="AK86" s="599">
        <f>(3.14*(scheduleapr[[#This Row],[ACTUAL OD]]-scheduleapr[[#This Row],[TICKNESS]])*scheduleapr[[#This Row],[TICKNESS]]*scheduleapr[[#This Row],[LENGTH]]*7.85)/1000000*scheduleapr[[#This Row],[DISPATCH]]/1000</f>
        <v/>
      </c>
      <c r="AL86" s="599">
        <f>AJ86-AK86</f>
        <v/>
      </c>
      <c r="AM86" s="599">
        <f>scheduleapr[[#This Row],[SCHEDULE in nos]]/scheduleapr[[#This Row],[SCHEDULE IN MT]]*scheduleapr[[#This Row],[CTL Stock]]</f>
        <v/>
      </c>
      <c r="AN86" s="599">
        <f>SUMIFS(stock[MT],stock[Bucket],scheduleapr[[#This Row],[Bucket]],stock[CTL Bucket],scheduleapr[[#This Row],[CTL Bucket]],stock[Plant],"0789")</f>
        <v/>
      </c>
      <c r="AO86" s="599" t="n"/>
      <c r="AP86" s="599">
        <f>SUMIFS(stock[MT],stock[Bucket],scheduleapr[[#This Row],[Bucket]],stock[LL or CTL],"LL")</f>
        <v/>
      </c>
      <c r="AQ86" s="599">
        <f>+SUMIFS(wip[Stock(Net Wt)],wip[Bucket],scheduleapr[[#This Row],[Bucket]])/1000</f>
        <v/>
      </c>
      <c r="AR86" s="599">
        <f>AJ86-AN86</f>
        <v/>
      </c>
      <c r="AS86" s="118" t="n"/>
    </row>
    <row r="87">
      <c r="A87" s="594" t="n">
        <v>84</v>
      </c>
      <c r="B87" s="5" t="inlineStr">
        <is>
          <t>Hosur</t>
        </is>
      </c>
      <c r="C87" s="601" t="inlineStr">
        <is>
          <t>ELKAYEM AUTO</t>
        </is>
      </c>
      <c r="D87" s="601" t="inlineStr">
        <is>
          <t>ELKAYEM AUTO Hosur</t>
        </is>
      </c>
      <c r="E87" s="601" t="inlineStr">
        <is>
          <t>129663|948721</t>
        </is>
      </c>
      <c r="F87" s="601" t="n">
        <v>2427158</v>
      </c>
      <c r="G87" s="601">
        <f>_xlfn.CONCAT(scheduleapr[[#This Row],[CUSTOMER CODE]],"-",scheduleapr[[#This Row],[MATERIAL NO]])</f>
        <v/>
      </c>
      <c r="H87" s="601" t="inlineStr">
        <is>
          <t>TUB-R-AW-AUT-50.00X30.00X1.600X0.6040</t>
        </is>
      </c>
      <c r="I87" s="601" t="inlineStr">
        <is>
          <t>ERW 1</t>
        </is>
      </c>
      <c r="J87" s="601" t="n"/>
      <c r="K87" s="601" t="inlineStr">
        <is>
          <t>FC</t>
        </is>
      </c>
      <c r="L87" s="601" t="inlineStr">
        <is>
          <t>HR</t>
        </is>
      </c>
      <c r="M87" s="601" t="inlineStr">
        <is>
          <t>HROP</t>
        </is>
      </c>
      <c r="N87" s="601" t="n"/>
      <c r="O87" s="601" t="n"/>
      <c r="P87" s="601" t="n"/>
      <c r="Q87" s="557">
        <f>CONCATENATE(scheduleapr[[#This Row],[OD]],"-",scheduleapr[[#This Row],[ID]],"-",scheduleapr[[#This Row],[TICKNESS]],"-",scheduleapr[[#This Row],[Grade]],"-",scheduleapr[[#This Row],[FC/NFC]])</f>
        <v/>
      </c>
      <c r="R87" s="557">
        <f>_xlfn.CONCAT(scheduleapr[[#This Row],[Bucket]],"-",scheduleapr[[#This Row],[LENGTH]]/1000)</f>
        <v/>
      </c>
      <c r="S87" s="557">
        <f>COUNTIF(scheduleapr[CTL Bucket],scheduleapr[[#This Row],[CTL Bucket]])</f>
        <v/>
      </c>
      <c r="T87" s="601" t="inlineStr">
        <is>
          <t>Hosur</t>
        </is>
      </c>
      <c r="U87" s="601">
        <f>_xlfn.IFNA(VLOOKUP(scheduleapr[[#This Row],[Bucket]],salesforecast[[#All],[Bucket2]:[8406 Stock]],19,0),0)</f>
        <v/>
      </c>
      <c r="V87" s="562">
        <f>_xlfn.IFNA(VLOOKUP(scheduleapr[[#This Row],[Bucket]],salesforecast[[#All],[Bucket2]:[8406 Stock]],20,0),0)+_xlfn.IFNA(VLOOKUP(scheduleapr[[#This Row],[Bucket]],salesforecast[[#All],[Bucket2]:[8406 Stock]],17,0),0)</f>
        <v/>
      </c>
      <c r="W87" s="557" t="n"/>
      <c r="X87" s="599" t="n">
        <v>50.8</v>
      </c>
      <c r="Y87" s="599" t="n">
        <v>50</v>
      </c>
      <c r="Z87" s="599" t="n">
        <v>30</v>
      </c>
      <c r="AA87" s="599" t="n">
        <v>1.6</v>
      </c>
      <c r="AB87" s="600" t="n">
        <v>604</v>
      </c>
      <c r="AC87" s="600" t="inlineStr">
        <is>
          <t>NOS</t>
        </is>
      </c>
      <c r="AD87" s="600" t="n"/>
      <c r="AE87" s="600" t="n"/>
      <c r="AF87" s="601" t="n">
        <v>32000</v>
      </c>
      <c r="AG87" s="601" t="n"/>
      <c r="AH87" s="601">
        <f t="array" ref="AH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7" s="602">
        <f>scheduleapr[[#This Row],[SCHEDULE in nos]]-scheduleapr[[#This Row],[DISPATCH]]</f>
        <v/>
      </c>
      <c r="AJ87" s="599">
        <f>(3.14*(scheduleapr[[#This Row],[ACTUAL OD]]-scheduleapr[[#This Row],[TICKNESS]])*scheduleapr[[#This Row],[TICKNESS]]*scheduleapr[[#This Row],[LENGTH]]*7.85)/1000000*scheduleapr[[#This Row],[SCHEDULE in nos]]/1000</f>
        <v/>
      </c>
      <c r="AK87" s="599">
        <f>(3.14*(scheduleapr[[#This Row],[ACTUAL OD]]-scheduleapr[[#This Row],[TICKNESS]])*scheduleapr[[#This Row],[TICKNESS]]*scheduleapr[[#This Row],[LENGTH]]*7.85)/1000000*scheduleapr[[#This Row],[DISPATCH]]/1000</f>
        <v/>
      </c>
      <c r="AL87" s="599">
        <f>AJ87-AK87</f>
        <v/>
      </c>
      <c r="AM87" s="599">
        <f>scheduleapr[[#This Row],[SCHEDULE in nos]]/scheduleapr[[#This Row],[SCHEDULE IN MT]]*scheduleapr[[#This Row],[CTL Stock]]</f>
        <v/>
      </c>
      <c r="AN87" s="599">
        <f>SUMIFS(stock[MT],stock[Bucket],scheduleapr[[#This Row],[Bucket]],stock[CTL Bucket],scheduleapr[[#This Row],[CTL Bucket]],stock[Plant],"0789")</f>
        <v/>
      </c>
      <c r="AO87" s="599" t="n"/>
      <c r="AP87" s="599">
        <f>SUMIFS(stock[MT],stock[Bucket],scheduleapr[[#This Row],[Bucket]],stock[LL or CTL],"LL")</f>
        <v/>
      </c>
      <c r="AQ87" s="599">
        <f>+SUMIFS(wip[Stock(Net Wt)],wip[Bucket],scheduleapr[[#This Row],[Bucket]])/1000</f>
        <v/>
      </c>
      <c r="AR87" s="599">
        <f>AJ87-AN87</f>
        <v/>
      </c>
      <c r="AS87" s="118" t="n"/>
    </row>
    <row r="88">
      <c r="A88" s="594" t="n">
        <v>85</v>
      </c>
      <c r="B88" s="5" t="inlineStr">
        <is>
          <t xml:space="preserve">Khopoli </t>
        </is>
      </c>
      <c r="C88" s="601" t="inlineStr">
        <is>
          <t>ELKAYEM AUTO</t>
        </is>
      </c>
      <c r="D88" s="601" t="inlineStr">
        <is>
          <t>ELKAYEM AUTO Hosur</t>
        </is>
      </c>
      <c r="E88" s="601" t="inlineStr">
        <is>
          <t>129663|948721</t>
        </is>
      </c>
      <c r="F88" s="601" t="n">
        <v>460176</v>
      </c>
      <c r="G88" s="601">
        <f>_xlfn.CONCAT(scheduleapr[[#This Row],[CUSTOMER CODE]],"-",scheduleapr[[#This Row],[MATERIAL NO]])</f>
        <v/>
      </c>
      <c r="H88" s="601" t="inlineStr">
        <is>
          <t>PT4-O-N-AUT-NR-AG-57.15X2.000X0.713</t>
        </is>
      </c>
      <c r="I88" s="601" t="inlineStr">
        <is>
          <t>ERW 1</t>
        </is>
      </c>
      <c r="J88" s="601" t="n"/>
      <c r="K88" s="601" t="n"/>
      <c r="L88" s="601" t="inlineStr">
        <is>
          <t>HR</t>
        </is>
      </c>
      <c r="M88" s="601" t="n"/>
      <c r="N88" s="601" t="n"/>
      <c r="O88" s="601" t="n"/>
      <c r="P88" s="601" t="n"/>
      <c r="Q88" s="557">
        <f>CONCATENATE(scheduleapr[[#This Row],[OD]],"-",scheduleapr[[#This Row],[ID]],"-",scheduleapr[[#This Row],[TICKNESS]],"-",scheduleapr[[#This Row],[Grade]],"-",scheduleapr[[#This Row],[FC/NFC]])</f>
        <v/>
      </c>
      <c r="R88" s="557">
        <f>_xlfn.CONCAT(scheduleapr[[#This Row],[Bucket]],"-",scheduleapr[[#This Row],[LENGTH]]/1000)</f>
        <v/>
      </c>
      <c r="S88" s="557">
        <f>COUNTIF([2]!buckets[CTL Bucket],[2]!scheduleapr[[#This Row],[CTL Bucket]])</f>
        <v/>
      </c>
      <c r="T88" s="557" t="n"/>
      <c r="U88" s="557" t="n"/>
      <c r="V88" s="557" t="n"/>
      <c r="W88" s="557" t="n"/>
      <c r="X88" s="6" t="n">
        <v>57.15</v>
      </c>
      <c r="Y88" s="6" t="n">
        <v>57.15</v>
      </c>
      <c r="Z88" s="599" t="n">
        <v>0</v>
      </c>
      <c r="AA88" s="599" t="n">
        <v>2</v>
      </c>
      <c r="AB88" s="600" t="n">
        <v>713</v>
      </c>
      <c r="AC88" s="600" t="inlineStr">
        <is>
          <t>NOS</t>
        </is>
      </c>
      <c r="AD88" s="600" t="n"/>
      <c r="AE88" s="600" t="n"/>
      <c r="AF88" s="600" t="n"/>
      <c r="AG88" s="600" t="n"/>
      <c r="AH88" s="601">
        <f t="array" ref="AH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8" s="602">
        <f>scheduleapr[[#This Row],[SCHEDULE in nos]]-scheduleapr[[#This Row],[DISPATCH]]</f>
        <v/>
      </c>
      <c r="AJ88" s="599">
        <f>(3.14*(scheduleapr[[#This Row],[ACTUAL OD]]-scheduleapr[[#This Row],[TICKNESS]])*scheduleapr[[#This Row],[TICKNESS]]*scheduleapr[[#This Row],[LENGTH]]*7.85)/1000000*scheduleapr[[#This Row],[SCHEDULE in nos]]/1000</f>
        <v/>
      </c>
      <c r="AK88" s="599">
        <f>(3.14*(scheduleapr[[#This Row],[ACTUAL OD]]-scheduleapr[[#This Row],[TICKNESS]])*scheduleapr[[#This Row],[TICKNESS]]*scheduleapr[[#This Row],[LENGTH]]*7.85)/1000000*scheduleapr[[#This Row],[DISPATCH]]/1000</f>
        <v/>
      </c>
      <c r="AL88" s="599">
        <f>AJ88-AK88</f>
        <v/>
      </c>
      <c r="AM88" s="599">
        <f>scheduleapr[[#This Row],[SCHEDULE in nos]]/scheduleapr[[#This Row],[SCHEDULE IN MT]]*scheduleapr[[#This Row],[CTL Stock]]</f>
        <v/>
      </c>
      <c r="AN88" s="599">
        <f>SUMIFS(stock[MT],stock[Bucket],scheduleapr[[#This Row],[Bucket]],stock[CTL Bucket],scheduleapr[[#This Row],[CTL Bucket]],stock[Plant],"0789")</f>
        <v/>
      </c>
      <c r="AO88" s="599" t="n"/>
      <c r="AP88" s="599">
        <f>SUMIFS(stock[MT],stock[Bucket],scheduleapr[[#This Row],[Bucket]],stock[LL or CTL],"LL")</f>
        <v/>
      </c>
      <c r="AQ88" s="599">
        <f>+SUMIFS(wip[Stock(Net Wt)],wip[Bucket],scheduleapr[[#This Row],[Bucket]])/1000</f>
        <v/>
      </c>
      <c r="AR88" s="599">
        <f>AJ88-AN88</f>
        <v/>
      </c>
      <c r="AS88" s="118" t="n"/>
    </row>
    <row r="89">
      <c r="A89" s="594" t="n">
        <v>36</v>
      </c>
      <c r="B89" s="5" t="inlineStr">
        <is>
          <t>Hosur</t>
        </is>
      </c>
      <c r="C89" s="601" t="inlineStr">
        <is>
          <t>ELKAYEM AUTO</t>
        </is>
      </c>
      <c r="D89" s="601" t="inlineStr">
        <is>
          <t>ELKAYEM AUTO Hosur</t>
        </is>
      </c>
      <c r="E89" s="601" t="inlineStr">
        <is>
          <t>129663|948721</t>
        </is>
      </c>
      <c r="F89" s="601" t="n">
        <v>3510169</v>
      </c>
      <c r="G89" s="601">
        <f>_xlfn.CONCAT(scheduleapr[[#This Row],[CUSTOMER CODE]],"-",scheduleapr[[#This Row],[MATERIAL NO]])</f>
        <v/>
      </c>
      <c r="H89" s="601" t="inlineStr">
        <is>
          <t>CUT-O-N-AUT-AW-FC-19.05X1.600X0.2380</t>
        </is>
      </c>
      <c r="I89" s="601" t="n"/>
      <c r="J89" s="601" t="n"/>
      <c r="K89" s="601" t="n"/>
      <c r="L89" s="601" t="inlineStr">
        <is>
          <t>HR</t>
        </is>
      </c>
      <c r="M89" s="601" t="n"/>
      <c r="N89" s="601" t="n"/>
      <c r="O89" s="601" t="n"/>
      <c r="P89" s="601" t="n"/>
      <c r="Q89" s="557">
        <f>CONCATENATE(scheduleapr[[#This Row],[OD]],"-",scheduleapr[[#This Row],[ID]],"-",scheduleapr[[#This Row],[TICKNESS]],"-",scheduleapr[[#This Row],[Grade]],"-",scheduleapr[[#This Row],[FC/NFC]])</f>
        <v/>
      </c>
      <c r="R89" s="557">
        <f>_xlfn.CONCAT(scheduleapr[[#This Row],[Bucket]],"-",scheduleapr[[#This Row],[LENGTH]]/1000)</f>
        <v/>
      </c>
      <c r="S89" s="557">
        <f>COUNTIF([2]!buckets[CTL Bucket],[2]!scheduleapr[[#This Row],[CTL Bucket]])</f>
        <v/>
      </c>
      <c r="T89" s="557" t="n"/>
      <c r="U89" s="557" t="n"/>
      <c r="V89" s="557" t="n"/>
      <c r="W89" s="557" t="n"/>
      <c r="X89" s="6" t="n">
        <v>19.05</v>
      </c>
      <c r="Y89" s="6" t="n">
        <v>19.05</v>
      </c>
      <c r="Z89" s="599" t="n">
        <v>0</v>
      </c>
      <c r="AA89" s="599" t="n">
        <v>1.6</v>
      </c>
      <c r="AB89" s="600" t="n">
        <v>238</v>
      </c>
      <c r="AC89" s="600" t="n"/>
      <c r="AD89" s="600" t="n"/>
      <c r="AE89" s="600" t="n"/>
      <c r="AF89" s="601" t="n"/>
      <c r="AG89" s="601" t="n"/>
      <c r="AH89" s="601">
        <f t="array" ref="AH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89" s="602">
        <f>scheduleapr[[#This Row],[SCHEDULE in nos]]-scheduleapr[[#This Row],[DISPATCH]]</f>
        <v/>
      </c>
      <c r="AJ89" s="599">
        <f>(3.14*(scheduleapr[[#This Row],[ACTUAL OD]]-scheduleapr[[#This Row],[TICKNESS]])*scheduleapr[[#This Row],[TICKNESS]]*scheduleapr[[#This Row],[LENGTH]]*7.85)/1000000*scheduleapr[[#This Row],[SCHEDULE in nos]]/1000</f>
        <v/>
      </c>
      <c r="AK89" s="599">
        <f>(3.14*(scheduleapr[[#This Row],[ACTUAL OD]]-scheduleapr[[#This Row],[TICKNESS]])*scheduleapr[[#This Row],[TICKNESS]]*scheduleapr[[#This Row],[LENGTH]]*7.85)/1000000*scheduleapr[[#This Row],[DISPATCH]]/1000</f>
        <v/>
      </c>
      <c r="AL89" s="599">
        <f>AJ89-AK89</f>
        <v/>
      </c>
      <c r="AM89" s="599">
        <f>scheduleapr[[#This Row],[SCHEDULE in nos]]/scheduleapr[[#This Row],[SCHEDULE IN MT]]*scheduleapr[[#This Row],[CTL Stock]]</f>
        <v/>
      </c>
      <c r="AN89" s="599">
        <f>SUMIFS(stock[MT],stock[Bucket],scheduleapr[[#This Row],[Bucket]],stock[CTL Bucket],scheduleapr[[#This Row],[CTL Bucket]],stock[Plant],"0789")</f>
        <v/>
      </c>
      <c r="AO89" s="599" t="n"/>
      <c r="AP89" s="599">
        <f>SUMIFS(stock[MT],stock[Bucket],scheduleapr[[#This Row],[Bucket]],stock[LL or CTL],"LL")</f>
        <v/>
      </c>
      <c r="AQ89" s="599">
        <f>+SUMIFS(wip[Stock(Net Wt)],wip[Bucket],scheduleapr[[#This Row],[Bucket]])/1000</f>
        <v/>
      </c>
      <c r="AR89" s="599">
        <f>AJ89-AN89</f>
        <v/>
      </c>
      <c r="AS89" s="118" t="n"/>
    </row>
    <row r="90">
      <c r="A90" s="594" t="n">
        <v>37</v>
      </c>
      <c r="B90" s="5" t="inlineStr">
        <is>
          <t>Hosur</t>
        </is>
      </c>
      <c r="C90" s="601" t="inlineStr">
        <is>
          <t>ELKAYEM AUTO</t>
        </is>
      </c>
      <c r="D90" s="601" t="inlineStr">
        <is>
          <t>ELKAYEM AUTO Hosur</t>
        </is>
      </c>
      <c r="E90" s="601" t="inlineStr">
        <is>
          <t>129663|948721</t>
        </is>
      </c>
      <c r="F90" s="601" t="n">
        <v>464578</v>
      </c>
      <c r="G90" s="601">
        <f>_xlfn.CONCAT(scheduleapr[[#This Row],[CUSTOMER CODE]],"-",scheduleapr[[#This Row],[MATERIAL NO]])</f>
        <v/>
      </c>
      <c r="H90" s="601" t="inlineStr">
        <is>
          <t>PT2-O-N-AUT-AW-PE-19.05X1.600X0.310</t>
        </is>
      </c>
      <c r="I90" s="601" t="n"/>
      <c r="J90" s="601" t="n"/>
      <c r="K90" s="601" t="n"/>
      <c r="L90" s="601" t="inlineStr">
        <is>
          <t>HR</t>
        </is>
      </c>
      <c r="M90" s="601" t="n"/>
      <c r="N90" s="601" t="n"/>
      <c r="O90" s="601" t="n"/>
      <c r="P90" s="601" t="n"/>
      <c r="Q90" s="557">
        <f>CONCATENATE(scheduleapr[[#This Row],[OD]],"-",scheduleapr[[#This Row],[ID]],"-",scheduleapr[[#This Row],[TICKNESS]],"-",scheduleapr[[#This Row],[Grade]],"-",scheduleapr[[#This Row],[FC/NFC]])</f>
        <v/>
      </c>
      <c r="R90" s="557">
        <f>_xlfn.CONCAT(scheduleapr[[#This Row],[Bucket]],"-",scheduleapr[[#This Row],[LENGTH]]/1000)</f>
        <v/>
      </c>
      <c r="S90" s="557">
        <f>COUNTIF([2]!buckets[CTL Bucket],[2]!scheduleapr[[#This Row],[CTL Bucket]])</f>
        <v/>
      </c>
      <c r="T90" s="557" t="n"/>
      <c r="U90" s="557" t="n"/>
      <c r="V90" s="557" t="n"/>
      <c r="W90" s="557" t="n"/>
      <c r="X90" s="6" t="n">
        <v>19.05</v>
      </c>
      <c r="Y90" s="6" t="n">
        <v>19.05</v>
      </c>
      <c r="Z90" s="599" t="n">
        <v>0</v>
      </c>
      <c r="AA90" s="599" t="n">
        <v>1.6</v>
      </c>
      <c r="AB90" s="600" t="n">
        <v>310</v>
      </c>
      <c r="AC90" s="600" t="n"/>
      <c r="AD90" s="600" t="n"/>
      <c r="AE90" s="600" t="n"/>
      <c r="AF90" s="601" t="n"/>
      <c r="AG90" s="601" t="n"/>
      <c r="AH90" s="601">
        <f t="array" ref="AH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0" s="602">
        <f>scheduleapr[[#This Row],[SCHEDULE in nos]]-scheduleapr[[#This Row],[DISPATCH]]</f>
        <v/>
      </c>
      <c r="AJ90" s="599">
        <f>(3.14*(scheduleapr[[#This Row],[ACTUAL OD]]-scheduleapr[[#This Row],[TICKNESS]])*scheduleapr[[#This Row],[TICKNESS]]*scheduleapr[[#This Row],[LENGTH]]*7.85)/1000000*scheduleapr[[#This Row],[SCHEDULE in nos]]/1000</f>
        <v/>
      </c>
      <c r="AK90" s="599">
        <f>(3.14*(scheduleapr[[#This Row],[ACTUAL OD]]-scheduleapr[[#This Row],[TICKNESS]])*scheduleapr[[#This Row],[TICKNESS]]*scheduleapr[[#This Row],[LENGTH]]*7.85)/1000000*scheduleapr[[#This Row],[DISPATCH]]/1000</f>
        <v/>
      </c>
      <c r="AL90" s="599">
        <f>AJ90-AK90</f>
        <v/>
      </c>
      <c r="AM90" s="599">
        <f>scheduleapr[[#This Row],[SCHEDULE in nos]]/scheduleapr[[#This Row],[SCHEDULE IN MT]]*scheduleapr[[#This Row],[CTL Stock]]</f>
        <v/>
      </c>
      <c r="AN90" s="599">
        <f>SUMIFS(stock[MT],stock[Bucket],scheduleapr[[#This Row],[Bucket]],stock[CTL Bucket],scheduleapr[[#This Row],[CTL Bucket]],stock[Plant],"0789")</f>
        <v/>
      </c>
      <c r="AO90" s="599" t="n"/>
      <c r="AP90" s="599">
        <f>SUMIFS(stock[MT],stock[Bucket],scheduleapr[[#This Row],[Bucket]],stock[LL or CTL],"LL")</f>
        <v/>
      </c>
      <c r="AQ90" s="599">
        <f>+SUMIFS(wip[Stock(Net Wt)],wip[Bucket],scheduleapr[[#This Row],[Bucket]])/1000</f>
        <v/>
      </c>
      <c r="AR90" s="599">
        <f>AJ90-AN90</f>
        <v/>
      </c>
      <c r="AS90" s="118" t="n"/>
    </row>
    <row r="91">
      <c r="A91" s="594" t="n">
        <v>38</v>
      </c>
      <c r="B91" s="5" t="inlineStr">
        <is>
          <t>Hosur</t>
        </is>
      </c>
      <c r="C91" s="601" t="inlineStr">
        <is>
          <t>ELKAYEM AUTO</t>
        </is>
      </c>
      <c r="D91" s="601" t="inlineStr">
        <is>
          <t>ELKAYEM AUTO Hosur</t>
        </is>
      </c>
      <c r="E91" s="601" t="inlineStr">
        <is>
          <t>129663|948721</t>
        </is>
      </c>
      <c r="F91" s="601" t="n">
        <v>3453631</v>
      </c>
      <c r="G91" s="601">
        <f>_xlfn.CONCAT(scheduleapr[[#This Row],[CUSTOMER CODE]],"-",scheduleapr[[#This Row],[MATERIAL NO]])</f>
        <v/>
      </c>
      <c r="H91" s="601" t="inlineStr">
        <is>
          <t>TUB-O-N-AUT-AW-FC-19.05X1.600X0.3500</t>
        </is>
      </c>
      <c r="I91" s="601" t="n"/>
      <c r="J91" s="601" t="n"/>
      <c r="K91" s="601" t="n"/>
      <c r="L91" s="601" t="inlineStr">
        <is>
          <t>HR</t>
        </is>
      </c>
      <c r="M91" s="601" t="n"/>
      <c r="N91" s="601" t="n"/>
      <c r="O91" s="601" t="n"/>
      <c r="P91" s="601" t="n"/>
      <c r="Q91" s="557">
        <f>CONCATENATE(scheduleapr[[#This Row],[OD]],"-",scheduleapr[[#This Row],[ID]],"-",scheduleapr[[#This Row],[TICKNESS]],"-",scheduleapr[[#This Row],[Grade]],"-",scheduleapr[[#This Row],[FC/NFC]])</f>
        <v/>
      </c>
      <c r="R91" s="557">
        <f>_xlfn.CONCAT(scheduleapr[[#This Row],[Bucket]],"-",scheduleapr[[#This Row],[LENGTH]]/1000)</f>
        <v/>
      </c>
      <c r="S91" s="557">
        <f>COUNTIF([2]!buckets[CTL Bucket],[2]!scheduleapr[[#This Row],[CTL Bucket]])</f>
        <v/>
      </c>
      <c r="T91" s="557" t="n"/>
      <c r="U91" s="557" t="n"/>
      <c r="V91" s="557" t="n"/>
      <c r="W91" s="557" t="n"/>
      <c r="X91" s="599" t="n">
        <v>19.05</v>
      </c>
      <c r="Y91" s="6" t="n">
        <v>19.05</v>
      </c>
      <c r="Z91" s="599" t="n">
        <v>0</v>
      </c>
      <c r="AA91" s="599" t="n">
        <v>1.6</v>
      </c>
      <c r="AB91" s="600" t="n">
        <v>350</v>
      </c>
      <c r="AC91" s="600" t="n"/>
      <c r="AD91" s="600" t="n"/>
      <c r="AE91" s="600" t="n"/>
      <c r="AF91" s="601" t="n"/>
      <c r="AG91" s="601" t="n"/>
      <c r="AH91" s="601">
        <f t="array" ref="AH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1" s="602">
        <f>scheduleapr[[#This Row],[SCHEDULE in nos]]-scheduleapr[[#This Row],[DISPATCH]]</f>
        <v/>
      </c>
      <c r="AJ91" s="599">
        <f>(3.14*(scheduleapr[[#This Row],[ACTUAL OD]]-scheduleapr[[#This Row],[TICKNESS]])*scheduleapr[[#This Row],[TICKNESS]]*scheduleapr[[#This Row],[LENGTH]]*7.85)/1000000*scheduleapr[[#This Row],[SCHEDULE in nos]]/1000</f>
        <v/>
      </c>
      <c r="AK91" s="599">
        <f>(3.14*(scheduleapr[[#This Row],[ACTUAL OD]]-scheduleapr[[#This Row],[TICKNESS]])*scheduleapr[[#This Row],[TICKNESS]]*scheduleapr[[#This Row],[LENGTH]]*7.85)/1000000*scheduleapr[[#This Row],[DISPATCH]]/1000</f>
        <v/>
      </c>
      <c r="AL91" s="599">
        <f>AJ91-AK91</f>
        <v/>
      </c>
      <c r="AM91" s="599">
        <f>scheduleapr[[#This Row],[SCHEDULE in nos]]/scheduleapr[[#This Row],[SCHEDULE IN MT]]*scheduleapr[[#This Row],[CTL Stock]]</f>
        <v/>
      </c>
      <c r="AN91" s="599">
        <f>SUMIFS(stock[MT],stock[Bucket],scheduleapr[[#This Row],[Bucket]],stock[CTL Bucket],scheduleapr[[#This Row],[CTL Bucket]],stock[Plant],"0789")</f>
        <v/>
      </c>
      <c r="AO91" s="599" t="n"/>
      <c r="AP91" s="599">
        <f>SUMIFS(stock[MT],stock[Bucket],scheduleapr[[#This Row],[Bucket]],stock[LL or CTL],"LL")</f>
        <v/>
      </c>
      <c r="AQ91" s="599">
        <f>+SUMIFS(wip[Stock(Net Wt)],wip[Bucket],scheduleapr[[#This Row],[Bucket]])/1000</f>
        <v/>
      </c>
      <c r="AR91" s="599">
        <f>AJ91-AN91</f>
        <v/>
      </c>
      <c r="AS91" s="118" t="n"/>
    </row>
    <row r="92">
      <c r="A92" s="594" t="n">
        <v>39</v>
      </c>
      <c r="B92" s="5" t="inlineStr">
        <is>
          <t>Hosur</t>
        </is>
      </c>
      <c r="C92" s="601" t="inlineStr">
        <is>
          <t>ELKAYEM AUTO</t>
        </is>
      </c>
      <c r="D92" s="601" t="inlineStr">
        <is>
          <t>ELKAYEM AUTO Hosur</t>
        </is>
      </c>
      <c r="E92" s="601" t="inlineStr">
        <is>
          <t>129663|948721</t>
        </is>
      </c>
      <c r="F92" s="48" t="n">
        <v>1531612</v>
      </c>
      <c r="G92" s="601">
        <f>_xlfn.CONCAT(scheduleapr[[#This Row],[CUSTOMER CODE]],"-",scheduleapr[[#This Row],[MATERIAL NO]])</f>
        <v/>
      </c>
      <c r="H92" s="601" t="inlineStr">
        <is>
          <t>TUB-O-N-AUT-AW-PE-19.05X1.600X0.3800</t>
        </is>
      </c>
      <c r="I92" s="601" t="n"/>
      <c r="J92" s="601" t="n"/>
      <c r="K92" s="601" t="n"/>
      <c r="L92" s="601" t="inlineStr">
        <is>
          <t>HR</t>
        </is>
      </c>
      <c r="M92" s="601" t="n"/>
      <c r="N92" s="601" t="n"/>
      <c r="O92" s="601" t="n"/>
      <c r="P92" s="601" t="n"/>
      <c r="Q92" s="557">
        <f>CONCATENATE(scheduleapr[[#This Row],[OD]],"-",scheduleapr[[#This Row],[ID]],"-",scheduleapr[[#This Row],[TICKNESS]],"-",scheduleapr[[#This Row],[Grade]],"-",scheduleapr[[#This Row],[FC/NFC]])</f>
        <v/>
      </c>
      <c r="R92" s="557">
        <f>_xlfn.CONCAT(scheduleapr[[#This Row],[Bucket]],"-",scheduleapr[[#This Row],[LENGTH]]/1000)</f>
        <v/>
      </c>
      <c r="S92" s="557">
        <f>COUNTIF([2]!buckets[CTL Bucket],[2]!scheduleapr[[#This Row],[CTL Bucket]])</f>
        <v/>
      </c>
      <c r="T92" s="557" t="n"/>
      <c r="U92" s="557" t="n"/>
      <c r="V92" s="557" t="n"/>
      <c r="W92" s="557" t="n"/>
      <c r="X92" s="6" t="n">
        <v>19.05</v>
      </c>
      <c r="Y92" s="6" t="n">
        <v>19.05</v>
      </c>
      <c r="Z92" s="599" t="n">
        <v>0</v>
      </c>
      <c r="AA92" s="599" t="n">
        <v>1.6</v>
      </c>
      <c r="AB92" s="600" t="n">
        <v>380</v>
      </c>
      <c r="AC92" s="600" t="n"/>
      <c r="AD92" s="600" t="n"/>
      <c r="AE92" s="600" t="n"/>
      <c r="AF92" s="601" t="n"/>
      <c r="AG92" s="601" t="n"/>
      <c r="AH92" s="601">
        <f t="array" ref="AH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2" s="602">
        <f>scheduleapr[[#This Row],[SCHEDULE in nos]]-scheduleapr[[#This Row],[DISPATCH]]</f>
        <v/>
      </c>
      <c r="AJ92" s="599">
        <f>(3.14*(scheduleapr[[#This Row],[ACTUAL OD]]-scheduleapr[[#This Row],[TICKNESS]])*scheduleapr[[#This Row],[TICKNESS]]*scheduleapr[[#This Row],[LENGTH]]*7.85)/1000000*scheduleapr[[#This Row],[SCHEDULE in nos]]/1000</f>
        <v/>
      </c>
      <c r="AK92" s="599">
        <f>(3.14*(scheduleapr[[#This Row],[ACTUAL OD]]-scheduleapr[[#This Row],[TICKNESS]])*scheduleapr[[#This Row],[TICKNESS]]*scheduleapr[[#This Row],[LENGTH]]*7.85)/1000000*scheduleapr[[#This Row],[DISPATCH]]/1000</f>
        <v/>
      </c>
      <c r="AL92" s="599">
        <f>AJ92-AK92</f>
        <v/>
      </c>
      <c r="AM92" s="599">
        <f>scheduleapr[[#This Row],[SCHEDULE in nos]]/scheduleapr[[#This Row],[SCHEDULE IN MT]]*scheduleapr[[#This Row],[CTL Stock]]</f>
        <v/>
      </c>
      <c r="AN92" s="599">
        <f>SUMIFS(stock[MT],stock[Bucket],scheduleapr[[#This Row],[Bucket]],stock[CTL Bucket],scheduleapr[[#This Row],[CTL Bucket]],stock[Plant],"0789")</f>
        <v/>
      </c>
      <c r="AO92" s="599" t="n"/>
      <c r="AP92" s="599">
        <f>SUMIFS(stock[MT],stock[Bucket],scheduleapr[[#This Row],[Bucket]],stock[LL or CTL],"LL")</f>
        <v/>
      </c>
      <c r="AQ92" s="599">
        <f>+SUMIFS(wip[Stock(Net Wt)],wip[Bucket],scheduleapr[[#This Row],[Bucket]])/1000</f>
        <v/>
      </c>
      <c r="AR92" s="599">
        <f>AJ92-AN92</f>
        <v/>
      </c>
      <c r="AS92" s="118" t="n"/>
    </row>
    <row r="93">
      <c r="A93" s="594" t="n">
        <v>40</v>
      </c>
      <c r="B93" s="5" t="inlineStr">
        <is>
          <t>Hosur</t>
        </is>
      </c>
      <c r="C93" s="601" t="inlineStr">
        <is>
          <t>ELKAYEM AUTO</t>
        </is>
      </c>
      <c r="D93" s="601" t="inlineStr">
        <is>
          <t>ELKAYEM AUTO Hosur</t>
        </is>
      </c>
      <c r="E93" s="601" t="inlineStr">
        <is>
          <t>129663|948721</t>
        </is>
      </c>
      <c r="F93" s="48" t="n">
        <v>3510171</v>
      </c>
      <c r="G93" s="601">
        <f>_xlfn.CONCAT(scheduleapr[[#This Row],[CUSTOMER CODE]],"-",scheduleapr[[#This Row],[MATERIAL NO]])</f>
        <v/>
      </c>
      <c r="H93" s="601" t="inlineStr">
        <is>
          <t>CUT-O-N-AUT-AW-FC-19.05X1.600X0.4690</t>
        </is>
      </c>
      <c r="I93" s="601" t="n"/>
      <c r="J93" s="601" t="n"/>
      <c r="K93" s="601" t="n"/>
      <c r="L93" s="601" t="inlineStr">
        <is>
          <t>HR</t>
        </is>
      </c>
      <c r="M93" s="601" t="n"/>
      <c r="N93" s="601" t="n"/>
      <c r="O93" s="601" t="n"/>
      <c r="P93" s="601" t="n"/>
      <c r="Q93" s="557">
        <f>CONCATENATE(scheduleapr[[#This Row],[OD]],"-",scheduleapr[[#This Row],[ID]],"-",scheduleapr[[#This Row],[TICKNESS]],"-",scheduleapr[[#This Row],[Grade]],"-",scheduleapr[[#This Row],[FC/NFC]])</f>
        <v/>
      </c>
      <c r="R93" s="557">
        <f>_xlfn.CONCAT(scheduleapr[[#This Row],[Bucket]],"-",scheduleapr[[#This Row],[LENGTH]]/1000)</f>
        <v/>
      </c>
      <c r="S93" s="557">
        <f>COUNTIF([2]!buckets[CTL Bucket],[2]!scheduleapr[[#This Row],[CTL Bucket]])</f>
        <v/>
      </c>
      <c r="T93" s="557" t="n"/>
      <c r="U93" s="557" t="n"/>
      <c r="V93" s="557" t="n"/>
      <c r="W93" s="557" t="n"/>
      <c r="X93" s="599" t="n">
        <v>19.05</v>
      </c>
      <c r="Y93" s="599" t="n">
        <v>19.05</v>
      </c>
      <c r="Z93" s="599" t="n">
        <v>0</v>
      </c>
      <c r="AA93" s="599" t="n">
        <v>1.6</v>
      </c>
      <c r="AB93" s="600" t="n">
        <v>469</v>
      </c>
      <c r="AC93" s="600" t="n"/>
      <c r="AD93" s="600" t="n"/>
      <c r="AE93" s="600" t="n"/>
      <c r="AF93" s="601" t="n"/>
      <c r="AG93" s="601" t="n"/>
      <c r="AH93" s="601">
        <f t="array" ref="AH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3" s="602">
        <f>scheduleapr[[#This Row],[SCHEDULE in nos]]-scheduleapr[[#This Row],[DISPATCH]]</f>
        <v/>
      </c>
      <c r="AJ93" s="599">
        <f>(3.14*(scheduleapr[[#This Row],[ACTUAL OD]]-scheduleapr[[#This Row],[TICKNESS]])*scheduleapr[[#This Row],[TICKNESS]]*scheduleapr[[#This Row],[LENGTH]]*7.85)/1000000*scheduleapr[[#This Row],[SCHEDULE in nos]]/1000</f>
        <v/>
      </c>
      <c r="AK93" s="599">
        <f>(3.14*(scheduleapr[[#This Row],[ACTUAL OD]]-scheduleapr[[#This Row],[TICKNESS]])*scheduleapr[[#This Row],[TICKNESS]]*scheduleapr[[#This Row],[LENGTH]]*7.85)/1000000*scheduleapr[[#This Row],[DISPATCH]]/1000</f>
        <v/>
      </c>
      <c r="AL93" s="599">
        <f>AJ93-AK93</f>
        <v/>
      </c>
      <c r="AM93" s="599">
        <f>scheduleapr[[#This Row],[SCHEDULE in nos]]/scheduleapr[[#This Row],[SCHEDULE IN MT]]*scheduleapr[[#This Row],[CTL Stock]]</f>
        <v/>
      </c>
      <c r="AN93" s="599">
        <f>SUMIFS(stock[MT],stock[Bucket],scheduleapr[[#This Row],[Bucket]],stock[CTL Bucket],scheduleapr[[#This Row],[CTL Bucket]],stock[Plant],"0789")</f>
        <v/>
      </c>
      <c r="AO93" s="599" t="n"/>
      <c r="AP93" s="599">
        <f>SUMIFS(stock[MT],stock[Bucket],scheduleapr[[#This Row],[Bucket]],stock[LL or CTL],"LL")</f>
        <v/>
      </c>
      <c r="AQ93" s="599">
        <f>+SUMIFS(wip[Stock(Net Wt)],wip[Bucket],scheduleapr[[#This Row],[Bucket]])/1000</f>
        <v/>
      </c>
      <c r="AR93" s="599">
        <f>AJ93-AN93</f>
        <v/>
      </c>
      <c r="AS93" s="118" t="n"/>
    </row>
    <row r="94">
      <c r="A94" s="594" t="n">
        <v>41</v>
      </c>
      <c r="B94" s="5" t="inlineStr">
        <is>
          <t>Hosur</t>
        </is>
      </c>
      <c r="C94" s="601" t="inlineStr">
        <is>
          <t>ELKAYEM AUTO</t>
        </is>
      </c>
      <c r="D94" s="601" t="inlineStr">
        <is>
          <t>ELKAYEM AUTO Hosur</t>
        </is>
      </c>
      <c r="E94" s="601" t="inlineStr">
        <is>
          <t>129663|948721</t>
        </is>
      </c>
      <c r="F94" s="601" t="n">
        <v>3213875</v>
      </c>
      <c r="G94" s="601">
        <f>_xlfn.CONCAT(scheduleapr[[#This Row],[CUSTOMER CODE]],"-",scheduleapr[[#This Row],[MATERIAL NO]])</f>
        <v/>
      </c>
      <c r="H94" s="601" t="inlineStr">
        <is>
          <t>TUB-O-N-AUT-AW-PE-19.05X1.60X0.485-MAHS</t>
        </is>
      </c>
      <c r="I94" s="601" t="n"/>
      <c r="J94" s="601" t="n"/>
      <c r="K94" s="601" t="n"/>
      <c r="L94" s="601" t="inlineStr">
        <is>
          <t>HR</t>
        </is>
      </c>
      <c r="M94" s="601" t="n"/>
      <c r="N94" s="601" t="n"/>
      <c r="O94" s="601" t="n"/>
      <c r="P94" s="601" t="n"/>
      <c r="Q94" s="557">
        <f>CONCATENATE(scheduleapr[[#This Row],[OD]],"-",scheduleapr[[#This Row],[ID]],"-",scheduleapr[[#This Row],[TICKNESS]],"-",scheduleapr[[#This Row],[Grade]],"-",scheduleapr[[#This Row],[FC/NFC]])</f>
        <v/>
      </c>
      <c r="R94" s="557">
        <f>_xlfn.CONCAT(scheduleapr[[#This Row],[Bucket]],"-",scheduleapr[[#This Row],[LENGTH]]/1000)</f>
        <v/>
      </c>
      <c r="S94" s="557">
        <f>COUNTIF([2]!buckets[CTL Bucket],[2]!scheduleapr[[#This Row],[CTL Bucket]])</f>
        <v/>
      </c>
      <c r="T94" s="557" t="n"/>
      <c r="U94" s="557" t="n"/>
      <c r="V94" s="557" t="n"/>
      <c r="W94" s="557" t="n"/>
      <c r="X94" s="6" t="n">
        <v>19.05</v>
      </c>
      <c r="Y94" s="6" t="n">
        <v>19.05</v>
      </c>
      <c r="Z94" s="599" t="n">
        <v>0</v>
      </c>
      <c r="AA94" s="599" t="n">
        <v>1.6</v>
      </c>
      <c r="AB94" s="600" t="n">
        <v>485</v>
      </c>
      <c r="AC94" s="600" t="n"/>
      <c r="AD94" s="600" t="n"/>
      <c r="AE94" s="600" t="n"/>
      <c r="AF94" s="601" t="n"/>
      <c r="AG94" s="601" t="n"/>
      <c r="AH94" s="601">
        <f t="array" ref="AH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4" s="602">
        <f>scheduleapr[[#This Row],[SCHEDULE in nos]]-scheduleapr[[#This Row],[DISPATCH]]</f>
        <v/>
      </c>
      <c r="AJ94" s="599">
        <f>(3.14*(scheduleapr[[#This Row],[ACTUAL OD]]-scheduleapr[[#This Row],[TICKNESS]])*scheduleapr[[#This Row],[TICKNESS]]*scheduleapr[[#This Row],[LENGTH]]*7.85)/1000000*scheduleapr[[#This Row],[SCHEDULE in nos]]/1000</f>
        <v/>
      </c>
      <c r="AK94" s="599">
        <f>(3.14*(scheduleapr[[#This Row],[ACTUAL OD]]-scheduleapr[[#This Row],[TICKNESS]])*scheduleapr[[#This Row],[TICKNESS]]*scheduleapr[[#This Row],[LENGTH]]*7.85)/1000000*scheduleapr[[#This Row],[DISPATCH]]/1000</f>
        <v/>
      </c>
      <c r="AL94" s="599">
        <f>AJ94-AK94</f>
        <v/>
      </c>
      <c r="AM94" s="599">
        <f>scheduleapr[[#This Row],[SCHEDULE in nos]]/scheduleapr[[#This Row],[SCHEDULE IN MT]]*scheduleapr[[#This Row],[CTL Stock]]</f>
        <v/>
      </c>
      <c r="AN94" s="599">
        <f>SUMIFS(stock[MT],stock[Bucket],scheduleapr[[#This Row],[Bucket]],stock[CTL Bucket],scheduleapr[[#This Row],[CTL Bucket]],stock[Plant],"0789")</f>
        <v/>
      </c>
      <c r="AO94" s="599" t="n"/>
      <c r="AP94" s="599">
        <f>SUMIFS(stock[MT],stock[Bucket],scheduleapr[[#This Row],[Bucket]],stock[LL or CTL],"LL")</f>
        <v/>
      </c>
      <c r="AQ94" s="599">
        <f>+SUMIFS(wip[Stock(Net Wt)],wip[Bucket],scheduleapr[[#This Row],[Bucket]])/1000</f>
        <v/>
      </c>
      <c r="AR94" s="599">
        <f>AJ94-AN94</f>
        <v/>
      </c>
      <c r="AS94" s="118" t="n"/>
    </row>
    <row r="95">
      <c r="A95" s="594" t="n">
        <v>42</v>
      </c>
      <c r="B95" s="5" t="inlineStr">
        <is>
          <t>Hosur</t>
        </is>
      </c>
      <c r="C95" s="601" t="inlineStr">
        <is>
          <t>ELKAYEM AUTO</t>
        </is>
      </c>
      <c r="D95" s="601" t="inlineStr">
        <is>
          <t>ELKAYEM AUTO Hosur</t>
        </is>
      </c>
      <c r="E95" s="601" t="inlineStr">
        <is>
          <t>129663|948721</t>
        </is>
      </c>
      <c r="F95" s="601" t="n">
        <v>319456</v>
      </c>
      <c r="G95" s="601">
        <f>_xlfn.CONCAT(scheduleapr[[#This Row],[CUSTOMER CODE]],"-",scheduleapr[[#This Row],[MATERIAL NO]])</f>
        <v/>
      </c>
      <c r="H95" s="601" t="inlineStr">
        <is>
          <t>PT2-O-N-AUT-AW-PE-19.05X1.630X0.336</t>
        </is>
      </c>
      <c r="I95" s="601" t="n"/>
      <c r="J95" s="601" t="n"/>
      <c r="K95" s="601" t="n"/>
      <c r="L95" s="601" t="inlineStr">
        <is>
          <t>HR</t>
        </is>
      </c>
      <c r="M95" s="601" t="n"/>
      <c r="N95" s="601" t="n"/>
      <c r="O95" s="601" t="n"/>
      <c r="P95" s="601" t="n"/>
      <c r="Q95" s="557">
        <f>CONCATENATE(scheduleapr[[#This Row],[OD]],"-",scheduleapr[[#This Row],[ID]],"-",scheduleapr[[#This Row],[TICKNESS]],"-",scheduleapr[[#This Row],[Grade]],"-",scheduleapr[[#This Row],[FC/NFC]])</f>
        <v/>
      </c>
      <c r="R95" s="557">
        <f>_xlfn.CONCAT(scheduleapr[[#This Row],[Bucket]],"-",scheduleapr[[#This Row],[LENGTH]]/1000)</f>
        <v/>
      </c>
      <c r="S95" s="557">
        <f>COUNTIF([2]!buckets[CTL Bucket],[2]!scheduleapr[[#This Row],[CTL Bucket]])</f>
        <v/>
      </c>
      <c r="T95" s="557" t="n"/>
      <c r="U95" s="557" t="n"/>
      <c r="V95" s="557" t="n"/>
      <c r="W95" s="557" t="n"/>
      <c r="X95" s="599" t="n">
        <v>19.05</v>
      </c>
      <c r="Y95" s="599" t="n">
        <v>19.05</v>
      </c>
      <c r="Z95" s="599" t="n">
        <v>0</v>
      </c>
      <c r="AA95" s="599" t="n">
        <v>1.63</v>
      </c>
      <c r="AB95" s="600" t="n">
        <v>336</v>
      </c>
      <c r="AC95" s="600" t="n"/>
      <c r="AD95" s="600" t="n"/>
      <c r="AE95" s="600" t="n"/>
      <c r="AF95" s="601" t="n"/>
      <c r="AG95" s="601" t="n"/>
      <c r="AH95" s="601">
        <f t="array" ref="AH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5" s="602">
        <f>scheduleapr[[#This Row],[SCHEDULE in nos]]-scheduleapr[[#This Row],[DISPATCH]]</f>
        <v/>
      </c>
      <c r="AJ95" s="599">
        <f>(3.14*(scheduleapr[[#This Row],[ACTUAL OD]]-scheduleapr[[#This Row],[TICKNESS]])*scheduleapr[[#This Row],[TICKNESS]]*scheduleapr[[#This Row],[LENGTH]]*7.85)/1000000*scheduleapr[[#This Row],[SCHEDULE in nos]]/1000</f>
        <v/>
      </c>
      <c r="AK95" s="599">
        <f>(3.14*(scheduleapr[[#This Row],[ACTUAL OD]]-scheduleapr[[#This Row],[TICKNESS]])*scheduleapr[[#This Row],[TICKNESS]]*scheduleapr[[#This Row],[LENGTH]]*7.85)/1000000*scheduleapr[[#This Row],[DISPATCH]]/1000</f>
        <v/>
      </c>
      <c r="AL95" s="599">
        <f>AJ95-AK95</f>
        <v/>
      </c>
      <c r="AM95" s="599">
        <f>scheduleapr[[#This Row],[SCHEDULE in nos]]/scheduleapr[[#This Row],[SCHEDULE IN MT]]*scheduleapr[[#This Row],[CTL Stock]]</f>
        <v/>
      </c>
      <c r="AN95" s="599">
        <f>SUMIFS(stock[MT],stock[Bucket],scheduleapr[[#This Row],[Bucket]],stock[CTL Bucket],scheduleapr[[#This Row],[CTL Bucket]],stock[Plant],"0789")</f>
        <v/>
      </c>
      <c r="AO95" s="599" t="n"/>
      <c r="AP95" s="599">
        <f>SUMIFS(stock[MT],stock[Bucket],scheduleapr[[#This Row],[Bucket]],stock[LL or CTL],"LL")</f>
        <v/>
      </c>
      <c r="AQ95" s="599">
        <f>+SUMIFS(wip[Stock(Net Wt)],wip[Bucket],scheduleapr[[#This Row],[Bucket]])/1000</f>
        <v/>
      </c>
      <c r="AR95" s="599">
        <f>AJ95-AN95</f>
        <v/>
      </c>
      <c r="AS95" s="118" t="n"/>
    </row>
    <row r="96">
      <c r="A96" s="594" t="n">
        <v>53</v>
      </c>
      <c r="B96" s="5" t="inlineStr">
        <is>
          <t>Hosur</t>
        </is>
      </c>
      <c r="C96" s="601" t="inlineStr">
        <is>
          <t>ELKAYEM AUTO</t>
        </is>
      </c>
      <c r="D96" s="601" t="inlineStr">
        <is>
          <t>ELKAYEM AUTO Hosur</t>
        </is>
      </c>
      <c r="E96" s="601" t="inlineStr">
        <is>
          <t>129663|948721</t>
        </is>
      </c>
      <c r="F96" s="601" t="n">
        <v>1482265</v>
      </c>
      <c r="G96" s="601">
        <f>_xlfn.CONCAT(scheduleapr[[#This Row],[CUSTOMER CODE]],"-",scheduleapr[[#This Row],[MATERIAL NO]])</f>
        <v/>
      </c>
      <c r="H96" s="601" t="inlineStr">
        <is>
          <t>TUB-O-N-AUT-AW-PE-25.40X2.000X0.4780</t>
        </is>
      </c>
      <c r="I96" s="601" t="n"/>
      <c r="J96" s="601" t="n"/>
      <c r="K96" s="601" t="n"/>
      <c r="L96" s="601" t="inlineStr">
        <is>
          <t>HR</t>
        </is>
      </c>
      <c r="M96" s="601" t="n"/>
      <c r="N96" s="601" t="n"/>
      <c r="O96" s="601" t="n"/>
      <c r="P96" s="601" t="n"/>
      <c r="Q96" s="557">
        <f>CONCATENATE(scheduleapr[[#This Row],[OD]],"-",scheduleapr[[#This Row],[ID]],"-",scheduleapr[[#This Row],[TICKNESS]],"-",scheduleapr[[#This Row],[Grade]],"-",scheduleapr[[#This Row],[FC/NFC]])</f>
        <v/>
      </c>
      <c r="R96" s="557">
        <f>_xlfn.CONCAT(scheduleapr[[#This Row],[Bucket]],"-",scheduleapr[[#This Row],[LENGTH]]/1000)</f>
        <v/>
      </c>
      <c r="S96" s="557">
        <f>COUNTIF([2]!buckets[CTL Bucket],[2]!scheduleapr[[#This Row],[CTL Bucket]])</f>
        <v/>
      </c>
      <c r="T96" s="557" t="n"/>
      <c r="U96" s="557" t="n"/>
      <c r="V96" s="557" t="n"/>
      <c r="W96" s="557" t="n"/>
      <c r="X96" s="6" t="n">
        <v>25.4</v>
      </c>
      <c r="Y96" s="6" t="n">
        <v>25.4</v>
      </c>
      <c r="Z96" s="599" t="n">
        <v>0</v>
      </c>
      <c r="AA96" s="599" t="n">
        <v>2</v>
      </c>
      <c r="AB96" s="600" t="n">
        <v>478</v>
      </c>
      <c r="AC96" s="600" t="n"/>
      <c r="AD96" s="600" t="n"/>
      <c r="AE96" s="600" t="n"/>
      <c r="AF96" s="601" t="n"/>
      <c r="AG96" s="601" t="n"/>
      <c r="AH96" s="601">
        <f t="array" ref="AH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6" s="602">
        <f>scheduleapr[[#This Row],[SCHEDULE in nos]]-scheduleapr[[#This Row],[DISPATCH]]</f>
        <v/>
      </c>
      <c r="AJ96" s="599">
        <f>(3.14*(scheduleapr[[#This Row],[ACTUAL OD]]-scheduleapr[[#This Row],[TICKNESS]])*scheduleapr[[#This Row],[TICKNESS]]*scheduleapr[[#This Row],[LENGTH]]*7.85)/1000000*scheduleapr[[#This Row],[SCHEDULE in nos]]/1000</f>
        <v/>
      </c>
      <c r="AK96" s="599">
        <f>(3.14*(scheduleapr[[#This Row],[ACTUAL OD]]-scheduleapr[[#This Row],[TICKNESS]])*scheduleapr[[#This Row],[TICKNESS]]*scheduleapr[[#This Row],[LENGTH]]*7.85)/1000000*scheduleapr[[#This Row],[DISPATCH]]/1000</f>
        <v/>
      </c>
      <c r="AL96" s="599">
        <f>AJ96-AK96</f>
        <v/>
      </c>
      <c r="AM96" s="599">
        <f>scheduleapr[[#This Row],[SCHEDULE in nos]]/scheduleapr[[#This Row],[SCHEDULE IN MT]]*scheduleapr[[#This Row],[CTL Stock]]</f>
        <v/>
      </c>
      <c r="AN96" s="599">
        <f>SUMIFS(stock[MT],stock[Bucket],scheduleapr[[#This Row],[Bucket]],stock[CTL Bucket],scheduleapr[[#This Row],[CTL Bucket]],stock[Plant],"0789")</f>
        <v/>
      </c>
      <c r="AO96" s="599" t="n"/>
      <c r="AP96" s="599">
        <f>SUMIFS(stock[MT],stock[Bucket],scheduleapr[[#This Row],[Bucket]],stock[LL or CTL],"LL")</f>
        <v/>
      </c>
      <c r="AQ96" s="599">
        <f>+SUMIFS(wip[Stock(Net Wt)],wip[Bucket],scheduleapr[[#This Row],[Bucket]])/1000</f>
        <v/>
      </c>
      <c r="AR96" s="599">
        <f>AJ96-AN96</f>
        <v/>
      </c>
      <c r="AS96" s="118" t="n"/>
    </row>
    <row r="97">
      <c r="A97" s="594" t="n">
        <v>54</v>
      </c>
      <c r="B97" s="5" t="inlineStr">
        <is>
          <t>Hosur</t>
        </is>
      </c>
      <c r="C97" s="601" t="inlineStr">
        <is>
          <t>ELKAYEM AUTO</t>
        </is>
      </c>
      <c r="D97" s="601" t="inlineStr">
        <is>
          <t>ELKAYEM AUTO Hosur</t>
        </is>
      </c>
      <c r="E97" s="601" t="inlineStr">
        <is>
          <t>129663|948721</t>
        </is>
      </c>
      <c r="F97" s="601" t="n">
        <v>3218520</v>
      </c>
      <c r="G97" s="601">
        <f>_xlfn.CONCAT(scheduleapr[[#This Row],[CUSTOMER CODE]],"-",scheduleapr[[#This Row],[MATERIAL NO]])</f>
        <v/>
      </c>
      <c r="H97" s="601" t="inlineStr">
        <is>
          <t>TUB-O-N-AUT-AW-PE-25.40X2.000X0.4960</t>
        </is>
      </c>
      <c r="I97" s="601" t="n"/>
      <c r="J97" s="601" t="n"/>
      <c r="K97" s="601" t="n"/>
      <c r="L97" s="601" t="inlineStr">
        <is>
          <t>HR</t>
        </is>
      </c>
      <c r="M97" s="601" t="n"/>
      <c r="N97" s="601" t="n"/>
      <c r="O97" s="601" t="n"/>
      <c r="P97" s="601" t="n"/>
      <c r="Q97" s="557">
        <f>CONCATENATE(scheduleapr[[#This Row],[OD]],"-",scheduleapr[[#This Row],[ID]],"-",scheduleapr[[#This Row],[TICKNESS]],"-",scheduleapr[[#This Row],[Grade]],"-",scheduleapr[[#This Row],[FC/NFC]])</f>
        <v/>
      </c>
      <c r="R97" s="557">
        <f>_xlfn.CONCAT(scheduleapr[[#This Row],[Bucket]],"-",scheduleapr[[#This Row],[LENGTH]]/1000)</f>
        <v/>
      </c>
      <c r="S97" s="557">
        <f>COUNTIF([2]!buckets[CTL Bucket],[2]!scheduleapr[[#This Row],[CTL Bucket]])</f>
        <v/>
      </c>
      <c r="T97" s="557" t="n"/>
      <c r="U97" s="557" t="n"/>
      <c r="V97" s="557" t="n"/>
      <c r="W97" s="557" t="n"/>
      <c r="X97" s="6" t="n">
        <v>25.4</v>
      </c>
      <c r="Y97" s="6" t="n">
        <v>25.4</v>
      </c>
      <c r="Z97" s="599" t="n">
        <v>0</v>
      </c>
      <c r="AA97" s="599" t="n">
        <v>2</v>
      </c>
      <c r="AB97" s="600" t="n">
        <v>496</v>
      </c>
      <c r="AC97" s="600" t="n"/>
      <c r="AD97" s="600" t="n"/>
      <c r="AE97" s="600" t="n"/>
      <c r="AF97" s="601" t="n"/>
      <c r="AG97" s="601" t="n"/>
      <c r="AH97" s="601">
        <f t="array" ref="AH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7" s="602">
        <f>scheduleapr[[#This Row],[SCHEDULE in nos]]-scheduleapr[[#This Row],[DISPATCH]]</f>
        <v/>
      </c>
      <c r="AJ97" s="599">
        <f>(3.14*(scheduleapr[[#This Row],[ACTUAL OD]]-scheduleapr[[#This Row],[TICKNESS]])*scheduleapr[[#This Row],[TICKNESS]]*scheduleapr[[#This Row],[LENGTH]]*7.85)/1000000*scheduleapr[[#This Row],[SCHEDULE in nos]]/1000</f>
        <v/>
      </c>
      <c r="AK97" s="599">
        <f>(3.14*(scheduleapr[[#This Row],[ACTUAL OD]]-scheduleapr[[#This Row],[TICKNESS]])*scheduleapr[[#This Row],[TICKNESS]]*scheduleapr[[#This Row],[LENGTH]]*7.85)/1000000*scheduleapr[[#This Row],[DISPATCH]]/1000</f>
        <v/>
      </c>
      <c r="AL97" s="599">
        <f>AJ97-AK97</f>
        <v/>
      </c>
      <c r="AM97" s="599">
        <f>scheduleapr[[#This Row],[SCHEDULE in nos]]/scheduleapr[[#This Row],[SCHEDULE IN MT]]*scheduleapr[[#This Row],[CTL Stock]]</f>
        <v/>
      </c>
      <c r="AN97" s="599">
        <f>SUMIFS(stock[MT],stock[Bucket],scheduleapr[[#This Row],[Bucket]],stock[CTL Bucket],scheduleapr[[#This Row],[CTL Bucket]],stock[Plant],"0789")</f>
        <v/>
      </c>
      <c r="AO97" s="599" t="n"/>
      <c r="AP97" s="599">
        <f>SUMIFS(stock[MT],stock[Bucket],scheduleapr[[#This Row],[Bucket]],stock[LL or CTL],"LL")</f>
        <v/>
      </c>
      <c r="AQ97" s="599">
        <f>+SUMIFS(wip[Stock(Net Wt)],wip[Bucket],scheduleapr[[#This Row],[Bucket]])/1000</f>
        <v/>
      </c>
      <c r="AR97" s="599">
        <f>AJ97-AN97</f>
        <v/>
      </c>
      <c r="AS97" s="118" t="n"/>
    </row>
    <row r="98">
      <c r="A98" s="594" t="n">
        <v>61</v>
      </c>
      <c r="B98" s="5" t="inlineStr">
        <is>
          <t xml:space="preserve">Khopoli </t>
        </is>
      </c>
      <c r="C98" s="601" t="inlineStr">
        <is>
          <t>ELKAYEM AUTO</t>
        </is>
      </c>
      <c r="D98" s="601" t="inlineStr">
        <is>
          <t>ELKAYEM AUTO Hosur</t>
        </is>
      </c>
      <c r="E98" s="601" t="inlineStr">
        <is>
          <t>129663|948721</t>
        </is>
      </c>
      <c r="F98" s="601" t="n">
        <v>403039</v>
      </c>
      <c r="G98" s="601">
        <f>_xlfn.CONCAT(scheduleapr[[#This Row],[CUSTOMER CODE]],"-",scheduleapr[[#This Row],[MATERIAL NO]])</f>
        <v/>
      </c>
      <c r="H98" s="601" t="inlineStr">
        <is>
          <t>PT3-I-C-AUT-AD-CH-31.20X3.200X0.295</t>
        </is>
      </c>
      <c r="I98" s="601" t="n"/>
      <c r="J98" s="601" t="n"/>
      <c r="K98" s="601" t="n"/>
      <c r="L98" s="601" t="inlineStr">
        <is>
          <t>HR</t>
        </is>
      </c>
      <c r="M98" s="601" t="n"/>
      <c r="N98" s="601" t="n"/>
      <c r="O98" s="601" t="n"/>
      <c r="P98" s="601" t="n"/>
      <c r="Q98" s="557">
        <f>CONCATENATE(scheduleapr[[#This Row],[OD]],"-",scheduleapr[[#This Row],[ID]],"-",scheduleapr[[#This Row],[TICKNESS]],"-",scheduleapr[[#This Row],[Grade]],"-",scheduleapr[[#This Row],[FC/NFC]])</f>
        <v/>
      </c>
      <c r="R98" s="557">
        <f>_xlfn.CONCAT(scheduleapr[[#This Row],[Bucket]],"-",scheduleapr[[#This Row],[LENGTH]]/1000)</f>
        <v/>
      </c>
      <c r="S98" s="557">
        <f>COUNTIF([2]!buckets[CTL Bucket],[2]!scheduleapr[[#This Row],[CTL Bucket]])</f>
        <v/>
      </c>
      <c r="T98" s="557" t="n"/>
      <c r="U98" s="557" t="n"/>
      <c r="V98" s="557" t="n"/>
      <c r="W98" s="557" t="n"/>
      <c r="X98" s="6" t="n">
        <v>31.2</v>
      </c>
      <c r="Y98" s="6" t="n">
        <v>37.6</v>
      </c>
      <c r="Z98" s="599" t="n">
        <v>31.2</v>
      </c>
      <c r="AA98" s="599" t="n">
        <v>3.2</v>
      </c>
      <c r="AB98" s="600" t="n">
        <v>295</v>
      </c>
      <c r="AC98" s="600" t="n"/>
      <c r="AD98" s="600" t="n"/>
      <c r="AE98" s="600" t="n"/>
      <c r="AF98" s="601" t="n"/>
      <c r="AG98" s="601" t="n"/>
      <c r="AH98" s="601">
        <f t="array" ref="AH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8" s="602">
        <f>scheduleapr[[#This Row],[SCHEDULE in nos]]-scheduleapr[[#This Row],[DISPATCH]]</f>
        <v/>
      </c>
      <c r="AJ98" s="599">
        <f>(3.14*(scheduleapr[[#This Row],[ACTUAL OD]]-scheduleapr[[#This Row],[TICKNESS]])*scheduleapr[[#This Row],[TICKNESS]]*scheduleapr[[#This Row],[LENGTH]]*7.85)/1000000*scheduleapr[[#This Row],[SCHEDULE in nos]]/1000</f>
        <v/>
      </c>
      <c r="AK98" s="599">
        <f>(3.14*(scheduleapr[[#This Row],[ACTUAL OD]]-scheduleapr[[#This Row],[TICKNESS]])*scheduleapr[[#This Row],[TICKNESS]]*scheduleapr[[#This Row],[LENGTH]]*7.85)/1000000*scheduleapr[[#This Row],[DISPATCH]]/1000</f>
        <v/>
      </c>
      <c r="AL98" s="599">
        <f>AJ98-AK98</f>
        <v/>
      </c>
      <c r="AM98" s="599">
        <f>scheduleapr[[#This Row],[SCHEDULE in nos]]/scheduleapr[[#This Row],[SCHEDULE IN MT]]*scheduleapr[[#This Row],[CTL Stock]]</f>
        <v/>
      </c>
      <c r="AN98" s="599">
        <f>SUMIFS(stock[MT],stock[Bucket],scheduleapr[[#This Row],[Bucket]],stock[CTL Bucket],scheduleapr[[#This Row],[CTL Bucket]],stock[Plant],"0789")</f>
        <v/>
      </c>
      <c r="AO98" s="599" t="n"/>
      <c r="AP98" s="599">
        <f>SUMIFS(stock[MT],stock[Bucket],scheduleapr[[#This Row],[Bucket]],stock[LL or CTL],"LL")</f>
        <v/>
      </c>
      <c r="AQ98" s="599">
        <f>+SUMIFS(wip[Stock(Net Wt)],wip[Bucket],scheduleapr[[#This Row],[Bucket]])/1000</f>
        <v/>
      </c>
      <c r="AR98" s="599">
        <f>AJ98-AN98</f>
        <v/>
      </c>
      <c r="AS98" s="118" t="n"/>
    </row>
    <row r="99">
      <c r="A99" s="594" t="n">
        <v>66</v>
      </c>
      <c r="B99" s="5" t="inlineStr">
        <is>
          <t>Hosur</t>
        </is>
      </c>
      <c r="C99" s="601" t="inlineStr">
        <is>
          <t>ELKAYEM AUTO</t>
        </is>
      </c>
      <c r="D99" s="601" t="inlineStr">
        <is>
          <t>ELKAYEM AUTO Hosur</t>
        </is>
      </c>
      <c r="E99" s="601" t="inlineStr">
        <is>
          <t>129663|948721</t>
        </is>
      </c>
      <c r="F99" s="601" t="n">
        <v>1551280</v>
      </c>
      <c r="G99" s="601">
        <f>_xlfn.CONCAT(scheduleapr[[#This Row],[CUSTOMER CODE]],"-",scheduleapr[[#This Row],[MATERIAL NO]])</f>
        <v/>
      </c>
      <c r="H99" s="601" t="inlineStr">
        <is>
          <t>TUB-O-N-AUT-AW-PE-34.93X2.000X0.2840</t>
        </is>
      </c>
      <c r="I99" s="601" t="n"/>
      <c r="J99" s="601" t="n"/>
      <c r="K99" s="601" t="n"/>
      <c r="L99" s="601" t="inlineStr">
        <is>
          <t>HR</t>
        </is>
      </c>
      <c r="M99" s="601" t="n"/>
      <c r="N99" s="601" t="n"/>
      <c r="O99" s="601" t="n"/>
      <c r="P99" s="601" t="n"/>
      <c r="Q99" s="557">
        <f>CONCATENATE(scheduleapr[[#This Row],[OD]],"-",scheduleapr[[#This Row],[ID]],"-",scheduleapr[[#This Row],[TICKNESS]],"-",scheduleapr[[#This Row],[Grade]],"-",scheduleapr[[#This Row],[FC/NFC]])</f>
        <v/>
      </c>
      <c r="R99" s="557">
        <f>_xlfn.CONCAT(scheduleapr[[#This Row],[Bucket]],"-",scheduleapr[[#This Row],[LENGTH]]/1000)</f>
        <v/>
      </c>
      <c r="S99" s="557">
        <f>COUNTIF([2]!buckets[CTL Bucket],[2]!scheduleapr[[#This Row],[CTL Bucket]])</f>
        <v/>
      </c>
      <c r="T99" s="557" t="n"/>
      <c r="U99" s="557" t="n"/>
      <c r="V99" s="557" t="n"/>
      <c r="W99" s="557" t="n"/>
      <c r="X99" s="6" t="n">
        <v>34.93</v>
      </c>
      <c r="Y99" s="6" t="n">
        <v>34.93</v>
      </c>
      <c r="Z99" s="599" t="n">
        <v>0</v>
      </c>
      <c r="AA99" s="599" t="n">
        <v>2</v>
      </c>
      <c r="AB99" s="600" t="n">
        <v>284</v>
      </c>
      <c r="AC99" s="600" t="n"/>
      <c r="AD99" s="600" t="n"/>
      <c r="AE99" s="600" t="n"/>
      <c r="AF99" s="600" t="n"/>
      <c r="AG99" s="600" t="n"/>
      <c r="AH99" s="601">
        <f t="array" ref="AH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99" s="602">
        <f>scheduleapr[[#This Row],[SCHEDULE in nos]]-scheduleapr[[#This Row],[DISPATCH]]</f>
        <v/>
      </c>
      <c r="AJ99" s="599">
        <f>(3.14*(scheduleapr[[#This Row],[ACTUAL OD]]-scheduleapr[[#This Row],[TICKNESS]])*scheduleapr[[#This Row],[TICKNESS]]*scheduleapr[[#This Row],[LENGTH]]*7.85)/1000000*scheduleapr[[#This Row],[SCHEDULE in nos]]/1000</f>
        <v/>
      </c>
      <c r="AK99" s="599">
        <f>(3.14*(scheduleapr[[#This Row],[ACTUAL OD]]-scheduleapr[[#This Row],[TICKNESS]])*scheduleapr[[#This Row],[TICKNESS]]*scheduleapr[[#This Row],[LENGTH]]*7.85)/1000000*scheduleapr[[#This Row],[DISPATCH]]/1000</f>
        <v/>
      </c>
      <c r="AL99" s="599">
        <f>AJ99-AK99</f>
        <v/>
      </c>
      <c r="AM99" s="599">
        <f>scheduleapr[[#This Row],[SCHEDULE in nos]]/scheduleapr[[#This Row],[SCHEDULE IN MT]]*scheduleapr[[#This Row],[CTL Stock]]</f>
        <v/>
      </c>
      <c r="AN99" s="599">
        <f>SUMIFS(stock[MT],stock[Bucket],scheduleapr[[#This Row],[Bucket]],stock[CTL Bucket],scheduleapr[[#This Row],[CTL Bucket]],stock[Plant],"0789")</f>
        <v/>
      </c>
      <c r="AO99" s="599" t="n"/>
      <c r="AP99" s="599">
        <f>SUMIFS(stock[MT],stock[Bucket],scheduleapr[[#This Row],[Bucket]],stock[LL or CTL],"LL")</f>
        <v/>
      </c>
      <c r="AQ99" s="599">
        <f>+SUMIFS(wip[Stock(Net Wt)],wip[Bucket],scheduleapr[[#This Row],[Bucket]])/1000</f>
        <v/>
      </c>
      <c r="AR99" s="599">
        <f>AJ99-AN99</f>
        <v/>
      </c>
      <c r="AS99" s="118" t="n"/>
    </row>
    <row r="100">
      <c r="A100" s="594" t="n">
        <v>67</v>
      </c>
      <c r="B100" s="5" t="inlineStr">
        <is>
          <t>Hosur</t>
        </is>
      </c>
      <c r="C100" s="601" t="inlineStr">
        <is>
          <t>ELKAYEM AUTO</t>
        </is>
      </c>
      <c r="D100" s="601" t="inlineStr">
        <is>
          <t>ELKAYEM AUTO Hosur</t>
        </is>
      </c>
      <c r="E100" s="601" t="inlineStr">
        <is>
          <t>129663|948721</t>
        </is>
      </c>
      <c r="F100" s="601" t="n">
        <v>1236370</v>
      </c>
      <c r="G100" s="601">
        <f>_xlfn.CONCAT(scheduleapr[[#This Row],[CUSTOMER CODE]],"-",scheduleapr[[#This Row],[MATERIAL NO]])</f>
        <v/>
      </c>
      <c r="H100" s="601" t="inlineStr">
        <is>
          <t>TUB-O-N-AUT-AW-FC-34.93X2.000X0.339</t>
        </is>
      </c>
      <c r="I100" s="601" t="n"/>
      <c r="J100" s="601" t="n"/>
      <c r="K100" s="601" t="n"/>
      <c r="L100" s="601" t="inlineStr">
        <is>
          <t>HR</t>
        </is>
      </c>
      <c r="M100" s="601" t="n"/>
      <c r="N100" s="601" t="n"/>
      <c r="O100" s="601" t="n"/>
      <c r="P100" s="601" t="n"/>
      <c r="Q100" s="557">
        <f>CONCATENATE(scheduleapr[[#This Row],[OD]],"-",scheduleapr[[#This Row],[ID]],"-",scheduleapr[[#This Row],[TICKNESS]],"-",scheduleapr[[#This Row],[Grade]],"-",scheduleapr[[#This Row],[FC/NFC]])</f>
        <v/>
      </c>
      <c r="R100" s="557">
        <f>_xlfn.CONCAT(scheduleapr[[#This Row],[Bucket]],"-",scheduleapr[[#This Row],[LENGTH]]/1000)</f>
        <v/>
      </c>
      <c r="S100" s="557">
        <f>COUNTIF([2]!buckets[CTL Bucket],[2]!scheduleapr[[#This Row],[CTL Bucket]])</f>
        <v/>
      </c>
      <c r="T100" s="557" t="n"/>
      <c r="U100" s="557" t="n"/>
      <c r="V100" s="557" t="n"/>
      <c r="W100" s="557" t="n"/>
      <c r="X100" s="6" t="n">
        <v>34.93</v>
      </c>
      <c r="Y100" s="6" t="n">
        <v>34.93</v>
      </c>
      <c r="Z100" s="599" t="n">
        <v>0</v>
      </c>
      <c r="AA100" s="599" t="n">
        <v>2</v>
      </c>
      <c r="AB100" s="600" t="n">
        <v>339</v>
      </c>
      <c r="AC100" s="600" t="n"/>
      <c r="AD100" s="600" t="n"/>
      <c r="AE100" s="600" t="n"/>
      <c r="AF100" s="600" t="n"/>
      <c r="AG100" s="600" t="n"/>
      <c r="AH100" s="601">
        <f t="array" ref="AH1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0" s="602">
        <f>scheduleapr[[#This Row],[SCHEDULE in nos]]-scheduleapr[[#This Row],[DISPATCH]]</f>
        <v/>
      </c>
      <c r="AJ100" s="599">
        <f>(3.14*(scheduleapr[[#This Row],[ACTUAL OD]]-scheduleapr[[#This Row],[TICKNESS]])*scheduleapr[[#This Row],[TICKNESS]]*scheduleapr[[#This Row],[LENGTH]]*7.85)/1000000*scheduleapr[[#This Row],[SCHEDULE in nos]]/1000</f>
        <v/>
      </c>
      <c r="AK100" s="599">
        <f>(3.14*(scheduleapr[[#This Row],[ACTUAL OD]]-scheduleapr[[#This Row],[TICKNESS]])*scheduleapr[[#This Row],[TICKNESS]]*scheduleapr[[#This Row],[LENGTH]]*7.85)/1000000*scheduleapr[[#This Row],[DISPATCH]]/1000</f>
        <v/>
      </c>
      <c r="AL100" s="599">
        <f>AJ100-AK100</f>
        <v/>
      </c>
      <c r="AM100" s="599">
        <f>scheduleapr[[#This Row],[SCHEDULE in nos]]/scheduleapr[[#This Row],[SCHEDULE IN MT]]*scheduleapr[[#This Row],[CTL Stock]]</f>
        <v/>
      </c>
      <c r="AN100" s="599">
        <f>SUMIFS(stock[MT],stock[Bucket],scheduleapr[[#This Row],[Bucket]],stock[CTL Bucket],scheduleapr[[#This Row],[CTL Bucket]],stock[Plant],"0789")</f>
        <v/>
      </c>
      <c r="AO100" s="599" t="n"/>
      <c r="AP100" s="599">
        <f>SUMIFS(stock[MT],stock[Bucket],scheduleapr[[#This Row],[Bucket]],stock[LL or CTL],"LL")</f>
        <v/>
      </c>
      <c r="AQ100" s="599">
        <f>+SUMIFS(wip[Stock(Net Wt)],wip[Bucket],scheduleapr[[#This Row],[Bucket]])/1000</f>
        <v/>
      </c>
      <c r="AR100" s="599">
        <f>AJ100-AN100</f>
        <v/>
      </c>
      <c r="AS100" s="118" t="n"/>
    </row>
    <row r="101">
      <c r="A101" s="556" t="n"/>
      <c r="B101" s="5" t="inlineStr">
        <is>
          <t>Hosur</t>
        </is>
      </c>
      <c r="C101" s="601" t="inlineStr">
        <is>
          <t xml:space="preserve">ELKAYEM AUTO MYSORE </t>
        </is>
      </c>
      <c r="D101" s="601" t="inlineStr">
        <is>
          <t>ELKAYEM AUTO Mysore</t>
        </is>
      </c>
      <c r="E101" s="601" t="n">
        <v>940921</v>
      </c>
      <c r="F101" s="557" t="n"/>
      <c r="G101" s="601">
        <f>_xlfn.CONCAT(scheduleapr[[#This Row],[CUSTOMER CODE]],"-",scheduleapr[[#This Row],[MATERIAL NO]])</f>
        <v/>
      </c>
      <c r="H101" s="557" t="n"/>
      <c r="I101" s="557" t="inlineStr">
        <is>
          <t>CEW</t>
        </is>
      </c>
      <c r="J101" s="559" t="n"/>
      <c r="K101" s="557" t="n"/>
      <c r="L101" s="557" t="n"/>
      <c r="M101" s="561" t="n"/>
      <c r="N101" s="557" t="n"/>
      <c r="O101" s="557" t="n"/>
      <c r="P101" s="557" t="n"/>
      <c r="Q101" s="557" t="n"/>
      <c r="R101" s="557" t="n"/>
      <c r="S101" s="557" t="n"/>
      <c r="T101" s="601" t="n"/>
      <c r="U101" s="601" t="n"/>
      <c r="V101" s="601" t="n"/>
      <c r="W101" s="601" t="n"/>
      <c r="X101" s="559" t="n">
        <v>16.1</v>
      </c>
      <c r="Y101" s="559" t="n">
        <v>16.1</v>
      </c>
      <c r="Z101" s="559" t="n">
        <v>0</v>
      </c>
      <c r="AA101" s="559" t="n">
        <v>2.8</v>
      </c>
      <c r="AB101" s="600" t="n">
        <v>1000</v>
      </c>
      <c r="AC101" s="81" t="inlineStr">
        <is>
          <t>m</t>
        </is>
      </c>
      <c r="AD101" s="600" t="n"/>
      <c r="AE101" s="600" t="n"/>
      <c r="AF101" s="557" t="n">
        <v>1000</v>
      </c>
      <c r="AG101" s="557" t="n"/>
      <c r="AH101" s="557">
        <f t="array" ref="AH1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1" s="560">
        <f>scheduleapr[[#This Row],[SCHEDULE in nos]]-scheduleapr[[#This Row],[DISPATCH]]</f>
        <v/>
      </c>
      <c r="AJ101" s="559">
        <f>(3.14*(scheduleapr[[#This Row],[ACTUAL OD]]-scheduleapr[[#This Row],[TICKNESS]])*scheduleapr[[#This Row],[TICKNESS]]*scheduleapr[[#This Row],[LENGTH]]*7.85)/1000000*scheduleapr[[#This Row],[SCHEDULE in nos]]/1000</f>
        <v/>
      </c>
      <c r="AK101" s="599">
        <f>(3.14*(scheduleapr[[#This Row],[ACTUAL OD]]-scheduleapr[[#This Row],[TICKNESS]])*scheduleapr[[#This Row],[TICKNESS]]*scheduleapr[[#This Row],[LENGTH]]*7.85)/1000000*scheduleapr[[#This Row],[DISPATCH]]/1000</f>
        <v/>
      </c>
      <c r="AL101" s="599">
        <f>AJ101-AK101</f>
        <v/>
      </c>
      <c r="AM101" s="559">
        <f>scheduleapr[[#This Row],[SCHEDULE in nos]]/scheduleapr[[#This Row],[SCHEDULE IN MT]]*scheduleapr[[#This Row],[CTL Stock]]</f>
        <v/>
      </c>
      <c r="AN101" s="599">
        <f>SUMIFS(stock[MT],stock[Bucket],scheduleapr[[#This Row],[Bucket]],stock[CTL Bucket],scheduleapr[[#This Row],[CTL Bucket]],stock[Plant],"0789")</f>
        <v/>
      </c>
      <c r="AO101" s="599" t="n"/>
      <c r="AP101" s="599">
        <f>SUMIFS(stock[MT],stock[Bucket],scheduleapr[[#This Row],[Bucket]],stock[LL or CTL],"LL")</f>
        <v/>
      </c>
      <c r="AQ101" s="599">
        <f>+SUMIFS(wip[Stock(Net Wt)],wip[Bucket],scheduleapr[[#This Row],[Bucket]])/1000</f>
        <v/>
      </c>
      <c r="AR101" s="599">
        <f>AJ101-AN101</f>
        <v/>
      </c>
      <c r="AS101" s="118" t="n"/>
    </row>
    <row r="102">
      <c r="A102" s="556" t="n"/>
      <c r="B102" s="5" t="inlineStr">
        <is>
          <t>Hosur</t>
        </is>
      </c>
      <c r="C102" s="601" t="inlineStr">
        <is>
          <t xml:space="preserve">ELKAYEM AUTO MYSORE </t>
        </is>
      </c>
      <c r="D102" s="601" t="inlineStr">
        <is>
          <t>ELKAYEM AUTO Mysore</t>
        </is>
      </c>
      <c r="E102" s="601" t="n">
        <v>940921</v>
      </c>
      <c r="F102" s="557" t="n"/>
      <c r="G102" s="601">
        <f>_xlfn.CONCAT(scheduleapr[[#This Row],[CUSTOMER CODE]],"-",scheduleapr[[#This Row],[MATERIAL NO]])</f>
        <v/>
      </c>
      <c r="H102" s="557" t="n"/>
      <c r="I102" s="601" t="inlineStr">
        <is>
          <t>CEW</t>
        </is>
      </c>
      <c r="J102" s="557" t="n"/>
      <c r="K102" s="601" t="inlineStr">
        <is>
          <t>CEW</t>
        </is>
      </c>
      <c r="L102" s="601" t="inlineStr">
        <is>
          <t>CEW</t>
        </is>
      </c>
      <c r="M102" s="558" t="n"/>
      <c r="N102" s="557" t="n"/>
      <c r="O102" s="557" t="n"/>
      <c r="P102" s="557" t="n"/>
      <c r="Q102" s="557">
        <f>CONCATENATE(scheduleapr[[#This Row],[OD]],"-",scheduleapr[[#This Row],[ID]],"-",scheduleapr[[#This Row],[TICKNESS]],"-",scheduleapr[[#This Row],[Grade]],"-",scheduleapr[[#This Row],[FC/NFC]])</f>
        <v/>
      </c>
      <c r="R102" s="557" t="inlineStr">
        <is>
          <t>28.6-0-2.65-CEW-CEW-1</t>
        </is>
      </c>
      <c r="S102" s="557" t="n"/>
      <c r="T102" s="601" t="n"/>
      <c r="U102" s="601" t="n"/>
      <c r="V102" s="601" t="n"/>
      <c r="W102" s="601" t="n"/>
      <c r="X102" s="559" t="n">
        <v>28.6</v>
      </c>
      <c r="Y102" s="559" t="n">
        <v>28.6</v>
      </c>
      <c r="Z102" s="559" t="n">
        <v>0</v>
      </c>
      <c r="AA102" s="599" t="n">
        <v>2.6</v>
      </c>
      <c r="AB102" s="600" t="n">
        <v>1000</v>
      </c>
      <c r="AC102" s="600" t="inlineStr">
        <is>
          <t>M</t>
        </is>
      </c>
      <c r="AD102" s="600" t="n"/>
      <c r="AE102" s="600" t="n"/>
      <c r="AF102" s="557" t="n"/>
      <c r="AG102" s="557" t="n"/>
      <c r="AH102" s="601">
        <f t="array" ref="AH1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2" s="602">
        <f>scheduleapr[[#This Row],[SCHEDULE in nos]]-scheduleapr[[#This Row],[DISPATCH]]</f>
        <v/>
      </c>
      <c r="AJ102" s="559">
        <f>(3.14*(scheduleapr[[#This Row],[ACTUAL OD]]-scheduleapr[[#This Row],[TICKNESS]])*scheduleapr[[#This Row],[TICKNESS]]*scheduleapr[[#This Row],[LENGTH]]*7.85)/1000000*scheduleapr[[#This Row],[SCHEDULE in nos]]/1000</f>
        <v/>
      </c>
      <c r="AK102" s="599">
        <f>(3.14*(scheduleapr[[#This Row],[ACTUAL OD]]-scheduleapr[[#This Row],[TICKNESS]])*scheduleapr[[#This Row],[TICKNESS]]*scheduleapr[[#This Row],[LENGTH]]*7.85)/1000000*scheduleapr[[#This Row],[DISPATCH]]/1000</f>
        <v/>
      </c>
      <c r="AL102" s="599">
        <f>AJ102-AK102</f>
        <v/>
      </c>
      <c r="AM102" s="559">
        <f>scheduleapr[[#This Row],[SCHEDULE in nos]]/scheduleapr[[#This Row],[SCHEDULE IN MT]]*scheduleapr[[#This Row],[CTL Stock]]</f>
        <v/>
      </c>
      <c r="AN102" s="599">
        <f>SUMIFS(stock[MT],stock[Bucket],scheduleapr[[#This Row],[Bucket]],stock[CTL Bucket],scheduleapr[[#This Row],[CTL Bucket]],stock[Plant],"0789")</f>
        <v/>
      </c>
      <c r="AO102" s="599" t="n"/>
      <c r="AP102" s="599">
        <f>SUMIFS(stock[MT],stock[Bucket],scheduleapr[[#This Row],[Bucket]],stock[LL or CTL],"LL")</f>
        <v/>
      </c>
      <c r="AQ102" s="599">
        <f>+SUMIFS(wip[Stock(Net Wt)],wip[Bucket],scheduleapr[[#This Row],[Bucket]])/1000</f>
        <v/>
      </c>
      <c r="AR102" s="599">
        <f>AJ102-AN102</f>
        <v/>
      </c>
      <c r="AS102" s="118" t="n"/>
    </row>
    <row r="103">
      <c r="A103" s="594" t="n">
        <v>92</v>
      </c>
      <c r="B103" s="5" t="inlineStr">
        <is>
          <t>Hosur</t>
        </is>
      </c>
      <c r="C103" s="601" t="inlineStr">
        <is>
          <t xml:space="preserve">ELKAYEM AUTO MYSORE </t>
        </is>
      </c>
      <c r="D103" s="601" t="inlineStr">
        <is>
          <t>ELKAYEM AUTO Mysore</t>
        </is>
      </c>
      <c r="E103" s="601" t="n">
        <v>940921</v>
      </c>
      <c r="F103" s="601" t="n">
        <v>403039</v>
      </c>
      <c r="G103" s="601">
        <f>_xlfn.CONCAT(scheduleapr[[#This Row],[CUSTOMER CODE]],"-",scheduleapr[[#This Row],[MATERIAL NO]])</f>
        <v/>
      </c>
      <c r="H103" s="601" t="inlineStr">
        <is>
          <t>PT3-I-C-AUT-AD-CH-31.20X3.200X0.295</t>
        </is>
      </c>
      <c r="I103" s="601" t="inlineStr">
        <is>
          <t>CEW</t>
        </is>
      </c>
      <c r="J103" s="601" t="n"/>
      <c r="K103" s="601" t="inlineStr">
        <is>
          <t>CEW</t>
        </is>
      </c>
      <c r="L103" s="601" t="inlineStr">
        <is>
          <t>HR</t>
        </is>
      </c>
      <c r="M103" s="601" t="n"/>
      <c r="N103" s="601" t="inlineStr">
        <is>
          <t>Chamferring</t>
        </is>
      </c>
      <c r="O103" s="601" t="n"/>
      <c r="P103" s="601" t="n"/>
      <c r="Q103" s="557">
        <f>CONCATENATE(scheduleapr[[#This Row],[OD]],"-",scheduleapr[[#This Row],[ID]],"-",scheduleapr[[#This Row],[TICKNESS]],"-",scheduleapr[[#This Row],[Grade]],"-",scheduleapr[[#This Row],[FC/NFC]])</f>
        <v/>
      </c>
      <c r="R103" s="557">
        <f>_xlfn.CONCAT(scheduleapr[[#This Row],[Bucket]],"-",scheduleapr[[#This Row],[LENGTH]]/1000)</f>
        <v/>
      </c>
      <c r="S103" s="557">
        <f>COUNTIF(scheduleapr[CTL Bucket],scheduleapr[[#This Row],[CTL Bucket]])</f>
        <v/>
      </c>
      <c r="T103" s="601" t="inlineStr">
        <is>
          <t>Khopoli</t>
        </is>
      </c>
      <c r="U103" s="601">
        <f>_xlfn.IFNA(VLOOKUP(scheduleapr[[#This Row],[Bucket]],salesforecast[[#All],[Bucket2]:[8406 Stock]],19,0),0)</f>
        <v/>
      </c>
      <c r="V103" s="562">
        <f>_xlfn.IFNA(VLOOKUP(scheduleapr[[#This Row],[Bucket]],salesforecast[[#All],[Bucket2]:[8406 Stock]],20,0),0)+_xlfn.IFNA(VLOOKUP(scheduleapr[[#This Row],[Bucket]],salesforecast[[#All],[Bucket2]:[8406 Stock]],17,0),0)</f>
        <v/>
      </c>
      <c r="W103" s="557" t="n"/>
      <c r="X103" s="599" t="n">
        <v>37.6</v>
      </c>
      <c r="Y103" s="599" t="n">
        <v>37.6</v>
      </c>
      <c r="Z103" s="599" t="n">
        <v>31.2</v>
      </c>
      <c r="AA103" s="599" t="n">
        <v>3.2</v>
      </c>
      <c r="AB103" s="600" t="n">
        <v>295</v>
      </c>
      <c r="AC103" s="600" t="inlineStr">
        <is>
          <t>NOS</t>
        </is>
      </c>
      <c r="AD103" s="600" t="n"/>
      <c r="AE103" s="600" t="n"/>
      <c r="AF103" s="601" t="n"/>
      <c r="AG103" s="601" t="n"/>
      <c r="AH103" s="601">
        <f t="array" ref="AH1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3" s="602">
        <f>scheduleapr[[#This Row],[SCHEDULE in nos]]-scheduleapr[[#This Row],[DISPATCH]]</f>
        <v/>
      </c>
      <c r="AJ103" s="599">
        <f>(3.14*(scheduleapr[[#This Row],[ACTUAL OD]]-scheduleapr[[#This Row],[TICKNESS]])*scheduleapr[[#This Row],[TICKNESS]]*scheduleapr[[#This Row],[LENGTH]]*7.85)/1000000*scheduleapr[[#This Row],[SCHEDULE in nos]]/1000</f>
        <v/>
      </c>
      <c r="AK103" s="599">
        <f>(3.14*(scheduleapr[[#This Row],[ACTUAL OD]]-scheduleapr[[#This Row],[TICKNESS]])*scheduleapr[[#This Row],[TICKNESS]]*scheduleapr[[#This Row],[LENGTH]]*7.85)/1000000*scheduleapr[[#This Row],[DISPATCH]]/1000</f>
        <v/>
      </c>
      <c r="AL103" s="599">
        <f>AJ103-AK103</f>
        <v/>
      </c>
      <c r="AM103" s="599">
        <f>scheduleapr[[#This Row],[SCHEDULE in nos]]/scheduleapr[[#This Row],[SCHEDULE IN MT]]*scheduleapr[[#This Row],[CTL Stock]]</f>
        <v/>
      </c>
      <c r="AN103" s="599">
        <f>SUMIFS(stock[MT],stock[Bucket],scheduleapr[[#This Row],[Bucket]],stock[CTL Bucket],scheduleapr[[#This Row],[CTL Bucket]],stock[Plant],"0789")</f>
        <v/>
      </c>
      <c r="AO103" s="599" t="n"/>
      <c r="AP103" s="599">
        <f>SUMIFS(stock[MT],stock[Bucket],scheduleapr[[#This Row],[Bucket]],stock[LL or CTL],"LL")</f>
        <v/>
      </c>
      <c r="AQ103" s="599">
        <f>+SUMIFS(wip[Stock(Net Wt)],wip[Bucket],scheduleapr[[#This Row],[Bucket]])/1000</f>
        <v/>
      </c>
      <c r="AR103" s="599">
        <f>AJ103-AN103</f>
        <v/>
      </c>
      <c r="AS103" s="118" t="n"/>
    </row>
    <row r="104">
      <c r="A104" s="556" t="n"/>
      <c r="B104" s="5" t="inlineStr">
        <is>
          <t>Hosur</t>
        </is>
      </c>
      <c r="C104" s="601" t="inlineStr">
        <is>
          <t xml:space="preserve">ELKAYEM AUTO MYSORE </t>
        </is>
      </c>
      <c r="D104" s="601" t="inlineStr">
        <is>
          <t>ELKAYEM AUTO Mysore</t>
        </is>
      </c>
      <c r="E104" s="601" t="n">
        <v>940921</v>
      </c>
      <c r="F104" s="477" t="n">
        <v>1900224</v>
      </c>
      <c r="G104" s="601">
        <f>_xlfn.CONCAT(scheduleapr[[#This Row],[CUSTOMER CODE]],"-",scheduleapr[[#This Row],[MATERIAL NO]])</f>
        <v/>
      </c>
      <c r="H104" s="477" t="inlineStr">
        <is>
          <t>TUB-O-N-AUT-AP-PE-15.88X1.600X6.0000</t>
        </is>
      </c>
      <c r="I104" s="601" t="inlineStr">
        <is>
          <t>ERW 1</t>
        </is>
      </c>
      <c r="J104" s="557" t="n"/>
      <c r="K104" s="601" t="inlineStr">
        <is>
          <t>PE</t>
        </is>
      </c>
      <c r="L104" s="601" t="inlineStr">
        <is>
          <t>CR</t>
        </is>
      </c>
      <c r="M104" s="558" t="n"/>
      <c r="N104" s="557" t="n"/>
      <c r="O104" s="557" t="n"/>
      <c r="P104" s="557" t="n"/>
      <c r="Q104" s="557">
        <f>CONCATENATE(scheduleapr[[#This Row],[OD]],"-",scheduleapr[[#This Row],[ID]],"-",scheduleapr[[#This Row],[TICKNESS]],"-",scheduleapr[[#This Row],[Grade]],"-",scheduleapr[[#This Row],[FC/NFC]])</f>
        <v/>
      </c>
      <c r="R104" s="557">
        <f>_xlfn.CONCAT(scheduleapr[[#This Row],[Bucket]],"-",scheduleapr[[#This Row],[LENGTH]]/1000)</f>
        <v/>
      </c>
      <c r="S104" s="557">
        <f>COUNTIF(scheduleapr[CTL Bucket],scheduleapr[[#This Row],[CTL Bucket]])</f>
        <v/>
      </c>
      <c r="T104" s="601" t="inlineStr">
        <is>
          <t>Hosur</t>
        </is>
      </c>
      <c r="U104" s="601" t="n"/>
      <c r="V104" s="601" t="n"/>
      <c r="W104" s="601" t="n"/>
      <c r="X104" s="559" t="n">
        <v>15.88</v>
      </c>
      <c r="Y104" s="559" t="n">
        <v>15.88</v>
      </c>
      <c r="Z104" s="599" t="n">
        <v>0</v>
      </c>
      <c r="AA104" s="599" t="n">
        <v>1.6</v>
      </c>
      <c r="AB104" s="600" t="n">
        <v>1000</v>
      </c>
      <c r="AC104" s="600" t="inlineStr">
        <is>
          <t>M</t>
        </is>
      </c>
      <c r="AD104" s="600" t="n"/>
      <c r="AE104" s="600" t="n"/>
      <c r="AF104" s="600" t="n">
        <v>5800</v>
      </c>
      <c r="AG104" s="600" t="n"/>
      <c r="AH104" s="601">
        <f t="array" ref="AH1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4" s="602">
        <f>scheduleapr[[#This Row],[SCHEDULE in nos]]-scheduleapr[[#This Row],[DISPATCH]]</f>
        <v/>
      </c>
      <c r="AJ104" s="559">
        <f>(3.14*(scheduleapr[[#This Row],[ACTUAL OD]]-scheduleapr[[#This Row],[TICKNESS]])*scheduleapr[[#This Row],[TICKNESS]]*scheduleapr[[#This Row],[LENGTH]]*7.85)/1000000*scheduleapr[[#This Row],[SCHEDULE in nos]]/1000</f>
        <v/>
      </c>
      <c r="AK104" s="599">
        <f>(3.14*(scheduleapr[[#This Row],[ACTUAL OD]]-scheduleapr[[#This Row],[TICKNESS]])*scheduleapr[[#This Row],[TICKNESS]]*scheduleapr[[#This Row],[LENGTH]]*7.85)/1000000*scheduleapr[[#This Row],[DISPATCH]]/1000</f>
        <v/>
      </c>
      <c r="AL104" s="599">
        <f>AJ104-AK104</f>
        <v/>
      </c>
      <c r="AM104" s="559">
        <f>scheduleapr[[#This Row],[SCHEDULE in nos]]/scheduleapr[[#This Row],[SCHEDULE IN MT]]*scheduleapr[[#This Row],[CTL Stock]]</f>
        <v/>
      </c>
      <c r="AN104" s="599">
        <f>SUMIFS(stock[MT],stock[Bucket],scheduleapr[[#This Row],[Bucket]],stock[CTL Bucket],scheduleapr[[#This Row],[CTL Bucket]],stock[Plant],"0789")</f>
        <v/>
      </c>
      <c r="AO104" s="599" t="n"/>
      <c r="AP104" s="599">
        <f>SUMIFS(stock[MT],stock[Bucket],scheduleapr[[#This Row],[Bucket]],stock[LL or CTL],"LL")</f>
        <v/>
      </c>
      <c r="AQ104" s="599">
        <f>+SUMIFS(wip[Stock(Net Wt)],wip[Bucket],scheduleapr[[#This Row],[Bucket]])/1000</f>
        <v/>
      </c>
      <c r="AR104" s="599">
        <f>AJ104-AN104</f>
        <v/>
      </c>
      <c r="AS104" s="118" t="n"/>
    </row>
    <row r="105">
      <c r="A105" s="556" t="n"/>
      <c r="B105" s="5" t="inlineStr">
        <is>
          <t>Hosur</t>
        </is>
      </c>
      <c r="C105" s="601" t="inlineStr">
        <is>
          <t xml:space="preserve">ELKAYEM AUTO MYSORE </t>
        </is>
      </c>
      <c r="D105" s="601" t="inlineStr">
        <is>
          <t>ELKAYEM AUTO Mysore</t>
        </is>
      </c>
      <c r="E105" s="601" t="n">
        <v>940921</v>
      </c>
      <c r="F105" s="557" t="n"/>
      <c r="G105" s="601">
        <f>_xlfn.CONCAT(scheduleapr[[#This Row],[CUSTOMER CODE]],"-",scheduleapr[[#This Row],[MATERIAL NO]])</f>
        <v/>
      </c>
      <c r="H105" s="557" t="n"/>
      <c r="I105" s="601" t="inlineStr">
        <is>
          <t>ERW 1</t>
        </is>
      </c>
      <c r="J105" s="557" t="n"/>
      <c r="K105" s="557" t="inlineStr">
        <is>
          <t>PE</t>
        </is>
      </c>
      <c r="L105" s="557" t="inlineStr">
        <is>
          <t>CR</t>
        </is>
      </c>
      <c r="M105" s="558" t="inlineStr">
        <is>
          <t>WG</t>
        </is>
      </c>
      <c r="N105" s="557" t="n"/>
      <c r="O105" s="557" t="n"/>
      <c r="P105" s="557" t="n"/>
      <c r="Q105" s="557">
        <f>CONCATENATE(scheduleapr[[#This Row],[OD]],"-",scheduleapr[[#This Row],[ID]],"-",scheduleapr[[#This Row],[TICKNESS]],"-",scheduleapr[[#This Row],[Grade]],"-",scheduleapr[[#This Row],[FC/NFC]])</f>
        <v/>
      </c>
      <c r="R105" s="557">
        <f>_xlfn.CONCAT(scheduleapr[[#This Row],[Bucket]],"-",scheduleapr[[#This Row],[LENGTH]]/1000)</f>
        <v/>
      </c>
      <c r="S105" s="557">
        <f>COUNTIF(scheduleapr[CTL Bucket],scheduleapr[[#This Row],[CTL Bucket]])</f>
        <v/>
      </c>
      <c r="T105" s="601" t="inlineStr">
        <is>
          <t>Hosur</t>
        </is>
      </c>
      <c r="U105" s="601" t="n"/>
      <c r="V105" s="601" t="n"/>
      <c r="W105" s="601" t="n"/>
      <c r="X105" s="559" t="n">
        <v>15.88</v>
      </c>
      <c r="Y105" s="559" t="n">
        <v>15.88</v>
      </c>
      <c r="Z105" s="559" t="n">
        <v>0</v>
      </c>
      <c r="AA105" s="599" t="n">
        <v>1.6</v>
      </c>
      <c r="AB105" s="600" t="n">
        <v>1000</v>
      </c>
      <c r="AC105" s="600" t="inlineStr">
        <is>
          <t>M</t>
        </is>
      </c>
      <c r="AD105" s="600" t="n"/>
      <c r="AE105" s="600" t="n"/>
      <c r="AF105" s="557" t="n"/>
      <c r="AG105" s="557" t="n"/>
      <c r="AH105" s="601">
        <f t="array" ref="AH1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5" s="602">
        <f>scheduleapr[[#This Row],[SCHEDULE in nos]]-scheduleapr[[#This Row],[DISPATCH]]</f>
        <v/>
      </c>
      <c r="AJ105" s="559">
        <f>(3.14*(scheduleapr[[#This Row],[ACTUAL OD]]-scheduleapr[[#This Row],[TICKNESS]])*scheduleapr[[#This Row],[TICKNESS]]*scheduleapr[[#This Row],[LENGTH]]*7.85)/1000000*scheduleapr[[#This Row],[SCHEDULE in nos]]/1000</f>
        <v/>
      </c>
      <c r="AK105" s="599">
        <f>(3.14*(scheduleapr[[#This Row],[ACTUAL OD]]-scheduleapr[[#This Row],[TICKNESS]])*scheduleapr[[#This Row],[TICKNESS]]*scheduleapr[[#This Row],[LENGTH]]*7.85)/1000000*scheduleapr[[#This Row],[DISPATCH]]/1000</f>
        <v/>
      </c>
      <c r="AL105" s="599">
        <f>AJ105-AK105</f>
        <v/>
      </c>
      <c r="AM105" s="559">
        <f>scheduleapr[[#This Row],[SCHEDULE in nos]]/scheduleapr[[#This Row],[SCHEDULE IN MT]]*scheduleapr[[#This Row],[CTL Stock]]</f>
        <v/>
      </c>
      <c r="AN105" s="599">
        <f>SUMIFS(stock[MT],stock[Bucket],scheduleapr[[#This Row],[Bucket]],stock[CTL Bucket],scheduleapr[[#This Row],[CTL Bucket]],stock[Plant],"0789")</f>
        <v/>
      </c>
      <c r="AO105" s="599" t="n"/>
      <c r="AP105" s="599">
        <f>SUMIFS(stock[MT],stock[Bucket],scheduleapr[[#This Row],[Bucket]],stock[LL or CTL],"LL")</f>
        <v/>
      </c>
      <c r="AQ105" s="599">
        <f>+SUMIFS(wip[Stock(Net Wt)],wip[Bucket],scheduleapr[[#This Row],[Bucket]])/1000</f>
        <v/>
      </c>
      <c r="AR105" s="599">
        <f>AJ105-AN105</f>
        <v/>
      </c>
      <c r="AS105" s="118" t="n"/>
    </row>
    <row r="106">
      <c r="A106" s="594" t="n">
        <v>87</v>
      </c>
      <c r="B106" s="5" t="inlineStr">
        <is>
          <t>Hosur</t>
        </is>
      </c>
      <c r="C106" s="601" t="inlineStr">
        <is>
          <t xml:space="preserve">ELKAYEM AUTO MYSORE </t>
        </is>
      </c>
      <c r="D106" s="601" t="inlineStr">
        <is>
          <t>ELKAYEM AUTO Mysore</t>
        </is>
      </c>
      <c r="E106" s="601" t="n">
        <v>940921</v>
      </c>
      <c r="F106" s="601" t="n">
        <v>468311</v>
      </c>
      <c r="G106" s="601">
        <f>_xlfn.CONCAT(scheduleapr[[#This Row],[CUSTOMER CODE]],"-",scheduleapr[[#This Row],[MATERIAL NO]])</f>
        <v/>
      </c>
      <c r="H106" s="601" t="inlineStr">
        <is>
          <t>TUB-O-N-AUT-AW-PE-15.88X2.000X0.291</t>
        </is>
      </c>
      <c r="I106" s="601" t="inlineStr">
        <is>
          <t>ERW 1</t>
        </is>
      </c>
      <c r="J106" s="601" t="n"/>
      <c r="K106" s="601" t="inlineStr">
        <is>
          <t>PE</t>
        </is>
      </c>
      <c r="L106" s="601" t="inlineStr">
        <is>
          <t>HR</t>
        </is>
      </c>
      <c r="M106" s="601" t="n"/>
      <c r="N106" s="601" t="n"/>
      <c r="O106" s="601" t="n"/>
      <c r="P106" s="601" t="n"/>
      <c r="Q106" s="557">
        <f>CONCATENATE(scheduleapr[[#This Row],[OD]],"-",scheduleapr[[#This Row],[ID]],"-",scheduleapr[[#This Row],[TICKNESS]],"-",scheduleapr[[#This Row],[Grade]],"-",scheduleapr[[#This Row],[FC/NFC]])</f>
        <v/>
      </c>
      <c r="R106" s="557">
        <f>_xlfn.CONCAT(scheduleapr[[#This Row],[Bucket]],"-",scheduleapr[[#This Row],[LENGTH]]/1000)</f>
        <v/>
      </c>
      <c r="S106" s="557">
        <f>COUNTIF(scheduleapr[CTL Bucket],scheduleapr[[#This Row],[CTL Bucket]])</f>
        <v/>
      </c>
      <c r="T106" s="601" t="inlineStr">
        <is>
          <t>Hosur</t>
        </is>
      </c>
      <c r="U106" s="601">
        <f>_xlfn.IFNA(VLOOKUP(scheduleapr[[#This Row],[Bucket]],salesforecast[[#All],[Bucket2]:[8406 Stock]],19,0),0)</f>
        <v/>
      </c>
      <c r="V106" s="562">
        <f>_xlfn.IFNA(VLOOKUP(scheduleapr[[#This Row],[Bucket]],salesforecast[[#All],[Bucket2]:[8406 Stock]],20,0),0)+_xlfn.IFNA(VLOOKUP(scheduleapr[[#This Row],[Bucket]],salesforecast[[#All],[Bucket2]:[8406 Stock]],17,0),0)</f>
        <v/>
      </c>
      <c r="W106" s="557" t="n"/>
      <c r="X106" s="599" t="n">
        <v>15.88</v>
      </c>
      <c r="Y106" s="599" t="n">
        <v>15.88</v>
      </c>
      <c r="Z106" s="599" t="n">
        <v>0</v>
      </c>
      <c r="AA106" s="599" t="n">
        <v>2</v>
      </c>
      <c r="AB106" s="600" t="n">
        <v>291</v>
      </c>
      <c r="AC106" s="600" t="inlineStr">
        <is>
          <t>NOS</t>
        </is>
      </c>
      <c r="AD106" s="600" t="n"/>
      <c r="AE106" s="600" t="n"/>
      <c r="AF106" s="600" t="n">
        <v>10800</v>
      </c>
      <c r="AG106" s="600" t="n"/>
      <c r="AH106" s="601">
        <f t="array" ref="AH1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6" s="602">
        <f>scheduleapr[[#This Row],[SCHEDULE in nos]]-scheduleapr[[#This Row],[DISPATCH]]</f>
        <v/>
      </c>
      <c r="AJ106" s="599">
        <f>(3.14*(scheduleapr[[#This Row],[ACTUAL OD]]-scheduleapr[[#This Row],[TICKNESS]])*scheduleapr[[#This Row],[TICKNESS]]*scheduleapr[[#This Row],[LENGTH]]*7.85)/1000000*scheduleapr[[#This Row],[SCHEDULE in nos]]/1000</f>
        <v/>
      </c>
      <c r="AK106" s="599">
        <f>(3.14*(scheduleapr[[#This Row],[ACTUAL OD]]-scheduleapr[[#This Row],[TICKNESS]])*scheduleapr[[#This Row],[TICKNESS]]*scheduleapr[[#This Row],[LENGTH]]*7.85)/1000000*scheduleapr[[#This Row],[DISPATCH]]/1000</f>
        <v/>
      </c>
      <c r="AL106" s="599">
        <f>AJ106-AK106</f>
        <v/>
      </c>
      <c r="AM106" s="599">
        <f>scheduleapr[[#This Row],[SCHEDULE in nos]]/scheduleapr[[#This Row],[SCHEDULE IN MT]]*scheduleapr[[#This Row],[CTL Stock]]</f>
        <v/>
      </c>
      <c r="AN106" s="599">
        <f>SUMIFS(stock[MT],stock[Bucket],scheduleapr[[#This Row],[Bucket]],stock[CTL Bucket],scheduleapr[[#This Row],[CTL Bucket]],stock[Plant],"0789")</f>
        <v/>
      </c>
      <c r="AO106" s="599" t="n"/>
      <c r="AP106" s="599">
        <f>SUMIFS(stock[MT],stock[Bucket],scheduleapr[[#This Row],[Bucket]],stock[LL or CTL],"LL")</f>
        <v/>
      </c>
      <c r="AQ106" s="599">
        <f>+SUMIFS(wip[Stock(Net Wt)],wip[Bucket],scheduleapr[[#This Row],[Bucket]])/1000</f>
        <v/>
      </c>
      <c r="AR106" s="599">
        <f>AJ106-AN106</f>
        <v/>
      </c>
      <c r="AS106" s="118" t="n"/>
    </row>
    <row r="107">
      <c r="A107" s="594" t="n">
        <v>88</v>
      </c>
      <c r="B107" s="5" t="inlineStr">
        <is>
          <t>Hosur</t>
        </is>
      </c>
      <c r="C107" s="601" t="inlineStr">
        <is>
          <t xml:space="preserve">ELKAYEM AUTO MYSORE </t>
        </is>
      </c>
      <c r="D107" s="601" t="inlineStr">
        <is>
          <t>ELKAYEM AUTO Mysore</t>
        </is>
      </c>
      <c r="E107" s="601" t="n">
        <v>940921</v>
      </c>
      <c r="F107" s="601" t="n"/>
      <c r="G107" s="601">
        <f>_xlfn.CONCAT(scheduleapr[[#This Row],[CUSTOMER CODE]],"-",scheduleapr[[#This Row],[MATERIAL NO]])</f>
        <v/>
      </c>
      <c r="H107" s="601" t="n"/>
      <c r="I107" s="601" t="inlineStr">
        <is>
          <t>ERW 1</t>
        </is>
      </c>
      <c r="J107" s="601" t="n"/>
      <c r="K107" s="601" t="inlineStr">
        <is>
          <t>FC</t>
        </is>
      </c>
      <c r="L107" s="601" t="inlineStr">
        <is>
          <t>HR</t>
        </is>
      </c>
      <c r="M107" s="601" t="n"/>
      <c r="N107" s="601" t="inlineStr">
        <is>
          <t>Chamferring</t>
        </is>
      </c>
      <c r="O107" s="601" t="n"/>
      <c r="P107" s="601" t="n"/>
      <c r="Q107" s="557">
        <f>CONCATENATE(scheduleapr[[#This Row],[OD]],"-",scheduleapr[[#This Row],[ID]],"-",scheduleapr[[#This Row],[TICKNESS]],"-",scheduleapr[[#This Row],[Grade]],"-",scheduleapr[[#This Row],[FC/NFC]])</f>
        <v/>
      </c>
      <c r="R107" s="557">
        <f>_xlfn.CONCAT(scheduleapr[[#This Row],[Bucket]],"-",scheduleapr[[#This Row],[LENGTH]]/1000)</f>
        <v/>
      </c>
      <c r="S107" s="557">
        <f>COUNTIF([2]!buckets[CTL Bucket],[2]!scheduleapr[[#This Row],[CTL Bucket]])</f>
        <v/>
      </c>
      <c r="T107" s="557" t="n"/>
      <c r="U107" s="557" t="n"/>
      <c r="V107" s="557" t="n"/>
      <c r="W107" s="557" t="n"/>
      <c r="X107" s="599" t="n">
        <v>22.23</v>
      </c>
      <c r="Y107" s="599" t="n">
        <v>22.23</v>
      </c>
      <c r="Z107" s="599" t="n">
        <v>0</v>
      </c>
      <c r="AA107" s="599" t="n">
        <v>2</v>
      </c>
      <c r="AB107" s="600" t="n">
        <v>706</v>
      </c>
      <c r="AC107" s="600" t="inlineStr">
        <is>
          <t>NOS</t>
        </is>
      </c>
      <c r="AD107" s="600" t="n"/>
      <c r="AE107" s="600" t="n"/>
      <c r="AF107" s="600" t="n"/>
      <c r="AG107" s="600" t="n"/>
      <c r="AH107" s="601">
        <f t="array" ref="AH1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7" s="602">
        <f>scheduleapr[[#This Row],[SCHEDULE in nos]]-scheduleapr[[#This Row],[DISPATCH]]</f>
        <v/>
      </c>
      <c r="AJ107" s="599">
        <f>(3.14*(scheduleapr[[#This Row],[ACTUAL OD]]-scheduleapr[[#This Row],[TICKNESS]])*scheduleapr[[#This Row],[TICKNESS]]*scheduleapr[[#This Row],[LENGTH]]*7.85)/1000000*scheduleapr[[#This Row],[SCHEDULE in nos]]/1000</f>
        <v/>
      </c>
      <c r="AK107" s="599">
        <f>(3.14*(scheduleapr[[#This Row],[ACTUAL OD]]-scheduleapr[[#This Row],[TICKNESS]])*scheduleapr[[#This Row],[TICKNESS]]*scheduleapr[[#This Row],[LENGTH]]*7.85)/1000000*scheduleapr[[#This Row],[DISPATCH]]/1000</f>
        <v/>
      </c>
      <c r="AL107" s="599">
        <f>AJ107-AK107</f>
        <v/>
      </c>
      <c r="AM107" s="599">
        <f>scheduleapr[[#This Row],[SCHEDULE in nos]]/scheduleapr[[#This Row],[SCHEDULE IN MT]]*scheduleapr[[#This Row],[CTL Stock]]</f>
        <v/>
      </c>
      <c r="AN107" s="599">
        <f>SUMIFS(stock[MT],stock[Bucket],scheduleapr[[#This Row],[Bucket]],stock[CTL Bucket],scheduleapr[[#This Row],[CTL Bucket]],stock[Plant],"0789")</f>
        <v/>
      </c>
      <c r="AO107" s="599" t="n"/>
      <c r="AP107" s="599">
        <f>SUMIFS(stock[MT],stock[Bucket],scheduleapr[[#This Row],[Bucket]],stock[LL or CTL],"LL")</f>
        <v/>
      </c>
      <c r="AQ107" s="599">
        <f>+SUMIFS(wip[Stock(Net Wt)],wip[Bucket],scheduleapr[[#This Row],[Bucket]])/1000</f>
        <v/>
      </c>
      <c r="AR107" s="599">
        <f>AJ107-AN107</f>
        <v/>
      </c>
      <c r="AS107" s="118" t="n"/>
    </row>
    <row r="108">
      <c r="A108" s="594" t="n">
        <v>89</v>
      </c>
      <c r="B108" s="5" t="inlineStr">
        <is>
          <t>Hosur</t>
        </is>
      </c>
      <c r="C108" s="601" t="inlineStr">
        <is>
          <t xml:space="preserve">ELKAYEM AUTO MYSORE </t>
        </is>
      </c>
      <c r="D108" s="601" t="inlineStr">
        <is>
          <t>ELKAYEM AUTO Mysore</t>
        </is>
      </c>
      <c r="E108" s="601" t="n">
        <v>940921</v>
      </c>
      <c r="F108" s="601" t="n">
        <v>288719</v>
      </c>
      <c r="G108" s="601">
        <f>_xlfn.CONCAT(scheduleapr[[#This Row],[CUSTOMER CODE]],"-",scheduleapr[[#This Row],[MATERIAL NO]])</f>
        <v/>
      </c>
      <c r="H108" s="601" t="inlineStr">
        <is>
          <t>PT2-O-N-AUT-AW-PE-22.20X2.000X0.715</t>
        </is>
      </c>
      <c r="I108" s="601" t="inlineStr">
        <is>
          <t>ERW 1</t>
        </is>
      </c>
      <c r="J108" s="601" t="n"/>
      <c r="K108" s="601" t="inlineStr">
        <is>
          <t>FC</t>
        </is>
      </c>
      <c r="L108" s="601" t="inlineStr">
        <is>
          <t>HR</t>
        </is>
      </c>
      <c r="M108" s="601" t="n"/>
      <c r="N108" s="601" t="n"/>
      <c r="O108" s="601" t="n"/>
      <c r="P108" s="601" t="n"/>
      <c r="Q108" s="557">
        <f>CONCATENATE(scheduleapr[[#This Row],[OD]],"-",scheduleapr[[#This Row],[ID]],"-",scheduleapr[[#This Row],[TICKNESS]],"-",scheduleapr[[#This Row],[Grade]],"-",scheduleapr[[#This Row],[FC/NFC]])</f>
        <v/>
      </c>
      <c r="R108" s="557">
        <f>_xlfn.CONCAT(scheduleapr[[#This Row],[Bucket]],"-",scheduleapr[[#This Row],[LENGTH]]/1000)</f>
        <v/>
      </c>
      <c r="S108" s="557">
        <f>COUNTIF(scheduleapr[CTL Bucket],scheduleapr[[#This Row],[CTL Bucket]])</f>
        <v/>
      </c>
      <c r="T108" s="601" t="inlineStr">
        <is>
          <t>Hosur</t>
        </is>
      </c>
      <c r="U108" s="601">
        <f>_xlfn.IFNA(VLOOKUP(scheduleapr[[#This Row],[Bucket]],salesforecast[[#All],[Bucket2]:[8406 Stock]],19,0),0)</f>
        <v/>
      </c>
      <c r="V108" s="562">
        <f>_xlfn.IFNA(VLOOKUP(scheduleapr[[#This Row],[Bucket]],salesforecast[[#All],[Bucket2]:[8406 Stock]],20,0),0)+_xlfn.IFNA(VLOOKUP(scheduleapr[[#This Row],[Bucket]],salesforecast[[#All],[Bucket2]:[8406 Stock]],17,0),0)</f>
        <v/>
      </c>
      <c r="W108" s="557" t="n"/>
      <c r="X108" s="599" t="n">
        <v>22.23</v>
      </c>
      <c r="Y108" s="599" t="n">
        <v>22.23</v>
      </c>
      <c r="Z108" s="599" t="n">
        <v>0</v>
      </c>
      <c r="AA108" s="599" t="n">
        <v>2</v>
      </c>
      <c r="AB108" s="600" t="n">
        <v>715</v>
      </c>
      <c r="AC108" s="600" t="inlineStr">
        <is>
          <t>NOS</t>
        </is>
      </c>
      <c r="AD108" s="600" t="n"/>
      <c r="AE108" s="600" t="n"/>
      <c r="AF108" s="601" t="n">
        <v>13300</v>
      </c>
      <c r="AG108" s="601" t="n"/>
      <c r="AH108" s="601">
        <f t="array" ref="AH1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8" s="602">
        <f>scheduleapr[[#This Row],[SCHEDULE in nos]]-scheduleapr[[#This Row],[DISPATCH]]</f>
        <v/>
      </c>
      <c r="AJ108" s="599">
        <f>(3.14*(scheduleapr[[#This Row],[ACTUAL OD]]-scheduleapr[[#This Row],[TICKNESS]])*scheduleapr[[#This Row],[TICKNESS]]*scheduleapr[[#This Row],[LENGTH]]*7.85)/1000000*scheduleapr[[#This Row],[SCHEDULE in nos]]/1000</f>
        <v/>
      </c>
      <c r="AK108" s="599">
        <f>(3.14*(scheduleapr[[#This Row],[ACTUAL OD]]-scheduleapr[[#This Row],[TICKNESS]])*scheduleapr[[#This Row],[TICKNESS]]*scheduleapr[[#This Row],[LENGTH]]*7.85)/1000000*scheduleapr[[#This Row],[DISPATCH]]/1000</f>
        <v/>
      </c>
      <c r="AL108" s="599">
        <f>AJ108-AK108</f>
        <v/>
      </c>
      <c r="AM108" s="599">
        <f>scheduleapr[[#This Row],[SCHEDULE in nos]]/scheduleapr[[#This Row],[SCHEDULE IN MT]]*scheduleapr[[#This Row],[CTL Stock]]</f>
        <v/>
      </c>
      <c r="AN108" s="599">
        <f>SUMIFS(stock[MT],stock[Bucket],scheduleapr[[#This Row],[Bucket]],stock[CTL Bucket],scheduleapr[[#This Row],[CTL Bucket]],stock[Plant],"0789")</f>
        <v/>
      </c>
      <c r="AO108" s="599" t="n"/>
      <c r="AP108" s="599">
        <f>SUMIFS(stock[MT],stock[Bucket],scheduleapr[[#This Row],[Bucket]],stock[LL or CTL],"LL")</f>
        <v/>
      </c>
      <c r="AQ108" s="599">
        <f>+SUMIFS(wip[Stock(Net Wt)],wip[Bucket],scheduleapr[[#This Row],[Bucket]])/1000</f>
        <v/>
      </c>
      <c r="AR108" s="599">
        <f>AJ108-AN108</f>
        <v/>
      </c>
      <c r="AS108" s="118" t="n"/>
    </row>
    <row r="109">
      <c r="A109" s="556" t="n"/>
      <c r="B109" s="5" t="inlineStr">
        <is>
          <t>Hosur</t>
        </is>
      </c>
      <c r="C109" s="601" t="inlineStr">
        <is>
          <t xml:space="preserve">ELKAYEM AUTO MYSORE </t>
        </is>
      </c>
      <c r="D109" s="601" t="inlineStr">
        <is>
          <t>ELKAYEM AUTO Mysore</t>
        </is>
      </c>
      <c r="E109" s="601" t="n">
        <v>940921</v>
      </c>
      <c r="F109" s="557" t="n"/>
      <c r="G109" s="601">
        <f>_xlfn.CONCAT(scheduleapr[[#This Row],[CUSTOMER CODE]],"-",scheduleapr[[#This Row],[MATERIAL NO]])</f>
        <v/>
      </c>
      <c r="H109" s="557" t="n"/>
      <c r="I109" s="601" t="inlineStr">
        <is>
          <t>ERW 1</t>
        </is>
      </c>
      <c r="J109" s="557" t="n"/>
      <c r="K109" s="601" t="inlineStr">
        <is>
          <t>PE</t>
        </is>
      </c>
      <c r="L109" s="601" t="inlineStr">
        <is>
          <t>HR</t>
        </is>
      </c>
      <c r="M109" s="558" t="n"/>
      <c r="N109" s="557" t="n"/>
      <c r="O109" s="557" t="n"/>
      <c r="P109" s="557" t="n"/>
      <c r="Q109" s="557">
        <f>CONCATENATE(scheduleapr[[#This Row],[OD]],"-",scheduleapr[[#This Row],[ID]],"-",scheduleapr[[#This Row],[TICKNESS]],"-",scheduleapr[[#This Row],[Grade]],"-",scheduleapr[[#This Row],[FC/NFC]])</f>
        <v/>
      </c>
      <c r="R109" s="557">
        <f>_xlfn.CONCAT(scheduleapr[[#This Row],[Bucket]],"-",scheduleapr[[#This Row],[LENGTH]]/1000)</f>
        <v/>
      </c>
      <c r="S109" s="557" t="n"/>
      <c r="T109" s="601" t="n"/>
      <c r="U109" s="601">
        <f>_xlfn.IFNA(VLOOKUP(scheduleapr[[#This Row],[Bucket]],salesforecast[[#All],[Bucket2]:[8406 Stock]],19,0),0)</f>
        <v/>
      </c>
      <c r="V109" s="562">
        <f>_xlfn.IFNA(VLOOKUP(scheduleapr[[#This Row],[Bucket]],salesforecast[[#All],[Bucket2]:[8406 Stock]],20,0),0)+_xlfn.IFNA(VLOOKUP(scheduleapr[[#This Row],[Bucket]],salesforecast[[#All],[Bucket2]:[8406 Stock]],17,0),0)</f>
        <v/>
      </c>
      <c r="W109" s="601" t="n"/>
      <c r="X109" s="559" t="n">
        <v>22.23</v>
      </c>
      <c r="Y109" s="559" t="n">
        <v>22.23</v>
      </c>
      <c r="Z109" s="559" t="n">
        <v>0</v>
      </c>
      <c r="AA109" s="599" t="n">
        <v>2</v>
      </c>
      <c r="AB109" s="600" t="n">
        <v>1000</v>
      </c>
      <c r="AC109" s="600" t="inlineStr">
        <is>
          <t>M</t>
        </is>
      </c>
      <c r="AD109" s="600" t="n"/>
      <c r="AE109" s="600" t="n"/>
      <c r="AF109" s="557" t="n"/>
      <c r="AG109" s="557" t="n"/>
      <c r="AH109" s="601">
        <f t="array" ref="AH1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09" s="602">
        <f>scheduleapr[[#This Row],[SCHEDULE in nos]]-scheduleapr[[#This Row],[DISPATCH]]</f>
        <v/>
      </c>
      <c r="AJ109" s="559">
        <f>(3.14*(scheduleapr[[#This Row],[ACTUAL OD]]-scheduleapr[[#This Row],[TICKNESS]])*scheduleapr[[#This Row],[TICKNESS]]*scheduleapr[[#This Row],[LENGTH]]*7.85)/1000000*scheduleapr[[#This Row],[SCHEDULE in nos]]/1000</f>
        <v/>
      </c>
      <c r="AK109" s="599">
        <f>(3.14*(scheduleapr[[#This Row],[ACTUAL OD]]-scheduleapr[[#This Row],[TICKNESS]])*scheduleapr[[#This Row],[TICKNESS]]*scheduleapr[[#This Row],[LENGTH]]*7.85)/1000000*scheduleapr[[#This Row],[DISPATCH]]/1000</f>
        <v/>
      </c>
      <c r="AL109" s="599">
        <f>AJ109-AK109</f>
        <v/>
      </c>
      <c r="AM109" s="559">
        <f>scheduleapr[[#This Row],[SCHEDULE in nos]]/scheduleapr[[#This Row],[SCHEDULE IN MT]]*scheduleapr[[#This Row],[CTL Stock]]</f>
        <v/>
      </c>
      <c r="AN109" s="599">
        <f>SUMIFS(stock[MT],stock[Bucket],scheduleapr[[#This Row],[Bucket]],stock[CTL Bucket],scheduleapr[[#This Row],[CTL Bucket]],stock[Plant],"0789")</f>
        <v/>
      </c>
      <c r="AO109" s="599" t="n"/>
      <c r="AP109" s="599">
        <f>SUMIFS(stock[MT],stock[Bucket],scheduleapr[[#This Row],[Bucket]],stock[LL or CTL],"LL")</f>
        <v/>
      </c>
      <c r="AQ109" s="599">
        <f>+SUMIFS(wip[Stock(Net Wt)],wip[Bucket],scheduleapr[[#This Row],[Bucket]])/1000</f>
        <v/>
      </c>
      <c r="AR109" s="599">
        <f>AJ109-AN109</f>
        <v/>
      </c>
      <c r="AS109" s="118" t="n"/>
    </row>
    <row r="110">
      <c r="A110" s="556" t="n"/>
      <c r="B110" s="5" t="inlineStr">
        <is>
          <t>Hosur</t>
        </is>
      </c>
      <c r="C110" s="601" t="inlineStr">
        <is>
          <t xml:space="preserve">ELKAYEM AUTO MYSORE </t>
        </is>
      </c>
      <c r="D110" s="601" t="inlineStr">
        <is>
          <t>ELKAYEM AUTO Mysore</t>
        </is>
      </c>
      <c r="E110" s="601" t="n">
        <v>940921</v>
      </c>
      <c r="F110" s="477" t="n">
        <v>2404326</v>
      </c>
      <c r="G110" s="601">
        <f>_xlfn.CONCAT(scheduleapr[[#This Row],[CUSTOMER CODE]],"-",scheduleapr[[#This Row],[MATERIAL NO]])</f>
        <v/>
      </c>
      <c r="H110" s="477" t="inlineStr">
        <is>
          <t>TUB-O-N-AUT-AW-PE-22.23X2.000X5.5300</t>
        </is>
      </c>
      <c r="I110" s="601" t="inlineStr">
        <is>
          <t>ERW 1</t>
        </is>
      </c>
      <c r="J110" s="557" t="n"/>
      <c r="K110" s="601" t="inlineStr">
        <is>
          <t>FC</t>
        </is>
      </c>
      <c r="L110" s="601" t="inlineStr">
        <is>
          <t>HR</t>
        </is>
      </c>
      <c r="M110" s="558" t="n"/>
      <c r="N110" s="557" t="n"/>
      <c r="O110" s="557" t="n"/>
      <c r="P110" s="557" t="n"/>
      <c r="Q110" s="557">
        <f>CONCATENATE(scheduleapr[[#This Row],[OD]],"-",scheduleapr[[#This Row],[ID]],"-",scheduleapr[[#This Row],[TICKNESS]],"-",scheduleapr[[#This Row],[Grade]],"-",scheduleapr[[#This Row],[FC/NFC]])</f>
        <v/>
      </c>
      <c r="R110" s="557">
        <f>_xlfn.CONCAT(scheduleapr[[#This Row],[Bucket]],"-",scheduleapr[[#This Row],[LENGTH]]/1000)</f>
        <v/>
      </c>
      <c r="S110" s="557">
        <f>COUNTIF(scheduleapr[CTL Bucket],scheduleapr[[#This Row],[CTL Bucket]])</f>
        <v/>
      </c>
      <c r="T110" s="601" t="inlineStr">
        <is>
          <t>Hosur</t>
        </is>
      </c>
      <c r="U110" s="601" t="inlineStr">
        <is>
          <t>Plan</t>
        </is>
      </c>
      <c r="V110" s="601" t="n"/>
      <c r="W110" s="601" t="n"/>
      <c r="X110" s="559" t="n">
        <v>22.23</v>
      </c>
      <c r="Y110" s="559" t="n">
        <v>22.23</v>
      </c>
      <c r="Z110" s="599" t="n">
        <v>0</v>
      </c>
      <c r="AA110" s="599" t="n">
        <v>2</v>
      </c>
      <c r="AB110" s="600" t="n">
        <v>1000</v>
      </c>
      <c r="AC110" s="600" t="inlineStr">
        <is>
          <t>M</t>
        </is>
      </c>
      <c r="AD110" s="600" t="n"/>
      <c r="AE110" s="600" t="n"/>
      <c r="AF110" s="557" t="n">
        <v>5050</v>
      </c>
      <c r="AG110" s="557" t="n"/>
      <c r="AH110" s="601">
        <f t="array" ref="AH1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0" s="602">
        <f>scheduleapr[[#This Row],[SCHEDULE in nos]]-scheduleapr[[#This Row],[DISPATCH]]</f>
        <v/>
      </c>
      <c r="AJ110" s="559">
        <f>(3.14*(scheduleapr[[#This Row],[ACTUAL OD]]-scheduleapr[[#This Row],[TICKNESS]])*scheduleapr[[#This Row],[TICKNESS]]*scheduleapr[[#This Row],[LENGTH]]*7.85)/1000000*scheduleapr[[#This Row],[SCHEDULE in nos]]/1000</f>
        <v/>
      </c>
      <c r="AK110" s="599">
        <f>(3.14*(scheduleapr[[#This Row],[ACTUAL OD]]-scheduleapr[[#This Row],[TICKNESS]])*scheduleapr[[#This Row],[TICKNESS]]*scheduleapr[[#This Row],[LENGTH]]*7.85)/1000000*scheduleapr[[#This Row],[DISPATCH]]/1000</f>
        <v/>
      </c>
      <c r="AL110" s="599">
        <f>AJ110-AK110</f>
        <v/>
      </c>
      <c r="AM110" s="559">
        <f>scheduleapr[[#This Row],[SCHEDULE in nos]]/scheduleapr[[#This Row],[SCHEDULE IN MT]]*scheduleapr[[#This Row],[CTL Stock]]</f>
        <v/>
      </c>
      <c r="AN110" s="599">
        <f>SUMIFS(stock[MT],stock[Bucket],scheduleapr[[#This Row],[Bucket]],stock[CTL Bucket],scheduleapr[[#This Row],[CTL Bucket]],stock[Plant],"0789")</f>
        <v/>
      </c>
      <c r="AO110" s="599" t="n"/>
      <c r="AP110" s="599">
        <f>SUMIFS(stock[MT],stock[Bucket],scheduleapr[[#This Row],[Bucket]],stock[LL or CTL],"LL")</f>
        <v/>
      </c>
      <c r="AQ110" s="599">
        <f>+SUMIFS(wip[Stock(Net Wt)],wip[Bucket],scheduleapr[[#This Row],[Bucket]])/1000</f>
        <v/>
      </c>
      <c r="AR110" s="599">
        <f>AJ110-AN110</f>
        <v/>
      </c>
      <c r="AS110" s="118" t="n"/>
    </row>
    <row r="111">
      <c r="A111" s="556" t="n"/>
      <c r="B111" s="5" t="inlineStr">
        <is>
          <t>Hosur</t>
        </is>
      </c>
      <c r="C111" s="601" t="inlineStr">
        <is>
          <t xml:space="preserve">ELKAYEM AUTO MYSORE </t>
        </is>
      </c>
      <c r="D111" s="601" t="inlineStr">
        <is>
          <t>ELKAYEM AUTO Mysore</t>
        </is>
      </c>
      <c r="E111" s="601" t="n">
        <v>940921</v>
      </c>
      <c r="F111" s="557" t="n"/>
      <c r="G111" s="601">
        <f>_xlfn.CONCAT(scheduleapr[[#This Row],[CUSTOMER CODE]],"-",scheduleapr[[#This Row],[MATERIAL NO]])</f>
        <v/>
      </c>
      <c r="H111" s="557" t="n"/>
      <c r="I111" s="601" t="inlineStr">
        <is>
          <t>ERW 1</t>
        </is>
      </c>
      <c r="J111" s="557" t="n"/>
      <c r="K111" s="601" t="inlineStr">
        <is>
          <t>FC</t>
        </is>
      </c>
      <c r="L111" s="601" t="inlineStr">
        <is>
          <t>HR</t>
        </is>
      </c>
      <c r="M111" s="558" t="n"/>
      <c r="N111" s="557" t="n"/>
      <c r="O111" s="557" t="n"/>
      <c r="P111" s="557" t="n"/>
      <c r="Q111" s="557">
        <f>CONCATENATE(scheduleapr[[#This Row],[OD]],"-",scheduleapr[[#This Row],[ID]],"-",scheduleapr[[#This Row],[TICKNESS]],"-",scheduleapr[[#This Row],[Grade]],"-",scheduleapr[[#This Row],[FC/NFC]])</f>
        <v/>
      </c>
      <c r="R111" s="557">
        <f>_xlfn.CONCAT(scheduleapr[[#This Row],[Bucket]],"-",scheduleapr[[#This Row],[LENGTH]]/1000)</f>
        <v/>
      </c>
      <c r="S111" s="557">
        <f>COUNTIF(scheduleapr[CTL Bucket],scheduleapr[[#This Row],[CTL Bucket]])</f>
        <v/>
      </c>
      <c r="T111" s="601" t="inlineStr">
        <is>
          <t>Hosur</t>
        </is>
      </c>
      <c r="U111" s="601">
        <f>_xlfn.IFNA(VLOOKUP(scheduleapr[[#This Row],[Bucket]],salesforecast[[#All],[Bucket2]:[8406 Stock]],19,0),0)</f>
        <v/>
      </c>
      <c r="V111" s="562">
        <f>_xlfn.IFNA(VLOOKUP(scheduleapr[[#This Row],[Bucket]],salesforecast[[#All],[Bucket2]:[8406 Stock]],20,0),0)+_xlfn.IFNA(VLOOKUP(scheduleapr[[#This Row],[Bucket]],salesforecast[[#All],[Bucket2]:[8406 Stock]],17,0),0)</f>
        <v/>
      </c>
      <c r="W111" s="601" t="n"/>
      <c r="X111" s="559" t="n">
        <v>25.4</v>
      </c>
      <c r="Y111" s="559" t="n">
        <v>25.4</v>
      </c>
      <c r="Z111" s="599" t="n">
        <v>0</v>
      </c>
      <c r="AA111" s="599" t="n">
        <v>2</v>
      </c>
      <c r="AB111" s="600" t="n">
        <v>350</v>
      </c>
      <c r="AC111" s="600" t="inlineStr">
        <is>
          <t>NOS</t>
        </is>
      </c>
      <c r="AD111" s="600" t="n"/>
      <c r="AE111" s="600" t="n"/>
      <c r="AF111" s="557" t="n">
        <v>14000</v>
      </c>
      <c r="AG111" s="557" t="n"/>
      <c r="AH111" s="601">
        <f t="array" ref="AH1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1" s="602">
        <f>scheduleapr[[#This Row],[SCHEDULE in nos]]-scheduleapr[[#This Row],[DISPATCH]]</f>
        <v/>
      </c>
      <c r="AJ111" s="559">
        <f>(3.14*(scheduleapr[[#This Row],[ACTUAL OD]]-scheduleapr[[#This Row],[TICKNESS]])*scheduleapr[[#This Row],[TICKNESS]]*scheduleapr[[#This Row],[LENGTH]]*7.85)/1000000*scheduleapr[[#This Row],[SCHEDULE in nos]]/1000</f>
        <v/>
      </c>
      <c r="AK111" s="599">
        <f>(3.14*(scheduleapr[[#This Row],[ACTUAL OD]]-scheduleapr[[#This Row],[TICKNESS]])*scheduleapr[[#This Row],[TICKNESS]]*scheduleapr[[#This Row],[LENGTH]]*7.85)/1000000*scheduleapr[[#This Row],[DISPATCH]]/1000</f>
        <v/>
      </c>
      <c r="AL111" s="599">
        <f>AJ111-AK111</f>
        <v/>
      </c>
      <c r="AM111" s="559">
        <f>scheduleapr[[#This Row],[SCHEDULE in nos]]/scheduleapr[[#This Row],[SCHEDULE IN MT]]*scheduleapr[[#This Row],[CTL Stock]]</f>
        <v/>
      </c>
      <c r="AN111" s="599">
        <f>SUMIFS(stock[MT],stock[Bucket],scheduleapr[[#This Row],[Bucket]],stock[CTL Bucket],scheduleapr[[#This Row],[CTL Bucket]],stock[Plant],"0789")</f>
        <v/>
      </c>
      <c r="AO111" s="599" t="n"/>
      <c r="AP111" s="599">
        <f>SUMIFS(stock[MT],stock[Bucket],scheduleapr[[#This Row],[Bucket]],stock[LL or CTL],"LL")</f>
        <v/>
      </c>
      <c r="AQ111" s="599">
        <f>+SUMIFS(wip[Stock(Net Wt)],wip[Bucket],scheduleapr[[#This Row],[Bucket]])/1000</f>
        <v/>
      </c>
      <c r="AR111" s="599">
        <f>AJ111-AN111</f>
        <v/>
      </c>
      <c r="AS111" s="118" t="n"/>
    </row>
    <row r="112">
      <c r="A112" s="556" t="n"/>
      <c r="B112" s="5" t="inlineStr">
        <is>
          <t>Hosur</t>
        </is>
      </c>
      <c r="C112" s="601" t="inlineStr">
        <is>
          <t xml:space="preserve">ELKAYEM AUTO MYSORE </t>
        </is>
      </c>
      <c r="D112" s="601" t="inlineStr">
        <is>
          <t>ELKAYEM AUTO Mysore</t>
        </is>
      </c>
      <c r="E112" s="601" t="n">
        <v>940921</v>
      </c>
      <c r="F112" s="557" t="n"/>
      <c r="G112" s="601">
        <f>_xlfn.CONCAT(scheduleapr[[#This Row],[CUSTOMER CODE]],"-",scheduleapr[[#This Row],[MATERIAL NO]])</f>
        <v/>
      </c>
      <c r="H112" s="557" t="n"/>
      <c r="I112" s="601" t="inlineStr">
        <is>
          <t>ERW 1</t>
        </is>
      </c>
      <c r="J112" s="557" t="n"/>
      <c r="K112" s="601" t="inlineStr">
        <is>
          <t>FC</t>
        </is>
      </c>
      <c r="L112" s="557" t="n"/>
      <c r="M112" s="558" t="n"/>
      <c r="N112" s="557" t="n"/>
      <c r="O112" s="557" t="n"/>
      <c r="P112" s="557" t="n"/>
      <c r="Q112" s="557" t="n"/>
      <c r="R112" s="557" t="n"/>
      <c r="S112" s="557" t="n"/>
      <c r="T112" s="601" t="n"/>
      <c r="U112" s="601">
        <f>_xlfn.IFNA(VLOOKUP(scheduleapr[[#This Row],[Bucket]],salesforecast[[#All],[Bucket2]:[8406 Stock]],19,0),0)</f>
        <v/>
      </c>
      <c r="V112" s="601" t="n"/>
      <c r="W112" s="601" t="n"/>
      <c r="X112" s="559" t="n">
        <v>31.75</v>
      </c>
      <c r="Y112" s="559" t="n">
        <v>31.75</v>
      </c>
      <c r="Z112" s="559" t="n">
        <v>0</v>
      </c>
      <c r="AA112" s="559" t="n">
        <v>2.5</v>
      </c>
      <c r="AB112" s="600" t="n">
        <v>193</v>
      </c>
      <c r="AC112" s="81" t="inlineStr">
        <is>
          <t>NOS</t>
        </is>
      </c>
      <c r="AD112" s="600" t="n"/>
      <c r="AE112" s="600" t="n"/>
      <c r="AF112" s="557" t="n">
        <v>36700</v>
      </c>
      <c r="AG112" s="557" t="n"/>
      <c r="AH112" s="601">
        <f t="array" ref="AH1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2" s="560">
        <f>scheduleapr[[#This Row],[SCHEDULE in nos]]-scheduleapr[[#This Row],[DISPATCH]]</f>
        <v/>
      </c>
      <c r="AJ112" s="559">
        <f>(3.14*(scheduleapr[[#This Row],[ACTUAL OD]]-scheduleapr[[#This Row],[TICKNESS]])*scheduleapr[[#This Row],[TICKNESS]]*scheduleapr[[#This Row],[LENGTH]]*7.85)/1000000*scheduleapr[[#This Row],[SCHEDULE in nos]]/1000</f>
        <v/>
      </c>
      <c r="AK112" s="599">
        <f>(3.14*(scheduleapr[[#This Row],[ACTUAL OD]]-scheduleapr[[#This Row],[TICKNESS]])*scheduleapr[[#This Row],[TICKNESS]]*scheduleapr[[#This Row],[LENGTH]]*7.85)/1000000*scheduleapr[[#This Row],[DISPATCH]]/1000</f>
        <v/>
      </c>
      <c r="AL112" s="599">
        <f>AJ112-AK112</f>
        <v/>
      </c>
      <c r="AM112" s="559">
        <f>scheduleapr[[#This Row],[SCHEDULE in nos]]/scheduleapr[[#This Row],[SCHEDULE IN MT]]*scheduleapr[[#This Row],[CTL Stock]]</f>
        <v/>
      </c>
      <c r="AN112" s="599">
        <f>SUMIFS(stock[MT],stock[Bucket],scheduleapr[[#This Row],[Bucket]],stock[CTL Bucket],scheduleapr[[#This Row],[CTL Bucket]],stock[Plant],"0789")</f>
        <v/>
      </c>
      <c r="AO112" s="599" t="n"/>
      <c r="AP112" s="599">
        <f>SUMIFS(stock[MT],stock[Bucket],scheduleapr[[#This Row],[Bucket]],stock[LL or CTL],"LL")</f>
        <v/>
      </c>
      <c r="AQ112" s="599">
        <f>+SUMIFS(wip[Stock(Net Wt)],wip[Bucket],scheduleapr[[#This Row],[Bucket]])/1000</f>
        <v/>
      </c>
      <c r="AR112" s="599">
        <f>AJ112-AN112</f>
        <v/>
      </c>
      <c r="AS112" s="118" t="n"/>
    </row>
    <row r="113">
      <c r="A113" s="594" t="n">
        <v>90</v>
      </c>
      <c r="B113" s="5" t="inlineStr">
        <is>
          <t>Hosur</t>
        </is>
      </c>
      <c r="C113" s="601" t="inlineStr">
        <is>
          <t xml:space="preserve">ELKAYEM AUTO MYSORE </t>
        </is>
      </c>
      <c r="D113" s="601" t="inlineStr">
        <is>
          <t>ELKAYEM AUTO Mysore</t>
        </is>
      </c>
      <c r="E113" s="601" t="n">
        <v>940921</v>
      </c>
      <c r="F113" s="601" t="n">
        <v>1155165</v>
      </c>
      <c r="G113" s="601">
        <f>_xlfn.CONCAT(scheduleapr[[#This Row],[CUSTOMER CODE]],"-",scheduleapr[[#This Row],[MATERIAL NO]])</f>
        <v/>
      </c>
      <c r="H113" s="601" t="inlineStr">
        <is>
          <t>TUB-O-N-AUT-AW-PE-34.93X1.600X1.726</t>
        </is>
      </c>
      <c r="I113" s="601" t="inlineStr">
        <is>
          <t>ERW 1</t>
        </is>
      </c>
      <c r="J113" s="601" t="n"/>
      <c r="K113" s="601" t="inlineStr">
        <is>
          <t>FC</t>
        </is>
      </c>
      <c r="L113" s="601" t="inlineStr">
        <is>
          <t>CR</t>
        </is>
      </c>
      <c r="M113" s="596" t="inlineStr"/>
      <c r="N113" s="601" t="n"/>
      <c r="O113" s="601" t="n"/>
      <c r="P113" s="601" t="n"/>
      <c r="Q113" s="557">
        <f>CONCATENATE(scheduleapr[[#This Row],[OD]],"-",scheduleapr[[#This Row],[ID]],"-",scheduleapr[[#This Row],[TICKNESS]],"-",scheduleapr[[#This Row],[Grade]],"-",scheduleapr[[#This Row],[FC/NFC]])</f>
        <v/>
      </c>
      <c r="R113" s="557">
        <f>_xlfn.CONCAT(scheduleapr[[#This Row],[Bucket]],"-",scheduleapr[[#This Row],[LENGTH]]/1000)</f>
        <v/>
      </c>
      <c r="S113" s="557">
        <f>COUNTIF(scheduleapr[CTL Bucket],scheduleapr[[#This Row],[CTL Bucket]])</f>
        <v/>
      </c>
      <c r="T113" s="601" t="inlineStr">
        <is>
          <t>Hosur</t>
        </is>
      </c>
      <c r="U113" s="601">
        <f>_xlfn.IFNA(VLOOKUP(scheduleapr[[#This Row],[Bucket]],salesforecast[[#All],[Bucket2]:[8406 Stock]],19,0),0)</f>
        <v/>
      </c>
      <c r="V113" s="562">
        <f>_xlfn.IFNA(VLOOKUP(scheduleapr[[#This Row],[Bucket]],salesforecast[[#All],[Bucket2]:[8406 Stock]],20,0),0)+_xlfn.IFNA(VLOOKUP(scheduleapr[[#This Row],[Bucket]],salesforecast[[#All],[Bucket2]:[8406 Stock]],17,0),0)</f>
        <v/>
      </c>
      <c r="W113" s="557" t="n"/>
      <c r="X113" s="599" t="n">
        <v>34.93</v>
      </c>
      <c r="Y113" s="599" t="n">
        <v>34.93</v>
      </c>
      <c r="Z113" s="599" t="n">
        <v>0</v>
      </c>
      <c r="AA113" s="599" t="n">
        <v>1.6</v>
      </c>
      <c r="AB113" s="600" t="n">
        <v>1726</v>
      </c>
      <c r="AC113" s="600" t="inlineStr">
        <is>
          <t>NOS</t>
        </is>
      </c>
      <c r="AD113" s="600" t="n"/>
      <c r="AE113" s="600" t="n"/>
      <c r="AF113" s="601" t="n">
        <v>3200</v>
      </c>
      <c r="AG113" s="601" t="n"/>
      <c r="AH113" s="601">
        <f t="array" ref="AH1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3" s="602">
        <f>scheduleapr[[#This Row],[SCHEDULE in nos]]-scheduleapr[[#This Row],[DISPATCH]]</f>
        <v/>
      </c>
      <c r="AJ113" s="599">
        <f>(3.14*(scheduleapr[[#This Row],[ACTUAL OD]]-scheduleapr[[#This Row],[TICKNESS]])*scheduleapr[[#This Row],[TICKNESS]]*scheduleapr[[#This Row],[LENGTH]]*7.85)/1000000*scheduleapr[[#This Row],[SCHEDULE in nos]]/1000</f>
        <v/>
      </c>
      <c r="AK113" s="599">
        <f>(3.14*(scheduleapr[[#This Row],[ACTUAL OD]]-scheduleapr[[#This Row],[TICKNESS]])*scheduleapr[[#This Row],[TICKNESS]]*scheduleapr[[#This Row],[LENGTH]]*7.85)/1000000*scheduleapr[[#This Row],[DISPATCH]]/1000</f>
        <v/>
      </c>
      <c r="AL113" s="599">
        <f>AJ113-AK113</f>
        <v/>
      </c>
      <c r="AM113" s="599">
        <f>scheduleapr[[#This Row],[SCHEDULE in nos]]/scheduleapr[[#This Row],[SCHEDULE IN MT]]*scheduleapr[[#This Row],[CTL Stock]]</f>
        <v/>
      </c>
      <c r="AN113" s="599">
        <f>SUMIFS(stock[MT],stock[Bucket],scheduleapr[[#This Row],[Bucket]],stock[CTL Bucket],scheduleapr[[#This Row],[CTL Bucket]],stock[Plant],"0789")</f>
        <v/>
      </c>
      <c r="AO113" s="599" t="n"/>
      <c r="AP113" s="599">
        <f>SUMIFS(stock[MT],stock[Bucket],scheduleapr[[#This Row],[Bucket]],stock[LL or CTL],"LL")</f>
        <v/>
      </c>
      <c r="AQ113" s="599">
        <f>+SUMIFS(wip[Stock(Net Wt)],wip[Bucket],scheduleapr[[#This Row],[Bucket]])/1000</f>
        <v/>
      </c>
      <c r="AR113" s="599">
        <f>AJ113-AN113</f>
        <v/>
      </c>
      <c r="AS113" s="118" t="n"/>
    </row>
    <row r="114">
      <c r="A114" s="594" t="n">
        <v>91</v>
      </c>
      <c r="B114" s="5" t="inlineStr">
        <is>
          <t>Hosur</t>
        </is>
      </c>
      <c r="C114" s="601" t="inlineStr">
        <is>
          <t xml:space="preserve">ELKAYEM AUTO MYSORE </t>
        </is>
      </c>
      <c r="D114" s="601" t="inlineStr">
        <is>
          <t>ELKAYEM AUTO Mysore</t>
        </is>
      </c>
      <c r="E114" s="601" t="n">
        <v>940921</v>
      </c>
      <c r="F114" s="601" t="n">
        <v>1940718</v>
      </c>
      <c r="G114" s="601">
        <f>_xlfn.CONCAT(scheduleapr[[#This Row],[CUSTOMER CODE]],"-",scheduleapr[[#This Row],[MATERIAL NO]])</f>
        <v/>
      </c>
      <c r="H114" s="601" t="inlineStr">
        <is>
          <t>TUB-O-O-AUT-AW-FC-34.93X2.600X1.7210</t>
        </is>
      </c>
      <c r="I114" s="601" t="inlineStr">
        <is>
          <t>ERW 1</t>
        </is>
      </c>
      <c r="J114" s="601" t="n"/>
      <c r="K114" s="601" t="inlineStr">
        <is>
          <t>FC</t>
        </is>
      </c>
      <c r="L114" s="601" t="inlineStr">
        <is>
          <t>HR</t>
        </is>
      </c>
      <c r="M114" s="601" t="n"/>
      <c r="N114" s="601" t="n"/>
      <c r="O114" s="601" t="n"/>
      <c r="P114" s="601" t="n"/>
      <c r="Q114" s="557">
        <f>CONCATENATE(scheduleapr[[#This Row],[OD]],"-",scheduleapr[[#This Row],[ID]],"-",scheduleapr[[#This Row],[TICKNESS]],"-",scheduleapr[[#This Row],[Grade]],"-",scheduleapr[[#This Row],[FC/NFC]])</f>
        <v/>
      </c>
      <c r="R114" s="557">
        <f>_xlfn.CONCAT(scheduleapr[[#This Row],[Bucket]],"-",scheduleapr[[#This Row],[LENGTH]]/1000)</f>
        <v/>
      </c>
      <c r="S114" s="557">
        <f>COUNTIF(scheduleapr[CTL Bucket],scheduleapr[[#This Row],[CTL Bucket]])</f>
        <v/>
      </c>
      <c r="T114" s="601" t="inlineStr">
        <is>
          <t>Hosur</t>
        </is>
      </c>
      <c r="U114" s="601">
        <f>_xlfn.IFNA(VLOOKUP(scheduleapr[[#This Row],[Bucket]],salesforecast[[#All],[Bucket2]:[8406 Stock]],19,0),0)</f>
        <v/>
      </c>
      <c r="V114" s="562">
        <f>_xlfn.IFNA(VLOOKUP(scheduleapr[[#This Row],[Bucket]],salesforecast[[#All],[Bucket2]:[8406 Stock]],20,0),0)+_xlfn.IFNA(VLOOKUP(scheduleapr[[#This Row],[Bucket]],salesforecast[[#All],[Bucket2]:[8406 Stock]],17,0),0)</f>
        <v/>
      </c>
      <c r="W114" s="557" t="n"/>
      <c r="X114" s="599" t="n">
        <v>34.93</v>
      </c>
      <c r="Y114" s="599" t="n">
        <v>34.93</v>
      </c>
      <c r="Z114" s="599" t="n">
        <v>0</v>
      </c>
      <c r="AA114" s="599" t="n">
        <v>2.6</v>
      </c>
      <c r="AB114" s="600" t="n">
        <v>1721</v>
      </c>
      <c r="AC114" s="600" t="inlineStr">
        <is>
          <t>NOS</t>
        </is>
      </c>
      <c r="AD114" s="600" t="n"/>
      <c r="AE114" s="600" t="n"/>
      <c r="AF114" s="601" t="n">
        <v>3600</v>
      </c>
      <c r="AG114" s="601" t="n"/>
      <c r="AH114" s="601">
        <f t="array" ref="AH1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4" s="602">
        <f>scheduleapr[[#This Row],[SCHEDULE in nos]]-scheduleapr[[#This Row],[DISPATCH]]</f>
        <v/>
      </c>
      <c r="AJ114" s="599">
        <f>(3.14*(scheduleapr[[#This Row],[ACTUAL OD]]-scheduleapr[[#This Row],[TICKNESS]])*scheduleapr[[#This Row],[TICKNESS]]*scheduleapr[[#This Row],[LENGTH]]*7.85)/1000000*scheduleapr[[#This Row],[SCHEDULE in nos]]/1000</f>
        <v/>
      </c>
      <c r="AK114" s="599">
        <f>(3.14*(scheduleapr[[#This Row],[ACTUAL OD]]-scheduleapr[[#This Row],[TICKNESS]])*scheduleapr[[#This Row],[TICKNESS]]*scheduleapr[[#This Row],[LENGTH]]*7.85)/1000000*scheduleapr[[#This Row],[DISPATCH]]/1000</f>
        <v/>
      </c>
      <c r="AL114" s="599">
        <f>AJ114-AK114</f>
        <v/>
      </c>
      <c r="AM114" s="599">
        <f>scheduleapr[[#This Row],[SCHEDULE in nos]]/scheduleapr[[#This Row],[SCHEDULE IN MT]]*scheduleapr[[#This Row],[CTL Stock]]</f>
        <v/>
      </c>
      <c r="AN114" s="599">
        <f>SUMIFS(stock[MT],stock[Bucket],scheduleapr[[#This Row],[Bucket]],stock[CTL Bucket],scheduleapr[[#This Row],[CTL Bucket]],stock[Plant],"0789")</f>
        <v/>
      </c>
      <c r="AO114" s="599" t="n"/>
      <c r="AP114" s="599">
        <f>SUMIFS(stock[MT],stock[Bucket],scheduleapr[[#This Row],[Bucket]],stock[LL or CTL],"LL")</f>
        <v/>
      </c>
      <c r="AQ114" s="599">
        <f>+SUMIFS(wip[Stock(Net Wt)],wip[Bucket],scheduleapr[[#This Row],[Bucket]])/1000</f>
        <v/>
      </c>
      <c r="AR114" s="599">
        <f>AJ114-AN114</f>
        <v/>
      </c>
      <c r="AS114" s="118" t="n"/>
    </row>
    <row r="115">
      <c r="A115" s="556" t="n"/>
      <c r="B115" s="5" t="inlineStr">
        <is>
          <t>Hosur</t>
        </is>
      </c>
      <c r="C115" s="601" t="inlineStr">
        <is>
          <t xml:space="preserve">ELKAYEM AUTO MYSORE </t>
        </is>
      </c>
      <c r="D115" s="601" t="inlineStr">
        <is>
          <t>ELKAYEM AUTO Mysore</t>
        </is>
      </c>
      <c r="E115" s="601" t="n">
        <v>940921</v>
      </c>
      <c r="F115" s="557" t="n"/>
      <c r="G115" s="601">
        <f>_xlfn.CONCAT(scheduleapr[[#This Row],[CUSTOMER CODE]],"-",scheduleapr[[#This Row],[MATERIAL NO]])</f>
        <v/>
      </c>
      <c r="H115" s="557" t="n"/>
      <c r="I115" s="601" t="inlineStr">
        <is>
          <t>ERW 1</t>
        </is>
      </c>
      <c r="J115" s="557" t="n"/>
      <c r="K115" s="601" t="inlineStr">
        <is>
          <t>FC</t>
        </is>
      </c>
      <c r="L115" s="557" t="n"/>
      <c r="M115" s="558" t="n"/>
      <c r="N115" s="557" t="n"/>
      <c r="O115" s="557" t="n"/>
      <c r="P115" s="557" t="n"/>
      <c r="Q115" s="557" t="n"/>
      <c r="R115" s="557" t="n"/>
      <c r="S115" s="557" t="n"/>
      <c r="T115" s="601" t="n"/>
      <c r="U115" s="601">
        <f>_xlfn.IFNA(VLOOKUP(scheduleapr[[#This Row],[Bucket]],salesforecast[[#All],[Bucket2]:[8406 Stock]],19,0),0)</f>
        <v/>
      </c>
      <c r="V115" s="601" t="n"/>
      <c r="W115" s="601" t="n"/>
      <c r="X115" s="559" t="n">
        <v>44.45</v>
      </c>
      <c r="Y115" s="559" t="n">
        <v>40</v>
      </c>
      <c r="Z115" s="559" t="n">
        <v>30</v>
      </c>
      <c r="AA115" s="559" t="n">
        <v>1.6</v>
      </c>
      <c r="AB115" s="600" t="n">
        <v>264</v>
      </c>
      <c r="AC115" s="81" t="inlineStr">
        <is>
          <t>NOS</t>
        </is>
      </c>
      <c r="AD115" s="600" t="n"/>
      <c r="AE115" s="600" t="n"/>
      <c r="AF115" s="557" t="n"/>
      <c r="AG115" s="557" t="n"/>
      <c r="AH115" s="601">
        <f t="array" ref="AH1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5" s="560">
        <f>scheduleapr[[#This Row],[SCHEDULE in nos]]-scheduleapr[[#This Row],[DISPATCH]]</f>
        <v/>
      </c>
      <c r="AJ115" s="559">
        <f>(3.14*(scheduleapr[[#This Row],[ACTUAL OD]]-scheduleapr[[#This Row],[TICKNESS]])*scheduleapr[[#This Row],[TICKNESS]]*scheduleapr[[#This Row],[LENGTH]]*7.85)/1000000*scheduleapr[[#This Row],[SCHEDULE in nos]]/1000</f>
        <v/>
      </c>
      <c r="AK115" s="599">
        <f>(3.14*(scheduleapr[[#This Row],[ACTUAL OD]]-scheduleapr[[#This Row],[TICKNESS]])*scheduleapr[[#This Row],[TICKNESS]]*scheduleapr[[#This Row],[LENGTH]]*7.85)/1000000*scheduleapr[[#This Row],[DISPATCH]]/1000</f>
        <v/>
      </c>
      <c r="AL115" s="599">
        <f>AJ115-AK115</f>
        <v/>
      </c>
      <c r="AM115" s="559">
        <f>scheduleapr[[#This Row],[SCHEDULE in nos]]/scheduleapr[[#This Row],[SCHEDULE IN MT]]*scheduleapr[[#This Row],[CTL Stock]]</f>
        <v/>
      </c>
      <c r="AN115" s="599">
        <f>SUMIFS(stock[MT],stock[Bucket],scheduleapr[[#This Row],[Bucket]],stock[CTL Bucket],scheduleapr[[#This Row],[CTL Bucket]],stock[Plant],"0789")</f>
        <v/>
      </c>
      <c r="AO115" s="599" t="n"/>
      <c r="AP115" s="599">
        <f>SUMIFS(stock[MT],stock[Bucket],scheduleapr[[#This Row],[Bucket]],stock[LL or CTL],"LL")</f>
        <v/>
      </c>
      <c r="AQ115" s="599">
        <f>+SUMIFS(wip[Stock(Net Wt)],wip[Bucket],scheduleapr[[#This Row],[Bucket]])/1000</f>
        <v/>
      </c>
      <c r="AR115" s="599">
        <f>AJ115-AN115</f>
        <v/>
      </c>
      <c r="AS115" s="118" t="n"/>
    </row>
    <row r="116">
      <c r="A116" s="556" t="n"/>
      <c r="B116" s="5" t="inlineStr">
        <is>
          <t>Hosur</t>
        </is>
      </c>
      <c r="C116" s="601" t="inlineStr">
        <is>
          <t xml:space="preserve">ELKAYEM AUTO MYSORE </t>
        </is>
      </c>
      <c r="D116" s="601" t="inlineStr">
        <is>
          <t>ELKAYEM AUTO Mysore</t>
        </is>
      </c>
      <c r="E116" s="601" t="n">
        <v>940921</v>
      </c>
      <c r="F116" s="557" t="n"/>
      <c r="G116" s="601">
        <f>_xlfn.CONCAT(scheduleapr[[#This Row],[CUSTOMER CODE]],"-",scheduleapr[[#This Row],[MATERIAL NO]])</f>
        <v/>
      </c>
      <c r="H116" s="557" t="n"/>
      <c r="I116" s="601" t="inlineStr">
        <is>
          <t>ERW 1</t>
        </is>
      </c>
      <c r="J116" s="557" t="n"/>
      <c r="K116" s="601" t="inlineStr">
        <is>
          <t>FC</t>
        </is>
      </c>
      <c r="L116" s="557" t="n"/>
      <c r="M116" s="558" t="n"/>
      <c r="N116" s="557" t="n"/>
      <c r="O116" s="601" t="inlineStr">
        <is>
          <t>AG</t>
        </is>
      </c>
      <c r="P116" s="557" t="n"/>
      <c r="Q116" s="557">
        <f>CONCATENATE(scheduleapr[[#This Row],[OD]],"-",scheduleapr[[#This Row],[ID]],"-",scheduleapr[[#This Row],[TICKNESS]],"-",scheduleapr[[#This Row],[Grade]],"-",scheduleapr[[#This Row],[FC/NFC]])</f>
        <v/>
      </c>
      <c r="R116" s="557">
        <f>_xlfn.CONCAT(scheduleapr[[#This Row],[Bucket]],"-",scheduleapr[[#This Row],[LENGTH]]/1000)</f>
        <v/>
      </c>
      <c r="S116" s="557" t="n"/>
      <c r="T116" s="601" t="n"/>
      <c r="U116" s="601">
        <f>_xlfn.IFNA(VLOOKUP(scheduleapr[[#This Row],[Bucket]],salesforecast[[#All],[Bucket2]:[8406 Stock]],19,0),0)</f>
        <v/>
      </c>
      <c r="V116" s="562">
        <f>_xlfn.IFNA(VLOOKUP(scheduleapr[[#This Row],[Bucket]],salesforecast[[#All],[Bucket2]:[8406 Stock]],20,0),0)+_xlfn.IFNA(VLOOKUP(scheduleapr[[#This Row],[Bucket]],salesforecast[[#All],[Bucket2]:[8406 Stock]],17,0),0)</f>
        <v/>
      </c>
      <c r="W116" s="601" t="n"/>
      <c r="X116" s="559" t="n">
        <v>44.45</v>
      </c>
      <c r="Y116" s="559" t="n">
        <v>40</v>
      </c>
      <c r="Z116" s="559" t="n">
        <v>30</v>
      </c>
      <c r="AA116" s="599" t="n">
        <v>2</v>
      </c>
      <c r="AB116" s="600" t="n">
        <v>149</v>
      </c>
      <c r="AC116" s="600" t="inlineStr">
        <is>
          <t>NOS</t>
        </is>
      </c>
      <c r="AD116" s="600" t="n"/>
      <c r="AE116" s="600" t="n"/>
      <c r="AF116" s="557" t="n">
        <v>18050</v>
      </c>
      <c r="AG116" s="557" t="n"/>
      <c r="AH116" s="601">
        <f t="array" ref="AH1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6" s="602">
        <f>scheduleapr[[#This Row],[SCHEDULE in nos]]-scheduleapr[[#This Row],[DISPATCH]]</f>
        <v/>
      </c>
      <c r="AJ116" s="559">
        <f>(3.14*(scheduleapr[[#This Row],[ACTUAL OD]]-scheduleapr[[#This Row],[TICKNESS]])*scheduleapr[[#This Row],[TICKNESS]]*scheduleapr[[#This Row],[LENGTH]]*7.85)/1000000*scheduleapr[[#This Row],[SCHEDULE in nos]]/1000</f>
        <v/>
      </c>
      <c r="AK116" s="599">
        <f>(3.14*(scheduleapr[[#This Row],[ACTUAL OD]]-scheduleapr[[#This Row],[TICKNESS]])*scheduleapr[[#This Row],[TICKNESS]]*scheduleapr[[#This Row],[LENGTH]]*7.85)/1000000*scheduleapr[[#This Row],[DISPATCH]]/1000</f>
        <v/>
      </c>
      <c r="AL116" s="599">
        <f>AJ116-AK116</f>
        <v/>
      </c>
      <c r="AM116" s="559">
        <f>scheduleapr[[#This Row],[SCHEDULE in nos]]/scheduleapr[[#This Row],[SCHEDULE IN MT]]*scheduleapr[[#This Row],[CTL Stock]]</f>
        <v/>
      </c>
      <c r="AN116" s="599">
        <f>SUMIFS(stock[MT],stock[Bucket],scheduleapr[[#This Row],[Bucket]],stock[CTL Bucket],scheduleapr[[#This Row],[CTL Bucket]],stock[Plant],"0789")</f>
        <v/>
      </c>
      <c r="AO116" s="599" t="n"/>
      <c r="AP116" s="599">
        <f>SUMIFS(stock[MT],stock[Bucket],scheduleapr[[#This Row],[Bucket]],stock[LL or CTL],"LL")</f>
        <v/>
      </c>
      <c r="AQ116" s="599">
        <f>+SUMIFS(wip[Stock(Net Wt)],wip[Bucket],scheduleapr[[#This Row],[Bucket]])/1000</f>
        <v/>
      </c>
      <c r="AR116" s="599">
        <f>AJ116-AN116</f>
        <v/>
      </c>
      <c r="AS116" s="118" t="n"/>
    </row>
    <row r="117">
      <c r="A117" s="556" t="n"/>
      <c r="B117" s="5" t="inlineStr">
        <is>
          <t>Hosur</t>
        </is>
      </c>
      <c r="C117" s="601" t="inlineStr">
        <is>
          <t xml:space="preserve">ELKAYEM AUTO MYSORE </t>
        </is>
      </c>
      <c r="D117" s="601" t="inlineStr">
        <is>
          <t>ELKAYEM AUTO Mysore</t>
        </is>
      </c>
      <c r="E117" s="601" t="n">
        <v>940921</v>
      </c>
      <c r="F117" s="557" t="n"/>
      <c r="G117" s="601">
        <f>_xlfn.CONCAT(scheduleapr[[#This Row],[CUSTOMER CODE]],"-",scheduleapr[[#This Row],[MATERIAL NO]])</f>
        <v/>
      </c>
      <c r="H117" s="557" t="n"/>
      <c r="I117" s="601" t="inlineStr">
        <is>
          <t>ERW 1</t>
        </is>
      </c>
      <c r="J117" s="557" t="n"/>
      <c r="K117" s="601" t="inlineStr">
        <is>
          <t>FC</t>
        </is>
      </c>
      <c r="L117" s="557" t="n"/>
      <c r="M117" s="558" t="n"/>
      <c r="N117" s="557" t="n"/>
      <c r="O117" s="601" t="inlineStr">
        <is>
          <t>AG</t>
        </is>
      </c>
      <c r="P117" s="557" t="n"/>
      <c r="Q117" s="557" t="n"/>
      <c r="R117" s="557" t="n"/>
      <c r="S117" s="557" t="n"/>
      <c r="T117" s="601" t="n"/>
      <c r="U117" s="601">
        <f>_xlfn.IFNA(VLOOKUP(scheduleapr[[#This Row],[Bucket]],salesforecast[[#All],[Bucket2]:[8406 Stock]],19,0),0)</f>
        <v/>
      </c>
      <c r="V117" s="601" t="n"/>
      <c r="W117" s="601" t="n"/>
      <c r="X117" s="559" t="n">
        <v>44.45</v>
      </c>
      <c r="Y117" s="559" t="n">
        <v>40</v>
      </c>
      <c r="Z117" s="559" t="n">
        <v>30</v>
      </c>
      <c r="AA117" s="559" t="n">
        <v>2</v>
      </c>
      <c r="AB117" s="600" t="n">
        <v>162</v>
      </c>
      <c r="AC117" s="81" t="inlineStr">
        <is>
          <t>NOS</t>
        </is>
      </c>
      <c r="AD117" s="600" t="n"/>
      <c r="AE117" s="600" t="n"/>
      <c r="AF117" s="557" t="n"/>
      <c r="AG117" s="557" t="n"/>
      <c r="AH117" s="601">
        <f t="array" ref="AH1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7" s="560">
        <f>scheduleapr[[#This Row],[SCHEDULE in nos]]-scheduleapr[[#This Row],[DISPATCH]]</f>
        <v/>
      </c>
      <c r="AJ117" s="559">
        <f>(3.14*(scheduleapr[[#This Row],[ACTUAL OD]]-scheduleapr[[#This Row],[TICKNESS]])*scheduleapr[[#This Row],[TICKNESS]]*scheduleapr[[#This Row],[LENGTH]]*7.85)/1000000*scheduleapr[[#This Row],[SCHEDULE in nos]]/1000</f>
        <v/>
      </c>
      <c r="AK117" s="599">
        <f>(3.14*(scheduleapr[[#This Row],[ACTUAL OD]]-scheduleapr[[#This Row],[TICKNESS]])*scheduleapr[[#This Row],[TICKNESS]]*scheduleapr[[#This Row],[LENGTH]]*7.85)/1000000*scheduleapr[[#This Row],[DISPATCH]]/1000</f>
        <v/>
      </c>
      <c r="AL117" s="599">
        <f>AJ117-AK117</f>
        <v/>
      </c>
      <c r="AM117" s="559">
        <f>scheduleapr[[#This Row],[SCHEDULE in nos]]/scheduleapr[[#This Row],[SCHEDULE IN MT]]*scheduleapr[[#This Row],[CTL Stock]]</f>
        <v/>
      </c>
      <c r="AN117" s="599">
        <f>SUMIFS(stock[MT],stock[Bucket],scheduleapr[[#This Row],[Bucket]],stock[CTL Bucket],scheduleapr[[#This Row],[CTL Bucket]],stock[Plant],"0789")</f>
        <v/>
      </c>
      <c r="AO117" s="599" t="n"/>
      <c r="AP117" s="599">
        <f>SUMIFS(stock[MT],stock[Bucket],scheduleapr[[#This Row],[Bucket]],stock[LL or CTL],"LL")</f>
        <v/>
      </c>
      <c r="AQ117" s="599">
        <f>+SUMIFS(wip[Stock(Net Wt)],wip[Bucket],scheduleapr[[#This Row],[Bucket]])/1000</f>
        <v/>
      </c>
      <c r="AR117" s="599">
        <f>AJ117-AN117</f>
        <v/>
      </c>
      <c r="AS117" s="118" t="n"/>
    </row>
    <row r="118">
      <c r="A118" s="556" t="n"/>
      <c r="B118" s="5" t="inlineStr">
        <is>
          <t>Hosur</t>
        </is>
      </c>
      <c r="C118" s="601" t="inlineStr">
        <is>
          <t xml:space="preserve">ELKAYEM AUTO MYSORE </t>
        </is>
      </c>
      <c r="D118" s="601" t="inlineStr">
        <is>
          <t>ELKAYEM AUTO Mysore</t>
        </is>
      </c>
      <c r="E118" s="601" t="n">
        <v>940921</v>
      </c>
      <c r="F118" s="557" t="n"/>
      <c r="G118" s="601">
        <f>_xlfn.CONCAT(scheduleapr[[#This Row],[CUSTOMER CODE]],"-",scheduleapr[[#This Row],[MATERIAL NO]])</f>
        <v/>
      </c>
      <c r="H118" s="557" t="n"/>
      <c r="I118" s="601" t="inlineStr">
        <is>
          <t>ERW 1</t>
        </is>
      </c>
      <c r="J118" s="557" t="n"/>
      <c r="K118" s="601" t="inlineStr">
        <is>
          <t>FC</t>
        </is>
      </c>
      <c r="L118" s="557" t="n"/>
      <c r="M118" s="558" t="n"/>
      <c r="N118" s="557" t="n"/>
      <c r="O118" s="601" t="inlineStr">
        <is>
          <t>AG</t>
        </is>
      </c>
      <c r="P118" s="557" t="n"/>
      <c r="Q118" s="557">
        <f>CONCATENATE(scheduleapr[[#This Row],[OD]],"-",scheduleapr[[#This Row],[ID]],"-",scheduleapr[[#This Row],[TICKNESS]],"-",scheduleapr[[#This Row],[Grade]],"-",scheduleapr[[#This Row],[FC/NFC]])</f>
        <v/>
      </c>
      <c r="R118" s="557">
        <f>_xlfn.CONCAT(scheduleapr[[#This Row],[Bucket]],"-",scheduleapr[[#This Row],[LENGTH]]/1000)</f>
        <v/>
      </c>
      <c r="S118" s="557" t="n"/>
      <c r="T118" s="601" t="n"/>
      <c r="U118" s="601">
        <f>_xlfn.IFNA(VLOOKUP(scheduleapr[[#This Row],[Bucket]],salesforecast[[#All],[Bucket2]:[8406 Stock]],19,0),0)</f>
        <v/>
      </c>
      <c r="V118" s="562">
        <f>_xlfn.IFNA(VLOOKUP(scheduleapr[[#This Row],[Bucket]],salesforecast[[#All],[Bucket2]:[8406 Stock]],20,0),0)+_xlfn.IFNA(VLOOKUP(scheduleapr[[#This Row],[Bucket]],salesforecast[[#All],[Bucket2]:[8406 Stock]],17,0),0)</f>
        <v/>
      </c>
      <c r="W118" s="601" t="n"/>
      <c r="X118" s="559" t="n">
        <v>44.45</v>
      </c>
      <c r="Y118" s="559" t="n">
        <v>40</v>
      </c>
      <c r="Z118" s="559" t="n">
        <v>30</v>
      </c>
      <c r="AA118" s="599" t="n">
        <v>2</v>
      </c>
      <c r="AB118" s="600" t="n">
        <v>162</v>
      </c>
      <c r="AC118" s="600" t="inlineStr">
        <is>
          <t>NOS</t>
        </is>
      </c>
      <c r="AD118" s="600" t="n"/>
      <c r="AE118" s="600" t="n"/>
      <c r="AF118" s="557" t="n"/>
      <c r="AG118" s="557" t="n"/>
      <c r="AH118" s="601">
        <f t="array" ref="AH1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8" s="602">
        <f>scheduleapr[[#This Row],[SCHEDULE in nos]]-scheduleapr[[#This Row],[DISPATCH]]</f>
        <v/>
      </c>
      <c r="AJ118" s="559">
        <f>(3.14*(scheduleapr[[#This Row],[ACTUAL OD]]-scheduleapr[[#This Row],[TICKNESS]])*scheduleapr[[#This Row],[TICKNESS]]*scheduleapr[[#This Row],[LENGTH]]*7.85)/1000000*scheduleapr[[#This Row],[SCHEDULE in nos]]/1000</f>
        <v/>
      </c>
      <c r="AK118" s="599">
        <f>(3.14*(scheduleapr[[#This Row],[ACTUAL OD]]-scheduleapr[[#This Row],[TICKNESS]])*scheduleapr[[#This Row],[TICKNESS]]*scheduleapr[[#This Row],[LENGTH]]*7.85)/1000000*scheduleapr[[#This Row],[DISPATCH]]/1000</f>
        <v/>
      </c>
      <c r="AL118" s="599">
        <f>AJ118-AK118</f>
        <v/>
      </c>
      <c r="AM118" s="559">
        <f>scheduleapr[[#This Row],[SCHEDULE in nos]]/scheduleapr[[#This Row],[SCHEDULE IN MT]]*scheduleapr[[#This Row],[CTL Stock]]</f>
        <v/>
      </c>
      <c r="AN118" s="599">
        <f>SUMIFS(stock[MT],stock[Bucket],scheduleapr[[#This Row],[Bucket]],stock[CTL Bucket],scheduleapr[[#This Row],[CTL Bucket]],stock[Plant],"0789")</f>
        <v/>
      </c>
      <c r="AO118" s="599" t="n"/>
      <c r="AP118" s="599">
        <f>SUMIFS(stock[MT],stock[Bucket],scheduleapr[[#This Row],[Bucket]],stock[LL or CTL],"LL")</f>
        <v/>
      </c>
      <c r="AQ118" s="599">
        <f>+SUMIFS(wip[Stock(Net Wt)],wip[Bucket],scheduleapr[[#This Row],[Bucket]])/1000</f>
        <v/>
      </c>
      <c r="AR118" s="599">
        <f>AJ118-AN118</f>
        <v/>
      </c>
      <c r="AS118" s="118" t="n"/>
    </row>
    <row r="119">
      <c r="A119" s="594" t="n">
        <v>93</v>
      </c>
      <c r="B119" s="5" t="inlineStr">
        <is>
          <t>Hosur</t>
        </is>
      </c>
      <c r="C119" s="601" t="inlineStr">
        <is>
          <t xml:space="preserve">ELKAYEM AUTO MYSORE </t>
        </is>
      </c>
      <c r="D119" s="601" t="inlineStr">
        <is>
          <t>ELKAYEM AUTO Mysore</t>
        </is>
      </c>
      <c r="E119" s="601" t="n">
        <v>940921</v>
      </c>
      <c r="F119" s="601" t="n">
        <v>3164112</v>
      </c>
      <c r="G119" s="601">
        <f>_xlfn.CONCAT(scheduleapr[[#This Row],[CUSTOMER CODE]],"-",scheduleapr[[#This Row],[MATERIAL NO]])</f>
        <v/>
      </c>
      <c r="H119" s="601" t="inlineStr">
        <is>
          <t>TUB-E-AW-AUT-59.00X30.00X1.600X0.6410</t>
        </is>
      </c>
      <c r="I119" s="601" t="inlineStr">
        <is>
          <t>ERW 1</t>
        </is>
      </c>
      <c r="J119" s="601" t="n"/>
      <c r="K119" s="601" t="inlineStr">
        <is>
          <t>FIN CUT</t>
        </is>
      </c>
      <c r="L119" s="601" t="inlineStr">
        <is>
          <t>HR</t>
        </is>
      </c>
      <c r="M119" s="601" t="n"/>
      <c r="N119" s="601" t="n"/>
      <c r="O119" s="601" t="n"/>
      <c r="P119" s="601" t="n"/>
      <c r="Q119" s="557">
        <f>CONCATENATE(scheduleapr[[#This Row],[OD]],"-",scheduleapr[[#This Row],[ID]],"-",scheduleapr[[#This Row],[TICKNESS]],"-",scheduleapr[[#This Row],[Grade]],"-",scheduleapr[[#This Row],[FC/NFC]])</f>
        <v/>
      </c>
      <c r="R119" s="557">
        <f>_xlfn.CONCAT(scheduleapr[[#This Row],[Bucket]],"-",scheduleapr[[#This Row],[LENGTH]]/1000)</f>
        <v/>
      </c>
      <c r="S119" s="557">
        <f>COUNTIF(scheduleapr[CTL Bucket],scheduleapr[[#This Row],[CTL Bucket]])</f>
        <v/>
      </c>
      <c r="T119" s="601" t="inlineStr">
        <is>
          <t>Hosur</t>
        </is>
      </c>
      <c r="U119" s="601">
        <f>_xlfn.IFNA(VLOOKUP(scheduleapr[[#This Row],[Bucket]],salesforecast[[#All],[Bucket2]:[8406 Stock]],19,0),0)</f>
        <v/>
      </c>
      <c r="V119" s="562">
        <f>_xlfn.IFNA(VLOOKUP(scheduleapr[[#This Row],[Bucket]],salesforecast[[#All],[Bucket2]:[8406 Stock]],20,0),0)+_xlfn.IFNA(VLOOKUP(scheduleapr[[#This Row],[Bucket]],salesforecast[[#All],[Bucket2]:[8406 Stock]],17,0),0)</f>
        <v/>
      </c>
      <c r="W119" s="557" t="n"/>
      <c r="X119" s="599" t="n">
        <v>48.6</v>
      </c>
      <c r="Y119" s="599" t="n">
        <v>59</v>
      </c>
      <c r="Z119" s="599" t="n">
        <v>30</v>
      </c>
      <c r="AA119" s="599" t="n">
        <v>1.6</v>
      </c>
      <c r="AB119" s="600" t="n">
        <v>641</v>
      </c>
      <c r="AC119" s="600" t="inlineStr">
        <is>
          <t>NOS</t>
        </is>
      </c>
      <c r="AD119" s="600" t="n"/>
      <c r="AE119" s="600" t="n"/>
      <c r="AF119" s="601" t="n">
        <v>25500</v>
      </c>
      <c r="AG119" s="601" t="n"/>
      <c r="AH119" s="601">
        <f t="array" ref="AH1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19" s="602">
        <f>scheduleapr[[#This Row],[SCHEDULE in nos]]-scheduleapr[[#This Row],[DISPATCH]]</f>
        <v/>
      </c>
      <c r="AJ119" s="599">
        <f>(3.14*(scheduleapr[[#This Row],[ACTUAL OD]]-scheduleapr[[#This Row],[TICKNESS]])*scheduleapr[[#This Row],[TICKNESS]]*scheduleapr[[#This Row],[LENGTH]]*7.85)/1000000*scheduleapr[[#This Row],[SCHEDULE in nos]]/1000</f>
        <v/>
      </c>
      <c r="AK119" s="599">
        <f>(3.14*(scheduleapr[[#This Row],[ACTUAL OD]]-scheduleapr[[#This Row],[TICKNESS]])*scheduleapr[[#This Row],[TICKNESS]]*scheduleapr[[#This Row],[LENGTH]]*7.85)/1000000*scheduleapr[[#This Row],[DISPATCH]]/1000</f>
        <v/>
      </c>
      <c r="AL119" s="599">
        <f>AJ119-AK119</f>
        <v/>
      </c>
      <c r="AM119" s="599">
        <f>scheduleapr[[#This Row],[SCHEDULE in nos]]/scheduleapr[[#This Row],[SCHEDULE IN MT]]*scheduleapr[[#This Row],[CTL Stock]]</f>
        <v/>
      </c>
      <c r="AN119" s="599">
        <f>SUMIFS(stock[MT],stock[Bucket],scheduleapr[[#This Row],[Bucket]],stock[CTL Bucket],scheduleapr[[#This Row],[CTL Bucket]],stock[Plant],"0789")</f>
        <v/>
      </c>
      <c r="AO119" s="599" t="n"/>
      <c r="AP119" s="599">
        <f>SUMIFS(stock[MT],stock[Bucket],scheduleapr[[#This Row],[Bucket]],stock[LL or CTL],"LL")</f>
        <v/>
      </c>
      <c r="AQ119" s="599">
        <f>+SUMIFS(wip[Stock(Net Wt)],wip[Bucket],scheduleapr[[#This Row],[Bucket]])/1000</f>
        <v/>
      </c>
      <c r="AR119" s="599">
        <f>AJ119-AN119</f>
        <v/>
      </c>
      <c r="AS119" s="118" t="n"/>
    </row>
    <row r="120">
      <c r="A120" s="594" t="n">
        <v>94</v>
      </c>
      <c r="B120" s="5" t="inlineStr">
        <is>
          <t>Hosur</t>
        </is>
      </c>
      <c r="C120" s="601" t="inlineStr">
        <is>
          <t xml:space="preserve">ELKAYEM AUTO MYSORE </t>
        </is>
      </c>
      <c r="D120" s="601" t="inlineStr">
        <is>
          <t>ELKAYEM AUTO Mysore</t>
        </is>
      </c>
      <c r="E120" s="601" t="n">
        <v>940921</v>
      </c>
      <c r="F120" s="601" t="n">
        <v>1940879</v>
      </c>
      <c r="G120" s="601">
        <f>_xlfn.CONCAT(scheduleapr[[#This Row],[CUSTOMER CODE]],"-",scheduleapr[[#This Row],[MATERIAL NO]])</f>
        <v/>
      </c>
      <c r="H120" s="601" t="inlineStr">
        <is>
          <t>TUB-R-AW-RHS-50.00X30.00X1.600X0.6360</t>
        </is>
      </c>
      <c r="I120" s="601" t="inlineStr">
        <is>
          <t>ERW 1</t>
        </is>
      </c>
      <c r="J120" s="601" t="n"/>
      <c r="K120" s="601" t="inlineStr">
        <is>
          <t>FC</t>
        </is>
      </c>
      <c r="L120" s="601" t="inlineStr">
        <is>
          <t>HR</t>
        </is>
      </c>
      <c r="M120" s="601" t="inlineStr">
        <is>
          <t>GR1</t>
        </is>
      </c>
      <c r="N120" s="601" t="n"/>
      <c r="O120" s="601" t="n"/>
      <c r="P120" s="601" t="n"/>
      <c r="Q120" s="557">
        <f>CONCATENATE(scheduleapr[[#This Row],[OD]],"-",scheduleapr[[#This Row],[ID]],"-",scheduleapr[[#This Row],[TICKNESS]],"-",scheduleapr[[#This Row],[Grade]],"-",scheduleapr[[#This Row],[FC/NFC]])</f>
        <v/>
      </c>
      <c r="R120" s="557">
        <f>_xlfn.CONCAT(scheduleapr[[#This Row],[Bucket]],"-",scheduleapr[[#This Row],[LENGTH]]/1000)</f>
        <v/>
      </c>
      <c r="S120" s="557">
        <f>COUNTIF(scheduleapr[CTL Bucket],scheduleapr[[#This Row],[CTL Bucket]])</f>
        <v/>
      </c>
      <c r="T120" s="601" t="inlineStr">
        <is>
          <t>Hosur</t>
        </is>
      </c>
      <c r="U120" s="601">
        <f>_xlfn.IFNA(VLOOKUP(scheduleapr[[#This Row],[Bucket]],salesforecast[[#All],[Bucket2]:[8406 Stock]],19,0),0)</f>
        <v/>
      </c>
      <c r="V120" s="562">
        <f>_xlfn.IFNA(VLOOKUP(scheduleapr[[#This Row],[Bucket]],salesforecast[[#All],[Bucket2]:[8406 Stock]],20,0),0)+_xlfn.IFNA(VLOOKUP(scheduleapr[[#This Row],[Bucket]],salesforecast[[#All],[Bucket2]:[8406 Stock]],17,0),0)</f>
        <v/>
      </c>
      <c r="W120" s="557" t="n"/>
      <c r="X120" s="599" t="n">
        <v>50.8</v>
      </c>
      <c r="Y120" s="599" t="n">
        <v>50</v>
      </c>
      <c r="Z120" s="599" t="n">
        <v>30</v>
      </c>
      <c r="AA120" s="599" t="n">
        <v>1.6</v>
      </c>
      <c r="AB120" s="600" t="n">
        <v>636</v>
      </c>
      <c r="AC120" s="600" t="inlineStr">
        <is>
          <t>NOS</t>
        </is>
      </c>
      <c r="AD120" s="600" t="n"/>
      <c r="AE120" s="600" t="n"/>
      <c r="AF120" s="601" t="n">
        <v>21250</v>
      </c>
      <c r="AG120" s="601" t="n"/>
      <c r="AH120" s="601">
        <f t="array" ref="AH1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0" s="602">
        <f>scheduleapr[[#This Row],[SCHEDULE in nos]]-scheduleapr[[#This Row],[DISPATCH]]</f>
        <v/>
      </c>
      <c r="AJ120" s="599">
        <f>(3.14*(scheduleapr[[#This Row],[ACTUAL OD]]-scheduleapr[[#This Row],[TICKNESS]])*scheduleapr[[#This Row],[TICKNESS]]*scheduleapr[[#This Row],[LENGTH]]*7.85)/1000000*scheduleapr[[#This Row],[SCHEDULE in nos]]/1000</f>
        <v/>
      </c>
      <c r="AK120" s="599">
        <f>(3.14*(scheduleapr[[#This Row],[ACTUAL OD]]-scheduleapr[[#This Row],[TICKNESS]])*scheduleapr[[#This Row],[TICKNESS]]*scheduleapr[[#This Row],[LENGTH]]*7.85)/1000000*scheduleapr[[#This Row],[DISPATCH]]/1000</f>
        <v/>
      </c>
      <c r="AL120" s="599">
        <f>AJ120-AK120</f>
        <v/>
      </c>
      <c r="AM120" s="599">
        <f>scheduleapr[[#This Row],[SCHEDULE in nos]]/scheduleapr[[#This Row],[SCHEDULE IN MT]]*scheduleapr[[#This Row],[CTL Stock]]</f>
        <v/>
      </c>
      <c r="AN120" s="599">
        <f>SUMIFS(stock[MT],stock[Bucket],scheduleapr[[#This Row],[Bucket]],stock[CTL Bucket],scheduleapr[[#This Row],[CTL Bucket]],stock[Plant],"0789")</f>
        <v/>
      </c>
      <c r="AO120" s="599" t="n"/>
      <c r="AP120" s="599">
        <f>SUMIFS(stock[MT],stock[Bucket],scheduleapr[[#This Row],[Bucket]],stock[LL or CTL],"LL")</f>
        <v/>
      </c>
      <c r="AQ120" s="599">
        <f>+SUMIFS(wip[Stock(Net Wt)],wip[Bucket],scheduleapr[[#This Row],[Bucket]])/1000</f>
        <v/>
      </c>
      <c r="AR120" s="599">
        <f>AJ120-AN120</f>
        <v/>
      </c>
      <c r="AS120" s="118" t="n"/>
    </row>
    <row r="121">
      <c r="A121" s="594" t="n">
        <v>95</v>
      </c>
      <c r="B121" s="5" t="inlineStr">
        <is>
          <t>Hosur</t>
        </is>
      </c>
      <c r="C121" s="601" t="inlineStr">
        <is>
          <t xml:space="preserve">ELKAYEM AUTO MYSORE </t>
        </is>
      </c>
      <c r="D121" s="601" t="inlineStr">
        <is>
          <t>ELKAYEM AUTO Mysore</t>
        </is>
      </c>
      <c r="E121" s="601" t="n">
        <v>940921</v>
      </c>
      <c r="F121" s="601" t="n">
        <v>460176</v>
      </c>
      <c r="G121" s="601">
        <f>_xlfn.CONCAT(scheduleapr[[#This Row],[CUSTOMER CODE]],"-",scheduleapr[[#This Row],[MATERIAL NO]])</f>
        <v/>
      </c>
      <c r="H121" s="601" t="inlineStr">
        <is>
          <t>PT4-O-N-AUT-NR-AG-57.15X2.000X0.713</t>
        </is>
      </c>
      <c r="I121" s="601" t="inlineStr">
        <is>
          <t>ERW 1</t>
        </is>
      </c>
      <c r="J121" s="601" t="n"/>
      <c r="K121" s="601" t="inlineStr">
        <is>
          <t>FC</t>
        </is>
      </c>
      <c r="L121" s="601" t="inlineStr">
        <is>
          <t>HR</t>
        </is>
      </c>
      <c r="M121" s="601" t="n"/>
      <c r="N121" s="601" t="n"/>
      <c r="O121" s="601" t="inlineStr">
        <is>
          <t>AG</t>
        </is>
      </c>
      <c r="P121" s="601" t="n"/>
      <c r="Q121" s="557">
        <f>CONCATENATE(scheduleapr[[#This Row],[OD]],"-",scheduleapr[[#This Row],[ID]],"-",scheduleapr[[#This Row],[TICKNESS]],"-",scheduleapr[[#This Row],[Grade]],"-",scheduleapr[[#This Row],[FC/NFC]])</f>
        <v/>
      </c>
      <c r="R121" s="557">
        <f>_xlfn.CONCAT(scheduleapr[[#This Row],[Bucket]],"-",scheduleapr[[#This Row],[LENGTH]]/1000)</f>
        <v/>
      </c>
      <c r="S121" s="557">
        <f>COUNTIF(scheduleapr[CTL Bucket],scheduleapr[[#This Row],[CTL Bucket]])</f>
        <v/>
      </c>
      <c r="T121" s="601" t="inlineStr">
        <is>
          <t>Hosur</t>
        </is>
      </c>
      <c r="U121" s="601">
        <f>_xlfn.IFNA(VLOOKUP(scheduleapr[[#This Row],[Bucket]],salesforecast[[#All],[Bucket2]:[8406 Stock]],19,0),0)</f>
        <v/>
      </c>
      <c r="V121" s="562">
        <f>_xlfn.IFNA(VLOOKUP(scheduleapr[[#This Row],[Bucket]],salesforecast[[#All],[Bucket2]:[8406 Stock]],20,0),0)+_xlfn.IFNA(VLOOKUP(scheduleapr[[#This Row],[Bucket]],salesforecast[[#All],[Bucket2]:[8406 Stock]],17,0),0)</f>
        <v/>
      </c>
      <c r="W121" s="557" t="n"/>
      <c r="X121" s="599" t="n">
        <v>57.15</v>
      </c>
      <c r="Y121" s="599" t="n">
        <v>57.15</v>
      </c>
      <c r="Z121" s="599" t="n">
        <v>0</v>
      </c>
      <c r="AA121" s="599" t="n">
        <v>2</v>
      </c>
      <c r="AB121" s="600" t="n">
        <v>713</v>
      </c>
      <c r="AC121" s="600" t="inlineStr">
        <is>
          <t>NOS</t>
        </is>
      </c>
      <c r="AD121" s="600" t="n"/>
      <c r="AE121" s="600" t="n"/>
      <c r="AF121" s="601" t="n">
        <v>8500</v>
      </c>
      <c r="AG121" s="601" t="n"/>
      <c r="AH121" s="601">
        <f t="array" ref="AH1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1" s="602">
        <f>scheduleapr[[#This Row],[SCHEDULE in nos]]-scheduleapr[[#This Row],[DISPATCH]]</f>
        <v/>
      </c>
      <c r="AJ121" s="599">
        <f>(3.14*(scheduleapr[[#This Row],[ACTUAL OD]]-scheduleapr[[#This Row],[TICKNESS]])*scheduleapr[[#This Row],[TICKNESS]]*scheduleapr[[#This Row],[LENGTH]]*7.85)/1000000*scheduleapr[[#This Row],[SCHEDULE in nos]]/1000</f>
        <v/>
      </c>
      <c r="AK121" s="599">
        <f>(3.14*(scheduleapr[[#This Row],[ACTUAL OD]]-scheduleapr[[#This Row],[TICKNESS]])*scheduleapr[[#This Row],[TICKNESS]]*scheduleapr[[#This Row],[LENGTH]]*7.85)/1000000*scheduleapr[[#This Row],[DISPATCH]]/1000</f>
        <v/>
      </c>
      <c r="AL121" s="599">
        <f>AJ121-AK121</f>
        <v/>
      </c>
      <c r="AM121" s="599">
        <f>scheduleapr[[#This Row],[SCHEDULE in nos]]/scheduleapr[[#This Row],[SCHEDULE IN MT]]*scheduleapr[[#This Row],[CTL Stock]]</f>
        <v/>
      </c>
      <c r="AN121" s="599">
        <f>SUMIFS(stock[MT],stock[Bucket],scheduleapr[[#This Row],[Bucket]],stock[CTL Bucket],scheduleapr[[#This Row],[CTL Bucket]],stock[Plant],"0789")</f>
        <v/>
      </c>
      <c r="AO121" s="599" t="n"/>
      <c r="AP121" s="599">
        <f>SUMIFS(stock[MT],stock[Bucket],scheduleapr[[#This Row],[Bucket]],stock[LL or CTL],"LL")</f>
        <v/>
      </c>
      <c r="AQ121" s="599">
        <f>+SUMIFS(wip[Stock(Net Wt)],wip[Bucket],scheduleapr[[#This Row],[Bucket]])/1000</f>
        <v/>
      </c>
      <c r="AR121" s="599">
        <f>AJ121-AN121</f>
        <v/>
      </c>
      <c r="AS121" s="118" t="n"/>
    </row>
    <row r="122">
      <c r="A122" s="594" t="n">
        <v>97</v>
      </c>
      <c r="B122" s="5" t="inlineStr">
        <is>
          <t xml:space="preserve">Khopoli </t>
        </is>
      </c>
      <c r="C122" s="601" t="inlineStr">
        <is>
          <t>KAY JAY</t>
        </is>
      </c>
      <c r="D122" s="601" t="inlineStr">
        <is>
          <t>Kay Jay</t>
        </is>
      </c>
      <c r="E122" s="601" t="n">
        <v>188934</v>
      </c>
      <c r="F122" s="557" t="n">
        <v>3940551</v>
      </c>
      <c r="G122" s="601">
        <f>_xlfn.CONCAT(scheduleapr[[#This Row],[CUSTOMER CODE]],"-",scheduleapr[[#This Row],[MATERIAL NO]])</f>
        <v/>
      </c>
      <c r="H122" s="601" t="inlineStr">
        <is>
          <t>CUT-O-C-AUT-AD-FC-29.40X4.500X0.3600</t>
        </is>
      </c>
      <c r="I122" s="601" t="inlineStr">
        <is>
          <t>CEW</t>
        </is>
      </c>
      <c r="J122" s="557" t="n"/>
      <c r="K122" s="601" t="inlineStr">
        <is>
          <t>CEW</t>
        </is>
      </c>
      <c r="L122" s="601" t="inlineStr">
        <is>
          <t>HR</t>
        </is>
      </c>
      <c r="M122" s="557" t="n"/>
      <c r="N122" s="557" t="inlineStr">
        <is>
          <t>Chamferring</t>
        </is>
      </c>
      <c r="O122" s="557" t="n"/>
      <c r="P122" s="557" t="n"/>
      <c r="Q122" s="557">
        <f>CONCATENATE(scheduleapr[[#This Row],[OD]],"-",scheduleapr[[#This Row],[ID]],"-",scheduleapr[[#This Row],[TICKNESS]],"-",scheduleapr[[#This Row],[Grade]],"-",scheduleapr[[#This Row],[FC/NFC]])</f>
        <v/>
      </c>
      <c r="R122" s="557">
        <f>_xlfn.CONCAT(scheduleapr[[#This Row],[Bucket]],"-",scheduleapr[[#This Row],[LENGTH]]/1000)</f>
        <v/>
      </c>
      <c r="S122" s="557">
        <f>COUNTIF(scheduleapr[CTL Bucket],scheduleapr[[#This Row],[CTL Bucket]])</f>
        <v/>
      </c>
      <c r="T122" s="601" t="inlineStr">
        <is>
          <t>Khopoli</t>
        </is>
      </c>
      <c r="U122" s="601" t="n"/>
      <c r="V122" s="557" t="n"/>
      <c r="W122" s="557" t="n"/>
      <c r="X122" s="599" t="n">
        <v>29.4</v>
      </c>
      <c r="Y122" s="599" t="n">
        <v>29.4</v>
      </c>
      <c r="Z122" s="599" t="n">
        <v>20.4</v>
      </c>
      <c r="AA122" s="599" t="n">
        <v>4.5</v>
      </c>
      <c r="AB122" s="600" t="n">
        <v>360</v>
      </c>
      <c r="AC122" s="600" t="inlineStr">
        <is>
          <t>NOS</t>
        </is>
      </c>
      <c r="AD122" s="600" t="n"/>
      <c r="AE122" s="600" t="n"/>
      <c r="AF122" s="601" t="n"/>
      <c r="AG122" s="601" t="n"/>
      <c r="AH122" s="601">
        <f t="array" ref="AH1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2" s="602">
        <f>scheduleapr[[#This Row],[SCHEDULE in nos]]-scheduleapr[[#This Row],[DISPATCH]]</f>
        <v/>
      </c>
      <c r="AJ122" s="599">
        <f>(3.14*(scheduleapr[[#This Row],[ACTUAL OD]]-scheduleapr[[#This Row],[TICKNESS]])*scheduleapr[[#This Row],[TICKNESS]]*scheduleapr[[#This Row],[LENGTH]]*7.85)/1000000*scheduleapr[[#This Row],[SCHEDULE in nos]]/1000</f>
        <v/>
      </c>
      <c r="AK122" s="599">
        <f>(3.14*(scheduleapr[[#This Row],[ACTUAL OD]]-scheduleapr[[#This Row],[TICKNESS]])*scheduleapr[[#This Row],[TICKNESS]]*scheduleapr[[#This Row],[LENGTH]]*7.85)/1000000*scheduleapr[[#This Row],[DISPATCH]]/1000</f>
        <v/>
      </c>
      <c r="AL122" s="599">
        <f>AJ122-AK122</f>
        <v/>
      </c>
      <c r="AM122" s="599">
        <f>scheduleapr[[#This Row],[SCHEDULE in nos]]/scheduleapr[[#This Row],[SCHEDULE IN MT]]*scheduleapr[[#This Row],[CTL Stock]]</f>
        <v/>
      </c>
      <c r="AN122" s="599">
        <f>SUMIFS(stock[MT],stock[Bucket],scheduleapr[[#This Row],[Bucket]],stock[CTL Bucket],scheduleapr[[#This Row],[CTL Bucket]],stock[Plant],"0789")</f>
        <v/>
      </c>
      <c r="AO122" s="599" t="n"/>
      <c r="AP122" s="599">
        <f>SUMIFS(stock[MT],stock[Bucket],scheduleapr[[#This Row],[Bucket]],stock[LL or CTL],"LL")</f>
        <v/>
      </c>
      <c r="AQ122" s="599">
        <f>+SUMIFS(wip[Stock(Net Wt)],wip[Bucket],scheduleapr[[#This Row],[Bucket]])/1000</f>
        <v/>
      </c>
      <c r="AR122" s="599">
        <f>AJ122-AN122</f>
        <v/>
      </c>
      <c r="AS122" s="118" t="n"/>
    </row>
    <row r="123">
      <c r="A123" s="594" t="n">
        <v>104</v>
      </c>
      <c r="B123" s="5" t="inlineStr">
        <is>
          <t xml:space="preserve">Khopoli </t>
        </is>
      </c>
      <c r="C123" s="601" t="inlineStr">
        <is>
          <t>KAY JAY</t>
        </is>
      </c>
      <c r="D123" s="601" t="inlineStr">
        <is>
          <t>Kay Jay</t>
        </is>
      </c>
      <c r="E123" s="601" t="n">
        <v>188934</v>
      </c>
      <c r="F123" s="601" t="n">
        <v>1930110</v>
      </c>
      <c r="G123" s="601">
        <f>_xlfn.CONCAT(scheduleapr[[#This Row],[CUSTOMER CODE]],"-",scheduleapr[[#This Row],[MATERIAL NO]])</f>
        <v/>
      </c>
      <c r="H123" s="601" t="inlineStr">
        <is>
          <t>TUB-O-C-CEW-AD-FC-29.40X4.500X5.2000</t>
        </is>
      </c>
      <c r="I123" s="601" t="inlineStr">
        <is>
          <t>CEW</t>
        </is>
      </c>
      <c r="J123" s="601" t="n"/>
      <c r="K123" s="601" t="inlineStr">
        <is>
          <t>CEW</t>
        </is>
      </c>
      <c r="L123" s="601" t="inlineStr">
        <is>
          <t>HR</t>
        </is>
      </c>
      <c r="M123" s="601" t="n"/>
      <c r="N123" s="601" t="n"/>
      <c r="O123" s="601" t="n"/>
      <c r="P123" s="601" t="n"/>
      <c r="Q123" s="557">
        <f>CONCATENATE(scheduleapr[[#This Row],[OD]],"-",scheduleapr[[#This Row],[ID]],"-",scheduleapr[[#This Row],[TICKNESS]],"-",scheduleapr[[#This Row],[Grade]],"-",scheduleapr[[#This Row],[FC/NFC]])</f>
        <v/>
      </c>
      <c r="R123" s="557">
        <f>_xlfn.CONCAT(scheduleapr[[#This Row],[Bucket]],"-",scheduleapr[[#This Row],[LENGTH]]/1000)</f>
        <v/>
      </c>
      <c r="S123" s="557">
        <f>COUNTIF([2]!buckets[CTL Bucket],[2]!scheduleapr[[#This Row],[CTL Bucket]])</f>
        <v/>
      </c>
      <c r="T123" s="557" t="n"/>
      <c r="U123" s="557" t="n"/>
      <c r="V123" s="557" t="n"/>
      <c r="W123" s="557" t="n"/>
      <c r="X123" s="599" t="n">
        <v>29.4</v>
      </c>
      <c r="Y123" s="599" t="n">
        <v>29.4</v>
      </c>
      <c r="Z123" s="599" t="n">
        <v>20.4</v>
      </c>
      <c r="AA123" s="599" t="n">
        <v>4.5</v>
      </c>
      <c r="AB123" s="600" t="n">
        <v>5200</v>
      </c>
      <c r="AC123" s="600" t="n"/>
      <c r="AD123" s="600" t="n"/>
      <c r="AE123" s="600" t="n"/>
      <c r="AF123" s="601" t="n"/>
      <c r="AG123" s="601" t="n"/>
      <c r="AH123" s="601">
        <f t="array" ref="AH1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3" s="602">
        <f>scheduleapr[[#This Row],[SCHEDULE in nos]]-scheduleapr[[#This Row],[DISPATCH]]</f>
        <v/>
      </c>
      <c r="AJ123" s="599">
        <f>(3.14*(scheduleapr[[#This Row],[ACTUAL OD]]-scheduleapr[[#This Row],[TICKNESS]])*scheduleapr[[#This Row],[TICKNESS]]*scheduleapr[[#This Row],[LENGTH]]*7.85)/1000000*scheduleapr[[#This Row],[SCHEDULE in nos]]/1000</f>
        <v/>
      </c>
      <c r="AK123" s="599">
        <f>(3.14*(scheduleapr[[#This Row],[ACTUAL OD]]-scheduleapr[[#This Row],[TICKNESS]])*scheduleapr[[#This Row],[TICKNESS]]*scheduleapr[[#This Row],[LENGTH]]*7.85)/1000000*scheduleapr[[#This Row],[DISPATCH]]/1000</f>
        <v/>
      </c>
      <c r="AL123" s="599">
        <f>AJ123-AK123</f>
        <v/>
      </c>
      <c r="AM123" s="599">
        <f>scheduleapr[[#This Row],[SCHEDULE in nos]]/scheduleapr[[#This Row],[SCHEDULE IN MT]]*scheduleapr[[#This Row],[CTL Stock]]</f>
        <v/>
      </c>
      <c r="AN123" s="599">
        <f>SUMIFS(stock[MT],stock[Bucket],scheduleapr[[#This Row],[Bucket]],stock[CTL Bucket],scheduleapr[[#This Row],[CTL Bucket]],stock[Plant],"0789")</f>
        <v/>
      </c>
      <c r="AO123" s="599" t="n"/>
      <c r="AP123" s="599">
        <f>SUMIFS(stock[MT],stock[Bucket],scheduleapr[[#This Row],[Bucket]],stock[LL or CTL],"LL")</f>
        <v/>
      </c>
      <c r="AQ123" s="599">
        <f>+SUMIFS(wip[Stock(Net Wt)],wip[Bucket],scheduleapr[[#This Row],[Bucket]])/1000</f>
        <v/>
      </c>
      <c r="AR123" s="599">
        <f>AJ123-AN123</f>
        <v/>
      </c>
      <c r="AS123" s="118" t="n"/>
    </row>
    <row r="124">
      <c r="A124" s="594" t="n">
        <v>96</v>
      </c>
      <c r="B124" s="5" t="inlineStr">
        <is>
          <t xml:space="preserve">Khopoli </t>
        </is>
      </c>
      <c r="C124" s="601" t="inlineStr">
        <is>
          <t>KAY JAY</t>
        </is>
      </c>
      <c r="D124" s="601" t="inlineStr">
        <is>
          <t>Kay Jay</t>
        </is>
      </c>
      <c r="E124" s="601" t="n">
        <v>188934</v>
      </c>
      <c r="F124" s="601" t="n">
        <v>3190072</v>
      </c>
      <c r="G124" s="601">
        <f>_xlfn.CONCAT(scheduleapr[[#This Row],[CUSTOMER CODE]],"-",scheduleapr[[#This Row],[MATERIAL NO]])</f>
        <v/>
      </c>
      <c r="H124" s="601" t="inlineStr">
        <is>
          <t>TUB-O-C-AUT-AD-FC-29.40X4.500X0.3570</t>
        </is>
      </c>
      <c r="I124" s="601" t="inlineStr">
        <is>
          <t xml:space="preserve">CEW </t>
        </is>
      </c>
      <c r="J124" s="601" t="n"/>
      <c r="K124" s="601" t="inlineStr">
        <is>
          <t>CEW</t>
        </is>
      </c>
      <c r="L124" s="601" t="inlineStr">
        <is>
          <t>HR</t>
        </is>
      </c>
      <c r="M124" s="601" t="n"/>
      <c r="N124" s="601" t="inlineStr">
        <is>
          <t>Chamferring</t>
        </is>
      </c>
      <c r="O124" s="601" t="n"/>
      <c r="P124" s="601" t="n"/>
      <c r="Q124" s="601" t="inlineStr">
        <is>
          <t>29.4-20.4-4.5-CEW-CEW</t>
        </is>
      </c>
      <c r="R124" s="557">
        <f>_xlfn.CONCAT(scheduleapr[[#This Row],[Bucket]],"-",scheduleapr[[#This Row],[LENGTH]]/1000)</f>
        <v/>
      </c>
      <c r="S124" s="557">
        <f>COUNTIF([2]!buckets[CTL Bucket],[2]!scheduleapr[[#This Row],[CTL Bucket]])</f>
        <v/>
      </c>
      <c r="T124" s="557" t="n"/>
      <c r="U124" s="601">
        <f>_xlfn.IFNA(VLOOKUP(scheduleapr[[#This Row],[Bucket]],salesforecast[[#All],[Bucket2]:[8406 Stock]],19,0),0)</f>
        <v/>
      </c>
      <c r="V124" s="557" t="n"/>
      <c r="W124" s="557" t="n"/>
      <c r="X124" s="599" t="n">
        <v>29.4</v>
      </c>
      <c r="Y124" s="599" t="n">
        <v>29.4</v>
      </c>
      <c r="Z124" s="599" t="n">
        <v>20.4</v>
      </c>
      <c r="AA124" s="599" t="n">
        <v>4.5</v>
      </c>
      <c r="AB124" s="600" t="n">
        <v>357</v>
      </c>
      <c r="AC124" s="600" t="inlineStr">
        <is>
          <t>NOS</t>
        </is>
      </c>
      <c r="AD124" s="600" t="n"/>
      <c r="AE124" s="600" t="n"/>
      <c r="AF124" s="601" t="n">
        <v>45000</v>
      </c>
      <c r="AG124" s="601" t="n"/>
      <c r="AH124" s="601">
        <f t="array" ref="AH1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4" s="602">
        <f>scheduleapr[[#This Row],[SCHEDULE in nos]]-scheduleapr[[#This Row],[DISPATCH]]</f>
        <v/>
      </c>
      <c r="AJ124" s="599">
        <f>(3.14*(scheduleapr[[#This Row],[ACTUAL OD]]-scheduleapr[[#This Row],[TICKNESS]])*scheduleapr[[#This Row],[TICKNESS]]*scheduleapr[[#This Row],[LENGTH]]*7.85)/1000000*scheduleapr[[#This Row],[SCHEDULE in nos]]/1000</f>
        <v/>
      </c>
      <c r="AK124" s="599">
        <f>(3.14*(scheduleapr[[#This Row],[ACTUAL OD]]-scheduleapr[[#This Row],[TICKNESS]])*scheduleapr[[#This Row],[TICKNESS]]*scheduleapr[[#This Row],[LENGTH]]*7.85)/1000000*scheduleapr[[#This Row],[DISPATCH]]/1000</f>
        <v/>
      </c>
      <c r="AL124" s="599">
        <f>AJ124-AK124</f>
        <v/>
      </c>
      <c r="AM124" s="599">
        <f>scheduleapr[[#This Row],[SCHEDULE in nos]]/scheduleapr[[#This Row],[SCHEDULE IN MT]]*scheduleapr[[#This Row],[CTL Stock]]</f>
        <v/>
      </c>
      <c r="AN124" s="599">
        <f>SUMIFS(stock[MT],stock[Bucket],scheduleapr[[#This Row],[Bucket]],stock[CTL Bucket],scheduleapr[[#This Row],[CTL Bucket]],stock[Plant],"0789")</f>
        <v/>
      </c>
      <c r="AO124" s="599" t="n"/>
      <c r="AP124" s="599">
        <f>SUMIFS(stock[MT],stock[Bucket],scheduleapr[[#This Row],[Bucket]],stock[LL or CTL],"LL")</f>
        <v/>
      </c>
      <c r="AQ124" s="599">
        <f>+SUMIFS(wip[Stock(Net Wt)],wip[Bucket],scheduleapr[[#This Row],[Bucket]])/1000</f>
        <v/>
      </c>
      <c r="AR124" s="599">
        <f>AJ124-AN124</f>
        <v/>
      </c>
      <c r="AS124" s="118" t="n"/>
    </row>
    <row r="125">
      <c r="A125" s="594" t="n">
        <v>101</v>
      </c>
      <c r="B125" s="5" t="inlineStr">
        <is>
          <t xml:space="preserve">Khopoli </t>
        </is>
      </c>
      <c r="C125" s="601" t="inlineStr">
        <is>
          <t>KAY JAY</t>
        </is>
      </c>
      <c r="D125" s="601" t="inlineStr">
        <is>
          <t>Kay Jay</t>
        </is>
      </c>
      <c r="E125" s="601" t="n">
        <v>188934</v>
      </c>
      <c r="F125" s="9" t="n">
        <v>3983443</v>
      </c>
      <c r="G125" s="601">
        <f>_xlfn.CONCAT(scheduleapr[[#This Row],[CUSTOMER CODE]],"-",scheduleapr[[#This Row],[MATERIAL NO]])</f>
        <v/>
      </c>
      <c r="H125" s="9" t="inlineStr">
        <is>
          <t>CUT-O-C-AUT-AN-FC-29.35X4.400X0.3780</t>
        </is>
      </c>
      <c r="I125" s="601" t="inlineStr">
        <is>
          <t>CEW STKM 13C</t>
        </is>
      </c>
      <c r="J125" s="601" t="n"/>
      <c r="K125" s="601" t="inlineStr">
        <is>
          <t>CEW</t>
        </is>
      </c>
      <c r="L125" s="601" t="n"/>
      <c r="M125" s="601" t="n"/>
      <c r="N125" s="601" t="n"/>
      <c r="O125" s="601" t="n"/>
      <c r="P125" s="601" t="n"/>
      <c r="Q125" s="557">
        <f>CONCATENATE(scheduleapr[[#This Row],[OD]],"-",scheduleapr[[#This Row],[ID]],"-",scheduleapr[[#This Row],[TICKNESS]],"-",scheduleapr[[#This Row],[Grade]],"-",scheduleapr[[#This Row],[FC/NFC]])</f>
        <v/>
      </c>
      <c r="R125" s="557">
        <f>_xlfn.CONCAT(scheduleapr[[#This Row],[Bucket]],"-",scheduleapr[[#This Row],[LENGTH]]/1000)</f>
        <v/>
      </c>
      <c r="S125" s="557">
        <f>COUNTIF([2]!buckets[CTL Bucket],[2]!scheduleapr[[#This Row],[CTL Bucket]])</f>
        <v/>
      </c>
      <c r="T125" s="557" t="n"/>
      <c r="U125" s="557" t="n"/>
      <c r="V125" s="557" t="n"/>
      <c r="W125" s="557" t="n"/>
      <c r="X125" s="599" t="n">
        <v>29.35</v>
      </c>
      <c r="Y125" s="599" t="n">
        <v>29.35</v>
      </c>
      <c r="Z125" s="599" t="n">
        <v>20.4</v>
      </c>
      <c r="AA125" s="599" t="n">
        <v>4.4</v>
      </c>
      <c r="AB125" s="600" t="n">
        <v>378</v>
      </c>
      <c r="AC125" s="600" t="inlineStr">
        <is>
          <t>NOS</t>
        </is>
      </c>
      <c r="AD125" s="600" t="n"/>
      <c r="AE125" s="600" t="n"/>
      <c r="AF125" s="601" t="n"/>
      <c r="AG125" s="601" t="n"/>
      <c r="AH125" s="601">
        <f t="array" ref="AH1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5" s="602">
        <f>scheduleapr[[#This Row],[SCHEDULE in nos]]-scheduleapr[[#This Row],[DISPATCH]]</f>
        <v/>
      </c>
      <c r="AJ125" s="599">
        <f>(3.14*(scheduleapr[[#This Row],[ACTUAL OD]]-scheduleapr[[#This Row],[TICKNESS]])*scheduleapr[[#This Row],[TICKNESS]]*scheduleapr[[#This Row],[LENGTH]]*7.85)/1000000*scheduleapr[[#This Row],[SCHEDULE in nos]]/1000</f>
        <v/>
      </c>
      <c r="AK125" s="599">
        <f>(3.14*(scheduleapr[[#This Row],[ACTUAL OD]]-scheduleapr[[#This Row],[TICKNESS]])*scheduleapr[[#This Row],[TICKNESS]]*scheduleapr[[#This Row],[LENGTH]]*7.85)/1000000*scheduleapr[[#This Row],[DISPATCH]]/1000</f>
        <v/>
      </c>
      <c r="AL125" s="599">
        <f>AJ125-AK125</f>
        <v/>
      </c>
      <c r="AM125" s="599">
        <f>scheduleapr[[#This Row],[SCHEDULE in nos]]/scheduleapr[[#This Row],[SCHEDULE IN MT]]*scheduleapr[[#This Row],[CTL Stock]]</f>
        <v/>
      </c>
      <c r="AN125" s="599">
        <f>SUMIFS(stock[MT],stock[Bucket],scheduleapr[[#This Row],[Bucket]],stock[CTL Bucket],scheduleapr[[#This Row],[CTL Bucket]],stock[Plant],"0789")</f>
        <v/>
      </c>
      <c r="AO125" s="599" t="n"/>
      <c r="AP125" s="599">
        <f>SUMIFS(stock[MT],stock[Bucket],scheduleapr[[#This Row],[Bucket]],stock[LL or CTL],"LL")</f>
        <v/>
      </c>
      <c r="AQ125" s="599">
        <f>+SUMIFS(wip[Stock(Net Wt)],wip[Bucket],scheduleapr[[#This Row],[Bucket]])/1000</f>
        <v/>
      </c>
      <c r="AR125" s="599">
        <f>AJ125-AN125</f>
        <v/>
      </c>
      <c r="AS125" s="118" t="n"/>
    </row>
    <row r="126">
      <c r="A126" s="594" t="n">
        <v>98</v>
      </c>
      <c r="B126" s="5" t="inlineStr">
        <is>
          <t xml:space="preserve">Khopoli </t>
        </is>
      </c>
      <c r="C126" s="601" t="inlineStr">
        <is>
          <t>KAY JAY</t>
        </is>
      </c>
      <c r="D126" s="601" t="inlineStr">
        <is>
          <t>Kay Jay</t>
        </is>
      </c>
      <c r="E126" s="601" t="n">
        <v>188934</v>
      </c>
      <c r="F126" s="601" t="n">
        <v>1941303</v>
      </c>
      <c r="G126" s="601">
        <f>_xlfn.CONCAT(scheduleapr[[#This Row],[CUSTOMER CODE]],"-",scheduleapr[[#This Row],[MATERIAL NO]])</f>
        <v/>
      </c>
      <c r="H126" s="601" t="inlineStr">
        <is>
          <t>TUB-O-C-AUT-AD-FC-29.40X4.500X0.3610</t>
        </is>
      </c>
      <c r="I126" s="601" t="inlineStr">
        <is>
          <t>CEW STKM 13C</t>
        </is>
      </c>
      <c r="J126" s="601" t="n"/>
      <c r="K126" s="601" t="inlineStr">
        <is>
          <t>CEW</t>
        </is>
      </c>
      <c r="L126" s="601" t="inlineStr">
        <is>
          <t>HR</t>
        </is>
      </c>
      <c r="M126" s="601" t="n"/>
      <c r="N126" s="601" t="inlineStr">
        <is>
          <t>Chamferring</t>
        </is>
      </c>
      <c r="O126" s="601" t="n"/>
      <c r="P126" s="601" t="n"/>
      <c r="Q126" s="557">
        <f>CONCATENATE(scheduleapr[[#This Row],[OD]],"-",scheduleapr[[#This Row],[ID]],"-",scheduleapr[[#This Row],[TICKNESS]],"-",scheduleapr[[#This Row],[Grade]],"-",scheduleapr[[#This Row],[FC/NFC]])</f>
        <v/>
      </c>
      <c r="R126" s="557">
        <f>_xlfn.CONCAT(scheduleapr[[#This Row],[Bucket]],"-",scheduleapr[[#This Row],[LENGTH]]/1000)</f>
        <v/>
      </c>
      <c r="S126" s="557">
        <f>COUNTIF(scheduleapr[CTL Bucket],scheduleapr[[#This Row],[CTL Bucket]])</f>
        <v/>
      </c>
      <c r="T126" s="601" t="inlineStr">
        <is>
          <t>Khopoli</t>
        </is>
      </c>
      <c r="U126" s="601">
        <f>_xlfn.IFNA(VLOOKUP(scheduleapr[[#This Row],[Bucket]],salesforecast[[#All],[Bucket2]:[8406 Stock]],19,0),0)</f>
        <v/>
      </c>
      <c r="V126" s="557" t="n"/>
      <c r="W126" s="557" t="n"/>
      <c r="X126" s="599" t="n">
        <v>29.4</v>
      </c>
      <c r="Y126" s="599" t="n">
        <v>29.4</v>
      </c>
      <c r="Z126" s="599" t="n">
        <v>20.4</v>
      </c>
      <c r="AA126" s="599" t="n">
        <v>4.5</v>
      </c>
      <c r="AB126" s="600" t="n">
        <v>361</v>
      </c>
      <c r="AC126" s="600" t="inlineStr">
        <is>
          <t>NOS</t>
        </is>
      </c>
      <c r="AD126" s="600" t="n"/>
      <c r="AE126" s="600" t="n"/>
      <c r="AF126" s="601" t="n">
        <v>15000</v>
      </c>
      <c r="AG126" s="601" t="n"/>
      <c r="AH126" s="601">
        <f t="array" ref="AH1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6" s="602">
        <f>scheduleapr[[#This Row],[SCHEDULE in nos]]-scheduleapr[[#This Row],[DISPATCH]]</f>
        <v/>
      </c>
      <c r="AJ126" s="599">
        <f>(3.14*(scheduleapr[[#This Row],[ACTUAL OD]]-scheduleapr[[#This Row],[TICKNESS]])*scheduleapr[[#This Row],[TICKNESS]]*scheduleapr[[#This Row],[LENGTH]]*7.85)/1000000*scheduleapr[[#This Row],[SCHEDULE in nos]]/1000</f>
        <v/>
      </c>
      <c r="AK126" s="599">
        <f>(3.14*(scheduleapr[[#This Row],[ACTUAL OD]]-scheduleapr[[#This Row],[TICKNESS]])*scheduleapr[[#This Row],[TICKNESS]]*scheduleapr[[#This Row],[LENGTH]]*7.85)/1000000*scheduleapr[[#This Row],[DISPATCH]]/1000</f>
        <v/>
      </c>
      <c r="AL126" s="599">
        <f>AJ126-AK126</f>
        <v/>
      </c>
      <c r="AM126" s="599">
        <f>scheduleapr[[#This Row],[SCHEDULE in nos]]/scheduleapr[[#This Row],[SCHEDULE IN MT]]*scheduleapr[[#This Row],[CTL Stock]]</f>
        <v/>
      </c>
      <c r="AN126" s="599">
        <f>SUMIFS(stock[MT],stock[Bucket],scheduleapr[[#This Row],[Bucket]],stock[CTL Bucket],scheduleapr[[#This Row],[CTL Bucket]],stock[Plant],"0789")</f>
        <v/>
      </c>
      <c r="AO126" s="599" t="n"/>
      <c r="AP126" s="599">
        <f>SUMIFS(stock[MT],stock[Bucket],scheduleapr[[#This Row],[Bucket]],stock[LL or CTL],"LL")</f>
        <v/>
      </c>
      <c r="AQ126" s="599">
        <f>+SUMIFS(wip[Stock(Net Wt)],wip[Bucket],scheduleapr[[#This Row],[Bucket]])/1000</f>
        <v/>
      </c>
      <c r="AR126" s="599">
        <f>AJ126-AN126</f>
        <v/>
      </c>
      <c r="AS126" s="118" t="n"/>
    </row>
    <row r="127">
      <c r="A127" s="594" t="n">
        <v>99</v>
      </c>
      <c r="B127" s="5" t="inlineStr">
        <is>
          <t xml:space="preserve">Khopoli </t>
        </is>
      </c>
      <c r="C127" s="601" t="inlineStr">
        <is>
          <t>KAY JAY</t>
        </is>
      </c>
      <c r="D127" s="601" t="inlineStr">
        <is>
          <t>Kay Jay</t>
        </is>
      </c>
      <c r="E127" s="601" t="n">
        <v>188934</v>
      </c>
      <c r="F127" s="557" t="n">
        <v>3974533</v>
      </c>
      <c r="G127" s="601">
        <f>_xlfn.CONCAT(scheduleapr[[#This Row],[CUSTOMER CODE]],"-",scheduleapr[[#This Row],[MATERIAL NO]])</f>
        <v/>
      </c>
      <c r="H127" s="557" t="inlineStr">
        <is>
          <t>CUT-O-C-AUT-AN-FC-29.35X4.400X0.3630</t>
        </is>
      </c>
      <c r="I127" s="601" t="inlineStr">
        <is>
          <t>CEW STKM 13C</t>
        </is>
      </c>
      <c r="J127" s="557" t="n"/>
      <c r="K127" s="601" t="inlineStr">
        <is>
          <t>CEW</t>
        </is>
      </c>
      <c r="L127" s="601" t="inlineStr">
        <is>
          <t>HR</t>
        </is>
      </c>
      <c r="M127" s="601" t="n"/>
      <c r="N127" s="601" t="inlineStr">
        <is>
          <t>Chamferring</t>
        </is>
      </c>
      <c r="O127" s="557" t="n"/>
      <c r="P127" s="557" t="n"/>
      <c r="Q127" s="557">
        <f>CONCATENATE(scheduleapr[[#This Row],[OD]],"-",scheduleapr[[#This Row],[ID]],"-",scheduleapr[[#This Row],[TICKNESS]],"-",scheduleapr[[#This Row],[Grade]],"-",scheduleapr[[#This Row],[FC/NFC]])</f>
        <v/>
      </c>
      <c r="R127" s="557">
        <f>_xlfn.CONCAT(scheduleapr[[#This Row],[Bucket]],"-",scheduleapr[[#This Row],[LENGTH]]/1000)</f>
        <v/>
      </c>
      <c r="S127" s="557">
        <f>COUNTIF([2]!buckets[CTL Bucket],[2]!scheduleapr[[#This Row],[CTL Bucket]])</f>
        <v/>
      </c>
      <c r="T127" s="557" t="n"/>
      <c r="U127" s="557" t="n"/>
      <c r="V127" s="557" t="n"/>
      <c r="W127" s="557" t="n"/>
      <c r="X127" s="599" t="n">
        <v>29.4</v>
      </c>
      <c r="Y127" s="599" t="n">
        <v>29.4</v>
      </c>
      <c r="Z127" s="599" t="n">
        <v>20.4</v>
      </c>
      <c r="AA127" s="599" t="n">
        <v>4.5</v>
      </c>
      <c r="AB127" s="600" t="n">
        <v>363</v>
      </c>
      <c r="AC127" s="600" t="inlineStr">
        <is>
          <t>NOS</t>
        </is>
      </c>
      <c r="AD127" s="600" t="n"/>
      <c r="AE127" s="600" t="n"/>
      <c r="AF127" s="601" t="n"/>
      <c r="AG127" s="601" t="n"/>
      <c r="AH127" s="601">
        <f t="array" ref="AH1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7" s="602">
        <f>scheduleapr[[#This Row],[SCHEDULE in nos]]-scheduleapr[[#This Row],[DISPATCH]]</f>
        <v/>
      </c>
      <c r="AJ127" s="599">
        <f>(3.14*(scheduleapr[[#This Row],[ACTUAL OD]]-scheduleapr[[#This Row],[TICKNESS]])*scheduleapr[[#This Row],[TICKNESS]]*scheduleapr[[#This Row],[LENGTH]]*7.85)/1000000*scheduleapr[[#This Row],[SCHEDULE in nos]]/1000</f>
        <v/>
      </c>
      <c r="AK127" s="599">
        <f>(3.14*(scheduleapr[[#This Row],[ACTUAL OD]]-scheduleapr[[#This Row],[TICKNESS]])*scheduleapr[[#This Row],[TICKNESS]]*scheduleapr[[#This Row],[LENGTH]]*7.85)/1000000*scheduleapr[[#This Row],[DISPATCH]]/1000</f>
        <v/>
      </c>
      <c r="AL127" s="599">
        <f>AJ127-AK127</f>
        <v/>
      </c>
      <c r="AM127" s="599">
        <f>scheduleapr[[#This Row],[SCHEDULE in nos]]/scheduleapr[[#This Row],[SCHEDULE IN MT]]*scheduleapr[[#This Row],[CTL Stock]]</f>
        <v/>
      </c>
      <c r="AN127" s="599">
        <f>SUMIFS(stock[MT],stock[Bucket],scheduleapr[[#This Row],[Bucket]],stock[CTL Bucket],scheduleapr[[#This Row],[CTL Bucket]],stock[Plant],"0789")</f>
        <v/>
      </c>
      <c r="AO127" s="599" t="n"/>
      <c r="AP127" s="599">
        <f>SUMIFS(stock[MT],stock[Bucket],scheduleapr[[#This Row],[Bucket]],stock[LL or CTL],"LL")</f>
        <v/>
      </c>
      <c r="AQ127" s="599">
        <f>+SUMIFS(wip[Stock(Net Wt)],wip[Bucket],scheduleapr[[#This Row],[Bucket]])/1000</f>
        <v/>
      </c>
      <c r="AR127" s="599">
        <f>AJ127-AN127</f>
        <v/>
      </c>
      <c r="AS127" s="118" t="n"/>
    </row>
    <row r="128">
      <c r="A128" s="594" t="n">
        <v>100</v>
      </c>
      <c r="B128" s="5" t="inlineStr">
        <is>
          <t xml:space="preserve">Khopoli </t>
        </is>
      </c>
      <c r="C128" s="601" t="inlineStr">
        <is>
          <t>KAY JAY</t>
        </is>
      </c>
      <c r="D128" s="601" t="inlineStr">
        <is>
          <t>Kay Jay</t>
        </is>
      </c>
      <c r="E128" s="601" t="n">
        <v>188934</v>
      </c>
      <c r="F128" s="601" t="n">
        <v>2359912</v>
      </c>
      <c r="G128" s="601">
        <f>_xlfn.CONCAT(scheduleapr[[#This Row],[CUSTOMER CODE]],"-",scheduleapr[[#This Row],[MATERIAL NO]])</f>
        <v/>
      </c>
      <c r="H128" s="601" t="inlineStr">
        <is>
          <t>TUB-O-C-CEW-AD-FC-29.40X4.500X0.3760</t>
        </is>
      </c>
      <c r="I128" s="601" t="inlineStr">
        <is>
          <t>CEW STKM 13C</t>
        </is>
      </c>
      <c r="J128" s="601" t="n"/>
      <c r="K128" s="601" t="inlineStr">
        <is>
          <t>CEW</t>
        </is>
      </c>
      <c r="L128" s="601" t="inlineStr">
        <is>
          <t>HR</t>
        </is>
      </c>
      <c r="M128" s="601" t="n"/>
      <c r="N128" s="601" t="inlineStr">
        <is>
          <t>Chamferring</t>
        </is>
      </c>
      <c r="O128" s="601" t="n"/>
      <c r="P128" s="601" t="n"/>
      <c r="Q128" s="557">
        <f>CONCATENATE(scheduleapr[[#This Row],[OD]],"-",scheduleapr[[#This Row],[ID]],"-",scheduleapr[[#This Row],[TICKNESS]],"-",scheduleapr[[#This Row],[Grade]],"-",scheduleapr[[#This Row],[FC/NFC]])</f>
        <v/>
      </c>
      <c r="R128" s="557">
        <f>_xlfn.CONCAT(scheduleapr[[#This Row],[Bucket]],"-",scheduleapr[[#This Row],[LENGTH]]/1000)</f>
        <v/>
      </c>
      <c r="S128" s="557">
        <f>COUNTIF(scheduleapr[CTL Bucket],scheduleapr[[#This Row],[CTL Bucket]])</f>
        <v/>
      </c>
      <c r="T128" s="601" t="inlineStr">
        <is>
          <t>Khopoli</t>
        </is>
      </c>
      <c r="U128" s="601">
        <f>_xlfn.IFNA(VLOOKUP(scheduleapr[[#This Row],[Bucket]],salesforecast[[#All],[Bucket2]:[8406 Stock]],19,0),0)</f>
        <v/>
      </c>
      <c r="V128" s="557" t="n"/>
      <c r="W128" s="557" t="n"/>
      <c r="X128" s="599" t="n">
        <v>29.4</v>
      </c>
      <c r="Y128" s="599" t="n">
        <v>29.4</v>
      </c>
      <c r="Z128" s="599" t="n">
        <v>20.4</v>
      </c>
      <c r="AA128" s="599" t="n">
        <v>4.5</v>
      </c>
      <c r="AB128" s="600" t="n">
        <v>376</v>
      </c>
      <c r="AC128" s="600" t="inlineStr">
        <is>
          <t>NOS</t>
        </is>
      </c>
      <c r="AD128" s="600" t="n"/>
      <c r="AE128" s="600" t="n"/>
      <c r="AF128" s="601" t="n">
        <v>20000</v>
      </c>
      <c r="AG128" s="601" t="n"/>
      <c r="AH128" s="601">
        <f t="array" ref="AH1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8" s="602">
        <f>scheduleapr[[#This Row],[SCHEDULE in nos]]-scheduleapr[[#This Row],[DISPATCH]]</f>
        <v/>
      </c>
      <c r="AJ128" s="599">
        <f>(3.14*(scheduleapr[[#This Row],[ACTUAL OD]]-scheduleapr[[#This Row],[TICKNESS]])*scheduleapr[[#This Row],[TICKNESS]]*scheduleapr[[#This Row],[LENGTH]]*7.85)/1000000*scheduleapr[[#This Row],[SCHEDULE in nos]]/1000</f>
        <v/>
      </c>
      <c r="AK128" s="599">
        <f>(3.14*(scheduleapr[[#This Row],[ACTUAL OD]]-scheduleapr[[#This Row],[TICKNESS]])*scheduleapr[[#This Row],[TICKNESS]]*scheduleapr[[#This Row],[LENGTH]]*7.85)/1000000*scheduleapr[[#This Row],[DISPATCH]]/1000</f>
        <v/>
      </c>
      <c r="AL128" s="599">
        <f>AJ128-AK128</f>
        <v/>
      </c>
      <c r="AM128" s="599">
        <f>scheduleapr[[#This Row],[SCHEDULE in nos]]/scheduleapr[[#This Row],[SCHEDULE IN MT]]*scheduleapr[[#This Row],[CTL Stock]]</f>
        <v/>
      </c>
      <c r="AN128" s="599">
        <f>SUMIFS(stock[MT],stock[Bucket],scheduleapr[[#This Row],[Bucket]],stock[CTL Bucket],scheduleapr[[#This Row],[CTL Bucket]],stock[Plant],"0789")</f>
        <v/>
      </c>
      <c r="AO128" s="599" t="n"/>
      <c r="AP128" s="599">
        <f>SUMIFS(stock[MT],stock[Bucket],scheduleapr[[#This Row],[Bucket]],stock[LL or CTL],"LL")</f>
        <v/>
      </c>
      <c r="AQ128" s="599">
        <f>+SUMIFS(wip[Stock(Net Wt)],wip[Bucket],scheduleapr[[#This Row],[Bucket]])/1000</f>
        <v/>
      </c>
      <c r="AR128" s="599">
        <f>AJ128-AN128</f>
        <v/>
      </c>
      <c r="AS128" s="118" t="n"/>
    </row>
    <row r="129">
      <c r="A129" s="594" t="n">
        <v>102</v>
      </c>
      <c r="B129" s="5" t="inlineStr">
        <is>
          <t xml:space="preserve">Khopoli </t>
        </is>
      </c>
      <c r="C129" s="601" t="inlineStr">
        <is>
          <t>KAY JAY</t>
        </is>
      </c>
      <c r="D129" s="601" t="inlineStr">
        <is>
          <t>Kay Jay</t>
        </is>
      </c>
      <c r="E129" s="601" t="n">
        <v>188934</v>
      </c>
      <c r="F129" s="601" t="n">
        <v>3190073</v>
      </c>
      <c r="G129" s="601">
        <f>_xlfn.CONCAT(scheduleapr[[#This Row],[CUSTOMER CODE]],"-",scheduleapr[[#This Row],[MATERIAL NO]])</f>
        <v/>
      </c>
      <c r="H129" s="601" t="inlineStr">
        <is>
          <t>TUB-O-C-AUT-AD-FC-29.40X4.500X0.3850</t>
        </is>
      </c>
      <c r="I129" s="601" t="inlineStr">
        <is>
          <t>CEW STKM 13C</t>
        </is>
      </c>
      <c r="J129" s="601" t="n"/>
      <c r="K129" s="601" t="inlineStr">
        <is>
          <t>CEW</t>
        </is>
      </c>
      <c r="L129" s="601" t="inlineStr">
        <is>
          <t>HR</t>
        </is>
      </c>
      <c r="M129" s="601" t="n"/>
      <c r="N129" s="601" t="n"/>
      <c r="O129" s="601" t="n"/>
      <c r="P129" s="601" t="n"/>
      <c r="Q129" s="557">
        <f>CONCATENATE(scheduleapr[[#This Row],[OD]],"-",scheduleapr[[#This Row],[ID]],"-",scheduleapr[[#This Row],[TICKNESS]],"-",scheduleapr[[#This Row],[Grade]],"-",scheduleapr[[#This Row],[FC/NFC]])</f>
        <v/>
      </c>
      <c r="R129" s="557">
        <f>_xlfn.CONCAT(scheduleapr[[#This Row],[Bucket]],"-",scheduleapr[[#This Row],[LENGTH]]/1000)</f>
        <v/>
      </c>
      <c r="S129" s="557">
        <f>COUNTIF(scheduleapr[CTL Bucket],scheduleapr[[#This Row],[CTL Bucket]])</f>
        <v/>
      </c>
      <c r="T129" s="557" t="n"/>
      <c r="U129" s="601">
        <f>_xlfn.IFNA(VLOOKUP(scheduleapr[[#This Row],[Bucket]],salesforecast[[#All],[Bucket2]:[8406 Stock]],19,0),0)</f>
        <v/>
      </c>
      <c r="V129" s="557" t="n"/>
      <c r="W129" s="557" t="n"/>
      <c r="X129" s="599" t="n">
        <v>29.4</v>
      </c>
      <c r="Y129" s="599" t="n">
        <v>29.4</v>
      </c>
      <c r="Z129" s="599" t="n">
        <v>20.4</v>
      </c>
      <c r="AA129" s="599" t="n">
        <v>4.5</v>
      </c>
      <c r="AB129" s="600" t="n">
        <v>385</v>
      </c>
      <c r="AC129" s="600" t="inlineStr">
        <is>
          <t>NOS</t>
        </is>
      </c>
      <c r="AD129" s="600" t="n"/>
      <c r="AE129" s="600" t="n"/>
      <c r="AF129" s="601" t="n">
        <v>7500</v>
      </c>
      <c r="AG129" s="601" t="n"/>
      <c r="AH129" s="601">
        <f t="array" ref="AH1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29" s="602">
        <f>scheduleapr[[#This Row],[SCHEDULE in nos]]-scheduleapr[[#This Row],[DISPATCH]]</f>
        <v/>
      </c>
      <c r="AJ129" s="599">
        <f>(3.14*(scheduleapr[[#This Row],[ACTUAL OD]]-scheduleapr[[#This Row],[TICKNESS]])*scheduleapr[[#This Row],[TICKNESS]]*scheduleapr[[#This Row],[LENGTH]]*7.85)/1000000*scheduleapr[[#This Row],[SCHEDULE in nos]]/1000</f>
        <v/>
      </c>
      <c r="AK129" s="599">
        <f>(3.14*(scheduleapr[[#This Row],[ACTUAL OD]]-scheduleapr[[#This Row],[TICKNESS]])*scheduleapr[[#This Row],[TICKNESS]]*scheduleapr[[#This Row],[LENGTH]]*7.85)/1000000*scheduleapr[[#This Row],[DISPATCH]]/1000</f>
        <v/>
      </c>
      <c r="AL129" s="599">
        <f>AJ129-AK129</f>
        <v/>
      </c>
      <c r="AM129" s="599">
        <f>scheduleapr[[#This Row],[SCHEDULE in nos]]/scheduleapr[[#This Row],[SCHEDULE IN MT]]*scheduleapr[[#This Row],[CTL Stock]]</f>
        <v/>
      </c>
      <c r="AN129" s="599">
        <f>SUMIFS(stock[MT],stock[Bucket],scheduleapr[[#This Row],[Bucket]],stock[CTL Bucket],scheduleapr[[#This Row],[CTL Bucket]],stock[Plant],"0789")</f>
        <v/>
      </c>
      <c r="AO129" s="599" t="n"/>
      <c r="AP129" s="599">
        <f>SUMIFS(stock[MT],stock[Bucket],scheduleapr[[#This Row],[Bucket]],stock[LL or CTL],"LL")</f>
        <v/>
      </c>
      <c r="AQ129" s="599">
        <f>+SUMIFS(wip[Stock(Net Wt)],wip[Bucket],scheduleapr[[#This Row],[Bucket]])/1000</f>
        <v/>
      </c>
      <c r="AR129" s="599">
        <f>AJ129-AN129</f>
        <v/>
      </c>
      <c r="AS129" s="118" t="n"/>
    </row>
    <row r="130">
      <c r="A130" s="594" t="n">
        <v>103</v>
      </c>
      <c r="B130" s="5" t="inlineStr">
        <is>
          <t xml:space="preserve">Khopoli </t>
        </is>
      </c>
      <c r="C130" s="601" t="inlineStr">
        <is>
          <t>KAY JAY</t>
        </is>
      </c>
      <c r="D130" s="601" t="inlineStr">
        <is>
          <t>Kay Jay</t>
        </is>
      </c>
      <c r="E130" s="601" t="n">
        <v>188934</v>
      </c>
      <c r="F130" s="601" t="n">
        <v>1939282</v>
      </c>
      <c r="G130" s="601">
        <f>_xlfn.CONCAT(scheduleapr[[#This Row],[CUSTOMER CODE]],"-",scheduleapr[[#This Row],[MATERIAL NO]])</f>
        <v/>
      </c>
      <c r="H130" s="601" t="inlineStr">
        <is>
          <t>TUB-O-C-CEW-AD-FC-29.40X4.500X0.4500</t>
        </is>
      </c>
      <c r="I130" s="601" t="inlineStr">
        <is>
          <t>CEW STKM 13C</t>
        </is>
      </c>
      <c r="J130" s="601" t="n"/>
      <c r="K130" s="601" t="inlineStr">
        <is>
          <t>CEW</t>
        </is>
      </c>
      <c r="L130" s="601" t="inlineStr">
        <is>
          <t>HR</t>
        </is>
      </c>
      <c r="M130" s="601" t="n"/>
      <c r="N130" s="601" t="n"/>
      <c r="O130" s="601" t="n"/>
      <c r="P130" s="601" t="n"/>
      <c r="Q130" s="557">
        <f>CONCATENATE(scheduleapr[[#This Row],[OD]],"-",scheduleapr[[#This Row],[ID]],"-",scheduleapr[[#This Row],[TICKNESS]],"-",scheduleapr[[#This Row],[Grade]],"-",scheduleapr[[#This Row],[FC/NFC]])</f>
        <v/>
      </c>
      <c r="R130" s="557">
        <f>_xlfn.CONCAT(scheduleapr[[#This Row],[Bucket]],"-",scheduleapr[[#This Row],[LENGTH]]/1000)</f>
        <v/>
      </c>
      <c r="S130" s="557">
        <f>COUNTIF(scheduleapr[CTL Bucket],scheduleapr[[#This Row],[CTL Bucket]])</f>
        <v/>
      </c>
      <c r="T130" s="601" t="inlineStr">
        <is>
          <t>Khopoli</t>
        </is>
      </c>
      <c r="U130" s="601">
        <f>_xlfn.IFNA(VLOOKUP(scheduleapr[[#This Row],[Bucket]],salesforecast[[#All],[Bucket2]:[8406 Stock]],19,0),0)</f>
        <v/>
      </c>
      <c r="V130" s="557" t="n"/>
      <c r="W130" s="557" t="n"/>
      <c r="X130" s="599" t="n">
        <v>29.4</v>
      </c>
      <c r="Y130" s="599" t="n">
        <v>29.4</v>
      </c>
      <c r="Z130" s="599" t="n">
        <v>20.4</v>
      </c>
      <c r="AA130" s="599" t="n">
        <v>4.5</v>
      </c>
      <c r="AB130" s="600" t="n">
        <v>450</v>
      </c>
      <c r="AC130" s="600" t="inlineStr">
        <is>
          <t>NOS</t>
        </is>
      </c>
      <c r="AD130" s="600" t="n"/>
      <c r="AE130" s="600" t="n"/>
      <c r="AF130" s="601" t="n">
        <v>6000</v>
      </c>
      <c r="AG130" s="601" t="n"/>
      <c r="AH130" s="601">
        <f t="array" ref="AH1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0" s="602">
        <f>scheduleapr[[#This Row],[SCHEDULE in nos]]-scheduleapr[[#This Row],[DISPATCH]]</f>
        <v/>
      </c>
      <c r="AJ130" s="599">
        <f>(3.14*(scheduleapr[[#This Row],[ACTUAL OD]]-scheduleapr[[#This Row],[TICKNESS]])*scheduleapr[[#This Row],[TICKNESS]]*scheduleapr[[#This Row],[LENGTH]]*7.85)/1000000*scheduleapr[[#This Row],[SCHEDULE in nos]]/1000</f>
        <v/>
      </c>
      <c r="AK130" s="599">
        <f>(3.14*(scheduleapr[[#This Row],[ACTUAL OD]]-scheduleapr[[#This Row],[TICKNESS]])*scheduleapr[[#This Row],[TICKNESS]]*scheduleapr[[#This Row],[LENGTH]]*7.85)/1000000*scheduleapr[[#This Row],[DISPATCH]]/1000</f>
        <v/>
      </c>
      <c r="AL130" s="599">
        <f>AJ130-AK130</f>
        <v/>
      </c>
      <c r="AM130" s="599">
        <f>scheduleapr[[#This Row],[SCHEDULE in nos]]/scheduleapr[[#This Row],[SCHEDULE IN MT]]*scheduleapr[[#This Row],[CTL Stock]]</f>
        <v/>
      </c>
      <c r="AN130" s="599">
        <f>SUMIFS(stock[MT],stock[Bucket],scheduleapr[[#This Row],[Bucket]],stock[CTL Bucket],scheduleapr[[#This Row],[CTL Bucket]],stock[Plant],"0789")</f>
        <v/>
      </c>
      <c r="AO130" s="599" t="n"/>
      <c r="AP130" s="599">
        <f>SUMIFS(stock[MT],stock[Bucket],scheduleapr[[#This Row],[Bucket]],stock[LL or CTL],"LL")</f>
        <v/>
      </c>
      <c r="AQ130" s="599">
        <f>+SUMIFS(wip[Stock(Net Wt)],wip[Bucket],scheduleapr[[#This Row],[Bucket]])/1000</f>
        <v/>
      </c>
      <c r="AR130" s="599">
        <f>AJ130-AN130</f>
        <v/>
      </c>
      <c r="AS130" s="118" t="n"/>
    </row>
    <row r="131">
      <c r="A131" s="594" t="n">
        <v>105</v>
      </c>
      <c r="B131" s="5" t="inlineStr">
        <is>
          <t>Hosur</t>
        </is>
      </c>
      <c r="C131" s="601" t="inlineStr">
        <is>
          <t>KNITVEL NEEDLES P LTD</t>
        </is>
      </c>
      <c r="D131" s="601" t="inlineStr">
        <is>
          <t>Knitvel</t>
        </is>
      </c>
      <c r="E131" s="601" t="n">
        <v>819045</v>
      </c>
      <c r="F131" s="601" t="n">
        <v>235292</v>
      </c>
      <c r="G131" s="601">
        <f>_xlfn.CONCAT(scheduleapr[[#This Row],[CUSTOMER CODE]],"-",scheduleapr[[#This Row],[MATERIAL NO]])</f>
        <v/>
      </c>
      <c r="H131" s="601" t="inlineStr">
        <is>
          <t>TUB-O-N-AUT-AW-PE-19.05X2.00X6.000-ERW 1</t>
        </is>
      </c>
      <c r="I131" s="601" t="inlineStr">
        <is>
          <t>ERW 1</t>
        </is>
      </c>
      <c r="J131" s="601" t="n"/>
      <c r="K131" s="601" t="inlineStr">
        <is>
          <t>PE</t>
        </is>
      </c>
      <c r="L131" s="601" t="inlineStr">
        <is>
          <t>HR</t>
        </is>
      </c>
      <c r="M131" s="601" t="n"/>
      <c r="N131" s="601" t="n"/>
      <c r="O131" s="601" t="n"/>
      <c r="P131" s="601" t="n"/>
      <c r="Q131" s="557">
        <f>CONCATENATE(scheduleapr[[#This Row],[OD]],"-",scheduleapr[[#This Row],[ID]],"-",scheduleapr[[#This Row],[TICKNESS]],"-",scheduleapr[[#This Row],[Grade]],"-",scheduleapr[[#This Row],[FC/NFC]])</f>
        <v/>
      </c>
      <c r="R131" s="557">
        <f>_xlfn.CONCAT(scheduleapr[[#This Row],[Bucket]],"-",scheduleapr[[#This Row],[LENGTH]]/1000)</f>
        <v/>
      </c>
      <c r="S131" s="557">
        <f>COUNTIF(scheduleapr[CTL Bucket],scheduleapr[[#This Row],[CTL Bucket]])</f>
        <v/>
      </c>
      <c r="T131" s="601" t="inlineStr">
        <is>
          <t>Hosur</t>
        </is>
      </c>
      <c r="U131" s="601" t="n"/>
      <c r="V131" s="557" t="n"/>
      <c r="W131" s="557" t="n"/>
      <c r="X131" s="599" t="n">
        <v>19.05</v>
      </c>
      <c r="Y131" s="599" t="n">
        <v>19.05</v>
      </c>
      <c r="Z131" s="599" t="n">
        <v>0</v>
      </c>
      <c r="AA131" s="599" t="n">
        <v>2</v>
      </c>
      <c r="AB131" s="600" t="n">
        <v>1000</v>
      </c>
      <c r="AC131" s="600" t="inlineStr">
        <is>
          <t>m</t>
        </is>
      </c>
      <c r="AD131" s="600" t="n"/>
      <c r="AE131" s="600" t="n"/>
      <c r="AF131" s="601" t="n"/>
      <c r="AG131" s="601" t="n"/>
      <c r="AH131" s="601">
        <f t="array" ref="AH1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1" s="602">
        <f>scheduleapr[[#This Row],[SCHEDULE in nos]]-scheduleapr[[#This Row],[DISPATCH]]</f>
        <v/>
      </c>
      <c r="AJ131" s="599">
        <f>(3.14*(scheduleapr[[#This Row],[ACTUAL OD]]-scheduleapr[[#This Row],[TICKNESS]])*scheduleapr[[#This Row],[TICKNESS]]*scheduleapr[[#This Row],[LENGTH]]*7.85)/1000000*scheduleapr[[#This Row],[SCHEDULE in nos]]/1000</f>
        <v/>
      </c>
      <c r="AK131" s="599">
        <f>(3.14*(scheduleapr[[#This Row],[ACTUAL OD]]-scheduleapr[[#This Row],[TICKNESS]])*scheduleapr[[#This Row],[TICKNESS]]*scheduleapr[[#This Row],[LENGTH]]*7.85)/1000000*scheduleapr[[#This Row],[DISPATCH]]/1000</f>
        <v/>
      </c>
      <c r="AL131" s="599">
        <f>AJ131-AK131</f>
        <v/>
      </c>
      <c r="AM131" s="599">
        <f>scheduleapr[[#This Row],[SCHEDULE in nos]]/scheduleapr[[#This Row],[SCHEDULE IN MT]]*scheduleapr[[#This Row],[CTL Stock]]</f>
        <v/>
      </c>
      <c r="AN131" s="599">
        <f>SUMIFS(stock[MT],stock[Bucket],scheduleapr[[#This Row],[Bucket]],stock[CTL Bucket],scheduleapr[[#This Row],[CTL Bucket]],stock[Plant],"0789")</f>
        <v/>
      </c>
      <c r="AO131" s="599" t="n"/>
      <c r="AP131" s="599">
        <f>SUMIFS(stock[MT],stock[Bucket],scheduleapr[[#This Row],[Bucket]],stock[LL or CTL],"LL")</f>
        <v/>
      </c>
      <c r="AQ131" s="599">
        <f>+SUMIFS(wip[Stock(Net Wt)],wip[Bucket],scheduleapr[[#This Row],[Bucket]])/1000</f>
        <v/>
      </c>
      <c r="AR131" s="599">
        <f>AJ131-AN131</f>
        <v/>
      </c>
      <c r="AS131" s="118" t="n"/>
    </row>
    <row r="132">
      <c r="A132" s="594" t="n">
        <v>106</v>
      </c>
      <c r="B132" s="5" t="inlineStr">
        <is>
          <t>Hosur</t>
        </is>
      </c>
      <c r="C132" s="601" t="inlineStr">
        <is>
          <t>KNITVEL NEEDLES P LTD</t>
        </is>
      </c>
      <c r="D132" s="601" t="inlineStr">
        <is>
          <t>Knitvel</t>
        </is>
      </c>
      <c r="E132" s="601" t="n">
        <v>819045</v>
      </c>
      <c r="F132" s="601" t="n">
        <v>3533249</v>
      </c>
      <c r="G132" s="601">
        <f>_xlfn.CONCAT(scheduleapr[[#This Row],[CUSTOMER CODE]],"-",scheduleapr[[#This Row],[MATERIAL NO]])</f>
        <v/>
      </c>
      <c r="H132" s="601" t="inlineStr">
        <is>
          <t>CUT-O-N-AUT-AW-PE-22.20X1.600X1.2220</t>
        </is>
      </c>
      <c r="I132" s="601" t="inlineStr">
        <is>
          <t>ERW 1</t>
        </is>
      </c>
      <c r="J132" s="601" t="n"/>
      <c r="K132" s="601" t="inlineStr">
        <is>
          <t>PE</t>
        </is>
      </c>
      <c r="L132" s="601" t="inlineStr">
        <is>
          <t>CR</t>
        </is>
      </c>
      <c r="M132" s="596" t="inlineStr">
        <is>
          <t>GR1</t>
        </is>
      </c>
      <c r="N132" s="601" t="n"/>
      <c r="O132" s="601" t="n"/>
      <c r="P132" s="601" t="n"/>
      <c r="Q132" s="557">
        <f>CONCATENATE(scheduleapr[[#This Row],[OD]],"-",scheduleapr[[#This Row],[ID]],"-",scheduleapr[[#This Row],[TICKNESS]],"-",scheduleapr[[#This Row],[Grade]],"-",scheduleapr[[#This Row],[FC/NFC]])</f>
        <v/>
      </c>
      <c r="R132" s="557">
        <f>_xlfn.CONCAT(scheduleapr[[#This Row],[Bucket]],"-",scheduleapr[[#This Row],[LENGTH]]/1000)</f>
        <v/>
      </c>
      <c r="S132" s="557">
        <f>COUNTIF(scheduleapr[CTL Bucket],scheduleapr[[#This Row],[CTL Bucket]])</f>
        <v/>
      </c>
      <c r="T132" s="601" t="inlineStr">
        <is>
          <t>Hosur</t>
        </is>
      </c>
      <c r="U132" s="601" t="n"/>
      <c r="V132" s="557" t="n"/>
      <c r="W132" s="557" t="n"/>
      <c r="X132" s="599" t="n">
        <v>22.23</v>
      </c>
      <c r="Y132" s="599" t="n">
        <v>22.23</v>
      </c>
      <c r="Z132" s="599" t="n">
        <v>0</v>
      </c>
      <c r="AA132" s="599" t="n">
        <v>1.6</v>
      </c>
      <c r="AB132" s="600" t="n">
        <v>1222</v>
      </c>
      <c r="AC132" s="600" t="inlineStr">
        <is>
          <t>NOS</t>
        </is>
      </c>
      <c r="AD132" s="600" t="n"/>
      <c r="AE132" s="600" t="n"/>
      <c r="AF132" s="601" t="n"/>
      <c r="AG132" s="601" t="n"/>
      <c r="AH132" s="601">
        <f t="array" ref="AH1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2" s="602">
        <f>scheduleapr[[#This Row],[SCHEDULE in nos]]-scheduleapr[[#This Row],[DISPATCH]]</f>
        <v/>
      </c>
      <c r="AJ132" s="599">
        <f>(3.14*(scheduleapr[[#This Row],[ACTUAL OD]]-scheduleapr[[#This Row],[TICKNESS]])*scheduleapr[[#This Row],[TICKNESS]]*scheduleapr[[#This Row],[LENGTH]]*7.85)/1000000*scheduleapr[[#This Row],[SCHEDULE in nos]]/1000</f>
        <v/>
      </c>
      <c r="AK132" s="599">
        <f>(3.14*(scheduleapr[[#This Row],[ACTUAL OD]]-scheduleapr[[#This Row],[TICKNESS]])*scheduleapr[[#This Row],[TICKNESS]]*scheduleapr[[#This Row],[LENGTH]]*7.85)/1000000*scheduleapr[[#This Row],[DISPATCH]]/1000</f>
        <v/>
      </c>
      <c r="AL132" s="599">
        <f>AJ132-AK132</f>
        <v/>
      </c>
      <c r="AM132" s="599">
        <f>scheduleapr[[#This Row],[SCHEDULE in nos]]/scheduleapr[[#This Row],[SCHEDULE IN MT]]*scheduleapr[[#This Row],[CTL Stock]]</f>
        <v/>
      </c>
      <c r="AN132" s="599">
        <f>SUMIFS(stock[MT],stock[Bucket],scheduleapr[[#This Row],[Bucket]],stock[CTL Bucket],scheduleapr[[#This Row],[CTL Bucket]],stock[Plant],"0789")</f>
        <v/>
      </c>
      <c r="AO132" s="599" t="n"/>
      <c r="AP132" s="599">
        <f>SUMIFS(stock[MT],stock[Bucket],scheduleapr[[#This Row],[Bucket]],stock[LL or CTL],"LL")</f>
        <v/>
      </c>
      <c r="AQ132" s="599">
        <f>+SUMIFS(wip[Stock(Net Wt)],wip[Bucket],scheduleapr[[#This Row],[Bucket]])/1000</f>
        <v/>
      </c>
      <c r="AR132" s="599">
        <f>AJ132-AN132</f>
        <v/>
      </c>
      <c r="AS132" s="118" t="n"/>
    </row>
    <row r="133">
      <c r="A133" s="594" t="n">
        <v>107</v>
      </c>
      <c r="B133" s="5" t="inlineStr">
        <is>
          <t>Hosur</t>
        </is>
      </c>
      <c r="C133" s="601" t="inlineStr">
        <is>
          <t>KNITVEL NEEDLES P LTD</t>
        </is>
      </c>
      <c r="D133" s="601" t="inlineStr">
        <is>
          <t>Knitvel</t>
        </is>
      </c>
      <c r="E133" s="601" t="n">
        <v>819045</v>
      </c>
      <c r="F133" s="601" t="n">
        <v>3533248</v>
      </c>
      <c r="G133" s="601">
        <f>_xlfn.CONCAT(scheduleapr[[#This Row],[CUSTOMER CODE]],"-",scheduleapr[[#This Row],[MATERIAL NO]])</f>
        <v/>
      </c>
      <c r="H133" s="601" t="inlineStr">
        <is>
          <t>CUT-O-N-AUT-AW-PE-22.20X1.600X1.2900</t>
        </is>
      </c>
      <c r="I133" s="601" t="inlineStr">
        <is>
          <t>ERW 1</t>
        </is>
      </c>
      <c r="J133" s="601" t="n"/>
      <c r="K133" s="601" t="inlineStr">
        <is>
          <t>PE</t>
        </is>
      </c>
      <c r="L133" s="601" t="inlineStr">
        <is>
          <t>CR</t>
        </is>
      </c>
      <c r="M133" s="596" t="inlineStr">
        <is>
          <t>GR1</t>
        </is>
      </c>
      <c r="N133" s="601" t="n"/>
      <c r="O133" s="601" t="n"/>
      <c r="P133" s="601" t="n"/>
      <c r="Q133" s="557">
        <f>CONCATENATE(scheduleapr[[#This Row],[OD]],"-",scheduleapr[[#This Row],[ID]],"-",scheduleapr[[#This Row],[TICKNESS]],"-",scheduleapr[[#This Row],[Grade]],"-",scheduleapr[[#This Row],[FC/NFC]])</f>
        <v/>
      </c>
      <c r="R133" s="557">
        <f>_xlfn.CONCAT(scheduleapr[[#This Row],[Bucket]],"-",scheduleapr[[#This Row],[LENGTH]]/1000)</f>
        <v/>
      </c>
      <c r="S133" s="557">
        <f>COUNTIF(scheduleapr[CTL Bucket],scheduleapr[[#This Row],[CTL Bucket]])</f>
        <v/>
      </c>
      <c r="T133" s="601" t="inlineStr">
        <is>
          <t>Hosur</t>
        </is>
      </c>
      <c r="U133" s="601" t="n"/>
      <c r="V133" s="557" t="n"/>
      <c r="W133" s="557" t="n"/>
      <c r="X133" s="599" t="n">
        <v>22.23</v>
      </c>
      <c r="Y133" s="599" t="n">
        <v>22.23</v>
      </c>
      <c r="Z133" s="599" t="n">
        <v>0</v>
      </c>
      <c r="AA133" s="599" t="n">
        <v>1.6</v>
      </c>
      <c r="AB133" s="600" t="n">
        <v>1290</v>
      </c>
      <c r="AC133" s="600" t="inlineStr">
        <is>
          <t>NOS</t>
        </is>
      </c>
      <c r="AD133" s="600" t="n"/>
      <c r="AE133" s="600" t="n"/>
      <c r="AF133" s="601" t="n"/>
      <c r="AG133" s="601" t="n"/>
      <c r="AH133" s="601">
        <f t="array" ref="AH1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3" s="602">
        <f>scheduleapr[[#This Row],[SCHEDULE in nos]]-scheduleapr[[#This Row],[DISPATCH]]</f>
        <v/>
      </c>
      <c r="AJ133" s="599">
        <f>(3.14*(scheduleapr[[#This Row],[ACTUAL OD]]-scheduleapr[[#This Row],[TICKNESS]])*scheduleapr[[#This Row],[TICKNESS]]*scheduleapr[[#This Row],[LENGTH]]*7.85)/1000000*scheduleapr[[#This Row],[SCHEDULE in nos]]/1000</f>
        <v/>
      </c>
      <c r="AK133" s="599">
        <f>(3.14*(scheduleapr[[#This Row],[ACTUAL OD]]-scheduleapr[[#This Row],[TICKNESS]])*scheduleapr[[#This Row],[TICKNESS]]*scheduleapr[[#This Row],[LENGTH]]*7.85)/1000000*scheduleapr[[#This Row],[DISPATCH]]/1000</f>
        <v/>
      </c>
      <c r="AL133" s="599">
        <f>AJ133-AK133</f>
        <v/>
      </c>
      <c r="AM133" s="599">
        <f>scheduleapr[[#This Row],[SCHEDULE in nos]]/scheduleapr[[#This Row],[SCHEDULE IN MT]]*scheduleapr[[#This Row],[CTL Stock]]</f>
        <v/>
      </c>
      <c r="AN133" s="599">
        <f>SUMIFS(stock[MT],stock[Bucket],scheduleapr[[#This Row],[Bucket]],stock[CTL Bucket],scheduleapr[[#This Row],[CTL Bucket]],stock[Plant],"0789")</f>
        <v/>
      </c>
      <c r="AO133" s="599" t="n"/>
      <c r="AP133" s="599">
        <f>SUMIFS(stock[MT],stock[Bucket],scheduleapr[[#This Row],[Bucket]],stock[LL or CTL],"LL")</f>
        <v/>
      </c>
      <c r="AQ133" s="599">
        <f>+SUMIFS(wip[Stock(Net Wt)],wip[Bucket],scheduleapr[[#This Row],[Bucket]])/1000</f>
        <v/>
      </c>
      <c r="AR133" s="599">
        <f>AJ133-AN133</f>
        <v/>
      </c>
      <c r="AS133" s="118" t="n"/>
    </row>
    <row r="134">
      <c r="A134" s="594" t="n">
        <v>111</v>
      </c>
      <c r="B134" s="5" t="inlineStr">
        <is>
          <t>Hosur</t>
        </is>
      </c>
      <c r="C134" s="601" t="inlineStr">
        <is>
          <t>KNITVEL NEEDLES P LTD</t>
        </is>
      </c>
      <c r="D134" s="601" t="inlineStr">
        <is>
          <t>Knitvel</t>
        </is>
      </c>
      <c r="E134" s="601" t="n">
        <v>819045</v>
      </c>
      <c r="F134" s="601" t="n">
        <v>3138219</v>
      </c>
      <c r="G134" s="601">
        <f>_xlfn.CONCAT(scheduleapr[[#This Row],[CUSTOMER CODE]],"-",scheduleapr[[#This Row],[MATERIAL NO]])</f>
        <v/>
      </c>
      <c r="H134" s="601" t="inlineStr">
        <is>
          <t>TUB-O-N-AUT-AW-FC-34.93X1.200X0.3900</t>
        </is>
      </c>
      <c r="I134" s="601" t="inlineStr">
        <is>
          <t>ERW 1</t>
        </is>
      </c>
      <c r="J134" s="601" t="n"/>
      <c r="K134" s="601" t="inlineStr">
        <is>
          <t>FC</t>
        </is>
      </c>
      <c r="L134" s="601" t="inlineStr">
        <is>
          <t>CR</t>
        </is>
      </c>
      <c r="M134" s="601" t="n"/>
      <c r="N134" s="601" t="n"/>
      <c r="O134" s="601" t="n"/>
      <c r="P134" s="601" t="n"/>
      <c r="Q134" s="557">
        <f>CONCATENATE(scheduleapr[[#This Row],[OD]],"-",scheduleapr[[#This Row],[ID]],"-",scheduleapr[[#This Row],[TICKNESS]],"-",scheduleapr[[#This Row],[Grade]],"-",scheduleapr[[#This Row],[FC/NFC]])</f>
        <v/>
      </c>
      <c r="R134" s="557">
        <f>_xlfn.CONCAT(scheduleapr[[#This Row],[Bucket]],"-",scheduleapr[[#This Row],[LENGTH]]/1000)</f>
        <v/>
      </c>
      <c r="S134" s="557">
        <f>COUNTIF([2]!buckets[CTL Bucket],[2]!scheduleapr[[#This Row],[CTL Bucket]])</f>
        <v/>
      </c>
      <c r="T134" s="601" t="inlineStr">
        <is>
          <t>Hosur</t>
        </is>
      </c>
      <c r="U134" s="601" t="n"/>
      <c r="V134" s="557" t="n"/>
      <c r="W134" s="557" t="n"/>
      <c r="X134" s="599" t="n">
        <v>34.93</v>
      </c>
      <c r="Y134" s="599" t="n">
        <v>34.93</v>
      </c>
      <c r="Z134" s="599" t="n">
        <v>0</v>
      </c>
      <c r="AA134" s="599" t="n">
        <v>1.2</v>
      </c>
      <c r="AB134" s="600" t="n">
        <v>390</v>
      </c>
      <c r="AC134" s="600" t="inlineStr">
        <is>
          <t>NOS</t>
        </is>
      </c>
      <c r="AD134" s="600" t="n"/>
      <c r="AE134" s="600" t="n"/>
      <c r="AF134" s="601" t="n"/>
      <c r="AG134" s="601" t="n"/>
      <c r="AH134" s="601">
        <f t="array" ref="AH1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4" s="602">
        <f>scheduleapr[[#This Row],[SCHEDULE in nos]]-scheduleapr[[#This Row],[DISPATCH]]</f>
        <v/>
      </c>
      <c r="AJ134" s="599">
        <f>(3.14*(scheduleapr[[#This Row],[ACTUAL OD]]-scheduleapr[[#This Row],[TICKNESS]])*scheduleapr[[#This Row],[TICKNESS]]*scheduleapr[[#This Row],[LENGTH]]*7.85)/1000000*scheduleapr[[#This Row],[SCHEDULE in nos]]/1000</f>
        <v/>
      </c>
      <c r="AK134" s="599">
        <f>(3.14*(scheduleapr[[#This Row],[ACTUAL OD]]-scheduleapr[[#This Row],[TICKNESS]])*scheduleapr[[#This Row],[TICKNESS]]*scheduleapr[[#This Row],[LENGTH]]*7.85)/1000000*scheduleapr[[#This Row],[DISPATCH]]/1000</f>
        <v/>
      </c>
      <c r="AL134" s="599">
        <f>AJ134-AK134</f>
        <v/>
      </c>
      <c r="AM134" s="599">
        <f>scheduleapr[[#This Row],[SCHEDULE in nos]]/scheduleapr[[#This Row],[SCHEDULE IN MT]]*scheduleapr[[#This Row],[CTL Stock]]</f>
        <v/>
      </c>
      <c r="AN134" s="599">
        <f>SUMIFS(stock[MT],stock[Bucket],scheduleapr[[#This Row],[Bucket]],stock[CTL Bucket],scheduleapr[[#This Row],[CTL Bucket]],stock[Plant],"0789")</f>
        <v/>
      </c>
      <c r="AO134" s="599" t="n"/>
      <c r="AP134" s="599">
        <f>SUMIFS(stock[MT],stock[Bucket],scheduleapr[[#This Row],[Bucket]],stock[LL or CTL],"LL")</f>
        <v/>
      </c>
      <c r="AQ134" s="599">
        <f>+SUMIFS(wip[Stock(Net Wt)],wip[Bucket],scheduleapr[[#This Row],[Bucket]])/1000</f>
        <v/>
      </c>
      <c r="AR134" s="599">
        <f>AJ134-AN134</f>
        <v/>
      </c>
      <c r="AS134" s="118" t="n"/>
    </row>
    <row r="135">
      <c r="A135" s="594" t="n">
        <v>113</v>
      </c>
      <c r="B135" s="5" t="inlineStr">
        <is>
          <t xml:space="preserve">Khopoli </t>
        </is>
      </c>
      <c r="C135" s="601" t="inlineStr">
        <is>
          <t>KNITVEL NEEDLES P LTD</t>
        </is>
      </c>
      <c r="D135" s="601" t="inlineStr">
        <is>
          <t>Knitvel</t>
        </is>
      </c>
      <c r="E135" s="601" t="n">
        <v>819045</v>
      </c>
      <c r="F135" s="601" t="n">
        <v>3500714</v>
      </c>
      <c r="G135" s="601">
        <f>_xlfn.CONCAT(scheduleapr[[#This Row],[CUSTOMER CODE]],"-",scheduleapr[[#This Row],[MATERIAL NO]])</f>
        <v/>
      </c>
      <c r="H135" s="601" t="inlineStr">
        <is>
          <t>TUB-O-N-AUT-BH-FC-42.70X4.000X5.50-ERW 1</t>
        </is>
      </c>
      <c r="I135" s="601" t="inlineStr">
        <is>
          <t>ERW 1</t>
        </is>
      </c>
      <c r="J135" s="601" t="inlineStr">
        <is>
          <t>Annealed</t>
        </is>
      </c>
      <c r="K135" s="601" t="n"/>
      <c r="L135" s="601" t="inlineStr">
        <is>
          <t>HR</t>
        </is>
      </c>
      <c r="M135" s="601" t="n"/>
      <c r="N135" s="601" t="n"/>
      <c r="O135" s="601" t="n"/>
      <c r="P135" s="601" t="n"/>
      <c r="Q135" s="557">
        <f>CONCATENATE(scheduleapr[[#This Row],[OD]],"-",scheduleapr[[#This Row],[ID]],"-",scheduleapr[[#This Row],[TICKNESS]],"-",scheduleapr[[#This Row],[Grade]],"-",scheduleapr[[#This Row],[FC/NFC]])</f>
        <v/>
      </c>
      <c r="R135" s="557">
        <f>_xlfn.CONCAT(scheduleapr[[#This Row],[Bucket]],"-",scheduleapr[[#This Row],[LENGTH]]/1000)</f>
        <v/>
      </c>
      <c r="S135" s="557">
        <f>COUNTIF([2]!buckets[CTL Bucket],[2]!scheduleapr[[#This Row],[CTL Bucket]])</f>
        <v/>
      </c>
      <c r="T135" s="557" t="n"/>
      <c r="U135" s="557" t="n"/>
      <c r="V135" s="557" t="n"/>
      <c r="W135" s="557" t="n"/>
      <c r="X135" s="599" t="n">
        <v>42.7</v>
      </c>
      <c r="Y135" s="599" t="n">
        <v>42.7</v>
      </c>
      <c r="Z135" s="599" t="n">
        <v>0</v>
      </c>
      <c r="AA135" s="599" t="n">
        <v>4</v>
      </c>
      <c r="AB135" s="600" t="n">
        <v>5500</v>
      </c>
      <c r="AC135" s="600" t="n"/>
      <c r="AD135" s="600" t="n"/>
      <c r="AE135" s="600" t="n"/>
      <c r="AF135" s="601" t="n"/>
      <c r="AG135" s="601" t="n"/>
      <c r="AH135" s="601">
        <f t="array" ref="AH1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5" s="602">
        <f>scheduleapr[[#This Row],[SCHEDULE in nos]]-scheduleapr[[#This Row],[DISPATCH]]</f>
        <v/>
      </c>
      <c r="AJ135" s="599">
        <f>(3.14*(scheduleapr[[#This Row],[ACTUAL OD]]-scheduleapr[[#This Row],[TICKNESS]])*scheduleapr[[#This Row],[TICKNESS]]*scheduleapr[[#This Row],[LENGTH]]*7.85)/1000000*scheduleapr[[#This Row],[SCHEDULE in nos]]/1000</f>
        <v/>
      </c>
      <c r="AK135" s="599">
        <f>(3.14*(scheduleapr[[#This Row],[ACTUAL OD]]-scheduleapr[[#This Row],[TICKNESS]])*scheduleapr[[#This Row],[TICKNESS]]*scheduleapr[[#This Row],[LENGTH]]*7.85)/1000000*scheduleapr[[#This Row],[DISPATCH]]/1000</f>
        <v/>
      </c>
      <c r="AL135" s="599">
        <f>AJ135-AK135</f>
        <v/>
      </c>
      <c r="AM135" s="599">
        <f>scheduleapr[[#This Row],[SCHEDULE in nos]]/scheduleapr[[#This Row],[SCHEDULE IN MT]]*scheduleapr[[#This Row],[CTL Stock]]</f>
        <v/>
      </c>
      <c r="AN135" s="599">
        <f>SUMIFS(stock[MT],stock[Bucket],scheduleapr[[#This Row],[Bucket]],stock[CTL Bucket],scheduleapr[[#This Row],[CTL Bucket]],stock[Plant],"0789")</f>
        <v/>
      </c>
      <c r="AO135" s="599" t="n"/>
      <c r="AP135" s="599">
        <f>SUMIFS(stock[MT],stock[Bucket],scheduleapr[[#This Row],[Bucket]],stock[LL or CTL],"LL")</f>
        <v/>
      </c>
      <c r="AQ135" s="599">
        <f>+SUMIFS(wip[Stock(Net Wt)],wip[Bucket],scheduleapr[[#This Row],[Bucket]])/1000</f>
        <v/>
      </c>
      <c r="AR135" s="599">
        <f>AJ135-AN135</f>
        <v/>
      </c>
      <c r="AS135" s="118" t="n"/>
    </row>
    <row r="136">
      <c r="A136" s="594" t="n">
        <v>109</v>
      </c>
      <c r="B136" s="5" t="inlineStr">
        <is>
          <t>Hosur</t>
        </is>
      </c>
      <c r="C136" s="601" t="inlineStr">
        <is>
          <t>KNITVEL NEEDLES P LTD</t>
        </is>
      </c>
      <c r="D136" s="601" t="inlineStr">
        <is>
          <t>Knitvel</t>
        </is>
      </c>
      <c r="E136" s="601" t="n">
        <v>819045</v>
      </c>
      <c r="F136" s="601" t="n">
        <v>1940467</v>
      </c>
      <c r="G136" s="601">
        <f>_xlfn.CONCAT(scheduleapr[[#This Row],[CUSTOMER CODE]],"-",scheduleapr[[#This Row],[MATERIAL NO]])</f>
        <v/>
      </c>
      <c r="H136" s="601" t="inlineStr">
        <is>
          <t>TUB-O-O-AUT-AW-PE-22.23X2.000X0.8120</t>
        </is>
      </c>
      <c r="I136" s="601" t="inlineStr">
        <is>
          <t>ERW 2 MAHS</t>
        </is>
      </c>
      <c r="J136" s="601" t="n"/>
      <c r="K136" s="601" t="inlineStr">
        <is>
          <t>PE</t>
        </is>
      </c>
      <c r="L136" s="601" t="inlineStr">
        <is>
          <t>HR</t>
        </is>
      </c>
      <c r="M136" s="596" t="inlineStr">
        <is>
          <t>ST52AL</t>
        </is>
      </c>
      <c r="N136" s="601" t="n"/>
      <c r="O136" s="601" t="n"/>
      <c r="P136" s="601" t="n"/>
      <c r="Q136" s="557">
        <f>CONCATENATE(scheduleapr[[#This Row],[OD]],"-",scheduleapr[[#This Row],[ID]],"-",scheduleapr[[#This Row],[TICKNESS]],"-",scheduleapr[[#This Row],[Grade]],"-",scheduleapr[[#This Row],[FC/NFC]])</f>
        <v/>
      </c>
      <c r="R136" s="557">
        <f>_xlfn.CONCAT(scheduleapr[[#This Row],[Bucket]],"-",scheduleapr[[#This Row],[LENGTH]]/1000)</f>
        <v/>
      </c>
      <c r="S136" s="557">
        <f>COUNTIF(scheduleapr[CTL Bucket],scheduleapr[[#This Row],[CTL Bucket]])</f>
        <v/>
      </c>
      <c r="T136" s="557" t="n"/>
      <c r="U136" s="557" t="n"/>
      <c r="V136" s="557" t="n"/>
      <c r="W136" s="557" t="n"/>
      <c r="X136" s="599" t="n">
        <v>22.23</v>
      </c>
      <c r="Y136" s="599" t="n">
        <v>22.23</v>
      </c>
      <c r="Z136" s="599" t="n">
        <v>0</v>
      </c>
      <c r="AA136" s="599" t="n">
        <v>2</v>
      </c>
      <c r="AB136" s="600" t="n">
        <v>812</v>
      </c>
      <c r="AC136" s="600" t="inlineStr">
        <is>
          <t>NOS</t>
        </is>
      </c>
      <c r="AD136" s="600" t="n"/>
      <c r="AE136" s="600" t="n"/>
      <c r="AF136" s="601" t="n"/>
      <c r="AG136" s="601" t="n"/>
      <c r="AH136" s="601">
        <f t="array" ref="AH1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6" s="602">
        <f>scheduleapr[[#This Row],[SCHEDULE in nos]]-scheduleapr[[#This Row],[DISPATCH]]</f>
        <v/>
      </c>
      <c r="AJ136" s="599">
        <f>(3.14*(scheduleapr[[#This Row],[ACTUAL OD]]-scheduleapr[[#This Row],[TICKNESS]])*scheduleapr[[#This Row],[TICKNESS]]*scheduleapr[[#This Row],[LENGTH]]*7.85)/1000000*scheduleapr[[#This Row],[SCHEDULE in nos]]/1000</f>
        <v/>
      </c>
      <c r="AK136" s="599">
        <f>(3.14*(scheduleapr[[#This Row],[ACTUAL OD]]-scheduleapr[[#This Row],[TICKNESS]])*scheduleapr[[#This Row],[TICKNESS]]*scheduleapr[[#This Row],[LENGTH]]*7.85)/1000000*scheduleapr[[#This Row],[DISPATCH]]/1000</f>
        <v/>
      </c>
      <c r="AL136" s="599">
        <f>AJ136-AK136</f>
        <v/>
      </c>
      <c r="AM136" s="599">
        <f>scheduleapr[[#This Row],[SCHEDULE in nos]]/scheduleapr[[#This Row],[SCHEDULE IN MT]]*scheduleapr[[#This Row],[CTL Stock]]</f>
        <v/>
      </c>
      <c r="AN136" s="599">
        <f>SUMIFS(stock[MT],stock[Bucket],scheduleapr[[#This Row],[Bucket]],stock[CTL Bucket],scheduleapr[[#This Row],[CTL Bucket]],stock[Plant],"0789")</f>
        <v/>
      </c>
      <c r="AO136" s="599" t="n"/>
      <c r="AP136" s="599">
        <f>SUMIFS(stock[MT],stock[Bucket],scheduleapr[[#This Row],[Bucket]],stock[LL or CTL],"LL")</f>
        <v/>
      </c>
      <c r="AQ136" s="599">
        <f>+SUMIFS(wip[Stock(Net Wt)],wip[Bucket],scheduleapr[[#This Row],[Bucket]])/1000</f>
        <v/>
      </c>
      <c r="AR136" s="599">
        <f>AJ136-AN136</f>
        <v/>
      </c>
      <c r="AS136" s="118" t="n"/>
    </row>
    <row r="137">
      <c r="A137" s="594" t="n">
        <v>108</v>
      </c>
      <c r="B137" s="5" t="inlineStr">
        <is>
          <t>Hosur</t>
        </is>
      </c>
      <c r="C137" s="601" t="inlineStr">
        <is>
          <t>KNITVEL NEEDLES P LTD</t>
        </is>
      </c>
      <c r="D137" s="601" t="inlineStr">
        <is>
          <t>Knitvel</t>
        </is>
      </c>
      <c r="E137" s="601" t="n">
        <v>819045</v>
      </c>
      <c r="F137" s="601" t="n">
        <v>3775108</v>
      </c>
      <c r="G137" s="601">
        <f>_xlfn.CONCAT(scheduleapr[[#This Row],[CUSTOMER CODE]],"-",scheduleapr[[#This Row],[MATERIAL NO]])</f>
        <v/>
      </c>
      <c r="H137" s="601" t="inlineStr">
        <is>
          <t>CUT-O-N-AUT-AW-PE-22.20X2.000X0.7720</t>
        </is>
      </c>
      <c r="I137" s="601" t="n"/>
      <c r="J137" s="601" t="n"/>
      <c r="K137" s="601" t="n"/>
      <c r="L137" s="601" t="inlineStr">
        <is>
          <t>HR</t>
        </is>
      </c>
      <c r="M137" s="601" t="n"/>
      <c r="N137" s="601" t="n"/>
      <c r="O137" s="601" t="n"/>
      <c r="P137" s="601" t="n"/>
      <c r="Q137" s="557">
        <f>CONCATENATE(scheduleapr[[#This Row],[OD]],"-",scheduleapr[[#This Row],[ID]],"-",scheduleapr[[#This Row],[TICKNESS]],"-",scheduleapr[[#This Row],[Grade]],"-",scheduleapr[[#This Row],[FC/NFC]])</f>
        <v/>
      </c>
      <c r="R137" s="557">
        <f>_xlfn.CONCAT(scheduleapr[[#This Row],[Bucket]],"-",scheduleapr[[#This Row],[LENGTH]]/1000)</f>
        <v/>
      </c>
      <c r="S137" s="557">
        <f>COUNTIF([2]!buckets[CTL Bucket],[2]!scheduleapr[[#This Row],[CTL Bucket]])</f>
        <v/>
      </c>
      <c r="T137" s="557" t="n"/>
      <c r="U137" s="557" t="n"/>
      <c r="V137" s="557" t="n"/>
      <c r="W137" s="557" t="n"/>
      <c r="X137" s="599" t="n">
        <v>22.23</v>
      </c>
      <c r="Y137" s="599" t="n">
        <v>22.23</v>
      </c>
      <c r="Z137" s="599" t="n">
        <v>0</v>
      </c>
      <c r="AA137" s="599" t="n">
        <v>2</v>
      </c>
      <c r="AB137" s="600" t="n">
        <v>772</v>
      </c>
      <c r="AC137" s="600" t="n"/>
      <c r="AD137" s="600" t="n"/>
      <c r="AE137" s="600" t="n"/>
      <c r="AF137" s="601" t="n"/>
      <c r="AG137" s="601" t="n"/>
      <c r="AH137" s="601">
        <f t="array" ref="AH1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7" s="602">
        <f>scheduleapr[[#This Row],[SCHEDULE in nos]]-scheduleapr[[#This Row],[DISPATCH]]</f>
        <v/>
      </c>
      <c r="AJ137" s="599">
        <f>(3.14*(scheduleapr[[#This Row],[ACTUAL OD]]-scheduleapr[[#This Row],[TICKNESS]])*scheduleapr[[#This Row],[TICKNESS]]*scheduleapr[[#This Row],[LENGTH]]*7.85)/1000000*scheduleapr[[#This Row],[SCHEDULE in nos]]/1000</f>
        <v/>
      </c>
      <c r="AK137" s="599">
        <f>(3.14*(scheduleapr[[#This Row],[ACTUAL OD]]-scheduleapr[[#This Row],[TICKNESS]])*scheduleapr[[#This Row],[TICKNESS]]*scheduleapr[[#This Row],[LENGTH]]*7.85)/1000000*scheduleapr[[#This Row],[DISPATCH]]/1000</f>
        <v/>
      </c>
      <c r="AL137" s="599">
        <f>AJ137-AK137</f>
        <v/>
      </c>
      <c r="AM137" s="599">
        <f>scheduleapr[[#This Row],[SCHEDULE in nos]]/scheduleapr[[#This Row],[SCHEDULE IN MT]]*scheduleapr[[#This Row],[CTL Stock]]</f>
        <v/>
      </c>
      <c r="AN137" s="599">
        <f>SUMIFS(stock[MT],stock[Bucket],scheduleapr[[#This Row],[Bucket]],stock[CTL Bucket],scheduleapr[[#This Row],[CTL Bucket]],stock[Plant],"0789")</f>
        <v/>
      </c>
      <c r="AO137" s="599" t="n"/>
      <c r="AP137" s="599">
        <f>SUMIFS(stock[MT],stock[Bucket],scheduleapr[[#This Row],[Bucket]],stock[LL or CTL],"LL")</f>
        <v/>
      </c>
      <c r="AQ137" s="599">
        <f>+SUMIFS(wip[Stock(Net Wt)],wip[Bucket],scheduleapr[[#This Row],[Bucket]])/1000</f>
        <v/>
      </c>
      <c r="AR137" s="599">
        <f>AJ137-AN137</f>
        <v/>
      </c>
      <c r="AS137" s="118" t="n"/>
    </row>
    <row r="138">
      <c r="A138" s="594" t="n">
        <v>110</v>
      </c>
      <c r="B138" s="5" t="inlineStr">
        <is>
          <t>Hosur</t>
        </is>
      </c>
      <c r="C138" s="601" t="inlineStr">
        <is>
          <t>KNITVEL NEEDLES P LTD</t>
        </is>
      </c>
      <c r="D138" s="601" t="inlineStr">
        <is>
          <t>Knitvel</t>
        </is>
      </c>
      <c r="E138" s="601" t="n">
        <v>819045</v>
      </c>
      <c r="F138" s="601" t="n"/>
      <c r="G138" s="601">
        <f>_xlfn.CONCAT(scheduleapr[[#This Row],[CUSTOMER CODE]],"-",scheduleapr[[#This Row],[MATERIAL NO]])</f>
        <v/>
      </c>
      <c r="H138" s="601" t="n"/>
      <c r="I138" s="601" t="n"/>
      <c r="J138" s="601" t="n"/>
      <c r="K138" s="601" t="n"/>
      <c r="L138" s="601" t="inlineStr">
        <is>
          <t>HR</t>
        </is>
      </c>
      <c r="M138" s="601" t="n"/>
      <c r="N138" s="601" t="n"/>
      <c r="O138" s="601" t="n"/>
      <c r="P138" s="601" t="n"/>
      <c r="Q138" s="557">
        <f>CONCATENATE(scheduleapr[[#This Row],[OD]],"-",scheduleapr[[#This Row],[ID]],"-",scheduleapr[[#This Row],[TICKNESS]],"-",scheduleapr[[#This Row],[Grade]],"-",scheduleapr[[#This Row],[FC/NFC]])</f>
        <v/>
      </c>
      <c r="R138" s="557">
        <f>_xlfn.CONCAT(scheduleapr[[#This Row],[Bucket]],"-",scheduleapr[[#This Row],[LENGTH]]/1000)</f>
        <v/>
      </c>
      <c r="S138" s="557">
        <f>COUNTIF([2]!buckets[CTL Bucket],[2]!scheduleapr[[#This Row],[CTL Bucket]])</f>
        <v/>
      </c>
      <c r="T138" s="557" t="n"/>
      <c r="U138" s="557" t="n"/>
      <c r="V138" s="557" t="n"/>
      <c r="W138" s="557" t="n"/>
      <c r="X138" s="599" t="n">
        <v>25.4</v>
      </c>
      <c r="Y138" s="599" t="n">
        <v>25.4</v>
      </c>
      <c r="Z138" s="599" t="n">
        <v>0</v>
      </c>
      <c r="AA138" s="599" t="n">
        <v>2</v>
      </c>
      <c r="AB138" s="600" t="n">
        <v>600</v>
      </c>
      <c r="AC138" s="600" t="n"/>
      <c r="AD138" s="600" t="n"/>
      <c r="AE138" s="600" t="n"/>
      <c r="AF138" s="601" t="n"/>
      <c r="AG138" s="601" t="n"/>
      <c r="AH138" s="601">
        <f t="array" ref="AH1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8" s="602">
        <f>scheduleapr[[#This Row],[SCHEDULE in nos]]-scheduleapr[[#This Row],[DISPATCH]]</f>
        <v/>
      </c>
      <c r="AJ138" s="599">
        <f>(3.14*(scheduleapr[[#This Row],[ACTUAL OD]]-scheduleapr[[#This Row],[TICKNESS]])*scheduleapr[[#This Row],[TICKNESS]]*scheduleapr[[#This Row],[LENGTH]]*7.85)/1000000*scheduleapr[[#This Row],[SCHEDULE in nos]]/1000</f>
        <v/>
      </c>
      <c r="AK138" s="599">
        <f>(3.14*(scheduleapr[[#This Row],[ACTUAL OD]]-scheduleapr[[#This Row],[TICKNESS]])*scheduleapr[[#This Row],[TICKNESS]]*scheduleapr[[#This Row],[LENGTH]]*7.85)/1000000*scheduleapr[[#This Row],[DISPATCH]]/1000</f>
        <v/>
      </c>
      <c r="AL138" s="599">
        <f>AJ138-AK138</f>
        <v/>
      </c>
      <c r="AM138" s="599">
        <f>scheduleapr[[#This Row],[SCHEDULE in nos]]/scheduleapr[[#This Row],[SCHEDULE IN MT]]*scheduleapr[[#This Row],[CTL Stock]]</f>
        <v/>
      </c>
      <c r="AN138" s="599">
        <f>SUMIFS(stock[MT],stock[Bucket],scheduleapr[[#This Row],[Bucket]],stock[CTL Bucket],scheduleapr[[#This Row],[CTL Bucket]],stock[Plant],"0789")</f>
        <v/>
      </c>
      <c r="AO138" s="599" t="n"/>
      <c r="AP138" s="599">
        <f>SUMIFS(stock[MT],stock[Bucket],scheduleapr[[#This Row],[Bucket]],stock[LL or CTL],"LL")</f>
        <v/>
      </c>
      <c r="AQ138" s="599">
        <f>+SUMIFS(wip[Stock(Net Wt)],wip[Bucket],scheduleapr[[#This Row],[Bucket]])/1000</f>
        <v/>
      </c>
      <c r="AR138" s="599">
        <f>AJ138-AN138</f>
        <v/>
      </c>
      <c r="AS138" s="118" t="n"/>
    </row>
    <row r="139">
      <c r="A139" s="594" t="n">
        <v>112</v>
      </c>
      <c r="B139" s="5" t="inlineStr">
        <is>
          <t>Hosur</t>
        </is>
      </c>
      <c r="C139" s="601" t="inlineStr">
        <is>
          <t>KNITVEL NEEDLES P LTD</t>
        </is>
      </c>
      <c r="D139" s="601" t="inlineStr">
        <is>
          <t>Knitvel</t>
        </is>
      </c>
      <c r="E139" s="601" t="n">
        <v>819045</v>
      </c>
      <c r="F139" s="601" t="n">
        <v>3484654</v>
      </c>
      <c r="G139" s="601">
        <f>_xlfn.CONCAT(scheduleapr[[#This Row],[CUSTOMER CODE]],"-",scheduleapr[[#This Row],[MATERIAL NO]])</f>
        <v/>
      </c>
      <c r="H139" s="601" t="inlineStr">
        <is>
          <t>TUB-O-N-AUT-AW-PE-34.93X2.000X1.2800</t>
        </is>
      </c>
      <c r="I139" s="601" t="n"/>
      <c r="J139" s="601" t="n"/>
      <c r="K139" s="601" t="n"/>
      <c r="L139" s="601" t="inlineStr">
        <is>
          <t>HR</t>
        </is>
      </c>
      <c r="M139" s="601" t="n"/>
      <c r="N139" s="601" t="n"/>
      <c r="O139" s="601" t="n"/>
      <c r="P139" s="601" t="n"/>
      <c r="Q139" s="557">
        <f>CONCATENATE(scheduleapr[[#This Row],[OD]],"-",scheduleapr[[#This Row],[ID]],"-",scheduleapr[[#This Row],[TICKNESS]],"-",scheduleapr[[#This Row],[Grade]],"-",scheduleapr[[#This Row],[FC/NFC]])</f>
        <v/>
      </c>
      <c r="R139" s="557">
        <f>_xlfn.CONCAT(scheduleapr[[#This Row],[Bucket]],"-",scheduleapr[[#This Row],[LENGTH]]/1000)</f>
        <v/>
      </c>
      <c r="S139" s="557">
        <f>COUNTIF([2]!buckets[CTL Bucket],[2]!scheduleapr[[#This Row],[CTL Bucket]])</f>
        <v/>
      </c>
      <c r="T139" s="557" t="n"/>
      <c r="U139" s="557" t="n"/>
      <c r="V139" s="557" t="n"/>
      <c r="W139" s="557" t="n"/>
      <c r="X139" s="599" t="n">
        <v>34.93</v>
      </c>
      <c r="Y139" s="599" t="n">
        <v>34.93</v>
      </c>
      <c r="Z139" s="599" t="n">
        <v>0</v>
      </c>
      <c r="AA139" s="599" t="n">
        <v>2</v>
      </c>
      <c r="AB139" s="600" t="n">
        <v>1280</v>
      </c>
      <c r="AC139" s="600" t="n"/>
      <c r="AD139" s="600" t="n"/>
      <c r="AE139" s="600" t="n"/>
      <c r="AF139" s="601" t="n"/>
      <c r="AG139" s="601" t="n"/>
      <c r="AH139" s="601">
        <f t="array" ref="AH1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39" s="602">
        <f>scheduleapr[[#This Row],[SCHEDULE in nos]]-scheduleapr[[#This Row],[DISPATCH]]</f>
        <v/>
      </c>
      <c r="AJ139" s="599">
        <f>(3.14*(scheduleapr[[#This Row],[ACTUAL OD]]-scheduleapr[[#This Row],[TICKNESS]])*scheduleapr[[#This Row],[TICKNESS]]*scheduleapr[[#This Row],[LENGTH]]*7.85)/1000000*scheduleapr[[#This Row],[SCHEDULE in nos]]/1000</f>
        <v/>
      </c>
      <c r="AK139" s="599">
        <f>(3.14*(scheduleapr[[#This Row],[ACTUAL OD]]-scheduleapr[[#This Row],[TICKNESS]])*scheduleapr[[#This Row],[TICKNESS]]*scheduleapr[[#This Row],[LENGTH]]*7.85)/1000000*scheduleapr[[#This Row],[DISPATCH]]/1000</f>
        <v/>
      </c>
      <c r="AL139" s="599">
        <f>AJ139-AK139</f>
        <v/>
      </c>
      <c r="AM139" s="599">
        <f>scheduleapr[[#This Row],[SCHEDULE in nos]]/scheduleapr[[#This Row],[SCHEDULE IN MT]]*scheduleapr[[#This Row],[CTL Stock]]</f>
        <v/>
      </c>
      <c r="AN139" s="599">
        <f>SUMIFS(stock[MT],stock[Bucket],scheduleapr[[#This Row],[Bucket]],stock[CTL Bucket],scheduleapr[[#This Row],[CTL Bucket]],stock[Plant],"0789")</f>
        <v/>
      </c>
      <c r="AO139" s="599" t="n"/>
      <c r="AP139" s="599">
        <f>SUMIFS(stock[MT],stock[Bucket],scheduleapr[[#This Row],[Bucket]],stock[LL or CTL],"LL")</f>
        <v/>
      </c>
      <c r="AQ139" s="599">
        <f>+SUMIFS(wip[Stock(Net Wt)],wip[Bucket],scheduleapr[[#This Row],[Bucket]])/1000</f>
        <v/>
      </c>
      <c r="AR139" s="599">
        <f>AJ139-AN139</f>
        <v/>
      </c>
      <c r="AS139" s="118" t="n"/>
    </row>
    <row r="140">
      <c r="A140" s="594" t="n">
        <v>114</v>
      </c>
      <c r="B140" s="5" t="inlineStr">
        <is>
          <t>Hosur</t>
        </is>
      </c>
      <c r="C140" s="601" t="inlineStr">
        <is>
          <t>KNITVEL NEEDLES P LTD</t>
        </is>
      </c>
      <c r="D140" s="601" t="inlineStr">
        <is>
          <t>Knitvel</t>
        </is>
      </c>
      <c r="E140" s="601" t="n">
        <v>819045</v>
      </c>
      <c r="F140" s="48" t="n"/>
      <c r="G140" s="601">
        <f>_xlfn.CONCAT(scheduleapr[[#This Row],[CUSTOMER CODE]],"-",scheduleapr[[#This Row],[MATERIAL NO]])</f>
        <v/>
      </c>
      <c r="H140" s="601" t="inlineStr">
        <is>
          <t>CUT-N-AUT-AW-FC-48.60X3.500X0.5950</t>
        </is>
      </c>
      <c r="I140" s="601" t="n"/>
      <c r="J140" s="601" t="n"/>
      <c r="K140" s="601" t="n"/>
      <c r="L140" s="601" t="inlineStr">
        <is>
          <t>HR</t>
        </is>
      </c>
      <c r="M140" s="601" t="n"/>
      <c r="N140" s="601" t="n"/>
      <c r="O140" s="601" t="n"/>
      <c r="P140" s="601" t="n"/>
      <c r="Q140" s="557">
        <f>CONCATENATE(scheduleapr[[#This Row],[OD]],"-",scheduleapr[[#This Row],[ID]],"-",scheduleapr[[#This Row],[TICKNESS]],"-",scheduleapr[[#This Row],[Grade]],"-",scheduleapr[[#This Row],[FC/NFC]])</f>
        <v/>
      </c>
      <c r="R140" s="557">
        <f>_xlfn.CONCAT(scheduleapr[[#This Row],[Bucket]],"-",scheduleapr[[#This Row],[LENGTH]]/1000)</f>
        <v/>
      </c>
      <c r="S140" s="557">
        <f>COUNTIF([2]!buckets[CTL Bucket],[2]!scheduleapr[[#This Row],[CTL Bucket]])</f>
        <v/>
      </c>
      <c r="T140" s="557" t="n"/>
      <c r="U140" s="557" t="n"/>
      <c r="V140" s="557" t="n"/>
      <c r="W140" s="557" t="n"/>
      <c r="X140" s="599" t="n">
        <v>48.6</v>
      </c>
      <c r="Y140" s="599" t="n">
        <v>48.6</v>
      </c>
      <c r="Z140" s="599" t="n">
        <v>0</v>
      </c>
      <c r="AA140" s="599" t="n">
        <v>3.5</v>
      </c>
      <c r="AB140" s="600" t="n">
        <v>595</v>
      </c>
      <c r="AC140" s="600" t="n"/>
      <c r="AD140" s="600" t="n"/>
      <c r="AE140" s="600" t="n"/>
      <c r="AF140" s="601" t="n"/>
      <c r="AG140" s="601" t="n"/>
      <c r="AH140" s="601">
        <f t="array" ref="AH1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0" s="602">
        <f>scheduleapr[[#This Row],[SCHEDULE in nos]]-scheduleapr[[#This Row],[DISPATCH]]</f>
        <v/>
      </c>
      <c r="AJ140" s="599">
        <f>(3.14*(scheduleapr[[#This Row],[ACTUAL OD]]-scheduleapr[[#This Row],[TICKNESS]])*scheduleapr[[#This Row],[TICKNESS]]*scheduleapr[[#This Row],[LENGTH]]*7.85)/1000000*scheduleapr[[#This Row],[SCHEDULE in nos]]/1000</f>
        <v/>
      </c>
      <c r="AK140" s="599">
        <f>(3.14*(scheduleapr[[#This Row],[ACTUAL OD]]-scheduleapr[[#This Row],[TICKNESS]])*scheduleapr[[#This Row],[TICKNESS]]*scheduleapr[[#This Row],[LENGTH]]*7.85)/1000000*scheduleapr[[#This Row],[DISPATCH]]/1000</f>
        <v/>
      </c>
      <c r="AL140" s="599">
        <f>AJ140-AK140</f>
        <v/>
      </c>
      <c r="AM140" s="599">
        <f>scheduleapr[[#This Row],[SCHEDULE in nos]]/scheduleapr[[#This Row],[SCHEDULE IN MT]]*scheduleapr[[#This Row],[CTL Stock]]</f>
        <v/>
      </c>
      <c r="AN140" s="599">
        <f>SUMIFS(stock[MT],stock[Bucket],scheduleapr[[#This Row],[Bucket]],stock[CTL Bucket],scheduleapr[[#This Row],[CTL Bucket]],stock[Plant],"0789")</f>
        <v/>
      </c>
      <c r="AO140" s="599" t="n"/>
      <c r="AP140" s="599">
        <f>SUMIFS(stock[MT],stock[Bucket],scheduleapr[[#This Row],[Bucket]],stock[LL or CTL],"LL")</f>
        <v/>
      </c>
      <c r="AQ140" s="599">
        <f>+SUMIFS(wip[Stock(Net Wt)],wip[Bucket],scheduleapr[[#This Row],[Bucket]])/1000</f>
        <v/>
      </c>
      <c r="AR140" s="599">
        <f>AJ140-AN140</f>
        <v/>
      </c>
      <c r="AS140" s="118" t="n"/>
    </row>
    <row r="141">
      <c r="A141" s="594" t="n">
        <v>629</v>
      </c>
      <c r="B141" s="5" t="inlineStr">
        <is>
          <t xml:space="preserve">Khopoli </t>
        </is>
      </c>
      <c r="C141" s="601" t="inlineStr">
        <is>
          <t>Laxmi</t>
        </is>
      </c>
      <c r="D141" s="601" t="inlineStr">
        <is>
          <t>Laxmi</t>
        </is>
      </c>
      <c r="E141" s="601" t="n">
        <v>185254</v>
      </c>
      <c r="F141" s="48" t="n">
        <v>3228788</v>
      </c>
      <c r="G141" s="601">
        <f>_xlfn.CONCAT(scheduleapr[[#This Row],[CUSTOMER CODE]],"-",scheduleapr[[#This Row],[MATERIAL NO]])</f>
        <v/>
      </c>
      <c r="H141" s="601" t="inlineStr">
        <is>
          <t>TUB-O-C-AUT-AD-FC-20.00X1.420X0.2730</t>
        </is>
      </c>
      <c r="I141" s="601" t="inlineStr">
        <is>
          <t>CEW</t>
        </is>
      </c>
      <c r="J141" s="601" t="n"/>
      <c r="K141" s="601" t="inlineStr">
        <is>
          <t>CEW</t>
        </is>
      </c>
      <c r="L141" s="601" t="inlineStr">
        <is>
          <t>HR</t>
        </is>
      </c>
      <c r="M141" s="601" t="n"/>
      <c r="N141" s="601" t="n"/>
      <c r="O141" s="601" t="n"/>
      <c r="P141" s="601" t="n"/>
      <c r="Q141" s="557">
        <f>CONCATENATE(scheduleapr[[#This Row],[OD]],"-",scheduleapr[[#This Row],[ID]],"-",scheduleapr[[#This Row],[TICKNESS]],"-",scheduleapr[[#This Row],[Grade]],"-",scheduleapr[[#This Row],[FC/NFC]])</f>
        <v/>
      </c>
      <c r="R141" s="557">
        <f>_xlfn.CONCAT(scheduleapr[[#This Row],[Bucket]],"-",scheduleapr[[#This Row],[LENGTH]]/1000)</f>
        <v/>
      </c>
      <c r="S141" s="601" t="n">
        <v>1</v>
      </c>
      <c r="T141" s="601" t="inlineStr">
        <is>
          <t>Khopoli</t>
        </is>
      </c>
      <c r="U141" s="601">
        <f>_xlfn.IFNA(VLOOKUP(scheduleapr[[#This Row],[Bucket]],salesforecast[[#All],[Bucket2]:[8406 Stock]],19,0),0)</f>
        <v/>
      </c>
      <c r="V141" s="562">
        <f>_xlfn.IFNA(VLOOKUP(scheduleapr[[#This Row],[Bucket]],salesforecast[[#All],[Bucket2]:[8406 Stock]],20,0),0)+_xlfn.IFNA(VLOOKUP(scheduleapr[[#This Row],[Bucket]],salesforecast[[#All],[Bucket2]:[8406 Stock]],17,0),0)</f>
        <v/>
      </c>
      <c r="W141" s="601" t="n"/>
      <c r="X141" s="599" t="n">
        <v>20</v>
      </c>
      <c r="Y141" s="599" t="n">
        <v>20</v>
      </c>
      <c r="Z141" s="599" t="n">
        <v>17.16</v>
      </c>
      <c r="AA141" s="599" t="n">
        <v>1.42</v>
      </c>
      <c r="AB141" s="600" t="n">
        <v>273</v>
      </c>
      <c r="AC141" s="600" t="inlineStr">
        <is>
          <t>NOS</t>
        </is>
      </c>
      <c r="AD141" s="600" t="n"/>
      <c r="AE141" s="600" t="n"/>
      <c r="AF141" s="601" t="n">
        <v>20000</v>
      </c>
      <c r="AG141" s="601" t="n"/>
      <c r="AH141" s="601">
        <f t="array" ref="AH1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1" s="602">
        <f>scheduleapr[[#This Row],[SCHEDULE in nos]]-scheduleapr[[#This Row],[DISPATCH]]</f>
        <v/>
      </c>
      <c r="AJ141" s="599">
        <f>(3.14*(scheduleapr[[#This Row],[ACTUAL OD]]-scheduleapr[[#This Row],[TICKNESS]])*scheduleapr[[#This Row],[TICKNESS]]*scheduleapr[[#This Row],[LENGTH]]*7.85)/1000000*scheduleapr[[#This Row],[SCHEDULE in nos]]/1000</f>
        <v/>
      </c>
      <c r="AK141" s="599">
        <f>(3.14*(scheduleapr[[#This Row],[ACTUAL OD]]-scheduleapr[[#This Row],[TICKNESS]])*scheduleapr[[#This Row],[TICKNESS]]*scheduleapr[[#This Row],[LENGTH]]*7.85)/1000000*scheduleapr[[#This Row],[DISPATCH]]/1000</f>
        <v/>
      </c>
      <c r="AL141" s="599">
        <f>AJ141-AK141</f>
        <v/>
      </c>
      <c r="AM141" s="599">
        <f>scheduleapr[[#This Row],[SCHEDULE in nos]]/scheduleapr[[#This Row],[SCHEDULE IN MT]]*scheduleapr[[#This Row],[CTL Stock]]</f>
        <v/>
      </c>
      <c r="AN141" s="599">
        <f>SUMIFS(stock[MT],stock[Bucket],scheduleapr[[#This Row],[Bucket]],stock[CTL Bucket],scheduleapr[[#This Row],[CTL Bucket]],stock[Plant],"0789")</f>
        <v/>
      </c>
      <c r="AO141" s="599" t="n"/>
      <c r="AP141" s="599">
        <f>SUMIFS(stock[MT],stock[Bucket],scheduleapr[[#This Row],[Bucket]],stock[LL or CTL],"LL")</f>
        <v/>
      </c>
      <c r="AQ141" s="599">
        <f>+SUMIFS(wip[Stock(Net Wt)],wip[Bucket],scheduleapr[[#This Row],[Bucket]])/1000</f>
        <v/>
      </c>
      <c r="AR141" s="599">
        <f>AJ141-AN141</f>
        <v/>
      </c>
      <c r="AS141" s="92" t="n"/>
    </row>
    <row r="142">
      <c r="A142" s="594" t="n">
        <v>630</v>
      </c>
      <c r="B142" s="5" t="inlineStr">
        <is>
          <t xml:space="preserve">Khopoli </t>
        </is>
      </c>
      <c r="C142" s="601" t="inlineStr">
        <is>
          <t>Laxmi</t>
        </is>
      </c>
      <c r="D142" s="601" t="inlineStr">
        <is>
          <t>Laxmi</t>
        </is>
      </c>
      <c r="E142" s="601" t="n">
        <v>185254</v>
      </c>
      <c r="F142" s="48" t="n">
        <v>2256692</v>
      </c>
      <c r="G142" s="48">
        <f>_xlfn.CONCAT(scheduleapr[[#This Row],[CUSTOMER CODE]],"-",scheduleapr[[#This Row],[MATERIAL NO]])</f>
        <v/>
      </c>
      <c r="H142" s="48" t="inlineStr">
        <is>
          <t>TUB-O-C-AUT-AD-FC-20.00X1.420X0.2730</t>
        </is>
      </c>
      <c r="I142" s="601" t="inlineStr">
        <is>
          <t>ERW 1</t>
        </is>
      </c>
      <c r="J142" s="601" t="n"/>
      <c r="K142" s="601" t="inlineStr">
        <is>
          <t>FIN CUT</t>
        </is>
      </c>
      <c r="L142" s="601" t="inlineStr">
        <is>
          <t>HR</t>
        </is>
      </c>
      <c r="M142" s="601" t="n"/>
      <c r="N142" s="601" t="n"/>
      <c r="O142" s="601" t="n"/>
      <c r="P142" s="601" t="n"/>
      <c r="Q142" s="557">
        <f>CONCATENATE(scheduleapr[[#This Row],[OD]],"-",scheduleapr[[#This Row],[ID]],"-",scheduleapr[[#This Row],[TICKNESS]],"-",scheduleapr[[#This Row],[Grade]],"-",scheduleapr[[#This Row],[FC/NFC]])</f>
        <v/>
      </c>
      <c r="R142" s="557">
        <f>_xlfn.CONCAT(scheduleapr[[#This Row],[Bucket]],"-",scheduleapr[[#This Row],[LENGTH]]/1000)</f>
        <v/>
      </c>
      <c r="S142" s="601">
        <f>COUNTIF([2]!buckets[CTL Bucket],[2]!scheduleapr[[#This Row],[CTL Bucket]])</f>
        <v/>
      </c>
      <c r="T142" s="601" t="n"/>
      <c r="U142" s="601" t="n"/>
      <c r="V142" s="601" t="n"/>
      <c r="W142" s="601" t="n"/>
      <c r="X142" s="559" t="n">
        <v>48.6</v>
      </c>
      <c r="Y142" s="559" t="n">
        <v>59</v>
      </c>
      <c r="Z142" s="559" t="n">
        <v>30</v>
      </c>
      <c r="AA142" s="599" t="n">
        <v>1.6</v>
      </c>
      <c r="AB142" s="600" t="n">
        <v>645</v>
      </c>
      <c r="AC142" s="600" t="inlineStr">
        <is>
          <t>NOS</t>
        </is>
      </c>
      <c r="AD142" s="600" t="n"/>
      <c r="AE142" s="600" t="n"/>
      <c r="AF142" s="601" t="n"/>
      <c r="AG142" s="601" t="n"/>
      <c r="AH142" s="601">
        <f t="array" ref="AH1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2" s="602">
        <f>scheduleapr[[#This Row],[SCHEDULE in nos]]-scheduleapr[[#This Row],[DISPATCH]]</f>
        <v/>
      </c>
      <c r="AJ142" s="599">
        <f>(3.14*(scheduleapr[[#This Row],[ACTUAL OD]]-scheduleapr[[#This Row],[TICKNESS]])*scheduleapr[[#This Row],[TICKNESS]]*scheduleapr[[#This Row],[LENGTH]]*7.85)/1000000*scheduleapr[[#This Row],[SCHEDULE in nos]]/1000</f>
        <v/>
      </c>
      <c r="AK142" s="599">
        <f>(3.14*(scheduleapr[[#This Row],[ACTUAL OD]]-scheduleapr[[#This Row],[TICKNESS]])*scheduleapr[[#This Row],[TICKNESS]]*scheduleapr[[#This Row],[LENGTH]]*7.85)/1000000*scheduleapr[[#This Row],[DISPATCH]]/1000</f>
        <v/>
      </c>
      <c r="AL142" s="599">
        <f>AJ142-AK142</f>
        <v/>
      </c>
      <c r="AM142" s="599">
        <f>scheduleapr[[#This Row],[SCHEDULE in nos]]/scheduleapr[[#This Row],[SCHEDULE IN MT]]*scheduleapr[[#This Row],[CTL Stock]]</f>
        <v/>
      </c>
      <c r="AN142" s="599">
        <f>SUMIFS(stock[MT],stock[Bucket],scheduleapr[[#This Row],[Bucket]],stock[CTL Bucket],scheduleapr[[#This Row],[CTL Bucket]],stock[Plant],"0789")</f>
        <v/>
      </c>
      <c r="AO142" s="599" t="n"/>
      <c r="AP142" s="599">
        <f>SUMIFS(stock[MT],stock[Bucket],scheduleapr[[#This Row],[Bucket]],stock[LL or CTL],"LL")</f>
        <v/>
      </c>
      <c r="AQ142" s="599">
        <f>+SUMIFS(wip[Stock(Net Wt)],wip[Bucket],scheduleapr[[#This Row],[Bucket]])/1000</f>
        <v/>
      </c>
      <c r="AR142" s="599">
        <f>AJ142-AN142</f>
        <v/>
      </c>
      <c r="AS142" s="118" t="n"/>
    </row>
    <row r="143">
      <c r="A143" s="594" t="n">
        <v>627</v>
      </c>
      <c r="B143" s="5" t="inlineStr">
        <is>
          <t xml:space="preserve">Khopoli </t>
        </is>
      </c>
      <c r="C143" s="601" t="inlineStr">
        <is>
          <t>Laxmi</t>
        </is>
      </c>
      <c r="D143" s="601" t="inlineStr">
        <is>
          <t>Laxmi</t>
        </is>
      </c>
      <c r="E143" s="601" t="n">
        <v>185254</v>
      </c>
      <c r="F143" s="48" t="n">
        <v>3746291</v>
      </c>
      <c r="G143" s="601">
        <f>_xlfn.CONCAT(scheduleapr[[#This Row],[CUSTOMER CODE]],"-",scheduleapr[[#This Row],[MATERIAL NO]])</f>
        <v/>
      </c>
      <c r="H143" s="601" t="inlineStr">
        <is>
          <t>CUT-O-N-AUT-BH-FC-63.50X4.000X0.2340</t>
        </is>
      </c>
      <c r="I143" s="601" t="inlineStr">
        <is>
          <t>ERW 1</t>
        </is>
      </c>
      <c r="J143" s="601" t="inlineStr">
        <is>
          <t>Annealed</t>
        </is>
      </c>
      <c r="K143" s="601" t="inlineStr">
        <is>
          <t>FC</t>
        </is>
      </c>
      <c r="L143" s="601" t="inlineStr">
        <is>
          <t>HR</t>
        </is>
      </c>
      <c r="M143" s="601" t="n"/>
      <c r="N143" s="601" t="n"/>
      <c r="O143" s="601" t="n"/>
      <c r="P143" s="601" t="n"/>
      <c r="Q143" s="557">
        <f>CONCATENATE(scheduleapr[[#This Row],[OD]],"-",scheduleapr[[#This Row],[ID]],"-",scheduleapr[[#This Row],[TICKNESS]],"-",scheduleapr[[#This Row],[Grade]],"-",scheduleapr[[#This Row],[FC/NFC]])</f>
        <v/>
      </c>
      <c r="R143" s="557">
        <f>_xlfn.CONCAT(scheduleapr[[#This Row],[Bucket]],"-",scheduleapr[[#This Row],[LENGTH]]/1000)</f>
        <v/>
      </c>
      <c r="S143" s="601" t="n">
        <v>2</v>
      </c>
      <c r="T143" s="601" t="inlineStr">
        <is>
          <t>Khopoli</t>
        </is>
      </c>
      <c r="U143" s="601">
        <f>_xlfn.IFNA(VLOOKUP(scheduleapr[[#This Row],[Bucket]],salesforecast[[#All],[Bucket2]:[8406 Stock]],19,0),0)</f>
        <v/>
      </c>
      <c r="V143" s="562">
        <f>_xlfn.IFNA(VLOOKUP(scheduleapr[[#This Row],[Bucket]],salesforecast[[#All],[Bucket2]:[8406 Stock]],20,0),0)+_xlfn.IFNA(VLOOKUP(scheduleapr[[#This Row],[Bucket]],salesforecast[[#All],[Bucket2]:[8406 Stock]],17,0),0)</f>
        <v/>
      </c>
      <c r="W143" s="601" t="n"/>
      <c r="X143" s="599" t="n">
        <v>63.5</v>
      </c>
      <c r="Y143" s="599" t="n">
        <v>63.5</v>
      </c>
      <c r="Z143" s="599" t="n">
        <v>0</v>
      </c>
      <c r="AA143" s="599" t="n">
        <v>4</v>
      </c>
      <c r="AB143" s="22" t="n">
        <v>234</v>
      </c>
      <c r="AC143" s="22" t="inlineStr">
        <is>
          <t>NOS</t>
        </is>
      </c>
      <c r="AD143" s="22" t="n"/>
      <c r="AE143" s="22" t="n"/>
      <c r="AF143" s="601" t="n">
        <v>14000</v>
      </c>
      <c r="AG143" s="601" t="n"/>
      <c r="AH143" s="601">
        <f t="array" ref="AH1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3" s="602">
        <f>scheduleapr[[#This Row],[SCHEDULE in nos]]-scheduleapr[[#This Row],[DISPATCH]]</f>
        <v/>
      </c>
      <c r="AJ143" s="599">
        <f>(3.14*(scheduleapr[[#This Row],[ACTUAL OD]]-scheduleapr[[#This Row],[TICKNESS]])*scheduleapr[[#This Row],[TICKNESS]]*scheduleapr[[#This Row],[LENGTH]]*7.85)/1000000*scheduleapr[[#This Row],[SCHEDULE in nos]]/1000</f>
        <v/>
      </c>
      <c r="AK143" s="599">
        <f>(3.14*(scheduleapr[[#This Row],[ACTUAL OD]]-scheduleapr[[#This Row],[TICKNESS]])*scheduleapr[[#This Row],[TICKNESS]]*scheduleapr[[#This Row],[LENGTH]]*7.85)/1000000*scheduleapr[[#This Row],[DISPATCH]]/1000</f>
        <v/>
      </c>
      <c r="AL143" s="599">
        <f>AJ143-AK143</f>
        <v/>
      </c>
      <c r="AM143" s="599">
        <f>scheduleapr[[#This Row],[SCHEDULE in nos]]/scheduleapr[[#This Row],[SCHEDULE IN MT]]*scheduleapr[[#This Row],[CTL Stock]]</f>
        <v/>
      </c>
      <c r="AN143" s="599">
        <f>SUMIFS(stock[MT],stock[Bucket],scheduleapr[[#This Row],[Bucket]],stock[CTL Bucket],scheduleapr[[#This Row],[CTL Bucket]],stock[Plant],"0789")</f>
        <v/>
      </c>
      <c r="AO143" s="599" t="n"/>
      <c r="AP143" s="599">
        <f>SUMIFS(stock[MT],stock[Bucket],scheduleapr[[#This Row],[Bucket]],stock[LL or CTL],"LL")</f>
        <v/>
      </c>
      <c r="AQ143" s="599">
        <f>+SUMIFS(wip[Stock(Net Wt)],wip[Bucket],scheduleapr[[#This Row],[Bucket]])/1000</f>
        <v/>
      </c>
      <c r="AR143" s="599">
        <f>AJ143-AN143</f>
        <v/>
      </c>
      <c r="AS143" s="92" t="n"/>
    </row>
    <row r="144" ht="17.25" customHeight="1" s="584">
      <c r="A144" s="556" t="n"/>
      <c r="B144" s="5" t="inlineStr">
        <is>
          <t xml:space="preserve">Khopoli </t>
        </is>
      </c>
      <c r="C144" s="601" t="inlineStr">
        <is>
          <t>Laxmi</t>
        </is>
      </c>
      <c r="D144" s="601" t="inlineStr">
        <is>
          <t>Laxmi</t>
        </is>
      </c>
      <c r="E144" s="601" t="n">
        <v>185254</v>
      </c>
      <c r="F144" s="563" t="n"/>
      <c r="G144" s="601">
        <f>_xlfn.CONCAT(scheduleapr[[#This Row],[CUSTOMER CODE]],"-",scheduleapr[[#This Row],[MATERIAL NO]])</f>
        <v/>
      </c>
      <c r="H144" s="557" t="n"/>
      <c r="I144" s="601" t="inlineStr">
        <is>
          <t>ERW 1</t>
        </is>
      </c>
      <c r="J144" s="557" t="n"/>
      <c r="K144" s="601" t="inlineStr">
        <is>
          <t>FC</t>
        </is>
      </c>
      <c r="L144" s="557" t="n"/>
      <c r="M144" s="558" t="n"/>
      <c r="N144" s="557" t="n"/>
      <c r="O144" s="557" t="n"/>
      <c r="P144" s="557" t="n"/>
      <c r="Q144" s="557">
        <f>CONCATENATE(scheduleapr[[#This Row],[OD]],"-",scheduleapr[[#This Row],[ID]],"-",scheduleapr[[#This Row],[TICKNESS]],"-",scheduleapr[[#This Row],[Grade]],"-",scheduleapr[[#This Row],[FC/NFC]])</f>
        <v/>
      </c>
      <c r="R144" s="557">
        <f>_xlfn.CONCAT(scheduleapr[[#This Row],[Bucket]],"-",scheduleapr[[#This Row],[LENGTH]]/1000)</f>
        <v/>
      </c>
      <c r="S144" s="557" t="n"/>
      <c r="T144" s="601" t="n"/>
      <c r="U144" s="601">
        <f>_xlfn.IFNA(VLOOKUP(scheduleapr[[#This Row],[Bucket]],salesforecast[[#All],[Bucket2]:[8406 Stock]],19,0),0)</f>
        <v/>
      </c>
      <c r="V144" s="601" t="n"/>
      <c r="W144" s="601" t="n"/>
      <c r="X144" s="559" t="n">
        <v>63.5</v>
      </c>
      <c r="Y144" s="559" t="n">
        <v>63.5</v>
      </c>
      <c r="Z144" s="559" t="n">
        <v>0</v>
      </c>
      <c r="AA144" s="559" t="n">
        <v>4</v>
      </c>
      <c r="AB144" s="22" t="n">
        <v>263</v>
      </c>
      <c r="AC144" s="22" t="inlineStr">
        <is>
          <t>NOS</t>
        </is>
      </c>
      <c r="AD144" s="22" t="n"/>
      <c r="AE144" s="22" t="n"/>
      <c r="AF144" s="557" t="n">
        <v>1500</v>
      </c>
      <c r="AG144" s="557" t="n"/>
      <c r="AH144" s="601">
        <f t="array" ref="AH1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4" s="602">
        <f>scheduleapr[[#This Row],[SCHEDULE in nos]]-scheduleapr[[#This Row],[DISPATCH]]</f>
        <v/>
      </c>
      <c r="AJ144" s="559">
        <f>(3.14*(scheduleapr[[#This Row],[ACTUAL OD]]-scheduleapr[[#This Row],[TICKNESS]])*scheduleapr[[#This Row],[TICKNESS]]*scheduleapr[[#This Row],[LENGTH]]*7.85)/1000000*scheduleapr[[#This Row],[SCHEDULE in nos]]/1000</f>
        <v/>
      </c>
      <c r="AK144" s="599">
        <f>(3.14*(scheduleapr[[#This Row],[ACTUAL OD]]-scheduleapr[[#This Row],[TICKNESS]])*scheduleapr[[#This Row],[TICKNESS]]*scheduleapr[[#This Row],[LENGTH]]*7.85)/1000000*scheduleapr[[#This Row],[DISPATCH]]/1000</f>
        <v/>
      </c>
      <c r="AL144" s="599">
        <f>AJ144-AK144</f>
        <v/>
      </c>
      <c r="AM144" s="559">
        <f>scheduleapr[[#This Row],[SCHEDULE in nos]]/scheduleapr[[#This Row],[SCHEDULE IN MT]]*scheduleapr[[#This Row],[CTL Stock]]</f>
        <v/>
      </c>
      <c r="AN144" s="599">
        <f>SUMIFS(stock[MT],stock[Bucket],scheduleapr[[#This Row],[Bucket]],stock[CTL Bucket],scheduleapr[[#This Row],[CTL Bucket]],stock[Plant],"0789")</f>
        <v/>
      </c>
      <c r="AO144" s="599" t="n"/>
      <c r="AP144" s="599">
        <f>SUMIFS(stock[MT],stock[Bucket],scheduleapr[[#This Row],[Bucket]],stock[LL or CTL],"LL")</f>
        <v/>
      </c>
      <c r="AQ144" s="599">
        <f>+SUMIFS(wip[Stock(Net Wt)],wip[Bucket],scheduleapr[[#This Row],[Bucket]])/1000</f>
        <v/>
      </c>
      <c r="AR144" s="599">
        <f>AJ144-AN144</f>
        <v/>
      </c>
      <c r="AS144" s="541" t="n"/>
    </row>
    <row r="145">
      <c r="A145" s="594" t="n">
        <v>625</v>
      </c>
      <c r="B145" s="5" t="inlineStr">
        <is>
          <t xml:space="preserve">Khopoli </t>
        </is>
      </c>
      <c r="C145" s="601" t="inlineStr">
        <is>
          <t>Laxmi</t>
        </is>
      </c>
      <c r="D145" s="601" t="inlineStr">
        <is>
          <t>Laxmi</t>
        </is>
      </c>
      <c r="E145" s="601" t="n">
        <v>185254</v>
      </c>
      <c r="F145" s="48" t="n">
        <v>4032114</v>
      </c>
      <c r="G145" s="601">
        <f>_xlfn.CONCAT(scheduleapr[[#This Row],[CUSTOMER CODE]],"-",scheduleapr[[#This Row],[MATERIAL NO]])</f>
        <v/>
      </c>
      <c r="H145" s="601" t="inlineStr">
        <is>
          <t>TUB-O-N-AUT-AN-FC-54.00X3.000X1.1400</t>
        </is>
      </c>
      <c r="I145" s="601" t="inlineStr">
        <is>
          <t>ERW 2</t>
        </is>
      </c>
      <c r="J145" s="601" t="n"/>
      <c r="K145" s="601" t="inlineStr">
        <is>
          <t>FC</t>
        </is>
      </c>
      <c r="L145" s="601" t="inlineStr">
        <is>
          <t>HR</t>
        </is>
      </c>
      <c r="M145" s="601" t="n"/>
      <c r="N145" s="601" t="n"/>
      <c r="O145" s="601" t="n"/>
      <c r="P145" s="601" t="n"/>
      <c r="Q145" s="557">
        <f>CONCATENATE(scheduleapr[[#This Row],[OD]],"-",scheduleapr[[#This Row],[ID]],"-",scheduleapr[[#This Row],[TICKNESS]],"-",scheduleapr[[#This Row],[Grade]],"-",scheduleapr[[#This Row],[FC/NFC]])</f>
        <v/>
      </c>
      <c r="R145" s="557">
        <f>_xlfn.CONCAT(scheduleapr[[#This Row],[Bucket]],"-",scheduleapr[[#This Row],[LENGTH]]/1000)</f>
        <v/>
      </c>
      <c r="S145" s="601" t="n">
        <v>4</v>
      </c>
      <c r="T145" s="601" t="inlineStr">
        <is>
          <t>Khopoli</t>
        </is>
      </c>
      <c r="U145" s="601">
        <f>_xlfn.IFNA(VLOOKUP(scheduleapr[[#This Row],[Bucket]],salesforecast[[#All],[Bucket2]:[8406 Stock]],19,0),0)</f>
        <v/>
      </c>
      <c r="V145" s="562">
        <f>_xlfn.IFNA(VLOOKUP(scheduleapr[[#This Row],[Bucket]],salesforecast[[#All],[Bucket2]:[8406 Stock]],20,0),0)+_xlfn.IFNA(VLOOKUP(scheduleapr[[#This Row],[Bucket]],salesforecast[[#All],[Bucket2]:[8406 Stock]],17,0),0)</f>
        <v/>
      </c>
      <c r="W145" s="601" t="n"/>
      <c r="X145" s="599" t="n">
        <v>54</v>
      </c>
      <c r="Y145" s="599" t="n">
        <v>54</v>
      </c>
      <c r="Z145" s="599" t="n">
        <v>0</v>
      </c>
      <c r="AA145" s="599" t="n">
        <v>3</v>
      </c>
      <c r="AB145" s="600" t="n">
        <v>1140</v>
      </c>
      <c r="AC145" s="600" t="inlineStr">
        <is>
          <t>NOS</t>
        </is>
      </c>
      <c r="AD145" s="600" t="n"/>
      <c r="AE145" s="600" t="n"/>
      <c r="AF145" s="601" t="n">
        <v>2000</v>
      </c>
      <c r="AG145" s="601" t="n"/>
      <c r="AH145" s="601">
        <f t="array" ref="AH1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5" s="602">
        <f>scheduleapr[[#This Row],[SCHEDULE in nos]]-scheduleapr[[#This Row],[DISPATCH]]</f>
        <v/>
      </c>
      <c r="AJ145" s="599">
        <f>(3.14*(scheduleapr[[#This Row],[ACTUAL OD]]-scheduleapr[[#This Row],[TICKNESS]])*scheduleapr[[#This Row],[TICKNESS]]*scheduleapr[[#This Row],[LENGTH]]*7.85)/1000000*scheduleapr[[#This Row],[SCHEDULE in nos]]/1000</f>
        <v/>
      </c>
      <c r="AK145" s="599">
        <f>(3.14*(scheduleapr[[#This Row],[ACTUAL OD]]-scheduleapr[[#This Row],[TICKNESS]])*scheduleapr[[#This Row],[TICKNESS]]*scheduleapr[[#This Row],[LENGTH]]*7.85)/1000000*scheduleapr[[#This Row],[DISPATCH]]/1000</f>
        <v/>
      </c>
      <c r="AL145" s="599">
        <f>AJ145-AK145</f>
        <v/>
      </c>
      <c r="AM145" s="599">
        <f>scheduleapr[[#This Row],[SCHEDULE in nos]]/scheduleapr[[#This Row],[SCHEDULE IN MT]]*scheduleapr[[#This Row],[CTL Stock]]</f>
        <v/>
      </c>
      <c r="AN145" s="599">
        <f>SUMIFS(stock[MT],stock[Bucket],scheduleapr[[#This Row],[Bucket]],stock[CTL Bucket],scheduleapr[[#This Row],[CTL Bucket]],stock[Plant],"0789")</f>
        <v/>
      </c>
      <c r="AO145" s="599" t="n"/>
      <c r="AP145" s="599">
        <f>SUMIFS(stock[MT],stock[Bucket],scheduleapr[[#This Row],[Bucket]],stock[LL or CTL],"LL")</f>
        <v/>
      </c>
      <c r="AQ145" s="599">
        <f>+SUMIFS(wip[Stock(Net Wt)],wip[Bucket],scheduleapr[[#This Row],[Bucket]])/1000</f>
        <v/>
      </c>
      <c r="AR145" s="599">
        <f>AJ145-AN145</f>
        <v/>
      </c>
      <c r="AS145" s="92" t="n"/>
    </row>
    <row r="146">
      <c r="A146" s="594" t="n">
        <v>626</v>
      </c>
      <c r="B146" s="5" t="inlineStr">
        <is>
          <t xml:space="preserve">Khopoli </t>
        </is>
      </c>
      <c r="C146" s="601" t="inlineStr">
        <is>
          <t>Laxmi</t>
        </is>
      </c>
      <c r="D146" s="601" t="inlineStr">
        <is>
          <t>Laxmi</t>
        </is>
      </c>
      <c r="E146" s="601" t="n">
        <v>185254</v>
      </c>
      <c r="F146" s="48" t="n">
        <v>1938127</v>
      </c>
      <c r="G146" s="601">
        <f>_xlfn.CONCAT(scheduleapr[[#This Row],[CUSTOMER CODE]],"-",scheduleapr[[#This Row],[MATERIAL NO]])</f>
        <v/>
      </c>
      <c r="H146" s="601" t="inlineStr">
        <is>
          <t>TUB-S-AW-SHS-50.00X50.00X1.600X0.8470</t>
        </is>
      </c>
      <c r="I146" s="601" t="inlineStr">
        <is>
          <t>ERW 2</t>
        </is>
      </c>
      <c r="J146" s="601" t="n"/>
      <c r="K146" s="601" t="inlineStr">
        <is>
          <t>PE</t>
        </is>
      </c>
      <c r="L146" s="601" t="inlineStr">
        <is>
          <t>CR</t>
        </is>
      </c>
      <c r="M146" s="601" t="inlineStr">
        <is>
          <t>D</t>
        </is>
      </c>
      <c r="N146" s="601" t="n"/>
      <c r="O146" s="601" t="n"/>
      <c r="P146" s="601" t="n"/>
      <c r="Q146" s="557">
        <f>CONCATENATE(scheduleapr[[#This Row],[OD]],"-",scheduleapr[[#This Row],[ID]],"-",scheduleapr[[#This Row],[TICKNESS]],"-",scheduleapr[[#This Row],[Grade]],"-",scheduleapr[[#This Row],[FC/NFC]])</f>
        <v/>
      </c>
      <c r="R146" s="557">
        <f>_xlfn.CONCAT(scheduleapr[[#This Row],[Bucket]],"-",scheduleapr[[#This Row],[LENGTH]]/1000)</f>
        <v/>
      </c>
      <c r="S146" s="601" t="n">
        <v>1</v>
      </c>
      <c r="T146" s="601" t="inlineStr">
        <is>
          <t>JSR</t>
        </is>
      </c>
      <c r="U146" s="601">
        <f>_xlfn.IFNA(VLOOKUP(scheduleapr[[#This Row],[Bucket]],salesforecast[[#All],[Bucket2]:[8406 Stock]],19,0),0)</f>
        <v/>
      </c>
      <c r="V146" s="562">
        <f>_xlfn.IFNA(VLOOKUP(scheduleapr[[#This Row],[Bucket]],salesforecast[[#All],[Bucket2]:[8406 Stock]],20,0),0)+_xlfn.IFNA(VLOOKUP(scheduleapr[[#This Row],[Bucket]],salesforecast[[#All],[Bucket2]:[8406 Stock]],17,0),0)</f>
        <v/>
      </c>
      <c r="W146" s="601" t="n"/>
      <c r="X146" s="599" t="n">
        <v>63.5</v>
      </c>
      <c r="Y146" s="599" t="n">
        <v>50</v>
      </c>
      <c r="Z146" s="599" t="n">
        <v>50</v>
      </c>
      <c r="AA146" s="599" t="n">
        <v>1.6</v>
      </c>
      <c r="AB146" s="600" t="n">
        <v>847</v>
      </c>
      <c r="AC146" s="600" t="inlineStr">
        <is>
          <t>NOS</t>
        </is>
      </c>
      <c r="AD146" s="600" t="n"/>
      <c r="AE146" s="600" t="n"/>
      <c r="AF146" s="601" t="n">
        <v>2000</v>
      </c>
      <c r="AG146" s="601" t="n"/>
      <c r="AH146" s="601">
        <f t="array" ref="AH1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6" s="602">
        <f>scheduleapr[[#This Row],[SCHEDULE in nos]]-scheduleapr[[#This Row],[DISPATCH]]</f>
        <v/>
      </c>
      <c r="AJ146" s="599">
        <f>(3.14*(scheduleapr[[#This Row],[ACTUAL OD]]-scheduleapr[[#This Row],[TICKNESS]])*scheduleapr[[#This Row],[TICKNESS]]*scheduleapr[[#This Row],[LENGTH]]*7.85)/1000000*scheduleapr[[#This Row],[SCHEDULE in nos]]/1000</f>
        <v/>
      </c>
      <c r="AK146" s="599">
        <f>(3.14*(scheduleapr[[#This Row],[ACTUAL OD]]-scheduleapr[[#This Row],[TICKNESS]])*scheduleapr[[#This Row],[TICKNESS]]*scheduleapr[[#This Row],[LENGTH]]*7.85)/1000000*scheduleapr[[#This Row],[DISPATCH]]/1000</f>
        <v/>
      </c>
      <c r="AL146" s="599">
        <f>AJ146-AK146</f>
        <v/>
      </c>
      <c r="AM146" s="599">
        <f>scheduleapr[[#This Row],[SCHEDULE in nos]]/scheduleapr[[#This Row],[SCHEDULE IN MT]]*scheduleapr[[#This Row],[CTL Stock]]</f>
        <v/>
      </c>
      <c r="AN146" s="599">
        <f>SUMIFS(stock[MT],stock[Bucket],scheduleapr[[#This Row],[Bucket]],stock[CTL Bucket],scheduleapr[[#This Row],[CTL Bucket]],stock[Plant],"0789")</f>
        <v/>
      </c>
      <c r="AO146" s="599" t="n"/>
      <c r="AP146" s="599">
        <f>SUMIFS(stock[MT],stock[Bucket],scheduleapr[[#This Row],[Bucket]],stock[LL or CTL],"LL")</f>
        <v/>
      </c>
      <c r="AQ146" s="599">
        <f>+SUMIFS(wip[Stock(Net Wt)],wip[Bucket],scheduleapr[[#This Row],[Bucket]])/1000</f>
        <v/>
      </c>
      <c r="AR146" s="599">
        <f>AJ146-AN146</f>
        <v/>
      </c>
      <c r="AS146" s="92" t="n"/>
    </row>
    <row r="147" ht="17.25" customHeight="1" s="584">
      <c r="A147" s="594" t="n">
        <v>628</v>
      </c>
      <c r="B147" s="5" t="inlineStr">
        <is>
          <t xml:space="preserve">Khopoli </t>
        </is>
      </c>
      <c r="C147" s="601" t="inlineStr">
        <is>
          <t>Laxmi</t>
        </is>
      </c>
      <c r="D147" s="601" t="inlineStr">
        <is>
          <t>Laxmi</t>
        </is>
      </c>
      <c r="E147" s="601" t="n">
        <v>185254</v>
      </c>
      <c r="F147" t="n">
        <v>3801263</v>
      </c>
      <c r="G147" s="601">
        <f>_xlfn.CONCAT(scheduleapr[[#This Row],[CUSTOMER CODE]],"-",scheduleapr[[#This Row],[MATERIAL NO]])</f>
        <v/>
      </c>
      <c r="H147" s="601" t="inlineStr">
        <is>
          <t>CUT-N-AUT-AN-FC-70.00X3.200X0.5120</t>
        </is>
      </c>
      <c r="I147" s="601" t="inlineStr">
        <is>
          <t>ERW 2</t>
        </is>
      </c>
      <c r="J147" s="601" t="inlineStr">
        <is>
          <t>Annealed</t>
        </is>
      </c>
      <c r="K147" s="601" t="inlineStr">
        <is>
          <t>FC</t>
        </is>
      </c>
      <c r="L147" s="601" t="inlineStr">
        <is>
          <t>HR</t>
        </is>
      </c>
      <c r="M147" s="601" t="n"/>
      <c r="N147" s="601" t="n"/>
      <c r="O147" s="601" t="inlineStr">
        <is>
          <t>AG</t>
        </is>
      </c>
      <c r="P147" s="601" t="n"/>
      <c r="Q147" s="557">
        <f>CONCATENATE(scheduleapr[[#This Row],[OD]],"-",scheduleapr[[#This Row],[ID]],"-",scheduleapr[[#This Row],[TICKNESS]],"-",scheduleapr[[#This Row],[Grade]],"-",scheduleapr[[#This Row],[FC/NFC]])</f>
        <v/>
      </c>
      <c r="R147" s="557">
        <f>_xlfn.CONCAT(scheduleapr[[#This Row],[Bucket]],"-",scheduleapr[[#This Row],[LENGTH]]/1000)</f>
        <v/>
      </c>
      <c r="S147" s="601" t="n">
        <v>1</v>
      </c>
      <c r="T147" s="601" t="inlineStr">
        <is>
          <t>Khopoli</t>
        </is>
      </c>
      <c r="U147" s="601" t="n"/>
      <c r="V147" s="601" t="n"/>
      <c r="W147" s="601" t="n"/>
      <c r="X147" s="599" t="n">
        <v>70</v>
      </c>
      <c r="Y147" s="599" t="n">
        <v>70</v>
      </c>
      <c r="Z147" s="599" t="n">
        <v>0</v>
      </c>
      <c r="AA147" s="599" t="n">
        <v>3.2</v>
      </c>
      <c r="AB147" s="600" t="n">
        <v>490</v>
      </c>
      <c r="AC147" s="600" t="inlineStr">
        <is>
          <t>NOS</t>
        </is>
      </c>
      <c r="AD147" s="600" t="n"/>
      <c r="AE147" s="600" t="n"/>
      <c r="AF147" s="601" t="n"/>
      <c r="AG147" s="601" t="n"/>
      <c r="AH147" s="601">
        <f t="array" ref="AH1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7" s="602">
        <f>scheduleapr[[#This Row],[SCHEDULE in nos]]-scheduleapr[[#This Row],[DISPATCH]]</f>
        <v/>
      </c>
      <c r="AJ147" s="599">
        <f>(3.14*(scheduleapr[[#This Row],[ACTUAL OD]]-scheduleapr[[#This Row],[TICKNESS]])*scheduleapr[[#This Row],[TICKNESS]]*scheduleapr[[#This Row],[LENGTH]]*7.85)/1000000*scheduleapr[[#This Row],[SCHEDULE in nos]]/1000</f>
        <v/>
      </c>
      <c r="AK147" s="599">
        <f>(3.14*(scheduleapr[[#This Row],[ACTUAL OD]]-scheduleapr[[#This Row],[TICKNESS]])*scheduleapr[[#This Row],[TICKNESS]]*scheduleapr[[#This Row],[LENGTH]]*7.85)/1000000*scheduleapr[[#This Row],[DISPATCH]]/1000</f>
        <v/>
      </c>
      <c r="AL147" s="599">
        <f>AJ147-AK147</f>
        <v/>
      </c>
      <c r="AM147" s="599">
        <f>scheduleapr[[#This Row],[SCHEDULE in nos]]/scheduleapr[[#This Row],[SCHEDULE IN MT]]*scheduleapr[[#This Row],[CTL Stock]]</f>
        <v/>
      </c>
      <c r="AN147" s="599">
        <f>SUMIFS(stock[MT],stock[Bucket],scheduleapr[[#This Row],[Bucket]],stock[CTL Bucket],scheduleapr[[#This Row],[CTL Bucket]],stock[Plant],"0789")</f>
        <v/>
      </c>
      <c r="AO147" s="599" t="n"/>
      <c r="AP147" s="599">
        <f>SUMIFS(stock[MT],stock[Bucket],scheduleapr[[#This Row],[Bucket]],stock[LL or CTL],"LL")</f>
        <v/>
      </c>
      <c r="AQ147" s="599">
        <f>+SUMIFS(wip[Stock(Net Wt)],wip[Bucket],scheduleapr[[#This Row],[Bucket]])/1000</f>
        <v/>
      </c>
      <c r="AR147" s="599">
        <f>AJ147-AN147</f>
        <v/>
      </c>
      <c r="AS147" s="579" t="n"/>
    </row>
    <row r="148">
      <c r="A148" s="556" t="n">
        <v>631</v>
      </c>
      <c r="B148" s="564" t="inlineStr">
        <is>
          <t xml:space="preserve">Khopoli </t>
        </is>
      </c>
      <c r="C148" s="557" t="inlineStr">
        <is>
          <t>Laxmi</t>
        </is>
      </c>
      <c r="D148" s="557" t="inlineStr">
        <is>
          <t>Laxmi</t>
        </is>
      </c>
      <c r="E148" s="557" t="n">
        <v>185254</v>
      </c>
      <c r="F148" s="563" t="n">
        <v>3801263</v>
      </c>
      <c r="G148" s="601">
        <f>_xlfn.CONCAT(scheduleapr[[#This Row],[CUSTOMER CODE]],"-",scheduleapr[[#This Row],[MATERIAL NO]])</f>
        <v/>
      </c>
      <c r="H148" s="557" t="inlineStr">
        <is>
          <t>CUT-N-AUT-AN-FC-70.00X3.200X0.5120</t>
        </is>
      </c>
      <c r="I148" s="557" t="inlineStr">
        <is>
          <t>ERW 2</t>
        </is>
      </c>
      <c r="J148" s="557" t="inlineStr">
        <is>
          <t>Annealed</t>
        </is>
      </c>
      <c r="K148" s="557" t="inlineStr">
        <is>
          <t>FC</t>
        </is>
      </c>
      <c r="L148" s="557" t="inlineStr">
        <is>
          <t>HR</t>
        </is>
      </c>
      <c r="M148" s="558" t="n"/>
      <c r="N148" s="557" t="n"/>
      <c r="O148" s="557" t="inlineStr">
        <is>
          <t>AG</t>
        </is>
      </c>
      <c r="P148" s="557" t="n"/>
      <c r="Q148" s="557">
        <f>CONCATENATE(scheduleapr[[#This Row],[OD]],"-",scheduleapr[[#This Row],[ID]],"-",scheduleapr[[#This Row],[TICKNESS]],"-",scheduleapr[[#This Row],[Grade]],"-",scheduleapr[[#This Row],[FC/NFC]])</f>
        <v/>
      </c>
      <c r="R148" s="557">
        <f>_xlfn.CONCAT(scheduleapr[[#This Row],[Bucket]],"-",scheduleapr[[#This Row],[LENGTH]]/1000)</f>
        <v/>
      </c>
      <c r="S148" s="557">
        <f>COUNTIF([2]!buckets[CTL Bucket],[2]!scheduleapr[[#This Row],[CTL Bucket]])</f>
        <v/>
      </c>
      <c r="T148" s="601" t="inlineStr">
        <is>
          <t>Khopoli</t>
        </is>
      </c>
      <c r="U148" s="601">
        <f>_xlfn.IFNA(VLOOKUP(scheduleapr[[#This Row],[Bucket]],salesforecast[[#All],[Bucket2]:[8406 Stock]],19,0),0)</f>
        <v/>
      </c>
      <c r="V148" s="598">
        <f>_xlfn.IFNA(VLOOKUP(scheduleapr[[#This Row],[Bucket]],salesforecast[[#All],[Bucket2]:[8406 Stock]],20,0),0)+_xlfn.IFNA(VLOOKUP(scheduleapr[[#This Row],[Bucket]],salesforecast[[#All],[Bucket2]:[8406 Stock]],17,0),0)</f>
        <v/>
      </c>
      <c r="W148" s="601" t="n"/>
      <c r="X148" s="559" t="n">
        <v>70</v>
      </c>
      <c r="Y148" s="559" t="n">
        <v>70</v>
      </c>
      <c r="Z148" s="559" t="n">
        <v>0</v>
      </c>
      <c r="AA148" s="559" t="n">
        <v>3.2</v>
      </c>
      <c r="AB148" s="22" t="n">
        <v>512</v>
      </c>
      <c r="AC148" s="578" t="inlineStr">
        <is>
          <t>NOS</t>
        </is>
      </c>
      <c r="AD148" s="23" t="n"/>
      <c r="AE148" s="23" t="n"/>
      <c r="AF148" s="557" t="n">
        <v>2500</v>
      </c>
      <c r="AG148" s="557" t="n"/>
      <c r="AH148" s="557">
        <f t="array" ref="AH1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8" s="560">
        <f>scheduleapr[[#This Row],[SCHEDULE in nos]]-scheduleapr[[#This Row],[DISPATCH]]</f>
        <v/>
      </c>
      <c r="AJ148" s="559">
        <f>(3.14*(scheduleapr[[#This Row],[ACTUAL OD]]-scheduleapr[[#This Row],[TICKNESS]])*scheduleapr[[#This Row],[TICKNESS]]*scheduleapr[[#This Row],[LENGTH]]*7.85)/1000000*scheduleapr[[#This Row],[SCHEDULE in nos]]/1000</f>
        <v/>
      </c>
      <c r="AK148" s="599">
        <f>(3.14*(scheduleapr[[#This Row],[ACTUAL OD]]-scheduleapr[[#This Row],[TICKNESS]])*scheduleapr[[#This Row],[TICKNESS]]*scheduleapr[[#This Row],[LENGTH]]*7.85)/1000000*scheduleapr[[#This Row],[DISPATCH]]/1000</f>
        <v/>
      </c>
      <c r="AL148" s="599">
        <f>AJ148-AK148</f>
        <v/>
      </c>
      <c r="AM148" s="559">
        <f>scheduleapr[[#This Row],[SCHEDULE in nos]]/scheduleapr[[#This Row],[SCHEDULE IN MT]]*scheduleapr[[#This Row],[CTL Stock]]</f>
        <v/>
      </c>
      <c r="AN148" s="599">
        <f>SUMIFS(stock[MT],stock[Bucket],scheduleapr[[#This Row],[Bucket]],stock[CTL Bucket],scheduleapr[[#This Row],[CTL Bucket]],stock[Plant],"0789")</f>
        <v/>
      </c>
      <c r="AO148" s="599" t="n"/>
      <c r="AP148" s="599">
        <f>SUMIFS(stock[MT],stock[Bucket],scheduleapr[[#This Row],[Bucket]],stock[LL or CTL],"LL")</f>
        <v/>
      </c>
      <c r="AQ148" s="599">
        <f>+SUMIFS(wip[Stock(Net Wt)],wip[Bucket],scheduleapr[[#This Row],[Bucket]])/1000</f>
        <v/>
      </c>
      <c r="AR148" s="599">
        <f>AJ148-AN148</f>
        <v/>
      </c>
      <c r="AS148" s="118" t="n"/>
    </row>
    <row r="149">
      <c r="A149" s="594" t="n">
        <v>148</v>
      </c>
      <c r="B149" s="5" t="inlineStr">
        <is>
          <t xml:space="preserve">Khopoli </t>
        </is>
      </c>
      <c r="C149" s="601" t="inlineStr">
        <is>
          <t>Marathwada</t>
        </is>
      </c>
      <c r="D149" s="601" t="inlineStr">
        <is>
          <t>Marathwada</t>
        </is>
      </c>
      <c r="E149" s="601" t="n">
        <v>189002</v>
      </c>
      <c r="F149" s="48" t="n">
        <v>1939544</v>
      </c>
      <c r="G149" s="601">
        <f>_xlfn.CONCAT(scheduleapr[[#This Row],[CUSTOMER CODE]],"-",scheduleapr[[#This Row],[MATERIAL NO]])</f>
        <v/>
      </c>
      <c r="H149" s="601" t="inlineStr">
        <is>
          <t>TUB-O-C-CEW-AD-FC-25.40X2.500X0.2170</t>
        </is>
      </c>
      <c r="I149" s="601" t="inlineStr">
        <is>
          <t>CEW</t>
        </is>
      </c>
      <c r="J149" s="601" t="n"/>
      <c r="K149" s="601" t="inlineStr">
        <is>
          <t>CEW</t>
        </is>
      </c>
      <c r="L149" s="601" t="inlineStr">
        <is>
          <t>HR</t>
        </is>
      </c>
      <c r="M149" s="601" t="n"/>
      <c r="N149" s="601" t="n"/>
      <c r="O149" s="601" t="n"/>
      <c r="P149" s="601" t="n"/>
      <c r="Q149" s="557">
        <f>CONCATENATE(scheduleapr[[#This Row],[OD]],"-",scheduleapr[[#This Row],[ID]],"-",scheduleapr[[#This Row],[TICKNESS]],"-",scheduleapr[[#This Row],[Grade]],"-",scheduleapr[[#This Row],[FC/NFC]])</f>
        <v/>
      </c>
      <c r="R149" s="557">
        <f>_xlfn.CONCAT(scheduleapr[[#This Row],[Bucket]],"-",scheduleapr[[#This Row],[LENGTH]]/1000)</f>
        <v/>
      </c>
      <c r="S149" s="557">
        <f>COUNTIF(scheduleapr[CTL Bucket],scheduleapr[[#This Row],[CTL Bucket]])</f>
        <v/>
      </c>
      <c r="T149" s="601" t="inlineStr">
        <is>
          <t>Khopoli</t>
        </is>
      </c>
      <c r="U149" s="601">
        <f>_xlfn.IFNA(VLOOKUP(scheduleapr[[#This Row],[Bucket]],salesforecast[[#All],[Bucket2]:[8406 Stock]],19,0),0)</f>
        <v/>
      </c>
      <c r="V149" s="562">
        <f>_xlfn.IFNA(VLOOKUP(scheduleapr[[#This Row],[Bucket]],salesforecast[[#All],[Bucket2]:[8406 Stock]],20,0),0)+_xlfn.IFNA(VLOOKUP(scheduleapr[[#This Row],[Bucket]],salesforecast[[#All],[Bucket2]:[8406 Stock]],17,0),0)</f>
        <v/>
      </c>
      <c r="W149" s="557" t="n"/>
      <c r="X149" s="599" t="n">
        <v>25.4</v>
      </c>
      <c r="Y149" s="599" t="n">
        <v>25.4</v>
      </c>
      <c r="Z149" s="599" t="n">
        <v>0</v>
      </c>
      <c r="AA149" s="599" t="n">
        <v>2.5</v>
      </c>
      <c r="AB149" s="600" t="n">
        <v>217</v>
      </c>
      <c r="AC149" s="600" t="inlineStr">
        <is>
          <t>NOS</t>
        </is>
      </c>
      <c r="AD149" s="600" t="n"/>
      <c r="AE149" s="600" t="n"/>
      <c r="AF149" s="601" t="n">
        <v>30000</v>
      </c>
      <c r="AG149" s="601" t="n"/>
      <c r="AH149" s="601">
        <f t="array" ref="AH1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49" s="602">
        <f>scheduleapr[[#This Row],[SCHEDULE in nos]]-scheduleapr[[#This Row],[DISPATCH]]</f>
        <v/>
      </c>
      <c r="AJ149" s="599">
        <f>(3.14*(scheduleapr[[#This Row],[ACTUAL OD]]-scheduleapr[[#This Row],[TICKNESS]])*scheduleapr[[#This Row],[TICKNESS]]*scheduleapr[[#This Row],[LENGTH]]*7.85)/1000000*scheduleapr[[#This Row],[SCHEDULE in nos]]/1000</f>
        <v/>
      </c>
      <c r="AK149" s="599">
        <f>(3.14*(scheduleapr[[#This Row],[ACTUAL OD]]-scheduleapr[[#This Row],[TICKNESS]])*scheduleapr[[#This Row],[TICKNESS]]*scheduleapr[[#This Row],[LENGTH]]*7.85)/1000000*scheduleapr[[#This Row],[DISPATCH]]/1000</f>
        <v/>
      </c>
      <c r="AL149" s="599">
        <f>AJ149-AK149</f>
        <v/>
      </c>
      <c r="AM149" s="599">
        <f>scheduleapr[[#This Row],[SCHEDULE in nos]]/scheduleapr[[#This Row],[SCHEDULE IN MT]]*scheduleapr[[#This Row],[CTL Stock]]</f>
        <v/>
      </c>
      <c r="AN149" s="599">
        <f>SUMIFS(stock[MT],stock[Bucket],scheduleapr[[#This Row],[Bucket]],stock[CTL Bucket],scheduleapr[[#This Row],[CTL Bucket]],stock[Plant],"0789")</f>
        <v/>
      </c>
      <c r="AO149" s="599" t="n"/>
      <c r="AP149" s="599">
        <f>SUMIFS(stock[MT],stock[Bucket],scheduleapr[[#This Row],[Bucket]],stock[LL or CTL],"LL")</f>
        <v/>
      </c>
      <c r="AQ149" s="599">
        <f>+SUMIFS(wip[Stock(Net Wt)],wip[Bucket],scheduleapr[[#This Row],[Bucket]])/1000</f>
        <v/>
      </c>
      <c r="AR149" s="599">
        <f>AJ149-AN149</f>
        <v/>
      </c>
      <c r="AS149" s="118" t="n"/>
    </row>
    <row r="150">
      <c r="A150" s="594" t="n">
        <v>149</v>
      </c>
      <c r="B150" s="5" t="inlineStr">
        <is>
          <t xml:space="preserve">Khopoli </t>
        </is>
      </c>
      <c r="C150" s="601" t="inlineStr">
        <is>
          <t>Marathwada</t>
        </is>
      </c>
      <c r="D150" s="601" t="inlineStr">
        <is>
          <t>Marathwada</t>
        </is>
      </c>
      <c r="E150" s="601" t="n">
        <v>189002</v>
      </c>
      <c r="F150" s="48" t="n">
        <v>1941408</v>
      </c>
      <c r="G150" s="601">
        <f>_xlfn.CONCAT(scheduleapr[[#This Row],[CUSTOMER CODE]],"-",scheduleapr[[#This Row],[MATERIAL NO]])</f>
        <v/>
      </c>
      <c r="H150" s="601" t="inlineStr">
        <is>
          <t>TUB-O-C-AUT-AD-FC-25.40X2.500X3.7300</t>
        </is>
      </c>
      <c r="I150" s="601" t="inlineStr">
        <is>
          <t>CEW</t>
        </is>
      </c>
      <c r="J150" s="601" t="n"/>
      <c r="K150" s="601" t="n"/>
      <c r="L150" s="601" t="inlineStr">
        <is>
          <t>HR</t>
        </is>
      </c>
      <c r="M150" s="601" t="n"/>
      <c r="N150" s="601" t="n"/>
      <c r="O150" s="601" t="n"/>
      <c r="P150" s="601" t="n"/>
      <c r="Q150" s="557">
        <f>CONCATENATE(scheduleapr[[#This Row],[OD]],"-",scheduleapr[[#This Row],[ID]],"-",scheduleapr[[#This Row],[TICKNESS]],"-",scheduleapr[[#This Row],[Grade]],"-",scheduleapr[[#This Row],[FC/NFC]])</f>
        <v/>
      </c>
      <c r="R150" s="557">
        <f>_xlfn.CONCAT(scheduleapr[[#This Row],[Bucket]],"-",scheduleapr[[#This Row],[LENGTH]]/1000)</f>
        <v/>
      </c>
      <c r="S150" s="557">
        <f>COUNTIF([2]!buckets[CTL Bucket],[2]!scheduleapr[[#This Row],[CTL Bucket]])</f>
        <v/>
      </c>
      <c r="T150" s="557" t="n"/>
      <c r="U150" s="557" t="n"/>
      <c r="V150" s="557" t="n"/>
      <c r="W150" s="557" t="n"/>
      <c r="X150" s="599" t="n">
        <v>25.4</v>
      </c>
      <c r="Y150" s="599" t="n">
        <v>25.4</v>
      </c>
      <c r="Z150" s="599" t="n">
        <v>20.4</v>
      </c>
      <c r="AA150" s="599" t="n">
        <v>2.5</v>
      </c>
      <c r="AB150" s="600" t="n">
        <v>3730</v>
      </c>
      <c r="AC150" s="600" t="inlineStr">
        <is>
          <t>NOS</t>
        </is>
      </c>
      <c r="AD150" s="600" t="n"/>
      <c r="AE150" s="600" t="n"/>
      <c r="AF150" s="601" t="n"/>
      <c r="AG150" s="601" t="n"/>
      <c r="AH150" s="601">
        <f t="array" ref="AH1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0" s="602">
        <f>scheduleapr[[#This Row],[SCHEDULE in nos]]-scheduleapr[[#This Row],[DISPATCH]]</f>
        <v/>
      </c>
      <c r="AJ150" s="599">
        <f>(3.14*(scheduleapr[[#This Row],[ACTUAL OD]]-scheduleapr[[#This Row],[TICKNESS]])*scheduleapr[[#This Row],[TICKNESS]]*scheduleapr[[#This Row],[LENGTH]]*7.85)/1000000*scheduleapr[[#This Row],[SCHEDULE in nos]]/1000</f>
        <v/>
      </c>
      <c r="AK150" s="599">
        <f>(3.14*(scheduleapr[[#This Row],[ACTUAL OD]]-scheduleapr[[#This Row],[TICKNESS]])*scheduleapr[[#This Row],[TICKNESS]]*scheduleapr[[#This Row],[LENGTH]]*7.85)/1000000*scheduleapr[[#This Row],[DISPATCH]]/1000</f>
        <v/>
      </c>
      <c r="AL150" s="599">
        <f>AJ150-AK150</f>
        <v/>
      </c>
      <c r="AM150" s="599">
        <f>scheduleapr[[#This Row],[SCHEDULE in nos]]/scheduleapr[[#This Row],[SCHEDULE IN MT]]*scheduleapr[[#This Row],[CTL Stock]]</f>
        <v/>
      </c>
      <c r="AN150" s="599">
        <f>SUMIFS(stock[MT],stock[Bucket],scheduleapr[[#This Row],[Bucket]],stock[CTL Bucket],scheduleapr[[#This Row],[CTL Bucket]],stock[Plant],"0789")</f>
        <v/>
      </c>
      <c r="AO150" s="599" t="n"/>
      <c r="AP150" s="599">
        <f>SUMIFS(stock[MT],stock[Bucket],scheduleapr[[#This Row],[Bucket]],stock[LL or CTL],"LL")</f>
        <v/>
      </c>
      <c r="AQ150" s="599">
        <f>+SUMIFS(wip[Stock(Net Wt)],wip[Bucket],scheduleapr[[#This Row],[Bucket]])/1000</f>
        <v/>
      </c>
      <c r="AR150" s="599">
        <f>AJ150-AN150</f>
        <v/>
      </c>
      <c r="AS150" s="118" t="n"/>
    </row>
    <row r="151">
      <c r="A151" s="594" t="n">
        <v>150</v>
      </c>
      <c r="B151" s="5" t="inlineStr">
        <is>
          <t>Hosur</t>
        </is>
      </c>
      <c r="C151" s="601" t="inlineStr">
        <is>
          <t>Marathwada</t>
        </is>
      </c>
      <c r="D151" s="601" t="inlineStr">
        <is>
          <t>Marathwada</t>
        </is>
      </c>
      <c r="E151" s="601" t="n">
        <v>189002</v>
      </c>
      <c r="F151" s="48" t="n">
        <v>2410388</v>
      </c>
      <c r="G151" s="601">
        <f>_xlfn.CONCAT(scheduleapr[[#This Row],[CUSTOMER CODE]],"-",scheduleapr[[#This Row],[MATERIAL NO]])</f>
        <v/>
      </c>
      <c r="H151" s="601" t="inlineStr">
        <is>
          <t>TUB-O-C-AUT-AD-FC-28.60X2.650X04-05</t>
        </is>
      </c>
      <c r="I151" s="601" t="inlineStr">
        <is>
          <t>CEW</t>
        </is>
      </c>
      <c r="J151" s="9" t="n"/>
      <c r="K151" s="601" t="inlineStr">
        <is>
          <t>CEW</t>
        </is>
      </c>
      <c r="L151" s="601" t="inlineStr">
        <is>
          <t>HR</t>
        </is>
      </c>
      <c r="M151" s="601" t="n"/>
      <c r="N151" s="9" t="n"/>
      <c r="O151" s="9" t="n"/>
      <c r="P151" s="9" t="n"/>
      <c r="Q151" s="557">
        <f>CONCATENATE(scheduleapr[[#This Row],[OD]],"-",scheduleapr[[#This Row],[ID]],"-",scheduleapr[[#This Row],[TICKNESS]],"-",scheduleapr[[#This Row],[Grade]],"-",scheduleapr[[#This Row],[FC/NFC]])</f>
        <v/>
      </c>
      <c r="R151" s="557">
        <f>_xlfn.CONCAT(scheduleapr[[#This Row],[Bucket]],"-",scheduleapr[[#This Row],[LENGTH]]/1000)</f>
        <v/>
      </c>
      <c r="S151" s="557">
        <f>COUNTIF([2]!buckets[CTL Bucket],[2]!scheduleapr[[#This Row],[CTL Bucket]])</f>
        <v/>
      </c>
      <c r="T151" s="601" t="inlineStr">
        <is>
          <t>Khopoli</t>
        </is>
      </c>
      <c r="U151" s="601" t="n"/>
      <c r="V151" s="557" t="n"/>
      <c r="W151" s="557" t="n"/>
      <c r="X151" s="599" t="n">
        <v>28.6</v>
      </c>
      <c r="Y151" s="599" t="n">
        <v>28.6</v>
      </c>
      <c r="Z151" s="599" t="n">
        <v>0</v>
      </c>
      <c r="AA151" s="599" t="n">
        <v>2.65</v>
      </c>
      <c r="AB151" s="600" t="n">
        <v>1000</v>
      </c>
      <c r="AC151" s="600" t="inlineStr">
        <is>
          <t>M</t>
        </is>
      </c>
      <c r="AD151" s="600" t="n"/>
      <c r="AE151" s="600" t="n"/>
      <c r="AF151" s="601" t="n"/>
      <c r="AG151" s="601" t="n"/>
      <c r="AH151" s="601">
        <f t="array" ref="AH1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1" s="602">
        <f>scheduleapr[[#This Row],[SCHEDULE in nos]]-scheduleapr[[#This Row],[DISPATCH]]</f>
        <v/>
      </c>
      <c r="AJ151" s="599">
        <f>(3.14*(scheduleapr[[#This Row],[ACTUAL OD]]-scheduleapr[[#This Row],[TICKNESS]])*scheduleapr[[#This Row],[TICKNESS]]*scheduleapr[[#This Row],[LENGTH]]*7.85)/1000000*scheduleapr[[#This Row],[SCHEDULE in nos]]/1000</f>
        <v/>
      </c>
      <c r="AK151" s="599">
        <f>(3.14*(scheduleapr[[#This Row],[ACTUAL OD]]-scheduleapr[[#This Row],[TICKNESS]])*scheduleapr[[#This Row],[TICKNESS]]*scheduleapr[[#This Row],[LENGTH]]*7.85)/1000000*scheduleapr[[#This Row],[DISPATCH]]/1000</f>
        <v/>
      </c>
      <c r="AL151" s="599">
        <f>AJ151-AK151</f>
        <v/>
      </c>
      <c r="AM151" s="599">
        <f>scheduleapr[[#This Row],[SCHEDULE in nos]]/scheduleapr[[#This Row],[SCHEDULE IN MT]]*scheduleapr[[#This Row],[CTL Stock]]</f>
        <v/>
      </c>
      <c r="AN151" s="599">
        <f>SUMIFS(stock[MT],stock[Bucket],scheduleapr[[#This Row],[Bucket]],stock[CTL Bucket],scheduleapr[[#This Row],[CTL Bucket]],stock[Plant],"0789")</f>
        <v/>
      </c>
      <c r="AO151" s="599" t="n"/>
      <c r="AP151" s="599">
        <f>SUMIFS(stock[MT],stock[Bucket],scheduleapr[[#This Row],[Bucket]],stock[LL or CTL],"LL")</f>
        <v/>
      </c>
      <c r="AQ151" s="599">
        <f>+SUMIFS(wip[Stock(Net Wt)],wip[Bucket],scheduleapr[[#This Row],[Bucket]])/1000</f>
        <v/>
      </c>
      <c r="AR151" s="599">
        <f>AJ151-AN151</f>
        <v/>
      </c>
      <c r="AS151" s="118" t="n"/>
    </row>
    <row r="152">
      <c r="A152" s="594" t="n">
        <v>151</v>
      </c>
      <c r="B152" s="5" t="inlineStr">
        <is>
          <t xml:space="preserve">Khopoli </t>
        </is>
      </c>
      <c r="C152" s="601" t="inlineStr">
        <is>
          <t>Marathwada</t>
        </is>
      </c>
      <c r="D152" s="601" t="inlineStr">
        <is>
          <t>Marathwada</t>
        </is>
      </c>
      <c r="E152" s="601" t="n">
        <v>189002</v>
      </c>
      <c r="F152" s="48" t="n">
        <v>1942166</v>
      </c>
      <c r="G152" s="601">
        <f>_xlfn.CONCAT(scheduleapr[[#This Row],[CUSTOMER CODE]],"-",scheduleapr[[#This Row],[MATERIAL NO]])</f>
        <v/>
      </c>
      <c r="H152" s="601" t="inlineStr">
        <is>
          <t>TUB-O-C-AUT-AD-FC-30.00X2.250X5.9300</t>
        </is>
      </c>
      <c r="I152" s="601" t="inlineStr">
        <is>
          <t>CEW</t>
        </is>
      </c>
      <c r="J152" s="601" t="n"/>
      <c r="K152" s="601" t="n"/>
      <c r="L152" s="601" t="inlineStr">
        <is>
          <t>HR</t>
        </is>
      </c>
      <c r="M152" s="601" t="n"/>
      <c r="N152" s="601" t="n"/>
      <c r="O152" s="601" t="n"/>
      <c r="P152" s="601" t="n"/>
      <c r="Q152" s="557">
        <f>CONCATENATE(scheduleapr[[#This Row],[OD]],"-",scheduleapr[[#This Row],[ID]],"-",scheduleapr[[#This Row],[TICKNESS]],"-",scheduleapr[[#This Row],[Grade]],"-",scheduleapr[[#This Row],[FC/NFC]])</f>
        <v/>
      </c>
      <c r="R152" s="557">
        <f>_xlfn.CONCAT(scheduleapr[[#This Row],[Bucket]],"-",scheduleapr[[#This Row],[LENGTH]]/1000)</f>
        <v/>
      </c>
      <c r="S152" s="557">
        <f>COUNTIF([2]!buckets[CTL Bucket],[2]!scheduleapr[[#This Row],[CTL Bucket]])</f>
        <v/>
      </c>
      <c r="T152" s="557" t="n"/>
      <c r="U152" s="557" t="n"/>
      <c r="V152" s="557" t="n"/>
      <c r="W152" s="557" t="n"/>
      <c r="X152" s="599" t="n">
        <v>30</v>
      </c>
      <c r="Y152" s="599" t="n">
        <v>30</v>
      </c>
      <c r="Z152" s="599" t="n">
        <v>25.5</v>
      </c>
      <c r="AA152" s="599" t="n">
        <v>2.25</v>
      </c>
      <c r="AB152" s="600" t="n">
        <v>1000</v>
      </c>
      <c r="AC152" s="600" t="inlineStr">
        <is>
          <t>M</t>
        </is>
      </c>
      <c r="AD152" s="600" t="n"/>
      <c r="AE152" s="600" t="n"/>
      <c r="AF152" s="601" t="n"/>
      <c r="AG152" s="601" t="n"/>
      <c r="AH152" s="601">
        <f t="array" ref="AH1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2" s="602">
        <f>scheduleapr[[#This Row],[SCHEDULE in nos]]-scheduleapr[[#This Row],[DISPATCH]]</f>
        <v/>
      </c>
      <c r="AJ152" s="599">
        <f>(3.14*(scheduleapr[[#This Row],[ACTUAL OD]]-scheduleapr[[#This Row],[TICKNESS]])*scheduleapr[[#This Row],[TICKNESS]]*scheduleapr[[#This Row],[LENGTH]]*7.85)/1000000*scheduleapr[[#This Row],[SCHEDULE in nos]]/1000</f>
        <v/>
      </c>
      <c r="AK152" s="599">
        <f>(3.14*(scheduleapr[[#This Row],[ACTUAL OD]]-scheduleapr[[#This Row],[TICKNESS]])*scheduleapr[[#This Row],[TICKNESS]]*scheduleapr[[#This Row],[LENGTH]]*7.85)/1000000*scheduleapr[[#This Row],[DISPATCH]]/1000</f>
        <v/>
      </c>
      <c r="AL152" s="599">
        <f>AJ152-AK152</f>
        <v/>
      </c>
      <c r="AM152" s="599">
        <f>scheduleapr[[#This Row],[SCHEDULE in nos]]/scheduleapr[[#This Row],[SCHEDULE IN MT]]*scheduleapr[[#This Row],[CTL Stock]]</f>
        <v/>
      </c>
      <c r="AN152" s="599">
        <f>SUMIFS(stock[MT],stock[Bucket],scheduleapr[[#This Row],[Bucket]],stock[CTL Bucket],scheduleapr[[#This Row],[CTL Bucket]],stock[Plant],"0789")</f>
        <v/>
      </c>
      <c r="AO152" s="599" t="n"/>
      <c r="AP152" s="599">
        <f>SUMIFS(stock[MT],stock[Bucket],scheduleapr[[#This Row],[Bucket]],stock[LL or CTL],"LL")</f>
        <v/>
      </c>
      <c r="AQ152" s="599">
        <f>+SUMIFS(wip[Stock(Net Wt)],wip[Bucket],scheduleapr[[#This Row],[Bucket]])/1000</f>
        <v/>
      </c>
      <c r="AR152" s="599">
        <f>AJ152-AN152</f>
        <v/>
      </c>
      <c r="AS152" s="118" t="n"/>
    </row>
    <row r="153">
      <c r="A153" s="594" t="n">
        <v>152</v>
      </c>
      <c r="B153" s="5" t="inlineStr">
        <is>
          <t xml:space="preserve">Khopoli </t>
        </is>
      </c>
      <c r="C153" s="601" t="inlineStr">
        <is>
          <t>Marathwada</t>
        </is>
      </c>
      <c r="D153" s="601" t="inlineStr">
        <is>
          <t>Marathwada</t>
        </is>
      </c>
      <c r="E153" s="601" t="n">
        <v>189002</v>
      </c>
      <c r="F153" s="601" t="n">
        <v>2359755</v>
      </c>
      <c r="G153" s="601">
        <f>_xlfn.CONCAT(scheduleapr[[#This Row],[CUSTOMER CODE]],"-",scheduleapr[[#This Row],[MATERIAL NO]])</f>
        <v/>
      </c>
      <c r="H153" s="601" t="inlineStr">
        <is>
          <t>TUB-O-C-AUT-AD-FC-30.00X2.250X0.4850</t>
        </is>
      </c>
      <c r="I153" s="601" t="inlineStr">
        <is>
          <t>CEW</t>
        </is>
      </c>
      <c r="J153" s="601" t="n"/>
      <c r="K153" s="601" t="inlineStr">
        <is>
          <t>CEW</t>
        </is>
      </c>
      <c r="L153" s="601" t="inlineStr">
        <is>
          <t>HR</t>
        </is>
      </c>
      <c r="M153" s="601" t="n"/>
      <c r="N153" s="601" t="inlineStr">
        <is>
          <t>Chamferring</t>
        </is>
      </c>
      <c r="O153" s="601" t="n"/>
      <c r="P153" s="601" t="n"/>
      <c r="Q153" s="557">
        <f>CONCATENATE(scheduleapr[[#This Row],[OD]],"-",scheduleapr[[#This Row],[ID]],"-",scheduleapr[[#This Row],[TICKNESS]],"-",scheduleapr[[#This Row],[Grade]],"-",scheduleapr[[#This Row],[FC/NFC]])</f>
        <v/>
      </c>
      <c r="R153" s="557">
        <f>_xlfn.CONCAT(scheduleapr[[#This Row],[Bucket]],"-",scheduleapr[[#This Row],[LENGTH]]/1000)</f>
        <v/>
      </c>
      <c r="S153" s="557">
        <f>COUNTIF(scheduleapr[CTL Bucket],scheduleapr[[#This Row],[CTL Bucket]])</f>
        <v/>
      </c>
      <c r="T153" s="601" t="inlineStr">
        <is>
          <t>Khopoli</t>
        </is>
      </c>
      <c r="U153" s="601">
        <f>_xlfn.IFNA(VLOOKUP(scheduleapr[[#This Row],[Bucket]],salesforecast[[#All],[Bucket2]:[8406 Stock]],19,0),0)</f>
        <v/>
      </c>
      <c r="V153" s="562">
        <f>_xlfn.IFNA(VLOOKUP(scheduleapr[[#This Row],[Bucket]],salesforecast[[#All],[Bucket2]:[8406 Stock]],20,0),0)+_xlfn.IFNA(VLOOKUP(scheduleapr[[#This Row],[Bucket]],salesforecast[[#All],[Bucket2]:[8406 Stock]],17,0),0)</f>
        <v/>
      </c>
      <c r="W153" s="557" t="n"/>
      <c r="X153" s="599" t="n">
        <v>30.15</v>
      </c>
      <c r="Y153" s="599" t="n">
        <v>30</v>
      </c>
      <c r="Z153" s="599" t="n">
        <v>25.5</v>
      </c>
      <c r="AA153" s="599" t="n">
        <v>2.25</v>
      </c>
      <c r="AB153" s="600" t="n">
        <v>485</v>
      </c>
      <c r="AC153" s="600" t="inlineStr">
        <is>
          <t>NOS</t>
        </is>
      </c>
      <c r="AD153" s="600" t="n"/>
      <c r="AE153" s="600" t="n"/>
      <c r="AF153" s="601" t="n">
        <v>60000</v>
      </c>
      <c r="AG153" s="601" t="n"/>
      <c r="AH153" s="601">
        <f t="array" ref="AH1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3" s="602">
        <f>scheduleapr[[#This Row],[SCHEDULE in nos]]-scheduleapr[[#This Row],[DISPATCH]]</f>
        <v/>
      </c>
      <c r="AJ153" s="599">
        <f>(3.14*(scheduleapr[[#This Row],[ACTUAL OD]]-scheduleapr[[#This Row],[TICKNESS]])*scheduleapr[[#This Row],[TICKNESS]]*scheduleapr[[#This Row],[LENGTH]]*7.85)/1000000*scheduleapr[[#This Row],[SCHEDULE in nos]]/1000</f>
        <v/>
      </c>
      <c r="AK153" s="599">
        <f>(3.14*(scheduleapr[[#This Row],[ACTUAL OD]]-scheduleapr[[#This Row],[TICKNESS]])*scheduleapr[[#This Row],[TICKNESS]]*scheduleapr[[#This Row],[LENGTH]]*7.85)/1000000*scheduleapr[[#This Row],[DISPATCH]]/1000</f>
        <v/>
      </c>
      <c r="AL153" s="599">
        <f>AJ153-AK153</f>
        <v/>
      </c>
      <c r="AM153" s="599">
        <f>scheduleapr[[#This Row],[SCHEDULE in nos]]/scheduleapr[[#This Row],[SCHEDULE IN MT]]*scheduleapr[[#This Row],[CTL Stock]]</f>
        <v/>
      </c>
      <c r="AN153" s="599">
        <f>SUMIFS(stock[MT],stock[Bucket],scheduleapr[[#This Row],[Bucket]],stock[CTL Bucket],scheduleapr[[#This Row],[CTL Bucket]],stock[Plant],"0789")</f>
        <v/>
      </c>
      <c r="AO153" s="599" t="n"/>
      <c r="AP153" s="599">
        <f>SUMIFS(stock[MT],stock[Bucket],scheduleapr[[#This Row],[Bucket]],stock[LL or CTL],"LL")</f>
        <v/>
      </c>
      <c r="AQ153" s="599">
        <f>+SUMIFS(wip[Stock(Net Wt)],wip[Bucket],scheduleapr[[#This Row],[Bucket]])/1000</f>
        <v/>
      </c>
      <c r="AR153" s="599">
        <f>AJ153-AN153</f>
        <v/>
      </c>
      <c r="AS153" s="118" t="n"/>
    </row>
    <row r="154">
      <c r="A154" s="594" t="n">
        <v>166</v>
      </c>
      <c r="B154" s="5" t="inlineStr">
        <is>
          <t xml:space="preserve">Khopoli </t>
        </is>
      </c>
      <c r="C154" s="601" t="inlineStr">
        <is>
          <t>Marathwada</t>
        </is>
      </c>
      <c r="D154" s="601" t="inlineStr">
        <is>
          <t>Marathwada</t>
        </is>
      </c>
      <c r="E154" s="601" t="n">
        <v>189002</v>
      </c>
      <c r="F154" s="601" t="n">
        <v>1938125</v>
      </c>
      <c r="G154" s="601">
        <f>_xlfn.CONCAT(scheduleapr[[#This Row],[CUSTOMER CODE]],"-",scheduleapr[[#This Row],[MATERIAL NO]])</f>
        <v/>
      </c>
      <c r="H154" s="601" t="inlineStr">
        <is>
          <t>TUB-I-C-AUT-AN-FC-34.00X2.500X0.2720</t>
        </is>
      </c>
      <c r="I154" s="601" t="inlineStr">
        <is>
          <t>CEW</t>
        </is>
      </c>
      <c r="J154" s="601" t="n"/>
      <c r="K154" s="601" t="inlineStr">
        <is>
          <t>CEW</t>
        </is>
      </c>
      <c r="L154" s="601" t="inlineStr">
        <is>
          <t>HR</t>
        </is>
      </c>
      <c r="M154" s="601" t="n"/>
      <c r="N154" s="601" t="inlineStr">
        <is>
          <t>Chamferring</t>
        </is>
      </c>
      <c r="O154" s="601" t="n"/>
      <c r="P154" s="601" t="n"/>
      <c r="Q154" s="557">
        <f>CONCATENATE(scheduleapr[[#This Row],[OD]],"-",scheduleapr[[#This Row],[ID]],"-",scheduleapr[[#This Row],[TICKNESS]],"-",scheduleapr[[#This Row],[Grade]],"-",scheduleapr[[#This Row],[FC/NFC]])</f>
        <v/>
      </c>
      <c r="R154" s="557">
        <f>_xlfn.CONCAT(scheduleapr[[#This Row],[Bucket]],"-",scheduleapr[[#This Row],[LENGTH]]/1000)</f>
        <v/>
      </c>
      <c r="S154" s="557">
        <f>COUNTIF(scheduleapr[CTL Bucket],scheduleapr[[#This Row],[CTL Bucket]])</f>
        <v/>
      </c>
      <c r="T154" s="601" t="inlineStr">
        <is>
          <t>Khopoli</t>
        </is>
      </c>
      <c r="U154" s="601">
        <f>_xlfn.IFNA(VLOOKUP(scheduleapr[[#This Row],[Bucket]],salesforecast[[#All],[Bucket2]:[8406 Stock]],19,0),0)</f>
        <v/>
      </c>
      <c r="V154" s="562">
        <f>_xlfn.IFNA(VLOOKUP(scheduleapr[[#This Row],[Bucket]],salesforecast[[#All],[Bucket2]:[8406 Stock]],20,0),0)+_xlfn.IFNA(VLOOKUP(scheduleapr[[#This Row],[Bucket]],salesforecast[[#All],[Bucket2]:[8406 Stock]],17,0),0)</f>
        <v/>
      </c>
      <c r="W154" s="557" t="n"/>
      <c r="X154" s="599" t="n">
        <v>39</v>
      </c>
      <c r="Y154" s="599" t="n">
        <v>39</v>
      </c>
      <c r="Z154" s="599" t="n">
        <v>34</v>
      </c>
      <c r="AA154" s="599" t="n">
        <v>2.5</v>
      </c>
      <c r="AB154" s="600" t="n">
        <v>272</v>
      </c>
      <c r="AC154" s="600" t="inlineStr">
        <is>
          <t>NOS</t>
        </is>
      </c>
      <c r="AD154" s="600" t="n"/>
      <c r="AE154" s="600" t="n"/>
      <c r="AF154" s="601" t="n">
        <v>60000</v>
      </c>
      <c r="AG154" s="601" t="n"/>
      <c r="AH154" s="601">
        <f t="array" ref="AH1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4" s="602">
        <f>scheduleapr[[#This Row],[SCHEDULE in nos]]-scheduleapr[[#This Row],[DISPATCH]]</f>
        <v/>
      </c>
      <c r="AJ154" s="599">
        <f>(3.14*(scheduleapr[[#This Row],[ACTUAL OD]]-scheduleapr[[#This Row],[TICKNESS]])*scheduleapr[[#This Row],[TICKNESS]]*scheduleapr[[#This Row],[LENGTH]]*7.85)/1000000*scheduleapr[[#This Row],[SCHEDULE in nos]]/1000</f>
        <v/>
      </c>
      <c r="AK154" s="599">
        <f>(3.14*(scheduleapr[[#This Row],[ACTUAL OD]]-scheduleapr[[#This Row],[TICKNESS]])*scheduleapr[[#This Row],[TICKNESS]]*scheduleapr[[#This Row],[LENGTH]]*7.85)/1000000*scheduleapr[[#This Row],[DISPATCH]]/1000</f>
        <v/>
      </c>
      <c r="AL154" s="599">
        <f>AJ154-AK154</f>
        <v/>
      </c>
      <c r="AM154" s="599">
        <f>scheduleapr[[#This Row],[SCHEDULE in nos]]/scheduleapr[[#This Row],[SCHEDULE IN MT]]*scheduleapr[[#This Row],[CTL Stock]]</f>
        <v/>
      </c>
      <c r="AN154" s="599">
        <f>SUMIFS(stock[MT],stock[Bucket],scheduleapr[[#This Row],[Bucket]],stock[CTL Bucket],scheduleapr[[#This Row],[CTL Bucket]],stock[Plant],"0789")</f>
        <v/>
      </c>
      <c r="AO154" s="599" t="n"/>
      <c r="AP154" s="599">
        <f>SUMIFS(stock[MT],stock[Bucket],scheduleapr[[#This Row],[Bucket]],stock[LL or CTL],"LL")</f>
        <v/>
      </c>
      <c r="AQ154" s="599">
        <f>+SUMIFS(wip[Stock(Net Wt)],wip[Bucket],scheduleapr[[#This Row],[Bucket]])/1000</f>
        <v/>
      </c>
      <c r="AR154" s="599">
        <f>AJ154-AN154</f>
        <v/>
      </c>
      <c r="AS154" s="118" t="n"/>
    </row>
    <row r="155">
      <c r="A155" s="594" t="n">
        <v>167</v>
      </c>
      <c r="B155" s="5" t="inlineStr">
        <is>
          <t xml:space="preserve">Khopoli </t>
        </is>
      </c>
      <c r="C155" s="601" t="inlineStr">
        <is>
          <t>Marathwada</t>
        </is>
      </c>
      <c r="D155" s="601" t="inlineStr">
        <is>
          <t>Marathwada</t>
        </is>
      </c>
      <c r="E155" s="601" t="n">
        <v>189002</v>
      </c>
      <c r="F155" s="601" t="n">
        <v>1930116</v>
      </c>
      <c r="G155" s="601">
        <f>_xlfn.CONCAT(scheduleapr[[#This Row],[CUSTOMER CODE]],"-",scheduleapr[[#This Row],[MATERIAL NO]])</f>
        <v/>
      </c>
      <c r="H155" s="601" t="inlineStr">
        <is>
          <t>TUB-I-C-AUT-AN-FC-39.00X34.00X4.5000</t>
        </is>
      </c>
      <c r="I155" s="601" t="inlineStr">
        <is>
          <t>CEW</t>
        </is>
      </c>
      <c r="J155" s="601" t="n"/>
      <c r="K155" s="601" t="n"/>
      <c r="L155" s="601" t="inlineStr">
        <is>
          <t>HR</t>
        </is>
      </c>
      <c r="M155" s="601" t="n"/>
      <c r="N155" s="601" t="n"/>
      <c r="O155" s="601" t="n"/>
      <c r="P155" s="601" t="n"/>
      <c r="Q155" s="557">
        <f>CONCATENATE(scheduleapr[[#This Row],[OD]],"-",scheduleapr[[#This Row],[ID]],"-",scheduleapr[[#This Row],[TICKNESS]],"-",scheduleapr[[#This Row],[Grade]],"-",scheduleapr[[#This Row],[FC/NFC]])</f>
        <v/>
      </c>
      <c r="R155" s="557">
        <f>_xlfn.CONCAT(scheduleapr[[#This Row],[Bucket]],"-",scheduleapr[[#This Row],[LENGTH]]/1000)</f>
        <v/>
      </c>
      <c r="S155" s="557">
        <f>COUNTIF([2]!buckets[CTL Bucket],[2]!scheduleapr[[#This Row],[CTL Bucket]])</f>
        <v/>
      </c>
      <c r="T155" s="557" t="n"/>
      <c r="U155" s="557" t="n"/>
      <c r="V155" s="557" t="n"/>
      <c r="W155" s="557" t="n"/>
      <c r="X155" s="599" t="n">
        <v>39</v>
      </c>
      <c r="Y155" s="599" t="n">
        <v>39</v>
      </c>
      <c r="Z155" s="599" t="n">
        <v>34</v>
      </c>
      <c r="AA155" s="599" t="n">
        <v>2.5</v>
      </c>
      <c r="AB155" s="600" t="n">
        <v>1000</v>
      </c>
      <c r="AC155" s="600" t="inlineStr">
        <is>
          <t>M</t>
        </is>
      </c>
      <c r="AD155" s="600" t="n"/>
      <c r="AE155" s="600" t="n"/>
      <c r="AF155" s="601" t="n"/>
      <c r="AG155" s="601" t="n"/>
      <c r="AH155" s="601">
        <f t="array" ref="AH1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5" s="602">
        <f>scheduleapr[[#This Row],[SCHEDULE in nos]]-scheduleapr[[#This Row],[DISPATCH]]</f>
        <v/>
      </c>
      <c r="AJ155" s="599">
        <f>(3.14*(scheduleapr[[#This Row],[ACTUAL OD]]-scheduleapr[[#This Row],[TICKNESS]])*scheduleapr[[#This Row],[TICKNESS]]*scheduleapr[[#This Row],[LENGTH]]*7.85)/1000000*scheduleapr[[#This Row],[SCHEDULE in nos]]/1000</f>
        <v/>
      </c>
      <c r="AK155" s="599">
        <f>(3.14*(scheduleapr[[#This Row],[ACTUAL OD]]-scheduleapr[[#This Row],[TICKNESS]])*scheduleapr[[#This Row],[TICKNESS]]*scheduleapr[[#This Row],[LENGTH]]*7.85)/1000000*scheduleapr[[#This Row],[DISPATCH]]/1000</f>
        <v/>
      </c>
      <c r="AL155" s="599">
        <f>AJ155-AK155</f>
        <v/>
      </c>
      <c r="AM155" s="599">
        <f>scheduleapr[[#This Row],[SCHEDULE in nos]]/scheduleapr[[#This Row],[SCHEDULE IN MT]]*scheduleapr[[#This Row],[CTL Stock]]</f>
        <v/>
      </c>
      <c r="AN155" s="599">
        <f>SUMIFS(stock[MT],stock[Bucket],scheduleapr[[#This Row],[Bucket]],stock[CTL Bucket],scheduleapr[[#This Row],[CTL Bucket]],stock[Plant],"0789")</f>
        <v/>
      </c>
      <c r="AO155" s="599" t="n"/>
      <c r="AP155" s="599">
        <f>SUMIFS(stock[MT],stock[Bucket],scheduleapr[[#This Row],[Bucket]],stock[LL or CTL],"LL")</f>
        <v/>
      </c>
      <c r="AQ155" s="599">
        <f>+SUMIFS(wip[Stock(Net Wt)],wip[Bucket],scheduleapr[[#This Row],[Bucket]])/1000</f>
        <v/>
      </c>
      <c r="AR155" s="599">
        <f>AJ155-AN155</f>
        <v/>
      </c>
      <c r="AS155" s="118" t="n"/>
    </row>
    <row r="156">
      <c r="A156" s="594" t="n">
        <v>772</v>
      </c>
      <c r="B156" s="5" t="inlineStr">
        <is>
          <t>Hosur</t>
        </is>
      </c>
      <c r="C156" s="601" t="inlineStr">
        <is>
          <t>Marathwada v7</t>
        </is>
      </c>
      <c r="D156" s="601" t="inlineStr">
        <is>
          <t>Marathwada</t>
        </is>
      </c>
      <c r="E156" s="601" t="n">
        <v>189002</v>
      </c>
      <c r="F156" s="601" t="n">
        <v>3239890</v>
      </c>
      <c r="G156" s="601">
        <f>_xlfn.CONCAT(scheduleapr[[#This Row],[CUSTOMER CODE]],"-",scheduleapr[[#This Row],[MATERIAL NO]])</f>
        <v/>
      </c>
      <c r="H156" s="601" t="inlineStr">
        <is>
          <t>TUB-O-N-AUT-AW-PE-19.05X1.200X0.3300</t>
        </is>
      </c>
      <c r="I156" s="596" t="inlineStr">
        <is>
          <t>CRFH</t>
        </is>
      </c>
      <c r="J156" s="596" t="n"/>
      <c r="K156" s="596" t="inlineStr">
        <is>
          <t>PE</t>
        </is>
      </c>
      <c r="L156" s="596" t="n"/>
      <c r="M156" s="596" t="n"/>
      <c r="N156" s="596" t="n"/>
      <c r="O156" s="596" t="n"/>
      <c r="P156" s="596" t="n"/>
      <c r="Q156" s="557">
        <f>CONCATENATE(scheduleapr[[#This Row],[OD]],"-",scheduleapr[[#This Row],[ID]],"-",scheduleapr[[#This Row],[TICKNESS]],"-",scheduleapr[[#This Row],[Grade]],"-",scheduleapr[[#This Row],[FC/NFC]])</f>
        <v/>
      </c>
      <c r="R156" s="557">
        <f>_xlfn.CONCAT(scheduleapr[[#This Row],[Bucket]],"-",scheduleapr[[#This Row],[LENGTH]]/1000)</f>
        <v/>
      </c>
      <c r="S156" s="557">
        <f>COUNTIF(scheduleapr[CTL Bucket],scheduleapr[[#This Row],[CTL Bucket]])</f>
        <v/>
      </c>
      <c r="T156" s="601" t="inlineStr">
        <is>
          <t>Hosur</t>
        </is>
      </c>
      <c r="U156" s="601" t="n"/>
      <c r="V156" s="601" t="n"/>
      <c r="W156" s="601" t="n"/>
      <c r="X156" s="599" t="n">
        <v>19.05</v>
      </c>
      <c r="Y156" s="599" t="n">
        <v>19.05</v>
      </c>
      <c r="Z156" s="599" t="n">
        <v>0</v>
      </c>
      <c r="AA156" s="599" t="n">
        <v>1.2</v>
      </c>
      <c r="AB156" s="600" t="n">
        <v>330</v>
      </c>
      <c r="AC156" s="600" t="inlineStr">
        <is>
          <t>NOS</t>
        </is>
      </c>
      <c r="AD156" s="600" t="n"/>
      <c r="AE156" s="600" t="n"/>
      <c r="AF156" s="601" t="n">
        <v>2000</v>
      </c>
      <c r="AG156" s="601" t="n"/>
      <c r="AH156" s="601">
        <f t="array" ref="AH1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6" s="602">
        <f>scheduleapr[[#This Row],[SCHEDULE in nos]]-scheduleapr[[#This Row],[DISPATCH]]</f>
        <v/>
      </c>
      <c r="AJ156" s="599">
        <f>(3.14*(scheduleapr[[#This Row],[ACTUAL OD]]-scheduleapr[[#This Row],[TICKNESS]])*scheduleapr[[#This Row],[TICKNESS]]*scheduleapr[[#This Row],[LENGTH]]*7.85)/1000000*scheduleapr[[#This Row],[SCHEDULE in nos]]/1000</f>
        <v/>
      </c>
      <c r="AK156" s="599">
        <f>(3.14*(scheduleapr[[#This Row],[ACTUAL OD]]-scheduleapr[[#This Row],[TICKNESS]])*scheduleapr[[#This Row],[TICKNESS]]*scheduleapr[[#This Row],[LENGTH]]*7.85)/1000000*scheduleapr[[#This Row],[DISPATCH]]/1000</f>
        <v/>
      </c>
      <c r="AL156" s="599">
        <f>AJ156-AK156</f>
        <v/>
      </c>
      <c r="AM156" s="599">
        <f>scheduleapr[[#This Row],[SCHEDULE in nos]]/scheduleapr[[#This Row],[SCHEDULE IN MT]]*scheduleapr[[#This Row],[CTL Stock]]</f>
        <v/>
      </c>
      <c r="AN156" s="599">
        <f>SUMIFS(stock[MT],stock[Bucket],scheduleapr[[#This Row],[Bucket]],stock[LL or CTL],"LL")</f>
        <v/>
      </c>
      <c r="AO156" s="599">
        <f>+SUMIFS(wip[Stock(Net Wt)],wip[Bucket],scheduleapr[[#This Row],[Bucket]])/1000</f>
        <v/>
      </c>
      <c r="AP156" s="599">
        <f>AH156-AL156</f>
        <v/>
      </c>
      <c r="AQ156" s="599">
        <f>+SUMIFS(wip[Stock(Net Wt)],wip[Bucket],scheduleapr[[#This Row],[Bucket]])/1000</f>
        <v/>
      </c>
      <c r="AR156" s="599">
        <f>AJ156-AN156</f>
        <v/>
      </c>
      <c r="AS156" s="118" t="n"/>
    </row>
    <row r="157">
      <c r="A157" s="594" t="n">
        <v>767</v>
      </c>
      <c r="B157" s="5" t="inlineStr">
        <is>
          <t>Hosur</t>
        </is>
      </c>
      <c r="C157" s="601" t="inlineStr">
        <is>
          <t>Marathwada v7</t>
        </is>
      </c>
      <c r="D157" s="601" t="inlineStr">
        <is>
          <t>Marathwada</t>
        </is>
      </c>
      <c r="E157" s="601" t="n">
        <v>189002</v>
      </c>
      <c r="F157" s="542" t="n">
        <v>3929540</v>
      </c>
      <c r="G157" s="601">
        <f>_xlfn.CONCAT(scheduleapr[[#This Row],[CUSTOMER CODE]],"-",scheduleapr[[#This Row],[MATERIAL NO]])</f>
        <v/>
      </c>
      <c r="H157" s="523" t="inlineStr">
        <is>
          <t>CUT-O-N-AUT-AW-PE-19.05X1.200X0.6820</t>
        </is>
      </c>
      <c r="I157" s="596" t="inlineStr">
        <is>
          <t>CRFH</t>
        </is>
      </c>
      <c r="J157" s="596" t="n"/>
      <c r="K157" s="596" t="inlineStr">
        <is>
          <t>PE</t>
        </is>
      </c>
      <c r="L157" s="596" t="n"/>
      <c r="M157" s="596" t="n"/>
      <c r="N157" s="596" t="n"/>
      <c r="O157" s="596" t="n"/>
      <c r="P157" s="596" t="n"/>
      <c r="Q157" s="557">
        <f>CONCATENATE(scheduleapr[[#This Row],[OD]],"-",scheduleapr[[#This Row],[ID]],"-",scheduleapr[[#This Row],[TICKNESS]],"-",scheduleapr[[#This Row],[Grade]],"-",scheduleapr[[#This Row],[FC/NFC]])</f>
        <v/>
      </c>
      <c r="R157" s="557">
        <f>_xlfn.CONCAT(scheduleapr[[#This Row],[Bucket]],"-",scheduleapr[[#This Row],[LENGTH]]/1000)</f>
        <v/>
      </c>
      <c r="S157" s="557">
        <f>COUNTIF(scheduleapr[CTL Bucket],scheduleapr[[#This Row],[CTL Bucket]])</f>
        <v/>
      </c>
      <c r="T157" s="601" t="inlineStr">
        <is>
          <t>Hosur</t>
        </is>
      </c>
      <c r="U157" s="601" t="n"/>
      <c r="V157" s="601" t="n"/>
      <c r="W157" s="601" t="n"/>
      <c r="X157" s="599" t="n">
        <v>19.05</v>
      </c>
      <c r="Y157" s="599" t="n">
        <v>19.05</v>
      </c>
      <c r="Z157" s="599" t="n">
        <v>0</v>
      </c>
      <c r="AA157" s="599" t="n">
        <v>1.2</v>
      </c>
      <c r="AB157" s="600" t="n">
        <v>682</v>
      </c>
      <c r="AC157" s="600" t="inlineStr">
        <is>
          <t>NOS</t>
        </is>
      </c>
      <c r="AD157" s="600" t="n"/>
      <c r="AE157" s="600" t="n"/>
      <c r="AF157" s="601" t="n">
        <v>14000</v>
      </c>
      <c r="AG157" s="601" t="n"/>
      <c r="AH157" s="601">
        <f t="array" ref="AH1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7" s="602">
        <f>scheduleapr[[#This Row],[SCHEDULE in nos]]-scheduleapr[[#This Row],[DISPATCH]]</f>
        <v/>
      </c>
      <c r="AJ157" s="599">
        <f>(3.14*(scheduleapr[[#This Row],[ACTUAL OD]]-scheduleapr[[#This Row],[TICKNESS]])*scheduleapr[[#This Row],[TICKNESS]]*scheduleapr[[#This Row],[LENGTH]]*7.85)/1000000*scheduleapr[[#This Row],[SCHEDULE in nos]]/1000</f>
        <v/>
      </c>
      <c r="AK157" s="599">
        <f>(3.14*(scheduleapr[[#This Row],[ACTUAL OD]]-scheduleapr[[#This Row],[TICKNESS]])*scheduleapr[[#This Row],[TICKNESS]]*scheduleapr[[#This Row],[LENGTH]]*7.85)/1000000*scheduleapr[[#This Row],[DISPATCH]]/1000</f>
        <v/>
      </c>
      <c r="AL157" s="599">
        <f>AJ157-AK157</f>
        <v/>
      </c>
      <c r="AM157" s="599">
        <f>scheduleapr[[#This Row],[SCHEDULE in nos]]/scheduleapr[[#This Row],[SCHEDULE IN MT]]*scheduleapr[[#This Row],[CTL Stock]]</f>
        <v/>
      </c>
      <c r="AN157" s="599">
        <f>SUMIFS(stock[MT],stock[Bucket],scheduleapr[[#This Row],[Bucket]],stock[LL or CTL],"LL")</f>
        <v/>
      </c>
      <c r="AO157" s="599">
        <f>+SUMIFS(wip[Stock(Net Wt)],wip[Bucket],scheduleapr[[#This Row],[Bucket]])/1000</f>
        <v/>
      </c>
      <c r="AP157" s="599">
        <f>AH157-AL157</f>
        <v/>
      </c>
      <c r="AQ157" s="599">
        <f>+SUMIFS(wip[Stock(Net Wt)],wip[Bucket],scheduleapr[[#This Row],[Bucket]])/1000</f>
        <v/>
      </c>
      <c r="AR157" s="599">
        <f>AJ157-AN157</f>
        <v/>
      </c>
      <c r="AS157" s="118" t="n"/>
    </row>
    <row r="158">
      <c r="A158" s="594" t="n">
        <v>778</v>
      </c>
      <c r="B158" s="5" t="inlineStr">
        <is>
          <t>Hosur</t>
        </is>
      </c>
      <c r="C158" s="601" t="inlineStr">
        <is>
          <t>Marathwada v7</t>
        </is>
      </c>
      <c r="D158" s="601" t="inlineStr">
        <is>
          <t>Marathwada</t>
        </is>
      </c>
      <c r="E158" s="601" t="n">
        <v>189002</v>
      </c>
      <c r="F158" s="601" t="n">
        <v>3929692</v>
      </c>
      <c r="G158" s="601">
        <f>_xlfn.CONCAT(scheduleapr[[#This Row],[CUSTOMER CODE]],"-",scheduleapr[[#This Row],[MATERIAL NO]])</f>
        <v/>
      </c>
      <c r="H158" s="601" t="inlineStr">
        <is>
          <t>CUT-O-N-AUT-AW-PE-19.05X1.200X1.2300</t>
        </is>
      </c>
      <c r="I158" s="596" t="inlineStr">
        <is>
          <t>CRFH</t>
        </is>
      </c>
      <c r="J158" s="596" t="n"/>
      <c r="K158" s="596" t="inlineStr">
        <is>
          <t>PE</t>
        </is>
      </c>
      <c r="L158" s="596" t="n"/>
      <c r="M158" s="596" t="n"/>
      <c r="N158" s="596" t="n"/>
      <c r="O158" s="596" t="n"/>
      <c r="P158" s="596" t="n"/>
      <c r="Q158" s="557">
        <f>CONCATENATE(scheduleapr[[#This Row],[OD]],"-",scheduleapr[[#This Row],[ID]],"-",scheduleapr[[#This Row],[TICKNESS]],"-",scheduleapr[[#This Row],[Grade]],"-",scheduleapr[[#This Row],[FC/NFC]])</f>
        <v/>
      </c>
      <c r="R158" s="557">
        <f>_xlfn.CONCAT(scheduleapr[[#This Row],[Bucket]],"-",scheduleapr[[#This Row],[LENGTH]]/1000)</f>
        <v/>
      </c>
      <c r="S158" s="557">
        <f>COUNTIF(scheduleapr[CTL Bucket],scheduleapr[[#This Row],[CTL Bucket]])</f>
        <v/>
      </c>
      <c r="T158" s="601" t="inlineStr">
        <is>
          <t>Hosur</t>
        </is>
      </c>
      <c r="U158" s="601" t="n"/>
      <c r="V158" s="601" t="n"/>
      <c r="W158" s="601" t="n"/>
      <c r="X158" s="599" t="n">
        <v>19.05</v>
      </c>
      <c r="Y158" s="599" t="n">
        <v>19.05</v>
      </c>
      <c r="Z158" s="599" t="n">
        <v>0</v>
      </c>
      <c r="AA158" s="599" t="n">
        <v>1.2</v>
      </c>
      <c r="AB158" s="600" t="n">
        <v>1230</v>
      </c>
      <c r="AC158" s="600" t="inlineStr">
        <is>
          <t>NOS</t>
        </is>
      </c>
      <c r="AD158" s="600" t="n"/>
      <c r="AE158" s="600" t="n"/>
      <c r="AF158" s="601" t="n">
        <v>7000</v>
      </c>
      <c r="AG158" s="601" t="n"/>
      <c r="AH158" s="601">
        <f t="array" ref="AH1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8" s="602">
        <f>scheduleapr[[#This Row],[SCHEDULE in nos]]-scheduleapr[[#This Row],[DISPATCH]]</f>
        <v/>
      </c>
      <c r="AJ158" s="599">
        <f>(3.14*(scheduleapr[[#This Row],[ACTUAL OD]]-scheduleapr[[#This Row],[TICKNESS]])*scheduleapr[[#This Row],[TICKNESS]]*scheduleapr[[#This Row],[LENGTH]]*7.85)/1000000*scheduleapr[[#This Row],[SCHEDULE in nos]]/1000</f>
        <v/>
      </c>
      <c r="AK158" s="599">
        <f>(3.14*(scheduleapr[[#This Row],[ACTUAL OD]]-scheduleapr[[#This Row],[TICKNESS]])*scheduleapr[[#This Row],[TICKNESS]]*scheduleapr[[#This Row],[LENGTH]]*7.85)/1000000*scheduleapr[[#This Row],[DISPATCH]]/1000</f>
        <v/>
      </c>
      <c r="AL158" s="599">
        <f>AJ158-AK158</f>
        <v/>
      </c>
      <c r="AM158" s="599">
        <f>scheduleapr[[#This Row],[SCHEDULE in nos]]/scheduleapr[[#This Row],[SCHEDULE IN MT]]*scheduleapr[[#This Row],[CTL Stock]]</f>
        <v/>
      </c>
      <c r="AN158" s="599">
        <f>SUMIFS(stock[MT],stock[Bucket],scheduleapr[[#This Row],[Bucket]],stock[LL or CTL],"LL")</f>
        <v/>
      </c>
      <c r="AO158" s="599">
        <f>+SUMIFS(wip[Stock(Net Wt)],wip[Bucket],scheduleapr[[#This Row],[Bucket]])/1000</f>
        <v/>
      </c>
      <c r="AP158" s="599">
        <f>AH158-AL158</f>
        <v/>
      </c>
      <c r="AQ158" s="599">
        <f>+SUMIFS(wip[Stock(Net Wt)],wip[Bucket],scheduleapr[[#This Row],[Bucket]])/1000</f>
        <v/>
      </c>
      <c r="AR158" s="599">
        <f>AJ158-AN158</f>
        <v/>
      </c>
      <c r="AS158" s="118" t="n"/>
    </row>
    <row r="159">
      <c r="A159" s="594" t="n">
        <v>758</v>
      </c>
      <c r="B159" s="5" t="inlineStr">
        <is>
          <t>Hosur</t>
        </is>
      </c>
      <c r="C159" s="601" t="inlineStr">
        <is>
          <t>Marathwada v7</t>
        </is>
      </c>
      <c r="D159" s="601" t="inlineStr">
        <is>
          <t>Marathwada</t>
        </is>
      </c>
      <c r="E159" s="601" t="n">
        <v>189002</v>
      </c>
      <c r="F159" s="601" t="n">
        <v>3931834</v>
      </c>
      <c r="G159" s="601">
        <f>_xlfn.CONCAT(scheduleapr[[#This Row],[CUSTOMER CODE]],"-",scheduleapr[[#This Row],[MATERIAL NO]])</f>
        <v/>
      </c>
      <c r="H159" s="601" t="inlineStr">
        <is>
          <t>CUT-R-AW-AUT-19.00X19.00X1.000X0.1000</t>
        </is>
      </c>
      <c r="I159" s="596" t="inlineStr">
        <is>
          <t>CRFH</t>
        </is>
      </c>
      <c r="J159" s="599" t="n"/>
      <c r="K159" s="596" t="inlineStr">
        <is>
          <t>PE</t>
        </is>
      </c>
      <c r="L159" s="601" t="inlineStr">
        <is>
          <t>CR</t>
        </is>
      </c>
      <c r="M159" s="599" t="n"/>
      <c r="N159" s="600" t="n"/>
      <c r="O159" s="601" t="n"/>
      <c r="P159" s="601" t="n"/>
      <c r="Q159" s="557">
        <f>CONCATENATE(scheduleapr[[#This Row],[OD]],"-",scheduleapr[[#This Row],[ID]],"-",scheduleapr[[#This Row],[TICKNESS]],"-",scheduleapr[[#This Row],[Grade]],"-",scheduleapr[[#This Row],[FC/NFC]])</f>
        <v/>
      </c>
      <c r="R159" s="557">
        <f>_xlfn.CONCAT(scheduleapr[[#This Row],[Bucket]],"-",scheduleapr[[#This Row],[LENGTH]]/1000)</f>
        <v/>
      </c>
      <c r="S159" s="557">
        <f>COUNTIF(scheduleapr[CTL Bucket],scheduleapr[[#This Row],[CTL Bucket]])</f>
        <v/>
      </c>
      <c r="T159" s="601" t="inlineStr">
        <is>
          <t>Hosur</t>
        </is>
      </c>
      <c r="U159" s="601" t="n"/>
      <c r="V159" s="601" t="n"/>
      <c r="W159" s="601" t="n"/>
      <c r="X159" s="599" t="n">
        <v>23.42</v>
      </c>
      <c r="Y159" s="599" t="n">
        <v>19</v>
      </c>
      <c r="Z159" s="599" t="n">
        <v>19</v>
      </c>
      <c r="AA159" s="599" t="n">
        <v>1</v>
      </c>
      <c r="AB159" s="600" t="n">
        <v>100</v>
      </c>
      <c r="AC159" s="600" t="inlineStr">
        <is>
          <t>NOS</t>
        </is>
      </c>
      <c r="AD159" s="600" t="n"/>
      <c r="AE159" s="600" t="n"/>
      <c r="AF159" s="601" t="n"/>
      <c r="AG159" s="601" t="n"/>
      <c r="AH159" s="601">
        <f t="array" ref="AH1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59" s="602">
        <f>scheduleapr[[#This Row],[SCHEDULE in nos]]-scheduleapr[[#This Row],[DISPATCH]]</f>
        <v/>
      </c>
      <c r="AJ159" s="599">
        <f>(3.14*(scheduleapr[[#This Row],[ACTUAL OD]]-scheduleapr[[#This Row],[TICKNESS]])*scheduleapr[[#This Row],[TICKNESS]]*scheduleapr[[#This Row],[LENGTH]]*7.85)/1000000*scheduleapr[[#This Row],[SCHEDULE in nos]]/1000</f>
        <v/>
      </c>
      <c r="AK159" s="599">
        <f>(3.14*(scheduleapr[[#This Row],[ACTUAL OD]]-scheduleapr[[#This Row],[TICKNESS]])*scheduleapr[[#This Row],[TICKNESS]]*scheduleapr[[#This Row],[LENGTH]]*7.85)/1000000*scheduleapr[[#This Row],[DISPATCH]]/1000</f>
        <v/>
      </c>
      <c r="AL159" s="599">
        <f>AJ159-AK159</f>
        <v/>
      </c>
      <c r="AM159" s="599">
        <f>scheduleapr[[#This Row],[SCHEDULE in nos]]/scheduleapr[[#This Row],[SCHEDULE IN MT]]*scheduleapr[[#This Row],[CTL Stock]]</f>
        <v/>
      </c>
      <c r="AN159" s="599">
        <f>SUMIFS(stock[MT],stock[Bucket],scheduleapr[[#This Row],[Bucket]],stock[LL or CTL],"LL")</f>
        <v/>
      </c>
      <c r="AO159" s="599">
        <f>+SUMIFS(wip[Stock(Net Wt)],wip[Bucket],scheduleapr[[#This Row],[Bucket]])/1000</f>
        <v/>
      </c>
      <c r="AP159" s="599">
        <f>AH159-AL159</f>
        <v/>
      </c>
      <c r="AQ159" s="599">
        <f>+SUMIFS(wip[Stock(Net Wt)],wip[Bucket],scheduleapr[[#This Row],[Bucket]])/1000</f>
        <v/>
      </c>
      <c r="AR159" s="599">
        <f>AJ159-AN159</f>
        <v/>
      </c>
      <c r="AS159" s="118" t="n"/>
    </row>
    <row r="160">
      <c r="A160" s="594" t="n">
        <v>765</v>
      </c>
      <c r="B160" s="5" t="inlineStr">
        <is>
          <t>Hosur</t>
        </is>
      </c>
      <c r="C160" s="601" t="inlineStr">
        <is>
          <t>Marathwada v7</t>
        </is>
      </c>
      <c r="D160" s="601" t="inlineStr">
        <is>
          <t>Marathwada</t>
        </is>
      </c>
      <c r="E160" s="601" t="n">
        <v>189002</v>
      </c>
      <c r="F160" s="601" t="n">
        <v>3931835</v>
      </c>
      <c r="G160" s="601">
        <f>_xlfn.CONCAT(scheduleapr[[#This Row],[CUSTOMER CODE]],"-",scheduleapr[[#This Row],[MATERIAL NO]])</f>
        <v/>
      </c>
      <c r="H160" s="601" t="inlineStr">
        <is>
          <t>CUT-R-AW-AUT-19.00X19.00X1.000X0.1100</t>
        </is>
      </c>
      <c r="I160" s="596" t="inlineStr">
        <is>
          <t>CRFH</t>
        </is>
      </c>
      <c r="J160" s="599" t="n"/>
      <c r="K160" s="596" t="inlineStr">
        <is>
          <t>PE</t>
        </is>
      </c>
      <c r="L160" s="601" t="inlineStr">
        <is>
          <t>CR</t>
        </is>
      </c>
      <c r="M160" s="599" t="n"/>
      <c r="N160" s="600" t="n"/>
      <c r="O160" s="601" t="n"/>
      <c r="P160" s="601" t="n"/>
      <c r="Q160" s="557">
        <f>CONCATENATE(scheduleapr[[#This Row],[OD]],"-",scheduleapr[[#This Row],[ID]],"-",scheduleapr[[#This Row],[TICKNESS]],"-",scheduleapr[[#This Row],[Grade]],"-",scheduleapr[[#This Row],[FC/NFC]])</f>
        <v/>
      </c>
      <c r="R160" s="557">
        <f>_xlfn.CONCAT(scheduleapr[[#This Row],[Bucket]],"-",scheduleapr[[#This Row],[LENGTH]]/1000)</f>
        <v/>
      </c>
      <c r="S160" s="557">
        <f>COUNTIF(scheduleapr[CTL Bucket],scheduleapr[[#This Row],[CTL Bucket]])</f>
        <v/>
      </c>
      <c r="T160" s="601" t="inlineStr">
        <is>
          <t>Hosur</t>
        </is>
      </c>
      <c r="U160" s="601" t="n"/>
      <c r="V160" s="601" t="n"/>
      <c r="W160" s="601" t="n"/>
      <c r="X160" s="599" t="n">
        <v>23.42</v>
      </c>
      <c r="Y160" s="599" t="n">
        <v>19</v>
      </c>
      <c r="Z160" s="599" t="n">
        <v>19</v>
      </c>
      <c r="AA160" s="599" t="n">
        <v>1</v>
      </c>
      <c r="AB160" s="600" t="n">
        <v>110</v>
      </c>
      <c r="AC160" s="600" t="inlineStr">
        <is>
          <t>NOS</t>
        </is>
      </c>
      <c r="AD160" s="600" t="n"/>
      <c r="AE160" s="600" t="n"/>
      <c r="AF160" s="601" t="n"/>
      <c r="AG160" s="601" t="n"/>
      <c r="AH160" s="601">
        <f t="array" ref="AH1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0" s="602">
        <f>scheduleapr[[#This Row],[SCHEDULE in nos]]-scheduleapr[[#This Row],[DISPATCH]]</f>
        <v/>
      </c>
      <c r="AJ160" s="599">
        <f>(3.14*(scheduleapr[[#This Row],[ACTUAL OD]]-scheduleapr[[#This Row],[TICKNESS]])*scheduleapr[[#This Row],[TICKNESS]]*scheduleapr[[#This Row],[LENGTH]]*7.85)/1000000*scheduleapr[[#This Row],[SCHEDULE in nos]]/1000</f>
        <v/>
      </c>
      <c r="AK160" s="599">
        <f>(3.14*(scheduleapr[[#This Row],[ACTUAL OD]]-scheduleapr[[#This Row],[TICKNESS]])*scheduleapr[[#This Row],[TICKNESS]]*scheduleapr[[#This Row],[LENGTH]]*7.85)/1000000*scheduleapr[[#This Row],[DISPATCH]]/1000</f>
        <v/>
      </c>
      <c r="AL160" s="599">
        <f>AJ160-AK160</f>
        <v/>
      </c>
      <c r="AM160" s="599">
        <f>scheduleapr[[#This Row],[SCHEDULE in nos]]/scheduleapr[[#This Row],[SCHEDULE IN MT]]*scheduleapr[[#This Row],[CTL Stock]]</f>
        <v/>
      </c>
      <c r="AN160" s="599">
        <f>SUMIFS(stock[MT],stock[Bucket],scheduleapr[[#This Row],[Bucket]],stock[LL or CTL],"LL")</f>
        <v/>
      </c>
      <c r="AO160" s="599">
        <f>+SUMIFS(wip[Stock(Net Wt)],wip[Bucket],scheduleapr[[#This Row],[Bucket]])/1000</f>
        <v/>
      </c>
      <c r="AP160" s="599">
        <f>AH160-AL160</f>
        <v/>
      </c>
      <c r="AQ160" s="599">
        <f>+SUMIFS(wip[Stock(Net Wt)],wip[Bucket],scheduleapr[[#This Row],[Bucket]])/1000</f>
        <v/>
      </c>
      <c r="AR160" s="599">
        <f>AJ160-AN160</f>
        <v/>
      </c>
      <c r="AS160" s="118" t="n"/>
    </row>
    <row r="161">
      <c r="A161" s="594" t="n">
        <v>759</v>
      </c>
      <c r="B161" s="5" t="inlineStr">
        <is>
          <t>Hosur</t>
        </is>
      </c>
      <c r="C161" s="601" t="inlineStr">
        <is>
          <t>Marathwada v7</t>
        </is>
      </c>
      <c r="D161" s="601" t="inlineStr">
        <is>
          <t>Marathwada</t>
        </is>
      </c>
      <c r="E161" s="601" t="n">
        <v>189002</v>
      </c>
      <c r="F161" s="601" t="n">
        <v>4151428</v>
      </c>
      <c r="G161" s="601">
        <f>_xlfn.CONCAT(scheduleapr[[#This Row],[CUSTOMER CODE]],"-",scheduleapr[[#This Row],[MATERIAL NO]])</f>
        <v/>
      </c>
      <c r="H161" s="601" t="inlineStr">
        <is>
          <t>TUB-S-AW-AUT-19.00X19.00X1.000X0.1150</t>
        </is>
      </c>
      <c r="I161" s="596" t="inlineStr">
        <is>
          <t>CRFH</t>
        </is>
      </c>
      <c r="J161" s="599" t="n"/>
      <c r="K161" s="596" t="inlineStr">
        <is>
          <t>PE</t>
        </is>
      </c>
      <c r="L161" s="601" t="inlineStr">
        <is>
          <t>CR</t>
        </is>
      </c>
      <c r="M161" s="599" t="n"/>
      <c r="N161" s="600" t="n"/>
      <c r="O161" s="601" t="n"/>
      <c r="P161" s="601" t="n"/>
      <c r="Q161" s="557">
        <f>CONCATENATE(scheduleapr[[#This Row],[OD]],"-",scheduleapr[[#This Row],[ID]],"-",scheduleapr[[#This Row],[TICKNESS]],"-",scheduleapr[[#This Row],[Grade]],"-",scheduleapr[[#This Row],[FC/NFC]])</f>
        <v/>
      </c>
      <c r="R161" s="557">
        <f>_xlfn.CONCAT(scheduleapr[[#This Row],[Bucket]],"-",scheduleapr[[#This Row],[LENGTH]]/1000)</f>
        <v/>
      </c>
      <c r="S161" s="557">
        <f>COUNTIF(scheduleapr[CTL Bucket],scheduleapr[[#This Row],[CTL Bucket]])</f>
        <v/>
      </c>
      <c r="T161" s="601" t="inlineStr">
        <is>
          <t>Hosur</t>
        </is>
      </c>
      <c r="U161" s="601" t="n"/>
      <c r="V161" s="601" t="n"/>
      <c r="W161" s="601" t="n"/>
      <c r="X161" s="599" t="n">
        <v>23.42</v>
      </c>
      <c r="Y161" s="599" t="n">
        <v>19</v>
      </c>
      <c r="Z161" s="599" t="n">
        <v>19</v>
      </c>
      <c r="AA161" s="599" t="n">
        <v>1</v>
      </c>
      <c r="AB161" s="600" t="n">
        <v>115</v>
      </c>
      <c r="AC161" s="600" t="inlineStr">
        <is>
          <t>NOS</t>
        </is>
      </c>
      <c r="AD161" s="600" t="n"/>
      <c r="AE161" s="600" t="n"/>
      <c r="AF161" s="601" t="n"/>
      <c r="AG161" s="601" t="n"/>
      <c r="AH161" s="601">
        <f t="array" ref="AH1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1" s="602">
        <f>scheduleapr[[#This Row],[SCHEDULE in nos]]-scheduleapr[[#This Row],[DISPATCH]]</f>
        <v/>
      </c>
      <c r="AJ161" s="599">
        <f>(3.14*(scheduleapr[[#This Row],[ACTUAL OD]]-scheduleapr[[#This Row],[TICKNESS]])*scheduleapr[[#This Row],[TICKNESS]]*scheduleapr[[#This Row],[LENGTH]]*7.85)/1000000*scheduleapr[[#This Row],[SCHEDULE in nos]]/1000</f>
        <v/>
      </c>
      <c r="AK161" s="599">
        <f>(3.14*(scheduleapr[[#This Row],[ACTUAL OD]]-scheduleapr[[#This Row],[TICKNESS]])*scheduleapr[[#This Row],[TICKNESS]]*scheduleapr[[#This Row],[LENGTH]]*7.85)/1000000*scheduleapr[[#This Row],[DISPATCH]]/1000</f>
        <v/>
      </c>
      <c r="AL161" s="599">
        <f>AJ161-AK161</f>
        <v/>
      </c>
      <c r="AM161" s="599">
        <f>scheduleapr[[#This Row],[SCHEDULE in nos]]/scheduleapr[[#This Row],[SCHEDULE IN MT]]*scheduleapr[[#This Row],[CTL Stock]]</f>
        <v/>
      </c>
      <c r="AN161" s="599">
        <f>SUMIFS(stock[MT],stock[Bucket],scheduleapr[[#This Row],[Bucket]],stock[LL or CTL],"LL")</f>
        <v/>
      </c>
      <c r="AO161" s="599">
        <f>+SUMIFS(wip[Stock(Net Wt)],wip[Bucket],scheduleapr[[#This Row],[Bucket]])/1000</f>
        <v/>
      </c>
      <c r="AP161" s="599">
        <f>AH161-AL161</f>
        <v/>
      </c>
      <c r="AQ161" s="599">
        <f>+SUMIFS(wip[Stock(Net Wt)],wip[Bucket],scheduleapr[[#This Row],[Bucket]])/1000</f>
        <v/>
      </c>
      <c r="AR161" s="599">
        <f>AJ161-AN161</f>
        <v/>
      </c>
      <c r="AS161" s="118" t="n"/>
    </row>
    <row r="162">
      <c r="A162" s="594" t="n">
        <v>773</v>
      </c>
      <c r="B162" s="5" t="inlineStr">
        <is>
          <t>Hosur</t>
        </is>
      </c>
      <c r="C162" s="601" t="inlineStr">
        <is>
          <t>Marathwada v7</t>
        </is>
      </c>
      <c r="D162" s="601" t="inlineStr">
        <is>
          <t>Marathwada</t>
        </is>
      </c>
      <c r="E162" s="601" t="n">
        <v>189002</v>
      </c>
      <c r="F162" s="601" t="n">
        <v>3938687</v>
      </c>
      <c r="G162" s="601">
        <f>_xlfn.CONCAT(scheduleapr[[#This Row],[CUSTOMER CODE]],"-",scheduleapr[[#This Row],[MATERIAL NO]])</f>
        <v/>
      </c>
      <c r="H162" s="601" t="inlineStr">
        <is>
          <t>TUB-S-AW-AUT-19.00X19.00X1.000X0.1290</t>
        </is>
      </c>
      <c r="I162" s="596" t="inlineStr">
        <is>
          <t>CRFH</t>
        </is>
      </c>
      <c r="J162" s="599" t="n"/>
      <c r="K162" s="596" t="inlineStr">
        <is>
          <t>PE</t>
        </is>
      </c>
      <c r="L162" s="601" t="inlineStr">
        <is>
          <t>CR</t>
        </is>
      </c>
      <c r="M162" s="599" t="n"/>
      <c r="N162" s="600" t="n"/>
      <c r="O162" s="601" t="n"/>
      <c r="P162" s="601" t="n"/>
      <c r="Q162" s="557">
        <f>CONCATENATE(scheduleapr[[#This Row],[OD]],"-",scheduleapr[[#This Row],[ID]],"-",scheduleapr[[#This Row],[TICKNESS]],"-",scheduleapr[[#This Row],[Grade]],"-",scheduleapr[[#This Row],[FC/NFC]])</f>
        <v/>
      </c>
      <c r="R162" s="557">
        <f>_xlfn.CONCAT(scheduleapr[[#This Row],[Bucket]],"-",scheduleapr[[#This Row],[LENGTH]]/1000)</f>
        <v/>
      </c>
      <c r="S162" s="557">
        <f>COUNTIF(scheduleapr[CTL Bucket],scheduleapr[[#This Row],[CTL Bucket]])</f>
        <v/>
      </c>
      <c r="T162" s="601" t="inlineStr">
        <is>
          <t>Hosur</t>
        </is>
      </c>
      <c r="U162" s="601" t="n"/>
      <c r="V162" s="601" t="n"/>
      <c r="W162" s="601" t="n"/>
      <c r="X162" s="599" t="n">
        <v>23.42</v>
      </c>
      <c r="Y162" s="599" t="n">
        <v>19</v>
      </c>
      <c r="Z162" s="599" t="n">
        <v>19</v>
      </c>
      <c r="AA162" s="599" t="n">
        <v>1</v>
      </c>
      <c r="AB162" s="600" t="n">
        <v>129</v>
      </c>
      <c r="AC162" s="81" t="inlineStr">
        <is>
          <t>NOS</t>
        </is>
      </c>
      <c r="AD162" s="81" t="n"/>
      <c r="AE162" s="81" t="n"/>
      <c r="AF162" s="601" t="n"/>
      <c r="AG162" s="601" t="n"/>
      <c r="AH162" s="601">
        <f t="array" ref="AH1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2" s="602">
        <f>scheduleapr[[#This Row],[SCHEDULE in nos]]-scheduleapr[[#This Row],[DISPATCH]]</f>
        <v/>
      </c>
      <c r="AJ162" s="599">
        <f>(3.14*(scheduleapr[[#This Row],[ACTUAL OD]]-scheduleapr[[#This Row],[TICKNESS]])*scheduleapr[[#This Row],[TICKNESS]]*scheduleapr[[#This Row],[LENGTH]]*7.85)/1000000*scheduleapr[[#This Row],[SCHEDULE in nos]]/1000</f>
        <v/>
      </c>
      <c r="AK162" s="599">
        <f>(3.14*(scheduleapr[[#This Row],[ACTUAL OD]]-scheduleapr[[#This Row],[TICKNESS]])*scheduleapr[[#This Row],[TICKNESS]]*scheduleapr[[#This Row],[LENGTH]]*7.85)/1000000*scheduleapr[[#This Row],[DISPATCH]]/1000</f>
        <v/>
      </c>
      <c r="AL162" s="599">
        <f>AJ162-AK162</f>
        <v/>
      </c>
      <c r="AM162" s="599">
        <f>scheduleapr[[#This Row],[SCHEDULE in nos]]/scheduleapr[[#This Row],[SCHEDULE IN MT]]*scheduleapr[[#This Row],[CTL Stock]]</f>
        <v/>
      </c>
      <c r="AN162" s="599">
        <f>SUMIFS(stock[MT],stock[Bucket],scheduleapr[[#This Row],[Bucket]],stock[LL or CTL],"LL")</f>
        <v/>
      </c>
      <c r="AO162" s="599">
        <f>+SUMIFS(wip[Stock(Net Wt)],wip[Bucket],scheduleapr[[#This Row],[Bucket]])/1000</f>
        <v/>
      </c>
      <c r="AP162" s="599">
        <f>AH162-AL162</f>
        <v/>
      </c>
      <c r="AQ162" s="599">
        <f>+SUMIFS(wip[Stock(Net Wt)],wip[Bucket],scheduleapr[[#This Row],[Bucket]])/1000</f>
        <v/>
      </c>
      <c r="AR162" s="599">
        <f>AJ162-AN162</f>
        <v/>
      </c>
      <c r="AS162" s="118" t="n"/>
    </row>
    <row r="163">
      <c r="A163" s="594" t="n">
        <v>130</v>
      </c>
      <c r="B163" s="78" t="inlineStr">
        <is>
          <t>Hosur</t>
        </is>
      </c>
      <c r="C163" s="596" t="inlineStr">
        <is>
          <t>Marathwada</t>
        </is>
      </c>
      <c r="D163" s="601" t="inlineStr">
        <is>
          <t>Marathwada</t>
        </is>
      </c>
      <c r="E163" s="596" t="n">
        <v>189002</v>
      </c>
      <c r="F163" s="596" t="n">
        <v>3432217</v>
      </c>
      <c r="G163" s="601">
        <f>_xlfn.CONCAT(scheduleapr[[#This Row],[CUSTOMER CODE]],"-",scheduleapr[[#This Row],[MATERIAL NO]])</f>
        <v/>
      </c>
      <c r="H163" s="601" t="inlineStr">
        <is>
          <t>TUB-S-AW-AUT-19.00X19.00X1.210X0.3300</t>
        </is>
      </c>
      <c r="I163" s="596" t="inlineStr">
        <is>
          <t>CRFH</t>
        </is>
      </c>
      <c r="J163" s="599" t="n"/>
      <c r="K163" s="596" t="inlineStr">
        <is>
          <t>PE</t>
        </is>
      </c>
      <c r="L163" s="601" t="inlineStr">
        <is>
          <t>CR</t>
        </is>
      </c>
      <c r="M163" s="599" t="n"/>
      <c r="N163" s="600" t="n"/>
      <c r="O163" s="601" t="n"/>
      <c r="P163" s="601" t="n"/>
      <c r="Q163" s="557">
        <f>CONCATENATE(scheduleapr[[#This Row],[OD]],"-",scheduleapr[[#This Row],[ID]],"-",scheduleapr[[#This Row],[TICKNESS]],"-",scheduleapr[[#This Row],[Grade]],"-",scheduleapr[[#This Row],[FC/NFC]])</f>
        <v/>
      </c>
      <c r="R163" s="557">
        <f>_xlfn.CONCAT(scheduleapr[[#This Row],[Bucket]],"-",scheduleapr[[#This Row],[LENGTH]]/1000)</f>
        <v/>
      </c>
      <c r="S163" s="557">
        <f>COUNTIF(scheduleapr[CTL Bucket],scheduleapr[[#This Row],[CTL Bucket]])</f>
        <v/>
      </c>
      <c r="T163" s="601" t="inlineStr">
        <is>
          <t>Hosur</t>
        </is>
      </c>
      <c r="U163" s="601" t="n"/>
      <c r="V163" s="557" t="n"/>
      <c r="W163" s="557" t="n"/>
      <c r="X163" s="79" t="n">
        <v>23.42</v>
      </c>
      <c r="Y163" s="79" t="n">
        <v>19</v>
      </c>
      <c r="Z163" s="79" t="n">
        <v>19</v>
      </c>
      <c r="AA163" s="599" t="n">
        <v>1</v>
      </c>
      <c r="AB163" s="600" t="n">
        <v>330</v>
      </c>
      <c r="AC163" s="600" t="inlineStr">
        <is>
          <t>NOS</t>
        </is>
      </c>
      <c r="AD163" s="600" t="n"/>
      <c r="AE163" s="600" t="n"/>
      <c r="AF163" s="601" t="n"/>
      <c r="AG163" s="601" t="n"/>
      <c r="AH163" s="601">
        <f t="array" ref="AH1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3" s="602">
        <f>scheduleapr[[#This Row],[SCHEDULE in nos]]-scheduleapr[[#This Row],[DISPATCH]]</f>
        <v/>
      </c>
      <c r="AJ163" s="599">
        <f>(3.14*(scheduleapr[[#This Row],[ACTUAL OD]]-scheduleapr[[#This Row],[TICKNESS]])*scheduleapr[[#This Row],[TICKNESS]]*scheduleapr[[#This Row],[LENGTH]]*7.85)/1000000*scheduleapr[[#This Row],[SCHEDULE in nos]]/1000</f>
        <v/>
      </c>
      <c r="AK163" s="599">
        <f>(3.14*(scheduleapr[[#This Row],[ACTUAL OD]]-scheduleapr[[#This Row],[TICKNESS]])*scheduleapr[[#This Row],[TICKNESS]]*scheduleapr[[#This Row],[LENGTH]]*7.85)/1000000*scheduleapr[[#This Row],[DISPATCH]]/1000</f>
        <v/>
      </c>
      <c r="AL163" s="599">
        <f>AJ163-AK163</f>
        <v/>
      </c>
      <c r="AM163" s="599">
        <f>scheduleapr[[#This Row],[SCHEDULE in nos]]/scheduleapr[[#This Row],[SCHEDULE IN MT]]*scheduleapr[[#This Row],[CTL Stock]]</f>
        <v/>
      </c>
      <c r="AN163" s="599">
        <f>SUMIFS(stock[MT],stock[Bucket],scheduleapr[[#This Row],[Bucket]],stock[CTL Bucket],scheduleapr[[#This Row],[CTL Bucket]],stock[Plant],"0789")</f>
        <v/>
      </c>
      <c r="AO163" s="599" t="n"/>
      <c r="AP163" s="599">
        <f>SUMIFS(stock[MT],stock[Bucket],scheduleapr[[#This Row],[Bucket]],stock[LL or CTL],"LL")</f>
        <v/>
      </c>
      <c r="AQ163" s="599">
        <f>+SUMIFS(wip[Stock(Net Wt)],wip[Bucket],scheduleapr[[#This Row],[Bucket]])/1000</f>
        <v/>
      </c>
      <c r="AR163" s="599">
        <f>AJ163-AN163</f>
        <v/>
      </c>
      <c r="AS163" s="118" t="n"/>
    </row>
    <row r="164">
      <c r="A164" s="594" t="n"/>
      <c r="B164" s="5" t="inlineStr">
        <is>
          <t>Hosur</t>
        </is>
      </c>
      <c r="C164" s="601" t="inlineStr">
        <is>
          <t>Marathwada</t>
        </is>
      </c>
      <c r="D164" s="601" t="inlineStr">
        <is>
          <t>Marathwada</t>
        </is>
      </c>
      <c r="E164" s="601" t="n">
        <v>189002</v>
      </c>
      <c r="F164" s="523" t="n">
        <v>3230490</v>
      </c>
      <c r="G164" s="601">
        <f>_xlfn.CONCAT(scheduleapr[[#This Row],[CUSTOMER CODE]],"-",scheduleapr[[#This Row],[MATERIAL NO]])</f>
        <v/>
      </c>
      <c r="H164" s="523" t="inlineStr">
        <is>
          <t>TUB-S-AW-AUT-19.00X19.00X1.000X0.3550</t>
        </is>
      </c>
      <c r="I164" s="596" t="inlineStr">
        <is>
          <t>CRFH</t>
        </is>
      </c>
      <c r="J164" s="599" t="n"/>
      <c r="K164" s="596" t="inlineStr">
        <is>
          <t>PE</t>
        </is>
      </c>
      <c r="L164" s="601" t="inlineStr">
        <is>
          <t>CR</t>
        </is>
      </c>
      <c r="M164" s="599" t="n"/>
      <c r="N164" s="600" t="n"/>
      <c r="O164" s="601" t="n"/>
      <c r="P164" s="601" t="n"/>
      <c r="Q164" s="557">
        <f>CONCATENATE(scheduleapr[[#This Row],[OD]],"-",scheduleapr[[#This Row],[ID]],"-",scheduleapr[[#This Row],[TICKNESS]],"-",scheduleapr[[#This Row],[Grade]],"-",scheduleapr[[#This Row],[FC/NFC]])</f>
        <v/>
      </c>
      <c r="R164" s="557">
        <f>_xlfn.CONCAT(scheduleapr[[#This Row],[Bucket]],"-",scheduleapr[[#This Row],[LENGTH]]/1000)</f>
        <v/>
      </c>
      <c r="S164" s="557">
        <f>COUNTIF(scheduleapr[CTL Bucket],scheduleapr[[#This Row],[CTL Bucket]])</f>
        <v/>
      </c>
      <c r="T164" s="601" t="inlineStr">
        <is>
          <t>Hosur</t>
        </is>
      </c>
      <c r="U164" s="601" t="n"/>
      <c r="V164" s="601" t="n"/>
      <c r="W164" s="601" t="n"/>
      <c r="X164" s="599" t="n">
        <v>23.42</v>
      </c>
      <c r="Y164" s="599" t="n">
        <v>19</v>
      </c>
      <c r="Z164" s="599" t="n">
        <v>19</v>
      </c>
      <c r="AA164" s="599" t="n">
        <v>1</v>
      </c>
      <c r="AB164" s="600" t="n">
        <v>355</v>
      </c>
      <c r="AC164" s="600" t="inlineStr">
        <is>
          <t>NOS</t>
        </is>
      </c>
      <c r="AD164" s="600" t="n"/>
      <c r="AE164" s="600" t="n"/>
      <c r="AF164" s="601" t="n"/>
      <c r="AG164" s="601" t="n"/>
      <c r="AH164" s="601">
        <f t="array" ref="AH1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4" s="602">
        <f>scheduleapr[[#This Row],[SCHEDULE in nos]]-scheduleapr[[#This Row],[DISPATCH]]</f>
        <v/>
      </c>
      <c r="AJ164" s="599">
        <f>(3.14*(scheduleapr[[#This Row],[ACTUAL OD]]-scheduleapr[[#This Row],[TICKNESS]])*scheduleapr[[#This Row],[TICKNESS]]*scheduleapr[[#This Row],[LENGTH]]*7.85)/1000000*scheduleapr[[#This Row],[SCHEDULE in nos]]/1000</f>
        <v/>
      </c>
      <c r="AK164" s="599">
        <f>(3.14*(scheduleapr[[#This Row],[ACTUAL OD]]-scheduleapr[[#This Row],[TICKNESS]])*scheduleapr[[#This Row],[TICKNESS]]*scheduleapr[[#This Row],[LENGTH]]*7.85)/1000000*scheduleapr[[#This Row],[DISPATCH]]/1000</f>
        <v/>
      </c>
      <c r="AL164" s="599">
        <f>AJ164-AK164</f>
        <v/>
      </c>
      <c r="AM164" s="599">
        <f>scheduleapr[[#This Row],[SCHEDULE in nos]]/scheduleapr[[#This Row],[SCHEDULE IN MT]]*scheduleapr[[#This Row],[CTL Stock]]</f>
        <v/>
      </c>
      <c r="AN164" s="599">
        <f>SUMIFS(stock[MT],stock[Bucket],scheduleapr[[#This Row],[Bucket]],stock[CTL Bucket],scheduleapr[[#This Row],[CTL Bucket]],stock[Plant],"0789")</f>
        <v/>
      </c>
      <c r="AO164" s="599" t="n"/>
      <c r="AP164" s="599">
        <f>SUMIFS(stock[MT],stock[Bucket],scheduleapr[[#This Row],[Bucket]],stock[LL or CTL],"LL")</f>
        <v/>
      </c>
      <c r="AQ164" s="599">
        <f>+SUMIFS(wip[Stock(Net Wt)],wip[Bucket],scheduleapr[[#This Row],[Bucket]])/1000</f>
        <v/>
      </c>
      <c r="AR164" s="599">
        <f>AJ164-AN164</f>
        <v/>
      </c>
      <c r="AS164" s="118" t="n"/>
    </row>
    <row r="165">
      <c r="A165" s="594" t="n">
        <v>132</v>
      </c>
      <c r="B165" s="5" t="inlineStr">
        <is>
          <t>Hosur</t>
        </is>
      </c>
      <c r="C165" s="601" t="inlineStr">
        <is>
          <t>Marathwada v7</t>
        </is>
      </c>
      <c r="D165" s="601" t="inlineStr">
        <is>
          <t>Marathwada</t>
        </is>
      </c>
      <c r="E165" s="601" t="n">
        <v>189002</v>
      </c>
      <c r="F165" s="601" t="n">
        <v>3230490</v>
      </c>
      <c r="G165" s="601">
        <f>_xlfn.CONCAT(scheduleapr[[#This Row],[CUSTOMER CODE]],"-",scheduleapr[[#This Row],[MATERIAL NO]])</f>
        <v/>
      </c>
      <c r="H165" s="601" t="inlineStr">
        <is>
          <t>TUB-S-AW-AUT-19.00X19.00X1.000X0.3550</t>
        </is>
      </c>
      <c r="I165" s="596" t="inlineStr">
        <is>
          <t>CRFH</t>
        </is>
      </c>
      <c r="J165" s="599" t="n"/>
      <c r="K165" s="596" t="inlineStr">
        <is>
          <t>PE</t>
        </is>
      </c>
      <c r="L165" s="601" t="inlineStr">
        <is>
          <t>CR</t>
        </is>
      </c>
      <c r="M165" s="599" t="n"/>
      <c r="N165" s="600" t="n"/>
      <c r="O165" s="601" t="n"/>
      <c r="P165" s="601" t="n"/>
      <c r="Q165" s="557">
        <f>CONCATENATE(scheduleapr[[#This Row],[OD]],"-",scheduleapr[[#This Row],[ID]],"-",scheduleapr[[#This Row],[TICKNESS]],"-",scheduleapr[[#This Row],[Grade]],"-",scheduleapr[[#This Row],[FC/NFC]])</f>
        <v/>
      </c>
      <c r="R165" s="557">
        <f>_xlfn.CONCAT(scheduleapr[[#This Row],[Bucket]],"-",scheduleapr[[#This Row],[LENGTH]]/1000)</f>
        <v/>
      </c>
      <c r="S165" s="557">
        <f>COUNTIF(scheduleapr[CTL Bucket],scheduleapr[[#This Row],[CTL Bucket]])</f>
        <v/>
      </c>
      <c r="T165" s="601" t="inlineStr">
        <is>
          <t>Hosur</t>
        </is>
      </c>
      <c r="U165" s="601" t="n"/>
      <c r="V165" s="557" t="n"/>
      <c r="W165" s="557" t="n"/>
      <c r="X165" s="599" t="n">
        <v>23.42</v>
      </c>
      <c r="Y165" s="599" t="n">
        <v>19</v>
      </c>
      <c r="Z165" s="599" t="n">
        <v>19</v>
      </c>
      <c r="AA165" s="599" t="n">
        <v>1</v>
      </c>
      <c r="AB165" s="600" t="n">
        <v>355</v>
      </c>
      <c r="AC165" s="600" t="inlineStr">
        <is>
          <t>NOS</t>
        </is>
      </c>
      <c r="AD165" s="600" t="n"/>
      <c r="AE165" s="600" t="n"/>
      <c r="AF165" s="601" t="n">
        <v>14000</v>
      </c>
      <c r="AG165" s="601" t="n"/>
      <c r="AH165" s="601">
        <f t="array" ref="AH1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5" s="602">
        <f>scheduleapr[[#This Row],[SCHEDULE in nos]]-scheduleapr[[#This Row],[DISPATCH]]</f>
        <v/>
      </c>
      <c r="AJ165" s="599">
        <f>(3.14*(scheduleapr[[#This Row],[ACTUAL OD]]-scheduleapr[[#This Row],[TICKNESS]])*scheduleapr[[#This Row],[TICKNESS]]*scheduleapr[[#This Row],[LENGTH]]*7.85)/1000000*scheduleapr[[#This Row],[SCHEDULE in nos]]/1000</f>
        <v/>
      </c>
      <c r="AK165" s="599">
        <f>(3.14*(scheduleapr[[#This Row],[ACTUAL OD]]-scheduleapr[[#This Row],[TICKNESS]])*scheduleapr[[#This Row],[TICKNESS]]*scheduleapr[[#This Row],[LENGTH]]*7.85)/1000000*scheduleapr[[#This Row],[DISPATCH]]/1000</f>
        <v/>
      </c>
      <c r="AL165" s="599">
        <f>AJ165-AK165</f>
        <v/>
      </c>
      <c r="AM165" s="599">
        <f>scheduleapr[[#This Row],[SCHEDULE in nos]]/scheduleapr[[#This Row],[SCHEDULE IN MT]]*scheduleapr[[#This Row],[CTL Stock]]</f>
        <v/>
      </c>
      <c r="AN165" s="599">
        <f>SUMIFS(stock[MT],stock[Bucket],scheduleapr[[#This Row],[Bucket]],stock[CTL Bucket],scheduleapr[[#This Row],[CTL Bucket]],stock[Plant],"0789")</f>
        <v/>
      </c>
      <c r="AO165" s="599" t="n"/>
      <c r="AP165" s="599">
        <f>SUMIFS(stock[MT],stock[Bucket],scheduleapr[[#This Row],[Bucket]],stock[LL or CTL],"LL")</f>
        <v/>
      </c>
      <c r="AQ165" s="599">
        <f>+SUMIFS(wip[Stock(Net Wt)],wip[Bucket],scheduleapr[[#This Row],[Bucket]])/1000</f>
        <v/>
      </c>
      <c r="AR165" s="599">
        <f>AJ165-AN165</f>
        <v/>
      </c>
      <c r="AS165" s="118" t="n"/>
    </row>
    <row r="166">
      <c r="A166" s="594" t="n">
        <v>762</v>
      </c>
      <c r="B166" s="5" t="inlineStr">
        <is>
          <t>Hosur</t>
        </is>
      </c>
      <c r="C166" s="601" t="inlineStr">
        <is>
          <t>Marathwada v7</t>
        </is>
      </c>
      <c r="D166" s="601" t="inlineStr">
        <is>
          <t>Marathwada</t>
        </is>
      </c>
      <c r="E166" s="601" t="n">
        <v>189002</v>
      </c>
      <c r="F166" s="601" t="n">
        <v>3230490</v>
      </c>
      <c r="G166" s="601">
        <f>_xlfn.CONCAT(scheduleapr[[#This Row],[CUSTOMER CODE]],"-",scheduleapr[[#This Row],[MATERIAL NO]])</f>
        <v/>
      </c>
      <c r="H166" s="601" t="inlineStr">
        <is>
          <t>TUB-S-AW-AUT-19.00X19.00X1.000X0.3550</t>
        </is>
      </c>
      <c r="I166" s="596" t="inlineStr">
        <is>
          <t>CRFH</t>
        </is>
      </c>
      <c r="J166" s="599" t="n"/>
      <c r="K166" s="596" t="inlineStr">
        <is>
          <t>PE</t>
        </is>
      </c>
      <c r="L166" s="601" t="inlineStr">
        <is>
          <t>CR</t>
        </is>
      </c>
      <c r="M166" s="599" t="n"/>
      <c r="N166" s="600" t="n"/>
      <c r="O166" s="601" t="n"/>
      <c r="P166" s="601" t="n"/>
      <c r="Q166" s="557">
        <f>CONCATENATE(scheduleapr[[#This Row],[OD]],"-",scheduleapr[[#This Row],[ID]],"-",scheduleapr[[#This Row],[TICKNESS]],"-",scheduleapr[[#This Row],[Grade]],"-",scheduleapr[[#This Row],[FC/NFC]])</f>
        <v/>
      </c>
      <c r="R166" s="557">
        <f>_xlfn.CONCAT(scheduleapr[[#This Row],[Bucket]],"-",scheduleapr[[#This Row],[LENGTH]]/1000)</f>
        <v/>
      </c>
      <c r="S166" s="557">
        <f>COUNTIF(scheduleapr[CTL Bucket],scheduleapr[[#This Row],[CTL Bucket]])</f>
        <v/>
      </c>
      <c r="T166" s="601" t="inlineStr">
        <is>
          <t>Hosur</t>
        </is>
      </c>
      <c r="U166" s="601" t="n"/>
      <c r="V166" s="601" t="n"/>
      <c r="W166" s="601" t="n"/>
      <c r="X166" s="599" t="n">
        <v>23.42</v>
      </c>
      <c r="Y166" s="599" t="n">
        <v>19</v>
      </c>
      <c r="Z166" s="599" t="n">
        <v>19</v>
      </c>
      <c r="AA166" s="599" t="n">
        <v>1</v>
      </c>
      <c r="AB166" s="600" t="n">
        <v>355</v>
      </c>
      <c r="AC166" s="600" t="inlineStr">
        <is>
          <t>NOS</t>
        </is>
      </c>
      <c r="AD166" s="600" t="n"/>
      <c r="AE166" s="600" t="n"/>
      <c r="AF166" s="601" t="n"/>
      <c r="AG166" s="601" t="n"/>
      <c r="AH166" s="601">
        <f t="array" ref="AH1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6" s="602">
        <f>scheduleapr[[#This Row],[SCHEDULE in nos]]-scheduleapr[[#This Row],[DISPATCH]]</f>
        <v/>
      </c>
      <c r="AJ166" s="599">
        <f>(3.14*(scheduleapr[[#This Row],[ACTUAL OD]]-scheduleapr[[#This Row],[TICKNESS]])*scheduleapr[[#This Row],[TICKNESS]]*scheduleapr[[#This Row],[LENGTH]]*7.85)/1000000*scheduleapr[[#This Row],[SCHEDULE in nos]]/1000</f>
        <v/>
      </c>
      <c r="AK166" s="599">
        <f>(3.14*(scheduleapr[[#This Row],[ACTUAL OD]]-scheduleapr[[#This Row],[TICKNESS]])*scheduleapr[[#This Row],[TICKNESS]]*scheduleapr[[#This Row],[LENGTH]]*7.85)/1000000*scheduleapr[[#This Row],[DISPATCH]]/1000</f>
        <v/>
      </c>
      <c r="AL166" s="599">
        <f>AJ166-AK166</f>
        <v/>
      </c>
      <c r="AM166" s="599">
        <f>scheduleapr[[#This Row],[SCHEDULE in nos]]/scheduleapr[[#This Row],[SCHEDULE IN MT]]*scheduleapr[[#This Row],[CTL Stock]]</f>
        <v/>
      </c>
      <c r="AN166" s="599">
        <f>SUMIFS(stock[MT],stock[Bucket],scheduleapr[[#This Row],[Bucket]],stock[LL or CTL],"LL")</f>
        <v/>
      </c>
      <c r="AO166" s="599">
        <f>+SUMIFS(wip[Stock(Net Wt)],wip[Bucket],scheduleapr[[#This Row],[Bucket]])/1000</f>
        <v/>
      </c>
      <c r="AP166" s="599">
        <f>AH166-AL166</f>
        <v/>
      </c>
      <c r="AQ166" s="599">
        <f>+SUMIFS(wip[Stock(Net Wt)],wip[Bucket],scheduleapr[[#This Row],[Bucket]])/1000</f>
        <v/>
      </c>
      <c r="AR166" s="599">
        <f>AJ166-AN166</f>
        <v/>
      </c>
      <c r="AS166" s="118" t="n"/>
    </row>
    <row r="167">
      <c r="A167" s="594" t="n">
        <v>133</v>
      </c>
      <c r="B167" s="5" t="inlineStr">
        <is>
          <t>Hosur</t>
        </is>
      </c>
      <c r="C167" s="601" t="inlineStr">
        <is>
          <t>Marathwada</t>
        </is>
      </c>
      <c r="D167" s="601" t="inlineStr">
        <is>
          <t>Marathwada</t>
        </is>
      </c>
      <c r="E167" s="601" t="n">
        <v>189002</v>
      </c>
      <c r="F167" s="601" t="n">
        <v>3230487</v>
      </c>
      <c r="G167" s="601">
        <f>_xlfn.CONCAT(scheduleapr[[#This Row],[CUSTOMER CODE]],"-",scheduleapr[[#This Row],[MATERIAL NO]])</f>
        <v/>
      </c>
      <c r="H167" s="601" t="inlineStr">
        <is>
          <t>TUB-S-AW-AUT-19.00X19.00X1.000X0.4000</t>
        </is>
      </c>
      <c r="I167" s="596" t="inlineStr">
        <is>
          <t>CRFH</t>
        </is>
      </c>
      <c r="J167" s="599" t="n"/>
      <c r="K167" s="596" t="inlineStr">
        <is>
          <t>PE</t>
        </is>
      </c>
      <c r="L167" s="601" t="inlineStr">
        <is>
          <t>CR</t>
        </is>
      </c>
      <c r="M167" s="599" t="n"/>
      <c r="N167" s="600" t="n"/>
      <c r="O167" s="601" t="n"/>
      <c r="P167" s="601" t="n"/>
      <c r="Q167" s="557">
        <f>CONCATENATE(scheduleapr[[#This Row],[OD]],"-",scheduleapr[[#This Row],[ID]],"-",scheduleapr[[#This Row],[TICKNESS]],"-",scheduleapr[[#This Row],[Grade]],"-",scheduleapr[[#This Row],[FC/NFC]])</f>
        <v/>
      </c>
      <c r="R167" s="557">
        <f>_xlfn.CONCAT(scheduleapr[[#This Row],[Bucket]],"-",scheduleapr[[#This Row],[LENGTH]]/1000)</f>
        <v/>
      </c>
      <c r="S167" s="557">
        <f>COUNTIF(scheduleapr[CTL Bucket],scheduleapr[[#This Row],[CTL Bucket]])</f>
        <v/>
      </c>
      <c r="T167" s="601" t="inlineStr">
        <is>
          <t>Hosur</t>
        </is>
      </c>
      <c r="U167" s="601" t="n"/>
      <c r="V167" s="557" t="n"/>
      <c r="W167" s="557" t="n"/>
      <c r="X167" s="599" t="n">
        <v>23.42</v>
      </c>
      <c r="Y167" s="599" t="n">
        <v>19</v>
      </c>
      <c r="Z167" s="599" t="n">
        <v>19</v>
      </c>
      <c r="AA167" s="599" t="n">
        <v>1</v>
      </c>
      <c r="AB167" s="600" t="n">
        <v>400</v>
      </c>
      <c r="AC167" s="600" t="inlineStr">
        <is>
          <t>NOS</t>
        </is>
      </c>
      <c r="AD167" s="600" t="n"/>
      <c r="AE167" s="600" t="n"/>
      <c r="AF167" s="601" t="n"/>
      <c r="AG167" s="601" t="n"/>
      <c r="AH167" s="601">
        <f t="array" ref="AH1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7" s="602">
        <f>scheduleapr[[#This Row],[SCHEDULE in nos]]-scheduleapr[[#This Row],[DISPATCH]]</f>
        <v/>
      </c>
      <c r="AJ167" s="599">
        <f>(3.14*(scheduleapr[[#This Row],[ACTUAL OD]]-scheduleapr[[#This Row],[TICKNESS]])*scheduleapr[[#This Row],[TICKNESS]]*scheduleapr[[#This Row],[LENGTH]]*7.85)/1000000*scheduleapr[[#This Row],[SCHEDULE in nos]]/1000</f>
        <v/>
      </c>
      <c r="AK167" s="599">
        <f>(3.14*(scheduleapr[[#This Row],[ACTUAL OD]]-scheduleapr[[#This Row],[TICKNESS]])*scheduleapr[[#This Row],[TICKNESS]]*scheduleapr[[#This Row],[LENGTH]]*7.85)/1000000*scheduleapr[[#This Row],[DISPATCH]]/1000</f>
        <v/>
      </c>
      <c r="AL167" s="599">
        <f>AJ167-AK167</f>
        <v/>
      </c>
      <c r="AM167" s="599">
        <f>scheduleapr[[#This Row],[SCHEDULE in nos]]/scheduleapr[[#This Row],[SCHEDULE IN MT]]*scheduleapr[[#This Row],[CTL Stock]]</f>
        <v/>
      </c>
      <c r="AN167" s="599">
        <f>SUMIFS(stock[MT],stock[Bucket],scheduleapr[[#This Row],[Bucket]],stock[CTL Bucket],scheduleapr[[#This Row],[CTL Bucket]],stock[Plant],"0789")</f>
        <v/>
      </c>
      <c r="AO167" s="599" t="n"/>
      <c r="AP167" s="599">
        <f>SUMIFS(stock[MT],stock[Bucket],scheduleapr[[#This Row],[Bucket]],stock[LL or CTL],"LL")</f>
        <v/>
      </c>
      <c r="AQ167" s="599">
        <f>+SUMIFS(wip[Stock(Net Wt)],wip[Bucket],scheduleapr[[#This Row],[Bucket]])/1000</f>
        <v/>
      </c>
      <c r="AR167" s="599">
        <f>AJ167-AN167</f>
        <v/>
      </c>
      <c r="AS167" s="118" t="n"/>
    </row>
    <row r="168">
      <c r="A168" s="594" t="n">
        <v>757</v>
      </c>
      <c r="B168" s="5" t="inlineStr">
        <is>
          <t>Hosur</t>
        </is>
      </c>
      <c r="C168" s="601" t="inlineStr">
        <is>
          <t>Marathwada v7</t>
        </is>
      </c>
      <c r="D168" s="601" t="inlineStr">
        <is>
          <t>Marathwada</t>
        </is>
      </c>
      <c r="E168" s="601" t="n">
        <v>189002</v>
      </c>
      <c r="F168" s="601" t="n">
        <v>3230487</v>
      </c>
      <c r="G168" s="601">
        <f>_xlfn.CONCAT(scheduleapr[[#This Row],[CUSTOMER CODE]],"-",scheduleapr[[#This Row],[MATERIAL NO]])</f>
        <v/>
      </c>
      <c r="H168" s="601" t="inlineStr">
        <is>
          <t>TUB-S-AW-AUT-19.00X19.00X1.000X0.4000</t>
        </is>
      </c>
      <c r="I168" s="596" t="inlineStr">
        <is>
          <t>CRFH</t>
        </is>
      </c>
      <c r="J168" s="599" t="n"/>
      <c r="K168" s="596" t="inlineStr">
        <is>
          <t>PE</t>
        </is>
      </c>
      <c r="L168" s="601" t="inlineStr">
        <is>
          <t>CR</t>
        </is>
      </c>
      <c r="M168" s="599" t="n"/>
      <c r="N168" s="600" t="n"/>
      <c r="O168" s="601" t="n"/>
      <c r="P168" s="601" t="n"/>
      <c r="Q168" s="557">
        <f>CONCATENATE(scheduleapr[[#This Row],[OD]],"-",scheduleapr[[#This Row],[ID]],"-",scheduleapr[[#This Row],[TICKNESS]],"-",scheduleapr[[#This Row],[Grade]],"-",scheduleapr[[#This Row],[FC/NFC]])</f>
        <v/>
      </c>
      <c r="R168" s="557">
        <f>_xlfn.CONCAT(scheduleapr[[#This Row],[Bucket]],"-",scheduleapr[[#This Row],[LENGTH]]/1000)</f>
        <v/>
      </c>
      <c r="S168" s="557">
        <f>COUNTIF(scheduleapr[CTL Bucket],scheduleapr[[#This Row],[CTL Bucket]])</f>
        <v/>
      </c>
      <c r="T168" s="601" t="inlineStr">
        <is>
          <t>Hosur</t>
        </is>
      </c>
      <c r="U168" s="601" t="n"/>
      <c r="V168" s="601" t="n"/>
      <c r="W168" s="601" t="n"/>
      <c r="X168" s="599" t="n">
        <v>23.42</v>
      </c>
      <c r="Y168" s="599" t="n">
        <v>19</v>
      </c>
      <c r="Z168" s="599" t="n">
        <v>19</v>
      </c>
      <c r="AA168" s="599" t="n">
        <v>1</v>
      </c>
      <c r="AB168" s="600" t="n">
        <v>400</v>
      </c>
      <c r="AC168" s="600" t="inlineStr">
        <is>
          <t>NOS</t>
        </is>
      </c>
      <c r="AD168" s="600" t="n"/>
      <c r="AE168" s="600" t="n"/>
      <c r="AF168" s="601" t="n">
        <v>42000</v>
      </c>
      <c r="AG168" s="601" t="n"/>
      <c r="AH168" s="601">
        <f t="array" ref="AH1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8" s="602">
        <f>scheduleapr[[#This Row],[SCHEDULE in nos]]-scheduleapr[[#This Row],[DISPATCH]]</f>
        <v/>
      </c>
      <c r="AJ168" s="599">
        <f>(3.14*(scheduleapr[[#This Row],[ACTUAL OD]]-scheduleapr[[#This Row],[TICKNESS]])*scheduleapr[[#This Row],[TICKNESS]]*scheduleapr[[#This Row],[LENGTH]]*7.85)/1000000*scheduleapr[[#This Row],[SCHEDULE in nos]]/1000</f>
        <v/>
      </c>
      <c r="AK168" s="599">
        <f>(3.14*(scheduleapr[[#This Row],[ACTUAL OD]]-scheduleapr[[#This Row],[TICKNESS]])*scheduleapr[[#This Row],[TICKNESS]]*scheduleapr[[#This Row],[LENGTH]]*7.85)/1000000*scheduleapr[[#This Row],[DISPATCH]]/1000</f>
        <v/>
      </c>
      <c r="AL168" s="599">
        <f>AJ168-AK168</f>
        <v/>
      </c>
      <c r="AM168" s="599">
        <f>scheduleapr[[#This Row],[SCHEDULE in nos]]/scheduleapr[[#This Row],[SCHEDULE IN MT]]*scheduleapr[[#This Row],[CTL Stock]]</f>
        <v/>
      </c>
      <c r="AN168" s="599">
        <f>SUMIFS(stock[MT],stock[Bucket],scheduleapr[[#This Row],[Bucket]],stock[LL or CTL],"LL")</f>
        <v/>
      </c>
      <c r="AO168" s="599">
        <f>+SUMIFS(wip[Stock(Net Wt)],wip[Bucket],scheduleapr[[#This Row],[Bucket]])/1000</f>
        <v/>
      </c>
      <c r="AP168" s="599">
        <f>AH168-AL168</f>
        <v/>
      </c>
      <c r="AQ168" s="599">
        <f>+SUMIFS(wip[Stock(Net Wt)],wip[Bucket],scheduleapr[[#This Row],[Bucket]])/1000</f>
        <v/>
      </c>
      <c r="AR168" s="599">
        <f>AJ168-AN168</f>
        <v/>
      </c>
      <c r="AS168" s="118" t="n"/>
    </row>
    <row r="169">
      <c r="A169" s="594" t="n">
        <v>135</v>
      </c>
      <c r="B169" s="5" t="inlineStr">
        <is>
          <t>Hosur</t>
        </is>
      </c>
      <c r="C169" s="601" t="inlineStr">
        <is>
          <t>Marathwada v7</t>
        </is>
      </c>
      <c r="D169" s="601" t="inlineStr">
        <is>
          <t>Marathwada</t>
        </is>
      </c>
      <c r="E169" s="601" t="n">
        <v>189002</v>
      </c>
      <c r="F169" s="601" t="n">
        <v>3230488</v>
      </c>
      <c r="G169" s="601">
        <f>_xlfn.CONCAT(scheduleapr[[#This Row],[CUSTOMER CODE]],"-",scheduleapr[[#This Row],[MATERIAL NO]])</f>
        <v/>
      </c>
      <c r="H169" s="601" t="inlineStr">
        <is>
          <t>TUB-S-AW-AUT-19.00X19.00X1.000X0.4700</t>
        </is>
      </c>
      <c r="I169" s="596" t="inlineStr">
        <is>
          <t>CRFH</t>
        </is>
      </c>
      <c r="J169" s="599" t="n"/>
      <c r="K169" s="596" t="inlineStr">
        <is>
          <t>PE</t>
        </is>
      </c>
      <c r="L169" s="601" t="inlineStr">
        <is>
          <t>CR</t>
        </is>
      </c>
      <c r="M169" s="599" t="n"/>
      <c r="N169" s="600" t="n"/>
      <c r="O169" s="601" t="n"/>
      <c r="P169" s="601" t="n"/>
      <c r="Q169" s="557">
        <f>CONCATENATE(scheduleapr[[#This Row],[OD]],"-",scheduleapr[[#This Row],[ID]],"-",scheduleapr[[#This Row],[TICKNESS]],"-",scheduleapr[[#This Row],[Grade]],"-",scheduleapr[[#This Row],[FC/NFC]])</f>
        <v/>
      </c>
      <c r="R169" s="557">
        <f>_xlfn.CONCAT(scheduleapr[[#This Row],[Bucket]],"-",scheduleapr[[#This Row],[LENGTH]]/1000)</f>
        <v/>
      </c>
      <c r="S169" s="557">
        <f>COUNTIF(scheduleapr[CTL Bucket],scheduleapr[[#This Row],[CTL Bucket]])</f>
        <v/>
      </c>
      <c r="T169" s="601" t="inlineStr">
        <is>
          <t>Hosur</t>
        </is>
      </c>
      <c r="U169" s="601" t="n"/>
      <c r="V169" s="557" t="n"/>
      <c r="W169" s="557" t="n"/>
      <c r="X169" s="599" t="n">
        <v>23.42</v>
      </c>
      <c r="Y169" s="599" t="n">
        <v>19</v>
      </c>
      <c r="Z169" s="599" t="n">
        <v>19</v>
      </c>
      <c r="AA169" s="599" t="n">
        <v>1</v>
      </c>
      <c r="AB169" s="600" t="n">
        <v>470</v>
      </c>
      <c r="AC169" s="600" t="inlineStr">
        <is>
          <t>NOS</t>
        </is>
      </c>
      <c r="AD169" s="600" t="n"/>
      <c r="AE169" s="600" t="n"/>
      <c r="AF169" s="601" t="n"/>
      <c r="AG169" s="601" t="n"/>
      <c r="AH169" s="601">
        <f t="array" ref="AH1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69" s="602">
        <f>scheduleapr[[#This Row],[SCHEDULE in nos]]-scheduleapr[[#This Row],[DISPATCH]]</f>
        <v/>
      </c>
      <c r="AJ169" s="599">
        <f>(3.14*(scheduleapr[[#This Row],[ACTUAL OD]]-scheduleapr[[#This Row],[TICKNESS]])*scheduleapr[[#This Row],[TICKNESS]]*scheduleapr[[#This Row],[LENGTH]]*7.85)/1000000*scheduleapr[[#This Row],[SCHEDULE in nos]]/1000</f>
        <v/>
      </c>
      <c r="AK169" s="599">
        <f>(3.14*(scheduleapr[[#This Row],[ACTUAL OD]]-scheduleapr[[#This Row],[TICKNESS]])*scheduleapr[[#This Row],[TICKNESS]]*scheduleapr[[#This Row],[LENGTH]]*7.85)/1000000*scheduleapr[[#This Row],[DISPATCH]]/1000</f>
        <v/>
      </c>
      <c r="AL169" s="599">
        <f>AJ169-AK169</f>
        <v/>
      </c>
      <c r="AM169" s="599">
        <f>scheduleapr[[#This Row],[SCHEDULE in nos]]/scheduleapr[[#This Row],[SCHEDULE IN MT]]*scheduleapr[[#This Row],[CTL Stock]]</f>
        <v/>
      </c>
      <c r="AN169" s="599">
        <f>SUMIFS(stock[MT],stock[Bucket],scheduleapr[[#This Row],[Bucket]],stock[CTL Bucket],scheduleapr[[#This Row],[CTL Bucket]],stock[Plant],"0789")</f>
        <v/>
      </c>
      <c r="AO169" s="599" t="n"/>
      <c r="AP169" s="599">
        <f>SUMIFS(stock[MT],stock[Bucket],scheduleapr[[#This Row],[Bucket]],stock[LL or CTL],"LL")</f>
        <v/>
      </c>
      <c r="AQ169" s="599">
        <f>+SUMIFS(wip[Stock(Net Wt)],wip[Bucket],scheduleapr[[#This Row],[Bucket]])/1000</f>
        <v/>
      </c>
      <c r="AR169" s="599">
        <f>AJ169-AN169</f>
        <v/>
      </c>
      <c r="AS169" s="118" t="n"/>
    </row>
    <row r="170">
      <c r="A170" s="594" t="n">
        <v>756</v>
      </c>
      <c r="B170" s="5" t="inlineStr">
        <is>
          <t>Hosur</t>
        </is>
      </c>
      <c r="C170" s="601" t="inlineStr">
        <is>
          <t>Marathwada v7</t>
        </is>
      </c>
      <c r="D170" s="601" t="inlineStr">
        <is>
          <t>Marathwada</t>
        </is>
      </c>
      <c r="E170" s="601" t="n">
        <v>189002</v>
      </c>
      <c r="F170" s="601" t="n">
        <v>3230488</v>
      </c>
      <c r="G170" s="601">
        <f>_xlfn.CONCAT(scheduleapr[[#This Row],[CUSTOMER CODE]],"-",scheduleapr[[#This Row],[MATERIAL NO]])</f>
        <v/>
      </c>
      <c r="H170" s="601" t="inlineStr">
        <is>
          <t>TUB-S-AW-AUT-19.00X19.00X1.000X0.4700</t>
        </is>
      </c>
      <c r="I170" s="596" t="inlineStr">
        <is>
          <t>CRFH</t>
        </is>
      </c>
      <c r="J170" s="599" t="n"/>
      <c r="K170" s="596" t="inlineStr">
        <is>
          <t>PE</t>
        </is>
      </c>
      <c r="L170" s="601" t="inlineStr">
        <is>
          <t>CR</t>
        </is>
      </c>
      <c r="M170" s="599" t="n"/>
      <c r="N170" s="600" t="n"/>
      <c r="O170" s="601" t="n"/>
      <c r="P170" s="601" t="n"/>
      <c r="Q170" s="557">
        <f>CONCATENATE(scheduleapr[[#This Row],[OD]],"-",scheduleapr[[#This Row],[ID]],"-",scheduleapr[[#This Row],[TICKNESS]],"-",scheduleapr[[#This Row],[Grade]],"-",scheduleapr[[#This Row],[FC/NFC]])</f>
        <v/>
      </c>
      <c r="R170" s="557">
        <f>_xlfn.CONCAT(scheduleapr[[#This Row],[Bucket]],"-",scheduleapr[[#This Row],[LENGTH]]/1000)</f>
        <v/>
      </c>
      <c r="S170" s="557">
        <f>COUNTIF(scheduleapr[CTL Bucket],scheduleapr[[#This Row],[CTL Bucket]])</f>
        <v/>
      </c>
      <c r="T170" s="601" t="inlineStr">
        <is>
          <t>Hosur</t>
        </is>
      </c>
      <c r="U170" s="601" t="n"/>
      <c r="V170" s="601" t="n"/>
      <c r="W170" s="601" t="n"/>
      <c r="X170" s="599" t="n">
        <v>23.42</v>
      </c>
      <c r="Y170" s="599" t="n">
        <v>19</v>
      </c>
      <c r="Z170" s="599" t="n">
        <v>19</v>
      </c>
      <c r="AA170" s="599" t="n">
        <v>1</v>
      </c>
      <c r="AB170" s="600" t="n">
        <v>470</v>
      </c>
      <c r="AC170" s="600" t="inlineStr">
        <is>
          <t>NOS</t>
        </is>
      </c>
      <c r="AD170" s="600" t="n"/>
      <c r="AE170" s="600" t="n"/>
      <c r="AF170" s="601" t="n">
        <v>14000</v>
      </c>
      <c r="AG170" s="601" t="n"/>
      <c r="AH170" s="601">
        <f t="array" ref="AH1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0" s="602">
        <f>scheduleapr[[#This Row],[SCHEDULE in nos]]-scheduleapr[[#This Row],[DISPATCH]]</f>
        <v/>
      </c>
      <c r="AJ170" s="599">
        <f>(3.14*(scheduleapr[[#This Row],[ACTUAL OD]]-scheduleapr[[#This Row],[TICKNESS]])*scheduleapr[[#This Row],[TICKNESS]]*scheduleapr[[#This Row],[LENGTH]]*7.85)/1000000*scheduleapr[[#This Row],[SCHEDULE in nos]]/1000</f>
        <v/>
      </c>
      <c r="AK170" s="599">
        <f>(3.14*(scheduleapr[[#This Row],[ACTUAL OD]]-scheduleapr[[#This Row],[TICKNESS]])*scheduleapr[[#This Row],[TICKNESS]]*scheduleapr[[#This Row],[LENGTH]]*7.85)/1000000*scheduleapr[[#This Row],[DISPATCH]]/1000</f>
        <v/>
      </c>
      <c r="AL170" s="599">
        <f>AJ170-AK170</f>
        <v/>
      </c>
      <c r="AM170" s="599">
        <f>scheduleapr[[#This Row],[SCHEDULE in nos]]/scheduleapr[[#This Row],[SCHEDULE IN MT]]*scheduleapr[[#This Row],[CTL Stock]]</f>
        <v/>
      </c>
      <c r="AN170" s="599">
        <f>SUMIFS(stock[MT],stock[Bucket],scheduleapr[[#This Row],[Bucket]],stock[LL or CTL],"LL")</f>
        <v/>
      </c>
      <c r="AO170" s="599">
        <f>+SUMIFS(wip[Stock(Net Wt)],wip[Bucket],scheduleapr[[#This Row],[Bucket]])/1000</f>
        <v/>
      </c>
      <c r="AP170" s="599">
        <f>AH170-AL170</f>
        <v/>
      </c>
      <c r="AQ170" s="599">
        <f>+SUMIFS(wip[Stock(Net Wt)],wip[Bucket],scheduleapr[[#This Row],[Bucket]])/1000</f>
        <v/>
      </c>
      <c r="AR170" s="599">
        <f>AJ170-AN170</f>
        <v/>
      </c>
      <c r="AS170" s="118" t="n"/>
    </row>
    <row r="171">
      <c r="A171" s="594" t="n">
        <v>134</v>
      </c>
      <c r="B171" s="5" t="inlineStr">
        <is>
          <t>Hosur</t>
        </is>
      </c>
      <c r="C171" s="601" t="inlineStr">
        <is>
          <t>Marathwada v7</t>
        </is>
      </c>
      <c r="D171" s="601" t="inlineStr">
        <is>
          <t>Marathwada</t>
        </is>
      </c>
      <c r="E171" s="601" t="n">
        <v>189002</v>
      </c>
      <c r="F171" s="601" t="n">
        <v>3234371</v>
      </c>
      <c r="G171" s="601">
        <f>_xlfn.CONCAT(scheduleapr[[#This Row],[CUSTOMER CODE]],"-",scheduleapr[[#This Row],[MATERIAL NO]])</f>
        <v/>
      </c>
      <c r="H171" s="601" t="inlineStr">
        <is>
          <t>TUB-S-AW-AUT-19.00X19.00X1.000X0.4620</t>
        </is>
      </c>
      <c r="I171" s="596" t="inlineStr">
        <is>
          <t>CRFH</t>
        </is>
      </c>
      <c r="J171" s="599" t="n"/>
      <c r="K171" s="596" t="inlineStr">
        <is>
          <t>PE</t>
        </is>
      </c>
      <c r="L171" s="601" t="inlineStr">
        <is>
          <t>CR</t>
        </is>
      </c>
      <c r="M171" s="599" t="n"/>
      <c r="N171" s="600" t="n"/>
      <c r="O171" s="601" t="n"/>
      <c r="P171" s="601" t="n"/>
      <c r="Q171" s="557">
        <f>CONCATENATE(scheduleapr[[#This Row],[OD]],"-",scheduleapr[[#This Row],[ID]],"-",scheduleapr[[#This Row],[TICKNESS]],"-",scheduleapr[[#This Row],[Grade]],"-",scheduleapr[[#This Row],[FC/NFC]])</f>
        <v/>
      </c>
      <c r="R171" s="557">
        <f>_xlfn.CONCAT(scheduleapr[[#This Row],[Bucket]],"-",scheduleapr[[#This Row],[LENGTH]]/1000)</f>
        <v/>
      </c>
      <c r="S171" s="557">
        <f>COUNTIF(scheduleapr[CTL Bucket],scheduleapr[[#This Row],[CTL Bucket]])</f>
        <v/>
      </c>
      <c r="T171" s="601" t="inlineStr">
        <is>
          <t>Hosur</t>
        </is>
      </c>
      <c r="U171" s="601" t="n"/>
      <c r="V171" s="557" t="n"/>
      <c r="W171" s="557" t="n"/>
      <c r="X171" s="599" t="n">
        <v>23.42</v>
      </c>
      <c r="Y171" s="599" t="n">
        <v>19</v>
      </c>
      <c r="Z171" s="599" t="n">
        <v>19</v>
      </c>
      <c r="AA171" s="599" t="n">
        <v>1</v>
      </c>
      <c r="AB171" s="600" t="n">
        <v>540</v>
      </c>
      <c r="AC171" s="600" t="inlineStr">
        <is>
          <t>NOS</t>
        </is>
      </c>
      <c r="AD171" s="600" t="n"/>
      <c r="AE171" s="600" t="n"/>
      <c r="AF171" s="601" t="n"/>
      <c r="AG171" s="601" t="n"/>
      <c r="AH171" s="601">
        <f t="array" ref="AH1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1" s="602">
        <f>scheduleapr[[#This Row],[SCHEDULE in nos]]-scheduleapr[[#This Row],[DISPATCH]]</f>
        <v/>
      </c>
      <c r="AJ171" s="599">
        <f>(3.14*(scheduleapr[[#This Row],[ACTUAL OD]]-scheduleapr[[#This Row],[TICKNESS]])*scheduleapr[[#This Row],[TICKNESS]]*scheduleapr[[#This Row],[LENGTH]]*7.85)/1000000*scheduleapr[[#This Row],[SCHEDULE in nos]]/1000</f>
        <v/>
      </c>
      <c r="AK171" s="599">
        <f>(3.14*(scheduleapr[[#This Row],[ACTUAL OD]]-scheduleapr[[#This Row],[TICKNESS]])*scheduleapr[[#This Row],[TICKNESS]]*scheduleapr[[#This Row],[LENGTH]]*7.85)/1000000*scheduleapr[[#This Row],[DISPATCH]]/1000</f>
        <v/>
      </c>
      <c r="AL171" s="599">
        <f>AJ171-AK171</f>
        <v/>
      </c>
      <c r="AM171" s="599">
        <f>scheduleapr[[#This Row],[SCHEDULE in nos]]/scheduleapr[[#This Row],[SCHEDULE IN MT]]*scheduleapr[[#This Row],[CTL Stock]]</f>
        <v/>
      </c>
      <c r="AN171" s="599">
        <f>SUMIFS(stock[MT],stock[Bucket],scheduleapr[[#This Row],[Bucket]],stock[CTL Bucket],scheduleapr[[#This Row],[CTL Bucket]],stock[Plant],"0789")</f>
        <v/>
      </c>
      <c r="AO171" s="599" t="n"/>
      <c r="AP171" s="599">
        <f>SUMIFS(stock[MT],stock[Bucket],scheduleapr[[#This Row],[Bucket]],stock[LL or CTL],"LL")</f>
        <v/>
      </c>
      <c r="AQ171" s="599">
        <f>+SUMIFS(wip[Stock(Net Wt)],wip[Bucket],scheduleapr[[#This Row],[Bucket]])/1000</f>
        <v/>
      </c>
      <c r="AR171" s="599">
        <f>AJ171-AN171</f>
        <v/>
      </c>
      <c r="AS171" s="118" t="n"/>
    </row>
    <row r="172">
      <c r="A172" s="594" t="n">
        <v>776</v>
      </c>
      <c r="B172" s="5" t="inlineStr">
        <is>
          <t>Hosur</t>
        </is>
      </c>
      <c r="C172" s="601" t="inlineStr">
        <is>
          <t>Marathwada v7</t>
        </is>
      </c>
      <c r="D172" s="601" t="inlineStr">
        <is>
          <t>Marathwada</t>
        </is>
      </c>
      <c r="E172" s="601" t="n">
        <v>189002</v>
      </c>
      <c r="F172" s="601" t="n">
        <v>3571870</v>
      </c>
      <c r="G172" s="601">
        <f>_xlfn.CONCAT(scheduleapr[[#This Row],[CUSTOMER CODE]],"-",scheduleapr[[#This Row],[MATERIAL NO]])</f>
        <v/>
      </c>
      <c r="H172" s="601" t="inlineStr">
        <is>
          <t>TUB-S-AW-AUT-19.00X19.00X1.000X0.5400</t>
        </is>
      </c>
      <c r="I172" s="596" t="inlineStr">
        <is>
          <t>CRFH</t>
        </is>
      </c>
      <c r="J172" s="599" t="n"/>
      <c r="K172" s="596" t="inlineStr">
        <is>
          <t>PE</t>
        </is>
      </c>
      <c r="L172" s="601" t="inlineStr">
        <is>
          <t>CR</t>
        </is>
      </c>
      <c r="M172" s="599" t="n"/>
      <c r="N172" s="600" t="n"/>
      <c r="O172" s="601" t="n"/>
      <c r="P172" s="601" t="n"/>
      <c r="Q172" s="557">
        <f>CONCATENATE(scheduleapr[[#This Row],[OD]],"-",scheduleapr[[#This Row],[ID]],"-",scheduleapr[[#This Row],[TICKNESS]],"-",scheduleapr[[#This Row],[Grade]],"-",scheduleapr[[#This Row],[FC/NFC]])</f>
        <v/>
      </c>
      <c r="R172" s="557">
        <f>_xlfn.CONCAT(scheduleapr[[#This Row],[Bucket]],"-",scheduleapr[[#This Row],[LENGTH]]/1000)</f>
        <v/>
      </c>
      <c r="S172" s="557">
        <f>COUNTIF(scheduleapr[CTL Bucket],scheduleapr[[#This Row],[CTL Bucket]])</f>
        <v/>
      </c>
      <c r="T172" s="601" t="inlineStr">
        <is>
          <t>Hosur</t>
        </is>
      </c>
      <c r="U172" s="601" t="n"/>
      <c r="V172" s="601" t="n"/>
      <c r="W172" s="601" t="n"/>
      <c r="X172" s="599" t="n">
        <v>23.42</v>
      </c>
      <c r="Y172" s="599" t="n">
        <v>19</v>
      </c>
      <c r="Z172" s="599" t="n">
        <v>19</v>
      </c>
      <c r="AA172" s="599" t="n">
        <v>1</v>
      </c>
      <c r="AB172" s="600" t="n">
        <v>540</v>
      </c>
      <c r="AC172" s="81" t="inlineStr">
        <is>
          <t>NOS</t>
        </is>
      </c>
      <c r="AD172" s="81" t="n"/>
      <c r="AE172" s="81" t="n"/>
      <c r="AF172" s="601" t="n">
        <v>14000</v>
      </c>
      <c r="AG172" s="601" t="n"/>
      <c r="AH172" s="601">
        <f t="array" ref="AH1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2" s="602">
        <f>scheduleapr[[#This Row],[SCHEDULE in nos]]-scheduleapr[[#This Row],[DISPATCH]]</f>
        <v/>
      </c>
      <c r="AJ172" s="599">
        <f>(3.14*(scheduleapr[[#This Row],[ACTUAL OD]]-scheduleapr[[#This Row],[TICKNESS]])*scheduleapr[[#This Row],[TICKNESS]]*scheduleapr[[#This Row],[LENGTH]]*7.85)/1000000*scheduleapr[[#This Row],[SCHEDULE in nos]]/1000</f>
        <v/>
      </c>
      <c r="AK172" s="599">
        <f>(3.14*(scheduleapr[[#This Row],[ACTUAL OD]]-scheduleapr[[#This Row],[TICKNESS]])*scheduleapr[[#This Row],[TICKNESS]]*scheduleapr[[#This Row],[LENGTH]]*7.85)/1000000*scheduleapr[[#This Row],[DISPATCH]]/1000</f>
        <v/>
      </c>
      <c r="AL172" s="599">
        <f>AJ172-AK172</f>
        <v/>
      </c>
      <c r="AM172" s="599">
        <f>scheduleapr[[#This Row],[SCHEDULE in nos]]/scheduleapr[[#This Row],[SCHEDULE IN MT]]*scheduleapr[[#This Row],[CTL Stock]]</f>
        <v/>
      </c>
      <c r="AN172" s="599">
        <f>SUMIFS(stock[MT],stock[Bucket],scheduleapr[[#This Row],[Bucket]],stock[LL or CTL],"LL")</f>
        <v/>
      </c>
      <c r="AO172" s="599">
        <f>+SUMIFS(wip[Stock(Net Wt)],wip[Bucket],scheduleapr[[#This Row],[Bucket]])/1000</f>
        <v/>
      </c>
      <c r="AP172" s="599">
        <f>AH172-AL172</f>
        <v/>
      </c>
      <c r="AQ172" s="599">
        <f>+SUMIFS(wip[Stock(Net Wt)],wip[Bucket],scheduleapr[[#This Row],[Bucket]])/1000</f>
        <v/>
      </c>
      <c r="AR172" s="599">
        <f>AJ172-AN172</f>
        <v/>
      </c>
      <c r="AS172" s="118" t="n"/>
    </row>
    <row r="173">
      <c r="A173" s="594" t="n">
        <v>136</v>
      </c>
      <c r="B173" s="5" t="inlineStr">
        <is>
          <t>Hosur</t>
        </is>
      </c>
      <c r="C173" s="601" t="inlineStr">
        <is>
          <t>Marathwada</t>
        </is>
      </c>
      <c r="D173" s="601" t="inlineStr">
        <is>
          <t>Marathwada</t>
        </is>
      </c>
      <c r="E173" s="601" t="n">
        <v>189002</v>
      </c>
      <c r="F173" s="601" t="n">
        <v>3605740</v>
      </c>
      <c r="G173" s="601">
        <f>_xlfn.CONCAT(scheduleapr[[#This Row],[CUSTOMER CODE]],"-",scheduleapr[[#This Row],[MATERIAL NO]])</f>
        <v/>
      </c>
      <c r="H173" s="601" t="inlineStr">
        <is>
          <t>TUB-S-AW-AUT-19.00X19.00X1.010X0.6750</t>
        </is>
      </c>
      <c r="I173" s="596" t="inlineStr">
        <is>
          <t>CRFH</t>
        </is>
      </c>
      <c r="J173" s="599" t="n"/>
      <c r="K173" s="596" t="inlineStr">
        <is>
          <t>PE</t>
        </is>
      </c>
      <c r="L173" s="601" t="inlineStr">
        <is>
          <t>CR</t>
        </is>
      </c>
      <c r="M173" s="599" t="n"/>
      <c r="N173" s="600" t="n"/>
      <c r="O173" s="601" t="n"/>
      <c r="P173" s="601" t="n"/>
      <c r="Q173" s="557">
        <f>CONCATENATE(scheduleapr[[#This Row],[OD]],"-",scheduleapr[[#This Row],[ID]],"-",scheduleapr[[#This Row],[TICKNESS]],"-",scheduleapr[[#This Row],[Grade]],"-",scheduleapr[[#This Row],[FC/NFC]])</f>
        <v/>
      </c>
      <c r="R173" s="557">
        <f>_xlfn.CONCAT(scheduleapr[[#This Row],[Bucket]],"-",scheduleapr[[#This Row],[LENGTH]]/1000)</f>
        <v/>
      </c>
      <c r="S173" s="557">
        <f>COUNTIF(scheduleapr[CTL Bucket],scheduleapr[[#This Row],[CTL Bucket]])</f>
        <v/>
      </c>
      <c r="T173" s="601" t="inlineStr">
        <is>
          <t>Hosur</t>
        </is>
      </c>
      <c r="U173" s="601" t="n"/>
      <c r="V173" s="557" t="n"/>
      <c r="W173" s="557" t="n"/>
      <c r="X173" s="599" t="n">
        <v>23.42</v>
      </c>
      <c r="Y173" s="599" t="n">
        <v>19</v>
      </c>
      <c r="Z173" s="599" t="n">
        <v>19</v>
      </c>
      <c r="AA173" s="599" t="n">
        <v>1</v>
      </c>
      <c r="AB173" s="600" t="n">
        <v>675</v>
      </c>
      <c r="AC173" s="600" t="inlineStr">
        <is>
          <t>NOS</t>
        </is>
      </c>
      <c r="AD173" s="600" t="n"/>
      <c r="AE173" s="600" t="n"/>
      <c r="AF173" s="601" t="n"/>
      <c r="AG173" s="601" t="n"/>
      <c r="AH173" s="601">
        <f t="array" ref="AH1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3" s="602">
        <f>scheduleapr[[#This Row],[SCHEDULE in nos]]-scheduleapr[[#This Row],[DISPATCH]]</f>
        <v/>
      </c>
      <c r="AJ173" s="599">
        <f>(3.14*(scheduleapr[[#This Row],[ACTUAL OD]]-scheduleapr[[#This Row],[TICKNESS]])*scheduleapr[[#This Row],[TICKNESS]]*scheduleapr[[#This Row],[LENGTH]]*7.85)/1000000*scheduleapr[[#This Row],[SCHEDULE in nos]]/1000</f>
        <v/>
      </c>
      <c r="AK173" s="599">
        <f>(3.14*(scheduleapr[[#This Row],[ACTUAL OD]]-scheduleapr[[#This Row],[TICKNESS]])*scheduleapr[[#This Row],[TICKNESS]]*scheduleapr[[#This Row],[LENGTH]]*7.85)/1000000*scheduleapr[[#This Row],[DISPATCH]]/1000</f>
        <v/>
      </c>
      <c r="AL173" s="599">
        <f>AJ173-AK173</f>
        <v/>
      </c>
      <c r="AM173" s="599">
        <f>scheduleapr[[#This Row],[SCHEDULE in nos]]/scheduleapr[[#This Row],[SCHEDULE IN MT]]*scheduleapr[[#This Row],[CTL Stock]]</f>
        <v/>
      </c>
      <c r="AN173" s="599">
        <f>SUMIFS(stock[MT],stock[Bucket],scheduleapr[[#This Row],[Bucket]],stock[CTL Bucket],scheduleapr[[#This Row],[CTL Bucket]],stock[Plant],"0789")</f>
        <v/>
      </c>
      <c r="AO173" s="599" t="n"/>
      <c r="AP173" s="599">
        <f>SUMIFS(stock[MT],stock[Bucket],scheduleapr[[#This Row],[Bucket]],stock[LL or CTL],"LL")</f>
        <v/>
      </c>
      <c r="AQ173" s="599">
        <f>+SUMIFS(wip[Stock(Net Wt)],wip[Bucket],scheduleapr[[#This Row],[Bucket]])/1000</f>
        <v/>
      </c>
      <c r="AR173" s="599">
        <f>AJ173-AN173</f>
        <v/>
      </c>
      <c r="AS173" s="118" t="n"/>
    </row>
    <row r="174">
      <c r="A174" s="594" t="n">
        <v>137</v>
      </c>
      <c r="B174" s="5" t="inlineStr">
        <is>
          <t>Hosur</t>
        </is>
      </c>
      <c r="C174" s="601" t="inlineStr">
        <is>
          <t>Marathwada v7</t>
        </is>
      </c>
      <c r="D174" s="601" t="inlineStr">
        <is>
          <t>Marathwada</t>
        </is>
      </c>
      <c r="E174" s="601" t="n">
        <v>189002</v>
      </c>
      <c r="F174" s="601" t="n">
        <v>3230491</v>
      </c>
      <c r="G174" s="601">
        <f>_xlfn.CONCAT(scheduleapr[[#This Row],[CUSTOMER CODE]],"-",scheduleapr[[#This Row],[MATERIAL NO]])</f>
        <v/>
      </c>
      <c r="H174" s="601" t="inlineStr">
        <is>
          <t>TUB-S-AW-AUT-19.00X19.00X1.000X0.6820</t>
        </is>
      </c>
      <c r="I174" s="596" t="inlineStr">
        <is>
          <t>CRFH</t>
        </is>
      </c>
      <c r="J174" s="599" t="n"/>
      <c r="K174" s="596" t="inlineStr">
        <is>
          <t>PE</t>
        </is>
      </c>
      <c r="L174" s="601" t="inlineStr">
        <is>
          <t>CR</t>
        </is>
      </c>
      <c r="M174" s="599" t="n"/>
      <c r="N174" s="600" t="n"/>
      <c r="O174" s="601" t="n"/>
      <c r="P174" s="601" t="n"/>
      <c r="Q174" s="557">
        <f>CONCATENATE(scheduleapr[[#This Row],[OD]],"-",scheduleapr[[#This Row],[ID]],"-",scheduleapr[[#This Row],[TICKNESS]],"-",scheduleapr[[#This Row],[Grade]],"-",scheduleapr[[#This Row],[FC/NFC]])</f>
        <v/>
      </c>
      <c r="R174" s="557">
        <f>_xlfn.CONCAT(scheduleapr[[#This Row],[Bucket]],"-",scheduleapr[[#This Row],[LENGTH]]/1000)</f>
        <v/>
      </c>
      <c r="S174" s="557">
        <f>COUNTIF(scheduleapr[CTL Bucket],scheduleapr[[#This Row],[CTL Bucket]])</f>
        <v/>
      </c>
      <c r="T174" s="601" t="inlineStr">
        <is>
          <t>Hosur</t>
        </is>
      </c>
      <c r="U174" s="557" t="n"/>
      <c r="V174" s="557" t="n"/>
      <c r="W174" s="557" t="n"/>
      <c r="X174" s="599" t="n">
        <v>23.42</v>
      </c>
      <c r="Y174" s="599" t="n">
        <v>19</v>
      </c>
      <c r="Z174" s="599" t="n">
        <v>19</v>
      </c>
      <c r="AA174" s="599" t="n">
        <v>1</v>
      </c>
      <c r="AB174" s="600" t="n">
        <v>682</v>
      </c>
      <c r="AC174" s="600" t="inlineStr">
        <is>
          <t>NOS</t>
        </is>
      </c>
      <c r="AD174" s="600" t="n"/>
      <c r="AE174" s="600" t="n"/>
      <c r="AF174" s="601" t="n"/>
      <c r="AG174" s="601" t="n"/>
      <c r="AH174" s="601">
        <f t="array" ref="AH1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4" s="602">
        <f>scheduleapr[[#This Row],[SCHEDULE in nos]]-scheduleapr[[#This Row],[DISPATCH]]</f>
        <v/>
      </c>
      <c r="AJ174" s="599">
        <f>(3.14*(scheduleapr[[#This Row],[ACTUAL OD]]-scheduleapr[[#This Row],[TICKNESS]])*scheduleapr[[#This Row],[TICKNESS]]*scheduleapr[[#This Row],[LENGTH]]*7.85)/1000000*scheduleapr[[#This Row],[SCHEDULE in nos]]/1000</f>
        <v/>
      </c>
      <c r="AK174" s="599">
        <f>(3.14*(scheduleapr[[#This Row],[ACTUAL OD]]-scheduleapr[[#This Row],[TICKNESS]])*scheduleapr[[#This Row],[TICKNESS]]*scheduleapr[[#This Row],[LENGTH]]*7.85)/1000000*scheduleapr[[#This Row],[DISPATCH]]/1000</f>
        <v/>
      </c>
      <c r="AL174" s="599">
        <f>AJ174-AK174</f>
        <v/>
      </c>
      <c r="AM174" s="599">
        <f>scheduleapr[[#This Row],[SCHEDULE in nos]]/scheduleapr[[#This Row],[SCHEDULE IN MT]]*scheduleapr[[#This Row],[CTL Stock]]</f>
        <v/>
      </c>
      <c r="AN174" s="599">
        <f>SUMIFS(stock[MT],stock[Bucket],scheduleapr[[#This Row],[Bucket]],stock[CTL Bucket],scheduleapr[[#This Row],[CTL Bucket]],stock[Plant],"0789")</f>
        <v/>
      </c>
      <c r="AO174" s="599" t="n"/>
      <c r="AP174" s="599">
        <f>SUMIFS(stock[MT],stock[Bucket],scheduleapr[[#This Row],[Bucket]],stock[LL or CTL],"LL")</f>
        <v/>
      </c>
      <c r="AQ174" s="599">
        <f>+SUMIFS(wip[Stock(Net Wt)],wip[Bucket],scheduleapr[[#This Row],[Bucket]])/1000</f>
        <v/>
      </c>
      <c r="AR174" s="599">
        <f>AJ174-AN174</f>
        <v/>
      </c>
      <c r="AS174" s="118" t="n"/>
    </row>
    <row r="175">
      <c r="A175" s="594" t="n">
        <v>761</v>
      </c>
      <c r="B175" s="5" t="inlineStr">
        <is>
          <t>Hosur</t>
        </is>
      </c>
      <c r="C175" s="601" t="inlineStr">
        <is>
          <t>Marathwada v7</t>
        </is>
      </c>
      <c r="D175" s="601" t="inlineStr">
        <is>
          <t>Marathwada</t>
        </is>
      </c>
      <c r="E175" s="601" t="n">
        <v>189002</v>
      </c>
      <c r="F175" s="601" t="n">
        <v>4151426</v>
      </c>
      <c r="G175" s="601">
        <f>_xlfn.CONCAT(scheduleapr[[#This Row],[CUSTOMER CODE]],"-",scheduleapr[[#This Row],[MATERIAL NO]])</f>
        <v/>
      </c>
      <c r="H175" s="601" t="inlineStr">
        <is>
          <t>TUB-S-AW-AUT-19.00X19.00X1.000X0.7550</t>
        </is>
      </c>
      <c r="I175" s="596" t="inlineStr">
        <is>
          <t>CRFH</t>
        </is>
      </c>
      <c r="J175" s="599" t="n"/>
      <c r="K175" s="596" t="inlineStr">
        <is>
          <t>PE</t>
        </is>
      </c>
      <c r="L175" s="601" t="inlineStr">
        <is>
          <t>CR</t>
        </is>
      </c>
      <c r="M175" s="599" t="n"/>
      <c r="N175" s="600" t="n"/>
      <c r="O175" s="601" t="n"/>
      <c r="P175" s="601" t="n"/>
      <c r="Q175" s="557">
        <f>CONCATENATE(scheduleapr[[#This Row],[OD]],"-",scheduleapr[[#This Row],[ID]],"-",scheduleapr[[#This Row],[TICKNESS]],"-",scheduleapr[[#This Row],[Grade]],"-",scheduleapr[[#This Row],[FC/NFC]])</f>
        <v/>
      </c>
      <c r="R175" s="557">
        <f>_xlfn.CONCAT(scheduleapr[[#This Row],[Bucket]],"-",scheduleapr[[#This Row],[LENGTH]]/1000)</f>
        <v/>
      </c>
      <c r="S175" s="557">
        <f>COUNTIF(scheduleapr[CTL Bucket],scheduleapr[[#This Row],[CTL Bucket]])</f>
        <v/>
      </c>
      <c r="T175" s="601" t="inlineStr">
        <is>
          <t>Hosur</t>
        </is>
      </c>
      <c r="U175" s="601" t="n"/>
      <c r="V175" s="601" t="n"/>
      <c r="W175" s="601" t="n"/>
      <c r="X175" s="599" t="n">
        <v>23.42</v>
      </c>
      <c r="Y175" s="599" t="n">
        <v>19</v>
      </c>
      <c r="Z175" s="599" t="n">
        <v>19</v>
      </c>
      <c r="AA175" s="599" t="n">
        <v>1</v>
      </c>
      <c r="AB175" s="600" t="n">
        <v>755</v>
      </c>
      <c r="AC175" s="600" t="inlineStr">
        <is>
          <t>NOS</t>
        </is>
      </c>
      <c r="AD175" s="600" t="n"/>
      <c r="AE175" s="600" t="n"/>
      <c r="AF175" s="601" t="n"/>
      <c r="AG175" s="601" t="n"/>
      <c r="AH175" s="601">
        <f t="array" ref="AH1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5" s="602">
        <f>scheduleapr[[#This Row],[SCHEDULE in nos]]-scheduleapr[[#This Row],[DISPATCH]]</f>
        <v/>
      </c>
      <c r="AJ175" s="599">
        <f>(3.14*(scheduleapr[[#This Row],[ACTUAL OD]]-scheduleapr[[#This Row],[TICKNESS]])*scheduleapr[[#This Row],[TICKNESS]]*scheduleapr[[#This Row],[LENGTH]]*7.85)/1000000*scheduleapr[[#This Row],[SCHEDULE in nos]]/1000</f>
        <v/>
      </c>
      <c r="AK175" s="599">
        <f>(3.14*(scheduleapr[[#This Row],[ACTUAL OD]]-scheduleapr[[#This Row],[TICKNESS]])*scheduleapr[[#This Row],[TICKNESS]]*scheduleapr[[#This Row],[LENGTH]]*7.85)/1000000*scheduleapr[[#This Row],[DISPATCH]]/1000</f>
        <v/>
      </c>
      <c r="AL175" s="599">
        <f>AJ175-AK175</f>
        <v/>
      </c>
      <c r="AM175" s="599">
        <f>scheduleapr[[#This Row],[SCHEDULE in nos]]/scheduleapr[[#This Row],[SCHEDULE IN MT]]*scheduleapr[[#This Row],[CTL Stock]]</f>
        <v/>
      </c>
      <c r="AN175" s="599">
        <f>SUMIFS(stock[MT],stock[Bucket],scheduleapr[[#This Row],[Bucket]],stock[LL or CTL],"LL")</f>
        <v/>
      </c>
      <c r="AO175" s="599">
        <f>+SUMIFS(wip[Stock(Net Wt)],wip[Bucket],scheduleapr[[#This Row],[Bucket]])/1000</f>
        <v/>
      </c>
      <c r="AP175" s="599">
        <f>AH175-AL175</f>
        <v/>
      </c>
      <c r="AQ175" s="599">
        <f>+SUMIFS(wip[Stock(Net Wt)],wip[Bucket],scheduleapr[[#This Row],[Bucket]])/1000</f>
        <v/>
      </c>
      <c r="AR175" s="599">
        <f>AJ175-AN175</f>
        <v/>
      </c>
      <c r="AS175" s="118" t="n"/>
    </row>
    <row r="176">
      <c r="A176" s="594" t="n">
        <v>755</v>
      </c>
      <c r="B176" s="5" t="inlineStr">
        <is>
          <t>Hosur</t>
        </is>
      </c>
      <c r="C176" s="601" t="inlineStr">
        <is>
          <t>Marathwada v7</t>
        </is>
      </c>
      <c r="D176" s="601" t="inlineStr">
        <is>
          <t>Marathwada</t>
        </is>
      </c>
      <c r="E176" s="601" t="n">
        <v>189002</v>
      </c>
      <c r="F176" s="601" t="n">
        <v>4151429</v>
      </c>
      <c r="G176" s="601">
        <f>_xlfn.CONCAT(scheduleapr[[#This Row],[CUSTOMER CODE]],"-",scheduleapr[[#This Row],[MATERIAL NO]])</f>
        <v/>
      </c>
      <c r="H176" s="601" t="inlineStr">
        <is>
          <t>TUB-S-AW-AUT-19.00X19.00X1.000X0.7950</t>
        </is>
      </c>
      <c r="I176" s="596" t="inlineStr">
        <is>
          <t>CRFH</t>
        </is>
      </c>
      <c r="J176" s="599" t="n"/>
      <c r="K176" s="596" t="inlineStr">
        <is>
          <t>PE</t>
        </is>
      </c>
      <c r="L176" s="601" t="inlineStr">
        <is>
          <t>CR</t>
        </is>
      </c>
      <c r="M176" s="599" t="n"/>
      <c r="N176" s="600" t="n"/>
      <c r="O176" s="601" t="n"/>
      <c r="P176" s="601" t="n"/>
      <c r="Q176" s="557">
        <f>CONCATENATE(scheduleapr[[#This Row],[OD]],"-",scheduleapr[[#This Row],[ID]],"-",scheduleapr[[#This Row],[TICKNESS]],"-",scheduleapr[[#This Row],[Grade]],"-",scheduleapr[[#This Row],[FC/NFC]])</f>
        <v/>
      </c>
      <c r="R176" s="557">
        <f>_xlfn.CONCAT(scheduleapr[[#This Row],[Bucket]],"-",scheduleapr[[#This Row],[LENGTH]]/1000)</f>
        <v/>
      </c>
      <c r="S176" s="557">
        <f>COUNTIF(scheduleapr[CTL Bucket],scheduleapr[[#This Row],[CTL Bucket]])</f>
        <v/>
      </c>
      <c r="T176" s="601" t="inlineStr">
        <is>
          <t>Hosur</t>
        </is>
      </c>
      <c r="U176" s="601" t="n"/>
      <c r="V176" s="601" t="n"/>
      <c r="W176" s="601" t="n"/>
      <c r="X176" s="599" t="n">
        <v>23.42</v>
      </c>
      <c r="Y176" s="599" t="n">
        <v>19</v>
      </c>
      <c r="Z176" s="599" t="n">
        <v>19</v>
      </c>
      <c r="AA176" s="599" t="n">
        <v>1</v>
      </c>
      <c r="AB176" s="600" t="n">
        <v>795</v>
      </c>
      <c r="AC176" s="600" t="inlineStr">
        <is>
          <t>NOS</t>
        </is>
      </c>
      <c r="AD176" s="600" t="n"/>
      <c r="AE176" s="600" t="n"/>
      <c r="AF176" s="601" t="n"/>
      <c r="AG176" s="601" t="n"/>
      <c r="AH176" s="601">
        <f t="array" ref="AH1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6" s="602">
        <f>scheduleapr[[#This Row],[SCHEDULE in nos]]-scheduleapr[[#This Row],[DISPATCH]]</f>
        <v/>
      </c>
      <c r="AJ176" s="599">
        <f>(3.14*(scheduleapr[[#This Row],[ACTUAL OD]]-scheduleapr[[#This Row],[TICKNESS]])*scheduleapr[[#This Row],[TICKNESS]]*scheduleapr[[#This Row],[LENGTH]]*7.85)/1000000*scheduleapr[[#This Row],[SCHEDULE in nos]]/1000</f>
        <v/>
      </c>
      <c r="AK176" s="599">
        <f>(3.14*(scheduleapr[[#This Row],[ACTUAL OD]]-scheduleapr[[#This Row],[TICKNESS]])*scheduleapr[[#This Row],[TICKNESS]]*scheduleapr[[#This Row],[LENGTH]]*7.85)/1000000*scheduleapr[[#This Row],[DISPATCH]]/1000</f>
        <v/>
      </c>
      <c r="AL176" s="599">
        <f>AJ176-AK176</f>
        <v/>
      </c>
      <c r="AM176" s="599">
        <f>scheduleapr[[#This Row],[SCHEDULE in nos]]/scheduleapr[[#This Row],[SCHEDULE IN MT]]*scheduleapr[[#This Row],[CTL Stock]]</f>
        <v/>
      </c>
      <c r="AN176" s="599">
        <f>SUMIFS(stock[MT],stock[Bucket],scheduleapr[[#This Row],[Bucket]],stock[LL or CTL],"LL")</f>
        <v/>
      </c>
      <c r="AO176" s="599">
        <f>+SUMIFS(wip[Stock(Net Wt)],wip[Bucket],scheduleapr[[#This Row],[Bucket]])/1000</f>
        <v/>
      </c>
      <c r="AP176" s="599">
        <f>AH176-AL176</f>
        <v/>
      </c>
      <c r="AQ176" s="599">
        <f>+SUMIFS(wip[Stock(Net Wt)],wip[Bucket],scheduleapr[[#This Row],[Bucket]])/1000</f>
        <v/>
      </c>
      <c r="AR176" s="599">
        <f>AJ176-AN176</f>
        <v/>
      </c>
      <c r="AS176" s="118" t="n"/>
    </row>
    <row r="177">
      <c r="A177" s="594" t="n">
        <v>139</v>
      </c>
      <c r="B177" s="5" t="inlineStr">
        <is>
          <t>Hosur</t>
        </is>
      </c>
      <c r="C177" s="601" t="inlineStr">
        <is>
          <t>Marathwada v7</t>
        </is>
      </c>
      <c r="D177" s="601" t="inlineStr">
        <is>
          <t>Marathwada</t>
        </is>
      </c>
      <c r="E177" s="601" t="n">
        <v>189002</v>
      </c>
      <c r="F177" s="601" t="n">
        <v>3605739</v>
      </c>
      <c r="G177" s="601">
        <f>_xlfn.CONCAT(scheduleapr[[#This Row],[CUSTOMER CODE]],"-",scheduleapr[[#This Row],[MATERIAL NO]])</f>
        <v/>
      </c>
      <c r="H177" s="601" t="inlineStr">
        <is>
          <t>TUB-S-AW-AUT-19.00X19.00X1.010X0.800</t>
        </is>
      </c>
      <c r="I177" s="596" t="inlineStr">
        <is>
          <t>CRFH</t>
        </is>
      </c>
      <c r="J177" s="599" t="n"/>
      <c r="K177" s="596" t="inlineStr">
        <is>
          <t>PE</t>
        </is>
      </c>
      <c r="L177" s="601" t="inlineStr">
        <is>
          <t>CR</t>
        </is>
      </c>
      <c r="M177" s="599" t="n"/>
      <c r="N177" s="600" t="n"/>
      <c r="O177" s="601" t="n"/>
      <c r="P177" s="601" t="n"/>
      <c r="Q177" s="557">
        <f>CONCATENATE(scheduleapr[[#This Row],[OD]],"-",scheduleapr[[#This Row],[ID]],"-",scheduleapr[[#This Row],[TICKNESS]],"-",scheduleapr[[#This Row],[Grade]],"-",scheduleapr[[#This Row],[FC/NFC]])</f>
        <v/>
      </c>
      <c r="R177" s="557">
        <f>_xlfn.CONCAT(scheduleapr[[#This Row],[Bucket]],"-",scheduleapr[[#This Row],[LENGTH]]/1000)</f>
        <v/>
      </c>
      <c r="S177" s="557">
        <f>COUNTIF(scheduleapr[CTL Bucket],scheduleapr[[#This Row],[CTL Bucket]])</f>
        <v/>
      </c>
      <c r="T177" s="601" t="inlineStr">
        <is>
          <t>Hosur</t>
        </is>
      </c>
      <c r="U177" s="601" t="n"/>
      <c r="V177" s="557" t="n"/>
      <c r="W177" s="557" t="n"/>
      <c r="X177" s="599" t="n">
        <v>23.42</v>
      </c>
      <c r="Y177" s="599" t="n">
        <v>19</v>
      </c>
      <c r="Z177" s="599" t="n">
        <v>19</v>
      </c>
      <c r="AA177" s="599" t="n">
        <v>1</v>
      </c>
      <c r="AB177" s="600" t="n">
        <v>800</v>
      </c>
      <c r="AC177" s="600" t="inlineStr">
        <is>
          <t>NOS</t>
        </is>
      </c>
      <c r="AD177" s="600" t="n"/>
      <c r="AE177" s="600" t="n"/>
      <c r="AF177" s="601" t="n">
        <v>14000</v>
      </c>
      <c r="AG177" s="601" t="n"/>
      <c r="AH177" s="601">
        <f t="array" ref="AH1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7" s="602">
        <f>scheduleapr[[#This Row],[SCHEDULE in nos]]-scheduleapr[[#This Row],[DISPATCH]]</f>
        <v/>
      </c>
      <c r="AJ177" s="599">
        <f>(3.14*(scheduleapr[[#This Row],[ACTUAL OD]]-scheduleapr[[#This Row],[TICKNESS]])*scheduleapr[[#This Row],[TICKNESS]]*scheduleapr[[#This Row],[LENGTH]]*7.85)/1000000*scheduleapr[[#This Row],[SCHEDULE in nos]]/1000</f>
        <v/>
      </c>
      <c r="AK177" s="599">
        <f>(3.14*(scheduleapr[[#This Row],[ACTUAL OD]]-scheduleapr[[#This Row],[TICKNESS]])*scheduleapr[[#This Row],[TICKNESS]]*scheduleapr[[#This Row],[LENGTH]]*7.85)/1000000*scheduleapr[[#This Row],[DISPATCH]]/1000</f>
        <v/>
      </c>
      <c r="AL177" s="599">
        <f>AJ177-AK177</f>
        <v/>
      </c>
      <c r="AM177" s="599">
        <f>scheduleapr[[#This Row],[SCHEDULE in nos]]/scheduleapr[[#This Row],[SCHEDULE IN MT]]*scheduleapr[[#This Row],[CTL Stock]]</f>
        <v/>
      </c>
      <c r="AN177" s="599">
        <f>SUMIFS(stock[MT],stock[Bucket],scheduleapr[[#This Row],[Bucket]],stock[CTL Bucket],scheduleapr[[#This Row],[CTL Bucket]],stock[Plant],"0789")</f>
        <v/>
      </c>
      <c r="AO177" s="599" t="n"/>
      <c r="AP177" s="599">
        <f>SUMIFS(stock[MT],stock[Bucket],scheduleapr[[#This Row],[Bucket]],stock[LL or CTL],"LL")</f>
        <v/>
      </c>
      <c r="AQ177" s="599">
        <f>+SUMIFS(wip[Stock(Net Wt)],wip[Bucket],scheduleapr[[#This Row],[Bucket]])/1000</f>
        <v/>
      </c>
      <c r="AR177" s="599">
        <f>AJ177-AN177</f>
        <v/>
      </c>
      <c r="AS177" s="118" t="n"/>
    </row>
    <row r="178">
      <c r="A178" s="594" t="n">
        <v>764</v>
      </c>
      <c r="B178" s="5" t="inlineStr">
        <is>
          <t>Hosur</t>
        </is>
      </c>
      <c r="C178" s="601" t="inlineStr">
        <is>
          <t>Marathwada v7</t>
        </is>
      </c>
      <c r="D178" s="601" t="inlineStr">
        <is>
          <t>Marathwada</t>
        </is>
      </c>
      <c r="E178" s="601" t="n">
        <v>189002</v>
      </c>
      <c r="F178" s="601" t="n">
        <v>4151425</v>
      </c>
      <c r="G178" s="601">
        <f>_xlfn.CONCAT(scheduleapr[[#This Row],[CUSTOMER CODE]],"-",scheduleapr[[#This Row],[MATERIAL NO]])</f>
        <v/>
      </c>
      <c r="H178" s="601" t="inlineStr">
        <is>
          <t>TUB-S-AW-AUT-19.00X19.00X1.000X0.8350</t>
        </is>
      </c>
      <c r="I178" s="596" t="inlineStr">
        <is>
          <t>CRFH</t>
        </is>
      </c>
      <c r="J178" s="599" t="n"/>
      <c r="K178" s="596" t="inlineStr">
        <is>
          <t>PE</t>
        </is>
      </c>
      <c r="L178" s="601" t="inlineStr">
        <is>
          <t>CR</t>
        </is>
      </c>
      <c r="M178" s="599" t="n"/>
      <c r="N178" s="600" t="n"/>
      <c r="O178" s="601" t="n"/>
      <c r="P178" s="601" t="n"/>
      <c r="Q178" s="557">
        <f>CONCATENATE(scheduleapr[[#This Row],[OD]],"-",scheduleapr[[#This Row],[ID]],"-",scheduleapr[[#This Row],[TICKNESS]],"-",scheduleapr[[#This Row],[Grade]],"-",scheduleapr[[#This Row],[FC/NFC]])</f>
        <v/>
      </c>
      <c r="R178" s="557">
        <f>_xlfn.CONCAT(scheduleapr[[#This Row],[Bucket]],"-",scheduleapr[[#This Row],[LENGTH]]/1000)</f>
        <v/>
      </c>
      <c r="S178" s="557">
        <f>COUNTIF(scheduleapr[CTL Bucket],scheduleapr[[#This Row],[CTL Bucket]])</f>
        <v/>
      </c>
      <c r="T178" s="601" t="inlineStr">
        <is>
          <t>Hosur</t>
        </is>
      </c>
      <c r="U178" s="601" t="n"/>
      <c r="V178" s="601" t="n"/>
      <c r="W178" s="601" t="n"/>
      <c r="X178" s="599" t="n">
        <v>23.42</v>
      </c>
      <c r="Y178" s="599" t="n">
        <v>19</v>
      </c>
      <c r="Z178" s="599" t="n">
        <v>19</v>
      </c>
      <c r="AA178" s="599" t="n">
        <v>1</v>
      </c>
      <c r="AB178" s="600" t="n">
        <v>835</v>
      </c>
      <c r="AC178" s="600" t="inlineStr">
        <is>
          <t>NOS</t>
        </is>
      </c>
      <c r="AD178" s="600" t="n"/>
      <c r="AE178" s="600" t="n"/>
      <c r="AF178" s="601" t="n"/>
      <c r="AG178" s="601" t="n"/>
      <c r="AH178" s="601">
        <f t="array" ref="AH1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8" s="602">
        <f>scheduleapr[[#This Row],[SCHEDULE in nos]]-scheduleapr[[#This Row],[DISPATCH]]</f>
        <v/>
      </c>
      <c r="AJ178" s="599">
        <f>(3.14*(scheduleapr[[#This Row],[ACTUAL OD]]-scheduleapr[[#This Row],[TICKNESS]])*scheduleapr[[#This Row],[TICKNESS]]*scheduleapr[[#This Row],[LENGTH]]*7.85)/1000000*scheduleapr[[#This Row],[SCHEDULE in nos]]/1000</f>
        <v/>
      </c>
      <c r="AK178" s="599">
        <f>(3.14*(scheduleapr[[#This Row],[ACTUAL OD]]-scheduleapr[[#This Row],[TICKNESS]])*scheduleapr[[#This Row],[TICKNESS]]*scheduleapr[[#This Row],[LENGTH]]*7.85)/1000000*scheduleapr[[#This Row],[DISPATCH]]/1000</f>
        <v/>
      </c>
      <c r="AL178" s="599">
        <f>AJ178-AK178</f>
        <v/>
      </c>
      <c r="AM178" s="599">
        <f>scheduleapr[[#This Row],[SCHEDULE in nos]]/scheduleapr[[#This Row],[SCHEDULE IN MT]]*scheduleapr[[#This Row],[CTL Stock]]</f>
        <v/>
      </c>
      <c r="AN178" s="599">
        <f>SUMIFS(stock[MT],stock[Bucket],scheduleapr[[#This Row],[Bucket]],stock[LL or CTL],"LL")</f>
        <v/>
      </c>
      <c r="AO178" s="599">
        <f>+SUMIFS(wip[Stock(Net Wt)],wip[Bucket],scheduleapr[[#This Row],[Bucket]])/1000</f>
        <v/>
      </c>
      <c r="AP178" s="599">
        <f>AH178-AL178</f>
        <v/>
      </c>
      <c r="AQ178" s="599">
        <f>+SUMIFS(wip[Stock(Net Wt)],wip[Bucket],scheduleapr[[#This Row],[Bucket]])/1000</f>
        <v/>
      </c>
      <c r="AR178" s="599">
        <f>AJ178-AN178</f>
        <v/>
      </c>
      <c r="AS178" s="118" t="n"/>
    </row>
    <row r="179">
      <c r="A179" s="594" t="n">
        <v>138</v>
      </c>
      <c r="B179" s="5" t="inlineStr">
        <is>
          <t>Hosur</t>
        </is>
      </c>
      <c r="C179" s="601" t="inlineStr">
        <is>
          <t>Marathwada v7</t>
        </is>
      </c>
      <c r="D179" s="601" t="inlineStr">
        <is>
          <t>Marathwada</t>
        </is>
      </c>
      <c r="E179" s="601" t="n">
        <v>189002</v>
      </c>
      <c r="F179" s="601" t="n">
        <v>3230485</v>
      </c>
      <c r="G179" s="601">
        <f>_xlfn.CONCAT(scheduleapr[[#This Row],[CUSTOMER CODE]],"-",scheduleapr[[#This Row],[MATERIAL NO]])</f>
        <v/>
      </c>
      <c r="H179" s="601" t="inlineStr">
        <is>
          <t>TUB-S-AW-AUT-19.00X19.00X1.000X0.8400</t>
        </is>
      </c>
      <c r="I179" s="596" t="inlineStr">
        <is>
          <t>CRFH</t>
        </is>
      </c>
      <c r="J179" s="599" t="n"/>
      <c r="K179" s="596" t="inlineStr">
        <is>
          <t>PE</t>
        </is>
      </c>
      <c r="L179" s="601" t="inlineStr">
        <is>
          <t>CR</t>
        </is>
      </c>
      <c r="M179" s="599" t="n"/>
      <c r="N179" s="600" t="n"/>
      <c r="O179" s="601" t="n"/>
      <c r="P179" s="601" t="n"/>
      <c r="Q179" s="557">
        <f>CONCATENATE(scheduleapr[[#This Row],[OD]],"-",scheduleapr[[#This Row],[ID]],"-",scheduleapr[[#This Row],[TICKNESS]],"-",scheduleapr[[#This Row],[Grade]],"-",scheduleapr[[#This Row],[FC/NFC]])</f>
        <v/>
      </c>
      <c r="R179" s="557">
        <f>_xlfn.CONCAT(scheduleapr[[#This Row],[Bucket]],"-",scheduleapr[[#This Row],[LENGTH]]/1000)</f>
        <v/>
      </c>
      <c r="S179" s="557">
        <f>COUNTIF(scheduleapr[CTL Bucket],scheduleapr[[#This Row],[CTL Bucket]])</f>
        <v/>
      </c>
      <c r="T179" s="601" t="inlineStr">
        <is>
          <t>Hosur</t>
        </is>
      </c>
      <c r="U179" s="601" t="n"/>
      <c r="V179" s="557" t="n"/>
      <c r="W179" s="557" t="n"/>
      <c r="X179" s="599" t="n">
        <v>23.42</v>
      </c>
      <c r="Y179" s="599" t="n">
        <v>19</v>
      </c>
      <c r="Z179" s="599" t="n">
        <v>19</v>
      </c>
      <c r="AA179" s="599" t="n">
        <v>1</v>
      </c>
      <c r="AB179" s="600" t="n">
        <v>840</v>
      </c>
      <c r="AC179" s="600" t="inlineStr">
        <is>
          <t>NOS</t>
        </is>
      </c>
      <c r="AD179" s="600" t="n"/>
      <c r="AE179" s="600" t="n"/>
      <c r="AF179" s="601" t="n">
        <v>14000</v>
      </c>
      <c r="AG179" s="601" t="n"/>
      <c r="AH179" s="601">
        <f t="array" ref="AH1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79" s="602">
        <f>scheduleapr[[#This Row],[SCHEDULE in nos]]-scheduleapr[[#This Row],[DISPATCH]]</f>
        <v/>
      </c>
      <c r="AJ179" s="599">
        <f>(3.14*(scheduleapr[[#This Row],[ACTUAL OD]]-scheduleapr[[#This Row],[TICKNESS]])*scheduleapr[[#This Row],[TICKNESS]]*scheduleapr[[#This Row],[LENGTH]]*7.85)/1000000*scheduleapr[[#This Row],[SCHEDULE in nos]]/1000</f>
        <v/>
      </c>
      <c r="AK179" s="599">
        <f>(3.14*(scheduleapr[[#This Row],[ACTUAL OD]]-scheduleapr[[#This Row],[TICKNESS]])*scheduleapr[[#This Row],[TICKNESS]]*scheduleapr[[#This Row],[LENGTH]]*7.85)/1000000*scheduleapr[[#This Row],[DISPATCH]]/1000</f>
        <v/>
      </c>
      <c r="AL179" s="599">
        <f>AJ179-AK179</f>
        <v/>
      </c>
      <c r="AM179" s="599">
        <f>scheduleapr[[#This Row],[SCHEDULE in nos]]/scheduleapr[[#This Row],[SCHEDULE IN MT]]*scheduleapr[[#This Row],[CTL Stock]]</f>
        <v/>
      </c>
      <c r="AN179" s="599">
        <f>SUMIFS(stock[MT],stock[Bucket],scheduleapr[[#This Row],[Bucket]],stock[CTL Bucket],scheduleapr[[#This Row],[CTL Bucket]],stock[Plant],"0789")</f>
        <v/>
      </c>
      <c r="AO179" s="599" t="n"/>
      <c r="AP179" s="599">
        <f>SUMIFS(stock[MT],stock[Bucket],scheduleapr[[#This Row],[Bucket]],stock[LL or CTL],"LL")</f>
        <v/>
      </c>
      <c r="AQ179" s="599">
        <f>+SUMIFS(wip[Stock(Net Wt)],wip[Bucket],scheduleapr[[#This Row],[Bucket]])/1000</f>
        <v/>
      </c>
      <c r="AR179" s="599">
        <f>AJ179-AN179</f>
        <v/>
      </c>
      <c r="AS179" s="118" t="n"/>
    </row>
    <row r="180">
      <c r="A180" s="594" t="n">
        <v>140</v>
      </c>
      <c r="B180" s="5" t="inlineStr">
        <is>
          <t>Hosur</t>
        </is>
      </c>
      <c r="C180" s="601" t="inlineStr">
        <is>
          <t>Marathwada v7</t>
        </is>
      </c>
      <c r="D180" s="601" t="inlineStr">
        <is>
          <t>Marathwada</t>
        </is>
      </c>
      <c r="E180" s="601" t="n">
        <v>189002</v>
      </c>
      <c r="F180" s="601" t="n">
        <v>3233560</v>
      </c>
      <c r="G180" s="601">
        <f>_xlfn.CONCAT(scheduleapr[[#This Row],[CUSTOMER CODE]],"-",scheduleapr[[#This Row],[MATERIAL NO]])</f>
        <v/>
      </c>
      <c r="H180" s="601" t="inlineStr">
        <is>
          <t>TUB-S-AW-AUT-19.00X19.00X1.000X0.871</t>
        </is>
      </c>
      <c r="I180" s="596" t="inlineStr">
        <is>
          <t>CRFH</t>
        </is>
      </c>
      <c r="J180" s="599" t="n"/>
      <c r="K180" s="596" t="inlineStr">
        <is>
          <t>PE</t>
        </is>
      </c>
      <c r="L180" s="601" t="inlineStr">
        <is>
          <t>CR</t>
        </is>
      </c>
      <c r="M180" s="599" t="n"/>
      <c r="N180" s="600" t="n"/>
      <c r="O180" s="601" t="n"/>
      <c r="P180" s="601" t="n"/>
      <c r="Q180" s="557">
        <f>CONCATENATE(scheduleapr[[#This Row],[OD]],"-",scheduleapr[[#This Row],[ID]],"-",scheduleapr[[#This Row],[TICKNESS]],"-",scheduleapr[[#This Row],[Grade]],"-",scheduleapr[[#This Row],[FC/NFC]])</f>
        <v/>
      </c>
      <c r="R180" s="557">
        <f>_xlfn.CONCAT(scheduleapr[[#This Row],[Bucket]],"-",scheduleapr[[#This Row],[LENGTH]]/1000)</f>
        <v/>
      </c>
      <c r="S180" s="557">
        <f>COUNTIF(scheduleapr[CTL Bucket],scheduleapr[[#This Row],[CTL Bucket]])</f>
        <v/>
      </c>
      <c r="T180" s="601" t="inlineStr">
        <is>
          <t>Hosur</t>
        </is>
      </c>
      <c r="U180" s="557" t="n"/>
      <c r="V180" s="557" t="n"/>
      <c r="W180" s="557" t="n"/>
      <c r="X180" s="599" t="n">
        <v>23.42</v>
      </c>
      <c r="Y180" s="599" t="n">
        <v>19</v>
      </c>
      <c r="Z180" s="599" t="n">
        <v>19</v>
      </c>
      <c r="AA180" s="599" t="n">
        <v>1</v>
      </c>
      <c r="AB180" s="600" t="n">
        <v>871</v>
      </c>
      <c r="AC180" s="600" t="inlineStr">
        <is>
          <t>NOS</t>
        </is>
      </c>
      <c r="AD180" s="600" t="n"/>
      <c r="AE180" s="600" t="n"/>
      <c r="AF180" s="601" t="n">
        <v>14000</v>
      </c>
      <c r="AG180" s="601" t="n"/>
      <c r="AH180" s="601">
        <f t="array" ref="AH1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0" s="602">
        <f>scheduleapr[[#This Row],[SCHEDULE in nos]]-scheduleapr[[#This Row],[DISPATCH]]</f>
        <v/>
      </c>
      <c r="AJ180" s="599">
        <f>(3.14*(scheduleapr[[#This Row],[ACTUAL OD]]-scheduleapr[[#This Row],[TICKNESS]])*scheduleapr[[#This Row],[TICKNESS]]*scheduleapr[[#This Row],[LENGTH]]*7.85)/1000000*scheduleapr[[#This Row],[SCHEDULE in nos]]/1000</f>
        <v/>
      </c>
      <c r="AK180" s="599">
        <f>(3.14*(scheduleapr[[#This Row],[ACTUAL OD]]-scheduleapr[[#This Row],[TICKNESS]])*scheduleapr[[#This Row],[TICKNESS]]*scheduleapr[[#This Row],[LENGTH]]*7.85)/1000000*scheduleapr[[#This Row],[DISPATCH]]/1000</f>
        <v/>
      </c>
      <c r="AL180" s="599">
        <f>AJ180-AK180</f>
        <v/>
      </c>
      <c r="AM180" s="599">
        <f>scheduleapr[[#This Row],[SCHEDULE in nos]]/scheduleapr[[#This Row],[SCHEDULE IN MT]]*scheduleapr[[#This Row],[CTL Stock]]</f>
        <v/>
      </c>
      <c r="AN180" s="599">
        <f>SUMIFS(stock[MT],stock[Bucket],scheduleapr[[#This Row],[Bucket]],stock[CTL Bucket],scheduleapr[[#This Row],[CTL Bucket]],stock[Plant],"0789")</f>
        <v/>
      </c>
      <c r="AO180" s="599" t="n"/>
      <c r="AP180" s="599">
        <f>SUMIFS(stock[MT],stock[Bucket],scheduleapr[[#This Row],[Bucket]],stock[LL or CTL],"LL")</f>
        <v/>
      </c>
      <c r="AQ180" s="599">
        <f>+SUMIFS(wip[Stock(Net Wt)],wip[Bucket],scheduleapr[[#This Row],[Bucket]])/1000</f>
        <v/>
      </c>
      <c r="AR180" s="599">
        <f>AJ180-AN180</f>
        <v/>
      </c>
      <c r="AS180" s="118" t="n"/>
    </row>
    <row r="181">
      <c r="A181" s="594" t="n">
        <v>141</v>
      </c>
      <c r="B181" s="5" t="inlineStr">
        <is>
          <t>Hosur</t>
        </is>
      </c>
      <c r="C181" s="601" t="inlineStr">
        <is>
          <t>Marathwada v7</t>
        </is>
      </c>
      <c r="D181" s="601" t="inlineStr">
        <is>
          <t>Marathwada</t>
        </is>
      </c>
      <c r="E181" s="601" t="n">
        <v>189002</v>
      </c>
      <c r="F181" s="601" t="n">
        <v>3230492</v>
      </c>
      <c r="G181" s="601">
        <f>_xlfn.CONCAT(scheduleapr[[#This Row],[CUSTOMER CODE]],"-",scheduleapr[[#This Row],[MATERIAL NO]])</f>
        <v/>
      </c>
      <c r="H181" s="601" t="inlineStr">
        <is>
          <t>TUB-S-AW-AUT-19.00X19.00X1.000X0.8800</t>
        </is>
      </c>
      <c r="I181" s="596" t="inlineStr">
        <is>
          <t>CRFH</t>
        </is>
      </c>
      <c r="J181" s="599" t="n"/>
      <c r="K181" s="596" t="inlineStr">
        <is>
          <t>PE</t>
        </is>
      </c>
      <c r="L181" s="601" t="inlineStr">
        <is>
          <t>CR</t>
        </is>
      </c>
      <c r="M181" s="599" t="n"/>
      <c r="N181" s="600" t="n"/>
      <c r="O181" s="601" t="n"/>
      <c r="P181" s="601" t="n"/>
      <c r="Q181" s="557">
        <f>CONCATENATE(scheduleapr[[#This Row],[OD]],"-",scheduleapr[[#This Row],[ID]],"-",scheduleapr[[#This Row],[TICKNESS]],"-",scheduleapr[[#This Row],[Grade]],"-",scheduleapr[[#This Row],[FC/NFC]])</f>
        <v/>
      </c>
      <c r="R181" s="557">
        <f>_xlfn.CONCAT(scheduleapr[[#This Row],[Bucket]],"-",scheduleapr[[#This Row],[LENGTH]]/1000)</f>
        <v/>
      </c>
      <c r="S181" s="557">
        <f>COUNTIF(scheduleapr[CTL Bucket],scheduleapr[[#This Row],[CTL Bucket]])</f>
        <v/>
      </c>
      <c r="T181" s="601" t="inlineStr">
        <is>
          <t>Hosur</t>
        </is>
      </c>
      <c r="U181" s="601" t="n"/>
      <c r="V181" s="557" t="n"/>
      <c r="W181" s="557" t="n"/>
      <c r="X181" s="599" t="n">
        <v>23.42</v>
      </c>
      <c r="Y181" s="599" t="n">
        <v>19</v>
      </c>
      <c r="Z181" s="599" t="n">
        <v>19</v>
      </c>
      <c r="AA181" s="599" t="n">
        <v>1</v>
      </c>
      <c r="AB181" s="600" t="n">
        <v>880</v>
      </c>
      <c r="AC181" s="600" t="inlineStr">
        <is>
          <t>NOS</t>
        </is>
      </c>
      <c r="AD181" s="600" t="n"/>
      <c r="AE181" s="600" t="n"/>
      <c r="AF181" s="601" t="n"/>
      <c r="AG181" s="601" t="n"/>
      <c r="AH181" s="601">
        <f t="array" ref="AH1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1" s="602">
        <f>scheduleapr[[#This Row],[SCHEDULE in nos]]-scheduleapr[[#This Row],[DISPATCH]]</f>
        <v/>
      </c>
      <c r="AJ181" s="599">
        <f>(3.14*(scheduleapr[[#This Row],[ACTUAL OD]]-scheduleapr[[#This Row],[TICKNESS]])*scheduleapr[[#This Row],[TICKNESS]]*scheduleapr[[#This Row],[LENGTH]]*7.85)/1000000*scheduleapr[[#This Row],[SCHEDULE in nos]]/1000</f>
        <v/>
      </c>
      <c r="AK181" s="599">
        <f>(3.14*(scheduleapr[[#This Row],[ACTUAL OD]]-scheduleapr[[#This Row],[TICKNESS]])*scheduleapr[[#This Row],[TICKNESS]]*scheduleapr[[#This Row],[LENGTH]]*7.85)/1000000*scheduleapr[[#This Row],[DISPATCH]]/1000</f>
        <v/>
      </c>
      <c r="AL181" s="599">
        <f>AJ181-AK181</f>
        <v/>
      </c>
      <c r="AM181" s="599">
        <f>scheduleapr[[#This Row],[SCHEDULE in nos]]/scheduleapr[[#This Row],[SCHEDULE IN MT]]*scheduleapr[[#This Row],[CTL Stock]]</f>
        <v/>
      </c>
      <c r="AN181" s="599">
        <f>SUMIFS(stock[MT],stock[Bucket],scheduleapr[[#This Row],[Bucket]],stock[CTL Bucket],scheduleapr[[#This Row],[CTL Bucket]],stock[Plant],"0789")</f>
        <v/>
      </c>
      <c r="AO181" s="599" t="n"/>
      <c r="AP181" s="599">
        <f>SUMIFS(stock[MT],stock[Bucket],scheduleapr[[#This Row],[Bucket]],stock[LL or CTL],"LL")</f>
        <v/>
      </c>
      <c r="AQ181" s="599">
        <f>+SUMIFS(wip[Stock(Net Wt)],wip[Bucket],scheduleapr[[#This Row],[Bucket]])/1000</f>
        <v/>
      </c>
      <c r="AR181" s="599">
        <f>AJ181-AN181</f>
        <v/>
      </c>
      <c r="AS181" s="118" t="n"/>
    </row>
    <row r="182">
      <c r="A182" s="594" t="n">
        <v>774</v>
      </c>
      <c r="B182" s="5" t="inlineStr">
        <is>
          <t>Hosur</t>
        </is>
      </c>
      <c r="C182" s="601" t="inlineStr">
        <is>
          <t>Marathwada v7</t>
        </is>
      </c>
      <c r="D182" s="601" t="inlineStr">
        <is>
          <t>Marathwada</t>
        </is>
      </c>
      <c r="E182" s="601" t="n">
        <v>189002</v>
      </c>
      <c r="F182" s="601" t="n">
        <v>4177673</v>
      </c>
      <c r="G182" s="601">
        <f>_xlfn.CONCAT(scheduleapr[[#This Row],[CUSTOMER CODE]],"-",scheduleapr[[#This Row],[MATERIAL NO]])</f>
        <v/>
      </c>
      <c r="H182" s="601" t="inlineStr">
        <is>
          <t>TUB-R-AW-AUT-19.00X19.00X1.000X0.8800</t>
        </is>
      </c>
      <c r="I182" s="596" t="inlineStr">
        <is>
          <t>CRFH</t>
        </is>
      </c>
      <c r="J182" s="599" t="n"/>
      <c r="K182" s="596" t="inlineStr">
        <is>
          <t>PE</t>
        </is>
      </c>
      <c r="L182" s="601" t="inlineStr">
        <is>
          <t>CR</t>
        </is>
      </c>
      <c r="M182" s="599" t="n"/>
      <c r="N182" s="600" t="n"/>
      <c r="O182" s="601" t="n"/>
      <c r="P182" s="601" t="n"/>
      <c r="Q182" s="557">
        <f>CONCATENATE(scheduleapr[[#This Row],[OD]],"-",scheduleapr[[#This Row],[ID]],"-",scheduleapr[[#This Row],[TICKNESS]],"-",scheduleapr[[#This Row],[Grade]],"-",scheduleapr[[#This Row],[FC/NFC]])</f>
        <v/>
      </c>
      <c r="R182" s="557">
        <f>_xlfn.CONCAT(scheduleapr[[#This Row],[Bucket]],"-",scheduleapr[[#This Row],[LENGTH]]/1000)</f>
        <v/>
      </c>
      <c r="S182" s="557">
        <f>COUNTIF(scheduleapr[CTL Bucket],scheduleapr[[#This Row],[CTL Bucket]])</f>
        <v/>
      </c>
      <c r="T182" s="601" t="inlineStr">
        <is>
          <t>Hosur</t>
        </is>
      </c>
      <c r="U182" s="601" t="n"/>
      <c r="V182" s="601" t="n"/>
      <c r="W182" s="601" t="n"/>
      <c r="X182" s="599" t="n">
        <v>23.42</v>
      </c>
      <c r="Y182" s="599" t="n">
        <v>19</v>
      </c>
      <c r="Z182" s="599" t="n">
        <v>19</v>
      </c>
      <c r="AA182" s="599" t="n">
        <v>1</v>
      </c>
      <c r="AB182" s="600" t="n">
        <v>880</v>
      </c>
      <c r="AC182" s="600" t="inlineStr">
        <is>
          <t>NOS</t>
        </is>
      </c>
      <c r="AD182" s="600" t="n"/>
      <c r="AE182" s="600" t="n"/>
      <c r="AF182" s="601" t="n">
        <v>21000</v>
      </c>
      <c r="AG182" s="601" t="n"/>
      <c r="AH182" s="601">
        <f t="array" ref="AH1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2" s="602">
        <f>scheduleapr[[#This Row],[SCHEDULE in nos]]-scheduleapr[[#This Row],[DISPATCH]]</f>
        <v/>
      </c>
      <c r="AJ182" s="599">
        <f>(3.14*(scheduleapr[[#This Row],[ACTUAL OD]]-scheduleapr[[#This Row],[TICKNESS]])*scheduleapr[[#This Row],[TICKNESS]]*scheduleapr[[#This Row],[LENGTH]]*7.85)/1000000*scheduleapr[[#This Row],[SCHEDULE in nos]]/1000</f>
        <v/>
      </c>
      <c r="AK182" s="599">
        <f>(3.14*(scheduleapr[[#This Row],[ACTUAL OD]]-scheduleapr[[#This Row],[TICKNESS]])*scheduleapr[[#This Row],[TICKNESS]]*scheduleapr[[#This Row],[LENGTH]]*7.85)/1000000*scheduleapr[[#This Row],[DISPATCH]]/1000</f>
        <v/>
      </c>
      <c r="AL182" s="599">
        <f>AJ182-AK182</f>
        <v/>
      </c>
      <c r="AM182" s="599">
        <f>scheduleapr[[#This Row],[SCHEDULE in nos]]/scheduleapr[[#This Row],[SCHEDULE IN MT]]*scheduleapr[[#This Row],[CTL Stock]]</f>
        <v/>
      </c>
      <c r="AN182" s="599">
        <f>SUMIFS(stock[MT],stock[Bucket],scheduleapr[[#This Row],[Bucket]],stock[LL or CTL],"LL")</f>
        <v/>
      </c>
      <c r="AO182" s="599">
        <f>+SUMIFS(wip[Stock(Net Wt)],wip[Bucket],scheduleapr[[#This Row],[Bucket]])/1000</f>
        <v/>
      </c>
      <c r="AP182" s="599">
        <f>AH182-AL182</f>
        <v/>
      </c>
      <c r="AQ182" s="599">
        <f>+SUMIFS(wip[Stock(Net Wt)],wip[Bucket],scheduleapr[[#This Row],[Bucket]])/1000</f>
        <v/>
      </c>
      <c r="AR182" s="599">
        <f>AJ182-AN182</f>
        <v/>
      </c>
      <c r="AS182" s="118" t="n"/>
    </row>
    <row r="183">
      <c r="A183" s="594" t="n">
        <v>760</v>
      </c>
      <c r="B183" s="5" t="inlineStr">
        <is>
          <t>Hosur</t>
        </is>
      </c>
      <c r="C183" s="601" t="inlineStr">
        <is>
          <t>Marathwada v7</t>
        </is>
      </c>
      <c r="D183" s="601" t="inlineStr">
        <is>
          <t>Marathwada</t>
        </is>
      </c>
      <c r="E183" s="601" t="n">
        <v>189002</v>
      </c>
      <c r="F183" s="601" t="n">
        <v>4151427</v>
      </c>
      <c r="G183" s="601">
        <f>_xlfn.CONCAT(scheduleapr[[#This Row],[CUSTOMER CODE]],"-",scheduleapr[[#This Row],[MATERIAL NO]])</f>
        <v/>
      </c>
      <c r="H183" s="601" t="inlineStr">
        <is>
          <t>TUB-S-AW-AUT-19.00X19.00X1.000X0.9630</t>
        </is>
      </c>
      <c r="I183" s="596" t="inlineStr">
        <is>
          <t>CRFH</t>
        </is>
      </c>
      <c r="J183" s="599" t="n"/>
      <c r="K183" s="596" t="inlineStr">
        <is>
          <t>PE</t>
        </is>
      </c>
      <c r="L183" s="601" t="inlineStr">
        <is>
          <t>CR</t>
        </is>
      </c>
      <c r="M183" s="599" t="n"/>
      <c r="N183" s="600" t="n"/>
      <c r="O183" s="601" t="n"/>
      <c r="P183" s="601" t="n"/>
      <c r="Q183" s="557">
        <f>CONCATENATE(scheduleapr[[#This Row],[OD]],"-",scheduleapr[[#This Row],[ID]],"-",scheduleapr[[#This Row],[TICKNESS]],"-",scheduleapr[[#This Row],[Grade]],"-",scheduleapr[[#This Row],[FC/NFC]])</f>
        <v/>
      </c>
      <c r="R183" s="557">
        <f>_xlfn.CONCAT(scheduleapr[[#This Row],[Bucket]],"-",scheduleapr[[#This Row],[LENGTH]]/1000)</f>
        <v/>
      </c>
      <c r="S183" s="557">
        <f>COUNTIF(scheduleapr[CTL Bucket],scheduleapr[[#This Row],[CTL Bucket]])</f>
        <v/>
      </c>
      <c r="T183" s="601" t="inlineStr">
        <is>
          <t>Hosur</t>
        </is>
      </c>
      <c r="U183" s="601" t="n"/>
      <c r="V183" s="601" t="n"/>
      <c r="W183" s="601" t="n"/>
      <c r="X183" s="599" t="n">
        <v>23.42</v>
      </c>
      <c r="Y183" s="599" t="n">
        <v>19</v>
      </c>
      <c r="Z183" s="599" t="n">
        <v>19</v>
      </c>
      <c r="AA183" s="599" t="n">
        <v>1</v>
      </c>
      <c r="AB183" s="600" t="n">
        <v>963</v>
      </c>
      <c r="AC183" s="600" t="inlineStr">
        <is>
          <t>NOS</t>
        </is>
      </c>
      <c r="AD183" s="600" t="n"/>
      <c r="AE183" s="600" t="n"/>
      <c r="AF183" s="601" t="n"/>
      <c r="AG183" s="601" t="n"/>
      <c r="AH183" s="601">
        <f t="array" ref="AH1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3" s="602">
        <f>scheduleapr[[#This Row],[SCHEDULE in nos]]-scheduleapr[[#This Row],[DISPATCH]]</f>
        <v/>
      </c>
      <c r="AJ183" s="599">
        <f>(3.14*(scheduleapr[[#This Row],[ACTUAL OD]]-scheduleapr[[#This Row],[TICKNESS]])*scheduleapr[[#This Row],[TICKNESS]]*scheduleapr[[#This Row],[LENGTH]]*7.85)/1000000*scheduleapr[[#This Row],[SCHEDULE in nos]]/1000</f>
        <v/>
      </c>
      <c r="AK183" s="599">
        <f>(3.14*(scheduleapr[[#This Row],[ACTUAL OD]]-scheduleapr[[#This Row],[TICKNESS]])*scheduleapr[[#This Row],[TICKNESS]]*scheduleapr[[#This Row],[LENGTH]]*7.85)/1000000*scheduleapr[[#This Row],[DISPATCH]]/1000</f>
        <v/>
      </c>
      <c r="AL183" s="599">
        <f>AJ183-AK183</f>
        <v/>
      </c>
      <c r="AM183" s="599">
        <f>scheduleapr[[#This Row],[SCHEDULE in nos]]/scheduleapr[[#This Row],[SCHEDULE IN MT]]*scheduleapr[[#This Row],[CTL Stock]]</f>
        <v/>
      </c>
      <c r="AN183" s="599">
        <f>SUMIFS(stock[MT],stock[Bucket],scheduleapr[[#This Row],[Bucket]],stock[LL or CTL],"LL")</f>
        <v/>
      </c>
      <c r="AO183" s="599">
        <f>+SUMIFS(wip[Stock(Net Wt)],wip[Bucket],scheduleapr[[#This Row],[Bucket]])/1000</f>
        <v/>
      </c>
      <c r="AP183" s="599">
        <f>AH183-AL183</f>
        <v/>
      </c>
      <c r="AQ183" s="599">
        <f>+SUMIFS(wip[Stock(Net Wt)],wip[Bucket],scheduleapr[[#This Row],[Bucket]])/1000</f>
        <v/>
      </c>
      <c r="AR183" s="599">
        <f>AJ183-AN183</f>
        <v/>
      </c>
      <c r="AS183" s="118" t="n"/>
    </row>
    <row r="184">
      <c r="A184" s="594" t="n">
        <v>142</v>
      </c>
      <c r="B184" s="5" t="inlineStr">
        <is>
          <t>Hosur</t>
        </is>
      </c>
      <c r="C184" s="601" t="inlineStr">
        <is>
          <t>Marathwada</t>
        </is>
      </c>
      <c r="D184" s="601" t="inlineStr">
        <is>
          <t>Marathwada</t>
        </is>
      </c>
      <c r="E184" s="601" t="n">
        <v>189002</v>
      </c>
      <c r="F184" s="601" t="n">
        <v>1940146</v>
      </c>
      <c r="G184" s="601">
        <f>_xlfn.CONCAT(scheduleapr[[#This Row],[CUSTOMER CODE]],"-",scheduleapr[[#This Row],[MATERIAL NO]])</f>
        <v/>
      </c>
      <c r="H184" s="601" t="inlineStr">
        <is>
          <t>TUB-S-AW-SHS-19.00X19.00X1.000X6.0000</t>
        </is>
      </c>
      <c r="I184" s="596" t="inlineStr">
        <is>
          <t>CRFH</t>
        </is>
      </c>
      <c r="J184" s="599" t="n"/>
      <c r="K184" s="596" t="inlineStr">
        <is>
          <t>PE</t>
        </is>
      </c>
      <c r="L184" s="601" t="inlineStr">
        <is>
          <t>CR</t>
        </is>
      </c>
      <c r="M184" s="599" t="n"/>
      <c r="N184" s="600" t="n"/>
      <c r="O184" s="601" t="n"/>
      <c r="P184" s="601" t="n"/>
      <c r="Q184" s="557">
        <f>CONCATENATE(scheduleapr[[#This Row],[OD]],"-",scheduleapr[[#This Row],[ID]],"-",scheduleapr[[#This Row],[TICKNESS]],"-",scheduleapr[[#This Row],[Grade]],"-",scheduleapr[[#This Row],[FC/NFC]])</f>
        <v/>
      </c>
      <c r="R184" s="557">
        <f>_xlfn.CONCAT(scheduleapr[[#This Row],[Bucket]],"-",scheduleapr[[#This Row],[LENGTH]]/1000)</f>
        <v/>
      </c>
      <c r="S184" s="557">
        <f>COUNTIF(scheduleapr[CTL Bucket],scheduleapr[[#This Row],[CTL Bucket]])</f>
        <v/>
      </c>
      <c r="T184" s="601" t="inlineStr">
        <is>
          <t>Hosur</t>
        </is>
      </c>
      <c r="U184" s="601" t="n"/>
      <c r="V184" s="557" t="n"/>
      <c r="W184" s="557" t="n"/>
      <c r="X184" s="599" t="n">
        <v>23.42</v>
      </c>
      <c r="Y184" s="599" t="n">
        <v>19</v>
      </c>
      <c r="Z184" s="599" t="n">
        <v>19</v>
      </c>
      <c r="AA184" s="599" t="n">
        <v>1</v>
      </c>
      <c r="AB184" s="600" t="n">
        <v>1000</v>
      </c>
      <c r="AC184" s="600" t="inlineStr">
        <is>
          <t>M</t>
        </is>
      </c>
      <c r="AD184" s="600" t="n"/>
      <c r="AE184" s="600" t="n"/>
      <c r="AF184" s="601" t="n"/>
      <c r="AG184" s="601" t="n"/>
      <c r="AH184" s="601">
        <f t="array" ref="AH1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4" s="602">
        <f>scheduleapr[[#This Row],[SCHEDULE in nos]]-scheduleapr[[#This Row],[DISPATCH]]</f>
        <v/>
      </c>
      <c r="AJ184" s="599">
        <f>(3.14*(scheduleapr[[#This Row],[ACTUAL OD]]-scheduleapr[[#This Row],[TICKNESS]])*scheduleapr[[#This Row],[TICKNESS]]*scheduleapr[[#This Row],[LENGTH]]*7.85)/1000000*scheduleapr[[#This Row],[SCHEDULE in nos]]/1000</f>
        <v/>
      </c>
      <c r="AK184" s="599">
        <f>(3.14*(scheduleapr[[#This Row],[ACTUAL OD]]-scheduleapr[[#This Row],[TICKNESS]])*scheduleapr[[#This Row],[TICKNESS]]*scheduleapr[[#This Row],[LENGTH]]*7.85)/1000000*scheduleapr[[#This Row],[DISPATCH]]/1000</f>
        <v/>
      </c>
      <c r="AL184" s="599">
        <f>AJ184-AK184</f>
        <v/>
      </c>
      <c r="AM184" s="599">
        <f>scheduleapr[[#This Row],[SCHEDULE in nos]]/scheduleapr[[#This Row],[SCHEDULE IN MT]]*scheduleapr[[#This Row],[CTL Stock]]</f>
        <v/>
      </c>
      <c r="AN184" s="599">
        <f>SUMIFS(stock[MT],stock[Bucket],scheduleapr[[#This Row],[Bucket]],stock[CTL Bucket],scheduleapr[[#This Row],[CTL Bucket]],stock[Plant],"0789")</f>
        <v/>
      </c>
      <c r="AO184" s="599" t="n"/>
      <c r="AP184" s="599">
        <f>SUMIFS(stock[MT],stock[Bucket],scheduleapr[[#This Row],[Bucket]],stock[LL or CTL],"LL")</f>
        <v/>
      </c>
      <c r="AQ184" s="599">
        <f>+SUMIFS(wip[Stock(Net Wt)],wip[Bucket],scheduleapr[[#This Row],[Bucket]])/1000</f>
        <v/>
      </c>
      <c r="AR184" s="599">
        <f>AJ184-AN184</f>
        <v/>
      </c>
      <c r="AS184" s="118" t="n"/>
    </row>
    <row r="185">
      <c r="A185" s="594" t="n">
        <v>143</v>
      </c>
      <c r="B185" s="5" t="inlineStr">
        <is>
          <t>Hosur</t>
        </is>
      </c>
      <c r="C185" s="601" t="inlineStr">
        <is>
          <t>Marathwada</t>
        </is>
      </c>
      <c r="D185" s="601" t="inlineStr">
        <is>
          <t>Marathwada</t>
        </is>
      </c>
      <c r="E185" s="601" t="n">
        <v>189002</v>
      </c>
      <c r="F185" s="16" t="n">
        <v>3597679</v>
      </c>
      <c r="G185" s="601">
        <f>_xlfn.CONCAT(scheduleapr[[#This Row],[CUSTOMER CODE]],"-",scheduleapr[[#This Row],[MATERIAL NO]])</f>
        <v/>
      </c>
      <c r="H185" s="601" t="inlineStr">
        <is>
          <t>TUB-S-AW-AUT-19.00X19.00X1.000X6.1400</t>
        </is>
      </c>
      <c r="I185" s="596" t="inlineStr">
        <is>
          <t>CRFH</t>
        </is>
      </c>
      <c r="J185" s="599" t="n"/>
      <c r="K185" s="596" t="inlineStr">
        <is>
          <t>PE</t>
        </is>
      </c>
      <c r="L185" s="601" t="inlineStr">
        <is>
          <t>CR</t>
        </is>
      </c>
      <c r="M185" s="599" t="n"/>
      <c r="N185" s="600" t="n"/>
      <c r="O185" s="601" t="n"/>
      <c r="P185" s="601" t="n"/>
      <c r="Q185" s="557">
        <f>CONCATENATE(scheduleapr[[#This Row],[OD]],"-",scheduleapr[[#This Row],[ID]],"-",scheduleapr[[#This Row],[TICKNESS]],"-",scheduleapr[[#This Row],[Grade]],"-",scheduleapr[[#This Row],[FC/NFC]])</f>
        <v/>
      </c>
      <c r="R185" s="557">
        <f>_xlfn.CONCAT(scheduleapr[[#This Row],[Bucket]],"-",scheduleapr[[#This Row],[LENGTH]]/1000)</f>
        <v/>
      </c>
      <c r="S185" s="557">
        <f>COUNTIF(scheduleapr[CTL Bucket],scheduleapr[[#This Row],[CTL Bucket]])</f>
        <v/>
      </c>
      <c r="T185" s="601" t="inlineStr">
        <is>
          <t>Hosur</t>
        </is>
      </c>
      <c r="U185" s="557" t="n"/>
      <c r="V185" s="557" t="n"/>
      <c r="W185" s="557" t="n"/>
      <c r="X185" s="599" t="n">
        <v>23.42</v>
      </c>
      <c r="Y185" s="599" t="n">
        <v>19</v>
      </c>
      <c r="Z185" s="599" t="n">
        <v>19</v>
      </c>
      <c r="AA185" s="599" t="n">
        <v>1</v>
      </c>
      <c r="AB185" s="600" t="n">
        <v>1000</v>
      </c>
      <c r="AC185" s="600" t="inlineStr">
        <is>
          <t>M</t>
        </is>
      </c>
      <c r="AD185" s="600" t="n"/>
      <c r="AE185" s="600" t="n"/>
      <c r="AF185" s="601" t="n"/>
      <c r="AG185" s="601" t="n"/>
      <c r="AH185" s="601">
        <f t="array" ref="AH1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5" s="602">
        <f>scheduleapr[[#This Row],[SCHEDULE in nos]]-scheduleapr[[#This Row],[DISPATCH]]</f>
        <v/>
      </c>
      <c r="AJ185" s="599">
        <f>(3.14*(scheduleapr[[#This Row],[ACTUAL OD]]-scheduleapr[[#This Row],[TICKNESS]])*scheduleapr[[#This Row],[TICKNESS]]*scheduleapr[[#This Row],[LENGTH]]*7.85)/1000000*scheduleapr[[#This Row],[SCHEDULE in nos]]/1000</f>
        <v/>
      </c>
      <c r="AK185" s="599">
        <f>(3.14*(scheduleapr[[#This Row],[ACTUAL OD]]-scheduleapr[[#This Row],[TICKNESS]])*scheduleapr[[#This Row],[TICKNESS]]*scheduleapr[[#This Row],[LENGTH]]*7.85)/1000000*scheduleapr[[#This Row],[DISPATCH]]/1000</f>
        <v/>
      </c>
      <c r="AL185" s="599">
        <f>AJ185-AK185</f>
        <v/>
      </c>
      <c r="AM185" s="599">
        <f>scheduleapr[[#This Row],[SCHEDULE in nos]]/scheduleapr[[#This Row],[SCHEDULE IN MT]]*scheduleapr[[#This Row],[CTL Stock]]</f>
        <v/>
      </c>
      <c r="AN185" s="599">
        <f>SUMIFS(stock[MT],stock[Bucket],scheduleapr[[#This Row],[Bucket]],stock[CTL Bucket],scheduleapr[[#This Row],[CTL Bucket]],stock[Plant],"0789")</f>
        <v/>
      </c>
      <c r="AO185" s="599" t="n"/>
      <c r="AP185" s="599">
        <f>SUMIFS(stock[MT],stock[Bucket],scheduleapr[[#This Row],[Bucket]],stock[LL or CTL],"LL")</f>
        <v/>
      </c>
      <c r="AQ185" s="599">
        <f>+SUMIFS(wip[Stock(Net Wt)],wip[Bucket],scheduleapr[[#This Row],[Bucket]])/1000</f>
        <v/>
      </c>
      <c r="AR185" s="599">
        <f>AJ185-AN185</f>
        <v/>
      </c>
      <c r="AS185" s="118" t="n"/>
    </row>
    <row r="186">
      <c r="A186" s="594" t="n">
        <v>145</v>
      </c>
      <c r="B186" s="5" t="inlineStr">
        <is>
          <t>Hosur</t>
        </is>
      </c>
      <c r="C186" s="601" t="inlineStr">
        <is>
          <t>Marathwada</t>
        </is>
      </c>
      <c r="D186" s="601" t="inlineStr">
        <is>
          <t>Marathwada</t>
        </is>
      </c>
      <c r="E186" s="601" t="n">
        <v>189002</v>
      </c>
      <c r="F186" s="601" t="n">
        <v>3230494</v>
      </c>
      <c r="G186" s="601">
        <f>_xlfn.CONCAT(scheduleapr[[#This Row],[CUSTOMER CODE]],"-",scheduleapr[[#This Row],[MATERIAL NO]])</f>
        <v/>
      </c>
      <c r="H186" s="601" t="inlineStr">
        <is>
          <t>TUB-S-AW-AUT-19.00X19.00X1.000X1.3000</t>
        </is>
      </c>
      <c r="I186" s="596" t="inlineStr">
        <is>
          <t>CRFH</t>
        </is>
      </c>
      <c r="J186" s="599" t="n"/>
      <c r="K186" s="596" t="inlineStr">
        <is>
          <t>PE</t>
        </is>
      </c>
      <c r="L186" s="601" t="inlineStr">
        <is>
          <t>CR</t>
        </is>
      </c>
      <c r="M186" s="599" t="n"/>
      <c r="N186" s="600" t="n"/>
      <c r="O186" s="601" t="n"/>
      <c r="P186" s="601" t="n"/>
      <c r="Q186" s="557">
        <f>CONCATENATE(scheduleapr[[#This Row],[OD]],"-",scheduleapr[[#This Row],[ID]],"-",scheduleapr[[#This Row],[TICKNESS]],"-",scheduleapr[[#This Row],[Grade]],"-",scheduleapr[[#This Row],[FC/NFC]])</f>
        <v/>
      </c>
      <c r="R186" s="557">
        <f>_xlfn.CONCAT(scheduleapr[[#This Row],[Bucket]],"-",scheduleapr[[#This Row],[LENGTH]]/1000)</f>
        <v/>
      </c>
      <c r="S186" s="557">
        <f>COUNTIF(scheduleapr[CTL Bucket],scheduleapr[[#This Row],[CTL Bucket]])</f>
        <v/>
      </c>
      <c r="T186" s="601" t="inlineStr">
        <is>
          <t>Hosur</t>
        </is>
      </c>
      <c r="U186" s="601" t="n"/>
      <c r="V186" s="557" t="n"/>
      <c r="W186" s="557" t="n"/>
      <c r="X186" s="599" t="n">
        <v>23.42</v>
      </c>
      <c r="Y186" s="599" t="n">
        <v>19</v>
      </c>
      <c r="Z186" s="599" t="n">
        <v>19</v>
      </c>
      <c r="AA186" s="599" t="n">
        <v>1</v>
      </c>
      <c r="AB186" s="600" t="n">
        <v>1007</v>
      </c>
      <c r="AC186" s="600" t="inlineStr">
        <is>
          <t>NOS</t>
        </is>
      </c>
      <c r="AD186" s="600" t="n"/>
      <c r="AE186" s="600" t="n"/>
      <c r="AF186" s="601" t="n"/>
      <c r="AG186" s="601" t="n"/>
      <c r="AH186" s="601">
        <f t="array" ref="AH1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6" s="602">
        <f>scheduleapr[[#This Row],[SCHEDULE in nos]]-scheduleapr[[#This Row],[DISPATCH]]</f>
        <v/>
      </c>
      <c r="AJ186" s="599">
        <f>(3.14*(scheduleapr[[#This Row],[ACTUAL OD]]-scheduleapr[[#This Row],[TICKNESS]])*scheduleapr[[#This Row],[TICKNESS]]*scheduleapr[[#This Row],[LENGTH]]*7.85)/1000000*scheduleapr[[#This Row],[SCHEDULE in nos]]/1000</f>
        <v/>
      </c>
      <c r="AK186" s="599">
        <f>(3.14*(scheduleapr[[#This Row],[ACTUAL OD]]-scheduleapr[[#This Row],[TICKNESS]])*scheduleapr[[#This Row],[TICKNESS]]*scheduleapr[[#This Row],[LENGTH]]*7.85)/1000000*scheduleapr[[#This Row],[DISPATCH]]/1000</f>
        <v/>
      </c>
      <c r="AL186" s="599">
        <f>AJ186-AK186</f>
        <v/>
      </c>
      <c r="AM186" s="599">
        <f>scheduleapr[[#This Row],[SCHEDULE in nos]]/scheduleapr[[#This Row],[SCHEDULE IN MT]]*scheduleapr[[#This Row],[CTL Stock]]</f>
        <v/>
      </c>
      <c r="AN186" s="599">
        <f>SUMIFS(stock[MT],stock[Bucket],scheduleapr[[#This Row],[Bucket]],stock[CTL Bucket],scheduleapr[[#This Row],[CTL Bucket]],stock[Plant],"0789")</f>
        <v/>
      </c>
      <c r="AO186" s="599" t="n"/>
      <c r="AP186" s="599">
        <f>SUMIFS(stock[MT],stock[Bucket],scheduleapr[[#This Row],[Bucket]],stock[LL or CTL],"LL")</f>
        <v/>
      </c>
      <c r="AQ186" s="599">
        <f>+SUMIFS(wip[Stock(Net Wt)],wip[Bucket],scheduleapr[[#This Row],[Bucket]])/1000</f>
        <v/>
      </c>
      <c r="AR186" s="599">
        <f>AJ186-AN186</f>
        <v/>
      </c>
      <c r="AS186" s="118" t="n"/>
    </row>
    <row r="187">
      <c r="A187" s="594" t="n"/>
      <c r="B187" s="5" t="inlineStr">
        <is>
          <t>Hosur</t>
        </is>
      </c>
      <c r="C187" s="601" t="inlineStr">
        <is>
          <t>Marathwada v7</t>
        </is>
      </c>
      <c r="D187" s="601" t="inlineStr">
        <is>
          <t>Marathwada</t>
        </is>
      </c>
      <c r="E187" s="601" t="n">
        <v>189002</v>
      </c>
      <c r="F187" s="542" t="n">
        <v>4100796</v>
      </c>
      <c r="G187" s="601">
        <f>_xlfn.CONCAT(scheduleapr[[#This Row],[CUSTOMER CODE]],"-",scheduleapr[[#This Row],[MATERIAL NO]])</f>
        <v/>
      </c>
      <c r="H187" s="523" t="inlineStr">
        <is>
          <t>CUT-R-AW-AUT-19.00X19.00X1.000X1.0070</t>
        </is>
      </c>
      <c r="I187" s="596" t="inlineStr">
        <is>
          <t>CRFH</t>
        </is>
      </c>
      <c r="J187" s="599" t="n"/>
      <c r="K187" s="596" t="inlineStr">
        <is>
          <t>PE</t>
        </is>
      </c>
      <c r="L187" s="601" t="inlineStr">
        <is>
          <t>CR</t>
        </is>
      </c>
      <c r="M187" s="599" t="n"/>
      <c r="N187" s="600" t="n"/>
      <c r="O187" s="601" t="n"/>
      <c r="P187" s="601" t="n"/>
      <c r="Q187" s="557">
        <f>CONCATENATE(scheduleapr[[#This Row],[OD]],"-",scheduleapr[[#This Row],[ID]],"-",scheduleapr[[#This Row],[TICKNESS]],"-",scheduleapr[[#This Row],[Grade]],"-",scheduleapr[[#This Row],[FC/NFC]])</f>
        <v/>
      </c>
      <c r="R187" s="557">
        <f>_xlfn.CONCAT(scheduleapr[[#This Row],[Bucket]],"-",scheduleapr[[#This Row],[LENGTH]]/1000)</f>
        <v/>
      </c>
      <c r="S187" s="557">
        <f>COUNTIF(scheduleapr[CTL Bucket],scheduleapr[[#This Row],[CTL Bucket]])</f>
        <v/>
      </c>
      <c r="T187" s="601" t="inlineStr">
        <is>
          <t>Hosur</t>
        </is>
      </c>
      <c r="U187" s="601" t="n"/>
      <c r="V187" s="601" t="n"/>
      <c r="W187" s="601" t="n"/>
      <c r="X187" s="599" t="n">
        <v>23.42</v>
      </c>
      <c r="Y187" s="599" t="n">
        <v>19</v>
      </c>
      <c r="Z187" s="599" t="n">
        <v>19</v>
      </c>
      <c r="AA187" s="599" t="n">
        <v>1</v>
      </c>
      <c r="AB187" s="600" t="n">
        <v>1007</v>
      </c>
      <c r="AC187" s="600" t="inlineStr">
        <is>
          <t>NOS</t>
        </is>
      </c>
      <c r="AD187" s="600" t="n"/>
      <c r="AE187" s="600" t="n"/>
      <c r="AF187" s="601" t="n">
        <v>7000</v>
      </c>
      <c r="AG187" s="601" t="n"/>
      <c r="AH187" s="601">
        <f t="array" ref="AH1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7" s="602">
        <f>scheduleapr[[#This Row],[SCHEDULE in nos]]-scheduleapr[[#This Row],[DISPATCH]]</f>
        <v/>
      </c>
      <c r="AJ187" s="599">
        <f>(3.14*(scheduleapr[[#This Row],[ACTUAL OD]]-scheduleapr[[#This Row],[TICKNESS]])*scheduleapr[[#This Row],[TICKNESS]]*scheduleapr[[#This Row],[LENGTH]]*7.85)/1000000*scheduleapr[[#This Row],[SCHEDULE in nos]]/1000</f>
        <v/>
      </c>
      <c r="AK187" s="599">
        <f>(3.14*(scheduleapr[[#This Row],[ACTUAL OD]]-scheduleapr[[#This Row],[TICKNESS]])*scheduleapr[[#This Row],[TICKNESS]]*scheduleapr[[#This Row],[LENGTH]]*7.85)/1000000*scheduleapr[[#This Row],[DISPATCH]]/1000</f>
        <v/>
      </c>
      <c r="AL187" s="599">
        <f>AJ187-AK187</f>
        <v/>
      </c>
      <c r="AM187" s="599">
        <f>scheduleapr[[#This Row],[SCHEDULE in nos]]/scheduleapr[[#This Row],[SCHEDULE IN MT]]*scheduleapr[[#This Row],[CTL Stock]]</f>
        <v/>
      </c>
      <c r="AN187" s="599">
        <f>SUMIFS(stock[MT],stock[Bucket],scheduleapr[[#This Row],[Bucket]],stock[CTL Bucket],scheduleapr[[#This Row],[CTL Bucket]],stock[Plant],"0789")</f>
        <v/>
      </c>
      <c r="AO187" s="599" t="n"/>
      <c r="AP187" s="599">
        <f>SUMIFS(stock[MT],stock[Bucket],scheduleapr[[#This Row],[Bucket]],stock[LL or CTL],"LL")</f>
        <v/>
      </c>
      <c r="AQ187" s="599">
        <f>+SUMIFS(wip[Stock(Net Wt)],wip[Bucket],scheduleapr[[#This Row],[Bucket]])/1000</f>
        <v/>
      </c>
      <c r="AR187" s="599">
        <f>AJ187-AN187</f>
        <v/>
      </c>
      <c r="AS187" s="118" t="n"/>
    </row>
    <row r="188">
      <c r="A188" s="594" t="n">
        <v>770</v>
      </c>
      <c r="B188" s="5" t="inlineStr">
        <is>
          <t>Hosur</t>
        </is>
      </c>
      <c r="C188" s="601" t="inlineStr">
        <is>
          <t>Marathwada v7</t>
        </is>
      </c>
      <c r="D188" s="601" t="inlineStr">
        <is>
          <t>Marathwada</t>
        </is>
      </c>
      <c r="E188" s="601" t="n">
        <v>189002</v>
      </c>
      <c r="F188" s="601" t="n">
        <v>4100796</v>
      </c>
      <c r="G188" s="601">
        <f>_xlfn.CONCAT(scheduleapr[[#This Row],[CUSTOMER CODE]],"-",scheduleapr[[#This Row],[MATERIAL NO]])</f>
        <v/>
      </c>
      <c r="H188" s="601" t="inlineStr">
        <is>
          <t>CUT-R-AW-AUT-19.00X19.00X1.000X1.0070</t>
        </is>
      </c>
      <c r="I188" s="596" t="inlineStr">
        <is>
          <t>CRFH</t>
        </is>
      </c>
      <c r="J188" s="599" t="n"/>
      <c r="K188" s="596" t="inlineStr">
        <is>
          <t>PE</t>
        </is>
      </c>
      <c r="L188" s="601" t="inlineStr">
        <is>
          <t>CR</t>
        </is>
      </c>
      <c r="M188" s="599" t="n"/>
      <c r="N188" s="600" t="n"/>
      <c r="O188" s="601" t="n"/>
      <c r="P188" s="601" t="n"/>
      <c r="Q188" s="557">
        <f>CONCATENATE(scheduleapr[[#This Row],[OD]],"-",scheduleapr[[#This Row],[ID]],"-",scheduleapr[[#This Row],[TICKNESS]],"-",scheduleapr[[#This Row],[Grade]],"-",scheduleapr[[#This Row],[FC/NFC]])</f>
        <v/>
      </c>
      <c r="R188" s="557">
        <f>_xlfn.CONCAT(scheduleapr[[#This Row],[Bucket]],"-",scheduleapr[[#This Row],[LENGTH]]/1000)</f>
        <v/>
      </c>
      <c r="S188" s="557">
        <f>COUNTIF(scheduleapr[CTL Bucket],scheduleapr[[#This Row],[CTL Bucket]])</f>
        <v/>
      </c>
      <c r="T188" s="601" t="inlineStr">
        <is>
          <t>Hosur</t>
        </is>
      </c>
      <c r="U188" s="601" t="n"/>
      <c r="V188" s="601" t="n"/>
      <c r="W188" s="601" t="n"/>
      <c r="X188" s="599" t="n">
        <v>23.42</v>
      </c>
      <c r="Y188" s="599" t="n">
        <v>19</v>
      </c>
      <c r="Z188" s="599" t="n">
        <v>19</v>
      </c>
      <c r="AA188" s="599" t="n">
        <v>1</v>
      </c>
      <c r="AB188" s="600" t="n">
        <v>1007</v>
      </c>
      <c r="AC188" s="81" t="inlineStr">
        <is>
          <t>NOS</t>
        </is>
      </c>
      <c r="AD188" s="81" t="n"/>
      <c r="AE188" s="81" t="n"/>
      <c r="AF188" s="601" t="n"/>
      <c r="AG188" s="601" t="n"/>
      <c r="AH188" s="601">
        <f t="array" ref="AH1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8" s="602">
        <f>scheduleapr[[#This Row],[SCHEDULE in nos]]-scheduleapr[[#This Row],[DISPATCH]]</f>
        <v/>
      </c>
      <c r="AJ188" s="599">
        <f>(3.14*(scheduleapr[[#This Row],[ACTUAL OD]]-scheduleapr[[#This Row],[TICKNESS]])*scheduleapr[[#This Row],[TICKNESS]]*scheduleapr[[#This Row],[LENGTH]]*7.85)/1000000*scheduleapr[[#This Row],[SCHEDULE in nos]]/1000</f>
        <v/>
      </c>
      <c r="AK188" s="599">
        <f>(3.14*(scheduleapr[[#This Row],[ACTUAL OD]]-scheduleapr[[#This Row],[TICKNESS]])*scheduleapr[[#This Row],[TICKNESS]]*scheduleapr[[#This Row],[LENGTH]]*7.85)/1000000*scheduleapr[[#This Row],[DISPATCH]]/1000</f>
        <v/>
      </c>
      <c r="AL188" s="599">
        <f>AJ188-AK188</f>
        <v/>
      </c>
      <c r="AM188" s="599">
        <f>scheduleapr[[#This Row],[SCHEDULE in nos]]/scheduleapr[[#This Row],[SCHEDULE IN MT]]*scheduleapr[[#This Row],[CTL Stock]]</f>
        <v/>
      </c>
      <c r="AN188" s="599">
        <f>SUMIFS(stock[MT],stock[Bucket],scheduleapr[[#This Row],[Bucket]],stock[LL or CTL],"LL")</f>
        <v/>
      </c>
      <c r="AO188" s="599">
        <f>+SUMIFS(wip[Stock(Net Wt)],wip[Bucket],scheduleapr[[#This Row],[Bucket]])/1000</f>
        <v/>
      </c>
      <c r="AP188" s="599">
        <f>AH188-AL188</f>
        <v/>
      </c>
      <c r="AQ188" s="599">
        <f>+SUMIFS(wip[Stock(Net Wt)],wip[Bucket],scheduleapr[[#This Row],[Bucket]])/1000</f>
        <v/>
      </c>
      <c r="AR188" s="599">
        <f>AJ188-AN188</f>
        <v/>
      </c>
      <c r="AS188" s="118" t="n"/>
    </row>
    <row r="189">
      <c r="A189" s="594" t="n"/>
      <c r="B189" s="5" t="inlineStr">
        <is>
          <t>Hosur</t>
        </is>
      </c>
      <c r="C189" s="601" t="inlineStr">
        <is>
          <t>Marathwada</t>
        </is>
      </c>
      <c r="D189" s="601" t="inlineStr">
        <is>
          <t>Marathwada</t>
        </is>
      </c>
      <c r="E189" s="601" t="n">
        <v>189002</v>
      </c>
      <c r="F189" s="523" t="n">
        <v>3572038</v>
      </c>
      <c r="G189" s="601">
        <f>_xlfn.CONCAT(scheduleapr[[#This Row],[CUSTOMER CODE]],"-",scheduleapr[[#This Row],[MATERIAL NO]])</f>
        <v/>
      </c>
      <c r="H189" s="523" t="inlineStr">
        <is>
          <t>TUB-S-AW-AUT-19.00X19.00X1.000X1.2460</t>
        </is>
      </c>
      <c r="I189" s="596" t="inlineStr">
        <is>
          <t>CRFH</t>
        </is>
      </c>
      <c r="J189" s="599" t="n"/>
      <c r="K189" s="596" t="inlineStr">
        <is>
          <t>PE</t>
        </is>
      </c>
      <c r="L189" s="601" t="inlineStr">
        <is>
          <t>CR</t>
        </is>
      </c>
      <c r="M189" s="599" t="n"/>
      <c r="N189" s="600" t="n"/>
      <c r="O189" s="601" t="n"/>
      <c r="P189" s="601" t="n"/>
      <c r="Q189" s="557">
        <f>CONCATENATE(scheduleapr[[#This Row],[OD]],"-",scheduleapr[[#This Row],[ID]],"-",scheduleapr[[#This Row],[TICKNESS]],"-",scheduleapr[[#This Row],[Grade]],"-",scheduleapr[[#This Row],[FC/NFC]])</f>
        <v/>
      </c>
      <c r="R189" s="557">
        <f>_xlfn.CONCAT(scheduleapr[[#This Row],[Bucket]],"-",scheduleapr[[#This Row],[LENGTH]]/1000)</f>
        <v/>
      </c>
      <c r="S189" s="557">
        <f>COUNTIF(scheduleapr[CTL Bucket],scheduleapr[[#This Row],[CTL Bucket]])</f>
        <v/>
      </c>
      <c r="T189" s="601" t="inlineStr">
        <is>
          <t>Hosur</t>
        </is>
      </c>
      <c r="U189" s="601" t="n"/>
      <c r="V189" s="601" t="n"/>
      <c r="W189" s="601" t="n"/>
      <c r="X189" s="599" t="n">
        <v>23.42</v>
      </c>
      <c r="Y189" s="599" t="n">
        <v>19</v>
      </c>
      <c r="Z189" s="599" t="n">
        <v>19</v>
      </c>
      <c r="AA189" s="599" t="n">
        <v>1</v>
      </c>
      <c r="AB189" s="600" t="n">
        <v>1246</v>
      </c>
      <c r="AC189" s="600" t="inlineStr">
        <is>
          <t>NOS</t>
        </is>
      </c>
      <c r="AD189" s="600" t="n"/>
      <c r="AE189" s="600" t="n"/>
      <c r="AF189" s="601" t="n"/>
      <c r="AG189" s="601" t="n"/>
      <c r="AH189" s="601">
        <f t="array" ref="AH1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89" s="602">
        <f>scheduleapr[[#This Row],[SCHEDULE in nos]]-scheduleapr[[#This Row],[DISPATCH]]</f>
        <v/>
      </c>
      <c r="AJ189" s="599">
        <f>(3.14*(scheduleapr[[#This Row],[ACTUAL OD]]-scheduleapr[[#This Row],[TICKNESS]])*scheduleapr[[#This Row],[TICKNESS]]*scheduleapr[[#This Row],[LENGTH]]*7.85)/1000000*scheduleapr[[#This Row],[SCHEDULE in nos]]/1000</f>
        <v/>
      </c>
      <c r="AK189" s="599">
        <f>(3.14*(scheduleapr[[#This Row],[ACTUAL OD]]-scheduleapr[[#This Row],[TICKNESS]])*scheduleapr[[#This Row],[TICKNESS]]*scheduleapr[[#This Row],[LENGTH]]*7.85)/1000000*scheduleapr[[#This Row],[DISPATCH]]/1000</f>
        <v/>
      </c>
      <c r="AL189" s="599">
        <f>AJ189-AK189</f>
        <v/>
      </c>
      <c r="AM189" s="599">
        <f>scheduleapr[[#This Row],[SCHEDULE in nos]]/scheduleapr[[#This Row],[SCHEDULE IN MT]]*scheduleapr[[#This Row],[CTL Stock]]</f>
        <v/>
      </c>
      <c r="AN189" s="599">
        <f>SUMIFS(stock[MT],stock[Bucket],scheduleapr[[#This Row],[Bucket]],stock[CTL Bucket],scheduleapr[[#This Row],[CTL Bucket]],stock[Plant],"0789")</f>
        <v/>
      </c>
      <c r="AO189" s="599" t="n"/>
      <c r="AP189" s="599">
        <f>SUMIFS(stock[MT],stock[Bucket],scheduleapr[[#This Row],[Bucket]],stock[LL or CTL],"LL")</f>
        <v/>
      </c>
      <c r="AQ189" s="599">
        <f>+SUMIFS(wip[Stock(Net Wt)],wip[Bucket],scheduleapr[[#This Row],[Bucket]])/1000</f>
        <v/>
      </c>
      <c r="AR189" s="599">
        <f>AJ189-AN189</f>
        <v/>
      </c>
      <c r="AS189" s="118" t="n"/>
    </row>
    <row r="190">
      <c r="A190" s="594" t="n">
        <v>769</v>
      </c>
      <c r="B190" s="5" t="inlineStr">
        <is>
          <t>Hosur</t>
        </is>
      </c>
      <c r="C190" s="601" t="inlineStr">
        <is>
          <t>Marathwada v7</t>
        </is>
      </c>
      <c r="D190" s="601" t="inlineStr">
        <is>
          <t>Marathwada</t>
        </is>
      </c>
      <c r="E190" s="601" t="n">
        <v>189002</v>
      </c>
      <c r="F190" s="601" t="n">
        <v>3572038</v>
      </c>
      <c r="G190" s="601">
        <f>_xlfn.CONCAT(scheduleapr[[#This Row],[CUSTOMER CODE]],"-",scheduleapr[[#This Row],[MATERIAL NO]])</f>
        <v/>
      </c>
      <c r="H190" s="601" t="inlineStr">
        <is>
          <t>TUB-S-AW-AUT-19.00X19.00X1.000X1.2460</t>
        </is>
      </c>
      <c r="I190" s="596" t="inlineStr">
        <is>
          <t>CRFH</t>
        </is>
      </c>
      <c r="J190" s="599" t="n"/>
      <c r="K190" s="596" t="inlineStr">
        <is>
          <t>PE</t>
        </is>
      </c>
      <c r="L190" s="601" t="inlineStr">
        <is>
          <t>CR</t>
        </is>
      </c>
      <c r="M190" s="599" t="n"/>
      <c r="N190" s="600" t="n"/>
      <c r="O190" s="601" t="n"/>
      <c r="P190" s="601" t="n"/>
      <c r="Q190" s="557">
        <f>CONCATENATE(scheduleapr[[#This Row],[OD]],"-",scheduleapr[[#This Row],[ID]],"-",scheduleapr[[#This Row],[TICKNESS]],"-",scheduleapr[[#This Row],[Grade]],"-",scheduleapr[[#This Row],[FC/NFC]])</f>
        <v/>
      </c>
      <c r="R190" s="557">
        <f>_xlfn.CONCAT(scheduleapr[[#This Row],[Bucket]],"-",scheduleapr[[#This Row],[LENGTH]]/1000)</f>
        <v/>
      </c>
      <c r="S190" s="557">
        <f>COUNTIF(scheduleapr[CTL Bucket],scheduleapr[[#This Row],[CTL Bucket]])</f>
        <v/>
      </c>
      <c r="T190" s="601" t="inlineStr">
        <is>
          <t>Hosur</t>
        </is>
      </c>
      <c r="U190" s="601" t="n"/>
      <c r="V190" s="601" t="n"/>
      <c r="W190" s="601" t="n"/>
      <c r="X190" s="599" t="n">
        <v>23.42</v>
      </c>
      <c r="Y190" s="599" t="n">
        <v>19</v>
      </c>
      <c r="Z190" s="599" t="n">
        <v>19</v>
      </c>
      <c r="AA190" s="599" t="n">
        <v>1</v>
      </c>
      <c r="AB190" s="600" t="n">
        <v>1246</v>
      </c>
      <c r="AC190" s="600" t="inlineStr">
        <is>
          <t>NOS</t>
        </is>
      </c>
      <c r="AD190" s="600" t="n"/>
      <c r="AE190" s="600" t="n"/>
      <c r="AF190" s="601" t="n">
        <v>7000</v>
      </c>
      <c r="AG190" s="601" t="n"/>
      <c r="AH190" s="601">
        <f t="array" ref="AH1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0" s="602">
        <f>scheduleapr[[#This Row],[SCHEDULE in nos]]-scheduleapr[[#This Row],[DISPATCH]]</f>
        <v/>
      </c>
      <c r="AJ190" s="599">
        <f>(3.14*(scheduleapr[[#This Row],[ACTUAL OD]]-scheduleapr[[#This Row],[TICKNESS]])*scheduleapr[[#This Row],[TICKNESS]]*scheduleapr[[#This Row],[LENGTH]]*7.85)/1000000*scheduleapr[[#This Row],[SCHEDULE in nos]]/1000</f>
        <v/>
      </c>
      <c r="AK190" s="599">
        <f>(3.14*(scheduleapr[[#This Row],[ACTUAL OD]]-scheduleapr[[#This Row],[TICKNESS]])*scheduleapr[[#This Row],[TICKNESS]]*scheduleapr[[#This Row],[LENGTH]]*7.85)/1000000*scheduleapr[[#This Row],[DISPATCH]]/1000</f>
        <v/>
      </c>
      <c r="AL190" s="599">
        <f>AJ190-AK190</f>
        <v/>
      </c>
      <c r="AM190" s="599">
        <f>scheduleapr[[#This Row],[SCHEDULE in nos]]/scheduleapr[[#This Row],[SCHEDULE IN MT]]*scheduleapr[[#This Row],[CTL Stock]]</f>
        <v/>
      </c>
      <c r="AN190" s="599">
        <f>SUMIFS(stock[MT],stock[Bucket],scheduleapr[[#This Row],[Bucket]],stock[LL or CTL],"LL")</f>
        <v/>
      </c>
      <c r="AO190" s="599">
        <f>+SUMIFS(wip[Stock(Net Wt)],wip[Bucket],scheduleapr[[#This Row],[Bucket]])/1000</f>
        <v/>
      </c>
      <c r="AP190" s="599">
        <f>AH190-AL190</f>
        <v/>
      </c>
      <c r="AQ190" s="599">
        <f>+SUMIFS(wip[Stock(Net Wt)],wip[Bucket],scheduleapr[[#This Row],[Bucket]])/1000</f>
        <v/>
      </c>
      <c r="AR190" s="599">
        <f>AJ190-AN190</f>
        <v/>
      </c>
      <c r="AS190" s="118" t="n"/>
    </row>
    <row r="191">
      <c r="A191" s="594" t="n">
        <v>763</v>
      </c>
      <c r="B191" s="5" t="inlineStr">
        <is>
          <t>Hosur</t>
        </is>
      </c>
      <c r="C191" s="601" t="inlineStr">
        <is>
          <t>Marathwada v7</t>
        </is>
      </c>
      <c r="D191" s="601" t="inlineStr">
        <is>
          <t>Marathwada</t>
        </is>
      </c>
      <c r="E191" s="601" t="n">
        <v>189002</v>
      </c>
      <c r="F191" s="601" t="n">
        <v>3572039</v>
      </c>
      <c r="G191" s="601">
        <f>_xlfn.CONCAT(scheduleapr[[#This Row],[CUSTOMER CODE]],"-",scheduleapr[[#This Row],[MATERIAL NO]])</f>
        <v/>
      </c>
      <c r="H191" s="601" t="inlineStr">
        <is>
          <t>TUB-S-AW-AUT-19.00X19.00X1.000X1.3040</t>
        </is>
      </c>
      <c r="I191" s="596" t="inlineStr">
        <is>
          <t>CRFH</t>
        </is>
      </c>
      <c r="J191" s="599" t="n"/>
      <c r="K191" s="596" t="inlineStr">
        <is>
          <t>PE</t>
        </is>
      </c>
      <c r="L191" s="601" t="inlineStr">
        <is>
          <t>CR</t>
        </is>
      </c>
      <c r="M191" s="599" t="n"/>
      <c r="N191" s="600" t="n"/>
      <c r="O191" s="601" t="n"/>
      <c r="P191" s="601" t="n"/>
      <c r="Q191" s="557">
        <f>CONCATENATE(scheduleapr[[#This Row],[OD]],"-",scheduleapr[[#This Row],[ID]],"-",scheduleapr[[#This Row],[TICKNESS]],"-",scheduleapr[[#This Row],[Grade]],"-",scheduleapr[[#This Row],[FC/NFC]])</f>
        <v/>
      </c>
      <c r="R191" s="557">
        <f>_xlfn.CONCAT(scheduleapr[[#This Row],[Bucket]],"-",scheduleapr[[#This Row],[LENGTH]]/1000)</f>
        <v/>
      </c>
      <c r="S191" s="557">
        <f>COUNTIF(scheduleapr[CTL Bucket],scheduleapr[[#This Row],[CTL Bucket]])</f>
        <v/>
      </c>
      <c r="T191" s="601" t="inlineStr">
        <is>
          <t>Hosur</t>
        </is>
      </c>
      <c r="U191" s="601" t="n"/>
      <c r="V191" s="601" t="n"/>
      <c r="W191" s="601" t="n"/>
      <c r="X191" s="599" t="n">
        <v>23.42</v>
      </c>
      <c r="Y191" s="599" t="n">
        <v>19</v>
      </c>
      <c r="Z191" s="599" t="n">
        <v>19</v>
      </c>
      <c r="AA191" s="599" t="n">
        <v>1</v>
      </c>
      <c r="AB191" s="600" t="n">
        <v>1304</v>
      </c>
      <c r="AC191" s="600" t="inlineStr">
        <is>
          <t>NOS</t>
        </is>
      </c>
      <c r="AD191" s="600" t="n"/>
      <c r="AE191" s="600" t="n"/>
      <c r="AF191" s="100" t="n"/>
      <c r="AG191" s="100" t="n"/>
      <c r="AH191" s="601">
        <f t="array" ref="AH1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1" s="602">
        <f>scheduleapr[[#This Row],[SCHEDULE in nos]]-scheduleapr[[#This Row],[DISPATCH]]</f>
        <v/>
      </c>
      <c r="AJ191" s="599">
        <f>(3.14*(scheduleapr[[#This Row],[ACTUAL OD]]-scheduleapr[[#This Row],[TICKNESS]])*scheduleapr[[#This Row],[TICKNESS]]*scheduleapr[[#This Row],[LENGTH]]*7.85)/1000000*scheduleapr[[#This Row],[SCHEDULE in nos]]/1000</f>
        <v/>
      </c>
      <c r="AK191" s="599">
        <f>(3.14*(scheduleapr[[#This Row],[ACTUAL OD]]-scheduleapr[[#This Row],[TICKNESS]])*scheduleapr[[#This Row],[TICKNESS]]*scheduleapr[[#This Row],[LENGTH]]*7.85)/1000000*scheduleapr[[#This Row],[DISPATCH]]/1000</f>
        <v/>
      </c>
      <c r="AL191" s="599">
        <f>AJ191-AK191</f>
        <v/>
      </c>
      <c r="AM191" s="599">
        <f>scheduleapr[[#This Row],[SCHEDULE in nos]]/scheduleapr[[#This Row],[SCHEDULE IN MT]]*scheduleapr[[#This Row],[CTL Stock]]</f>
        <v/>
      </c>
      <c r="AN191" s="599">
        <f>SUMIFS(stock[MT],stock[Bucket],scheduleapr[[#This Row],[Bucket]],stock[LL or CTL],"LL")</f>
        <v/>
      </c>
      <c r="AO191" s="599">
        <f>+SUMIFS(wip[Stock(Net Wt)],wip[Bucket],scheduleapr[[#This Row],[Bucket]])/1000</f>
        <v/>
      </c>
      <c r="AP191" s="599">
        <f>AH191-AL191</f>
        <v/>
      </c>
      <c r="AQ191" s="599">
        <f>+SUMIFS(wip[Stock(Net Wt)],wip[Bucket],scheduleapr[[#This Row],[Bucket]])/1000</f>
        <v/>
      </c>
      <c r="AR191" s="599">
        <f>AJ191-AN191</f>
        <v/>
      </c>
      <c r="AS191" s="118" t="n"/>
    </row>
    <row r="192">
      <c r="A192" s="594" t="n">
        <v>153</v>
      </c>
      <c r="B192" s="5" t="inlineStr">
        <is>
          <t>Hosur</t>
        </is>
      </c>
      <c r="C192" s="601" t="inlineStr">
        <is>
          <t>Marathwada v7</t>
        </is>
      </c>
      <c r="D192" s="601" t="inlineStr">
        <is>
          <t>Marathwada</t>
        </is>
      </c>
      <c r="E192" s="601" t="n">
        <v>189002</v>
      </c>
      <c r="F192" s="601" t="n">
        <v>3230483</v>
      </c>
      <c r="G192" s="601">
        <f>_xlfn.CONCAT(scheduleapr[[#This Row],[CUSTOMER CODE]],"-",scheduleapr[[#This Row],[MATERIAL NO]])</f>
        <v/>
      </c>
      <c r="H192" s="601" t="inlineStr">
        <is>
          <t>TUB-S-AW-AUT-25.00X25.00X1.200X0.3300</t>
        </is>
      </c>
      <c r="I192" s="601" t="inlineStr">
        <is>
          <t>CRFH</t>
        </is>
      </c>
      <c r="J192" s="601" t="n"/>
      <c r="K192" s="601" t="inlineStr">
        <is>
          <t>PE</t>
        </is>
      </c>
      <c r="L192" s="601" t="inlineStr">
        <is>
          <t>CR</t>
        </is>
      </c>
      <c r="M192" s="601" t="n"/>
      <c r="N192" s="601" t="n"/>
      <c r="O192" s="601" t="n"/>
      <c r="P192" s="601" t="n"/>
      <c r="Q192" s="557">
        <f>CONCATENATE(scheduleapr[[#This Row],[OD]],"-",scheduleapr[[#This Row],[ID]],"-",scheduleapr[[#This Row],[TICKNESS]],"-",scheduleapr[[#This Row],[Grade]],"-",scheduleapr[[#This Row],[FC/NFC]])</f>
        <v/>
      </c>
      <c r="R192" s="557">
        <f>_xlfn.CONCAT(scheduleapr[[#This Row],[Bucket]],"-",scheduleapr[[#This Row],[LENGTH]]/1000)</f>
        <v/>
      </c>
      <c r="S192" s="557">
        <f>COUNTIF([2]!buckets[CTL Bucket],[2]!scheduleapr[[#This Row],[CTL Bucket]])</f>
        <v/>
      </c>
      <c r="T192" s="557" t="n"/>
      <c r="U192" s="557" t="n"/>
      <c r="V192" s="557" t="n"/>
      <c r="W192" s="557" t="n"/>
      <c r="X192" s="599" t="n">
        <v>31.75</v>
      </c>
      <c r="Y192" s="599" t="n">
        <v>25</v>
      </c>
      <c r="Z192" s="599" t="n">
        <v>25</v>
      </c>
      <c r="AA192" s="599" t="n">
        <v>1.2</v>
      </c>
      <c r="AB192" s="600" t="n">
        <v>330</v>
      </c>
      <c r="AC192" s="600" t="inlineStr">
        <is>
          <t>NOS</t>
        </is>
      </c>
      <c r="AD192" s="600" t="n"/>
      <c r="AE192" s="600" t="n"/>
      <c r="AF192" s="540" t="n"/>
      <c r="AG192" s="48" t="n"/>
      <c r="AH192" s="601">
        <f t="array" ref="AH1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2" s="602">
        <f>scheduleapr[[#This Row],[SCHEDULE in nos]]-scheduleapr[[#This Row],[DISPATCH]]</f>
        <v/>
      </c>
      <c r="AJ192" s="599">
        <f>(3.14*(scheduleapr[[#This Row],[ACTUAL OD]]-scheduleapr[[#This Row],[TICKNESS]])*scheduleapr[[#This Row],[TICKNESS]]*scheduleapr[[#This Row],[LENGTH]]*7.85)/1000000*scheduleapr[[#This Row],[SCHEDULE in nos]]/1000</f>
        <v/>
      </c>
      <c r="AK192" s="599">
        <f>(3.14*(scheduleapr[[#This Row],[ACTUAL OD]]-scheduleapr[[#This Row],[TICKNESS]])*scheduleapr[[#This Row],[TICKNESS]]*scheduleapr[[#This Row],[LENGTH]]*7.85)/1000000*scheduleapr[[#This Row],[DISPATCH]]/1000</f>
        <v/>
      </c>
      <c r="AL192" s="599">
        <f>AJ192-AK192</f>
        <v/>
      </c>
      <c r="AM192" s="599">
        <f>scheduleapr[[#This Row],[SCHEDULE in nos]]/scheduleapr[[#This Row],[SCHEDULE IN MT]]*scheduleapr[[#This Row],[CTL Stock]]</f>
        <v/>
      </c>
      <c r="AN192" s="599">
        <f>SUMIFS(stock[MT],stock[Bucket],scheduleapr[[#This Row],[Bucket]],stock[CTL Bucket],scheduleapr[[#This Row],[CTL Bucket]],stock[Plant],"0789")</f>
        <v/>
      </c>
      <c r="AO192" s="599" t="n"/>
      <c r="AP192" s="599">
        <f>SUMIFS(stock[MT],stock[Bucket],scheduleapr[[#This Row],[Bucket]],stock[LL or CTL],"LL")</f>
        <v/>
      </c>
      <c r="AQ192" s="599">
        <f>+SUMIFS(wip[Stock(Net Wt)],wip[Bucket],scheduleapr[[#This Row],[Bucket]])/1000</f>
        <v/>
      </c>
      <c r="AR192" s="599">
        <f>AJ192-AN192</f>
        <v/>
      </c>
      <c r="AS192" s="118" t="n"/>
    </row>
    <row r="193">
      <c r="A193" s="594" t="n">
        <v>766</v>
      </c>
      <c r="B193" s="5" t="inlineStr">
        <is>
          <t>Hosur</t>
        </is>
      </c>
      <c r="C193" s="601" t="inlineStr">
        <is>
          <t>Marathwada v7</t>
        </is>
      </c>
      <c r="D193" s="601" t="inlineStr">
        <is>
          <t>Marathwada</t>
        </is>
      </c>
      <c r="E193" s="601" t="n">
        <v>189002</v>
      </c>
      <c r="F193" s="601" t="n">
        <v>4151430</v>
      </c>
      <c r="G193" s="601">
        <f>_xlfn.CONCAT(scheduleapr[[#This Row],[CUSTOMER CODE]],"-",scheduleapr[[#This Row],[MATERIAL NO]])</f>
        <v/>
      </c>
      <c r="H193" s="601" t="inlineStr">
        <is>
          <t>TUB-S-AW-AUT-25.00X25.00X1.200X0.6400</t>
        </is>
      </c>
      <c r="I193" s="601" t="inlineStr">
        <is>
          <t>CRFH</t>
        </is>
      </c>
      <c r="J193" s="596" t="n"/>
      <c r="K193" s="596" t="inlineStr">
        <is>
          <t>PE</t>
        </is>
      </c>
      <c r="L193" s="601" t="inlineStr">
        <is>
          <t>CR</t>
        </is>
      </c>
      <c r="M193" s="596" t="n"/>
      <c r="N193" s="596" t="n"/>
      <c r="O193" s="596" t="n"/>
      <c r="P193" s="596" t="n"/>
      <c r="Q193" s="557">
        <f>CONCATENATE(scheduleapr[[#This Row],[OD]],"-",scheduleapr[[#This Row],[ID]],"-",scheduleapr[[#This Row],[TICKNESS]],"-",scheduleapr[[#This Row],[Grade]],"-",scheduleapr[[#This Row],[FC/NFC]])</f>
        <v/>
      </c>
      <c r="R193" s="557">
        <f>_xlfn.CONCAT(scheduleapr[[#This Row],[Bucket]],"-",scheduleapr[[#This Row],[LENGTH]]/1000)</f>
        <v/>
      </c>
      <c r="S193" s="557">
        <f>COUNTIF(scheduleapr[CTL Bucket],scheduleapr[[#This Row],[CTL Bucket]])</f>
        <v/>
      </c>
      <c r="T193" s="601" t="inlineStr">
        <is>
          <t>Hosur</t>
        </is>
      </c>
      <c r="U193" s="601" t="n"/>
      <c r="V193" s="601" t="n"/>
      <c r="W193" s="601" t="n"/>
      <c r="X193" s="599" t="n">
        <v>31.75</v>
      </c>
      <c r="Y193" s="599" t="n">
        <v>25</v>
      </c>
      <c r="Z193" s="599" t="n">
        <v>25</v>
      </c>
      <c r="AA193" s="599" t="n">
        <v>1.2</v>
      </c>
      <c r="AB193" s="600" t="n">
        <v>640</v>
      </c>
      <c r="AC193" s="600" t="inlineStr">
        <is>
          <t>NOS</t>
        </is>
      </c>
      <c r="AD193" s="600" t="n"/>
      <c r="AE193" s="600" t="n"/>
      <c r="AF193" s="540" t="n"/>
      <c r="AG193" s="48" t="n"/>
      <c r="AH193" s="601">
        <f t="array" ref="AH1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3" s="602">
        <f>scheduleapr[[#This Row],[SCHEDULE in nos]]-scheduleapr[[#This Row],[DISPATCH]]</f>
        <v/>
      </c>
      <c r="AJ193" s="599">
        <f>(3.14*(scheduleapr[[#This Row],[ACTUAL OD]]-scheduleapr[[#This Row],[TICKNESS]])*scheduleapr[[#This Row],[TICKNESS]]*scheduleapr[[#This Row],[LENGTH]]*7.85)/1000000*scheduleapr[[#This Row],[SCHEDULE in nos]]/1000</f>
        <v/>
      </c>
      <c r="AK193" s="599">
        <f>(3.14*(scheduleapr[[#This Row],[ACTUAL OD]]-scheduleapr[[#This Row],[TICKNESS]])*scheduleapr[[#This Row],[TICKNESS]]*scheduleapr[[#This Row],[LENGTH]]*7.85)/1000000*scheduleapr[[#This Row],[DISPATCH]]/1000</f>
        <v/>
      </c>
      <c r="AL193" s="599">
        <f>AJ193-AK193</f>
        <v/>
      </c>
      <c r="AM193" s="599">
        <f>scheduleapr[[#This Row],[SCHEDULE in nos]]/scheduleapr[[#This Row],[SCHEDULE IN MT]]*scheduleapr[[#This Row],[CTL Stock]]</f>
        <v/>
      </c>
      <c r="AN193" s="599">
        <f>SUMIFS(stock[MT],stock[Bucket],scheduleapr[[#This Row],[Bucket]],stock[LL or CTL],"LL")</f>
        <v/>
      </c>
      <c r="AO193" s="599">
        <f>+SUMIFS(wip[Stock(Net Wt)],wip[Bucket],scheduleapr[[#This Row],[Bucket]])/1000</f>
        <v/>
      </c>
      <c r="AP193" s="599">
        <f>AH193-AL193</f>
        <v/>
      </c>
      <c r="AQ193" s="599">
        <f>+SUMIFS(wip[Stock(Net Wt)],wip[Bucket],scheduleapr[[#This Row],[Bucket]])/1000</f>
        <v/>
      </c>
      <c r="AR193" s="599">
        <f>AJ193-AN193</f>
        <v/>
      </c>
      <c r="AS193" s="118" t="n"/>
    </row>
    <row r="194">
      <c r="A194" s="594" t="n">
        <v>154</v>
      </c>
      <c r="B194" s="5" t="inlineStr">
        <is>
          <t>Hosur</t>
        </is>
      </c>
      <c r="C194" s="601" t="inlineStr">
        <is>
          <t>Marathwada v7</t>
        </is>
      </c>
      <c r="D194" s="601" t="inlineStr">
        <is>
          <t>Marathwada</t>
        </is>
      </c>
      <c r="E194" s="601" t="n">
        <v>189002</v>
      </c>
      <c r="F194" s="601" t="n">
        <v>3230482</v>
      </c>
      <c r="G194" s="601">
        <f>_xlfn.CONCAT(scheduleapr[[#This Row],[CUSTOMER CODE]],"-",scheduleapr[[#This Row],[MATERIAL NO]])</f>
        <v/>
      </c>
      <c r="H194" s="601" t="inlineStr">
        <is>
          <t>TUB-S-AW-AUT-25.00X25.00X1.200X0.7870</t>
        </is>
      </c>
      <c r="I194" s="601" t="inlineStr">
        <is>
          <t>CRFH</t>
        </is>
      </c>
      <c r="J194" s="601" t="n"/>
      <c r="K194" s="601" t="inlineStr">
        <is>
          <t>PE</t>
        </is>
      </c>
      <c r="L194" s="601" t="inlineStr">
        <is>
          <t>CR</t>
        </is>
      </c>
      <c r="M194" s="601" t="n"/>
      <c r="N194" s="601" t="n"/>
      <c r="O194" s="601" t="n"/>
      <c r="P194" s="601" t="n"/>
      <c r="Q194" s="557">
        <f>CONCATENATE(scheduleapr[[#This Row],[OD]],"-",scheduleapr[[#This Row],[ID]],"-",scheduleapr[[#This Row],[TICKNESS]],"-",scheduleapr[[#This Row],[Grade]],"-",scheduleapr[[#This Row],[FC/NFC]])</f>
        <v/>
      </c>
      <c r="R194" s="557">
        <f>_xlfn.CONCAT(scheduleapr[[#This Row],[Bucket]],"-",scheduleapr[[#This Row],[LENGTH]]/1000)</f>
        <v/>
      </c>
      <c r="S194" s="557">
        <f>COUNTIF(scheduleapr[CTL Bucket],scheduleapr[[#This Row],[CTL Bucket]])</f>
        <v/>
      </c>
      <c r="T194" s="601" t="inlineStr">
        <is>
          <t>Hosur</t>
        </is>
      </c>
      <c r="U194" s="601" t="n"/>
      <c r="V194" s="557" t="n"/>
      <c r="W194" s="557" t="n"/>
      <c r="X194" s="599" t="n">
        <v>31.75</v>
      </c>
      <c r="Y194" s="599" t="n">
        <v>25</v>
      </c>
      <c r="Z194" s="599" t="n">
        <v>25</v>
      </c>
      <c r="AA194" s="599" t="n">
        <v>1.2</v>
      </c>
      <c r="AB194" s="600" t="n">
        <v>787</v>
      </c>
      <c r="AC194" s="600" t="inlineStr">
        <is>
          <t>NOS</t>
        </is>
      </c>
      <c r="AD194" s="600" t="n"/>
      <c r="AE194" s="600" t="n"/>
      <c r="AF194" s="540" t="n">
        <v>14000</v>
      </c>
      <c r="AG194" s="48" t="n"/>
      <c r="AH194" s="601">
        <f t="array" ref="AH1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4" s="602">
        <f>scheduleapr[[#This Row],[SCHEDULE in nos]]-scheduleapr[[#This Row],[DISPATCH]]</f>
        <v/>
      </c>
      <c r="AJ194" s="599">
        <f>(3.14*(scheduleapr[[#This Row],[ACTUAL OD]]-scheduleapr[[#This Row],[TICKNESS]])*scheduleapr[[#This Row],[TICKNESS]]*scheduleapr[[#This Row],[LENGTH]]*7.85)/1000000*scheduleapr[[#This Row],[SCHEDULE in nos]]/1000</f>
        <v/>
      </c>
      <c r="AK194" s="599">
        <f>(3.14*(scheduleapr[[#This Row],[ACTUAL OD]]-scheduleapr[[#This Row],[TICKNESS]])*scheduleapr[[#This Row],[TICKNESS]]*scheduleapr[[#This Row],[LENGTH]]*7.85)/1000000*scheduleapr[[#This Row],[DISPATCH]]/1000</f>
        <v/>
      </c>
      <c r="AL194" s="599">
        <f>AJ194-AK194</f>
        <v/>
      </c>
      <c r="AM194" s="599">
        <f>scheduleapr[[#This Row],[SCHEDULE in nos]]/scheduleapr[[#This Row],[SCHEDULE IN MT]]*scheduleapr[[#This Row],[CTL Stock]]</f>
        <v/>
      </c>
      <c r="AN194" s="599">
        <f>SUMIFS(stock[MT],stock[Bucket],scheduleapr[[#This Row],[Bucket]],stock[CTL Bucket],scheduleapr[[#This Row],[CTL Bucket]],stock[Plant],"0789")</f>
        <v/>
      </c>
      <c r="AO194" s="599" t="n"/>
      <c r="AP194" s="599">
        <f>SUMIFS(stock[MT],stock[Bucket],scheduleapr[[#This Row],[Bucket]],stock[LL or CTL],"LL")</f>
        <v/>
      </c>
      <c r="AQ194" s="599">
        <f>+SUMIFS(wip[Stock(Net Wt)],wip[Bucket],scheduleapr[[#This Row],[Bucket]])/1000</f>
        <v/>
      </c>
      <c r="AR194" s="599">
        <f>AJ194-AN194</f>
        <v/>
      </c>
      <c r="AS194" s="118" t="n"/>
    </row>
    <row r="195">
      <c r="A195" s="594" t="n">
        <v>155</v>
      </c>
      <c r="B195" s="5" t="inlineStr">
        <is>
          <t>Hosur</t>
        </is>
      </c>
      <c r="C195" s="601" t="inlineStr">
        <is>
          <t>Marathwada v7</t>
        </is>
      </c>
      <c r="D195" s="601" t="inlineStr">
        <is>
          <t>Marathwada</t>
        </is>
      </c>
      <c r="E195" s="601" t="n">
        <v>189002</v>
      </c>
      <c r="F195" s="542" t="n">
        <v>3935311</v>
      </c>
      <c r="G195" s="601">
        <f>_xlfn.CONCAT(scheduleapr[[#This Row],[CUSTOMER CODE]],"-",scheduleapr[[#This Row],[MATERIAL NO]])</f>
        <v/>
      </c>
      <c r="H195" s="523" t="inlineStr">
        <is>
          <t>CUT-S-AW-AUT-25.00X25.00X1.200X1.2980</t>
        </is>
      </c>
      <c r="I195" s="601" t="inlineStr">
        <is>
          <t>CRFH</t>
        </is>
      </c>
      <c r="J195" s="601" t="n"/>
      <c r="K195" s="601" t="inlineStr">
        <is>
          <t>PE</t>
        </is>
      </c>
      <c r="L195" s="601" t="inlineStr">
        <is>
          <t>CR</t>
        </is>
      </c>
      <c r="M195" s="601" t="n"/>
      <c r="N195" s="601" t="n"/>
      <c r="O195" s="601" t="n"/>
      <c r="P195" s="601" t="n"/>
      <c r="Q195" s="557">
        <f>CONCATENATE(scheduleapr[[#This Row],[OD]],"-",scheduleapr[[#This Row],[ID]],"-",scheduleapr[[#This Row],[TICKNESS]],"-",scheduleapr[[#This Row],[Grade]],"-",scheduleapr[[#This Row],[FC/NFC]])</f>
        <v/>
      </c>
      <c r="R195" s="557">
        <f>_xlfn.CONCAT(scheduleapr[[#This Row],[Bucket]],"-",scheduleapr[[#This Row],[LENGTH]]/1000)</f>
        <v/>
      </c>
      <c r="S195" s="557">
        <f>COUNTIF([2]!buckets[CTL Bucket],[2]!scheduleapr[[#This Row],[CTL Bucket]])</f>
        <v/>
      </c>
      <c r="T195" s="601" t="inlineStr">
        <is>
          <t>Hosur</t>
        </is>
      </c>
      <c r="U195" s="601" t="n"/>
      <c r="V195" s="557" t="n"/>
      <c r="W195" s="557" t="n"/>
      <c r="X195" s="599" t="n">
        <v>31.75</v>
      </c>
      <c r="Y195" s="599" t="n">
        <v>25</v>
      </c>
      <c r="Z195" s="599" t="n">
        <v>25</v>
      </c>
      <c r="AA195" s="599" t="n">
        <v>1.2</v>
      </c>
      <c r="AB195" s="600" t="n">
        <v>1298</v>
      </c>
      <c r="AC195" s="600" t="inlineStr">
        <is>
          <t>NOS</t>
        </is>
      </c>
      <c r="AD195" s="600" t="n"/>
      <c r="AE195" s="600" t="n"/>
      <c r="AF195" s="540" t="n">
        <v>7000</v>
      </c>
      <c r="AG195" s="48" t="n"/>
      <c r="AH195" s="601">
        <f t="array" ref="AH1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5" s="602">
        <f>scheduleapr[[#This Row],[SCHEDULE in nos]]-scheduleapr[[#This Row],[DISPATCH]]</f>
        <v/>
      </c>
      <c r="AJ195" s="599">
        <f>(3.14*(scheduleapr[[#This Row],[ACTUAL OD]]-scheduleapr[[#This Row],[TICKNESS]])*scheduleapr[[#This Row],[TICKNESS]]*scheduleapr[[#This Row],[LENGTH]]*7.85)/1000000*scheduleapr[[#This Row],[SCHEDULE in nos]]/1000</f>
        <v/>
      </c>
      <c r="AK195" s="599">
        <f>(3.14*(scheduleapr[[#This Row],[ACTUAL OD]]-scheduleapr[[#This Row],[TICKNESS]])*scheduleapr[[#This Row],[TICKNESS]]*scheduleapr[[#This Row],[LENGTH]]*7.85)/1000000*scheduleapr[[#This Row],[DISPATCH]]/1000</f>
        <v/>
      </c>
      <c r="AL195" s="599">
        <f>AJ195-AK195</f>
        <v/>
      </c>
      <c r="AM195" s="599">
        <f>scheduleapr[[#This Row],[SCHEDULE in nos]]/scheduleapr[[#This Row],[SCHEDULE IN MT]]*scheduleapr[[#This Row],[CTL Stock]]</f>
        <v/>
      </c>
      <c r="AN195" s="599">
        <f>SUMIFS(stock[MT],stock[Bucket],scheduleapr[[#This Row],[Bucket]],stock[CTL Bucket],scheduleapr[[#This Row],[CTL Bucket]],stock[Plant],"0789")</f>
        <v/>
      </c>
      <c r="AO195" s="599" t="n"/>
      <c r="AP195" s="599">
        <f>SUMIFS(stock[MT],stock[Bucket],scheduleapr[[#This Row],[Bucket]],stock[LL or CTL],"LL")</f>
        <v/>
      </c>
      <c r="AQ195" s="599">
        <f>+SUMIFS(wip[Stock(Net Wt)],wip[Bucket],scheduleapr[[#This Row],[Bucket]])/1000</f>
        <v/>
      </c>
      <c r="AR195" s="599">
        <f>AJ195-AN195</f>
        <v/>
      </c>
      <c r="AS195" s="118" t="n"/>
    </row>
    <row r="196">
      <c r="A196" s="594" t="n">
        <v>768</v>
      </c>
      <c r="B196" s="5" t="inlineStr">
        <is>
          <t>Hosur</t>
        </is>
      </c>
      <c r="C196" s="601" t="inlineStr">
        <is>
          <t>Marathwada v7</t>
        </is>
      </c>
      <c r="D196" s="601" t="inlineStr">
        <is>
          <t>Marathwada</t>
        </is>
      </c>
      <c r="E196" s="601" t="n">
        <v>189002</v>
      </c>
      <c r="F196" s="601" t="n">
        <v>4151424</v>
      </c>
      <c r="G196" s="601">
        <f>_xlfn.CONCAT(scheduleapr[[#This Row],[CUSTOMER CODE]],"-",scheduleapr[[#This Row],[MATERIAL NO]])</f>
        <v/>
      </c>
      <c r="H196" s="601" t="inlineStr">
        <is>
          <t>TUB-S-AW-AUT-30.00X30.00X1.200X0.1900</t>
        </is>
      </c>
      <c r="I196" s="601" t="inlineStr">
        <is>
          <t>CRFH</t>
        </is>
      </c>
      <c r="J196" s="596" t="n"/>
      <c r="K196" s="596" t="inlineStr">
        <is>
          <t>PE</t>
        </is>
      </c>
      <c r="L196" s="601" t="inlineStr">
        <is>
          <t>CR</t>
        </is>
      </c>
      <c r="M196" s="596" t="n"/>
      <c r="N196" s="596" t="n"/>
      <c r="O196" s="596" t="n"/>
      <c r="P196" s="596" t="n"/>
      <c r="Q196" s="557">
        <f>CONCATENATE(scheduleapr[[#This Row],[OD]],"-",scheduleapr[[#This Row],[ID]],"-",scheduleapr[[#This Row],[TICKNESS]],"-",scheduleapr[[#This Row],[Grade]],"-",scheduleapr[[#This Row],[FC/NFC]])</f>
        <v/>
      </c>
      <c r="R196" s="557">
        <f>_xlfn.CONCAT(scheduleapr[[#This Row],[Bucket]],"-",scheduleapr[[#This Row],[LENGTH]]/1000)</f>
        <v/>
      </c>
      <c r="S196" s="557">
        <f>COUNTIF(scheduleapr[CTL Bucket],scheduleapr[[#This Row],[CTL Bucket]])</f>
        <v/>
      </c>
      <c r="T196" s="601" t="inlineStr">
        <is>
          <t>Hosur</t>
        </is>
      </c>
      <c r="U196" s="601" t="n"/>
      <c r="V196" s="601" t="n"/>
      <c r="W196" s="601" t="n"/>
      <c r="X196" s="599" t="n">
        <v>38.1</v>
      </c>
      <c r="Y196" s="599" t="n">
        <v>30</v>
      </c>
      <c r="Z196" s="599" t="n">
        <v>30</v>
      </c>
      <c r="AA196" s="599" t="n">
        <v>1.2</v>
      </c>
      <c r="AB196" s="600" t="n">
        <v>190</v>
      </c>
      <c r="AC196" s="81" t="inlineStr">
        <is>
          <t>NOS</t>
        </is>
      </c>
      <c r="AD196" s="81" t="n"/>
      <c r="AE196" s="81" t="n"/>
      <c r="AF196" s="540" t="n"/>
      <c r="AG196" s="48" t="n"/>
      <c r="AH196" s="601">
        <f t="array" ref="AH1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6" s="602">
        <f>scheduleapr[[#This Row],[SCHEDULE in nos]]-scheduleapr[[#This Row],[DISPATCH]]</f>
        <v/>
      </c>
      <c r="AJ196" s="599">
        <f>(3.14*(scheduleapr[[#This Row],[ACTUAL OD]]-scheduleapr[[#This Row],[TICKNESS]])*scheduleapr[[#This Row],[TICKNESS]]*scheduleapr[[#This Row],[LENGTH]]*7.85)/1000000*scheduleapr[[#This Row],[SCHEDULE in nos]]/1000</f>
        <v/>
      </c>
      <c r="AK196" s="599">
        <f>(3.14*(scheduleapr[[#This Row],[ACTUAL OD]]-scheduleapr[[#This Row],[TICKNESS]])*scheduleapr[[#This Row],[TICKNESS]]*scheduleapr[[#This Row],[LENGTH]]*7.85)/1000000*scheduleapr[[#This Row],[DISPATCH]]/1000</f>
        <v/>
      </c>
      <c r="AL196" s="599">
        <f>AJ196-AK196</f>
        <v/>
      </c>
      <c r="AM196" s="599">
        <f>scheduleapr[[#This Row],[SCHEDULE in nos]]/scheduleapr[[#This Row],[SCHEDULE IN MT]]*scheduleapr[[#This Row],[CTL Stock]]</f>
        <v/>
      </c>
      <c r="AN196" s="599">
        <f>SUMIFS(stock[MT],stock[Bucket],scheduleapr[[#This Row],[Bucket]],stock[LL or CTL],"LL")</f>
        <v/>
      </c>
      <c r="AO196" s="599">
        <f>+SUMIFS(wip[Stock(Net Wt)],wip[Bucket],scheduleapr[[#This Row],[Bucket]])/1000</f>
        <v/>
      </c>
      <c r="AP196" s="599">
        <f>AH196-AL196</f>
        <v/>
      </c>
      <c r="AQ196" s="599">
        <f>+SUMIFS(wip[Stock(Net Wt)],wip[Bucket],scheduleapr[[#This Row],[Bucket]])/1000</f>
        <v/>
      </c>
      <c r="AR196" s="599">
        <f>AJ196-AN196</f>
        <v/>
      </c>
      <c r="AS196" s="118" t="n"/>
    </row>
    <row r="197">
      <c r="A197" s="594" t="n">
        <v>156</v>
      </c>
      <c r="B197" s="5" t="inlineStr">
        <is>
          <t>Hosur</t>
        </is>
      </c>
      <c r="C197" s="601" t="inlineStr">
        <is>
          <t>Marathwada v7</t>
        </is>
      </c>
      <c r="D197" s="601" t="inlineStr">
        <is>
          <t>Marathwada</t>
        </is>
      </c>
      <c r="E197" s="601" t="n">
        <v>189002</v>
      </c>
      <c r="F197" s="539" t="n">
        <v>3230495</v>
      </c>
      <c r="G197" s="601">
        <f>_xlfn.CONCAT(scheduleapr[[#This Row],[CUSTOMER CODE]],"-",scheduleapr[[#This Row],[MATERIAL NO]])</f>
        <v/>
      </c>
      <c r="H197" s="539" t="inlineStr">
        <is>
          <t>TUB-S-AW-AUT-30.00X30.00X1.200X0.2200</t>
        </is>
      </c>
      <c r="I197" s="601" t="inlineStr">
        <is>
          <t>CRFH</t>
        </is>
      </c>
      <c r="J197" s="601" t="n"/>
      <c r="K197" s="601" t="inlineStr">
        <is>
          <t>PE</t>
        </is>
      </c>
      <c r="L197" s="601" t="inlineStr">
        <is>
          <t>CR</t>
        </is>
      </c>
      <c r="M197" s="601" t="n"/>
      <c r="N197" s="601" t="n"/>
      <c r="O197" s="601" t="n"/>
      <c r="P197" s="601" t="n"/>
      <c r="Q197" s="557">
        <f>CONCATENATE(scheduleapr[[#This Row],[OD]],"-",scheduleapr[[#This Row],[ID]],"-",scheduleapr[[#This Row],[TICKNESS]],"-",scheduleapr[[#This Row],[Grade]],"-",scheduleapr[[#This Row],[FC/NFC]])</f>
        <v/>
      </c>
      <c r="R197" s="557">
        <f>_xlfn.CONCAT(scheduleapr[[#This Row],[Bucket]],"-",scheduleapr[[#This Row],[LENGTH]]/1000)</f>
        <v/>
      </c>
      <c r="S197" s="557">
        <f>COUNTIF([2]!buckets[CTL Bucket],[2]!scheduleapr[[#This Row],[CTL Bucket]])</f>
        <v/>
      </c>
      <c r="T197" s="601" t="inlineStr">
        <is>
          <t>Hosur</t>
        </is>
      </c>
      <c r="U197" s="601" t="n"/>
      <c r="V197" s="557" t="n"/>
      <c r="W197" s="557" t="n"/>
      <c r="X197" s="599" t="n">
        <v>38.1</v>
      </c>
      <c r="Y197" s="599" t="n">
        <v>30</v>
      </c>
      <c r="Z197" s="599" t="n">
        <v>30</v>
      </c>
      <c r="AA197" s="599" t="n">
        <v>1.2</v>
      </c>
      <c r="AB197" s="600" t="n">
        <v>220</v>
      </c>
      <c r="AC197" s="600" t="inlineStr">
        <is>
          <t>NOS</t>
        </is>
      </c>
      <c r="AD197" s="600" t="n"/>
      <c r="AE197" s="600" t="n"/>
      <c r="AF197" s="540" t="n">
        <v>14000</v>
      </c>
      <c r="AG197" s="48" t="n"/>
      <c r="AH197" s="601">
        <f t="array" ref="AH1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7" s="602">
        <f>scheduleapr[[#This Row],[SCHEDULE in nos]]-scheduleapr[[#This Row],[DISPATCH]]</f>
        <v/>
      </c>
      <c r="AJ197" s="599">
        <f>(3.14*(scheduleapr[[#This Row],[ACTUAL OD]]-scheduleapr[[#This Row],[TICKNESS]])*scheduleapr[[#This Row],[TICKNESS]]*scheduleapr[[#This Row],[LENGTH]]*7.85)/1000000*scheduleapr[[#This Row],[SCHEDULE in nos]]/1000</f>
        <v/>
      </c>
      <c r="AK197" s="599">
        <f>(3.14*(scheduleapr[[#This Row],[ACTUAL OD]]-scheduleapr[[#This Row],[TICKNESS]])*scheduleapr[[#This Row],[TICKNESS]]*scheduleapr[[#This Row],[LENGTH]]*7.85)/1000000*scheduleapr[[#This Row],[DISPATCH]]/1000</f>
        <v/>
      </c>
      <c r="AL197" s="599">
        <f>AJ197-AK197</f>
        <v/>
      </c>
      <c r="AM197" s="599">
        <f>scheduleapr[[#This Row],[SCHEDULE in nos]]/scheduleapr[[#This Row],[SCHEDULE IN MT]]*scheduleapr[[#This Row],[CTL Stock]]</f>
        <v/>
      </c>
      <c r="AN197" s="599">
        <f>SUMIFS(stock[MT],stock[Bucket],scheduleapr[[#This Row],[Bucket]],stock[CTL Bucket],scheduleapr[[#This Row],[CTL Bucket]],stock[Plant],"0789")</f>
        <v/>
      </c>
      <c r="AO197" s="599" t="n"/>
      <c r="AP197" s="599">
        <f>SUMIFS(stock[MT],stock[Bucket],scheduleapr[[#This Row],[Bucket]],stock[LL or CTL],"LL")</f>
        <v/>
      </c>
      <c r="AQ197" s="599">
        <f>+SUMIFS(wip[Stock(Net Wt)],wip[Bucket],scheduleapr[[#This Row],[Bucket]])/1000</f>
        <v/>
      </c>
      <c r="AR197" s="599">
        <f>AJ197-AN197</f>
        <v/>
      </c>
      <c r="AS197" s="118" t="n"/>
    </row>
    <row r="198">
      <c r="A198" s="594" t="n">
        <v>754</v>
      </c>
      <c r="B198" s="5" t="inlineStr">
        <is>
          <t>Hosur</t>
        </is>
      </c>
      <c r="C198" s="601" t="inlineStr">
        <is>
          <t>Marathwada v7</t>
        </is>
      </c>
      <c r="D198" s="601" t="inlineStr">
        <is>
          <t>Marathwada</t>
        </is>
      </c>
      <c r="E198" s="601" t="n">
        <v>189002</v>
      </c>
      <c r="F198" s="539" t="n">
        <v>3572047</v>
      </c>
      <c r="G198" s="601">
        <f>_xlfn.CONCAT(scheduleapr[[#This Row],[CUSTOMER CODE]],"-",scheduleapr[[#This Row],[MATERIAL NO]])</f>
        <v/>
      </c>
      <c r="H198" s="539" t="inlineStr">
        <is>
          <t>TUB-R-AW-AUT-40.00X20.00X1.200X0.1100</t>
        </is>
      </c>
      <c r="I198" s="601" t="inlineStr">
        <is>
          <t>CRFH</t>
        </is>
      </c>
      <c r="J198" s="596" t="n"/>
      <c r="K198" s="596" t="inlineStr">
        <is>
          <t>PE</t>
        </is>
      </c>
      <c r="L198" s="601" t="inlineStr">
        <is>
          <t>CR</t>
        </is>
      </c>
      <c r="M198" s="596" t="n"/>
      <c r="N198" s="596" t="n"/>
      <c r="O198" s="596" t="n"/>
      <c r="P198" s="596" t="n"/>
      <c r="Q198" s="557">
        <f>CONCATENATE(scheduleapr[[#This Row],[OD]],"-",scheduleapr[[#This Row],[ID]],"-",scheduleapr[[#This Row],[TICKNESS]],"-",scheduleapr[[#This Row],[Grade]],"-",scheduleapr[[#This Row],[FC/NFC]])</f>
        <v/>
      </c>
      <c r="R198" s="557">
        <f>_xlfn.CONCAT(scheduleapr[[#This Row],[Bucket]],"-",scheduleapr[[#This Row],[LENGTH]]/1000)</f>
        <v/>
      </c>
      <c r="S198" s="557">
        <f>COUNTIF(scheduleapr[CTL Bucket],scheduleapr[[#This Row],[CTL Bucket]])</f>
        <v/>
      </c>
      <c r="T198" s="601" t="inlineStr">
        <is>
          <t>Hosur</t>
        </is>
      </c>
      <c r="U198" s="601" t="n"/>
      <c r="V198" s="601" t="n"/>
      <c r="W198" s="601" t="n"/>
      <c r="X198" s="599" t="n">
        <v>38.1</v>
      </c>
      <c r="Y198" s="599" t="n">
        <v>40</v>
      </c>
      <c r="Z198" s="599" t="n">
        <v>20</v>
      </c>
      <c r="AA198" s="599" t="n">
        <v>1.2</v>
      </c>
      <c r="AB198" s="600" t="n">
        <v>110</v>
      </c>
      <c r="AC198" s="600" t="inlineStr">
        <is>
          <t>NOS</t>
        </is>
      </c>
      <c r="AD198" s="600" t="n"/>
      <c r="AE198" s="600" t="n"/>
      <c r="AF198" s="540" t="n"/>
      <c r="AG198" s="48" t="n"/>
      <c r="AH198" s="601">
        <f t="array" ref="AH1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8" s="602">
        <f>scheduleapr[[#This Row],[SCHEDULE in nos]]-scheduleapr[[#This Row],[DISPATCH]]</f>
        <v/>
      </c>
      <c r="AJ198" s="599">
        <f>(3.14*(scheduleapr[[#This Row],[ACTUAL OD]]-scheduleapr[[#This Row],[TICKNESS]])*scheduleapr[[#This Row],[TICKNESS]]*scheduleapr[[#This Row],[LENGTH]]*7.85)/1000000*scheduleapr[[#This Row],[SCHEDULE in nos]]/1000</f>
        <v/>
      </c>
      <c r="AK198" s="599">
        <f>(3.14*(scheduleapr[[#This Row],[ACTUAL OD]]-scheduleapr[[#This Row],[TICKNESS]])*scheduleapr[[#This Row],[TICKNESS]]*scheduleapr[[#This Row],[LENGTH]]*7.85)/1000000*scheduleapr[[#This Row],[DISPATCH]]/1000</f>
        <v/>
      </c>
      <c r="AL198" s="599">
        <f>AJ198-AK198</f>
        <v/>
      </c>
      <c r="AM198" s="599">
        <f>scheduleapr[[#This Row],[SCHEDULE in nos]]/scheduleapr[[#This Row],[SCHEDULE IN MT]]*scheduleapr[[#This Row],[CTL Stock]]</f>
        <v/>
      </c>
      <c r="AN198" s="599">
        <f>SUMIFS(stock[MT],stock[Bucket],scheduleapr[[#This Row],[Bucket]],stock[LL or CTL],"LL")</f>
        <v/>
      </c>
      <c r="AO198" s="599">
        <f>+SUMIFS(wip[Stock(Net Wt)],wip[Bucket],scheduleapr[[#This Row],[Bucket]])/1000</f>
        <v/>
      </c>
      <c r="AP198" s="599">
        <f>AH198-AL198</f>
        <v/>
      </c>
      <c r="AQ198" s="599">
        <f>+SUMIFS(wip[Stock(Net Wt)],wip[Bucket],scheduleapr[[#This Row],[Bucket]])/1000</f>
        <v/>
      </c>
      <c r="AR198" s="599">
        <f>AJ198-AN198</f>
        <v/>
      </c>
      <c r="AS198" s="118" t="n"/>
    </row>
    <row r="199">
      <c r="A199" s="594" t="n">
        <v>753</v>
      </c>
      <c r="B199" s="5" t="inlineStr">
        <is>
          <t>Hosur</t>
        </is>
      </c>
      <c r="C199" s="601" t="inlineStr">
        <is>
          <t>Marathwada v7</t>
        </is>
      </c>
      <c r="D199" s="601" t="inlineStr">
        <is>
          <t>Marathwada</t>
        </is>
      </c>
      <c r="E199" s="601" t="n">
        <v>189002</v>
      </c>
      <c r="F199" s="539" t="n">
        <v>3233559</v>
      </c>
      <c r="G199" s="601">
        <f>_xlfn.CONCAT(scheduleapr[[#This Row],[CUSTOMER CODE]],"-",scheduleapr[[#This Row],[MATERIAL NO]])</f>
        <v/>
      </c>
      <c r="H199" s="539" t="inlineStr">
        <is>
          <t>TUB-R-AW-AUT-40.00X20.00X1.210X0.1200</t>
        </is>
      </c>
      <c r="I199" s="601" t="inlineStr">
        <is>
          <t>CRFH</t>
        </is>
      </c>
      <c r="J199" s="596" t="n"/>
      <c r="K199" s="596" t="inlineStr">
        <is>
          <t>PE</t>
        </is>
      </c>
      <c r="L199" s="601" t="inlineStr">
        <is>
          <t>CR</t>
        </is>
      </c>
      <c r="M199" s="596" t="n"/>
      <c r="N199" s="596" t="n"/>
      <c r="O199" s="596" t="n"/>
      <c r="P199" s="596" t="n"/>
      <c r="Q199" s="557">
        <f>CONCATENATE(scheduleapr[[#This Row],[OD]],"-",scheduleapr[[#This Row],[ID]],"-",scheduleapr[[#This Row],[TICKNESS]],"-",scheduleapr[[#This Row],[Grade]],"-",scheduleapr[[#This Row],[FC/NFC]])</f>
        <v/>
      </c>
      <c r="R199" s="557">
        <f>_xlfn.CONCAT(scheduleapr[[#This Row],[Bucket]],"-",scheduleapr[[#This Row],[LENGTH]]/1000)</f>
        <v/>
      </c>
      <c r="S199" s="557">
        <f>COUNTIF(scheduleapr[CTL Bucket],scheduleapr[[#This Row],[CTL Bucket]])</f>
        <v/>
      </c>
      <c r="T199" s="601" t="inlineStr">
        <is>
          <t>Hosur</t>
        </is>
      </c>
      <c r="U199" s="601" t="n"/>
      <c r="V199" s="601" t="n"/>
      <c r="W199" s="601" t="n"/>
      <c r="X199" s="599" t="n">
        <v>38.1</v>
      </c>
      <c r="Y199" s="599" t="n">
        <v>40</v>
      </c>
      <c r="Z199" s="599" t="n">
        <v>20</v>
      </c>
      <c r="AA199" s="599" t="n">
        <v>1.2</v>
      </c>
      <c r="AB199" s="600" t="n">
        <v>120</v>
      </c>
      <c r="AC199" s="600" t="inlineStr">
        <is>
          <t>NOS</t>
        </is>
      </c>
      <c r="AD199" s="600" t="n"/>
      <c r="AE199" s="600" t="n"/>
      <c r="AF199" s="540" t="n"/>
      <c r="AG199" s="48" t="n"/>
      <c r="AH199" s="601">
        <f t="array" ref="AH1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199" s="602">
        <f>scheduleapr[[#This Row],[SCHEDULE in nos]]-scheduleapr[[#This Row],[DISPATCH]]</f>
        <v/>
      </c>
      <c r="AJ199" s="599">
        <f>(3.14*(scheduleapr[[#This Row],[ACTUAL OD]]-scheduleapr[[#This Row],[TICKNESS]])*scheduleapr[[#This Row],[TICKNESS]]*scheduleapr[[#This Row],[LENGTH]]*7.85)/1000000*scheduleapr[[#This Row],[SCHEDULE in nos]]/1000</f>
        <v/>
      </c>
      <c r="AK199" s="599">
        <f>(3.14*(scheduleapr[[#This Row],[ACTUAL OD]]-scheduleapr[[#This Row],[TICKNESS]])*scheduleapr[[#This Row],[TICKNESS]]*scheduleapr[[#This Row],[LENGTH]]*7.85)/1000000*scheduleapr[[#This Row],[DISPATCH]]/1000</f>
        <v/>
      </c>
      <c r="AL199" s="599">
        <f>AJ199-AK199</f>
        <v/>
      </c>
      <c r="AM199" s="599">
        <f>scheduleapr[[#This Row],[SCHEDULE in nos]]/scheduleapr[[#This Row],[SCHEDULE IN MT]]*scheduleapr[[#This Row],[CTL Stock]]</f>
        <v/>
      </c>
      <c r="AN199" s="599">
        <f>SUMIFS(stock[MT],stock[Bucket],scheduleapr[[#This Row],[Bucket]],stock[LL or CTL],"LL")</f>
        <v/>
      </c>
      <c r="AO199" s="599">
        <f>+SUMIFS(wip[Stock(Net Wt)],wip[Bucket],scheduleapr[[#This Row],[Bucket]])/1000</f>
        <v/>
      </c>
      <c r="AP199" s="599">
        <f>AH199-AL199</f>
        <v/>
      </c>
      <c r="AQ199" s="599">
        <f>+SUMIFS(wip[Stock(Net Wt)],wip[Bucket],scheduleapr[[#This Row],[Bucket]])/1000</f>
        <v/>
      </c>
      <c r="AR199" s="599">
        <f>AJ199-AN199</f>
        <v/>
      </c>
      <c r="AS199" s="118" t="n"/>
    </row>
    <row r="200">
      <c r="A200" s="594" t="n">
        <v>775</v>
      </c>
      <c r="B200" s="5" t="inlineStr">
        <is>
          <t>Hosur</t>
        </is>
      </c>
      <c r="C200" s="601" t="inlineStr">
        <is>
          <t>Marathwada v7</t>
        </is>
      </c>
      <c r="D200" s="601" t="inlineStr">
        <is>
          <t>Marathwada</t>
        </is>
      </c>
      <c r="E200" s="601" t="n">
        <v>189002</v>
      </c>
      <c r="F200" s="601" t="n">
        <v>4151472</v>
      </c>
      <c r="G200" s="601">
        <f>_xlfn.CONCAT(scheduleapr[[#This Row],[CUSTOMER CODE]],"-",scheduleapr[[#This Row],[MATERIAL NO]])</f>
        <v/>
      </c>
      <c r="H200" s="601" t="inlineStr">
        <is>
          <t>TUB-R-AW-AUT-40.00X20.00X1.200X0.7550</t>
        </is>
      </c>
      <c r="I200" s="601" t="inlineStr">
        <is>
          <t>CRFH</t>
        </is>
      </c>
      <c r="J200" s="596" t="n"/>
      <c r="K200" s="596" t="inlineStr">
        <is>
          <t>PE</t>
        </is>
      </c>
      <c r="L200" s="601" t="inlineStr">
        <is>
          <t>CR</t>
        </is>
      </c>
      <c r="M200" s="596" t="n"/>
      <c r="N200" s="596" t="n"/>
      <c r="O200" s="596" t="n"/>
      <c r="P200" s="596" t="n"/>
      <c r="Q200" s="557">
        <f>CONCATENATE(scheduleapr[[#This Row],[OD]],"-",scheduleapr[[#This Row],[ID]],"-",scheduleapr[[#This Row],[TICKNESS]],"-",scheduleapr[[#This Row],[Grade]],"-",scheduleapr[[#This Row],[FC/NFC]])</f>
        <v/>
      </c>
      <c r="R200" s="557">
        <f>_xlfn.CONCAT(scheduleapr[[#This Row],[Bucket]],"-",scheduleapr[[#This Row],[LENGTH]]/1000)</f>
        <v/>
      </c>
      <c r="S200" s="557">
        <f>COUNTIF(scheduleapr[CTL Bucket],scheduleapr[[#This Row],[CTL Bucket]])</f>
        <v/>
      </c>
      <c r="T200" s="601" t="inlineStr">
        <is>
          <t>Hosur</t>
        </is>
      </c>
      <c r="U200" s="601" t="n"/>
      <c r="V200" s="601" t="n"/>
      <c r="W200" s="601" t="n"/>
      <c r="X200" s="599" t="n">
        <v>38.1</v>
      </c>
      <c r="Y200" s="599" t="n">
        <v>40</v>
      </c>
      <c r="Z200" s="599" t="n">
        <v>20</v>
      </c>
      <c r="AA200" s="599" t="n">
        <v>1.2</v>
      </c>
      <c r="AB200" s="600" t="n">
        <v>755</v>
      </c>
      <c r="AC200" s="81" t="inlineStr">
        <is>
          <t>NOS</t>
        </is>
      </c>
      <c r="AD200" s="81" t="n"/>
      <c r="AE200" s="81" t="n"/>
      <c r="AF200" s="540" t="n"/>
      <c r="AG200" s="48" t="n"/>
      <c r="AH200" s="601">
        <f t="array" ref="AH2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0" s="602">
        <f>scheduleapr[[#This Row],[SCHEDULE in nos]]-scheduleapr[[#This Row],[DISPATCH]]</f>
        <v/>
      </c>
      <c r="AJ200" s="599">
        <f>(3.14*(scheduleapr[[#This Row],[ACTUAL OD]]-scheduleapr[[#This Row],[TICKNESS]])*scheduleapr[[#This Row],[TICKNESS]]*scheduleapr[[#This Row],[LENGTH]]*7.85)/1000000*scheduleapr[[#This Row],[SCHEDULE in nos]]/1000</f>
        <v/>
      </c>
      <c r="AK200" s="599">
        <f>(3.14*(scheduleapr[[#This Row],[ACTUAL OD]]-scheduleapr[[#This Row],[TICKNESS]])*scheduleapr[[#This Row],[TICKNESS]]*scheduleapr[[#This Row],[LENGTH]]*7.85)/1000000*scheduleapr[[#This Row],[DISPATCH]]/1000</f>
        <v/>
      </c>
      <c r="AL200" s="599">
        <f>AJ200-AK200</f>
        <v/>
      </c>
      <c r="AM200" s="599">
        <f>scheduleapr[[#This Row],[SCHEDULE in nos]]/scheduleapr[[#This Row],[SCHEDULE IN MT]]*scheduleapr[[#This Row],[CTL Stock]]</f>
        <v/>
      </c>
      <c r="AN200" s="599">
        <f>SUMIFS(stock[MT],stock[Bucket],scheduleapr[[#This Row],[Bucket]],stock[LL or CTL],"LL")</f>
        <v/>
      </c>
      <c r="AO200" s="599">
        <f>+SUMIFS(wip[Stock(Net Wt)],wip[Bucket],scheduleapr[[#This Row],[Bucket]])/1000</f>
        <v/>
      </c>
      <c r="AP200" s="599">
        <f>AH200-AL200</f>
        <v/>
      </c>
      <c r="AQ200" s="599">
        <f>+SUMIFS(wip[Stock(Net Wt)],wip[Bucket],scheduleapr[[#This Row],[Bucket]])/1000</f>
        <v/>
      </c>
      <c r="AR200" s="599">
        <f>AJ200-AN200</f>
        <v/>
      </c>
      <c r="AS200" s="118" t="n"/>
    </row>
    <row r="201">
      <c r="A201" s="594" t="n">
        <v>158</v>
      </c>
      <c r="B201" s="5" t="inlineStr">
        <is>
          <t>Hosur</t>
        </is>
      </c>
      <c r="C201" s="601" t="inlineStr">
        <is>
          <t>Marathwada v7</t>
        </is>
      </c>
      <c r="D201" s="601" t="inlineStr">
        <is>
          <t>Marathwada</t>
        </is>
      </c>
      <c r="E201" s="601" t="n">
        <v>189002</v>
      </c>
      <c r="F201" s="601" t="n">
        <v>3233557</v>
      </c>
      <c r="G201" s="601">
        <f>_xlfn.CONCAT(scheduleapr[[#This Row],[CUSTOMER CODE]],"-",scheduleapr[[#This Row],[MATERIAL NO]])</f>
        <v/>
      </c>
      <c r="H201" s="601" t="inlineStr">
        <is>
          <t>TUB-R-AW-AUT-40.00X20.00X1.210X0.8000</t>
        </is>
      </c>
      <c r="I201" s="601" t="inlineStr">
        <is>
          <t>CRFH</t>
        </is>
      </c>
      <c r="J201" s="596" t="n"/>
      <c r="K201" s="596" t="inlineStr">
        <is>
          <t>PE</t>
        </is>
      </c>
      <c r="L201" s="601" t="inlineStr">
        <is>
          <t>CR</t>
        </is>
      </c>
      <c r="M201" s="596" t="n"/>
      <c r="N201" s="596" t="n"/>
      <c r="O201" s="596" t="n"/>
      <c r="P201" s="596" t="n"/>
      <c r="Q201" s="557">
        <f>CONCATENATE(scheduleapr[[#This Row],[OD]],"-",scheduleapr[[#This Row],[ID]],"-",scheduleapr[[#This Row],[TICKNESS]],"-",scheduleapr[[#This Row],[Grade]],"-",scheduleapr[[#This Row],[FC/NFC]])</f>
        <v/>
      </c>
      <c r="R201" s="557">
        <f>_xlfn.CONCAT(scheduleapr[[#This Row],[Bucket]],"-",scheduleapr[[#This Row],[LENGTH]]/1000)</f>
        <v/>
      </c>
      <c r="S201" s="557">
        <f>COUNTIF(scheduleapr[CTL Bucket],scheduleapr[[#This Row],[CTL Bucket]])</f>
        <v/>
      </c>
      <c r="T201" s="601" t="inlineStr">
        <is>
          <t>Hosur</t>
        </is>
      </c>
      <c r="U201" s="601">
        <f>_xlfn.IFNA(VLOOKUP(scheduleapr[[#This Row],[Bucket]],salesforecast[[#All],[Bucket2]:[8406 Stock]],19,0),0)</f>
        <v/>
      </c>
      <c r="V201" s="562">
        <f>_xlfn.IFNA(VLOOKUP(scheduleapr[[#This Row],[Bucket]],salesforecast[[#All],[Bucket2]:[8406 Stock]],20,0),0)+_xlfn.IFNA(VLOOKUP(scheduleapr[[#This Row],[Bucket]],salesforecast[[#All],[Bucket2]:[8406 Stock]],17,0),0)</f>
        <v/>
      </c>
      <c r="W201" s="557" t="n"/>
      <c r="X201" s="599" t="n">
        <v>38.1</v>
      </c>
      <c r="Y201" s="599" t="n">
        <v>40</v>
      </c>
      <c r="Z201" s="599" t="n">
        <v>20</v>
      </c>
      <c r="AA201" s="599" t="n">
        <v>1.2</v>
      </c>
      <c r="AB201" s="600" t="n">
        <v>800</v>
      </c>
      <c r="AC201" s="600" t="inlineStr">
        <is>
          <t>NOS</t>
        </is>
      </c>
      <c r="AD201" s="600" t="n"/>
      <c r="AE201" s="600" t="n"/>
      <c r="AF201" s="539" t="n">
        <v>14000</v>
      </c>
      <c r="AG201" s="539" t="n"/>
      <c r="AH201" s="601">
        <f t="array" ref="AH2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1" s="602">
        <f>scheduleapr[[#This Row],[SCHEDULE in nos]]-scheduleapr[[#This Row],[DISPATCH]]</f>
        <v/>
      </c>
      <c r="AJ201" s="599">
        <f>(3.14*(scheduleapr[[#This Row],[ACTUAL OD]]-scheduleapr[[#This Row],[TICKNESS]])*scheduleapr[[#This Row],[TICKNESS]]*scheduleapr[[#This Row],[LENGTH]]*7.85)/1000000*scheduleapr[[#This Row],[SCHEDULE in nos]]/1000</f>
        <v/>
      </c>
      <c r="AK201" s="599">
        <f>(3.14*(scheduleapr[[#This Row],[ACTUAL OD]]-scheduleapr[[#This Row],[TICKNESS]])*scheduleapr[[#This Row],[TICKNESS]]*scheduleapr[[#This Row],[LENGTH]]*7.85)/1000000*scheduleapr[[#This Row],[DISPATCH]]/1000</f>
        <v/>
      </c>
      <c r="AL201" s="599">
        <f>AJ201-AK201</f>
        <v/>
      </c>
      <c r="AM201" s="599">
        <f>scheduleapr[[#This Row],[SCHEDULE in nos]]/scheduleapr[[#This Row],[SCHEDULE IN MT]]*scheduleapr[[#This Row],[CTL Stock]]</f>
        <v/>
      </c>
      <c r="AN201" s="599">
        <f>SUMIFS(stock[MT],stock[Bucket],scheduleapr[[#This Row],[Bucket]],stock[CTL Bucket],scheduleapr[[#This Row],[CTL Bucket]],stock[Plant],"0789")</f>
        <v/>
      </c>
      <c r="AO201" s="599" t="n"/>
      <c r="AP201" s="599">
        <f>SUMIFS(stock[MT],stock[Bucket],scheduleapr[[#This Row],[Bucket]],stock[LL or CTL],"LL")</f>
        <v/>
      </c>
      <c r="AQ201" s="599">
        <f>+SUMIFS(wip[Stock(Net Wt)],wip[Bucket],scheduleapr[[#This Row],[Bucket]])/1000</f>
        <v/>
      </c>
      <c r="AR201" s="599">
        <f>AJ201-AN201</f>
        <v/>
      </c>
      <c r="AS201" s="118" t="n"/>
    </row>
    <row r="202">
      <c r="A202" s="594" t="n">
        <v>159</v>
      </c>
      <c r="B202" s="5" t="inlineStr">
        <is>
          <t>Hosur</t>
        </is>
      </c>
      <c r="C202" s="601" t="inlineStr">
        <is>
          <t>Marathwada</t>
        </is>
      </c>
      <c r="D202" s="601" t="inlineStr">
        <is>
          <t>Marathwada</t>
        </is>
      </c>
      <c r="E202" s="601" t="n">
        <v>189002</v>
      </c>
      <c r="F202" s="601" t="n">
        <v>3233556</v>
      </c>
      <c r="G202" s="601">
        <f>_xlfn.CONCAT(scheduleapr[[#This Row],[CUSTOMER CODE]],"-",scheduleapr[[#This Row],[MATERIAL NO]])</f>
        <v/>
      </c>
      <c r="H202" s="601" t="inlineStr">
        <is>
          <t>TUB-R-AW-AUT-40.00X20.00X1.210X0.860</t>
        </is>
      </c>
      <c r="I202" s="601" t="inlineStr">
        <is>
          <t>CRFH</t>
        </is>
      </c>
      <c r="J202" s="596" t="n"/>
      <c r="K202" s="596" t="inlineStr">
        <is>
          <t>PE</t>
        </is>
      </c>
      <c r="L202" s="601" t="inlineStr">
        <is>
          <t>CR</t>
        </is>
      </c>
      <c r="M202" s="596" t="n"/>
      <c r="N202" s="596" t="n"/>
      <c r="O202" s="596" t="n"/>
      <c r="P202" s="596" t="n"/>
      <c r="Q202" s="557">
        <f>CONCATENATE(scheduleapr[[#This Row],[OD]],"-",scheduleapr[[#This Row],[ID]],"-",scheduleapr[[#This Row],[TICKNESS]],"-",scheduleapr[[#This Row],[Grade]],"-",scheduleapr[[#This Row],[FC/NFC]])</f>
        <v/>
      </c>
      <c r="R202" s="557">
        <f>_xlfn.CONCAT(scheduleapr[[#This Row],[Bucket]],"-",scheduleapr[[#This Row],[LENGTH]]/1000)</f>
        <v/>
      </c>
      <c r="S202" s="557">
        <f>COUNTIF(scheduleapr[CTL Bucket],scheduleapr[[#This Row],[CTL Bucket]])</f>
        <v/>
      </c>
      <c r="T202" s="601" t="inlineStr">
        <is>
          <t>Hosur</t>
        </is>
      </c>
      <c r="U202" s="601" t="n"/>
      <c r="V202" s="557" t="n"/>
      <c r="W202" s="557" t="n"/>
      <c r="X202" s="599" t="n">
        <v>38.1</v>
      </c>
      <c r="Y202" s="599" t="n">
        <v>40</v>
      </c>
      <c r="Z202" s="599" t="n">
        <v>20</v>
      </c>
      <c r="AA202" s="599" t="n">
        <v>1.2</v>
      </c>
      <c r="AB202" s="600" t="n">
        <v>860</v>
      </c>
      <c r="AC202" s="600" t="inlineStr">
        <is>
          <t>NOS</t>
        </is>
      </c>
      <c r="AD202" s="600" t="n"/>
      <c r="AE202" s="600" t="n"/>
      <c r="AF202" s="601" t="n"/>
      <c r="AG202" s="601" t="n"/>
      <c r="AH202" s="601">
        <f t="array" ref="AH2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2" s="602">
        <f>scheduleapr[[#This Row],[SCHEDULE in nos]]-scheduleapr[[#This Row],[DISPATCH]]</f>
        <v/>
      </c>
      <c r="AJ202" s="599">
        <f>(3.14*(scheduleapr[[#This Row],[ACTUAL OD]]-scheduleapr[[#This Row],[TICKNESS]])*scheduleapr[[#This Row],[TICKNESS]]*scheduleapr[[#This Row],[LENGTH]]*7.85)/1000000*scheduleapr[[#This Row],[SCHEDULE in nos]]/1000</f>
        <v/>
      </c>
      <c r="AK202" s="599">
        <f>(3.14*(scheduleapr[[#This Row],[ACTUAL OD]]-scheduleapr[[#This Row],[TICKNESS]])*scheduleapr[[#This Row],[TICKNESS]]*scheduleapr[[#This Row],[LENGTH]]*7.85)/1000000*scheduleapr[[#This Row],[DISPATCH]]/1000</f>
        <v/>
      </c>
      <c r="AL202" s="599">
        <f>AJ202-AK202</f>
        <v/>
      </c>
      <c r="AM202" s="599">
        <f>scheduleapr[[#This Row],[SCHEDULE in nos]]/scheduleapr[[#This Row],[SCHEDULE IN MT]]*scheduleapr[[#This Row],[CTL Stock]]</f>
        <v/>
      </c>
      <c r="AN202" s="599">
        <f>SUMIFS(stock[MT],stock[Bucket],scheduleapr[[#This Row],[Bucket]],stock[CTL Bucket],scheduleapr[[#This Row],[CTL Bucket]],stock[Plant],"0789")</f>
        <v/>
      </c>
      <c r="AO202" s="599" t="n"/>
      <c r="AP202" s="599">
        <f>SUMIFS(stock[MT],stock[Bucket],scheduleapr[[#This Row],[Bucket]],stock[LL or CTL],"LL")</f>
        <v/>
      </c>
      <c r="AQ202" s="599">
        <f>+SUMIFS(wip[Stock(Net Wt)],wip[Bucket],scheduleapr[[#This Row],[Bucket]])/1000</f>
        <v/>
      </c>
      <c r="AR202" s="599">
        <f>AJ202-AN202</f>
        <v/>
      </c>
      <c r="AS202" s="118" t="n"/>
    </row>
    <row r="203">
      <c r="A203" s="594" t="n">
        <v>777</v>
      </c>
      <c r="B203" s="5" t="inlineStr">
        <is>
          <t>Hosur</t>
        </is>
      </c>
      <c r="C203" s="601" t="inlineStr">
        <is>
          <t>Marathwada v7</t>
        </is>
      </c>
      <c r="D203" s="601" t="inlineStr">
        <is>
          <t>Marathwada</t>
        </is>
      </c>
      <c r="E203" s="601" t="n">
        <v>189002</v>
      </c>
      <c r="F203" s="601" t="n">
        <v>3572051</v>
      </c>
      <c r="G203" s="601">
        <f>_xlfn.CONCAT(scheduleapr[[#This Row],[CUSTOMER CODE]],"-",scheduleapr[[#This Row],[MATERIAL NO]])</f>
        <v/>
      </c>
      <c r="H203" s="601" t="inlineStr">
        <is>
          <t>TUB-R-AW-AUT-40.00X20.00X1.200X0.8600</t>
        </is>
      </c>
      <c r="I203" s="601" t="inlineStr">
        <is>
          <t>CRFH</t>
        </is>
      </c>
      <c r="J203" s="596" t="n"/>
      <c r="K203" s="596" t="inlineStr">
        <is>
          <t>PE</t>
        </is>
      </c>
      <c r="L203" s="601" t="inlineStr">
        <is>
          <t>CR</t>
        </is>
      </c>
      <c r="M203" s="596" t="n"/>
      <c r="N203" s="596" t="n"/>
      <c r="O203" s="596" t="n"/>
      <c r="P203" s="596" t="n"/>
      <c r="Q203" s="557">
        <f>CONCATENATE(scheduleapr[[#This Row],[OD]],"-",scheduleapr[[#This Row],[ID]],"-",scheduleapr[[#This Row],[TICKNESS]],"-",scheduleapr[[#This Row],[Grade]],"-",scheduleapr[[#This Row],[FC/NFC]])</f>
        <v/>
      </c>
      <c r="R203" s="557">
        <f>_xlfn.CONCAT(scheduleapr[[#This Row],[Bucket]],"-",scheduleapr[[#This Row],[LENGTH]]/1000)</f>
        <v/>
      </c>
      <c r="S203" s="557">
        <f>COUNTIF(scheduleapr[CTL Bucket],scheduleapr[[#This Row],[CTL Bucket]])</f>
        <v/>
      </c>
      <c r="T203" s="601" t="inlineStr">
        <is>
          <t>Hosur</t>
        </is>
      </c>
      <c r="U203" s="601">
        <f>_xlfn.IFNA(VLOOKUP(scheduleapr[[#This Row],[Bucket]],salesforecast[[#All],[Bucket2]:[8406 Stock]],19,0),0)</f>
        <v/>
      </c>
      <c r="V203" s="562">
        <f>_xlfn.IFNA(VLOOKUP(scheduleapr[[#This Row],[Bucket]],salesforecast[[#All],[Bucket2]:[8406 Stock]],20,0),0)+_xlfn.IFNA(VLOOKUP(scheduleapr[[#This Row],[Bucket]],salesforecast[[#All],[Bucket2]:[8406 Stock]],17,0),0)</f>
        <v/>
      </c>
      <c r="W203" s="601" t="n"/>
      <c r="X203" s="599" t="n">
        <v>38.1</v>
      </c>
      <c r="Y203" s="599" t="n">
        <v>40</v>
      </c>
      <c r="Z203" s="599" t="n">
        <v>20</v>
      </c>
      <c r="AA203" s="599" t="n">
        <v>1.2</v>
      </c>
      <c r="AB203" s="600" t="n">
        <v>860</v>
      </c>
      <c r="AC203" s="600" t="inlineStr">
        <is>
          <t>NOS</t>
        </is>
      </c>
      <c r="AD203" s="600" t="n"/>
      <c r="AE203" s="600" t="n"/>
      <c r="AF203" s="601" t="n">
        <v>28000</v>
      </c>
      <c r="AG203" s="601" t="n"/>
      <c r="AH203" s="601">
        <f t="array" ref="AH2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3" s="602">
        <f>scheduleapr[[#This Row],[SCHEDULE in nos]]-scheduleapr[[#This Row],[DISPATCH]]</f>
        <v/>
      </c>
      <c r="AJ203" s="599">
        <f>(3.14*(scheduleapr[[#This Row],[ACTUAL OD]]-scheduleapr[[#This Row],[TICKNESS]])*scheduleapr[[#This Row],[TICKNESS]]*scheduleapr[[#This Row],[LENGTH]]*7.85)/1000000*scheduleapr[[#This Row],[SCHEDULE in nos]]/1000</f>
        <v/>
      </c>
      <c r="AK203" s="599">
        <f>(3.14*(scheduleapr[[#This Row],[ACTUAL OD]]-scheduleapr[[#This Row],[TICKNESS]])*scheduleapr[[#This Row],[TICKNESS]]*scheduleapr[[#This Row],[LENGTH]]*7.85)/1000000*scheduleapr[[#This Row],[DISPATCH]]/1000</f>
        <v/>
      </c>
      <c r="AL203" s="599">
        <f>AJ203-AK203</f>
        <v/>
      </c>
      <c r="AM203" s="599">
        <f>scheduleapr[[#This Row],[SCHEDULE in nos]]/scheduleapr[[#This Row],[SCHEDULE IN MT]]*scheduleapr[[#This Row],[CTL Stock]]</f>
        <v/>
      </c>
      <c r="AN203" s="599">
        <f>SUMIFS(stock[MT],stock[Bucket],scheduleapr[[#This Row],[Bucket]],stock[LL or CTL],"LL")</f>
        <v/>
      </c>
      <c r="AO203" s="599">
        <f>+SUMIFS(wip[Stock(Net Wt)],wip[Bucket],scheduleapr[[#This Row],[Bucket]])/1000</f>
        <v/>
      </c>
      <c r="AP203" s="599">
        <f>AH203-AL203</f>
        <v/>
      </c>
      <c r="AQ203" s="599">
        <f>+SUMIFS(wip[Stock(Net Wt)],wip[Bucket],scheduleapr[[#This Row],[Bucket]])/1000</f>
        <v/>
      </c>
      <c r="AR203" s="599">
        <f>AJ203-AN203</f>
        <v/>
      </c>
      <c r="AS203" s="118" t="n"/>
    </row>
    <row r="204">
      <c r="A204" s="594" t="n">
        <v>160</v>
      </c>
      <c r="B204" s="5" t="inlineStr">
        <is>
          <t>Hosur</t>
        </is>
      </c>
      <c r="C204" s="601" t="inlineStr">
        <is>
          <t>Marathwada</t>
        </is>
      </c>
      <c r="D204" s="601" t="inlineStr">
        <is>
          <t>Marathwada</t>
        </is>
      </c>
      <c r="E204" s="601" t="n">
        <v>189002</v>
      </c>
      <c r="F204" s="601" t="n">
        <v>3597713</v>
      </c>
      <c r="G204" s="601">
        <f>_xlfn.CONCAT(scheduleapr[[#This Row],[CUSTOMER CODE]],"-",scheduleapr[[#This Row],[MATERIAL NO]])</f>
        <v/>
      </c>
      <c r="H204" s="601" t="inlineStr">
        <is>
          <t>TUB-R-AW-AUT-40.00X20.00X1.200X5.2600</t>
        </is>
      </c>
      <c r="I204" s="601" t="inlineStr">
        <is>
          <t>CRFH</t>
        </is>
      </c>
      <c r="J204" s="596" t="n"/>
      <c r="K204" s="596" t="inlineStr">
        <is>
          <t>PE</t>
        </is>
      </c>
      <c r="L204" s="601" t="inlineStr">
        <is>
          <t>CR</t>
        </is>
      </c>
      <c r="M204" s="596" t="n"/>
      <c r="N204" s="596" t="n"/>
      <c r="O204" s="596" t="n"/>
      <c r="P204" s="596" t="n"/>
      <c r="Q204" s="557">
        <f>CONCATENATE(scheduleapr[[#This Row],[OD]],"-",scheduleapr[[#This Row],[ID]],"-",scheduleapr[[#This Row],[TICKNESS]],"-",scheduleapr[[#This Row],[Grade]],"-",scheduleapr[[#This Row],[FC/NFC]])</f>
        <v/>
      </c>
      <c r="R204" s="557">
        <f>_xlfn.CONCAT(scheduleapr[[#This Row],[Bucket]],"-",scheduleapr[[#This Row],[LENGTH]]/1000)</f>
        <v/>
      </c>
      <c r="S204" s="557">
        <f>COUNTIF(scheduleapr[CTL Bucket],scheduleapr[[#This Row],[CTL Bucket]])</f>
        <v/>
      </c>
      <c r="T204" s="601" t="inlineStr">
        <is>
          <t>Hosur</t>
        </is>
      </c>
      <c r="U204" s="557" t="n"/>
      <c r="V204" s="557" t="n"/>
      <c r="W204" s="557" t="n"/>
      <c r="X204" s="599" t="n">
        <v>38.1</v>
      </c>
      <c r="Y204" s="599" t="n">
        <v>40</v>
      </c>
      <c r="Z204" s="599" t="n">
        <v>20</v>
      </c>
      <c r="AA204" s="599" t="n">
        <v>1.2</v>
      </c>
      <c r="AB204" s="600" t="n">
        <v>1000</v>
      </c>
      <c r="AC204" s="600" t="inlineStr">
        <is>
          <t>M</t>
        </is>
      </c>
      <c r="AD204" s="600" t="n"/>
      <c r="AE204" s="600" t="n"/>
      <c r="AF204" s="601" t="n"/>
      <c r="AG204" s="601" t="n"/>
      <c r="AH204" s="601">
        <f t="array" ref="AH2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4" s="602">
        <f>scheduleapr[[#This Row],[SCHEDULE in nos]]-scheduleapr[[#This Row],[DISPATCH]]</f>
        <v/>
      </c>
      <c r="AJ204" s="599">
        <f>(3.14*(scheduleapr[[#This Row],[ACTUAL OD]]-scheduleapr[[#This Row],[TICKNESS]])*scheduleapr[[#This Row],[TICKNESS]]*scheduleapr[[#This Row],[LENGTH]]*7.85)/1000000*scheduleapr[[#This Row],[SCHEDULE in nos]]/1000</f>
        <v/>
      </c>
      <c r="AK204" s="599">
        <f>(3.14*(scheduleapr[[#This Row],[ACTUAL OD]]-scheduleapr[[#This Row],[TICKNESS]])*scheduleapr[[#This Row],[TICKNESS]]*scheduleapr[[#This Row],[LENGTH]]*7.85)/1000000*scheduleapr[[#This Row],[DISPATCH]]/1000</f>
        <v/>
      </c>
      <c r="AL204" s="599">
        <f>AJ204-AK204</f>
        <v/>
      </c>
      <c r="AM204" s="599">
        <f>scheduleapr[[#This Row],[SCHEDULE in nos]]/scheduleapr[[#This Row],[SCHEDULE IN MT]]*scheduleapr[[#This Row],[CTL Stock]]</f>
        <v/>
      </c>
      <c r="AN204" s="599">
        <f>SUMIFS(stock[MT],stock[Bucket],scheduleapr[[#This Row],[Bucket]],stock[CTL Bucket],scheduleapr[[#This Row],[CTL Bucket]],stock[Plant],"0789")</f>
        <v/>
      </c>
      <c r="AO204" s="599" t="n"/>
      <c r="AP204" s="599">
        <f>SUMIFS(stock[MT],stock[Bucket],scheduleapr[[#This Row],[Bucket]],stock[LL or CTL],"LL")</f>
        <v/>
      </c>
      <c r="AQ204" s="599">
        <f>+SUMIFS(wip[Stock(Net Wt)],wip[Bucket],scheduleapr[[#This Row],[Bucket]])/1000</f>
        <v/>
      </c>
      <c r="AR204" s="599">
        <f>AJ204-AN204</f>
        <v/>
      </c>
      <c r="AS204" s="118" t="n"/>
    </row>
    <row r="205">
      <c r="A205" s="594" t="n">
        <v>161</v>
      </c>
      <c r="B205" s="5" t="inlineStr">
        <is>
          <t>Hosur</t>
        </is>
      </c>
      <c r="C205" s="601" t="inlineStr">
        <is>
          <t>Marathwada</t>
        </is>
      </c>
      <c r="D205" s="601" t="inlineStr">
        <is>
          <t>Marathwada</t>
        </is>
      </c>
      <c r="E205" s="601" t="n">
        <v>189002</v>
      </c>
      <c r="F205" s="601" t="n">
        <v>1940807</v>
      </c>
      <c r="G205" s="601">
        <f>_xlfn.CONCAT(scheduleapr[[#This Row],[CUSTOMER CODE]],"-",scheduleapr[[#This Row],[MATERIAL NO]])</f>
        <v/>
      </c>
      <c r="H205" s="601" t="inlineStr">
        <is>
          <t>TUB-R-AW-RHS-40.00X20.00X1.210X6.0000</t>
        </is>
      </c>
      <c r="I205" s="601" t="inlineStr">
        <is>
          <t>CRFH</t>
        </is>
      </c>
      <c r="J205" s="596" t="n"/>
      <c r="K205" s="596" t="inlineStr">
        <is>
          <t>PE</t>
        </is>
      </c>
      <c r="L205" s="601" t="inlineStr">
        <is>
          <t>CR</t>
        </is>
      </c>
      <c r="M205" s="596" t="n"/>
      <c r="N205" s="596" t="n"/>
      <c r="O205" s="596" t="n"/>
      <c r="P205" s="596" t="n"/>
      <c r="Q205" s="557">
        <f>CONCATENATE(scheduleapr[[#This Row],[OD]],"-",scheduleapr[[#This Row],[ID]],"-",scheduleapr[[#This Row],[TICKNESS]],"-",scheduleapr[[#This Row],[Grade]],"-",scheduleapr[[#This Row],[FC/NFC]])</f>
        <v/>
      </c>
      <c r="R205" s="557">
        <f>_xlfn.CONCAT(scheduleapr[[#This Row],[Bucket]],"-",scheduleapr[[#This Row],[LENGTH]]/1000)</f>
        <v/>
      </c>
      <c r="S205" s="557">
        <f>COUNTIF(scheduleapr[CTL Bucket],scheduleapr[[#This Row],[CTL Bucket]])</f>
        <v/>
      </c>
      <c r="T205" s="601" t="inlineStr">
        <is>
          <t>Hosur</t>
        </is>
      </c>
      <c r="U205" s="601" t="n"/>
      <c r="V205" s="557" t="n"/>
      <c r="W205" s="557" t="n"/>
      <c r="X205" s="599" t="n">
        <v>38.1</v>
      </c>
      <c r="Y205" s="599" t="n">
        <v>40</v>
      </c>
      <c r="Z205" s="599" t="n">
        <v>20</v>
      </c>
      <c r="AA205" s="599" t="n">
        <v>1.2</v>
      </c>
      <c r="AB205" s="600" t="n">
        <v>1000</v>
      </c>
      <c r="AC205" s="600" t="inlineStr">
        <is>
          <t>M</t>
        </is>
      </c>
      <c r="AD205" s="600" t="n"/>
      <c r="AE205" s="600" t="n"/>
      <c r="AF205" s="601" t="n"/>
      <c r="AG205" s="601" t="n"/>
      <c r="AH205" s="601">
        <f t="array" ref="AH2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5" s="602">
        <f>scheduleapr[[#This Row],[SCHEDULE in nos]]-scheduleapr[[#This Row],[DISPATCH]]</f>
        <v/>
      </c>
      <c r="AJ205" s="599">
        <f>(3.14*(scheduleapr[[#This Row],[ACTUAL OD]]-scheduleapr[[#This Row],[TICKNESS]])*scheduleapr[[#This Row],[TICKNESS]]*scheduleapr[[#This Row],[LENGTH]]*7.85)/1000000*scheduleapr[[#This Row],[SCHEDULE in nos]]/1000</f>
        <v/>
      </c>
      <c r="AK205" s="599">
        <f>(3.14*(scheduleapr[[#This Row],[ACTUAL OD]]-scheduleapr[[#This Row],[TICKNESS]])*scheduleapr[[#This Row],[TICKNESS]]*scheduleapr[[#This Row],[LENGTH]]*7.85)/1000000*scheduleapr[[#This Row],[DISPATCH]]/1000</f>
        <v/>
      </c>
      <c r="AL205" s="599">
        <f>AJ205-AK205</f>
        <v/>
      </c>
      <c r="AM205" s="599">
        <f>scheduleapr[[#This Row],[SCHEDULE in nos]]/scheduleapr[[#This Row],[SCHEDULE IN MT]]*scheduleapr[[#This Row],[CTL Stock]]</f>
        <v/>
      </c>
      <c r="AN205" s="599">
        <f>SUMIFS(stock[MT],stock[Bucket],scheduleapr[[#This Row],[Bucket]],stock[CTL Bucket],scheduleapr[[#This Row],[CTL Bucket]],stock[Plant],"0789")</f>
        <v/>
      </c>
      <c r="AO205" s="599" t="n"/>
      <c r="AP205" s="599">
        <f>SUMIFS(stock[MT],stock[Bucket],scheduleapr[[#This Row],[Bucket]],stock[LL or CTL],"LL")</f>
        <v/>
      </c>
      <c r="AQ205" s="599">
        <f>+SUMIFS(wip[Stock(Net Wt)],wip[Bucket],scheduleapr[[#This Row],[Bucket]])/1000</f>
        <v/>
      </c>
      <c r="AR205" s="599">
        <f>AJ205-AN205</f>
        <v/>
      </c>
      <c r="AS205" s="118" t="n"/>
    </row>
    <row r="206">
      <c r="A206" s="594" t="n">
        <v>162</v>
      </c>
      <c r="B206" s="5" t="inlineStr">
        <is>
          <t>Hosur</t>
        </is>
      </c>
      <c r="C206" s="601" t="inlineStr">
        <is>
          <t>Marathwada</t>
        </is>
      </c>
      <c r="D206" s="601" t="inlineStr">
        <is>
          <t>Marathwada</t>
        </is>
      </c>
      <c r="E206" s="601" t="n">
        <v>189002</v>
      </c>
      <c r="F206" s="601" t="n">
        <v>3233555</v>
      </c>
      <c r="G206" s="601">
        <f>_xlfn.CONCAT(scheduleapr[[#This Row],[CUSTOMER CODE]],"-",scheduleapr[[#This Row],[MATERIAL NO]])</f>
        <v/>
      </c>
      <c r="H206" s="601" t="inlineStr">
        <is>
          <t>TUB-R-AW-AUT-40.00X20.00X1.210X1.1200</t>
        </is>
      </c>
      <c r="I206" s="601" t="inlineStr">
        <is>
          <t>CRFH</t>
        </is>
      </c>
      <c r="J206" s="596" t="n"/>
      <c r="K206" s="596" t="inlineStr">
        <is>
          <t>PE</t>
        </is>
      </c>
      <c r="L206" s="601" t="inlineStr">
        <is>
          <t>CR</t>
        </is>
      </c>
      <c r="M206" s="596" t="n"/>
      <c r="N206" s="596" t="n"/>
      <c r="O206" s="596" t="n"/>
      <c r="P206" s="596" t="n"/>
      <c r="Q206" s="557">
        <f>CONCATENATE(scheduleapr[[#This Row],[OD]],"-",scheduleapr[[#This Row],[ID]],"-",scheduleapr[[#This Row],[TICKNESS]],"-",scheduleapr[[#This Row],[Grade]],"-",scheduleapr[[#This Row],[FC/NFC]])</f>
        <v/>
      </c>
      <c r="R206" s="557">
        <f>_xlfn.CONCAT(scheduleapr[[#This Row],[Bucket]],"-",scheduleapr[[#This Row],[LENGTH]]/1000)</f>
        <v/>
      </c>
      <c r="S206" s="557">
        <f>COUNTIF(scheduleapr[CTL Bucket],scheduleapr[[#This Row],[CTL Bucket]])</f>
        <v/>
      </c>
      <c r="T206" s="601" t="inlineStr">
        <is>
          <t>Hosur</t>
        </is>
      </c>
      <c r="U206" s="601" t="n"/>
      <c r="V206" s="557" t="n"/>
      <c r="W206" s="557" t="n"/>
      <c r="X206" s="599" t="n">
        <v>38.1</v>
      </c>
      <c r="Y206" s="599" t="n">
        <v>40</v>
      </c>
      <c r="Z206" s="599" t="n">
        <v>20</v>
      </c>
      <c r="AA206" s="599" t="n">
        <v>1.2</v>
      </c>
      <c r="AB206" s="600" t="n">
        <v>1120</v>
      </c>
      <c r="AC206" s="600" t="inlineStr">
        <is>
          <t>NOS</t>
        </is>
      </c>
      <c r="AD206" s="600" t="n"/>
      <c r="AE206" s="600" t="n"/>
      <c r="AF206" s="601" t="n"/>
      <c r="AG206" s="601" t="n"/>
      <c r="AH206" s="601">
        <f t="array" ref="AH2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6" s="602">
        <f>scheduleapr[[#This Row],[SCHEDULE in nos]]-scheduleapr[[#This Row],[DISPATCH]]</f>
        <v/>
      </c>
      <c r="AJ206" s="599">
        <f>(3.14*(scheduleapr[[#This Row],[ACTUAL OD]]-scheduleapr[[#This Row],[TICKNESS]])*scheduleapr[[#This Row],[TICKNESS]]*scheduleapr[[#This Row],[LENGTH]]*7.85)/1000000*scheduleapr[[#This Row],[SCHEDULE in nos]]/1000</f>
        <v/>
      </c>
      <c r="AK206" s="599">
        <f>(3.14*(scheduleapr[[#This Row],[ACTUAL OD]]-scheduleapr[[#This Row],[TICKNESS]])*scheduleapr[[#This Row],[TICKNESS]]*scheduleapr[[#This Row],[LENGTH]]*7.85)/1000000*scheduleapr[[#This Row],[DISPATCH]]/1000</f>
        <v/>
      </c>
      <c r="AL206" s="599">
        <f>AJ206-AK206</f>
        <v/>
      </c>
      <c r="AM206" s="599">
        <f>scheduleapr[[#This Row],[SCHEDULE in nos]]/scheduleapr[[#This Row],[SCHEDULE IN MT]]*scheduleapr[[#This Row],[CTL Stock]]</f>
        <v/>
      </c>
      <c r="AN206" s="599">
        <f>SUMIFS(stock[MT],stock[Bucket],scheduleapr[[#This Row],[Bucket]],stock[CTL Bucket],scheduleapr[[#This Row],[CTL Bucket]],stock[Plant],"0789")</f>
        <v/>
      </c>
      <c r="AO206" s="599" t="n"/>
      <c r="AP206" s="599">
        <f>SUMIFS(stock[MT],stock[Bucket],scheduleapr[[#This Row],[Bucket]],stock[LL or CTL],"LL")</f>
        <v/>
      </c>
      <c r="AQ206" s="599">
        <f>+SUMIFS(wip[Stock(Net Wt)],wip[Bucket],scheduleapr[[#This Row],[Bucket]])/1000</f>
        <v/>
      </c>
      <c r="AR206" s="599">
        <f>AJ206-AN206</f>
        <v/>
      </c>
      <c r="AS206" s="118" t="n"/>
    </row>
    <row r="207">
      <c r="A207" s="594" t="n">
        <v>752</v>
      </c>
      <c r="B207" s="5" t="inlineStr">
        <is>
          <t>Hosur</t>
        </is>
      </c>
      <c r="C207" s="601" t="inlineStr">
        <is>
          <t>Marathwada v7</t>
        </is>
      </c>
      <c r="D207" s="601" t="inlineStr">
        <is>
          <t>Marathwada</t>
        </is>
      </c>
      <c r="E207" s="601" t="n">
        <v>189002</v>
      </c>
      <c r="F207" s="601" t="n">
        <v>3233555</v>
      </c>
      <c r="G207" s="601">
        <f>_xlfn.CONCAT(scheduleapr[[#This Row],[CUSTOMER CODE]],"-",scheduleapr[[#This Row],[MATERIAL NO]])</f>
        <v/>
      </c>
      <c r="H207" s="601" t="inlineStr">
        <is>
          <t>TUB-R-AW-AUT-40.00X20.00X1.210X1.1200</t>
        </is>
      </c>
      <c r="I207" s="601" t="inlineStr">
        <is>
          <t>CRFH</t>
        </is>
      </c>
      <c r="J207" s="596" t="n"/>
      <c r="K207" s="596" t="inlineStr">
        <is>
          <t>PE</t>
        </is>
      </c>
      <c r="L207" s="601" t="inlineStr">
        <is>
          <t>CR</t>
        </is>
      </c>
      <c r="M207" s="596" t="n"/>
      <c r="N207" s="596" t="n"/>
      <c r="O207" s="596" t="n"/>
      <c r="P207" s="596" t="n"/>
      <c r="Q207" s="557">
        <f>CONCATENATE(scheduleapr[[#This Row],[OD]],"-",scheduleapr[[#This Row],[ID]],"-",scheduleapr[[#This Row],[TICKNESS]],"-",scheduleapr[[#This Row],[Grade]],"-",scheduleapr[[#This Row],[FC/NFC]])</f>
        <v/>
      </c>
      <c r="R207" s="557">
        <f>_xlfn.CONCAT(scheduleapr[[#This Row],[Bucket]],"-",scheduleapr[[#This Row],[LENGTH]]/1000)</f>
        <v/>
      </c>
      <c r="S207" s="557">
        <f>COUNTIF(scheduleapr[CTL Bucket],scheduleapr[[#This Row],[CTL Bucket]])</f>
        <v/>
      </c>
      <c r="T207" s="601" t="inlineStr">
        <is>
          <t>Hosur</t>
        </is>
      </c>
      <c r="U207" s="601">
        <f>_xlfn.IFNA(VLOOKUP(scheduleapr[[#This Row],[Bucket]],salesforecast[[#All],[Bucket2]:[8406 Stock]],19,0),0)</f>
        <v/>
      </c>
      <c r="V207" s="562">
        <f>_xlfn.IFNA(VLOOKUP(scheduleapr[[#This Row],[Bucket]],salesforecast[[#All],[Bucket2]:[8406 Stock]],20,0),0)+_xlfn.IFNA(VLOOKUP(scheduleapr[[#This Row],[Bucket]],salesforecast[[#All],[Bucket2]:[8406 Stock]],17,0),0)</f>
        <v/>
      </c>
      <c r="W207" s="601" t="n"/>
      <c r="X207" s="599" t="n">
        <v>38.1</v>
      </c>
      <c r="Y207" s="599" t="n">
        <v>40</v>
      </c>
      <c r="Z207" s="599" t="n">
        <v>20</v>
      </c>
      <c r="AA207" s="599" t="n">
        <v>1.2</v>
      </c>
      <c r="AB207" s="600" t="n">
        <v>1120</v>
      </c>
      <c r="AC207" s="600" t="inlineStr">
        <is>
          <t>NOS</t>
        </is>
      </c>
      <c r="AD207" s="600" t="n"/>
      <c r="AE207" s="600" t="n"/>
      <c r="AF207" s="601" t="n">
        <v>28000</v>
      </c>
      <c r="AG207" s="601" t="n"/>
      <c r="AH207" s="601">
        <f t="array" ref="AH2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7" s="602">
        <f>scheduleapr[[#This Row],[SCHEDULE in nos]]-scheduleapr[[#This Row],[DISPATCH]]</f>
        <v/>
      </c>
      <c r="AJ207" s="599">
        <f>(3.14*(scheduleapr[[#This Row],[ACTUAL OD]]-scheduleapr[[#This Row],[TICKNESS]])*scheduleapr[[#This Row],[TICKNESS]]*scheduleapr[[#This Row],[LENGTH]]*7.85)/1000000*scheduleapr[[#This Row],[SCHEDULE in nos]]/1000</f>
        <v/>
      </c>
      <c r="AK207" s="599">
        <f>(3.14*(scheduleapr[[#This Row],[ACTUAL OD]]-scheduleapr[[#This Row],[TICKNESS]])*scheduleapr[[#This Row],[TICKNESS]]*scheduleapr[[#This Row],[LENGTH]]*7.85)/1000000*scheduleapr[[#This Row],[DISPATCH]]/1000</f>
        <v/>
      </c>
      <c r="AL207" s="599">
        <f>AJ207-AK207</f>
        <v/>
      </c>
      <c r="AM207" s="599">
        <f>scheduleapr[[#This Row],[SCHEDULE in nos]]/scheduleapr[[#This Row],[SCHEDULE IN MT]]*scheduleapr[[#This Row],[CTL Stock]]</f>
        <v/>
      </c>
      <c r="AN207" s="599">
        <f>SUMIFS(stock[MT],stock[Bucket],scheduleapr[[#This Row],[Bucket]],stock[LL or CTL],"LL")</f>
        <v/>
      </c>
      <c r="AO207" s="599">
        <f>+SUMIFS(wip[Stock(Net Wt)],wip[Bucket],scheduleapr[[#This Row],[Bucket]])/1000</f>
        <v/>
      </c>
      <c r="AP207" s="599">
        <f>AH207-AL207</f>
        <v/>
      </c>
      <c r="AQ207" s="599">
        <f>+SUMIFS(wip[Stock(Net Wt)],wip[Bucket],scheduleapr[[#This Row],[Bucket]])/1000</f>
        <v/>
      </c>
      <c r="AR207" s="599">
        <f>AJ207-AN207</f>
        <v/>
      </c>
      <c r="AS207" s="118" t="n"/>
    </row>
    <row r="208">
      <c r="A208" s="594" t="n">
        <v>163</v>
      </c>
      <c r="B208" s="5" t="inlineStr">
        <is>
          <t>Hosur</t>
        </is>
      </c>
      <c r="C208" s="601" t="inlineStr">
        <is>
          <t>Marathwada</t>
        </is>
      </c>
      <c r="D208" s="601" t="inlineStr">
        <is>
          <t>Marathwada</t>
        </is>
      </c>
      <c r="E208" s="601" t="n">
        <v>189002</v>
      </c>
      <c r="F208" s="601" t="n">
        <v>3233554</v>
      </c>
      <c r="G208" s="601">
        <f>_xlfn.CONCAT(scheduleapr[[#This Row],[CUSTOMER CODE]],"-",scheduleapr[[#This Row],[MATERIAL NO]])</f>
        <v/>
      </c>
      <c r="H208" s="601" t="inlineStr">
        <is>
          <t>TUB-R-AW-AUT-40.00X20.00X1.210X1.2460</t>
        </is>
      </c>
      <c r="I208" s="601" t="inlineStr">
        <is>
          <t>CRFH</t>
        </is>
      </c>
      <c r="J208" s="596" t="n"/>
      <c r="K208" s="596" t="inlineStr">
        <is>
          <t>PE</t>
        </is>
      </c>
      <c r="L208" s="601" t="inlineStr">
        <is>
          <t>CR</t>
        </is>
      </c>
      <c r="M208" s="596" t="n"/>
      <c r="N208" s="596" t="n"/>
      <c r="O208" s="596" t="n"/>
      <c r="P208" s="596" t="n"/>
      <c r="Q208" s="557">
        <f>CONCATENATE(scheduleapr[[#This Row],[OD]],"-",scheduleapr[[#This Row],[ID]],"-",scheduleapr[[#This Row],[TICKNESS]],"-",scheduleapr[[#This Row],[Grade]],"-",scheduleapr[[#This Row],[FC/NFC]])</f>
        <v/>
      </c>
      <c r="R208" s="557">
        <f>_xlfn.CONCAT(scheduleapr[[#This Row],[Bucket]],"-",scheduleapr[[#This Row],[LENGTH]]/1000)</f>
        <v/>
      </c>
      <c r="S208" s="557">
        <f>COUNTIF(scheduleapr[CTL Bucket],scheduleapr[[#This Row],[CTL Bucket]])</f>
        <v/>
      </c>
      <c r="T208" s="601" t="inlineStr">
        <is>
          <t>Hosur</t>
        </is>
      </c>
      <c r="U208" s="601" t="n"/>
      <c r="V208" s="557" t="n"/>
      <c r="W208" s="557" t="n"/>
      <c r="X208" s="599" t="n">
        <v>38.1</v>
      </c>
      <c r="Y208" s="599" t="n">
        <v>40</v>
      </c>
      <c r="Z208" s="599" t="n">
        <v>20</v>
      </c>
      <c r="AA208" s="599" t="n">
        <v>1.2</v>
      </c>
      <c r="AB208" s="600" t="n">
        <v>1246</v>
      </c>
      <c r="AC208" s="600" t="inlineStr">
        <is>
          <t>NOS</t>
        </is>
      </c>
      <c r="AD208" s="600" t="n"/>
      <c r="AE208" s="600" t="n"/>
      <c r="AF208" s="601" t="n"/>
      <c r="AG208" s="601" t="n"/>
      <c r="AH208" s="601">
        <f t="array" ref="AH2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8" s="602">
        <f>scheduleapr[[#This Row],[SCHEDULE in nos]]-scheduleapr[[#This Row],[DISPATCH]]</f>
        <v/>
      </c>
      <c r="AJ208" s="599">
        <f>(3.14*(scheduleapr[[#This Row],[ACTUAL OD]]-scheduleapr[[#This Row],[TICKNESS]])*scheduleapr[[#This Row],[TICKNESS]]*scheduleapr[[#This Row],[LENGTH]]*7.85)/1000000*scheduleapr[[#This Row],[SCHEDULE in nos]]/1000</f>
        <v/>
      </c>
      <c r="AK208" s="599">
        <f>(3.14*(scheduleapr[[#This Row],[ACTUAL OD]]-scheduleapr[[#This Row],[TICKNESS]])*scheduleapr[[#This Row],[TICKNESS]]*scheduleapr[[#This Row],[LENGTH]]*7.85)/1000000*scheduleapr[[#This Row],[DISPATCH]]/1000</f>
        <v/>
      </c>
      <c r="AL208" s="599">
        <f>AJ208-AK208</f>
        <v/>
      </c>
      <c r="AM208" s="599">
        <f>scheduleapr[[#This Row],[SCHEDULE in nos]]/scheduleapr[[#This Row],[SCHEDULE IN MT]]*scheduleapr[[#This Row],[CTL Stock]]</f>
        <v/>
      </c>
      <c r="AN208" s="599">
        <f>SUMIFS(stock[MT],stock[Bucket],scheduleapr[[#This Row],[Bucket]],stock[CTL Bucket],scheduleapr[[#This Row],[CTL Bucket]],stock[Plant],"0789")</f>
        <v/>
      </c>
      <c r="AO208" s="599" t="n"/>
      <c r="AP208" s="599">
        <f>SUMIFS(stock[MT],stock[Bucket],scheduleapr[[#This Row],[Bucket]],stock[LL or CTL],"LL")</f>
        <v/>
      </c>
      <c r="AQ208" s="599">
        <f>+SUMIFS(wip[Stock(Net Wt)],wip[Bucket],scheduleapr[[#This Row],[Bucket]])/1000</f>
        <v/>
      </c>
      <c r="AR208" s="599">
        <f>AJ208-AN208</f>
        <v/>
      </c>
      <c r="AS208" s="118" t="n"/>
    </row>
    <row r="209">
      <c r="A209" s="594" t="n">
        <v>771</v>
      </c>
      <c r="B209" s="5" t="inlineStr">
        <is>
          <t>Hosur</t>
        </is>
      </c>
      <c r="C209" s="601" t="inlineStr">
        <is>
          <t>Marathwada v7</t>
        </is>
      </c>
      <c r="D209" s="601" t="inlineStr">
        <is>
          <t>Marathwada</t>
        </is>
      </c>
      <c r="E209" s="601" t="n">
        <v>189002</v>
      </c>
      <c r="F209" s="601" t="n">
        <v>3233554</v>
      </c>
      <c r="G209" s="601">
        <f>_xlfn.CONCAT(scheduleapr[[#This Row],[CUSTOMER CODE]],"-",scheduleapr[[#This Row],[MATERIAL NO]])</f>
        <v/>
      </c>
      <c r="H209" s="601" t="inlineStr">
        <is>
          <t>TUB-R-AW-AUT-40.00X20.00X1.210X1.2460</t>
        </is>
      </c>
      <c r="I209" s="601" t="inlineStr">
        <is>
          <t>CRFH</t>
        </is>
      </c>
      <c r="J209" s="596" t="n"/>
      <c r="K209" s="596" t="inlineStr">
        <is>
          <t>PE</t>
        </is>
      </c>
      <c r="L209" s="601" t="inlineStr">
        <is>
          <t>CR</t>
        </is>
      </c>
      <c r="M209" s="596" t="n"/>
      <c r="N209" s="596" t="n"/>
      <c r="O209" s="596" t="n"/>
      <c r="P209" s="596" t="n"/>
      <c r="Q209" s="557">
        <f>CONCATENATE(scheduleapr[[#This Row],[OD]],"-",scheduleapr[[#This Row],[ID]],"-",scheduleapr[[#This Row],[TICKNESS]],"-",scheduleapr[[#This Row],[Grade]],"-",scheduleapr[[#This Row],[FC/NFC]])</f>
        <v/>
      </c>
      <c r="R209" s="557">
        <f>_xlfn.CONCAT(scheduleapr[[#This Row],[Bucket]],"-",scheduleapr[[#This Row],[LENGTH]]/1000)</f>
        <v/>
      </c>
      <c r="S209" s="557">
        <f>COUNTIF(scheduleapr[CTL Bucket],scheduleapr[[#This Row],[CTL Bucket]])</f>
        <v/>
      </c>
      <c r="T209" s="601" t="inlineStr">
        <is>
          <t>Hosur</t>
        </is>
      </c>
      <c r="U209" s="601">
        <f>_xlfn.IFNA(VLOOKUP(scheduleapr[[#This Row],[Bucket]],salesforecast[[#All],[Bucket2]:[8406 Stock]],19,0),0)</f>
        <v/>
      </c>
      <c r="V209" s="562">
        <f>_xlfn.IFNA(VLOOKUP(scheduleapr[[#This Row],[Bucket]],salesforecast[[#All],[Bucket2]:[8406 Stock]],20,0),0)+_xlfn.IFNA(VLOOKUP(scheduleapr[[#This Row],[Bucket]],salesforecast[[#All],[Bucket2]:[8406 Stock]],17,0),0)</f>
        <v/>
      </c>
      <c r="W209" s="601" t="n"/>
      <c r="X209" s="599" t="n">
        <v>38.1</v>
      </c>
      <c r="Y209" s="599" t="n">
        <v>40</v>
      </c>
      <c r="Z209" s="599" t="n">
        <v>20</v>
      </c>
      <c r="AA209" s="599" t="n">
        <v>1.2</v>
      </c>
      <c r="AB209" s="600" t="n">
        <v>1246</v>
      </c>
      <c r="AC209" s="600" t="inlineStr">
        <is>
          <t>NOS</t>
        </is>
      </c>
      <c r="AD209" s="600" t="n"/>
      <c r="AE209" s="600" t="n"/>
      <c r="AF209" s="601" t="n">
        <v>7000</v>
      </c>
      <c r="AG209" s="601" t="n"/>
      <c r="AH209" s="601">
        <f t="array" ref="AH2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09" s="602">
        <f>scheduleapr[[#This Row],[SCHEDULE in nos]]-scheduleapr[[#This Row],[DISPATCH]]</f>
        <v/>
      </c>
      <c r="AJ209" s="599">
        <f>(3.14*(scheduleapr[[#This Row],[ACTUAL OD]]-scheduleapr[[#This Row],[TICKNESS]])*scheduleapr[[#This Row],[TICKNESS]]*scheduleapr[[#This Row],[LENGTH]]*7.85)/1000000*scheduleapr[[#This Row],[SCHEDULE in nos]]/1000</f>
        <v/>
      </c>
      <c r="AK209" s="599">
        <f>(3.14*(scheduleapr[[#This Row],[ACTUAL OD]]-scheduleapr[[#This Row],[TICKNESS]])*scheduleapr[[#This Row],[TICKNESS]]*scheduleapr[[#This Row],[LENGTH]]*7.85)/1000000*scheduleapr[[#This Row],[DISPATCH]]/1000</f>
        <v/>
      </c>
      <c r="AL209" s="599">
        <f>AJ209-AK209</f>
        <v/>
      </c>
      <c r="AM209" s="599">
        <f>scheduleapr[[#This Row],[SCHEDULE in nos]]/scheduleapr[[#This Row],[SCHEDULE IN MT]]*scheduleapr[[#This Row],[CTL Stock]]</f>
        <v/>
      </c>
      <c r="AN209" s="599">
        <f>SUMIFS(stock[MT],stock[Bucket],scheduleapr[[#This Row],[Bucket]],stock[LL or CTL],"LL")</f>
        <v/>
      </c>
      <c r="AO209" s="599">
        <f>+SUMIFS(wip[Stock(Net Wt)],wip[Bucket],scheduleapr[[#This Row],[Bucket]])/1000</f>
        <v/>
      </c>
      <c r="AP209" s="599">
        <f>AH209-AL209</f>
        <v/>
      </c>
      <c r="AQ209" s="599">
        <f>+SUMIFS(wip[Stock(Net Wt)],wip[Bucket],scheduleapr[[#This Row],[Bucket]])/1000</f>
        <v/>
      </c>
      <c r="AR209" s="599">
        <f>AJ209-AN209</f>
        <v/>
      </c>
      <c r="AS209" s="118" t="n"/>
    </row>
    <row r="210">
      <c r="A210" s="594" t="n">
        <v>164</v>
      </c>
      <c r="B210" s="5" t="inlineStr">
        <is>
          <t>Hosur</t>
        </is>
      </c>
      <c r="C210" s="601" t="inlineStr">
        <is>
          <t>Marathwada</t>
        </is>
      </c>
      <c r="D210" s="601" t="inlineStr">
        <is>
          <t>Marathwada</t>
        </is>
      </c>
      <c r="E210" s="601" t="n">
        <v>189002</v>
      </c>
      <c r="F210" s="601" t="n">
        <v>3233553</v>
      </c>
      <c r="G210" s="601">
        <f>_xlfn.CONCAT(scheduleapr[[#This Row],[CUSTOMER CODE]],"-",scheduleapr[[#This Row],[MATERIAL NO]])</f>
        <v/>
      </c>
      <c r="H210" s="601" t="inlineStr">
        <is>
          <t>TUB-R-AW-AUT-40.00X20.00X1.210X1.2980</t>
        </is>
      </c>
      <c r="I210" s="601" t="inlineStr">
        <is>
          <t>CRFH</t>
        </is>
      </c>
      <c r="J210" s="596" t="n"/>
      <c r="K210" s="596" t="inlineStr">
        <is>
          <t>PE</t>
        </is>
      </c>
      <c r="L210" s="601" t="inlineStr">
        <is>
          <t>CR</t>
        </is>
      </c>
      <c r="M210" s="596" t="n"/>
      <c r="N210" s="596" t="n"/>
      <c r="O210" s="596" t="n"/>
      <c r="P210" s="596" t="n"/>
      <c r="Q210" s="557">
        <f>CONCATENATE(scheduleapr[[#This Row],[OD]],"-",scheduleapr[[#This Row],[ID]],"-",scheduleapr[[#This Row],[TICKNESS]],"-",scheduleapr[[#This Row],[Grade]],"-",scheduleapr[[#This Row],[FC/NFC]])</f>
        <v/>
      </c>
      <c r="R210" s="557">
        <f>_xlfn.CONCAT(scheduleapr[[#This Row],[Bucket]],"-",scheduleapr[[#This Row],[LENGTH]]/1000)</f>
        <v/>
      </c>
      <c r="S210" s="557">
        <f>COUNTIF(scheduleapr[CTL Bucket],scheduleapr[[#This Row],[CTL Bucket]])</f>
        <v/>
      </c>
      <c r="T210" s="601" t="inlineStr">
        <is>
          <t>Hosur</t>
        </is>
      </c>
      <c r="U210" s="601" t="n"/>
      <c r="V210" s="557" t="n"/>
      <c r="W210" s="557" t="n"/>
      <c r="X210" s="599" t="n">
        <v>38.1</v>
      </c>
      <c r="Y210" s="599" t="n">
        <v>40</v>
      </c>
      <c r="Z210" s="599" t="n">
        <v>20</v>
      </c>
      <c r="AA210" s="599" t="n">
        <v>1.2</v>
      </c>
      <c r="AB210" s="600" t="n">
        <v>1298</v>
      </c>
      <c r="AC210" s="600" t="inlineStr">
        <is>
          <t>NOS</t>
        </is>
      </c>
      <c r="AD210" s="600" t="n"/>
      <c r="AE210" s="600" t="n"/>
      <c r="AF210" s="601" t="n"/>
      <c r="AG210" s="601" t="n"/>
      <c r="AH210" s="601">
        <f t="array" ref="AH2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0" s="602">
        <f>scheduleapr[[#This Row],[SCHEDULE in nos]]-scheduleapr[[#This Row],[DISPATCH]]</f>
        <v/>
      </c>
      <c r="AJ210" s="599">
        <f>(3.14*(scheduleapr[[#This Row],[ACTUAL OD]]-scheduleapr[[#This Row],[TICKNESS]])*scheduleapr[[#This Row],[TICKNESS]]*scheduleapr[[#This Row],[LENGTH]]*7.85)/1000000*scheduleapr[[#This Row],[SCHEDULE in nos]]/1000</f>
        <v/>
      </c>
      <c r="AK210" s="599">
        <f>(3.14*(scheduleapr[[#This Row],[ACTUAL OD]]-scheduleapr[[#This Row],[TICKNESS]])*scheduleapr[[#This Row],[TICKNESS]]*scheduleapr[[#This Row],[LENGTH]]*7.85)/1000000*scheduleapr[[#This Row],[DISPATCH]]/1000</f>
        <v/>
      </c>
      <c r="AL210" s="599">
        <f>AJ210-AK210</f>
        <v/>
      </c>
      <c r="AM210" s="599">
        <f>scheduleapr[[#This Row],[SCHEDULE in nos]]/scheduleapr[[#This Row],[SCHEDULE IN MT]]*scheduleapr[[#This Row],[CTL Stock]]</f>
        <v/>
      </c>
      <c r="AN210" s="599">
        <f>SUMIFS(stock[MT],stock[Bucket],scheduleapr[[#This Row],[Bucket]],stock[CTL Bucket],scheduleapr[[#This Row],[CTL Bucket]],stock[Plant],"0789")</f>
        <v/>
      </c>
      <c r="AO210" s="599" t="n"/>
      <c r="AP210" s="599">
        <f>SUMIFS(stock[MT],stock[Bucket],scheduleapr[[#This Row],[Bucket]],stock[LL or CTL],"LL")</f>
        <v/>
      </c>
      <c r="AQ210" s="599">
        <f>+SUMIFS(wip[Stock(Net Wt)],wip[Bucket],scheduleapr[[#This Row],[Bucket]])/1000</f>
        <v/>
      </c>
      <c r="AR210" s="599">
        <f>AJ210-AN210</f>
        <v/>
      </c>
      <c r="AS210" s="118" t="n"/>
    </row>
    <row r="211">
      <c r="A211" s="594" t="n">
        <v>165</v>
      </c>
      <c r="B211" s="5" t="inlineStr">
        <is>
          <t>Hosur</t>
        </is>
      </c>
      <c r="C211" s="601" t="inlineStr">
        <is>
          <t>Marathwada</t>
        </is>
      </c>
      <c r="D211" s="601" t="inlineStr">
        <is>
          <t>Marathwada</t>
        </is>
      </c>
      <c r="E211" s="601" t="n">
        <v>189002</v>
      </c>
      <c r="F211" s="601" t="n">
        <v>1940801</v>
      </c>
      <c r="G211" s="601">
        <f>_xlfn.CONCAT(scheduleapr[[#This Row],[CUSTOMER CODE]],"-",scheduleapr[[#This Row],[MATERIAL NO]])</f>
        <v/>
      </c>
      <c r="H211" s="601" t="inlineStr">
        <is>
          <t>TUB-R-AW-RHS-40.00X20.00X1.210X1.3100</t>
        </is>
      </c>
      <c r="I211" s="601" t="inlineStr">
        <is>
          <t>CRFH</t>
        </is>
      </c>
      <c r="J211" s="596" t="n"/>
      <c r="K211" s="596" t="inlineStr">
        <is>
          <t>PE</t>
        </is>
      </c>
      <c r="L211" s="601" t="inlineStr">
        <is>
          <t>CR</t>
        </is>
      </c>
      <c r="M211" s="596" t="n"/>
      <c r="N211" s="596" t="n"/>
      <c r="O211" s="596" t="n"/>
      <c r="P211" s="596" t="n"/>
      <c r="Q211" s="557">
        <f>CONCATENATE(scheduleapr[[#This Row],[OD]],"-",scheduleapr[[#This Row],[ID]],"-",scheduleapr[[#This Row],[TICKNESS]],"-",scheduleapr[[#This Row],[Grade]],"-",scheduleapr[[#This Row],[FC/NFC]])</f>
        <v/>
      </c>
      <c r="R211" s="557">
        <f>_xlfn.CONCAT(scheduleapr[[#This Row],[Bucket]],"-",scheduleapr[[#This Row],[LENGTH]]/1000)</f>
        <v/>
      </c>
      <c r="S211" s="557">
        <f>COUNTIF(scheduleapr[CTL Bucket],scheduleapr[[#This Row],[CTL Bucket]])</f>
        <v/>
      </c>
      <c r="T211" s="601" t="inlineStr">
        <is>
          <t>Hosur</t>
        </is>
      </c>
      <c r="U211" s="601" t="n"/>
      <c r="V211" s="557" t="n"/>
      <c r="W211" s="557" t="n"/>
      <c r="X211" s="599" t="n">
        <v>38.1</v>
      </c>
      <c r="Y211" s="599" t="n">
        <v>40</v>
      </c>
      <c r="Z211" s="599" t="n">
        <v>20</v>
      </c>
      <c r="AA211" s="599" t="n">
        <v>1.2</v>
      </c>
      <c r="AB211" s="600" t="n">
        <v>1310</v>
      </c>
      <c r="AC211" s="600" t="inlineStr">
        <is>
          <t>NOS</t>
        </is>
      </c>
      <c r="AD211" s="600" t="n"/>
      <c r="AE211" s="600" t="n"/>
      <c r="AF211" s="601" t="n"/>
      <c r="AG211" s="601" t="n"/>
      <c r="AH211" s="601">
        <f t="array" ref="AH2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1" s="602">
        <f>scheduleapr[[#This Row],[SCHEDULE in nos]]-scheduleapr[[#This Row],[DISPATCH]]</f>
        <v/>
      </c>
      <c r="AJ211" s="599">
        <f>(3.14*(scheduleapr[[#This Row],[ACTUAL OD]]-scheduleapr[[#This Row],[TICKNESS]])*scheduleapr[[#This Row],[TICKNESS]]*scheduleapr[[#This Row],[LENGTH]]*7.85)/1000000*scheduleapr[[#This Row],[SCHEDULE in nos]]/1000</f>
        <v/>
      </c>
      <c r="AK211" s="599">
        <f>(3.14*(scheduleapr[[#This Row],[ACTUAL OD]]-scheduleapr[[#This Row],[TICKNESS]])*scheduleapr[[#This Row],[TICKNESS]]*scheduleapr[[#This Row],[LENGTH]]*7.85)/1000000*scheduleapr[[#This Row],[DISPATCH]]/1000</f>
        <v/>
      </c>
      <c r="AL211" s="599">
        <f>AJ211-AK211</f>
        <v/>
      </c>
      <c r="AM211" s="599">
        <f>scheduleapr[[#This Row],[SCHEDULE in nos]]/scheduleapr[[#This Row],[SCHEDULE IN MT]]*scheduleapr[[#This Row],[CTL Stock]]</f>
        <v/>
      </c>
      <c r="AN211" s="599">
        <f>SUMIFS(stock[MT],stock[Bucket],scheduleapr[[#This Row],[Bucket]],stock[CTL Bucket],scheduleapr[[#This Row],[CTL Bucket]],stock[Plant],"0789")</f>
        <v/>
      </c>
      <c r="AO211" s="599" t="n"/>
      <c r="AP211" s="599">
        <f>SUMIFS(stock[MT],stock[Bucket],scheduleapr[[#This Row],[Bucket]],stock[LL or CTL],"LL")</f>
        <v/>
      </c>
      <c r="AQ211" s="599">
        <f>+SUMIFS(wip[Stock(Net Wt)],wip[Bucket],scheduleapr[[#This Row],[Bucket]])/1000</f>
        <v/>
      </c>
      <c r="AR211" s="599">
        <f>AJ211-AN211</f>
        <v/>
      </c>
      <c r="AS211" s="118" t="n"/>
    </row>
    <row r="212">
      <c r="A212" s="594" t="n">
        <v>751</v>
      </c>
      <c r="B212" s="5" t="inlineStr">
        <is>
          <t>Hosur</t>
        </is>
      </c>
      <c r="C212" s="601" t="inlineStr">
        <is>
          <t>Marathwada v7</t>
        </is>
      </c>
      <c r="D212" s="601" t="inlineStr">
        <is>
          <t>Marathwada</t>
        </is>
      </c>
      <c r="E212" s="601" t="n">
        <v>189002</v>
      </c>
      <c r="F212" s="601" t="n">
        <v>1940801</v>
      </c>
      <c r="G212" s="601">
        <f>_xlfn.CONCAT(scheduleapr[[#This Row],[CUSTOMER CODE]],"-",scheduleapr[[#This Row],[MATERIAL NO]])</f>
        <v/>
      </c>
      <c r="H212" s="601" t="inlineStr">
        <is>
          <t>TUB-R-AW-RHS-40.00X20.00X1.210X1.3100</t>
        </is>
      </c>
      <c r="I212" s="601" t="inlineStr">
        <is>
          <t>CRFH</t>
        </is>
      </c>
      <c r="J212" s="596" t="n"/>
      <c r="K212" s="596" t="inlineStr">
        <is>
          <t>PE</t>
        </is>
      </c>
      <c r="L212" s="601" t="inlineStr">
        <is>
          <t>CR</t>
        </is>
      </c>
      <c r="M212" s="596" t="n"/>
      <c r="N212" s="596" t="n"/>
      <c r="O212" s="596" t="n"/>
      <c r="P212" s="596" t="n"/>
      <c r="Q212" s="557">
        <f>CONCATENATE(scheduleapr[[#This Row],[OD]],"-",scheduleapr[[#This Row],[ID]],"-",scheduleapr[[#This Row],[TICKNESS]],"-",scheduleapr[[#This Row],[Grade]],"-",scheduleapr[[#This Row],[FC/NFC]])</f>
        <v/>
      </c>
      <c r="R212" s="557">
        <f>_xlfn.CONCAT(scheduleapr[[#This Row],[Bucket]],"-",scheduleapr[[#This Row],[LENGTH]]/1000)</f>
        <v/>
      </c>
      <c r="S212" s="557">
        <f>COUNTIF(scheduleapr[CTL Bucket],scheduleapr[[#This Row],[CTL Bucket]])</f>
        <v/>
      </c>
      <c r="T212" s="601" t="inlineStr">
        <is>
          <t>Hosur</t>
        </is>
      </c>
      <c r="U212" s="601">
        <f>_xlfn.IFNA(VLOOKUP(scheduleapr[[#This Row],[Bucket]],salesforecast[[#All],[Bucket2]:[8406 Stock]],19,0),0)</f>
        <v/>
      </c>
      <c r="V212" s="562">
        <f>_xlfn.IFNA(VLOOKUP(scheduleapr[[#This Row],[Bucket]],salesforecast[[#All],[Bucket2]:[8406 Stock]],20,0),0)+_xlfn.IFNA(VLOOKUP(scheduleapr[[#This Row],[Bucket]],salesforecast[[#All],[Bucket2]:[8406 Stock]],17,0),0)</f>
        <v/>
      </c>
      <c r="W212" s="601" t="n"/>
      <c r="X212" s="599" t="n">
        <v>38.1</v>
      </c>
      <c r="Y212" s="599" t="n">
        <v>40</v>
      </c>
      <c r="Z212" s="599" t="n">
        <v>20</v>
      </c>
      <c r="AA212" s="599" t="n">
        <v>1.2</v>
      </c>
      <c r="AB212" s="600" t="n">
        <v>1310</v>
      </c>
      <c r="AC212" s="600" t="inlineStr">
        <is>
          <t>NOS</t>
        </is>
      </c>
      <c r="AD212" s="600" t="n"/>
      <c r="AE212" s="600" t="n"/>
      <c r="AF212" s="601" t="n">
        <v>21000</v>
      </c>
      <c r="AG212" s="601" t="n"/>
      <c r="AH212" s="601">
        <f t="array" ref="AH2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2" s="602">
        <f>scheduleapr[[#This Row],[SCHEDULE in nos]]-scheduleapr[[#This Row],[DISPATCH]]</f>
        <v/>
      </c>
      <c r="AJ212" s="599">
        <f>(3.14*(scheduleapr[[#This Row],[ACTUAL OD]]-scheduleapr[[#This Row],[TICKNESS]])*scheduleapr[[#This Row],[TICKNESS]]*scheduleapr[[#This Row],[LENGTH]]*7.85)/1000000*scheduleapr[[#This Row],[SCHEDULE in nos]]/1000</f>
        <v/>
      </c>
      <c r="AK212" s="599">
        <f>(3.14*(scheduleapr[[#This Row],[ACTUAL OD]]-scheduleapr[[#This Row],[TICKNESS]])*scheduleapr[[#This Row],[TICKNESS]]*scheduleapr[[#This Row],[LENGTH]]*7.85)/1000000*scheduleapr[[#This Row],[DISPATCH]]/1000</f>
        <v/>
      </c>
      <c r="AL212" s="599">
        <f>AJ212-AK212</f>
        <v/>
      </c>
      <c r="AM212" s="599">
        <f>scheduleapr[[#This Row],[SCHEDULE in nos]]/scheduleapr[[#This Row],[SCHEDULE IN MT]]*scheduleapr[[#This Row],[CTL Stock]]</f>
        <v/>
      </c>
      <c r="AN212" s="599">
        <f>SUMIFS(stock[MT],stock[Bucket],scheduleapr[[#This Row],[Bucket]],stock[LL or CTL],"LL")</f>
        <v/>
      </c>
      <c r="AO212" s="599">
        <f>+SUMIFS(wip[Stock(Net Wt)],wip[Bucket],scheduleapr[[#This Row],[Bucket]])/1000</f>
        <v/>
      </c>
      <c r="AP212" s="599">
        <f>AH212-AL212</f>
        <v/>
      </c>
      <c r="AQ212" s="529">
        <f>+SUMIFS(wip[Stock(Net Wt)],wip[Bucket],scheduleapr[[#This Row],[Bucket]])/1000</f>
        <v/>
      </c>
      <c r="AR212" s="599">
        <f>AJ212-AN212</f>
        <v/>
      </c>
      <c r="AS212" s="118" t="n"/>
    </row>
    <row r="213">
      <c r="A213" s="594" t="n">
        <v>172</v>
      </c>
      <c r="B213" s="5" t="inlineStr">
        <is>
          <t>Hosur</t>
        </is>
      </c>
      <c r="C213" s="601" t="inlineStr">
        <is>
          <t>Marathwada</t>
        </is>
      </c>
      <c r="D213" s="601" t="inlineStr">
        <is>
          <t>Marathwada</t>
        </is>
      </c>
      <c r="E213" s="601" t="n">
        <v>189002</v>
      </c>
      <c r="F213" s="601" t="n">
        <v>1940852</v>
      </c>
      <c r="G213" s="601">
        <f>_xlfn.CONCAT(scheduleapr[[#This Row],[CUSTOMER CODE]],"-",scheduleapr[[#This Row],[MATERIAL NO]])</f>
        <v/>
      </c>
      <c r="H213" s="601" t="inlineStr">
        <is>
          <t>TUB-S-AW-SHS-40.00X40.00X1.200X6.0000</t>
        </is>
      </c>
      <c r="I213" s="601" t="inlineStr">
        <is>
          <t>CRFH</t>
        </is>
      </c>
      <c r="J213" s="601" t="n"/>
      <c r="K213" s="601" t="inlineStr">
        <is>
          <t>PE</t>
        </is>
      </c>
      <c r="L213" s="601" t="inlineStr">
        <is>
          <t>CR</t>
        </is>
      </c>
      <c r="M213" s="601" t="n"/>
      <c r="N213" s="601" t="n"/>
      <c r="O213" s="601" t="n"/>
      <c r="P213" s="601" t="n"/>
      <c r="Q213" s="557">
        <f>CONCATENATE(scheduleapr[[#This Row],[OD]],"-",scheduleapr[[#This Row],[ID]],"-",scheduleapr[[#This Row],[TICKNESS]],"-",scheduleapr[[#This Row],[Grade]],"-",scheduleapr[[#This Row],[FC/NFC]])</f>
        <v/>
      </c>
      <c r="R213" s="557">
        <f>_xlfn.CONCAT(scheduleapr[[#This Row],[Bucket]],"-",scheduleapr[[#This Row],[LENGTH]]/1000)</f>
        <v/>
      </c>
      <c r="S213" s="557">
        <f>COUNTIF([2]!buckets[CTL Bucket],[2]!scheduleapr[[#This Row],[CTL Bucket]])</f>
        <v/>
      </c>
      <c r="T213" s="601" t="inlineStr">
        <is>
          <t>Hosur</t>
        </is>
      </c>
      <c r="U213" s="601" t="n"/>
      <c r="V213" s="557" t="n"/>
      <c r="W213" s="557" t="n"/>
      <c r="X213" s="599" t="n">
        <v>50.8</v>
      </c>
      <c r="Y213" s="599" t="n">
        <v>40</v>
      </c>
      <c r="Z213" s="599" t="n">
        <v>40</v>
      </c>
      <c r="AA213" s="599" t="n">
        <v>1.2</v>
      </c>
      <c r="AB213" s="600" t="n">
        <v>1000</v>
      </c>
      <c r="AC213" s="600" t="inlineStr">
        <is>
          <t>M</t>
        </is>
      </c>
      <c r="AD213" s="600" t="n"/>
      <c r="AE213" s="600" t="n"/>
      <c r="AF213" s="601" t="n"/>
      <c r="AG213" s="601" t="n"/>
      <c r="AH213" s="601">
        <f t="array" ref="AH2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3" s="602">
        <f>scheduleapr[[#This Row],[SCHEDULE in nos]]-scheduleapr[[#This Row],[DISPATCH]]</f>
        <v/>
      </c>
      <c r="AJ213" s="599">
        <f>(3.14*(scheduleapr[[#This Row],[ACTUAL OD]]-scheduleapr[[#This Row],[TICKNESS]])*scheduleapr[[#This Row],[TICKNESS]]*scheduleapr[[#This Row],[LENGTH]]*7.85)/1000000*scheduleapr[[#This Row],[SCHEDULE in nos]]/1000</f>
        <v/>
      </c>
      <c r="AK213" s="599">
        <f>(3.14*(scheduleapr[[#This Row],[ACTUAL OD]]-scheduleapr[[#This Row],[TICKNESS]])*scheduleapr[[#This Row],[TICKNESS]]*scheduleapr[[#This Row],[LENGTH]]*7.85)/1000000*scheduleapr[[#This Row],[DISPATCH]]/1000</f>
        <v/>
      </c>
      <c r="AL213" s="599">
        <f>AJ213-AK213</f>
        <v/>
      </c>
      <c r="AM213" s="599">
        <f>scheduleapr[[#This Row],[SCHEDULE in nos]]/scheduleapr[[#This Row],[SCHEDULE IN MT]]*scheduleapr[[#This Row],[CTL Stock]]</f>
        <v/>
      </c>
      <c r="AN213" s="599">
        <f>SUMIFS(stock[MT],stock[Bucket],scheduleapr[[#This Row],[Bucket]],stock[CTL Bucket],scheduleapr[[#This Row],[CTL Bucket]],stock[Plant],"0789")</f>
        <v/>
      </c>
      <c r="AO213" s="599" t="n"/>
      <c r="AP213" s="599">
        <f>SUMIFS(stock[MT],stock[Bucket],scheduleapr[[#This Row],[Bucket]],stock[LL or CTL],"LL")</f>
        <v/>
      </c>
      <c r="AQ213" s="599">
        <f>+SUMIFS(wip[Stock(Net Wt)],wip[Bucket],scheduleapr[[#This Row],[Bucket]])/1000</f>
        <v/>
      </c>
      <c r="AR213" s="599">
        <f>AJ213-AN213</f>
        <v/>
      </c>
      <c r="AS213" s="118" t="n"/>
    </row>
    <row r="214">
      <c r="A214" s="556" t="n"/>
      <c r="B214" s="5" t="inlineStr">
        <is>
          <t>Hosur</t>
        </is>
      </c>
      <c r="C214" s="601" t="inlineStr">
        <is>
          <t>Marathwada</t>
        </is>
      </c>
      <c r="D214" s="601" t="inlineStr">
        <is>
          <t>Marathwada</t>
        </is>
      </c>
      <c r="E214" s="596" t="n">
        <v>189002</v>
      </c>
      <c r="F214" s="557" t="n"/>
      <c r="G214" s="601">
        <f>_xlfn.CONCAT(scheduleapr[[#This Row],[CUSTOMER CODE]],"-",scheduleapr[[#This Row],[MATERIAL NO]])</f>
        <v/>
      </c>
      <c r="H214" s="557" t="n"/>
      <c r="I214" s="557" t="inlineStr">
        <is>
          <t>ERW 1</t>
        </is>
      </c>
      <c r="J214" s="557" t="n"/>
      <c r="K214" s="601" t="inlineStr">
        <is>
          <t>PE</t>
        </is>
      </c>
      <c r="L214" s="601" t="inlineStr">
        <is>
          <t>HR</t>
        </is>
      </c>
      <c r="M214" s="558" t="n"/>
      <c r="N214" s="557" t="n"/>
      <c r="O214" s="557" t="n"/>
      <c r="P214" s="557" t="n"/>
      <c r="Q214" s="557">
        <f>CONCATENATE(scheduleapr[[#This Row],[OD]],"-",scheduleapr[[#This Row],[ID]],"-",scheduleapr[[#This Row],[TICKNESS]],"-",scheduleapr[[#This Row],[Grade]],"-",scheduleapr[[#This Row],[FC/NFC]])</f>
        <v/>
      </c>
      <c r="R214" s="557">
        <f>_xlfn.CONCAT(scheduleapr[[#This Row],[Bucket]],"-",scheduleapr[[#This Row],[LENGTH]]/1000)</f>
        <v/>
      </c>
      <c r="S214" s="557">
        <f>COUNTIF(scheduleapr[CTL Bucket],scheduleapr[[#This Row],[CTL Bucket]])</f>
        <v/>
      </c>
      <c r="T214" s="601" t="inlineStr">
        <is>
          <t>Hosur</t>
        </is>
      </c>
      <c r="U214" s="601">
        <f>_xlfn.IFNA(VLOOKUP(scheduleapr[[#This Row],[Bucket]],salesforecast[[#All],[Bucket2]:[8406 Stock]],19,0),0)</f>
        <v/>
      </c>
      <c r="V214" s="562">
        <f>_xlfn.IFNA(VLOOKUP(scheduleapr[[#This Row],[Bucket]],salesforecast[[#All],[Bucket2]:[8406 Stock]],20,0),0)+_xlfn.IFNA(VLOOKUP(scheduleapr[[#This Row],[Bucket]],salesforecast[[#All],[Bucket2]:[8406 Stock]],17,0),0)</f>
        <v/>
      </c>
      <c r="W214" s="601" t="n"/>
      <c r="X214" s="559" t="n">
        <v>15.88</v>
      </c>
      <c r="Y214" s="559" t="n">
        <v>15.88</v>
      </c>
      <c r="Z214" s="559" t="n">
        <v>0</v>
      </c>
      <c r="AA214" s="599" t="n">
        <v>1</v>
      </c>
      <c r="AB214" s="600" t="n">
        <v>1603</v>
      </c>
      <c r="AC214" s="600" t="inlineStr">
        <is>
          <t>NOS</t>
        </is>
      </c>
      <c r="AD214" s="600" t="n"/>
      <c r="AE214" s="600" t="n"/>
      <c r="AF214" s="557" t="n">
        <v>15000</v>
      </c>
      <c r="AG214" s="557" t="n"/>
      <c r="AH214" s="557">
        <f t="array" ref="AH2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4" s="560">
        <f>scheduleapr[[#This Row],[SCHEDULE in nos]]-scheduleapr[[#This Row],[DISPATCH]]</f>
        <v/>
      </c>
      <c r="AJ214" s="559">
        <f>(3.14*(scheduleapr[[#This Row],[ACTUAL OD]]-scheduleapr[[#This Row],[TICKNESS]])*scheduleapr[[#This Row],[TICKNESS]]*scheduleapr[[#This Row],[LENGTH]]*7.85)/1000000*scheduleapr[[#This Row],[SCHEDULE in nos]]/1000</f>
        <v/>
      </c>
      <c r="AK214" s="599">
        <f>(3.14*(scheduleapr[[#This Row],[ACTUAL OD]]-scheduleapr[[#This Row],[TICKNESS]])*scheduleapr[[#This Row],[TICKNESS]]*scheduleapr[[#This Row],[LENGTH]]*7.85)/1000000*scheduleapr[[#This Row],[DISPATCH]]/1000</f>
        <v/>
      </c>
      <c r="AL214" s="599">
        <f>AJ214-AK214</f>
        <v/>
      </c>
      <c r="AM214" s="559">
        <f>scheduleapr[[#This Row],[SCHEDULE in nos]]/scheduleapr[[#This Row],[SCHEDULE IN MT]]*scheduleapr[[#This Row],[CTL Stock]]</f>
        <v/>
      </c>
      <c r="AN214" s="599">
        <f>SUMIFS(stock[MT],stock[Bucket],scheduleapr[[#This Row],[Bucket]],stock[CTL Bucket],scheduleapr[[#This Row],[CTL Bucket]],stock[Plant],"0789")</f>
        <v/>
      </c>
      <c r="AO214" s="599" t="n"/>
      <c r="AP214" s="599">
        <f>SUMIFS(stock[MT],stock[Bucket],scheduleapr[[#This Row],[Bucket]],stock[LL or CTL],"LL")</f>
        <v/>
      </c>
      <c r="AQ214" s="599">
        <f>+SUMIFS(wip[Stock(Net Wt)],wip[Bucket],scheduleapr[[#This Row],[Bucket]])/1000</f>
        <v/>
      </c>
      <c r="AR214" s="599">
        <f>AJ214-AN214</f>
        <v/>
      </c>
      <c r="AS214" s="118" t="n"/>
    </row>
    <row r="215">
      <c r="A215" s="594" t="n">
        <v>123</v>
      </c>
      <c r="B215" s="5" t="inlineStr">
        <is>
          <t>Hosur</t>
        </is>
      </c>
      <c r="C215" s="601" t="inlineStr">
        <is>
          <t>Marathwada</t>
        </is>
      </c>
      <c r="D215" s="601" t="inlineStr">
        <is>
          <t>Marathwada</t>
        </is>
      </c>
      <c r="E215" s="596" t="n">
        <v>189002</v>
      </c>
      <c r="F215" s="477" t="n">
        <v>3672607</v>
      </c>
      <c r="G215" s="601">
        <f>_xlfn.CONCAT(scheduleapr[[#This Row],[CUSTOMER CODE]],"-",scheduleapr[[#This Row],[MATERIAL NO]])</f>
        <v/>
      </c>
      <c r="H215" s="601" t="inlineStr">
        <is>
          <t>TUB-O-N-AUT-AW-PE-15.88X1.000X1.7150</t>
        </is>
      </c>
      <c r="I215" s="557" t="inlineStr">
        <is>
          <t>ERW 1</t>
        </is>
      </c>
      <c r="J215" s="557" t="n"/>
      <c r="K215" s="601" t="inlineStr">
        <is>
          <t>PE</t>
        </is>
      </c>
      <c r="L215" s="601" t="inlineStr">
        <is>
          <t>CR</t>
        </is>
      </c>
      <c r="M215" s="558" t="n"/>
      <c r="N215" s="557" t="n"/>
      <c r="O215" s="557" t="n"/>
      <c r="P215" s="557" t="n"/>
      <c r="Q215" s="557">
        <f>CONCATENATE(scheduleapr[[#This Row],[OD]],"-",scheduleapr[[#This Row],[ID]],"-",scheduleapr[[#This Row],[TICKNESS]],"-",scheduleapr[[#This Row],[Grade]],"-",scheduleapr[[#This Row],[FC/NFC]])</f>
        <v/>
      </c>
      <c r="R215" s="557">
        <f>_xlfn.CONCAT(scheduleapr[[#This Row],[Bucket]],"-",scheduleapr[[#This Row],[LENGTH]]/1000)</f>
        <v/>
      </c>
      <c r="S215" s="557">
        <f>COUNTIF(scheduleapr[CTL Bucket],scheduleapr[[#This Row],[CTL Bucket]])</f>
        <v/>
      </c>
      <c r="T215" s="601" t="inlineStr">
        <is>
          <t>Hosur</t>
        </is>
      </c>
      <c r="U215" s="601">
        <f>_xlfn.IFNA(VLOOKUP(scheduleapr[[#This Row],[Bucket]],salesforecast[[#All],[Bucket2]:[8406 Stock]],19,0),0)</f>
        <v/>
      </c>
      <c r="V215" s="562">
        <f>_xlfn.IFNA(VLOOKUP(scheduleapr[[#This Row],[Bucket]],salesforecast[[#All],[Bucket2]:[8406 Stock]],20,0),0)+_xlfn.IFNA(VLOOKUP(scheduleapr[[#This Row],[Bucket]],salesforecast[[#All],[Bucket2]:[8406 Stock]],17,0),0)</f>
        <v/>
      </c>
      <c r="W215" s="601" t="n"/>
      <c r="X215" s="559" t="n">
        <v>15.88</v>
      </c>
      <c r="Y215" s="559" t="n">
        <v>15.88</v>
      </c>
      <c r="Z215" s="559" t="n">
        <v>0</v>
      </c>
      <c r="AA215" s="599" t="n">
        <v>1</v>
      </c>
      <c r="AB215" s="600" t="n">
        <v>1715</v>
      </c>
      <c r="AC215" s="600" t="inlineStr">
        <is>
          <t>NOS</t>
        </is>
      </c>
      <c r="AD215" s="600" t="n"/>
      <c r="AE215" s="600" t="n"/>
      <c r="AF215" s="600" t="n">
        <v>2000</v>
      </c>
      <c r="AG215" s="600" t="n"/>
      <c r="AH215" s="601">
        <f t="array" ref="AH2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5" s="602">
        <f>scheduleapr[[#This Row],[SCHEDULE in nos]]-scheduleapr[[#This Row],[DISPATCH]]</f>
        <v/>
      </c>
      <c r="AJ215" s="559">
        <f>(3.14*(scheduleapr[[#This Row],[ACTUAL OD]]-scheduleapr[[#This Row],[TICKNESS]])*scheduleapr[[#This Row],[TICKNESS]]*scheduleapr[[#This Row],[LENGTH]]*7.85)/1000000*scheduleapr[[#This Row],[SCHEDULE in nos]]/1000</f>
        <v/>
      </c>
      <c r="AK215" s="599">
        <f>(3.14*(scheduleapr[[#This Row],[ACTUAL OD]]-scheduleapr[[#This Row],[TICKNESS]])*scheduleapr[[#This Row],[TICKNESS]]*scheduleapr[[#This Row],[LENGTH]]*7.85)/1000000*scheduleapr[[#This Row],[DISPATCH]]/1000</f>
        <v/>
      </c>
      <c r="AL215" s="599">
        <f>AJ215-AK215</f>
        <v/>
      </c>
      <c r="AM215" s="559">
        <f>scheduleapr[[#This Row],[SCHEDULE in nos]]/scheduleapr[[#This Row],[SCHEDULE IN MT]]*scheduleapr[[#This Row],[CTL Stock]]</f>
        <v/>
      </c>
      <c r="AN215" s="599">
        <f>SUMIFS(stock[MT],stock[Bucket],scheduleapr[[#This Row],[Bucket]],stock[CTL Bucket],scheduleapr[[#This Row],[CTL Bucket]],stock[Plant],"0789")</f>
        <v/>
      </c>
      <c r="AO215" s="599" t="n"/>
      <c r="AP215" s="599">
        <f>SUMIFS(stock[MT],stock[Bucket],scheduleapr[[#This Row],[Bucket]],stock[LL or CTL],"LL")</f>
        <v/>
      </c>
      <c r="AQ215" s="599">
        <f>+SUMIFS(wip[Stock(Net Wt)],wip[Bucket],scheduleapr[[#This Row],[Bucket]])/1000</f>
        <v/>
      </c>
      <c r="AR215" s="599">
        <f>AJ215-AN215</f>
        <v/>
      </c>
      <c r="AS215" s="118" t="n"/>
    </row>
    <row r="216">
      <c r="A216" s="594" t="n">
        <v>124</v>
      </c>
      <c r="B216" s="5" t="inlineStr">
        <is>
          <t>Hosur</t>
        </is>
      </c>
      <c r="C216" s="601" t="inlineStr">
        <is>
          <t>Marathwada</t>
        </is>
      </c>
      <c r="D216" s="601" t="inlineStr">
        <is>
          <t>Marathwada</t>
        </is>
      </c>
      <c r="E216" s="596" t="n">
        <v>189002</v>
      </c>
      <c r="F216" s="477" t="n">
        <v>3672606</v>
      </c>
      <c r="G216" s="601">
        <f>_xlfn.CONCAT(scheduleapr[[#This Row],[CUSTOMER CODE]],"-",scheduleapr[[#This Row],[MATERIAL NO]])</f>
        <v/>
      </c>
      <c r="H216" s="601" t="inlineStr">
        <is>
          <t>TUB-O-N-AUT-AW-PE-15.88X1.000X1.7450</t>
        </is>
      </c>
      <c r="I216" s="557" t="inlineStr">
        <is>
          <t>ERW 1</t>
        </is>
      </c>
      <c r="J216" s="557" t="n"/>
      <c r="K216" s="601" t="inlineStr">
        <is>
          <t>PE</t>
        </is>
      </c>
      <c r="L216" s="601" t="inlineStr">
        <is>
          <t>CR</t>
        </is>
      </c>
      <c r="M216" s="558" t="n"/>
      <c r="N216" s="557" t="n"/>
      <c r="O216" s="557" t="n"/>
      <c r="P216" s="557" t="n"/>
      <c r="Q216" s="557">
        <f>CONCATENATE(scheduleapr[[#This Row],[OD]],"-",scheduleapr[[#This Row],[ID]],"-",scheduleapr[[#This Row],[TICKNESS]],"-",scheduleapr[[#This Row],[Grade]],"-",scheduleapr[[#This Row],[FC/NFC]])</f>
        <v/>
      </c>
      <c r="R216" s="557">
        <f>_xlfn.CONCAT(scheduleapr[[#This Row],[Bucket]],"-",scheduleapr[[#This Row],[LENGTH]]/1000)</f>
        <v/>
      </c>
      <c r="S216" s="557">
        <f>COUNTIF(scheduleapr[CTL Bucket],scheduleapr[[#This Row],[CTL Bucket]])</f>
        <v/>
      </c>
      <c r="T216" s="601" t="inlineStr">
        <is>
          <t>Hosur</t>
        </is>
      </c>
      <c r="U216" s="601">
        <f>_xlfn.IFNA(VLOOKUP(scheduleapr[[#This Row],[Bucket]],salesforecast[[#All],[Bucket2]:[8406 Stock]],19,0),0)</f>
        <v/>
      </c>
      <c r="V216" s="562">
        <f>_xlfn.IFNA(VLOOKUP(scheduleapr[[#This Row],[Bucket]],salesforecast[[#All],[Bucket2]:[8406 Stock]],20,0),0)+_xlfn.IFNA(VLOOKUP(scheduleapr[[#This Row],[Bucket]],salesforecast[[#All],[Bucket2]:[8406 Stock]],17,0),0)</f>
        <v/>
      </c>
      <c r="W216" s="601" t="n"/>
      <c r="X216" s="559" t="n">
        <v>15.88</v>
      </c>
      <c r="Y216" s="559" t="n">
        <v>15.88</v>
      </c>
      <c r="Z216" s="559" t="n">
        <v>0</v>
      </c>
      <c r="AA216" s="599" t="n">
        <v>1</v>
      </c>
      <c r="AB216" s="600" t="n">
        <v>1745</v>
      </c>
      <c r="AC216" s="600" t="inlineStr">
        <is>
          <t>NOS</t>
        </is>
      </c>
      <c r="AD216" s="600" t="n"/>
      <c r="AE216" s="600" t="n"/>
      <c r="AF216" s="600" t="n">
        <v>3000</v>
      </c>
      <c r="AG216" s="600" t="n"/>
      <c r="AH216" s="601">
        <f t="array" ref="AH2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6" s="602">
        <f>scheduleapr[[#This Row],[SCHEDULE in nos]]-scheduleapr[[#This Row],[DISPATCH]]</f>
        <v/>
      </c>
      <c r="AJ216" s="559">
        <f>(3.14*(scheduleapr[[#This Row],[ACTUAL OD]]-scheduleapr[[#This Row],[TICKNESS]])*scheduleapr[[#This Row],[TICKNESS]]*scheduleapr[[#This Row],[LENGTH]]*7.85)/1000000*scheduleapr[[#This Row],[SCHEDULE in nos]]/1000</f>
        <v/>
      </c>
      <c r="AK216" s="599">
        <f>(3.14*(scheduleapr[[#This Row],[ACTUAL OD]]-scheduleapr[[#This Row],[TICKNESS]])*scheduleapr[[#This Row],[TICKNESS]]*scheduleapr[[#This Row],[LENGTH]]*7.85)/1000000*scheduleapr[[#This Row],[DISPATCH]]/1000</f>
        <v/>
      </c>
      <c r="AL216" s="599">
        <f>AJ216-AK216</f>
        <v/>
      </c>
      <c r="AM216" s="559">
        <f>scheduleapr[[#This Row],[SCHEDULE in nos]]/scheduleapr[[#This Row],[SCHEDULE IN MT]]*scheduleapr[[#This Row],[CTL Stock]]</f>
        <v/>
      </c>
      <c r="AN216" s="599">
        <f>SUMIFS(stock[MT],stock[Bucket],scheduleapr[[#This Row],[Bucket]],stock[CTL Bucket],scheduleapr[[#This Row],[CTL Bucket]],stock[Plant],"0789")</f>
        <v/>
      </c>
      <c r="AO216" s="599" t="n"/>
      <c r="AP216" s="599">
        <f>SUMIFS(stock[MT],stock[Bucket],scheduleapr[[#This Row],[Bucket]],stock[LL or CTL],"LL")</f>
        <v/>
      </c>
      <c r="AQ216" s="599">
        <f>+SUMIFS(wip[Stock(Net Wt)],wip[Bucket],scheduleapr[[#This Row],[Bucket]])/1000</f>
        <v/>
      </c>
      <c r="AR216" s="599">
        <f>AJ216-AN216</f>
        <v/>
      </c>
      <c r="AS216" s="118" t="n"/>
    </row>
    <row r="217">
      <c r="A217" s="556" t="n"/>
      <c r="B217" s="5" t="inlineStr">
        <is>
          <t>Hosur</t>
        </is>
      </c>
      <c r="C217" s="601" t="inlineStr">
        <is>
          <t>Marathwada</t>
        </is>
      </c>
      <c r="D217" s="601" t="inlineStr">
        <is>
          <t>Marathwada</t>
        </is>
      </c>
      <c r="E217" s="596" t="n">
        <v>189002</v>
      </c>
      <c r="F217" s="557" t="n"/>
      <c r="G217" s="601">
        <f>_xlfn.CONCAT(scheduleapr[[#This Row],[CUSTOMER CODE]],"-",scheduleapr[[#This Row],[MATERIAL NO]])</f>
        <v/>
      </c>
      <c r="H217" s="557" t="n"/>
      <c r="I217" s="557" t="inlineStr">
        <is>
          <t>ERW 1</t>
        </is>
      </c>
      <c r="J217" s="557" t="n"/>
      <c r="K217" s="601" t="inlineStr">
        <is>
          <t>PE</t>
        </is>
      </c>
      <c r="L217" s="601" t="inlineStr">
        <is>
          <t>HR</t>
        </is>
      </c>
      <c r="M217" s="558" t="n"/>
      <c r="N217" s="557" t="n"/>
      <c r="O217" s="557" t="n"/>
      <c r="P217" s="557" t="n"/>
      <c r="Q217" s="557">
        <f>CONCATENATE(scheduleapr[[#This Row],[OD]],"-",scheduleapr[[#This Row],[ID]],"-",scheduleapr[[#This Row],[TICKNESS]],"-",scheduleapr[[#This Row],[Grade]],"-",scheduleapr[[#This Row],[FC/NFC]])</f>
        <v/>
      </c>
      <c r="R217" s="557">
        <f>_xlfn.CONCAT(scheduleapr[[#This Row],[Bucket]],"-",scheduleapr[[#This Row],[LENGTH]]/1000)</f>
        <v/>
      </c>
      <c r="S217" s="557">
        <f>COUNTIF(scheduleapr[CTL Bucket],scheduleapr[[#This Row],[CTL Bucket]])</f>
        <v/>
      </c>
      <c r="T217" s="601" t="inlineStr">
        <is>
          <t>Hosur</t>
        </is>
      </c>
      <c r="U217" s="601">
        <f>_xlfn.IFNA(VLOOKUP(scheduleapr[[#This Row],[Bucket]],salesforecast[[#All],[Bucket2]:[8406 Stock]],19,0),0)</f>
        <v/>
      </c>
      <c r="V217" s="562">
        <f>_xlfn.IFNA(VLOOKUP(scheduleapr[[#This Row],[Bucket]],salesforecast[[#All],[Bucket2]:[8406 Stock]],20,0),0)+_xlfn.IFNA(VLOOKUP(scheduleapr[[#This Row],[Bucket]],salesforecast[[#All],[Bucket2]:[8406 Stock]],17,0),0)</f>
        <v/>
      </c>
      <c r="W217" s="557" t="n"/>
      <c r="X217" s="559" t="n">
        <v>15.88</v>
      </c>
      <c r="Y217" s="559" t="n">
        <v>15.88</v>
      </c>
      <c r="Z217" s="559" t="n">
        <v>0</v>
      </c>
      <c r="AA217" s="599" t="n">
        <v>1</v>
      </c>
      <c r="AB217" s="600" t="n">
        <v>2185</v>
      </c>
      <c r="AC217" s="600" t="inlineStr">
        <is>
          <t>NOS</t>
        </is>
      </c>
      <c r="AD217" s="600" t="n"/>
      <c r="AE217" s="600" t="n"/>
      <c r="AF217" s="557" t="n">
        <v>7500</v>
      </c>
      <c r="AG217" s="557" t="n"/>
      <c r="AH217" s="557">
        <f t="array" ref="AH2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7" s="560">
        <f>scheduleapr[[#This Row],[SCHEDULE in nos]]-scheduleapr[[#This Row],[DISPATCH]]</f>
        <v/>
      </c>
      <c r="AJ217" s="559">
        <f>(3.14*(scheduleapr[[#This Row],[ACTUAL OD]]-scheduleapr[[#This Row],[TICKNESS]])*scheduleapr[[#This Row],[TICKNESS]]*scheduleapr[[#This Row],[LENGTH]]*7.85)/1000000*scheduleapr[[#This Row],[SCHEDULE in nos]]/1000</f>
        <v/>
      </c>
      <c r="AK217" s="599">
        <f>(3.14*(scheduleapr[[#This Row],[ACTUAL OD]]-scheduleapr[[#This Row],[TICKNESS]])*scheduleapr[[#This Row],[TICKNESS]]*scheduleapr[[#This Row],[LENGTH]]*7.85)/1000000*scheduleapr[[#This Row],[DISPATCH]]/1000</f>
        <v/>
      </c>
      <c r="AL217" s="599">
        <f>AJ217-AK217</f>
        <v/>
      </c>
      <c r="AM217" s="559">
        <f>scheduleapr[[#This Row],[SCHEDULE in nos]]/scheduleapr[[#This Row],[SCHEDULE IN MT]]*scheduleapr[[#This Row],[CTL Stock]]</f>
        <v/>
      </c>
      <c r="AN217" s="599">
        <f>SUMIFS(stock[MT],stock[Bucket],scheduleapr[[#This Row],[Bucket]],stock[CTL Bucket],scheduleapr[[#This Row],[CTL Bucket]],stock[Plant],"0789")</f>
        <v/>
      </c>
      <c r="AO217" s="599" t="n"/>
      <c r="AP217" s="599">
        <f>SUMIFS(stock[MT],stock[Bucket],scheduleapr[[#This Row],[Bucket]],stock[LL or CTL],"LL")</f>
        <v/>
      </c>
      <c r="AQ217" s="599">
        <f>+SUMIFS(wip[Stock(Net Wt)],wip[Bucket],scheduleapr[[#This Row],[Bucket]])/1000</f>
        <v/>
      </c>
      <c r="AR217" s="599">
        <f>AJ217-AN217</f>
        <v/>
      </c>
      <c r="AS217" s="118" t="n"/>
    </row>
    <row r="218">
      <c r="A218" s="594" t="n">
        <v>126</v>
      </c>
      <c r="B218" s="5" t="inlineStr">
        <is>
          <t>Hosur</t>
        </is>
      </c>
      <c r="C218" s="601" t="inlineStr">
        <is>
          <t>Marathwada</t>
        </is>
      </c>
      <c r="D218" s="601" t="inlineStr">
        <is>
          <t>Marathwada</t>
        </is>
      </c>
      <c r="E218" s="596" t="n">
        <v>189002</v>
      </c>
      <c r="F218" s="477" t="n">
        <v>3672608</v>
      </c>
      <c r="G218" s="601">
        <f>_xlfn.CONCAT(scheduleapr[[#This Row],[CUSTOMER CODE]],"-",scheduleapr[[#This Row],[MATERIAL NO]])</f>
        <v/>
      </c>
      <c r="H218" s="601" t="inlineStr">
        <is>
          <t>TUB-O-N-AUT-AW-PE-15.88X1.000X2.3400</t>
        </is>
      </c>
      <c r="I218" s="557" t="inlineStr">
        <is>
          <t>ERW 1</t>
        </is>
      </c>
      <c r="J218" s="557" t="n"/>
      <c r="K218" s="601" t="inlineStr">
        <is>
          <t>PE</t>
        </is>
      </c>
      <c r="L218" s="601" t="inlineStr">
        <is>
          <t>CR</t>
        </is>
      </c>
      <c r="M218" s="558" t="n"/>
      <c r="N218" s="557" t="n"/>
      <c r="O218" s="557" t="n"/>
      <c r="P218" s="557" t="n"/>
      <c r="Q218" s="557">
        <f>CONCATENATE(scheduleapr[[#This Row],[OD]],"-",scheduleapr[[#This Row],[ID]],"-",scheduleapr[[#This Row],[TICKNESS]],"-",scheduleapr[[#This Row],[Grade]],"-",scheduleapr[[#This Row],[FC/NFC]])</f>
        <v/>
      </c>
      <c r="R218" s="557">
        <f>_xlfn.CONCAT(scheduleapr[[#This Row],[Bucket]],"-",scheduleapr[[#This Row],[LENGTH]]/1000)</f>
        <v/>
      </c>
      <c r="S218" s="557">
        <f>COUNTIF(scheduleapr[CTL Bucket],scheduleapr[[#This Row],[CTL Bucket]])</f>
        <v/>
      </c>
      <c r="T218" s="601" t="inlineStr">
        <is>
          <t>Hosur</t>
        </is>
      </c>
      <c r="U218" s="601">
        <f>_xlfn.IFNA(VLOOKUP(scheduleapr[[#This Row],[Bucket]],salesforecast[[#All],[Bucket2]:[8406 Stock]],19,0),0)</f>
        <v/>
      </c>
      <c r="V218" s="562">
        <f>_xlfn.IFNA(VLOOKUP(scheduleapr[[#This Row],[Bucket]],salesforecast[[#All],[Bucket2]:[8406 Stock]],20,0),0)+_xlfn.IFNA(VLOOKUP(scheduleapr[[#This Row],[Bucket]],salesforecast[[#All],[Bucket2]:[8406 Stock]],17,0),0)</f>
        <v/>
      </c>
      <c r="W218" s="601" t="n"/>
      <c r="X218" s="559" t="n">
        <v>15.88</v>
      </c>
      <c r="Y218" s="559" t="n">
        <v>15.88</v>
      </c>
      <c r="Z218" s="559" t="n">
        <v>0</v>
      </c>
      <c r="AA218" s="599" t="n">
        <v>1</v>
      </c>
      <c r="AB218" s="600" t="n">
        <v>2340</v>
      </c>
      <c r="AC218" s="600" t="inlineStr">
        <is>
          <t>NOS</t>
        </is>
      </c>
      <c r="AD218" s="600" t="n"/>
      <c r="AE218" s="600" t="n"/>
      <c r="AF218" s="600" t="n">
        <v>3000</v>
      </c>
      <c r="AG218" s="600" t="n"/>
      <c r="AH218" s="601">
        <f t="array" ref="AH2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8" s="602">
        <f>scheduleapr[[#This Row],[SCHEDULE in nos]]-scheduleapr[[#This Row],[DISPATCH]]</f>
        <v/>
      </c>
      <c r="AJ218" s="559">
        <f>(3.14*(scheduleapr[[#This Row],[ACTUAL OD]]-scheduleapr[[#This Row],[TICKNESS]])*scheduleapr[[#This Row],[TICKNESS]]*scheduleapr[[#This Row],[LENGTH]]*7.85)/1000000*scheduleapr[[#This Row],[SCHEDULE in nos]]/1000</f>
        <v/>
      </c>
      <c r="AK218" s="599">
        <f>(3.14*(scheduleapr[[#This Row],[ACTUAL OD]]-scheduleapr[[#This Row],[TICKNESS]])*scheduleapr[[#This Row],[TICKNESS]]*scheduleapr[[#This Row],[LENGTH]]*7.85)/1000000*scheduleapr[[#This Row],[DISPATCH]]/1000</f>
        <v/>
      </c>
      <c r="AL218" s="599">
        <f>AJ218-AK218</f>
        <v/>
      </c>
      <c r="AM218" s="559">
        <f>scheduleapr[[#This Row],[SCHEDULE in nos]]/scheduleapr[[#This Row],[SCHEDULE IN MT]]*scheduleapr[[#This Row],[CTL Stock]]</f>
        <v/>
      </c>
      <c r="AN218" s="599">
        <f>SUMIFS(stock[MT],stock[Bucket],scheduleapr[[#This Row],[Bucket]],stock[CTL Bucket],scheduleapr[[#This Row],[CTL Bucket]],stock[Plant],"0789")</f>
        <v/>
      </c>
      <c r="AO218" s="599" t="n"/>
      <c r="AP218" s="599">
        <f>SUMIFS(stock[MT],stock[Bucket],scheduleapr[[#This Row],[Bucket]],stock[LL or CTL],"LL")</f>
        <v/>
      </c>
      <c r="AQ218" s="599">
        <f>+SUMIFS(wip[Stock(Net Wt)],wip[Bucket],scheduleapr[[#This Row],[Bucket]])/1000</f>
        <v/>
      </c>
      <c r="AR218" s="599">
        <f>AJ218-AN218</f>
        <v/>
      </c>
      <c r="AS218" s="118" t="n"/>
    </row>
    <row r="219">
      <c r="A219" s="594" t="n">
        <v>115</v>
      </c>
      <c r="B219" s="5" t="inlineStr">
        <is>
          <t>Hosur</t>
        </is>
      </c>
      <c r="C219" s="601" t="inlineStr">
        <is>
          <t>Marathwada</t>
        </is>
      </c>
      <c r="D219" s="601" t="inlineStr">
        <is>
          <t>Marathwada</t>
        </is>
      </c>
      <c r="E219" s="596" t="n">
        <v>189002</v>
      </c>
      <c r="F219" s="601" t="n"/>
      <c r="G219" s="601">
        <f>_xlfn.CONCAT(scheduleapr[[#This Row],[CUSTOMER CODE]],"-",scheduleapr[[#This Row],[MATERIAL NO]])</f>
        <v/>
      </c>
      <c r="H219" s="601" t="n"/>
      <c r="I219" s="601" t="inlineStr">
        <is>
          <t>ERW 1</t>
        </is>
      </c>
      <c r="J219" s="601" t="n"/>
      <c r="K219" s="601" t="inlineStr">
        <is>
          <t>PE</t>
        </is>
      </c>
      <c r="L219" s="601" t="inlineStr">
        <is>
          <t>CR</t>
        </is>
      </c>
      <c r="M219" s="601" t="inlineStr">
        <is>
          <t>WG</t>
        </is>
      </c>
      <c r="N219" s="601" t="n"/>
      <c r="O219" s="601" t="n"/>
      <c r="P219" s="601" t="n"/>
      <c r="Q219" s="557">
        <f>CONCATENATE(scheduleapr[[#This Row],[OD]],"-",scheduleapr[[#This Row],[ID]],"-",scheduleapr[[#This Row],[TICKNESS]],"-",scheduleapr[[#This Row],[Grade]],"-",scheduleapr[[#This Row],[FC/NFC]])</f>
        <v/>
      </c>
      <c r="R219" s="557">
        <f>_xlfn.CONCAT(scheduleapr[[#This Row],[Bucket]],"-",scheduleapr[[#This Row],[LENGTH]]/1000)</f>
        <v/>
      </c>
      <c r="S219" s="557">
        <f>COUNTIF(scheduleapr[CTL Bucket],scheduleapr[[#This Row],[CTL Bucket]])</f>
        <v/>
      </c>
      <c r="T219" s="601" t="inlineStr">
        <is>
          <t>Hosur</t>
        </is>
      </c>
      <c r="U219" s="601" t="n"/>
      <c r="V219" s="601" t="n"/>
      <c r="W219" s="601" t="n"/>
      <c r="X219" s="559" t="n">
        <v>15.88</v>
      </c>
      <c r="Y219" s="559" t="n">
        <v>15.88</v>
      </c>
      <c r="Z219" s="559" t="n">
        <v>0</v>
      </c>
      <c r="AA219" s="599" t="n">
        <v>1.6</v>
      </c>
      <c r="AB219" s="600" t="n">
        <v>1000</v>
      </c>
      <c r="AC219" s="600" t="inlineStr">
        <is>
          <t>M</t>
        </is>
      </c>
      <c r="AD219" s="600" t="n"/>
      <c r="AE219" s="600" t="n"/>
      <c r="AF219" s="601" t="n"/>
      <c r="AG219" s="601" t="n"/>
      <c r="AH219" s="601">
        <f t="array" ref="AH2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19" s="602">
        <f>scheduleapr[[#This Row],[SCHEDULE in nos]]-scheduleapr[[#This Row],[DISPATCH]]</f>
        <v/>
      </c>
      <c r="AJ219" s="599">
        <f>(3.14*(scheduleapr[[#This Row],[ACTUAL OD]]-scheduleapr[[#This Row],[TICKNESS]])*scheduleapr[[#This Row],[TICKNESS]]*scheduleapr[[#This Row],[LENGTH]]*7.85)/1000000*scheduleapr[[#This Row],[SCHEDULE in nos]]/1000</f>
        <v/>
      </c>
      <c r="AK219" s="599">
        <f>(3.14*(scheduleapr[[#This Row],[ACTUAL OD]]-scheduleapr[[#This Row],[TICKNESS]])*scheduleapr[[#This Row],[TICKNESS]]*scheduleapr[[#This Row],[LENGTH]]*7.85)/1000000*scheduleapr[[#This Row],[DISPATCH]]/1000</f>
        <v/>
      </c>
      <c r="AL219" s="599">
        <f>AJ219-AK219</f>
        <v/>
      </c>
      <c r="AM219" s="599">
        <f>scheduleapr[[#This Row],[SCHEDULE in nos]]/scheduleapr[[#This Row],[SCHEDULE IN MT]]*scheduleapr[[#This Row],[CTL Stock]]</f>
        <v/>
      </c>
      <c r="AN219" s="599">
        <f>SUMIFS(stock[MT],stock[Bucket],scheduleapr[[#This Row],[Bucket]],stock[CTL Bucket],scheduleapr[[#This Row],[CTL Bucket]],stock[Plant],"0789")</f>
        <v/>
      </c>
      <c r="AO219" s="599" t="n"/>
      <c r="AP219" s="599">
        <f>SUMIFS(stock[MT],stock[Bucket],scheduleapr[[#This Row],[Bucket]],stock[LL or CTL],"LL")</f>
        <v/>
      </c>
      <c r="AQ219" s="599">
        <f>+SUMIFS(wip[Stock(Net Wt)],wip[Bucket],scheduleapr[[#This Row],[Bucket]])/1000</f>
        <v/>
      </c>
      <c r="AR219" s="599">
        <f>AJ219-AN219</f>
        <v/>
      </c>
      <c r="AS219" s="118" t="n"/>
    </row>
    <row r="220">
      <c r="A220" s="594" t="n">
        <v>129</v>
      </c>
      <c r="B220" s="5" t="inlineStr">
        <is>
          <t>Hosur</t>
        </is>
      </c>
      <c r="C220" s="601" t="inlineStr">
        <is>
          <t>Marathwada</t>
        </is>
      </c>
      <c r="D220" s="601" t="inlineStr">
        <is>
          <t>Marathwada</t>
        </is>
      </c>
      <c r="E220" s="596" t="n">
        <v>189002</v>
      </c>
      <c r="F220" s="557" t="n"/>
      <c r="G220" s="601">
        <f>_xlfn.CONCAT(scheduleapr[[#This Row],[CUSTOMER CODE]],"-",scheduleapr[[#This Row],[MATERIAL NO]])</f>
        <v/>
      </c>
      <c r="H220" s="557" t="n"/>
      <c r="I220" s="601" t="inlineStr">
        <is>
          <t>ERW 1</t>
        </is>
      </c>
      <c r="J220" s="557" t="n"/>
      <c r="K220" s="601" t="inlineStr">
        <is>
          <t>PE</t>
        </is>
      </c>
      <c r="L220" s="601" t="inlineStr">
        <is>
          <t>CR</t>
        </is>
      </c>
      <c r="M220" s="558" t="n"/>
      <c r="N220" s="557" t="n"/>
      <c r="O220" s="557" t="n"/>
      <c r="P220" s="557" t="n"/>
      <c r="Q220" s="557">
        <f>CONCATENATE(scheduleapr[[#This Row],[OD]],"-",scheduleapr[[#This Row],[ID]],"-",scheduleapr[[#This Row],[TICKNESS]],"-",scheduleapr[[#This Row],[Grade]],"-",scheduleapr[[#This Row],[FC/NFC]])</f>
        <v/>
      </c>
      <c r="R220" s="557">
        <f>_xlfn.CONCAT(scheduleapr[[#This Row],[Bucket]],"-",scheduleapr[[#This Row],[LENGTH]]/1000)</f>
        <v/>
      </c>
      <c r="S220" s="557">
        <f>COUNTIF(scheduleapr[CTL Bucket],scheduleapr[[#This Row],[CTL Bucket]])</f>
        <v/>
      </c>
      <c r="T220" s="601" t="n"/>
      <c r="U220" s="601" t="n"/>
      <c r="V220" s="601" t="n"/>
      <c r="W220" s="601" t="n"/>
      <c r="X220" s="559" t="n">
        <v>17.3</v>
      </c>
      <c r="Y220" s="559" t="n">
        <v>17.3</v>
      </c>
      <c r="Z220" s="599" t="n">
        <v>0</v>
      </c>
      <c r="AA220" s="599" t="n">
        <v>1.6</v>
      </c>
      <c r="AB220" s="600" t="n">
        <v>363</v>
      </c>
      <c r="AC220" s="600" t="inlineStr">
        <is>
          <t>NOS</t>
        </is>
      </c>
      <c r="AD220" s="600" t="n"/>
      <c r="AE220" s="600" t="n"/>
      <c r="AF220" s="557" t="n"/>
      <c r="AG220" s="557" t="n"/>
      <c r="AH220" s="601">
        <f t="array" ref="AH2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0" s="602">
        <f>scheduleapr[[#This Row],[SCHEDULE in nos]]-scheduleapr[[#This Row],[DISPATCH]]</f>
        <v/>
      </c>
      <c r="AJ220" s="559">
        <f>(3.14*(scheduleapr[[#This Row],[ACTUAL OD]]-scheduleapr[[#This Row],[TICKNESS]])*scheduleapr[[#This Row],[TICKNESS]]*scheduleapr[[#This Row],[LENGTH]]*7.85)/1000000*scheduleapr[[#This Row],[SCHEDULE in nos]]/1000</f>
        <v/>
      </c>
      <c r="AK220" s="599">
        <f>(3.14*(scheduleapr[[#This Row],[ACTUAL OD]]-scheduleapr[[#This Row],[TICKNESS]])*scheduleapr[[#This Row],[TICKNESS]]*scheduleapr[[#This Row],[LENGTH]]*7.85)/1000000*scheduleapr[[#This Row],[DISPATCH]]/1000</f>
        <v/>
      </c>
      <c r="AL220" s="599">
        <f>AJ220-AK220</f>
        <v/>
      </c>
      <c r="AM220" s="559">
        <f>scheduleapr[[#This Row],[SCHEDULE in nos]]/scheduleapr[[#This Row],[SCHEDULE IN MT]]*scheduleapr[[#This Row],[CTL Stock]]</f>
        <v/>
      </c>
      <c r="AN220" s="599">
        <f>SUMIFS(stock[MT],stock[Bucket],scheduleapr[[#This Row],[Bucket]],stock[CTL Bucket],scheduleapr[[#This Row],[CTL Bucket]],stock[Plant],"0789")</f>
        <v/>
      </c>
      <c r="AO220" s="599" t="n"/>
      <c r="AP220" s="599">
        <f>SUMIFS(stock[MT],stock[Bucket],scheduleapr[[#This Row],[Bucket]],stock[LL or CTL],"LL")</f>
        <v/>
      </c>
      <c r="AQ220" s="599">
        <f>+SUMIFS(wip[Stock(Net Wt)],wip[Bucket],scheduleapr[[#This Row],[Bucket]])/1000</f>
        <v/>
      </c>
      <c r="AR220" s="599">
        <f>AJ220-AN220</f>
        <v/>
      </c>
      <c r="AS220" s="118" t="n"/>
    </row>
    <row r="221">
      <c r="A221" s="594" t="n">
        <v>131</v>
      </c>
      <c r="B221" s="78" t="inlineStr">
        <is>
          <t>Hosur</t>
        </is>
      </c>
      <c r="C221" s="596" t="inlineStr">
        <is>
          <t>Marathwada</t>
        </is>
      </c>
      <c r="D221" s="601" t="inlineStr">
        <is>
          <t>Marathwada</t>
        </is>
      </c>
      <c r="E221" s="596" t="n">
        <v>189002</v>
      </c>
      <c r="F221" s="557" t="n"/>
      <c r="G221" s="601">
        <f>_xlfn.CONCAT(scheduleapr[[#This Row],[CUSTOMER CODE]],"-",scheduleapr[[#This Row],[MATERIAL NO]])</f>
        <v/>
      </c>
      <c r="H221" s="557" t="n"/>
      <c r="I221" s="557" t="inlineStr">
        <is>
          <t>ERW 1</t>
        </is>
      </c>
      <c r="J221" s="559" t="n"/>
      <c r="K221" s="601" t="inlineStr">
        <is>
          <t>PE</t>
        </is>
      </c>
      <c r="L221" s="601" t="inlineStr">
        <is>
          <t>CR</t>
        </is>
      </c>
      <c r="M221" s="79" t="inlineStr">
        <is>
          <t>D</t>
        </is>
      </c>
      <c r="N221" s="557" t="n"/>
      <c r="O221" s="557" t="n"/>
      <c r="P221" s="557" t="n"/>
      <c r="Q221" s="557">
        <f>CONCATENATE(scheduleapr[[#This Row],[OD]],"-",scheduleapr[[#This Row],[ID]],"-",scheduleapr[[#This Row],[TICKNESS]],"-",scheduleapr[[#This Row],[Grade]],"-",scheduleapr[[#This Row],[FC/NFC]])</f>
        <v/>
      </c>
      <c r="R221" s="557">
        <f>_xlfn.CONCAT(scheduleapr[[#This Row],[Bucket]],"-",scheduleapr[[#This Row],[LENGTH]]/1000)</f>
        <v/>
      </c>
      <c r="S221" s="557" t="n"/>
      <c r="T221" s="601" t="n"/>
      <c r="U221" s="601" t="n"/>
      <c r="V221" s="601" t="n"/>
      <c r="W221" s="601" t="n"/>
      <c r="X221" s="559" t="n">
        <v>17.3</v>
      </c>
      <c r="Y221" s="559" t="n">
        <v>17.3</v>
      </c>
      <c r="Z221" s="559" t="n">
        <v>0</v>
      </c>
      <c r="AA221" s="599" t="n">
        <v>1.6</v>
      </c>
      <c r="AB221" s="600" t="n">
        <v>415</v>
      </c>
      <c r="AC221" s="600" t="inlineStr">
        <is>
          <t>NOS</t>
        </is>
      </c>
      <c r="AD221" s="600" t="n"/>
      <c r="AE221" s="600" t="n"/>
      <c r="AF221" s="601" t="n"/>
      <c r="AG221" s="601" t="n"/>
      <c r="AH221" s="601">
        <f t="array" ref="AH2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1" s="602">
        <f>scheduleapr[[#This Row],[SCHEDULE in nos]]-scheduleapr[[#This Row],[DISPATCH]]</f>
        <v/>
      </c>
      <c r="AJ221" s="559">
        <f>(3.14*(scheduleapr[[#This Row],[ACTUAL OD]]-scheduleapr[[#This Row],[TICKNESS]])*scheduleapr[[#This Row],[TICKNESS]]*scheduleapr[[#This Row],[LENGTH]]*7.85)/1000000*scheduleapr[[#This Row],[SCHEDULE in nos]]/1000</f>
        <v/>
      </c>
      <c r="AK221" s="599">
        <f>(3.14*(scheduleapr[[#This Row],[ACTUAL OD]]-scheduleapr[[#This Row],[TICKNESS]])*scheduleapr[[#This Row],[TICKNESS]]*scheduleapr[[#This Row],[LENGTH]]*7.85)/1000000*scheduleapr[[#This Row],[DISPATCH]]/1000</f>
        <v/>
      </c>
      <c r="AL221" s="599">
        <f>AJ221-AK221</f>
        <v/>
      </c>
      <c r="AM221" s="559">
        <f>scheduleapr[[#This Row],[SCHEDULE in nos]]/scheduleapr[[#This Row],[SCHEDULE IN MT]]*scheduleapr[[#This Row],[CTL Stock]]</f>
        <v/>
      </c>
      <c r="AN221" s="599">
        <f>SUMIFS(stock[MT],stock[Bucket],scheduleapr[[#This Row],[Bucket]],stock[CTL Bucket],scheduleapr[[#This Row],[CTL Bucket]],stock[Plant],"0789")</f>
        <v/>
      </c>
      <c r="AO221" s="599" t="n"/>
      <c r="AP221" s="599">
        <f>SUMIFS(stock[MT],stock[Bucket],scheduleapr[[#This Row],[Bucket]],stock[LL or CTL],"LL")</f>
        <v/>
      </c>
      <c r="AQ221" s="599">
        <f>+SUMIFS(wip[Stock(Net Wt)],wip[Bucket],scheduleapr[[#This Row],[Bucket]])/1000</f>
        <v/>
      </c>
      <c r="AR221" s="599">
        <f>AJ221-AN221</f>
        <v/>
      </c>
      <c r="AS221" s="118" t="n"/>
    </row>
    <row r="222">
      <c r="A222" s="594" t="n">
        <v>122</v>
      </c>
      <c r="B222" s="5" t="inlineStr">
        <is>
          <t>Hosur</t>
        </is>
      </c>
      <c r="C222" s="601" t="inlineStr">
        <is>
          <t>Marathwada</t>
        </is>
      </c>
      <c r="D222" s="601" t="inlineStr">
        <is>
          <t>Marathwada</t>
        </is>
      </c>
      <c r="E222" s="596" t="n">
        <v>189002</v>
      </c>
      <c r="F222" s="477" t="n">
        <v>3635694</v>
      </c>
      <c r="G222" s="601">
        <f>_xlfn.CONCAT(scheduleapr[[#This Row],[CUSTOMER CODE]],"-",scheduleapr[[#This Row],[MATERIAL NO]])</f>
        <v/>
      </c>
      <c r="H222" s="601" t="inlineStr">
        <is>
          <t>TUB-O-N-AUT-AW-PE-19.05X1.000X1.2000</t>
        </is>
      </c>
      <c r="I222" s="557" t="inlineStr">
        <is>
          <t>ERW 1</t>
        </is>
      </c>
      <c r="J222" s="557" t="n"/>
      <c r="K222" s="601" t="inlineStr">
        <is>
          <t>PE</t>
        </is>
      </c>
      <c r="L222" s="601" t="inlineStr">
        <is>
          <t>CR</t>
        </is>
      </c>
      <c r="M222" s="558" t="n"/>
      <c r="N222" s="557" t="n"/>
      <c r="O222" s="557" t="n"/>
      <c r="P222" s="557" t="n"/>
      <c r="Q222" s="557">
        <f>CONCATENATE(scheduleapr[[#This Row],[OD]],"-",scheduleapr[[#This Row],[ID]],"-",scheduleapr[[#This Row],[TICKNESS]],"-",scheduleapr[[#This Row],[Grade]],"-",scheduleapr[[#This Row],[FC/NFC]])</f>
        <v/>
      </c>
      <c r="R222" s="557">
        <f>_xlfn.CONCAT(scheduleapr[[#This Row],[Bucket]],"-",scheduleapr[[#This Row],[LENGTH]]/1000)</f>
        <v/>
      </c>
      <c r="S222" s="557">
        <f>COUNTIF(scheduleapr[CTL Bucket],scheduleapr[[#This Row],[CTL Bucket]])</f>
        <v/>
      </c>
      <c r="T222" s="601" t="n"/>
      <c r="U222" s="601">
        <f>_xlfn.IFNA(VLOOKUP(scheduleapr[[#This Row],[Bucket]],salesforecast[[#All],[Bucket2]:[8406 Stock]],19,0),0)</f>
        <v/>
      </c>
      <c r="V222" s="562">
        <f>_xlfn.IFNA(VLOOKUP(scheduleapr[[#This Row],[Bucket]],salesforecast[[#All],[Bucket2]:[8406 Stock]],20,0),0)+_xlfn.IFNA(VLOOKUP(scheduleapr[[#This Row],[Bucket]],salesforecast[[#All],[Bucket2]:[8406 Stock]],17,0),0)</f>
        <v/>
      </c>
      <c r="W222" s="601" t="n"/>
      <c r="X222" s="559" t="n">
        <v>19.05</v>
      </c>
      <c r="Y222" s="559" t="n">
        <v>19.05</v>
      </c>
      <c r="Z222" s="559" t="n">
        <v>0</v>
      </c>
      <c r="AA222" s="599" t="n">
        <v>1</v>
      </c>
      <c r="AB222" s="600" t="n">
        <v>1200</v>
      </c>
      <c r="AC222" s="600" t="inlineStr">
        <is>
          <t>NOS</t>
        </is>
      </c>
      <c r="AD222" s="600" t="n"/>
      <c r="AE222" s="600" t="n"/>
      <c r="AF222" s="557" t="n">
        <v>10000</v>
      </c>
      <c r="AG222" s="557" t="n"/>
      <c r="AH222" s="601">
        <f t="array" ref="AH2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2" s="602">
        <f>scheduleapr[[#This Row],[SCHEDULE in nos]]-scheduleapr[[#This Row],[DISPATCH]]</f>
        <v/>
      </c>
      <c r="AJ222" s="559">
        <f>(3.14*(scheduleapr[[#This Row],[ACTUAL OD]]-scheduleapr[[#This Row],[TICKNESS]])*scheduleapr[[#This Row],[TICKNESS]]*scheduleapr[[#This Row],[LENGTH]]*7.85)/1000000*scheduleapr[[#This Row],[SCHEDULE in nos]]/1000</f>
        <v/>
      </c>
      <c r="AK222" s="599">
        <f>(3.14*(scheduleapr[[#This Row],[ACTUAL OD]]-scheduleapr[[#This Row],[TICKNESS]])*scheduleapr[[#This Row],[TICKNESS]]*scheduleapr[[#This Row],[LENGTH]]*7.85)/1000000*scheduleapr[[#This Row],[DISPATCH]]/1000</f>
        <v/>
      </c>
      <c r="AL222" s="599">
        <f>AJ222-AK222</f>
        <v/>
      </c>
      <c r="AM222" s="559">
        <f>scheduleapr[[#This Row],[SCHEDULE in nos]]/scheduleapr[[#This Row],[SCHEDULE IN MT]]*scheduleapr[[#This Row],[CTL Stock]]</f>
        <v/>
      </c>
      <c r="AN222" s="599">
        <f>SUMIFS(stock[MT],stock[Bucket],scheduleapr[[#This Row],[Bucket]],stock[CTL Bucket],scheduleapr[[#This Row],[CTL Bucket]],stock[Plant],"0789")</f>
        <v/>
      </c>
      <c r="AO222" s="599" t="n"/>
      <c r="AP222" s="599">
        <f>SUMIFS(stock[MT],stock[Bucket],scheduleapr[[#This Row],[Bucket]],stock[LL or CTL],"LL")</f>
        <v/>
      </c>
      <c r="AQ222" s="599">
        <f>+SUMIFS(wip[Stock(Net Wt)],wip[Bucket],scheduleapr[[#This Row],[Bucket]])/1000</f>
        <v/>
      </c>
      <c r="AR222" s="599">
        <f>AJ222-AN222</f>
        <v/>
      </c>
      <c r="AS222" s="118" t="n"/>
    </row>
    <row r="223">
      <c r="A223" s="594" t="n">
        <v>116</v>
      </c>
      <c r="B223" s="5" t="inlineStr">
        <is>
          <t>Hosur</t>
        </is>
      </c>
      <c r="C223" s="601" t="inlineStr">
        <is>
          <t>Marathwada</t>
        </is>
      </c>
      <c r="D223" s="601" t="inlineStr">
        <is>
          <t>Marathwada</t>
        </is>
      </c>
      <c r="E223" s="596" t="n">
        <v>189002</v>
      </c>
      <c r="F223" s="477" t="n">
        <v>3929691</v>
      </c>
      <c r="G223" s="601">
        <f>_xlfn.CONCAT(scheduleapr[[#This Row],[CUSTOMER CODE]],"-",scheduleapr[[#This Row],[MATERIAL NO]])</f>
        <v/>
      </c>
      <c r="H223" s="601" t="inlineStr">
        <is>
          <t>CUT-O-N-AUT-AW-PE-19.05X1.200X0.2000</t>
        </is>
      </c>
      <c r="I223" s="601" t="inlineStr">
        <is>
          <t>ERW 1</t>
        </is>
      </c>
      <c r="J223" s="601" t="n"/>
      <c r="K223" s="601" t="inlineStr">
        <is>
          <t>PE</t>
        </is>
      </c>
      <c r="L223" s="601" t="inlineStr">
        <is>
          <t>HR</t>
        </is>
      </c>
      <c r="M223" s="601" t="n"/>
      <c r="N223" s="601" t="n"/>
      <c r="O223" s="601" t="n"/>
      <c r="P223" s="601" t="n"/>
      <c r="Q223" s="557">
        <f>CONCATENATE(scheduleapr[[#This Row],[OD]],"-",scheduleapr[[#This Row],[ID]],"-",scheduleapr[[#This Row],[TICKNESS]],"-",scheduleapr[[#This Row],[Grade]],"-",scheduleapr[[#This Row],[FC/NFC]])</f>
        <v/>
      </c>
      <c r="R223" s="557">
        <f>_xlfn.CONCAT(scheduleapr[[#This Row],[Bucket]],"-",scheduleapr[[#This Row],[LENGTH]]/1000)</f>
        <v/>
      </c>
      <c r="S223" s="557">
        <f>COUNTIF(scheduleapr[CTL Bucket],scheduleapr[[#This Row],[CTL Bucket]])</f>
        <v/>
      </c>
      <c r="T223" s="601" t="inlineStr">
        <is>
          <t>Hosur</t>
        </is>
      </c>
      <c r="U223" s="601" t="n"/>
      <c r="V223" s="601" t="n"/>
      <c r="W223" s="601" t="n"/>
      <c r="X223" s="559" t="n">
        <v>19.05</v>
      </c>
      <c r="Y223" s="559" t="n">
        <v>19.05</v>
      </c>
      <c r="Z223" s="559" t="n">
        <v>0</v>
      </c>
      <c r="AA223" s="599" t="n">
        <v>1.2</v>
      </c>
      <c r="AB223" s="600" t="n">
        <v>200</v>
      </c>
      <c r="AC223" s="600" t="inlineStr">
        <is>
          <t>NOS</t>
        </is>
      </c>
      <c r="AD223" s="600" t="n"/>
      <c r="AE223" s="600" t="n"/>
      <c r="AF223" s="601" t="n"/>
      <c r="AG223" s="601" t="n"/>
      <c r="AH223" s="601">
        <f t="array" ref="AH2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3" s="602">
        <f>scheduleapr[[#This Row],[SCHEDULE in nos]]-scheduleapr[[#This Row],[DISPATCH]]</f>
        <v/>
      </c>
      <c r="AJ223" s="599">
        <f>(3.14*(scheduleapr[[#This Row],[ACTUAL OD]]-scheduleapr[[#This Row],[TICKNESS]])*scheduleapr[[#This Row],[TICKNESS]]*scheduleapr[[#This Row],[LENGTH]]*7.85)/1000000*scheduleapr[[#This Row],[SCHEDULE in nos]]/1000</f>
        <v/>
      </c>
      <c r="AK223" s="599">
        <f>(3.14*(scheduleapr[[#This Row],[ACTUAL OD]]-scheduleapr[[#This Row],[TICKNESS]])*scheduleapr[[#This Row],[TICKNESS]]*scheduleapr[[#This Row],[LENGTH]]*7.85)/1000000*scheduleapr[[#This Row],[DISPATCH]]/1000</f>
        <v/>
      </c>
      <c r="AL223" s="599">
        <f>AJ223-AK223</f>
        <v/>
      </c>
      <c r="AM223" s="599">
        <f>scheduleapr[[#This Row],[SCHEDULE in nos]]/scheduleapr[[#This Row],[SCHEDULE IN MT]]*scheduleapr[[#This Row],[CTL Stock]]</f>
        <v/>
      </c>
      <c r="AN223" s="599">
        <f>SUMIFS(stock[MT],stock[Bucket],scheduleapr[[#This Row],[Bucket]],stock[CTL Bucket],scheduleapr[[#This Row],[CTL Bucket]],stock[Plant],"0789")</f>
        <v/>
      </c>
      <c r="AO223" s="599" t="n"/>
      <c r="AP223" s="599">
        <f>SUMIFS(stock[MT],stock[Bucket],scheduleapr[[#This Row],[Bucket]],stock[LL or CTL],"LL")</f>
        <v/>
      </c>
      <c r="AQ223" s="599">
        <f>+SUMIFS(wip[Stock(Net Wt)],wip[Bucket],scheduleapr[[#This Row],[Bucket]])/1000</f>
        <v/>
      </c>
      <c r="AR223" s="599">
        <f>AJ223-AN223</f>
        <v/>
      </c>
      <c r="AS223" s="118" t="n"/>
    </row>
    <row r="224">
      <c r="A224" s="594" t="n"/>
      <c r="B224" s="5" t="inlineStr">
        <is>
          <t>Hosur</t>
        </is>
      </c>
      <c r="C224" s="601" t="inlineStr">
        <is>
          <t>Marathwada</t>
        </is>
      </c>
      <c r="D224" s="601" t="inlineStr">
        <is>
          <t>Marathwada</t>
        </is>
      </c>
      <c r="E224" s="601" t="n">
        <v>189002</v>
      </c>
      <c r="F224" s="523" t="n">
        <v>3929691</v>
      </c>
      <c r="G224" s="601">
        <f>_xlfn.CONCAT(scheduleapr[[#This Row],[CUSTOMER CODE]],"-",scheduleapr[[#This Row],[MATERIAL NO]])</f>
        <v/>
      </c>
      <c r="H224" s="523" t="inlineStr">
        <is>
          <t>CUT-O-N-AUT-AW-PE-19.05X1.200X0.2000</t>
        </is>
      </c>
      <c r="I224" s="601" t="inlineStr">
        <is>
          <t>ERW 1</t>
        </is>
      </c>
      <c r="J224" s="601" t="n"/>
      <c r="K224" s="601" t="inlineStr">
        <is>
          <t>PE</t>
        </is>
      </c>
      <c r="L224" s="601" t="inlineStr">
        <is>
          <t>CR</t>
        </is>
      </c>
      <c r="M224" s="601" t="n"/>
      <c r="N224" s="601" t="n"/>
      <c r="O224" s="601" t="n"/>
      <c r="P224" s="601" t="n"/>
      <c r="Q224" s="557">
        <f>CONCATENATE(scheduleapr[[#This Row],[OD]],"-",scheduleapr[[#This Row],[ID]],"-",scheduleapr[[#This Row],[TICKNESS]],"-",scheduleapr[[#This Row],[Grade]],"-",scheduleapr[[#This Row],[FC/NFC]])</f>
        <v/>
      </c>
      <c r="R224" s="557">
        <f>_xlfn.CONCAT(scheduleapr[[#This Row],[Bucket]],"-",scheduleapr[[#This Row],[LENGTH]]/1000)</f>
        <v/>
      </c>
      <c r="S224" s="557">
        <f>COUNTIF(scheduleapr[CTL Bucket],scheduleapr[[#This Row],[CTL Bucket]])</f>
        <v/>
      </c>
      <c r="T224" s="601" t="inlineStr">
        <is>
          <t>Hosur</t>
        </is>
      </c>
      <c r="U224" s="601" t="n"/>
      <c r="V224" s="601" t="n"/>
      <c r="W224" s="601" t="n"/>
      <c r="X224" s="599" t="n">
        <v>19.05</v>
      </c>
      <c r="Y224" s="599" t="n">
        <v>19.05</v>
      </c>
      <c r="Z224" s="599" t="n">
        <v>0</v>
      </c>
      <c r="AA224" s="599" t="n">
        <v>1.2</v>
      </c>
      <c r="AB224" s="600" t="n">
        <v>200</v>
      </c>
      <c r="AC224" s="600" t="inlineStr">
        <is>
          <t>NOS</t>
        </is>
      </c>
      <c r="AD224" s="600" t="n"/>
      <c r="AE224" s="600" t="n"/>
      <c r="AF224" s="523" t="n"/>
      <c r="AG224" s="523" t="n"/>
      <c r="AH224" s="601">
        <f t="array" ref="AH2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4" s="602">
        <f>scheduleapr[[#This Row],[SCHEDULE in nos]]-scheduleapr[[#This Row],[DISPATCH]]</f>
        <v/>
      </c>
      <c r="AJ224" s="599">
        <f>(3.14*(scheduleapr[[#This Row],[ACTUAL OD]]-scheduleapr[[#This Row],[TICKNESS]])*scheduleapr[[#This Row],[TICKNESS]]*scheduleapr[[#This Row],[LENGTH]]*7.85)/1000000*scheduleapr[[#This Row],[SCHEDULE in nos]]/1000</f>
        <v/>
      </c>
      <c r="AK224" s="599">
        <f>(3.14*(scheduleapr[[#This Row],[ACTUAL OD]]-scheduleapr[[#This Row],[TICKNESS]])*scheduleapr[[#This Row],[TICKNESS]]*scheduleapr[[#This Row],[LENGTH]]*7.85)/1000000*scheduleapr[[#This Row],[DISPATCH]]/1000</f>
        <v/>
      </c>
      <c r="AL224" s="599">
        <f>AJ224-AK224</f>
        <v/>
      </c>
      <c r="AM224" s="599">
        <f>scheduleapr[[#This Row],[SCHEDULE in nos]]/scheduleapr[[#This Row],[SCHEDULE IN MT]]*scheduleapr[[#This Row],[CTL Stock]]</f>
        <v/>
      </c>
      <c r="AN224" s="599">
        <f>SUMIFS(stock[MT],stock[Bucket],scheduleapr[[#This Row],[Bucket]],stock[CTL Bucket],scheduleapr[[#This Row],[CTL Bucket]],stock[Plant],"0789")</f>
        <v/>
      </c>
      <c r="AO224" s="599" t="n"/>
      <c r="AP224" s="599">
        <f>SUMIFS(stock[MT],stock[Bucket],scheduleapr[[#This Row],[Bucket]],stock[LL or CTL],"LL")</f>
        <v/>
      </c>
      <c r="AQ224" s="599">
        <f>+SUMIFS(wip[Stock(Net Wt)],wip[Bucket],scheduleapr[[#This Row],[Bucket]])/1000</f>
        <v/>
      </c>
      <c r="AR224" s="599">
        <f>AJ224-AN224</f>
        <v/>
      </c>
      <c r="AS224" s="118" t="n"/>
    </row>
    <row r="225">
      <c r="A225" s="594" t="n"/>
      <c r="B225" s="5" t="inlineStr">
        <is>
          <t>Hosur</t>
        </is>
      </c>
      <c r="C225" s="601" t="inlineStr">
        <is>
          <t>Marathwada</t>
        </is>
      </c>
      <c r="D225" s="601" t="inlineStr">
        <is>
          <t>Marathwada</t>
        </is>
      </c>
      <c r="E225" s="601" t="n">
        <v>189002</v>
      </c>
      <c r="F225" s="523" t="n">
        <v>3935313</v>
      </c>
      <c r="G225" s="601">
        <f>_xlfn.CONCAT(scheduleapr[[#This Row],[CUSTOMER CODE]],"-",scheduleapr[[#This Row],[MATERIAL NO]])</f>
        <v/>
      </c>
      <c r="H225" s="523" t="inlineStr">
        <is>
          <t>CUT-O-N-AUT-AW-PE-19.05X1.200X0.33</t>
        </is>
      </c>
      <c r="I225" s="601" t="inlineStr">
        <is>
          <t>ERW 1</t>
        </is>
      </c>
      <c r="J225" s="601" t="n"/>
      <c r="K225" s="601" t="inlineStr">
        <is>
          <t>PE</t>
        </is>
      </c>
      <c r="L225" s="601" t="inlineStr">
        <is>
          <t>CR</t>
        </is>
      </c>
      <c r="M225" s="601" t="n"/>
      <c r="N225" s="601" t="n"/>
      <c r="O225" s="601" t="n"/>
      <c r="P225" s="601" t="n"/>
      <c r="Q225" s="557">
        <f>CONCATENATE(scheduleapr[[#This Row],[OD]],"-",scheduleapr[[#This Row],[ID]],"-",scheduleapr[[#This Row],[TICKNESS]],"-",scheduleapr[[#This Row],[Grade]],"-",scheduleapr[[#This Row],[FC/NFC]])</f>
        <v/>
      </c>
      <c r="R225" s="557">
        <f>_xlfn.CONCAT(scheduleapr[[#This Row],[Bucket]],"-",scheduleapr[[#This Row],[LENGTH]]/1000)</f>
        <v/>
      </c>
      <c r="S225" s="557">
        <f>COUNTIF(scheduleapr[CTL Bucket],scheduleapr[[#This Row],[CTL Bucket]])</f>
        <v/>
      </c>
      <c r="T225" s="601" t="inlineStr">
        <is>
          <t>Hosur</t>
        </is>
      </c>
      <c r="U225" s="601" t="n"/>
      <c r="V225" s="601" t="n"/>
      <c r="W225" s="601" t="n"/>
      <c r="X225" s="599" t="n">
        <v>19.05</v>
      </c>
      <c r="Y225" s="599" t="n">
        <v>19.05</v>
      </c>
      <c r="Z225" s="599" t="n">
        <v>0</v>
      </c>
      <c r="AA225" s="599" t="n">
        <v>1.2</v>
      </c>
      <c r="AB225" s="600" t="n">
        <v>330</v>
      </c>
      <c r="AC225" s="600" t="inlineStr">
        <is>
          <t>NOS</t>
        </is>
      </c>
      <c r="AD225" s="600" t="n"/>
      <c r="AE225" s="600" t="n"/>
      <c r="AF225" s="523" t="n"/>
      <c r="AG225" s="523" t="n"/>
      <c r="AH225" s="601">
        <f t="array" ref="AH2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5" s="602">
        <f>scheduleapr[[#This Row],[SCHEDULE in nos]]-scheduleapr[[#This Row],[DISPATCH]]</f>
        <v/>
      </c>
      <c r="AJ225" s="599">
        <f>(3.14*(scheduleapr[[#This Row],[ACTUAL OD]]-scheduleapr[[#This Row],[TICKNESS]])*scheduleapr[[#This Row],[TICKNESS]]*scheduleapr[[#This Row],[LENGTH]]*7.85)/1000000*scheduleapr[[#This Row],[SCHEDULE in nos]]/1000</f>
        <v/>
      </c>
      <c r="AK225" s="599">
        <f>(3.14*(scheduleapr[[#This Row],[ACTUAL OD]]-scheduleapr[[#This Row],[TICKNESS]])*scheduleapr[[#This Row],[TICKNESS]]*scheduleapr[[#This Row],[LENGTH]]*7.85)/1000000*scheduleapr[[#This Row],[DISPATCH]]/1000</f>
        <v/>
      </c>
      <c r="AL225" s="599">
        <f>AJ225-AK225</f>
        <v/>
      </c>
      <c r="AM225" s="599">
        <f>scheduleapr[[#This Row],[SCHEDULE in nos]]/scheduleapr[[#This Row],[SCHEDULE IN MT]]*scheduleapr[[#This Row],[CTL Stock]]</f>
        <v/>
      </c>
      <c r="AN225" s="599">
        <f>SUMIFS(stock[MT],stock[Bucket],scheduleapr[[#This Row],[Bucket]],stock[CTL Bucket],scheduleapr[[#This Row],[CTL Bucket]],stock[Plant],"0789")</f>
        <v/>
      </c>
      <c r="AO225" s="599" t="n"/>
      <c r="AP225" s="599">
        <f>SUMIFS(stock[MT],stock[Bucket],scheduleapr[[#This Row],[Bucket]],stock[LL or CTL],"LL")</f>
        <v/>
      </c>
      <c r="AQ225" s="599">
        <f>+SUMIFS(wip[Stock(Net Wt)],wip[Bucket],scheduleapr[[#This Row],[Bucket]])/1000</f>
        <v/>
      </c>
      <c r="AR225" s="599">
        <f>AJ225-AN225</f>
        <v/>
      </c>
      <c r="AS225" s="118" t="n"/>
    </row>
    <row r="226">
      <c r="A226" s="594" t="n"/>
      <c r="B226" s="5" t="inlineStr">
        <is>
          <t>Hosur</t>
        </is>
      </c>
      <c r="C226" s="601" t="inlineStr">
        <is>
          <t>Marathwada</t>
        </is>
      </c>
      <c r="D226" s="601" t="inlineStr">
        <is>
          <t>Marathwada</t>
        </is>
      </c>
      <c r="E226" s="601" t="n">
        <v>189002</v>
      </c>
      <c r="F226" s="523" t="n">
        <v>3929540</v>
      </c>
      <c r="G226" s="601">
        <f>_xlfn.CONCAT(scheduleapr[[#This Row],[CUSTOMER CODE]],"-",scheduleapr[[#This Row],[MATERIAL NO]])</f>
        <v/>
      </c>
      <c r="H226" s="523" t="inlineStr">
        <is>
          <t>CUT-O-N-AUT-AW-PE-19.05X1.200X0.6820</t>
        </is>
      </c>
      <c r="I226" s="601" t="inlineStr">
        <is>
          <t>ERW 1</t>
        </is>
      </c>
      <c r="J226" s="601" t="n"/>
      <c r="K226" s="601" t="inlineStr">
        <is>
          <t>PE</t>
        </is>
      </c>
      <c r="L226" s="601" t="inlineStr">
        <is>
          <t>CR</t>
        </is>
      </c>
      <c r="M226" s="601" t="n"/>
      <c r="N226" s="601" t="n"/>
      <c r="O226" s="601" t="n"/>
      <c r="P226" s="601" t="n"/>
      <c r="Q226" s="557">
        <f>CONCATENATE(scheduleapr[[#This Row],[OD]],"-",scheduleapr[[#This Row],[ID]],"-",scheduleapr[[#This Row],[TICKNESS]],"-",scheduleapr[[#This Row],[Grade]],"-",scheduleapr[[#This Row],[FC/NFC]])</f>
        <v/>
      </c>
      <c r="R226" s="557">
        <f>_xlfn.CONCAT(scheduleapr[[#This Row],[Bucket]],"-",scheduleapr[[#This Row],[LENGTH]]/1000)</f>
        <v/>
      </c>
      <c r="S226" s="557">
        <f>COUNTIF(scheduleapr[CTL Bucket],scheduleapr[[#This Row],[CTL Bucket]])</f>
        <v/>
      </c>
      <c r="T226" s="601" t="inlineStr">
        <is>
          <t>Hosur</t>
        </is>
      </c>
      <c r="U226" s="601" t="n"/>
      <c r="V226" s="601" t="n"/>
      <c r="W226" s="601" t="n"/>
      <c r="X226" s="599" t="n">
        <v>19.05</v>
      </c>
      <c r="Y226" s="599" t="n">
        <v>19.05</v>
      </c>
      <c r="Z226" s="599" t="n">
        <v>0</v>
      </c>
      <c r="AA226" s="599" t="n">
        <v>1.2</v>
      </c>
      <c r="AB226" s="600" t="n">
        <v>682</v>
      </c>
      <c r="AC226" s="600" t="inlineStr">
        <is>
          <t>NOS</t>
        </is>
      </c>
      <c r="AD226" s="600" t="n"/>
      <c r="AE226" s="600" t="n"/>
      <c r="AF226" s="523" t="n"/>
      <c r="AG226" s="523" t="n"/>
      <c r="AH226" s="601">
        <f t="array" ref="AH2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6" s="602">
        <f>scheduleapr[[#This Row],[SCHEDULE in nos]]-scheduleapr[[#This Row],[DISPATCH]]</f>
        <v/>
      </c>
      <c r="AJ226" s="599">
        <f>(3.14*(scheduleapr[[#This Row],[ACTUAL OD]]-scheduleapr[[#This Row],[TICKNESS]])*scheduleapr[[#This Row],[TICKNESS]]*scheduleapr[[#This Row],[LENGTH]]*7.85)/1000000*scheduleapr[[#This Row],[SCHEDULE in nos]]/1000</f>
        <v/>
      </c>
      <c r="AK226" s="599">
        <f>(3.14*(scheduleapr[[#This Row],[ACTUAL OD]]-scheduleapr[[#This Row],[TICKNESS]])*scheduleapr[[#This Row],[TICKNESS]]*scheduleapr[[#This Row],[LENGTH]]*7.85)/1000000*scheduleapr[[#This Row],[DISPATCH]]/1000</f>
        <v/>
      </c>
      <c r="AL226" s="599">
        <f>AJ226-AK226</f>
        <v/>
      </c>
      <c r="AM226" s="599">
        <f>scheduleapr[[#This Row],[SCHEDULE in nos]]/scheduleapr[[#This Row],[SCHEDULE IN MT]]*scheduleapr[[#This Row],[CTL Stock]]</f>
        <v/>
      </c>
      <c r="AN226" s="599">
        <f>SUMIFS(stock[MT],stock[Bucket],scheduleapr[[#This Row],[Bucket]],stock[CTL Bucket],scheduleapr[[#This Row],[CTL Bucket]],stock[Plant],"0789")</f>
        <v/>
      </c>
      <c r="AO226" s="599" t="n"/>
      <c r="AP226" s="599">
        <f>SUMIFS(stock[MT],stock[Bucket],scheduleapr[[#This Row],[Bucket]],stock[LL or CTL],"LL")</f>
        <v/>
      </c>
      <c r="AQ226" s="599">
        <f>+SUMIFS(wip[Stock(Net Wt)],wip[Bucket],scheduleapr[[#This Row],[Bucket]])/1000</f>
        <v/>
      </c>
      <c r="AR226" s="599">
        <f>AJ226-AN226</f>
        <v/>
      </c>
      <c r="AS226" s="118" t="n"/>
    </row>
    <row r="227">
      <c r="A227" s="594" t="n"/>
      <c r="B227" s="5" t="inlineStr">
        <is>
          <t>Hosur</t>
        </is>
      </c>
      <c r="C227" s="601" t="inlineStr">
        <is>
          <t>Marathwada</t>
        </is>
      </c>
      <c r="D227" s="601" t="inlineStr">
        <is>
          <t>Marathwada</t>
        </is>
      </c>
      <c r="E227" s="601" t="n">
        <v>189002</v>
      </c>
      <c r="F227" s="523" t="n">
        <v>3929692</v>
      </c>
      <c r="G227" s="601">
        <f>_xlfn.CONCAT(scheduleapr[[#This Row],[CUSTOMER CODE]],"-",scheduleapr[[#This Row],[MATERIAL NO]])</f>
        <v/>
      </c>
      <c r="H227" s="523" t="inlineStr">
        <is>
          <t>CUT-O-N-AUT-AW-PE-19.05X1.200X1.2300</t>
        </is>
      </c>
      <c r="I227" s="601" t="inlineStr">
        <is>
          <t>ERW 1</t>
        </is>
      </c>
      <c r="J227" s="601" t="n"/>
      <c r="K227" s="601" t="inlineStr">
        <is>
          <t>PE</t>
        </is>
      </c>
      <c r="L227" s="601" t="inlineStr">
        <is>
          <t>CR</t>
        </is>
      </c>
      <c r="M227" s="601" t="n"/>
      <c r="N227" s="601" t="n"/>
      <c r="O227" s="601" t="n"/>
      <c r="P227" s="601" t="n"/>
      <c r="Q227" s="557">
        <f>CONCATENATE(scheduleapr[[#This Row],[OD]],"-",scheduleapr[[#This Row],[ID]],"-",scheduleapr[[#This Row],[TICKNESS]],"-",scheduleapr[[#This Row],[Grade]],"-",scheduleapr[[#This Row],[FC/NFC]])</f>
        <v/>
      </c>
      <c r="R227" s="557">
        <f>_xlfn.CONCAT(scheduleapr[[#This Row],[Bucket]],"-",scheduleapr[[#This Row],[LENGTH]]/1000)</f>
        <v/>
      </c>
      <c r="S227" s="557">
        <f>COUNTIF(scheduleapr[CTL Bucket],scheduleapr[[#This Row],[CTL Bucket]])</f>
        <v/>
      </c>
      <c r="T227" s="601" t="inlineStr">
        <is>
          <t>Hosur</t>
        </is>
      </c>
      <c r="U227" s="601" t="n"/>
      <c r="V227" s="601" t="n"/>
      <c r="W227" s="601" t="n"/>
      <c r="X227" s="599" t="n">
        <v>19.05</v>
      </c>
      <c r="Y227" s="599" t="n">
        <v>19.05</v>
      </c>
      <c r="Z227" s="599" t="n">
        <v>0</v>
      </c>
      <c r="AA227" s="599" t="n">
        <v>1.2</v>
      </c>
      <c r="AB227" s="600" t="n">
        <v>1230</v>
      </c>
      <c r="AC227" s="600" t="inlineStr">
        <is>
          <t>NOS</t>
        </is>
      </c>
      <c r="AD227" s="600" t="n"/>
      <c r="AE227" s="600" t="n"/>
      <c r="AF227" s="523" t="n"/>
      <c r="AG227" s="523" t="n"/>
      <c r="AH227" s="601">
        <f t="array" ref="AH2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7" s="602">
        <f>scheduleapr[[#This Row],[SCHEDULE in nos]]-scheduleapr[[#This Row],[DISPATCH]]</f>
        <v/>
      </c>
      <c r="AJ227" s="599">
        <f>(3.14*(scheduleapr[[#This Row],[ACTUAL OD]]-scheduleapr[[#This Row],[TICKNESS]])*scheduleapr[[#This Row],[TICKNESS]]*scheduleapr[[#This Row],[LENGTH]]*7.85)/1000000*scheduleapr[[#This Row],[SCHEDULE in nos]]/1000</f>
        <v/>
      </c>
      <c r="AK227" s="599">
        <f>(3.14*(scheduleapr[[#This Row],[ACTUAL OD]]-scheduleapr[[#This Row],[TICKNESS]])*scheduleapr[[#This Row],[TICKNESS]]*scheduleapr[[#This Row],[LENGTH]]*7.85)/1000000*scheduleapr[[#This Row],[DISPATCH]]/1000</f>
        <v/>
      </c>
      <c r="AL227" s="599">
        <f>AJ227-AK227</f>
        <v/>
      </c>
      <c r="AM227" s="599">
        <f>scheduleapr[[#This Row],[SCHEDULE in nos]]/scheduleapr[[#This Row],[SCHEDULE IN MT]]*scheduleapr[[#This Row],[CTL Stock]]</f>
        <v/>
      </c>
      <c r="AN227" s="599">
        <f>SUMIFS(stock[MT],stock[Bucket],scheduleapr[[#This Row],[Bucket]],stock[CTL Bucket],scheduleapr[[#This Row],[CTL Bucket]],stock[Plant],"0789")</f>
        <v/>
      </c>
      <c r="AO227" s="599" t="n"/>
      <c r="AP227" s="599">
        <f>SUMIFS(stock[MT],stock[Bucket],scheduleapr[[#This Row],[Bucket]],stock[LL or CTL],"LL")</f>
        <v/>
      </c>
      <c r="AQ227" s="599">
        <f>+SUMIFS(wip[Stock(Net Wt)],wip[Bucket],scheduleapr[[#This Row],[Bucket]])/1000</f>
        <v/>
      </c>
      <c r="AR227" s="599">
        <f>AJ227-AN227</f>
        <v/>
      </c>
      <c r="AS227" s="118" t="n"/>
    </row>
    <row r="228">
      <c r="A228" s="594" t="n">
        <v>117</v>
      </c>
      <c r="B228" s="5" t="inlineStr">
        <is>
          <t>Hosur</t>
        </is>
      </c>
      <c r="C228" s="601" t="inlineStr">
        <is>
          <t>Marathwada</t>
        </is>
      </c>
      <c r="D228" s="601" t="inlineStr">
        <is>
          <t>Marathwada</t>
        </is>
      </c>
      <c r="E228" s="596" t="n">
        <v>189002</v>
      </c>
      <c r="F228" s="477" t="n">
        <v>1940391</v>
      </c>
      <c r="G228" s="601">
        <f>_xlfn.CONCAT(scheduleapr[[#This Row],[CUSTOMER CODE]],"-",scheduleapr[[#This Row],[MATERIAL NO]])</f>
        <v/>
      </c>
      <c r="H228" s="601" t="inlineStr">
        <is>
          <t>TUB-O-O-AUT-AW-PE-22.23X1.600X0.2850</t>
        </is>
      </c>
      <c r="I228" s="601" t="inlineStr">
        <is>
          <t>ERW 1</t>
        </is>
      </c>
      <c r="J228" s="601" t="n"/>
      <c r="K228" s="601" t="inlineStr">
        <is>
          <t>PE</t>
        </is>
      </c>
      <c r="L228" s="601" t="inlineStr">
        <is>
          <t>CR</t>
        </is>
      </c>
      <c r="M228" s="601" t="n"/>
      <c r="N228" s="601" t="n"/>
      <c r="O228" s="601" t="n"/>
      <c r="P228" s="601" t="n"/>
      <c r="Q228" s="557">
        <f>CONCATENATE(scheduleapr[[#This Row],[OD]],"-",scheduleapr[[#This Row],[ID]],"-",scheduleapr[[#This Row],[TICKNESS]],"-",scheduleapr[[#This Row],[Grade]],"-",scheduleapr[[#This Row],[FC/NFC]])</f>
        <v/>
      </c>
      <c r="R228" s="557">
        <f>_xlfn.CONCAT(scheduleapr[[#This Row],[Bucket]],"-",scheduleapr[[#This Row],[LENGTH]]/1000)</f>
        <v/>
      </c>
      <c r="S228" s="557">
        <f>COUNTIF(scheduleapr[CTL Bucket],scheduleapr[[#This Row],[CTL Bucket]])</f>
        <v/>
      </c>
      <c r="T228" s="601" t="inlineStr">
        <is>
          <t>Hosur</t>
        </is>
      </c>
      <c r="U228" s="601" t="n"/>
      <c r="V228" s="601" t="n"/>
      <c r="W228" s="601" t="n"/>
      <c r="X228" s="599" t="n">
        <v>22.23</v>
      </c>
      <c r="Y228" s="599" t="n">
        <v>22.23</v>
      </c>
      <c r="Z228" s="599" t="n">
        <v>0</v>
      </c>
      <c r="AA228" s="599" t="n">
        <v>1.6</v>
      </c>
      <c r="AB228" s="600" t="n">
        <v>285</v>
      </c>
      <c r="AC228" s="600" t="inlineStr">
        <is>
          <t>NOS</t>
        </is>
      </c>
      <c r="AD228" s="600" t="n"/>
      <c r="AE228" s="600" t="n"/>
      <c r="AF228" s="601" t="n"/>
      <c r="AG228" s="601" t="n"/>
      <c r="AH228" s="601">
        <f t="array" ref="AH2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8" s="602">
        <f>scheduleapr[[#This Row],[SCHEDULE in nos]]-scheduleapr[[#This Row],[DISPATCH]]</f>
        <v/>
      </c>
      <c r="AJ228" s="599">
        <f>(3.14*(scheduleapr[[#This Row],[ACTUAL OD]]-scheduleapr[[#This Row],[TICKNESS]])*scheduleapr[[#This Row],[TICKNESS]]*scheduleapr[[#This Row],[LENGTH]]*7.85)/1000000*scheduleapr[[#This Row],[SCHEDULE in nos]]/1000</f>
        <v/>
      </c>
      <c r="AK228" s="599">
        <f>(3.14*(scheduleapr[[#This Row],[ACTUAL OD]]-scheduleapr[[#This Row],[TICKNESS]])*scheduleapr[[#This Row],[TICKNESS]]*scheduleapr[[#This Row],[LENGTH]]*7.85)/1000000*scheduleapr[[#This Row],[DISPATCH]]/1000</f>
        <v/>
      </c>
      <c r="AL228" s="599">
        <f>AJ228-AK228</f>
        <v/>
      </c>
      <c r="AM228" s="599">
        <f>scheduleapr[[#This Row],[SCHEDULE in nos]]/scheduleapr[[#This Row],[SCHEDULE IN MT]]*scheduleapr[[#This Row],[CTL Stock]]</f>
        <v/>
      </c>
      <c r="AN228" s="599">
        <f>SUMIFS(stock[MT],stock[Bucket],scheduleapr[[#This Row],[Bucket]],stock[CTL Bucket],scheduleapr[[#This Row],[CTL Bucket]],stock[Plant],"0789")</f>
        <v/>
      </c>
      <c r="AO228" s="599" t="n"/>
      <c r="AP228" s="599">
        <f>SUMIFS(stock[MT],stock[Bucket],scheduleapr[[#This Row],[Bucket]],stock[LL or CTL],"LL")</f>
        <v/>
      </c>
      <c r="AQ228" s="599">
        <f>+SUMIFS(wip[Stock(Net Wt)],wip[Bucket],scheduleapr[[#This Row],[Bucket]])/1000</f>
        <v/>
      </c>
      <c r="AR228" s="599">
        <f>AJ228-AN228</f>
        <v/>
      </c>
      <c r="AS228" s="118" t="n"/>
    </row>
    <row r="229">
      <c r="A229" s="594" t="n">
        <v>118</v>
      </c>
      <c r="B229" s="5" t="inlineStr">
        <is>
          <t>Hosur</t>
        </is>
      </c>
      <c r="C229" s="601" t="inlineStr">
        <is>
          <t>Marathwada</t>
        </is>
      </c>
      <c r="D229" s="601" t="inlineStr">
        <is>
          <t>Marathwada</t>
        </is>
      </c>
      <c r="E229" s="596" t="n">
        <v>189002</v>
      </c>
      <c r="F229" s="477" t="n">
        <v>4095225</v>
      </c>
      <c r="G229" s="477" t="inlineStr">
        <is>
          <t>CUT-O-N-AUT-AW-PE-22.23X2.300X0.1880</t>
        </is>
      </c>
      <c r="H229" s="477" t="inlineStr">
        <is>
          <t>CUT-O-N-AUT-AW-PE-22.23X2.300X0.1880</t>
        </is>
      </c>
      <c r="I229" s="601" t="inlineStr">
        <is>
          <t>ERW 1</t>
        </is>
      </c>
      <c r="J229" s="601" t="n"/>
      <c r="K229" s="601" t="inlineStr">
        <is>
          <t>PE</t>
        </is>
      </c>
      <c r="L229" s="601" t="inlineStr">
        <is>
          <t>HR</t>
        </is>
      </c>
      <c r="M229" s="601" t="n"/>
      <c r="N229" s="601" t="n"/>
      <c r="O229" s="601" t="n"/>
      <c r="P229" s="601" t="n"/>
      <c r="Q229" s="557">
        <f>CONCATENATE(scheduleapr[[#This Row],[OD]],"-",scheduleapr[[#This Row],[ID]],"-",scheduleapr[[#This Row],[TICKNESS]],"-",scheduleapr[[#This Row],[Grade]],"-",scheduleapr[[#This Row],[FC/NFC]])</f>
        <v/>
      </c>
      <c r="R229" s="557">
        <f>_xlfn.CONCAT(scheduleapr[[#This Row],[Bucket]],"-",scheduleapr[[#This Row],[LENGTH]]/1000)</f>
        <v/>
      </c>
      <c r="S229" s="601">
        <f>COUNTIF([2]!buckets[CTL Bucket],[2]!scheduleapr[[#This Row],[CTL Bucket]])</f>
        <v/>
      </c>
      <c r="T229" s="601" t="n"/>
      <c r="U229" s="601" t="n"/>
      <c r="V229" s="601" t="n"/>
      <c r="W229" s="601" t="n"/>
      <c r="X229" s="599" t="n">
        <v>22.23</v>
      </c>
      <c r="Y229" s="599" t="n">
        <v>22.23</v>
      </c>
      <c r="Z229" s="599" t="n">
        <v>0</v>
      </c>
      <c r="AA229" s="599" t="n">
        <v>2.3</v>
      </c>
      <c r="AB229" s="600" t="n">
        <v>188</v>
      </c>
      <c r="AC229" s="600" t="inlineStr">
        <is>
          <t>NOS</t>
        </is>
      </c>
      <c r="AD229" s="600" t="n"/>
      <c r="AE229" s="600" t="n"/>
      <c r="AF229" s="601" t="n"/>
      <c r="AG229" s="601" t="n"/>
      <c r="AH229" s="601">
        <f t="array" ref="AH2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29" s="602">
        <f>scheduleapr[[#This Row],[SCHEDULE in nos]]-scheduleapr[[#This Row],[DISPATCH]]</f>
        <v/>
      </c>
      <c r="AJ229" s="599">
        <f>(3.14*(scheduleapr[[#This Row],[ACTUAL OD]]-scheduleapr[[#This Row],[TICKNESS]])*scheduleapr[[#This Row],[TICKNESS]]*scheduleapr[[#This Row],[LENGTH]]*7.85)/1000000*scheduleapr[[#This Row],[SCHEDULE in nos]]/1000</f>
        <v/>
      </c>
      <c r="AK229" s="599">
        <f>(3.14*(scheduleapr[[#This Row],[ACTUAL OD]]-scheduleapr[[#This Row],[TICKNESS]])*scheduleapr[[#This Row],[TICKNESS]]*scheduleapr[[#This Row],[LENGTH]]*7.85)/1000000*scheduleapr[[#This Row],[DISPATCH]]/1000</f>
        <v/>
      </c>
      <c r="AL229" s="599">
        <f>AJ229-AK229</f>
        <v/>
      </c>
      <c r="AM229" s="599">
        <f>scheduleapr[[#This Row],[SCHEDULE in nos]]/scheduleapr[[#This Row],[SCHEDULE IN MT]]*scheduleapr[[#This Row],[CTL Stock]]</f>
        <v/>
      </c>
      <c r="AN229" s="599">
        <f>SUMIFS(stock[MT],stock[Bucket],scheduleapr[[#This Row],[Bucket]],stock[CTL Bucket],scheduleapr[[#This Row],[CTL Bucket]],stock[Plant],"0789")</f>
        <v/>
      </c>
      <c r="AO229" s="599" t="n"/>
      <c r="AP229" s="599">
        <f>SUMIFS(stock[MT],stock[Bucket],scheduleapr[[#This Row],[Bucket]],stock[LL or CTL],"LL")</f>
        <v/>
      </c>
      <c r="AQ229" s="599">
        <f>+SUMIFS(wip[Stock(Net Wt)],wip[Bucket],scheduleapr[[#This Row],[Bucket]])/1000</f>
        <v/>
      </c>
      <c r="AR229" s="599">
        <f>AJ229-AN229</f>
        <v/>
      </c>
      <c r="AS229" s="118" t="n"/>
    </row>
    <row r="230">
      <c r="A230" s="594" t="n">
        <v>119</v>
      </c>
      <c r="B230" s="5" t="inlineStr">
        <is>
          <t>Hosur</t>
        </is>
      </c>
      <c r="C230" s="601" t="inlineStr">
        <is>
          <t>Marathwada</t>
        </is>
      </c>
      <c r="D230" s="601" t="inlineStr">
        <is>
          <t>Marathwada</t>
        </is>
      </c>
      <c r="E230" s="596" t="n">
        <v>189002</v>
      </c>
      <c r="F230" s="477" t="n">
        <v>4095224</v>
      </c>
      <c r="G230" s="601">
        <f>_xlfn.CONCAT(scheduleapr[[#This Row],[CUSTOMER CODE]],"-",scheduleapr[[#This Row],[MATERIAL NO]])</f>
        <v/>
      </c>
      <c r="H230" s="601" t="inlineStr">
        <is>
          <t>CUT-O-N-AUT-AW-PE-22.23X2.310X0.2950</t>
        </is>
      </c>
      <c r="I230" s="601" t="inlineStr">
        <is>
          <t>ERW 1</t>
        </is>
      </c>
      <c r="J230" s="601" t="n"/>
      <c r="K230" s="601" t="inlineStr">
        <is>
          <t>PE</t>
        </is>
      </c>
      <c r="L230" s="601" t="inlineStr">
        <is>
          <t>HR</t>
        </is>
      </c>
      <c r="M230" s="601" t="n"/>
      <c r="N230" s="601" t="n"/>
      <c r="O230" s="601" t="n"/>
      <c r="P230" s="601" t="n"/>
      <c r="Q230" s="557">
        <f>CONCATENATE(scheduleapr[[#This Row],[OD]],"-",scheduleapr[[#This Row],[ID]],"-",scheduleapr[[#This Row],[TICKNESS]],"-",scheduleapr[[#This Row],[Grade]],"-",scheduleapr[[#This Row],[FC/NFC]])</f>
        <v/>
      </c>
      <c r="R230" s="557">
        <f>_xlfn.CONCAT(scheduleapr[[#This Row],[Bucket]],"-",scheduleapr[[#This Row],[LENGTH]]/1000)</f>
        <v/>
      </c>
      <c r="S230" s="557">
        <f>COUNTIF(scheduleapr[CTL Bucket],scheduleapr[[#This Row],[CTL Bucket]])</f>
        <v/>
      </c>
      <c r="T230" s="601" t="n"/>
      <c r="U230" s="601" t="n"/>
      <c r="V230" s="601" t="n"/>
      <c r="W230" s="601" t="n"/>
      <c r="X230" s="599" t="n">
        <v>22.23</v>
      </c>
      <c r="Y230" s="599" t="n">
        <v>22.23</v>
      </c>
      <c r="Z230" s="599" t="n">
        <v>0</v>
      </c>
      <c r="AA230" s="599" t="n">
        <v>2.3</v>
      </c>
      <c r="AB230" s="600" t="n">
        <v>295</v>
      </c>
      <c r="AC230" s="600" t="inlineStr">
        <is>
          <t>NOS</t>
        </is>
      </c>
      <c r="AD230" s="600" t="n"/>
      <c r="AE230" s="600" t="n"/>
      <c r="AF230" s="601" t="n"/>
      <c r="AG230" s="601" t="n"/>
      <c r="AH230" s="601">
        <f t="array" ref="AH2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0" s="602">
        <f>scheduleapr[[#This Row],[SCHEDULE in nos]]-scheduleapr[[#This Row],[DISPATCH]]</f>
        <v/>
      </c>
      <c r="AJ230" s="599">
        <f>(3.14*(scheduleapr[[#This Row],[ACTUAL OD]]-scheduleapr[[#This Row],[TICKNESS]])*scheduleapr[[#This Row],[TICKNESS]]*scheduleapr[[#This Row],[LENGTH]]*7.85)/1000000*scheduleapr[[#This Row],[SCHEDULE in nos]]/1000</f>
        <v/>
      </c>
      <c r="AK230" s="599">
        <f>(3.14*(scheduleapr[[#This Row],[ACTUAL OD]]-scheduleapr[[#This Row],[TICKNESS]])*scheduleapr[[#This Row],[TICKNESS]]*scheduleapr[[#This Row],[LENGTH]]*7.85)/1000000*scheduleapr[[#This Row],[DISPATCH]]/1000</f>
        <v/>
      </c>
      <c r="AL230" s="599">
        <f>AJ230-AK230</f>
        <v/>
      </c>
      <c r="AM230" s="599">
        <f>scheduleapr[[#This Row],[SCHEDULE in nos]]/scheduleapr[[#This Row],[SCHEDULE IN MT]]*scheduleapr[[#This Row],[CTL Stock]]</f>
        <v/>
      </c>
      <c r="AN230" s="599">
        <f>SUMIFS(stock[MT],stock[Bucket],scheduleapr[[#This Row],[Bucket]],stock[CTL Bucket],scheduleapr[[#This Row],[CTL Bucket]],stock[Plant],"0789")</f>
        <v/>
      </c>
      <c r="AO230" s="599" t="n"/>
      <c r="AP230" s="599">
        <f>SUMIFS(stock[MT],stock[Bucket],scheduleapr[[#This Row],[Bucket]],stock[LL or CTL],"LL")</f>
        <v/>
      </c>
      <c r="AQ230" s="599">
        <f>+SUMIFS(wip[Stock(Net Wt)],wip[Bucket],scheduleapr[[#This Row],[Bucket]])/1000</f>
        <v/>
      </c>
      <c r="AR230" s="599">
        <f>AJ230-AN230</f>
        <v/>
      </c>
      <c r="AS230" s="118" t="n"/>
    </row>
    <row r="231">
      <c r="A231" s="594" t="n">
        <v>128</v>
      </c>
      <c r="B231" s="5" t="inlineStr">
        <is>
          <t>Hosur</t>
        </is>
      </c>
      <c r="C231" s="601" t="inlineStr">
        <is>
          <t>Marathwada</t>
        </is>
      </c>
      <c r="D231" s="601" t="inlineStr">
        <is>
          <t>Marathwada</t>
        </is>
      </c>
      <c r="E231" s="596" t="n">
        <v>189002</v>
      </c>
      <c r="F231" s="477" t="n">
        <v>2426142</v>
      </c>
      <c r="G231" s="601">
        <f>_xlfn.CONCAT(scheduleapr[[#This Row],[CUSTOMER CODE]],"-",scheduleapr[[#This Row],[MATERIAL NO]])</f>
        <v/>
      </c>
      <c r="H231" s="601" t="inlineStr">
        <is>
          <t>TUB-O-N-AUT-AW-PE-25.40X1.200X2.5500</t>
        </is>
      </c>
      <c r="I231" s="557" t="inlineStr">
        <is>
          <t>ERW 1</t>
        </is>
      </c>
      <c r="J231" s="557" t="n"/>
      <c r="K231" s="601" t="inlineStr">
        <is>
          <t>PE</t>
        </is>
      </c>
      <c r="L231" s="601" t="inlineStr">
        <is>
          <t>CR</t>
        </is>
      </c>
      <c r="M231" s="558" t="n"/>
      <c r="N231" s="557" t="n"/>
      <c r="O231" s="557" t="n"/>
      <c r="P231" s="557" t="n"/>
      <c r="Q231" s="557">
        <f>CONCATENATE(scheduleapr[[#This Row],[OD]],"-",scheduleapr[[#This Row],[ID]],"-",scheduleapr[[#This Row],[TICKNESS]],"-",scheduleapr[[#This Row],[Grade]],"-",scheduleapr[[#This Row],[FC/NFC]])</f>
        <v/>
      </c>
      <c r="R231" s="557">
        <f>_xlfn.CONCAT(scheduleapr[[#This Row],[Bucket]],"-",scheduleapr[[#This Row],[LENGTH]]/1000)</f>
        <v/>
      </c>
      <c r="S231" s="557">
        <f>COUNTIF(scheduleapr[CTL Bucket],scheduleapr[[#This Row],[CTL Bucket]])</f>
        <v/>
      </c>
      <c r="T231" s="601" t="n"/>
      <c r="U231" s="601">
        <f>_xlfn.IFNA(VLOOKUP(scheduleapr[[#This Row],[Bucket]],salesforecast[[#All],[Bucket2]:[8406 Stock]],19,0),0)</f>
        <v/>
      </c>
      <c r="V231" s="562">
        <f>_xlfn.IFNA(VLOOKUP(scheduleapr[[#This Row],[Bucket]],salesforecast[[#All],[Bucket2]:[8406 Stock]],20,0),0)+_xlfn.IFNA(VLOOKUP(scheduleapr[[#This Row],[Bucket]],salesforecast[[#All],[Bucket2]:[8406 Stock]],17,0),0)</f>
        <v/>
      </c>
      <c r="W231" s="601" t="n"/>
      <c r="X231" s="559" t="n">
        <v>25.4</v>
      </c>
      <c r="Y231" s="559" t="n">
        <v>25.4</v>
      </c>
      <c r="Z231" s="559" t="n">
        <v>0</v>
      </c>
      <c r="AA231" s="599" t="n">
        <v>1.2</v>
      </c>
      <c r="AB231" s="600" t="n">
        <v>2550</v>
      </c>
      <c r="AC231" s="600" t="inlineStr">
        <is>
          <t>NOS</t>
        </is>
      </c>
      <c r="AD231" s="600" t="n"/>
      <c r="AE231" s="600" t="n"/>
      <c r="AF231" s="557" t="n">
        <v>3000</v>
      </c>
      <c r="AG231" s="557" t="n"/>
      <c r="AH231" s="601">
        <f t="array" ref="AH2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1" s="602">
        <f>scheduleapr[[#This Row],[SCHEDULE in nos]]-scheduleapr[[#This Row],[DISPATCH]]</f>
        <v/>
      </c>
      <c r="AJ231" s="559">
        <f>(3.14*(scheduleapr[[#This Row],[ACTUAL OD]]-scheduleapr[[#This Row],[TICKNESS]])*scheduleapr[[#This Row],[TICKNESS]]*scheduleapr[[#This Row],[LENGTH]]*7.85)/1000000*scheduleapr[[#This Row],[SCHEDULE in nos]]/1000</f>
        <v/>
      </c>
      <c r="AK231" s="599">
        <f>(3.14*(scheduleapr[[#This Row],[ACTUAL OD]]-scheduleapr[[#This Row],[TICKNESS]])*scheduleapr[[#This Row],[TICKNESS]]*scheduleapr[[#This Row],[LENGTH]]*7.85)/1000000*scheduleapr[[#This Row],[DISPATCH]]/1000</f>
        <v/>
      </c>
      <c r="AL231" s="599">
        <f>AJ231-AK231</f>
        <v/>
      </c>
      <c r="AM231" s="559">
        <f>scheduleapr[[#This Row],[SCHEDULE in nos]]/scheduleapr[[#This Row],[SCHEDULE IN MT]]*scheduleapr[[#This Row],[CTL Stock]]</f>
        <v/>
      </c>
      <c r="AN231" s="599">
        <f>SUMIFS(stock[MT],stock[Bucket],scheduleapr[[#This Row],[Bucket]],stock[CTL Bucket],scheduleapr[[#This Row],[CTL Bucket]],stock[Plant],"0789")</f>
        <v/>
      </c>
      <c r="AO231" s="599" t="n"/>
      <c r="AP231" s="599">
        <f>SUMIFS(stock[MT],stock[Bucket],scheduleapr[[#This Row],[Bucket]],stock[LL or CTL],"LL")</f>
        <v/>
      </c>
      <c r="AQ231" s="599">
        <f>+SUMIFS(wip[Stock(Net Wt)],wip[Bucket],scheduleapr[[#This Row],[Bucket]])/1000</f>
        <v/>
      </c>
      <c r="AR231" s="599">
        <f>AJ231-AN231</f>
        <v/>
      </c>
      <c r="AS231" s="118" t="n"/>
    </row>
    <row r="232">
      <c r="A232" s="594" t="n">
        <v>127</v>
      </c>
      <c r="B232" s="5" t="inlineStr">
        <is>
          <t>Hosur</t>
        </is>
      </c>
      <c r="C232" s="601" t="inlineStr">
        <is>
          <t>Marathwada</t>
        </is>
      </c>
      <c r="D232" s="601" t="inlineStr">
        <is>
          <t>Marathwada</t>
        </is>
      </c>
      <c r="E232" s="596" t="n">
        <v>189002</v>
      </c>
      <c r="F232" s="477" t="n">
        <v>3672610</v>
      </c>
      <c r="G232" s="601">
        <f>_xlfn.CONCAT(scheduleapr[[#This Row],[CUSTOMER CODE]],"-",scheduleapr[[#This Row],[MATERIAL NO]])</f>
        <v/>
      </c>
      <c r="H232" s="601" t="inlineStr">
        <is>
          <t>TUB-O-N-AUT-AW-PE-25.40X1.200X2.5850</t>
        </is>
      </c>
      <c r="I232" s="557" t="inlineStr">
        <is>
          <t>ERW 1</t>
        </is>
      </c>
      <c r="J232" s="557" t="n"/>
      <c r="K232" s="601" t="inlineStr">
        <is>
          <t>PE</t>
        </is>
      </c>
      <c r="L232" s="601" t="inlineStr">
        <is>
          <t>CR</t>
        </is>
      </c>
      <c r="M232" s="558" t="n"/>
      <c r="N232" s="557" t="n"/>
      <c r="O232" s="557" t="n"/>
      <c r="P232" s="557" t="n"/>
      <c r="Q232" s="557">
        <f>CONCATENATE(scheduleapr[[#This Row],[OD]],"-",scheduleapr[[#This Row],[ID]],"-",scheduleapr[[#This Row],[TICKNESS]],"-",scheduleapr[[#This Row],[Grade]],"-",scheduleapr[[#This Row],[FC/NFC]])</f>
        <v/>
      </c>
      <c r="R232" s="557">
        <f>_xlfn.CONCAT(scheduleapr[[#This Row],[Bucket]],"-",scheduleapr[[#This Row],[LENGTH]]/1000)</f>
        <v/>
      </c>
      <c r="S232" s="557">
        <f>COUNTIF(scheduleapr[CTL Bucket],scheduleapr[[#This Row],[CTL Bucket]])</f>
        <v/>
      </c>
      <c r="T232" s="601" t="n"/>
      <c r="U232" s="601">
        <f>_xlfn.IFNA(VLOOKUP(scheduleapr[[#This Row],[Bucket]],salesforecast[[#All],[Bucket2]:[8406 Stock]],19,0),0)</f>
        <v/>
      </c>
      <c r="V232" s="562">
        <f>_xlfn.IFNA(VLOOKUP(scheduleapr[[#This Row],[Bucket]],salesforecast[[#All],[Bucket2]:[8406 Stock]],20,0),0)+_xlfn.IFNA(VLOOKUP(scheduleapr[[#This Row],[Bucket]],salesforecast[[#All],[Bucket2]:[8406 Stock]],17,0),0)</f>
        <v/>
      </c>
      <c r="W232" s="601" t="n"/>
      <c r="X232" s="559" t="n">
        <v>25.4</v>
      </c>
      <c r="Y232" s="559" t="n">
        <v>25.4</v>
      </c>
      <c r="Z232" s="559" t="n">
        <v>0</v>
      </c>
      <c r="AA232" s="599" t="n">
        <v>1.2</v>
      </c>
      <c r="AB232" s="600" t="n">
        <v>2585</v>
      </c>
      <c r="AC232" s="600" t="inlineStr">
        <is>
          <t>NOS</t>
        </is>
      </c>
      <c r="AD232" s="600" t="n"/>
      <c r="AE232" s="600" t="n"/>
      <c r="AF232" s="557" t="n">
        <v>2000</v>
      </c>
      <c r="AG232" s="557" t="n"/>
      <c r="AH232" s="601">
        <f t="array" ref="AH2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2" s="602">
        <f>scheduleapr[[#This Row],[SCHEDULE in nos]]-scheduleapr[[#This Row],[DISPATCH]]</f>
        <v/>
      </c>
      <c r="AJ232" s="559">
        <f>(3.14*(scheduleapr[[#This Row],[ACTUAL OD]]-scheduleapr[[#This Row],[TICKNESS]])*scheduleapr[[#This Row],[TICKNESS]]*scheduleapr[[#This Row],[LENGTH]]*7.85)/1000000*scheduleapr[[#This Row],[SCHEDULE in nos]]/1000</f>
        <v/>
      </c>
      <c r="AK232" s="599">
        <f>(3.14*(scheduleapr[[#This Row],[ACTUAL OD]]-scheduleapr[[#This Row],[TICKNESS]])*scheduleapr[[#This Row],[TICKNESS]]*scheduleapr[[#This Row],[LENGTH]]*7.85)/1000000*scheduleapr[[#This Row],[DISPATCH]]/1000</f>
        <v/>
      </c>
      <c r="AL232" s="599">
        <f>AJ232-AK232</f>
        <v/>
      </c>
      <c r="AM232" s="559">
        <f>scheduleapr[[#This Row],[SCHEDULE in nos]]/scheduleapr[[#This Row],[SCHEDULE IN MT]]*scheduleapr[[#This Row],[CTL Stock]]</f>
        <v/>
      </c>
      <c r="AN232" s="599">
        <f>SUMIFS(stock[MT],stock[Bucket],scheduleapr[[#This Row],[Bucket]],stock[CTL Bucket],scheduleapr[[#This Row],[CTL Bucket]],stock[Plant],"0789")</f>
        <v/>
      </c>
      <c r="AO232" s="599" t="n"/>
      <c r="AP232" s="599">
        <f>SUMIFS(stock[MT],stock[Bucket],scheduleapr[[#This Row],[Bucket]],stock[LL or CTL],"LL")</f>
        <v/>
      </c>
      <c r="AQ232" s="599">
        <f>+SUMIFS(wip[Stock(Net Wt)],wip[Bucket],scheduleapr[[#This Row],[Bucket]])/1000</f>
        <v/>
      </c>
      <c r="AR232" s="599">
        <f>AJ232-AN232</f>
        <v/>
      </c>
      <c r="AS232" s="118" t="n"/>
    </row>
    <row r="233">
      <c r="A233" s="594" t="n">
        <v>125</v>
      </c>
      <c r="B233" s="5" t="inlineStr">
        <is>
          <t>Hosur</t>
        </is>
      </c>
      <c r="C233" s="601" t="inlineStr">
        <is>
          <t>Marathwada</t>
        </is>
      </c>
      <c r="D233" s="601" t="inlineStr">
        <is>
          <t>Marathwada</t>
        </is>
      </c>
      <c r="E233" s="596" t="n">
        <v>189002</v>
      </c>
      <c r="F233" s="576" t="n">
        <v>3673031</v>
      </c>
      <c r="G233" s="601">
        <f>_xlfn.CONCAT(scheduleapr[[#This Row],[CUSTOMER CODE]],"-",scheduleapr[[#This Row],[MATERIAL NO]])</f>
        <v/>
      </c>
      <c r="H233" s="48" t="inlineStr">
        <is>
          <t>TUB-O-N-AUT-AW-PE-25.40X1.630X2.5800</t>
        </is>
      </c>
      <c r="I233" s="557" t="inlineStr">
        <is>
          <t>ERW 1</t>
        </is>
      </c>
      <c r="J233" s="557" t="n"/>
      <c r="K233" s="601" t="inlineStr">
        <is>
          <t>PE</t>
        </is>
      </c>
      <c r="L233" s="601" t="inlineStr">
        <is>
          <t>CR</t>
        </is>
      </c>
      <c r="M233" s="558" t="n"/>
      <c r="N233" s="557" t="n"/>
      <c r="O233" s="557" t="n"/>
      <c r="P233" s="557" t="n"/>
      <c r="Q233" s="557">
        <f>CONCATENATE(scheduleapr[[#This Row],[OD]],"-",scheduleapr[[#This Row],[ID]],"-",scheduleapr[[#This Row],[TICKNESS]],"-",scheduleapr[[#This Row],[Grade]],"-",scheduleapr[[#This Row],[FC/NFC]])</f>
        <v/>
      </c>
      <c r="R233" s="557">
        <f>_xlfn.CONCAT(scheduleapr[[#This Row],[Bucket]],"-",scheduleapr[[#This Row],[LENGTH]]/1000)</f>
        <v/>
      </c>
      <c r="S233" s="557">
        <f>COUNTIF(scheduleapr[CTL Bucket],scheduleapr[[#This Row],[CTL Bucket]])</f>
        <v/>
      </c>
      <c r="T233" s="601" t="n"/>
      <c r="U233" s="601">
        <f>_xlfn.IFNA(VLOOKUP(scheduleapr[[#This Row],[Bucket]],salesforecast[[#All],[Bucket2]:[8406 Stock]],19,0),0)</f>
        <v/>
      </c>
      <c r="V233" s="562">
        <f>_xlfn.IFNA(VLOOKUP(scheduleapr[[#This Row],[Bucket]],salesforecast[[#All],[Bucket2]:[8406 Stock]],20,0),0)+_xlfn.IFNA(VLOOKUP(scheduleapr[[#This Row],[Bucket]],salesforecast[[#All],[Bucket2]:[8406 Stock]],17,0),0)</f>
        <v/>
      </c>
      <c r="W233" s="601" t="n"/>
      <c r="X233" s="559" t="n">
        <v>25.4</v>
      </c>
      <c r="Y233" s="559" t="n">
        <v>25.4</v>
      </c>
      <c r="Z233" s="559" t="n">
        <v>0</v>
      </c>
      <c r="AA233" s="599" t="n">
        <v>1.6</v>
      </c>
      <c r="AB233" s="600" t="n">
        <v>2580</v>
      </c>
      <c r="AC233" s="600" t="inlineStr">
        <is>
          <t>NOS</t>
        </is>
      </c>
      <c r="AD233" s="600" t="n"/>
      <c r="AE233" s="600" t="n"/>
      <c r="AF233" s="557" t="n">
        <v>2000</v>
      </c>
      <c r="AG233" s="557" t="n"/>
      <c r="AH233" s="601">
        <f t="array" ref="AH2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3" s="602">
        <f>scheduleapr[[#This Row],[SCHEDULE in nos]]-scheduleapr[[#This Row],[DISPATCH]]</f>
        <v/>
      </c>
      <c r="AJ233" s="559">
        <f>(3.14*(scheduleapr[[#This Row],[ACTUAL OD]]-scheduleapr[[#This Row],[TICKNESS]])*scheduleapr[[#This Row],[TICKNESS]]*scheduleapr[[#This Row],[LENGTH]]*7.85)/1000000*scheduleapr[[#This Row],[SCHEDULE in nos]]/1000</f>
        <v/>
      </c>
      <c r="AK233" s="599">
        <f>(3.14*(scheduleapr[[#This Row],[ACTUAL OD]]-scheduleapr[[#This Row],[TICKNESS]])*scheduleapr[[#This Row],[TICKNESS]]*scheduleapr[[#This Row],[LENGTH]]*7.85)/1000000*scheduleapr[[#This Row],[DISPATCH]]/1000</f>
        <v/>
      </c>
      <c r="AL233" s="599">
        <f>AJ233-AK233</f>
        <v/>
      </c>
      <c r="AM233" s="559">
        <f>scheduleapr[[#This Row],[SCHEDULE in nos]]/scheduleapr[[#This Row],[SCHEDULE IN MT]]*scheduleapr[[#This Row],[CTL Stock]]</f>
        <v/>
      </c>
      <c r="AN233" s="599">
        <f>SUMIFS(stock[MT],stock[Bucket],scheduleapr[[#This Row],[Bucket]],stock[CTL Bucket],scheduleapr[[#This Row],[CTL Bucket]],stock[Plant],"0789")</f>
        <v/>
      </c>
      <c r="AO233" s="599" t="n"/>
      <c r="AP233" s="599">
        <f>SUMIFS(stock[MT],stock[Bucket],scheduleapr[[#This Row],[Bucket]],stock[LL or CTL],"LL")</f>
        <v/>
      </c>
      <c r="AQ233" s="599">
        <f>+SUMIFS(wip[Stock(Net Wt)],wip[Bucket],scheduleapr[[#This Row],[Bucket]])/1000</f>
        <v/>
      </c>
      <c r="AR233" s="599">
        <f>AJ233-AN233</f>
        <v/>
      </c>
      <c r="AS233" s="118" t="n"/>
    </row>
    <row r="234">
      <c r="A234" s="594" t="n">
        <v>147</v>
      </c>
      <c r="B234" s="5" t="inlineStr">
        <is>
          <t xml:space="preserve">Khopoli </t>
        </is>
      </c>
      <c r="C234" s="601" t="inlineStr">
        <is>
          <t>Marathwada</t>
        </is>
      </c>
      <c r="D234" s="601" t="inlineStr">
        <is>
          <t>Marathwada</t>
        </is>
      </c>
      <c r="E234" s="601" t="n">
        <v>189002</v>
      </c>
      <c r="F234" s="601" t="n"/>
      <c r="G234" s="601">
        <f>_xlfn.CONCAT(scheduleapr[[#This Row],[CUSTOMER CODE]],"-",scheduleapr[[#This Row],[MATERIAL NO]])</f>
        <v/>
      </c>
      <c r="H234" s="48" t="n"/>
      <c r="I234" s="601" t="inlineStr">
        <is>
          <t>ERW 1</t>
        </is>
      </c>
      <c r="J234" s="601" t="n"/>
      <c r="K234" s="601" t="inlineStr">
        <is>
          <t>FC</t>
        </is>
      </c>
      <c r="L234" s="601" t="inlineStr">
        <is>
          <t>HR</t>
        </is>
      </c>
      <c r="M234" s="601" t="n"/>
      <c r="N234" s="601" t="n"/>
      <c r="O234" s="601" t="n"/>
      <c r="P234" s="601" t="n"/>
      <c r="Q234" s="557">
        <f>CONCATENATE(scheduleapr[[#This Row],[OD]],"-",scheduleapr[[#This Row],[ID]],"-",scheduleapr[[#This Row],[TICKNESS]],"-",scheduleapr[[#This Row],[Grade]],"-",scheduleapr[[#This Row],[FC/NFC]])</f>
        <v/>
      </c>
      <c r="R234" s="557">
        <f>_xlfn.CONCAT(scheduleapr[[#This Row],[Bucket]],"-",scheduleapr[[#This Row],[LENGTH]]/1000)</f>
        <v/>
      </c>
      <c r="S234" s="557">
        <f>COUNTIF(scheduleapr[CTL Bucket],scheduleapr[[#This Row],[CTL Bucket]])</f>
        <v/>
      </c>
      <c r="T234" s="601" t="n"/>
      <c r="U234" s="601">
        <f>_xlfn.IFNA(VLOOKUP(scheduleapr[[#This Row],[Bucket]],salesforecast[[#All],[Bucket2]:[8406 Stock]],19,0),0)</f>
        <v/>
      </c>
      <c r="V234" s="562">
        <f>_xlfn.IFNA(VLOOKUP(scheduleapr[[#This Row],[Bucket]],salesforecast[[#All],[Bucket2]:[8406 Stock]],20,0),0)+_xlfn.IFNA(VLOOKUP(scheduleapr[[#This Row],[Bucket]],salesforecast[[#All],[Bucket2]:[8406 Stock]],17,0),0)</f>
        <v/>
      </c>
      <c r="W234" s="601" t="n"/>
      <c r="X234" s="599" t="n">
        <v>25.4</v>
      </c>
      <c r="Y234" s="599" t="n">
        <v>25.4</v>
      </c>
      <c r="Z234" s="599" t="n">
        <v>0</v>
      </c>
      <c r="AA234" s="599" t="n">
        <v>2</v>
      </c>
      <c r="AB234" s="600" t="n">
        <v>290</v>
      </c>
      <c r="AC234" s="600" t="inlineStr">
        <is>
          <t>NOS</t>
        </is>
      </c>
      <c r="AD234" s="600" t="n"/>
      <c r="AE234" s="600" t="n"/>
      <c r="AF234" s="601" t="n">
        <v>20000</v>
      </c>
      <c r="AG234" s="601" t="n"/>
      <c r="AH234" s="601">
        <f t="array" ref="AH2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4" s="602">
        <f>scheduleapr[[#This Row],[SCHEDULE in nos]]-scheduleapr[[#This Row],[DISPATCH]]</f>
        <v/>
      </c>
      <c r="AJ234" s="599">
        <f>(3.14*(scheduleapr[[#This Row],[ACTUAL OD]]-scheduleapr[[#This Row],[TICKNESS]])*scheduleapr[[#This Row],[TICKNESS]]*scheduleapr[[#This Row],[LENGTH]]*7.85)/1000000*scheduleapr[[#This Row],[SCHEDULE in nos]]/1000</f>
        <v/>
      </c>
      <c r="AK234" s="599">
        <f>(3.14*(scheduleapr[[#This Row],[ACTUAL OD]]-scheduleapr[[#This Row],[TICKNESS]])*scheduleapr[[#This Row],[TICKNESS]]*scheduleapr[[#This Row],[LENGTH]]*7.85)/1000000*scheduleapr[[#This Row],[DISPATCH]]/1000</f>
        <v/>
      </c>
      <c r="AL234" s="599">
        <f>AJ234-AK234</f>
        <v/>
      </c>
      <c r="AM234" s="599">
        <f>scheduleapr[[#This Row],[SCHEDULE in nos]]/scheduleapr[[#This Row],[SCHEDULE IN MT]]*scheduleapr[[#This Row],[CTL Stock]]</f>
        <v/>
      </c>
      <c r="AN234" s="599">
        <f>SUMIFS(stock[MT],stock[Bucket],scheduleapr[[#This Row],[Bucket]],stock[CTL Bucket],scheduleapr[[#This Row],[CTL Bucket]],stock[Plant],"0789")</f>
        <v/>
      </c>
      <c r="AO234" s="599" t="n"/>
      <c r="AP234" s="599">
        <f>SUMIFS(stock[MT],stock[Bucket],scheduleapr[[#This Row],[Bucket]],stock[LL or CTL],"LL")</f>
        <v/>
      </c>
      <c r="AQ234" s="599">
        <f>+SUMIFS(wip[Stock(Net Wt)],wip[Bucket],scheduleapr[[#This Row],[Bucket]])/1000</f>
        <v/>
      </c>
      <c r="AR234" s="599">
        <f>AJ234-AN234</f>
        <v/>
      </c>
      <c r="AS234" s="118" t="n"/>
    </row>
    <row r="235">
      <c r="A235" s="594" t="n">
        <v>157</v>
      </c>
      <c r="B235" s="5" t="inlineStr">
        <is>
          <t xml:space="preserve">Khopoli </t>
        </is>
      </c>
      <c r="C235" s="601" t="inlineStr">
        <is>
          <t>Marathwada</t>
        </is>
      </c>
      <c r="D235" s="601" t="inlineStr">
        <is>
          <t>Marathwada</t>
        </is>
      </c>
      <c r="E235" s="601" t="n">
        <v>189002</v>
      </c>
      <c r="F235" s="601" t="n">
        <v>3784540</v>
      </c>
      <c r="G235" s="601">
        <f>_xlfn.CONCAT(scheduleapr[[#This Row],[CUSTOMER CODE]],"-",scheduleapr[[#This Row],[MATERIAL NO]])</f>
        <v/>
      </c>
      <c r="H235" s="601" t="inlineStr">
        <is>
          <t>PT3-O-N-AUT-AW-FC-38.10X3.660X0.2010</t>
        </is>
      </c>
      <c r="I235" s="601" t="inlineStr">
        <is>
          <t>ERW 1</t>
        </is>
      </c>
      <c r="J235" s="601" t="n"/>
      <c r="K235" s="601" t="inlineStr">
        <is>
          <t>FC</t>
        </is>
      </c>
      <c r="L235" s="601" t="inlineStr">
        <is>
          <t>HR</t>
        </is>
      </c>
      <c r="M235" s="601" t="n"/>
      <c r="N235" s="601" t="n"/>
      <c r="O235" s="601" t="n"/>
      <c r="P235" s="601" t="n"/>
      <c r="Q235" s="557">
        <f>CONCATENATE(scheduleapr[[#This Row],[OD]],"-",scheduleapr[[#This Row],[ID]],"-",scheduleapr[[#This Row],[TICKNESS]],"-",scheduleapr[[#This Row],[Grade]],"-",scheduleapr[[#This Row],[FC/NFC]])</f>
        <v/>
      </c>
      <c r="R235" s="557">
        <f>_xlfn.CONCAT(scheduleapr[[#This Row],[Bucket]],"-",scheduleapr[[#This Row],[LENGTH]]/1000)</f>
        <v/>
      </c>
      <c r="S235" s="557">
        <f>COUNTIF(scheduleapr[CTL Bucket],scheduleapr[[#This Row],[CTL Bucket]])</f>
        <v/>
      </c>
      <c r="T235" s="601" t="inlineStr">
        <is>
          <t>Khopoli</t>
        </is>
      </c>
      <c r="U235" s="601" t="n"/>
      <c r="V235" s="557" t="n"/>
      <c r="W235" s="557" t="n"/>
      <c r="X235" s="599" t="n">
        <v>38.1</v>
      </c>
      <c r="Y235" s="599" t="n">
        <v>38.1</v>
      </c>
      <c r="Z235" s="599" t="n">
        <v>0</v>
      </c>
      <c r="AA235" s="599" t="n">
        <v>3.66</v>
      </c>
      <c r="AB235" s="600" t="n">
        <v>201</v>
      </c>
      <c r="AC235" s="600" t="inlineStr">
        <is>
          <t>NOS</t>
        </is>
      </c>
      <c r="AD235" s="600" t="n"/>
      <c r="AE235" s="600" t="n"/>
      <c r="AF235" s="601" t="n"/>
      <c r="AG235" s="601" t="n"/>
      <c r="AH235" s="601">
        <f t="array" ref="AH2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5" s="602">
        <f>scheduleapr[[#This Row],[SCHEDULE in nos]]-scheduleapr[[#This Row],[DISPATCH]]</f>
        <v/>
      </c>
      <c r="AJ235" s="599">
        <f>(3.14*(scheduleapr[[#This Row],[ACTUAL OD]]-scheduleapr[[#This Row],[TICKNESS]])*scheduleapr[[#This Row],[TICKNESS]]*scheduleapr[[#This Row],[LENGTH]]*7.85)/1000000*scheduleapr[[#This Row],[SCHEDULE in nos]]/1000</f>
        <v/>
      </c>
      <c r="AK235" s="599">
        <f>(3.14*(scheduleapr[[#This Row],[ACTUAL OD]]-scheduleapr[[#This Row],[TICKNESS]])*scheduleapr[[#This Row],[TICKNESS]]*scheduleapr[[#This Row],[LENGTH]]*7.85)/1000000*scheduleapr[[#This Row],[DISPATCH]]/1000</f>
        <v/>
      </c>
      <c r="AL235" s="599">
        <f>AJ235-AK235</f>
        <v/>
      </c>
      <c r="AM235" s="599">
        <f>scheduleapr[[#This Row],[SCHEDULE in nos]]/scheduleapr[[#This Row],[SCHEDULE IN MT]]*scheduleapr[[#This Row],[CTL Stock]]</f>
        <v/>
      </c>
      <c r="AN235" s="599">
        <f>SUMIFS(stock[MT],stock[Bucket],scheduleapr[[#This Row],[Bucket]],stock[CTL Bucket],scheduleapr[[#This Row],[CTL Bucket]],stock[Plant],"0789")</f>
        <v/>
      </c>
      <c r="AO235" s="599" t="n"/>
      <c r="AP235" s="599">
        <f>SUMIFS(stock[MT],stock[Bucket],scheduleapr[[#This Row],[Bucket]],stock[LL or CTL],"LL")</f>
        <v/>
      </c>
      <c r="AQ235" s="599">
        <f>+SUMIFS(wip[Stock(Net Wt)],wip[Bucket],scheduleapr[[#This Row],[Bucket]])/1000</f>
        <v/>
      </c>
      <c r="AR235" s="599">
        <f>AJ235-AN235</f>
        <v/>
      </c>
      <c r="AS235" s="118" t="n"/>
    </row>
    <row r="236">
      <c r="A236" s="594" t="n">
        <v>121</v>
      </c>
      <c r="B236" s="5" t="inlineStr">
        <is>
          <t>Hosur</t>
        </is>
      </c>
      <c r="C236" s="601" t="inlineStr">
        <is>
          <t>Marathwada</t>
        </is>
      </c>
      <c r="D236" s="601" t="inlineStr">
        <is>
          <t>Marathwada</t>
        </is>
      </c>
      <c r="E236" s="596" t="n">
        <v>189002</v>
      </c>
      <c r="F236" s="477" t="n">
        <v>4100177</v>
      </c>
      <c r="G236" s="601">
        <f>_xlfn.CONCAT(scheduleapr[[#This Row],[CUSTOMER CODE]],"-",scheduleapr[[#This Row],[MATERIAL NO]])</f>
        <v/>
      </c>
      <c r="H236" s="601" t="inlineStr">
        <is>
          <t>TUB-R-AW-AUT-40.00X20.00X1.600X0.3560</t>
        </is>
      </c>
      <c r="I236" s="601" t="inlineStr">
        <is>
          <t>ERW 1</t>
        </is>
      </c>
      <c r="J236" s="557" t="n"/>
      <c r="K236" s="601" t="inlineStr">
        <is>
          <t>FC</t>
        </is>
      </c>
      <c r="L236" s="601" t="inlineStr">
        <is>
          <t>HR</t>
        </is>
      </c>
      <c r="M236" s="601" t="inlineStr">
        <is>
          <t>GR1</t>
        </is>
      </c>
      <c r="N236" s="557" t="n"/>
      <c r="O236" s="557" t="n"/>
      <c r="P236" s="557" t="n"/>
      <c r="Q236" s="557">
        <f>CONCATENATE(scheduleapr[[#This Row],[OD]],"-",scheduleapr[[#This Row],[ID]],"-",scheduleapr[[#This Row],[TICKNESS]],"-",scheduleapr[[#This Row],[Grade]],"-",scheduleapr[[#This Row],[FC/NFC]])</f>
        <v/>
      </c>
      <c r="R236" s="557">
        <f>_xlfn.CONCAT(scheduleapr[[#This Row],[Bucket]],"-",scheduleapr[[#This Row],[LENGTH]]/1000)</f>
        <v/>
      </c>
      <c r="S236" s="557">
        <f>COUNTIF(scheduleapr[CTL Bucket],scheduleapr[[#This Row],[CTL Bucket]])</f>
        <v/>
      </c>
      <c r="T236" s="601" t="n"/>
      <c r="U236" s="601">
        <f>_xlfn.IFNA(VLOOKUP(scheduleapr[[#This Row],[Bucket]],salesforecast[[#All],[Bucket2]:[8406 Stock]],19,0),0)</f>
        <v/>
      </c>
      <c r="V236" s="562">
        <f>_xlfn.IFNA(VLOOKUP(scheduleapr[[#This Row],[Bucket]],salesforecast[[#All],[Bucket2]:[8406 Stock]],20,0),0)+_xlfn.IFNA(VLOOKUP(scheduleapr[[#This Row],[Bucket]],salesforecast[[#All],[Bucket2]:[8406 Stock]],17,0),0)</f>
        <v/>
      </c>
      <c r="W236" s="601" t="n"/>
      <c r="X236" s="559" t="n">
        <v>38.1</v>
      </c>
      <c r="Y236" s="559" t="n">
        <v>40</v>
      </c>
      <c r="Z236" s="559" t="n">
        <v>20</v>
      </c>
      <c r="AA236" s="599" t="n">
        <v>1.6</v>
      </c>
      <c r="AB236" s="600" t="n">
        <v>356</v>
      </c>
      <c r="AC236" s="600" t="inlineStr">
        <is>
          <t>NOS</t>
        </is>
      </c>
      <c r="AD236" s="600" t="n"/>
      <c r="AE236" s="600" t="n"/>
      <c r="AF236" s="557" t="n">
        <v>18000</v>
      </c>
      <c r="AG236" s="557" t="n"/>
      <c r="AH236" s="601">
        <f t="array" ref="AH2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6" s="602">
        <f>scheduleapr[[#This Row],[SCHEDULE in nos]]-scheduleapr[[#This Row],[DISPATCH]]</f>
        <v/>
      </c>
      <c r="AJ236" s="559">
        <f>(3.14*(scheduleapr[[#This Row],[ACTUAL OD]]-scheduleapr[[#This Row],[TICKNESS]])*scheduleapr[[#This Row],[TICKNESS]]*scheduleapr[[#This Row],[LENGTH]]*7.85)/1000000*scheduleapr[[#This Row],[SCHEDULE in nos]]/1000</f>
        <v/>
      </c>
      <c r="AK236" s="599">
        <f>(3.14*(scheduleapr[[#This Row],[ACTUAL OD]]-scheduleapr[[#This Row],[TICKNESS]])*scheduleapr[[#This Row],[TICKNESS]]*scheduleapr[[#This Row],[LENGTH]]*7.85)/1000000*scheduleapr[[#This Row],[DISPATCH]]/1000</f>
        <v/>
      </c>
      <c r="AL236" s="599">
        <f>AJ236-AK236</f>
        <v/>
      </c>
      <c r="AM236" s="559">
        <f>scheduleapr[[#This Row],[SCHEDULE in nos]]/scheduleapr[[#This Row],[SCHEDULE IN MT]]*scheduleapr[[#This Row],[CTL Stock]]</f>
        <v/>
      </c>
      <c r="AN236" s="599">
        <f>SUMIFS(stock[MT],stock[Bucket],scheduleapr[[#This Row],[Bucket]],stock[CTL Bucket],scheduleapr[[#This Row],[CTL Bucket]],stock[Plant],"0789")</f>
        <v/>
      </c>
      <c r="AO236" s="599" t="n"/>
      <c r="AP236" s="599">
        <f>SUMIFS(stock[MT],stock[Bucket],scheduleapr[[#This Row],[Bucket]],stock[LL or CTL],"LL")</f>
        <v/>
      </c>
      <c r="AQ236" s="599">
        <f>+SUMIFS(wip[Stock(Net Wt)],wip[Bucket],scheduleapr[[#This Row],[Bucket]])/1000</f>
        <v/>
      </c>
      <c r="AR236" s="599">
        <f>AJ236-AN236</f>
        <v/>
      </c>
      <c r="AS236" s="118" t="n"/>
    </row>
    <row r="237">
      <c r="A237" s="594" t="n">
        <v>120</v>
      </c>
      <c r="B237" s="5" t="inlineStr">
        <is>
          <t>Hosur</t>
        </is>
      </c>
      <c r="C237" s="601" t="inlineStr">
        <is>
          <t>Marathwada</t>
        </is>
      </c>
      <c r="D237" s="601" t="inlineStr">
        <is>
          <t>Marathwada</t>
        </is>
      </c>
      <c r="E237" s="596" t="n">
        <v>189002</v>
      </c>
      <c r="F237" s="477" t="n">
        <v>3652441</v>
      </c>
      <c r="G237" s="601">
        <f>_xlfn.CONCAT(scheduleapr[[#This Row],[CUSTOMER CODE]],"-",scheduleapr[[#This Row],[MATERIAL NO]])</f>
        <v/>
      </c>
      <c r="H237" s="601" t="inlineStr">
        <is>
          <t>TUB-S-FH-RHS-40.00X20.00X1.600X6.0000</t>
        </is>
      </c>
      <c r="I237" s="601" t="inlineStr">
        <is>
          <t>ERW 1</t>
        </is>
      </c>
      <c r="J237" s="557" t="n"/>
      <c r="K237" s="601" t="inlineStr">
        <is>
          <t>FC</t>
        </is>
      </c>
      <c r="L237" s="601" t="inlineStr">
        <is>
          <t>HR</t>
        </is>
      </c>
      <c r="M237" s="601" t="inlineStr">
        <is>
          <t>GR1</t>
        </is>
      </c>
      <c r="N237" s="557" t="n"/>
      <c r="O237" s="557" t="n"/>
      <c r="P237" s="557" t="n"/>
      <c r="Q237" s="557">
        <f>CONCATENATE(scheduleapr[[#This Row],[OD]],"-",scheduleapr[[#This Row],[ID]],"-",scheduleapr[[#This Row],[TICKNESS]],"-",scheduleapr[[#This Row],[Grade]],"-",scheduleapr[[#This Row],[FC/NFC]])</f>
        <v/>
      </c>
      <c r="R237" s="557">
        <f>_xlfn.CONCAT(scheduleapr[[#This Row],[Bucket]],"-",scheduleapr[[#This Row],[LENGTH]]/1000)</f>
        <v/>
      </c>
      <c r="S237" s="557">
        <f>COUNTIF(scheduleapr[CTL Bucket],scheduleapr[[#This Row],[CTL Bucket]])</f>
        <v/>
      </c>
      <c r="T237" s="601" t="n"/>
      <c r="U237" s="601" t="n"/>
      <c r="V237" s="601" t="n"/>
      <c r="W237" s="601" t="n"/>
      <c r="X237" s="559" t="n">
        <v>38.1</v>
      </c>
      <c r="Y237" s="559" t="n">
        <v>40</v>
      </c>
      <c r="Z237" s="559" t="n">
        <v>20</v>
      </c>
      <c r="AA237" s="599" t="n">
        <v>1.6</v>
      </c>
      <c r="AB237" s="600" t="n">
        <v>1000</v>
      </c>
      <c r="AC237" s="600" t="inlineStr">
        <is>
          <t>M</t>
        </is>
      </c>
      <c r="AD237" s="600" t="n"/>
      <c r="AE237" s="600" t="n"/>
      <c r="AF237" s="557" t="n"/>
      <c r="AG237" s="557" t="n"/>
      <c r="AH237" s="601">
        <f t="array" ref="AH2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7" s="602">
        <f>scheduleapr[[#This Row],[SCHEDULE in nos]]-scheduleapr[[#This Row],[DISPATCH]]</f>
        <v/>
      </c>
      <c r="AJ237" s="559">
        <f>(3.14*(scheduleapr[[#This Row],[ACTUAL OD]]-scheduleapr[[#This Row],[TICKNESS]])*scheduleapr[[#This Row],[TICKNESS]]*scheduleapr[[#This Row],[LENGTH]]*7.85)/1000000*scheduleapr[[#This Row],[SCHEDULE in nos]]/1000</f>
        <v/>
      </c>
      <c r="AK237" s="599">
        <f>(3.14*(scheduleapr[[#This Row],[ACTUAL OD]]-scheduleapr[[#This Row],[TICKNESS]])*scheduleapr[[#This Row],[TICKNESS]]*scheduleapr[[#This Row],[LENGTH]]*7.85)/1000000*scheduleapr[[#This Row],[DISPATCH]]/1000</f>
        <v/>
      </c>
      <c r="AL237" s="599">
        <f>AJ237-AK237</f>
        <v/>
      </c>
      <c r="AM237" s="559">
        <f>scheduleapr[[#This Row],[SCHEDULE in nos]]/scheduleapr[[#This Row],[SCHEDULE IN MT]]*scheduleapr[[#This Row],[CTL Stock]]</f>
        <v/>
      </c>
      <c r="AN237" s="599">
        <f>SUMIFS(stock[MT],stock[Bucket],scheduleapr[[#This Row],[Bucket]],stock[CTL Bucket],scheduleapr[[#This Row],[CTL Bucket]],stock[Plant],"0789")</f>
        <v/>
      </c>
      <c r="AO237" s="599" t="n"/>
      <c r="AP237" s="599">
        <f>SUMIFS(stock[MT],stock[Bucket],scheduleapr[[#This Row],[Bucket]],stock[LL or CTL],"LL")</f>
        <v/>
      </c>
      <c r="AQ237" s="599">
        <f>+SUMIFS(wip[Stock(Net Wt)],wip[Bucket],scheduleapr[[#This Row],[Bucket]])/1000</f>
        <v/>
      </c>
      <c r="AR237" s="599">
        <f>AJ237-AN237</f>
        <v/>
      </c>
      <c r="AS237" s="118" t="n"/>
    </row>
    <row r="238">
      <c r="A238" s="594" t="n">
        <v>168</v>
      </c>
      <c r="B238" s="5" t="inlineStr">
        <is>
          <t>Hosur</t>
        </is>
      </c>
      <c r="C238" s="601" t="inlineStr">
        <is>
          <t>Marathwada</t>
        </is>
      </c>
      <c r="D238" s="601" t="inlineStr">
        <is>
          <t>Marathwada</t>
        </is>
      </c>
      <c r="E238" s="601" t="n">
        <v>189002</v>
      </c>
      <c r="F238" s="601" t="n">
        <v>3438761</v>
      </c>
      <c r="G238" s="601">
        <f>_xlfn.CONCAT(scheduleapr[[#This Row],[CUSTOMER CODE]],"-",scheduleapr[[#This Row],[MATERIAL NO]])</f>
        <v/>
      </c>
      <c r="H238" s="601" t="inlineStr">
        <is>
          <t>TUB-R-AW-AUT-40.00X25.00X1.600X0.5140</t>
        </is>
      </c>
      <c r="I238" s="601" t="inlineStr">
        <is>
          <t>ERW 1</t>
        </is>
      </c>
      <c r="J238" s="601" t="n"/>
      <c r="K238" s="601" t="inlineStr">
        <is>
          <t>FC</t>
        </is>
      </c>
      <c r="L238" s="601" t="inlineStr">
        <is>
          <t>CR</t>
        </is>
      </c>
      <c r="M238" s="596" t="inlineStr">
        <is>
          <t>HROP</t>
        </is>
      </c>
      <c r="N238" s="601" t="n"/>
      <c r="O238" s="601" t="n"/>
      <c r="P238" s="601" t="n"/>
      <c r="Q238" s="557">
        <f>CONCATENATE(scheduleapr[[#This Row],[OD]],"-",scheduleapr[[#This Row],[ID]],"-",scheduleapr[[#This Row],[TICKNESS]],"-",scheduleapr[[#This Row],[Grade]],"-",scheduleapr[[#This Row],[FC/NFC]])</f>
        <v/>
      </c>
      <c r="R238" s="557">
        <f>_xlfn.CONCAT(scheduleapr[[#This Row],[Bucket]],"-",scheduleapr[[#This Row],[LENGTH]]/1000)</f>
        <v/>
      </c>
      <c r="S238" s="557">
        <f>COUNTIF(scheduleapr[CTL Bucket],scheduleapr[[#This Row],[CTL Bucket]])</f>
        <v/>
      </c>
      <c r="T238" s="601" t="inlineStr">
        <is>
          <t>Hosur</t>
        </is>
      </c>
      <c r="U238" s="601">
        <f>_xlfn.IFNA(VLOOKUP(scheduleapr[[#This Row],[Bucket]],salesforecast[[#All],[Bucket2]:[8406 Stock]],19,0),0)</f>
        <v/>
      </c>
      <c r="V238" s="562">
        <f>_xlfn.IFNA(VLOOKUP(scheduleapr[[#This Row],[Bucket]],salesforecast[[#All],[Bucket2]:[8406 Stock]],20,0),0)+_xlfn.IFNA(VLOOKUP(scheduleapr[[#This Row],[Bucket]],salesforecast[[#All],[Bucket2]:[8406 Stock]],17,0),0)</f>
        <v/>
      </c>
      <c r="W238" s="557" t="n"/>
      <c r="X238" s="599" t="n">
        <v>41.28</v>
      </c>
      <c r="Y238" s="599" t="n">
        <v>40</v>
      </c>
      <c r="Z238" s="599" t="n">
        <v>25</v>
      </c>
      <c r="AA238" s="599" t="n">
        <v>1.6</v>
      </c>
      <c r="AB238" s="600" t="n">
        <v>514</v>
      </c>
      <c r="AC238" s="600" t="inlineStr">
        <is>
          <t>NOS</t>
        </is>
      </c>
      <c r="AD238" s="600" t="n"/>
      <c r="AE238" s="600" t="n"/>
      <c r="AF238" s="601" t="n">
        <v>6000</v>
      </c>
      <c r="AG238" s="601" t="n"/>
      <c r="AH238" s="601">
        <f t="array" ref="AH2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8" s="602">
        <f>scheduleapr[[#This Row],[SCHEDULE in nos]]-scheduleapr[[#This Row],[DISPATCH]]</f>
        <v/>
      </c>
      <c r="AJ238" s="599">
        <f>(3.14*(scheduleapr[[#This Row],[ACTUAL OD]]-scheduleapr[[#This Row],[TICKNESS]])*scheduleapr[[#This Row],[TICKNESS]]*scheduleapr[[#This Row],[LENGTH]]*7.85)/1000000*scheduleapr[[#This Row],[SCHEDULE in nos]]/1000</f>
        <v/>
      </c>
      <c r="AK238" s="599">
        <f>(3.14*(scheduleapr[[#This Row],[ACTUAL OD]]-scheduleapr[[#This Row],[TICKNESS]])*scheduleapr[[#This Row],[TICKNESS]]*scheduleapr[[#This Row],[LENGTH]]*7.85)/1000000*scheduleapr[[#This Row],[DISPATCH]]/1000</f>
        <v/>
      </c>
      <c r="AL238" s="599">
        <f>AJ238-AK238</f>
        <v/>
      </c>
      <c r="AM238" s="599">
        <f>scheduleapr[[#This Row],[SCHEDULE in nos]]/scheduleapr[[#This Row],[SCHEDULE IN MT]]*scheduleapr[[#This Row],[CTL Stock]]</f>
        <v/>
      </c>
      <c r="AN238" s="599">
        <f>SUMIFS(stock[MT],stock[Bucket],scheduleapr[[#This Row],[Bucket]],stock[CTL Bucket],scheduleapr[[#This Row],[CTL Bucket]],stock[Plant],"0789")</f>
        <v/>
      </c>
      <c r="AO238" s="599" t="n"/>
      <c r="AP238" s="599">
        <f>SUMIFS(stock[MT],stock[Bucket],scheduleapr[[#This Row],[Bucket]],stock[LL or CTL],"LL")</f>
        <v/>
      </c>
      <c r="AQ238" s="599">
        <f>+SUMIFS(wip[Stock(Net Wt)],wip[Bucket],scheduleapr[[#This Row],[Bucket]])/1000</f>
        <v/>
      </c>
      <c r="AR238" s="599">
        <f>AJ238-AN238</f>
        <v/>
      </c>
      <c r="AS238" s="118" t="n"/>
    </row>
    <row r="239">
      <c r="A239" s="594" t="n">
        <v>169</v>
      </c>
      <c r="B239" s="5" t="inlineStr">
        <is>
          <t>Hosur</t>
        </is>
      </c>
      <c r="C239" s="601" t="inlineStr">
        <is>
          <t>Marathwada</t>
        </is>
      </c>
      <c r="D239" s="601" t="inlineStr">
        <is>
          <t>Marathwada</t>
        </is>
      </c>
      <c r="E239" s="601" t="n">
        <v>189002</v>
      </c>
      <c r="F239" s="601" t="n">
        <v>3786201</v>
      </c>
      <c r="G239" s="601">
        <f>_xlfn.CONCAT(scheduleapr[[#This Row],[CUSTOMER CODE]],"-",scheduleapr[[#This Row],[MATERIAL NO]])</f>
        <v/>
      </c>
      <c r="H239" s="601" t="inlineStr">
        <is>
          <t>TUB-R-AW-RHS-40.00X25.00X1.600X0.5380</t>
        </is>
      </c>
      <c r="I239" s="601" t="inlineStr">
        <is>
          <t>ERW 1</t>
        </is>
      </c>
      <c r="J239" s="601" t="n"/>
      <c r="K239" s="601" t="inlineStr">
        <is>
          <t>FC</t>
        </is>
      </c>
      <c r="L239" s="601" t="inlineStr">
        <is>
          <t>CR</t>
        </is>
      </c>
      <c r="M239" s="596" t="inlineStr">
        <is>
          <t>KGR2</t>
        </is>
      </c>
      <c r="N239" s="601" t="n"/>
      <c r="O239" s="601" t="n"/>
      <c r="P239" s="601" t="n"/>
      <c r="Q239" s="557">
        <f>CONCATENATE(scheduleapr[[#This Row],[OD]],"-",scheduleapr[[#This Row],[ID]],"-",scheduleapr[[#This Row],[TICKNESS]],"-",scheduleapr[[#This Row],[Grade]],"-",scheduleapr[[#This Row],[FC/NFC]])</f>
        <v/>
      </c>
      <c r="R239" s="557">
        <f>_xlfn.CONCAT(scheduleapr[[#This Row],[Bucket]],"-",scheduleapr[[#This Row],[LENGTH]]/1000)</f>
        <v/>
      </c>
      <c r="S239" s="557">
        <f>COUNTIF(scheduleapr[CTL Bucket],scheduleapr[[#This Row],[CTL Bucket]])</f>
        <v/>
      </c>
      <c r="T239" s="601" t="inlineStr">
        <is>
          <t>Hosur</t>
        </is>
      </c>
      <c r="U239" s="601">
        <f>_xlfn.IFNA(VLOOKUP(scheduleapr[[#This Row],[Bucket]],salesforecast[[#All],[Bucket2]:[8406 Stock]],19,0),0)</f>
        <v/>
      </c>
      <c r="V239" s="562">
        <f>_xlfn.IFNA(VLOOKUP(scheduleapr[[#This Row],[Bucket]],salesforecast[[#All],[Bucket2]:[8406 Stock]],20,0),0)+_xlfn.IFNA(VLOOKUP(scheduleapr[[#This Row],[Bucket]],salesforecast[[#All],[Bucket2]:[8406 Stock]],17,0),0)</f>
        <v/>
      </c>
      <c r="W239" s="557" t="n"/>
      <c r="X239" s="599" t="n">
        <v>41.28</v>
      </c>
      <c r="Y239" s="599" t="n">
        <v>40</v>
      </c>
      <c r="Z239" s="599" t="n">
        <v>25</v>
      </c>
      <c r="AA239" s="599" t="n">
        <v>1.6</v>
      </c>
      <c r="AB239" s="600" t="n">
        <v>538</v>
      </c>
      <c r="AC239" s="600" t="inlineStr">
        <is>
          <t>NOS</t>
        </is>
      </c>
      <c r="AD239" s="600" t="n"/>
      <c r="AE239" s="600" t="n"/>
      <c r="AF239" s="601" t="n">
        <v>12000</v>
      </c>
      <c r="AG239" s="601" t="n"/>
      <c r="AH239" s="601">
        <f t="array" ref="AH2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39" s="602">
        <f>scheduleapr[[#This Row],[SCHEDULE in nos]]-scheduleapr[[#This Row],[DISPATCH]]</f>
        <v/>
      </c>
      <c r="AJ239" s="599">
        <f>(3.14*(scheduleapr[[#This Row],[ACTUAL OD]]-scheduleapr[[#This Row],[TICKNESS]])*scheduleapr[[#This Row],[TICKNESS]]*scheduleapr[[#This Row],[LENGTH]]*7.85)/1000000*scheduleapr[[#This Row],[SCHEDULE in nos]]/1000</f>
        <v/>
      </c>
      <c r="AK239" s="599">
        <f>(3.14*(scheduleapr[[#This Row],[ACTUAL OD]]-scheduleapr[[#This Row],[TICKNESS]])*scheduleapr[[#This Row],[TICKNESS]]*scheduleapr[[#This Row],[LENGTH]]*7.85)/1000000*scheduleapr[[#This Row],[DISPATCH]]/1000</f>
        <v/>
      </c>
      <c r="AL239" s="599">
        <f>AJ239-AK239</f>
        <v/>
      </c>
      <c r="AM239" s="599">
        <f>scheduleapr[[#This Row],[SCHEDULE in nos]]/scheduleapr[[#This Row],[SCHEDULE IN MT]]*scheduleapr[[#This Row],[CTL Stock]]</f>
        <v/>
      </c>
      <c r="AN239" s="599">
        <f>SUMIFS(stock[MT],stock[Bucket],scheduleapr[[#This Row],[Bucket]],stock[CTL Bucket],scheduleapr[[#This Row],[CTL Bucket]],stock[Plant],"0789")</f>
        <v/>
      </c>
      <c r="AO239" s="599" t="n"/>
      <c r="AP239" s="599">
        <f>SUMIFS(stock[MT],stock[Bucket],scheduleapr[[#This Row],[Bucket]],stock[LL or CTL],"LL")</f>
        <v/>
      </c>
      <c r="AQ239" s="599">
        <f>+SUMIFS(wip[Stock(Net Wt)],wip[Bucket],scheduleapr[[#This Row],[Bucket]])/1000</f>
        <v/>
      </c>
      <c r="AR239" s="599">
        <f>AJ239-AN239</f>
        <v/>
      </c>
      <c r="AS239" s="118" t="n"/>
    </row>
    <row r="240">
      <c r="A240" s="594" t="n">
        <v>170</v>
      </c>
      <c r="B240" s="5" t="inlineStr">
        <is>
          <t>Hosur</t>
        </is>
      </c>
      <c r="C240" s="601" t="inlineStr">
        <is>
          <t>Marathwada</t>
        </is>
      </c>
      <c r="D240" s="601" t="inlineStr">
        <is>
          <t>Marathwada</t>
        </is>
      </c>
      <c r="E240" s="601" t="n">
        <v>189002</v>
      </c>
      <c r="F240" s="601" t="n">
        <v>3786202</v>
      </c>
      <c r="G240" s="601">
        <f>_xlfn.CONCAT(scheduleapr[[#This Row],[CUSTOMER CODE]],"-",scheduleapr[[#This Row],[MATERIAL NO]])</f>
        <v/>
      </c>
      <c r="H240" s="601" t="inlineStr">
        <is>
          <t>TUB-R-AW-RHS-40.00X25.00X1.600X0.5870</t>
        </is>
      </c>
      <c r="I240" s="601" t="inlineStr">
        <is>
          <t>ERW 1</t>
        </is>
      </c>
      <c r="J240" s="601" t="n"/>
      <c r="K240" s="601" t="inlineStr">
        <is>
          <t>FC</t>
        </is>
      </c>
      <c r="L240" s="601" t="inlineStr">
        <is>
          <t>CR</t>
        </is>
      </c>
      <c r="M240" s="596" t="inlineStr">
        <is>
          <t>KGR2</t>
        </is>
      </c>
      <c r="N240" s="601" t="n"/>
      <c r="O240" s="601" t="n"/>
      <c r="P240" s="601" t="n"/>
      <c r="Q240" s="557">
        <f>CONCATENATE(scheduleapr[[#This Row],[OD]],"-",scheduleapr[[#This Row],[ID]],"-",scheduleapr[[#This Row],[TICKNESS]],"-",scheduleapr[[#This Row],[Grade]],"-",scheduleapr[[#This Row],[FC/NFC]])</f>
        <v/>
      </c>
      <c r="R240" s="557">
        <f>_xlfn.CONCAT(scheduleapr[[#This Row],[Bucket]],"-",scheduleapr[[#This Row],[LENGTH]]/1000)</f>
        <v/>
      </c>
      <c r="S240" s="557">
        <f>COUNTIF(scheduleapr[CTL Bucket],scheduleapr[[#This Row],[CTL Bucket]])</f>
        <v/>
      </c>
      <c r="T240" s="601" t="inlineStr">
        <is>
          <t>Hosur</t>
        </is>
      </c>
      <c r="U240" s="601">
        <f>_xlfn.IFNA(VLOOKUP(scheduleapr[[#This Row],[Bucket]],salesforecast[[#All],[Bucket2]:[8406 Stock]],19,0),0)</f>
        <v/>
      </c>
      <c r="V240" s="562">
        <f>_xlfn.IFNA(VLOOKUP(scheduleapr[[#This Row],[Bucket]],salesforecast[[#All],[Bucket2]:[8406 Stock]],20,0),0)+_xlfn.IFNA(VLOOKUP(scheduleapr[[#This Row],[Bucket]],salesforecast[[#All],[Bucket2]:[8406 Stock]],17,0),0)</f>
        <v/>
      </c>
      <c r="W240" s="557" t="n"/>
      <c r="X240" s="599" t="n">
        <v>41.28</v>
      </c>
      <c r="Y240" s="599" t="n">
        <v>40</v>
      </c>
      <c r="Z240" s="599" t="n">
        <v>25</v>
      </c>
      <c r="AA240" s="599" t="n">
        <v>1.6</v>
      </c>
      <c r="AB240" s="600" t="n">
        <v>587</v>
      </c>
      <c r="AC240" s="600" t="inlineStr">
        <is>
          <t>NOS</t>
        </is>
      </c>
      <c r="AD240" s="600" t="n"/>
      <c r="AE240" s="600" t="n"/>
      <c r="AF240" s="601" t="n">
        <v>8000</v>
      </c>
      <c r="AG240" s="601" t="n"/>
      <c r="AH240" s="601">
        <f t="array" ref="AH2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0" s="602">
        <f>scheduleapr[[#This Row],[SCHEDULE in nos]]-scheduleapr[[#This Row],[DISPATCH]]</f>
        <v/>
      </c>
      <c r="AJ240" s="599">
        <f>(3.14*(scheduleapr[[#This Row],[ACTUAL OD]]-scheduleapr[[#This Row],[TICKNESS]])*scheduleapr[[#This Row],[TICKNESS]]*scheduleapr[[#This Row],[LENGTH]]*7.85)/1000000*scheduleapr[[#This Row],[SCHEDULE in nos]]/1000</f>
        <v/>
      </c>
      <c r="AK240" s="599">
        <f>(3.14*(scheduleapr[[#This Row],[ACTUAL OD]]-scheduleapr[[#This Row],[TICKNESS]])*scheduleapr[[#This Row],[TICKNESS]]*scheduleapr[[#This Row],[LENGTH]]*7.85)/1000000*scheduleapr[[#This Row],[DISPATCH]]/1000</f>
        <v/>
      </c>
      <c r="AL240" s="599">
        <f>AJ240-AK240</f>
        <v/>
      </c>
      <c r="AM240" s="599">
        <f>scheduleapr[[#This Row],[SCHEDULE in nos]]/scheduleapr[[#This Row],[SCHEDULE IN MT]]*scheduleapr[[#This Row],[CTL Stock]]</f>
        <v/>
      </c>
      <c r="AN240" s="599">
        <f>SUMIFS(stock[MT],stock[Bucket],scheduleapr[[#This Row],[Bucket]],stock[CTL Bucket],scheduleapr[[#This Row],[CTL Bucket]],stock[Plant],"0789")</f>
        <v/>
      </c>
      <c r="AO240" s="599" t="n"/>
      <c r="AP240" s="599">
        <f>SUMIFS(stock[MT],stock[Bucket],scheduleapr[[#This Row],[Bucket]],stock[LL or CTL],"LL")</f>
        <v/>
      </c>
      <c r="AQ240" s="599">
        <f>+SUMIFS(wip[Stock(Net Wt)],wip[Bucket],scheduleapr[[#This Row],[Bucket]])/1000</f>
        <v/>
      </c>
      <c r="AR240" s="599">
        <f>AJ240-AN240</f>
        <v/>
      </c>
      <c r="AS240" s="118" t="n"/>
    </row>
    <row r="241">
      <c r="A241" s="594" t="n">
        <v>171</v>
      </c>
      <c r="B241" s="5" t="inlineStr">
        <is>
          <t>Hosur</t>
        </is>
      </c>
      <c r="C241" s="601" t="inlineStr">
        <is>
          <t>Marathwada</t>
        </is>
      </c>
      <c r="D241" s="601" t="inlineStr">
        <is>
          <t>Marathwada</t>
        </is>
      </c>
      <c r="E241" s="601" t="n">
        <v>189002</v>
      </c>
      <c r="F241" s="601" t="n">
        <v>1940840</v>
      </c>
      <c r="G241" s="601">
        <f>_xlfn.CONCAT(scheduleapr[[#This Row],[CUSTOMER CODE]],"-",scheduleapr[[#This Row],[MATERIAL NO]])</f>
        <v/>
      </c>
      <c r="H241" s="601" t="inlineStr">
        <is>
          <t>TUB-R-AW-RHS-40.00X30.00X2.000X6.0000</t>
        </is>
      </c>
      <c r="I241" s="601" t="inlineStr">
        <is>
          <t>ERW 1</t>
        </is>
      </c>
      <c r="J241" s="601" t="n"/>
      <c r="K241" s="601" t="inlineStr">
        <is>
          <t>FC</t>
        </is>
      </c>
      <c r="L241" s="601" t="inlineStr">
        <is>
          <t>HR</t>
        </is>
      </c>
      <c r="M241" s="601" t="n"/>
      <c r="N241" s="601" t="n"/>
      <c r="O241" s="601" t="n"/>
      <c r="P241" s="601" t="n"/>
      <c r="Q241" s="557">
        <f>CONCATENATE(scheduleapr[[#This Row],[OD]],"-",scheduleapr[[#This Row],[ID]],"-",scheduleapr[[#This Row],[TICKNESS]],"-",scheduleapr[[#This Row],[Grade]],"-",scheduleapr[[#This Row],[FC/NFC]])</f>
        <v/>
      </c>
      <c r="R241" s="557">
        <f>_xlfn.CONCAT(scheduleapr[[#This Row],[Bucket]],"-",scheduleapr[[#This Row],[LENGTH]]/1000)</f>
        <v/>
      </c>
      <c r="S241" s="557">
        <f>COUNTIF(scheduleapr[CTL Bucket],scheduleapr[[#This Row],[CTL Bucket]])</f>
        <v/>
      </c>
      <c r="T241" s="601" t="inlineStr">
        <is>
          <t>Hosur</t>
        </is>
      </c>
      <c r="U241" s="601" t="n"/>
      <c r="V241" s="557" t="n"/>
      <c r="W241" s="557" t="n"/>
      <c r="X241" s="599" t="n">
        <v>44.45</v>
      </c>
      <c r="Y241" s="599" t="n">
        <v>40</v>
      </c>
      <c r="Z241" s="599" t="n">
        <v>30</v>
      </c>
      <c r="AA241" s="599" t="n">
        <v>2</v>
      </c>
      <c r="AB241" s="600" t="n">
        <v>1000</v>
      </c>
      <c r="AC241" s="600" t="inlineStr">
        <is>
          <t>M</t>
        </is>
      </c>
      <c r="AD241" s="600" t="n"/>
      <c r="AE241" s="600" t="n"/>
      <c r="AF241" s="601" t="n"/>
      <c r="AG241" s="601" t="n"/>
      <c r="AH241" s="601">
        <f t="array" ref="AH2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1" s="602">
        <f>scheduleapr[[#This Row],[SCHEDULE in nos]]-scheduleapr[[#This Row],[DISPATCH]]</f>
        <v/>
      </c>
      <c r="AJ241" s="599">
        <f>(3.14*(scheduleapr[[#This Row],[ACTUAL OD]]-scheduleapr[[#This Row],[TICKNESS]])*scheduleapr[[#This Row],[TICKNESS]]*scheduleapr[[#This Row],[LENGTH]]*7.85)/1000000*scheduleapr[[#This Row],[SCHEDULE in nos]]/1000</f>
        <v/>
      </c>
      <c r="AK241" s="599">
        <f>(3.14*(scheduleapr[[#This Row],[ACTUAL OD]]-scheduleapr[[#This Row],[TICKNESS]])*scheduleapr[[#This Row],[TICKNESS]]*scheduleapr[[#This Row],[LENGTH]]*7.85)/1000000*scheduleapr[[#This Row],[DISPATCH]]/1000</f>
        <v/>
      </c>
      <c r="AL241" s="599">
        <f>AJ241-AK241</f>
        <v/>
      </c>
      <c r="AM241" s="599">
        <f>scheduleapr[[#This Row],[SCHEDULE in nos]]/scheduleapr[[#This Row],[SCHEDULE IN MT]]*scheduleapr[[#This Row],[CTL Stock]]</f>
        <v/>
      </c>
      <c r="AN241" s="599">
        <f>SUMIFS(stock[MT],stock[Bucket],scheduleapr[[#This Row],[Bucket]],stock[CTL Bucket],scheduleapr[[#This Row],[CTL Bucket]],stock[Plant],"0789")</f>
        <v/>
      </c>
      <c r="AO241" s="599" t="n"/>
      <c r="AP241" s="599">
        <f>SUMIFS(stock[MT],stock[Bucket],scheduleapr[[#This Row],[Bucket]],stock[LL or CTL],"LL")</f>
        <v/>
      </c>
      <c r="AQ241" s="599">
        <f>+SUMIFS(wip[Stock(Net Wt)],wip[Bucket],scheduleapr[[#This Row],[Bucket]])/1000</f>
        <v/>
      </c>
      <c r="AR241" s="599">
        <f>AJ241-AN241</f>
        <v/>
      </c>
      <c r="AS241" s="118" t="n"/>
    </row>
    <row r="242">
      <c r="A242" s="594" t="n">
        <v>173</v>
      </c>
      <c r="B242" s="5" t="inlineStr">
        <is>
          <t xml:space="preserve">Khopoli </t>
        </is>
      </c>
      <c r="C242" s="601" t="inlineStr">
        <is>
          <t>Metalman</t>
        </is>
      </c>
      <c r="D242" s="601" t="inlineStr">
        <is>
          <t>Metalman</t>
        </is>
      </c>
      <c r="E242" s="601" t="n">
        <v>188647</v>
      </c>
      <c r="F242" s="601" t="n">
        <v>2363145</v>
      </c>
      <c r="G242" s="601">
        <f>_xlfn.CONCAT(scheduleapr[[#This Row],[CUSTOMER CODE]],"-",scheduleapr[[#This Row],[MATERIAL NO]])</f>
        <v/>
      </c>
      <c r="H242" s="601" t="inlineStr">
        <is>
          <t>TUB-O-C-AUT-AN-FC-14.00X2.450X5.0000</t>
        </is>
      </c>
      <c r="I242" s="601" t="inlineStr">
        <is>
          <t>CEW</t>
        </is>
      </c>
      <c r="J242" s="601" t="n"/>
      <c r="K242" s="601" t="n"/>
      <c r="L242" s="601" t="inlineStr">
        <is>
          <t>HR</t>
        </is>
      </c>
      <c r="M242" s="601" t="n"/>
      <c r="N242" s="601" t="n"/>
      <c r="O242" s="601" t="n"/>
      <c r="P242" s="601" t="n"/>
      <c r="Q242" s="557">
        <f>CONCATENATE(scheduleapr[[#This Row],[OD]],"-",scheduleapr[[#This Row],[ID]],"-",scheduleapr[[#This Row],[TICKNESS]],"-",scheduleapr[[#This Row],[Grade]],"-",scheduleapr[[#This Row],[FC/NFC]])</f>
        <v/>
      </c>
      <c r="R242" s="557">
        <f>_xlfn.CONCAT(scheduleapr[[#This Row],[Bucket]],"-",scheduleapr[[#This Row],[LENGTH]]/1000)</f>
        <v/>
      </c>
      <c r="S242" s="557">
        <f>COUNTIF([2]!buckets[CTL Bucket],[2]!scheduleapr[[#This Row],[CTL Bucket]])</f>
        <v/>
      </c>
      <c r="T242" s="557" t="n"/>
      <c r="U242" s="557" t="n"/>
      <c r="V242" s="557" t="n"/>
      <c r="W242" s="557" t="n"/>
      <c r="X242" s="599" t="n">
        <v>14</v>
      </c>
      <c r="Y242" s="599" t="n">
        <v>14</v>
      </c>
      <c r="Z242" s="599" t="n">
        <v>9.1</v>
      </c>
      <c r="AA242" s="599" t="n">
        <v>2.45</v>
      </c>
      <c r="AB242" s="600" t="n">
        <v>5000</v>
      </c>
      <c r="AC242" s="600" t="n"/>
      <c r="AD242" s="600" t="n"/>
      <c r="AE242" s="600" t="n"/>
      <c r="AF242" s="601" t="n"/>
      <c r="AG242" s="601" t="n"/>
      <c r="AH242" s="601">
        <f t="array" ref="AH2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2" s="602">
        <f>scheduleapr[[#This Row],[SCHEDULE in nos]]-scheduleapr[[#This Row],[DISPATCH]]</f>
        <v/>
      </c>
      <c r="AJ242" s="599">
        <f>(3.14*(scheduleapr[[#This Row],[ACTUAL OD]]-scheduleapr[[#This Row],[TICKNESS]])*scheduleapr[[#This Row],[TICKNESS]]*scheduleapr[[#This Row],[LENGTH]]*7.85)/1000000*scheduleapr[[#This Row],[SCHEDULE in nos]]/1000</f>
        <v/>
      </c>
      <c r="AK242" s="599">
        <f>(3.14*(scheduleapr[[#This Row],[ACTUAL OD]]-scheduleapr[[#This Row],[TICKNESS]])*scheduleapr[[#This Row],[TICKNESS]]*scheduleapr[[#This Row],[LENGTH]]*7.85)/1000000*scheduleapr[[#This Row],[DISPATCH]]/1000</f>
        <v/>
      </c>
      <c r="AL242" s="599">
        <f>AJ242-AK242</f>
        <v/>
      </c>
      <c r="AM242" s="599">
        <f>scheduleapr[[#This Row],[SCHEDULE in nos]]/scheduleapr[[#This Row],[SCHEDULE IN MT]]*scheduleapr[[#This Row],[CTL Stock]]</f>
        <v/>
      </c>
      <c r="AN242" s="599">
        <f>SUMIFS(stock[MT],stock[Bucket],scheduleapr[[#This Row],[Bucket]],stock[CTL Bucket],scheduleapr[[#This Row],[CTL Bucket]],stock[Plant],"0789")</f>
        <v/>
      </c>
      <c r="AO242" s="599" t="n"/>
      <c r="AP242" s="599">
        <f>SUMIFS(stock[MT],stock[Bucket],scheduleapr[[#This Row],[Bucket]],stock[LL or CTL],"LL")</f>
        <v/>
      </c>
      <c r="AQ242" s="599">
        <f>+SUMIFS(wip[Stock(Net Wt)],wip[Bucket],scheduleapr[[#This Row],[Bucket]])/1000</f>
        <v/>
      </c>
      <c r="AR242" s="599">
        <f>AJ242-AN242</f>
        <v/>
      </c>
      <c r="AS242" s="118" t="n"/>
    </row>
    <row r="243">
      <c r="A243" s="594" t="n">
        <v>174</v>
      </c>
      <c r="B243" s="5" t="inlineStr">
        <is>
          <t xml:space="preserve">Khopoli </t>
        </is>
      </c>
      <c r="C243" s="601" t="inlineStr">
        <is>
          <t>Metalman</t>
        </is>
      </c>
      <c r="D243" s="601" t="inlineStr">
        <is>
          <t>Metalman</t>
        </is>
      </c>
      <c r="E243" s="601" t="n">
        <v>188647</v>
      </c>
      <c r="F243" s="601" t="n">
        <v>3545493</v>
      </c>
      <c r="G243" s="601">
        <f>_xlfn.CONCAT(scheduleapr[[#This Row],[CUSTOMER CODE]],"-",scheduleapr[[#This Row],[MATERIAL NO]])</f>
        <v/>
      </c>
      <c r="H243" s="601" t="inlineStr">
        <is>
          <t>TUB-O-C-AUT-AD-FC-19.00X3.250X0.1800</t>
        </is>
      </c>
      <c r="I243" s="601" t="inlineStr">
        <is>
          <t>CEW</t>
        </is>
      </c>
      <c r="J243" s="601" t="n"/>
      <c r="K243" s="601" t="inlineStr">
        <is>
          <t>CEW</t>
        </is>
      </c>
      <c r="L243" s="601" t="n"/>
      <c r="M243" s="601" t="n"/>
      <c r="N243" s="601" t="n"/>
      <c r="O243" s="601" t="n"/>
      <c r="P243" s="601" t="n"/>
      <c r="Q243" s="557">
        <f>CONCATENATE(scheduleapr[[#This Row],[OD]],"-",scheduleapr[[#This Row],[ID]],"-",scheduleapr[[#This Row],[TICKNESS]],"-",scheduleapr[[#This Row],[Grade]],"-",scheduleapr[[#This Row],[FC/NFC]])</f>
        <v/>
      </c>
      <c r="R243" s="557">
        <f>_xlfn.CONCAT(scheduleapr[[#This Row],[Bucket]],"-",scheduleapr[[#This Row],[LENGTH]]/1000)</f>
        <v/>
      </c>
      <c r="S243" s="557">
        <f>COUNTIF([2]!buckets[CTL Bucket],[2]!scheduleapr[[#This Row],[CTL Bucket]])</f>
        <v/>
      </c>
      <c r="T243" s="601" t="inlineStr">
        <is>
          <t>Khopoli</t>
        </is>
      </c>
      <c r="U243" s="601">
        <f>_xlfn.IFNA(VLOOKUP(scheduleapr[[#This Row],[Bucket]],salesforecast[[#All],[Bucket2]:[8406 Stock]],19,0),0)</f>
        <v/>
      </c>
      <c r="V243" s="557" t="n"/>
      <c r="W243" s="557" t="n"/>
      <c r="X243" s="599" t="n">
        <v>19</v>
      </c>
      <c r="Y243" s="599" t="n">
        <v>19</v>
      </c>
      <c r="Z243" s="599" t="n">
        <v>12.5</v>
      </c>
      <c r="AA243" s="599" t="n">
        <v>3.25</v>
      </c>
      <c r="AB243" s="600" t="n">
        <v>180</v>
      </c>
      <c r="AC243" s="600" t="inlineStr">
        <is>
          <t>NOS</t>
        </is>
      </c>
      <c r="AD243" s="600" t="n"/>
      <c r="AE243" s="600" t="n"/>
      <c r="AF243" s="601" t="n">
        <v>6000</v>
      </c>
      <c r="AG243" s="601" t="n"/>
      <c r="AH243" s="601">
        <f t="array" ref="AH2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3" s="602">
        <f>scheduleapr[[#This Row],[SCHEDULE in nos]]-scheduleapr[[#This Row],[DISPATCH]]</f>
        <v/>
      </c>
      <c r="AJ243" s="599">
        <f>(3.14*(scheduleapr[[#This Row],[ACTUAL OD]]-scheduleapr[[#This Row],[TICKNESS]])*scheduleapr[[#This Row],[TICKNESS]]*scheduleapr[[#This Row],[LENGTH]]*7.85)/1000000*scheduleapr[[#This Row],[SCHEDULE in nos]]/1000</f>
        <v/>
      </c>
      <c r="AK243" s="599">
        <f>(3.14*(scheduleapr[[#This Row],[ACTUAL OD]]-scheduleapr[[#This Row],[TICKNESS]])*scheduleapr[[#This Row],[TICKNESS]]*scheduleapr[[#This Row],[LENGTH]]*7.85)/1000000*scheduleapr[[#This Row],[DISPATCH]]/1000</f>
        <v/>
      </c>
      <c r="AL243" s="599">
        <f>AJ243-AK243</f>
        <v/>
      </c>
      <c r="AM243" s="599">
        <f>scheduleapr[[#This Row],[SCHEDULE in nos]]/scheduleapr[[#This Row],[SCHEDULE IN MT]]*scheduleapr[[#This Row],[CTL Stock]]</f>
        <v/>
      </c>
      <c r="AN243" s="599">
        <f>SUMIFS(stock[MT],stock[Bucket],scheduleapr[[#This Row],[Bucket]],stock[CTL Bucket],scheduleapr[[#This Row],[CTL Bucket]],stock[Plant],"0789")</f>
        <v/>
      </c>
      <c r="AO243" s="599" t="n"/>
      <c r="AP243" s="599">
        <f>SUMIFS(stock[MT],stock[Bucket],scheduleapr[[#This Row],[Bucket]],stock[LL or CTL],"LL")</f>
        <v/>
      </c>
      <c r="AQ243" s="599">
        <f>+SUMIFS(wip[Stock(Net Wt)],wip[Bucket],scheduleapr[[#This Row],[Bucket]])/1000</f>
        <v/>
      </c>
      <c r="AR243" s="599">
        <f>AJ243-AN243</f>
        <v/>
      </c>
      <c r="AS243" s="118" t="n"/>
    </row>
    <row r="244">
      <c r="A244" s="594" t="n">
        <v>175</v>
      </c>
      <c r="B244" s="5" t="inlineStr">
        <is>
          <t xml:space="preserve">Khopoli </t>
        </is>
      </c>
      <c r="C244" s="601" t="inlineStr">
        <is>
          <t>Metalman</t>
        </is>
      </c>
      <c r="D244" s="601" t="inlineStr">
        <is>
          <t>Metalman</t>
        </is>
      </c>
      <c r="E244" s="601" t="n">
        <v>188647</v>
      </c>
      <c r="F244" s="601" t="n">
        <v>3545492</v>
      </c>
      <c r="G244" s="601">
        <f>_xlfn.CONCAT(scheduleapr[[#This Row],[CUSTOMER CODE]],"-",scheduleapr[[#This Row],[MATERIAL NO]])</f>
        <v/>
      </c>
      <c r="H244" s="601" t="inlineStr">
        <is>
          <t>TUB-O-C-AUT-AD-FC-19.00X3.250X0.1950</t>
        </is>
      </c>
      <c r="I244" s="601" t="inlineStr">
        <is>
          <t>CEW</t>
        </is>
      </c>
      <c r="J244" s="601" t="n"/>
      <c r="K244" s="601" t="inlineStr">
        <is>
          <t>CEW</t>
        </is>
      </c>
      <c r="L244" s="601" t="n"/>
      <c r="M244" s="601" t="n"/>
      <c r="N244" s="601" t="n"/>
      <c r="O244" s="601" t="n"/>
      <c r="P244" s="601" t="n"/>
      <c r="Q244" s="557">
        <f>CONCATENATE(scheduleapr[[#This Row],[OD]],"-",scheduleapr[[#This Row],[ID]],"-",scheduleapr[[#This Row],[TICKNESS]],"-",scheduleapr[[#This Row],[Grade]],"-",scheduleapr[[#This Row],[FC/NFC]])</f>
        <v/>
      </c>
      <c r="R244" s="557">
        <f>_xlfn.CONCAT(scheduleapr[[#This Row],[Bucket]],"-",scheduleapr[[#This Row],[LENGTH]]/1000)</f>
        <v/>
      </c>
      <c r="S244" s="557">
        <f>COUNTIF([2]!buckets[CTL Bucket],[2]!scheduleapr[[#This Row],[CTL Bucket]])</f>
        <v/>
      </c>
      <c r="T244" s="601" t="inlineStr">
        <is>
          <t>Khopoli</t>
        </is>
      </c>
      <c r="U244" s="601" t="inlineStr">
        <is>
          <t>Plan</t>
        </is>
      </c>
      <c r="V244" s="557" t="n"/>
      <c r="W244" s="557" t="n"/>
      <c r="X244" s="599" t="n">
        <v>19</v>
      </c>
      <c r="Y244" s="599" t="n">
        <v>19</v>
      </c>
      <c r="Z244" s="599" t="n">
        <v>12.5</v>
      </c>
      <c r="AA244" s="599" t="n">
        <v>3.25</v>
      </c>
      <c r="AB244" s="600" t="n">
        <v>195</v>
      </c>
      <c r="AC244" s="600" t="inlineStr">
        <is>
          <t>NOS</t>
        </is>
      </c>
      <c r="AD244" s="600" t="n"/>
      <c r="AE244" s="600" t="n"/>
      <c r="AF244" s="601" t="n"/>
      <c r="AG244" s="601" t="n"/>
      <c r="AH244" s="601">
        <f t="array" ref="AH2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4" s="602">
        <f>scheduleapr[[#This Row],[SCHEDULE in nos]]-scheduleapr[[#This Row],[DISPATCH]]</f>
        <v/>
      </c>
      <c r="AJ244" s="599">
        <f>(3.14*(scheduleapr[[#This Row],[ACTUAL OD]]-scheduleapr[[#This Row],[TICKNESS]])*scheduleapr[[#This Row],[TICKNESS]]*scheduleapr[[#This Row],[LENGTH]]*7.85)/1000000*scheduleapr[[#This Row],[SCHEDULE in nos]]/1000</f>
        <v/>
      </c>
      <c r="AK244" s="599">
        <f>(3.14*(scheduleapr[[#This Row],[ACTUAL OD]]-scheduleapr[[#This Row],[TICKNESS]])*scheduleapr[[#This Row],[TICKNESS]]*scheduleapr[[#This Row],[LENGTH]]*7.85)/1000000*scheduleapr[[#This Row],[DISPATCH]]/1000</f>
        <v/>
      </c>
      <c r="AL244" s="599">
        <f>AJ244-AK244</f>
        <v/>
      </c>
      <c r="AM244" s="599">
        <f>scheduleapr[[#This Row],[SCHEDULE in nos]]/scheduleapr[[#This Row],[SCHEDULE IN MT]]*scheduleapr[[#This Row],[CTL Stock]]</f>
        <v/>
      </c>
      <c r="AN244" s="599">
        <f>SUMIFS(stock[MT],stock[Bucket],scheduleapr[[#This Row],[Bucket]],stock[CTL Bucket],scheduleapr[[#This Row],[CTL Bucket]],stock[Plant],"0789")</f>
        <v/>
      </c>
      <c r="AO244" s="599" t="n"/>
      <c r="AP244" s="599">
        <f>SUMIFS(stock[MT],stock[Bucket],scheduleapr[[#This Row],[Bucket]],stock[LL or CTL],"LL")</f>
        <v/>
      </c>
      <c r="AQ244" s="599">
        <f>+SUMIFS(wip[Stock(Net Wt)],wip[Bucket],scheduleapr[[#This Row],[Bucket]])/1000</f>
        <v/>
      </c>
      <c r="AR244" s="599">
        <f>AJ244-AN244</f>
        <v/>
      </c>
      <c r="AS244" s="118" t="n"/>
    </row>
    <row r="245">
      <c r="A245" s="594" t="n">
        <v>177</v>
      </c>
      <c r="B245" s="5" t="inlineStr">
        <is>
          <t xml:space="preserve">Khopoli </t>
        </is>
      </c>
      <c r="C245" s="601" t="inlineStr">
        <is>
          <t>Metalman</t>
        </is>
      </c>
      <c r="D245" s="601" t="inlineStr">
        <is>
          <t>Metalman</t>
        </is>
      </c>
      <c r="E245" s="601" t="n">
        <v>188647</v>
      </c>
      <c r="F245" s="601" t="n">
        <v>2410994</v>
      </c>
      <c r="G245" s="601">
        <f>_xlfn.CONCAT(scheduleapr[[#This Row],[CUSTOMER CODE]],"-",scheduleapr[[#This Row],[MATERIAL NO]])</f>
        <v/>
      </c>
      <c r="H245" s="601" t="inlineStr">
        <is>
          <t>TUB-O-C-AUT-AD-FC-21.75X3.500X04-05</t>
        </is>
      </c>
      <c r="I245" s="601" t="inlineStr">
        <is>
          <t>CEW</t>
        </is>
      </c>
      <c r="J245" s="601" t="n"/>
      <c r="K245" s="601" t="n"/>
      <c r="L245" s="601" t="inlineStr">
        <is>
          <t>HR</t>
        </is>
      </c>
      <c r="M245" s="601" t="n"/>
      <c r="N245" s="601" t="n"/>
      <c r="O245" s="601" t="n"/>
      <c r="P245" s="601" t="n"/>
      <c r="Q245" s="557">
        <f>CONCATENATE(scheduleapr[[#This Row],[OD]],"-",scheduleapr[[#This Row],[ID]],"-",scheduleapr[[#This Row],[TICKNESS]],"-",scheduleapr[[#This Row],[Grade]],"-",scheduleapr[[#This Row],[FC/NFC]])</f>
        <v/>
      </c>
      <c r="R245" s="557">
        <f>_xlfn.CONCAT(scheduleapr[[#This Row],[Bucket]],"-",scheduleapr[[#This Row],[LENGTH]]/1000)</f>
        <v/>
      </c>
      <c r="S245" s="557">
        <f>COUNTIF([2]!buckets[CTL Bucket],[2]!scheduleapr[[#This Row],[CTL Bucket]])</f>
        <v/>
      </c>
      <c r="T245" s="557" t="n"/>
      <c r="U245" s="557" t="n"/>
      <c r="V245" s="557" t="n"/>
      <c r="W245" s="557" t="n"/>
      <c r="X245" s="599" t="n">
        <v>21.75</v>
      </c>
      <c r="Y245" s="599" t="n">
        <v>21.75</v>
      </c>
      <c r="Z245" s="599" t="n">
        <v>0</v>
      </c>
      <c r="AA245" s="599" t="n">
        <v>3.5</v>
      </c>
      <c r="AB245" s="600" t="n">
        <v>4500</v>
      </c>
      <c r="AC245" s="600" t="inlineStr">
        <is>
          <t>M</t>
        </is>
      </c>
      <c r="AD245" s="600" t="n"/>
      <c r="AE245" s="600" t="n"/>
      <c r="AF245" s="601" t="n"/>
      <c r="AG245" s="601" t="n"/>
      <c r="AH245" s="601">
        <f t="array" ref="AH2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5" s="602">
        <f>scheduleapr[[#This Row],[SCHEDULE in nos]]-scheduleapr[[#This Row],[DISPATCH]]</f>
        <v/>
      </c>
      <c r="AJ245" s="599">
        <f>(3.14*(scheduleapr[[#This Row],[ACTUAL OD]]-scheduleapr[[#This Row],[TICKNESS]])*scheduleapr[[#This Row],[TICKNESS]]*scheduleapr[[#This Row],[LENGTH]]*7.85)/1000000*scheduleapr[[#This Row],[SCHEDULE in nos]]/1000</f>
        <v/>
      </c>
      <c r="AK245" s="599">
        <f>(3.14*(scheduleapr[[#This Row],[ACTUAL OD]]-scheduleapr[[#This Row],[TICKNESS]])*scheduleapr[[#This Row],[TICKNESS]]*scheduleapr[[#This Row],[LENGTH]]*7.85)/1000000*scheduleapr[[#This Row],[DISPATCH]]/1000</f>
        <v/>
      </c>
      <c r="AL245" s="599">
        <f>AJ245-AK245</f>
        <v/>
      </c>
      <c r="AM245" s="599">
        <f>scheduleapr[[#This Row],[SCHEDULE in nos]]/scheduleapr[[#This Row],[SCHEDULE IN MT]]*scheduleapr[[#This Row],[CTL Stock]]</f>
        <v/>
      </c>
      <c r="AN245" s="599">
        <f>SUMIFS(stock[MT],stock[Bucket],scheduleapr[[#This Row],[Bucket]],stock[CTL Bucket],scheduleapr[[#This Row],[CTL Bucket]],stock[Plant],"0789")</f>
        <v/>
      </c>
      <c r="AO245" s="599" t="n"/>
      <c r="AP245" s="599">
        <f>SUMIFS(stock[MT],stock[Bucket],scheduleapr[[#This Row],[Bucket]],stock[LL or CTL],"LL")</f>
        <v/>
      </c>
      <c r="AQ245" s="599">
        <f>+SUMIFS(wip[Stock(Net Wt)],wip[Bucket],scheduleapr[[#This Row],[Bucket]])/1000</f>
        <v/>
      </c>
      <c r="AR245" s="599">
        <f>AJ245-AN245</f>
        <v/>
      </c>
      <c r="AS245" s="118" t="n"/>
    </row>
    <row r="246">
      <c r="A246" s="594" t="n">
        <v>193</v>
      </c>
      <c r="B246" s="5" t="inlineStr">
        <is>
          <t xml:space="preserve">Khopoli </t>
        </is>
      </c>
      <c r="C246" s="601" t="inlineStr">
        <is>
          <t>Metalman</t>
        </is>
      </c>
      <c r="D246" s="601" t="inlineStr">
        <is>
          <t>Metalman</t>
        </is>
      </c>
      <c r="E246" s="601" t="n">
        <v>188647</v>
      </c>
      <c r="F246" s="601" t="n">
        <v>2396465</v>
      </c>
      <c r="G246" s="601">
        <f>_xlfn.CONCAT(scheduleapr[[#This Row],[CUSTOMER CODE]],"-",scheduleapr[[#This Row],[MATERIAL NO]])</f>
        <v/>
      </c>
      <c r="H246" s="601" t="inlineStr">
        <is>
          <t>TUB-O-N-AUT-AN-FC-42.70X3.500X6.0000</t>
        </is>
      </c>
      <c r="I246" s="601" t="inlineStr">
        <is>
          <t>CEW</t>
        </is>
      </c>
      <c r="J246" s="601" t="inlineStr">
        <is>
          <t>Annealed</t>
        </is>
      </c>
      <c r="K246" s="601" t="n"/>
      <c r="L246" s="601" t="inlineStr">
        <is>
          <t>HR</t>
        </is>
      </c>
      <c r="M246" s="601" t="n"/>
      <c r="N246" s="601" t="n"/>
      <c r="O246" s="601" t="n"/>
      <c r="P246" s="601" t="n"/>
      <c r="Q246" s="557">
        <f>CONCATENATE(scheduleapr[[#This Row],[OD]],"-",scheduleapr[[#This Row],[ID]],"-",scheduleapr[[#This Row],[TICKNESS]],"-",scheduleapr[[#This Row],[Grade]],"-",scheduleapr[[#This Row],[FC/NFC]])</f>
        <v/>
      </c>
      <c r="R246" s="557">
        <f>_xlfn.CONCAT(scheduleapr[[#This Row],[Bucket]],"-",scheduleapr[[#This Row],[LENGTH]]/1000)</f>
        <v/>
      </c>
      <c r="S246" s="557">
        <f>COUNTIF([2]!buckets[CTL Bucket],[2]!scheduleapr[[#This Row],[CTL Bucket]])</f>
        <v/>
      </c>
      <c r="T246" s="557" t="n"/>
      <c r="U246" s="557" t="n"/>
      <c r="V246" s="557" t="n"/>
      <c r="W246" s="557" t="n"/>
      <c r="X246" s="599" t="n">
        <v>42.7</v>
      </c>
      <c r="Y246" s="599" t="n">
        <v>42.7</v>
      </c>
      <c r="Z246" s="599" t="n">
        <v>0</v>
      </c>
      <c r="AA246" s="599" t="n">
        <v>3.5</v>
      </c>
      <c r="AB246" s="600" t="n">
        <v>6000</v>
      </c>
      <c r="AC246" s="600" t="n"/>
      <c r="AD246" s="600" t="n"/>
      <c r="AE246" s="600" t="n"/>
      <c r="AF246" s="601" t="n"/>
      <c r="AG246" s="601" t="n"/>
      <c r="AH246" s="601">
        <f t="array" ref="AH2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6" s="602">
        <f>scheduleapr[[#This Row],[SCHEDULE in nos]]-scheduleapr[[#This Row],[DISPATCH]]</f>
        <v/>
      </c>
      <c r="AJ246" s="599">
        <f>(3.14*(scheduleapr[[#This Row],[ACTUAL OD]]-scheduleapr[[#This Row],[TICKNESS]])*scheduleapr[[#This Row],[TICKNESS]]*scheduleapr[[#This Row],[LENGTH]]*7.85)/1000000*scheduleapr[[#This Row],[SCHEDULE in nos]]/1000</f>
        <v/>
      </c>
      <c r="AK246" s="599">
        <f>(3.14*(scheduleapr[[#This Row],[ACTUAL OD]]-scheduleapr[[#This Row],[TICKNESS]])*scheduleapr[[#This Row],[TICKNESS]]*scheduleapr[[#This Row],[LENGTH]]*7.85)/1000000*scheduleapr[[#This Row],[DISPATCH]]/1000</f>
        <v/>
      </c>
      <c r="AL246" s="599">
        <f>AJ246-AK246</f>
        <v/>
      </c>
      <c r="AM246" s="599">
        <f>scheduleapr[[#This Row],[SCHEDULE in nos]]/scheduleapr[[#This Row],[SCHEDULE IN MT]]*scheduleapr[[#This Row],[CTL Stock]]</f>
        <v/>
      </c>
      <c r="AN246" s="599">
        <f>SUMIFS(stock[MT],stock[Bucket],scheduleapr[[#This Row],[Bucket]],stock[CTL Bucket],scheduleapr[[#This Row],[CTL Bucket]],stock[Plant],"0789")</f>
        <v/>
      </c>
      <c r="AO246" s="599" t="n"/>
      <c r="AP246" s="599">
        <f>SUMIFS(stock[MT],stock[Bucket],scheduleapr[[#This Row],[Bucket]],stock[LL or CTL],"LL")</f>
        <v/>
      </c>
      <c r="AQ246" s="599">
        <f>+SUMIFS(wip[Stock(Net Wt)],wip[Bucket],scheduleapr[[#This Row],[Bucket]])/1000</f>
        <v/>
      </c>
      <c r="AR246" s="599">
        <f>AJ246-AN246</f>
        <v/>
      </c>
      <c r="AS246" s="118" t="n"/>
    </row>
    <row r="247">
      <c r="A247" s="594" t="n">
        <v>195</v>
      </c>
      <c r="B247" s="5" t="inlineStr">
        <is>
          <t xml:space="preserve">Khopoli </t>
        </is>
      </c>
      <c r="C247" s="601" t="inlineStr">
        <is>
          <t>Metalman</t>
        </is>
      </c>
      <c r="D247" s="601" t="inlineStr">
        <is>
          <t>Metalman</t>
        </is>
      </c>
      <c r="E247" s="601" t="n">
        <v>188647</v>
      </c>
      <c r="F247" s="601" t="n">
        <v>2426233</v>
      </c>
      <c r="G247" s="601">
        <f>_xlfn.CONCAT(scheduleapr[[#This Row],[CUSTOMER CODE]],"-",scheduleapr[[#This Row],[MATERIAL NO]])</f>
        <v/>
      </c>
      <c r="H247" s="601" t="inlineStr">
        <is>
          <t>TUB-O-N-AUT-AN-FC-42.70X4.000X5.7300</t>
        </is>
      </c>
      <c r="I247" s="601" t="inlineStr">
        <is>
          <t>CEW</t>
        </is>
      </c>
      <c r="J247" s="601" t="inlineStr">
        <is>
          <t>Annealed</t>
        </is>
      </c>
      <c r="K247" s="601" t="n"/>
      <c r="L247" s="601" t="inlineStr">
        <is>
          <t>HR</t>
        </is>
      </c>
      <c r="M247" s="601" t="n"/>
      <c r="N247" s="601" t="n"/>
      <c r="O247" s="601" t="n"/>
      <c r="P247" s="601" t="n"/>
      <c r="Q247" s="557">
        <f>CONCATENATE(scheduleapr[[#This Row],[OD]],"-",scheduleapr[[#This Row],[ID]],"-",scheduleapr[[#This Row],[TICKNESS]],"-",scheduleapr[[#This Row],[Grade]],"-",scheduleapr[[#This Row],[FC/NFC]])</f>
        <v/>
      </c>
      <c r="R247" s="557">
        <f>_xlfn.CONCAT(scheduleapr[[#This Row],[Bucket]],"-",scheduleapr[[#This Row],[LENGTH]]/1000)</f>
        <v/>
      </c>
      <c r="S247" s="557">
        <f>COUNTIF([2]!buckets[CTL Bucket],[2]!scheduleapr[[#This Row],[CTL Bucket]])</f>
        <v/>
      </c>
      <c r="T247" s="557" t="n"/>
      <c r="U247" s="557" t="n"/>
      <c r="V247" s="557" t="n"/>
      <c r="W247" s="557" t="n"/>
      <c r="X247" s="599" t="n">
        <v>42.7</v>
      </c>
      <c r="Y247" s="599" t="n">
        <v>42.7</v>
      </c>
      <c r="Z247" s="599" t="n">
        <v>0</v>
      </c>
      <c r="AA247" s="599" t="n">
        <v>4</v>
      </c>
      <c r="AB247" s="600" t="n">
        <v>5730</v>
      </c>
      <c r="AC247" s="600" t="n"/>
      <c r="AD247" s="600" t="n"/>
      <c r="AE247" s="600" t="n"/>
      <c r="AF247" s="601" t="n"/>
      <c r="AG247" s="601" t="n"/>
      <c r="AH247" s="601">
        <f t="array" ref="AH2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7" s="602">
        <f>scheduleapr[[#This Row],[SCHEDULE in nos]]-scheduleapr[[#This Row],[DISPATCH]]</f>
        <v/>
      </c>
      <c r="AJ247" s="599">
        <f>(3.14*(scheduleapr[[#This Row],[ACTUAL OD]]-scheduleapr[[#This Row],[TICKNESS]])*scheduleapr[[#This Row],[TICKNESS]]*scheduleapr[[#This Row],[LENGTH]]*7.85)/1000000*scheduleapr[[#This Row],[SCHEDULE in nos]]/1000</f>
        <v/>
      </c>
      <c r="AK247" s="599">
        <f>(3.14*(scheduleapr[[#This Row],[ACTUAL OD]]-scheduleapr[[#This Row],[TICKNESS]])*scheduleapr[[#This Row],[TICKNESS]]*scheduleapr[[#This Row],[LENGTH]]*7.85)/1000000*scheduleapr[[#This Row],[DISPATCH]]/1000</f>
        <v/>
      </c>
      <c r="AL247" s="599">
        <f>AJ247-AK247</f>
        <v/>
      </c>
      <c r="AM247" s="599">
        <f>scheduleapr[[#This Row],[SCHEDULE in nos]]/scheduleapr[[#This Row],[SCHEDULE IN MT]]*scheduleapr[[#This Row],[CTL Stock]]</f>
        <v/>
      </c>
      <c r="AN247" s="599">
        <f>SUMIFS(stock[MT],stock[Bucket],scheduleapr[[#This Row],[Bucket]],stock[CTL Bucket],scheduleapr[[#This Row],[CTL Bucket]],stock[Plant],"0789")</f>
        <v/>
      </c>
      <c r="AO247" s="599" t="n"/>
      <c r="AP247" s="599">
        <f>SUMIFS(stock[MT],stock[Bucket],scheduleapr[[#This Row],[Bucket]],stock[LL or CTL],"LL")</f>
        <v/>
      </c>
      <c r="AQ247" s="599">
        <f>+SUMIFS(wip[Stock(Net Wt)],wip[Bucket],scheduleapr[[#This Row],[Bucket]])/1000</f>
        <v/>
      </c>
      <c r="AR247" s="599">
        <f>AJ247-AN247</f>
        <v/>
      </c>
      <c r="AS247" s="118" t="n"/>
    </row>
    <row r="248">
      <c r="A248" s="594" t="n">
        <v>176</v>
      </c>
      <c r="B248" s="5" t="inlineStr">
        <is>
          <t>Hosur</t>
        </is>
      </c>
      <c r="C248" s="601" t="inlineStr">
        <is>
          <t>Metalman</t>
        </is>
      </c>
      <c r="D248" s="601" t="inlineStr">
        <is>
          <t>Metalman</t>
        </is>
      </c>
      <c r="E248" s="601" t="n">
        <v>188647</v>
      </c>
      <c r="F248" s="601" t="n">
        <v>2418569</v>
      </c>
      <c r="G248" s="601">
        <f>_xlfn.CONCAT(scheduleapr[[#This Row],[CUSTOMER CODE]],"-",scheduleapr[[#This Row],[MATERIAL NO]])</f>
        <v/>
      </c>
      <c r="H248" s="601" t="inlineStr">
        <is>
          <t>TUB-O-N-AUT-AW-PE-19.05X1.600X1.4050</t>
        </is>
      </c>
      <c r="I248" s="601" t="inlineStr">
        <is>
          <t>ERW 1</t>
        </is>
      </c>
      <c r="J248" s="601" t="n"/>
      <c r="K248" s="601" t="inlineStr">
        <is>
          <t>PE</t>
        </is>
      </c>
      <c r="L248" s="601" t="inlineStr">
        <is>
          <t>CR</t>
        </is>
      </c>
      <c r="M248" s="601" t="inlineStr">
        <is>
          <t>WG</t>
        </is>
      </c>
      <c r="N248" s="601" t="n"/>
      <c r="O248" s="601" t="n"/>
      <c r="P248" s="601" t="n"/>
      <c r="Q248" s="557">
        <f>CONCATENATE(scheduleapr[[#This Row],[OD]],"-",scheduleapr[[#This Row],[ID]],"-",scheduleapr[[#This Row],[TICKNESS]],"-",scheduleapr[[#This Row],[Grade]],"-",scheduleapr[[#This Row],[FC/NFC]])</f>
        <v/>
      </c>
      <c r="R248" s="557">
        <f>_xlfn.CONCAT(scheduleapr[[#This Row],[Bucket]],"-",scheduleapr[[#This Row],[LENGTH]]/1000)</f>
        <v/>
      </c>
      <c r="S248" s="557">
        <f>COUNTIF([2]!buckets[CTL Bucket],[2]!scheduleapr[[#This Row],[CTL Bucket]])</f>
        <v/>
      </c>
      <c r="T248" s="601" t="inlineStr">
        <is>
          <t>Hosur</t>
        </is>
      </c>
      <c r="U248" s="601" t="n"/>
      <c r="V248" s="557" t="n"/>
      <c r="W248" s="557" t="n"/>
      <c r="X248" s="599" t="n">
        <v>19.05</v>
      </c>
      <c r="Y248" s="599" t="n">
        <v>19.05</v>
      </c>
      <c r="Z248" s="599" t="n">
        <v>0</v>
      </c>
      <c r="AA248" s="599" t="n">
        <v>1.6</v>
      </c>
      <c r="AB248" s="600" t="n">
        <v>1405</v>
      </c>
      <c r="AC248" s="600" t="inlineStr">
        <is>
          <t>NOS</t>
        </is>
      </c>
      <c r="AD248" s="600" t="n"/>
      <c r="AE248" s="600" t="n"/>
      <c r="AF248" s="601" t="n"/>
      <c r="AG248" s="601" t="n"/>
      <c r="AH248" s="601">
        <f t="array" ref="AH2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8" s="602">
        <f>scheduleapr[[#This Row],[SCHEDULE in nos]]-scheduleapr[[#This Row],[DISPATCH]]</f>
        <v/>
      </c>
      <c r="AJ248" s="599">
        <f>(3.14*(scheduleapr[[#This Row],[ACTUAL OD]]-scheduleapr[[#This Row],[TICKNESS]])*scheduleapr[[#This Row],[TICKNESS]]*scheduleapr[[#This Row],[LENGTH]]*7.85)/1000000*scheduleapr[[#This Row],[SCHEDULE in nos]]/1000</f>
        <v/>
      </c>
      <c r="AK248" s="599">
        <f>(3.14*(scheduleapr[[#This Row],[ACTUAL OD]]-scheduleapr[[#This Row],[TICKNESS]])*scheduleapr[[#This Row],[TICKNESS]]*scheduleapr[[#This Row],[LENGTH]]*7.85)/1000000*scheduleapr[[#This Row],[DISPATCH]]/1000</f>
        <v/>
      </c>
      <c r="AL248" s="599">
        <f>AJ248-AK248</f>
        <v/>
      </c>
      <c r="AM248" s="599">
        <f>scheduleapr[[#This Row],[SCHEDULE in nos]]/scheduleapr[[#This Row],[SCHEDULE IN MT]]*scheduleapr[[#This Row],[CTL Stock]]</f>
        <v/>
      </c>
      <c r="AN248" s="599">
        <f>SUMIFS(stock[MT],stock[Bucket],scheduleapr[[#This Row],[Bucket]],stock[CTL Bucket],scheduleapr[[#This Row],[CTL Bucket]],stock[Plant],"0789")</f>
        <v/>
      </c>
      <c r="AO248" s="599" t="n"/>
      <c r="AP248" s="599">
        <f>SUMIFS(stock[MT],stock[Bucket],scheduleapr[[#This Row],[Bucket]],stock[LL or CTL],"LL")</f>
        <v/>
      </c>
      <c r="AQ248" s="599">
        <f>+SUMIFS(wip[Stock(Net Wt)],wip[Bucket],scheduleapr[[#This Row],[Bucket]])/1000</f>
        <v/>
      </c>
      <c r="AR248" s="599">
        <f>AJ248-AN248</f>
        <v/>
      </c>
      <c r="AS248" s="118" t="n"/>
    </row>
    <row r="249">
      <c r="A249" s="594" t="n">
        <v>178</v>
      </c>
      <c r="B249" s="5" t="inlineStr">
        <is>
          <t>Hosur</t>
        </is>
      </c>
      <c r="C249" s="601" t="inlineStr">
        <is>
          <t>Metalman</t>
        </is>
      </c>
      <c r="D249" s="601" t="inlineStr">
        <is>
          <t>Metalman</t>
        </is>
      </c>
      <c r="E249" s="601" t="n">
        <v>188647</v>
      </c>
      <c r="F249" s="601" t="n">
        <v>1940407</v>
      </c>
      <c r="G249" s="601">
        <f>_xlfn.CONCAT(scheduleapr[[#This Row],[CUSTOMER CODE]],"-",scheduleapr[[#This Row],[MATERIAL NO]])</f>
        <v/>
      </c>
      <c r="H249" s="601" t="inlineStr">
        <is>
          <t>TUB-O-O-AUT-AW-PE-22.23X1.600X0.7400</t>
        </is>
      </c>
      <c r="I249" s="601" t="inlineStr">
        <is>
          <t>ERW 1</t>
        </is>
      </c>
      <c r="J249" s="601" t="n"/>
      <c r="K249" s="601" t="inlineStr">
        <is>
          <t>PE</t>
        </is>
      </c>
      <c r="L249" s="601" t="inlineStr">
        <is>
          <t>CR</t>
        </is>
      </c>
      <c r="M249" s="596" t="inlineStr">
        <is>
          <t>GR1</t>
        </is>
      </c>
      <c r="N249" s="601" t="n"/>
      <c r="O249" s="601" t="n"/>
      <c r="P249" s="601" t="n"/>
      <c r="Q249" s="557">
        <f>CONCATENATE(scheduleapr[[#This Row],[OD]],"-",scheduleapr[[#This Row],[ID]],"-",scheduleapr[[#This Row],[TICKNESS]],"-",scheduleapr[[#This Row],[Grade]],"-",scheduleapr[[#This Row],[FC/NFC]])</f>
        <v/>
      </c>
      <c r="R249" s="557">
        <f>_xlfn.CONCAT(scheduleapr[[#This Row],[Bucket]],"-",scheduleapr[[#This Row],[LENGTH]]/1000)</f>
        <v/>
      </c>
      <c r="S249" s="557">
        <f>COUNTIF([2]!buckets[CTL Bucket],[2]!scheduleapr[[#This Row],[CTL Bucket]])</f>
        <v/>
      </c>
      <c r="T249" s="601" t="inlineStr">
        <is>
          <t>Hosur</t>
        </is>
      </c>
      <c r="U249" s="601">
        <f>_xlfn.IFNA(VLOOKUP(scheduleapr[[#This Row],[Bucket]],salesforecast[[#All],[Bucket2]:[8406 Stock]],19,0),0)</f>
        <v/>
      </c>
      <c r="V249" s="562">
        <f>_xlfn.IFNA(VLOOKUP(scheduleapr[[#This Row],[Bucket]],salesforecast[[#All],[Bucket2]:[8406 Stock]],20,0),0)+_xlfn.IFNA(VLOOKUP(scheduleapr[[#This Row],[Bucket]],salesforecast[[#All],[Bucket2]:[8406 Stock]],17,0),0)</f>
        <v/>
      </c>
      <c r="W249" s="557" t="n"/>
      <c r="X249" s="599" t="n">
        <v>22.23</v>
      </c>
      <c r="Y249" s="599" t="n">
        <v>22.23</v>
      </c>
      <c r="Z249" s="599" t="n">
        <v>0</v>
      </c>
      <c r="AA249" s="599" t="n">
        <v>1.6</v>
      </c>
      <c r="AB249" s="600" t="n">
        <v>740</v>
      </c>
      <c r="AC249" s="600" t="inlineStr">
        <is>
          <t>NOS</t>
        </is>
      </c>
      <c r="AD249" s="600" t="n"/>
      <c r="AE249" s="600" t="n"/>
      <c r="AF249" s="601" t="n">
        <v>3000</v>
      </c>
      <c r="AG249" s="601" t="n"/>
      <c r="AH249" s="601">
        <f t="array" ref="AH2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49" s="602">
        <f>scheduleapr[[#This Row],[SCHEDULE in nos]]-scheduleapr[[#This Row],[DISPATCH]]</f>
        <v/>
      </c>
      <c r="AJ249" s="599">
        <f>(3.14*(scheduleapr[[#This Row],[ACTUAL OD]]-scheduleapr[[#This Row],[TICKNESS]])*scheduleapr[[#This Row],[TICKNESS]]*scheduleapr[[#This Row],[LENGTH]]*7.85)/1000000*scheduleapr[[#This Row],[SCHEDULE in nos]]/1000</f>
        <v/>
      </c>
      <c r="AK249" s="599">
        <f>(3.14*(scheduleapr[[#This Row],[ACTUAL OD]]-scheduleapr[[#This Row],[TICKNESS]])*scheduleapr[[#This Row],[TICKNESS]]*scheduleapr[[#This Row],[LENGTH]]*7.85)/1000000*scheduleapr[[#This Row],[DISPATCH]]/1000</f>
        <v/>
      </c>
      <c r="AL249" s="599">
        <f>AJ249-AK249</f>
        <v/>
      </c>
      <c r="AM249" s="599">
        <f>scheduleapr[[#This Row],[SCHEDULE in nos]]/scheduleapr[[#This Row],[SCHEDULE IN MT]]*scheduleapr[[#This Row],[CTL Stock]]</f>
        <v/>
      </c>
      <c r="AN249" s="599">
        <f>SUMIFS(stock[MT],stock[Bucket],scheduleapr[[#This Row],[Bucket]],stock[CTL Bucket],scheduleapr[[#This Row],[CTL Bucket]],stock[Plant],"0789")</f>
        <v/>
      </c>
      <c r="AO249" s="599" t="n"/>
      <c r="AP249" s="599">
        <f>SUMIFS(stock[MT],stock[Bucket],scheduleapr[[#This Row],[Bucket]],stock[LL or CTL],"LL")</f>
        <v/>
      </c>
      <c r="AQ249" s="599">
        <f>+SUMIFS(wip[Stock(Net Wt)],wip[Bucket],scheduleapr[[#This Row],[Bucket]])/1000</f>
        <v/>
      </c>
      <c r="AR249" s="599">
        <f>AJ249-AN249</f>
        <v/>
      </c>
      <c r="AS249" s="118" t="n"/>
    </row>
    <row r="250">
      <c r="A250" s="594" t="n">
        <v>179</v>
      </c>
      <c r="B250" s="5" t="inlineStr">
        <is>
          <t>Hosur</t>
        </is>
      </c>
      <c r="C250" s="601" t="inlineStr">
        <is>
          <t>Metalman</t>
        </is>
      </c>
      <c r="D250" s="601" t="inlineStr">
        <is>
          <t>Metalman</t>
        </is>
      </c>
      <c r="E250" s="601" t="n">
        <v>188647</v>
      </c>
      <c r="F250" s="601" t="n">
        <v>2418687</v>
      </c>
      <c r="G250" s="601">
        <f>_xlfn.CONCAT(scheduleapr[[#This Row],[CUSTOMER CODE]],"-",scheduleapr[[#This Row],[MATERIAL NO]])</f>
        <v/>
      </c>
      <c r="H250" s="601" t="inlineStr">
        <is>
          <t>TUB-O-N-AUT-AW-PE-22.23X1.600X0.8800</t>
        </is>
      </c>
      <c r="I250" s="601" t="inlineStr">
        <is>
          <t>ERW 1</t>
        </is>
      </c>
      <c r="J250" s="601" t="n"/>
      <c r="K250" s="601" t="inlineStr">
        <is>
          <t>PE</t>
        </is>
      </c>
      <c r="L250" s="601" t="inlineStr">
        <is>
          <t>CR</t>
        </is>
      </c>
      <c r="M250" s="596" t="inlineStr">
        <is>
          <t>GR1</t>
        </is>
      </c>
      <c r="N250" s="601" t="n"/>
      <c r="O250" s="601" t="n"/>
      <c r="P250" s="601" t="n"/>
      <c r="Q250" s="557">
        <f>CONCATENATE(scheduleapr[[#This Row],[OD]],"-",scheduleapr[[#This Row],[ID]],"-",scheduleapr[[#This Row],[TICKNESS]],"-",scheduleapr[[#This Row],[Grade]],"-",scheduleapr[[#This Row],[FC/NFC]])</f>
        <v/>
      </c>
      <c r="R250" s="557">
        <f>_xlfn.CONCAT(scheduleapr[[#This Row],[Bucket]],"-",scheduleapr[[#This Row],[LENGTH]]/1000)</f>
        <v/>
      </c>
      <c r="S250" s="557">
        <f>COUNTIF([2]!buckets[CTL Bucket],[2]!scheduleapr[[#This Row],[CTL Bucket]])</f>
        <v/>
      </c>
      <c r="T250" s="601" t="inlineStr">
        <is>
          <t>Hosur</t>
        </is>
      </c>
      <c r="U250" s="601">
        <f>_xlfn.IFNA(VLOOKUP(scheduleapr[[#This Row],[Bucket]],salesforecast[[#All],[Bucket2]:[8406 Stock]],19,0),0)</f>
        <v/>
      </c>
      <c r="V250" s="562">
        <f>_xlfn.IFNA(VLOOKUP(scheduleapr[[#This Row],[Bucket]],salesforecast[[#All],[Bucket2]:[8406 Stock]],20,0),0)+_xlfn.IFNA(VLOOKUP(scheduleapr[[#This Row],[Bucket]],salesforecast[[#All],[Bucket2]:[8406 Stock]],17,0),0)</f>
        <v/>
      </c>
      <c r="W250" s="557" t="n"/>
      <c r="X250" s="599" t="n">
        <v>22.23</v>
      </c>
      <c r="Y250" s="599" t="n">
        <v>22.23</v>
      </c>
      <c r="Z250" s="599" t="n">
        <v>0</v>
      </c>
      <c r="AA250" s="599" t="n">
        <v>1.6</v>
      </c>
      <c r="AB250" s="600" t="n">
        <v>880</v>
      </c>
      <c r="AC250" s="600" t="inlineStr">
        <is>
          <t>NOS</t>
        </is>
      </c>
      <c r="AD250" s="600" t="n"/>
      <c r="AE250" s="600" t="n"/>
      <c r="AF250" s="601" t="n">
        <v>3000</v>
      </c>
      <c r="AG250" s="601" t="n"/>
      <c r="AH250" s="601">
        <f t="array" ref="AH2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0" s="602">
        <f>scheduleapr[[#This Row],[SCHEDULE in nos]]-scheduleapr[[#This Row],[DISPATCH]]</f>
        <v/>
      </c>
      <c r="AJ250" s="599">
        <f>(3.14*(scheduleapr[[#This Row],[ACTUAL OD]]-scheduleapr[[#This Row],[TICKNESS]])*scheduleapr[[#This Row],[TICKNESS]]*scheduleapr[[#This Row],[LENGTH]]*7.85)/1000000*scheduleapr[[#This Row],[SCHEDULE in nos]]/1000</f>
        <v/>
      </c>
      <c r="AK250" s="599">
        <f>(3.14*(scheduleapr[[#This Row],[ACTUAL OD]]-scheduleapr[[#This Row],[TICKNESS]])*scheduleapr[[#This Row],[TICKNESS]]*scheduleapr[[#This Row],[LENGTH]]*7.85)/1000000*scheduleapr[[#This Row],[DISPATCH]]/1000</f>
        <v/>
      </c>
      <c r="AL250" s="599">
        <f>AJ250-AK250</f>
        <v/>
      </c>
      <c r="AM250" s="599">
        <f>scheduleapr[[#This Row],[SCHEDULE in nos]]/scheduleapr[[#This Row],[SCHEDULE IN MT]]*scheduleapr[[#This Row],[CTL Stock]]</f>
        <v/>
      </c>
      <c r="AN250" s="599">
        <f>SUMIFS(stock[MT],stock[Bucket],scheduleapr[[#This Row],[Bucket]],stock[CTL Bucket],scheduleapr[[#This Row],[CTL Bucket]],stock[Plant],"0789")</f>
        <v/>
      </c>
      <c r="AO250" s="599" t="n"/>
      <c r="AP250" s="599">
        <f>SUMIFS(stock[MT],stock[Bucket],scheduleapr[[#This Row],[Bucket]],stock[LL or CTL],"LL")</f>
        <v/>
      </c>
      <c r="AQ250" s="599">
        <f>+SUMIFS(wip[Stock(Net Wt)],wip[Bucket],scheduleapr[[#This Row],[Bucket]])/1000</f>
        <v/>
      </c>
      <c r="AR250" s="599">
        <f>AJ250-AN250</f>
        <v/>
      </c>
      <c r="AS250" s="118" t="n"/>
    </row>
    <row r="251">
      <c r="A251" s="594" t="n">
        <v>180</v>
      </c>
      <c r="B251" s="5" t="inlineStr">
        <is>
          <t>Hosur</t>
        </is>
      </c>
      <c r="C251" s="601" t="inlineStr">
        <is>
          <t>Metalman</t>
        </is>
      </c>
      <c r="D251" s="601" t="inlineStr">
        <is>
          <t>Metalman</t>
        </is>
      </c>
      <c r="E251" s="601" t="n">
        <v>188647</v>
      </c>
      <c r="F251" s="601" t="n">
        <v>3732180</v>
      </c>
      <c r="G251" s="601">
        <f>_xlfn.CONCAT(scheduleapr[[#This Row],[CUSTOMER CODE]],"-",scheduleapr[[#This Row],[MATERIAL NO]])</f>
        <v/>
      </c>
      <c r="H251" s="601" t="inlineStr">
        <is>
          <t>TUB-O-O-AUT-AW-FC-25.40X1.600X0.2080</t>
        </is>
      </c>
      <c r="I251" s="601" t="inlineStr">
        <is>
          <t>ERW 1</t>
        </is>
      </c>
      <c r="J251" s="601" t="n"/>
      <c r="K251" s="601" t="inlineStr">
        <is>
          <t>FC</t>
        </is>
      </c>
      <c r="L251" s="601" t="inlineStr">
        <is>
          <t>CR</t>
        </is>
      </c>
      <c r="M251" s="596" t="inlineStr">
        <is>
          <t>NORMAL</t>
        </is>
      </c>
      <c r="N251" s="601" t="n"/>
      <c r="O251" s="601" t="n"/>
      <c r="P251" s="601" t="n"/>
      <c r="Q251" s="557">
        <f>CONCATENATE(scheduleapr[[#This Row],[OD]],"-",scheduleapr[[#This Row],[ID]],"-",scheduleapr[[#This Row],[TICKNESS]],"-",scheduleapr[[#This Row],[Grade]],"-",scheduleapr[[#This Row],[FC/NFC]])</f>
        <v/>
      </c>
      <c r="R251" s="557">
        <f>_xlfn.CONCAT(scheduleapr[[#This Row],[Bucket]],"-",scheduleapr[[#This Row],[LENGTH]]/1000)</f>
        <v/>
      </c>
      <c r="S251" s="557">
        <f>COUNTIF([2]!buckets[CTL Bucket],[2]!scheduleapr[[#This Row],[CTL Bucket]])</f>
        <v/>
      </c>
      <c r="T251" s="557" t="n"/>
      <c r="U251" s="557" t="n"/>
      <c r="V251" s="557" t="n"/>
      <c r="W251" s="557" t="n"/>
      <c r="X251" s="599" t="n">
        <v>25.4</v>
      </c>
      <c r="Y251" s="599" t="n">
        <v>25.4</v>
      </c>
      <c r="Z251" s="599" t="n">
        <v>0</v>
      </c>
      <c r="AA251" s="599" t="n">
        <v>1.6</v>
      </c>
      <c r="AB251" s="600" t="n">
        <v>208</v>
      </c>
      <c r="AC251" s="600" t="inlineStr">
        <is>
          <t>NOS</t>
        </is>
      </c>
      <c r="AD251" s="600" t="n"/>
      <c r="AE251" s="600" t="n"/>
      <c r="AF251" s="601" t="n"/>
      <c r="AG251" s="601" t="n"/>
      <c r="AH251" s="601">
        <f t="array" ref="AH2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1" s="602">
        <f>scheduleapr[[#This Row],[SCHEDULE in nos]]-scheduleapr[[#This Row],[DISPATCH]]</f>
        <v/>
      </c>
      <c r="AJ251" s="599">
        <f>(3.14*(scheduleapr[[#This Row],[ACTUAL OD]]-scheduleapr[[#This Row],[TICKNESS]])*scheduleapr[[#This Row],[TICKNESS]]*scheduleapr[[#This Row],[LENGTH]]*7.85)/1000000*scheduleapr[[#This Row],[SCHEDULE in nos]]/1000</f>
        <v/>
      </c>
      <c r="AK251" s="599">
        <f>(3.14*(scheduleapr[[#This Row],[ACTUAL OD]]-scheduleapr[[#This Row],[TICKNESS]])*scheduleapr[[#This Row],[TICKNESS]]*scheduleapr[[#This Row],[LENGTH]]*7.85)/1000000*scheduleapr[[#This Row],[DISPATCH]]/1000</f>
        <v/>
      </c>
      <c r="AL251" s="599">
        <f>AJ251-AK251</f>
        <v/>
      </c>
      <c r="AM251" s="599">
        <f>scheduleapr[[#This Row],[SCHEDULE in nos]]/scheduleapr[[#This Row],[SCHEDULE IN MT]]*scheduleapr[[#This Row],[CTL Stock]]</f>
        <v/>
      </c>
      <c r="AN251" s="599">
        <f>SUMIFS(stock[MT],stock[Bucket],scheduleapr[[#This Row],[Bucket]],stock[CTL Bucket],scheduleapr[[#This Row],[CTL Bucket]],stock[Plant],"0789")</f>
        <v/>
      </c>
      <c r="AO251" s="599" t="n"/>
      <c r="AP251" s="599">
        <f>SUMIFS(stock[MT],stock[Bucket],scheduleapr[[#This Row],[Bucket]],stock[LL or CTL],"LL")</f>
        <v/>
      </c>
      <c r="AQ251" s="599">
        <f>+SUMIFS(wip[Stock(Net Wt)],wip[Bucket],scheduleapr[[#This Row],[Bucket]])/1000</f>
        <v/>
      </c>
      <c r="AR251" s="599">
        <f>AJ251-AN251</f>
        <v/>
      </c>
      <c r="AS251" s="118" t="n"/>
    </row>
    <row r="252">
      <c r="A252" s="594" t="n">
        <v>181</v>
      </c>
      <c r="B252" s="5" t="inlineStr">
        <is>
          <t>Hosur</t>
        </is>
      </c>
      <c r="C252" s="601" t="inlineStr">
        <is>
          <t>Metalman</t>
        </is>
      </c>
      <c r="D252" s="601" t="inlineStr">
        <is>
          <t>Metalman</t>
        </is>
      </c>
      <c r="E252" s="601" t="n">
        <v>188647</v>
      </c>
      <c r="F252" s="601" t="n">
        <v>1940595</v>
      </c>
      <c r="G252" s="601">
        <f>_xlfn.CONCAT(scheduleapr[[#This Row],[CUSTOMER CODE]],"-",scheduleapr[[#This Row],[MATERIAL NO]])</f>
        <v/>
      </c>
      <c r="H252" s="601" t="inlineStr">
        <is>
          <t>TUB-O-O-AUT-AW-FC-25.40X2.500X0.3220</t>
        </is>
      </c>
      <c r="I252" s="601" t="inlineStr">
        <is>
          <t>ERW 1</t>
        </is>
      </c>
      <c r="J252" s="601" t="n"/>
      <c r="K252" s="601" t="n"/>
      <c r="L252" s="601" t="inlineStr">
        <is>
          <t>HR</t>
        </is>
      </c>
      <c r="M252" s="601" t="n"/>
      <c r="N252" s="601" t="n"/>
      <c r="O252" s="601" t="n"/>
      <c r="P252" s="601" t="n"/>
      <c r="Q252" s="557">
        <f>CONCATENATE(scheduleapr[[#This Row],[OD]],"-",scheduleapr[[#This Row],[ID]],"-",scheduleapr[[#This Row],[TICKNESS]],"-",scheduleapr[[#This Row],[Grade]],"-",scheduleapr[[#This Row],[FC/NFC]])</f>
        <v/>
      </c>
      <c r="R252" s="557">
        <f>_xlfn.CONCAT(scheduleapr[[#This Row],[Bucket]],"-",scheduleapr[[#This Row],[LENGTH]]/1000)</f>
        <v/>
      </c>
      <c r="S252" s="557">
        <f>COUNTIF([2]!buckets[CTL Bucket],[2]!scheduleapr[[#This Row],[CTL Bucket]])</f>
        <v/>
      </c>
      <c r="T252" s="557" t="n"/>
      <c r="U252" s="557" t="n"/>
      <c r="V252" s="557" t="n"/>
      <c r="W252" s="557" t="n"/>
      <c r="X252" s="599" t="n">
        <v>25.4</v>
      </c>
      <c r="Y252" s="599" t="n">
        <v>25.4</v>
      </c>
      <c r="Z252" s="599" t="n">
        <v>0</v>
      </c>
      <c r="AA252" s="599" t="n">
        <v>2.5</v>
      </c>
      <c r="AB252" s="600" t="n">
        <v>322</v>
      </c>
      <c r="AC252" s="600" t="n"/>
      <c r="AD252" s="600" t="n"/>
      <c r="AE252" s="600" t="n"/>
      <c r="AF252" s="601" t="n"/>
      <c r="AG252" s="601" t="n"/>
      <c r="AH252" s="601">
        <f t="array" ref="AH2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2" s="602">
        <f>scheduleapr[[#This Row],[SCHEDULE in nos]]-scheduleapr[[#This Row],[DISPATCH]]</f>
        <v/>
      </c>
      <c r="AJ252" s="599">
        <f>(3.14*(scheduleapr[[#This Row],[ACTUAL OD]]-scheduleapr[[#This Row],[TICKNESS]])*scheduleapr[[#This Row],[TICKNESS]]*scheduleapr[[#This Row],[LENGTH]]*7.85)/1000000*scheduleapr[[#This Row],[SCHEDULE in nos]]/1000</f>
        <v/>
      </c>
      <c r="AK252" s="599">
        <f>(3.14*(scheduleapr[[#This Row],[ACTUAL OD]]-scheduleapr[[#This Row],[TICKNESS]])*scheduleapr[[#This Row],[TICKNESS]]*scheduleapr[[#This Row],[LENGTH]]*7.85)/1000000*scheduleapr[[#This Row],[DISPATCH]]/1000</f>
        <v/>
      </c>
      <c r="AL252" s="599">
        <f>AJ252-AK252</f>
        <v/>
      </c>
      <c r="AM252" s="599">
        <f>scheduleapr[[#This Row],[SCHEDULE in nos]]/scheduleapr[[#This Row],[SCHEDULE IN MT]]*scheduleapr[[#This Row],[CTL Stock]]</f>
        <v/>
      </c>
      <c r="AN252" s="599">
        <f>SUMIFS(stock[MT],stock[Bucket],scheduleapr[[#This Row],[Bucket]],stock[CTL Bucket],scheduleapr[[#This Row],[CTL Bucket]],stock[Plant],"0789")</f>
        <v/>
      </c>
      <c r="AO252" s="599" t="n"/>
      <c r="AP252" s="599">
        <f>SUMIFS(stock[MT],stock[Bucket],scheduleapr[[#This Row],[Bucket]],stock[LL or CTL],"LL")</f>
        <v/>
      </c>
      <c r="AQ252" s="599">
        <f>+SUMIFS(wip[Stock(Net Wt)],wip[Bucket],scheduleapr[[#This Row],[Bucket]])/1000</f>
        <v/>
      </c>
      <c r="AR252" s="599">
        <f>AJ252-AN252</f>
        <v/>
      </c>
      <c r="AS252" s="118" t="n"/>
    </row>
    <row r="253">
      <c r="A253" s="594" t="n">
        <v>182</v>
      </c>
      <c r="B253" s="5" t="inlineStr">
        <is>
          <t>Hosur</t>
        </is>
      </c>
      <c r="C253" s="601" t="inlineStr">
        <is>
          <t>Metalman</t>
        </is>
      </c>
      <c r="D253" s="601" t="inlineStr">
        <is>
          <t>Metalman</t>
        </is>
      </c>
      <c r="E253" s="601" t="n">
        <v>188647</v>
      </c>
      <c r="F253" s="601" t="n"/>
      <c r="G253" s="601">
        <f>_xlfn.CONCAT(scheduleapr[[#This Row],[CUSTOMER CODE]],"-",scheduleapr[[#This Row],[MATERIAL NO]])</f>
        <v/>
      </c>
      <c r="H253" s="601" t="n"/>
      <c r="I253" s="601" t="inlineStr">
        <is>
          <t>ERW 1</t>
        </is>
      </c>
      <c r="J253" s="601" t="n"/>
      <c r="K253" s="601" t="n"/>
      <c r="L253" s="601" t="inlineStr">
        <is>
          <t>CR</t>
        </is>
      </c>
      <c r="M253" s="601" t="n"/>
      <c r="N253" s="601" t="n"/>
      <c r="O253" s="601" t="n"/>
      <c r="P253" s="601" t="n"/>
      <c r="Q253" s="557">
        <f>CONCATENATE(scheduleapr[[#This Row],[OD]],"-",scheduleapr[[#This Row],[ID]],"-",scheduleapr[[#This Row],[TICKNESS]],"-",scheduleapr[[#This Row],[Grade]],"-",scheduleapr[[#This Row],[FC/NFC]])</f>
        <v/>
      </c>
      <c r="R253" s="557">
        <f>_xlfn.CONCAT(scheduleapr[[#This Row],[Bucket]],"-",scheduleapr[[#This Row],[LENGTH]]/1000)</f>
        <v/>
      </c>
      <c r="S253" s="557">
        <f>COUNTIF([2]!buckets[CTL Bucket],[2]!scheduleapr[[#This Row],[CTL Bucket]])</f>
        <v/>
      </c>
      <c r="T253" s="557" t="n"/>
      <c r="U253" s="557" t="n"/>
      <c r="V253" s="557" t="n"/>
      <c r="W253" s="557" t="n"/>
      <c r="X253" s="599" t="n">
        <v>28.58</v>
      </c>
      <c r="Y253" s="599" t="n">
        <v>28.58</v>
      </c>
      <c r="Z253" s="6" t="n">
        <v>0</v>
      </c>
      <c r="AA253" s="599" t="n">
        <v>1.6</v>
      </c>
      <c r="AB253" s="600" t="n">
        <v>6000</v>
      </c>
      <c r="AC253" s="600" t="n"/>
      <c r="AD253" s="600" t="n"/>
      <c r="AE253" s="600" t="n"/>
      <c r="AF253" s="601" t="n"/>
      <c r="AG253" s="601" t="n"/>
      <c r="AH253" s="601">
        <f t="array" ref="AH2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3" s="602">
        <f>scheduleapr[[#This Row],[SCHEDULE in nos]]-scheduleapr[[#This Row],[DISPATCH]]</f>
        <v/>
      </c>
      <c r="AJ253" s="599">
        <f>(3.14*(scheduleapr[[#This Row],[ACTUAL OD]]-scheduleapr[[#This Row],[TICKNESS]])*scheduleapr[[#This Row],[TICKNESS]]*scheduleapr[[#This Row],[LENGTH]]*7.85)/1000000*scheduleapr[[#This Row],[SCHEDULE in nos]]/1000</f>
        <v/>
      </c>
      <c r="AK253" s="599">
        <f>(3.14*(scheduleapr[[#This Row],[ACTUAL OD]]-scheduleapr[[#This Row],[TICKNESS]])*scheduleapr[[#This Row],[TICKNESS]]*scheduleapr[[#This Row],[LENGTH]]*7.85)/1000000*scheduleapr[[#This Row],[DISPATCH]]/1000</f>
        <v/>
      </c>
      <c r="AL253" s="599">
        <f>AJ253-AK253</f>
        <v/>
      </c>
      <c r="AM253" s="599">
        <f>scheduleapr[[#This Row],[SCHEDULE in nos]]/scheduleapr[[#This Row],[SCHEDULE IN MT]]*scheduleapr[[#This Row],[CTL Stock]]</f>
        <v/>
      </c>
      <c r="AN253" s="599">
        <f>SUMIFS(stock[MT],stock[Bucket],scheduleapr[[#This Row],[Bucket]],stock[CTL Bucket],scheduleapr[[#This Row],[CTL Bucket]],stock[Plant],"0789")</f>
        <v/>
      </c>
      <c r="AO253" s="599" t="n"/>
      <c r="AP253" s="599">
        <f>SUMIFS(stock[MT],stock[Bucket],scheduleapr[[#This Row],[Bucket]],stock[LL or CTL],"LL")</f>
        <v/>
      </c>
      <c r="AQ253" s="599">
        <f>+SUMIFS(wip[Stock(Net Wt)],wip[Bucket],scheduleapr[[#This Row],[Bucket]])/1000</f>
        <v/>
      </c>
      <c r="AR253" s="599">
        <f>AJ253-AN253</f>
        <v/>
      </c>
      <c r="AS253" s="118" t="n"/>
    </row>
    <row r="254">
      <c r="A254" s="594" t="n">
        <v>183</v>
      </c>
      <c r="B254" s="5" t="inlineStr">
        <is>
          <t>Hosur</t>
        </is>
      </c>
      <c r="C254" s="601" t="inlineStr">
        <is>
          <t>Metalman</t>
        </is>
      </c>
      <c r="D254" s="601" t="inlineStr">
        <is>
          <t>Metalman</t>
        </is>
      </c>
      <c r="E254" s="601" t="n">
        <v>188647</v>
      </c>
      <c r="F254" s="601" t="n">
        <v>1940732</v>
      </c>
      <c r="G254" s="601">
        <f>_xlfn.CONCAT(scheduleapr[[#This Row],[CUSTOMER CODE]],"-",scheduleapr[[#This Row],[MATERIAL NO]])</f>
        <v/>
      </c>
      <c r="H254" s="601" t="inlineStr">
        <is>
          <t>TUB-O-O-AUT-AW-FC-38.10X1.600X0.8210</t>
        </is>
      </c>
      <c r="I254" s="601" t="inlineStr">
        <is>
          <t>ERW 1</t>
        </is>
      </c>
      <c r="J254" s="601" t="n"/>
      <c r="K254" s="601" t="inlineStr">
        <is>
          <t>FC</t>
        </is>
      </c>
      <c r="L254" s="601" t="inlineStr">
        <is>
          <t>HR</t>
        </is>
      </c>
      <c r="M254" s="601" t="inlineStr">
        <is>
          <t>GR1</t>
        </is>
      </c>
      <c r="N254" s="601" t="n"/>
      <c r="O254" s="601" t="n"/>
      <c r="P254" s="601" t="n"/>
      <c r="Q254" s="557">
        <f>CONCATENATE(scheduleapr[[#This Row],[OD]],"-",scheduleapr[[#This Row],[ID]],"-",scheduleapr[[#This Row],[TICKNESS]],"-",scheduleapr[[#This Row],[Grade]],"-",scheduleapr[[#This Row],[FC/NFC]])</f>
        <v/>
      </c>
      <c r="R254" s="557">
        <f>_xlfn.CONCAT(scheduleapr[[#This Row],[Bucket]],"-",scheduleapr[[#This Row],[LENGTH]]/1000)</f>
        <v/>
      </c>
      <c r="S254" s="557">
        <f>COUNTIF([2]!buckets[CTL Bucket],[2]!scheduleapr[[#This Row],[CTL Bucket]])</f>
        <v/>
      </c>
      <c r="T254" s="601" t="inlineStr">
        <is>
          <t>Hosur</t>
        </is>
      </c>
      <c r="U254" s="601">
        <f>_xlfn.IFNA(VLOOKUP(scheduleapr[[#This Row],[Bucket]],salesforecast[[#All],[Bucket2]:[8406 Stock]],19,0),0)</f>
        <v/>
      </c>
      <c r="V254" s="562">
        <f>_xlfn.IFNA(VLOOKUP(scheduleapr[[#This Row],[Bucket]],salesforecast[[#All],[Bucket2]:[8406 Stock]],20,0),0)+_xlfn.IFNA(VLOOKUP(scheduleapr[[#This Row],[Bucket]],salesforecast[[#All],[Bucket2]:[8406 Stock]],17,0),0)</f>
        <v/>
      </c>
      <c r="W254" s="557" t="n"/>
      <c r="X254" s="599" t="n">
        <v>38.1</v>
      </c>
      <c r="Y254" s="599" t="n">
        <v>38.1</v>
      </c>
      <c r="Z254" s="599" t="n">
        <v>0</v>
      </c>
      <c r="AA254" s="599" t="n">
        <v>1.6</v>
      </c>
      <c r="AB254" s="600" t="n">
        <v>821</v>
      </c>
      <c r="AC254" s="600" t="inlineStr">
        <is>
          <t>NOS</t>
        </is>
      </c>
      <c r="AD254" s="600" t="n"/>
      <c r="AE254" s="600" t="n"/>
      <c r="AF254" s="601" t="n">
        <v>3000</v>
      </c>
      <c r="AG254" s="601" t="n"/>
      <c r="AH254" s="601">
        <f t="array" ref="AH2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4" s="602">
        <f>scheduleapr[[#This Row],[SCHEDULE in nos]]-scheduleapr[[#This Row],[DISPATCH]]</f>
        <v/>
      </c>
      <c r="AJ254" s="599">
        <f>(3.14*(scheduleapr[[#This Row],[ACTUAL OD]]-scheduleapr[[#This Row],[TICKNESS]])*scheduleapr[[#This Row],[TICKNESS]]*scheduleapr[[#This Row],[LENGTH]]*7.85)/1000000*scheduleapr[[#This Row],[SCHEDULE in nos]]/1000</f>
        <v/>
      </c>
      <c r="AK254" s="599">
        <f>(3.14*(scheduleapr[[#This Row],[ACTUAL OD]]-scheduleapr[[#This Row],[TICKNESS]])*scheduleapr[[#This Row],[TICKNESS]]*scheduleapr[[#This Row],[LENGTH]]*7.85)/1000000*scheduleapr[[#This Row],[DISPATCH]]/1000</f>
        <v/>
      </c>
      <c r="AL254" s="599">
        <f>AJ254-AK254</f>
        <v/>
      </c>
      <c r="AM254" s="599">
        <f>scheduleapr[[#This Row],[SCHEDULE in nos]]/scheduleapr[[#This Row],[SCHEDULE IN MT]]*scheduleapr[[#This Row],[CTL Stock]]</f>
        <v/>
      </c>
      <c r="AN254" s="599">
        <f>SUMIFS(stock[MT],stock[Bucket],scheduleapr[[#This Row],[Bucket]],stock[CTL Bucket],scheduleapr[[#This Row],[CTL Bucket]],stock[Plant],"0789")</f>
        <v/>
      </c>
      <c r="AO254" s="599" t="n"/>
      <c r="AP254" s="599">
        <f>SUMIFS(stock[MT],stock[Bucket],scheduleapr[[#This Row],[Bucket]],stock[LL or CTL],"LL")</f>
        <v/>
      </c>
      <c r="AQ254" s="599">
        <f>+SUMIFS(wip[Stock(Net Wt)],wip[Bucket],scheduleapr[[#This Row],[Bucket]])/1000</f>
        <v/>
      </c>
      <c r="AR254" s="599">
        <f>AJ254-AN254</f>
        <v/>
      </c>
      <c r="AS254" s="118" t="n"/>
    </row>
    <row r="255">
      <c r="A255" s="594" t="n">
        <v>186</v>
      </c>
      <c r="B255" s="5" t="inlineStr">
        <is>
          <t>Hosur</t>
        </is>
      </c>
      <c r="C255" s="601" t="inlineStr">
        <is>
          <t>Metalman</t>
        </is>
      </c>
      <c r="D255" s="601" t="inlineStr">
        <is>
          <t>Metalman</t>
        </is>
      </c>
      <c r="E255" s="601" t="n">
        <v>188647</v>
      </c>
      <c r="F255" s="601" t="n">
        <v>3768902</v>
      </c>
      <c r="G255" s="601">
        <f>_xlfn.CONCAT(scheduleapr[[#This Row],[CUSTOMER CODE]],"-",scheduleapr[[#This Row],[MATERIAL NO]])</f>
        <v/>
      </c>
      <c r="H255" s="601" t="inlineStr">
        <is>
          <t xml:space="preserve">CUT-O-N-AUT-AW-FC-38.10X2.000X0.2770 </t>
        </is>
      </c>
      <c r="I255" s="601" t="inlineStr">
        <is>
          <t>ERW 1</t>
        </is>
      </c>
      <c r="J255" s="601" t="n"/>
      <c r="K255" s="601" t="n"/>
      <c r="L255" s="601" t="inlineStr">
        <is>
          <t>HR</t>
        </is>
      </c>
      <c r="M255" s="601" t="n"/>
      <c r="N255" s="601" t="n"/>
      <c r="O255" s="601" t="n"/>
      <c r="P255" s="601" t="n"/>
      <c r="Q255" s="557">
        <f>CONCATENATE(scheduleapr[[#This Row],[OD]],"-",scheduleapr[[#This Row],[ID]],"-",scheduleapr[[#This Row],[TICKNESS]],"-",scheduleapr[[#This Row],[Grade]],"-",scheduleapr[[#This Row],[FC/NFC]])</f>
        <v/>
      </c>
      <c r="R255" s="557">
        <f>_xlfn.CONCAT(scheduleapr[[#This Row],[Bucket]],"-",scheduleapr[[#This Row],[LENGTH]]/1000)</f>
        <v/>
      </c>
      <c r="S255" s="557">
        <f>COUNTIF([2]!buckets[CTL Bucket],[2]!scheduleapr[[#This Row],[CTL Bucket]])</f>
        <v/>
      </c>
      <c r="T255" s="557" t="n"/>
      <c r="U255" s="557" t="n"/>
      <c r="V255" s="557" t="n"/>
      <c r="W255" s="557" t="n"/>
      <c r="X255" s="599" t="n">
        <v>38.1</v>
      </c>
      <c r="Y255" s="599" t="n">
        <v>38.1</v>
      </c>
      <c r="Z255" s="599" t="n">
        <v>0</v>
      </c>
      <c r="AA255" s="599" t="n">
        <v>2</v>
      </c>
      <c r="AB255" s="600" t="n">
        <v>276.5</v>
      </c>
      <c r="AC255" s="600" t="n"/>
      <c r="AD255" s="600" t="n"/>
      <c r="AE255" s="600" t="n"/>
      <c r="AF255" s="601" t="n"/>
      <c r="AG255" s="601" t="n"/>
      <c r="AH255" s="601">
        <f t="array" ref="AH2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5" s="602">
        <f>scheduleapr[[#This Row],[SCHEDULE in nos]]-scheduleapr[[#This Row],[DISPATCH]]</f>
        <v/>
      </c>
      <c r="AJ255" s="599">
        <f>(3.14*(scheduleapr[[#This Row],[ACTUAL OD]]-scheduleapr[[#This Row],[TICKNESS]])*scheduleapr[[#This Row],[TICKNESS]]*scheduleapr[[#This Row],[LENGTH]]*7.85)/1000000*scheduleapr[[#This Row],[SCHEDULE in nos]]/1000</f>
        <v/>
      </c>
      <c r="AK255" s="599">
        <f>(3.14*(scheduleapr[[#This Row],[ACTUAL OD]]-scheduleapr[[#This Row],[TICKNESS]])*scheduleapr[[#This Row],[TICKNESS]]*scheduleapr[[#This Row],[LENGTH]]*7.85)/1000000*scheduleapr[[#This Row],[DISPATCH]]/1000</f>
        <v/>
      </c>
      <c r="AL255" s="599">
        <f>AJ255-AK255</f>
        <v/>
      </c>
      <c r="AM255" s="599">
        <f>scheduleapr[[#This Row],[SCHEDULE in nos]]/scheduleapr[[#This Row],[SCHEDULE IN MT]]*scheduleapr[[#This Row],[CTL Stock]]</f>
        <v/>
      </c>
      <c r="AN255" s="599">
        <f>SUMIFS(stock[MT],stock[Bucket],scheduleapr[[#This Row],[Bucket]],stock[CTL Bucket],scheduleapr[[#This Row],[CTL Bucket]],stock[Plant],"0789")</f>
        <v/>
      </c>
      <c r="AO255" s="599" t="n"/>
      <c r="AP255" s="599">
        <f>SUMIFS(stock[MT],stock[Bucket],scheduleapr[[#This Row],[Bucket]],stock[LL or CTL],"LL")</f>
        <v/>
      </c>
      <c r="AQ255" s="599">
        <f>+SUMIFS(wip[Stock(Net Wt)],wip[Bucket],scheduleapr[[#This Row],[Bucket]])/1000</f>
        <v/>
      </c>
      <c r="AR255" s="599">
        <f>AJ255-AN255</f>
        <v/>
      </c>
      <c r="AS255" s="118" t="n"/>
    </row>
    <row r="256">
      <c r="A256" s="594" t="n">
        <v>189</v>
      </c>
      <c r="B256" s="5" t="inlineStr">
        <is>
          <t>Hosur</t>
        </is>
      </c>
      <c r="C256" s="601" t="inlineStr">
        <is>
          <t>Metalman</t>
        </is>
      </c>
      <c r="D256" s="601" t="inlineStr">
        <is>
          <t>Metalman</t>
        </is>
      </c>
      <c r="E256" s="601" t="n">
        <v>188647</v>
      </c>
      <c r="F256" s="601" t="n">
        <v>3768905</v>
      </c>
      <c r="G256" s="601">
        <f>_xlfn.CONCAT(scheduleapr[[#This Row],[CUSTOMER CODE]],"-",scheduleapr[[#This Row],[MATERIAL NO]])</f>
        <v/>
      </c>
      <c r="H256" s="601" t="inlineStr">
        <is>
          <t>CUT-R-AW-AUT-40.00X25.00X1.600X0.3220</t>
        </is>
      </c>
      <c r="I256" s="601" t="inlineStr">
        <is>
          <t>ERW 1</t>
        </is>
      </c>
      <c r="J256" s="601" t="n"/>
      <c r="K256" s="601" t="inlineStr">
        <is>
          <t>FC</t>
        </is>
      </c>
      <c r="L256" s="601" t="inlineStr">
        <is>
          <t>CR</t>
        </is>
      </c>
      <c r="M256" s="596" t="inlineStr">
        <is>
          <t>KGR2</t>
        </is>
      </c>
      <c r="N256" s="601" t="n"/>
      <c r="O256" s="601" t="n"/>
      <c r="P256" s="601" t="n"/>
      <c r="Q256" s="557">
        <f>CONCATENATE(scheduleapr[[#This Row],[OD]],"-",scheduleapr[[#This Row],[ID]],"-",scheduleapr[[#This Row],[TICKNESS]],"-",scheduleapr[[#This Row],[Grade]],"-",scheduleapr[[#This Row],[FC/NFC]])</f>
        <v/>
      </c>
      <c r="R256" s="557">
        <f>_xlfn.CONCAT(scheduleapr[[#This Row],[Bucket]],"-",scheduleapr[[#This Row],[LENGTH]]/1000)</f>
        <v/>
      </c>
      <c r="S256" s="557">
        <f>COUNTIF(scheduleapr[CTL Bucket],scheduleapr[[#This Row],[CTL Bucket]])</f>
        <v/>
      </c>
      <c r="T256" s="557" t="n"/>
      <c r="U256" s="557" t="n"/>
      <c r="V256" s="557" t="n"/>
      <c r="W256" s="557" t="n"/>
      <c r="X256" s="599" t="n">
        <v>41.28</v>
      </c>
      <c r="Y256" s="599" t="n">
        <v>40</v>
      </c>
      <c r="Z256" s="599" t="n">
        <v>25</v>
      </c>
      <c r="AA256" s="599" t="n">
        <v>1.6</v>
      </c>
      <c r="AB256" s="600" t="n">
        <v>322</v>
      </c>
      <c r="AC256" s="600" t="inlineStr">
        <is>
          <t>NOS</t>
        </is>
      </c>
      <c r="AD256" s="600" t="n"/>
      <c r="AE256" s="600" t="n"/>
      <c r="AF256" s="601" t="n"/>
      <c r="AG256" s="601" t="n"/>
      <c r="AH256" s="601">
        <f t="array" ref="AH2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6" s="602">
        <f>scheduleapr[[#This Row],[SCHEDULE in nos]]-scheduleapr[[#This Row],[DISPATCH]]</f>
        <v/>
      </c>
      <c r="AJ256" s="599">
        <f>(3.14*(scheduleapr[[#This Row],[ACTUAL OD]]-scheduleapr[[#This Row],[TICKNESS]])*scheduleapr[[#This Row],[TICKNESS]]*scheduleapr[[#This Row],[LENGTH]]*7.85)/1000000*scheduleapr[[#This Row],[SCHEDULE in nos]]/1000</f>
        <v/>
      </c>
      <c r="AK256" s="599">
        <f>(3.14*(scheduleapr[[#This Row],[ACTUAL OD]]-scheduleapr[[#This Row],[TICKNESS]])*scheduleapr[[#This Row],[TICKNESS]]*scheduleapr[[#This Row],[LENGTH]]*7.85)/1000000*scheduleapr[[#This Row],[DISPATCH]]/1000</f>
        <v/>
      </c>
      <c r="AL256" s="599">
        <f>AJ256-AK256</f>
        <v/>
      </c>
      <c r="AM256" s="599">
        <f>scheduleapr[[#This Row],[SCHEDULE in nos]]/scheduleapr[[#This Row],[SCHEDULE IN MT]]*scheduleapr[[#This Row],[CTL Stock]]</f>
        <v/>
      </c>
      <c r="AN256" s="599">
        <f>SUMIFS(stock[MT],stock[Bucket],scheduleapr[[#This Row],[Bucket]],stock[CTL Bucket],scheduleapr[[#This Row],[CTL Bucket]],stock[Plant],"0789")</f>
        <v/>
      </c>
      <c r="AO256" s="599" t="n"/>
      <c r="AP256" s="599">
        <f>SUMIFS(stock[MT],stock[Bucket],scheduleapr[[#This Row],[Bucket]],stock[LL or CTL],"LL")</f>
        <v/>
      </c>
      <c r="AQ256" s="599">
        <f>+SUMIFS(wip[Stock(Net Wt)],wip[Bucket],scheduleapr[[#This Row],[Bucket]])/1000</f>
        <v/>
      </c>
      <c r="AR256" s="599">
        <f>AJ256-AN256</f>
        <v/>
      </c>
      <c r="AS256" s="118" t="n"/>
    </row>
    <row r="257">
      <c r="A257" s="594" t="n">
        <v>190</v>
      </c>
      <c r="B257" s="5" t="inlineStr">
        <is>
          <t>Hosur</t>
        </is>
      </c>
      <c r="C257" s="601" t="inlineStr">
        <is>
          <t>Metalman</t>
        </is>
      </c>
      <c r="D257" s="601" t="inlineStr">
        <is>
          <t>Metalman</t>
        </is>
      </c>
      <c r="E257" s="601" t="n">
        <v>188647</v>
      </c>
      <c r="F257" s="601" t="n">
        <v>3768907</v>
      </c>
      <c r="G257" s="601">
        <f>_xlfn.CONCAT(scheduleapr[[#This Row],[CUSTOMER CODE]],"-",scheduleapr[[#This Row],[MATERIAL NO]])</f>
        <v/>
      </c>
      <c r="H257" s="601" t="inlineStr">
        <is>
          <t>CUT-O-N-AUT-AW-FC-41.28X3.200X0.2460</t>
        </is>
      </c>
      <c r="I257" s="601" t="inlineStr">
        <is>
          <t>ERW 1</t>
        </is>
      </c>
      <c r="J257" s="601" t="n"/>
      <c r="K257" s="601" t="inlineStr">
        <is>
          <t>FC</t>
        </is>
      </c>
      <c r="L257" s="601" t="inlineStr">
        <is>
          <t>HR</t>
        </is>
      </c>
      <c r="M257" s="601" t="n"/>
      <c r="N257" s="601" t="inlineStr">
        <is>
          <t>Chamferring</t>
        </is>
      </c>
      <c r="O257" s="601" t="n"/>
      <c r="P257" s="601" t="n"/>
      <c r="Q257" s="557">
        <f>CONCATENATE(scheduleapr[[#This Row],[OD]],"-",scheduleapr[[#This Row],[ID]],"-",scheduleapr[[#This Row],[TICKNESS]],"-",scheduleapr[[#This Row],[Grade]],"-",scheduleapr[[#This Row],[FC/NFC]])</f>
        <v/>
      </c>
      <c r="R257" s="557">
        <f>_xlfn.CONCAT(scheduleapr[[#This Row],[Bucket]],"-",scheduleapr[[#This Row],[LENGTH]]/1000)</f>
        <v/>
      </c>
      <c r="S257" s="557">
        <f>COUNTIF([2]!buckets[CTL Bucket],[2]!scheduleapr[[#This Row],[CTL Bucket]])</f>
        <v/>
      </c>
      <c r="T257" s="601" t="inlineStr">
        <is>
          <t>Hosur</t>
        </is>
      </c>
      <c r="U257" s="601">
        <f>_xlfn.IFNA(VLOOKUP(scheduleapr[[#This Row],[Bucket]],salesforecast[[#All],[Bucket2]:[8406 Stock]],19,0),0)</f>
        <v/>
      </c>
      <c r="V257" s="562">
        <f>_xlfn.IFNA(VLOOKUP(scheduleapr[[#This Row],[Bucket]],salesforecast[[#All],[Bucket2]:[8406 Stock]],20,0),0)+_xlfn.IFNA(VLOOKUP(scheduleapr[[#This Row],[Bucket]],salesforecast[[#All],[Bucket2]:[8406 Stock]],17,0),0)</f>
        <v/>
      </c>
      <c r="W257" s="557" t="n"/>
      <c r="X257" s="599" t="n">
        <v>41.28</v>
      </c>
      <c r="Y257" s="599" t="n">
        <v>41.28</v>
      </c>
      <c r="Z257" s="599" t="n">
        <v>0</v>
      </c>
      <c r="AA257" s="599" t="n">
        <v>3.2</v>
      </c>
      <c r="AB257" s="600" t="n">
        <v>246</v>
      </c>
      <c r="AC257" s="600" t="inlineStr">
        <is>
          <t>NOS</t>
        </is>
      </c>
      <c r="AD257" s="600" t="n"/>
      <c r="AE257" s="600" t="n"/>
      <c r="AF257" s="601" t="n">
        <v>10000</v>
      </c>
      <c r="AG257" s="601" t="n"/>
      <c r="AH257" s="601">
        <f t="array" ref="AH2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7" s="602">
        <f>scheduleapr[[#This Row],[SCHEDULE in nos]]-scheduleapr[[#This Row],[DISPATCH]]</f>
        <v/>
      </c>
      <c r="AJ257" s="599">
        <f>(3.14*(scheduleapr[[#This Row],[ACTUAL OD]]-scheduleapr[[#This Row],[TICKNESS]])*scheduleapr[[#This Row],[TICKNESS]]*scheduleapr[[#This Row],[LENGTH]]*7.85)/1000000*scheduleapr[[#This Row],[SCHEDULE in nos]]/1000</f>
        <v/>
      </c>
      <c r="AK257" s="599">
        <f>(3.14*(scheduleapr[[#This Row],[ACTUAL OD]]-scheduleapr[[#This Row],[TICKNESS]])*scheduleapr[[#This Row],[TICKNESS]]*scheduleapr[[#This Row],[LENGTH]]*7.85)/1000000*scheduleapr[[#This Row],[DISPATCH]]/1000</f>
        <v/>
      </c>
      <c r="AL257" s="599">
        <f>AJ257-AK257</f>
        <v/>
      </c>
      <c r="AM257" s="599">
        <f>scheduleapr[[#This Row],[SCHEDULE in nos]]/scheduleapr[[#This Row],[SCHEDULE IN MT]]*scheduleapr[[#This Row],[CTL Stock]]</f>
        <v/>
      </c>
      <c r="AN257" s="599">
        <f>SUMIFS(stock[MT],stock[Bucket],scheduleapr[[#This Row],[Bucket]],stock[CTL Bucket],scheduleapr[[#This Row],[CTL Bucket]],stock[Plant],"0789")</f>
        <v/>
      </c>
      <c r="AO257" s="599" t="n"/>
      <c r="AP257" s="599">
        <f>SUMIFS(stock[MT],stock[Bucket],scheduleapr[[#This Row],[Bucket]],stock[LL or CTL],"LL")</f>
        <v/>
      </c>
      <c r="AQ257" s="599">
        <f>+SUMIFS(wip[Stock(Net Wt)],wip[Bucket],scheduleapr[[#This Row],[Bucket]])/1000</f>
        <v/>
      </c>
      <c r="AR257" s="599" t="inlineStr">
        <is>
          <t> </t>
        </is>
      </c>
      <c r="AS257" s="118" t="n"/>
    </row>
    <row r="258">
      <c r="A258" s="594" t="n">
        <v>191</v>
      </c>
      <c r="B258" s="5" t="inlineStr">
        <is>
          <t xml:space="preserve">Khopoli </t>
        </is>
      </c>
      <c r="C258" s="601" t="inlineStr">
        <is>
          <t>Metalman</t>
        </is>
      </c>
      <c r="D258" s="601" t="inlineStr">
        <is>
          <t>Metalman</t>
        </is>
      </c>
      <c r="E258" s="601" t="n">
        <v>188647</v>
      </c>
      <c r="F258" s="601" t="n"/>
      <c r="G258" s="601">
        <f>_xlfn.CONCAT(scheduleapr[[#This Row],[CUSTOMER CODE]],"-",scheduleapr[[#This Row],[MATERIAL NO]])</f>
        <v/>
      </c>
      <c r="H258" s="601" t="n"/>
      <c r="I258" s="601" t="inlineStr">
        <is>
          <t>ERW 1</t>
        </is>
      </c>
      <c r="J258" s="601" t="inlineStr">
        <is>
          <t>Annealed</t>
        </is>
      </c>
      <c r="K258" s="601" t="n"/>
      <c r="L258" s="601" t="inlineStr">
        <is>
          <t>HR</t>
        </is>
      </c>
      <c r="M258" s="601" t="n"/>
      <c r="N258" s="601" t="n"/>
      <c r="O258" s="601" t="n"/>
      <c r="P258" s="601" t="n"/>
      <c r="Q258" s="557">
        <f>CONCATENATE(scheduleapr[[#This Row],[OD]],"-",scheduleapr[[#This Row],[ID]],"-",scheduleapr[[#This Row],[TICKNESS]],"-",scheduleapr[[#This Row],[Grade]],"-",scheduleapr[[#This Row],[FC/NFC]])</f>
        <v/>
      </c>
      <c r="R258" s="557">
        <f>_xlfn.CONCAT(scheduleapr[[#This Row],[Bucket]],"-",scheduleapr[[#This Row],[LENGTH]]/1000)</f>
        <v/>
      </c>
      <c r="S258" s="557">
        <f>COUNTIF([2]!buckets[CTL Bucket],[2]!scheduleapr[[#This Row],[CTL Bucket]])</f>
        <v/>
      </c>
      <c r="T258" s="557" t="n"/>
      <c r="U258" s="557" t="n"/>
      <c r="V258" s="557" t="n"/>
      <c r="W258" s="557" t="n"/>
      <c r="X258" s="599" t="n">
        <v>42.7</v>
      </c>
      <c r="Y258" s="599" t="n">
        <v>0</v>
      </c>
      <c r="Z258" s="599" t="n">
        <v>0</v>
      </c>
      <c r="AA258" s="599" t="n">
        <v>4</v>
      </c>
      <c r="AB258" s="600" t="n">
        <v>266</v>
      </c>
      <c r="AC258" s="600" t="n"/>
      <c r="AD258" s="600" t="n"/>
      <c r="AE258" s="600" t="n"/>
      <c r="AF258" s="601" t="n"/>
      <c r="AG258" s="601" t="n"/>
      <c r="AH258" s="601">
        <f t="array" ref="AH2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8" s="602">
        <f>scheduleapr[[#This Row],[SCHEDULE in nos]]-scheduleapr[[#This Row],[DISPATCH]]</f>
        <v/>
      </c>
      <c r="AJ258" s="599">
        <f>(3.14*(scheduleapr[[#This Row],[ACTUAL OD]]-scheduleapr[[#This Row],[TICKNESS]])*scheduleapr[[#This Row],[TICKNESS]]*scheduleapr[[#This Row],[LENGTH]]*7.85)/1000000*scheduleapr[[#This Row],[SCHEDULE in nos]]/1000</f>
        <v/>
      </c>
      <c r="AK258" s="599">
        <f>(3.14*(scheduleapr[[#This Row],[ACTUAL OD]]-scheduleapr[[#This Row],[TICKNESS]])*scheduleapr[[#This Row],[TICKNESS]]*scheduleapr[[#This Row],[LENGTH]]*7.85)/1000000*scheduleapr[[#This Row],[DISPATCH]]/1000</f>
        <v/>
      </c>
      <c r="AL258" s="599">
        <f>AJ258-AK258</f>
        <v/>
      </c>
      <c r="AM258" s="599">
        <f>scheduleapr[[#This Row],[SCHEDULE in nos]]/scheduleapr[[#This Row],[SCHEDULE IN MT]]*scheduleapr[[#This Row],[CTL Stock]]</f>
        <v/>
      </c>
      <c r="AN258" s="599">
        <f>SUMIFS(stock[MT],stock[Bucket],scheduleapr[[#This Row],[Bucket]],stock[CTL Bucket],scheduleapr[[#This Row],[CTL Bucket]],stock[Plant],"0789")</f>
        <v/>
      </c>
      <c r="AO258" s="599" t="n"/>
      <c r="AP258" s="599">
        <f>SUMIFS(stock[MT],stock[Bucket],scheduleapr[[#This Row],[Bucket]],stock[LL or CTL],"LL")</f>
        <v/>
      </c>
      <c r="AQ258" s="599">
        <f>+SUMIFS(wip[Stock(Net Wt)],wip[Bucket],scheduleapr[[#This Row],[Bucket]])/1000</f>
        <v/>
      </c>
      <c r="AR258" s="599">
        <f>AJ258-AN258</f>
        <v/>
      </c>
      <c r="AS258" s="118" t="n"/>
    </row>
    <row r="259">
      <c r="A259" s="594" t="n">
        <v>192</v>
      </c>
      <c r="B259" s="5" t="inlineStr">
        <is>
          <t xml:space="preserve">Khopoli </t>
        </is>
      </c>
      <c r="C259" s="601" t="inlineStr">
        <is>
          <t>Metalman</t>
        </is>
      </c>
      <c r="D259" s="601" t="inlineStr">
        <is>
          <t>Metalman</t>
        </is>
      </c>
      <c r="E259" s="601" t="n">
        <v>188647</v>
      </c>
      <c r="F259" s="601" t="n">
        <v>2417648</v>
      </c>
      <c r="G259" s="601">
        <f>_xlfn.CONCAT(scheduleapr[[#This Row],[CUSTOMER CODE]],"-",scheduleapr[[#This Row],[MATERIAL NO]])</f>
        <v/>
      </c>
      <c r="H259" s="601" t="inlineStr">
        <is>
          <t>TUB-O-N-AUT-AN-FC-42.70X3.500X0.2100</t>
        </is>
      </c>
      <c r="I259" s="601" t="inlineStr">
        <is>
          <t>ERW 1</t>
        </is>
      </c>
      <c r="J259" s="601" t="inlineStr">
        <is>
          <t>Annealed</t>
        </is>
      </c>
      <c r="K259" s="601" t="inlineStr">
        <is>
          <t>FC</t>
        </is>
      </c>
      <c r="L259" s="601" t="inlineStr">
        <is>
          <t>HR</t>
        </is>
      </c>
      <c r="M259" s="601" t="n"/>
      <c r="N259" s="601" t="inlineStr">
        <is>
          <t>Chamferring</t>
        </is>
      </c>
      <c r="O259" s="601" t="n"/>
      <c r="P259" s="601" t="n"/>
      <c r="Q259" s="557">
        <f>CONCATENATE(scheduleapr[[#This Row],[OD]],"-",scheduleapr[[#This Row],[ID]],"-",scheduleapr[[#This Row],[TICKNESS]],"-",scheduleapr[[#This Row],[Grade]],"-",scheduleapr[[#This Row],[FC/NFC]])</f>
        <v/>
      </c>
      <c r="R259" s="557">
        <f>_xlfn.CONCAT(scheduleapr[[#This Row],[Bucket]],"-",scheduleapr[[#This Row],[LENGTH]]/1000)</f>
        <v/>
      </c>
      <c r="S259" s="557">
        <f>COUNTIF([2]!buckets[CTL Bucket],[2]!scheduleapr[[#This Row],[CTL Bucket]])</f>
        <v/>
      </c>
      <c r="T259" s="601" t="inlineStr">
        <is>
          <t>Khopoli</t>
        </is>
      </c>
      <c r="U259" s="601">
        <f>_xlfn.IFNA(VLOOKUP(scheduleapr[[#This Row],[Bucket]],salesforecast[[#All],[Bucket2]:[8406 Stock]],19,0),0)</f>
        <v/>
      </c>
      <c r="V259" s="562">
        <f>_xlfn.IFNA(VLOOKUP(scheduleapr[[#This Row],[Bucket]],salesforecast[[#All],[Bucket2]:[8406 Stock]],20,0),0)+_xlfn.IFNA(VLOOKUP(scheduleapr[[#This Row],[Bucket]],salesforecast[[#All],[Bucket2]:[8406 Stock]],17,0),0)</f>
        <v/>
      </c>
      <c r="W259" s="557" t="n"/>
      <c r="X259" s="599" t="n">
        <v>42.7</v>
      </c>
      <c r="Y259" s="599" t="n">
        <v>42.7</v>
      </c>
      <c r="Z259" s="599" t="n">
        <v>0</v>
      </c>
      <c r="AA259" s="599" t="n">
        <v>3.5</v>
      </c>
      <c r="AB259" s="600" t="n">
        <v>210</v>
      </c>
      <c r="AC259" s="600" t="inlineStr">
        <is>
          <t>NOS</t>
        </is>
      </c>
      <c r="AD259" s="600" t="n"/>
      <c r="AE259" s="600" t="n"/>
      <c r="AF259" s="601" t="n">
        <v>3000</v>
      </c>
      <c r="AG259" s="601" t="n"/>
      <c r="AH259" s="601">
        <f t="array" ref="AH2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59" s="602">
        <f>scheduleapr[[#This Row],[SCHEDULE in nos]]-scheduleapr[[#This Row],[DISPATCH]]</f>
        <v/>
      </c>
      <c r="AJ259" s="599">
        <f>(3.14*(scheduleapr[[#This Row],[ACTUAL OD]]-scheduleapr[[#This Row],[TICKNESS]])*scheduleapr[[#This Row],[TICKNESS]]*scheduleapr[[#This Row],[LENGTH]]*7.85)/1000000*scheduleapr[[#This Row],[SCHEDULE in nos]]/1000</f>
        <v/>
      </c>
      <c r="AK259" s="599">
        <f>(3.14*(scheduleapr[[#This Row],[ACTUAL OD]]-scheduleapr[[#This Row],[TICKNESS]])*scheduleapr[[#This Row],[TICKNESS]]*scheduleapr[[#This Row],[LENGTH]]*7.85)/1000000*scheduleapr[[#This Row],[DISPATCH]]/1000</f>
        <v/>
      </c>
      <c r="AL259" s="599">
        <f>AJ259-AK259</f>
        <v/>
      </c>
      <c r="AM259" s="599">
        <f>scheduleapr[[#This Row],[SCHEDULE in nos]]/scheduleapr[[#This Row],[SCHEDULE IN MT]]*scheduleapr[[#This Row],[CTL Stock]]</f>
        <v/>
      </c>
      <c r="AN259" s="599">
        <f>SUMIFS(stock[MT],stock[Bucket],scheduleapr[[#This Row],[Bucket]],stock[CTL Bucket],scheduleapr[[#This Row],[CTL Bucket]],stock[Plant],"0789")</f>
        <v/>
      </c>
      <c r="AO259" s="599" t="n"/>
      <c r="AP259" s="599">
        <f>SUMIFS(stock[MT],stock[Bucket],scheduleapr[[#This Row],[Bucket]],stock[LL or CTL],"LL")</f>
        <v/>
      </c>
      <c r="AQ259" s="599">
        <f>+SUMIFS(wip[Stock(Net Wt)],wip[Bucket],scheduleapr[[#This Row],[Bucket]])/1000</f>
        <v/>
      </c>
      <c r="AR259" s="599">
        <f>AJ259-AN259</f>
        <v/>
      </c>
      <c r="AS259" s="118" t="n"/>
    </row>
    <row r="260">
      <c r="A260" s="594" t="n">
        <v>194</v>
      </c>
      <c r="B260" s="5" t="inlineStr">
        <is>
          <t xml:space="preserve">Khopoli </t>
        </is>
      </c>
      <c r="C260" s="601" t="inlineStr">
        <is>
          <t>Metalman</t>
        </is>
      </c>
      <c r="D260" s="601" t="inlineStr">
        <is>
          <t>Metalman</t>
        </is>
      </c>
      <c r="E260" s="601" t="n">
        <v>188647</v>
      </c>
      <c r="F260" s="601" t="n">
        <v>2428441</v>
      </c>
      <c r="G260" s="601">
        <f>_xlfn.CONCAT(scheduleapr[[#This Row],[CUSTOMER CODE]],"-",scheduleapr[[#This Row],[MATERIAL NO]])</f>
        <v/>
      </c>
      <c r="H260" s="601" t="inlineStr">
        <is>
          <t>TUB-O-N-AUT-AN-FC-42.70X4.000X0.2350</t>
        </is>
      </c>
      <c r="I260" s="601" t="inlineStr">
        <is>
          <t>ERW 1</t>
        </is>
      </c>
      <c r="J260" s="601" t="inlineStr">
        <is>
          <t>Annealed</t>
        </is>
      </c>
      <c r="K260" s="601" t="inlineStr">
        <is>
          <t>FC</t>
        </is>
      </c>
      <c r="L260" s="601" t="inlineStr">
        <is>
          <t>HR</t>
        </is>
      </c>
      <c r="M260" s="601" t="n"/>
      <c r="N260" s="601" t="inlineStr">
        <is>
          <t>Chamferring</t>
        </is>
      </c>
      <c r="O260" s="601" t="n"/>
      <c r="P260" s="601" t="n"/>
      <c r="Q260" s="557">
        <f>CONCATENATE(scheduleapr[[#This Row],[OD]],"-",scheduleapr[[#This Row],[ID]],"-",scheduleapr[[#This Row],[TICKNESS]],"-",scheduleapr[[#This Row],[Grade]],"-",scheduleapr[[#This Row],[FC/NFC]])</f>
        <v/>
      </c>
      <c r="R260" s="557">
        <f>_xlfn.CONCAT(scheduleapr[[#This Row],[Bucket]],"-",scheduleapr[[#This Row],[LENGTH]]/1000)</f>
        <v/>
      </c>
      <c r="S260" s="557">
        <f>COUNTIF([2]!buckets[CTL Bucket],[2]!scheduleapr[[#This Row],[CTL Bucket]])</f>
        <v/>
      </c>
      <c r="T260" s="601" t="inlineStr">
        <is>
          <t>Khopoli</t>
        </is>
      </c>
      <c r="U260" s="601">
        <f>_xlfn.IFNA(VLOOKUP(scheduleapr[[#This Row],[Bucket]],salesforecast[[#All],[Bucket2]:[8406 Stock]],19,0),0)</f>
        <v/>
      </c>
      <c r="V260" s="562">
        <f>_xlfn.IFNA(VLOOKUP(scheduleapr[[#This Row],[Bucket]],salesforecast[[#All],[Bucket2]:[8406 Stock]],20,0),0)+_xlfn.IFNA(VLOOKUP(scheduleapr[[#This Row],[Bucket]],salesforecast[[#All],[Bucket2]:[8406 Stock]],17,0),0)</f>
        <v/>
      </c>
      <c r="W260" s="557" t="n"/>
      <c r="X260" s="599" t="n">
        <v>42.7</v>
      </c>
      <c r="Y260" s="599" t="n">
        <v>42.7</v>
      </c>
      <c r="Z260" s="599" t="n">
        <v>0</v>
      </c>
      <c r="AA260" s="599" t="n">
        <v>4</v>
      </c>
      <c r="AB260" s="600" t="n">
        <v>235</v>
      </c>
      <c r="AC260" s="600" t="inlineStr">
        <is>
          <t>NOS</t>
        </is>
      </c>
      <c r="AD260" s="600" t="n"/>
      <c r="AE260" s="600" t="n"/>
      <c r="AF260" s="601" t="n">
        <v>5000</v>
      </c>
      <c r="AG260" s="601" t="n"/>
      <c r="AH260" s="601">
        <f t="array" ref="AH2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0" s="602">
        <f>scheduleapr[[#This Row],[SCHEDULE in nos]]-scheduleapr[[#This Row],[DISPATCH]]</f>
        <v/>
      </c>
      <c r="AJ260" s="599">
        <f>(3.14*(scheduleapr[[#This Row],[ACTUAL OD]]-scheduleapr[[#This Row],[TICKNESS]])*scheduleapr[[#This Row],[TICKNESS]]*scheduleapr[[#This Row],[LENGTH]]*7.85)/1000000*scheduleapr[[#This Row],[SCHEDULE in nos]]/1000</f>
        <v/>
      </c>
      <c r="AK260" s="599">
        <f>(3.14*(scheduleapr[[#This Row],[ACTUAL OD]]-scheduleapr[[#This Row],[TICKNESS]])*scheduleapr[[#This Row],[TICKNESS]]*scheduleapr[[#This Row],[LENGTH]]*7.85)/1000000*scheduleapr[[#This Row],[DISPATCH]]/1000</f>
        <v/>
      </c>
      <c r="AL260" s="599">
        <f>AJ260-AK260</f>
        <v/>
      </c>
      <c r="AM260" s="599">
        <f>scheduleapr[[#This Row],[SCHEDULE in nos]]/scheduleapr[[#This Row],[SCHEDULE IN MT]]*scheduleapr[[#This Row],[CTL Stock]]</f>
        <v/>
      </c>
      <c r="AN260" s="599">
        <f>SUMIFS(stock[MT],stock[Bucket],scheduleapr[[#This Row],[Bucket]],stock[CTL Bucket],scheduleapr[[#This Row],[CTL Bucket]],stock[Plant],"0789")</f>
        <v/>
      </c>
      <c r="AO260" s="599" t="n"/>
      <c r="AP260" s="599">
        <f>SUMIFS(stock[MT],stock[Bucket],scheduleapr[[#This Row],[Bucket]],stock[LL or CTL],"LL")</f>
        <v/>
      </c>
      <c r="AQ260" s="599">
        <f>+SUMIFS(wip[Stock(Net Wt)],wip[Bucket],scheduleapr[[#This Row],[Bucket]])/1000</f>
        <v/>
      </c>
      <c r="AR260" s="599">
        <f>AJ260-AN260</f>
        <v/>
      </c>
      <c r="AS260" s="118" t="n"/>
    </row>
    <row r="261">
      <c r="A261" s="594" t="n">
        <v>196</v>
      </c>
      <c r="B261" s="5" t="inlineStr">
        <is>
          <t>Hosur</t>
        </is>
      </c>
      <c r="C261" s="601" t="inlineStr">
        <is>
          <t>Metalman</t>
        </is>
      </c>
      <c r="D261" s="601" t="inlineStr">
        <is>
          <t>Metalman</t>
        </is>
      </c>
      <c r="E261" s="601" t="n">
        <v>188647</v>
      </c>
      <c r="F261" s="601" t="n">
        <v>1940829</v>
      </c>
      <c r="G261" s="601">
        <f>_xlfn.CONCAT(scheduleapr[[#This Row],[CUSTOMER CODE]],"-",scheduleapr[[#This Row],[MATERIAL NO]])</f>
        <v/>
      </c>
      <c r="H261" s="601" t="inlineStr">
        <is>
          <t>TUB-R-AW-RHS-40.00X30.00X1.600X0.3140</t>
        </is>
      </c>
      <c r="I261" s="601" t="inlineStr">
        <is>
          <t>ERW 1</t>
        </is>
      </c>
      <c r="J261" s="601" t="n"/>
      <c r="K261" s="601" t="n"/>
      <c r="L261" s="601" t="inlineStr">
        <is>
          <t>HR</t>
        </is>
      </c>
      <c r="M261" s="601" t="n"/>
      <c r="N261" s="601" t="n"/>
      <c r="O261" s="601" t="n"/>
      <c r="P261" s="601" t="n"/>
      <c r="Q261" s="557">
        <f>CONCATENATE(scheduleapr[[#This Row],[OD]],"-",scheduleapr[[#This Row],[ID]],"-",scheduleapr[[#This Row],[TICKNESS]],"-",scheduleapr[[#This Row],[Grade]],"-",scheduleapr[[#This Row],[FC/NFC]])</f>
        <v/>
      </c>
      <c r="R261" s="557">
        <f>_xlfn.CONCAT(scheduleapr[[#This Row],[Bucket]],"-",scheduleapr[[#This Row],[LENGTH]]/1000)</f>
        <v/>
      </c>
      <c r="S261" s="557">
        <f>COUNTIF(scheduleapr[CTL Bucket],scheduleapr[[#This Row],[CTL Bucket]])</f>
        <v/>
      </c>
      <c r="T261" s="557" t="n"/>
      <c r="U261" s="557" t="n"/>
      <c r="V261" s="557" t="n"/>
      <c r="W261" s="557" t="n"/>
      <c r="X261" s="599" t="n">
        <v>44.45</v>
      </c>
      <c r="Y261" s="599" t="n">
        <v>40</v>
      </c>
      <c r="Z261" s="599" t="n">
        <v>30</v>
      </c>
      <c r="AA261" s="599" t="n">
        <v>1.6</v>
      </c>
      <c r="AB261" s="600" t="n">
        <v>314</v>
      </c>
      <c r="AC261" s="600" t="inlineStr">
        <is>
          <t>NOS</t>
        </is>
      </c>
      <c r="AD261" s="600" t="n"/>
      <c r="AE261" s="600" t="n"/>
      <c r="AF261" s="601" t="n"/>
      <c r="AG261" s="601" t="n"/>
      <c r="AH261" s="601">
        <f t="array" ref="AH2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1" s="602">
        <f>scheduleapr[[#This Row],[SCHEDULE in nos]]-scheduleapr[[#This Row],[DISPATCH]]</f>
        <v/>
      </c>
      <c r="AJ261" s="599">
        <f>(3.14*(scheduleapr[[#This Row],[ACTUAL OD]]-scheduleapr[[#This Row],[TICKNESS]])*scheduleapr[[#This Row],[TICKNESS]]*scheduleapr[[#This Row],[LENGTH]]*7.85)/1000000*scheduleapr[[#This Row],[SCHEDULE in nos]]/1000</f>
        <v/>
      </c>
      <c r="AK261" s="599">
        <f>(3.14*(scheduleapr[[#This Row],[ACTUAL OD]]-scheduleapr[[#This Row],[TICKNESS]])*scheduleapr[[#This Row],[TICKNESS]]*scheduleapr[[#This Row],[LENGTH]]*7.85)/1000000*scheduleapr[[#This Row],[DISPATCH]]/1000</f>
        <v/>
      </c>
      <c r="AL261" s="599">
        <f>AJ261-AK261</f>
        <v/>
      </c>
      <c r="AM261" s="599">
        <f>scheduleapr[[#This Row],[SCHEDULE in nos]]/scheduleapr[[#This Row],[SCHEDULE IN MT]]*scheduleapr[[#This Row],[CTL Stock]]</f>
        <v/>
      </c>
      <c r="AN261" s="599">
        <f>SUMIFS(stock[MT],stock[Bucket],scheduleapr[[#This Row],[Bucket]],stock[CTL Bucket],scheduleapr[[#This Row],[CTL Bucket]],stock[Plant],"0789")</f>
        <v/>
      </c>
      <c r="AO261" s="599" t="n"/>
      <c r="AP261" s="599">
        <f>SUMIFS(stock[MT],stock[Bucket],scheduleapr[[#This Row],[Bucket]],stock[LL or CTL],"LL")</f>
        <v/>
      </c>
      <c r="AQ261" s="599">
        <f>+SUMIFS(wip[Stock(Net Wt)],wip[Bucket],scheduleapr[[#This Row],[Bucket]])/1000</f>
        <v/>
      </c>
      <c r="AR261" s="599">
        <f>AJ261-AN261</f>
        <v/>
      </c>
      <c r="AS261" s="118" t="n"/>
    </row>
    <row r="262">
      <c r="A262" s="594" t="n">
        <v>197</v>
      </c>
      <c r="B262" s="5" t="inlineStr">
        <is>
          <t>Hosur</t>
        </is>
      </c>
      <c r="C262" s="601" t="inlineStr">
        <is>
          <t>Metalman</t>
        </is>
      </c>
      <c r="D262" s="601" t="inlineStr">
        <is>
          <t>Metalman</t>
        </is>
      </c>
      <c r="E262" s="601" t="n">
        <v>188647</v>
      </c>
      <c r="F262" s="601" t="n">
        <v>3712521</v>
      </c>
      <c r="G262" s="601">
        <f>_xlfn.CONCAT(scheduleapr[[#This Row],[CUSTOMER CODE]],"-",scheduleapr[[#This Row],[MATERIAL NO]])</f>
        <v/>
      </c>
      <c r="H262" s="601" t="inlineStr">
        <is>
          <t>CUT-R-AW-RHS-40.00X30.00X1.600X0.8350</t>
        </is>
      </c>
      <c r="I262" s="601" t="inlineStr">
        <is>
          <t>ERW 1</t>
        </is>
      </c>
      <c r="J262" s="601" t="n"/>
      <c r="K262" s="601" t="inlineStr">
        <is>
          <t>FC</t>
        </is>
      </c>
      <c r="L262" s="601" t="inlineStr">
        <is>
          <t>CR</t>
        </is>
      </c>
      <c r="M262" s="596" t="inlineStr">
        <is>
          <t>HROP</t>
        </is>
      </c>
      <c r="N262" s="601" t="n"/>
      <c r="O262" s="601" t="n"/>
      <c r="P262" s="601" t="n"/>
      <c r="Q262" s="557">
        <f>CONCATENATE(scheduleapr[[#This Row],[OD]],"-",scheduleapr[[#This Row],[ID]],"-",scheduleapr[[#This Row],[TICKNESS]],"-",scheduleapr[[#This Row],[Grade]],"-",scheduleapr[[#This Row],[FC/NFC]])</f>
        <v/>
      </c>
      <c r="R262" s="557">
        <f>_xlfn.CONCAT(scheduleapr[[#This Row],[Bucket]],"-",scheduleapr[[#This Row],[LENGTH]]/1000)</f>
        <v/>
      </c>
      <c r="S262" s="557">
        <f>COUNTIF(scheduleapr[CTL Bucket],scheduleapr[[#This Row],[CTL Bucket]])</f>
        <v/>
      </c>
      <c r="T262" s="601" t="inlineStr">
        <is>
          <t>Hosur</t>
        </is>
      </c>
      <c r="U262" s="601">
        <f>_xlfn.IFNA(VLOOKUP(scheduleapr[[#This Row],[Bucket]],salesforecast[[#All],[Bucket2]:[8406 Stock]],19,0),0)</f>
        <v/>
      </c>
      <c r="V262" s="562">
        <f>_xlfn.IFNA(VLOOKUP(scheduleapr[[#This Row],[Bucket]],salesforecast[[#All],[Bucket2]:[8406 Stock]],20,0),0)+_xlfn.IFNA(VLOOKUP(scheduleapr[[#This Row],[Bucket]],salesforecast[[#All],[Bucket2]:[8406 Stock]],17,0),0)</f>
        <v/>
      </c>
      <c r="W262" s="557" t="n"/>
      <c r="X262" s="599" t="n">
        <v>44.45</v>
      </c>
      <c r="Y262" s="599" t="n">
        <v>40</v>
      </c>
      <c r="Z262" s="599" t="n">
        <v>30</v>
      </c>
      <c r="AA262" s="599" t="n">
        <v>1.6</v>
      </c>
      <c r="AB262" s="600" t="n">
        <v>835</v>
      </c>
      <c r="AC262" s="600" t="inlineStr">
        <is>
          <t>NOS</t>
        </is>
      </c>
      <c r="AD262" s="600" t="n"/>
      <c r="AE262" s="600" t="n"/>
      <c r="AF262" s="601" t="n">
        <v>14000</v>
      </c>
      <c r="AG262" s="601" t="n"/>
      <c r="AH262" s="601">
        <f t="array" ref="AH2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2" s="602">
        <f>scheduleapr[[#This Row],[SCHEDULE in nos]]-scheduleapr[[#This Row],[DISPATCH]]</f>
        <v/>
      </c>
      <c r="AJ262" s="599">
        <f>(3.14*(scheduleapr[[#This Row],[ACTUAL OD]]-scheduleapr[[#This Row],[TICKNESS]])*scheduleapr[[#This Row],[TICKNESS]]*scheduleapr[[#This Row],[LENGTH]]*7.85)/1000000*scheduleapr[[#This Row],[SCHEDULE in nos]]/1000</f>
        <v/>
      </c>
      <c r="AK262" s="599">
        <f>(3.14*(scheduleapr[[#This Row],[ACTUAL OD]]-scheduleapr[[#This Row],[TICKNESS]])*scheduleapr[[#This Row],[TICKNESS]]*scheduleapr[[#This Row],[LENGTH]]*7.85)/1000000*scheduleapr[[#This Row],[DISPATCH]]/1000</f>
        <v/>
      </c>
      <c r="AL262" s="599">
        <f>AJ262-AK262</f>
        <v/>
      </c>
      <c r="AM262" s="599">
        <f>scheduleapr[[#This Row],[SCHEDULE in nos]]/scheduleapr[[#This Row],[SCHEDULE IN MT]]*scheduleapr[[#This Row],[CTL Stock]]</f>
        <v/>
      </c>
      <c r="AN262" s="599">
        <f>SUMIFS(stock[MT],stock[Bucket],scheduleapr[[#This Row],[Bucket]],stock[CTL Bucket],scheduleapr[[#This Row],[CTL Bucket]],stock[Plant],"0789")</f>
        <v/>
      </c>
      <c r="AO262" s="599" t="n"/>
      <c r="AP262" s="599">
        <f>SUMIFS(stock[MT],stock[Bucket],scheduleapr[[#This Row],[Bucket]],stock[LL or CTL],"LL")</f>
        <v/>
      </c>
      <c r="AQ262" s="599">
        <f>+SUMIFS(wip[Stock(Net Wt)],wip[Bucket],scheduleapr[[#This Row],[Bucket]])/1000</f>
        <v/>
      </c>
      <c r="AR262" s="599">
        <f>AJ262-AN262</f>
        <v/>
      </c>
      <c r="AS262" s="118" t="n"/>
    </row>
    <row r="263">
      <c r="A263" s="594" t="n">
        <v>198</v>
      </c>
      <c r="B263" s="5" t="inlineStr">
        <is>
          <t>Hosur</t>
        </is>
      </c>
      <c r="C263" s="601" t="inlineStr">
        <is>
          <t>Metalman</t>
        </is>
      </c>
      <c r="D263" s="601" t="inlineStr">
        <is>
          <t>Metalman</t>
        </is>
      </c>
      <c r="E263" s="601" t="n">
        <v>188647</v>
      </c>
      <c r="F263" s="601" t="n">
        <v>1940831</v>
      </c>
      <c r="G263" s="601">
        <f>_xlfn.CONCAT(scheduleapr[[#This Row],[CUSTOMER CODE]],"-",scheduleapr[[#This Row],[MATERIAL NO]])</f>
        <v/>
      </c>
      <c r="H263" s="601" t="inlineStr">
        <is>
          <t>TUB-R-AW-RHS-40.00X30.00X1.600X0.8800</t>
        </is>
      </c>
      <c r="I263" s="601" t="inlineStr">
        <is>
          <t>ERW 1</t>
        </is>
      </c>
      <c r="J263" s="601" t="n"/>
      <c r="K263" s="601" t="inlineStr">
        <is>
          <t>FC</t>
        </is>
      </c>
      <c r="L263" s="601" t="inlineStr">
        <is>
          <t>CR</t>
        </is>
      </c>
      <c r="M263" s="596" t="inlineStr">
        <is>
          <t>GR1</t>
        </is>
      </c>
      <c r="N263" s="601" t="n"/>
      <c r="O263" s="601" t="n"/>
      <c r="P263" s="601" t="n"/>
      <c r="Q263" s="557">
        <f>CONCATENATE(scheduleapr[[#This Row],[OD]],"-",scheduleapr[[#This Row],[ID]],"-",scheduleapr[[#This Row],[TICKNESS]],"-",scheduleapr[[#This Row],[Grade]],"-",scheduleapr[[#This Row],[FC/NFC]])</f>
        <v/>
      </c>
      <c r="R263" s="557">
        <f>_xlfn.CONCAT(scheduleapr[[#This Row],[Bucket]],"-",scheduleapr[[#This Row],[LENGTH]]/1000)</f>
        <v/>
      </c>
      <c r="S263" s="557">
        <f>COUNTIF(scheduleapr[CTL Bucket],scheduleapr[[#This Row],[CTL Bucket]])</f>
        <v/>
      </c>
      <c r="T263" s="601" t="inlineStr">
        <is>
          <t>Hosur</t>
        </is>
      </c>
      <c r="U263" s="601">
        <f>_xlfn.IFNA(VLOOKUP(scheduleapr[[#This Row],[Bucket]],salesforecast[[#All],[Bucket2]:[8406 Stock]],19,0),0)</f>
        <v/>
      </c>
      <c r="V263" s="562">
        <f>_xlfn.IFNA(VLOOKUP(scheduleapr[[#This Row],[Bucket]],salesforecast[[#All],[Bucket2]:[8406 Stock]],20,0),0)+_xlfn.IFNA(VLOOKUP(scheduleapr[[#This Row],[Bucket]],salesforecast[[#All],[Bucket2]:[8406 Stock]],17,0),0)</f>
        <v/>
      </c>
      <c r="W263" s="557" t="n"/>
      <c r="X263" s="599" t="n">
        <v>44.45</v>
      </c>
      <c r="Y263" s="599" t="n">
        <v>40</v>
      </c>
      <c r="Z263" s="599" t="n">
        <v>30</v>
      </c>
      <c r="AA263" s="599" t="n">
        <v>1.6</v>
      </c>
      <c r="AB263" s="600" t="n">
        <v>880</v>
      </c>
      <c r="AC263" s="600" t="inlineStr">
        <is>
          <t>NOS</t>
        </is>
      </c>
      <c r="AD263" s="600" t="n"/>
      <c r="AE263" s="600" t="n"/>
      <c r="AF263" s="601" t="n">
        <v>5000</v>
      </c>
      <c r="AG263" s="601" t="n"/>
      <c r="AH263" s="601">
        <f t="array" ref="AH2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3" s="602">
        <f>scheduleapr[[#This Row],[SCHEDULE in nos]]-scheduleapr[[#This Row],[DISPATCH]]</f>
        <v/>
      </c>
      <c r="AJ263" s="599">
        <f>(3.14*(scheduleapr[[#This Row],[ACTUAL OD]]-scheduleapr[[#This Row],[TICKNESS]])*scheduleapr[[#This Row],[TICKNESS]]*scheduleapr[[#This Row],[LENGTH]]*7.85)/1000000*scheduleapr[[#This Row],[SCHEDULE in nos]]/1000</f>
        <v/>
      </c>
      <c r="AK263" s="599">
        <f>(3.14*(scheduleapr[[#This Row],[ACTUAL OD]]-scheduleapr[[#This Row],[TICKNESS]])*scheduleapr[[#This Row],[TICKNESS]]*scheduleapr[[#This Row],[LENGTH]]*7.85)/1000000*scheduleapr[[#This Row],[DISPATCH]]/1000</f>
        <v/>
      </c>
      <c r="AL263" s="599">
        <f>AJ263-AK263</f>
        <v/>
      </c>
      <c r="AM263" s="599">
        <f>scheduleapr[[#This Row],[SCHEDULE in nos]]/scheduleapr[[#This Row],[SCHEDULE IN MT]]*scheduleapr[[#This Row],[CTL Stock]]</f>
        <v/>
      </c>
      <c r="AN263" s="599">
        <f>SUMIFS(stock[MT],stock[Bucket],scheduleapr[[#This Row],[Bucket]],stock[CTL Bucket],scheduleapr[[#This Row],[CTL Bucket]],stock[Plant],"0789")</f>
        <v/>
      </c>
      <c r="AO263" s="599" t="n"/>
      <c r="AP263" s="599">
        <f>SUMIFS(stock[MT],stock[Bucket],scheduleapr[[#This Row],[Bucket]],stock[LL or CTL],"LL")</f>
        <v/>
      </c>
      <c r="AQ263" s="599">
        <f>+SUMIFS(wip[Stock(Net Wt)],wip[Bucket],scheduleapr[[#This Row],[Bucket]])/1000</f>
        <v/>
      </c>
      <c r="AR263" s="599">
        <f>AJ263-AN263</f>
        <v/>
      </c>
      <c r="AS263" s="118" t="n"/>
    </row>
    <row r="264">
      <c r="A264" s="556" t="n"/>
      <c r="B264" s="5" t="inlineStr">
        <is>
          <t>Hosur</t>
        </is>
      </c>
      <c r="C264" s="601" t="inlineStr">
        <is>
          <t>Metalman</t>
        </is>
      </c>
      <c r="D264" s="601" t="inlineStr">
        <is>
          <t>Metalman</t>
        </is>
      </c>
      <c r="E264" s="601" t="n">
        <v>188647</v>
      </c>
      <c r="F264" s="557" t="n"/>
      <c r="G264" s="601">
        <f>_xlfn.CONCAT(scheduleapr[[#This Row],[CUSTOMER CODE]],"-",scheduleapr[[#This Row],[MATERIAL NO]])</f>
        <v/>
      </c>
      <c r="H264" s="557" t="n"/>
      <c r="I264" s="601" t="inlineStr">
        <is>
          <t>ERW 1</t>
        </is>
      </c>
      <c r="J264" s="557" t="n"/>
      <c r="K264" s="601" t="inlineStr">
        <is>
          <t>FC</t>
        </is>
      </c>
      <c r="L264" s="557" t="n"/>
      <c r="M264" s="558" t="n"/>
      <c r="N264" s="557" t="n"/>
      <c r="O264" s="557" t="n"/>
      <c r="P264" s="557" t="n"/>
      <c r="Q264" s="557">
        <f>CONCATENATE(scheduleapr[[#This Row],[OD]],"-",scheduleapr[[#This Row],[ID]],"-",scheduleapr[[#This Row],[TICKNESS]],"-",scheduleapr[[#This Row],[Grade]],"-",scheduleapr[[#This Row],[FC/NFC]])</f>
        <v/>
      </c>
      <c r="R264" s="557">
        <f>_xlfn.CONCAT(scheduleapr[[#This Row],[Bucket]],"-",scheduleapr[[#This Row],[LENGTH]]/1000)</f>
        <v/>
      </c>
      <c r="S264" s="557" t="n"/>
      <c r="T264" s="601" t="n"/>
      <c r="U264" s="601">
        <f>_xlfn.IFNA(VLOOKUP(scheduleapr[[#This Row],[Bucket]],salesforecast[[#All],[Bucket2]:[8406 Stock]],19,0),0)</f>
        <v/>
      </c>
      <c r="V264" s="562">
        <f>_xlfn.IFNA(VLOOKUP(scheduleapr[[#This Row],[Bucket]],salesforecast[[#All],[Bucket2]:[8406 Stock]],20,0),0)+_xlfn.IFNA(VLOOKUP(scheduleapr[[#This Row],[Bucket]],salesforecast[[#All],[Bucket2]:[8406 Stock]],17,0),0)</f>
        <v/>
      </c>
      <c r="W264" s="601" t="n"/>
      <c r="X264" s="559" t="n">
        <v>44.45</v>
      </c>
      <c r="Y264" s="559" t="n">
        <v>40</v>
      </c>
      <c r="Z264" s="559" t="n">
        <v>30</v>
      </c>
      <c r="AA264" s="599" t="n">
        <v>2</v>
      </c>
      <c r="AB264" s="600" t="n">
        <v>880</v>
      </c>
      <c r="AC264" s="600" t="inlineStr">
        <is>
          <t>NOS</t>
        </is>
      </c>
      <c r="AD264" s="600" t="n"/>
      <c r="AE264" s="600" t="n"/>
      <c r="AF264" s="557" t="n">
        <v>3000</v>
      </c>
      <c r="AG264" s="557" t="n"/>
      <c r="AH264" s="601">
        <f t="array" ref="AH2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4" s="602">
        <f>scheduleapr[[#This Row],[SCHEDULE in nos]]-scheduleapr[[#This Row],[DISPATCH]]</f>
        <v/>
      </c>
      <c r="AJ264" s="559">
        <f>(3.14*(scheduleapr[[#This Row],[ACTUAL OD]]-scheduleapr[[#This Row],[TICKNESS]])*scheduleapr[[#This Row],[TICKNESS]]*scheduleapr[[#This Row],[LENGTH]]*7.85)/1000000*scheduleapr[[#This Row],[SCHEDULE in nos]]/1000</f>
        <v/>
      </c>
      <c r="AK264" s="599">
        <f>(3.14*(scheduleapr[[#This Row],[ACTUAL OD]]-scheduleapr[[#This Row],[TICKNESS]])*scheduleapr[[#This Row],[TICKNESS]]*scheduleapr[[#This Row],[LENGTH]]*7.85)/1000000*scheduleapr[[#This Row],[DISPATCH]]/1000</f>
        <v/>
      </c>
      <c r="AL264" s="599">
        <f>AJ264-AK264</f>
        <v/>
      </c>
      <c r="AM264" s="559">
        <f>scheduleapr[[#This Row],[SCHEDULE in nos]]/scheduleapr[[#This Row],[SCHEDULE IN MT]]*scheduleapr[[#This Row],[CTL Stock]]</f>
        <v/>
      </c>
      <c r="AN264" s="599">
        <f>SUMIFS(stock[MT],stock[Bucket],scheduleapr[[#This Row],[Bucket]],stock[CTL Bucket],scheduleapr[[#This Row],[CTL Bucket]],stock[Plant],"0789")</f>
        <v/>
      </c>
      <c r="AO264" s="599" t="n"/>
      <c r="AP264" s="599">
        <f>SUMIFS(stock[MT],stock[Bucket],scheduleapr[[#This Row],[Bucket]],stock[LL or CTL],"LL")</f>
        <v/>
      </c>
      <c r="AQ264" s="599">
        <f>+SUMIFS(wip[Stock(Net Wt)],wip[Bucket],scheduleapr[[#This Row],[Bucket]])/1000</f>
        <v/>
      </c>
      <c r="AR264" s="599">
        <f>AJ264-AN264</f>
        <v/>
      </c>
      <c r="AS264" s="118" t="n"/>
    </row>
    <row r="265">
      <c r="A265" s="594" t="n">
        <v>199</v>
      </c>
      <c r="B265" s="5" t="inlineStr">
        <is>
          <t>Hosur</t>
        </is>
      </c>
      <c r="C265" s="601" t="inlineStr">
        <is>
          <t>Metalman</t>
        </is>
      </c>
      <c r="D265" s="601" t="inlineStr">
        <is>
          <t>Metalman</t>
        </is>
      </c>
      <c r="E265" s="601" t="n">
        <v>188647</v>
      </c>
      <c r="F265" s="601" t="n">
        <v>2325421</v>
      </c>
      <c r="G265" s="601">
        <f>_xlfn.CONCAT(scheduleapr[[#This Row],[CUSTOMER CODE]],"-",scheduleapr[[#This Row],[MATERIAL NO]])</f>
        <v/>
      </c>
      <c r="H265" s="601" t="inlineStr">
        <is>
          <t>TUB-O-N-AUT-AW-FC-48.60X1.200X0.3360</t>
        </is>
      </c>
      <c r="I265" s="601" t="inlineStr">
        <is>
          <t>ERW 1</t>
        </is>
      </c>
      <c r="J265" s="601" t="n"/>
      <c r="K265" s="601" t="inlineStr">
        <is>
          <t>FC</t>
        </is>
      </c>
      <c r="L265" s="601" t="inlineStr">
        <is>
          <t>CR</t>
        </is>
      </c>
      <c r="M265" s="601" t="n"/>
      <c r="N265" s="601" t="n"/>
      <c r="O265" s="601" t="n"/>
      <c r="P265" s="601" t="n"/>
      <c r="Q265" s="557">
        <f>CONCATENATE(scheduleapr[[#This Row],[OD]],"-",scheduleapr[[#This Row],[ID]],"-",scheduleapr[[#This Row],[TICKNESS]],"-",scheduleapr[[#This Row],[Grade]],"-",scheduleapr[[#This Row],[FC/NFC]])</f>
        <v/>
      </c>
      <c r="R265" s="557">
        <f>_xlfn.CONCAT(scheduleapr[[#This Row],[Bucket]],"-",scheduleapr[[#This Row],[LENGTH]]/1000)</f>
        <v/>
      </c>
      <c r="S265" s="557">
        <f>COUNTIF([2]!buckets[CTL Bucket],[2]!scheduleapr[[#This Row],[CTL Bucket]])</f>
        <v/>
      </c>
      <c r="T265" s="601" t="inlineStr">
        <is>
          <t>Hosur</t>
        </is>
      </c>
      <c r="U265" s="601">
        <f>_xlfn.IFNA(VLOOKUP(scheduleapr[[#This Row],[Bucket]],salesforecast[[#All],[Bucket2]:[8406 Stock]],19,0),0)</f>
        <v/>
      </c>
      <c r="V265" s="562">
        <f>_xlfn.IFNA(VLOOKUP(scheduleapr[[#This Row],[Bucket]],salesforecast[[#All],[Bucket2]:[8406 Stock]],20,0),0)+_xlfn.IFNA(VLOOKUP(scheduleapr[[#This Row],[Bucket]],salesforecast[[#All],[Bucket2]:[8406 Stock]],17,0),0)</f>
        <v/>
      </c>
      <c r="W265" s="557" t="n"/>
      <c r="X265" s="599" t="n">
        <v>48.6</v>
      </c>
      <c r="Y265" s="599" t="n">
        <v>48.6</v>
      </c>
      <c r="Z265" s="599" t="n">
        <v>0</v>
      </c>
      <c r="AA265" s="599" t="n">
        <v>1.2</v>
      </c>
      <c r="AB265" s="600" t="n">
        <v>336</v>
      </c>
      <c r="AC265" s="600" t="inlineStr">
        <is>
          <t>NOS</t>
        </is>
      </c>
      <c r="AD265" s="600" t="n"/>
      <c r="AE265" s="600" t="n"/>
      <c r="AF265" s="601" t="n">
        <v>15000</v>
      </c>
      <c r="AG265" s="601" t="n"/>
      <c r="AH265" s="601">
        <f t="array" ref="AH2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5" s="602">
        <f>scheduleapr[[#This Row],[SCHEDULE in nos]]-scheduleapr[[#This Row],[DISPATCH]]</f>
        <v/>
      </c>
      <c r="AJ265" s="599">
        <f>(3.14*(scheduleapr[[#This Row],[ACTUAL OD]]-scheduleapr[[#This Row],[TICKNESS]])*scheduleapr[[#This Row],[TICKNESS]]*scheduleapr[[#This Row],[LENGTH]]*7.85)/1000000*scheduleapr[[#This Row],[SCHEDULE in nos]]/1000</f>
        <v/>
      </c>
      <c r="AK265" s="599">
        <f>(3.14*(scheduleapr[[#This Row],[ACTUAL OD]]-scheduleapr[[#This Row],[TICKNESS]])*scheduleapr[[#This Row],[TICKNESS]]*scheduleapr[[#This Row],[LENGTH]]*7.85)/1000000*scheduleapr[[#This Row],[DISPATCH]]/1000</f>
        <v/>
      </c>
      <c r="AL265" s="599">
        <f>AJ265-AK265</f>
        <v/>
      </c>
      <c r="AM265" s="599">
        <f>scheduleapr[[#This Row],[SCHEDULE in nos]]/scheduleapr[[#This Row],[SCHEDULE IN MT]]*scheduleapr[[#This Row],[CTL Stock]]</f>
        <v/>
      </c>
      <c r="AN265" s="599">
        <f>SUMIFS(stock[MT],stock[Bucket],scheduleapr[[#This Row],[Bucket]],stock[CTL Bucket],scheduleapr[[#This Row],[CTL Bucket]],stock[Plant],"0789")</f>
        <v/>
      </c>
      <c r="AO265" s="599" t="n"/>
      <c r="AP265" s="599">
        <f>SUMIFS(stock[MT],stock[Bucket],scheduleapr[[#This Row],[Bucket]],stock[LL or CTL],"LL")</f>
        <v/>
      </c>
      <c r="AQ265" s="599">
        <f>+SUMIFS(wip[Stock(Net Wt)],wip[Bucket],scheduleapr[[#This Row],[Bucket]])/1000</f>
        <v/>
      </c>
      <c r="AR265" s="599">
        <f>AJ265-AN265</f>
        <v/>
      </c>
      <c r="AS265" s="118" t="n"/>
    </row>
    <row r="266">
      <c r="A266" s="556" t="n"/>
      <c r="B266" s="5" t="inlineStr">
        <is>
          <t>Hosur</t>
        </is>
      </c>
      <c r="C266" s="601" t="inlineStr">
        <is>
          <t>Metalman</t>
        </is>
      </c>
      <c r="D266" s="601" t="inlineStr">
        <is>
          <t>Metalman</t>
        </is>
      </c>
      <c r="E266" s="601" t="n">
        <v>188647</v>
      </c>
      <c r="F266" s="557" t="n"/>
      <c r="G266" s="601">
        <f>_xlfn.CONCAT(scheduleapr[[#This Row],[CUSTOMER CODE]],"-",scheduleapr[[#This Row],[MATERIAL NO]])</f>
        <v/>
      </c>
      <c r="H266" s="557" t="n"/>
      <c r="I266" s="601" t="inlineStr">
        <is>
          <t>ERW 1</t>
        </is>
      </c>
      <c r="J266" s="557" t="n"/>
      <c r="K266" s="601" t="inlineStr">
        <is>
          <t>FC</t>
        </is>
      </c>
      <c r="L266" s="557" t="n"/>
      <c r="M266" s="558" t="n"/>
      <c r="N266" s="557" t="n"/>
      <c r="O266" s="557" t="n"/>
      <c r="P266" s="557" t="n"/>
      <c r="Q266" s="557">
        <f>CONCATENATE(scheduleapr[[#This Row],[OD]],"-",scheduleapr[[#This Row],[ID]],"-",scheduleapr[[#This Row],[TICKNESS]],"-",scheduleapr[[#This Row],[Grade]],"-",scheduleapr[[#This Row],[FC/NFC]])</f>
        <v/>
      </c>
      <c r="R266" s="557">
        <f>_xlfn.CONCAT(scheduleapr[[#This Row],[Bucket]],"-",scheduleapr[[#This Row],[LENGTH]]/1000)</f>
        <v/>
      </c>
      <c r="S266" s="557" t="n"/>
      <c r="T266" s="601" t="n"/>
      <c r="U266" s="601">
        <f>_xlfn.IFNA(VLOOKUP(scheduleapr[[#This Row],[Bucket]],salesforecast[[#All],[Bucket2]:[8406 Stock]],19,0),0)</f>
        <v/>
      </c>
      <c r="V266" s="562">
        <f>_xlfn.IFNA(VLOOKUP(scheduleapr[[#This Row],[Bucket]],salesforecast[[#All],[Bucket2]:[8406 Stock]],20,0),0)+_xlfn.IFNA(VLOOKUP(scheduleapr[[#This Row],[Bucket]],salesforecast[[#All],[Bucket2]:[8406 Stock]],17,0),0)</f>
        <v/>
      </c>
      <c r="W266" s="601" t="n"/>
      <c r="X266" s="559" t="n">
        <v>50.8</v>
      </c>
      <c r="Y266" s="559" t="n">
        <v>50</v>
      </c>
      <c r="Z266" s="559" t="n">
        <v>30</v>
      </c>
      <c r="AA266" s="599" t="n">
        <v>2.5</v>
      </c>
      <c r="AB266" s="600" t="n">
        <v>765</v>
      </c>
      <c r="AC266" s="600" t="inlineStr">
        <is>
          <t>NOS</t>
        </is>
      </c>
      <c r="AD266" s="600" t="n"/>
      <c r="AE266" s="600" t="n"/>
      <c r="AF266" s="557" t="n">
        <v>5000</v>
      </c>
      <c r="AG266" s="557" t="n"/>
      <c r="AH266" s="601">
        <f t="array" ref="AH2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6" s="602">
        <f>scheduleapr[[#This Row],[SCHEDULE in nos]]-scheduleapr[[#This Row],[DISPATCH]]</f>
        <v/>
      </c>
      <c r="AJ266" s="559">
        <f>(3.14*(scheduleapr[[#This Row],[ACTUAL OD]]-scheduleapr[[#This Row],[TICKNESS]])*scheduleapr[[#This Row],[TICKNESS]]*scheduleapr[[#This Row],[LENGTH]]*7.85)/1000000*scheduleapr[[#This Row],[SCHEDULE in nos]]/1000</f>
        <v/>
      </c>
      <c r="AK266" s="599">
        <f>(3.14*(scheduleapr[[#This Row],[ACTUAL OD]]-scheduleapr[[#This Row],[TICKNESS]])*scheduleapr[[#This Row],[TICKNESS]]*scheduleapr[[#This Row],[LENGTH]]*7.85)/1000000*scheduleapr[[#This Row],[DISPATCH]]/1000</f>
        <v/>
      </c>
      <c r="AL266" s="599">
        <f>AJ266-AK266</f>
        <v/>
      </c>
      <c r="AM266" s="559">
        <f>scheduleapr[[#This Row],[SCHEDULE in nos]]/scheduleapr[[#This Row],[SCHEDULE IN MT]]*scheduleapr[[#This Row],[CTL Stock]]</f>
        <v/>
      </c>
      <c r="AN266" s="599">
        <f>SUMIFS(stock[MT],stock[Bucket],scheduleapr[[#This Row],[Bucket]],stock[CTL Bucket],scheduleapr[[#This Row],[CTL Bucket]],stock[Plant],"0789")</f>
        <v/>
      </c>
      <c r="AO266" s="599" t="n"/>
      <c r="AP266" s="599">
        <f>SUMIFS(stock[MT],stock[Bucket],scheduleapr[[#This Row],[Bucket]],stock[LL or CTL],"LL")</f>
        <v/>
      </c>
      <c r="AQ266" s="599">
        <f>+SUMIFS(wip[Stock(Net Wt)],wip[Bucket],scheduleapr[[#This Row],[Bucket]])/1000</f>
        <v/>
      </c>
      <c r="AR266" s="599">
        <f>AJ266-AN266</f>
        <v/>
      </c>
      <c r="AS266" s="118" t="n"/>
    </row>
    <row r="267">
      <c r="A267" s="594" t="n">
        <v>200</v>
      </c>
      <c r="B267" s="5" t="inlineStr">
        <is>
          <t>Hosur</t>
        </is>
      </c>
      <c r="C267" s="601" t="inlineStr">
        <is>
          <t>Metalman</t>
        </is>
      </c>
      <c r="D267" s="601" t="inlineStr">
        <is>
          <t>Metalman</t>
        </is>
      </c>
      <c r="E267" s="601" t="n">
        <v>188647</v>
      </c>
      <c r="F267" s="601" t="n">
        <v>3768906</v>
      </c>
      <c r="G267" s="601">
        <f>_xlfn.CONCAT(scheduleapr[[#This Row],[CUSTOMER CODE]],"-",scheduleapr[[#This Row],[MATERIAL NO]])</f>
        <v/>
      </c>
      <c r="H267" s="601" t="inlineStr">
        <is>
          <t>CUT-O-N-AUT-AW-AG-57.15X2.500X0.3460</t>
        </is>
      </c>
      <c r="I267" s="601" t="inlineStr">
        <is>
          <t>ERW 1</t>
        </is>
      </c>
      <c r="J267" s="601" t="n"/>
      <c r="K267" s="601" t="inlineStr">
        <is>
          <t>FC</t>
        </is>
      </c>
      <c r="L267" s="601" t="inlineStr">
        <is>
          <t>HR</t>
        </is>
      </c>
      <c r="M267" s="601" t="n"/>
      <c r="N267" s="601" t="n"/>
      <c r="O267" s="601" t="inlineStr">
        <is>
          <t>AG</t>
        </is>
      </c>
      <c r="P267" s="601" t="n"/>
      <c r="Q267" s="557">
        <f>CONCATENATE(scheduleapr[[#This Row],[OD]],"-",scheduleapr[[#This Row],[ID]],"-",scheduleapr[[#This Row],[TICKNESS]],"-",scheduleapr[[#This Row],[Grade]],"-",scheduleapr[[#This Row],[FC/NFC]])</f>
        <v/>
      </c>
      <c r="R267" s="557">
        <f>_xlfn.CONCAT(scheduleapr[[#This Row],[Bucket]],"-",scheduleapr[[#This Row],[LENGTH]]/1000)</f>
        <v/>
      </c>
      <c r="S267" s="557">
        <f>COUNTIF([2]!buckets[CTL Bucket],[2]!scheduleapr[[#This Row],[CTL Bucket]])</f>
        <v/>
      </c>
      <c r="T267" s="557" t="n"/>
      <c r="U267" s="557" t="n"/>
      <c r="V267" s="557" t="n"/>
      <c r="W267" s="557" t="n"/>
      <c r="X267" s="599" t="n">
        <v>57.15</v>
      </c>
      <c r="Y267" s="599" t="n">
        <v>57.15</v>
      </c>
      <c r="Z267" s="599" t="n">
        <v>0</v>
      </c>
      <c r="AA267" s="599" t="n">
        <v>2.5</v>
      </c>
      <c r="AB267" s="600" t="n">
        <v>346</v>
      </c>
      <c r="AC267" s="600" t="inlineStr">
        <is>
          <t>NOS</t>
        </is>
      </c>
      <c r="AD267" s="600" t="n"/>
      <c r="AE267" s="600" t="n"/>
      <c r="AF267" s="601" t="n"/>
      <c r="AG267" s="601" t="n"/>
      <c r="AH267" s="601">
        <f t="array" ref="AH2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7" s="602">
        <f>scheduleapr[[#This Row],[SCHEDULE in nos]]-scheduleapr[[#This Row],[DISPATCH]]</f>
        <v/>
      </c>
      <c r="AJ267" s="599">
        <f>(3.14*(scheduleapr[[#This Row],[ACTUAL OD]]-scheduleapr[[#This Row],[TICKNESS]])*scheduleapr[[#This Row],[TICKNESS]]*scheduleapr[[#This Row],[LENGTH]]*7.85)/1000000*scheduleapr[[#This Row],[SCHEDULE in nos]]/1000</f>
        <v/>
      </c>
      <c r="AK267" s="599">
        <f>(3.14*(scheduleapr[[#This Row],[ACTUAL OD]]-scheduleapr[[#This Row],[TICKNESS]])*scheduleapr[[#This Row],[TICKNESS]]*scheduleapr[[#This Row],[LENGTH]]*7.85)/1000000*scheduleapr[[#This Row],[DISPATCH]]/1000</f>
        <v/>
      </c>
      <c r="AL267" s="599">
        <f>AJ267-AK267</f>
        <v/>
      </c>
      <c r="AM267" s="599">
        <f>scheduleapr[[#This Row],[SCHEDULE in nos]]/scheduleapr[[#This Row],[SCHEDULE IN MT]]*scheduleapr[[#This Row],[CTL Stock]]</f>
        <v/>
      </c>
      <c r="AN267" s="599">
        <f>SUMIFS(stock[MT],stock[Bucket],scheduleapr[[#This Row],[Bucket]],stock[CTL Bucket],scheduleapr[[#This Row],[CTL Bucket]],stock[Plant],"0789")</f>
        <v/>
      </c>
      <c r="AO267" s="599" t="n"/>
      <c r="AP267" s="599">
        <f>SUMIFS(stock[MT],stock[Bucket],scheduleapr[[#This Row],[Bucket]],stock[LL or CTL],"LL")</f>
        <v/>
      </c>
      <c r="AQ267" s="599">
        <f>+SUMIFS(wip[Stock(Net Wt)],wip[Bucket],scheduleapr[[#This Row],[Bucket]])/1000</f>
        <v/>
      </c>
      <c r="AR267" s="599">
        <f>AJ267-AN267</f>
        <v/>
      </c>
      <c r="AS267" s="118" t="n"/>
    </row>
    <row r="268">
      <c r="A268" s="594" t="n">
        <v>201</v>
      </c>
      <c r="B268" s="5" t="inlineStr">
        <is>
          <t>Hosur</t>
        </is>
      </c>
      <c r="C268" s="601" t="inlineStr">
        <is>
          <t>Metalman</t>
        </is>
      </c>
      <c r="D268" s="48" t="inlineStr">
        <is>
          <t>Metalman</t>
        </is>
      </c>
      <c r="E268" s="601" t="n">
        <v>188647</v>
      </c>
      <c r="F268" s="601" t="n">
        <v>2440972</v>
      </c>
      <c r="G268" s="601">
        <f>_xlfn.CONCAT(scheduleapr[[#This Row],[CUSTOMER CODE]],"-",scheduleapr[[#This Row],[MATERIAL NO]])</f>
        <v/>
      </c>
      <c r="H268" s="601" t="inlineStr">
        <is>
          <t>TUB-O-N-AUT-AW-FC-57.15X2.500X0.3750</t>
        </is>
      </c>
      <c r="I268" s="601" t="inlineStr">
        <is>
          <t>ERW 1</t>
        </is>
      </c>
      <c r="J268" s="601" t="n"/>
      <c r="K268" s="601" t="inlineStr">
        <is>
          <t>FC</t>
        </is>
      </c>
      <c r="L268" s="601" t="inlineStr">
        <is>
          <t>HR</t>
        </is>
      </c>
      <c r="M268" s="601" t="n"/>
      <c r="N268" s="601" t="n"/>
      <c r="O268" s="601" t="n"/>
      <c r="P268" s="601" t="n"/>
      <c r="Q268" s="563">
        <f>CONCATENATE(scheduleapr[[#This Row],[OD]],"-",scheduleapr[[#This Row],[ID]],"-",scheduleapr[[#This Row],[TICKNESS]],"-",scheduleapr[[#This Row],[Grade]],"-",scheduleapr[[#This Row],[FC/NFC]])</f>
        <v/>
      </c>
      <c r="R268" s="557">
        <f>_xlfn.CONCAT(scheduleapr[[#This Row],[Bucket]],"-",scheduleapr[[#This Row],[LENGTH]]/1000)</f>
        <v/>
      </c>
      <c r="S268" s="557">
        <f>COUNTIF([2]!buckets[CTL Bucket],[2]!scheduleapr[[#This Row],[CTL Bucket]])</f>
        <v/>
      </c>
      <c r="T268" s="557" t="n"/>
      <c r="U268" s="557" t="n"/>
      <c r="V268" s="557" t="n"/>
      <c r="W268" s="557" t="n"/>
      <c r="X268" s="599" t="n">
        <v>57.15</v>
      </c>
      <c r="Y268" s="599" t="n">
        <v>57.15</v>
      </c>
      <c r="Z268" s="599" t="n">
        <v>0</v>
      </c>
      <c r="AA268" s="599" t="n">
        <v>2.5</v>
      </c>
      <c r="AB268" s="600" t="n">
        <v>375</v>
      </c>
      <c r="AC268" s="600" t="n"/>
      <c r="AD268" s="600" t="n"/>
      <c r="AE268" s="600" t="n"/>
      <c r="AF268" s="601" t="n"/>
      <c r="AG268" s="601" t="n"/>
      <c r="AH268" s="601">
        <f t="array" ref="AH2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8" s="602">
        <f>scheduleapr[[#This Row],[SCHEDULE in nos]]-scheduleapr[[#This Row],[DISPATCH]]</f>
        <v/>
      </c>
      <c r="AJ268" s="599">
        <f>(3.14*(scheduleapr[[#This Row],[ACTUAL OD]]-scheduleapr[[#This Row],[TICKNESS]])*scheduleapr[[#This Row],[TICKNESS]]*scheduleapr[[#This Row],[LENGTH]]*7.85)/1000000*scheduleapr[[#This Row],[SCHEDULE in nos]]/1000</f>
        <v/>
      </c>
      <c r="AK268" s="599">
        <f>(3.14*(scheduleapr[[#This Row],[ACTUAL OD]]-scheduleapr[[#This Row],[TICKNESS]])*scheduleapr[[#This Row],[TICKNESS]]*scheduleapr[[#This Row],[LENGTH]]*7.85)/1000000*scheduleapr[[#This Row],[DISPATCH]]/1000</f>
        <v/>
      </c>
      <c r="AL268" s="599">
        <f>AJ268-AK268</f>
        <v/>
      </c>
      <c r="AM268" s="599">
        <f>scheduleapr[[#This Row],[SCHEDULE in nos]]/scheduleapr[[#This Row],[SCHEDULE IN MT]]*scheduleapr[[#This Row],[CTL Stock]]</f>
        <v/>
      </c>
      <c r="AN268" s="599">
        <f>SUMIFS(stock[MT],stock[Bucket],scheduleapr[[#This Row],[Bucket]],stock[CTL Bucket],scheduleapr[[#This Row],[CTL Bucket]],stock[Plant],"0789")</f>
        <v/>
      </c>
      <c r="AO268" s="599" t="n"/>
      <c r="AP268" s="599">
        <f>SUMIFS(stock[MT],stock[Bucket],scheduleapr[[#This Row],[Bucket]],stock[LL or CTL],"LL")</f>
        <v/>
      </c>
      <c r="AQ268" s="599">
        <f>+SUMIFS(wip[Stock(Net Wt)],wip[Bucket],scheduleapr[[#This Row],[Bucket]])/1000</f>
        <v/>
      </c>
      <c r="AR268" s="599">
        <f>AJ268-AN268</f>
        <v/>
      </c>
      <c r="AS268" s="118" t="n"/>
    </row>
    <row r="269">
      <c r="A269" s="594" t="n">
        <v>202</v>
      </c>
      <c r="B269" s="5" t="inlineStr">
        <is>
          <t>Hosur</t>
        </is>
      </c>
      <c r="C269" s="601" t="inlineStr">
        <is>
          <t>Metalman</t>
        </is>
      </c>
      <c r="D269" s="601" t="inlineStr">
        <is>
          <t>Metalman</t>
        </is>
      </c>
      <c r="E269" s="601" t="n">
        <v>188647</v>
      </c>
      <c r="F269" s="601" t="n">
        <v>3542857</v>
      </c>
      <c r="G269" s="601">
        <f>_xlfn.CONCAT(scheduleapr[[#This Row],[CUSTOMER CODE]],"-",scheduleapr[[#This Row],[MATERIAL NO]])</f>
        <v/>
      </c>
      <c r="H269" s="601" t="inlineStr">
        <is>
          <t>TUB-O-N-AUT-AW-AG-57.15X2.500X0.8120</t>
        </is>
      </c>
      <c r="I269" s="601" t="inlineStr">
        <is>
          <t>ERW 1</t>
        </is>
      </c>
      <c r="J269" s="601" t="n"/>
      <c r="K269" s="601" t="n"/>
      <c r="L269" s="601" t="inlineStr">
        <is>
          <t>HR</t>
        </is>
      </c>
      <c r="M269" s="601" t="n"/>
      <c r="N269" s="601" t="n"/>
      <c r="O269" s="601" t="n"/>
      <c r="P269" s="601" t="n"/>
      <c r="Q269" s="563">
        <f>CONCATENATE(scheduleapr[[#This Row],[OD]],"-",scheduleapr[[#This Row],[ID]],"-",scheduleapr[[#This Row],[TICKNESS]],"-",scheduleapr[[#This Row],[Grade]],"-",scheduleapr[[#This Row],[FC/NFC]])</f>
        <v/>
      </c>
      <c r="R269" s="557">
        <f>_xlfn.CONCAT(scheduleapr[[#This Row],[Bucket]],"-",scheduleapr[[#This Row],[LENGTH]]/1000)</f>
        <v/>
      </c>
      <c r="S269" s="557">
        <f>COUNTIF([2]!buckets[CTL Bucket],[2]!scheduleapr[[#This Row],[CTL Bucket]])</f>
        <v/>
      </c>
      <c r="T269" s="557" t="n"/>
      <c r="U269" s="557" t="n"/>
      <c r="V269" s="557" t="n"/>
      <c r="W269" s="557" t="n"/>
      <c r="X269" s="599" t="n">
        <v>57.15</v>
      </c>
      <c r="Y269" s="599" t="n">
        <v>57.15</v>
      </c>
      <c r="Z269" s="599" t="n">
        <v>0</v>
      </c>
      <c r="AA269" s="599" t="n">
        <v>2.5</v>
      </c>
      <c r="AB269" s="600" t="n">
        <v>812</v>
      </c>
      <c r="AC269" s="600" t="n"/>
      <c r="AD269" s="600" t="n"/>
      <c r="AE269" s="600" t="n"/>
      <c r="AF269" s="601" t="n"/>
      <c r="AG269" s="601" t="n"/>
      <c r="AH269" s="601">
        <f t="array" ref="AH2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69" s="602">
        <f>scheduleapr[[#This Row],[SCHEDULE in nos]]-scheduleapr[[#This Row],[DISPATCH]]</f>
        <v/>
      </c>
      <c r="AJ269" s="599">
        <f>(3.14*(scheduleapr[[#This Row],[ACTUAL OD]]-scheduleapr[[#This Row],[TICKNESS]])*scheduleapr[[#This Row],[TICKNESS]]*scheduleapr[[#This Row],[LENGTH]]*7.85)/1000000*scheduleapr[[#This Row],[SCHEDULE in nos]]/1000</f>
        <v/>
      </c>
      <c r="AK269" s="599">
        <f>(3.14*(scheduleapr[[#This Row],[ACTUAL OD]]-scheduleapr[[#This Row],[TICKNESS]])*scheduleapr[[#This Row],[TICKNESS]]*scheduleapr[[#This Row],[LENGTH]]*7.85)/1000000*scheduleapr[[#This Row],[DISPATCH]]/1000</f>
        <v/>
      </c>
      <c r="AL269" s="599">
        <f>AJ269-AK269</f>
        <v/>
      </c>
      <c r="AM269" s="599">
        <f>scheduleapr[[#This Row],[SCHEDULE in nos]]/scheduleapr[[#This Row],[SCHEDULE IN MT]]*scheduleapr[[#This Row],[CTL Stock]]</f>
        <v/>
      </c>
      <c r="AN269" s="599">
        <f>SUMIFS(stock[MT],stock[Bucket],scheduleapr[[#This Row],[Bucket]],stock[CTL Bucket],scheduleapr[[#This Row],[CTL Bucket]],stock[Plant],"0789")</f>
        <v/>
      </c>
      <c r="AO269" s="599" t="n"/>
      <c r="AP269" s="599">
        <f>SUMIFS(stock[MT],stock[Bucket],scheduleapr[[#This Row],[Bucket]],stock[LL or CTL],"LL")</f>
        <v/>
      </c>
      <c r="AQ269" s="599">
        <f>+SUMIFS(wip[Stock(Net Wt)],wip[Bucket],scheduleapr[[#This Row],[Bucket]])/1000</f>
        <v/>
      </c>
      <c r="AR269" s="599">
        <f>AJ269-AN269</f>
        <v/>
      </c>
      <c r="AS269" s="118" t="n"/>
    </row>
    <row r="270">
      <c r="A270" s="594" t="n">
        <v>203</v>
      </c>
      <c r="B270" s="5" t="inlineStr">
        <is>
          <t xml:space="preserve">Khopoli </t>
        </is>
      </c>
      <c r="C270" s="601" t="inlineStr">
        <is>
          <t>Metalman</t>
        </is>
      </c>
      <c r="D270" s="601" t="inlineStr">
        <is>
          <t>Metalman</t>
        </is>
      </c>
      <c r="E270" s="601" t="n">
        <v>188647</v>
      </c>
      <c r="F270" s="601" t="n">
        <v>3768903</v>
      </c>
      <c r="G270" s="601">
        <f>_xlfn.CONCAT(scheduleapr[[#This Row],[CUSTOMER CODE]],"-",scheduleapr[[#This Row],[MATERIAL NO]])</f>
        <v/>
      </c>
      <c r="H270" s="601" t="inlineStr">
        <is>
          <t>CUT-O-N-AUT-AW-FC-60.30X2.000X0.5250</t>
        </is>
      </c>
      <c r="I270" s="601" t="inlineStr">
        <is>
          <t>ERW 1</t>
        </is>
      </c>
      <c r="J270" s="601" t="n"/>
      <c r="K270" s="601" t="inlineStr">
        <is>
          <t>FC</t>
        </is>
      </c>
      <c r="L270" s="601" t="inlineStr">
        <is>
          <t>HR</t>
        </is>
      </c>
      <c r="M270" s="601" t="n"/>
      <c r="N270" s="601" t="n"/>
      <c r="O270" s="601" t="inlineStr">
        <is>
          <t>AG</t>
        </is>
      </c>
      <c r="P270" s="601" t="n"/>
      <c r="Q270" s="557">
        <f>CONCATENATE(scheduleapr[[#This Row],[OD]],"-",scheduleapr[[#This Row],[ID]],"-",scheduleapr[[#This Row],[TICKNESS]],"-",scheduleapr[[#This Row],[Grade]],"-",scheduleapr[[#This Row],[FC/NFC]])</f>
        <v/>
      </c>
      <c r="R270" s="557">
        <f>_xlfn.CONCAT(scheduleapr[[#This Row],[Bucket]],"-",scheduleapr[[#This Row],[LENGTH]]/1000)</f>
        <v/>
      </c>
      <c r="S270" s="557">
        <f>COUNTIF([2]!buckets[CTL Bucket],[2]!scheduleapr[[#This Row],[CTL Bucket]])</f>
        <v/>
      </c>
      <c r="T270" s="601" t="inlineStr">
        <is>
          <t>Khopoli</t>
        </is>
      </c>
      <c r="U270" s="601">
        <f>_xlfn.IFNA(VLOOKUP(scheduleapr[[#This Row],[Bucket]],salesforecast[[#All],[Bucket2]:[8406 Stock]],19,0),0)</f>
        <v/>
      </c>
      <c r="V270" s="562">
        <f>_xlfn.IFNA(VLOOKUP(scheduleapr[[#This Row],[Bucket]],salesforecast[[#All],[Bucket2]:[8406 Stock]],20,0),0)+_xlfn.IFNA(VLOOKUP(scheduleapr[[#This Row],[Bucket]],salesforecast[[#All],[Bucket2]:[8406 Stock]],17,0),0)</f>
        <v/>
      </c>
      <c r="W270" s="557" t="n"/>
      <c r="X270" s="599" t="n">
        <v>60.3</v>
      </c>
      <c r="Y270" s="599" t="n">
        <v>60.3</v>
      </c>
      <c r="Z270" s="599" t="n">
        <v>0</v>
      </c>
      <c r="AA270" s="112" t="n">
        <v>2</v>
      </c>
      <c r="AB270" s="600" t="n">
        <v>525</v>
      </c>
      <c r="AC270" s="22" t="inlineStr">
        <is>
          <t>NOS</t>
        </is>
      </c>
      <c r="AD270" s="22" t="n"/>
      <c r="AE270" s="22" t="n"/>
      <c r="AF270" s="601" t="n">
        <v>7000</v>
      </c>
      <c r="AG270" s="601" t="n"/>
      <c r="AH270" s="601">
        <f t="array" ref="AH2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0" s="602">
        <f>scheduleapr[[#This Row],[SCHEDULE in nos]]-scheduleapr[[#This Row],[DISPATCH]]</f>
        <v/>
      </c>
      <c r="AJ270" s="599">
        <f>(3.14*(scheduleapr[[#This Row],[ACTUAL OD]]-scheduleapr[[#This Row],[TICKNESS]])*scheduleapr[[#This Row],[TICKNESS]]*scheduleapr[[#This Row],[LENGTH]]*7.85)/1000000*scheduleapr[[#This Row],[SCHEDULE in nos]]/1000</f>
        <v/>
      </c>
      <c r="AK270" s="599">
        <f>(3.14*(scheduleapr[[#This Row],[ACTUAL OD]]-scheduleapr[[#This Row],[TICKNESS]])*scheduleapr[[#This Row],[TICKNESS]]*scheduleapr[[#This Row],[LENGTH]]*7.85)/1000000*scheduleapr[[#This Row],[DISPATCH]]/1000</f>
        <v/>
      </c>
      <c r="AL270" s="599">
        <f>AJ270-AK270</f>
        <v/>
      </c>
      <c r="AM270" s="599">
        <f>scheduleapr[[#This Row],[SCHEDULE in nos]]/scheduleapr[[#This Row],[SCHEDULE IN MT]]*scheduleapr[[#This Row],[CTL Stock]]</f>
        <v/>
      </c>
      <c r="AN270" s="599">
        <f>SUMIFS(stock[MT],stock[Bucket],scheduleapr[[#This Row],[Bucket]],stock[CTL Bucket],scheduleapr[[#This Row],[CTL Bucket]],stock[Plant],"0789")</f>
        <v/>
      </c>
      <c r="AO270" s="599" t="n"/>
      <c r="AP270" s="599">
        <f>SUMIFS(stock[MT],stock[Bucket],scheduleapr[[#This Row],[Bucket]],stock[LL or CTL],"LL")</f>
        <v/>
      </c>
      <c r="AQ270" s="599">
        <f>+SUMIFS(wip[Stock(Net Wt)],wip[Bucket],scheduleapr[[#This Row],[Bucket]])/1000</f>
        <v/>
      </c>
      <c r="AR270" s="599">
        <f>AJ270-AN270</f>
        <v/>
      </c>
      <c r="AS270" s="118" t="n"/>
    </row>
    <row r="271">
      <c r="A271" s="594" t="n">
        <v>184</v>
      </c>
      <c r="B271" s="5" t="inlineStr">
        <is>
          <t>Hosur</t>
        </is>
      </c>
      <c r="C271" s="601" t="inlineStr">
        <is>
          <t>Metalman</t>
        </is>
      </c>
      <c r="D271" s="601" t="inlineStr">
        <is>
          <t>Metalman</t>
        </is>
      </c>
      <c r="E271" s="601" t="n">
        <v>188647</v>
      </c>
      <c r="F271" s="601" t="n">
        <v>3768904</v>
      </c>
      <c r="G271" s="601">
        <f>_xlfn.CONCAT(scheduleapr[[#This Row],[CUSTOMER CODE]],"-",scheduleapr[[#This Row],[MATERIAL NO]])</f>
        <v/>
      </c>
      <c r="H271" s="601" t="inlineStr">
        <is>
          <t>CUT-O-N-AUT-AW-FC-38.10X1.600X0.8780</t>
        </is>
      </c>
      <c r="I271" s="601" t="inlineStr">
        <is>
          <t>ERW 2 MAHS</t>
        </is>
      </c>
      <c r="J271" s="601" t="n"/>
      <c r="K271" s="601" t="inlineStr">
        <is>
          <t>FC</t>
        </is>
      </c>
      <c r="L271" s="601" t="inlineStr">
        <is>
          <t>CR</t>
        </is>
      </c>
      <c r="M271" s="596" t="inlineStr">
        <is>
          <t>ST52AL</t>
        </is>
      </c>
      <c r="N271" s="601" t="n"/>
      <c r="O271" s="601" t="n"/>
      <c r="P271" s="601" t="n"/>
      <c r="Q271" s="557">
        <f>CONCATENATE(scheduleapr[[#This Row],[OD]],"-",scheduleapr[[#This Row],[ID]],"-",scheduleapr[[#This Row],[TICKNESS]],"-",scheduleapr[[#This Row],[Grade]],"-",scheduleapr[[#This Row],[FC/NFC]])</f>
        <v/>
      </c>
      <c r="R271" s="557">
        <f>_xlfn.CONCAT(scheduleapr[[#This Row],[Bucket]],"-",scheduleapr[[#This Row],[LENGTH]]/1000)</f>
        <v/>
      </c>
      <c r="S271" s="557">
        <f>COUNTIF([2]!buckets[CTL Bucket],[2]!scheduleapr[[#This Row],[CTL Bucket]])</f>
        <v/>
      </c>
      <c r="T271" s="601" t="inlineStr">
        <is>
          <t>JSR</t>
        </is>
      </c>
      <c r="U271" s="601" t="n"/>
      <c r="V271" s="557" t="n"/>
      <c r="W271" s="557" t="n"/>
      <c r="X271" s="599" t="n">
        <v>38.1</v>
      </c>
      <c r="Y271" s="599" t="n">
        <v>38.1</v>
      </c>
      <c r="Z271" s="599" t="n">
        <v>0</v>
      </c>
      <c r="AA271" s="599" t="n">
        <v>1.6</v>
      </c>
      <c r="AB271" s="600" t="n">
        <v>878</v>
      </c>
      <c r="AC271" s="600" t="inlineStr">
        <is>
          <t>NOS</t>
        </is>
      </c>
      <c r="AD271" s="600" t="n"/>
      <c r="AE271" s="600" t="n"/>
      <c r="AF271" s="601" t="n">
        <v>8000</v>
      </c>
      <c r="AG271" s="601" t="n"/>
      <c r="AH271" s="601">
        <f t="array" ref="AH2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1" s="602">
        <f>scheduleapr[[#This Row],[SCHEDULE in nos]]-scheduleapr[[#This Row],[DISPATCH]]</f>
        <v/>
      </c>
      <c r="AJ271" s="599">
        <f>(3.14*(scheduleapr[[#This Row],[ACTUAL OD]]-scheduleapr[[#This Row],[TICKNESS]])*scheduleapr[[#This Row],[TICKNESS]]*scheduleapr[[#This Row],[LENGTH]]*7.85)/1000000*scheduleapr[[#This Row],[SCHEDULE in nos]]/1000</f>
        <v/>
      </c>
      <c r="AK271" s="599">
        <f>(3.14*(scheduleapr[[#This Row],[ACTUAL OD]]-scheduleapr[[#This Row],[TICKNESS]])*scheduleapr[[#This Row],[TICKNESS]]*scheduleapr[[#This Row],[LENGTH]]*7.85)/1000000*scheduleapr[[#This Row],[DISPATCH]]/1000</f>
        <v/>
      </c>
      <c r="AL271" s="599">
        <f>AJ271-AK271</f>
        <v/>
      </c>
      <c r="AM271" s="599">
        <f>scheduleapr[[#This Row],[SCHEDULE in nos]]/scheduleapr[[#This Row],[SCHEDULE IN MT]]*scheduleapr[[#This Row],[CTL Stock]]</f>
        <v/>
      </c>
      <c r="AN271" s="599">
        <f>SUMIFS(stock[MT],stock[Bucket],scheduleapr[[#This Row],[Bucket]],stock[CTL Bucket],scheduleapr[[#This Row],[CTL Bucket]],stock[Plant],"0789")</f>
        <v/>
      </c>
      <c r="AO271" s="599" t="n"/>
      <c r="AP271" s="599">
        <f>SUMIFS(stock[MT],stock[Bucket],scheduleapr[[#This Row],[Bucket]],stock[LL or CTL],"LL")</f>
        <v/>
      </c>
      <c r="AQ271" s="599">
        <f>+SUMIFS(wip[Stock(Net Wt)],wip[Bucket],scheduleapr[[#This Row],[Bucket]])/1000</f>
        <v/>
      </c>
      <c r="AR271" s="599">
        <f>AJ271-AN271</f>
        <v/>
      </c>
      <c r="AS271" s="118" t="n"/>
    </row>
    <row r="272">
      <c r="A272" s="594" t="n">
        <v>185</v>
      </c>
      <c r="B272" s="5" t="inlineStr">
        <is>
          <t>Hosur</t>
        </is>
      </c>
      <c r="C272" s="601" t="inlineStr">
        <is>
          <t>Metalman</t>
        </is>
      </c>
      <c r="D272" s="601" t="inlineStr">
        <is>
          <t>Metalman</t>
        </is>
      </c>
      <c r="E272" s="601" t="n">
        <v>188647</v>
      </c>
      <c r="F272" s="601" t="n">
        <v>3191747</v>
      </c>
      <c r="G272" s="601">
        <f>_xlfn.CONCAT(scheduleapr[[#This Row],[CUSTOMER CODE]],"-",scheduleapr[[#This Row],[MATERIAL NO]])</f>
        <v/>
      </c>
      <c r="H272" s="601" t="inlineStr">
        <is>
          <t>TUB-O-N-AUT-AW-FC-38.10X1.600X0.9300</t>
        </is>
      </c>
      <c r="I272" s="601" t="inlineStr">
        <is>
          <t>ERW 2 MAHS</t>
        </is>
      </c>
      <c r="J272" s="601" t="n"/>
      <c r="K272" s="601" t="inlineStr">
        <is>
          <t>FC</t>
        </is>
      </c>
      <c r="L272" s="601" t="inlineStr">
        <is>
          <t>HR</t>
        </is>
      </c>
      <c r="M272" s="596" t="inlineStr">
        <is>
          <t>ST52AL</t>
        </is>
      </c>
      <c r="N272" s="601" t="n"/>
      <c r="O272" s="601" t="n"/>
      <c r="P272" s="601" t="n"/>
      <c r="Q272" s="557">
        <f>CONCATENATE(scheduleapr[[#This Row],[OD]],"-",scheduleapr[[#This Row],[ID]],"-",scheduleapr[[#This Row],[TICKNESS]],"-",scheduleapr[[#This Row],[Grade]],"-",scheduleapr[[#This Row],[FC/NFC]])</f>
        <v/>
      </c>
      <c r="R272" s="557">
        <f>_xlfn.CONCAT(scheduleapr[[#This Row],[Bucket]],"-",scheduleapr[[#This Row],[LENGTH]]/1000)</f>
        <v/>
      </c>
      <c r="S272" s="557">
        <f>COUNTIF([2]!buckets[CTL Bucket],[2]!scheduleapr[[#This Row],[CTL Bucket]])</f>
        <v/>
      </c>
      <c r="T272" s="601" t="inlineStr">
        <is>
          <t>JSR</t>
        </is>
      </c>
      <c r="U272" s="557" t="n"/>
      <c r="V272" s="557" t="n"/>
      <c r="W272" s="557" t="n"/>
      <c r="X272" s="599" t="n">
        <v>38.1</v>
      </c>
      <c r="Y272" s="599" t="n">
        <v>38.1</v>
      </c>
      <c r="Z272" s="599" t="n">
        <v>0</v>
      </c>
      <c r="AA272" s="599" t="n">
        <v>1.6</v>
      </c>
      <c r="AB272" s="600" t="n">
        <v>930</v>
      </c>
      <c r="AC272" s="600" t="n"/>
      <c r="AD272" s="600" t="n"/>
      <c r="AE272" s="600" t="n"/>
      <c r="AF272" s="601" t="n"/>
      <c r="AG272" s="601" t="n"/>
      <c r="AH272" s="601">
        <f t="array" ref="AH2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2" s="602">
        <f>scheduleapr[[#This Row],[SCHEDULE in nos]]-scheduleapr[[#This Row],[DISPATCH]]</f>
        <v/>
      </c>
      <c r="AJ272" s="599">
        <f>(3.14*(scheduleapr[[#This Row],[ACTUAL OD]]-scheduleapr[[#This Row],[TICKNESS]])*scheduleapr[[#This Row],[TICKNESS]]*scheduleapr[[#This Row],[LENGTH]]*7.85)/1000000*scheduleapr[[#This Row],[SCHEDULE in nos]]/1000</f>
        <v/>
      </c>
      <c r="AK272" s="599">
        <f>(3.14*(scheduleapr[[#This Row],[ACTUAL OD]]-scheduleapr[[#This Row],[TICKNESS]])*scheduleapr[[#This Row],[TICKNESS]]*scheduleapr[[#This Row],[LENGTH]]*7.85)/1000000*scheduleapr[[#This Row],[DISPATCH]]/1000</f>
        <v/>
      </c>
      <c r="AL272" s="599">
        <f>AJ272-AK272</f>
        <v/>
      </c>
      <c r="AM272" s="599">
        <f>scheduleapr[[#This Row],[SCHEDULE in nos]]/scheduleapr[[#This Row],[SCHEDULE IN MT]]*scheduleapr[[#This Row],[CTL Stock]]</f>
        <v/>
      </c>
      <c r="AN272" s="599">
        <f>SUMIFS(stock[MT],stock[Bucket],scheduleapr[[#This Row],[Bucket]],stock[CTL Bucket],scheduleapr[[#This Row],[CTL Bucket]],stock[Plant],"0789")</f>
        <v/>
      </c>
      <c r="AO272" s="599" t="n"/>
      <c r="AP272" s="599">
        <f>SUMIFS(stock[MT],stock[Bucket],scheduleapr[[#This Row],[Bucket]],stock[LL or CTL],"LL")</f>
        <v/>
      </c>
      <c r="AQ272" s="599">
        <f>+SUMIFS(wip[Stock(Net Wt)],wip[Bucket],scheduleapr[[#This Row],[Bucket]])/1000</f>
        <v/>
      </c>
      <c r="AR272" s="599">
        <f>AJ272-AN272</f>
        <v/>
      </c>
      <c r="AS272" s="118" t="n"/>
    </row>
    <row r="273">
      <c r="A273" s="556" t="n"/>
      <c r="B273" s="5" t="inlineStr">
        <is>
          <t>Hosur</t>
        </is>
      </c>
      <c r="C273" s="601" t="inlineStr">
        <is>
          <t>Metalman</t>
        </is>
      </c>
      <c r="D273" s="601" t="inlineStr">
        <is>
          <t>Metalman</t>
        </is>
      </c>
      <c r="E273" s="601" t="n">
        <v>188647</v>
      </c>
      <c r="F273" s="477" t="n">
        <v>3931304</v>
      </c>
      <c r="G273" s="601">
        <f>_xlfn.CONCAT(scheduleapr[[#This Row],[CUSTOMER CODE]],"-",scheduleapr[[#This Row],[MATERIAL NO]])</f>
        <v/>
      </c>
      <c r="H273" s="477" t="inlineStr">
        <is>
          <t>TUB-O-N-AUT-AW-FC-38.10X1.600X5.3500</t>
        </is>
      </c>
      <c r="I273" s="557" t="inlineStr">
        <is>
          <t>ERW 2 MAHS</t>
        </is>
      </c>
      <c r="J273" s="557" t="n"/>
      <c r="K273" s="601" t="inlineStr">
        <is>
          <t>FC</t>
        </is>
      </c>
      <c r="L273" s="601" t="inlineStr">
        <is>
          <t>CR</t>
        </is>
      </c>
      <c r="M273" s="596" t="inlineStr">
        <is>
          <t>ST52AL</t>
        </is>
      </c>
      <c r="N273" s="557" t="n"/>
      <c r="O273" s="557" t="n"/>
      <c r="P273" s="557" t="n"/>
      <c r="Q273" s="557">
        <f>CONCATENATE(scheduleapr[[#This Row],[OD]],"-",scheduleapr[[#This Row],[ID]],"-",scheduleapr[[#This Row],[TICKNESS]],"-",scheduleapr[[#This Row],[Grade]],"-",scheduleapr[[#This Row],[FC/NFC]])</f>
        <v/>
      </c>
      <c r="R273" s="557">
        <f>_xlfn.CONCAT(scheduleapr[[#This Row],[Bucket]],"-",scheduleapr[[#This Row],[LENGTH]]/1000)</f>
        <v/>
      </c>
      <c r="S273" s="557" t="n"/>
      <c r="T273" s="601" t="inlineStr">
        <is>
          <t>JSR</t>
        </is>
      </c>
      <c r="U273" s="601">
        <f>_xlfn.IFNA(VLOOKUP(scheduleapr[[#This Row],[Bucket]],salesforecast[[#All],[Bucket2]:[8406 Stock]],19,0),0)</f>
        <v/>
      </c>
      <c r="V273" s="562">
        <f>_xlfn.IFNA(VLOOKUP(scheduleapr[[#This Row],[Bucket]],salesforecast[[#All],[Bucket2]:[8406 Stock]],20,0),0)+_xlfn.IFNA(VLOOKUP(scheduleapr[[#This Row],[Bucket]],salesforecast[[#All],[Bucket2]:[8406 Stock]],17,0),0)</f>
        <v/>
      </c>
      <c r="W273" s="601" t="n"/>
      <c r="X273" s="559" t="n">
        <v>38.1</v>
      </c>
      <c r="Y273" s="559" t="n">
        <v>38.1</v>
      </c>
      <c r="Z273" s="559" t="n">
        <v>0</v>
      </c>
      <c r="AA273" s="599" t="n">
        <v>1.6</v>
      </c>
      <c r="AB273" s="600" t="n">
        <v>1000</v>
      </c>
      <c r="AC273" s="600" t="inlineStr">
        <is>
          <t>M</t>
        </is>
      </c>
      <c r="AD273" s="600" t="n"/>
      <c r="AE273" s="600" t="n"/>
      <c r="AF273" s="557" t="n"/>
      <c r="AG273" s="557" t="n"/>
      <c r="AH273" s="601">
        <f t="array" ref="AH2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3" s="602">
        <f>scheduleapr[[#This Row],[SCHEDULE in nos]]-scheduleapr[[#This Row],[DISPATCH]]</f>
        <v/>
      </c>
      <c r="AJ273" s="559">
        <f>(3.14*(scheduleapr[[#This Row],[ACTUAL OD]]-scheduleapr[[#This Row],[TICKNESS]])*scheduleapr[[#This Row],[TICKNESS]]*scheduleapr[[#This Row],[LENGTH]]*7.85)/1000000*scheduleapr[[#This Row],[SCHEDULE in nos]]/1000</f>
        <v/>
      </c>
      <c r="AK273" s="599">
        <f>(3.14*(scheduleapr[[#This Row],[ACTUAL OD]]-scheduleapr[[#This Row],[TICKNESS]])*scheduleapr[[#This Row],[TICKNESS]]*scheduleapr[[#This Row],[LENGTH]]*7.85)/1000000*scheduleapr[[#This Row],[DISPATCH]]/1000</f>
        <v/>
      </c>
      <c r="AL273" s="599">
        <f>AJ273-AK273</f>
        <v/>
      </c>
      <c r="AM273" s="559">
        <f>scheduleapr[[#This Row],[SCHEDULE in nos]]/scheduleapr[[#This Row],[SCHEDULE IN MT]]*scheduleapr[[#This Row],[CTL Stock]]</f>
        <v/>
      </c>
      <c r="AN273" s="599">
        <f>SUMIFS(stock[MT],stock[Bucket],scheduleapr[[#This Row],[Bucket]],stock[CTL Bucket],scheduleapr[[#This Row],[CTL Bucket]],stock[Plant],"0789")</f>
        <v/>
      </c>
      <c r="AO273" s="599" t="n"/>
      <c r="AP273" s="599">
        <f>SUMIFS(stock[MT],stock[Bucket],scheduleapr[[#This Row],[Bucket]],stock[LL or CTL],"LL")</f>
        <v/>
      </c>
      <c r="AQ273" s="599">
        <f>+SUMIFS(wip[Stock(Net Wt)],wip[Bucket],scheduleapr[[#This Row],[Bucket]])/1000</f>
        <v/>
      </c>
      <c r="AR273" s="599">
        <f>AJ273-AN273</f>
        <v/>
      </c>
      <c r="AS273" s="118" t="n"/>
    </row>
    <row r="274">
      <c r="A274" s="594" t="n">
        <v>187</v>
      </c>
      <c r="B274" s="5" t="inlineStr">
        <is>
          <t>Hosur</t>
        </is>
      </c>
      <c r="C274" s="601" t="inlineStr">
        <is>
          <t>Metalman</t>
        </is>
      </c>
      <c r="D274" s="601" t="inlineStr">
        <is>
          <t>Metalman</t>
        </is>
      </c>
      <c r="E274" s="601" t="n">
        <v>188647</v>
      </c>
      <c r="F274" s="601" t="n">
        <v>3191748</v>
      </c>
      <c r="G274" s="601">
        <f>_xlfn.CONCAT(scheduleapr[[#This Row],[CUSTOMER CODE]],"-",scheduleapr[[#This Row],[MATERIAL NO]])</f>
        <v/>
      </c>
      <c r="H274" s="601" t="inlineStr">
        <is>
          <t>TUB-O-N-AUT-AW-FC-38.10X2.000X0.9300</t>
        </is>
      </c>
      <c r="I274" s="601" t="inlineStr">
        <is>
          <t>ERW 2 MAHS</t>
        </is>
      </c>
      <c r="J274" s="601" t="n"/>
      <c r="K274" s="601" t="n"/>
      <c r="L274" s="601" t="inlineStr">
        <is>
          <t>HR</t>
        </is>
      </c>
      <c r="M274" s="596" t="inlineStr">
        <is>
          <t>ST52AL</t>
        </is>
      </c>
      <c r="N274" s="601" t="n"/>
      <c r="O274" s="601" t="n"/>
      <c r="P274" s="601" t="n"/>
      <c r="Q274" s="557">
        <f>CONCATENATE(scheduleapr[[#This Row],[OD]],"-",scheduleapr[[#This Row],[ID]],"-",scheduleapr[[#This Row],[TICKNESS]],"-",scheduleapr[[#This Row],[Grade]],"-",scheduleapr[[#This Row],[FC/NFC]])</f>
        <v/>
      </c>
      <c r="R274" s="557">
        <f>_xlfn.CONCAT(scheduleapr[[#This Row],[Bucket]],"-",scheduleapr[[#This Row],[LENGTH]]/1000)</f>
        <v/>
      </c>
      <c r="S274" s="557">
        <f>COUNTIF([2]!buckets[CTL Bucket],[2]!scheduleapr[[#This Row],[CTL Bucket]])</f>
        <v/>
      </c>
      <c r="T274" s="557" t="n"/>
      <c r="U274" s="557" t="n"/>
      <c r="V274" s="557" t="n"/>
      <c r="W274" s="557" t="n"/>
      <c r="X274" s="599" t="n">
        <v>38.1</v>
      </c>
      <c r="Y274" s="599" t="n">
        <v>38.1</v>
      </c>
      <c r="Z274" s="599" t="n">
        <v>0</v>
      </c>
      <c r="AA274" s="599" t="n">
        <v>2</v>
      </c>
      <c r="AB274" s="600" t="n">
        <v>930</v>
      </c>
      <c r="AC274" s="600" t="n"/>
      <c r="AD274" s="600" t="n"/>
      <c r="AE274" s="600" t="n"/>
      <c r="AF274" s="601" t="n"/>
      <c r="AG274" s="601" t="n"/>
      <c r="AH274" s="601">
        <f t="array" ref="AH2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4" s="602">
        <f>scheduleapr[[#This Row],[SCHEDULE in nos]]-scheduleapr[[#This Row],[DISPATCH]]</f>
        <v/>
      </c>
      <c r="AJ274" s="599">
        <f>(3.14*(scheduleapr[[#This Row],[ACTUAL OD]]-scheduleapr[[#This Row],[TICKNESS]])*scheduleapr[[#This Row],[TICKNESS]]*scheduleapr[[#This Row],[LENGTH]]*7.85)/1000000*scheduleapr[[#This Row],[SCHEDULE in nos]]/1000</f>
        <v/>
      </c>
      <c r="AK274" s="599">
        <f>(3.14*(scheduleapr[[#This Row],[ACTUAL OD]]-scheduleapr[[#This Row],[TICKNESS]])*scheduleapr[[#This Row],[TICKNESS]]*scheduleapr[[#This Row],[LENGTH]]*7.85)/1000000*scheduleapr[[#This Row],[DISPATCH]]/1000</f>
        <v/>
      </c>
      <c r="AL274" s="599">
        <f>AJ274-AK274</f>
        <v/>
      </c>
      <c r="AM274" s="599">
        <f>scheduleapr[[#This Row],[SCHEDULE in nos]]/scheduleapr[[#This Row],[SCHEDULE IN MT]]*scheduleapr[[#This Row],[CTL Stock]]</f>
        <v/>
      </c>
      <c r="AN274" s="599">
        <f>SUMIFS(stock[MT],stock[Bucket],scheduleapr[[#This Row],[Bucket]],stock[CTL Bucket],scheduleapr[[#This Row],[CTL Bucket]],stock[Plant],"0789")</f>
        <v/>
      </c>
      <c r="AO274" s="599" t="n"/>
      <c r="AP274" s="599">
        <f>SUMIFS(stock[MT],stock[Bucket],scheduleapr[[#This Row],[Bucket]],stock[LL or CTL],"LL")</f>
        <v/>
      </c>
      <c r="AQ274" s="599">
        <f>+SUMIFS(wip[Stock(Net Wt)],wip[Bucket],scheduleapr[[#This Row],[Bucket]])/1000</f>
        <v/>
      </c>
      <c r="AR274" s="599">
        <f>AJ274-AN274</f>
        <v/>
      </c>
      <c r="AS274" s="118" t="n"/>
    </row>
    <row r="275">
      <c r="A275" s="594" t="n">
        <v>188</v>
      </c>
      <c r="B275" s="5" t="inlineStr">
        <is>
          <t>JSR</t>
        </is>
      </c>
      <c r="C275" s="601" t="inlineStr">
        <is>
          <t>Metalman</t>
        </is>
      </c>
      <c r="D275" s="601" t="inlineStr">
        <is>
          <t>Metalman</t>
        </is>
      </c>
      <c r="E275" s="601" t="n">
        <v>188647</v>
      </c>
      <c r="F275" s="601" t="n">
        <v>3768904</v>
      </c>
      <c r="G275" s="601">
        <f>_xlfn.CONCAT(scheduleapr[[#This Row],[CUSTOMER CODE]],"-",scheduleapr[[#This Row],[MATERIAL NO]])</f>
        <v/>
      </c>
      <c r="H275" s="601" t="inlineStr">
        <is>
          <t>CUT-O-N-AUT-AW-FC-38.10X2.500X0.8780</t>
        </is>
      </c>
      <c r="I275" s="51" t="inlineStr">
        <is>
          <t>ERW 2 MAHS</t>
        </is>
      </c>
      <c r="J275" s="601" t="n"/>
      <c r="K275" s="601" t="inlineStr">
        <is>
          <t>FC</t>
        </is>
      </c>
      <c r="L275" s="601" t="inlineStr">
        <is>
          <t>HR</t>
        </is>
      </c>
      <c r="M275" s="596" t="inlineStr">
        <is>
          <t>ST52AL</t>
        </is>
      </c>
      <c r="N275" s="601" t="n"/>
      <c r="O275" s="601" t="n"/>
      <c r="P275" s="601" t="n"/>
      <c r="Q275" s="557">
        <f>CONCATENATE(scheduleapr[[#This Row],[OD]],"-",scheduleapr[[#This Row],[ID]],"-",scheduleapr[[#This Row],[TICKNESS]],"-",scheduleapr[[#This Row],[Grade]],"-",scheduleapr[[#This Row],[FC/NFC]])</f>
        <v/>
      </c>
      <c r="R275" s="557">
        <f>_xlfn.CONCAT(scheduleapr[[#This Row],[Bucket]],"-",scheduleapr[[#This Row],[LENGTH]]/1000)</f>
        <v/>
      </c>
      <c r="S275" s="557">
        <f>COUNTIF([2]!buckets[CTL Bucket],[2]!scheduleapr[[#This Row],[CTL Bucket]])</f>
        <v/>
      </c>
      <c r="T275" s="601" t="inlineStr">
        <is>
          <t>JSR</t>
        </is>
      </c>
      <c r="U275" s="601" t="n"/>
      <c r="V275" s="557" t="n"/>
      <c r="W275" s="557" t="n"/>
      <c r="X275" s="599" t="n">
        <v>38.1</v>
      </c>
      <c r="Y275" s="599" t="n">
        <v>38.1</v>
      </c>
      <c r="Z275" s="599" t="n">
        <v>0</v>
      </c>
      <c r="AA275" s="599" t="n">
        <v>2.5</v>
      </c>
      <c r="AB275" s="600" t="n">
        <v>878</v>
      </c>
      <c r="AC275" s="600" t="inlineStr">
        <is>
          <t>NOS</t>
        </is>
      </c>
      <c r="AD275" s="600" t="n"/>
      <c r="AE275" s="600" t="n"/>
      <c r="AF275" s="601" t="n">
        <v>8000</v>
      </c>
      <c r="AG275" s="601" t="n"/>
      <c r="AH275" s="601">
        <f t="array" ref="AH2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5" s="602">
        <f>scheduleapr[[#This Row],[SCHEDULE in nos]]-scheduleapr[[#This Row],[DISPATCH]]</f>
        <v/>
      </c>
      <c r="AJ275" s="599">
        <f>(3.14*(scheduleapr[[#This Row],[ACTUAL OD]]-scheduleapr[[#This Row],[TICKNESS]])*scheduleapr[[#This Row],[TICKNESS]]*scheduleapr[[#This Row],[LENGTH]]*7.85)/1000000*scheduleapr[[#This Row],[SCHEDULE in nos]]/1000</f>
        <v/>
      </c>
      <c r="AK275" s="599">
        <f>(3.14*(scheduleapr[[#This Row],[ACTUAL OD]]-scheduleapr[[#This Row],[TICKNESS]])*scheduleapr[[#This Row],[TICKNESS]]*scheduleapr[[#This Row],[LENGTH]]*7.85)/1000000*scheduleapr[[#This Row],[DISPATCH]]/1000</f>
        <v/>
      </c>
      <c r="AL275" s="599">
        <f>AJ275-AK275</f>
        <v/>
      </c>
      <c r="AM275" s="599">
        <f>scheduleapr[[#This Row],[SCHEDULE in nos]]/scheduleapr[[#This Row],[SCHEDULE IN MT]]*scheduleapr[[#This Row],[CTL Stock]]</f>
        <v/>
      </c>
      <c r="AN275" s="599">
        <f>SUMIFS(stock[MT],stock[Bucket],scheduleapr[[#This Row],[Bucket]],stock[CTL Bucket],scheduleapr[[#This Row],[CTL Bucket]],stock[Plant],"0789")</f>
        <v/>
      </c>
      <c r="AO275" s="599" t="n"/>
      <c r="AP275" s="599">
        <f>SUMIFS(stock[MT],stock[Bucket],scheduleapr[[#This Row],[Bucket]],stock[LL or CTL],"LL")</f>
        <v/>
      </c>
      <c r="AQ275" s="599">
        <f>+SUMIFS(wip[Stock(Net Wt)],wip[Bucket],scheduleapr[[#This Row],[Bucket]])/1000</f>
        <v/>
      </c>
      <c r="AR275" s="599">
        <f>AJ275-AN275</f>
        <v/>
      </c>
      <c r="AS275" s="118" t="n"/>
    </row>
    <row r="276">
      <c r="A276" s="556" t="n"/>
      <c r="B276" s="5" t="inlineStr">
        <is>
          <t>Hosur</t>
        </is>
      </c>
      <c r="C276" s="601" t="inlineStr">
        <is>
          <t>Metalman</t>
        </is>
      </c>
      <c r="D276" s="601" t="inlineStr">
        <is>
          <t>Metalman</t>
        </is>
      </c>
      <c r="E276" s="601" t="n">
        <v>188647</v>
      </c>
      <c r="F276" s="557" t="n"/>
      <c r="G276" s="601">
        <f>_xlfn.CONCAT(scheduleapr[[#This Row],[CUSTOMER CODE]],"-",scheduleapr[[#This Row],[MATERIAL NO]])</f>
        <v/>
      </c>
      <c r="H276" s="477" t="inlineStr">
        <is>
          <t>TUB-O-N-AUT-AW-FC-38.10X2.500X5.3500</t>
        </is>
      </c>
      <c r="I276" s="557" t="inlineStr">
        <is>
          <t>ERW 2 MAHS</t>
        </is>
      </c>
      <c r="J276" s="557" t="n"/>
      <c r="K276" s="601" t="inlineStr">
        <is>
          <t>FC</t>
        </is>
      </c>
      <c r="L276" s="601" t="inlineStr">
        <is>
          <t>HR</t>
        </is>
      </c>
      <c r="M276" s="596" t="inlineStr">
        <is>
          <t>ST52AL</t>
        </is>
      </c>
      <c r="N276" s="557" t="n"/>
      <c r="O276" s="557" t="n"/>
      <c r="P276" s="557" t="n"/>
      <c r="Q276" s="557">
        <f>CONCATENATE(scheduleapr[[#This Row],[OD]],"-",scheduleapr[[#This Row],[ID]],"-",scheduleapr[[#This Row],[TICKNESS]],"-",scheduleapr[[#This Row],[Grade]],"-",scheduleapr[[#This Row],[FC/NFC]])</f>
        <v/>
      </c>
      <c r="R276" s="557">
        <f>_xlfn.CONCAT(scheduleapr[[#This Row],[Bucket]],"-",scheduleapr[[#This Row],[LENGTH]]/1000)</f>
        <v/>
      </c>
      <c r="S276" s="557" t="n"/>
      <c r="T276" s="601" t="inlineStr">
        <is>
          <t>JSR</t>
        </is>
      </c>
      <c r="U276" s="601">
        <f>_xlfn.IFNA(VLOOKUP(scheduleapr[[#This Row],[Bucket]],salesforecast[[#All],[Bucket2]:[8406 Stock]],19,0),0)</f>
        <v/>
      </c>
      <c r="V276" s="562">
        <f>_xlfn.IFNA(VLOOKUP(scheduleapr[[#This Row],[Bucket]],salesforecast[[#All],[Bucket2]:[8406 Stock]],20,0),0)+_xlfn.IFNA(VLOOKUP(scheduleapr[[#This Row],[Bucket]],salesforecast[[#All],[Bucket2]:[8406 Stock]],17,0),0)</f>
        <v/>
      </c>
      <c r="W276" s="601" t="n"/>
      <c r="X276" s="559" t="n">
        <v>38.1</v>
      </c>
      <c r="Y276" s="559" t="n">
        <v>38.1</v>
      </c>
      <c r="Z276" s="559" t="n">
        <v>0</v>
      </c>
      <c r="AA276" s="599" t="n">
        <v>2.5</v>
      </c>
      <c r="AB276" s="600" t="n">
        <v>1000</v>
      </c>
      <c r="AC276" s="600" t="inlineStr">
        <is>
          <t>M</t>
        </is>
      </c>
      <c r="AD276" s="600" t="n"/>
      <c r="AE276" s="600" t="n"/>
      <c r="AF276" s="557" t="n"/>
      <c r="AG276" s="557" t="n"/>
      <c r="AH276" s="601">
        <f t="array" ref="AH2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6" s="602">
        <f>scheduleapr[[#This Row],[SCHEDULE in nos]]-scheduleapr[[#This Row],[DISPATCH]]</f>
        <v/>
      </c>
      <c r="AJ276" s="559">
        <f>(3.14*(scheduleapr[[#This Row],[ACTUAL OD]]-scheduleapr[[#This Row],[TICKNESS]])*scheduleapr[[#This Row],[TICKNESS]]*scheduleapr[[#This Row],[LENGTH]]*7.85)/1000000*scheduleapr[[#This Row],[SCHEDULE in nos]]/1000</f>
        <v/>
      </c>
      <c r="AK276" s="599">
        <f>(3.14*(scheduleapr[[#This Row],[ACTUAL OD]]-scheduleapr[[#This Row],[TICKNESS]])*scheduleapr[[#This Row],[TICKNESS]]*scheduleapr[[#This Row],[LENGTH]]*7.85)/1000000*scheduleapr[[#This Row],[DISPATCH]]/1000</f>
        <v/>
      </c>
      <c r="AL276" s="599">
        <f>AJ276-AK276</f>
        <v/>
      </c>
      <c r="AM276" s="559">
        <f>scheduleapr[[#This Row],[SCHEDULE in nos]]/scheduleapr[[#This Row],[SCHEDULE IN MT]]*scheduleapr[[#This Row],[CTL Stock]]</f>
        <v/>
      </c>
      <c r="AN276" s="599">
        <f>SUMIFS(stock[MT],stock[Bucket],scheduleapr[[#This Row],[Bucket]],stock[CTL Bucket],scheduleapr[[#This Row],[CTL Bucket]],stock[Plant],"0789")</f>
        <v/>
      </c>
      <c r="AO276" s="599" t="n"/>
      <c r="AP276" s="599">
        <f>SUMIFS(stock[MT],stock[Bucket],scheduleapr[[#This Row],[Bucket]],stock[LL or CTL],"LL")</f>
        <v/>
      </c>
      <c r="AQ276" s="599">
        <f>+SUMIFS(wip[Stock(Net Wt)],wip[Bucket],scheduleapr[[#This Row],[Bucket]])/1000</f>
        <v/>
      </c>
      <c r="AR276" s="599">
        <f>AJ276-AN276</f>
        <v/>
      </c>
      <c r="AS276" s="118" t="n"/>
    </row>
    <row r="277">
      <c r="A277" s="594" t="n">
        <v>204</v>
      </c>
      <c r="B277" s="5" t="inlineStr">
        <is>
          <t xml:space="preserve">Khopoli </t>
        </is>
      </c>
      <c r="C277" s="601" t="inlineStr">
        <is>
          <t>Narasipur Auto Component(P)Ltd</t>
        </is>
      </c>
      <c r="D277" s="601" t="inlineStr">
        <is>
          <t>Narasipur Auto Component(P)Ltd</t>
        </is>
      </c>
      <c r="E277" s="601" t="n">
        <v>187546</v>
      </c>
      <c r="F277" s="601" t="n">
        <v>1938483</v>
      </c>
      <c r="G277" s="601">
        <f>_xlfn.CONCAT(scheduleapr[[#This Row],[CUSTOMER CODE]],"-",scheduleapr[[#This Row],[MATERIAL NO]])</f>
        <v/>
      </c>
      <c r="H277" s="601" t="inlineStr">
        <is>
          <t>TUB-I-C-AUT-AD-FC-18.00X4.000X3.7000</t>
        </is>
      </c>
      <c r="I277" s="601" t="inlineStr">
        <is>
          <t>CEW</t>
        </is>
      </c>
      <c r="J277" s="601" t="n"/>
      <c r="K277" s="601" t="n"/>
      <c r="L277" s="601" t="inlineStr">
        <is>
          <t>HR</t>
        </is>
      </c>
      <c r="M277" s="601" t="n"/>
      <c r="N277" s="601" t="n"/>
      <c r="O277" s="601" t="n"/>
      <c r="P277" s="601" t="n"/>
      <c r="Q277" s="557">
        <f>CONCATENATE(scheduleapr[[#This Row],[OD]],"-",scheduleapr[[#This Row],[ID]],"-",scheduleapr[[#This Row],[TICKNESS]],"-",scheduleapr[[#This Row],[Grade]],"-",scheduleapr[[#This Row],[FC/NFC]])</f>
        <v/>
      </c>
      <c r="R277" s="557">
        <f>_xlfn.CONCAT(scheduleapr[[#This Row],[Bucket]],"-",scheduleapr[[#This Row],[LENGTH]]/1000)</f>
        <v/>
      </c>
      <c r="S277" s="557">
        <f>COUNTIF([2]!buckets[CTL Bucket],[2]!scheduleapr[[#This Row],[CTL Bucket]])</f>
        <v/>
      </c>
      <c r="T277" s="557" t="n"/>
      <c r="U277" s="557" t="n"/>
      <c r="V277" s="557" t="n"/>
      <c r="W277" s="557" t="n"/>
      <c r="X277" s="599" t="n">
        <v>18</v>
      </c>
      <c r="Y277" s="599" t="n">
        <v>26</v>
      </c>
      <c r="Z277" s="599" t="n">
        <v>18</v>
      </c>
      <c r="AA277" s="599" t="n">
        <v>4</v>
      </c>
      <c r="AB277" s="600" t="n">
        <v>3700</v>
      </c>
      <c r="AC277" s="600" t="n"/>
      <c r="AD277" s="600" t="n"/>
      <c r="AE277" s="600" t="n"/>
      <c r="AF277" s="601" t="n"/>
      <c r="AG277" s="601" t="n"/>
      <c r="AH277" s="601">
        <f t="array" ref="AH2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7" s="602">
        <f>scheduleapr[[#This Row],[SCHEDULE in nos]]-scheduleapr[[#This Row],[DISPATCH]]</f>
        <v/>
      </c>
      <c r="AJ277" s="599">
        <f>(3.14*(scheduleapr[[#This Row],[ACTUAL OD]]-scheduleapr[[#This Row],[TICKNESS]])*scheduleapr[[#This Row],[TICKNESS]]*scheduleapr[[#This Row],[LENGTH]]*7.85)/1000000*scheduleapr[[#This Row],[SCHEDULE in nos]]/1000</f>
        <v/>
      </c>
      <c r="AK277" s="599">
        <f>(3.14*(scheduleapr[[#This Row],[ACTUAL OD]]-scheduleapr[[#This Row],[TICKNESS]])*scheduleapr[[#This Row],[TICKNESS]]*scheduleapr[[#This Row],[LENGTH]]*7.85)/1000000*scheduleapr[[#This Row],[DISPATCH]]/1000</f>
        <v/>
      </c>
      <c r="AL277" s="599">
        <f>AJ277-AK277</f>
        <v/>
      </c>
      <c r="AM277" s="599">
        <f>scheduleapr[[#This Row],[SCHEDULE in nos]]/scheduleapr[[#This Row],[SCHEDULE IN MT]]*scheduleapr[[#This Row],[CTL Stock]]</f>
        <v/>
      </c>
      <c r="AN277" s="599">
        <f>SUMIFS(stock[MT],stock[Bucket],scheduleapr[[#This Row],[Bucket]],stock[CTL Bucket],scheduleapr[[#This Row],[CTL Bucket]],stock[Plant],"0789")</f>
        <v/>
      </c>
      <c r="AO277" s="599" t="n"/>
      <c r="AP277" s="599">
        <f>SUMIFS(stock[MT],stock[Bucket],scheduleapr[[#This Row],[Bucket]],stock[LL or CTL],"LL")</f>
        <v/>
      </c>
      <c r="AQ277" s="599">
        <f>+SUMIFS(wip[Stock(Net Wt)],wip[Bucket],scheduleapr[[#This Row],[Bucket]])/1000</f>
        <v/>
      </c>
      <c r="AR277" s="599">
        <f>AJ277-AN277</f>
        <v/>
      </c>
      <c r="AS277" s="118" t="n"/>
    </row>
    <row r="278">
      <c r="A278" s="594" t="n">
        <v>205</v>
      </c>
      <c r="B278" s="5" t="inlineStr">
        <is>
          <t xml:space="preserve">Khopoli </t>
        </is>
      </c>
      <c r="C278" s="601" t="inlineStr">
        <is>
          <t>Narasipur Auto Component(P)Ltd</t>
        </is>
      </c>
      <c r="D278" s="48" t="inlineStr">
        <is>
          <t>Narasipur Auto Component(P)Ltd</t>
        </is>
      </c>
      <c r="E278" s="601" t="n">
        <v>187546</v>
      </c>
      <c r="F278" s="601" t="n">
        <v>2418610</v>
      </c>
      <c r="G278" s="601">
        <f>_xlfn.CONCAT(scheduleapr[[#This Row],[CUSTOMER CODE]],"-",scheduleapr[[#This Row],[MATERIAL NO]])</f>
        <v/>
      </c>
      <c r="H278" s="601" t="inlineStr">
        <is>
          <t>TUB-O-C-AUT-AD-FC-25.40X3.500X04-05</t>
        </is>
      </c>
      <c r="I278" s="601" t="inlineStr">
        <is>
          <t>CEW</t>
        </is>
      </c>
      <c r="J278" s="601" t="n"/>
      <c r="K278" s="601" t="inlineStr">
        <is>
          <t>CEW</t>
        </is>
      </c>
      <c r="L278" s="601" t="n"/>
      <c r="M278" s="601" t="n"/>
      <c r="N278" s="601" t="n"/>
      <c r="O278" s="601" t="n"/>
      <c r="P278" s="601" t="n"/>
      <c r="Q278" s="557">
        <f>CONCATENATE(scheduleapr[[#This Row],[OD]],"-",scheduleapr[[#This Row],[ID]],"-",scheduleapr[[#This Row],[TICKNESS]],"-",scheduleapr[[#This Row],[Grade]],"-",scheduleapr[[#This Row],[FC/NFC]])</f>
        <v/>
      </c>
      <c r="R278" s="557">
        <f>_xlfn.CONCAT(scheduleapr[[#This Row],[Bucket]],"-",scheduleapr[[#This Row],[LENGTH]]/1000)</f>
        <v/>
      </c>
      <c r="S278" s="557">
        <f>COUNTIF(scheduleapr[CTL Bucket],scheduleapr[[#This Row],[CTL Bucket]])</f>
        <v/>
      </c>
      <c r="T278" s="601" t="inlineStr">
        <is>
          <t>Khopoli</t>
        </is>
      </c>
      <c r="U278" s="601">
        <f>_xlfn.IFNA(VLOOKUP(scheduleapr[[#This Row],[Bucket]],salesforecast[[#All],[Bucket2]:[8406 Stock]],19,0),0)</f>
        <v/>
      </c>
      <c r="V278" s="562">
        <f>_xlfn.IFNA(VLOOKUP(scheduleapr[[#This Row],[Bucket]],salesforecast[[#All],[Bucket2]:[8406 Stock]],20,0),0)+_xlfn.IFNA(VLOOKUP(scheduleapr[[#This Row],[Bucket]],salesforecast[[#All],[Bucket2]:[8406 Stock]],17,0),0)</f>
        <v/>
      </c>
      <c r="W278" s="557" t="n"/>
      <c r="X278" s="599" t="n">
        <v>25.4</v>
      </c>
      <c r="Y278" s="599" t="n">
        <v>25.4</v>
      </c>
      <c r="Z278" s="599" t="n">
        <v>18.4</v>
      </c>
      <c r="AA278" s="599" t="n">
        <v>3.5</v>
      </c>
      <c r="AB278" s="600" t="n">
        <v>247</v>
      </c>
      <c r="AC278" s="600" t="inlineStr">
        <is>
          <t>NOS</t>
        </is>
      </c>
      <c r="AD278" s="600" t="n"/>
      <c r="AE278" s="600" t="n"/>
      <c r="AF278" s="601" t="n">
        <v>85000</v>
      </c>
      <c r="AG278" s="601" t="inlineStr">
        <is>
          <t>Aug 2026 schedule · narsipur pdf</t>
        </is>
      </c>
      <c r="AH278" s="601">
        <f t="array" ref="AH2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8" s="602">
        <f>scheduleapr[[#This Row],[SCHEDULE in nos]]-scheduleapr[[#This Row],[DISPATCH]]</f>
        <v/>
      </c>
      <c r="AJ278" s="599">
        <f>(3.14*(scheduleapr[[#This Row],[ACTUAL OD]]-scheduleapr[[#This Row],[TICKNESS]])*scheduleapr[[#This Row],[TICKNESS]]*scheduleapr[[#This Row],[LENGTH]]*7.85)/1000000*scheduleapr[[#This Row],[SCHEDULE in nos]]/1000</f>
        <v/>
      </c>
      <c r="AK278" s="599">
        <f>(3.14*(scheduleapr[[#This Row],[ACTUAL OD]]-scheduleapr[[#This Row],[TICKNESS]])*scheduleapr[[#This Row],[TICKNESS]]*scheduleapr[[#This Row],[LENGTH]]*7.85)/1000000*scheduleapr[[#This Row],[DISPATCH]]/1000</f>
        <v/>
      </c>
      <c r="AL278" s="599">
        <f>AJ278-AK278</f>
        <v/>
      </c>
      <c r="AM278" s="599">
        <f>scheduleapr[[#This Row],[SCHEDULE in nos]]/scheduleapr[[#This Row],[SCHEDULE IN MT]]*scheduleapr[[#This Row],[CTL Stock]]</f>
        <v/>
      </c>
      <c r="AN278" s="599">
        <f>SUMIFS(stock[MT],stock[Bucket],scheduleapr[[#This Row],[Bucket]],stock[CTL Bucket],scheduleapr[[#This Row],[CTL Bucket]],stock[Plant],"0789")</f>
        <v/>
      </c>
      <c r="AO278" s="599" t="n"/>
      <c r="AP278" s="599">
        <f>SUMIFS(stock[MT],stock[Bucket],scheduleapr[[#This Row],[Bucket]],stock[LL or CTL],"LL")</f>
        <v/>
      </c>
      <c r="AQ278" s="599">
        <f>+SUMIFS(wip[Stock(Net Wt)],wip[Bucket],scheduleapr[[#This Row],[Bucket]])/1000</f>
        <v/>
      </c>
      <c r="AR278" s="599">
        <f>AJ278-AN278</f>
        <v/>
      </c>
      <c r="AS278" s="118" t="n"/>
    </row>
    <row r="279">
      <c r="A279" s="594" t="n">
        <v>206</v>
      </c>
      <c r="B279" s="5" t="inlineStr">
        <is>
          <t xml:space="preserve">Khopoli </t>
        </is>
      </c>
      <c r="C279" s="601" t="inlineStr">
        <is>
          <t>Narasipur Auto Component(P)Ltd</t>
        </is>
      </c>
      <c r="D279" s="601" t="inlineStr">
        <is>
          <t>Narasipur Auto Component(P)Ltd</t>
        </is>
      </c>
      <c r="E279" s="601" t="n">
        <v>187546</v>
      </c>
      <c r="F279" s="601">
        <f>_xlfn.CONCAT([2]!scheduleapr[[#This Row],[OD]],"-",[2]!scheduleapr[[#This Row],[ID]],"-",[2]!scheduleapr[[#This Row],[TICKNESS]],"-",[2]!scheduleapr[[#This Row],[LENGTH]])</f>
        <v/>
      </c>
      <c r="G279" s="601">
        <f>_xlfn.CONCAT(scheduleapr[[#This Row],[CUSTOMER CODE]],"-",scheduleapr[[#This Row],[MATERIAL NO]])</f>
        <v/>
      </c>
      <c r="H279" s="601" t="inlineStr">
        <is>
          <t>TUB-O-C-AUT-AD-FC-25.40X3.500X.26300</t>
        </is>
      </c>
      <c r="I279" s="601" t="inlineStr">
        <is>
          <t>CEW</t>
        </is>
      </c>
      <c r="J279" s="601" t="n"/>
      <c r="K279" s="601" t="inlineStr">
        <is>
          <t>CEW</t>
        </is>
      </c>
      <c r="L279" s="601" t="n"/>
      <c r="M279" s="601" t="n"/>
      <c r="N279" s="601" t="n"/>
      <c r="O279" s="601" t="n"/>
      <c r="P279" s="601" t="n"/>
      <c r="Q279" s="557">
        <f>CONCATENATE(scheduleapr[[#This Row],[OD]],"-",scheduleapr[[#This Row],[ID]],"-",scheduleapr[[#This Row],[TICKNESS]],"-",scheduleapr[[#This Row],[Grade]],"-",scheduleapr[[#This Row],[FC/NFC]])</f>
        <v/>
      </c>
      <c r="R279" s="557">
        <f>_xlfn.CONCAT(scheduleapr[[#This Row],[Bucket]],"-",scheduleapr[[#This Row],[LENGTH]]/1000)</f>
        <v/>
      </c>
      <c r="S279" s="557">
        <f>COUNTIF(scheduleapr[CTL Bucket],scheduleapr[[#This Row],[CTL Bucket]])</f>
        <v/>
      </c>
      <c r="T279" s="601" t="inlineStr">
        <is>
          <t>Khopoli</t>
        </is>
      </c>
      <c r="U279" s="601">
        <f>_xlfn.IFNA(VLOOKUP(scheduleapr[[#This Row],[Bucket]],salesforecast[[#All],[Bucket2]:[8406 Stock]],19,0),0)</f>
        <v/>
      </c>
      <c r="V279" s="562">
        <f>_xlfn.IFNA(VLOOKUP(scheduleapr[[#This Row],[Bucket]],salesforecast[[#All],[Bucket2]:[8406 Stock]],20,0),0)+_xlfn.IFNA(VLOOKUP(scheduleapr[[#This Row],[Bucket]],salesforecast[[#All],[Bucket2]:[8406 Stock]],17,0),0)</f>
        <v/>
      </c>
      <c r="W279" s="557" t="n"/>
      <c r="X279" s="599" t="n">
        <v>25.4</v>
      </c>
      <c r="Y279" s="599" t="n">
        <v>25.4</v>
      </c>
      <c r="Z279" s="599" t="n">
        <v>18.4</v>
      </c>
      <c r="AA279" s="599" t="n">
        <v>3.5</v>
      </c>
      <c r="AB279" s="600" t="n">
        <v>263</v>
      </c>
      <c r="AC279" s="600" t="inlineStr">
        <is>
          <t>NOS</t>
        </is>
      </c>
      <c r="AD279" s="600" t="n"/>
      <c r="AE279" s="600" t="n"/>
      <c r="AF279" s="601" t="n">
        <v>40000</v>
      </c>
      <c r="AG279" s="601" t="inlineStr">
        <is>
          <t>Aug 2026 schedule · narsipur pdf</t>
        </is>
      </c>
      <c r="AH279" s="601">
        <f t="array" ref="AH2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79" s="602">
        <f>scheduleapr[[#This Row],[SCHEDULE in nos]]-scheduleapr[[#This Row],[DISPATCH]]</f>
        <v/>
      </c>
      <c r="AJ279" s="599">
        <f>(3.14*(scheduleapr[[#This Row],[ACTUAL OD]]-scheduleapr[[#This Row],[TICKNESS]])*scheduleapr[[#This Row],[TICKNESS]]*scheduleapr[[#This Row],[LENGTH]]*7.85)/1000000*scheduleapr[[#This Row],[SCHEDULE in nos]]/1000</f>
        <v/>
      </c>
      <c r="AK279" s="599">
        <f>(3.14*(scheduleapr[[#This Row],[ACTUAL OD]]-scheduleapr[[#This Row],[TICKNESS]])*scheduleapr[[#This Row],[TICKNESS]]*scheduleapr[[#This Row],[LENGTH]]*7.85)/1000000*scheduleapr[[#This Row],[DISPATCH]]/1000</f>
        <v/>
      </c>
      <c r="AL279" s="599">
        <f>AJ279-AK279</f>
        <v/>
      </c>
      <c r="AM279" s="599">
        <f>scheduleapr[[#This Row],[SCHEDULE in nos]]/scheduleapr[[#This Row],[SCHEDULE IN MT]]*scheduleapr[[#This Row],[CTL Stock]]</f>
        <v/>
      </c>
      <c r="AN279" s="599">
        <f>SUMIFS(stock[MT],stock[Bucket],scheduleapr[[#This Row],[Bucket]],stock[CTL Bucket],scheduleapr[[#This Row],[CTL Bucket]],stock[Plant],"0789")</f>
        <v/>
      </c>
      <c r="AO279" s="599" t="n"/>
      <c r="AP279" s="599">
        <f>SUMIFS(stock[MT],stock[Bucket],scheduleapr[[#This Row],[Bucket]],stock[LL or CTL],"LL")</f>
        <v/>
      </c>
      <c r="AQ279" s="599">
        <f>+SUMIFS(wip[Stock(Net Wt)],wip[Bucket],scheduleapr[[#This Row],[Bucket]])/1000</f>
        <v/>
      </c>
      <c r="AR279" s="599">
        <f>AJ279-AN279</f>
        <v/>
      </c>
      <c r="AS279" s="118" t="n"/>
    </row>
    <row r="280">
      <c r="A280" s="594" t="n">
        <v>207</v>
      </c>
      <c r="B280" s="5" t="inlineStr">
        <is>
          <t xml:space="preserve">Khopoli </t>
        </is>
      </c>
      <c r="C280" s="601" t="inlineStr">
        <is>
          <t>Narasipur Auto Component(P)Ltd</t>
        </is>
      </c>
      <c r="D280" s="601" t="inlineStr">
        <is>
          <t>Narasipur Auto Component(P)Ltd</t>
        </is>
      </c>
      <c r="E280" s="601" t="n">
        <v>187546</v>
      </c>
      <c r="F280" s="601">
        <f>_xlfn.CONCAT([2]!scheduleapr[[#This Row],[OD]],"-",[2]!scheduleapr[[#This Row],[ID]],"-",[2]!scheduleapr[[#This Row],[TICKNESS]],"-",[2]!scheduleapr[[#This Row],[LENGTH]])</f>
        <v/>
      </c>
      <c r="G280" s="601">
        <f>_xlfn.CONCAT(scheduleapr[[#This Row],[CUSTOMER CODE]],"-",scheduleapr[[#This Row],[MATERIAL NO]])</f>
        <v/>
      </c>
      <c r="H280" s="601" t="inlineStr">
        <is>
          <t>TUB-O-C-AUT-AD-FC-25.40X3.500X04-05</t>
        </is>
      </c>
      <c r="I280" s="601" t="inlineStr">
        <is>
          <t>CEW</t>
        </is>
      </c>
      <c r="J280" s="601" t="n"/>
      <c r="K280" s="601" t="n"/>
      <c r="L280" s="601" t="inlineStr">
        <is>
          <t>HR</t>
        </is>
      </c>
      <c r="M280" s="601" t="n"/>
      <c r="N280" s="601" t="n"/>
      <c r="O280" s="601" t="n"/>
      <c r="P280" s="601" t="n"/>
      <c r="Q280" s="557">
        <f>CONCATENATE(scheduleapr[[#This Row],[OD]],"-",scheduleapr[[#This Row],[ID]],"-",scheduleapr[[#This Row],[TICKNESS]],"-",scheduleapr[[#This Row],[Grade]],"-",scheduleapr[[#This Row],[FC/NFC]])</f>
        <v/>
      </c>
      <c r="R280" s="557">
        <f>_xlfn.CONCAT(scheduleapr[[#This Row],[Bucket]],"-",scheduleapr[[#This Row],[LENGTH]]/1000)</f>
        <v/>
      </c>
      <c r="S280" s="557">
        <f>COUNTIF([2]!buckets[CTL Bucket],[2]!scheduleapr[[#This Row],[CTL Bucket]])</f>
        <v/>
      </c>
      <c r="T280" s="557" t="n"/>
      <c r="U280" s="557" t="n"/>
      <c r="V280" s="557" t="n"/>
      <c r="W280" s="557" t="n"/>
      <c r="X280" s="599" t="n">
        <v>25.4</v>
      </c>
      <c r="Y280" s="599" t="n">
        <v>25.4</v>
      </c>
      <c r="Z280" s="599" t="n">
        <v>18.4</v>
      </c>
      <c r="AA280" s="599" t="n">
        <v>3.5</v>
      </c>
      <c r="AB280" s="600" t="n">
        <v>4500</v>
      </c>
      <c r="AC280" s="600" t="n"/>
      <c r="AD280" s="600" t="n"/>
      <c r="AE280" s="600" t="n"/>
      <c r="AF280" s="601" t="n"/>
      <c r="AG280" s="601" t="n"/>
      <c r="AH280" s="601">
        <f t="array" ref="AH2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0" s="602">
        <f>scheduleapr[[#This Row],[SCHEDULE in nos]]-scheduleapr[[#This Row],[DISPATCH]]</f>
        <v/>
      </c>
      <c r="AJ280" s="599">
        <f>(3.14*(scheduleapr[[#This Row],[ACTUAL OD]]-scheduleapr[[#This Row],[TICKNESS]])*scheduleapr[[#This Row],[TICKNESS]]*scheduleapr[[#This Row],[LENGTH]]*7.85)/1000000*scheduleapr[[#This Row],[SCHEDULE in nos]]/1000</f>
        <v/>
      </c>
      <c r="AK280" s="599">
        <f>(3.14*(scheduleapr[[#This Row],[ACTUAL OD]]-scheduleapr[[#This Row],[TICKNESS]])*scheduleapr[[#This Row],[TICKNESS]]*scheduleapr[[#This Row],[LENGTH]]*7.85)/1000000*scheduleapr[[#This Row],[DISPATCH]]/1000</f>
        <v/>
      </c>
      <c r="AL280" s="599">
        <f>AJ280-AK280</f>
        <v/>
      </c>
      <c r="AM280" s="599">
        <f>scheduleapr[[#This Row],[SCHEDULE in nos]]/scheduleapr[[#This Row],[SCHEDULE IN MT]]*scheduleapr[[#This Row],[CTL Stock]]</f>
        <v/>
      </c>
      <c r="AN280" s="599">
        <f>SUMIFS(stock[MT],stock[Bucket],scheduleapr[[#This Row],[Bucket]],stock[CTL Bucket],scheduleapr[[#This Row],[CTL Bucket]],stock[Plant],"0789")</f>
        <v/>
      </c>
      <c r="AO280" s="599" t="n"/>
      <c r="AP280" s="599">
        <f>SUMIFS(stock[MT],stock[Bucket],scheduleapr[[#This Row],[Bucket]],stock[LL or CTL],"LL")</f>
        <v/>
      </c>
      <c r="AQ280" s="599">
        <f>+SUMIFS(wip[Stock(Net Wt)],wip[Bucket],scheduleapr[[#This Row],[Bucket]])/1000</f>
        <v/>
      </c>
      <c r="AR280" s="599">
        <f>AJ280-AN280</f>
        <v/>
      </c>
      <c r="AS280" s="118" t="n"/>
    </row>
    <row r="281">
      <c r="A281" s="594" t="n">
        <v>208</v>
      </c>
      <c r="B281" s="5" t="inlineStr">
        <is>
          <t xml:space="preserve">Khopoli </t>
        </is>
      </c>
      <c r="C281" s="601" t="inlineStr">
        <is>
          <t>Narasipur Auto Component(P)Ltd</t>
        </is>
      </c>
      <c r="D281" s="601" t="inlineStr">
        <is>
          <t>Narasipur Auto Component(P)Ltd</t>
        </is>
      </c>
      <c r="E281" s="601" t="n">
        <v>187546</v>
      </c>
      <c r="F281" s="601" t="n">
        <v>2426241</v>
      </c>
      <c r="G281" s="601">
        <f>_xlfn.CONCAT(scheduleapr[[#This Row],[CUSTOMER CODE]],"-",scheduleapr[[#This Row],[MATERIAL NO]])</f>
        <v/>
      </c>
      <c r="H281" s="601" t="inlineStr">
        <is>
          <t>TUB-O-C-AUT-AD-FC-25.60X4.500X4.2000</t>
        </is>
      </c>
      <c r="I281" s="601" t="inlineStr">
        <is>
          <t>CEW</t>
        </is>
      </c>
      <c r="J281" s="601" t="n"/>
      <c r="K281" s="601" t="n"/>
      <c r="L281" s="601" t="inlineStr">
        <is>
          <t>HR</t>
        </is>
      </c>
      <c r="M281" s="601" t="n"/>
      <c r="N281" s="601" t="n"/>
      <c r="O281" s="601" t="n"/>
      <c r="P281" s="601" t="n"/>
      <c r="Q281" s="557">
        <f>CONCATENATE(scheduleapr[[#This Row],[OD]],"-",scheduleapr[[#This Row],[ID]],"-",scheduleapr[[#This Row],[TICKNESS]],"-",scheduleapr[[#This Row],[Grade]],"-",scheduleapr[[#This Row],[FC/NFC]])</f>
        <v/>
      </c>
      <c r="R281" s="557">
        <f>_xlfn.CONCAT(scheduleapr[[#This Row],[Bucket]],"-",scheduleapr[[#This Row],[LENGTH]]/1000)</f>
        <v/>
      </c>
      <c r="S281" s="557">
        <f>COUNTIF([2]!buckets[CTL Bucket],[2]!scheduleapr[[#This Row],[CTL Bucket]])</f>
        <v/>
      </c>
      <c r="T281" s="557" t="n"/>
      <c r="U281" s="557" t="n"/>
      <c r="V281" s="557" t="n"/>
      <c r="W281" s="557" t="n"/>
      <c r="X281" s="599" t="n">
        <v>25.6</v>
      </c>
      <c r="Y281" s="599" t="n">
        <v>25.6</v>
      </c>
      <c r="Z281" s="599" t="n">
        <v>16.6</v>
      </c>
      <c r="AA281" s="599" t="n">
        <v>4.5</v>
      </c>
      <c r="AB281" s="600" t="n">
        <v>4200</v>
      </c>
      <c r="AC281" s="600" t="n"/>
      <c r="AD281" s="600" t="n"/>
      <c r="AE281" s="600" t="n"/>
      <c r="AF281" s="601" t="n"/>
      <c r="AG281" s="601" t="n"/>
      <c r="AH281" s="601">
        <f t="array" ref="AH2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1" s="602">
        <f>scheduleapr[[#This Row],[SCHEDULE in nos]]-scheduleapr[[#This Row],[DISPATCH]]</f>
        <v/>
      </c>
      <c r="AJ281" s="599">
        <f>(3.14*(scheduleapr[[#This Row],[ACTUAL OD]]-scheduleapr[[#This Row],[TICKNESS]])*scheduleapr[[#This Row],[TICKNESS]]*scheduleapr[[#This Row],[LENGTH]]*7.85)/1000000*scheduleapr[[#This Row],[SCHEDULE in nos]]/1000</f>
        <v/>
      </c>
      <c r="AK281" s="599">
        <f>(3.14*(scheduleapr[[#This Row],[ACTUAL OD]]-scheduleapr[[#This Row],[TICKNESS]])*scheduleapr[[#This Row],[TICKNESS]]*scheduleapr[[#This Row],[LENGTH]]*7.85)/1000000*scheduleapr[[#This Row],[DISPATCH]]/1000</f>
        <v/>
      </c>
      <c r="AL281" s="599">
        <f>AJ281-AK281</f>
        <v/>
      </c>
      <c r="AM281" s="599">
        <f>scheduleapr[[#This Row],[SCHEDULE in nos]]/scheduleapr[[#This Row],[SCHEDULE IN MT]]*scheduleapr[[#This Row],[CTL Stock]]</f>
        <v/>
      </c>
      <c r="AN281" s="599">
        <f>SUMIFS(stock[MT],stock[Bucket],scheduleapr[[#This Row],[Bucket]],stock[CTL Bucket],scheduleapr[[#This Row],[CTL Bucket]],stock[Plant],"0789")</f>
        <v/>
      </c>
      <c r="AO281" s="599" t="n"/>
      <c r="AP281" s="599">
        <f>SUMIFS(stock[MT],stock[Bucket],scheduleapr[[#This Row],[Bucket]],stock[LL or CTL],"LL")</f>
        <v/>
      </c>
      <c r="AQ281" s="599">
        <f>+SUMIFS(wip[Stock(Net Wt)],wip[Bucket],scheduleapr[[#This Row],[Bucket]])/1000</f>
        <v/>
      </c>
      <c r="AR281" s="599">
        <f>AJ281-AN281</f>
        <v/>
      </c>
      <c r="AS281" s="118" t="n"/>
    </row>
    <row r="282">
      <c r="A282" s="594" t="n">
        <v>211</v>
      </c>
      <c r="B282" s="5" t="inlineStr">
        <is>
          <t xml:space="preserve">Khopoli </t>
        </is>
      </c>
      <c r="C282" s="601" t="inlineStr">
        <is>
          <t>Narasipur Auto Component(P)Ltd</t>
        </is>
      </c>
      <c r="D282" s="601" t="inlineStr">
        <is>
          <t>Narasipur Auto Component(P)Ltd</t>
        </is>
      </c>
      <c r="E282" s="601" t="n">
        <v>187546</v>
      </c>
      <c r="F282" s="9" t="n">
        <v>1939872</v>
      </c>
      <c r="G282" s="601">
        <f>_xlfn.CONCAT(scheduleapr[[#This Row],[CUSTOMER CODE]],"-",scheduleapr[[#This Row],[MATERIAL NO]])</f>
        <v/>
      </c>
      <c r="H282" s="9" t="inlineStr">
        <is>
          <t>TUB-O-C-CEW-AD-FC-32.00X4.500X3.3000</t>
        </is>
      </c>
      <c r="I282" s="601" t="inlineStr">
        <is>
          <t>CEW</t>
        </is>
      </c>
      <c r="J282" s="601" t="n"/>
      <c r="K282" s="601" t="n"/>
      <c r="L282" s="601" t="inlineStr">
        <is>
          <t>HR</t>
        </is>
      </c>
      <c r="M282" s="601" t="n"/>
      <c r="N282" s="601" t="n"/>
      <c r="O282" s="601" t="n"/>
      <c r="P282" s="601" t="n"/>
      <c r="Q282" s="557">
        <f>CONCATENATE(scheduleapr[[#This Row],[OD]],"-",scheduleapr[[#This Row],[ID]],"-",scheduleapr[[#This Row],[TICKNESS]],"-",scheduleapr[[#This Row],[Grade]],"-",scheduleapr[[#This Row],[FC/NFC]])</f>
        <v/>
      </c>
      <c r="R282" s="557">
        <f>_xlfn.CONCAT(scheduleapr[[#This Row],[Bucket]],"-",scheduleapr[[#This Row],[LENGTH]]/1000)</f>
        <v/>
      </c>
      <c r="S282" s="557">
        <f>COUNTIF([2]!buckets[CTL Bucket],[2]!scheduleapr[[#This Row],[CTL Bucket]])</f>
        <v/>
      </c>
      <c r="T282" s="557" t="n"/>
      <c r="U282" s="557" t="n"/>
      <c r="V282" s="557" t="n"/>
      <c r="W282" s="557" t="n"/>
      <c r="X282" s="599" t="n">
        <v>32</v>
      </c>
      <c r="Y282" s="599" t="n">
        <v>32</v>
      </c>
      <c r="Z282" s="599" t="n">
        <v>0</v>
      </c>
      <c r="AA282" s="599" t="n">
        <v>4.5</v>
      </c>
      <c r="AB282" s="600" t="n">
        <v>3300</v>
      </c>
      <c r="AC282" s="600" t="n"/>
      <c r="AD282" s="600" t="n"/>
      <c r="AE282" s="600" t="n"/>
      <c r="AF282" s="601" t="n"/>
      <c r="AG282" s="601" t="n"/>
      <c r="AH282" s="601">
        <f t="array" ref="AH2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2" s="602">
        <f>scheduleapr[[#This Row],[SCHEDULE in nos]]-scheduleapr[[#This Row],[DISPATCH]]</f>
        <v/>
      </c>
      <c r="AJ282" s="599">
        <f>(3.14*(scheduleapr[[#This Row],[ACTUAL OD]]-scheduleapr[[#This Row],[TICKNESS]])*scheduleapr[[#This Row],[TICKNESS]]*scheduleapr[[#This Row],[LENGTH]]*7.85)/1000000*scheduleapr[[#This Row],[SCHEDULE in nos]]/1000</f>
        <v/>
      </c>
      <c r="AK282" s="599">
        <f>(3.14*(scheduleapr[[#This Row],[ACTUAL OD]]-scheduleapr[[#This Row],[TICKNESS]])*scheduleapr[[#This Row],[TICKNESS]]*scheduleapr[[#This Row],[LENGTH]]*7.85)/1000000*scheduleapr[[#This Row],[DISPATCH]]/1000</f>
        <v/>
      </c>
      <c r="AL282" s="599">
        <f>AJ282-AK282</f>
        <v/>
      </c>
      <c r="AM282" s="599">
        <f>scheduleapr[[#This Row],[SCHEDULE in nos]]/scheduleapr[[#This Row],[SCHEDULE IN MT]]*scheduleapr[[#This Row],[CTL Stock]]</f>
        <v/>
      </c>
      <c r="AN282" s="599">
        <f>SUMIFS(stock[MT],stock[Bucket],scheduleapr[[#This Row],[Bucket]],stock[CTL Bucket],scheduleapr[[#This Row],[CTL Bucket]],stock[Plant],"0789")</f>
        <v/>
      </c>
      <c r="AO282" s="599" t="n"/>
      <c r="AP282" s="599">
        <f>SUMIFS(stock[MT],stock[Bucket],scheduleapr[[#This Row],[Bucket]],stock[LL or CTL],"LL")</f>
        <v/>
      </c>
      <c r="AQ282" s="599">
        <f>+SUMIFS(wip[Stock(Net Wt)],wip[Bucket],scheduleapr[[#This Row],[Bucket]])/1000</f>
        <v/>
      </c>
      <c r="AR282" s="599">
        <f>AJ282-AN282</f>
        <v/>
      </c>
      <c r="AS282" s="118" t="n"/>
    </row>
    <row r="283">
      <c r="A283" s="594" t="n">
        <v>209</v>
      </c>
      <c r="B283" s="5" t="inlineStr">
        <is>
          <t xml:space="preserve">Khopoli </t>
        </is>
      </c>
      <c r="C283" s="601" t="inlineStr">
        <is>
          <t>Narasipur Auto Component(P)Ltd</t>
        </is>
      </c>
      <c r="D283" s="601" t="inlineStr">
        <is>
          <t>Narasipur Auto Component(P)Ltd</t>
        </is>
      </c>
      <c r="E283" s="601" t="n">
        <v>187546</v>
      </c>
      <c r="F283" s="601" t="n">
        <v>3190072</v>
      </c>
      <c r="G283" s="601">
        <f>_xlfn.CONCAT(scheduleapr[[#This Row],[CUSTOMER CODE]],"-",scheduleapr[[#This Row],[MATERIAL NO]])</f>
        <v/>
      </c>
      <c r="H283" s="601" t="inlineStr">
        <is>
          <t>TUB-O-C-AUT-AD-FC-29.40X4.500X0.3570</t>
        </is>
      </c>
      <c r="I283" s="601" t="inlineStr">
        <is>
          <t xml:space="preserve">CEW </t>
        </is>
      </c>
      <c r="J283" s="601" t="n"/>
      <c r="K283" s="601" t="inlineStr">
        <is>
          <t xml:space="preserve">CEW </t>
        </is>
      </c>
      <c r="L283" s="601" t="inlineStr">
        <is>
          <t>HR</t>
        </is>
      </c>
      <c r="M283" s="601" t="n"/>
      <c r="N283" s="601" t="inlineStr">
        <is>
          <t>Chamferring</t>
        </is>
      </c>
      <c r="O283" s="601" t="n"/>
      <c r="P283" s="601" t="n"/>
      <c r="Q283" s="601" t="inlineStr">
        <is>
          <t>29.4-20.4-4.5-CEW-CEW</t>
        </is>
      </c>
      <c r="R283" s="557">
        <f>_xlfn.CONCAT(scheduleapr[[#This Row],[Bucket]],"-",scheduleapr[[#This Row],[LENGTH]]/1000)</f>
        <v/>
      </c>
      <c r="S283" s="557">
        <f>COUNTIF(scheduleapr[CTL Bucket],scheduleapr[[#This Row],[CTL Bucket]])</f>
        <v/>
      </c>
      <c r="T283" s="601" t="inlineStr">
        <is>
          <t>Khopoli</t>
        </is>
      </c>
      <c r="U283" s="601">
        <f>_xlfn.IFNA(VLOOKUP(scheduleapr[[#This Row],[Bucket]],salesforecast[[#All],[Bucket2]:[8406 Stock]],19,0),0)</f>
        <v/>
      </c>
      <c r="V283" s="562">
        <f>_xlfn.IFNA(VLOOKUP(scheduleapr[[#This Row],[Bucket]],salesforecast[[#All],[Bucket2]:[8406 Stock]],20,0),0)+_xlfn.IFNA(VLOOKUP(scheduleapr[[#This Row],[Bucket]],salesforecast[[#All],[Bucket2]:[8406 Stock]],17,0),0)</f>
        <v/>
      </c>
      <c r="W283" s="557" t="n"/>
      <c r="X283" s="599" t="n">
        <v>29.4</v>
      </c>
      <c r="Y283" s="599" t="n">
        <v>29.4</v>
      </c>
      <c r="Z283" s="599" t="n">
        <v>20.4</v>
      </c>
      <c r="AA283" s="599" t="n">
        <v>4.5</v>
      </c>
      <c r="AB283" s="600" t="n">
        <v>357</v>
      </c>
      <c r="AC283" s="600" t="inlineStr">
        <is>
          <t>NOS</t>
        </is>
      </c>
      <c r="AD283" s="600" t="n"/>
      <c r="AE283" s="600" t="n"/>
      <c r="AF283" s="601" t="n">
        <v>6000</v>
      </c>
      <c r="AG283" s="601" t="inlineStr">
        <is>
          <t>Aug 2026 schedule · narsipur pdf</t>
        </is>
      </c>
      <c r="AH283" s="601">
        <f t="array" ref="AH2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3" s="602">
        <f>scheduleapr[[#This Row],[SCHEDULE in nos]]-scheduleapr[[#This Row],[DISPATCH]]</f>
        <v/>
      </c>
      <c r="AJ283" s="599">
        <f>(3.14*(scheduleapr[[#This Row],[ACTUAL OD]]-scheduleapr[[#This Row],[TICKNESS]])*scheduleapr[[#This Row],[TICKNESS]]*scheduleapr[[#This Row],[LENGTH]]*7.85)/1000000*scheduleapr[[#This Row],[SCHEDULE in nos]]/1000</f>
        <v/>
      </c>
      <c r="AK283" s="599">
        <f>(3.14*(scheduleapr[[#This Row],[ACTUAL OD]]-scheduleapr[[#This Row],[TICKNESS]])*scheduleapr[[#This Row],[TICKNESS]]*scheduleapr[[#This Row],[LENGTH]]*7.85)/1000000*scheduleapr[[#This Row],[DISPATCH]]/1000</f>
        <v/>
      </c>
      <c r="AL283" s="599">
        <f>AJ283-AK283</f>
        <v/>
      </c>
      <c r="AM283" s="599">
        <f>scheduleapr[[#This Row],[SCHEDULE in nos]]/scheduleapr[[#This Row],[SCHEDULE IN MT]]*scheduleapr[[#This Row],[CTL Stock]]</f>
        <v/>
      </c>
      <c r="AN283" s="599">
        <f>SUMIFS(stock[MT],stock[Bucket],scheduleapr[[#This Row],[Bucket]],stock[CTL Bucket],scheduleapr[[#This Row],[CTL Bucket]],stock[Plant],"0789")</f>
        <v/>
      </c>
      <c r="AO283" s="599" t="n"/>
      <c r="AP283" s="599">
        <f>SUMIFS(stock[MT],stock[Bucket],scheduleapr[[#This Row],[Bucket]],stock[LL or CTL],"LL")</f>
        <v/>
      </c>
      <c r="AQ283" s="599">
        <f>+SUMIFS(wip[Stock(Net Wt)],wip[Bucket],scheduleapr[[#This Row],[Bucket]])/1000</f>
        <v/>
      </c>
      <c r="AR283" s="599">
        <f>AJ283-AN283</f>
        <v/>
      </c>
      <c r="AS283" s="118" t="n"/>
    </row>
    <row r="284">
      <c r="A284" s="594" t="n">
        <v>210</v>
      </c>
      <c r="B284" s="5" t="inlineStr">
        <is>
          <t xml:space="preserve">Khopoli </t>
        </is>
      </c>
      <c r="C284" s="601" t="inlineStr">
        <is>
          <t>Narasipur Auto Component(P)Ltd</t>
        </is>
      </c>
      <c r="D284" s="601" t="inlineStr">
        <is>
          <t>Narasipur Auto Component(P)Ltd</t>
        </is>
      </c>
      <c r="E284" s="601" t="n">
        <v>187546</v>
      </c>
      <c r="F284" s="601" t="n">
        <v>1941303</v>
      </c>
      <c r="G284" s="601">
        <f>_xlfn.CONCAT(scheduleapr[[#This Row],[CUSTOMER CODE]],"-",scheduleapr[[#This Row],[MATERIAL NO]])</f>
        <v/>
      </c>
      <c r="H284" s="601" t="inlineStr">
        <is>
          <t>TUB-O-C-AUT-AD-FC-29.40X4.500X0.3610</t>
        </is>
      </c>
      <c r="I284" s="601" t="inlineStr">
        <is>
          <t xml:space="preserve">CEW </t>
        </is>
      </c>
      <c r="J284" s="601" t="n"/>
      <c r="K284" s="601" t="inlineStr">
        <is>
          <t xml:space="preserve">CEW </t>
        </is>
      </c>
      <c r="L284" s="601" t="inlineStr">
        <is>
          <t>HR</t>
        </is>
      </c>
      <c r="M284" s="601" t="n"/>
      <c r="N284" s="601" t="inlineStr">
        <is>
          <t>Chamferring</t>
        </is>
      </c>
      <c r="O284" s="601" t="n"/>
      <c r="P284" s="601" t="n"/>
      <c r="Q284" s="601" t="inlineStr">
        <is>
          <t>29.4-20.4-4.5-CEW-CEW</t>
        </is>
      </c>
      <c r="R284" s="557">
        <f>_xlfn.CONCAT(scheduleapr[[#This Row],[Bucket]],"-",scheduleapr[[#This Row],[LENGTH]]/1000)</f>
        <v/>
      </c>
      <c r="S284" s="557">
        <f>COUNTIF([2]!buckets[CTL Bucket],[2]!scheduleapr[[#This Row],[CTL Bucket]])</f>
        <v/>
      </c>
      <c r="T284" s="601" t="inlineStr">
        <is>
          <t>Khopoli</t>
        </is>
      </c>
      <c r="U284" s="601">
        <f>_xlfn.IFNA(VLOOKUP(scheduleapr[[#This Row],[Bucket]],salesforecast[[#All],[Bucket2]:[8406 Stock]],19,0),0)</f>
        <v/>
      </c>
      <c r="V284" s="562">
        <f>_xlfn.IFNA(VLOOKUP(scheduleapr[[#This Row],[Bucket]],salesforecast[[#All],[Bucket2]:[8406 Stock]],20,0),0)+_xlfn.IFNA(VLOOKUP(scheduleapr[[#This Row],[Bucket]],salesforecast[[#All],[Bucket2]:[8406 Stock]],17,0),0)</f>
        <v/>
      </c>
      <c r="W284" s="557" t="n"/>
      <c r="X284" s="599" t="n">
        <v>29.4</v>
      </c>
      <c r="Y284" s="599" t="n">
        <v>29.4</v>
      </c>
      <c r="Z284" s="599" t="n">
        <v>20.4</v>
      </c>
      <c r="AA284" s="599" t="n">
        <v>4.5</v>
      </c>
      <c r="AB284" s="600" t="n">
        <v>361</v>
      </c>
      <c r="AC284" s="600" t="inlineStr">
        <is>
          <t>NOS</t>
        </is>
      </c>
      <c r="AD284" s="600" t="n"/>
      <c r="AE284" s="600" t="n"/>
      <c r="AF284" s="601" t="n">
        <v>30000</v>
      </c>
      <c r="AG284" s="601" t="inlineStr">
        <is>
          <t>Aug 2026 schedule · narsipur pdf</t>
        </is>
      </c>
      <c r="AH284" s="601">
        <f t="array" ref="AH2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4" s="602">
        <f>scheduleapr[[#This Row],[SCHEDULE in nos]]-scheduleapr[[#This Row],[DISPATCH]]</f>
        <v/>
      </c>
      <c r="AJ284" s="599">
        <f>(3.14*(scheduleapr[[#This Row],[ACTUAL OD]]-scheduleapr[[#This Row],[TICKNESS]])*scheduleapr[[#This Row],[TICKNESS]]*scheduleapr[[#This Row],[LENGTH]]*7.85)/1000000*scheduleapr[[#This Row],[SCHEDULE in nos]]/1000</f>
        <v/>
      </c>
      <c r="AK284" s="599">
        <f>(3.14*(scheduleapr[[#This Row],[ACTUAL OD]]-scheduleapr[[#This Row],[TICKNESS]])*scheduleapr[[#This Row],[TICKNESS]]*scheduleapr[[#This Row],[LENGTH]]*7.85)/1000000*scheduleapr[[#This Row],[DISPATCH]]/1000</f>
        <v/>
      </c>
      <c r="AL284" s="599">
        <f>AJ284-AK284</f>
        <v/>
      </c>
      <c r="AM284" s="599">
        <f>scheduleapr[[#This Row],[SCHEDULE in nos]]/scheduleapr[[#This Row],[SCHEDULE IN MT]]*scheduleapr[[#This Row],[CTL Stock]]</f>
        <v/>
      </c>
      <c r="AN284" s="599">
        <f>SUMIFS(stock[MT],stock[Bucket],scheduleapr[[#This Row],[Bucket]],stock[CTL Bucket],scheduleapr[[#This Row],[CTL Bucket]],stock[Plant],"0789")</f>
        <v/>
      </c>
      <c r="AO284" s="599" t="n"/>
      <c r="AP284" s="599">
        <f>SUMIFS(stock[MT],stock[Bucket],scheduleapr[[#This Row],[Bucket]],stock[LL or CTL],"LL")</f>
        <v/>
      </c>
      <c r="AQ284" s="599">
        <f>+SUMIFS(wip[Stock(Net Wt)],wip[Bucket],scheduleapr[[#This Row],[Bucket]])/1000</f>
        <v/>
      </c>
      <c r="AR284" s="599">
        <f>AJ284-AN284</f>
        <v/>
      </c>
      <c r="AS284" s="118" t="n"/>
    </row>
    <row r="285">
      <c r="A285" s="594" t="n">
        <v>250</v>
      </c>
      <c r="B285" s="5" t="inlineStr">
        <is>
          <t xml:space="preserve">Khopoli </t>
        </is>
      </c>
      <c r="C285" s="601" t="inlineStr">
        <is>
          <t>NMPL TVSM</t>
        </is>
      </c>
      <c r="D285" s="601" t="inlineStr">
        <is>
          <t>NMPL</t>
        </is>
      </c>
      <c r="E285" s="601" t="inlineStr">
        <is>
          <t>189226|930794</t>
        </is>
      </c>
      <c r="F285" s="601" t="n">
        <v>2363145</v>
      </c>
      <c r="G285" s="601">
        <f>_xlfn.CONCAT(scheduleapr[[#This Row],[CUSTOMER CODE]],"-",scheduleapr[[#This Row],[MATERIAL NO]])</f>
        <v/>
      </c>
      <c r="H285" s="601" t="inlineStr">
        <is>
          <t>TUB-O-C-AUT-AN-FC-14.00X2.450X5.0000</t>
        </is>
      </c>
      <c r="I285" s="601" t="inlineStr">
        <is>
          <t>CEW</t>
        </is>
      </c>
      <c r="J285" s="601" t="n"/>
      <c r="K285" s="601" t="inlineStr">
        <is>
          <t>CEW</t>
        </is>
      </c>
      <c r="L285" s="601" t="inlineStr">
        <is>
          <t>HR</t>
        </is>
      </c>
      <c r="M285" s="601" t="n"/>
      <c r="N285" s="601" t="n"/>
      <c r="O285" s="601" t="n"/>
      <c r="P285" s="601" t="n"/>
      <c r="Q285" s="557">
        <f>CONCATENATE(scheduleapr[[#This Row],[OD]],"-",scheduleapr[[#This Row],[ID]],"-",scheduleapr[[#This Row],[TICKNESS]],"-",scheduleapr[[#This Row],[Grade]],"-",scheduleapr[[#This Row],[FC/NFC]])</f>
        <v/>
      </c>
      <c r="R285" s="557" t="inlineStr">
        <is>
          <t>14-0-2.45-CEW-CEW</t>
        </is>
      </c>
      <c r="S285" s="557">
        <f>COUNTIF(scheduleapr[CTL Bucket],scheduleapr[[#This Row],[CTL Bucket]])</f>
        <v/>
      </c>
      <c r="T285" s="601" t="inlineStr">
        <is>
          <t>Khopoli</t>
        </is>
      </c>
      <c r="U285" s="601">
        <f>_xlfn.IFNA(VLOOKUP(scheduleapr[[#This Row],[Bucket]],salesforecast[[#All],[Bucket2]:[8406 Stock]],19,0),0)</f>
        <v/>
      </c>
      <c r="V285" s="562">
        <f>_xlfn.IFNA(VLOOKUP(scheduleapr[[#This Row],[Bucket]],salesforecast[[#All],[Bucket2]:[8406 Stock]],20,0),0)+_xlfn.IFNA(VLOOKUP(scheduleapr[[#This Row],[Bucket]],salesforecast[[#All],[Bucket2]:[8406 Stock]],17,0),0)</f>
        <v/>
      </c>
      <c r="W285" s="557" t="n"/>
      <c r="X285" s="599" t="n">
        <v>14</v>
      </c>
      <c r="Y285" s="599" t="n">
        <v>14</v>
      </c>
      <c r="Z285" s="599" t="n">
        <v>0</v>
      </c>
      <c r="AA285" s="599" t="n">
        <v>2.45</v>
      </c>
      <c r="AB285" s="600" t="n">
        <v>1000</v>
      </c>
      <c r="AC285" s="600" t="inlineStr">
        <is>
          <t>M</t>
        </is>
      </c>
      <c r="AD285" s="600" t="n"/>
      <c r="AE285" s="600" t="n"/>
      <c r="AF285" s="601" t="n"/>
      <c r="AG285" s="601" t="n"/>
      <c r="AH285" s="601">
        <f t="array" ref="AH2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5" s="602">
        <f>scheduleapr[[#This Row],[SCHEDULE in nos]]-scheduleapr[[#This Row],[DISPATCH]]</f>
        <v/>
      </c>
      <c r="AJ285" s="599">
        <f>(3.14*(scheduleapr[[#This Row],[ACTUAL OD]]-scheduleapr[[#This Row],[TICKNESS]])*scheduleapr[[#This Row],[TICKNESS]]*scheduleapr[[#This Row],[LENGTH]]*7.85)/1000000*scheduleapr[[#This Row],[SCHEDULE in nos]]/1000</f>
        <v/>
      </c>
      <c r="AK285" s="599">
        <f>(3.14*(scheduleapr[[#This Row],[ACTUAL OD]]-scheduleapr[[#This Row],[TICKNESS]])*scheduleapr[[#This Row],[TICKNESS]]*scheduleapr[[#This Row],[LENGTH]]*7.85)/1000000*scheduleapr[[#This Row],[DISPATCH]]/1000</f>
        <v/>
      </c>
      <c r="AL285" s="599">
        <f>AJ285-AK285</f>
        <v/>
      </c>
      <c r="AM285" s="599">
        <f>scheduleapr[[#This Row],[SCHEDULE in nos]]/scheduleapr[[#This Row],[SCHEDULE IN MT]]*scheduleapr[[#This Row],[CTL Stock]]</f>
        <v/>
      </c>
      <c r="AN285" s="599">
        <f>SUMIFS(stock[MT],stock[Bucket],scheduleapr[[#This Row],[Bucket]],stock[CTL Bucket],scheduleapr[[#This Row],[CTL Bucket]],stock[Plant],"0789")</f>
        <v/>
      </c>
      <c r="AO285" s="599" t="n"/>
      <c r="AP285" s="599">
        <f>SUMIFS(stock[MT],stock[Bucket],scheduleapr[[#This Row],[Bucket]],stock[LL or CTL],"LL")</f>
        <v/>
      </c>
      <c r="AQ285" s="599">
        <f>+SUMIFS(wip[Stock(Net Wt)],wip[Bucket],scheduleapr[[#This Row],[Bucket]])/1000</f>
        <v/>
      </c>
      <c r="AR285" s="599">
        <f>AJ285-AN285</f>
        <v/>
      </c>
      <c r="AS285" s="118" t="n"/>
    </row>
    <row r="286">
      <c r="A286" s="594" t="n">
        <v>240</v>
      </c>
      <c r="B286" s="5" t="inlineStr">
        <is>
          <t xml:space="preserve">Khopoli </t>
        </is>
      </c>
      <c r="C286" s="601" t="inlineStr">
        <is>
          <t>NMPL HUB</t>
        </is>
      </c>
      <c r="D286" s="601" t="inlineStr">
        <is>
          <t>NMPL</t>
        </is>
      </c>
      <c r="E286" s="601" t="inlineStr">
        <is>
          <t>930801|189227</t>
        </is>
      </c>
      <c r="F286" s="601">
        <f>_xlfn.CONCAT([2]!scheduleapr[[#This Row],[OD]],"-",[2]!scheduleapr[[#This Row],[ID]],"-",[2]!scheduleapr[[#This Row],[TICKNESS]],"-",[2]!scheduleapr[[#This Row],[LENGTH]])</f>
        <v/>
      </c>
      <c r="G286" s="601">
        <f>_xlfn.CONCAT(scheduleapr[[#This Row],[CUSTOMER CODE]],"-",scheduleapr[[#This Row],[MATERIAL NO]])</f>
        <v/>
      </c>
      <c r="H286" s="557" t="n"/>
      <c r="I286" s="557" t="inlineStr">
        <is>
          <t>CEW</t>
        </is>
      </c>
      <c r="J286" s="557" t="n"/>
      <c r="K286" s="601" t="inlineStr">
        <is>
          <t>CEW</t>
        </is>
      </c>
      <c r="L286" s="557" t="n"/>
      <c r="M286" s="557" t="n"/>
      <c r="N286" s="557" t="n"/>
      <c r="O286" s="557" t="n"/>
      <c r="P286" s="557" t="n"/>
      <c r="Q286" s="557">
        <f>CONCATENATE(scheduleapr[[#This Row],[OD]],"-",scheduleapr[[#This Row],[ID]],"-",scheduleapr[[#This Row],[TICKNESS]],"-",scheduleapr[[#This Row],[Grade]],"-",scheduleapr[[#This Row],[FC/NFC]])</f>
        <v/>
      </c>
      <c r="R286" s="557">
        <f>_xlfn.CONCAT(scheduleapr[[#This Row],[Bucket]],"-",scheduleapr[[#This Row],[LENGTH]]/1000)</f>
        <v/>
      </c>
      <c r="S286" s="557">
        <f>COUNTIF(scheduleapr[CTL Bucket],scheduleapr[[#This Row],[CTL Bucket]])</f>
        <v/>
      </c>
      <c r="T286" s="601" t="inlineStr">
        <is>
          <t>Khopoli</t>
        </is>
      </c>
      <c r="U286" s="601">
        <f>_xlfn.IFNA(VLOOKUP(scheduleapr[[#This Row],[Bucket]],salesforecast[[#All],[Bucket2]:[8406 Stock]],19,0),0)</f>
        <v/>
      </c>
      <c r="V286" s="562">
        <f>_xlfn.IFNA(VLOOKUP(scheduleapr[[#This Row],[Bucket]],salesforecast[[#All],[Bucket2]:[8406 Stock]],20,0),0)+_xlfn.IFNA(VLOOKUP(scheduleapr[[#This Row],[Bucket]],salesforecast[[#All],[Bucket2]:[8406 Stock]],17,0),0)</f>
        <v/>
      </c>
      <c r="W286" s="557" t="n"/>
      <c r="X286" s="559" t="n">
        <v>16.1</v>
      </c>
      <c r="Y286" s="559" t="n">
        <v>16.1</v>
      </c>
      <c r="Z286" s="599" t="n">
        <v>0</v>
      </c>
      <c r="AA286" s="599" t="n">
        <v>2</v>
      </c>
      <c r="AB286" s="600" t="n">
        <v>1000</v>
      </c>
      <c r="AC286" s="600" t="inlineStr">
        <is>
          <t>M</t>
        </is>
      </c>
      <c r="AD286" s="600" t="n"/>
      <c r="AE286" s="600" t="n"/>
      <c r="AF286" s="601" t="n"/>
      <c r="AG286" s="601" t="n"/>
      <c r="AH286" s="601">
        <f t="array" ref="AH2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6" s="602">
        <f>scheduleapr[[#This Row],[SCHEDULE in nos]]-scheduleapr[[#This Row],[DISPATCH]]</f>
        <v/>
      </c>
      <c r="AJ286" s="599">
        <f>(3.14*(scheduleapr[[#This Row],[ACTUAL OD]]-scheduleapr[[#This Row],[TICKNESS]])*scheduleapr[[#This Row],[TICKNESS]]*scheduleapr[[#This Row],[LENGTH]]*7.85)/1000000*scheduleapr[[#This Row],[SCHEDULE in nos]]/1000</f>
        <v/>
      </c>
      <c r="AK286" s="599">
        <f>(3.14*(scheduleapr[[#This Row],[ACTUAL OD]]-scheduleapr[[#This Row],[TICKNESS]])*scheduleapr[[#This Row],[TICKNESS]]*scheduleapr[[#This Row],[LENGTH]]*7.85)/1000000*scheduleapr[[#This Row],[DISPATCH]]/1000</f>
        <v/>
      </c>
      <c r="AL286" s="599">
        <f>AJ286-AK286</f>
        <v/>
      </c>
      <c r="AM286" s="599">
        <f>scheduleapr[[#This Row],[SCHEDULE in nos]]/scheduleapr[[#This Row],[SCHEDULE IN MT]]*scheduleapr[[#This Row],[CTL Stock]]</f>
        <v/>
      </c>
      <c r="AN286" s="599">
        <f>SUMIFS(stock[MT],stock[Bucket],scheduleapr[[#This Row],[Bucket]],stock[CTL Bucket],scheduleapr[[#This Row],[CTL Bucket]],stock[Plant],"0789")</f>
        <v/>
      </c>
      <c r="AO286" s="599" t="n"/>
      <c r="AP286" s="599">
        <f>SUMIFS(stock[MT],stock[Bucket],scheduleapr[[#This Row],[Bucket]],stock[LL or CTL],"LL")</f>
        <v/>
      </c>
      <c r="AQ286" s="599">
        <f>+SUMIFS(wip[Stock(Net Wt)],wip[Bucket],scheduleapr[[#This Row],[Bucket]])/1000</f>
        <v/>
      </c>
      <c r="AR286" s="599">
        <f>AJ286-AN286</f>
        <v/>
      </c>
      <c r="AS286" s="118" t="n"/>
    </row>
    <row r="287">
      <c r="A287" s="594" t="n">
        <v>212</v>
      </c>
      <c r="B287" s="5" t="inlineStr">
        <is>
          <t xml:space="preserve">Khopoli </t>
        </is>
      </c>
      <c r="C287" s="601" t="inlineStr">
        <is>
          <t>NMPL TVSM</t>
        </is>
      </c>
      <c r="D287" s="601" t="inlineStr">
        <is>
          <t>NMPL</t>
        </is>
      </c>
      <c r="E287" s="601" t="n">
        <v>189226</v>
      </c>
      <c r="F287" s="601" t="n">
        <v>1931824</v>
      </c>
      <c r="G287" s="601">
        <f>_xlfn.CONCAT(scheduleapr[[#This Row],[CUSTOMER CODE]],"-",scheduleapr[[#This Row],[MATERIAL NO]])</f>
        <v/>
      </c>
      <c r="H287" s="601" t="inlineStr">
        <is>
          <t>TUB-O-N-AUT-AW-PE-17.30X1.200X6.0000</t>
        </is>
      </c>
      <c r="I287" s="601" t="inlineStr">
        <is>
          <t>CEW</t>
        </is>
      </c>
      <c r="J287" s="601" t="n"/>
      <c r="K287" s="601" t="n"/>
      <c r="L287" s="601" t="inlineStr">
        <is>
          <t>HR</t>
        </is>
      </c>
      <c r="M287" s="601" t="n"/>
      <c r="N287" s="601" t="n"/>
      <c r="O287" s="601" t="n"/>
      <c r="P287" s="601" t="n"/>
      <c r="Q287" s="557">
        <f>CONCATENATE(scheduleapr[[#This Row],[OD]],"-",scheduleapr[[#This Row],[ID]],"-",scheduleapr[[#This Row],[TICKNESS]],"-",scheduleapr[[#This Row],[Grade]],"-",scheduleapr[[#This Row],[FC/NFC]])</f>
        <v/>
      </c>
      <c r="R287" s="557">
        <f>_xlfn.CONCAT(scheduleapr[[#This Row],[Bucket]],"-",scheduleapr[[#This Row],[LENGTH]]/1000)</f>
        <v/>
      </c>
      <c r="S287" s="557">
        <f>COUNTIF([2]!buckets[CTL Bucket],[2]!scheduleapr[[#This Row],[CTL Bucket]])</f>
        <v/>
      </c>
      <c r="T287" s="557" t="n"/>
      <c r="U287" s="557" t="n"/>
      <c r="V287" s="557" t="n"/>
      <c r="W287" s="557" t="n"/>
      <c r="X287" s="599" t="n">
        <v>17.3</v>
      </c>
      <c r="Y287" s="599" t="n">
        <v>17.3</v>
      </c>
      <c r="Z287" s="599" t="n">
        <v>0</v>
      </c>
      <c r="AA287" s="599" t="n">
        <v>1.2</v>
      </c>
      <c r="AB287" s="600" t="n">
        <v>6000</v>
      </c>
      <c r="AC287" s="600" t="n"/>
      <c r="AD287" s="600" t="n"/>
      <c r="AE287" s="600" t="n"/>
      <c r="AF287" s="601" t="n"/>
      <c r="AG287" s="601" t="n"/>
      <c r="AH287" s="601">
        <f t="array" ref="AH2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7" s="602">
        <f>scheduleapr[[#This Row],[SCHEDULE in nos]]-scheduleapr[[#This Row],[DISPATCH]]</f>
        <v/>
      </c>
      <c r="AJ287" s="599">
        <f>(3.14*(scheduleapr[[#This Row],[ACTUAL OD]]-scheduleapr[[#This Row],[TICKNESS]])*scheduleapr[[#This Row],[TICKNESS]]*scheduleapr[[#This Row],[LENGTH]]*7.85)/1000000*scheduleapr[[#This Row],[SCHEDULE in nos]]/1000</f>
        <v/>
      </c>
      <c r="AK287" s="599">
        <f>(3.14*(scheduleapr[[#This Row],[ACTUAL OD]]-scheduleapr[[#This Row],[TICKNESS]])*scheduleapr[[#This Row],[TICKNESS]]*scheduleapr[[#This Row],[LENGTH]]*7.85)/1000000*scheduleapr[[#This Row],[DISPATCH]]/1000</f>
        <v/>
      </c>
      <c r="AL287" s="599">
        <f>AJ287-AK287</f>
        <v/>
      </c>
      <c r="AM287" s="599">
        <f>scheduleapr[[#This Row],[SCHEDULE in nos]]/scheduleapr[[#This Row],[SCHEDULE IN MT]]*scheduleapr[[#This Row],[CTL Stock]]</f>
        <v/>
      </c>
      <c r="AN287" s="599">
        <f>SUMIFS(stock[MT],stock[Bucket],scheduleapr[[#This Row],[Bucket]],stock[CTL Bucket],scheduleapr[[#This Row],[CTL Bucket]],stock[Plant],"0789")</f>
        <v/>
      </c>
      <c r="AO287" s="599" t="n"/>
      <c r="AP287" s="599">
        <f>SUMIFS(stock[MT],stock[Bucket],scheduleapr[[#This Row],[Bucket]],stock[LL or CTL],"LL")</f>
        <v/>
      </c>
      <c r="AQ287" s="599">
        <f>+SUMIFS(wip[Stock(Net Wt)],wip[Bucket],scheduleapr[[#This Row],[Bucket]])/1000</f>
        <v/>
      </c>
      <c r="AR287" s="599">
        <f>AJ287-AN287</f>
        <v/>
      </c>
      <c r="AS287" s="118" t="n"/>
    </row>
    <row r="288">
      <c r="A288" s="594" t="n">
        <v>221</v>
      </c>
      <c r="B288" s="5" t="inlineStr">
        <is>
          <t xml:space="preserve">Khopoli </t>
        </is>
      </c>
      <c r="C288" s="601" t="inlineStr">
        <is>
          <t>NMPL HUB</t>
        </is>
      </c>
      <c r="D288" s="601" t="inlineStr">
        <is>
          <t>NMPL</t>
        </is>
      </c>
      <c r="E288" s="601" t="inlineStr">
        <is>
          <t>930801|189227</t>
        </is>
      </c>
      <c r="F288" s="601" t="n">
        <v>2439535</v>
      </c>
      <c r="G288" s="601">
        <f>_xlfn.CONCAT(scheduleapr[[#This Row],[CUSTOMER CODE]],"-",scheduleapr[[#This Row],[MATERIAL NO]])</f>
        <v/>
      </c>
      <c r="H288" s="601" t="inlineStr">
        <is>
          <t>TUB-O-C-AUT-AD-FC-20.00X4.500X04-05</t>
        </is>
      </c>
      <c r="I288" s="601" t="inlineStr">
        <is>
          <t>CEW</t>
        </is>
      </c>
      <c r="J288" s="601" t="n"/>
      <c r="K288" s="601" t="inlineStr">
        <is>
          <t>CEW</t>
        </is>
      </c>
      <c r="L288" s="601" t="inlineStr">
        <is>
          <t>HR</t>
        </is>
      </c>
      <c r="M288" s="601" t="n"/>
      <c r="N288" s="601" t="n"/>
      <c r="O288" s="601" t="n"/>
      <c r="P288" s="601" t="n"/>
      <c r="Q288" s="557">
        <f>CONCATENATE(scheduleapr[[#This Row],[OD]],"-",scheduleapr[[#This Row],[ID]],"-",scheduleapr[[#This Row],[TICKNESS]],"-",scheduleapr[[#This Row],[Grade]],"-",scheduleapr[[#This Row],[FC/NFC]])</f>
        <v/>
      </c>
      <c r="R288" s="557">
        <f>_xlfn.CONCAT(scheduleapr[[#This Row],[Bucket]],"-",scheduleapr[[#This Row],[LENGTH]]/1000)</f>
        <v/>
      </c>
      <c r="S288" s="557">
        <f>COUNTIF(scheduleapr[CTL Bucket],scheduleapr[[#This Row],[CTL Bucket]])</f>
        <v/>
      </c>
      <c r="T288" s="601" t="inlineStr">
        <is>
          <t>Khopoli</t>
        </is>
      </c>
      <c r="U288" s="601">
        <f>_xlfn.IFNA(VLOOKUP(scheduleapr[[#This Row],[Bucket]],salesforecast[[#All],[Bucket2]:[8406 Stock]],19,0),0)</f>
        <v/>
      </c>
      <c r="V288" s="562">
        <f>_xlfn.IFNA(VLOOKUP(scheduleapr[[#This Row],[Bucket]],salesforecast[[#All],[Bucket2]:[8406 Stock]],20,0),0)+_xlfn.IFNA(VLOOKUP(scheduleapr[[#This Row],[Bucket]],salesforecast[[#All],[Bucket2]:[8406 Stock]],17,0),0)</f>
        <v/>
      </c>
      <c r="W288" s="557" t="n"/>
      <c r="X288" s="599" t="n">
        <v>20</v>
      </c>
      <c r="Y288" s="599" t="n">
        <v>20</v>
      </c>
      <c r="Z288" s="599" t="n">
        <v>12.4</v>
      </c>
      <c r="AA288" s="599" t="n">
        <v>4.5</v>
      </c>
      <c r="AB288" s="600" t="n">
        <v>1000</v>
      </c>
      <c r="AC288" s="600" t="inlineStr">
        <is>
          <t>M</t>
        </is>
      </c>
      <c r="AD288" s="600" t="n"/>
      <c r="AE288" s="600" t="n"/>
      <c r="AF288" s="601" t="n"/>
      <c r="AG288" s="601" t="n"/>
      <c r="AH288" s="601">
        <f t="array" ref="AH2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8" s="602">
        <f>scheduleapr[[#This Row],[SCHEDULE in nos]]-scheduleapr[[#This Row],[DISPATCH]]</f>
        <v/>
      </c>
      <c r="AJ288" s="599">
        <f>(3.14*(scheduleapr[[#This Row],[ACTUAL OD]]-scheduleapr[[#This Row],[TICKNESS]])*scheduleapr[[#This Row],[TICKNESS]]*scheduleapr[[#This Row],[LENGTH]]*7.85)/1000000*scheduleapr[[#This Row],[SCHEDULE in nos]]/1000</f>
        <v/>
      </c>
      <c r="AK288" s="599">
        <f>(3.14*(scheduleapr[[#This Row],[ACTUAL OD]]-scheduleapr[[#This Row],[TICKNESS]])*scheduleapr[[#This Row],[TICKNESS]]*scheduleapr[[#This Row],[LENGTH]]*7.85)/1000000*scheduleapr[[#This Row],[DISPATCH]]/1000</f>
        <v/>
      </c>
      <c r="AL288" s="599">
        <f>AJ288-AK288</f>
        <v/>
      </c>
      <c r="AM288" s="599">
        <f>scheduleapr[[#This Row],[SCHEDULE in nos]]/scheduleapr[[#This Row],[SCHEDULE IN MT]]*scheduleapr[[#This Row],[CTL Stock]]</f>
        <v/>
      </c>
      <c r="AN288" s="599">
        <f>SUMIFS(stock[MT],stock[Bucket],scheduleapr[[#This Row],[Bucket]],stock[CTL Bucket],scheduleapr[[#This Row],[CTL Bucket]],stock[Plant],"0789")</f>
        <v/>
      </c>
      <c r="AO288" s="599" t="n"/>
      <c r="AP288" s="599">
        <f>SUMIFS(stock[MT],stock[Bucket],scheduleapr[[#This Row],[Bucket]],stock[LL or CTL],"LL")</f>
        <v/>
      </c>
      <c r="AQ288" s="599">
        <f>+SUMIFS(wip[Stock(Net Wt)],wip[Bucket],scheduleapr[[#This Row],[Bucket]])/1000</f>
        <v/>
      </c>
      <c r="AR288" s="599">
        <f>AJ288-AN288</f>
        <v/>
      </c>
      <c r="AS288" s="118" t="n"/>
    </row>
    <row r="289">
      <c r="A289" s="594" t="n">
        <v>264</v>
      </c>
      <c r="B289" s="5" t="inlineStr">
        <is>
          <t xml:space="preserve">Khopoli </t>
        </is>
      </c>
      <c r="C289" s="601" t="inlineStr">
        <is>
          <t>NMPL TVSM</t>
        </is>
      </c>
      <c r="D289" s="601" t="inlineStr">
        <is>
          <t>NMPL</t>
        </is>
      </c>
      <c r="E289" s="601" t="inlineStr">
        <is>
          <t>189226|930794</t>
        </is>
      </c>
      <c r="F289" s="601" t="n">
        <v>3228788</v>
      </c>
      <c r="G289" s="601">
        <f>_xlfn.CONCAT(scheduleapr[[#This Row],[CUSTOMER CODE]],"-",scheduleapr[[#This Row],[MATERIAL NO]])</f>
        <v/>
      </c>
      <c r="H289" s="601" t="inlineStr">
        <is>
          <t>TUB-O-C-AUT-AD-FC-20.00X1.420X0.2730</t>
        </is>
      </c>
      <c r="I289" s="601" t="inlineStr">
        <is>
          <t>CEW</t>
        </is>
      </c>
      <c r="J289" s="601" t="n"/>
      <c r="K289" s="601" t="inlineStr">
        <is>
          <t>CEW</t>
        </is>
      </c>
      <c r="L289" s="601" t="inlineStr">
        <is>
          <t>HR</t>
        </is>
      </c>
      <c r="M289" s="601" t="n"/>
      <c r="N289" s="601" t="n"/>
      <c r="O289" s="601" t="n"/>
      <c r="P289" s="601" t="n"/>
      <c r="Q289" s="557">
        <f>CONCATENATE(scheduleapr[[#This Row],[OD]],"-",scheduleapr[[#This Row],[ID]],"-",scheduleapr[[#This Row],[TICKNESS]],"-",scheduleapr[[#This Row],[Grade]],"-",scheduleapr[[#This Row],[FC/NFC]])</f>
        <v/>
      </c>
      <c r="R289" s="557">
        <f>_xlfn.CONCAT(scheduleapr[[#This Row],[Bucket]],"-",scheduleapr[[#This Row],[LENGTH]]/1000)</f>
        <v/>
      </c>
      <c r="S289" s="557">
        <f>COUNTIF(scheduleapr[CTL Bucket],scheduleapr[[#This Row],[CTL Bucket]])</f>
        <v/>
      </c>
      <c r="T289" s="601" t="inlineStr">
        <is>
          <t>Khopoli</t>
        </is>
      </c>
      <c r="U289" s="601">
        <f>_xlfn.IFNA(VLOOKUP(scheduleapr[[#This Row],[Bucket]],salesforecast[[#All],[Bucket2]:[8406 Stock]],19,0),0)</f>
        <v/>
      </c>
      <c r="V289" s="562">
        <f>_xlfn.IFNA(VLOOKUP(scheduleapr[[#This Row],[Bucket]],salesforecast[[#All],[Bucket2]:[8406 Stock]],20,0),0)+_xlfn.IFNA(VLOOKUP(scheduleapr[[#This Row],[Bucket]],salesforecast[[#All],[Bucket2]:[8406 Stock]],17,0),0)</f>
        <v/>
      </c>
      <c r="W289" s="557" t="n"/>
      <c r="X289" s="599" t="n">
        <v>20</v>
      </c>
      <c r="Y289" s="79" t="n">
        <v>20</v>
      </c>
      <c r="Z289" s="599" t="n">
        <v>17.16</v>
      </c>
      <c r="AA289" s="599" t="n">
        <v>1.42</v>
      </c>
      <c r="AB289" s="600" t="n">
        <v>273</v>
      </c>
      <c r="AC289" s="600" t="inlineStr">
        <is>
          <t>NOS</t>
        </is>
      </c>
      <c r="AD289" s="600" t="n"/>
      <c r="AE289" s="600" t="n"/>
      <c r="AF289" s="601" t="n">
        <v>12000</v>
      </c>
      <c r="AG289" s="601" t="inlineStr">
        <is>
          <t>Aug 2026 schedule · nmpl 1</t>
        </is>
      </c>
      <c r="AH289" s="601">
        <f t="array" ref="AH2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89" s="602">
        <f>scheduleapr[[#This Row],[SCHEDULE in nos]]-scheduleapr[[#This Row],[DISPATCH]]</f>
        <v/>
      </c>
      <c r="AJ289" s="599">
        <f>(3.14*(scheduleapr[[#This Row],[ACTUAL OD]]-scheduleapr[[#This Row],[TICKNESS]])*scheduleapr[[#This Row],[TICKNESS]]*scheduleapr[[#This Row],[LENGTH]]*7.85)/1000000*scheduleapr[[#This Row],[SCHEDULE in nos]]/1000</f>
        <v/>
      </c>
      <c r="AK289" s="599">
        <f>(3.14*(scheduleapr[[#This Row],[ACTUAL OD]]-scheduleapr[[#This Row],[TICKNESS]])*scheduleapr[[#This Row],[TICKNESS]]*scheduleapr[[#This Row],[LENGTH]]*7.85)/1000000*scheduleapr[[#This Row],[DISPATCH]]/1000</f>
        <v/>
      </c>
      <c r="AL289" s="599">
        <f>AJ289-AK289</f>
        <v/>
      </c>
      <c r="AM289" s="599">
        <f>scheduleapr[[#This Row],[SCHEDULE in nos]]/scheduleapr[[#This Row],[SCHEDULE IN MT]]*scheduleapr[[#This Row],[CTL Stock]]</f>
        <v/>
      </c>
      <c r="AN289" s="599">
        <f>SUMIFS(stock[MT],stock[Bucket],scheduleapr[[#This Row],[Bucket]],stock[CTL Bucket],scheduleapr[[#This Row],[CTL Bucket]],stock[Plant],"0789")</f>
        <v/>
      </c>
      <c r="AO289" s="599" t="n"/>
      <c r="AP289" s="599">
        <f>SUMIFS(stock[MT],stock[Bucket],scheduleapr[[#This Row],[Bucket]],stock[LL or CTL],"LL")</f>
        <v/>
      </c>
      <c r="AQ289" s="599">
        <f>+SUMIFS(wip[Stock(Net Wt)],wip[Bucket],scheduleapr[[#This Row],[Bucket]])/1000</f>
        <v/>
      </c>
      <c r="AR289" s="599">
        <f>AJ289-AN289</f>
        <v/>
      </c>
      <c r="AS289" s="118" t="n"/>
    </row>
    <row r="290">
      <c r="A290" s="594" t="n">
        <v>265</v>
      </c>
      <c r="B290" s="5" t="inlineStr">
        <is>
          <t xml:space="preserve">Khopoli </t>
        </is>
      </c>
      <c r="C290" s="601" t="inlineStr">
        <is>
          <t>NMPL TVSM</t>
        </is>
      </c>
      <c r="D290" s="601" t="inlineStr">
        <is>
          <t>NMPL</t>
        </is>
      </c>
      <c r="E290" s="601" t="inlineStr">
        <is>
          <t>189226|930794</t>
        </is>
      </c>
      <c r="F290" s="601" t="n">
        <v>2410994</v>
      </c>
      <c r="G290" s="601">
        <f>_xlfn.CONCAT(scheduleapr[[#This Row],[CUSTOMER CODE]],"-",scheduleapr[[#This Row],[MATERIAL NO]])</f>
        <v/>
      </c>
      <c r="H290" s="601" t="inlineStr">
        <is>
          <t>TUB-O-C-AUT-AD-FC-21.75X3.500X04-05</t>
        </is>
      </c>
      <c r="I290" s="601" t="inlineStr">
        <is>
          <t>CEW</t>
        </is>
      </c>
      <c r="J290" s="601" t="n"/>
      <c r="K290" s="601" t="inlineStr">
        <is>
          <t>CEW</t>
        </is>
      </c>
      <c r="L290" s="601" t="inlineStr">
        <is>
          <t>HR</t>
        </is>
      </c>
      <c r="M290" s="601" t="n"/>
      <c r="N290" s="601" t="n"/>
      <c r="O290" s="601" t="n"/>
      <c r="P290" s="601" t="n"/>
      <c r="Q290" s="557">
        <f>CONCATENATE(scheduleapr[[#This Row],[OD]],"-",scheduleapr[[#This Row],[ID]],"-",scheduleapr[[#This Row],[TICKNESS]],"-",scheduleapr[[#This Row],[Grade]],"-",scheduleapr[[#This Row],[FC/NFC]])</f>
        <v/>
      </c>
      <c r="R290" s="557">
        <f>_xlfn.CONCAT(scheduleapr[[#This Row],[Bucket]],"-",scheduleapr[[#This Row],[LENGTH]]/1000)</f>
        <v/>
      </c>
      <c r="S290" s="557">
        <f>COUNTIF([2]!buckets[CTL Bucket],[2]!scheduleapr[[#This Row],[CTL Bucket]])</f>
        <v/>
      </c>
      <c r="T290" s="557" t="n"/>
      <c r="U290" s="557" t="n"/>
      <c r="V290" s="557" t="n"/>
      <c r="W290" s="557" t="n"/>
      <c r="X290" s="599" t="n">
        <v>21.7</v>
      </c>
      <c r="Y290" s="6" t="n">
        <v>21.7</v>
      </c>
      <c r="Z290" s="6" t="n">
        <v>16.2</v>
      </c>
      <c r="AA290" s="599" t="n">
        <v>2.75</v>
      </c>
      <c r="AB290" s="600" t="n">
        <v>1000</v>
      </c>
      <c r="AC290" s="600" t="inlineStr">
        <is>
          <t>M</t>
        </is>
      </c>
      <c r="AD290" s="600" t="n"/>
      <c r="AE290" s="600" t="n"/>
      <c r="AF290" s="601" t="n"/>
      <c r="AG290" s="601" t="n"/>
      <c r="AH290" s="601">
        <f t="array" ref="AH2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0" s="602">
        <f>scheduleapr[[#This Row],[SCHEDULE in nos]]-scheduleapr[[#This Row],[DISPATCH]]</f>
        <v/>
      </c>
      <c r="AJ290" s="599">
        <f>(3.14*(scheduleapr[[#This Row],[ACTUAL OD]]-scheduleapr[[#This Row],[TICKNESS]])*scheduleapr[[#This Row],[TICKNESS]]*scheduleapr[[#This Row],[LENGTH]]*7.85)/1000000*scheduleapr[[#This Row],[SCHEDULE in nos]]/1000</f>
        <v/>
      </c>
      <c r="AK290" s="599">
        <f>(3.14*(scheduleapr[[#This Row],[ACTUAL OD]]-scheduleapr[[#This Row],[TICKNESS]])*scheduleapr[[#This Row],[TICKNESS]]*scheduleapr[[#This Row],[LENGTH]]*7.85)/1000000*scheduleapr[[#This Row],[DISPATCH]]/1000</f>
        <v/>
      </c>
      <c r="AL290" s="599">
        <f>AJ290-AK290</f>
        <v/>
      </c>
      <c r="AM290" s="599">
        <f>scheduleapr[[#This Row],[SCHEDULE in nos]]/scheduleapr[[#This Row],[SCHEDULE IN MT]]*scheduleapr[[#This Row],[CTL Stock]]</f>
        <v/>
      </c>
      <c r="AN290" s="599">
        <f>SUMIFS(stock[MT],stock[Bucket],scheduleapr[[#This Row],[Bucket]],stock[CTL Bucket],scheduleapr[[#This Row],[CTL Bucket]],stock[Plant],"0789")</f>
        <v/>
      </c>
      <c r="AO290" s="599" t="n"/>
      <c r="AP290" s="599">
        <f>SUMIFS(stock[MT],stock[Bucket],scheduleapr[[#This Row],[Bucket]],stock[LL or CTL],"LL")</f>
        <v/>
      </c>
      <c r="AQ290" s="599">
        <f>+SUMIFS(wip[Stock(Net Wt)],wip[Bucket],scheduleapr[[#This Row],[Bucket]])/1000</f>
        <v/>
      </c>
      <c r="AR290" s="599">
        <f>AJ290-AN290</f>
        <v/>
      </c>
      <c r="AS290" s="118" t="n"/>
    </row>
    <row r="291">
      <c r="A291" s="594" t="n">
        <v>266</v>
      </c>
      <c r="B291" s="5" t="inlineStr">
        <is>
          <t xml:space="preserve">Khopoli </t>
        </is>
      </c>
      <c r="C291" s="601" t="inlineStr">
        <is>
          <t>NMPL TVSM</t>
        </is>
      </c>
      <c r="D291" s="601" t="inlineStr">
        <is>
          <t>NMPL</t>
        </is>
      </c>
      <c r="E291" s="601" t="inlineStr">
        <is>
          <t>189226|930794</t>
        </is>
      </c>
      <c r="F291" s="601" t="n">
        <v>2410994</v>
      </c>
      <c r="G291" s="601">
        <f>_xlfn.CONCAT(scheduleapr[[#This Row],[CUSTOMER CODE]],"-",scheduleapr[[#This Row],[MATERIAL NO]])</f>
        <v/>
      </c>
      <c r="H291" s="601" t="inlineStr">
        <is>
          <t>TUB-O-C-AUT-AD-FC-21.75X3.500X04-05</t>
        </is>
      </c>
      <c r="I291" s="601" t="inlineStr">
        <is>
          <t>CEW</t>
        </is>
      </c>
      <c r="J291" s="599" t="n"/>
      <c r="K291" s="601" t="inlineStr">
        <is>
          <t>CEW</t>
        </is>
      </c>
      <c r="L291" s="599" t="n"/>
      <c r="M291" s="599" t="n"/>
      <c r="N291" s="600" t="n"/>
      <c r="O291" s="601" t="n"/>
      <c r="P291" s="601" t="n"/>
      <c r="Q291" s="557">
        <f>CONCATENATE(scheduleapr[[#This Row],[OD]],"-",scheduleapr[[#This Row],[ID]],"-",scheduleapr[[#This Row],[TICKNESS]],"-",scheduleapr[[#This Row],[Grade]],"-",scheduleapr[[#This Row],[FC/NFC]])</f>
        <v/>
      </c>
      <c r="R291" s="557">
        <f>_xlfn.CONCAT(scheduleapr[[#This Row],[Bucket]],"-",scheduleapr[[#This Row],[LENGTH]]/1000)</f>
        <v/>
      </c>
      <c r="S291" s="557">
        <f>COUNTIF([2]!buckets[CTL Bucket],[2]!scheduleapr[[#This Row],[CTL Bucket]])</f>
        <v/>
      </c>
      <c r="T291" s="557" t="n"/>
      <c r="U291" s="557" t="n"/>
      <c r="V291" s="557" t="n"/>
      <c r="W291" s="557" t="n"/>
      <c r="X291" s="599" t="n">
        <v>21.75</v>
      </c>
      <c r="Y291" s="599" t="n">
        <v>21.75</v>
      </c>
      <c r="Z291" s="6" t="n">
        <v>0</v>
      </c>
      <c r="AA291" s="599" t="n">
        <v>3.5</v>
      </c>
      <c r="AB291" s="600" t="n">
        <v>1000</v>
      </c>
      <c r="AC291" s="600" t="inlineStr">
        <is>
          <t>M</t>
        </is>
      </c>
      <c r="AD291" s="600" t="n"/>
      <c r="AE291" s="600" t="n"/>
      <c r="AF291" s="601" t="n"/>
      <c r="AG291" s="601" t="n"/>
      <c r="AH291" s="601">
        <f t="array" ref="AH2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1" s="602">
        <f>scheduleapr[[#This Row],[SCHEDULE in nos]]-scheduleapr[[#This Row],[DISPATCH]]</f>
        <v/>
      </c>
      <c r="AJ291" s="599">
        <f>(3.14*(scheduleapr[[#This Row],[ACTUAL OD]]-scheduleapr[[#This Row],[TICKNESS]])*scheduleapr[[#This Row],[TICKNESS]]*scheduleapr[[#This Row],[LENGTH]]*7.85)/1000000*scheduleapr[[#This Row],[SCHEDULE in nos]]/1000</f>
        <v/>
      </c>
      <c r="AK291" s="599">
        <f>(3.14*(scheduleapr[[#This Row],[ACTUAL OD]]-scheduleapr[[#This Row],[TICKNESS]])*scheduleapr[[#This Row],[TICKNESS]]*scheduleapr[[#This Row],[LENGTH]]*7.85)/1000000*scheduleapr[[#This Row],[DISPATCH]]/1000</f>
        <v/>
      </c>
      <c r="AL291" s="599">
        <f>AJ291-AK291</f>
        <v/>
      </c>
      <c r="AM291" s="599">
        <f>scheduleapr[[#This Row],[SCHEDULE in nos]]/scheduleapr[[#This Row],[SCHEDULE IN MT]]*scheduleapr[[#This Row],[CTL Stock]]</f>
        <v/>
      </c>
      <c r="AN291" s="599">
        <f>SUMIFS(stock[MT],stock[Bucket],scheduleapr[[#This Row],[Bucket]],stock[CTL Bucket],scheduleapr[[#This Row],[CTL Bucket]],stock[Plant],"0789")</f>
        <v/>
      </c>
      <c r="AO291" s="599" t="n"/>
      <c r="AP291" s="599">
        <f>SUMIFS(stock[MT],stock[Bucket],scheduleapr[[#This Row],[Bucket]],stock[LL or CTL],"LL")</f>
        <v/>
      </c>
      <c r="AQ291" s="599">
        <f>+SUMIFS(wip[Stock(Net Wt)],wip[Bucket],scheduleapr[[#This Row],[Bucket]])/1000</f>
        <v/>
      </c>
      <c r="AR291" s="599">
        <f>AJ291-AN291</f>
        <v/>
      </c>
      <c r="AS291" s="118" t="n"/>
    </row>
    <row r="292">
      <c r="A292" s="594" t="n">
        <v>275</v>
      </c>
      <c r="B292" s="5" t="inlineStr">
        <is>
          <t xml:space="preserve">Khopoli </t>
        </is>
      </c>
      <c r="C292" s="601" t="inlineStr">
        <is>
          <t>NMPL TVSM</t>
        </is>
      </c>
      <c r="D292" s="601" t="inlineStr">
        <is>
          <t>NMPL</t>
        </is>
      </c>
      <c r="E292" s="601" t="inlineStr">
        <is>
          <t>189226|930794</t>
        </is>
      </c>
      <c r="F292" s="601" t="n">
        <v>2410997</v>
      </c>
      <c r="G292" s="601">
        <f>_xlfn.CONCAT(scheduleapr[[#This Row],[CUSTOMER CODE]],"-",scheduleapr[[#This Row],[MATERIAL NO]])</f>
        <v/>
      </c>
      <c r="H292" s="601" t="inlineStr">
        <is>
          <t>TUB-O-C-AUT-AD-FC-25.40X3.200X04-05</t>
        </is>
      </c>
      <c r="I292" s="601" t="inlineStr">
        <is>
          <t>CEW</t>
        </is>
      </c>
      <c r="J292" s="601" t="n"/>
      <c r="K292" s="601" t="inlineStr">
        <is>
          <t>CEW</t>
        </is>
      </c>
      <c r="L292" s="601" t="inlineStr">
        <is>
          <t>HR</t>
        </is>
      </c>
      <c r="M292" s="601" t="n"/>
      <c r="N292" s="601" t="n"/>
      <c r="O292" s="601" t="n"/>
      <c r="P292" s="601" t="n"/>
      <c r="Q292" s="557">
        <f>CONCATENATE(scheduleapr[[#This Row],[OD]],"-",scheduleapr[[#This Row],[ID]],"-",scheduleapr[[#This Row],[TICKNESS]],"-",scheduleapr[[#This Row],[Grade]],"-",scheduleapr[[#This Row],[FC/NFC]])</f>
        <v/>
      </c>
      <c r="R292" s="557">
        <f>_xlfn.CONCAT(scheduleapr[[#This Row],[Bucket]],"-",scheduleapr[[#This Row],[LENGTH]]/1000)</f>
        <v/>
      </c>
      <c r="S292" s="557">
        <f>COUNTIF([2]!buckets[CTL Bucket],[2]!scheduleapr[[#This Row],[CTL Bucket]])</f>
        <v/>
      </c>
      <c r="T292" s="557" t="n"/>
      <c r="U292" s="557" t="n"/>
      <c r="V292" s="557" t="n"/>
      <c r="W292" s="557" t="n"/>
      <c r="X292" s="599" t="n">
        <v>25.4</v>
      </c>
      <c r="Y292" s="599" t="n">
        <v>25.4</v>
      </c>
      <c r="Z292" s="6" t="n">
        <v>19</v>
      </c>
      <c r="AA292" s="599" t="n">
        <v>3.2</v>
      </c>
      <c r="AB292" s="600" t="n">
        <v>1000</v>
      </c>
      <c r="AC292" s="600" t="inlineStr">
        <is>
          <t>M</t>
        </is>
      </c>
      <c r="AD292" s="600" t="n"/>
      <c r="AE292" s="600" t="n"/>
      <c r="AF292" s="601" t="n"/>
      <c r="AG292" s="601" t="n"/>
      <c r="AH292" s="601">
        <f t="array" ref="AH2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2" s="602">
        <f>scheduleapr[[#This Row],[SCHEDULE in nos]]-scheduleapr[[#This Row],[DISPATCH]]</f>
        <v/>
      </c>
      <c r="AJ292" s="599">
        <f>(3.14*(scheduleapr[[#This Row],[ACTUAL OD]]-scheduleapr[[#This Row],[TICKNESS]])*scheduleapr[[#This Row],[TICKNESS]]*scheduleapr[[#This Row],[LENGTH]]*7.85)/1000000*scheduleapr[[#This Row],[SCHEDULE in nos]]/1000</f>
        <v/>
      </c>
      <c r="AK292" s="599">
        <f>(3.14*(scheduleapr[[#This Row],[ACTUAL OD]]-scheduleapr[[#This Row],[TICKNESS]])*scheduleapr[[#This Row],[TICKNESS]]*scheduleapr[[#This Row],[LENGTH]]*7.85)/1000000*scheduleapr[[#This Row],[DISPATCH]]/1000</f>
        <v/>
      </c>
      <c r="AL292" s="599">
        <f>AJ292-AK292</f>
        <v/>
      </c>
      <c r="AM292" s="599">
        <f>scheduleapr[[#This Row],[SCHEDULE in nos]]/scheduleapr[[#This Row],[SCHEDULE IN MT]]*scheduleapr[[#This Row],[CTL Stock]]</f>
        <v/>
      </c>
      <c r="AN292" s="599">
        <f>SUMIFS(stock[MT],stock[Bucket],scheduleapr[[#This Row],[Bucket]],stock[CTL Bucket],scheduleapr[[#This Row],[CTL Bucket]],stock[Plant],"0789")</f>
        <v/>
      </c>
      <c r="AO292" s="599" t="n"/>
      <c r="AP292" s="599">
        <f>SUMIFS(stock[MT],stock[Bucket],scheduleapr[[#This Row],[Bucket]],stock[LL or CTL],"LL")</f>
        <v/>
      </c>
      <c r="AQ292" s="599">
        <f>+SUMIFS(wip[Stock(Net Wt)],wip[Bucket],scheduleapr[[#This Row],[Bucket]])/1000</f>
        <v/>
      </c>
      <c r="AR292" s="599">
        <f>AJ292-AN292</f>
        <v/>
      </c>
      <c r="AS292" s="118" t="n"/>
    </row>
    <row r="293">
      <c r="A293" s="594" t="n">
        <v>231</v>
      </c>
      <c r="B293" s="5" t="inlineStr">
        <is>
          <t xml:space="preserve">Khopoli </t>
        </is>
      </c>
      <c r="C293" s="601" t="inlineStr">
        <is>
          <t>NMPL HUB</t>
        </is>
      </c>
      <c r="D293" s="601" t="inlineStr">
        <is>
          <t>NMPL</t>
        </is>
      </c>
      <c r="E293" s="601" t="inlineStr">
        <is>
          <t>930801|189227</t>
        </is>
      </c>
      <c r="F293" s="601" t="n">
        <v>2410997</v>
      </c>
      <c r="G293" s="601">
        <f>_xlfn.CONCAT(scheduleapr[[#This Row],[CUSTOMER CODE]],"-",scheduleapr[[#This Row],[MATERIAL NO]])</f>
        <v/>
      </c>
      <c r="H293" s="601" t="inlineStr">
        <is>
          <t>TUB-O-C-AUT-AD-FC-25.40X3.200X04-05</t>
        </is>
      </c>
      <c r="I293" s="601" t="inlineStr">
        <is>
          <t>CEW</t>
        </is>
      </c>
      <c r="J293" s="601" t="n"/>
      <c r="K293" s="601" t="inlineStr">
        <is>
          <t>CEW</t>
        </is>
      </c>
      <c r="L293" s="601" t="inlineStr">
        <is>
          <t>HR</t>
        </is>
      </c>
      <c r="M293" s="601" t="n"/>
      <c r="N293" s="601" t="n"/>
      <c r="O293" s="601" t="n"/>
      <c r="P293" s="601" t="n"/>
      <c r="Q293" s="557">
        <f>CONCATENATE(scheduleapr[[#This Row],[OD]],"-",scheduleapr[[#This Row],[ID]],"-",scheduleapr[[#This Row],[TICKNESS]],"-",scheduleapr[[#This Row],[Grade]],"-",scheduleapr[[#This Row],[FC/NFC]])</f>
        <v/>
      </c>
      <c r="R293" s="557">
        <f>_xlfn.CONCAT(scheduleapr[[#This Row],[Bucket]],"-",scheduleapr[[#This Row],[LENGTH]]/1000)</f>
        <v/>
      </c>
      <c r="S293" s="557">
        <f>COUNTIF(scheduleapr[CTL Bucket],scheduleapr[[#This Row],[CTL Bucket]])</f>
        <v/>
      </c>
      <c r="T293" s="601" t="inlineStr">
        <is>
          <t>Khopoli</t>
        </is>
      </c>
      <c r="U293" s="601">
        <f>_xlfn.IFNA(VLOOKUP(scheduleapr[[#This Row],[Bucket]],salesforecast[[#All],[Bucket2]:[8406 Stock]],19,0),0)</f>
        <v/>
      </c>
      <c r="V293" s="562">
        <f>_xlfn.IFNA(VLOOKUP(scheduleapr[[#This Row],[Bucket]],salesforecast[[#All],[Bucket2]:[8406 Stock]],20,0),0)+_xlfn.IFNA(VLOOKUP(scheduleapr[[#This Row],[Bucket]],salesforecast[[#All],[Bucket2]:[8406 Stock]],17,0),0)</f>
        <v/>
      </c>
      <c r="W293" s="557" t="n"/>
      <c r="X293" s="599" t="n">
        <v>25.4</v>
      </c>
      <c r="Y293" s="599" t="n">
        <v>25.4</v>
      </c>
      <c r="Z293" s="599" t="n">
        <v>19</v>
      </c>
      <c r="AA293" s="599" t="n">
        <v>3.2</v>
      </c>
      <c r="AB293" s="600" t="n">
        <v>1000</v>
      </c>
      <c r="AC293" s="600" t="inlineStr">
        <is>
          <t>M</t>
        </is>
      </c>
      <c r="AD293" s="600" t="n"/>
      <c r="AE293" s="600" t="n"/>
      <c r="AF293" s="601" t="n"/>
      <c r="AG293" s="601" t="n"/>
      <c r="AH293" s="601">
        <f t="array" ref="AH2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3" s="602">
        <f>scheduleapr[[#This Row],[SCHEDULE in nos]]-scheduleapr[[#This Row],[DISPATCH]]</f>
        <v/>
      </c>
      <c r="AJ293" s="599">
        <f>(3.14*(scheduleapr[[#This Row],[ACTUAL OD]]-scheduleapr[[#This Row],[TICKNESS]])*scheduleapr[[#This Row],[TICKNESS]]*scheduleapr[[#This Row],[LENGTH]]*7.85)/1000000*scheduleapr[[#This Row],[SCHEDULE in nos]]/1000</f>
        <v/>
      </c>
      <c r="AK293" s="599">
        <f>(3.14*(scheduleapr[[#This Row],[ACTUAL OD]]-scheduleapr[[#This Row],[TICKNESS]])*scheduleapr[[#This Row],[TICKNESS]]*scheduleapr[[#This Row],[LENGTH]]*7.85)/1000000*scheduleapr[[#This Row],[DISPATCH]]/1000</f>
        <v/>
      </c>
      <c r="AL293" s="599">
        <f>AJ293-AK293</f>
        <v/>
      </c>
      <c r="AM293" s="599">
        <f>scheduleapr[[#This Row],[SCHEDULE in nos]]/scheduleapr[[#This Row],[SCHEDULE IN MT]]*scheduleapr[[#This Row],[CTL Stock]]</f>
        <v/>
      </c>
      <c r="AN293" s="599">
        <f>SUMIFS(stock[MT],stock[Bucket],scheduleapr[[#This Row],[Bucket]],stock[CTL Bucket],scheduleapr[[#This Row],[CTL Bucket]],stock[Plant],"0789")</f>
        <v/>
      </c>
      <c r="AO293" s="599" t="n"/>
      <c r="AP293" s="599">
        <f>SUMIFS(stock[MT],stock[Bucket],scheduleapr[[#This Row],[Bucket]],stock[LL or CTL],"LL")</f>
        <v/>
      </c>
      <c r="AQ293" s="599">
        <f>+SUMIFS(wip[Stock(Net Wt)],wip[Bucket],scheduleapr[[#This Row],[Bucket]])/1000</f>
        <v/>
      </c>
      <c r="AR293" s="599">
        <f>AJ293-AN293</f>
        <v/>
      </c>
      <c r="AS293" s="118" t="n"/>
    </row>
    <row r="294">
      <c r="A294" s="594" t="n">
        <v>278</v>
      </c>
      <c r="B294" s="5" t="inlineStr">
        <is>
          <t xml:space="preserve">Khopoli </t>
        </is>
      </c>
      <c r="C294" s="601" t="inlineStr">
        <is>
          <t>NMPL TVSM</t>
        </is>
      </c>
      <c r="D294" s="601" t="inlineStr">
        <is>
          <t>NMPL</t>
        </is>
      </c>
      <c r="E294" s="601" t="inlineStr">
        <is>
          <t>189226|930794</t>
        </is>
      </c>
      <c r="F294" s="601" t="n">
        <v>2412748</v>
      </c>
      <c r="G294" s="601">
        <f>_xlfn.CONCAT(scheduleapr[[#This Row],[CUSTOMER CODE]],"-",scheduleapr[[#This Row],[MATERIAL NO]])</f>
        <v/>
      </c>
      <c r="H294" s="601" t="inlineStr">
        <is>
          <t>TUB-O-C-AUT-AD-FC-33.30X2.000X4.3000</t>
        </is>
      </c>
      <c r="I294" s="601" t="inlineStr">
        <is>
          <t>CEW</t>
        </is>
      </c>
      <c r="J294" s="601" t="n"/>
      <c r="K294" s="601" t="n"/>
      <c r="L294" s="601" t="inlineStr">
        <is>
          <t>HR</t>
        </is>
      </c>
      <c r="M294" s="601" t="n"/>
      <c r="N294" s="601" t="n"/>
      <c r="O294" s="601" t="n"/>
      <c r="P294" s="601" t="n"/>
      <c r="Q294" s="557">
        <f>CONCATENATE(scheduleapr[[#This Row],[OD]],"-",scheduleapr[[#This Row],[ID]],"-",scheduleapr[[#This Row],[TICKNESS]],"-",scheduleapr[[#This Row],[Grade]],"-",scheduleapr[[#This Row],[FC/NFC]])</f>
        <v/>
      </c>
      <c r="R294" s="557">
        <f>_xlfn.CONCAT(scheduleapr[[#This Row],[Bucket]],"-",scheduleapr[[#This Row],[LENGTH]]/1000)</f>
        <v/>
      </c>
      <c r="S294" s="557">
        <f>COUNTIF([2]!buckets[CTL Bucket],[2]!scheduleapr[[#This Row],[CTL Bucket]])</f>
        <v/>
      </c>
      <c r="T294" s="557" t="n"/>
      <c r="U294" s="557" t="n"/>
      <c r="V294" s="557" t="n"/>
      <c r="W294" s="557" t="n"/>
      <c r="X294" s="599" t="n">
        <v>33.3</v>
      </c>
      <c r="Y294" s="599" t="n">
        <v>0.09601098752945636</v>
      </c>
      <c r="Z294" s="599" t="n">
        <v>0</v>
      </c>
      <c r="AA294" s="599" t="n">
        <v>2</v>
      </c>
      <c r="AB294" s="600" t="n">
        <v>4300</v>
      </c>
      <c r="AC294" s="600" t="n"/>
      <c r="AD294" s="600" t="n"/>
      <c r="AE294" s="600" t="n"/>
      <c r="AF294" s="601" t="n"/>
      <c r="AG294" s="601" t="n"/>
      <c r="AH294" s="601">
        <f t="array" ref="AH2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4" s="602">
        <f>scheduleapr[[#This Row],[SCHEDULE in nos]]-scheduleapr[[#This Row],[DISPATCH]]</f>
        <v/>
      </c>
      <c r="AJ294" s="599">
        <f>(3.14*(scheduleapr[[#This Row],[ACTUAL OD]]-scheduleapr[[#This Row],[TICKNESS]])*scheduleapr[[#This Row],[TICKNESS]]*scheduleapr[[#This Row],[LENGTH]]*7.85)/1000000*scheduleapr[[#This Row],[SCHEDULE in nos]]/1000</f>
        <v/>
      </c>
      <c r="AK294" s="599">
        <f>(3.14*(scheduleapr[[#This Row],[ACTUAL OD]]-scheduleapr[[#This Row],[TICKNESS]])*scheduleapr[[#This Row],[TICKNESS]]*scheduleapr[[#This Row],[LENGTH]]*7.85)/1000000*scheduleapr[[#This Row],[DISPATCH]]/1000</f>
        <v/>
      </c>
      <c r="AL294" s="599">
        <f>AJ294-AK294</f>
        <v/>
      </c>
      <c r="AM294" s="599">
        <f>scheduleapr[[#This Row],[SCHEDULE in nos]]/scheduleapr[[#This Row],[SCHEDULE IN MT]]*scheduleapr[[#This Row],[CTL Stock]]</f>
        <v/>
      </c>
      <c r="AN294" s="599">
        <f>SUMIFS(stock[MT],stock[Bucket],scheduleapr[[#This Row],[Bucket]],stock[CTL Bucket],scheduleapr[[#This Row],[CTL Bucket]],stock[Plant],"0789")</f>
        <v/>
      </c>
      <c r="AO294" s="599" t="n"/>
      <c r="AP294" s="599">
        <f>SUMIFS(stock[MT],stock[Bucket],scheduleapr[[#This Row],[Bucket]],stock[LL or CTL],"LL")</f>
        <v/>
      </c>
      <c r="AQ294" s="599">
        <f>+SUMIFS(wip[Stock(Net Wt)],wip[Bucket],scheduleapr[[#This Row],[Bucket]])/1000</f>
        <v/>
      </c>
      <c r="AR294" s="599">
        <f>AJ294-AN294</f>
        <v/>
      </c>
      <c r="AS294" s="118" t="n"/>
    </row>
    <row r="295">
      <c r="A295" s="594" t="n">
        <v>233</v>
      </c>
      <c r="B295" s="5" t="inlineStr">
        <is>
          <t>Hosur</t>
        </is>
      </c>
      <c r="C295" s="601" t="inlineStr">
        <is>
          <t>NMPL HUB</t>
        </is>
      </c>
      <c r="D295" s="601" t="inlineStr">
        <is>
          <t>NMPL</t>
        </is>
      </c>
      <c r="E295" s="601" t="inlineStr">
        <is>
          <t>930801|189227</t>
        </is>
      </c>
      <c r="F295" s="601" t="n">
        <v>2410993</v>
      </c>
      <c r="G295" s="601">
        <f>_xlfn.CONCAT(scheduleapr[[#This Row],[CUSTOMER CODE]],"-",scheduleapr[[#This Row],[MATERIAL NO]])</f>
        <v/>
      </c>
      <c r="H295" s="601" t="inlineStr">
        <is>
          <t>TUB-O-C-AUT-AD-FC-33.30X2.000X04-05</t>
        </is>
      </c>
      <c r="I295" s="601" t="inlineStr">
        <is>
          <t>CEW</t>
        </is>
      </c>
      <c r="J295" s="601" t="n"/>
      <c r="K295" s="601" t="n"/>
      <c r="L295" s="601" t="inlineStr">
        <is>
          <t>HR</t>
        </is>
      </c>
      <c r="M295" s="601" t="n"/>
      <c r="N295" s="601" t="n"/>
      <c r="O295" s="601" t="n"/>
      <c r="P295" s="601" t="n"/>
      <c r="Q295" s="557">
        <f>CONCATENATE(scheduleapr[[#This Row],[OD]],"-",scheduleapr[[#This Row],[ID]],"-",scheduleapr[[#This Row],[TICKNESS]],"-",scheduleapr[[#This Row],[Grade]],"-",scheduleapr[[#This Row],[FC/NFC]])</f>
        <v/>
      </c>
      <c r="R295" s="557">
        <f>_xlfn.CONCAT(scheduleapr[[#This Row],[Bucket]],"-",scheduleapr[[#This Row],[LENGTH]]/1000)</f>
        <v/>
      </c>
      <c r="S295" s="557">
        <f>COUNTIF([2]!buckets[CTL Bucket],[2]!scheduleapr[[#This Row],[CTL Bucket]])</f>
        <v/>
      </c>
      <c r="T295" s="557" t="n"/>
      <c r="U295" s="557" t="n"/>
      <c r="V295" s="557" t="n"/>
      <c r="W295" s="557" t="n"/>
      <c r="X295" s="599" t="n">
        <v>33.3</v>
      </c>
      <c r="Y295" s="599" t="n">
        <v>2.299999552645019</v>
      </c>
      <c r="Z295" s="599" t="n">
        <v>29.3</v>
      </c>
      <c r="AA295" s="599" t="n">
        <v>2</v>
      </c>
      <c r="AB295" s="600" t="n">
        <v>4500</v>
      </c>
      <c r="AC295" s="600" t="n"/>
      <c r="AD295" s="600" t="n"/>
      <c r="AE295" s="600" t="n"/>
      <c r="AF295" s="601" t="n"/>
      <c r="AG295" s="601" t="n"/>
      <c r="AH295" s="601">
        <f t="array" ref="AH2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5" s="602">
        <f>scheduleapr[[#This Row],[SCHEDULE in nos]]-scheduleapr[[#This Row],[DISPATCH]]</f>
        <v/>
      </c>
      <c r="AJ295" s="599">
        <f>(3.14*(scheduleapr[[#This Row],[ACTUAL OD]]-scheduleapr[[#This Row],[TICKNESS]])*scheduleapr[[#This Row],[TICKNESS]]*scheduleapr[[#This Row],[LENGTH]]*7.85)/1000000*scheduleapr[[#This Row],[SCHEDULE in nos]]/1000</f>
        <v/>
      </c>
      <c r="AK295" s="599">
        <f>(3.14*(scheduleapr[[#This Row],[ACTUAL OD]]-scheduleapr[[#This Row],[TICKNESS]])*scheduleapr[[#This Row],[TICKNESS]]*scheduleapr[[#This Row],[LENGTH]]*7.85)/1000000*scheduleapr[[#This Row],[DISPATCH]]/1000</f>
        <v/>
      </c>
      <c r="AL295" s="599">
        <f>AJ295-AK295</f>
        <v/>
      </c>
      <c r="AM295" s="599">
        <f>scheduleapr[[#This Row],[SCHEDULE in nos]]/scheduleapr[[#This Row],[SCHEDULE IN MT]]*scheduleapr[[#This Row],[CTL Stock]]</f>
        <v/>
      </c>
      <c r="AN295" s="599">
        <f>SUMIFS(stock[MT],stock[Bucket],scheduleapr[[#This Row],[Bucket]],stock[CTL Bucket],scheduleapr[[#This Row],[CTL Bucket]],stock[Plant],"0789")</f>
        <v/>
      </c>
      <c r="AO295" s="599" t="n"/>
      <c r="AP295" s="599">
        <f>SUMIFS(stock[MT],stock[Bucket],scheduleapr[[#This Row],[Bucket]],stock[LL or CTL],"LL")</f>
        <v/>
      </c>
      <c r="AQ295" s="599">
        <f>+SUMIFS(wip[Stock(Net Wt)],wip[Bucket],scheduleapr[[#This Row],[Bucket]])/1000</f>
        <v/>
      </c>
      <c r="AR295" s="599">
        <f>AJ295-AN295</f>
        <v/>
      </c>
      <c r="AS295" s="118" t="n"/>
    </row>
    <row r="296">
      <c r="A296" s="594" t="n">
        <v>234</v>
      </c>
      <c r="B296" s="5" t="inlineStr">
        <is>
          <t>Hosur</t>
        </is>
      </c>
      <c r="C296" s="601" t="inlineStr">
        <is>
          <t>NMPL HUB</t>
        </is>
      </c>
      <c r="D296" s="601" t="inlineStr">
        <is>
          <t>NMPL</t>
        </is>
      </c>
      <c r="E296" s="601" t="inlineStr">
        <is>
          <t>930801|189227</t>
        </is>
      </c>
      <c r="F296" s="601" t="n">
        <v>238413</v>
      </c>
      <c r="G296" s="601">
        <f>_xlfn.CONCAT(scheduleapr[[#This Row],[CUSTOMER CODE]],"-",scheduleapr[[#This Row],[MATERIAL NO]])</f>
        <v/>
      </c>
      <c r="H296" s="601" t="n"/>
      <c r="I296" s="601" t="inlineStr">
        <is>
          <t>CEW</t>
        </is>
      </c>
      <c r="J296" s="601" t="n"/>
      <c r="K296" s="601" t="inlineStr">
        <is>
          <t>CEW</t>
        </is>
      </c>
      <c r="L296" s="601" t="inlineStr">
        <is>
          <t>HR</t>
        </is>
      </c>
      <c r="M296" s="601" t="n"/>
      <c r="N296" s="601" t="n"/>
      <c r="O296" s="601" t="n"/>
      <c r="P296" s="601" t="n"/>
      <c r="Q296" s="557">
        <f>CONCATENATE(scheduleapr[[#This Row],[OD]],"-",scheduleapr[[#This Row],[ID]],"-",scheduleapr[[#This Row],[TICKNESS]],"-",scheduleapr[[#This Row],[Grade]],"-",scheduleapr[[#This Row],[FC/NFC]])</f>
        <v/>
      </c>
      <c r="R296" s="557">
        <f>_xlfn.CONCAT(scheduleapr[[#This Row],[Bucket]],"-",scheduleapr[[#This Row],[LENGTH]]/1000)</f>
        <v/>
      </c>
      <c r="S296" s="601">
        <f>COUNTIF([2]!buckets[CTL Bucket],[2]!scheduleapr[[#This Row],[CTL Bucket]])</f>
        <v/>
      </c>
      <c r="T296" s="601" t="n"/>
      <c r="U296" s="601" t="n"/>
      <c r="V296" s="601" t="n"/>
      <c r="W296" s="601" t="n"/>
      <c r="X296" s="599" t="n">
        <v>37.95</v>
      </c>
      <c r="Y296" s="599" t="n">
        <v>37.95</v>
      </c>
      <c r="Z296" s="6" t="n">
        <v>32</v>
      </c>
      <c r="AA296" s="599" t="n">
        <v>2.95</v>
      </c>
      <c r="AB296" s="600" t="n">
        <v>940</v>
      </c>
      <c r="AC296" s="600" t="inlineStr">
        <is>
          <t>NOS</t>
        </is>
      </c>
      <c r="AD296" s="600" t="n"/>
      <c r="AE296" s="600" t="n"/>
      <c r="AF296" s="601" t="n"/>
      <c r="AG296" s="601" t="n"/>
      <c r="AH296" s="601">
        <f t="array" ref="AH2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6" s="602">
        <f>scheduleapr[[#This Row],[SCHEDULE in nos]]-scheduleapr[[#This Row],[DISPATCH]]</f>
        <v/>
      </c>
      <c r="AJ296" s="599">
        <f>(3.14*(scheduleapr[[#This Row],[ACTUAL OD]]-scheduleapr[[#This Row],[TICKNESS]])*scheduleapr[[#This Row],[TICKNESS]]*scheduleapr[[#This Row],[LENGTH]]*7.85)/1000000*scheduleapr[[#This Row],[SCHEDULE in nos]]/1000</f>
        <v/>
      </c>
      <c r="AK296" s="599">
        <f>(3.14*(scheduleapr[[#This Row],[ACTUAL OD]]-scheduleapr[[#This Row],[TICKNESS]])*scheduleapr[[#This Row],[TICKNESS]]*scheduleapr[[#This Row],[LENGTH]]*7.85)/1000000*scheduleapr[[#This Row],[DISPATCH]]/1000</f>
        <v/>
      </c>
      <c r="AL296" s="599">
        <f>AJ296-AK296</f>
        <v/>
      </c>
      <c r="AM296" s="599">
        <f>scheduleapr[[#This Row],[SCHEDULE in nos]]/scheduleapr[[#This Row],[SCHEDULE IN MT]]*scheduleapr[[#This Row],[CTL Stock]]</f>
        <v/>
      </c>
      <c r="AN296" s="599">
        <f>SUMIFS(stock[MT],stock[Bucket],scheduleapr[[#This Row],[Bucket]],stock[CTL Bucket],scheduleapr[[#This Row],[CTL Bucket]],stock[Plant],"0789")</f>
        <v/>
      </c>
      <c r="AO296" s="599" t="n"/>
      <c r="AP296" s="599">
        <f>SUMIFS(stock[MT],stock[Bucket],scheduleapr[[#This Row],[Bucket]],stock[LL or CTL],"LL")</f>
        <v/>
      </c>
      <c r="AQ296" s="599">
        <f>+SUMIFS(wip[Stock(Net Wt)],wip[Bucket],scheduleapr[[#This Row],[Bucket]])/1000</f>
        <v/>
      </c>
      <c r="AR296" s="599">
        <f>AJ296-AN296</f>
        <v/>
      </c>
      <c r="AS296" s="118" t="n"/>
    </row>
    <row r="297">
      <c r="A297" s="594" t="n">
        <v>249</v>
      </c>
      <c r="B297" s="564" t="n"/>
      <c r="C297" s="601" t="inlineStr">
        <is>
          <t>NMPL TVSM</t>
        </is>
      </c>
      <c r="D297" s="601" t="inlineStr">
        <is>
          <t>NMPL</t>
        </is>
      </c>
      <c r="E297" s="601" t="inlineStr">
        <is>
          <t>189226|930794</t>
        </is>
      </c>
      <c r="F297" s="601" t="n">
        <v>238413</v>
      </c>
      <c r="G297" s="601">
        <f>_xlfn.CONCAT(scheduleapr[[#This Row],[CUSTOMER CODE]],"-",scheduleapr[[#This Row],[MATERIAL NO]])</f>
        <v/>
      </c>
      <c r="H297" s="601" t="inlineStr">
        <is>
          <t>TUB-I-C-AUT-AD-PE-32.00X2.950X0.940</t>
        </is>
      </c>
      <c r="I297" s="601" t="inlineStr">
        <is>
          <t>CEW</t>
        </is>
      </c>
      <c r="J297" s="557" t="n"/>
      <c r="K297" s="601" t="inlineStr">
        <is>
          <t>CEW</t>
        </is>
      </c>
      <c r="L297" s="557" t="n"/>
      <c r="M297" s="557" t="n"/>
      <c r="N297" s="557" t="n"/>
      <c r="O297" s="557" t="n"/>
      <c r="P297" s="557" t="n"/>
      <c r="Q297" s="557">
        <f>CONCATENATE(scheduleapr[[#This Row],[OD]],"-",scheduleapr[[#This Row],[ID]],"-",scheduleapr[[#This Row],[TICKNESS]],"-",scheduleapr[[#This Row],[Grade]],"-",scheduleapr[[#This Row],[FC/NFC]])</f>
        <v/>
      </c>
      <c r="R297" s="557">
        <f>_xlfn.CONCAT(scheduleapr[[#This Row],[Bucket]],"-",scheduleapr[[#This Row],[LENGTH]]/1000)</f>
        <v/>
      </c>
      <c r="S297" s="557">
        <f>COUNTIF([2]!buckets[CTL Bucket],[2]!scheduleapr[[#This Row],[CTL Bucket]])</f>
        <v/>
      </c>
      <c r="T297" s="601" t="inlineStr">
        <is>
          <t>Khopoli</t>
        </is>
      </c>
      <c r="U297" s="601" t="n"/>
      <c r="V297" s="557" t="n"/>
      <c r="W297" s="557" t="n"/>
      <c r="X297" s="599" t="n">
        <v>37.95</v>
      </c>
      <c r="Y297" s="599" t="n">
        <v>37.95</v>
      </c>
      <c r="Z297" s="6" t="n">
        <v>32</v>
      </c>
      <c r="AA297" s="599" t="n">
        <v>2.95</v>
      </c>
      <c r="AB297" s="600" t="n">
        <v>940</v>
      </c>
      <c r="AC297" s="600" t="inlineStr">
        <is>
          <t>NOS</t>
        </is>
      </c>
      <c r="AD297" s="600" t="n"/>
      <c r="AE297" s="600" t="n"/>
      <c r="AF297" s="601" t="n"/>
      <c r="AG297" s="601" t="n"/>
      <c r="AH297" s="601">
        <f t="array" ref="AH2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7" s="602">
        <f>scheduleapr[[#This Row],[SCHEDULE in nos]]-scheduleapr[[#This Row],[DISPATCH]]</f>
        <v/>
      </c>
      <c r="AJ297" s="599">
        <f>(3.14*(scheduleapr[[#This Row],[ACTUAL OD]]-scheduleapr[[#This Row],[TICKNESS]])*scheduleapr[[#This Row],[TICKNESS]]*scheduleapr[[#This Row],[LENGTH]]*7.85)/1000000*scheduleapr[[#This Row],[SCHEDULE in nos]]/1000</f>
        <v/>
      </c>
      <c r="AK297" s="599">
        <f>(3.14*(scheduleapr[[#This Row],[ACTUAL OD]]-scheduleapr[[#This Row],[TICKNESS]])*scheduleapr[[#This Row],[TICKNESS]]*scheduleapr[[#This Row],[LENGTH]]*7.85)/1000000*scheduleapr[[#This Row],[DISPATCH]]/1000</f>
        <v/>
      </c>
      <c r="AL297" s="599">
        <f>AJ297-AK297</f>
        <v/>
      </c>
      <c r="AM297" s="599">
        <f>scheduleapr[[#This Row],[SCHEDULE in nos]]/scheduleapr[[#This Row],[SCHEDULE IN MT]]*scheduleapr[[#This Row],[CTL Stock]]</f>
        <v/>
      </c>
      <c r="AN297" s="599">
        <f>SUMIFS(stock[MT],stock[Bucket],scheduleapr[[#This Row],[Bucket]],stock[CTL Bucket],scheduleapr[[#This Row],[CTL Bucket]],stock[Plant],"0789")</f>
        <v/>
      </c>
      <c r="AO297" s="599" t="n"/>
      <c r="AP297" s="599">
        <f>SUMIFS(stock[MT],stock[Bucket],scheduleapr[[#This Row],[Bucket]],stock[LL or CTL],"LL")</f>
        <v/>
      </c>
      <c r="AQ297" s="599">
        <f>+SUMIFS(wip[Stock(Net Wt)],wip[Bucket],scheduleapr[[#This Row],[Bucket]])/1000</f>
        <v/>
      </c>
      <c r="AR297" s="599">
        <f>AJ297-AN297</f>
        <v/>
      </c>
      <c r="AS297" s="118" t="n"/>
    </row>
    <row r="298">
      <c r="A298" s="594" t="n">
        <v>280</v>
      </c>
      <c r="B298" s="5" t="inlineStr">
        <is>
          <t>JSR</t>
        </is>
      </c>
      <c r="C298" s="601" t="inlineStr">
        <is>
          <t>NMPL HUB</t>
        </is>
      </c>
      <c r="D298" s="601" t="inlineStr">
        <is>
          <t>NMPL</t>
        </is>
      </c>
      <c r="E298" s="601" t="inlineStr">
        <is>
          <t>930801|189227</t>
        </is>
      </c>
      <c r="F298" s="601" t="n">
        <v>238413</v>
      </c>
      <c r="G298" s="601">
        <f>_xlfn.CONCAT(scheduleapr[[#This Row],[CUSTOMER CODE]],"-",scheduleapr[[#This Row],[MATERIAL NO]])</f>
        <v/>
      </c>
      <c r="H298" s="601" t="inlineStr">
        <is>
          <t>TUB-I-C-AUT-AD-PE-32.00X2.950X0.940</t>
        </is>
      </c>
      <c r="I298" s="601" t="inlineStr">
        <is>
          <t>CEW</t>
        </is>
      </c>
      <c r="J298" s="601" t="n"/>
      <c r="K298" s="601" t="inlineStr">
        <is>
          <t>CEW</t>
        </is>
      </c>
      <c r="L298" s="601" t="inlineStr">
        <is>
          <t>HR</t>
        </is>
      </c>
      <c r="M298" s="601" t="n"/>
      <c r="N298" s="601" t="n"/>
      <c r="O298" s="601" t="n"/>
      <c r="P298" s="601" t="n"/>
      <c r="Q298" s="557">
        <f>CONCATENATE(scheduleapr[[#This Row],[OD]],"-",scheduleapr[[#This Row],[ID]],"-",scheduleapr[[#This Row],[TICKNESS]],"-",scheduleapr[[#This Row],[Grade]],"-",scheduleapr[[#This Row],[FC/NFC]])</f>
        <v/>
      </c>
      <c r="R298" s="557">
        <f>_xlfn.CONCAT(scheduleapr[[#This Row],[Bucket]],"-",scheduleapr[[#This Row],[LENGTH]]/1000)</f>
        <v/>
      </c>
      <c r="S298" s="557">
        <f>COUNTIF(scheduleapr[CTL Bucket],scheduleapr[[#This Row],[CTL Bucket]])</f>
        <v/>
      </c>
      <c r="T298" s="601" t="inlineStr">
        <is>
          <t>Khopoli</t>
        </is>
      </c>
      <c r="U298" s="601">
        <f>_xlfn.IFNA(VLOOKUP(scheduleapr[[#This Row],[Bucket]],salesforecast[[#All],[Bucket2]:[8406 Stock]],19,0),0)</f>
        <v/>
      </c>
      <c r="V298" s="562">
        <f>_xlfn.IFNA(VLOOKUP(scheduleapr[[#This Row],[Bucket]],salesforecast[[#All],[Bucket2]:[8406 Stock]],20,0),0)+_xlfn.IFNA(VLOOKUP(scheduleapr[[#This Row],[Bucket]],salesforecast[[#All],[Bucket2]:[8406 Stock]],17,0),0)</f>
        <v/>
      </c>
      <c r="W298" s="557" t="n"/>
      <c r="X298" s="599" t="n">
        <v>37.95</v>
      </c>
      <c r="Y298" s="599" t="n">
        <v>37.95</v>
      </c>
      <c r="Z298" s="6" t="n">
        <v>32</v>
      </c>
      <c r="AA298" s="599" t="n">
        <v>2.95</v>
      </c>
      <c r="AB298" s="600" t="n">
        <v>1000</v>
      </c>
      <c r="AC298" s="600" t="inlineStr">
        <is>
          <t>M</t>
        </is>
      </c>
      <c r="AD298" s="600" t="n"/>
      <c r="AE298" s="600" t="n"/>
      <c r="AF298" s="601" t="n"/>
      <c r="AG298" s="601" t="n"/>
      <c r="AH298" s="601">
        <f t="array" ref="AH2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8" s="602">
        <f>scheduleapr[[#This Row],[SCHEDULE in nos]]-scheduleapr[[#This Row],[DISPATCH]]</f>
        <v/>
      </c>
      <c r="AJ298" s="599">
        <f>(3.14*(scheduleapr[[#This Row],[ACTUAL OD]]-scheduleapr[[#This Row],[TICKNESS]])*scheduleapr[[#This Row],[TICKNESS]]*scheduleapr[[#This Row],[LENGTH]]*7.85)/1000000*scheduleapr[[#This Row],[SCHEDULE in nos]]/1000</f>
        <v/>
      </c>
      <c r="AK298" s="599">
        <f>(3.14*(scheduleapr[[#This Row],[ACTUAL OD]]-scheduleapr[[#This Row],[TICKNESS]])*scheduleapr[[#This Row],[TICKNESS]]*scheduleapr[[#This Row],[LENGTH]]*7.85)/1000000*scheduleapr[[#This Row],[DISPATCH]]/1000</f>
        <v/>
      </c>
      <c r="AL298" s="599">
        <f>AJ298-AK298</f>
        <v/>
      </c>
      <c r="AM298" s="599">
        <f>scheduleapr[[#This Row],[SCHEDULE in nos]]/scheduleapr[[#This Row],[SCHEDULE IN MT]]*scheduleapr[[#This Row],[CTL Stock]]</f>
        <v/>
      </c>
      <c r="AN298" s="599">
        <f>SUMIFS(stock[MT],stock[Bucket],scheduleapr[[#This Row],[Bucket]],stock[CTL Bucket],scheduleapr[[#This Row],[CTL Bucket]],stock[Plant],"0789")</f>
        <v/>
      </c>
      <c r="AO298" s="599" t="n"/>
      <c r="AP298" s="599">
        <f>SUMIFS(stock[MT],stock[Bucket],scheduleapr[[#This Row],[Bucket]],stock[LL or CTL],"LL")</f>
        <v/>
      </c>
      <c r="AQ298" s="599">
        <f>+SUMIFS(wip[Stock(Net Wt)],wip[Bucket],scheduleapr[[#This Row],[Bucket]])/1000</f>
        <v/>
      </c>
      <c r="AR298" s="599">
        <f>AJ298-AN298</f>
        <v/>
      </c>
      <c r="AS298" s="118" t="n"/>
    </row>
    <row r="299">
      <c r="A299" s="594" t="n">
        <v>247</v>
      </c>
      <c r="B299" s="5" t="inlineStr">
        <is>
          <t>Hosur</t>
        </is>
      </c>
      <c r="C299" s="601" t="inlineStr">
        <is>
          <t>NMPL TVSM</t>
        </is>
      </c>
      <c r="D299" s="601" t="inlineStr">
        <is>
          <t>NMPL</t>
        </is>
      </c>
      <c r="E299" s="601" t="inlineStr">
        <is>
          <t>189226|930794</t>
        </is>
      </c>
      <c r="F299" s="601" t="n">
        <v>1939991</v>
      </c>
      <c r="G299" s="601">
        <f>_xlfn.CONCAT(scheduleapr[[#This Row],[CUSTOMER CODE]],"-",scheduleapr[[#This Row],[MATERIAL NO]])</f>
        <v/>
      </c>
      <c r="H299" s="601" t="inlineStr">
        <is>
          <t>TUB-O-O-AUT-AW-PE-12.70X1.600X0.1450</t>
        </is>
      </c>
      <c r="I299" s="601" t="inlineStr">
        <is>
          <t>ERW 1</t>
        </is>
      </c>
      <c r="J299" s="601" t="n"/>
      <c r="K299" s="601" t="inlineStr">
        <is>
          <t>PE</t>
        </is>
      </c>
      <c r="L299" s="601" t="inlineStr">
        <is>
          <t>CR</t>
        </is>
      </c>
      <c r="M299" s="601" t="inlineStr">
        <is>
          <t>WG</t>
        </is>
      </c>
      <c r="N299" s="601" t="n"/>
      <c r="O299" s="601" t="n"/>
      <c r="P299" s="601" t="n"/>
      <c r="Q299" s="557">
        <f>CONCATENATE(scheduleapr[[#This Row],[OD]],"-",scheduleapr[[#This Row],[ID]],"-",scheduleapr[[#This Row],[TICKNESS]],"-",scheduleapr[[#This Row],[Grade]],"-",scheduleapr[[#This Row],[FC/NFC]])</f>
        <v/>
      </c>
      <c r="R299" s="557">
        <f>_xlfn.CONCAT(scheduleapr[[#This Row],[Bucket]],"-",scheduleapr[[#This Row],[LENGTH]]/1000)</f>
        <v/>
      </c>
      <c r="S299" s="557">
        <f>COUNTIF(scheduleapr[CTL Bucket],scheduleapr[[#This Row],[CTL Bucket]])</f>
        <v/>
      </c>
      <c r="T299" s="601" t="inlineStr">
        <is>
          <t>Hosur</t>
        </is>
      </c>
      <c r="U299" s="601">
        <f>_xlfn.IFNA(VLOOKUP(scheduleapr[[#This Row],[Bucket]],salesforecast[[#All],[Bucket2]:[8406 Stock]],19,0),0)</f>
        <v/>
      </c>
      <c r="V299" s="562">
        <f>_xlfn.IFNA(VLOOKUP(scheduleapr[[#This Row],[Bucket]],salesforecast[[#All],[Bucket2]:[8406 Stock]],20,0),0)+_xlfn.IFNA(VLOOKUP(scheduleapr[[#This Row],[Bucket]],salesforecast[[#All],[Bucket2]:[8406 Stock]],17,0),0)</f>
        <v/>
      </c>
      <c r="W299" s="557" t="n"/>
      <c r="X299" s="599" t="n">
        <v>12.7</v>
      </c>
      <c r="Y299" s="599" t="n">
        <v>12.7</v>
      </c>
      <c r="Z299" s="6" t="n">
        <v>0</v>
      </c>
      <c r="AA299" s="599" t="n">
        <v>1.6</v>
      </c>
      <c r="AB299" s="22" t="n">
        <v>145</v>
      </c>
      <c r="AC299" s="22" t="inlineStr">
        <is>
          <t>NOS</t>
        </is>
      </c>
      <c r="AD299" s="22" t="n"/>
      <c r="AE299" s="22" t="n"/>
      <c r="AF299" s="601" t="n">
        <v>20000</v>
      </c>
      <c r="AG299" s="601" t="inlineStr">
        <is>
          <t>Aug 2026 schedule · nmpl 1</t>
        </is>
      </c>
      <c r="AH299" s="601">
        <f t="array" ref="AH2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299" s="602">
        <f>scheduleapr[[#This Row],[SCHEDULE in nos]]-scheduleapr[[#This Row],[DISPATCH]]</f>
        <v/>
      </c>
      <c r="AJ299" s="599">
        <f>(3.14*(scheduleapr[[#This Row],[ACTUAL OD]]-scheduleapr[[#This Row],[TICKNESS]])*scheduleapr[[#This Row],[TICKNESS]]*scheduleapr[[#This Row],[LENGTH]]*7.85)/1000000*scheduleapr[[#This Row],[SCHEDULE in nos]]/1000</f>
        <v/>
      </c>
      <c r="AK299" s="599">
        <f>(3.14*(scheduleapr[[#This Row],[ACTUAL OD]]-scheduleapr[[#This Row],[TICKNESS]])*scheduleapr[[#This Row],[TICKNESS]]*scheduleapr[[#This Row],[LENGTH]]*7.85)/1000000*scheduleapr[[#This Row],[DISPATCH]]/1000</f>
        <v/>
      </c>
      <c r="AL299" s="599">
        <f>AJ299-AK299</f>
        <v/>
      </c>
      <c r="AM299" s="599">
        <f>scheduleapr[[#This Row],[SCHEDULE in nos]]/scheduleapr[[#This Row],[SCHEDULE IN MT]]*scheduleapr[[#This Row],[CTL Stock]]</f>
        <v/>
      </c>
      <c r="AN299" s="599">
        <f>SUMIFS(stock[MT],stock[Bucket],scheduleapr[[#This Row],[Bucket]],stock[CTL Bucket],scheduleapr[[#This Row],[CTL Bucket]],stock[Plant],"0789")</f>
        <v/>
      </c>
      <c r="AO299" s="599" t="n"/>
      <c r="AP299" s="599">
        <f>SUMIFS(stock[MT],stock[Bucket],scheduleapr[[#This Row],[Bucket]],stock[LL or CTL],"LL")</f>
        <v/>
      </c>
      <c r="AQ299" s="599">
        <f>+SUMIFS(wip[Stock(Net Wt)],wip[Bucket],scheduleapr[[#This Row],[Bucket]])/1000</f>
        <v/>
      </c>
      <c r="AR299" s="599">
        <f>AJ299-AN299</f>
        <v/>
      </c>
      <c r="AS299" s="118" t="n"/>
    </row>
    <row r="300">
      <c r="A300" s="594" t="n">
        <v>248</v>
      </c>
      <c r="B300" s="5" t="inlineStr">
        <is>
          <t>Hosur</t>
        </is>
      </c>
      <c r="C300" s="601" t="inlineStr">
        <is>
          <t>NMPL HUB</t>
        </is>
      </c>
      <c r="D300" s="601" t="inlineStr">
        <is>
          <t>NMPL</t>
        </is>
      </c>
      <c r="E300" s="601" t="inlineStr">
        <is>
          <t>189226|930794</t>
        </is>
      </c>
      <c r="F300" s="601" t="n">
        <v>1931237</v>
      </c>
      <c r="G300" s="601">
        <f>_xlfn.CONCAT(scheduleapr[[#This Row],[CUSTOMER CODE]],"-",scheduleapr[[#This Row],[MATERIAL NO]])</f>
        <v/>
      </c>
      <c r="H300" s="601" t="inlineStr">
        <is>
          <t>TUB-O-N-GEN-AW-PE-12.70X2.000X5.0500</t>
        </is>
      </c>
      <c r="I300" s="601" t="inlineStr">
        <is>
          <t>ERW 1</t>
        </is>
      </c>
      <c r="J300" s="601" t="n"/>
      <c r="K300" s="601" t="inlineStr">
        <is>
          <t>PE</t>
        </is>
      </c>
      <c r="L300" s="601" t="inlineStr">
        <is>
          <t>HR</t>
        </is>
      </c>
      <c r="M300" s="601" t="n"/>
      <c r="N300" s="601" t="n"/>
      <c r="O300" s="601" t="n"/>
      <c r="P300" s="601" t="n"/>
      <c r="Q300" s="557">
        <f>CONCATENATE(scheduleapr[[#This Row],[OD]],"-",scheduleapr[[#This Row],[ID]],"-",scheduleapr[[#This Row],[TICKNESS]],"-",scheduleapr[[#This Row],[Grade]],"-",scheduleapr[[#This Row],[FC/NFC]])</f>
        <v/>
      </c>
      <c r="R300" s="557">
        <f>_xlfn.CONCAT(scheduleapr[[#This Row],[Bucket]],"-",scheduleapr[[#This Row],[LENGTH]]/1000)</f>
        <v/>
      </c>
      <c r="S300" s="557">
        <f>COUNTIF([2]!buckets[CTL Bucket],[2]!scheduleapr[[#This Row],[CTL Bucket]])</f>
        <v/>
      </c>
      <c r="T300" s="557" t="n"/>
      <c r="U300" s="601">
        <f>_xlfn.IFNA(VLOOKUP(scheduleapr[[#This Row],[Bucket]],salesforecast[[#All],[Bucket2]:[8406 Stock]],19,0),0)</f>
        <v/>
      </c>
      <c r="V300" s="562">
        <f>_xlfn.IFNA(VLOOKUP(scheduleapr[[#This Row],[Bucket]],salesforecast[[#All],[Bucket2]:[8406 Stock]],20,0),0)+_xlfn.IFNA(VLOOKUP(scheduleapr[[#This Row],[Bucket]],salesforecast[[#All],[Bucket2]:[8406 Stock]],17,0),0)</f>
        <v/>
      </c>
      <c r="W300" s="557" t="n"/>
      <c r="X300" s="599" t="n">
        <v>12.7</v>
      </c>
      <c r="Y300" s="599" t="n">
        <v>12.7</v>
      </c>
      <c r="Z300" s="6" t="n">
        <v>0</v>
      </c>
      <c r="AA300" s="599" t="n">
        <v>2</v>
      </c>
      <c r="AB300" s="600" t="n">
        <v>1000</v>
      </c>
      <c r="AC300" s="600" t="inlineStr">
        <is>
          <t>M</t>
        </is>
      </c>
      <c r="AD300" s="600" t="n"/>
      <c r="AE300" s="600" t="n"/>
      <c r="AF300" s="601" t="n"/>
      <c r="AG300" s="601" t="n"/>
      <c r="AH300" s="601">
        <f t="array" ref="AH3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0" s="602">
        <f>scheduleapr[[#This Row],[SCHEDULE in nos]]-scheduleapr[[#This Row],[DISPATCH]]</f>
        <v/>
      </c>
      <c r="AJ300" s="599">
        <f>(3.14*(scheduleapr[[#This Row],[ACTUAL OD]]-scheduleapr[[#This Row],[TICKNESS]])*scheduleapr[[#This Row],[TICKNESS]]*scheduleapr[[#This Row],[LENGTH]]*7.85)/1000000*scheduleapr[[#This Row],[SCHEDULE in nos]]/1000</f>
        <v/>
      </c>
      <c r="AK300" s="599">
        <f>(3.14*(scheduleapr[[#This Row],[ACTUAL OD]]-scheduleapr[[#This Row],[TICKNESS]])*scheduleapr[[#This Row],[TICKNESS]]*scheduleapr[[#This Row],[LENGTH]]*7.85)/1000000*scheduleapr[[#This Row],[DISPATCH]]/1000</f>
        <v/>
      </c>
      <c r="AL300" s="599">
        <f>AJ300-AK300</f>
        <v/>
      </c>
      <c r="AM300" s="599">
        <f>scheduleapr[[#This Row],[SCHEDULE in nos]]/scheduleapr[[#This Row],[SCHEDULE IN MT]]*scheduleapr[[#This Row],[CTL Stock]]</f>
        <v/>
      </c>
      <c r="AN300" s="599">
        <f>SUMIFS(stock[MT],stock[Bucket],scheduleapr[[#This Row],[Bucket]],stock[CTL Bucket],scheduleapr[[#This Row],[CTL Bucket]],stock[Plant],"0789")</f>
        <v/>
      </c>
      <c r="AO300" s="599" t="n"/>
      <c r="AP300" s="599">
        <f>SUMIFS(stock[MT],stock[Bucket],scheduleapr[[#This Row],[Bucket]],stock[LL or CTL],"LL")</f>
        <v/>
      </c>
      <c r="AQ300" s="599">
        <f>+SUMIFS(wip[Stock(Net Wt)],wip[Bucket],scheduleapr[[#This Row],[Bucket]])/1000</f>
        <v/>
      </c>
      <c r="AR300" s="599">
        <f>AJ300-AN300</f>
        <v/>
      </c>
      <c r="AS300" s="118" t="n"/>
    </row>
    <row r="301">
      <c r="A301" s="594" t="n">
        <v>216</v>
      </c>
      <c r="B301" s="5" t="inlineStr">
        <is>
          <t>Hosur</t>
        </is>
      </c>
      <c r="C301" s="601" t="inlineStr">
        <is>
          <t>NMPL HUB</t>
        </is>
      </c>
      <c r="D301" s="601" t="inlineStr">
        <is>
          <t>NMPL</t>
        </is>
      </c>
      <c r="E301" s="601" t="inlineStr">
        <is>
          <t>930801|189227</t>
        </is>
      </c>
      <c r="F301" s="601" t="n">
        <v>1940019</v>
      </c>
      <c r="G301" s="601">
        <f>_xlfn.CONCAT(scheduleapr[[#This Row],[CUSTOMER CODE]],"-",scheduleapr[[#This Row],[MATERIAL NO]])</f>
        <v/>
      </c>
      <c r="H301" s="601" t="inlineStr">
        <is>
          <t>TUB-O-O-GEN-AW-PE-15.88X1.000X0.1400</t>
        </is>
      </c>
      <c r="I301" s="601" t="inlineStr">
        <is>
          <t>ERW 1</t>
        </is>
      </c>
      <c r="J301" s="601" t="n"/>
      <c r="K301" s="601" t="inlineStr">
        <is>
          <t>PE</t>
        </is>
      </c>
      <c r="L301" s="601" t="inlineStr">
        <is>
          <t>CR</t>
        </is>
      </c>
      <c r="M301" s="601" t="n"/>
      <c r="N301" s="601" t="n"/>
      <c r="O301" s="601" t="n"/>
      <c r="P301" s="601" t="n"/>
      <c r="Q301" s="557">
        <f>CONCATENATE(scheduleapr[[#This Row],[OD]],"-",scheduleapr[[#This Row],[ID]],"-",scheduleapr[[#This Row],[TICKNESS]],"-",scheduleapr[[#This Row],[Grade]],"-",scheduleapr[[#This Row],[FC/NFC]])</f>
        <v/>
      </c>
      <c r="R301" s="557">
        <f>_xlfn.CONCAT(scheduleapr[[#This Row],[Bucket]],"-",scheduleapr[[#This Row],[LENGTH]]/1000)</f>
        <v/>
      </c>
      <c r="S301" s="557">
        <f>COUNTIF(scheduleapr[CTL Bucket],scheduleapr[[#This Row],[CTL Bucket]])</f>
        <v/>
      </c>
      <c r="T301" s="601" t="inlineStr">
        <is>
          <t>Hosur</t>
        </is>
      </c>
      <c r="U301" s="601">
        <f>_xlfn.IFNA(VLOOKUP(scheduleapr[[#This Row],[Bucket]],salesforecast[[#All],[Bucket2]:[8406 Stock]],19,0),0)</f>
        <v/>
      </c>
      <c r="V301" s="562">
        <f>_xlfn.IFNA(VLOOKUP(scheduleapr[[#This Row],[Bucket]],salesforecast[[#All],[Bucket2]:[8406 Stock]],20,0),0)+_xlfn.IFNA(VLOOKUP(scheduleapr[[#This Row],[Bucket]],salesforecast[[#All],[Bucket2]:[8406 Stock]],17,0),0)</f>
        <v/>
      </c>
      <c r="W301" s="557" t="n"/>
      <c r="X301" s="599" t="n">
        <v>15.88</v>
      </c>
      <c r="Y301" s="599" t="n">
        <v>15.88</v>
      </c>
      <c r="Z301" s="599" t="n">
        <v>0</v>
      </c>
      <c r="AA301" s="599" t="n">
        <v>1</v>
      </c>
      <c r="AB301" s="600" t="n">
        <v>140</v>
      </c>
      <c r="AC301" s="600" t="inlineStr">
        <is>
          <t>NOS</t>
        </is>
      </c>
      <c r="AD301" s="600" t="n"/>
      <c r="AE301" s="600" t="n"/>
      <c r="AF301" s="601" t="n"/>
      <c r="AG301" s="601" t="n"/>
      <c r="AH301" s="601">
        <f t="array" ref="AH3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1" s="602">
        <f>scheduleapr[[#This Row],[SCHEDULE in nos]]-scheduleapr[[#This Row],[DISPATCH]]</f>
        <v/>
      </c>
      <c r="AJ301" s="599">
        <f>(3.14*(scheduleapr[[#This Row],[ACTUAL OD]]-scheduleapr[[#This Row],[TICKNESS]])*scheduleapr[[#This Row],[TICKNESS]]*scheduleapr[[#This Row],[LENGTH]]*7.85)/1000000*scheduleapr[[#This Row],[SCHEDULE in nos]]/1000</f>
        <v/>
      </c>
      <c r="AK301" s="599">
        <f>(3.14*(scheduleapr[[#This Row],[ACTUAL OD]]-scheduleapr[[#This Row],[TICKNESS]])*scheduleapr[[#This Row],[TICKNESS]]*scheduleapr[[#This Row],[LENGTH]]*7.85)/1000000*scheduleapr[[#This Row],[DISPATCH]]/1000</f>
        <v/>
      </c>
      <c r="AL301" s="599">
        <f>AJ301-AK301</f>
        <v/>
      </c>
      <c r="AM301" s="599">
        <f>scheduleapr[[#This Row],[SCHEDULE in nos]]/scheduleapr[[#This Row],[SCHEDULE IN MT]]*scheduleapr[[#This Row],[CTL Stock]]</f>
        <v/>
      </c>
      <c r="AN301" s="599">
        <f>SUMIFS(stock[MT],stock[Bucket],scheduleapr[[#This Row],[Bucket]],stock[CTL Bucket],scheduleapr[[#This Row],[CTL Bucket]],stock[Plant],"0789")</f>
        <v/>
      </c>
      <c r="AO301" s="599" t="n"/>
      <c r="AP301" s="599">
        <f>SUMIFS(stock[MT],stock[Bucket],scheduleapr[[#This Row],[Bucket]],stock[LL or CTL],"LL")</f>
        <v/>
      </c>
      <c r="AQ301" s="599">
        <f>+SUMIFS(wip[Stock(Net Wt)],wip[Bucket],scheduleapr[[#This Row],[Bucket]])/1000</f>
        <v/>
      </c>
      <c r="AR301" s="599">
        <f>AJ301-AN301</f>
        <v/>
      </c>
      <c r="AS301" s="118" t="n"/>
    </row>
    <row r="302">
      <c r="A302" s="556" t="n"/>
      <c r="B302" s="5" t="inlineStr">
        <is>
          <t>Hosur</t>
        </is>
      </c>
      <c r="C302" s="601" t="inlineStr">
        <is>
          <t>NMPL TVSM</t>
        </is>
      </c>
      <c r="D302" s="601" t="inlineStr">
        <is>
          <t>NMPL</t>
        </is>
      </c>
      <c r="E302" s="601" t="inlineStr">
        <is>
          <t>189226|930794</t>
        </is>
      </c>
      <c r="F302" s="557" t="n"/>
      <c r="G302" s="601">
        <f>_xlfn.CONCAT(scheduleapr[[#This Row],[CUSTOMER CODE]],"-",scheduleapr[[#This Row],[MATERIAL NO]])</f>
        <v/>
      </c>
      <c r="H302" s="557" t="n"/>
      <c r="I302" s="557" t="inlineStr">
        <is>
          <t>ERW 1</t>
        </is>
      </c>
      <c r="J302" s="557" t="n"/>
      <c r="K302" s="601" t="inlineStr">
        <is>
          <t>PE</t>
        </is>
      </c>
      <c r="L302" s="601" t="inlineStr">
        <is>
          <t>CR</t>
        </is>
      </c>
      <c r="M302" s="558" t="n"/>
      <c r="N302" s="557" t="n"/>
      <c r="O302" s="557" t="n"/>
      <c r="P302" s="557" t="n"/>
      <c r="Q302" s="557">
        <f>CONCATENATE(scheduleapr[[#This Row],[OD]],"-",scheduleapr[[#This Row],[ID]],"-",scheduleapr[[#This Row],[TICKNESS]],"-",scheduleapr[[#This Row],[Grade]],"-",scheduleapr[[#This Row],[FC/NFC]])</f>
        <v/>
      </c>
      <c r="R302" s="557">
        <f>_xlfn.CONCAT(scheduleapr[[#This Row],[Bucket]],"-",scheduleapr[[#This Row],[LENGTH]]/1000)</f>
        <v/>
      </c>
      <c r="S302" s="557">
        <f>COUNTIF(scheduleapr[CTL Bucket],scheduleapr[[#This Row],[CTL Bucket]])</f>
        <v/>
      </c>
      <c r="T302" s="601" t="inlineStr">
        <is>
          <t>Hosur</t>
        </is>
      </c>
      <c r="U302" s="601">
        <f>_xlfn.IFNA(VLOOKUP(scheduleapr[[#This Row],[Bucket]],salesforecast[[#All],[Bucket2]:[8406 Stock]],19,0),0)</f>
        <v/>
      </c>
      <c r="V302" s="562">
        <f>_xlfn.IFNA(VLOOKUP(scheduleapr[[#This Row],[Bucket]],salesforecast[[#All],[Bucket2]:[8406 Stock]],20,0),0)+_xlfn.IFNA(VLOOKUP(scheduleapr[[#This Row],[Bucket]],salesforecast[[#All],[Bucket2]:[8406 Stock]],17,0),0)</f>
        <v/>
      </c>
      <c r="W302" s="601" t="n"/>
      <c r="X302" s="559" t="n">
        <v>15.88</v>
      </c>
      <c r="Y302" s="559" t="n">
        <v>15.88</v>
      </c>
      <c r="Z302" s="559" t="n">
        <v>0</v>
      </c>
      <c r="AA302" s="599" t="n">
        <v>1</v>
      </c>
      <c r="AB302" s="600" t="n">
        <v>592</v>
      </c>
      <c r="AC302" s="600" t="inlineStr">
        <is>
          <t>NOS</t>
        </is>
      </c>
      <c r="AD302" s="600" t="n"/>
      <c r="AE302" s="600" t="n"/>
      <c r="AF302" s="557" t="n">
        <v>8000</v>
      </c>
      <c r="AG302" s="557" t="inlineStr">
        <is>
          <t>Aug 2026 schedule · nmpl 1</t>
        </is>
      </c>
      <c r="AH302" s="601">
        <f t="array" ref="AH3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2" s="602">
        <f>scheduleapr[[#This Row],[SCHEDULE in nos]]-scheduleapr[[#This Row],[DISPATCH]]</f>
        <v/>
      </c>
      <c r="AJ302" s="559">
        <f>(3.14*(scheduleapr[[#This Row],[ACTUAL OD]]-scheduleapr[[#This Row],[TICKNESS]])*scheduleapr[[#This Row],[TICKNESS]]*scheduleapr[[#This Row],[LENGTH]]*7.85)/1000000*scheduleapr[[#This Row],[SCHEDULE in nos]]/1000</f>
        <v/>
      </c>
      <c r="AK302" s="599">
        <f>(3.14*(scheduleapr[[#This Row],[ACTUAL OD]]-scheduleapr[[#This Row],[TICKNESS]])*scheduleapr[[#This Row],[TICKNESS]]*scheduleapr[[#This Row],[LENGTH]]*7.85)/1000000*scheduleapr[[#This Row],[DISPATCH]]/1000</f>
        <v/>
      </c>
      <c r="AL302" s="599">
        <f>AJ302-AK302</f>
        <v/>
      </c>
      <c r="AM302" s="559">
        <f>scheduleapr[[#This Row],[SCHEDULE in nos]]/scheduleapr[[#This Row],[SCHEDULE IN MT]]*scheduleapr[[#This Row],[CTL Stock]]</f>
        <v/>
      </c>
      <c r="AN302" s="599">
        <f>SUMIFS(stock[MT],stock[Bucket],scheduleapr[[#This Row],[Bucket]],stock[CTL Bucket],scheduleapr[[#This Row],[CTL Bucket]],stock[Plant],"0789")</f>
        <v/>
      </c>
      <c r="AO302" s="599" t="n"/>
      <c r="AP302" s="599">
        <f>SUMIFS(stock[MT],stock[Bucket],scheduleapr[[#This Row],[Bucket]],stock[LL or CTL],"LL")</f>
        <v/>
      </c>
      <c r="AQ302" s="599">
        <f>+SUMIFS(wip[Stock(Net Wt)],wip[Bucket],scheduleapr[[#This Row],[Bucket]])/1000</f>
        <v/>
      </c>
      <c r="AR302" s="599">
        <f>AJ302-AN302</f>
        <v/>
      </c>
      <c r="AS302" s="118" t="n"/>
    </row>
    <row r="303">
      <c r="A303" s="594" t="n">
        <v>251</v>
      </c>
      <c r="B303" s="5" t="inlineStr">
        <is>
          <t>Hosur</t>
        </is>
      </c>
      <c r="C303" s="601" t="inlineStr">
        <is>
          <t>NMPL TVSM</t>
        </is>
      </c>
      <c r="D303" s="601" t="inlineStr">
        <is>
          <t>NMPL</t>
        </is>
      </c>
      <c r="E303" s="601" t="inlineStr">
        <is>
          <t>189226|930794</t>
        </is>
      </c>
      <c r="F303" s="601" t="n">
        <v>1941845</v>
      </c>
      <c r="G303" s="601">
        <f>_xlfn.CONCAT(scheduleapr[[#This Row],[CUSTOMER CODE]],"-",scheduleapr[[#This Row],[MATERIAL NO]])</f>
        <v/>
      </c>
      <c r="H303" s="601" t="inlineStr">
        <is>
          <t>TUB-E-O-AUT-AW-FC-15.88X1.000X1.2340</t>
        </is>
      </c>
      <c r="I303" s="601" t="inlineStr">
        <is>
          <t>ERW 1</t>
        </is>
      </c>
      <c r="J303" s="601" t="n"/>
      <c r="K303" s="601" t="inlineStr">
        <is>
          <t>PE</t>
        </is>
      </c>
      <c r="L303" s="601" t="inlineStr">
        <is>
          <t>HR</t>
        </is>
      </c>
      <c r="M303" s="601" t="n"/>
      <c r="N303" s="601" t="n"/>
      <c r="O303" s="601" t="n"/>
      <c r="P303" s="601" t="n"/>
      <c r="Q303" s="557">
        <f>CONCATENATE(scheduleapr[[#This Row],[OD]],"-",scheduleapr[[#This Row],[ID]],"-",scheduleapr[[#This Row],[TICKNESS]],"-",scheduleapr[[#This Row],[Grade]],"-",scheduleapr[[#This Row],[FC/NFC]])</f>
        <v/>
      </c>
      <c r="R303" s="557">
        <f>_xlfn.CONCAT(scheduleapr[[#This Row],[Bucket]],"-",scheduleapr[[#This Row],[LENGTH]]/1000)</f>
        <v/>
      </c>
      <c r="S303" s="557">
        <f>COUNTIF(scheduleapr[CTL Bucket],scheduleapr[[#This Row],[CTL Bucket]])</f>
        <v/>
      </c>
      <c r="T303" s="601" t="inlineStr">
        <is>
          <t>Hosur</t>
        </is>
      </c>
      <c r="U303" s="601">
        <f>_xlfn.IFNA(VLOOKUP(scheduleapr[[#This Row],[Bucket]],salesforecast[[#All],[Bucket2]:[8406 Stock]],19,0),0)</f>
        <v/>
      </c>
      <c r="V303" s="562">
        <f>_xlfn.IFNA(VLOOKUP(scheduleapr[[#This Row],[Bucket]],salesforecast[[#All],[Bucket2]:[8406 Stock]],20,0),0)+_xlfn.IFNA(VLOOKUP(scheduleapr[[#This Row],[Bucket]],salesforecast[[#All],[Bucket2]:[8406 Stock]],17,0),0)</f>
        <v/>
      </c>
      <c r="W303" s="557" t="n"/>
      <c r="X303" s="599" t="n">
        <v>15.88</v>
      </c>
      <c r="Y303" s="599" t="n">
        <v>15.88</v>
      </c>
      <c r="Z303" s="599" t="n">
        <v>0</v>
      </c>
      <c r="AA303" s="599" t="n">
        <v>1</v>
      </c>
      <c r="AB303" s="600" t="n">
        <v>1234</v>
      </c>
      <c r="AC303" s="600" t="inlineStr">
        <is>
          <t>NOS</t>
        </is>
      </c>
      <c r="AD303" s="600" t="n"/>
      <c r="AE303" s="600" t="n"/>
      <c r="AF303" s="601" t="n">
        <v>10000</v>
      </c>
      <c r="AG303" s="601" t="inlineStr">
        <is>
          <t>Aug 2026 schedule · nmpl 1</t>
        </is>
      </c>
      <c r="AH303" s="601">
        <f t="array" ref="AH3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3" s="602">
        <f>scheduleapr[[#This Row],[SCHEDULE in nos]]-scheduleapr[[#This Row],[DISPATCH]]</f>
        <v/>
      </c>
      <c r="AJ303" s="599">
        <f>(3.14*(scheduleapr[[#This Row],[ACTUAL OD]]-scheduleapr[[#This Row],[TICKNESS]])*scheduleapr[[#This Row],[TICKNESS]]*scheduleapr[[#This Row],[LENGTH]]*7.85)/1000000*scheduleapr[[#This Row],[SCHEDULE in nos]]/1000</f>
        <v/>
      </c>
      <c r="AK303" s="599">
        <f>(3.14*(scheduleapr[[#This Row],[ACTUAL OD]]-scheduleapr[[#This Row],[TICKNESS]])*scheduleapr[[#This Row],[TICKNESS]]*scheduleapr[[#This Row],[LENGTH]]*7.85)/1000000*scheduleapr[[#This Row],[DISPATCH]]/1000</f>
        <v/>
      </c>
      <c r="AL303" s="599">
        <f>AJ303-AK303</f>
        <v/>
      </c>
      <c r="AM303" s="599">
        <f>scheduleapr[[#This Row],[SCHEDULE in nos]]/scheduleapr[[#This Row],[SCHEDULE IN MT]]*scheduleapr[[#This Row],[CTL Stock]]</f>
        <v/>
      </c>
      <c r="AN303" s="599">
        <f>SUMIFS(stock[MT],stock[Bucket],scheduleapr[[#This Row],[Bucket]],stock[CTL Bucket],scheduleapr[[#This Row],[CTL Bucket]],stock[Plant],"0789")</f>
        <v/>
      </c>
      <c r="AO303" s="599" t="n"/>
      <c r="AP303" s="599">
        <f>SUMIFS(stock[MT],stock[Bucket],scheduleapr[[#This Row],[Bucket]],stock[LL or CTL],"LL")</f>
        <v/>
      </c>
      <c r="AQ303" s="599">
        <f>+SUMIFS(wip[Stock(Net Wt)],wip[Bucket],scheduleapr[[#This Row],[Bucket]])/1000</f>
        <v/>
      </c>
      <c r="AR303" s="599">
        <f>AJ303-AN303</f>
        <v/>
      </c>
      <c r="AS303" s="118" t="n"/>
    </row>
    <row r="304">
      <c r="A304" s="594" t="n">
        <v>252</v>
      </c>
      <c r="B304" s="5" t="inlineStr">
        <is>
          <t>Hosur</t>
        </is>
      </c>
      <c r="C304" s="601" t="inlineStr">
        <is>
          <t>NMPL TVSM</t>
        </is>
      </c>
      <c r="D304" s="601" t="inlineStr">
        <is>
          <t>NMPL</t>
        </is>
      </c>
      <c r="E304" s="601" t="inlineStr">
        <is>
          <t>189226|930794</t>
        </is>
      </c>
      <c r="F304" s="601" t="n">
        <v>1941846</v>
      </c>
      <c r="G304" s="601">
        <f>_xlfn.CONCAT(scheduleapr[[#This Row],[CUSTOMER CODE]],"-",scheduleapr[[#This Row],[MATERIAL NO]])</f>
        <v/>
      </c>
      <c r="H304" s="601" t="inlineStr">
        <is>
          <t>TUB-E-O-AUT-AW-FC-15.88X1.000X1.6030</t>
        </is>
      </c>
      <c r="I304" s="601" t="inlineStr">
        <is>
          <t>ERW 1</t>
        </is>
      </c>
      <c r="J304" s="601" t="n"/>
      <c r="K304" s="601" t="inlineStr">
        <is>
          <t>PE</t>
        </is>
      </c>
      <c r="L304" s="601" t="inlineStr">
        <is>
          <t>HR</t>
        </is>
      </c>
      <c r="M304" s="601" t="n"/>
      <c r="N304" s="601" t="n"/>
      <c r="O304" s="601" t="n"/>
      <c r="P304" s="601" t="n"/>
      <c r="Q304" s="557">
        <f>CONCATENATE(scheduleapr[[#This Row],[OD]],"-",scheduleapr[[#This Row],[ID]],"-",scheduleapr[[#This Row],[TICKNESS]],"-",scheduleapr[[#This Row],[Grade]],"-",scheduleapr[[#This Row],[FC/NFC]])</f>
        <v/>
      </c>
      <c r="R304" s="557">
        <f>_xlfn.CONCAT(scheduleapr[[#This Row],[Bucket]],"-",scheduleapr[[#This Row],[LENGTH]]/1000)</f>
        <v/>
      </c>
      <c r="S304" s="557">
        <f>COUNTIF(scheduleapr[CTL Bucket],scheduleapr[[#This Row],[CTL Bucket]])</f>
        <v/>
      </c>
      <c r="T304" s="601" t="inlineStr">
        <is>
          <t>Hosur</t>
        </is>
      </c>
      <c r="U304" s="601">
        <f>_xlfn.IFNA(VLOOKUP(scheduleapr[[#This Row],[Bucket]],salesforecast[[#All],[Bucket2]:[8406 Stock]],19,0),0)</f>
        <v/>
      </c>
      <c r="V304" s="562">
        <f>_xlfn.IFNA(VLOOKUP(scheduleapr[[#This Row],[Bucket]],salesforecast[[#All],[Bucket2]:[8406 Stock]],20,0),0)+_xlfn.IFNA(VLOOKUP(scheduleapr[[#This Row],[Bucket]],salesforecast[[#All],[Bucket2]:[8406 Stock]],17,0),0)</f>
        <v/>
      </c>
      <c r="W304" s="557" t="n"/>
      <c r="X304" s="599" t="n">
        <v>15.88</v>
      </c>
      <c r="Y304" s="599" t="n">
        <v>15.88</v>
      </c>
      <c r="Z304" s="6" t="n">
        <v>0</v>
      </c>
      <c r="AA304" s="599" t="n">
        <v>1</v>
      </c>
      <c r="AB304" s="600" t="n">
        <v>1603</v>
      </c>
      <c r="AC304" s="600" t="inlineStr">
        <is>
          <t>NOS</t>
        </is>
      </c>
      <c r="AD304" s="600" t="n"/>
      <c r="AE304" s="600" t="n"/>
      <c r="AF304" s="601" t="n">
        <v>2000</v>
      </c>
      <c r="AG304" s="601" t="inlineStr">
        <is>
          <t>Aug 2026 schedule · nmpl 1</t>
        </is>
      </c>
      <c r="AH304" s="601">
        <f t="array" ref="AH3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4" s="602">
        <f>scheduleapr[[#This Row],[SCHEDULE in nos]]-scheduleapr[[#This Row],[DISPATCH]]</f>
        <v/>
      </c>
      <c r="AJ304" s="599">
        <f>(3.14*(scheduleapr[[#This Row],[ACTUAL OD]]-scheduleapr[[#This Row],[TICKNESS]])*scheduleapr[[#This Row],[TICKNESS]]*scheduleapr[[#This Row],[LENGTH]]*7.85)/1000000*scheduleapr[[#This Row],[SCHEDULE in nos]]/1000</f>
        <v/>
      </c>
      <c r="AK304" s="599">
        <f>(3.14*(scheduleapr[[#This Row],[ACTUAL OD]]-scheduleapr[[#This Row],[TICKNESS]])*scheduleapr[[#This Row],[TICKNESS]]*scheduleapr[[#This Row],[LENGTH]]*7.85)/1000000*scheduleapr[[#This Row],[DISPATCH]]/1000</f>
        <v/>
      </c>
      <c r="AL304" s="599">
        <f>AJ304-AK304</f>
        <v/>
      </c>
      <c r="AM304" s="599">
        <f>scheduleapr[[#This Row],[SCHEDULE in nos]]/scheduleapr[[#This Row],[SCHEDULE IN MT]]*scheduleapr[[#This Row],[CTL Stock]]</f>
        <v/>
      </c>
      <c r="AN304" s="599">
        <f>SUMIFS(stock[MT],stock[Bucket],scheduleapr[[#This Row],[Bucket]],stock[CTL Bucket],scheduleapr[[#This Row],[CTL Bucket]],stock[Plant],"0789")</f>
        <v/>
      </c>
      <c r="AO304" s="599" t="n"/>
      <c r="AP304" s="599">
        <f>SUMIFS(stock[MT],stock[Bucket],scheduleapr[[#This Row],[Bucket]],stock[LL or CTL],"LL")</f>
        <v/>
      </c>
      <c r="AQ304" s="599">
        <f>+SUMIFS(wip[Stock(Net Wt)],wip[Bucket],scheduleapr[[#This Row],[Bucket]])/1000</f>
        <v/>
      </c>
      <c r="AR304" s="599">
        <f>AJ304-AN304</f>
        <v/>
      </c>
      <c r="AS304" s="118" t="n"/>
    </row>
    <row r="305">
      <c r="A305" s="594" t="n">
        <v>253</v>
      </c>
      <c r="B305" s="5" t="inlineStr">
        <is>
          <t>Hosur</t>
        </is>
      </c>
      <c r="C305" s="601" t="inlineStr">
        <is>
          <t>NMPL TVSM</t>
        </is>
      </c>
      <c r="D305" s="601" t="inlineStr">
        <is>
          <t>NMPL</t>
        </is>
      </c>
      <c r="E305" s="601" t="inlineStr">
        <is>
          <t>189226|930794</t>
        </is>
      </c>
      <c r="F305" s="601" t="n">
        <v>1941847</v>
      </c>
      <c r="G305" s="601">
        <f>_xlfn.CONCAT(scheduleapr[[#This Row],[CUSTOMER CODE]],"-",scheduleapr[[#This Row],[MATERIAL NO]])</f>
        <v/>
      </c>
      <c r="H305" s="601" t="inlineStr">
        <is>
          <t>TUB-E-O-AUT-AW-FC-15.88X1.000X2.1850</t>
        </is>
      </c>
      <c r="I305" s="601" t="inlineStr">
        <is>
          <t>ERW 1</t>
        </is>
      </c>
      <c r="J305" s="601" t="n"/>
      <c r="K305" s="601" t="inlineStr">
        <is>
          <t>PE</t>
        </is>
      </c>
      <c r="L305" s="601" t="inlineStr">
        <is>
          <t>HR</t>
        </is>
      </c>
      <c r="M305" s="601" t="n"/>
      <c r="N305" s="601" t="n"/>
      <c r="O305" s="601" t="n"/>
      <c r="P305" s="601" t="n"/>
      <c r="Q305" s="557">
        <f>CONCATENATE(scheduleapr[[#This Row],[OD]],"-",scheduleapr[[#This Row],[ID]],"-",scheduleapr[[#This Row],[TICKNESS]],"-",scheduleapr[[#This Row],[Grade]],"-",scheduleapr[[#This Row],[FC/NFC]])</f>
        <v/>
      </c>
      <c r="R305" s="557">
        <f>_xlfn.CONCAT(scheduleapr[[#This Row],[Bucket]],"-",scheduleapr[[#This Row],[LENGTH]]/1000)</f>
        <v/>
      </c>
      <c r="S305" s="557">
        <f>COUNTIF(scheduleapr[CTL Bucket],scheduleapr[[#This Row],[CTL Bucket]])</f>
        <v/>
      </c>
      <c r="T305" s="601" t="inlineStr">
        <is>
          <t>Hosur</t>
        </is>
      </c>
      <c r="U305" s="601">
        <f>_xlfn.IFNA(VLOOKUP(scheduleapr[[#This Row],[Bucket]],salesforecast[[#All],[Bucket2]:[8406 Stock]],19,0),0)</f>
        <v/>
      </c>
      <c r="V305" s="562">
        <f>_xlfn.IFNA(VLOOKUP(scheduleapr[[#This Row],[Bucket]],salesforecast[[#All],[Bucket2]:[8406 Stock]],20,0),0)+_xlfn.IFNA(VLOOKUP(scheduleapr[[#This Row],[Bucket]],salesforecast[[#All],[Bucket2]:[8406 Stock]],17,0),0)</f>
        <v/>
      </c>
      <c r="W305" s="557" t="n"/>
      <c r="X305" s="599" t="n">
        <v>15.88</v>
      </c>
      <c r="Y305" s="599" t="n">
        <v>15.88</v>
      </c>
      <c r="Z305" s="599" t="n">
        <v>0</v>
      </c>
      <c r="AA305" s="599" t="n">
        <v>1</v>
      </c>
      <c r="AB305" s="600" t="n">
        <v>2185</v>
      </c>
      <c r="AC305" s="600" t="inlineStr">
        <is>
          <t>NOS</t>
        </is>
      </c>
      <c r="AD305" s="600" t="n"/>
      <c r="AE305" s="600" t="n"/>
      <c r="AF305" s="601" t="n">
        <v>1000</v>
      </c>
      <c r="AG305" s="601" t="inlineStr">
        <is>
          <t>Aug 2026 schedule · nmpl 1</t>
        </is>
      </c>
      <c r="AH305" s="601">
        <f t="array" ref="AH3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5" s="602">
        <f>scheduleapr[[#This Row],[SCHEDULE in nos]]-scheduleapr[[#This Row],[DISPATCH]]</f>
        <v/>
      </c>
      <c r="AJ305" s="599">
        <f>(3.14*(scheduleapr[[#This Row],[ACTUAL OD]]-scheduleapr[[#This Row],[TICKNESS]])*scheduleapr[[#This Row],[TICKNESS]]*scheduleapr[[#This Row],[LENGTH]]*7.85)/1000000*scheduleapr[[#This Row],[SCHEDULE in nos]]/1000</f>
        <v/>
      </c>
      <c r="AK305" s="599">
        <f>(3.14*(scheduleapr[[#This Row],[ACTUAL OD]]-scheduleapr[[#This Row],[TICKNESS]])*scheduleapr[[#This Row],[TICKNESS]]*scheduleapr[[#This Row],[LENGTH]]*7.85)/1000000*scheduleapr[[#This Row],[DISPATCH]]/1000</f>
        <v/>
      </c>
      <c r="AL305" s="599">
        <f>AJ305-AK305</f>
        <v/>
      </c>
      <c r="AM305" s="599">
        <f>scheduleapr[[#This Row],[SCHEDULE in nos]]/scheduleapr[[#This Row],[SCHEDULE IN MT]]*scheduleapr[[#This Row],[CTL Stock]]</f>
        <v/>
      </c>
      <c r="AN305" s="599">
        <f>SUMIFS(stock[MT],stock[Bucket],scheduleapr[[#This Row],[Bucket]],stock[CTL Bucket],scheduleapr[[#This Row],[CTL Bucket]],stock[Plant],"0789")</f>
        <v/>
      </c>
      <c r="AO305" s="599" t="n"/>
      <c r="AP305" s="599">
        <f>SUMIFS(stock[MT],stock[Bucket],scheduleapr[[#This Row],[Bucket]],stock[LL or CTL],"LL")</f>
        <v/>
      </c>
      <c r="AQ305" s="599">
        <f>+SUMIFS(wip[Stock(Net Wt)],wip[Bucket],scheduleapr[[#This Row],[Bucket]])/1000</f>
        <v/>
      </c>
      <c r="AR305" s="599">
        <f>AJ305-AN305</f>
        <v/>
      </c>
      <c r="AS305" s="118" t="n"/>
    </row>
    <row r="306">
      <c r="A306" s="594" t="n">
        <v>254</v>
      </c>
      <c r="B306" s="5" t="inlineStr">
        <is>
          <t>Hosur</t>
        </is>
      </c>
      <c r="C306" s="601" t="inlineStr">
        <is>
          <t>NMPL TVSM</t>
        </is>
      </c>
      <c r="D306" s="601" t="inlineStr">
        <is>
          <t>NMPL</t>
        </is>
      </c>
      <c r="E306" s="601" t="inlineStr">
        <is>
          <t>189226|930794</t>
        </is>
      </c>
      <c r="F306" s="601" t="n">
        <v>1941848</v>
      </c>
      <c r="G306" s="601">
        <f>_xlfn.CONCAT(scheduleapr[[#This Row],[CUSTOMER CODE]],"-",scheduleapr[[#This Row],[MATERIAL NO]])</f>
        <v/>
      </c>
      <c r="H306" s="601" t="inlineStr">
        <is>
          <t>TUB-E-O-AUT-AW-FC-15.88X1.000X2.4900</t>
        </is>
      </c>
      <c r="I306" s="601" t="inlineStr">
        <is>
          <t>ERW 1</t>
        </is>
      </c>
      <c r="J306" s="601" t="n"/>
      <c r="K306" s="601" t="inlineStr">
        <is>
          <t>PE</t>
        </is>
      </c>
      <c r="L306" s="601" t="inlineStr">
        <is>
          <t>HR</t>
        </is>
      </c>
      <c r="M306" s="601" t="n"/>
      <c r="N306" s="601" t="n"/>
      <c r="O306" s="601" t="n"/>
      <c r="P306" s="601" t="n"/>
      <c r="Q306" s="557">
        <f>CONCATENATE(scheduleapr[[#This Row],[OD]],"-",scheduleapr[[#This Row],[ID]],"-",scheduleapr[[#This Row],[TICKNESS]],"-",scheduleapr[[#This Row],[Grade]],"-",scheduleapr[[#This Row],[FC/NFC]])</f>
        <v/>
      </c>
      <c r="R306" s="557">
        <f>_xlfn.CONCAT(scheduleapr[[#This Row],[Bucket]],"-",scheduleapr[[#This Row],[LENGTH]]/1000)</f>
        <v/>
      </c>
      <c r="S306" s="557">
        <f>COUNTIF(scheduleapr[CTL Bucket],scheduleapr[[#This Row],[CTL Bucket]])</f>
        <v/>
      </c>
      <c r="T306" s="601" t="inlineStr">
        <is>
          <t>Hosur</t>
        </is>
      </c>
      <c r="U306" s="601">
        <f>_xlfn.IFNA(VLOOKUP(scheduleapr[[#This Row],[Bucket]],salesforecast[[#All],[Bucket2]:[8406 Stock]],19,0),0)</f>
        <v/>
      </c>
      <c r="V306" s="562">
        <f>_xlfn.IFNA(VLOOKUP(scheduleapr[[#This Row],[Bucket]],salesforecast[[#All],[Bucket2]:[8406 Stock]],20,0),0)+_xlfn.IFNA(VLOOKUP(scheduleapr[[#This Row],[Bucket]],salesforecast[[#All],[Bucket2]:[8406 Stock]],17,0),0)</f>
        <v/>
      </c>
      <c r="W306" s="557" t="n"/>
      <c r="X306" s="599" t="n">
        <v>15.88</v>
      </c>
      <c r="Y306" s="599" t="n">
        <v>15.88</v>
      </c>
      <c r="Z306" s="6" t="n">
        <v>0</v>
      </c>
      <c r="AA306" s="599" t="n">
        <v>1</v>
      </c>
      <c r="AB306" s="600" t="n">
        <v>2490</v>
      </c>
      <c r="AC306" s="600" t="inlineStr">
        <is>
          <t>NOS</t>
        </is>
      </c>
      <c r="AD306" s="600" t="n"/>
      <c r="AE306" s="600" t="n"/>
      <c r="AF306" s="601" t="n">
        <v>1000</v>
      </c>
      <c r="AG306" s="601" t="inlineStr">
        <is>
          <t>Aug 2026 schedule · nmpl 1</t>
        </is>
      </c>
      <c r="AH306" s="601">
        <f t="array" ref="AH3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6" s="602">
        <f>scheduleapr[[#This Row],[SCHEDULE in nos]]-scheduleapr[[#This Row],[DISPATCH]]</f>
        <v/>
      </c>
      <c r="AJ306" s="599">
        <f>(3.14*(scheduleapr[[#This Row],[ACTUAL OD]]-scheduleapr[[#This Row],[TICKNESS]])*scheduleapr[[#This Row],[TICKNESS]]*scheduleapr[[#This Row],[LENGTH]]*7.85)/1000000*scheduleapr[[#This Row],[SCHEDULE in nos]]/1000</f>
        <v/>
      </c>
      <c r="AK306" s="599">
        <f>(3.14*(scheduleapr[[#This Row],[ACTUAL OD]]-scheduleapr[[#This Row],[TICKNESS]])*scheduleapr[[#This Row],[TICKNESS]]*scheduleapr[[#This Row],[LENGTH]]*7.85)/1000000*scheduleapr[[#This Row],[DISPATCH]]/1000</f>
        <v/>
      </c>
      <c r="AL306" s="599">
        <f>AJ306-AK306</f>
        <v/>
      </c>
      <c r="AM306" s="599">
        <f>scheduleapr[[#This Row],[SCHEDULE in nos]]/scheduleapr[[#This Row],[SCHEDULE IN MT]]*scheduleapr[[#This Row],[CTL Stock]]</f>
        <v/>
      </c>
      <c r="AN306" s="599">
        <f>SUMIFS(stock[MT],stock[Bucket],scheduleapr[[#This Row],[Bucket]],stock[CTL Bucket],scheduleapr[[#This Row],[CTL Bucket]],stock[Plant],"0789")</f>
        <v/>
      </c>
      <c r="AO306" s="599" t="n"/>
      <c r="AP306" s="599">
        <f>SUMIFS(stock[MT],stock[Bucket],scheduleapr[[#This Row],[Bucket]],stock[LL or CTL],"LL")</f>
        <v/>
      </c>
      <c r="AQ306" s="599">
        <f>+SUMIFS(wip[Stock(Net Wt)],wip[Bucket],scheduleapr[[#This Row],[Bucket]])/1000</f>
        <v/>
      </c>
      <c r="AR306" s="599">
        <f>AJ306-AN306</f>
        <v/>
      </c>
      <c r="AS306" s="118" t="n"/>
    </row>
    <row r="307">
      <c r="A307" s="594" t="n">
        <v>255</v>
      </c>
      <c r="B307" s="5" t="inlineStr">
        <is>
          <t>Hosur</t>
        </is>
      </c>
      <c r="C307" s="601" t="inlineStr">
        <is>
          <t>NMPL TVSM</t>
        </is>
      </c>
      <c r="D307" s="601" t="inlineStr">
        <is>
          <t>NMPL</t>
        </is>
      </c>
      <c r="E307" s="601" t="inlineStr">
        <is>
          <t>189226|930794</t>
        </is>
      </c>
      <c r="F307" s="601" t="n">
        <v>3541434</v>
      </c>
      <c r="G307" s="601">
        <f>_xlfn.CONCAT(scheduleapr[[#This Row],[CUSTOMER CODE]],"-",scheduleapr[[#This Row],[MATERIAL NO]])</f>
        <v/>
      </c>
      <c r="H307" s="601" t="inlineStr">
        <is>
          <t>TUB-O-N-AUT-AW-PE-15.88X1.000X2.9050</t>
        </is>
      </c>
      <c r="I307" s="601" t="inlineStr">
        <is>
          <t>ERW 1</t>
        </is>
      </c>
      <c r="J307" s="601" t="n"/>
      <c r="K307" s="601" t="inlineStr">
        <is>
          <t>PE</t>
        </is>
      </c>
      <c r="L307" s="601" t="inlineStr">
        <is>
          <t>CR</t>
        </is>
      </c>
      <c r="M307" s="601" t="n"/>
      <c r="N307" s="601" t="n"/>
      <c r="O307" s="601" t="n"/>
      <c r="P307" s="601" t="n"/>
      <c r="Q307" s="557">
        <f>CONCATENATE(scheduleapr[[#This Row],[OD]],"-",scheduleapr[[#This Row],[ID]],"-",scheduleapr[[#This Row],[TICKNESS]],"-",scheduleapr[[#This Row],[Grade]],"-",scheduleapr[[#This Row],[FC/NFC]])</f>
        <v/>
      </c>
      <c r="R307" s="557">
        <f>_xlfn.CONCAT(scheduleapr[[#This Row],[Bucket]],"-",scheduleapr[[#This Row],[LENGTH]]/1000)</f>
        <v/>
      </c>
      <c r="S307" s="557">
        <f>COUNTIF(scheduleapr[CTL Bucket],scheduleapr[[#This Row],[CTL Bucket]])</f>
        <v/>
      </c>
      <c r="T307" s="601" t="inlineStr">
        <is>
          <t>Hosur</t>
        </is>
      </c>
      <c r="U307" s="601">
        <f>_xlfn.IFNA(VLOOKUP(scheduleapr[[#This Row],[Bucket]],salesforecast[[#All],[Bucket2]:[8406 Stock]],19,0),0)</f>
        <v/>
      </c>
      <c r="V307" s="562">
        <f>_xlfn.IFNA(VLOOKUP(scheduleapr[[#This Row],[Bucket]],salesforecast[[#All],[Bucket2]:[8406 Stock]],20,0),0)+_xlfn.IFNA(VLOOKUP(scheduleapr[[#This Row],[Bucket]],salesforecast[[#All],[Bucket2]:[8406 Stock]],17,0),0)</f>
        <v/>
      </c>
      <c r="W307" s="557" t="n"/>
      <c r="X307" s="599" t="n">
        <v>15.88</v>
      </c>
      <c r="Y307" s="599" t="n">
        <v>15.88</v>
      </c>
      <c r="Z307" s="6" t="n">
        <v>0</v>
      </c>
      <c r="AA307" s="599" t="n">
        <v>1</v>
      </c>
      <c r="AB307" s="600" t="n">
        <v>2905</v>
      </c>
      <c r="AC307" s="600" t="inlineStr">
        <is>
          <t>NOS</t>
        </is>
      </c>
      <c r="AD307" s="600" t="n"/>
      <c r="AE307" s="600" t="n"/>
      <c r="AF307" s="601" t="n">
        <v>3000</v>
      </c>
      <c r="AG307" s="601" t="inlineStr">
        <is>
          <t>Aug 2026 schedule · nmpl 1</t>
        </is>
      </c>
      <c r="AH307" s="601">
        <f t="array" ref="AH3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7" s="602">
        <f>scheduleapr[[#This Row],[SCHEDULE in nos]]-scheduleapr[[#This Row],[DISPATCH]]</f>
        <v/>
      </c>
      <c r="AJ307" s="599">
        <f>(3.14*(scheduleapr[[#This Row],[ACTUAL OD]]-scheduleapr[[#This Row],[TICKNESS]])*scheduleapr[[#This Row],[TICKNESS]]*scheduleapr[[#This Row],[LENGTH]]*7.85)/1000000*scheduleapr[[#This Row],[SCHEDULE in nos]]/1000</f>
        <v/>
      </c>
      <c r="AK307" s="599">
        <f>(3.14*(scheduleapr[[#This Row],[ACTUAL OD]]-scheduleapr[[#This Row],[TICKNESS]])*scheduleapr[[#This Row],[TICKNESS]]*scheduleapr[[#This Row],[LENGTH]]*7.85)/1000000*scheduleapr[[#This Row],[DISPATCH]]/1000</f>
        <v/>
      </c>
      <c r="AL307" s="599">
        <f>AJ307-AK307</f>
        <v/>
      </c>
      <c r="AM307" s="599">
        <f>scheduleapr[[#This Row],[SCHEDULE in nos]]/scheduleapr[[#This Row],[SCHEDULE IN MT]]*scheduleapr[[#This Row],[CTL Stock]]</f>
        <v/>
      </c>
      <c r="AN307" s="599">
        <f>SUMIFS(stock[MT],stock[Bucket],scheduleapr[[#This Row],[Bucket]],stock[CTL Bucket],scheduleapr[[#This Row],[CTL Bucket]],stock[Plant],"0789")</f>
        <v/>
      </c>
      <c r="AO307" s="599" t="n"/>
      <c r="AP307" s="599">
        <f>SUMIFS(stock[MT],stock[Bucket],scheduleapr[[#This Row],[Bucket]],stock[LL or CTL],"LL")</f>
        <v/>
      </c>
      <c r="AQ307" s="599">
        <f>+SUMIFS(wip[Stock(Net Wt)],wip[Bucket],scheduleapr[[#This Row],[Bucket]])/1000</f>
        <v/>
      </c>
      <c r="AR307" s="599">
        <f>AJ307-AN307</f>
        <v/>
      </c>
      <c r="AS307" s="118" t="n"/>
    </row>
    <row r="308">
      <c r="A308" s="556" t="n"/>
      <c r="B308" s="564" t="inlineStr">
        <is>
          <t>Khopli</t>
        </is>
      </c>
      <c r="C308" s="601" t="inlineStr">
        <is>
          <t>NMPL HUB</t>
        </is>
      </c>
      <c r="D308" s="601" t="inlineStr">
        <is>
          <t>NMPL</t>
        </is>
      </c>
      <c r="E308" s="601" t="inlineStr">
        <is>
          <t>930801|189227</t>
        </is>
      </c>
      <c r="F308" s="601" t="n">
        <v>1938195</v>
      </c>
      <c r="G308" s="601">
        <f>_xlfn.CONCAT(scheduleapr[[#This Row],[CUSTOMER CODE]],"-",scheduleapr[[#This Row],[MATERIAL NO]])</f>
        <v/>
      </c>
      <c r="H308" s="601" t="inlineStr">
        <is>
          <t>TUB-O-N-AUT-AW-PE-17.30X1.200X0.1500</t>
        </is>
      </c>
      <c r="I308" s="601" t="inlineStr">
        <is>
          <t>ERW 1</t>
        </is>
      </c>
      <c r="J308" s="557" t="n"/>
      <c r="K308" s="601" t="inlineStr">
        <is>
          <t>PE</t>
        </is>
      </c>
      <c r="L308" s="601" t="inlineStr">
        <is>
          <t>CR</t>
        </is>
      </c>
      <c r="M308" s="558" t="n"/>
      <c r="N308" s="557" t="n"/>
      <c r="O308" s="557" t="n"/>
      <c r="P308" s="557" t="n"/>
      <c r="Q308" s="557">
        <f>CONCATENATE(scheduleapr[[#This Row],[OD]],"-",scheduleapr[[#This Row],[ID]],"-",scheduleapr[[#This Row],[TICKNESS]],"-",scheduleapr[[#This Row],[Grade]],"-",scheduleapr[[#This Row],[FC/NFC]])</f>
        <v/>
      </c>
      <c r="R308" s="557">
        <f>_xlfn.CONCAT(scheduleapr[[#This Row],[Bucket]],"-",scheduleapr[[#This Row],[LENGTH]]/1000)</f>
        <v/>
      </c>
      <c r="S308" s="557">
        <f>COUNTIF(scheduleapr[CTL Bucket],scheduleapr[[#This Row],[CTL Bucket]])</f>
        <v/>
      </c>
      <c r="T308" s="601" t="inlineStr">
        <is>
          <t>Khopoli</t>
        </is>
      </c>
      <c r="U308" s="601">
        <f>_xlfn.IFNA(VLOOKUP(scheduleapr[[#This Row],[Bucket]],salesforecast[[#All],[Bucket2]:[8406 Stock]],19,0),0)</f>
        <v/>
      </c>
      <c r="V308" s="601" t="n"/>
      <c r="W308" s="601" t="n"/>
      <c r="X308" s="559" t="n">
        <v>17.3</v>
      </c>
      <c r="Y308" s="559" t="n">
        <v>17.3</v>
      </c>
      <c r="Z308" s="6" t="n">
        <v>0</v>
      </c>
      <c r="AA308" s="599" t="n">
        <v>1.2</v>
      </c>
      <c r="AB308" s="600" t="n">
        <v>150</v>
      </c>
      <c r="AC308" s="600" t="inlineStr">
        <is>
          <t>NOS</t>
        </is>
      </c>
      <c r="AD308" s="600" t="n"/>
      <c r="AE308" s="600" t="n"/>
      <c r="AF308" s="557" t="n">
        <v>38250</v>
      </c>
      <c r="AG308" s="557" t="inlineStr">
        <is>
          <t>Aug 2026 schedule · nmpl 1 + nmpl hub</t>
        </is>
      </c>
      <c r="AH308" s="601">
        <f t="array" ref="AH3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8" s="602">
        <f>scheduleapr[[#This Row],[SCHEDULE in nos]]-scheduleapr[[#This Row],[DISPATCH]]</f>
        <v/>
      </c>
      <c r="AJ308" s="559">
        <f>(3.14*(scheduleapr[[#This Row],[ACTUAL OD]]-scheduleapr[[#This Row],[TICKNESS]])*scheduleapr[[#This Row],[TICKNESS]]*scheduleapr[[#This Row],[LENGTH]]*7.85)/1000000*scheduleapr[[#This Row],[SCHEDULE in nos]]/1000</f>
        <v/>
      </c>
      <c r="AK308" s="599">
        <f>(3.14*(scheduleapr[[#This Row],[ACTUAL OD]]-scheduleapr[[#This Row],[TICKNESS]])*scheduleapr[[#This Row],[TICKNESS]]*scheduleapr[[#This Row],[LENGTH]]*7.85)/1000000*scheduleapr[[#This Row],[DISPATCH]]/1000</f>
        <v/>
      </c>
      <c r="AL308" s="599">
        <f>AJ308-AK308</f>
        <v/>
      </c>
      <c r="AM308" s="559">
        <f>scheduleapr[[#This Row],[SCHEDULE in nos]]/scheduleapr[[#This Row],[SCHEDULE IN MT]]*scheduleapr[[#This Row],[CTL Stock]]</f>
        <v/>
      </c>
      <c r="AN308" s="599">
        <f>SUMIFS(stock[MT],stock[Bucket],scheduleapr[[#This Row],[Bucket]],stock[CTL Bucket],scheduleapr[[#This Row],[CTL Bucket]],stock[Plant],"0789")</f>
        <v/>
      </c>
      <c r="AO308" s="599" t="n"/>
      <c r="AP308" s="599">
        <f>SUMIFS(stock[MT],stock[Bucket],scheduleapr[[#This Row],[Bucket]],stock[LL or CTL],"LL")</f>
        <v/>
      </c>
      <c r="AQ308" s="599">
        <f>+SUMIFS(wip[Stock(Net Wt)],wip[Bucket],scheduleapr[[#This Row],[Bucket]])/1000</f>
        <v/>
      </c>
      <c r="AR308" s="599">
        <f>AJ308-AN308</f>
        <v/>
      </c>
      <c r="AS308" s="118" t="n"/>
    </row>
    <row r="309">
      <c r="A309" s="594" t="n">
        <v>217</v>
      </c>
      <c r="B309" s="5" t="inlineStr">
        <is>
          <t xml:space="preserve">Khopoli </t>
        </is>
      </c>
      <c r="C309" s="601" t="inlineStr">
        <is>
          <t>NMPL TVSM</t>
        </is>
      </c>
      <c r="D309" s="601" t="inlineStr">
        <is>
          <t>NMPL</t>
        </is>
      </c>
      <c r="E309" s="601" t="inlineStr">
        <is>
          <t>930801|189227</t>
        </is>
      </c>
      <c r="F309" s="601" t="n">
        <v>1938195</v>
      </c>
      <c r="G309" s="601">
        <f>_xlfn.CONCAT(scheduleapr[[#This Row],[CUSTOMER CODE]],"-",scheduleapr[[#This Row],[MATERIAL NO]])</f>
        <v/>
      </c>
      <c r="H309" s="601" t="inlineStr">
        <is>
          <t>TUB-O-N-AUT-AW-PE-17.30X1.200X0.1500</t>
        </is>
      </c>
      <c r="I309" s="601" t="inlineStr">
        <is>
          <t>ERW 1</t>
        </is>
      </c>
      <c r="J309" s="601" t="n"/>
      <c r="K309" s="601" t="inlineStr">
        <is>
          <t>PE</t>
        </is>
      </c>
      <c r="L309" s="601" t="inlineStr">
        <is>
          <t>CR</t>
        </is>
      </c>
      <c r="M309" s="601" t="n"/>
      <c r="N309" s="601" t="n"/>
      <c r="O309" s="601" t="n"/>
      <c r="P309" s="601" t="n"/>
      <c r="Q309" s="557">
        <f>CONCATENATE(scheduleapr[[#This Row],[OD]],"-",scheduleapr[[#This Row],[ID]],"-",scheduleapr[[#This Row],[TICKNESS]],"-",scheduleapr[[#This Row],[Grade]],"-",scheduleapr[[#This Row],[FC/NFC]])</f>
        <v/>
      </c>
      <c r="R309" s="557">
        <f>_xlfn.CONCAT(scheduleapr[[#This Row],[Bucket]],"-",scheduleapr[[#This Row],[LENGTH]]/1000)</f>
        <v/>
      </c>
      <c r="S309" s="557">
        <f>COUNTIF(scheduleapr[CTL Bucket],scheduleapr[[#This Row],[CTL Bucket]])</f>
        <v/>
      </c>
      <c r="T309" s="601" t="inlineStr">
        <is>
          <t>Khopoli</t>
        </is>
      </c>
      <c r="U309" s="601">
        <f>_xlfn.IFNA(VLOOKUP(scheduleapr[[#This Row],[Bucket]],salesforecast[[#All],[Bucket2]:[8406 Stock]],19,0),0)</f>
        <v/>
      </c>
      <c r="V309" s="562">
        <f>_xlfn.IFNA(VLOOKUP(scheduleapr[[#This Row],[Bucket]],salesforecast[[#All],[Bucket2]:[8406 Stock]],20,0),0)+_xlfn.IFNA(VLOOKUP(scheduleapr[[#This Row],[Bucket]],salesforecast[[#All],[Bucket2]:[8406 Stock]],17,0),0)</f>
        <v/>
      </c>
      <c r="W309" s="557" t="n"/>
      <c r="X309" s="599" t="n">
        <v>17.3</v>
      </c>
      <c r="Y309" s="599" t="n">
        <v>17.3</v>
      </c>
      <c r="Z309" s="599" t="n">
        <v>0</v>
      </c>
      <c r="AA309" s="599" t="n">
        <v>1.2</v>
      </c>
      <c r="AB309" s="600" t="n">
        <v>150</v>
      </c>
      <c r="AC309" s="600" t="inlineStr">
        <is>
          <t>NOS</t>
        </is>
      </c>
      <c r="AD309" s="600" t="n"/>
      <c r="AE309" s="600" t="n"/>
      <c r="AF309" s="601" t="n"/>
      <c r="AG309" s="601" t="n"/>
      <c r="AH309" s="601">
        <f t="array" ref="AH3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09" s="602">
        <f>scheduleapr[[#This Row],[SCHEDULE in nos]]-scheduleapr[[#This Row],[DISPATCH]]</f>
        <v/>
      </c>
      <c r="AJ309" s="599">
        <f>(3.14*(scheduleapr[[#This Row],[ACTUAL OD]]-scheduleapr[[#This Row],[TICKNESS]])*scheduleapr[[#This Row],[TICKNESS]]*scheduleapr[[#This Row],[LENGTH]]*7.85)/1000000*scheduleapr[[#This Row],[SCHEDULE in nos]]/1000</f>
        <v/>
      </c>
      <c r="AK309" s="599">
        <f>(3.14*(scheduleapr[[#This Row],[ACTUAL OD]]-scheduleapr[[#This Row],[TICKNESS]])*scheduleapr[[#This Row],[TICKNESS]]*scheduleapr[[#This Row],[LENGTH]]*7.85)/1000000*scheduleapr[[#This Row],[DISPATCH]]/1000</f>
        <v/>
      </c>
      <c r="AL309" s="599">
        <f>AJ309-AK309</f>
        <v/>
      </c>
      <c r="AM309" s="599">
        <f>scheduleapr[[#This Row],[SCHEDULE in nos]]/scheduleapr[[#This Row],[SCHEDULE IN MT]]*scheduleapr[[#This Row],[CTL Stock]]</f>
        <v/>
      </c>
      <c r="AN309" s="599">
        <f>SUMIFS(stock[MT],stock[Bucket],scheduleapr[[#This Row],[Bucket]],stock[CTL Bucket],scheduleapr[[#This Row],[CTL Bucket]],stock[Plant],"0789")</f>
        <v/>
      </c>
      <c r="AO309" s="599" t="n"/>
      <c r="AP309" s="599">
        <f>SUMIFS(stock[MT],stock[Bucket],scheduleapr[[#This Row],[Bucket]],stock[LL or CTL],"LL")</f>
        <v/>
      </c>
      <c r="AQ309" s="599">
        <f>+SUMIFS(wip[Stock(Net Wt)],wip[Bucket],scheduleapr[[#This Row],[Bucket]])/1000</f>
        <v/>
      </c>
      <c r="AR309" s="599">
        <f>AJ309-AN309</f>
        <v/>
      </c>
      <c r="AS309" s="118" t="n"/>
    </row>
    <row r="310">
      <c r="A310" s="594" t="n">
        <v>218</v>
      </c>
      <c r="B310" s="5" t="inlineStr">
        <is>
          <t xml:space="preserve">Khopoli </t>
        </is>
      </c>
      <c r="C310" s="601" t="inlineStr">
        <is>
          <t>NMPL HUB</t>
        </is>
      </c>
      <c r="D310" s="601" t="inlineStr">
        <is>
          <t>NMPL</t>
        </is>
      </c>
      <c r="E310" s="601" t="inlineStr">
        <is>
          <t>930801|189227</t>
        </is>
      </c>
      <c r="F310" s="601" t="n">
        <v>1938116</v>
      </c>
      <c r="G310" s="601">
        <f>_xlfn.CONCAT(scheduleapr[[#This Row],[CUSTOMER CODE]],"-",scheduleapr[[#This Row],[MATERIAL NO]])</f>
        <v/>
      </c>
      <c r="H310" s="601" t="inlineStr">
        <is>
          <t>TUB-O-N-GEN-AW-PE-18.20X1.000X0.1100</t>
        </is>
      </c>
      <c r="I310" s="601" t="inlineStr">
        <is>
          <t>ERW 1</t>
        </is>
      </c>
      <c r="J310" s="601" t="n"/>
      <c r="K310" s="601" t="inlineStr">
        <is>
          <t>PE</t>
        </is>
      </c>
      <c r="L310" s="601" t="inlineStr">
        <is>
          <t>CR</t>
        </is>
      </c>
      <c r="M310" s="601" t="n"/>
      <c r="N310" s="601" t="n"/>
      <c r="O310" s="601" t="n"/>
      <c r="P310" s="601" t="n"/>
      <c r="Q310" s="557">
        <f>CONCATENATE(scheduleapr[[#This Row],[OD]],"-",scheduleapr[[#This Row],[ID]],"-",scheduleapr[[#This Row],[TICKNESS]],"-",scheduleapr[[#This Row],[Grade]],"-",scheduleapr[[#This Row],[FC/NFC]])</f>
        <v/>
      </c>
      <c r="R310" s="557">
        <f>_xlfn.CONCAT(scheduleapr[[#This Row],[Bucket]],"-",scheduleapr[[#This Row],[LENGTH]]/1000)</f>
        <v/>
      </c>
      <c r="S310" s="557">
        <f>COUNTIF(scheduleapr[CTL Bucket],scheduleapr[[#This Row],[CTL Bucket]])</f>
        <v/>
      </c>
      <c r="T310" s="601" t="inlineStr">
        <is>
          <t>Khopoli</t>
        </is>
      </c>
      <c r="U310" s="601">
        <f>_xlfn.IFNA(VLOOKUP(scheduleapr[[#This Row],[Bucket]],salesforecast[[#All],[Bucket2]:[8406 Stock]],19,0),0)</f>
        <v/>
      </c>
      <c r="V310" s="562">
        <f>_xlfn.IFNA(VLOOKUP(scheduleapr[[#This Row],[Bucket]],salesforecast[[#All],[Bucket2]:[8406 Stock]],20,0),0)+_xlfn.IFNA(VLOOKUP(scheduleapr[[#This Row],[Bucket]],salesforecast[[#All],[Bucket2]:[8406 Stock]],17,0),0)</f>
        <v/>
      </c>
      <c r="W310" s="557" t="n"/>
      <c r="X310" s="599" t="n">
        <v>18.2</v>
      </c>
      <c r="Y310" s="599" t="n">
        <v>18.2</v>
      </c>
      <c r="Z310" s="6" t="n">
        <v>0</v>
      </c>
      <c r="AA310" s="599" t="n">
        <v>1</v>
      </c>
      <c r="AB310" s="600" t="n">
        <v>110</v>
      </c>
      <c r="AC310" s="600" t="inlineStr">
        <is>
          <t>NOS</t>
        </is>
      </c>
      <c r="AD310" s="600" t="n"/>
      <c r="AE310" s="600" t="n"/>
      <c r="AF310" s="601" t="n">
        <v>14960</v>
      </c>
      <c r="AG310" s="601" t="inlineStr">
        <is>
          <t>Aug 2026 schedule · nmpl 1 + nmpl hub</t>
        </is>
      </c>
      <c r="AH310" s="601">
        <f t="array" ref="AH3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0" s="602">
        <f>scheduleapr[[#This Row],[SCHEDULE in nos]]-scheduleapr[[#This Row],[DISPATCH]]</f>
        <v/>
      </c>
      <c r="AJ310" s="599">
        <f>(3.14*(scheduleapr[[#This Row],[ACTUAL OD]]-scheduleapr[[#This Row],[TICKNESS]])*scheduleapr[[#This Row],[TICKNESS]]*scheduleapr[[#This Row],[LENGTH]]*7.85)/1000000*scheduleapr[[#This Row],[SCHEDULE in nos]]/1000</f>
        <v/>
      </c>
      <c r="AK310" s="599">
        <f>(3.14*(scheduleapr[[#This Row],[ACTUAL OD]]-scheduleapr[[#This Row],[TICKNESS]])*scheduleapr[[#This Row],[TICKNESS]]*scheduleapr[[#This Row],[LENGTH]]*7.85)/1000000*scheduleapr[[#This Row],[DISPATCH]]/1000</f>
        <v/>
      </c>
      <c r="AL310" s="599">
        <f>AJ310-AK310</f>
        <v/>
      </c>
      <c r="AM310" s="599">
        <f>scheduleapr[[#This Row],[SCHEDULE in nos]]/scheduleapr[[#This Row],[SCHEDULE IN MT]]*scheduleapr[[#This Row],[CTL Stock]]</f>
        <v/>
      </c>
      <c r="AN310" s="599">
        <f>SUMIFS(stock[MT],stock[Bucket],scheduleapr[[#This Row],[Bucket]],stock[CTL Bucket],scheduleapr[[#This Row],[CTL Bucket]],stock[Plant],"0789")</f>
        <v/>
      </c>
      <c r="AO310" s="599" t="n"/>
      <c r="AP310" s="599">
        <f>SUMIFS(stock[MT],stock[Bucket],scheduleapr[[#This Row],[Bucket]],stock[LL or CTL],"LL")</f>
        <v/>
      </c>
      <c r="AQ310" s="599">
        <f>+SUMIFS(wip[Stock(Net Wt)],wip[Bucket],scheduleapr[[#This Row],[Bucket]])/1000</f>
        <v/>
      </c>
      <c r="AR310" s="599">
        <f>AJ310-AN310</f>
        <v/>
      </c>
      <c r="AS310" s="118" t="n"/>
    </row>
    <row r="311">
      <c r="A311" s="594" t="n">
        <v>256</v>
      </c>
      <c r="B311" s="5" t="inlineStr">
        <is>
          <t xml:space="preserve">Khopoli </t>
        </is>
      </c>
      <c r="C311" s="601" t="inlineStr">
        <is>
          <t>NMPL TVSM</t>
        </is>
      </c>
      <c r="D311" s="601" t="inlineStr">
        <is>
          <t>NMPL</t>
        </is>
      </c>
      <c r="E311" s="601" t="inlineStr">
        <is>
          <t>189226|930794</t>
        </is>
      </c>
      <c r="F311" s="601" t="n">
        <v>1938116</v>
      </c>
      <c r="G311" s="601">
        <f>_xlfn.CONCAT(scheduleapr[[#This Row],[CUSTOMER CODE]],"-",scheduleapr[[#This Row],[MATERIAL NO]])</f>
        <v/>
      </c>
      <c r="H311" s="601" t="inlineStr">
        <is>
          <t>TUB-O-N-GEN-AW-PE-18.20X1.000X0.1100</t>
        </is>
      </c>
      <c r="I311" s="601" t="inlineStr">
        <is>
          <t>ERW 1</t>
        </is>
      </c>
      <c r="J311" s="601" t="n"/>
      <c r="K311" s="601" t="inlineStr">
        <is>
          <t>PE</t>
        </is>
      </c>
      <c r="L311" s="601" t="inlineStr">
        <is>
          <t>CR</t>
        </is>
      </c>
      <c r="M311" s="601" t="n"/>
      <c r="N311" s="601" t="n"/>
      <c r="O311" s="601" t="n"/>
      <c r="P311" s="601" t="n"/>
      <c r="Q311" s="557">
        <f>CONCATENATE(scheduleapr[[#This Row],[OD]],"-",scheduleapr[[#This Row],[ID]],"-",scheduleapr[[#This Row],[TICKNESS]],"-",scheduleapr[[#This Row],[Grade]],"-",scheduleapr[[#This Row],[FC/NFC]])</f>
        <v/>
      </c>
      <c r="R311" s="557">
        <f>_xlfn.CONCAT(scheduleapr[[#This Row],[Bucket]],"-",scheduleapr[[#This Row],[LENGTH]]/1000)</f>
        <v/>
      </c>
      <c r="S311" s="557">
        <f>COUNTIF(scheduleapr[CTL Bucket],scheduleapr[[#This Row],[CTL Bucket]])</f>
        <v/>
      </c>
      <c r="T311" s="601" t="inlineStr">
        <is>
          <t>Khopoli</t>
        </is>
      </c>
      <c r="U311" s="601">
        <f>_xlfn.IFNA(VLOOKUP(scheduleapr[[#This Row],[Bucket]],salesforecast[[#All],[Bucket2]:[8406 Stock]],19,0),0)</f>
        <v/>
      </c>
      <c r="V311" s="562">
        <f>_xlfn.IFNA(VLOOKUP(scheduleapr[[#This Row],[Bucket]],salesforecast[[#All],[Bucket2]:[8406 Stock]],20,0),0)+_xlfn.IFNA(VLOOKUP(scheduleapr[[#This Row],[Bucket]],salesforecast[[#All],[Bucket2]:[8406 Stock]],17,0),0)</f>
        <v/>
      </c>
      <c r="W311" s="557" t="n"/>
      <c r="X311" s="599" t="n">
        <v>18.2</v>
      </c>
      <c r="Y311" s="599" t="n">
        <v>18.2</v>
      </c>
      <c r="Z311" s="6" t="n">
        <v>0</v>
      </c>
      <c r="AA311" s="599" t="n">
        <v>1</v>
      </c>
      <c r="AB311" s="600" t="n">
        <v>110</v>
      </c>
      <c r="AC311" s="600" t="inlineStr">
        <is>
          <t>NOS</t>
        </is>
      </c>
      <c r="AD311" s="600" t="n"/>
      <c r="AE311" s="600" t="n"/>
      <c r="AF311" s="601" t="n"/>
      <c r="AG311" s="601" t="n"/>
      <c r="AH311" s="601">
        <f t="array" ref="AH3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1" s="602">
        <f>scheduleapr[[#This Row],[SCHEDULE in nos]]-scheduleapr[[#This Row],[DISPATCH]]</f>
        <v/>
      </c>
      <c r="AJ311" s="599">
        <f>(3.14*(scheduleapr[[#This Row],[ACTUAL OD]]-scheduleapr[[#This Row],[TICKNESS]])*scheduleapr[[#This Row],[TICKNESS]]*scheduleapr[[#This Row],[LENGTH]]*7.85)/1000000*scheduleapr[[#This Row],[SCHEDULE in nos]]/1000</f>
        <v/>
      </c>
      <c r="AK311" s="599">
        <f>(3.14*(scheduleapr[[#This Row],[ACTUAL OD]]-scheduleapr[[#This Row],[TICKNESS]])*scheduleapr[[#This Row],[TICKNESS]]*scheduleapr[[#This Row],[LENGTH]]*7.85)/1000000*scheduleapr[[#This Row],[DISPATCH]]/1000</f>
        <v/>
      </c>
      <c r="AL311" s="599">
        <f>AJ311-AK311</f>
        <v/>
      </c>
      <c r="AM311" s="599">
        <f>scheduleapr[[#This Row],[SCHEDULE in nos]]/scheduleapr[[#This Row],[SCHEDULE IN MT]]*scheduleapr[[#This Row],[CTL Stock]]</f>
        <v/>
      </c>
      <c r="AN311" s="599">
        <f>SUMIFS(stock[MT],stock[Bucket],scheduleapr[[#This Row],[Bucket]],stock[CTL Bucket],scheduleapr[[#This Row],[CTL Bucket]],stock[Plant],"0789")</f>
        <v/>
      </c>
      <c r="AO311" s="599" t="n"/>
      <c r="AP311" s="599">
        <f>SUMIFS(stock[MT],stock[Bucket],scheduleapr[[#This Row],[Bucket]],stock[LL or CTL],"LL")</f>
        <v/>
      </c>
      <c r="AQ311" s="599">
        <f>+SUMIFS(wip[Stock(Net Wt)],wip[Bucket],scheduleapr[[#This Row],[Bucket]])/1000</f>
        <v/>
      </c>
      <c r="AR311" s="599">
        <f>AJ311-AN311</f>
        <v/>
      </c>
      <c r="AS311" s="118" t="n"/>
    </row>
    <row r="312">
      <c r="A312" s="594" t="n">
        <v>219</v>
      </c>
      <c r="B312" s="5" t="inlineStr">
        <is>
          <t xml:space="preserve">Khopoli </t>
        </is>
      </c>
      <c r="C312" s="601" t="inlineStr">
        <is>
          <t>NMPL TVSM</t>
        </is>
      </c>
      <c r="D312" s="601" t="inlineStr">
        <is>
          <t>NMPL</t>
        </is>
      </c>
      <c r="E312" s="601" t="inlineStr">
        <is>
          <t>930801|189227</t>
        </is>
      </c>
      <c r="F312" s="601" t="n">
        <v>1938117</v>
      </c>
      <c r="G312" s="601">
        <f>_xlfn.CONCAT(scheduleapr[[#This Row],[CUSTOMER CODE]],"-",scheduleapr[[#This Row],[MATERIAL NO]])</f>
        <v/>
      </c>
      <c r="H312" s="601" t="inlineStr">
        <is>
          <t>TUB-O-N-GEN-AW-PE-18.20X1.000X0.1450</t>
        </is>
      </c>
      <c r="I312" s="601" t="inlineStr">
        <is>
          <t>ERW 1</t>
        </is>
      </c>
      <c r="J312" s="601" t="n"/>
      <c r="K312" s="601" t="inlineStr">
        <is>
          <t>PE</t>
        </is>
      </c>
      <c r="L312" s="601" t="inlineStr">
        <is>
          <t>CR</t>
        </is>
      </c>
      <c r="M312" s="601" t="n"/>
      <c r="N312" s="601" t="n"/>
      <c r="O312" s="601" t="n"/>
      <c r="P312" s="601" t="n"/>
      <c r="Q312" s="557">
        <f>CONCATENATE(scheduleapr[[#This Row],[OD]],"-",scheduleapr[[#This Row],[ID]],"-",scheduleapr[[#This Row],[TICKNESS]],"-",scheduleapr[[#This Row],[Grade]],"-",scheduleapr[[#This Row],[FC/NFC]])</f>
        <v/>
      </c>
      <c r="R312" s="557">
        <f>_xlfn.CONCAT(scheduleapr[[#This Row],[Bucket]],"-",scheduleapr[[#This Row],[LENGTH]]/1000)</f>
        <v/>
      </c>
      <c r="S312" s="557">
        <f>COUNTIF(scheduleapr[CTL Bucket],scheduleapr[[#This Row],[CTL Bucket]])</f>
        <v/>
      </c>
      <c r="T312" s="601" t="inlineStr">
        <is>
          <t>Khopoli</t>
        </is>
      </c>
      <c r="U312" s="601">
        <f>_xlfn.IFNA(VLOOKUP(scheduleapr[[#This Row],[Bucket]],salesforecast[[#All],[Bucket2]:[8406 Stock]],19,0),0)</f>
        <v/>
      </c>
      <c r="V312" s="562">
        <f>_xlfn.IFNA(VLOOKUP(scheduleapr[[#This Row],[Bucket]],salesforecast[[#All],[Bucket2]:[8406 Stock]],20,0),0)+_xlfn.IFNA(VLOOKUP(scheduleapr[[#This Row],[Bucket]],salesforecast[[#All],[Bucket2]:[8406 Stock]],17,0),0)</f>
        <v/>
      </c>
      <c r="W312" s="557" t="n"/>
      <c r="X312" s="599" t="n">
        <v>18.2</v>
      </c>
      <c r="Y312" s="599" t="n">
        <v>18.2</v>
      </c>
      <c r="Z312" s="599" t="n">
        <v>0</v>
      </c>
      <c r="AA312" s="599" t="n">
        <v>1</v>
      </c>
      <c r="AB312" s="600" t="n">
        <v>145</v>
      </c>
      <c r="AC312" s="600" t="inlineStr">
        <is>
          <t>NOS</t>
        </is>
      </c>
      <c r="AD312" s="600" t="n"/>
      <c r="AE312" s="600" t="n"/>
      <c r="AF312" s="601" t="n">
        <v>16020</v>
      </c>
      <c r="AG312" s="601" t="inlineStr">
        <is>
          <t>Aug 2026 schedule · nmpl 1 + nmpl hub</t>
        </is>
      </c>
      <c r="AH312" s="601">
        <f t="array" ref="AH3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2" s="602">
        <f>scheduleapr[[#This Row],[SCHEDULE in nos]]-scheduleapr[[#This Row],[DISPATCH]]</f>
        <v/>
      </c>
      <c r="AJ312" s="599">
        <f>(3.14*(scheduleapr[[#This Row],[ACTUAL OD]]-scheduleapr[[#This Row],[TICKNESS]])*scheduleapr[[#This Row],[TICKNESS]]*scheduleapr[[#This Row],[LENGTH]]*7.85)/1000000*scheduleapr[[#This Row],[SCHEDULE in nos]]/1000</f>
        <v/>
      </c>
      <c r="AK312" s="599">
        <f>(3.14*(scheduleapr[[#This Row],[ACTUAL OD]]-scheduleapr[[#This Row],[TICKNESS]])*scheduleapr[[#This Row],[TICKNESS]]*scheduleapr[[#This Row],[LENGTH]]*7.85)/1000000*scheduleapr[[#This Row],[DISPATCH]]/1000</f>
        <v/>
      </c>
      <c r="AL312" s="599">
        <f>AJ312-AK312</f>
        <v/>
      </c>
      <c r="AM312" s="599">
        <f>scheduleapr[[#This Row],[SCHEDULE in nos]]/scheduleapr[[#This Row],[SCHEDULE IN MT]]*scheduleapr[[#This Row],[CTL Stock]]</f>
        <v/>
      </c>
      <c r="AN312" s="599">
        <f>SUMIFS(stock[MT],stock[Bucket],scheduleapr[[#This Row],[Bucket]],stock[CTL Bucket],scheduleapr[[#This Row],[CTL Bucket]],stock[Plant],"0789")</f>
        <v/>
      </c>
      <c r="AO312" s="599" t="n"/>
      <c r="AP312" s="599">
        <f>SUMIFS(stock[MT],stock[Bucket],scheduleapr[[#This Row],[Bucket]],stock[LL or CTL],"LL")</f>
        <v/>
      </c>
      <c r="AQ312" s="599">
        <f>+SUMIFS(wip[Stock(Net Wt)],wip[Bucket],scheduleapr[[#This Row],[Bucket]])/1000</f>
        <v/>
      </c>
      <c r="AR312" s="599">
        <f>AJ312-AN312</f>
        <v/>
      </c>
      <c r="AS312" s="118" t="n"/>
    </row>
    <row r="313">
      <c r="A313" s="556" t="n"/>
      <c r="B313" s="5" t="inlineStr">
        <is>
          <t xml:space="preserve">Khopoli </t>
        </is>
      </c>
      <c r="C313" s="601" t="inlineStr">
        <is>
          <t>NMPL HUB</t>
        </is>
      </c>
      <c r="D313" s="601" t="inlineStr">
        <is>
          <t>NMPL</t>
        </is>
      </c>
      <c r="E313" s="601" t="inlineStr">
        <is>
          <t>930801|189227</t>
        </is>
      </c>
      <c r="F313" s="601" t="n">
        <v>1938117</v>
      </c>
      <c r="G313" s="601">
        <f>_xlfn.CONCAT(scheduleapr[[#This Row],[CUSTOMER CODE]],"-",scheduleapr[[#This Row],[MATERIAL NO]])</f>
        <v/>
      </c>
      <c r="H313" s="601" t="inlineStr">
        <is>
          <t>TUB-O-N-GEN-AW-PE-18.20X1.000X0.1450</t>
        </is>
      </c>
      <c r="I313" s="557" t="inlineStr">
        <is>
          <t>ERW 1</t>
        </is>
      </c>
      <c r="J313" s="557" t="n"/>
      <c r="K313" s="601" t="inlineStr">
        <is>
          <t>PE</t>
        </is>
      </c>
      <c r="L313" s="601" t="inlineStr">
        <is>
          <t>CR</t>
        </is>
      </c>
      <c r="M313" s="558" t="n"/>
      <c r="N313" s="557" t="n"/>
      <c r="O313" s="557" t="n"/>
      <c r="P313" s="557" t="n"/>
      <c r="Q313" s="557">
        <f>CONCATENATE(scheduleapr[[#This Row],[OD]],"-",scheduleapr[[#This Row],[ID]],"-",scheduleapr[[#This Row],[TICKNESS]],"-",scheduleapr[[#This Row],[Grade]],"-",scheduleapr[[#This Row],[FC/NFC]])</f>
        <v/>
      </c>
      <c r="R313" s="557">
        <f>_xlfn.CONCAT(scheduleapr[[#This Row],[Bucket]],"-",scheduleapr[[#This Row],[LENGTH]]/1000)</f>
        <v/>
      </c>
      <c r="S313" s="557">
        <f>COUNTIF(scheduleapr[CTL Bucket],scheduleapr[[#This Row],[CTL Bucket]])</f>
        <v/>
      </c>
      <c r="T313" s="601" t="inlineStr">
        <is>
          <t>Khopoli</t>
        </is>
      </c>
      <c r="U313" s="601">
        <f>_xlfn.IFNA(VLOOKUP(scheduleapr[[#This Row],[Bucket]],salesforecast[[#All],[Bucket2]:[8406 Stock]],19,0),0)</f>
        <v/>
      </c>
      <c r="V313" s="562">
        <f>_xlfn.IFNA(VLOOKUP(scheduleapr[[#This Row],[Bucket]],salesforecast[[#All],[Bucket2]:[8406 Stock]],20,0),0)+_xlfn.IFNA(VLOOKUP(scheduleapr[[#This Row],[Bucket]],salesforecast[[#All],[Bucket2]:[8406 Stock]],17,0),0)</f>
        <v/>
      </c>
      <c r="W313" s="601" t="n"/>
      <c r="X313" s="559" t="n">
        <v>18.2</v>
      </c>
      <c r="Y313" s="559" t="n">
        <v>18.2</v>
      </c>
      <c r="Z313" s="599" t="n">
        <v>0</v>
      </c>
      <c r="AA313" s="599" t="n">
        <v>1</v>
      </c>
      <c r="AB313" s="600" t="n">
        <v>145</v>
      </c>
      <c r="AC313" s="600" t="inlineStr">
        <is>
          <t>NOS</t>
        </is>
      </c>
      <c r="AD313" s="600" t="n"/>
      <c r="AE313" s="600" t="n"/>
      <c r="AF313" s="557" t="n"/>
      <c r="AG313" s="557" t="n"/>
      <c r="AH313" s="601">
        <f t="array" ref="AH3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3" s="602">
        <f>scheduleapr[[#This Row],[SCHEDULE in nos]]-scheduleapr[[#This Row],[DISPATCH]]</f>
        <v/>
      </c>
      <c r="AJ313" s="559">
        <f>(3.14*(scheduleapr[[#This Row],[ACTUAL OD]]-scheduleapr[[#This Row],[TICKNESS]])*scheduleapr[[#This Row],[TICKNESS]]*scheduleapr[[#This Row],[LENGTH]]*7.85)/1000000*scheduleapr[[#This Row],[SCHEDULE in nos]]/1000</f>
        <v/>
      </c>
      <c r="AK313" s="599">
        <f>(3.14*(scheduleapr[[#This Row],[ACTUAL OD]]-scheduleapr[[#This Row],[TICKNESS]])*scheduleapr[[#This Row],[TICKNESS]]*scheduleapr[[#This Row],[LENGTH]]*7.85)/1000000*scheduleapr[[#This Row],[DISPATCH]]/1000</f>
        <v/>
      </c>
      <c r="AL313" s="599">
        <f>AJ313-AK313</f>
        <v/>
      </c>
      <c r="AM313" s="559">
        <f>scheduleapr[[#This Row],[SCHEDULE in nos]]/scheduleapr[[#This Row],[SCHEDULE IN MT]]*scheduleapr[[#This Row],[CTL Stock]]</f>
        <v/>
      </c>
      <c r="AN313" s="599">
        <f>SUMIFS(stock[MT],stock[Bucket],scheduleapr[[#This Row],[Bucket]],stock[CTL Bucket],scheduleapr[[#This Row],[CTL Bucket]],stock[Plant],"0789")</f>
        <v/>
      </c>
      <c r="AO313" s="599" t="n"/>
      <c r="AP313" s="599">
        <f>SUMIFS(stock[MT],stock[Bucket],scheduleapr[[#This Row],[Bucket]],stock[LL or CTL],"LL")</f>
        <v/>
      </c>
      <c r="AQ313" s="599">
        <f>+SUMIFS(wip[Stock(Net Wt)],wip[Bucket],scheduleapr[[#This Row],[Bucket]])/1000</f>
        <v/>
      </c>
      <c r="AR313" s="599">
        <f>AJ313-AN313</f>
        <v/>
      </c>
      <c r="AS313" s="118" t="n"/>
    </row>
    <row r="314">
      <c r="A314" s="594" t="n">
        <v>257</v>
      </c>
      <c r="B314" s="5" t="inlineStr">
        <is>
          <t>Hosur</t>
        </is>
      </c>
      <c r="C314" s="601" t="inlineStr">
        <is>
          <t>NMPL TVSM</t>
        </is>
      </c>
      <c r="D314" s="601" t="inlineStr">
        <is>
          <t>NMPL</t>
        </is>
      </c>
      <c r="E314" s="601" t="inlineStr">
        <is>
          <t>189226|930794</t>
        </is>
      </c>
      <c r="F314" s="601" t="n">
        <v>3518158</v>
      </c>
      <c r="G314" s="601">
        <f>_xlfn.CONCAT(scheduleapr[[#This Row],[CUSTOMER CODE]],"-",scheduleapr[[#This Row],[MATERIAL NO]])</f>
        <v/>
      </c>
      <c r="H314" s="601" t="inlineStr">
        <is>
          <t>TUB-O-N-AUT-AW-PE-19.05X1.020X1.0950</t>
        </is>
      </c>
      <c r="I314" s="601" t="inlineStr">
        <is>
          <t>ERW 1</t>
        </is>
      </c>
      <c r="J314" s="601" t="n"/>
      <c r="K314" s="601" t="inlineStr">
        <is>
          <t>PE</t>
        </is>
      </c>
      <c r="L314" s="601" t="inlineStr">
        <is>
          <t>CR</t>
        </is>
      </c>
      <c r="M314" s="601" t="n"/>
      <c r="N314" s="601" t="n"/>
      <c r="O314" s="601" t="n"/>
      <c r="P314" s="601" t="n"/>
      <c r="Q314" s="557">
        <f>CONCATENATE(scheduleapr[[#This Row],[OD]],"-",scheduleapr[[#This Row],[ID]],"-",scheduleapr[[#This Row],[TICKNESS]],"-",scheduleapr[[#This Row],[Grade]],"-",scheduleapr[[#This Row],[FC/NFC]])</f>
        <v/>
      </c>
      <c r="R314" s="557">
        <f>_xlfn.CONCAT(scheduleapr[[#This Row],[Bucket]],"-",scheduleapr[[#This Row],[LENGTH]]/1000)</f>
        <v/>
      </c>
      <c r="S314" s="557">
        <f>COUNTIF(scheduleapr[CTL Bucket],scheduleapr[[#This Row],[CTL Bucket]])</f>
        <v/>
      </c>
      <c r="T314" s="601" t="inlineStr">
        <is>
          <t>Hosur</t>
        </is>
      </c>
      <c r="U314" s="601">
        <f>_xlfn.IFNA(VLOOKUP(scheduleapr[[#This Row],[Bucket]],salesforecast[[#All],[Bucket2]:[8406 Stock]],19,0),0)</f>
        <v/>
      </c>
      <c r="V314" s="562">
        <f>_xlfn.IFNA(VLOOKUP(scheduleapr[[#This Row],[Bucket]],salesforecast[[#All],[Bucket2]:[8406 Stock]],20,0),0)+_xlfn.IFNA(VLOOKUP(scheduleapr[[#This Row],[Bucket]],salesforecast[[#All],[Bucket2]:[8406 Stock]],17,0),0)</f>
        <v/>
      </c>
      <c r="W314" s="557" t="n"/>
      <c r="X314" s="599" t="n">
        <v>19.05</v>
      </c>
      <c r="Y314" s="599" t="n">
        <v>19.05</v>
      </c>
      <c r="Z314" s="6" t="n">
        <v>0</v>
      </c>
      <c r="AA314" s="599" t="n">
        <v>1</v>
      </c>
      <c r="AB314" s="600" t="n">
        <v>1095</v>
      </c>
      <c r="AC314" s="600" t="inlineStr">
        <is>
          <t>NOS</t>
        </is>
      </c>
      <c r="AD314" s="600" t="n"/>
      <c r="AE314" s="600" t="n"/>
      <c r="AF314" s="601" t="n"/>
      <c r="AG314" s="601" t="n"/>
      <c r="AH314" s="601">
        <f t="array" ref="AH3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4" s="602">
        <f>scheduleapr[[#This Row],[SCHEDULE in nos]]-scheduleapr[[#This Row],[DISPATCH]]</f>
        <v/>
      </c>
      <c r="AJ314" s="599">
        <f>(3.14*(scheduleapr[[#This Row],[ACTUAL OD]]-scheduleapr[[#This Row],[TICKNESS]])*scheduleapr[[#This Row],[TICKNESS]]*scheduleapr[[#This Row],[LENGTH]]*7.85)/1000000*scheduleapr[[#This Row],[SCHEDULE in nos]]/1000</f>
        <v/>
      </c>
      <c r="AK314" s="599">
        <f>(3.14*(scheduleapr[[#This Row],[ACTUAL OD]]-scheduleapr[[#This Row],[TICKNESS]])*scheduleapr[[#This Row],[TICKNESS]]*scheduleapr[[#This Row],[LENGTH]]*7.85)/1000000*scheduleapr[[#This Row],[DISPATCH]]/1000</f>
        <v/>
      </c>
      <c r="AL314" s="599">
        <f>AJ314-AK314</f>
        <v/>
      </c>
      <c r="AM314" s="599">
        <f>scheduleapr[[#This Row],[SCHEDULE in nos]]/scheduleapr[[#This Row],[SCHEDULE IN MT]]*scheduleapr[[#This Row],[CTL Stock]]</f>
        <v/>
      </c>
      <c r="AN314" s="599">
        <f>SUMIFS(stock[MT],stock[Bucket],scheduleapr[[#This Row],[Bucket]],stock[CTL Bucket],scheduleapr[[#This Row],[CTL Bucket]],stock[Plant],"0789")</f>
        <v/>
      </c>
      <c r="AO314" s="599" t="n"/>
      <c r="AP314" s="599">
        <f>SUMIFS(stock[MT],stock[Bucket],scheduleapr[[#This Row],[Bucket]],stock[LL or CTL],"LL")</f>
        <v/>
      </c>
      <c r="AQ314" s="599">
        <f>+SUMIFS(wip[Stock(Net Wt)],wip[Bucket],scheduleapr[[#This Row],[Bucket]])/1000</f>
        <v/>
      </c>
      <c r="AR314" s="599">
        <f>AJ314-AN314</f>
        <v/>
      </c>
      <c r="AS314" s="118" t="n"/>
    </row>
    <row r="315">
      <c r="A315" s="556" t="n"/>
      <c r="B315" s="5" t="inlineStr">
        <is>
          <t>Hosur</t>
        </is>
      </c>
      <c r="C315" s="601" t="inlineStr">
        <is>
          <t>NMPL TVSM</t>
        </is>
      </c>
      <c r="D315" s="601" t="inlineStr">
        <is>
          <t>NMPL</t>
        </is>
      </c>
      <c r="E315" s="601" t="inlineStr">
        <is>
          <t>189226|930794</t>
        </is>
      </c>
      <c r="F315" s="557" t="n"/>
      <c r="G315" s="601">
        <f>_xlfn.CONCAT(scheduleapr[[#This Row],[CUSTOMER CODE]],"-",scheduleapr[[#This Row],[MATERIAL NO]])</f>
        <v/>
      </c>
      <c r="H315" s="557" t="n"/>
      <c r="I315" s="601" t="inlineStr">
        <is>
          <t>ERW 1</t>
        </is>
      </c>
      <c r="J315" s="557" t="n"/>
      <c r="K315" s="601" t="inlineStr">
        <is>
          <t>PE</t>
        </is>
      </c>
      <c r="L315" s="557" t="n"/>
      <c r="M315" s="558" t="n"/>
      <c r="N315" s="557" t="n"/>
      <c r="O315" s="557" t="n"/>
      <c r="P315" s="557" t="n"/>
      <c r="Q315" s="15" t="inlineStr">
        <is>
          <t>19.05-0-1.2-ERW 1-PE</t>
        </is>
      </c>
      <c r="R315" s="557">
        <f>_xlfn.CONCAT(scheduleapr[[#This Row],[Bucket]],"-",scheduleapr[[#This Row],[LENGTH]]/1000)</f>
        <v/>
      </c>
      <c r="S315" s="557" t="n"/>
      <c r="T315" s="601" t="n"/>
      <c r="U315" s="601">
        <f>_xlfn.IFNA(VLOOKUP(scheduleapr[[#This Row],[Bucket]],salesforecast[[#All],[Bucket2]:[8406 Stock]],19,0),0)</f>
        <v/>
      </c>
      <c r="V315" s="562">
        <f>_xlfn.IFNA(VLOOKUP(scheduleapr[[#This Row],[Bucket]],salesforecast[[#All],[Bucket2]:[8406 Stock]],20,0),0)+_xlfn.IFNA(VLOOKUP(scheduleapr[[#This Row],[Bucket]],salesforecast[[#All],[Bucket2]:[8406 Stock]],17,0),0)</f>
        <v/>
      </c>
      <c r="W315" s="601" t="n"/>
      <c r="X315" s="599" t="n">
        <v>19.05</v>
      </c>
      <c r="Y315" s="599" t="n">
        <v>19.05</v>
      </c>
      <c r="Z315" s="599" t="n">
        <v>0</v>
      </c>
      <c r="AA315" s="599" t="n">
        <v>1.2</v>
      </c>
      <c r="AB315" s="600" t="n">
        <v>258</v>
      </c>
      <c r="AC315" s="600" t="inlineStr">
        <is>
          <t>NOS</t>
        </is>
      </c>
      <c r="AD315" s="600" t="n"/>
      <c r="AE315" s="600" t="n"/>
      <c r="AF315" s="557" t="n">
        <v>2500</v>
      </c>
      <c r="AG315" s="557" t="inlineStr">
        <is>
          <t>Aug 2026 schedule · nmpl 1</t>
        </is>
      </c>
      <c r="AH315" s="601">
        <f t="array" ref="AH3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5" s="602">
        <f>scheduleapr[[#This Row],[SCHEDULE in nos]]-scheduleapr[[#This Row],[DISPATCH]]</f>
        <v/>
      </c>
      <c r="AJ315" s="559">
        <f>(3.14*(scheduleapr[[#This Row],[ACTUAL OD]]-scheduleapr[[#This Row],[TICKNESS]])*scheduleapr[[#This Row],[TICKNESS]]*scheduleapr[[#This Row],[LENGTH]]*7.85)/1000000*scheduleapr[[#This Row],[SCHEDULE in nos]]/1000</f>
        <v/>
      </c>
      <c r="AK315" s="599">
        <f>(3.14*(scheduleapr[[#This Row],[ACTUAL OD]]-scheduleapr[[#This Row],[TICKNESS]])*scheduleapr[[#This Row],[TICKNESS]]*scheduleapr[[#This Row],[LENGTH]]*7.85)/1000000*scheduleapr[[#This Row],[DISPATCH]]/1000</f>
        <v/>
      </c>
      <c r="AL315" s="599">
        <f>AJ315-AK315</f>
        <v/>
      </c>
      <c r="AM315" s="559">
        <f>scheduleapr[[#This Row],[SCHEDULE in nos]]/scheduleapr[[#This Row],[SCHEDULE IN MT]]*scheduleapr[[#This Row],[CTL Stock]]</f>
        <v/>
      </c>
      <c r="AN315" s="599">
        <f>SUMIFS(stock[MT],stock[Bucket],scheduleapr[[#This Row],[Bucket]],stock[CTL Bucket],scheduleapr[[#This Row],[CTL Bucket]],stock[Plant],"0789")</f>
        <v/>
      </c>
      <c r="AO315" s="599" t="n"/>
      <c r="AP315" s="599">
        <f>SUMIFS(stock[MT],stock[Bucket],scheduleapr[[#This Row],[Bucket]],stock[LL or CTL],"LL")</f>
        <v/>
      </c>
      <c r="AQ315" s="599">
        <f>+SUMIFS(wip[Stock(Net Wt)],wip[Bucket],scheduleapr[[#This Row],[Bucket]])/1000</f>
        <v/>
      </c>
      <c r="AR315" s="599">
        <f>AJ315-AN315</f>
        <v/>
      </c>
      <c r="AS315" s="118" t="n"/>
    </row>
    <row r="316">
      <c r="A316" s="594" t="n">
        <v>258</v>
      </c>
      <c r="B316" s="5" t="inlineStr">
        <is>
          <t>Hosur</t>
        </is>
      </c>
      <c r="C316" s="601" t="inlineStr">
        <is>
          <t>NMPL TVSM</t>
        </is>
      </c>
      <c r="D316" s="601" t="inlineStr">
        <is>
          <t>NMPL</t>
        </is>
      </c>
      <c r="E316" s="601" t="inlineStr">
        <is>
          <t>189226|930794</t>
        </is>
      </c>
      <c r="F316" s="601" t="n">
        <v>1940188</v>
      </c>
      <c r="G316" s="601">
        <f>_xlfn.CONCAT(scheduleapr[[#This Row],[CUSTOMER CODE]],"-",scheduleapr[[#This Row],[MATERIAL NO]])</f>
        <v/>
      </c>
      <c r="H316" s="601" t="inlineStr">
        <is>
          <t>TUB-O-O-AUT-AW-PE-19.05X1.200X0.6310</t>
        </is>
      </c>
      <c r="I316" s="601" t="inlineStr">
        <is>
          <t>ERW 1</t>
        </is>
      </c>
      <c r="J316" s="601" t="n"/>
      <c r="K316" s="601" t="inlineStr">
        <is>
          <t>PE</t>
        </is>
      </c>
      <c r="L316" s="601" t="inlineStr">
        <is>
          <t>HR</t>
        </is>
      </c>
      <c r="M316" s="601" t="n"/>
      <c r="N316" s="601" t="n"/>
      <c r="O316" s="601" t="n"/>
      <c r="P316" s="601" t="n"/>
      <c r="Q316" s="557">
        <f>CONCATENATE(scheduleapr[[#This Row],[OD]],"-",scheduleapr[[#This Row],[ID]],"-",scheduleapr[[#This Row],[TICKNESS]],"-",scheduleapr[[#This Row],[Grade]],"-",scheduleapr[[#This Row],[FC/NFC]])</f>
        <v/>
      </c>
      <c r="R316" s="557">
        <f>_xlfn.CONCAT(scheduleapr[[#This Row],[Bucket]],"-",scheduleapr[[#This Row],[LENGTH]]/1000)</f>
        <v/>
      </c>
      <c r="S316" s="557">
        <f>COUNTIF(scheduleapr[CTL Bucket],scheduleapr[[#This Row],[CTL Bucket]])</f>
        <v/>
      </c>
      <c r="T316" s="601" t="inlineStr">
        <is>
          <t>Hosur</t>
        </is>
      </c>
      <c r="U316" s="601">
        <f>_xlfn.IFNA(VLOOKUP(scheduleapr[[#This Row],[Bucket]],salesforecast[[#All],[Bucket2]:[8406 Stock]],19,0),0)</f>
        <v/>
      </c>
      <c r="V316" s="562">
        <f>_xlfn.IFNA(VLOOKUP(scheduleapr[[#This Row],[Bucket]],salesforecast[[#All],[Bucket2]:[8406 Stock]],20,0),0)+_xlfn.IFNA(VLOOKUP(scheduleapr[[#This Row],[Bucket]],salesforecast[[#All],[Bucket2]:[8406 Stock]],17,0),0)</f>
        <v/>
      </c>
      <c r="W316" s="557" t="n"/>
      <c r="X316" s="599" t="n">
        <v>19.05</v>
      </c>
      <c r="Y316" s="599" t="n">
        <v>19.05</v>
      </c>
      <c r="Z316" s="599" t="n">
        <v>0</v>
      </c>
      <c r="AA316" s="599" t="n">
        <v>1.2</v>
      </c>
      <c r="AB316" s="600" t="n">
        <v>631</v>
      </c>
      <c r="AC316" s="600" t="inlineStr">
        <is>
          <t>NOS</t>
        </is>
      </c>
      <c r="AD316" s="600" t="n"/>
      <c r="AE316" s="600" t="n"/>
      <c r="AF316" s="601" t="n">
        <v>14000</v>
      </c>
      <c r="AG316" s="601" t="inlineStr">
        <is>
          <t>Aug 2026 schedule · nmpl 1</t>
        </is>
      </c>
      <c r="AH316" s="601">
        <f t="array" ref="AH3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6" s="602">
        <f>scheduleapr[[#This Row],[SCHEDULE in nos]]-scheduleapr[[#This Row],[DISPATCH]]</f>
        <v/>
      </c>
      <c r="AJ316" s="599">
        <f>(3.14*(scheduleapr[[#This Row],[ACTUAL OD]]-scheduleapr[[#This Row],[TICKNESS]])*scheduleapr[[#This Row],[TICKNESS]]*scheduleapr[[#This Row],[LENGTH]]*7.85)/1000000*scheduleapr[[#This Row],[SCHEDULE in nos]]/1000</f>
        <v/>
      </c>
      <c r="AK316" s="599">
        <f>(3.14*(scheduleapr[[#This Row],[ACTUAL OD]]-scheduleapr[[#This Row],[TICKNESS]])*scheduleapr[[#This Row],[TICKNESS]]*scheduleapr[[#This Row],[LENGTH]]*7.85)/1000000*scheduleapr[[#This Row],[DISPATCH]]/1000</f>
        <v/>
      </c>
      <c r="AL316" s="599">
        <f>AJ316-AK316</f>
        <v/>
      </c>
      <c r="AM316" s="599">
        <f>scheduleapr[[#This Row],[SCHEDULE in nos]]/scheduleapr[[#This Row],[SCHEDULE IN MT]]*scheduleapr[[#This Row],[CTL Stock]]</f>
        <v/>
      </c>
      <c r="AN316" s="599">
        <f>SUMIFS(stock[MT],stock[Bucket],scheduleapr[[#This Row],[Bucket]],stock[CTL Bucket],scheduleapr[[#This Row],[CTL Bucket]],stock[Plant],"0789")</f>
        <v/>
      </c>
      <c r="AO316" s="599" t="n"/>
      <c r="AP316" s="599">
        <f>SUMIFS(stock[MT],stock[Bucket],scheduleapr[[#This Row],[Bucket]],stock[LL or CTL],"LL")</f>
        <v/>
      </c>
      <c r="AQ316" s="599">
        <f>+SUMIFS(wip[Stock(Net Wt)],wip[Bucket],scheduleapr[[#This Row],[Bucket]])/1000</f>
        <v/>
      </c>
      <c r="AR316" s="599">
        <f>AJ316-AN316</f>
        <v/>
      </c>
      <c r="AS316" s="118" t="n"/>
    </row>
    <row r="317">
      <c r="A317" s="594" t="n">
        <v>259</v>
      </c>
      <c r="B317" s="5" t="inlineStr">
        <is>
          <t>Hosur</t>
        </is>
      </c>
      <c r="C317" s="601" t="inlineStr">
        <is>
          <t>NMPL TVSM</t>
        </is>
      </c>
      <c r="D317" s="601" t="inlineStr">
        <is>
          <t>NMPL</t>
        </is>
      </c>
      <c r="E317" s="601" t="inlineStr">
        <is>
          <t>189226|930794</t>
        </is>
      </c>
      <c r="F317" s="601" t="n">
        <v>1940189</v>
      </c>
      <c r="G317" s="601">
        <f>_xlfn.CONCAT(scheduleapr[[#This Row],[CUSTOMER CODE]],"-",scheduleapr[[#This Row],[MATERIAL NO]])</f>
        <v/>
      </c>
      <c r="H317" s="601" t="inlineStr">
        <is>
          <t>TUB-O-O-AUT-AW-PE-19.05X1.200X0.6800</t>
        </is>
      </c>
      <c r="I317" s="601" t="inlineStr">
        <is>
          <t>ERW 1</t>
        </is>
      </c>
      <c r="J317" s="601" t="n"/>
      <c r="K317" s="601" t="inlineStr">
        <is>
          <t>PE</t>
        </is>
      </c>
      <c r="L317" s="601" t="inlineStr">
        <is>
          <t>CR</t>
        </is>
      </c>
      <c r="M317" s="601" t="n"/>
      <c r="N317" s="601" t="n"/>
      <c r="O317" s="601" t="n"/>
      <c r="P317" s="601" t="n"/>
      <c r="Q317" s="557">
        <f>CONCATENATE(scheduleapr[[#This Row],[OD]],"-",scheduleapr[[#This Row],[ID]],"-",scheduleapr[[#This Row],[TICKNESS]],"-",scheduleapr[[#This Row],[Grade]],"-",scheduleapr[[#This Row],[FC/NFC]])</f>
        <v/>
      </c>
      <c r="R317" s="557">
        <f>_xlfn.CONCAT(scheduleapr[[#This Row],[Bucket]],"-",scheduleapr[[#This Row],[LENGTH]]/1000)</f>
        <v/>
      </c>
      <c r="S317" s="557">
        <f>COUNTIF(scheduleapr[CTL Bucket],scheduleapr[[#This Row],[CTL Bucket]])</f>
        <v/>
      </c>
      <c r="T317" s="601" t="inlineStr">
        <is>
          <t>Hosur</t>
        </is>
      </c>
      <c r="U317" s="601">
        <f>_xlfn.IFNA(VLOOKUP(scheduleapr[[#This Row],[Bucket]],salesforecast[[#All],[Bucket2]:[8406 Stock]],19,0),0)</f>
        <v/>
      </c>
      <c r="V317" s="562">
        <f>_xlfn.IFNA(VLOOKUP(scheduleapr[[#This Row],[Bucket]],salesforecast[[#All],[Bucket2]:[8406 Stock]],20,0),0)+_xlfn.IFNA(VLOOKUP(scheduleapr[[#This Row],[Bucket]],salesforecast[[#All],[Bucket2]:[8406 Stock]],17,0),0)</f>
        <v/>
      </c>
      <c r="W317" s="557" t="n"/>
      <c r="X317" s="599" t="n">
        <v>19.05</v>
      </c>
      <c r="Y317" s="599" t="n">
        <v>19.05</v>
      </c>
      <c r="Z317" s="599" t="n">
        <v>0</v>
      </c>
      <c r="AA317" s="599" t="n">
        <v>1.2</v>
      </c>
      <c r="AB317" s="600" t="n">
        <v>680</v>
      </c>
      <c r="AC317" s="600" t="inlineStr">
        <is>
          <t>NOS</t>
        </is>
      </c>
      <c r="AD317" s="600" t="n"/>
      <c r="AE317" s="600" t="n"/>
      <c r="AF317" s="601" t="n">
        <v>6000</v>
      </c>
      <c r="AG317" s="601" t="inlineStr">
        <is>
          <t>Aug 2026 schedule · nmpl 1</t>
        </is>
      </c>
      <c r="AH317" s="601">
        <f t="array" ref="AH3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7" s="602">
        <f>scheduleapr[[#This Row],[SCHEDULE in nos]]-scheduleapr[[#This Row],[DISPATCH]]</f>
        <v/>
      </c>
      <c r="AJ317" s="599">
        <f>(3.14*(scheduleapr[[#This Row],[ACTUAL OD]]-scheduleapr[[#This Row],[TICKNESS]])*scheduleapr[[#This Row],[TICKNESS]]*scheduleapr[[#This Row],[LENGTH]]*7.85)/1000000*scheduleapr[[#This Row],[SCHEDULE in nos]]/1000</f>
        <v/>
      </c>
      <c r="AK317" s="599">
        <f>(3.14*(scheduleapr[[#This Row],[ACTUAL OD]]-scheduleapr[[#This Row],[TICKNESS]])*scheduleapr[[#This Row],[TICKNESS]]*scheduleapr[[#This Row],[LENGTH]]*7.85)/1000000*scheduleapr[[#This Row],[DISPATCH]]/1000</f>
        <v/>
      </c>
      <c r="AL317" s="599">
        <f>AJ317-AK317</f>
        <v/>
      </c>
      <c r="AM317" s="599">
        <f>scheduleapr[[#This Row],[SCHEDULE in nos]]/scheduleapr[[#This Row],[SCHEDULE IN MT]]*scheduleapr[[#This Row],[CTL Stock]]</f>
        <v/>
      </c>
      <c r="AN317" s="599">
        <f>SUMIFS(stock[MT],stock[Bucket],scheduleapr[[#This Row],[Bucket]],stock[CTL Bucket],scheduleapr[[#This Row],[CTL Bucket]],stock[Plant],"0789")</f>
        <v/>
      </c>
      <c r="AO317" s="599" t="n"/>
      <c r="AP317" s="599">
        <f>SUMIFS(stock[MT],stock[Bucket],scheduleapr[[#This Row],[Bucket]],stock[LL or CTL],"LL")</f>
        <v/>
      </c>
      <c r="AQ317" s="599">
        <f>+SUMIFS(wip[Stock(Net Wt)],wip[Bucket],scheduleapr[[#This Row],[Bucket]])/1000</f>
        <v/>
      </c>
      <c r="AR317" s="599">
        <f>AJ317-AN317</f>
        <v/>
      </c>
      <c r="AS317" s="118" t="n"/>
    </row>
    <row r="318">
      <c r="A318" s="556" t="n"/>
      <c r="B318" s="5" t="inlineStr">
        <is>
          <t>Hosur</t>
        </is>
      </c>
      <c r="C318" s="601" t="inlineStr">
        <is>
          <t>NMPL TVSM</t>
        </is>
      </c>
      <c r="D318" s="601" t="inlineStr">
        <is>
          <t>NMPL</t>
        </is>
      </c>
      <c r="E318" s="601" t="inlineStr">
        <is>
          <t>189226|930794</t>
        </is>
      </c>
      <c r="F318" s="557" t="n"/>
      <c r="G318" s="601">
        <f>_xlfn.CONCAT(scheduleapr[[#This Row],[CUSTOMER CODE]],"-",scheduleapr[[#This Row],[MATERIAL NO]])</f>
        <v/>
      </c>
      <c r="H318" s="557" t="n"/>
      <c r="I318" s="601" t="inlineStr">
        <is>
          <t>ERW 1</t>
        </is>
      </c>
      <c r="J318" s="557" t="n"/>
      <c r="K318" s="601" t="inlineStr">
        <is>
          <t>PE</t>
        </is>
      </c>
      <c r="L318" s="557" t="n"/>
      <c r="M318" s="558" t="n"/>
      <c r="N318" s="557" t="n"/>
      <c r="O318" s="557" t="n"/>
      <c r="P318" s="557" t="n"/>
      <c r="Q318" s="15" t="inlineStr">
        <is>
          <t>19.05-0-1.2-ERW 1-PE</t>
        </is>
      </c>
      <c r="R318" s="557">
        <f>_xlfn.CONCAT(scheduleapr[[#This Row],[Bucket]],"-",scheduleapr[[#This Row],[LENGTH]]/1000)</f>
        <v/>
      </c>
      <c r="S318" s="557" t="n"/>
      <c r="T318" s="601" t="n"/>
      <c r="U318" s="601">
        <f>_xlfn.IFNA(VLOOKUP(scheduleapr[[#This Row],[Bucket]],salesforecast[[#All],[Bucket2]:[8406 Stock]],19,0),0)</f>
        <v/>
      </c>
      <c r="V318" s="562">
        <f>_xlfn.IFNA(VLOOKUP(scheduleapr[[#This Row],[Bucket]],salesforecast[[#All],[Bucket2]:[8406 Stock]],20,0),0)+_xlfn.IFNA(VLOOKUP(scheduleapr[[#This Row],[Bucket]],salesforecast[[#All],[Bucket2]:[8406 Stock]],17,0),0)</f>
        <v/>
      </c>
      <c r="W318" s="601" t="n"/>
      <c r="X318" s="599" t="n">
        <v>19.05</v>
      </c>
      <c r="Y318" s="599" t="n">
        <v>19.05</v>
      </c>
      <c r="Z318" s="599" t="n">
        <v>0</v>
      </c>
      <c r="AA318" s="599" t="n">
        <v>1.2</v>
      </c>
      <c r="AB318" s="600" t="n">
        <v>1615</v>
      </c>
      <c r="AC318" s="600" t="inlineStr">
        <is>
          <t>NOS</t>
        </is>
      </c>
      <c r="AD318" s="600" t="n"/>
      <c r="AE318" s="600" t="n"/>
      <c r="AF318" s="557" t="n">
        <v>500</v>
      </c>
      <c r="AG318" s="557" t="inlineStr">
        <is>
          <t>Aug 2026 schedule · nmpl 1</t>
        </is>
      </c>
      <c r="AH318" s="601">
        <f t="array" ref="AH3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8" s="602">
        <f>scheduleapr[[#This Row],[SCHEDULE in nos]]-scheduleapr[[#This Row],[DISPATCH]]</f>
        <v/>
      </c>
      <c r="AJ318" s="559">
        <f>(3.14*(scheduleapr[[#This Row],[ACTUAL OD]]-scheduleapr[[#This Row],[TICKNESS]])*scheduleapr[[#This Row],[TICKNESS]]*scheduleapr[[#This Row],[LENGTH]]*7.85)/1000000*scheduleapr[[#This Row],[SCHEDULE in nos]]/1000</f>
        <v/>
      </c>
      <c r="AK318" s="599">
        <f>(3.14*(scheduleapr[[#This Row],[ACTUAL OD]]-scheduleapr[[#This Row],[TICKNESS]])*scheduleapr[[#This Row],[TICKNESS]]*scheduleapr[[#This Row],[LENGTH]]*7.85)/1000000*scheduleapr[[#This Row],[DISPATCH]]/1000</f>
        <v/>
      </c>
      <c r="AL318" s="599">
        <f>AJ318-AK318</f>
        <v/>
      </c>
      <c r="AM318" s="559">
        <f>scheduleapr[[#This Row],[SCHEDULE in nos]]/scheduleapr[[#This Row],[SCHEDULE IN MT]]*scheduleapr[[#This Row],[CTL Stock]]</f>
        <v/>
      </c>
      <c r="AN318" s="599">
        <f>SUMIFS(stock[MT],stock[Bucket],scheduleapr[[#This Row],[Bucket]],stock[CTL Bucket],scheduleapr[[#This Row],[CTL Bucket]],stock[Plant],"0789")</f>
        <v/>
      </c>
      <c r="AO318" s="599" t="n"/>
      <c r="AP318" s="599">
        <f>SUMIFS(stock[MT],stock[Bucket],scheduleapr[[#This Row],[Bucket]],stock[LL or CTL],"LL")</f>
        <v/>
      </c>
      <c r="AQ318" s="599">
        <f>+SUMIFS(wip[Stock(Net Wt)],wip[Bucket],scheduleapr[[#This Row],[Bucket]])/1000</f>
        <v/>
      </c>
      <c r="AR318" s="599">
        <f>AJ318-AN318</f>
        <v/>
      </c>
      <c r="AS318" s="118" t="n"/>
    </row>
    <row r="319">
      <c r="A319" s="594" t="n">
        <v>260</v>
      </c>
      <c r="B319" s="5" t="inlineStr">
        <is>
          <t>Hosur</t>
        </is>
      </c>
      <c r="C319" s="601" t="inlineStr">
        <is>
          <t>NMPL TVSM</t>
        </is>
      </c>
      <c r="D319" s="601" t="inlineStr">
        <is>
          <t>NMPL</t>
        </is>
      </c>
      <c r="E319" s="601" t="inlineStr">
        <is>
          <t>189226|930794</t>
        </is>
      </c>
      <c r="F319" s="601" t="n">
        <v>236341</v>
      </c>
      <c r="G319" s="601">
        <f>_xlfn.CONCAT(scheduleapr[[#This Row],[CUSTOMER CODE]],"-",scheduleapr[[#This Row],[MATERIAL NO]])</f>
        <v/>
      </c>
      <c r="H319" s="601" t="inlineStr">
        <is>
          <t>TUB-O-N-AUT-AW-PE-19.05X1.600X0.610</t>
        </is>
      </c>
      <c r="I319" s="601" t="inlineStr">
        <is>
          <t>ERW 1</t>
        </is>
      </c>
      <c r="J319" s="601" t="n"/>
      <c r="K319" s="601" t="inlineStr">
        <is>
          <t>PE</t>
        </is>
      </c>
      <c r="L319" s="601" t="inlineStr">
        <is>
          <t>HR</t>
        </is>
      </c>
      <c r="M319" s="601" t="n"/>
      <c r="N319" s="601" t="n"/>
      <c r="O319" s="601" t="n"/>
      <c r="P319" s="601" t="n"/>
      <c r="Q319" s="557">
        <f>CONCATENATE(scheduleapr[[#This Row],[OD]],"-",scheduleapr[[#This Row],[ID]],"-",scheduleapr[[#This Row],[TICKNESS]],"-",scheduleapr[[#This Row],[Grade]],"-",scheduleapr[[#This Row],[FC/NFC]])</f>
        <v/>
      </c>
      <c r="R319" s="557">
        <f>_xlfn.CONCAT(scheduleapr[[#This Row],[Bucket]],"-",scheduleapr[[#This Row],[LENGTH]]/1000)</f>
        <v/>
      </c>
      <c r="S319" s="557">
        <f>COUNTIF(scheduleapr[CTL Bucket],scheduleapr[[#This Row],[CTL Bucket]])</f>
        <v/>
      </c>
      <c r="T319" s="601" t="inlineStr">
        <is>
          <t>Hosur</t>
        </is>
      </c>
      <c r="U319" s="601">
        <f>_xlfn.IFNA(VLOOKUP(scheduleapr[[#This Row],[Bucket]],salesforecast[[#All],[Bucket2]:[8406 Stock]],19,0),0)</f>
        <v/>
      </c>
      <c r="V319" s="562">
        <f>_xlfn.IFNA(VLOOKUP(scheduleapr[[#This Row],[Bucket]],salesforecast[[#All],[Bucket2]:[8406 Stock]],20,0),0)+_xlfn.IFNA(VLOOKUP(scheduleapr[[#This Row],[Bucket]],salesforecast[[#All],[Bucket2]:[8406 Stock]],17,0),0)</f>
        <v/>
      </c>
      <c r="W319" s="557" t="n"/>
      <c r="X319" s="599" t="n">
        <v>19.05</v>
      </c>
      <c r="Y319" s="599" t="n">
        <v>19.05</v>
      </c>
      <c r="Z319" s="599" t="n">
        <v>0</v>
      </c>
      <c r="AA319" s="599" t="n">
        <v>1.6</v>
      </c>
      <c r="AB319" s="600" t="n">
        <v>610</v>
      </c>
      <c r="AC319" s="600" t="inlineStr">
        <is>
          <t>NOS</t>
        </is>
      </c>
      <c r="AD319" s="600" t="n"/>
      <c r="AE319" s="600" t="n"/>
      <c r="AF319" s="601" t="n">
        <v>2000</v>
      </c>
      <c r="AG319" s="601" t="inlineStr">
        <is>
          <t>Aug 2026 schedule · nmpl 1</t>
        </is>
      </c>
      <c r="AH319" s="601">
        <f t="array" ref="AH3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19" s="602">
        <f>scheduleapr[[#This Row],[SCHEDULE in nos]]-scheduleapr[[#This Row],[DISPATCH]]</f>
        <v/>
      </c>
      <c r="AJ319" s="599">
        <f>(3.14*(scheduleapr[[#This Row],[ACTUAL OD]]-scheduleapr[[#This Row],[TICKNESS]])*scheduleapr[[#This Row],[TICKNESS]]*scheduleapr[[#This Row],[LENGTH]]*7.85)/1000000*scheduleapr[[#This Row],[SCHEDULE in nos]]/1000</f>
        <v/>
      </c>
      <c r="AK319" s="599">
        <f>(3.14*(scheduleapr[[#This Row],[ACTUAL OD]]-scheduleapr[[#This Row],[TICKNESS]])*scheduleapr[[#This Row],[TICKNESS]]*scheduleapr[[#This Row],[LENGTH]]*7.85)/1000000*scheduleapr[[#This Row],[DISPATCH]]/1000</f>
        <v/>
      </c>
      <c r="AL319" s="599">
        <f>AJ319-AK319</f>
        <v/>
      </c>
      <c r="AM319" s="599">
        <f>scheduleapr[[#This Row],[SCHEDULE in nos]]/scheduleapr[[#This Row],[SCHEDULE IN MT]]*scheduleapr[[#This Row],[CTL Stock]]</f>
        <v/>
      </c>
      <c r="AN319" s="599">
        <f>SUMIFS(stock[MT],stock[Bucket],scheduleapr[[#This Row],[Bucket]],stock[CTL Bucket],scheduleapr[[#This Row],[CTL Bucket]],stock[Plant],"0789")</f>
        <v/>
      </c>
      <c r="AO319" s="599" t="n"/>
      <c r="AP319" s="599">
        <f>SUMIFS(stock[MT],stock[Bucket],scheduleapr[[#This Row],[Bucket]],stock[LL or CTL],"LL")</f>
        <v/>
      </c>
      <c r="AQ319" s="599">
        <f>+SUMIFS(wip[Stock(Net Wt)],wip[Bucket],scheduleapr[[#This Row],[Bucket]])/1000</f>
        <v/>
      </c>
      <c r="AR319" s="599">
        <f>AJ319-AN319</f>
        <v/>
      </c>
      <c r="AS319" s="118" t="n"/>
    </row>
    <row r="320">
      <c r="A320" s="594" t="n">
        <v>261</v>
      </c>
      <c r="B320" s="5" t="inlineStr">
        <is>
          <t>Hosur</t>
        </is>
      </c>
      <c r="C320" s="601" t="inlineStr">
        <is>
          <t>NMPL TVSM</t>
        </is>
      </c>
      <c r="D320" s="601" t="inlineStr">
        <is>
          <t>NMPL</t>
        </is>
      </c>
      <c r="E320" s="601" t="inlineStr">
        <is>
          <t>189226|930794</t>
        </is>
      </c>
      <c r="F320" s="601" t="n">
        <v>235953</v>
      </c>
      <c r="G320" s="601">
        <f>_xlfn.CONCAT(scheduleapr[[#This Row],[CUSTOMER CODE]],"-",scheduleapr[[#This Row],[MATERIAL NO]])</f>
        <v/>
      </c>
      <c r="H320" s="601" t="inlineStr">
        <is>
          <t>TUB-O-N-AUT-AW-PE-19.05X1.60X5.475-ERW 1</t>
        </is>
      </c>
      <c r="I320" s="601" t="inlineStr">
        <is>
          <t>ERW 1</t>
        </is>
      </c>
      <c r="J320" s="601" t="n"/>
      <c r="K320" s="601" t="n"/>
      <c r="L320" s="601" t="inlineStr">
        <is>
          <t>HR</t>
        </is>
      </c>
      <c r="M320" s="601" t="n"/>
      <c r="N320" s="601" t="n"/>
      <c r="O320" s="601" t="n"/>
      <c r="P320" s="601" t="n"/>
      <c r="Q320" s="557">
        <f>CONCATENATE(scheduleapr[[#This Row],[OD]],"-",scheduleapr[[#This Row],[ID]],"-",scheduleapr[[#This Row],[TICKNESS]],"-",scheduleapr[[#This Row],[Grade]],"-",scheduleapr[[#This Row],[FC/NFC]])</f>
        <v/>
      </c>
      <c r="R320" s="557">
        <f>_xlfn.CONCAT(scheduleapr[[#This Row],[Bucket]],"-",scheduleapr[[#This Row],[LENGTH]]/1000)</f>
        <v/>
      </c>
      <c r="S320" s="557">
        <f>COUNTIF([2]!buckets[CTL Bucket],[2]!scheduleapr[[#This Row],[CTL Bucket]])</f>
        <v/>
      </c>
      <c r="T320" s="557" t="n"/>
      <c r="U320" s="557" t="n"/>
      <c r="V320" s="557" t="n"/>
      <c r="W320" s="557" t="n"/>
      <c r="X320" s="599" t="n">
        <v>19.05</v>
      </c>
      <c r="Y320" s="599" t="n">
        <v>19.05</v>
      </c>
      <c r="Z320" s="599" t="n">
        <v>0</v>
      </c>
      <c r="AA320" s="599" t="n">
        <v>1.6</v>
      </c>
      <c r="AB320" s="600" t="n">
        <v>5475</v>
      </c>
      <c r="AC320" s="600" t="inlineStr">
        <is>
          <t>M</t>
        </is>
      </c>
      <c r="AD320" s="600" t="n"/>
      <c r="AE320" s="600" t="n"/>
      <c r="AF320" s="601" t="n"/>
      <c r="AG320" s="601" t="n"/>
      <c r="AH320" s="601">
        <f t="array" ref="AH3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0" s="602">
        <f>scheduleapr[[#This Row],[SCHEDULE in nos]]-scheduleapr[[#This Row],[DISPATCH]]</f>
        <v/>
      </c>
      <c r="AJ320" s="599">
        <f>(3.14*(scheduleapr[[#This Row],[ACTUAL OD]]-scheduleapr[[#This Row],[TICKNESS]])*scheduleapr[[#This Row],[TICKNESS]]*scheduleapr[[#This Row],[LENGTH]]*7.85)/1000000*scheduleapr[[#This Row],[SCHEDULE in nos]]/1000</f>
        <v/>
      </c>
      <c r="AK320" s="599">
        <f>(3.14*(scheduleapr[[#This Row],[ACTUAL OD]]-scheduleapr[[#This Row],[TICKNESS]])*scheduleapr[[#This Row],[TICKNESS]]*scheduleapr[[#This Row],[LENGTH]]*7.85)/1000000*scheduleapr[[#This Row],[DISPATCH]]/1000</f>
        <v/>
      </c>
      <c r="AL320" s="599">
        <f>AJ320-AK320</f>
        <v/>
      </c>
      <c r="AM320" s="599">
        <f>scheduleapr[[#This Row],[SCHEDULE in nos]]/scheduleapr[[#This Row],[SCHEDULE IN MT]]*scheduleapr[[#This Row],[CTL Stock]]</f>
        <v/>
      </c>
      <c r="AN320" s="599">
        <f>SUMIFS(stock[MT],stock[Bucket],scheduleapr[[#This Row],[Bucket]],stock[CTL Bucket],scheduleapr[[#This Row],[CTL Bucket]],stock[Plant],"0789")</f>
        <v/>
      </c>
      <c r="AO320" s="599" t="n"/>
      <c r="AP320" s="599">
        <f>SUMIFS(stock[MT],stock[Bucket],scheduleapr[[#This Row],[Bucket]],stock[LL or CTL],"LL")</f>
        <v/>
      </c>
      <c r="AQ320" s="599">
        <f>+SUMIFS(wip[Stock(Net Wt)],wip[Bucket],scheduleapr[[#This Row],[Bucket]])/1000</f>
        <v/>
      </c>
      <c r="AR320" s="599">
        <f>AJ320-AN320</f>
        <v/>
      </c>
      <c r="AS320" s="118" t="n"/>
    </row>
    <row r="321">
      <c r="A321" s="594" t="n">
        <v>262</v>
      </c>
      <c r="B321" s="5" t="inlineStr">
        <is>
          <t>Hosur</t>
        </is>
      </c>
      <c r="C321" s="601" t="inlineStr">
        <is>
          <t>NMPL TVSM</t>
        </is>
      </c>
      <c r="D321" s="601" t="inlineStr">
        <is>
          <t>NMPL</t>
        </is>
      </c>
      <c r="E321" s="601" t="inlineStr">
        <is>
          <t>189226|930794</t>
        </is>
      </c>
      <c r="F321" s="601" t="n">
        <v>1940318</v>
      </c>
      <c r="G321" s="601">
        <f>_xlfn.CONCAT(scheduleapr[[#This Row],[CUSTOMER CODE]],"-",scheduleapr[[#This Row],[MATERIAL NO]])</f>
        <v/>
      </c>
      <c r="H321" s="601" t="inlineStr">
        <is>
          <t>TUB-O-O-AUT-AW-PE-19.05X2.300X0.3940</t>
        </is>
      </c>
      <c r="I321" s="601" t="inlineStr">
        <is>
          <t>ERW 1</t>
        </is>
      </c>
      <c r="J321" s="601" t="n"/>
      <c r="K321" s="601" t="inlineStr">
        <is>
          <t>PE</t>
        </is>
      </c>
      <c r="L321" s="601" t="inlineStr">
        <is>
          <t>HR</t>
        </is>
      </c>
      <c r="M321" s="601" t="n"/>
      <c r="N321" s="601" t="n"/>
      <c r="O321" s="601" t="n"/>
      <c r="P321" s="601" t="n"/>
      <c r="Q321" s="557">
        <f>CONCATENATE(scheduleapr[[#This Row],[OD]],"-",scheduleapr[[#This Row],[ID]],"-",scheduleapr[[#This Row],[TICKNESS]],"-",scheduleapr[[#This Row],[Grade]],"-",scheduleapr[[#This Row],[FC/NFC]])</f>
        <v/>
      </c>
      <c r="R321" s="557">
        <f>_xlfn.CONCAT(scheduleapr[[#This Row],[Bucket]],"-",scheduleapr[[#This Row],[LENGTH]]/1000)</f>
        <v/>
      </c>
      <c r="S321" s="557">
        <f>COUNTIF(scheduleapr[CTL Bucket],scheduleapr[[#This Row],[CTL Bucket]])</f>
        <v/>
      </c>
      <c r="T321" s="601" t="inlineStr">
        <is>
          <t>Hosur</t>
        </is>
      </c>
      <c r="U321" s="601">
        <f>_xlfn.IFNA(VLOOKUP(scheduleapr[[#This Row],[Bucket]],salesforecast[[#All],[Bucket2]:[8406 Stock]],19,0),0)</f>
        <v/>
      </c>
      <c r="V321" s="562">
        <f>_xlfn.IFNA(VLOOKUP(scheduleapr[[#This Row],[Bucket]],salesforecast[[#All],[Bucket2]:[8406 Stock]],20,0),0)+_xlfn.IFNA(VLOOKUP(scheduleapr[[#This Row],[Bucket]],salesforecast[[#All],[Bucket2]:[8406 Stock]],17,0),0)</f>
        <v/>
      </c>
      <c r="W321" s="557" t="n"/>
      <c r="X321" s="599" t="n">
        <v>19.05</v>
      </c>
      <c r="Y321" s="599" t="n">
        <v>19.05</v>
      </c>
      <c r="Z321" s="6" t="n">
        <v>0</v>
      </c>
      <c r="AA321" s="599" t="n">
        <v>2.3</v>
      </c>
      <c r="AB321" s="600" t="n">
        <v>394</v>
      </c>
      <c r="AC321" s="600" t="inlineStr">
        <is>
          <t>NOS</t>
        </is>
      </c>
      <c r="AD321" s="600" t="n"/>
      <c r="AE321" s="600" t="n"/>
      <c r="AF321" s="601" t="n">
        <v>12000</v>
      </c>
      <c r="AG321" s="601" t="inlineStr">
        <is>
          <t>Aug 2026 schedule · nmpl 1</t>
        </is>
      </c>
      <c r="AH321" s="601">
        <f t="array" ref="AH3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1" s="602">
        <f>scheduleapr[[#This Row],[SCHEDULE in nos]]-scheduleapr[[#This Row],[DISPATCH]]</f>
        <v/>
      </c>
      <c r="AJ321" s="599">
        <f>(3.14*(scheduleapr[[#This Row],[ACTUAL OD]]-scheduleapr[[#This Row],[TICKNESS]])*scheduleapr[[#This Row],[TICKNESS]]*scheduleapr[[#This Row],[LENGTH]]*7.85)/1000000*scheduleapr[[#This Row],[SCHEDULE in nos]]/1000</f>
        <v/>
      </c>
      <c r="AK321" s="599">
        <f>(3.14*(scheduleapr[[#This Row],[ACTUAL OD]]-scheduleapr[[#This Row],[TICKNESS]])*scheduleapr[[#This Row],[TICKNESS]]*scheduleapr[[#This Row],[LENGTH]]*7.85)/1000000*scheduleapr[[#This Row],[DISPATCH]]/1000</f>
        <v/>
      </c>
      <c r="AL321" s="599">
        <f>AJ321-AK321</f>
        <v/>
      </c>
      <c r="AM321" s="599">
        <f>scheduleapr[[#This Row],[SCHEDULE in nos]]/scheduleapr[[#This Row],[SCHEDULE IN MT]]*scheduleapr[[#This Row],[CTL Stock]]</f>
        <v/>
      </c>
      <c r="AN321" s="599">
        <f>SUMIFS(stock[MT],stock[Bucket],scheduleapr[[#This Row],[Bucket]],stock[CTL Bucket],scheduleapr[[#This Row],[CTL Bucket]],stock[Plant],"0789")</f>
        <v/>
      </c>
      <c r="AO321" s="599" t="n"/>
      <c r="AP321" s="599">
        <f>SUMIFS(stock[MT],stock[Bucket],scheduleapr[[#This Row],[Bucket]],stock[LL or CTL],"LL")</f>
        <v/>
      </c>
      <c r="AQ321" s="599">
        <f>+SUMIFS(wip[Stock(Net Wt)],wip[Bucket],scheduleapr[[#This Row],[Bucket]])/1000</f>
        <v/>
      </c>
      <c r="AR321" s="599">
        <f>AJ321-AN321</f>
        <v/>
      </c>
      <c r="AS321" s="118" t="n"/>
    </row>
    <row r="322">
      <c r="A322" s="594" t="n">
        <v>222</v>
      </c>
      <c r="B322" s="5" t="inlineStr">
        <is>
          <t>Hosur</t>
        </is>
      </c>
      <c r="C322" s="601" t="inlineStr">
        <is>
          <t>NMPL HUB</t>
        </is>
      </c>
      <c r="D322" s="601" t="inlineStr">
        <is>
          <t>NMPL</t>
        </is>
      </c>
      <c r="E322" s="601" t="inlineStr">
        <is>
          <t>930801|189227</t>
        </is>
      </c>
      <c r="F322" s="601" t="n">
        <v>1940357</v>
      </c>
      <c r="G322" s="601">
        <f>_xlfn.CONCAT(scheduleapr[[#This Row],[CUSTOMER CODE]],"-",scheduleapr[[#This Row],[MATERIAL NO]])</f>
        <v/>
      </c>
      <c r="H322" s="601" t="inlineStr">
        <is>
          <t>TUB-O-O-AUT-AW-PE-22.23X1.200X0.1400</t>
        </is>
      </c>
      <c r="I322" s="601" t="inlineStr">
        <is>
          <t>ERW 1</t>
        </is>
      </c>
      <c r="J322" s="601" t="n"/>
      <c r="K322" s="601" t="inlineStr">
        <is>
          <t>PE</t>
        </is>
      </c>
      <c r="L322" s="601" t="inlineStr">
        <is>
          <t>CR</t>
        </is>
      </c>
      <c r="M322" s="601" t="n"/>
      <c r="N322" s="601" t="n"/>
      <c r="O322" s="601" t="n"/>
      <c r="P322" s="601" t="n"/>
      <c r="Q322" s="557">
        <f>CONCATENATE(scheduleapr[[#This Row],[OD]],"-",scheduleapr[[#This Row],[ID]],"-",scheduleapr[[#This Row],[TICKNESS]],"-",scheduleapr[[#This Row],[Grade]],"-",scheduleapr[[#This Row],[FC/NFC]])</f>
        <v/>
      </c>
      <c r="R322" s="557">
        <f>_xlfn.CONCAT(scheduleapr[[#This Row],[Bucket]],"-",scheduleapr[[#This Row],[LENGTH]]/1000)</f>
        <v/>
      </c>
      <c r="S322" s="557">
        <f>COUNTIF(scheduleapr[CTL Bucket],scheduleapr[[#This Row],[CTL Bucket]])</f>
        <v/>
      </c>
      <c r="T322" s="601" t="inlineStr">
        <is>
          <t>Hosur</t>
        </is>
      </c>
      <c r="U322" s="601">
        <f>_xlfn.IFNA(VLOOKUP(scheduleapr[[#This Row],[Bucket]],salesforecast[[#All],[Bucket2]:[8406 Stock]],19,0),0)</f>
        <v/>
      </c>
      <c r="V322" s="562">
        <f>_xlfn.IFNA(VLOOKUP(scheduleapr[[#This Row],[Bucket]],salesforecast[[#All],[Bucket2]:[8406 Stock]],20,0),0)+_xlfn.IFNA(VLOOKUP(scheduleapr[[#This Row],[Bucket]],salesforecast[[#All],[Bucket2]:[8406 Stock]],17,0),0)</f>
        <v/>
      </c>
      <c r="W322" s="557" t="n"/>
      <c r="X322" s="599" t="n">
        <v>22.23</v>
      </c>
      <c r="Y322" s="599" t="n">
        <v>22.23</v>
      </c>
      <c r="Z322" s="599" t="n">
        <v>0</v>
      </c>
      <c r="AA322" s="599" t="n">
        <v>1.2</v>
      </c>
      <c r="AB322" s="600" t="n">
        <v>140</v>
      </c>
      <c r="AC322" s="600" t="inlineStr">
        <is>
          <t>NOS</t>
        </is>
      </c>
      <c r="AD322" s="600" t="n"/>
      <c r="AE322" s="600" t="n"/>
      <c r="AF322" s="601" t="n"/>
      <c r="AG322" s="601" t="n"/>
      <c r="AH322" s="601">
        <f t="array" ref="AH3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2" s="602">
        <f>scheduleapr[[#This Row],[SCHEDULE in nos]]-scheduleapr[[#This Row],[DISPATCH]]</f>
        <v/>
      </c>
      <c r="AJ322" s="599">
        <f>(3.14*(scheduleapr[[#This Row],[ACTUAL OD]]-scheduleapr[[#This Row],[TICKNESS]])*scheduleapr[[#This Row],[TICKNESS]]*scheduleapr[[#This Row],[LENGTH]]*7.85)/1000000*scheduleapr[[#This Row],[SCHEDULE in nos]]/1000</f>
        <v/>
      </c>
      <c r="AK322" s="599">
        <f>(3.14*(scheduleapr[[#This Row],[ACTUAL OD]]-scheduleapr[[#This Row],[TICKNESS]])*scheduleapr[[#This Row],[TICKNESS]]*scheduleapr[[#This Row],[LENGTH]]*7.85)/1000000*scheduleapr[[#This Row],[DISPATCH]]/1000</f>
        <v/>
      </c>
      <c r="AL322" s="599">
        <f>AJ322-AK322</f>
        <v/>
      </c>
      <c r="AM322" s="599">
        <f>scheduleapr[[#This Row],[SCHEDULE in nos]]/scheduleapr[[#This Row],[SCHEDULE IN MT]]*scheduleapr[[#This Row],[CTL Stock]]</f>
        <v/>
      </c>
      <c r="AN322" s="599">
        <f>SUMIFS(stock[MT],stock[Bucket],scheduleapr[[#This Row],[Bucket]],stock[CTL Bucket],scheduleapr[[#This Row],[CTL Bucket]],stock[Plant],"0789")</f>
        <v/>
      </c>
      <c r="AO322" s="599" t="n"/>
      <c r="AP322" s="599">
        <f>SUMIFS(stock[MT],stock[Bucket],scheduleapr[[#This Row],[Bucket]],stock[LL or CTL],"LL")</f>
        <v/>
      </c>
      <c r="AQ322" s="599">
        <f>+SUMIFS(wip[Stock(Net Wt)],wip[Bucket],scheduleapr[[#This Row],[Bucket]])/1000</f>
        <v/>
      </c>
      <c r="AR322" s="599">
        <f>AJ322-AN322</f>
        <v/>
      </c>
      <c r="AS322" s="118" t="n"/>
    </row>
    <row r="323">
      <c r="A323" s="594" t="n">
        <v>267</v>
      </c>
      <c r="B323" s="5" t="inlineStr">
        <is>
          <t>Hosur</t>
        </is>
      </c>
      <c r="C323" s="601" t="inlineStr">
        <is>
          <t>NMPL TVSM</t>
        </is>
      </c>
      <c r="D323" s="601" t="inlineStr">
        <is>
          <t>NMPL</t>
        </is>
      </c>
      <c r="E323" s="601" t="inlineStr">
        <is>
          <t>189226|930794</t>
        </is>
      </c>
      <c r="F323" s="601" t="n">
        <v>1940392</v>
      </c>
      <c r="G323" s="601">
        <f>_xlfn.CONCAT(scheduleapr[[#This Row],[CUSTOMER CODE]],"-",scheduleapr[[#This Row],[MATERIAL NO]])</f>
        <v/>
      </c>
      <c r="H323" s="601" t="inlineStr">
        <is>
          <t>TUB-O-O-AUT-AW-PE-22.23X1.600X0.2850</t>
        </is>
      </c>
      <c r="I323" s="601" t="inlineStr">
        <is>
          <t>ERW 1</t>
        </is>
      </c>
      <c r="J323" s="601" t="n"/>
      <c r="K323" s="601" t="inlineStr">
        <is>
          <t>PE</t>
        </is>
      </c>
      <c r="L323" s="601" t="inlineStr">
        <is>
          <t>CR</t>
        </is>
      </c>
      <c r="M323" s="596" t="inlineStr">
        <is>
          <t>GR1</t>
        </is>
      </c>
      <c r="N323" s="601" t="n"/>
      <c r="O323" s="601" t="n"/>
      <c r="P323" s="601" t="n"/>
      <c r="Q323" s="557">
        <f>CONCATENATE(scheduleapr[[#This Row],[OD]],"-",scheduleapr[[#This Row],[ID]],"-",scheduleapr[[#This Row],[TICKNESS]],"-",scheduleapr[[#This Row],[Grade]],"-",scheduleapr[[#This Row],[FC/NFC]])</f>
        <v/>
      </c>
      <c r="R323" s="557">
        <f>_xlfn.CONCAT(scheduleapr[[#This Row],[Bucket]],"-",scheduleapr[[#This Row],[LENGTH]]/1000)</f>
        <v/>
      </c>
      <c r="S323" s="557">
        <f>COUNTIF(scheduleapr[CTL Bucket],scheduleapr[[#This Row],[CTL Bucket]])</f>
        <v/>
      </c>
      <c r="T323" s="601" t="inlineStr">
        <is>
          <t>Hosur</t>
        </is>
      </c>
      <c r="U323" s="601">
        <f>_xlfn.IFNA(VLOOKUP(scheduleapr[[#This Row],[Bucket]],salesforecast[[#All],[Bucket2]:[8406 Stock]],19,0),0)</f>
        <v/>
      </c>
      <c r="V323" s="562">
        <f>_xlfn.IFNA(VLOOKUP(scheduleapr[[#This Row],[Bucket]],salesforecast[[#All],[Bucket2]:[8406 Stock]],20,0),0)+_xlfn.IFNA(VLOOKUP(scheduleapr[[#This Row],[Bucket]],salesforecast[[#All],[Bucket2]:[8406 Stock]],17,0),0)</f>
        <v/>
      </c>
      <c r="W323" s="557" t="n"/>
      <c r="X323" s="599" t="n">
        <v>22.23</v>
      </c>
      <c r="Y323" s="599" t="n">
        <v>22.23</v>
      </c>
      <c r="Z323" s="599" t="n">
        <v>0</v>
      </c>
      <c r="AA323" s="599" t="n">
        <v>1.6</v>
      </c>
      <c r="AB323" s="600" t="n">
        <v>285</v>
      </c>
      <c r="AC323" s="600" t="inlineStr">
        <is>
          <t>NOS</t>
        </is>
      </c>
      <c r="AD323" s="600" t="n"/>
      <c r="AE323" s="600" t="n"/>
      <c r="AF323" s="601" t="n">
        <v>12000</v>
      </c>
      <c r="AG323" s="601" t="inlineStr">
        <is>
          <t>Aug 2026 schedule · nmpl 1</t>
        </is>
      </c>
      <c r="AH323" s="601">
        <f t="array" ref="AH3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3" s="602">
        <f>scheduleapr[[#This Row],[SCHEDULE in nos]]-scheduleapr[[#This Row],[DISPATCH]]</f>
        <v/>
      </c>
      <c r="AJ323" s="599">
        <f>(3.14*(scheduleapr[[#This Row],[ACTUAL OD]]-scheduleapr[[#This Row],[TICKNESS]])*scheduleapr[[#This Row],[TICKNESS]]*scheduleapr[[#This Row],[LENGTH]]*7.85)/1000000*scheduleapr[[#This Row],[SCHEDULE in nos]]/1000</f>
        <v/>
      </c>
      <c r="AK323" s="599">
        <f>(3.14*(scheduleapr[[#This Row],[ACTUAL OD]]-scheduleapr[[#This Row],[TICKNESS]])*scheduleapr[[#This Row],[TICKNESS]]*scheduleapr[[#This Row],[LENGTH]]*7.85)/1000000*scheduleapr[[#This Row],[DISPATCH]]/1000</f>
        <v/>
      </c>
      <c r="AL323" s="599">
        <f>AJ323-AK323</f>
        <v/>
      </c>
      <c r="AM323" s="599">
        <f>scheduleapr[[#This Row],[SCHEDULE in nos]]/scheduleapr[[#This Row],[SCHEDULE IN MT]]*scheduleapr[[#This Row],[CTL Stock]]</f>
        <v/>
      </c>
      <c r="AN323" s="599">
        <f>SUMIFS(stock[MT],stock[Bucket],scheduleapr[[#This Row],[Bucket]],stock[CTL Bucket],scheduleapr[[#This Row],[CTL Bucket]],stock[Plant],"0789")</f>
        <v/>
      </c>
      <c r="AO323" s="599" t="n"/>
      <c r="AP323" s="599">
        <f>SUMIFS(stock[MT],stock[Bucket],scheduleapr[[#This Row],[Bucket]],stock[LL or CTL],"LL")</f>
        <v/>
      </c>
      <c r="AQ323" s="599">
        <f>+SUMIFS(wip[Stock(Net Wt)],wip[Bucket],scheduleapr[[#This Row],[Bucket]])/1000</f>
        <v/>
      </c>
      <c r="AR323" s="599">
        <f>AJ323-AN323</f>
        <v/>
      </c>
      <c r="AS323" s="118" t="n"/>
    </row>
    <row r="324">
      <c r="A324" s="594" t="n">
        <v>223</v>
      </c>
      <c r="B324" s="5" t="inlineStr">
        <is>
          <t>Hosur</t>
        </is>
      </c>
      <c r="C324" s="601" t="inlineStr">
        <is>
          <t>NMPL TVSM</t>
        </is>
      </c>
      <c r="D324" s="601" t="inlineStr">
        <is>
          <t>NMPL</t>
        </is>
      </c>
      <c r="E324" s="601" t="inlineStr">
        <is>
          <t>930801|189227</t>
        </is>
      </c>
      <c r="F324" s="601" t="n">
        <v>1938251</v>
      </c>
      <c r="G324" s="601">
        <f>_xlfn.CONCAT(scheduleapr[[#This Row],[CUSTOMER CODE]],"-",scheduleapr[[#This Row],[MATERIAL NO]])</f>
        <v/>
      </c>
      <c r="H324" s="601" t="inlineStr">
        <is>
          <t>TUB-O-N-AUT-AW-PE-22.23X1.600X0.3940</t>
        </is>
      </c>
      <c r="I324" s="601" t="inlineStr">
        <is>
          <t>ERW 1</t>
        </is>
      </c>
      <c r="J324" s="601" t="n"/>
      <c r="K324" s="601" t="inlineStr">
        <is>
          <t>PE</t>
        </is>
      </c>
      <c r="L324" s="601" t="inlineStr">
        <is>
          <t>CR</t>
        </is>
      </c>
      <c r="M324" s="596" t="inlineStr">
        <is>
          <t>D</t>
        </is>
      </c>
      <c r="N324" s="601" t="n"/>
      <c r="O324" s="601" t="n"/>
      <c r="P324" s="601" t="n"/>
      <c r="Q324" s="557">
        <f>CONCATENATE(scheduleapr[[#This Row],[OD]],"-",scheduleapr[[#This Row],[ID]],"-",scheduleapr[[#This Row],[TICKNESS]],"-",scheduleapr[[#This Row],[Grade]],"-",scheduleapr[[#This Row],[FC/NFC]])</f>
        <v/>
      </c>
      <c r="R324" s="557">
        <f>_xlfn.CONCAT(scheduleapr[[#This Row],[Bucket]],"-",scheduleapr[[#This Row],[LENGTH]]/1000)</f>
        <v/>
      </c>
      <c r="S324" s="557">
        <f>COUNTIF(scheduleapr[CTL Bucket],scheduleapr[[#This Row],[CTL Bucket]])</f>
        <v/>
      </c>
      <c r="T324" s="601" t="inlineStr">
        <is>
          <t>Hosur</t>
        </is>
      </c>
      <c r="U324" s="601">
        <f>_xlfn.IFNA(VLOOKUP(scheduleapr[[#This Row],[Bucket]],salesforecast[[#All],[Bucket2]:[8406 Stock]],19,0),0)</f>
        <v/>
      </c>
      <c r="V324" s="562">
        <f>_xlfn.IFNA(VLOOKUP(scheduleapr[[#This Row],[Bucket]],salesforecast[[#All],[Bucket2]:[8406 Stock]],20,0),0)+_xlfn.IFNA(VLOOKUP(scheduleapr[[#This Row],[Bucket]],salesforecast[[#All],[Bucket2]:[8406 Stock]],17,0),0)</f>
        <v/>
      </c>
      <c r="W324" s="557" t="n"/>
      <c r="X324" s="599" t="n">
        <v>22.23</v>
      </c>
      <c r="Y324" s="599" t="n">
        <v>22.23</v>
      </c>
      <c r="Z324" s="6" t="n">
        <v>0</v>
      </c>
      <c r="AA324" s="599" t="n">
        <v>1.6</v>
      </c>
      <c r="AB324" s="600" t="n">
        <v>394</v>
      </c>
      <c r="AC324" s="600" t="inlineStr">
        <is>
          <t>NOS</t>
        </is>
      </c>
      <c r="AD324" s="600" t="n"/>
      <c r="AE324" s="600" t="n"/>
      <c r="AF324" s="601" t="n">
        <v>9750.320726556049</v>
      </c>
      <c r="AG324" s="601" t="inlineStr">
        <is>
          <t>Aug 2026 schedule · nmpl 1 + nmpl hub</t>
        </is>
      </c>
      <c r="AH324" s="601">
        <f t="array" ref="AH3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4" s="602">
        <f>scheduleapr[[#This Row],[SCHEDULE in nos]]-scheduleapr[[#This Row],[DISPATCH]]</f>
        <v/>
      </c>
      <c r="AJ324" s="599">
        <f>(3.14*(scheduleapr[[#This Row],[ACTUAL OD]]-scheduleapr[[#This Row],[TICKNESS]])*scheduleapr[[#This Row],[TICKNESS]]*scheduleapr[[#This Row],[LENGTH]]*7.85)/1000000*scheduleapr[[#This Row],[SCHEDULE in nos]]/1000</f>
        <v/>
      </c>
      <c r="AK324" s="599">
        <f>(3.14*(scheduleapr[[#This Row],[ACTUAL OD]]-scheduleapr[[#This Row],[TICKNESS]])*scheduleapr[[#This Row],[TICKNESS]]*scheduleapr[[#This Row],[LENGTH]]*7.85)/1000000*scheduleapr[[#This Row],[DISPATCH]]/1000</f>
        <v/>
      </c>
      <c r="AL324" s="599">
        <f>AJ324-AK324</f>
        <v/>
      </c>
      <c r="AM324" s="599">
        <f>scheduleapr[[#This Row],[SCHEDULE in nos]]/scheduleapr[[#This Row],[SCHEDULE IN MT]]*scheduleapr[[#This Row],[CTL Stock]]</f>
        <v/>
      </c>
      <c r="AN324" s="599">
        <f>SUMIFS(stock[MT],stock[Bucket],scheduleapr[[#This Row],[Bucket]],stock[CTL Bucket],scheduleapr[[#This Row],[CTL Bucket]],stock[Plant],"0789")</f>
        <v/>
      </c>
      <c r="AO324" s="599" t="n"/>
      <c r="AP324" s="599">
        <f>SUMIFS(stock[MT],stock[Bucket],scheduleapr[[#This Row],[Bucket]],stock[LL or CTL],"LL")</f>
        <v/>
      </c>
      <c r="AQ324" s="599">
        <f>+SUMIFS(wip[Stock(Net Wt)],wip[Bucket],scheduleapr[[#This Row],[Bucket]])/1000</f>
        <v/>
      </c>
      <c r="AR324" s="599">
        <f>AJ324-AN324</f>
        <v/>
      </c>
      <c r="AS324" s="118" t="n"/>
    </row>
    <row r="325">
      <c r="A325" s="556" t="n"/>
      <c r="B325" s="5" t="inlineStr">
        <is>
          <t>Hosur</t>
        </is>
      </c>
      <c r="C325" s="601" t="inlineStr">
        <is>
          <t>NMPL HUB</t>
        </is>
      </c>
      <c r="D325" s="601" t="inlineStr">
        <is>
          <t>NMPL</t>
        </is>
      </c>
      <c r="E325" s="601" t="inlineStr">
        <is>
          <t>930801|189227</t>
        </is>
      </c>
      <c r="F325" s="601" t="n">
        <v>1938251</v>
      </c>
      <c r="G325" s="601">
        <f>_xlfn.CONCAT(scheduleapr[[#This Row],[CUSTOMER CODE]],"-",scheduleapr[[#This Row],[MATERIAL NO]])</f>
        <v/>
      </c>
      <c r="H325" s="601" t="inlineStr">
        <is>
          <t>TUB-O-N-AUT-AW-PE-22.23X1.600X0.3940</t>
        </is>
      </c>
      <c r="I325" s="601" t="inlineStr">
        <is>
          <t>ERW 1</t>
        </is>
      </c>
      <c r="J325" s="557" t="n"/>
      <c r="K325" s="601" t="inlineStr">
        <is>
          <t>PE</t>
        </is>
      </c>
      <c r="L325" s="601" t="inlineStr">
        <is>
          <t>HR</t>
        </is>
      </c>
      <c r="M325" s="558" t="n"/>
      <c r="N325" s="557" t="n"/>
      <c r="O325" s="557" t="n"/>
      <c r="P325" s="557" t="n"/>
      <c r="Q325" s="557">
        <f>CONCATENATE(scheduleapr[[#This Row],[OD]],"-",scheduleapr[[#This Row],[ID]],"-",scheduleapr[[#This Row],[TICKNESS]],"-",scheduleapr[[#This Row],[Grade]],"-",scheduleapr[[#This Row],[FC/NFC]])</f>
        <v/>
      </c>
      <c r="R325" s="557">
        <f>_xlfn.CONCAT(scheduleapr[[#This Row],[Bucket]],"-",scheduleapr[[#This Row],[LENGTH]]/1000)</f>
        <v/>
      </c>
      <c r="S325" s="557">
        <f>COUNTIF(scheduleapr[CTL Bucket],scheduleapr[[#This Row],[CTL Bucket]])</f>
        <v/>
      </c>
      <c r="T325" s="601" t="inlineStr">
        <is>
          <t>Hosur</t>
        </is>
      </c>
      <c r="U325" s="601">
        <f>_xlfn.IFNA(VLOOKUP(scheduleapr[[#This Row],[Bucket]],salesforecast[[#All],[Bucket2]:[8406 Stock]],19,0),0)</f>
        <v/>
      </c>
      <c r="V325" s="562">
        <f>_xlfn.IFNA(VLOOKUP(scheduleapr[[#This Row],[Bucket]],salesforecast[[#All],[Bucket2]:[8406 Stock]],20,0),0)+_xlfn.IFNA(VLOOKUP(scheduleapr[[#This Row],[Bucket]],salesforecast[[#All],[Bucket2]:[8406 Stock]],17,0),0)</f>
        <v/>
      </c>
      <c r="W325" s="601" t="n"/>
      <c r="X325" s="559" t="n">
        <v>22.23</v>
      </c>
      <c r="Y325" s="559" t="n">
        <v>22.23</v>
      </c>
      <c r="Z325" s="559" t="n">
        <v>0</v>
      </c>
      <c r="AA325" s="599" t="n">
        <v>1.6</v>
      </c>
      <c r="AB325" s="600" t="n">
        <v>394</v>
      </c>
      <c r="AC325" s="600" t="inlineStr">
        <is>
          <t>NOS</t>
        </is>
      </c>
      <c r="AD325" s="600" t="n"/>
      <c r="AE325" s="600" t="n"/>
      <c r="AF325" s="557" t="n"/>
      <c r="AG325" s="557" t="n"/>
      <c r="AH325" s="601">
        <f t="array" ref="AH3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5" s="602">
        <f>scheduleapr[[#This Row],[SCHEDULE in nos]]-scheduleapr[[#This Row],[DISPATCH]]</f>
        <v/>
      </c>
      <c r="AJ325" s="559">
        <f>(3.14*(scheduleapr[[#This Row],[ACTUAL OD]]-scheduleapr[[#This Row],[TICKNESS]])*scheduleapr[[#This Row],[TICKNESS]]*scheduleapr[[#This Row],[LENGTH]]*7.85)/1000000*scheduleapr[[#This Row],[SCHEDULE in nos]]/1000</f>
        <v/>
      </c>
      <c r="AK325" s="599">
        <f>(3.14*(scheduleapr[[#This Row],[ACTUAL OD]]-scheduleapr[[#This Row],[TICKNESS]])*scheduleapr[[#This Row],[TICKNESS]]*scheduleapr[[#This Row],[LENGTH]]*7.85)/1000000*scheduleapr[[#This Row],[DISPATCH]]/1000</f>
        <v/>
      </c>
      <c r="AL325" s="599">
        <f>AJ325-AK325</f>
        <v/>
      </c>
      <c r="AM325" s="559">
        <f>scheduleapr[[#This Row],[SCHEDULE in nos]]/scheduleapr[[#This Row],[SCHEDULE IN MT]]*scheduleapr[[#This Row],[CTL Stock]]</f>
        <v/>
      </c>
      <c r="AN325" s="599">
        <f>SUMIFS(stock[MT],stock[Bucket],scheduleapr[[#This Row],[Bucket]],stock[CTL Bucket],scheduleapr[[#This Row],[CTL Bucket]],stock[Plant],"0789")</f>
        <v/>
      </c>
      <c r="AO325" s="599" t="n"/>
      <c r="AP325" s="599">
        <f>SUMIFS(stock[MT],stock[Bucket],scheduleapr[[#This Row],[Bucket]],stock[LL or CTL],"LL")</f>
        <v/>
      </c>
      <c r="AQ325" s="599">
        <f>+SUMIFS(wip[Stock(Net Wt)],wip[Bucket],scheduleapr[[#This Row],[Bucket]])/1000</f>
        <v/>
      </c>
      <c r="AR325" s="599">
        <f>AJ325-AN325</f>
        <v/>
      </c>
      <c r="AS325" s="118" t="n"/>
    </row>
    <row r="326">
      <c r="A326" s="594" t="n">
        <v>225</v>
      </c>
      <c r="B326" s="5" t="inlineStr">
        <is>
          <t>Hosur</t>
        </is>
      </c>
      <c r="C326" s="601" t="inlineStr">
        <is>
          <t>NMPL HUB</t>
        </is>
      </c>
      <c r="D326" s="601" t="inlineStr">
        <is>
          <t>NMPL</t>
        </is>
      </c>
      <c r="E326" s="601" t="inlineStr">
        <is>
          <t>930801|189227</t>
        </is>
      </c>
      <c r="F326" s="601" t="n">
        <v>2427960</v>
      </c>
      <c r="G326" s="601">
        <f>_xlfn.CONCAT(scheduleapr[[#This Row],[CUSTOMER CODE]],"-",scheduleapr[[#This Row],[MATERIAL NO]])</f>
        <v/>
      </c>
      <c r="H326" s="601" t="inlineStr">
        <is>
          <t>TUB-O-N-AUT-AW-PE-22.23X1.600X0.6700</t>
        </is>
      </c>
      <c r="I326" s="601" t="inlineStr">
        <is>
          <t>ERW 1</t>
        </is>
      </c>
      <c r="J326" s="601" t="n"/>
      <c r="K326" s="596" t="inlineStr">
        <is>
          <t>PE</t>
        </is>
      </c>
      <c r="L326" s="601" t="inlineStr">
        <is>
          <t>CR</t>
        </is>
      </c>
      <c r="M326" s="596" t="inlineStr">
        <is>
          <t>HROP</t>
        </is>
      </c>
      <c r="N326" s="601" t="n"/>
      <c r="O326" s="601" t="n"/>
      <c r="P326" s="601" t="n"/>
      <c r="Q326" s="557">
        <f>CONCATENATE(scheduleapr[[#This Row],[OD]],"-",scheduleapr[[#This Row],[ID]],"-",scheduleapr[[#This Row],[TICKNESS]],"-",scheduleapr[[#This Row],[Grade]],"-",scheduleapr[[#This Row],[FC/NFC]])</f>
        <v/>
      </c>
      <c r="R326" s="557">
        <f>_xlfn.CONCAT(scheduleapr[[#This Row],[Bucket]],"-",scheduleapr[[#This Row],[LENGTH]]/1000)</f>
        <v/>
      </c>
      <c r="S326" s="557">
        <f>COUNTIF(scheduleapr[CTL Bucket],scheduleapr[[#This Row],[CTL Bucket]])</f>
        <v/>
      </c>
      <c r="T326" s="601" t="inlineStr">
        <is>
          <t>Hosur</t>
        </is>
      </c>
      <c r="U326" s="601">
        <f>_xlfn.IFNA(VLOOKUP(scheduleapr[[#This Row],[Bucket]],salesforecast[[#All],[Bucket2]:[8406 Stock]],19,0),0)</f>
        <v/>
      </c>
      <c r="V326" s="562">
        <f>_xlfn.IFNA(VLOOKUP(scheduleapr[[#This Row],[Bucket]],salesforecast[[#All],[Bucket2]:[8406 Stock]],20,0),0)+_xlfn.IFNA(VLOOKUP(scheduleapr[[#This Row],[Bucket]],salesforecast[[#All],[Bucket2]:[8406 Stock]],17,0),0)</f>
        <v/>
      </c>
      <c r="W326" s="557" t="n"/>
      <c r="X326" s="599" t="n">
        <v>22.23</v>
      </c>
      <c r="Y326" s="599" t="n">
        <v>22.23</v>
      </c>
      <c r="Z326" s="6" t="n">
        <v>0</v>
      </c>
      <c r="AA326" s="599" t="n">
        <v>1.6</v>
      </c>
      <c r="AB326" s="600" t="n">
        <v>670</v>
      </c>
      <c r="AC326" s="600" t="inlineStr">
        <is>
          <t>NOS</t>
        </is>
      </c>
      <c r="AD326" s="600" t="n"/>
      <c r="AE326" s="600" t="n"/>
      <c r="AF326" s="601" t="n">
        <v>10344.23076923077</v>
      </c>
      <c r="AG326" s="601" t="inlineStr">
        <is>
          <t>Aug 2026 schedule · nmpl hub</t>
        </is>
      </c>
      <c r="AH326" s="601">
        <f t="array" ref="AH3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6" s="602">
        <f>scheduleapr[[#This Row],[SCHEDULE in nos]]-scheduleapr[[#This Row],[DISPATCH]]</f>
        <v/>
      </c>
      <c r="AJ326" s="599">
        <f>(3.14*(scheduleapr[[#This Row],[ACTUAL OD]]-scheduleapr[[#This Row],[TICKNESS]])*scheduleapr[[#This Row],[TICKNESS]]*scheduleapr[[#This Row],[LENGTH]]*7.85)/1000000*scheduleapr[[#This Row],[SCHEDULE in nos]]/1000</f>
        <v/>
      </c>
      <c r="AK326" s="599">
        <f>(3.14*(scheduleapr[[#This Row],[ACTUAL OD]]-scheduleapr[[#This Row],[TICKNESS]])*scheduleapr[[#This Row],[TICKNESS]]*scheduleapr[[#This Row],[LENGTH]]*7.85)/1000000*scheduleapr[[#This Row],[DISPATCH]]/1000</f>
        <v/>
      </c>
      <c r="AL326" s="599">
        <f>AJ326-AK326</f>
        <v/>
      </c>
      <c r="AM326" s="599">
        <f>scheduleapr[[#This Row],[SCHEDULE in nos]]/scheduleapr[[#This Row],[SCHEDULE IN MT]]*scheduleapr[[#This Row],[CTL Stock]]</f>
        <v/>
      </c>
      <c r="AN326" s="599">
        <f>SUMIFS(stock[MT],stock[Bucket],scheduleapr[[#This Row],[Bucket]],stock[CTL Bucket],scheduleapr[[#This Row],[CTL Bucket]],stock[Plant],"0789")</f>
        <v/>
      </c>
      <c r="AO326" s="599" t="n"/>
      <c r="AP326" s="599">
        <f>SUMIFS(stock[MT],stock[Bucket],scheduleapr[[#This Row],[Bucket]],stock[LL or CTL],"LL")</f>
        <v/>
      </c>
      <c r="AQ326" s="599">
        <f>+SUMIFS(wip[Stock(Net Wt)],wip[Bucket],scheduleapr[[#This Row],[Bucket]])/1000</f>
        <v/>
      </c>
      <c r="AR326" s="599">
        <f>AJ326-AN326</f>
        <v/>
      </c>
      <c r="AS326" s="118" t="n"/>
    </row>
    <row r="327">
      <c r="A327" s="594" t="n">
        <v>226</v>
      </c>
      <c r="B327" s="5" t="inlineStr">
        <is>
          <t>Hosur</t>
        </is>
      </c>
      <c r="C327" s="601" t="inlineStr">
        <is>
          <t>NMPL HUB</t>
        </is>
      </c>
      <c r="D327" s="601" t="inlineStr">
        <is>
          <t>NMPL</t>
        </is>
      </c>
      <c r="E327" s="601" t="inlineStr">
        <is>
          <t>930801|189227</t>
        </is>
      </c>
      <c r="F327" s="601" t="n">
        <v>2427939</v>
      </c>
      <c r="G327" s="601">
        <f>_xlfn.CONCAT(scheduleapr[[#This Row],[CUSTOMER CODE]],"-",scheduleapr[[#This Row],[MATERIAL NO]])</f>
        <v/>
      </c>
      <c r="H327" s="601" t="inlineStr">
        <is>
          <t>TUB-O-N-AUT-AW-PE-22.23X1.600X0.6750</t>
        </is>
      </c>
      <c r="I327" s="601" t="inlineStr">
        <is>
          <t>ERW 1</t>
        </is>
      </c>
      <c r="J327" s="601" t="n"/>
      <c r="K327" s="596" t="inlineStr">
        <is>
          <t>PE</t>
        </is>
      </c>
      <c r="L327" s="601" t="inlineStr">
        <is>
          <t>CR</t>
        </is>
      </c>
      <c r="M327" s="596" t="inlineStr">
        <is>
          <t>HROP</t>
        </is>
      </c>
      <c r="N327" s="601" t="n"/>
      <c r="O327" s="601" t="inlineStr">
        <is>
          <t>AG</t>
        </is>
      </c>
      <c r="P327" s="601" t="n"/>
      <c r="Q327" s="557">
        <f>CONCATENATE(scheduleapr[[#This Row],[OD]],"-",scheduleapr[[#This Row],[ID]],"-",scheduleapr[[#This Row],[TICKNESS]],"-",scheduleapr[[#This Row],[Grade]],"-",scheduleapr[[#This Row],[FC/NFC]])</f>
        <v/>
      </c>
      <c r="R327" s="557">
        <f>_xlfn.CONCAT(scheduleapr[[#This Row],[Bucket]],"-",scheduleapr[[#This Row],[LENGTH]]/1000)</f>
        <v/>
      </c>
      <c r="S327" s="557">
        <f>COUNTIF(scheduleapr[CTL Bucket],scheduleapr[[#This Row],[CTL Bucket]])</f>
        <v/>
      </c>
      <c r="T327" s="601" t="inlineStr">
        <is>
          <t>Hosur</t>
        </is>
      </c>
      <c r="U327" s="601" t="n"/>
      <c r="V327" s="557" t="n"/>
      <c r="W327" s="557" t="n"/>
      <c r="X327" s="599" t="n">
        <v>22.23</v>
      </c>
      <c r="Y327" s="599" t="n">
        <v>22.23</v>
      </c>
      <c r="Z327" s="6" t="n">
        <v>0</v>
      </c>
      <c r="AA327" s="599" t="n">
        <v>1.6</v>
      </c>
      <c r="AB327" s="600" t="n">
        <v>675</v>
      </c>
      <c r="AC327" s="600" t="inlineStr">
        <is>
          <t>NOS</t>
        </is>
      </c>
      <c r="AD327" s="600" t="n"/>
      <c r="AE327" s="600" t="n"/>
      <c r="AF327" s="5" t="n"/>
      <c r="AG327" s="5" t="n"/>
      <c r="AH327" s="601">
        <f t="array" ref="AH3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7" s="602">
        <f>scheduleapr[[#This Row],[SCHEDULE in nos]]-scheduleapr[[#This Row],[DISPATCH]]</f>
        <v/>
      </c>
      <c r="AJ327" s="599">
        <f>(3.14*(scheduleapr[[#This Row],[ACTUAL OD]]-scheduleapr[[#This Row],[TICKNESS]])*scheduleapr[[#This Row],[TICKNESS]]*scheduleapr[[#This Row],[LENGTH]]*7.85)/1000000*scheduleapr[[#This Row],[SCHEDULE in nos]]/1000</f>
        <v/>
      </c>
      <c r="AK327" s="599">
        <f>(3.14*(scheduleapr[[#This Row],[ACTUAL OD]]-scheduleapr[[#This Row],[TICKNESS]])*scheduleapr[[#This Row],[TICKNESS]]*scheduleapr[[#This Row],[LENGTH]]*7.85)/1000000*scheduleapr[[#This Row],[DISPATCH]]/1000</f>
        <v/>
      </c>
      <c r="AL327" s="599">
        <f>AJ327-AK327</f>
        <v/>
      </c>
      <c r="AM327" s="599">
        <f>scheduleapr[[#This Row],[SCHEDULE in nos]]/scheduleapr[[#This Row],[SCHEDULE IN MT]]*scheduleapr[[#This Row],[CTL Stock]]</f>
        <v/>
      </c>
      <c r="AN327" s="599">
        <f>SUMIFS(stock[MT],stock[Bucket],scheduleapr[[#This Row],[Bucket]],stock[CTL Bucket],scheduleapr[[#This Row],[CTL Bucket]],stock[Plant],"0789")</f>
        <v/>
      </c>
      <c r="AO327" s="599" t="n"/>
      <c r="AP327" s="599">
        <f>SUMIFS(stock[MT],stock[Bucket],scheduleapr[[#This Row],[Bucket]],stock[LL or CTL],"LL")</f>
        <v/>
      </c>
      <c r="AQ327" s="599">
        <f>+SUMIFS(wip[Stock(Net Wt)],wip[Bucket],scheduleapr[[#This Row],[Bucket]])/1000</f>
        <v/>
      </c>
      <c r="AR327" s="599">
        <f>AJ327-AN327</f>
        <v/>
      </c>
      <c r="AS327" s="118" t="n"/>
    </row>
    <row r="328">
      <c r="A328" s="556" t="n"/>
      <c r="B328" s="5" t="inlineStr">
        <is>
          <t>Hosur</t>
        </is>
      </c>
      <c r="C328" s="601" t="inlineStr">
        <is>
          <t>NMPL HUB</t>
        </is>
      </c>
      <c r="D328" s="601" t="inlineStr">
        <is>
          <t>NMPL</t>
        </is>
      </c>
      <c r="E328" s="601" t="inlineStr">
        <is>
          <t>930801|189227</t>
        </is>
      </c>
      <c r="F328" s="557" t="n"/>
      <c r="G328" s="601">
        <f>_xlfn.CONCAT(scheduleapr[[#This Row],[CUSTOMER CODE]],"-",scheduleapr[[#This Row],[MATERIAL NO]])</f>
        <v/>
      </c>
      <c r="H328" s="557" t="n"/>
      <c r="I328" s="601" t="inlineStr">
        <is>
          <t>ERW 1</t>
        </is>
      </c>
      <c r="J328" s="557" t="n"/>
      <c r="K328" s="596" t="inlineStr">
        <is>
          <t>PE</t>
        </is>
      </c>
      <c r="L328" s="601" t="inlineStr">
        <is>
          <t>CR</t>
        </is>
      </c>
      <c r="M328" s="558" t="n"/>
      <c r="N328" s="557" t="n"/>
      <c r="O328" s="601" t="inlineStr">
        <is>
          <t>AG</t>
        </is>
      </c>
      <c r="P328" s="557" t="n"/>
      <c r="Q328" s="557">
        <f>CONCATENATE(scheduleapr[[#This Row],[OD]],"-",scheduleapr[[#This Row],[ID]],"-",scheduleapr[[#This Row],[TICKNESS]],"-",scheduleapr[[#This Row],[Grade]],"-",scheduleapr[[#This Row],[FC/NFC]])</f>
        <v/>
      </c>
      <c r="R328" s="557">
        <f>_xlfn.CONCAT(scheduleapr[[#This Row],[Bucket]],"-",scheduleapr[[#This Row],[LENGTH]]/1000)</f>
        <v/>
      </c>
      <c r="S328" s="557">
        <f>COUNTIF(scheduleapr[CTL Bucket],scheduleapr[[#This Row],[CTL Bucket]])</f>
        <v/>
      </c>
      <c r="T328" s="601" t="inlineStr">
        <is>
          <t>Hosur</t>
        </is>
      </c>
      <c r="U328" s="601">
        <f>_xlfn.IFNA(VLOOKUP(scheduleapr[[#This Row],[Bucket]],salesforecast[[#All],[Bucket2]:[8406 Stock]],19,0),0)</f>
        <v/>
      </c>
      <c r="V328" s="562">
        <f>_xlfn.IFNA(VLOOKUP(scheduleapr[[#This Row],[Bucket]],salesforecast[[#All],[Bucket2]:[8406 Stock]],20,0),0)+_xlfn.IFNA(VLOOKUP(scheduleapr[[#This Row],[Bucket]],salesforecast[[#All],[Bucket2]:[8406 Stock]],17,0),0)</f>
        <v/>
      </c>
      <c r="W328" s="601" t="n"/>
      <c r="X328" s="559" t="n">
        <v>22.23</v>
      </c>
      <c r="Y328" s="559" t="n">
        <v>22.23</v>
      </c>
      <c r="Z328" s="559" t="n">
        <v>0</v>
      </c>
      <c r="AA328" s="599" t="n">
        <v>1.6</v>
      </c>
      <c r="AB328" s="600" t="n">
        <v>690</v>
      </c>
      <c r="AC328" s="600" t="inlineStr">
        <is>
          <t>NOS</t>
        </is>
      </c>
      <c r="AD328" s="600" t="n"/>
      <c r="AE328" s="600" t="n"/>
      <c r="AF328" s="557" t="n"/>
      <c r="AG328" s="557" t="n"/>
      <c r="AH328" s="601">
        <f t="array" ref="AH3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8" s="602">
        <f>scheduleapr[[#This Row],[SCHEDULE in nos]]-scheduleapr[[#This Row],[DISPATCH]]</f>
        <v/>
      </c>
      <c r="AJ328" s="559">
        <f>(3.14*(scheduleapr[[#This Row],[ACTUAL OD]]-scheduleapr[[#This Row],[TICKNESS]])*scheduleapr[[#This Row],[TICKNESS]]*scheduleapr[[#This Row],[LENGTH]]*7.85)/1000000*scheduleapr[[#This Row],[SCHEDULE in nos]]/1000</f>
        <v/>
      </c>
      <c r="AK328" s="599">
        <f>(3.14*(scheduleapr[[#This Row],[ACTUAL OD]]-scheduleapr[[#This Row],[TICKNESS]])*scheduleapr[[#This Row],[TICKNESS]]*scheduleapr[[#This Row],[LENGTH]]*7.85)/1000000*scheduleapr[[#This Row],[DISPATCH]]/1000</f>
        <v/>
      </c>
      <c r="AL328" s="599">
        <f>AJ328-AK328</f>
        <v/>
      </c>
      <c r="AM328" s="559">
        <f>scheduleapr[[#This Row],[SCHEDULE in nos]]/scheduleapr[[#This Row],[SCHEDULE IN MT]]*scheduleapr[[#This Row],[CTL Stock]]</f>
        <v/>
      </c>
      <c r="AN328" s="599">
        <f>SUMIFS(stock[MT],stock[Bucket],scheduleapr[[#This Row],[Bucket]],stock[CTL Bucket],scheduleapr[[#This Row],[CTL Bucket]],stock[Plant],"0789")</f>
        <v/>
      </c>
      <c r="AO328" s="599" t="n"/>
      <c r="AP328" s="599">
        <f>SUMIFS(stock[MT],stock[Bucket],scheduleapr[[#This Row],[Bucket]],stock[LL or CTL],"LL")</f>
        <v/>
      </c>
      <c r="AQ328" s="599">
        <f>+SUMIFS(wip[Stock(Net Wt)],wip[Bucket],scheduleapr[[#This Row],[Bucket]])/1000</f>
        <v/>
      </c>
      <c r="AR328" s="599">
        <f>AJ328-AN328</f>
        <v/>
      </c>
      <c r="AS328" s="118" t="n"/>
    </row>
    <row r="329">
      <c r="A329" s="594" t="n">
        <v>227</v>
      </c>
      <c r="B329" s="5" t="inlineStr">
        <is>
          <t>Hosur</t>
        </is>
      </c>
      <c r="C329" s="601" t="inlineStr">
        <is>
          <t>NMPL HUB</t>
        </is>
      </c>
      <c r="D329" s="601" t="inlineStr">
        <is>
          <t>NMPL</t>
        </is>
      </c>
      <c r="E329" s="601" t="inlineStr">
        <is>
          <t>930801|189227</t>
        </is>
      </c>
      <c r="F329" s="601" t="n">
        <v>1940408</v>
      </c>
      <c r="G329" s="601">
        <f>_xlfn.CONCAT(scheduleapr[[#This Row],[CUSTOMER CODE]],"-",scheduleapr[[#This Row],[MATERIAL NO]])</f>
        <v/>
      </c>
      <c r="H329" s="601" t="inlineStr">
        <is>
          <t>TUB-O-O-AUT-AW-PE-22.23X1.600X0.8090</t>
        </is>
      </c>
      <c r="I329" s="601" t="inlineStr">
        <is>
          <t>ERW 1</t>
        </is>
      </c>
      <c r="J329" s="601" t="n"/>
      <c r="K329" s="601" t="inlineStr">
        <is>
          <t>PE</t>
        </is>
      </c>
      <c r="L329" s="601" t="inlineStr">
        <is>
          <t>CR</t>
        </is>
      </c>
      <c r="M329" s="596" t="inlineStr">
        <is>
          <t>GR1</t>
        </is>
      </c>
      <c r="N329" s="601" t="n"/>
      <c r="O329" s="601" t="n"/>
      <c r="P329" s="601" t="n"/>
      <c r="Q329" s="557">
        <f>CONCATENATE(scheduleapr[[#This Row],[OD]],"-",scheduleapr[[#This Row],[ID]],"-",scheduleapr[[#This Row],[TICKNESS]],"-",scheduleapr[[#This Row],[Grade]],"-",scheduleapr[[#This Row],[FC/NFC]])</f>
        <v/>
      </c>
      <c r="R329" s="557">
        <f>_xlfn.CONCAT(scheduleapr[[#This Row],[Bucket]],"-",scheduleapr[[#This Row],[LENGTH]]/1000)</f>
        <v/>
      </c>
      <c r="S329" s="557">
        <f>COUNTIF(scheduleapr[CTL Bucket],scheduleapr[[#This Row],[CTL Bucket]])</f>
        <v/>
      </c>
      <c r="T329" s="601" t="inlineStr">
        <is>
          <t>Hosur</t>
        </is>
      </c>
      <c r="U329" s="601" t="n"/>
      <c r="V329" s="557" t="n"/>
      <c r="W329" s="557" t="n"/>
      <c r="X329" s="599" t="n">
        <v>22.23</v>
      </c>
      <c r="Y329" s="599" t="n">
        <v>22.23</v>
      </c>
      <c r="Z329" s="6" t="n">
        <v>0</v>
      </c>
      <c r="AA329" s="599" t="n">
        <v>1.6</v>
      </c>
      <c r="AB329" s="600" t="n">
        <v>809</v>
      </c>
      <c r="AC329" s="600" t="inlineStr">
        <is>
          <t>NOS</t>
        </is>
      </c>
      <c r="AD329" s="600" t="n"/>
      <c r="AE329" s="600" t="n"/>
      <c r="AF329" s="601" t="n">
        <v>4930</v>
      </c>
      <c r="AG329" s="601" t="inlineStr">
        <is>
          <t>Aug 2026 schedule · nmpl 1 + nmpl hub</t>
        </is>
      </c>
      <c r="AH329" s="601">
        <f t="array" ref="AH3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29" s="602">
        <f>scheduleapr[[#This Row],[SCHEDULE in nos]]-scheduleapr[[#This Row],[DISPATCH]]</f>
        <v/>
      </c>
      <c r="AJ329" s="599">
        <f>(3.14*(scheduleapr[[#This Row],[ACTUAL OD]]-scheduleapr[[#This Row],[TICKNESS]])*scheduleapr[[#This Row],[TICKNESS]]*scheduleapr[[#This Row],[LENGTH]]*7.85)/1000000*scheduleapr[[#This Row],[SCHEDULE in nos]]/1000</f>
        <v/>
      </c>
      <c r="AK329" s="599">
        <f>(3.14*(scheduleapr[[#This Row],[ACTUAL OD]]-scheduleapr[[#This Row],[TICKNESS]])*scheduleapr[[#This Row],[TICKNESS]]*scheduleapr[[#This Row],[LENGTH]]*7.85)/1000000*scheduleapr[[#This Row],[DISPATCH]]/1000</f>
        <v/>
      </c>
      <c r="AL329" s="599">
        <f>AJ329-AK329</f>
        <v/>
      </c>
      <c r="AM329" s="599">
        <f>scheduleapr[[#This Row],[SCHEDULE in nos]]/scheduleapr[[#This Row],[SCHEDULE IN MT]]*scheduleapr[[#This Row],[CTL Stock]]</f>
        <v/>
      </c>
      <c r="AN329" s="599">
        <f>SUMIFS(stock[MT],stock[Bucket],scheduleapr[[#This Row],[Bucket]],stock[CTL Bucket],scheduleapr[[#This Row],[CTL Bucket]],stock[Plant],"0789")</f>
        <v/>
      </c>
      <c r="AO329" s="599" t="n"/>
      <c r="AP329" s="599">
        <f>SUMIFS(stock[MT],stock[Bucket],scheduleapr[[#This Row],[Bucket]],stock[LL or CTL],"LL")</f>
        <v/>
      </c>
      <c r="AQ329" s="599">
        <f>+SUMIFS(wip[Stock(Net Wt)],wip[Bucket],scheduleapr[[#This Row],[Bucket]])/1000</f>
        <v/>
      </c>
      <c r="AR329" s="599">
        <f>AJ329-AN329</f>
        <v/>
      </c>
      <c r="AS329" s="118" t="n"/>
    </row>
    <row r="330">
      <c r="A330" s="556" t="n"/>
      <c r="B330" s="5" t="inlineStr">
        <is>
          <t>Hosur</t>
        </is>
      </c>
      <c r="C330" s="601" t="inlineStr">
        <is>
          <t>NMPL HUB</t>
        </is>
      </c>
      <c r="D330" s="601" t="inlineStr">
        <is>
          <t>NMPL</t>
        </is>
      </c>
      <c r="E330" s="601" t="inlineStr">
        <is>
          <t>930801|189227</t>
        </is>
      </c>
      <c r="F330" s="601" t="n">
        <v>1940408</v>
      </c>
      <c r="G330" s="601">
        <f>_xlfn.CONCAT(scheduleapr[[#This Row],[CUSTOMER CODE]],"-",scheduleapr[[#This Row],[MATERIAL NO]])</f>
        <v/>
      </c>
      <c r="H330" s="601" t="inlineStr">
        <is>
          <t>TUB-O-O-AUT-AW-PE-22.23X1.600X0.8090</t>
        </is>
      </c>
      <c r="I330" s="601" t="inlineStr">
        <is>
          <t>ERW 1</t>
        </is>
      </c>
      <c r="J330" s="557" t="n"/>
      <c r="K330" s="601" t="inlineStr">
        <is>
          <t>PE</t>
        </is>
      </c>
      <c r="L330" s="601" t="inlineStr">
        <is>
          <t>HR</t>
        </is>
      </c>
      <c r="M330" s="558" t="n"/>
      <c r="N330" s="557" t="n"/>
      <c r="O330" s="557" t="n"/>
      <c r="P330" s="557" t="n"/>
      <c r="Q330" s="557">
        <f>CONCATENATE(scheduleapr[[#This Row],[OD]],"-",scheduleapr[[#This Row],[ID]],"-",scheduleapr[[#This Row],[TICKNESS]],"-",scheduleapr[[#This Row],[Grade]],"-",scheduleapr[[#This Row],[FC/NFC]])</f>
        <v/>
      </c>
      <c r="R330" s="557">
        <f>_xlfn.CONCAT(scheduleapr[[#This Row],[Bucket]],"-",scheduleapr[[#This Row],[LENGTH]]/1000)</f>
        <v/>
      </c>
      <c r="S330" s="557">
        <f>COUNTIF(scheduleapr[CTL Bucket],scheduleapr[[#This Row],[CTL Bucket]])</f>
        <v/>
      </c>
      <c r="T330" s="601" t="inlineStr">
        <is>
          <t>Hosur</t>
        </is>
      </c>
      <c r="U330" s="601">
        <f>_xlfn.IFNA(VLOOKUP(scheduleapr[[#This Row],[Bucket]],salesforecast[[#All],[Bucket2]:[8406 Stock]],19,0),0)</f>
        <v/>
      </c>
      <c r="V330" s="562">
        <f>_xlfn.IFNA(VLOOKUP(scheduleapr[[#This Row],[Bucket]],salesforecast[[#All],[Bucket2]:[8406 Stock]],20,0),0)+_xlfn.IFNA(VLOOKUP(scheduleapr[[#This Row],[Bucket]],salesforecast[[#All],[Bucket2]:[8406 Stock]],17,0),0)</f>
        <v/>
      </c>
      <c r="W330" s="601" t="n"/>
      <c r="X330" s="559" t="n">
        <v>22.23</v>
      </c>
      <c r="Y330" s="559" t="n">
        <v>22.23</v>
      </c>
      <c r="Z330" s="599" t="n">
        <v>0</v>
      </c>
      <c r="AA330" s="599" t="n">
        <v>1.6</v>
      </c>
      <c r="AB330" s="600" t="n">
        <v>809</v>
      </c>
      <c r="AC330" s="600" t="inlineStr">
        <is>
          <t>NOS</t>
        </is>
      </c>
      <c r="AD330" s="600" t="n"/>
      <c r="AE330" s="600" t="n"/>
      <c r="AF330" s="601" t="n"/>
      <c r="AG330" s="601" t="n"/>
      <c r="AH330" s="601">
        <f t="array" ref="AH3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0" s="602">
        <f>scheduleapr[[#This Row],[SCHEDULE in nos]]-scheduleapr[[#This Row],[DISPATCH]]</f>
        <v/>
      </c>
      <c r="AJ330" s="559">
        <f>(3.14*(scheduleapr[[#This Row],[ACTUAL OD]]-scheduleapr[[#This Row],[TICKNESS]])*scheduleapr[[#This Row],[TICKNESS]]*scheduleapr[[#This Row],[LENGTH]]*7.85)/1000000*scheduleapr[[#This Row],[SCHEDULE in nos]]/1000</f>
        <v/>
      </c>
      <c r="AK330" s="599">
        <f>(3.14*(scheduleapr[[#This Row],[ACTUAL OD]]-scheduleapr[[#This Row],[TICKNESS]])*scheduleapr[[#This Row],[TICKNESS]]*scheduleapr[[#This Row],[LENGTH]]*7.85)/1000000*scheduleapr[[#This Row],[DISPATCH]]/1000</f>
        <v/>
      </c>
      <c r="AL330" s="599">
        <f>AJ330-AK330</f>
        <v/>
      </c>
      <c r="AM330" s="559">
        <f>scheduleapr[[#This Row],[SCHEDULE in nos]]/scheduleapr[[#This Row],[SCHEDULE IN MT]]*scheduleapr[[#This Row],[CTL Stock]]</f>
        <v/>
      </c>
      <c r="AN330" s="599">
        <f>SUMIFS(stock[MT],stock[Bucket],scheduleapr[[#This Row],[Bucket]],stock[CTL Bucket],scheduleapr[[#This Row],[CTL Bucket]],stock[Plant],"0789")</f>
        <v/>
      </c>
      <c r="AO330" s="599" t="n"/>
      <c r="AP330" s="599">
        <f>SUMIFS(stock[MT],stock[Bucket],scheduleapr[[#This Row],[Bucket]],stock[LL or CTL],"LL")</f>
        <v/>
      </c>
      <c r="AQ330" s="599">
        <f>+SUMIFS(wip[Stock(Net Wt)],wip[Bucket],scheduleapr[[#This Row],[Bucket]])/1000</f>
        <v/>
      </c>
      <c r="AR330" s="599">
        <f>AJ330-AN330</f>
        <v/>
      </c>
      <c r="AS330" s="118" t="n"/>
    </row>
    <row r="331">
      <c r="A331" s="594" t="n">
        <v>268</v>
      </c>
      <c r="B331" s="5" t="inlineStr">
        <is>
          <t>Hosur</t>
        </is>
      </c>
      <c r="C331" s="601" t="inlineStr">
        <is>
          <t>NMPL TVSM</t>
        </is>
      </c>
      <c r="D331" s="601" t="inlineStr">
        <is>
          <t>NMPL</t>
        </is>
      </c>
      <c r="E331" s="601" t="inlineStr">
        <is>
          <t>189226|930794</t>
        </is>
      </c>
      <c r="F331" s="601" t="n">
        <v>1940408</v>
      </c>
      <c r="G331" s="601">
        <f>_xlfn.CONCAT(scheduleapr[[#This Row],[CUSTOMER CODE]],"-",scheduleapr[[#This Row],[MATERIAL NO]])</f>
        <v/>
      </c>
      <c r="H331" s="601" t="inlineStr">
        <is>
          <t>TUB-O-O-AUT-AW-PE-22.23X1.600X0.8090</t>
        </is>
      </c>
      <c r="I331" s="601" t="inlineStr">
        <is>
          <t>ERW 1</t>
        </is>
      </c>
      <c r="J331" s="601" t="n"/>
      <c r="K331" s="601" t="inlineStr">
        <is>
          <t>PE</t>
        </is>
      </c>
      <c r="L331" s="601" t="inlineStr">
        <is>
          <t>CR</t>
        </is>
      </c>
      <c r="M331" s="596" t="inlineStr">
        <is>
          <t>GR1</t>
        </is>
      </c>
      <c r="N331" s="601" t="n"/>
      <c r="O331" s="601" t="n"/>
      <c r="P331" s="601" t="n"/>
      <c r="Q331" s="557">
        <f>CONCATENATE(scheduleapr[[#This Row],[OD]],"-",scheduleapr[[#This Row],[ID]],"-",scheduleapr[[#This Row],[TICKNESS]],"-",scheduleapr[[#This Row],[Grade]],"-",scheduleapr[[#This Row],[FC/NFC]])</f>
        <v/>
      </c>
      <c r="R331" s="557">
        <f>_xlfn.CONCAT(scheduleapr[[#This Row],[Bucket]],"-",scheduleapr[[#This Row],[LENGTH]]/1000)</f>
        <v/>
      </c>
      <c r="S331" s="557">
        <f>COUNTIF(scheduleapr[CTL Bucket],scheduleapr[[#This Row],[CTL Bucket]])</f>
        <v/>
      </c>
      <c r="T331" s="601" t="inlineStr">
        <is>
          <t>Hosur</t>
        </is>
      </c>
      <c r="U331" s="601">
        <f>_xlfn.IFNA(VLOOKUP(scheduleapr[[#This Row],[Bucket]],salesforecast[[#All],[Bucket2]:[8406 Stock]],19,0),0)</f>
        <v/>
      </c>
      <c r="V331" s="562">
        <f>_xlfn.IFNA(VLOOKUP(scheduleapr[[#This Row],[Bucket]],salesforecast[[#All],[Bucket2]:[8406 Stock]],20,0),0)+_xlfn.IFNA(VLOOKUP(scheduleapr[[#This Row],[Bucket]],salesforecast[[#All],[Bucket2]:[8406 Stock]],17,0),0)</f>
        <v/>
      </c>
      <c r="W331" s="557" t="n"/>
      <c r="X331" s="599" t="n">
        <v>22.23</v>
      </c>
      <c r="Y331" s="599" t="n">
        <v>22.23</v>
      </c>
      <c r="Z331" s="6" t="n">
        <v>0</v>
      </c>
      <c r="AA331" s="599" t="n">
        <v>1.6</v>
      </c>
      <c r="AB331" s="600" t="n">
        <v>809</v>
      </c>
      <c r="AC331" s="600" t="inlineStr">
        <is>
          <t>NOS</t>
        </is>
      </c>
      <c r="AD331" s="600" t="n"/>
      <c r="AE331" s="600" t="n"/>
      <c r="AF331" s="601" t="n"/>
      <c r="AG331" s="601" t="n"/>
      <c r="AH331" s="601">
        <f t="array" ref="AH3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1" s="602">
        <f>scheduleapr[[#This Row],[SCHEDULE in nos]]-scheduleapr[[#This Row],[DISPATCH]]</f>
        <v/>
      </c>
      <c r="AJ331" s="599">
        <f>(3.14*(scheduleapr[[#This Row],[ACTUAL OD]]-scheduleapr[[#This Row],[TICKNESS]])*scheduleapr[[#This Row],[TICKNESS]]*scheduleapr[[#This Row],[LENGTH]]*7.85)/1000000*scheduleapr[[#This Row],[SCHEDULE in nos]]/1000</f>
        <v/>
      </c>
      <c r="AK331" s="599">
        <f>(3.14*(scheduleapr[[#This Row],[ACTUAL OD]]-scheduleapr[[#This Row],[TICKNESS]])*scheduleapr[[#This Row],[TICKNESS]]*scheduleapr[[#This Row],[LENGTH]]*7.85)/1000000*scheduleapr[[#This Row],[DISPATCH]]/1000</f>
        <v/>
      </c>
      <c r="AL331" s="599">
        <f>AJ331-AK331</f>
        <v/>
      </c>
      <c r="AM331" s="599">
        <f>scheduleapr[[#This Row],[SCHEDULE in nos]]/scheduleapr[[#This Row],[SCHEDULE IN MT]]*scheduleapr[[#This Row],[CTL Stock]]</f>
        <v/>
      </c>
      <c r="AN331" s="599">
        <f>SUMIFS(stock[MT],stock[Bucket],scheduleapr[[#This Row],[Bucket]],stock[CTL Bucket],scheduleapr[[#This Row],[CTL Bucket]],stock[Plant],"0789")</f>
        <v/>
      </c>
      <c r="AO331" s="599" t="n"/>
      <c r="AP331" s="599">
        <f>SUMIFS(stock[MT],stock[Bucket],scheduleapr[[#This Row],[Bucket]],stock[LL or CTL],"LL")</f>
        <v/>
      </c>
      <c r="AQ331" s="599">
        <f>+SUMIFS(wip[Stock(Net Wt)],wip[Bucket],scheduleapr[[#This Row],[Bucket]])/1000</f>
        <v/>
      </c>
      <c r="AR331" s="599">
        <f>AJ331-AN331</f>
        <v/>
      </c>
      <c r="AS331" s="118" t="n"/>
    </row>
    <row r="332">
      <c r="A332" s="594" t="n">
        <v>269</v>
      </c>
      <c r="B332" s="5" t="inlineStr">
        <is>
          <t>Hosur</t>
        </is>
      </c>
      <c r="C332" s="601" t="inlineStr">
        <is>
          <t>NMPL TVSM</t>
        </is>
      </c>
      <c r="D332" s="601" t="inlineStr">
        <is>
          <t>NMPL</t>
        </is>
      </c>
      <c r="E332" s="601" t="inlineStr">
        <is>
          <t>189226|930794</t>
        </is>
      </c>
      <c r="F332" s="601" t="n">
        <v>1159568</v>
      </c>
      <c r="G332" s="601">
        <f>_xlfn.CONCAT(scheduleapr[[#This Row],[CUSTOMER CODE]],"-",scheduleapr[[#This Row],[MATERIAL NO]])</f>
        <v/>
      </c>
      <c r="H332" s="601" t="inlineStr">
        <is>
          <t>TUB-O-N-AUT-AW-PE-22.20X2.000X0.180</t>
        </is>
      </c>
      <c r="I332" s="601" t="inlineStr">
        <is>
          <t>ERW 1</t>
        </is>
      </c>
      <c r="J332" s="601" t="n"/>
      <c r="K332" s="601" t="inlineStr">
        <is>
          <t>PE</t>
        </is>
      </c>
      <c r="L332" s="601" t="inlineStr">
        <is>
          <t>HR</t>
        </is>
      </c>
      <c r="M332" s="601" t="n"/>
      <c r="N332" s="601" t="n"/>
      <c r="O332" s="601" t="n"/>
      <c r="P332" s="601" t="n"/>
      <c r="Q332" s="557">
        <f>CONCATENATE(scheduleapr[[#This Row],[OD]],"-",scheduleapr[[#This Row],[ID]],"-",scheduleapr[[#This Row],[TICKNESS]],"-",scheduleapr[[#This Row],[Grade]],"-",scheduleapr[[#This Row],[FC/NFC]])</f>
        <v/>
      </c>
      <c r="R332" s="557">
        <f>_xlfn.CONCAT(scheduleapr[[#This Row],[Bucket]],"-",scheduleapr[[#This Row],[LENGTH]]/1000)</f>
        <v/>
      </c>
      <c r="S332" s="557">
        <f>COUNTIF([2]!buckets[CTL Bucket],[2]!scheduleapr[[#This Row],[CTL Bucket]])</f>
        <v/>
      </c>
      <c r="T332" s="557" t="n"/>
      <c r="U332" s="557" t="n"/>
      <c r="V332" s="557" t="n"/>
      <c r="W332" s="557" t="n"/>
      <c r="X332" s="599" t="n">
        <v>22.23</v>
      </c>
      <c r="Y332" s="599" t="n">
        <v>22.23</v>
      </c>
      <c r="Z332" s="599" t="n">
        <v>0</v>
      </c>
      <c r="AA332" s="599" t="n">
        <v>2</v>
      </c>
      <c r="AB332" s="600" t="n">
        <v>180</v>
      </c>
      <c r="AC332" s="600" t="inlineStr">
        <is>
          <t>NOS</t>
        </is>
      </c>
      <c r="AD332" s="600" t="n"/>
      <c r="AE332" s="600" t="n"/>
      <c r="AF332" s="601" t="n"/>
      <c r="AG332" s="601" t="n"/>
      <c r="AH332" s="601">
        <f t="array" ref="AH3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2" s="602">
        <f>scheduleapr[[#This Row],[SCHEDULE in nos]]-scheduleapr[[#This Row],[DISPATCH]]</f>
        <v/>
      </c>
      <c r="AJ332" s="599">
        <f>(3.14*(scheduleapr[[#This Row],[ACTUAL OD]]-scheduleapr[[#This Row],[TICKNESS]])*scheduleapr[[#This Row],[TICKNESS]]*scheduleapr[[#This Row],[LENGTH]]*7.85)/1000000*scheduleapr[[#This Row],[SCHEDULE in nos]]/1000</f>
        <v/>
      </c>
      <c r="AK332" s="599">
        <f>(3.14*(scheduleapr[[#This Row],[ACTUAL OD]]-scheduleapr[[#This Row],[TICKNESS]])*scheduleapr[[#This Row],[TICKNESS]]*scheduleapr[[#This Row],[LENGTH]]*7.85)/1000000*scheduleapr[[#This Row],[DISPATCH]]/1000</f>
        <v/>
      </c>
      <c r="AL332" s="599">
        <f>AJ332-AK332</f>
        <v/>
      </c>
      <c r="AM332" s="599">
        <f>scheduleapr[[#This Row],[SCHEDULE in nos]]/scheduleapr[[#This Row],[SCHEDULE IN MT]]*scheduleapr[[#This Row],[CTL Stock]]</f>
        <v/>
      </c>
      <c r="AN332" s="599">
        <f>SUMIFS(stock[MT],stock[Bucket],scheduleapr[[#This Row],[Bucket]],stock[CTL Bucket],scheduleapr[[#This Row],[CTL Bucket]],stock[Plant],"0789")</f>
        <v/>
      </c>
      <c r="AO332" s="599" t="n"/>
      <c r="AP332" s="599">
        <f>SUMIFS(stock[MT],stock[Bucket],scheduleapr[[#This Row],[Bucket]],stock[LL or CTL],"LL")</f>
        <v/>
      </c>
      <c r="AQ332" s="599">
        <f>+SUMIFS(wip[Stock(Net Wt)],wip[Bucket],scheduleapr[[#This Row],[Bucket]])/1000</f>
        <v/>
      </c>
      <c r="AR332" s="599">
        <f>AJ332-AN332</f>
        <v/>
      </c>
      <c r="AS332" s="118" t="n"/>
    </row>
    <row r="333">
      <c r="A333" s="594" t="n">
        <v>228</v>
      </c>
      <c r="B333" s="5" t="inlineStr">
        <is>
          <t>Hosur</t>
        </is>
      </c>
      <c r="C333" s="601" t="inlineStr">
        <is>
          <t>NMPL TVSM</t>
        </is>
      </c>
      <c r="D333" s="601" t="inlineStr">
        <is>
          <t>NMPL</t>
        </is>
      </c>
      <c r="E333" s="601" t="inlineStr">
        <is>
          <t>930801|189227</t>
        </is>
      </c>
      <c r="F333" s="601" t="n">
        <v>1940437</v>
      </c>
      <c r="G333" s="601">
        <f>_xlfn.CONCAT(scheduleapr[[#This Row],[CUSTOMER CODE]],"-",scheduleapr[[#This Row],[MATERIAL NO]])</f>
        <v/>
      </c>
      <c r="H333" s="601" t="inlineStr">
        <is>
          <t>TUB-O-O-AUT-AW-PE-22.23X2.000X0.3940</t>
        </is>
      </c>
      <c r="I333" s="601" t="inlineStr">
        <is>
          <t>ERW 1</t>
        </is>
      </c>
      <c r="J333" s="601" t="n"/>
      <c r="K333" s="601" t="inlineStr">
        <is>
          <t>PE</t>
        </is>
      </c>
      <c r="L333" s="601" t="inlineStr">
        <is>
          <t>HR</t>
        </is>
      </c>
      <c r="M333" s="601" t="n"/>
      <c r="N333" s="601" t="n"/>
      <c r="O333" s="601" t="n"/>
      <c r="P333" s="601" t="n"/>
      <c r="Q333" s="557">
        <f>CONCATENATE(scheduleapr[[#This Row],[OD]],"-",scheduleapr[[#This Row],[ID]],"-",scheduleapr[[#This Row],[TICKNESS]],"-",scheduleapr[[#This Row],[Grade]],"-",scheduleapr[[#This Row],[FC/NFC]])</f>
        <v/>
      </c>
      <c r="R333" s="557">
        <f>_xlfn.CONCAT(scheduleapr[[#This Row],[Bucket]],"-",scheduleapr[[#This Row],[LENGTH]]/1000)</f>
        <v/>
      </c>
      <c r="S333" s="557">
        <f>COUNTIF(scheduleapr[CTL Bucket],scheduleapr[[#This Row],[CTL Bucket]])</f>
        <v/>
      </c>
      <c r="T333" s="601" t="inlineStr">
        <is>
          <t>Hosur</t>
        </is>
      </c>
      <c r="U333" s="601">
        <f>_xlfn.IFNA(VLOOKUP(scheduleapr[[#This Row],[Bucket]],salesforecast[[#All],[Bucket2]:[8406 Stock]],19,0),0)</f>
        <v/>
      </c>
      <c r="V333" s="562">
        <f>_xlfn.IFNA(VLOOKUP(scheduleapr[[#This Row],[Bucket]],salesforecast[[#All],[Bucket2]:[8406 Stock]],20,0),0)+_xlfn.IFNA(VLOOKUP(scheduleapr[[#This Row],[Bucket]],salesforecast[[#All],[Bucket2]:[8406 Stock]],17,0),0)</f>
        <v/>
      </c>
      <c r="W333" s="557" t="n"/>
      <c r="X333" s="599" t="n">
        <v>22.23</v>
      </c>
      <c r="Y333" s="599" t="n">
        <v>22.23</v>
      </c>
      <c r="Z333" s="6" t="n">
        <v>0</v>
      </c>
      <c r="AA333" s="599" t="n">
        <v>2</v>
      </c>
      <c r="AB333" s="600" t="n">
        <v>394</v>
      </c>
      <c r="AC333" s="600" t="inlineStr">
        <is>
          <t>NOS</t>
        </is>
      </c>
      <c r="AD333" s="600" t="n"/>
      <c r="AE333" s="600" t="n"/>
      <c r="AF333" s="601" t="n">
        <v>18086.25</v>
      </c>
      <c r="AG333" s="601" t="inlineStr">
        <is>
          <t>Aug 2026 schedule · nmpl 1 + nmpl hub</t>
        </is>
      </c>
      <c r="AH333" s="601">
        <f t="array" ref="AH3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3" s="602">
        <f>scheduleapr[[#This Row],[SCHEDULE in nos]]-scheduleapr[[#This Row],[DISPATCH]]</f>
        <v/>
      </c>
      <c r="AJ333" s="599">
        <f>(3.14*(scheduleapr[[#This Row],[ACTUAL OD]]-scheduleapr[[#This Row],[TICKNESS]])*scheduleapr[[#This Row],[TICKNESS]]*scheduleapr[[#This Row],[LENGTH]]*7.85)/1000000*scheduleapr[[#This Row],[SCHEDULE in nos]]/1000</f>
        <v/>
      </c>
      <c r="AK333" s="599">
        <f>(3.14*(scheduleapr[[#This Row],[ACTUAL OD]]-scheduleapr[[#This Row],[TICKNESS]])*scheduleapr[[#This Row],[TICKNESS]]*scheduleapr[[#This Row],[LENGTH]]*7.85)/1000000*scheduleapr[[#This Row],[DISPATCH]]/1000</f>
        <v/>
      </c>
      <c r="AL333" s="599">
        <f>AJ333-AK333</f>
        <v/>
      </c>
      <c r="AM333" s="599">
        <f>scheduleapr[[#This Row],[SCHEDULE in nos]]/scheduleapr[[#This Row],[SCHEDULE IN MT]]*scheduleapr[[#This Row],[CTL Stock]]</f>
        <v/>
      </c>
      <c r="AN333" s="599">
        <f>SUMIFS(stock[MT],stock[Bucket],scheduleapr[[#This Row],[Bucket]],stock[CTL Bucket],scheduleapr[[#This Row],[CTL Bucket]],stock[Plant],"0789")</f>
        <v/>
      </c>
      <c r="AO333" s="599" t="n"/>
      <c r="AP333" s="599">
        <f>SUMIFS(stock[MT],stock[Bucket],scheduleapr[[#This Row],[Bucket]],stock[LL or CTL],"LL")</f>
        <v/>
      </c>
      <c r="AQ333" s="599">
        <f>+SUMIFS(wip[Stock(Net Wt)],wip[Bucket],scheduleapr[[#This Row],[Bucket]])/1000</f>
        <v/>
      </c>
      <c r="AR333" s="599">
        <f>AJ333-AN333</f>
        <v/>
      </c>
      <c r="AS333" s="118" t="n"/>
    </row>
    <row r="334">
      <c r="A334" s="594" t="n">
        <v>229</v>
      </c>
      <c r="B334" s="5" t="inlineStr">
        <is>
          <t>Hosur</t>
        </is>
      </c>
      <c r="C334" s="601" t="inlineStr">
        <is>
          <t>NMPL HUB</t>
        </is>
      </c>
      <c r="D334" s="601" t="inlineStr">
        <is>
          <t>NMPL</t>
        </is>
      </c>
      <c r="E334" s="601" t="inlineStr">
        <is>
          <t>930801|189227</t>
        </is>
      </c>
      <c r="F334" s="601" t="n">
        <v>1940466</v>
      </c>
      <c r="G334" s="601">
        <f>_xlfn.CONCAT(scheduleapr[[#This Row],[CUSTOMER CODE]],"-",scheduleapr[[#This Row],[MATERIAL NO]])</f>
        <v/>
      </c>
      <c r="H334" s="601" t="inlineStr">
        <is>
          <t>TUB-O-O-AUT-AW-PE-22.23X2.000X0.8090</t>
        </is>
      </c>
      <c r="I334" s="601" t="inlineStr">
        <is>
          <t>ERW 1</t>
        </is>
      </c>
      <c r="J334" s="601" t="n"/>
      <c r="K334" s="601" t="inlineStr">
        <is>
          <t>PE</t>
        </is>
      </c>
      <c r="L334" s="601" t="inlineStr">
        <is>
          <t>HR</t>
        </is>
      </c>
      <c r="M334" s="601" t="n"/>
      <c r="N334" s="601" t="n"/>
      <c r="O334" s="601" t="n"/>
      <c r="P334" s="601" t="n"/>
      <c r="Q334" s="557">
        <f>CONCATENATE(scheduleapr[[#This Row],[OD]],"-",scheduleapr[[#This Row],[ID]],"-",scheduleapr[[#This Row],[TICKNESS]],"-",scheduleapr[[#This Row],[Grade]],"-",scheduleapr[[#This Row],[FC/NFC]])</f>
        <v/>
      </c>
      <c r="R334" s="557">
        <f>_xlfn.CONCAT(scheduleapr[[#This Row],[Bucket]],"-",scheduleapr[[#This Row],[LENGTH]]/1000)</f>
        <v/>
      </c>
      <c r="S334" s="557">
        <f>COUNTIF(scheduleapr[CTL Bucket],scheduleapr[[#This Row],[CTL Bucket]])</f>
        <v/>
      </c>
      <c r="T334" s="601" t="inlineStr">
        <is>
          <t>Hosur</t>
        </is>
      </c>
      <c r="U334" s="601">
        <f>_xlfn.IFNA(VLOOKUP(scheduleapr[[#This Row],[Bucket]],salesforecast[[#All],[Bucket2]:[8406 Stock]],19,0),0)</f>
        <v/>
      </c>
      <c r="V334" s="562">
        <f>_xlfn.IFNA(VLOOKUP(scheduleapr[[#This Row],[Bucket]],salesforecast[[#All],[Bucket2]:[8406 Stock]],20,0),0)+_xlfn.IFNA(VLOOKUP(scheduleapr[[#This Row],[Bucket]],salesforecast[[#All],[Bucket2]:[8406 Stock]],17,0),0)</f>
        <v/>
      </c>
      <c r="W334" s="557" t="n"/>
      <c r="X334" s="599" t="n">
        <v>22.23</v>
      </c>
      <c r="Y334" s="599" t="n">
        <v>22.23</v>
      </c>
      <c r="Z334" s="6" t="n">
        <v>0</v>
      </c>
      <c r="AA334" s="599" t="n">
        <v>2</v>
      </c>
      <c r="AB334" s="600" t="n">
        <v>809</v>
      </c>
      <c r="AC334" s="600" t="inlineStr">
        <is>
          <t>NOS</t>
        </is>
      </c>
      <c r="AD334" s="600" t="n"/>
      <c r="AE334" s="600" t="n"/>
      <c r="AF334" s="601" t="n">
        <v>11558.75</v>
      </c>
      <c r="AG334" s="601" t="inlineStr">
        <is>
          <t>Aug 2026 schedule · nmpl 1 + nmpl hub</t>
        </is>
      </c>
      <c r="AH334" s="601">
        <f t="array" ref="AH3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4" s="602">
        <f>scheduleapr[[#This Row],[SCHEDULE in nos]]-scheduleapr[[#This Row],[DISPATCH]]</f>
        <v/>
      </c>
      <c r="AJ334" s="599">
        <f>(3.14*(scheduleapr[[#This Row],[ACTUAL OD]]-scheduleapr[[#This Row],[TICKNESS]])*scheduleapr[[#This Row],[TICKNESS]]*scheduleapr[[#This Row],[LENGTH]]*7.85)/1000000*scheduleapr[[#This Row],[SCHEDULE in nos]]/1000</f>
        <v/>
      </c>
      <c r="AK334" s="599">
        <f>(3.14*(scheduleapr[[#This Row],[ACTUAL OD]]-scheduleapr[[#This Row],[TICKNESS]])*scheduleapr[[#This Row],[TICKNESS]]*scheduleapr[[#This Row],[LENGTH]]*7.85)/1000000*scheduleapr[[#This Row],[DISPATCH]]/1000</f>
        <v/>
      </c>
      <c r="AL334" s="599">
        <f>AJ334-AK334</f>
        <v/>
      </c>
      <c r="AM334" s="599">
        <f>scheduleapr[[#This Row],[SCHEDULE in nos]]/scheduleapr[[#This Row],[SCHEDULE IN MT]]*scheduleapr[[#This Row],[CTL Stock]]</f>
        <v/>
      </c>
      <c r="AN334" s="599">
        <f>SUMIFS(stock[MT],stock[Bucket],scheduleapr[[#This Row],[Bucket]],stock[CTL Bucket],scheduleapr[[#This Row],[CTL Bucket]],stock[Plant],"0789")</f>
        <v/>
      </c>
      <c r="AO334" s="599" t="n"/>
      <c r="AP334" s="599">
        <f>SUMIFS(stock[MT],stock[Bucket],scheduleapr[[#This Row],[Bucket]],stock[LL or CTL],"LL")</f>
        <v/>
      </c>
      <c r="AQ334" s="599">
        <f>+SUMIFS(wip[Stock(Net Wt)],wip[Bucket],scheduleapr[[#This Row],[Bucket]])/1000</f>
        <v/>
      </c>
      <c r="AR334" s="599">
        <f>AJ334-AN334</f>
        <v/>
      </c>
      <c r="AS334" s="118" t="n"/>
    </row>
    <row r="335">
      <c r="A335" s="594" t="n">
        <v>270</v>
      </c>
      <c r="B335" s="5" t="inlineStr">
        <is>
          <t>Hosur</t>
        </is>
      </c>
      <c r="C335" s="601" t="inlineStr">
        <is>
          <t>NMPL TVSM</t>
        </is>
      </c>
      <c r="D335" s="601" t="inlineStr">
        <is>
          <t>NMPL</t>
        </is>
      </c>
      <c r="E335" s="601" t="inlineStr">
        <is>
          <t>189226|930794</t>
        </is>
      </c>
      <c r="F335" s="601" t="n">
        <v>1940466</v>
      </c>
      <c r="G335" s="601">
        <f>_xlfn.CONCAT(scheduleapr[[#This Row],[CUSTOMER CODE]],"-",scheduleapr[[#This Row],[MATERIAL NO]])</f>
        <v/>
      </c>
      <c r="H335" s="601" t="inlineStr">
        <is>
          <t>TUB-O-O-AUT-AW-PE-22.23X2.000X0.8090</t>
        </is>
      </c>
      <c r="I335" s="601" t="inlineStr">
        <is>
          <t>ERW 1</t>
        </is>
      </c>
      <c r="J335" s="601" t="n"/>
      <c r="K335" s="601" t="inlineStr">
        <is>
          <t>PE</t>
        </is>
      </c>
      <c r="L335" s="601" t="inlineStr">
        <is>
          <t>HR</t>
        </is>
      </c>
      <c r="M335" s="601" t="n"/>
      <c r="N335" s="601" t="n"/>
      <c r="O335" s="601" t="n"/>
      <c r="P335" s="601" t="n"/>
      <c r="Q335" s="557">
        <f>CONCATENATE(scheduleapr[[#This Row],[OD]],"-",scheduleapr[[#This Row],[ID]],"-",scheduleapr[[#This Row],[TICKNESS]],"-",scheduleapr[[#This Row],[Grade]],"-",scheduleapr[[#This Row],[FC/NFC]])</f>
        <v/>
      </c>
      <c r="R335" s="557">
        <f>_xlfn.CONCAT(scheduleapr[[#This Row],[Bucket]],"-",scheduleapr[[#This Row],[LENGTH]]/1000)</f>
        <v/>
      </c>
      <c r="S335" s="557">
        <f>COUNTIF(scheduleapr[CTL Bucket],scheduleapr[[#This Row],[CTL Bucket]])</f>
        <v/>
      </c>
      <c r="T335" s="601" t="inlineStr">
        <is>
          <t>Hosur</t>
        </is>
      </c>
      <c r="U335" s="601">
        <f>_xlfn.IFNA(VLOOKUP(scheduleapr[[#This Row],[Bucket]],salesforecast[[#All],[Bucket2]:[8406 Stock]],19,0),0)</f>
        <v/>
      </c>
      <c r="V335" s="562">
        <f>_xlfn.IFNA(VLOOKUP(scheduleapr[[#This Row],[Bucket]],salesforecast[[#All],[Bucket2]:[8406 Stock]],20,0),0)+_xlfn.IFNA(VLOOKUP(scheduleapr[[#This Row],[Bucket]],salesforecast[[#All],[Bucket2]:[8406 Stock]],17,0),0)</f>
        <v/>
      </c>
      <c r="W335" s="557" t="n"/>
      <c r="X335" s="599" t="n">
        <v>22.23</v>
      </c>
      <c r="Y335" s="599" t="n">
        <v>22.23</v>
      </c>
      <c r="Z335" s="599" t="n">
        <v>0</v>
      </c>
      <c r="AA335" s="599" t="n">
        <v>2</v>
      </c>
      <c r="AB335" s="600" t="n">
        <v>809</v>
      </c>
      <c r="AC335" s="600" t="inlineStr">
        <is>
          <t>NOS</t>
        </is>
      </c>
      <c r="AD335" s="600" t="n"/>
      <c r="AE335" s="600" t="n"/>
      <c r="AF335" s="601" t="n"/>
      <c r="AG335" s="601" t="n"/>
      <c r="AH335" s="601">
        <f t="array" ref="AH3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5" s="602">
        <f>scheduleapr[[#This Row],[SCHEDULE in nos]]-scheduleapr[[#This Row],[DISPATCH]]</f>
        <v/>
      </c>
      <c r="AJ335" s="599">
        <f>(3.14*(scheduleapr[[#This Row],[ACTUAL OD]]-scheduleapr[[#This Row],[TICKNESS]])*scheduleapr[[#This Row],[TICKNESS]]*scheduleapr[[#This Row],[LENGTH]]*7.85)/1000000*scheduleapr[[#This Row],[SCHEDULE in nos]]/1000</f>
        <v/>
      </c>
      <c r="AK335" s="599">
        <f>(3.14*(scheduleapr[[#This Row],[ACTUAL OD]]-scheduleapr[[#This Row],[TICKNESS]])*scheduleapr[[#This Row],[TICKNESS]]*scheduleapr[[#This Row],[LENGTH]]*7.85)/1000000*scheduleapr[[#This Row],[DISPATCH]]/1000</f>
        <v/>
      </c>
      <c r="AL335" s="599">
        <f>AJ335-AK335</f>
        <v/>
      </c>
      <c r="AM335" s="599">
        <f>scheduleapr[[#This Row],[SCHEDULE in nos]]/scheduleapr[[#This Row],[SCHEDULE IN MT]]*scheduleapr[[#This Row],[CTL Stock]]</f>
        <v/>
      </c>
      <c r="AN335" s="599">
        <f>SUMIFS(stock[MT],stock[Bucket],scheduleapr[[#This Row],[Bucket]],stock[CTL Bucket],scheduleapr[[#This Row],[CTL Bucket]],stock[Plant],"0789")</f>
        <v/>
      </c>
      <c r="AO335" s="599" t="n"/>
      <c r="AP335" s="599">
        <f>SUMIFS(stock[MT],stock[Bucket],scheduleapr[[#This Row],[Bucket]],stock[LL or CTL],"LL")</f>
        <v/>
      </c>
      <c r="AQ335" s="599">
        <f>+SUMIFS(wip[Stock(Net Wt)],wip[Bucket],scheduleapr[[#This Row],[Bucket]])/1000</f>
        <v/>
      </c>
      <c r="AR335" s="599">
        <f>AJ335-AN335</f>
        <v/>
      </c>
      <c r="AS335" s="118" t="n"/>
    </row>
    <row r="336">
      <c r="A336" s="594" t="n">
        <v>271</v>
      </c>
      <c r="B336" s="5" t="inlineStr">
        <is>
          <t>Hosur</t>
        </is>
      </c>
      <c r="C336" s="601" t="inlineStr">
        <is>
          <t>NMPL TVSM</t>
        </is>
      </c>
      <c r="D336" s="601" t="inlineStr">
        <is>
          <t>NMPL</t>
        </is>
      </c>
      <c r="E336" s="601" t="inlineStr">
        <is>
          <t>189226|930794</t>
        </is>
      </c>
      <c r="F336" s="601" t="n">
        <v>2413708</v>
      </c>
      <c r="G336" s="601">
        <f>_xlfn.CONCAT(scheduleapr[[#This Row],[CUSTOMER CODE]],"-",scheduleapr[[#This Row],[MATERIAL NO]])</f>
        <v/>
      </c>
      <c r="H336" s="601" t="inlineStr">
        <is>
          <t>TUB-O-N-AUT-AW-PE-22.23X2.000X0.8150</t>
        </is>
      </c>
      <c r="I336" s="601" t="inlineStr">
        <is>
          <t>ERW 1</t>
        </is>
      </c>
      <c r="J336" s="601" t="n"/>
      <c r="K336" s="601" t="inlineStr">
        <is>
          <t>PE</t>
        </is>
      </c>
      <c r="L336" s="601" t="inlineStr">
        <is>
          <t>HR</t>
        </is>
      </c>
      <c r="M336" s="601" t="n"/>
      <c r="N336" s="601" t="n"/>
      <c r="O336" s="601" t="n"/>
      <c r="P336" s="601" t="n"/>
      <c r="Q336" s="557">
        <f>CONCATENATE(scheduleapr[[#This Row],[OD]],"-",scheduleapr[[#This Row],[ID]],"-",scheduleapr[[#This Row],[TICKNESS]],"-",scheduleapr[[#This Row],[Grade]],"-",scheduleapr[[#This Row],[FC/NFC]])</f>
        <v/>
      </c>
      <c r="R336" s="557">
        <f>_xlfn.CONCAT(scheduleapr[[#This Row],[Bucket]],"-",scheduleapr[[#This Row],[LENGTH]]/1000)</f>
        <v/>
      </c>
      <c r="S336" s="557">
        <f>COUNTIF(scheduleapr[CTL Bucket],scheduleapr[[#This Row],[CTL Bucket]])</f>
        <v/>
      </c>
      <c r="T336" s="601" t="inlineStr">
        <is>
          <t>Hosur</t>
        </is>
      </c>
      <c r="U336" s="601">
        <f>_xlfn.IFNA(VLOOKUP(scheduleapr[[#This Row],[Bucket]],salesforecast[[#All],[Bucket2]:[8406 Stock]],19,0),0)</f>
        <v/>
      </c>
      <c r="V336" s="562">
        <f>_xlfn.IFNA(VLOOKUP(scheduleapr[[#This Row],[Bucket]],salesforecast[[#All],[Bucket2]:[8406 Stock]],20,0),0)+_xlfn.IFNA(VLOOKUP(scheduleapr[[#This Row],[Bucket]],salesforecast[[#All],[Bucket2]:[8406 Stock]],17,0),0)</f>
        <v/>
      </c>
      <c r="W336" s="557" t="n"/>
      <c r="X336" s="599" t="n">
        <v>22.23</v>
      </c>
      <c r="Y336" s="599" t="n">
        <v>22.23</v>
      </c>
      <c r="Z336" s="599" t="n">
        <v>0</v>
      </c>
      <c r="AA336" s="599" t="n">
        <v>2</v>
      </c>
      <c r="AB336" s="600" t="n">
        <v>815</v>
      </c>
      <c r="AC336" s="600" t="inlineStr">
        <is>
          <t>NOS</t>
        </is>
      </c>
      <c r="AD336" s="600" t="n"/>
      <c r="AE336" s="600" t="n"/>
      <c r="AF336" s="601" t="n">
        <v>10000</v>
      </c>
      <c r="AG336" s="601" t="inlineStr">
        <is>
          <t>Aug 2026 schedule · nmpl 1</t>
        </is>
      </c>
      <c r="AH336" s="601">
        <f t="array" ref="AH3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6" s="602">
        <f>scheduleapr[[#This Row],[SCHEDULE in nos]]-scheduleapr[[#This Row],[DISPATCH]]</f>
        <v/>
      </c>
      <c r="AJ336" s="599">
        <f>(3.14*(scheduleapr[[#This Row],[ACTUAL OD]]-scheduleapr[[#This Row],[TICKNESS]])*scheduleapr[[#This Row],[TICKNESS]]*scheduleapr[[#This Row],[LENGTH]]*7.85)/1000000*scheduleapr[[#This Row],[SCHEDULE in nos]]/1000</f>
        <v/>
      </c>
      <c r="AK336" s="599">
        <f>(3.14*(scheduleapr[[#This Row],[ACTUAL OD]]-scheduleapr[[#This Row],[TICKNESS]])*scheduleapr[[#This Row],[TICKNESS]]*scheduleapr[[#This Row],[LENGTH]]*7.85)/1000000*scheduleapr[[#This Row],[DISPATCH]]/1000</f>
        <v/>
      </c>
      <c r="AL336" s="599">
        <f>AJ336-AK336</f>
        <v/>
      </c>
      <c r="AM336" s="599">
        <f>scheduleapr[[#This Row],[SCHEDULE in nos]]/scheduleapr[[#This Row],[SCHEDULE IN MT]]*scheduleapr[[#This Row],[CTL Stock]]</f>
        <v/>
      </c>
      <c r="AN336" s="599">
        <f>SUMIFS(stock[MT],stock[Bucket],scheduleapr[[#This Row],[Bucket]],stock[CTL Bucket],scheduleapr[[#This Row],[CTL Bucket]],stock[Plant],"0789")</f>
        <v/>
      </c>
      <c r="AO336" s="599" t="n"/>
      <c r="AP336" s="599">
        <f>SUMIFS(stock[MT],stock[Bucket],scheduleapr[[#This Row],[Bucket]],stock[LL or CTL],"LL")</f>
        <v/>
      </c>
      <c r="AQ336" s="599">
        <f>+SUMIFS(wip[Stock(Net Wt)],wip[Bucket],scheduleapr[[#This Row],[Bucket]])/1000</f>
        <v/>
      </c>
      <c r="AR336" s="599">
        <f>AJ336-AN336</f>
        <v/>
      </c>
      <c r="AS336" s="118" t="n"/>
    </row>
    <row r="337">
      <c r="A337" s="594" t="n">
        <v>244</v>
      </c>
      <c r="B337" s="5" t="inlineStr">
        <is>
          <t>Hosur</t>
        </is>
      </c>
      <c r="C337" s="601" t="inlineStr">
        <is>
          <t>NMPL HUB</t>
        </is>
      </c>
      <c r="D337" s="601" t="inlineStr">
        <is>
          <t>NMPL</t>
        </is>
      </c>
      <c r="E337" s="601" t="inlineStr">
        <is>
          <t>930801|189227</t>
        </is>
      </c>
      <c r="F337" s="601">
        <f>_xlfn.CONCAT([2]!scheduleapr[[#This Row],[OD]],"-",[2]!scheduleapr[[#This Row],[ID]],"-",[2]!scheduleapr[[#This Row],[TICKNESS]],"-",[2]!scheduleapr[[#This Row],[LENGTH]])</f>
        <v/>
      </c>
      <c r="G337" s="601">
        <f>_xlfn.CONCAT(scheduleapr[[#This Row],[CUSTOMER CODE]],"-",scheduleapr[[#This Row],[MATERIAL NO]])</f>
        <v/>
      </c>
      <c r="H337" s="557" t="n"/>
      <c r="I337" s="601" t="inlineStr">
        <is>
          <t>ERW 1</t>
        </is>
      </c>
      <c r="J337" s="557" t="n"/>
      <c r="K337" s="601" t="inlineStr">
        <is>
          <t>PE</t>
        </is>
      </c>
      <c r="L337" s="557" t="n"/>
      <c r="M337" s="557" t="n"/>
      <c r="N337" s="557" t="n"/>
      <c r="O337" s="557" t="n"/>
      <c r="P337" s="557" t="n"/>
      <c r="Q337" s="557">
        <f>CONCATENATE(scheduleapr[[#This Row],[OD]],"-",scheduleapr[[#This Row],[ID]],"-",scheduleapr[[#This Row],[TICKNESS]],"-",scheduleapr[[#This Row],[Grade]],"-",scheduleapr[[#This Row],[FC/NFC]])</f>
        <v/>
      </c>
      <c r="R337" s="557">
        <f>_xlfn.CONCAT(scheduleapr[[#This Row],[Bucket]],"-",scheduleapr[[#This Row],[LENGTH]]/1000)</f>
        <v/>
      </c>
      <c r="S337" s="557">
        <f>COUNTIF([2]!buckets[CTL Bucket],[2]!scheduleapr[[#This Row],[CTL Bucket]])</f>
        <v/>
      </c>
      <c r="T337" s="601" t="inlineStr">
        <is>
          <t>Hosur</t>
        </is>
      </c>
      <c r="U337" s="601" t="n"/>
      <c r="V337" s="557" t="n"/>
      <c r="W337" s="557" t="n"/>
      <c r="X337" s="559" t="n">
        <v>22.23</v>
      </c>
      <c r="Y337" s="559" t="n">
        <v>22.23</v>
      </c>
      <c r="Z337" s="599" t="n">
        <v>0</v>
      </c>
      <c r="AA337" s="599" t="n">
        <v>2</v>
      </c>
      <c r="AB337" s="600" t="n">
        <v>1000</v>
      </c>
      <c r="AC337" s="600" t="inlineStr">
        <is>
          <t>M</t>
        </is>
      </c>
      <c r="AD337" s="600" t="n"/>
      <c r="AE337" s="600" t="n"/>
      <c r="AF337" s="601" t="n"/>
      <c r="AG337" s="601" t="n"/>
      <c r="AH337" s="601">
        <f t="array" ref="AH3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7" s="602">
        <f>scheduleapr[[#This Row],[SCHEDULE in nos]]-scheduleapr[[#This Row],[DISPATCH]]</f>
        <v/>
      </c>
      <c r="AJ337" s="599">
        <f>(3.14*(scheduleapr[[#This Row],[ACTUAL OD]]-scheduleapr[[#This Row],[TICKNESS]])*scheduleapr[[#This Row],[TICKNESS]]*scheduleapr[[#This Row],[LENGTH]]*7.85)/1000000*scheduleapr[[#This Row],[SCHEDULE in nos]]/1000</f>
        <v/>
      </c>
      <c r="AK337" s="599">
        <f>(3.14*(scheduleapr[[#This Row],[ACTUAL OD]]-scheduleapr[[#This Row],[TICKNESS]])*scheduleapr[[#This Row],[TICKNESS]]*scheduleapr[[#This Row],[LENGTH]]*7.85)/1000000*scheduleapr[[#This Row],[DISPATCH]]/1000</f>
        <v/>
      </c>
      <c r="AL337" s="599">
        <f>AJ337-AK337</f>
        <v/>
      </c>
      <c r="AM337" s="599">
        <f>scheduleapr[[#This Row],[SCHEDULE in nos]]/scheduleapr[[#This Row],[SCHEDULE IN MT]]*scheduleapr[[#This Row],[CTL Stock]]</f>
        <v/>
      </c>
      <c r="AN337" s="599">
        <f>SUMIFS(stock[MT],stock[Bucket],scheduleapr[[#This Row],[Bucket]],stock[CTL Bucket],scheduleapr[[#This Row],[CTL Bucket]],stock[Plant],"0789")</f>
        <v/>
      </c>
      <c r="AO337" s="599" t="n"/>
      <c r="AP337" s="599">
        <f>SUMIFS(stock[MT],stock[Bucket],scheduleapr[[#This Row],[Bucket]],stock[LL or CTL],"LL")</f>
        <v/>
      </c>
      <c r="AQ337" s="599">
        <f>+SUMIFS(wip[Stock(Net Wt)],wip[Bucket],scheduleapr[[#This Row],[Bucket]])/1000</f>
        <v/>
      </c>
      <c r="AR337" s="599">
        <f>AJ337-AN337</f>
        <v/>
      </c>
      <c r="AS337" s="118" t="n"/>
    </row>
    <row r="338">
      <c r="A338" s="594" t="n">
        <v>272</v>
      </c>
      <c r="B338" s="5" t="inlineStr">
        <is>
          <t>Hosur</t>
        </is>
      </c>
      <c r="C338" s="601" t="inlineStr">
        <is>
          <t>NMPL TVSM</t>
        </is>
      </c>
      <c r="D338" s="601" t="inlineStr">
        <is>
          <t>NMPL</t>
        </is>
      </c>
      <c r="E338" s="601" t="inlineStr">
        <is>
          <t>189226|930794</t>
        </is>
      </c>
      <c r="F338" s="601" t="n">
        <v>3506579</v>
      </c>
      <c r="G338" s="601">
        <f>_xlfn.CONCAT(scheduleapr[[#This Row],[CUSTOMER CODE]],"-",scheduleapr[[#This Row],[MATERIAL NO]])</f>
        <v/>
      </c>
      <c r="H338" s="601" t="inlineStr">
        <is>
          <t>CUT-O-N-AUT-AW-PE-22.20X2.300X0.430</t>
        </is>
      </c>
      <c r="I338" s="601" t="inlineStr">
        <is>
          <t>ERW 1</t>
        </is>
      </c>
      <c r="J338" s="601" t="n"/>
      <c r="K338" s="601" t="inlineStr">
        <is>
          <t>PE</t>
        </is>
      </c>
      <c r="L338" s="601" t="inlineStr">
        <is>
          <t>HR</t>
        </is>
      </c>
      <c r="M338" s="601" t="n"/>
      <c r="N338" s="601" t="n"/>
      <c r="O338" s="601" t="n"/>
      <c r="P338" s="601" t="n"/>
      <c r="Q338" s="557">
        <f>CONCATENATE(scheduleapr[[#This Row],[OD]],"-",scheduleapr[[#This Row],[ID]],"-",scheduleapr[[#This Row],[TICKNESS]],"-",scheduleapr[[#This Row],[Grade]],"-",scheduleapr[[#This Row],[FC/NFC]])</f>
        <v/>
      </c>
      <c r="R338" s="557">
        <f>_xlfn.CONCAT(scheduleapr[[#This Row],[Bucket]],"-",scheduleapr[[#This Row],[LENGTH]]/1000)</f>
        <v/>
      </c>
      <c r="S338" s="557">
        <f>COUNTIF([2]!buckets[CTL Bucket],[2]!scheduleapr[[#This Row],[CTL Bucket]])</f>
        <v/>
      </c>
      <c r="T338" s="557" t="n"/>
      <c r="U338" s="557" t="n"/>
      <c r="V338" s="557" t="n"/>
      <c r="W338" s="557" t="n"/>
      <c r="X338" s="599" t="n">
        <v>22.23</v>
      </c>
      <c r="Y338" s="599" t="n">
        <v>22.23</v>
      </c>
      <c r="Z338" s="599" t="n">
        <v>0</v>
      </c>
      <c r="AA338" s="599" t="n">
        <v>2.3</v>
      </c>
      <c r="AB338" s="600" t="n">
        <v>430</v>
      </c>
      <c r="AC338" s="600" t="inlineStr">
        <is>
          <t>NOS</t>
        </is>
      </c>
      <c r="AD338" s="600" t="n"/>
      <c r="AE338" s="600" t="n"/>
      <c r="AF338" s="601" t="n"/>
      <c r="AG338" s="601" t="n"/>
      <c r="AH338" s="601">
        <f t="array" ref="AH3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8" s="602">
        <f>scheduleapr[[#This Row],[SCHEDULE in nos]]-scheduleapr[[#This Row],[DISPATCH]]</f>
        <v/>
      </c>
      <c r="AJ338" s="599">
        <f>(3.14*(scheduleapr[[#This Row],[ACTUAL OD]]-scheduleapr[[#This Row],[TICKNESS]])*scheduleapr[[#This Row],[TICKNESS]]*scheduleapr[[#This Row],[LENGTH]]*7.85)/1000000*scheduleapr[[#This Row],[SCHEDULE in nos]]/1000</f>
        <v/>
      </c>
      <c r="AK338" s="599">
        <f>(3.14*(scheduleapr[[#This Row],[ACTUAL OD]]-scheduleapr[[#This Row],[TICKNESS]])*scheduleapr[[#This Row],[TICKNESS]]*scheduleapr[[#This Row],[LENGTH]]*7.85)/1000000*scheduleapr[[#This Row],[DISPATCH]]/1000</f>
        <v/>
      </c>
      <c r="AL338" s="599">
        <f>AJ338-AK338</f>
        <v/>
      </c>
      <c r="AM338" s="599">
        <f>scheduleapr[[#This Row],[SCHEDULE in nos]]/scheduleapr[[#This Row],[SCHEDULE IN MT]]*scheduleapr[[#This Row],[CTL Stock]]</f>
        <v/>
      </c>
      <c r="AN338" s="599">
        <f>SUMIFS(stock[MT],stock[Bucket],scheduleapr[[#This Row],[Bucket]],stock[CTL Bucket],scheduleapr[[#This Row],[CTL Bucket]],stock[Plant],"0789")</f>
        <v/>
      </c>
      <c r="AO338" s="599" t="n"/>
      <c r="AP338" s="599">
        <f>SUMIFS(stock[MT],stock[Bucket],scheduleapr[[#This Row],[Bucket]],stock[LL or CTL],"LL")</f>
        <v/>
      </c>
      <c r="AQ338" s="599">
        <f>+SUMIFS(wip[Stock(Net Wt)],wip[Bucket],scheduleapr[[#This Row],[Bucket]])/1000</f>
        <v/>
      </c>
      <c r="AR338" s="599">
        <f>AJ338-AN338</f>
        <v/>
      </c>
      <c r="AS338" s="118" t="n"/>
    </row>
    <row r="339">
      <c r="A339" s="594" t="n">
        <v>273</v>
      </c>
      <c r="B339" s="5" t="inlineStr">
        <is>
          <t>Hosur</t>
        </is>
      </c>
      <c r="C339" s="601" t="inlineStr">
        <is>
          <t>NMPL TVSM</t>
        </is>
      </c>
      <c r="D339" s="601" t="inlineStr">
        <is>
          <t>NMPL</t>
        </is>
      </c>
      <c r="E339" s="601" t="inlineStr">
        <is>
          <t>189226|930794</t>
        </is>
      </c>
      <c r="F339" s="601" t="n">
        <v>1940538</v>
      </c>
      <c r="G339" s="601">
        <f>_xlfn.CONCAT(scheduleapr[[#This Row],[CUSTOMER CODE]],"-",scheduleapr[[#This Row],[MATERIAL NO]])</f>
        <v/>
      </c>
      <c r="H339" s="601" t="inlineStr">
        <is>
          <t>TUB-O-O-AUT-AW-PE-25.40X1.200X0.8450</t>
        </is>
      </c>
      <c r="I339" s="601" t="inlineStr">
        <is>
          <t>ERW 1</t>
        </is>
      </c>
      <c r="J339" s="601" t="n"/>
      <c r="K339" s="601" t="inlineStr">
        <is>
          <t>PE</t>
        </is>
      </c>
      <c r="L339" s="601" t="inlineStr">
        <is>
          <t>CR</t>
        </is>
      </c>
      <c r="M339" s="601" t="n"/>
      <c r="N339" s="601" t="n"/>
      <c r="O339" s="601" t="inlineStr">
        <is>
          <t>AG</t>
        </is>
      </c>
      <c r="P339" s="601" t="n"/>
      <c r="Q339" s="557">
        <f>CONCATENATE(scheduleapr[[#This Row],[OD]],"-",scheduleapr[[#This Row],[ID]],"-",scheduleapr[[#This Row],[TICKNESS]],"-",scheduleapr[[#This Row],[Grade]],"-",scheduleapr[[#This Row],[FC/NFC]])</f>
        <v/>
      </c>
      <c r="R339" s="557">
        <f>_xlfn.CONCAT(scheduleapr[[#This Row],[Bucket]],"-",scheduleapr[[#This Row],[LENGTH]]/1000)</f>
        <v/>
      </c>
      <c r="S339" s="557">
        <f>COUNTIF(scheduleapr[CTL Bucket],scheduleapr[[#This Row],[CTL Bucket]])</f>
        <v/>
      </c>
      <c r="T339" s="601" t="inlineStr">
        <is>
          <t>Hosur</t>
        </is>
      </c>
      <c r="U339" s="601">
        <f>_xlfn.IFNA(VLOOKUP(scheduleapr[[#This Row],[Bucket]],salesforecast[[#All],[Bucket2]:[8406 Stock]],19,0),0)</f>
        <v/>
      </c>
      <c r="V339" s="562">
        <f>_xlfn.IFNA(VLOOKUP(scheduleapr[[#This Row],[Bucket]],salesforecast[[#All],[Bucket2]:[8406 Stock]],20,0),0)+_xlfn.IFNA(VLOOKUP(scheduleapr[[#This Row],[Bucket]],salesforecast[[#All],[Bucket2]:[8406 Stock]],17,0),0)</f>
        <v/>
      </c>
      <c r="W339" s="557" t="n"/>
      <c r="X339" s="599" t="n">
        <v>25.4</v>
      </c>
      <c r="Y339" s="599" t="n">
        <v>25.4</v>
      </c>
      <c r="Z339" s="599" t="n">
        <v>0</v>
      </c>
      <c r="AA339" s="599" t="n">
        <v>1.2</v>
      </c>
      <c r="AB339" s="600" t="n">
        <v>845</v>
      </c>
      <c r="AC339" s="600" t="inlineStr">
        <is>
          <t>NOS</t>
        </is>
      </c>
      <c r="AD339" s="600" t="n"/>
      <c r="AE339" s="600" t="n"/>
      <c r="AF339" s="601" t="n">
        <v>5000</v>
      </c>
      <c r="AG339" s="601" t="inlineStr">
        <is>
          <t>Aug 2026 schedule · nmpl 1</t>
        </is>
      </c>
      <c r="AH339" s="601">
        <f t="array" ref="AH3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39" s="602">
        <f>scheduleapr[[#This Row],[SCHEDULE in nos]]-scheduleapr[[#This Row],[DISPATCH]]</f>
        <v/>
      </c>
      <c r="AJ339" s="599">
        <f>(3.14*(scheduleapr[[#This Row],[ACTUAL OD]]-scheduleapr[[#This Row],[TICKNESS]])*scheduleapr[[#This Row],[TICKNESS]]*scheduleapr[[#This Row],[LENGTH]]*7.85)/1000000*scheduleapr[[#This Row],[SCHEDULE in nos]]/1000</f>
        <v/>
      </c>
      <c r="AK339" s="599">
        <f>(3.14*(scheduleapr[[#This Row],[ACTUAL OD]]-scheduleapr[[#This Row],[TICKNESS]])*scheduleapr[[#This Row],[TICKNESS]]*scheduleapr[[#This Row],[LENGTH]]*7.85)/1000000*scheduleapr[[#This Row],[DISPATCH]]/1000</f>
        <v/>
      </c>
      <c r="AL339" s="599">
        <f>AJ339-AK339</f>
        <v/>
      </c>
      <c r="AM339" s="599">
        <f>scheduleapr[[#This Row],[SCHEDULE in nos]]/scheduleapr[[#This Row],[SCHEDULE IN MT]]*scheduleapr[[#This Row],[CTL Stock]]</f>
        <v/>
      </c>
      <c r="AN339" s="599">
        <f>SUMIFS(stock[MT],stock[Bucket],scheduleapr[[#This Row],[Bucket]],stock[CTL Bucket],scheduleapr[[#This Row],[CTL Bucket]],stock[Plant],"0789")</f>
        <v/>
      </c>
      <c r="AO339" s="599" t="n"/>
      <c r="AP339" s="599">
        <f>SUMIFS(stock[MT],stock[Bucket],scheduleapr[[#This Row],[Bucket]],stock[LL or CTL],"LL")</f>
        <v/>
      </c>
      <c r="AQ339" s="599">
        <f>+SUMIFS(wip[Stock(Net Wt)],wip[Bucket],scheduleapr[[#This Row],[Bucket]])/1000</f>
        <v/>
      </c>
      <c r="AR339" s="599">
        <f>AJ339-AN339</f>
        <v/>
      </c>
      <c r="AS339" s="118" t="n"/>
    </row>
    <row r="340">
      <c r="A340" s="594" t="n">
        <v>241</v>
      </c>
      <c r="B340" s="5" t="inlineStr">
        <is>
          <t>Hosur</t>
        </is>
      </c>
      <c r="C340" s="601" t="inlineStr">
        <is>
          <t>NMPL HUB</t>
        </is>
      </c>
      <c r="D340" s="601" t="inlineStr">
        <is>
          <t>NMPL</t>
        </is>
      </c>
      <c r="E340" s="601" t="inlineStr">
        <is>
          <t>930801|189227</t>
        </is>
      </c>
      <c r="F340" s="601">
        <f>_xlfn.CONCAT([2]!scheduleapr[[#This Row],[OD]],"-",[2]!scheduleapr[[#This Row],[ID]],"-",[2]!scheduleapr[[#This Row],[TICKNESS]],"-",[2]!scheduleapr[[#This Row],[LENGTH]])</f>
        <v/>
      </c>
      <c r="G340" s="601">
        <f>_xlfn.CONCAT(scheduleapr[[#This Row],[CUSTOMER CODE]],"-",scheduleapr[[#This Row],[MATERIAL NO]])</f>
        <v/>
      </c>
      <c r="H340" s="557" t="n"/>
      <c r="I340" s="601" t="inlineStr">
        <is>
          <t>ERW 1</t>
        </is>
      </c>
      <c r="J340" s="557" t="n"/>
      <c r="K340" s="601" t="inlineStr">
        <is>
          <t>PE</t>
        </is>
      </c>
      <c r="L340" s="601" t="inlineStr">
        <is>
          <t>CR</t>
        </is>
      </c>
      <c r="M340" s="557" t="n"/>
      <c r="N340" s="557" t="n"/>
      <c r="O340" s="557" t="n"/>
      <c r="P340" s="557" t="n"/>
      <c r="Q340" s="557">
        <f>CONCATENATE(scheduleapr[[#This Row],[OD]],"-",scheduleapr[[#This Row],[ID]],"-",scheduleapr[[#This Row],[TICKNESS]],"-",scheduleapr[[#This Row],[Grade]],"-",scheduleapr[[#This Row],[FC/NFC]])</f>
        <v/>
      </c>
      <c r="R340" s="557">
        <f>_xlfn.CONCAT(scheduleapr[[#This Row],[Bucket]],"-",scheduleapr[[#This Row],[LENGTH]]/1000)</f>
        <v/>
      </c>
      <c r="S340" s="557">
        <f>COUNTIF(scheduleapr[CTL Bucket],scheduleapr[[#This Row],[CTL Bucket]])</f>
        <v/>
      </c>
      <c r="T340" s="601" t="inlineStr">
        <is>
          <t>Hosur</t>
        </is>
      </c>
      <c r="U340" s="601" t="n"/>
      <c r="V340" s="557" t="n"/>
      <c r="W340" s="557" t="n"/>
      <c r="X340" s="559" t="n">
        <v>25.4</v>
      </c>
      <c r="Y340" s="559" t="n">
        <v>25.4</v>
      </c>
      <c r="Z340" s="599" t="n">
        <v>0</v>
      </c>
      <c r="AA340" s="599" t="n">
        <v>1.2</v>
      </c>
      <c r="AB340" s="600" t="n">
        <v>1000</v>
      </c>
      <c r="AC340" s="600" t="inlineStr">
        <is>
          <t>M</t>
        </is>
      </c>
      <c r="AD340" s="600" t="n"/>
      <c r="AE340" s="600" t="n"/>
      <c r="AF340" s="601" t="n"/>
      <c r="AG340" s="601" t="n"/>
      <c r="AH340" s="601">
        <f t="array" ref="AH3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0" s="602">
        <f>scheduleapr[[#This Row],[SCHEDULE in nos]]-scheduleapr[[#This Row],[DISPATCH]]</f>
        <v/>
      </c>
      <c r="AJ340" s="599">
        <f>(3.14*(scheduleapr[[#This Row],[ACTUAL OD]]-scheduleapr[[#This Row],[TICKNESS]])*scheduleapr[[#This Row],[TICKNESS]]*scheduleapr[[#This Row],[LENGTH]]*7.85)/1000000*scheduleapr[[#This Row],[SCHEDULE in nos]]/1000</f>
        <v/>
      </c>
      <c r="AK340" s="599">
        <f>(3.14*(scheduleapr[[#This Row],[ACTUAL OD]]-scheduleapr[[#This Row],[TICKNESS]])*scheduleapr[[#This Row],[TICKNESS]]*scheduleapr[[#This Row],[LENGTH]]*7.85)/1000000*scheduleapr[[#This Row],[DISPATCH]]/1000</f>
        <v/>
      </c>
      <c r="AL340" s="599">
        <f>AJ340-AK340</f>
        <v/>
      </c>
      <c r="AM340" s="599">
        <f>scheduleapr[[#This Row],[SCHEDULE in nos]]/scheduleapr[[#This Row],[SCHEDULE IN MT]]*scheduleapr[[#This Row],[CTL Stock]]</f>
        <v/>
      </c>
      <c r="AN340" s="599">
        <f>SUMIFS(stock[MT],stock[Bucket],scheduleapr[[#This Row],[Bucket]],stock[CTL Bucket],scheduleapr[[#This Row],[CTL Bucket]],stock[Plant],"0789")</f>
        <v/>
      </c>
      <c r="AO340" s="599" t="n"/>
      <c r="AP340" s="599">
        <f>SUMIFS(stock[MT],stock[Bucket],scheduleapr[[#This Row],[Bucket]],stock[LL or CTL],"LL")</f>
        <v/>
      </c>
      <c r="AQ340" s="599">
        <f>+SUMIFS(wip[Stock(Net Wt)],wip[Bucket],scheduleapr[[#This Row],[Bucket]])/1000</f>
        <v/>
      </c>
      <c r="AR340" s="599">
        <f>AJ340-AN340</f>
        <v/>
      </c>
      <c r="AS340" s="118" t="n"/>
    </row>
    <row r="341">
      <c r="A341" s="594" t="n">
        <v>274</v>
      </c>
      <c r="B341" s="5" t="inlineStr">
        <is>
          <t>Hosur</t>
        </is>
      </c>
      <c r="C341" s="601" t="inlineStr">
        <is>
          <t>NMPL TVSM</t>
        </is>
      </c>
      <c r="D341" s="601" t="inlineStr">
        <is>
          <t>NMPL</t>
        </is>
      </c>
      <c r="E341" s="601" t="inlineStr">
        <is>
          <t>189226|930794</t>
        </is>
      </c>
      <c r="F341" s="601" t="n">
        <v>3727130</v>
      </c>
      <c r="G341" s="601">
        <f>_xlfn.CONCAT(scheduleapr[[#This Row],[CUSTOMER CODE]],"-",scheduleapr[[#This Row],[MATERIAL NO]])</f>
        <v/>
      </c>
      <c r="H341" s="601" t="inlineStr">
        <is>
          <t>CUT-O-N-AUT-AW-PE-25.40X1.600X0.5120</t>
        </is>
      </c>
      <c r="I341" s="601" t="inlineStr">
        <is>
          <t>ERW 1</t>
        </is>
      </c>
      <c r="J341" s="601" t="n"/>
      <c r="K341" s="601" t="inlineStr">
        <is>
          <t>PE</t>
        </is>
      </c>
      <c r="L341" s="601" t="inlineStr">
        <is>
          <t>HR</t>
        </is>
      </c>
      <c r="M341" s="601" t="n"/>
      <c r="N341" s="601" t="n"/>
      <c r="O341" s="601" t="n"/>
      <c r="P341" s="601" t="n"/>
      <c r="Q341" s="557">
        <f>CONCATENATE(scheduleapr[[#This Row],[OD]],"-",scheduleapr[[#This Row],[ID]],"-",scheduleapr[[#This Row],[TICKNESS]],"-",scheduleapr[[#This Row],[Grade]],"-",scheduleapr[[#This Row],[FC/NFC]])</f>
        <v/>
      </c>
      <c r="R341" s="557">
        <f>_xlfn.CONCAT(scheduleapr[[#This Row],[Bucket]],"-",scheduleapr[[#This Row],[LENGTH]]/1000)</f>
        <v/>
      </c>
      <c r="S341" s="557">
        <f>COUNTIF([2]!buckets[CTL Bucket],[2]!scheduleapr[[#This Row],[CTL Bucket]])</f>
        <v/>
      </c>
      <c r="T341" s="557" t="n"/>
      <c r="U341" s="557" t="n"/>
      <c r="V341" s="557" t="n"/>
      <c r="W341" s="557" t="n"/>
      <c r="X341" s="599" t="n">
        <v>25.4</v>
      </c>
      <c r="Y341" s="599" t="n">
        <v>25.4</v>
      </c>
      <c r="Z341" s="6" t="n">
        <v>0</v>
      </c>
      <c r="AA341" s="599" t="n">
        <v>1.6</v>
      </c>
      <c r="AB341" s="600" t="n">
        <v>512</v>
      </c>
      <c r="AC341" s="600" t="n"/>
      <c r="AD341" s="600" t="n"/>
      <c r="AE341" s="600" t="n"/>
      <c r="AF341" s="601" t="n"/>
      <c r="AG341" s="601" t="n"/>
      <c r="AH341" s="601">
        <f t="array" ref="AH3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1" s="602">
        <f>scheduleapr[[#This Row],[SCHEDULE in nos]]-scheduleapr[[#This Row],[DISPATCH]]</f>
        <v/>
      </c>
      <c r="AJ341" s="599">
        <f>(3.14*(scheduleapr[[#This Row],[ACTUAL OD]]-scheduleapr[[#This Row],[TICKNESS]])*scheduleapr[[#This Row],[TICKNESS]]*scheduleapr[[#This Row],[LENGTH]]*7.85)/1000000*scheduleapr[[#This Row],[SCHEDULE in nos]]/1000</f>
        <v/>
      </c>
      <c r="AK341" s="599">
        <f>(3.14*(scheduleapr[[#This Row],[ACTUAL OD]]-scheduleapr[[#This Row],[TICKNESS]])*scheduleapr[[#This Row],[TICKNESS]]*scheduleapr[[#This Row],[LENGTH]]*7.85)/1000000*scheduleapr[[#This Row],[DISPATCH]]/1000</f>
        <v/>
      </c>
      <c r="AL341" s="599">
        <f>AJ341-AK341</f>
        <v/>
      </c>
      <c r="AM341" s="599">
        <f>scheduleapr[[#This Row],[SCHEDULE in nos]]/scheduleapr[[#This Row],[SCHEDULE IN MT]]*scheduleapr[[#This Row],[CTL Stock]]</f>
        <v/>
      </c>
      <c r="AN341" s="599">
        <f>SUMIFS(stock[MT],stock[Bucket],scheduleapr[[#This Row],[Bucket]],stock[CTL Bucket],scheduleapr[[#This Row],[CTL Bucket]],stock[Plant],"0789")</f>
        <v/>
      </c>
      <c r="AO341" s="599" t="n"/>
      <c r="AP341" s="599">
        <f>SUMIFS(stock[MT],stock[Bucket],scheduleapr[[#This Row],[Bucket]],stock[LL or CTL],"LL")</f>
        <v/>
      </c>
      <c r="AQ341" s="599">
        <f>+SUMIFS(wip[Stock(Net Wt)],wip[Bucket],scheduleapr[[#This Row],[Bucket]])/1000</f>
        <v/>
      </c>
      <c r="AR341" s="599">
        <f>AJ341-AN341</f>
        <v/>
      </c>
      <c r="AS341" s="118" t="n"/>
    </row>
    <row r="342">
      <c r="A342" s="594" t="n">
        <v>230</v>
      </c>
      <c r="B342" s="5" t="inlineStr">
        <is>
          <t>Hosur</t>
        </is>
      </c>
      <c r="C342" s="601" t="inlineStr">
        <is>
          <t>NMPL HUB</t>
        </is>
      </c>
      <c r="D342" s="601" t="inlineStr">
        <is>
          <t>NMPL</t>
        </is>
      </c>
      <c r="E342" s="601" t="inlineStr">
        <is>
          <t>930801|189227</t>
        </is>
      </c>
      <c r="F342" s="601">
        <f>_xlfn.CONCAT([2]!scheduleapr[[#This Row],[OD]],"-",[2]!scheduleapr[[#This Row],[ID]],"-",[2]!scheduleapr[[#This Row],[TICKNESS]],"-",[2]!scheduleapr[[#This Row],[LENGTH]])</f>
        <v/>
      </c>
      <c r="G342" s="601">
        <f>_xlfn.CONCAT(scheduleapr[[#This Row],[CUSTOMER CODE]],"-",scheduleapr[[#This Row],[MATERIAL NO]])</f>
        <v/>
      </c>
      <c r="H342" s="601" t="inlineStr">
        <is>
          <t>TUB-O-O-AUT-AW-PE-25.40X2.00X0.4120</t>
        </is>
      </c>
      <c r="I342" s="601" t="inlineStr">
        <is>
          <t>ERW 1</t>
        </is>
      </c>
      <c r="J342" s="601" t="n"/>
      <c r="K342" s="601" t="inlineStr">
        <is>
          <t>PE</t>
        </is>
      </c>
      <c r="L342" s="601" t="inlineStr">
        <is>
          <t>HR</t>
        </is>
      </c>
      <c r="M342" s="601" t="n"/>
      <c r="N342" s="601" t="n"/>
      <c r="O342" s="601" t="n"/>
      <c r="P342" s="601" t="n"/>
      <c r="Q342" s="557">
        <f>CONCATENATE(scheduleapr[[#This Row],[OD]],"-",scheduleapr[[#This Row],[ID]],"-",scheduleapr[[#This Row],[TICKNESS]],"-",scheduleapr[[#This Row],[Grade]],"-",scheduleapr[[#This Row],[FC/NFC]])</f>
        <v/>
      </c>
      <c r="R342" s="557">
        <f>_xlfn.CONCAT(scheduleapr[[#This Row],[Bucket]],"-",scheduleapr[[#This Row],[LENGTH]]/1000)</f>
        <v/>
      </c>
      <c r="S342" s="557">
        <f>COUNTIF(scheduleapr[CTL Bucket],scheduleapr[[#This Row],[CTL Bucket]])</f>
        <v/>
      </c>
      <c r="T342" s="601" t="inlineStr">
        <is>
          <t>Hosur</t>
        </is>
      </c>
      <c r="U342" s="601">
        <f>_xlfn.IFNA(VLOOKUP(scheduleapr[[#This Row],[Bucket]],salesforecast[[#All],[Bucket2]:[8406 Stock]],19,0),0)</f>
        <v/>
      </c>
      <c r="V342" s="562">
        <f>_xlfn.IFNA(VLOOKUP(scheduleapr[[#This Row],[Bucket]],salesforecast[[#All],[Bucket2]:[8406 Stock]],20,0),0)+_xlfn.IFNA(VLOOKUP(scheduleapr[[#This Row],[Bucket]],salesforecast[[#All],[Bucket2]:[8406 Stock]],17,0),0)</f>
        <v/>
      </c>
      <c r="W342" s="557" t="n"/>
      <c r="X342" s="599" t="n">
        <v>25.4</v>
      </c>
      <c r="Y342" s="599" t="n">
        <v>25.4</v>
      </c>
      <c r="Z342" s="599" t="n">
        <v>0</v>
      </c>
      <c r="AA342" s="599" t="n">
        <v>2</v>
      </c>
      <c r="AB342" s="600" t="n">
        <v>412</v>
      </c>
      <c r="AC342" s="600" t="inlineStr">
        <is>
          <t>NOS</t>
        </is>
      </c>
      <c r="AD342" s="600" t="n"/>
      <c r="AE342" s="600" t="n"/>
      <c r="AF342" s="601" t="n">
        <v>12825</v>
      </c>
      <c r="AG342" s="601" t="inlineStr">
        <is>
          <t>Aug 2026 schedule · nmpl hub</t>
        </is>
      </c>
      <c r="AH342" s="601">
        <f t="array" ref="AH3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2" s="602">
        <f>scheduleapr[[#This Row],[SCHEDULE in nos]]-scheduleapr[[#This Row],[DISPATCH]]</f>
        <v/>
      </c>
      <c r="AJ342" s="599">
        <f>(3.14*(scheduleapr[[#This Row],[ACTUAL OD]]-scheduleapr[[#This Row],[TICKNESS]])*scheduleapr[[#This Row],[TICKNESS]]*scheduleapr[[#This Row],[LENGTH]]*7.85)/1000000*scheduleapr[[#This Row],[SCHEDULE in nos]]/1000</f>
        <v/>
      </c>
      <c r="AK342" s="599">
        <f>(3.14*(scheduleapr[[#This Row],[ACTUAL OD]]-scheduleapr[[#This Row],[TICKNESS]])*scheduleapr[[#This Row],[TICKNESS]]*scheduleapr[[#This Row],[LENGTH]]*7.85)/1000000*scheduleapr[[#This Row],[DISPATCH]]/1000</f>
        <v/>
      </c>
      <c r="AL342" s="599">
        <f>AJ342-AK342</f>
        <v/>
      </c>
      <c r="AM342" s="599">
        <f>scheduleapr[[#This Row],[SCHEDULE in nos]]/scheduleapr[[#This Row],[SCHEDULE IN MT]]*scheduleapr[[#This Row],[CTL Stock]]</f>
        <v/>
      </c>
      <c r="AN342" s="599">
        <f>SUMIFS(stock[MT],stock[Bucket],scheduleapr[[#This Row],[Bucket]],stock[CTL Bucket],scheduleapr[[#This Row],[CTL Bucket]],stock[Plant],"0789")</f>
        <v/>
      </c>
      <c r="AO342" s="599" t="n"/>
      <c r="AP342" s="599">
        <f>SUMIFS(stock[MT],stock[Bucket],scheduleapr[[#This Row],[Bucket]],stock[LL or CTL],"LL")</f>
        <v/>
      </c>
      <c r="AQ342" s="599">
        <f>+SUMIFS(wip[Stock(Net Wt)],wip[Bucket],scheduleapr[[#This Row],[Bucket]])/1000</f>
        <v/>
      </c>
      <c r="AR342" s="599">
        <f>AJ342-AN342</f>
        <v/>
      </c>
      <c r="AS342" s="118" t="n"/>
    </row>
    <row r="343">
      <c r="A343" s="594" t="n">
        <v>276</v>
      </c>
      <c r="B343" s="5" t="inlineStr">
        <is>
          <t>Hosur</t>
        </is>
      </c>
      <c r="C343" s="601" t="inlineStr">
        <is>
          <t>NMPL TVSM</t>
        </is>
      </c>
      <c r="D343" s="601" t="inlineStr">
        <is>
          <t>NMPL</t>
        </is>
      </c>
      <c r="E343" s="601" t="inlineStr">
        <is>
          <t>189226|930794</t>
        </is>
      </c>
      <c r="F343" s="601" t="n">
        <v>237726</v>
      </c>
      <c r="G343" s="601">
        <f>_xlfn.CONCAT(scheduleapr[[#This Row],[CUSTOMER CODE]],"-",scheduleapr[[#This Row],[MATERIAL NO]])</f>
        <v/>
      </c>
      <c r="H343" s="601" t="inlineStr">
        <is>
          <t>PT2-O-N-AUT-AW-FC-28.58X1.200X0.610</t>
        </is>
      </c>
      <c r="I343" s="601" t="inlineStr">
        <is>
          <t>ERW 1</t>
        </is>
      </c>
      <c r="J343" s="601" t="n"/>
      <c r="K343" s="601" t="inlineStr">
        <is>
          <t>PE</t>
        </is>
      </c>
      <c r="L343" s="601" t="inlineStr">
        <is>
          <t>CR</t>
        </is>
      </c>
      <c r="M343" s="601" t="n"/>
      <c r="N343" s="601" t="n"/>
      <c r="O343" s="601" t="n"/>
      <c r="P343" s="601" t="n"/>
      <c r="Q343" s="557">
        <f>CONCATENATE(scheduleapr[[#This Row],[OD]],"-",scheduleapr[[#This Row],[ID]],"-",scheduleapr[[#This Row],[TICKNESS]],"-",scheduleapr[[#This Row],[Grade]],"-",scheduleapr[[#This Row],[FC/NFC]])</f>
        <v/>
      </c>
      <c r="R343" s="557">
        <f>_xlfn.CONCAT(scheduleapr[[#This Row],[Bucket]],"-",scheduleapr[[#This Row],[LENGTH]]/1000)</f>
        <v/>
      </c>
      <c r="S343" s="557">
        <f>COUNTIF(scheduleapr[CTL Bucket],scheduleapr[[#This Row],[CTL Bucket]])</f>
        <v/>
      </c>
      <c r="T343" s="557" t="n"/>
      <c r="U343" s="601">
        <f>_xlfn.IFNA(VLOOKUP(scheduleapr[[#This Row],[Bucket]],salesforecast[[#All],[Bucket2]:[8406 Stock]],19,0),0)</f>
        <v/>
      </c>
      <c r="V343" s="562">
        <f>_xlfn.IFNA(VLOOKUP(scheduleapr[[#This Row],[Bucket]],salesforecast[[#All],[Bucket2]:[8406 Stock]],20,0),0)+_xlfn.IFNA(VLOOKUP(scheduleapr[[#This Row],[Bucket]],salesforecast[[#All],[Bucket2]:[8406 Stock]],17,0),0)</f>
        <v/>
      </c>
      <c r="W343" s="557" t="n"/>
      <c r="X343" s="599" t="n">
        <v>28.58</v>
      </c>
      <c r="Y343" s="599" t="n">
        <v>28.58</v>
      </c>
      <c r="Z343" s="599" t="n">
        <v>0</v>
      </c>
      <c r="AA343" s="599" t="n">
        <v>1.2</v>
      </c>
      <c r="AB343" s="600" t="n">
        <v>610</v>
      </c>
      <c r="AC343" s="600" t="inlineStr">
        <is>
          <t>NOS</t>
        </is>
      </c>
      <c r="AD343" s="600" t="n"/>
      <c r="AE343" s="600" t="n"/>
      <c r="AF343" s="601" t="n"/>
      <c r="AG343" s="601" t="n"/>
      <c r="AH343" s="601">
        <f t="array" ref="AH3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3" s="602">
        <f>scheduleapr[[#This Row],[SCHEDULE in nos]]-scheduleapr[[#This Row],[DISPATCH]]</f>
        <v/>
      </c>
      <c r="AJ343" s="599">
        <f>(3.14*(scheduleapr[[#This Row],[ACTUAL OD]]-scheduleapr[[#This Row],[TICKNESS]])*scheduleapr[[#This Row],[TICKNESS]]*scheduleapr[[#This Row],[LENGTH]]*7.85)/1000000*scheduleapr[[#This Row],[SCHEDULE in nos]]/1000</f>
        <v/>
      </c>
      <c r="AK343" s="599">
        <f>(3.14*(scheduleapr[[#This Row],[ACTUAL OD]]-scheduleapr[[#This Row],[TICKNESS]])*scheduleapr[[#This Row],[TICKNESS]]*scheduleapr[[#This Row],[LENGTH]]*7.85)/1000000*scheduleapr[[#This Row],[DISPATCH]]/1000</f>
        <v/>
      </c>
      <c r="AL343" s="599">
        <f>AJ343-AK343</f>
        <v/>
      </c>
      <c r="AM343" s="599">
        <f>scheduleapr[[#This Row],[SCHEDULE in nos]]/scheduleapr[[#This Row],[SCHEDULE IN MT]]*scheduleapr[[#This Row],[CTL Stock]]</f>
        <v/>
      </c>
      <c r="AN343" s="599">
        <f>SUMIFS(stock[MT],stock[Bucket],scheduleapr[[#This Row],[Bucket]],stock[CTL Bucket],scheduleapr[[#This Row],[CTL Bucket]],stock[Plant],"0789")</f>
        <v/>
      </c>
      <c r="AO343" s="599" t="n"/>
      <c r="AP343" s="599">
        <f>SUMIFS(stock[MT],stock[Bucket],scheduleapr[[#This Row],[Bucket]],stock[LL or CTL],"LL")</f>
        <v/>
      </c>
      <c r="AQ343" s="599">
        <f>+SUMIFS(wip[Stock(Net Wt)],wip[Bucket],scheduleapr[[#This Row],[Bucket]])/1000</f>
        <v/>
      </c>
      <c r="AR343" s="599">
        <f>AJ343-AN343</f>
        <v/>
      </c>
      <c r="AS343" s="118" t="n"/>
    </row>
    <row r="344">
      <c r="A344" s="594" t="n">
        <v>277</v>
      </c>
      <c r="B344" s="5" t="inlineStr">
        <is>
          <t>Hosur</t>
        </is>
      </c>
      <c r="C344" s="601" t="inlineStr">
        <is>
          <t>NMPL TVSM</t>
        </is>
      </c>
      <c r="D344" s="601" t="inlineStr">
        <is>
          <t>NMPL</t>
        </is>
      </c>
      <c r="E344" s="601" t="inlineStr">
        <is>
          <t>189226|930794</t>
        </is>
      </c>
      <c r="F344" s="601" t="n">
        <v>1940653</v>
      </c>
      <c r="G344" s="601">
        <f>_xlfn.CONCAT(scheduleapr[[#This Row],[CUSTOMER CODE]],"-",scheduleapr[[#This Row],[MATERIAL NO]])</f>
        <v/>
      </c>
      <c r="H344" s="601" t="inlineStr">
        <is>
          <t>TUB-O-O-AUT-AW-PE-31.75X1.200X0.6700</t>
        </is>
      </c>
      <c r="I344" s="601" t="inlineStr">
        <is>
          <t>ERW 1</t>
        </is>
      </c>
      <c r="J344" s="601" t="n"/>
      <c r="K344" s="601" t="inlineStr">
        <is>
          <t>FC</t>
        </is>
      </c>
      <c r="L344" s="601" t="inlineStr">
        <is>
          <t>CR</t>
        </is>
      </c>
      <c r="M344" s="601" t="n"/>
      <c r="N344" s="601" t="n"/>
      <c r="O344" s="601" t="n"/>
      <c r="P344" s="601" t="n"/>
      <c r="Q344" s="557">
        <f>CONCATENATE(scheduleapr[[#This Row],[OD]],"-",scheduleapr[[#This Row],[ID]],"-",scheduleapr[[#This Row],[TICKNESS]],"-",scheduleapr[[#This Row],[Grade]],"-",scheduleapr[[#This Row],[FC/NFC]])</f>
        <v/>
      </c>
      <c r="R344" s="557">
        <f>_xlfn.CONCAT(scheduleapr[[#This Row],[Bucket]],"-",scheduleapr[[#This Row],[LENGTH]]/1000)</f>
        <v/>
      </c>
      <c r="S344" s="557">
        <f>COUNTIF(scheduleapr[CTL Bucket],scheduleapr[[#This Row],[CTL Bucket]])</f>
        <v/>
      </c>
      <c r="T344" s="601" t="inlineStr">
        <is>
          <t>Hosur</t>
        </is>
      </c>
      <c r="U344" s="601">
        <f>_xlfn.IFNA(VLOOKUP(scheduleapr[[#This Row],[Bucket]],salesforecast[[#All],[Bucket2]:[8406 Stock]],19,0),0)</f>
        <v/>
      </c>
      <c r="V344" s="562">
        <f>_xlfn.IFNA(VLOOKUP(scheduleapr[[#This Row],[Bucket]],salesforecast[[#All],[Bucket2]:[8406 Stock]],20,0),0)+_xlfn.IFNA(VLOOKUP(scheduleapr[[#This Row],[Bucket]],salesforecast[[#All],[Bucket2]:[8406 Stock]],17,0),0)</f>
        <v/>
      </c>
      <c r="W344" s="557" t="n"/>
      <c r="X344" s="599" t="n">
        <v>31.75</v>
      </c>
      <c r="Y344" s="599" t="n">
        <v>31.75</v>
      </c>
      <c r="Z344" s="599" t="n">
        <v>0</v>
      </c>
      <c r="AA344" s="599" t="n">
        <v>1.2</v>
      </c>
      <c r="AB344" s="600" t="n">
        <v>670</v>
      </c>
      <c r="AC344" s="600" t="inlineStr">
        <is>
          <t>NOS</t>
        </is>
      </c>
      <c r="AD344" s="600" t="n"/>
      <c r="AE344" s="600" t="n"/>
      <c r="AF344" s="601" t="n">
        <v>12000</v>
      </c>
      <c r="AG344" s="601" t="inlineStr">
        <is>
          <t>Aug 2026 schedule · nmpl 1</t>
        </is>
      </c>
      <c r="AH344" s="601">
        <f t="array" ref="AH3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4" s="602">
        <f>scheduleapr[[#This Row],[SCHEDULE in nos]]-scheduleapr[[#This Row],[DISPATCH]]</f>
        <v/>
      </c>
      <c r="AJ344" s="599">
        <f>(3.14*(scheduleapr[[#This Row],[ACTUAL OD]]-scheduleapr[[#This Row],[TICKNESS]])*scheduleapr[[#This Row],[TICKNESS]]*scheduleapr[[#This Row],[LENGTH]]*7.85)/1000000*scheduleapr[[#This Row],[SCHEDULE in nos]]/1000</f>
        <v/>
      </c>
      <c r="AK344" s="599">
        <f>(3.14*(scheduleapr[[#This Row],[ACTUAL OD]]-scheduleapr[[#This Row],[TICKNESS]])*scheduleapr[[#This Row],[TICKNESS]]*scheduleapr[[#This Row],[LENGTH]]*7.85)/1000000*scheduleapr[[#This Row],[DISPATCH]]/1000</f>
        <v/>
      </c>
      <c r="AL344" s="599">
        <f>AJ344-AK344</f>
        <v/>
      </c>
      <c r="AM344" s="599">
        <f>scheduleapr[[#This Row],[SCHEDULE in nos]]/scheduleapr[[#This Row],[SCHEDULE IN MT]]*scheduleapr[[#This Row],[CTL Stock]]</f>
        <v/>
      </c>
      <c r="AN344" s="599">
        <f>SUMIFS(stock[MT],stock[Bucket],scheduleapr[[#This Row],[Bucket]],stock[CTL Bucket],scheduleapr[[#This Row],[CTL Bucket]],stock[Plant],"0789")</f>
        <v/>
      </c>
      <c r="AO344" s="599" t="n"/>
      <c r="AP344" s="599">
        <f>SUMIFS(stock[MT],stock[Bucket],scheduleapr[[#This Row],[Bucket]],stock[LL or CTL],"LL")</f>
        <v/>
      </c>
      <c r="AQ344" s="599">
        <f>+SUMIFS(wip[Stock(Net Wt)],wip[Bucket],scheduleapr[[#This Row],[Bucket]])/1000</f>
        <v/>
      </c>
      <c r="AR344" s="599">
        <f>AJ344-AN344</f>
        <v/>
      </c>
      <c r="AS344" s="118" t="n"/>
    </row>
    <row r="345">
      <c r="A345" s="594" t="n">
        <v>242</v>
      </c>
      <c r="B345" s="5" t="inlineStr">
        <is>
          <t>Hosur</t>
        </is>
      </c>
      <c r="C345" s="601" t="inlineStr">
        <is>
          <t>NMPL HUB</t>
        </is>
      </c>
      <c r="D345" s="601" t="inlineStr">
        <is>
          <t>NMPL</t>
        </is>
      </c>
      <c r="E345" s="601" t="inlineStr">
        <is>
          <t>930801|189227</t>
        </is>
      </c>
      <c r="F345" s="601">
        <f>_xlfn.CONCAT([2]!scheduleapr[[#This Row],[OD]],"-",[2]!scheduleapr[[#This Row],[ID]],"-",[2]!scheduleapr[[#This Row],[TICKNESS]],"-",[2]!scheduleapr[[#This Row],[LENGTH]])</f>
        <v/>
      </c>
      <c r="G345" s="601">
        <f>_xlfn.CONCAT(scheduleapr[[#This Row],[CUSTOMER CODE]],"-",scheduleapr[[#This Row],[MATERIAL NO]])</f>
        <v/>
      </c>
      <c r="H345" s="557" t="n"/>
      <c r="I345" s="601" t="inlineStr">
        <is>
          <t>ERW 1</t>
        </is>
      </c>
      <c r="J345" s="557" t="n"/>
      <c r="K345" s="601" t="inlineStr">
        <is>
          <t>FC</t>
        </is>
      </c>
      <c r="L345" s="557" t="n"/>
      <c r="M345" s="557" t="n"/>
      <c r="N345" s="557" t="n"/>
      <c r="O345" s="557" t="n"/>
      <c r="P345" s="557" t="n"/>
      <c r="Q345" s="557">
        <f>CONCATENATE(scheduleapr[[#This Row],[OD]],"-",scheduleapr[[#This Row],[ID]],"-",scheduleapr[[#This Row],[TICKNESS]],"-",scheduleapr[[#This Row],[Grade]],"-",scheduleapr[[#This Row],[FC/NFC]])</f>
        <v/>
      </c>
      <c r="R345" s="557">
        <f>_xlfn.CONCAT(scheduleapr[[#This Row],[Bucket]],"-",scheduleapr[[#This Row],[LENGTH]]/1000)</f>
        <v/>
      </c>
      <c r="S345" s="557">
        <f>COUNTIF(scheduleapr[CTL Bucket],scheduleapr[[#This Row],[CTL Bucket]])</f>
        <v/>
      </c>
      <c r="T345" s="601" t="inlineStr">
        <is>
          <t>Hosur</t>
        </is>
      </c>
      <c r="U345" s="601" t="n"/>
      <c r="V345" s="557" t="n"/>
      <c r="W345" s="557" t="n"/>
      <c r="X345" s="559" t="n">
        <v>34.93</v>
      </c>
      <c r="Y345" s="559" t="n">
        <v>34.93</v>
      </c>
      <c r="Z345" s="599" t="n">
        <v>0</v>
      </c>
      <c r="AA345" s="599" t="n">
        <v>1.2</v>
      </c>
      <c r="AB345" s="600" t="n">
        <v>1000</v>
      </c>
      <c r="AC345" s="600" t="inlineStr">
        <is>
          <t>M</t>
        </is>
      </c>
      <c r="AD345" s="600" t="n"/>
      <c r="AE345" s="600" t="n"/>
      <c r="AF345" s="601" t="n"/>
      <c r="AG345" s="601" t="n"/>
      <c r="AH345" s="601">
        <f t="array" ref="AH3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5" s="602">
        <f>scheduleapr[[#This Row],[SCHEDULE in nos]]-scheduleapr[[#This Row],[DISPATCH]]</f>
        <v/>
      </c>
      <c r="AJ345" s="599">
        <f>(3.14*(scheduleapr[[#This Row],[ACTUAL OD]]-scheduleapr[[#This Row],[TICKNESS]])*scheduleapr[[#This Row],[TICKNESS]]*scheduleapr[[#This Row],[LENGTH]]*7.85)/1000000*scheduleapr[[#This Row],[SCHEDULE in nos]]/1000</f>
        <v/>
      </c>
      <c r="AK345" s="599">
        <f>(3.14*(scheduleapr[[#This Row],[ACTUAL OD]]-scheduleapr[[#This Row],[TICKNESS]])*scheduleapr[[#This Row],[TICKNESS]]*scheduleapr[[#This Row],[LENGTH]]*7.85)/1000000*scheduleapr[[#This Row],[DISPATCH]]/1000</f>
        <v/>
      </c>
      <c r="AL345" s="599">
        <f>AJ345-AK345</f>
        <v/>
      </c>
      <c r="AM345" s="599">
        <f>scheduleapr[[#This Row],[SCHEDULE in nos]]/scheduleapr[[#This Row],[SCHEDULE IN MT]]*scheduleapr[[#This Row],[CTL Stock]]</f>
        <v/>
      </c>
      <c r="AN345" s="599">
        <f>SUMIFS(stock[MT],stock[Bucket],scheduleapr[[#This Row],[Bucket]],stock[CTL Bucket],scheduleapr[[#This Row],[CTL Bucket]],stock[Plant],"0789")</f>
        <v/>
      </c>
      <c r="AO345" s="599" t="n"/>
      <c r="AP345" s="599">
        <f>SUMIFS(stock[MT],stock[Bucket],scheduleapr[[#This Row],[Bucket]],stock[LL or CTL],"LL")</f>
        <v/>
      </c>
      <c r="AQ345" s="599">
        <f>+SUMIFS(wip[Stock(Net Wt)],wip[Bucket],scheduleapr[[#This Row],[Bucket]])/1000</f>
        <v/>
      </c>
      <c r="AR345" s="599">
        <f>AJ345-AN345</f>
        <v/>
      </c>
      <c r="AS345" s="118" t="n"/>
    </row>
    <row r="346">
      <c r="A346" s="594" t="n">
        <v>279</v>
      </c>
      <c r="B346" s="5" t="inlineStr">
        <is>
          <t>Hosur</t>
        </is>
      </c>
      <c r="C346" s="601" t="inlineStr">
        <is>
          <t>NMPL TVSM</t>
        </is>
      </c>
      <c r="D346" s="601" t="inlineStr">
        <is>
          <t>NMPL</t>
        </is>
      </c>
      <c r="E346" s="601" t="inlineStr">
        <is>
          <t>189226|930794</t>
        </is>
      </c>
      <c r="F346" s="601" t="n">
        <v>1940701</v>
      </c>
      <c r="G346" s="601">
        <f>_xlfn.CONCAT(scheduleapr[[#This Row],[CUSTOMER CODE]],"-",scheduleapr[[#This Row],[MATERIAL NO]])</f>
        <v/>
      </c>
      <c r="H346" s="601" t="inlineStr">
        <is>
          <t>TUB-O-O-AUT-AW-FC-34.93X1.200X6.0000</t>
        </is>
      </c>
      <c r="I346" s="601" t="inlineStr">
        <is>
          <t>ERW 1</t>
        </is>
      </c>
      <c r="J346" s="601" t="n"/>
      <c r="K346" s="601" t="n"/>
      <c r="L346" s="601" t="inlineStr">
        <is>
          <t>HR</t>
        </is>
      </c>
      <c r="M346" s="601" t="n"/>
      <c r="N346" s="601" t="n"/>
      <c r="O346" s="601" t="n"/>
      <c r="P346" s="601" t="n"/>
      <c r="Q346" s="557">
        <f>CONCATENATE(scheduleapr[[#This Row],[OD]],"-",scheduleapr[[#This Row],[ID]],"-",scheduleapr[[#This Row],[TICKNESS]],"-",scheduleapr[[#This Row],[Grade]],"-",scheduleapr[[#This Row],[FC/NFC]])</f>
        <v/>
      </c>
      <c r="R346" s="557">
        <f>_xlfn.CONCAT(scheduleapr[[#This Row],[Bucket]],"-",scheduleapr[[#This Row],[LENGTH]]/1000)</f>
        <v/>
      </c>
      <c r="S346" s="557">
        <f>COUNTIF([2]!buckets[CTL Bucket],[2]!scheduleapr[[#This Row],[CTL Bucket]])</f>
        <v/>
      </c>
      <c r="T346" s="557" t="n"/>
      <c r="U346" s="557" t="n"/>
      <c r="V346" s="557" t="n"/>
      <c r="W346" s="557" t="n"/>
      <c r="X346" s="599" t="n">
        <v>34.93</v>
      </c>
      <c r="Y346" s="599" t="n">
        <v>34.93</v>
      </c>
      <c r="Z346" s="599" t="n">
        <v>0</v>
      </c>
      <c r="AA346" s="599" t="n">
        <v>1.2</v>
      </c>
      <c r="AB346" s="600" t="n">
        <v>6000</v>
      </c>
      <c r="AC346" s="600" t="n"/>
      <c r="AD346" s="600" t="n"/>
      <c r="AE346" s="600" t="n"/>
      <c r="AF346" s="601" t="n"/>
      <c r="AG346" s="601" t="n"/>
      <c r="AH346" s="601">
        <f t="array" ref="AH3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6" s="602">
        <f>scheduleapr[[#This Row],[SCHEDULE in nos]]-scheduleapr[[#This Row],[DISPATCH]]</f>
        <v/>
      </c>
      <c r="AJ346" s="599">
        <f>(3.14*(scheduleapr[[#This Row],[ACTUAL OD]]-scheduleapr[[#This Row],[TICKNESS]])*scheduleapr[[#This Row],[TICKNESS]]*scheduleapr[[#This Row],[LENGTH]]*7.85)/1000000*scheduleapr[[#This Row],[SCHEDULE in nos]]/1000</f>
        <v/>
      </c>
      <c r="AK346" s="599">
        <f>(3.14*(scheduleapr[[#This Row],[ACTUAL OD]]-scheduleapr[[#This Row],[TICKNESS]])*scheduleapr[[#This Row],[TICKNESS]]*scheduleapr[[#This Row],[LENGTH]]*7.85)/1000000*scheduleapr[[#This Row],[DISPATCH]]/1000</f>
        <v/>
      </c>
      <c r="AL346" s="599">
        <f>AJ346-AK346</f>
        <v/>
      </c>
      <c r="AM346" s="599">
        <f>scheduleapr[[#This Row],[SCHEDULE in nos]]/scheduleapr[[#This Row],[SCHEDULE IN MT]]*scheduleapr[[#This Row],[CTL Stock]]</f>
        <v/>
      </c>
      <c r="AN346" s="599">
        <f>SUMIFS(stock[MT],stock[Bucket],scheduleapr[[#This Row],[Bucket]],stock[CTL Bucket],scheduleapr[[#This Row],[CTL Bucket]],stock[Plant],"0789")</f>
        <v/>
      </c>
      <c r="AO346" s="599" t="n"/>
      <c r="AP346" s="599">
        <f>SUMIFS(stock[MT],stock[Bucket],scheduleapr[[#This Row],[Bucket]],stock[LL or CTL],"LL")</f>
        <v/>
      </c>
      <c r="AQ346" s="599">
        <f>+SUMIFS(wip[Stock(Net Wt)],wip[Bucket],scheduleapr[[#This Row],[Bucket]])/1000</f>
        <v/>
      </c>
      <c r="AR346" s="599">
        <f>AJ346-AN346</f>
        <v/>
      </c>
      <c r="AS346" s="118" t="n"/>
    </row>
    <row r="347">
      <c r="A347" s="594" t="n">
        <v>281</v>
      </c>
      <c r="B347" s="5" t="inlineStr">
        <is>
          <t>Hosur</t>
        </is>
      </c>
      <c r="C347" s="601" t="inlineStr">
        <is>
          <t>NMPL TVSM</t>
        </is>
      </c>
      <c r="D347" s="601" t="inlineStr">
        <is>
          <t>NMPL</t>
        </is>
      </c>
      <c r="E347" s="601" t="inlineStr">
        <is>
          <t>189226|930794</t>
        </is>
      </c>
      <c r="F347" s="601" t="n">
        <v>1940730</v>
      </c>
      <c r="G347" s="601">
        <f>_xlfn.CONCAT(scheduleapr[[#This Row],[CUSTOMER CODE]],"-",scheduleapr[[#This Row],[MATERIAL NO]])</f>
        <v/>
      </c>
      <c r="H347" s="601" t="inlineStr">
        <is>
          <t>TUB-O-O-AUT-AW-FC-38.10X1.600X0.4880</t>
        </is>
      </c>
      <c r="I347" s="601" t="inlineStr">
        <is>
          <t>ERW 1</t>
        </is>
      </c>
      <c r="J347" s="601" t="n"/>
      <c r="K347" s="601" t="inlineStr">
        <is>
          <t>FC</t>
        </is>
      </c>
      <c r="L347" s="601" t="inlineStr">
        <is>
          <t>HR</t>
        </is>
      </c>
      <c r="M347" s="601" t="n"/>
      <c r="N347" s="601" t="n"/>
      <c r="O347" s="601" t="n"/>
      <c r="P347" s="601" t="n"/>
      <c r="Q347" s="557">
        <f>CONCATENATE(scheduleapr[[#This Row],[OD]],"-",scheduleapr[[#This Row],[ID]],"-",scheduleapr[[#This Row],[TICKNESS]],"-",scheduleapr[[#This Row],[Grade]],"-",scheduleapr[[#This Row],[FC/NFC]])</f>
        <v/>
      </c>
      <c r="R347" s="557">
        <f>_xlfn.CONCAT(scheduleapr[[#This Row],[Bucket]],"-",scheduleapr[[#This Row],[LENGTH]]/1000)</f>
        <v/>
      </c>
      <c r="S347" s="557">
        <f>COUNTIF(scheduleapr[CTL Bucket],scheduleapr[[#This Row],[CTL Bucket]])</f>
        <v/>
      </c>
      <c r="T347" s="601" t="inlineStr">
        <is>
          <t>Hosur</t>
        </is>
      </c>
      <c r="U347" s="601">
        <f>_xlfn.IFNA(VLOOKUP(scheduleapr[[#This Row],[Bucket]],salesforecast[[#All],[Bucket2]:[8406 Stock]],19,0),0)</f>
        <v/>
      </c>
      <c r="V347" s="562">
        <f>_xlfn.IFNA(VLOOKUP(scheduleapr[[#This Row],[Bucket]],salesforecast[[#All],[Bucket2]:[8406 Stock]],20,0),0)+_xlfn.IFNA(VLOOKUP(scheduleapr[[#This Row],[Bucket]],salesforecast[[#All],[Bucket2]:[8406 Stock]],17,0),0)</f>
        <v/>
      </c>
      <c r="W347" s="557" t="n"/>
      <c r="X347" s="599" t="n">
        <v>38.1</v>
      </c>
      <c r="Y347" s="599" t="n">
        <v>38.1</v>
      </c>
      <c r="Z347" s="599" t="n">
        <v>0</v>
      </c>
      <c r="AA347" s="599" t="n">
        <v>1.6</v>
      </c>
      <c r="AB347" s="600" t="n">
        <v>488</v>
      </c>
      <c r="AC347" s="600" t="inlineStr">
        <is>
          <t>NOS</t>
        </is>
      </c>
      <c r="AD347" s="600" t="n"/>
      <c r="AE347" s="600" t="n"/>
      <c r="AF347" s="601" t="n"/>
      <c r="AG347" s="601" t="n"/>
      <c r="AH347" s="601">
        <f t="array" ref="AH3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7" s="602">
        <f>scheduleapr[[#This Row],[SCHEDULE in nos]]-scheduleapr[[#This Row],[DISPATCH]]</f>
        <v/>
      </c>
      <c r="AJ347" s="599">
        <f>(3.14*(scheduleapr[[#This Row],[ACTUAL OD]]-scheduleapr[[#This Row],[TICKNESS]])*scheduleapr[[#This Row],[TICKNESS]]*scheduleapr[[#This Row],[LENGTH]]*7.85)/1000000*scheduleapr[[#This Row],[SCHEDULE in nos]]/1000</f>
        <v/>
      </c>
      <c r="AK347" s="599">
        <f>(3.14*(scheduleapr[[#This Row],[ACTUAL OD]]-scheduleapr[[#This Row],[TICKNESS]])*scheduleapr[[#This Row],[TICKNESS]]*scheduleapr[[#This Row],[LENGTH]]*7.85)/1000000*scheduleapr[[#This Row],[DISPATCH]]/1000</f>
        <v/>
      </c>
      <c r="AL347" s="599">
        <f>AJ347-AK347</f>
        <v/>
      </c>
      <c r="AM347" s="599">
        <f>scheduleapr[[#This Row],[SCHEDULE in nos]]/scheduleapr[[#This Row],[SCHEDULE IN MT]]*scheduleapr[[#This Row],[CTL Stock]]</f>
        <v/>
      </c>
      <c r="AN347" s="599">
        <f>SUMIFS(stock[MT],stock[Bucket],scheduleapr[[#This Row],[Bucket]],stock[CTL Bucket],scheduleapr[[#This Row],[CTL Bucket]],stock[Plant],"0789")</f>
        <v/>
      </c>
      <c r="AO347" s="599" t="n"/>
      <c r="AP347" s="599">
        <f>SUMIFS(stock[MT],stock[Bucket],scheduleapr[[#This Row],[Bucket]],stock[LL or CTL],"LL")</f>
        <v/>
      </c>
      <c r="AQ347" s="599">
        <f>+SUMIFS(wip[Stock(Net Wt)],wip[Bucket],scheduleapr[[#This Row],[Bucket]])/1000</f>
        <v/>
      </c>
      <c r="AR347" s="599">
        <f>AJ347-AN347</f>
        <v/>
      </c>
      <c r="AS347" s="118" t="n"/>
    </row>
    <row r="348">
      <c r="A348" s="594" t="n">
        <v>235</v>
      </c>
      <c r="B348" s="5" t="inlineStr">
        <is>
          <t>Hosur</t>
        </is>
      </c>
      <c r="C348" s="601" t="inlineStr">
        <is>
          <t>NMPL HUB</t>
        </is>
      </c>
      <c r="D348" s="601" t="inlineStr">
        <is>
          <t>NMPL</t>
        </is>
      </c>
      <c r="E348" s="601" t="inlineStr">
        <is>
          <t>930801|189227</t>
        </is>
      </c>
      <c r="F348" s="601" t="n">
        <v>1940731</v>
      </c>
      <c r="G348" s="601">
        <f>_xlfn.CONCAT(scheduleapr[[#This Row],[CUSTOMER CODE]],"-",scheduleapr[[#This Row],[MATERIAL NO]])</f>
        <v/>
      </c>
      <c r="H348" s="601" t="inlineStr">
        <is>
          <t>TUB-O-O-AUT-AW-FC-38.10X1.600X0.8120</t>
        </is>
      </c>
      <c r="I348" s="601" t="inlineStr">
        <is>
          <t>ERW 1</t>
        </is>
      </c>
      <c r="J348" s="601" t="n"/>
      <c r="K348" s="601" t="inlineStr">
        <is>
          <t>FC</t>
        </is>
      </c>
      <c r="L348" s="601" t="inlineStr">
        <is>
          <t>HR</t>
        </is>
      </c>
      <c r="M348" s="601" t="inlineStr">
        <is>
          <t>GR1</t>
        </is>
      </c>
      <c r="N348" s="601" t="n"/>
      <c r="O348" s="601" t="n"/>
      <c r="P348" s="601" t="n"/>
      <c r="Q348" s="557">
        <f>CONCATENATE(scheduleapr[[#This Row],[OD]],"-",scheduleapr[[#This Row],[ID]],"-",scheduleapr[[#This Row],[TICKNESS]],"-",scheduleapr[[#This Row],[Grade]],"-",scheduleapr[[#This Row],[FC/NFC]])</f>
        <v/>
      </c>
      <c r="R348" s="557">
        <f>_xlfn.CONCAT(scheduleapr[[#This Row],[Bucket]],"-",scheduleapr[[#This Row],[LENGTH]]/1000)</f>
        <v/>
      </c>
      <c r="S348" s="557">
        <f>COUNTIF(scheduleapr[CTL Bucket],scheduleapr[[#This Row],[CTL Bucket]])</f>
        <v/>
      </c>
      <c r="T348" s="601" t="inlineStr">
        <is>
          <t>Hosur</t>
        </is>
      </c>
      <c r="U348" s="601">
        <f>_xlfn.IFNA(VLOOKUP(scheduleapr[[#This Row],[Bucket]],salesforecast[[#All],[Bucket2]:[8406 Stock]],19,0),0)</f>
        <v/>
      </c>
      <c r="V348" s="562">
        <f>_xlfn.IFNA(VLOOKUP(scheduleapr[[#This Row],[Bucket]],salesforecast[[#All],[Bucket2]:[8406 Stock]],20,0),0)+_xlfn.IFNA(VLOOKUP(scheduleapr[[#This Row],[Bucket]],salesforecast[[#All],[Bucket2]:[8406 Stock]],17,0),0)</f>
        <v/>
      </c>
      <c r="W348" s="557" t="n"/>
      <c r="X348" s="599" t="n">
        <v>38.1</v>
      </c>
      <c r="Y348" s="599" t="n">
        <v>38.1</v>
      </c>
      <c r="Z348" s="6" t="n">
        <v>0</v>
      </c>
      <c r="AA348" s="599" t="n">
        <v>1.6</v>
      </c>
      <c r="AB348" s="600" t="n">
        <v>812</v>
      </c>
      <c r="AC348" s="600" t="inlineStr">
        <is>
          <t>NOS</t>
        </is>
      </c>
      <c r="AD348" s="600" t="n"/>
      <c r="AE348" s="600" t="n"/>
      <c r="AF348" s="601" t="n">
        <v>2215.692307692308</v>
      </c>
      <c r="AG348" s="601" t="inlineStr">
        <is>
          <t>Aug 2026 schedule · nmpl 1 + nmpl hub</t>
        </is>
      </c>
      <c r="AH348" s="601">
        <f t="array" ref="AH3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8" s="602">
        <f>scheduleapr[[#This Row],[SCHEDULE in nos]]-scheduleapr[[#This Row],[DISPATCH]]</f>
        <v/>
      </c>
      <c r="AJ348" s="599">
        <f>(3.14*(scheduleapr[[#This Row],[ACTUAL OD]]-scheduleapr[[#This Row],[TICKNESS]])*scheduleapr[[#This Row],[TICKNESS]]*scheduleapr[[#This Row],[LENGTH]]*7.85)/1000000*scheduleapr[[#This Row],[SCHEDULE in nos]]/1000</f>
        <v/>
      </c>
      <c r="AK348" s="599">
        <f>(3.14*(scheduleapr[[#This Row],[ACTUAL OD]]-scheduleapr[[#This Row],[TICKNESS]])*scheduleapr[[#This Row],[TICKNESS]]*scheduleapr[[#This Row],[LENGTH]]*7.85)/1000000*scheduleapr[[#This Row],[DISPATCH]]/1000</f>
        <v/>
      </c>
      <c r="AL348" s="599">
        <f>AJ348-AK348</f>
        <v/>
      </c>
      <c r="AM348" s="599">
        <f>scheduleapr[[#This Row],[SCHEDULE in nos]]/scheduleapr[[#This Row],[SCHEDULE IN MT]]*scheduleapr[[#This Row],[CTL Stock]]</f>
        <v/>
      </c>
      <c r="AN348" s="599">
        <f>SUMIFS(stock[MT],stock[Bucket],scheduleapr[[#This Row],[Bucket]],stock[CTL Bucket],scheduleapr[[#This Row],[CTL Bucket]],stock[Plant],"0789")</f>
        <v/>
      </c>
      <c r="AO348" s="599" t="n"/>
      <c r="AP348" s="599">
        <f>SUMIFS(stock[MT],stock[Bucket],scheduleapr[[#This Row],[Bucket]],stock[LL or CTL],"LL")</f>
        <v/>
      </c>
      <c r="AQ348" s="599">
        <f>+SUMIFS(wip[Stock(Net Wt)],wip[Bucket],scheduleapr[[#This Row],[Bucket]])/1000</f>
        <v/>
      </c>
      <c r="AR348" s="599">
        <f>AJ348-AN348</f>
        <v/>
      </c>
      <c r="AS348" s="118" t="n"/>
    </row>
    <row r="349">
      <c r="A349" s="594" t="n">
        <v>282</v>
      </c>
      <c r="B349" s="5" t="inlineStr">
        <is>
          <t>Hosur</t>
        </is>
      </c>
      <c r="C349" s="601" t="inlineStr">
        <is>
          <t>NMPL TVSM</t>
        </is>
      </c>
      <c r="D349" s="601" t="inlineStr">
        <is>
          <t>NMPL</t>
        </is>
      </c>
      <c r="E349" s="601" t="inlineStr">
        <is>
          <t>189226|930794</t>
        </is>
      </c>
      <c r="F349" s="601" t="n">
        <v>1940731</v>
      </c>
      <c r="G349" s="601">
        <f>_xlfn.CONCAT(scheduleapr[[#This Row],[CUSTOMER CODE]],"-",scheduleapr[[#This Row],[MATERIAL NO]])</f>
        <v/>
      </c>
      <c r="H349" s="601" t="inlineStr">
        <is>
          <t>TUB-O-O-AUT-AW-FC-38.10X1.600X0.8120</t>
        </is>
      </c>
      <c r="I349" s="601" t="inlineStr">
        <is>
          <t>ERW 1</t>
        </is>
      </c>
      <c r="J349" s="601" t="n"/>
      <c r="K349" s="601" t="inlineStr">
        <is>
          <t>FC</t>
        </is>
      </c>
      <c r="L349" s="601" t="inlineStr">
        <is>
          <t>HR</t>
        </is>
      </c>
      <c r="M349" s="601" t="inlineStr">
        <is>
          <t>GR1</t>
        </is>
      </c>
      <c r="N349" s="601" t="n"/>
      <c r="O349" s="601" t="n"/>
      <c r="P349" s="601" t="n"/>
      <c r="Q349" s="557">
        <f>CONCATENATE(scheduleapr[[#This Row],[OD]],"-",scheduleapr[[#This Row],[ID]],"-",scheduleapr[[#This Row],[TICKNESS]],"-",scheduleapr[[#This Row],[Grade]],"-",scheduleapr[[#This Row],[FC/NFC]])</f>
        <v/>
      </c>
      <c r="R349" s="557">
        <f>_xlfn.CONCAT(scheduleapr[[#This Row],[Bucket]],"-",scheduleapr[[#This Row],[LENGTH]]/1000)</f>
        <v/>
      </c>
      <c r="S349" s="557">
        <f>COUNTIF(scheduleapr[CTL Bucket],scheduleapr[[#This Row],[CTL Bucket]])</f>
        <v/>
      </c>
      <c r="T349" s="557" t="n"/>
      <c r="U349" s="601">
        <f>_xlfn.IFNA(VLOOKUP(scheduleapr[[#This Row],[Bucket]],salesforecast[[#All],[Bucket2]:[8406 Stock]],19,0),0)</f>
        <v/>
      </c>
      <c r="V349" s="562">
        <f>_xlfn.IFNA(VLOOKUP(scheduleapr[[#This Row],[Bucket]],salesforecast[[#All],[Bucket2]:[8406 Stock]],20,0),0)+_xlfn.IFNA(VLOOKUP(scheduleapr[[#This Row],[Bucket]],salesforecast[[#All],[Bucket2]:[8406 Stock]],17,0),0)</f>
        <v/>
      </c>
      <c r="W349" s="557" t="n"/>
      <c r="X349" s="599" t="n">
        <v>38.1</v>
      </c>
      <c r="Y349" s="599" t="n">
        <v>38.1</v>
      </c>
      <c r="Z349" s="6" t="n">
        <v>0</v>
      </c>
      <c r="AA349" s="599" t="n">
        <v>1.6</v>
      </c>
      <c r="AB349" s="600" t="n">
        <v>812</v>
      </c>
      <c r="AC349" s="600" t="inlineStr">
        <is>
          <t>NOS</t>
        </is>
      </c>
      <c r="AD349" s="600" t="n"/>
      <c r="AE349" s="600" t="n"/>
      <c r="AF349" s="601" t="n"/>
      <c r="AG349" s="601" t="n"/>
      <c r="AH349" s="601">
        <f t="array" ref="AH3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49" s="602">
        <f>scheduleapr[[#This Row],[SCHEDULE in nos]]-scheduleapr[[#This Row],[DISPATCH]]</f>
        <v/>
      </c>
      <c r="AJ349" s="599">
        <f>(3.14*(scheduleapr[[#This Row],[ACTUAL OD]]-scheduleapr[[#This Row],[TICKNESS]])*scheduleapr[[#This Row],[TICKNESS]]*scheduleapr[[#This Row],[LENGTH]]*7.85)/1000000*scheduleapr[[#This Row],[SCHEDULE in nos]]/1000</f>
        <v/>
      </c>
      <c r="AK349" s="599">
        <f>(3.14*(scheduleapr[[#This Row],[ACTUAL OD]]-scheduleapr[[#This Row],[TICKNESS]])*scheduleapr[[#This Row],[TICKNESS]]*scheduleapr[[#This Row],[LENGTH]]*7.85)/1000000*scheduleapr[[#This Row],[DISPATCH]]/1000</f>
        <v/>
      </c>
      <c r="AL349" s="599">
        <f>AJ349-AK349</f>
        <v/>
      </c>
      <c r="AM349" s="599">
        <f>scheduleapr[[#This Row],[SCHEDULE in nos]]/scheduleapr[[#This Row],[SCHEDULE IN MT]]*scheduleapr[[#This Row],[CTL Stock]]</f>
        <v/>
      </c>
      <c r="AN349" s="599">
        <f>SUMIFS(stock[MT],stock[Bucket],scheduleapr[[#This Row],[Bucket]],stock[CTL Bucket],scheduleapr[[#This Row],[CTL Bucket]],stock[Plant],"0789")</f>
        <v/>
      </c>
      <c r="AO349" s="599" t="n"/>
      <c r="AP349" s="599">
        <f>SUMIFS(stock[MT],stock[Bucket],scheduleapr[[#This Row],[Bucket]],stock[LL or CTL],"LL")</f>
        <v/>
      </c>
      <c r="AQ349" s="599">
        <f>+SUMIFS(wip[Stock(Net Wt)],wip[Bucket],scheduleapr[[#This Row],[Bucket]])/1000</f>
        <v/>
      </c>
      <c r="AR349" s="599">
        <f>AJ349-AN349</f>
        <v/>
      </c>
      <c r="AS349" s="118" t="n"/>
    </row>
    <row r="350">
      <c r="A350" s="594" t="n">
        <v>283</v>
      </c>
      <c r="B350" s="5" t="inlineStr">
        <is>
          <t>Hosur</t>
        </is>
      </c>
      <c r="C350" s="601" t="inlineStr">
        <is>
          <t>NMPL TVSM</t>
        </is>
      </c>
      <c r="D350" s="601" t="inlineStr">
        <is>
          <t>NMPL</t>
        </is>
      </c>
      <c r="E350" s="601" t="inlineStr">
        <is>
          <t>189226|930794</t>
        </is>
      </c>
      <c r="F350" s="601" t="n">
        <v>3507790</v>
      </c>
      <c r="G350" s="601">
        <f>_xlfn.CONCAT(scheduleapr[[#This Row],[CUSTOMER CODE]],"-",scheduleapr[[#This Row],[MATERIAL NO]])</f>
        <v/>
      </c>
      <c r="H350" s="601" t="inlineStr">
        <is>
          <t>CUT-O-N-AUT-AW-FC-38.10X1.600X0.8150</t>
        </is>
      </c>
      <c r="I350" s="601" t="inlineStr">
        <is>
          <t>ERW 1</t>
        </is>
      </c>
      <c r="J350" s="601" t="n"/>
      <c r="K350" s="601" t="inlineStr">
        <is>
          <t>FC</t>
        </is>
      </c>
      <c r="L350" s="601" t="inlineStr">
        <is>
          <t>HR</t>
        </is>
      </c>
      <c r="M350" s="601" t="n"/>
      <c r="N350" s="601" t="n"/>
      <c r="O350" s="601" t="n"/>
      <c r="P350" s="601" t="n"/>
      <c r="Q350" s="557">
        <f>CONCATENATE(scheduleapr[[#This Row],[OD]],"-",scheduleapr[[#This Row],[ID]],"-",scheduleapr[[#This Row],[TICKNESS]],"-",scheduleapr[[#This Row],[Grade]],"-",scheduleapr[[#This Row],[FC/NFC]])</f>
        <v/>
      </c>
      <c r="R350" s="557">
        <f>_xlfn.CONCAT(scheduleapr[[#This Row],[Bucket]],"-",scheduleapr[[#This Row],[LENGTH]]/1000)</f>
        <v/>
      </c>
      <c r="S350" s="557">
        <f>COUNTIF([2]!buckets[CTL Bucket],[2]!scheduleapr[[#This Row],[CTL Bucket]])</f>
        <v/>
      </c>
      <c r="T350" s="601" t="inlineStr">
        <is>
          <t>Hosur</t>
        </is>
      </c>
      <c r="U350" s="601" t="n"/>
      <c r="V350" s="557" t="n"/>
      <c r="W350" s="557" t="n"/>
      <c r="X350" s="599" t="n">
        <v>38.1</v>
      </c>
      <c r="Y350" s="599" t="n">
        <v>38.1</v>
      </c>
      <c r="Z350" s="599" t="n">
        <v>0</v>
      </c>
      <c r="AA350" s="599" t="n">
        <v>1.6</v>
      </c>
      <c r="AB350" s="600" t="n">
        <v>815</v>
      </c>
      <c r="AC350" s="600" t="inlineStr">
        <is>
          <t>NOS</t>
        </is>
      </c>
      <c r="AD350" s="600" t="n"/>
      <c r="AE350" s="600" t="n"/>
      <c r="AF350" s="601" t="n"/>
      <c r="AG350" s="601" t="n"/>
      <c r="AH350" s="601">
        <f t="array" ref="AH3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0" s="602">
        <f>scheduleapr[[#This Row],[SCHEDULE in nos]]-scheduleapr[[#This Row],[DISPATCH]]</f>
        <v/>
      </c>
      <c r="AJ350" s="599">
        <f>(3.14*(scheduleapr[[#This Row],[ACTUAL OD]]-scheduleapr[[#This Row],[TICKNESS]])*scheduleapr[[#This Row],[TICKNESS]]*scheduleapr[[#This Row],[LENGTH]]*7.85)/1000000*scheduleapr[[#This Row],[SCHEDULE in nos]]/1000</f>
        <v/>
      </c>
      <c r="AK350" s="599">
        <f>(3.14*(scheduleapr[[#This Row],[ACTUAL OD]]-scheduleapr[[#This Row],[TICKNESS]])*scheduleapr[[#This Row],[TICKNESS]]*scheduleapr[[#This Row],[LENGTH]]*7.85)/1000000*scheduleapr[[#This Row],[DISPATCH]]/1000</f>
        <v/>
      </c>
      <c r="AL350" s="599">
        <f>AJ350-AK350</f>
        <v/>
      </c>
      <c r="AM350" s="599">
        <f>scheduleapr[[#This Row],[SCHEDULE in nos]]/scheduleapr[[#This Row],[SCHEDULE IN MT]]*scheduleapr[[#This Row],[CTL Stock]]</f>
        <v/>
      </c>
      <c r="AN350" s="599">
        <f>SUMIFS(stock[MT],stock[Bucket],scheduleapr[[#This Row],[Bucket]],stock[CTL Bucket],scheduleapr[[#This Row],[CTL Bucket]],stock[Plant],"0789")</f>
        <v/>
      </c>
      <c r="AO350" s="599" t="n"/>
      <c r="AP350" s="599">
        <f>SUMIFS(stock[MT],stock[Bucket],scheduleapr[[#This Row],[Bucket]],stock[LL or CTL],"LL")</f>
        <v/>
      </c>
      <c r="AQ350" s="599">
        <f>+SUMIFS(wip[Stock(Net Wt)],wip[Bucket],scheduleapr[[#This Row],[Bucket]])/1000</f>
        <v/>
      </c>
      <c r="AR350" s="599">
        <f>AJ350-AN350</f>
        <v/>
      </c>
      <c r="AS350" s="118" t="n"/>
    </row>
    <row r="351">
      <c r="A351" s="594" t="n">
        <v>284</v>
      </c>
      <c r="B351" s="5" t="inlineStr">
        <is>
          <t>Hosur</t>
        </is>
      </c>
      <c r="C351" s="601" t="inlineStr">
        <is>
          <t>NMPL TVSM</t>
        </is>
      </c>
      <c r="D351" s="601" t="inlineStr">
        <is>
          <t>NMPL</t>
        </is>
      </c>
      <c r="E351" s="601" t="inlineStr">
        <is>
          <t>189226|930794</t>
        </is>
      </c>
      <c r="F351" s="601" t="n">
        <v>1194658</v>
      </c>
      <c r="G351" s="601">
        <f>_xlfn.CONCAT(scheduleapr[[#This Row],[CUSTOMER CODE]],"-",scheduleapr[[#This Row],[MATERIAL NO]])</f>
        <v/>
      </c>
      <c r="H351" s="601" t="inlineStr">
        <is>
          <t>TUB-O-N-AUT-AW-FC-38.10X1.600X0.970</t>
        </is>
      </c>
      <c r="I351" s="601" t="inlineStr">
        <is>
          <t>ERW 1</t>
        </is>
      </c>
      <c r="J351" s="601" t="n"/>
      <c r="K351" s="601" t="n"/>
      <c r="L351" s="601" t="inlineStr">
        <is>
          <t>HR</t>
        </is>
      </c>
      <c r="M351" s="601" t="n"/>
      <c r="N351" s="601" t="n"/>
      <c r="O351" s="601" t="n"/>
      <c r="P351" s="601" t="n"/>
      <c r="Q351" s="557">
        <f>CONCATENATE(scheduleapr[[#This Row],[OD]],"-",scheduleapr[[#This Row],[ID]],"-",scheduleapr[[#This Row],[TICKNESS]],"-",scheduleapr[[#This Row],[Grade]],"-",scheduleapr[[#This Row],[FC/NFC]])</f>
        <v/>
      </c>
      <c r="R351" s="557">
        <f>_xlfn.CONCAT(scheduleapr[[#This Row],[Bucket]],"-",scheduleapr[[#This Row],[LENGTH]]/1000)</f>
        <v/>
      </c>
      <c r="S351" s="557">
        <f>COUNTIF([2]!buckets[CTL Bucket],[2]!scheduleapr[[#This Row],[CTL Bucket]])</f>
        <v/>
      </c>
      <c r="T351" s="557" t="n"/>
      <c r="U351" s="557" t="n"/>
      <c r="V351" s="557" t="n"/>
      <c r="W351" s="557" t="n"/>
      <c r="X351" s="599" t="n">
        <v>38.1</v>
      </c>
      <c r="Y351" s="599" t="n">
        <v>38.1</v>
      </c>
      <c r="Z351" s="599" t="n">
        <v>0</v>
      </c>
      <c r="AA351" s="599" t="n">
        <v>1.6</v>
      </c>
      <c r="AB351" s="600" t="n">
        <v>970</v>
      </c>
      <c r="AC351" s="600" t="inlineStr">
        <is>
          <t>NOS</t>
        </is>
      </c>
      <c r="AD351" s="600" t="n"/>
      <c r="AE351" s="600" t="n"/>
      <c r="AF351" s="601" t="n">
        <v>100</v>
      </c>
      <c r="AG351" s="601" t="inlineStr">
        <is>
          <t>Aug 2026 schedule · nmpl 1</t>
        </is>
      </c>
      <c r="AH351" s="601">
        <f t="array" ref="AH3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1" s="602">
        <f>scheduleapr[[#This Row],[SCHEDULE in nos]]-scheduleapr[[#This Row],[DISPATCH]]</f>
        <v/>
      </c>
      <c r="AJ351" s="599">
        <f>(3.14*(scheduleapr[[#This Row],[ACTUAL OD]]-scheduleapr[[#This Row],[TICKNESS]])*scheduleapr[[#This Row],[TICKNESS]]*scheduleapr[[#This Row],[LENGTH]]*7.85)/1000000*scheduleapr[[#This Row],[SCHEDULE in nos]]/1000</f>
        <v/>
      </c>
      <c r="AK351" s="599">
        <f>(3.14*(scheduleapr[[#This Row],[ACTUAL OD]]-scheduleapr[[#This Row],[TICKNESS]])*scheduleapr[[#This Row],[TICKNESS]]*scheduleapr[[#This Row],[LENGTH]]*7.85)/1000000*scheduleapr[[#This Row],[DISPATCH]]/1000</f>
        <v/>
      </c>
      <c r="AL351" s="599">
        <f>AJ351-AK351</f>
        <v/>
      </c>
      <c r="AM351" s="599">
        <f>scheduleapr[[#This Row],[SCHEDULE in nos]]/scheduleapr[[#This Row],[SCHEDULE IN MT]]*scheduleapr[[#This Row],[CTL Stock]]</f>
        <v/>
      </c>
      <c r="AN351" s="599">
        <f>SUMIFS(stock[MT],stock[Bucket],scheduleapr[[#This Row],[Bucket]],stock[CTL Bucket],scheduleapr[[#This Row],[CTL Bucket]],stock[Plant],"0789")</f>
        <v/>
      </c>
      <c r="AO351" s="599" t="n"/>
      <c r="AP351" s="599">
        <f>SUMIFS(stock[MT],stock[Bucket],scheduleapr[[#This Row],[Bucket]],stock[LL or CTL],"LL")</f>
        <v/>
      </c>
      <c r="AQ351" s="599">
        <f>+SUMIFS(wip[Stock(Net Wt)],wip[Bucket],scheduleapr[[#This Row],[Bucket]])/1000</f>
        <v/>
      </c>
      <c r="AR351" s="599">
        <f>AJ351-AN351</f>
        <v/>
      </c>
      <c r="AS351" s="118" t="n"/>
    </row>
    <row r="352">
      <c r="A352" s="594" t="n">
        <v>236</v>
      </c>
      <c r="B352" s="5" t="inlineStr">
        <is>
          <t>Hosur</t>
        </is>
      </c>
      <c r="C352" s="601" t="inlineStr">
        <is>
          <t>NMPL HUB</t>
        </is>
      </c>
      <c r="D352" s="601" t="inlineStr">
        <is>
          <t>NMPL</t>
        </is>
      </c>
      <c r="E352" s="601" t="inlineStr">
        <is>
          <t>930801|189227</t>
        </is>
      </c>
      <c r="F352" s="601" t="n">
        <v>3509030</v>
      </c>
      <c r="G352" s="601">
        <f>_xlfn.CONCAT(scheduleapr[[#This Row],[CUSTOMER CODE]],"-",scheduleapr[[#This Row],[MATERIAL NO]])</f>
        <v/>
      </c>
      <c r="H352" s="601" t="inlineStr">
        <is>
          <t>CUT-O-N-AUT-AW-PE-38.10X2.000X0.4060</t>
        </is>
      </c>
      <c r="I352" s="601" t="inlineStr">
        <is>
          <t>ERW 1</t>
        </is>
      </c>
      <c r="J352" s="601" t="n"/>
      <c r="K352" s="601" t="inlineStr">
        <is>
          <t>FC</t>
        </is>
      </c>
      <c r="L352" s="601" t="inlineStr">
        <is>
          <t>HR</t>
        </is>
      </c>
      <c r="M352" s="601" t="n"/>
      <c r="N352" s="601" t="n"/>
      <c r="O352" s="601" t="n"/>
      <c r="P352" s="601" t="n"/>
      <c r="Q352" s="557">
        <f>CONCATENATE(scheduleapr[[#This Row],[OD]],"-",scheduleapr[[#This Row],[ID]],"-",scheduleapr[[#This Row],[TICKNESS]],"-",scheduleapr[[#This Row],[Grade]],"-",scheduleapr[[#This Row],[FC/NFC]])</f>
        <v/>
      </c>
      <c r="R352" s="557">
        <f>_xlfn.CONCAT(scheduleapr[[#This Row],[Bucket]],"-",scheduleapr[[#This Row],[LENGTH]]/1000)</f>
        <v/>
      </c>
      <c r="S352" s="557">
        <f>COUNTIF(scheduleapr[CTL Bucket],scheduleapr[[#This Row],[CTL Bucket]])</f>
        <v/>
      </c>
      <c r="T352" s="601" t="inlineStr">
        <is>
          <t>Hosur</t>
        </is>
      </c>
      <c r="U352" s="601">
        <f>_xlfn.IFNA(VLOOKUP(scheduleapr[[#This Row],[Bucket]],salesforecast[[#All],[Bucket2]:[8406 Stock]],19,0),0)</f>
        <v/>
      </c>
      <c r="V352" s="562">
        <f>_xlfn.IFNA(VLOOKUP(scheduleapr[[#This Row],[Bucket]],salesforecast[[#All],[Bucket2]:[8406 Stock]],20,0),0)+_xlfn.IFNA(VLOOKUP(scheduleapr[[#This Row],[Bucket]],salesforecast[[#All],[Bucket2]:[8406 Stock]],17,0),0)</f>
        <v/>
      </c>
      <c r="W352" s="557" t="n"/>
      <c r="X352" s="599" t="n">
        <v>38.1</v>
      </c>
      <c r="Y352" s="599" t="n">
        <v>38.1</v>
      </c>
      <c r="Z352" s="6" t="n">
        <v>0</v>
      </c>
      <c r="AA352" s="599" t="n">
        <v>2</v>
      </c>
      <c r="AB352" s="600" t="n">
        <v>406</v>
      </c>
      <c r="AC352" s="600" t="inlineStr">
        <is>
          <t>NOS</t>
        </is>
      </c>
      <c r="AD352" s="600" t="n"/>
      <c r="AE352" s="600" t="n"/>
      <c r="AF352" s="601" t="n">
        <v>6503.7</v>
      </c>
      <c r="AG352" s="601" t="inlineStr">
        <is>
          <t>Aug 2026 schedule · nmpl hub</t>
        </is>
      </c>
      <c r="AH352" s="601">
        <f t="array" ref="AH3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2" s="602">
        <f>scheduleapr[[#This Row],[SCHEDULE in nos]]-scheduleapr[[#This Row],[DISPATCH]]</f>
        <v/>
      </c>
      <c r="AJ352" s="599">
        <f>(3.14*(scheduleapr[[#This Row],[ACTUAL OD]]-scheduleapr[[#This Row],[TICKNESS]])*scheduleapr[[#This Row],[TICKNESS]]*scheduleapr[[#This Row],[LENGTH]]*7.85)/1000000*scheduleapr[[#This Row],[SCHEDULE in nos]]/1000</f>
        <v/>
      </c>
      <c r="AK352" s="599">
        <f>(3.14*(scheduleapr[[#This Row],[ACTUAL OD]]-scheduleapr[[#This Row],[TICKNESS]])*scheduleapr[[#This Row],[TICKNESS]]*scheduleapr[[#This Row],[LENGTH]]*7.85)/1000000*scheduleapr[[#This Row],[DISPATCH]]/1000</f>
        <v/>
      </c>
      <c r="AL352" s="599">
        <f>AJ352-AK352</f>
        <v/>
      </c>
      <c r="AM352" s="599">
        <f>scheduleapr[[#This Row],[SCHEDULE in nos]]/scheduleapr[[#This Row],[SCHEDULE IN MT]]*scheduleapr[[#This Row],[CTL Stock]]</f>
        <v/>
      </c>
      <c r="AN352" s="599">
        <f>SUMIFS(stock[MT],stock[Bucket],scheduleapr[[#This Row],[Bucket]],stock[CTL Bucket],scheduleapr[[#This Row],[CTL Bucket]],stock[Plant],"0789")</f>
        <v/>
      </c>
      <c r="AO352" s="599" t="n"/>
      <c r="AP352" s="599">
        <f>SUMIFS(stock[MT],stock[Bucket],scheduleapr[[#This Row],[Bucket]],stock[LL or CTL],"LL")</f>
        <v/>
      </c>
      <c r="AQ352" s="599">
        <f>+SUMIFS(wip[Stock(Net Wt)],wip[Bucket],scheduleapr[[#This Row],[Bucket]])/1000</f>
        <v/>
      </c>
      <c r="AR352" s="599">
        <f>AJ352-AN352</f>
        <v/>
      </c>
      <c r="AS352" s="118" t="n"/>
    </row>
    <row r="353">
      <c r="A353" s="594" t="n">
        <v>285</v>
      </c>
      <c r="B353" s="5" t="inlineStr">
        <is>
          <t>Hosur</t>
        </is>
      </c>
      <c r="C353" s="601" t="inlineStr">
        <is>
          <t>NMPL TVSM</t>
        </is>
      </c>
      <c r="D353" s="601" t="inlineStr">
        <is>
          <t>NMPL</t>
        </is>
      </c>
      <c r="E353" s="601" t="inlineStr">
        <is>
          <t>189226|930794</t>
        </is>
      </c>
      <c r="F353" s="601" t="n">
        <v>1940738</v>
      </c>
      <c r="G353" s="601">
        <f>_xlfn.CONCAT(scheduleapr[[#This Row],[CUSTOMER CODE]],"-",scheduleapr[[#This Row],[MATERIAL NO]])</f>
        <v/>
      </c>
      <c r="H353" s="601" t="inlineStr">
        <is>
          <t>TUB-O-O-AUT-AW-FC-38.10X2.000X0.4250</t>
        </is>
      </c>
      <c r="I353" s="601" t="inlineStr">
        <is>
          <t>ERW 1</t>
        </is>
      </c>
      <c r="J353" s="601" t="n"/>
      <c r="K353" s="601" t="inlineStr">
        <is>
          <t>FC</t>
        </is>
      </c>
      <c r="L353" s="601" t="inlineStr">
        <is>
          <t>HR</t>
        </is>
      </c>
      <c r="M353" s="601" t="n"/>
      <c r="N353" s="601" t="n"/>
      <c r="O353" s="601" t="n"/>
      <c r="P353" s="601" t="n"/>
      <c r="Q353" s="557">
        <f>CONCATENATE(scheduleapr[[#This Row],[OD]],"-",scheduleapr[[#This Row],[ID]],"-",scheduleapr[[#This Row],[TICKNESS]],"-",scheduleapr[[#This Row],[Grade]],"-",scheduleapr[[#This Row],[FC/NFC]])</f>
        <v/>
      </c>
      <c r="R353" s="557">
        <f>_xlfn.CONCAT(scheduleapr[[#This Row],[Bucket]],"-",scheduleapr[[#This Row],[LENGTH]]/1000)</f>
        <v/>
      </c>
      <c r="S353" s="557">
        <f>COUNTIF(scheduleapr[CTL Bucket],scheduleapr[[#This Row],[CTL Bucket]])</f>
        <v/>
      </c>
      <c r="T353" s="601" t="inlineStr">
        <is>
          <t>Hosur</t>
        </is>
      </c>
      <c r="U353" s="601">
        <f>_xlfn.IFNA(VLOOKUP(scheduleapr[[#This Row],[Bucket]],salesforecast[[#All],[Bucket2]:[8406 Stock]],19,0),0)</f>
        <v/>
      </c>
      <c r="V353" s="557" t="n"/>
      <c r="W353" s="557" t="n"/>
      <c r="X353" s="599" t="n">
        <v>38.1</v>
      </c>
      <c r="Y353" s="599" t="n">
        <v>38.1</v>
      </c>
      <c r="Z353" s="599" t="n">
        <v>0</v>
      </c>
      <c r="AA353" s="599" t="n">
        <v>2</v>
      </c>
      <c r="AB353" s="600" t="n">
        <v>425</v>
      </c>
      <c r="AC353" s="600" t="inlineStr">
        <is>
          <t>NOS</t>
        </is>
      </c>
      <c r="AD353" s="600" t="n"/>
      <c r="AE353" s="600" t="n"/>
      <c r="AF353" s="601" t="n">
        <v>9000</v>
      </c>
      <c r="AG353" s="601" t="inlineStr">
        <is>
          <t>Aug 2026 schedule · nmpl 1</t>
        </is>
      </c>
      <c r="AH353" s="601">
        <f t="array" ref="AH3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3" s="602">
        <f>scheduleapr[[#This Row],[SCHEDULE in nos]]-scheduleapr[[#This Row],[DISPATCH]]</f>
        <v/>
      </c>
      <c r="AJ353" s="599">
        <f>(3.14*(scheduleapr[[#This Row],[ACTUAL OD]]-scheduleapr[[#This Row],[TICKNESS]])*scheduleapr[[#This Row],[TICKNESS]]*scheduleapr[[#This Row],[LENGTH]]*7.85)/1000000*scheduleapr[[#This Row],[SCHEDULE in nos]]/1000</f>
        <v/>
      </c>
      <c r="AK353" s="599">
        <f>(3.14*(scheduleapr[[#This Row],[ACTUAL OD]]-scheduleapr[[#This Row],[TICKNESS]])*scheduleapr[[#This Row],[TICKNESS]]*scheduleapr[[#This Row],[LENGTH]]*7.85)/1000000*scheduleapr[[#This Row],[DISPATCH]]/1000</f>
        <v/>
      </c>
      <c r="AL353" s="599">
        <f>AJ353-AK353</f>
        <v/>
      </c>
      <c r="AM353" s="599">
        <f>scheduleapr[[#This Row],[SCHEDULE in nos]]/scheduleapr[[#This Row],[SCHEDULE IN MT]]*scheduleapr[[#This Row],[CTL Stock]]</f>
        <v/>
      </c>
      <c r="AN353" s="599">
        <f>SUMIFS(stock[MT],stock[Bucket],scheduleapr[[#This Row],[Bucket]],stock[CTL Bucket],scheduleapr[[#This Row],[CTL Bucket]],stock[Plant],"0789")</f>
        <v/>
      </c>
      <c r="AO353" s="599" t="n"/>
      <c r="AP353" s="599">
        <f>SUMIFS(stock[MT],stock[Bucket],scheduleapr[[#This Row],[Bucket]],stock[LL or CTL],"LL")</f>
        <v/>
      </c>
      <c r="AQ353" s="599">
        <f>+SUMIFS(wip[Stock(Net Wt)],wip[Bucket],scheduleapr[[#This Row],[Bucket]])/1000</f>
        <v/>
      </c>
      <c r="AR353" s="599">
        <f>AJ353-AN353</f>
        <v/>
      </c>
      <c r="AS353" s="118" t="n"/>
    </row>
    <row r="354">
      <c r="A354" s="594" t="n">
        <v>286</v>
      </c>
      <c r="B354" s="5" t="inlineStr">
        <is>
          <t>Hosur</t>
        </is>
      </c>
      <c r="C354" s="601" t="inlineStr">
        <is>
          <t>NMPL TVSM</t>
        </is>
      </c>
      <c r="D354" s="601" t="inlineStr">
        <is>
          <t>NMPL</t>
        </is>
      </c>
      <c r="E354" s="601" t="inlineStr">
        <is>
          <t>189226|930794</t>
        </is>
      </c>
      <c r="F354" s="601" t="n">
        <v>1940739</v>
      </c>
      <c r="G354" s="601">
        <f>_xlfn.CONCAT(scheduleapr[[#This Row],[CUSTOMER CODE]],"-",scheduleapr[[#This Row],[MATERIAL NO]])</f>
        <v/>
      </c>
      <c r="H354" s="601" t="inlineStr">
        <is>
          <t>TUB-O-O-AUT-AW-FC-38.10X2.000X0.4880</t>
        </is>
      </c>
      <c r="I354" s="601" t="inlineStr">
        <is>
          <t>ERW 1</t>
        </is>
      </c>
      <c r="J354" s="601" t="n"/>
      <c r="K354" s="601" t="inlineStr">
        <is>
          <t>FC</t>
        </is>
      </c>
      <c r="L354" s="601" t="inlineStr">
        <is>
          <t>HR</t>
        </is>
      </c>
      <c r="M354" s="601" t="n"/>
      <c r="N354" s="601" t="n"/>
      <c r="O354" s="601" t="n"/>
      <c r="P354" s="601" t="n"/>
      <c r="Q354" s="557">
        <f>CONCATENATE(scheduleapr[[#This Row],[OD]],"-",scheduleapr[[#This Row],[ID]],"-",scheduleapr[[#This Row],[TICKNESS]],"-",scheduleapr[[#This Row],[Grade]],"-",scheduleapr[[#This Row],[FC/NFC]])</f>
        <v/>
      </c>
      <c r="R354" s="557">
        <f>_xlfn.CONCAT(scheduleapr[[#This Row],[Bucket]],"-",scheduleapr[[#This Row],[LENGTH]]/1000)</f>
        <v/>
      </c>
      <c r="S354" s="557">
        <f>COUNTIF(scheduleapr[CTL Bucket],scheduleapr[[#This Row],[CTL Bucket]])</f>
        <v/>
      </c>
      <c r="T354" s="601" t="inlineStr">
        <is>
          <t>Hosur</t>
        </is>
      </c>
      <c r="U354" s="601">
        <f>_xlfn.IFNA(VLOOKUP(scheduleapr[[#This Row],[Bucket]],salesforecast[[#All],[Bucket2]:[8406 Stock]],19,0),0)</f>
        <v/>
      </c>
      <c r="V354" s="562">
        <f>_xlfn.IFNA(VLOOKUP(scheduleapr[[#This Row],[Bucket]],salesforecast[[#All],[Bucket2]:[8406 Stock]],20,0),0)+_xlfn.IFNA(VLOOKUP(scheduleapr[[#This Row],[Bucket]],salesforecast[[#All],[Bucket2]:[8406 Stock]],17,0),0)</f>
        <v/>
      </c>
      <c r="W354" s="557" t="n"/>
      <c r="X354" s="599" t="n">
        <v>38.1</v>
      </c>
      <c r="Y354" s="599" t="n">
        <v>38.1</v>
      </c>
      <c r="Z354" s="599" t="n">
        <v>0</v>
      </c>
      <c r="AA354" s="599" t="n">
        <v>2</v>
      </c>
      <c r="AB354" s="600" t="n">
        <v>488</v>
      </c>
      <c r="AC354" s="600" t="inlineStr">
        <is>
          <t>NOS</t>
        </is>
      </c>
      <c r="AD354" s="600" t="n"/>
      <c r="AE354" s="600" t="n"/>
      <c r="AF354" s="601" t="n">
        <v>4500</v>
      </c>
      <c r="AG354" s="601" t="inlineStr">
        <is>
          <t>Aug 2026 schedule · nmpl 1</t>
        </is>
      </c>
      <c r="AH354" s="601">
        <f t="array" ref="AH3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4" s="602">
        <f>scheduleapr[[#This Row],[SCHEDULE in nos]]-scheduleapr[[#This Row],[DISPATCH]]</f>
        <v/>
      </c>
      <c r="AJ354" s="599">
        <f>(3.14*(scheduleapr[[#This Row],[ACTUAL OD]]-scheduleapr[[#This Row],[TICKNESS]])*scheduleapr[[#This Row],[TICKNESS]]*scheduleapr[[#This Row],[LENGTH]]*7.85)/1000000*scheduleapr[[#This Row],[SCHEDULE in nos]]/1000</f>
        <v/>
      </c>
      <c r="AK354" s="599">
        <f>(3.14*(scheduleapr[[#This Row],[ACTUAL OD]]-scheduleapr[[#This Row],[TICKNESS]])*scheduleapr[[#This Row],[TICKNESS]]*scheduleapr[[#This Row],[LENGTH]]*7.85)/1000000*scheduleapr[[#This Row],[DISPATCH]]/1000</f>
        <v/>
      </c>
      <c r="AL354" s="599">
        <f>AJ354-AK354</f>
        <v/>
      </c>
      <c r="AM354" s="599">
        <f>scheduleapr[[#This Row],[SCHEDULE in nos]]/scheduleapr[[#This Row],[SCHEDULE IN MT]]*scheduleapr[[#This Row],[CTL Stock]]</f>
        <v/>
      </c>
      <c r="AN354" s="599">
        <f>SUMIFS(stock[MT],stock[Bucket],scheduleapr[[#This Row],[Bucket]],stock[CTL Bucket],scheduleapr[[#This Row],[CTL Bucket]],stock[Plant],"0789")</f>
        <v/>
      </c>
      <c r="AO354" s="599" t="n"/>
      <c r="AP354" s="599">
        <f>SUMIFS(stock[MT],stock[Bucket],scheduleapr[[#This Row],[Bucket]],stock[LL or CTL],"LL")</f>
        <v/>
      </c>
      <c r="AQ354" s="599">
        <f>+SUMIFS(wip[Stock(Net Wt)],wip[Bucket],scheduleapr[[#This Row],[Bucket]])/1000</f>
        <v/>
      </c>
      <c r="AR354" s="599">
        <f>AJ354-AN354</f>
        <v/>
      </c>
      <c r="AS354" s="118" t="n"/>
    </row>
    <row r="355">
      <c r="A355" s="594" t="n">
        <v>237</v>
      </c>
      <c r="B355" s="5" t="inlineStr">
        <is>
          <t>Hosur</t>
        </is>
      </c>
      <c r="C355" s="601" t="inlineStr">
        <is>
          <t>NMPL HUB</t>
        </is>
      </c>
      <c r="D355" s="601" t="inlineStr">
        <is>
          <t>NMPL</t>
        </is>
      </c>
      <c r="E355" s="601" t="inlineStr">
        <is>
          <t>930801|189227</t>
        </is>
      </c>
      <c r="F355" s="601" t="n">
        <v>1940743</v>
      </c>
      <c r="G355" s="601">
        <f>_xlfn.CONCAT(scheduleapr[[#This Row],[CUSTOMER CODE]],"-",scheduleapr[[#This Row],[MATERIAL NO]])</f>
        <v/>
      </c>
      <c r="H355" s="601" t="inlineStr">
        <is>
          <t>TUB-O-O-AUT-AW-FC-38.10X2.000X0.8120</t>
        </is>
      </c>
      <c r="I355" s="601" t="inlineStr">
        <is>
          <t>ERW 1</t>
        </is>
      </c>
      <c r="J355" s="601" t="n"/>
      <c r="K355" s="601" t="inlineStr">
        <is>
          <t>FC</t>
        </is>
      </c>
      <c r="L355" s="601" t="inlineStr">
        <is>
          <t>HR</t>
        </is>
      </c>
      <c r="M355" s="601" t="n"/>
      <c r="N355" s="601" t="n"/>
      <c r="O355" s="601" t="n"/>
      <c r="P355" s="601" t="n"/>
      <c r="Q355" s="557">
        <f>CONCATENATE(scheduleapr[[#This Row],[OD]],"-",scheduleapr[[#This Row],[ID]],"-",scheduleapr[[#This Row],[TICKNESS]],"-",scheduleapr[[#This Row],[Grade]],"-",scheduleapr[[#This Row],[FC/NFC]])</f>
        <v/>
      </c>
      <c r="R355" s="557">
        <f>_xlfn.CONCAT(scheduleapr[[#This Row],[Bucket]],"-",scheduleapr[[#This Row],[LENGTH]]/1000)</f>
        <v/>
      </c>
      <c r="S355" s="557">
        <f>COUNTIF(scheduleapr[CTL Bucket],scheduleapr[[#This Row],[CTL Bucket]])</f>
        <v/>
      </c>
      <c r="T355" s="601" t="inlineStr">
        <is>
          <t>Hosur</t>
        </is>
      </c>
      <c r="U355" s="601">
        <f>_xlfn.IFNA(VLOOKUP(scheduleapr[[#This Row],[Bucket]],salesforecast[[#All],[Bucket2]:[8406 Stock]],19,0),0)</f>
        <v/>
      </c>
      <c r="V355" s="562">
        <f>_xlfn.IFNA(VLOOKUP(scheduleapr[[#This Row],[Bucket]],salesforecast[[#All],[Bucket2]:[8406 Stock]],20,0),0)+_xlfn.IFNA(VLOOKUP(scheduleapr[[#This Row],[Bucket]],salesforecast[[#All],[Bucket2]:[8406 Stock]],17,0),0)</f>
        <v/>
      </c>
      <c r="W355" s="557" t="n"/>
      <c r="X355" s="599" t="n">
        <v>38.1</v>
      </c>
      <c r="Y355" s="599" t="n">
        <v>38.1</v>
      </c>
      <c r="Z355" s="6" t="n">
        <v>0</v>
      </c>
      <c r="AA355" s="599" t="n">
        <v>2</v>
      </c>
      <c r="AB355" s="600" t="n">
        <v>812</v>
      </c>
      <c r="AC355" s="600" t="inlineStr">
        <is>
          <t>NOS</t>
        </is>
      </c>
      <c r="AD355" s="600" t="n"/>
      <c r="AE355" s="600" t="n"/>
      <c r="AF355" s="601" t="n">
        <v>17419.80769230769</v>
      </c>
      <c r="AG355" s="601" t="inlineStr">
        <is>
          <t>Aug 2026 schedule · nmpl 1 + nmpl hub</t>
        </is>
      </c>
      <c r="AH355" s="601">
        <f t="array" ref="AH3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5" s="602">
        <f>scheduleapr[[#This Row],[SCHEDULE in nos]]-scheduleapr[[#This Row],[DISPATCH]]</f>
        <v/>
      </c>
      <c r="AJ355" s="599">
        <f>(3.14*(scheduleapr[[#This Row],[ACTUAL OD]]-scheduleapr[[#This Row],[TICKNESS]])*scheduleapr[[#This Row],[TICKNESS]]*scheduleapr[[#This Row],[LENGTH]]*7.85)/1000000*scheduleapr[[#This Row],[SCHEDULE in nos]]/1000</f>
        <v/>
      </c>
      <c r="AK355" s="599">
        <f>(3.14*(scheduleapr[[#This Row],[ACTUAL OD]]-scheduleapr[[#This Row],[TICKNESS]])*scheduleapr[[#This Row],[TICKNESS]]*scheduleapr[[#This Row],[LENGTH]]*7.85)/1000000*scheduleapr[[#This Row],[DISPATCH]]/1000</f>
        <v/>
      </c>
      <c r="AL355" s="599">
        <f>AJ355-AK355</f>
        <v/>
      </c>
      <c r="AM355" s="599">
        <f>scheduleapr[[#This Row],[SCHEDULE in nos]]/scheduleapr[[#This Row],[SCHEDULE IN MT]]*scheduleapr[[#This Row],[CTL Stock]]</f>
        <v/>
      </c>
      <c r="AN355" s="599">
        <f>SUMIFS(stock[MT],stock[Bucket],scheduleapr[[#This Row],[Bucket]],stock[CTL Bucket],scheduleapr[[#This Row],[CTL Bucket]],stock[Plant],"0789")</f>
        <v/>
      </c>
      <c r="AO355" s="599" t="n"/>
      <c r="AP355" s="599">
        <f>SUMIFS(stock[MT],stock[Bucket],scheduleapr[[#This Row],[Bucket]],stock[LL or CTL],"LL")</f>
        <v/>
      </c>
      <c r="AQ355" s="599">
        <f>+SUMIFS(wip[Stock(Net Wt)],wip[Bucket],scheduleapr[[#This Row],[Bucket]])/1000</f>
        <v/>
      </c>
      <c r="AR355" s="599">
        <f>AJ355-AN355</f>
        <v/>
      </c>
      <c r="AS355" s="118" t="n"/>
    </row>
    <row r="356">
      <c r="A356" s="594" t="n">
        <v>287</v>
      </c>
      <c r="B356" s="5" t="inlineStr">
        <is>
          <t>Hosur</t>
        </is>
      </c>
      <c r="C356" s="601" t="inlineStr">
        <is>
          <t>NMPL TVSM</t>
        </is>
      </c>
      <c r="D356" s="601" t="inlineStr">
        <is>
          <t>NMPL</t>
        </is>
      </c>
      <c r="E356" s="601" t="inlineStr">
        <is>
          <t>189226|930794</t>
        </is>
      </c>
      <c r="F356" s="601" t="n">
        <v>1940743</v>
      </c>
      <c r="G356" s="601">
        <f>_xlfn.CONCAT(scheduleapr[[#This Row],[CUSTOMER CODE]],"-",scheduleapr[[#This Row],[MATERIAL NO]])</f>
        <v/>
      </c>
      <c r="H356" s="601" t="inlineStr">
        <is>
          <t>TUB-O-O-AUT-AW-FC-38.10X2.000X0.8120</t>
        </is>
      </c>
      <c r="I356" s="601" t="inlineStr">
        <is>
          <t>ERW 1</t>
        </is>
      </c>
      <c r="J356" s="601" t="n"/>
      <c r="K356" s="601" t="inlineStr">
        <is>
          <t>FC</t>
        </is>
      </c>
      <c r="L356" s="601" t="inlineStr">
        <is>
          <t>HR</t>
        </is>
      </c>
      <c r="M356" s="601" t="n"/>
      <c r="N356" s="601" t="n"/>
      <c r="O356" s="601" t="n"/>
      <c r="P356" s="601" t="n"/>
      <c r="Q356" s="557">
        <f>CONCATENATE(scheduleapr[[#This Row],[OD]],"-",scheduleapr[[#This Row],[ID]],"-",scheduleapr[[#This Row],[TICKNESS]],"-",scheduleapr[[#This Row],[Grade]],"-",scheduleapr[[#This Row],[FC/NFC]])</f>
        <v/>
      </c>
      <c r="R356" s="557">
        <f>_xlfn.CONCAT(scheduleapr[[#This Row],[Bucket]],"-",scheduleapr[[#This Row],[LENGTH]]/1000)</f>
        <v/>
      </c>
      <c r="S356" s="557">
        <f>COUNTIF(scheduleapr[CTL Bucket],scheduleapr[[#This Row],[CTL Bucket]])</f>
        <v/>
      </c>
      <c r="T356" s="601" t="inlineStr">
        <is>
          <t>Hosur</t>
        </is>
      </c>
      <c r="U356" s="601">
        <f>_xlfn.IFNA(VLOOKUP(scheduleapr[[#This Row],[Bucket]],salesforecast[[#All],[Bucket2]:[8406 Stock]],19,0),0)</f>
        <v/>
      </c>
      <c r="V356" s="562">
        <f>_xlfn.IFNA(VLOOKUP(scheduleapr[[#This Row],[Bucket]],salesforecast[[#All],[Bucket2]:[8406 Stock]],20,0),0)+_xlfn.IFNA(VLOOKUP(scheduleapr[[#This Row],[Bucket]],salesforecast[[#All],[Bucket2]:[8406 Stock]],17,0),0)</f>
        <v/>
      </c>
      <c r="W356" s="557" t="n"/>
      <c r="X356" s="599" t="n">
        <v>38.1</v>
      </c>
      <c r="Y356" s="599" t="n">
        <v>38.1</v>
      </c>
      <c r="Z356" s="6" t="n">
        <v>0</v>
      </c>
      <c r="AA356" s="599" t="n">
        <v>2</v>
      </c>
      <c r="AB356" s="600" t="n">
        <v>812</v>
      </c>
      <c r="AC356" s="600" t="inlineStr">
        <is>
          <t>NOS</t>
        </is>
      </c>
      <c r="AD356" s="600" t="n"/>
      <c r="AE356" s="600" t="n"/>
      <c r="AF356" s="601" t="n"/>
      <c r="AG356" s="601" t="n"/>
      <c r="AH356" s="601">
        <f t="array" ref="AH3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6" s="602">
        <f>scheduleapr[[#This Row],[SCHEDULE in nos]]-scheduleapr[[#This Row],[DISPATCH]]</f>
        <v/>
      </c>
      <c r="AJ356" s="599">
        <f>(3.14*(scheduleapr[[#This Row],[ACTUAL OD]]-scheduleapr[[#This Row],[TICKNESS]])*scheduleapr[[#This Row],[TICKNESS]]*scheduleapr[[#This Row],[LENGTH]]*7.85)/1000000*scheduleapr[[#This Row],[SCHEDULE in nos]]/1000</f>
        <v/>
      </c>
      <c r="AK356" s="599">
        <f>(3.14*(scheduleapr[[#This Row],[ACTUAL OD]]-scheduleapr[[#This Row],[TICKNESS]])*scheduleapr[[#This Row],[TICKNESS]]*scheduleapr[[#This Row],[LENGTH]]*7.85)/1000000*scheduleapr[[#This Row],[DISPATCH]]/1000</f>
        <v/>
      </c>
      <c r="AL356" s="599">
        <f>AJ356-AK356</f>
        <v/>
      </c>
      <c r="AM356" s="599">
        <f>scheduleapr[[#This Row],[SCHEDULE in nos]]/scheduleapr[[#This Row],[SCHEDULE IN MT]]*scheduleapr[[#This Row],[CTL Stock]]</f>
        <v/>
      </c>
      <c r="AN356" s="599">
        <f>SUMIFS(stock[MT],stock[Bucket],scheduleapr[[#This Row],[Bucket]],stock[CTL Bucket],scheduleapr[[#This Row],[CTL Bucket]],stock[Plant],"0789")</f>
        <v/>
      </c>
      <c r="AO356" s="599" t="n"/>
      <c r="AP356" s="599">
        <f>SUMIFS(stock[MT],stock[Bucket],scheduleapr[[#This Row],[Bucket]],stock[LL or CTL],"LL")</f>
        <v/>
      </c>
      <c r="AQ356" s="599">
        <f>+SUMIFS(wip[Stock(Net Wt)],wip[Bucket],scheduleapr[[#This Row],[Bucket]])/1000</f>
        <v/>
      </c>
      <c r="AR356" s="599">
        <f>AJ356-AN356</f>
        <v/>
      </c>
      <c r="AS356" s="118" t="n"/>
    </row>
    <row r="357">
      <c r="A357" s="594" t="n">
        <v>238</v>
      </c>
      <c r="B357" s="5" t="inlineStr">
        <is>
          <t>Hosur</t>
        </is>
      </c>
      <c r="C357" s="601" t="inlineStr">
        <is>
          <t>NMPL HUB</t>
        </is>
      </c>
      <c r="D357" s="601" t="inlineStr">
        <is>
          <t>NMPL</t>
        </is>
      </c>
      <c r="E357" s="601" t="inlineStr">
        <is>
          <t>930801|189227</t>
        </is>
      </c>
      <c r="F357" s="601">
        <f>_xlfn.CONCAT([3]!schede_aug[[#This Row],[OD]],"-",[3]!schede_aug[[#This Row],[ID]],"-",[3]!schede_aug[[#This Row],[TICKNESS]],"-",[3]!schede_aug[[#This Row],[LENGTH]])</f>
        <v/>
      </c>
      <c r="G357" s="601">
        <f>_xlfn.CONCAT(scheduleapr[[#This Row],[CUSTOMER CODE]],"-",scheduleapr[[#This Row],[MATERIAL NO]])</f>
        <v/>
      </c>
      <c r="H357" s="601" t="n"/>
      <c r="I357" s="601" t="inlineStr">
        <is>
          <t>ERW 1</t>
        </is>
      </c>
      <c r="J357" s="601" t="n"/>
      <c r="K357" s="601" t="inlineStr">
        <is>
          <t>FC</t>
        </is>
      </c>
      <c r="L357" s="601" t="inlineStr">
        <is>
          <t>HR</t>
        </is>
      </c>
      <c r="M357" s="601" t="n"/>
      <c r="N357" s="601" t="n"/>
      <c r="O357" s="601" t="n"/>
      <c r="P357" s="601" t="n"/>
      <c r="Q357" s="557">
        <f>CONCATENATE(scheduleapr[[#This Row],[OD]],"-",scheduleapr[[#This Row],[ID]],"-",scheduleapr[[#This Row],[TICKNESS]],"-",scheduleapr[[#This Row],[Grade]],"-",scheduleapr[[#This Row],[FC/NFC]])</f>
        <v/>
      </c>
      <c r="R357" s="557">
        <f>_xlfn.CONCAT(scheduleapr[[#This Row],[Bucket]],"-",scheduleapr[[#This Row],[LENGTH]]/1000)</f>
        <v/>
      </c>
      <c r="S357" s="601">
        <f>COUNTIF([2]!buckets[CTL Bucket],[2]!scheduleapr[[#This Row],[CTL Bucket]])</f>
        <v/>
      </c>
      <c r="T357" s="601" t="n"/>
      <c r="U357" s="601">
        <f>_xlfn.IFNA(VLOOKUP(scheduleapr[[#This Row],[Bucket]],salesforecast[[#All],[Bucket2]:[8406 Stock]],19,0),0)</f>
        <v/>
      </c>
      <c r="V357" s="562">
        <f>_xlfn.IFNA(VLOOKUP(scheduleapr[[#This Row],[Bucket]],salesforecast[[#All],[Bucket2]:[8406 Stock]],20,0),0)+_xlfn.IFNA(VLOOKUP(scheduleapr[[#This Row],[Bucket]],salesforecast[[#All],[Bucket2]:[8406 Stock]],17,0),0)</f>
        <v/>
      </c>
      <c r="W357" s="601" t="n"/>
      <c r="X357" s="599" t="n">
        <v>38.1</v>
      </c>
      <c r="Y357" s="599" t="n">
        <v>38.1</v>
      </c>
      <c r="Z357" s="6" t="n">
        <v>0</v>
      </c>
      <c r="AA357" s="599" t="n">
        <v>2</v>
      </c>
      <c r="AB357" s="600" t="n">
        <v>1000</v>
      </c>
      <c r="AC357" s="600" t="inlineStr">
        <is>
          <t>NOS</t>
        </is>
      </c>
      <c r="AD357" s="600" t="n"/>
      <c r="AE357" s="600" t="n"/>
      <c r="AF357" s="601" t="n"/>
      <c r="AG357" s="601" t="n"/>
      <c r="AH357" s="601">
        <f t="array" ref="AH3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7" s="602">
        <f>scheduleapr[[#This Row],[SCHEDULE in nos]]-scheduleapr[[#This Row],[DISPATCH]]</f>
        <v/>
      </c>
      <c r="AJ357" s="599">
        <f>(3.14*(scheduleapr[[#This Row],[ACTUAL OD]]-scheduleapr[[#This Row],[TICKNESS]])*scheduleapr[[#This Row],[TICKNESS]]*scheduleapr[[#This Row],[LENGTH]]*7.85)/1000000*scheduleapr[[#This Row],[SCHEDULE in nos]]/1000</f>
        <v/>
      </c>
      <c r="AK357" s="599">
        <f>(3.14*(scheduleapr[[#This Row],[ACTUAL OD]]-scheduleapr[[#This Row],[TICKNESS]])*scheduleapr[[#This Row],[TICKNESS]]*scheduleapr[[#This Row],[LENGTH]]*7.85)/1000000*scheduleapr[[#This Row],[DISPATCH]]/1000</f>
        <v/>
      </c>
      <c r="AL357" s="599">
        <f>AJ357-AK357</f>
        <v/>
      </c>
      <c r="AM357" s="599">
        <f>scheduleapr[[#This Row],[SCHEDULE in nos]]/scheduleapr[[#This Row],[SCHEDULE IN MT]]*scheduleapr[[#This Row],[CTL Stock]]</f>
        <v/>
      </c>
      <c r="AN357" s="599">
        <f>SUMIFS(stock[MT],stock[Bucket],scheduleapr[[#This Row],[Bucket]],stock[CTL Bucket],scheduleapr[[#This Row],[CTL Bucket]],stock[Plant],"0789")</f>
        <v/>
      </c>
      <c r="AO357" s="599" t="n"/>
      <c r="AP357" s="599">
        <f>SUMIFS(stock[MT],stock[Bucket],scheduleapr[[#This Row],[Bucket]],stock[LL or CTL],"LL")</f>
        <v/>
      </c>
      <c r="AQ357" s="599">
        <f>+SUMIFS(wip[Stock(Net Wt)],wip[Bucket],scheduleapr[[#This Row],[Bucket]])/1000</f>
        <v/>
      </c>
      <c r="AR357" s="599">
        <f>AJ357-AN357</f>
        <v/>
      </c>
      <c r="AS357" s="118" t="n"/>
    </row>
    <row r="358">
      <c r="A358" s="594" t="n">
        <v>243</v>
      </c>
      <c r="B358" s="5" t="inlineStr">
        <is>
          <t>Hosur</t>
        </is>
      </c>
      <c r="C358" s="601" t="inlineStr">
        <is>
          <t>NMPL HUB</t>
        </is>
      </c>
      <c r="D358" s="601" t="inlineStr">
        <is>
          <t>NMPL</t>
        </is>
      </c>
      <c r="E358" s="601" t="inlineStr">
        <is>
          <t>930801|189227</t>
        </is>
      </c>
      <c r="F358" s="601">
        <f>_xlfn.CONCAT([2]!scheduleapr[[#This Row],[OD]],"-",[2]!scheduleapr[[#This Row],[ID]],"-",[2]!scheduleapr[[#This Row],[TICKNESS]],"-",[2]!scheduleapr[[#This Row],[LENGTH]])</f>
        <v/>
      </c>
      <c r="G358" s="601">
        <f>_xlfn.CONCAT(scheduleapr[[#This Row],[CUSTOMER CODE]],"-",scheduleapr[[#This Row],[MATERIAL NO]])</f>
        <v/>
      </c>
      <c r="H358" s="557" t="n"/>
      <c r="I358" s="601" t="inlineStr">
        <is>
          <t>ERW 1</t>
        </is>
      </c>
      <c r="J358" s="557" t="n"/>
      <c r="K358" s="601" t="inlineStr">
        <is>
          <t>FC</t>
        </is>
      </c>
      <c r="L358" s="557" t="n"/>
      <c r="M358" s="557" t="n"/>
      <c r="N358" s="557" t="n"/>
      <c r="O358" s="557" t="n"/>
      <c r="P358" s="557" t="n"/>
      <c r="Q358" s="557">
        <f>CONCATENATE(scheduleapr[[#This Row],[OD]],"-",scheduleapr[[#This Row],[ID]],"-",scheduleapr[[#This Row],[TICKNESS]],"-",scheduleapr[[#This Row],[Grade]],"-",scheduleapr[[#This Row],[FC/NFC]])</f>
        <v/>
      </c>
      <c r="R358" s="557">
        <f>_xlfn.CONCAT(scheduleapr[[#This Row],[Bucket]],"-",scheduleapr[[#This Row],[LENGTH]]/1000)</f>
        <v/>
      </c>
      <c r="S358" s="557">
        <f>COUNTIF(scheduleapr[CTL Bucket],scheduleapr[[#This Row],[CTL Bucket]])</f>
        <v/>
      </c>
      <c r="T358" s="601" t="inlineStr">
        <is>
          <t>Hosur</t>
        </is>
      </c>
      <c r="U358" s="601" t="n"/>
      <c r="V358" s="557" t="n"/>
      <c r="W358" s="557" t="n"/>
      <c r="X358" s="559" t="n">
        <v>38.1</v>
      </c>
      <c r="Y358" s="559" t="n">
        <v>38.1</v>
      </c>
      <c r="Z358" s="599" t="n">
        <v>0</v>
      </c>
      <c r="AA358" s="599" t="n">
        <v>2</v>
      </c>
      <c r="AB358" s="600" t="n">
        <v>1000</v>
      </c>
      <c r="AC358" s="600" t="inlineStr">
        <is>
          <t>M</t>
        </is>
      </c>
      <c r="AD358" s="600" t="n"/>
      <c r="AE358" s="600" t="n"/>
      <c r="AF358" s="601" t="n"/>
      <c r="AG358" s="601" t="n"/>
      <c r="AH358" s="601">
        <f t="array" ref="AH3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8" s="602">
        <f>scheduleapr[[#This Row],[SCHEDULE in nos]]-scheduleapr[[#This Row],[DISPATCH]]</f>
        <v/>
      </c>
      <c r="AJ358" s="599">
        <f>(3.14*(scheduleapr[[#This Row],[ACTUAL OD]]-scheduleapr[[#This Row],[TICKNESS]])*scheduleapr[[#This Row],[TICKNESS]]*scheduleapr[[#This Row],[LENGTH]]*7.85)/1000000*scheduleapr[[#This Row],[SCHEDULE in nos]]/1000</f>
        <v/>
      </c>
      <c r="AK358" s="599">
        <f>(3.14*(scheduleapr[[#This Row],[ACTUAL OD]]-scheduleapr[[#This Row],[TICKNESS]])*scheduleapr[[#This Row],[TICKNESS]]*scheduleapr[[#This Row],[LENGTH]]*7.85)/1000000*scheduleapr[[#This Row],[DISPATCH]]/1000</f>
        <v/>
      </c>
      <c r="AL358" s="599">
        <f>AJ358-AK358</f>
        <v/>
      </c>
      <c r="AM358" s="599">
        <f>scheduleapr[[#This Row],[SCHEDULE in nos]]/scheduleapr[[#This Row],[SCHEDULE IN MT]]*scheduleapr[[#This Row],[CTL Stock]]</f>
        <v/>
      </c>
      <c r="AN358" s="599">
        <f>SUMIFS(stock[MT],stock[Bucket],scheduleapr[[#This Row],[Bucket]],stock[CTL Bucket],scheduleapr[[#This Row],[CTL Bucket]],stock[Plant],"0789")</f>
        <v/>
      </c>
      <c r="AO358" s="599" t="n"/>
      <c r="AP358" s="599">
        <f>SUMIFS(stock[MT],stock[Bucket],scheduleapr[[#This Row],[Bucket]],stock[LL or CTL],"LL")</f>
        <v/>
      </c>
      <c r="AQ358" s="599">
        <f>+SUMIFS(wip[Stock(Net Wt)],wip[Bucket],scheduleapr[[#This Row],[Bucket]])/1000</f>
        <v/>
      </c>
      <c r="AR358" s="599">
        <f>AJ358-AN358</f>
        <v/>
      </c>
      <c r="AS358" s="118" t="n"/>
    </row>
    <row r="359">
      <c r="A359" s="594" t="n">
        <v>224</v>
      </c>
      <c r="B359" s="5" t="inlineStr">
        <is>
          <t xml:space="preserve">Khopoli </t>
        </is>
      </c>
      <c r="C359" s="601" t="inlineStr">
        <is>
          <t>NMPL HUB</t>
        </is>
      </c>
      <c r="D359" s="601" t="inlineStr">
        <is>
          <t>NMPL</t>
        </is>
      </c>
      <c r="E359" s="601" t="inlineStr">
        <is>
          <t>930801|189227</t>
        </is>
      </c>
      <c r="F359" s="477" t="n">
        <v>2417647</v>
      </c>
      <c r="G359" s="601">
        <f>_xlfn.CONCAT(scheduleapr[[#This Row],[CUSTOMER CODE]],"-",scheduleapr[[#This Row],[MATERIAL NO]])</f>
        <v/>
      </c>
      <c r="H359" s="601" t="inlineStr">
        <is>
          <t>TUB-O-N-AUT-AN-FC-42.70X3.500X0.2040</t>
        </is>
      </c>
      <c r="I359" s="601" t="inlineStr">
        <is>
          <t>ERW 1</t>
        </is>
      </c>
      <c r="J359" s="601" t="inlineStr">
        <is>
          <t>Annealed</t>
        </is>
      </c>
      <c r="K359" s="601" t="inlineStr">
        <is>
          <t>FC</t>
        </is>
      </c>
      <c r="L359" s="601" t="inlineStr">
        <is>
          <t>HR</t>
        </is>
      </c>
      <c r="M359" s="601" t="n"/>
      <c r="N359" s="601" t="inlineStr">
        <is>
          <t>Chamferring</t>
        </is>
      </c>
      <c r="O359" s="601" t="n"/>
      <c r="P359" s="601" t="n"/>
      <c r="Q359" s="557">
        <f>CONCATENATE(scheduleapr[[#This Row],[OD]],"-",scheduleapr[[#This Row],[ID]],"-",scheduleapr[[#This Row],[TICKNESS]],"-",scheduleapr[[#This Row],[Grade]],"-",scheduleapr[[#This Row],[FC/NFC]])</f>
        <v/>
      </c>
      <c r="R359" s="557">
        <f>_xlfn.CONCAT(scheduleapr[[#This Row],[Bucket]],"-",scheduleapr[[#This Row],[LENGTH]]/1000)</f>
        <v/>
      </c>
      <c r="S359" s="557">
        <f>COUNTIF(scheduleapr[CTL Bucket],scheduleapr[[#This Row],[CTL Bucket]])</f>
        <v/>
      </c>
      <c r="T359" s="601" t="n"/>
      <c r="U359" s="601" t="n"/>
      <c r="V359" s="601" t="n"/>
      <c r="W359" s="601" t="n"/>
      <c r="X359" s="559" t="n">
        <v>42.7</v>
      </c>
      <c r="Y359" s="559" t="n">
        <v>42.7</v>
      </c>
      <c r="Z359" s="6" t="n">
        <v>0</v>
      </c>
      <c r="AA359" s="599" t="n">
        <v>3.5</v>
      </c>
      <c r="AB359" s="600" t="n">
        <v>204.5</v>
      </c>
      <c r="AC359" s="600" t="inlineStr">
        <is>
          <t>NOS</t>
        </is>
      </c>
      <c r="AD359" s="600" t="n"/>
      <c r="AE359" s="600" t="n"/>
      <c r="AF359" s="601" t="n">
        <v>30000</v>
      </c>
      <c r="AG359" s="601" t="inlineStr">
        <is>
          <t>Aug 2026 schedule · nmpl hub</t>
        </is>
      </c>
      <c r="AH359" s="601">
        <f t="array" ref="AH3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59" s="602">
        <f>scheduleapr[[#This Row],[SCHEDULE in nos]]-scheduleapr[[#This Row],[DISPATCH]]</f>
        <v/>
      </c>
      <c r="AJ359" s="599">
        <f>(3.14*(scheduleapr[[#This Row],[ACTUAL OD]]-scheduleapr[[#This Row],[TICKNESS]])*scheduleapr[[#This Row],[TICKNESS]]*scheduleapr[[#This Row],[LENGTH]]*7.85)/1000000*scheduleapr[[#This Row],[SCHEDULE in nos]]/1000</f>
        <v/>
      </c>
      <c r="AK359" s="599">
        <f>(3.14*(scheduleapr[[#This Row],[ACTUAL OD]]-scheduleapr[[#This Row],[TICKNESS]])*scheduleapr[[#This Row],[TICKNESS]]*scheduleapr[[#This Row],[LENGTH]]*7.85)/1000000*scheduleapr[[#This Row],[DISPATCH]]/1000</f>
        <v/>
      </c>
      <c r="AL359" s="599">
        <f>AJ359-AK359</f>
        <v/>
      </c>
      <c r="AM359" s="599">
        <f>scheduleapr[[#This Row],[SCHEDULE in nos]]/scheduleapr[[#This Row],[SCHEDULE IN MT]]*scheduleapr[[#This Row],[CTL Stock]]</f>
        <v/>
      </c>
      <c r="AN359" s="599">
        <f>SUMIFS(stock[MT],stock[Bucket],scheduleapr[[#This Row],[Bucket]],stock[CTL Bucket],scheduleapr[[#This Row],[CTL Bucket]],stock[Plant],"0789")</f>
        <v/>
      </c>
      <c r="AO359" s="599" t="n"/>
      <c r="AP359" s="599">
        <f>SUMIFS(stock[MT],stock[Bucket],scheduleapr[[#This Row],[Bucket]],stock[LL or CTL],"LL")</f>
        <v/>
      </c>
      <c r="AQ359" s="599">
        <f>+SUMIFS(wip[Stock(Net Wt)],wip[Bucket],scheduleapr[[#This Row],[Bucket]])/1000</f>
        <v/>
      </c>
      <c r="AR359" s="599">
        <f>AJ359-AN359</f>
        <v/>
      </c>
      <c r="AS359" s="118" t="n"/>
    </row>
    <row r="360">
      <c r="A360" s="594" t="n">
        <v>289</v>
      </c>
      <c r="B360" s="5" t="inlineStr">
        <is>
          <t xml:space="preserve">Khopoli </t>
        </is>
      </c>
      <c r="C360" s="601" t="inlineStr">
        <is>
          <t>NMPL TVSM</t>
        </is>
      </c>
      <c r="D360" s="601" t="inlineStr">
        <is>
          <t>NMPL</t>
        </is>
      </c>
      <c r="E360" s="601" t="inlineStr">
        <is>
          <t>189226|930794</t>
        </is>
      </c>
      <c r="F360" s="601" t="n">
        <v>2417649</v>
      </c>
      <c r="G360" s="601">
        <f>_xlfn.CONCAT(scheduleapr[[#This Row],[CUSTOMER CODE]],"-",scheduleapr[[#This Row],[MATERIAL NO]])</f>
        <v/>
      </c>
      <c r="H360" s="601" t="inlineStr">
        <is>
          <t>TUB-O-N-AUT-AN--42.70X3.500X0.2096</t>
        </is>
      </c>
      <c r="I360" s="601" t="inlineStr">
        <is>
          <t>ERW 1</t>
        </is>
      </c>
      <c r="J360" s="601" t="inlineStr">
        <is>
          <t>Annealed</t>
        </is>
      </c>
      <c r="K360" s="601" t="inlineStr">
        <is>
          <t>FC</t>
        </is>
      </c>
      <c r="L360" s="601" t="inlineStr">
        <is>
          <t>HR</t>
        </is>
      </c>
      <c r="M360" s="601" t="n"/>
      <c r="N360" s="601" t="inlineStr">
        <is>
          <t>Chamferring</t>
        </is>
      </c>
      <c r="O360" s="601" t="n"/>
      <c r="P360" s="601" t="n"/>
      <c r="Q360" s="557">
        <f>CONCATENATE(scheduleapr[[#This Row],[OD]],"-",scheduleapr[[#This Row],[ID]],"-",scheduleapr[[#This Row],[TICKNESS]],"-",scheduleapr[[#This Row],[Grade]],"-",scheduleapr[[#This Row],[FC/NFC]])</f>
        <v/>
      </c>
      <c r="R360" s="557">
        <f>_xlfn.CONCAT(scheduleapr[[#This Row],[Bucket]],"-",scheduleapr[[#This Row],[LENGTH]]/1000)</f>
        <v/>
      </c>
      <c r="S360" s="557">
        <f>COUNTIF(scheduleapr[CTL Bucket],scheduleapr[[#This Row],[CTL Bucket]])</f>
        <v/>
      </c>
      <c r="T360" s="601" t="inlineStr">
        <is>
          <t>Khopoli</t>
        </is>
      </c>
      <c r="U360" s="601">
        <f>_xlfn.IFNA(VLOOKUP(scheduleapr[[#This Row],[Bucket]],salesforecast[[#All],[Bucket2]:[8406 Stock]],19,0),0)</f>
        <v/>
      </c>
      <c r="V360" s="562">
        <f>_xlfn.IFNA(VLOOKUP(scheduleapr[[#This Row],[Bucket]],salesforecast[[#All],[Bucket2]:[8406 Stock]],20,0),0)+_xlfn.IFNA(VLOOKUP(scheduleapr[[#This Row],[Bucket]],salesforecast[[#All],[Bucket2]:[8406 Stock]],17,0),0)</f>
        <v/>
      </c>
      <c r="W360" s="557" t="n"/>
      <c r="X360" s="599" t="n">
        <v>42.7</v>
      </c>
      <c r="Y360" s="599" t="n">
        <v>42.7</v>
      </c>
      <c r="Z360" s="599" t="n">
        <v>0</v>
      </c>
      <c r="AA360" s="599" t="n">
        <v>3.5</v>
      </c>
      <c r="AB360" s="600" t="n">
        <v>210</v>
      </c>
      <c r="AC360" s="600" t="inlineStr">
        <is>
          <t>NOS</t>
        </is>
      </c>
      <c r="AD360" s="600" t="n"/>
      <c r="AE360" s="600" t="n"/>
      <c r="AF360" s="601" t="n">
        <v>50000</v>
      </c>
      <c r="AG360" s="601" t="inlineStr">
        <is>
          <t>Aug 2026 schedule · nmpl 1</t>
        </is>
      </c>
      <c r="AH360" s="601">
        <f t="array" ref="AH3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0" s="602">
        <f>scheduleapr[[#This Row],[SCHEDULE in nos]]-scheduleapr[[#This Row],[DISPATCH]]</f>
        <v/>
      </c>
      <c r="AJ360" s="599">
        <f>(3.14*(scheduleapr[[#This Row],[ACTUAL OD]]-scheduleapr[[#This Row],[TICKNESS]])*scheduleapr[[#This Row],[TICKNESS]]*scheduleapr[[#This Row],[LENGTH]]*7.85)/1000000*scheduleapr[[#This Row],[SCHEDULE in nos]]/1000</f>
        <v/>
      </c>
      <c r="AK360" s="599">
        <f>(3.14*(scheduleapr[[#This Row],[ACTUAL OD]]-scheduleapr[[#This Row],[TICKNESS]])*scheduleapr[[#This Row],[TICKNESS]]*scheduleapr[[#This Row],[LENGTH]]*7.85)/1000000*scheduleapr[[#This Row],[DISPATCH]]/1000</f>
        <v/>
      </c>
      <c r="AL360" s="599">
        <f>AJ360-AK360</f>
        <v/>
      </c>
      <c r="AM360" s="599">
        <f>scheduleapr[[#This Row],[SCHEDULE in nos]]/scheduleapr[[#This Row],[SCHEDULE IN MT]]*scheduleapr[[#This Row],[CTL Stock]]</f>
        <v/>
      </c>
      <c r="AN360" s="599">
        <f>SUMIFS(stock[MT],stock[Bucket],scheduleapr[[#This Row],[Bucket]],stock[CTL Bucket],scheduleapr[[#This Row],[CTL Bucket]],stock[Plant],"0789")</f>
        <v/>
      </c>
      <c r="AO360" s="599" t="n"/>
      <c r="AP360" s="599">
        <f>SUMIFS(stock[MT],stock[Bucket],scheduleapr[[#This Row],[Bucket]],stock[LL or CTL],"LL")</f>
        <v/>
      </c>
      <c r="AQ360" s="599">
        <f>+SUMIFS(wip[Stock(Net Wt)],wip[Bucket],scheduleapr[[#This Row],[Bucket]])/1000</f>
        <v/>
      </c>
      <c r="AR360" s="599">
        <f>AJ360-AN360</f>
        <v/>
      </c>
      <c r="AS360" s="118" t="n"/>
    </row>
    <row r="361">
      <c r="A361" s="594" t="n">
        <v>239</v>
      </c>
      <c r="B361" s="5" t="inlineStr">
        <is>
          <t>JSR</t>
        </is>
      </c>
      <c r="C361" s="601" t="inlineStr">
        <is>
          <t>NMPL HUB</t>
        </is>
      </c>
      <c r="D361" s="601" t="inlineStr">
        <is>
          <t>NMPL</t>
        </is>
      </c>
      <c r="E361" s="601" t="inlineStr">
        <is>
          <t>930801|189227</t>
        </is>
      </c>
      <c r="F361" s="601" t="n">
        <v>1568170</v>
      </c>
      <c r="G361" s="601">
        <f>_xlfn.CONCAT(scheduleapr[[#This Row],[CUSTOMER CODE]],"-",scheduleapr[[#This Row],[MATERIAL NO]])</f>
        <v/>
      </c>
      <c r="H361" s="601" t="inlineStr">
        <is>
          <t>TUB-O-N-AUT-BH-FC-48.60X3.500X0.1960</t>
        </is>
      </c>
      <c r="I361" s="601" t="inlineStr">
        <is>
          <t>ERW 1</t>
        </is>
      </c>
      <c r="J361" s="601" t="inlineStr">
        <is>
          <t>Annealed</t>
        </is>
      </c>
      <c r="K361" s="601" t="inlineStr">
        <is>
          <t>FC</t>
        </is>
      </c>
      <c r="L361" s="601" t="inlineStr">
        <is>
          <t>HR</t>
        </is>
      </c>
      <c r="M361" s="601" t="n"/>
      <c r="N361" s="601" t="inlineStr">
        <is>
          <t>Chamferring</t>
        </is>
      </c>
      <c r="O361" s="601" t="n"/>
      <c r="P361" s="601" t="n"/>
      <c r="Q361" s="557">
        <f>CONCATENATE(scheduleapr[[#This Row],[OD]],"-",scheduleapr[[#This Row],[ID]],"-",scheduleapr[[#This Row],[TICKNESS]],"-",scheduleapr[[#This Row],[Grade]],"-",scheduleapr[[#This Row],[FC/NFC]])</f>
        <v/>
      </c>
      <c r="R361" s="557">
        <f>_xlfn.CONCAT(scheduleapr[[#This Row],[Bucket]],"-",scheduleapr[[#This Row],[LENGTH]]/1000)</f>
        <v/>
      </c>
      <c r="S361" s="557">
        <f>COUNTIF(scheduleapr[CTL Bucket],scheduleapr[[#This Row],[CTL Bucket]])</f>
        <v/>
      </c>
      <c r="T361" s="601" t="inlineStr">
        <is>
          <t>Hosur</t>
        </is>
      </c>
      <c r="U361" s="601">
        <f>_xlfn.IFNA(VLOOKUP(scheduleapr[[#This Row],[Bucket]],salesforecast[[#All],[Bucket2]:[8406 Stock]],19,0),0)</f>
        <v/>
      </c>
      <c r="V361" s="562">
        <f>_xlfn.IFNA(VLOOKUP(scheduleapr[[#This Row],[Bucket]],salesforecast[[#All],[Bucket2]:[8406 Stock]],20,0),0)+_xlfn.IFNA(VLOOKUP(scheduleapr[[#This Row],[Bucket]],salesforecast[[#All],[Bucket2]:[8406 Stock]],17,0),0)</f>
        <v/>
      </c>
      <c r="W361" s="557" t="n"/>
      <c r="X361" s="599" t="n">
        <v>48.6</v>
      </c>
      <c r="Y361" s="599" t="n">
        <v>48.6</v>
      </c>
      <c r="Z361" s="599" t="n">
        <v>0</v>
      </c>
      <c r="AA361" s="599" t="n">
        <v>3.5</v>
      </c>
      <c r="AB361" s="600" t="n">
        <v>196</v>
      </c>
      <c r="AC361" s="600" t="inlineStr">
        <is>
          <t>NOS</t>
        </is>
      </c>
      <c r="AD361" s="600" t="n"/>
      <c r="AE361" s="600" t="n"/>
      <c r="AF361" s="601" t="n">
        <v>13530</v>
      </c>
      <c r="AG361" s="601" t="inlineStr">
        <is>
          <t>Aug 2026 schedule · nmpl hub</t>
        </is>
      </c>
      <c r="AH361" s="601">
        <f t="array" ref="AH3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1" s="602">
        <f>scheduleapr[[#This Row],[SCHEDULE in nos]]-scheduleapr[[#This Row],[DISPATCH]]</f>
        <v/>
      </c>
      <c r="AJ361" s="599">
        <f>(3.14*(scheduleapr[[#This Row],[ACTUAL OD]]-scheduleapr[[#This Row],[TICKNESS]])*scheduleapr[[#This Row],[TICKNESS]]*scheduleapr[[#This Row],[LENGTH]]*7.85)/1000000*scheduleapr[[#This Row],[SCHEDULE in nos]]/1000</f>
        <v/>
      </c>
      <c r="AK361" s="599">
        <f>(3.14*(scheduleapr[[#This Row],[ACTUAL OD]]-scheduleapr[[#This Row],[TICKNESS]])*scheduleapr[[#This Row],[TICKNESS]]*scheduleapr[[#This Row],[LENGTH]]*7.85)/1000000*scheduleapr[[#This Row],[DISPATCH]]/1000</f>
        <v/>
      </c>
      <c r="AL361" s="599">
        <f>AJ361-AK361</f>
        <v/>
      </c>
      <c r="AM361" s="599">
        <f>scheduleapr[[#This Row],[SCHEDULE in nos]]/scheduleapr[[#This Row],[SCHEDULE IN MT]]*scheduleapr[[#This Row],[CTL Stock]]</f>
        <v/>
      </c>
      <c r="AN361" s="599">
        <f>SUMIFS(stock[MT],stock[Bucket],scheduleapr[[#This Row],[Bucket]],stock[CTL Bucket],scheduleapr[[#This Row],[CTL Bucket]],stock[Plant],"0789")</f>
        <v/>
      </c>
      <c r="AO361" s="599" t="n"/>
      <c r="AP361" s="599">
        <f>SUMIFS(stock[MT],stock[Bucket],scheduleapr[[#This Row],[Bucket]],stock[LL or CTL],"LL")</f>
        <v/>
      </c>
      <c r="AQ361" s="599">
        <f>+SUMIFS(wip[Stock(Net Wt)],wip[Bucket],scheduleapr[[#This Row],[Bucket]])/1000</f>
        <v/>
      </c>
      <c r="AR361" s="599">
        <f>AJ361-AN361</f>
        <v/>
      </c>
      <c r="AS361" s="118" t="n"/>
    </row>
    <row r="362">
      <c r="A362" s="594" t="n">
        <v>290</v>
      </c>
      <c r="B362" s="5" t="inlineStr">
        <is>
          <t>Hosur</t>
        </is>
      </c>
      <c r="C362" s="601" t="inlineStr">
        <is>
          <t>NMPL TVSM</t>
        </is>
      </c>
      <c r="D362" s="601" t="inlineStr">
        <is>
          <t>NMPL</t>
        </is>
      </c>
      <c r="E362" s="601" t="inlineStr">
        <is>
          <t>189226|930794</t>
        </is>
      </c>
      <c r="F362" s="9" t="n">
        <v>2325414</v>
      </c>
      <c r="G362" s="601">
        <f>_xlfn.CONCAT(scheduleapr[[#This Row],[CUSTOMER CODE]],"-",scheduleapr[[#This Row],[MATERIAL NO]])</f>
        <v/>
      </c>
      <c r="H362" s="601" t="inlineStr">
        <is>
          <t>TUB-O-AW-RHS-50.00X30.00X2.000X0.1400</t>
        </is>
      </c>
      <c r="I362" s="601" t="inlineStr">
        <is>
          <t>ERW 1</t>
        </is>
      </c>
      <c r="J362" s="601" t="n"/>
      <c r="K362" s="601" t="inlineStr">
        <is>
          <t>FC</t>
        </is>
      </c>
      <c r="L362" s="601" t="inlineStr">
        <is>
          <t>HR</t>
        </is>
      </c>
      <c r="M362" s="601" t="n"/>
      <c r="N362" s="601" t="n"/>
      <c r="O362" s="601" t="n"/>
      <c r="P362" s="601" t="n"/>
      <c r="Q362" s="557">
        <f>CONCATENATE(scheduleapr[[#This Row],[OD]],"-",scheduleapr[[#This Row],[ID]],"-",scheduleapr[[#This Row],[TICKNESS]],"-",scheduleapr[[#This Row],[Grade]],"-",scheduleapr[[#This Row],[FC/NFC]])</f>
        <v/>
      </c>
      <c r="R362" s="557">
        <f>_xlfn.CONCAT(scheduleapr[[#This Row],[Bucket]],"-",scheduleapr[[#This Row],[LENGTH]]/1000)</f>
        <v/>
      </c>
      <c r="S362" s="557">
        <f>COUNTIF(scheduleapr[CTL Bucket],scheduleapr[[#This Row],[CTL Bucket]])</f>
        <v/>
      </c>
      <c r="T362" s="601" t="inlineStr">
        <is>
          <t>Hosur</t>
        </is>
      </c>
      <c r="U362" s="601">
        <f>_xlfn.IFNA(VLOOKUP(scheduleapr[[#This Row],[Bucket]],salesforecast[[#All],[Bucket2]:[8406 Stock]],19,0),0)</f>
        <v/>
      </c>
      <c r="V362" s="562">
        <f>_xlfn.IFNA(VLOOKUP(scheduleapr[[#This Row],[Bucket]],salesforecast[[#All],[Bucket2]:[8406 Stock]],20,0),0)+_xlfn.IFNA(VLOOKUP(scheduleapr[[#This Row],[Bucket]],salesforecast[[#All],[Bucket2]:[8406 Stock]],17,0),0)</f>
        <v/>
      </c>
      <c r="W362" s="557" t="n"/>
      <c r="X362" s="599" t="n">
        <v>50.8</v>
      </c>
      <c r="Y362" s="599" t="n">
        <v>50</v>
      </c>
      <c r="Z362" s="599" t="n">
        <v>30</v>
      </c>
      <c r="AA362" s="599" t="n">
        <v>2</v>
      </c>
      <c r="AB362" s="600" t="n">
        <v>140</v>
      </c>
      <c r="AC362" s="600" t="inlineStr">
        <is>
          <t>NOS</t>
        </is>
      </c>
      <c r="AD362" s="600" t="n"/>
      <c r="AE362" s="600" t="n"/>
      <c r="AF362" s="601" t="n">
        <v>1000</v>
      </c>
      <c r="AG362" s="601" t="inlineStr">
        <is>
          <t>Aug 2026 schedule · nmpl 1</t>
        </is>
      </c>
      <c r="AH362" s="601">
        <f t="array" ref="AH3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2" s="602">
        <f>scheduleapr[[#This Row],[SCHEDULE in nos]]-scheduleapr[[#This Row],[DISPATCH]]</f>
        <v/>
      </c>
      <c r="AJ362" s="599">
        <f>(3.14*(scheduleapr[[#This Row],[ACTUAL OD]]-scheduleapr[[#This Row],[TICKNESS]])*scheduleapr[[#This Row],[TICKNESS]]*scheduleapr[[#This Row],[LENGTH]]*7.85)/1000000*scheduleapr[[#This Row],[SCHEDULE in nos]]/1000</f>
        <v/>
      </c>
      <c r="AK362" s="599">
        <f>(3.14*(scheduleapr[[#This Row],[ACTUAL OD]]-scheduleapr[[#This Row],[TICKNESS]])*scheduleapr[[#This Row],[TICKNESS]]*scheduleapr[[#This Row],[LENGTH]]*7.85)/1000000*scheduleapr[[#This Row],[DISPATCH]]/1000</f>
        <v/>
      </c>
      <c r="AL362" s="599">
        <f>AJ362-AK362</f>
        <v/>
      </c>
      <c r="AM362" s="599">
        <f>scheduleapr[[#This Row],[SCHEDULE in nos]]/scheduleapr[[#This Row],[SCHEDULE IN MT]]*scheduleapr[[#This Row],[CTL Stock]]</f>
        <v/>
      </c>
      <c r="AN362" s="599">
        <f>SUMIFS(stock[MT],stock[Bucket],scheduleapr[[#This Row],[Bucket]],stock[CTL Bucket],scheduleapr[[#This Row],[CTL Bucket]],stock[Plant],"0789")</f>
        <v/>
      </c>
      <c r="AO362" s="599" t="n"/>
      <c r="AP362" s="599">
        <f>SUMIFS(stock[MT],stock[Bucket],scheduleapr[[#This Row],[Bucket]],stock[LL or CTL],"LL")</f>
        <v/>
      </c>
      <c r="AQ362" s="599">
        <f>+SUMIFS(wip[Stock(Net Wt)],wip[Bucket],scheduleapr[[#This Row],[Bucket]])/1000</f>
        <v/>
      </c>
      <c r="AR362" s="599">
        <f>AJ362-AN362</f>
        <v/>
      </c>
      <c r="AS362" s="118" t="n"/>
    </row>
    <row r="363">
      <c r="A363" s="594" t="n">
        <v>291</v>
      </c>
      <c r="B363" s="5" t="inlineStr">
        <is>
          <t>Hosur</t>
        </is>
      </c>
      <c r="C363" s="601" t="inlineStr">
        <is>
          <t>NMPL TVSM</t>
        </is>
      </c>
      <c r="D363" s="601" t="inlineStr">
        <is>
          <t>NMPL</t>
        </is>
      </c>
      <c r="E363" s="601" t="inlineStr">
        <is>
          <t>189226|930794</t>
        </is>
      </c>
      <c r="F363" s="601" t="n">
        <v>1940881</v>
      </c>
      <c r="G363" s="601">
        <f>_xlfn.CONCAT(scheduleapr[[#This Row],[CUSTOMER CODE]],"-",scheduleapr[[#This Row],[MATERIAL NO]])</f>
        <v/>
      </c>
      <c r="H363" s="601" t="inlineStr">
        <is>
          <t>TUB-R-AW-RHS-50.00X30.00X2.000X0.7300</t>
        </is>
      </c>
      <c r="I363" s="601" t="inlineStr">
        <is>
          <t>ERW 1</t>
        </is>
      </c>
      <c r="J363" s="601" t="n"/>
      <c r="K363" s="601" t="inlineStr">
        <is>
          <t>FC</t>
        </is>
      </c>
      <c r="L363" s="601" t="inlineStr">
        <is>
          <t>HR</t>
        </is>
      </c>
      <c r="M363" s="601" t="n"/>
      <c r="N363" s="601" t="n"/>
      <c r="O363" s="601" t="n"/>
      <c r="P363" s="601" t="n"/>
      <c r="Q363" s="557">
        <f>CONCATENATE(scheduleapr[[#This Row],[OD]],"-",scheduleapr[[#This Row],[ID]],"-",scheduleapr[[#This Row],[TICKNESS]],"-",scheduleapr[[#This Row],[Grade]],"-",scheduleapr[[#This Row],[FC/NFC]])</f>
        <v/>
      </c>
      <c r="R363" s="557">
        <f>_xlfn.CONCAT(scheduleapr[[#This Row],[Bucket]],"-",scheduleapr[[#This Row],[LENGTH]]/1000)</f>
        <v/>
      </c>
      <c r="S363" s="557">
        <f>COUNTIF(scheduleapr[CTL Bucket],scheduleapr[[#This Row],[CTL Bucket]])</f>
        <v/>
      </c>
      <c r="T363" s="601" t="inlineStr">
        <is>
          <t>Hosur</t>
        </is>
      </c>
      <c r="U363" s="601">
        <f>_xlfn.IFNA(VLOOKUP(scheduleapr[[#This Row],[Bucket]],salesforecast[[#All],[Bucket2]:[8406 Stock]],19,0),0)</f>
        <v/>
      </c>
      <c r="V363" s="562">
        <f>_xlfn.IFNA(VLOOKUP(scheduleapr[[#This Row],[Bucket]],salesforecast[[#All],[Bucket2]:[8406 Stock]],20,0),0)+_xlfn.IFNA(VLOOKUP(scheduleapr[[#This Row],[Bucket]],salesforecast[[#All],[Bucket2]:[8406 Stock]],17,0),0)</f>
        <v/>
      </c>
      <c r="W363" s="557" t="n"/>
      <c r="X363" s="599" t="n">
        <v>50.8</v>
      </c>
      <c r="Y363" s="599" t="n">
        <v>50</v>
      </c>
      <c r="Z363" s="6" t="n">
        <v>30</v>
      </c>
      <c r="AA363" s="599" t="n">
        <v>2</v>
      </c>
      <c r="AB363" s="600" t="n">
        <v>730</v>
      </c>
      <c r="AC363" s="600" t="inlineStr">
        <is>
          <t>NOS</t>
        </is>
      </c>
      <c r="AD363" s="600" t="n"/>
      <c r="AE363" s="600" t="n"/>
      <c r="AF363" s="601" t="n">
        <v>12000</v>
      </c>
      <c r="AG363" s="601" t="inlineStr">
        <is>
          <t>Aug 2026 schedule · nmpl 1</t>
        </is>
      </c>
      <c r="AH363" s="601">
        <f t="array" ref="AH3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3" s="602">
        <f>scheduleapr[[#This Row],[SCHEDULE in nos]]-scheduleapr[[#This Row],[DISPATCH]]</f>
        <v/>
      </c>
      <c r="AJ363" s="599">
        <f>(3.14*(scheduleapr[[#This Row],[ACTUAL OD]]-scheduleapr[[#This Row],[TICKNESS]])*scheduleapr[[#This Row],[TICKNESS]]*scheduleapr[[#This Row],[LENGTH]]*7.85)/1000000*scheduleapr[[#This Row],[SCHEDULE in nos]]/1000</f>
        <v/>
      </c>
      <c r="AK363" s="599">
        <f>(3.14*(scheduleapr[[#This Row],[ACTUAL OD]]-scheduleapr[[#This Row],[TICKNESS]])*scheduleapr[[#This Row],[TICKNESS]]*scheduleapr[[#This Row],[LENGTH]]*7.85)/1000000*scheduleapr[[#This Row],[DISPATCH]]/1000</f>
        <v/>
      </c>
      <c r="AL363" s="599">
        <f>AJ363-AK363</f>
        <v/>
      </c>
      <c r="AM363" s="599">
        <f>scheduleapr[[#This Row],[SCHEDULE in nos]]/scheduleapr[[#This Row],[SCHEDULE IN MT]]*scheduleapr[[#This Row],[CTL Stock]]</f>
        <v/>
      </c>
      <c r="AN363" s="599">
        <f>SUMIFS(stock[MT],stock[Bucket],scheduleapr[[#This Row],[Bucket]],stock[CTL Bucket],scheduleapr[[#This Row],[CTL Bucket]],stock[Plant],"0789")</f>
        <v/>
      </c>
      <c r="AO363" s="599" t="n"/>
      <c r="AP363" s="599">
        <f>SUMIFS(stock[MT],stock[Bucket],scheduleapr[[#This Row],[Bucket]],stock[LL or CTL],"LL")</f>
        <v/>
      </c>
      <c r="AQ363" s="599">
        <f>+SUMIFS(wip[Stock(Net Wt)],wip[Bucket],scheduleapr[[#This Row],[Bucket]])/1000</f>
        <v/>
      </c>
      <c r="AR363" s="599">
        <f>AJ363-AN363</f>
        <v/>
      </c>
      <c r="AS363" s="118" t="n"/>
    </row>
    <row r="364">
      <c r="A364" s="594" t="n">
        <v>245</v>
      </c>
      <c r="B364" s="5" t="inlineStr">
        <is>
          <t>Hosur</t>
        </is>
      </c>
      <c r="C364" s="601" t="inlineStr">
        <is>
          <t>NMPL HUB</t>
        </is>
      </c>
      <c r="D364" s="601" t="inlineStr">
        <is>
          <t>NMPL</t>
        </is>
      </c>
      <c r="E364" s="601" t="inlineStr">
        <is>
          <t>930801|189227</t>
        </is>
      </c>
      <c r="F364" s="601" t="n">
        <v>2353927</v>
      </c>
      <c r="G364" s="601">
        <f>_xlfn.CONCAT(scheduleapr[[#This Row],[CUSTOMER CODE]],"-",scheduleapr[[#This Row],[MATERIAL NO]])</f>
        <v/>
      </c>
      <c r="H364" s="601" t="inlineStr">
        <is>
          <t>TUB-O-N-AUT-AW--50.80X1.600X0.3850</t>
        </is>
      </c>
      <c r="I364" s="601" t="inlineStr">
        <is>
          <t>ERW 1</t>
        </is>
      </c>
      <c r="J364" s="601" t="n"/>
      <c r="K364" s="601" t="inlineStr">
        <is>
          <t>FC</t>
        </is>
      </c>
      <c r="L364" s="601" t="inlineStr">
        <is>
          <t>HR</t>
        </is>
      </c>
      <c r="M364" s="601" t="inlineStr">
        <is>
          <t>HROP</t>
        </is>
      </c>
      <c r="N364" s="601" t="n"/>
      <c r="O364" s="601" t="inlineStr">
        <is>
          <t>AG</t>
        </is>
      </c>
      <c r="P364" s="601" t="n"/>
      <c r="Q364" s="557">
        <f>CONCATENATE(scheduleapr[[#This Row],[OD]],"-",scheduleapr[[#This Row],[ID]],"-",scheduleapr[[#This Row],[TICKNESS]],"-",scheduleapr[[#This Row],[Grade]],"-",scheduleapr[[#This Row],[FC/NFC]])</f>
        <v/>
      </c>
      <c r="R364" s="557">
        <f>_xlfn.CONCAT(scheduleapr[[#This Row],[Bucket]],"-",scheduleapr[[#This Row],[LENGTH]]/1000)</f>
        <v/>
      </c>
      <c r="S364" s="557">
        <f>COUNTIF(scheduleapr[CTL Bucket],scheduleapr[[#This Row],[CTL Bucket]])</f>
        <v/>
      </c>
      <c r="T364" s="601" t="inlineStr">
        <is>
          <t>Hosur</t>
        </is>
      </c>
      <c r="U364" s="601">
        <f>_xlfn.IFNA(VLOOKUP(scheduleapr[[#This Row],[Bucket]],salesforecast[[#All],[Bucket2]:[8406 Stock]],19,0),0)</f>
        <v/>
      </c>
      <c r="V364" s="562">
        <f>_xlfn.IFNA(VLOOKUP(scheduleapr[[#This Row],[Bucket]],salesforecast[[#All],[Bucket2]:[8406 Stock]],20,0),0)+_xlfn.IFNA(VLOOKUP(scheduleapr[[#This Row],[Bucket]],salesforecast[[#All],[Bucket2]:[8406 Stock]],17,0),0)</f>
        <v/>
      </c>
      <c r="W364" s="557" t="n"/>
      <c r="X364" s="599" t="n">
        <v>50.8</v>
      </c>
      <c r="Y364" s="599" t="n">
        <v>50.8</v>
      </c>
      <c r="Z364" s="6" t="n">
        <v>0</v>
      </c>
      <c r="AA364" s="599" t="n">
        <v>1.6</v>
      </c>
      <c r="AB364" s="81" t="n">
        <v>385</v>
      </c>
      <c r="AC364" s="600" t="inlineStr">
        <is>
          <t>NOS</t>
        </is>
      </c>
      <c r="AD364" s="600" t="n"/>
      <c r="AE364" s="600" t="n"/>
      <c r="AF364" s="601" t="n">
        <v>8120</v>
      </c>
      <c r="AG364" s="601" t="inlineStr">
        <is>
          <t>Aug 2026 schedule · nmpl hub</t>
        </is>
      </c>
      <c r="AH364" s="601">
        <f t="array" ref="AH3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4" s="602">
        <f>scheduleapr[[#This Row],[SCHEDULE in nos]]-scheduleapr[[#This Row],[DISPATCH]]</f>
        <v/>
      </c>
      <c r="AJ364" s="599">
        <f>(3.14*(scheduleapr[[#This Row],[ACTUAL OD]]-scheduleapr[[#This Row],[TICKNESS]])*scheduleapr[[#This Row],[TICKNESS]]*scheduleapr[[#This Row],[LENGTH]]*7.85)/1000000*scheduleapr[[#This Row],[SCHEDULE in nos]]/1000</f>
        <v/>
      </c>
      <c r="AK364" s="599">
        <f>(3.14*(scheduleapr[[#This Row],[ACTUAL OD]]-scheduleapr[[#This Row],[TICKNESS]])*scheduleapr[[#This Row],[TICKNESS]]*scheduleapr[[#This Row],[LENGTH]]*7.85)/1000000*scheduleapr[[#This Row],[DISPATCH]]/1000</f>
        <v/>
      </c>
      <c r="AL364" s="599">
        <f>AJ364-AK364</f>
        <v/>
      </c>
      <c r="AM364" s="599">
        <f>scheduleapr[[#This Row],[SCHEDULE in nos]]/scheduleapr[[#This Row],[SCHEDULE IN MT]]*scheduleapr[[#This Row],[CTL Stock]]</f>
        <v/>
      </c>
      <c r="AN364" s="599">
        <f>SUMIFS(stock[MT],stock[Bucket],scheduleapr[[#This Row],[Bucket]],stock[CTL Bucket],scheduleapr[[#This Row],[CTL Bucket]],stock[Plant],"0789")</f>
        <v/>
      </c>
      <c r="AO364" s="599" t="n"/>
      <c r="AP364" s="599">
        <f>SUMIFS(stock[MT],stock[Bucket],scheduleapr[[#This Row],[Bucket]],stock[LL or CTL],"LL")</f>
        <v/>
      </c>
      <c r="AQ364" s="599">
        <f>+SUMIFS(wip[Stock(Net Wt)],wip[Bucket],scheduleapr[[#This Row],[Bucket]])/1000</f>
        <v/>
      </c>
      <c r="AR364" s="599">
        <f>AJ364-AN364</f>
        <v/>
      </c>
      <c r="AS364" s="118" t="n"/>
    </row>
    <row r="365">
      <c r="A365" s="594" t="n">
        <v>294</v>
      </c>
      <c r="B365" s="5" t="inlineStr">
        <is>
          <t xml:space="preserve">Khopoli </t>
        </is>
      </c>
      <c r="C365" s="601" t="inlineStr">
        <is>
          <t>NMPL TVSM</t>
        </is>
      </c>
      <c r="D365" s="601" t="inlineStr">
        <is>
          <t>NMPL</t>
        </is>
      </c>
      <c r="E365" s="601" t="inlineStr">
        <is>
          <t>189226|930794</t>
        </is>
      </c>
      <c r="F365" s="601" t="n">
        <v>1470103</v>
      </c>
      <c r="G365" s="601">
        <f>_xlfn.CONCAT(scheduleapr[[#This Row],[CUSTOMER CODE]],"-",scheduleapr[[#This Row],[MATERIAL NO]])</f>
        <v/>
      </c>
      <c r="H365" s="601" t="inlineStr">
        <is>
          <t>TUB-O-N-AUT-BH-FC-63.50X4.000X0.2360</t>
        </is>
      </c>
      <c r="I365" s="601" t="inlineStr">
        <is>
          <t>ERW 1</t>
        </is>
      </c>
      <c r="J365" s="601" t="inlineStr">
        <is>
          <t>Annealed</t>
        </is>
      </c>
      <c r="K365" s="601" t="inlineStr">
        <is>
          <t>FC</t>
        </is>
      </c>
      <c r="L365" s="601" t="inlineStr">
        <is>
          <t>HR</t>
        </is>
      </c>
      <c r="M365" s="601" t="n"/>
      <c r="N365" s="601" t="n"/>
      <c r="O365" s="601" t="n"/>
      <c r="P365" s="601" t="n"/>
      <c r="Q365" s="557">
        <f>CONCATENATE(scheduleapr[[#This Row],[OD]],"-",scheduleapr[[#This Row],[ID]],"-",scheduleapr[[#This Row],[TICKNESS]],"-",scheduleapr[[#This Row],[Grade]],"-",scheduleapr[[#This Row],[FC/NFC]])</f>
        <v/>
      </c>
      <c r="R365" s="557">
        <f>_xlfn.CONCAT(scheduleapr[[#This Row],[Bucket]],"-",scheduleapr[[#This Row],[LENGTH]]/1000)</f>
        <v/>
      </c>
      <c r="S365" s="557">
        <f>COUNTIF(scheduleapr[CTL Bucket],scheduleapr[[#This Row],[CTL Bucket]])</f>
        <v/>
      </c>
      <c r="T365" s="601" t="inlineStr">
        <is>
          <t>Khopoli</t>
        </is>
      </c>
      <c r="U365" s="601">
        <f>_xlfn.IFNA(VLOOKUP(scheduleapr[[#This Row],[Bucket]],salesforecast[[#All],[Bucket2]:[8406 Stock]],19,0),0)</f>
        <v/>
      </c>
      <c r="V365" s="562">
        <f>_xlfn.IFNA(VLOOKUP(scheduleapr[[#This Row],[Bucket]],salesforecast[[#All],[Bucket2]:[8406 Stock]],20,0),0)+_xlfn.IFNA(VLOOKUP(scheduleapr[[#This Row],[Bucket]],salesforecast[[#All],[Bucket2]:[8406 Stock]],17,0),0)</f>
        <v/>
      </c>
      <c r="W365" s="557" t="n"/>
      <c r="X365" s="599" t="n">
        <v>63.5</v>
      </c>
      <c r="Y365" s="79" t="n">
        <v>63.5</v>
      </c>
      <c r="Z365" s="599" t="n">
        <v>0</v>
      </c>
      <c r="AA365" s="599" t="n">
        <v>4</v>
      </c>
      <c r="AB365" s="22" t="n">
        <v>236</v>
      </c>
      <c r="AC365" s="22" t="inlineStr">
        <is>
          <t>NOS</t>
        </is>
      </c>
      <c r="AD365" s="22" t="n"/>
      <c r="AE365" s="22" t="n"/>
      <c r="AF365" s="601" t="n">
        <v>19000</v>
      </c>
      <c r="AG365" s="601" t="inlineStr">
        <is>
          <t>Aug 2026 schedule · nmpl 1</t>
        </is>
      </c>
      <c r="AH365" s="601">
        <f t="array" ref="AH3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5" s="602">
        <f>scheduleapr[[#This Row],[SCHEDULE in nos]]-scheduleapr[[#This Row],[DISPATCH]]</f>
        <v/>
      </c>
      <c r="AJ365" s="599">
        <f>(3.14*(scheduleapr[[#This Row],[ACTUAL OD]]-scheduleapr[[#This Row],[TICKNESS]])*scheduleapr[[#This Row],[TICKNESS]]*scheduleapr[[#This Row],[LENGTH]]*7.85)/1000000*scheduleapr[[#This Row],[SCHEDULE in nos]]/1000</f>
        <v/>
      </c>
      <c r="AK365" s="599">
        <f>(3.14*(scheduleapr[[#This Row],[ACTUAL OD]]-scheduleapr[[#This Row],[TICKNESS]])*scheduleapr[[#This Row],[TICKNESS]]*scheduleapr[[#This Row],[LENGTH]]*7.85)/1000000*scheduleapr[[#This Row],[DISPATCH]]/1000</f>
        <v/>
      </c>
      <c r="AL365" s="599">
        <f>AJ365-AK365</f>
        <v/>
      </c>
      <c r="AM365" s="599">
        <f>scheduleapr[[#This Row],[SCHEDULE in nos]]/scheduleapr[[#This Row],[SCHEDULE IN MT]]*scheduleapr[[#This Row],[CTL Stock]]</f>
        <v/>
      </c>
      <c r="AN365" s="599">
        <f>SUMIFS(stock[MT],stock[Bucket],scheduleapr[[#This Row],[Bucket]],stock[CTL Bucket],scheduleapr[[#This Row],[CTL Bucket]],stock[Plant],"0789")</f>
        <v/>
      </c>
      <c r="AO365" s="599" t="n"/>
      <c r="AP365" s="599">
        <f>SUMIFS(stock[MT],stock[Bucket],scheduleapr[[#This Row],[Bucket]],stock[LL or CTL],"LL")</f>
        <v/>
      </c>
      <c r="AQ365" s="599">
        <f>+SUMIFS(wip[Stock(Net Wt)],wip[Bucket],scheduleapr[[#This Row],[Bucket]])/1000</f>
        <v/>
      </c>
      <c r="AR365" s="599">
        <f>AJ365-AN365</f>
        <v/>
      </c>
      <c r="AS365" s="118" t="n"/>
    </row>
    <row r="366">
      <c r="A366" s="594" t="n">
        <v>214</v>
      </c>
      <c r="B366" s="5" t="inlineStr">
        <is>
          <t xml:space="preserve">Khopoli </t>
        </is>
      </c>
      <c r="C366" s="601" t="inlineStr">
        <is>
          <t>NMPL TVSM</t>
        </is>
      </c>
      <c r="D366" s="601" t="inlineStr">
        <is>
          <t>NMPL</t>
        </is>
      </c>
      <c r="E366" s="601" t="n">
        <v>189226</v>
      </c>
      <c r="F366" s="601" t="n">
        <v>2429289</v>
      </c>
      <c r="G366" s="601">
        <f>_xlfn.CONCAT(scheduleapr[[#This Row],[CUSTOMER CODE]],"-",scheduleapr[[#This Row],[MATERIAL NO]])</f>
        <v/>
      </c>
      <c r="H366" s="601" t="inlineStr">
        <is>
          <t>TUB-O-N-AUT-AN-FC-63.50X4.000X5.0600</t>
        </is>
      </c>
      <c r="I366" s="601" t="inlineStr">
        <is>
          <t>ERW 1</t>
        </is>
      </c>
      <c r="J366" s="601" t="inlineStr">
        <is>
          <t>Annealed</t>
        </is>
      </c>
      <c r="K366" s="601" t="inlineStr">
        <is>
          <t>FC</t>
        </is>
      </c>
      <c r="L366" s="601" t="inlineStr">
        <is>
          <t>HR</t>
        </is>
      </c>
      <c r="M366" s="601" t="n"/>
      <c r="N366" s="601" t="n"/>
      <c r="O366" s="601" t="n"/>
      <c r="P366" s="601" t="n"/>
      <c r="Q366" s="557">
        <f>CONCATENATE(scheduleapr[[#This Row],[OD]],"-",scheduleapr[[#This Row],[ID]],"-",scheduleapr[[#This Row],[TICKNESS]],"-",scheduleapr[[#This Row],[Grade]],"-",scheduleapr[[#This Row],[FC/NFC]])</f>
        <v/>
      </c>
      <c r="R366" s="557">
        <f>_xlfn.CONCAT(scheduleapr[[#This Row],[Bucket]],"-",scheduleapr[[#This Row],[LENGTH]]/1000)</f>
        <v/>
      </c>
      <c r="S366" s="557">
        <f>COUNTIF([2]!buckets[CTL Bucket],[2]!scheduleapr[[#This Row],[CTL Bucket]])</f>
        <v/>
      </c>
      <c r="T366" s="557" t="n"/>
      <c r="U366" s="557" t="n"/>
      <c r="V366" s="557" t="n"/>
      <c r="W366" s="557" t="n"/>
      <c r="X366" s="599" t="n">
        <v>63.5</v>
      </c>
      <c r="Y366" s="599" t="n">
        <v>63.5</v>
      </c>
      <c r="Z366" s="599" t="n">
        <v>0</v>
      </c>
      <c r="AA366" s="599" t="n">
        <v>4</v>
      </c>
      <c r="AB366" s="600" t="n">
        <v>5060</v>
      </c>
      <c r="AC366" s="600" t="n"/>
      <c r="AD366" s="600" t="n"/>
      <c r="AE366" s="600" t="n"/>
      <c r="AF366" s="601" t="n"/>
      <c r="AG366" s="601" t="n"/>
      <c r="AH366" s="601">
        <f t="array" ref="AH3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6" s="602">
        <f>scheduleapr[[#This Row],[SCHEDULE in nos]]-scheduleapr[[#This Row],[DISPATCH]]</f>
        <v/>
      </c>
      <c r="AJ366" s="599">
        <f>(3.14*(scheduleapr[[#This Row],[ACTUAL OD]]-scheduleapr[[#This Row],[TICKNESS]])*scheduleapr[[#This Row],[TICKNESS]]*scheduleapr[[#This Row],[LENGTH]]*7.85)/1000000*scheduleapr[[#This Row],[SCHEDULE in nos]]/1000</f>
        <v/>
      </c>
      <c r="AK366" s="599">
        <f>(3.14*(scheduleapr[[#This Row],[ACTUAL OD]]-scheduleapr[[#This Row],[TICKNESS]])*scheduleapr[[#This Row],[TICKNESS]]*scheduleapr[[#This Row],[LENGTH]]*7.85)/1000000*scheduleapr[[#This Row],[DISPATCH]]/1000</f>
        <v/>
      </c>
      <c r="AL366" s="599">
        <f>AJ366-AK366</f>
        <v/>
      </c>
      <c r="AM366" s="599">
        <f>scheduleapr[[#This Row],[SCHEDULE in nos]]/scheduleapr[[#This Row],[SCHEDULE IN MT]]*scheduleapr[[#This Row],[CTL Stock]]</f>
        <v/>
      </c>
      <c r="AN366" s="599">
        <f>SUMIFS(stock[MT],stock[Bucket],scheduleapr[[#This Row],[Bucket]],stock[CTL Bucket],scheduleapr[[#This Row],[CTL Bucket]],stock[Plant],"0789")</f>
        <v/>
      </c>
      <c r="AO366" s="599" t="n"/>
      <c r="AP366" s="599">
        <f>SUMIFS(stock[MT],stock[Bucket],scheduleapr[[#This Row],[Bucket]],stock[LL or CTL],"LL")</f>
        <v/>
      </c>
      <c r="AQ366" s="599">
        <f>+SUMIFS(wip[Stock(Net Wt)],wip[Bucket],scheduleapr[[#This Row],[Bucket]])/1000</f>
        <v/>
      </c>
      <c r="AR366" s="599">
        <f>AJ366-AN366</f>
        <v/>
      </c>
      <c r="AS366" s="118" t="n"/>
    </row>
    <row r="367">
      <c r="A367" s="556" t="n"/>
      <c r="B367" s="5" t="inlineStr">
        <is>
          <t>Hosur</t>
        </is>
      </c>
      <c r="C367" s="601" t="inlineStr">
        <is>
          <t>NMPL HUB</t>
        </is>
      </c>
      <c r="D367" s="601" t="inlineStr">
        <is>
          <t>NMPL</t>
        </is>
      </c>
      <c r="E367" s="601" t="inlineStr">
        <is>
          <t>930801|189227</t>
        </is>
      </c>
      <c r="F367" s="601" t="n">
        <v>1940437</v>
      </c>
      <c r="G367" s="601">
        <f>_xlfn.CONCAT(scheduleapr[[#This Row],[CUSTOMER CODE]],"-",scheduleapr[[#This Row],[MATERIAL NO]])</f>
        <v/>
      </c>
      <c r="H367" s="601" t="inlineStr">
        <is>
          <t>TUB-O-O-AUT-AW-PE-22.23X2.000X0.3940</t>
        </is>
      </c>
      <c r="I367" s="557" t="inlineStr">
        <is>
          <t>ERW 2</t>
        </is>
      </c>
      <c r="J367" s="557" t="n"/>
      <c r="K367" s="601" t="inlineStr">
        <is>
          <t>FC</t>
        </is>
      </c>
      <c r="L367" s="601" t="inlineStr">
        <is>
          <t>HR</t>
        </is>
      </c>
      <c r="M367" s="558" t="n"/>
      <c r="N367" s="557" t="n"/>
      <c r="O367" s="557" t="n"/>
      <c r="P367" s="557" t="n"/>
      <c r="Q367" s="557">
        <f>CONCATENATE(scheduleapr[[#This Row],[OD]],"-",scheduleapr[[#This Row],[ID]],"-",scheduleapr[[#This Row],[TICKNESS]],"-",scheduleapr[[#This Row],[Grade]],"-",scheduleapr[[#This Row],[FC/NFC]])</f>
        <v/>
      </c>
      <c r="R367" s="557">
        <f>_xlfn.CONCAT(scheduleapr[[#This Row],[Bucket]],"-",scheduleapr[[#This Row],[LENGTH]]/1000)</f>
        <v/>
      </c>
      <c r="S367" s="557" t="n"/>
      <c r="T367" s="601" t="n"/>
      <c r="U367" s="601">
        <f>_xlfn.IFNA(VLOOKUP(scheduleapr[[#This Row],[Bucket]],salesforecast[[#All],[Bucket2]:[8406 Stock]],19,0),0)</f>
        <v/>
      </c>
      <c r="V367" s="601" t="n"/>
      <c r="W367" s="601" t="n"/>
      <c r="X367" s="559" t="n">
        <v>22.23</v>
      </c>
      <c r="Y367" s="599" t="n">
        <v>22.23</v>
      </c>
      <c r="Z367" s="6" t="n">
        <v>0</v>
      </c>
      <c r="AA367" s="599" t="n">
        <v>2</v>
      </c>
      <c r="AB367" s="600" t="n">
        <v>394</v>
      </c>
      <c r="AC367" s="600" t="inlineStr">
        <is>
          <t>NOS</t>
        </is>
      </c>
      <c r="AD367" s="600" t="n"/>
      <c r="AE367" s="600" t="n"/>
      <c r="AF367" s="557" t="n"/>
      <c r="AG367" s="557" t="n"/>
      <c r="AH367" s="601">
        <f t="array" ref="AH3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7" s="602">
        <f>scheduleapr[[#This Row],[SCHEDULE in nos]]-scheduleapr[[#This Row],[DISPATCH]]</f>
        <v/>
      </c>
      <c r="AJ367" s="559">
        <f>(3.14*(scheduleapr[[#This Row],[ACTUAL OD]]-scheduleapr[[#This Row],[TICKNESS]])*scheduleapr[[#This Row],[TICKNESS]]*scheduleapr[[#This Row],[LENGTH]]*7.85)/1000000*scheduleapr[[#This Row],[SCHEDULE in nos]]/1000</f>
        <v/>
      </c>
      <c r="AK367" s="599">
        <f>(3.14*(scheduleapr[[#This Row],[ACTUAL OD]]-scheduleapr[[#This Row],[TICKNESS]])*scheduleapr[[#This Row],[TICKNESS]]*scheduleapr[[#This Row],[LENGTH]]*7.85)/1000000*scheduleapr[[#This Row],[DISPATCH]]/1000</f>
        <v/>
      </c>
      <c r="AL367" s="599">
        <f>AJ367-AK367</f>
        <v/>
      </c>
      <c r="AM367" s="559">
        <f>scheduleapr[[#This Row],[SCHEDULE in nos]]/scheduleapr[[#This Row],[SCHEDULE IN MT]]*scheduleapr[[#This Row],[CTL Stock]]</f>
        <v/>
      </c>
      <c r="AN367" s="599">
        <f>SUMIFS(stock[MT],stock[Bucket],scheduleapr[[#This Row],[Bucket]],stock[CTL Bucket],scheduleapr[[#This Row],[CTL Bucket]],stock[Plant],"0789")</f>
        <v/>
      </c>
      <c r="AO367" s="599" t="n"/>
      <c r="AP367" s="599">
        <f>SUMIFS(stock[MT],stock[Bucket],scheduleapr[[#This Row],[Bucket]],stock[LL or CTL],"LL")</f>
        <v/>
      </c>
      <c r="AQ367" s="599">
        <f>+SUMIFS(wip[Stock(Net Wt)],wip[Bucket],scheduleapr[[#This Row],[Bucket]])/1000</f>
        <v/>
      </c>
      <c r="AR367" s="599">
        <f>AJ367-AN367</f>
        <v/>
      </c>
      <c r="AS367" s="118" t="n"/>
    </row>
    <row r="368">
      <c r="A368" s="594" t="n">
        <v>232</v>
      </c>
      <c r="B368" s="5" t="inlineStr">
        <is>
          <t>Hosur</t>
        </is>
      </c>
      <c r="C368" s="601" t="inlineStr">
        <is>
          <t>NMPL HUB</t>
        </is>
      </c>
      <c r="D368" s="601" t="inlineStr">
        <is>
          <t>NMPL</t>
        </is>
      </c>
      <c r="E368" s="601" t="inlineStr">
        <is>
          <t>930801|189227</t>
        </is>
      </c>
      <c r="F368" s="601" t="n">
        <v>1933557</v>
      </c>
      <c r="G368" s="601">
        <f>_xlfn.CONCAT(scheduleapr[[#This Row],[CUSTOMER CODE]],"-",scheduleapr[[#This Row],[MATERIAL NO]])</f>
        <v/>
      </c>
      <c r="H368" s="48" t="inlineStr">
        <is>
          <t>TUB-O-N-AUT-AW-PE-28.58X1.600X0.8450</t>
        </is>
      </c>
      <c r="I368" s="601" t="inlineStr">
        <is>
          <t>ERW 2</t>
        </is>
      </c>
      <c r="J368" s="601" t="n"/>
      <c r="K368" s="601" t="inlineStr">
        <is>
          <t>PE</t>
        </is>
      </c>
      <c r="L368" s="601" t="inlineStr">
        <is>
          <t>CR</t>
        </is>
      </c>
      <c r="M368" s="596" t="inlineStr">
        <is>
          <t>ST52AL</t>
        </is>
      </c>
      <c r="N368" s="601" t="n"/>
      <c r="O368" s="601" t="n"/>
      <c r="P368" s="601" t="n"/>
      <c r="Q368" s="557">
        <f>CONCATENATE(scheduleapr[[#This Row],[OD]],"-",scheduleapr[[#This Row],[ID]],"-",scheduleapr[[#This Row],[TICKNESS]],"-",scheduleapr[[#This Row],[Grade]],"-",scheduleapr[[#This Row],[FC/NFC]])</f>
        <v/>
      </c>
      <c r="R368" s="557">
        <f>_xlfn.CONCAT(scheduleapr[[#This Row],[Bucket]],"-",scheduleapr[[#This Row],[LENGTH]]/1000)</f>
        <v/>
      </c>
      <c r="S368" s="557">
        <f>COUNTIF([2]!buckets[CTL Bucket],[2]!scheduleapr[[#This Row],[CTL Bucket]])</f>
        <v/>
      </c>
      <c r="T368" s="601" t="inlineStr">
        <is>
          <t>Hosur</t>
        </is>
      </c>
      <c r="U368" s="601" t="n"/>
      <c r="V368" s="557" t="n"/>
      <c r="W368" s="557" t="n"/>
      <c r="X368" s="599" t="n">
        <v>28.58</v>
      </c>
      <c r="Y368" s="599" t="n">
        <v>28.58</v>
      </c>
      <c r="Z368" s="6" t="n">
        <v>0</v>
      </c>
      <c r="AA368" s="599" t="n">
        <v>1.6</v>
      </c>
      <c r="AB368" s="600" t="n">
        <v>845</v>
      </c>
      <c r="AC368" s="600" t="inlineStr">
        <is>
          <t>NOS</t>
        </is>
      </c>
      <c r="AD368" s="600" t="n"/>
      <c r="AE368" s="600" t="n"/>
      <c r="AF368" s="601" t="n"/>
      <c r="AG368" s="601" t="n"/>
      <c r="AH368" s="601">
        <f t="array" ref="AH3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8" s="602">
        <f>scheduleapr[[#This Row],[SCHEDULE in nos]]-scheduleapr[[#This Row],[DISPATCH]]</f>
        <v/>
      </c>
      <c r="AJ368" s="599">
        <f>(3.14*(scheduleapr[[#This Row],[ACTUAL OD]]-scheduleapr[[#This Row],[TICKNESS]])*scheduleapr[[#This Row],[TICKNESS]]*scheduleapr[[#This Row],[LENGTH]]*7.85)/1000000*scheduleapr[[#This Row],[SCHEDULE in nos]]/1000</f>
        <v/>
      </c>
      <c r="AK368" s="599">
        <f>(3.14*(scheduleapr[[#This Row],[ACTUAL OD]]-scheduleapr[[#This Row],[TICKNESS]])*scheduleapr[[#This Row],[TICKNESS]]*scheduleapr[[#This Row],[LENGTH]]*7.85)/1000000*scheduleapr[[#This Row],[DISPATCH]]/1000</f>
        <v/>
      </c>
      <c r="AL368" s="599">
        <f>AJ368-AK368</f>
        <v/>
      </c>
      <c r="AM368" s="599">
        <f>scheduleapr[[#This Row],[SCHEDULE in nos]]/scheduleapr[[#This Row],[SCHEDULE IN MT]]*scheduleapr[[#This Row],[CTL Stock]]</f>
        <v/>
      </c>
      <c r="AN368" s="599">
        <f>SUMIFS(stock[MT],stock[Bucket],scheduleapr[[#This Row],[Bucket]],stock[CTL Bucket],scheduleapr[[#This Row],[CTL Bucket]],stock[Plant],"0789")</f>
        <v/>
      </c>
      <c r="AO368" s="599" t="n"/>
      <c r="AP368" s="599">
        <f>SUMIFS(stock[MT],stock[Bucket],scheduleapr[[#This Row],[Bucket]],stock[LL or CTL],"LL")</f>
        <v/>
      </c>
      <c r="AQ368" s="599">
        <f>+SUMIFS(wip[Stock(Net Wt)],wip[Bucket],scheduleapr[[#This Row],[Bucket]])/1000</f>
        <v/>
      </c>
      <c r="AR368" s="599">
        <f>AJ368-AN368</f>
        <v/>
      </c>
      <c r="AS368" s="118" t="n"/>
    </row>
    <row r="369">
      <c r="A369" s="594" t="n">
        <v>292</v>
      </c>
      <c r="B369" s="5" t="inlineStr">
        <is>
          <t xml:space="preserve">Khopoli </t>
        </is>
      </c>
      <c r="C369" s="601" t="inlineStr">
        <is>
          <t>NMPL TVSM</t>
        </is>
      </c>
      <c r="D369" s="601" t="inlineStr">
        <is>
          <t>NMPL</t>
        </is>
      </c>
      <c r="E369" s="601" t="inlineStr">
        <is>
          <t>189226|930794</t>
        </is>
      </c>
      <c r="F369" s="48" t="n">
        <v>2396464</v>
      </c>
      <c r="G369" s="601">
        <f>_xlfn.CONCAT(scheduleapr[[#This Row],[CUSTOMER CODE]],"-",scheduleapr[[#This Row],[MATERIAL NO]])</f>
        <v/>
      </c>
      <c r="H369" s="48" t="inlineStr">
        <is>
          <t>TUB-O-N-AUT-AN-FC-54.00X3.000X1.1400</t>
        </is>
      </c>
      <c r="I369" s="601" t="inlineStr">
        <is>
          <t>ERW 2</t>
        </is>
      </c>
      <c r="J369" s="601" t="n"/>
      <c r="K369" s="601" t="inlineStr">
        <is>
          <t>FC</t>
        </is>
      </c>
      <c r="L369" s="601" t="inlineStr">
        <is>
          <t>HR</t>
        </is>
      </c>
      <c r="M369" s="601" t="n"/>
      <c r="N369" s="601" t="n"/>
      <c r="O369" s="601" t="n"/>
      <c r="P369" s="601" t="n"/>
      <c r="Q369" s="557">
        <f>CONCATENATE(scheduleapr[[#This Row],[OD]],"-",scheduleapr[[#This Row],[ID]],"-",scheduleapr[[#This Row],[TICKNESS]],"-",scheduleapr[[#This Row],[Grade]],"-",scheduleapr[[#This Row],[FC/NFC]])</f>
        <v/>
      </c>
      <c r="R369" s="557">
        <f>_xlfn.CONCAT(scheduleapr[[#This Row],[Bucket]],"-",scheduleapr[[#This Row],[LENGTH]]/1000)</f>
        <v/>
      </c>
      <c r="S369" s="557">
        <f>COUNTIF(scheduleapr[CTL Bucket],scheduleapr[[#This Row],[CTL Bucket]])</f>
        <v/>
      </c>
      <c r="T369" s="601" t="inlineStr">
        <is>
          <t>Khopoli</t>
        </is>
      </c>
      <c r="U369" s="601">
        <f>_xlfn.IFNA(VLOOKUP(scheduleapr[[#This Row],[Bucket]],salesforecast[[#All],[Bucket2]:[8406 Stock]],19,0),0)</f>
        <v/>
      </c>
      <c r="V369" s="562">
        <f>_xlfn.IFNA(VLOOKUP(scheduleapr[[#This Row],[Bucket]],salesforecast[[#All],[Bucket2]:[8406 Stock]],20,0),0)+_xlfn.IFNA(VLOOKUP(scheduleapr[[#This Row],[Bucket]],salesforecast[[#All],[Bucket2]:[8406 Stock]],17,0),0)</f>
        <v/>
      </c>
      <c r="W369" s="557" t="n"/>
      <c r="X369" s="599" t="n">
        <v>54</v>
      </c>
      <c r="Y369" s="79" t="n">
        <v>54</v>
      </c>
      <c r="Z369" s="599" t="n">
        <v>0</v>
      </c>
      <c r="AA369" s="599" t="n">
        <v>3</v>
      </c>
      <c r="AB369" s="600" t="n">
        <v>1140</v>
      </c>
      <c r="AC369" s="600" t="inlineStr">
        <is>
          <t>NOS</t>
        </is>
      </c>
      <c r="AD369" s="600" t="n"/>
      <c r="AE369" s="600" t="n"/>
      <c r="AF369" s="601" t="n">
        <v>6000</v>
      </c>
      <c r="AG369" s="601" t="inlineStr">
        <is>
          <t>Aug 2026 schedule · nmpl 1</t>
        </is>
      </c>
      <c r="AH369" s="601">
        <f t="array" ref="AH3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69" s="602">
        <f>scheduleapr[[#This Row],[SCHEDULE in nos]]-scheduleapr[[#This Row],[DISPATCH]]</f>
        <v/>
      </c>
      <c r="AJ369" s="599">
        <f>(3.14*(scheduleapr[[#This Row],[ACTUAL OD]]-scheduleapr[[#This Row],[TICKNESS]])*scheduleapr[[#This Row],[TICKNESS]]*scheduleapr[[#This Row],[LENGTH]]*7.85)/1000000*scheduleapr[[#This Row],[SCHEDULE in nos]]/1000</f>
        <v/>
      </c>
      <c r="AK369" s="599">
        <f>(3.14*(scheduleapr[[#This Row],[ACTUAL OD]]-scheduleapr[[#This Row],[TICKNESS]])*scheduleapr[[#This Row],[TICKNESS]]*scheduleapr[[#This Row],[LENGTH]]*7.85)/1000000*scheduleapr[[#This Row],[DISPATCH]]/1000</f>
        <v/>
      </c>
      <c r="AL369" s="599">
        <f>AJ369-AK369</f>
        <v/>
      </c>
      <c r="AM369" s="599">
        <f>scheduleapr[[#This Row],[SCHEDULE in nos]]/scheduleapr[[#This Row],[SCHEDULE IN MT]]*scheduleapr[[#This Row],[CTL Stock]]</f>
        <v/>
      </c>
      <c r="AN369" s="599">
        <f>SUMIFS(stock[MT],stock[Bucket],scheduleapr[[#This Row],[Bucket]],stock[CTL Bucket],scheduleapr[[#This Row],[CTL Bucket]],stock[Plant],"0789")</f>
        <v/>
      </c>
      <c r="AO369" s="599" t="n"/>
      <c r="AP369" s="599">
        <f>SUMIFS(stock[MT],stock[Bucket],scheduleapr[[#This Row],[Bucket]],stock[LL or CTL],"LL")</f>
        <v/>
      </c>
      <c r="AQ369" s="599">
        <f>+SUMIFS(wip[Stock(Net Wt)],wip[Bucket],scheduleapr[[#This Row],[Bucket]])/1000</f>
        <v/>
      </c>
      <c r="AR369" s="599">
        <f>AJ369-AN369</f>
        <v/>
      </c>
      <c r="AS369" s="118" t="n"/>
    </row>
    <row r="370">
      <c r="A370" s="594" t="n">
        <v>213</v>
      </c>
      <c r="B370" s="5" t="inlineStr">
        <is>
          <t xml:space="preserve">Khopoli </t>
        </is>
      </c>
      <c r="C370" s="601" t="inlineStr">
        <is>
          <t>NMPL TVSM</t>
        </is>
      </c>
      <c r="D370" s="601" t="inlineStr">
        <is>
          <t>NMPL</t>
        </is>
      </c>
      <c r="E370" s="601" t="n">
        <v>189226</v>
      </c>
      <c r="F370" s="601" t="n">
        <v>2397139</v>
      </c>
      <c r="G370" s="601">
        <f>_xlfn.CONCAT(scheduleapr[[#This Row],[CUSTOMER CODE]],"-",scheduleapr[[#This Row],[MATERIAL NO]])</f>
        <v/>
      </c>
      <c r="H370" s="601" t="inlineStr">
        <is>
          <t>TUB-O-N-AUT-AN-FC-54.00X3.000X5.7500</t>
        </is>
      </c>
      <c r="I370" s="601" t="inlineStr">
        <is>
          <t>ERW 2</t>
        </is>
      </c>
      <c r="J370" s="601" t="n"/>
      <c r="K370" s="601" t="inlineStr">
        <is>
          <t>FC</t>
        </is>
      </c>
      <c r="L370" s="601" t="inlineStr">
        <is>
          <t>HR</t>
        </is>
      </c>
      <c r="M370" s="601" t="n"/>
      <c r="N370" s="601" t="n"/>
      <c r="O370" s="601" t="n"/>
      <c r="P370" s="601" t="n"/>
      <c r="Q370" s="557">
        <f>CONCATENATE(scheduleapr[[#This Row],[OD]],"-",scheduleapr[[#This Row],[ID]],"-",scheduleapr[[#This Row],[TICKNESS]],"-",scheduleapr[[#This Row],[Grade]],"-",scheduleapr[[#This Row],[FC/NFC]])</f>
        <v/>
      </c>
      <c r="R370" s="557">
        <f>_xlfn.CONCAT(scheduleapr[[#This Row],[Bucket]],"-",scheduleapr[[#This Row],[LENGTH]]/1000)</f>
        <v/>
      </c>
      <c r="S370" s="557">
        <f>COUNTIF([2]!buckets[CTL Bucket],[2]!scheduleapr[[#This Row],[CTL Bucket]])</f>
        <v/>
      </c>
      <c r="T370" s="557" t="n"/>
      <c r="U370" s="557" t="n"/>
      <c r="V370" s="557" t="n"/>
      <c r="W370" s="557" t="n"/>
      <c r="X370" s="599" t="n">
        <v>54</v>
      </c>
      <c r="Y370" s="599" t="n">
        <v>54</v>
      </c>
      <c r="Z370" s="599" t="n">
        <v>0</v>
      </c>
      <c r="AA370" s="599" t="n">
        <v>3</v>
      </c>
      <c r="AB370" s="600" t="n">
        <v>5750</v>
      </c>
      <c r="AC370" s="600" t="n"/>
      <c r="AD370" s="600" t="n"/>
      <c r="AE370" s="600" t="n"/>
      <c r="AF370" s="601" t="n"/>
      <c r="AG370" s="601" t="n"/>
      <c r="AH370" s="601">
        <f t="array" ref="AH3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0" s="602">
        <f>scheduleapr[[#This Row],[SCHEDULE in nos]]-scheduleapr[[#This Row],[DISPATCH]]</f>
        <v/>
      </c>
      <c r="AJ370" s="599">
        <f>(3.14*(scheduleapr[[#This Row],[ACTUAL OD]]-scheduleapr[[#This Row],[TICKNESS]])*scheduleapr[[#This Row],[TICKNESS]]*scheduleapr[[#This Row],[LENGTH]]*7.85)/1000000*scheduleapr[[#This Row],[SCHEDULE in nos]]/1000</f>
        <v/>
      </c>
      <c r="AK370" s="599">
        <f>(3.14*(scheduleapr[[#This Row],[ACTUAL OD]]-scheduleapr[[#This Row],[TICKNESS]])*scheduleapr[[#This Row],[TICKNESS]]*scheduleapr[[#This Row],[LENGTH]]*7.85)/1000000*scheduleapr[[#This Row],[DISPATCH]]/1000</f>
        <v/>
      </c>
      <c r="AL370" s="599">
        <f>AJ370-AK370</f>
        <v/>
      </c>
      <c r="AM370" s="599">
        <f>scheduleapr[[#This Row],[SCHEDULE in nos]]/scheduleapr[[#This Row],[SCHEDULE IN MT]]*scheduleapr[[#This Row],[CTL Stock]]</f>
        <v/>
      </c>
      <c r="AN370" s="599">
        <f>SUMIFS(stock[MT],stock[Bucket],scheduleapr[[#This Row],[Bucket]],stock[CTL Bucket],scheduleapr[[#This Row],[CTL Bucket]],stock[Plant],"0789")</f>
        <v/>
      </c>
      <c r="AO370" s="599" t="n"/>
      <c r="AP370" s="599">
        <f>SUMIFS(stock[MT],stock[Bucket],scheduleapr[[#This Row],[Bucket]],stock[LL or CTL],"LL")</f>
        <v/>
      </c>
      <c r="AQ370" s="599">
        <f>+SUMIFS(wip[Stock(Net Wt)],wip[Bucket],scheduleapr[[#This Row],[Bucket]])/1000</f>
        <v/>
      </c>
      <c r="AR370" s="599">
        <f>AJ370-AN370</f>
        <v/>
      </c>
      <c r="AS370" s="118" t="n"/>
    </row>
    <row r="371">
      <c r="A371" s="594" t="n">
        <v>246</v>
      </c>
      <c r="B371" s="5" t="inlineStr">
        <is>
          <t>JSR</t>
        </is>
      </c>
      <c r="C371" s="601" t="inlineStr">
        <is>
          <t>NMPL HUB</t>
        </is>
      </c>
      <c r="D371" s="601" t="inlineStr">
        <is>
          <t>NMPL</t>
        </is>
      </c>
      <c r="E371" s="601" t="inlineStr">
        <is>
          <t>930801|189227</t>
        </is>
      </c>
      <c r="F371" s="601" t="n">
        <v>3157631</v>
      </c>
      <c r="G371" s="601">
        <f>_xlfn.CONCAT(scheduleapr[[#This Row],[CUSTOMER CODE]],"-",scheduleapr[[#This Row],[MATERIAL NO]])</f>
        <v/>
      </c>
      <c r="H371" s="601" t="inlineStr">
        <is>
          <t>TUB-O-N-AUT-AW-FC-57.15X2.300X1.3650</t>
        </is>
      </c>
      <c r="I371" s="601" t="inlineStr">
        <is>
          <t>ERW 2</t>
        </is>
      </c>
      <c r="J371" s="601" t="n"/>
      <c r="K371" s="601" t="inlineStr">
        <is>
          <t>FC</t>
        </is>
      </c>
      <c r="L371" s="601" t="inlineStr">
        <is>
          <t>CR</t>
        </is>
      </c>
      <c r="M371" s="601" t="n"/>
      <c r="N371" s="601" t="n"/>
      <c r="O371" s="601" t="inlineStr">
        <is>
          <t>AG</t>
        </is>
      </c>
      <c r="P371" s="601" t="n"/>
      <c r="Q371" s="557">
        <f>CONCATENATE(scheduleapr[[#This Row],[OD]],"-",scheduleapr[[#This Row],[ID]],"-",scheduleapr[[#This Row],[TICKNESS]],"-",scheduleapr[[#This Row],[Grade]],"-",scheduleapr[[#This Row],[FC/NFC]])</f>
        <v/>
      </c>
      <c r="R371" s="557">
        <f>_xlfn.CONCAT(scheduleapr[[#This Row],[Bucket]],"-",scheduleapr[[#This Row],[LENGTH]]/1000)</f>
        <v/>
      </c>
      <c r="S371" s="557">
        <f>COUNTIF(scheduleapr[CTL Bucket],scheduleapr[[#This Row],[CTL Bucket]])</f>
        <v/>
      </c>
      <c r="T371" s="601" t="inlineStr">
        <is>
          <t>JSR</t>
        </is>
      </c>
      <c r="U371" s="601">
        <f>_xlfn.IFNA(VLOOKUP(scheduleapr[[#This Row],[Bucket]],salesforecast[[#All],[Bucket2]:[8406 Stock]],19,0),0)</f>
        <v/>
      </c>
      <c r="V371" s="562">
        <f>_xlfn.IFNA(VLOOKUP(scheduleapr[[#This Row],[Bucket]],salesforecast[[#All],[Bucket2]:[8406 Stock]],20,0),0)+_xlfn.IFNA(VLOOKUP(scheduleapr[[#This Row],[Bucket]],salesforecast[[#All],[Bucket2]:[8406 Stock]],17,0),0)</f>
        <v/>
      </c>
      <c r="W371" s="557" t="n"/>
      <c r="X371" s="599" t="n">
        <v>57.15</v>
      </c>
      <c r="Y371" s="599" t="n">
        <v>57.15</v>
      </c>
      <c r="Z371" s="6" t="n">
        <v>0</v>
      </c>
      <c r="AA371" s="599" t="n">
        <v>2.3</v>
      </c>
      <c r="AB371" s="600" t="n">
        <v>1365</v>
      </c>
      <c r="AC371" s="600" t="inlineStr">
        <is>
          <t>NOS</t>
        </is>
      </c>
      <c r="AD371" s="600" t="n"/>
      <c r="AE371" s="600" t="n"/>
      <c r="AF371" s="601" t="n">
        <v>16800</v>
      </c>
      <c r="AG371" s="601" t="inlineStr">
        <is>
          <t>Aug 2026 schedule · nmpl hub</t>
        </is>
      </c>
      <c r="AH371" s="601">
        <f t="array" ref="AH3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1" s="602">
        <f>scheduleapr[[#This Row],[SCHEDULE in nos]]-scheduleapr[[#This Row],[DISPATCH]]</f>
        <v/>
      </c>
      <c r="AJ371" s="599">
        <f>(3.14*(scheduleapr[[#This Row],[ACTUAL OD]]-scheduleapr[[#This Row],[TICKNESS]])*scheduleapr[[#This Row],[TICKNESS]]*scheduleapr[[#This Row],[LENGTH]]*7.85)/1000000*scheduleapr[[#This Row],[SCHEDULE in nos]]/1000</f>
        <v/>
      </c>
      <c r="AK371" s="599">
        <f>(3.14*(scheduleapr[[#This Row],[ACTUAL OD]]-scheduleapr[[#This Row],[TICKNESS]])*scheduleapr[[#This Row],[TICKNESS]]*scheduleapr[[#This Row],[LENGTH]]*7.85)/1000000*scheduleapr[[#This Row],[DISPATCH]]/1000</f>
        <v/>
      </c>
      <c r="AL371" s="599">
        <f>AJ371-AK371</f>
        <v/>
      </c>
      <c r="AM371" s="599">
        <f>scheduleapr[[#This Row],[SCHEDULE in nos]]/scheduleapr[[#This Row],[SCHEDULE IN MT]]*scheduleapr[[#This Row],[CTL Stock]]</f>
        <v/>
      </c>
      <c r="AN371" s="599">
        <f>SUMIFS(stock[MT],stock[Bucket],scheduleapr[[#This Row],[Bucket]],stock[CTL Bucket],scheduleapr[[#This Row],[CTL Bucket]],stock[Plant],"0789")</f>
        <v/>
      </c>
      <c r="AO371" s="599" t="n"/>
      <c r="AP371" s="599">
        <f>SUMIFS(stock[MT],stock[Bucket],scheduleapr[[#This Row],[Bucket]],stock[LL or CTL],"LL")</f>
        <v/>
      </c>
      <c r="AQ371" s="599">
        <f>+SUMIFS(wip[Stock(Net Wt)],wip[Bucket],scheduleapr[[#This Row],[Bucket]])/1000</f>
        <v/>
      </c>
      <c r="AR371" s="599">
        <f>AJ371-AN371</f>
        <v/>
      </c>
      <c r="AS371" s="118" t="n"/>
    </row>
    <row r="372">
      <c r="A372" s="594" t="n">
        <v>293</v>
      </c>
      <c r="B372" s="5" t="inlineStr">
        <is>
          <t xml:space="preserve">Khopoli </t>
        </is>
      </c>
      <c r="C372" s="601" t="inlineStr">
        <is>
          <t>NMPL TVSM</t>
        </is>
      </c>
      <c r="D372" s="601" t="inlineStr">
        <is>
          <t>NMPL</t>
        </is>
      </c>
      <c r="E372" s="601" t="inlineStr">
        <is>
          <t>189226|930794</t>
        </is>
      </c>
      <c r="F372" s="601" t="n">
        <v>1938127</v>
      </c>
      <c r="G372" s="601">
        <f>_xlfn.CONCAT(scheduleapr[[#This Row],[CUSTOMER CODE]],"-",scheduleapr[[#This Row],[MATERIAL NO]])</f>
        <v/>
      </c>
      <c r="H372" s="601" t="inlineStr">
        <is>
          <t>TUB-S-AW-SHS-50.00X50.00X1.600X0.8470</t>
        </is>
      </c>
      <c r="I372" s="601" t="inlineStr">
        <is>
          <t>ERW 2</t>
        </is>
      </c>
      <c r="J372" s="601" t="n"/>
      <c r="K372" s="601" t="inlineStr">
        <is>
          <t>PE</t>
        </is>
      </c>
      <c r="L372" s="601" t="inlineStr">
        <is>
          <t>CR</t>
        </is>
      </c>
      <c r="M372" s="596" t="inlineStr">
        <is>
          <t>D</t>
        </is>
      </c>
      <c r="N372" s="601" t="n"/>
      <c r="O372" s="601" t="n"/>
      <c r="P372" s="601" t="n"/>
      <c r="Q372" s="557">
        <f>CONCATENATE(scheduleapr[[#This Row],[OD]],"-",scheduleapr[[#This Row],[ID]],"-",scheduleapr[[#This Row],[TICKNESS]],"-",scheduleapr[[#This Row],[Grade]],"-",scheduleapr[[#This Row],[FC/NFC]])</f>
        <v/>
      </c>
      <c r="R372" s="557">
        <f>_xlfn.CONCAT(scheduleapr[[#This Row],[Bucket]],"-",scheduleapr[[#This Row],[LENGTH]]/1000)</f>
        <v/>
      </c>
      <c r="S372" s="557">
        <f>COUNTIF(scheduleapr[CTL Bucket],scheduleapr[[#This Row],[CTL Bucket]])</f>
        <v/>
      </c>
      <c r="T372" s="601" t="inlineStr">
        <is>
          <t>JSR</t>
        </is>
      </c>
      <c r="U372" s="601">
        <f>_xlfn.IFNA(VLOOKUP(scheduleapr[[#This Row],[Bucket]],salesforecast[[#All],[Bucket2]:[8406 Stock]],19,0),0)</f>
        <v/>
      </c>
      <c r="V372" s="562">
        <f>_xlfn.IFNA(VLOOKUP(scheduleapr[[#This Row],[Bucket]],salesforecast[[#All],[Bucket2]:[8406 Stock]],20,0),0)+_xlfn.IFNA(VLOOKUP(scheduleapr[[#This Row],[Bucket]],salesforecast[[#All],[Bucket2]:[8406 Stock]],17,0),0)</f>
        <v/>
      </c>
      <c r="W372" s="557" t="n"/>
      <c r="X372" s="599" t="n">
        <v>63.5</v>
      </c>
      <c r="Y372" s="79" t="n">
        <v>50</v>
      </c>
      <c r="Z372" s="599" t="n">
        <v>50</v>
      </c>
      <c r="AA372" s="599" t="n">
        <v>1.6</v>
      </c>
      <c r="AB372" s="600" t="n">
        <v>847</v>
      </c>
      <c r="AC372" s="600" t="inlineStr">
        <is>
          <t>NOS</t>
        </is>
      </c>
      <c r="AD372" s="600" t="n"/>
      <c r="AE372" s="600" t="n"/>
      <c r="AF372" s="601" t="n">
        <v>7000</v>
      </c>
      <c r="AG372" s="601" t="inlineStr">
        <is>
          <t>Aug 2026 schedule · nmpl 1</t>
        </is>
      </c>
      <c r="AH372" s="601">
        <f t="array" ref="AH3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2" s="602">
        <f>scheduleapr[[#This Row],[SCHEDULE in nos]]-scheduleapr[[#This Row],[DISPATCH]]</f>
        <v/>
      </c>
      <c r="AJ372" s="599">
        <f>(3.14*(scheduleapr[[#This Row],[ACTUAL OD]]-scheduleapr[[#This Row],[TICKNESS]])*scheduleapr[[#This Row],[TICKNESS]]*scheduleapr[[#This Row],[LENGTH]]*7.85)/1000000*scheduleapr[[#This Row],[SCHEDULE in nos]]/1000</f>
        <v/>
      </c>
      <c r="AK372" s="599">
        <f>(3.14*(scheduleapr[[#This Row],[ACTUAL OD]]-scheduleapr[[#This Row],[TICKNESS]])*scheduleapr[[#This Row],[TICKNESS]]*scheduleapr[[#This Row],[LENGTH]]*7.85)/1000000*scheduleapr[[#This Row],[DISPATCH]]/1000</f>
        <v/>
      </c>
      <c r="AL372" s="599">
        <f>AJ372-AK372</f>
        <v/>
      </c>
      <c r="AM372" s="599">
        <f>scheduleapr[[#This Row],[SCHEDULE in nos]]/scheduleapr[[#This Row],[SCHEDULE IN MT]]*scheduleapr[[#This Row],[CTL Stock]]</f>
        <v/>
      </c>
      <c r="AN372" s="599">
        <f>SUMIFS(stock[MT],stock[Bucket],scheduleapr[[#This Row],[Bucket]],stock[CTL Bucket],scheduleapr[[#This Row],[CTL Bucket]],stock[Plant],"0789")</f>
        <v/>
      </c>
      <c r="AO372" s="599" t="n"/>
      <c r="AP372" s="599">
        <f>SUMIFS(stock[MT],stock[Bucket],scheduleapr[[#This Row],[Bucket]],stock[LL or CTL],"LL")</f>
        <v/>
      </c>
      <c r="AQ372" s="599">
        <f>+SUMIFS(wip[Stock(Net Wt)],wip[Bucket],scheduleapr[[#This Row],[Bucket]])/1000</f>
        <v/>
      </c>
      <c r="AR372" s="599">
        <f>AJ372-AN372</f>
        <v/>
      </c>
      <c r="AS372" s="118" t="n"/>
    </row>
    <row r="373">
      <c r="A373" s="594" t="n">
        <v>295</v>
      </c>
      <c r="B373" s="5" t="inlineStr">
        <is>
          <t xml:space="preserve">Khopoli </t>
        </is>
      </c>
      <c r="C373" s="601" t="inlineStr">
        <is>
          <t>NMPL TVSM</t>
        </is>
      </c>
      <c r="D373" s="601" t="inlineStr">
        <is>
          <t>NMPL</t>
        </is>
      </c>
      <c r="E373" s="601" t="inlineStr">
        <is>
          <t>189226|930794</t>
        </is>
      </c>
      <c r="F373" s="601" t="n">
        <v>1938128</v>
      </c>
      <c r="G373" s="601">
        <f>_xlfn.CONCAT(scheduleapr[[#This Row],[CUSTOMER CODE]],"-",scheduleapr[[#This Row],[MATERIAL NO]])</f>
        <v/>
      </c>
      <c r="H373" s="601" t="inlineStr">
        <is>
          <t>TUB-O-N-AUT-AN-FC-70.00X3.200X0.4900</t>
        </is>
      </c>
      <c r="I373" s="601" t="inlineStr">
        <is>
          <t>ERW 2</t>
        </is>
      </c>
      <c r="J373" s="601" t="inlineStr">
        <is>
          <t>Annealed</t>
        </is>
      </c>
      <c r="K373" s="601" t="inlineStr">
        <is>
          <t>FC</t>
        </is>
      </c>
      <c r="L373" s="601" t="inlineStr">
        <is>
          <t>HR</t>
        </is>
      </c>
      <c r="M373" s="601" t="n"/>
      <c r="N373" s="601" t="n"/>
      <c r="O373" s="601" t="inlineStr">
        <is>
          <t>AG</t>
        </is>
      </c>
      <c r="P373" s="601" t="n"/>
      <c r="Q373" s="557">
        <f>CONCATENATE(scheduleapr[[#This Row],[OD]],"-",scheduleapr[[#This Row],[ID]],"-",scheduleapr[[#This Row],[TICKNESS]],"-",scheduleapr[[#This Row],[Grade]],"-",scheduleapr[[#This Row],[FC/NFC]])</f>
        <v/>
      </c>
      <c r="R373" s="557">
        <f>_xlfn.CONCAT(scheduleapr[[#This Row],[Bucket]],"-",scheduleapr[[#This Row],[LENGTH]]/1000)</f>
        <v/>
      </c>
      <c r="S373" s="557">
        <f>COUNTIF(scheduleapr[CTL Bucket],scheduleapr[[#This Row],[CTL Bucket]])</f>
        <v/>
      </c>
      <c r="T373" s="601" t="inlineStr">
        <is>
          <t>Khopoli</t>
        </is>
      </c>
      <c r="U373" s="601">
        <f>_xlfn.IFNA(VLOOKUP(scheduleapr[[#This Row],[Bucket]],salesforecast[[#All],[Bucket2]:[8406 Stock]],19,0),0)</f>
        <v/>
      </c>
      <c r="V373" s="562">
        <f>_xlfn.IFNA(VLOOKUP(scheduleapr[[#This Row],[Bucket]],salesforecast[[#All],[Bucket2]:[8406 Stock]],20,0),0)+_xlfn.IFNA(VLOOKUP(scheduleapr[[#This Row],[Bucket]],salesforecast[[#All],[Bucket2]:[8406 Stock]],17,0),0)</f>
        <v/>
      </c>
      <c r="W373" s="557" t="n"/>
      <c r="X373" s="599" t="n">
        <v>70</v>
      </c>
      <c r="Y373" s="79" t="n">
        <v>70</v>
      </c>
      <c r="Z373" s="599" t="n">
        <v>0</v>
      </c>
      <c r="AA373" s="112" t="n">
        <v>3.2</v>
      </c>
      <c r="AB373" s="22" t="n">
        <v>490</v>
      </c>
      <c r="AC373" s="22" t="inlineStr">
        <is>
          <t>NOS</t>
        </is>
      </c>
      <c r="AD373" s="22" t="n"/>
      <c r="AE373" s="22" t="n"/>
      <c r="AF373" s="601" t="n">
        <v>7000</v>
      </c>
      <c r="AG373" s="601" t="inlineStr">
        <is>
          <t>Aug 2026 schedule · nmpl 1</t>
        </is>
      </c>
      <c r="AH373" s="601">
        <f t="array" ref="AH3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3" s="602">
        <f>scheduleapr[[#This Row],[SCHEDULE in nos]]-scheduleapr[[#This Row],[DISPATCH]]</f>
        <v/>
      </c>
      <c r="AJ373" s="599">
        <f>(3.14*(scheduleapr[[#This Row],[ACTUAL OD]]-scheduleapr[[#This Row],[TICKNESS]])*scheduleapr[[#This Row],[TICKNESS]]*scheduleapr[[#This Row],[LENGTH]]*7.85)/1000000*scheduleapr[[#This Row],[SCHEDULE in nos]]/1000</f>
        <v/>
      </c>
      <c r="AK373" s="599">
        <f>(3.14*(scheduleapr[[#This Row],[ACTUAL OD]]-scheduleapr[[#This Row],[TICKNESS]])*scheduleapr[[#This Row],[TICKNESS]]*scheduleapr[[#This Row],[LENGTH]]*7.85)/1000000*scheduleapr[[#This Row],[DISPATCH]]/1000</f>
        <v/>
      </c>
      <c r="AL373" s="599">
        <f>AJ373-AK373</f>
        <v/>
      </c>
      <c r="AM373" s="599">
        <f>scheduleapr[[#This Row],[SCHEDULE in nos]]/scheduleapr[[#This Row],[SCHEDULE IN MT]]*scheduleapr[[#This Row],[CTL Stock]]</f>
        <v/>
      </c>
      <c r="AN373" s="599">
        <f>SUMIFS(stock[MT],stock[Bucket],scheduleapr[[#This Row],[Bucket]],stock[CTL Bucket],scheduleapr[[#This Row],[CTL Bucket]],stock[Plant],"0789")</f>
        <v/>
      </c>
      <c r="AO373" s="599" t="n"/>
      <c r="AP373" s="599">
        <f>SUMIFS(stock[MT],stock[Bucket],scheduleapr[[#This Row],[Bucket]],stock[LL or CTL],"LL")</f>
        <v/>
      </c>
      <c r="AQ373" s="599">
        <f>+SUMIFS(wip[Stock(Net Wt)],wip[Bucket],scheduleapr[[#This Row],[Bucket]])/1000</f>
        <v/>
      </c>
      <c r="AR373" s="599">
        <f>AJ373-AN373</f>
        <v/>
      </c>
      <c r="AS373" s="118" t="n"/>
    </row>
    <row r="374">
      <c r="A374" s="594" t="n">
        <v>215</v>
      </c>
      <c r="B374" s="5" t="inlineStr">
        <is>
          <t xml:space="preserve">Khopoli </t>
        </is>
      </c>
      <c r="C374" s="601" t="inlineStr">
        <is>
          <t>NMPL TVSM</t>
        </is>
      </c>
      <c r="D374" s="601" t="inlineStr">
        <is>
          <t>NMPL</t>
        </is>
      </c>
      <c r="E374" s="601" t="n">
        <v>189226</v>
      </c>
      <c r="F374" s="601" t="n">
        <v>3557967</v>
      </c>
      <c r="G374" s="601">
        <f>_xlfn.CONCAT(scheduleapr[[#This Row],[CUSTOMER CODE]],"-",scheduleapr[[#This Row],[MATERIAL NO]])</f>
        <v/>
      </c>
      <c r="H374" s="601" t="inlineStr">
        <is>
          <t>TUB-O-N-AUT-AN-FC-70.00X3.200X6.4550</t>
        </is>
      </c>
      <c r="I374" s="601" t="inlineStr">
        <is>
          <t>ERW 2</t>
        </is>
      </c>
      <c r="J374" s="601" t="n"/>
      <c r="K374" s="601" t="inlineStr">
        <is>
          <t>FC</t>
        </is>
      </c>
      <c r="L374" s="601" t="inlineStr">
        <is>
          <t>HR</t>
        </is>
      </c>
      <c r="M374" s="601" t="n"/>
      <c r="N374" s="601" t="n"/>
      <c r="O374" s="601" t="n"/>
      <c r="P374" s="601" t="n"/>
      <c r="Q374" s="557">
        <f>CONCATENATE(scheduleapr[[#This Row],[OD]],"-",scheduleapr[[#This Row],[ID]],"-",scheduleapr[[#This Row],[TICKNESS]],"-",scheduleapr[[#This Row],[Grade]],"-",scheduleapr[[#This Row],[FC/NFC]])</f>
        <v/>
      </c>
      <c r="R374" s="557">
        <f>_xlfn.CONCAT(scheduleapr[[#This Row],[Bucket]],"-",scheduleapr[[#This Row],[LENGTH]]/1000)</f>
        <v/>
      </c>
      <c r="S374" s="557">
        <f>COUNTIF([2]!buckets[CTL Bucket],[2]!scheduleapr[[#This Row],[CTL Bucket]])</f>
        <v/>
      </c>
      <c r="T374" s="557" t="n"/>
      <c r="U374" s="557" t="n"/>
      <c r="V374" s="557" t="n"/>
      <c r="W374" s="557" t="n"/>
      <c r="X374" s="599" t="n">
        <v>70</v>
      </c>
      <c r="Y374" s="599" t="n">
        <v>70</v>
      </c>
      <c r="Z374" s="599" t="n">
        <v>0</v>
      </c>
      <c r="AA374" s="599" t="n">
        <v>3.2</v>
      </c>
      <c r="AB374" s="600" t="n">
        <v>6455</v>
      </c>
      <c r="AC374" s="600" t="n"/>
      <c r="AD374" s="600" t="n"/>
      <c r="AE374" s="600" t="n"/>
      <c r="AF374" s="601" t="n"/>
      <c r="AG374" s="601" t="n"/>
      <c r="AH374" s="601">
        <f t="array" ref="AH3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4" s="602">
        <f>scheduleapr[[#This Row],[SCHEDULE in nos]]-scheduleapr[[#This Row],[DISPATCH]]</f>
        <v/>
      </c>
      <c r="AJ374" s="599">
        <f>(3.14*(scheduleapr[[#This Row],[ACTUAL OD]]-scheduleapr[[#This Row],[TICKNESS]])*scheduleapr[[#This Row],[TICKNESS]]*scheduleapr[[#This Row],[LENGTH]]*7.85)/1000000*scheduleapr[[#This Row],[SCHEDULE in nos]]/1000</f>
        <v/>
      </c>
      <c r="AK374" s="599">
        <f>(3.14*(scheduleapr[[#This Row],[ACTUAL OD]]-scheduleapr[[#This Row],[TICKNESS]])*scheduleapr[[#This Row],[TICKNESS]]*scheduleapr[[#This Row],[LENGTH]]*7.85)/1000000*scheduleapr[[#This Row],[DISPATCH]]/1000</f>
        <v/>
      </c>
      <c r="AL374" s="599">
        <f>AJ374-AK374</f>
        <v/>
      </c>
      <c r="AM374" s="599">
        <f>scheduleapr[[#This Row],[SCHEDULE in nos]]/scheduleapr[[#This Row],[SCHEDULE IN MT]]*scheduleapr[[#This Row],[CTL Stock]]</f>
        <v/>
      </c>
      <c r="AN374" s="599">
        <f>SUMIFS(stock[MT],stock[Bucket],scheduleapr[[#This Row],[Bucket]],stock[CTL Bucket],scheduleapr[[#This Row],[CTL Bucket]],stock[Plant],"0789")</f>
        <v/>
      </c>
      <c r="AO374" s="599" t="n"/>
      <c r="AP374" s="599">
        <f>SUMIFS(stock[MT],stock[Bucket],scheduleapr[[#This Row],[Bucket]],stock[LL or CTL],"LL")</f>
        <v/>
      </c>
      <c r="AQ374" s="599">
        <f>+SUMIFS(wip[Stock(Net Wt)],wip[Bucket],scheduleapr[[#This Row],[Bucket]])/1000</f>
        <v/>
      </c>
      <c r="AR374" s="599">
        <f>AJ374-AN374</f>
        <v/>
      </c>
      <c r="AS374" s="118" t="n"/>
    </row>
    <row r="375">
      <c r="A375" s="594" t="n">
        <v>288</v>
      </c>
      <c r="B375" s="5" t="inlineStr">
        <is>
          <t>Hosur</t>
        </is>
      </c>
      <c r="C375" s="601" t="inlineStr">
        <is>
          <t>NMPL TVSM</t>
        </is>
      </c>
      <c r="D375" s="601" t="inlineStr">
        <is>
          <t>NMPL</t>
        </is>
      </c>
      <c r="E375" s="601" t="inlineStr">
        <is>
          <t>189226|930794</t>
        </is>
      </c>
      <c r="F375" s="601" t="n">
        <v>3539418</v>
      </c>
      <c r="G375" s="601">
        <f>_xlfn.CONCAT(scheduleapr[[#This Row],[CUSTOMER CODE]],"-",scheduleapr[[#This Row],[MATERIAL NO]])</f>
        <v/>
      </c>
      <c r="H375" s="601" t="inlineStr">
        <is>
          <t>TUB-O-N-AUT-AW-PE-41.28X2.900X0.4200</t>
        </is>
      </c>
      <c r="I375" s="601" t="n"/>
      <c r="J375" s="601" t="n"/>
      <c r="K375" s="601" t="n"/>
      <c r="L375" s="601" t="inlineStr">
        <is>
          <t>HR</t>
        </is>
      </c>
      <c r="M375" s="601" t="n"/>
      <c r="N375" s="601" t="n"/>
      <c r="O375" s="601" t="n"/>
      <c r="P375" s="601" t="n"/>
      <c r="Q375" s="557">
        <f>CONCATENATE(scheduleapr[[#This Row],[OD]],"-",scheduleapr[[#This Row],[ID]],"-",scheduleapr[[#This Row],[TICKNESS]],"-",scheduleapr[[#This Row],[Grade]],"-",scheduleapr[[#This Row],[FC/NFC]])</f>
        <v/>
      </c>
      <c r="R375" s="557">
        <f>_xlfn.CONCAT(scheduleapr[[#This Row],[Bucket]],"-",scheduleapr[[#This Row],[LENGTH]]/1000)</f>
        <v/>
      </c>
      <c r="S375" s="557">
        <f>COUNTIF([2]!buckets[CTL Bucket],[2]!scheduleapr[[#This Row],[CTL Bucket]])</f>
        <v/>
      </c>
      <c r="T375" s="557" t="n"/>
      <c r="U375" s="557" t="n"/>
      <c r="V375" s="557" t="n"/>
      <c r="W375" s="557" t="n"/>
      <c r="X375" s="599" t="n">
        <v>41.28</v>
      </c>
      <c r="Y375" s="599" t="n">
        <v>41.28</v>
      </c>
      <c r="Z375" s="599" t="n">
        <v>0</v>
      </c>
      <c r="AA375" s="599" t="n">
        <v>2.9</v>
      </c>
      <c r="AB375" s="600" t="n">
        <v>420</v>
      </c>
      <c r="AC375" s="600" t="inlineStr">
        <is>
          <t>NOS</t>
        </is>
      </c>
      <c r="AD375" s="600" t="n"/>
      <c r="AE375" s="600" t="n"/>
      <c r="AF375" s="601" t="n"/>
      <c r="AG375" s="601" t="n"/>
      <c r="AH375" s="601">
        <f t="array" ref="AH3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5" s="602">
        <f>scheduleapr[[#This Row],[SCHEDULE in nos]]-scheduleapr[[#This Row],[DISPATCH]]</f>
        <v/>
      </c>
      <c r="AJ375" s="599">
        <f>(3.14*(scheduleapr[[#This Row],[ACTUAL OD]]-scheduleapr[[#This Row],[TICKNESS]])*scheduleapr[[#This Row],[TICKNESS]]*scheduleapr[[#This Row],[LENGTH]]*7.85)/1000000*scheduleapr[[#This Row],[SCHEDULE in nos]]/1000</f>
        <v/>
      </c>
      <c r="AK375" s="599">
        <f>(3.14*(scheduleapr[[#This Row],[ACTUAL OD]]-scheduleapr[[#This Row],[TICKNESS]])*scheduleapr[[#This Row],[TICKNESS]]*scheduleapr[[#This Row],[LENGTH]]*7.85)/1000000*scheduleapr[[#This Row],[DISPATCH]]/1000</f>
        <v/>
      </c>
      <c r="AL375" s="599">
        <f>AJ375-AK375</f>
        <v/>
      </c>
      <c r="AM375" s="599">
        <f>scheduleapr[[#This Row],[SCHEDULE in nos]]/scheduleapr[[#This Row],[SCHEDULE IN MT]]*scheduleapr[[#This Row],[CTL Stock]]</f>
        <v/>
      </c>
      <c r="AN375" s="599">
        <f>SUMIFS(stock[MT],stock[Bucket],scheduleapr[[#This Row],[Bucket]],stock[CTL Bucket],scheduleapr[[#This Row],[CTL Bucket]],stock[Plant],"0789")</f>
        <v/>
      </c>
      <c r="AO375" s="599" t="n"/>
      <c r="AP375" s="599">
        <f>SUMIFS(stock[MT],stock[Bucket],scheduleapr[[#This Row],[Bucket]],stock[LL or CTL],"LL")</f>
        <v/>
      </c>
      <c r="AQ375" s="599">
        <f>+SUMIFS(wip[Stock(Net Wt)],wip[Bucket],scheduleapr[[#This Row],[Bucket]])/1000</f>
        <v/>
      </c>
      <c r="AR375" s="599">
        <f>AJ375-AN375</f>
        <v/>
      </c>
      <c r="AS375" s="118" t="n"/>
    </row>
    <row r="376">
      <c r="A376" s="594" t="n">
        <v>299</v>
      </c>
      <c r="B376" s="5" t="inlineStr">
        <is>
          <t xml:space="preserve">Khopoli </t>
        </is>
      </c>
      <c r="C376" s="601" t="inlineStr">
        <is>
          <t>Rajsriya Automotive</t>
        </is>
      </c>
      <c r="D376" s="601" t="inlineStr">
        <is>
          <t>Rajsriya Automotive Hosur</t>
        </is>
      </c>
      <c r="E376" s="601" t="inlineStr">
        <is>
          <t>129695|187884|188415|189239|189240</t>
        </is>
      </c>
      <c r="F376" s="601" t="n"/>
      <c r="G376" s="601">
        <f>_xlfn.CONCAT(scheduleapr[[#This Row],[CUSTOMER CODE]],"-",scheduleapr[[#This Row],[MATERIAL NO]])</f>
        <v/>
      </c>
      <c r="H376" s="601" t="n"/>
      <c r="I376" s="601" t="inlineStr">
        <is>
          <t>CEW</t>
        </is>
      </c>
      <c r="J376" s="601" t="n"/>
      <c r="K376" s="601" t="inlineStr">
        <is>
          <t>CEW</t>
        </is>
      </c>
      <c r="L376" s="601" t="inlineStr">
        <is>
          <t>HR</t>
        </is>
      </c>
      <c r="M376" s="601" t="n"/>
      <c r="N376" s="601" t="n"/>
      <c r="O376" s="601" t="n"/>
      <c r="P376" s="601" t="n"/>
      <c r="Q376" s="557">
        <f>CONCATENATE(scheduleapr[[#This Row],[OD]],"-",scheduleapr[[#This Row],[ID]],"-",scheduleapr[[#This Row],[TICKNESS]],"-",scheduleapr[[#This Row],[Grade]],"-",scheduleapr[[#This Row],[FC/NFC]])</f>
        <v/>
      </c>
      <c r="R376" s="557">
        <f>_xlfn.CONCAT(scheduleapr[[#This Row],[Bucket]],"-",scheduleapr[[#This Row],[LENGTH]]/1000)</f>
        <v/>
      </c>
      <c r="S376" s="557">
        <f>COUNTIF([2]!buckets[CTL Bucket],[2]!scheduleapr[[#This Row],[CTL Bucket]])</f>
        <v/>
      </c>
      <c r="T376" s="557" t="n"/>
      <c r="U376" s="557" t="n"/>
      <c r="V376" s="557" t="n"/>
      <c r="W376" s="557" t="n"/>
      <c r="X376" s="599" t="n">
        <v>16.1</v>
      </c>
      <c r="Y376" s="599" t="n">
        <v>16.1</v>
      </c>
      <c r="Z376" s="599" t="n">
        <v>0</v>
      </c>
      <c r="AA376" s="599" t="n">
        <v>2.8</v>
      </c>
      <c r="AB376" s="600" t="n">
        <v>4500</v>
      </c>
      <c r="AC376" s="600" t="inlineStr">
        <is>
          <t>M</t>
        </is>
      </c>
      <c r="AD376" s="600" t="n"/>
      <c r="AE376" s="600" t="n"/>
      <c r="AF376" s="601" t="n"/>
      <c r="AG376" s="601" t="n"/>
      <c r="AH376" s="601">
        <f t="array" ref="AH3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6" s="602">
        <f>scheduleapr[[#This Row],[SCHEDULE in nos]]-scheduleapr[[#This Row],[DISPATCH]]</f>
        <v/>
      </c>
      <c r="AJ376" s="599">
        <f>(3.14*(scheduleapr[[#This Row],[ACTUAL OD]]-scheduleapr[[#This Row],[TICKNESS]])*scheduleapr[[#This Row],[TICKNESS]]*scheduleapr[[#This Row],[LENGTH]]*7.85)/1000000*scheduleapr[[#This Row],[SCHEDULE in nos]]/1000</f>
        <v/>
      </c>
      <c r="AK376" s="599">
        <f>(3.14*(scheduleapr[[#This Row],[ACTUAL OD]]-scheduleapr[[#This Row],[TICKNESS]])*scheduleapr[[#This Row],[TICKNESS]]*scheduleapr[[#This Row],[LENGTH]]*7.85)/1000000*scheduleapr[[#This Row],[DISPATCH]]/1000</f>
        <v/>
      </c>
      <c r="AL376" s="599">
        <f>AJ376-AK376</f>
        <v/>
      </c>
      <c r="AM376" s="599">
        <f>scheduleapr[[#This Row],[SCHEDULE in nos]]/scheduleapr[[#This Row],[SCHEDULE IN MT]]*scheduleapr[[#This Row],[CTL Stock]]</f>
        <v/>
      </c>
      <c r="AN376" s="599">
        <f>SUMIFS(stock[MT],stock[Bucket],scheduleapr[[#This Row],[Bucket]],stock[CTL Bucket],scheduleapr[[#This Row],[CTL Bucket]],stock[Plant],"0789")</f>
        <v/>
      </c>
      <c r="AO376" s="599" t="n"/>
      <c r="AP376" s="599">
        <f>SUMIFS(stock[MT],stock[Bucket],scheduleapr[[#This Row],[Bucket]],stock[LL or CTL],"LL")</f>
        <v/>
      </c>
      <c r="AQ376" s="599">
        <f>+SUMIFS(wip[Stock(Net Wt)],wip[Bucket],scheduleapr[[#This Row],[Bucket]])/1000</f>
        <v/>
      </c>
      <c r="AR376" s="599">
        <f>AJ376-AN376</f>
        <v/>
      </c>
      <c r="AS376" s="118" t="n"/>
    </row>
    <row r="377">
      <c r="A377" s="594" t="n">
        <v>349</v>
      </c>
      <c r="B377" s="5" t="inlineStr">
        <is>
          <t xml:space="preserve">Khopoli </t>
        </is>
      </c>
      <c r="C377" s="601" t="inlineStr">
        <is>
          <t>Rajsriya Unit 5</t>
        </is>
      </c>
      <c r="D377" s="601" t="inlineStr">
        <is>
          <t>Rajsriya Automotive Hosur</t>
        </is>
      </c>
      <c r="E377" s="601" t="inlineStr">
        <is>
          <t>129695|187884|188415|189239|189240</t>
        </is>
      </c>
      <c r="F377" s="601" t="n">
        <v>2410996</v>
      </c>
      <c r="G377" s="601">
        <f>_xlfn.CONCAT(scheduleapr[[#This Row],[CUSTOMER CODE]],"-",scheduleapr[[#This Row],[MATERIAL NO]])</f>
        <v/>
      </c>
      <c r="H377" s="601" t="inlineStr">
        <is>
          <t>TUB-O-C-AUT-AD-FC-16.10X2.700X04-05</t>
        </is>
      </c>
      <c r="I377" s="601" t="inlineStr">
        <is>
          <t>CEW</t>
        </is>
      </c>
      <c r="J377" s="601" t="n"/>
      <c r="K377" s="601" t="inlineStr">
        <is>
          <t>CEW</t>
        </is>
      </c>
      <c r="L377" s="601" t="inlineStr">
        <is>
          <t>HR</t>
        </is>
      </c>
      <c r="M377" s="601" t="n"/>
      <c r="N377" s="601" t="n"/>
      <c r="O377" s="601" t="n"/>
      <c r="P377" s="601" t="n"/>
      <c r="Q377" s="557">
        <f>CONCATENATE(scheduleapr[[#This Row],[OD]],"-",scheduleapr[[#This Row],[ID]],"-",scheduleapr[[#This Row],[TICKNESS]],"-",scheduleapr[[#This Row],[Grade]],"-",scheduleapr[[#This Row],[FC/NFC]])</f>
        <v/>
      </c>
      <c r="R377" s="557">
        <f>_xlfn.CONCAT(scheduleapr[[#This Row],[Bucket]],"-",scheduleapr[[#This Row],[LENGTH]]/1000)</f>
        <v/>
      </c>
      <c r="S377" s="557">
        <f>COUNTIF(scheduleapr[CTL Bucket],scheduleapr[[#This Row],[CTL Bucket]])</f>
        <v/>
      </c>
      <c r="T377" s="601" t="inlineStr">
        <is>
          <t>Khopoli</t>
        </is>
      </c>
      <c r="U377" s="601">
        <f>_xlfn.IFNA(VLOOKUP(scheduleapr[[#This Row],[Bucket]],salesforecast[[#All],[Bucket2]:[8406 Stock]],19,0),0)</f>
        <v/>
      </c>
      <c r="V377" s="562">
        <f>_xlfn.IFNA(VLOOKUP(scheduleapr[[#This Row],[Bucket]],salesforecast[[#All],[Bucket2]:[8406 Stock]],20,0),0)+_xlfn.IFNA(VLOOKUP(scheduleapr[[#This Row],[Bucket]],salesforecast[[#All],[Bucket2]:[8406 Stock]],17,0),0)</f>
        <v/>
      </c>
      <c r="W377" s="557" t="n"/>
      <c r="X377" s="599" t="n">
        <v>16.1</v>
      </c>
      <c r="Y377" s="599" t="n">
        <v>16.1</v>
      </c>
      <c r="Z377" s="599" t="n">
        <v>10.4</v>
      </c>
      <c r="AA377" s="599" t="n">
        <v>2.7</v>
      </c>
      <c r="AB377" s="600" t="n">
        <v>1000</v>
      </c>
      <c r="AC377" s="600" t="inlineStr">
        <is>
          <t>M</t>
        </is>
      </c>
      <c r="AD377" s="600" t="n"/>
      <c r="AE377" s="600" t="n"/>
      <c r="AF377" s="601" t="n"/>
      <c r="AG377" s="601" t="n"/>
      <c r="AH377" s="601">
        <f t="array" ref="AH3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7" s="602">
        <f>scheduleapr[[#This Row],[SCHEDULE in nos]]-scheduleapr[[#This Row],[DISPATCH]]</f>
        <v/>
      </c>
      <c r="AJ377" s="599">
        <f>(3.14*(scheduleapr[[#This Row],[ACTUAL OD]]-scheduleapr[[#This Row],[TICKNESS]])*scheduleapr[[#This Row],[TICKNESS]]*scheduleapr[[#This Row],[LENGTH]]*7.85)/1000000*scheduleapr[[#This Row],[SCHEDULE in nos]]/1000</f>
        <v/>
      </c>
      <c r="AK377" s="599">
        <f>(3.14*(scheduleapr[[#This Row],[ACTUAL OD]]-scheduleapr[[#This Row],[TICKNESS]])*scheduleapr[[#This Row],[TICKNESS]]*scheduleapr[[#This Row],[LENGTH]]*7.85)/1000000*scheduleapr[[#This Row],[DISPATCH]]/1000</f>
        <v/>
      </c>
      <c r="AL377" s="599">
        <f>AJ377-AK377</f>
        <v/>
      </c>
      <c r="AM377" s="599">
        <f>scheduleapr[[#This Row],[SCHEDULE in nos]]/scheduleapr[[#This Row],[SCHEDULE IN MT]]*scheduleapr[[#This Row],[CTL Stock]]</f>
        <v/>
      </c>
      <c r="AN377" s="599">
        <f>SUMIFS(stock[MT],stock[Bucket],scheduleapr[[#This Row],[Bucket]],stock[CTL Bucket],scheduleapr[[#This Row],[CTL Bucket]],stock[Plant],"0789")</f>
        <v/>
      </c>
      <c r="AO377" s="599" t="n"/>
      <c r="AP377" s="599">
        <f>SUMIFS(stock[MT],stock[Bucket],scheduleapr[[#This Row],[Bucket]],stock[LL or CTL],"LL")</f>
        <v/>
      </c>
      <c r="AQ377" s="599">
        <f>+SUMIFS(wip[Stock(Net Wt)],wip[Bucket],scheduleapr[[#This Row],[Bucket]])/1000</f>
        <v/>
      </c>
      <c r="AR377" s="599">
        <f>AJ377-AN377</f>
        <v/>
      </c>
      <c r="AS377" s="118" t="n"/>
    </row>
    <row r="378">
      <c r="A378" s="594" t="n">
        <v>300</v>
      </c>
      <c r="B378" s="5" t="inlineStr">
        <is>
          <t xml:space="preserve">Khopoli </t>
        </is>
      </c>
      <c r="C378" s="601" t="inlineStr">
        <is>
          <t>Rajsriya Automotive</t>
        </is>
      </c>
      <c r="D378" s="601" t="inlineStr">
        <is>
          <t>Rajsriya Automotive Hosur</t>
        </is>
      </c>
      <c r="E378" s="601" t="inlineStr">
        <is>
          <t>129695|187884|188415|189239|189240</t>
        </is>
      </c>
      <c r="F378" s="601" t="n">
        <v>1931824</v>
      </c>
      <c r="G378" s="601">
        <f>_xlfn.CONCAT(scheduleapr[[#This Row],[CUSTOMER CODE]],"-",scheduleapr[[#This Row],[MATERIAL NO]])</f>
        <v/>
      </c>
      <c r="H378" s="601" t="inlineStr">
        <is>
          <t>TUB-O-N-AUT-AW-PE-17.30X1.200X6.0000</t>
        </is>
      </c>
      <c r="I378" s="601" t="inlineStr">
        <is>
          <t>CEW</t>
        </is>
      </c>
      <c r="J378" s="601" t="n"/>
      <c r="K378" s="601" t="inlineStr">
        <is>
          <t>CEW</t>
        </is>
      </c>
      <c r="L378" s="601" t="inlineStr">
        <is>
          <t>HR</t>
        </is>
      </c>
      <c r="M378" s="601" t="n"/>
      <c r="N378" s="601" t="n"/>
      <c r="O378" s="601" t="n"/>
      <c r="P378" s="601" t="n"/>
      <c r="Q378" s="557">
        <f>CONCATENATE(scheduleapr[[#This Row],[OD]],"-",scheduleapr[[#This Row],[ID]],"-",scheduleapr[[#This Row],[TICKNESS]],"-",scheduleapr[[#This Row],[Grade]],"-",scheduleapr[[#This Row],[FC/NFC]])</f>
        <v/>
      </c>
      <c r="R378" s="557">
        <f>_xlfn.CONCAT(scheduleapr[[#This Row],[Bucket]],"-",scheduleapr[[#This Row],[LENGTH]]/1000)</f>
        <v/>
      </c>
      <c r="S378" s="557">
        <f>COUNTIF([2]!buckets[CTL Bucket],[2]!scheduleapr[[#This Row],[CTL Bucket]])</f>
        <v/>
      </c>
      <c r="T378" s="557" t="n"/>
      <c r="U378" s="557" t="n"/>
      <c r="V378" s="557" t="n"/>
      <c r="W378" s="557" t="n"/>
      <c r="X378" s="599" t="n">
        <v>17.3</v>
      </c>
      <c r="Y378" s="599" t="n">
        <v>17.3</v>
      </c>
      <c r="Z378" s="599" t="n">
        <v>0</v>
      </c>
      <c r="AA378" s="599" t="n">
        <v>1.2</v>
      </c>
      <c r="AB378" s="600" t="n">
        <v>6000</v>
      </c>
      <c r="AC378" s="600" t="n"/>
      <c r="AD378" s="600" t="n"/>
      <c r="AE378" s="600" t="n"/>
      <c r="AF378" s="601" t="n"/>
      <c r="AG378" s="601" t="n"/>
      <c r="AH378" s="601">
        <f t="array" ref="AH3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8" s="602">
        <f>scheduleapr[[#This Row],[SCHEDULE in nos]]-scheduleapr[[#This Row],[DISPATCH]]</f>
        <v/>
      </c>
      <c r="AJ378" s="599">
        <f>(3.14*(scheduleapr[[#This Row],[ACTUAL OD]]-scheduleapr[[#This Row],[TICKNESS]])*scheduleapr[[#This Row],[TICKNESS]]*scheduleapr[[#This Row],[LENGTH]]*7.85)/1000000*scheduleapr[[#This Row],[SCHEDULE in nos]]/1000</f>
        <v/>
      </c>
      <c r="AK378" s="599">
        <f>(3.14*(scheduleapr[[#This Row],[ACTUAL OD]]-scheduleapr[[#This Row],[TICKNESS]])*scheduleapr[[#This Row],[TICKNESS]]*scheduleapr[[#This Row],[LENGTH]]*7.85)/1000000*scheduleapr[[#This Row],[DISPATCH]]/1000</f>
        <v/>
      </c>
      <c r="AL378" s="599">
        <f>AJ378-AK378</f>
        <v/>
      </c>
      <c r="AM378" s="599">
        <f>scheduleapr[[#This Row],[SCHEDULE in nos]]/scheduleapr[[#This Row],[SCHEDULE IN MT]]*scheduleapr[[#This Row],[CTL Stock]]</f>
        <v/>
      </c>
      <c r="AN378" s="599">
        <f>SUMIFS(stock[MT],stock[Bucket],scheduleapr[[#This Row],[Bucket]],stock[CTL Bucket],scheduleapr[[#This Row],[CTL Bucket]],stock[Plant],"0789")</f>
        <v/>
      </c>
      <c r="AO378" s="599" t="n"/>
      <c r="AP378" s="599">
        <f>SUMIFS(stock[MT],stock[Bucket],scheduleapr[[#This Row],[Bucket]],stock[LL or CTL],"LL")</f>
        <v/>
      </c>
      <c r="AQ378" s="599">
        <f>+SUMIFS(wip[Stock(Net Wt)],wip[Bucket],scheduleapr[[#This Row],[Bucket]])/1000</f>
        <v/>
      </c>
      <c r="AR378" s="599">
        <f>AJ378-AN378</f>
        <v/>
      </c>
      <c r="AS378" s="118" t="n"/>
    </row>
    <row r="379">
      <c r="A379" s="594" t="n">
        <v>404</v>
      </c>
      <c r="B379" s="5" t="inlineStr">
        <is>
          <t xml:space="preserve">Khopoli </t>
        </is>
      </c>
      <c r="C379" s="601" t="inlineStr">
        <is>
          <t>Rajsriya Unit 5</t>
        </is>
      </c>
      <c r="D379" s="601" t="inlineStr">
        <is>
          <t>Rajsriya Automotive Hosur</t>
        </is>
      </c>
      <c r="E379" s="601" t="inlineStr">
        <is>
          <t>129695|187884|188415|189239|189240</t>
        </is>
      </c>
      <c r="F379" s="601" t="n">
        <v>2410998</v>
      </c>
      <c r="G379" s="601">
        <f>_xlfn.CONCAT(scheduleapr[[#This Row],[CUSTOMER CODE]],"-",scheduleapr[[#This Row],[MATERIAL NO]])</f>
        <v/>
      </c>
      <c r="H379" s="601" t="inlineStr">
        <is>
          <t>TUB-O-C-AUT-AD-FC-18.20X2.950X04-05</t>
        </is>
      </c>
      <c r="I379" s="601" t="inlineStr">
        <is>
          <t>CEW</t>
        </is>
      </c>
      <c r="J379" s="601" t="n"/>
      <c r="K379" s="601" t="inlineStr">
        <is>
          <t>CEW</t>
        </is>
      </c>
      <c r="L379" s="601" t="inlineStr">
        <is>
          <t>HR</t>
        </is>
      </c>
      <c r="M379" s="601" t="n"/>
      <c r="N379" s="601" t="n"/>
      <c r="O379" s="601" t="n"/>
      <c r="P379" s="601" t="n"/>
      <c r="Q379" s="557">
        <f>CONCATENATE(scheduleapr[[#This Row],[OD]],"-",scheduleapr[[#This Row],[ID]],"-",scheduleapr[[#This Row],[TICKNESS]],"-",scheduleapr[[#This Row],[Grade]],"-",scheduleapr[[#This Row],[FC/NFC]])</f>
        <v/>
      </c>
      <c r="R379" s="557">
        <f>_xlfn.CONCAT(scheduleapr[[#This Row],[Bucket]],"-",scheduleapr[[#This Row],[LENGTH]]/1000)</f>
        <v/>
      </c>
      <c r="S379" s="557">
        <f>COUNTIF(scheduleapr[CTL Bucket],scheduleapr[[#This Row],[CTL Bucket]])</f>
        <v/>
      </c>
      <c r="T379" s="557" t="n"/>
      <c r="U379" s="601">
        <f>_xlfn.IFNA(VLOOKUP(scheduleapr[[#This Row],[Bucket]],salesforecast[[#All],[Bucket2]:[8406 Stock]],19,0),0)</f>
        <v/>
      </c>
      <c r="V379" s="562">
        <f>_xlfn.IFNA(VLOOKUP(scheduleapr[[#This Row],[Bucket]],salesforecast[[#All],[Bucket2]:[8406 Stock]],20,0),0)+_xlfn.IFNA(VLOOKUP(scheduleapr[[#This Row],[Bucket]],salesforecast[[#All],[Bucket2]:[8406 Stock]],17,0),0)</f>
        <v/>
      </c>
      <c r="W379" s="557" t="n"/>
      <c r="X379" s="599" t="n">
        <v>18.2</v>
      </c>
      <c r="Y379" s="599" t="n">
        <v>18.2</v>
      </c>
      <c r="Z379" s="599" t="n">
        <v>12.3</v>
      </c>
      <c r="AA379" s="599" t="n">
        <v>2.95</v>
      </c>
      <c r="AB379" s="600" t="n">
        <v>1000</v>
      </c>
      <c r="AC379" s="600" t="inlineStr">
        <is>
          <t>M</t>
        </is>
      </c>
      <c r="AD379" s="600" t="n"/>
      <c r="AE379" s="600" t="n"/>
      <c r="AF379" s="601" t="n">
        <v>2500</v>
      </c>
      <c r="AG379" s="601" t="inlineStr">
        <is>
          <t>Aug 2026 schedule · rajsriya PLANT5</t>
        </is>
      </c>
      <c r="AH379" s="601">
        <f t="array" ref="AH3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79" s="602">
        <f>scheduleapr[[#This Row],[SCHEDULE in nos]]-scheduleapr[[#This Row],[DISPATCH]]</f>
        <v/>
      </c>
      <c r="AJ379" s="599">
        <f>(3.14*(scheduleapr[[#This Row],[ACTUAL OD]]-scheduleapr[[#This Row],[TICKNESS]])*scheduleapr[[#This Row],[TICKNESS]]*scheduleapr[[#This Row],[LENGTH]]*7.85)/1000000*scheduleapr[[#This Row],[SCHEDULE in nos]]/1000</f>
        <v/>
      </c>
      <c r="AK379" s="599">
        <f>(3.14*(scheduleapr[[#This Row],[ACTUAL OD]]-scheduleapr[[#This Row],[TICKNESS]])*scheduleapr[[#This Row],[TICKNESS]]*scheduleapr[[#This Row],[LENGTH]]*7.85)/1000000*scheduleapr[[#This Row],[DISPATCH]]/1000</f>
        <v/>
      </c>
      <c r="AL379" s="599">
        <f>AJ379-AK379</f>
        <v/>
      </c>
      <c r="AM379" s="599">
        <f>scheduleapr[[#This Row],[SCHEDULE in nos]]/scheduleapr[[#This Row],[SCHEDULE IN MT]]*scheduleapr[[#This Row],[CTL Stock]]</f>
        <v/>
      </c>
      <c r="AN379" s="599">
        <f>SUMIFS(stock[MT],stock[Bucket],scheduleapr[[#This Row],[Bucket]],stock[CTL Bucket],scheduleapr[[#This Row],[CTL Bucket]],stock[Plant],"0789")</f>
        <v/>
      </c>
      <c r="AO379" s="599" t="n"/>
      <c r="AP379" s="599">
        <f>SUMIFS(stock[MT],stock[Bucket],scheduleapr[[#This Row],[Bucket]],stock[LL or CTL],"LL")</f>
        <v/>
      </c>
      <c r="AQ379" s="599">
        <f>+SUMIFS(wip[Stock(Net Wt)],wip[Bucket],scheduleapr[[#This Row],[Bucket]])/1000</f>
        <v/>
      </c>
      <c r="AR379" s="599">
        <f>AJ379-AN379</f>
        <v/>
      </c>
      <c r="AS379" s="118" t="n"/>
    </row>
    <row r="380">
      <c r="A380" s="594" t="n">
        <v>356</v>
      </c>
      <c r="B380" s="5" t="inlineStr">
        <is>
          <t xml:space="preserve">Khopoli </t>
        </is>
      </c>
      <c r="C380" s="601" t="inlineStr">
        <is>
          <t>Rajsriya Unit 8</t>
        </is>
      </c>
      <c r="D380" s="601" t="inlineStr">
        <is>
          <t>Rajsriya Automotive Hosur</t>
        </is>
      </c>
      <c r="E380" s="601" t="inlineStr">
        <is>
          <t>129695|187884|188415|189239|189240</t>
        </is>
      </c>
      <c r="F380" s="601" t="n">
        <v>3545492</v>
      </c>
      <c r="G380" s="601">
        <f>_xlfn.CONCAT(scheduleapr[[#This Row],[CUSTOMER CODE]],"-",scheduleapr[[#This Row],[MATERIAL NO]])</f>
        <v/>
      </c>
      <c r="H380" s="601" t="inlineStr">
        <is>
          <t>TUB-O-C-AUT-AD-FC-19.00X3.250X0.1950</t>
        </is>
      </c>
      <c r="I380" s="601" t="inlineStr">
        <is>
          <t>CEW</t>
        </is>
      </c>
      <c r="J380" s="601" t="n"/>
      <c r="K380" s="601" t="inlineStr">
        <is>
          <t>CEW</t>
        </is>
      </c>
      <c r="L380" s="601" t="inlineStr">
        <is>
          <t>HR</t>
        </is>
      </c>
      <c r="M380" s="601" t="n"/>
      <c r="N380" s="601" t="n"/>
      <c r="O380" s="601" t="n"/>
      <c r="P380" s="601" t="n"/>
      <c r="Q380" s="557">
        <f>CONCATENATE(scheduleapr[[#This Row],[OD]],"-",scheduleapr[[#This Row],[ID]],"-",scheduleapr[[#This Row],[TICKNESS]],"-",scheduleapr[[#This Row],[Grade]],"-",scheduleapr[[#This Row],[FC/NFC]])</f>
        <v/>
      </c>
      <c r="R380" s="557">
        <f>_xlfn.CONCAT(scheduleapr[[#This Row],[Bucket]],"-",scheduleapr[[#This Row],[LENGTH]]/1000)</f>
        <v/>
      </c>
      <c r="S380" s="557">
        <f>COUNTIF(scheduleapr[CTL Bucket],scheduleapr[[#This Row],[CTL Bucket]])</f>
        <v/>
      </c>
      <c r="T380" s="601" t="inlineStr">
        <is>
          <t>Khopoli</t>
        </is>
      </c>
      <c r="U380" s="601">
        <f>_xlfn.IFNA(VLOOKUP(scheduleapr[[#This Row],[Bucket]],salesforecast[[#All],[Bucket2]:[8406 Stock]],19,0),0)</f>
        <v/>
      </c>
      <c r="V380" s="562">
        <f>_xlfn.IFNA(VLOOKUP(scheduleapr[[#This Row],[Bucket]],salesforecast[[#All],[Bucket2]:[8406 Stock]],20,0),0)+_xlfn.IFNA(VLOOKUP(scheduleapr[[#This Row],[Bucket]],salesforecast[[#All],[Bucket2]:[8406 Stock]],17,0),0)</f>
        <v/>
      </c>
      <c r="W380" s="557" t="n"/>
      <c r="X380" s="599" t="n">
        <v>19</v>
      </c>
      <c r="Y380" s="599" t="n">
        <v>19</v>
      </c>
      <c r="Z380" s="599" t="n">
        <v>12.5</v>
      </c>
      <c r="AA380" s="599" t="n">
        <v>3.25</v>
      </c>
      <c r="AB380" s="81" t="n">
        <v>195</v>
      </c>
      <c r="AC380" s="600" t="inlineStr">
        <is>
          <t>NOS</t>
        </is>
      </c>
      <c r="AD380" s="600" t="n"/>
      <c r="AE380" s="600" t="n"/>
      <c r="AF380" s="601" t="n"/>
      <c r="AG380" s="601" t="n"/>
      <c r="AH380" s="601">
        <f t="array" ref="AH3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0" s="602">
        <f>scheduleapr[[#This Row],[SCHEDULE in nos]]-scheduleapr[[#This Row],[DISPATCH]]</f>
        <v/>
      </c>
      <c r="AJ380" s="599">
        <f>(3.14*(scheduleapr[[#This Row],[ACTUAL OD]]-scheduleapr[[#This Row],[TICKNESS]])*scheduleapr[[#This Row],[TICKNESS]]*scheduleapr[[#This Row],[LENGTH]]*7.85)/1000000*scheduleapr[[#This Row],[SCHEDULE in nos]]/1000</f>
        <v/>
      </c>
      <c r="AK380" s="599">
        <f>(3.14*(scheduleapr[[#This Row],[ACTUAL OD]]-scheduleapr[[#This Row],[TICKNESS]])*scheduleapr[[#This Row],[TICKNESS]]*scheduleapr[[#This Row],[LENGTH]]*7.85)/1000000*scheduleapr[[#This Row],[DISPATCH]]/1000</f>
        <v/>
      </c>
      <c r="AL380" s="599">
        <f>AJ380-AK380</f>
        <v/>
      </c>
      <c r="AM380" s="599">
        <f>scheduleapr[[#This Row],[SCHEDULE in nos]]/scheduleapr[[#This Row],[SCHEDULE IN MT]]*scheduleapr[[#This Row],[CTL Stock]]</f>
        <v/>
      </c>
      <c r="AN380" s="599">
        <f>SUMIFS(stock[MT],stock[Bucket],scheduleapr[[#This Row],[Bucket]],stock[CTL Bucket],scheduleapr[[#This Row],[CTL Bucket]],stock[Plant],"0789")</f>
        <v/>
      </c>
      <c r="AO380" s="599" t="n"/>
      <c r="AP380" s="599">
        <f>SUMIFS(stock[MT],stock[Bucket],scheduleapr[[#This Row],[Bucket]],stock[LL or CTL],"LL")</f>
        <v/>
      </c>
      <c r="AQ380" s="599">
        <f>+SUMIFS(wip[Stock(Net Wt)],wip[Bucket],scheduleapr[[#This Row],[Bucket]])/1000</f>
        <v/>
      </c>
      <c r="AR380" s="599">
        <f>AJ380-AN380</f>
        <v/>
      </c>
      <c r="AS380" s="118" t="n"/>
    </row>
    <row r="381">
      <c r="A381" s="594" t="n">
        <v>358</v>
      </c>
      <c r="B381" s="5" t="inlineStr">
        <is>
          <t xml:space="preserve">Khopoli </t>
        </is>
      </c>
      <c r="C381" s="601" t="inlineStr">
        <is>
          <t>Rajsriya Unit 1</t>
        </is>
      </c>
      <c r="D381" s="601" t="inlineStr">
        <is>
          <t>Rajsriya Automotive Hosur</t>
        </is>
      </c>
      <c r="E381" s="601" t="inlineStr">
        <is>
          <t>129695|187884|188415|189239|189240</t>
        </is>
      </c>
      <c r="F381" s="601" t="n">
        <v>1938191</v>
      </c>
      <c r="G381" s="601">
        <f>_xlfn.CONCAT(scheduleapr[[#This Row],[CUSTOMER CODE]],"-",scheduleapr[[#This Row],[MATERIAL NO]])</f>
        <v/>
      </c>
      <c r="H381" s="601" t="inlineStr">
        <is>
          <t>TUB-I-C-AUT-AD-FC-12.50X3.250X0.5880</t>
        </is>
      </c>
      <c r="I381" s="601" t="inlineStr">
        <is>
          <t>CEW</t>
        </is>
      </c>
      <c r="J381" s="601" t="n"/>
      <c r="K381" s="601" t="inlineStr">
        <is>
          <t>CEW</t>
        </is>
      </c>
      <c r="L381" s="601" t="inlineStr">
        <is>
          <t>HR</t>
        </is>
      </c>
      <c r="M381" s="601" t="n"/>
      <c r="N381" s="601" t="n"/>
      <c r="O381" s="601" t="n"/>
      <c r="P381" s="601" t="n"/>
      <c r="Q381" s="557">
        <f>CONCATENATE(scheduleapr[[#This Row],[OD]],"-",scheduleapr[[#This Row],[ID]],"-",scheduleapr[[#This Row],[TICKNESS]],"-",scheduleapr[[#This Row],[Grade]],"-",scheduleapr[[#This Row],[FC/NFC]])</f>
        <v/>
      </c>
      <c r="R381" s="557">
        <f>_xlfn.CONCAT(scheduleapr[[#This Row],[Bucket]],"-",scheduleapr[[#This Row],[LENGTH]]/1000)</f>
        <v/>
      </c>
      <c r="S381" s="557">
        <f>COUNTIF(scheduleapr[CTL Bucket],scheduleapr[[#This Row],[CTL Bucket]])</f>
        <v/>
      </c>
      <c r="T381" s="601" t="inlineStr">
        <is>
          <t>Khopoli</t>
        </is>
      </c>
      <c r="U381" s="601">
        <f>_xlfn.IFNA(VLOOKUP(scheduleapr[[#This Row],[Bucket]],salesforecast[[#All],[Bucket2]:[8406 Stock]],19,0),0)</f>
        <v/>
      </c>
      <c r="V381" s="562">
        <f>_xlfn.IFNA(VLOOKUP(scheduleapr[[#This Row],[Bucket]],salesforecast[[#All],[Bucket2]:[8406 Stock]],20,0),0)+_xlfn.IFNA(VLOOKUP(scheduleapr[[#This Row],[Bucket]],salesforecast[[#All],[Bucket2]:[8406 Stock]],17,0),0)</f>
        <v/>
      </c>
      <c r="W381" s="557" t="n"/>
      <c r="X381" s="599" t="n">
        <v>19</v>
      </c>
      <c r="Y381" s="599" t="n">
        <v>19</v>
      </c>
      <c r="Z381" s="599" t="n">
        <v>12.5</v>
      </c>
      <c r="AA381" s="599" t="n">
        <v>3.25</v>
      </c>
      <c r="AB381" s="600" t="n">
        <v>588</v>
      </c>
      <c r="AC381" s="600" t="inlineStr">
        <is>
          <t>NOS</t>
        </is>
      </c>
      <c r="AD381" s="600" t="n"/>
      <c r="AE381" s="600" t="n"/>
      <c r="AF381" s="601" t="n"/>
      <c r="AG381" s="601" t="n"/>
      <c r="AH381" s="601">
        <f t="array" ref="AH3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1" s="602">
        <f>scheduleapr[[#This Row],[SCHEDULE in nos]]-scheduleapr[[#This Row],[DISPATCH]]</f>
        <v/>
      </c>
      <c r="AJ381" s="599">
        <f>(3.14*(scheduleapr[[#This Row],[ACTUAL OD]]-scheduleapr[[#This Row],[TICKNESS]])*scheduleapr[[#This Row],[TICKNESS]]*scheduleapr[[#This Row],[LENGTH]]*7.85)/1000000*scheduleapr[[#This Row],[SCHEDULE in nos]]/1000</f>
        <v/>
      </c>
      <c r="AK381" s="599">
        <f>(3.14*(scheduleapr[[#This Row],[ACTUAL OD]]-scheduleapr[[#This Row],[TICKNESS]])*scheduleapr[[#This Row],[TICKNESS]]*scheduleapr[[#This Row],[LENGTH]]*7.85)/1000000*scheduleapr[[#This Row],[DISPATCH]]/1000</f>
        <v/>
      </c>
      <c r="AL381" s="599">
        <f>AJ381-AK381</f>
        <v/>
      </c>
      <c r="AM381" s="599">
        <f>scheduleapr[[#This Row],[SCHEDULE in nos]]/scheduleapr[[#This Row],[SCHEDULE IN MT]]*scheduleapr[[#This Row],[CTL Stock]]</f>
        <v/>
      </c>
      <c r="AN381" s="599">
        <f>SUMIFS(stock[MT],stock[Bucket],scheduleapr[[#This Row],[Bucket]],stock[CTL Bucket],scheduleapr[[#This Row],[CTL Bucket]],stock[Plant],"0789")</f>
        <v/>
      </c>
      <c r="AO381" s="599" t="n"/>
      <c r="AP381" s="599">
        <f>SUMIFS(stock[MT],stock[Bucket],scheduleapr[[#This Row],[Bucket]],stock[LL or CTL],"LL")</f>
        <v/>
      </c>
      <c r="AQ381" s="599">
        <f>+SUMIFS(wip[Stock(Net Wt)],wip[Bucket],scheduleapr[[#This Row],[Bucket]])/1000</f>
        <v/>
      </c>
      <c r="AR381" s="599">
        <f>AJ381-AN381</f>
        <v/>
      </c>
      <c r="AS381" s="118" t="n"/>
    </row>
    <row r="382">
      <c r="A382" s="594" t="n">
        <v>301</v>
      </c>
      <c r="B382" s="5" t="inlineStr">
        <is>
          <t xml:space="preserve">Khopoli </t>
        </is>
      </c>
      <c r="C382" s="601" t="inlineStr">
        <is>
          <t>Rajsriya Automotive</t>
        </is>
      </c>
      <c r="D382" s="601" t="inlineStr">
        <is>
          <t>Rajsriya Automotive Hosur</t>
        </is>
      </c>
      <c r="E382" s="601" t="inlineStr">
        <is>
          <t>129695|187884|188415|189239|189240</t>
        </is>
      </c>
      <c r="F382" s="601" t="n">
        <v>3468207</v>
      </c>
      <c r="G382" s="601">
        <f>_xlfn.CONCAT(scheduleapr[[#This Row],[CUSTOMER CODE]],"-",scheduleapr[[#This Row],[MATERIAL NO]])</f>
        <v/>
      </c>
      <c r="H382" s="601" t="inlineStr">
        <is>
          <t>TUB-O-C-AUT-AD-FC-19.00X3.250X5.0000</t>
        </is>
      </c>
      <c r="I382" s="601" t="inlineStr">
        <is>
          <t>CEW</t>
        </is>
      </c>
      <c r="J382" s="601" t="n"/>
      <c r="K382" s="601" t="inlineStr">
        <is>
          <t>CEW</t>
        </is>
      </c>
      <c r="L382" s="601" t="inlineStr">
        <is>
          <t>HR</t>
        </is>
      </c>
      <c r="M382" s="601" t="n"/>
      <c r="N382" s="601" t="n"/>
      <c r="O382" s="601" t="n"/>
      <c r="P382" s="601" t="n"/>
      <c r="Q382" s="557">
        <f>CONCATENATE(scheduleapr[[#This Row],[OD]],"-",scheduleapr[[#This Row],[ID]],"-",scheduleapr[[#This Row],[TICKNESS]],"-",scheduleapr[[#This Row],[Grade]],"-",scheduleapr[[#This Row],[FC/NFC]])</f>
        <v/>
      </c>
      <c r="R382" s="557">
        <f>_xlfn.CONCAT(scheduleapr[[#This Row],[Bucket]],"-",scheduleapr[[#This Row],[LENGTH]]/1000)</f>
        <v/>
      </c>
      <c r="S382" s="557">
        <f>COUNTIF([2]!buckets[CTL Bucket],[2]!scheduleapr[[#This Row],[CTL Bucket]])</f>
        <v/>
      </c>
      <c r="T382" s="557" t="n"/>
      <c r="U382" s="557" t="n"/>
      <c r="V382" s="557" t="n"/>
      <c r="W382" s="557" t="n"/>
      <c r="X382" s="599" t="n">
        <v>19</v>
      </c>
      <c r="Y382" s="599" t="n">
        <v>19</v>
      </c>
      <c r="Z382" s="599" t="n">
        <v>12.5</v>
      </c>
      <c r="AA382" s="599" t="n">
        <v>3.25</v>
      </c>
      <c r="AB382" s="600" t="n">
        <v>5000</v>
      </c>
      <c r="AC382" s="600" t="n"/>
      <c r="AD382" s="600" t="n"/>
      <c r="AE382" s="600" t="n"/>
      <c r="AF382" s="601" t="n"/>
      <c r="AG382" s="601" t="n"/>
      <c r="AH382" s="601">
        <f t="array" ref="AH3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2" s="602">
        <f>scheduleapr[[#This Row],[SCHEDULE in nos]]-scheduleapr[[#This Row],[DISPATCH]]</f>
        <v/>
      </c>
      <c r="AJ382" s="599">
        <f>(3.14*(scheduleapr[[#This Row],[ACTUAL OD]]-scheduleapr[[#This Row],[TICKNESS]])*scheduleapr[[#This Row],[TICKNESS]]*scheduleapr[[#This Row],[LENGTH]]*7.85)/1000000*scheduleapr[[#This Row],[SCHEDULE in nos]]/1000</f>
        <v/>
      </c>
      <c r="AK382" s="599">
        <f>(3.14*(scheduleapr[[#This Row],[ACTUAL OD]]-scheduleapr[[#This Row],[TICKNESS]])*scheduleapr[[#This Row],[TICKNESS]]*scheduleapr[[#This Row],[LENGTH]]*7.85)/1000000*scheduleapr[[#This Row],[DISPATCH]]/1000</f>
        <v/>
      </c>
      <c r="AL382" s="599">
        <f>AJ382-AK382</f>
        <v/>
      </c>
      <c r="AM382" s="599">
        <f>scheduleapr[[#This Row],[SCHEDULE in nos]]/scheduleapr[[#This Row],[SCHEDULE IN MT]]*scheduleapr[[#This Row],[CTL Stock]]</f>
        <v/>
      </c>
      <c r="AN382" s="599">
        <f>SUMIFS(stock[MT],stock[Bucket],scheduleapr[[#This Row],[Bucket]],stock[CTL Bucket],scheduleapr[[#This Row],[CTL Bucket]],stock[Plant],"0789")</f>
        <v/>
      </c>
      <c r="AO382" s="599" t="n"/>
      <c r="AP382" s="599">
        <f>SUMIFS(stock[MT],stock[Bucket],scheduleapr[[#This Row],[Bucket]],stock[LL or CTL],"LL")</f>
        <v/>
      </c>
      <c r="AQ382" s="599">
        <f>+SUMIFS(wip[Stock(Net Wt)],wip[Bucket],scheduleapr[[#This Row],[Bucket]])/1000</f>
        <v/>
      </c>
      <c r="AR382" s="599">
        <f>AJ382-AN382</f>
        <v/>
      </c>
      <c r="AS382" s="118" t="n"/>
    </row>
    <row r="383">
      <c r="A383" s="594" t="n">
        <v>302</v>
      </c>
      <c r="B383" s="5" t="inlineStr">
        <is>
          <t xml:space="preserve">Khopoli </t>
        </is>
      </c>
      <c r="C383" s="601" t="inlineStr">
        <is>
          <t>Rajsriya Automotive</t>
        </is>
      </c>
      <c r="D383" s="601" t="inlineStr">
        <is>
          <t>Rajsriya Automotive Hosur</t>
        </is>
      </c>
      <c r="E383" s="601" t="inlineStr">
        <is>
          <t>129695|187884|188415|189239|189240</t>
        </is>
      </c>
      <c r="F383" s="601" t="n"/>
      <c r="G383" s="601">
        <f>_xlfn.CONCAT(scheduleapr[[#This Row],[CUSTOMER CODE]],"-",scheduleapr[[#This Row],[MATERIAL NO]])</f>
        <v/>
      </c>
      <c r="H383" s="601" t="n"/>
      <c r="I383" s="601" t="inlineStr">
        <is>
          <t>CEW</t>
        </is>
      </c>
      <c r="J383" s="601" t="n"/>
      <c r="K383" s="601" t="inlineStr">
        <is>
          <t>CEW</t>
        </is>
      </c>
      <c r="L383" s="601" t="inlineStr">
        <is>
          <t>HR</t>
        </is>
      </c>
      <c r="M383" s="601" t="n"/>
      <c r="N383" s="601" t="n"/>
      <c r="O383" s="601" t="n"/>
      <c r="P383" s="601" t="n"/>
      <c r="Q383" s="557">
        <f>CONCATENATE(scheduleapr[[#This Row],[OD]],"-",scheduleapr[[#This Row],[ID]],"-",scheduleapr[[#This Row],[TICKNESS]],"-",scheduleapr[[#This Row],[Grade]],"-",scheduleapr[[#This Row],[FC/NFC]])</f>
        <v/>
      </c>
      <c r="R383" s="557">
        <f>_xlfn.CONCAT(scheduleapr[[#This Row],[Bucket]],"-",scheduleapr[[#This Row],[LENGTH]]/1000)</f>
        <v/>
      </c>
      <c r="S383" s="557">
        <f>COUNTIF([2]!buckets[CTL Bucket],[2]!scheduleapr[[#This Row],[CTL Bucket]])</f>
        <v/>
      </c>
      <c r="T383" s="557" t="n"/>
      <c r="U383" s="557" t="n"/>
      <c r="V383" s="557" t="n"/>
      <c r="W383" s="557" t="n"/>
      <c r="X383" s="599" t="n">
        <v>19.05</v>
      </c>
      <c r="Y383" s="599" t="n">
        <v>19</v>
      </c>
      <c r="Z383" s="599" t="n">
        <v>12.5</v>
      </c>
      <c r="AA383" s="599" t="n">
        <v>3.25</v>
      </c>
      <c r="AB383" s="600" t="n">
        <v>200</v>
      </c>
      <c r="AC383" s="600" t="n"/>
      <c r="AD383" s="600" t="n"/>
      <c r="AE383" s="600" t="n"/>
      <c r="AF383" s="601" t="n"/>
      <c r="AG383" s="601" t="n"/>
      <c r="AH383" s="601">
        <f t="array" ref="AH3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3" s="602">
        <f>scheduleapr[[#This Row],[SCHEDULE in nos]]-scheduleapr[[#This Row],[DISPATCH]]</f>
        <v/>
      </c>
      <c r="AJ383" s="599">
        <f>(3.14*(scheduleapr[[#This Row],[ACTUAL OD]]-scheduleapr[[#This Row],[TICKNESS]])*scheduleapr[[#This Row],[TICKNESS]]*scheduleapr[[#This Row],[LENGTH]]*7.85)/1000000*scheduleapr[[#This Row],[SCHEDULE in nos]]/1000</f>
        <v/>
      </c>
      <c r="AK383" s="599">
        <f>(3.14*(scheduleapr[[#This Row],[ACTUAL OD]]-scheduleapr[[#This Row],[TICKNESS]])*scheduleapr[[#This Row],[TICKNESS]]*scheduleapr[[#This Row],[LENGTH]]*7.85)/1000000*scheduleapr[[#This Row],[DISPATCH]]/1000</f>
        <v/>
      </c>
      <c r="AL383" s="599">
        <f>AJ383-AK383</f>
        <v/>
      </c>
      <c r="AM383" s="599">
        <f>scheduleapr[[#This Row],[SCHEDULE in nos]]/scheduleapr[[#This Row],[SCHEDULE IN MT]]*scheduleapr[[#This Row],[CTL Stock]]</f>
        <v/>
      </c>
      <c r="AN383" s="599">
        <f>SUMIFS(stock[MT],stock[Bucket],scheduleapr[[#This Row],[Bucket]],stock[CTL Bucket],scheduleapr[[#This Row],[CTL Bucket]],stock[Plant],"0789")</f>
        <v/>
      </c>
      <c r="AO383" s="599" t="n"/>
      <c r="AP383" s="599">
        <f>SUMIFS(stock[MT],stock[Bucket],scheduleapr[[#This Row],[Bucket]],stock[LL or CTL],"LL")</f>
        <v/>
      </c>
      <c r="AQ383" s="599">
        <f>+SUMIFS(wip[Stock(Net Wt)],wip[Bucket],scheduleapr[[#This Row],[Bucket]])/1000</f>
        <v/>
      </c>
      <c r="AR383" s="599">
        <f>AJ383-AN383</f>
        <v/>
      </c>
      <c r="AS383" s="118" t="n"/>
    </row>
    <row r="384">
      <c r="A384" s="594" t="n">
        <v>303</v>
      </c>
      <c r="B384" s="5" t="inlineStr">
        <is>
          <t xml:space="preserve">Khopoli </t>
        </is>
      </c>
      <c r="C384" s="601" t="inlineStr">
        <is>
          <t>Rajsriya Automotive</t>
        </is>
      </c>
      <c r="D384" s="601" t="inlineStr">
        <is>
          <t>Rajsriya Automotive Hosur</t>
        </is>
      </c>
      <c r="E384" s="601" t="inlineStr">
        <is>
          <t>129695|187884|188415|189239|189240</t>
        </is>
      </c>
      <c r="F384" s="601" t="n">
        <v>3545491</v>
      </c>
      <c r="G384" s="601">
        <f>_xlfn.CONCAT(scheduleapr[[#This Row],[CUSTOMER CODE]],"-",scheduleapr[[#This Row],[MATERIAL NO]])</f>
        <v/>
      </c>
      <c r="H384" s="601" t="inlineStr">
        <is>
          <t>TUB-I-C-AUT-AD-FC-12.50X3.250X0.3190</t>
        </is>
      </c>
      <c r="I384" s="601" t="inlineStr">
        <is>
          <t>CEW</t>
        </is>
      </c>
      <c r="J384" s="601" t="n"/>
      <c r="K384" s="601" t="inlineStr">
        <is>
          <t>CEW</t>
        </is>
      </c>
      <c r="L384" s="601" t="inlineStr">
        <is>
          <t>HR</t>
        </is>
      </c>
      <c r="M384" s="601" t="n"/>
      <c r="N384" s="601" t="n"/>
      <c r="O384" s="601" t="n"/>
      <c r="P384" s="601" t="n"/>
      <c r="Q384" s="557">
        <f>CONCATENATE(scheduleapr[[#This Row],[OD]],"-",scheduleapr[[#This Row],[ID]],"-",scheduleapr[[#This Row],[TICKNESS]],"-",scheduleapr[[#This Row],[Grade]],"-",scheduleapr[[#This Row],[FC/NFC]])</f>
        <v/>
      </c>
      <c r="R384" s="557">
        <f>_xlfn.CONCAT(scheduleapr[[#This Row],[Bucket]],"-",scheduleapr[[#This Row],[LENGTH]]/1000)</f>
        <v/>
      </c>
      <c r="S384" s="557">
        <f>COUNTIF([2]!buckets[CTL Bucket],[2]!scheduleapr[[#This Row],[CTL Bucket]])</f>
        <v/>
      </c>
      <c r="T384" s="557" t="n"/>
      <c r="U384" s="557" t="n"/>
      <c r="V384" s="557" t="n"/>
      <c r="W384" s="557" t="n"/>
      <c r="X384" s="599" t="n">
        <v>19.05</v>
      </c>
      <c r="Y384" s="599" t="n">
        <v>19</v>
      </c>
      <c r="Z384" s="599" t="n">
        <v>12.5</v>
      </c>
      <c r="AA384" s="599" t="n">
        <v>3.25</v>
      </c>
      <c r="AB384" s="600" t="n">
        <v>319</v>
      </c>
      <c r="AC384" s="600" t="n"/>
      <c r="AD384" s="600" t="n"/>
      <c r="AE384" s="600" t="n"/>
      <c r="AF384" s="601" t="n"/>
      <c r="AG384" s="601" t="n"/>
      <c r="AH384" s="601">
        <f t="array" ref="AH3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4" s="602">
        <f>scheduleapr[[#This Row],[SCHEDULE in nos]]-scheduleapr[[#This Row],[DISPATCH]]</f>
        <v/>
      </c>
      <c r="AJ384" s="599">
        <f>(3.14*(scheduleapr[[#This Row],[ACTUAL OD]]-scheduleapr[[#This Row],[TICKNESS]])*scheduleapr[[#This Row],[TICKNESS]]*scheduleapr[[#This Row],[LENGTH]]*7.85)/1000000*scheduleapr[[#This Row],[SCHEDULE in nos]]/1000</f>
        <v/>
      </c>
      <c r="AK384" s="599">
        <f>(3.14*(scheduleapr[[#This Row],[ACTUAL OD]]-scheduleapr[[#This Row],[TICKNESS]])*scheduleapr[[#This Row],[TICKNESS]]*scheduleapr[[#This Row],[LENGTH]]*7.85)/1000000*scheduleapr[[#This Row],[DISPATCH]]/1000</f>
        <v/>
      </c>
      <c r="AL384" s="599">
        <f>AJ384-AK384</f>
        <v/>
      </c>
      <c r="AM384" s="599">
        <f>scheduleapr[[#This Row],[SCHEDULE in nos]]/scheduleapr[[#This Row],[SCHEDULE IN MT]]*scheduleapr[[#This Row],[CTL Stock]]</f>
        <v/>
      </c>
      <c r="AN384" s="599">
        <f>SUMIFS(stock[MT],stock[Bucket],scheduleapr[[#This Row],[Bucket]],stock[CTL Bucket],scheduleapr[[#This Row],[CTL Bucket]],stock[Plant],"0789")</f>
        <v/>
      </c>
      <c r="AO384" s="599" t="n"/>
      <c r="AP384" s="599">
        <f>SUMIFS(stock[MT],stock[Bucket],scheduleapr[[#This Row],[Bucket]],stock[LL or CTL],"LL")</f>
        <v/>
      </c>
      <c r="AQ384" s="599">
        <f>+SUMIFS(wip[Stock(Net Wt)],wip[Bucket],scheduleapr[[#This Row],[Bucket]])/1000</f>
        <v/>
      </c>
      <c r="AR384" s="599">
        <f>AJ384-AN384</f>
        <v/>
      </c>
      <c r="AS384" s="118" t="n"/>
    </row>
    <row r="385">
      <c r="A385" s="594" t="n">
        <v>407</v>
      </c>
      <c r="B385" s="5" t="inlineStr">
        <is>
          <t xml:space="preserve">Khopoli </t>
        </is>
      </c>
      <c r="C385" s="601" t="inlineStr">
        <is>
          <t>Rajsriya Unit 5</t>
        </is>
      </c>
      <c r="D385" s="601" t="inlineStr">
        <is>
          <t>Rajsriya Automotive Hosur</t>
        </is>
      </c>
      <c r="E385" s="601" t="inlineStr">
        <is>
          <t>129695|187884|188415|189239|189240</t>
        </is>
      </c>
      <c r="F385" s="601" t="n"/>
      <c r="G385" s="601">
        <f>_xlfn.CONCAT(scheduleapr[[#This Row],[CUSTOMER CODE]],"-",scheduleapr[[#This Row],[MATERIAL NO]])</f>
        <v/>
      </c>
      <c r="H385" s="601" t="n"/>
      <c r="I385" s="601" t="inlineStr">
        <is>
          <t>CEW</t>
        </is>
      </c>
      <c r="J385" s="601" t="n"/>
      <c r="K385" s="601" t="inlineStr">
        <is>
          <t>CEW</t>
        </is>
      </c>
      <c r="L385" s="601" t="inlineStr">
        <is>
          <t>HR</t>
        </is>
      </c>
      <c r="M385" s="601" t="n"/>
      <c r="N385" s="601" t="n"/>
      <c r="O385" s="601" t="n"/>
      <c r="P385" s="601" t="n"/>
      <c r="Q385" s="557">
        <f>CONCATENATE(scheduleapr[[#This Row],[OD]],"-",scheduleapr[[#This Row],[ID]],"-",scheduleapr[[#This Row],[TICKNESS]],"-",scheduleapr[[#This Row],[Grade]],"-",scheduleapr[[#This Row],[FC/NFC]])</f>
        <v/>
      </c>
      <c r="R385" s="557">
        <f>_xlfn.CONCAT(scheduleapr[[#This Row],[Bucket]],"-",scheduleapr[[#This Row],[LENGTH]]/1000)</f>
        <v/>
      </c>
      <c r="S385" s="557">
        <f>COUNTIF([2]!buckets[CTL Bucket],[2]!scheduleapr[[#This Row],[CTL Bucket]])</f>
        <v/>
      </c>
      <c r="T385" s="557" t="n"/>
      <c r="U385" s="601">
        <f>_xlfn.IFNA(VLOOKUP(scheduleapr[[#This Row],[Bucket]],salesforecast[[#All],[Bucket2]:[8406 Stock]],19,0),0)</f>
        <v/>
      </c>
      <c r="V385" s="557" t="n"/>
      <c r="W385" s="557" t="n"/>
      <c r="X385" s="599" t="n">
        <v>21.7</v>
      </c>
      <c r="Y385" s="6" t="n">
        <v>21.7</v>
      </c>
      <c r="Z385" s="6" t="n">
        <v>16.2</v>
      </c>
      <c r="AA385" s="599" t="n">
        <v>2.75</v>
      </c>
      <c r="AB385" s="600" t="n">
        <v>1000</v>
      </c>
      <c r="AC385" s="600" t="inlineStr">
        <is>
          <t>M</t>
        </is>
      </c>
      <c r="AD385" s="600" t="n"/>
      <c r="AE385" s="600" t="n"/>
      <c r="AF385" s="601" t="n">
        <v>1500</v>
      </c>
      <c r="AG385" s="601" t="inlineStr">
        <is>
          <t>Aug 2026 schedule · rajsriya PLANT5</t>
        </is>
      </c>
      <c r="AH385" s="601">
        <f t="array" ref="AH3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5" s="602">
        <f>scheduleapr[[#This Row],[SCHEDULE in nos]]-scheduleapr[[#This Row],[DISPATCH]]</f>
        <v/>
      </c>
      <c r="AJ385" s="599">
        <f>(3.14*(scheduleapr[[#This Row],[ACTUAL OD]]-scheduleapr[[#This Row],[TICKNESS]])*scheduleapr[[#This Row],[TICKNESS]]*scheduleapr[[#This Row],[LENGTH]]*7.85)/1000000*scheduleapr[[#This Row],[SCHEDULE in nos]]/1000</f>
        <v/>
      </c>
      <c r="AK385" s="599">
        <f>(3.14*(scheduleapr[[#This Row],[ACTUAL OD]]-scheduleapr[[#This Row],[TICKNESS]])*scheduleapr[[#This Row],[TICKNESS]]*scheduleapr[[#This Row],[LENGTH]]*7.85)/1000000*scheduleapr[[#This Row],[DISPATCH]]/1000</f>
        <v/>
      </c>
      <c r="AL385" s="599">
        <f>AJ385-AK385</f>
        <v/>
      </c>
      <c r="AM385" s="599">
        <f>scheduleapr[[#This Row],[SCHEDULE in nos]]/scheduleapr[[#This Row],[SCHEDULE IN MT]]*scheduleapr[[#This Row],[CTL Stock]]</f>
        <v/>
      </c>
      <c r="AN385" s="599">
        <f>SUMIFS(stock[MT],stock[Bucket],scheduleapr[[#This Row],[Bucket]],stock[CTL Bucket],scheduleapr[[#This Row],[CTL Bucket]],stock[Plant],"0789")</f>
        <v/>
      </c>
      <c r="AO385" s="599" t="n"/>
      <c r="AP385" s="599">
        <f>SUMIFS(stock[MT],stock[Bucket],scheduleapr[[#This Row],[Bucket]],stock[LL or CTL],"LL")</f>
        <v/>
      </c>
      <c r="AQ385" s="599">
        <f>+SUMIFS(wip[Stock(Net Wt)],wip[Bucket],scheduleapr[[#This Row],[Bucket]])/1000</f>
        <v/>
      </c>
      <c r="AR385" s="599">
        <f>AJ385-AN385</f>
        <v/>
      </c>
      <c r="AS385" s="118" t="n"/>
    </row>
    <row r="386">
      <c r="A386" s="594" t="n">
        <v>455</v>
      </c>
      <c r="B386" s="5" t="inlineStr">
        <is>
          <t xml:space="preserve">Khopoli </t>
        </is>
      </c>
      <c r="C386" s="601" t="inlineStr">
        <is>
          <t>Rajsriya Unit 1</t>
        </is>
      </c>
      <c r="D386" s="601" t="inlineStr">
        <is>
          <t>Rajsriya Automotive Hosur</t>
        </is>
      </c>
      <c r="E386" s="601" t="inlineStr">
        <is>
          <t>129695|187884|188415|189239|189240</t>
        </is>
      </c>
      <c r="F386" s="601" t="n">
        <v>1939544</v>
      </c>
      <c r="G386" s="601">
        <f>_xlfn.CONCAT(scheduleapr[[#This Row],[CUSTOMER CODE]],"-",scheduleapr[[#This Row],[MATERIAL NO]])</f>
        <v/>
      </c>
      <c r="H386" s="601" t="inlineStr">
        <is>
          <t>TUB-O-C-CEW-AD-FC-25.40X2.500X0.2170</t>
        </is>
      </c>
      <c r="I386" s="601" t="inlineStr">
        <is>
          <t>CEW</t>
        </is>
      </c>
      <c r="J386" s="601" t="n"/>
      <c r="K386" s="601" t="inlineStr">
        <is>
          <t>CEW</t>
        </is>
      </c>
      <c r="L386" s="601" t="inlineStr">
        <is>
          <t>HR</t>
        </is>
      </c>
      <c r="M386" s="601" t="n"/>
      <c r="N386" s="601" t="n"/>
      <c r="O386" s="601" t="n"/>
      <c r="P386" s="601" t="n"/>
      <c r="Q386" s="557">
        <f>CONCATENATE(scheduleapr[[#This Row],[OD]],"-",scheduleapr[[#This Row],[ID]],"-",scheduleapr[[#This Row],[TICKNESS]],"-",scheduleapr[[#This Row],[Grade]],"-",scheduleapr[[#This Row],[FC/NFC]])</f>
        <v/>
      </c>
      <c r="R386" s="557">
        <f>_xlfn.CONCAT(scheduleapr[[#This Row],[Bucket]],"-",scheduleapr[[#This Row],[LENGTH]]/1000)</f>
        <v/>
      </c>
      <c r="S386" s="557">
        <f>COUNTIF(scheduleapr[CTL Bucket],scheduleapr[[#This Row],[CTL Bucket]])</f>
        <v/>
      </c>
      <c r="T386" s="601" t="inlineStr">
        <is>
          <t>Khopoli</t>
        </is>
      </c>
      <c r="U386" s="601">
        <f>_xlfn.IFNA(VLOOKUP(scheduleapr[[#This Row],[Bucket]],salesforecast[[#All],[Bucket2]:[8406 Stock]],19,0),0)</f>
        <v/>
      </c>
      <c r="V386" s="562">
        <f>_xlfn.IFNA(VLOOKUP(scheduleapr[[#This Row],[Bucket]],salesforecast[[#All],[Bucket2]:[8406 Stock]],20,0),0)+_xlfn.IFNA(VLOOKUP(scheduleapr[[#This Row],[Bucket]],salesforecast[[#All],[Bucket2]:[8406 Stock]],17,0),0)</f>
        <v/>
      </c>
      <c r="W386" s="557" t="n"/>
      <c r="X386" s="599" t="n">
        <v>25.4</v>
      </c>
      <c r="Y386" s="599" t="n">
        <v>25.4</v>
      </c>
      <c r="Z386" s="599" t="n">
        <v>0</v>
      </c>
      <c r="AA386" s="599" t="n">
        <v>2.5</v>
      </c>
      <c r="AB386" s="600" t="n">
        <v>217</v>
      </c>
      <c r="AC386" s="600" t="inlineStr">
        <is>
          <t>NOS</t>
        </is>
      </c>
      <c r="AD386" s="600" t="n"/>
      <c r="AE386" s="600" t="n"/>
      <c r="AF386" s="601" t="n">
        <v>15000</v>
      </c>
      <c r="AG386" s="601" t="inlineStr">
        <is>
          <t>Aug 2026 schedule · rajsriya PLANT-1</t>
        </is>
      </c>
      <c r="AH386" s="601">
        <f t="array" ref="AH3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6" s="602">
        <f>scheduleapr[[#This Row],[SCHEDULE in nos]]-scheduleapr[[#This Row],[DISPATCH]]</f>
        <v/>
      </c>
      <c r="AJ386" s="599">
        <f>(3.14*(scheduleapr[[#This Row],[ACTUAL OD]]-scheduleapr[[#This Row],[TICKNESS]])*scheduleapr[[#This Row],[TICKNESS]]*scheduleapr[[#This Row],[LENGTH]]*7.85)/1000000*scheduleapr[[#This Row],[SCHEDULE in nos]]/1000</f>
        <v/>
      </c>
      <c r="AK386" s="599">
        <f>(3.14*(scheduleapr[[#This Row],[ACTUAL OD]]-scheduleapr[[#This Row],[TICKNESS]])*scheduleapr[[#This Row],[TICKNESS]]*scheduleapr[[#This Row],[LENGTH]]*7.85)/1000000*scheduleapr[[#This Row],[DISPATCH]]/1000</f>
        <v/>
      </c>
      <c r="AL386" s="599">
        <f>AJ386-AK386</f>
        <v/>
      </c>
      <c r="AM386" s="599">
        <f>scheduleapr[[#This Row],[SCHEDULE in nos]]/scheduleapr[[#This Row],[SCHEDULE IN MT]]*scheduleapr[[#This Row],[CTL Stock]]</f>
        <v/>
      </c>
      <c r="AN386" s="599">
        <f>SUMIFS(stock[MT],stock[Bucket],scheduleapr[[#This Row],[Bucket]],stock[CTL Bucket],scheduleapr[[#This Row],[CTL Bucket]],stock[Plant],"0789")</f>
        <v/>
      </c>
      <c r="AO386" s="599" t="n"/>
      <c r="AP386" s="599">
        <f>SUMIFS(stock[MT],stock[Bucket],scheduleapr[[#This Row],[Bucket]],stock[LL or CTL],"LL")</f>
        <v/>
      </c>
      <c r="AQ386" s="599">
        <f>+SUMIFS(wip[Stock(Net Wt)],wip[Bucket],scheduleapr[[#This Row],[Bucket]])/1000</f>
        <v/>
      </c>
      <c r="AR386" s="599">
        <f>AJ386-AN386</f>
        <v/>
      </c>
      <c r="AS386" s="118" t="n"/>
    </row>
    <row r="387">
      <c r="A387" s="594" t="n">
        <v>330</v>
      </c>
      <c r="B387" s="5" t="inlineStr">
        <is>
          <t xml:space="preserve">Khopoli </t>
        </is>
      </c>
      <c r="C387" s="601" t="inlineStr">
        <is>
          <t>Rajsriya Automotive</t>
        </is>
      </c>
      <c r="D387" s="601" t="inlineStr">
        <is>
          <t>Rajsriya Automotive Hosur</t>
        </is>
      </c>
      <c r="E387" s="601" t="inlineStr">
        <is>
          <t>129695|187884|188415|189239|189240</t>
        </is>
      </c>
      <c r="F387" s="601" t="n">
        <v>1941408</v>
      </c>
      <c r="G387" s="601">
        <f>_xlfn.CONCAT(scheduleapr[[#This Row],[CUSTOMER CODE]],"-",scheduleapr[[#This Row],[MATERIAL NO]])</f>
        <v/>
      </c>
      <c r="H387" s="601" t="inlineStr">
        <is>
          <t>TUB-O-C-AUT-AD-FC-25.40X2.500X3.7300</t>
        </is>
      </c>
      <c r="I387" s="601" t="inlineStr">
        <is>
          <t>CEW</t>
        </is>
      </c>
      <c r="J387" s="601" t="n"/>
      <c r="K387" s="601" t="inlineStr">
        <is>
          <t>CEW</t>
        </is>
      </c>
      <c r="L387" s="601" t="inlineStr">
        <is>
          <t>HR</t>
        </is>
      </c>
      <c r="M387" s="601" t="n"/>
      <c r="N387" s="601" t="n"/>
      <c r="O387" s="601" t="n"/>
      <c r="P387" s="601" t="n"/>
      <c r="Q387" s="557">
        <f>CONCATENATE(scheduleapr[[#This Row],[OD]],"-",scheduleapr[[#This Row],[ID]],"-",scheduleapr[[#This Row],[TICKNESS]],"-",scheduleapr[[#This Row],[Grade]],"-",scheduleapr[[#This Row],[FC/NFC]])</f>
        <v/>
      </c>
      <c r="R387" s="557">
        <f>_xlfn.CONCAT(scheduleapr[[#This Row],[Bucket]],"-",scheduleapr[[#This Row],[LENGTH]]/1000)</f>
        <v/>
      </c>
      <c r="S387" s="557">
        <f>COUNTIF([2]!buckets[CTL Bucket],[2]!scheduleapr[[#This Row],[CTL Bucket]])</f>
        <v/>
      </c>
      <c r="T387" s="557" t="n"/>
      <c r="U387" s="557" t="n"/>
      <c r="V387" s="557" t="n"/>
      <c r="W387" s="557" t="n"/>
      <c r="X387" s="599" t="n">
        <v>25.4</v>
      </c>
      <c r="Y387" s="599" t="n">
        <v>25.4</v>
      </c>
      <c r="Z387" s="599" t="n">
        <v>20.4</v>
      </c>
      <c r="AA387" s="599" t="n">
        <v>2.5</v>
      </c>
      <c r="AB387" s="600" t="n">
        <v>3730</v>
      </c>
      <c r="AC387" s="600" t="n"/>
      <c r="AD387" s="600" t="n"/>
      <c r="AE387" s="600" t="n"/>
      <c r="AF387" s="601" t="n"/>
      <c r="AG387" s="601" t="n"/>
      <c r="AH387" s="601">
        <f t="array" ref="AH3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7" s="602">
        <f>scheduleapr[[#This Row],[SCHEDULE in nos]]-scheduleapr[[#This Row],[DISPATCH]]</f>
        <v/>
      </c>
      <c r="AJ387" s="599">
        <f>(3.14*(scheduleapr[[#This Row],[ACTUAL OD]]-scheduleapr[[#This Row],[TICKNESS]])*scheduleapr[[#This Row],[TICKNESS]]*scheduleapr[[#This Row],[LENGTH]]*7.85)/1000000*scheduleapr[[#This Row],[SCHEDULE in nos]]/1000</f>
        <v/>
      </c>
      <c r="AK387" s="599">
        <f>(3.14*(scheduleapr[[#This Row],[ACTUAL OD]]-scheduleapr[[#This Row],[TICKNESS]])*scheduleapr[[#This Row],[TICKNESS]]*scheduleapr[[#This Row],[LENGTH]]*7.85)/1000000*scheduleapr[[#This Row],[DISPATCH]]/1000</f>
        <v/>
      </c>
      <c r="AL387" s="599">
        <f>AJ387-AK387</f>
        <v/>
      </c>
      <c r="AM387" s="599">
        <f>scheduleapr[[#This Row],[SCHEDULE in nos]]/scheduleapr[[#This Row],[SCHEDULE IN MT]]*scheduleapr[[#This Row],[CTL Stock]]</f>
        <v/>
      </c>
      <c r="AN387" s="599">
        <f>SUMIFS(stock[MT],stock[Bucket],scheduleapr[[#This Row],[Bucket]],stock[CTL Bucket],scheduleapr[[#This Row],[CTL Bucket]],stock[Plant],"0789")</f>
        <v/>
      </c>
      <c r="AO387" s="599" t="n"/>
      <c r="AP387" s="599">
        <f>SUMIFS(stock[MT],stock[Bucket],scheduleapr[[#This Row],[Bucket]],stock[LL or CTL],"LL")</f>
        <v/>
      </c>
      <c r="AQ387" s="599">
        <f>+SUMIFS(wip[Stock(Net Wt)],wip[Bucket],scheduleapr[[#This Row],[Bucket]])/1000</f>
        <v/>
      </c>
      <c r="AR387" s="599">
        <f>AJ387-AN387</f>
        <v/>
      </c>
      <c r="AS387" s="118" t="n"/>
    </row>
    <row r="388">
      <c r="A388" s="594" t="n">
        <v>331</v>
      </c>
      <c r="B388" s="5" t="inlineStr">
        <is>
          <t xml:space="preserve">Khopoli </t>
        </is>
      </c>
      <c r="C388" s="601" t="inlineStr">
        <is>
          <t>Rajsriya Automotive</t>
        </is>
      </c>
      <c r="D388" s="601" t="inlineStr">
        <is>
          <t>Rajsriya Automotive Hosur</t>
        </is>
      </c>
      <c r="E388" s="601" t="inlineStr">
        <is>
          <t>129695|187884|188415|189239|189240</t>
        </is>
      </c>
      <c r="F388" s="601" t="n">
        <v>503108</v>
      </c>
      <c r="G388" s="601">
        <f>_xlfn.CONCAT(scheduleapr[[#This Row],[CUSTOMER CODE]],"-",scheduleapr[[#This Row],[MATERIAL NO]])</f>
        <v/>
      </c>
      <c r="H388" s="601" t="inlineStr">
        <is>
          <t>PT3-I-C-AUT-AD-CH-25.50X2.320X0.485</t>
        </is>
      </c>
      <c r="I388" s="601" t="inlineStr">
        <is>
          <t>CEW</t>
        </is>
      </c>
      <c r="J388" s="601" t="n"/>
      <c r="K388" s="601" t="inlineStr">
        <is>
          <t>CEW</t>
        </is>
      </c>
      <c r="L388" s="601" t="inlineStr">
        <is>
          <t>HR</t>
        </is>
      </c>
      <c r="M388" s="601" t="n"/>
      <c r="N388" s="601" t="n"/>
      <c r="O388" s="601" t="n"/>
      <c r="P388" s="601" t="n"/>
      <c r="Q388" s="557">
        <f>CONCATENATE(scheduleapr[[#This Row],[OD]],"-",scheduleapr[[#This Row],[ID]],"-",scheduleapr[[#This Row],[TICKNESS]],"-",scheduleapr[[#This Row],[Grade]],"-",scheduleapr[[#This Row],[FC/NFC]])</f>
        <v/>
      </c>
      <c r="R388" s="557">
        <f>_xlfn.CONCAT(scheduleapr[[#This Row],[Bucket]],"-",scheduleapr[[#This Row],[LENGTH]]/1000)</f>
        <v/>
      </c>
      <c r="S388" s="557">
        <f>COUNTIF([2]!buckets[CTL Bucket],[2]!scheduleapr[[#This Row],[CTL Bucket]])</f>
        <v/>
      </c>
      <c r="T388" s="557" t="n"/>
      <c r="U388" s="557" t="n"/>
      <c r="V388" s="557" t="n"/>
      <c r="W388" s="557" t="n"/>
      <c r="X388" s="599" t="n">
        <v>25.5</v>
      </c>
      <c r="Y388" s="599" t="n">
        <v>30.15</v>
      </c>
      <c r="Z388" s="599" t="n">
        <v>25.5</v>
      </c>
      <c r="AA388" s="599" t="n">
        <v>2.32</v>
      </c>
      <c r="AB388" s="600" t="n">
        <v>485</v>
      </c>
      <c r="AC388" s="600" t="n"/>
      <c r="AD388" s="600" t="n"/>
      <c r="AE388" s="600" t="n"/>
      <c r="AF388" s="601" t="n">
        <v>25000</v>
      </c>
      <c r="AG388" s="601" t="inlineStr">
        <is>
          <t>Aug 2026 schedule · rajsriya PLANT-1</t>
        </is>
      </c>
      <c r="AH388" s="601">
        <f t="array" ref="AH3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8" s="602">
        <f>scheduleapr[[#This Row],[SCHEDULE in nos]]-scheduleapr[[#This Row],[DISPATCH]]</f>
        <v/>
      </c>
      <c r="AJ388" s="599">
        <f>(3.14*(scheduleapr[[#This Row],[ACTUAL OD]]-scheduleapr[[#This Row],[TICKNESS]])*scheduleapr[[#This Row],[TICKNESS]]*scheduleapr[[#This Row],[LENGTH]]*7.85)/1000000*scheduleapr[[#This Row],[SCHEDULE in nos]]/1000</f>
        <v/>
      </c>
      <c r="AK388" s="599">
        <f>(3.14*(scheduleapr[[#This Row],[ACTUAL OD]]-scheduleapr[[#This Row],[TICKNESS]])*scheduleapr[[#This Row],[TICKNESS]]*scheduleapr[[#This Row],[LENGTH]]*7.85)/1000000*scheduleapr[[#This Row],[DISPATCH]]/1000</f>
        <v/>
      </c>
      <c r="AL388" s="599">
        <f>AJ388-AK388</f>
        <v/>
      </c>
      <c r="AM388" s="599">
        <f>scheduleapr[[#This Row],[SCHEDULE in nos]]/scheduleapr[[#This Row],[SCHEDULE IN MT]]*scheduleapr[[#This Row],[CTL Stock]]</f>
        <v/>
      </c>
      <c r="AN388" s="599">
        <f>SUMIFS(stock[MT],stock[Bucket],scheduleapr[[#This Row],[Bucket]],stock[CTL Bucket],scheduleapr[[#This Row],[CTL Bucket]],stock[Plant],"0789")</f>
        <v/>
      </c>
      <c r="AO388" s="599" t="n"/>
      <c r="AP388" s="599">
        <f>SUMIFS(stock[MT],stock[Bucket],scheduleapr[[#This Row],[Bucket]],stock[LL or CTL],"LL")</f>
        <v/>
      </c>
      <c r="AQ388" s="599">
        <f>+SUMIFS(wip[Stock(Net Wt)],wip[Bucket],scheduleapr[[#This Row],[Bucket]])/1000</f>
        <v/>
      </c>
      <c r="AR388" s="599">
        <f>AJ388-AN388</f>
        <v/>
      </c>
      <c r="AS388" s="118" t="n"/>
    </row>
    <row r="389">
      <c r="A389" s="594" t="n">
        <v>382</v>
      </c>
      <c r="B389" s="5" t="inlineStr">
        <is>
          <t xml:space="preserve">Khopoli </t>
        </is>
      </c>
      <c r="C389" s="601" t="inlineStr">
        <is>
          <t>Rajsriya Unit 1</t>
        </is>
      </c>
      <c r="D389" s="601" t="inlineStr">
        <is>
          <t>Rajsriya Automotive Hosur</t>
        </is>
      </c>
      <c r="E389" s="601" t="inlineStr">
        <is>
          <t>129695|187884|188415|189239|189240</t>
        </is>
      </c>
      <c r="F389" s="601" t="n">
        <v>403040</v>
      </c>
      <c r="G389" s="601">
        <f>_xlfn.CONCAT(scheduleapr[[#This Row],[CUSTOMER CODE]],"-",scheduleapr[[#This Row],[MATERIAL NO]])</f>
        <v/>
      </c>
      <c r="H389" s="601" t="inlineStr">
        <is>
          <t>PT3-I-C-AUT-AD-CH-25.50X2.320X0.465</t>
        </is>
      </c>
      <c r="I389" s="601" t="inlineStr">
        <is>
          <t>CEW</t>
        </is>
      </c>
      <c r="J389" s="601" t="n"/>
      <c r="K389" s="601" t="inlineStr">
        <is>
          <t>CEW</t>
        </is>
      </c>
      <c r="L389" s="601" t="inlineStr">
        <is>
          <t>HR</t>
        </is>
      </c>
      <c r="M389" s="601" t="n"/>
      <c r="N389" s="601" t="inlineStr">
        <is>
          <t>Chamferring</t>
        </is>
      </c>
      <c r="O389" s="601" t="n"/>
      <c r="P389" s="601" t="n"/>
      <c r="Q389" s="557">
        <f>CONCATENATE(scheduleapr[[#This Row],[OD]],"-",scheduleapr[[#This Row],[ID]],"-",scheduleapr[[#This Row],[TICKNESS]],"-",scheduleapr[[#This Row],[Grade]],"-",scheduleapr[[#This Row],[FC/NFC]])</f>
        <v/>
      </c>
      <c r="R389" s="557">
        <f>_xlfn.CONCAT(scheduleapr[[#This Row],[Bucket]],"-",scheduleapr[[#This Row],[LENGTH]]/1000)</f>
        <v/>
      </c>
      <c r="S389" s="557">
        <f>COUNTIF(scheduleapr[CTL Bucket],scheduleapr[[#This Row],[CTL Bucket]])</f>
        <v/>
      </c>
      <c r="T389" s="601" t="inlineStr">
        <is>
          <t>Khopoli</t>
        </is>
      </c>
      <c r="U389" s="601">
        <f>_xlfn.IFNA(VLOOKUP(scheduleapr[[#This Row],[Bucket]],salesforecast[[#All],[Bucket2]:[8406 Stock]],19,0),0)</f>
        <v/>
      </c>
      <c r="V389" s="562">
        <f>_xlfn.IFNA(VLOOKUP(scheduleapr[[#This Row],[Bucket]],salesforecast[[#All],[Bucket2]:[8406 Stock]],20,0),0)+_xlfn.IFNA(VLOOKUP(scheduleapr[[#This Row],[Bucket]],salesforecast[[#All],[Bucket2]:[8406 Stock]],17,0),0)</f>
        <v/>
      </c>
      <c r="W389" s="557" t="n"/>
      <c r="X389" s="599" t="n">
        <v>30.15</v>
      </c>
      <c r="Y389" s="599" t="n">
        <v>30</v>
      </c>
      <c r="Z389" s="599" t="n">
        <v>25.5</v>
      </c>
      <c r="AA389" s="599" t="n">
        <v>2.25</v>
      </c>
      <c r="AB389" s="600" t="n">
        <v>465</v>
      </c>
      <c r="AC389" s="600" t="inlineStr">
        <is>
          <t>NOS</t>
        </is>
      </c>
      <c r="AD389" s="600" t="n"/>
      <c r="AE389" s="600" t="n"/>
      <c r="AF389" s="601" t="n"/>
      <c r="AG389" s="601" t="n"/>
      <c r="AH389" s="601">
        <f t="array" ref="AH3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89" s="602">
        <f>scheduleapr[[#This Row],[SCHEDULE in nos]]-scheduleapr[[#This Row],[DISPATCH]]</f>
        <v/>
      </c>
      <c r="AJ389" s="599">
        <f>(3.14*(scheduleapr[[#This Row],[ACTUAL OD]]-scheduleapr[[#This Row],[TICKNESS]])*scheduleapr[[#This Row],[TICKNESS]]*scheduleapr[[#This Row],[LENGTH]]*7.85)/1000000*scheduleapr[[#This Row],[SCHEDULE in nos]]/1000</f>
        <v/>
      </c>
      <c r="AK389" s="599">
        <f>(3.14*(scheduleapr[[#This Row],[ACTUAL OD]]-scheduleapr[[#This Row],[TICKNESS]])*scheduleapr[[#This Row],[TICKNESS]]*scheduleapr[[#This Row],[LENGTH]]*7.85)/1000000*scheduleapr[[#This Row],[DISPATCH]]/1000</f>
        <v/>
      </c>
      <c r="AL389" s="599">
        <f>AJ389-AK389</f>
        <v/>
      </c>
      <c r="AM389" s="599">
        <f>scheduleapr[[#This Row],[SCHEDULE in nos]]/scheduleapr[[#This Row],[SCHEDULE IN MT]]*scheduleapr[[#This Row],[CTL Stock]]</f>
        <v/>
      </c>
      <c r="AN389" s="599">
        <f>SUMIFS(stock[MT],stock[Bucket],scheduleapr[[#This Row],[Bucket]],stock[CTL Bucket],scheduleapr[[#This Row],[CTL Bucket]],stock[Plant],"0789")</f>
        <v/>
      </c>
      <c r="AO389" s="599" t="n"/>
      <c r="AP389" s="599">
        <f>SUMIFS(stock[MT],stock[Bucket],scheduleapr[[#This Row],[Bucket]],stock[LL or CTL],"LL")</f>
        <v/>
      </c>
      <c r="AQ389" s="599">
        <f>+SUMIFS(wip[Stock(Net Wt)],wip[Bucket],scheduleapr[[#This Row],[Bucket]])/1000</f>
        <v/>
      </c>
      <c r="AR389" s="599">
        <f>AJ389-AN389</f>
        <v/>
      </c>
      <c r="AS389" s="118" t="n"/>
    </row>
    <row r="390">
      <c r="A390" s="594" t="n">
        <v>459</v>
      </c>
      <c r="B390" s="5" t="inlineStr">
        <is>
          <t xml:space="preserve">Khopoli </t>
        </is>
      </c>
      <c r="C390" s="601" t="inlineStr">
        <is>
          <t>Rajsriya Unit 1</t>
        </is>
      </c>
      <c r="D390" s="601" t="inlineStr">
        <is>
          <t>Rajsriya Automotive Hosur</t>
        </is>
      </c>
      <c r="E390" s="601" t="inlineStr">
        <is>
          <t>129695|187884|188415|189239|189240</t>
        </is>
      </c>
      <c r="F390" s="601" t="n">
        <v>2359755</v>
      </c>
      <c r="G390" s="601">
        <f>_xlfn.CONCAT(scheduleapr[[#This Row],[CUSTOMER CODE]],"-",scheduleapr[[#This Row],[MATERIAL NO]])</f>
        <v/>
      </c>
      <c r="H390" s="601" t="inlineStr">
        <is>
          <t>TUB-O-C-AUT-AD-FC-30.00X2.250X0.4850</t>
        </is>
      </c>
      <c r="I390" s="601" t="inlineStr">
        <is>
          <t>CEW</t>
        </is>
      </c>
      <c r="J390" s="601" t="n"/>
      <c r="K390" s="601" t="inlineStr">
        <is>
          <t>CEW</t>
        </is>
      </c>
      <c r="L390" s="601" t="inlineStr">
        <is>
          <t>HR</t>
        </is>
      </c>
      <c r="M390" s="601" t="n"/>
      <c r="N390" s="601" t="inlineStr">
        <is>
          <t>Chamferring</t>
        </is>
      </c>
      <c r="O390" s="601" t="n"/>
      <c r="P390" s="601" t="n"/>
      <c r="Q390" s="557">
        <f>CONCATENATE(scheduleapr[[#This Row],[OD]],"-",scheduleapr[[#This Row],[ID]],"-",scheduleapr[[#This Row],[TICKNESS]],"-",scheduleapr[[#This Row],[Grade]],"-",scheduleapr[[#This Row],[FC/NFC]])</f>
        <v/>
      </c>
      <c r="R390" s="557">
        <f>_xlfn.CONCAT(scheduleapr[[#This Row],[Bucket]],"-",scheduleapr[[#This Row],[LENGTH]]/1000)</f>
        <v/>
      </c>
      <c r="S390" s="557">
        <f>COUNTIF(scheduleapr[CTL Bucket],scheduleapr[[#This Row],[CTL Bucket]])</f>
        <v/>
      </c>
      <c r="T390" s="601" t="inlineStr">
        <is>
          <t>Khopoli</t>
        </is>
      </c>
      <c r="U390" s="601">
        <f>_xlfn.IFNA(VLOOKUP(scheduleapr[[#This Row],[Bucket]],salesforecast[[#All],[Bucket2]:[8406 Stock]],19,0),0)</f>
        <v/>
      </c>
      <c r="V390" s="562">
        <f>_xlfn.IFNA(VLOOKUP(scheduleapr[[#This Row],[Bucket]],salesforecast[[#All],[Bucket2]:[8406 Stock]],20,0),0)+_xlfn.IFNA(VLOOKUP(scheduleapr[[#This Row],[Bucket]],salesforecast[[#All],[Bucket2]:[8406 Stock]],17,0),0)</f>
        <v/>
      </c>
      <c r="W390" s="557" t="n"/>
      <c r="X390" s="599" t="n">
        <v>30.15</v>
      </c>
      <c r="Y390" s="599" t="n">
        <v>30</v>
      </c>
      <c r="Z390" s="599" t="n">
        <v>25.5</v>
      </c>
      <c r="AA390" s="599" t="n">
        <v>2.25</v>
      </c>
      <c r="AB390" s="600" t="n">
        <v>485</v>
      </c>
      <c r="AC390" s="600" t="inlineStr">
        <is>
          <t>NOS</t>
        </is>
      </c>
      <c r="AD390" s="600" t="n"/>
      <c r="AE390" s="600" t="n"/>
      <c r="AF390" s="601" t="n"/>
      <c r="AG390" s="601" t="n"/>
      <c r="AH390" s="601">
        <f t="array" ref="AH3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0" s="602">
        <f>scheduleapr[[#This Row],[SCHEDULE in nos]]-scheduleapr[[#This Row],[DISPATCH]]</f>
        <v/>
      </c>
      <c r="AJ390" s="599">
        <f>(3.14*(scheduleapr[[#This Row],[ACTUAL OD]]-scheduleapr[[#This Row],[TICKNESS]])*scheduleapr[[#This Row],[TICKNESS]]*scheduleapr[[#This Row],[LENGTH]]*7.85)/1000000*scheduleapr[[#This Row],[SCHEDULE in nos]]/1000</f>
        <v/>
      </c>
      <c r="AK390" s="599">
        <f>(3.14*(scheduleapr[[#This Row],[ACTUAL OD]]-scheduleapr[[#This Row],[TICKNESS]])*scheduleapr[[#This Row],[TICKNESS]]*scheduleapr[[#This Row],[LENGTH]]*7.85)/1000000*scheduleapr[[#This Row],[DISPATCH]]/1000</f>
        <v/>
      </c>
      <c r="AL390" s="599">
        <f>AJ390-AK390</f>
        <v/>
      </c>
      <c r="AM390" s="599">
        <f>scheduleapr[[#This Row],[SCHEDULE in nos]]/scheduleapr[[#This Row],[SCHEDULE IN MT]]*scheduleapr[[#This Row],[CTL Stock]]</f>
        <v/>
      </c>
      <c r="AN390" s="599">
        <f>SUMIFS(stock[MT],stock[Bucket],scheduleapr[[#This Row],[Bucket]],stock[CTL Bucket],scheduleapr[[#This Row],[CTL Bucket]],stock[Plant],"0789")</f>
        <v/>
      </c>
      <c r="AO390" s="599" t="n"/>
      <c r="AP390" s="599">
        <f>SUMIFS(stock[MT],stock[Bucket],scheduleapr[[#This Row],[Bucket]],stock[LL or CTL],"LL")</f>
        <v/>
      </c>
      <c r="AQ390" s="599">
        <f>+SUMIFS(wip[Stock(Net Wt)],wip[Bucket],scheduleapr[[#This Row],[Bucket]])/1000</f>
        <v/>
      </c>
      <c r="AR390" s="599">
        <f>AJ390-AN390</f>
        <v/>
      </c>
      <c r="AS390" s="118" t="n"/>
    </row>
    <row r="391">
      <c r="A391" s="594" t="n">
        <v>333</v>
      </c>
      <c r="B391" s="5" t="inlineStr">
        <is>
          <t>Hosur</t>
        </is>
      </c>
      <c r="C391" s="601" t="inlineStr">
        <is>
          <t>Rajsriya Automotive</t>
        </is>
      </c>
      <c r="D391" s="48" t="inlineStr">
        <is>
          <t>Rajsriya Automotive Hosur</t>
        </is>
      </c>
      <c r="E391" s="601" t="inlineStr">
        <is>
          <t>129695|187884|188415|189239|189240</t>
        </is>
      </c>
      <c r="F391" s="601" t="n"/>
      <c r="G391" s="601">
        <f>_xlfn.CONCAT(scheduleapr[[#This Row],[CUSTOMER CODE]],"-",scheduleapr[[#This Row],[MATERIAL NO]])</f>
        <v/>
      </c>
      <c r="H391" s="601" t="n"/>
      <c r="I391" s="601" t="inlineStr">
        <is>
          <t>CEW</t>
        </is>
      </c>
      <c r="J391" s="601" t="n"/>
      <c r="K391" s="601" t="inlineStr">
        <is>
          <t>CEW</t>
        </is>
      </c>
      <c r="L391" s="601" t="inlineStr">
        <is>
          <t>HR</t>
        </is>
      </c>
      <c r="M391" s="601" t="n"/>
      <c r="N391" s="601" t="n"/>
      <c r="O391" s="601" t="n"/>
      <c r="P391" s="601" t="n"/>
      <c r="Q391" s="557">
        <f>CONCATENATE(scheduleapr[[#This Row],[OD]],"-",scheduleapr[[#This Row],[ID]],"-",scheduleapr[[#This Row],[TICKNESS]],"-",scheduleapr[[#This Row],[Grade]],"-",scheduleapr[[#This Row],[FC/NFC]])</f>
        <v/>
      </c>
      <c r="R391" s="557">
        <f>_xlfn.CONCAT(scheduleapr[[#This Row],[Bucket]],"-",scheduleapr[[#This Row],[LENGTH]]/1000)</f>
        <v/>
      </c>
      <c r="S391" s="557">
        <f>COUNTIF([2]!buckets[CTL Bucket],[2]!scheduleapr[[#This Row],[CTL Bucket]])</f>
        <v/>
      </c>
      <c r="T391" s="557" t="n"/>
      <c r="U391" s="557" t="n"/>
      <c r="V391" s="557" t="n"/>
      <c r="W391" s="557" t="n"/>
      <c r="X391" s="599" t="n">
        <v>36</v>
      </c>
      <c r="Y391" s="599" t="n">
        <v>36</v>
      </c>
      <c r="Z391" s="599" t="n">
        <v>34</v>
      </c>
      <c r="AA391" s="599" t="n">
        <v>0.91</v>
      </c>
      <c r="AB391" s="600" t="n">
        <v>168</v>
      </c>
      <c r="AC391" s="600" t="n"/>
      <c r="AD391" s="600" t="n"/>
      <c r="AE391" s="600" t="n"/>
      <c r="AF391" s="601" t="n"/>
      <c r="AG391" s="601" t="n"/>
      <c r="AH391" s="601">
        <f t="array" ref="AH3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1" s="602">
        <f>scheduleapr[[#This Row],[SCHEDULE in nos]]-scheduleapr[[#This Row],[DISPATCH]]</f>
        <v/>
      </c>
      <c r="AJ391" s="599">
        <f>(3.14*(scheduleapr[[#This Row],[ACTUAL OD]]-scheduleapr[[#This Row],[TICKNESS]])*scheduleapr[[#This Row],[TICKNESS]]*scheduleapr[[#This Row],[LENGTH]]*7.85)/1000000*scheduleapr[[#This Row],[SCHEDULE in nos]]/1000</f>
        <v/>
      </c>
      <c r="AK391" s="599">
        <f>(3.14*(scheduleapr[[#This Row],[ACTUAL OD]]-scheduleapr[[#This Row],[TICKNESS]])*scheduleapr[[#This Row],[TICKNESS]]*scheduleapr[[#This Row],[LENGTH]]*7.85)/1000000*scheduleapr[[#This Row],[DISPATCH]]/1000</f>
        <v/>
      </c>
      <c r="AL391" s="599">
        <f>AJ391-AK391</f>
        <v/>
      </c>
      <c r="AM391" s="599">
        <f>scheduleapr[[#This Row],[SCHEDULE in nos]]/scheduleapr[[#This Row],[SCHEDULE IN MT]]*scheduleapr[[#This Row],[CTL Stock]]</f>
        <v/>
      </c>
      <c r="AN391" s="599">
        <f>SUMIFS(stock[MT],stock[Bucket],scheduleapr[[#This Row],[Bucket]],stock[CTL Bucket],scheduleapr[[#This Row],[CTL Bucket]],stock[Plant],"0789")</f>
        <v/>
      </c>
      <c r="AO391" s="599" t="n"/>
      <c r="AP391" s="599">
        <f>SUMIFS(stock[MT],stock[Bucket],scheduleapr[[#This Row],[Bucket]],stock[LL or CTL],"LL")</f>
        <v/>
      </c>
      <c r="AQ391" s="599">
        <f>+SUMIFS(wip[Stock(Net Wt)],wip[Bucket],scheduleapr[[#This Row],[Bucket]])/1000</f>
        <v/>
      </c>
      <c r="AR391" s="599">
        <f>AJ391-AN391</f>
        <v/>
      </c>
      <c r="AS391" s="118" t="n"/>
    </row>
    <row r="392">
      <c r="A392" s="594" t="n">
        <v>380</v>
      </c>
      <c r="B392" s="5" t="inlineStr">
        <is>
          <t>Hosur</t>
        </is>
      </c>
      <c r="C392" s="601" t="inlineStr">
        <is>
          <t>Rajsriya Unit 1</t>
        </is>
      </c>
      <c r="D392" s="601" t="inlineStr">
        <is>
          <t>Rajsriya Automotive Hosur</t>
        </is>
      </c>
      <c r="E392" s="601" t="inlineStr">
        <is>
          <t>129695|187884|188415|189239|189240</t>
        </is>
      </c>
      <c r="F392" s="557" t="n"/>
      <c r="G392" s="601">
        <f>_xlfn.CONCAT(scheduleapr[[#This Row],[CUSTOMER CODE]],"-",scheduleapr[[#This Row],[MATERIAL NO]])</f>
        <v/>
      </c>
      <c r="H392" s="557" t="n"/>
      <c r="I392" s="557" t="inlineStr">
        <is>
          <t>CEW</t>
        </is>
      </c>
      <c r="J392" s="557" t="n"/>
      <c r="K392" s="557" t="n"/>
      <c r="L392" s="557" t="n"/>
      <c r="M392" s="557" t="n"/>
      <c r="N392" s="557" t="n"/>
      <c r="O392" s="557" t="n"/>
      <c r="P392" s="557" t="n"/>
      <c r="Q392" s="557">
        <f>CONCATENATE(scheduleapr[[#This Row],[OD]],"-",scheduleapr[[#This Row],[ID]],"-",scheduleapr[[#This Row],[TICKNESS]],"-",scheduleapr[[#This Row],[Grade]],"-",scheduleapr[[#This Row],[FC/NFC]])</f>
        <v/>
      </c>
      <c r="R392" s="557">
        <f>_xlfn.CONCAT(scheduleapr[[#This Row],[Bucket]],"-",scheduleapr[[#This Row],[LENGTH]]/1000)</f>
        <v/>
      </c>
      <c r="S392" s="557">
        <f>COUNTIF([2]!buckets[CTL Bucket],[2]!scheduleapr[[#This Row],[CTL Bucket]])</f>
        <v/>
      </c>
      <c r="T392" s="601" t="n"/>
      <c r="U392" s="601" t="n"/>
      <c r="V392" s="601" t="n"/>
      <c r="W392" s="601" t="n"/>
      <c r="X392" s="559" t="n">
        <v>36</v>
      </c>
      <c r="Y392" s="559" t="n">
        <v>36</v>
      </c>
      <c r="Z392" s="559" t="n">
        <v>34</v>
      </c>
      <c r="AA392" s="599" t="n">
        <v>0.91</v>
      </c>
      <c r="AB392" s="600" t="n">
        <v>168</v>
      </c>
      <c r="AC392" s="600" t="inlineStr">
        <is>
          <t>NOS</t>
        </is>
      </c>
      <c r="AD392" s="600" t="n"/>
      <c r="AE392" s="600" t="n"/>
      <c r="AF392" s="601" t="n"/>
      <c r="AG392" s="601" t="n"/>
      <c r="AH392" s="601">
        <f t="array" ref="AH3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2" s="602">
        <f>scheduleapr[[#This Row],[SCHEDULE in nos]]-scheduleapr[[#This Row],[DISPATCH]]</f>
        <v/>
      </c>
      <c r="AJ392" s="599">
        <f>(3.14*(scheduleapr[[#This Row],[ACTUAL OD]]-scheduleapr[[#This Row],[TICKNESS]])*scheduleapr[[#This Row],[TICKNESS]]*scheduleapr[[#This Row],[LENGTH]]*7.85)/1000000*scheduleapr[[#This Row],[SCHEDULE in nos]]/1000</f>
        <v/>
      </c>
      <c r="AK392" s="599">
        <f>(3.14*(scheduleapr[[#This Row],[ACTUAL OD]]-scheduleapr[[#This Row],[TICKNESS]])*scheduleapr[[#This Row],[TICKNESS]]*scheduleapr[[#This Row],[LENGTH]]*7.85)/1000000*scheduleapr[[#This Row],[DISPATCH]]/1000</f>
        <v/>
      </c>
      <c r="AL392" s="599">
        <f>AJ392-AK392</f>
        <v/>
      </c>
      <c r="AM392" s="599">
        <f>scheduleapr[[#This Row],[SCHEDULE in nos]]/scheduleapr[[#This Row],[SCHEDULE IN MT]]*scheduleapr[[#This Row],[CTL Stock]]</f>
        <v/>
      </c>
      <c r="AN392" s="599">
        <f>SUMIFS(stock[MT],stock[Bucket],scheduleapr[[#This Row],[Bucket]],stock[CTL Bucket],scheduleapr[[#This Row],[CTL Bucket]],stock[Plant],"0789")</f>
        <v/>
      </c>
      <c r="AO392" s="599" t="n"/>
      <c r="AP392" s="599">
        <f>SUMIFS(stock[MT],stock[Bucket],scheduleapr[[#This Row],[Bucket]],stock[LL or CTL],"LL")</f>
        <v/>
      </c>
      <c r="AQ392" s="599">
        <f>+SUMIFS(wip[Stock(Net Wt)],wip[Bucket],scheduleapr[[#This Row],[Bucket]])/1000</f>
        <v/>
      </c>
      <c r="AR392" s="599">
        <f>AJ392-AN392</f>
        <v/>
      </c>
      <c r="AS392" s="118" t="n"/>
    </row>
    <row r="393">
      <c r="A393" s="594" t="n">
        <v>471</v>
      </c>
      <c r="B393" s="5" t="inlineStr">
        <is>
          <t xml:space="preserve">Khopoli </t>
        </is>
      </c>
      <c r="C393" s="601" t="inlineStr">
        <is>
          <t>Rajsriya Unit 1</t>
        </is>
      </c>
      <c r="D393" s="48" t="inlineStr">
        <is>
          <t>Rajsriya Automotive Hosur</t>
        </is>
      </c>
      <c r="E393" s="601" t="inlineStr">
        <is>
          <t>129695|187884|188415|189239|189240</t>
        </is>
      </c>
      <c r="F393" s="601" t="n">
        <v>1938125</v>
      </c>
      <c r="G393" s="601">
        <f>_xlfn.CONCAT(scheduleapr[[#This Row],[CUSTOMER CODE]],"-",scheduleapr[[#This Row],[MATERIAL NO]])</f>
        <v/>
      </c>
      <c r="H393" s="601" t="inlineStr">
        <is>
          <t>TUB-I-C-AUT-AN-FC-34.00X2.500X0.2720</t>
        </is>
      </c>
      <c r="I393" s="601" t="inlineStr">
        <is>
          <t>CEW</t>
        </is>
      </c>
      <c r="J393" s="601" t="n"/>
      <c r="K393" s="601" t="inlineStr">
        <is>
          <t>CEW</t>
        </is>
      </c>
      <c r="L393" s="601" t="inlineStr">
        <is>
          <t>HR</t>
        </is>
      </c>
      <c r="M393" s="601" t="n"/>
      <c r="N393" s="601" t="inlineStr">
        <is>
          <t>Chamferring</t>
        </is>
      </c>
      <c r="O393" s="601" t="n"/>
      <c r="P393" s="601" t="n"/>
      <c r="Q393" s="557">
        <f>CONCATENATE(scheduleapr[[#This Row],[OD]],"-",scheduleapr[[#This Row],[ID]],"-",scheduleapr[[#This Row],[TICKNESS]],"-",scheduleapr[[#This Row],[Grade]],"-",scheduleapr[[#This Row],[FC/NFC]])</f>
        <v/>
      </c>
      <c r="R393" s="557">
        <f>_xlfn.CONCAT(scheduleapr[[#This Row],[Bucket]],"-",scheduleapr[[#This Row],[LENGTH]]/1000)</f>
        <v/>
      </c>
      <c r="S393" s="557">
        <f>COUNTIF(scheduleapr[CTL Bucket],scheduleapr[[#This Row],[CTL Bucket]])</f>
        <v/>
      </c>
      <c r="T393" s="601" t="inlineStr">
        <is>
          <t>Khopoli</t>
        </is>
      </c>
      <c r="U393" s="601">
        <f>_xlfn.IFNA(VLOOKUP(scheduleapr[[#This Row],[Bucket]],salesforecast[[#All],[Bucket2]:[8406 Stock]],19,0),0)</f>
        <v/>
      </c>
      <c r="V393" s="562">
        <f>_xlfn.IFNA(VLOOKUP(scheduleapr[[#This Row],[Bucket]],salesforecast[[#All],[Bucket2]:[8406 Stock]],20,0),0)+_xlfn.IFNA(VLOOKUP(scheduleapr[[#This Row],[Bucket]],salesforecast[[#All],[Bucket2]:[8406 Stock]],17,0),0)</f>
        <v/>
      </c>
      <c r="W393" s="557" t="n"/>
      <c r="X393" s="599" t="n">
        <v>39</v>
      </c>
      <c r="Y393" s="599" t="n">
        <v>39</v>
      </c>
      <c r="Z393" s="599" t="n">
        <v>34</v>
      </c>
      <c r="AA393" s="599" t="n">
        <v>2.5</v>
      </c>
      <c r="AB393" s="600" t="n">
        <v>272</v>
      </c>
      <c r="AC393" s="600" t="inlineStr">
        <is>
          <t>NOS</t>
        </is>
      </c>
      <c r="AD393" s="600" t="n"/>
      <c r="AE393" s="600" t="n"/>
      <c r="AF393" s="601" t="n">
        <v>25000</v>
      </c>
      <c r="AG393" s="601" t="inlineStr">
        <is>
          <t>Aug 2026 schedule · rajsriya PLANT-1</t>
        </is>
      </c>
      <c r="AH393" s="601">
        <f t="array" ref="AH3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3" s="602">
        <f>scheduleapr[[#This Row],[SCHEDULE in nos]]-scheduleapr[[#This Row],[DISPATCH]]</f>
        <v/>
      </c>
      <c r="AJ393" s="599">
        <f>(3.14*(scheduleapr[[#This Row],[ACTUAL OD]]-scheduleapr[[#This Row],[TICKNESS]])*scheduleapr[[#This Row],[TICKNESS]]*scheduleapr[[#This Row],[LENGTH]]*7.85)/1000000*scheduleapr[[#This Row],[SCHEDULE in nos]]/1000</f>
        <v/>
      </c>
      <c r="AK393" s="599">
        <f>(3.14*(scheduleapr[[#This Row],[ACTUAL OD]]-scheduleapr[[#This Row],[TICKNESS]])*scheduleapr[[#This Row],[TICKNESS]]*scheduleapr[[#This Row],[LENGTH]]*7.85)/1000000*scheduleapr[[#This Row],[DISPATCH]]/1000</f>
        <v/>
      </c>
      <c r="AL393" s="599">
        <f>AJ393-AK393</f>
        <v/>
      </c>
      <c r="AM393" s="599">
        <f>scheduleapr[[#This Row],[SCHEDULE in nos]]/scheduleapr[[#This Row],[SCHEDULE IN MT]]*scheduleapr[[#This Row],[CTL Stock]]</f>
        <v/>
      </c>
      <c r="AN393" s="599">
        <f>SUMIFS(stock[MT],stock[Bucket],scheduleapr[[#This Row],[Bucket]],stock[CTL Bucket],scheduleapr[[#This Row],[CTL Bucket]],stock[Plant],"0789")</f>
        <v/>
      </c>
      <c r="AO393" s="599" t="n"/>
      <c r="AP393" s="599">
        <f>SUMIFS(stock[MT],stock[Bucket],scheduleapr[[#This Row],[Bucket]],stock[LL or CTL],"LL")</f>
        <v/>
      </c>
      <c r="AQ393" s="599">
        <f>+SUMIFS(wip[Stock(Net Wt)],wip[Bucket],scheduleapr[[#This Row],[Bucket]])/1000</f>
        <v/>
      </c>
      <c r="AR393" s="599">
        <f>AJ393-AN393</f>
        <v/>
      </c>
      <c r="AS393" s="118" t="n"/>
    </row>
    <row r="394">
      <c r="A394" s="594" t="n">
        <v>338</v>
      </c>
      <c r="B394" s="5" t="inlineStr">
        <is>
          <t xml:space="preserve">Khopoli </t>
        </is>
      </c>
      <c r="C394" s="601" t="inlineStr">
        <is>
          <t>Rajsriya Automotive</t>
        </is>
      </c>
      <c r="D394" s="601" t="inlineStr">
        <is>
          <t>Rajsriya Automotive Hosur</t>
        </is>
      </c>
      <c r="E394" s="601" t="inlineStr">
        <is>
          <t>129695|187884|188415|189239|189240</t>
        </is>
      </c>
      <c r="F394" s="601" t="n">
        <v>2426233</v>
      </c>
      <c r="G394" s="601">
        <f>_xlfn.CONCAT(scheduleapr[[#This Row],[CUSTOMER CODE]],"-",scheduleapr[[#This Row],[MATERIAL NO]])</f>
        <v/>
      </c>
      <c r="H394" s="601" t="inlineStr">
        <is>
          <t>TUB-O-N-AUT-AN-FC-42.70X4.000X5.7300</t>
        </is>
      </c>
      <c r="I394" s="601" t="inlineStr">
        <is>
          <t>CEW</t>
        </is>
      </c>
      <c r="J394" s="601" t="inlineStr">
        <is>
          <t>Annealed</t>
        </is>
      </c>
      <c r="K394" s="601" t="inlineStr">
        <is>
          <t>CEW</t>
        </is>
      </c>
      <c r="L394" s="601" t="inlineStr">
        <is>
          <t>HR</t>
        </is>
      </c>
      <c r="M394" s="601" t="n"/>
      <c r="N394" s="601" t="n"/>
      <c r="O394" s="601" t="n"/>
      <c r="P394" s="601" t="n"/>
      <c r="Q394" s="557">
        <f>CONCATENATE(scheduleapr[[#This Row],[OD]],"-",scheduleapr[[#This Row],[ID]],"-",scheduleapr[[#This Row],[TICKNESS]],"-",scheduleapr[[#This Row],[Grade]],"-",scheduleapr[[#This Row],[FC/NFC]])</f>
        <v/>
      </c>
      <c r="R394" s="557">
        <f>_xlfn.CONCAT(scheduleapr[[#This Row],[Bucket]],"-",scheduleapr[[#This Row],[LENGTH]]/1000)</f>
        <v/>
      </c>
      <c r="S394" s="557">
        <f>COUNTIF([2]!buckets[CTL Bucket],[2]!scheduleapr[[#This Row],[CTL Bucket]])</f>
        <v/>
      </c>
      <c r="T394" s="557" t="n"/>
      <c r="U394" s="557" t="n"/>
      <c r="V394" s="557" t="n"/>
      <c r="W394" s="557" t="n"/>
      <c r="X394" s="599" t="n">
        <v>42.7</v>
      </c>
      <c r="Y394" s="599" t="n">
        <v>42.7</v>
      </c>
      <c r="Z394" s="599" t="n">
        <v>0</v>
      </c>
      <c r="AA394" s="599" t="n">
        <v>4</v>
      </c>
      <c r="AB394" s="600" t="n">
        <v>5739</v>
      </c>
      <c r="AC394" s="600" t="n"/>
      <c r="AD394" s="600" t="n"/>
      <c r="AE394" s="600" t="n"/>
      <c r="AF394" s="601" t="n"/>
      <c r="AG394" s="601" t="n"/>
      <c r="AH394" s="601">
        <f t="array" ref="AH3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4" s="602">
        <f>scheduleapr[[#This Row],[SCHEDULE in nos]]-scheduleapr[[#This Row],[DISPATCH]]</f>
        <v/>
      </c>
      <c r="AJ394" s="599">
        <f>(3.14*(scheduleapr[[#This Row],[ACTUAL OD]]-scheduleapr[[#This Row],[TICKNESS]])*scheduleapr[[#This Row],[TICKNESS]]*scheduleapr[[#This Row],[LENGTH]]*7.85)/1000000*scheduleapr[[#This Row],[SCHEDULE in nos]]/1000</f>
        <v/>
      </c>
      <c r="AK394" s="599">
        <f>(3.14*(scheduleapr[[#This Row],[ACTUAL OD]]-scheduleapr[[#This Row],[TICKNESS]])*scheduleapr[[#This Row],[TICKNESS]]*scheduleapr[[#This Row],[LENGTH]]*7.85)/1000000*scheduleapr[[#This Row],[DISPATCH]]/1000</f>
        <v/>
      </c>
      <c r="AL394" s="599">
        <f>AJ394-AK394</f>
        <v/>
      </c>
      <c r="AM394" s="599">
        <f>scheduleapr[[#This Row],[SCHEDULE in nos]]/scheduleapr[[#This Row],[SCHEDULE IN MT]]*scheduleapr[[#This Row],[CTL Stock]]</f>
        <v/>
      </c>
      <c r="AN394" s="599">
        <f>SUMIFS(stock[MT],stock[Bucket],scheduleapr[[#This Row],[Bucket]],stock[CTL Bucket],scheduleapr[[#This Row],[CTL Bucket]],stock[Plant],"0789")</f>
        <v/>
      </c>
      <c r="AO394" s="599" t="n"/>
      <c r="AP394" s="599">
        <f>SUMIFS(stock[MT],stock[Bucket],scheduleapr[[#This Row],[Bucket]],stock[LL or CTL],"LL")</f>
        <v/>
      </c>
      <c r="AQ394" s="599">
        <f>+SUMIFS(wip[Stock(Net Wt)],wip[Bucket],scheduleapr[[#This Row],[Bucket]])/1000</f>
        <v/>
      </c>
      <c r="AR394" s="599">
        <f>AJ394-AN394</f>
        <v/>
      </c>
      <c r="AS394" s="118" t="n"/>
    </row>
    <row r="395">
      <c r="A395" s="594" t="n">
        <v>346</v>
      </c>
      <c r="B395" s="5" t="inlineStr">
        <is>
          <t xml:space="preserve">Khopoli </t>
        </is>
      </c>
      <c r="C395" s="601" t="inlineStr">
        <is>
          <t>Rajsriya Automotive</t>
        </is>
      </c>
      <c r="D395" s="601" t="inlineStr">
        <is>
          <t>Rajsriya Automotive Hosur</t>
        </is>
      </c>
      <c r="E395" s="601" t="inlineStr">
        <is>
          <t>129695|187884|188415|189239|189240</t>
        </is>
      </c>
      <c r="F395" s="601" t="n">
        <v>3594528</v>
      </c>
      <c r="G395" s="601">
        <f>_xlfn.CONCAT(scheduleapr[[#This Row],[CUSTOMER CODE]],"-",scheduleapr[[#This Row],[MATERIAL NO]])</f>
        <v/>
      </c>
      <c r="H395" s="601" t="inlineStr">
        <is>
          <t>TUB-O-N-AUT-AW-FC-60.30X2.000X6.0000</t>
        </is>
      </c>
      <c r="I395" s="601" t="inlineStr">
        <is>
          <t>CEW</t>
        </is>
      </c>
      <c r="J395" s="601" t="n"/>
      <c r="K395" s="601" t="inlineStr">
        <is>
          <t>CEW</t>
        </is>
      </c>
      <c r="L395" s="601" t="inlineStr">
        <is>
          <t>HR</t>
        </is>
      </c>
      <c r="M395" s="601" t="n"/>
      <c r="N395" s="601" t="n"/>
      <c r="O395" s="601" t="n"/>
      <c r="P395" s="601" t="n"/>
      <c r="Q395" s="557">
        <f>CONCATENATE(scheduleapr[[#This Row],[OD]],"-",scheduleapr[[#This Row],[ID]],"-",scheduleapr[[#This Row],[TICKNESS]],"-",scheduleapr[[#This Row],[Grade]],"-",scheduleapr[[#This Row],[FC/NFC]])</f>
        <v/>
      </c>
      <c r="R395" s="557">
        <f>_xlfn.CONCAT(scheduleapr[[#This Row],[Bucket]],"-",scheduleapr[[#This Row],[LENGTH]]/1000)</f>
        <v/>
      </c>
      <c r="S395" s="557">
        <f>COUNTIF([2]!buckets[CTL Bucket],[2]!scheduleapr[[#This Row],[CTL Bucket]])</f>
        <v/>
      </c>
      <c r="T395" s="557" t="n"/>
      <c r="U395" s="557" t="n"/>
      <c r="V395" s="557" t="n"/>
      <c r="W395" s="557" t="n"/>
      <c r="X395" s="599" t="n">
        <v>60.3</v>
      </c>
      <c r="Y395" s="599" t="n">
        <v>60.3</v>
      </c>
      <c r="Z395" s="599" t="n">
        <v>0</v>
      </c>
      <c r="AA395" s="599" t="n">
        <v>2</v>
      </c>
      <c r="AB395" s="600" t="n">
        <v>6000</v>
      </c>
      <c r="AC395" s="600" t="n"/>
      <c r="AD395" s="600" t="n"/>
      <c r="AE395" s="600" t="n"/>
      <c r="AF395" s="601" t="n"/>
      <c r="AG395" s="601" t="n"/>
      <c r="AH395" s="601">
        <f t="array" ref="AH3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5" s="602">
        <f>scheduleapr[[#This Row],[SCHEDULE in nos]]-scheduleapr[[#This Row],[DISPATCH]]</f>
        <v/>
      </c>
      <c r="AJ395" s="599">
        <f>(3.14*(scheduleapr[[#This Row],[ACTUAL OD]]-scheduleapr[[#This Row],[TICKNESS]])*scheduleapr[[#This Row],[TICKNESS]]*scheduleapr[[#This Row],[LENGTH]]*7.85)/1000000*scheduleapr[[#This Row],[SCHEDULE in nos]]/1000</f>
        <v/>
      </c>
      <c r="AK395" s="599">
        <f>(3.14*(scheduleapr[[#This Row],[ACTUAL OD]]-scheduleapr[[#This Row],[TICKNESS]])*scheduleapr[[#This Row],[TICKNESS]]*scheduleapr[[#This Row],[LENGTH]]*7.85)/1000000*scheduleapr[[#This Row],[DISPATCH]]/1000</f>
        <v/>
      </c>
      <c r="AL395" s="599">
        <f>AJ395-AK395</f>
        <v/>
      </c>
      <c r="AM395" s="599">
        <f>scheduleapr[[#This Row],[SCHEDULE in nos]]/scheduleapr[[#This Row],[SCHEDULE IN MT]]*scheduleapr[[#This Row],[CTL Stock]]</f>
        <v/>
      </c>
      <c r="AN395" s="599">
        <f>SUMIFS(stock[MT],stock[Bucket],scheduleapr[[#This Row],[Bucket]],stock[CTL Bucket],scheduleapr[[#This Row],[CTL Bucket]],stock[Plant],"0789")</f>
        <v/>
      </c>
      <c r="AO395" s="599" t="n"/>
      <c r="AP395" s="599">
        <f>SUMIFS(stock[MT],stock[Bucket],scheduleapr[[#This Row],[Bucket]],stock[LL or CTL],"LL")</f>
        <v/>
      </c>
      <c r="AQ395" s="599">
        <f>+SUMIFS(wip[Stock(Net Wt)],wip[Bucket],scheduleapr[[#This Row],[Bucket]])/1000</f>
        <v/>
      </c>
      <c r="AR395" s="599">
        <f>AJ395-AN395</f>
        <v/>
      </c>
      <c r="AS395" s="118" t="n"/>
    </row>
    <row r="396">
      <c r="A396" s="594" t="n">
        <v>296</v>
      </c>
      <c r="B396" s="5" t="inlineStr">
        <is>
          <t>Hosur</t>
        </is>
      </c>
      <c r="C396" s="601" t="inlineStr">
        <is>
          <t>Rajsriya Unit 2</t>
        </is>
      </c>
      <c r="D396" s="601" t="inlineStr">
        <is>
          <t>Rajsriya Automotive Hosur</t>
        </is>
      </c>
      <c r="E396" s="601" t="inlineStr">
        <is>
          <t>129695|187884|188415|189239|189240</t>
        </is>
      </c>
      <c r="F396" s="601" t="n">
        <v>1939992</v>
      </c>
      <c r="G396" s="601">
        <f>_xlfn.CONCAT(scheduleapr[[#This Row],[CUSTOMER CODE]],"-",scheduleapr[[#This Row],[MATERIAL NO]])</f>
        <v/>
      </c>
      <c r="H396" s="601" t="inlineStr">
        <is>
          <t>TUB-O-O-AUT-AW-PE-12.70X1.600X0.1870</t>
        </is>
      </c>
      <c r="I396" s="601" t="inlineStr">
        <is>
          <t>ERW 1</t>
        </is>
      </c>
      <c r="J396" s="601" t="n"/>
      <c r="K396" s="601" t="inlineStr">
        <is>
          <t>PE</t>
        </is>
      </c>
      <c r="L396" s="601" t="inlineStr">
        <is>
          <t>HR</t>
        </is>
      </c>
      <c r="M396" s="601" t="n"/>
      <c r="N396" s="601" t="n"/>
      <c r="O396" s="601" t="n"/>
      <c r="P396" s="601" t="n"/>
      <c r="Q396" s="557">
        <f>CONCATENATE(scheduleapr[[#This Row],[OD]],"-",scheduleapr[[#This Row],[ID]],"-",scheduleapr[[#This Row],[TICKNESS]],"-",scheduleapr[[#This Row],[Grade]],"-",scheduleapr[[#This Row],[FC/NFC]])</f>
        <v/>
      </c>
      <c r="R396" s="557">
        <f>_xlfn.CONCAT(scheduleapr[[#This Row],[Bucket]],"-",scheduleapr[[#This Row],[LENGTH]]/1000)</f>
        <v/>
      </c>
      <c r="S396" s="557">
        <f>COUNTIF(scheduleapr[CTL Bucket],scheduleapr[[#This Row],[CTL Bucket]])</f>
        <v/>
      </c>
      <c r="T396" s="557" t="n"/>
      <c r="U396" s="557" t="n"/>
      <c r="V396" s="557" t="n"/>
      <c r="W396" s="557" t="n"/>
      <c r="X396" s="599" t="n">
        <v>12.7</v>
      </c>
      <c r="Y396" s="599" t="n">
        <v>12.7</v>
      </c>
      <c r="Z396" s="599" t="n">
        <v>0</v>
      </c>
      <c r="AA396" s="599" t="n">
        <v>1.6</v>
      </c>
      <c r="AB396" s="600" t="n">
        <v>187</v>
      </c>
      <c r="AC396" s="600" t="inlineStr">
        <is>
          <t>NOS</t>
        </is>
      </c>
      <c r="AD396" s="600" t="n"/>
      <c r="AE396" s="600" t="n"/>
      <c r="AF396" s="601" t="n"/>
      <c r="AG396" s="601" t="n"/>
      <c r="AH396" s="601">
        <f t="array" ref="AH3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6" s="602">
        <f>scheduleapr[[#This Row],[SCHEDULE in nos]]-scheduleapr[[#This Row],[DISPATCH]]</f>
        <v/>
      </c>
      <c r="AJ396" s="599">
        <f>(3.14*(scheduleapr[[#This Row],[ACTUAL OD]]-scheduleapr[[#This Row],[TICKNESS]])*scheduleapr[[#This Row],[TICKNESS]]*scheduleapr[[#This Row],[LENGTH]]*7.85)/1000000*scheduleapr[[#This Row],[SCHEDULE in nos]]/1000</f>
        <v/>
      </c>
      <c r="AK396" s="599">
        <f>(3.14*(scheduleapr[[#This Row],[ACTUAL OD]]-scheduleapr[[#This Row],[TICKNESS]])*scheduleapr[[#This Row],[TICKNESS]]*scheduleapr[[#This Row],[LENGTH]]*7.85)/1000000*scheduleapr[[#This Row],[DISPATCH]]/1000</f>
        <v/>
      </c>
      <c r="AL396" s="599">
        <f>AJ396-AK396</f>
        <v/>
      </c>
      <c r="AM396" s="599">
        <f>scheduleapr[[#This Row],[SCHEDULE in nos]]/scheduleapr[[#This Row],[SCHEDULE IN MT]]*scheduleapr[[#This Row],[CTL Stock]]</f>
        <v/>
      </c>
      <c r="AN396" s="599">
        <f>SUMIFS(stock[MT],stock[Bucket],scheduleapr[[#This Row],[Bucket]],stock[CTL Bucket],scheduleapr[[#This Row],[CTL Bucket]],stock[Plant],"0789")</f>
        <v/>
      </c>
      <c r="AO396" s="599" t="n"/>
      <c r="AP396" s="599">
        <f>SUMIFS(stock[MT],stock[Bucket],scheduleapr[[#This Row],[Bucket]],stock[LL or CTL],"LL")</f>
        <v/>
      </c>
      <c r="AQ396" s="599">
        <f>+SUMIFS(wip[Stock(Net Wt)],wip[Bucket],scheduleapr[[#This Row],[Bucket]])/1000</f>
        <v/>
      </c>
      <c r="AR396" s="599">
        <f>AJ396-AN396</f>
        <v/>
      </c>
      <c r="AS396" s="118" t="n"/>
    </row>
    <row r="397">
      <c r="A397" s="594" t="n">
        <v>318</v>
      </c>
      <c r="B397" s="5" t="inlineStr">
        <is>
          <t>Hosur</t>
        </is>
      </c>
      <c r="C397" s="601" t="inlineStr">
        <is>
          <t>Rajsriya Unit 5</t>
        </is>
      </c>
      <c r="D397" s="601" t="inlineStr">
        <is>
          <t>Rajsriya Automotive Hosur</t>
        </is>
      </c>
      <c r="E397" s="601" t="inlineStr">
        <is>
          <t>129695|187884|188415|189239|189240</t>
        </is>
      </c>
      <c r="F397" s="601" t="n">
        <v>3223304</v>
      </c>
      <c r="G397" s="601">
        <f>_xlfn.CONCAT(scheduleapr[[#This Row],[CUSTOMER CODE]],"-",scheduleapr[[#This Row],[MATERIAL NO]])</f>
        <v/>
      </c>
      <c r="H397" s="601" t="inlineStr">
        <is>
          <t>TUB-O-N-AUT-AW-PE-12.70X1.600X0.2550</t>
        </is>
      </c>
      <c r="I397" s="601" t="inlineStr">
        <is>
          <t>ERW 1</t>
        </is>
      </c>
      <c r="J397" s="601" t="n"/>
      <c r="K397" s="601" t="inlineStr">
        <is>
          <t>PE</t>
        </is>
      </c>
      <c r="L397" s="601" t="inlineStr">
        <is>
          <t>CR</t>
        </is>
      </c>
      <c r="M397" s="596" t="inlineStr">
        <is>
          <t>HROP</t>
        </is>
      </c>
      <c r="N397" s="601" t="n"/>
      <c r="O397" s="601" t="n"/>
      <c r="P397" s="601" t="n"/>
      <c r="Q397" s="557">
        <f>CONCATENATE(scheduleapr[[#This Row],[OD]],"-",scheduleapr[[#This Row],[ID]],"-",scheduleapr[[#This Row],[TICKNESS]],"-",scheduleapr[[#This Row],[Grade]],"-",scheduleapr[[#This Row],[FC/NFC]])</f>
        <v/>
      </c>
      <c r="R397" s="557">
        <f>_xlfn.CONCAT(scheduleapr[[#This Row],[Bucket]],"-",scheduleapr[[#This Row],[LENGTH]]/1000)</f>
        <v/>
      </c>
      <c r="S397" s="557">
        <f>COUNTIF(scheduleapr[CTL Bucket],scheduleapr[[#This Row],[CTL Bucket]])</f>
        <v/>
      </c>
      <c r="T397" s="601" t="inlineStr">
        <is>
          <t>Hosur</t>
        </is>
      </c>
      <c r="U397" s="601">
        <f>_xlfn.IFNA(VLOOKUP(scheduleapr[[#This Row],[Bucket]],salesforecast[[#All],[Bucket2]:[8406 Stock]],19,0),0)</f>
        <v/>
      </c>
      <c r="V397" s="562">
        <f>_xlfn.IFNA(VLOOKUP(scheduleapr[[#This Row],[Bucket]],salesforecast[[#All],[Bucket2]:[8406 Stock]],20,0),0)+_xlfn.IFNA(VLOOKUP(scheduleapr[[#This Row],[Bucket]],salesforecast[[#All],[Bucket2]:[8406 Stock]],17,0),0)</f>
        <v/>
      </c>
      <c r="W397" s="557" t="n"/>
      <c r="X397" s="599" t="n">
        <v>12.7</v>
      </c>
      <c r="Y397" s="599" t="n">
        <v>12.7</v>
      </c>
      <c r="Z397" s="599" t="n">
        <v>0</v>
      </c>
      <c r="AA397" s="599" t="n">
        <v>1.6</v>
      </c>
      <c r="AB397" s="600" t="n">
        <v>255</v>
      </c>
      <c r="AC397" s="600" t="inlineStr">
        <is>
          <t>NOS</t>
        </is>
      </c>
      <c r="AD397" s="600" t="n"/>
      <c r="AE397" s="600" t="n"/>
      <c r="AF397" s="601" t="n">
        <v>40000</v>
      </c>
      <c r="AG397" s="601" t="inlineStr">
        <is>
          <t>Aug 2026 schedule · rajsriya PLANT5</t>
        </is>
      </c>
      <c r="AH397" s="601">
        <f t="array" ref="AH3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7" s="602">
        <f>scheduleapr[[#This Row],[SCHEDULE in nos]]-scheduleapr[[#This Row],[DISPATCH]]</f>
        <v/>
      </c>
      <c r="AJ397" s="599">
        <f>(3.14*(scheduleapr[[#This Row],[ACTUAL OD]]-scheduleapr[[#This Row],[TICKNESS]])*scheduleapr[[#This Row],[TICKNESS]]*scheduleapr[[#This Row],[LENGTH]]*7.85)/1000000*scheduleapr[[#This Row],[SCHEDULE in nos]]/1000</f>
        <v/>
      </c>
      <c r="AK397" s="599">
        <f>(3.14*(scheduleapr[[#This Row],[ACTUAL OD]]-scheduleapr[[#This Row],[TICKNESS]])*scheduleapr[[#This Row],[TICKNESS]]*scheduleapr[[#This Row],[LENGTH]]*7.85)/1000000*scheduleapr[[#This Row],[DISPATCH]]/1000</f>
        <v/>
      </c>
      <c r="AL397" s="599">
        <f>AJ397-AK397</f>
        <v/>
      </c>
      <c r="AM397" s="599">
        <f>scheduleapr[[#This Row],[SCHEDULE in nos]]/scheduleapr[[#This Row],[SCHEDULE IN MT]]*scheduleapr[[#This Row],[CTL Stock]]</f>
        <v/>
      </c>
      <c r="AN397" s="599">
        <f>SUMIFS(stock[MT],stock[Bucket],scheduleapr[[#This Row],[Bucket]],stock[CTL Bucket],scheduleapr[[#This Row],[CTL Bucket]],stock[Plant],"0789")</f>
        <v/>
      </c>
      <c r="AO397" s="599" t="n"/>
      <c r="AP397" s="599">
        <f>SUMIFS(stock[MT],stock[Bucket],scheduleapr[[#This Row],[Bucket]],stock[LL or CTL],"LL")</f>
        <v/>
      </c>
      <c r="AQ397" s="599">
        <f>+SUMIFS(wip[Stock(Net Wt)],wip[Bucket],scheduleapr[[#This Row],[Bucket]])/1000</f>
        <v/>
      </c>
      <c r="AR397" s="599">
        <f>AJ397-AN397</f>
        <v/>
      </c>
      <c r="AS397" s="118" t="n"/>
    </row>
    <row r="398">
      <c r="A398" s="594" t="n">
        <v>297</v>
      </c>
      <c r="B398" s="5" t="inlineStr">
        <is>
          <t>Hosur</t>
        </is>
      </c>
      <c r="C398" s="601" t="inlineStr">
        <is>
          <t>Rajsriya Automotive</t>
        </is>
      </c>
      <c r="D398" s="601" t="inlineStr">
        <is>
          <t>Rajsriya Automotive Hosur</t>
        </is>
      </c>
      <c r="E398" s="601" t="inlineStr">
        <is>
          <t>129695|187884|188415|189239|189240</t>
        </is>
      </c>
      <c r="F398" s="601" t="n">
        <v>2440974</v>
      </c>
      <c r="G398" s="601">
        <f>_xlfn.CONCAT(scheduleapr[[#This Row],[CUSTOMER CODE]],"-",scheduleapr[[#This Row],[MATERIAL NO]])</f>
        <v/>
      </c>
      <c r="H398" s="601" t="inlineStr">
        <is>
          <t>TUB-O-O-AUT-AW-PE-12.70X1.600X0.2800</t>
        </is>
      </c>
      <c r="I398" s="601" t="inlineStr">
        <is>
          <t>ERW 1</t>
        </is>
      </c>
      <c r="J398" s="601" t="n"/>
      <c r="K398" s="601" t="inlineStr">
        <is>
          <t>PE</t>
        </is>
      </c>
      <c r="L398" s="601" t="inlineStr">
        <is>
          <t>HR</t>
        </is>
      </c>
      <c r="M398" s="601" t="n"/>
      <c r="N398" s="601" t="n"/>
      <c r="O398" s="601" t="n"/>
      <c r="P398" s="601" t="n"/>
      <c r="Q398" s="557">
        <f>CONCATENATE(scheduleapr[[#This Row],[OD]],"-",scheduleapr[[#This Row],[ID]],"-",scheduleapr[[#This Row],[TICKNESS]],"-",scheduleapr[[#This Row],[Grade]],"-",scheduleapr[[#This Row],[FC/NFC]])</f>
        <v/>
      </c>
      <c r="R398" s="557">
        <f>_xlfn.CONCAT(scheduleapr[[#This Row],[Bucket]],"-",scheduleapr[[#This Row],[LENGTH]]/1000)</f>
        <v/>
      </c>
      <c r="S398" s="557">
        <f>COUNTIF([2]!buckets[CTL Bucket],[2]!scheduleapr[[#This Row],[CTL Bucket]])</f>
        <v/>
      </c>
      <c r="T398" s="557" t="n"/>
      <c r="U398" s="557" t="n"/>
      <c r="V398" s="557" t="n"/>
      <c r="W398" s="557" t="n"/>
      <c r="X398" s="599" t="n">
        <v>12.7</v>
      </c>
      <c r="Y398" s="599" t="n">
        <v>12.7</v>
      </c>
      <c r="Z398" s="599" t="n">
        <v>0</v>
      </c>
      <c r="AA398" s="599" t="n">
        <v>1.6</v>
      </c>
      <c r="AB398" s="600" t="n">
        <v>280</v>
      </c>
      <c r="AC398" s="600" t="n"/>
      <c r="AD398" s="600" t="n"/>
      <c r="AE398" s="600" t="n"/>
      <c r="AF398" s="601" t="n"/>
      <c r="AG398" s="601" t="n"/>
      <c r="AH398" s="601">
        <f t="array" ref="AH3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8" s="602">
        <f>scheduleapr[[#This Row],[SCHEDULE in nos]]-scheduleapr[[#This Row],[DISPATCH]]</f>
        <v/>
      </c>
      <c r="AJ398" s="599">
        <f>(3.14*(scheduleapr[[#This Row],[ACTUAL OD]]-scheduleapr[[#This Row],[TICKNESS]])*scheduleapr[[#This Row],[TICKNESS]]*scheduleapr[[#This Row],[LENGTH]]*7.85)/1000000*scheduleapr[[#This Row],[SCHEDULE in nos]]/1000</f>
        <v/>
      </c>
      <c r="AK398" s="599">
        <f>(3.14*(scheduleapr[[#This Row],[ACTUAL OD]]-scheduleapr[[#This Row],[TICKNESS]])*scheduleapr[[#This Row],[TICKNESS]]*scheduleapr[[#This Row],[LENGTH]]*7.85)/1000000*scheduleapr[[#This Row],[DISPATCH]]/1000</f>
        <v/>
      </c>
      <c r="AL398" s="599">
        <f>AJ398-AK398</f>
        <v/>
      </c>
      <c r="AM398" s="599">
        <f>scheduleapr[[#This Row],[SCHEDULE in nos]]/scheduleapr[[#This Row],[SCHEDULE IN MT]]*scheduleapr[[#This Row],[CTL Stock]]</f>
        <v/>
      </c>
      <c r="AN398" s="599">
        <f>SUMIFS(stock[MT],stock[Bucket],scheduleapr[[#This Row],[Bucket]],stock[CTL Bucket],scheduleapr[[#This Row],[CTL Bucket]],stock[Plant],"0789")</f>
        <v/>
      </c>
      <c r="AO398" s="599" t="n"/>
      <c r="AP398" s="599">
        <f>SUMIFS(stock[MT],stock[Bucket],scheduleapr[[#This Row],[Bucket]],stock[LL or CTL],"LL")</f>
        <v/>
      </c>
      <c r="AQ398" s="599">
        <f>+SUMIFS(wip[Stock(Net Wt)],wip[Bucket],scheduleapr[[#This Row],[Bucket]])/1000</f>
        <v/>
      </c>
      <c r="AR398" s="599">
        <f>AJ398-AN398</f>
        <v/>
      </c>
      <c r="AS398" s="118" t="n"/>
    </row>
    <row r="399">
      <c r="A399" s="594" t="n">
        <v>385</v>
      </c>
      <c r="B399" s="5" t="inlineStr">
        <is>
          <t>Hosur</t>
        </is>
      </c>
      <c r="C399" s="601" t="inlineStr">
        <is>
          <t>Rajsriya Unit 2</t>
        </is>
      </c>
      <c r="D399" s="48" t="inlineStr">
        <is>
          <t>Rajsriya Automotive Hosur</t>
        </is>
      </c>
      <c r="E399" s="601" t="inlineStr">
        <is>
          <t>129695|187884|188415|189239|189240</t>
        </is>
      </c>
      <c r="F399" s="601" t="n">
        <v>1940003</v>
      </c>
      <c r="G399" s="601">
        <f>_xlfn.CONCAT(scheduleapr[[#This Row],[CUSTOMER CODE]],"-",scheduleapr[[#This Row],[MATERIAL NO]])</f>
        <v/>
      </c>
      <c r="H399" s="601" t="inlineStr">
        <is>
          <t>TUB-O-O-AUT-AW-PE-12.70X1.600X0.3930</t>
        </is>
      </c>
      <c r="I399" s="601" t="inlineStr">
        <is>
          <t>ERW 1</t>
        </is>
      </c>
      <c r="J399" s="601" t="n"/>
      <c r="K399" s="601" t="inlineStr">
        <is>
          <t>PE</t>
        </is>
      </c>
      <c r="L399" s="601" t="inlineStr">
        <is>
          <t>CR</t>
        </is>
      </c>
      <c r="M399" s="601" t="inlineStr">
        <is>
          <t>WG</t>
        </is>
      </c>
      <c r="N399" s="601" t="n"/>
      <c r="O399" s="601" t="n"/>
      <c r="P399" s="601" t="n"/>
      <c r="Q399" s="557">
        <f>CONCATENATE(scheduleapr[[#This Row],[OD]],"-",scheduleapr[[#This Row],[ID]],"-",scheduleapr[[#This Row],[TICKNESS]],"-",scheduleapr[[#This Row],[Grade]],"-",scheduleapr[[#This Row],[FC/NFC]])</f>
        <v/>
      </c>
      <c r="R399" s="557">
        <f>_xlfn.CONCAT(scheduleapr[[#This Row],[Bucket]],"-",scheduleapr[[#This Row],[LENGTH]]/1000)</f>
        <v/>
      </c>
      <c r="S399" s="557">
        <f>COUNTIF(scheduleapr[CTL Bucket],scheduleapr[[#This Row],[CTL Bucket]])</f>
        <v/>
      </c>
      <c r="T399" s="557" t="n"/>
      <c r="U399" s="557" t="n"/>
      <c r="V399" s="557" t="n"/>
      <c r="W399" s="557" t="n"/>
      <c r="X399" s="599" t="n">
        <v>12.7</v>
      </c>
      <c r="Y399" s="599" t="n">
        <v>12.7</v>
      </c>
      <c r="Z399" s="599" t="n">
        <v>0</v>
      </c>
      <c r="AA399" s="599" t="n">
        <v>1.6</v>
      </c>
      <c r="AB399" s="600" t="n">
        <v>393</v>
      </c>
      <c r="AC399" s="600" t="inlineStr">
        <is>
          <t>NOS</t>
        </is>
      </c>
      <c r="AD399" s="600" t="n"/>
      <c r="AE399" s="600" t="n"/>
      <c r="AF399" s="601" t="n">
        <v>10000</v>
      </c>
      <c r="AG399" s="601" t="inlineStr">
        <is>
          <t>Aug 2026 schedule · rajsriya PLANT2</t>
        </is>
      </c>
      <c r="AH399" s="601">
        <f t="array" ref="AH3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399" s="602">
        <f>scheduleapr[[#This Row],[SCHEDULE in nos]]-scheduleapr[[#This Row],[DISPATCH]]</f>
        <v/>
      </c>
      <c r="AJ399" s="599">
        <f>(3.14*(scheduleapr[[#This Row],[ACTUAL OD]]-scheduleapr[[#This Row],[TICKNESS]])*scheduleapr[[#This Row],[TICKNESS]]*scheduleapr[[#This Row],[LENGTH]]*7.85)/1000000*scheduleapr[[#This Row],[SCHEDULE in nos]]/1000</f>
        <v/>
      </c>
      <c r="AK399" s="599">
        <f>(3.14*(scheduleapr[[#This Row],[ACTUAL OD]]-scheduleapr[[#This Row],[TICKNESS]])*scheduleapr[[#This Row],[TICKNESS]]*scheduleapr[[#This Row],[LENGTH]]*7.85)/1000000*scheduleapr[[#This Row],[DISPATCH]]/1000</f>
        <v/>
      </c>
      <c r="AL399" s="599">
        <f>AJ399-AK399</f>
        <v/>
      </c>
      <c r="AM399" s="599">
        <f>scheduleapr[[#This Row],[SCHEDULE in nos]]/scheduleapr[[#This Row],[SCHEDULE IN MT]]*scheduleapr[[#This Row],[CTL Stock]]</f>
        <v/>
      </c>
      <c r="AN399" s="599">
        <f>SUMIFS(stock[MT],stock[Bucket],scheduleapr[[#This Row],[Bucket]],stock[CTL Bucket],scheduleapr[[#This Row],[CTL Bucket]],stock[Plant],"0789")</f>
        <v/>
      </c>
      <c r="AO399" s="599" t="n"/>
      <c r="AP399" s="599">
        <f>SUMIFS(stock[MT],stock[Bucket],scheduleapr[[#This Row],[Bucket]],stock[LL or CTL],"LL")</f>
        <v/>
      </c>
      <c r="AQ399" s="599">
        <f>+SUMIFS(wip[Stock(Net Wt)],wip[Bucket],scheduleapr[[#This Row],[Bucket]])/1000</f>
        <v/>
      </c>
      <c r="AR399" s="599">
        <f>AJ399-AN399</f>
        <v/>
      </c>
      <c r="AS399" s="118" t="n"/>
    </row>
    <row r="400">
      <c r="A400" s="594" t="n">
        <v>386</v>
      </c>
      <c r="B400" s="5" t="inlineStr">
        <is>
          <t>Hosur</t>
        </is>
      </c>
      <c r="C400" s="601" t="inlineStr">
        <is>
          <t>Rajsriya Unit 2</t>
        </is>
      </c>
      <c r="D400" s="601" t="inlineStr">
        <is>
          <t>Rajsriya Automotive Hosur</t>
        </is>
      </c>
      <c r="E400" s="601" t="inlineStr">
        <is>
          <t>129695|187884|188415|189239|189240</t>
        </is>
      </c>
      <c r="F400" s="9" t="n">
        <v>2387804</v>
      </c>
      <c r="G400" s="601">
        <f>_xlfn.CONCAT(scheduleapr[[#This Row],[CUSTOMER CODE]],"-",scheduleapr[[#This Row],[MATERIAL NO]])</f>
        <v/>
      </c>
      <c r="H400" s="601" t="inlineStr">
        <is>
          <t>TUB-O-N-AUT-AW-PE-15.88X1.600X0.4420</t>
        </is>
      </c>
      <c r="I400" s="601" t="inlineStr">
        <is>
          <t>ERW 1</t>
        </is>
      </c>
      <c r="J400" s="601" t="n"/>
      <c r="K400" s="601" t="inlineStr">
        <is>
          <t>PE</t>
        </is>
      </c>
      <c r="L400" s="601" t="inlineStr">
        <is>
          <t>CR</t>
        </is>
      </c>
      <c r="M400" s="601" t="inlineStr">
        <is>
          <t>WG</t>
        </is>
      </c>
      <c r="N400" s="601" t="n"/>
      <c r="O400" s="601" t="n"/>
      <c r="P400" s="601" t="n"/>
      <c r="Q400" s="557">
        <f>CONCATENATE(scheduleapr[[#This Row],[OD]],"-",scheduleapr[[#This Row],[ID]],"-",scheduleapr[[#This Row],[TICKNESS]],"-",scheduleapr[[#This Row],[Grade]],"-",scheduleapr[[#This Row],[FC/NFC]])</f>
        <v/>
      </c>
      <c r="R400" s="557">
        <f>_xlfn.CONCAT(scheduleapr[[#This Row],[Bucket]],"-",scheduleapr[[#This Row],[LENGTH]]/1000)</f>
        <v/>
      </c>
      <c r="S400" s="557">
        <f>COUNTIF(scheduleapr[CTL Bucket],scheduleapr[[#This Row],[CTL Bucket]])</f>
        <v/>
      </c>
      <c r="T400" s="601" t="inlineStr">
        <is>
          <t>Hosur</t>
        </is>
      </c>
      <c r="U400" s="601">
        <f>_xlfn.IFNA(VLOOKUP(scheduleapr[[#This Row],[Bucket]],salesforecast[[#All],[Bucket2]:[8406 Stock]],19,0),0)</f>
        <v/>
      </c>
      <c r="V400" s="562">
        <f>_xlfn.IFNA(VLOOKUP(scheduleapr[[#This Row],[Bucket]],salesforecast[[#All],[Bucket2]:[8406 Stock]],20,0),0)+_xlfn.IFNA(VLOOKUP(scheduleapr[[#This Row],[Bucket]],salesforecast[[#All],[Bucket2]:[8406 Stock]],17,0),0)</f>
        <v/>
      </c>
      <c r="W400" s="557" t="n"/>
      <c r="X400" s="599" t="n">
        <v>15.88</v>
      </c>
      <c r="Y400" s="599" t="n">
        <v>15.88</v>
      </c>
      <c r="Z400" s="599" t="n">
        <v>0</v>
      </c>
      <c r="AA400" s="599" t="n">
        <v>1.6</v>
      </c>
      <c r="AB400" s="600" t="n">
        <v>442</v>
      </c>
      <c r="AC400" s="600" t="inlineStr">
        <is>
          <t>NOS</t>
        </is>
      </c>
      <c r="AD400" s="600" t="n"/>
      <c r="AE400" s="600" t="n"/>
      <c r="AF400" s="600" t="n">
        <v>10000</v>
      </c>
      <c r="AG400" s="600" t="inlineStr">
        <is>
          <t>Aug 2026 schedule · rajsriya PLANT2</t>
        </is>
      </c>
      <c r="AH400" s="601">
        <f t="array" ref="AH4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0" s="602">
        <f>scheduleapr[[#This Row],[SCHEDULE in nos]]-scheduleapr[[#This Row],[DISPATCH]]</f>
        <v/>
      </c>
      <c r="AJ400" s="599">
        <f>(3.14*(scheduleapr[[#This Row],[ACTUAL OD]]-scheduleapr[[#This Row],[TICKNESS]])*scheduleapr[[#This Row],[TICKNESS]]*scheduleapr[[#This Row],[LENGTH]]*7.85)/1000000*scheduleapr[[#This Row],[SCHEDULE in nos]]/1000</f>
        <v/>
      </c>
      <c r="AK400" s="599">
        <f>(3.14*(scheduleapr[[#This Row],[ACTUAL OD]]-scheduleapr[[#This Row],[TICKNESS]])*scheduleapr[[#This Row],[TICKNESS]]*scheduleapr[[#This Row],[LENGTH]]*7.85)/1000000*scheduleapr[[#This Row],[DISPATCH]]/1000</f>
        <v/>
      </c>
      <c r="AL400" s="599">
        <f>AJ400-AK400</f>
        <v/>
      </c>
      <c r="AM400" s="599">
        <f>scheduleapr[[#This Row],[SCHEDULE in nos]]/scheduleapr[[#This Row],[SCHEDULE IN MT]]*scheduleapr[[#This Row],[CTL Stock]]</f>
        <v/>
      </c>
      <c r="AN400" s="599">
        <f>SUMIFS(stock[MT],stock[Bucket],scheduleapr[[#This Row],[Bucket]],stock[CTL Bucket],scheduleapr[[#This Row],[CTL Bucket]],stock[Plant],"0789")</f>
        <v/>
      </c>
      <c r="AO400" s="599" t="n"/>
      <c r="AP400" s="599">
        <f>SUMIFS(stock[MT],stock[Bucket],scheduleapr[[#This Row],[Bucket]],stock[LL or CTL],"LL")</f>
        <v/>
      </c>
      <c r="AQ400" s="599">
        <f>+SUMIFS(wip[Stock(Net Wt)],wip[Bucket],scheduleapr[[#This Row],[Bucket]])/1000</f>
        <v/>
      </c>
      <c r="AR400" s="599">
        <f>AJ400-AN400</f>
        <v/>
      </c>
      <c r="AS400" s="118" t="n"/>
    </row>
    <row r="401">
      <c r="A401" s="556" t="n"/>
      <c r="B401" s="5" t="inlineStr">
        <is>
          <t>Hosur</t>
        </is>
      </c>
      <c r="C401" s="601" t="inlineStr">
        <is>
          <t>Rajsriya Unit 5</t>
        </is>
      </c>
      <c r="D401" s="601" t="inlineStr">
        <is>
          <t>Rajsriya Automotive Hosur</t>
        </is>
      </c>
      <c r="E401" s="601" t="inlineStr">
        <is>
          <t>129695|187884|188415|189239|189240</t>
        </is>
      </c>
      <c r="F401" s="557" t="n"/>
      <c r="G401" s="601">
        <f>_xlfn.CONCAT(scheduleapr[[#This Row],[CUSTOMER CODE]],"-",scheduleapr[[#This Row],[MATERIAL NO]])</f>
        <v/>
      </c>
      <c r="H401" s="557" t="n"/>
      <c r="I401" s="601" t="inlineStr">
        <is>
          <t>ERW 1</t>
        </is>
      </c>
      <c r="J401" s="557" t="n"/>
      <c r="K401" s="601" t="inlineStr">
        <is>
          <t>PE</t>
        </is>
      </c>
      <c r="L401" s="601" t="inlineStr">
        <is>
          <t>CR</t>
        </is>
      </c>
      <c r="M401" s="601" t="inlineStr">
        <is>
          <t>WG</t>
        </is>
      </c>
      <c r="N401" s="557" t="n"/>
      <c r="O401" s="557" t="n"/>
      <c r="P401" s="557" t="n"/>
      <c r="Q401" s="557">
        <f>CONCATENATE(scheduleapr[[#This Row],[OD]],"-",scheduleapr[[#This Row],[ID]],"-",scheduleapr[[#This Row],[TICKNESS]],"-",scheduleapr[[#This Row],[Grade]],"-",scheduleapr[[#This Row],[FC/NFC]])</f>
        <v/>
      </c>
      <c r="R401" s="557">
        <f>_xlfn.CONCAT(scheduleapr[[#This Row],[Bucket]],"-",scheduleapr[[#This Row],[LENGTH]]/1000)</f>
        <v/>
      </c>
      <c r="S401" s="557" t="n"/>
      <c r="T401" s="601" t="n"/>
      <c r="U401" s="601">
        <f>_xlfn.IFNA(VLOOKUP(scheduleapr[[#This Row],[Bucket]],salesforecast[[#All],[Bucket2]:[8406 Stock]],19,0),0)</f>
        <v/>
      </c>
      <c r="V401" s="562">
        <f>_xlfn.IFNA(VLOOKUP(scheduleapr[[#This Row],[Bucket]],salesforecast[[#All],[Bucket2]:[8406 Stock]],20,0),0)+_xlfn.IFNA(VLOOKUP(scheduleapr[[#This Row],[Bucket]],salesforecast[[#All],[Bucket2]:[8406 Stock]],17,0),0)</f>
        <v/>
      </c>
      <c r="W401" s="601" t="n"/>
      <c r="X401" s="559" t="n">
        <v>15.88</v>
      </c>
      <c r="Y401" s="559" t="n">
        <v>15.88</v>
      </c>
      <c r="Z401" s="559" t="n">
        <v>0</v>
      </c>
      <c r="AA401" s="599" t="n">
        <v>1.6</v>
      </c>
      <c r="AB401" s="600" t="n">
        <v>1000</v>
      </c>
      <c r="AC401" s="600" t="inlineStr">
        <is>
          <t>M</t>
        </is>
      </c>
      <c r="AD401" s="600" t="n"/>
      <c r="AE401" s="600" t="n"/>
      <c r="AF401" s="600" t="n"/>
      <c r="AG401" s="600" t="n"/>
      <c r="AH401" s="601">
        <f t="array" ref="AH4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1" s="602">
        <f>scheduleapr[[#This Row],[SCHEDULE in nos]]-scheduleapr[[#This Row],[DISPATCH]]</f>
        <v/>
      </c>
      <c r="AJ401" s="559">
        <f>(3.14*(scheduleapr[[#This Row],[ACTUAL OD]]-scheduleapr[[#This Row],[TICKNESS]])*scheduleapr[[#This Row],[TICKNESS]]*scheduleapr[[#This Row],[LENGTH]]*7.85)/1000000*scheduleapr[[#This Row],[SCHEDULE in nos]]/1000</f>
        <v/>
      </c>
      <c r="AK401" s="599">
        <f>(3.14*(scheduleapr[[#This Row],[ACTUAL OD]]-scheduleapr[[#This Row],[TICKNESS]])*scheduleapr[[#This Row],[TICKNESS]]*scheduleapr[[#This Row],[LENGTH]]*7.85)/1000000*scheduleapr[[#This Row],[DISPATCH]]/1000</f>
        <v/>
      </c>
      <c r="AL401" s="599">
        <f>AJ401-AK401</f>
        <v/>
      </c>
      <c r="AM401" s="559">
        <f>scheduleapr[[#This Row],[SCHEDULE in nos]]/scheduleapr[[#This Row],[SCHEDULE IN MT]]*scheduleapr[[#This Row],[CTL Stock]]</f>
        <v/>
      </c>
      <c r="AN401" s="599">
        <f>SUMIFS(stock[MT],stock[Bucket],scheduleapr[[#This Row],[Bucket]],stock[CTL Bucket],scheduleapr[[#This Row],[CTL Bucket]],stock[Plant],"0789")</f>
        <v/>
      </c>
      <c r="AO401" s="599" t="n"/>
      <c r="AP401" s="599">
        <f>SUMIFS(stock[MT],stock[Bucket],scheduleapr[[#This Row],[Bucket]],stock[LL or CTL],"LL")</f>
        <v/>
      </c>
      <c r="AQ401" s="599">
        <f>+SUMIFS(wip[Stock(Net Wt)],wip[Bucket],scheduleapr[[#This Row],[Bucket]])/1000</f>
        <v/>
      </c>
      <c r="AR401" s="599">
        <f>AJ401-AN401</f>
        <v/>
      </c>
      <c r="AS401" s="118" t="n"/>
    </row>
    <row r="402">
      <c r="A402" s="594" t="n">
        <v>298</v>
      </c>
      <c r="B402" s="5" t="inlineStr">
        <is>
          <t>Hosur</t>
        </is>
      </c>
      <c r="C402" s="601" t="inlineStr">
        <is>
          <t>Rajsriya Automotive</t>
        </is>
      </c>
      <c r="D402" s="601" t="inlineStr">
        <is>
          <t>Rajsriya Automotive Hosur</t>
        </is>
      </c>
      <c r="E402" s="601" t="inlineStr">
        <is>
          <t>129695|187884|188415|189239|189240</t>
        </is>
      </c>
      <c r="F402" s="601" t="n">
        <v>1900224</v>
      </c>
      <c r="G402" s="601">
        <f>_xlfn.CONCAT(scheduleapr[[#This Row],[CUSTOMER CODE]],"-",scheduleapr[[#This Row],[MATERIAL NO]])</f>
        <v/>
      </c>
      <c r="H402" s="601" t="inlineStr">
        <is>
          <t>TUB-O-O-AUT-AW-PE-15.88X1.6.000X6.0000</t>
        </is>
      </c>
      <c r="I402" s="601" t="inlineStr">
        <is>
          <t>ERW 1</t>
        </is>
      </c>
      <c r="J402" s="601" t="n"/>
      <c r="K402" s="601" t="inlineStr">
        <is>
          <t>PE</t>
        </is>
      </c>
      <c r="L402" s="601" t="inlineStr">
        <is>
          <t>HR</t>
        </is>
      </c>
      <c r="M402" s="601" t="n"/>
      <c r="N402" s="601" t="n"/>
      <c r="O402" s="601" t="n"/>
      <c r="P402" s="601" t="n"/>
      <c r="Q402" s="557">
        <f>CONCATENATE(scheduleapr[[#This Row],[OD]],"-",scheduleapr[[#This Row],[ID]],"-",scheduleapr[[#This Row],[TICKNESS]],"-",scheduleapr[[#This Row],[Grade]],"-",scheduleapr[[#This Row],[FC/NFC]])</f>
        <v/>
      </c>
      <c r="R402" s="557">
        <f>_xlfn.CONCAT(scheduleapr[[#This Row],[Bucket]],"-",scheduleapr[[#This Row],[LENGTH]]/1000)</f>
        <v/>
      </c>
      <c r="S402" s="557">
        <f>COUNTIF(scheduleapr[CTL Bucket],scheduleapr[[#This Row],[CTL Bucket]])</f>
        <v/>
      </c>
      <c r="T402" s="601" t="inlineStr">
        <is>
          <t>Hosur</t>
        </is>
      </c>
      <c r="U402" s="557" t="n"/>
      <c r="V402" s="557" t="n"/>
      <c r="W402" s="557" t="n"/>
      <c r="X402" s="599" t="n">
        <v>15.88</v>
      </c>
      <c r="Y402" s="599" t="n">
        <v>15.88</v>
      </c>
      <c r="Z402" s="599" t="n">
        <v>0</v>
      </c>
      <c r="AA402" s="599" t="n">
        <v>1.6</v>
      </c>
      <c r="AB402" s="600" t="n">
        <v>6000</v>
      </c>
      <c r="AC402" s="600" t="inlineStr">
        <is>
          <t>M</t>
        </is>
      </c>
      <c r="AD402" s="600" t="n"/>
      <c r="AE402" s="600" t="n"/>
      <c r="AF402" s="601" t="n"/>
      <c r="AG402" s="601" t="n"/>
      <c r="AH402" s="601">
        <f t="array" ref="AH4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2" s="602">
        <f>scheduleapr[[#This Row],[SCHEDULE in nos]]-scheduleapr[[#This Row],[DISPATCH]]</f>
        <v/>
      </c>
      <c r="AJ402" s="599">
        <f>(3.14*(scheduleapr[[#This Row],[ACTUAL OD]]-scheduleapr[[#This Row],[TICKNESS]])*scheduleapr[[#This Row],[TICKNESS]]*scheduleapr[[#This Row],[LENGTH]]*7.85)/1000000*scheduleapr[[#This Row],[SCHEDULE in nos]]/1000</f>
        <v/>
      </c>
      <c r="AK402" s="599">
        <f>(3.14*(scheduleapr[[#This Row],[ACTUAL OD]]-scheduleapr[[#This Row],[TICKNESS]])*scheduleapr[[#This Row],[TICKNESS]]*scheduleapr[[#This Row],[LENGTH]]*7.85)/1000000*scheduleapr[[#This Row],[DISPATCH]]/1000</f>
        <v/>
      </c>
      <c r="AL402" s="599">
        <f>AJ402-AK402</f>
        <v/>
      </c>
      <c r="AM402" s="599">
        <f>scheduleapr[[#This Row],[SCHEDULE in nos]]/scheduleapr[[#This Row],[SCHEDULE IN MT]]*scheduleapr[[#This Row],[CTL Stock]]</f>
        <v/>
      </c>
      <c r="AN402" s="599">
        <f>SUMIFS(stock[MT],stock[Bucket],scheduleapr[[#This Row],[Bucket]],stock[CTL Bucket],scheduleapr[[#This Row],[CTL Bucket]],stock[Plant],"0789")</f>
        <v/>
      </c>
      <c r="AO402" s="599" t="n"/>
      <c r="AP402" s="599">
        <f>SUMIFS(stock[MT],stock[Bucket],scheduleapr[[#This Row],[Bucket]],stock[LL or CTL],"LL")</f>
        <v/>
      </c>
      <c r="AQ402" s="599">
        <f>+SUMIFS(wip[Stock(Net Wt)],wip[Bucket],scheduleapr[[#This Row],[Bucket]])/1000</f>
        <v/>
      </c>
      <c r="AR402" s="599">
        <f>AJ402-AN402</f>
        <v/>
      </c>
      <c r="AS402" s="118" t="n"/>
    </row>
    <row r="403">
      <c r="A403" s="594" t="n">
        <v>412</v>
      </c>
      <c r="B403" s="5" t="inlineStr">
        <is>
          <t>Hosur</t>
        </is>
      </c>
      <c r="C403" s="601" t="inlineStr">
        <is>
          <t>Rajsriya Unit 8</t>
        </is>
      </c>
      <c r="D403" s="601" t="inlineStr">
        <is>
          <t>Rajsriya Automotive Hosur</t>
        </is>
      </c>
      <c r="E403" s="601" t="inlineStr">
        <is>
          <t>129695|187884|188415|189239|189240</t>
        </is>
      </c>
      <c r="F403" s="601" t="n">
        <v>1940090</v>
      </c>
      <c r="G403" s="601">
        <f>_xlfn.CONCAT(scheduleapr[[#This Row],[CUSTOMER CODE]],"-",scheduleapr[[#This Row],[MATERIAL NO]])</f>
        <v/>
      </c>
      <c r="H403" s="601" t="inlineStr">
        <is>
          <t>TUB-O-O-AUT-AW-PE-15.88X2.000X0.2910</t>
        </is>
      </c>
      <c r="I403" s="601" t="inlineStr">
        <is>
          <t>ERW 1</t>
        </is>
      </c>
      <c r="J403" s="601" t="n"/>
      <c r="K403" s="601" t="inlineStr">
        <is>
          <t>PE</t>
        </is>
      </c>
      <c r="L403" s="601" t="inlineStr">
        <is>
          <t>HR</t>
        </is>
      </c>
      <c r="M403" s="601" t="n"/>
      <c r="N403" s="601" t="n"/>
      <c r="O403" s="601" t="n"/>
      <c r="P403" s="601" t="n"/>
      <c r="Q403" s="557">
        <f>CONCATENATE(scheduleapr[[#This Row],[OD]],"-",scheduleapr[[#This Row],[ID]],"-",scheduleapr[[#This Row],[TICKNESS]],"-",scheduleapr[[#This Row],[Grade]],"-",scheduleapr[[#This Row],[FC/NFC]])</f>
        <v/>
      </c>
      <c r="R403" s="557">
        <f>_xlfn.CONCAT(scheduleapr[[#This Row],[Bucket]],"-",scheduleapr[[#This Row],[LENGTH]]/1000)</f>
        <v/>
      </c>
      <c r="S403" s="557">
        <f>COUNTIF(scheduleapr[CTL Bucket],scheduleapr[[#This Row],[CTL Bucket]])</f>
        <v/>
      </c>
      <c r="T403" s="601" t="inlineStr">
        <is>
          <t>Hosur</t>
        </is>
      </c>
      <c r="U403" s="601">
        <f>_xlfn.IFNA(VLOOKUP(scheduleapr[[#This Row],[Bucket]],salesforecast[[#All],[Bucket2]:[8406 Stock]],19,0),0)</f>
        <v/>
      </c>
      <c r="V403" s="562">
        <f>_xlfn.IFNA(VLOOKUP(scheduleapr[[#This Row],[Bucket]],salesforecast[[#All],[Bucket2]:[8406 Stock]],20,0),0)+_xlfn.IFNA(VLOOKUP(scheduleapr[[#This Row],[Bucket]],salesforecast[[#All],[Bucket2]:[8406 Stock]],17,0),0)</f>
        <v/>
      </c>
      <c r="W403" s="557" t="n"/>
      <c r="X403" s="599" t="n">
        <v>15.88</v>
      </c>
      <c r="Y403" s="599" t="n">
        <v>15.88</v>
      </c>
      <c r="Z403" s="599" t="n">
        <v>0</v>
      </c>
      <c r="AA403" s="599" t="n">
        <v>2</v>
      </c>
      <c r="AB403" s="600" t="n">
        <v>291</v>
      </c>
      <c r="AC403" s="600" t="inlineStr">
        <is>
          <t>NOS</t>
        </is>
      </c>
      <c r="AD403" s="600" t="n"/>
      <c r="AE403" s="600" t="n"/>
      <c r="AF403" s="600" t="n">
        <v>5000</v>
      </c>
      <c r="AG403" s="600" t="inlineStr">
        <is>
          <t>Aug 2026 schedule · rajsriya PLANT8</t>
        </is>
      </c>
      <c r="AH403" s="601">
        <f t="array" ref="AH4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3" s="602">
        <f>scheduleapr[[#This Row],[SCHEDULE in nos]]-scheduleapr[[#This Row],[DISPATCH]]</f>
        <v/>
      </c>
      <c r="AJ403" s="599">
        <f>(3.14*(scheduleapr[[#This Row],[ACTUAL OD]]-scheduleapr[[#This Row],[TICKNESS]])*scheduleapr[[#This Row],[TICKNESS]]*scheduleapr[[#This Row],[LENGTH]]*7.85)/1000000*scheduleapr[[#This Row],[SCHEDULE in nos]]/1000</f>
        <v/>
      </c>
      <c r="AK403" s="599">
        <f>(3.14*(scheduleapr[[#This Row],[ACTUAL OD]]-scheduleapr[[#This Row],[TICKNESS]])*scheduleapr[[#This Row],[TICKNESS]]*scheduleapr[[#This Row],[LENGTH]]*7.85)/1000000*scheduleapr[[#This Row],[DISPATCH]]/1000</f>
        <v/>
      </c>
      <c r="AL403" s="599">
        <f>AJ403-AK403</f>
        <v/>
      </c>
      <c r="AM403" s="599">
        <f>scheduleapr[[#This Row],[SCHEDULE in nos]]/scheduleapr[[#This Row],[SCHEDULE IN MT]]*scheduleapr[[#This Row],[CTL Stock]]</f>
        <v/>
      </c>
      <c r="AN403" s="599">
        <f>SUMIFS(stock[MT],stock[Bucket],scheduleapr[[#This Row],[Bucket]],stock[CTL Bucket],scheduleapr[[#This Row],[CTL Bucket]],stock[Plant],"0789")</f>
        <v/>
      </c>
      <c r="AO403" s="599" t="n"/>
      <c r="AP403" s="599">
        <f>SUMIFS(stock[MT],stock[Bucket],scheduleapr[[#This Row],[Bucket]],stock[LL or CTL],"LL")</f>
        <v/>
      </c>
      <c r="AQ403" s="599">
        <f>+SUMIFS(wip[Stock(Net Wt)],wip[Bucket],scheduleapr[[#This Row],[Bucket]])/1000</f>
        <v/>
      </c>
      <c r="AR403" s="599">
        <f>AJ403-AN403</f>
        <v/>
      </c>
      <c r="AS403" s="118" t="n"/>
    </row>
    <row r="404">
      <c r="A404" s="594" t="n">
        <v>379</v>
      </c>
      <c r="B404" s="5" t="inlineStr">
        <is>
          <t>Hosur</t>
        </is>
      </c>
      <c r="C404" s="601" t="inlineStr">
        <is>
          <t>Rajsriya Unit 1</t>
        </is>
      </c>
      <c r="D404" s="601" t="inlineStr">
        <is>
          <t>Rajsriya Automotive Hosur</t>
        </is>
      </c>
      <c r="E404" s="601" t="inlineStr">
        <is>
          <t>129695|187884|188415|189239|189240</t>
        </is>
      </c>
      <c r="F404" s="557" t="n"/>
      <c r="G404" s="601">
        <f>_xlfn.CONCAT(scheduleapr[[#This Row],[CUSTOMER CODE]],"-",scheduleapr[[#This Row],[MATERIAL NO]])</f>
        <v/>
      </c>
      <c r="H404" s="557" t="n"/>
      <c r="I404" s="601" t="inlineStr">
        <is>
          <t>ERW 1</t>
        </is>
      </c>
      <c r="J404" s="557" t="n"/>
      <c r="K404" s="601" t="inlineStr">
        <is>
          <t>PE</t>
        </is>
      </c>
      <c r="L404" s="601" t="inlineStr">
        <is>
          <t>HR</t>
        </is>
      </c>
      <c r="M404" s="557" t="n"/>
      <c r="N404" s="557" t="n"/>
      <c r="O404" s="557" t="n"/>
      <c r="P404" s="557" t="n"/>
      <c r="Q404" s="557">
        <f>CONCATENATE(scheduleapr[[#This Row],[OD]],"-",scheduleapr[[#This Row],[ID]],"-",scheduleapr[[#This Row],[TICKNESS]],"-",scheduleapr[[#This Row],[Grade]],"-",scheduleapr[[#This Row],[FC/NFC]])</f>
        <v/>
      </c>
      <c r="R404" s="557">
        <f>_xlfn.CONCAT(scheduleapr[[#This Row],[Bucket]],"-",scheduleapr[[#This Row],[LENGTH]]/1000)</f>
        <v/>
      </c>
      <c r="S404" s="557">
        <f>COUNTIF(scheduleapr[CTL Bucket],scheduleapr[[#This Row],[CTL Bucket]])</f>
        <v/>
      </c>
      <c r="T404" s="601" t="inlineStr">
        <is>
          <t>Hosur</t>
        </is>
      </c>
      <c r="U404" s="601" t="n"/>
      <c r="V404" s="601" t="n"/>
      <c r="W404" s="601" t="n"/>
      <c r="X404" s="599" t="n">
        <v>15.88</v>
      </c>
      <c r="Y404" s="599" t="n">
        <v>15.88</v>
      </c>
      <c r="Z404" s="599" t="n">
        <v>0</v>
      </c>
      <c r="AA404" s="599" t="n">
        <v>2</v>
      </c>
      <c r="AB404" s="600" t="n">
        <v>537</v>
      </c>
      <c r="AC404" s="600" t="inlineStr">
        <is>
          <t>NOS</t>
        </is>
      </c>
      <c r="AD404" s="600" t="n"/>
      <c r="AE404" s="600" t="n"/>
      <c r="AF404" s="601" t="n"/>
      <c r="AG404" s="601" t="n"/>
      <c r="AH404" s="601">
        <f t="array" ref="AH4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4" s="602">
        <f>scheduleapr[[#This Row],[SCHEDULE in nos]]-scheduleapr[[#This Row],[DISPATCH]]</f>
        <v/>
      </c>
      <c r="AJ404" s="599">
        <f>(3.14*(scheduleapr[[#This Row],[ACTUAL OD]]-scheduleapr[[#This Row],[TICKNESS]])*scheduleapr[[#This Row],[TICKNESS]]*scheduleapr[[#This Row],[LENGTH]]*7.85)/1000000*scheduleapr[[#This Row],[SCHEDULE in nos]]/1000</f>
        <v/>
      </c>
      <c r="AK404" s="599">
        <f>(3.14*(scheduleapr[[#This Row],[ACTUAL OD]]-scheduleapr[[#This Row],[TICKNESS]])*scheduleapr[[#This Row],[TICKNESS]]*scheduleapr[[#This Row],[LENGTH]]*7.85)/1000000*scheduleapr[[#This Row],[DISPATCH]]/1000</f>
        <v/>
      </c>
      <c r="AL404" s="599">
        <f>AJ404-AK404</f>
        <v/>
      </c>
      <c r="AM404" s="599">
        <f>scheduleapr[[#This Row],[SCHEDULE in nos]]/scheduleapr[[#This Row],[SCHEDULE IN MT]]*scheduleapr[[#This Row],[CTL Stock]]</f>
        <v/>
      </c>
      <c r="AN404" s="599">
        <f>SUMIFS(stock[MT],stock[Bucket],scheduleapr[[#This Row],[Bucket]],stock[CTL Bucket],scheduleapr[[#This Row],[CTL Bucket]],stock[Plant],"0789")</f>
        <v/>
      </c>
      <c r="AO404" s="599" t="n"/>
      <c r="AP404" s="599">
        <f>SUMIFS(stock[MT],stock[Bucket],scheduleapr[[#This Row],[Bucket]],stock[LL or CTL],"LL")</f>
        <v/>
      </c>
      <c r="AQ404" s="599">
        <f>+SUMIFS(wip[Stock(Net Wt)],wip[Bucket],scheduleapr[[#This Row],[Bucket]])/1000</f>
        <v/>
      </c>
      <c r="AR404" s="599">
        <f>AJ404-AN404</f>
        <v/>
      </c>
      <c r="AS404" s="118" t="n"/>
    </row>
    <row r="405">
      <c r="A405" s="594" t="n">
        <v>304</v>
      </c>
      <c r="B405" s="5" t="inlineStr">
        <is>
          <t>Hosur</t>
        </is>
      </c>
      <c r="C405" s="601" t="inlineStr">
        <is>
          <t>Rajsriya Automotive</t>
        </is>
      </c>
      <c r="D405" s="601" t="inlineStr">
        <is>
          <t>Rajsriya Automotive Hosur</t>
        </is>
      </c>
      <c r="E405" s="601" t="inlineStr">
        <is>
          <t>129695|187884|188415|189239|189240</t>
        </is>
      </c>
      <c r="F405" s="601" t="n">
        <v>1529261</v>
      </c>
      <c r="G405" s="601">
        <f>_xlfn.CONCAT(scheduleapr[[#This Row],[CUSTOMER CODE]],"-",scheduleapr[[#This Row],[MATERIAL NO]])</f>
        <v/>
      </c>
      <c r="H405" s="601" t="inlineStr">
        <is>
          <t>TUB-O-N-AUT-AW-PE-19.05X1.600X0.2890</t>
        </is>
      </c>
      <c r="I405" s="601" t="inlineStr">
        <is>
          <t>ERW 1</t>
        </is>
      </c>
      <c r="J405" s="601" t="n"/>
      <c r="K405" s="601" t="n"/>
      <c r="L405" s="601" t="inlineStr">
        <is>
          <t>HR</t>
        </is>
      </c>
      <c r="M405" s="601" t="n"/>
      <c r="N405" s="601" t="n"/>
      <c r="O405" s="601" t="n"/>
      <c r="P405" s="601" t="n"/>
      <c r="Q405" s="557">
        <f>CONCATENATE(scheduleapr[[#This Row],[OD]],"-",scheduleapr[[#This Row],[ID]],"-",scheduleapr[[#This Row],[TICKNESS]],"-",scheduleapr[[#This Row],[Grade]],"-",scheduleapr[[#This Row],[FC/NFC]])</f>
        <v/>
      </c>
      <c r="R405" s="557">
        <f>_xlfn.CONCAT(scheduleapr[[#This Row],[Bucket]],"-",scheduleapr[[#This Row],[LENGTH]]/1000)</f>
        <v/>
      </c>
      <c r="S405" s="557">
        <f>COUNTIF([2]!buckets[CTL Bucket],[2]!scheduleapr[[#This Row],[CTL Bucket]])</f>
        <v/>
      </c>
      <c r="T405" s="557" t="n"/>
      <c r="U405" s="557" t="n"/>
      <c r="V405" s="557" t="n"/>
      <c r="W405" s="557" t="n"/>
      <c r="X405" s="599" t="n">
        <v>19.05</v>
      </c>
      <c r="Y405" s="599" t="n">
        <v>19.05</v>
      </c>
      <c r="Z405" s="599" t="n">
        <v>0</v>
      </c>
      <c r="AA405" s="599" t="n">
        <v>1.6</v>
      </c>
      <c r="AB405" s="600" t="n">
        <v>289</v>
      </c>
      <c r="AC405" s="600" t="n"/>
      <c r="AD405" s="600" t="n"/>
      <c r="AE405" s="600" t="n"/>
      <c r="AF405" s="601" t="n"/>
      <c r="AG405" s="601" t="n"/>
      <c r="AH405" s="601">
        <f t="array" ref="AH4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5" s="602">
        <f>scheduleapr[[#This Row],[SCHEDULE in nos]]-scheduleapr[[#This Row],[DISPATCH]]</f>
        <v/>
      </c>
      <c r="AJ405" s="599">
        <f>(3.14*(scheduleapr[[#This Row],[ACTUAL OD]]-scheduleapr[[#This Row],[TICKNESS]])*scheduleapr[[#This Row],[TICKNESS]]*scheduleapr[[#This Row],[LENGTH]]*7.85)/1000000*scheduleapr[[#This Row],[SCHEDULE in nos]]/1000</f>
        <v/>
      </c>
      <c r="AK405" s="599">
        <f>(3.14*(scheduleapr[[#This Row],[ACTUAL OD]]-scheduleapr[[#This Row],[TICKNESS]])*scheduleapr[[#This Row],[TICKNESS]]*scheduleapr[[#This Row],[LENGTH]]*7.85)/1000000*scheduleapr[[#This Row],[DISPATCH]]/1000</f>
        <v/>
      </c>
      <c r="AL405" s="599">
        <f>AJ405-AK405</f>
        <v/>
      </c>
      <c r="AM405" s="599">
        <f>scheduleapr[[#This Row],[SCHEDULE in nos]]/scheduleapr[[#This Row],[SCHEDULE IN MT]]*scheduleapr[[#This Row],[CTL Stock]]</f>
        <v/>
      </c>
      <c r="AN405" s="599">
        <f>SUMIFS(stock[MT],stock[Bucket],scheduleapr[[#This Row],[Bucket]],stock[CTL Bucket],scheduleapr[[#This Row],[CTL Bucket]],stock[Plant],"0789")</f>
        <v/>
      </c>
      <c r="AO405" s="599" t="n"/>
      <c r="AP405" s="599">
        <f>SUMIFS(stock[MT],stock[Bucket],scheduleapr[[#This Row],[Bucket]],stock[LL or CTL],"LL")</f>
        <v/>
      </c>
      <c r="AQ405" s="599">
        <f>+SUMIFS(wip[Stock(Net Wt)],wip[Bucket],scheduleapr[[#This Row],[Bucket]])/1000</f>
        <v/>
      </c>
      <c r="AR405" s="599">
        <f>AJ405-AN405</f>
        <v/>
      </c>
      <c r="AS405" s="118" t="n"/>
    </row>
    <row r="406">
      <c r="A406" s="594" t="n">
        <v>305</v>
      </c>
      <c r="B406" s="5" t="inlineStr">
        <is>
          <t>Hosur</t>
        </is>
      </c>
      <c r="C406" s="601" t="inlineStr">
        <is>
          <t>Rajsriya Automotive</t>
        </is>
      </c>
      <c r="D406" s="601" t="inlineStr">
        <is>
          <t>Rajsriya Automotive Hosur</t>
        </is>
      </c>
      <c r="E406" s="601" t="inlineStr">
        <is>
          <t>129695|187884|188415|189239|189240</t>
        </is>
      </c>
      <c r="F406" s="601" t="n">
        <v>1529260</v>
      </c>
      <c r="G406" s="601">
        <f>_xlfn.CONCAT(scheduleapr[[#This Row],[CUSTOMER CODE]],"-",scheduleapr[[#This Row],[MATERIAL NO]])</f>
        <v/>
      </c>
      <c r="H406" s="601" t="inlineStr">
        <is>
          <t>TUB-O-N-AUT-AW-PE-19.05X1.600X0.2990</t>
        </is>
      </c>
      <c r="I406" s="601" t="inlineStr">
        <is>
          <t>ERW 1</t>
        </is>
      </c>
      <c r="J406" s="601" t="n"/>
      <c r="K406" s="601" t="n"/>
      <c r="L406" s="601" t="inlineStr">
        <is>
          <t>HR</t>
        </is>
      </c>
      <c r="M406" s="601" t="n"/>
      <c r="N406" s="601" t="n"/>
      <c r="O406" s="601" t="n"/>
      <c r="P406" s="601" t="n"/>
      <c r="Q406" s="557">
        <f>CONCATENATE(scheduleapr[[#This Row],[OD]],"-",scheduleapr[[#This Row],[ID]],"-",scheduleapr[[#This Row],[TICKNESS]],"-",scheduleapr[[#This Row],[Grade]],"-",scheduleapr[[#This Row],[FC/NFC]])</f>
        <v/>
      </c>
      <c r="R406" s="557">
        <f>_xlfn.CONCAT(scheduleapr[[#This Row],[Bucket]],"-",scheduleapr[[#This Row],[LENGTH]]/1000)</f>
        <v/>
      </c>
      <c r="S406" s="557">
        <f>COUNTIF([2]!buckets[CTL Bucket],[2]!scheduleapr[[#This Row],[CTL Bucket]])</f>
        <v/>
      </c>
      <c r="T406" s="557" t="n"/>
      <c r="U406" s="557" t="n"/>
      <c r="V406" s="557" t="n"/>
      <c r="W406" s="557" t="n"/>
      <c r="X406" s="599" t="n">
        <v>19.05</v>
      </c>
      <c r="Y406" s="599" t="n">
        <v>19.05</v>
      </c>
      <c r="Z406" s="599" t="n">
        <v>0</v>
      </c>
      <c r="AA406" s="599" t="n">
        <v>1.6</v>
      </c>
      <c r="AB406" s="600" t="n">
        <v>299</v>
      </c>
      <c r="AC406" s="600" t="n"/>
      <c r="AD406" s="600" t="n"/>
      <c r="AE406" s="600" t="n"/>
      <c r="AF406" s="601" t="n"/>
      <c r="AG406" s="601" t="n"/>
      <c r="AH406" s="601">
        <f t="array" ref="AH4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6" s="602">
        <f>scheduleapr[[#This Row],[SCHEDULE in nos]]-scheduleapr[[#This Row],[DISPATCH]]</f>
        <v/>
      </c>
      <c r="AJ406" s="599">
        <f>(3.14*(scheduleapr[[#This Row],[ACTUAL OD]]-scheduleapr[[#This Row],[TICKNESS]])*scheduleapr[[#This Row],[TICKNESS]]*scheduleapr[[#This Row],[LENGTH]]*7.85)/1000000*scheduleapr[[#This Row],[SCHEDULE in nos]]/1000</f>
        <v/>
      </c>
      <c r="AK406" s="599">
        <f>(3.14*(scheduleapr[[#This Row],[ACTUAL OD]]-scheduleapr[[#This Row],[TICKNESS]])*scheduleapr[[#This Row],[TICKNESS]]*scheduleapr[[#This Row],[LENGTH]]*7.85)/1000000*scheduleapr[[#This Row],[DISPATCH]]/1000</f>
        <v/>
      </c>
      <c r="AL406" s="599">
        <f>AJ406-AK406</f>
        <v/>
      </c>
      <c r="AM406" s="599">
        <f>scheduleapr[[#This Row],[SCHEDULE in nos]]/scheduleapr[[#This Row],[SCHEDULE IN MT]]*scheduleapr[[#This Row],[CTL Stock]]</f>
        <v/>
      </c>
      <c r="AN406" s="599">
        <f>SUMIFS(stock[MT],stock[Bucket],scheduleapr[[#This Row],[Bucket]],stock[CTL Bucket],scheduleapr[[#This Row],[CTL Bucket]],stock[Plant],"0789")</f>
        <v/>
      </c>
      <c r="AO406" s="599" t="n"/>
      <c r="AP406" s="599">
        <f>SUMIFS(stock[MT],stock[Bucket],scheduleapr[[#This Row],[Bucket]],stock[LL or CTL],"LL")</f>
        <v/>
      </c>
      <c r="AQ406" s="599">
        <f>+SUMIFS(wip[Stock(Net Wt)],wip[Bucket],scheduleapr[[#This Row],[Bucket]])/1000</f>
        <v/>
      </c>
      <c r="AR406" s="599">
        <f>AJ406-AN406</f>
        <v/>
      </c>
      <c r="AS406" s="118" t="n"/>
    </row>
    <row r="407">
      <c r="A407" s="594" t="n">
        <v>373</v>
      </c>
      <c r="B407" s="5" t="inlineStr">
        <is>
          <t>Hosur</t>
        </is>
      </c>
      <c r="C407" s="601" t="inlineStr">
        <is>
          <t>Rajsriya Unit 2</t>
        </is>
      </c>
      <c r="D407" s="601" t="inlineStr">
        <is>
          <t>Rajsriya Automotive Hosur</t>
        </is>
      </c>
      <c r="E407" s="601" t="inlineStr">
        <is>
          <t>129695|187884|188415|189239|189240</t>
        </is>
      </c>
      <c r="F407" s="601" t="n">
        <v>1940266</v>
      </c>
      <c r="G407" s="601">
        <f>_xlfn.CONCAT(scheduleapr[[#This Row],[CUSTOMER CODE]],"-",scheduleapr[[#This Row],[MATERIAL NO]])</f>
        <v/>
      </c>
      <c r="H407" s="601" t="inlineStr">
        <is>
          <t>TUB-O-O-AUT-AW-PE-19.05X2.000X0.2130</t>
        </is>
      </c>
      <c r="I407" s="601" t="inlineStr">
        <is>
          <t>ERW 1</t>
        </is>
      </c>
      <c r="J407" s="601" t="n"/>
      <c r="K407" s="601" t="inlineStr">
        <is>
          <t>PE</t>
        </is>
      </c>
      <c r="L407" s="601" t="inlineStr">
        <is>
          <t>HR</t>
        </is>
      </c>
      <c r="M407" s="601" t="n"/>
      <c r="N407" s="601" t="n"/>
      <c r="O407" s="601" t="n"/>
      <c r="P407" s="601" t="n"/>
      <c r="Q407" s="557">
        <f>CONCATENATE(scheduleapr[[#This Row],[OD]],"-",scheduleapr[[#This Row],[ID]],"-",scheduleapr[[#This Row],[TICKNESS]],"-",scheduleapr[[#This Row],[Grade]],"-",scheduleapr[[#This Row],[FC/NFC]])</f>
        <v/>
      </c>
      <c r="R407" s="557">
        <f>_xlfn.CONCAT(scheduleapr[[#This Row],[Bucket]],"-",scheduleapr[[#This Row],[LENGTH]]/1000)</f>
        <v/>
      </c>
      <c r="S407" s="557">
        <f>COUNTIF(scheduleapr[CTL Bucket],scheduleapr[[#This Row],[CTL Bucket]])</f>
        <v/>
      </c>
      <c r="T407" s="601" t="inlineStr">
        <is>
          <t>Hosur</t>
        </is>
      </c>
      <c r="U407" s="601">
        <f>_xlfn.IFNA(VLOOKUP(scheduleapr[[#This Row],[Bucket]],salesforecast[[#All],[Bucket2]:[8406 Stock]],19,0),0)</f>
        <v/>
      </c>
      <c r="V407" s="562">
        <f>_xlfn.IFNA(VLOOKUP(scheduleapr[[#This Row],[Bucket]],salesforecast[[#All],[Bucket2]:[8406 Stock]],20,0),0)+_xlfn.IFNA(VLOOKUP(scheduleapr[[#This Row],[Bucket]],salesforecast[[#All],[Bucket2]:[8406 Stock]],17,0),0)</f>
        <v/>
      </c>
      <c r="W407" s="557" t="n"/>
      <c r="X407" s="599" t="n">
        <v>19.05</v>
      </c>
      <c r="Y407" s="599" t="n">
        <v>19.05</v>
      </c>
      <c r="Z407" s="599" t="n">
        <v>0</v>
      </c>
      <c r="AA407" s="599" t="n">
        <v>2</v>
      </c>
      <c r="AB407" s="600" t="n">
        <v>213</v>
      </c>
      <c r="AC407" s="600" t="inlineStr">
        <is>
          <t>NOS</t>
        </is>
      </c>
      <c r="AD407" s="600" t="n"/>
      <c r="AE407" s="600" t="n"/>
      <c r="AF407" s="601" t="n">
        <v>5000</v>
      </c>
      <c r="AG407" s="601" t="inlineStr">
        <is>
          <t>Aug 2026 schedule · rajsriya PLANT2</t>
        </is>
      </c>
      <c r="AH407" s="601">
        <f t="array" ref="AH4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7" s="602">
        <f>scheduleapr[[#This Row],[SCHEDULE in nos]]-scheduleapr[[#This Row],[DISPATCH]]</f>
        <v/>
      </c>
      <c r="AJ407" s="599">
        <f>(3.14*(scheduleapr[[#This Row],[ACTUAL OD]]-scheduleapr[[#This Row],[TICKNESS]])*scheduleapr[[#This Row],[TICKNESS]]*scheduleapr[[#This Row],[LENGTH]]*7.85)/1000000*scheduleapr[[#This Row],[SCHEDULE in nos]]/1000</f>
        <v/>
      </c>
      <c r="AK407" s="599">
        <f>(3.14*(scheduleapr[[#This Row],[ACTUAL OD]]-scheduleapr[[#This Row],[TICKNESS]])*scheduleapr[[#This Row],[TICKNESS]]*scheduleapr[[#This Row],[LENGTH]]*7.85)/1000000*scheduleapr[[#This Row],[DISPATCH]]/1000</f>
        <v/>
      </c>
      <c r="AL407" s="599">
        <f>AJ407-AK407</f>
        <v/>
      </c>
      <c r="AM407" s="599">
        <f>scheduleapr[[#This Row],[SCHEDULE in nos]]/scheduleapr[[#This Row],[SCHEDULE IN MT]]*scheduleapr[[#This Row],[CTL Stock]]</f>
        <v/>
      </c>
      <c r="AN407" s="599">
        <f>SUMIFS(stock[MT],stock[Bucket],scheduleapr[[#This Row],[Bucket]],stock[CTL Bucket],scheduleapr[[#This Row],[CTL Bucket]],stock[Plant],"0789")</f>
        <v/>
      </c>
      <c r="AO407" s="599" t="n"/>
      <c r="AP407" s="599">
        <f>SUMIFS(stock[MT],stock[Bucket],scheduleapr[[#This Row],[Bucket]],stock[LL or CTL],"LL")</f>
        <v/>
      </c>
      <c r="AQ407" s="599">
        <f>+SUMIFS(wip[Stock(Net Wt)],wip[Bucket],scheduleapr[[#This Row],[Bucket]])/1000</f>
        <v/>
      </c>
      <c r="AR407" s="599">
        <f>AJ407-AN407</f>
        <v/>
      </c>
      <c r="AS407" s="118" t="n"/>
    </row>
    <row r="408">
      <c r="A408" s="594" t="n">
        <v>374</v>
      </c>
      <c r="B408" s="5" t="inlineStr">
        <is>
          <t>Hosur</t>
        </is>
      </c>
      <c r="C408" s="601" t="inlineStr">
        <is>
          <t>Rajsriya Unit 2</t>
        </is>
      </c>
      <c r="D408" s="601" t="inlineStr">
        <is>
          <t>Rajsriya Automotive Hosur</t>
        </is>
      </c>
      <c r="E408" s="601" t="inlineStr">
        <is>
          <t>129695|187884|188415|189239|189240</t>
        </is>
      </c>
      <c r="F408" s="601" t="n">
        <v>1940269</v>
      </c>
      <c r="G408" s="601">
        <f>_xlfn.CONCAT(scheduleapr[[#This Row],[CUSTOMER CODE]],"-",scheduleapr[[#This Row],[MATERIAL NO]])</f>
        <v/>
      </c>
      <c r="H408" s="601" t="inlineStr">
        <is>
          <t>TUB-O-O-AUT-AW-PE-19.05X2.000X0.2400</t>
        </is>
      </c>
      <c r="I408" s="601" t="inlineStr">
        <is>
          <t>ERW 1</t>
        </is>
      </c>
      <c r="J408" s="601" t="n"/>
      <c r="K408" s="601" t="inlineStr">
        <is>
          <t>PE</t>
        </is>
      </c>
      <c r="L408" s="601" t="inlineStr">
        <is>
          <t>HR</t>
        </is>
      </c>
      <c r="M408" s="601" t="n"/>
      <c r="N408" s="601" t="n"/>
      <c r="O408" s="601" t="n"/>
      <c r="P408" s="601" t="n"/>
      <c r="Q408" s="557">
        <f>CONCATENATE(scheduleapr[[#This Row],[OD]],"-",scheduleapr[[#This Row],[ID]],"-",scheduleapr[[#This Row],[TICKNESS]],"-",scheduleapr[[#This Row],[Grade]],"-",scheduleapr[[#This Row],[FC/NFC]])</f>
        <v/>
      </c>
      <c r="R408" s="557">
        <f>_xlfn.CONCAT(scheduleapr[[#This Row],[Bucket]],"-",scheduleapr[[#This Row],[LENGTH]]/1000)</f>
        <v/>
      </c>
      <c r="S408" s="557">
        <f>COUNTIF(scheduleapr[CTL Bucket],scheduleapr[[#This Row],[CTL Bucket]])</f>
        <v/>
      </c>
      <c r="T408" s="601" t="inlineStr">
        <is>
          <t>Hosur</t>
        </is>
      </c>
      <c r="U408" s="601">
        <f>_xlfn.IFNA(VLOOKUP(scheduleapr[[#This Row],[Bucket]],salesforecast[[#All],[Bucket2]:[8406 Stock]],19,0),0)</f>
        <v/>
      </c>
      <c r="V408" s="562">
        <f>_xlfn.IFNA(VLOOKUP(scheduleapr[[#This Row],[Bucket]],salesforecast[[#All],[Bucket2]:[8406 Stock]],20,0),0)+_xlfn.IFNA(VLOOKUP(scheduleapr[[#This Row],[Bucket]],salesforecast[[#All],[Bucket2]:[8406 Stock]],17,0),0)</f>
        <v/>
      </c>
      <c r="W408" s="557" t="n"/>
      <c r="X408" s="599" t="n">
        <v>19.05</v>
      </c>
      <c r="Y408" s="599" t="n">
        <v>19.05</v>
      </c>
      <c r="Z408" s="599" t="n">
        <v>0</v>
      </c>
      <c r="AA408" s="599" t="n">
        <v>2</v>
      </c>
      <c r="AB408" s="600" t="n">
        <v>240</v>
      </c>
      <c r="AC408" s="600" t="inlineStr">
        <is>
          <t>NOS</t>
        </is>
      </c>
      <c r="AD408" s="600" t="n"/>
      <c r="AE408" s="600" t="n"/>
      <c r="AF408" s="601" t="n">
        <v>5000</v>
      </c>
      <c r="AG408" s="601" t="inlineStr">
        <is>
          <t>Aug 2026 schedule · rajsriya PLANT2</t>
        </is>
      </c>
      <c r="AH408" s="601">
        <f t="array" ref="AH4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8" s="602">
        <f>scheduleapr[[#This Row],[SCHEDULE in nos]]-scheduleapr[[#This Row],[DISPATCH]]</f>
        <v/>
      </c>
      <c r="AJ408" s="599">
        <f>(3.14*(scheduleapr[[#This Row],[ACTUAL OD]]-scheduleapr[[#This Row],[TICKNESS]])*scheduleapr[[#This Row],[TICKNESS]]*scheduleapr[[#This Row],[LENGTH]]*7.85)/1000000*scheduleapr[[#This Row],[SCHEDULE in nos]]/1000</f>
        <v/>
      </c>
      <c r="AK408" s="599">
        <f>(3.14*(scheduleapr[[#This Row],[ACTUAL OD]]-scheduleapr[[#This Row],[TICKNESS]])*scheduleapr[[#This Row],[TICKNESS]]*scheduleapr[[#This Row],[LENGTH]]*7.85)/1000000*scheduleapr[[#This Row],[DISPATCH]]/1000</f>
        <v/>
      </c>
      <c r="AL408" s="599">
        <f>AJ408-AK408</f>
        <v/>
      </c>
      <c r="AM408" s="599">
        <f>scheduleapr[[#This Row],[SCHEDULE in nos]]/scheduleapr[[#This Row],[SCHEDULE IN MT]]*scheduleapr[[#This Row],[CTL Stock]]</f>
        <v/>
      </c>
      <c r="AN408" s="599">
        <f>SUMIFS(stock[MT],stock[Bucket],scheduleapr[[#This Row],[Bucket]],stock[CTL Bucket],scheduleapr[[#This Row],[CTL Bucket]],stock[Plant],"0789")</f>
        <v/>
      </c>
      <c r="AO408" s="599" t="n"/>
      <c r="AP408" s="599">
        <f>SUMIFS(stock[MT],stock[Bucket],scheduleapr[[#This Row],[Bucket]],stock[LL or CTL],"LL")</f>
        <v/>
      </c>
      <c r="AQ408" s="599">
        <f>+SUMIFS(wip[Stock(Net Wt)],wip[Bucket],scheduleapr[[#This Row],[Bucket]])/1000</f>
        <v/>
      </c>
      <c r="AR408" s="599">
        <f>AJ408-AN408</f>
        <v/>
      </c>
      <c r="AS408" s="118" t="n"/>
    </row>
    <row r="409">
      <c r="A409" s="594" t="n">
        <v>375</v>
      </c>
      <c r="B409" s="5" t="inlineStr">
        <is>
          <t>Hosur</t>
        </is>
      </c>
      <c r="C409" s="601" t="inlineStr">
        <is>
          <t>Rajsriya Unit 2</t>
        </is>
      </c>
      <c r="D409" s="601" t="inlineStr">
        <is>
          <t>Rajsriya Automotive Hosur</t>
        </is>
      </c>
      <c r="E409" s="601" t="inlineStr">
        <is>
          <t>129695|187884|188415|189239|189240</t>
        </is>
      </c>
      <c r="F409" s="601" t="n">
        <v>1940272</v>
      </c>
      <c r="G409" s="601">
        <f>_xlfn.CONCAT(scheduleapr[[#This Row],[CUSTOMER CODE]],"-",scheduleapr[[#This Row],[MATERIAL NO]])</f>
        <v/>
      </c>
      <c r="H409" s="601" t="inlineStr">
        <is>
          <t>TUB-O-O-AUT-AW-PE-19.05X2.000X0.2590</t>
        </is>
      </c>
      <c r="I409" s="601" t="inlineStr">
        <is>
          <t>ERW 1</t>
        </is>
      </c>
      <c r="J409" s="601" t="n"/>
      <c r="K409" s="601" t="inlineStr">
        <is>
          <t>PE</t>
        </is>
      </c>
      <c r="L409" s="601" t="inlineStr">
        <is>
          <t>HR</t>
        </is>
      </c>
      <c r="M409" s="601" t="n"/>
      <c r="N409" s="601" t="n"/>
      <c r="O409" s="601" t="n"/>
      <c r="P409" s="601" t="n"/>
      <c r="Q409" s="557">
        <f>CONCATENATE(scheduleapr[[#This Row],[OD]],"-",scheduleapr[[#This Row],[ID]],"-",scheduleapr[[#This Row],[TICKNESS]],"-",scheduleapr[[#This Row],[Grade]],"-",scheduleapr[[#This Row],[FC/NFC]])</f>
        <v/>
      </c>
      <c r="R409" s="557">
        <f>_xlfn.CONCAT(scheduleapr[[#This Row],[Bucket]],"-",scheduleapr[[#This Row],[LENGTH]]/1000)</f>
        <v/>
      </c>
      <c r="S409" s="557">
        <f>COUNTIF(scheduleapr[CTL Bucket],scheduleapr[[#This Row],[CTL Bucket]])</f>
        <v/>
      </c>
      <c r="T409" s="601" t="inlineStr">
        <is>
          <t>Hosur</t>
        </is>
      </c>
      <c r="U409" s="601">
        <f>_xlfn.IFNA(VLOOKUP(scheduleapr[[#This Row],[Bucket]],salesforecast[[#All],[Bucket2]:[8406 Stock]],19,0),0)</f>
        <v/>
      </c>
      <c r="V409" s="562">
        <f>_xlfn.IFNA(VLOOKUP(scheduleapr[[#This Row],[Bucket]],salesforecast[[#All],[Bucket2]:[8406 Stock]],20,0),0)+_xlfn.IFNA(VLOOKUP(scheduleapr[[#This Row],[Bucket]],salesforecast[[#All],[Bucket2]:[8406 Stock]],17,0),0)</f>
        <v/>
      </c>
      <c r="W409" s="557" t="n"/>
      <c r="X409" s="599" t="n">
        <v>19.05</v>
      </c>
      <c r="Y409" s="599" t="n">
        <v>19.05</v>
      </c>
      <c r="Z409" s="599" t="n">
        <v>0</v>
      </c>
      <c r="AA409" s="599" t="n">
        <v>2</v>
      </c>
      <c r="AB409" s="600" t="n">
        <v>259</v>
      </c>
      <c r="AC409" s="600" t="inlineStr">
        <is>
          <t>NOS</t>
        </is>
      </c>
      <c r="AD409" s="600" t="n"/>
      <c r="AE409" s="600" t="n"/>
      <c r="AF409" s="601" t="n">
        <v>5000</v>
      </c>
      <c r="AG409" s="601" t="inlineStr">
        <is>
          <t>Aug 2026 schedule · rajsriya PLANT2</t>
        </is>
      </c>
      <c r="AH409" s="601">
        <f t="array" ref="AH4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09" s="602">
        <f>scheduleapr[[#This Row],[SCHEDULE in nos]]-scheduleapr[[#This Row],[DISPATCH]]</f>
        <v/>
      </c>
      <c r="AJ409" s="599">
        <f>(3.14*(scheduleapr[[#This Row],[ACTUAL OD]]-scheduleapr[[#This Row],[TICKNESS]])*scheduleapr[[#This Row],[TICKNESS]]*scheduleapr[[#This Row],[LENGTH]]*7.85)/1000000*scheduleapr[[#This Row],[SCHEDULE in nos]]/1000</f>
        <v/>
      </c>
      <c r="AK409" s="599">
        <f>(3.14*(scheduleapr[[#This Row],[ACTUAL OD]]-scheduleapr[[#This Row],[TICKNESS]])*scheduleapr[[#This Row],[TICKNESS]]*scheduleapr[[#This Row],[LENGTH]]*7.85)/1000000*scheduleapr[[#This Row],[DISPATCH]]/1000</f>
        <v/>
      </c>
      <c r="AL409" s="599">
        <f>AJ409-AK409</f>
        <v/>
      </c>
      <c r="AM409" s="599">
        <f>scheduleapr[[#This Row],[SCHEDULE in nos]]/scheduleapr[[#This Row],[SCHEDULE IN MT]]*scheduleapr[[#This Row],[CTL Stock]]</f>
        <v/>
      </c>
      <c r="AN409" s="599">
        <f>SUMIFS(stock[MT],stock[Bucket],scheduleapr[[#This Row],[Bucket]],stock[CTL Bucket],scheduleapr[[#This Row],[CTL Bucket]],stock[Plant],"0789")</f>
        <v/>
      </c>
      <c r="AO409" s="599" t="n"/>
      <c r="AP409" s="599">
        <f>SUMIFS(stock[MT],stock[Bucket],scheduleapr[[#This Row],[Bucket]],stock[LL or CTL],"LL")</f>
        <v/>
      </c>
      <c r="AQ409" s="599">
        <f>+SUMIFS(wip[Stock(Net Wt)],wip[Bucket],scheduleapr[[#This Row],[Bucket]])/1000</f>
        <v/>
      </c>
      <c r="AR409" s="599">
        <f>AJ409-AN409</f>
        <v/>
      </c>
      <c r="AS409" s="118" t="n"/>
    </row>
    <row r="410">
      <c r="A410" s="594" t="n">
        <v>381</v>
      </c>
      <c r="B410" s="5" t="inlineStr">
        <is>
          <t>Hosur</t>
        </is>
      </c>
      <c r="C410" s="601" t="inlineStr">
        <is>
          <t>Rajsriya Unit 1</t>
        </is>
      </c>
      <c r="D410" s="601" t="inlineStr">
        <is>
          <t>Rajsriya Automotive Hosur</t>
        </is>
      </c>
      <c r="E410" s="601" t="inlineStr">
        <is>
          <t>129695|187884|188415|189239|189240</t>
        </is>
      </c>
      <c r="F410" s="557" t="n">
        <v>2422190</v>
      </c>
      <c r="G410" s="601">
        <f>_xlfn.CONCAT(scheduleapr[[#This Row],[CUSTOMER CODE]],"-",scheduleapr[[#This Row],[MATERIAL NO]])</f>
        <v/>
      </c>
      <c r="H410" s="557" t="inlineStr">
        <is>
          <t>TUB-O-N-AUT-AW-PE-19.05X2.000X0.2650</t>
        </is>
      </c>
      <c r="I410" s="601" t="inlineStr">
        <is>
          <t>ERW 1</t>
        </is>
      </c>
      <c r="J410" s="557" t="n"/>
      <c r="K410" s="601" t="inlineStr">
        <is>
          <t>PE</t>
        </is>
      </c>
      <c r="L410" s="601" t="inlineStr">
        <is>
          <t>HR</t>
        </is>
      </c>
      <c r="M410" s="557" t="n"/>
      <c r="N410" s="557" t="n"/>
      <c r="O410" s="557" t="n"/>
      <c r="P410" s="557" t="n"/>
      <c r="Q410" s="557">
        <f>CONCATENATE(scheduleapr[[#This Row],[OD]],"-",scheduleapr[[#This Row],[ID]],"-",scheduleapr[[#This Row],[TICKNESS]],"-",scheduleapr[[#This Row],[Grade]],"-",scheduleapr[[#This Row],[FC/NFC]])</f>
        <v/>
      </c>
      <c r="R410" s="557">
        <f>_xlfn.CONCAT(scheduleapr[[#This Row],[Bucket]],"-",scheduleapr[[#This Row],[LENGTH]]/1000)</f>
        <v/>
      </c>
      <c r="S410" s="557">
        <f>COUNTIF([2]!buckets[CTL Bucket],[2]!scheduleapr[[#This Row],[CTL Bucket]])</f>
        <v/>
      </c>
      <c r="T410" s="601" t="inlineStr">
        <is>
          <t>Hosur</t>
        </is>
      </c>
      <c r="U410" s="601">
        <f>_xlfn.IFNA(VLOOKUP(scheduleapr[[#This Row],[Bucket]],salesforecast[[#All],[Bucket2]:[8406 Stock]],19,0),0)</f>
        <v/>
      </c>
      <c r="V410" s="562">
        <f>_xlfn.IFNA(VLOOKUP(scheduleapr[[#This Row],[Bucket]],salesforecast[[#All],[Bucket2]:[8406 Stock]],20,0),0)+_xlfn.IFNA(VLOOKUP(scheduleapr[[#This Row],[Bucket]],salesforecast[[#All],[Bucket2]:[8406 Stock]],17,0),0)</f>
        <v/>
      </c>
      <c r="W410" s="601" t="n"/>
      <c r="X410" s="599" t="n">
        <v>19.05</v>
      </c>
      <c r="Y410" s="599" t="n">
        <v>19.05</v>
      </c>
      <c r="Z410" s="599" t="n">
        <v>0</v>
      </c>
      <c r="AA410" s="599" t="n">
        <v>2</v>
      </c>
      <c r="AB410" s="600" t="n">
        <v>265</v>
      </c>
      <c r="AC410" s="600" t="inlineStr">
        <is>
          <t>NOS</t>
        </is>
      </c>
      <c r="AD410" s="600" t="n"/>
      <c r="AE410" s="600" t="n"/>
      <c r="AF410" s="601" t="n">
        <v>10000</v>
      </c>
      <c r="AG410" s="601" t="inlineStr">
        <is>
          <t>Aug 2026 schedule · rajsriya PLANT-1</t>
        </is>
      </c>
      <c r="AH410" s="601">
        <f t="array" ref="AH4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0" s="602">
        <f>scheduleapr[[#This Row],[SCHEDULE in nos]]-scheduleapr[[#This Row],[DISPATCH]]</f>
        <v/>
      </c>
      <c r="AJ410" s="599">
        <f>(3.14*(scheduleapr[[#This Row],[ACTUAL OD]]-scheduleapr[[#This Row],[TICKNESS]])*scheduleapr[[#This Row],[TICKNESS]]*scheduleapr[[#This Row],[LENGTH]]*7.85)/1000000*scheduleapr[[#This Row],[SCHEDULE in nos]]/1000</f>
        <v/>
      </c>
      <c r="AK410" s="599">
        <f>(3.14*(scheduleapr[[#This Row],[ACTUAL OD]]-scheduleapr[[#This Row],[TICKNESS]])*scheduleapr[[#This Row],[TICKNESS]]*scheduleapr[[#This Row],[LENGTH]]*7.85)/1000000*scheduleapr[[#This Row],[DISPATCH]]/1000</f>
        <v/>
      </c>
      <c r="AL410" s="599">
        <f>AJ410-AK410</f>
        <v/>
      </c>
      <c r="AM410" s="599">
        <f>scheduleapr[[#This Row],[SCHEDULE in nos]]/scheduleapr[[#This Row],[SCHEDULE IN MT]]*scheduleapr[[#This Row],[CTL Stock]]</f>
        <v/>
      </c>
      <c r="AN410" s="599">
        <f>SUMIFS(stock[MT],stock[Bucket],scheduleapr[[#This Row],[Bucket]],stock[CTL Bucket],scheduleapr[[#This Row],[CTL Bucket]],stock[Plant],"0789")</f>
        <v/>
      </c>
      <c r="AO410" s="599" t="n"/>
      <c r="AP410" s="599">
        <f>SUMIFS(stock[MT],stock[Bucket],scheduleapr[[#This Row],[Bucket]],stock[LL or CTL],"LL")</f>
        <v/>
      </c>
      <c r="AQ410" s="599">
        <f>+SUMIFS(wip[Stock(Net Wt)],wip[Bucket],scheduleapr[[#This Row],[Bucket]])/1000</f>
        <v/>
      </c>
      <c r="AR410" s="599">
        <f>AJ410-AN410</f>
        <v/>
      </c>
      <c r="AS410" s="118" t="n"/>
    </row>
    <row r="411">
      <c r="A411" s="594" t="n">
        <v>306</v>
      </c>
      <c r="B411" s="5" t="inlineStr">
        <is>
          <t>Hosur</t>
        </is>
      </c>
      <c r="C411" s="601" t="inlineStr">
        <is>
          <t>Rajsriya Unit 5</t>
        </is>
      </c>
      <c r="D411" s="601" t="inlineStr">
        <is>
          <t>Rajsriya Automotive Hosur</t>
        </is>
      </c>
      <c r="E411" s="601" t="inlineStr">
        <is>
          <t>129695|187884|188415|189239|189240</t>
        </is>
      </c>
      <c r="F411" s="601" t="n">
        <v>2403386</v>
      </c>
      <c r="G411" s="601">
        <f>_xlfn.CONCAT(scheduleapr[[#This Row],[CUSTOMER CODE]],"-",scheduleapr[[#This Row],[MATERIAL NO]])</f>
        <v/>
      </c>
      <c r="H411" s="601" t="inlineStr">
        <is>
          <t>TUB-O-N-AUT-AW-PE-19.05X2.000X0.3580</t>
        </is>
      </c>
      <c r="I411" s="601" t="inlineStr">
        <is>
          <t>ERW 1</t>
        </is>
      </c>
      <c r="J411" s="601" t="n"/>
      <c r="K411" s="601" t="inlineStr">
        <is>
          <t>PE</t>
        </is>
      </c>
      <c r="L411" s="601" t="inlineStr">
        <is>
          <t>HR</t>
        </is>
      </c>
      <c r="M411" s="601" t="n"/>
      <c r="N411" s="601" t="n"/>
      <c r="O411" s="601" t="n"/>
      <c r="P411" s="601" t="n"/>
      <c r="Q411" s="557">
        <f>CONCATENATE(scheduleapr[[#This Row],[OD]],"-",scheduleapr[[#This Row],[ID]],"-",scheduleapr[[#This Row],[TICKNESS]],"-",scheduleapr[[#This Row],[Grade]],"-",scheduleapr[[#This Row],[FC/NFC]])</f>
        <v/>
      </c>
      <c r="R411" s="557">
        <f>_xlfn.CONCAT(scheduleapr[[#This Row],[Bucket]],"-",scheduleapr[[#This Row],[LENGTH]]/1000)</f>
        <v/>
      </c>
      <c r="S411" s="557">
        <f>COUNTIF(scheduleapr[CTL Bucket],scheduleapr[[#This Row],[CTL Bucket]])</f>
        <v/>
      </c>
      <c r="T411" s="557" t="n"/>
      <c r="U411" s="601">
        <f>_xlfn.IFNA(VLOOKUP(scheduleapr[[#This Row],[Bucket]],salesforecast[[#All],[Bucket2]:[8406 Stock]],19,0),0)</f>
        <v/>
      </c>
      <c r="V411" s="562">
        <f>_xlfn.IFNA(VLOOKUP(scheduleapr[[#This Row],[Bucket]],salesforecast[[#All],[Bucket2]:[8406 Stock]],20,0),0)+_xlfn.IFNA(VLOOKUP(scheduleapr[[#This Row],[Bucket]],salesforecast[[#All],[Bucket2]:[8406 Stock]],17,0),0)</f>
        <v/>
      </c>
      <c r="W411" s="557" t="n"/>
      <c r="X411" s="599" t="n">
        <v>19.05</v>
      </c>
      <c r="Y411" s="599" t="n">
        <v>19.05</v>
      </c>
      <c r="Z411" s="599" t="n">
        <v>0</v>
      </c>
      <c r="AA411" s="599" t="n">
        <v>2</v>
      </c>
      <c r="AB411" s="600" t="n">
        <v>358</v>
      </c>
      <c r="AC411" s="600" t="inlineStr">
        <is>
          <t>NOS</t>
        </is>
      </c>
      <c r="AD411" s="600" t="n"/>
      <c r="AE411" s="600" t="n"/>
      <c r="AF411" s="601" t="n">
        <v>10000</v>
      </c>
      <c r="AG411" s="601" t="inlineStr">
        <is>
          <t>Aug 2026 schedule · rajsriya PLANT5</t>
        </is>
      </c>
      <c r="AH411" s="601">
        <f t="array" ref="AH4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1" s="602">
        <f>scheduleapr[[#This Row],[SCHEDULE in nos]]-scheduleapr[[#This Row],[DISPATCH]]</f>
        <v/>
      </c>
      <c r="AJ411" s="599">
        <f>(3.14*(scheduleapr[[#This Row],[ACTUAL OD]]-scheduleapr[[#This Row],[TICKNESS]])*scheduleapr[[#This Row],[TICKNESS]]*scheduleapr[[#This Row],[LENGTH]]*7.85)/1000000*scheduleapr[[#This Row],[SCHEDULE in nos]]/1000</f>
        <v/>
      </c>
      <c r="AK411" s="599">
        <f>(3.14*(scheduleapr[[#This Row],[ACTUAL OD]]-scheduleapr[[#This Row],[TICKNESS]])*scheduleapr[[#This Row],[TICKNESS]]*scheduleapr[[#This Row],[LENGTH]]*7.85)/1000000*scheduleapr[[#This Row],[DISPATCH]]/1000</f>
        <v/>
      </c>
      <c r="AL411" s="599">
        <f>AJ411-AK411</f>
        <v/>
      </c>
      <c r="AM411" s="599">
        <f>scheduleapr[[#This Row],[SCHEDULE in nos]]/scheduleapr[[#This Row],[SCHEDULE IN MT]]*scheduleapr[[#This Row],[CTL Stock]]</f>
        <v/>
      </c>
      <c r="AN411" s="599">
        <f>SUMIFS(stock[MT],stock[Bucket],scheduleapr[[#This Row],[Bucket]],stock[CTL Bucket],scheduleapr[[#This Row],[CTL Bucket]],stock[Plant],"0789")</f>
        <v/>
      </c>
      <c r="AO411" s="599" t="n"/>
      <c r="AP411" s="599">
        <f>SUMIFS(stock[MT],stock[Bucket],scheduleapr[[#This Row],[Bucket]],stock[LL or CTL],"LL")</f>
        <v/>
      </c>
      <c r="AQ411" s="599">
        <f>+SUMIFS(wip[Stock(Net Wt)],wip[Bucket],scheduleapr[[#This Row],[Bucket]])/1000</f>
        <v/>
      </c>
      <c r="AR411" s="599">
        <f>AJ411-AN411</f>
        <v/>
      </c>
      <c r="AS411" s="118" t="n"/>
    </row>
    <row r="412">
      <c r="A412" s="594" t="n">
        <v>307</v>
      </c>
      <c r="B412" s="5" t="inlineStr">
        <is>
          <t>Hosur</t>
        </is>
      </c>
      <c r="C412" s="601" t="inlineStr">
        <is>
          <t>Rajsriya Automotive</t>
        </is>
      </c>
      <c r="D412" s="601" t="inlineStr">
        <is>
          <t>Rajsriya Automotive Hosur</t>
        </is>
      </c>
      <c r="E412" s="601" t="inlineStr">
        <is>
          <t>129695|187884|188415|189239|189240</t>
        </is>
      </c>
      <c r="F412" s="601" t="n">
        <v>1432169</v>
      </c>
      <c r="G412" s="601">
        <f>_xlfn.CONCAT(scheduleapr[[#This Row],[CUSTOMER CODE]],"-",scheduleapr[[#This Row],[MATERIAL NO]])</f>
        <v/>
      </c>
      <c r="H412" s="601" t="inlineStr">
        <is>
          <t>TUB-O-N-AUT-AW-PE-19.05X2.000X0.4300</t>
        </is>
      </c>
      <c r="I412" s="601" t="inlineStr">
        <is>
          <t>ERW 1</t>
        </is>
      </c>
      <c r="J412" s="601" t="n"/>
      <c r="K412" s="601" t="n"/>
      <c r="L412" s="601" t="inlineStr">
        <is>
          <t>HR</t>
        </is>
      </c>
      <c r="M412" s="601" t="n"/>
      <c r="N412" s="601" t="n"/>
      <c r="O412" s="601" t="n"/>
      <c r="P412" s="601" t="n"/>
      <c r="Q412" s="557">
        <f>CONCATENATE(scheduleapr[[#This Row],[OD]],"-",scheduleapr[[#This Row],[ID]],"-",scheduleapr[[#This Row],[TICKNESS]],"-",scheduleapr[[#This Row],[Grade]],"-",scheduleapr[[#This Row],[FC/NFC]])</f>
        <v/>
      </c>
      <c r="R412" s="557">
        <f>_xlfn.CONCAT(scheduleapr[[#This Row],[Bucket]],"-",scheduleapr[[#This Row],[LENGTH]]/1000)</f>
        <v/>
      </c>
      <c r="S412" s="557">
        <f>COUNTIF([2]!buckets[CTL Bucket],[2]!scheduleapr[[#This Row],[CTL Bucket]])</f>
        <v/>
      </c>
      <c r="T412" s="557" t="n"/>
      <c r="U412" s="557" t="n"/>
      <c r="V412" s="557" t="n"/>
      <c r="W412" s="557" t="n"/>
      <c r="X412" s="599" t="n">
        <v>19.05</v>
      </c>
      <c r="Y412" s="599" t="n">
        <v>19.05</v>
      </c>
      <c r="Z412" s="599" t="n">
        <v>0</v>
      </c>
      <c r="AA412" s="599" t="n">
        <v>2</v>
      </c>
      <c r="AB412" s="600" t="n">
        <v>430</v>
      </c>
      <c r="AC412" s="600" t="n"/>
      <c r="AD412" s="600" t="n"/>
      <c r="AE412" s="600" t="n"/>
      <c r="AF412" s="601" t="n"/>
      <c r="AG412" s="601" t="n"/>
      <c r="AH412" s="601">
        <f t="array" ref="AH4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2" s="602">
        <f>scheduleapr[[#This Row],[SCHEDULE in nos]]-scheduleapr[[#This Row],[DISPATCH]]</f>
        <v/>
      </c>
      <c r="AJ412" s="599">
        <f>(3.14*(scheduleapr[[#This Row],[ACTUAL OD]]-scheduleapr[[#This Row],[TICKNESS]])*scheduleapr[[#This Row],[TICKNESS]]*scheduleapr[[#This Row],[LENGTH]]*7.85)/1000000*scheduleapr[[#This Row],[SCHEDULE in nos]]/1000</f>
        <v/>
      </c>
      <c r="AK412" s="599">
        <f>(3.14*(scheduleapr[[#This Row],[ACTUAL OD]]-scheduleapr[[#This Row],[TICKNESS]])*scheduleapr[[#This Row],[TICKNESS]]*scheduleapr[[#This Row],[LENGTH]]*7.85)/1000000*scheduleapr[[#This Row],[DISPATCH]]/1000</f>
        <v/>
      </c>
      <c r="AL412" s="599">
        <f>AJ412-AK412</f>
        <v/>
      </c>
      <c r="AM412" s="599">
        <f>scheduleapr[[#This Row],[SCHEDULE in nos]]/scheduleapr[[#This Row],[SCHEDULE IN MT]]*scheduleapr[[#This Row],[CTL Stock]]</f>
        <v/>
      </c>
      <c r="AN412" s="599">
        <f>SUMIFS(stock[MT],stock[Bucket],scheduleapr[[#This Row],[Bucket]],stock[CTL Bucket],scheduleapr[[#This Row],[CTL Bucket]],stock[Plant],"0789")</f>
        <v/>
      </c>
      <c r="AO412" s="599" t="n"/>
      <c r="AP412" s="599">
        <f>SUMIFS(stock[MT],stock[Bucket],scheduleapr[[#This Row],[Bucket]],stock[LL or CTL],"LL")</f>
        <v/>
      </c>
      <c r="AQ412" s="599">
        <f>+SUMIFS(wip[Stock(Net Wt)],wip[Bucket],scheduleapr[[#This Row],[Bucket]])/1000</f>
        <v/>
      </c>
      <c r="AR412" s="599">
        <f>AJ412-AN412</f>
        <v/>
      </c>
      <c r="AS412" s="118" t="n"/>
    </row>
    <row r="413">
      <c r="A413" s="594" t="n">
        <v>308</v>
      </c>
      <c r="B413" s="5" t="inlineStr">
        <is>
          <t>Hosur</t>
        </is>
      </c>
      <c r="C413" s="601" t="inlineStr">
        <is>
          <t>Rajsriya Automotive</t>
        </is>
      </c>
      <c r="D413" s="601" t="inlineStr">
        <is>
          <t>Rajsriya Automotive Hosur</t>
        </is>
      </c>
      <c r="E413" s="601" t="inlineStr">
        <is>
          <t>129695|187884|188415|189239|189240</t>
        </is>
      </c>
      <c r="F413" s="601" t="n">
        <v>2403384</v>
      </c>
      <c r="G413" s="601">
        <f>_xlfn.CONCAT(scheduleapr[[#This Row],[CUSTOMER CODE]],"-",scheduleapr[[#This Row],[MATERIAL NO]])</f>
        <v/>
      </c>
      <c r="H413" s="601" t="inlineStr">
        <is>
          <t>TUB-O-N-AUT-AW-PE-19.05X2.000X0.4490</t>
        </is>
      </c>
      <c r="I413" s="601" t="inlineStr">
        <is>
          <t>ERW 1</t>
        </is>
      </c>
      <c r="J413" s="601" t="n"/>
      <c r="K413" s="601" t="n"/>
      <c r="L413" s="601" t="inlineStr">
        <is>
          <t>HR</t>
        </is>
      </c>
      <c r="M413" s="601" t="n"/>
      <c r="N413" s="601" t="n"/>
      <c r="O413" s="601" t="n"/>
      <c r="P413" s="601" t="n"/>
      <c r="Q413" s="557">
        <f>CONCATENATE(scheduleapr[[#This Row],[OD]],"-",scheduleapr[[#This Row],[ID]],"-",scheduleapr[[#This Row],[TICKNESS]],"-",scheduleapr[[#This Row],[Grade]],"-",scheduleapr[[#This Row],[FC/NFC]])</f>
        <v/>
      </c>
      <c r="R413" s="557">
        <f>_xlfn.CONCAT(scheduleapr[[#This Row],[Bucket]],"-",scheduleapr[[#This Row],[LENGTH]]/1000)</f>
        <v/>
      </c>
      <c r="S413" s="557">
        <f>COUNTIF([2]!buckets[CTL Bucket],[2]!scheduleapr[[#This Row],[CTL Bucket]])</f>
        <v/>
      </c>
      <c r="T413" s="557" t="n"/>
      <c r="U413" s="557" t="n"/>
      <c r="V413" s="557" t="n"/>
      <c r="W413" s="557" t="n"/>
      <c r="X413" s="599" t="n">
        <v>19.05</v>
      </c>
      <c r="Y413" s="599" t="n">
        <v>19.05</v>
      </c>
      <c r="Z413" s="599" t="n">
        <v>0</v>
      </c>
      <c r="AA413" s="599" t="n">
        <v>2</v>
      </c>
      <c r="AB413" s="600" t="n">
        <v>449</v>
      </c>
      <c r="AC413" s="600" t="n"/>
      <c r="AD413" s="600" t="n"/>
      <c r="AE413" s="600" t="n"/>
      <c r="AF413" s="601" t="n"/>
      <c r="AG413" s="601" t="n"/>
      <c r="AH413" s="601">
        <f t="array" ref="AH4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3" s="602">
        <f>scheduleapr[[#This Row],[SCHEDULE in nos]]-scheduleapr[[#This Row],[DISPATCH]]</f>
        <v/>
      </c>
      <c r="AJ413" s="599">
        <f>(3.14*(scheduleapr[[#This Row],[ACTUAL OD]]-scheduleapr[[#This Row],[TICKNESS]])*scheduleapr[[#This Row],[TICKNESS]]*scheduleapr[[#This Row],[LENGTH]]*7.85)/1000000*scheduleapr[[#This Row],[SCHEDULE in nos]]/1000</f>
        <v/>
      </c>
      <c r="AK413" s="599">
        <f>(3.14*(scheduleapr[[#This Row],[ACTUAL OD]]-scheduleapr[[#This Row],[TICKNESS]])*scheduleapr[[#This Row],[TICKNESS]]*scheduleapr[[#This Row],[LENGTH]]*7.85)/1000000*scheduleapr[[#This Row],[DISPATCH]]/1000</f>
        <v/>
      </c>
      <c r="AL413" s="599">
        <f>AJ413-AK413</f>
        <v/>
      </c>
      <c r="AM413" s="599">
        <f>scheduleapr[[#This Row],[SCHEDULE in nos]]/scheduleapr[[#This Row],[SCHEDULE IN MT]]*scheduleapr[[#This Row],[CTL Stock]]</f>
        <v/>
      </c>
      <c r="AN413" s="599">
        <f>SUMIFS(stock[MT],stock[Bucket],scheduleapr[[#This Row],[Bucket]],stock[CTL Bucket],scheduleapr[[#This Row],[CTL Bucket]],stock[Plant],"0789")</f>
        <v/>
      </c>
      <c r="AO413" s="599" t="n"/>
      <c r="AP413" s="599">
        <f>SUMIFS(stock[MT],stock[Bucket],scheduleapr[[#This Row],[Bucket]],stock[LL or CTL],"LL")</f>
        <v/>
      </c>
      <c r="AQ413" s="599">
        <f>+SUMIFS(wip[Stock(Net Wt)],wip[Bucket],scheduleapr[[#This Row],[Bucket]])/1000</f>
        <v/>
      </c>
      <c r="AR413" s="599">
        <f>AJ413-AN413</f>
        <v/>
      </c>
      <c r="AS413" s="118" t="n"/>
    </row>
    <row r="414">
      <c r="A414" s="594" t="n">
        <v>378</v>
      </c>
      <c r="B414" s="5" t="inlineStr">
        <is>
          <t>Hosur</t>
        </is>
      </c>
      <c r="C414" s="601" t="inlineStr">
        <is>
          <t>Rajsriya Unit 5</t>
        </is>
      </c>
      <c r="D414" s="601" t="inlineStr">
        <is>
          <t>Rajsriya Automotive Hosur</t>
        </is>
      </c>
      <c r="E414" s="601" t="inlineStr">
        <is>
          <t>129695|187884|188415|189239|189240</t>
        </is>
      </c>
      <c r="F414" s="601" t="n">
        <v>2403383</v>
      </c>
      <c r="G414" s="601">
        <f>_xlfn.CONCAT(scheduleapr[[#This Row],[CUSTOMER CODE]],"-",scheduleapr[[#This Row],[MATERIAL NO]])</f>
        <v/>
      </c>
      <c r="H414" s="601" t="inlineStr">
        <is>
          <t>TUB-O-N-AUT-AW-PE-19.05X2.000X0.4750</t>
        </is>
      </c>
      <c r="I414" s="601" t="inlineStr">
        <is>
          <t>ERW 1</t>
        </is>
      </c>
      <c r="J414" s="601" t="n"/>
      <c r="K414" s="601" t="inlineStr">
        <is>
          <t>PE</t>
        </is>
      </c>
      <c r="L414" s="601" t="inlineStr">
        <is>
          <t>HR</t>
        </is>
      </c>
      <c r="M414" s="601" t="n"/>
      <c r="N414" s="601" t="n"/>
      <c r="O414" s="601" t="n"/>
      <c r="P414" s="601" t="n"/>
      <c r="Q414" s="557">
        <f>CONCATENATE(scheduleapr[[#This Row],[OD]],"-",scheduleapr[[#This Row],[ID]],"-",scheduleapr[[#This Row],[TICKNESS]],"-",scheduleapr[[#This Row],[Grade]],"-",scheduleapr[[#This Row],[FC/NFC]])</f>
        <v/>
      </c>
      <c r="R414" s="557">
        <f>_xlfn.CONCAT(scheduleapr[[#This Row],[Bucket]],"-",scheduleapr[[#This Row],[LENGTH]]/1000)</f>
        <v/>
      </c>
      <c r="S414" s="557">
        <f>COUNTIF(scheduleapr[CTL Bucket],scheduleapr[[#This Row],[CTL Bucket]])</f>
        <v/>
      </c>
      <c r="T414" s="601" t="inlineStr">
        <is>
          <t>Hosur</t>
        </is>
      </c>
      <c r="U414" s="601">
        <f>_xlfn.IFNA(VLOOKUP(scheduleapr[[#This Row],[Bucket]],salesforecast[[#All],[Bucket2]:[8406 Stock]],19,0),0)</f>
        <v/>
      </c>
      <c r="V414" s="562">
        <f>_xlfn.IFNA(VLOOKUP(scheduleapr[[#This Row],[Bucket]],salesforecast[[#All],[Bucket2]:[8406 Stock]],20,0),0)+_xlfn.IFNA(VLOOKUP(scheduleapr[[#This Row],[Bucket]],salesforecast[[#All],[Bucket2]:[8406 Stock]],17,0),0)</f>
        <v/>
      </c>
      <c r="W414" s="557" t="n"/>
      <c r="X414" s="599" t="n">
        <v>19.05</v>
      </c>
      <c r="Y414" s="599" t="n">
        <v>19.05</v>
      </c>
      <c r="Z414" s="599" t="n">
        <v>0</v>
      </c>
      <c r="AA414" s="599" t="n">
        <v>2</v>
      </c>
      <c r="AB414" s="600" t="n">
        <v>475</v>
      </c>
      <c r="AC414" s="600" t="inlineStr">
        <is>
          <t>NOS</t>
        </is>
      </c>
      <c r="AD414" s="600" t="n"/>
      <c r="AE414" s="600" t="n"/>
      <c r="AF414" s="601" t="n">
        <v>15000</v>
      </c>
      <c r="AG414" s="601" t="inlineStr">
        <is>
          <t>Aug 2026 schedule · rajsriya PLANT5</t>
        </is>
      </c>
      <c r="AH414" s="601">
        <f t="array" ref="AH4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4" s="602">
        <f>scheduleapr[[#This Row],[SCHEDULE in nos]]-scheduleapr[[#This Row],[DISPATCH]]</f>
        <v/>
      </c>
      <c r="AJ414" s="599">
        <f>(3.14*(scheduleapr[[#This Row],[ACTUAL OD]]-scheduleapr[[#This Row],[TICKNESS]])*scheduleapr[[#This Row],[TICKNESS]]*scheduleapr[[#This Row],[LENGTH]]*7.85)/1000000*scheduleapr[[#This Row],[SCHEDULE in nos]]/1000</f>
        <v/>
      </c>
      <c r="AK414" s="599">
        <f>(3.14*(scheduleapr[[#This Row],[ACTUAL OD]]-scheduleapr[[#This Row],[TICKNESS]])*scheduleapr[[#This Row],[TICKNESS]]*scheduleapr[[#This Row],[LENGTH]]*7.85)/1000000*scheduleapr[[#This Row],[DISPATCH]]/1000</f>
        <v/>
      </c>
      <c r="AL414" s="599">
        <f>AJ414-AK414</f>
        <v/>
      </c>
      <c r="AM414" s="599">
        <f>scheduleapr[[#This Row],[SCHEDULE in nos]]/scheduleapr[[#This Row],[SCHEDULE IN MT]]*scheduleapr[[#This Row],[CTL Stock]]</f>
        <v/>
      </c>
      <c r="AN414" s="599">
        <f>SUMIFS(stock[MT],stock[Bucket],scheduleapr[[#This Row],[Bucket]],stock[CTL Bucket],scheduleapr[[#This Row],[CTL Bucket]],stock[Plant],"0789")</f>
        <v/>
      </c>
      <c r="AO414" s="599" t="n"/>
      <c r="AP414" s="599">
        <f>SUMIFS(stock[MT],stock[Bucket],scheduleapr[[#This Row],[Bucket]],stock[LL or CTL],"LL")</f>
        <v/>
      </c>
      <c r="AQ414" s="599">
        <f>+SUMIFS(wip[Stock(Net Wt)],wip[Bucket],scheduleapr[[#This Row],[Bucket]])/1000</f>
        <v/>
      </c>
      <c r="AR414" s="599">
        <f>AJ414-AN414</f>
        <v/>
      </c>
      <c r="AS414" s="118" t="n"/>
    </row>
    <row r="415">
      <c r="A415" s="594" t="n">
        <v>369</v>
      </c>
      <c r="B415" s="5" t="inlineStr">
        <is>
          <t>Hosur</t>
        </is>
      </c>
      <c r="C415" s="601" t="inlineStr">
        <is>
          <t>Rajsriya Unit 8</t>
        </is>
      </c>
      <c r="D415" s="601" t="inlineStr">
        <is>
          <t>Rajsriya Automotive Hosur</t>
        </is>
      </c>
      <c r="E415" s="601" t="inlineStr">
        <is>
          <t>129695|187884|188415|189239|189240</t>
        </is>
      </c>
      <c r="F415" s="601" t="n"/>
      <c r="G415" s="601">
        <f>_xlfn.CONCAT(scheduleapr[[#This Row],[CUSTOMER CODE]],"-",scheduleapr[[#This Row],[MATERIAL NO]])</f>
        <v/>
      </c>
      <c r="H415" s="601" t="inlineStr">
        <is>
          <t>TUB-O-N-AUT-AW-FC-19.05X2.00X0.7750</t>
        </is>
      </c>
      <c r="I415" s="601" t="inlineStr">
        <is>
          <t>ERW 1</t>
        </is>
      </c>
      <c r="J415" s="601" t="n"/>
      <c r="K415" s="601" t="inlineStr">
        <is>
          <t>PE</t>
        </is>
      </c>
      <c r="L415" s="601" t="inlineStr">
        <is>
          <t>HR</t>
        </is>
      </c>
      <c r="M415" s="596" t="inlineStr">
        <is>
          <t>ST52AL</t>
        </is>
      </c>
      <c r="N415" s="601" t="n"/>
      <c r="O415" s="601" t="inlineStr">
        <is>
          <t>AG</t>
        </is>
      </c>
      <c r="P415" s="601" t="n"/>
      <c r="Q415" s="557">
        <f>CONCATENATE(scheduleapr[[#This Row],[OD]],"-",scheduleapr[[#This Row],[ID]],"-",scheduleapr[[#This Row],[TICKNESS]],"-",scheduleapr[[#This Row],[Grade]],"-",scheduleapr[[#This Row],[FC/NFC]])</f>
        <v/>
      </c>
      <c r="R415" s="557">
        <f>_xlfn.CONCAT(scheduleapr[[#This Row],[Bucket]],"-",scheduleapr[[#This Row],[LENGTH]]/1000)</f>
        <v/>
      </c>
      <c r="S415" s="557">
        <f>COUNTIF(scheduleapr[CTL Bucket],scheduleapr[[#This Row],[CTL Bucket]])</f>
        <v/>
      </c>
      <c r="T415" s="601" t="inlineStr">
        <is>
          <t>Hosur</t>
        </is>
      </c>
      <c r="U415" s="601">
        <f>_xlfn.IFNA(VLOOKUP(scheduleapr[[#This Row],[Bucket]],salesforecast[[#All],[Bucket2]:[8406 Stock]],19,0),0)</f>
        <v/>
      </c>
      <c r="V415" s="562">
        <f>_xlfn.IFNA(VLOOKUP(scheduleapr[[#This Row],[Bucket]],salesforecast[[#All],[Bucket2]:[8406 Stock]],20,0),0)+_xlfn.IFNA(VLOOKUP(scheduleapr[[#This Row],[Bucket]],salesforecast[[#All],[Bucket2]:[8406 Stock]],17,0),0)</f>
        <v/>
      </c>
      <c r="W415" s="557" t="n"/>
      <c r="X415" s="599" t="n">
        <v>19.05</v>
      </c>
      <c r="Y415" s="599" t="n">
        <v>19.05</v>
      </c>
      <c r="Z415" s="599" t="n">
        <v>0</v>
      </c>
      <c r="AA415" s="599" t="n">
        <v>2</v>
      </c>
      <c r="AB415" s="81" t="n">
        <v>775</v>
      </c>
      <c r="AC415" s="600" t="inlineStr">
        <is>
          <t>NOS</t>
        </is>
      </c>
      <c r="AD415" s="600" t="n"/>
      <c r="AE415" s="600" t="n"/>
      <c r="AF415" s="601" t="n"/>
      <c r="AG415" s="601" t="n"/>
      <c r="AH415" s="601">
        <f t="array" ref="AH4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5" s="602">
        <f>scheduleapr[[#This Row],[SCHEDULE in nos]]-scheduleapr[[#This Row],[DISPATCH]]</f>
        <v/>
      </c>
      <c r="AJ415" s="599">
        <f>(3.14*(scheduleapr[[#This Row],[ACTUAL OD]]-scheduleapr[[#This Row],[TICKNESS]])*scheduleapr[[#This Row],[TICKNESS]]*scheduleapr[[#This Row],[LENGTH]]*7.85)/1000000*scheduleapr[[#This Row],[SCHEDULE in nos]]/1000</f>
        <v/>
      </c>
      <c r="AK415" s="599">
        <f>(3.14*(scheduleapr[[#This Row],[ACTUAL OD]]-scheduleapr[[#This Row],[TICKNESS]])*scheduleapr[[#This Row],[TICKNESS]]*scheduleapr[[#This Row],[LENGTH]]*7.85)/1000000*scheduleapr[[#This Row],[DISPATCH]]/1000</f>
        <v/>
      </c>
      <c r="AL415" s="599">
        <f>AJ415-AK415</f>
        <v/>
      </c>
      <c r="AM415" s="599">
        <f>scheduleapr[[#This Row],[SCHEDULE in nos]]/scheduleapr[[#This Row],[SCHEDULE IN MT]]*scheduleapr[[#This Row],[CTL Stock]]</f>
        <v/>
      </c>
      <c r="AN415" s="599">
        <f>SUMIFS(stock[MT],stock[Bucket],scheduleapr[[#This Row],[Bucket]],stock[CTL Bucket],scheduleapr[[#This Row],[CTL Bucket]],stock[Plant],"0789")</f>
        <v/>
      </c>
      <c r="AO415" s="599" t="n"/>
      <c r="AP415" s="599">
        <f>SUMIFS(stock[MT],stock[Bucket],scheduleapr[[#This Row],[Bucket]],stock[LL or CTL],"LL")</f>
        <v/>
      </c>
      <c r="AQ415" s="599">
        <f>+SUMIFS(wip[Stock(Net Wt)],wip[Bucket],scheduleapr[[#This Row],[Bucket]])/1000</f>
        <v/>
      </c>
      <c r="AR415" s="599">
        <f>AJ415-AN415</f>
        <v/>
      </c>
      <c r="AS415" s="118" t="n"/>
    </row>
    <row r="416">
      <c r="A416" s="594" t="n">
        <v>383</v>
      </c>
      <c r="B416" s="5" t="inlineStr">
        <is>
          <t>Hosur</t>
        </is>
      </c>
      <c r="C416" s="601" t="inlineStr">
        <is>
          <t>Rajsriya Unit 2</t>
        </is>
      </c>
      <c r="D416" s="601" t="inlineStr">
        <is>
          <t>Rajsriya Automotive Hosur</t>
        </is>
      </c>
      <c r="E416" s="601" t="inlineStr">
        <is>
          <t>129695|187884|188415|189239|189240</t>
        </is>
      </c>
      <c r="F416" s="601" t="n">
        <v>1940302</v>
      </c>
      <c r="G416" s="601">
        <f>_xlfn.CONCAT(scheduleapr[[#This Row],[CUSTOMER CODE]],"-",scheduleapr[[#This Row],[MATERIAL NO]])</f>
        <v/>
      </c>
      <c r="H416" s="601" t="inlineStr">
        <is>
          <t>TUB-O-O-AUT-AW-PE-19.05X2.300X0.1950</t>
        </is>
      </c>
      <c r="I416" s="601" t="inlineStr">
        <is>
          <t>ERW 1</t>
        </is>
      </c>
      <c r="J416" s="601" t="n"/>
      <c r="K416" s="601" t="inlineStr">
        <is>
          <t>PE</t>
        </is>
      </c>
      <c r="L416" s="601" t="inlineStr">
        <is>
          <t>HR</t>
        </is>
      </c>
      <c r="M416" s="601" t="n"/>
      <c r="N416" s="601" t="n"/>
      <c r="O416" s="601" t="n"/>
      <c r="P416" s="601" t="n"/>
      <c r="Q416" s="557">
        <f>CONCATENATE(scheduleapr[[#This Row],[OD]],"-",scheduleapr[[#This Row],[ID]],"-",scheduleapr[[#This Row],[TICKNESS]],"-",scheduleapr[[#This Row],[Grade]],"-",scheduleapr[[#This Row],[FC/NFC]])</f>
        <v/>
      </c>
      <c r="R416" s="557">
        <f>_xlfn.CONCAT(scheduleapr[[#This Row],[Bucket]],"-",scheduleapr[[#This Row],[LENGTH]]/1000)</f>
        <v/>
      </c>
      <c r="S416" s="557">
        <f>COUNTIF(scheduleapr[CTL Bucket],scheduleapr[[#This Row],[CTL Bucket]])</f>
        <v/>
      </c>
      <c r="T416" s="601" t="inlineStr">
        <is>
          <t>Hosur</t>
        </is>
      </c>
      <c r="U416" s="601">
        <f>_xlfn.IFNA(VLOOKUP(scheduleapr[[#This Row],[Bucket]],salesforecast[[#All],[Bucket2]:[8406 Stock]],19,0),0)</f>
        <v/>
      </c>
      <c r="V416" s="562">
        <f>_xlfn.IFNA(VLOOKUP(scheduleapr[[#This Row],[Bucket]],salesforecast[[#All],[Bucket2]:[8406 Stock]],20,0),0)+_xlfn.IFNA(VLOOKUP(scheduleapr[[#This Row],[Bucket]],salesforecast[[#All],[Bucket2]:[8406 Stock]],17,0),0)</f>
        <v/>
      </c>
      <c r="W416" s="557" t="n"/>
      <c r="X416" s="599" t="n">
        <v>19.05</v>
      </c>
      <c r="Y416" s="599" t="n">
        <v>19.05</v>
      </c>
      <c r="Z416" s="599" t="n">
        <v>0</v>
      </c>
      <c r="AA416" s="599" t="n">
        <v>2.3</v>
      </c>
      <c r="AB416" s="600" t="n">
        <v>195</v>
      </c>
      <c r="AC416" s="600" t="inlineStr">
        <is>
          <t>NOS</t>
        </is>
      </c>
      <c r="AD416" s="600" t="n"/>
      <c r="AE416" s="600" t="n"/>
      <c r="AF416" s="601" t="n"/>
      <c r="AG416" s="601" t="n"/>
      <c r="AH416" s="601">
        <f t="array" ref="AH4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6" s="602">
        <f>scheduleapr[[#This Row],[SCHEDULE in nos]]-scheduleapr[[#This Row],[DISPATCH]]</f>
        <v/>
      </c>
      <c r="AJ416" s="599">
        <f>(3.14*(scheduleapr[[#This Row],[ACTUAL OD]]-scheduleapr[[#This Row],[TICKNESS]])*scheduleapr[[#This Row],[TICKNESS]]*scheduleapr[[#This Row],[LENGTH]]*7.85)/1000000*scheduleapr[[#This Row],[SCHEDULE in nos]]/1000</f>
        <v/>
      </c>
      <c r="AK416" s="599">
        <f>(3.14*(scheduleapr[[#This Row],[ACTUAL OD]]-scheduleapr[[#This Row],[TICKNESS]])*scheduleapr[[#This Row],[TICKNESS]]*scheduleapr[[#This Row],[LENGTH]]*7.85)/1000000*scheduleapr[[#This Row],[DISPATCH]]/1000</f>
        <v/>
      </c>
      <c r="AL416" s="599">
        <f>AJ416-AK416</f>
        <v/>
      </c>
      <c r="AM416" s="599">
        <f>scheduleapr[[#This Row],[SCHEDULE in nos]]/scheduleapr[[#This Row],[SCHEDULE IN MT]]*scheduleapr[[#This Row],[CTL Stock]]</f>
        <v/>
      </c>
      <c r="AN416" s="599">
        <f>SUMIFS(stock[MT],stock[Bucket],scheduleapr[[#This Row],[Bucket]],stock[CTL Bucket],scheduleapr[[#This Row],[CTL Bucket]],stock[Plant],"0789")</f>
        <v/>
      </c>
      <c r="AO416" s="599" t="n"/>
      <c r="AP416" s="599">
        <f>SUMIFS(stock[MT],stock[Bucket],scheduleapr[[#This Row],[Bucket]],stock[LL or CTL],"LL")</f>
        <v/>
      </c>
      <c r="AQ416" s="599">
        <f>+SUMIFS(wip[Stock(Net Wt)],wip[Bucket],scheduleapr[[#This Row],[Bucket]])/1000</f>
        <v/>
      </c>
      <c r="AR416" s="599">
        <f>AJ416-AN416</f>
        <v/>
      </c>
      <c r="AS416" s="118" t="n"/>
    </row>
    <row r="417">
      <c r="A417" s="594" t="n">
        <v>309</v>
      </c>
      <c r="B417" s="5" t="inlineStr">
        <is>
          <t>Hosur</t>
        </is>
      </c>
      <c r="C417" s="601" t="inlineStr">
        <is>
          <t>Rajsriya Unit 5</t>
        </is>
      </c>
      <c r="D417" s="601" t="inlineStr">
        <is>
          <t>Rajsriya Automotive Hosur</t>
        </is>
      </c>
      <c r="E417" s="601" t="inlineStr">
        <is>
          <t>129695|187884|188415|189239|189240</t>
        </is>
      </c>
      <c r="F417" s="601" t="n">
        <v>508988</v>
      </c>
      <c r="G417" s="601">
        <f>_xlfn.CONCAT(scheduleapr[[#This Row],[CUSTOMER CODE]],"-",scheduleapr[[#This Row],[MATERIAL NO]])</f>
        <v/>
      </c>
      <c r="H417" s="601" t="inlineStr">
        <is>
          <t>PT2-O-N-AUT-AW-PE-19.05X2.300X0.303</t>
        </is>
      </c>
      <c r="I417" s="601" t="inlineStr">
        <is>
          <t>ERW 1</t>
        </is>
      </c>
      <c r="J417" s="601" t="n"/>
      <c r="K417" s="601" t="inlineStr">
        <is>
          <t>PE</t>
        </is>
      </c>
      <c r="L417" s="601" t="inlineStr">
        <is>
          <t>HR</t>
        </is>
      </c>
      <c r="M417" s="601" t="n"/>
      <c r="N417" s="601" t="n"/>
      <c r="O417" s="601" t="n"/>
      <c r="P417" s="601" t="n"/>
      <c r="Q417" s="557">
        <f>CONCATENATE(scheduleapr[[#This Row],[OD]],"-",scheduleapr[[#This Row],[ID]],"-",scheduleapr[[#This Row],[TICKNESS]],"-",scheduleapr[[#This Row],[Grade]],"-",scheduleapr[[#This Row],[FC/NFC]])</f>
        <v/>
      </c>
      <c r="R417" s="557">
        <f>_xlfn.CONCAT(scheduleapr[[#This Row],[Bucket]],"-",scheduleapr[[#This Row],[LENGTH]]/1000)</f>
        <v/>
      </c>
      <c r="S417" s="557">
        <f>COUNTIF([2]!buckets[CTL Bucket],[2]!scheduleapr[[#This Row],[CTL Bucket]])</f>
        <v/>
      </c>
      <c r="T417" s="557" t="n"/>
      <c r="U417" s="601">
        <f>_xlfn.IFNA(VLOOKUP(scheduleapr[[#This Row],[Bucket]],salesforecast[[#All],[Bucket2]:[8406 Stock]],19,0),0)</f>
        <v/>
      </c>
      <c r="V417" s="562">
        <f>_xlfn.IFNA(VLOOKUP(scheduleapr[[#This Row],[Bucket]],salesforecast[[#All],[Bucket2]:[8406 Stock]],20,0),0)+_xlfn.IFNA(VLOOKUP(scheduleapr[[#This Row],[Bucket]],salesforecast[[#All],[Bucket2]:[8406 Stock]],17,0),0)</f>
        <v/>
      </c>
      <c r="W417" s="557" t="n"/>
      <c r="X417" s="599" t="n">
        <v>19.05</v>
      </c>
      <c r="Y417" s="599" t="n">
        <v>19.05</v>
      </c>
      <c r="Z417" s="599" t="n">
        <v>0</v>
      </c>
      <c r="AA417" s="599" t="n">
        <v>2.3</v>
      </c>
      <c r="AB417" s="600" t="n">
        <v>303</v>
      </c>
      <c r="AC417" s="600" t="inlineStr">
        <is>
          <t>NOS</t>
        </is>
      </c>
      <c r="AD417" s="600" t="n"/>
      <c r="AE417" s="600" t="n"/>
      <c r="AF417" s="601" t="n"/>
      <c r="AG417" s="601" t="n"/>
      <c r="AH417" s="601">
        <f t="array" ref="AH4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7" s="602">
        <f>scheduleapr[[#This Row],[SCHEDULE in nos]]-scheduleapr[[#This Row],[DISPATCH]]</f>
        <v/>
      </c>
      <c r="AJ417" s="599">
        <f>(3.14*(scheduleapr[[#This Row],[ACTUAL OD]]-scheduleapr[[#This Row],[TICKNESS]])*scheduleapr[[#This Row],[TICKNESS]]*scheduleapr[[#This Row],[LENGTH]]*7.85)/1000000*scheduleapr[[#This Row],[SCHEDULE in nos]]/1000</f>
        <v/>
      </c>
      <c r="AK417" s="599">
        <f>(3.14*(scheduleapr[[#This Row],[ACTUAL OD]]-scheduleapr[[#This Row],[TICKNESS]])*scheduleapr[[#This Row],[TICKNESS]]*scheduleapr[[#This Row],[LENGTH]]*7.85)/1000000*scheduleapr[[#This Row],[DISPATCH]]/1000</f>
        <v/>
      </c>
      <c r="AL417" s="599">
        <f>AJ417-AK417</f>
        <v/>
      </c>
      <c r="AM417" s="599">
        <f>scheduleapr[[#This Row],[SCHEDULE in nos]]/scheduleapr[[#This Row],[SCHEDULE IN MT]]*scheduleapr[[#This Row],[CTL Stock]]</f>
        <v/>
      </c>
      <c r="AN417" s="599">
        <f>SUMIFS(stock[MT],stock[Bucket],scheduleapr[[#This Row],[Bucket]],stock[CTL Bucket],scheduleapr[[#This Row],[CTL Bucket]],stock[Plant],"0789")</f>
        <v/>
      </c>
      <c r="AO417" s="599" t="n"/>
      <c r="AP417" s="599">
        <f>SUMIFS(stock[MT],stock[Bucket],scheduleapr[[#This Row],[Bucket]],stock[LL or CTL],"LL")</f>
        <v/>
      </c>
      <c r="AQ417" s="599">
        <f>+SUMIFS(wip[Stock(Net Wt)],wip[Bucket],scheduleapr[[#This Row],[Bucket]])/1000</f>
        <v/>
      </c>
      <c r="AR417" s="599">
        <f>AJ417-AN417</f>
        <v/>
      </c>
      <c r="AS417" s="118" t="n"/>
    </row>
    <row r="418">
      <c r="A418" s="594" t="n">
        <v>310</v>
      </c>
      <c r="B418" s="5" t="inlineStr">
        <is>
          <t>Hosur</t>
        </is>
      </c>
      <c r="C418" s="601" t="inlineStr">
        <is>
          <t>Rajsriya Automotive</t>
        </is>
      </c>
      <c r="D418" s="48" t="inlineStr">
        <is>
          <t>Rajsriya Automotive Hosur</t>
        </is>
      </c>
      <c r="E418" s="601" t="inlineStr">
        <is>
          <t>129695|187884|188415|189239|189240</t>
        </is>
      </c>
      <c r="F418" s="601" t="n">
        <v>508992</v>
      </c>
      <c r="G418" s="601">
        <f>_xlfn.CONCAT(scheduleapr[[#This Row],[CUSTOMER CODE]],"-",scheduleapr[[#This Row],[MATERIAL NO]])</f>
        <v/>
      </c>
      <c r="H418" s="601" t="inlineStr">
        <is>
          <t>PT2-O-N-AUT-AW-PE-19.05X2.300X0.459</t>
        </is>
      </c>
      <c r="I418" s="601" t="inlineStr">
        <is>
          <t>ERW 1</t>
        </is>
      </c>
      <c r="J418" s="601" t="n"/>
      <c r="K418" s="601" t="n"/>
      <c r="L418" s="601" t="inlineStr">
        <is>
          <t>HR</t>
        </is>
      </c>
      <c r="M418" s="601" t="n"/>
      <c r="N418" s="601" t="n"/>
      <c r="O418" s="601" t="n"/>
      <c r="P418" s="601" t="n"/>
      <c r="Q418" s="557">
        <f>CONCATENATE(scheduleapr[[#This Row],[OD]],"-",scheduleapr[[#This Row],[ID]],"-",scheduleapr[[#This Row],[TICKNESS]],"-",scheduleapr[[#This Row],[Grade]],"-",scheduleapr[[#This Row],[FC/NFC]])</f>
        <v/>
      </c>
      <c r="R418" s="557">
        <f>_xlfn.CONCAT(scheduleapr[[#This Row],[Bucket]],"-",scheduleapr[[#This Row],[LENGTH]]/1000)</f>
        <v/>
      </c>
      <c r="S418" s="557">
        <f>COUNTIF([2]!buckets[CTL Bucket],[2]!scheduleapr[[#This Row],[CTL Bucket]])</f>
        <v/>
      </c>
      <c r="T418" s="557" t="n"/>
      <c r="U418" s="557" t="n"/>
      <c r="V418" s="557" t="n"/>
      <c r="W418" s="557" t="n"/>
      <c r="X418" s="599" t="n">
        <v>19.05</v>
      </c>
      <c r="Y418" s="599" t="n">
        <v>19.05</v>
      </c>
      <c r="Z418" s="599" t="n">
        <v>0</v>
      </c>
      <c r="AA418" s="599" t="n">
        <v>2.3</v>
      </c>
      <c r="AB418" s="600" t="n">
        <v>459</v>
      </c>
      <c r="AC418" s="600" t="n"/>
      <c r="AD418" s="600" t="n"/>
      <c r="AE418" s="600" t="n"/>
      <c r="AF418" s="601" t="n"/>
      <c r="AG418" s="601" t="n"/>
      <c r="AH418" s="601">
        <f t="array" ref="AH4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8" s="602">
        <f>scheduleapr[[#This Row],[SCHEDULE in nos]]-scheduleapr[[#This Row],[DISPATCH]]</f>
        <v/>
      </c>
      <c r="AJ418" s="599">
        <f>(3.14*(scheduleapr[[#This Row],[ACTUAL OD]]-scheduleapr[[#This Row],[TICKNESS]])*scheduleapr[[#This Row],[TICKNESS]]*scheduleapr[[#This Row],[LENGTH]]*7.85)/1000000*scheduleapr[[#This Row],[SCHEDULE in nos]]/1000</f>
        <v/>
      </c>
      <c r="AK418" s="599">
        <f>(3.14*(scheduleapr[[#This Row],[ACTUAL OD]]-scheduleapr[[#This Row],[TICKNESS]])*scheduleapr[[#This Row],[TICKNESS]]*scheduleapr[[#This Row],[LENGTH]]*7.85)/1000000*scheduleapr[[#This Row],[DISPATCH]]/1000</f>
        <v/>
      </c>
      <c r="AL418" s="599">
        <f>AJ418-AK418</f>
        <v/>
      </c>
      <c r="AM418" s="599">
        <f>scheduleapr[[#This Row],[SCHEDULE in nos]]/scheduleapr[[#This Row],[SCHEDULE IN MT]]*scheduleapr[[#This Row],[CTL Stock]]</f>
        <v/>
      </c>
      <c r="AN418" s="599">
        <f>SUMIFS(stock[MT],stock[Bucket],scheduleapr[[#This Row],[Bucket]],stock[CTL Bucket],scheduleapr[[#This Row],[CTL Bucket]],stock[Plant],"0789")</f>
        <v/>
      </c>
      <c r="AO418" s="599" t="n"/>
      <c r="AP418" s="599">
        <f>SUMIFS(stock[MT],stock[Bucket],scheduleapr[[#This Row],[Bucket]],stock[LL or CTL],"LL")</f>
        <v/>
      </c>
      <c r="AQ418" s="599">
        <f>+SUMIFS(wip[Stock(Net Wt)],wip[Bucket],scheduleapr[[#This Row],[Bucket]])/1000</f>
        <v/>
      </c>
      <c r="AR418" s="599">
        <f>AJ418-AN418</f>
        <v/>
      </c>
      <c r="AS418" s="118" t="n"/>
    </row>
    <row r="419">
      <c r="A419" s="594" t="n">
        <v>384</v>
      </c>
      <c r="B419" s="5" t="inlineStr">
        <is>
          <t>Hosur</t>
        </is>
      </c>
      <c r="C419" s="601" t="inlineStr">
        <is>
          <t>Rajsriya Unit 5</t>
        </is>
      </c>
      <c r="D419" s="601" t="inlineStr">
        <is>
          <t>Rajsriya Automotive Hosur</t>
        </is>
      </c>
      <c r="E419" s="601" t="inlineStr">
        <is>
          <t>129695|187884|188415|189239|189240</t>
        </is>
      </c>
      <c r="F419" s="601" t="n">
        <v>1940324</v>
      </c>
      <c r="G419" s="601">
        <f>_xlfn.CONCAT(scheduleapr[[#This Row],[CUSTOMER CODE]],"-",scheduleapr[[#This Row],[MATERIAL NO]])</f>
        <v/>
      </c>
      <c r="H419" s="601" t="inlineStr">
        <is>
          <t>TUB-O-O-AUT-AW-PE-19.05X2.300X0.5540</t>
        </is>
      </c>
      <c r="I419" s="601" t="inlineStr">
        <is>
          <t>ERW 1</t>
        </is>
      </c>
      <c r="J419" s="601" t="n"/>
      <c r="K419" s="601" t="inlineStr">
        <is>
          <t>PE</t>
        </is>
      </c>
      <c r="L419" s="601" t="inlineStr">
        <is>
          <t>HR</t>
        </is>
      </c>
      <c r="M419" s="601" t="n"/>
      <c r="N419" s="601" t="n"/>
      <c r="O419" s="601" t="n"/>
      <c r="P419" s="601" t="n"/>
      <c r="Q419" s="557">
        <f>CONCATENATE(scheduleapr[[#This Row],[OD]],"-",scheduleapr[[#This Row],[ID]],"-",scheduleapr[[#This Row],[TICKNESS]],"-",scheduleapr[[#This Row],[Grade]],"-",scheduleapr[[#This Row],[FC/NFC]])</f>
        <v/>
      </c>
      <c r="R419" s="557">
        <f>_xlfn.CONCAT(scheduleapr[[#This Row],[Bucket]],"-",scheduleapr[[#This Row],[LENGTH]]/1000)</f>
        <v/>
      </c>
      <c r="S419" s="557">
        <f>COUNTIF([2]!buckets[CTL Bucket],[2]!scheduleapr[[#This Row],[CTL Bucket]])</f>
        <v/>
      </c>
      <c r="T419" s="601" t="inlineStr">
        <is>
          <t>Hosur</t>
        </is>
      </c>
      <c r="U419" s="601">
        <f>_xlfn.IFNA(VLOOKUP(scheduleapr[[#This Row],[Bucket]],salesforecast[[#All],[Bucket2]:[8406 Stock]],19,0),0)</f>
        <v/>
      </c>
      <c r="V419" s="562">
        <f>_xlfn.IFNA(VLOOKUP(scheduleapr[[#This Row],[Bucket]],salesforecast[[#All],[Bucket2]:[8406 Stock]],20,0),0)+_xlfn.IFNA(VLOOKUP(scheduleapr[[#This Row],[Bucket]],salesforecast[[#All],[Bucket2]:[8406 Stock]],17,0),0)</f>
        <v/>
      </c>
      <c r="W419" s="557" t="n"/>
      <c r="X419" s="599" t="n">
        <v>19.05</v>
      </c>
      <c r="Y419" s="599" t="n">
        <v>19.05</v>
      </c>
      <c r="Z419" s="599" t="n">
        <v>0</v>
      </c>
      <c r="AA419" s="599" t="n">
        <v>2.3</v>
      </c>
      <c r="AB419" s="600" t="n">
        <v>554</v>
      </c>
      <c r="AC419" s="600" t="inlineStr">
        <is>
          <t>NOS</t>
        </is>
      </c>
      <c r="AD419" s="600" t="n"/>
      <c r="AE419" s="600" t="n"/>
      <c r="AF419" s="601" t="n"/>
      <c r="AG419" s="601" t="n"/>
      <c r="AH419" s="601">
        <f t="array" ref="AH4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19" s="602">
        <f>scheduleapr[[#This Row],[SCHEDULE in nos]]-scheduleapr[[#This Row],[DISPATCH]]</f>
        <v/>
      </c>
      <c r="AJ419" s="599">
        <f>(3.14*(scheduleapr[[#This Row],[ACTUAL OD]]-scheduleapr[[#This Row],[TICKNESS]])*scheduleapr[[#This Row],[TICKNESS]]*scheduleapr[[#This Row],[LENGTH]]*7.85)/1000000*scheduleapr[[#This Row],[SCHEDULE in nos]]/1000</f>
        <v/>
      </c>
      <c r="AK419" s="599">
        <f>(3.14*(scheduleapr[[#This Row],[ACTUAL OD]]-scheduleapr[[#This Row],[TICKNESS]])*scheduleapr[[#This Row],[TICKNESS]]*scheduleapr[[#This Row],[LENGTH]]*7.85)/1000000*scheduleapr[[#This Row],[DISPATCH]]/1000</f>
        <v/>
      </c>
      <c r="AL419" s="599">
        <f>AJ419-AK419</f>
        <v/>
      </c>
      <c r="AM419" s="599">
        <f>scheduleapr[[#This Row],[SCHEDULE in nos]]/scheduleapr[[#This Row],[SCHEDULE IN MT]]*scheduleapr[[#This Row],[CTL Stock]]</f>
        <v/>
      </c>
      <c r="AN419" s="599">
        <f>SUMIFS(stock[MT],stock[Bucket],scheduleapr[[#This Row],[Bucket]],stock[CTL Bucket],scheduleapr[[#This Row],[CTL Bucket]],stock[Plant],"0789")</f>
        <v/>
      </c>
      <c r="AO419" s="599" t="n"/>
      <c r="AP419" s="599">
        <f>SUMIFS(stock[MT],stock[Bucket],scheduleapr[[#This Row],[Bucket]],stock[LL or CTL],"LL")</f>
        <v/>
      </c>
      <c r="AQ419" s="599">
        <f>+SUMIFS(wip[Stock(Net Wt)],wip[Bucket],scheduleapr[[#This Row],[Bucket]])/1000</f>
        <v/>
      </c>
      <c r="AR419" s="599">
        <f>AJ419-AN419</f>
        <v/>
      </c>
      <c r="AS419" s="118" t="n"/>
    </row>
    <row r="420">
      <c r="A420" s="594" t="n">
        <v>311</v>
      </c>
      <c r="B420" s="5" t="inlineStr">
        <is>
          <t>Hosur</t>
        </is>
      </c>
      <c r="C420" s="601" t="inlineStr">
        <is>
          <t>Rajsriya Automotive</t>
        </is>
      </c>
      <c r="D420" s="601" t="inlineStr">
        <is>
          <t>Rajsriya Automotive Hosur</t>
        </is>
      </c>
      <c r="E420" s="601" t="inlineStr">
        <is>
          <t>129695|187884|188415|189239|189240</t>
        </is>
      </c>
      <c r="F420" s="601" t="n">
        <v>437150</v>
      </c>
      <c r="G420" s="601">
        <f>_xlfn.CONCAT(scheduleapr[[#This Row],[CUSTOMER CODE]],"-",scheduleapr[[#This Row],[MATERIAL NO]])</f>
        <v/>
      </c>
      <c r="H420" s="601" t="inlineStr">
        <is>
          <t>PT2-O-N-AUT-AW-PE-19.05X2.300X0.555</t>
        </is>
      </c>
      <c r="I420" s="601" t="inlineStr">
        <is>
          <t>ERW 1</t>
        </is>
      </c>
      <c r="J420" s="601" t="n"/>
      <c r="K420" s="601" t="n"/>
      <c r="L420" s="601" t="inlineStr">
        <is>
          <t>HR</t>
        </is>
      </c>
      <c r="M420" s="601" t="n"/>
      <c r="N420" s="601" t="n"/>
      <c r="O420" s="601" t="n"/>
      <c r="P420" s="601" t="n"/>
      <c r="Q420" s="557">
        <f>CONCATENATE(scheduleapr[[#This Row],[OD]],"-",scheduleapr[[#This Row],[ID]],"-",scheduleapr[[#This Row],[TICKNESS]],"-",scheduleapr[[#This Row],[Grade]],"-",scheduleapr[[#This Row],[FC/NFC]])</f>
        <v/>
      </c>
      <c r="R420" s="557">
        <f>_xlfn.CONCAT(scheduleapr[[#This Row],[Bucket]],"-",scheduleapr[[#This Row],[LENGTH]]/1000)</f>
        <v/>
      </c>
      <c r="S420" s="557">
        <f>COUNTIF([2]!buckets[CTL Bucket],[2]!scheduleapr[[#This Row],[CTL Bucket]])</f>
        <v/>
      </c>
      <c r="T420" s="557" t="n"/>
      <c r="U420" s="557" t="n"/>
      <c r="V420" s="557" t="n"/>
      <c r="W420" s="557" t="n"/>
      <c r="X420" s="599" t="n">
        <v>19.05</v>
      </c>
      <c r="Y420" s="599" t="n">
        <v>19.05</v>
      </c>
      <c r="Z420" s="599" t="n">
        <v>0</v>
      </c>
      <c r="AA420" s="599" t="n">
        <v>2.3</v>
      </c>
      <c r="AB420" s="600" t="n">
        <v>555</v>
      </c>
      <c r="AC420" s="600" t="n"/>
      <c r="AD420" s="600" t="n"/>
      <c r="AE420" s="600" t="n"/>
      <c r="AF420" s="601" t="n"/>
      <c r="AG420" s="601" t="n"/>
      <c r="AH420" s="601">
        <f t="array" ref="AH4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0" s="602">
        <f>scheduleapr[[#This Row],[SCHEDULE in nos]]-scheduleapr[[#This Row],[DISPATCH]]</f>
        <v/>
      </c>
      <c r="AJ420" s="599">
        <f>(3.14*(scheduleapr[[#This Row],[ACTUAL OD]]-scheduleapr[[#This Row],[TICKNESS]])*scheduleapr[[#This Row],[TICKNESS]]*scheduleapr[[#This Row],[LENGTH]]*7.85)/1000000*scheduleapr[[#This Row],[SCHEDULE in nos]]/1000</f>
        <v/>
      </c>
      <c r="AK420" s="599">
        <f>(3.14*(scheduleapr[[#This Row],[ACTUAL OD]]-scheduleapr[[#This Row],[TICKNESS]])*scheduleapr[[#This Row],[TICKNESS]]*scheduleapr[[#This Row],[LENGTH]]*7.85)/1000000*scheduleapr[[#This Row],[DISPATCH]]/1000</f>
        <v/>
      </c>
      <c r="AL420" s="599">
        <f>AJ420-AK420</f>
        <v/>
      </c>
      <c r="AM420" s="599">
        <f>scheduleapr[[#This Row],[SCHEDULE in nos]]/scheduleapr[[#This Row],[SCHEDULE IN MT]]*scheduleapr[[#This Row],[CTL Stock]]</f>
        <v/>
      </c>
      <c r="AN420" s="599">
        <f>SUMIFS(stock[MT],stock[Bucket],scheduleapr[[#This Row],[Bucket]],stock[CTL Bucket],scheduleapr[[#This Row],[CTL Bucket]],stock[Plant],"0789")</f>
        <v/>
      </c>
      <c r="AO420" s="599" t="n"/>
      <c r="AP420" s="599">
        <f>SUMIFS(stock[MT],stock[Bucket],scheduleapr[[#This Row],[Bucket]],stock[LL or CTL],"LL")</f>
        <v/>
      </c>
      <c r="AQ420" s="599">
        <f>+SUMIFS(wip[Stock(Net Wt)],wip[Bucket],scheduleapr[[#This Row],[Bucket]])/1000</f>
        <v/>
      </c>
      <c r="AR420" s="599">
        <f>AJ420-AN420</f>
        <v/>
      </c>
      <c r="AS420" s="118" t="n"/>
    </row>
    <row r="421">
      <c r="A421" s="594" t="n">
        <v>387</v>
      </c>
      <c r="B421" s="5" t="inlineStr">
        <is>
          <t>Hosur</t>
        </is>
      </c>
      <c r="C421" s="601" t="inlineStr">
        <is>
          <t>Rajsriya Unit 2</t>
        </is>
      </c>
      <c r="D421" s="601" t="inlineStr">
        <is>
          <t>Rajsriya Automotive Hosur</t>
        </is>
      </c>
      <c r="E421" s="601" t="inlineStr">
        <is>
          <t>129695|187884|188415|189239|189240</t>
        </is>
      </c>
      <c r="F421" s="601" t="n">
        <v>1940325</v>
      </c>
      <c r="G421" s="601">
        <f>_xlfn.CONCAT(scheduleapr[[#This Row],[CUSTOMER CODE]],"-",scheduleapr[[#This Row],[MATERIAL NO]])</f>
        <v/>
      </c>
      <c r="H421" s="601" t="inlineStr">
        <is>
          <t>TUB-O-O-AUT-AW-PE-19.05X2.300X0.5700</t>
        </is>
      </c>
      <c r="I421" s="601" t="inlineStr">
        <is>
          <t>ERW 1</t>
        </is>
      </c>
      <c r="J421" s="601" t="n"/>
      <c r="K421" s="601" t="inlineStr">
        <is>
          <t>PE</t>
        </is>
      </c>
      <c r="L421" s="601" t="inlineStr">
        <is>
          <t>HR</t>
        </is>
      </c>
      <c r="M421" s="601" t="n"/>
      <c r="N421" s="601" t="n"/>
      <c r="O421" s="601" t="n"/>
      <c r="P421" s="601" t="n"/>
      <c r="Q421" s="557">
        <f>CONCATENATE(scheduleapr[[#This Row],[OD]],"-",scheduleapr[[#This Row],[ID]],"-",scheduleapr[[#This Row],[TICKNESS]],"-",scheduleapr[[#This Row],[Grade]],"-",scheduleapr[[#This Row],[FC/NFC]])</f>
        <v/>
      </c>
      <c r="R421" s="557">
        <f>_xlfn.CONCAT(scheduleapr[[#This Row],[Bucket]],"-",scheduleapr[[#This Row],[LENGTH]]/1000)</f>
        <v/>
      </c>
      <c r="S421" s="557">
        <f>COUNTIF([2]!buckets[CTL Bucket],[2]!scheduleapr[[#This Row],[CTL Bucket]])</f>
        <v/>
      </c>
      <c r="T421" s="601" t="inlineStr">
        <is>
          <t>Hosur</t>
        </is>
      </c>
      <c r="U421" s="601">
        <f>_xlfn.IFNA(VLOOKUP(scheduleapr[[#This Row],[Bucket]],salesforecast[[#All],[Bucket2]:[8406 Stock]],19,0),0)</f>
        <v/>
      </c>
      <c r="V421" s="562">
        <f>_xlfn.IFNA(VLOOKUP(scheduleapr[[#This Row],[Bucket]],salesforecast[[#All],[Bucket2]:[8406 Stock]],20,0),0)+_xlfn.IFNA(VLOOKUP(scheduleapr[[#This Row],[Bucket]],salesforecast[[#All],[Bucket2]:[8406 Stock]],17,0),0)</f>
        <v/>
      </c>
      <c r="W421" s="557" t="n"/>
      <c r="X421" s="599" t="n">
        <v>19.05</v>
      </c>
      <c r="Y421" s="599" t="n">
        <v>19.05</v>
      </c>
      <c r="Z421" s="599" t="n">
        <v>0</v>
      </c>
      <c r="AA421" s="599" t="n">
        <v>2.3</v>
      </c>
      <c r="AB421" s="600" t="n">
        <v>570</v>
      </c>
      <c r="AC421" s="600" t="inlineStr">
        <is>
          <t>NOS</t>
        </is>
      </c>
      <c r="AD421" s="600" t="n"/>
      <c r="AE421" s="600" t="n"/>
      <c r="AF421" s="601" t="n">
        <v>10000</v>
      </c>
      <c r="AG421" s="601" t="inlineStr">
        <is>
          <t>Aug 2026 schedule · rajsriya PLANT2</t>
        </is>
      </c>
      <c r="AH421" s="601">
        <f t="array" ref="AH4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1" s="602">
        <f>scheduleapr[[#This Row],[SCHEDULE in nos]]-scheduleapr[[#This Row],[DISPATCH]]</f>
        <v/>
      </c>
      <c r="AJ421" s="599">
        <f>(3.14*(scheduleapr[[#This Row],[ACTUAL OD]]-scheduleapr[[#This Row],[TICKNESS]])*scheduleapr[[#This Row],[TICKNESS]]*scheduleapr[[#This Row],[LENGTH]]*7.85)/1000000*scheduleapr[[#This Row],[SCHEDULE in nos]]/1000</f>
        <v/>
      </c>
      <c r="AK421" s="599">
        <f>(3.14*(scheduleapr[[#This Row],[ACTUAL OD]]-scheduleapr[[#This Row],[TICKNESS]])*scheduleapr[[#This Row],[TICKNESS]]*scheduleapr[[#This Row],[LENGTH]]*7.85)/1000000*scheduleapr[[#This Row],[DISPATCH]]/1000</f>
        <v/>
      </c>
      <c r="AL421" s="599">
        <f>AJ421-AK421</f>
        <v/>
      </c>
      <c r="AM421" s="599">
        <f>scheduleapr[[#This Row],[SCHEDULE in nos]]/scheduleapr[[#This Row],[SCHEDULE IN MT]]*scheduleapr[[#This Row],[CTL Stock]]</f>
        <v/>
      </c>
      <c r="AN421" s="599">
        <f>SUMIFS(stock[MT],stock[Bucket],scheduleapr[[#This Row],[Bucket]],stock[CTL Bucket],scheduleapr[[#This Row],[CTL Bucket]],stock[Plant],"0789")</f>
        <v/>
      </c>
      <c r="AO421" s="599" t="n"/>
      <c r="AP421" s="599">
        <f>SUMIFS(stock[MT],stock[Bucket],scheduleapr[[#This Row],[Bucket]],stock[LL or CTL],"LL")</f>
        <v/>
      </c>
      <c r="AQ421" s="599">
        <f>+SUMIFS(wip[Stock(Net Wt)],wip[Bucket],scheduleapr[[#This Row],[Bucket]])/1000</f>
        <v/>
      </c>
      <c r="AR421" s="599">
        <f>AJ421-AN421</f>
        <v/>
      </c>
      <c r="AS421" s="118" t="n"/>
    </row>
    <row r="422">
      <c r="A422" s="594" t="n">
        <v>388</v>
      </c>
      <c r="B422" s="5" t="inlineStr">
        <is>
          <t>Hosur</t>
        </is>
      </c>
      <c r="C422" s="601" t="inlineStr">
        <is>
          <t>Rajsriya Unit 2</t>
        </is>
      </c>
      <c r="D422" s="601" t="inlineStr">
        <is>
          <t>Rajsriya Automotive Hosur</t>
        </is>
      </c>
      <c r="E422" s="601" t="inlineStr">
        <is>
          <t>129695|187884|188415|189239|189240</t>
        </is>
      </c>
      <c r="F422" s="601" t="n">
        <v>1940327</v>
      </c>
      <c r="G422" s="601">
        <f>_xlfn.CONCAT(scheduleapr[[#This Row],[CUSTOMER CODE]],"-",scheduleapr[[#This Row],[MATERIAL NO]])</f>
        <v/>
      </c>
      <c r="H422" s="601" t="inlineStr">
        <is>
          <t>TUB-O-O-AUT-AW-PE-19.05X2.300X0.5850</t>
        </is>
      </c>
      <c r="I422" s="601" t="inlineStr">
        <is>
          <t>ERW 1</t>
        </is>
      </c>
      <c r="J422" s="601" t="n"/>
      <c r="K422" s="601" t="inlineStr">
        <is>
          <t>PE</t>
        </is>
      </c>
      <c r="L422" s="601" t="inlineStr">
        <is>
          <t>HR</t>
        </is>
      </c>
      <c r="M422" s="601" t="n"/>
      <c r="N422" s="601" t="n"/>
      <c r="O422" s="601" t="n"/>
      <c r="P422" s="601" t="n"/>
      <c r="Q422" s="557">
        <f>CONCATENATE(scheduleapr[[#This Row],[OD]],"-",scheduleapr[[#This Row],[ID]],"-",scheduleapr[[#This Row],[TICKNESS]],"-",scheduleapr[[#This Row],[Grade]],"-",scheduleapr[[#This Row],[FC/NFC]])</f>
        <v/>
      </c>
      <c r="R422" s="557">
        <f>_xlfn.CONCAT(scheduleapr[[#This Row],[Bucket]],"-",scheduleapr[[#This Row],[LENGTH]]/1000)</f>
        <v/>
      </c>
      <c r="S422" s="557">
        <f>COUNTIF(scheduleapr[CTL Bucket],scheduleapr[[#This Row],[CTL Bucket]])</f>
        <v/>
      </c>
      <c r="T422" s="601" t="inlineStr">
        <is>
          <t>Hosur</t>
        </is>
      </c>
      <c r="U422" s="601">
        <f>_xlfn.IFNA(VLOOKUP(scheduleapr[[#This Row],[Bucket]],salesforecast[[#All],[Bucket2]:[8406 Stock]],19,0),0)</f>
        <v/>
      </c>
      <c r="V422" s="562">
        <f>_xlfn.IFNA(VLOOKUP(scheduleapr[[#This Row],[Bucket]],salesforecast[[#All],[Bucket2]:[8406 Stock]],20,0),0)+_xlfn.IFNA(VLOOKUP(scheduleapr[[#This Row],[Bucket]],salesforecast[[#All],[Bucket2]:[8406 Stock]],17,0),0)</f>
        <v/>
      </c>
      <c r="W422" s="557" t="n"/>
      <c r="X422" s="599" t="n">
        <v>19.05</v>
      </c>
      <c r="Y422" s="599" t="n">
        <v>19.05</v>
      </c>
      <c r="Z422" s="599" t="n">
        <v>0</v>
      </c>
      <c r="AA422" s="599" t="n">
        <v>2.3</v>
      </c>
      <c r="AB422" s="600" t="n">
        <v>585</v>
      </c>
      <c r="AC422" s="600" t="inlineStr">
        <is>
          <t>NOS</t>
        </is>
      </c>
      <c r="AD422" s="600" t="n"/>
      <c r="AE422" s="600" t="n"/>
      <c r="AF422" s="601" t="n">
        <v>10000</v>
      </c>
      <c r="AG422" s="601" t="inlineStr">
        <is>
          <t>Aug 2026 schedule · rajsriya PLANT2</t>
        </is>
      </c>
      <c r="AH422" s="601">
        <f t="array" ref="AH4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2" s="602">
        <f>scheduleapr[[#This Row],[SCHEDULE in nos]]-scheduleapr[[#This Row],[DISPATCH]]</f>
        <v/>
      </c>
      <c r="AJ422" s="599">
        <f>(3.14*(scheduleapr[[#This Row],[ACTUAL OD]]-scheduleapr[[#This Row],[TICKNESS]])*scheduleapr[[#This Row],[TICKNESS]]*scheduleapr[[#This Row],[LENGTH]]*7.85)/1000000*scheduleapr[[#This Row],[SCHEDULE in nos]]/1000</f>
        <v/>
      </c>
      <c r="AK422" s="599">
        <f>(3.14*(scheduleapr[[#This Row],[ACTUAL OD]]-scheduleapr[[#This Row],[TICKNESS]])*scheduleapr[[#This Row],[TICKNESS]]*scheduleapr[[#This Row],[LENGTH]]*7.85)/1000000*scheduleapr[[#This Row],[DISPATCH]]/1000</f>
        <v/>
      </c>
      <c r="AL422" s="599">
        <f>AJ422-AK422</f>
        <v/>
      </c>
      <c r="AM422" s="599">
        <f>scheduleapr[[#This Row],[SCHEDULE in nos]]/scheduleapr[[#This Row],[SCHEDULE IN MT]]*scheduleapr[[#This Row],[CTL Stock]]</f>
        <v/>
      </c>
      <c r="AN422" s="599">
        <f>SUMIFS(stock[MT],stock[Bucket],scheduleapr[[#This Row],[Bucket]],stock[CTL Bucket],scheduleapr[[#This Row],[CTL Bucket]],stock[Plant],"0789")</f>
        <v/>
      </c>
      <c r="AO422" s="599" t="n"/>
      <c r="AP422" s="599">
        <f>SUMIFS(stock[MT],stock[Bucket],scheduleapr[[#This Row],[Bucket]],stock[LL or CTL],"LL")</f>
        <v/>
      </c>
      <c r="AQ422" s="599">
        <f>+SUMIFS(wip[Stock(Net Wt)],wip[Bucket],scheduleapr[[#This Row],[Bucket]])/1000</f>
        <v/>
      </c>
      <c r="AR422" s="599">
        <f>AJ422-AN422</f>
        <v/>
      </c>
      <c r="AS422" s="118" t="n"/>
    </row>
    <row r="423">
      <c r="A423" s="594" t="n">
        <v>389</v>
      </c>
      <c r="B423" s="5" t="inlineStr">
        <is>
          <t>Hosur</t>
        </is>
      </c>
      <c r="C423" s="601" t="inlineStr">
        <is>
          <t>Rajsriya Unit 1</t>
        </is>
      </c>
      <c r="D423" s="601" t="inlineStr">
        <is>
          <t>Rajsriya Automotive Hosur</t>
        </is>
      </c>
      <c r="E423" s="601" t="inlineStr">
        <is>
          <t>129695|187884|188415|189239|189240</t>
        </is>
      </c>
      <c r="F423" s="601" t="n">
        <v>3535743</v>
      </c>
      <c r="G423" s="601">
        <f>_xlfn.CONCAT(scheduleapr[[#This Row],[CUSTOMER CODE]],"-",scheduleapr[[#This Row],[MATERIAL NO]])</f>
        <v/>
      </c>
      <c r="H423" s="601" t="inlineStr">
        <is>
          <t>TUB-O-N-AUT-AW-PE-19.05X2.300X0.6000</t>
        </is>
      </c>
      <c r="I423" s="601" t="inlineStr">
        <is>
          <t>ERW 1</t>
        </is>
      </c>
      <c r="J423" s="601" t="n"/>
      <c r="K423" s="601" t="inlineStr">
        <is>
          <t>PE</t>
        </is>
      </c>
      <c r="L423" s="601" t="inlineStr">
        <is>
          <t>HR</t>
        </is>
      </c>
      <c r="M423" s="601" t="n"/>
      <c r="N423" s="601" t="n"/>
      <c r="O423" s="601" t="n"/>
      <c r="P423" s="601" t="n"/>
      <c r="Q423" s="557">
        <f>CONCATENATE(scheduleapr[[#This Row],[OD]],"-",scheduleapr[[#This Row],[ID]],"-",scheduleapr[[#This Row],[TICKNESS]],"-",scheduleapr[[#This Row],[Grade]],"-",scheduleapr[[#This Row],[FC/NFC]])</f>
        <v/>
      </c>
      <c r="R423" s="557">
        <f>_xlfn.CONCAT(scheduleapr[[#This Row],[Bucket]],"-",scheduleapr[[#This Row],[LENGTH]]/1000)</f>
        <v/>
      </c>
      <c r="S423" s="557">
        <f>COUNTIF([2]!buckets[CTL Bucket],[2]!scheduleapr[[#This Row],[CTL Bucket]])</f>
        <v/>
      </c>
      <c r="T423" s="601" t="inlineStr">
        <is>
          <t>Hosur</t>
        </is>
      </c>
      <c r="U423" s="601">
        <f>_xlfn.IFNA(VLOOKUP(scheduleapr[[#This Row],[Bucket]],salesforecast[[#All],[Bucket2]:[8406 Stock]],19,0),0)</f>
        <v/>
      </c>
      <c r="V423" s="562">
        <f>_xlfn.IFNA(VLOOKUP(scheduleapr[[#This Row],[Bucket]],salesforecast[[#All],[Bucket2]:[8406 Stock]],20,0),0)+_xlfn.IFNA(VLOOKUP(scheduleapr[[#This Row],[Bucket]],salesforecast[[#All],[Bucket2]:[8406 Stock]],17,0),0)</f>
        <v/>
      </c>
      <c r="W423" s="557" t="n"/>
      <c r="X423" s="599" t="n">
        <v>19.05</v>
      </c>
      <c r="Y423" s="599" t="n">
        <v>19.05</v>
      </c>
      <c r="Z423" s="599" t="n">
        <v>0</v>
      </c>
      <c r="AA423" s="599" t="n">
        <v>2.3</v>
      </c>
      <c r="AB423" s="600" t="n">
        <v>600</v>
      </c>
      <c r="AC423" s="600" t="inlineStr">
        <is>
          <t>NOS</t>
        </is>
      </c>
      <c r="AD423" s="600" t="n"/>
      <c r="AE423" s="600" t="n"/>
      <c r="AF423" s="601" t="n"/>
      <c r="AG423" s="601" t="n"/>
      <c r="AH423" s="601">
        <f t="array" ref="AH4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3" s="602">
        <f>scheduleapr[[#This Row],[SCHEDULE in nos]]-scheduleapr[[#This Row],[DISPATCH]]</f>
        <v/>
      </c>
      <c r="AJ423" s="599">
        <f>(3.14*(scheduleapr[[#This Row],[ACTUAL OD]]-scheduleapr[[#This Row],[TICKNESS]])*scheduleapr[[#This Row],[TICKNESS]]*scheduleapr[[#This Row],[LENGTH]]*7.85)/1000000*scheduleapr[[#This Row],[SCHEDULE in nos]]/1000</f>
        <v/>
      </c>
      <c r="AK423" s="599">
        <f>(3.14*(scheduleapr[[#This Row],[ACTUAL OD]]-scheduleapr[[#This Row],[TICKNESS]])*scheduleapr[[#This Row],[TICKNESS]]*scheduleapr[[#This Row],[LENGTH]]*7.85)/1000000*scheduleapr[[#This Row],[DISPATCH]]/1000</f>
        <v/>
      </c>
      <c r="AL423" s="599">
        <f>AJ423-AK423</f>
        <v/>
      </c>
      <c r="AM423" s="599">
        <f>scheduleapr[[#This Row],[SCHEDULE in nos]]/scheduleapr[[#This Row],[SCHEDULE IN MT]]*scheduleapr[[#This Row],[CTL Stock]]</f>
        <v/>
      </c>
      <c r="AN423" s="599">
        <f>SUMIFS(stock[MT],stock[Bucket],scheduleapr[[#This Row],[Bucket]],stock[CTL Bucket],scheduleapr[[#This Row],[CTL Bucket]],stock[Plant],"0789")</f>
        <v/>
      </c>
      <c r="AO423" s="599" t="n"/>
      <c r="AP423" s="599">
        <f>SUMIFS(stock[MT],stock[Bucket],scheduleapr[[#This Row],[Bucket]],stock[LL or CTL],"LL")</f>
        <v/>
      </c>
      <c r="AQ423" s="599">
        <f>+SUMIFS(wip[Stock(Net Wt)],wip[Bucket],scheduleapr[[#This Row],[Bucket]])/1000</f>
        <v/>
      </c>
      <c r="AR423" s="599">
        <f>AJ423-AN423</f>
        <v/>
      </c>
      <c r="AS423" s="118" t="n"/>
    </row>
    <row r="424">
      <c r="A424" s="594" t="n">
        <v>391</v>
      </c>
      <c r="B424" s="5" t="inlineStr">
        <is>
          <t>Hosur</t>
        </is>
      </c>
      <c r="C424" s="601" t="inlineStr">
        <is>
          <t>Rajsriya Unit 2</t>
        </is>
      </c>
      <c r="D424" s="601" t="inlineStr">
        <is>
          <t>Rajsriya Automotive Hosur</t>
        </is>
      </c>
      <c r="E424" s="601" t="inlineStr">
        <is>
          <t>129695|187884|188415|189239|189240</t>
        </is>
      </c>
      <c r="F424" s="601" t="n">
        <v>1268694</v>
      </c>
      <c r="G424" s="601">
        <f>_xlfn.CONCAT(scheduleapr[[#This Row],[CUSTOMER CODE]],"-",scheduleapr[[#This Row],[MATERIAL NO]])</f>
        <v/>
      </c>
      <c r="H424" s="601" t="inlineStr">
        <is>
          <t>TUB-O-N-AUT-AW-PE-19.05X2.300X7.00-ERW 1</t>
        </is>
      </c>
      <c r="I424" s="601" t="inlineStr">
        <is>
          <t>ERW 1</t>
        </is>
      </c>
      <c r="J424" s="601" t="n"/>
      <c r="K424" s="601" t="inlineStr">
        <is>
          <t>PE</t>
        </is>
      </c>
      <c r="L424" s="601" t="inlineStr">
        <is>
          <t>HR</t>
        </is>
      </c>
      <c r="M424" s="601" t="n"/>
      <c r="N424" s="601" t="n"/>
      <c r="O424" s="601" t="n"/>
      <c r="P424" s="601" t="n"/>
      <c r="Q424" s="557">
        <f>CONCATENATE(scheduleapr[[#This Row],[OD]],"-",scheduleapr[[#This Row],[ID]],"-",scheduleapr[[#This Row],[TICKNESS]],"-",scheduleapr[[#This Row],[Grade]],"-",scheduleapr[[#This Row],[FC/NFC]])</f>
        <v/>
      </c>
      <c r="R424" s="557">
        <f>_xlfn.CONCAT(scheduleapr[[#This Row],[Bucket]],"-",scheduleapr[[#This Row],[LENGTH]]/1000)</f>
        <v/>
      </c>
      <c r="S424" s="601">
        <f>COUNTIF([2]!buckets[CTL Bucket],[2]!scheduleapr[[#This Row],[CTL Bucket]])</f>
        <v/>
      </c>
      <c r="T424" s="601" t="inlineStr">
        <is>
          <t>Hosur</t>
        </is>
      </c>
      <c r="U424" s="601">
        <f>_xlfn.IFNA(VLOOKUP(scheduleapr[[#This Row],[Bucket]],salesforecast[[#All],[Bucket2]:[8406 Stock]],19,0),0)</f>
        <v/>
      </c>
      <c r="V424" s="562">
        <f>_xlfn.IFNA(VLOOKUP(scheduleapr[[#This Row],[Bucket]],salesforecast[[#All],[Bucket2]:[8406 Stock]],20,0),0)+_xlfn.IFNA(VLOOKUP(scheduleapr[[#This Row],[Bucket]],salesforecast[[#All],[Bucket2]:[8406 Stock]],17,0),0)</f>
        <v/>
      </c>
      <c r="W424" s="601" t="n"/>
      <c r="X424" s="599" t="n">
        <v>19.05</v>
      </c>
      <c r="Y424" s="599" t="n">
        <v>19.05</v>
      </c>
      <c r="Z424" s="599" t="n">
        <v>0</v>
      </c>
      <c r="AA424" s="599" t="n">
        <v>2.3</v>
      </c>
      <c r="AB424" s="600" t="n">
        <v>1000</v>
      </c>
      <c r="AC424" s="600" t="inlineStr">
        <is>
          <t>M</t>
        </is>
      </c>
      <c r="AD424" s="600" t="n"/>
      <c r="AE424" s="600" t="n"/>
      <c r="AF424" s="601" t="n"/>
      <c r="AG424" s="601" t="n"/>
      <c r="AH424" s="601">
        <f t="array" ref="AH4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4" s="602">
        <f>scheduleapr[[#This Row],[SCHEDULE in nos]]-scheduleapr[[#This Row],[DISPATCH]]</f>
        <v/>
      </c>
      <c r="AJ424" s="599">
        <f>(3.14*(scheduleapr[[#This Row],[ACTUAL OD]]-scheduleapr[[#This Row],[TICKNESS]])*scheduleapr[[#This Row],[TICKNESS]]*scheduleapr[[#This Row],[LENGTH]]*7.85)/1000000*scheduleapr[[#This Row],[SCHEDULE in nos]]/1000</f>
        <v/>
      </c>
      <c r="AK424" s="599">
        <f>(3.14*(scheduleapr[[#This Row],[ACTUAL OD]]-scheduleapr[[#This Row],[TICKNESS]])*scheduleapr[[#This Row],[TICKNESS]]*scheduleapr[[#This Row],[LENGTH]]*7.85)/1000000*scheduleapr[[#This Row],[DISPATCH]]/1000</f>
        <v/>
      </c>
      <c r="AL424" s="599">
        <f>AJ424-AK424</f>
        <v/>
      </c>
      <c r="AM424" s="599">
        <f>scheduleapr[[#This Row],[SCHEDULE in nos]]/scheduleapr[[#This Row],[SCHEDULE IN MT]]*scheduleapr[[#This Row],[CTL Stock]]</f>
        <v/>
      </c>
      <c r="AN424" s="599">
        <f>SUMIFS(stock[MT],stock[Bucket],scheduleapr[[#This Row],[Bucket]],stock[CTL Bucket],scheduleapr[[#This Row],[CTL Bucket]],stock[Plant],"0789")</f>
        <v/>
      </c>
      <c r="AO424" s="599" t="n"/>
      <c r="AP424" s="599">
        <f>SUMIFS(stock[MT],stock[Bucket],scheduleapr[[#This Row],[Bucket]],stock[LL or CTL],"LL")</f>
        <v/>
      </c>
      <c r="AQ424" s="599">
        <f>+SUMIFS(wip[Stock(Net Wt)],wip[Bucket],scheduleapr[[#This Row],[Bucket]])/1000</f>
        <v/>
      </c>
      <c r="AR424" s="599">
        <f>AJ424-AN424</f>
        <v/>
      </c>
      <c r="AS424" s="118" t="n"/>
    </row>
    <row r="425">
      <c r="A425" s="594" t="n">
        <v>390</v>
      </c>
      <c r="B425" s="5" t="inlineStr">
        <is>
          <t>Hosur</t>
        </is>
      </c>
      <c r="C425" s="601" t="inlineStr">
        <is>
          <t>Rajsriya Automotive</t>
        </is>
      </c>
      <c r="D425" s="601" t="inlineStr">
        <is>
          <t>Rajsriya Automotive Hosur</t>
        </is>
      </c>
      <c r="E425" s="601" t="inlineStr">
        <is>
          <t>129695|187884|188415|189239|189240</t>
        </is>
      </c>
      <c r="F425" s="601" t="n">
        <v>1268694</v>
      </c>
      <c r="G425" s="601">
        <f>_xlfn.CONCAT(scheduleapr[[#This Row],[CUSTOMER CODE]],"-",scheduleapr[[#This Row],[MATERIAL NO]])</f>
        <v/>
      </c>
      <c r="H425" s="601" t="inlineStr">
        <is>
          <t>TUB-O-N-AUT-AW-PE-19.05X2.300X7.00-ERW 1</t>
        </is>
      </c>
      <c r="I425" s="601" t="inlineStr">
        <is>
          <t>ERW 1</t>
        </is>
      </c>
      <c r="J425" s="601" t="n"/>
      <c r="K425" s="601" t="inlineStr">
        <is>
          <t>PE</t>
        </is>
      </c>
      <c r="L425" s="601" t="inlineStr">
        <is>
          <t>HR</t>
        </is>
      </c>
      <c r="M425" s="601" t="n"/>
      <c r="N425" s="601" t="n"/>
      <c r="O425" s="601" t="n"/>
      <c r="P425" s="601" t="n"/>
      <c r="Q425" s="557">
        <f>CONCATENATE(scheduleapr[[#This Row],[OD]],"-",scheduleapr[[#This Row],[ID]],"-",scheduleapr[[#This Row],[TICKNESS]],"-",scheduleapr[[#This Row],[Grade]],"-",scheduleapr[[#This Row],[FC/NFC]])</f>
        <v/>
      </c>
      <c r="R425" s="557">
        <f>_xlfn.CONCAT(scheduleapr[[#This Row],[Bucket]],"-",scheduleapr[[#This Row],[LENGTH]]/1000)</f>
        <v/>
      </c>
      <c r="S425" s="557">
        <f>COUNTIF([2]!buckets[CTL Bucket],[2]!scheduleapr[[#This Row],[CTL Bucket]])</f>
        <v/>
      </c>
      <c r="T425" s="601" t="inlineStr">
        <is>
          <t>Hosur</t>
        </is>
      </c>
      <c r="U425" s="601" t="n"/>
      <c r="V425" s="557" t="n"/>
      <c r="W425" s="557" t="n"/>
      <c r="X425" s="599" t="n">
        <v>19.05</v>
      </c>
      <c r="Y425" s="599" t="n">
        <v>19.05</v>
      </c>
      <c r="Z425" s="599" t="n">
        <v>0</v>
      </c>
      <c r="AA425" s="599" t="n">
        <v>2.3</v>
      </c>
      <c r="AB425" s="600" t="n">
        <v>1000</v>
      </c>
      <c r="AC425" s="600" t="inlineStr">
        <is>
          <t>M</t>
        </is>
      </c>
      <c r="AD425" s="600" t="n"/>
      <c r="AE425" s="600" t="n"/>
      <c r="AF425" s="601" t="n"/>
      <c r="AG425" s="601" t="n"/>
      <c r="AH425" s="601">
        <f t="array" ref="AH4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5" s="602">
        <f>scheduleapr[[#This Row],[SCHEDULE in nos]]-scheduleapr[[#This Row],[DISPATCH]]</f>
        <v/>
      </c>
      <c r="AJ425" s="599">
        <f>(3.14*(scheduleapr[[#This Row],[ACTUAL OD]]-scheduleapr[[#This Row],[TICKNESS]])*scheduleapr[[#This Row],[TICKNESS]]*scheduleapr[[#This Row],[LENGTH]]*7.85)/1000000*scheduleapr[[#This Row],[SCHEDULE in nos]]/1000</f>
        <v/>
      </c>
      <c r="AK425" s="599">
        <f>(3.14*(scheduleapr[[#This Row],[ACTUAL OD]]-scheduleapr[[#This Row],[TICKNESS]])*scheduleapr[[#This Row],[TICKNESS]]*scheduleapr[[#This Row],[LENGTH]]*7.85)/1000000*scheduleapr[[#This Row],[DISPATCH]]/1000</f>
        <v/>
      </c>
      <c r="AL425" s="599">
        <f>AJ425-AK425</f>
        <v/>
      </c>
      <c r="AM425" s="599">
        <f>scheduleapr[[#This Row],[SCHEDULE in nos]]/scheduleapr[[#This Row],[SCHEDULE IN MT]]*scheduleapr[[#This Row],[CTL Stock]]</f>
        <v/>
      </c>
      <c r="AN425" s="599">
        <f>SUMIFS(stock[MT],stock[Bucket],scheduleapr[[#This Row],[Bucket]],stock[CTL Bucket],scheduleapr[[#This Row],[CTL Bucket]],stock[Plant],"0789")</f>
        <v/>
      </c>
      <c r="AO425" s="599" t="n"/>
      <c r="AP425" s="599">
        <f>SUMIFS(stock[MT],stock[Bucket],scheduleapr[[#This Row],[Bucket]],stock[LL or CTL],"LL")</f>
        <v/>
      </c>
      <c r="AQ425" s="599">
        <f>+SUMIFS(wip[Stock(Net Wt)],wip[Bucket],scheduleapr[[#This Row],[Bucket]])/1000</f>
        <v/>
      </c>
      <c r="AR425" s="599">
        <f>AJ425-AN425</f>
        <v/>
      </c>
      <c r="AS425" s="118" t="n"/>
    </row>
    <row r="426">
      <c r="A426" s="594" t="n">
        <v>312</v>
      </c>
      <c r="B426" s="5" t="inlineStr">
        <is>
          <t>Hosur</t>
        </is>
      </c>
      <c r="C426" s="601" t="inlineStr">
        <is>
          <t>Rajsriya Automotive</t>
        </is>
      </c>
      <c r="D426" s="601" t="inlineStr">
        <is>
          <t>Rajsriya Automotive Hosur</t>
        </is>
      </c>
      <c r="E426" s="601" t="inlineStr">
        <is>
          <t>129695|187884|188415|189239|189240</t>
        </is>
      </c>
      <c r="F426" s="601" t="n">
        <v>2332783</v>
      </c>
      <c r="G426" s="601">
        <f>_xlfn.CONCAT(scheduleapr[[#This Row],[CUSTOMER CODE]],"-",scheduleapr[[#This Row],[MATERIAL NO]])</f>
        <v/>
      </c>
      <c r="H426" s="601" t="inlineStr">
        <is>
          <t>TUB-O-N-AUT-AW-PE-19.05X2.300X0.5500</t>
        </is>
      </c>
      <c r="I426" s="601" t="inlineStr">
        <is>
          <t>ERW 1</t>
        </is>
      </c>
      <c r="J426" s="601" t="n"/>
      <c r="K426" s="601" t="n"/>
      <c r="L426" s="601" t="inlineStr">
        <is>
          <t>HR</t>
        </is>
      </c>
      <c r="M426" s="601" t="n"/>
      <c r="N426" s="601" t="n"/>
      <c r="O426" s="601" t="n"/>
      <c r="P426" s="601" t="n"/>
      <c r="Q426" s="557">
        <f>CONCATENATE(scheduleapr[[#This Row],[OD]],"-",scheduleapr[[#This Row],[ID]],"-",scheduleapr[[#This Row],[TICKNESS]],"-",scheduleapr[[#This Row],[Grade]],"-",scheduleapr[[#This Row],[FC/NFC]])</f>
        <v/>
      </c>
      <c r="R426" s="557">
        <f>_xlfn.CONCAT(scheduleapr[[#This Row],[Bucket]],"-",scheduleapr[[#This Row],[LENGTH]]/1000)</f>
        <v/>
      </c>
      <c r="S426" s="557">
        <f>COUNTIF([2]!buckets[CTL Bucket],[2]!scheduleapr[[#This Row],[CTL Bucket]])</f>
        <v/>
      </c>
      <c r="T426" s="557" t="n"/>
      <c r="U426" s="557" t="n"/>
      <c r="V426" s="557" t="n"/>
      <c r="W426" s="557" t="n"/>
      <c r="X426" s="599" t="n">
        <v>19.05</v>
      </c>
      <c r="Y426" s="599" t="n">
        <v>19.05</v>
      </c>
      <c r="Z426" s="599" t="n">
        <v>0</v>
      </c>
      <c r="AA426" s="599" t="n">
        <v>2.34</v>
      </c>
      <c r="AB426" s="600" t="n">
        <v>550</v>
      </c>
      <c r="AC426" s="600" t="n"/>
      <c r="AD426" s="600" t="n"/>
      <c r="AE426" s="600" t="n"/>
      <c r="AF426" s="601" t="n"/>
      <c r="AG426" s="601" t="n"/>
      <c r="AH426" s="601">
        <f t="array" ref="AH4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6" s="602">
        <f>scheduleapr[[#This Row],[SCHEDULE in nos]]-scheduleapr[[#This Row],[DISPATCH]]</f>
        <v/>
      </c>
      <c r="AJ426" s="599">
        <f>(3.14*(scheduleapr[[#This Row],[ACTUAL OD]]-scheduleapr[[#This Row],[TICKNESS]])*scheduleapr[[#This Row],[TICKNESS]]*scheduleapr[[#This Row],[LENGTH]]*7.85)/1000000*scheduleapr[[#This Row],[SCHEDULE in nos]]/1000</f>
        <v/>
      </c>
      <c r="AK426" s="599">
        <f>(3.14*(scheduleapr[[#This Row],[ACTUAL OD]]-scheduleapr[[#This Row],[TICKNESS]])*scheduleapr[[#This Row],[TICKNESS]]*scheduleapr[[#This Row],[LENGTH]]*7.85)/1000000*scheduleapr[[#This Row],[DISPATCH]]/1000</f>
        <v/>
      </c>
      <c r="AL426" s="599">
        <f>AJ426-AK426</f>
        <v/>
      </c>
      <c r="AM426" s="599">
        <f>scheduleapr[[#This Row],[SCHEDULE in nos]]/scheduleapr[[#This Row],[SCHEDULE IN MT]]*scheduleapr[[#This Row],[CTL Stock]]</f>
        <v/>
      </c>
      <c r="AN426" s="599">
        <f>SUMIFS(stock[MT],stock[Bucket],scheduleapr[[#This Row],[Bucket]],stock[CTL Bucket],scheduleapr[[#This Row],[CTL Bucket]],stock[Plant],"0789")</f>
        <v/>
      </c>
      <c r="AO426" s="599" t="n"/>
      <c r="AP426" s="599">
        <f>SUMIFS(stock[MT],stock[Bucket],scheduleapr[[#This Row],[Bucket]],stock[LL or CTL],"LL")</f>
        <v/>
      </c>
      <c r="AQ426" s="599">
        <f>+SUMIFS(wip[Stock(Net Wt)],wip[Bucket],scheduleapr[[#This Row],[Bucket]])/1000</f>
        <v/>
      </c>
      <c r="AR426" s="599">
        <f>AJ426-AN426</f>
        <v/>
      </c>
      <c r="AS426" s="118" t="n"/>
    </row>
    <row r="427">
      <c r="A427" s="594" t="n">
        <v>395</v>
      </c>
      <c r="B427" s="5" t="inlineStr">
        <is>
          <t>Hosur</t>
        </is>
      </c>
      <c r="C427" s="601" t="inlineStr">
        <is>
          <t>Rajsriya Unit 4</t>
        </is>
      </c>
      <c r="D427" s="601" t="inlineStr">
        <is>
          <t>Rajsriya Automotive Hosur</t>
        </is>
      </c>
      <c r="E427" s="601" t="inlineStr">
        <is>
          <t>129695|187884|188415|189239|189240</t>
        </is>
      </c>
      <c r="F427" s="127" t="n">
        <v>4083986</v>
      </c>
      <c r="G427" s="601">
        <f>_xlfn.CONCAT(scheduleapr[[#This Row],[CUSTOMER CODE]],"-",scheduleapr[[#This Row],[MATERIAL NO]])</f>
        <v/>
      </c>
      <c r="H427" s="601" t="inlineStr">
        <is>
          <t>HT1-O-N-AUT-AW-PE-22.23X1.200X0.2970</t>
        </is>
      </c>
      <c r="I427" s="601" t="inlineStr">
        <is>
          <t>ERW 1</t>
        </is>
      </c>
      <c r="J427" s="601" t="n"/>
      <c r="K427" s="601" t="inlineStr">
        <is>
          <t>PE</t>
        </is>
      </c>
      <c r="L427" s="601" t="inlineStr">
        <is>
          <t>CR</t>
        </is>
      </c>
      <c r="M427" s="601" t="n"/>
      <c r="N427" s="601" t="n"/>
      <c r="O427" s="601" t="n"/>
      <c r="P427" s="601" t="n"/>
      <c r="Q427" s="557">
        <f>CONCATENATE(scheduleapr[[#This Row],[OD]],"-",scheduleapr[[#This Row],[ID]],"-",scheduleapr[[#This Row],[TICKNESS]],"-",scheduleapr[[#This Row],[Grade]],"-",scheduleapr[[#This Row],[FC/NFC]])</f>
        <v/>
      </c>
      <c r="R427" s="557">
        <f>_xlfn.CONCAT(scheduleapr[[#This Row],[Bucket]],"-",scheduleapr[[#This Row],[LENGTH]]/1000)</f>
        <v/>
      </c>
      <c r="S427" s="557">
        <f>COUNTIF(scheduleapr[CTL Bucket],scheduleapr[[#This Row],[CTL Bucket]])</f>
        <v/>
      </c>
      <c r="T427" s="601" t="inlineStr">
        <is>
          <t>Hosur</t>
        </is>
      </c>
      <c r="U427" s="601">
        <f>_xlfn.IFNA(VLOOKUP(scheduleapr[[#This Row],[Bucket]],salesforecast[[#All],[Bucket2]:[8406 Stock]],19,0),0)</f>
        <v/>
      </c>
      <c r="V427" s="562">
        <f>_xlfn.IFNA(VLOOKUP(scheduleapr[[#This Row],[Bucket]],salesforecast[[#All],[Bucket2]:[8406 Stock]],20,0),0)+_xlfn.IFNA(VLOOKUP(scheduleapr[[#This Row],[Bucket]],salesforecast[[#All],[Bucket2]:[8406 Stock]],17,0),0)</f>
        <v/>
      </c>
      <c r="W427" s="557" t="n"/>
      <c r="X427" s="599" t="n">
        <v>22.23</v>
      </c>
      <c r="Y427" s="599" t="n">
        <v>22.23</v>
      </c>
      <c r="Z427" s="599" t="n">
        <v>0</v>
      </c>
      <c r="AA427" s="599" t="n">
        <v>1.2</v>
      </c>
      <c r="AB427" s="600" t="n">
        <v>297</v>
      </c>
      <c r="AC427" s="600" t="inlineStr">
        <is>
          <t>NOS</t>
        </is>
      </c>
      <c r="AD427" s="600" t="n"/>
      <c r="AE427" s="600" t="n"/>
      <c r="AF427" s="601" t="n">
        <v>8000</v>
      </c>
      <c r="AG427" s="601" t="inlineStr">
        <is>
          <t>Aug 2026 schedule · rajsriya PLANT4</t>
        </is>
      </c>
      <c r="AH427" s="601">
        <f t="array" ref="AH4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7" s="602">
        <f>scheduleapr[[#This Row],[SCHEDULE in nos]]-scheduleapr[[#This Row],[DISPATCH]]</f>
        <v/>
      </c>
      <c r="AJ427" s="599">
        <f>(3.14*(scheduleapr[[#This Row],[ACTUAL OD]]-scheduleapr[[#This Row],[TICKNESS]])*scheduleapr[[#This Row],[TICKNESS]]*scheduleapr[[#This Row],[LENGTH]]*7.85)/1000000*scheduleapr[[#This Row],[SCHEDULE in nos]]/1000</f>
        <v/>
      </c>
      <c r="AK427" s="599">
        <f>(3.14*(scheduleapr[[#This Row],[ACTUAL OD]]-scheduleapr[[#This Row],[TICKNESS]])*scheduleapr[[#This Row],[TICKNESS]]*scheduleapr[[#This Row],[LENGTH]]*7.85)/1000000*scheduleapr[[#This Row],[DISPATCH]]/1000</f>
        <v/>
      </c>
      <c r="AL427" s="599">
        <f>AJ427-AK427</f>
        <v/>
      </c>
      <c r="AM427" s="599">
        <f>scheduleapr[[#This Row],[SCHEDULE in nos]]/scheduleapr[[#This Row],[SCHEDULE IN MT]]*scheduleapr[[#This Row],[CTL Stock]]</f>
        <v/>
      </c>
      <c r="AN427" s="599">
        <f>SUMIFS(stock[MT],stock[Bucket],scheduleapr[[#This Row],[Bucket]],stock[CTL Bucket],scheduleapr[[#This Row],[CTL Bucket]],stock[Plant],"0789")</f>
        <v/>
      </c>
      <c r="AO427" s="599" t="n"/>
      <c r="AP427" s="599">
        <f>SUMIFS(stock[MT],stock[Bucket],scheduleapr[[#This Row],[Bucket]],stock[LL or CTL],"LL")</f>
        <v/>
      </c>
      <c r="AQ427" s="599">
        <f>+SUMIFS(wip[Stock(Net Wt)],wip[Bucket],scheduleapr[[#This Row],[Bucket]])/1000</f>
        <v/>
      </c>
      <c r="AR427" s="599">
        <f>AJ427-AN427</f>
        <v/>
      </c>
      <c r="AS427" s="118" t="n"/>
    </row>
    <row r="428">
      <c r="A428" s="594" t="n">
        <v>315</v>
      </c>
      <c r="B428" s="5" t="inlineStr">
        <is>
          <t>Hosur</t>
        </is>
      </c>
      <c r="C428" s="601" t="inlineStr">
        <is>
          <t>Rajsriya Unit 2</t>
        </is>
      </c>
      <c r="D428" s="601" t="inlineStr">
        <is>
          <t>Rajsriya Automotive Hosur</t>
        </is>
      </c>
      <c r="E428" s="601" t="inlineStr">
        <is>
          <t>129695|187884|188415|189239|189240</t>
        </is>
      </c>
      <c r="F428" s="601" t="n">
        <v>1940360</v>
      </c>
      <c r="G428" s="601">
        <f>_xlfn.CONCAT(scheduleapr[[#This Row],[CUSTOMER CODE]],"-",scheduleapr[[#This Row],[MATERIAL NO]])</f>
        <v/>
      </c>
      <c r="H428" s="601" t="inlineStr">
        <is>
          <t>TUB-O-O-AUT-AW-PE-22.23X1.200X0.6000</t>
        </is>
      </c>
      <c r="I428" s="601" t="inlineStr">
        <is>
          <t>ERW 1</t>
        </is>
      </c>
      <c r="J428" s="601" t="n"/>
      <c r="K428" s="601" t="inlineStr">
        <is>
          <t>PE</t>
        </is>
      </c>
      <c r="L428" s="601" t="inlineStr">
        <is>
          <t>HR</t>
        </is>
      </c>
      <c r="M428" s="601" t="n"/>
      <c r="N428" s="601" t="n"/>
      <c r="O428" s="601" t="n"/>
      <c r="P428" s="601" t="n"/>
      <c r="Q428" s="557">
        <f>CONCATENATE(scheduleapr[[#This Row],[OD]],"-",scheduleapr[[#This Row],[ID]],"-",scheduleapr[[#This Row],[TICKNESS]],"-",scheduleapr[[#This Row],[Grade]],"-",scheduleapr[[#This Row],[FC/NFC]])</f>
        <v/>
      </c>
      <c r="R428" s="557">
        <f>_xlfn.CONCAT(scheduleapr[[#This Row],[Bucket]],"-",scheduleapr[[#This Row],[LENGTH]]/1000)</f>
        <v/>
      </c>
      <c r="S428" s="557">
        <f>COUNTIF(scheduleapr[CTL Bucket],scheduleapr[[#This Row],[CTL Bucket]])</f>
        <v/>
      </c>
      <c r="T428" s="557" t="n"/>
      <c r="U428" s="557" t="n"/>
      <c r="V428" s="557" t="n"/>
      <c r="W428" s="557" t="n"/>
      <c r="X428" s="599" t="n">
        <v>22.23</v>
      </c>
      <c r="Y428" s="599" t="n">
        <v>22.23</v>
      </c>
      <c r="Z428" s="599" t="n">
        <v>0</v>
      </c>
      <c r="AA428" s="599" t="n">
        <v>1.2</v>
      </c>
      <c r="AB428" s="600" t="n">
        <v>600</v>
      </c>
      <c r="AC428" s="600" t="inlineStr">
        <is>
          <t>NOS</t>
        </is>
      </c>
      <c r="AD428" s="600" t="n"/>
      <c r="AE428" s="600" t="n"/>
      <c r="AF428" s="601" t="n">
        <v>5000</v>
      </c>
      <c r="AG428" s="601" t="inlineStr">
        <is>
          <t>Aug 2026 schedule · rajsriya PLANT4</t>
        </is>
      </c>
      <c r="AH428" s="601">
        <f t="array" ref="AH4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8" s="602">
        <f>scheduleapr[[#This Row],[SCHEDULE in nos]]-scheduleapr[[#This Row],[DISPATCH]]</f>
        <v/>
      </c>
      <c r="AJ428" s="599">
        <f>(3.14*(scheduleapr[[#This Row],[ACTUAL OD]]-scheduleapr[[#This Row],[TICKNESS]])*scheduleapr[[#This Row],[TICKNESS]]*scheduleapr[[#This Row],[LENGTH]]*7.85)/1000000*scheduleapr[[#This Row],[SCHEDULE in nos]]/1000</f>
        <v/>
      </c>
      <c r="AK428" s="599">
        <f>(3.14*(scheduleapr[[#This Row],[ACTUAL OD]]-scheduleapr[[#This Row],[TICKNESS]])*scheduleapr[[#This Row],[TICKNESS]]*scheduleapr[[#This Row],[LENGTH]]*7.85)/1000000*scheduleapr[[#This Row],[DISPATCH]]/1000</f>
        <v/>
      </c>
      <c r="AL428" s="599">
        <f>AJ428-AK428</f>
        <v/>
      </c>
      <c r="AM428" s="599">
        <f>scheduleapr[[#This Row],[SCHEDULE in nos]]/scheduleapr[[#This Row],[SCHEDULE IN MT]]*scheduleapr[[#This Row],[CTL Stock]]</f>
        <v/>
      </c>
      <c r="AN428" s="599">
        <f>SUMIFS(stock[MT],stock[Bucket],scheduleapr[[#This Row],[Bucket]],stock[CTL Bucket],scheduleapr[[#This Row],[CTL Bucket]],stock[Plant],"0789")</f>
        <v/>
      </c>
      <c r="AO428" s="599" t="n"/>
      <c r="AP428" s="599">
        <f>SUMIFS(stock[MT],stock[Bucket],scheduleapr[[#This Row],[Bucket]],stock[LL or CTL],"LL")</f>
        <v/>
      </c>
      <c r="AQ428" s="599">
        <f>+SUMIFS(wip[Stock(Net Wt)],wip[Bucket],scheduleapr[[#This Row],[Bucket]])/1000</f>
        <v/>
      </c>
      <c r="AR428" s="599">
        <f>AJ428-AN428</f>
        <v/>
      </c>
      <c r="AS428" s="118" t="n"/>
    </row>
    <row r="429">
      <c r="A429" s="594" t="n">
        <v>398</v>
      </c>
      <c r="B429" s="5" t="inlineStr">
        <is>
          <t>Hosur</t>
        </is>
      </c>
      <c r="C429" s="601" t="inlineStr">
        <is>
          <t>Rajsriya Unit 4</t>
        </is>
      </c>
      <c r="D429" s="601" t="inlineStr">
        <is>
          <t>Rajsriya Automotive Hosur</t>
        </is>
      </c>
      <c r="E429" s="601" t="inlineStr">
        <is>
          <t>129695|187884|188415|189239|189240</t>
        </is>
      </c>
      <c r="F429" s="601" t="n">
        <v>3507568</v>
      </c>
      <c r="G429" s="601">
        <f>_xlfn.CONCAT(scheduleapr[[#This Row],[CUSTOMER CODE]],"-",scheduleapr[[#This Row],[MATERIAL NO]])</f>
        <v/>
      </c>
      <c r="H429" s="601" t="inlineStr">
        <is>
          <t>CUT-O-N-AUT-AW-PE-22.20X1.200X0.6810</t>
        </is>
      </c>
      <c r="I429" s="601" t="inlineStr">
        <is>
          <t>ERW 1</t>
        </is>
      </c>
      <c r="J429" s="601" t="n"/>
      <c r="K429" s="601" t="inlineStr">
        <is>
          <t>PE</t>
        </is>
      </c>
      <c r="L429" s="601" t="inlineStr">
        <is>
          <t>CR</t>
        </is>
      </c>
      <c r="M429" s="601" t="n"/>
      <c r="N429" s="601" t="n"/>
      <c r="O429" s="601" t="n"/>
      <c r="P429" s="601" t="n"/>
      <c r="Q429" s="557">
        <f>CONCATENATE(scheduleapr[[#This Row],[OD]],"-",scheduleapr[[#This Row],[ID]],"-",scheduleapr[[#This Row],[TICKNESS]],"-",scheduleapr[[#This Row],[Grade]],"-",scheduleapr[[#This Row],[FC/NFC]])</f>
        <v/>
      </c>
      <c r="R429" s="557">
        <f>_xlfn.CONCAT(scheduleapr[[#This Row],[Bucket]],"-",scheduleapr[[#This Row],[LENGTH]]/1000)</f>
        <v/>
      </c>
      <c r="S429" s="557">
        <f>COUNTIF(scheduleapr[CTL Bucket],scheduleapr[[#This Row],[CTL Bucket]])</f>
        <v/>
      </c>
      <c r="T429" s="601" t="inlineStr">
        <is>
          <t>Hosur</t>
        </is>
      </c>
      <c r="U429" s="601">
        <f>_xlfn.IFNA(VLOOKUP(scheduleapr[[#This Row],[Bucket]],salesforecast[[#All],[Bucket2]:[8406 Stock]],19,0),0)</f>
        <v/>
      </c>
      <c r="V429" s="562">
        <f>_xlfn.IFNA(VLOOKUP(scheduleapr[[#This Row],[Bucket]],salesforecast[[#All],[Bucket2]:[8406 Stock]],20,0),0)+_xlfn.IFNA(VLOOKUP(scheduleapr[[#This Row],[Bucket]],salesforecast[[#All],[Bucket2]:[8406 Stock]],17,0),0)</f>
        <v/>
      </c>
      <c r="W429" s="557" t="n"/>
      <c r="X429" s="599" t="n">
        <v>22.23</v>
      </c>
      <c r="Y429" s="599" t="n">
        <v>22.23</v>
      </c>
      <c r="Z429" s="599" t="n">
        <v>0</v>
      </c>
      <c r="AA429" s="599" t="n">
        <v>1.2</v>
      </c>
      <c r="AB429" s="600" t="n">
        <v>681</v>
      </c>
      <c r="AC429" s="600" t="inlineStr">
        <is>
          <t>NOS</t>
        </is>
      </c>
      <c r="AD429" s="600" t="n"/>
      <c r="AE429" s="600" t="n"/>
      <c r="AF429" s="601" t="n">
        <v>5000</v>
      </c>
      <c r="AG429" s="601" t="inlineStr">
        <is>
          <t>Aug 2026 schedule · rajsriya PLANT4</t>
        </is>
      </c>
      <c r="AH429" s="601">
        <f t="array" ref="AH4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29" s="602">
        <f>scheduleapr[[#This Row],[SCHEDULE in nos]]-scheduleapr[[#This Row],[DISPATCH]]</f>
        <v/>
      </c>
      <c r="AJ429" s="599">
        <f>(3.14*(scheduleapr[[#This Row],[ACTUAL OD]]-scheduleapr[[#This Row],[TICKNESS]])*scheduleapr[[#This Row],[TICKNESS]]*scheduleapr[[#This Row],[LENGTH]]*7.85)/1000000*scheduleapr[[#This Row],[SCHEDULE in nos]]/1000</f>
        <v/>
      </c>
      <c r="AK429" s="599">
        <f>(3.14*(scheduleapr[[#This Row],[ACTUAL OD]]-scheduleapr[[#This Row],[TICKNESS]])*scheduleapr[[#This Row],[TICKNESS]]*scheduleapr[[#This Row],[LENGTH]]*7.85)/1000000*scheduleapr[[#This Row],[DISPATCH]]/1000</f>
        <v/>
      </c>
      <c r="AL429" s="599">
        <f>AJ429-AK429</f>
        <v/>
      </c>
      <c r="AM429" s="599">
        <f>scheduleapr[[#This Row],[SCHEDULE in nos]]/scheduleapr[[#This Row],[SCHEDULE IN MT]]*scheduleapr[[#This Row],[CTL Stock]]</f>
        <v/>
      </c>
      <c r="AN429" s="599">
        <f>SUMIFS(stock[MT],stock[Bucket],scheduleapr[[#This Row],[Bucket]],stock[CTL Bucket],scheduleapr[[#This Row],[CTL Bucket]],stock[Plant],"0789")</f>
        <v/>
      </c>
      <c r="AO429" s="599" t="n"/>
      <c r="AP429" s="599">
        <f>SUMIFS(stock[MT],stock[Bucket],scheduleapr[[#This Row],[Bucket]],stock[LL or CTL],"LL")</f>
        <v/>
      </c>
      <c r="AQ429" s="599">
        <f>+SUMIFS(wip[Stock(Net Wt)],wip[Bucket],scheduleapr[[#This Row],[Bucket]])/1000</f>
        <v/>
      </c>
      <c r="AR429" s="599">
        <f>AJ429-AN429</f>
        <v/>
      </c>
      <c r="AS429" s="118" t="n"/>
    </row>
    <row r="430">
      <c r="A430" s="594" t="n">
        <v>316</v>
      </c>
      <c r="B430" s="5" t="inlineStr">
        <is>
          <t>Hosur</t>
        </is>
      </c>
      <c r="C430" s="601" t="inlineStr">
        <is>
          <t>Rajsriya Automotive</t>
        </is>
      </c>
      <c r="D430" s="601" t="inlineStr">
        <is>
          <t>Rajsriya Automotive Hosur</t>
        </is>
      </c>
      <c r="E430" s="601" t="inlineStr">
        <is>
          <t>129695|187884|188415|189239|189240</t>
        </is>
      </c>
      <c r="F430" s="601" t="n">
        <v>3747395</v>
      </c>
      <c r="G430" s="601">
        <f>_xlfn.CONCAT(scheduleapr[[#This Row],[CUSTOMER CODE]],"-",scheduleapr[[#This Row],[MATERIAL NO]])</f>
        <v/>
      </c>
      <c r="H430" s="601" t="inlineStr">
        <is>
          <t>PT2-O-N-AUT-AW-PE-22.20X1.600X0.361</t>
        </is>
      </c>
      <c r="I430" s="601" t="inlineStr">
        <is>
          <t>ERW 1</t>
        </is>
      </c>
      <c r="J430" s="601" t="n"/>
      <c r="K430" s="601" t="n"/>
      <c r="L430" s="601" t="inlineStr">
        <is>
          <t>HR</t>
        </is>
      </c>
      <c r="M430" s="601" t="n"/>
      <c r="N430" s="601" t="n"/>
      <c r="O430" s="601" t="n"/>
      <c r="P430" s="601" t="n"/>
      <c r="Q430" s="557">
        <f>CONCATENATE(scheduleapr[[#This Row],[OD]],"-",scheduleapr[[#This Row],[ID]],"-",scheduleapr[[#This Row],[TICKNESS]],"-",scheduleapr[[#This Row],[Grade]],"-",scheduleapr[[#This Row],[FC/NFC]])</f>
        <v/>
      </c>
      <c r="R430" s="557">
        <f>_xlfn.CONCAT(scheduleapr[[#This Row],[Bucket]],"-",scheduleapr[[#This Row],[LENGTH]]/1000)</f>
        <v/>
      </c>
      <c r="S430" s="557">
        <f>COUNTIF([2]!buckets[CTL Bucket],[2]!scheduleapr[[#This Row],[CTL Bucket]])</f>
        <v/>
      </c>
      <c r="T430" s="557" t="n"/>
      <c r="U430" s="557" t="n"/>
      <c r="V430" s="557" t="n"/>
      <c r="W430" s="557" t="n"/>
      <c r="X430" s="599" t="n">
        <v>22.23</v>
      </c>
      <c r="Y430" s="599" t="n">
        <v>22.23</v>
      </c>
      <c r="Z430" s="599" t="n">
        <v>0</v>
      </c>
      <c r="AA430" s="599" t="n">
        <v>1.6</v>
      </c>
      <c r="AB430" s="600" t="n">
        <v>361</v>
      </c>
      <c r="AC430" s="600" t="n"/>
      <c r="AD430" s="600" t="n"/>
      <c r="AE430" s="600" t="n"/>
      <c r="AF430" s="601" t="n"/>
      <c r="AG430" s="601" t="n"/>
      <c r="AH430" s="601">
        <f t="array" ref="AH4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0" s="602">
        <f>scheduleapr[[#This Row],[SCHEDULE in nos]]-scheduleapr[[#This Row],[DISPATCH]]</f>
        <v/>
      </c>
      <c r="AJ430" s="599">
        <f>(3.14*(scheduleapr[[#This Row],[ACTUAL OD]]-scheduleapr[[#This Row],[TICKNESS]])*scheduleapr[[#This Row],[TICKNESS]]*scheduleapr[[#This Row],[LENGTH]]*7.85)/1000000*scheduleapr[[#This Row],[SCHEDULE in nos]]/1000</f>
        <v/>
      </c>
      <c r="AK430" s="599">
        <f>(3.14*(scheduleapr[[#This Row],[ACTUAL OD]]-scheduleapr[[#This Row],[TICKNESS]])*scheduleapr[[#This Row],[TICKNESS]]*scheduleapr[[#This Row],[LENGTH]]*7.85)/1000000*scheduleapr[[#This Row],[DISPATCH]]/1000</f>
        <v/>
      </c>
      <c r="AL430" s="599">
        <f>AJ430-AK430</f>
        <v/>
      </c>
      <c r="AM430" s="599">
        <f>scheduleapr[[#This Row],[SCHEDULE in nos]]/scheduleapr[[#This Row],[SCHEDULE IN MT]]*scheduleapr[[#This Row],[CTL Stock]]</f>
        <v/>
      </c>
      <c r="AN430" s="599">
        <f>SUMIFS(stock[MT],stock[Bucket],scheduleapr[[#This Row],[Bucket]],stock[CTL Bucket],scheduleapr[[#This Row],[CTL Bucket]],stock[Plant],"0789")</f>
        <v/>
      </c>
      <c r="AO430" s="599" t="n"/>
      <c r="AP430" s="599">
        <f>SUMIFS(stock[MT],stock[Bucket],scheduleapr[[#This Row],[Bucket]],stock[LL or CTL],"LL")</f>
        <v/>
      </c>
      <c r="AQ430" s="599">
        <f>+SUMIFS(wip[Stock(Net Wt)],wip[Bucket],scheduleapr[[#This Row],[Bucket]])/1000</f>
        <v/>
      </c>
      <c r="AR430" s="599">
        <f>AJ430-AN430</f>
        <v/>
      </c>
      <c r="AS430" s="118" t="n"/>
    </row>
    <row r="431">
      <c r="A431" s="594" t="n">
        <v>400</v>
      </c>
      <c r="B431" s="5" t="inlineStr">
        <is>
          <t>Hosur</t>
        </is>
      </c>
      <c r="C431" s="601" t="inlineStr">
        <is>
          <t>Rajsriya Unit 2</t>
        </is>
      </c>
      <c r="D431" s="601" t="inlineStr">
        <is>
          <t>Rajsriya Automotive Hosur</t>
        </is>
      </c>
      <c r="E431" s="601" t="inlineStr">
        <is>
          <t>129695|187884|188415|189239|189240</t>
        </is>
      </c>
      <c r="F431" s="601" t="n">
        <v>1940399</v>
      </c>
      <c r="G431" s="601">
        <f>_xlfn.CONCAT(scheduleapr[[#This Row],[CUSTOMER CODE]],"-",scheduleapr[[#This Row],[MATERIAL NO]])</f>
        <v/>
      </c>
      <c r="H431" s="601" t="inlineStr">
        <is>
          <t>TUB-O-O-AUT-AW-PE-22.23X1.600X0.4010</t>
        </is>
      </c>
      <c r="I431" s="601" t="inlineStr">
        <is>
          <t>ERW 1</t>
        </is>
      </c>
      <c r="J431" s="601" t="n"/>
      <c r="K431" s="601" t="inlineStr">
        <is>
          <t>PE</t>
        </is>
      </c>
      <c r="L431" s="601" t="inlineStr">
        <is>
          <t>CR</t>
        </is>
      </c>
      <c r="M431" s="601" t="inlineStr">
        <is>
          <t>WG</t>
        </is>
      </c>
      <c r="N431" s="601" t="n"/>
      <c r="O431" s="601" t="n"/>
      <c r="P431" s="601" t="n"/>
      <c r="Q431" s="557">
        <f>CONCATENATE(scheduleapr[[#This Row],[OD]],"-",scheduleapr[[#This Row],[ID]],"-",scheduleapr[[#This Row],[TICKNESS]],"-",scheduleapr[[#This Row],[Grade]],"-",scheduleapr[[#This Row],[FC/NFC]])</f>
        <v/>
      </c>
      <c r="R431" s="557">
        <f>_xlfn.CONCAT(scheduleapr[[#This Row],[Bucket]],"-",scheduleapr[[#This Row],[LENGTH]]/1000)</f>
        <v/>
      </c>
      <c r="S431" s="557">
        <f>COUNTIF(scheduleapr[CTL Bucket],scheduleapr[[#This Row],[CTL Bucket]])</f>
        <v/>
      </c>
      <c r="T431" s="601" t="inlineStr">
        <is>
          <t>Hosur</t>
        </is>
      </c>
      <c r="U431" s="601">
        <f>_xlfn.IFNA(VLOOKUP(scheduleapr[[#This Row],[Bucket]],salesforecast[[#All],[Bucket2]:[8406 Stock]],19,0),0)</f>
        <v/>
      </c>
      <c r="V431" s="562">
        <f>_xlfn.IFNA(VLOOKUP(scheduleapr[[#This Row],[Bucket]],salesforecast[[#All],[Bucket2]:[8406 Stock]],20,0),0)+_xlfn.IFNA(VLOOKUP(scheduleapr[[#This Row],[Bucket]],salesforecast[[#All],[Bucket2]:[8406 Stock]],17,0),0)</f>
        <v/>
      </c>
      <c r="W431" s="557" t="n"/>
      <c r="X431" s="599" t="n">
        <v>22.23</v>
      </c>
      <c r="Y431" s="599" t="n">
        <v>22.23</v>
      </c>
      <c r="Z431" s="599" t="n">
        <v>0</v>
      </c>
      <c r="AA431" s="599" t="n">
        <v>1.6</v>
      </c>
      <c r="AB431" s="600" t="n">
        <v>401</v>
      </c>
      <c r="AC431" s="600" t="inlineStr">
        <is>
          <t>NOS</t>
        </is>
      </c>
      <c r="AD431" s="600" t="n"/>
      <c r="AE431" s="600" t="n"/>
      <c r="AF431" s="601" t="n">
        <v>15000</v>
      </c>
      <c r="AG431" s="601" t="inlineStr">
        <is>
          <t>Aug 2026 schedule · rajsriya PLANT2</t>
        </is>
      </c>
      <c r="AH431" s="601">
        <f t="array" ref="AH4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1" s="602">
        <f>scheduleapr[[#This Row],[SCHEDULE in nos]]-scheduleapr[[#This Row],[DISPATCH]]</f>
        <v/>
      </c>
      <c r="AJ431" s="599">
        <f>(3.14*(scheduleapr[[#This Row],[ACTUAL OD]]-scheduleapr[[#This Row],[TICKNESS]])*scheduleapr[[#This Row],[TICKNESS]]*scheduleapr[[#This Row],[LENGTH]]*7.85)/1000000*scheduleapr[[#This Row],[SCHEDULE in nos]]/1000</f>
        <v/>
      </c>
      <c r="AK431" s="599">
        <f>(3.14*(scheduleapr[[#This Row],[ACTUAL OD]]-scheduleapr[[#This Row],[TICKNESS]])*scheduleapr[[#This Row],[TICKNESS]]*scheduleapr[[#This Row],[LENGTH]]*7.85)/1000000*scheduleapr[[#This Row],[DISPATCH]]/1000</f>
        <v/>
      </c>
      <c r="AL431" s="599">
        <f>AJ431-AK431</f>
        <v/>
      </c>
      <c r="AM431" s="599">
        <f>scheduleapr[[#This Row],[SCHEDULE in nos]]/scheduleapr[[#This Row],[SCHEDULE IN MT]]*scheduleapr[[#This Row],[CTL Stock]]</f>
        <v/>
      </c>
      <c r="AN431" s="599">
        <f>SUMIFS(stock[MT],stock[Bucket],scheduleapr[[#This Row],[Bucket]],stock[CTL Bucket],scheduleapr[[#This Row],[CTL Bucket]],stock[Plant],"0789")</f>
        <v/>
      </c>
      <c r="AO431" s="599" t="n"/>
      <c r="AP431" s="599">
        <f>SUMIFS(stock[MT],stock[Bucket],scheduleapr[[#This Row],[Bucket]],stock[LL or CTL],"LL")</f>
        <v/>
      </c>
      <c r="AQ431" s="599">
        <f>+SUMIFS(wip[Stock(Net Wt)],wip[Bucket],scheduleapr[[#This Row],[Bucket]])/1000</f>
        <v/>
      </c>
      <c r="AR431" s="599">
        <f>AJ431-AN431</f>
        <v/>
      </c>
      <c r="AS431" s="118" t="n"/>
    </row>
    <row r="432">
      <c r="A432" s="594" t="n">
        <v>402</v>
      </c>
      <c r="B432" s="5" t="inlineStr">
        <is>
          <t>Hosur</t>
        </is>
      </c>
      <c r="C432" s="601" t="inlineStr">
        <is>
          <t>Rajsriya Unit 2</t>
        </is>
      </c>
      <c r="D432" s="601" t="inlineStr">
        <is>
          <t>Rajsriya Automotive Hosur</t>
        </is>
      </c>
      <c r="E432" s="601" t="inlineStr">
        <is>
          <t>129695|187884|188415|189239|189240</t>
        </is>
      </c>
      <c r="F432" s="601" t="n">
        <v>3556680</v>
      </c>
      <c r="G432" s="601">
        <f>_xlfn.CONCAT(scheduleapr[[#This Row],[CUSTOMER CODE]],"-",scheduleapr[[#This Row],[MATERIAL NO]])</f>
        <v/>
      </c>
      <c r="H432" s="601" t="inlineStr">
        <is>
          <t>TUB-N-AUT-AW-PE-22.20X1.600X0.6400</t>
        </is>
      </c>
      <c r="I432" s="601" t="inlineStr">
        <is>
          <t>ERW 1</t>
        </is>
      </c>
      <c r="J432" s="601" t="n"/>
      <c r="K432" s="601" t="inlineStr">
        <is>
          <t>PE</t>
        </is>
      </c>
      <c r="L432" s="601" t="inlineStr">
        <is>
          <t>CR</t>
        </is>
      </c>
      <c r="M432" s="596" t="inlineStr">
        <is>
          <t>GR1</t>
        </is>
      </c>
      <c r="N432" s="601" t="n"/>
      <c r="O432" s="601" t="n"/>
      <c r="P432" s="601" t="n"/>
      <c r="Q432" s="557">
        <f>CONCATENATE(scheduleapr[[#This Row],[OD]],"-",scheduleapr[[#This Row],[ID]],"-",scheduleapr[[#This Row],[TICKNESS]],"-",scheduleapr[[#This Row],[Grade]],"-",scheduleapr[[#This Row],[FC/NFC]])</f>
        <v/>
      </c>
      <c r="R432" s="557">
        <f>_xlfn.CONCAT(scheduleapr[[#This Row],[Bucket]],"-",scheduleapr[[#This Row],[LENGTH]]/1000)</f>
        <v/>
      </c>
      <c r="S432" s="557">
        <f>COUNTIF(scheduleapr[CTL Bucket],scheduleapr[[#This Row],[CTL Bucket]])</f>
        <v/>
      </c>
      <c r="T432" s="601" t="inlineStr">
        <is>
          <t>Hosur</t>
        </is>
      </c>
      <c r="U432" s="601">
        <f>_xlfn.IFNA(VLOOKUP(scheduleapr[[#This Row],[Bucket]],salesforecast[[#All],[Bucket2]:[8406 Stock]],19,0),0)</f>
        <v/>
      </c>
      <c r="V432" s="562">
        <f>_xlfn.IFNA(VLOOKUP(scheduleapr[[#This Row],[Bucket]],salesforecast[[#All],[Bucket2]:[8406 Stock]],20,0),0)+_xlfn.IFNA(VLOOKUP(scheduleapr[[#This Row],[Bucket]],salesforecast[[#All],[Bucket2]:[8406 Stock]],17,0),0)</f>
        <v/>
      </c>
      <c r="W432" s="557" t="n"/>
      <c r="X432" s="599" t="n">
        <v>22.23</v>
      </c>
      <c r="Y432" s="599" t="n">
        <v>22.23</v>
      </c>
      <c r="Z432" s="599" t="n">
        <v>0</v>
      </c>
      <c r="AA432" s="599" t="n">
        <v>1.6</v>
      </c>
      <c r="AB432" s="600" t="n">
        <v>640</v>
      </c>
      <c r="AC432" s="600" t="inlineStr">
        <is>
          <t>NOS</t>
        </is>
      </c>
      <c r="AD432" s="600" t="n"/>
      <c r="AE432" s="600" t="n"/>
      <c r="AF432" s="601" t="n">
        <v>30000</v>
      </c>
      <c r="AG432" s="601" t="inlineStr">
        <is>
          <t>Aug 2026 schedule · rajsriya PLANT2</t>
        </is>
      </c>
      <c r="AH432" s="601">
        <f t="array" ref="AH4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2" s="602">
        <f>scheduleapr[[#This Row],[SCHEDULE in nos]]-scheduleapr[[#This Row],[DISPATCH]]</f>
        <v/>
      </c>
      <c r="AJ432" s="599">
        <f>(3.14*(scheduleapr[[#This Row],[ACTUAL OD]]-scheduleapr[[#This Row],[TICKNESS]])*scheduleapr[[#This Row],[TICKNESS]]*scheduleapr[[#This Row],[LENGTH]]*7.85)/1000000*scheduleapr[[#This Row],[SCHEDULE in nos]]/1000</f>
        <v/>
      </c>
      <c r="AK432" s="599">
        <f>(3.14*(scheduleapr[[#This Row],[ACTUAL OD]]-scheduleapr[[#This Row],[TICKNESS]])*scheduleapr[[#This Row],[TICKNESS]]*scheduleapr[[#This Row],[LENGTH]]*7.85)/1000000*scheduleapr[[#This Row],[DISPATCH]]/1000</f>
        <v/>
      </c>
      <c r="AL432" s="599">
        <f>AJ432-AK432</f>
        <v/>
      </c>
      <c r="AM432" s="599">
        <f>scheduleapr[[#This Row],[SCHEDULE in nos]]/scheduleapr[[#This Row],[SCHEDULE IN MT]]*scheduleapr[[#This Row],[CTL Stock]]</f>
        <v/>
      </c>
      <c r="AN432" s="599">
        <f>SUMIFS(stock[MT],stock[Bucket],scheduleapr[[#This Row],[Bucket]],stock[CTL Bucket],scheduleapr[[#This Row],[CTL Bucket]],stock[Plant],"0789")</f>
        <v/>
      </c>
      <c r="AO432" s="599" t="n"/>
      <c r="AP432" s="599">
        <f>SUMIFS(stock[MT],stock[Bucket],scheduleapr[[#This Row],[Bucket]],stock[LL or CTL],"LL")</f>
        <v/>
      </c>
      <c r="AQ432" s="599">
        <f>+SUMIFS(wip[Stock(Net Wt)],wip[Bucket],scheduleapr[[#This Row],[Bucket]])/1000</f>
        <v/>
      </c>
      <c r="AR432" s="599">
        <f>AJ432-AN432</f>
        <v/>
      </c>
      <c r="AS432" s="118" t="n"/>
    </row>
    <row r="433">
      <c r="A433" s="594" t="n">
        <v>405</v>
      </c>
      <c r="B433" s="5" t="inlineStr">
        <is>
          <t>Hosur</t>
        </is>
      </c>
      <c r="C433" s="601" t="inlineStr">
        <is>
          <t>Rajsriya Unit 5</t>
        </is>
      </c>
      <c r="D433" s="601" t="inlineStr">
        <is>
          <t>Rajsriya Automotive Hosur</t>
        </is>
      </c>
      <c r="E433" s="601" t="inlineStr">
        <is>
          <t>129695|187884|188415|189239|189240</t>
        </is>
      </c>
      <c r="F433" s="601" t="n">
        <v>1940420</v>
      </c>
      <c r="G433" s="601">
        <f>_xlfn.CONCAT(scheduleapr[[#This Row],[CUSTOMER CODE]],"-",scheduleapr[[#This Row],[MATERIAL NO]])</f>
        <v/>
      </c>
      <c r="H433" s="601" t="inlineStr">
        <is>
          <t>TUB-O-O-AUT-AW-PE-22.23X1.600X1.1750</t>
        </is>
      </c>
      <c r="I433" s="601" t="inlineStr">
        <is>
          <t>ERW 1</t>
        </is>
      </c>
      <c r="J433" s="601" t="n"/>
      <c r="K433" s="601" t="inlineStr">
        <is>
          <t>PE</t>
        </is>
      </c>
      <c r="L433" s="601" t="inlineStr">
        <is>
          <t>CR</t>
        </is>
      </c>
      <c r="M433" s="596" t="inlineStr">
        <is>
          <t>GR1</t>
        </is>
      </c>
      <c r="N433" s="601" t="n"/>
      <c r="O433" s="601" t="n"/>
      <c r="P433" s="601" t="n"/>
      <c r="Q433" s="557">
        <f>CONCATENATE(scheduleapr[[#This Row],[OD]],"-",scheduleapr[[#This Row],[ID]],"-",scheduleapr[[#This Row],[TICKNESS]],"-",scheduleapr[[#This Row],[Grade]],"-",scheduleapr[[#This Row],[FC/NFC]])</f>
        <v/>
      </c>
      <c r="R433" s="557">
        <f>_xlfn.CONCAT(scheduleapr[[#This Row],[Bucket]],"-",scheduleapr[[#This Row],[LENGTH]]/1000)</f>
        <v/>
      </c>
      <c r="S433" s="557">
        <f>COUNTIF(scheduleapr[CTL Bucket],scheduleapr[[#This Row],[CTL Bucket]])</f>
        <v/>
      </c>
      <c r="T433" s="601" t="inlineStr">
        <is>
          <t>Hosur</t>
        </is>
      </c>
      <c r="U433" s="601">
        <f>_xlfn.IFNA(VLOOKUP(scheduleapr[[#This Row],[Bucket]],salesforecast[[#All],[Bucket2]:[8406 Stock]],19,0),0)</f>
        <v/>
      </c>
      <c r="V433" s="562">
        <f>_xlfn.IFNA(VLOOKUP(scheduleapr[[#This Row],[Bucket]],salesforecast[[#All],[Bucket2]:[8406 Stock]],20,0),0)+_xlfn.IFNA(VLOOKUP(scheduleapr[[#This Row],[Bucket]],salesforecast[[#All],[Bucket2]:[8406 Stock]],17,0),0)</f>
        <v/>
      </c>
      <c r="W433" s="557" t="n"/>
      <c r="X433" s="599" t="n">
        <v>22.23</v>
      </c>
      <c r="Y433" s="599" t="n">
        <v>22.23</v>
      </c>
      <c r="Z433" s="599" t="n">
        <v>0</v>
      </c>
      <c r="AA433" s="599" t="n">
        <v>1.6</v>
      </c>
      <c r="AB433" s="600" t="n">
        <v>1175</v>
      </c>
      <c r="AC433" s="600" t="inlineStr">
        <is>
          <t>NOS</t>
        </is>
      </c>
      <c r="AD433" s="600" t="n"/>
      <c r="AE433" s="600" t="n"/>
      <c r="AF433" s="601" t="n">
        <v>15000</v>
      </c>
      <c r="AG433" s="601" t="inlineStr">
        <is>
          <t>Aug 2026 schedule · rajsriya PLANT5</t>
        </is>
      </c>
      <c r="AH433" s="601">
        <f t="array" ref="AH4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3" s="602">
        <f>scheduleapr[[#This Row],[SCHEDULE in nos]]-scheduleapr[[#This Row],[DISPATCH]]</f>
        <v/>
      </c>
      <c r="AJ433" s="599">
        <f>(3.14*(scheduleapr[[#This Row],[ACTUAL OD]]-scheduleapr[[#This Row],[TICKNESS]])*scheduleapr[[#This Row],[TICKNESS]]*scheduleapr[[#This Row],[LENGTH]]*7.85)/1000000*scheduleapr[[#This Row],[SCHEDULE in nos]]/1000</f>
        <v/>
      </c>
      <c r="AK433" s="599">
        <f>(3.14*(scheduleapr[[#This Row],[ACTUAL OD]]-scheduleapr[[#This Row],[TICKNESS]])*scheduleapr[[#This Row],[TICKNESS]]*scheduleapr[[#This Row],[LENGTH]]*7.85)/1000000*scheduleapr[[#This Row],[DISPATCH]]/1000</f>
        <v/>
      </c>
      <c r="AL433" s="599">
        <f>AJ433-AK433</f>
        <v/>
      </c>
      <c r="AM433" s="599">
        <f>scheduleapr[[#This Row],[SCHEDULE in nos]]/scheduleapr[[#This Row],[SCHEDULE IN MT]]*scheduleapr[[#This Row],[CTL Stock]]</f>
        <v/>
      </c>
      <c r="AN433" s="599">
        <f>SUMIFS(stock[MT],stock[Bucket],scheduleapr[[#This Row],[Bucket]],stock[CTL Bucket],scheduleapr[[#This Row],[CTL Bucket]],stock[Plant],"0789")</f>
        <v/>
      </c>
      <c r="AO433" s="599" t="n"/>
      <c r="AP433" s="599">
        <f>SUMIFS(stock[MT],stock[Bucket],scheduleapr[[#This Row],[Bucket]],stock[LL or CTL],"LL")</f>
        <v/>
      </c>
      <c r="AQ433" s="599">
        <f>+SUMIFS(wip[Stock(Net Wt)],wip[Bucket],scheduleapr[[#This Row],[Bucket]])/1000</f>
        <v/>
      </c>
      <c r="AR433" s="599">
        <f>AJ433-AN433</f>
        <v/>
      </c>
      <c r="AS433" s="118" t="n"/>
    </row>
    <row r="434">
      <c r="A434" s="594" t="n">
        <v>406</v>
      </c>
      <c r="B434" s="5" t="inlineStr">
        <is>
          <t>Hosur</t>
        </is>
      </c>
      <c r="C434" s="601" t="inlineStr">
        <is>
          <t>Rajsriya Unit 2</t>
        </is>
      </c>
      <c r="D434" s="601" t="inlineStr">
        <is>
          <t>Rajsriya Automotive Hosur</t>
        </is>
      </c>
      <c r="E434" s="601" t="inlineStr">
        <is>
          <t>129695|187884|188415|189239|189240</t>
        </is>
      </c>
      <c r="F434" s="601" t="n">
        <v>3509824</v>
      </c>
      <c r="G434" s="601">
        <f>_xlfn.CONCAT(scheduleapr[[#This Row],[CUSTOMER CODE]],"-",scheduleapr[[#This Row],[MATERIAL NO]])</f>
        <v/>
      </c>
      <c r="H434" s="601" t="inlineStr">
        <is>
          <t>CUT-O-N-AUT-AW-PE-22.20X1.600X1.2100</t>
        </is>
      </c>
      <c r="I434" s="601" t="inlineStr">
        <is>
          <t>ERW 1</t>
        </is>
      </c>
      <c r="J434" s="601" t="n"/>
      <c r="K434" s="601" t="inlineStr">
        <is>
          <t>PE</t>
        </is>
      </c>
      <c r="L434" s="601" t="inlineStr">
        <is>
          <t>CR</t>
        </is>
      </c>
      <c r="M434" s="596" t="inlineStr"/>
      <c r="N434" s="601" t="n"/>
      <c r="O434" s="601" t="n"/>
      <c r="P434" s="601" t="n"/>
      <c r="Q434" s="557">
        <f>CONCATENATE(scheduleapr[[#This Row],[OD]],"-",scheduleapr[[#This Row],[ID]],"-",scheduleapr[[#This Row],[TICKNESS]],"-",scheduleapr[[#This Row],[Grade]],"-",scheduleapr[[#This Row],[FC/NFC]])</f>
        <v/>
      </c>
      <c r="R434" s="557">
        <f>_xlfn.CONCAT(scheduleapr[[#This Row],[Bucket]],"-",scheduleapr[[#This Row],[LENGTH]]/1000)</f>
        <v/>
      </c>
      <c r="S434" s="557">
        <f>COUNTIF(scheduleapr[CTL Bucket],scheduleapr[[#This Row],[CTL Bucket]])</f>
        <v/>
      </c>
      <c r="T434" s="601" t="inlineStr">
        <is>
          <t>Hosur</t>
        </is>
      </c>
      <c r="U434" s="601">
        <f>_xlfn.IFNA(VLOOKUP(scheduleapr[[#This Row],[Bucket]],salesforecast[[#All],[Bucket2]:[8406 Stock]],19,0),0)</f>
        <v/>
      </c>
      <c r="V434" s="562">
        <f>_xlfn.IFNA(VLOOKUP(scheduleapr[[#This Row],[Bucket]],salesforecast[[#All],[Bucket2]:[8406 Stock]],20,0),0)+_xlfn.IFNA(VLOOKUP(scheduleapr[[#This Row],[Bucket]],salesforecast[[#All],[Bucket2]:[8406 Stock]],17,0),0)</f>
        <v/>
      </c>
      <c r="W434" s="557" t="n"/>
      <c r="X434" s="599" t="n">
        <v>22.23</v>
      </c>
      <c r="Y434" s="599" t="n">
        <v>22.23</v>
      </c>
      <c r="Z434" s="599" t="n">
        <v>0</v>
      </c>
      <c r="AA434" s="599" t="n">
        <v>1.6</v>
      </c>
      <c r="AB434" s="600" t="n">
        <v>1210</v>
      </c>
      <c r="AC434" s="600" t="inlineStr">
        <is>
          <t>NOS</t>
        </is>
      </c>
      <c r="AD434" s="600" t="n"/>
      <c r="AE434" s="600" t="n"/>
      <c r="AF434" s="601" t="n">
        <v>15000</v>
      </c>
      <c r="AG434" s="601" t="inlineStr">
        <is>
          <t>Aug 2026 schedule · rajsriya PLANT2</t>
        </is>
      </c>
      <c r="AH434" s="601">
        <f t="array" ref="AH4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4" s="602">
        <f>scheduleapr[[#This Row],[SCHEDULE in nos]]-scheduleapr[[#This Row],[DISPATCH]]</f>
        <v/>
      </c>
      <c r="AJ434" s="599">
        <f>(3.14*(scheduleapr[[#This Row],[ACTUAL OD]]-scheduleapr[[#This Row],[TICKNESS]])*scheduleapr[[#This Row],[TICKNESS]]*scheduleapr[[#This Row],[LENGTH]]*7.85)/1000000*scheduleapr[[#This Row],[SCHEDULE in nos]]/1000</f>
        <v/>
      </c>
      <c r="AK434" s="599">
        <f>(3.14*(scheduleapr[[#This Row],[ACTUAL OD]]-scheduleapr[[#This Row],[TICKNESS]])*scheduleapr[[#This Row],[TICKNESS]]*scheduleapr[[#This Row],[LENGTH]]*7.85)/1000000*scheduleapr[[#This Row],[DISPATCH]]/1000</f>
        <v/>
      </c>
      <c r="AL434" s="599">
        <f>AJ434-AK434</f>
        <v/>
      </c>
      <c r="AM434" s="599">
        <f>scheduleapr[[#This Row],[SCHEDULE in nos]]/scheduleapr[[#This Row],[SCHEDULE IN MT]]*scheduleapr[[#This Row],[CTL Stock]]</f>
        <v/>
      </c>
      <c r="AN434" s="599">
        <f>SUMIFS(stock[MT],stock[Bucket],scheduleapr[[#This Row],[Bucket]],stock[CTL Bucket],scheduleapr[[#This Row],[CTL Bucket]],stock[Plant],"0789")</f>
        <v/>
      </c>
      <c r="AO434" s="599" t="n"/>
      <c r="AP434" s="599">
        <f>SUMIFS(stock[MT],stock[Bucket],scheduleapr[[#This Row],[Bucket]],stock[LL or CTL],"LL")</f>
        <v/>
      </c>
      <c r="AQ434" s="599">
        <f>+SUMIFS(wip[Stock(Net Wt)],wip[Bucket],scheduleapr[[#This Row],[Bucket]])/1000</f>
        <v/>
      </c>
      <c r="AR434" s="599">
        <f>AJ434-AN434</f>
        <v/>
      </c>
      <c r="AS434" s="118" t="n"/>
    </row>
    <row r="435">
      <c r="A435" s="594" t="n">
        <v>408</v>
      </c>
      <c r="B435" s="5" t="inlineStr">
        <is>
          <t>Hosur</t>
        </is>
      </c>
      <c r="C435" s="601" t="inlineStr">
        <is>
          <t>Rajsriya Unit 2</t>
        </is>
      </c>
      <c r="D435" s="601" t="inlineStr">
        <is>
          <t>Rajsriya Automotive Hosur</t>
        </is>
      </c>
      <c r="E435" s="601" t="inlineStr">
        <is>
          <t>129695|187884|188415|189239|189240</t>
        </is>
      </c>
      <c r="F435" s="601" t="n">
        <v>1940430</v>
      </c>
      <c r="G435" s="601">
        <f>_xlfn.CONCAT(scheduleapr[[#This Row],[CUSTOMER CODE]],"-",scheduleapr[[#This Row],[MATERIAL NO]])</f>
        <v/>
      </c>
      <c r="H435" s="601" t="inlineStr">
        <is>
          <t>TUB-O-O-AUT-AW-PE-22.23X2.000X0.2200</t>
        </is>
      </c>
      <c r="I435" s="601" t="inlineStr">
        <is>
          <t>ERW 1</t>
        </is>
      </c>
      <c r="J435" s="601" t="n"/>
      <c r="K435" s="601" t="inlineStr">
        <is>
          <t>PE</t>
        </is>
      </c>
      <c r="L435" s="601" t="inlineStr">
        <is>
          <t>HR</t>
        </is>
      </c>
      <c r="M435" s="601" t="n"/>
      <c r="N435" s="601" t="n"/>
      <c r="O435" s="601" t="n"/>
      <c r="P435" s="601" t="n"/>
      <c r="Q435" s="557">
        <f>CONCATENATE(scheduleapr[[#This Row],[OD]],"-",scheduleapr[[#This Row],[ID]],"-",scheduleapr[[#This Row],[TICKNESS]],"-",scheduleapr[[#This Row],[Grade]],"-",scheduleapr[[#This Row],[FC/NFC]])</f>
        <v/>
      </c>
      <c r="R435" s="557">
        <f>_xlfn.CONCAT(scheduleapr[[#This Row],[Bucket]],"-",scheduleapr[[#This Row],[LENGTH]]/1000)</f>
        <v/>
      </c>
      <c r="S435" s="557">
        <f>COUNTIF(scheduleapr[CTL Bucket],scheduleapr[[#This Row],[CTL Bucket]])</f>
        <v/>
      </c>
      <c r="T435" s="601" t="inlineStr">
        <is>
          <t>Hosur</t>
        </is>
      </c>
      <c r="U435" s="601">
        <f>_xlfn.IFNA(VLOOKUP(scheduleapr[[#This Row],[Bucket]],salesforecast[[#All],[Bucket2]:[8406 Stock]],19,0),0)</f>
        <v/>
      </c>
      <c r="V435" s="562">
        <f>_xlfn.IFNA(VLOOKUP(scheduleapr[[#This Row],[Bucket]],salesforecast[[#All],[Bucket2]:[8406 Stock]],20,0),0)+_xlfn.IFNA(VLOOKUP(scheduleapr[[#This Row],[Bucket]],salesforecast[[#All],[Bucket2]:[8406 Stock]],17,0),0)</f>
        <v/>
      </c>
      <c r="W435" s="557" t="n"/>
      <c r="X435" s="599" t="n">
        <v>22.23</v>
      </c>
      <c r="Y435" s="599" t="n">
        <v>22.23</v>
      </c>
      <c r="Z435" s="599" t="n">
        <v>0</v>
      </c>
      <c r="AA435" s="599" t="n">
        <v>2</v>
      </c>
      <c r="AB435" s="600" t="n">
        <v>220</v>
      </c>
      <c r="AC435" s="600" t="inlineStr">
        <is>
          <t>NOS</t>
        </is>
      </c>
      <c r="AD435" s="600" t="n"/>
      <c r="AE435" s="600" t="n"/>
      <c r="AF435" s="601" t="n">
        <v>5000</v>
      </c>
      <c r="AG435" s="601" t="inlineStr">
        <is>
          <t>Aug 2026 schedule · rajsriya PLANT2</t>
        </is>
      </c>
      <c r="AH435" s="601">
        <f t="array" ref="AH4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5" s="602">
        <f>scheduleapr[[#This Row],[SCHEDULE in nos]]-scheduleapr[[#This Row],[DISPATCH]]</f>
        <v/>
      </c>
      <c r="AJ435" s="599">
        <f>(3.14*(scheduleapr[[#This Row],[ACTUAL OD]]-scheduleapr[[#This Row],[TICKNESS]])*scheduleapr[[#This Row],[TICKNESS]]*scheduleapr[[#This Row],[LENGTH]]*7.85)/1000000*scheduleapr[[#This Row],[SCHEDULE in nos]]/1000</f>
        <v/>
      </c>
      <c r="AK435" s="599">
        <f>(3.14*(scheduleapr[[#This Row],[ACTUAL OD]]-scheduleapr[[#This Row],[TICKNESS]])*scheduleapr[[#This Row],[TICKNESS]]*scheduleapr[[#This Row],[LENGTH]]*7.85)/1000000*scheduleapr[[#This Row],[DISPATCH]]/1000</f>
        <v/>
      </c>
      <c r="AL435" s="599">
        <f>AJ435-AK435</f>
        <v/>
      </c>
      <c r="AM435" s="599">
        <f>scheduleapr[[#This Row],[SCHEDULE in nos]]/scheduleapr[[#This Row],[SCHEDULE IN MT]]*scheduleapr[[#This Row],[CTL Stock]]</f>
        <v/>
      </c>
      <c r="AN435" s="599">
        <f>SUMIFS(stock[MT],stock[Bucket],scheduleapr[[#This Row],[Bucket]],stock[CTL Bucket],scheduleapr[[#This Row],[CTL Bucket]],stock[Plant],"0789")</f>
        <v/>
      </c>
      <c r="AO435" s="599" t="n"/>
      <c r="AP435" s="599">
        <f>SUMIFS(stock[MT],stock[Bucket],scheduleapr[[#This Row],[Bucket]],stock[LL or CTL],"LL")</f>
        <v/>
      </c>
      <c r="AQ435" s="599">
        <f>+SUMIFS(wip[Stock(Net Wt)],wip[Bucket],scheduleapr[[#This Row],[Bucket]])/1000</f>
        <v/>
      </c>
      <c r="AR435" s="599">
        <f>AJ435-AN435</f>
        <v/>
      </c>
      <c r="AS435" s="118" t="n"/>
    </row>
    <row r="436">
      <c r="A436" s="594" t="n">
        <v>409</v>
      </c>
      <c r="B436" s="5" t="inlineStr">
        <is>
          <t>Hosur</t>
        </is>
      </c>
      <c r="C436" s="601" t="inlineStr">
        <is>
          <t>Rajsriya Unit 5</t>
        </is>
      </c>
      <c r="D436" s="601" t="inlineStr">
        <is>
          <t>Rajsriya Automotive Hosur</t>
        </is>
      </c>
      <c r="E436" s="601" t="inlineStr">
        <is>
          <t>129695|187884|188415|189239|189240</t>
        </is>
      </c>
      <c r="F436" s="601" t="n">
        <v>1905990</v>
      </c>
      <c r="G436" s="601">
        <f>_xlfn.CONCAT(scheduleapr[[#This Row],[CUSTOMER CODE]],"-",scheduleapr[[#This Row],[MATERIAL NO]])</f>
        <v/>
      </c>
      <c r="H436" s="601" t="inlineStr">
        <is>
          <t>TUB-O-N-AUT-AW-PE-22.23X2.000X0.2360</t>
        </is>
      </c>
      <c r="I436" s="601" t="inlineStr">
        <is>
          <t>ERW 1</t>
        </is>
      </c>
      <c r="J436" s="601" t="n"/>
      <c r="K436" s="601" t="inlineStr">
        <is>
          <t>PE</t>
        </is>
      </c>
      <c r="L436" s="601" t="inlineStr">
        <is>
          <t>HR</t>
        </is>
      </c>
      <c r="M436" s="601" t="n"/>
      <c r="N436" s="601" t="n"/>
      <c r="O436" s="601" t="n"/>
      <c r="P436" s="601" t="n"/>
      <c r="Q436" s="557">
        <f>CONCATENATE(scheduleapr[[#This Row],[OD]],"-",scheduleapr[[#This Row],[ID]],"-",scheduleapr[[#This Row],[TICKNESS]],"-",scheduleapr[[#This Row],[Grade]],"-",scheduleapr[[#This Row],[FC/NFC]])</f>
        <v/>
      </c>
      <c r="R436" s="557">
        <f>_xlfn.CONCAT(scheduleapr[[#This Row],[Bucket]],"-",scheduleapr[[#This Row],[LENGTH]]/1000)</f>
        <v/>
      </c>
      <c r="S436" s="557">
        <f>COUNTIF([2]!buckets[CTL Bucket],[2]!scheduleapr[[#This Row],[CTL Bucket]])</f>
        <v/>
      </c>
      <c r="T436" s="601" t="inlineStr">
        <is>
          <t>Hosur</t>
        </is>
      </c>
      <c r="U436" s="601">
        <f>_xlfn.IFNA(VLOOKUP(scheduleapr[[#This Row],[Bucket]],salesforecast[[#All],[Bucket2]:[8406 Stock]],19,0),0)</f>
        <v/>
      </c>
      <c r="V436" s="562">
        <f>_xlfn.IFNA(VLOOKUP(scheduleapr[[#This Row],[Bucket]],salesforecast[[#All],[Bucket2]:[8406 Stock]],20,0),0)+_xlfn.IFNA(VLOOKUP(scheduleapr[[#This Row],[Bucket]],salesforecast[[#All],[Bucket2]:[8406 Stock]],17,0),0)</f>
        <v/>
      </c>
      <c r="W436" s="557" t="n"/>
      <c r="X436" s="599" t="n">
        <v>22.23</v>
      </c>
      <c r="Y436" s="599" t="n">
        <v>22.23</v>
      </c>
      <c r="Z436" s="599" t="n">
        <v>0</v>
      </c>
      <c r="AA436" s="599" t="n">
        <v>2</v>
      </c>
      <c r="AB436" s="600" t="n">
        <v>236</v>
      </c>
      <c r="AC436" s="600" t="inlineStr">
        <is>
          <t>NOS</t>
        </is>
      </c>
      <c r="AD436" s="600" t="n"/>
      <c r="AE436" s="600" t="n"/>
      <c r="AF436" s="601" t="n"/>
      <c r="AG436" s="601" t="n"/>
      <c r="AH436" s="601">
        <f t="array" ref="AH4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6" s="602">
        <f>scheduleapr[[#This Row],[SCHEDULE in nos]]-scheduleapr[[#This Row],[DISPATCH]]</f>
        <v/>
      </c>
      <c r="AJ436" s="599">
        <f>(3.14*(scheduleapr[[#This Row],[ACTUAL OD]]-scheduleapr[[#This Row],[TICKNESS]])*scheduleapr[[#This Row],[TICKNESS]]*scheduleapr[[#This Row],[LENGTH]]*7.85)/1000000*scheduleapr[[#This Row],[SCHEDULE in nos]]/1000</f>
        <v/>
      </c>
      <c r="AK436" s="599">
        <f>(3.14*(scheduleapr[[#This Row],[ACTUAL OD]]-scheduleapr[[#This Row],[TICKNESS]])*scheduleapr[[#This Row],[TICKNESS]]*scheduleapr[[#This Row],[LENGTH]]*7.85)/1000000*scheduleapr[[#This Row],[DISPATCH]]/1000</f>
        <v/>
      </c>
      <c r="AL436" s="599">
        <f>AJ436-AK436</f>
        <v/>
      </c>
      <c r="AM436" s="599">
        <f>scheduleapr[[#This Row],[SCHEDULE in nos]]/scheduleapr[[#This Row],[SCHEDULE IN MT]]*scheduleapr[[#This Row],[CTL Stock]]</f>
        <v/>
      </c>
      <c r="AN436" s="599">
        <f>SUMIFS(stock[MT],stock[Bucket],scheduleapr[[#This Row],[Bucket]],stock[CTL Bucket],scheduleapr[[#This Row],[CTL Bucket]],stock[Plant],"0789")</f>
        <v/>
      </c>
      <c r="AO436" s="599" t="n"/>
      <c r="AP436" s="599">
        <f>SUMIFS(stock[MT],stock[Bucket],scheduleapr[[#This Row],[Bucket]],stock[LL or CTL],"LL")</f>
        <v/>
      </c>
      <c r="AQ436" s="599">
        <f>+SUMIFS(wip[Stock(Net Wt)],wip[Bucket],scheduleapr[[#This Row],[Bucket]])/1000</f>
        <v/>
      </c>
      <c r="AR436" s="599">
        <f>AJ436-AN436</f>
        <v/>
      </c>
      <c r="AS436" s="118" t="n"/>
    </row>
    <row r="437">
      <c r="A437" s="594" t="n">
        <v>319</v>
      </c>
      <c r="B437" s="5" t="inlineStr">
        <is>
          <t>Hosur</t>
        </is>
      </c>
      <c r="C437" s="601" t="inlineStr">
        <is>
          <t>Rajsriya Automotive</t>
        </is>
      </c>
      <c r="D437" s="601" t="inlineStr">
        <is>
          <t>Rajsriya Automotive Hosur</t>
        </is>
      </c>
      <c r="E437" s="601" t="inlineStr">
        <is>
          <t>129695|187884|188415|189239|189240</t>
        </is>
      </c>
      <c r="F437" s="601" t="n">
        <v>1174856</v>
      </c>
      <c r="G437" s="601">
        <f>_xlfn.CONCAT(scheduleapr[[#This Row],[CUSTOMER CODE]],"-",scheduleapr[[#This Row],[MATERIAL NO]])</f>
        <v/>
      </c>
      <c r="H437" s="601" t="inlineStr">
        <is>
          <t>TUB-O-N-AUT-AW-FC-22.20X2.000X0.505</t>
        </is>
      </c>
      <c r="I437" s="601" t="inlineStr">
        <is>
          <t>ERW 1</t>
        </is>
      </c>
      <c r="J437" s="601" t="n"/>
      <c r="K437" s="601" t="n"/>
      <c r="L437" s="601" t="inlineStr">
        <is>
          <t>HR</t>
        </is>
      </c>
      <c r="M437" s="601" t="n"/>
      <c r="N437" s="601" t="n"/>
      <c r="O437" s="601" t="n"/>
      <c r="P437" s="601" t="n"/>
      <c r="Q437" s="557">
        <f>CONCATENATE(scheduleapr[[#This Row],[OD]],"-",scheduleapr[[#This Row],[ID]],"-",scheduleapr[[#This Row],[TICKNESS]],"-",scheduleapr[[#This Row],[Grade]],"-",scheduleapr[[#This Row],[FC/NFC]])</f>
        <v/>
      </c>
      <c r="R437" s="557">
        <f>_xlfn.CONCAT(scheduleapr[[#This Row],[Bucket]],"-",scheduleapr[[#This Row],[LENGTH]]/1000)</f>
        <v/>
      </c>
      <c r="S437" s="557">
        <f>COUNTIF([2]!buckets[CTL Bucket],[2]!scheduleapr[[#This Row],[CTL Bucket]])</f>
        <v/>
      </c>
      <c r="T437" s="557" t="n"/>
      <c r="U437" s="557" t="n"/>
      <c r="V437" s="557" t="n"/>
      <c r="W437" s="557" t="n"/>
      <c r="X437" s="599" t="n">
        <v>22.23</v>
      </c>
      <c r="Y437" s="599" t="n">
        <v>22.23</v>
      </c>
      <c r="Z437" s="599" t="n">
        <v>0</v>
      </c>
      <c r="AA437" s="599" t="n">
        <v>2</v>
      </c>
      <c r="AB437" s="600" t="n">
        <v>505</v>
      </c>
      <c r="AC437" s="600" t="n"/>
      <c r="AD437" s="600" t="n"/>
      <c r="AE437" s="600" t="n"/>
      <c r="AF437" s="601" t="n"/>
      <c r="AG437" s="601" t="n"/>
      <c r="AH437" s="601">
        <f t="array" ref="AH4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7" s="602">
        <f>scheduleapr[[#This Row],[SCHEDULE in nos]]-scheduleapr[[#This Row],[DISPATCH]]</f>
        <v/>
      </c>
      <c r="AJ437" s="599">
        <f>(3.14*(scheduleapr[[#This Row],[ACTUAL OD]]-scheduleapr[[#This Row],[TICKNESS]])*scheduleapr[[#This Row],[TICKNESS]]*scheduleapr[[#This Row],[LENGTH]]*7.85)/1000000*scheduleapr[[#This Row],[SCHEDULE in nos]]/1000</f>
        <v/>
      </c>
      <c r="AK437" s="599">
        <f>(3.14*(scheduleapr[[#This Row],[ACTUAL OD]]-scheduleapr[[#This Row],[TICKNESS]])*scheduleapr[[#This Row],[TICKNESS]]*scheduleapr[[#This Row],[LENGTH]]*7.85)/1000000*scheduleapr[[#This Row],[DISPATCH]]/1000</f>
        <v/>
      </c>
      <c r="AL437" s="599">
        <f>AJ437-AK437</f>
        <v/>
      </c>
      <c r="AM437" s="599">
        <f>scheduleapr[[#This Row],[SCHEDULE in nos]]/scheduleapr[[#This Row],[SCHEDULE IN MT]]*scheduleapr[[#This Row],[CTL Stock]]</f>
        <v/>
      </c>
      <c r="AN437" s="599">
        <f>SUMIFS(stock[MT],stock[Bucket],scheduleapr[[#This Row],[Bucket]],stock[CTL Bucket],scheduleapr[[#This Row],[CTL Bucket]],stock[Plant],"0789")</f>
        <v/>
      </c>
      <c r="AO437" s="599" t="n"/>
      <c r="AP437" s="599">
        <f>SUMIFS(stock[MT],stock[Bucket],scheduleapr[[#This Row],[Bucket]],stock[LL or CTL],"LL")</f>
        <v/>
      </c>
      <c r="AQ437" s="599">
        <f>+SUMIFS(wip[Stock(Net Wt)],wip[Bucket],scheduleapr[[#This Row],[Bucket]])/1000</f>
        <v/>
      </c>
      <c r="AR437" s="599">
        <f>AJ437-AN437</f>
        <v/>
      </c>
      <c r="AS437" s="118" t="n"/>
    </row>
    <row r="438">
      <c r="A438" s="594" t="n">
        <v>320</v>
      </c>
      <c r="B438" s="5" t="inlineStr">
        <is>
          <t>Hosur</t>
        </is>
      </c>
      <c r="C438" s="601" t="inlineStr">
        <is>
          <t>Rajsriya Automotive</t>
        </is>
      </c>
      <c r="D438" s="601" t="inlineStr">
        <is>
          <t>Rajsriya Automotive Hosur</t>
        </is>
      </c>
      <c r="E438" s="601" t="inlineStr">
        <is>
          <t>129695|187884|188415|189239|189240</t>
        </is>
      </c>
      <c r="F438" s="601" t="n">
        <v>1140411</v>
      </c>
      <c r="G438" s="601">
        <f>_xlfn.CONCAT(scheduleapr[[#This Row],[CUSTOMER CODE]],"-",scheduleapr[[#This Row],[MATERIAL NO]])</f>
        <v/>
      </c>
      <c r="H438" s="601" t="inlineStr">
        <is>
          <t>PT2-O-N-AUT-AW-PE-22.20X2.000X0.851</t>
        </is>
      </c>
      <c r="I438" s="601" t="inlineStr">
        <is>
          <t>ERW 1</t>
        </is>
      </c>
      <c r="J438" s="601" t="n"/>
      <c r="K438" s="601" t="n"/>
      <c r="L438" s="601" t="inlineStr">
        <is>
          <t>HR</t>
        </is>
      </c>
      <c r="M438" s="601" t="n"/>
      <c r="N438" s="601" t="n"/>
      <c r="O438" s="601" t="n"/>
      <c r="P438" s="601" t="n"/>
      <c r="Q438" s="557">
        <f>CONCATENATE(scheduleapr[[#This Row],[OD]],"-",scheduleapr[[#This Row],[ID]],"-",scheduleapr[[#This Row],[TICKNESS]],"-",scheduleapr[[#This Row],[Grade]],"-",scheduleapr[[#This Row],[FC/NFC]])</f>
        <v/>
      </c>
      <c r="R438" s="557">
        <f>_xlfn.CONCAT(scheduleapr[[#This Row],[Bucket]],"-",scheduleapr[[#This Row],[LENGTH]]/1000)</f>
        <v/>
      </c>
      <c r="S438" s="557">
        <f>COUNTIF([2]!buckets[CTL Bucket],[2]!scheduleapr[[#This Row],[CTL Bucket]])</f>
        <v/>
      </c>
      <c r="T438" s="557" t="n"/>
      <c r="U438" s="557" t="n"/>
      <c r="V438" s="557" t="n"/>
      <c r="W438" s="557" t="n"/>
      <c r="X438" s="599" t="n">
        <v>22.23</v>
      </c>
      <c r="Y438" s="599" t="n">
        <v>22.23</v>
      </c>
      <c r="Z438" s="599" t="n">
        <v>0</v>
      </c>
      <c r="AA438" s="599" t="n">
        <v>2</v>
      </c>
      <c r="AB438" s="600" t="n">
        <v>851</v>
      </c>
      <c r="AC438" s="600" t="n"/>
      <c r="AD438" s="600" t="n"/>
      <c r="AE438" s="600" t="n"/>
      <c r="AF438" s="601" t="n"/>
      <c r="AG438" s="601" t="n"/>
      <c r="AH438" s="601">
        <f t="array" ref="AH4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8" s="602">
        <f>scheduleapr[[#This Row],[SCHEDULE in nos]]-scheduleapr[[#This Row],[DISPATCH]]</f>
        <v/>
      </c>
      <c r="AJ438" s="599">
        <f>(3.14*(scheduleapr[[#This Row],[ACTUAL OD]]-scheduleapr[[#This Row],[TICKNESS]])*scheduleapr[[#This Row],[TICKNESS]]*scheduleapr[[#This Row],[LENGTH]]*7.85)/1000000*scheduleapr[[#This Row],[SCHEDULE in nos]]/1000</f>
        <v/>
      </c>
      <c r="AK438" s="599">
        <f>(3.14*(scheduleapr[[#This Row],[ACTUAL OD]]-scheduleapr[[#This Row],[TICKNESS]])*scheduleapr[[#This Row],[TICKNESS]]*scheduleapr[[#This Row],[LENGTH]]*7.85)/1000000*scheduleapr[[#This Row],[DISPATCH]]/1000</f>
        <v/>
      </c>
      <c r="AL438" s="599">
        <f>AJ438-AK438</f>
        <v/>
      </c>
      <c r="AM438" s="599">
        <f>scheduleapr[[#This Row],[SCHEDULE in nos]]/scheduleapr[[#This Row],[SCHEDULE IN MT]]*scheduleapr[[#This Row],[CTL Stock]]</f>
        <v/>
      </c>
      <c r="AN438" s="599">
        <f>SUMIFS(stock[MT],stock[Bucket],scheduleapr[[#This Row],[Bucket]],stock[CTL Bucket],scheduleapr[[#This Row],[CTL Bucket]],stock[Plant],"0789")</f>
        <v/>
      </c>
      <c r="AO438" s="599" t="n"/>
      <c r="AP438" s="599">
        <f>SUMIFS(stock[MT],stock[Bucket],scheduleapr[[#This Row],[Bucket]],stock[LL or CTL],"LL")</f>
        <v/>
      </c>
      <c r="AQ438" s="599">
        <f>+SUMIFS(wip[Stock(Net Wt)],wip[Bucket],scheduleapr[[#This Row],[Bucket]])/1000</f>
        <v/>
      </c>
      <c r="AR438" s="599">
        <f>AJ438-AN438</f>
        <v/>
      </c>
      <c r="AS438" s="118" t="n"/>
    </row>
    <row r="439">
      <c r="A439" s="594" t="n">
        <v>321</v>
      </c>
      <c r="B439" s="5" t="inlineStr">
        <is>
          <t>Hosur</t>
        </is>
      </c>
      <c r="C439" s="601" t="inlineStr">
        <is>
          <t>Rajsriya Automotive</t>
        </is>
      </c>
      <c r="D439" s="601" t="inlineStr">
        <is>
          <t>Rajsriya Automotive Hosur</t>
        </is>
      </c>
      <c r="E439" s="601" t="inlineStr">
        <is>
          <t>129695|187884|188415|189239|189240</t>
        </is>
      </c>
      <c r="F439" s="601" t="n">
        <v>1361680</v>
      </c>
      <c r="G439" s="601">
        <f>_xlfn.CONCAT(scheduleapr[[#This Row],[CUSTOMER CODE]],"-",scheduleapr[[#This Row],[MATERIAL NO]])</f>
        <v/>
      </c>
      <c r="H439" s="601" t="inlineStr">
        <is>
          <t>TUB-O-N-AUT-AW-PE-22.20X2.000X0.8620</t>
        </is>
      </c>
      <c r="I439" s="601" t="inlineStr">
        <is>
          <t>ERW 1</t>
        </is>
      </c>
      <c r="J439" s="601" t="n"/>
      <c r="K439" s="601" t="n"/>
      <c r="L439" s="601" t="inlineStr">
        <is>
          <t>HR</t>
        </is>
      </c>
      <c r="M439" s="601" t="n"/>
      <c r="N439" s="601" t="n"/>
      <c r="O439" s="601" t="n"/>
      <c r="P439" s="601" t="n"/>
      <c r="Q439" s="557">
        <f>CONCATENATE(scheduleapr[[#This Row],[OD]],"-",scheduleapr[[#This Row],[ID]],"-",scheduleapr[[#This Row],[TICKNESS]],"-",scheduleapr[[#This Row],[Grade]],"-",scheduleapr[[#This Row],[FC/NFC]])</f>
        <v/>
      </c>
      <c r="R439" s="557">
        <f>_xlfn.CONCAT(scheduleapr[[#This Row],[Bucket]],"-",scheduleapr[[#This Row],[LENGTH]]/1000)</f>
        <v/>
      </c>
      <c r="S439" s="557">
        <f>COUNTIF([2]!buckets[CTL Bucket],[2]!scheduleapr[[#This Row],[CTL Bucket]])</f>
        <v/>
      </c>
      <c r="T439" s="557" t="n"/>
      <c r="U439" s="557" t="n"/>
      <c r="V439" s="557" t="n"/>
      <c r="W439" s="557" t="n"/>
      <c r="X439" s="599" t="n">
        <v>22.23</v>
      </c>
      <c r="Y439" s="599" t="n">
        <v>22.23</v>
      </c>
      <c r="Z439" s="599" t="n">
        <v>0</v>
      </c>
      <c r="AA439" s="599" t="n">
        <v>2</v>
      </c>
      <c r="AB439" s="600" t="n">
        <v>862</v>
      </c>
      <c r="AC439" s="600" t="n"/>
      <c r="AD439" s="600" t="n"/>
      <c r="AE439" s="600" t="n"/>
      <c r="AF439" s="601" t="n"/>
      <c r="AG439" s="601" t="n"/>
      <c r="AH439" s="601">
        <f t="array" ref="AH4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39" s="602">
        <f>scheduleapr[[#This Row],[SCHEDULE in nos]]-scheduleapr[[#This Row],[DISPATCH]]</f>
        <v/>
      </c>
      <c r="AJ439" s="599">
        <f>(3.14*(scheduleapr[[#This Row],[ACTUAL OD]]-scheduleapr[[#This Row],[TICKNESS]])*scheduleapr[[#This Row],[TICKNESS]]*scheduleapr[[#This Row],[LENGTH]]*7.85)/1000000*scheduleapr[[#This Row],[SCHEDULE in nos]]/1000</f>
        <v/>
      </c>
      <c r="AK439" s="599">
        <f>(3.14*(scheduleapr[[#This Row],[ACTUAL OD]]-scheduleapr[[#This Row],[TICKNESS]])*scheduleapr[[#This Row],[TICKNESS]]*scheduleapr[[#This Row],[LENGTH]]*7.85)/1000000*scheduleapr[[#This Row],[DISPATCH]]/1000</f>
        <v/>
      </c>
      <c r="AL439" s="599">
        <f>AJ439-AK439</f>
        <v/>
      </c>
      <c r="AM439" s="599">
        <f>scheduleapr[[#This Row],[SCHEDULE in nos]]/scheduleapr[[#This Row],[SCHEDULE IN MT]]*scheduleapr[[#This Row],[CTL Stock]]</f>
        <v/>
      </c>
      <c r="AN439" s="599">
        <f>SUMIFS(stock[MT],stock[Bucket],scheduleapr[[#This Row],[Bucket]],stock[CTL Bucket],scheduleapr[[#This Row],[CTL Bucket]],stock[Plant],"0789")</f>
        <v/>
      </c>
      <c r="AO439" s="599" t="n"/>
      <c r="AP439" s="599">
        <f>SUMIFS(stock[MT],stock[Bucket],scheduleapr[[#This Row],[Bucket]],stock[LL or CTL],"LL")</f>
        <v/>
      </c>
      <c r="AQ439" s="599">
        <f>+SUMIFS(wip[Stock(Net Wt)],wip[Bucket],scheduleapr[[#This Row],[Bucket]])/1000</f>
        <v/>
      </c>
      <c r="AR439" s="599">
        <f>AJ439-AN439</f>
        <v/>
      </c>
      <c r="AS439" s="118" t="n"/>
    </row>
    <row r="440">
      <c r="A440" s="594" t="n">
        <v>416</v>
      </c>
      <c r="B440" s="5" t="inlineStr">
        <is>
          <t>Hosur</t>
        </is>
      </c>
      <c r="C440" s="601" t="inlineStr">
        <is>
          <t>Rajsriya Unit 2</t>
        </is>
      </c>
      <c r="D440" s="601" t="inlineStr">
        <is>
          <t>Rajsriya Automotive Hosur</t>
        </is>
      </c>
      <c r="E440" s="601" t="inlineStr">
        <is>
          <t>129695|187884|188415|189239|189240</t>
        </is>
      </c>
      <c r="F440" s="48" t="n">
        <v>2420106</v>
      </c>
      <c r="G440" s="601">
        <f>_xlfn.CONCAT(scheduleapr[[#This Row],[CUSTOMER CODE]],"-",scheduleapr[[#This Row],[MATERIAL NO]])</f>
        <v/>
      </c>
      <c r="H440" s="601" t="inlineStr">
        <is>
          <t>TUB-O-N-AUT-AW-PE-22.23X2.000X1.3250</t>
        </is>
      </c>
      <c r="I440" s="601" t="inlineStr">
        <is>
          <t>ERW 1</t>
        </is>
      </c>
      <c r="J440" s="601" t="n"/>
      <c r="K440" s="601" t="inlineStr">
        <is>
          <t>PE</t>
        </is>
      </c>
      <c r="L440" s="601" t="inlineStr">
        <is>
          <t>HR</t>
        </is>
      </c>
      <c r="M440" s="601" t="n"/>
      <c r="N440" s="601" t="n"/>
      <c r="O440" s="601" t="n"/>
      <c r="P440" s="601" t="n"/>
      <c r="Q440" s="557">
        <f>CONCATENATE(scheduleapr[[#This Row],[OD]],"-",scheduleapr[[#This Row],[ID]],"-",scheduleapr[[#This Row],[TICKNESS]],"-",scheduleapr[[#This Row],[Grade]],"-",scheduleapr[[#This Row],[FC/NFC]])</f>
        <v/>
      </c>
      <c r="R440" s="557">
        <f>_xlfn.CONCAT(scheduleapr[[#This Row],[Bucket]],"-",scheduleapr[[#This Row],[LENGTH]]/1000)</f>
        <v/>
      </c>
      <c r="S440" s="557">
        <f>COUNTIF(scheduleapr[CTL Bucket],scheduleapr[[#This Row],[CTL Bucket]])</f>
        <v/>
      </c>
      <c r="T440" s="601" t="inlineStr">
        <is>
          <t>Hosur</t>
        </is>
      </c>
      <c r="U440" s="601">
        <f>_xlfn.IFNA(VLOOKUP(scheduleapr[[#This Row],[Bucket]],salesforecast[[#All],[Bucket2]:[8406 Stock]],19,0),0)</f>
        <v/>
      </c>
      <c r="V440" s="562">
        <f>_xlfn.IFNA(VLOOKUP(scheduleapr[[#This Row],[Bucket]],salesforecast[[#All],[Bucket2]:[8406 Stock]],20,0),0)+_xlfn.IFNA(VLOOKUP(scheduleapr[[#This Row],[Bucket]],salesforecast[[#All],[Bucket2]:[8406 Stock]],17,0),0)</f>
        <v/>
      </c>
      <c r="W440" s="557" t="n"/>
      <c r="X440" s="599" t="n">
        <v>22.23</v>
      </c>
      <c r="Y440" s="599" t="n">
        <v>22.23</v>
      </c>
      <c r="Z440" s="599" t="n">
        <v>0</v>
      </c>
      <c r="AA440" s="599" t="n">
        <v>2</v>
      </c>
      <c r="AB440" s="600" t="n">
        <v>1325</v>
      </c>
      <c r="AC440" s="600" t="inlineStr">
        <is>
          <t>NOS</t>
        </is>
      </c>
      <c r="AD440" s="600" t="n"/>
      <c r="AE440" s="600" t="n"/>
      <c r="AF440" s="601" t="n">
        <v>3000</v>
      </c>
      <c r="AG440" s="601" t="inlineStr">
        <is>
          <t>Aug 2026 schedule · rajsriya PLANT2</t>
        </is>
      </c>
      <c r="AH440" s="601">
        <f t="array" ref="AH4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0" s="602">
        <f>scheduleapr[[#This Row],[SCHEDULE in nos]]-scheduleapr[[#This Row],[DISPATCH]]</f>
        <v/>
      </c>
      <c r="AJ440" s="599">
        <f>(3.14*(scheduleapr[[#This Row],[ACTUAL OD]]-scheduleapr[[#This Row],[TICKNESS]])*scheduleapr[[#This Row],[TICKNESS]]*scheduleapr[[#This Row],[LENGTH]]*7.85)/1000000*scheduleapr[[#This Row],[SCHEDULE in nos]]/1000</f>
        <v/>
      </c>
      <c r="AK440" s="599">
        <f>(3.14*(scheduleapr[[#This Row],[ACTUAL OD]]-scheduleapr[[#This Row],[TICKNESS]])*scheduleapr[[#This Row],[TICKNESS]]*scheduleapr[[#This Row],[LENGTH]]*7.85)/1000000*scheduleapr[[#This Row],[DISPATCH]]/1000</f>
        <v/>
      </c>
      <c r="AL440" s="599">
        <f>AJ440-AK440</f>
        <v/>
      </c>
      <c r="AM440" s="599">
        <f>scheduleapr[[#This Row],[SCHEDULE in nos]]/scheduleapr[[#This Row],[SCHEDULE IN MT]]*scheduleapr[[#This Row],[CTL Stock]]</f>
        <v/>
      </c>
      <c r="AN440" s="599">
        <f>SUMIFS(stock[MT],stock[Bucket],scheduleapr[[#This Row],[Bucket]],stock[CTL Bucket],scheduleapr[[#This Row],[CTL Bucket]],stock[Plant],"0789")</f>
        <v/>
      </c>
      <c r="AO440" s="599" t="n"/>
      <c r="AP440" s="599">
        <f>SUMIFS(stock[MT],stock[Bucket],scheduleapr[[#This Row],[Bucket]],stock[LL or CTL],"LL")</f>
        <v/>
      </c>
      <c r="AQ440" s="599">
        <f>+SUMIFS(wip[Stock(Net Wt)],wip[Bucket],scheduleapr[[#This Row],[Bucket]])/1000</f>
        <v/>
      </c>
      <c r="AR440" s="599">
        <f>AJ440-AN440</f>
        <v/>
      </c>
      <c r="AS440" s="118" t="n"/>
    </row>
    <row r="441">
      <c r="A441" s="594" t="n">
        <v>322</v>
      </c>
      <c r="B441" s="5" t="inlineStr">
        <is>
          <t>Hosur</t>
        </is>
      </c>
      <c r="C441" s="601" t="inlineStr">
        <is>
          <t>Rajsriya Automotive</t>
        </is>
      </c>
      <c r="D441" s="601" t="inlineStr">
        <is>
          <t>Rajsriya Automotive Hosur</t>
        </is>
      </c>
      <c r="E441" s="601" t="inlineStr">
        <is>
          <t>129695|187884|188415|189239|189240</t>
        </is>
      </c>
      <c r="F441" s="601" t="n">
        <v>1940500</v>
      </c>
      <c r="G441" s="601">
        <f>_xlfn.CONCAT(scheduleapr[[#This Row],[CUSTOMER CODE]],"-",scheduleapr[[#This Row],[MATERIAL NO]])</f>
        <v/>
      </c>
      <c r="H441" s="601" t="inlineStr">
        <is>
          <t>TUB-O-O-AUT-AW-PE-22.23X2.300X0.3500</t>
        </is>
      </c>
      <c r="I441" s="601" t="inlineStr">
        <is>
          <t>ERW 1</t>
        </is>
      </c>
      <c r="J441" s="601" t="n"/>
      <c r="K441" s="601" t="inlineStr">
        <is>
          <t>PE</t>
        </is>
      </c>
      <c r="L441" s="601" t="inlineStr">
        <is>
          <t>HR</t>
        </is>
      </c>
      <c r="M441" s="601" t="n"/>
      <c r="N441" s="601" t="n"/>
      <c r="O441" s="601" t="n"/>
      <c r="P441" s="601" t="n"/>
      <c r="Q441" s="557">
        <f>CONCATENATE(scheduleapr[[#This Row],[OD]],"-",scheduleapr[[#This Row],[ID]],"-",scheduleapr[[#This Row],[TICKNESS]],"-",scheduleapr[[#This Row],[Grade]],"-",scheduleapr[[#This Row],[FC/NFC]])</f>
        <v/>
      </c>
      <c r="R441" s="557">
        <f>_xlfn.CONCAT(scheduleapr[[#This Row],[Bucket]],"-",scheduleapr[[#This Row],[LENGTH]]/1000)</f>
        <v/>
      </c>
      <c r="S441" s="557">
        <f>COUNTIF([2]!buckets[CTL Bucket],[2]!scheduleapr[[#This Row],[CTL Bucket]])</f>
        <v/>
      </c>
      <c r="T441" s="557" t="n"/>
      <c r="U441" s="557" t="n"/>
      <c r="V441" s="557" t="n"/>
      <c r="W441" s="557" t="n"/>
      <c r="X441" s="599" t="n">
        <v>22.23</v>
      </c>
      <c r="Y441" s="599" t="n">
        <v>22.23</v>
      </c>
      <c r="Z441" s="599" t="n">
        <v>0</v>
      </c>
      <c r="AA441" s="599" t="n">
        <v>2.3</v>
      </c>
      <c r="AB441" s="600" t="n">
        <v>350</v>
      </c>
      <c r="AC441" s="600" t="n"/>
      <c r="AD441" s="600" t="n"/>
      <c r="AE441" s="600" t="n"/>
      <c r="AF441" s="601" t="n">
        <v>3000</v>
      </c>
      <c r="AG441" s="601" t="inlineStr">
        <is>
          <t>Aug 2026 schedule · rajsriya PLANT5</t>
        </is>
      </c>
      <c r="AH441" s="601">
        <f t="array" ref="AH4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1" s="602">
        <f>scheduleapr[[#This Row],[SCHEDULE in nos]]-scheduleapr[[#This Row],[DISPATCH]]</f>
        <v/>
      </c>
      <c r="AJ441" s="599">
        <f>(3.14*(scheduleapr[[#This Row],[ACTUAL OD]]-scheduleapr[[#This Row],[TICKNESS]])*scheduleapr[[#This Row],[TICKNESS]]*scheduleapr[[#This Row],[LENGTH]]*7.85)/1000000*scheduleapr[[#This Row],[SCHEDULE in nos]]/1000</f>
        <v/>
      </c>
      <c r="AK441" s="599">
        <f>(3.14*(scheduleapr[[#This Row],[ACTUAL OD]]-scheduleapr[[#This Row],[TICKNESS]])*scheduleapr[[#This Row],[TICKNESS]]*scheduleapr[[#This Row],[LENGTH]]*7.85)/1000000*scheduleapr[[#This Row],[DISPATCH]]/1000</f>
        <v/>
      </c>
      <c r="AL441" s="599">
        <f>AJ441-AK441</f>
        <v/>
      </c>
      <c r="AM441" s="599">
        <f>scheduleapr[[#This Row],[SCHEDULE in nos]]/scheduleapr[[#This Row],[SCHEDULE IN MT]]*scheduleapr[[#This Row],[CTL Stock]]</f>
        <v/>
      </c>
      <c r="AN441" s="599">
        <f>SUMIFS(stock[MT],stock[Bucket],scheduleapr[[#This Row],[Bucket]],stock[CTL Bucket],scheduleapr[[#This Row],[CTL Bucket]],stock[Plant],"0789")</f>
        <v/>
      </c>
      <c r="AO441" s="599" t="n"/>
      <c r="AP441" s="599">
        <f>SUMIFS(stock[MT],stock[Bucket],scheduleapr[[#This Row],[Bucket]],stock[LL or CTL],"LL")</f>
        <v/>
      </c>
      <c r="AQ441" s="599">
        <f>+SUMIFS(wip[Stock(Net Wt)],wip[Bucket],scheduleapr[[#This Row],[Bucket]])/1000</f>
        <v/>
      </c>
      <c r="AR441" s="599">
        <f>AJ441-AN441</f>
        <v/>
      </c>
      <c r="AS441" s="118" t="n"/>
    </row>
    <row r="442">
      <c r="A442" s="594" t="n">
        <v>397</v>
      </c>
      <c r="B442" s="5" t="inlineStr">
        <is>
          <t>Hosur</t>
        </is>
      </c>
      <c r="C442" s="601" t="inlineStr">
        <is>
          <t>Rajsriya Unit 2</t>
        </is>
      </c>
      <c r="D442" s="601" t="inlineStr">
        <is>
          <t>Rajsriya Automotive Hosur</t>
        </is>
      </c>
      <c r="E442" s="601" t="inlineStr">
        <is>
          <t>129695|187884|188415|189239|189240</t>
        </is>
      </c>
      <c r="F442" s="601" t="n">
        <v>3087645</v>
      </c>
      <c r="G442" s="601">
        <f>_xlfn.CONCAT(scheduleapr[[#This Row],[CUSTOMER CODE]],"-",scheduleapr[[#This Row],[MATERIAL NO]])</f>
        <v/>
      </c>
      <c r="H442" s="601" t="inlineStr">
        <is>
          <t>PT2-O-N-AUT-AW-PE-22.20X2.300X0.4250</t>
        </is>
      </c>
      <c r="I442" s="601" t="inlineStr">
        <is>
          <t>ERW 1</t>
        </is>
      </c>
      <c r="J442" s="601" t="n"/>
      <c r="K442" s="601" t="inlineStr">
        <is>
          <t>PE</t>
        </is>
      </c>
      <c r="L442" s="601" t="inlineStr">
        <is>
          <t>HR</t>
        </is>
      </c>
      <c r="M442" s="601" t="n"/>
      <c r="N442" s="601" t="n"/>
      <c r="O442" s="601" t="n"/>
      <c r="P442" s="601" t="n"/>
      <c r="Q442" s="557">
        <f>CONCATENATE(scheduleapr[[#This Row],[OD]],"-",scheduleapr[[#This Row],[ID]],"-",scheduleapr[[#This Row],[TICKNESS]],"-",scheduleapr[[#This Row],[Grade]],"-",scheduleapr[[#This Row],[FC/NFC]])</f>
        <v/>
      </c>
      <c r="R442" s="557">
        <f>_xlfn.CONCAT(scheduleapr[[#This Row],[Bucket]],"-",scheduleapr[[#This Row],[LENGTH]]/1000)</f>
        <v/>
      </c>
      <c r="S442" s="557">
        <f>COUNTIF([2]!buckets[CTL Bucket],[2]!scheduleapr[[#This Row],[CTL Bucket]])</f>
        <v/>
      </c>
      <c r="T442" s="557" t="n"/>
      <c r="U442" s="557" t="n"/>
      <c r="V442" s="557" t="n"/>
      <c r="W442" s="557" t="n"/>
      <c r="X442" s="599" t="n">
        <v>22.23</v>
      </c>
      <c r="Y442" s="599" t="n">
        <v>22.23</v>
      </c>
      <c r="Z442" s="599" t="n">
        <v>0</v>
      </c>
      <c r="AA442" s="599" t="n">
        <v>2.3</v>
      </c>
      <c r="AB442" s="600" t="n">
        <v>425</v>
      </c>
      <c r="AC442" s="600" t="inlineStr">
        <is>
          <t>NOS</t>
        </is>
      </c>
      <c r="AD442" s="600" t="n"/>
      <c r="AE442" s="600" t="n"/>
      <c r="AF442" s="601" t="n"/>
      <c r="AG442" s="601" t="n"/>
      <c r="AH442" s="601">
        <f t="array" ref="AH4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2" s="602">
        <f>scheduleapr[[#This Row],[SCHEDULE in nos]]-scheduleapr[[#This Row],[DISPATCH]]</f>
        <v/>
      </c>
      <c r="AJ442" s="599">
        <f>(3.14*(scheduleapr[[#This Row],[ACTUAL OD]]-scheduleapr[[#This Row],[TICKNESS]])*scheduleapr[[#This Row],[TICKNESS]]*scheduleapr[[#This Row],[LENGTH]]*7.85)/1000000*scheduleapr[[#This Row],[SCHEDULE in nos]]/1000</f>
        <v/>
      </c>
      <c r="AK442" s="599">
        <f>(3.14*(scheduleapr[[#This Row],[ACTUAL OD]]-scheduleapr[[#This Row],[TICKNESS]])*scheduleapr[[#This Row],[TICKNESS]]*scheduleapr[[#This Row],[LENGTH]]*7.85)/1000000*scheduleapr[[#This Row],[DISPATCH]]/1000</f>
        <v/>
      </c>
      <c r="AL442" s="599">
        <f>AJ442-AK442</f>
        <v/>
      </c>
      <c r="AM442" s="599">
        <f>scheduleapr[[#This Row],[SCHEDULE in nos]]/scheduleapr[[#This Row],[SCHEDULE IN MT]]*scheduleapr[[#This Row],[CTL Stock]]</f>
        <v/>
      </c>
      <c r="AN442" s="599">
        <f>SUMIFS(stock[MT],stock[Bucket],scheduleapr[[#This Row],[Bucket]],stock[CTL Bucket],scheduleapr[[#This Row],[CTL Bucket]],stock[Plant],"0789")</f>
        <v/>
      </c>
      <c r="AO442" s="599" t="n"/>
      <c r="AP442" s="599">
        <f>SUMIFS(stock[MT],stock[Bucket],scheduleapr[[#This Row],[Bucket]],stock[LL or CTL],"LL")</f>
        <v/>
      </c>
      <c r="AQ442" s="599">
        <f>+SUMIFS(wip[Stock(Net Wt)],wip[Bucket],scheduleapr[[#This Row],[Bucket]])/1000</f>
        <v/>
      </c>
      <c r="AR442" s="599">
        <f>AJ442-AN442</f>
        <v/>
      </c>
      <c r="AS442" s="118" t="n"/>
    </row>
    <row r="443">
      <c r="A443" s="594" t="n">
        <v>323</v>
      </c>
      <c r="B443" s="5" t="inlineStr">
        <is>
          <t>Hosur</t>
        </is>
      </c>
      <c r="C443" s="601" t="inlineStr">
        <is>
          <t>Rajsriya Automotive</t>
        </is>
      </c>
      <c r="D443" s="601" t="inlineStr">
        <is>
          <t>Rajsriya Automotive Hosur</t>
        </is>
      </c>
      <c r="E443" s="601" t="inlineStr">
        <is>
          <t>129695|187884|188415|189239|189240</t>
        </is>
      </c>
      <c r="F443" s="601" t="n">
        <v>1940504</v>
      </c>
      <c r="G443" s="601">
        <f>_xlfn.CONCAT(scheduleapr[[#This Row],[CUSTOMER CODE]],"-",scheduleapr[[#This Row],[MATERIAL NO]])</f>
        <v/>
      </c>
      <c r="H443" s="601" t="inlineStr">
        <is>
          <t>TUB-O-O-AUT-AW-PE-22.23X2.300X0.4990</t>
        </is>
      </c>
      <c r="I443" s="601" t="inlineStr">
        <is>
          <t>ERW 1</t>
        </is>
      </c>
      <c r="J443" s="601" t="n"/>
      <c r="K443" s="601" t="inlineStr">
        <is>
          <t>PE</t>
        </is>
      </c>
      <c r="L443" s="601" t="inlineStr">
        <is>
          <t>HR</t>
        </is>
      </c>
      <c r="M443" s="601" t="n"/>
      <c r="N443" s="601" t="n"/>
      <c r="O443" s="601" t="n"/>
      <c r="P443" s="601" t="n"/>
      <c r="Q443" s="557">
        <f>CONCATENATE(scheduleapr[[#This Row],[OD]],"-",scheduleapr[[#This Row],[ID]],"-",scheduleapr[[#This Row],[TICKNESS]],"-",scheduleapr[[#This Row],[Grade]],"-",scheduleapr[[#This Row],[FC/NFC]])</f>
        <v/>
      </c>
      <c r="R443" s="557">
        <f>_xlfn.CONCAT(scheduleapr[[#This Row],[Bucket]],"-",scheduleapr[[#This Row],[LENGTH]]/1000)</f>
        <v/>
      </c>
      <c r="S443" s="557">
        <f>COUNTIF([2]!buckets[CTL Bucket],[2]!scheduleapr[[#This Row],[CTL Bucket]])</f>
        <v/>
      </c>
      <c r="T443" s="557" t="n"/>
      <c r="U443" s="557" t="n"/>
      <c r="V443" s="557" t="n"/>
      <c r="W443" s="557" t="n"/>
      <c r="X443" s="599" t="n">
        <v>22.23</v>
      </c>
      <c r="Y443" s="599" t="n">
        <v>22.23</v>
      </c>
      <c r="Z443" s="599" t="n">
        <v>0</v>
      </c>
      <c r="AA443" s="599" t="n">
        <v>2.3</v>
      </c>
      <c r="AB443" s="600" t="n">
        <v>499</v>
      </c>
      <c r="AC443" s="600" t="n"/>
      <c r="AD443" s="600" t="n"/>
      <c r="AE443" s="600" t="n"/>
      <c r="AF443" s="601" t="n"/>
      <c r="AG443" s="601" t="n"/>
      <c r="AH443" s="601">
        <f t="array" ref="AH4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3" s="602">
        <f>scheduleapr[[#This Row],[SCHEDULE in nos]]-scheduleapr[[#This Row],[DISPATCH]]</f>
        <v/>
      </c>
      <c r="AJ443" s="599">
        <f>(3.14*(scheduleapr[[#This Row],[ACTUAL OD]]-scheduleapr[[#This Row],[TICKNESS]])*scheduleapr[[#This Row],[TICKNESS]]*scheduleapr[[#This Row],[LENGTH]]*7.85)/1000000*scheduleapr[[#This Row],[SCHEDULE in nos]]/1000</f>
        <v/>
      </c>
      <c r="AK443" s="599">
        <f>(3.14*(scheduleapr[[#This Row],[ACTUAL OD]]-scheduleapr[[#This Row],[TICKNESS]])*scheduleapr[[#This Row],[TICKNESS]]*scheduleapr[[#This Row],[LENGTH]]*7.85)/1000000*scheduleapr[[#This Row],[DISPATCH]]/1000</f>
        <v/>
      </c>
      <c r="AL443" s="599">
        <f>AJ443-AK443</f>
        <v/>
      </c>
      <c r="AM443" s="599">
        <f>scheduleapr[[#This Row],[SCHEDULE in nos]]/scheduleapr[[#This Row],[SCHEDULE IN MT]]*scheduleapr[[#This Row],[CTL Stock]]</f>
        <v/>
      </c>
      <c r="AN443" s="599">
        <f>SUMIFS(stock[MT],stock[Bucket],scheduleapr[[#This Row],[Bucket]],stock[CTL Bucket],scheduleapr[[#This Row],[CTL Bucket]],stock[Plant],"0789")</f>
        <v/>
      </c>
      <c r="AO443" s="599" t="n"/>
      <c r="AP443" s="599">
        <f>SUMIFS(stock[MT],stock[Bucket],scheduleapr[[#This Row],[Bucket]],stock[LL or CTL],"LL")</f>
        <v/>
      </c>
      <c r="AQ443" s="599">
        <f>+SUMIFS(wip[Stock(Net Wt)],wip[Bucket],scheduleapr[[#This Row],[Bucket]])/1000</f>
        <v/>
      </c>
      <c r="AR443" s="599">
        <f>AJ443-AN443</f>
        <v/>
      </c>
      <c r="AS443" s="118" t="n"/>
    </row>
    <row r="444">
      <c r="A444" s="594" t="n">
        <v>419</v>
      </c>
      <c r="B444" s="5" t="inlineStr">
        <is>
          <t>Hosur</t>
        </is>
      </c>
      <c r="C444" s="601" t="inlineStr">
        <is>
          <t>Rajsriya Unit 5</t>
        </is>
      </c>
      <c r="D444" s="48" t="inlineStr">
        <is>
          <t>Rajsriya Automotive Hosur</t>
        </is>
      </c>
      <c r="E444" s="601" t="inlineStr">
        <is>
          <t>129695|187884|188415|189239|189240</t>
        </is>
      </c>
      <c r="F444" s="601" t="n">
        <v>1940510</v>
      </c>
      <c r="G444" s="601">
        <f>_xlfn.CONCAT(scheduleapr[[#This Row],[CUSTOMER CODE]],"-",scheduleapr[[#This Row],[MATERIAL NO]])</f>
        <v/>
      </c>
      <c r="H444" s="601" t="inlineStr">
        <is>
          <t>TUB-O-O-AUT-AW-PE-22.23X2.300X6.0000</t>
        </is>
      </c>
      <c r="I444" s="601" t="inlineStr">
        <is>
          <t>ERW 1</t>
        </is>
      </c>
      <c r="J444" s="601" t="n"/>
      <c r="K444" s="601" t="inlineStr">
        <is>
          <t>PE</t>
        </is>
      </c>
      <c r="L444" s="601" t="inlineStr">
        <is>
          <t>HR</t>
        </is>
      </c>
      <c r="M444" s="601" t="n"/>
      <c r="N444" s="601" t="n"/>
      <c r="O444" s="601" t="n"/>
      <c r="P444" s="601" t="n"/>
      <c r="Q444" s="557">
        <f>CONCATENATE(scheduleapr[[#This Row],[OD]],"-",scheduleapr[[#This Row],[ID]],"-",scheduleapr[[#This Row],[TICKNESS]],"-",scheduleapr[[#This Row],[Grade]],"-",scheduleapr[[#This Row],[FC/NFC]])</f>
        <v/>
      </c>
      <c r="R444" s="557">
        <f>_xlfn.CONCAT(scheduleapr[[#This Row],[Bucket]],"-",scheduleapr[[#This Row],[LENGTH]]/1000)</f>
        <v/>
      </c>
      <c r="S444" s="557">
        <f>COUNTIF(scheduleapr[CTL Bucket],scheduleapr[[#This Row],[CTL Bucket]])</f>
        <v/>
      </c>
      <c r="T444" s="601" t="inlineStr">
        <is>
          <t>Hosur</t>
        </is>
      </c>
      <c r="U444" s="601">
        <f>_xlfn.IFNA(VLOOKUP(scheduleapr[[#This Row],[Bucket]],salesforecast[[#All],[Bucket2]:[8406 Stock]],19,0),0)</f>
        <v/>
      </c>
      <c r="V444" s="562">
        <f>_xlfn.IFNA(VLOOKUP(scheduleapr[[#This Row],[Bucket]],salesforecast[[#All],[Bucket2]:[8406 Stock]],20,0),0)+_xlfn.IFNA(VLOOKUP(scheduleapr[[#This Row],[Bucket]],salesforecast[[#All],[Bucket2]:[8406 Stock]],17,0),0)</f>
        <v/>
      </c>
      <c r="W444" s="557" t="n"/>
      <c r="X444" s="599" t="n">
        <v>22.23</v>
      </c>
      <c r="Y444" s="599" t="n">
        <v>22.23</v>
      </c>
      <c r="Z444" s="599" t="n">
        <v>0</v>
      </c>
      <c r="AA444" s="599" t="n">
        <v>2.3</v>
      </c>
      <c r="AB444" s="600" t="n">
        <v>1000</v>
      </c>
      <c r="AC444" s="600" t="inlineStr">
        <is>
          <t>M</t>
        </is>
      </c>
      <c r="AD444" s="600" t="n"/>
      <c r="AE444" s="600" t="n"/>
      <c r="AF444" s="601" t="n">
        <v>2000</v>
      </c>
      <c r="AG444" s="601" t="inlineStr">
        <is>
          <t>Aug 2026 schedule · rajsriya PLANT5</t>
        </is>
      </c>
      <c r="AH444" s="601">
        <f t="array" ref="AH4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4" s="602">
        <f>scheduleapr[[#This Row],[SCHEDULE in nos]]-scheduleapr[[#This Row],[DISPATCH]]</f>
        <v/>
      </c>
      <c r="AJ444" s="599">
        <f>(3.14*(scheduleapr[[#This Row],[ACTUAL OD]]-scheduleapr[[#This Row],[TICKNESS]])*scheduleapr[[#This Row],[TICKNESS]]*scheduleapr[[#This Row],[LENGTH]]*7.85)/1000000*scheduleapr[[#This Row],[SCHEDULE in nos]]/1000</f>
        <v/>
      </c>
      <c r="AK444" s="599">
        <f>(3.14*(scheduleapr[[#This Row],[ACTUAL OD]]-scheduleapr[[#This Row],[TICKNESS]])*scheduleapr[[#This Row],[TICKNESS]]*scheduleapr[[#This Row],[LENGTH]]*7.85)/1000000*scheduleapr[[#This Row],[DISPATCH]]/1000</f>
        <v/>
      </c>
      <c r="AL444" s="599">
        <f>AJ444-AK444</f>
        <v/>
      </c>
      <c r="AM444" s="599">
        <f>scheduleapr[[#This Row],[SCHEDULE in nos]]/scheduleapr[[#This Row],[SCHEDULE IN MT]]*scheduleapr[[#This Row],[CTL Stock]]</f>
        <v/>
      </c>
      <c r="AN444" s="599">
        <f>SUMIFS(stock[MT],stock[Bucket],scheduleapr[[#This Row],[Bucket]],stock[CTL Bucket],scheduleapr[[#This Row],[CTL Bucket]],stock[Plant],"0789")</f>
        <v/>
      </c>
      <c r="AO444" s="599" t="n"/>
      <c r="AP444" s="599">
        <f>SUMIFS(stock[MT],stock[Bucket],scheduleapr[[#This Row],[Bucket]],stock[LL or CTL],"LL")</f>
        <v/>
      </c>
      <c r="AQ444" s="599">
        <f>+SUMIFS(wip[Stock(Net Wt)],wip[Bucket],scheduleapr[[#This Row],[Bucket]])/1000</f>
        <v/>
      </c>
      <c r="AR444" s="599">
        <f>AJ444-AN444</f>
        <v/>
      </c>
      <c r="AS444" s="118" t="n"/>
    </row>
    <row r="445">
      <c r="A445" s="594" t="n">
        <v>324</v>
      </c>
      <c r="B445" s="5" t="inlineStr">
        <is>
          <t>Hosur</t>
        </is>
      </c>
      <c r="C445" s="601" t="inlineStr">
        <is>
          <t>Rajsriya Automotive</t>
        </is>
      </c>
      <c r="D445" s="601" t="inlineStr">
        <is>
          <t>Rajsriya Automotive Hosur</t>
        </is>
      </c>
      <c r="E445" s="601" t="inlineStr">
        <is>
          <t>129695|187884|188415|189239|189240</t>
        </is>
      </c>
      <c r="F445" s="601" t="n">
        <v>1119129</v>
      </c>
      <c r="G445" s="601">
        <f>_xlfn.CONCAT(scheduleapr[[#This Row],[CUSTOMER CODE]],"-",scheduleapr[[#This Row],[MATERIAL NO]])</f>
        <v/>
      </c>
      <c r="H445" s="601" t="inlineStr">
        <is>
          <t>PT2-O-N-AUT-AW-PE-25.40X1.600X0.360</t>
        </is>
      </c>
      <c r="I445" s="601" t="inlineStr">
        <is>
          <t>ERW 1</t>
        </is>
      </c>
      <c r="J445" s="601" t="n"/>
      <c r="K445" s="601" t="inlineStr">
        <is>
          <t>PE</t>
        </is>
      </c>
      <c r="L445" s="601" t="inlineStr">
        <is>
          <t>HR</t>
        </is>
      </c>
      <c r="M445" s="601" t="n"/>
      <c r="N445" s="601" t="n"/>
      <c r="O445" s="601" t="n"/>
      <c r="P445" s="601" t="n"/>
      <c r="Q445" s="557">
        <f>CONCATENATE(scheduleapr[[#This Row],[OD]],"-",scheduleapr[[#This Row],[ID]],"-",scheduleapr[[#This Row],[TICKNESS]],"-",scheduleapr[[#This Row],[Grade]],"-",scheduleapr[[#This Row],[FC/NFC]])</f>
        <v/>
      </c>
      <c r="R445" s="557">
        <f>_xlfn.CONCAT(scheduleapr[[#This Row],[Bucket]],"-",scheduleapr[[#This Row],[LENGTH]]/1000)</f>
        <v/>
      </c>
      <c r="S445" s="557">
        <f>COUNTIF([2]!buckets[CTL Bucket],[2]!scheduleapr[[#This Row],[CTL Bucket]])</f>
        <v/>
      </c>
      <c r="T445" s="557" t="n"/>
      <c r="U445" s="557" t="n"/>
      <c r="V445" s="557" t="n"/>
      <c r="W445" s="557" t="n"/>
      <c r="X445" s="599" t="n">
        <v>25.4</v>
      </c>
      <c r="Y445" s="599" t="n">
        <v>25.4</v>
      </c>
      <c r="Z445" s="599" t="n">
        <v>0</v>
      </c>
      <c r="AA445" s="599" t="n">
        <v>1.6</v>
      </c>
      <c r="AB445" s="600" t="n">
        <v>360</v>
      </c>
      <c r="AC445" s="600" t="n"/>
      <c r="AD445" s="600" t="n"/>
      <c r="AE445" s="600" t="n"/>
      <c r="AF445" s="601" t="n"/>
      <c r="AG445" s="601" t="n"/>
      <c r="AH445" s="601">
        <f t="array" ref="AH4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5" s="602">
        <f>scheduleapr[[#This Row],[SCHEDULE in nos]]-scheduleapr[[#This Row],[DISPATCH]]</f>
        <v/>
      </c>
      <c r="AJ445" s="599">
        <f>(3.14*(scheduleapr[[#This Row],[ACTUAL OD]]-scheduleapr[[#This Row],[TICKNESS]])*scheduleapr[[#This Row],[TICKNESS]]*scheduleapr[[#This Row],[LENGTH]]*7.85)/1000000*scheduleapr[[#This Row],[SCHEDULE in nos]]/1000</f>
        <v/>
      </c>
      <c r="AK445" s="599">
        <f>(3.14*(scheduleapr[[#This Row],[ACTUAL OD]]-scheduleapr[[#This Row],[TICKNESS]])*scheduleapr[[#This Row],[TICKNESS]]*scheduleapr[[#This Row],[LENGTH]]*7.85)/1000000*scheduleapr[[#This Row],[DISPATCH]]/1000</f>
        <v/>
      </c>
      <c r="AL445" s="599">
        <f>AJ445-AK445</f>
        <v/>
      </c>
      <c r="AM445" s="599">
        <f>scheduleapr[[#This Row],[SCHEDULE in nos]]/scheduleapr[[#This Row],[SCHEDULE IN MT]]*scheduleapr[[#This Row],[CTL Stock]]</f>
        <v/>
      </c>
      <c r="AN445" s="599">
        <f>SUMIFS(stock[MT],stock[Bucket],scheduleapr[[#This Row],[Bucket]],stock[CTL Bucket],scheduleapr[[#This Row],[CTL Bucket]],stock[Plant],"0789")</f>
        <v/>
      </c>
      <c r="AO445" s="599" t="n"/>
      <c r="AP445" s="599">
        <f>SUMIFS(stock[MT],stock[Bucket],scheduleapr[[#This Row],[Bucket]],stock[LL or CTL],"LL")</f>
        <v/>
      </c>
      <c r="AQ445" s="599">
        <f>+SUMIFS(wip[Stock(Net Wt)],wip[Bucket],scheduleapr[[#This Row],[Bucket]])/1000</f>
        <v/>
      </c>
      <c r="AR445" s="599">
        <f>AJ445-AN445</f>
        <v/>
      </c>
      <c r="AS445" s="118" t="n"/>
    </row>
    <row r="446">
      <c r="A446" s="556" t="n"/>
      <c r="B446" s="5" t="inlineStr">
        <is>
          <t>Hosur</t>
        </is>
      </c>
      <c r="C446" s="601" t="inlineStr">
        <is>
          <t>Rajsriya Unit 8</t>
        </is>
      </c>
      <c r="D446" s="601" t="inlineStr">
        <is>
          <t>Rajsriya Automotive Hosur</t>
        </is>
      </c>
      <c r="E446" s="601" t="inlineStr">
        <is>
          <t>129695|187884|188415|189239|189240</t>
        </is>
      </c>
      <c r="F446" s="557" t="n"/>
      <c r="G446" s="601">
        <f>_xlfn.CONCAT(scheduleapr[[#This Row],[CUSTOMER CODE]],"-",scheduleapr[[#This Row],[MATERIAL NO]])</f>
        <v/>
      </c>
      <c r="H446" s="557" t="n"/>
      <c r="I446" s="601" t="inlineStr">
        <is>
          <t>ERW 1</t>
        </is>
      </c>
      <c r="J446" s="557" t="n"/>
      <c r="K446" s="601" t="inlineStr">
        <is>
          <t>FC</t>
        </is>
      </c>
      <c r="L446" s="557" t="n"/>
      <c r="M446" s="558" t="n"/>
      <c r="N446" s="557" t="n"/>
      <c r="O446" s="557" t="n"/>
      <c r="P446" s="557" t="n"/>
      <c r="Q446" s="557" t="n"/>
      <c r="R446" s="557" t="n"/>
      <c r="S446" s="557" t="n"/>
      <c r="T446" s="601" t="n"/>
      <c r="U446" s="601">
        <f>_xlfn.IFNA(VLOOKUP(scheduleapr[[#This Row],[Bucket]],salesforecast[[#All],[Bucket2]:[8406 Stock]],19,0),0)</f>
        <v/>
      </c>
      <c r="V446" s="601" t="n"/>
      <c r="W446" s="601" t="n"/>
      <c r="X446" s="559" t="n">
        <v>25.4</v>
      </c>
      <c r="Y446" s="559" t="n">
        <v>25.4</v>
      </c>
      <c r="Z446" s="559" t="n">
        <v>0</v>
      </c>
      <c r="AA446" s="559" t="n">
        <v>2</v>
      </c>
      <c r="AB446" s="600" t="n">
        <v>213</v>
      </c>
      <c r="AC446" s="600" t="inlineStr">
        <is>
          <t>NOS</t>
        </is>
      </c>
      <c r="AD446" s="600" t="n"/>
      <c r="AE446" s="600" t="n"/>
      <c r="AF446" s="557" t="n">
        <v>3000</v>
      </c>
      <c r="AG446" s="557" t="inlineStr">
        <is>
          <t>Aug 2026 schedule · rajsriya PLANT8</t>
        </is>
      </c>
      <c r="AH446" s="601">
        <f t="array" ref="AH4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6" s="560">
        <f>scheduleapr[[#This Row],[SCHEDULE in nos]]-scheduleapr[[#This Row],[DISPATCH]]</f>
        <v/>
      </c>
      <c r="AJ446" s="559">
        <f>(3.14*(scheduleapr[[#This Row],[ACTUAL OD]]-scheduleapr[[#This Row],[TICKNESS]])*scheduleapr[[#This Row],[TICKNESS]]*scheduleapr[[#This Row],[LENGTH]]*7.85)/1000000*scheduleapr[[#This Row],[SCHEDULE in nos]]/1000</f>
        <v/>
      </c>
      <c r="AK446" s="599">
        <f>(3.14*(scheduleapr[[#This Row],[ACTUAL OD]]-scheduleapr[[#This Row],[TICKNESS]])*scheduleapr[[#This Row],[TICKNESS]]*scheduleapr[[#This Row],[LENGTH]]*7.85)/1000000*scheduleapr[[#This Row],[DISPATCH]]/1000</f>
        <v/>
      </c>
      <c r="AL446" s="599">
        <f>AJ446-AK446</f>
        <v/>
      </c>
      <c r="AM446" s="559">
        <f>scheduleapr[[#This Row],[SCHEDULE in nos]]/scheduleapr[[#This Row],[SCHEDULE IN MT]]*scheduleapr[[#This Row],[CTL Stock]]</f>
        <v/>
      </c>
      <c r="AN446" s="599">
        <f>SUMIFS(stock[MT],stock[Bucket],scheduleapr[[#This Row],[Bucket]],stock[CTL Bucket],scheduleapr[[#This Row],[CTL Bucket]],stock[Plant],"0789")</f>
        <v/>
      </c>
      <c r="AO446" s="599" t="n"/>
      <c r="AP446" s="599">
        <f>SUMIFS(stock[MT],stock[Bucket],scheduleapr[[#This Row],[Bucket]],stock[LL or CTL],"LL")</f>
        <v/>
      </c>
      <c r="AQ446" s="599">
        <f>+SUMIFS(wip[Stock(Net Wt)],wip[Bucket],scheduleapr[[#This Row],[Bucket]])/1000</f>
        <v/>
      </c>
      <c r="AR446" s="599">
        <f>AJ446-AN446</f>
        <v/>
      </c>
      <c r="AS446" s="118" t="n"/>
    </row>
    <row r="447">
      <c r="A447" s="556" t="n"/>
      <c r="B447" s="5" t="inlineStr">
        <is>
          <t>Hosur</t>
        </is>
      </c>
      <c r="C447" s="601" t="inlineStr">
        <is>
          <t>Rajsriya Unit 8</t>
        </is>
      </c>
      <c r="D447" s="601" t="inlineStr">
        <is>
          <t>Rajsriya Automotive Hosur</t>
        </is>
      </c>
      <c r="E447" s="601" t="inlineStr">
        <is>
          <t>129695|187884|188415|189239|189240</t>
        </is>
      </c>
      <c r="F447" s="557" t="n"/>
      <c r="G447" s="601">
        <f>_xlfn.CONCAT(scheduleapr[[#This Row],[CUSTOMER CODE]],"-",scheduleapr[[#This Row],[MATERIAL NO]])</f>
        <v/>
      </c>
      <c r="H447" s="557" t="n"/>
      <c r="I447" s="601" t="inlineStr">
        <is>
          <t>ERW 1</t>
        </is>
      </c>
      <c r="J447" s="557" t="n"/>
      <c r="K447" s="601" t="inlineStr">
        <is>
          <t>FC</t>
        </is>
      </c>
      <c r="L447" s="557" t="n"/>
      <c r="M447" s="558" t="n"/>
      <c r="N447" s="557" t="n"/>
      <c r="O447" s="557" t="n"/>
      <c r="P447" s="557" t="n"/>
      <c r="Q447" s="557" t="n"/>
      <c r="R447" s="557" t="n"/>
      <c r="S447" s="557" t="n"/>
      <c r="T447" s="601" t="n"/>
      <c r="U447" s="601">
        <f>_xlfn.IFNA(VLOOKUP(scheduleapr[[#This Row],[Bucket]],salesforecast[[#All],[Bucket2]:[8406 Stock]],19,0),0)</f>
        <v/>
      </c>
      <c r="V447" s="601" t="n"/>
      <c r="W447" s="601" t="n"/>
      <c r="X447" s="559" t="n">
        <v>25.4</v>
      </c>
      <c r="Y447" s="559" t="n">
        <v>25.4</v>
      </c>
      <c r="Z447" s="559" t="n">
        <v>0</v>
      </c>
      <c r="AA447" s="559" t="n">
        <v>2</v>
      </c>
      <c r="AB447" s="600" t="n">
        <v>310</v>
      </c>
      <c r="AC447" s="600" t="inlineStr">
        <is>
          <t>NOS</t>
        </is>
      </c>
      <c r="AD447" s="600" t="n"/>
      <c r="AE447" s="600" t="n"/>
      <c r="AF447" s="557" t="n">
        <v>3000</v>
      </c>
      <c r="AG447" s="557" t="inlineStr">
        <is>
          <t>Aug 2026 schedule · rajsriya PLANT8</t>
        </is>
      </c>
      <c r="AH447" s="601">
        <f t="array" ref="AH4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7" s="560">
        <f>scheduleapr[[#This Row],[SCHEDULE in nos]]-scheduleapr[[#This Row],[DISPATCH]]</f>
        <v/>
      </c>
      <c r="AJ447" s="559">
        <f>(3.14*(scheduleapr[[#This Row],[ACTUAL OD]]-scheduleapr[[#This Row],[TICKNESS]])*scheduleapr[[#This Row],[TICKNESS]]*scheduleapr[[#This Row],[LENGTH]]*7.85)/1000000*scheduleapr[[#This Row],[SCHEDULE in nos]]/1000</f>
        <v/>
      </c>
      <c r="AK447" s="599">
        <f>(3.14*(scheduleapr[[#This Row],[ACTUAL OD]]-scheduleapr[[#This Row],[TICKNESS]])*scheduleapr[[#This Row],[TICKNESS]]*scheduleapr[[#This Row],[LENGTH]]*7.85)/1000000*scheduleapr[[#This Row],[DISPATCH]]/1000</f>
        <v/>
      </c>
      <c r="AL447" s="599">
        <f>AJ447-AK447</f>
        <v/>
      </c>
      <c r="AM447" s="559">
        <f>scheduleapr[[#This Row],[SCHEDULE in nos]]/scheduleapr[[#This Row],[SCHEDULE IN MT]]*scheduleapr[[#This Row],[CTL Stock]]</f>
        <v/>
      </c>
      <c r="AN447" s="599">
        <f>SUMIFS(stock[MT],stock[Bucket],scheduleapr[[#This Row],[Bucket]],stock[CTL Bucket],scheduleapr[[#This Row],[CTL Bucket]],stock[Plant],"0789")</f>
        <v/>
      </c>
      <c r="AO447" s="599" t="n"/>
      <c r="AP447" s="599">
        <f>SUMIFS(stock[MT],stock[Bucket],scheduleapr[[#This Row],[Bucket]],stock[LL or CTL],"LL")</f>
        <v/>
      </c>
      <c r="AQ447" s="599">
        <f>+SUMIFS(wip[Stock(Net Wt)],wip[Bucket],scheduleapr[[#This Row],[Bucket]])/1000</f>
        <v/>
      </c>
      <c r="AR447" s="599">
        <f>AJ447-AN447</f>
        <v/>
      </c>
      <c r="AS447" s="118" t="n"/>
    </row>
    <row r="448">
      <c r="A448" s="594" t="n"/>
      <c r="B448" s="5" t="inlineStr">
        <is>
          <t>Hosur</t>
        </is>
      </c>
      <c r="C448" s="601" t="inlineStr">
        <is>
          <t>Rajsriya Unit 8</t>
        </is>
      </c>
      <c r="D448" s="48" t="inlineStr">
        <is>
          <t>Rajsriya Automotive Hosur</t>
        </is>
      </c>
      <c r="E448" s="601" t="inlineStr">
        <is>
          <t>129695|187884|188415|189239|189240</t>
        </is>
      </c>
      <c r="F448" s="601" t="n"/>
      <c r="G448" s="601">
        <f>_xlfn.CONCAT(scheduleapr[[#This Row],[CUSTOMER CODE]],"-",scheduleapr[[#This Row],[MATERIAL NO]])</f>
        <v/>
      </c>
      <c r="H448" s="601" t="n"/>
      <c r="I448" s="601" t="inlineStr">
        <is>
          <t>ERW 1</t>
        </is>
      </c>
      <c r="J448" s="601" t="n"/>
      <c r="K448" s="601" t="inlineStr">
        <is>
          <t>FC</t>
        </is>
      </c>
      <c r="L448" s="601" t="n"/>
      <c r="M448" s="596" t="n"/>
      <c r="N448" s="601" t="n"/>
      <c r="O448" s="601" t="n"/>
      <c r="P448" s="601" t="n"/>
      <c r="Q448" s="557">
        <f>CONCATENATE(scheduleapr[[#This Row],[OD]],"-",scheduleapr[[#This Row],[ID]],"-",scheduleapr[[#This Row],[TICKNESS]],"-",scheduleapr[[#This Row],[Grade]],"-",scheduleapr[[#This Row],[FC/NFC]])</f>
        <v/>
      </c>
      <c r="R448" s="557">
        <f>_xlfn.CONCAT(scheduleapr[[#This Row],[Bucket]],"-",scheduleapr[[#This Row],[LENGTH]]/1000)</f>
        <v/>
      </c>
      <c r="S448" s="601" t="n"/>
      <c r="T448" s="601" t="n"/>
      <c r="U448" s="601">
        <f>_xlfn.IFNA(VLOOKUP(scheduleapr[[#This Row],[Bucket]],salesforecast[[#All],[Bucket2]:[8406 Stock]],19,0),0)</f>
        <v/>
      </c>
      <c r="V448" s="562">
        <f>_xlfn.IFNA(VLOOKUP(scheduleapr[[#This Row],[Bucket]],salesforecast[[#All],[Bucket2]:[8406 Stock]],20,0),0)+_xlfn.IFNA(VLOOKUP(scheduleapr[[#This Row],[Bucket]],salesforecast[[#All],[Bucket2]:[8406 Stock]],17,0),0)</f>
        <v/>
      </c>
      <c r="W448" s="601" t="n"/>
      <c r="X448" s="599" t="n">
        <v>25.4</v>
      </c>
      <c r="Y448" s="599" t="n">
        <v>25.4</v>
      </c>
      <c r="Z448" s="599" t="n">
        <v>0</v>
      </c>
      <c r="AA448" s="599" t="n">
        <v>2</v>
      </c>
      <c r="AB448" s="600" t="n">
        <v>323</v>
      </c>
      <c r="AC448" s="600" t="inlineStr">
        <is>
          <t>NOS</t>
        </is>
      </c>
      <c r="AD448" s="600" t="n"/>
      <c r="AE448" s="600" t="n"/>
      <c r="AF448" s="601" t="n"/>
      <c r="AG448" s="601" t="n"/>
      <c r="AH448" s="601">
        <f t="array" ref="AH4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8" s="602">
        <f>scheduleapr[[#This Row],[SCHEDULE in nos]]-scheduleapr[[#This Row],[DISPATCH]]</f>
        <v/>
      </c>
      <c r="AJ448" s="599">
        <f>(3.14*(scheduleapr[[#This Row],[ACTUAL OD]]-scheduleapr[[#This Row],[TICKNESS]])*scheduleapr[[#This Row],[TICKNESS]]*scheduleapr[[#This Row],[LENGTH]]*7.85)/1000000*scheduleapr[[#This Row],[SCHEDULE in nos]]/1000</f>
        <v/>
      </c>
      <c r="AK448" s="599">
        <f>(3.14*(scheduleapr[[#This Row],[ACTUAL OD]]-scheduleapr[[#This Row],[TICKNESS]])*scheduleapr[[#This Row],[TICKNESS]]*scheduleapr[[#This Row],[LENGTH]]*7.85)/1000000*scheduleapr[[#This Row],[DISPATCH]]/1000</f>
        <v/>
      </c>
      <c r="AL448" s="599">
        <f>AJ448-AK448</f>
        <v/>
      </c>
      <c r="AM448" s="599">
        <f>scheduleapr[[#This Row],[SCHEDULE in nos]]/scheduleapr[[#This Row],[SCHEDULE IN MT]]*scheduleapr[[#This Row],[CTL Stock]]</f>
        <v/>
      </c>
      <c r="AN448" s="599">
        <f>SUMIFS(stock[MT],stock[Bucket],scheduleapr[[#This Row],[Bucket]],stock[CTL Bucket],scheduleapr[[#This Row],[CTL Bucket]],stock[Plant],"0789")</f>
        <v/>
      </c>
      <c r="AO448" s="599" t="n"/>
      <c r="AP448" s="599">
        <f>SUMIFS(stock[MT],stock[Bucket],scheduleapr[[#This Row],[Bucket]],stock[LL or CTL],"LL")</f>
        <v/>
      </c>
      <c r="AQ448" s="599">
        <f>+SUMIFS(wip[Stock(Net Wt)],wip[Bucket],scheduleapr[[#This Row],[Bucket]])/1000</f>
        <v/>
      </c>
      <c r="AR448" s="599">
        <f>AJ448-AN448</f>
        <v/>
      </c>
      <c r="AS448" s="118" t="n"/>
    </row>
    <row r="449">
      <c r="A449" s="594" t="n"/>
      <c r="B449" s="5" t="inlineStr">
        <is>
          <t>Hosur</t>
        </is>
      </c>
      <c r="C449" s="601" t="inlineStr">
        <is>
          <t>Rajsriya Unit 8</t>
        </is>
      </c>
      <c r="D449" s="601" t="inlineStr">
        <is>
          <t>Rajsriya Automotive Hosur</t>
        </is>
      </c>
      <c r="E449" s="601" t="inlineStr">
        <is>
          <t>129695|187884|188415|189239|189240</t>
        </is>
      </c>
      <c r="F449" s="601" t="n"/>
      <c r="G449" s="601">
        <f>_xlfn.CONCAT(scheduleapr[[#This Row],[CUSTOMER CODE]],"-",scheduleapr[[#This Row],[MATERIAL NO]])</f>
        <v/>
      </c>
      <c r="H449" s="601" t="n"/>
      <c r="I449" s="601" t="inlineStr">
        <is>
          <t>ERW 1</t>
        </is>
      </c>
      <c r="J449" s="601" t="n"/>
      <c r="K449" s="601" t="inlineStr">
        <is>
          <t>FC</t>
        </is>
      </c>
      <c r="L449" s="601" t="n"/>
      <c r="M449" s="596" t="n"/>
      <c r="N449" s="601" t="n"/>
      <c r="O449" s="601" t="n"/>
      <c r="P449" s="601" t="n"/>
      <c r="Q449" s="557">
        <f>CONCATENATE(scheduleapr[[#This Row],[OD]],"-",scheduleapr[[#This Row],[ID]],"-",scheduleapr[[#This Row],[TICKNESS]],"-",scheduleapr[[#This Row],[Grade]],"-",scheduleapr[[#This Row],[FC/NFC]])</f>
        <v/>
      </c>
      <c r="R449" s="557">
        <f>_xlfn.CONCAT(scheduleapr[[#This Row],[Bucket]],"-",scheduleapr[[#This Row],[LENGTH]]/1000)</f>
        <v/>
      </c>
      <c r="S449" s="601" t="n"/>
      <c r="T449" s="601" t="n"/>
      <c r="U449" s="601">
        <f>_xlfn.IFNA(VLOOKUP(scheduleapr[[#This Row],[Bucket]],salesforecast[[#All],[Bucket2]:[8406 Stock]],19,0),0)</f>
        <v/>
      </c>
      <c r="V449" s="562">
        <f>_xlfn.IFNA(VLOOKUP(scheduleapr[[#This Row],[Bucket]],salesforecast[[#All],[Bucket2]:[8406 Stock]],20,0),0)+_xlfn.IFNA(VLOOKUP(scheduleapr[[#This Row],[Bucket]],salesforecast[[#All],[Bucket2]:[8406 Stock]],17,0),0)</f>
        <v/>
      </c>
      <c r="W449" s="601" t="n"/>
      <c r="X449" s="599" t="n">
        <v>25.4</v>
      </c>
      <c r="Y449" s="599" t="n">
        <v>25.4</v>
      </c>
      <c r="Z449" s="599" t="n">
        <v>0</v>
      </c>
      <c r="AA449" s="599" t="n">
        <v>2</v>
      </c>
      <c r="AB449" s="600" t="n">
        <v>355</v>
      </c>
      <c r="AC449" s="600" t="inlineStr">
        <is>
          <t>NOS</t>
        </is>
      </c>
      <c r="AD449" s="600" t="n"/>
      <c r="AE449" s="600" t="n"/>
      <c r="AF449" s="601" t="n"/>
      <c r="AG449" s="601" t="n"/>
      <c r="AH449" s="601">
        <f t="array" ref="AH4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49" s="602">
        <f>scheduleapr[[#This Row],[SCHEDULE in nos]]-scheduleapr[[#This Row],[DISPATCH]]</f>
        <v/>
      </c>
      <c r="AJ449" s="599">
        <f>(3.14*(scheduleapr[[#This Row],[ACTUAL OD]]-scheduleapr[[#This Row],[TICKNESS]])*scheduleapr[[#This Row],[TICKNESS]]*scheduleapr[[#This Row],[LENGTH]]*7.85)/1000000*scheduleapr[[#This Row],[SCHEDULE in nos]]/1000</f>
        <v/>
      </c>
      <c r="AK449" s="599">
        <f>(3.14*(scheduleapr[[#This Row],[ACTUAL OD]]-scheduleapr[[#This Row],[TICKNESS]])*scheduleapr[[#This Row],[TICKNESS]]*scheduleapr[[#This Row],[LENGTH]]*7.85)/1000000*scheduleapr[[#This Row],[DISPATCH]]/1000</f>
        <v/>
      </c>
      <c r="AL449" s="599">
        <f>AJ449-AK449</f>
        <v/>
      </c>
      <c r="AM449" s="599">
        <f>scheduleapr[[#This Row],[SCHEDULE in nos]]/scheduleapr[[#This Row],[SCHEDULE IN MT]]*scheduleapr[[#This Row],[CTL Stock]]</f>
        <v/>
      </c>
      <c r="AN449" s="599">
        <f>SUMIFS(stock[MT],stock[Bucket],scheduleapr[[#This Row],[Bucket]],stock[CTL Bucket],scheduleapr[[#This Row],[CTL Bucket]],stock[Plant],"0789")</f>
        <v/>
      </c>
      <c r="AO449" s="599" t="n"/>
      <c r="AP449" s="599">
        <f>SUMIFS(stock[MT],stock[Bucket],scheduleapr[[#This Row],[Bucket]],stock[LL or CTL],"LL")</f>
        <v/>
      </c>
      <c r="AQ449" s="599">
        <f>+SUMIFS(wip[Stock(Net Wt)],wip[Bucket],scheduleapr[[#This Row],[Bucket]])/1000</f>
        <v/>
      </c>
      <c r="AR449" s="599">
        <f>AJ449-AN449</f>
        <v/>
      </c>
      <c r="AS449" s="118" t="n"/>
    </row>
    <row r="450">
      <c r="A450" s="594" t="n">
        <v>423</v>
      </c>
      <c r="B450" s="5" t="inlineStr">
        <is>
          <t>Hosur</t>
        </is>
      </c>
      <c r="C450" s="601" t="inlineStr">
        <is>
          <t>Rajsriya Unit 2</t>
        </is>
      </c>
      <c r="D450" s="601" t="inlineStr">
        <is>
          <t>Rajsriya Automotive Hosur</t>
        </is>
      </c>
      <c r="E450" s="601" t="inlineStr">
        <is>
          <t>129695|187884|188415|189239|189240</t>
        </is>
      </c>
      <c r="F450" s="601" t="inlineStr">
        <is>
          <t>NEW SIZE</t>
        </is>
      </c>
      <c r="G450" s="601">
        <f>_xlfn.CONCAT(scheduleapr[[#This Row],[CUSTOMER CODE]],"-",scheduleapr[[#This Row],[MATERIAL NO]])</f>
        <v/>
      </c>
      <c r="H450" s="601" t="n"/>
      <c r="I450" s="601" t="inlineStr">
        <is>
          <t>ERW 1</t>
        </is>
      </c>
      <c r="J450" s="601" t="n"/>
      <c r="K450" s="601" t="inlineStr">
        <is>
          <t>PE</t>
        </is>
      </c>
      <c r="L450" s="601" t="inlineStr">
        <is>
          <t>HR</t>
        </is>
      </c>
      <c r="M450" s="601" t="n"/>
      <c r="N450" s="601" t="n"/>
      <c r="O450" s="601" t="n"/>
      <c r="P450" s="601" t="n"/>
      <c r="Q450" s="557">
        <f>CONCATENATE(scheduleapr[[#This Row],[OD]],"-",scheduleapr[[#This Row],[ID]],"-",scheduleapr[[#This Row],[TICKNESS]],"-",scheduleapr[[#This Row],[Grade]],"-",scheduleapr[[#This Row],[FC/NFC]])</f>
        <v/>
      </c>
      <c r="R450" s="557">
        <f>_xlfn.CONCAT(scheduleapr[[#This Row],[Bucket]],"-",scheduleapr[[#This Row],[LENGTH]]/1000)</f>
        <v/>
      </c>
      <c r="S450" s="557">
        <f>COUNTIF(scheduleapr[CTL Bucket],scheduleapr[[#This Row],[CTL Bucket]])</f>
        <v/>
      </c>
      <c r="T450" s="601" t="inlineStr">
        <is>
          <t>Hosur</t>
        </is>
      </c>
      <c r="U450" s="601">
        <f>_xlfn.IFNA(VLOOKUP(scheduleapr[[#This Row],[Bucket]],salesforecast[[#All],[Bucket2]:[8406 Stock]],19,0),0)</f>
        <v/>
      </c>
      <c r="V450" s="562">
        <f>_xlfn.IFNA(VLOOKUP(scheduleapr[[#This Row],[Bucket]],salesforecast[[#All],[Bucket2]:[8406 Stock]],20,0),0)+_xlfn.IFNA(VLOOKUP(scheduleapr[[#This Row],[Bucket]],salesforecast[[#All],[Bucket2]:[8406 Stock]],17,0),0)</f>
        <v/>
      </c>
      <c r="W450" s="557" t="n"/>
      <c r="X450" s="599" t="n">
        <v>25.4</v>
      </c>
      <c r="Y450" s="599" t="n">
        <v>25.4</v>
      </c>
      <c r="Z450" s="599" t="n">
        <v>0</v>
      </c>
      <c r="AA450" s="599" t="n">
        <v>2</v>
      </c>
      <c r="AB450" s="600" t="n">
        <v>567</v>
      </c>
      <c r="AC450" s="600" t="inlineStr">
        <is>
          <t>NOS</t>
        </is>
      </c>
      <c r="AD450" s="600" t="n"/>
      <c r="AE450" s="600" t="n"/>
      <c r="AF450" s="601" t="n">
        <v>5000</v>
      </c>
      <c r="AG450" s="601" t="inlineStr">
        <is>
          <t>Aug 2026 schedule · rajsriya PLANT2</t>
        </is>
      </c>
      <c r="AH450" s="601">
        <f t="array" ref="AH4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0" s="602">
        <f>scheduleapr[[#This Row],[SCHEDULE in nos]]-scheduleapr[[#This Row],[DISPATCH]]</f>
        <v/>
      </c>
      <c r="AJ450" s="599">
        <f>(3.14*(scheduleapr[[#This Row],[ACTUAL OD]]-scheduleapr[[#This Row],[TICKNESS]])*scheduleapr[[#This Row],[TICKNESS]]*scheduleapr[[#This Row],[LENGTH]]*7.85)/1000000*scheduleapr[[#This Row],[SCHEDULE in nos]]/1000</f>
        <v/>
      </c>
      <c r="AK450" s="599">
        <f>(3.14*(scheduleapr[[#This Row],[ACTUAL OD]]-scheduleapr[[#This Row],[TICKNESS]])*scheduleapr[[#This Row],[TICKNESS]]*scheduleapr[[#This Row],[LENGTH]]*7.85)/1000000*scheduleapr[[#This Row],[DISPATCH]]/1000</f>
        <v/>
      </c>
      <c r="AL450" s="599">
        <f>AJ450-AK450</f>
        <v/>
      </c>
      <c r="AM450" s="599">
        <f>scheduleapr[[#This Row],[SCHEDULE in nos]]/scheduleapr[[#This Row],[SCHEDULE IN MT]]*scheduleapr[[#This Row],[CTL Stock]]</f>
        <v/>
      </c>
      <c r="AN450" s="599">
        <f>SUMIFS(stock[MT],stock[Bucket],scheduleapr[[#This Row],[Bucket]],stock[CTL Bucket],scheduleapr[[#This Row],[CTL Bucket]],stock[Plant],"0789")</f>
        <v/>
      </c>
      <c r="AO450" s="599" t="n"/>
      <c r="AP450" s="599">
        <f>SUMIFS(stock[MT],stock[Bucket],scheduleapr[[#This Row],[Bucket]],stock[LL or CTL],"LL")</f>
        <v/>
      </c>
      <c r="AQ450" s="599">
        <f>+SUMIFS(wip[Stock(Net Wt)],wip[Bucket],scheduleapr[[#This Row],[Bucket]])/1000</f>
        <v/>
      </c>
      <c r="AR450" s="599">
        <f>AJ450-AN450</f>
        <v/>
      </c>
      <c r="AS450" s="118" t="n"/>
    </row>
    <row r="451">
      <c r="A451" s="594" t="n">
        <v>454</v>
      </c>
      <c r="B451" s="5" t="inlineStr">
        <is>
          <t>Hosur</t>
        </is>
      </c>
      <c r="C451" s="601" t="inlineStr">
        <is>
          <t>Rajsriya Automotive</t>
        </is>
      </c>
      <c r="D451" s="601" t="inlineStr">
        <is>
          <t>Rajsriya Automotive Hosur</t>
        </is>
      </c>
      <c r="E451" s="601" t="inlineStr">
        <is>
          <t>129695|187884|188415|189239|189240</t>
        </is>
      </c>
      <c r="F451" s="601" t="inlineStr">
        <is>
          <t>NEW SIZE</t>
        </is>
      </c>
      <c r="G451" s="601">
        <f>_xlfn.CONCAT(scheduleapr[[#This Row],[CUSTOMER CODE]],"-",scheduleapr[[#This Row],[MATERIAL NO]])</f>
        <v/>
      </c>
      <c r="H451" s="601" t="n"/>
      <c r="I451" s="601" t="inlineStr">
        <is>
          <t>ERW 1</t>
        </is>
      </c>
      <c r="J451" s="601" t="n"/>
      <c r="K451" s="601" t="inlineStr">
        <is>
          <t>FC</t>
        </is>
      </c>
      <c r="L451" s="601" t="inlineStr">
        <is>
          <t>HR</t>
        </is>
      </c>
      <c r="M451" s="601" t="n"/>
      <c r="N451" s="601" t="n"/>
      <c r="O451" s="601" t="n"/>
      <c r="P451" s="601" t="n"/>
      <c r="Q451" s="557">
        <f>CONCATENATE(scheduleapr[[#This Row],[OD]],"-",scheduleapr[[#This Row],[ID]],"-",scheduleapr[[#This Row],[TICKNESS]],"-",scheduleapr[[#This Row],[Grade]],"-",scheduleapr[[#This Row],[FC/NFC]])</f>
        <v/>
      </c>
      <c r="R451" s="557">
        <f>_xlfn.CONCAT(scheduleapr[[#This Row],[Bucket]],"-",scheduleapr[[#This Row],[LENGTH]]/1000)</f>
        <v/>
      </c>
      <c r="S451" s="557">
        <f>COUNTIF([2]!buckets[CTL Bucket],[2]!scheduleapr[[#This Row],[CTL Bucket]])</f>
        <v/>
      </c>
      <c r="T451" s="601" t="inlineStr">
        <is>
          <t>Hosur</t>
        </is>
      </c>
      <c r="U451" s="601" t="inlineStr">
        <is>
          <t>Plan</t>
        </is>
      </c>
      <c r="V451" s="557" t="n"/>
      <c r="W451" s="557" t="n"/>
      <c r="X451" s="599" t="n">
        <v>25.4</v>
      </c>
      <c r="Y451" s="599" t="n">
        <v>25.4</v>
      </c>
      <c r="Z451" s="599" t="n">
        <v>0</v>
      </c>
      <c r="AA451" s="599" t="n">
        <v>2</v>
      </c>
      <c r="AB451" s="600" t="n">
        <v>660</v>
      </c>
      <c r="AC451" s="600" t="inlineStr">
        <is>
          <t>NOS</t>
        </is>
      </c>
      <c r="AD451" s="600" t="n"/>
      <c r="AE451" s="600" t="n"/>
      <c r="AF451" s="601" t="n"/>
      <c r="AG451" s="601" t="n"/>
      <c r="AH451" s="601">
        <f t="array" ref="AH4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1" s="602">
        <f>scheduleapr[[#This Row],[SCHEDULE in nos]]-scheduleapr[[#This Row],[DISPATCH]]</f>
        <v/>
      </c>
      <c r="AJ451" s="599">
        <f>(3.14*(scheduleapr[[#This Row],[ACTUAL OD]]-scheduleapr[[#This Row],[TICKNESS]])*scheduleapr[[#This Row],[TICKNESS]]*scheduleapr[[#This Row],[LENGTH]]*7.85)/1000000*scheduleapr[[#This Row],[SCHEDULE in nos]]/1000</f>
        <v/>
      </c>
      <c r="AK451" s="599">
        <f>(3.14*(scheduleapr[[#This Row],[ACTUAL OD]]-scheduleapr[[#This Row],[TICKNESS]])*scheduleapr[[#This Row],[TICKNESS]]*scheduleapr[[#This Row],[LENGTH]]*7.85)/1000000*scheduleapr[[#This Row],[DISPATCH]]/1000</f>
        <v/>
      </c>
      <c r="AL451" s="599">
        <f>AJ451-AK451</f>
        <v/>
      </c>
      <c r="AM451" s="599">
        <f>scheduleapr[[#This Row],[SCHEDULE in nos]]/scheduleapr[[#This Row],[SCHEDULE IN MT]]*scheduleapr[[#This Row],[CTL Stock]]</f>
        <v/>
      </c>
      <c r="AN451" s="599">
        <f>SUMIFS(stock[MT],stock[Bucket],scheduleapr[[#This Row],[Bucket]],stock[CTL Bucket],scheduleapr[[#This Row],[CTL Bucket]],stock[Plant],"0789")</f>
        <v/>
      </c>
      <c r="AO451" s="599" t="n"/>
      <c r="AP451" s="599">
        <f>SUMIFS(stock[MT],stock[Bucket],scheduleapr[[#This Row],[Bucket]],stock[LL or CTL],"LL")</f>
        <v/>
      </c>
      <c r="AQ451" s="599">
        <f>+SUMIFS(wip[Stock(Net Wt)],wip[Bucket],scheduleapr[[#This Row],[Bucket]])/1000</f>
        <v/>
      </c>
      <c r="AR451" s="599">
        <f>AJ451-AN451</f>
        <v/>
      </c>
      <c r="AS451" s="118" t="n"/>
    </row>
    <row r="452">
      <c r="A452" s="594" t="n">
        <v>329</v>
      </c>
      <c r="B452" s="5" t="inlineStr">
        <is>
          <t>Hosur</t>
        </is>
      </c>
      <c r="C452" s="601" t="inlineStr">
        <is>
          <t>Rajsriya Automotive</t>
        </is>
      </c>
      <c r="D452" s="601" t="inlineStr">
        <is>
          <t>Rajsriya Automotive Hosur</t>
        </is>
      </c>
      <c r="E452" s="601" t="inlineStr">
        <is>
          <t>129695|187884|188415|189239|189240</t>
        </is>
      </c>
      <c r="F452" s="601" t="n">
        <v>1140302</v>
      </c>
      <c r="G452" s="601">
        <f>_xlfn.CONCAT(scheduleapr[[#This Row],[CUSTOMER CODE]],"-",scheduleapr[[#This Row],[MATERIAL NO]])</f>
        <v/>
      </c>
      <c r="H452" s="601" t="inlineStr">
        <is>
          <t>PT2-O-N-AUT-AW-PE-25.40X2.600X0.360</t>
        </is>
      </c>
      <c r="I452" s="601" t="inlineStr">
        <is>
          <t>ERW 1</t>
        </is>
      </c>
      <c r="J452" s="601" t="n"/>
      <c r="K452" s="601" t="n"/>
      <c r="L452" s="601" t="inlineStr">
        <is>
          <t>HR</t>
        </is>
      </c>
      <c r="M452" s="601" t="n"/>
      <c r="N452" s="601" t="n"/>
      <c r="O452" s="601" t="n"/>
      <c r="P452" s="601" t="n"/>
      <c r="Q452" s="557">
        <f>CONCATENATE(scheduleapr[[#This Row],[OD]],"-",scheduleapr[[#This Row],[ID]],"-",scheduleapr[[#This Row],[TICKNESS]],"-",scheduleapr[[#This Row],[Grade]],"-",scheduleapr[[#This Row],[FC/NFC]])</f>
        <v/>
      </c>
      <c r="R452" s="557">
        <f>_xlfn.CONCAT(scheduleapr[[#This Row],[Bucket]],"-",scheduleapr[[#This Row],[LENGTH]]/1000)</f>
        <v/>
      </c>
      <c r="S452" s="557">
        <f>COUNTIF([2]!buckets[CTL Bucket],[2]!scheduleapr[[#This Row],[CTL Bucket]])</f>
        <v/>
      </c>
      <c r="T452" s="557" t="n"/>
      <c r="U452" s="557" t="n"/>
      <c r="V452" s="557" t="n"/>
      <c r="W452" s="557" t="n"/>
      <c r="X452" s="599" t="n">
        <v>25.4</v>
      </c>
      <c r="Y452" s="599" t="n">
        <v>25.4</v>
      </c>
      <c r="Z452" s="599" t="n">
        <v>0</v>
      </c>
      <c r="AA452" s="599" t="n">
        <v>2.6</v>
      </c>
      <c r="AB452" s="600" t="n">
        <v>360</v>
      </c>
      <c r="AC452" s="600" t="n"/>
      <c r="AD452" s="600" t="n"/>
      <c r="AE452" s="600" t="n"/>
      <c r="AF452" s="601" t="n"/>
      <c r="AG452" s="601" t="n"/>
      <c r="AH452" s="601">
        <f t="array" ref="AH4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2" s="602">
        <f>scheduleapr[[#This Row],[SCHEDULE in nos]]-scheduleapr[[#This Row],[DISPATCH]]</f>
        <v/>
      </c>
      <c r="AJ452" s="599">
        <f>(3.14*(scheduleapr[[#This Row],[ACTUAL OD]]-scheduleapr[[#This Row],[TICKNESS]])*scheduleapr[[#This Row],[TICKNESS]]*scheduleapr[[#This Row],[LENGTH]]*7.85)/1000000*scheduleapr[[#This Row],[SCHEDULE in nos]]/1000</f>
        <v/>
      </c>
      <c r="AK452" s="599">
        <f>(3.14*(scheduleapr[[#This Row],[ACTUAL OD]]-scheduleapr[[#This Row],[TICKNESS]])*scheduleapr[[#This Row],[TICKNESS]]*scheduleapr[[#This Row],[LENGTH]]*7.85)/1000000*scheduleapr[[#This Row],[DISPATCH]]/1000</f>
        <v/>
      </c>
      <c r="AL452" s="599">
        <f>AJ452-AK452</f>
        <v/>
      </c>
      <c r="AM452" s="599">
        <f>scheduleapr[[#This Row],[SCHEDULE in nos]]/scheduleapr[[#This Row],[SCHEDULE IN MT]]*scheduleapr[[#This Row],[CTL Stock]]</f>
        <v/>
      </c>
      <c r="AN452" s="599">
        <f>SUMIFS(stock[MT],stock[Bucket],scheduleapr[[#This Row],[Bucket]],stock[CTL Bucket],scheduleapr[[#This Row],[CTL Bucket]],stock[Plant],"0789")</f>
        <v/>
      </c>
      <c r="AO452" s="599" t="n"/>
      <c r="AP452" s="599">
        <f>SUMIFS(stock[MT],stock[Bucket],scheduleapr[[#This Row],[Bucket]],stock[LL or CTL],"LL")</f>
        <v/>
      </c>
      <c r="AQ452" s="599">
        <f>+SUMIFS(wip[Stock(Net Wt)],wip[Bucket],scheduleapr[[#This Row],[Bucket]])/1000</f>
        <v/>
      </c>
      <c r="AR452" s="599">
        <f>AJ452-AN452</f>
        <v/>
      </c>
      <c r="AS452" s="118" t="n"/>
    </row>
    <row r="453">
      <c r="A453" s="594" t="n">
        <v>401</v>
      </c>
      <c r="B453" s="5" t="inlineStr">
        <is>
          <t>Hosur</t>
        </is>
      </c>
      <c r="C453" s="601" t="inlineStr">
        <is>
          <t>Rajsriya Unit 4</t>
        </is>
      </c>
      <c r="D453" s="601" t="inlineStr">
        <is>
          <t>Rajsriya Automotive Hosur</t>
        </is>
      </c>
      <c r="E453" s="601" t="inlineStr">
        <is>
          <t>129695|187884|188415|189239|189240</t>
        </is>
      </c>
      <c r="F453" s="601" t="n"/>
      <c r="G453" s="601">
        <f>_xlfn.CONCAT(scheduleapr[[#This Row],[CUSTOMER CODE]],"-",scheduleapr[[#This Row],[MATERIAL NO]])</f>
        <v/>
      </c>
      <c r="H453" s="601" t="n"/>
      <c r="I453" s="601" t="inlineStr">
        <is>
          <t>ERW 1</t>
        </is>
      </c>
      <c r="J453" s="601" t="n"/>
      <c r="K453" s="601" t="inlineStr">
        <is>
          <t>FC</t>
        </is>
      </c>
      <c r="L453" s="601" t="inlineStr">
        <is>
          <t>CR</t>
        </is>
      </c>
      <c r="M453" s="601" t="n"/>
      <c r="N453" s="601" t="n"/>
      <c r="O453" s="601" t="n"/>
      <c r="P453" s="601" t="n"/>
      <c r="Q453" s="557">
        <f>CONCATENATE(scheduleapr[[#This Row],[OD]],"-",scheduleapr[[#This Row],[ID]],"-",scheduleapr[[#This Row],[TICKNESS]],"-",scheduleapr[[#This Row],[Grade]],"-",scheduleapr[[#This Row],[FC/NFC]])</f>
        <v/>
      </c>
      <c r="R453" s="557">
        <f>_xlfn.CONCAT(scheduleapr[[#This Row],[Bucket]],"-",scheduleapr[[#This Row],[LENGTH]]/1000)</f>
        <v/>
      </c>
      <c r="S453" s="557">
        <f>COUNTIF(scheduleapr[CTL Bucket],scheduleapr[[#This Row],[CTL Bucket]])</f>
        <v/>
      </c>
      <c r="T453" s="557" t="n"/>
      <c r="U453" s="601">
        <f>_xlfn.IFNA(VLOOKUP(scheduleapr[[#This Row],[Bucket]],salesforecast[[#All],[Bucket2]:[8406 Stock]],19,0),0)</f>
        <v/>
      </c>
      <c r="V453" s="562">
        <f>_xlfn.IFNA(VLOOKUP(scheduleapr[[#This Row],[Bucket]],salesforecast[[#All],[Bucket2]:[8406 Stock]],20,0),0)+_xlfn.IFNA(VLOOKUP(scheduleapr[[#This Row],[Bucket]],salesforecast[[#All],[Bucket2]:[8406 Stock]],17,0),0)</f>
        <v/>
      </c>
      <c r="W453" s="557" t="n"/>
      <c r="X453" s="599" t="n">
        <v>31.75</v>
      </c>
      <c r="Y453" s="599" t="n">
        <v>31.75</v>
      </c>
      <c r="Z453" s="599" t="n">
        <v>0</v>
      </c>
      <c r="AA453" s="599" t="n">
        <v>1.2</v>
      </c>
      <c r="AB453" s="600" t="n">
        <v>598</v>
      </c>
      <c r="AC453" s="600" t="inlineStr">
        <is>
          <t>NOS</t>
        </is>
      </c>
      <c r="AD453" s="600" t="n"/>
      <c r="AE453" s="600" t="n"/>
      <c r="AF453" s="601" t="n">
        <v>5000</v>
      </c>
      <c r="AG453" s="601" t="inlineStr">
        <is>
          <t>Aug 2026 schedule · rajsriya PLANT4</t>
        </is>
      </c>
      <c r="AH453" s="601">
        <f t="array" ref="AH4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3" s="602">
        <f>scheduleapr[[#This Row],[SCHEDULE in nos]]-scheduleapr[[#This Row],[DISPATCH]]</f>
        <v/>
      </c>
      <c r="AJ453" s="599">
        <f>(3.14*(scheduleapr[[#This Row],[ACTUAL OD]]-scheduleapr[[#This Row],[TICKNESS]])*scheduleapr[[#This Row],[TICKNESS]]*scheduleapr[[#This Row],[LENGTH]]*7.85)/1000000*scheduleapr[[#This Row],[SCHEDULE in nos]]/1000</f>
        <v/>
      </c>
      <c r="AK453" s="599">
        <f>(3.14*(scheduleapr[[#This Row],[ACTUAL OD]]-scheduleapr[[#This Row],[TICKNESS]])*scheduleapr[[#This Row],[TICKNESS]]*scheduleapr[[#This Row],[LENGTH]]*7.85)/1000000*scheduleapr[[#This Row],[DISPATCH]]/1000</f>
        <v/>
      </c>
      <c r="AL453" s="599">
        <f>AJ453-AK453</f>
        <v/>
      </c>
      <c r="AM453" s="599">
        <f>scheduleapr[[#This Row],[SCHEDULE in nos]]/scheduleapr[[#This Row],[SCHEDULE IN MT]]*scheduleapr[[#This Row],[CTL Stock]]</f>
        <v/>
      </c>
      <c r="AN453" s="599">
        <f>SUMIFS(stock[MT],stock[Bucket],scheduleapr[[#This Row],[Bucket]],stock[CTL Bucket],scheduleapr[[#This Row],[CTL Bucket]],stock[Plant],"0789")</f>
        <v/>
      </c>
      <c r="AO453" s="599" t="n"/>
      <c r="AP453" s="599">
        <f>SUMIFS(stock[MT],stock[Bucket],scheduleapr[[#This Row],[Bucket]],stock[LL or CTL],"LL")</f>
        <v/>
      </c>
      <c r="AQ453" s="599">
        <f>+SUMIFS(wip[Stock(Net Wt)],wip[Bucket],scheduleapr[[#This Row],[Bucket]])/1000</f>
        <v/>
      </c>
      <c r="AR453" s="599">
        <f>AJ453-AN453</f>
        <v/>
      </c>
      <c r="AS453" s="118" t="n"/>
    </row>
    <row r="454">
      <c r="A454" s="594" t="n">
        <v>463</v>
      </c>
      <c r="B454" s="5" t="inlineStr">
        <is>
          <t>Hosur</t>
        </is>
      </c>
      <c r="C454" s="601" t="inlineStr">
        <is>
          <t>Rajsriya Unit 2</t>
        </is>
      </c>
      <c r="D454" s="601" t="inlineStr">
        <is>
          <t>Rajsriya Automotive Hosur</t>
        </is>
      </c>
      <c r="E454" s="601" t="inlineStr">
        <is>
          <t>129695|187884|188415|189239|189240</t>
        </is>
      </c>
      <c r="F454" s="601" t="n">
        <v>3171772</v>
      </c>
      <c r="G454" s="601">
        <f>_xlfn.CONCAT(scheduleapr[[#This Row],[CUSTOMER CODE]],"-",scheduleapr[[#This Row],[MATERIAL NO]])</f>
        <v/>
      </c>
      <c r="H454" s="601" t="inlineStr">
        <is>
          <t>TUB-O-N-AUT-AW-PE-31.75X1.200X6.0000</t>
        </is>
      </c>
      <c r="I454" s="601" t="inlineStr">
        <is>
          <t>ERW 1</t>
        </is>
      </c>
      <c r="J454" s="601" t="n"/>
      <c r="K454" s="601" t="inlineStr">
        <is>
          <t>FC</t>
        </is>
      </c>
      <c r="L454" s="601" t="inlineStr">
        <is>
          <t>CR</t>
        </is>
      </c>
      <c r="M454" s="601" t="n"/>
      <c r="N454" s="601" t="n"/>
      <c r="O454" s="601" t="n"/>
      <c r="P454" s="601" t="n"/>
      <c r="Q454" s="557">
        <f>CONCATENATE(scheduleapr[[#This Row],[OD]],"-",scheduleapr[[#This Row],[ID]],"-",scheduleapr[[#This Row],[TICKNESS]],"-",scheduleapr[[#This Row],[Grade]],"-",scheduleapr[[#This Row],[FC/NFC]])</f>
        <v/>
      </c>
      <c r="R454" s="557">
        <f>_xlfn.CONCAT(scheduleapr[[#This Row],[Bucket]],"-",scheduleapr[[#This Row],[LENGTH]]/1000)</f>
        <v/>
      </c>
      <c r="S454" s="557">
        <f>COUNTIF([2]!buckets[CTL Bucket],[2]!scheduleapr[[#This Row],[CTL Bucket]])</f>
        <v/>
      </c>
      <c r="T454" s="557" t="n"/>
      <c r="U454" s="601">
        <f>_xlfn.IFNA(VLOOKUP(scheduleapr[[#This Row],[Bucket]],salesforecast[[#All],[Bucket2]:[8406 Stock]],19,0),0)</f>
        <v/>
      </c>
      <c r="V454" s="562">
        <f>_xlfn.IFNA(VLOOKUP(scheduleapr[[#This Row],[Bucket]],salesforecast[[#All],[Bucket2]:[8406 Stock]],20,0),0)+_xlfn.IFNA(VLOOKUP(scheduleapr[[#This Row],[Bucket]],salesforecast[[#All],[Bucket2]:[8406 Stock]],17,0),0)</f>
        <v/>
      </c>
      <c r="W454" s="557" t="n"/>
      <c r="X454" s="599" t="n">
        <v>31.75</v>
      </c>
      <c r="Y454" s="599" t="n">
        <v>31.75</v>
      </c>
      <c r="Z454" s="599" t="n">
        <v>0</v>
      </c>
      <c r="AA454" s="599" t="n">
        <v>1.2</v>
      </c>
      <c r="AB454" s="600" t="n">
        <v>1000</v>
      </c>
      <c r="AC454" s="600" t="inlineStr">
        <is>
          <t>M</t>
        </is>
      </c>
      <c r="AD454" s="600" t="n"/>
      <c r="AE454" s="600" t="n"/>
      <c r="AF454" s="601" t="n"/>
      <c r="AG454" s="601" t="n"/>
      <c r="AH454" s="601">
        <f t="array" ref="AH4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4" s="602">
        <f>scheduleapr[[#This Row],[SCHEDULE in nos]]-scheduleapr[[#This Row],[DISPATCH]]</f>
        <v/>
      </c>
      <c r="AJ454" s="599">
        <f>(3.14*(scheduleapr[[#This Row],[ACTUAL OD]]-scheduleapr[[#This Row],[TICKNESS]])*scheduleapr[[#This Row],[TICKNESS]]*scheduleapr[[#This Row],[LENGTH]]*7.85)/1000000*scheduleapr[[#This Row],[SCHEDULE in nos]]/1000</f>
        <v/>
      </c>
      <c r="AK454" s="599">
        <f>(3.14*(scheduleapr[[#This Row],[ACTUAL OD]]-scheduleapr[[#This Row],[TICKNESS]])*scheduleapr[[#This Row],[TICKNESS]]*scheduleapr[[#This Row],[LENGTH]]*7.85)/1000000*scheduleapr[[#This Row],[DISPATCH]]/1000</f>
        <v/>
      </c>
      <c r="AL454" s="599">
        <f>AJ454-AK454</f>
        <v/>
      </c>
      <c r="AM454" s="599">
        <f>scheduleapr[[#This Row],[SCHEDULE in nos]]/scheduleapr[[#This Row],[SCHEDULE IN MT]]*scheduleapr[[#This Row],[CTL Stock]]</f>
        <v/>
      </c>
      <c r="AN454" s="599">
        <f>SUMIFS(stock[MT],stock[Bucket],scheduleapr[[#This Row],[Bucket]],stock[CTL Bucket],scheduleapr[[#This Row],[CTL Bucket]],stock[Plant],"0789")</f>
        <v/>
      </c>
      <c r="AO454" s="599" t="n"/>
      <c r="AP454" s="599">
        <f>SUMIFS(stock[MT],stock[Bucket],scheduleapr[[#This Row],[Bucket]],stock[LL or CTL],"LL")</f>
        <v/>
      </c>
      <c r="AQ454" s="599">
        <f>+SUMIFS(wip[Stock(Net Wt)],wip[Bucket],scheduleapr[[#This Row],[Bucket]])/1000</f>
        <v/>
      </c>
      <c r="AR454" s="599">
        <f>AJ454-AN454</f>
        <v/>
      </c>
      <c r="AS454" s="118" t="n"/>
    </row>
    <row r="455">
      <c r="A455" s="594" t="n">
        <v>466</v>
      </c>
      <c r="B455" s="5" t="inlineStr">
        <is>
          <t>Hosur</t>
        </is>
      </c>
      <c r="C455" s="601" t="inlineStr">
        <is>
          <t>Rajsriya Unit 5</t>
        </is>
      </c>
      <c r="D455" s="601" t="inlineStr">
        <is>
          <t>Rajsriya Automotive Hosur</t>
        </is>
      </c>
      <c r="E455" s="601" t="inlineStr">
        <is>
          <t>129695|187884|188415|189239|189240</t>
        </is>
      </c>
      <c r="F455" s="601" t="n">
        <v>1940686</v>
      </c>
      <c r="G455" s="601">
        <f>_xlfn.CONCAT(scheduleapr[[#This Row],[CUSTOMER CODE]],"-",scheduleapr[[#This Row],[MATERIAL NO]])</f>
        <v/>
      </c>
      <c r="H455" s="601" t="inlineStr">
        <is>
          <t>TUB-O-O-AUT-AW-FC-31.75X2.500X6.0000</t>
        </is>
      </c>
      <c r="I455" s="601" t="inlineStr">
        <is>
          <t>ERW 1</t>
        </is>
      </c>
      <c r="J455" s="601" t="n"/>
      <c r="K455" s="601" t="inlineStr">
        <is>
          <t>FC</t>
        </is>
      </c>
      <c r="L455" s="601" t="inlineStr">
        <is>
          <t>HR</t>
        </is>
      </c>
      <c r="M455" s="601" t="n"/>
      <c r="N455" s="601" t="n"/>
      <c r="O455" s="601" t="n"/>
      <c r="P455" s="601" t="n"/>
      <c r="Q455" s="557">
        <f>CONCATENATE(scheduleapr[[#This Row],[OD]],"-",scheduleapr[[#This Row],[ID]],"-",scheduleapr[[#This Row],[TICKNESS]],"-",scheduleapr[[#This Row],[Grade]],"-",scheduleapr[[#This Row],[FC/NFC]])</f>
        <v/>
      </c>
      <c r="R455" s="557">
        <f>_xlfn.CONCAT(scheduleapr[[#This Row],[Bucket]],"-",scheduleapr[[#This Row],[LENGTH]]/1000)</f>
        <v/>
      </c>
      <c r="S455" s="557">
        <f>COUNTIF(scheduleapr[CTL Bucket],scheduleapr[[#This Row],[CTL Bucket]])</f>
        <v/>
      </c>
      <c r="T455" s="601" t="inlineStr">
        <is>
          <t>Hosur</t>
        </is>
      </c>
      <c r="U455" s="601">
        <f>_xlfn.IFNA(VLOOKUP(scheduleapr[[#This Row],[Bucket]],salesforecast[[#All],[Bucket2]:[8406 Stock]],19,0),0)</f>
        <v/>
      </c>
      <c r="V455" s="562">
        <f>_xlfn.IFNA(VLOOKUP(scheduleapr[[#This Row],[Bucket]],salesforecast[[#All],[Bucket2]:[8406 Stock]],20,0),0)+_xlfn.IFNA(VLOOKUP(scheduleapr[[#This Row],[Bucket]],salesforecast[[#All],[Bucket2]:[8406 Stock]],17,0),0)</f>
        <v/>
      </c>
      <c r="W455" s="557" t="n"/>
      <c r="X455" s="599" t="n">
        <v>31.75</v>
      </c>
      <c r="Y455" s="599" t="n">
        <v>31.75</v>
      </c>
      <c r="Z455" s="599" t="n">
        <v>0</v>
      </c>
      <c r="AA455" s="599" t="n">
        <v>2.5</v>
      </c>
      <c r="AB455" s="600" t="n">
        <v>1000</v>
      </c>
      <c r="AC455" s="600" t="inlineStr">
        <is>
          <t>M</t>
        </is>
      </c>
      <c r="AD455" s="600" t="n"/>
      <c r="AE455" s="600" t="n"/>
      <c r="AF455" s="601" t="n">
        <v>5000</v>
      </c>
      <c r="AG455" s="601" t="inlineStr">
        <is>
          <t>Aug 2026 schedule · rajsriya PLANT5</t>
        </is>
      </c>
      <c r="AH455" s="601">
        <f t="array" ref="AH4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5" s="602">
        <f>scheduleapr[[#This Row],[SCHEDULE in nos]]-scheduleapr[[#This Row],[DISPATCH]]</f>
        <v/>
      </c>
      <c r="AJ455" s="599">
        <f>(3.14*(scheduleapr[[#This Row],[ACTUAL OD]]-scheduleapr[[#This Row],[TICKNESS]])*scheduleapr[[#This Row],[TICKNESS]]*scheduleapr[[#This Row],[LENGTH]]*7.85)/1000000*scheduleapr[[#This Row],[SCHEDULE in nos]]/1000</f>
        <v/>
      </c>
      <c r="AK455" s="599">
        <f>(3.14*(scheduleapr[[#This Row],[ACTUAL OD]]-scheduleapr[[#This Row],[TICKNESS]])*scheduleapr[[#This Row],[TICKNESS]]*scheduleapr[[#This Row],[LENGTH]]*7.85)/1000000*scheduleapr[[#This Row],[DISPATCH]]/1000</f>
        <v/>
      </c>
      <c r="AL455" s="599">
        <f>AJ455-AK455</f>
        <v/>
      </c>
      <c r="AM455" s="599">
        <f>scheduleapr[[#This Row],[SCHEDULE in nos]]/scheduleapr[[#This Row],[SCHEDULE IN MT]]*scheduleapr[[#This Row],[CTL Stock]]</f>
        <v/>
      </c>
      <c r="AN455" s="599">
        <f>SUMIFS(stock[MT],stock[Bucket],scheduleapr[[#This Row],[Bucket]],stock[CTL Bucket],scheduleapr[[#This Row],[CTL Bucket]],stock[Plant],"0789")</f>
        <v/>
      </c>
      <c r="AO455" s="599" t="n"/>
      <c r="AP455" s="599">
        <f>SUMIFS(stock[MT],stock[Bucket],scheduleapr[[#This Row],[Bucket]],stock[LL or CTL],"LL")</f>
        <v/>
      </c>
      <c r="AQ455" s="599">
        <f>+SUMIFS(wip[Stock(Net Wt)],wip[Bucket],scheduleapr[[#This Row],[Bucket]])/1000</f>
        <v/>
      </c>
      <c r="AR455" s="599">
        <f>AJ455-AN455</f>
        <v/>
      </c>
      <c r="AS455" s="118" t="n"/>
    </row>
    <row r="456">
      <c r="A456" s="594" t="n">
        <v>334</v>
      </c>
      <c r="B456" s="5" t="inlineStr">
        <is>
          <t>Hosur</t>
        </is>
      </c>
      <c r="C456" s="601" t="inlineStr">
        <is>
          <t>Rajsriya Automotive</t>
        </is>
      </c>
      <c r="D456" s="601" t="inlineStr">
        <is>
          <t>Rajsriya Automotive Hosur</t>
        </is>
      </c>
      <c r="E456" s="601" t="inlineStr">
        <is>
          <t>129695|187884|188415|189239|189240</t>
        </is>
      </c>
      <c r="F456" s="601" t="n">
        <v>1940745</v>
      </c>
      <c r="G456" s="601">
        <f>_xlfn.CONCAT(scheduleapr[[#This Row],[CUSTOMER CODE]],"-",scheduleapr[[#This Row],[MATERIAL NO]])</f>
        <v/>
      </c>
      <c r="H456" s="601" t="inlineStr">
        <is>
          <t>TUB-O-O-AUT-AW-FC-38.10X2.000X0.9270</t>
        </is>
      </c>
      <c r="I456" s="601" t="inlineStr">
        <is>
          <t>ERW 1</t>
        </is>
      </c>
      <c r="J456" s="601" t="n"/>
      <c r="K456" s="601" t="n"/>
      <c r="L456" s="601" t="inlineStr">
        <is>
          <t>HR</t>
        </is>
      </c>
      <c r="M456" s="601" t="n"/>
      <c r="N456" s="601" t="n"/>
      <c r="O456" s="601" t="n"/>
      <c r="P456" s="601" t="n"/>
      <c r="Q456" s="557">
        <f>CONCATENATE(scheduleapr[[#This Row],[OD]],"-",scheduleapr[[#This Row],[ID]],"-",scheduleapr[[#This Row],[TICKNESS]],"-",scheduleapr[[#This Row],[Grade]],"-",scheduleapr[[#This Row],[FC/NFC]])</f>
        <v/>
      </c>
      <c r="R456" s="557">
        <f>_xlfn.CONCAT(scheduleapr[[#This Row],[Bucket]],"-",scheduleapr[[#This Row],[LENGTH]]/1000)</f>
        <v/>
      </c>
      <c r="S456" s="557">
        <f>COUNTIF([2]!buckets[CTL Bucket],[2]!scheduleapr[[#This Row],[CTL Bucket]])</f>
        <v/>
      </c>
      <c r="T456" s="557" t="n"/>
      <c r="U456" s="557" t="n"/>
      <c r="V456" s="557" t="n"/>
      <c r="W456" s="557" t="n"/>
      <c r="X456" s="599" t="n">
        <v>38.1</v>
      </c>
      <c r="Y456" s="599" t="n">
        <v>38.1</v>
      </c>
      <c r="Z456" s="599" t="n">
        <v>0</v>
      </c>
      <c r="AA456" s="599" t="n">
        <v>2</v>
      </c>
      <c r="AB456" s="600" t="n">
        <v>927</v>
      </c>
      <c r="AC456" s="600" t="n"/>
      <c r="AD456" s="600" t="n"/>
      <c r="AE456" s="600" t="n"/>
      <c r="AF456" s="601" t="n"/>
      <c r="AG456" s="601" t="n"/>
      <c r="AH456" s="601">
        <f t="array" ref="AH4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6" s="602">
        <f>scheduleapr[[#This Row],[SCHEDULE in nos]]-scheduleapr[[#This Row],[DISPATCH]]</f>
        <v/>
      </c>
      <c r="AJ456" s="599">
        <f>(3.14*(scheduleapr[[#This Row],[ACTUAL OD]]-scheduleapr[[#This Row],[TICKNESS]])*scheduleapr[[#This Row],[TICKNESS]]*scheduleapr[[#This Row],[LENGTH]]*7.85)/1000000*scheduleapr[[#This Row],[SCHEDULE in nos]]/1000</f>
        <v/>
      </c>
      <c r="AK456" s="599">
        <f>(3.14*(scheduleapr[[#This Row],[ACTUAL OD]]-scheduleapr[[#This Row],[TICKNESS]])*scheduleapr[[#This Row],[TICKNESS]]*scheduleapr[[#This Row],[LENGTH]]*7.85)/1000000*scheduleapr[[#This Row],[DISPATCH]]/1000</f>
        <v/>
      </c>
      <c r="AL456" s="599">
        <f>AJ456-AK456</f>
        <v/>
      </c>
      <c r="AM456" s="599">
        <f>scheduleapr[[#This Row],[SCHEDULE in nos]]/scheduleapr[[#This Row],[SCHEDULE IN MT]]*scheduleapr[[#This Row],[CTL Stock]]</f>
        <v/>
      </c>
      <c r="AN456" s="599">
        <f>SUMIFS(stock[MT],stock[Bucket],scheduleapr[[#This Row],[Bucket]],stock[CTL Bucket],scheduleapr[[#This Row],[CTL Bucket]],stock[Plant],"0789")</f>
        <v/>
      </c>
      <c r="AO456" s="599" t="n"/>
      <c r="AP456" s="599">
        <f>SUMIFS(stock[MT],stock[Bucket],scheduleapr[[#This Row],[Bucket]],stock[LL or CTL],"LL")</f>
        <v/>
      </c>
      <c r="AQ456" s="599">
        <f>+SUMIFS(wip[Stock(Net Wt)],wip[Bucket],scheduleapr[[#This Row],[Bucket]])/1000</f>
        <v/>
      </c>
      <c r="AR456" s="599">
        <f>AJ456-AN456</f>
        <v/>
      </c>
      <c r="AS456" s="118" t="n"/>
    </row>
    <row r="457">
      <c r="A457" s="556" t="n"/>
      <c r="B457" s="5" t="inlineStr">
        <is>
          <t>Hosur</t>
        </is>
      </c>
      <c r="C457" s="601" t="inlineStr">
        <is>
          <t>Rajsriya Unit 8</t>
        </is>
      </c>
      <c r="D457" s="48" t="inlineStr">
        <is>
          <t>Rajsriya Automotive Hosur</t>
        </is>
      </c>
      <c r="E457" s="601" t="inlineStr">
        <is>
          <t>129695|187884|188415|189239|189240</t>
        </is>
      </c>
      <c r="F457" s="557" t="n"/>
      <c r="G457" s="601">
        <f>_xlfn.CONCAT(scheduleapr[[#This Row],[CUSTOMER CODE]],"-",scheduleapr[[#This Row],[MATERIAL NO]])</f>
        <v/>
      </c>
      <c r="H457" s="557" t="n"/>
      <c r="I457" s="601" t="inlineStr">
        <is>
          <t>ERW 1</t>
        </is>
      </c>
      <c r="J457" s="557" t="n"/>
      <c r="K457" s="601" t="inlineStr">
        <is>
          <t>FC</t>
        </is>
      </c>
      <c r="L457" s="557" t="n"/>
      <c r="M457" s="558" t="n"/>
      <c r="N457" s="557" t="n"/>
      <c r="O457" s="557" t="n"/>
      <c r="P457" s="557" t="n"/>
      <c r="Q457" s="557" t="n"/>
      <c r="R457" s="557" t="n"/>
      <c r="S457" s="557" t="n"/>
      <c r="T457" s="601" t="n"/>
      <c r="U457" s="601">
        <f>_xlfn.IFNA(VLOOKUP(scheduleapr[[#This Row],[Bucket]],salesforecast[[#All],[Bucket2]:[8406 Stock]],19,0),0)</f>
        <v/>
      </c>
      <c r="V457" s="598" t="n"/>
      <c r="W457" s="601" t="n"/>
      <c r="X457" s="559" t="n">
        <v>41.28</v>
      </c>
      <c r="Y457" s="559" t="n">
        <v>40</v>
      </c>
      <c r="Z457" s="559" t="n">
        <v>25</v>
      </c>
      <c r="AA457" s="559" t="n">
        <v>1.6</v>
      </c>
      <c r="AB457" s="600" t="n">
        <v>647</v>
      </c>
      <c r="AC457" s="81" t="inlineStr">
        <is>
          <t>NOS</t>
        </is>
      </c>
      <c r="AD457" s="600" t="n"/>
      <c r="AE457" s="600" t="n"/>
      <c r="AF457" s="557" t="n">
        <v>8000</v>
      </c>
      <c r="AG457" s="557" t="inlineStr">
        <is>
          <t>Aug 2026 schedule · rajsriya PLANT8</t>
        </is>
      </c>
      <c r="AH457" s="601">
        <f t="array" ref="AH4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7" s="560">
        <f>scheduleapr[[#This Row],[SCHEDULE in nos]]-scheduleapr[[#This Row],[DISPATCH]]</f>
        <v/>
      </c>
      <c r="AJ457" s="559">
        <f>(3.14*(scheduleapr[[#This Row],[ACTUAL OD]]-scheduleapr[[#This Row],[TICKNESS]])*scheduleapr[[#This Row],[TICKNESS]]*scheduleapr[[#This Row],[LENGTH]]*7.85)/1000000*scheduleapr[[#This Row],[SCHEDULE in nos]]/1000</f>
        <v/>
      </c>
      <c r="AK457" s="599">
        <f>(3.14*(scheduleapr[[#This Row],[ACTUAL OD]]-scheduleapr[[#This Row],[TICKNESS]])*scheduleapr[[#This Row],[TICKNESS]]*scheduleapr[[#This Row],[LENGTH]]*7.85)/1000000*scheduleapr[[#This Row],[DISPATCH]]/1000</f>
        <v/>
      </c>
      <c r="AL457" s="599">
        <f>AJ457-AK457</f>
        <v/>
      </c>
      <c r="AM457" s="559">
        <f>scheduleapr[[#This Row],[SCHEDULE in nos]]/scheduleapr[[#This Row],[SCHEDULE IN MT]]*scheduleapr[[#This Row],[CTL Stock]]</f>
        <v/>
      </c>
      <c r="AN457" s="599">
        <f>SUMIFS(stock[MT],stock[Bucket],scheduleapr[[#This Row],[Bucket]],stock[CTL Bucket],scheduleapr[[#This Row],[CTL Bucket]],stock[Plant],"0789")</f>
        <v/>
      </c>
      <c r="AO457" s="599" t="n"/>
      <c r="AP457" s="599">
        <f>SUMIFS(stock[MT],stock[Bucket],scheduleapr[[#This Row],[Bucket]],stock[LL or CTL],"LL")</f>
        <v/>
      </c>
      <c r="AQ457" s="599">
        <f>+SUMIFS(wip[Stock(Net Wt)],wip[Bucket],scheduleapr[[#This Row],[Bucket]])/1000</f>
        <v/>
      </c>
      <c r="AR457" s="599">
        <f>AJ457-AN457</f>
        <v/>
      </c>
      <c r="AS457" s="118" t="n"/>
    </row>
    <row r="458">
      <c r="A458" s="594" t="n">
        <v>335</v>
      </c>
      <c r="B458" s="5" t="inlineStr">
        <is>
          <t>Hosur</t>
        </is>
      </c>
      <c r="C458" s="601" t="inlineStr">
        <is>
          <t>Rajsriya Automotive</t>
        </is>
      </c>
      <c r="D458" s="601" t="inlineStr">
        <is>
          <t>Rajsriya Automotive Hosur</t>
        </is>
      </c>
      <c r="E458" s="601" t="inlineStr">
        <is>
          <t>129695|187884|188415|189239|189240</t>
        </is>
      </c>
      <c r="F458" s="601" t="n">
        <v>3087646</v>
      </c>
      <c r="G458" s="601">
        <f>_xlfn.CONCAT(scheduleapr[[#This Row],[CUSTOMER CODE]],"-",scheduleapr[[#This Row],[MATERIAL NO]])</f>
        <v/>
      </c>
      <c r="H458" s="601" t="inlineStr">
        <is>
          <t>PT4-O-N-AUT-AW-FC-41.28X2.600X0.8480</t>
        </is>
      </c>
      <c r="I458" s="601" t="inlineStr">
        <is>
          <t>ERW 1</t>
        </is>
      </c>
      <c r="J458" s="601" t="n"/>
      <c r="K458" s="601" t="inlineStr">
        <is>
          <t>FC</t>
        </is>
      </c>
      <c r="L458" s="601" t="inlineStr">
        <is>
          <t>HR</t>
        </is>
      </c>
      <c r="M458" s="601" t="n"/>
      <c r="N458" s="601" t="n"/>
      <c r="O458" s="601" t="n"/>
      <c r="P458" s="601" t="n"/>
      <c r="Q458" s="563">
        <f>CONCATENATE(scheduleapr[[#This Row],[OD]],"-",scheduleapr[[#This Row],[ID]],"-",scheduleapr[[#This Row],[TICKNESS]],"-",scheduleapr[[#This Row],[Grade]],"-",scheduleapr[[#This Row],[FC/NFC]])</f>
        <v/>
      </c>
      <c r="R458" s="557">
        <f>_xlfn.CONCAT(scheduleapr[[#This Row],[Bucket]],"-",scheduleapr[[#This Row],[LENGTH]]/1000)</f>
        <v/>
      </c>
      <c r="S458" s="557">
        <f>COUNTIF([2]!buckets[CTL Bucket],[2]!scheduleapr[[#This Row],[CTL Bucket]])</f>
        <v/>
      </c>
      <c r="T458" s="557" t="n"/>
      <c r="U458" s="557" t="n"/>
      <c r="V458" s="557" t="n"/>
      <c r="W458" s="557" t="n"/>
      <c r="X458" s="599" t="n">
        <v>41.28</v>
      </c>
      <c r="Y458" s="599" t="n">
        <v>41.28</v>
      </c>
      <c r="Z458" s="599" t="n">
        <v>0</v>
      </c>
      <c r="AA458" s="599" t="n">
        <v>2.6</v>
      </c>
      <c r="AB458" s="600" t="n">
        <v>848</v>
      </c>
      <c r="AC458" s="600" t="n"/>
      <c r="AD458" s="600" t="n"/>
      <c r="AE458" s="600" t="n"/>
      <c r="AF458" s="601" t="n"/>
      <c r="AG458" s="601" t="n"/>
      <c r="AH458" s="601">
        <f t="array" ref="AH4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8" s="602">
        <f>scheduleapr[[#This Row],[SCHEDULE in nos]]-scheduleapr[[#This Row],[DISPATCH]]</f>
        <v/>
      </c>
      <c r="AJ458" s="599">
        <f>(3.14*(scheduleapr[[#This Row],[ACTUAL OD]]-scheduleapr[[#This Row],[TICKNESS]])*scheduleapr[[#This Row],[TICKNESS]]*scheduleapr[[#This Row],[LENGTH]]*7.85)/1000000*scheduleapr[[#This Row],[SCHEDULE in nos]]/1000</f>
        <v/>
      </c>
      <c r="AK458" s="599">
        <f>(3.14*(scheduleapr[[#This Row],[ACTUAL OD]]-scheduleapr[[#This Row],[TICKNESS]])*scheduleapr[[#This Row],[TICKNESS]]*scheduleapr[[#This Row],[LENGTH]]*7.85)/1000000*scheduleapr[[#This Row],[DISPATCH]]/1000</f>
        <v/>
      </c>
      <c r="AL458" s="599">
        <f>AJ458-AK458</f>
        <v/>
      </c>
      <c r="AM458" s="599">
        <f>scheduleapr[[#This Row],[SCHEDULE in nos]]/scheduleapr[[#This Row],[SCHEDULE IN MT]]*scheduleapr[[#This Row],[CTL Stock]]</f>
        <v/>
      </c>
      <c r="AN458" s="599">
        <f>SUMIFS(stock[MT],stock[Bucket],scheduleapr[[#This Row],[Bucket]],stock[CTL Bucket],scheduleapr[[#This Row],[CTL Bucket]],stock[Plant],"0789")</f>
        <v/>
      </c>
      <c r="AO458" s="599" t="n"/>
      <c r="AP458" s="599">
        <f>SUMIFS(stock[MT],stock[Bucket],scheduleapr[[#This Row],[Bucket]],stock[LL or CTL],"LL")</f>
        <v/>
      </c>
      <c r="AQ458" s="599">
        <f>+SUMIFS(wip[Stock(Net Wt)],wip[Bucket],scheduleapr[[#This Row],[Bucket]])/1000</f>
        <v/>
      </c>
      <c r="AR458" s="599">
        <f>AJ458-AN458</f>
        <v/>
      </c>
      <c r="AS458" s="118" t="n"/>
    </row>
    <row r="459">
      <c r="A459" s="594" t="n">
        <v>476</v>
      </c>
      <c r="B459" s="5" t="inlineStr">
        <is>
          <t xml:space="preserve">Khopoli </t>
        </is>
      </c>
      <c r="C459" s="601" t="inlineStr">
        <is>
          <t>Rajsriya Unit 8</t>
        </is>
      </c>
      <c r="D459" s="48" t="inlineStr">
        <is>
          <t>Rajsriya Automotive Hosur</t>
        </is>
      </c>
      <c r="E459" s="601" t="inlineStr">
        <is>
          <t>129695|187884|188415|189239|189240</t>
        </is>
      </c>
      <c r="F459" s="601" t="n">
        <v>3605867</v>
      </c>
      <c r="G459" s="601">
        <f>_xlfn.CONCAT(scheduleapr[[#This Row],[CUSTOMER CODE]],"-",scheduleapr[[#This Row],[MATERIAL NO]])</f>
        <v/>
      </c>
      <c r="H459" s="601" t="inlineStr">
        <is>
          <t>TUB-O-N-AUT-AW-FC-41.28X3.200X0.2350</t>
        </is>
      </c>
      <c r="I459" s="601" t="inlineStr">
        <is>
          <t>ERW 1</t>
        </is>
      </c>
      <c r="J459" s="601" t="n"/>
      <c r="K459" s="601" t="inlineStr">
        <is>
          <t>FC</t>
        </is>
      </c>
      <c r="L459" s="601" t="inlineStr">
        <is>
          <t>HR</t>
        </is>
      </c>
      <c r="M459" s="601" t="n"/>
      <c r="N459" s="601" t="inlineStr">
        <is>
          <t>Chamferring</t>
        </is>
      </c>
      <c r="O459" s="601" t="n"/>
      <c r="P459" s="601" t="n"/>
      <c r="Q459" s="557">
        <f>CONCATENATE(scheduleapr[[#This Row],[OD]],"-",scheduleapr[[#This Row],[ID]],"-",scheduleapr[[#This Row],[TICKNESS]],"-",scheduleapr[[#This Row],[Grade]],"-",scheduleapr[[#This Row],[FC/NFC]])</f>
        <v/>
      </c>
      <c r="R459" s="557">
        <f>_xlfn.CONCAT(scheduleapr[[#This Row],[Bucket]],"-",scheduleapr[[#This Row],[LENGTH]]/1000)</f>
        <v/>
      </c>
      <c r="S459" s="557">
        <f>COUNTIF(scheduleapr[CTL Bucket],scheduleapr[[#This Row],[CTL Bucket]])</f>
        <v/>
      </c>
      <c r="T459" s="601" t="inlineStr">
        <is>
          <t>Hosur</t>
        </is>
      </c>
      <c r="U459" s="601">
        <f>_xlfn.IFNA(VLOOKUP(scheduleapr[[#This Row],[Bucket]],salesforecast[[#All],[Bucket2]:[8406 Stock]],19,0),0)</f>
        <v/>
      </c>
      <c r="V459" s="562">
        <f>_xlfn.IFNA(VLOOKUP(scheduleapr[[#This Row],[Bucket]],salesforecast[[#All],[Bucket2]:[8406 Stock]],20,0),0)+_xlfn.IFNA(VLOOKUP(scheduleapr[[#This Row],[Bucket]],salesforecast[[#All],[Bucket2]:[8406 Stock]],17,0),0)</f>
        <v/>
      </c>
      <c r="W459" s="557" t="n"/>
      <c r="X459" s="599" t="n">
        <v>41.28</v>
      </c>
      <c r="Y459" s="599" t="n">
        <v>41.28</v>
      </c>
      <c r="Z459" s="599" t="n">
        <v>0</v>
      </c>
      <c r="AA459" s="599" t="n">
        <v>3.2</v>
      </c>
      <c r="AB459" s="81" t="n">
        <v>230</v>
      </c>
      <c r="AC459" s="600" t="inlineStr">
        <is>
          <t>NOS</t>
        </is>
      </c>
      <c r="AD459" s="600" t="n"/>
      <c r="AE459" s="600" t="n"/>
      <c r="AF459" s="601" t="n">
        <v>10000</v>
      </c>
      <c r="AG459" s="601" t="inlineStr">
        <is>
          <t>Aug 2026 schedule · rajsriya PLANT8</t>
        </is>
      </c>
      <c r="AH459" s="601">
        <f t="array" ref="AH4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59" s="602">
        <f>scheduleapr[[#This Row],[SCHEDULE in nos]]-scheduleapr[[#This Row],[DISPATCH]]</f>
        <v/>
      </c>
      <c r="AJ459" s="599">
        <f>(3.14*(scheduleapr[[#This Row],[ACTUAL OD]]-scheduleapr[[#This Row],[TICKNESS]])*scheduleapr[[#This Row],[TICKNESS]]*scheduleapr[[#This Row],[LENGTH]]*7.85)/1000000*scheduleapr[[#This Row],[SCHEDULE in nos]]/1000</f>
        <v/>
      </c>
      <c r="AK459" s="599">
        <f>(3.14*(scheduleapr[[#This Row],[ACTUAL OD]]-scheduleapr[[#This Row],[TICKNESS]])*scheduleapr[[#This Row],[TICKNESS]]*scheduleapr[[#This Row],[LENGTH]]*7.85)/1000000*scheduleapr[[#This Row],[DISPATCH]]/1000</f>
        <v/>
      </c>
      <c r="AL459" s="599">
        <f>AJ459-AK459</f>
        <v/>
      </c>
      <c r="AM459" s="599">
        <f>scheduleapr[[#This Row],[SCHEDULE in nos]]/scheduleapr[[#This Row],[SCHEDULE IN MT]]*scheduleapr[[#This Row],[CTL Stock]]</f>
        <v/>
      </c>
      <c r="AN459" s="599">
        <f>SUMIFS(stock[MT],stock[Bucket],scheduleapr[[#This Row],[Bucket]],stock[CTL Bucket],scheduleapr[[#This Row],[CTL Bucket]],stock[Plant],"0789")</f>
        <v/>
      </c>
      <c r="AO459" s="599" t="n"/>
      <c r="AP459" s="599">
        <f>SUMIFS(stock[MT],stock[Bucket],scheduleapr[[#This Row],[Bucket]],stock[LL or CTL],"LL")</f>
        <v/>
      </c>
      <c r="AQ459" s="599">
        <f>+SUMIFS(wip[Stock(Net Wt)],wip[Bucket],scheduleapr[[#This Row],[Bucket]])/1000</f>
        <v/>
      </c>
      <c r="AR459" s="599">
        <f>AJ459-AN459</f>
        <v/>
      </c>
      <c r="AS459" s="118" t="n"/>
    </row>
    <row r="460">
      <c r="A460" s="594" t="n">
        <v>336</v>
      </c>
      <c r="B460" s="5" t="inlineStr">
        <is>
          <t>Hosur</t>
        </is>
      </c>
      <c r="C460" s="601" t="inlineStr">
        <is>
          <t>Rajsriya Automotive</t>
        </is>
      </c>
      <c r="D460" s="48" t="inlineStr">
        <is>
          <t>Rajsriya Automotive Hosur</t>
        </is>
      </c>
      <c r="E460" s="601" t="inlineStr">
        <is>
          <t>129695|187884|188415|189239|189240</t>
        </is>
      </c>
      <c r="F460" s="601" t="n">
        <v>3605867</v>
      </c>
      <c r="G460" s="601">
        <f>_xlfn.CONCAT(scheduleapr[[#This Row],[CUSTOMER CODE]],"-",scheduleapr[[#This Row],[MATERIAL NO]])</f>
        <v/>
      </c>
      <c r="H460" s="601" t="inlineStr">
        <is>
          <t>TUB-O-N-AUT-AW-FC-41.28X3.200X0.2350</t>
        </is>
      </c>
      <c r="I460" s="601" t="inlineStr">
        <is>
          <t>ERW 1</t>
        </is>
      </c>
      <c r="J460" s="601" t="n"/>
      <c r="K460" s="601" t="n"/>
      <c r="L460" s="601" t="inlineStr">
        <is>
          <t>HR</t>
        </is>
      </c>
      <c r="M460" s="601" t="n"/>
      <c r="N460" s="601" t="n"/>
      <c r="O460" s="601" t="n"/>
      <c r="P460" s="601" t="n"/>
      <c r="Q460" s="557">
        <f>CONCATENATE(scheduleapr[[#This Row],[OD]],"-",scheduleapr[[#This Row],[ID]],"-",scheduleapr[[#This Row],[TICKNESS]],"-",scheduleapr[[#This Row],[Grade]],"-",scheduleapr[[#This Row],[FC/NFC]])</f>
        <v/>
      </c>
      <c r="R460" s="557">
        <f>_xlfn.CONCAT(scheduleapr[[#This Row],[Bucket]],"-",scheduleapr[[#This Row],[LENGTH]]/1000)</f>
        <v/>
      </c>
      <c r="S460" s="557">
        <f>COUNTIF([2]!buckets[CTL Bucket],[2]!scheduleapr[[#This Row],[CTL Bucket]])</f>
        <v/>
      </c>
      <c r="T460" s="557" t="n"/>
      <c r="U460" s="557" t="n"/>
      <c r="V460" s="557" t="n"/>
      <c r="W460" s="557" t="n"/>
      <c r="X460" s="599" t="n">
        <v>41.28</v>
      </c>
      <c r="Y460" s="599" t="n">
        <v>41.28</v>
      </c>
      <c r="Z460" s="599" t="n">
        <v>0</v>
      </c>
      <c r="AA460" s="599" t="n">
        <v>3.2</v>
      </c>
      <c r="AB460" s="600" t="n">
        <v>235</v>
      </c>
      <c r="AC460" s="600" t="n"/>
      <c r="AD460" s="600" t="n"/>
      <c r="AE460" s="600" t="n"/>
      <c r="AF460" s="601" t="n"/>
      <c r="AG460" s="601" t="n"/>
      <c r="AH460" s="601">
        <f t="array" ref="AH4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0" s="602">
        <f>scheduleapr[[#This Row],[SCHEDULE in nos]]-scheduleapr[[#This Row],[DISPATCH]]</f>
        <v/>
      </c>
      <c r="AJ460" s="599">
        <f>(3.14*(scheduleapr[[#This Row],[ACTUAL OD]]-scheduleapr[[#This Row],[TICKNESS]])*scheduleapr[[#This Row],[TICKNESS]]*scheduleapr[[#This Row],[LENGTH]]*7.85)/1000000*scheduleapr[[#This Row],[SCHEDULE in nos]]/1000</f>
        <v/>
      </c>
      <c r="AK460" s="599">
        <f>(3.14*(scheduleapr[[#This Row],[ACTUAL OD]]-scheduleapr[[#This Row],[TICKNESS]])*scheduleapr[[#This Row],[TICKNESS]]*scheduleapr[[#This Row],[LENGTH]]*7.85)/1000000*scheduleapr[[#This Row],[DISPATCH]]/1000</f>
        <v/>
      </c>
      <c r="AL460" s="599">
        <f>AJ460-AK460</f>
        <v/>
      </c>
      <c r="AM460" s="599">
        <f>scheduleapr[[#This Row],[SCHEDULE in nos]]/scheduleapr[[#This Row],[SCHEDULE IN MT]]*scheduleapr[[#This Row],[CTL Stock]]</f>
        <v/>
      </c>
      <c r="AN460" s="599">
        <f>SUMIFS(stock[MT],stock[Bucket],scheduleapr[[#This Row],[Bucket]],stock[CTL Bucket],scheduleapr[[#This Row],[CTL Bucket]],stock[Plant],"0789")</f>
        <v/>
      </c>
      <c r="AO460" s="599" t="n"/>
      <c r="AP460" s="599">
        <f>SUMIFS(stock[MT],stock[Bucket],scheduleapr[[#This Row],[Bucket]],stock[LL or CTL],"LL")</f>
        <v/>
      </c>
      <c r="AQ460" s="599">
        <f>+SUMIFS(wip[Stock(Net Wt)],wip[Bucket],scheduleapr[[#This Row],[Bucket]])/1000</f>
        <v/>
      </c>
      <c r="AR460" s="599">
        <f>AJ460-AN460</f>
        <v/>
      </c>
      <c r="AS460" s="118" t="n"/>
    </row>
    <row r="461">
      <c r="A461" s="594" t="n">
        <v>337</v>
      </c>
      <c r="B461" s="5" t="inlineStr">
        <is>
          <t>Hosur</t>
        </is>
      </c>
      <c r="C461" s="601" t="inlineStr">
        <is>
          <t>Rajsriya Automotive</t>
        </is>
      </c>
      <c r="D461" s="48" t="inlineStr">
        <is>
          <t>Rajsriya Automotive Hosur</t>
        </is>
      </c>
      <c r="E461" s="601" t="inlineStr">
        <is>
          <t>129695|187884|188415|189239|189240</t>
        </is>
      </c>
      <c r="F461" s="601" t="n">
        <v>1511515</v>
      </c>
      <c r="G461" s="601">
        <f>_xlfn.CONCAT(scheduleapr[[#This Row],[CUSTOMER CODE]],"-",scheduleapr[[#This Row],[MATERIAL NO]])</f>
        <v/>
      </c>
      <c r="H461" s="601" t="inlineStr">
        <is>
          <t>TUB-O-N-AUT-BH-FC-42.70X4.000X0.2080</t>
        </is>
      </c>
      <c r="I461" s="601" t="inlineStr">
        <is>
          <t>ERW 1</t>
        </is>
      </c>
      <c r="J461" s="601" t="inlineStr">
        <is>
          <t>Annealed</t>
        </is>
      </c>
      <c r="K461" s="601" t="n"/>
      <c r="L461" s="601" t="inlineStr">
        <is>
          <t>HR</t>
        </is>
      </c>
      <c r="M461" s="601" t="n"/>
      <c r="N461" s="601" t="n"/>
      <c r="O461" s="601" t="n"/>
      <c r="P461" s="601" t="n"/>
      <c r="Q461" s="557">
        <f>CONCATENATE(scheduleapr[[#This Row],[OD]],"-",scheduleapr[[#This Row],[ID]],"-",scheduleapr[[#This Row],[TICKNESS]],"-",scheduleapr[[#This Row],[Grade]],"-",scheduleapr[[#This Row],[FC/NFC]])</f>
        <v/>
      </c>
      <c r="R461" s="557">
        <f>_xlfn.CONCAT(scheduleapr[[#This Row],[Bucket]],"-",scheduleapr[[#This Row],[LENGTH]]/1000)</f>
        <v/>
      </c>
      <c r="S461" s="557">
        <f>COUNTIF([2]!buckets[CTL Bucket],[2]!scheduleapr[[#This Row],[CTL Bucket]])</f>
        <v/>
      </c>
      <c r="T461" s="557" t="n"/>
      <c r="U461" s="557" t="n"/>
      <c r="V461" s="557" t="n"/>
      <c r="W461" s="557" t="n"/>
      <c r="X461" s="599" t="n">
        <v>42.7</v>
      </c>
      <c r="Y461" s="599" t="n">
        <v>42.7</v>
      </c>
      <c r="Z461" s="599" t="n">
        <v>0</v>
      </c>
      <c r="AA461" s="599" t="n">
        <v>4</v>
      </c>
      <c r="AB461" s="600" t="n">
        <v>208</v>
      </c>
      <c r="AC461" s="600" t="n"/>
      <c r="AD461" s="600" t="n"/>
      <c r="AE461" s="600" t="n"/>
      <c r="AF461" s="601" t="n"/>
      <c r="AG461" s="601" t="n"/>
      <c r="AH461" s="601">
        <f t="array" ref="AH4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1" s="602">
        <f>scheduleapr[[#This Row],[SCHEDULE in nos]]-scheduleapr[[#This Row],[DISPATCH]]</f>
        <v/>
      </c>
      <c r="AJ461" s="599">
        <f>(3.14*(scheduleapr[[#This Row],[ACTUAL OD]]-scheduleapr[[#This Row],[TICKNESS]])*scheduleapr[[#This Row],[TICKNESS]]*scheduleapr[[#This Row],[LENGTH]]*7.85)/1000000*scheduleapr[[#This Row],[SCHEDULE in nos]]/1000</f>
        <v/>
      </c>
      <c r="AK461" s="599">
        <f>(3.14*(scheduleapr[[#This Row],[ACTUAL OD]]-scheduleapr[[#This Row],[TICKNESS]])*scheduleapr[[#This Row],[TICKNESS]]*scheduleapr[[#This Row],[LENGTH]]*7.85)/1000000*scheduleapr[[#This Row],[DISPATCH]]/1000</f>
        <v/>
      </c>
      <c r="AL461" s="599">
        <f>AJ461-AK461</f>
        <v/>
      </c>
      <c r="AM461" s="599">
        <f>scheduleapr[[#This Row],[SCHEDULE in nos]]/scheduleapr[[#This Row],[SCHEDULE IN MT]]*scheduleapr[[#This Row],[CTL Stock]]</f>
        <v/>
      </c>
      <c r="AN461" s="599">
        <f>SUMIFS(stock[MT],stock[Bucket],scheduleapr[[#This Row],[Bucket]],stock[CTL Bucket],scheduleapr[[#This Row],[CTL Bucket]],stock[Plant],"0789")</f>
        <v/>
      </c>
      <c r="AO461" s="599" t="n"/>
      <c r="AP461" s="599">
        <f>SUMIFS(stock[MT],stock[Bucket],scheduleapr[[#This Row],[Bucket]],stock[LL or CTL],"LL")</f>
        <v/>
      </c>
      <c r="AQ461" s="599">
        <f>+SUMIFS(wip[Stock(Net Wt)],wip[Bucket],scheduleapr[[#This Row],[Bucket]])/1000</f>
        <v/>
      </c>
      <c r="AR461" s="599">
        <f>AJ461-AN461</f>
        <v/>
      </c>
      <c r="AS461" s="118" t="n"/>
    </row>
    <row r="462">
      <c r="A462" s="594" t="n">
        <v>482</v>
      </c>
      <c r="B462" s="5" t="inlineStr">
        <is>
          <t xml:space="preserve">Khopoli </t>
        </is>
      </c>
      <c r="C462" s="601" t="inlineStr">
        <is>
          <t>Rajsriya Unit 8</t>
        </is>
      </c>
      <c r="D462" s="601" t="inlineStr">
        <is>
          <t>Rajsriya Automotive Hosur</t>
        </is>
      </c>
      <c r="E462" s="601" t="inlineStr">
        <is>
          <t>129695|187884|188415|189239|189240</t>
        </is>
      </c>
      <c r="F462" s="601" t="n">
        <v>1938358</v>
      </c>
      <c r="G462" s="601">
        <f>_xlfn.CONCAT(scheduleapr[[#This Row],[CUSTOMER CODE]],"-",scheduleapr[[#This Row],[MATERIAL NO]])</f>
        <v/>
      </c>
      <c r="H462" s="601" t="inlineStr">
        <is>
          <t>TUB-O-N-AUT-AN-FC-42.70X4.000X0.2540</t>
        </is>
      </c>
      <c r="I462" s="601" t="inlineStr">
        <is>
          <t>ERW 1</t>
        </is>
      </c>
      <c r="J462" s="601" t="inlineStr">
        <is>
          <t>Annealed</t>
        </is>
      </c>
      <c r="K462" s="601" t="inlineStr">
        <is>
          <t>FC</t>
        </is>
      </c>
      <c r="L462" s="601" t="inlineStr">
        <is>
          <t>HR</t>
        </is>
      </c>
      <c r="M462" s="601" t="n"/>
      <c r="N462" s="601" t="inlineStr">
        <is>
          <t>Chamferring</t>
        </is>
      </c>
      <c r="O462" s="601" t="n"/>
      <c r="P462" s="601" t="n"/>
      <c r="Q462" s="557">
        <f>CONCATENATE(scheduleapr[[#This Row],[OD]],"-",scheduleapr[[#This Row],[ID]],"-",scheduleapr[[#This Row],[TICKNESS]],"-",scheduleapr[[#This Row],[Grade]],"-",scheduleapr[[#This Row],[FC/NFC]])</f>
        <v/>
      </c>
      <c r="R462" s="557">
        <f>_xlfn.CONCAT(scheduleapr[[#This Row],[Bucket]],"-",scheduleapr[[#This Row],[LENGTH]]/1000)</f>
        <v/>
      </c>
      <c r="S462" s="557">
        <f>COUNTIF(scheduleapr[CTL Bucket],scheduleapr[[#This Row],[CTL Bucket]])</f>
        <v/>
      </c>
      <c r="T462" s="601" t="inlineStr">
        <is>
          <t>Khopoli</t>
        </is>
      </c>
      <c r="U462" s="601">
        <f>_xlfn.IFNA(VLOOKUP(scheduleapr[[#This Row],[Bucket]],salesforecast[[#All],[Bucket2]:[8406 Stock]],19,0),0)</f>
        <v/>
      </c>
      <c r="V462" s="562">
        <f>_xlfn.IFNA(VLOOKUP(scheduleapr[[#This Row],[Bucket]],salesforecast[[#All],[Bucket2]:[8406 Stock]],20,0),0)+_xlfn.IFNA(VLOOKUP(scheduleapr[[#This Row],[Bucket]],salesforecast[[#All],[Bucket2]:[8406 Stock]],17,0),0)</f>
        <v/>
      </c>
      <c r="W462" s="557" t="n"/>
      <c r="X462" s="599" t="n">
        <v>42.7</v>
      </c>
      <c r="Y462" s="599" t="n">
        <v>42.7</v>
      </c>
      <c r="Z462" s="599" t="n">
        <v>0</v>
      </c>
      <c r="AA462" s="599" t="n">
        <v>4</v>
      </c>
      <c r="AB462" s="600" t="n">
        <v>254</v>
      </c>
      <c r="AC462" s="600" t="inlineStr">
        <is>
          <t>NOS</t>
        </is>
      </c>
      <c r="AD462" s="600" t="n"/>
      <c r="AE462" s="600" t="n"/>
      <c r="AF462" s="601" t="n">
        <v>3000</v>
      </c>
      <c r="AG462" s="601" t="inlineStr">
        <is>
          <t>Aug 2026 schedule · rajsriya PLANT8</t>
        </is>
      </c>
      <c r="AH462" s="601">
        <f t="array" ref="AH4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2" s="602">
        <f>scheduleapr[[#This Row],[SCHEDULE in nos]]-scheduleapr[[#This Row],[DISPATCH]]</f>
        <v/>
      </c>
      <c r="AJ462" s="599">
        <f>(3.14*(scheduleapr[[#This Row],[ACTUAL OD]]-scheduleapr[[#This Row],[TICKNESS]])*scheduleapr[[#This Row],[TICKNESS]]*scheduleapr[[#This Row],[LENGTH]]*7.85)/1000000*scheduleapr[[#This Row],[SCHEDULE in nos]]/1000</f>
        <v/>
      </c>
      <c r="AK462" s="599">
        <f>(3.14*(scheduleapr[[#This Row],[ACTUAL OD]]-scheduleapr[[#This Row],[TICKNESS]])*scheduleapr[[#This Row],[TICKNESS]]*scheduleapr[[#This Row],[LENGTH]]*7.85)/1000000*scheduleapr[[#This Row],[DISPATCH]]/1000</f>
        <v/>
      </c>
      <c r="AL462" s="599">
        <f>AJ462-AK462</f>
        <v/>
      </c>
      <c r="AM462" s="599">
        <f>scheduleapr[[#This Row],[SCHEDULE in nos]]/scheduleapr[[#This Row],[SCHEDULE IN MT]]*scheduleapr[[#This Row],[CTL Stock]]</f>
        <v/>
      </c>
      <c r="AN462" s="599">
        <f>SUMIFS(stock[MT],stock[Bucket],scheduleapr[[#This Row],[Bucket]],stock[CTL Bucket],scheduleapr[[#This Row],[CTL Bucket]],stock[Plant],"0789")</f>
        <v/>
      </c>
      <c r="AO462" s="599" t="n"/>
      <c r="AP462" s="599">
        <f>SUMIFS(stock[MT],stock[Bucket],scheduleapr[[#This Row],[Bucket]],stock[LL or CTL],"LL")</f>
        <v/>
      </c>
      <c r="AQ462" s="599">
        <f>+SUMIFS(wip[Stock(Net Wt)],wip[Bucket],scheduleapr[[#This Row],[Bucket]])/1000</f>
        <v/>
      </c>
      <c r="AR462" s="599">
        <f>AJ462-AN462</f>
        <v/>
      </c>
      <c r="AS462" s="118" t="n"/>
    </row>
    <row r="463">
      <c r="A463" s="594" t="n">
        <v>339</v>
      </c>
      <c r="B463" s="5" t="inlineStr">
        <is>
          <t>Hosur</t>
        </is>
      </c>
      <c r="C463" s="601" t="inlineStr">
        <is>
          <t>Rajsriya Automotive</t>
        </is>
      </c>
      <c r="D463" s="48" t="inlineStr">
        <is>
          <t>Rajsriya Automotive Hosur</t>
        </is>
      </c>
      <c r="E463" s="601" t="inlineStr">
        <is>
          <t>129695|187884|188415|189239|189240</t>
        </is>
      </c>
      <c r="F463" s="601" t="n">
        <v>1940829</v>
      </c>
      <c r="G463" s="601">
        <f>_xlfn.CONCAT(scheduleapr[[#This Row],[CUSTOMER CODE]],"-",scheduleapr[[#This Row],[MATERIAL NO]])</f>
        <v/>
      </c>
      <c r="H463" s="601" t="inlineStr">
        <is>
          <t>TUB-R-AW-RHS-40.00X30.00X1.600X0.3140</t>
        </is>
      </c>
      <c r="I463" s="601" t="inlineStr">
        <is>
          <t>ERW 1</t>
        </is>
      </c>
      <c r="J463" s="601" t="n"/>
      <c r="K463" s="601" t="n"/>
      <c r="L463" s="601" t="inlineStr">
        <is>
          <t>HR</t>
        </is>
      </c>
      <c r="M463" s="601" t="n"/>
      <c r="N463" s="601" t="n"/>
      <c r="O463" s="601" t="n"/>
      <c r="P463" s="601" t="n"/>
      <c r="Q463" s="557">
        <f>CONCATENATE(scheduleapr[[#This Row],[OD]],"-",scheduleapr[[#This Row],[ID]],"-",scheduleapr[[#This Row],[TICKNESS]],"-",scheduleapr[[#This Row],[Grade]],"-",scheduleapr[[#This Row],[FC/NFC]])</f>
        <v/>
      </c>
      <c r="R463" s="557">
        <f>_xlfn.CONCAT(scheduleapr[[#This Row],[Bucket]],"-",scheduleapr[[#This Row],[LENGTH]]/1000)</f>
        <v/>
      </c>
      <c r="S463" s="557">
        <f>COUNTIF(scheduleapr[CTL Bucket],scheduleapr[[#This Row],[CTL Bucket]])</f>
        <v/>
      </c>
      <c r="T463" s="557" t="n"/>
      <c r="U463" s="557" t="n"/>
      <c r="V463" s="557" t="n"/>
      <c r="W463" s="557" t="n"/>
      <c r="X463" s="599" t="n">
        <v>44.45</v>
      </c>
      <c r="Y463" s="599" t="n">
        <v>40</v>
      </c>
      <c r="Z463" s="599" t="n">
        <v>30</v>
      </c>
      <c r="AA463" s="599" t="n">
        <v>1.6</v>
      </c>
      <c r="AB463" s="600" t="n">
        <v>314</v>
      </c>
      <c r="AC463" s="600" t="n"/>
      <c r="AD463" s="600" t="n"/>
      <c r="AE463" s="600" t="n"/>
      <c r="AF463" s="601" t="n"/>
      <c r="AG463" s="601" t="n"/>
      <c r="AH463" s="601">
        <f t="array" ref="AH4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3" s="602">
        <f>scheduleapr[[#This Row],[SCHEDULE in nos]]-scheduleapr[[#This Row],[DISPATCH]]</f>
        <v/>
      </c>
      <c r="AJ463" s="599">
        <f>(3.14*(scheduleapr[[#This Row],[ACTUAL OD]]-scheduleapr[[#This Row],[TICKNESS]])*scheduleapr[[#This Row],[TICKNESS]]*scheduleapr[[#This Row],[LENGTH]]*7.85)/1000000*scheduleapr[[#This Row],[SCHEDULE in nos]]/1000</f>
        <v/>
      </c>
      <c r="AK463" s="599">
        <f>(3.14*(scheduleapr[[#This Row],[ACTUAL OD]]-scheduleapr[[#This Row],[TICKNESS]])*scheduleapr[[#This Row],[TICKNESS]]*scheduleapr[[#This Row],[LENGTH]]*7.85)/1000000*scheduleapr[[#This Row],[DISPATCH]]/1000</f>
        <v/>
      </c>
      <c r="AL463" s="599">
        <f>AJ463-AK463</f>
        <v/>
      </c>
      <c r="AM463" s="599">
        <f>scheduleapr[[#This Row],[SCHEDULE in nos]]/scheduleapr[[#This Row],[SCHEDULE IN MT]]*scheduleapr[[#This Row],[CTL Stock]]</f>
        <v/>
      </c>
      <c r="AN463" s="599">
        <f>SUMIFS(stock[MT],stock[Bucket],scheduleapr[[#This Row],[Bucket]],stock[CTL Bucket],scheduleapr[[#This Row],[CTL Bucket]],stock[Plant],"0789")</f>
        <v/>
      </c>
      <c r="AO463" s="599" t="n"/>
      <c r="AP463" s="599">
        <f>SUMIFS(stock[MT],stock[Bucket],scheduleapr[[#This Row],[Bucket]],stock[LL or CTL],"LL")</f>
        <v/>
      </c>
      <c r="AQ463" s="599">
        <f>+SUMIFS(wip[Stock(Net Wt)],wip[Bucket],scheduleapr[[#This Row],[Bucket]])/1000</f>
        <v/>
      </c>
      <c r="AR463" s="599">
        <f>AJ463-AN463</f>
        <v/>
      </c>
      <c r="AS463" s="118" t="n"/>
    </row>
    <row r="464">
      <c r="A464" s="594" t="n">
        <v>483</v>
      </c>
      <c r="B464" s="5" t="inlineStr">
        <is>
          <t>Hosur</t>
        </is>
      </c>
      <c r="C464" s="601" t="inlineStr">
        <is>
          <t>Rajsriya Unit 8</t>
        </is>
      </c>
      <c r="D464" s="601" t="inlineStr">
        <is>
          <t>Rajsriya Automotive Hosur</t>
        </is>
      </c>
      <c r="E464" s="601" t="inlineStr">
        <is>
          <t>129695|187884|188415|189239|189240</t>
        </is>
      </c>
      <c r="F464" s="601" t="n">
        <v>3712521</v>
      </c>
      <c r="G464" s="601">
        <f>_xlfn.CONCAT(scheduleapr[[#This Row],[CUSTOMER CODE]],"-",scheduleapr[[#This Row],[MATERIAL NO]])</f>
        <v/>
      </c>
      <c r="H464" s="601" t="inlineStr">
        <is>
          <t>CUT-R-AW-RHS-40.00X30.00X1.600X0.8350</t>
        </is>
      </c>
      <c r="I464" s="601" t="inlineStr">
        <is>
          <t>ERW 1</t>
        </is>
      </c>
      <c r="J464" s="601" t="n"/>
      <c r="K464" s="601" t="inlineStr">
        <is>
          <t>FC</t>
        </is>
      </c>
      <c r="L464" s="601" t="inlineStr">
        <is>
          <t>CR</t>
        </is>
      </c>
      <c r="M464" s="596" t="inlineStr">
        <is>
          <t>HROP</t>
        </is>
      </c>
      <c r="N464" s="601" t="n"/>
      <c r="O464" s="601" t="n"/>
      <c r="P464" s="601" t="n"/>
      <c r="Q464" s="557">
        <f>CONCATENATE(scheduleapr[[#This Row],[OD]],"-",scheduleapr[[#This Row],[ID]],"-",scheduleapr[[#This Row],[TICKNESS]],"-",scheduleapr[[#This Row],[Grade]],"-",scheduleapr[[#This Row],[FC/NFC]])</f>
        <v/>
      </c>
      <c r="R464" s="557">
        <f>_xlfn.CONCAT(scheduleapr[[#This Row],[Bucket]],"-",scheduleapr[[#This Row],[LENGTH]]/1000)</f>
        <v/>
      </c>
      <c r="S464" s="557">
        <f>COUNTIF(scheduleapr[CTL Bucket],scheduleapr[[#This Row],[CTL Bucket]])</f>
        <v/>
      </c>
      <c r="T464" s="601" t="inlineStr">
        <is>
          <t>Hosur</t>
        </is>
      </c>
      <c r="U464" s="601">
        <f>_xlfn.IFNA(VLOOKUP(scheduleapr[[#This Row],[Bucket]],salesforecast[[#All],[Bucket2]:[8406 Stock]],19,0),0)</f>
        <v/>
      </c>
      <c r="V464" s="562">
        <f>_xlfn.IFNA(VLOOKUP(scheduleapr[[#This Row],[Bucket]],salesforecast[[#All],[Bucket2]:[8406 Stock]],20,0),0)+_xlfn.IFNA(VLOOKUP(scheduleapr[[#This Row],[Bucket]],salesforecast[[#All],[Bucket2]:[8406 Stock]],17,0),0)</f>
        <v/>
      </c>
      <c r="W464" s="557" t="n"/>
      <c r="X464" s="599" t="n">
        <v>44.45</v>
      </c>
      <c r="Y464" s="599" t="n">
        <v>40</v>
      </c>
      <c r="Z464" s="599" t="n">
        <v>30</v>
      </c>
      <c r="AA464" s="599" t="n">
        <v>1.6</v>
      </c>
      <c r="AB464" s="81" t="n">
        <v>835</v>
      </c>
      <c r="AC464" s="600" t="inlineStr">
        <is>
          <t>NOS</t>
        </is>
      </c>
      <c r="AD464" s="600" t="n"/>
      <c r="AE464" s="600" t="n"/>
      <c r="AF464" s="601" t="n">
        <v>50000</v>
      </c>
      <c r="AG464" s="601" t="inlineStr">
        <is>
          <t>Aug 2026 schedule · rajsriya PLANT8</t>
        </is>
      </c>
      <c r="AH464" s="601">
        <f t="array" ref="AH4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4" s="602">
        <f>scheduleapr[[#This Row],[SCHEDULE in nos]]-scheduleapr[[#This Row],[DISPATCH]]</f>
        <v/>
      </c>
      <c r="AJ464" s="599">
        <f>(3.14*(scheduleapr[[#This Row],[ACTUAL OD]]-scheduleapr[[#This Row],[TICKNESS]])*scheduleapr[[#This Row],[TICKNESS]]*scheduleapr[[#This Row],[LENGTH]]*7.85)/1000000*scheduleapr[[#This Row],[SCHEDULE in nos]]/1000</f>
        <v/>
      </c>
      <c r="AK464" s="599">
        <f>(3.14*(scheduleapr[[#This Row],[ACTUAL OD]]-scheduleapr[[#This Row],[TICKNESS]])*scheduleapr[[#This Row],[TICKNESS]]*scheduleapr[[#This Row],[LENGTH]]*7.85)/1000000*scheduleapr[[#This Row],[DISPATCH]]/1000</f>
        <v/>
      </c>
      <c r="AL464" s="599">
        <f>AJ464-AK464</f>
        <v/>
      </c>
      <c r="AM464" s="599">
        <f>scheduleapr[[#This Row],[SCHEDULE in nos]]/scheduleapr[[#This Row],[SCHEDULE IN MT]]*scheduleapr[[#This Row],[CTL Stock]]</f>
        <v/>
      </c>
      <c r="AN464" s="599">
        <f>SUMIFS(stock[MT],stock[Bucket],scheduleapr[[#This Row],[Bucket]],stock[CTL Bucket],scheduleapr[[#This Row],[CTL Bucket]],stock[Plant],"0789")</f>
        <v/>
      </c>
      <c r="AO464" s="599" t="n"/>
      <c r="AP464" s="599">
        <f>SUMIFS(stock[MT],stock[Bucket],scheduleapr[[#This Row],[Bucket]],stock[LL or CTL],"LL")</f>
        <v/>
      </c>
      <c r="AQ464" s="599">
        <f>+SUMIFS(wip[Stock(Net Wt)],wip[Bucket],scheduleapr[[#This Row],[Bucket]])/1000</f>
        <v/>
      </c>
      <c r="AR464" s="599">
        <f>AJ464-AN464</f>
        <v/>
      </c>
      <c r="AS464" s="118" t="n"/>
    </row>
    <row r="465">
      <c r="A465" s="594" t="n">
        <v>340</v>
      </c>
      <c r="B465" s="5" t="inlineStr">
        <is>
          <t>Hosur</t>
        </is>
      </c>
      <c r="C465" s="601" t="inlineStr">
        <is>
          <t>Rajsriya Automotive</t>
        </is>
      </c>
      <c r="D465" s="601" t="inlineStr">
        <is>
          <t>Rajsriya Automotive Hosur</t>
        </is>
      </c>
      <c r="E465" s="601" t="inlineStr">
        <is>
          <t>129695|187884|188415|189239|189240</t>
        </is>
      </c>
      <c r="F465" s="601" t="n">
        <v>3616912</v>
      </c>
      <c r="G465" s="601">
        <f>_xlfn.CONCAT(scheduleapr[[#This Row],[CUSTOMER CODE]],"-",scheduleapr[[#This Row],[MATERIAL NO]])</f>
        <v/>
      </c>
      <c r="H465" s="601" t="inlineStr">
        <is>
          <t>TUB-R-AW-AUT-40.00X30.00X1.600X0.8520</t>
        </is>
      </c>
      <c r="I465" s="601" t="inlineStr">
        <is>
          <t>ERW 1</t>
        </is>
      </c>
      <c r="J465" s="601" t="n"/>
      <c r="K465" s="601" t="n"/>
      <c r="L465" s="601" t="inlineStr">
        <is>
          <t>HR</t>
        </is>
      </c>
      <c r="M465" s="601" t="n"/>
      <c r="N465" s="601" t="n"/>
      <c r="O465" s="601" t="n"/>
      <c r="P465" s="601" t="n"/>
      <c r="Q465" s="557">
        <f>CONCATENATE(scheduleapr[[#This Row],[OD]],"-",scheduleapr[[#This Row],[ID]],"-",scheduleapr[[#This Row],[TICKNESS]],"-",scheduleapr[[#This Row],[Grade]],"-",scheduleapr[[#This Row],[FC/NFC]])</f>
        <v/>
      </c>
      <c r="R465" s="557">
        <f>_xlfn.CONCAT(scheduleapr[[#This Row],[Bucket]],"-",scheduleapr[[#This Row],[LENGTH]]/1000)</f>
        <v/>
      </c>
      <c r="S465" s="557">
        <f>COUNTIF(scheduleapr[CTL Bucket],scheduleapr[[#This Row],[CTL Bucket]])</f>
        <v/>
      </c>
      <c r="T465" s="557" t="n"/>
      <c r="U465" s="557" t="n"/>
      <c r="V465" s="557" t="n"/>
      <c r="W465" s="557" t="n"/>
      <c r="X465" s="599" t="n">
        <v>44.45</v>
      </c>
      <c r="Y465" s="599" t="n">
        <v>40</v>
      </c>
      <c r="Z465" s="6" t="n">
        <v>30</v>
      </c>
      <c r="AA465" s="599" t="n">
        <v>1.6</v>
      </c>
      <c r="AB465" s="600" t="n">
        <v>852</v>
      </c>
      <c r="AC465" s="600" t="n"/>
      <c r="AD465" s="600" t="n"/>
      <c r="AE465" s="600" t="n"/>
      <c r="AF465" s="601" t="n"/>
      <c r="AG465" s="601" t="n"/>
      <c r="AH465" s="601">
        <f t="array" ref="AH4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5" s="602">
        <f>scheduleapr[[#This Row],[SCHEDULE in nos]]-scheduleapr[[#This Row],[DISPATCH]]</f>
        <v/>
      </c>
      <c r="AJ465" s="599">
        <f>(3.14*(scheduleapr[[#This Row],[ACTUAL OD]]-scheduleapr[[#This Row],[TICKNESS]])*scheduleapr[[#This Row],[TICKNESS]]*scheduleapr[[#This Row],[LENGTH]]*7.85)/1000000*scheduleapr[[#This Row],[SCHEDULE in nos]]/1000</f>
        <v/>
      </c>
      <c r="AK465" s="599">
        <f>(3.14*(scheduleapr[[#This Row],[ACTUAL OD]]-scheduleapr[[#This Row],[TICKNESS]])*scheduleapr[[#This Row],[TICKNESS]]*scheduleapr[[#This Row],[LENGTH]]*7.85)/1000000*scheduleapr[[#This Row],[DISPATCH]]/1000</f>
        <v/>
      </c>
      <c r="AL465" s="599">
        <f>AJ465-AK465</f>
        <v/>
      </c>
      <c r="AM465" s="599">
        <f>scheduleapr[[#This Row],[SCHEDULE in nos]]/scheduleapr[[#This Row],[SCHEDULE IN MT]]*scheduleapr[[#This Row],[CTL Stock]]</f>
        <v/>
      </c>
      <c r="AN465" s="599">
        <f>SUMIFS(stock[MT],stock[Bucket],scheduleapr[[#This Row],[Bucket]],stock[CTL Bucket],scheduleapr[[#This Row],[CTL Bucket]],stock[Plant],"0789")</f>
        <v/>
      </c>
      <c r="AO465" s="599" t="n"/>
      <c r="AP465" s="599">
        <f>SUMIFS(stock[MT],stock[Bucket],scheduleapr[[#This Row],[Bucket]],stock[LL or CTL],"LL")</f>
        <v/>
      </c>
      <c r="AQ465" s="599">
        <f>+SUMIFS(wip[Stock(Net Wt)],wip[Bucket],scheduleapr[[#This Row],[Bucket]])/1000</f>
        <v/>
      </c>
      <c r="AR465" s="599">
        <f>AJ465-AN465</f>
        <v/>
      </c>
      <c r="AS465" s="118" t="n"/>
    </row>
    <row r="466">
      <c r="A466" s="594" t="n">
        <v>487</v>
      </c>
      <c r="B466" s="5" t="inlineStr">
        <is>
          <t>Hosur</t>
        </is>
      </c>
      <c r="C466" s="601" t="inlineStr">
        <is>
          <t>Rajsriya Unit 8</t>
        </is>
      </c>
      <c r="D466" s="601" t="inlineStr">
        <is>
          <t>Rajsriya Automotive Hosur</t>
        </is>
      </c>
      <c r="E466" s="601" t="inlineStr">
        <is>
          <t>129695|187884|188415|189239|189240</t>
        </is>
      </c>
      <c r="F466" s="601" t="n">
        <v>1940830</v>
      </c>
      <c r="G466" s="601">
        <f>_xlfn.CONCAT(scheduleapr[[#This Row],[CUSTOMER CODE]],"-",scheduleapr[[#This Row],[MATERIAL NO]])</f>
        <v/>
      </c>
      <c r="H466" s="601" t="inlineStr">
        <is>
          <t>TUB-R-AW-RHS-40.00X30.00X1.600X0.8600</t>
        </is>
      </c>
      <c r="I466" s="601" t="inlineStr">
        <is>
          <t>ERW 1</t>
        </is>
      </c>
      <c r="J466" s="601" t="n"/>
      <c r="K466" s="601" t="inlineStr">
        <is>
          <t>FC</t>
        </is>
      </c>
      <c r="L466" s="601" t="inlineStr">
        <is>
          <t>CR</t>
        </is>
      </c>
      <c r="M466" s="596" t="inlineStr">
        <is>
          <t>GR1</t>
        </is>
      </c>
      <c r="N466" s="601" t="n"/>
      <c r="O466" s="601" t="n"/>
      <c r="P466" s="601" t="n"/>
      <c r="Q466" s="557">
        <f>CONCATENATE(scheduleapr[[#This Row],[OD]],"-",scheduleapr[[#This Row],[ID]],"-",scheduleapr[[#This Row],[TICKNESS]],"-",scheduleapr[[#This Row],[Grade]],"-",scheduleapr[[#This Row],[FC/NFC]])</f>
        <v/>
      </c>
      <c r="R466" s="557">
        <f>_xlfn.CONCAT(scheduleapr[[#This Row],[Bucket]],"-",scheduleapr[[#This Row],[LENGTH]]/1000)</f>
        <v/>
      </c>
      <c r="S466" s="557">
        <f>COUNTIF(scheduleapr[CTL Bucket],scheduleapr[[#This Row],[CTL Bucket]])</f>
        <v/>
      </c>
      <c r="T466" s="601" t="inlineStr">
        <is>
          <t>Hosur</t>
        </is>
      </c>
      <c r="U466" s="601">
        <f>_xlfn.IFNA(VLOOKUP(scheduleapr[[#This Row],[Bucket]],salesforecast[[#All],[Bucket2]:[8406 Stock]],19,0),0)</f>
        <v/>
      </c>
      <c r="V466" s="562">
        <f>_xlfn.IFNA(VLOOKUP(scheduleapr[[#This Row],[Bucket]],salesforecast[[#All],[Bucket2]:[8406 Stock]],20,0),0)+_xlfn.IFNA(VLOOKUP(scheduleapr[[#This Row],[Bucket]],salesforecast[[#All],[Bucket2]:[8406 Stock]],17,0),0)</f>
        <v/>
      </c>
      <c r="W466" s="557" t="n"/>
      <c r="X466" s="599" t="n">
        <v>44.45</v>
      </c>
      <c r="Y466" s="599" t="n">
        <v>40</v>
      </c>
      <c r="Z466" s="6" t="n">
        <v>30</v>
      </c>
      <c r="AA466" s="599" t="n">
        <v>1.6</v>
      </c>
      <c r="AB466" s="600" t="n">
        <v>860</v>
      </c>
      <c r="AC466" s="600" t="inlineStr">
        <is>
          <t>NOS</t>
        </is>
      </c>
      <c r="AD466" s="600" t="n"/>
      <c r="AE466" s="600" t="n"/>
      <c r="AF466" s="601" t="n">
        <v>8000</v>
      </c>
      <c r="AG466" s="601" t="inlineStr">
        <is>
          <t>Aug 2026 schedule · rajsriya PLANT8</t>
        </is>
      </c>
      <c r="AH466" s="601">
        <f t="array" ref="AH4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6" s="602">
        <f>scheduleapr[[#This Row],[SCHEDULE in nos]]-scheduleapr[[#This Row],[DISPATCH]]</f>
        <v/>
      </c>
      <c r="AJ466" s="599">
        <f>(3.14*(scheduleapr[[#This Row],[ACTUAL OD]]-scheduleapr[[#This Row],[TICKNESS]])*scheduleapr[[#This Row],[TICKNESS]]*scheduleapr[[#This Row],[LENGTH]]*7.85)/1000000*scheduleapr[[#This Row],[SCHEDULE in nos]]/1000</f>
        <v/>
      </c>
      <c r="AK466" s="599">
        <f>(3.14*(scheduleapr[[#This Row],[ACTUAL OD]]-scheduleapr[[#This Row],[TICKNESS]])*scheduleapr[[#This Row],[TICKNESS]]*scheduleapr[[#This Row],[LENGTH]]*7.85)/1000000*scheduleapr[[#This Row],[DISPATCH]]/1000</f>
        <v/>
      </c>
      <c r="AL466" s="599">
        <f>AJ466-AK466</f>
        <v/>
      </c>
      <c r="AM466" s="599">
        <f>scheduleapr[[#This Row],[SCHEDULE in nos]]/scheduleapr[[#This Row],[SCHEDULE IN MT]]*scheduleapr[[#This Row],[CTL Stock]]</f>
        <v/>
      </c>
      <c r="AN466" s="599">
        <f>SUMIFS(stock[MT],stock[Bucket],scheduleapr[[#This Row],[Bucket]],stock[CTL Bucket],scheduleapr[[#This Row],[CTL Bucket]],stock[Plant],"0789")</f>
        <v/>
      </c>
      <c r="AO466" s="599" t="n"/>
      <c r="AP466" s="599">
        <f>SUMIFS(stock[MT],stock[Bucket],scheduleapr[[#This Row],[Bucket]],stock[LL or CTL],"LL")</f>
        <v/>
      </c>
      <c r="AQ466" s="599">
        <f>+SUMIFS(wip[Stock(Net Wt)],wip[Bucket],scheduleapr[[#This Row],[Bucket]])/1000</f>
        <v/>
      </c>
      <c r="AR466" s="599">
        <f>AJ466-AN466</f>
        <v/>
      </c>
      <c r="AS466" s="118" t="n"/>
    </row>
    <row r="467">
      <c r="A467" s="594" t="n">
        <v>421</v>
      </c>
      <c r="B467" s="5" t="inlineStr">
        <is>
          <t>Hosur</t>
        </is>
      </c>
      <c r="C467" s="601" t="inlineStr">
        <is>
          <t>Rajsriya Unit 8</t>
        </is>
      </c>
      <c r="D467" s="601" t="inlineStr">
        <is>
          <t>Rajsriya Automotive Hosur</t>
        </is>
      </c>
      <c r="E467" s="601" t="inlineStr">
        <is>
          <t>129695|187884|188415|189239|189240</t>
        </is>
      </c>
      <c r="F467" s="601" t="n">
        <v>1940837</v>
      </c>
      <c r="G467" s="601">
        <f>_xlfn.CONCAT(scheduleapr[[#This Row],[CUSTOMER CODE]],"-",scheduleapr[[#This Row],[MATERIAL NO]])</f>
        <v/>
      </c>
      <c r="H467" s="601" t="inlineStr">
        <is>
          <t>TUB-R-AW-RHS-40.00X30.00X2.000X0.8700</t>
        </is>
      </c>
      <c r="I467" s="601" t="inlineStr">
        <is>
          <t>ERW 1</t>
        </is>
      </c>
      <c r="J467" s="601" t="n"/>
      <c r="K467" s="601" t="inlineStr">
        <is>
          <t>FC</t>
        </is>
      </c>
      <c r="L467" s="601" t="inlineStr">
        <is>
          <t>HR</t>
        </is>
      </c>
      <c r="M467" s="601" t="n"/>
      <c r="N467" s="601" t="n"/>
      <c r="O467" s="601" t="n"/>
      <c r="P467" s="601" t="n"/>
      <c r="Q467" s="557">
        <f>CONCATENATE(scheduleapr[[#This Row],[OD]],"-",scheduleapr[[#This Row],[ID]],"-",scheduleapr[[#This Row],[TICKNESS]],"-",scheduleapr[[#This Row],[Grade]],"-",scheduleapr[[#This Row],[FC/NFC]])</f>
        <v/>
      </c>
      <c r="R467" s="557">
        <f>_xlfn.CONCAT(scheduleapr[[#This Row],[Bucket]],"-",scheduleapr[[#This Row],[LENGTH]]/1000)</f>
        <v/>
      </c>
      <c r="S467" s="557">
        <f>COUNTIF(scheduleapr[CTL Bucket],scheduleapr[[#This Row],[CTL Bucket]])</f>
        <v/>
      </c>
      <c r="T467" s="601" t="inlineStr">
        <is>
          <t>Hosur</t>
        </is>
      </c>
      <c r="U467" s="601">
        <f>_xlfn.IFNA(VLOOKUP(scheduleapr[[#This Row],[Bucket]],salesforecast[[#All],[Bucket2]:[8406 Stock]],19,0),0)</f>
        <v/>
      </c>
      <c r="V467" s="562">
        <f>_xlfn.IFNA(VLOOKUP(scheduleapr[[#This Row],[Bucket]],salesforecast[[#All],[Bucket2]:[8406 Stock]],20,0),0)+_xlfn.IFNA(VLOOKUP(scheduleapr[[#This Row],[Bucket]],salesforecast[[#All],[Bucket2]:[8406 Stock]],17,0),0)</f>
        <v/>
      </c>
      <c r="W467" s="557" t="n"/>
      <c r="X467" s="599" t="n">
        <v>44.45</v>
      </c>
      <c r="Y467" s="599" t="n">
        <v>40</v>
      </c>
      <c r="Z467" s="6" t="n">
        <v>30</v>
      </c>
      <c r="AA467" s="599" t="n">
        <v>2</v>
      </c>
      <c r="AB467" s="81" t="n">
        <v>870</v>
      </c>
      <c r="AC467" s="600" t="inlineStr">
        <is>
          <t>NOS</t>
        </is>
      </c>
      <c r="AD467" s="600" t="n"/>
      <c r="AE467" s="600" t="n"/>
      <c r="AF467" s="601" t="n">
        <v>3000</v>
      </c>
      <c r="AG467" s="601" t="inlineStr">
        <is>
          <t>Aug 2026 schedule · rajsriya PLANT8</t>
        </is>
      </c>
      <c r="AH467" s="601">
        <f t="array" ref="AH4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7" s="602">
        <f>scheduleapr[[#This Row],[SCHEDULE in nos]]-scheduleapr[[#This Row],[DISPATCH]]</f>
        <v/>
      </c>
      <c r="AJ467" s="599">
        <f>(3.14*(scheduleapr[[#This Row],[ACTUAL OD]]-scheduleapr[[#This Row],[TICKNESS]])*scheduleapr[[#This Row],[TICKNESS]]*scheduleapr[[#This Row],[LENGTH]]*7.85)/1000000*scheduleapr[[#This Row],[SCHEDULE in nos]]/1000</f>
        <v/>
      </c>
      <c r="AK467" s="599">
        <f>(3.14*(scheduleapr[[#This Row],[ACTUAL OD]]-scheduleapr[[#This Row],[TICKNESS]])*scheduleapr[[#This Row],[TICKNESS]]*scheduleapr[[#This Row],[LENGTH]]*7.85)/1000000*scheduleapr[[#This Row],[DISPATCH]]/1000</f>
        <v/>
      </c>
      <c r="AL467" s="599">
        <f>AJ467-AK467</f>
        <v/>
      </c>
      <c r="AM467" s="599">
        <f>scheduleapr[[#This Row],[SCHEDULE in nos]]/scheduleapr[[#This Row],[SCHEDULE IN MT]]*scheduleapr[[#This Row],[CTL Stock]]</f>
        <v/>
      </c>
      <c r="AN467" s="599">
        <f>SUMIFS(stock[MT],stock[Bucket],scheduleapr[[#This Row],[Bucket]],stock[CTL Bucket],scheduleapr[[#This Row],[CTL Bucket]],stock[Plant],"0789")</f>
        <v/>
      </c>
      <c r="AO467" s="599" t="n"/>
      <c r="AP467" s="599">
        <f>SUMIFS(stock[MT],stock[Bucket],scheduleapr[[#This Row],[Bucket]],stock[LL or CTL],"LL")</f>
        <v/>
      </c>
      <c r="AQ467" s="599">
        <f>+SUMIFS(wip[Stock(Net Wt)],wip[Bucket],scheduleapr[[#This Row],[Bucket]])/1000</f>
        <v/>
      </c>
      <c r="AR467" s="599">
        <f>AJ467-AN467</f>
        <v/>
      </c>
      <c r="AS467" s="118" t="n"/>
    </row>
    <row r="468">
      <c r="A468" s="556" t="n"/>
      <c r="B468" s="5" t="inlineStr">
        <is>
          <t>Hosur</t>
        </is>
      </c>
      <c r="C468" s="601" t="inlineStr">
        <is>
          <t>Rajsriya Unit 8</t>
        </is>
      </c>
      <c r="D468" s="601" t="inlineStr">
        <is>
          <t>Rajsriya Automotive Hosur</t>
        </is>
      </c>
      <c r="E468" s="601" t="inlineStr">
        <is>
          <t>129695|187884|188415|189239|189240</t>
        </is>
      </c>
      <c r="F468" s="477" t="n">
        <v>4141595</v>
      </c>
      <c r="G468" s="601">
        <f>_xlfn.CONCAT(scheduleapr[[#This Row],[CUSTOMER CODE]],"-",scheduleapr[[#This Row],[MATERIAL NO]])</f>
        <v/>
      </c>
      <c r="H468" s="557" t="n"/>
      <c r="I468" s="601" t="inlineStr">
        <is>
          <t>ERW 1</t>
        </is>
      </c>
      <c r="J468" s="557" t="n"/>
      <c r="K468" s="557" t="n"/>
      <c r="L468" s="557" t="n"/>
      <c r="M468" s="558" t="n"/>
      <c r="N468" s="557" t="n"/>
      <c r="O468" s="557" t="n"/>
      <c r="P468" s="557" t="n"/>
      <c r="Q468" s="557" t="n"/>
      <c r="R468" s="557" t="n"/>
      <c r="S468" s="557" t="n"/>
      <c r="T468" s="601" t="n"/>
      <c r="U468" s="601" t="n"/>
      <c r="V468" s="598" t="n"/>
      <c r="W468" s="601" t="n"/>
      <c r="X468" s="559" t="n">
        <v>50.8</v>
      </c>
      <c r="Y468" s="559" t="n">
        <v>50</v>
      </c>
      <c r="Z468" s="559" t="n">
        <v>30</v>
      </c>
      <c r="AA468" s="559" t="n">
        <v>2</v>
      </c>
      <c r="AB468" s="600" t="n">
        <v>770</v>
      </c>
      <c r="AC468" s="600" t="inlineStr">
        <is>
          <t>NOS</t>
        </is>
      </c>
      <c r="AD468" s="600" t="n"/>
      <c r="AE468" s="600" t="n"/>
      <c r="AF468" s="557" t="n"/>
      <c r="AG468" s="557" t="n"/>
      <c r="AH468" s="557">
        <f t="array" ref="AH4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8" s="560">
        <f>scheduleapr[[#This Row],[SCHEDULE in nos]]-scheduleapr[[#This Row],[DISPATCH]]</f>
        <v/>
      </c>
      <c r="AJ468" s="559">
        <f>(3.14*(scheduleapr[[#This Row],[ACTUAL OD]]-scheduleapr[[#This Row],[TICKNESS]])*scheduleapr[[#This Row],[TICKNESS]]*scheduleapr[[#This Row],[LENGTH]]*7.85)/1000000*scheduleapr[[#This Row],[SCHEDULE in nos]]/1000</f>
        <v/>
      </c>
      <c r="AK468" s="599">
        <f>(3.14*(scheduleapr[[#This Row],[ACTUAL OD]]-scheduleapr[[#This Row],[TICKNESS]])*scheduleapr[[#This Row],[TICKNESS]]*scheduleapr[[#This Row],[LENGTH]]*7.85)/1000000*scheduleapr[[#This Row],[DISPATCH]]/1000</f>
        <v/>
      </c>
      <c r="AL468" s="599">
        <f>AJ468-AK468</f>
        <v/>
      </c>
      <c r="AM468" s="559">
        <f>scheduleapr[[#This Row],[SCHEDULE in nos]]/scheduleapr[[#This Row],[SCHEDULE IN MT]]*scheduleapr[[#This Row],[CTL Stock]]</f>
        <v/>
      </c>
      <c r="AN468" s="599">
        <f>SUMIFS(stock[MT],stock[Bucket],scheduleapr[[#This Row],[Bucket]],stock[CTL Bucket],scheduleapr[[#This Row],[CTL Bucket]],stock[Plant],"0789")</f>
        <v/>
      </c>
      <c r="AO468" s="599" t="n"/>
      <c r="AP468" s="599">
        <f>SUMIFS(stock[MT],stock[Bucket],scheduleapr[[#This Row],[Bucket]],stock[LL or CTL],"LL")</f>
        <v/>
      </c>
      <c r="AQ468" s="599">
        <f>+SUMIFS(wip[Stock(Net Wt)],wip[Bucket],scheduleapr[[#This Row],[Bucket]])/1000</f>
        <v/>
      </c>
      <c r="AR468" s="599">
        <f>AJ468-AN468</f>
        <v/>
      </c>
      <c r="AS468" s="118" t="n"/>
    </row>
    <row r="469">
      <c r="A469" s="594" t="n">
        <v>341</v>
      </c>
      <c r="B469" s="5" t="inlineStr">
        <is>
          <t>Hosur</t>
        </is>
      </c>
      <c r="C469" s="601" t="inlineStr">
        <is>
          <t>Rajsriya Unit 8</t>
        </is>
      </c>
      <c r="D469" s="601" t="inlineStr">
        <is>
          <t>Rajsriya Automotive Hosur</t>
        </is>
      </c>
      <c r="E469" s="601" t="inlineStr">
        <is>
          <t>129695|187884|188415|189239|189240</t>
        </is>
      </c>
      <c r="F469" s="601" t="n"/>
      <c r="G469" s="601">
        <f>_xlfn.CONCAT(scheduleapr[[#This Row],[CUSTOMER CODE]],"-",scheduleapr[[#This Row],[MATERIAL NO]])</f>
        <v/>
      </c>
      <c r="H469" s="601" t="inlineStr">
        <is>
          <t>CUT-O-N-AUT-AW-FC-57.15X2.000X0.409</t>
        </is>
      </c>
      <c r="I469" s="601" t="inlineStr">
        <is>
          <t>ERW 1</t>
        </is>
      </c>
      <c r="J469" s="601" t="n"/>
      <c r="K469" s="601" t="inlineStr">
        <is>
          <t>FC</t>
        </is>
      </c>
      <c r="L469" s="601" t="inlineStr">
        <is>
          <t>HR</t>
        </is>
      </c>
      <c r="M469" s="601" t="n"/>
      <c r="N469" s="601" t="n"/>
      <c r="O469" s="601" t="n"/>
      <c r="P469" s="601" t="n"/>
      <c r="Q469" s="557">
        <f>CONCATENATE(scheduleapr[[#This Row],[OD]],"-",scheduleapr[[#This Row],[ID]],"-",scheduleapr[[#This Row],[TICKNESS]],"-",scheduleapr[[#This Row],[Grade]],"-",scheduleapr[[#This Row],[FC/NFC]])</f>
        <v/>
      </c>
      <c r="R469" s="557">
        <f>_xlfn.CONCAT(scheduleapr[[#This Row],[Bucket]],"-",scheduleapr[[#This Row],[LENGTH]]/1000)</f>
        <v/>
      </c>
      <c r="S469" s="557">
        <f>COUNTIF(scheduleapr[CTL Bucket],scheduleapr[[#This Row],[CTL Bucket]])</f>
        <v/>
      </c>
      <c r="T469" s="557" t="n"/>
      <c r="U469" s="601">
        <f>_xlfn.IFNA(VLOOKUP(scheduleapr[[#This Row],[Bucket]],salesforecast[[#All],[Bucket2]:[8406 Stock]],19,0),0)</f>
        <v/>
      </c>
      <c r="V469" s="562">
        <f>_xlfn.IFNA(VLOOKUP(scheduleapr[[#This Row],[Bucket]],salesforecast[[#All],[Bucket2]:[8406 Stock]],20,0),0)+_xlfn.IFNA(VLOOKUP(scheduleapr[[#This Row],[Bucket]],salesforecast[[#All],[Bucket2]:[8406 Stock]],17,0),0)</f>
        <v/>
      </c>
      <c r="W469" s="557" t="n"/>
      <c r="X469" s="599" t="n">
        <v>57.15</v>
      </c>
      <c r="Y469" s="599" t="n">
        <v>57.15</v>
      </c>
      <c r="Z469" s="599" t="n">
        <v>0</v>
      </c>
      <c r="AA469" s="599" t="n">
        <v>2</v>
      </c>
      <c r="AB469" s="600" t="n">
        <v>409</v>
      </c>
      <c r="AC469" s="600" t="inlineStr">
        <is>
          <t>NOS</t>
        </is>
      </c>
      <c r="AD469" s="600" t="n"/>
      <c r="AE469" s="600" t="n"/>
      <c r="AF469" s="601" t="n">
        <v>15000</v>
      </c>
      <c r="AG469" s="601" t="inlineStr">
        <is>
          <t>Aug 2026 schedule · rajsriya PLANT8</t>
        </is>
      </c>
      <c r="AH469" s="601">
        <f t="array" ref="AH4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69" s="602">
        <f>scheduleapr[[#This Row],[SCHEDULE in nos]]-scheduleapr[[#This Row],[DISPATCH]]</f>
        <v/>
      </c>
      <c r="AJ469" s="599">
        <f>(3.14*(scheduleapr[[#This Row],[ACTUAL OD]]-scheduleapr[[#This Row],[TICKNESS]])*scheduleapr[[#This Row],[TICKNESS]]*scheduleapr[[#This Row],[LENGTH]]*7.85)/1000000*scheduleapr[[#This Row],[SCHEDULE in nos]]/1000</f>
        <v/>
      </c>
      <c r="AK469" s="599">
        <f>(3.14*(scheduleapr[[#This Row],[ACTUAL OD]]-scheduleapr[[#This Row],[TICKNESS]])*scheduleapr[[#This Row],[TICKNESS]]*scheduleapr[[#This Row],[LENGTH]]*7.85)/1000000*scheduleapr[[#This Row],[DISPATCH]]/1000</f>
        <v/>
      </c>
      <c r="AL469" s="599">
        <f>AJ469-AK469</f>
        <v/>
      </c>
      <c r="AM469" s="599">
        <f>scheduleapr[[#This Row],[SCHEDULE in nos]]/scheduleapr[[#This Row],[SCHEDULE IN MT]]*scheduleapr[[#This Row],[CTL Stock]]</f>
        <v/>
      </c>
      <c r="AN469" s="599">
        <f>SUMIFS(stock[MT],stock[Bucket],scheduleapr[[#This Row],[Bucket]],stock[CTL Bucket],scheduleapr[[#This Row],[CTL Bucket]],stock[Plant],"0789")</f>
        <v/>
      </c>
      <c r="AO469" s="599" t="n"/>
      <c r="AP469" s="599">
        <f>SUMIFS(stock[MT],stock[Bucket],scheduleapr[[#This Row],[Bucket]],stock[LL or CTL],"LL")</f>
        <v/>
      </c>
      <c r="AQ469" s="599">
        <f>+SUMIFS(wip[Stock(Net Wt)],wip[Bucket],scheduleapr[[#This Row],[Bucket]])/1000</f>
        <v/>
      </c>
      <c r="AR469" s="599">
        <f>AJ469-AN469</f>
        <v/>
      </c>
      <c r="AS469" s="118" t="n"/>
    </row>
    <row r="470">
      <c r="A470" s="594" t="n">
        <v>342</v>
      </c>
      <c r="B470" s="5" t="inlineStr">
        <is>
          <t>Hosur</t>
        </is>
      </c>
      <c r="C470" s="601" t="inlineStr">
        <is>
          <t>Rajsriya Automotive</t>
        </is>
      </c>
      <c r="D470" s="601" t="inlineStr">
        <is>
          <t>Rajsriya Automotive Hosur</t>
        </is>
      </c>
      <c r="E470" s="601" t="inlineStr">
        <is>
          <t>129695|187884|188415|189239|189240</t>
        </is>
      </c>
      <c r="F470" s="9" t="n">
        <v>3727461</v>
      </c>
      <c r="G470" s="601">
        <f>_xlfn.CONCAT(scheduleapr[[#This Row],[CUSTOMER CODE]],"-",scheduleapr[[#This Row],[MATERIAL NO]])</f>
        <v/>
      </c>
      <c r="H470" s="9" t="inlineStr">
        <is>
          <t>CUT-O-N-AUT-AW-FC-57.15X2.000X0.4130</t>
        </is>
      </c>
      <c r="I470" s="601" t="inlineStr">
        <is>
          <t>ERW 1</t>
        </is>
      </c>
      <c r="J470" s="601" t="n"/>
      <c r="K470" s="601" t="n"/>
      <c r="L470" s="601" t="inlineStr">
        <is>
          <t>HR</t>
        </is>
      </c>
      <c r="M470" s="601" t="n"/>
      <c r="N470" s="601" t="n"/>
      <c r="O470" s="601" t="n"/>
      <c r="P470" s="601" t="n"/>
      <c r="Q470" s="557">
        <f>CONCATENATE(scheduleapr[[#This Row],[OD]],"-",scheduleapr[[#This Row],[ID]],"-",scheduleapr[[#This Row],[TICKNESS]],"-",scheduleapr[[#This Row],[Grade]],"-",scheduleapr[[#This Row],[FC/NFC]])</f>
        <v/>
      </c>
      <c r="R470" s="557">
        <f>_xlfn.CONCAT(scheduleapr[[#This Row],[Bucket]],"-",scheduleapr[[#This Row],[LENGTH]]/1000)</f>
        <v/>
      </c>
      <c r="S470" s="557">
        <f>COUNTIF([2]!buckets[CTL Bucket],[2]!scheduleapr[[#This Row],[CTL Bucket]])</f>
        <v/>
      </c>
      <c r="T470" s="557" t="n"/>
      <c r="U470" s="557" t="n"/>
      <c r="V470" s="557" t="n"/>
      <c r="W470" s="557" t="n"/>
      <c r="X470" s="599" t="n">
        <v>57.15</v>
      </c>
      <c r="Y470" s="599" t="n">
        <v>57.15</v>
      </c>
      <c r="Z470" s="599" t="n">
        <v>0</v>
      </c>
      <c r="AA470" s="599" t="n">
        <v>2</v>
      </c>
      <c r="AB470" s="600" t="n">
        <v>413</v>
      </c>
      <c r="AC470" s="600" t="n"/>
      <c r="AD470" s="600" t="n"/>
      <c r="AE470" s="600" t="n"/>
      <c r="AF470" s="601" t="n"/>
      <c r="AG470" s="601" t="n"/>
      <c r="AH470" s="601">
        <f t="array" ref="AH4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0" s="602">
        <f>scheduleapr[[#This Row],[SCHEDULE in nos]]-scheduleapr[[#This Row],[DISPATCH]]</f>
        <v/>
      </c>
      <c r="AJ470" s="599">
        <f>(3.14*(scheduleapr[[#This Row],[ACTUAL OD]]-scheduleapr[[#This Row],[TICKNESS]])*scheduleapr[[#This Row],[TICKNESS]]*scheduleapr[[#This Row],[LENGTH]]*7.85)/1000000*scheduleapr[[#This Row],[SCHEDULE in nos]]/1000</f>
        <v/>
      </c>
      <c r="AK470" s="599">
        <f>(3.14*(scheduleapr[[#This Row],[ACTUAL OD]]-scheduleapr[[#This Row],[TICKNESS]])*scheduleapr[[#This Row],[TICKNESS]]*scheduleapr[[#This Row],[LENGTH]]*7.85)/1000000*scheduleapr[[#This Row],[DISPATCH]]/1000</f>
        <v/>
      </c>
      <c r="AL470" s="599">
        <f>AJ470-AK470</f>
        <v/>
      </c>
      <c r="AM470" s="599">
        <f>scheduleapr[[#This Row],[SCHEDULE in nos]]/scheduleapr[[#This Row],[SCHEDULE IN MT]]*scheduleapr[[#This Row],[CTL Stock]]</f>
        <v/>
      </c>
      <c r="AN470" s="599">
        <f>SUMIFS(stock[MT],stock[Bucket],scheduleapr[[#This Row],[Bucket]],stock[CTL Bucket],scheduleapr[[#This Row],[CTL Bucket]],stock[Plant],"0789")</f>
        <v/>
      </c>
      <c r="AO470" s="599" t="n"/>
      <c r="AP470" s="599">
        <f>SUMIFS(stock[MT],stock[Bucket],scheduleapr[[#This Row],[Bucket]],stock[LL or CTL],"LL")</f>
        <v/>
      </c>
      <c r="AQ470" s="599">
        <f>+SUMIFS(wip[Stock(Net Wt)],wip[Bucket],scheduleapr[[#This Row],[Bucket]])/1000</f>
        <v/>
      </c>
      <c r="AR470" s="599">
        <f>AJ470-AN470</f>
        <v/>
      </c>
      <c r="AS470" s="118" t="n"/>
    </row>
    <row r="471">
      <c r="A471" s="594" t="n">
        <v>343</v>
      </c>
      <c r="B471" s="5" t="inlineStr">
        <is>
          <t>Hosur</t>
        </is>
      </c>
      <c r="C471" s="601" t="inlineStr">
        <is>
          <t>Rajsriya Unit 8</t>
        </is>
      </c>
      <c r="D471" s="601" t="inlineStr">
        <is>
          <t>Rajsriya Automotive Hosur</t>
        </is>
      </c>
      <c r="E471" s="601" t="inlineStr">
        <is>
          <t>129695|187884|188415|189239|189240</t>
        </is>
      </c>
      <c r="F471" s="601" t="inlineStr">
        <is>
          <t>NO MATERIAL CODE</t>
        </is>
      </c>
      <c r="G471" s="601">
        <f>_xlfn.CONCAT(scheduleapr[[#This Row],[CUSTOMER CODE]],"-",scheduleapr[[#This Row],[MATERIAL NO]])</f>
        <v/>
      </c>
      <c r="H471" s="601" t="inlineStr">
        <is>
          <t>\</t>
        </is>
      </c>
      <c r="I471" s="601" t="inlineStr">
        <is>
          <t>ERW 1</t>
        </is>
      </c>
      <c r="J471" s="601" t="n"/>
      <c r="K471" s="601" t="inlineStr">
        <is>
          <t>FC</t>
        </is>
      </c>
      <c r="L471" s="601" t="inlineStr">
        <is>
          <t>HR</t>
        </is>
      </c>
      <c r="M471" s="601" t="n"/>
      <c r="N471" s="601" t="n"/>
      <c r="O471" s="601" t="inlineStr">
        <is>
          <t>AG</t>
        </is>
      </c>
      <c r="P471" s="601" t="n"/>
      <c r="Q471" s="557">
        <f>CONCATENATE(scheduleapr[[#This Row],[OD]],"-",scheduleapr[[#This Row],[ID]],"-",scheduleapr[[#This Row],[TICKNESS]],"-",scheduleapr[[#This Row],[Grade]],"-",scheduleapr[[#This Row],[FC/NFC]])</f>
        <v/>
      </c>
      <c r="R471" s="557">
        <f>_xlfn.CONCAT(scheduleapr[[#This Row],[Bucket]],"-",scheduleapr[[#This Row],[LENGTH]]/1000)</f>
        <v/>
      </c>
      <c r="S471" s="557">
        <f>COUNTIF(scheduleapr[CTL Bucket],scheduleapr[[#This Row],[CTL Bucket]])</f>
        <v/>
      </c>
      <c r="T471" s="557" t="n"/>
      <c r="U471" s="601">
        <f>_xlfn.IFNA(VLOOKUP(scheduleapr[[#This Row],[Bucket]],salesforecast[[#All],[Bucket2]:[8406 Stock]],19,0),0)</f>
        <v/>
      </c>
      <c r="V471" s="562">
        <f>_xlfn.IFNA(VLOOKUP(scheduleapr[[#This Row],[Bucket]],salesforecast[[#All],[Bucket2]:[8406 Stock]],20,0),0)+_xlfn.IFNA(VLOOKUP(scheduleapr[[#This Row],[Bucket]],salesforecast[[#All],[Bucket2]:[8406 Stock]],17,0),0)</f>
        <v/>
      </c>
      <c r="W471" s="557" t="n"/>
      <c r="X471" s="599" t="n">
        <v>57.15</v>
      </c>
      <c r="Y471" s="599" t="n">
        <v>57.15</v>
      </c>
      <c r="Z471" s="599" t="n">
        <v>0</v>
      </c>
      <c r="AA471" s="599" t="n">
        <v>2.5</v>
      </c>
      <c r="AB471" s="81" t="n">
        <v>376</v>
      </c>
      <c r="AC471" s="600" t="inlineStr">
        <is>
          <t>NOS</t>
        </is>
      </c>
      <c r="AD471" s="600" t="n"/>
      <c r="AE471" s="600" t="n"/>
      <c r="AF471" s="601" t="n"/>
      <c r="AG471" s="601" t="n"/>
      <c r="AH471" s="601">
        <f t="array" ref="AH4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1" s="602">
        <f>scheduleapr[[#This Row],[SCHEDULE in nos]]-scheduleapr[[#This Row],[DISPATCH]]</f>
        <v/>
      </c>
      <c r="AJ471" s="599">
        <f>(3.14*(scheduleapr[[#This Row],[ACTUAL OD]]-scheduleapr[[#This Row],[TICKNESS]])*scheduleapr[[#This Row],[TICKNESS]]*scheduleapr[[#This Row],[LENGTH]]*7.85)/1000000*scheduleapr[[#This Row],[SCHEDULE in nos]]/1000</f>
        <v/>
      </c>
      <c r="AK471" s="599">
        <f>(3.14*(scheduleapr[[#This Row],[ACTUAL OD]]-scheduleapr[[#This Row],[TICKNESS]])*scheduleapr[[#This Row],[TICKNESS]]*scheduleapr[[#This Row],[LENGTH]]*7.85)/1000000*scheduleapr[[#This Row],[DISPATCH]]/1000</f>
        <v/>
      </c>
      <c r="AL471" s="599">
        <f>AJ471-AK471</f>
        <v/>
      </c>
      <c r="AM471" s="599">
        <f>scheduleapr[[#This Row],[SCHEDULE in nos]]/scheduleapr[[#This Row],[SCHEDULE IN MT]]*scheduleapr[[#This Row],[CTL Stock]]</f>
        <v/>
      </c>
      <c r="AN471" s="599">
        <f>SUMIFS(stock[MT],stock[Bucket],scheduleapr[[#This Row],[Bucket]],stock[CTL Bucket],scheduleapr[[#This Row],[CTL Bucket]],stock[Plant],"0789")</f>
        <v/>
      </c>
      <c r="AO471" s="599" t="n"/>
      <c r="AP471" s="599">
        <f>SUMIFS(stock[MT],stock[Bucket],scheduleapr[[#This Row],[Bucket]],stock[LL or CTL],"LL")</f>
        <v/>
      </c>
      <c r="AQ471" s="599">
        <f>+SUMIFS(wip[Stock(Net Wt)],wip[Bucket],scheduleapr[[#This Row],[Bucket]])/1000</f>
        <v/>
      </c>
      <c r="AR471" s="599">
        <f>AJ471-AN471</f>
        <v/>
      </c>
      <c r="AS471" s="118" t="n"/>
    </row>
    <row r="472">
      <c r="A472" s="594" t="n">
        <v>499</v>
      </c>
      <c r="B472" s="5" t="inlineStr">
        <is>
          <t>Hosur</t>
        </is>
      </c>
      <c r="C472" s="601" t="inlineStr">
        <is>
          <t>Rajsriya Unit 8</t>
        </is>
      </c>
      <c r="D472" s="601" t="inlineStr">
        <is>
          <t>Rajsriya Automotive Hosur</t>
        </is>
      </c>
      <c r="E472" s="601" t="inlineStr">
        <is>
          <t>129695|187884|188415|189239|189240</t>
        </is>
      </c>
      <c r="F472" s="601" t="n">
        <v>1940911</v>
      </c>
      <c r="G472" s="601">
        <f>_xlfn.CONCAT(scheduleapr[[#This Row],[CUSTOMER CODE]],"-",scheduleapr[[#This Row],[MATERIAL NO]])</f>
        <v/>
      </c>
      <c r="H472" s="601" t="inlineStr">
        <is>
          <t>TUB-O-O-AUT-AW-AG-57.15X2.500X0.7720</t>
        </is>
      </c>
      <c r="I472" s="601" t="inlineStr">
        <is>
          <t>ERW 1</t>
        </is>
      </c>
      <c r="J472" s="601" t="n"/>
      <c r="K472" s="601" t="inlineStr">
        <is>
          <t>FC</t>
        </is>
      </c>
      <c r="L472" s="601" t="inlineStr">
        <is>
          <t>HR</t>
        </is>
      </c>
      <c r="M472" s="601" t="n"/>
      <c r="N472" s="601" t="n"/>
      <c r="O472" s="601" t="inlineStr">
        <is>
          <t>AG</t>
        </is>
      </c>
      <c r="P472" s="601" t="n"/>
      <c r="Q472" s="557">
        <f>CONCATENATE(scheduleapr[[#This Row],[OD]],"-",scheduleapr[[#This Row],[ID]],"-",scheduleapr[[#This Row],[TICKNESS]],"-",scheduleapr[[#This Row],[Grade]],"-",scheduleapr[[#This Row],[FC/NFC]])</f>
        <v/>
      </c>
      <c r="R472" s="557">
        <f>_xlfn.CONCAT(scheduleapr[[#This Row],[Bucket]],"-",scheduleapr[[#This Row],[LENGTH]]/1000)</f>
        <v/>
      </c>
      <c r="S472" s="557">
        <f>COUNTIF(scheduleapr[CTL Bucket],scheduleapr[[#This Row],[CTL Bucket]])</f>
        <v/>
      </c>
      <c r="T472" s="601" t="inlineStr">
        <is>
          <t>Hosur</t>
        </is>
      </c>
      <c r="U472" s="601">
        <f>_xlfn.IFNA(VLOOKUP(scheduleapr[[#This Row],[Bucket]],salesforecast[[#All],[Bucket2]:[8406 Stock]],19,0),0)</f>
        <v/>
      </c>
      <c r="V472" s="562">
        <f>_xlfn.IFNA(VLOOKUP(scheduleapr[[#This Row],[Bucket]],salesforecast[[#All],[Bucket2]:[8406 Stock]],20,0),0)+_xlfn.IFNA(VLOOKUP(scheduleapr[[#This Row],[Bucket]],salesforecast[[#All],[Bucket2]:[8406 Stock]],17,0),0)</f>
        <v/>
      </c>
      <c r="W472" s="557" t="n"/>
      <c r="X472" s="599" t="n">
        <v>57.15</v>
      </c>
      <c r="Y472" s="599" t="n">
        <v>57.15</v>
      </c>
      <c r="Z472" s="599" t="n">
        <v>0</v>
      </c>
      <c r="AA472" s="599" t="n">
        <v>2.5</v>
      </c>
      <c r="AB472" s="81" t="n">
        <v>772</v>
      </c>
      <c r="AC472" s="600" t="inlineStr">
        <is>
          <t>NOS</t>
        </is>
      </c>
      <c r="AD472" s="600" t="n"/>
      <c r="AE472" s="600" t="n"/>
      <c r="AF472" s="601" t="n">
        <v>3000</v>
      </c>
      <c r="AG472" s="601" t="inlineStr">
        <is>
          <t>Aug 2026 schedule · rajsriya PLANT8</t>
        </is>
      </c>
      <c r="AH472" s="601">
        <f t="array" ref="AH4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2" s="602">
        <f>scheduleapr[[#This Row],[SCHEDULE in nos]]-scheduleapr[[#This Row],[DISPATCH]]</f>
        <v/>
      </c>
      <c r="AJ472" s="599">
        <f>(3.14*(scheduleapr[[#This Row],[ACTUAL OD]]-scheduleapr[[#This Row],[TICKNESS]])*scheduleapr[[#This Row],[TICKNESS]]*scheduleapr[[#This Row],[LENGTH]]*7.85)/1000000*scheduleapr[[#This Row],[SCHEDULE in nos]]/1000</f>
        <v/>
      </c>
      <c r="AK472" s="599">
        <f>(3.14*(scheduleapr[[#This Row],[ACTUAL OD]]-scheduleapr[[#This Row],[TICKNESS]])*scheduleapr[[#This Row],[TICKNESS]]*scheduleapr[[#This Row],[LENGTH]]*7.85)/1000000*scheduleapr[[#This Row],[DISPATCH]]/1000</f>
        <v/>
      </c>
      <c r="AL472" s="599">
        <f>AJ472-AK472</f>
        <v/>
      </c>
      <c r="AM472" s="599">
        <f>scheduleapr[[#This Row],[SCHEDULE in nos]]/scheduleapr[[#This Row],[SCHEDULE IN MT]]*scheduleapr[[#This Row],[CTL Stock]]</f>
        <v/>
      </c>
      <c r="AN472" s="599">
        <f>SUMIFS(stock[MT],stock[Bucket],scheduleapr[[#This Row],[Bucket]],stock[CTL Bucket],scheduleapr[[#This Row],[CTL Bucket]],stock[Plant],"0789")</f>
        <v/>
      </c>
      <c r="AO472" s="599" t="n"/>
      <c r="AP472" s="599">
        <f>SUMIFS(stock[MT],stock[Bucket],scheduleapr[[#This Row],[Bucket]],stock[LL or CTL],"LL")</f>
        <v/>
      </c>
      <c r="AQ472" s="599">
        <f>+SUMIFS(wip[Stock(Net Wt)],wip[Bucket],scheduleapr[[#This Row],[Bucket]])/1000</f>
        <v/>
      </c>
      <c r="AR472" s="599">
        <f>AJ472-AN472</f>
        <v/>
      </c>
      <c r="AS472" s="118" t="n"/>
    </row>
    <row r="473">
      <c r="A473" s="594" t="n">
        <v>500</v>
      </c>
      <c r="B473" s="5" t="inlineStr">
        <is>
          <t xml:space="preserve">Khopoli </t>
        </is>
      </c>
      <c r="C473" s="601" t="inlineStr">
        <is>
          <t>Rajsriya Unit 8</t>
        </is>
      </c>
      <c r="D473" s="601" t="inlineStr">
        <is>
          <t>Rajsriya Automotive Hosur</t>
        </is>
      </c>
      <c r="E473" s="601" t="inlineStr">
        <is>
          <t>129695|187884|188415|189239|189240</t>
        </is>
      </c>
      <c r="F473" s="601" t="inlineStr">
        <is>
          <t>NO MATERIAL CODE</t>
        </is>
      </c>
      <c r="G473" s="601">
        <f>_xlfn.CONCAT(scheduleapr[[#This Row],[CUSTOMER CODE]],"-",scheduleapr[[#This Row],[MATERIAL NO]])</f>
        <v/>
      </c>
      <c r="H473" s="601" t="n"/>
      <c r="I473" s="601" t="inlineStr">
        <is>
          <t>ERW 1</t>
        </is>
      </c>
      <c r="J473" s="601" t="n"/>
      <c r="K473" s="601" t="inlineStr">
        <is>
          <t>FC</t>
        </is>
      </c>
      <c r="L473" s="601" t="inlineStr">
        <is>
          <t>HR</t>
        </is>
      </c>
      <c r="M473" s="601" t="n"/>
      <c r="N473" s="601" t="n"/>
      <c r="O473" s="601" t="inlineStr">
        <is>
          <t>AG</t>
        </is>
      </c>
      <c r="P473" s="601" t="n"/>
      <c r="Q473" s="557">
        <f>CONCATENATE(scheduleapr[[#This Row],[OD]],"-",scheduleapr[[#This Row],[ID]],"-",scheduleapr[[#This Row],[TICKNESS]],"-",scheduleapr[[#This Row],[Grade]],"-",scheduleapr[[#This Row],[FC/NFC]])</f>
        <v/>
      </c>
      <c r="R473" s="557">
        <f>_xlfn.CONCAT(scheduleapr[[#This Row],[Bucket]],"-",scheduleapr[[#This Row],[LENGTH]]/1000)</f>
        <v/>
      </c>
      <c r="S473" s="557">
        <f>COUNTIF(scheduleapr[CTL Bucket],scheduleapr[[#This Row],[CTL Bucket]])</f>
        <v/>
      </c>
      <c r="T473" s="601" t="inlineStr">
        <is>
          <t>Khopoli</t>
        </is>
      </c>
      <c r="U473" s="601">
        <f>_xlfn.IFNA(VLOOKUP(scheduleapr[[#This Row],[Bucket]],salesforecast[[#All],[Bucket2]:[8406 Stock]],19,0),0)</f>
        <v/>
      </c>
      <c r="V473" s="562">
        <f>_xlfn.IFNA(VLOOKUP(scheduleapr[[#This Row],[Bucket]],salesforecast[[#All],[Bucket2]:[8406 Stock]],20,0),0)+_xlfn.IFNA(VLOOKUP(scheduleapr[[#This Row],[Bucket]],salesforecast[[#All],[Bucket2]:[8406 Stock]],17,0),0)</f>
        <v/>
      </c>
      <c r="W473" s="557" t="n"/>
      <c r="X473" s="599" t="n">
        <v>60.3</v>
      </c>
      <c r="Y473" s="599" t="n">
        <v>60.3</v>
      </c>
      <c r="Z473" s="599" t="n">
        <v>0</v>
      </c>
      <c r="AA473" s="599" t="n">
        <v>2</v>
      </c>
      <c r="AB473" s="81" t="n">
        <v>491</v>
      </c>
      <c r="AC473" s="600" t="inlineStr">
        <is>
          <t>NOS</t>
        </is>
      </c>
      <c r="AD473" s="600" t="n"/>
      <c r="AE473" s="600" t="n"/>
      <c r="AF473" s="601" t="n"/>
      <c r="AG473" s="601" t="n"/>
      <c r="AH473" s="601">
        <f t="array" ref="AH4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3" s="602">
        <f>scheduleapr[[#This Row],[SCHEDULE in nos]]-scheduleapr[[#This Row],[DISPATCH]]</f>
        <v/>
      </c>
      <c r="AJ473" s="599">
        <f>(3.14*(scheduleapr[[#This Row],[ACTUAL OD]]-scheduleapr[[#This Row],[TICKNESS]])*scheduleapr[[#This Row],[TICKNESS]]*scheduleapr[[#This Row],[LENGTH]]*7.85)/1000000*scheduleapr[[#This Row],[SCHEDULE in nos]]/1000</f>
        <v/>
      </c>
      <c r="AK473" s="599">
        <f>(3.14*(scheduleapr[[#This Row],[ACTUAL OD]]-scheduleapr[[#This Row],[TICKNESS]])*scheduleapr[[#This Row],[TICKNESS]]*scheduleapr[[#This Row],[LENGTH]]*7.85)/1000000*scheduleapr[[#This Row],[DISPATCH]]/1000</f>
        <v/>
      </c>
      <c r="AL473" s="599">
        <f>AJ473-AK473</f>
        <v/>
      </c>
      <c r="AM473" s="599">
        <f>scheduleapr[[#This Row],[SCHEDULE in nos]]/scheduleapr[[#This Row],[SCHEDULE IN MT]]*scheduleapr[[#This Row],[CTL Stock]]</f>
        <v/>
      </c>
      <c r="AN473" s="599">
        <f>SUMIFS(stock[MT],stock[Bucket],scheduleapr[[#This Row],[Bucket]],stock[CTL Bucket],scheduleapr[[#This Row],[CTL Bucket]],stock[Plant],"0789")</f>
        <v/>
      </c>
      <c r="AO473" s="599" t="n"/>
      <c r="AP473" s="599">
        <f>SUMIFS(stock[MT],stock[Bucket],scheduleapr[[#This Row],[Bucket]],stock[LL or CTL],"LL")</f>
        <v/>
      </c>
      <c r="AQ473" s="599">
        <f>+SUMIFS(wip[Stock(Net Wt)],wip[Bucket],scheduleapr[[#This Row],[Bucket]])/1000</f>
        <v/>
      </c>
      <c r="AR473" s="599">
        <f>AJ473-AN473</f>
        <v/>
      </c>
      <c r="AS473" s="118" t="n"/>
    </row>
    <row r="474">
      <c r="A474" s="594" t="n">
        <v>313</v>
      </c>
      <c r="B474" s="5" t="inlineStr">
        <is>
          <t>Hosur</t>
        </is>
      </c>
      <c r="C474" s="601" t="inlineStr">
        <is>
          <t>Rajsriya Automotive</t>
        </is>
      </c>
      <c r="D474" s="601" t="inlineStr">
        <is>
          <t>Rajsriya Automotive Hosur</t>
        </is>
      </c>
      <c r="E474" s="601" t="inlineStr">
        <is>
          <t>129695|187884|188415|189239|189240</t>
        </is>
      </c>
      <c r="F474" s="601" t="n"/>
      <c r="G474" s="601">
        <f>_xlfn.CONCAT(scheduleapr[[#This Row],[CUSTOMER CODE]],"-",scheduleapr[[#This Row],[MATERIAL NO]])</f>
        <v/>
      </c>
      <c r="H474" s="601" t="n"/>
      <c r="I474" s="601" t="inlineStr">
        <is>
          <t>ERW 2</t>
        </is>
      </c>
      <c r="J474" s="601" t="n"/>
      <c r="K474" s="601" t="n"/>
      <c r="L474" s="601" t="inlineStr">
        <is>
          <t>HR</t>
        </is>
      </c>
      <c r="M474" s="601" t="n"/>
      <c r="N474" s="601" t="n"/>
      <c r="O474" s="601" t="n"/>
      <c r="P474" s="601" t="n"/>
      <c r="Q474" s="557">
        <f>CONCATENATE(scheduleapr[[#This Row],[OD]],"-",scheduleapr[[#This Row],[ID]],"-",scheduleapr[[#This Row],[TICKNESS]],"-",scheduleapr[[#This Row],[Grade]],"-",scheduleapr[[#This Row],[FC/NFC]])</f>
        <v/>
      </c>
      <c r="R474" s="557">
        <f>_xlfn.CONCAT(scheduleapr[[#This Row],[Bucket]],"-",scheduleapr[[#This Row],[LENGTH]]/1000)</f>
        <v/>
      </c>
      <c r="S474" s="557">
        <f>COUNTIF([2]!buckets[CTL Bucket],[2]!scheduleapr[[#This Row],[CTL Bucket]])</f>
        <v/>
      </c>
      <c r="T474" s="557" t="n"/>
      <c r="U474" s="557" t="n"/>
      <c r="V474" s="557" t="n"/>
      <c r="W474" s="557" t="n"/>
      <c r="X474" s="599" t="n">
        <v>19.05</v>
      </c>
      <c r="Y474" s="599" t="n">
        <v>19.05</v>
      </c>
      <c r="Z474" s="599" t="n">
        <v>0</v>
      </c>
      <c r="AA474" s="599" t="n">
        <v>2.5</v>
      </c>
      <c r="AB474" s="600" t="n">
        <v>319</v>
      </c>
      <c r="AC474" s="600" t="n"/>
      <c r="AD474" s="600" t="n"/>
      <c r="AE474" s="600" t="n"/>
      <c r="AF474" s="601" t="n"/>
      <c r="AG474" s="601" t="n"/>
      <c r="AH474" s="601">
        <f t="array" ref="AH4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4" s="602">
        <f>scheduleapr[[#This Row],[SCHEDULE in nos]]-scheduleapr[[#This Row],[DISPATCH]]</f>
        <v/>
      </c>
      <c r="AJ474" s="599">
        <f>(3.14*(scheduleapr[[#This Row],[ACTUAL OD]]-scheduleapr[[#This Row],[TICKNESS]])*scheduleapr[[#This Row],[TICKNESS]]*scheduleapr[[#This Row],[LENGTH]]*7.85)/1000000*scheduleapr[[#This Row],[SCHEDULE in nos]]/1000</f>
        <v/>
      </c>
      <c r="AK474" s="599">
        <f>(3.14*(scheduleapr[[#This Row],[ACTUAL OD]]-scheduleapr[[#This Row],[TICKNESS]])*scheduleapr[[#This Row],[TICKNESS]]*scheduleapr[[#This Row],[LENGTH]]*7.85)/1000000*scheduleapr[[#This Row],[DISPATCH]]/1000</f>
        <v/>
      </c>
      <c r="AL474" s="599">
        <f>AJ474-AK474</f>
        <v/>
      </c>
      <c r="AM474" s="599">
        <f>scheduleapr[[#This Row],[SCHEDULE in nos]]/scheduleapr[[#This Row],[SCHEDULE IN MT]]*scheduleapr[[#This Row],[CTL Stock]]</f>
        <v/>
      </c>
      <c r="AN474" s="599">
        <f>SUMIFS(stock[MT],stock[Bucket],scheduleapr[[#This Row],[Bucket]],stock[CTL Bucket],scheduleapr[[#This Row],[CTL Bucket]],stock[Plant],"0789")</f>
        <v/>
      </c>
      <c r="AO474" s="599" t="n"/>
      <c r="AP474" s="599">
        <f>SUMIFS(stock[MT],stock[Bucket],scheduleapr[[#This Row],[Bucket]],stock[LL or CTL],"LL")</f>
        <v/>
      </c>
      <c r="AQ474" s="599">
        <f>+SUMIFS(wip[Stock(Net Wt)],wip[Bucket],scheduleapr[[#This Row],[Bucket]])/1000</f>
        <v/>
      </c>
      <c r="AR474" s="599">
        <f>AJ474-AN474</f>
        <v/>
      </c>
      <c r="AS474" s="118" t="n"/>
    </row>
    <row r="475">
      <c r="A475" s="556" t="n"/>
      <c r="B475" s="5" t="inlineStr">
        <is>
          <t>Hosur</t>
        </is>
      </c>
      <c r="C475" s="601" t="inlineStr">
        <is>
          <t>Rajsriya Unit 5</t>
        </is>
      </c>
      <c r="D475" s="601" t="inlineStr">
        <is>
          <t>Rajsriya Automotive Hosur</t>
        </is>
      </c>
      <c r="E475" s="601" t="inlineStr">
        <is>
          <t>129663|948721</t>
        </is>
      </c>
      <c r="F475" s="477" t="n">
        <v>4228296</v>
      </c>
      <c r="G475" s="601">
        <f>_xlfn.CONCAT(scheduleapr[[#This Row],[CUSTOMER CODE]],"-",scheduleapr[[#This Row],[MATERIAL NO]])</f>
        <v/>
      </c>
      <c r="H475" s="557" t="n"/>
      <c r="I475" s="601" t="inlineStr">
        <is>
          <t>ERW 2</t>
        </is>
      </c>
      <c r="J475" s="557" t="n"/>
      <c r="K475" s="557" t="n"/>
      <c r="L475" s="557" t="n"/>
      <c r="M475" s="558" t="n"/>
      <c r="N475" s="557" t="n"/>
      <c r="O475" s="557" t="n"/>
      <c r="P475" s="557" t="n"/>
      <c r="Q475" s="557" t="n"/>
      <c r="R475" s="557" t="n"/>
      <c r="S475" s="557" t="n"/>
      <c r="T475" s="601" t="n"/>
      <c r="U475" s="601" t="n"/>
      <c r="V475" s="598" t="n"/>
      <c r="W475" s="601" t="n"/>
      <c r="X475" s="559" t="n">
        <v>22.23</v>
      </c>
      <c r="Y475" s="559" t="n">
        <v>22.23</v>
      </c>
      <c r="Z475" s="559" t="n">
        <v>0</v>
      </c>
      <c r="AA475" s="559" t="n">
        <v>2</v>
      </c>
      <c r="AB475" s="600" t="n">
        <v>865</v>
      </c>
      <c r="AC475" s="81" t="inlineStr">
        <is>
          <t>NOS</t>
        </is>
      </c>
      <c r="AD475" s="600" t="n"/>
      <c r="AE475" s="600" t="n"/>
      <c r="AF475" s="557" t="n">
        <v>5000</v>
      </c>
      <c r="AG475" s="557" t="inlineStr">
        <is>
          <t>Aug 2026 schedule · rajsriya PLANT5</t>
        </is>
      </c>
      <c r="AH475" s="557">
        <f t="array" ref="AH4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5" s="560">
        <f>scheduleapr[[#This Row],[SCHEDULE in nos]]-scheduleapr[[#This Row],[DISPATCH]]</f>
        <v/>
      </c>
      <c r="AJ475" s="559">
        <f>(3.14*(scheduleapr[[#This Row],[ACTUAL OD]]-scheduleapr[[#This Row],[TICKNESS]])*scheduleapr[[#This Row],[TICKNESS]]*scheduleapr[[#This Row],[LENGTH]]*7.85)/1000000*scheduleapr[[#This Row],[SCHEDULE in nos]]/1000</f>
        <v/>
      </c>
      <c r="AK475" s="599">
        <f>(3.14*(scheduleapr[[#This Row],[ACTUAL OD]]-scheduleapr[[#This Row],[TICKNESS]])*scheduleapr[[#This Row],[TICKNESS]]*scheduleapr[[#This Row],[LENGTH]]*7.85)/1000000*scheduleapr[[#This Row],[DISPATCH]]/1000</f>
        <v/>
      </c>
      <c r="AL475" s="599">
        <f>AJ475-AK475</f>
        <v/>
      </c>
      <c r="AM475" s="559">
        <f>scheduleapr[[#This Row],[SCHEDULE in nos]]/scheduleapr[[#This Row],[SCHEDULE IN MT]]*scheduleapr[[#This Row],[CTL Stock]]</f>
        <v/>
      </c>
      <c r="AN475" s="599">
        <f>SUMIFS(stock[MT],stock[Bucket],scheduleapr[[#This Row],[Bucket]],stock[CTL Bucket],scheduleapr[[#This Row],[CTL Bucket]],stock[Plant],"0789")</f>
        <v/>
      </c>
      <c r="AO475" s="599" t="n"/>
      <c r="AP475" s="599">
        <f>SUMIFS(stock[MT],stock[Bucket],scheduleapr[[#This Row],[Bucket]],stock[LL or CTL],"LL")</f>
        <v/>
      </c>
      <c r="AQ475" s="599">
        <f>+SUMIFS(wip[Stock(Net Wt)],wip[Bucket],scheduleapr[[#This Row],[Bucket]])/1000</f>
        <v/>
      </c>
      <c r="AR475" s="599">
        <f>AJ475-AN475</f>
        <v/>
      </c>
      <c r="AS475" s="118" t="n"/>
    </row>
    <row r="476">
      <c r="A476" s="594" t="n">
        <v>414</v>
      </c>
      <c r="B476" s="5" t="inlineStr">
        <is>
          <t>Hosur</t>
        </is>
      </c>
      <c r="C476" s="601" t="inlineStr">
        <is>
          <t>Rajsriya Unit 8</t>
        </is>
      </c>
      <c r="D476" s="601" t="inlineStr">
        <is>
          <t>Rajsriya Automotive Hosur</t>
        </is>
      </c>
      <c r="E476" s="601" t="inlineStr">
        <is>
          <t>129695|187884|188415|189239|189240</t>
        </is>
      </c>
      <c r="F476" s="601" t="n">
        <v>3122347</v>
      </c>
      <c r="G476" s="601">
        <f>_xlfn.CONCAT(scheduleapr[[#This Row],[CUSTOMER CODE]],"-",scheduleapr[[#This Row],[MATERIAL NO]])</f>
        <v/>
      </c>
      <c r="H476" s="601" t="inlineStr">
        <is>
          <t>TUB-O-N-AUT-AW-PE-19.05X1.600X0.3940</t>
        </is>
      </c>
      <c r="I476" s="601" t="inlineStr">
        <is>
          <t>ERW 2 MAHS</t>
        </is>
      </c>
      <c r="J476" s="601" t="n"/>
      <c r="K476" s="601" t="inlineStr">
        <is>
          <t>PE</t>
        </is>
      </c>
      <c r="L476" s="601" t="inlineStr">
        <is>
          <t>CR</t>
        </is>
      </c>
      <c r="M476" s="596" t="inlineStr">
        <is>
          <t>ST52AL</t>
        </is>
      </c>
      <c r="N476" s="601" t="n"/>
      <c r="O476" s="601" t="inlineStr">
        <is>
          <t>AG</t>
        </is>
      </c>
      <c r="P476" s="601" t="n"/>
      <c r="Q476" s="557">
        <f>CONCATENATE(scheduleapr[[#This Row],[OD]],"-",scheduleapr[[#This Row],[ID]],"-",scheduleapr[[#This Row],[TICKNESS]],"-",scheduleapr[[#This Row],[Grade]],"-",scheduleapr[[#This Row],[FC/NFC]])</f>
        <v/>
      </c>
      <c r="R476" s="557">
        <f>_xlfn.CONCAT(scheduleapr[[#This Row],[Bucket]],"-",scheduleapr[[#This Row],[LENGTH]]/1000)</f>
        <v/>
      </c>
      <c r="S476" s="557">
        <f>COUNTIF([2]!buckets[CTL Bucket],[2]!scheduleapr[[#This Row],[CTL Bucket]])</f>
        <v/>
      </c>
      <c r="T476" s="557" t="n"/>
      <c r="U476" s="557" t="n"/>
      <c r="V476" s="557" t="n"/>
      <c r="W476" s="557" t="n"/>
      <c r="X476" s="599" t="n">
        <v>19.05</v>
      </c>
      <c r="Y476" s="599" t="n">
        <v>19.05</v>
      </c>
      <c r="Z476" s="599" t="n">
        <v>0</v>
      </c>
      <c r="AA476" s="599" t="n">
        <v>1.6</v>
      </c>
      <c r="AB476" s="600" t="n">
        <v>394</v>
      </c>
      <c r="AC476" s="600" t="inlineStr">
        <is>
          <t>NOS</t>
        </is>
      </c>
      <c r="AD476" s="600" t="n"/>
      <c r="AE476" s="600" t="n"/>
      <c r="AF476" s="601" t="n"/>
      <c r="AG476" s="601" t="n"/>
      <c r="AH476" s="601">
        <f t="array" ref="AH4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6" s="602">
        <f>scheduleapr[[#This Row],[SCHEDULE in nos]]-scheduleapr[[#This Row],[DISPATCH]]</f>
        <v/>
      </c>
      <c r="AJ476" s="599">
        <f>(3.14*(scheduleapr[[#This Row],[ACTUAL OD]]-scheduleapr[[#This Row],[TICKNESS]])*scheduleapr[[#This Row],[TICKNESS]]*scheduleapr[[#This Row],[LENGTH]]*7.85)/1000000*scheduleapr[[#This Row],[SCHEDULE in nos]]/1000</f>
        <v/>
      </c>
      <c r="AK476" s="599">
        <f>(3.14*(scheduleapr[[#This Row],[ACTUAL OD]]-scheduleapr[[#This Row],[TICKNESS]])*scheduleapr[[#This Row],[TICKNESS]]*scheduleapr[[#This Row],[LENGTH]]*7.85)/1000000*scheduleapr[[#This Row],[DISPATCH]]/1000</f>
        <v/>
      </c>
      <c r="AL476" s="599">
        <f>AJ476-AK476</f>
        <v/>
      </c>
      <c r="AM476" s="599">
        <f>scheduleapr[[#This Row],[SCHEDULE in nos]]/scheduleapr[[#This Row],[SCHEDULE IN MT]]*scheduleapr[[#This Row],[CTL Stock]]</f>
        <v/>
      </c>
      <c r="AN476" s="599">
        <f>SUMIFS(stock[MT],stock[Bucket],scheduleapr[[#This Row],[Bucket]],stock[CTL Bucket],scheduleapr[[#This Row],[CTL Bucket]],stock[Plant],"0789")</f>
        <v/>
      </c>
      <c r="AO476" s="599" t="n"/>
      <c r="AP476" s="599">
        <f>SUMIFS(stock[MT],stock[Bucket],scheduleapr[[#This Row],[Bucket]],stock[LL or CTL],"LL")</f>
        <v/>
      </c>
      <c r="AQ476" s="599">
        <f>+SUMIFS(wip[Stock(Net Wt)],wip[Bucket],scheduleapr[[#This Row],[Bucket]])/1000</f>
        <v/>
      </c>
      <c r="AR476" s="599">
        <f>AJ476-AN476</f>
        <v/>
      </c>
      <c r="AS476" s="118" t="n"/>
    </row>
    <row r="477">
      <c r="A477" s="594" t="n">
        <v>314</v>
      </c>
      <c r="B477" s="5" t="inlineStr">
        <is>
          <t>Hosur</t>
        </is>
      </c>
      <c r="C477" s="601" t="inlineStr">
        <is>
          <t>Rajsriya Automotive</t>
        </is>
      </c>
      <c r="D477" s="601" t="inlineStr">
        <is>
          <t>Rajsriya Automotive Hosur</t>
        </is>
      </c>
      <c r="E477" s="601" t="inlineStr">
        <is>
          <t>129695|187884|188415|189239|189240</t>
        </is>
      </c>
      <c r="F477" s="601" t="n">
        <v>314118</v>
      </c>
      <c r="G477" s="601">
        <f>_xlfn.CONCAT(scheduleapr[[#This Row],[CUSTOMER CODE]],"-",scheduleapr[[#This Row],[MATERIAL NO]])</f>
        <v/>
      </c>
      <c r="H477" s="601" t="inlineStr">
        <is>
          <t>TUB-O-N-AUT-AW-PE-22.20X1.200X0.300</t>
        </is>
      </c>
      <c r="I477" s="601" t="n"/>
      <c r="J477" s="601" t="n"/>
      <c r="K477" s="601" t="n"/>
      <c r="L477" s="601" t="inlineStr">
        <is>
          <t>HR</t>
        </is>
      </c>
      <c r="M477" s="601" t="n"/>
      <c r="N477" s="601" t="n"/>
      <c r="O477" s="601" t="n"/>
      <c r="P477" s="601" t="n"/>
      <c r="Q477" s="557">
        <f>CONCATENATE(scheduleapr[[#This Row],[OD]],"-",scheduleapr[[#This Row],[ID]],"-",scheduleapr[[#This Row],[TICKNESS]],"-",scheduleapr[[#This Row],[Grade]],"-",scheduleapr[[#This Row],[FC/NFC]])</f>
        <v/>
      </c>
      <c r="R477" s="557">
        <f>_xlfn.CONCAT(scheduleapr[[#This Row],[Bucket]],"-",scheduleapr[[#This Row],[LENGTH]]/1000)</f>
        <v/>
      </c>
      <c r="S477" s="557">
        <f>COUNTIF([2]!buckets[CTL Bucket],[2]!scheduleapr[[#This Row],[CTL Bucket]])</f>
        <v/>
      </c>
      <c r="T477" s="557" t="n"/>
      <c r="U477" s="557" t="n"/>
      <c r="V477" s="557" t="n"/>
      <c r="W477" s="557" t="n"/>
      <c r="X477" s="599" t="n">
        <v>22.23</v>
      </c>
      <c r="Y477" s="599" t="n">
        <v>22.2</v>
      </c>
      <c r="Z477" s="599" t="n">
        <v>0</v>
      </c>
      <c r="AA477" s="599" t="n">
        <v>1.2</v>
      </c>
      <c r="AB477" s="600" t="n">
        <v>300</v>
      </c>
      <c r="AC477" s="600" t="n"/>
      <c r="AD477" s="600" t="n"/>
      <c r="AE477" s="600" t="n"/>
      <c r="AF477" s="601" t="n"/>
      <c r="AG477" s="601" t="n"/>
      <c r="AH477" s="601">
        <f t="array" ref="AH4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7" s="602">
        <f>scheduleapr[[#This Row],[SCHEDULE in nos]]-scheduleapr[[#This Row],[DISPATCH]]</f>
        <v/>
      </c>
      <c r="AJ477" s="599">
        <f>(3.14*(scheduleapr[[#This Row],[ACTUAL OD]]-scheduleapr[[#This Row],[TICKNESS]])*scheduleapr[[#This Row],[TICKNESS]]*scheduleapr[[#This Row],[LENGTH]]*7.85)/1000000*scheduleapr[[#This Row],[SCHEDULE in nos]]/1000</f>
        <v/>
      </c>
      <c r="AK477" s="599">
        <f>(3.14*(scheduleapr[[#This Row],[ACTUAL OD]]-scheduleapr[[#This Row],[TICKNESS]])*scheduleapr[[#This Row],[TICKNESS]]*scheduleapr[[#This Row],[LENGTH]]*7.85)/1000000*scheduleapr[[#This Row],[DISPATCH]]/1000</f>
        <v/>
      </c>
      <c r="AL477" s="599">
        <f>AJ477-AK477</f>
        <v/>
      </c>
      <c r="AM477" s="599">
        <f>scheduleapr[[#This Row],[SCHEDULE in nos]]/scheduleapr[[#This Row],[SCHEDULE IN MT]]*scheduleapr[[#This Row],[CTL Stock]]</f>
        <v/>
      </c>
      <c r="AN477" s="599">
        <f>SUMIFS(stock[MT],stock[Bucket],scheduleapr[[#This Row],[Bucket]],stock[CTL Bucket],scheduleapr[[#This Row],[CTL Bucket]],stock[Plant],"0789")</f>
        <v/>
      </c>
      <c r="AO477" s="599" t="n"/>
      <c r="AP477" s="599">
        <f>SUMIFS(stock[MT],stock[Bucket],scheduleapr[[#This Row],[Bucket]],stock[LL or CTL],"LL")</f>
        <v/>
      </c>
      <c r="AQ477" s="599">
        <f>+SUMIFS(wip[Stock(Net Wt)],wip[Bucket],scheduleapr[[#This Row],[Bucket]])/1000</f>
        <v/>
      </c>
      <c r="AR477" s="599">
        <f>AJ477-AN477</f>
        <v/>
      </c>
      <c r="AS477" s="118" t="n"/>
    </row>
    <row r="478">
      <c r="A478" s="594" t="n">
        <v>326</v>
      </c>
      <c r="B478" s="5" t="inlineStr">
        <is>
          <t>Hosur</t>
        </is>
      </c>
      <c r="C478" s="601" t="inlineStr">
        <is>
          <t>Rajsriya Automotive</t>
        </is>
      </c>
      <c r="D478" s="601" t="inlineStr">
        <is>
          <t>Rajsriya Automotive Hosur</t>
        </is>
      </c>
      <c r="E478" s="601" t="inlineStr">
        <is>
          <t>129695|187884|188415|189239|189240</t>
        </is>
      </c>
      <c r="F478" s="601" t="n">
        <v>1531609</v>
      </c>
      <c r="G478" s="601">
        <f>_xlfn.CONCAT(scheduleapr[[#This Row],[CUSTOMER CODE]],"-",scheduleapr[[#This Row],[MATERIAL NO]])</f>
        <v/>
      </c>
      <c r="H478" s="601" t="inlineStr">
        <is>
          <t>TUB-O-N-AUT-AW-FC-25.40X2.000X0.6000</t>
        </is>
      </c>
      <c r="I478" s="601" t="n"/>
      <c r="J478" s="601" t="n"/>
      <c r="K478" s="601" t="n"/>
      <c r="L478" s="601" t="inlineStr">
        <is>
          <t>HR</t>
        </is>
      </c>
      <c r="M478" s="601" t="n"/>
      <c r="N478" s="601" t="n"/>
      <c r="O478" s="601" t="n"/>
      <c r="P478" s="601" t="n"/>
      <c r="Q478" s="557">
        <f>CONCATENATE(scheduleapr[[#This Row],[OD]],"-",scheduleapr[[#This Row],[ID]],"-",scheduleapr[[#This Row],[TICKNESS]],"-",scheduleapr[[#This Row],[Grade]],"-",scheduleapr[[#This Row],[FC/NFC]])</f>
        <v/>
      </c>
      <c r="R478" s="557">
        <f>_xlfn.CONCAT(scheduleapr[[#This Row],[Bucket]],"-",scheduleapr[[#This Row],[LENGTH]]/1000)</f>
        <v/>
      </c>
      <c r="S478" s="557">
        <f>COUNTIF([2]!buckets[CTL Bucket],[2]!scheduleapr[[#This Row],[CTL Bucket]])</f>
        <v/>
      </c>
      <c r="T478" s="557" t="n"/>
      <c r="U478" s="557" t="n"/>
      <c r="V478" s="557" t="n"/>
      <c r="W478" s="557" t="n"/>
      <c r="X478" s="599" t="n">
        <v>25.4</v>
      </c>
      <c r="Y478" s="599" t="n">
        <v>25.4</v>
      </c>
      <c r="Z478" s="599" t="n">
        <v>0</v>
      </c>
      <c r="AA478" s="599" t="n">
        <v>2</v>
      </c>
      <c r="AB478" s="600" t="n">
        <v>600</v>
      </c>
      <c r="AC478" s="600" t="n"/>
      <c r="AD478" s="600" t="n"/>
      <c r="AE478" s="600" t="n"/>
      <c r="AF478" s="601" t="n"/>
      <c r="AG478" s="601" t="n"/>
      <c r="AH478" s="601">
        <f t="array" ref="AH4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8" s="602">
        <f>scheduleapr[[#This Row],[SCHEDULE in nos]]-scheduleapr[[#This Row],[DISPATCH]]</f>
        <v/>
      </c>
      <c r="AJ478" s="599">
        <f>(3.14*(scheduleapr[[#This Row],[ACTUAL OD]]-scheduleapr[[#This Row],[TICKNESS]])*scheduleapr[[#This Row],[TICKNESS]]*scheduleapr[[#This Row],[LENGTH]]*7.85)/1000000*scheduleapr[[#This Row],[SCHEDULE in nos]]/1000</f>
        <v/>
      </c>
      <c r="AK478" s="599">
        <f>(3.14*(scheduleapr[[#This Row],[ACTUAL OD]]-scheduleapr[[#This Row],[TICKNESS]])*scheduleapr[[#This Row],[TICKNESS]]*scheduleapr[[#This Row],[LENGTH]]*7.85)/1000000*scheduleapr[[#This Row],[DISPATCH]]/1000</f>
        <v/>
      </c>
      <c r="AL478" s="599">
        <f>AJ478-AK478</f>
        <v/>
      </c>
      <c r="AM478" s="599">
        <f>scheduleapr[[#This Row],[SCHEDULE in nos]]/scheduleapr[[#This Row],[SCHEDULE IN MT]]*scheduleapr[[#This Row],[CTL Stock]]</f>
        <v/>
      </c>
      <c r="AN478" s="599">
        <f>SUMIFS(stock[MT],stock[Bucket],scheduleapr[[#This Row],[Bucket]],stock[CTL Bucket],scheduleapr[[#This Row],[CTL Bucket]],stock[Plant],"0789")</f>
        <v/>
      </c>
      <c r="AO478" s="599" t="n"/>
      <c r="AP478" s="599">
        <f>SUMIFS(stock[MT],stock[Bucket],scheduleapr[[#This Row],[Bucket]],stock[LL or CTL],"LL")</f>
        <v/>
      </c>
      <c r="AQ478" s="599">
        <f>+SUMIFS(wip[Stock(Net Wt)],wip[Bucket],scheduleapr[[#This Row],[Bucket]])/1000</f>
        <v/>
      </c>
      <c r="AR478" s="599">
        <f>AJ478-AN478</f>
        <v/>
      </c>
      <c r="AS478" s="118" t="n"/>
    </row>
    <row r="479">
      <c r="A479" s="594" t="n">
        <v>327</v>
      </c>
      <c r="B479" s="5" t="inlineStr">
        <is>
          <t>Hosur</t>
        </is>
      </c>
      <c r="C479" s="601" t="inlineStr">
        <is>
          <t>Rajsriya Automotive</t>
        </is>
      </c>
      <c r="D479" s="601" t="inlineStr">
        <is>
          <t>Rajsriya Automotive Hosur</t>
        </is>
      </c>
      <c r="E479" s="601" t="inlineStr">
        <is>
          <t>129695|187884|188415|189239|189240</t>
        </is>
      </c>
      <c r="F479" s="601" t="n">
        <v>1190412</v>
      </c>
      <c r="G479" s="601">
        <f>_xlfn.CONCAT(scheduleapr[[#This Row],[CUSTOMER CODE]],"-",scheduleapr[[#This Row],[MATERIAL NO]])</f>
        <v/>
      </c>
      <c r="H479" s="601" t="inlineStr">
        <is>
          <t>TUB-O-N-AUT-AW-PE-25.40X2.000X0.657</t>
        </is>
      </c>
      <c r="I479" s="601" t="n"/>
      <c r="J479" s="601" t="n"/>
      <c r="K479" s="601" t="n"/>
      <c r="L479" s="601" t="inlineStr">
        <is>
          <t>HR</t>
        </is>
      </c>
      <c r="M479" s="601" t="n"/>
      <c r="N479" s="601" t="n"/>
      <c r="O479" s="601" t="n"/>
      <c r="P479" s="601" t="n"/>
      <c r="Q479" s="557">
        <f>CONCATENATE(scheduleapr[[#This Row],[OD]],"-",scheduleapr[[#This Row],[ID]],"-",scheduleapr[[#This Row],[TICKNESS]],"-",scheduleapr[[#This Row],[Grade]],"-",scheduleapr[[#This Row],[FC/NFC]])</f>
        <v/>
      </c>
      <c r="R479" s="557">
        <f>_xlfn.CONCAT(scheduleapr[[#This Row],[Bucket]],"-",scheduleapr[[#This Row],[LENGTH]]/1000)</f>
        <v/>
      </c>
      <c r="S479" s="557">
        <f>COUNTIF([2]!buckets[CTL Bucket],[2]!scheduleapr[[#This Row],[CTL Bucket]])</f>
        <v/>
      </c>
      <c r="T479" s="557" t="n"/>
      <c r="U479" s="557" t="n"/>
      <c r="V479" s="557" t="n"/>
      <c r="W479" s="557" t="n"/>
      <c r="X479" s="599" t="n">
        <v>25.4</v>
      </c>
      <c r="Y479" s="599" t="n">
        <v>25.4</v>
      </c>
      <c r="Z479" s="599" t="n">
        <v>0</v>
      </c>
      <c r="AA479" s="599" t="n">
        <v>2</v>
      </c>
      <c r="AB479" s="600" t="n">
        <v>657</v>
      </c>
      <c r="AC479" s="600" t="n"/>
      <c r="AD479" s="600" t="n"/>
      <c r="AE479" s="600" t="n"/>
      <c r="AF479" s="601" t="n"/>
      <c r="AG479" s="601" t="n"/>
      <c r="AH479" s="601">
        <f t="array" ref="AH4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79" s="602">
        <f>scheduleapr[[#This Row],[SCHEDULE in nos]]-scheduleapr[[#This Row],[DISPATCH]]</f>
        <v/>
      </c>
      <c r="AJ479" s="599">
        <f>(3.14*(scheduleapr[[#This Row],[ACTUAL OD]]-scheduleapr[[#This Row],[TICKNESS]])*scheduleapr[[#This Row],[TICKNESS]]*scheduleapr[[#This Row],[LENGTH]]*7.85)/1000000*scheduleapr[[#This Row],[SCHEDULE in nos]]/1000</f>
        <v/>
      </c>
      <c r="AK479" s="599">
        <f>(3.14*(scheduleapr[[#This Row],[ACTUAL OD]]-scheduleapr[[#This Row],[TICKNESS]])*scheduleapr[[#This Row],[TICKNESS]]*scheduleapr[[#This Row],[LENGTH]]*7.85)/1000000*scheduleapr[[#This Row],[DISPATCH]]/1000</f>
        <v/>
      </c>
      <c r="AL479" s="599">
        <f>AJ479-AK479</f>
        <v/>
      </c>
      <c r="AM479" s="599">
        <f>scheduleapr[[#This Row],[SCHEDULE in nos]]/scheduleapr[[#This Row],[SCHEDULE IN MT]]*scheduleapr[[#This Row],[CTL Stock]]</f>
        <v/>
      </c>
      <c r="AN479" s="599">
        <f>SUMIFS(stock[MT],stock[Bucket],scheduleapr[[#This Row],[Bucket]],stock[CTL Bucket],scheduleapr[[#This Row],[CTL Bucket]],stock[Plant],"0789")</f>
        <v/>
      </c>
      <c r="AO479" s="599" t="n"/>
      <c r="AP479" s="599">
        <f>SUMIFS(stock[MT],stock[Bucket],scheduleapr[[#This Row],[Bucket]],stock[LL or CTL],"LL")</f>
        <v/>
      </c>
      <c r="AQ479" s="599">
        <f>+SUMIFS(wip[Stock(Net Wt)],wip[Bucket],scheduleapr[[#This Row],[Bucket]])/1000</f>
        <v/>
      </c>
      <c r="AR479" s="599">
        <f>AJ479-AN479</f>
        <v/>
      </c>
      <c r="AS479" s="118" t="n"/>
    </row>
    <row r="480">
      <c r="A480" s="594" t="n">
        <v>332</v>
      </c>
      <c r="B480" s="5" t="inlineStr">
        <is>
          <t>Hosur</t>
        </is>
      </c>
      <c r="C480" s="601" t="inlineStr">
        <is>
          <t>Rajsriya Automotive</t>
        </is>
      </c>
      <c r="D480" s="601" t="inlineStr">
        <is>
          <t>Rajsriya Automotive Hosur</t>
        </is>
      </c>
      <c r="E480" s="601" t="inlineStr">
        <is>
          <t>129695|187884|188415|189239|189240</t>
        </is>
      </c>
      <c r="F480" s="601" t="n">
        <v>444028</v>
      </c>
      <c r="G480" s="601">
        <f>_xlfn.CONCAT(scheduleapr[[#This Row],[CUSTOMER CODE]],"-",scheduleapr[[#This Row],[MATERIAL NO]])</f>
        <v/>
      </c>
      <c r="H480" s="601" t="inlineStr">
        <is>
          <t>PT2-O-N-AUT-AW-PE-31.75X1.200X0.600</t>
        </is>
      </c>
      <c r="I480" s="601" t="inlineStr">
        <is>
          <t>ERW 1</t>
        </is>
      </c>
      <c r="J480" s="601" t="n"/>
      <c r="K480" s="601" t="inlineStr">
        <is>
          <t>FC</t>
        </is>
      </c>
      <c r="L480" s="601" t="inlineStr">
        <is>
          <t>HR</t>
        </is>
      </c>
      <c r="M480" s="601" t="n"/>
      <c r="N480" s="601" t="n"/>
      <c r="O480" s="601" t="n"/>
      <c r="P480" s="601" t="n"/>
      <c r="Q480" s="557">
        <f>CONCATENATE(scheduleapr[[#This Row],[OD]],"-",scheduleapr[[#This Row],[ID]],"-",scheduleapr[[#This Row],[TICKNESS]],"-",scheduleapr[[#This Row],[Grade]],"-",scheduleapr[[#This Row],[FC/NFC]])</f>
        <v/>
      </c>
      <c r="R480" s="557">
        <f>_xlfn.CONCAT(scheduleapr[[#This Row],[Bucket]],"-",scheduleapr[[#This Row],[LENGTH]]/1000)</f>
        <v/>
      </c>
      <c r="S480" s="557">
        <f>COUNTIF([2]!buckets[CTL Bucket],[2]!scheduleapr[[#This Row],[CTL Bucket]])</f>
        <v/>
      </c>
      <c r="T480" s="557" t="n"/>
      <c r="U480" s="557" t="n"/>
      <c r="V480" s="557" t="n"/>
      <c r="W480" s="557" t="n"/>
      <c r="X480" s="599" t="n">
        <v>31.75</v>
      </c>
      <c r="Y480" s="599" t="n">
        <v>31.75</v>
      </c>
      <c r="Z480" s="599" t="n">
        <v>0</v>
      </c>
      <c r="AA480" s="599" t="n">
        <v>1.2</v>
      </c>
      <c r="AB480" s="600" t="n">
        <v>600</v>
      </c>
      <c r="AC480" s="600" t="n"/>
      <c r="AD480" s="600" t="n"/>
      <c r="AE480" s="600" t="n"/>
      <c r="AF480" s="601" t="n"/>
      <c r="AG480" s="601" t="n"/>
      <c r="AH480" s="601">
        <f t="array" ref="AH4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0" s="602">
        <f>scheduleapr[[#This Row],[SCHEDULE in nos]]-scheduleapr[[#This Row],[DISPATCH]]</f>
        <v/>
      </c>
      <c r="AJ480" s="599">
        <f>(3.14*(scheduleapr[[#This Row],[ACTUAL OD]]-scheduleapr[[#This Row],[TICKNESS]])*scheduleapr[[#This Row],[TICKNESS]]*scheduleapr[[#This Row],[LENGTH]]*7.85)/1000000*scheduleapr[[#This Row],[SCHEDULE in nos]]/1000</f>
        <v/>
      </c>
      <c r="AK480" s="599">
        <f>(3.14*(scheduleapr[[#This Row],[ACTUAL OD]]-scheduleapr[[#This Row],[TICKNESS]])*scheduleapr[[#This Row],[TICKNESS]]*scheduleapr[[#This Row],[LENGTH]]*7.85)/1000000*scheduleapr[[#This Row],[DISPATCH]]/1000</f>
        <v/>
      </c>
      <c r="AL480" s="599">
        <f>AJ480-AK480</f>
        <v/>
      </c>
      <c r="AM480" s="599">
        <f>scheduleapr[[#This Row],[SCHEDULE in nos]]/scheduleapr[[#This Row],[SCHEDULE IN MT]]*scheduleapr[[#This Row],[CTL Stock]]</f>
        <v/>
      </c>
      <c r="AN480" s="599">
        <f>SUMIFS(stock[MT],stock[Bucket],scheduleapr[[#This Row],[Bucket]],stock[CTL Bucket],scheduleapr[[#This Row],[CTL Bucket]],stock[Plant],"0789")</f>
        <v/>
      </c>
      <c r="AO480" s="599" t="n"/>
      <c r="AP480" s="599">
        <f>SUMIFS(stock[MT],stock[Bucket],scheduleapr[[#This Row],[Bucket]],stock[LL or CTL],"LL")</f>
        <v/>
      </c>
      <c r="AQ480" s="599">
        <f>+SUMIFS(wip[Stock(Net Wt)],wip[Bucket],scheduleapr[[#This Row],[Bucket]])/1000</f>
        <v/>
      </c>
      <c r="AR480" s="599">
        <f>AJ480-AN480</f>
        <v/>
      </c>
      <c r="AS480" s="118" t="n"/>
    </row>
    <row r="481">
      <c r="A481" s="594" t="n">
        <v>344</v>
      </c>
      <c r="B481" s="5" t="inlineStr">
        <is>
          <t>Hosur</t>
        </is>
      </c>
      <c r="C481" s="601" t="inlineStr">
        <is>
          <t>Rajsriya Automotive</t>
        </is>
      </c>
      <c r="D481" s="601" t="inlineStr">
        <is>
          <t>Rajsriya Automotive Hosur</t>
        </is>
      </c>
      <c r="E481" s="601" t="inlineStr">
        <is>
          <t>129695|187884|188415|189239|189240</t>
        </is>
      </c>
      <c r="F481" s="601" t="n">
        <v>1940913</v>
      </c>
      <c r="G481" s="601">
        <f>_xlfn.CONCAT(scheduleapr[[#This Row],[CUSTOMER CODE]],"-",scheduleapr[[#This Row],[MATERIAL NO]])</f>
        <v/>
      </c>
      <c r="H481" s="601" t="inlineStr">
        <is>
          <t>TUB-O-O-AUT-AW-FC-57.15X2.500X0.8120</t>
        </is>
      </c>
      <c r="I481" s="601" t="n"/>
      <c r="J481" s="601" t="n"/>
      <c r="K481" s="601" t="n"/>
      <c r="L481" s="601" t="inlineStr">
        <is>
          <t>HR</t>
        </is>
      </c>
      <c r="M481" s="601" t="n"/>
      <c r="N481" s="601" t="n"/>
      <c r="O481" s="601" t="n"/>
      <c r="P481" s="601" t="n"/>
      <c r="Q481" s="557">
        <f>CONCATENATE(scheduleapr[[#This Row],[OD]],"-",scheduleapr[[#This Row],[ID]],"-",scheduleapr[[#This Row],[TICKNESS]],"-",scheduleapr[[#This Row],[Grade]],"-",scheduleapr[[#This Row],[FC/NFC]])</f>
        <v/>
      </c>
      <c r="R481" s="557">
        <f>_xlfn.CONCAT(scheduleapr[[#This Row],[Bucket]],"-",scheduleapr[[#This Row],[LENGTH]]/1000)</f>
        <v/>
      </c>
      <c r="S481" s="557">
        <f>COUNTIF([2]!buckets[CTL Bucket],[2]!scheduleapr[[#This Row],[CTL Bucket]])</f>
        <v/>
      </c>
      <c r="T481" s="557" t="n"/>
      <c r="U481" s="557" t="n"/>
      <c r="V481" s="557" t="n"/>
      <c r="W481" s="557" t="n"/>
      <c r="X481" s="599" t="n">
        <v>57.15</v>
      </c>
      <c r="Y481" s="599" t="n">
        <v>57.15</v>
      </c>
      <c r="Z481" s="599" t="n">
        <v>0</v>
      </c>
      <c r="AA481" s="599" t="n">
        <v>2.5</v>
      </c>
      <c r="AB481" s="600" t="n">
        <v>812</v>
      </c>
      <c r="AC481" s="600" t="n"/>
      <c r="AD481" s="600" t="n"/>
      <c r="AE481" s="600" t="n"/>
      <c r="AF481" s="601" t="n"/>
      <c r="AG481" s="601" t="n"/>
      <c r="AH481" s="601">
        <f t="array" ref="AH4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1" s="602">
        <f>scheduleapr[[#This Row],[SCHEDULE in nos]]-scheduleapr[[#This Row],[DISPATCH]]</f>
        <v/>
      </c>
      <c r="AJ481" s="599">
        <f>(3.14*(scheduleapr[[#This Row],[ACTUAL OD]]-scheduleapr[[#This Row],[TICKNESS]])*scheduleapr[[#This Row],[TICKNESS]]*scheduleapr[[#This Row],[LENGTH]]*7.85)/1000000*scheduleapr[[#This Row],[SCHEDULE in nos]]/1000</f>
        <v/>
      </c>
      <c r="AK481" s="599">
        <f>(3.14*(scheduleapr[[#This Row],[ACTUAL OD]]-scheduleapr[[#This Row],[TICKNESS]])*scheduleapr[[#This Row],[TICKNESS]]*scheduleapr[[#This Row],[LENGTH]]*7.85)/1000000*scheduleapr[[#This Row],[DISPATCH]]/1000</f>
        <v/>
      </c>
      <c r="AL481" s="599">
        <f>AJ481-AK481</f>
        <v/>
      </c>
      <c r="AM481" s="599">
        <f>scheduleapr[[#This Row],[SCHEDULE in nos]]/scheduleapr[[#This Row],[SCHEDULE IN MT]]*scheduleapr[[#This Row],[CTL Stock]]</f>
        <v/>
      </c>
      <c r="AN481" s="599">
        <f>SUMIFS(stock[MT],stock[Bucket],scheduleapr[[#This Row],[Bucket]],stock[CTL Bucket],scheduleapr[[#This Row],[CTL Bucket]],stock[Plant],"0789")</f>
        <v/>
      </c>
      <c r="AO481" s="599" t="n"/>
      <c r="AP481" s="599">
        <f>SUMIFS(stock[MT],stock[Bucket],scheduleapr[[#This Row],[Bucket]],stock[LL or CTL],"LL")</f>
        <v/>
      </c>
      <c r="AQ481" s="599">
        <f>+SUMIFS(wip[Stock(Net Wt)],wip[Bucket],scheduleapr[[#This Row],[Bucket]])/1000</f>
        <v/>
      </c>
      <c r="AR481" s="599">
        <f>AJ481-AN481</f>
        <v/>
      </c>
      <c r="AS481" s="118" t="n"/>
    </row>
    <row r="482">
      <c r="A482" s="594" t="n">
        <v>345</v>
      </c>
      <c r="B482" s="5" t="inlineStr">
        <is>
          <t xml:space="preserve">Khopoli </t>
        </is>
      </c>
      <c r="C482" s="601" t="inlineStr">
        <is>
          <t>Rajsriya Automotive</t>
        </is>
      </c>
      <c r="D482" s="601" t="inlineStr">
        <is>
          <t>Rajsriya Automotive Hosur</t>
        </is>
      </c>
      <c r="E482" s="601" t="inlineStr">
        <is>
          <t>129695|187884|188415|189239|189240</t>
        </is>
      </c>
      <c r="F482" s="601" t="n">
        <v>3662752</v>
      </c>
      <c r="G482" s="601">
        <f>_xlfn.CONCAT(scheduleapr[[#This Row],[CUSTOMER CODE]],"-",scheduleapr[[#This Row],[MATERIAL NO]])</f>
        <v/>
      </c>
      <c r="H482" s="601" t="inlineStr">
        <is>
          <t>TUB-O-N-AUT-AW-FC-60.30X2.000X0.4930</t>
        </is>
      </c>
      <c r="I482" s="601" t="n"/>
      <c r="J482" s="601" t="n"/>
      <c r="K482" s="601" t="n"/>
      <c r="L482" s="601" t="inlineStr">
        <is>
          <t>HR</t>
        </is>
      </c>
      <c r="M482" s="601" t="n"/>
      <c r="N482" s="601" t="n"/>
      <c r="O482" s="601" t="n"/>
      <c r="P482" s="601" t="n"/>
      <c r="Q482" s="557">
        <f>CONCATENATE(scheduleapr[[#This Row],[OD]],"-",scheduleapr[[#This Row],[ID]],"-",scheduleapr[[#This Row],[TICKNESS]],"-",scheduleapr[[#This Row],[Grade]],"-",scheduleapr[[#This Row],[FC/NFC]])</f>
        <v/>
      </c>
      <c r="R482" s="557">
        <f>_xlfn.CONCAT(scheduleapr[[#This Row],[Bucket]],"-",scheduleapr[[#This Row],[LENGTH]]/1000)</f>
        <v/>
      </c>
      <c r="S482" s="557">
        <f>COUNTIF([2]!buckets[CTL Bucket],[2]!scheduleapr[[#This Row],[CTL Bucket]])</f>
        <v/>
      </c>
      <c r="T482" s="557" t="n"/>
      <c r="U482" s="557" t="n"/>
      <c r="V482" s="557" t="n"/>
      <c r="W482" s="557" t="n"/>
      <c r="X482" s="599" t="n">
        <v>60.3</v>
      </c>
      <c r="Y482" s="599" t="n">
        <v>60.3</v>
      </c>
      <c r="Z482" s="599" t="n">
        <v>0</v>
      </c>
      <c r="AA482" s="599" t="n">
        <v>2</v>
      </c>
      <c r="AB482" s="600" t="n">
        <v>493</v>
      </c>
      <c r="AC482" s="600" t="n"/>
      <c r="AD482" s="600" t="n"/>
      <c r="AE482" s="600" t="n"/>
      <c r="AF482" s="601" t="n"/>
      <c r="AG482" s="601" t="n"/>
      <c r="AH482" s="601">
        <f t="array" ref="AH4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2" s="602">
        <f>scheduleapr[[#This Row],[SCHEDULE in nos]]-scheduleapr[[#This Row],[DISPATCH]]</f>
        <v/>
      </c>
      <c r="AJ482" s="599">
        <f>(3.14*(scheduleapr[[#This Row],[ACTUAL OD]]-scheduleapr[[#This Row],[TICKNESS]])*scheduleapr[[#This Row],[TICKNESS]]*scheduleapr[[#This Row],[LENGTH]]*7.85)/1000000*scheduleapr[[#This Row],[SCHEDULE in nos]]/1000</f>
        <v/>
      </c>
      <c r="AK482" s="599">
        <f>(3.14*(scheduleapr[[#This Row],[ACTUAL OD]]-scheduleapr[[#This Row],[TICKNESS]])*scheduleapr[[#This Row],[TICKNESS]]*scheduleapr[[#This Row],[LENGTH]]*7.85)/1000000*scheduleapr[[#This Row],[DISPATCH]]/1000</f>
        <v/>
      </c>
      <c r="AL482" s="599">
        <f>AJ482-AK482</f>
        <v/>
      </c>
      <c r="AM482" s="599">
        <f>scheduleapr[[#This Row],[SCHEDULE in nos]]/scheduleapr[[#This Row],[SCHEDULE IN MT]]*scheduleapr[[#This Row],[CTL Stock]]</f>
        <v/>
      </c>
      <c r="AN482" s="599">
        <f>SUMIFS(stock[MT],stock[Bucket],scheduleapr[[#This Row],[Bucket]],stock[CTL Bucket],scheduleapr[[#This Row],[CTL Bucket]],stock[Plant],"0789")</f>
        <v/>
      </c>
      <c r="AO482" s="599" t="n"/>
      <c r="AP482" s="599">
        <f>SUMIFS(stock[MT],stock[Bucket],scheduleapr[[#This Row],[Bucket]],stock[LL or CTL],"LL")</f>
        <v/>
      </c>
      <c r="AQ482" s="599">
        <f>+SUMIFS(wip[Stock(Net Wt)],wip[Bucket],scheduleapr[[#This Row],[Bucket]])/1000</f>
        <v/>
      </c>
      <c r="AR482" s="599">
        <f>AJ482-AN482</f>
        <v/>
      </c>
      <c r="AS482" s="118" t="n"/>
    </row>
    <row r="483">
      <c r="A483" s="594" t="n">
        <v>350</v>
      </c>
      <c r="B483" s="5" t="inlineStr">
        <is>
          <t xml:space="preserve">Khopoli </t>
        </is>
      </c>
      <c r="C483" s="601" t="inlineStr">
        <is>
          <t xml:space="preserve">Rajsriya Mysore </t>
        </is>
      </c>
      <c r="D483" s="601" t="inlineStr">
        <is>
          <t>Rajsriya Automotive Mysore</t>
        </is>
      </c>
      <c r="E483" s="601" t="inlineStr">
        <is>
          <t>930883|189481</t>
        </is>
      </c>
      <c r="F483" s="9" t="n">
        <v>2363145</v>
      </c>
      <c r="G483" s="601">
        <f>_xlfn.CONCAT(scheduleapr[[#This Row],[CUSTOMER CODE]],"-",scheduleapr[[#This Row],[MATERIAL NO]])</f>
        <v/>
      </c>
      <c r="H483" s="9" t="inlineStr">
        <is>
          <t>TUB-O-C-AUT-AN-FC-14.00X2.450X5.0000</t>
        </is>
      </c>
      <c r="I483" s="601" t="inlineStr">
        <is>
          <t>CEW</t>
        </is>
      </c>
      <c r="J483" s="601" t="n"/>
      <c r="K483" s="601" t="n"/>
      <c r="L483" s="601" t="inlineStr">
        <is>
          <t>HR</t>
        </is>
      </c>
      <c r="M483" s="601" t="n"/>
      <c r="N483" s="601" t="n"/>
      <c r="O483" s="601" t="n"/>
      <c r="P483" s="601" t="n"/>
      <c r="Q483" s="557">
        <f>CONCATENATE(scheduleapr[[#This Row],[OD]],"-",scheduleapr[[#This Row],[ID]],"-",scheduleapr[[#This Row],[TICKNESS]],"-",scheduleapr[[#This Row],[Grade]],"-",scheduleapr[[#This Row],[FC/NFC]])</f>
        <v/>
      </c>
      <c r="R483" s="557">
        <f>_xlfn.CONCAT(scheduleapr[[#This Row],[Bucket]],"-",scheduleapr[[#This Row],[LENGTH]]/1000)</f>
        <v/>
      </c>
      <c r="S483" s="557">
        <f>COUNTIF([2]!buckets[CTL Bucket],[2]!scheduleapr[[#This Row],[CTL Bucket]])</f>
        <v/>
      </c>
      <c r="T483" s="557" t="n"/>
      <c r="U483" s="557" t="n"/>
      <c r="V483" s="557" t="n"/>
      <c r="W483" s="557" t="n"/>
      <c r="X483" s="599" t="n">
        <v>14</v>
      </c>
      <c r="Y483" s="599" t="n">
        <v>14</v>
      </c>
      <c r="Z483" s="599" t="n">
        <v>0</v>
      </c>
      <c r="AA483" s="599" t="n">
        <v>2.45</v>
      </c>
      <c r="AB483" s="600" t="n">
        <v>5000</v>
      </c>
      <c r="AC483" s="600" t="inlineStr">
        <is>
          <t>M</t>
        </is>
      </c>
      <c r="AD483" s="600" t="n"/>
      <c r="AE483" s="600" t="n"/>
      <c r="AF483" s="601" t="n"/>
      <c r="AG483" s="601" t="n"/>
      <c r="AH483" s="601">
        <f t="array" ref="AH4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3" s="602">
        <f>scheduleapr[[#This Row],[SCHEDULE in nos]]-scheduleapr[[#This Row],[DISPATCH]]</f>
        <v/>
      </c>
      <c r="AJ483" s="599">
        <f>(3.14*(scheduleapr[[#This Row],[ACTUAL OD]]-scheduleapr[[#This Row],[TICKNESS]])*scheduleapr[[#This Row],[TICKNESS]]*scheduleapr[[#This Row],[LENGTH]]*7.85)/1000000*scheduleapr[[#This Row],[SCHEDULE in nos]]/1000</f>
        <v/>
      </c>
      <c r="AK483" s="599">
        <f>(3.14*(scheduleapr[[#This Row],[ACTUAL OD]]-scheduleapr[[#This Row],[TICKNESS]])*scheduleapr[[#This Row],[TICKNESS]]*scheduleapr[[#This Row],[LENGTH]]*7.85)/1000000*scheduleapr[[#This Row],[DISPATCH]]/1000</f>
        <v/>
      </c>
      <c r="AL483" s="599">
        <f>AJ483-AK483</f>
        <v/>
      </c>
      <c r="AM483" s="599">
        <f>scheduleapr[[#This Row],[SCHEDULE in nos]]/scheduleapr[[#This Row],[SCHEDULE IN MT]]*scheduleapr[[#This Row],[CTL Stock]]</f>
        <v/>
      </c>
      <c r="AN483" s="599">
        <f>SUMIFS(stock[MT],stock[Bucket],scheduleapr[[#This Row],[Bucket]],stock[CTL Bucket],scheduleapr[[#This Row],[CTL Bucket]],stock[Plant],"0789")</f>
        <v/>
      </c>
      <c r="AO483" s="599" t="n"/>
      <c r="AP483" s="599">
        <f>SUMIFS(stock[MT],stock[Bucket],scheduleapr[[#This Row],[Bucket]],stock[LL or CTL],"LL")</f>
        <v/>
      </c>
      <c r="AQ483" s="599">
        <f>+SUMIFS(wip[Stock(Net Wt)],wip[Bucket],scheduleapr[[#This Row],[Bucket]])/1000</f>
        <v/>
      </c>
      <c r="AR483" s="599">
        <f>AJ483-AN483</f>
        <v/>
      </c>
      <c r="AS483" s="118" t="n"/>
    </row>
    <row r="484">
      <c r="A484" s="594" t="n">
        <v>348</v>
      </c>
      <c r="B484" s="5" t="inlineStr">
        <is>
          <t xml:space="preserve">Khopoli </t>
        </is>
      </c>
      <c r="C484" s="601" t="inlineStr">
        <is>
          <t xml:space="preserve">Rajsriya Mysore </t>
        </is>
      </c>
      <c r="D484" s="601" t="inlineStr">
        <is>
          <t>Rajsriya Automotive Mysore</t>
        </is>
      </c>
      <c r="E484" s="601" t="inlineStr">
        <is>
          <t>930883|189481</t>
        </is>
      </c>
      <c r="F484" s="601">
        <f>_xlfn.CONCAT([2]!scheduleapr[[#This Row],[OD]],"-",[2]!scheduleapr[[#This Row],[ID]],"-",[2]!scheduleapr[[#This Row],[TICKNESS]],"-",[2]!scheduleapr[[#This Row],[LENGTH]])</f>
        <v/>
      </c>
      <c r="G484" s="601">
        <f>_xlfn.CONCAT(scheduleapr[[#This Row],[CUSTOMER CODE]],"-",scheduleapr[[#This Row],[MATERIAL NO]])</f>
        <v/>
      </c>
      <c r="H484" s="601" t="n"/>
      <c r="I484" s="601" t="inlineStr">
        <is>
          <t>CEW</t>
        </is>
      </c>
      <c r="J484" s="601" t="n"/>
      <c r="K484" s="601" t="inlineStr">
        <is>
          <t>CEW</t>
        </is>
      </c>
      <c r="L484" s="601" t="inlineStr">
        <is>
          <t>HR</t>
        </is>
      </c>
      <c r="M484" s="601" t="n"/>
      <c r="N484" s="601" t="n"/>
      <c r="O484" s="601" t="n"/>
      <c r="P484" s="601" t="n"/>
      <c r="Q484" s="557">
        <f>CONCATENATE(scheduleapr[[#This Row],[OD]],"-",scheduleapr[[#This Row],[ID]],"-",scheduleapr[[#This Row],[TICKNESS]],"-",scheduleapr[[#This Row],[Grade]],"-",scheduleapr[[#This Row],[FC/NFC]])</f>
        <v/>
      </c>
      <c r="R484" s="557">
        <f>_xlfn.CONCAT(scheduleapr[[#This Row],[Bucket]],"-",scheduleapr[[#This Row],[LENGTH]]/1000)</f>
        <v/>
      </c>
      <c r="S484" s="557">
        <f>COUNTIF(scheduleapr[CTL Bucket],scheduleapr[[#This Row],[CTL Bucket]])</f>
        <v/>
      </c>
      <c r="T484" s="601" t="inlineStr">
        <is>
          <t>Khopoli</t>
        </is>
      </c>
      <c r="U484" s="601">
        <f>_xlfn.IFNA(VLOOKUP(scheduleapr[[#This Row],[Bucket]],salesforecast[[#All],[Bucket2]:[8406 Stock]],19,0),0)</f>
        <v/>
      </c>
      <c r="V484" s="557" t="n"/>
      <c r="W484" s="557" t="n"/>
      <c r="X484" s="599" t="n">
        <v>16.1</v>
      </c>
      <c r="Y484" s="599" t="n">
        <v>16.1</v>
      </c>
      <c r="Z484" s="599" t="n">
        <v>10.4</v>
      </c>
      <c r="AA484" s="599" t="n">
        <v>2.7</v>
      </c>
      <c r="AB484" s="600" t="n">
        <v>1000</v>
      </c>
      <c r="AC484" s="600" t="inlineStr">
        <is>
          <t>M</t>
        </is>
      </c>
      <c r="AD484" s="600" t="n"/>
      <c r="AE484" s="600" t="n"/>
      <c r="AF484" s="601" t="n"/>
      <c r="AG484" s="601" t="n"/>
      <c r="AH484" s="601">
        <f t="array" ref="AH4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4" s="602">
        <f>scheduleapr[[#This Row],[SCHEDULE in nos]]-scheduleapr[[#This Row],[DISPATCH]]</f>
        <v/>
      </c>
      <c r="AJ484" s="599">
        <f>(3.14*(scheduleapr[[#This Row],[ACTUAL OD]]-scheduleapr[[#This Row],[TICKNESS]])*scheduleapr[[#This Row],[TICKNESS]]*scheduleapr[[#This Row],[LENGTH]]*7.85)/1000000*scheduleapr[[#This Row],[SCHEDULE in nos]]/1000</f>
        <v/>
      </c>
      <c r="AK484" s="599">
        <f>(3.14*(scheduleapr[[#This Row],[ACTUAL OD]]-scheduleapr[[#This Row],[TICKNESS]])*scheduleapr[[#This Row],[TICKNESS]]*scheduleapr[[#This Row],[LENGTH]]*7.85)/1000000*scheduleapr[[#This Row],[DISPATCH]]/1000</f>
        <v/>
      </c>
      <c r="AL484" s="599">
        <f>AJ484-AK484</f>
        <v/>
      </c>
      <c r="AM484" s="599">
        <f>scheduleapr[[#This Row],[SCHEDULE in nos]]/scheduleapr[[#This Row],[SCHEDULE IN MT]]*scheduleapr[[#This Row],[CTL Stock]]</f>
        <v/>
      </c>
      <c r="AN484" s="599">
        <f>SUMIFS(stock[MT],stock[Bucket],scheduleapr[[#This Row],[Bucket]],stock[CTL Bucket],scheduleapr[[#This Row],[CTL Bucket]],stock[Plant],"0789")</f>
        <v/>
      </c>
      <c r="AO484" s="599" t="n"/>
      <c r="AP484" s="599">
        <f>SUMIFS(stock[MT],stock[Bucket],scheduleapr[[#This Row],[Bucket]],stock[LL or CTL],"LL")</f>
        <v/>
      </c>
      <c r="AQ484" s="599">
        <f>+SUMIFS(wip[Stock(Net Wt)],wip[Bucket],scheduleapr[[#This Row],[Bucket]])/1000</f>
        <v/>
      </c>
      <c r="AR484" s="599">
        <f>AJ484-AN484</f>
        <v/>
      </c>
      <c r="AS484" s="118" t="n"/>
    </row>
    <row r="485">
      <c r="A485" s="594" t="n">
        <v>355</v>
      </c>
      <c r="B485" s="5" t="inlineStr">
        <is>
          <t>Hosur</t>
        </is>
      </c>
      <c r="C485" s="601" t="inlineStr">
        <is>
          <t xml:space="preserve">Rajsriya Mysore </t>
        </is>
      </c>
      <c r="D485" s="601" t="inlineStr">
        <is>
          <t>Rajsriya Automotive Mysore</t>
        </is>
      </c>
      <c r="E485" s="601" t="inlineStr">
        <is>
          <t>930883|189481</t>
        </is>
      </c>
      <c r="F485" s="601" t="n">
        <v>2410998</v>
      </c>
      <c r="G485" s="601">
        <f>_xlfn.CONCAT(scheduleapr[[#This Row],[CUSTOMER CODE]],"-",scheduleapr[[#This Row],[MATERIAL NO]])</f>
        <v/>
      </c>
      <c r="H485" s="601" t="inlineStr">
        <is>
          <t>TUB-O-C-AUT-AD-FC-18.20X2.950X04-05</t>
        </is>
      </c>
      <c r="I485" s="601" t="inlineStr">
        <is>
          <t>CEW</t>
        </is>
      </c>
      <c r="J485" s="601" t="n"/>
      <c r="K485" s="601" t="inlineStr">
        <is>
          <t>CEW</t>
        </is>
      </c>
      <c r="L485" s="601" t="inlineStr">
        <is>
          <t>HR</t>
        </is>
      </c>
      <c r="M485" s="601" t="n"/>
      <c r="N485" s="601" t="n"/>
      <c r="O485" s="601" t="n"/>
      <c r="P485" s="601" t="n"/>
      <c r="Q485" s="557">
        <f>CONCATENATE(scheduleapr[[#This Row],[OD]],"-",scheduleapr[[#This Row],[ID]],"-",scheduleapr[[#This Row],[TICKNESS]],"-",scheduleapr[[#This Row],[Grade]],"-",scheduleapr[[#This Row],[FC/NFC]])</f>
        <v/>
      </c>
      <c r="R485" s="557">
        <f>_xlfn.CONCAT(scheduleapr[[#This Row],[Bucket]],"-",scheduleapr[[#This Row],[LENGTH]]/1000)</f>
        <v/>
      </c>
      <c r="S485" s="557">
        <f>COUNTIF([2]!buckets[CTL Bucket],[2]!scheduleapr[[#This Row],[CTL Bucket]])</f>
        <v/>
      </c>
      <c r="T485" s="557" t="n"/>
      <c r="U485" s="557" t="n"/>
      <c r="V485" s="557" t="n"/>
      <c r="W485" s="557" t="n"/>
      <c r="X485" s="599" t="n">
        <v>18.2</v>
      </c>
      <c r="Y485" s="599" t="n">
        <v>18.2</v>
      </c>
      <c r="Z485" s="599" t="n">
        <v>12.3</v>
      </c>
      <c r="AA485" s="599" t="n">
        <v>2.95</v>
      </c>
      <c r="AB485" s="600" t="n">
        <v>4500</v>
      </c>
      <c r="AC485" s="600" t="inlineStr">
        <is>
          <t>M</t>
        </is>
      </c>
      <c r="AD485" s="600" t="n"/>
      <c r="AE485" s="600" t="n"/>
      <c r="AF485" s="601" t="n"/>
      <c r="AG485" s="601" t="n"/>
      <c r="AH485" s="601">
        <f t="array" ref="AH4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5" s="602">
        <f>scheduleapr[[#This Row],[SCHEDULE in nos]]-scheduleapr[[#This Row],[DISPATCH]]</f>
        <v/>
      </c>
      <c r="AJ485" s="599">
        <f>(3.14*(scheduleapr[[#This Row],[ACTUAL OD]]-scheduleapr[[#This Row],[TICKNESS]])*scheduleapr[[#This Row],[TICKNESS]]*scheduleapr[[#This Row],[LENGTH]]*7.85)/1000000*scheduleapr[[#This Row],[SCHEDULE in nos]]/1000</f>
        <v/>
      </c>
      <c r="AK485" s="599">
        <f>(3.14*(scheduleapr[[#This Row],[ACTUAL OD]]-scheduleapr[[#This Row],[TICKNESS]])*scheduleapr[[#This Row],[TICKNESS]]*scheduleapr[[#This Row],[LENGTH]]*7.85)/1000000*scheduleapr[[#This Row],[DISPATCH]]/1000</f>
        <v/>
      </c>
      <c r="AL485" s="599">
        <f>AJ485-AK485</f>
        <v/>
      </c>
      <c r="AM485" s="599">
        <f>scheduleapr[[#This Row],[SCHEDULE in nos]]/scheduleapr[[#This Row],[SCHEDULE IN MT]]*scheduleapr[[#This Row],[CTL Stock]]</f>
        <v/>
      </c>
      <c r="AN485" s="599">
        <f>SUMIFS(stock[MT],stock[Bucket],scheduleapr[[#This Row],[Bucket]],stock[CTL Bucket],scheduleapr[[#This Row],[CTL Bucket]],stock[Plant],"0789")</f>
        <v/>
      </c>
      <c r="AO485" s="599" t="n"/>
      <c r="AP485" s="599">
        <f>SUMIFS(stock[MT],stock[Bucket],scheduleapr[[#This Row],[Bucket]],stock[LL or CTL],"LL")</f>
        <v/>
      </c>
      <c r="AQ485" s="599">
        <f>+SUMIFS(wip[Stock(Net Wt)],wip[Bucket],scheduleapr[[#This Row],[Bucket]])/1000</f>
        <v/>
      </c>
      <c r="AR485" s="599">
        <f>AJ485-AN485</f>
        <v/>
      </c>
      <c r="AS485" s="118" t="n"/>
    </row>
    <row r="486">
      <c r="A486" s="594" t="n">
        <v>360</v>
      </c>
      <c r="B486" s="5" t="inlineStr">
        <is>
          <t xml:space="preserve">Khopoli </t>
        </is>
      </c>
      <c r="C486" s="601" t="inlineStr">
        <is>
          <t xml:space="preserve">Rajsriya Mysore </t>
        </is>
      </c>
      <c r="D486" s="601" t="inlineStr">
        <is>
          <t>Rajsriya Automotive Mysore</t>
        </is>
      </c>
      <c r="E486" s="601" t="inlineStr">
        <is>
          <t>930883|189481</t>
        </is>
      </c>
      <c r="F486" s="601" t="n">
        <v>234926</v>
      </c>
      <c r="G486" s="601">
        <f>_xlfn.CONCAT(scheduleapr[[#This Row],[CUSTOMER CODE]],"-",scheduleapr[[#This Row],[MATERIAL NO]])</f>
        <v/>
      </c>
      <c r="H486" s="601" t="inlineStr">
        <is>
          <t>TUB-O-C-AUT-AD-PE-21.70X3.500X5.000</t>
        </is>
      </c>
      <c r="I486" s="601" t="inlineStr">
        <is>
          <t>CEW</t>
        </is>
      </c>
      <c r="J486" s="601" t="n"/>
      <c r="K486" s="601" t="n"/>
      <c r="L486" s="601" t="inlineStr">
        <is>
          <t>HR</t>
        </is>
      </c>
      <c r="M486" s="601" t="n"/>
      <c r="N486" s="601" t="n"/>
      <c r="O486" s="601" t="n"/>
      <c r="P486" s="601" t="n"/>
      <c r="Q486" s="557">
        <f>CONCATENATE(scheduleapr[[#This Row],[OD]],"-",scheduleapr[[#This Row],[ID]],"-",scheduleapr[[#This Row],[TICKNESS]],"-",scheduleapr[[#This Row],[Grade]],"-",scheduleapr[[#This Row],[FC/NFC]])</f>
        <v/>
      </c>
      <c r="R486" s="557">
        <f>_xlfn.CONCAT(scheduleapr[[#This Row],[Bucket]],"-",scheduleapr[[#This Row],[LENGTH]]/1000)</f>
        <v/>
      </c>
      <c r="S486" s="557">
        <f>COUNTIF([2]!buckets[CTL Bucket],[2]!scheduleapr[[#This Row],[CTL Bucket]])</f>
        <v/>
      </c>
      <c r="T486" s="557" t="n"/>
      <c r="U486" s="557" t="n"/>
      <c r="V486" s="557" t="n"/>
      <c r="W486" s="557" t="n"/>
      <c r="X486" s="599" t="n">
        <v>21.75</v>
      </c>
      <c r="Y486" s="599" t="n">
        <v>21.75</v>
      </c>
      <c r="Z486" s="599" t="n">
        <v>0</v>
      </c>
      <c r="AA486" s="599" t="n">
        <v>3.5</v>
      </c>
      <c r="AB486" s="600" t="n">
        <v>5000</v>
      </c>
      <c r="AC486" s="600" t="inlineStr">
        <is>
          <t>M</t>
        </is>
      </c>
      <c r="AD486" s="600" t="n"/>
      <c r="AE486" s="600" t="n"/>
      <c r="AF486" s="601" t="n"/>
      <c r="AG486" s="601" t="n"/>
      <c r="AH486" s="601">
        <f t="array" ref="AH4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6" s="602">
        <f>scheduleapr[[#This Row],[SCHEDULE in nos]]-scheduleapr[[#This Row],[DISPATCH]]</f>
        <v/>
      </c>
      <c r="AJ486" s="599">
        <f>(3.14*(scheduleapr[[#This Row],[ACTUAL OD]]-scheduleapr[[#This Row],[TICKNESS]])*scheduleapr[[#This Row],[TICKNESS]]*scheduleapr[[#This Row],[LENGTH]]*7.85)/1000000*scheduleapr[[#This Row],[SCHEDULE in nos]]/1000</f>
        <v/>
      </c>
      <c r="AK486" s="599">
        <f>(3.14*(scheduleapr[[#This Row],[ACTUAL OD]]-scheduleapr[[#This Row],[TICKNESS]])*scheduleapr[[#This Row],[TICKNESS]]*scheduleapr[[#This Row],[LENGTH]]*7.85)/1000000*scheduleapr[[#This Row],[DISPATCH]]/1000</f>
        <v/>
      </c>
      <c r="AL486" s="599">
        <f>AJ486-AK486</f>
        <v/>
      </c>
      <c r="AM486" s="599">
        <f>scheduleapr[[#This Row],[SCHEDULE in nos]]/scheduleapr[[#This Row],[SCHEDULE IN MT]]*scheduleapr[[#This Row],[CTL Stock]]</f>
        <v/>
      </c>
      <c r="AN486" s="599">
        <f>SUMIFS(stock[MT],stock[Bucket],scheduleapr[[#This Row],[Bucket]],stock[CTL Bucket],scheduleapr[[#This Row],[CTL Bucket]],stock[Plant],"0789")</f>
        <v/>
      </c>
      <c r="AO486" s="599" t="n"/>
      <c r="AP486" s="599">
        <f>SUMIFS(stock[MT],stock[Bucket],scheduleapr[[#This Row],[Bucket]],stock[LL or CTL],"LL")</f>
        <v/>
      </c>
      <c r="AQ486" s="599">
        <f>+SUMIFS(wip[Stock(Net Wt)],wip[Bucket],scheduleapr[[#This Row],[Bucket]])/1000</f>
        <v/>
      </c>
      <c r="AR486" s="599">
        <f>AJ486-AN486</f>
        <v/>
      </c>
      <c r="AS486" s="118" t="n"/>
    </row>
    <row r="487">
      <c r="A487" s="594" t="n">
        <v>368</v>
      </c>
      <c r="B487" s="5" t="inlineStr">
        <is>
          <t xml:space="preserve">Khopoli </t>
        </is>
      </c>
      <c r="C487" s="601" t="inlineStr">
        <is>
          <t xml:space="preserve">Rajsriya Mysore </t>
        </is>
      </c>
      <c r="D487" s="601" t="inlineStr">
        <is>
          <t>Rajsriya Automotive Mysore</t>
        </is>
      </c>
      <c r="E487" s="601" t="inlineStr">
        <is>
          <t>930883|189481</t>
        </is>
      </c>
      <c r="F487" s="601" t="n">
        <v>2410997</v>
      </c>
      <c r="G487" s="601">
        <f>_xlfn.CONCAT(scheduleapr[[#This Row],[CUSTOMER CODE]],"-",scheduleapr[[#This Row],[MATERIAL NO]])</f>
        <v/>
      </c>
      <c r="H487" s="601" t="inlineStr">
        <is>
          <t>TUB-O-C-AUT-AD-FC-25.40X3.200X04-05</t>
        </is>
      </c>
      <c r="I487" s="601" t="inlineStr">
        <is>
          <t>CEW</t>
        </is>
      </c>
      <c r="J487" s="601" t="n"/>
      <c r="K487" s="601" t="n"/>
      <c r="L487" s="601" t="inlineStr">
        <is>
          <t>HR</t>
        </is>
      </c>
      <c r="M487" s="601" t="n"/>
      <c r="N487" s="601" t="n"/>
      <c r="O487" s="601" t="n"/>
      <c r="P487" s="601" t="n"/>
      <c r="Q487" s="557">
        <f>CONCATENATE(scheduleapr[[#This Row],[OD]],"-",scheduleapr[[#This Row],[ID]],"-",scheduleapr[[#This Row],[TICKNESS]],"-",scheduleapr[[#This Row],[Grade]],"-",scheduleapr[[#This Row],[FC/NFC]])</f>
        <v/>
      </c>
      <c r="R487" s="557">
        <f>_xlfn.CONCAT(scheduleapr[[#This Row],[Bucket]],"-",scheduleapr[[#This Row],[LENGTH]]/1000)</f>
        <v/>
      </c>
      <c r="S487" s="557">
        <f>COUNTIF([2]!buckets[CTL Bucket],[2]!scheduleapr[[#This Row],[CTL Bucket]])</f>
        <v/>
      </c>
      <c r="T487" s="557" t="n"/>
      <c r="U487" s="557" t="n"/>
      <c r="V487" s="557" t="n"/>
      <c r="W487" s="557" t="n"/>
      <c r="X487" s="599" t="n">
        <v>25.4</v>
      </c>
      <c r="Y487" s="599" t="n">
        <v>25.4</v>
      </c>
      <c r="Z487" s="599" t="n">
        <v>19</v>
      </c>
      <c r="AA487" s="599" t="n">
        <v>3.2</v>
      </c>
      <c r="AB487" s="600" t="n">
        <v>4500</v>
      </c>
      <c r="AC487" s="600" t="inlineStr">
        <is>
          <t>M</t>
        </is>
      </c>
      <c r="AD487" s="600" t="n"/>
      <c r="AE487" s="600" t="n"/>
      <c r="AF487" s="601" t="n"/>
      <c r="AG487" s="601" t="n"/>
      <c r="AH487" s="601">
        <f t="array" ref="AH4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7" s="602">
        <f>scheduleapr[[#This Row],[SCHEDULE in nos]]-scheduleapr[[#This Row],[DISPATCH]]</f>
        <v/>
      </c>
      <c r="AJ487" s="599">
        <f>(3.14*(scheduleapr[[#This Row],[ACTUAL OD]]-scheduleapr[[#This Row],[TICKNESS]])*scheduleapr[[#This Row],[TICKNESS]]*scheduleapr[[#This Row],[LENGTH]]*7.85)/1000000*scheduleapr[[#This Row],[SCHEDULE in nos]]/1000</f>
        <v/>
      </c>
      <c r="AK487" s="599">
        <f>(3.14*(scheduleapr[[#This Row],[ACTUAL OD]]-scheduleapr[[#This Row],[TICKNESS]])*scheduleapr[[#This Row],[TICKNESS]]*scheduleapr[[#This Row],[LENGTH]]*7.85)/1000000*scheduleapr[[#This Row],[DISPATCH]]/1000</f>
        <v/>
      </c>
      <c r="AL487" s="599">
        <f>AJ487-AK487</f>
        <v/>
      </c>
      <c r="AM487" s="599">
        <f>scheduleapr[[#This Row],[SCHEDULE in nos]]/scheduleapr[[#This Row],[SCHEDULE IN MT]]*scheduleapr[[#This Row],[CTL Stock]]</f>
        <v/>
      </c>
      <c r="AN487" s="599">
        <f>SUMIFS(stock[MT],stock[Bucket],scheduleapr[[#This Row],[Bucket]],stock[CTL Bucket],scheduleapr[[#This Row],[CTL Bucket]],stock[Plant],"0789")</f>
        <v/>
      </c>
      <c r="AO487" s="599" t="n"/>
      <c r="AP487" s="599">
        <f>SUMIFS(stock[MT],stock[Bucket],scheduleapr[[#This Row],[Bucket]],stock[LL or CTL],"LL")</f>
        <v/>
      </c>
      <c r="AQ487" s="599">
        <f>+SUMIFS(wip[Stock(Net Wt)],wip[Bucket],scheduleapr[[#This Row],[Bucket]])/1000</f>
        <v/>
      </c>
      <c r="AR487" s="599">
        <f>AJ487-AN487</f>
        <v/>
      </c>
      <c r="AS487" s="118" t="n"/>
    </row>
    <row r="488">
      <c r="A488" s="594" t="n">
        <v>371</v>
      </c>
      <c r="B488" s="5" t="inlineStr">
        <is>
          <t xml:space="preserve">Khopoli </t>
        </is>
      </c>
      <c r="C488" s="601" t="inlineStr">
        <is>
          <t xml:space="preserve">Rajsriya Mysore </t>
        </is>
      </c>
      <c r="D488" s="601" t="inlineStr">
        <is>
          <t>Rajsriya Automotive Mysore</t>
        </is>
      </c>
      <c r="E488" s="601" t="inlineStr">
        <is>
          <t>930883|189481</t>
        </is>
      </c>
      <c r="F488" s="601" t="n">
        <v>2422135</v>
      </c>
      <c r="G488" s="601">
        <f>_xlfn.CONCAT(scheduleapr[[#This Row],[CUSTOMER CODE]],"-",scheduleapr[[#This Row],[MATERIAL NO]])</f>
        <v/>
      </c>
      <c r="H488" s="601" t="inlineStr">
        <is>
          <t>TUB-O-N-AUT-AN-FC-42.70X4.000X0.2080</t>
        </is>
      </c>
      <c r="I488" s="601" t="inlineStr">
        <is>
          <t>CEW</t>
        </is>
      </c>
      <c r="J488" s="601" t="inlineStr">
        <is>
          <t>Annealed</t>
        </is>
      </c>
      <c r="K488" s="601" t="n"/>
      <c r="L488" s="601" t="inlineStr">
        <is>
          <t>HR</t>
        </is>
      </c>
      <c r="M488" s="601" t="n"/>
      <c r="N488" s="601" t="n"/>
      <c r="O488" s="601" t="n"/>
      <c r="P488" s="601" t="n"/>
      <c r="Q488" s="557">
        <f>CONCATENATE(scheduleapr[[#This Row],[OD]],"-",scheduleapr[[#This Row],[ID]],"-",scheduleapr[[#This Row],[TICKNESS]],"-",scheduleapr[[#This Row],[Grade]],"-",scheduleapr[[#This Row],[FC/NFC]])</f>
        <v/>
      </c>
      <c r="R488" s="557">
        <f>_xlfn.CONCAT(scheduleapr[[#This Row],[Bucket]],"-",scheduleapr[[#This Row],[LENGTH]]/1000)</f>
        <v/>
      </c>
      <c r="S488" s="557">
        <f>COUNTIF([2]!buckets[CTL Bucket],[2]!scheduleapr[[#This Row],[CTL Bucket]])</f>
        <v/>
      </c>
      <c r="T488" s="557" t="n"/>
      <c r="U488" s="557" t="n"/>
      <c r="V488" s="557" t="n"/>
      <c r="W488" s="557" t="n"/>
      <c r="X488" s="599" t="n">
        <v>42.7</v>
      </c>
      <c r="Y488" s="599" t="n">
        <v>42.7</v>
      </c>
      <c r="Z488" s="599" t="n">
        <v>0</v>
      </c>
      <c r="AA488" s="599" t="n">
        <v>4</v>
      </c>
      <c r="AB488" s="600" t="n">
        <v>208</v>
      </c>
      <c r="AC488" s="600" t="inlineStr">
        <is>
          <t>NOS</t>
        </is>
      </c>
      <c r="AD488" s="600" t="n"/>
      <c r="AE488" s="600" t="n"/>
      <c r="AF488" s="601" t="n"/>
      <c r="AG488" s="601" t="n"/>
      <c r="AH488" s="601">
        <f t="array" ref="AH4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8" s="602">
        <f>scheduleapr[[#This Row],[SCHEDULE in nos]]-scheduleapr[[#This Row],[DISPATCH]]</f>
        <v/>
      </c>
      <c r="AJ488" s="599">
        <f>(3.14*(scheduleapr[[#This Row],[ACTUAL OD]]-scheduleapr[[#This Row],[TICKNESS]])*scheduleapr[[#This Row],[TICKNESS]]*scheduleapr[[#This Row],[LENGTH]]*7.85)/1000000*scheduleapr[[#This Row],[SCHEDULE in nos]]/1000</f>
        <v/>
      </c>
      <c r="AK488" s="599">
        <f>(3.14*(scheduleapr[[#This Row],[ACTUAL OD]]-scheduleapr[[#This Row],[TICKNESS]])*scheduleapr[[#This Row],[TICKNESS]]*scheduleapr[[#This Row],[LENGTH]]*7.85)/1000000*scheduleapr[[#This Row],[DISPATCH]]/1000</f>
        <v/>
      </c>
      <c r="AL488" s="599">
        <f>AJ488-AK488</f>
        <v/>
      </c>
      <c r="AM488" s="599">
        <f>scheduleapr[[#This Row],[SCHEDULE in nos]]/scheduleapr[[#This Row],[SCHEDULE IN MT]]*scheduleapr[[#This Row],[CTL Stock]]</f>
        <v/>
      </c>
      <c r="AN488" s="599">
        <f>SUMIFS(stock[MT],stock[Bucket],scheduleapr[[#This Row],[Bucket]],stock[CTL Bucket],scheduleapr[[#This Row],[CTL Bucket]],stock[Plant],"0789")</f>
        <v/>
      </c>
      <c r="AO488" s="599" t="n"/>
      <c r="AP488" s="599">
        <f>SUMIFS(stock[MT],stock[Bucket],scheduleapr[[#This Row],[Bucket]],stock[LL or CTL],"LL")</f>
        <v/>
      </c>
      <c r="AQ488" s="599">
        <f>+SUMIFS(wip[Stock(Net Wt)],wip[Bucket],scheduleapr[[#This Row],[Bucket]])/1000</f>
        <v/>
      </c>
      <c r="AR488" s="599">
        <f>AJ488-AN488</f>
        <v/>
      </c>
      <c r="AS488" s="118" t="n"/>
    </row>
    <row r="489">
      <c r="A489" s="594" t="n">
        <v>317</v>
      </c>
      <c r="B489" s="5" t="inlineStr">
        <is>
          <t>Hosur</t>
        </is>
      </c>
      <c r="C489" s="601" t="inlineStr">
        <is>
          <t xml:space="preserve">Rajsriya Mysore </t>
        </is>
      </c>
      <c r="D489" s="601" t="inlineStr">
        <is>
          <t>Rajsriya Automotive Mysore</t>
        </is>
      </c>
      <c r="E489" s="601" t="inlineStr">
        <is>
          <t>930883|189481</t>
        </is>
      </c>
      <c r="F489" s="601" t="n">
        <v>1939993</v>
      </c>
      <c r="G489" s="601">
        <f>_xlfn.CONCAT(scheduleapr[[#This Row],[CUSTOMER CODE]],"-",scheduleapr[[#This Row],[MATERIAL NO]])</f>
        <v/>
      </c>
      <c r="H489" s="601" t="inlineStr">
        <is>
          <t>TUB-O-O-AUT-AW-PE-12.70X1.600X0.2500</t>
        </is>
      </c>
      <c r="I489" s="601" t="inlineStr">
        <is>
          <t>ERW 1</t>
        </is>
      </c>
      <c r="J489" s="601" t="n"/>
      <c r="K489" s="601" t="inlineStr">
        <is>
          <t>PE</t>
        </is>
      </c>
      <c r="L489" s="601" t="inlineStr">
        <is>
          <t>HR</t>
        </is>
      </c>
      <c r="M489" s="601" t="n"/>
      <c r="N489" s="601" t="n"/>
      <c r="O489" s="601" t="n"/>
      <c r="P489" s="601" t="n"/>
      <c r="Q489" s="557">
        <f>CONCATENATE(scheduleapr[[#This Row],[OD]],"-",scheduleapr[[#This Row],[ID]],"-",scheduleapr[[#This Row],[TICKNESS]],"-",scheduleapr[[#This Row],[Grade]],"-",scheduleapr[[#This Row],[FC/NFC]])</f>
        <v/>
      </c>
      <c r="R489" s="557">
        <f>_xlfn.CONCAT(scheduleapr[[#This Row],[Bucket]],"-",scheduleapr[[#This Row],[LENGTH]]/1000)</f>
        <v/>
      </c>
      <c r="S489" s="557">
        <f>COUNTIF(scheduleapr[CTL Bucket],scheduleapr[[#This Row],[CTL Bucket]])</f>
        <v/>
      </c>
      <c r="T489" s="601" t="inlineStr">
        <is>
          <t>Hosur</t>
        </is>
      </c>
      <c r="U489" s="601">
        <f>_xlfn.IFNA(VLOOKUP(scheduleapr[[#This Row],[Bucket]],salesforecast[[#All],[Bucket2]:[8406 Stock]],19,0),0)</f>
        <v/>
      </c>
      <c r="V489" s="562">
        <f>_xlfn.IFNA(VLOOKUP(scheduleapr[[#This Row],[Bucket]],salesforecast[[#All],[Bucket2]:[8406 Stock]],20,0),0)+_xlfn.IFNA(VLOOKUP(scheduleapr[[#This Row],[Bucket]],salesforecast[[#All],[Bucket2]:[8406 Stock]],17,0),0)</f>
        <v/>
      </c>
      <c r="W489" s="557" t="n"/>
      <c r="X489" s="599" t="n">
        <v>12.7</v>
      </c>
      <c r="Y489" s="599" t="n">
        <v>12.7</v>
      </c>
      <c r="Z489" s="599" t="n">
        <v>0</v>
      </c>
      <c r="AA489" s="599" t="n">
        <v>1.6</v>
      </c>
      <c r="AB489" s="600" t="n">
        <v>250</v>
      </c>
      <c r="AC489" s="600" t="inlineStr">
        <is>
          <t>NOS</t>
        </is>
      </c>
      <c r="AD489" s="600" t="n"/>
      <c r="AE489" s="600" t="n"/>
      <c r="AF489" s="601" t="n">
        <v>30000</v>
      </c>
      <c r="AG489" s="601" t="inlineStr">
        <is>
          <t>Aug 2026 schedule · rajsriya MYSORE</t>
        </is>
      </c>
      <c r="AH489" s="601">
        <f t="array" ref="AH4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89" s="602">
        <f>scheduleapr[[#This Row],[SCHEDULE in nos]]-scheduleapr[[#This Row],[DISPATCH]]</f>
        <v/>
      </c>
      <c r="AJ489" s="599">
        <f>(3.14*(scheduleapr[[#This Row],[ACTUAL OD]]-scheduleapr[[#This Row],[TICKNESS]])*scheduleapr[[#This Row],[TICKNESS]]*scheduleapr[[#This Row],[LENGTH]]*7.85)/1000000*scheduleapr[[#This Row],[SCHEDULE in nos]]/1000</f>
        <v/>
      </c>
      <c r="AK489" s="599">
        <f>(3.14*(scheduleapr[[#This Row],[ACTUAL OD]]-scheduleapr[[#This Row],[TICKNESS]])*scheduleapr[[#This Row],[TICKNESS]]*scheduleapr[[#This Row],[LENGTH]]*7.85)/1000000*scheduleapr[[#This Row],[DISPATCH]]/1000</f>
        <v/>
      </c>
      <c r="AL489" s="599">
        <f>AJ489-AK489</f>
        <v/>
      </c>
      <c r="AM489" s="599">
        <f>scheduleapr[[#This Row],[SCHEDULE in nos]]/scheduleapr[[#This Row],[SCHEDULE IN MT]]*scheduleapr[[#This Row],[CTL Stock]]</f>
        <v/>
      </c>
      <c r="AN489" s="599">
        <f>SUMIFS(stock[MT],stock[Bucket],scheduleapr[[#This Row],[Bucket]],stock[CTL Bucket],scheduleapr[[#This Row],[CTL Bucket]],stock[Plant],"0789")</f>
        <v/>
      </c>
      <c r="AO489" s="599" t="n"/>
      <c r="AP489" s="599">
        <f>SUMIFS(stock[MT],stock[Bucket],scheduleapr[[#This Row],[Bucket]],stock[LL or CTL],"LL")</f>
        <v/>
      </c>
      <c r="AQ489" s="599">
        <f>+SUMIFS(wip[Stock(Net Wt)],wip[Bucket],scheduleapr[[#This Row],[Bucket]])/1000</f>
        <v/>
      </c>
      <c r="AR489" s="599">
        <f>AJ489-AN489</f>
        <v/>
      </c>
      <c r="AS489" s="118" t="n"/>
    </row>
    <row r="490">
      <c r="A490" s="594" t="n">
        <v>325</v>
      </c>
      <c r="B490" s="5" t="inlineStr">
        <is>
          <t>Hosur</t>
        </is>
      </c>
      <c r="C490" s="601" t="inlineStr">
        <is>
          <t xml:space="preserve">Rajsriya Mysore </t>
        </is>
      </c>
      <c r="D490" s="601" t="inlineStr">
        <is>
          <t>Rajsriya Automotive Mysore</t>
        </is>
      </c>
      <c r="E490" s="601" t="inlineStr">
        <is>
          <t>930883|189481</t>
        </is>
      </c>
      <c r="F490" s="601" t="n">
        <v>1939996</v>
      </c>
      <c r="G490" s="601">
        <f>_xlfn.CONCAT(scheduleapr[[#This Row],[CUSTOMER CODE]],"-",scheduleapr[[#This Row],[MATERIAL NO]])</f>
        <v/>
      </c>
      <c r="H490" s="601" t="inlineStr">
        <is>
          <t>TUB-O-O-AUT-AW-PE-12.70X1.600X0.2950</t>
        </is>
      </c>
      <c r="I490" s="601" t="inlineStr">
        <is>
          <t>ERW 1</t>
        </is>
      </c>
      <c r="J490" s="601" t="n"/>
      <c r="K490" s="601" t="inlineStr">
        <is>
          <t>PE</t>
        </is>
      </c>
      <c r="L490" s="601" t="inlineStr">
        <is>
          <t>HR</t>
        </is>
      </c>
      <c r="M490" s="601" t="n"/>
      <c r="N490" s="601" t="n"/>
      <c r="O490" s="601" t="n"/>
      <c r="P490" s="601" t="n"/>
      <c r="Q490" s="557">
        <f>CONCATENATE(scheduleapr[[#This Row],[OD]],"-",scheduleapr[[#This Row],[ID]],"-",scheduleapr[[#This Row],[TICKNESS]],"-",scheduleapr[[#This Row],[Grade]],"-",scheduleapr[[#This Row],[FC/NFC]])</f>
        <v/>
      </c>
      <c r="R490" s="557">
        <f>_xlfn.CONCAT(scheduleapr[[#This Row],[Bucket]],"-",scheduleapr[[#This Row],[LENGTH]]/1000)</f>
        <v/>
      </c>
      <c r="S490" s="557">
        <f>COUNTIF(scheduleapr[CTL Bucket],scheduleapr[[#This Row],[CTL Bucket]])</f>
        <v/>
      </c>
      <c r="T490" s="601" t="inlineStr">
        <is>
          <t>Hosur</t>
        </is>
      </c>
      <c r="U490" s="601">
        <f>_xlfn.IFNA(VLOOKUP(scheduleapr[[#This Row],[Bucket]],salesforecast[[#All],[Bucket2]:[8406 Stock]],19,0),0)</f>
        <v/>
      </c>
      <c r="V490" s="562">
        <f>_xlfn.IFNA(VLOOKUP(scheduleapr[[#This Row],[Bucket]],salesforecast[[#All],[Bucket2]:[8406 Stock]],20,0),0)+_xlfn.IFNA(VLOOKUP(scheduleapr[[#This Row],[Bucket]],salesforecast[[#All],[Bucket2]:[8406 Stock]],17,0),0)</f>
        <v/>
      </c>
      <c r="W490" s="557" t="n"/>
      <c r="X490" s="599" t="n">
        <v>12.7</v>
      </c>
      <c r="Y490" s="599" t="n">
        <v>12.7</v>
      </c>
      <c r="Z490" s="599" t="n">
        <v>0</v>
      </c>
      <c r="AA490" s="599" t="n">
        <v>1.6</v>
      </c>
      <c r="AB490" s="600" t="n">
        <v>295</v>
      </c>
      <c r="AC490" s="600" t="inlineStr">
        <is>
          <t>NOS</t>
        </is>
      </c>
      <c r="AD490" s="600" t="n"/>
      <c r="AE490" s="600" t="n"/>
      <c r="AF490" s="601" t="n">
        <v>30000</v>
      </c>
      <c r="AG490" s="601" t="inlineStr">
        <is>
          <t>Aug 2026 schedule · rajsriya MYSORE</t>
        </is>
      </c>
      <c r="AH490" s="601">
        <f t="array" ref="AH4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0" s="602">
        <f>scheduleapr[[#This Row],[SCHEDULE in nos]]-scheduleapr[[#This Row],[DISPATCH]]</f>
        <v/>
      </c>
      <c r="AJ490" s="599">
        <f>(3.14*(scheduleapr[[#This Row],[ACTUAL OD]]-scheduleapr[[#This Row],[TICKNESS]])*scheduleapr[[#This Row],[TICKNESS]]*scheduleapr[[#This Row],[LENGTH]]*7.85)/1000000*scheduleapr[[#This Row],[SCHEDULE in nos]]/1000</f>
        <v/>
      </c>
      <c r="AK490" s="599">
        <f>(3.14*(scheduleapr[[#This Row],[ACTUAL OD]]-scheduleapr[[#This Row],[TICKNESS]])*scheduleapr[[#This Row],[TICKNESS]]*scheduleapr[[#This Row],[LENGTH]]*7.85)/1000000*scheduleapr[[#This Row],[DISPATCH]]/1000</f>
        <v/>
      </c>
      <c r="AL490" s="599">
        <f>AJ490-AK490</f>
        <v/>
      </c>
      <c r="AM490" s="599">
        <f>scheduleapr[[#This Row],[SCHEDULE in nos]]/scheduleapr[[#This Row],[SCHEDULE IN MT]]*scheduleapr[[#This Row],[CTL Stock]]</f>
        <v/>
      </c>
      <c r="AN490" s="599">
        <f>SUMIFS(stock[MT],stock[Bucket],scheduleapr[[#This Row],[Bucket]],stock[CTL Bucket],scheduleapr[[#This Row],[CTL Bucket]],stock[Plant],"0789")</f>
        <v/>
      </c>
      <c r="AO490" s="599" t="n"/>
      <c r="AP490" s="599">
        <f>SUMIFS(stock[MT],stock[Bucket],scheduleapr[[#This Row],[Bucket]],stock[LL or CTL],"LL")</f>
        <v/>
      </c>
      <c r="AQ490" s="599">
        <f>+SUMIFS(wip[Stock(Net Wt)],wip[Bucket],scheduleapr[[#This Row],[Bucket]])/1000</f>
        <v/>
      </c>
      <c r="AR490" s="599">
        <f>AJ490-AN490</f>
        <v/>
      </c>
      <c r="AS490" s="118" t="n"/>
    </row>
    <row r="491">
      <c r="A491" s="594" t="n">
        <v>347</v>
      </c>
      <c r="B491" s="5" t="inlineStr">
        <is>
          <t>Hosur</t>
        </is>
      </c>
      <c r="C491" s="601" t="inlineStr">
        <is>
          <t xml:space="preserve">Rajsriya Mysore </t>
        </is>
      </c>
      <c r="D491" s="601" t="inlineStr">
        <is>
          <t>Rajsriya Automotive Mysore</t>
        </is>
      </c>
      <c r="E491" s="601" t="inlineStr">
        <is>
          <t>930883|189481</t>
        </is>
      </c>
      <c r="F491" s="601" t="n">
        <v>1940090</v>
      </c>
      <c r="G491" s="601">
        <f>_xlfn.CONCAT(scheduleapr[[#This Row],[CUSTOMER CODE]],"-",scheduleapr[[#This Row],[MATERIAL NO]])</f>
        <v/>
      </c>
      <c r="H491" s="601" t="inlineStr">
        <is>
          <t>TUB-O-O-AUT-AW-PE-15.88X2.000X0.2910</t>
        </is>
      </c>
      <c r="I491" s="601" t="inlineStr">
        <is>
          <t>ERW 1</t>
        </is>
      </c>
      <c r="J491" s="601" t="n"/>
      <c r="K491" s="601" t="inlineStr">
        <is>
          <t>PE</t>
        </is>
      </c>
      <c r="L491" s="601" t="inlineStr">
        <is>
          <t>HR</t>
        </is>
      </c>
      <c r="M491" s="601" t="n"/>
      <c r="N491" s="601" t="n"/>
      <c r="O491" s="601" t="n"/>
      <c r="P491" s="601" t="n"/>
      <c r="Q491" s="557">
        <f>CONCATENATE(scheduleapr[[#This Row],[OD]],"-",scheduleapr[[#This Row],[ID]],"-",scheduleapr[[#This Row],[TICKNESS]],"-",scheduleapr[[#This Row],[Grade]],"-",scheduleapr[[#This Row],[FC/NFC]])</f>
        <v/>
      </c>
      <c r="R491" s="557">
        <f>_xlfn.CONCAT(scheduleapr[[#This Row],[Bucket]],"-",scheduleapr[[#This Row],[LENGTH]]/1000)</f>
        <v/>
      </c>
      <c r="S491" s="557">
        <f>COUNTIF(scheduleapr[CTL Bucket],scheduleapr[[#This Row],[CTL Bucket]])</f>
        <v/>
      </c>
      <c r="T491" s="601" t="inlineStr">
        <is>
          <t>Hosur</t>
        </is>
      </c>
      <c r="U491" s="601">
        <f>_xlfn.IFNA(VLOOKUP(scheduleapr[[#This Row],[Bucket]],salesforecast[[#All],[Bucket2]:[8406 Stock]],19,0),0)</f>
        <v/>
      </c>
      <c r="V491" s="562">
        <f>_xlfn.IFNA(VLOOKUP(scheduleapr[[#This Row],[Bucket]],salesforecast[[#All],[Bucket2]:[8406 Stock]],20,0),0)+_xlfn.IFNA(VLOOKUP(scheduleapr[[#This Row],[Bucket]],salesforecast[[#All],[Bucket2]:[8406 Stock]],17,0),0)</f>
        <v/>
      </c>
      <c r="W491" s="557" t="n"/>
      <c r="X491" s="599" t="n">
        <v>15.88</v>
      </c>
      <c r="Y491" s="599" t="n">
        <v>15.88</v>
      </c>
      <c r="Z491" s="599" t="n">
        <v>0</v>
      </c>
      <c r="AA491" s="599" t="n">
        <v>2</v>
      </c>
      <c r="AB491" s="600" t="n">
        <v>291</v>
      </c>
      <c r="AC491" s="600" t="inlineStr">
        <is>
          <t>NOS</t>
        </is>
      </c>
      <c r="AD491" s="600" t="n"/>
      <c r="AE491" s="600" t="n"/>
      <c r="AF491" s="600" t="n">
        <v>20000</v>
      </c>
      <c r="AG491" s="600" t="inlineStr">
        <is>
          <t>Aug 2026 schedule · rajsriya MYSORE</t>
        </is>
      </c>
      <c r="AH491" s="601">
        <f t="array" ref="AH4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1" s="602">
        <f>scheduleapr[[#This Row],[SCHEDULE in nos]]-scheduleapr[[#This Row],[DISPATCH]]</f>
        <v/>
      </c>
      <c r="AJ491" s="599">
        <f>(3.14*(scheduleapr[[#This Row],[ACTUAL OD]]-scheduleapr[[#This Row],[TICKNESS]])*scheduleapr[[#This Row],[TICKNESS]]*scheduleapr[[#This Row],[LENGTH]]*7.85)/1000000*scheduleapr[[#This Row],[SCHEDULE in nos]]/1000</f>
        <v/>
      </c>
      <c r="AK491" s="599">
        <f>(3.14*(scheduleapr[[#This Row],[ACTUAL OD]]-scheduleapr[[#This Row],[TICKNESS]])*scheduleapr[[#This Row],[TICKNESS]]*scheduleapr[[#This Row],[LENGTH]]*7.85)/1000000*scheduleapr[[#This Row],[DISPATCH]]/1000</f>
        <v/>
      </c>
      <c r="AL491" s="599">
        <f>AJ491-AK491</f>
        <v/>
      </c>
      <c r="AM491" s="599">
        <f>scheduleapr[[#This Row],[SCHEDULE in nos]]/scheduleapr[[#This Row],[SCHEDULE IN MT]]*scheduleapr[[#This Row],[CTL Stock]]</f>
        <v/>
      </c>
      <c r="AN491" s="599">
        <f>SUMIFS(stock[MT],stock[Bucket],scheduleapr[[#This Row],[Bucket]],stock[CTL Bucket],scheduleapr[[#This Row],[CTL Bucket]],stock[Plant],"0789")</f>
        <v/>
      </c>
      <c r="AO491" s="599" t="n"/>
      <c r="AP491" s="599">
        <f>SUMIFS(stock[MT],stock[Bucket],scheduleapr[[#This Row],[Bucket]],stock[LL or CTL],"LL")</f>
        <v/>
      </c>
      <c r="AQ491" s="599">
        <f>+SUMIFS(wip[Stock(Net Wt)],wip[Bucket],scheduleapr[[#This Row],[Bucket]])/1000</f>
        <v/>
      </c>
      <c r="AR491" s="599">
        <f>AJ491-AN491</f>
        <v/>
      </c>
      <c r="AS491" s="118" t="n"/>
    </row>
    <row r="492">
      <c r="A492" s="594" t="n">
        <v>352</v>
      </c>
      <c r="B492" s="5" t="inlineStr">
        <is>
          <t>Hosur</t>
        </is>
      </c>
      <c r="C492" s="601" t="inlineStr">
        <is>
          <t xml:space="preserve">Rajsriya Mysore </t>
        </is>
      </c>
      <c r="D492" s="601" t="inlineStr">
        <is>
          <t>Rajsriya Automotive Mysore</t>
        </is>
      </c>
      <c r="E492" s="601" t="inlineStr">
        <is>
          <t>930883|189481</t>
        </is>
      </c>
      <c r="F492" s="601" t="n">
        <v>2243845</v>
      </c>
      <c r="G492" s="601">
        <f>_xlfn.CONCAT(scheduleapr[[#This Row],[CUSTOMER CODE]],"-",scheduleapr[[#This Row],[MATERIAL NO]])</f>
        <v/>
      </c>
      <c r="H492" s="601" t="inlineStr">
        <is>
          <t>TUB-O-N-AUT-HR-PE-15.88X2.000X0.4420</t>
        </is>
      </c>
      <c r="I492" s="601" t="inlineStr">
        <is>
          <t>ERW 1</t>
        </is>
      </c>
      <c r="J492" s="601" t="n"/>
      <c r="K492" s="601" t="inlineStr">
        <is>
          <t>PE</t>
        </is>
      </c>
      <c r="L492" s="601" t="inlineStr">
        <is>
          <t>HR</t>
        </is>
      </c>
      <c r="M492" s="601" t="n"/>
      <c r="N492" s="601" t="n"/>
      <c r="O492" s="601" t="n"/>
      <c r="P492" s="601" t="n"/>
      <c r="Q492" s="557">
        <f>CONCATENATE(scheduleapr[[#This Row],[OD]],"-",scheduleapr[[#This Row],[ID]],"-",scheduleapr[[#This Row],[TICKNESS]],"-",scheduleapr[[#This Row],[Grade]],"-",scheduleapr[[#This Row],[FC/NFC]])</f>
        <v/>
      </c>
      <c r="R492" s="557">
        <f>_xlfn.CONCAT(scheduleapr[[#This Row],[Bucket]],"-",scheduleapr[[#This Row],[LENGTH]]/1000)</f>
        <v/>
      </c>
      <c r="S492" s="557">
        <f>COUNTIF(scheduleapr[CTL Bucket],scheduleapr[[#This Row],[CTL Bucket]])</f>
        <v/>
      </c>
      <c r="T492" s="601" t="inlineStr">
        <is>
          <t>Hosur</t>
        </is>
      </c>
      <c r="U492" s="557" t="n"/>
      <c r="V492" s="557" t="n"/>
      <c r="W492" s="557" t="n"/>
      <c r="X492" s="599" t="n">
        <v>15.88</v>
      </c>
      <c r="Y492" s="599" t="n">
        <v>15.88</v>
      </c>
      <c r="Z492" s="599" t="n">
        <v>0</v>
      </c>
      <c r="AA492" s="599" t="n">
        <v>2</v>
      </c>
      <c r="AB492" s="600" t="n">
        <v>442</v>
      </c>
      <c r="AC492" s="600" t="inlineStr">
        <is>
          <t>NOS</t>
        </is>
      </c>
      <c r="AD492" s="600" t="n"/>
      <c r="AE492" s="600" t="n"/>
      <c r="AF492" s="601" t="n"/>
      <c r="AG492" s="601" t="n"/>
      <c r="AH492" s="601">
        <f t="array" ref="AH4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2" s="602">
        <f>scheduleapr[[#This Row],[SCHEDULE in nos]]-scheduleapr[[#This Row],[DISPATCH]]</f>
        <v/>
      </c>
      <c r="AJ492" s="599">
        <f>(3.14*(scheduleapr[[#This Row],[ACTUAL OD]]-scheduleapr[[#This Row],[TICKNESS]])*scheduleapr[[#This Row],[TICKNESS]]*scheduleapr[[#This Row],[LENGTH]]*7.85)/1000000*scheduleapr[[#This Row],[SCHEDULE in nos]]/1000</f>
        <v/>
      </c>
      <c r="AK492" s="599">
        <f>(3.14*(scheduleapr[[#This Row],[ACTUAL OD]]-scheduleapr[[#This Row],[TICKNESS]])*scheduleapr[[#This Row],[TICKNESS]]*scheduleapr[[#This Row],[LENGTH]]*7.85)/1000000*scheduleapr[[#This Row],[DISPATCH]]/1000</f>
        <v/>
      </c>
      <c r="AL492" s="599">
        <f>AJ492-AK492</f>
        <v/>
      </c>
      <c r="AM492" s="599">
        <f>scheduleapr[[#This Row],[SCHEDULE in nos]]/scheduleapr[[#This Row],[SCHEDULE IN MT]]*scheduleapr[[#This Row],[CTL Stock]]</f>
        <v/>
      </c>
      <c r="AN492" s="599">
        <f>SUMIFS(stock[MT],stock[Bucket],scheduleapr[[#This Row],[Bucket]],stock[CTL Bucket],scheduleapr[[#This Row],[CTL Bucket]],stock[Plant],"0789")</f>
        <v/>
      </c>
      <c r="AO492" s="599" t="n"/>
      <c r="AP492" s="599">
        <f>SUMIFS(stock[MT],stock[Bucket],scheduleapr[[#This Row],[Bucket]],stock[LL or CTL],"LL")</f>
        <v/>
      </c>
      <c r="AQ492" s="599">
        <f>+SUMIFS(wip[Stock(Net Wt)],wip[Bucket],scheduleapr[[#This Row],[Bucket]])/1000</f>
        <v/>
      </c>
      <c r="AR492" s="599">
        <f>AJ492-AN492</f>
        <v/>
      </c>
      <c r="AS492" s="118" t="n"/>
    </row>
    <row r="493">
      <c r="A493" s="594" t="n">
        <v>354</v>
      </c>
      <c r="B493" s="5" t="inlineStr">
        <is>
          <t xml:space="preserve">Khopoli </t>
        </is>
      </c>
      <c r="C493" s="601" t="inlineStr">
        <is>
          <t xml:space="preserve">Rajsriya Mysore </t>
        </is>
      </c>
      <c r="D493" s="601" t="inlineStr">
        <is>
          <t>Rajsriya Automotive Mysore</t>
        </is>
      </c>
      <c r="E493" s="601" t="inlineStr">
        <is>
          <t>930883|189481</t>
        </is>
      </c>
      <c r="F493" s="601" t="n">
        <v>1931824</v>
      </c>
      <c r="G493" s="601">
        <f>_xlfn.CONCAT(scheduleapr[[#This Row],[CUSTOMER CODE]],"-",scheduleapr[[#This Row],[MATERIAL NO]])</f>
        <v/>
      </c>
      <c r="H493" s="601" t="inlineStr">
        <is>
          <t>TUB-O-N-AUT-AW-PE-17.30X1.200X6.0000</t>
        </is>
      </c>
      <c r="I493" s="601" t="inlineStr">
        <is>
          <t>ERW 1</t>
        </is>
      </c>
      <c r="J493" s="601" t="n"/>
      <c r="K493" s="601" t="n"/>
      <c r="L493" s="601" t="inlineStr">
        <is>
          <t>HR</t>
        </is>
      </c>
      <c r="M493" s="601" t="n"/>
      <c r="N493" s="601" t="n"/>
      <c r="O493" s="601" t="n"/>
      <c r="P493" s="601" t="n"/>
      <c r="Q493" s="557">
        <f>CONCATENATE(scheduleapr[[#This Row],[OD]],"-",scheduleapr[[#This Row],[ID]],"-",scheduleapr[[#This Row],[TICKNESS]],"-",scheduleapr[[#This Row],[Grade]],"-",scheduleapr[[#This Row],[FC/NFC]])</f>
        <v/>
      </c>
      <c r="R493" s="557">
        <f>_xlfn.CONCAT(scheduleapr[[#This Row],[Bucket]],"-",scheduleapr[[#This Row],[LENGTH]]/1000)</f>
        <v/>
      </c>
      <c r="S493" s="557">
        <f>COUNTIF([2]!buckets[CTL Bucket],[2]!scheduleapr[[#This Row],[CTL Bucket]])</f>
        <v/>
      </c>
      <c r="T493" s="557" t="n"/>
      <c r="U493" s="557" t="n"/>
      <c r="V493" s="557" t="n"/>
      <c r="W493" s="557" t="n"/>
      <c r="X493" s="599" t="n">
        <v>17.3</v>
      </c>
      <c r="Y493" s="599" t="n">
        <v>17.3</v>
      </c>
      <c r="Z493" s="599" t="n">
        <v>0</v>
      </c>
      <c r="AA493" s="599" t="n">
        <v>1.2</v>
      </c>
      <c r="AB493" s="600" t="n">
        <v>6000</v>
      </c>
      <c r="AC493" s="600" t="inlineStr">
        <is>
          <t>M</t>
        </is>
      </c>
      <c r="AD493" s="600" t="n"/>
      <c r="AE493" s="600" t="n"/>
      <c r="AF493" s="601" t="n"/>
      <c r="AG493" s="601" t="n"/>
      <c r="AH493" s="601">
        <f t="array" ref="AH4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3" s="602">
        <f>scheduleapr[[#This Row],[SCHEDULE in nos]]-scheduleapr[[#This Row],[DISPATCH]]</f>
        <v/>
      </c>
      <c r="AJ493" s="599">
        <f>(3.14*(scheduleapr[[#This Row],[ACTUAL OD]]-scheduleapr[[#This Row],[TICKNESS]])*scheduleapr[[#This Row],[TICKNESS]]*scheduleapr[[#This Row],[LENGTH]]*7.85)/1000000*scheduleapr[[#This Row],[SCHEDULE in nos]]/1000</f>
        <v/>
      </c>
      <c r="AK493" s="599">
        <f>(3.14*(scheduleapr[[#This Row],[ACTUAL OD]]-scheduleapr[[#This Row],[TICKNESS]])*scheduleapr[[#This Row],[TICKNESS]]*scheduleapr[[#This Row],[LENGTH]]*7.85)/1000000*scheduleapr[[#This Row],[DISPATCH]]/1000</f>
        <v/>
      </c>
      <c r="AL493" s="599">
        <f>AJ493-AK493</f>
        <v/>
      </c>
      <c r="AM493" s="599">
        <f>scheduleapr[[#This Row],[SCHEDULE in nos]]/scheduleapr[[#This Row],[SCHEDULE IN MT]]*scheduleapr[[#This Row],[CTL Stock]]</f>
        <v/>
      </c>
      <c r="AN493" s="599">
        <f>SUMIFS(stock[MT],stock[Bucket],scheduleapr[[#This Row],[Bucket]],stock[CTL Bucket],scheduleapr[[#This Row],[CTL Bucket]],stock[Plant],"0789")</f>
        <v/>
      </c>
      <c r="AO493" s="599" t="n"/>
      <c r="AP493" s="599">
        <f>SUMIFS(stock[MT],stock[Bucket],scheduleapr[[#This Row],[Bucket]],stock[LL or CTL],"LL")</f>
        <v/>
      </c>
      <c r="AQ493" s="599">
        <f>+SUMIFS(wip[Stock(Net Wt)],wip[Bucket],scheduleapr[[#This Row],[Bucket]])/1000</f>
        <v/>
      </c>
      <c r="AR493" s="599">
        <f>AJ493-AN493</f>
        <v/>
      </c>
      <c r="AS493" s="118" t="n"/>
    </row>
    <row r="494">
      <c r="A494" s="594" t="n">
        <v>357</v>
      </c>
      <c r="B494" s="5" t="inlineStr">
        <is>
          <t>Hosur</t>
        </is>
      </c>
      <c r="C494" s="601" t="inlineStr">
        <is>
          <t xml:space="preserve">Rajsriya Mysore </t>
        </is>
      </c>
      <c r="D494" s="601" t="inlineStr">
        <is>
          <t>Rajsriya Automotive Mysore</t>
        </is>
      </c>
      <c r="E494" s="601" t="inlineStr">
        <is>
          <t>930883|189481</t>
        </is>
      </c>
      <c r="F494" s="601" t="n">
        <v>3122348</v>
      </c>
      <c r="G494" s="601">
        <f>_xlfn.CONCAT(scheduleapr[[#This Row],[CUSTOMER CODE]],"-",scheduleapr[[#This Row],[MATERIAL NO]])</f>
        <v/>
      </c>
      <c r="H494" s="601" t="inlineStr">
        <is>
          <t>TUB-O-N-AUT-AW-PE-19.05X2.000X0.2385(Angle Cut)</t>
        </is>
      </c>
      <c r="I494" s="601" t="inlineStr">
        <is>
          <t>ERW 1</t>
        </is>
      </c>
      <c r="J494" s="601" t="n"/>
      <c r="K494" s="601" t="n"/>
      <c r="L494" s="601" t="inlineStr">
        <is>
          <t>HR</t>
        </is>
      </c>
      <c r="M494" s="601" t="n"/>
      <c r="N494" s="601" t="n"/>
      <c r="O494" s="601" t="n"/>
      <c r="P494" s="601" t="n"/>
      <c r="Q494" s="557">
        <f>CONCATENATE(scheduleapr[[#This Row],[OD]],"-",scheduleapr[[#This Row],[ID]],"-",scheduleapr[[#This Row],[TICKNESS]],"-",scheduleapr[[#This Row],[Grade]],"-",scheduleapr[[#This Row],[FC/NFC]])</f>
        <v/>
      </c>
      <c r="R494" s="557">
        <f>_xlfn.CONCAT(scheduleapr[[#This Row],[Bucket]],"-",scheduleapr[[#This Row],[LENGTH]]/1000)</f>
        <v/>
      </c>
      <c r="S494" s="557">
        <f>COUNTIF([2]!buckets[CTL Bucket],[2]!scheduleapr[[#This Row],[CTL Bucket]])</f>
        <v/>
      </c>
      <c r="T494" s="557" t="n"/>
      <c r="U494" s="557" t="n"/>
      <c r="V494" s="557" t="n"/>
      <c r="W494" s="557" t="n"/>
      <c r="X494" s="599" t="n">
        <v>19.05</v>
      </c>
      <c r="Y494" s="599" t="n">
        <v>19.05</v>
      </c>
      <c r="Z494" s="599" t="n">
        <v>0</v>
      </c>
      <c r="AA494" s="599" t="n">
        <v>2</v>
      </c>
      <c r="AB494" s="600" t="n">
        <v>238.5</v>
      </c>
      <c r="AC494" s="600" t="inlineStr">
        <is>
          <t>NOS</t>
        </is>
      </c>
      <c r="AD494" s="600" t="n"/>
      <c r="AE494" s="600" t="n"/>
      <c r="AF494" s="601" t="n"/>
      <c r="AG494" s="601" t="n"/>
      <c r="AH494" s="601">
        <f t="array" ref="AH4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4" s="602">
        <f>scheduleapr[[#This Row],[SCHEDULE in nos]]-scheduleapr[[#This Row],[DISPATCH]]</f>
        <v/>
      </c>
      <c r="AJ494" s="599">
        <f>(3.14*(scheduleapr[[#This Row],[ACTUAL OD]]-scheduleapr[[#This Row],[TICKNESS]])*scheduleapr[[#This Row],[TICKNESS]]*scheduleapr[[#This Row],[LENGTH]]*7.85)/1000000*scheduleapr[[#This Row],[SCHEDULE in nos]]/1000</f>
        <v/>
      </c>
      <c r="AK494" s="599">
        <f>(3.14*(scheduleapr[[#This Row],[ACTUAL OD]]-scheduleapr[[#This Row],[TICKNESS]])*scheduleapr[[#This Row],[TICKNESS]]*scheduleapr[[#This Row],[LENGTH]]*7.85)/1000000*scheduleapr[[#This Row],[DISPATCH]]/1000</f>
        <v/>
      </c>
      <c r="AL494" s="599">
        <f>AJ494-AK494</f>
        <v/>
      </c>
      <c r="AM494" s="599">
        <f>scheduleapr[[#This Row],[SCHEDULE in nos]]/scheduleapr[[#This Row],[SCHEDULE IN MT]]*scheduleapr[[#This Row],[CTL Stock]]</f>
        <v/>
      </c>
      <c r="AN494" s="599">
        <f>SUMIFS(stock[MT],stock[Bucket],scheduleapr[[#This Row],[Bucket]],stock[CTL Bucket],scheduleapr[[#This Row],[CTL Bucket]],stock[Plant],"0789")</f>
        <v/>
      </c>
      <c r="AO494" s="599" t="n"/>
      <c r="AP494" s="599">
        <f>SUMIFS(stock[MT],stock[Bucket],scheduleapr[[#This Row],[Bucket]],stock[LL or CTL],"LL")</f>
        <v/>
      </c>
      <c r="AQ494" s="599">
        <f>+SUMIFS(wip[Stock(Net Wt)],wip[Bucket],scheduleapr[[#This Row],[Bucket]])/1000</f>
        <v/>
      </c>
      <c r="AR494" s="599">
        <f>AJ494-AN494</f>
        <v/>
      </c>
      <c r="AS494" s="118" t="n"/>
    </row>
    <row r="495">
      <c r="A495" s="594" t="n">
        <v>376</v>
      </c>
      <c r="B495" s="5" t="inlineStr">
        <is>
          <t>Hosur</t>
        </is>
      </c>
      <c r="C495" s="601" t="inlineStr">
        <is>
          <t xml:space="preserve">Rajsriya Mysore </t>
        </is>
      </c>
      <c r="D495" s="48" t="inlineStr">
        <is>
          <t>Rajsriya Automotive Mysore</t>
        </is>
      </c>
      <c r="E495" s="601" t="inlineStr">
        <is>
          <t>930883|189481</t>
        </is>
      </c>
      <c r="F495" s="601" t="n">
        <v>2403386</v>
      </c>
      <c r="G495" s="601">
        <f>_xlfn.CONCAT(scheduleapr[[#This Row],[CUSTOMER CODE]],"-",scheduleapr[[#This Row],[MATERIAL NO]])</f>
        <v/>
      </c>
      <c r="H495" s="601" t="inlineStr">
        <is>
          <t>TUB-O-N-AUT-AW-PE-19.05X2.000X0.3580</t>
        </is>
      </c>
      <c r="I495" s="601" t="inlineStr">
        <is>
          <t>ERW 1</t>
        </is>
      </c>
      <c r="J495" s="601" t="n"/>
      <c r="K495" s="601" t="inlineStr">
        <is>
          <t>PE</t>
        </is>
      </c>
      <c r="L495" s="601" t="inlineStr">
        <is>
          <t>HR</t>
        </is>
      </c>
      <c r="M495" s="601" t="n"/>
      <c r="N495" s="601" t="n"/>
      <c r="O495" s="601" t="n"/>
      <c r="P495" s="601" t="n"/>
      <c r="Q495" s="557">
        <f>CONCATENATE(scheduleapr[[#This Row],[OD]],"-",scheduleapr[[#This Row],[ID]],"-",scheduleapr[[#This Row],[TICKNESS]],"-",scheduleapr[[#This Row],[Grade]],"-",scheduleapr[[#This Row],[FC/NFC]])</f>
        <v/>
      </c>
      <c r="R495" s="557">
        <f>_xlfn.CONCAT(scheduleapr[[#This Row],[Bucket]],"-",scheduleapr[[#This Row],[LENGTH]]/1000)</f>
        <v/>
      </c>
      <c r="S495" s="557">
        <f>COUNTIF([2]!buckets[CTL Bucket],[2]!scheduleapr[[#This Row],[CTL Bucket]])</f>
        <v/>
      </c>
      <c r="T495" s="601" t="inlineStr">
        <is>
          <t>Hosur</t>
        </is>
      </c>
      <c r="U495" s="601">
        <f>_xlfn.IFNA(VLOOKUP(scheduleapr[[#This Row],[Bucket]],salesforecast[[#All],[Bucket2]:[8406 Stock]],19,0),0)</f>
        <v/>
      </c>
      <c r="V495" s="562">
        <f>_xlfn.IFNA(VLOOKUP(scheduleapr[[#This Row],[Bucket]],salesforecast[[#All],[Bucket2]:[8406 Stock]],20,0),0)+_xlfn.IFNA(VLOOKUP(scheduleapr[[#This Row],[Bucket]],salesforecast[[#All],[Bucket2]:[8406 Stock]],17,0),0)</f>
        <v/>
      </c>
      <c r="W495" s="557" t="n"/>
      <c r="X495" s="599" t="n">
        <v>19.05</v>
      </c>
      <c r="Y495" s="599" t="n">
        <v>19.05</v>
      </c>
      <c r="Z495" s="599" t="n">
        <v>0</v>
      </c>
      <c r="AA495" s="599" t="n">
        <v>2</v>
      </c>
      <c r="AB495" s="600" t="n">
        <v>358</v>
      </c>
      <c r="AC495" s="600" t="inlineStr">
        <is>
          <t>NOS</t>
        </is>
      </c>
      <c r="AD495" s="600" t="n"/>
      <c r="AE495" s="600" t="n"/>
      <c r="AF495" s="601" t="n">
        <v>10000</v>
      </c>
      <c r="AG495" s="601" t="inlineStr">
        <is>
          <t>Aug 2026 schedule · rajsriya MYSORE</t>
        </is>
      </c>
      <c r="AH495" s="601">
        <f t="array" ref="AH4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5" s="602">
        <f>scheduleapr[[#This Row],[SCHEDULE in nos]]-scheduleapr[[#This Row],[DISPATCH]]</f>
        <v/>
      </c>
      <c r="AJ495" s="599">
        <f>(3.14*(scheduleapr[[#This Row],[ACTUAL OD]]-scheduleapr[[#This Row],[TICKNESS]])*scheduleapr[[#This Row],[TICKNESS]]*scheduleapr[[#This Row],[LENGTH]]*7.85)/1000000*scheduleapr[[#This Row],[SCHEDULE in nos]]/1000</f>
        <v/>
      </c>
      <c r="AK495" s="599">
        <f>(3.14*(scheduleapr[[#This Row],[ACTUAL OD]]-scheduleapr[[#This Row],[TICKNESS]])*scheduleapr[[#This Row],[TICKNESS]]*scheduleapr[[#This Row],[LENGTH]]*7.85)/1000000*scheduleapr[[#This Row],[DISPATCH]]/1000</f>
        <v/>
      </c>
      <c r="AL495" s="599">
        <f>AJ495-AK495</f>
        <v/>
      </c>
      <c r="AM495" s="599">
        <f>scheduleapr[[#This Row],[SCHEDULE in nos]]/scheduleapr[[#This Row],[SCHEDULE IN MT]]*scheduleapr[[#This Row],[CTL Stock]]</f>
        <v/>
      </c>
      <c r="AN495" s="599">
        <f>SUMIFS(stock[MT],stock[Bucket],scheduleapr[[#This Row],[Bucket]],stock[CTL Bucket],scheduleapr[[#This Row],[CTL Bucket]],stock[Plant],"0789")</f>
        <v/>
      </c>
      <c r="AO495" s="599" t="n"/>
      <c r="AP495" s="599">
        <f>SUMIFS(stock[MT],stock[Bucket],scheduleapr[[#This Row],[Bucket]],stock[LL or CTL],"LL")</f>
        <v/>
      </c>
      <c r="AQ495" s="599">
        <f>+SUMIFS(wip[Stock(Net Wt)],wip[Bucket],scheduleapr[[#This Row],[Bucket]])/1000</f>
        <v/>
      </c>
      <c r="AR495" s="599">
        <f>AJ495-AN495</f>
        <v/>
      </c>
      <c r="AS495" s="118" t="n"/>
    </row>
    <row r="496">
      <c r="A496" s="594" t="n">
        <v>365</v>
      </c>
      <c r="B496" s="5" t="inlineStr">
        <is>
          <t>Hosur</t>
        </is>
      </c>
      <c r="C496" s="601" t="inlineStr">
        <is>
          <t xml:space="preserve">Rajsriya Mysore </t>
        </is>
      </c>
      <c r="D496" s="601" t="inlineStr">
        <is>
          <t>Rajsriya Automotive Mysore</t>
        </is>
      </c>
      <c r="E496" s="601" t="inlineStr">
        <is>
          <t>930883|189481</t>
        </is>
      </c>
      <c r="F496" s="601" t="n"/>
      <c r="G496" s="601">
        <f>_xlfn.CONCAT(scheduleapr[[#This Row],[CUSTOMER CODE]],"-",scheduleapr[[#This Row],[MATERIAL NO]])</f>
        <v/>
      </c>
      <c r="H496" s="601" t="inlineStr">
        <is>
          <t>TUB-O-N-AUT-AW-PE-19.05X2.000X0.3940</t>
        </is>
      </c>
      <c r="I496" s="601" t="inlineStr">
        <is>
          <t>ERW 1</t>
        </is>
      </c>
      <c r="J496" s="601" t="n"/>
      <c r="K496" s="601" t="inlineStr">
        <is>
          <t>PE</t>
        </is>
      </c>
      <c r="L496" s="601" t="inlineStr">
        <is>
          <t>CR</t>
        </is>
      </c>
      <c r="M496" s="596" t="inlineStr">
        <is>
          <t>ST52AL</t>
        </is>
      </c>
      <c r="N496" s="601" t="n"/>
      <c r="O496" s="601" t="inlineStr">
        <is>
          <t>AG</t>
        </is>
      </c>
      <c r="P496" s="601" t="n"/>
      <c r="Q496" s="557">
        <f>CONCATENATE(scheduleapr[[#This Row],[OD]],"-",scheduleapr[[#This Row],[ID]],"-",scheduleapr[[#This Row],[TICKNESS]],"-",scheduleapr[[#This Row],[Grade]],"-",scheduleapr[[#This Row],[FC/NFC]])</f>
        <v/>
      </c>
      <c r="R496" s="557">
        <f>_xlfn.CONCAT(scheduleapr[[#This Row],[Bucket]],"-",scheduleapr[[#This Row],[LENGTH]]/1000)</f>
        <v/>
      </c>
      <c r="S496" s="557">
        <f>COUNTIF(scheduleapr[CTL Bucket],scheduleapr[[#This Row],[CTL Bucket]])</f>
        <v/>
      </c>
      <c r="T496" s="601" t="inlineStr">
        <is>
          <t>Hosur</t>
        </is>
      </c>
      <c r="U496" s="601">
        <f>_xlfn.IFNA(VLOOKUP(scheduleapr[[#This Row],[Bucket]],salesforecast[[#All],[Bucket2]:[8406 Stock]],19,0),0)</f>
        <v/>
      </c>
      <c r="V496" s="562">
        <f>_xlfn.IFNA(VLOOKUP(scheduleapr[[#This Row],[Bucket]],salesforecast[[#All],[Bucket2]:[8406 Stock]],20,0),0)+_xlfn.IFNA(VLOOKUP(scheduleapr[[#This Row],[Bucket]],salesforecast[[#All],[Bucket2]:[8406 Stock]],17,0),0)</f>
        <v/>
      </c>
      <c r="W496" s="557" t="n"/>
      <c r="X496" s="599" t="n">
        <v>19.05</v>
      </c>
      <c r="Y496" s="599" t="n">
        <v>19.05</v>
      </c>
      <c r="Z496" s="599" t="n">
        <v>0</v>
      </c>
      <c r="AA496" s="599" t="n">
        <v>2</v>
      </c>
      <c r="AB496" s="600" t="n">
        <v>394</v>
      </c>
      <c r="AC496" s="600" t="inlineStr">
        <is>
          <t>NOS</t>
        </is>
      </c>
      <c r="AD496" s="600" t="n"/>
      <c r="AE496" s="600" t="n"/>
      <c r="AF496" s="601" t="n"/>
      <c r="AG496" s="601" t="n"/>
      <c r="AH496" s="601">
        <f t="array" ref="AH4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6" s="602">
        <f>scheduleapr[[#This Row],[SCHEDULE in nos]]-scheduleapr[[#This Row],[DISPATCH]]</f>
        <v/>
      </c>
      <c r="AJ496" s="599">
        <f>(3.14*(scheduleapr[[#This Row],[ACTUAL OD]]-scheduleapr[[#This Row],[TICKNESS]])*scheduleapr[[#This Row],[TICKNESS]]*scheduleapr[[#This Row],[LENGTH]]*7.85)/1000000*scheduleapr[[#This Row],[SCHEDULE in nos]]/1000</f>
        <v/>
      </c>
      <c r="AK496" s="599">
        <f>(3.14*(scheduleapr[[#This Row],[ACTUAL OD]]-scheduleapr[[#This Row],[TICKNESS]])*scheduleapr[[#This Row],[TICKNESS]]*scheduleapr[[#This Row],[LENGTH]]*7.85)/1000000*scheduleapr[[#This Row],[DISPATCH]]/1000</f>
        <v/>
      </c>
      <c r="AL496" s="599">
        <f>AJ496-AK496</f>
        <v/>
      </c>
      <c r="AM496" s="599">
        <f>scheduleapr[[#This Row],[SCHEDULE in nos]]/scheduleapr[[#This Row],[SCHEDULE IN MT]]*scheduleapr[[#This Row],[CTL Stock]]</f>
        <v/>
      </c>
      <c r="AN496" s="599">
        <f>SUMIFS(stock[MT],stock[Bucket],scheduleapr[[#This Row],[Bucket]],stock[CTL Bucket],scheduleapr[[#This Row],[CTL Bucket]],stock[Plant],"0789")</f>
        <v/>
      </c>
      <c r="AO496" s="599" t="n"/>
      <c r="AP496" s="599">
        <f>SUMIFS(stock[MT],stock[Bucket],scheduleapr[[#This Row],[Bucket]],stock[LL or CTL],"LL")</f>
        <v/>
      </c>
      <c r="AQ496" s="599">
        <f>+SUMIFS(wip[Stock(Net Wt)],wip[Bucket],scheduleapr[[#This Row],[Bucket]])/1000</f>
        <v/>
      </c>
      <c r="AR496" s="599">
        <f>AJ496-AN496</f>
        <v/>
      </c>
      <c r="AS496" s="118" t="n"/>
    </row>
    <row r="497">
      <c r="A497" s="594" t="n">
        <v>377</v>
      </c>
      <c r="B497" s="5" t="inlineStr">
        <is>
          <t>Hosur</t>
        </is>
      </c>
      <c r="C497" s="601" t="inlineStr">
        <is>
          <t xml:space="preserve">Rajsriya Mysore </t>
        </is>
      </c>
      <c r="D497" s="48" t="inlineStr">
        <is>
          <t>Rajsriya Automotive Mysore</t>
        </is>
      </c>
      <c r="E497" s="601" t="inlineStr">
        <is>
          <t>930883|189481</t>
        </is>
      </c>
      <c r="F497" s="601" t="n">
        <v>2403383</v>
      </c>
      <c r="G497" s="601">
        <f>_xlfn.CONCAT(scheduleapr[[#This Row],[CUSTOMER CODE]],"-",scheduleapr[[#This Row],[MATERIAL NO]])</f>
        <v/>
      </c>
      <c r="H497" s="601" t="inlineStr">
        <is>
          <t>TUB-O-N-AUT-AW-PE-19.05X2.000X0.4750</t>
        </is>
      </c>
      <c r="I497" s="601" t="inlineStr">
        <is>
          <t>ERW 1</t>
        </is>
      </c>
      <c r="J497" s="601" t="n"/>
      <c r="K497" s="601" t="inlineStr">
        <is>
          <t>PE</t>
        </is>
      </c>
      <c r="L497" s="601" t="inlineStr">
        <is>
          <t>HR</t>
        </is>
      </c>
      <c r="M497" s="601" t="n"/>
      <c r="N497" s="601" t="n"/>
      <c r="O497" s="601" t="n"/>
      <c r="P497" s="601" t="n"/>
      <c r="Q497" s="557">
        <f>CONCATENATE(scheduleapr[[#This Row],[OD]],"-",scheduleapr[[#This Row],[ID]],"-",scheduleapr[[#This Row],[TICKNESS]],"-",scheduleapr[[#This Row],[Grade]],"-",scheduleapr[[#This Row],[FC/NFC]])</f>
        <v/>
      </c>
      <c r="R497" s="557">
        <f>_xlfn.CONCAT(scheduleapr[[#This Row],[Bucket]],"-",scheduleapr[[#This Row],[LENGTH]]/1000)</f>
        <v/>
      </c>
      <c r="S497" s="557">
        <f>COUNTIF(scheduleapr[CTL Bucket],scheduleapr[[#This Row],[CTL Bucket]])</f>
        <v/>
      </c>
      <c r="T497" s="601" t="inlineStr">
        <is>
          <t>Hosur</t>
        </is>
      </c>
      <c r="U497" s="601">
        <f>_xlfn.IFNA(VLOOKUP(scheduleapr[[#This Row],[Bucket]],salesforecast[[#All],[Bucket2]:[8406 Stock]],19,0),0)</f>
        <v/>
      </c>
      <c r="V497" s="562">
        <f>_xlfn.IFNA(VLOOKUP(scheduleapr[[#This Row],[Bucket]],salesforecast[[#All],[Bucket2]:[8406 Stock]],20,0),0)+_xlfn.IFNA(VLOOKUP(scheduleapr[[#This Row],[Bucket]],salesforecast[[#All],[Bucket2]:[8406 Stock]],17,0),0)</f>
        <v/>
      </c>
      <c r="W497" s="557" t="n"/>
      <c r="X497" s="599" t="n">
        <v>19.05</v>
      </c>
      <c r="Y497" s="599" t="n">
        <v>19.05</v>
      </c>
      <c r="Z497" s="599" t="n">
        <v>0</v>
      </c>
      <c r="AA497" s="599" t="n">
        <v>2</v>
      </c>
      <c r="AB497" s="600" t="n">
        <v>475</v>
      </c>
      <c r="AC497" s="600" t="inlineStr">
        <is>
          <t>NOS</t>
        </is>
      </c>
      <c r="AD497" s="600" t="n"/>
      <c r="AE497" s="600" t="n"/>
      <c r="AF497" s="601" t="n">
        <v>15000</v>
      </c>
      <c r="AG497" s="601" t="inlineStr">
        <is>
          <t>Aug 2026 schedule · rajsriya MYSORE</t>
        </is>
      </c>
      <c r="AH497" s="601">
        <f t="array" ref="AH4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7" s="602">
        <f>scheduleapr[[#This Row],[SCHEDULE in nos]]-scheduleapr[[#This Row],[DISPATCH]]</f>
        <v/>
      </c>
      <c r="AJ497" s="599">
        <f>(3.14*(scheduleapr[[#This Row],[ACTUAL OD]]-scheduleapr[[#This Row],[TICKNESS]])*scheduleapr[[#This Row],[TICKNESS]]*scheduleapr[[#This Row],[LENGTH]]*7.85)/1000000*scheduleapr[[#This Row],[SCHEDULE in nos]]/1000</f>
        <v/>
      </c>
      <c r="AK497" s="599">
        <f>(3.14*(scheduleapr[[#This Row],[ACTUAL OD]]-scheduleapr[[#This Row],[TICKNESS]])*scheduleapr[[#This Row],[TICKNESS]]*scheduleapr[[#This Row],[LENGTH]]*7.85)/1000000*scheduleapr[[#This Row],[DISPATCH]]/1000</f>
        <v/>
      </c>
      <c r="AL497" s="599">
        <f>AJ497-AK497</f>
        <v/>
      </c>
      <c r="AM497" s="599">
        <f>scheduleapr[[#This Row],[SCHEDULE in nos]]/scheduleapr[[#This Row],[SCHEDULE IN MT]]*scheduleapr[[#This Row],[CTL Stock]]</f>
        <v/>
      </c>
      <c r="AN497" s="599">
        <f>SUMIFS(stock[MT],stock[Bucket],scheduleapr[[#This Row],[Bucket]],stock[CTL Bucket],scheduleapr[[#This Row],[CTL Bucket]],stock[Plant],"0789")</f>
        <v/>
      </c>
      <c r="AO497" s="599" t="n"/>
      <c r="AP497" s="599">
        <f>SUMIFS(stock[MT],stock[Bucket],scheduleapr[[#This Row],[Bucket]],stock[LL or CTL],"LL")</f>
        <v/>
      </c>
      <c r="AQ497" s="599">
        <f>+SUMIFS(wip[Stock(Net Wt)],wip[Bucket],scheduleapr[[#This Row],[Bucket]])/1000</f>
        <v/>
      </c>
      <c r="AR497" s="599">
        <f>AJ497-AN497</f>
        <v/>
      </c>
      <c r="AS497" s="118" t="n"/>
    </row>
    <row r="498">
      <c r="A498" s="556" t="n"/>
      <c r="B498" s="5" t="inlineStr">
        <is>
          <t>Hosur</t>
        </is>
      </c>
      <c r="C498" s="601" t="inlineStr">
        <is>
          <t xml:space="preserve">Rajsriya Mysore </t>
        </is>
      </c>
      <c r="D498" s="601" t="inlineStr">
        <is>
          <t>Rajsriya Automotive Mysore</t>
        </is>
      </c>
      <c r="E498" s="601" t="inlineStr">
        <is>
          <t>930883|189481</t>
        </is>
      </c>
      <c r="F498" s="557" t="n"/>
      <c r="G498" s="601">
        <f>_xlfn.CONCAT(scheduleapr[[#This Row],[CUSTOMER CODE]],"-",scheduleapr[[#This Row],[MATERIAL NO]])</f>
        <v/>
      </c>
      <c r="H498" s="557" t="n"/>
      <c r="I498" s="601" t="inlineStr">
        <is>
          <t>ERW 1</t>
        </is>
      </c>
      <c r="J498" s="557" t="n"/>
      <c r="K498" s="557" t="n"/>
      <c r="L498" s="557" t="n"/>
      <c r="M498" s="558" t="n"/>
      <c r="N498" s="557" t="n"/>
      <c r="O498" s="557" t="n"/>
      <c r="P498" s="557" t="n"/>
      <c r="Q498" s="557" t="n"/>
      <c r="R498" s="557" t="n"/>
      <c r="S498" s="557" t="n"/>
      <c r="T498" s="601" t="n"/>
      <c r="U498" s="601" t="n"/>
      <c r="V498" s="598" t="n"/>
      <c r="W498" s="601" t="n"/>
      <c r="X498" s="559" t="n">
        <v>19.05</v>
      </c>
      <c r="Y498" s="559" t="n">
        <v>19.05</v>
      </c>
      <c r="Z498" s="559" t="n">
        <v>0</v>
      </c>
      <c r="AA498" s="559" t="n">
        <v>2</v>
      </c>
      <c r="AB498" s="600" t="n">
        <v>775</v>
      </c>
      <c r="AC498" s="81" t="inlineStr">
        <is>
          <t>NOS</t>
        </is>
      </c>
      <c r="AD498" s="600" t="n"/>
      <c r="AE498" s="600" t="n"/>
      <c r="AF498" s="557" t="n">
        <v>10000</v>
      </c>
      <c r="AG498" s="557" t="inlineStr">
        <is>
          <t>Aug 2026 schedule · rajsriya MYSORE</t>
        </is>
      </c>
      <c r="AH498" s="557">
        <f t="array" ref="AH4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8" s="560">
        <f>scheduleapr[[#This Row],[SCHEDULE in nos]]-scheduleapr[[#This Row],[DISPATCH]]</f>
        <v/>
      </c>
      <c r="AJ498" s="559">
        <f>(3.14*(scheduleapr[[#This Row],[ACTUAL OD]]-scheduleapr[[#This Row],[TICKNESS]])*scheduleapr[[#This Row],[TICKNESS]]*scheduleapr[[#This Row],[LENGTH]]*7.85)/1000000*scheduleapr[[#This Row],[SCHEDULE in nos]]/1000</f>
        <v/>
      </c>
      <c r="AK498" s="599">
        <f>(3.14*(scheduleapr[[#This Row],[ACTUAL OD]]-scheduleapr[[#This Row],[TICKNESS]])*scheduleapr[[#This Row],[TICKNESS]]*scheduleapr[[#This Row],[LENGTH]]*7.85)/1000000*scheduleapr[[#This Row],[DISPATCH]]/1000</f>
        <v/>
      </c>
      <c r="AL498" s="599">
        <f>AJ498-AK498</f>
        <v/>
      </c>
      <c r="AM498" s="559">
        <f>scheduleapr[[#This Row],[SCHEDULE in nos]]/scheduleapr[[#This Row],[SCHEDULE IN MT]]*scheduleapr[[#This Row],[CTL Stock]]</f>
        <v/>
      </c>
      <c r="AN498" s="599">
        <f>SUMIFS(stock[MT],stock[Bucket],scheduleapr[[#This Row],[Bucket]],stock[CTL Bucket],scheduleapr[[#This Row],[CTL Bucket]],stock[Plant],"0789")</f>
        <v/>
      </c>
      <c r="AO498" s="599" t="n"/>
      <c r="AP498" s="599">
        <f>SUMIFS(stock[MT],stock[Bucket],scheduleapr[[#This Row],[Bucket]],stock[LL or CTL],"LL")</f>
        <v/>
      </c>
      <c r="AQ498" s="599">
        <f>+SUMIFS(wip[Stock(Net Wt)],wip[Bucket],scheduleapr[[#This Row],[Bucket]])/1000</f>
        <v/>
      </c>
      <c r="AR498" s="599">
        <f>AJ498-AN498</f>
        <v/>
      </c>
      <c r="AS498" s="118" t="n"/>
    </row>
    <row r="499">
      <c r="A499" s="594" t="n">
        <v>361</v>
      </c>
      <c r="B499" s="5" t="inlineStr">
        <is>
          <t>Hosur</t>
        </is>
      </c>
      <c r="C499" s="601" t="inlineStr">
        <is>
          <t xml:space="preserve">Rajsriya Mysore </t>
        </is>
      </c>
      <c r="D499" s="601" t="inlineStr">
        <is>
          <t>Rajsriya Automotive Mysore</t>
        </is>
      </c>
      <c r="E499" s="601" t="inlineStr">
        <is>
          <t>930883|189481</t>
        </is>
      </c>
      <c r="F499" s="601" t="n">
        <v>3747395</v>
      </c>
      <c r="G499" s="601">
        <f>_xlfn.CONCAT(scheduleapr[[#This Row],[CUSTOMER CODE]],"-",scheduleapr[[#This Row],[MATERIAL NO]])</f>
        <v/>
      </c>
      <c r="H499" s="601" t="inlineStr">
        <is>
          <t>PT2-O-N-AUT-AW-PE-22.20X1.600X0.361</t>
        </is>
      </c>
      <c r="I499" s="601" t="inlineStr">
        <is>
          <t>ERW 1</t>
        </is>
      </c>
      <c r="J499" s="601" t="n"/>
      <c r="K499" s="601" t="n"/>
      <c r="L499" s="601" t="inlineStr">
        <is>
          <t>HR</t>
        </is>
      </c>
      <c r="M499" s="601" t="n"/>
      <c r="N499" s="601" t="n"/>
      <c r="O499" s="601" t="n"/>
      <c r="P499" s="601" t="n"/>
      <c r="Q499" s="557">
        <f>CONCATENATE(scheduleapr[[#This Row],[OD]],"-",scheduleapr[[#This Row],[ID]],"-",scheduleapr[[#This Row],[TICKNESS]],"-",scheduleapr[[#This Row],[Grade]],"-",scheduleapr[[#This Row],[FC/NFC]])</f>
        <v/>
      </c>
      <c r="R499" s="557">
        <f>_xlfn.CONCAT(scheduleapr[[#This Row],[Bucket]],"-",scheduleapr[[#This Row],[LENGTH]]/1000)</f>
        <v/>
      </c>
      <c r="S499" s="557">
        <f>COUNTIF([2]!buckets[CTL Bucket],[2]!scheduleapr[[#This Row],[CTL Bucket]])</f>
        <v/>
      </c>
      <c r="T499" s="557" t="n"/>
      <c r="U499" s="557" t="n"/>
      <c r="V499" s="557" t="n"/>
      <c r="W499" s="557" t="n"/>
      <c r="X499" s="599" t="n">
        <v>22.23</v>
      </c>
      <c r="Y499" s="599" t="n">
        <v>22.23</v>
      </c>
      <c r="Z499" s="599" t="n">
        <v>0</v>
      </c>
      <c r="AA499" s="599" t="n">
        <v>1.6</v>
      </c>
      <c r="AB499" s="600" t="n">
        <v>361</v>
      </c>
      <c r="AC499" s="600" t="inlineStr">
        <is>
          <t>NOS</t>
        </is>
      </c>
      <c r="AD499" s="600" t="n"/>
      <c r="AE499" s="600" t="n"/>
      <c r="AF499" s="601" t="n"/>
      <c r="AG499" s="601" t="n"/>
      <c r="AH499" s="601">
        <f t="array" ref="AH4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499" s="602">
        <f>scheduleapr[[#This Row],[SCHEDULE in nos]]-scheduleapr[[#This Row],[DISPATCH]]</f>
        <v/>
      </c>
      <c r="AJ499" s="599">
        <f>(3.14*(scheduleapr[[#This Row],[ACTUAL OD]]-scheduleapr[[#This Row],[TICKNESS]])*scheduleapr[[#This Row],[TICKNESS]]*scheduleapr[[#This Row],[LENGTH]]*7.85)/1000000*scheduleapr[[#This Row],[SCHEDULE in nos]]/1000</f>
        <v/>
      </c>
      <c r="AK499" s="599">
        <f>(3.14*(scheduleapr[[#This Row],[ACTUAL OD]]-scheduleapr[[#This Row],[TICKNESS]])*scheduleapr[[#This Row],[TICKNESS]]*scheduleapr[[#This Row],[LENGTH]]*7.85)/1000000*scheduleapr[[#This Row],[DISPATCH]]/1000</f>
        <v/>
      </c>
      <c r="AL499" s="599">
        <f>AJ499-AK499</f>
        <v/>
      </c>
      <c r="AM499" s="599">
        <f>scheduleapr[[#This Row],[SCHEDULE in nos]]/scheduleapr[[#This Row],[SCHEDULE IN MT]]*scheduleapr[[#This Row],[CTL Stock]]</f>
        <v/>
      </c>
      <c r="AN499" s="599">
        <f>SUMIFS(stock[MT],stock[Bucket],scheduleapr[[#This Row],[Bucket]],stock[CTL Bucket],scheduleapr[[#This Row],[CTL Bucket]],stock[Plant],"0789")</f>
        <v/>
      </c>
      <c r="AO499" s="599" t="n"/>
      <c r="AP499" s="599">
        <f>SUMIFS(stock[MT],stock[Bucket],scheduleapr[[#This Row],[Bucket]],stock[LL or CTL],"LL")</f>
        <v/>
      </c>
      <c r="AQ499" s="599">
        <f>+SUMIFS(wip[Stock(Net Wt)],wip[Bucket],scheduleapr[[#This Row],[Bucket]])/1000</f>
        <v/>
      </c>
      <c r="AR499" s="599">
        <f>AJ499-AN499</f>
        <v/>
      </c>
      <c r="AS499" s="118" t="n"/>
    </row>
    <row r="500">
      <c r="A500" s="594" t="n">
        <v>362</v>
      </c>
      <c r="B500" s="5" t="inlineStr">
        <is>
          <t>Hosur</t>
        </is>
      </c>
      <c r="C500" s="601" t="inlineStr">
        <is>
          <t xml:space="preserve">Rajsriya Mysore </t>
        </is>
      </c>
      <c r="D500" s="601" t="inlineStr">
        <is>
          <t>Rajsriya Automotive Mysore</t>
        </is>
      </c>
      <c r="E500" s="601" t="inlineStr">
        <is>
          <t>930883|189481</t>
        </is>
      </c>
      <c r="F500" s="601" t="n">
        <v>1940445</v>
      </c>
      <c r="G500" s="601">
        <f>_xlfn.CONCAT(scheduleapr[[#This Row],[CUSTOMER CODE]],"-",scheduleapr[[#This Row],[MATERIAL NO]])</f>
        <v/>
      </c>
      <c r="H500" s="601" t="inlineStr">
        <is>
          <t>TUB-O-O-AUT-AW-PE-22.23X2.000X0.5050</t>
        </is>
      </c>
      <c r="I500" s="601" t="inlineStr">
        <is>
          <t>ERW 1</t>
        </is>
      </c>
      <c r="J500" s="601" t="n"/>
      <c r="K500" s="601" t="n"/>
      <c r="L500" s="601" t="inlineStr">
        <is>
          <t>HR</t>
        </is>
      </c>
      <c r="M500" s="601" t="n"/>
      <c r="N500" s="601" t="n"/>
      <c r="O500" s="601" t="n"/>
      <c r="P500" s="601" t="n"/>
      <c r="Q500" s="557">
        <f>CONCATENATE(scheduleapr[[#This Row],[OD]],"-",scheduleapr[[#This Row],[ID]],"-",scheduleapr[[#This Row],[TICKNESS]],"-",scheduleapr[[#This Row],[Grade]],"-",scheduleapr[[#This Row],[FC/NFC]])</f>
        <v/>
      </c>
      <c r="R500" s="557">
        <f>_xlfn.CONCAT(scheduleapr[[#This Row],[Bucket]],"-",scheduleapr[[#This Row],[LENGTH]]/1000)</f>
        <v/>
      </c>
      <c r="S500" s="557">
        <f>COUNTIF([2]!buckets[CTL Bucket],[2]!scheduleapr[[#This Row],[CTL Bucket]])</f>
        <v/>
      </c>
      <c r="T500" s="557" t="n"/>
      <c r="U500" s="557" t="n"/>
      <c r="V500" s="557" t="n"/>
      <c r="W500" s="557" t="n"/>
      <c r="X500" s="599" t="n">
        <v>22.23</v>
      </c>
      <c r="Y500" s="599" t="n">
        <v>22.23</v>
      </c>
      <c r="Z500" s="599" t="n">
        <v>0</v>
      </c>
      <c r="AA500" s="599" t="n">
        <v>2</v>
      </c>
      <c r="AB500" s="600" t="n">
        <v>505</v>
      </c>
      <c r="AC500" s="600" t="inlineStr">
        <is>
          <t>NOS</t>
        </is>
      </c>
      <c r="AD500" s="600" t="n"/>
      <c r="AE500" s="600" t="n"/>
      <c r="AF500" s="601" t="n"/>
      <c r="AG500" s="601" t="n"/>
      <c r="AH500" s="601">
        <f t="array" ref="AH5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0" s="602">
        <f>scheduleapr[[#This Row],[SCHEDULE in nos]]-scheduleapr[[#This Row],[DISPATCH]]</f>
        <v/>
      </c>
      <c r="AJ500" s="599">
        <f>(3.14*(scheduleapr[[#This Row],[ACTUAL OD]]-scheduleapr[[#This Row],[TICKNESS]])*scheduleapr[[#This Row],[TICKNESS]]*scheduleapr[[#This Row],[LENGTH]]*7.85)/1000000*scheduleapr[[#This Row],[SCHEDULE in nos]]/1000</f>
        <v/>
      </c>
      <c r="AK500" s="599">
        <f>(3.14*(scheduleapr[[#This Row],[ACTUAL OD]]-scheduleapr[[#This Row],[TICKNESS]])*scheduleapr[[#This Row],[TICKNESS]]*scheduleapr[[#This Row],[LENGTH]]*7.85)/1000000*scheduleapr[[#This Row],[DISPATCH]]/1000</f>
        <v/>
      </c>
      <c r="AL500" s="599">
        <f>AJ500-AK500</f>
        <v/>
      </c>
      <c r="AM500" s="599">
        <f>scheduleapr[[#This Row],[SCHEDULE in nos]]/scheduleapr[[#This Row],[SCHEDULE IN MT]]*scheduleapr[[#This Row],[CTL Stock]]</f>
        <v/>
      </c>
      <c r="AN500" s="599">
        <f>SUMIFS(stock[MT],stock[Bucket],scheduleapr[[#This Row],[Bucket]],stock[CTL Bucket],scheduleapr[[#This Row],[CTL Bucket]],stock[Plant],"0789")</f>
        <v/>
      </c>
      <c r="AO500" s="599" t="n"/>
      <c r="AP500" s="599">
        <f>SUMIFS(stock[MT],stock[Bucket],scheduleapr[[#This Row],[Bucket]],stock[LL or CTL],"LL")</f>
        <v/>
      </c>
      <c r="AQ500" s="599">
        <f>+SUMIFS(wip[Stock(Net Wt)],wip[Bucket],scheduleapr[[#This Row],[Bucket]])/1000</f>
        <v/>
      </c>
      <c r="AR500" s="599">
        <f>AJ500-AN500</f>
        <v/>
      </c>
      <c r="AS500" s="118" t="n"/>
    </row>
    <row r="501">
      <c r="A501" s="594" t="n">
        <v>363</v>
      </c>
      <c r="B501" s="5" t="inlineStr">
        <is>
          <t>Hosur</t>
        </is>
      </c>
      <c r="C501" s="601" t="inlineStr">
        <is>
          <t xml:space="preserve">Rajsriya Mysore </t>
        </is>
      </c>
      <c r="D501" s="601" t="inlineStr">
        <is>
          <t>Rajsriya Automotive Mysore</t>
        </is>
      </c>
      <c r="E501" s="601" t="inlineStr">
        <is>
          <t>930883|189481</t>
        </is>
      </c>
      <c r="F501" s="601" t="n">
        <v>1940470</v>
      </c>
      <c r="G501" s="601">
        <f>_xlfn.CONCAT(scheduleapr[[#This Row],[CUSTOMER CODE]],"-",scheduleapr[[#This Row],[MATERIAL NO]])</f>
        <v/>
      </c>
      <c r="H501" s="601" t="inlineStr">
        <is>
          <t>TUB-O-O-AUT-AW-PE-22.23X2.000X0.8510</t>
        </is>
      </c>
      <c r="I501" s="601" t="inlineStr">
        <is>
          <t>ERW 1</t>
        </is>
      </c>
      <c r="J501" s="601" t="n"/>
      <c r="K501" s="601" t="n"/>
      <c r="L501" s="601" t="inlineStr">
        <is>
          <t>HR</t>
        </is>
      </c>
      <c r="M501" s="601" t="n"/>
      <c r="N501" s="601" t="n"/>
      <c r="O501" s="601" t="n"/>
      <c r="P501" s="601" t="n"/>
      <c r="Q501" s="557">
        <f>CONCATENATE(scheduleapr[[#This Row],[OD]],"-",scheduleapr[[#This Row],[ID]],"-",scheduleapr[[#This Row],[TICKNESS]],"-",scheduleapr[[#This Row],[Grade]],"-",scheduleapr[[#This Row],[FC/NFC]])</f>
        <v/>
      </c>
      <c r="R501" s="557">
        <f>_xlfn.CONCAT(scheduleapr[[#This Row],[Bucket]],"-",scheduleapr[[#This Row],[LENGTH]]/1000)</f>
        <v/>
      </c>
      <c r="S501" s="557">
        <f>COUNTIF([2]!buckets[CTL Bucket],[2]!scheduleapr[[#This Row],[CTL Bucket]])</f>
        <v/>
      </c>
      <c r="T501" s="557" t="n"/>
      <c r="U501" s="557" t="n"/>
      <c r="V501" s="557" t="n"/>
      <c r="W501" s="557" t="n"/>
      <c r="X501" s="599" t="n">
        <v>22.23</v>
      </c>
      <c r="Y501" s="599" t="n">
        <v>22.23</v>
      </c>
      <c r="Z501" s="599" t="n">
        <v>0</v>
      </c>
      <c r="AA501" s="599" t="n">
        <v>2</v>
      </c>
      <c r="AB501" s="600" t="n">
        <v>851</v>
      </c>
      <c r="AC501" s="600" t="inlineStr">
        <is>
          <t>NOS</t>
        </is>
      </c>
      <c r="AD501" s="600" t="n"/>
      <c r="AE501" s="600" t="n"/>
      <c r="AF501" s="601" t="n"/>
      <c r="AG501" s="601" t="n"/>
      <c r="AH501" s="601">
        <f t="array" ref="AH5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1" s="602">
        <f>scheduleapr[[#This Row],[SCHEDULE in nos]]-scheduleapr[[#This Row],[DISPATCH]]</f>
        <v/>
      </c>
      <c r="AJ501" s="599">
        <f>(3.14*(scheduleapr[[#This Row],[ACTUAL OD]]-scheduleapr[[#This Row],[TICKNESS]])*scheduleapr[[#This Row],[TICKNESS]]*scheduleapr[[#This Row],[LENGTH]]*7.85)/1000000*scheduleapr[[#This Row],[SCHEDULE in nos]]/1000</f>
        <v/>
      </c>
      <c r="AK501" s="599">
        <f>(3.14*(scheduleapr[[#This Row],[ACTUAL OD]]-scheduleapr[[#This Row],[TICKNESS]])*scheduleapr[[#This Row],[TICKNESS]]*scheduleapr[[#This Row],[LENGTH]]*7.85)/1000000*scheduleapr[[#This Row],[DISPATCH]]/1000</f>
        <v/>
      </c>
      <c r="AL501" s="599">
        <f>AJ501-AK501</f>
        <v/>
      </c>
      <c r="AM501" s="599">
        <f>scheduleapr[[#This Row],[SCHEDULE in nos]]/scheduleapr[[#This Row],[SCHEDULE IN MT]]*scheduleapr[[#This Row],[CTL Stock]]</f>
        <v/>
      </c>
      <c r="AN501" s="599">
        <f>SUMIFS(stock[MT],stock[Bucket],scheduleapr[[#This Row],[Bucket]],stock[CTL Bucket],scheduleapr[[#This Row],[CTL Bucket]],stock[Plant],"0789")</f>
        <v/>
      </c>
      <c r="AO501" s="599" t="n"/>
      <c r="AP501" s="599">
        <f>SUMIFS(stock[MT],stock[Bucket],scheduleapr[[#This Row],[Bucket]],stock[LL or CTL],"LL")</f>
        <v/>
      </c>
      <c r="AQ501" s="599">
        <f>+SUMIFS(wip[Stock(Net Wt)],wip[Bucket],scheduleapr[[#This Row],[Bucket]])/1000</f>
        <v/>
      </c>
      <c r="AR501" s="599">
        <f>AJ501-AN501</f>
        <v/>
      </c>
      <c r="AS501" s="118" t="n"/>
    </row>
    <row r="502">
      <c r="A502" s="594" t="n">
        <v>364</v>
      </c>
      <c r="B502" s="5" t="inlineStr">
        <is>
          <t>Hosur</t>
        </is>
      </c>
      <c r="C502" s="601" t="inlineStr">
        <is>
          <t xml:space="preserve">Rajsriya Mysore </t>
        </is>
      </c>
      <c r="D502" s="601" t="inlineStr">
        <is>
          <t>Rajsriya Automotive Mysore</t>
        </is>
      </c>
      <c r="E502" s="601" t="inlineStr">
        <is>
          <t>930883|189481</t>
        </is>
      </c>
      <c r="F502" s="601" t="n">
        <v>1940472</v>
      </c>
      <c r="G502" s="601">
        <f>_xlfn.CONCAT(scheduleapr[[#This Row],[CUSTOMER CODE]],"-",scheduleapr[[#This Row],[MATERIAL NO]])</f>
        <v/>
      </c>
      <c r="H502" s="601" t="inlineStr">
        <is>
          <t>TUB-O-O-AUT-AW-PE-22.23X2.000X0.8620</t>
        </is>
      </c>
      <c r="I502" s="601" t="inlineStr">
        <is>
          <t>ERW 1</t>
        </is>
      </c>
      <c r="J502" s="601" t="n"/>
      <c r="K502" s="601" t="n"/>
      <c r="L502" s="601" t="inlineStr">
        <is>
          <t>HR</t>
        </is>
      </c>
      <c r="M502" s="601" t="n"/>
      <c r="N502" s="601" t="n"/>
      <c r="O502" s="601" t="n"/>
      <c r="P502" s="601" t="n"/>
      <c r="Q502" s="557">
        <f>CONCATENATE(scheduleapr[[#This Row],[OD]],"-",scheduleapr[[#This Row],[ID]],"-",scheduleapr[[#This Row],[TICKNESS]],"-",scheduleapr[[#This Row],[Grade]],"-",scheduleapr[[#This Row],[FC/NFC]])</f>
        <v/>
      </c>
      <c r="R502" s="557">
        <f>_xlfn.CONCAT(scheduleapr[[#This Row],[Bucket]],"-",scheduleapr[[#This Row],[LENGTH]]/1000)</f>
        <v/>
      </c>
      <c r="S502" s="557">
        <f>COUNTIF([2]!buckets[CTL Bucket],[2]!scheduleapr[[#This Row],[CTL Bucket]])</f>
        <v/>
      </c>
      <c r="T502" s="557" t="n"/>
      <c r="U502" s="557" t="n"/>
      <c r="V502" s="557" t="n"/>
      <c r="W502" s="557" t="n"/>
      <c r="X502" s="599" t="n">
        <v>22.23</v>
      </c>
      <c r="Y502" s="599" t="n">
        <v>22.23</v>
      </c>
      <c r="Z502" s="599" t="n">
        <v>0</v>
      </c>
      <c r="AA502" s="599" t="n">
        <v>2</v>
      </c>
      <c r="AB502" s="600" t="n">
        <v>862</v>
      </c>
      <c r="AC502" s="600" t="inlineStr">
        <is>
          <t>NOS</t>
        </is>
      </c>
      <c r="AD502" s="600" t="n"/>
      <c r="AE502" s="600" t="n"/>
      <c r="AF502" s="601" t="n"/>
      <c r="AG502" s="601" t="n"/>
      <c r="AH502" s="601">
        <f t="array" ref="AH5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2" s="602">
        <f>scheduleapr[[#This Row],[SCHEDULE in nos]]-scheduleapr[[#This Row],[DISPATCH]]</f>
        <v/>
      </c>
      <c r="AJ502" s="599">
        <f>(3.14*(scheduleapr[[#This Row],[ACTUAL OD]]-scheduleapr[[#This Row],[TICKNESS]])*scheduleapr[[#This Row],[TICKNESS]]*scheduleapr[[#This Row],[LENGTH]]*7.85)/1000000*scheduleapr[[#This Row],[SCHEDULE in nos]]/1000</f>
        <v/>
      </c>
      <c r="AK502" s="599">
        <f>(3.14*(scheduleapr[[#This Row],[ACTUAL OD]]-scheduleapr[[#This Row],[TICKNESS]])*scheduleapr[[#This Row],[TICKNESS]]*scheduleapr[[#This Row],[LENGTH]]*7.85)/1000000*scheduleapr[[#This Row],[DISPATCH]]/1000</f>
        <v/>
      </c>
      <c r="AL502" s="599">
        <f>AJ502-AK502</f>
        <v/>
      </c>
      <c r="AM502" s="599">
        <f>scheduleapr[[#This Row],[SCHEDULE in nos]]/scheduleapr[[#This Row],[SCHEDULE IN MT]]*scheduleapr[[#This Row],[CTL Stock]]</f>
        <v/>
      </c>
      <c r="AN502" s="599">
        <f>SUMIFS(stock[MT],stock[Bucket],scheduleapr[[#This Row],[Bucket]],stock[CTL Bucket],scheduleapr[[#This Row],[CTL Bucket]],stock[Plant],"0789")</f>
        <v/>
      </c>
      <c r="AO502" s="599" t="n"/>
      <c r="AP502" s="599">
        <f>SUMIFS(stock[MT],stock[Bucket],scheduleapr[[#This Row],[Bucket]],stock[LL or CTL],"LL")</f>
        <v/>
      </c>
      <c r="AQ502" s="599">
        <f>+SUMIFS(wip[Stock(Net Wt)],wip[Bucket],scheduleapr[[#This Row],[Bucket]])/1000</f>
        <v/>
      </c>
      <c r="AR502" s="599">
        <f>AJ502-AN502</f>
        <v/>
      </c>
      <c r="AS502" s="118" t="n"/>
    </row>
    <row r="503">
      <c r="A503" s="594" t="n">
        <v>417</v>
      </c>
      <c r="B503" s="5" t="inlineStr">
        <is>
          <t>Hosur</t>
        </is>
      </c>
      <c r="C503" s="601" t="inlineStr">
        <is>
          <t xml:space="preserve">Rajsriya Mysore </t>
        </is>
      </c>
      <c r="D503" s="601" t="inlineStr">
        <is>
          <t>Rajsriya Automotive Mysore</t>
        </is>
      </c>
      <c r="E503" s="601" t="inlineStr">
        <is>
          <t>930883|189481</t>
        </is>
      </c>
      <c r="F503" s="601" t="n">
        <v>3087645</v>
      </c>
      <c r="G503" s="601">
        <f>_xlfn.CONCAT(scheduleapr[[#This Row],[CUSTOMER CODE]],"-",scheduleapr[[#This Row],[MATERIAL NO]])</f>
        <v/>
      </c>
      <c r="H503" s="601" t="inlineStr">
        <is>
          <t>TUB-O-N-AUT-AW-PE-22.20X2.300X0.4250</t>
        </is>
      </c>
      <c r="I503" s="601" t="inlineStr">
        <is>
          <t>ERW 1</t>
        </is>
      </c>
      <c r="J503" s="601" t="n"/>
      <c r="K503" s="601" t="inlineStr">
        <is>
          <t>PE</t>
        </is>
      </c>
      <c r="L503" s="601" t="inlineStr">
        <is>
          <t>HR</t>
        </is>
      </c>
      <c r="M503" s="601" t="n"/>
      <c r="N503" s="601" t="n"/>
      <c r="O503" s="601" t="n"/>
      <c r="P503" s="601" t="n"/>
      <c r="Q503" s="557">
        <f>CONCATENATE(scheduleapr[[#This Row],[OD]],"-",scheduleapr[[#This Row],[ID]],"-",scheduleapr[[#This Row],[TICKNESS]],"-",scheduleapr[[#This Row],[Grade]],"-",scheduleapr[[#This Row],[FC/NFC]])</f>
        <v/>
      </c>
      <c r="R503" s="557">
        <f>_xlfn.CONCAT(scheduleapr[[#This Row],[Bucket]],"-",scheduleapr[[#This Row],[LENGTH]]/1000)</f>
        <v/>
      </c>
      <c r="S503" s="557">
        <f>COUNTIF(scheduleapr[CTL Bucket],scheduleapr[[#This Row],[CTL Bucket]])</f>
        <v/>
      </c>
      <c r="T503" s="601" t="n"/>
      <c r="U503" s="601">
        <f>_xlfn.IFNA(VLOOKUP(scheduleapr[[#This Row],[Bucket]],salesforecast[[#All],[Bucket2]:[8406 Stock]],19,0),0)</f>
        <v/>
      </c>
      <c r="V503" s="562">
        <f>_xlfn.IFNA(VLOOKUP(scheduleapr[[#This Row],[Bucket]],salesforecast[[#All],[Bucket2]:[8406 Stock]],20,0),0)+_xlfn.IFNA(VLOOKUP(scheduleapr[[#This Row],[Bucket]],salesforecast[[#All],[Bucket2]:[8406 Stock]],17,0),0)</f>
        <v/>
      </c>
      <c r="W503" s="601" t="n"/>
      <c r="X503" s="599" t="n">
        <v>22.23</v>
      </c>
      <c r="Y503" s="599" t="n">
        <v>22.23</v>
      </c>
      <c r="Z503" s="599" t="n">
        <v>0</v>
      </c>
      <c r="AA503" s="599" t="n">
        <v>2.3</v>
      </c>
      <c r="AB503" s="600" t="n">
        <v>425</v>
      </c>
      <c r="AC503" s="600" t="inlineStr">
        <is>
          <t>NOS</t>
        </is>
      </c>
      <c r="AD503" s="600" t="n"/>
      <c r="AE503" s="600" t="n"/>
      <c r="AF503" s="601" t="n">
        <v>7500</v>
      </c>
      <c r="AG503" s="601" t="inlineStr">
        <is>
          <t>Aug 2026 schedule · rajsriya MYSORE</t>
        </is>
      </c>
      <c r="AH503" s="601">
        <f t="array" ref="AH5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3" s="602">
        <f>scheduleapr[[#This Row],[SCHEDULE in nos]]-scheduleapr[[#This Row],[DISPATCH]]</f>
        <v/>
      </c>
      <c r="AJ503" s="599">
        <f>(3.14*(scheduleapr[[#This Row],[ACTUAL OD]]-scheduleapr[[#This Row],[TICKNESS]])*scheduleapr[[#This Row],[TICKNESS]]*scheduleapr[[#This Row],[LENGTH]]*7.85)/1000000*scheduleapr[[#This Row],[SCHEDULE in nos]]/1000</f>
        <v/>
      </c>
      <c r="AK503" s="599">
        <f>(3.14*(scheduleapr[[#This Row],[ACTUAL OD]]-scheduleapr[[#This Row],[TICKNESS]])*scheduleapr[[#This Row],[TICKNESS]]*scheduleapr[[#This Row],[LENGTH]]*7.85)/1000000*scheduleapr[[#This Row],[DISPATCH]]/1000</f>
        <v/>
      </c>
      <c r="AL503" s="599">
        <f>AJ503-AK503</f>
        <v/>
      </c>
      <c r="AM503" s="599">
        <f>scheduleapr[[#This Row],[SCHEDULE in nos]]/scheduleapr[[#This Row],[SCHEDULE IN MT]]*scheduleapr[[#This Row],[CTL Stock]]</f>
        <v/>
      </c>
      <c r="AN503" s="599">
        <f>SUMIFS(stock[MT],stock[Bucket],scheduleapr[[#This Row],[Bucket]],stock[CTL Bucket],scheduleapr[[#This Row],[CTL Bucket]],stock[Plant],"0789")</f>
        <v/>
      </c>
      <c r="AO503" s="599" t="n"/>
      <c r="AP503" s="599">
        <f>SUMIFS(stock[MT],stock[Bucket],scheduleapr[[#This Row],[Bucket]],stock[LL or CTL],"LL")</f>
        <v/>
      </c>
      <c r="AQ503" s="599">
        <f>+SUMIFS(wip[Stock(Net Wt)],wip[Bucket],scheduleapr[[#This Row],[Bucket]])/1000</f>
        <v/>
      </c>
      <c r="AR503" s="599">
        <f>AJ503-AN503</f>
        <v/>
      </c>
      <c r="AS503" s="118" t="n"/>
    </row>
    <row r="504">
      <c r="A504" s="594" t="n">
        <v>418</v>
      </c>
      <c r="B504" s="5" t="inlineStr">
        <is>
          <t>Hosur</t>
        </is>
      </c>
      <c r="C504" s="601" t="inlineStr">
        <is>
          <t xml:space="preserve">Rajsriya Mysore </t>
        </is>
      </c>
      <c r="D504" s="601" t="inlineStr">
        <is>
          <t>Rajsriya Automotive Mysore</t>
        </is>
      </c>
      <c r="E504" s="601" t="inlineStr">
        <is>
          <t>930883|189481</t>
        </is>
      </c>
      <c r="F504" s="601" t="n">
        <v>1940510</v>
      </c>
      <c r="G504" s="601">
        <f>_xlfn.CONCAT(scheduleapr[[#This Row],[CUSTOMER CODE]],"-",scheduleapr[[#This Row],[MATERIAL NO]])</f>
        <v/>
      </c>
      <c r="H504" s="601" t="inlineStr">
        <is>
          <t>TUB-O-O-AUT-AW-PE-22.23X2.300X6.0000</t>
        </is>
      </c>
      <c r="I504" s="601" t="inlineStr">
        <is>
          <t>ERW 1</t>
        </is>
      </c>
      <c r="J504" s="601" t="n"/>
      <c r="K504" s="601" t="inlineStr">
        <is>
          <t>PE</t>
        </is>
      </c>
      <c r="L504" s="601" t="inlineStr">
        <is>
          <t>HR</t>
        </is>
      </c>
      <c r="M504" s="601" t="n"/>
      <c r="N504" s="601" t="n"/>
      <c r="O504" s="601" t="n"/>
      <c r="P504" s="601" t="n"/>
      <c r="Q504" s="557">
        <f>CONCATENATE(scheduleapr[[#This Row],[OD]],"-",scheduleapr[[#This Row],[ID]],"-",scheduleapr[[#This Row],[TICKNESS]],"-",scheduleapr[[#This Row],[Grade]],"-",scheduleapr[[#This Row],[FC/NFC]])</f>
        <v/>
      </c>
      <c r="R504" s="557">
        <f>_xlfn.CONCAT(scheduleapr[[#This Row],[Bucket]],"-",scheduleapr[[#This Row],[LENGTH]]/1000)</f>
        <v/>
      </c>
      <c r="S504" s="557">
        <f>COUNTIF([2]!buckets[CTL Bucket],[2]!scheduleapr[[#This Row],[CTL Bucket]])</f>
        <v/>
      </c>
      <c r="T504" s="557" t="n"/>
      <c r="U504" s="601">
        <f>_xlfn.IFNA(VLOOKUP(scheduleapr[[#This Row],[Bucket]],salesforecast[[#All],[Bucket2]:[8406 Stock]],19,0),0)</f>
        <v/>
      </c>
      <c r="V504" s="562">
        <f>_xlfn.IFNA(VLOOKUP(scheduleapr[[#This Row],[Bucket]],salesforecast[[#All],[Bucket2]:[8406 Stock]],20,0),0)+_xlfn.IFNA(VLOOKUP(scheduleapr[[#This Row],[Bucket]],salesforecast[[#All],[Bucket2]:[8406 Stock]],17,0),0)</f>
        <v/>
      </c>
      <c r="W504" s="557" t="n"/>
      <c r="X504" s="599" t="n">
        <v>22.23</v>
      </c>
      <c r="Y504" s="599" t="n">
        <v>22.23</v>
      </c>
      <c r="Z504" s="599" t="n">
        <v>0</v>
      </c>
      <c r="AA504" s="599" t="n">
        <v>2.3</v>
      </c>
      <c r="AB504" s="600" t="n">
        <v>1000</v>
      </c>
      <c r="AC504" s="600" t="inlineStr">
        <is>
          <t>M</t>
        </is>
      </c>
      <c r="AD504" s="600" t="n"/>
      <c r="AE504" s="600" t="n"/>
      <c r="AF504" s="601" t="n">
        <v>3000</v>
      </c>
      <c r="AG504" s="601" t="inlineStr">
        <is>
          <t>Aug 2026 schedule · rajsriya MYSORE</t>
        </is>
      </c>
      <c r="AH504" s="601">
        <f t="array" ref="AH5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4" s="602">
        <f>scheduleapr[[#This Row],[SCHEDULE in nos]]-scheduleapr[[#This Row],[DISPATCH]]</f>
        <v/>
      </c>
      <c r="AJ504" s="599">
        <f>(3.14*(scheduleapr[[#This Row],[ACTUAL OD]]-scheduleapr[[#This Row],[TICKNESS]])*scheduleapr[[#This Row],[TICKNESS]]*scheduleapr[[#This Row],[LENGTH]]*7.85)/1000000*scheduleapr[[#This Row],[SCHEDULE in nos]]/1000</f>
        <v/>
      </c>
      <c r="AK504" s="599">
        <f>(3.14*(scheduleapr[[#This Row],[ACTUAL OD]]-scheduleapr[[#This Row],[TICKNESS]])*scheduleapr[[#This Row],[TICKNESS]]*scheduleapr[[#This Row],[LENGTH]]*7.85)/1000000*scheduleapr[[#This Row],[DISPATCH]]/1000</f>
        <v/>
      </c>
      <c r="AL504" s="599">
        <f>AJ504-AK504</f>
        <v/>
      </c>
      <c r="AM504" s="599">
        <f>scheduleapr[[#This Row],[SCHEDULE in nos]]/scheduleapr[[#This Row],[SCHEDULE IN MT]]*scheduleapr[[#This Row],[CTL Stock]]</f>
        <v/>
      </c>
      <c r="AN504" s="599">
        <f>SUMIFS(stock[MT],stock[Bucket],scheduleapr[[#This Row],[Bucket]],stock[CTL Bucket],scheduleapr[[#This Row],[CTL Bucket]],stock[Plant],"0789")</f>
        <v/>
      </c>
      <c r="AO504" s="599" t="n"/>
      <c r="AP504" s="599">
        <f>SUMIFS(stock[MT],stock[Bucket],scheduleapr[[#This Row],[Bucket]],stock[LL or CTL],"LL")</f>
        <v/>
      </c>
      <c r="AQ504" s="599">
        <f>+SUMIFS(wip[Stock(Net Wt)],wip[Bucket],scheduleapr[[#This Row],[Bucket]])/1000</f>
        <v/>
      </c>
      <c r="AR504" s="599">
        <f>AJ504-AN504</f>
        <v/>
      </c>
      <c r="AS504" s="118" t="n"/>
    </row>
    <row r="505">
      <c r="A505" s="594" t="n">
        <v>366</v>
      </c>
      <c r="B505" s="5" t="inlineStr">
        <is>
          <t>Hosur</t>
        </is>
      </c>
      <c r="C505" s="601" t="inlineStr">
        <is>
          <t xml:space="preserve">Rajsriya Mysore </t>
        </is>
      </c>
      <c r="D505" s="601" t="inlineStr">
        <is>
          <t>Rajsriya Automotive Mysore</t>
        </is>
      </c>
      <c r="E505" s="601" t="inlineStr">
        <is>
          <t>930883|189481</t>
        </is>
      </c>
      <c r="F505" s="601" t="n">
        <v>1940562</v>
      </c>
      <c r="G505" s="601">
        <f>_xlfn.CONCAT(scheduleapr[[#This Row],[CUSTOMER CODE]],"-",scheduleapr[[#This Row],[MATERIAL NO]])</f>
        <v/>
      </c>
      <c r="H505" s="601" t="inlineStr">
        <is>
          <t>TUB-O-O-AUT-AW-FC-25.40X1.600X0.3600</t>
        </is>
      </c>
      <c r="I505" s="601" t="inlineStr">
        <is>
          <t>ERW 1</t>
        </is>
      </c>
      <c r="J505" s="601" t="n"/>
      <c r="K505" s="601" t="inlineStr">
        <is>
          <t>FC</t>
        </is>
      </c>
      <c r="L505" s="601" t="inlineStr">
        <is>
          <t>HR</t>
        </is>
      </c>
      <c r="M505" s="601" t="n"/>
      <c r="N505" s="601" t="n"/>
      <c r="O505" s="601" t="n"/>
      <c r="P505" s="601" t="n"/>
      <c r="Q505" s="557">
        <f>CONCATENATE(scheduleapr[[#This Row],[OD]],"-",scheduleapr[[#This Row],[ID]],"-",scheduleapr[[#This Row],[TICKNESS]],"-",scheduleapr[[#This Row],[Grade]],"-",scheduleapr[[#This Row],[FC/NFC]])</f>
        <v/>
      </c>
      <c r="R505" s="557">
        <f>_xlfn.CONCAT(scheduleapr[[#This Row],[Bucket]],"-",scheduleapr[[#This Row],[LENGTH]]/1000)</f>
        <v/>
      </c>
      <c r="S505" s="557">
        <f>COUNTIF([2]!buckets[CTL Bucket],[2]!scheduleapr[[#This Row],[CTL Bucket]])</f>
        <v/>
      </c>
      <c r="T505" s="557" t="n"/>
      <c r="U505" s="557" t="n"/>
      <c r="V505" s="557" t="n"/>
      <c r="W505" s="557" t="n"/>
      <c r="X505" s="599" t="n">
        <v>25.4</v>
      </c>
      <c r="Y505" s="599" t="n">
        <v>25.4</v>
      </c>
      <c r="Z505" s="599" t="n">
        <v>0</v>
      </c>
      <c r="AA505" s="599" t="n">
        <v>1.6</v>
      </c>
      <c r="AB505" s="600" t="n">
        <v>360</v>
      </c>
      <c r="AC505" s="600" t="inlineStr">
        <is>
          <t>NOS</t>
        </is>
      </c>
      <c r="AD505" s="600" t="n"/>
      <c r="AE505" s="600" t="n"/>
      <c r="AF505" s="601" t="n"/>
      <c r="AG505" s="601" t="n"/>
      <c r="AH505" s="601">
        <f t="array" ref="AH5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5" s="602">
        <f>scheduleapr[[#This Row],[SCHEDULE in nos]]-scheduleapr[[#This Row],[DISPATCH]]</f>
        <v/>
      </c>
      <c r="AJ505" s="599">
        <f>(3.14*(scheduleapr[[#This Row],[ACTUAL OD]]-scheduleapr[[#This Row],[TICKNESS]])*scheduleapr[[#This Row],[TICKNESS]]*scheduleapr[[#This Row],[LENGTH]]*7.85)/1000000*scheduleapr[[#This Row],[SCHEDULE in nos]]/1000</f>
        <v/>
      </c>
      <c r="AK505" s="599">
        <f>(3.14*(scheduleapr[[#This Row],[ACTUAL OD]]-scheduleapr[[#This Row],[TICKNESS]])*scheduleapr[[#This Row],[TICKNESS]]*scheduleapr[[#This Row],[LENGTH]]*7.85)/1000000*scheduleapr[[#This Row],[DISPATCH]]/1000</f>
        <v/>
      </c>
      <c r="AL505" s="599">
        <f>AJ505-AK505</f>
        <v/>
      </c>
      <c r="AM505" s="599">
        <f>scheduleapr[[#This Row],[SCHEDULE in nos]]/scheduleapr[[#This Row],[SCHEDULE IN MT]]*scheduleapr[[#This Row],[CTL Stock]]</f>
        <v/>
      </c>
      <c r="AN505" s="599">
        <f>SUMIFS(stock[MT],stock[Bucket],scheduleapr[[#This Row],[Bucket]],stock[CTL Bucket],scheduleapr[[#This Row],[CTL Bucket]],stock[Plant],"0789")</f>
        <v/>
      </c>
      <c r="AO505" s="599" t="n"/>
      <c r="AP505" s="599">
        <f>SUMIFS(stock[MT],stock[Bucket],scheduleapr[[#This Row],[Bucket]],stock[LL or CTL],"LL")</f>
        <v/>
      </c>
      <c r="AQ505" s="599">
        <f>+SUMIFS(wip[Stock(Net Wt)],wip[Bucket],scheduleapr[[#This Row],[Bucket]])/1000</f>
        <v/>
      </c>
      <c r="AR505" s="599">
        <f>AJ505-AN505</f>
        <v/>
      </c>
      <c r="AS505" s="118" t="n"/>
    </row>
    <row r="506">
      <c r="A506" s="594" t="n">
        <v>367</v>
      </c>
      <c r="B506" s="5" t="inlineStr">
        <is>
          <t>Hosur</t>
        </is>
      </c>
      <c r="C506" s="601" t="inlineStr">
        <is>
          <t xml:space="preserve">Rajsriya Mysore </t>
        </is>
      </c>
      <c r="D506" s="601" t="inlineStr">
        <is>
          <t>Rajsriya Automotive Mysore</t>
        </is>
      </c>
      <c r="E506" s="601" t="inlineStr">
        <is>
          <t>930883|189481</t>
        </is>
      </c>
      <c r="F506" s="601" t="n">
        <v>1940603</v>
      </c>
      <c r="G506" s="601">
        <f>_xlfn.CONCAT(scheduleapr[[#This Row],[CUSTOMER CODE]],"-",scheduleapr[[#This Row],[MATERIAL NO]])</f>
        <v/>
      </c>
      <c r="H506" s="601" t="inlineStr">
        <is>
          <t>TUB-O-O-AUT-AW-FC-25.40X2.600X0.3600</t>
        </is>
      </c>
      <c r="I506" s="601" t="inlineStr">
        <is>
          <t>ERW 1</t>
        </is>
      </c>
      <c r="J506" s="601" t="n"/>
      <c r="K506" s="601" t="n"/>
      <c r="L506" s="601" t="inlineStr">
        <is>
          <t>HR</t>
        </is>
      </c>
      <c r="M506" s="601" t="n"/>
      <c r="N506" s="601" t="n"/>
      <c r="O506" s="601" t="n"/>
      <c r="P506" s="601" t="n"/>
      <c r="Q506" s="557">
        <f>CONCATENATE(scheduleapr[[#This Row],[OD]],"-",scheduleapr[[#This Row],[ID]],"-",scheduleapr[[#This Row],[TICKNESS]],"-",scheduleapr[[#This Row],[Grade]],"-",scheduleapr[[#This Row],[FC/NFC]])</f>
        <v/>
      </c>
      <c r="R506" s="557">
        <f>_xlfn.CONCAT(scheduleapr[[#This Row],[Bucket]],"-",scheduleapr[[#This Row],[LENGTH]]/1000)</f>
        <v/>
      </c>
      <c r="S506" s="557">
        <f>COUNTIF([2]!buckets[CTL Bucket],[2]!scheduleapr[[#This Row],[CTL Bucket]])</f>
        <v/>
      </c>
      <c r="T506" s="557" t="n"/>
      <c r="U506" s="557" t="n"/>
      <c r="V506" s="557" t="n"/>
      <c r="W506" s="557" t="n"/>
      <c r="X506" s="599" t="n">
        <v>25.4</v>
      </c>
      <c r="Y506" s="599" t="n">
        <v>25.4</v>
      </c>
      <c r="Z506" s="599" t="n">
        <v>0</v>
      </c>
      <c r="AA506" s="599" t="n">
        <v>2.6</v>
      </c>
      <c r="AB506" s="600" t="n">
        <v>360</v>
      </c>
      <c r="AC506" s="600" t="inlineStr">
        <is>
          <t>NOS</t>
        </is>
      </c>
      <c r="AD506" s="600" t="n"/>
      <c r="AE506" s="600" t="n"/>
      <c r="AF506" s="601" t="n"/>
      <c r="AG506" s="601" t="n"/>
      <c r="AH506" s="601">
        <f t="array" ref="AH5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6" s="602">
        <f>scheduleapr[[#This Row],[SCHEDULE in nos]]-scheduleapr[[#This Row],[DISPATCH]]</f>
        <v/>
      </c>
      <c r="AJ506" s="599">
        <f>(3.14*(scheduleapr[[#This Row],[ACTUAL OD]]-scheduleapr[[#This Row],[TICKNESS]])*scheduleapr[[#This Row],[TICKNESS]]*scheduleapr[[#This Row],[LENGTH]]*7.85)/1000000*scheduleapr[[#This Row],[SCHEDULE in nos]]/1000</f>
        <v/>
      </c>
      <c r="AK506" s="599">
        <f>(3.14*(scheduleapr[[#This Row],[ACTUAL OD]]-scheduleapr[[#This Row],[TICKNESS]])*scheduleapr[[#This Row],[TICKNESS]]*scheduleapr[[#This Row],[LENGTH]]*7.85)/1000000*scheduleapr[[#This Row],[DISPATCH]]/1000</f>
        <v/>
      </c>
      <c r="AL506" s="599">
        <f>AJ506-AK506</f>
        <v/>
      </c>
      <c r="AM506" s="599">
        <f>scheduleapr[[#This Row],[SCHEDULE in nos]]/scheduleapr[[#This Row],[SCHEDULE IN MT]]*scheduleapr[[#This Row],[CTL Stock]]</f>
        <v/>
      </c>
      <c r="AN506" s="599">
        <f>SUMIFS(stock[MT],stock[Bucket],scheduleapr[[#This Row],[Bucket]],stock[CTL Bucket],scheduleapr[[#This Row],[CTL Bucket]],stock[Plant],"0789")</f>
        <v/>
      </c>
      <c r="AO506" s="599" t="n"/>
      <c r="AP506" s="599">
        <f>SUMIFS(stock[MT],stock[Bucket],scheduleapr[[#This Row],[Bucket]],stock[LL or CTL],"LL")</f>
        <v/>
      </c>
      <c r="AQ506" s="599">
        <f>+SUMIFS(wip[Stock(Net Wt)],wip[Bucket],scheduleapr[[#This Row],[Bucket]])/1000</f>
        <v/>
      </c>
      <c r="AR506" s="599">
        <f>AJ506-AN506</f>
        <v/>
      </c>
      <c r="AS506" s="118" t="n"/>
    </row>
    <row r="507">
      <c r="A507" s="594" t="n">
        <v>465</v>
      </c>
      <c r="B507" s="5" t="inlineStr">
        <is>
          <t>Hosur</t>
        </is>
      </c>
      <c r="C507" s="601" t="inlineStr">
        <is>
          <t xml:space="preserve">Rajsriya Mysore </t>
        </is>
      </c>
      <c r="D507" s="601" t="inlineStr">
        <is>
          <t>Rajsriya Automotive Mysore</t>
        </is>
      </c>
      <c r="E507" s="601" t="inlineStr">
        <is>
          <t>930883|189481</t>
        </is>
      </c>
      <c r="F507" s="601" t="n">
        <v>1941840</v>
      </c>
      <c r="G507" s="601">
        <f>_xlfn.CONCAT(scheduleapr[[#This Row],[CUSTOMER CODE]],"-",scheduleapr[[#This Row],[MATERIAL NO]])</f>
        <v/>
      </c>
      <c r="H507" s="601" t="inlineStr">
        <is>
          <t>TUB-E-O-AUT-AW-FC-31.75X2.500X6.0000</t>
        </is>
      </c>
      <c r="I507" s="601" t="inlineStr">
        <is>
          <t>ERW 1</t>
        </is>
      </c>
      <c r="J507" s="601" t="n"/>
      <c r="K507" s="601" t="inlineStr">
        <is>
          <t>FC</t>
        </is>
      </c>
      <c r="L507" s="601" t="inlineStr">
        <is>
          <t>HR</t>
        </is>
      </c>
      <c r="M507" s="601" t="n"/>
      <c r="N507" s="601" t="n"/>
      <c r="O507" s="601" t="n"/>
      <c r="P507" s="601" t="n"/>
      <c r="Q507" s="557">
        <f>CONCATENATE(scheduleapr[[#This Row],[OD]],"-",scheduleapr[[#This Row],[ID]],"-",scheduleapr[[#This Row],[TICKNESS]],"-",scheduleapr[[#This Row],[Grade]],"-",scheduleapr[[#This Row],[FC/NFC]])</f>
        <v/>
      </c>
      <c r="R507" s="557">
        <f>_xlfn.CONCAT(scheduleapr[[#This Row],[Bucket]],"-",scheduleapr[[#This Row],[LENGTH]]/1000)</f>
        <v/>
      </c>
      <c r="S507" s="557">
        <f>COUNTIF([2]!buckets[CTL Bucket],[2]!scheduleapr[[#This Row],[CTL Bucket]])</f>
        <v/>
      </c>
      <c r="T507" s="601" t="inlineStr">
        <is>
          <t>Hosur</t>
        </is>
      </c>
      <c r="U507" s="601">
        <f>_xlfn.IFNA(VLOOKUP(scheduleapr[[#This Row],[Bucket]],salesforecast[[#All],[Bucket2]:[8406 Stock]],19,0),0)</f>
        <v/>
      </c>
      <c r="V507" s="557" t="n"/>
      <c r="W507" s="557" t="n"/>
      <c r="X507" s="599" t="n">
        <v>31.75</v>
      </c>
      <c r="Y507" s="599" t="n">
        <v>31.75</v>
      </c>
      <c r="Z507" s="599" t="n">
        <v>0</v>
      </c>
      <c r="AA507" s="599" t="n">
        <v>2.5</v>
      </c>
      <c r="AB507" s="600" t="n">
        <v>1000</v>
      </c>
      <c r="AC507" s="600" t="inlineStr">
        <is>
          <t>M</t>
        </is>
      </c>
      <c r="AD507" s="600" t="n"/>
      <c r="AE507" s="600" t="n"/>
      <c r="AF507" s="601" t="n">
        <v>2000</v>
      </c>
      <c r="AG507" s="601" t="inlineStr">
        <is>
          <t>Aug 2026 schedule · rajsriya MYSORE</t>
        </is>
      </c>
      <c r="AH507" s="601">
        <f t="array" ref="AH5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7" s="602">
        <f>scheduleapr[[#This Row],[SCHEDULE in nos]]-scheduleapr[[#This Row],[DISPATCH]]</f>
        <v/>
      </c>
      <c r="AJ507" s="599">
        <f>(3.14*(scheduleapr[[#This Row],[ACTUAL OD]]-scheduleapr[[#This Row],[TICKNESS]])*scheduleapr[[#This Row],[TICKNESS]]*scheduleapr[[#This Row],[LENGTH]]*7.85)/1000000*scheduleapr[[#This Row],[SCHEDULE in nos]]/1000</f>
        <v/>
      </c>
      <c r="AK507" s="599">
        <f>(3.14*(scheduleapr[[#This Row],[ACTUAL OD]]-scheduleapr[[#This Row],[TICKNESS]])*scheduleapr[[#This Row],[TICKNESS]]*scheduleapr[[#This Row],[LENGTH]]*7.85)/1000000*scheduleapr[[#This Row],[DISPATCH]]/1000</f>
        <v/>
      </c>
      <c r="AL507" s="599">
        <f>AJ507-AK507</f>
        <v/>
      </c>
      <c r="AM507" s="599">
        <f>scheduleapr[[#This Row],[SCHEDULE in nos]]/scheduleapr[[#This Row],[SCHEDULE IN MT]]*scheduleapr[[#This Row],[CTL Stock]]</f>
        <v/>
      </c>
      <c r="AN507" s="599">
        <f>SUMIFS(stock[MT],stock[Bucket],scheduleapr[[#This Row],[Bucket]],stock[CTL Bucket],scheduleapr[[#This Row],[CTL Bucket]],stock[Plant],"0789")</f>
        <v/>
      </c>
      <c r="AO507" s="599" t="n"/>
      <c r="AP507" s="599">
        <f>SUMIFS(stock[MT],stock[Bucket],scheduleapr[[#This Row],[Bucket]],stock[LL or CTL],"LL")</f>
        <v/>
      </c>
      <c r="AQ507" s="599">
        <f>+SUMIFS(wip[Stock(Net Wt)],wip[Bucket],scheduleapr[[#This Row],[Bucket]])/1000</f>
        <v/>
      </c>
      <c r="AR507" s="599">
        <f>AJ507-AN507</f>
        <v/>
      </c>
      <c r="AS507" s="118" t="n"/>
    </row>
    <row r="508">
      <c r="A508" s="594" t="n">
        <v>370</v>
      </c>
      <c r="B508" s="5" t="inlineStr">
        <is>
          <t>Hosur</t>
        </is>
      </c>
      <c r="C508" s="601" t="inlineStr">
        <is>
          <t xml:space="preserve">Rajsriya Mysore </t>
        </is>
      </c>
      <c r="D508" s="601" t="inlineStr">
        <is>
          <t>Rajsriya Automotive Mysore</t>
        </is>
      </c>
      <c r="E508" s="601" t="inlineStr">
        <is>
          <t>930883|189481</t>
        </is>
      </c>
      <c r="F508" s="601" t="n">
        <v>3186831</v>
      </c>
      <c r="G508" s="601">
        <f>_xlfn.CONCAT(scheduleapr[[#This Row],[CUSTOMER CODE]],"-",scheduleapr[[#This Row],[MATERIAL NO]])</f>
        <v/>
      </c>
      <c r="H508" s="601" t="inlineStr">
        <is>
          <t>TUB-O-N-AUT-AW-FC-41.28X2.600X0.8480</t>
        </is>
      </c>
      <c r="I508" s="601" t="inlineStr">
        <is>
          <t>ERW 1</t>
        </is>
      </c>
      <c r="J508" s="601" t="n"/>
      <c r="K508" s="601" t="inlineStr">
        <is>
          <t>FC</t>
        </is>
      </c>
      <c r="L508" s="601" t="inlineStr">
        <is>
          <t>HR</t>
        </is>
      </c>
      <c r="M508" s="601" t="n"/>
      <c r="N508" s="601" t="n"/>
      <c r="O508" s="601" t="n"/>
      <c r="P508" s="601" t="n"/>
      <c r="Q508" s="557">
        <f>CONCATENATE(scheduleapr[[#This Row],[OD]],"-",scheduleapr[[#This Row],[ID]],"-",scheduleapr[[#This Row],[TICKNESS]],"-",scheduleapr[[#This Row],[Grade]],"-",scheduleapr[[#This Row],[FC/NFC]])</f>
        <v/>
      </c>
      <c r="R508" s="557">
        <f>_xlfn.CONCAT(scheduleapr[[#This Row],[Bucket]],"-",scheduleapr[[#This Row],[LENGTH]]/1000)</f>
        <v/>
      </c>
      <c r="S508" s="557">
        <f>COUNTIF([2]!buckets[CTL Bucket],[2]!scheduleapr[[#This Row],[CTL Bucket]])</f>
        <v/>
      </c>
      <c r="T508" s="557" t="n"/>
      <c r="U508" s="557" t="n"/>
      <c r="V508" s="557" t="n"/>
      <c r="W508" s="557" t="n"/>
      <c r="X508" s="599" t="n">
        <v>41.28</v>
      </c>
      <c r="Y508" s="599" t="n">
        <v>41.28</v>
      </c>
      <c r="Z508" s="599" t="n">
        <v>0</v>
      </c>
      <c r="AA508" s="599" t="n">
        <v>2.6</v>
      </c>
      <c r="AB508" s="600" t="n">
        <v>848</v>
      </c>
      <c r="AC508" s="600" t="inlineStr">
        <is>
          <t>NOS</t>
        </is>
      </c>
      <c r="AD508" s="600" t="n"/>
      <c r="AE508" s="600" t="n"/>
      <c r="AF508" s="601" t="n"/>
      <c r="AG508" s="601" t="n"/>
      <c r="AH508" s="601">
        <f t="array" ref="AH5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8" s="602">
        <f>scheduleapr[[#This Row],[SCHEDULE in nos]]-scheduleapr[[#This Row],[DISPATCH]]</f>
        <v/>
      </c>
      <c r="AJ508" s="599">
        <f>(3.14*(scheduleapr[[#This Row],[ACTUAL OD]]-scheduleapr[[#This Row],[TICKNESS]])*scheduleapr[[#This Row],[TICKNESS]]*scheduleapr[[#This Row],[LENGTH]]*7.85)/1000000*scheduleapr[[#This Row],[SCHEDULE in nos]]/1000</f>
        <v/>
      </c>
      <c r="AK508" s="599">
        <f>(3.14*(scheduleapr[[#This Row],[ACTUAL OD]]-scheduleapr[[#This Row],[TICKNESS]])*scheduleapr[[#This Row],[TICKNESS]]*scheduleapr[[#This Row],[LENGTH]]*7.85)/1000000*scheduleapr[[#This Row],[DISPATCH]]/1000</f>
        <v/>
      </c>
      <c r="AL508" s="599">
        <f>AJ508-AK508</f>
        <v/>
      </c>
      <c r="AM508" s="599">
        <f>scheduleapr[[#This Row],[SCHEDULE in nos]]/scheduleapr[[#This Row],[SCHEDULE IN MT]]*scheduleapr[[#This Row],[CTL Stock]]</f>
        <v/>
      </c>
      <c r="AN508" s="599">
        <f>SUMIFS(stock[MT],stock[Bucket],scheduleapr[[#This Row],[Bucket]],stock[CTL Bucket],scheduleapr[[#This Row],[CTL Bucket]],stock[Plant],"0789")</f>
        <v/>
      </c>
      <c r="AO508" s="599" t="n"/>
      <c r="AP508" s="599">
        <f>SUMIFS(stock[MT],stock[Bucket],scheduleapr[[#This Row],[Bucket]],stock[LL or CTL],"LL")</f>
        <v/>
      </c>
      <c r="AQ508" s="599">
        <f>+SUMIFS(wip[Stock(Net Wt)],wip[Bucket],scheduleapr[[#This Row],[Bucket]])/1000</f>
        <v/>
      </c>
      <c r="AR508" s="599">
        <f>AJ508-AN508</f>
        <v/>
      </c>
      <c r="AS508" s="118" t="n"/>
    </row>
    <row r="509">
      <c r="A509" s="594" t="n">
        <v>372</v>
      </c>
      <c r="B509" s="5" t="inlineStr">
        <is>
          <t xml:space="preserve">Khopoli </t>
        </is>
      </c>
      <c r="C509" s="601" t="inlineStr">
        <is>
          <t xml:space="preserve">Rajsriya Mysore </t>
        </is>
      </c>
      <c r="D509" s="601" t="inlineStr">
        <is>
          <t>Rajsriya Automotive Mysore</t>
        </is>
      </c>
      <c r="E509" s="601" t="inlineStr">
        <is>
          <t>930883|189481</t>
        </is>
      </c>
      <c r="F509" s="601" t="n">
        <v>1938358</v>
      </c>
      <c r="G509" s="601">
        <f>_xlfn.CONCAT(scheduleapr[[#This Row],[CUSTOMER CODE]],"-",scheduleapr[[#This Row],[MATERIAL NO]])</f>
        <v/>
      </c>
      <c r="H509" s="601" t="inlineStr">
        <is>
          <t>TUB-O-N-AUT-AN-FC-42.70X4.000X0.2540</t>
        </is>
      </c>
      <c r="I509" s="601" t="inlineStr">
        <is>
          <t>ERW 1</t>
        </is>
      </c>
      <c r="J509" s="601" t="inlineStr">
        <is>
          <t>Annealed</t>
        </is>
      </c>
      <c r="K509" s="601" t="inlineStr">
        <is>
          <t>FC</t>
        </is>
      </c>
      <c r="L509" s="601" t="inlineStr">
        <is>
          <t>HR</t>
        </is>
      </c>
      <c r="M509" s="601" t="n"/>
      <c r="N509" s="601" t="inlineStr">
        <is>
          <t>Chamferring</t>
        </is>
      </c>
      <c r="O509" s="601" t="n"/>
      <c r="P509" s="601" t="n"/>
      <c r="Q509" s="557">
        <f>CONCATENATE(scheduleapr[[#This Row],[OD]],"-",scheduleapr[[#This Row],[ID]],"-",scheduleapr[[#This Row],[TICKNESS]],"-",scheduleapr[[#This Row],[Grade]],"-",scheduleapr[[#This Row],[FC/NFC]])</f>
        <v/>
      </c>
      <c r="R509" s="557">
        <f>_xlfn.CONCAT(scheduleapr[[#This Row],[Bucket]],"-",scheduleapr[[#This Row],[LENGTH]]/1000)</f>
        <v/>
      </c>
      <c r="S509" s="557">
        <f>COUNTIF([2]!buckets[CTL Bucket],[2]!scheduleapr[[#This Row],[CTL Bucket]])</f>
        <v/>
      </c>
      <c r="T509" s="601" t="inlineStr">
        <is>
          <t>Khopoli</t>
        </is>
      </c>
      <c r="U509" s="601">
        <f>_xlfn.IFNA(VLOOKUP(scheduleapr[[#This Row],[Bucket]],salesforecast[[#All],[Bucket2]:[8406 Stock]],19,0),0)</f>
        <v/>
      </c>
      <c r="V509" s="562">
        <f>_xlfn.IFNA(VLOOKUP(scheduleapr[[#This Row],[Bucket]],salesforecast[[#All],[Bucket2]:[8406 Stock]],20,0),0)+_xlfn.IFNA(VLOOKUP(scheduleapr[[#This Row],[Bucket]],salesforecast[[#All],[Bucket2]:[8406 Stock]],17,0),0)</f>
        <v/>
      </c>
      <c r="W509" s="557" t="n"/>
      <c r="X509" s="599" t="n">
        <v>42.7</v>
      </c>
      <c r="Y509" s="599" t="n">
        <v>42.7</v>
      </c>
      <c r="Z509" s="599" t="n">
        <v>0</v>
      </c>
      <c r="AA509" s="599" t="n">
        <v>4</v>
      </c>
      <c r="AB509" s="600" t="n">
        <v>254</v>
      </c>
      <c r="AC509" s="600" t="inlineStr">
        <is>
          <t>NOS</t>
        </is>
      </c>
      <c r="AD509" s="600" t="n"/>
      <c r="AE509" s="600" t="n"/>
      <c r="AF509" s="601" t="n">
        <v>20000</v>
      </c>
      <c r="AG509" s="601" t="inlineStr">
        <is>
          <t>Aug 2026 schedule · rajsriya MYSORE</t>
        </is>
      </c>
      <c r="AH509" s="601">
        <f t="array" ref="AH5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09" s="602">
        <f>scheduleapr[[#This Row],[SCHEDULE in nos]]-scheduleapr[[#This Row],[DISPATCH]]</f>
        <v/>
      </c>
      <c r="AJ509" s="599">
        <f>(3.14*(scheduleapr[[#This Row],[ACTUAL OD]]-scheduleapr[[#This Row],[TICKNESS]])*scheduleapr[[#This Row],[TICKNESS]]*scheduleapr[[#This Row],[LENGTH]]*7.85)/1000000*scheduleapr[[#This Row],[SCHEDULE in nos]]/1000</f>
        <v/>
      </c>
      <c r="AK509" s="599">
        <f>(3.14*(scheduleapr[[#This Row],[ACTUAL OD]]-scheduleapr[[#This Row],[TICKNESS]])*scheduleapr[[#This Row],[TICKNESS]]*scheduleapr[[#This Row],[LENGTH]]*7.85)/1000000*scheduleapr[[#This Row],[DISPATCH]]/1000</f>
        <v/>
      </c>
      <c r="AL509" s="599">
        <f>AJ509-AK509</f>
        <v/>
      </c>
      <c r="AM509" s="599">
        <f>scheduleapr[[#This Row],[SCHEDULE in nos]]/scheduleapr[[#This Row],[SCHEDULE IN MT]]*scheduleapr[[#This Row],[CTL Stock]]</f>
        <v/>
      </c>
      <c r="AN509" s="599">
        <f>SUMIFS(stock[MT],stock[Bucket],scheduleapr[[#This Row],[Bucket]],stock[CTL Bucket],scheduleapr[[#This Row],[CTL Bucket]],stock[Plant],"0789")</f>
        <v/>
      </c>
      <c r="AO509" s="599" t="n"/>
      <c r="AP509" s="599">
        <f>SUMIFS(stock[MT],stock[Bucket],scheduleapr[[#This Row],[Bucket]],stock[LL or CTL],"LL")</f>
        <v/>
      </c>
      <c r="AQ509" s="599">
        <f>+SUMIFS(wip[Stock(Net Wt)],wip[Bucket],scheduleapr[[#This Row],[Bucket]])/1000</f>
        <v/>
      </c>
      <c r="AR509" s="599">
        <f>AJ509-AN509</f>
        <v/>
      </c>
      <c r="AS509" s="118" t="n"/>
    </row>
    <row r="510">
      <c r="A510" s="594" t="n">
        <v>486</v>
      </c>
      <c r="B510" s="5" t="inlineStr">
        <is>
          <t>Hosur</t>
        </is>
      </c>
      <c r="C510" s="601" t="inlineStr">
        <is>
          <t xml:space="preserve">Rajsriya Mysore </t>
        </is>
      </c>
      <c r="D510" s="601" t="inlineStr">
        <is>
          <t>Rajsriya Automotive Mysore</t>
        </is>
      </c>
      <c r="E510" s="601" t="inlineStr">
        <is>
          <t>930883|189481</t>
        </is>
      </c>
      <c r="F510" s="601" t="n">
        <v>1940830</v>
      </c>
      <c r="G510" s="601">
        <f>_xlfn.CONCAT(scheduleapr[[#This Row],[CUSTOMER CODE]],"-",scheduleapr[[#This Row],[MATERIAL NO]])</f>
        <v/>
      </c>
      <c r="H510" s="601" t="inlineStr">
        <is>
          <t>TUB-R-AW-RHS-40.00X30.00X1.600X0.8600</t>
        </is>
      </c>
      <c r="I510" s="601" t="inlineStr">
        <is>
          <t>ERW 1</t>
        </is>
      </c>
      <c r="J510" s="601" t="n"/>
      <c r="K510" s="601" t="inlineStr">
        <is>
          <t>FC</t>
        </is>
      </c>
      <c r="L510" s="601" t="inlineStr">
        <is>
          <t>CR</t>
        </is>
      </c>
      <c r="M510" s="596" t="inlineStr">
        <is>
          <t>GR1</t>
        </is>
      </c>
      <c r="N510" s="601" t="n"/>
      <c r="O510" s="601" t="n"/>
      <c r="P510" s="601" t="n"/>
      <c r="Q510" s="557">
        <f>CONCATENATE(scheduleapr[[#This Row],[OD]],"-",scheduleapr[[#This Row],[ID]],"-",scheduleapr[[#This Row],[TICKNESS]],"-",scheduleapr[[#This Row],[Grade]],"-",scheduleapr[[#This Row],[FC/NFC]])</f>
        <v/>
      </c>
      <c r="R510" s="557">
        <f>_xlfn.CONCAT(scheduleapr[[#This Row],[Bucket]],"-",scheduleapr[[#This Row],[LENGTH]]/1000)</f>
        <v/>
      </c>
      <c r="S510" s="557">
        <f>COUNTIF(scheduleapr[CTL Bucket],scheduleapr[[#This Row],[CTL Bucket]])</f>
        <v/>
      </c>
      <c r="T510" s="557" t="n"/>
      <c r="U510" s="601">
        <f>_xlfn.IFNA(VLOOKUP(scheduleapr[[#This Row],[Bucket]],salesforecast[[#All],[Bucket2]:[8406 Stock]],19,0),0)</f>
        <v/>
      </c>
      <c r="V510" s="562">
        <f>_xlfn.IFNA(VLOOKUP(scheduleapr[[#This Row],[Bucket]],salesforecast[[#All],[Bucket2]:[8406 Stock]],20,0),0)+_xlfn.IFNA(VLOOKUP(scheduleapr[[#This Row],[Bucket]],salesforecast[[#All],[Bucket2]:[8406 Stock]],17,0),0)</f>
        <v/>
      </c>
      <c r="W510" s="557" t="n"/>
      <c r="X510" s="599" t="n">
        <v>44.45</v>
      </c>
      <c r="Y510" s="599" t="n">
        <v>40</v>
      </c>
      <c r="Z510" s="6" t="n">
        <v>30</v>
      </c>
      <c r="AA510" s="599" t="n">
        <v>1.6</v>
      </c>
      <c r="AB510" s="600" t="n">
        <v>860</v>
      </c>
      <c r="AC510" s="600" t="inlineStr">
        <is>
          <t>NOS</t>
        </is>
      </c>
      <c r="AD510" s="600" t="n"/>
      <c r="AE510" s="600" t="n"/>
      <c r="AF510" s="601" t="n">
        <v>8000</v>
      </c>
      <c r="AG510" s="601" t="inlineStr">
        <is>
          <t>Aug 2026 schedule · rajsriya MYSORE</t>
        </is>
      </c>
      <c r="AH510" s="601">
        <f t="array" ref="AH5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0" s="602">
        <f>scheduleapr[[#This Row],[SCHEDULE in nos]]-scheduleapr[[#This Row],[DISPATCH]]</f>
        <v/>
      </c>
      <c r="AJ510" s="599">
        <f>(3.14*(scheduleapr[[#This Row],[ACTUAL OD]]-scheduleapr[[#This Row],[TICKNESS]])*scheduleapr[[#This Row],[TICKNESS]]*scheduleapr[[#This Row],[LENGTH]]*7.85)/1000000*scheduleapr[[#This Row],[SCHEDULE in nos]]/1000</f>
        <v/>
      </c>
      <c r="AK510" s="599">
        <f>(3.14*(scheduleapr[[#This Row],[ACTUAL OD]]-scheduleapr[[#This Row],[TICKNESS]])*scheduleapr[[#This Row],[TICKNESS]]*scheduleapr[[#This Row],[LENGTH]]*7.85)/1000000*scheduleapr[[#This Row],[DISPATCH]]/1000</f>
        <v/>
      </c>
      <c r="AL510" s="599">
        <f>AJ510-AK510</f>
        <v/>
      </c>
      <c r="AM510" s="599">
        <f>scheduleapr[[#This Row],[SCHEDULE in nos]]/scheduleapr[[#This Row],[SCHEDULE IN MT]]*scheduleapr[[#This Row],[CTL Stock]]</f>
        <v/>
      </c>
      <c r="AN510" s="599">
        <f>SUMIFS(stock[MT],stock[Bucket],scheduleapr[[#This Row],[Bucket]],stock[CTL Bucket],scheduleapr[[#This Row],[CTL Bucket]],stock[Plant],"0789")</f>
        <v/>
      </c>
      <c r="AO510" s="599" t="n"/>
      <c r="AP510" s="599">
        <f>SUMIFS(stock[MT],stock[Bucket],scheduleapr[[#This Row],[Bucket]],stock[LL or CTL],"LL")</f>
        <v/>
      </c>
      <c r="AQ510" s="599">
        <f>+SUMIFS(wip[Stock(Net Wt)],wip[Bucket],scheduleapr[[#This Row],[Bucket]])/1000</f>
        <v/>
      </c>
      <c r="AR510" s="599">
        <f>AJ510-AN510</f>
        <v/>
      </c>
      <c r="AS510" s="118" t="n"/>
    </row>
    <row r="511">
      <c r="A511" s="594" t="n">
        <v>488</v>
      </c>
      <c r="B511" s="5" t="inlineStr">
        <is>
          <t>Hosur</t>
        </is>
      </c>
      <c r="C511" s="601" t="inlineStr">
        <is>
          <t xml:space="preserve">Rajsriya Mysore </t>
        </is>
      </c>
      <c r="D511" s="601" t="inlineStr">
        <is>
          <t>Rajsriya Automotive Mysore</t>
        </is>
      </c>
      <c r="E511" s="601" t="inlineStr">
        <is>
          <t>930883|189481</t>
        </is>
      </c>
      <c r="F511" s="601" t="n">
        <v>1940837</v>
      </c>
      <c r="G511" s="601">
        <f>_xlfn.CONCAT(scheduleapr[[#This Row],[CUSTOMER CODE]],"-",scheduleapr[[#This Row],[MATERIAL NO]])</f>
        <v/>
      </c>
      <c r="H511" s="601" t="inlineStr">
        <is>
          <t>TUB-R-AW-RHS-40.00X30.00X2.000X0.8700</t>
        </is>
      </c>
      <c r="I511" s="601" t="inlineStr">
        <is>
          <t>ERW 1</t>
        </is>
      </c>
      <c r="J511" s="601" t="n"/>
      <c r="K511" s="601" t="inlineStr">
        <is>
          <t>FC</t>
        </is>
      </c>
      <c r="L511" s="601" t="inlineStr">
        <is>
          <t>HR</t>
        </is>
      </c>
      <c r="M511" s="601" t="n"/>
      <c r="N511" s="601" t="n"/>
      <c r="O511" s="601" t="n"/>
      <c r="P511" s="601" t="n"/>
      <c r="Q511" s="557">
        <f>CONCATENATE(scheduleapr[[#This Row],[OD]],"-",scheduleapr[[#This Row],[ID]],"-",scheduleapr[[#This Row],[TICKNESS]],"-",scheduleapr[[#This Row],[Grade]],"-",scheduleapr[[#This Row],[FC/NFC]])</f>
        <v/>
      </c>
      <c r="R511" s="557">
        <f>_xlfn.CONCAT(scheduleapr[[#This Row],[Bucket]],"-",scheduleapr[[#This Row],[LENGTH]]/1000)</f>
        <v/>
      </c>
      <c r="S511" s="557">
        <f>COUNTIF([2]!buckets[CTL Bucket],[2]!scheduleapr[[#This Row],[CTL Bucket]])</f>
        <v/>
      </c>
      <c r="T511" s="601" t="inlineStr">
        <is>
          <t>Hosur</t>
        </is>
      </c>
      <c r="U511" s="601">
        <f>_xlfn.IFNA(VLOOKUP(scheduleapr[[#This Row],[Bucket]],salesforecast[[#All],[Bucket2]:[8406 Stock]],19,0),0)</f>
        <v/>
      </c>
      <c r="V511" s="562">
        <f>_xlfn.IFNA(VLOOKUP(scheduleapr[[#This Row],[Bucket]],salesforecast[[#All],[Bucket2]:[8406 Stock]],20,0),0)+_xlfn.IFNA(VLOOKUP(scheduleapr[[#This Row],[Bucket]],salesforecast[[#All],[Bucket2]:[8406 Stock]],17,0),0)</f>
        <v/>
      </c>
      <c r="W511" s="557" t="n"/>
      <c r="X511" s="599" t="n">
        <v>44.45</v>
      </c>
      <c r="Y511" s="599" t="n">
        <v>40</v>
      </c>
      <c r="Z511" s="6" t="n">
        <v>30</v>
      </c>
      <c r="AA511" s="599" t="n">
        <v>2</v>
      </c>
      <c r="AB511" s="81" t="n">
        <v>870</v>
      </c>
      <c r="AC511" s="600" t="inlineStr">
        <is>
          <t>NOS</t>
        </is>
      </c>
      <c r="AD511" s="600" t="n"/>
      <c r="AE511" s="600" t="n"/>
      <c r="AF511" s="601" t="n">
        <v>8000</v>
      </c>
      <c r="AG511" s="601" t="inlineStr">
        <is>
          <t>Aug 2026 schedule · rajsriya MYSORE</t>
        </is>
      </c>
      <c r="AH511" s="601">
        <f t="array" ref="AH5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1" s="602">
        <f>scheduleapr[[#This Row],[SCHEDULE in nos]]-scheduleapr[[#This Row],[DISPATCH]]</f>
        <v/>
      </c>
      <c r="AJ511" s="599">
        <f>(3.14*(scheduleapr[[#This Row],[ACTUAL OD]]-scheduleapr[[#This Row],[TICKNESS]])*scheduleapr[[#This Row],[TICKNESS]]*scheduleapr[[#This Row],[LENGTH]]*7.85)/1000000*scheduleapr[[#This Row],[SCHEDULE in nos]]/1000</f>
        <v/>
      </c>
      <c r="AK511" s="599">
        <f>(3.14*(scheduleapr[[#This Row],[ACTUAL OD]]-scheduleapr[[#This Row],[TICKNESS]])*scheduleapr[[#This Row],[TICKNESS]]*scheduleapr[[#This Row],[LENGTH]]*7.85)/1000000*scheduleapr[[#This Row],[DISPATCH]]/1000</f>
        <v/>
      </c>
      <c r="AL511" s="599">
        <f>AJ511-AK511</f>
        <v/>
      </c>
      <c r="AM511" s="599">
        <f>scheduleapr[[#This Row],[SCHEDULE in nos]]/scheduleapr[[#This Row],[SCHEDULE IN MT]]*scheduleapr[[#This Row],[CTL Stock]]</f>
        <v/>
      </c>
      <c r="AN511" s="599">
        <f>SUMIFS(stock[MT],stock[Bucket],scheduleapr[[#This Row],[Bucket]],stock[CTL Bucket],scheduleapr[[#This Row],[CTL Bucket]],stock[Plant],"0789")</f>
        <v/>
      </c>
      <c r="AO511" s="599" t="n"/>
      <c r="AP511" s="599">
        <f>SUMIFS(stock[MT],stock[Bucket],scheduleapr[[#This Row],[Bucket]],stock[LL or CTL],"LL")</f>
        <v/>
      </c>
      <c r="AQ511" s="599">
        <f>+SUMIFS(wip[Stock(Net Wt)],wip[Bucket],scheduleapr[[#This Row],[Bucket]])/1000</f>
        <v/>
      </c>
      <c r="AR511" s="599">
        <f>AJ511-AN511</f>
        <v/>
      </c>
      <c r="AS511" s="118" t="n"/>
    </row>
    <row r="512">
      <c r="A512" s="594" t="n">
        <v>498</v>
      </c>
      <c r="B512" s="5" t="inlineStr">
        <is>
          <t>Hosur</t>
        </is>
      </c>
      <c r="C512" s="601" t="inlineStr">
        <is>
          <t xml:space="preserve">Rajsriya Mysore </t>
        </is>
      </c>
      <c r="D512" s="48" t="inlineStr">
        <is>
          <t>Rajsriya Automotive Mysore</t>
        </is>
      </c>
      <c r="E512" s="601" t="inlineStr">
        <is>
          <t>930883|189481</t>
        </is>
      </c>
      <c r="F512" s="601" t="n">
        <v>1940911</v>
      </c>
      <c r="G512" s="601">
        <f>_xlfn.CONCAT(scheduleapr[[#This Row],[CUSTOMER CODE]],"-",scheduleapr[[#This Row],[MATERIAL NO]])</f>
        <v/>
      </c>
      <c r="H512" s="601" t="inlineStr">
        <is>
          <t>TUB-O-O-AUT-AW-AG-57.15X2.500X0.7720</t>
        </is>
      </c>
      <c r="I512" s="601" t="inlineStr">
        <is>
          <t>ERW 1</t>
        </is>
      </c>
      <c r="J512" s="601" t="n"/>
      <c r="K512" s="601" t="inlineStr">
        <is>
          <t>FC</t>
        </is>
      </c>
      <c r="L512" s="601" t="inlineStr">
        <is>
          <t>HR</t>
        </is>
      </c>
      <c r="M512" s="601" t="n"/>
      <c r="N512" s="601" t="n"/>
      <c r="O512" s="601" t="inlineStr">
        <is>
          <t>AG</t>
        </is>
      </c>
      <c r="P512" s="601" t="n"/>
      <c r="Q512" s="557">
        <f>CONCATENATE(scheduleapr[[#This Row],[OD]],"-",scheduleapr[[#This Row],[ID]],"-",scheduleapr[[#This Row],[TICKNESS]],"-",scheduleapr[[#This Row],[Grade]],"-",scheduleapr[[#This Row],[FC/NFC]])</f>
        <v/>
      </c>
      <c r="R512" s="557">
        <f>_xlfn.CONCAT(scheduleapr[[#This Row],[Bucket]],"-",scheduleapr[[#This Row],[LENGTH]]/1000)</f>
        <v/>
      </c>
      <c r="S512" s="557">
        <f>COUNTIF(scheduleapr[CTL Bucket],scheduleapr[[#This Row],[CTL Bucket]])</f>
        <v/>
      </c>
      <c r="T512" s="601" t="inlineStr">
        <is>
          <t>Hosur</t>
        </is>
      </c>
      <c r="U512" s="601">
        <f>_xlfn.IFNA(VLOOKUP(scheduleapr[[#This Row],[Bucket]],salesforecast[[#All],[Bucket2]:[8406 Stock]],19,0),0)</f>
        <v/>
      </c>
      <c r="V512" s="562">
        <f>_xlfn.IFNA(VLOOKUP(scheduleapr[[#This Row],[Bucket]],salesforecast[[#All],[Bucket2]:[8406 Stock]],20,0),0)+_xlfn.IFNA(VLOOKUP(scheduleapr[[#This Row],[Bucket]],salesforecast[[#All],[Bucket2]:[8406 Stock]],17,0),0)</f>
        <v/>
      </c>
      <c r="W512" s="557" t="n"/>
      <c r="X512" s="599" t="n">
        <v>57.15</v>
      </c>
      <c r="Y512" s="599" t="n">
        <v>57.15</v>
      </c>
      <c r="Z512" s="599" t="n">
        <v>0</v>
      </c>
      <c r="AA512" s="599" t="n">
        <v>2.5</v>
      </c>
      <c r="AB512" s="81" t="n">
        <v>772</v>
      </c>
      <c r="AC512" s="600" t="inlineStr">
        <is>
          <t>NOS</t>
        </is>
      </c>
      <c r="AD512" s="600" t="n"/>
      <c r="AE512" s="600" t="n"/>
      <c r="AF512" s="601" t="n"/>
      <c r="AG512" s="601" t="n"/>
      <c r="AH512" s="601">
        <f t="array" ref="AH5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2" s="602">
        <f>scheduleapr[[#This Row],[SCHEDULE in nos]]-scheduleapr[[#This Row],[DISPATCH]]</f>
        <v/>
      </c>
      <c r="AJ512" s="599">
        <f>(3.14*(scheduleapr[[#This Row],[ACTUAL OD]]-scheduleapr[[#This Row],[TICKNESS]])*scheduleapr[[#This Row],[TICKNESS]]*scheduleapr[[#This Row],[LENGTH]]*7.85)/1000000*scheduleapr[[#This Row],[SCHEDULE in nos]]/1000</f>
        <v/>
      </c>
      <c r="AK512" s="599">
        <f>(3.14*(scheduleapr[[#This Row],[ACTUAL OD]]-scheduleapr[[#This Row],[TICKNESS]])*scheduleapr[[#This Row],[TICKNESS]]*scheduleapr[[#This Row],[LENGTH]]*7.85)/1000000*scheduleapr[[#This Row],[DISPATCH]]/1000</f>
        <v/>
      </c>
      <c r="AL512" s="599">
        <f>AJ512-AK512</f>
        <v/>
      </c>
      <c r="AM512" s="599">
        <f>scheduleapr[[#This Row],[SCHEDULE in nos]]/scheduleapr[[#This Row],[SCHEDULE IN MT]]*scheduleapr[[#This Row],[CTL Stock]]</f>
        <v/>
      </c>
      <c r="AN512" s="599">
        <f>SUMIFS(stock[MT],stock[Bucket],scheduleapr[[#This Row],[Bucket]],stock[CTL Bucket],scheduleapr[[#This Row],[CTL Bucket]],stock[Plant],"0789")</f>
        <v/>
      </c>
      <c r="AO512" s="599" t="n"/>
      <c r="AP512" s="599">
        <f>SUMIFS(stock[MT],stock[Bucket],scheduleapr[[#This Row],[Bucket]],stock[LL or CTL],"LL")</f>
        <v/>
      </c>
      <c r="AQ512" s="599">
        <f>+SUMIFS(wip[Stock(Net Wt)],wip[Bucket],scheduleapr[[#This Row],[Bucket]])/1000</f>
        <v/>
      </c>
      <c r="AR512" s="599">
        <f>AJ512-AN512</f>
        <v/>
      </c>
      <c r="AS512" s="118" t="n"/>
    </row>
    <row r="513">
      <c r="A513" s="594" t="n">
        <v>424</v>
      </c>
      <c r="B513" s="5" t="inlineStr">
        <is>
          <t>Hosur</t>
        </is>
      </c>
      <c r="C513" s="601" t="inlineStr">
        <is>
          <t>RUCHA</t>
        </is>
      </c>
      <c r="D513" s="601" t="inlineStr">
        <is>
          <t>Rucha Hosur</t>
        </is>
      </c>
      <c r="E513" s="601" t="n">
        <v>188534</v>
      </c>
      <c r="F513" s="601" t="n">
        <v>1940043</v>
      </c>
      <c r="G513" s="601">
        <f>_xlfn.CONCAT(scheduleapr[[#This Row],[CUSTOMER CODE]],"-",scheduleapr[[#This Row],[MATERIAL NO]])</f>
        <v/>
      </c>
      <c r="H513" s="601" t="inlineStr">
        <is>
          <t>TUB-O-O-AUT-AW-PE-15.88X1.200X0.8880</t>
        </is>
      </c>
      <c r="I513" s="601" t="inlineStr">
        <is>
          <t>ERW 1</t>
        </is>
      </c>
      <c r="J513" s="601" t="n"/>
      <c r="K513" s="601" t="inlineStr">
        <is>
          <t>PE</t>
        </is>
      </c>
      <c r="L513" s="601" t="inlineStr">
        <is>
          <t>HR</t>
        </is>
      </c>
      <c r="M513" s="601" t="n"/>
      <c r="N513" s="601" t="n"/>
      <c r="O513" s="601" t="n"/>
      <c r="P513" s="601" t="n"/>
      <c r="Q513" s="557">
        <f>CONCATENATE(scheduleapr[[#This Row],[OD]],"-",scheduleapr[[#This Row],[ID]],"-",scheduleapr[[#This Row],[TICKNESS]],"-",scheduleapr[[#This Row],[Grade]],"-",scheduleapr[[#This Row],[FC/NFC]])</f>
        <v/>
      </c>
      <c r="R513" s="557">
        <f>_xlfn.CONCAT(scheduleapr[[#This Row],[Bucket]],"-",scheduleapr[[#This Row],[LENGTH]]/1000)</f>
        <v/>
      </c>
      <c r="S513" s="557">
        <f>COUNTIF(scheduleapr[CTL Bucket],scheduleapr[[#This Row],[CTL Bucket]])</f>
        <v/>
      </c>
      <c r="T513" s="601" t="inlineStr">
        <is>
          <t>Hosur</t>
        </is>
      </c>
      <c r="U513" s="557" t="n"/>
      <c r="V513" s="557" t="n"/>
      <c r="W513" s="557" t="n"/>
      <c r="X513" s="599" t="n">
        <v>15.88</v>
      </c>
      <c r="Y513" s="599" t="n">
        <v>15.88</v>
      </c>
      <c r="Z513" s="599" t="n">
        <v>0</v>
      </c>
      <c r="AA513" s="599" t="n">
        <v>1.2</v>
      </c>
      <c r="AB513" s="600" t="n">
        <v>888</v>
      </c>
      <c r="AC513" s="600" t="inlineStr">
        <is>
          <t>NOS</t>
        </is>
      </c>
      <c r="AD513" s="600" t="n"/>
      <c r="AE513" s="600" t="n"/>
      <c r="AF513" s="601" t="n"/>
      <c r="AG513" s="601" t="n"/>
      <c r="AH513" s="601">
        <f t="array" ref="AH5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3" s="602">
        <f>scheduleapr[[#This Row],[SCHEDULE in nos]]-scheduleapr[[#This Row],[DISPATCH]]</f>
        <v/>
      </c>
      <c r="AJ513" s="599">
        <f>(3.14*(scheduleapr[[#This Row],[ACTUAL OD]]-scheduleapr[[#This Row],[TICKNESS]])*scheduleapr[[#This Row],[TICKNESS]]*scheduleapr[[#This Row],[LENGTH]]*7.85)/1000000*scheduleapr[[#This Row],[SCHEDULE in nos]]/1000</f>
        <v/>
      </c>
      <c r="AK513" s="599">
        <f>(3.14*(scheduleapr[[#This Row],[ACTUAL OD]]-scheduleapr[[#This Row],[TICKNESS]])*scheduleapr[[#This Row],[TICKNESS]]*scheduleapr[[#This Row],[LENGTH]]*7.85)/1000000*scheduleapr[[#This Row],[DISPATCH]]/1000</f>
        <v/>
      </c>
      <c r="AL513" s="599">
        <f>AJ513-AK513</f>
        <v/>
      </c>
      <c r="AM513" s="599">
        <f>scheduleapr[[#This Row],[SCHEDULE in nos]]/scheduleapr[[#This Row],[SCHEDULE IN MT]]*scheduleapr[[#This Row],[CTL Stock]]</f>
        <v/>
      </c>
      <c r="AN513" s="599">
        <f>SUMIFS(stock[MT],stock[Bucket],scheduleapr[[#This Row],[Bucket]],stock[CTL Bucket],scheduleapr[[#This Row],[CTL Bucket]],stock[Plant],"0789")</f>
        <v/>
      </c>
      <c r="AO513" s="599" t="n"/>
      <c r="AP513" s="599">
        <f>SUMIFS(stock[MT],stock[Bucket],scheduleapr[[#This Row],[Bucket]],stock[LL or CTL],"LL")</f>
        <v/>
      </c>
      <c r="AQ513" s="599">
        <f>+SUMIFS(wip[Stock(Net Wt)],wip[Bucket],scheduleapr[[#This Row],[Bucket]])/1000</f>
        <v/>
      </c>
      <c r="AR513" s="599">
        <f>AJ513-AN513</f>
        <v/>
      </c>
      <c r="AS513" s="118" t="n"/>
    </row>
    <row r="514">
      <c r="A514" s="594" t="n">
        <v>425</v>
      </c>
      <c r="B514" s="5" t="inlineStr">
        <is>
          <t>Hosur</t>
        </is>
      </c>
      <c r="C514" s="601" t="inlineStr">
        <is>
          <t>RUCHA</t>
        </is>
      </c>
      <c r="D514" s="601" t="inlineStr">
        <is>
          <t>Rucha Hosur</t>
        </is>
      </c>
      <c r="E514" s="601" t="n">
        <v>188534</v>
      </c>
      <c r="F514" s="601" t="n">
        <v>3506797</v>
      </c>
      <c r="G514" s="601">
        <f>_xlfn.CONCAT(scheduleapr[[#This Row],[CUSTOMER CODE]],"-",scheduleapr[[#This Row],[MATERIAL NO]])</f>
        <v/>
      </c>
      <c r="H514" s="601" t="inlineStr">
        <is>
          <t>CUT-O-N-AUT-AW-PE-15.88X2.000X0.291</t>
        </is>
      </c>
      <c r="I514" s="601" t="inlineStr">
        <is>
          <t>ERW 1</t>
        </is>
      </c>
      <c r="J514" s="601" t="n"/>
      <c r="K514" s="601" t="inlineStr">
        <is>
          <t>PE</t>
        </is>
      </c>
      <c r="L514" s="601" t="inlineStr">
        <is>
          <t>HR</t>
        </is>
      </c>
      <c r="M514" s="601" t="n"/>
      <c r="N514" s="601" t="n"/>
      <c r="O514" s="601" t="n"/>
      <c r="P514" s="601" t="n"/>
      <c r="Q514" s="557">
        <f>CONCATENATE(scheduleapr[[#This Row],[OD]],"-",scheduleapr[[#This Row],[ID]],"-",scheduleapr[[#This Row],[TICKNESS]],"-",scheduleapr[[#This Row],[Grade]],"-",scheduleapr[[#This Row],[FC/NFC]])</f>
        <v/>
      </c>
      <c r="R514" s="557">
        <f>_xlfn.CONCAT(scheduleapr[[#This Row],[Bucket]],"-",scheduleapr[[#This Row],[LENGTH]]/1000)</f>
        <v/>
      </c>
      <c r="S514" s="557">
        <f>COUNTIF(scheduleapr[CTL Bucket],scheduleapr[[#This Row],[CTL Bucket]])</f>
        <v/>
      </c>
      <c r="T514" s="601" t="inlineStr">
        <is>
          <t>Hosur</t>
        </is>
      </c>
      <c r="U514" s="557" t="n"/>
      <c r="V514" s="557" t="n"/>
      <c r="W514" s="557" t="n"/>
      <c r="X514" s="599" t="n">
        <v>15.88</v>
      </c>
      <c r="Y514" s="599" t="n">
        <v>15.88</v>
      </c>
      <c r="Z514" s="599" t="n">
        <v>0</v>
      </c>
      <c r="AA514" s="599" t="n">
        <v>2</v>
      </c>
      <c r="AB514" s="600" t="n">
        <v>291</v>
      </c>
      <c r="AC514" s="600" t="inlineStr">
        <is>
          <t>NOS</t>
        </is>
      </c>
      <c r="AD514" s="600" t="n"/>
      <c r="AE514" s="600" t="n"/>
      <c r="AF514" s="601" t="n"/>
      <c r="AG514" s="601" t="n"/>
      <c r="AH514" s="601">
        <f t="array" ref="AH5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4" s="602">
        <f>scheduleapr[[#This Row],[SCHEDULE in nos]]-scheduleapr[[#This Row],[DISPATCH]]</f>
        <v/>
      </c>
      <c r="AJ514" s="599">
        <f>(3.14*(scheduleapr[[#This Row],[ACTUAL OD]]-scheduleapr[[#This Row],[TICKNESS]])*scheduleapr[[#This Row],[TICKNESS]]*scheduleapr[[#This Row],[LENGTH]]*7.85)/1000000*scheduleapr[[#This Row],[SCHEDULE in nos]]/1000</f>
        <v/>
      </c>
      <c r="AK514" s="599">
        <f>(3.14*(scheduleapr[[#This Row],[ACTUAL OD]]-scheduleapr[[#This Row],[TICKNESS]])*scheduleapr[[#This Row],[TICKNESS]]*scheduleapr[[#This Row],[LENGTH]]*7.85)/1000000*scheduleapr[[#This Row],[DISPATCH]]/1000</f>
        <v/>
      </c>
      <c r="AL514" s="599">
        <f>AJ514-AK514</f>
        <v/>
      </c>
      <c r="AM514" s="599">
        <f>scheduleapr[[#This Row],[SCHEDULE in nos]]/scheduleapr[[#This Row],[SCHEDULE IN MT]]*scheduleapr[[#This Row],[CTL Stock]]</f>
        <v/>
      </c>
      <c r="AN514" s="599">
        <f>SUMIFS(stock[MT],stock[Bucket],scheduleapr[[#This Row],[Bucket]],stock[CTL Bucket],scheduleapr[[#This Row],[CTL Bucket]],stock[Plant],"0789")</f>
        <v/>
      </c>
      <c r="AO514" s="599" t="n"/>
      <c r="AP514" s="599">
        <f>SUMIFS(stock[MT],stock[Bucket],scheduleapr[[#This Row],[Bucket]],stock[LL or CTL],"LL")</f>
        <v/>
      </c>
      <c r="AQ514" s="599">
        <f>+SUMIFS(wip[Stock(Net Wt)],wip[Bucket],scheduleapr[[#This Row],[Bucket]])/1000</f>
        <v/>
      </c>
      <c r="AR514" s="599">
        <f>AJ514-AN514</f>
        <v/>
      </c>
      <c r="AS514" s="118" t="n"/>
    </row>
    <row r="515">
      <c r="A515" s="594" t="n">
        <v>427</v>
      </c>
      <c r="B515" s="5" t="inlineStr">
        <is>
          <t>Hosur</t>
        </is>
      </c>
      <c r="C515" s="601" t="inlineStr">
        <is>
          <t>RUCHA</t>
        </is>
      </c>
      <c r="D515" s="48" t="inlineStr">
        <is>
          <t>Rucha Hosur</t>
        </is>
      </c>
      <c r="E515" s="601" t="n">
        <v>188534</v>
      </c>
      <c r="F515" s="601" t="n">
        <v>3732182</v>
      </c>
      <c r="G515" s="601">
        <f>_xlfn.CONCAT(scheduleapr[[#This Row],[CUSTOMER CODE]],"-",scheduleapr[[#This Row],[MATERIAL NO]])</f>
        <v/>
      </c>
      <c r="H515" s="601" t="inlineStr">
        <is>
          <t>TUB-O-O-AUT-AW-PE-19.05X2.000X0.8200</t>
        </is>
      </c>
      <c r="I515" s="601" t="inlineStr">
        <is>
          <t>ERW 1</t>
        </is>
      </c>
      <c r="J515" s="601" t="n"/>
      <c r="K515" s="601" t="inlineStr">
        <is>
          <t>PE</t>
        </is>
      </c>
      <c r="L515" s="601" t="inlineStr">
        <is>
          <t>HR</t>
        </is>
      </c>
      <c r="M515" s="601" t="n"/>
      <c r="N515" s="601" t="n"/>
      <c r="O515" s="601" t="n"/>
      <c r="P515" s="601" t="n"/>
      <c r="Q515" s="557">
        <f>CONCATENATE(scheduleapr[[#This Row],[OD]],"-",scheduleapr[[#This Row],[ID]],"-",scheduleapr[[#This Row],[TICKNESS]],"-",scheduleapr[[#This Row],[Grade]],"-",scheduleapr[[#This Row],[FC/NFC]])</f>
        <v/>
      </c>
      <c r="R515" s="557">
        <f>_xlfn.CONCAT(scheduleapr[[#This Row],[Bucket]],"-",scheduleapr[[#This Row],[LENGTH]]/1000)</f>
        <v/>
      </c>
      <c r="S515" s="557">
        <f>COUNTIF([2]!buckets[CTL Bucket],[2]!scheduleapr[[#This Row],[CTL Bucket]])</f>
        <v/>
      </c>
      <c r="T515" s="601" t="inlineStr">
        <is>
          <t>Hosur</t>
        </is>
      </c>
      <c r="U515" s="601" t="inlineStr">
        <is>
          <t>Plan</t>
        </is>
      </c>
      <c r="V515" s="557" t="n"/>
      <c r="W515" s="557" t="n"/>
      <c r="X515" s="599" t="n">
        <v>19.05</v>
      </c>
      <c r="Y515" s="599" t="n">
        <v>19.05</v>
      </c>
      <c r="Z515" s="599" t="n">
        <v>0</v>
      </c>
      <c r="AA515" s="599" t="n">
        <v>2</v>
      </c>
      <c r="AB515" s="600" t="n">
        <v>820</v>
      </c>
      <c r="AC515" s="600" t="inlineStr">
        <is>
          <t>NOS</t>
        </is>
      </c>
      <c r="AD515" s="600" t="n"/>
      <c r="AE515" s="600" t="n"/>
      <c r="AF515" s="601" t="n"/>
      <c r="AG515" s="601" t="n"/>
      <c r="AH515" s="601">
        <f t="array" ref="AH5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5" s="602">
        <f>scheduleapr[[#This Row],[SCHEDULE in nos]]-scheduleapr[[#This Row],[DISPATCH]]</f>
        <v/>
      </c>
      <c r="AJ515" s="599">
        <f>(3.14*(scheduleapr[[#This Row],[ACTUAL OD]]-scheduleapr[[#This Row],[TICKNESS]])*scheduleapr[[#This Row],[TICKNESS]]*scheduleapr[[#This Row],[LENGTH]]*7.85)/1000000*scheduleapr[[#This Row],[SCHEDULE in nos]]/1000</f>
        <v/>
      </c>
      <c r="AK515" s="599">
        <f>(3.14*(scheduleapr[[#This Row],[ACTUAL OD]]-scheduleapr[[#This Row],[TICKNESS]])*scheduleapr[[#This Row],[TICKNESS]]*scheduleapr[[#This Row],[LENGTH]]*7.85)/1000000*scheduleapr[[#This Row],[DISPATCH]]/1000</f>
        <v/>
      </c>
      <c r="AL515" s="599">
        <f>AJ515-AK515</f>
        <v/>
      </c>
      <c r="AM515" s="599">
        <f>scheduleapr[[#This Row],[SCHEDULE in nos]]/scheduleapr[[#This Row],[SCHEDULE IN MT]]*scheduleapr[[#This Row],[CTL Stock]]</f>
        <v/>
      </c>
      <c r="AN515" s="599">
        <f>SUMIFS(stock[MT],stock[Bucket],scheduleapr[[#This Row],[Bucket]],stock[CTL Bucket],scheduleapr[[#This Row],[CTL Bucket]],stock[Plant],"0789")</f>
        <v/>
      </c>
      <c r="AO515" s="599" t="n"/>
      <c r="AP515" s="599">
        <f>SUMIFS(stock[MT],stock[Bucket],scheduleapr[[#This Row],[Bucket]],stock[LL or CTL],"LL")</f>
        <v/>
      </c>
      <c r="AQ515" s="599">
        <f>+SUMIFS(wip[Stock(Net Wt)],wip[Bucket],scheduleapr[[#This Row],[Bucket]])/1000</f>
        <v/>
      </c>
      <c r="AR515" s="599">
        <f>AJ515-AN515</f>
        <v/>
      </c>
      <c r="AS515" s="118" t="n"/>
    </row>
    <row r="516">
      <c r="A516" s="594" t="n">
        <v>428</v>
      </c>
      <c r="B516" s="5" t="inlineStr">
        <is>
          <t>Hosur</t>
        </is>
      </c>
      <c r="C516" s="601" t="inlineStr">
        <is>
          <t>RUCHA</t>
        </is>
      </c>
      <c r="D516" s="601" t="inlineStr">
        <is>
          <t>Rucha Hosur</t>
        </is>
      </c>
      <c r="E516" s="601" t="n">
        <v>188534</v>
      </c>
      <c r="F516" s="601" t="n"/>
      <c r="G516" s="601">
        <f>_xlfn.CONCAT(scheduleapr[[#This Row],[CUSTOMER CODE]],"-",scheduleapr[[#This Row],[MATERIAL NO]])</f>
        <v/>
      </c>
      <c r="H516" s="601" t="n"/>
      <c r="I516" s="601" t="inlineStr">
        <is>
          <t>ERW 1</t>
        </is>
      </c>
      <c r="J516" s="601" t="n"/>
      <c r="K516" s="601" t="inlineStr">
        <is>
          <t>PE</t>
        </is>
      </c>
      <c r="L516" s="601" t="inlineStr">
        <is>
          <t>HR</t>
        </is>
      </c>
      <c r="M516" s="601" t="n"/>
      <c r="N516" s="601" t="n"/>
      <c r="O516" s="601" t="n"/>
      <c r="P516" s="601" t="n"/>
      <c r="Q516" s="557">
        <f>CONCATENATE(scheduleapr[[#This Row],[OD]],"-",scheduleapr[[#This Row],[ID]],"-",scheduleapr[[#This Row],[TICKNESS]],"-",scheduleapr[[#This Row],[Grade]],"-",scheduleapr[[#This Row],[FC/NFC]])</f>
        <v/>
      </c>
      <c r="R516" s="557">
        <f>_xlfn.CONCAT(scheduleapr[[#This Row],[Bucket]],"-",scheduleapr[[#This Row],[LENGTH]]/1000)</f>
        <v/>
      </c>
      <c r="S516" s="557">
        <f>COUNTIF([2]!buckets[CTL Bucket],[2]!scheduleapr[[#This Row],[CTL Bucket]])</f>
        <v/>
      </c>
      <c r="T516" s="557" t="n"/>
      <c r="U516" s="557" t="n"/>
      <c r="V516" s="557" t="n"/>
      <c r="W516" s="557" t="n"/>
      <c r="X516" s="599" t="n">
        <v>19.05</v>
      </c>
      <c r="Y516" s="599" t="n">
        <v>19.05</v>
      </c>
      <c r="Z516" s="599" t="n">
        <v>0</v>
      </c>
      <c r="AA516" s="599" t="n">
        <v>2.3</v>
      </c>
      <c r="AB516" s="600" t="n">
        <v>250</v>
      </c>
      <c r="AC516" s="600" t="inlineStr">
        <is>
          <t>NOS</t>
        </is>
      </c>
      <c r="AD516" s="600" t="n"/>
      <c r="AE516" s="600" t="n"/>
      <c r="AF516" s="601" t="n"/>
      <c r="AG516" s="601" t="n"/>
      <c r="AH516" s="601">
        <f t="array" ref="AH5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6" s="602">
        <f>scheduleapr[[#This Row],[SCHEDULE in nos]]-scheduleapr[[#This Row],[DISPATCH]]</f>
        <v/>
      </c>
      <c r="AJ516" s="599">
        <f>(3.14*(scheduleapr[[#This Row],[ACTUAL OD]]-scheduleapr[[#This Row],[TICKNESS]])*scheduleapr[[#This Row],[TICKNESS]]*scheduleapr[[#This Row],[LENGTH]]*7.85)/1000000*scheduleapr[[#This Row],[SCHEDULE in nos]]/1000</f>
        <v/>
      </c>
      <c r="AK516" s="599">
        <f>(3.14*(scheduleapr[[#This Row],[ACTUAL OD]]-scheduleapr[[#This Row],[TICKNESS]])*scheduleapr[[#This Row],[TICKNESS]]*scheduleapr[[#This Row],[LENGTH]]*7.85)/1000000*scheduleapr[[#This Row],[DISPATCH]]/1000</f>
        <v/>
      </c>
      <c r="AL516" s="599">
        <f>AJ516-AK516</f>
        <v/>
      </c>
      <c r="AM516" s="599">
        <f>scheduleapr[[#This Row],[SCHEDULE in nos]]/scheduleapr[[#This Row],[SCHEDULE IN MT]]*scheduleapr[[#This Row],[CTL Stock]]</f>
        <v/>
      </c>
      <c r="AN516" s="599">
        <f>SUMIFS(stock[MT],stock[Bucket],scheduleapr[[#This Row],[Bucket]],stock[CTL Bucket],scheduleapr[[#This Row],[CTL Bucket]],stock[Plant],"0789")</f>
        <v/>
      </c>
      <c r="AO516" s="599" t="n"/>
      <c r="AP516" s="599">
        <f>SUMIFS(stock[MT],stock[Bucket],scheduleapr[[#This Row],[Bucket]],stock[LL or CTL],"LL")</f>
        <v/>
      </c>
      <c r="AQ516" s="599">
        <f>+SUMIFS(wip[Stock(Net Wt)],wip[Bucket],scheduleapr[[#This Row],[Bucket]])/1000</f>
        <v/>
      </c>
      <c r="AR516" s="599">
        <f>AJ516-AN516</f>
        <v/>
      </c>
      <c r="AS516" s="118" t="n"/>
    </row>
    <row r="517">
      <c r="A517" s="594" t="n">
        <v>429</v>
      </c>
      <c r="B517" s="5" t="inlineStr">
        <is>
          <t>Hosur</t>
        </is>
      </c>
      <c r="C517" s="601" t="inlineStr">
        <is>
          <t>RUCHA</t>
        </is>
      </c>
      <c r="D517" s="601" t="inlineStr">
        <is>
          <t>Rucha Hosur</t>
        </is>
      </c>
      <c r="E517" s="601" t="n">
        <v>188534</v>
      </c>
      <c r="F517" s="601" t="n">
        <v>2427712</v>
      </c>
      <c r="G517" s="601">
        <f>_xlfn.CONCAT(scheduleapr[[#This Row],[CUSTOMER CODE]],"-",scheduleapr[[#This Row],[MATERIAL NO]])</f>
        <v/>
      </c>
      <c r="H517" s="601" t="inlineStr">
        <is>
          <t>TUB-O-N-AUT-AW-PE-19.05X2.300X0.2550</t>
        </is>
      </c>
      <c r="I517" s="601" t="inlineStr">
        <is>
          <t>ERW 1</t>
        </is>
      </c>
      <c r="J517" s="601" t="n"/>
      <c r="K517" s="601" t="n"/>
      <c r="L517" s="601" t="inlineStr">
        <is>
          <t>HR</t>
        </is>
      </c>
      <c r="M517" s="601" t="n"/>
      <c r="N517" s="601" t="n"/>
      <c r="O517" s="601" t="n"/>
      <c r="P517" s="601" t="n"/>
      <c r="Q517" s="557">
        <f>CONCATENATE(scheduleapr[[#This Row],[OD]],"-",scheduleapr[[#This Row],[ID]],"-",scheduleapr[[#This Row],[TICKNESS]],"-",scheduleapr[[#This Row],[Grade]],"-",scheduleapr[[#This Row],[FC/NFC]])</f>
        <v/>
      </c>
      <c r="R517" s="557">
        <f>_xlfn.CONCAT(scheduleapr[[#This Row],[Bucket]],"-",scheduleapr[[#This Row],[LENGTH]]/1000)</f>
        <v/>
      </c>
      <c r="S517" s="557">
        <f>COUNTIF([2]!buckets[CTL Bucket],[2]!scheduleapr[[#This Row],[CTL Bucket]])</f>
        <v/>
      </c>
      <c r="T517" s="557" t="n"/>
      <c r="U517" s="557" t="n"/>
      <c r="V517" s="557" t="n"/>
      <c r="W517" s="557" t="n"/>
      <c r="X517" s="599" t="n">
        <v>19.05</v>
      </c>
      <c r="Y517" s="599" t="n">
        <v>19.05</v>
      </c>
      <c r="Z517" s="599" t="n">
        <v>0</v>
      </c>
      <c r="AA517" s="599" t="n">
        <v>2.3</v>
      </c>
      <c r="AB517" s="600" t="n">
        <v>255</v>
      </c>
      <c r="AC517" s="600" t="inlineStr">
        <is>
          <t>NOS</t>
        </is>
      </c>
      <c r="AD517" s="600" t="n"/>
      <c r="AE517" s="600" t="n"/>
      <c r="AF517" s="601" t="n"/>
      <c r="AG517" s="601" t="n"/>
      <c r="AH517" s="601">
        <f t="array" ref="AH5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7" s="602">
        <f>scheduleapr[[#This Row],[SCHEDULE in nos]]-scheduleapr[[#This Row],[DISPATCH]]</f>
        <v/>
      </c>
      <c r="AJ517" s="599">
        <f>(3.14*(scheduleapr[[#This Row],[ACTUAL OD]]-scheduleapr[[#This Row],[TICKNESS]])*scheduleapr[[#This Row],[TICKNESS]]*scheduleapr[[#This Row],[LENGTH]]*7.85)/1000000*scheduleapr[[#This Row],[SCHEDULE in nos]]/1000</f>
        <v/>
      </c>
      <c r="AK517" s="599">
        <f>(3.14*(scheduleapr[[#This Row],[ACTUAL OD]]-scheduleapr[[#This Row],[TICKNESS]])*scheduleapr[[#This Row],[TICKNESS]]*scheduleapr[[#This Row],[LENGTH]]*7.85)/1000000*scheduleapr[[#This Row],[DISPATCH]]/1000</f>
        <v/>
      </c>
      <c r="AL517" s="599">
        <f>AJ517-AK517</f>
        <v/>
      </c>
      <c r="AM517" s="599">
        <f>scheduleapr[[#This Row],[SCHEDULE in nos]]/scheduleapr[[#This Row],[SCHEDULE IN MT]]*scheduleapr[[#This Row],[CTL Stock]]</f>
        <v/>
      </c>
      <c r="AN517" s="599">
        <f>SUMIFS(stock[MT],stock[Bucket],scheduleapr[[#This Row],[Bucket]],stock[CTL Bucket],scheduleapr[[#This Row],[CTL Bucket]],stock[Plant],"0789")</f>
        <v/>
      </c>
      <c r="AO517" s="599" t="n"/>
      <c r="AP517" s="599">
        <f>SUMIFS(stock[MT],stock[Bucket],scheduleapr[[#This Row],[Bucket]],stock[LL or CTL],"LL")</f>
        <v/>
      </c>
      <c r="AQ517" s="599">
        <f>+SUMIFS(wip[Stock(Net Wt)],wip[Bucket],scheduleapr[[#This Row],[Bucket]])/1000</f>
        <v/>
      </c>
      <c r="AR517" s="599">
        <f>AJ517-AN517</f>
        <v/>
      </c>
      <c r="AS517" s="118" t="n"/>
    </row>
    <row r="518">
      <c r="A518" s="594" t="n">
        <v>430</v>
      </c>
      <c r="B518" s="5" t="inlineStr">
        <is>
          <t>Hosur</t>
        </is>
      </c>
      <c r="C518" s="601" t="inlineStr">
        <is>
          <t>RUCHA</t>
        </is>
      </c>
      <c r="D518" s="601" t="inlineStr">
        <is>
          <t>Rucha Hosur</t>
        </is>
      </c>
      <c r="E518" s="601" t="n">
        <v>188534</v>
      </c>
      <c r="F518" s="601" t="n"/>
      <c r="G518" s="601">
        <f>_xlfn.CONCAT(scheduleapr[[#This Row],[CUSTOMER CODE]],"-",scheduleapr[[#This Row],[MATERIAL NO]])</f>
        <v/>
      </c>
      <c r="H518" s="601" t="n"/>
      <c r="I518" s="601" t="inlineStr">
        <is>
          <t>ERW 1</t>
        </is>
      </c>
      <c r="J518" s="601" t="n"/>
      <c r="K518" s="601" t="inlineStr">
        <is>
          <t>PE</t>
        </is>
      </c>
      <c r="L518" s="601" t="inlineStr">
        <is>
          <t>HR</t>
        </is>
      </c>
      <c r="M518" s="601" t="n"/>
      <c r="N518" s="601" t="n"/>
      <c r="O518" s="601" t="n"/>
      <c r="P518" s="601" t="n"/>
      <c r="Q518" s="557">
        <f>CONCATENATE(scheduleapr[[#This Row],[OD]],"-",scheduleapr[[#This Row],[ID]],"-",scheduleapr[[#This Row],[TICKNESS]],"-",scheduleapr[[#This Row],[Grade]],"-",scheduleapr[[#This Row],[FC/NFC]])</f>
        <v/>
      </c>
      <c r="R518" s="557">
        <f>_xlfn.CONCAT(scheduleapr[[#This Row],[Bucket]],"-",scheduleapr[[#This Row],[LENGTH]]/1000)</f>
        <v/>
      </c>
      <c r="S518" s="557">
        <f>COUNTIF([2]!buckets[CTL Bucket],[2]!scheduleapr[[#This Row],[CTL Bucket]])</f>
        <v/>
      </c>
      <c r="T518" s="557" t="n"/>
      <c r="U518" s="557" t="n"/>
      <c r="V518" s="557" t="n"/>
      <c r="W518" s="557" t="n"/>
      <c r="X518" s="599" t="n">
        <v>19.05</v>
      </c>
      <c r="Y518" s="599" t="n">
        <v>19.05</v>
      </c>
      <c r="Z518" s="599" t="n">
        <v>0</v>
      </c>
      <c r="AA518" s="599" t="n">
        <v>2.3</v>
      </c>
      <c r="AB518" s="600" t="n">
        <v>278</v>
      </c>
      <c r="AC518" s="600" t="inlineStr">
        <is>
          <t>NOS</t>
        </is>
      </c>
      <c r="AD518" s="600" t="n"/>
      <c r="AE518" s="600" t="n"/>
      <c r="AF518" s="601" t="n"/>
      <c r="AG518" s="601" t="n"/>
      <c r="AH518" s="601">
        <f t="array" ref="AH5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8" s="602">
        <f>scheduleapr[[#This Row],[SCHEDULE in nos]]-scheduleapr[[#This Row],[DISPATCH]]</f>
        <v/>
      </c>
      <c r="AJ518" s="599">
        <f>(3.14*(scheduleapr[[#This Row],[ACTUAL OD]]-scheduleapr[[#This Row],[TICKNESS]])*scheduleapr[[#This Row],[TICKNESS]]*scheduleapr[[#This Row],[LENGTH]]*7.85)/1000000*scheduleapr[[#This Row],[SCHEDULE in nos]]/1000</f>
        <v/>
      </c>
      <c r="AK518" s="599">
        <f>(3.14*(scheduleapr[[#This Row],[ACTUAL OD]]-scheduleapr[[#This Row],[TICKNESS]])*scheduleapr[[#This Row],[TICKNESS]]*scheduleapr[[#This Row],[LENGTH]]*7.85)/1000000*scheduleapr[[#This Row],[DISPATCH]]/1000</f>
        <v/>
      </c>
      <c r="AL518" s="599">
        <f>AJ518-AK518</f>
        <v/>
      </c>
      <c r="AM518" s="599">
        <f>scheduleapr[[#This Row],[SCHEDULE in nos]]/scheduleapr[[#This Row],[SCHEDULE IN MT]]*scheduleapr[[#This Row],[CTL Stock]]</f>
        <v/>
      </c>
      <c r="AN518" s="599">
        <f>SUMIFS(stock[MT],stock[Bucket],scheduleapr[[#This Row],[Bucket]],stock[CTL Bucket],scheduleapr[[#This Row],[CTL Bucket]],stock[Plant],"0789")</f>
        <v/>
      </c>
      <c r="AO518" s="599" t="n"/>
      <c r="AP518" s="599">
        <f>SUMIFS(stock[MT],stock[Bucket],scheduleapr[[#This Row],[Bucket]],stock[LL or CTL],"LL")</f>
        <v/>
      </c>
      <c r="AQ518" s="599">
        <f>+SUMIFS(wip[Stock(Net Wt)],wip[Bucket],scheduleapr[[#This Row],[Bucket]])/1000</f>
        <v/>
      </c>
      <c r="AR518" s="599">
        <f>AJ518-AN518</f>
        <v/>
      </c>
      <c r="AS518" s="118" t="n"/>
    </row>
    <row r="519">
      <c r="A519" s="594" t="n">
        <v>431</v>
      </c>
      <c r="B519" s="5" t="inlineStr">
        <is>
          <t>Hosur</t>
        </is>
      </c>
      <c r="C519" s="601" t="inlineStr">
        <is>
          <t>RUCHA</t>
        </is>
      </c>
      <c r="D519" s="601" t="inlineStr">
        <is>
          <t>Rucha Hosur</t>
        </is>
      </c>
      <c r="E519" s="601" t="n">
        <v>188534</v>
      </c>
      <c r="F519" s="601" t="n">
        <v>1940312</v>
      </c>
      <c r="G519" s="601">
        <f>_xlfn.CONCAT(scheduleapr[[#This Row],[CUSTOMER CODE]],"-",scheduleapr[[#This Row],[MATERIAL NO]])</f>
        <v/>
      </c>
      <c r="H519" s="601" t="inlineStr">
        <is>
          <t>TUB-O-O-AUT-AW-PE-19.05X2.300X0.2950</t>
        </is>
      </c>
      <c r="I519" s="601" t="inlineStr">
        <is>
          <t>ERW 1</t>
        </is>
      </c>
      <c r="J519" s="601" t="n"/>
      <c r="K519" s="601" t="inlineStr">
        <is>
          <t>PE</t>
        </is>
      </c>
      <c r="L519" s="601" t="inlineStr">
        <is>
          <t>HR</t>
        </is>
      </c>
      <c r="M519" s="601" t="n"/>
      <c r="N519" s="601" t="n"/>
      <c r="O519" s="601" t="n"/>
      <c r="P519" s="601" t="n"/>
      <c r="Q519" s="557">
        <f>CONCATENATE(scheduleapr[[#This Row],[OD]],"-",scheduleapr[[#This Row],[ID]],"-",scheduleapr[[#This Row],[TICKNESS]],"-",scheduleapr[[#This Row],[Grade]],"-",scheduleapr[[#This Row],[FC/NFC]])</f>
        <v/>
      </c>
      <c r="R519" s="557">
        <f>_xlfn.CONCAT(scheduleapr[[#This Row],[Bucket]],"-",scheduleapr[[#This Row],[LENGTH]]/1000)</f>
        <v/>
      </c>
      <c r="S519" s="557">
        <f>COUNTIF([2]!buckets[CTL Bucket],[2]!scheduleapr[[#This Row],[CTL Bucket]])</f>
        <v/>
      </c>
      <c r="T519" s="601" t="inlineStr">
        <is>
          <t>Hosur</t>
        </is>
      </c>
      <c r="U519" s="601" t="inlineStr">
        <is>
          <t>Plan</t>
        </is>
      </c>
      <c r="V519" s="557" t="n"/>
      <c r="W519" s="557" t="n"/>
      <c r="X519" s="599" t="n">
        <v>19.05</v>
      </c>
      <c r="Y519" s="599" t="n">
        <v>19.05</v>
      </c>
      <c r="Z519" s="599" t="n">
        <v>0</v>
      </c>
      <c r="AA519" s="599" t="n">
        <v>2.3</v>
      </c>
      <c r="AB519" s="600" t="n">
        <v>295</v>
      </c>
      <c r="AC519" s="600" t="inlineStr">
        <is>
          <t>NOS</t>
        </is>
      </c>
      <c r="AD519" s="600" t="n"/>
      <c r="AE519" s="600" t="n"/>
      <c r="AF519" s="601" t="n"/>
      <c r="AG519" s="601" t="n"/>
      <c r="AH519" s="601">
        <f t="array" ref="AH5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19" s="602">
        <f>scheduleapr[[#This Row],[SCHEDULE in nos]]-scheduleapr[[#This Row],[DISPATCH]]</f>
        <v/>
      </c>
      <c r="AJ519" s="599">
        <f>(3.14*(scheduleapr[[#This Row],[ACTUAL OD]]-scheduleapr[[#This Row],[TICKNESS]])*scheduleapr[[#This Row],[TICKNESS]]*scheduleapr[[#This Row],[LENGTH]]*7.85)/1000000*scheduleapr[[#This Row],[SCHEDULE in nos]]/1000</f>
        <v/>
      </c>
      <c r="AK519" s="599">
        <f>(3.14*(scheduleapr[[#This Row],[ACTUAL OD]]-scheduleapr[[#This Row],[TICKNESS]])*scheduleapr[[#This Row],[TICKNESS]]*scheduleapr[[#This Row],[LENGTH]]*7.85)/1000000*scheduleapr[[#This Row],[DISPATCH]]/1000</f>
        <v/>
      </c>
      <c r="AL519" s="599">
        <f>AJ519-AK519</f>
        <v/>
      </c>
      <c r="AM519" s="599">
        <f>scheduleapr[[#This Row],[SCHEDULE in nos]]/scheduleapr[[#This Row],[SCHEDULE IN MT]]*scheduleapr[[#This Row],[CTL Stock]]</f>
        <v/>
      </c>
      <c r="AN519" s="599">
        <f>SUMIFS(stock[MT],stock[Bucket],scheduleapr[[#This Row],[Bucket]],stock[CTL Bucket],scheduleapr[[#This Row],[CTL Bucket]],stock[Plant],"0789")</f>
        <v/>
      </c>
      <c r="AO519" s="599" t="n"/>
      <c r="AP519" s="599">
        <f>SUMIFS(stock[MT],stock[Bucket],scheduleapr[[#This Row],[Bucket]],stock[LL or CTL],"LL")</f>
        <v/>
      </c>
      <c r="AQ519" s="599">
        <f>+SUMIFS(wip[Stock(Net Wt)],wip[Bucket],scheduleapr[[#This Row],[Bucket]])/1000</f>
        <v/>
      </c>
      <c r="AR519" s="599">
        <f>AJ519-AN519</f>
        <v/>
      </c>
      <c r="AS519" s="118" t="n"/>
    </row>
    <row r="520">
      <c r="A520" s="594" t="n">
        <v>432</v>
      </c>
      <c r="B520" s="5" t="inlineStr">
        <is>
          <t>Hosur</t>
        </is>
      </c>
      <c r="C520" s="601" t="inlineStr">
        <is>
          <t>RUCHA</t>
        </is>
      </c>
      <c r="D520" s="601" t="inlineStr">
        <is>
          <t>Rucha Hosur</t>
        </is>
      </c>
      <c r="E520" s="601" t="n">
        <v>188534</v>
      </c>
      <c r="F520" s="601" t="n">
        <v>3732180</v>
      </c>
      <c r="G520" s="601">
        <f>_xlfn.CONCAT(scheduleapr[[#This Row],[CUSTOMER CODE]],"-",scheduleapr[[#This Row],[MATERIAL NO]])</f>
        <v/>
      </c>
      <c r="H520" s="601" t="inlineStr">
        <is>
          <t>TUB-O-O-AUT-AW-FC-25.40X1.600X0.2080</t>
        </is>
      </c>
      <c r="I520" s="601" t="inlineStr">
        <is>
          <t>ERW 1</t>
        </is>
      </c>
      <c r="J520" s="601" t="n"/>
      <c r="K520" s="601" t="inlineStr">
        <is>
          <t>FC</t>
        </is>
      </c>
      <c r="L520" s="601" t="inlineStr">
        <is>
          <t>CR</t>
        </is>
      </c>
      <c r="M520" s="596" t="inlineStr">
        <is>
          <t>NORMAL</t>
        </is>
      </c>
      <c r="N520" s="601" t="n"/>
      <c r="O520" s="601" t="n"/>
      <c r="P520" s="601" t="n"/>
      <c r="Q520" s="557">
        <f>CONCATENATE(scheduleapr[[#This Row],[OD]],"-",scheduleapr[[#This Row],[ID]],"-",scheduleapr[[#This Row],[TICKNESS]],"-",scheduleapr[[#This Row],[Grade]],"-",scheduleapr[[#This Row],[FC/NFC]])</f>
        <v/>
      </c>
      <c r="R520" s="557">
        <f>_xlfn.CONCAT(scheduleapr[[#This Row],[Bucket]],"-",scheduleapr[[#This Row],[LENGTH]]/1000)</f>
        <v/>
      </c>
      <c r="S520" s="557">
        <f>COUNTIF([2]!buckets[CTL Bucket],[2]!scheduleapr[[#This Row],[CTL Bucket]])</f>
        <v/>
      </c>
      <c r="T520" s="601" t="inlineStr">
        <is>
          <t>Hosur</t>
        </is>
      </c>
      <c r="U520" s="601" t="n"/>
      <c r="V520" s="557" t="n"/>
      <c r="W520" s="557" t="n"/>
      <c r="X520" s="599" t="n">
        <v>25.4</v>
      </c>
      <c r="Y520" s="599" t="n">
        <v>25.4</v>
      </c>
      <c r="Z520" s="599" t="n">
        <v>0</v>
      </c>
      <c r="AA520" s="599" t="n">
        <v>1.6</v>
      </c>
      <c r="AB520" s="600" t="n">
        <v>208</v>
      </c>
      <c r="AC520" s="600" t="inlineStr">
        <is>
          <t>NOS</t>
        </is>
      </c>
      <c r="AD520" s="600" t="n"/>
      <c r="AE520" s="600" t="n"/>
      <c r="AF520" s="601" t="n"/>
      <c r="AG520" s="601" t="n"/>
      <c r="AH520" s="601">
        <f t="array" ref="AH5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0" s="602">
        <f>scheduleapr[[#This Row],[SCHEDULE in nos]]-scheduleapr[[#This Row],[DISPATCH]]</f>
        <v/>
      </c>
      <c r="AJ520" s="599">
        <f>(3.14*(scheduleapr[[#This Row],[ACTUAL OD]]-scheduleapr[[#This Row],[TICKNESS]])*scheduleapr[[#This Row],[TICKNESS]]*scheduleapr[[#This Row],[LENGTH]]*7.85)/1000000*scheduleapr[[#This Row],[SCHEDULE in nos]]/1000</f>
        <v/>
      </c>
      <c r="AK520" s="599">
        <f>(3.14*(scheduleapr[[#This Row],[ACTUAL OD]]-scheduleapr[[#This Row],[TICKNESS]])*scheduleapr[[#This Row],[TICKNESS]]*scheduleapr[[#This Row],[LENGTH]]*7.85)/1000000*scheduleapr[[#This Row],[DISPATCH]]/1000</f>
        <v/>
      </c>
      <c r="AL520" s="599">
        <f>AJ520-AK520</f>
        <v/>
      </c>
      <c r="AM520" s="599">
        <f>scheduleapr[[#This Row],[SCHEDULE in nos]]/scheduleapr[[#This Row],[SCHEDULE IN MT]]*scheduleapr[[#This Row],[CTL Stock]]</f>
        <v/>
      </c>
      <c r="AN520" s="599">
        <f>SUMIFS(stock[MT],stock[Bucket],scheduleapr[[#This Row],[Bucket]],stock[CTL Bucket],scheduleapr[[#This Row],[CTL Bucket]],stock[Plant],"0789")</f>
        <v/>
      </c>
      <c r="AO520" s="599" t="n"/>
      <c r="AP520" s="599">
        <f>SUMIFS(stock[MT],stock[Bucket],scheduleapr[[#This Row],[Bucket]],stock[LL or CTL],"LL")</f>
        <v/>
      </c>
      <c r="AQ520" s="599">
        <f>+SUMIFS(wip[Stock(Net Wt)],wip[Bucket],scheduleapr[[#This Row],[Bucket]])/1000</f>
        <v/>
      </c>
      <c r="AR520" s="599">
        <f>AJ520-AN520</f>
        <v/>
      </c>
      <c r="AS520" s="118" t="n"/>
    </row>
    <row r="521">
      <c r="A521" s="594" t="n">
        <v>433</v>
      </c>
      <c r="B521" s="5" t="inlineStr">
        <is>
          <t>Hosur</t>
        </is>
      </c>
      <c r="C521" s="601" t="inlineStr">
        <is>
          <t>RUCHA</t>
        </is>
      </c>
      <c r="D521" s="601" t="inlineStr">
        <is>
          <t>Rucha Hosur</t>
        </is>
      </c>
      <c r="E521" s="601" t="n">
        <v>188534</v>
      </c>
      <c r="F521" s="601" t="n">
        <v>3732181</v>
      </c>
      <c r="G521" s="601">
        <f>_xlfn.CONCAT(scheduleapr[[#This Row],[CUSTOMER CODE]],"-",scheduleapr[[#This Row],[MATERIAL NO]])</f>
        <v/>
      </c>
      <c r="H521" s="601" t="inlineStr">
        <is>
          <t>TUB-O-O-AUT-AW-FC-25.40X2.000X0.2830</t>
        </is>
      </c>
      <c r="I521" s="601" t="inlineStr">
        <is>
          <t>ERW 1</t>
        </is>
      </c>
      <c r="J521" s="601" t="n"/>
      <c r="K521" s="601" t="n"/>
      <c r="L521" s="601" t="inlineStr">
        <is>
          <t>HR</t>
        </is>
      </c>
      <c r="M521" s="601" t="n"/>
      <c r="N521" s="601" t="n"/>
      <c r="O521" s="601" t="n"/>
      <c r="P521" s="601" t="n"/>
      <c r="Q521" s="557">
        <f>CONCATENATE(scheduleapr[[#This Row],[OD]],"-",scheduleapr[[#This Row],[ID]],"-",scheduleapr[[#This Row],[TICKNESS]],"-",scheduleapr[[#This Row],[Grade]],"-",scheduleapr[[#This Row],[FC/NFC]])</f>
        <v/>
      </c>
      <c r="R521" s="557">
        <f>_xlfn.CONCAT(scheduleapr[[#This Row],[Bucket]],"-",scheduleapr[[#This Row],[LENGTH]]/1000)</f>
        <v/>
      </c>
      <c r="S521" s="557">
        <f>COUNTIF([2]!buckets[CTL Bucket],[2]!scheduleapr[[#This Row],[CTL Bucket]])</f>
        <v/>
      </c>
      <c r="T521" s="557" t="n"/>
      <c r="U521" s="557" t="n"/>
      <c r="V521" s="557" t="n"/>
      <c r="W521" s="557" t="n"/>
      <c r="X521" s="599" t="n">
        <v>25.4</v>
      </c>
      <c r="Y521" s="599" t="n">
        <v>25.4</v>
      </c>
      <c r="Z521" s="599" t="n">
        <v>0</v>
      </c>
      <c r="AA521" s="599" t="n">
        <v>2</v>
      </c>
      <c r="AB521" s="600" t="n">
        <v>283</v>
      </c>
      <c r="AC521" s="600" t="inlineStr">
        <is>
          <t>NOS</t>
        </is>
      </c>
      <c r="AD521" s="600" t="n"/>
      <c r="AE521" s="600" t="n"/>
      <c r="AF521" s="601" t="n"/>
      <c r="AG521" s="601" t="n"/>
      <c r="AH521" s="601">
        <f t="array" ref="AH5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1" s="602">
        <f>scheduleapr[[#This Row],[SCHEDULE in nos]]-scheduleapr[[#This Row],[DISPATCH]]</f>
        <v/>
      </c>
      <c r="AJ521" s="599">
        <f>(3.14*(scheduleapr[[#This Row],[ACTUAL OD]]-scheduleapr[[#This Row],[TICKNESS]])*scheduleapr[[#This Row],[TICKNESS]]*scheduleapr[[#This Row],[LENGTH]]*7.85)/1000000*scheduleapr[[#This Row],[SCHEDULE in nos]]/1000</f>
        <v/>
      </c>
      <c r="AK521" s="599">
        <f>(3.14*(scheduleapr[[#This Row],[ACTUAL OD]]-scheduleapr[[#This Row],[TICKNESS]])*scheduleapr[[#This Row],[TICKNESS]]*scheduleapr[[#This Row],[LENGTH]]*7.85)/1000000*scheduleapr[[#This Row],[DISPATCH]]/1000</f>
        <v/>
      </c>
      <c r="AL521" s="599">
        <f>AJ521-AK521</f>
        <v/>
      </c>
      <c r="AM521" s="599">
        <f>scheduleapr[[#This Row],[SCHEDULE in nos]]/scheduleapr[[#This Row],[SCHEDULE IN MT]]*scheduleapr[[#This Row],[CTL Stock]]</f>
        <v/>
      </c>
      <c r="AN521" s="599">
        <f>SUMIFS(stock[MT],stock[Bucket],scheduleapr[[#This Row],[Bucket]],stock[CTL Bucket],scheduleapr[[#This Row],[CTL Bucket]],stock[Plant],"0789")</f>
        <v/>
      </c>
      <c r="AO521" s="599" t="n"/>
      <c r="AP521" s="599">
        <f>SUMIFS(stock[MT],stock[Bucket],scheduleapr[[#This Row],[Bucket]],stock[LL or CTL],"LL")</f>
        <v/>
      </c>
      <c r="AQ521" s="599">
        <f>+SUMIFS(wip[Stock(Net Wt)],wip[Bucket],scheduleapr[[#This Row],[Bucket]])/1000</f>
        <v/>
      </c>
      <c r="AR521" s="599">
        <f>AJ521-AN521</f>
        <v/>
      </c>
      <c r="AS521" s="118" t="n"/>
    </row>
    <row r="522">
      <c r="A522" s="594" t="n">
        <v>434</v>
      </c>
      <c r="B522" s="5" t="inlineStr">
        <is>
          <t>Hosur</t>
        </is>
      </c>
      <c r="C522" s="601" t="inlineStr">
        <is>
          <t>Rucha</t>
        </is>
      </c>
      <c r="D522" s="601" t="inlineStr">
        <is>
          <t>Rucha Hosur</t>
        </is>
      </c>
      <c r="E522" s="601" t="n">
        <v>188534</v>
      </c>
      <c r="F522" s="601" t="n"/>
      <c r="G522" s="601">
        <f>_xlfn.CONCAT(scheduleapr[[#This Row],[CUSTOMER CODE]],"-",scheduleapr[[#This Row],[MATERIAL NO]])</f>
        <v/>
      </c>
      <c r="H522" s="601" t="n"/>
      <c r="I522" s="601" t="inlineStr">
        <is>
          <t>ERW 1</t>
        </is>
      </c>
      <c r="J522" s="601" t="n"/>
      <c r="K522" s="601" t="inlineStr">
        <is>
          <t>FC</t>
        </is>
      </c>
      <c r="L522" s="601" t="inlineStr">
        <is>
          <t>HR</t>
        </is>
      </c>
      <c r="M522" s="601" t="n"/>
      <c r="N522" s="601" t="n"/>
      <c r="O522" s="601" t="n"/>
      <c r="P522" s="601" t="n"/>
      <c r="Q522" s="557">
        <f>CONCATENATE(scheduleapr[[#This Row],[OD]],"-",scheduleapr[[#This Row],[ID]],"-",scheduleapr[[#This Row],[TICKNESS]],"-",scheduleapr[[#This Row],[Grade]],"-",scheduleapr[[#This Row],[FC/NFC]])</f>
        <v/>
      </c>
      <c r="R522" s="557">
        <f>_xlfn.CONCAT(scheduleapr[[#This Row],[Bucket]],"-",scheduleapr[[#This Row],[LENGTH]]/1000)</f>
        <v/>
      </c>
      <c r="S522" s="557">
        <f>COUNTIF([2]!buckets[CTL Bucket],[2]!scheduleapr[[#This Row],[CTL Bucket]])</f>
        <v/>
      </c>
      <c r="T522" s="557" t="n"/>
      <c r="U522" s="601">
        <f>_xlfn.IFNA(VLOOKUP(scheduleapr[[#This Row],[Bucket]],salesforecast[[#All],[Bucket2]:[8406 Stock]],19,0),0)</f>
        <v/>
      </c>
      <c r="V522" s="562">
        <f>_xlfn.IFNA(VLOOKUP(scheduleapr[[#This Row],[Bucket]],salesforecast[[#All],[Bucket2]:[8406 Stock]],20,0),0)+_xlfn.IFNA(VLOOKUP(scheduleapr[[#This Row],[Bucket]],salesforecast[[#All],[Bucket2]:[8406 Stock]],17,0),0)</f>
        <v/>
      </c>
      <c r="W522" s="557" t="n"/>
      <c r="X522" s="599" t="n">
        <v>31.75</v>
      </c>
      <c r="Y522" s="599" t="n">
        <v>31.75</v>
      </c>
      <c r="Z522" s="599" t="n">
        <v>0</v>
      </c>
      <c r="AA522" s="599" t="n">
        <v>2.3</v>
      </c>
      <c r="AB522" s="600" t="n">
        <v>193</v>
      </c>
      <c r="AC522" s="600" t="inlineStr">
        <is>
          <t>NOS</t>
        </is>
      </c>
      <c r="AD522" s="600" t="n"/>
      <c r="AE522" s="600" t="n"/>
      <c r="AF522" s="601" t="n"/>
      <c r="AG522" s="601" t="n"/>
      <c r="AH522" s="601">
        <f t="array" ref="AH5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2" s="602">
        <f>scheduleapr[[#This Row],[SCHEDULE in nos]]-scheduleapr[[#This Row],[DISPATCH]]</f>
        <v/>
      </c>
      <c r="AJ522" s="599">
        <f>(3.14*(scheduleapr[[#This Row],[ACTUAL OD]]-scheduleapr[[#This Row],[TICKNESS]])*scheduleapr[[#This Row],[TICKNESS]]*scheduleapr[[#This Row],[LENGTH]]*7.85)/1000000*scheduleapr[[#This Row],[SCHEDULE in nos]]/1000</f>
        <v/>
      </c>
      <c r="AK522" s="599">
        <f>(3.14*(scheduleapr[[#This Row],[ACTUAL OD]]-scheduleapr[[#This Row],[TICKNESS]])*scheduleapr[[#This Row],[TICKNESS]]*scheduleapr[[#This Row],[LENGTH]]*7.85)/1000000*scheduleapr[[#This Row],[DISPATCH]]/1000</f>
        <v/>
      </c>
      <c r="AL522" s="599">
        <f>AJ522-AK522</f>
        <v/>
      </c>
      <c r="AM522" s="599">
        <f>scheduleapr[[#This Row],[SCHEDULE in nos]]/scheduleapr[[#This Row],[SCHEDULE IN MT]]*scheduleapr[[#This Row],[CTL Stock]]</f>
        <v/>
      </c>
      <c r="AN522" s="599">
        <f>SUMIFS(stock[MT],stock[Bucket],scheduleapr[[#This Row],[Bucket]],stock[CTL Bucket],scheduleapr[[#This Row],[CTL Bucket]],stock[Plant],"0789")</f>
        <v/>
      </c>
      <c r="AO522" s="599" t="n"/>
      <c r="AP522" s="599">
        <f>SUMIFS(stock[MT],stock[Bucket],scheduleapr[[#This Row],[Bucket]],stock[LL or CTL],"LL")</f>
        <v/>
      </c>
      <c r="AQ522" s="599">
        <f>+SUMIFS(wip[Stock(Net Wt)],wip[Bucket],scheduleapr[[#This Row],[Bucket]])/1000</f>
        <v/>
      </c>
      <c r="AR522" s="599">
        <f>AJ522-AN522</f>
        <v/>
      </c>
      <c r="AS522" s="118" t="n"/>
    </row>
    <row r="523">
      <c r="A523" s="594" t="n">
        <v>436</v>
      </c>
      <c r="B523" s="5" t="inlineStr">
        <is>
          <t xml:space="preserve">JSR </t>
        </is>
      </c>
      <c r="C523" s="601" t="inlineStr">
        <is>
          <t>RUCHA</t>
        </is>
      </c>
      <c r="D523" s="601" t="inlineStr">
        <is>
          <t>Rucha Hosur</t>
        </is>
      </c>
      <c r="E523" s="601" t="n">
        <v>188534</v>
      </c>
      <c r="F523" s="601" t="n">
        <v>3767397</v>
      </c>
      <c r="G523" s="601">
        <f>_xlfn.CONCAT(scheduleapr[[#This Row],[CUSTOMER CODE]],"-",scheduleapr[[#This Row],[MATERIAL NO]])</f>
        <v/>
      </c>
      <c r="H523" s="601" t="n"/>
      <c r="I523" s="601" t="inlineStr">
        <is>
          <t>ERW 1</t>
        </is>
      </c>
      <c r="J523" s="601" t="n"/>
      <c r="K523" s="601" t="inlineStr">
        <is>
          <t>FC</t>
        </is>
      </c>
      <c r="L523" s="601" t="inlineStr">
        <is>
          <t>HR</t>
        </is>
      </c>
      <c r="M523" s="601" t="n"/>
      <c r="N523" s="601" t="n"/>
      <c r="O523" s="601" t="n"/>
      <c r="P523" s="601" t="n"/>
      <c r="Q523" s="557">
        <f>CONCATENATE(scheduleapr[[#This Row],[OD]],"-",scheduleapr[[#This Row],[ID]],"-",scheduleapr[[#This Row],[TICKNESS]],"-",scheduleapr[[#This Row],[Grade]],"-",scheduleapr[[#This Row],[FC/NFC]])</f>
        <v/>
      </c>
      <c r="R523" s="557">
        <f>_xlfn.CONCAT(scheduleapr[[#This Row],[Bucket]],"-",scheduleapr[[#This Row],[LENGTH]]/1000)</f>
        <v/>
      </c>
      <c r="S523" s="557">
        <f>COUNTIF([2]!buckets[CTL Bucket],[2]!scheduleapr[[#This Row],[CTL Bucket]])</f>
        <v/>
      </c>
      <c r="T523" s="557" t="n"/>
      <c r="U523" s="557" t="n"/>
      <c r="V523" s="557" t="n"/>
      <c r="W523" s="557" t="n"/>
      <c r="X523" s="599" t="n">
        <v>38.1</v>
      </c>
      <c r="Y523" s="599" t="n">
        <v>38.1</v>
      </c>
      <c r="Z523" s="599" t="n">
        <v>0</v>
      </c>
      <c r="AA523" s="599" t="n">
        <v>2</v>
      </c>
      <c r="AB523" s="600" t="n">
        <v>278</v>
      </c>
      <c r="AC523" s="600" t="inlineStr">
        <is>
          <t>NOS</t>
        </is>
      </c>
      <c r="AD523" s="600" t="n"/>
      <c r="AE523" s="600" t="n"/>
      <c r="AF523" s="601" t="n"/>
      <c r="AG523" s="601" t="n"/>
      <c r="AH523" s="601">
        <f t="array" ref="AH5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3" s="602">
        <f>scheduleapr[[#This Row],[SCHEDULE in nos]]-scheduleapr[[#This Row],[DISPATCH]]</f>
        <v/>
      </c>
      <c r="AJ523" s="599">
        <f>(3.14*(scheduleapr[[#This Row],[ACTUAL OD]]-scheduleapr[[#This Row],[TICKNESS]])*scheduleapr[[#This Row],[TICKNESS]]*scheduleapr[[#This Row],[LENGTH]]*7.85)/1000000*scheduleapr[[#This Row],[SCHEDULE in nos]]/1000</f>
        <v/>
      </c>
      <c r="AK523" s="599">
        <f>(3.14*(scheduleapr[[#This Row],[ACTUAL OD]]-scheduleapr[[#This Row],[TICKNESS]])*scheduleapr[[#This Row],[TICKNESS]]*scheduleapr[[#This Row],[LENGTH]]*7.85)/1000000*scheduleapr[[#This Row],[DISPATCH]]/1000</f>
        <v/>
      </c>
      <c r="AL523" s="599">
        <f>AJ523-AK523</f>
        <v/>
      </c>
      <c r="AM523" s="599">
        <f>scheduleapr[[#This Row],[SCHEDULE in nos]]/scheduleapr[[#This Row],[SCHEDULE IN MT]]*scheduleapr[[#This Row],[CTL Stock]]</f>
        <v/>
      </c>
      <c r="AN523" s="599">
        <f>SUMIFS(stock[MT],stock[Bucket],scheduleapr[[#This Row],[Bucket]],stock[CTL Bucket],scheduleapr[[#This Row],[CTL Bucket]],stock[Plant],"0789")</f>
        <v/>
      </c>
      <c r="AO523" s="599" t="n"/>
      <c r="AP523" s="599">
        <f>SUMIFS(stock[MT],stock[Bucket],scheduleapr[[#This Row],[Bucket]],stock[LL or CTL],"LL")</f>
        <v/>
      </c>
      <c r="AQ523" s="599">
        <f>+SUMIFS(wip[Stock(Net Wt)],wip[Bucket],scheduleapr[[#This Row],[Bucket]])/1000</f>
        <v/>
      </c>
      <c r="AR523" s="599">
        <f>AJ523-AN523</f>
        <v/>
      </c>
      <c r="AS523" s="118" t="n"/>
    </row>
    <row r="524">
      <c r="A524" s="594" t="n">
        <v>438</v>
      </c>
      <c r="B524" s="5" t="inlineStr">
        <is>
          <t>Hosur</t>
        </is>
      </c>
      <c r="C524" s="601" t="inlineStr">
        <is>
          <t>RUCHA</t>
        </is>
      </c>
      <c r="D524" s="601" t="inlineStr">
        <is>
          <t>Rucha Hosur</t>
        </is>
      </c>
      <c r="E524" s="601" t="n">
        <v>188534</v>
      </c>
      <c r="F524" s="601" t="n">
        <v>2440971</v>
      </c>
      <c r="G524" s="601">
        <f>_xlfn.CONCAT(scheduleapr[[#This Row],[CUSTOMER CODE]],"-",scheduleapr[[#This Row],[MATERIAL NO]])</f>
        <v/>
      </c>
      <c r="H524" s="601" t="inlineStr">
        <is>
          <t>TUB-R-AW-AUT-40.00X25.00X1.600X0.3180</t>
        </is>
      </c>
      <c r="I524" s="601" t="inlineStr">
        <is>
          <t>ERW 1</t>
        </is>
      </c>
      <c r="J524" s="601" t="n"/>
      <c r="K524" s="601" t="inlineStr">
        <is>
          <t>FC</t>
        </is>
      </c>
      <c r="L524" s="601" t="inlineStr">
        <is>
          <t>CR</t>
        </is>
      </c>
      <c r="M524" s="596" t="inlineStr">
        <is>
          <t>HROP</t>
        </is>
      </c>
      <c r="N524" s="601" t="n"/>
      <c r="O524" s="601" t="n"/>
      <c r="P524" s="601" t="n"/>
      <c r="Q524" s="557">
        <f>CONCATENATE(scheduleapr[[#This Row],[OD]],"-",scheduleapr[[#This Row],[ID]],"-",scheduleapr[[#This Row],[TICKNESS]],"-",scheduleapr[[#This Row],[Grade]],"-",scheduleapr[[#This Row],[FC/NFC]])</f>
        <v/>
      </c>
      <c r="R524" s="557">
        <f>_xlfn.CONCAT(scheduleapr[[#This Row],[Bucket]],"-",scheduleapr[[#This Row],[LENGTH]]/1000)</f>
        <v/>
      </c>
      <c r="S524" s="557">
        <f>COUNTIF(scheduleapr[CTL Bucket],scheduleapr[[#This Row],[CTL Bucket]])</f>
        <v/>
      </c>
      <c r="T524" s="601" t="inlineStr">
        <is>
          <t>Hosur</t>
        </is>
      </c>
      <c r="U524" s="601" t="n"/>
      <c r="V524" s="557" t="n"/>
      <c r="W524" s="557" t="n"/>
      <c r="X524" s="599" t="n">
        <v>41.28</v>
      </c>
      <c r="Y524" s="599" t="n">
        <v>40</v>
      </c>
      <c r="Z524" s="599" t="n">
        <v>25</v>
      </c>
      <c r="AA524" s="599" t="n">
        <v>1.6</v>
      </c>
      <c r="AB524" s="600" t="n">
        <v>318</v>
      </c>
      <c r="AC524" s="600" t="inlineStr">
        <is>
          <t>NOS</t>
        </is>
      </c>
      <c r="AD524" s="600" t="n"/>
      <c r="AE524" s="600" t="n"/>
      <c r="AF524" s="601" t="n"/>
      <c r="AG524" s="601" t="n"/>
      <c r="AH524" s="601">
        <f t="array" ref="AH5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4" s="602">
        <f>scheduleapr[[#This Row],[SCHEDULE in nos]]-scheduleapr[[#This Row],[DISPATCH]]</f>
        <v/>
      </c>
      <c r="AJ524" s="599">
        <f>(3.14*(scheduleapr[[#This Row],[ACTUAL OD]]-scheduleapr[[#This Row],[TICKNESS]])*scheduleapr[[#This Row],[TICKNESS]]*scheduleapr[[#This Row],[LENGTH]]*7.85)/1000000*scheduleapr[[#This Row],[SCHEDULE in nos]]/1000</f>
        <v/>
      </c>
      <c r="AK524" s="599">
        <f>(3.14*(scheduleapr[[#This Row],[ACTUAL OD]]-scheduleapr[[#This Row],[TICKNESS]])*scheduleapr[[#This Row],[TICKNESS]]*scheduleapr[[#This Row],[LENGTH]]*7.85)/1000000*scheduleapr[[#This Row],[DISPATCH]]/1000</f>
        <v/>
      </c>
      <c r="AL524" s="599">
        <f>AJ524-AK524</f>
        <v/>
      </c>
      <c r="AM524" s="599">
        <f>scheduleapr[[#This Row],[SCHEDULE in nos]]/scheduleapr[[#This Row],[SCHEDULE IN MT]]*scheduleapr[[#This Row],[CTL Stock]]</f>
        <v/>
      </c>
      <c r="AN524" s="599">
        <f>SUMIFS(stock[MT],stock[Bucket],scheduleapr[[#This Row],[Bucket]],stock[CTL Bucket],scheduleapr[[#This Row],[CTL Bucket]],stock[Plant],"0789")</f>
        <v/>
      </c>
      <c r="AO524" s="599" t="n"/>
      <c r="AP524" s="599">
        <f>SUMIFS(stock[MT],stock[Bucket],scheduleapr[[#This Row],[Bucket]],stock[LL or CTL],"LL")</f>
        <v/>
      </c>
      <c r="AQ524" s="599">
        <f>+SUMIFS(wip[Stock(Net Wt)],wip[Bucket],scheduleapr[[#This Row],[Bucket]])/1000</f>
        <v/>
      </c>
      <c r="AR524" s="599">
        <f>AJ524-AN524</f>
        <v/>
      </c>
      <c r="AS524" s="118" t="n"/>
    </row>
    <row r="525">
      <c r="A525" s="594" t="n">
        <v>439</v>
      </c>
      <c r="B525" s="5" t="inlineStr">
        <is>
          <t xml:space="preserve">Khopoli </t>
        </is>
      </c>
      <c r="C525" s="601" t="inlineStr">
        <is>
          <t>RUCHA</t>
        </is>
      </c>
      <c r="D525" s="601" t="inlineStr">
        <is>
          <t>Rucha Hosur</t>
        </is>
      </c>
      <c r="E525" s="601" t="n">
        <v>188534</v>
      </c>
      <c r="F525" s="601" t="n">
        <v>3433148</v>
      </c>
      <c r="G525" s="601">
        <f>_xlfn.CONCAT(scheduleapr[[#This Row],[CUSTOMER CODE]],"-",scheduleapr[[#This Row],[MATERIAL NO]])</f>
        <v/>
      </c>
      <c r="H525" s="601" t="inlineStr">
        <is>
          <t>TUB-O-N-AUT-BH-FC-42.70X3.500X0.2470</t>
        </is>
      </c>
      <c r="I525" s="601" t="inlineStr">
        <is>
          <t>ERW 1</t>
        </is>
      </c>
      <c r="J525" s="601" t="inlineStr">
        <is>
          <t>Annealed</t>
        </is>
      </c>
      <c r="K525" s="601" t="inlineStr">
        <is>
          <t>FC</t>
        </is>
      </c>
      <c r="L525" s="601" t="inlineStr">
        <is>
          <t>HR</t>
        </is>
      </c>
      <c r="M525" s="601" t="n"/>
      <c r="N525" s="601" t="inlineStr">
        <is>
          <t>Chamferring</t>
        </is>
      </c>
      <c r="O525" s="601" t="n"/>
      <c r="P525" s="601" t="n"/>
      <c r="Q525" s="557">
        <f>CONCATENATE(scheduleapr[[#This Row],[OD]],"-",scheduleapr[[#This Row],[ID]],"-",scheduleapr[[#This Row],[TICKNESS]],"-",scheduleapr[[#This Row],[Grade]],"-",scheduleapr[[#This Row],[FC/NFC]])</f>
        <v/>
      </c>
      <c r="R525" s="557">
        <f>_xlfn.CONCAT(scheduleapr[[#This Row],[Bucket]],"-",scheduleapr[[#This Row],[LENGTH]]/1000)</f>
        <v/>
      </c>
      <c r="S525" s="557">
        <f>COUNTIF([2]!buckets[CTL Bucket],[2]!scheduleapr[[#This Row],[CTL Bucket]])</f>
        <v/>
      </c>
      <c r="T525" s="601" t="inlineStr">
        <is>
          <t>Khopoli</t>
        </is>
      </c>
      <c r="U525" s="601" t="inlineStr">
        <is>
          <t>Plan</t>
        </is>
      </c>
      <c r="V525" s="557" t="n"/>
      <c r="W525" s="557" t="n"/>
      <c r="X525" s="599" t="n">
        <v>42.7</v>
      </c>
      <c r="Y525" s="599" t="n">
        <v>42.7</v>
      </c>
      <c r="Z525" s="599" t="n">
        <v>0</v>
      </c>
      <c r="AA525" s="599" t="n">
        <v>3.5</v>
      </c>
      <c r="AB525" s="600" t="n">
        <v>247</v>
      </c>
      <c r="AC525" s="600" t="inlineStr">
        <is>
          <t>NOS</t>
        </is>
      </c>
      <c r="AD525" s="600" t="n"/>
      <c r="AE525" s="600" t="n"/>
      <c r="AF525" s="601" t="n"/>
      <c r="AG525" s="601" t="n"/>
      <c r="AH525" s="601">
        <f t="array" ref="AH5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5" s="602">
        <f>scheduleapr[[#This Row],[SCHEDULE in nos]]-scheduleapr[[#This Row],[DISPATCH]]</f>
        <v/>
      </c>
      <c r="AJ525" s="599">
        <f>(3.14*(scheduleapr[[#This Row],[ACTUAL OD]]-scheduleapr[[#This Row],[TICKNESS]])*scheduleapr[[#This Row],[TICKNESS]]*scheduleapr[[#This Row],[LENGTH]]*7.85)/1000000*scheduleapr[[#This Row],[SCHEDULE in nos]]/1000</f>
        <v/>
      </c>
      <c r="AK525" s="599">
        <f>(3.14*(scheduleapr[[#This Row],[ACTUAL OD]]-scheduleapr[[#This Row],[TICKNESS]])*scheduleapr[[#This Row],[TICKNESS]]*scheduleapr[[#This Row],[LENGTH]]*7.85)/1000000*scheduleapr[[#This Row],[DISPATCH]]/1000</f>
        <v/>
      </c>
      <c r="AL525" s="599">
        <f>AJ525-AK525</f>
        <v/>
      </c>
      <c r="AM525" s="599">
        <f>scheduleapr[[#This Row],[SCHEDULE in nos]]/scheduleapr[[#This Row],[SCHEDULE IN MT]]*scheduleapr[[#This Row],[CTL Stock]]</f>
        <v/>
      </c>
      <c r="AN525" s="599">
        <f>SUMIFS(stock[MT],stock[Bucket],scheduleapr[[#This Row],[Bucket]],stock[CTL Bucket],scheduleapr[[#This Row],[CTL Bucket]],stock[Plant],"0789")</f>
        <v/>
      </c>
      <c r="AO525" s="599" t="n"/>
      <c r="AP525" s="599">
        <f>SUMIFS(stock[MT],stock[Bucket],scheduleapr[[#This Row],[Bucket]],stock[LL or CTL],"LL")</f>
        <v/>
      </c>
      <c r="AQ525" s="599">
        <f>+SUMIFS(wip[Stock(Net Wt)],wip[Bucket],scheduleapr[[#This Row],[Bucket]])/1000</f>
        <v/>
      </c>
      <c r="AR525" s="599">
        <f>AJ525-AN525</f>
        <v/>
      </c>
      <c r="AS525" s="118" t="n"/>
    </row>
    <row r="526">
      <c r="A526" s="594" t="n">
        <v>441</v>
      </c>
      <c r="B526" s="5" t="inlineStr">
        <is>
          <t>Hosur</t>
        </is>
      </c>
      <c r="C526" s="601" t="inlineStr">
        <is>
          <t>RUCHA</t>
        </is>
      </c>
      <c r="D526" s="48" t="inlineStr">
        <is>
          <t>Rucha Hosur</t>
        </is>
      </c>
      <c r="E526" s="601" t="n">
        <v>188534</v>
      </c>
      <c r="F526" s="601" t="n">
        <v>3732177</v>
      </c>
      <c r="G526" s="601">
        <f>_xlfn.CONCAT(scheduleapr[[#This Row],[CUSTOMER CODE]],"-",scheduleapr[[#This Row],[MATERIAL NO]])</f>
        <v/>
      </c>
      <c r="H526" s="601" t="inlineStr">
        <is>
          <t>TUB-O-N-AUT-AW-AG-57.15X2.500X0.3260</t>
        </is>
      </c>
      <c r="I526" s="601" t="inlineStr">
        <is>
          <t>ERW 1</t>
        </is>
      </c>
      <c r="J526" s="601" t="n"/>
      <c r="K526" s="601" t="inlineStr">
        <is>
          <t>FC</t>
        </is>
      </c>
      <c r="L526" s="601" t="inlineStr">
        <is>
          <t>HR</t>
        </is>
      </c>
      <c r="M526" s="601" t="n"/>
      <c r="N526" s="601" t="n"/>
      <c r="O526" s="601" t="inlineStr">
        <is>
          <t>AG</t>
        </is>
      </c>
      <c r="P526" s="601" t="n"/>
      <c r="Q526" s="557">
        <f>CONCATENATE(scheduleapr[[#This Row],[OD]],"-",scheduleapr[[#This Row],[ID]],"-",scheduleapr[[#This Row],[TICKNESS]],"-",scheduleapr[[#This Row],[Grade]],"-",scheduleapr[[#This Row],[FC/NFC]])</f>
        <v/>
      </c>
      <c r="R526" s="557">
        <f>_xlfn.CONCAT(scheduleapr[[#This Row],[Bucket]],"-",scheduleapr[[#This Row],[LENGTH]]/1000)</f>
        <v/>
      </c>
      <c r="S526" s="557">
        <f>COUNTIF([2]!buckets[CTL Bucket],[2]!scheduleapr[[#This Row],[CTL Bucket]])</f>
        <v/>
      </c>
      <c r="T526" s="601" t="inlineStr">
        <is>
          <t>Hosur</t>
        </is>
      </c>
      <c r="U526" s="601" t="inlineStr">
        <is>
          <t>Plan</t>
        </is>
      </c>
      <c r="V526" s="557" t="n"/>
      <c r="W526" s="557" t="n"/>
      <c r="X526" s="599" t="n">
        <v>57.15</v>
      </c>
      <c r="Y526" s="599" t="n">
        <v>57.15</v>
      </c>
      <c r="Z526" s="599" t="n">
        <v>0</v>
      </c>
      <c r="AA526" s="599" t="n">
        <v>2.5</v>
      </c>
      <c r="AB526" s="600" t="n">
        <v>326</v>
      </c>
      <c r="AC526" s="600" t="inlineStr">
        <is>
          <t>NOS</t>
        </is>
      </c>
      <c r="AD526" s="600" t="n"/>
      <c r="AE526" s="600" t="n"/>
      <c r="AF526" s="601" t="n"/>
      <c r="AG526" s="601" t="n"/>
      <c r="AH526" s="601">
        <f t="array" ref="AH5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6" s="602">
        <f>scheduleapr[[#This Row],[SCHEDULE in nos]]-scheduleapr[[#This Row],[DISPATCH]]</f>
        <v/>
      </c>
      <c r="AJ526" s="599">
        <f>(3.14*(scheduleapr[[#This Row],[ACTUAL OD]]-scheduleapr[[#This Row],[TICKNESS]])*scheduleapr[[#This Row],[TICKNESS]]*scheduleapr[[#This Row],[LENGTH]]*7.85)/1000000*scheduleapr[[#This Row],[SCHEDULE in nos]]/1000</f>
        <v/>
      </c>
      <c r="AK526" s="599">
        <f>(3.14*(scheduleapr[[#This Row],[ACTUAL OD]]-scheduleapr[[#This Row],[TICKNESS]])*scheduleapr[[#This Row],[TICKNESS]]*scheduleapr[[#This Row],[LENGTH]]*7.85)/1000000*scheduleapr[[#This Row],[DISPATCH]]/1000</f>
        <v/>
      </c>
      <c r="AL526" s="599">
        <f>AJ526-AK526</f>
        <v/>
      </c>
      <c r="AM526" s="599">
        <f>scheduleapr[[#This Row],[SCHEDULE in nos]]/scheduleapr[[#This Row],[SCHEDULE IN MT]]*scheduleapr[[#This Row],[CTL Stock]]</f>
        <v/>
      </c>
      <c r="AN526" s="599">
        <f>SUMIFS(stock[MT],stock[Bucket],scheduleapr[[#This Row],[Bucket]],stock[CTL Bucket],scheduleapr[[#This Row],[CTL Bucket]],stock[Plant],"0789")</f>
        <v/>
      </c>
      <c r="AO526" s="599" t="n"/>
      <c r="AP526" s="599">
        <f>SUMIFS(stock[MT],stock[Bucket],scheduleapr[[#This Row],[Bucket]],stock[LL or CTL],"LL")</f>
        <v/>
      </c>
      <c r="AQ526" s="599">
        <f>+SUMIFS(wip[Stock(Net Wt)],wip[Bucket],scheduleapr[[#This Row],[Bucket]])/1000</f>
        <v/>
      </c>
      <c r="AR526" s="599">
        <f>AJ526-AN526</f>
        <v/>
      </c>
      <c r="AS526" s="118" t="n"/>
    </row>
    <row r="527">
      <c r="A527" s="594" t="n">
        <v>442</v>
      </c>
      <c r="B527" s="5" t="inlineStr">
        <is>
          <t>Hosur</t>
        </is>
      </c>
      <c r="C527" s="601" t="inlineStr">
        <is>
          <t>RUCHA</t>
        </is>
      </c>
      <c r="D527" s="601" t="inlineStr">
        <is>
          <t>Rucha Hosur</t>
        </is>
      </c>
      <c r="E527" s="601" t="n">
        <v>188534</v>
      </c>
      <c r="F527" s="601" t="n">
        <v>2440972</v>
      </c>
      <c r="G527" s="601">
        <f>_xlfn.CONCAT(scheduleapr[[#This Row],[CUSTOMER CODE]],"-",scheduleapr[[#This Row],[MATERIAL NO]])</f>
        <v/>
      </c>
      <c r="H527" s="601" t="inlineStr">
        <is>
          <t>TUB-O-N-AUT-AW-FC-57.15X2.500X0.3750</t>
        </is>
      </c>
      <c r="I527" s="601" t="inlineStr">
        <is>
          <t>ERW 1</t>
        </is>
      </c>
      <c r="J527" s="601" t="n"/>
      <c r="K527" s="601" t="inlineStr">
        <is>
          <t>FC</t>
        </is>
      </c>
      <c r="L527" s="601" t="inlineStr">
        <is>
          <t>HR</t>
        </is>
      </c>
      <c r="M527" s="601" t="n"/>
      <c r="N527" s="601" t="n"/>
      <c r="O527" s="601" t="n"/>
      <c r="P527" s="601" t="n"/>
      <c r="Q527" s="557">
        <f>CONCATENATE(scheduleapr[[#This Row],[OD]],"-",scheduleapr[[#This Row],[ID]],"-",scheduleapr[[#This Row],[TICKNESS]],"-",scheduleapr[[#This Row],[Grade]],"-",scheduleapr[[#This Row],[FC/NFC]])</f>
        <v/>
      </c>
      <c r="R527" s="557">
        <f>_xlfn.CONCAT(scheduleapr[[#This Row],[Bucket]],"-",scheduleapr[[#This Row],[LENGTH]]/1000)</f>
        <v/>
      </c>
      <c r="S527" s="557">
        <f>COUNTIF([2]!buckets[CTL Bucket],[2]!scheduleapr[[#This Row],[CTL Bucket]])</f>
        <v/>
      </c>
      <c r="T527" s="601" t="inlineStr">
        <is>
          <t>Hosur</t>
        </is>
      </c>
      <c r="U527" s="601" t="inlineStr">
        <is>
          <t>Plan</t>
        </is>
      </c>
      <c r="V527" s="557" t="n"/>
      <c r="W527" s="557" t="n"/>
      <c r="X527" s="599" t="n">
        <v>57.15</v>
      </c>
      <c r="Y527" s="599" t="n">
        <v>57.15</v>
      </c>
      <c r="Z527" s="599" t="n">
        <v>0</v>
      </c>
      <c r="AA527" s="599" t="n">
        <v>2.5</v>
      </c>
      <c r="AB527" s="600" t="n">
        <v>375</v>
      </c>
      <c r="AC527" s="600" t="inlineStr">
        <is>
          <t>NOS</t>
        </is>
      </c>
      <c r="AD527" s="600" t="n"/>
      <c r="AE527" s="600" t="n"/>
      <c r="AF527" s="601" t="n"/>
      <c r="AG527" s="601" t="n"/>
      <c r="AH527" s="601">
        <f t="array" ref="AH5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7" s="602">
        <f>scheduleapr[[#This Row],[SCHEDULE in nos]]-scheduleapr[[#This Row],[DISPATCH]]</f>
        <v/>
      </c>
      <c r="AJ527" s="599">
        <f>(3.14*(scheduleapr[[#This Row],[ACTUAL OD]]-scheduleapr[[#This Row],[TICKNESS]])*scheduleapr[[#This Row],[TICKNESS]]*scheduleapr[[#This Row],[LENGTH]]*7.85)/1000000*scheduleapr[[#This Row],[SCHEDULE in nos]]/1000</f>
        <v/>
      </c>
      <c r="AK527" s="599">
        <f>(3.14*(scheduleapr[[#This Row],[ACTUAL OD]]-scheduleapr[[#This Row],[TICKNESS]])*scheduleapr[[#This Row],[TICKNESS]]*scheduleapr[[#This Row],[LENGTH]]*7.85)/1000000*scheduleapr[[#This Row],[DISPATCH]]/1000</f>
        <v/>
      </c>
      <c r="AL527" s="599">
        <f>AJ527-AK527</f>
        <v/>
      </c>
      <c r="AM527" s="599">
        <f>scheduleapr[[#This Row],[SCHEDULE in nos]]/scheduleapr[[#This Row],[SCHEDULE IN MT]]*scheduleapr[[#This Row],[CTL Stock]]</f>
        <v/>
      </c>
      <c r="AN527" s="599">
        <f>SUMIFS(stock[MT],stock[Bucket],scheduleapr[[#This Row],[Bucket]],stock[CTL Bucket],scheduleapr[[#This Row],[CTL Bucket]],stock[Plant],"0789")</f>
        <v/>
      </c>
      <c r="AO527" s="599" t="n"/>
      <c r="AP527" s="599">
        <f>SUMIFS(stock[MT],stock[Bucket],scheduleapr[[#This Row],[Bucket]],stock[LL or CTL],"LL")</f>
        <v/>
      </c>
      <c r="AQ527" s="599">
        <f>+SUMIFS(wip[Stock(Net Wt)],wip[Bucket],scheduleapr[[#This Row],[Bucket]])/1000</f>
        <v/>
      </c>
      <c r="AR527" s="599">
        <f>AJ527-AN527</f>
        <v/>
      </c>
      <c r="AS527" s="118" t="n"/>
    </row>
    <row r="528">
      <c r="A528" s="594" t="n">
        <v>443</v>
      </c>
      <c r="B528" s="5" t="inlineStr">
        <is>
          <t>Hosur</t>
        </is>
      </c>
      <c r="C528" s="601" t="inlineStr">
        <is>
          <t>RUCHA</t>
        </is>
      </c>
      <c r="D528" s="601" t="inlineStr">
        <is>
          <t>Rucha Hosur</t>
        </is>
      </c>
      <c r="E528" s="601" t="n">
        <v>188534</v>
      </c>
      <c r="F528" s="601" t="n">
        <v>3731697</v>
      </c>
      <c r="G528" s="601">
        <f>_xlfn.CONCAT(scheduleapr[[#This Row],[CUSTOMER CODE]],"-",scheduleapr[[#This Row],[MATERIAL NO]])</f>
        <v/>
      </c>
      <c r="H528" s="601" t="inlineStr">
        <is>
          <t>CUT-O-N-AUT-AW-AG-57.15X2.500X0.5260</t>
        </is>
      </c>
      <c r="I528" s="601" t="inlineStr">
        <is>
          <t>ERW 1</t>
        </is>
      </c>
      <c r="J528" s="601" t="n"/>
      <c r="K528" s="601" t="inlineStr">
        <is>
          <t>FC</t>
        </is>
      </c>
      <c r="L528" s="601" t="inlineStr">
        <is>
          <t>HR</t>
        </is>
      </c>
      <c r="M528" s="601" t="n"/>
      <c r="N528" s="601" t="n"/>
      <c r="O528" s="601" t="inlineStr">
        <is>
          <t>AG</t>
        </is>
      </c>
      <c r="P528" s="601" t="n"/>
      <c r="Q528" s="557">
        <f>CONCATENATE(scheduleapr[[#This Row],[OD]],"-",scheduleapr[[#This Row],[ID]],"-",scheduleapr[[#This Row],[TICKNESS]],"-",scheduleapr[[#This Row],[Grade]],"-",scheduleapr[[#This Row],[FC/NFC]])</f>
        <v/>
      </c>
      <c r="R528" s="557">
        <f>_xlfn.CONCAT(scheduleapr[[#This Row],[Bucket]],"-",scheduleapr[[#This Row],[LENGTH]]/1000)</f>
        <v/>
      </c>
      <c r="S528" s="557">
        <f>COUNTIF([2]!buckets[CTL Bucket],[2]!scheduleapr[[#This Row],[CTL Bucket]])</f>
        <v/>
      </c>
      <c r="T528" s="601" t="inlineStr">
        <is>
          <t>Hosur</t>
        </is>
      </c>
      <c r="U528" s="601" t="inlineStr">
        <is>
          <t>Plan</t>
        </is>
      </c>
      <c r="V528" s="557" t="n"/>
      <c r="W528" s="557" t="n"/>
      <c r="X528" s="599" t="n">
        <v>57.15</v>
      </c>
      <c r="Y528" s="599" t="n">
        <v>57.15</v>
      </c>
      <c r="Z528" s="599" t="n">
        <v>0</v>
      </c>
      <c r="AA528" s="599" t="n">
        <v>2.5</v>
      </c>
      <c r="AB528" s="600" t="n">
        <v>526</v>
      </c>
      <c r="AC528" s="600" t="inlineStr">
        <is>
          <t>NOS</t>
        </is>
      </c>
      <c r="AD528" s="600" t="n"/>
      <c r="AE528" s="600" t="n"/>
      <c r="AF528" s="601" t="n"/>
      <c r="AG528" s="601" t="n"/>
      <c r="AH528" s="601">
        <f t="array" ref="AH5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8" s="602">
        <f>scheduleapr[[#This Row],[SCHEDULE in nos]]-scheduleapr[[#This Row],[DISPATCH]]</f>
        <v/>
      </c>
      <c r="AJ528" s="599">
        <f>(3.14*(scheduleapr[[#This Row],[ACTUAL OD]]-scheduleapr[[#This Row],[TICKNESS]])*scheduleapr[[#This Row],[TICKNESS]]*scheduleapr[[#This Row],[LENGTH]]*7.85)/1000000*scheduleapr[[#This Row],[SCHEDULE in nos]]/1000</f>
        <v/>
      </c>
      <c r="AK528" s="599">
        <f>(3.14*(scheduleapr[[#This Row],[ACTUAL OD]]-scheduleapr[[#This Row],[TICKNESS]])*scheduleapr[[#This Row],[TICKNESS]]*scheduleapr[[#This Row],[LENGTH]]*7.85)/1000000*scheduleapr[[#This Row],[DISPATCH]]/1000</f>
        <v/>
      </c>
      <c r="AL528" s="599">
        <f>AJ528-AK528</f>
        <v/>
      </c>
      <c r="AM528" s="599">
        <f>scheduleapr[[#This Row],[SCHEDULE in nos]]/scheduleapr[[#This Row],[SCHEDULE IN MT]]*scheduleapr[[#This Row],[CTL Stock]]</f>
        <v/>
      </c>
      <c r="AN528" s="599">
        <f>SUMIFS(stock[MT],stock[Bucket],scheduleapr[[#This Row],[Bucket]],stock[CTL Bucket],scheduleapr[[#This Row],[CTL Bucket]],stock[Plant],"0789")</f>
        <v/>
      </c>
      <c r="AO528" s="599" t="n"/>
      <c r="AP528" s="599">
        <f>SUMIFS(stock[MT],stock[Bucket],scheduleapr[[#This Row],[Bucket]],stock[LL or CTL],"LL")</f>
        <v/>
      </c>
      <c r="AQ528" s="599">
        <f>+SUMIFS(wip[Stock(Net Wt)],wip[Bucket],scheduleapr[[#This Row],[Bucket]])/1000</f>
        <v/>
      </c>
      <c r="AR528" s="599">
        <f>AJ528-AN528</f>
        <v/>
      </c>
      <c r="AS528" s="118" t="n"/>
    </row>
    <row r="529">
      <c r="A529" s="594" t="n">
        <v>435</v>
      </c>
      <c r="B529" s="5" t="inlineStr">
        <is>
          <t>Hosur</t>
        </is>
      </c>
      <c r="C529" s="601" t="inlineStr">
        <is>
          <t>RUCHA</t>
        </is>
      </c>
      <c r="D529" s="601" t="inlineStr">
        <is>
          <t>Rucha Hosur</t>
        </is>
      </c>
      <c r="E529" s="601" t="n">
        <v>188534</v>
      </c>
      <c r="F529" s="9" t="n">
        <v>3841884</v>
      </c>
      <c r="G529" s="601">
        <f>_xlfn.CONCAT(scheduleapr[[#This Row],[CUSTOMER CODE]],"-",scheduleapr[[#This Row],[MATERIAL NO]])</f>
        <v/>
      </c>
      <c r="H529" s="601" t="inlineStr">
        <is>
          <t>TUB-O-N-AUT-AW-FC-38.10X1.600X0.8750</t>
        </is>
      </c>
      <c r="I529" s="601" t="inlineStr">
        <is>
          <t>ERW 2 MAHS</t>
        </is>
      </c>
      <c r="J529" s="601" t="n"/>
      <c r="K529" s="601" t="inlineStr">
        <is>
          <t>FC</t>
        </is>
      </c>
      <c r="L529" s="601" t="inlineStr">
        <is>
          <t>CR</t>
        </is>
      </c>
      <c r="M529" s="596" t="inlineStr">
        <is>
          <t>ST52AL</t>
        </is>
      </c>
      <c r="N529" s="601" t="n"/>
      <c r="O529" s="601" t="n"/>
      <c r="P529" s="601" t="n"/>
      <c r="Q529" s="557">
        <f>CONCATENATE(scheduleapr[[#This Row],[OD]],"-",scheduleapr[[#This Row],[ID]],"-",scheduleapr[[#This Row],[TICKNESS]],"-",scheduleapr[[#This Row],[Grade]],"-",scheduleapr[[#This Row],[FC/NFC]])</f>
        <v/>
      </c>
      <c r="R529" s="557">
        <f>_xlfn.CONCAT(scheduleapr[[#This Row],[Bucket]],"-",scheduleapr[[#This Row],[LENGTH]]/1000)</f>
        <v/>
      </c>
      <c r="S529" s="557">
        <f>COUNTIF([2]!buckets[CTL Bucket],[2]!scheduleapr[[#This Row],[CTL Bucket]])</f>
        <v/>
      </c>
      <c r="T529" s="601" t="inlineStr">
        <is>
          <t>JSR</t>
        </is>
      </c>
      <c r="U529" s="601" t="n"/>
      <c r="V529" s="557" t="n"/>
      <c r="W529" s="557" t="n"/>
      <c r="X529" s="599" t="n">
        <v>38.1</v>
      </c>
      <c r="Y529" s="599" t="n">
        <v>38.1</v>
      </c>
      <c r="Z529" s="599" t="n">
        <v>0</v>
      </c>
      <c r="AA529" s="599" t="n">
        <v>1.6</v>
      </c>
      <c r="AB529" s="600" t="n">
        <v>875</v>
      </c>
      <c r="AC529" s="600" t="inlineStr">
        <is>
          <t>NOS</t>
        </is>
      </c>
      <c r="AD529" s="600" t="n"/>
      <c r="AE529" s="600" t="n"/>
      <c r="AF529" s="601" t="n"/>
      <c r="AG529" s="601" t="n"/>
      <c r="AH529" s="601">
        <f t="array" ref="AH5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29" s="602">
        <f>scheduleapr[[#This Row],[SCHEDULE in nos]]-scheduleapr[[#This Row],[DISPATCH]]</f>
        <v/>
      </c>
      <c r="AJ529" s="599">
        <f>(3.14*(scheduleapr[[#This Row],[ACTUAL OD]]-scheduleapr[[#This Row],[TICKNESS]])*scheduleapr[[#This Row],[TICKNESS]]*scheduleapr[[#This Row],[LENGTH]]*7.85)/1000000*scheduleapr[[#This Row],[SCHEDULE in nos]]/1000</f>
        <v/>
      </c>
      <c r="AK529" s="599">
        <f>(3.14*(scheduleapr[[#This Row],[ACTUAL OD]]-scheduleapr[[#This Row],[TICKNESS]])*scheduleapr[[#This Row],[TICKNESS]]*scheduleapr[[#This Row],[LENGTH]]*7.85)/1000000*scheduleapr[[#This Row],[DISPATCH]]/1000</f>
        <v/>
      </c>
      <c r="AL529" s="599">
        <f>AJ529-AK529</f>
        <v/>
      </c>
      <c r="AM529" s="599">
        <f>scheduleapr[[#This Row],[SCHEDULE in nos]]/scheduleapr[[#This Row],[SCHEDULE IN MT]]*scheduleapr[[#This Row],[CTL Stock]]</f>
        <v/>
      </c>
      <c r="AN529" s="599">
        <f>SUMIFS(stock[MT],stock[Bucket],scheduleapr[[#This Row],[Bucket]],stock[CTL Bucket],scheduleapr[[#This Row],[CTL Bucket]],stock[Plant],"0789")</f>
        <v/>
      </c>
      <c r="AO529" s="599" t="n"/>
      <c r="AP529" s="599">
        <f>SUMIFS(stock[MT],stock[Bucket],scheduleapr[[#This Row],[Bucket]],stock[LL or CTL],"LL")</f>
        <v/>
      </c>
      <c r="AQ529" s="599">
        <f>+SUMIFS(wip[Stock(Net Wt)],wip[Bucket],scheduleapr[[#This Row],[Bucket]])/1000</f>
        <v/>
      </c>
      <c r="AR529" s="599">
        <f>AJ529-AN529</f>
        <v/>
      </c>
      <c r="AS529" s="118" t="n"/>
    </row>
    <row r="530">
      <c r="A530" s="594" t="n">
        <v>437</v>
      </c>
      <c r="B530" s="5" t="inlineStr">
        <is>
          <t>JSR</t>
        </is>
      </c>
      <c r="C530" s="601" t="inlineStr">
        <is>
          <t>RUCHA</t>
        </is>
      </c>
      <c r="D530" s="48" t="inlineStr">
        <is>
          <t>Rucha Hosur</t>
        </is>
      </c>
      <c r="E530" s="601" t="n">
        <v>188534</v>
      </c>
      <c r="F530" s="601" t="n">
        <v>2436343</v>
      </c>
      <c r="G530" s="601">
        <f>_xlfn.CONCAT(scheduleapr[[#This Row],[CUSTOMER CODE]],"-",scheduleapr[[#This Row],[MATERIAL NO]])</f>
        <v/>
      </c>
      <c r="H530" s="86" t="inlineStr">
        <is>
          <t>TUB-O-N-AUT-AW-FC-38.10X2.500X0.8750</t>
        </is>
      </c>
      <c r="I530" s="601" t="inlineStr">
        <is>
          <t>ERW 2 MAHS</t>
        </is>
      </c>
      <c r="J530" s="601" t="n"/>
      <c r="K530" s="601" t="inlineStr">
        <is>
          <t>FC</t>
        </is>
      </c>
      <c r="L530" s="601" t="inlineStr">
        <is>
          <t>HR</t>
        </is>
      </c>
      <c r="M530" s="596" t="inlineStr">
        <is>
          <t>ST52AL</t>
        </is>
      </c>
      <c r="N530" s="601" t="n"/>
      <c r="O530" s="601" t="n"/>
      <c r="P530" s="601" t="n"/>
      <c r="Q530" s="557">
        <f>CONCATENATE(scheduleapr[[#This Row],[OD]],"-",scheduleapr[[#This Row],[ID]],"-",scheduleapr[[#This Row],[TICKNESS]],"-",scheduleapr[[#This Row],[Grade]],"-",scheduleapr[[#This Row],[FC/NFC]])</f>
        <v/>
      </c>
      <c r="R530" s="557">
        <f>_xlfn.CONCAT(scheduleapr[[#This Row],[Bucket]],"-",scheduleapr[[#This Row],[LENGTH]]/1000)</f>
        <v/>
      </c>
      <c r="S530" s="557">
        <f>COUNTIF([2]!buckets[CTL Bucket],[2]!scheduleapr[[#This Row],[CTL Bucket]])</f>
        <v/>
      </c>
      <c r="T530" s="601" t="inlineStr">
        <is>
          <t>JSR</t>
        </is>
      </c>
      <c r="U530" s="601" t="n"/>
      <c r="V530" s="557" t="n"/>
      <c r="W530" s="557" t="n"/>
      <c r="X530" s="599" t="n">
        <v>38.1</v>
      </c>
      <c r="Y530" s="599" t="n">
        <v>38.1</v>
      </c>
      <c r="Z530" s="599" t="n">
        <v>0</v>
      </c>
      <c r="AA530" s="599" t="n">
        <v>2.5</v>
      </c>
      <c r="AB530" s="600" t="n">
        <v>875</v>
      </c>
      <c r="AC530" s="600" t="inlineStr">
        <is>
          <t>NOS</t>
        </is>
      </c>
      <c r="AD530" s="600" t="n"/>
      <c r="AE530" s="600" t="n"/>
      <c r="AF530" s="601" t="n"/>
      <c r="AG530" s="601" t="n"/>
      <c r="AH530" s="601">
        <f t="array" ref="AH5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0" s="602">
        <f>scheduleapr[[#This Row],[SCHEDULE in nos]]-scheduleapr[[#This Row],[DISPATCH]]</f>
        <v/>
      </c>
      <c r="AJ530" s="599">
        <f>(3.14*(scheduleapr[[#This Row],[ACTUAL OD]]-scheduleapr[[#This Row],[TICKNESS]])*scheduleapr[[#This Row],[TICKNESS]]*scheduleapr[[#This Row],[LENGTH]]*7.85)/1000000*scheduleapr[[#This Row],[SCHEDULE in nos]]/1000</f>
        <v/>
      </c>
      <c r="AK530" s="599">
        <f>(3.14*(scheduleapr[[#This Row],[ACTUAL OD]]-scheduleapr[[#This Row],[TICKNESS]])*scheduleapr[[#This Row],[TICKNESS]]*scheduleapr[[#This Row],[LENGTH]]*7.85)/1000000*scheduleapr[[#This Row],[DISPATCH]]/1000</f>
        <v/>
      </c>
      <c r="AL530" s="599">
        <f>AJ530-AK530</f>
        <v/>
      </c>
      <c r="AM530" s="599">
        <f>scheduleapr[[#This Row],[SCHEDULE in nos]]/scheduleapr[[#This Row],[SCHEDULE IN MT]]*scheduleapr[[#This Row],[CTL Stock]]</f>
        <v/>
      </c>
      <c r="AN530" s="599">
        <f>SUMIFS(stock[MT],stock[Bucket],scheduleapr[[#This Row],[Bucket]],stock[CTL Bucket],scheduleapr[[#This Row],[CTL Bucket]],stock[Plant],"0789")</f>
        <v/>
      </c>
      <c r="AO530" s="599" t="n"/>
      <c r="AP530" s="599">
        <f>SUMIFS(stock[MT],stock[Bucket],scheduleapr[[#This Row],[Bucket]],stock[LL or CTL],"LL")</f>
        <v/>
      </c>
      <c r="AQ530" s="599">
        <f>+SUMIFS(wip[Stock(Net Wt)],wip[Bucket],scheduleapr[[#This Row],[Bucket]])/1000</f>
        <v/>
      </c>
      <c r="AR530" s="599">
        <f>AJ530-AN530</f>
        <v/>
      </c>
      <c r="AS530" s="118" t="n"/>
    </row>
    <row r="531">
      <c r="A531" s="594" t="n">
        <v>426</v>
      </c>
      <c r="B531" s="5" t="inlineStr">
        <is>
          <t>Hosur</t>
        </is>
      </c>
      <c r="C531" s="601" t="inlineStr">
        <is>
          <t>RUCHA</t>
        </is>
      </c>
      <c r="D531" s="601" t="inlineStr">
        <is>
          <t>Rucha Hosur</t>
        </is>
      </c>
      <c r="E531" s="601" t="n">
        <v>188534</v>
      </c>
      <c r="F531" s="601" t="n">
        <v>2384088</v>
      </c>
      <c r="G531" s="601">
        <f>_xlfn.CONCAT(scheduleapr[[#This Row],[CUSTOMER CODE]],"-",scheduleapr[[#This Row],[MATERIAL NO]])</f>
        <v/>
      </c>
      <c r="H531" s="601" t="inlineStr">
        <is>
          <t>TUB-O-N-AUT-AW-PE-19.05X1.600X0.3550</t>
        </is>
      </c>
      <c r="I531" s="601" t="n"/>
      <c r="J531" s="601" t="n"/>
      <c r="K531" s="601" t="n"/>
      <c r="L531" s="601" t="inlineStr">
        <is>
          <t>HR</t>
        </is>
      </c>
      <c r="M531" s="601" t="n"/>
      <c r="N531" s="601" t="n"/>
      <c r="O531" s="601" t="n"/>
      <c r="P531" s="601" t="n"/>
      <c r="Q531" s="557">
        <f>CONCATENATE(scheduleapr[[#This Row],[OD]],"-",scheduleapr[[#This Row],[ID]],"-",scheduleapr[[#This Row],[TICKNESS]],"-",scheduleapr[[#This Row],[Grade]],"-",scheduleapr[[#This Row],[FC/NFC]])</f>
        <v/>
      </c>
      <c r="R531" s="557">
        <f>_xlfn.CONCAT(scheduleapr[[#This Row],[Bucket]],"-",scheduleapr[[#This Row],[LENGTH]]/1000)</f>
        <v/>
      </c>
      <c r="S531" s="557">
        <f>COUNTIF([2]!buckets[CTL Bucket],[2]!scheduleapr[[#This Row],[CTL Bucket]])</f>
        <v/>
      </c>
      <c r="T531" s="557" t="n"/>
      <c r="U531" s="557" t="n"/>
      <c r="V531" s="557" t="n"/>
      <c r="W531" s="557" t="n"/>
      <c r="X531" s="599" t="n">
        <v>19.05</v>
      </c>
      <c r="Y531" s="599" t="n">
        <v>19.05</v>
      </c>
      <c r="Z531" s="599" t="n">
        <v>0</v>
      </c>
      <c r="AA531" s="599" t="n">
        <v>1.6</v>
      </c>
      <c r="AB531" s="600" t="n">
        <v>355</v>
      </c>
      <c r="AC531" s="600" t="inlineStr">
        <is>
          <t>NOS</t>
        </is>
      </c>
      <c r="AD531" s="600" t="n"/>
      <c r="AE531" s="600" t="n"/>
      <c r="AF531" s="601" t="n"/>
      <c r="AG531" s="601" t="n"/>
      <c r="AH531" s="601">
        <f t="array" ref="AH5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1" s="602">
        <f>scheduleapr[[#This Row],[SCHEDULE in nos]]-scheduleapr[[#This Row],[DISPATCH]]</f>
        <v/>
      </c>
      <c r="AJ531" s="599">
        <f>(3.14*(scheduleapr[[#This Row],[ACTUAL OD]]-scheduleapr[[#This Row],[TICKNESS]])*scheduleapr[[#This Row],[TICKNESS]]*scheduleapr[[#This Row],[LENGTH]]*7.85)/1000000*scheduleapr[[#This Row],[SCHEDULE in nos]]/1000</f>
        <v/>
      </c>
      <c r="AK531" s="599">
        <f>(3.14*(scheduleapr[[#This Row],[ACTUAL OD]]-scheduleapr[[#This Row],[TICKNESS]])*scheduleapr[[#This Row],[TICKNESS]]*scheduleapr[[#This Row],[LENGTH]]*7.85)/1000000*scheduleapr[[#This Row],[DISPATCH]]/1000</f>
        <v/>
      </c>
      <c r="AL531" s="599">
        <f>AJ531-AK531</f>
        <v/>
      </c>
      <c r="AM531" s="599">
        <f>scheduleapr[[#This Row],[SCHEDULE in nos]]/scheduleapr[[#This Row],[SCHEDULE IN MT]]*scheduleapr[[#This Row],[CTL Stock]]</f>
        <v/>
      </c>
      <c r="AN531" s="599">
        <f>SUMIFS(stock[MT],stock[Bucket],scheduleapr[[#This Row],[Bucket]],stock[CTL Bucket],scheduleapr[[#This Row],[CTL Bucket]],stock[Plant],"0789")</f>
        <v/>
      </c>
      <c r="AO531" s="599" t="n"/>
      <c r="AP531" s="599">
        <f>SUMIFS(stock[MT],stock[Bucket],scheduleapr[[#This Row],[Bucket]],stock[LL or CTL],"LL")</f>
        <v/>
      </c>
      <c r="AQ531" s="599">
        <f>+SUMIFS(wip[Stock(Net Wt)],wip[Bucket],scheduleapr[[#This Row],[Bucket]])/1000</f>
        <v/>
      </c>
      <c r="AR531" s="599">
        <f>AJ531-AN531</f>
        <v/>
      </c>
      <c r="AS531" s="118" t="n"/>
    </row>
    <row r="532">
      <c r="A532" s="594" t="n">
        <v>440</v>
      </c>
      <c r="B532" s="5" t="inlineStr">
        <is>
          <t>Hosur</t>
        </is>
      </c>
      <c r="C532" s="601" t="inlineStr">
        <is>
          <t>RUCHA</t>
        </is>
      </c>
      <c r="D532" s="48" t="inlineStr">
        <is>
          <t>Rucha Hosur</t>
        </is>
      </c>
      <c r="E532" s="601" t="n">
        <v>188534</v>
      </c>
      <c r="F532" s="601" t="n">
        <v>3732176</v>
      </c>
      <c r="G532" s="601">
        <f>_xlfn.CONCAT(scheduleapr[[#This Row],[CUSTOMER CODE]],"-",scheduleapr[[#This Row],[MATERIAL NO]])</f>
        <v/>
      </c>
      <c r="H532" s="601" t="inlineStr">
        <is>
          <t>TUB-O-N-AUT-AW-AG-57.15X2.500X0.2950</t>
        </is>
      </c>
      <c r="I532" s="601" t="n"/>
      <c r="J532" s="601" t="n"/>
      <c r="K532" s="601" t="n"/>
      <c r="L532" s="601" t="inlineStr">
        <is>
          <t>HR</t>
        </is>
      </c>
      <c r="M532" s="601" t="n"/>
      <c r="N532" s="601" t="n"/>
      <c r="O532" s="601" t="n"/>
      <c r="P532" s="601" t="n"/>
      <c r="Q532" s="557">
        <f>CONCATENATE(scheduleapr[[#This Row],[OD]],"-",scheduleapr[[#This Row],[ID]],"-",scheduleapr[[#This Row],[TICKNESS]],"-",scheduleapr[[#This Row],[Grade]],"-",scheduleapr[[#This Row],[FC/NFC]])</f>
        <v/>
      </c>
      <c r="R532" s="557">
        <f>_xlfn.CONCAT(scheduleapr[[#This Row],[Bucket]],"-",scheduleapr[[#This Row],[LENGTH]]/1000)</f>
        <v/>
      </c>
      <c r="S532" s="557">
        <f>COUNTIF([2]!buckets[CTL Bucket],[2]!scheduleapr[[#This Row],[CTL Bucket]])</f>
        <v/>
      </c>
      <c r="T532" s="557" t="n"/>
      <c r="U532" s="557" t="n"/>
      <c r="V532" s="557" t="n"/>
      <c r="W532" s="557" t="n"/>
      <c r="X532" s="599" t="n">
        <v>57.15</v>
      </c>
      <c r="Y532" s="599" t="n">
        <v>57.15</v>
      </c>
      <c r="Z532" s="599" t="n">
        <v>0</v>
      </c>
      <c r="AA532" s="599" t="n">
        <v>2.5</v>
      </c>
      <c r="AB532" s="600" t="n">
        <v>295</v>
      </c>
      <c r="AC532" s="600" t="n"/>
      <c r="AD532" s="600" t="n"/>
      <c r="AE532" s="600" t="n"/>
      <c r="AF532" s="601" t="n"/>
      <c r="AG532" s="601" t="n"/>
      <c r="AH532" s="601">
        <f t="array" ref="AH5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2" s="602">
        <f>scheduleapr[[#This Row],[SCHEDULE in nos]]-scheduleapr[[#This Row],[DISPATCH]]</f>
        <v/>
      </c>
      <c r="AJ532" s="599">
        <f>(3.14*(scheduleapr[[#This Row],[ACTUAL OD]]-scheduleapr[[#This Row],[TICKNESS]])*scheduleapr[[#This Row],[TICKNESS]]*scheduleapr[[#This Row],[LENGTH]]*7.85)/1000000*scheduleapr[[#This Row],[SCHEDULE in nos]]/1000</f>
        <v/>
      </c>
      <c r="AK532" s="599">
        <f>(3.14*(scheduleapr[[#This Row],[ACTUAL OD]]-scheduleapr[[#This Row],[TICKNESS]])*scheduleapr[[#This Row],[TICKNESS]]*scheduleapr[[#This Row],[LENGTH]]*7.85)/1000000*scheduleapr[[#This Row],[DISPATCH]]/1000</f>
        <v/>
      </c>
      <c r="AL532" s="599">
        <f>AJ532-AK532</f>
        <v/>
      </c>
      <c r="AM532" s="599">
        <f>scheduleapr[[#This Row],[SCHEDULE in nos]]/scheduleapr[[#This Row],[SCHEDULE IN MT]]*scheduleapr[[#This Row],[CTL Stock]]</f>
        <v/>
      </c>
      <c r="AN532" s="599">
        <f>SUMIFS(stock[MT],stock[Bucket],scheduleapr[[#This Row],[Bucket]],stock[CTL Bucket],scheduleapr[[#This Row],[CTL Bucket]],stock[Plant],"0789")</f>
        <v/>
      </c>
      <c r="AO532" s="599" t="n"/>
      <c r="AP532" s="599">
        <f>SUMIFS(stock[MT],stock[Bucket],scheduleapr[[#This Row],[Bucket]],stock[LL or CTL],"LL")</f>
        <v/>
      </c>
      <c r="AQ532" s="599">
        <f>+SUMIFS(wip[Stock(Net Wt)],wip[Bucket],scheduleapr[[#This Row],[Bucket]])/1000</f>
        <v/>
      </c>
      <c r="AR532" s="599">
        <f>AJ532-AN532</f>
        <v/>
      </c>
      <c r="AS532" s="118" t="n"/>
    </row>
    <row r="533">
      <c r="A533" s="594" t="n">
        <v>480</v>
      </c>
      <c r="B533" s="5" t="inlineStr">
        <is>
          <t xml:space="preserve">Khopoli </t>
        </is>
      </c>
      <c r="C533" s="601" t="inlineStr">
        <is>
          <t>SANDHAR ENGINEERING PVT LTD.</t>
        </is>
      </c>
      <c r="D533" t="inlineStr">
        <is>
          <t>SANDHAR Hosur</t>
        </is>
      </c>
      <c r="E533" s="601" t="n">
        <v>941496</v>
      </c>
      <c r="F533" s="601" t="n">
        <v>2412748</v>
      </c>
      <c r="G533" s="601">
        <f>_xlfn.CONCAT(scheduleapr[[#This Row],[CUSTOMER CODE]],"-",scheduleapr[[#This Row],[MATERIAL NO]])</f>
        <v/>
      </c>
      <c r="H533" s="601" t="inlineStr">
        <is>
          <t>TUB-O-C-AUT-AD-FC-33.30X2.000X4.3000</t>
        </is>
      </c>
      <c r="I533" s="601" t="inlineStr">
        <is>
          <t>CEW</t>
        </is>
      </c>
      <c r="J533" s="601" t="n"/>
      <c r="K533" s="601" t="inlineStr">
        <is>
          <t>CEW</t>
        </is>
      </c>
      <c r="L533" s="601" t="inlineStr">
        <is>
          <t>HR</t>
        </is>
      </c>
      <c r="M533" s="601" t="n"/>
      <c r="N533" s="601" t="n"/>
      <c r="O533" s="601" t="n"/>
      <c r="P533" s="601" t="n"/>
      <c r="Q533" s="557">
        <f>CONCATENATE(scheduleapr[[#This Row],[OD]],"-",scheduleapr[[#This Row],[ID]],"-",scheduleapr[[#This Row],[TICKNESS]],"-",scheduleapr[[#This Row],[Grade]],"-",scheduleapr[[#This Row],[FC/NFC]])</f>
        <v/>
      </c>
      <c r="R533" s="557">
        <f>_xlfn.CONCAT(scheduleapr[[#This Row],[Bucket]],"-",scheduleapr[[#This Row],[LENGTH]]/1000)</f>
        <v/>
      </c>
      <c r="S533" s="557">
        <f>COUNTIF(scheduleapr[CTL Bucket],scheduleapr[[#This Row],[CTL Bucket]])</f>
        <v/>
      </c>
      <c r="T533" s="601" t="inlineStr">
        <is>
          <t>Khopoli</t>
        </is>
      </c>
      <c r="U533" s="601" t="n"/>
      <c r="V533" s="557" t="n"/>
      <c r="W533" s="557" t="n"/>
      <c r="X533" s="599" t="n">
        <v>33.3</v>
      </c>
      <c r="Y533" s="599" t="n">
        <v>33.3</v>
      </c>
      <c r="Z533" s="599" t="n">
        <v>29.3</v>
      </c>
      <c r="AA533" s="599" t="n">
        <v>2</v>
      </c>
      <c r="AB533" s="600" t="n">
        <v>1000</v>
      </c>
      <c r="AC533" s="600" t="inlineStr">
        <is>
          <t>M</t>
        </is>
      </c>
      <c r="AD533" s="600" t="n"/>
      <c r="AE533" s="600" t="n"/>
      <c r="AF533" s="601" t="n">
        <v>1000</v>
      </c>
      <c r="AG533" s="601" t="inlineStr">
        <is>
          <t>Aug 2026 schedule · sandhar hosur</t>
        </is>
      </c>
      <c r="AH533" s="601">
        <f t="array" ref="AH5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3" s="602">
        <f>scheduleapr[[#This Row],[SCHEDULE in nos]]-scheduleapr[[#This Row],[DISPATCH]]</f>
        <v/>
      </c>
      <c r="AJ533" s="599">
        <f>(3.14*(scheduleapr[[#This Row],[ACTUAL OD]]-scheduleapr[[#This Row],[TICKNESS]])*scheduleapr[[#This Row],[TICKNESS]]*scheduleapr[[#This Row],[LENGTH]]*7.85)/1000000*scheduleapr[[#This Row],[SCHEDULE in nos]]/1000</f>
        <v/>
      </c>
      <c r="AK533" s="599">
        <f>(3.14*(scheduleapr[[#This Row],[ACTUAL OD]]-scheduleapr[[#This Row],[TICKNESS]])*scheduleapr[[#This Row],[TICKNESS]]*scheduleapr[[#This Row],[LENGTH]]*7.85)/1000000*scheduleapr[[#This Row],[DISPATCH]]/1000</f>
        <v/>
      </c>
      <c r="AL533" s="599">
        <f>AJ533-AK533</f>
        <v/>
      </c>
      <c r="AM533" s="599">
        <f>scheduleapr[[#This Row],[SCHEDULE in nos]]/scheduleapr[[#This Row],[SCHEDULE IN MT]]*scheduleapr[[#This Row],[CTL Stock]]</f>
        <v/>
      </c>
      <c r="AN533" s="599">
        <f>SUMIFS(stock[MT],stock[Bucket],scheduleapr[[#This Row],[Bucket]],stock[CTL Bucket],scheduleapr[[#This Row],[CTL Bucket]],stock[Plant],"0789")</f>
        <v/>
      </c>
      <c r="AO533" s="599" t="n"/>
      <c r="AP533" s="599">
        <f>SUMIFS(stock[MT],stock[Bucket],scheduleapr[[#This Row],[Bucket]],stock[LL or CTL],"LL")</f>
        <v/>
      </c>
      <c r="AQ533" s="599">
        <f>+SUMIFS(wip[Stock(Net Wt)],wip[Bucket],scheduleapr[[#This Row],[Bucket]])/1000</f>
        <v/>
      </c>
      <c r="AR533" s="599">
        <f>AJ533-AN533</f>
        <v/>
      </c>
      <c r="AS533" s="118" t="n"/>
    </row>
    <row r="534">
      <c r="A534" s="594" t="n">
        <v>351</v>
      </c>
      <c r="B534" s="5" t="inlineStr">
        <is>
          <t xml:space="preserve">Khopoli </t>
        </is>
      </c>
      <c r="C534" s="601" t="inlineStr">
        <is>
          <t>SANDHAR ENGINEERING PVT LTD.</t>
        </is>
      </c>
      <c r="D534" s="15" t="inlineStr">
        <is>
          <t>SANDHAR Hosur</t>
        </is>
      </c>
      <c r="E534" s="601" t="n">
        <v>941496</v>
      </c>
      <c r="F534" s="601" t="n">
        <v>1938118</v>
      </c>
      <c r="G534" s="601">
        <f>_xlfn.CONCAT(scheduleapr[[#This Row],[CUSTOMER CODE]],"-",scheduleapr[[#This Row],[MATERIAL NO]])</f>
        <v/>
      </c>
      <c r="H534" s="601" t="inlineStr">
        <is>
          <t>TUB-O-N-AUT-AW-PE-17.30X1.600X0.3550</t>
        </is>
      </c>
      <c r="I534" s="601" t="inlineStr">
        <is>
          <t>ERW 1</t>
        </is>
      </c>
      <c r="J534" s="601" t="n"/>
      <c r="K534" s="601" t="inlineStr">
        <is>
          <t>PE</t>
        </is>
      </c>
      <c r="L534" s="601" t="inlineStr">
        <is>
          <t>CR</t>
        </is>
      </c>
      <c r="M534" s="601" t="inlineStr">
        <is>
          <t>D</t>
        </is>
      </c>
      <c r="N534" s="601" t="n"/>
      <c r="O534" s="601" t="n"/>
      <c r="P534" s="601" t="n"/>
      <c r="Q534" s="557">
        <f>CONCATENATE(scheduleapr[[#This Row],[OD]],"-",scheduleapr[[#This Row],[ID]],"-",scheduleapr[[#This Row],[TICKNESS]],"-",scheduleapr[[#This Row],[Grade]],"-",scheduleapr[[#This Row],[FC/NFC]])</f>
        <v/>
      </c>
      <c r="R534" s="557">
        <f>_xlfn.CONCAT(scheduleapr[[#This Row],[Bucket]],"-",scheduleapr[[#This Row],[LENGTH]]/1000)</f>
        <v/>
      </c>
      <c r="S534" s="557">
        <f>COUNTIF(scheduleapr[CTL Bucket],scheduleapr[[#This Row],[CTL Bucket]])</f>
        <v/>
      </c>
      <c r="T534" s="601" t="inlineStr">
        <is>
          <t>Khopoli</t>
        </is>
      </c>
      <c r="U534" s="601">
        <f>_xlfn.IFNA(VLOOKUP(scheduleapr[[#This Row],[Bucket]],salesforecast[[#All],[Bucket2]:[8406 Stock]],19,0),0)</f>
        <v/>
      </c>
      <c r="V534" s="557" t="n"/>
      <c r="W534" s="557" t="n"/>
      <c r="X534" s="599" t="n">
        <v>17.3</v>
      </c>
      <c r="Y534" s="599" t="n">
        <v>17.3</v>
      </c>
      <c r="Z534" s="599" t="n">
        <v>0</v>
      </c>
      <c r="AA534" s="599" t="n">
        <v>1.6</v>
      </c>
      <c r="AB534" s="600" t="n">
        <v>355</v>
      </c>
      <c r="AC534" s="600" t="inlineStr">
        <is>
          <t>NOS</t>
        </is>
      </c>
      <c r="AD534" s="600" t="n"/>
      <c r="AE534" s="600" t="n"/>
      <c r="AF534" s="601" t="n"/>
      <c r="AG534" s="601" t="n"/>
      <c r="AH534" s="601">
        <f t="array" ref="AH5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4" s="602">
        <f>scheduleapr[[#This Row],[SCHEDULE in nos]]-scheduleapr[[#This Row],[DISPATCH]]</f>
        <v/>
      </c>
      <c r="AJ534" s="599">
        <f>(3.14*(scheduleapr[[#This Row],[ACTUAL OD]]-scheduleapr[[#This Row],[TICKNESS]])*scheduleapr[[#This Row],[TICKNESS]]*scheduleapr[[#This Row],[LENGTH]]*7.85)/1000000*scheduleapr[[#This Row],[SCHEDULE in nos]]/1000</f>
        <v/>
      </c>
      <c r="AK534" s="599">
        <f>(3.14*(scheduleapr[[#This Row],[ACTUAL OD]]-scheduleapr[[#This Row],[TICKNESS]])*scheduleapr[[#This Row],[TICKNESS]]*scheduleapr[[#This Row],[LENGTH]]*7.85)/1000000*scheduleapr[[#This Row],[DISPATCH]]/1000</f>
        <v/>
      </c>
      <c r="AL534" s="599">
        <f>AJ534-AK534</f>
        <v/>
      </c>
      <c r="AM534" s="599">
        <f>scheduleapr[[#This Row],[SCHEDULE in nos]]/scheduleapr[[#This Row],[SCHEDULE IN MT]]*scheduleapr[[#This Row],[CTL Stock]]</f>
        <v/>
      </c>
      <c r="AN534" s="599">
        <f>SUMIFS(stock[MT],stock[Bucket],scheduleapr[[#This Row],[Bucket]],stock[CTL Bucket],scheduleapr[[#This Row],[CTL Bucket]],stock[Plant],"0789")</f>
        <v/>
      </c>
      <c r="AO534" s="599" t="n"/>
      <c r="AP534" s="599">
        <f>SUMIFS(stock[MT],stock[Bucket],scheduleapr[[#This Row],[Bucket]],stock[LL or CTL],"LL")</f>
        <v/>
      </c>
      <c r="AQ534" s="599">
        <f>+SUMIFS(wip[Stock(Net Wt)],wip[Bucket],scheduleapr[[#This Row],[Bucket]])/1000</f>
        <v/>
      </c>
      <c r="AR534" s="599">
        <f>AJ534-AN534</f>
        <v/>
      </c>
      <c r="AS534" s="118" t="n"/>
    </row>
    <row r="535">
      <c r="A535" s="594" t="n">
        <v>353</v>
      </c>
      <c r="B535" s="5" t="inlineStr">
        <is>
          <t xml:space="preserve">Khopoli </t>
        </is>
      </c>
      <c r="C535" s="601" t="inlineStr">
        <is>
          <t>SANDHAR ENGINEERING PVT LTD.</t>
        </is>
      </c>
      <c r="D535" s="15" t="inlineStr">
        <is>
          <t>SANDHAR Hosur</t>
        </is>
      </c>
      <c r="E535" s="601" t="n">
        <v>941496</v>
      </c>
      <c r="F535" s="601" t="n">
        <v>1938119</v>
      </c>
      <c r="G535" s="601">
        <f>_xlfn.CONCAT(scheduleapr[[#This Row],[CUSTOMER CODE]],"-",scheduleapr[[#This Row],[MATERIAL NO]])</f>
        <v/>
      </c>
      <c r="H535" s="601" t="inlineStr">
        <is>
          <t>TUB-O-N-AUT-AW-PE-17.30X1.600X0.4000</t>
        </is>
      </c>
      <c r="I535" s="601" t="inlineStr">
        <is>
          <t>ERW 1</t>
        </is>
      </c>
      <c r="J535" s="601" t="n"/>
      <c r="K535" s="601" t="inlineStr">
        <is>
          <t>PE</t>
        </is>
      </c>
      <c r="L535" s="601" t="inlineStr">
        <is>
          <t>HR</t>
        </is>
      </c>
      <c r="M535" s="601" t="n"/>
      <c r="N535" s="601" t="n"/>
      <c r="O535" s="601" t="n"/>
      <c r="P535" s="601" t="n"/>
      <c r="Q535" s="557">
        <f>CONCATENATE(scheduleapr[[#This Row],[OD]],"-",scheduleapr[[#This Row],[ID]],"-",scheduleapr[[#This Row],[TICKNESS]],"-",scheduleapr[[#This Row],[Grade]],"-",scheduleapr[[#This Row],[FC/NFC]])</f>
        <v/>
      </c>
      <c r="R535" s="557">
        <f>_xlfn.CONCAT(scheduleapr[[#This Row],[Bucket]],"-",scheduleapr[[#This Row],[LENGTH]]/1000)</f>
        <v/>
      </c>
      <c r="S535" s="557">
        <f>COUNTIF(scheduleapr[CTL Bucket],scheduleapr[[#This Row],[CTL Bucket]])</f>
        <v/>
      </c>
      <c r="T535" s="601" t="inlineStr">
        <is>
          <t>Khopoli</t>
        </is>
      </c>
      <c r="U535" s="601" t="n"/>
      <c r="V535" s="557" t="n"/>
      <c r="W535" s="557" t="n"/>
      <c r="X535" s="599" t="n">
        <v>17.3</v>
      </c>
      <c r="Y535" s="599" t="n">
        <v>17.3</v>
      </c>
      <c r="Z535" s="599" t="n">
        <v>0</v>
      </c>
      <c r="AA535" s="599" t="n">
        <v>1.6</v>
      </c>
      <c r="AB535" s="600" t="n">
        <v>400</v>
      </c>
      <c r="AC535" s="600" t="inlineStr">
        <is>
          <t>NOS</t>
        </is>
      </c>
      <c r="AD535" s="600" t="n"/>
      <c r="AE535" s="600" t="n"/>
      <c r="AF535" s="601" t="n"/>
      <c r="AG535" s="601" t="n"/>
      <c r="AH535" s="601">
        <f t="array" ref="AH5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5" s="602">
        <f>scheduleapr[[#This Row],[SCHEDULE in nos]]-scheduleapr[[#This Row],[DISPATCH]]</f>
        <v/>
      </c>
      <c r="AJ535" s="599">
        <f>(3.14*(scheduleapr[[#This Row],[ACTUAL OD]]-scheduleapr[[#This Row],[TICKNESS]])*scheduleapr[[#This Row],[TICKNESS]]*scheduleapr[[#This Row],[LENGTH]]*7.85)/1000000*scheduleapr[[#This Row],[SCHEDULE in nos]]/1000</f>
        <v/>
      </c>
      <c r="AK535" s="599">
        <f>(3.14*(scheduleapr[[#This Row],[ACTUAL OD]]-scheduleapr[[#This Row],[TICKNESS]])*scheduleapr[[#This Row],[TICKNESS]]*scheduleapr[[#This Row],[LENGTH]]*7.85)/1000000*scheduleapr[[#This Row],[DISPATCH]]/1000</f>
        <v/>
      </c>
      <c r="AL535" s="599">
        <f>AJ535-AK535</f>
        <v/>
      </c>
      <c r="AM535" s="599">
        <f>scheduleapr[[#This Row],[SCHEDULE in nos]]/scheduleapr[[#This Row],[SCHEDULE IN MT]]*scheduleapr[[#This Row],[CTL Stock]]</f>
        <v/>
      </c>
      <c r="AN535" s="599">
        <f>SUMIFS(stock[MT],stock[Bucket],scheduleapr[[#This Row],[Bucket]],stock[CTL Bucket],scheduleapr[[#This Row],[CTL Bucket]],stock[Plant],"0789")</f>
        <v/>
      </c>
      <c r="AO535" s="599" t="n"/>
      <c r="AP535" s="599">
        <f>SUMIFS(stock[MT],stock[Bucket],scheduleapr[[#This Row],[Bucket]],stock[LL or CTL],"LL")</f>
        <v/>
      </c>
      <c r="AQ535" s="599">
        <f>+SUMIFS(wip[Stock(Net Wt)],wip[Bucket],scheduleapr[[#This Row],[Bucket]])/1000</f>
        <v/>
      </c>
      <c r="AR535" s="599">
        <f>AJ535-AN535</f>
        <v/>
      </c>
      <c r="AS535" s="118" t="n"/>
    </row>
    <row r="536">
      <c r="A536" s="594" t="n">
        <v>351</v>
      </c>
      <c r="B536" s="5" t="inlineStr">
        <is>
          <t xml:space="preserve">Khopoli </t>
        </is>
      </c>
      <c r="C536" s="601" t="inlineStr">
        <is>
          <t>SANDHAR ENGINEERING PVT LTD.</t>
        </is>
      </c>
      <c r="D536" s="15" t="inlineStr">
        <is>
          <t>SANDHAR Hosur</t>
        </is>
      </c>
      <c r="E536" s="601" t="n">
        <v>941496</v>
      </c>
      <c r="F536" s="601" t="n">
        <v>1938118</v>
      </c>
      <c r="G536" s="601" t="inlineStr">
        <is>
          <t>941496-1938118</t>
        </is>
      </c>
      <c r="H536" s="601" t="inlineStr">
        <is>
          <t>TUB-O-N-AUT-AW-PE-17.30X1.600X0.3550</t>
        </is>
      </c>
      <c r="I536" s="601" t="inlineStr">
        <is>
          <t>ERW 1</t>
        </is>
      </c>
      <c r="J536" s="601" t="n"/>
      <c r="K536" s="601" t="inlineStr">
        <is>
          <t>PE</t>
        </is>
      </c>
      <c r="L536" s="601" t="inlineStr">
        <is>
          <t>CR</t>
        </is>
      </c>
      <c r="M536" s="601" t="inlineStr">
        <is>
          <t>D</t>
        </is>
      </c>
      <c r="N536" s="601" t="n"/>
      <c r="O536" s="601" t="n"/>
      <c r="P536" s="601" t="n"/>
      <c r="Q536" s="557">
        <f>CONCATENATE(scheduleapr[[#This Row],[OD]],"-",scheduleapr[[#This Row],[ID]],"-",scheduleapr[[#This Row],[TICKNESS]],"-",scheduleapr[[#This Row],[Grade]],"-",scheduleapr[[#This Row],[FC/NFC]])</f>
        <v/>
      </c>
      <c r="R536" s="557">
        <f>_xlfn.CONCAT(scheduleapr[[#This Row],[Bucket]],"-",scheduleapr[[#This Row],[LENGTH]]/1000)</f>
        <v/>
      </c>
      <c r="S536" s="557">
        <f>COUNTIF(scheduleapr[CTL Bucket],scheduleapr[[#This Row],[CTL Bucket]])</f>
        <v/>
      </c>
      <c r="T536" s="601" t="inlineStr">
        <is>
          <t>Khopoli</t>
        </is>
      </c>
      <c r="U536" s="601" t="n"/>
      <c r="V536" s="557" t="n"/>
      <c r="W536" s="557" t="n"/>
      <c r="X536" s="599" t="n">
        <v>17.3</v>
      </c>
      <c r="Y536" s="599" t="n">
        <v>17.3</v>
      </c>
      <c r="Z536" s="599" t="n">
        <v>0</v>
      </c>
      <c r="AA536" s="599" t="n">
        <v>1.6</v>
      </c>
      <c r="AB536" s="600" t="n">
        <v>400</v>
      </c>
      <c r="AC536" s="600" t="inlineStr">
        <is>
          <t>NOS</t>
        </is>
      </c>
      <c r="AD536" s="600" t="n"/>
      <c r="AE536" s="600" t="n"/>
      <c r="AF536" s="601" t="n"/>
      <c r="AG536" s="601" t="n"/>
      <c r="AH536" s="601">
        <f t="array" ref="AH5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6" s="602">
        <f>scheduleapr[[#This Row],[SCHEDULE in nos]]-scheduleapr[[#This Row],[DISPATCH]]</f>
        <v/>
      </c>
      <c r="AJ536" s="599">
        <f>(3.14*(scheduleapr[[#This Row],[ACTUAL OD]]-scheduleapr[[#This Row],[TICKNESS]])*scheduleapr[[#This Row],[TICKNESS]]*scheduleapr[[#This Row],[LENGTH]]*7.85)/1000000*scheduleapr[[#This Row],[SCHEDULE in nos]]/1000</f>
        <v/>
      </c>
      <c r="AK536" s="599">
        <f>(3.14*(scheduleapr[[#This Row],[ACTUAL OD]]-scheduleapr[[#This Row],[TICKNESS]])*scheduleapr[[#This Row],[TICKNESS]]*scheduleapr[[#This Row],[LENGTH]]*7.85)/1000000*scheduleapr[[#This Row],[DISPATCH]]/1000</f>
        <v/>
      </c>
      <c r="AL536" s="599">
        <f>AJ536-AK536</f>
        <v/>
      </c>
      <c r="AM536" s="599">
        <f>scheduleapr[[#This Row],[SCHEDULE in nos]]/scheduleapr[[#This Row],[SCHEDULE IN MT]]*scheduleapr[[#This Row],[CTL Stock]]</f>
        <v/>
      </c>
      <c r="AN536" s="599">
        <f>SUMIFS(stock[MT],stock[Bucket],scheduleapr[[#This Row],[Bucket]],stock[CTL Bucket],scheduleapr[[#This Row],[CTL Bucket]],stock[Plant],"0789")</f>
        <v/>
      </c>
      <c r="AO536" s="599" t="n"/>
      <c r="AP536" s="599">
        <f>SUMIFS(stock[MT],stock[Bucket],scheduleapr[[#This Row],[Bucket]],stock[LL or CTL],"LL")</f>
        <v/>
      </c>
      <c r="AQ536" s="599">
        <f>+SUMIFS(wip[Stock(Net Wt)],wip[Bucket],scheduleapr[[#This Row],[Bucket]])/1000</f>
        <v/>
      </c>
      <c r="AR536" s="599">
        <f>AJ536-AN536</f>
        <v/>
      </c>
      <c r="AS536" s="118" t="n"/>
    </row>
    <row r="537">
      <c r="A537" s="594" t="n">
        <v>359</v>
      </c>
      <c r="B537" s="5" t="inlineStr">
        <is>
          <t>Hosur</t>
        </is>
      </c>
      <c r="C537" s="601" t="inlineStr">
        <is>
          <t>SANDHAR ENGINEERING PVT LTD.</t>
        </is>
      </c>
      <c r="D537" s="15" t="inlineStr">
        <is>
          <t>SANDHAR Hosur</t>
        </is>
      </c>
      <c r="E537" s="601" t="n">
        <v>941496</v>
      </c>
      <c r="F537" s="601" t="n">
        <v>1937022</v>
      </c>
      <c r="G537" s="601">
        <f>_xlfn.CONCAT(scheduleapr[[#This Row],[CUSTOMER CODE]],"-",scheduleapr[[#This Row],[MATERIAL NO]])</f>
        <v/>
      </c>
      <c r="H537" s="601" t="inlineStr">
        <is>
          <t>TUB-O-N-GEN-AW-PE-19.05X1.200X0.6500</t>
        </is>
      </c>
      <c r="I537" s="601" t="inlineStr">
        <is>
          <t>ERW 1</t>
        </is>
      </c>
      <c r="J537" s="601" t="n"/>
      <c r="K537" s="601" t="inlineStr">
        <is>
          <t>PE</t>
        </is>
      </c>
      <c r="L537" s="601" t="inlineStr">
        <is>
          <t>CR</t>
        </is>
      </c>
      <c r="M537" s="601" t="n"/>
      <c r="N537" s="601" t="n"/>
      <c r="O537" s="601" t="n"/>
      <c r="P537" s="601" t="n"/>
      <c r="Q537" s="557">
        <f>CONCATENATE(scheduleapr[[#This Row],[OD]],"-",scheduleapr[[#This Row],[ID]],"-",scheduleapr[[#This Row],[TICKNESS]],"-",scheduleapr[[#This Row],[Grade]],"-",scheduleapr[[#This Row],[FC/NFC]])</f>
        <v/>
      </c>
      <c r="R537" s="557">
        <f>_xlfn.CONCAT(scheduleapr[[#This Row],[Bucket]],"-",scheduleapr[[#This Row],[LENGTH]]/1000)</f>
        <v/>
      </c>
      <c r="S537" s="557">
        <f>COUNTIF(scheduleapr[CTL Bucket],scheduleapr[[#This Row],[CTL Bucket]])</f>
        <v/>
      </c>
      <c r="T537" s="601" t="inlineStr">
        <is>
          <t>Hosur</t>
        </is>
      </c>
      <c r="U537" s="601">
        <f>_xlfn.IFNA(VLOOKUP(scheduleapr[[#This Row],[Bucket]],salesforecast[[#All],[Bucket2]:[8406 Stock]],19,0),0)</f>
        <v/>
      </c>
      <c r="V537" s="562">
        <f>_xlfn.IFNA(VLOOKUP(scheduleapr[[#This Row],[Bucket]],salesforecast[[#All],[Bucket2]:[8406 Stock]],20,0),0)+_xlfn.IFNA(VLOOKUP(scheduleapr[[#This Row],[Bucket]],salesforecast[[#All],[Bucket2]:[8406 Stock]],17,0),0)</f>
        <v/>
      </c>
      <c r="W537" s="557" t="n"/>
      <c r="X537" s="599" t="n">
        <v>19.05</v>
      </c>
      <c r="Y537" s="599" t="n">
        <v>19.05</v>
      </c>
      <c r="Z537" s="599" t="n">
        <v>0</v>
      </c>
      <c r="AA537" s="599" t="n">
        <v>1.2</v>
      </c>
      <c r="AB537" s="81" t="n">
        <v>650</v>
      </c>
      <c r="AC537" s="600" t="inlineStr">
        <is>
          <t>NOS</t>
        </is>
      </c>
      <c r="AD537" s="600" t="n"/>
      <c r="AE537" s="600" t="n"/>
      <c r="AF537" s="601" t="n">
        <v>15000</v>
      </c>
      <c r="AG537" s="601" t="inlineStr">
        <is>
          <t>Aug 2026 schedule · sandhar hosur</t>
        </is>
      </c>
      <c r="AH537" s="601">
        <f t="array" ref="AH5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7" s="602">
        <f>scheduleapr[[#This Row],[SCHEDULE in nos]]-scheduleapr[[#This Row],[DISPATCH]]</f>
        <v/>
      </c>
      <c r="AJ537" s="599">
        <f>(3.14*(scheduleapr[[#This Row],[ACTUAL OD]]-scheduleapr[[#This Row],[TICKNESS]])*scheduleapr[[#This Row],[TICKNESS]]*scheduleapr[[#This Row],[LENGTH]]*7.85)/1000000*scheduleapr[[#This Row],[SCHEDULE in nos]]/1000</f>
        <v/>
      </c>
      <c r="AK537" s="599">
        <f>(3.14*(scheduleapr[[#This Row],[ACTUAL OD]]-scheduleapr[[#This Row],[TICKNESS]])*scheduleapr[[#This Row],[TICKNESS]]*scheduleapr[[#This Row],[LENGTH]]*7.85)/1000000*scheduleapr[[#This Row],[DISPATCH]]/1000</f>
        <v/>
      </c>
      <c r="AL537" s="599">
        <f>AJ537-AK537</f>
        <v/>
      </c>
      <c r="AM537" s="599">
        <f>scheduleapr[[#This Row],[SCHEDULE in nos]]/scheduleapr[[#This Row],[SCHEDULE IN MT]]*scheduleapr[[#This Row],[CTL Stock]]</f>
        <v/>
      </c>
      <c r="AN537" s="599">
        <f>SUMIFS(stock[MT],stock[Bucket],scheduleapr[[#This Row],[Bucket]],stock[CTL Bucket],scheduleapr[[#This Row],[CTL Bucket]],stock[Plant],"0789")</f>
        <v/>
      </c>
      <c r="AO537" s="599" t="n"/>
      <c r="AP537" s="599">
        <f>SUMIFS(stock[MT],stock[Bucket],scheduleapr[[#This Row],[Bucket]],stock[LL or CTL],"LL")</f>
        <v/>
      </c>
      <c r="AQ537" s="599">
        <f>+SUMIFS(wip[Stock(Net Wt)],wip[Bucket],scheduleapr[[#This Row],[Bucket]])/1000</f>
        <v/>
      </c>
      <c r="AR537" s="599">
        <f>AJ537-AN537</f>
        <v/>
      </c>
      <c r="AS537" s="118" t="n"/>
    </row>
    <row r="538">
      <c r="A538" s="594" t="n">
        <v>396</v>
      </c>
      <c r="B538" s="5" t="inlineStr">
        <is>
          <t>Hosur</t>
        </is>
      </c>
      <c r="C538" s="601" t="inlineStr">
        <is>
          <t>SANDHAR ENGINEERING PVT LTD.</t>
        </is>
      </c>
      <c r="D538" s="15" t="inlineStr">
        <is>
          <t>SANDHAR Hosur</t>
        </is>
      </c>
      <c r="E538" s="601" t="n">
        <v>941496</v>
      </c>
      <c r="F538" s="601" t="n">
        <v>1940247</v>
      </c>
      <c r="G538" s="601">
        <f>_xlfn.CONCAT(scheduleapr[[#This Row],[CUSTOMER CODE]],"-",scheduleapr[[#This Row],[MATERIAL NO]])</f>
        <v/>
      </c>
      <c r="H538" s="601" t="inlineStr">
        <is>
          <t>TUB-O-O-AUT-AW-PE-19.05X1.600X0.5950</t>
        </is>
      </c>
      <c r="I538" s="601" t="inlineStr">
        <is>
          <t>ERW 1</t>
        </is>
      </c>
      <c r="J538" s="601" t="n"/>
      <c r="K538" s="601" t="inlineStr">
        <is>
          <t>PE</t>
        </is>
      </c>
      <c r="L538" s="601" t="inlineStr">
        <is>
          <t>CR</t>
        </is>
      </c>
      <c r="M538" s="596" t="inlineStr">
        <is>
          <t>GR1</t>
        </is>
      </c>
      <c r="N538" s="601" t="n"/>
      <c r="O538" s="601" t="n"/>
      <c r="P538" s="601" t="n"/>
      <c r="Q538" s="557">
        <f>CONCATENATE(scheduleapr[[#This Row],[OD]],"-",scheduleapr[[#This Row],[ID]],"-",scheduleapr[[#This Row],[TICKNESS]],"-",scheduleapr[[#This Row],[Grade]],"-",scheduleapr[[#This Row],[FC/NFC]])</f>
        <v/>
      </c>
      <c r="R538" s="557">
        <f>_xlfn.CONCAT(scheduleapr[[#This Row],[Bucket]],"-",scheduleapr[[#This Row],[LENGTH]]/1000)</f>
        <v/>
      </c>
      <c r="S538" s="557">
        <f>COUNTIF(scheduleapr[CTL Bucket],scheduleapr[[#This Row],[CTL Bucket]])</f>
        <v/>
      </c>
      <c r="T538" s="601" t="inlineStr">
        <is>
          <t>Hosur</t>
        </is>
      </c>
      <c r="U538" s="601">
        <f>_xlfn.IFNA(VLOOKUP(scheduleapr[[#This Row],[Bucket]],salesforecast[[#All],[Bucket2]:[8406 Stock]],19,0),0)</f>
        <v/>
      </c>
      <c r="V538" s="562">
        <f>_xlfn.IFNA(VLOOKUP(scheduleapr[[#This Row],[Bucket]],salesforecast[[#All],[Bucket2]:[8406 Stock]],20,0),0)+_xlfn.IFNA(VLOOKUP(scheduleapr[[#This Row],[Bucket]],salesforecast[[#All],[Bucket2]:[8406 Stock]],17,0),0)</f>
        <v/>
      </c>
      <c r="W538" s="601" t="inlineStr">
        <is>
          <t>exhaust pipe</t>
        </is>
      </c>
      <c r="X538" s="599" t="n">
        <v>19.05</v>
      </c>
      <c r="Y538" s="599" t="n">
        <v>19.05</v>
      </c>
      <c r="Z538" s="599" t="n">
        <v>0</v>
      </c>
      <c r="AA538" s="599" t="n">
        <v>1.6</v>
      </c>
      <c r="AB538" s="600" t="n">
        <v>595</v>
      </c>
      <c r="AC538" s="600" t="inlineStr">
        <is>
          <t>NOS</t>
        </is>
      </c>
      <c r="AD538" s="600" t="n"/>
      <c r="AE538" s="600" t="n"/>
      <c r="AF538" s="601" t="n">
        <v>10000</v>
      </c>
      <c r="AG538" s="601" t="inlineStr">
        <is>
          <t>Aug 2026 schedule · sandhar hosur</t>
        </is>
      </c>
      <c r="AH538" s="601">
        <f t="array" ref="AH5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8" s="602">
        <f>scheduleapr[[#This Row],[SCHEDULE in nos]]-scheduleapr[[#This Row],[DISPATCH]]</f>
        <v/>
      </c>
      <c r="AJ538" s="599">
        <f>(3.14*(scheduleapr[[#This Row],[ACTUAL OD]]-scheduleapr[[#This Row],[TICKNESS]])*scheduleapr[[#This Row],[TICKNESS]]*scheduleapr[[#This Row],[LENGTH]]*7.85)/1000000*scheduleapr[[#This Row],[SCHEDULE in nos]]/1000</f>
        <v/>
      </c>
      <c r="AK538" s="599">
        <f>(3.14*(scheduleapr[[#This Row],[ACTUAL OD]]-scheduleapr[[#This Row],[TICKNESS]])*scheduleapr[[#This Row],[TICKNESS]]*scheduleapr[[#This Row],[LENGTH]]*7.85)/1000000*scheduleapr[[#This Row],[DISPATCH]]/1000</f>
        <v/>
      </c>
      <c r="AL538" s="599">
        <f>AJ538-AK538</f>
        <v/>
      </c>
      <c r="AM538" s="599">
        <f>scheduleapr[[#This Row],[SCHEDULE in nos]]/scheduleapr[[#This Row],[SCHEDULE IN MT]]*scheduleapr[[#This Row],[CTL Stock]]</f>
        <v/>
      </c>
      <c r="AN538" s="599">
        <f>SUMIFS(stock[MT],stock[Bucket],scheduleapr[[#This Row],[Bucket]],stock[CTL Bucket],scheduleapr[[#This Row],[CTL Bucket]],stock[Plant],"0789")</f>
        <v/>
      </c>
      <c r="AO538" s="599" t="n"/>
      <c r="AP538" s="599">
        <f>SUMIFS(stock[MT],stock[Bucket],scheduleapr[[#This Row],[Bucket]],stock[LL or CTL],"LL")</f>
        <v/>
      </c>
      <c r="AQ538" s="599">
        <f>+SUMIFS(wip[Stock(Net Wt)],wip[Bucket],scheduleapr[[#This Row],[Bucket]])/1000</f>
        <v/>
      </c>
      <c r="AR538" s="599">
        <f>AJ538-AN538</f>
        <v/>
      </c>
      <c r="AS538" s="118" t="n"/>
    </row>
    <row r="539">
      <c r="A539" s="594" t="n">
        <v>399</v>
      </c>
      <c r="B539" s="5" t="inlineStr">
        <is>
          <t>Hosur</t>
        </is>
      </c>
      <c r="C539" s="601" t="inlineStr">
        <is>
          <t>SANDHAR ENGINEERING PVT LTD.</t>
        </is>
      </c>
      <c r="D539" s="15" t="inlineStr">
        <is>
          <t>SANDHAR Hosur</t>
        </is>
      </c>
      <c r="E539" s="601" t="n">
        <v>941496</v>
      </c>
      <c r="F539" s="9" t="n">
        <v>2320564</v>
      </c>
      <c r="G539" s="601">
        <f>_xlfn.CONCAT(scheduleapr[[#This Row],[CUSTOMER CODE]],"-",scheduleapr[[#This Row],[MATERIAL NO]])</f>
        <v/>
      </c>
      <c r="H539" s="9" t="inlineStr">
        <is>
          <t>TUB-O-N-AUT-AW-PE-19.05X2.300X0.4000</t>
        </is>
      </c>
      <c r="I539" s="601" t="inlineStr">
        <is>
          <t>ERW 1</t>
        </is>
      </c>
      <c r="J539" s="601" t="n"/>
      <c r="K539" s="601" t="inlineStr">
        <is>
          <t>PE</t>
        </is>
      </c>
      <c r="L539" s="601" t="inlineStr">
        <is>
          <t>HR</t>
        </is>
      </c>
      <c r="M539" s="601" t="n"/>
      <c r="N539" s="601" t="n"/>
      <c r="O539" s="601" t="n"/>
      <c r="P539" s="601" t="n"/>
      <c r="Q539" s="557">
        <f>CONCATENATE(scheduleapr[[#This Row],[OD]],"-",scheduleapr[[#This Row],[ID]],"-",scheduleapr[[#This Row],[TICKNESS]],"-",scheduleapr[[#This Row],[Grade]],"-",scheduleapr[[#This Row],[FC/NFC]])</f>
        <v/>
      </c>
      <c r="R539" s="557">
        <f>_xlfn.CONCAT(scheduleapr[[#This Row],[Bucket]],"-",scheduleapr[[#This Row],[LENGTH]]/1000)</f>
        <v/>
      </c>
      <c r="S539" s="557">
        <f>COUNTIF([2]!buckets[CTL Bucket],[2]!scheduleapr[[#This Row],[CTL Bucket]])</f>
        <v/>
      </c>
      <c r="T539" s="557" t="n"/>
      <c r="U539" s="557" t="n"/>
      <c r="V539" s="557" t="n"/>
      <c r="W539" s="557" t="n"/>
      <c r="X539" s="599" t="n">
        <v>19.05</v>
      </c>
      <c r="Y539" s="599" t="n">
        <v>19.05</v>
      </c>
      <c r="Z539" s="599" t="n">
        <v>0</v>
      </c>
      <c r="AA539" s="599" t="n">
        <v>2.3</v>
      </c>
      <c r="AB539" s="600" t="n">
        <v>400</v>
      </c>
      <c r="AC539" s="600" t="inlineStr">
        <is>
          <t>NOS</t>
        </is>
      </c>
      <c r="AD539" s="600" t="n"/>
      <c r="AE539" s="600" t="n"/>
      <c r="AF539" s="601" t="n"/>
      <c r="AG539" s="601" t="n"/>
      <c r="AH539" s="601">
        <f t="array" ref="AH5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39" s="602">
        <f>scheduleapr[[#This Row],[SCHEDULE in nos]]-scheduleapr[[#This Row],[DISPATCH]]</f>
        <v/>
      </c>
      <c r="AJ539" s="599">
        <f>(3.14*(scheduleapr[[#This Row],[ACTUAL OD]]-scheduleapr[[#This Row],[TICKNESS]])*scheduleapr[[#This Row],[TICKNESS]]*scheduleapr[[#This Row],[LENGTH]]*7.85)/1000000*scheduleapr[[#This Row],[SCHEDULE in nos]]/1000</f>
        <v/>
      </c>
      <c r="AK539" s="599">
        <f>(3.14*(scheduleapr[[#This Row],[ACTUAL OD]]-scheduleapr[[#This Row],[TICKNESS]])*scheduleapr[[#This Row],[TICKNESS]]*scheduleapr[[#This Row],[LENGTH]]*7.85)/1000000*scheduleapr[[#This Row],[DISPATCH]]/1000</f>
        <v/>
      </c>
      <c r="AL539" s="599">
        <f>AJ539-AK539</f>
        <v/>
      </c>
      <c r="AM539" s="599">
        <f>scheduleapr[[#This Row],[SCHEDULE in nos]]/scheduleapr[[#This Row],[SCHEDULE IN MT]]*scheduleapr[[#This Row],[CTL Stock]]</f>
        <v/>
      </c>
      <c r="AN539" s="599">
        <f>SUMIFS(stock[MT],stock[Bucket],scheduleapr[[#This Row],[Bucket]],stock[CTL Bucket],scheduleapr[[#This Row],[CTL Bucket]],stock[Plant],"0789")</f>
        <v/>
      </c>
      <c r="AO539" s="599" t="n"/>
      <c r="AP539" s="599">
        <f>SUMIFS(stock[MT],stock[Bucket],scheduleapr[[#This Row],[Bucket]],stock[LL or CTL],"LL")</f>
        <v/>
      </c>
      <c r="AQ539" s="599">
        <f>+SUMIFS(wip[Stock(Net Wt)],wip[Bucket],scheduleapr[[#This Row],[Bucket]])/1000</f>
        <v/>
      </c>
      <c r="AR539" s="599">
        <f>AJ539-AN539</f>
        <v/>
      </c>
      <c r="AS539" s="118" t="n"/>
    </row>
    <row r="540">
      <c r="A540" s="594" t="n">
        <v>410</v>
      </c>
      <c r="B540" s="5" t="inlineStr">
        <is>
          <t>Hosur</t>
        </is>
      </c>
      <c r="C540" s="601" t="inlineStr">
        <is>
          <t>SANDHAR ENGINEERING PVT LTD.</t>
        </is>
      </c>
      <c r="D540" t="inlineStr">
        <is>
          <t>SANDHAR Hosur</t>
        </is>
      </c>
      <c r="E540" s="601" t="n">
        <v>941496</v>
      </c>
      <c r="F540" s="601" t="n">
        <v>3718926</v>
      </c>
      <c r="G540" s="601">
        <f>_xlfn.CONCAT(scheduleapr[[#This Row],[CUSTOMER CODE]],"-",scheduleapr[[#This Row],[MATERIAL NO]])</f>
        <v/>
      </c>
      <c r="H540" s="601" t="inlineStr">
        <is>
          <t>PT2-O-N-AUT-AW-PE-19.05X2.340X0.4020</t>
        </is>
      </c>
      <c r="I540" s="601" t="inlineStr">
        <is>
          <t>ERW 1</t>
        </is>
      </c>
      <c r="J540" s="601" t="n"/>
      <c r="K540" s="601" t="n"/>
      <c r="L540" s="601" t="inlineStr">
        <is>
          <t>HR</t>
        </is>
      </c>
      <c r="M540" s="601" t="n"/>
      <c r="N540" s="601" t="n"/>
      <c r="O540" s="601" t="n"/>
      <c r="P540" s="601" t="n"/>
      <c r="Q540" s="557">
        <f>CONCATENATE(scheduleapr[[#This Row],[OD]],"-",scheduleapr[[#This Row],[ID]],"-",scheduleapr[[#This Row],[TICKNESS]],"-",scheduleapr[[#This Row],[Grade]],"-",scheduleapr[[#This Row],[FC/NFC]])</f>
        <v/>
      </c>
      <c r="R540" s="557">
        <f>_xlfn.CONCAT(scheduleapr[[#This Row],[Bucket]],"-",scheduleapr[[#This Row],[LENGTH]]/1000)</f>
        <v/>
      </c>
      <c r="S540" s="557">
        <f>COUNTIF([2]!buckets[CTL Bucket],[2]!scheduleapr[[#This Row],[CTL Bucket]])</f>
        <v/>
      </c>
      <c r="T540" s="557" t="n"/>
      <c r="U540" s="557" t="n"/>
      <c r="V540" s="557" t="n"/>
      <c r="W540" s="557" t="n"/>
      <c r="X540" s="599" t="n">
        <v>19.05</v>
      </c>
      <c r="Y540" s="599" t="n">
        <v>19.05</v>
      </c>
      <c r="Z540" s="599" t="n">
        <v>0</v>
      </c>
      <c r="AA540" s="599" t="n">
        <v>2.3</v>
      </c>
      <c r="AB540" s="600" t="n">
        <v>402</v>
      </c>
      <c r="AC540" s="600" t="inlineStr">
        <is>
          <t>NOS</t>
        </is>
      </c>
      <c r="AD540" s="600" t="n"/>
      <c r="AE540" s="600" t="n"/>
      <c r="AF540" s="601" t="n"/>
      <c r="AG540" s="601" t="n"/>
      <c r="AH540" s="601">
        <f t="array" ref="AH5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0" s="602">
        <f>scheduleapr[[#This Row],[SCHEDULE in nos]]-scheduleapr[[#This Row],[DISPATCH]]</f>
        <v/>
      </c>
      <c r="AJ540" s="599">
        <f>(3.14*(scheduleapr[[#This Row],[ACTUAL OD]]-scheduleapr[[#This Row],[TICKNESS]])*scheduleapr[[#This Row],[TICKNESS]]*scheduleapr[[#This Row],[LENGTH]]*7.85)/1000000*scheduleapr[[#This Row],[SCHEDULE in nos]]/1000</f>
        <v/>
      </c>
      <c r="AK540" s="599">
        <f>(3.14*(scheduleapr[[#This Row],[ACTUAL OD]]-scheduleapr[[#This Row],[TICKNESS]])*scheduleapr[[#This Row],[TICKNESS]]*scheduleapr[[#This Row],[LENGTH]]*7.85)/1000000*scheduleapr[[#This Row],[DISPATCH]]/1000</f>
        <v/>
      </c>
      <c r="AL540" s="599">
        <f>AJ540-AK540</f>
        <v/>
      </c>
      <c r="AM540" s="599">
        <f>scheduleapr[[#This Row],[SCHEDULE in nos]]/scheduleapr[[#This Row],[SCHEDULE IN MT]]*scheduleapr[[#This Row],[CTL Stock]]</f>
        <v/>
      </c>
      <c r="AN540" s="599">
        <f>SUMIFS(stock[MT],stock[Bucket],scheduleapr[[#This Row],[Bucket]],stock[CTL Bucket],scheduleapr[[#This Row],[CTL Bucket]],stock[Plant],"0789")</f>
        <v/>
      </c>
      <c r="AO540" s="599" t="n"/>
      <c r="AP540" s="599">
        <f>SUMIFS(stock[MT],stock[Bucket],scheduleapr[[#This Row],[Bucket]],stock[LL or CTL],"LL")</f>
        <v/>
      </c>
      <c r="AQ540" s="599">
        <f>+SUMIFS(wip[Stock(Net Wt)],wip[Bucket],scheduleapr[[#This Row],[Bucket]])/1000</f>
        <v/>
      </c>
      <c r="AR540" s="599">
        <f>AJ540-AN540</f>
        <v/>
      </c>
      <c r="AS540" s="118" t="n"/>
    </row>
    <row r="541">
      <c r="A541" s="594" t="n">
        <v>411</v>
      </c>
      <c r="B541" s="5" t="inlineStr">
        <is>
          <t>Hosur</t>
        </is>
      </c>
      <c r="C541" s="601" t="inlineStr">
        <is>
          <t>SANDHAR ENGINEERING PVT LTD.</t>
        </is>
      </c>
      <c r="D541" s="15" t="inlineStr">
        <is>
          <t>SANDHAR Hosur</t>
        </is>
      </c>
      <c r="E541" s="601" t="n">
        <v>941496</v>
      </c>
      <c r="F541" s="601" t="n">
        <v>3667938</v>
      </c>
      <c r="G541" s="601">
        <f>_xlfn.CONCAT(scheduleapr[[#This Row],[CUSTOMER CODE]],"-",scheduleapr[[#This Row],[MATERIAL NO]])</f>
        <v/>
      </c>
      <c r="H541" s="601" t="inlineStr">
        <is>
          <t>CUT-O-N-AUT-AW-PE-22.20X1.200X0.6730</t>
        </is>
      </c>
      <c r="I541" s="601" t="inlineStr">
        <is>
          <t>ERW 1</t>
        </is>
      </c>
      <c r="J541" s="601" t="n"/>
      <c r="K541" s="601" t="inlineStr">
        <is>
          <t>PE</t>
        </is>
      </c>
      <c r="L541" s="601" t="inlineStr">
        <is>
          <t>HR</t>
        </is>
      </c>
      <c r="M541" s="601" t="n"/>
      <c r="N541" s="601" t="n"/>
      <c r="O541" s="601" t="n"/>
      <c r="P541" s="601" t="n"/>
      <c r="Q541" s="557">
        <f>CONCATENATE(scheduleapr[[#This Row],[OD]],"-",scheduleapr[[#This Row],[ID]],"-",scheduleapr[[#This Row],[TICKNESS]],"-",scheduleapr[[#This Row],[Grade]],"-",scheduleapr[[#This Row],[FC/NFC]])</f>
        <v/>
      </c>
      <c r="R541" s="557">
        <f>_xlfn.CONCAT(scheduleapr[[#This Row],[Bucket]],"-",scheduleapr[[#This Row],[LENGTH]]/1000)</f>
        <v/>
      </c>
      <c r="S541" s="557">
        <f>COUNTIF(scheduleapr[CTL Bucket],scheduleapr[[#This Row],[CTL Bucket]])</f>
        <v/>
      </c>
      <c r="T541" s="601" t="inlineStr">
        <is>
          <t>Hosur</t>
        </is>
      </c>
      <c r="U541" s="601" t="n"/>
      <c r="V541" s="557" t="n"/>
      <c r="W541" s="557" t="n"/>
      <c r="X541" s="599" t="n">
        <v>22.23</v>
      </c>
      <c r="Y541" s="599" t="n">
        <v>22.23</v>
      </c>
      <c r="Z541" s="599" t="n">
        <v>0</v>
      </c>
      <c r="AA541" s="599" t="n">
        <v>1.2</v>
      </c>
      <c r="AB541" s="600" t="n">
        <v>673</v>
      </c>
      <c r="AC541" s="600" t="inlineStr">
        <is>
          <t>NOS</t>
        </is>
      </c>
      <c r="AD541" s="600" t="n"/>
      <c r="AE541" s="600" t="n"/>
      <c r="AF541" s="601" t="n"/>
      <c r="AG541" s="601" t="n"/>
      <c r="AH541" s="601">
        <f t="array" ref="AH5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1" s="602">
        <f>scheduleapr[[#This Row],[SCHEDULE in nos]]-scheduleapr[[#This Row],[DISPATCH]]</f>
        <v/>
      </c>
      <c r="AJ541" s="599">
        <f>(3.14*(scheduleapr[[#This Row],[ACTUAL OD]]-scheduleapr[[#This Row],[TICKNESS]])*scheduleapr[[#This Row],[TICKNESS]]*scheduleapr[[#This Row],[LENGTH]]*7.85)/1000000*scheduleapr[[#This Row],[SCHEDULE in nos]]/1000</f>
        <v/>
      </c>
      <c r="AK541" s="599">
        <f>(3.14*(scheduleapr[[#This Row],[ACTUAL OD]]-scheduleapr[[#This Row],[TICKNESS]])*scheduleapr[[#This Row],[TICKNESS]]*scheduleapr[[#This Row],[LENGTH]]*7.85)/1000000*scheduleapr[[#This Row],[DISPATCH]]/1000</f>
        <v/>
      </c>
      <c r="AL541" s="599">
        <f>AJ541-AK541</f>
        <v/>
      </c>
      <c r="AM541" s="599">
        <f>scheduleapr[[#This Row],[SCHEDULE in nos]]/scheduleapr[[#This Row],[SCHEDULE IN MT]]*scheduleapr[[#This Row],[CTL Stock]]</f>
        <v/>
      </c>
      <c r="AN541" s="599">
        <f>SUMIFS(stock[MT],stock[Bucket],scheduleapr[[#This Row],[Bucket]],stock[CTL Bucket],scheduleapr[[#This Row],[CTL Bucket]],stock[Plant],"0789")</f>
        <v/>
      </c>
      <c r="AO541" s="599" t="n"/>
      <c r="AP541" s="599">
        <f>SUMIFS(stock[MT],stock[Bucket],scheduleapr[[#This Row],[Bucket]],stock[LL or CTL],"LL")</f>
        <v/>
      </c>
      <c r="AQ541" s="599">
        <f>+SUMIFS(wip[Stock(Net Wt)],wip[Bucket],scheduleapr[[#This Row],[Bucket]])/1000</f>
        <v/>
      </c>
      <c r="AR541" s="599">
        <f>AJ541-AN541</f>
        <v/>
      </c>
      <c r="AS541" s="118" t="n"/>
    </row>
    <row r="542">
      <c r="A542" s="594" t="n">
        <v>420</v>
      </c>
      <c r="B542" s="5" t="inlineStr">
        <is>
          <t>Hosur</t>
        </is>
      </c>
      <c r="C542" s="601" t="inlineStr">
        <is>
          <t>SANDHAR ENGINEERING PVT LTD.</t>
        </is>
      </c>
      <c r="D542" s="15" t="inlineStr">
        <is>
          <t>SANDHAR Hosur</t>
        </is>
      </c>
      <c r="E542" s="601" t="n">
        <v>941496</v>
      </c>
      <c r="F542" s="601" t="n">
        <v>3553684</v>
      </c>
      <c r="G542" s="601">
        <f>_xlfn.CONCAT(scheduleapr[[#This Row],[CUSTOMER CODE]],"-",scheduleapr[[#This Row],[MATERIAL NO]])</f>
        <v/>
      </c>
      <c r="H542" s="601" t="inlineStr">
        <is>
          <t>TUB-O-N-AUT-AW-PE-22.23X1.600X0.2740</t>
        </is>
      </c>
      <c r="I542" s="601" t="inlineStr">
        <is>
          <t>ERW 1</t>
        </is>
      </c>
      <c r="J542" s="601" t="n"/>
      <c r="K542" s="601" t="inlineStr">
        <is>
          <t>PE</t>
        </is>
      </c>
      <c r="L542" s="601" t="inlineStr">
        <is>
          <t>CR</t>
        </is>
      </c>
      <c r="M542" s="596" t="inlineStr">
        <is>
          <t>HROP</t>
        </is>
      </c>
      <c r="N542" s="601" t="n"/>
      <c r="O542" s="601" t="n"/>
      <c r="P542" s="601" t="n"/>
      <c r="Q542" s="557">
        <f>CONCATENATE(scheduleapr[[#This Row],[OD]],"-",scheduleapr[[#This Row],[ID]],"-",scheduleapr[[#This Row],[TICKNESS]],"-",scheduleapr[[#This Row],[Grade]],"-",scheduleapr[[#This Row],[FC/NFC]])</f>
        <v/>
      </c>
      <c r="R542" s="557">
        <f>_xlfn.CONCAT(scheduleapr[[#This Row],[Bucket]],"-",scheduleapr[[#This Row],[LENGTH]]/1000)</f>
        <v/>
      </c>
      <c r="S542" s="557">
        <f>COUNTIF(scheduleapr[CTL Bucket],scheduleapr[[#This Row],[CTL Bucket]])</f>
        <v/>
      </c>
      <c r="T542" s="601" t="inlineStr">
        <is>
          <t>Hosur</t>
        </is>
      </c>
      <c r="U542" s="601">
        <f>_xlfn.IFNA(VLOOKUP(scheduleapr[[#This Row],[Bucket]],salesforecast[[#All],[Bucket2]:[8406 Stock]],19,0),0)</f>
        <v/>
      </c>
      <c r="V542" s="562">
        <f>_xlfn.IFNA(VLOOKUP(scheduleapr[[#This Row],[Bucket]],salesforecast[[#All],[Bucket2]:[8406 Stock]],20,0),0)+_xlfn.IFNA(VLOOKUP(scheduleapr[[#This Row],[Bucket]],salesforecast[[#All],[Bucket2]:[8406 Stock]],17,0),0)</f>
        <v/>
      </c>
      <c r="W542" s="557" t="n"/>
      <c r="X542" s="599" t="n">
        <v>22.23</v>
      </c>
      <c r="Y542" s="599" t="n">
        <v>22.23</v>
      </c>
      <c r="Z542" s="599" t="n">
        <v>0</v>
      </c>
      <c r="AA542" s="599" t="n">
        <v>1.6</v>
      </c>
      <c r="AB542" s="600" t="n">
        <v>274</v>
      </c>
      <c r="AC542" s="600" t="inlineStr">
        <is>
          <t>NOS</t>
        </is>
      </c>
      <c r="AD542" s="600" t="n"/>
      <c r="AE542" s="600" t="n"/>
      <c r="AF542" s="601" t="n">
        <v>10000</v>
      </c>
      <c r="AG542" s="601" t="inlineStr">
        <is>
          <t>Aug 2026 schedule · sandhar hosur</t>
        </is>
      </c>
      <c r="AH542" s="601">
        <f t="array" ref="AH5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2" s="602">
        <f>scheduleapr[[#This Row],[SCHEDULE in nos]]-scheduleapr[[#This Row],[DISPATCH]]</f>
        <v/>
      </c>
      <c r="AJ542" s="599">
        <f>(3.14*(scheduleapr[[#This Row],[ACTUAL OD]]-scheduleapr[[#This Row],[TICKNESS]])*scheduleapr[[#This Row],[TICKNESS]]*scheduleapr[[#This Row],[LENGTH]]*7.85)/1000000*scheduleapr[[#This Row],[SCHEDULE in nos]]/1000</f>
        <v/>
      </c>
      <c r="AK542" s="599">
        <f>(3.14*(scheduleapr[[#This Row],[ACTUAL OD]]-scheduleapr[[#This Row],[TICKNESS]])*scheduleapr[[#This Row],[TICKNESS]]*scheduleapr[[#This Row],[LENGTH]]*7.85)/1000000*scheduleapr[[#This Row],[DISPATCH]]/1000</f>
        <v/>
      </c>
      <c r="AL542" s="599">
        <f>AJ542-AK542</f>
        <v/>
      </c>
      <c r="AM542" s="599">
        <f>scheduleapr[[#This Row],[SCHEDULE in nos]]/scheduleapr[[#This Row],[SCHEDULE IN MT]]*scheduleapr[[#This Row],[CTL Stock]]</f>
        <v/>
      </c>
      <c r="AN542" s="599">
        <f>SUMIFS(stock[MT],stock[Bucket],scheduleapr[[#This Row],[Bucket]],stock[CTL Bucket],scheduleapr[[#This Row],[CTL Bucket]],stock[Plant],"0789")</f>
        <v/>
      </c>
      <c r="AO542" s="599" t="n"/>
      <c r="AP542" s="599">
        <f>SUMIFS(stock[MT],stock[Bucket],scheduleapr[[#This Row],[Bucket]],stock[LL or CTL],"LL")</f>
        <v/>
      </c>
      <c r="AQ542" s="599">
        <f>+SUMIFS(wip[Stock(Net Wt)],wip[Bucket],scheduleapr[[#This Row],[Bucket]])/1000</f>
        <v/>
      </c>
      <c r="AR542" s="599">
        <f>AJ542-AN542</f>
        <v/>
      </c>
      <c r="AS542" s="118" t="n"/>
    </row>
    <row r="543">
      <c r="A543" s="594" t="n">
        <v>458</v>
      </c>
      <c r="B543" s="5" t="inlineStr">
        <is>
          <t>Hosur</t>
        </is>
      </c>
      <c r="C543" s="601" t="inlineStr">
        <is>
          <t>SANDHAR ENGINEERING PVT LTD.</t>
        </is>
      </c>
      <c r="D543" s="15" t="inlineStr">
        <is>
          <t>SANDHAR Hosur</t>
        </is>
      </c>
      <c r="E543" s="601" t="n">
        <v>941496</v>
      </c>
      <c r="F543" s="601" t="n">
        <v>1940437</v>
      </c>
      <c r="G543" s="601">
        <f>_xlfn.CONCAT(scheduleapr[[#This Row],[CUSTOMER CODE]],"-",scheduleapr[[#This Row],[MATERIAL NO]])</f>
        <v/>
      </c>
      <c r="H543" s="601" t="inlineStr">
        <is>
          <t>TUB-O-O-AUT-AW-PE-22.23X2.000X0.3940</t>
        </is>
      </c>
      <c r="I543" s="601" t="inlineStr">
        <is>
          <t>ERW 1</t>
        </is>
      </c>
      <c r="J543" s="601" t="n"/>
      <c r="K543" s="601" t="inlineStr">
        <is>
          <t>PE</t>
        </is>
      </c>
      <c r="L543" s="601" t="inlineStr">
        <is>
          <t>HR</t>
        </is>
      </c>
      <c r="M543" s="601" t="n"/>
      <c r="N543" s="601" t="n"/>
      <c r="O543" s="601" t="n"/>
      <c r="P543" s="601" t="n"/>
      <c r="Q543" s="557">
        <f>CONCATENATE(scheduleapr[[#This Row],[OD]],"-",scheduleapr[[#This Row],[ID]],"-",scheduleapr[[#This Row],[TICKNESS]],"-",scheduleapr[[#This Row],[Grade]],"-",scheduleapr[[#This Row],[FC/NFC]])</f>
        <v/>
      </c>
      <c r="R543" s="557">
        <f>_xlfn.CONCAT(scheduleapr[[#This Row],[Bucket]],"-",scheduleapr[[#This Row],[LENGTH]]/1000)</f>
        <v/>
      </c>
      <c r="S543" s="557">
        <f>COUNTIF(scheduleapr[CTL Bucket],scheduleapr[[#This Row],[CTL Bucket]])</f>
        <v/>
      </c>
      <c r="T543" s="601" t="inlineStr">
        <is>
          <t>Hosur</t>
        </is>
      </c>
      <c r="U543" s="601">
        <f>_xlfn.IFNA(VLOOKUP(scheduleapr[[#This Row],[Bucket]],salesforecast[[#All],[Bucket2]:[8406 Stock]],19,0),0)</f>
        <v/>
      </c>
      <c r="V543" s="562">
        <f>_xlfn.IFNA(VLOOKUP(scheduleapr[[#This Row],[Bucket]],salesforecast[[#All],[Bucket2]:[8406 Stock]],20,0),0)+_xlfn.IFNA(VLOOKUP(scheduleapr[[#This Row],[Bucket]],salesforecast[[#All],[Bucket2]:[8406 Stock]],17,0),0)</f>
        <v/>
      </c>
      <c r="W543" s="557" t="n"/>
      <c r="X543" s="599" t="n">
        <v>22.23</v>
      </c>
      <c r="Y543" s="599" t="n">
        <v>22.23</v>
      </c>
      <c r="Z543" s="599" t="n">
        <v>0</v>
      </c>
      <c r="AA543" s="599" t="n">
        <v>2</v>
      </c>
      <c r="AB543" s="600" t="n">
        <v>394</v>
      </c>
      <c r="AC543" s="600" t="inlineStr">
        <is>
          <t>NOS</t>
        </is>
      </c>
      <c r="AD543" s="600" t="n"/>
      <c r="AE543" s="600" t="n"/>
      <c r="AF543" s="601" t="n">
        <v>20000</v>
      </c>
      <c r="AG543" s="601" t="inlineStr">
        <is>
          <t>Aug 2026 schedule · sandhar hosur</t>
        </is>
      </c>
      <c r="AH543" s="601">
        <f t="array" ref="AH5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3" s="602">
        <f>scheduleapr[[#This Row],[SCHEDULE in nos]]-scheduleapr[[#This Row],[DISPATCH]]</f>
        <v/>
      </c>
      <c r="AJ543" s="599">
        <f>(3.14*(scheduleapr[[#This Row],[ACTUAL OD]]-scheduleapr[[#This Row],[TICKNESS]])*scheduleapr[[#This Row],[TICKNESS]]*scheduleapr[[#This Row],[LENGTH]]*7.85)/1000000*scheduleapr[[#This Row],[SCHEDULE in nos]]/1000</f>
        <v/>
      </c>
      <c r="AK543" s="599">
        <f>(3.14*(scheduleapr[[#This Row],[ACTUAL OD]]-scheduleapr[[#This Row],[TICKNESS]])*scheduleapr[[#This Row],[TICKNESS]]*scheduleapr[[#This Row],[LENGTH]]*7.85)/1000000*scheduleapr[[#This Row],[DISPATCH]]/1000</f>
        <v/>
      </c>
      <c r="AL543" s="599">
        <f>AJ543-AK543</f>
        <v/>
      </c>
      <c r="AM543" s="599">
        <f>scheduleapr[[#This Row],[SCHEDULE in nos]]/scheduleapr[[#This Row],[SCHEDULE IN MT]]*scheduleapr[[#This Row],[CTL Stock]]</f>
        <v/>
      </c>
      <c r="AN543" s="599">
        <f>SUMIFS(stock[MT],stock[Bucket],scheduleapr[[#This Row],[Bucket]],stock[CTL Bucket],scheduleapr[[#This Row],[CTL Bucket]],stock[Plant],"0789")</f>
        <v/>
      </c>
      <c r="AO543" s="599" t="n"/>
      <c r="AP543" s="599">
        <f>SUMIFS(stock[MT],stock[Bucket],scheduleapr[[#This Row],[Bucket]],stock[LL or CTL],"LL")</f>
        <v/>
      </c>
      <c r="AQ543" s="599">
        <f>+SUMIFS(wip[Stock(Net Wt)],wip[Bucket],scheduleapr[[#This Row],[Bucket]])/1000</f>
        <v/>
      </c>
      <c r="AR543" s="599">
        <f>AJ543-AN543</f>
        <v/>
      </c>
      <c r="AS543" s="118" t="n"/>
    </row>
    <row r="544">
      <c r="A544" s="594" t="n"/>
      <c r="B544" s="5" t="inlineStr">
        <is>
          <t>Hosur</t>
        </is>
      </c>
      <c r="C544" s="601" t="inlineStr">
        <is>
          <t>SANDHAR ENGINEERING PVT LTD.</t>
        </is>
      </c>
      <c r="D544" t="inlineStr">
        <is>
          <t>SANDHAR Hosur</t>
        </is>
      </c>
      <c r="E544" s="601" t="n">
        <v>941496</v>
      </c>
      <c r="F544" s="601" t="n"/>
      <c r="G544" s="601">
        <f>_xlfn.CONCAT(scheduleapr[[#This Row],[CUSTOMER CODE]],"-",scheduleapr[[#This Row],[MATERIAL NO]])</f>
        <v/>
      </c>
      <c r="H544" s="601" t="n"/>
      <c r="I544" s="601" t="inlineStr">
        <is>
          <t>ERW 1</t>
        </is>
      </c>
      <c r="J544" s="601" t="n"/>
      <c r="K544" s="601" t="inlineStr">
        <is>
          <t>PE</t>
        </is>
      </c>
      <c r="L544" s="601" t="n"/>
      <c r="M544" s="596" t="n"/>
      <c r="N544" s="601" t="n"/>
      <c r="O544" s="601" t="n"/>
      <c r="P544" s="601" t="n"/>
      <c r="Q544" s="15" t="inlineStr">
        <is>
          <t>22.23-0-2-ERW 1-PE</t>
        </is>
      </c>
      <c r="R544" s="557">
        <f>_xlfn.CONCAT(scheduleapr[[#This Row],[Bucket]],"-",scheduleapr[[#This Row],[LENGTH]]/1000)</f>
        <v/>
      </c>
      <c r="S544" s="601" t="n"/>
      <c r="T544" s="601" t="n"/>
      <c r="U544" s="601">
        <f>_xlfn.IFNA(VLOOKUP(scheduleapr[[#This Row],[Bucket]],salesforecast[[#All],[Bucket2]:[8406 Stock]],19,0),0)</f>
        <v/>
      </c>
      <c r="V544" s="562">
        <f>_xlfn.IFNA(VLOOKUP(scheduleapr[[#This Row],[Bucket]],salesforecast[[#All],[Bucket2]:[8406 Stock]],20,0),0)+_xlfn.IFNA(VLOOKUP(scheduleapr[[#This Row],[Bucket]],salesforecast[[#All],[Bucket2]:[8406 Stock]],17,0),0)</f>
        <v/>
      </c>
      <c r="W544" s="601" t="n"/>
      <c r="X544" s="599" t="n">
        <v>22.23</v>
      </c>
      <c r="Y544" s="599" t="n">
        <v>22.23</v>
      </c>
      <c r="Z544" s="599" t="n">
        <v>0</v>
      </c>
      <c r="AA544" s="599" t="n">
        <v>2</v>
      </c>
      <c r="AB544" s="600" t="n">
        <v>805</v>
      </c>
      <c r="AC544" s="600" t="inlineStr">
        <is>
          <t>NOS</t>
        </is>
      </c>
      <c r="AD544" s="600" t="n"/>
      <c r="AE544" s="600" t="n"/>
      <c r="AF544" s="601" t="n">
        <v>10000</v>
      </c>
      <c r="AG544" s="601" t="inlineStr">
        <is>
          <t>Aug 2026 schedule · sandhar hosur</t>
        </is>
      </c>
      <c r="AH544" s="601">
        <f t="array" ref="AH5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4" s="602">
        <f>scheduleapr[[#This Row],[SCHEDULE in nos]]-scheduleapr[[#This Row],[DISPATCH]]</f>
        <v/>
      </c>
      <c r="AJ544" s="599">
        <f>(3.14*(scheduleapr[[#This Row],[ACTUAL OD]]-scheduleapr[[#This Row],[TICKNESS]])*scheduleapr[[#This Row],[TICKNESS]]*scheduleapr[[#This Row],[LENGTH]]*7.85)/1000000*scheduleapr[[#This Row],[SCHEDULE in nos]]/1000</f>
        <v/>
      </c>
      <c r="AK544" s="599">
        <f>(3.14*(scheduleapr[[#This Row],[ACTUAL OD]]-scheduleapr[[#This Row],[TICKNESS]])*scheduleapr[[#This Row],[TICKNESS]]*scheduleapr[[#This Row],[LENGTH]]*7.85)/1000000*scheduleapr[[#This Row],[DISPATCH]]/1000</f>
        <v/>
      </c>
      <c r="AL544" s="599">
        <f>AJ544-AK544</f>
        <v/>
      </c>
      <c r="AM544" s="599">
        <f>scheduleapr[[#This Row],[SCHEDULE in nos]]/scheduleapr[[#This Row],[SCHEDULE IN MT]]*scheduleapr[[#This Row],[CTL Stock]]</f>
        <v/>
      </c>
      <c r="AN544" s="599">
        <f>SUMIFS(stock[MT],stock[Bucket],scheduleapr[[#This Row],[Bucket]],stock[CTL Bucket],scheduleapr[[#This Row],[CTL Bucket]],stock[Plant],"0789")</f>
        <v/>
      </c>
      <c r="AO544" s="599" t="n"/>
      <c r="AP544" s="599">
        <f>SUMIFS(stock[MT],stock[Bucket],scheduleapr[[#This Row],[Bucket]],stock[LL or CTL],"LL")</f>
        <v/>
      </c>
      <c r="AQ544" s="599">
        <f>+SUMIFS(wip[Stock(Net Wt)],wip[Bucket],scheduleapr[[#This Row],[Bucket]])/1000</f>
        <v/>
      </c>
      <c r="AR544" s="599">
        <f>AJ544-AN544</f>
        <v/>
      </c>
      <c r="AS544" s="118" t="n"/>
    </row>
    <row r="545">
      <c r="A545" s="594" t="n">
        <v>460</v>
      </c>
      <c r="B545" s="5" t="inlineStr">
        <is>
          <t>Hosur</t>
        </is>
      </c>
      <c r="C545" s="601" t="inlineStr">
        <is>
          <t>SANDHAR ENGINEERING PVT LTD.</t>
        </is>
      </c>
      <c r="D545" s="15" t="inlineStr">
        <is>
          <t>SANDHAR Hosur</t>
        </is>
      </c>
      <c r="E545" s="601" t="n">
        <v>941496</v>
      </c>
      <c r="F545" s="601" t="n">
        <v>2413708</v>
      </c>
      <c r="G545" s="601">
        <f>_xlfn.CONCAT(scheduleapr[[#This Row],[CUSTOMER CODE]],"-",scheduleapr[[#This Row],[MATERIAL NO]])</f>
        <v/>
      </c>
      <c r="H545" s="601" t="inlineStr">
        <is>
          <t>TUB-O-N-AUT-AW-PE-22.23X2.000X0.8150</t>
        </is>
      </c>
      <c r="I545" s="601" t="inlineStr">
        <is>
          <t>ERW 1</t>
        </is>
      </c>
      <c r="J545" s="601" t="n"/>
      <c r="K545" s="601" t="inlineStr">
        <is>
          <t>PE</t>
        </is>
      </c>
      <c r="L545" s="601" t="inlineStr">
        <is>
          <t>HR</t>
        </is>
      </c>
      <c r="M545" s="601" t="n"/>
      <c r="N545" s="601" t="n"/>
      <c r="O545" s="601" t="n"/>
      <c r="P545" s="601" t="n"/>
      <c r="Q545" s="557">
        <f>CONCATENATE(scheduleapr[[#This Row],[OD]],"-",scheduleapr[[#This Row],[ID]],"-",scheduleapr[[#This Row],[TICKNESS]],"-",scheduleapr[[#This Row],[Grade]],"-",scheduleapr[[#This Row],[FC/NFC]])</f>
        <v/>
      </c>
      <c r="R545" s="557">
        <f>_xlfn.CONCAT(scheduleapr[[#This Row],[Bucket]],"-",scheduleapr[[#This Row],[LENGTH]]/1000)</f>
        <v/>
      </c>
      <c r="S545" s="557">
        <f>COUNTIF(scheduleapr[CTL Bucket],scheduleapr[[#This Row],[CTL Bucket]])</f>
        <v/>
      </c>
      <c r="T545" s="601" t="inlineStr">
        <is>
          <t>Hosur</t>
        </is>
      </c>
      <c r="U545" s="601">
        <f>_xlfn.IFNA(VLOOKUP(scheduleapr[[#This Row],[Bucket]],salesforecast[[#All],[Bucket2]:[8406 Stock]],19,0),0)</f>
        <v/>
      </c>
      <c r="V545" s="562">
        <f>_xlfn.IFNA(VLOOKUP(scheduleapr[[#This Row],[Bucket]],salesforecast[[#All],[Bucket2]:[8406 Stock]],20,0),0)+_xlfn.IFNA(VLOOKUP(scheduleapr[[#This Row],[Bucket]],salesforecast[[#All],[Bucket2]:[8406 Stock]],17,0),0)</f>
        <v/>
      </c>
      <c r="W545" s="557" t="n"/>
      <c r="X545" s="599" t="n">
        <v>22.23</v>
      </c>
      <c r="Y545" s="599" t="n">
        <v>22.23</v>
      </c>
      <c r="Z545" s="599" t="n">
        <v>0</v>
      </c>
      <c r="AA545" s="599" t="n">
        <v>2</v>
      </c>
      <c r="AB545" s="600" t="n">
        <v>815</v>
      </c>
      <c r="AC545" s="600" t="inlineStr">
        <is>
          <t>NOS</t>
        </is>
      </c>
      <c r="AD545" s="600" t="n"/>
      <c r="AE545" s="600" t="n"/>
      <c r="AF545" s="601" t="n">
        <v>15000</v>
      </c>
      <c r="AG545" s="601" t="inlineStr">
        <is>
          <t>Aug 2026 schedule · sandhar hosur</t>
        </is>
      </c>
      <c r="AH545" s="601">
        <f t="array" ref="AH5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5" s="602">
        <f>scheduleapr[[#This Row],[SCHEDULE in nos]]-scheduleapr[[#This Row],[DISPATCH]]</f>
        <v/>
      </c>
      <c r="AJ545" s="599">
        <f>(3.14*(scheduleapr[[#This Row],[ACTUAL OD]]-scheduleapr[[#This Row],[TICKNESS]])*scheduleapr[[#This Row],[TICKNESS]]*scheduleapr[[#This Row],[LENGTH]]*7.85)/1000000*scheduleapr[[#This Row],[SCHEDULE in nos]]/1000</f>
        <v/>
      </c>
      <c r="AK545" s="599">
        <f>(3.14*(scheduleapr[[#This Row],[ACTUAL OD]]-scheduleapr[[#This Row],[TICKNESS]])*scheduleapr[[#This Row],[TICKNESS]]*scheduleapr[[#This Row],[LENGTH]]*7.85)/1000000*scheduleapr[[#This Row],[DISPATCH]]/1000</f>
        <v/>
      </c>
      <c r="AL545" s="599">
        <f>AJ545-AK545</f>
        <v/>
      </c>
      <c r="AM545" s="599">
        <f>scheduleapr[[#This Row],[SCHEDULE in nos]]/scheduleapr[[#This Row],[SCHEDULE IN MT]]*scheduleapr[[#This Row],[CTL Stock]]</f>
        <v/>
      </c>
      <c r="AN545" s="599">
        <f>SUMIFS(stock[MT],stock[Bucket],scheduleapr[[#This Row],[Bucket]],stock[CTL Bucket],scheduleapr[[#This Row],[CTL Bucket]],stock[Plant],"0789")</f>
        <v/>
      </c>
      <c r="AO545" s="599" t="n"/>
      <c r="AP545" s="599">
        <f>SUMIFS(stock[MT],stock[Bucket],scheduleapr[[#This Row],[Bucket]],stock[LL or CTL],"LL")</f>
        <v/>
      </c>
      <c r="AQ545" s="599">
        <f>+SUMIFS(wip[Stock(Net Wt)],wip[Bucket],scheduleapr[[#This Row],[Bucket]])/1000</f>
        <v/>
      </c>
      <c r="AR545" s="599">
        <f>AJ545-AN545</f>
        <v/>
      </c>
      <c r="AS545" s="118" t="n"/>
    </row>
    <row r="546">
      <c r="A546" s="594" t="n">
        <v>469</v>
      </c>
      <c r="B546" s="5" t="inlineStr">
        <is>
          <t>Hosur</t>
        </is>
      </c>
      <c r="C546" s="601" t="inlineStr">
        <is>
          <t>SANDHAR ENGINEERING PVT LTD.</t>
        </is>
      </c>
      <c r="D546" s="15" t="inlineStr">
        <is>
          <t>SANDHAR Hosur</t>
        </is>
      </c>
      <c r="E546" s="601" t="n">
        <v>941496</v>
      </c>
      <c r="F546" s="601" t="n">
        <v>1940588</v>
      </c>
      <c r="G546" s="601">
        <f>_xlfn.CONCAT(scheduleapr[[#This Row],[CUSTOMER CODE]],"-",scheduleapr[[#This Row],[MATERIAL NO]])</f>
        <v/>
      </c>
      <c r="H546" s="601" t="inlineStr">
        <is>
          <t>TUB-O-O-AUT-AW-FC-25.40X2.000X0.3550</t>
        </is>
      </c>
      <c r="I546" s="601" t="inlineStr">
        <is>
          <t>ERW 1</t>
        </is>
      </c>
      <c r="J546" s="601" t="n"/>
      <c r="K546" s="601" t="inlineStr">
        <is>
          <t>FC</t>
        </is>
      </c>
      <c r="L546" s="601" t="inlineStr">
        <is>
          <t>HR</t>
        </is>
      </c>
      <c r="M546" s="601" t="n"/>
      <c r="N546" s="601" t="n"/>
      <c r="O546" s="601" t="n"/>
      <c r="P546" s="601" t="n"/>
      <c r="Q546" s="557">
        <f>CONCATENATE(scheduleapr[[#This Row],[OD]],"-",scheduleapr[[#This Row],[ID]],"-",scheduleapr[[#This Row],[TICKNESS]],"-",scheduleapr[[#This Row],[Grade]],"-",scheduleapr[[#This Row],[FC/NFC]])</f>
        <v/>
      </c>
      <c r="R546" s="557">
        <f>_xlfn.CONCAT(scheduleapr[[#This Row],[Bucket]],"-",scheduleapr[[#This Row],[LENGTH]]/1000)</f>
        <v/>
      </c>
      <c r="S546" s="557">
        <f>COUNTIF(scheduleapr[CTL Bucket],scheduleapr[[#This Row],[CTL Bucket]])</f>
        <v/>
      </c>
      <c r="T546" s="601" t="inlineStr">
        <is>
          <t>Hosur</t>
        </is>
      </c>
      <c r="U546" s="601">
        <f>_xlfn.IFNA(VLOOKUP(scheduleapr[[#This Row],[Bucket]],salesforecast[[#All],[Bucket2]:[8406 Stock]],19,0),0)</f>
        <v/>
      </c>
      <c r="V546" s="562">
        <f>_xlfn.IFNA(VLOOKUP(scheduleapr[[#This Row],[Bucket]],salesforecast[[#All],[Bucket2]:[8406 Stock]],20,0),0)+_xlfn.IFNA(VLOOKUP(scheduleapr[[#This Row],[Bucket]],salesforecast[[#All],[Bucket2]:[8406 Stock]],17,0),0)</f>
        <v/>
      </c>
      <c r="W546" s="557" t="n"/>
      <c r="X546" s="599" t="n">
        <v>25.4</v>
      </c>
      <c r="Y546" s="599" t="n">
        <v>25.4</v>
      </c>
      <c r="Z546" s="599" t="n">
        <v>0</v>
      </c>
      <c r="AA546" s="599" t="n">
        <v>2</v>
      </c>
      <c r="AB546" s="600" t="n">
        <v>355</v>
      </c>
      <c r="AC546" s="600" t="inlineStr">
        <is>
          <t>NOS</t>
        </is>
      </c>
      <c r="AD546" s="600" t="n"/>
      <c r="AE546" s="600" t="n"/>
      <c r="AF546" s="601" t="n">
        <v>20000</v>
      </c>
      <c r="AG546" s="601" t="inlineStr">
        <is>
          <t>Aug 2026 schedule · sandhar hosur</t>
        </is>
      </c>
      <c r="AH546" s="601">
        <f t="array" ref="AH5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6" s="602">
        <f>scheduleapr[[#This Row],[SCHEDULE in nos]]-scheduleapr[[#This Row],[DISPATCH]]</f>
        <v/>
      </c>
      <c r="AJ546" s="599">
        <f>(3.14*(scheduleapr[[#This Row],[ACTUAL OD]]-scheduleapr[[#This Row],[TICKNESS]])*scheduleapr[[#This Row],[TICKNESS]]*scheduleapr[[#This Row],[LENGTH]]*7.85)/1000000*scheduleapr[[#This Row],[SCHEDULE in nos]]/1000</f>
        <v/>
      </c>
      <c r="AK546" s="599">
        <f>(3.14*(scheduleapr[[#This Row],[ACTUAL OD]]-scheduleapr[[#This Row],[TICKNESS]])*scheduleapr[[#This Row],[TICKNESS]]*scheduleapr[[#This Row],[LENGTH]]*7.85)/1000000*scheduleapr[[#This Row],[DISPATCH]]/1000</f>
        <v/>
      </c>
      <c r="AL546" s="599">
        <f>AJ546-AK546</f>
        <v/>
      </c>
      <c r="AM546" s="599">
        <f>scheduleapr[[#This Row],[SCHEDULE in nos]]/scheduleapr[[#This Row],[SCHEDULE IN MT]]*scheduleapr[[#This Row],[CTL Stock]]</f>
        <v/>
      </c>
      <c r="AN546" s="599">
        <f>SUMIFS(stock[MT],stock[Bucket],scheduleapr[[#This Row],[Bucket]],stock[CTL Bucket],scheduleapr[[#This Row],[CTL Bucket]],stock[Plant],"0789")</f>
        <v/>
      </c>
      <c r="AO546" s="599" t="n"/>
      <c r="AP546" s="599">
        <f>SUMIFS(stock[MT],stock[Bucket],scheduleapr[[#This Row],[Bucket]],stock[LL or CTL],"LL")</f>
        <v/>
      </c>
      <c r="AQ546" s="599">
        <f>+SUMIFS(wip[Stock(Net Wt)],wip[Bucket],scheduleapr[[#This Row],[Bucket]])/1000</f>
        <v/>
      </c>
      <c r="AR546" s="599">
        <f>AJ546-AN546</f>
        <v/>
      </c>
      <c r="AS546" s="118" t="n"/>
    </row>
    <row r="547">
      <c r="A547" s="594" t="n">
        <v>470</v>
      </c>
      <c r="B547" s="5" t="inlineStr">
        <is>
          <t>Hosur</t>
        </is>
      </c>
      <c r="C547" s="601" t="inlineStr">
        <is>
          <t>SANDHAR ENGINEERING PVT LTD.</t>
        </is>
      </c>
      <c r="D547" s="15" t="inlineStr">
        <is>
          <t>SANDHAR Hosur</t>
        </is>
      </c>
      <c r="E547" s="601" t="n">
        <v>941496</v>
      </c>
      <c r="F547" s="601" t="n">
        <v>1940614</v>
      </c>
      <c r="G547" s="601">
        <f>_xlfn.CONCAT(scheduleapr[[#This Row],[CUSTOMER CODE]],"-",scheduleapr[[#This Row],[MATERIAL NO]])</f>
        <v/>
      </c>
      <c r="H547" s="601" t="inlineStr">
        <is>
          <t>TUB-O-O-AUT-AW-PE-28.58X1.200X0.5950</t>
        </is>
      </c>
      <c r="I547" s="601" t="inlineStr">
        <is>
          <t>ERW 1</t>
        </is>
      </c>
      <c r="J547" s="601" t="n"/>
      <c r="K547" s="601" t="inlineStr">
        <is>
          <t>PE</t>
        </is>
      </c>
      <c r="L547" s="601" t="inlineStr">
        <is>
          <t>CR</t>
        </is>
      </c>
      <c r="M547" s="601" t="n"/>
      <c r="N547" s="601" t="n"/>
      <c r="O547" s="601" t="n"/>
      <c r="P547" s="601" t="n"/>
      <c r="Q547" s="557">
        <f>CONCATENATE(scheduleapr[[#This Row],[OD]],"-",scheduleapr[[#This Row],[ID]],"-",scheduleapr[[#This Row],[TICKNESS]],"-",scheduleapr[[#This Row],[Grade]],"-",scheduleapr[[#This Row],[FC/NFC]])</f>
        <v/>
      </c>
      <c r="R547" s="557">
        <f>_xlfn.CONCAT(scheduleapr[[#This Row],[Bucket]],"-",scheduleapr[[#This Row],[LENGTH]]/1000)</f>
        <v/>
      </c>
      <c r="S547" s="557">
        <f>COUNTIF(scheduleapr[CTL Bucket],scheduleapr[[#This Row],[CTL Bucket]])</f>
        <v/>
      </c>
      <c r="T547" s="601" t="inlineStr">
        <is>
          <t>Hosur</t>
        </is>
      </c>
      <c r="U547" s="601">
        <f>_xlfn.IFNA(VLOOKUP(scheduleapr[[#This Row],[Bucket]],salesforecast[[#All],[Bucket2]:[8406 Stock]],19,0),0)</f>
        <v/>
      </c>
      <c r="V547" s="562">
        <f>_xlfn.IFNA(VLOOKUP(scheduleapr[[#This Row],[Bucket]],salesforecast[[#All],[Bucket2]:[8406 Stock]],20,0),0)+_xlfn.IFNA(VLOOKUP(scheduleapr[[#This Row],[Bucket]],salesforecast[[#All],[Bucket2]:[8406 Stock]],17,0),0)</f>
        <v/>
      </c>
      <c r="W547" s="557" t="n"/>
      <c r="X547" s="599" t="n">
        <v>28.58</v>
      </c>
      <c r="Y547" s="599" t="n">
        <v>28.58</v>
      </c>
      <c r="Z547" s="599" t="n">
        <v>0</v>
      </c>
      <c r="AA547" s="599" t="n">
        <v>1.2</v>
      </c>
      <c r="AB547" s="600" t="n">
        <v>595</v>
      </c>
      <c r="AC547" s="600" t="inlineStr">
        <is>
          <t>NOS</t>
        </is>
      </c>
      <c r="AD547" s="600" t="n"/>
      <c r="AE547" s="600" t="n"/>
      <c r="AF547" s="601" t="n">
        <v>10000</v>
      </c>
      <c r="AG547" s="601" t="inlineStr">
        <is>
          <t>Aug 2026 schedule · sandhar hosur</t>
        </is>
      </c>
      <c r="AH547" s="601">
        <f t="array" ref="AH5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7" s="602">
        <f>scheduleapr[[#This Row],[SCHEDULE in nos]]-scheduleapr[[#This Row],[DISPATCH]]</f>
        <v/>
      </c>
      <c r="AJ547" s="599">
        <f>(3.14*(scheduleapr[[#This Row],[ACTUAL OD]]-scheduleapr[[#This Row],[TICKNESS]])*scheduleapr[[#This Row],[TICKNESS]]*scheduleapr[[#This Row],[LENGTH]]*7.85)/1000000*scheduleapr[[#This Row],[SCHEDULE in nos]]/1000</f>
        <v/>
      </c>
      <c r="AK547" s="599">
        <f>(3.14*(scheduleapr[[#This Row],[ACTUAL OD]]-scheduleapr[[#This Row],[TICKNESS]])*scheduleapr[[#This Row],[TICKNESS]]*scheduleapr[[#This Row],[LENGTH]]*7.85)/1000000*scheduleapr[[#This Row],[DISPATCH]]/1000</f>
        <v/>
      </c>
      <c r="AL547" s="599">
        <f>AJ547-AK547</f>
        <v/>
      </c>
      <c r="AM547" s="599">
        <f>scheduleapr[[#This Row],[SCHEDULE in nos]]/scheduleapr[[#This Row],[SCHEDULE IN MT]]*scheduleapr[[#This Row],[CTL Stock]]</f>
        <v/>
      </c>
      <c r="AN547" s="599">
        <f>SUMIFS(stock[MT],stock[Bucket],scheduleapr[[#This Row],[Bucket]],stock[CTL Bucket],scheduleapr[[#This Row],[CTL Bucket]],stock[Plant],"0789")</f>
        <v/>
      </c>
      <c r="AO547" s="599" t="n"/>
      <c r="AP547" s="599">
        <f>SUMIFS(stock[MT],stock[Bucket],scheduleapr[[#This Row],[Bucket]],stock[LL or CTL],"LL")</f>
        <v/>
      </c>
      <c r="AQ547" s="599">
        <f>+SUMIFS(wip[Stock(Net Wt)],wip[Bucket],scheduleapr[[#This Row],[Bucket]])/1000</f>
        <v/>
      </c>
      <c r="AR547" s="599">
        <f>AJ547-AN547</f>
        <v/>
      </c>
      <c r="AS547" s="118" t="n"/>
    </row>
    <row r="548">
      <c r="A548" s="594" t="n">
        <v>473</v>
      </c>
      <c r="B548" s="5" t="inlineStr">
        <is>
          <t>Hosur</t>
        </is>
      </c>
      <c r="C548" s="601" t="inlineStr">
        <is>
          <t>SANDHAR ENGINEERING PVT LTD.</t>
        </is>
      </c>
      <c r="D548" s="15" t="inlineStr">
        <is>
          <t>SANDHAR Hosur</t>
        </is>
      </c>
      <c r="E548" s="601" t="n">
        <v>941496</v>
      </c>
      <c r="F548" s="601" t="n">
        <v>2256593</v>
      </c>
      <c r="G548" s="601">
        <f>_xlfn.CONCAT(scheduleapr[[#This Row],[CUSTOMER CODE]],"-",scheduleapr[[#This Row],[MATERIAL NO]])</f>
        <v/>
      </c>
      <c r="H548" s="601" t="inlineStr">
        <is>
          <t>TUB-O-N-AUT-AW-FC-31.75X1.200X0.2100</t>
        </is>
      </c>
      <c r="I548" s="601" t="inlineStr">
        <is>
          <t>ERW 1</t>
        </is>
      </c>
      <c r="J548" s="601" t="n"/>
      <c r="K548" s="601" t="inlineStr">
        <is>
          <t>FC</t>
        </is>
      </c>
      <c r="L548" s="601" t="inlineStr">
        <is>
          <t>CR</t>
        </is>
      </c>
      <c r="M548" s="601" t="n"/>
      <c r="N548" s="601" t="n"/>
      <c r="O548" s="601" t="n"/>
      <c r="P548" s="601" t="n"/>
      <c r="Q548" s="557">
        <f>CONCATENATE(scheduleapr[[#This Row],[OD]],"-",scheduleapr[[#This Row],[ID]],"-",scheduleapr[[#This Row],[TICKNESS]],"-",scheduleapr[[#This Row],[Grade]],"-",scheduleapr[[#This Row],[FC/NFC]])</f>
        <v/>
      </c>
      <c r="R548" s="557">
        <f>_xlfn.CONCAT(scheduleapr[[#This Row],[Bucket]],"-",scheduleapr[[#This Row],[LENGTH]]/1000)</f>
        <v/>
      </c>
      <c r="S548" s="557">
        <f>COUNTIF(scheduleapr[CTL Bucket],scheduleapr[[#This Row],[CTL Bucket]])</f>
        <v/>
      </c>
      <c r="T548" s="601" t="inlineStr">
        <is>
          <t>Hosur</t>
        </is>
      </c>
      <c r="U548" s="601">
        <f>_xlfn.IFNA(VLOOKUP(scheduleapr[[#This Row],[Bucket]],salesforecast[[#All],[Bucket2]:[8406 Stock]],19,0),0)</f>
        <v/>
      </c>
      <c r="V548" s="562">
        <f>_xlfn.IFNA(VLOOKUP(scheduleapr[[#This Row],[Bucket]],salesforecast[[#All],[Bucket2]:[8406 Stock]],20,0),0)+_xlfn.IFNA(VLOOKUP(scheduleapr[[#This Row],[Bucket]],salesforecast[[#All],[Bucket2]:[8406 Stock]],17,0),0)</f>
        <v/>
      </c>
      <c r="W548" s="557" t="n"/>
      <c r="X548" s="599" t="n">
        <v>31.75</v>
      </c>
      <c r="Y548" s="599" t="n">
        <v>31.75</v>
      </c>
      <c r="Z548" s="599" t="n">
        <v>0</v>
      </c>
      <c r="AA548" s="599" t="n">
        <v>1.2</v>
      </c>
      <c r="AB548" s="600" t="n">
        <v>210</v>
      </c>
      <c r="AC548" s="600" t="inlineStr">
        <is>
          <t>NOS</t>
        </is>
      </c>
      <c r="AD548" s="600" t="n"/>
      <c r="AE548" s="600" t="n"/>
      <c r="AF548" s="601" t="n">
        <v>8000</v>
      </c>
      <c r="AG548" s="601" t="inlineStr">
        <is>
          <t>Aug 2026 schedule · sandhar hosur</t>
        </is>
      </c>
      <c r="AH548" s="601">
        <f t="array" ref="AH5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8" s="602">
        <f>scheduleapr[[#This Row],[SCHEDULE in nos]]-scheduleapr[[#This Row],[DISPATCH]]</f>
        <v/>
      </c>
      <c r="AJ548" s="599">
        <f>(3.14*(scheduleapr[[#This Row],[ACTUAL OD]]-scheduleapr[[#This Row],[TICKNESS]])*scheduleapr[[#This Row],[TICKNESS]]*scheduleapr[[#This Row],[LENGTH]]*7.85)/1000000*scheduleapr[[#This Row],[SCHEDULE in nos]]/1000</f>
        <v/>
      </c>
      <c r="AK548" s="599">
        <f>(3.14*(scheduleapr[[#This Row],[ACTUAL OD]]-scheduleapr[[#This Row],[TICKNESS]])*scheduleapr[[#This Row],[TICKNESS]]*scheduleapr[[#This Row],[LENGTH]]*7.85)/1000000*scheduleapr[[#This Row],[DISPATCH]]/1000</f>
        <v/>
      </c>
      <c r="AL548" s="599">
        <f>AJ548-AK548</f>
        <v/>
      </c>
      <c r="AM548" s="599">
        <f>scheduleapr[[#This Row],[SCHEDULE in nos]]/scheduleapr[[#This Row],[SCHEDULE IN MT]]*scheduleapr[[#This Row],[CTL Stock]]</f>
        <v/>
      </c>
      <c r="AN548" s="599">
        <f>SUMIFS(stock[MT],stock[Bucket],scheduleapr[[#This Row],[Bucket]],stock[CTL Bucket],scheduleapr[[#This Row],[CTL Bucket]],stock[Plant],"0789")</f>
        <v/>
      </c>
      <c r="AO548" s="599" t="n"/>
      <c r="AP548" s="599">
        <f>SUMIFS(stock[MT],stock[Bucket],scheduleapr[[#This Row],[Bucket]],stock[LL or CTL],"LL")</f>
        <v/>
      </c>
      <c r="AQ548" s="599">
        <f>+SUMIFS(wip[Stock(Net Wt)],wip[Bucket],scheduleapr[[#This Row],[Bucket]])/1000</f>
        <v/>
      </c>
      <c r="AR548" s="599">
        <f>AJ548-AN548</f>
        <v/>
      </c>
      <c r="AS548" s="118" t="n"/>
    </row>
    <row r="549">
      <c r="A549" s="594" t="n">
        <v>477</v>
      </c>
      <c r="B549" s="5" t="inlineStr">
        <is>
          <t>Hosur</t>
        </is>
      </c>
      <c r="C549" s="601" t="inlineStr">
        <is>
          <t>SANDHAR ENGINEERING PVT LTD.</t>
        </is>
      </c>
      <c r="D549" s="15" t="inlineStr">
        <is>
          <t>SANDHAR Hosur</t>
        </is>
      </c>
      <c r="E549" s="601" t="n">
        <v>941496</v>
      </c>
      <c r="F549" s="601" t="n">
        <v>3507795</v>
      </c>
      <c r="G549" s="601">
        <f>_xlfn.CONCAT(scheduleapr[[#This Row],[CUSTOMER CODE]],"-",scheduleapr[[#This Row],[MATERIAL NO]])</f>
        <v/>
      </c>
      <c r="H549" s="601" t="inlineStr">
        <is>
          <t>CUT-O-N-AUT-AW-PE-31.75X1.200X0.6570</t>
        </is>
      </c>
      <c r="I549" s="601" t="inlineStr">
        <is>
          <t>ERW 1</t>
        </is>
      </c>
      <c r="J549" s="601" t="n"/>
      <c r="K549" s="601" t="inlineStr">
        <is>
          <t>FC</t>
        </is>
      </c>
      <c r="L549" s="601" t="inlineStr">
        <is>
          <t>HR</t>
        </is>
      </c>
      <c r="M549" s="601" t="n"/>
      <c r="N549" s="601" t="n"/>
      <c r="O549" s="601" t="n"/>
      <c r="P549" s="601" t="n"/>
      <c r="Q549" s="557">
        <f>CONCATENATE(scheduleapr[[#This Row],[OD]],"-",scheduleapr[[#This Row],[ID]],"-",scheduleapr[[#This Row],[TICKNESS]],"-",scheduleapr[[#This Row],[Grade]],"-",scheduleapr[[#This Row],[FC/NFC]])</f>
        <v/>
      </c>
      <c r="R549" s="557">
        <f>_xlfn.CONCAT(scheduleapr[[#This Row],[Bucket]],"-",scheduleapr[[#This Row],[LENGTH]]/1000)</f>
        <v/>
      </c>
      <c r="S549" s="557">
        <f>COUNTIF([2]!buckets[CTL Bucket],[2]!scheduleapr[[#This Row],[CTL Bucket]])</f>
        <v/>
      </c>
      <c r="T549" s="557" t="n"/>
      <c r="U549" s="557" t="n"/>
      <c r="V549" s="557" t="n"/>
      <c r="W549" s="557" t="n"/>
      <c r="X549" s="599" t="n">
        <v>31.75</v>
      </c>
      <c r="Y549" s="599" t="n">
        <v>31.75</v>
      </c>
      <c r="Z549" s="599" t="n">
        <v>0</v>
      </c>
      <c r="AA549" s="599" t="n">
        <v>1.2</v>
      </c>
      <c r="AB549" s="600" t="n">
        <v>657</v>
      </c>
      <c r="AC549" s="600" t="inlineStr">
        <is>
          <t>NOS</t>
        </is>
      </c>
      <c r="AD549" s="600" t="n"/>
      <c r="AE549" s="600" t="n"/>
      <c r="AF549" s="601" t="n"/>
      <c r="AG549" s="601" t="n"/>
      <c r="AH549" s="601">
        <f t="array" ref="AH5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49" s="602">
        <f>scheduleapr[[#This Row],[SCHEDULE in nos]]-scheduleapr[[#This Row],[DISPATCH]]</f>
        <v/>
      </c>
      <c r="AJ549" s="599">
        <f>(3.14*(scheduleapr[[#This Row],[ACTUAL OD]]-scheduleapr[[#This Row],[TICKNESS]])*scheduleapr[[#This Row],[TICKNESS]]*scheduleapr[[#This Row],[LENGTH]]*7.85)/1000000*scheduleapr[[#This Row],[SCHEDULE in nos]]/1000</f>
        <v/>
      </c>
      <c r="AK549" s="599">
        <f>(3.14*(scheduleapr[[#This Row],[ACTUAL OD]]-scheduleapr[[#This Row],[TICKNESS]])*scheduleapr[[#This Row],[TICKNESS]]*scheduleapr[[#This Row],[LENGTH]]*7.85)/1000000*scheduleapr[[#This Row],[DISPATCH]]/1000</f>
        <v/>
      </c>
      <c r="AL549" s="599">
        <f>AJ549-AK549</f>
        <v/>
      </c>
      <c r="AM549" s="599">
        <f>scheduleapr[[#This Row],[SCHEDULE in nos]]/scheduleapr[[#This Row],[SCHEDULE IN MT]]*scheduleapr[[#This Row],[CTL Stock]]</f>
        <v/>
      </c>
      <c r="AN549" s="599">
        <f>SUMIFS(stock[MT],stock[Bucket],scheduleapr[[#This Row],[Bucket]],stock[CTL Bucket],scheduleapr[[#This Row],[CTL Bucket]],stock[Plant],"0789")</f>
        <v/>
      </c>
      <c r="AO549" s="599" t="n"/>
      <c r="AP549" s="599">
        <f>SUMIFS(stock[MT],stock[Bucket],scheduleapr[[#This Row],[Bucket]],stock[LL or CTL],"LL")</f>
        <v/>
      </c>
      <c r="AQ549" s="599">
        <f>+SUMIFS(wip[Stock(Net Wt)],wip[Bucket],scheduleapr[[#This Row],[Bucket]])/1000</f>
        <v/>
      </c>
      <c r="AR549" s="599">
        <f>AJ549-AN549</f>
        <v/>
      </c>
      <c r="AS549" s="118" t="n"/>
    </row>
    <row r="550">
      <c r="A550" s="594" t="n">
        <v>478</v>
      </c>
      <c r="B550" s="5" t="inlineStr">
        <is>
          <t>Hosur</t>
        </is>
      </c>
      <c r="C550" s="601" t="inlineStr">
        <is>
          <t>SANDHAR ENGINEERING PVT LTD.</t>
        </is>
      </c>
      <c r="D550" s="15" t="inlineStr">
        <is>
          <t>SANDHAR Hosur</t>
        </is>
      </c>
      <c r="E550" s="601" t="n">
        <v>941496</v>
      </c>
      <c r="F550" s="601" t="n">
        <v>3819143</v>
      </c>
      <c r="G550" s="601">
        <f>_xlfn.CONCAT(scheduleapr[[#This Row],[CUSTOMER CODE]],"-",scheduleapr[[#This Row],[MATERIAL NO]])</f>
        <v/>
      </c>
      <c r="H550" s="601" t="inlineStr">
        <is>
          <t>TUB-O-N-AUT-AW-PE-31.75X1.200X0.6800</t>
        </is>
      </c>
      <c r="I550" s="601" t="inlineStr">
        <is>
          <t>ERW 1</t>
        </is>
      </c>
      <c r="J550" s="601" t="n"/>
      <c r="K550" s="601" t="inlineStr">
        <is>
          <t>FC</t>
        </is>
      </c>
      <c r="L550" s="601" t="inlineStr">
        <is>
          <t>CR</t>
        </is>
      </c>
      <c r="M550" s="601" t="n"/>
      <c r="N550" s="601" t="n"/>
      <c r="O550" s="601" t="n"/>
      <c r="P550" s="601" t="n"/>
      <c r="Q550" s="557">
        <f>CONCATENATE(scheduleapr[[#This Row],[OD]],"-",scheduleapr[[#This Row],[ID]],"-",scheduleapr[[#This Row],[TICKNESS]],"-",scheduleapr[[#This Row],[Grade]],"-",scheduleapr[[#This Row],[FC/NFC]])</f>
        <v/>
      </c>
      <c r="R550" s="557">
        <f>_xlfn.CONCAT(scheduleapr[[#This Row],[Bucket]],"-",scheduleapr[[#This Row],[LENGTH]]/1000)</f>
        <v/>
      </c>
      <c r="S550" s="557">
        <f>COUNTIF(scheduleapr[CTL Bucket],scheduleapr[[#This Row],[CTL Bucket]])</f>
        <v/>
      </c>
      <c r="T550" s="601" t="inlineStr">
        <is>
          <t>Hosur</t>
        </is>
      </c>
      <c r="U550" s="601">
        <f>_xlfn.IFNA(VLOOKUP(scheduleapr[[#This Row],[Bucket]],salesforecast[[#All],[Bucket2]:[8406 Stock]],19,0),0)</f>
        <v/>
      </c>
      <c r="V550" s="562">
        <f>_xlfn.IFNA(VLOOKUP(scheduleapr[[#This Row],[Bucket]],salesforecast[[#All],[Bucket2]:[8406 Stock]],20,0),0)+_xlfn.IFNA(VLOOKUP(scheduleapr[[#This Row],[Bucket]],salesforecast[[#All],[Bucket2]:[8406 Stock]],17,0),0)</f>
        <v/>
      </c>
      <c r="W550" s="557" t="n"/>
      <c r="X550" s="599" t="n">
        <v>31.75</v>
      </c>
      <c r="Y550" s="599" t="n">
        <v>31.75</v>
      </c>
      <c r="Z550" s="599" t="n">
        <v>0</v>
      </c>
      <c r="AA550" s="599" t="n">
        <v>1.2</v>
      </c>
      <c r="AB550" s="600" t="n">
        <v>680</v>
      </c>
      <c r="AC550" s="600" t="inlineStr">
        <is>
          <t>NOS</t>
        </is>
      </c>
      <c r="AD550" s="600" t="n"/>
      <c r="AE550" s="600" t="n"/>
      <c r="AF550" s="601" t="n">
        <v>15000</v>
      </c>
      <c r="AG550" s="601" t="inlineStr">
        <is>
          <t>Aug 2026 schedule · sandhar hosur</t>
        </is>
      </c>
      <c r="AH550" s="601">
        <f t="array" ref="AH5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0" s="602">
        <f>scheduleapr[[#This Row],[SCHEDULE in nos]]-scheduleapr[[#This Row],[DISPATCH]]</f>
        <v/>
      </c>
      <c r="AJ550" s="599">
        <f>(3.14*(scheduleapr[[#This Row],[ACTUAL OD]]-scheduleapr[[#This Row],[TICKNESS]])*scheduleapr[[#This Row],[TICKNESS]]*scheduleapr[[#This Row],[LENGTH]]*7.85)/1000000*scheduleapr[[#This Row],[SCHEDULE in nos]]/1000</f>
        <v/>
      </c>
      <c r="AK550" s="599">
        <f>(3.14*(scheduleapr[[#This Row],[ACTUAL OD]]-scheduleapr[[#This Row],[TICKNESS]])*scheduleapr[[#This Row],[TICKNESS]]*scheduleapr[[#This Row],[LENGTH]]*7.85)/1000000*scheduleapr[[#This Row],[DISPATCH]]/1000</f>
        <v/>
      </c>
      <c r="AL550" s="599">
        <f>AJ550-AK550</f>
        <v/>
      </c>
      <c r="AM550" s="599">
        <f>scheduleapr[[#This Row],[SCHEDULE in nos]]/scheduleapr[[#This Row],[SCHEDULE IN MT]]*scheduleapr[[#This Row],[CTL Stock]]</f>
        <v/>
      </c>
      <c r="AN550" s="599">
        <f>SUMIFS(stock[MT],stock[Bucket],scheduleapr[[#This Row],[Bucket]],stock[CTL Bucket],scheduleapr[[#This Row],[CTL Bucket]],stock[Plant],"0789")</f>
        <v/>
      </c>
      <c r="AO550" s="599" t="n"/>
      <c r="AP550" s="599">
        <f>SUMIFS(stock[MT],stock[Bucket],scheduleapr[[#This Row],[Bucket]],stock[LL or CTL],"LL")</f>
        <v/>
      </c>
      <c r="AQ550" s="599">
        <f>+SUMIFS(wip[Stock(Net Wt)],wip[Bucket],scheduleapr[[#This Row],[Bucket]])/1000</f>
        <v/>
      </c>
      <c r="AR550" s="599">
        <f>AJ550-AN550</f>
        <v/>
      </c>
      <c r="AS550" s="118" t="n"/>
    </row>
    <row r="551">
      <c r="A551" s="594" t="n">
        <v>479</v>
      </c>
      <c r="B551" s="5" t="inlineStr">
        <is>
          <t>Hosur</t>
        </is>
      </c>
      <c r="C551" s="601" t="inlineStr">
        <is>
          <t>SANDHAR ENGINEERING PVT LTD.</t>
        </is>
      </c>
      <c r="D551" s="15" t="inlineStr">
        <is>
          <t>SANDHAR Hosur</t>
        </is>
      </c>
      <c r="E551" s="601" t="n">
        <v>941496</v>
      </c>
      <c r="F551" s="601" t="n">
        <v>3715133</v>
      </c>
      <c r="G551" s="601">
        <f>_xlfn.CONCAT(scheduleapr[[#This Row],[CUSTOMER CODE]],"-",scheduleapr[[#This Row],[MATERIAL NO]])</f>
        <v/>
      </c>
      <c r="H551" s="601" t="inlineStr">
        <is>
          <t>TUB-O-O-AUT-AW-FC-31.75X1.600X0.6580</t>
        </is>
      </c>
      <c r="I551" s="601" t="inlineStr">
        <is>
          <t>ERW 1</t>
        </is>
      </c>
      <c r="J551" s="601" t="n"/>
      <c r="K551" s="601" t="inlineStr">
        <is>
          <t>FC</t>
        </is>
      </c>
      <c r="L551" s="601" t="inlineStr">
        <is>
          <t>HR</t>
        </is>
      </c>
      <c r="M551" s="601" t="n"/>
      <c r="N551" s="601" t="n"/>
      <c r="O551" s="601" t="n"/>
      <c r="P551" s="601" t="n"/>
      <c r="Q551" s="557">
        <f>CONCATENATE(scheduleapr[[#This Row],[OD]],"-",scheduleapr[[#This Row],[ID]],"-",scheduleapr[[#This Row],[TICKNESS]],"-",scheduleapr[[#This Row],[Grade]],"-",scheduleapr[[#This Row],[FC/NFC]])</f>
        <v/>
      </c>
      <c r="R551" s="557">
        <f>_xlfn.CONCAT(scheduleapr[[#This Row],[Bucket]],"-",scheduleapr[[#This Row],[LENGTH]]/1000)</f>
        <v/>
      </c>
      <c r="S551" s="557">
        <f>COUNTIF([2]!buckets[CTL Bucket],[2]!scheduleapr[[#This Row],[CTL Bucket]])</f>
        <v/>
      </c>
      <c r="T551" s="601" t="inlineStr">
        <is>
          <t>Hosur</t>
        </is>
      </c>
      <c r="U551" s="601" t="n"/>
      <c r="V551" s="557" t="n"/>
      <c r="W551" s="557" t="n"/>
      <c r="X551" s="79" t="n">
        <v>31.75</v>
      </c>
      <c r="Y551" s="599" t="n">
        <v>31.75</v>
      </c>
      <c r="Z551" s="599" t="n">
        <v>0</v>
      </c>
      <c r="AA551" s="599" t="n">
        <v>1.6</v>
      </c>
      <c r="AB551" s="600" t="n">
        <v>658</v>
      </c>
      <c r="AC551" s="600" t="inlineStr">
        <is>
          <t>NOS</t>
        </is>
      </c>
      <c r="AD551" s="600" t="n"/>
      <c r="AE551" s="600" t="n"/>
      <c r="AF551" s="601" t="n"/>
      <c r="AG551" s="601" t="n"/>
      <c r="AH551" s="601">
        <f t="array" ref="AH5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1" s="602">
        <f>scheduleapr[[#This Row],[SCHEDULE in nos]]-scheduleapr[[#This Row],[DISPATCH]]</f>
        <v/>
      </c>
      <c r="AJ551" s="599">
        <f>(3.14*(scheduleapr[[#This Row],[ACTUAL OD]]-scheduleapr[[#This Row],[TICKNESS]])*scheduleapr[[#This Row],[TICKNESS]]*scheduleapr[[#This Row],[LENGTH]]*7.85)/1000000*scheduleapr[[#This Row],[SCHEDULE in nos]]/1000</f>
        <v/>
      </c>
      <c r="AK551" s="599">
        <f>(3.14*(scheduleapr[[#This Row],[ACTUAL OD]]-scheduleapr[[#This Row],[TICKNESS]])*scheduleapr[[#This Row],[TICKNESS]]*scheduleapr[[#This Row],[LENGTH]]*7.85)/1000000*scheduleapr[[#This Row],[DISPATCH]]/1000</f>
        <v/>
      </c>
      <c r="AL551" s="599">
        <f>AJ551-AK551</f>
        <v/>
      </c>
      <c r="AM551" s="599">
        <f>scheduleapr[[#This Row],[SCHEDULE in nos]]/scheduleapr[[#This Row],[SCHEDULE IN MT]]*scheduleapr[[#This Row],[CTL Stock]]</f>
        <v/>
      </c>
      <c r="AN551" s="599">
        <f>SUMIFS(stock[MT],stock[Bucket],scheduleapr[[#This Row],[Bucket]],stock[CTL Bucket],scheduleapr[[#This Row],[CTL Bucket]],stock[Plant],"0789")</f>
        <v/>
      </c>
      <c r="AO551" s="599" t="n"/>
      <c r="AP551" s="599">
        <f>SUMIFS(stock[MT],stock[Bucket],scheduleapr[[#This Row],[Bucket]],stock[LL or CTL],"LL")</f>
        <v/>
      </c>
      <c r="AQ551" s="599">
        <f>+SUMIFS(wip[Stock(Net Wt)],wip[Bucket],scheduleapr[[#This Row],[Bucket]])/1000</f>
        <v/>
      </c>
      <c r="AR551" s="599">
        <f>AJ551-AN551</f>
        <v/>
      </c>
      <c r="AS551" s="118" t="n"/>
    </row>
    <row r="552">
      <c r="A552" s="594" t="n">
        <v>484</v>
      </c>
      <c r="B552" s="5" t="inlineStr">
        <is>
          <t>Hosur</t>
        </is>
      </c>
      <c r="C552" s="601" t="inlineStr">
        <is>
          <t>SANDHAR ENGINEERING PVT LTD.</t>
        </is>
      </c>
      <c r="D552" s="15" t="inlineStr">
        <is>
          <t>SANDHAR Hosur</t>
        </is>
      </c>
      <c r="E552" s="601" t="n">
        <v>941496</v>
      </c>
      <c r="F552" s="601" t="n">
        <v>1903849</v>
      </c>
      <c r="G552" s="601">
        <f>_xlfn.CONCAT(scheduleapr[[#This Row],[CUSTOMER CODE]],"-",scheduleapr[[#This Row],[MATERIAL NO]])</f>
        <v/>
      </c>
      <c r="H552" s="601" t="inlineStr">
        <is>
          <t>TUB-O-N-AUT-AW-FC-38.10X2.000X0.4320</t>
        </is>
      </c>
      <c r="I552" s="601" t="inlineStr">
        <is>
          <t>ERW 1</t>
        </is>
      </c>
      <c r="J552" s="601" t="n"/>
      <c r="K552" s="601" t="inlineStr">
        <is>
          <t>FC</t>
        </is>
      </c>
      <c r="L552" s="601" t="inlineStr">
        <is>
          <t>HR</t>
        </is>
      </c>
      <c r="M552" s="601" t="n"/>
      <c r="N552" s="601" t="n"/>
      <c r="O552" s="601" t="n"/>
      <c r="P552" s="601" t="n"/>
      <c r="Q552" s="557">
        <f>CONCATENATE(scheduleapr[[#This Row],[OD]],"-",scheduleapr[[#This Row],[ID]],"-",scheduleapr[[#This Row],[TICKNESS]],"-",scheduleapr[[#This Row],[Grade]],"-",scheduleapr[[#This Row],[FC/NFC]])</f>
        <v/>
      </c>
      <c r="R552" s="557">
        <f>_xlfn.CONCAT(scheduleapr[[#This Row],[Bucket]],"-",scheduleapr[[#This Row],[LENGTH]]/1000)</f>
        <v/>
      </c>
      <c r="S552" s="557">
        <f>COUNTIF(scheduleapr[CTL Bucket],scheduleapr[[#This Row],[CTL Bucket]])</f>
        <v/>
      </c>
      <c r="T552" s="601" t="inlineStr">
        <is>
          <t>Hosur</t>
        </is>
      </c>
      <c r="U552" s="601">
        <f>_xlfn.IFNA(VLOOKUP(scheduleapr[[#This Row],[Bucket]],salesforecast[[#All],[Bucket2]:[8406 Stock]],19,0),0)</f>
        <v/>
      </c>
      <c r="V552" s="562">
        <f>_xlfn.IFNA(VLOOKUP(scheduleapr[[#This Row],[Bucket]],salesforecast[[#All],[Bucket2]:[8406 Stock]],20,0),0)+_xlfn.IFNA(VLOOKUP(scheduleapr[[#This Row],[Bucket]],salesforecast[[#All],[Bucket2]:[8406 Stock]],17,0),0)</f>
        <v/>
      </c>
      <c r="W552" s="557" t="n"/>
      <c r="X552" s="599" t="n">
        <v>38.1</v>
      </c>
      <c r="Y552" s="599" t="n">
        <v>38.1</v>
      </c>
      <c r="Z552" s="599" t="n">
        <v>0</v>
      </c>
      <c r="AA552" s="599" t="n">
        <v>2</v>
      </c>
      <c r="AB552" s="600" t="n">
        <v>432</v>
      </c>
      <c r="AC552" s="600" t="inlineStr">
        <is>
          <t>NOS</t>
        </is>
      </c>
      <c r="AD552" s="600" t="n"/>
      <c r="AE552" s="600" t="n"/>
      <c r="AF552" s="601" t="n">
        <v>18000</v>
      </c>
      <c r="AG552" s="601" t="inlineStr">
        <is>
          <t>Aug 2026 schedule · sandhar hosur</t>
        </is>
      </c>
      <c r="AH552" s="601">
        <f t="array" ref="AH5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2" s="602">
        <f>scheduleapr[[#This Row],[SCHEDULE in nos]]-scheduleapr[[#This Row],[DISPATCH]]</f>
        <v/>
      </c>
      <c r="AJ552" s="599">
        <f>(3.14*(scheduleapr[[#This Row],[ACTUAL OD]]-scheduleapr[[#This Row],[TICKNESS]])*scheduleapr[[#This Row],[TICKNESS]]*scheduleapr[[#This Row],[LENGTH]]*7.85)/1000000*scheduleapr[[#This Row],[SCHEDULE in nos]]/1000</f>
        <v/>
      </c>
      <c r="AK552" s="599">
        <f>(3.14*(scheduleapr[[#This Row],[ACTUAL OD]]-scheduleapr[[#This Row],[TICKNESS]])*scheduleapr[[#This Row],[TICKNESS]]*scheduleapr[[#This Row],[LENGTH]]*7.85)/1000000*scheduleapr[[#This Row],[DISPATCH]]/1000</f>
        <v/>
      </c>
      <c r="AL552" s="599">
        <f>AJ552-AK552</f>
        <v/>
      </c>
      <c r="AM552" s="599">
        <f>scheduleapr[[#This Row],[SCHEDULE in nos]]/scheduleapr[[#This Row],[SCHEDULE IN MT]]*scheduleapr[[#This Row],[CTL Stock]]</f>
        <v/>
      </c>
      <c r="AN552" s="599">
        <f>SUMIFS(stock[MT],stock[Bucket],scheduleapr[[#This Row],[Bucket]],stock[CTL Bucket],scheduleapr[[#This Row],[CTL Bucket]],stock[Plant],"0789")</f>
        <v/>
      </c>
      <c r="AO552" s="599" t="n"/>
      <c r="AP552" s="599">
        <f>SUMIFS(stock[MT],stock[Bucket],scheduleapr[[#This Row],[Bucket]],stock[LL or CTL],"LL")</f>
        <v/>
      </c>
      <c r="AQ552" s="599">
        <f>+SUMIFS(wip[Stock(Net Wt)],wip[Bucket],scheduleapr[[#This Row],[Bucket]])/1000</f>
        <v/>
      </c>
      <c r="AR552" s="599">
        <f>AJ552-AN552</f>
        <v/>
      </c>
      <c r="AS552" s="118" t="n"/>
    </row>
    <row r="553">
      <c r="A553" s="594" t="n">
        <v>485</v>
      </c>
      <c r="B553" s="5" t="inlineStr">
        <is>
          <t>Hosur</t>
        </is>
      </c>
      <c r="C553" s="601" t="inlineStr">
        <is>
          <t>SANDHAR ENGINEERING PVT LTD.</t>
        </is>
      </c>
      <c r="D553" s="15" t="inlineStr">
        <is>
          <t>SANDHAR Hosur</t>
        </is>
      </c>
      <c r="E553" s="601" t="n">
        <v>941496</v>
      </c>
      <c r="F553" s="601" t="n">
        <v>3516769</v>
      </c>
      <c r="G553" s="601">
        <f>_xlfn.CONCAT(scheduleapr[[#This Row],[CUSTOMER CODE]],"-",scheduleapr[[#This Row],[MATERIAL NO]])</f>
        <v/>
      </c>
      <c r="H553" s="601" t="inlineStr">
        <is>
          <t>TUB-O-N-AUT-AW-FC-38.10X2.000X0.4940</t>
        </is>
      </c>
      <c r="I553" s="601" t="inlineStr">
        <is>
          <t>ERW 1</t>
        </is>
      </c>
      <c r="J553" s="601" t="n"/>
      <c r="K553" s="601" t="inlineStr">
        <is>
          <t>FC</t>
        </is>
      </c>
      <c r="L553" s="601" t="inlineStr">
        <is>
          <t>HR</t>
        </is>
      </c>
      <c r="M553" s="601" t="n"/>
      <c r="N553" s="601" t="n"/>
      <c r="O553" s="601" t="n"/>
      <c r="P553" s="601" t="n"/>
      <c r="Q553" s="557">
        <f>CONCATENATE(scheduleapr[[#This Row],[OD]],"-",scheduleapr[[#This Row],[ID]],"-",scheduleapr[[#This Row],[TICKNESS]],"-",scheduleapr[[#This Row],[Grade]],"-",scheduleapr[[#This Row],[FC/NFC]])</f>
        <v/>
      </c>
      <c r="R553" s="557">
        <f>_xlfn.CONCAT(scheduleapr[[#This Row],[Bucket]],"-",scheduleapr[[#This Row],[LENGTH]]/1000)</f>
        <v/>
      </c>
      <c r="S553" s="557">
        <f>COUNTIF([2]!buckets[CTL Bucket],[2]!scheduleapr[[#This Row],[CTL Bucket]])</f>
        <v/>
      </c>
      <c r="T553" s="557" t="n"/>
      <c r="U553" s="557" t="n"/>
      <c r="V553" s="557" t="n"/>
      <c r="W553" s="557" t="n"/>
      <c r="X553" s="599" t="n">
        <v>38.1</v>
      </c>
      <c r="Y553" s="599" t="n">
        <v>38.1</v>
      </c>
      <c r="Z553" s="599" t="n">
        <v>0</v>
      </c>
      <c r="AA553" s="599" t="n">
        <v>2</v>
      </c>
      <c r="AB553" s="600" t="n">
        <v>494</v>
      </c>
      <c r="AC553" s="600" t="inlineStr">
        <is>
          <t>NOS</t>
        </is>
      </c>
      <c r="AD553" s="600" t="n"/>
      <c r="AE553" s="600" t="n"/>
      <c r="AF553" s="601" t="n"/>
      <c r="AG553" s="601" t="n"/>
      <c r="AH553" s="601">
        <f t="array" ref="AH5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3" s="602">
        <f>scheduleapr[[#This Row],[SCHEDULE in nos]]-scheduleapr[[#This Row],[DISPATCH]]</f>
        <v/>
      </c>
      <c r="AJ553" s="599">
        <f>(3.14*(scheduleapr[[#This Row],[ACTUAL OD]]-scheduleapr[[#This Row],[TICKNESS]])*scheduleapr[[#This Row],[TICKNESS]]*scheduleapr[[#This Row],[LENGTH]]*7.85)/1000000*scheduleapr[[#This Row],[SCHEDULE in nos]]/1000</f>
        <v/>
      </c>
      <c r="AK553" s="599">
        <f>(3.14*(scheduleapr[[#This Row],[ACTUAL OD]]-scheduleapr[[#This Row],[TICKNESS]])*scheduleapr[[#This Row],[TICKNESS]]*scheduleapr[[#This Row],[LENGTH]]*7.85)/1000000*scheduleapr[[#This Row],[DISPATCH]]/1000</f>
        <v/>
      </c>
      <c r="AL553" s="599">
        <f>AJ553-AK553</f>
        <v/>
      </c>
      <c r="AM553" s="599">
        <f>scheduleapr[[#This Row],[SCHEDULE in nos]]/scheduleapr[[#This Row],[SCHEDULE IN MT]]*scheduleapr[[#This Row],[CTL Stock]]</f>
        <v/>
      </c>
      <c r="AN553" s="599">
        <f>SUMIFS(stock[MT],stock[Bucket],scheduleapr[[#This Row],[Bucket]],stock[CTL Bucket],scheduleapr[[#This Row],[CTL Bucket]],stock[Plant],"0789")</f>
        <v/>
      </c>
      <c r="AO553" s="599" t="n"/>
      <c r="AP553" s="599">
        <f>SUMIFS(stock[MT],stock[Bucket],scheduleapr[[#This Row],[Bucket]],stock[LL or CTL],"LL")</f>
        <v/>
      </c>
      <c r="AQ553" s="599">
        <f>+SUMIFS(wip[Stock(Net Wt)],wip[Bucket],scheduleapr[[#This Row],[Bucket]])/1000</f>
        <v/>
      </c>
      <c r="AR553" s="599">
        <f>AJ553-AN553</f>
        <v/>
      </c>
      <c r="AS553" s="118" t="n"/>
    </row>
    <row r="554">
      <c r="A554" s="594" t="n">
        <v>489</v>
      </c>
      <c r="B554" s="5" t="inlineStr">
        <is>
          <t>Hosur</t>
        </is>
      </c>
      <c r="C554" s="601" t="inlineStr">
        <is>
          <t>SANDHAR ENGINEERING PVT LTD.</t>
        </is>
      </c>
      <c r="D554" s="15" t="inlineStr">
        <is>
          <t>SANDHAR Hosur</t>
        </is>
      </c>
      <c r="E554" s="601" t="n">
        <v>941496</v>
      </c>
      <c r="F554" s="601" t="n">
        <v>1940743</v>
      </c>
      <c r="G554" s="601">
        <f>_xlfn.CONCAT(scheduleapr[[#This Row],[CUSTOMER CODE]],"-",scheduleapr[[#This Row],[MATERIAL NO]])</f>
        <v/>
      </c>
      <c r="H554" s="601" t="inlineStr">
        <is>
          <t>TUB-O-O-AUT-AW-FC-38.10X2.000X0.8120</t>
        </is>
      </c>
      <c r="I554" s="601" t="inlineStr">
        <is>
          <t>ERW 1</t>
        </is>
      </c>
      <c r="J554" s="601" t="n"/>
      <c r="K554" s="601" t="inlineStr">
        <is>
          <t>FC</t>
        </is>
      </c>
      <c r="L554" s="601" t="inlineStr">
        <is>
          <t>HR</t>
        </is>
      </c>
      <c r="M554" s="601" t="n"/>
      <c r="N554" s="601" t="n"/>
      <c r="O554" s="601" t="n"/>
      <c r="P554" s="601" t="n"/>
      <c r="Q554" s="557">
        <f>CONCATENATE(scheduleapr[[#This Row],[OD]],"-",scheduleapr[[#This Row],[ID]],"-",scheduleapr[[#This Row],[TICKNESS]],"-",scheduleapr[[#This Row],[Grade]],"-",scheduleapr[[#This Row],[FC/NFC]])</f>
        <v/>
      </c>
      <c r="R554" s="557">
        <f>_xlfn.CONCAT(scheduleapr[[#This Row],[Bucket]],"-",scheduleapr[[#This Row],[LENGTH]]/1000)</f>
        <v/>
      </c>
      <c r="S554" s="557">
        <f>COUNTIF(scheduleapr[CTL Bucket],scheduleapr[[#This Row],[CTL Bucket]])</f>
        <v/>
      </c>
      <c r="T554" s="601" t="inlineStr">
        <is>
          <t>Hosur</t>
        </is>
      </c>
      <c r="U554" s="601">
        <f>_xlfn.IFNA(VLOOKUP(scheduleapr[[#This Row],[Bucket]],salesforecast[[#All],[Bucket2]:[8406 Stock]],19,0),0)</f>
        <v/>
      </c>
      <c r="V554" s="562">
        <f>_xlfn.IFNA(VLOOKUP(scheduleapr[[#This Row],[Bucket]],salesforecast[[#All],[Bucket2]:[8406 Stock]],20,0),0)+_xlfn.IFNA(VLOOKUP(scheduleapr[[#This Row],[Bucket]],salesforecast[[#All],[Bucket2]:[8406 Stock]],17,0),0)</f>
        <v/>
      </c>
      <c r="W554" s="557" t="n"/>
      <c r="X554" s="599" t="n">
        <v>38.1</v>
      </c>
      <c r="Y554" s="599" t="n">
        <v>38.1</v>
      </c>
      <c r="Z554" s="599" t="n">
        <v>0</v>
      </c>
      <c r="AA554" s="599" t="n">
        <v>2</v>
      </c>
      <c r="AB554" s="600" t="n">
        <v>812</v>
      </c>
      <c r="AC554" s="600" t="inlineStr">
        <is>
          <t>NOS</t>
        </is>
      </c>
      <c r="AD554" s="600" t="n"/>
      <c r="AE554" s="600" t="n"/>
      <c r="AF554" s="601" t="n">
        <v>20000</v>
      </c>
      <c r="AG554" s="601" t="inlineStr">
        <is>
          <t>Aug 2026 schedule · sandhar hosur</t>
        </is>
      </c>
      <c r="AH554" s="601">
        <f t="array" ref="AH5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4" s="602">
        <f>scheduleapr[[#This Row],[SCHEDULE in nos]]-scheduleapr[[#This Row],[DISPATCH]]</f>
        <v/>
      </c>
      <c r="AJ554" s="599">
        <f>(3.14*(scheduleapr[[#This Row],[ACTUAL OD]]-scheduleapr[[#This Row],[TICKNESS]])*scheduleapr[[#This Row],[TICKNESS]]*scheduleapr[[#This Row],[LENGTH]]*7.85)/1000000*scheduleapr[[#This Row],[SCHEDULE in nos]]/1000</f>
        <v/>
      </c>
      <c r="AK554" s="599">
        <f>(3.14*(scheduleapr[[#This Row],[ACTUAL OD]]-scheduleapr[[#This Row],[TICKNESS]])*scheduleapr[[#This Row],[TICKNESS]]*scheduleapr[[#This Row],[LENGTH]]*7.85)/1000000*scheduleapr[[#This Row],[DISPATCH]]/1000</f>
        <v/>
      </c>
      <c r="AL554" s="599">
        <f>AJ554-AK554</f>
        <v/>
      </c>
      <c r="AM554" s="599">
        <f>scheduleapr[[#This Row],[SCHEDULE in nos]]/scheduleapr[[#This Row],[SCHEDULE IN MT]]*scheduleapr[[#This Row],[CTL Stock]]</f>
        <v/>
      </c>
      <c r="AN554" s="599">
        <f>SUMIFS(stock[MT],stock[Bucket],scheduleapr[[#This Row],[Bucket]],stock[CTL Bucket],scheduleapr[[#This Row],[CTL Bucket]],stock[Plant],"0789")</f>
        <v/>
      </c>
      <c r="AO554" s="599" t="n"/>
      <c r="AP554" s="599">
        <f>SUMIFS(stock[MT],stock[Bucket],scheduleapr[[#This Row],[Bucket]],stock[LL or CTL],"LL")</f>
        <v/>
      </c>
      <c r="AQ554" s="599">
        <f>+SUMIFS(wip[Stock(Net Wt)],wip[Bucket],scheduleapr[[#This Row],[Bucket]])/1000</f>
        <v/>
      </c>
      <c r="AR554" s="599">
        <f>AJ554-AN554</f>
        <v/>
      </c>
      <c r="AS554" s="118" t="n"/>
    </row>
    <row r="555">
      <c r="A555" s="594" t="n">
        <v>490</v>
      </c>
      <c r="B555" s="5" t="inlineStr">
        <is>
          <t>Hosur</t>
        </is>
      </c>
      <c r="C555" s="601" t="inlineStr">
        <is>
          <t>SANDHAR ENGINEERING PVT LTD.</t>
        </is>
      </c>
      <c r="D555" s="15" t="inlineStr">
        <is>
          <t>SANDHAR Hosur</t>
        </is>
      </c>
      <c r="E555" s="601" t="n">
        <v>941496</v>
      </c>
      <c r="F555" s="601" t="n">
        <v>2399718</v>
      </c>
      <c r="G555" s="601">
        <f>_xlfn.CONCAT(scheduleapr[[#This Row],[CUSTOMER CODE]],"-",scheduleapr[[#This Row],[MATERIAL NO]])</f>
        <v/>
      </c>
      <c r="H555" s="601" t="inlineStr">
        <is>
          <t>TUB-O-N-AUT-AW-FC-40.00X1.200X0.4500</t>
        </is>
      </c>
      <c r="I555" s="601" t="inlineStr">
        <is>
          <t>ERW 1</t>
        </is>
      </c>
      <c r="J555" s="601" t="n"/>
      <c r="K555" s="596" t="inlineStr">
        <is>
          <t>PE</t>
        </is>
      </c>
      <c r="L555" s="601" t="inlineStr">
        <is>
          <t>HR</t>
        </is>
      </c>
      <c r="M555" s="601" t="n"/>
      <c r="N555" s="601" t="n"/>
      <c r="O555" s="601" t="n"/>
      <c r="P555" s="601" t="n"/>
      <c r="Q555" s="557">
        <f>CONCATENATE(scheduleapr[[#This Row],[OD]],"-",scheduleapr[[#This Row],[ID]],"-",scheduleapr[[#This Row],[TICKNESS]],"-",scheduleapr[[#This Row],[Grade]],"-",scheduleapr[[#This Row],[FC/NFC]])</f>
        <v/>
      </c>
      <c r="R555" s="557">
        <f>_xlfn.CONCAT(scheduleapr[[#This Row],[Bucket]],"-",scheduleapr[[#This Row],[LENGTH]]/1000)</f>
        <v/>
      </c>
      <c r="S555" s="557">
        <f>COUNTIF([2]!buckets[CTL Bucket],[2]!scheduleapr[[#This Row],[CTL Bucket]])</f>
        <v/>
      </c>
      <c r="T555" s="557" t="n"/>
      <c r="U555" s="601">
        <f>_xlfn.IFNA(VLOOKUP(scheduleapr[[#This Row],[Bucket]],salesforecast[[#All],[Bucket2]:[8406 Stock]],19,0),0)</f>
        <v/>
      </c>
      <c r="V555" s="557" t="n"/>
      <c r="W555" s="557" t="n"/>
      <c r="X555" s="599" t="n">
        <v>40</v>
      </c>
      <c r="Y555" s="599" t="n">
        <v>40</v>
      </c>
      <c r="Z555" s="599" t="n">
        <v>40</v>
      </c>
      <c r="AA555" s="599" t="n">
        <v>1.2</v>
      </c>
      <c r="AB555" s="600" t="n">
        <v>450</v>
      </c>
      <c r="AC555" s="600" t="inlineStr">
        <is>
          <t>NOS</t>
        </is>
      </c>
      <c r="AD555" s="600" t="n"/>
      <c r="AE555" s="600" t="n"/>
      <c r="AF555" s="601" t="n"/>
      <c r="AG555" s="601" t="n"/>
      <c r="AH555" s="601">
        <f t="array" ref="AH5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5" s="602">
        <f>scheduleapr[[#This Row],[SCHEDULE in nos]]-scheduleapr[[#This Row],[DISPATCH]]</f>
        <v/>
      </c>
      <c r="AJ555" s="599">
        <f>(3.14*(scheduleapr[[#This Row],[ACTUAL OD]]-scheduleapr[[#This Row],[TICKNESS]])*scheduleapr[[#This Row],[TICKNESS]]*scheduleapr[[#This Row],[LENGTH]]*7.85)/1000000*scheduleapr[[#This Row],[SCHEDULE in nos]]/1000</f>
        <v/>
      </c>
      <c r="AK555" s="599">
        <f>(3.14*(scheduleapr[[#This Row],[ACTUAL OD]]-scheduleapr[[#This Row],[TICKNESS]])*scheduleapr[[#This Row],[TICKNESS]]*scheduleapr[[#This Row],[LENGTH]]*7.85)/1000000*scheduleapr[[#This Row],[DISPATCH]]/1000</f>
        <v/>
      </c>
      <c r="AL555" s="599">
        <f>AJ555-AK555</f>
        <v/>
      </c>
      <c r="AM555" s="599">
        <f>scheduleapr[[#This Row],[SCHEDULE in nos]]/scheduleapr[[#This Row],[SCHEDULE IN MT]]*scheduleapr[[#This Row],[CTL Stock]]</f>
        <v/>
      </c>
      <c r="AN555" s="599">
        <f>SUMIFS(stock[MT],stock[Bucket],scheduleapr[[#This Row],[Bucket]],stock[CTL Bucket],scheduleapr[[#This Row],[CTL Bucket]],stock[Plant],"0789")</f>
        <v/>
      </c>
      <c r="AO555" s="599" t="n"/>
      <c r="AP555" s="599">
        <f>SUMIFS(stock[MT],stock[Bucket],scheduleapr[[#This Row],[Bucket]],stock[LL or CTL],"LL")</f>
        <v/>
      </c>
      <c r="AQ555" s="599">
        <f>+SUMIFS(wip[Stock(Net Wt)],wip[Bucket],scheduleapr[[#This Row],[Bucket]])/1000</f>
        <v/>
      </c>
      <c r="AR555" s="599">
        <f>AJ555-AN555</f>
        <v/>
      </c>
      <c r="AS555" s="118" t="n"/>
    </row>
    <row r="556">
      <c r="A556" s="594" t="n">
        <v>492</v>
      </c>
      <c r="B556" s="5" t="inlineStr">
        <is>
          <t>Hosur</t>
        </is>
      </c>
      <c r="C556" s="601" t="inlineStr">
        <is>
          <t>SANDHAR ENGINEERING PVT LTD.</t>
        </is>
      </c>
      <c r="D556" s="15" t="inlineStr">
        <is>
          <t>SANDHAR Hosur</t>
        </is>
      </c>
      <c r="E556" s="601" t="n">
        <v>941496</v>
      </c>
      <c r="F556" s="601" t="n">
        <v>1940821</v>
      </c>
      <c r="G556" s="601">
        <f>_xlfn.CONCAT(scheduleapr[[#This Row],[CUSTOMER CODE]],"-",scheduleapr[[#This Row],[MATERIAL NO]])</f>
        <v/>
      </c>
      <c r="H556" s="601" t="inlineStr">
        <is>
          <t>TUB-R-AW-RHS-40.00X25.00X1.600X0.5130</t>
        </is>
      </c>
      <c r="I556" s="601" t="inlineStr">
        <is>
          <t>ERW 1</t>
        </is>
      </c>
      <c r="J556" s="601" t="n"/>
      <c r="K556" s="601" t="inlineStr">
        <is>
          <t>FC</t>
        </is>
      </c>
      <c r="L556" s="601" t="inlineStr">
        <is>
          <t>HR</t>
        </is>
      </c>
      <c r="M556" s="601" t="n"/>
      <c r="N556" s="601" t="n"/>
      <c r="O556" s="601" t="n"/>
      <c r="P556" s="601" t="n"/>
      <c r="Q556" s="557">
        <f>CONCATENATE(scheduleapr[[#This Row],[OD]],"-",scheduleapr[[#This Row],[ID]],"-",scheduleapr[[#This Row],[TICKNESS]],"-",scheduleapr[[#This Row],[Grade]],"-",scheduleapr[[#This Row],[FC/NFC]])</f>
        <v/>
      </c>
      <c r="R556" s="557">
        <f>_xlfn.CONCAT(scheduleapr[[#This Row],[Bucket]],"-",scheduleapr[[#This Row],[LENGTH]]/1000)</f>
        <v/>
      </c>
      <c r="S556" s="557">
        <f>COUNTIF(scheduleapr[CTL Bucket],scheduleapr[[#This Row],[CTL Bucket]])</f>
        <v/>
      </c>
      <c r="T556" s="557" t="n"/>
      <c r="U556" s="601">
        <f>_xlfn.IFNA(VLOOKUP(scheduleapr[[#This Row],[Bucket]],salesforecast[[#All],[Bucket2]:[8406 Stock]],19,0),0)</f>
        <v/>
      </c>
      <c r="V556" s="562">
        <f>_xlfn.IFNA(VLOOKUP(scheduleapr[[#This Row],[Bucket]],salesforecast[[#All],[Bucket2]:[8406 Stock]],20,0),0)+_xlfn.IFNA(VLOOKUP(scheduleapr[[#This Row],[Bucket]],salesforecast[[#All],[Bucket2]:[8406 Stock]],17,0),0)</f>
        <v/>
      </c>
      <c r="W556" s="557" t="n"/>
      <c r="X556" s="599" t="n">
        <v>41.28</v>
      </c>
      <c r="Y556" s="599" t="n">
        <v>40</v>
      </c>
      <c r="Z556" s="599" t="n">
        <v>25</v>
      </c>
      <c r="AA556" s="599" t="n">
        <v>1.6</v>
      </c>
      <c r="AB556" s="600" t="n">
        <v>513</v>
      </c>
      <c r="AC556" s="600" t="inlineStr">
        <is>
          <t>NOS</t>
        </is>
      </c>
      <c r="AD556" s="600" t="n"/>
      <c r="AE556" s="600" t="n"/>
      <c r="AF556" s="601" t="n">
        <v>15000</v>
      </c>
      <c r="AG556" s="601" t="inlineStr">
        <is>
          <t>Aug 2026 schedule · sandhar hosur</t>
        </is>
      </c>
      <c r="AH556" s="601">
        <f t="array" ref="AH5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6" s="602">
        <f>scheduleapr[[#This Row],[SCHEDULE in nos]]-scheduleapr[[#This Row],[DISPATCH]]</f>
        <v/>
      </c>
      <c r="AJ556" s="599">
        <f>(3.14*(scheduleapr[[#This Row],[ACTUAL OD]]-scheduleapr[[#This Row],[TICKNESS]])*scheduleapr[[#This Row],[TICKNESS]]*scheduleapr[[#This Row],[LENGTH]]*7.85)/1000000*scheduleapr[[#This Row],[SCHEDULE in nos]]/1000</f>
        <v/>
      </c>
      <c r="AK556" s="599">
        <f>(3.14*(scheduleapr[[#This Row],[ACTUAL OD]]-scheduleapr[[#This Row],[TICKNESS]])*scheduleapr[[#This Row],[TICKNESS]]*scheduleapr[[#This Row],[LENGTH]]*7.85)/1000000*scheduleapr[[#This Row],[DISPATCH]]/1000</f>
        <v/>
      </c>
      <c r="AL556" s="599">
        <f>AJ556-AK556</f>
        <v/>
      </c>
      <c r="AM556" s="599">
        <f>scheduleapr[[#This Row],[SCHEDULE in nos]]/scheduleapr[[#This Row],[SCHEDULE IN MT]]*scheduleapr[[#This Row],[CTL Stock]]</f>
        <v/>
      </c>
      <c r="AN556" s="599">
        <f>SUMIFS(stock[MT],stock[Bucket],scheduleapr[[#This Row],[Bucket]],stock[CTL Bucket],scheduleapr[[#This Row],[CTL Bucket]],stock[Plant],"0789")</f>
        <v/>
      </c>
      <c r="AO556" s="599" t="n"/>
      <c r="AP556" s="599">
        <f>SUMIFS(stock[MT],stock[Bucket],scheduleapr[[#This Row],[Bucket]],stock[LL or CTL],"LL")</f>
        <v/>
      </c>
      <c r="AQ556" s="599">
        <f>+SUMIFS(wip[Stock(Net Wt)],wip[Bucket],scheduleapr[[#This Row],[Bucket]])/1000</f>
        <v/>
      </c>
      <c r="AR556" s="599">
        <f>AJ556-AN556</f>
        <v/>
      </c>
      <c r="AS556" s="118" t="n"/>
    </row>
    <row r="557">
      <c r="A557" s="594" t="n">
        <v>494</v>
      </c>
      <c r="B557" s="5" t="inlineStr">
        <is>
          <t>Hosur</t>
        </is>
      </c>
      <c r="C557" s="601" t="inlineStr">
        <is>
          <t>SANDHAR ENGINEERING PVT LTD.</t>
        </is>
      </c>
      <c r="D557" s="15" t="inlineStr">
        <is>
          <t>SANDHAR Hosur</t>
        </is>
      </c>
      <c r="E557" s="601" t="n">
        <v>941496</v>
      </c>
      <c r="F557" s="601" t="n">
        <v>1940822</v>
      </c>
      <c r="G557" s="601">
        <f>_xlfn.CONCAT(scheduleapr[[#This Row],[CUSTOMER CODE]],"-",scheduleapr[[#This Row],[MATERIAL NO]])</f>
        <v/>
      </c>
      <c r="H557" s="601" t="inlineStr">
        <is>
          <t>TUB-R-AW-RHS-40.00X25.00X1.600X0.5360</t>
        </is>
      </c>
      <c r="I557" s="601" t="inlineStr">
        <is>
          <t>ERW 1</t>
        </is>
      </c>
      <c r="J557" s="601" t="n"/>
      <c r="K557" s="601" t="inlineStr">
        <is>
          <t>FC</t>
        </is>
      </c>
      <c r="L557" s="601" t="inlineStr">
        <is>
          <t>HR</t>
        </is>
      </c>
      <c r="M557" s="601" t="n"/>
      <c r="N557" s="601" t="n"/>
      <c r="O557" s="601" t="n"/>
      <c r="P557" s="601" t="n"/>
      <c r="Q557" s="557">
        <f>CONCATENATE(scheduleapr[[#This Row],[OD]],"-",scheduleapr[[#This Row],[ID]],"-",scheduleapr[[#This Row],[TICKNESS]],"-",scheduleapr[[#This Row],[Grade]],"-",scheduleapr[[#This Row],[FC/NFC]])</f>
        <v/>
      </c>
      <c r="R557" s="557">
        <f>_xlfn.CONCAT(scheduleapr[[#This Row],[Bucket]],"-",scheduleapr[[#This Row],[LENGTH]]/1000)</f>
        <v/>
      </c>
      <c r="S557" s="557">
        <f>COUNTIF(scheduleapr[CTL Bucket],scheduleapr[[#This Row],[CTL Bucket]])</f>
        <v/>
      </c>
      <c r="T557" s="557" t="n"/>
      <c r="U557" s="601">
        <f>_xlfn.IFNA(VLOOKUP(scheduleapr[[#This Row],[Bucket]],salesforecast[[#All],[Bucket2]:[8406 Stock]],19,0),0)</f>
        <v/>
      </c>
      <c r="V557" s="562">
        <f>_xlfn.IFNA(VLOOKUP(scheduleapr[[#This Row],[Bucket]],salesforecast[[#All],[Bucket2]:[8406 Stock]],20,0),0)+_xlfn.IFNA(VLOOKUP(scheduleapr[[#This Row],[Bucket]],salesforecast[[#All],[Bucket2]:[8406 Stock]],17,0),0)</f>
        <v/>
      </c>
      <c r="W557" s="557" t="n"/>
      <c r="X557" s="599" t="n">
        <v>41.28</v>
      </c>
      <c r="Y557" s="599" t="n">
        <v>40</v>
      </c>
      <c r="Z557" s="599" t="n">
        <v>25</v>
      </c>
      <c r="AA557" s="599" t="n">
        <v>1.6</v>
      </c>
      <c r="AB557" s="600" t="n">
        <v>536</v>
      </c>
      <c r="AC557" s="600" t="inlineStr">
        <is>
          <t>NOS</t>
        </is>
      </c>
      <c r="AD557" s="600" t="n"/>
      <c r="AE557" s="600" t="n"/>
      <c r="AF557" s="601" t="n">
        <v>15000</v>
      </c>
      <c r="AG557" s="601" t="inlineStr">
        <is>
          <t>Aug 2026 schedule · sandhar hosur</t>
        </is>
      </c>
      <c r="AH557" s="601">
        <f t="array" ref="AH5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7" s="602">
        <f>scheduleapr[[#This Row],[SCHEDULE in nos]]-scheduleapr[[#This Row],[DISPATCH]]</f>
        <v/>
      </c>
      <c r="AJ557" s="599">
        <f>(3.14*(scheduleapr[[#This Row],[ACTUAL OD]]-scheduleapr[[#This Row],[TICKNESS]])*scheduleapr[[#This Row],[TICKNESS]]*scheduleapr[[#This Row],[LENGTH]]*7.85)/1000000*scheduleapr[[#This Row],[SCHEDULE in nos]]/1000</f>
        <v/>
      </c>
      <c r="AK557" s="599">
        <f>(3.14*(scheduleapr[[#This Row],[ACTUAL OD]]-scheduleapr[[#This Row],[TICKNESS]])*scheduleapr[[#This Row],[TICKNESS]]*scheduleapr[[#This Row],[LENGTH]]*7.85)/1000000*scheduleapr[[#This Row],[DISPATCH]]/1000</f>
        <v/>
      </c>
      <c r="AL557" s="599">
        <f>AJ557-AK557</f>
        <v/>
      </c>
      <c r="AM557" s="599">
        <f>scheduleapr[[#This Row],[SCHEDULE in nos]]/scheduleapr[[#This Row],[SCHEDULE IN MT]]*scheduleapr[[#This Row],[CTL Stock]]</f>
        <v/>
      </c>
      <c r="AN557" s="599">
        <f>SUMIFS(stock[MT],stock[Bucket],scheduleapr[[#This Row],[Bucket]],stock[CTL Bucket],scheduleapr[[#This Row],[CTL Bucket]],stock[Plant],"0789")</f>
        <v/>
      </c>
      <c r="AO557" s="599" t="n"/>
      <c r="AP557" s="599">
        <f>SUMIFS(stock[MT],stock[Bucket],scheduleapr[[#This Row],[Bucket]],stock[LL or CTL],"LL")</f>
        <v/>
      </c>
      <c r="AQ557" s="599">
        <f>+SUMIFS(wip[Stock(Net Wt)],wip[Bucket],scheduleapr[[#This Row],[Bucket]])/1000</f>
        <v/>
      </c>
      <c r="AR557" s="599">
        <f>AJ557-AN557</f>
        <v/>
      </c>
      <c r="AS557" s="118" t="n"/>
    </row>
    <row r="558">
      <c r="A558" s="594" t="n">
        <v>496</v>
      </c>
      <c r="B558" s="5" t="inlineStr">
        <is>
          <t xml:space="preserve">Khopoli </t>
        </is>
      </c>
      <c r="C558" s="601" t="inlineStr">
        <is>
          <t>SANDHAR ENGINEERING PVT LTD.</t>
        </is>
      </c>
      <c r="D558" s="15" t="inlineStr">
        <is>
          <t>SANDHAR Hosur</t>
        </is>
      </c>
      <c r="E558" s="601" t="n">
        <v>941496</v>
      </c>
      <c r="F558" s="601" t="n"/>
      <c r="G558" s="601">
        <f>_xlfn.CONCAT(scheduleapr[[#This Row],[CUSTOMER CODE]],"-",scheduleapr[[#This Row],[MATERIAL NO]])</f>
        <v/>
      </c>
      <c r="H558" s="601" t="inlineStr">
        <is>
          <t>TUB-O-N-AUT-AN-FC-42.70X3.500X0.2080</t>
        </is>
      </c>
      <c r="I558" s="601" t="inlineStr">
        <is>
          <t>ERW 1</t>
        </is>
      </c>
      <c r="J558" s="601" t="inlineStr">
        <is>
          <t>Annealed</t>
        </is>
      </c>
      <c r="K558" s="601" t="inlineStr">
        <is>
          <t>FC</t>
        </is>
      </c>
      <c r="L558" s="601" t="inlineStr">
        <is>
          <t>HR</t>
        </is>
      </c>
      <c r="M558" s="601" t="n"/>
      <c r="N558" s="601" t="inlineStr">
        <is>
          <t>Chamferring</t>
        </is>
      </c>
      <c r="O558" s="601" t="n"/>
      <c r="P558" s="601" t="n"/>
      <c r="Q558" s="557">
        <f>CONCATENATE(scheduleapr[[#This Row],[OD]],"-",scheduleapr[[#This Row],[ID]],"-",scheduleapr[[#This Row],[TICKNESS]],"-",scheduleapr[[#This Row],[Grade]],"-",scheduleapr[[#This Row],[FC/NFC]])</f>
        <v/>
      </c>
      <c r="R558" s="557">
        <f>_xlfn.CONCAT(scheduleapr[[#This Row],[Bucket]],"-",scheduleapr[[#This Row],[LENGTH]]/1000)</f>
        <v/>
      </c>
      <c r="S558" s="557">
        <f>COUNTIF(scheduleapr[CTL Bucket],scheduleapr[[#This Row],[CTL Bucket]])</f>
        <v/>
      </c>
      <c r="T558" s="601" t="inlineStr">
        <is>
          <t>Khopoli</t>
        </is>
      </c>
      <c r="U558" s="601">
        <f>_xlfn.IFNA(VLOOKUP(scheduleapr[[#This Row],[Bucket]],salesforecast[[#All],[Bucket2]:[8406 Stock]],19,0),0)</f>
        <v/>
      </c>
      <c r="V558" s="562">
        <f>_xlfn.IFNA(VLOOKUP(scheduleapr[[#This Row],[Bucket]],salesforecast[[#All],[Bucket2]:[8406 Stock]],20,0),0)+_xlfn.IFNA(VLOOKUP(scheduleapr[[#This Row],[Bucket]],salesforecast[[#All],[Bucket2]:[8406 Stock]],17,0),0)</f>
        <v/>
      </c>
      <c r="W558" s="557" t="n"/>
      <c r="X558" s="599" t="n">
        <v>42.7</v>
      </c>
      <c r="Y558" s="599" t="n">
        <v>42.7</v>
      </c>
      <c r="Z558" s="599" t="n">
        <v>0</v>
      </c>
      <c r="AA558" s="599" t="n">
        <v>3.5</v>
      </c>
      <c r="AB558" s="600" t="n">
        <v>208</v>
      </c>
      <c r="AC558" s="600" t="inlineStr">
        <is>
          <t>NOS</t>
        </is>
      </c>
      <c r="AD558" s="600" t="n"/>
      <c r="AE558" s="600" t="n"/>
      <c r="AF558" s="601" t="n">
        <v>40000</v>
      </c>
      <c r="AG558" s="601" t="inlineStr">
        <is>
          <t>Aug 2026 schedule · sandhar hosur</t>
        </is>
      </c>
      <c r="AH558" s="601">
        <f t="array" ref="AH5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8" s="602">
        <f>scheduleapr[[#This Row],[SCHEDULE in nos]]-scheduleapr[[#This Row],[DISPATCH]]</f>
        <v/>
      </c>
      <c r="AJ558" s="599">
        <f>(3.14*(scheduleapr[[#This Row],[ACTUAL OD]]-scheduleapr[[#This Row],[TICKNESS]])*scheduleapr[[#This Row],[TICKNESS]]*scheduleapr[[#This Row],[LENGTH]]*7.85)/1000000*scheduleapr[[#This Row],[SCHEDULE in nos]]/1000</f>
        <v/>
      </c>
      <c r="AK558" s="599">
        <f>(3.14*(scheduleapr[[#This Row],[ACTUAL OD]]-scheduleapr[[#This Row],[TICKNESS]])*scheduleapr[[#This Row],[TICKNESS]]*scheduleapr[[#This Row],[LENGTH]]*7.85)/1000000*scheduleapr[[#This Row],[DISPATCH]]/1000</f>
        <v/>
      </c>
      <c r="AL558" s="599">
        <f>AJ558-AK558</f>
        <v/>
      </c>
      <c r="AM558" s="599">
        <f>scheduleapr[[#This Row],[SCHEDULE in nos]]/scheduleapr[[#This Row],[SCHEDULE IN MT]]*scheduleapr[[#This Row],[CTL Stock]]</f>
        <v/>
      </c>
      <c r="AN558" s="599">
        <f>SUMIFS(stock[MT],stock[Bucket],scheduleapr[[#This Row],[Bucket]],stock[CTL Bucket],scheduleapr[[#This Row],[CTL Bucket]],stock[Plant],"0789")</f>
        <v/>
      </c>
      <c r="AO558" s="599" t="n"/>
      <c r="AP558" s="599">
        <f>SUMIFS(stock[MT],stock[Bucket],scheduleapr[[#This Row],[Bucket]],stock[LL or CTL],"LL")</f>
        <v/>
      </c>
      <c r="AQ558" s="599">
        <f>+SUMIFS(wip[Stock(Net Wt)],wip[Bucket],scheduleapr[[#This Row],[Bucket]])/1000</f>
        <v/>
      </c>
      <c r="AR558" s="599">
        <f>AJ558-AN558</f>
        <v/>
      </c>
      <c r="AS558" s="118" t="n"/>
    </row>
    <row r="559">
      <c r="A559" s="594" t="n">
        <v>497</v>
      </c>
      <c r="B559" s="5" t="inlineStr">
        <is>
          <t>Hosur</t>
        </is>
      </c>
      <c r="C559" s="601" t="inlineStr">
        <is>
          <t>SANDHAR ENGINEERING PVT LTD.</t>
        </is>
      </c>
      <c r="D559" s="15" t="inlineStr">
        <is>
          <t>SANDHAR Hosur</t>
        </is>
      </c>
      <c r="E559" s="601" t="n">
        <v>941496</v>
      </c>
      <c r="F559" s="601" t="n">
        <v>2325421</v>
      </c>
      <c r="G559" s="601">
        <f>_xlfn.CONCAT(scheduleapr[[#This Row],[CUSTOMER CODE]],"-",scheduleapr[[#This Row],[MATERIAL NO]])</f>
        <v/>
      </c>
      <c r="H559" s="601" t="inlineStr">
        <is>
          <t>TUB-O-N-AUT-AW-FC-48.60X1.200X0.3360</t>
        </is>
      </c>
      <c r="I559" s="601" t="inlineStr">
        <is>
          <t>ERW 1</t>
        </is>
      </c>
      <c r="J559" s="601" t="n"/>
      <c r="K559" s="601" t="inlineStr">
        <is>
          <t>FC</t>
        </is>
      </c>
      <c r="L559" s="601" t="inlineStr">
        <is>
          <t>CR</t>
        </is>
      </c>
      <c r="M559" s="601" t="n"/>
      <c r="N559" s="601" t="n"/>
      <c r="O559" s="601" t="n"/>
      <c r="P559" s="601" t="n"/>
      <c r="Q559" s="557">
        <f>CONCATENATE(scheduleapr[[#This Row],[OD]],"-",scheduleapr[[#This Row],[ID]],"-",scheduleapr[[#This Row],[TICKNESS]],"-",scheduleapr[[#This Row],[Grade]],"-",scheduleapr[[#This Row],[FC/NFC]])</f>
        <v/>
      </c>
      <c r="R559" s="557">
        <f>_xlfn.CONCAT(scheduleapr[[#This Row],[Bucket]],"-",scheduleapr[[#This Row],[LENGTH]]/1000)</f>
        <v/>
      </c>
      <c r="S559" s="557">
        <f>COUNTIF(scheduleapr[CTL Bucket],scheduleapr[[#This Row],[CTL Bucket]])</f>
        <v/>
      </c>
      <c r="T559" s="601" t="inlineStr">
        <is>
          <t>Hosur</t>
        </is>
      </c>
      <c r="U559" s="601">
        <f>_xlfn.IFNA(VLOOKUP(scheduleapr[[#This Row],[Bucket]],salesforecast[[#All],[Bucket2]:[8406 Stock]],19,0),0)</f>
        <v/>
      </c>
      <c r="V559" s="562">
        <f>_xlfn.IFNA(VLOOKUP(scheduleapr[[#This Row],[Bucket]],salesforecast[[#All],[Bucket2]:[8406 Stock]],20,0),0)+_xlfn.IFNA(VLOOKUP(scheduleapr[[#This Row],[Bucket]],salesforecast[[#All],[Bucket2]:[8406 Stock]],17,0),0)</f>
        <v/>
      </c>
      <c r="W559" s="557" t="n"/>
      <c r="X559" s="599" t="n">
        <v>48.6</v>
      </c>
      <c r="Y559" s="599" t="n">
        <v>48.6</v>
      </c>
      <c r="Z559" s="599" t="n">
        <v>0</v>
      </c>
      <c r="AA559" s="599" t="n">
        <v>1.2</v>
      </c>
      <c r="AB559" s="600" t="n">
        <v>336</v>
      </c>
      <c r="AC559" s="600" t="inlineStr">
        <is>
          <t>NOS</t>
        </is>
      </c>
      <c r="AD559" s="600" t="n"/>
      <c r="AE559" s="600" t="n"/>
      <c r="AF559" s="601" t="n">
        <v>12000</v>
      </c>
      <c r="AG559" s="601" t="inlineStr">
        <is>
          <t>Aug 2026 schedule · sandhar hosur</t>
        </is>
      </c>
      <c r="AH559" s="601">
        <f t="array" ref="AH5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59" s="602">
        <f>scheduleapr[[#This Row],[SCHEDULE in nos]]-scheduleapr[[#This Row],[DISPATCH]]</f>
        <v/>
      </c>
      <c r="AJ559" s="599">
        <f>(3.14*(scheduleapr[[#This Row],[ACTUAL OD]]-scheduleapr[[#This Row],[TICKNESS]])*scheduleapr[[#This Row],[TICKNESS]]*scheduleapr[[#This Row],[LENGTH]]*7.85)/1000000*scheduleapr[[#This Row],[SCHEDULE in nos]]/1000</f>
        <v/>
      </c>
      <c r="AK559" s="599">
        <f>(3.14*(scheduleapr[[#This Row],[ACTUAL OD]]-scheduleapr[[#This Row],[TICKNESS]])*scheduleapr[[#This Row],[TICKNESS]]*scheduleapr[[#This Row],[LENGTH]]*7.85)/1000000*scheduleapr[[#This Row],[DISPATCH]]/1000</f>
        <v/>
      </c>
      <c r="AL559" s="599">
        <f>AJ559-AK559</f>
        <v/>
      </c>
      <c r="AM559" s="599">
        <f>scheduleapr[[#This Row],[SCHEDULE in nos]]/scheduleapr[[#This Row],[SCHEDULE IN MT]]*scheduleapr[[#This Row],[CTL Stock]]</f>
        <v/>
      </c>
      <c r="AN559" s="599">
        <f>SUMIFS(stock[MT],stock[Bucket],scheduleapr[[#This Row],[Bucket]],stock[CTL Bucket],scheduleapr[[#This Row],[CTL Bucket]],stock[Plant],"0789")</f>
        <v/>
      </c>
      <c r="AO559" s="599" t="n"/>
      <c r="AP559" s="599">
        <f>SUMIFS(stock[MT],stock[Bucket],scheduleapr[[#This Row],[Bucket]],stock[LL or CTL],"LL")</f>
        <v/>
      </c>
      <c r="AQ559" s="599">
        <f>+SUMIFS(wip[Stock(Net Wt)],wip[Bucket],scheduleapr[[#This Row],[Bucket]])/1000</f>
        <v/>
      </c>
      <c r="AR559" s="599">
        <f>AJ559-AN559</f>
        <v/>
      </c>
      <c r="AS559" s="118" t="n"/>
    </row>
    <row r="560">
      <c r="A560" s="594" t="n">
        <v>461</v>
      </c>
      <c r="B560" s="5" t="inlineStr">
        <is>
          <t>Hosur</t>
        </is>
      </c>
      <c r="C560" s="601" t="inlineStr">
        <is>
          <t>SANDHAR ENGINEERING PVT LTD.</t>
        </is>
      </c>
      <c r="D560" s="15" t="inlineStr">
        <is>
          <t>SANDHAR Hosur</t>
        </is>
      </c>
      <c r="E560" s="601" t="n">
        <v>941496</v>
      </c>
      <c r="F560" s="601" t="n">
        <v>3910650</v>
      </c>
      <c r="G560" s="601">
        <f>_xlfn.CONCAT(scheduleapr[[#This Row],[CUSTOMER CODE]],"-",scheduleapr[[#This Row],[MATERIAL NO]])</f>
        <v/>
      </c>
      <c r="H560" s="601" t="inlineStr">
        <is>
          <t>HT2-O-N-AUT-AS-FC-22.23X2.000X0.8550</t>
        </is>
      </c>
      <c r="I560" s="601" t="inlineStr">
        <is>
          <t>ERW 2</t>
        </is>
      </c>
      <c r="J560" s="601" t="n"/>
      <c r="K560" s="601" t="inlineStr">
        <is>
          <t>FC</t>
        </is>
      </c>
      <c r="L560" s="601" t="inlineStr">
        <is>
          <t>HR</t>
        </is>
      </c>
      <c r="M560" s="601" t="inlineStr">
        <is>
          <t>SAE1020</t>
        </is>
      </c>
      <c r="N560" s="601" t="n"/>
      <c r="O560" s="601" t="n"/>
      <c r="P560" s="601" t="n"/>
      <c r="Q560" s="557">
        <f>CONCATENATE(scheduleapr[[#This Row],[OD]],"-",scheduleapr[[#This Row],[ID]],"-",scheduleapr[[#This Row],[TICKNESS]],"-",scheduleapr[[#This Row],[Grade]],"-",scheduleapr[[#This Row],[FC/NFC]])</f>
        <v/>
      </c>
      <c r="R560" s="557">
        <f>_xlfn.CONCAT(scheduleapr[[#This Row],[Bucket]],"-",scheduleapr[[#This Row],[LENGTH]]/1000)</f>
        <v/>
      </c>
      <c r="S560" s="557">
        <f>COUNTIF([2]!buckets[CTL Bucket],[2]!scheduleapr[[#This Row],[CTL Bucket]])</f>
        <v/>
      </c>
      <c r="T560" s="557" t="n"/>
      <c r="U560" s="557" t="n"/>
      <c r="V560" s="557" t="n"/>
      <c r="W560" s="557" t="n"/>
      <c r="X560" s="599" t="n">
        <v>22.23</v>
      </c>
      <c r="Y560" s="599" t="n">
        <v>22.23</v>
      </c>
      <c r="Z560" s="599" t="n">
        <v>0</v>
      </c>
      <c r="AA560" s="599" t="n">
        <v>2</v>
      </c>
      <c r="AB560" s="600" t="n">
        <v>855</v>
      </c>
      <c r="AC560" s="600" t="inlineStr">
        <is>
          <t>NOS</t>
        </is>
      </c>
      <c r="AD560" s="600" t="n"/>
      <c r="AE560" s="600" t="n"/>
      <c r="AF560" s="601" t="n"/>
      <c r="AG560" s="601" t="n"/>
      <c r="AH560" s="601">
        <f t="array" ref="AH5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0" s="602">
        <f>scheduleapr[[#This Row],[SCHEDULE in nos]]-scheduleapr[[#This Row],[DISPATCH]]</f>
        <v/>
      </c>
      <c r="AJ560" s="599">
        <f>(3.14*(scheduleapr[[#This Row],[ACTUAL OD]]-scheduleapr[[#This Row],[TICKNESS]])*scheduleapr[[#This Row],[TICKNESS]]*scheduleapr[[#This Row],[LENGTH]]*7.85)/1000000*scheduleapr[[#This Row],[SCHEDULE in nos]]/1000</f>
        <v/>
      </c>
      <c r="AK560" s="599">
        <f>(3.14*(scheduleapr[[#This Row],[ACTUAL OD]]-scheduleapr[[#This Row],[TICKNESS]])*scheduleapr[[#This Row],[TICKNESS]]*scheduleapr[[#This Row],[LENGTH]]*7.85)/1000000*scheduleapr[[#This Row],[DISPATCH]]/1000</f>
        <v/>
      </c>
      <c r="AL560" s="599">
        <f>AJ560-AK560</f>
        <v/>
      </c>
      <c r="AM560" s="599">
        <f>scheduleapr[[#This Row],[SCHEDULE in nos]]/scheduleapr[[#This Row],[SCHEDULE IN MT]]*scheduleapr[[#This Row],[CTL Stock]]</f>
        <v/>
      </c>
      <c r="AN560" s="599">
        <f>SUMIFS(stock[MT],stock[Bucket],scheduleapr[[#This Row],[Bucket]],stock[CTL Bucket],scheduleapr[[#This Row],[CTL Bucket]],stock[Plant],"0789")</f>
        <v/>
      </c>
      <c r="AO560" s="599" t="n"/>
      <c r="AP560" s="599">
        <f>SUMIFS(stock[MT],stock[Bucket],scheduleapr[[#This Row],[Bucket]],stock[LL or CTL],"LL")</f>
        <v/>
      </c>
      <c r="AQ560" s="599">
        <f>+SUMIFS(wip[Stock(Net Wt)],wip[Bucket],scheduleapr[[#This Row],[Bucket]])/1000</f>
        <v/>
      </c>
      <c r="AR560" s="599">
        <f>AJ560-AN560</f>
        <v/>
      </c>
      <c r="AS560" s="118" t="n"/>
    </row>
    <row r="561">
      <c r="A561" s="594" t="n">
        <v>464</v>
      </c>
      <c r="B561" s="5" t="inlineStr">
        <is>
          <t>Hosur</t>
        </is>
      </c>
      <c r="C561" s="601" t="inlineStr">
        <is>
          <t>SANDHAR ENGINEERING PVT LTD.</t>
        </is>
      </c>
      <c r="D561" s="15" t="inlineStr">
        <is>
          <t>SANDHAR Hosur</t>
        </is>
      </c>
      <c r="E561" s="601" t="n">
        <v>941496</v>
      </c>
      <c r="F561" s="601" t="n">
        <v>3910649</v>
      </c>
      <c r="G561" s="601">
        <f>_xlfn.CONCAT(scheduleapr[[#This Row],[CUSTOMER CODE]],"-",scheduleapr[[#This Row],[MATERIAL NO]])</f>
        <v/>
      </c>
      <c r="H561" s="601" t="inlineStr">
        <is>
          <t>CUT-O-N-AUT-AW-FC-22.23X2.000X0.8630</t>
        </is>
      </c>
      <c r="I561" s="601" t="inlineStr">
        <is>
          <t>ERW 2</t>
        </is>
      </c>
      <c r="J561" s="601" t="n"/>
      <c r="K561" s="601" t="inlineStr">
        <is>
          <t>FC</t>
        </is>
      </c>
      <c r="L561" s="601" t="inlineStr">
        <is>
          <t>HR</t>
        </is>
      </c>
      <c r="M561" s="601" t="inlineStr">
        <is>
          <t>SAE1020</t>
        </is>
      </c>
      <c r="N561" s="601" t="n"/>
      <c r="O561" s="601" t="n"/>
      <c r="P561" s="601" t="n"/>
      <c r="Q561" s="557">
        <f>CONCATENATE(scheduleapr[[#This Row],[OD]],"-",scheduleapr[[#This Row],[ID]],"-",scheduleapr[[#This Row],[TICKNESS]],"-",scheduleapr[[#This Row],[Grade]],"-",scheduleapr[[#This Row],[FC/NFC]])</f>
        <v/>
      </c>
      <c r="R561" s="557">
        <f>_xlfn.CONCAT(scheduleapr[[#This Row],[Bucket]],"-",scheduleapr[[#This Row],[LENGTH]]/1000)</f>
        <v/>
      </c>
      <c r="S561" s="557">
        <f>COUNTIF([2]!buckets[CTL Bucket],[2]!scheduleapr[[#This Row],[CTL Bucket]])</f>
        <v/>
      </c>
      <c r="T561" s="557" t="n"/>
      <c r="U561" s="557" t="n"/>
      <c r="V561" s="557" t="n"/>
      <c r="W561" s="557" t="n"/>
      <c r="X561" s="599" t="n">
        <v>22.23</v>
      </c>
      <c r="Y561" s="599" t="n">
        <v>22.23</v>
      </c>
      <c r="Z561" s="599" t="n">
        <v>0</v>
      </c>
      <c r="AA561" s="599" t="n">
        <v>2</v>
      </c>
      <c r="AB561" s="600" t="n">
        <v>863</v>
      </c>
      <c r="AC561" s="600" t="inlineStr">
        <is>
          <t>NOS</t>
        </is>
      </c>
      <c r="AD561" s="600" t="n"/>
      <c r="AE561" s="600" t="n"/>
      <c r="AF561" s="601" t="n"/>
      <c r="AG561" s="601" t="n"/>
      <c r="AH561" s="601">
        <f t="array" ref="AH5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1" s="602">
        <f>scheduleapr[[#This Row],[SCHEDULE in nos]]-scheduleapr[[#This Row],[DISPATCH]]</f>
        <v/>
      </c>
      <c r="AJ561" s="599">
        <f>(3.14*(scheduleapr[[#This Row],[ACTUAL OD]]-scheduleapr[[#This Row],[TICKNESS]])*scheduleapr[[#This Row],[TICKNESS]]*scheduleapr[[#This Row],[LENGTH]]*7.85)/1000000*scheduleapr[[#This Row],[SCHEDULE in nos]]/1000</f>
        <v/>
      </c>
      <c r="AK561" s="599">
        <f>(3.14*(scheduleapr[[#This Row],[ACTUAL OD]]-scheduleapr[[#This Row],[TICKNESS]])*scheduleapr[[#This Row],[TICKNESS]]*scheduleapr[[#This Row],[LENGTH]]*7.85)/1000000*scheduleapr[[#This Row],[DISPATCH]]/1000</f>
        <v/>
      </c>
      <c r="AL561" s="599">
        <f>AJ561-AK561</f>
        <v/>
      </c>
      <c r="AM561" s="599">
        <f>scheduleapr[[#This Row],[SCHEDULE in nos]]/scheduleapr[[#This Row],[SCHEDULE IN MT]]*scheduleapr[[#This Row],[CTL Stock]]</f>
        <v/>
      </c>
      <c r="AN561" s="599">
        <f>SUMIFS(stock[MT],stock[Bucket],scheduleapr[[#This Row],[Bucket]],stock[CTL Bucket],scheduleapr[[#This Row],[CTL Bucket]],stock[Plant],"0789")</f>
        <v/>
      </c>
      <c r="AO561" s="599" t="n"/>
      <c r="AP561" s="599">
        <f>SUMIFS(stock[MT],stock[Bucket],scheduleapr[[#This Row],[Bucket]],stock[LL or CTL],"LL")</f>
        <v/>
      </c>
      <c r="AQ561" s="599">
        <f>+SUMIFS(wip[Stock(Net Wt)],wip[Bucket],scheduleapr[[#This Row],[Bucket]])/1000</f>
        <v/>
      </c>
      <c r="AR561" s="599">
        <f>AJ561-AN561</f>
        <v/>
      </c>
      <c r="AS561" s="118" t="n"/>
    </row>
    <row r="562">
      <c r="A562" s="594" t="n">
        <v>328</v>
      </c>
      <c r="B562" s="5" t="inlineStr">
        <is>
          <t xml:space="preserve">Khopoli </t>
        </is>
      </c>
      <c r="C562" s="601" t="inlineStr">
        <is>
          <t xml:space="preserve">Sandhar Engg Mysore </t>
        </is>
      </c>
      <c r="D562" s="601" t="inlineStr">
        <is>
          <t>SANDHAR Mysore</t>
        </is>
      </c>
      <c r="E562" s="601" t="n">
        <v>945539</v>
      </c>
      <c r="F562" s="601">
        <f>_xlfn.CONCAT([2]!scheduleapr[[#This Row],[OD]],"-",[2]!scheduleapr[[#This Row],[ID]],"-",[2]!scheduleapr[[#This Row],[TICKNESS]],"-",[2]!scheduleapr[[#This Row],[LENGTH]])</f>
        <v/>
      </c>
      <c r="G562" s="601">
        <f>_xlfn.CONCAT(scheduleapr[[#This Row],[CUSTOMER CODE]],"-",scheduleapr[[#This Row],[MATERIAL NO]])</f>
        <v/>
      </c>
      <c r="H562" s="601" t="n"/>
      <c r="I562" s="601" t="inlineStr">
        <is>
          <t>CEW</t>
        </is>
      </c>
      <c r="J562" s="601" t="n"/>
      <c r="K562" s="601" t="inlineStr">
        <is>
          <t>CEW</t>
        </is>
      </c>
      <c r="L562" s="601" t="inlineStr">
        <is>
          <t>HR</t>
        </is>
      </c>
      <c r="M562" s="601" t="n"/>
      <c r="N562" s="601" t="n"/>
      <c r="O562" s="601" t="n"/>
      <c r="P562" s="601" t="n"/>
      <c r="Q562" s="557">
        <f>CONCATENATE(scheduleapr[[#This Row],[OD]],"-",scheduleapr[[#This Row],[ID]],"-",scheduleapr[[#This Row],[TICKNESS]],"-",scheduleapr[[#This Row],[Grade]],"-",scheduleapr[[#This Row],[FC/NFC]])</f>
        <v/>
      </c>
      <c r="R562" s="557">
        <f>_xlfn.CONCAT(scheduleapr[[#This Row],[Bucket]],"-",scheduleapr[[#This Row],[LENGTH]]/1000)</f>
        <v/>
      </c>
      <c r="S562" s="557">
        <f>COUNTIF(scheduleapr[CTL Bucket],scheduleapr[[#This Row],[CTL Bucket]])</f>
        <v/>
      </c>
      <c r="T562" s="601" t="inlineStr">
        <is>
          <t>Khopoli</t>
        </is>
      </c>
      <c r="U562" s="601">
        <f>_xlfn.IFNA(VLOOKUP(scheduleapr[[#This Row],[Bucket]],salesforecast[[#All],[Bucket2]:[8406 Stock]],19,0),0)</f>
        <v/>
      </c>
      <c r="V562" s="562">
        <f>_xlfn.IFNA(VLOOKUP(scheduleapr[[#This Row],[Bucket]],salesforecast[[#All],[Bucket2]:[8406 Stock]],20,0),0)+_xlfn.IFNA(VLOOKUP(scheduleapr[[#This Row],[Bucket]],salesforecast[[#All],[Bucket2]:[8406 Stock]],17,0),0)</f>
        <v/>
      </c>
      <c r="W562" s="557" t="n"/>
      <c r="X562" s="599" t="n">
        <v>14</v>
      </c>
      <c r="Y562" s="599" t="n">
        <v>14</v>
      </c>
      <c r="Z562" s="599" t="n">
        <v>0</v>
      </c>
      <c r="AA562" s="599" t="n">
        <v>2.45</v>
      </c>
      <c r="AB562" s="600" t="n">
        <v>1000</v>
      </c>
      <c r="AC562" s="600" t="inlineStr">
        <is>
          <t>M</t>
        </is>
      </c>
      <c r="AD562" s="600" t="n"/>
      <c r="AE562" s="600" t="n"/>
      <c r="AF562" s="601" t="n"/>
      <c r="AG562" s="601" t="n"/>
      <c r="AH562" s="601">
        <f t="array" ref="AH5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2" s="602">
        <f>scheduleapr[[#This Row],[SCHEDULE in nos]]-scheduleapr[[#This Row],[DISPATCH]]</f>
        <v/>
      </c>
      <c r="AJ562" s="599">
        <f>(3.14*(scheduleapr[[#This Row],[ACTUAL OD]]-scheduleapr[[#This Row],[TICKNESS]])*scheduleapr[[#This Row],[TICKNESS]]*scheduleapr[[#This Row],[LENGTH]]*7.85)/1000000*scheduleapr[[#This Row],[SCHEDULE in nos]]/1000</f>
        <v/>
      </c>
      <c r="AK562" s="599">
        <f>(3.14*(scheduleapr[[#This Row],[ACTUAL OD]]-scheduleapr[[#This Row],[TICKNESS]])*scheduleapr[[#This Row],[TICKNESS]]*scheduleapr[[#This Row],[LENGTH]]*7.85)/1000000*scheduleapr[[#This Row],[DISPATCH]]/1000</f>
        <v/>
      </c>
      <c r="AL562" s="599">
        <f>AJ562-AK562</f>
        <v/>
      </c>
      <c r="AM562" s="599">
        <f>scheduleapr[[#This Row],[SCHEDULE in nos]]/scheduleapr[[#This Row],[SCHEDULE IN MT]]*scheduleapr[[#This Row],[CTL Stock]]</f>
        <v/>
      </c>
      <c r="AN562" s="599">
        <f>SUMIFS(stock[MT],stock[Bucket],scheduleapr[[#This Row],[Bucket]],stock[CTL Bucket],scheduleapr[[#This Row],[CTL Bucket]],stock[Plant],"0789")</f>
        <v/>
      </c>
      <c r="AO562" s="599" t="n"/>
      <c r="AP562" s="599">
        <f>SUMIFS(stock[MT],stock[Bucket],scheduleapr[[#This Row],[Bucket]],stock[LL or CTL],"LL")</f>
        <v/>
      </c>
      <c r="AQ562" s="599">
        <f>+SUMIFS(wip[Stock(Net Wt)],wip[Bucket],scheduleapr[[#This Row],[Bucket]])/1000</f>
        <v/>
      </c>
      <c r="AR562" s="599">
        <f>AJ562-AN562</f>
        <v/>
      </c>
      <c r="AS562" s="118" t="n"/>
    </row>
    <row r="563">
      <c r="A563" s="594" t="n">
        <v>392</v>
      </c>
      <c r="B563" s="5" t="inlineStr">
        <is>
          <t xml:space="preserve">Khopoli </t>
        </is>
      </c>
      <c r="C563" s="601" t="inlineStr">
        <is>
          <t xml:space="preserve">Sandhar Engg Mysore </t>
        </is>
      </c>
      <c r="D563" s="601" t="inlineStr">
        <is>
          <t>SANDHAR Mysore</t>
        </is>
      </c>
      <c r="E563" s="601" t="n">
        <v>945539</v>
      </c>
      <c r="F563" s="601">
        <f>_xlfn.CONCAT([2]!scheduleapr[[#This Row],[OD]],"-",[2]!scheduleapr[[#This Row],[ID]],"-",[2]!scheduleapr[[#This Row],[TICKNESS]],"-",[2]!scheduleapr[[#This Row],[LENGTH]])</f>
        <v/>
      </c>
      <c r="G563" s="601">
        <f>_xlfn.CONCAT(scheduleapr[[#This Row],[CUSTOMER CODE]],"-",scheduleapr[[#This Row],[MATERIAL NO]])</f>
        <v/>
      </c>
      <c r="H563" s="601" t="n"/>
      <c r="I563" s="601" t="inlineStr">
        <is>
          <t>CEW</t>
        </is>
      </c>
      <c r="J563" s="601" t="n"/>
      <c r="K563" s="601" t="inlineStr">
        <is>
          <t>CEW</t>
        </is>
      </c>
      <c r="L563" s="601" t="inlineStr">
        <is>
          <t>HR</t>
        </is>
      </c>
      <c r="M563" s="601" t="n"/>
      <c r="N563" s="601" t="n"/>
      <c r="O563" s="601" t="n"/>
      <c r="P563" s="601" t="n"/>
      <c r="Q563" s="557">
        <f>CONCATENATE(scheduleapr[[#This Row],[OD]],"-",scheduleapr[[#This Row],[ID]],"-",scheduleapr[[#This Row],[TICKNESS]],"-",scheduleapr[[#This Row],[Grade]],"-",scheduleapr[[#This Row],[FC/NFC]])</f>
        <v/>
      </c>
      <c r="R563" s="557">
        <f>_xlfn.CONCAT(scheduleapr[[#This Row],[Bucket]],"-",scheduleapr[[#This Row],[LENGTH]]/1000)</f>
        <v/>
      </c>
      <c r="S563" s="557">
        <f>COUNTIF(scheduleapr[CTL Bucket],scheduleapr[[#This Row],[CTL Bucket]])</f>
        <v/>
      </c>
      <c r="T563" s="601" t="inlineStr">
        <is>
          <t>Khopoli</t>
        </is>
      </c>
      <c r="U563" s="601">
        <f>_xlfn.IFNA(VLOOKUP(scheduleapr[[#This Row],[Bucket]],salesforecast[[#All],[Bucket2]:[8406 Stock]],19,0),0)</f>
        <v/>
      </c>
      <c r="V563" s="562">
        <f>_xlfn.IFNA(VLOOKUP(scheduleapr[[#This Row],[Bucket]],salesforecast[[#All],[Bucket2]:[8406 Stock]],20,0),0)+_xlfn.IFNA(VLOOKUP(scheduleapr[[#This Row],[Bucket]],salesforecast[[#All],[Bucket2]:[8406 Stock]],17,0),0)</f>
        <v/>
      </c>
      <c r="W563" s="557" t="n"/>
      <c r="X563" s="599" t="n">
        <v>20</v>
      </c>
      <c r="Y563" s="599" t="n">
        <v>20</v>
      </c>
      <c r="Z563" s="599" t="n">
        <v>12.4</v>
      </c>
      <c r="AA563" s="599" t="n">
        <v>3.8</v>
      </c>
      <c r="AB563" s="600" t="n">
        <v>1000</v>
      </c>
      <c r="AC563" s="600" t="inlineStr">
        <is>
          <t>M</t>
        </is>
      </c>
      <c r="AD563" s="600" t="n"/>
      <c r="AE563" s="600" t="n"/>
      <c r="AF563" s="601" t="n"/>
      <c r="AG563" s="601" t="n"/>
      <c r="AH563" s="601">
        <f t="array" ref="AH5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3" s="602">
        <f>scheduleapr[[#This Row],[SCHEDULE in nos]]-scheduleapr[[#This Row],[DISPATCH]]</f>
        <v/>
      </c>
      <c r="AJ563" s="599">
        <f>(3.14*(scheduleapr[[#This Row],[ACTUAL OD]]-scheduleapr[[#This Row],[TICKNESS]])*scheduleapr[[#This Row],[TICKNESS]]*scheduleapr[[#This Row],[LENGTH]]*7.85)/1000000*scheduleapr[[#This Row],[SCHEDULE in nos]]/1000</f>
        <v/>
      </c>
      <c r="AK563" s="599">
        <f>(3.14*(scheduleapr[[#This Row],[ACTUAL OD]]-scheduleapr[[#This Row],[TICKNESS]])*scheduleapr[[#This Row],[TICKNESS]]*scheduleapr[[#This Row],[LENGTH]]*7.85)/1000000*scheduleapr[[#This Row],[DISPATCH]]/1000</f>
        <v/>
      </c>
      <c r="AL563" s="599">
        <f>AJ563-AK563</f>
        <v/>
      </c>
      <c r="AM563" s="599">
        <f>scheduleapr[[#This Row],[SCHEDULE in nos]]/scheduleapr[[#This Row],[SCHEDULE IN MT]]*scheduleapr[[#This Row],[CTL Stock]]</f>
        <v/>
      </c>
      <c r="AN563" s="599">
        <f>SUMIFS(stock[MT],stock[Bucket],scheduleapr[[#This Row],[Bucket]],stock[CTL Bucket],scheduleapr[[#This Row],[CTL Bucket]],stock[Plant],"0789")</f>
        <v/>
      </c>
      <c r="AO563" s="599" t="n"/>
      <c r="AP563" s="599">
        <f>SUMIFS(stock[MT],stock[Bucket],scheduleapr[[#This Row],[Bucket]],stock[LL or CTL],"LL")</f>
        <v/>
      </c>
      <c r="AQ563" s="599">
        <f>+SUMIFS(wip[Stock(Net Wt)],wip[Bucket],scheduleapr[[#This Row],[Bucket]])/1000</f>
        <v/>
      </c>
      <c r="AR563" s="599">
        <f>AJ563-AN563</f>
        <v/>
      </c>
      <c r="AS563" s="118" t="n"/>
    </row>
    <row r="564">
      <c r="A564" s="594" t="n">
        <v>393</v>
      </c>
      <c r="B564" s="5" t="inlineStr">
        <is>
          <t xml:space="preserve">Khopoli </t>
        </is>
      </c>
      <c r="C564" s="601" t="inlineStr">
        <is>
          <t xml:space="preserve">Sandhar Engg Mysore </t>
        </is>
      </c>
      <c r="D564" s="601" t="inlineStr">
        <is>
          <t>SANDHAR Mysore</t>
        </is>
      </c>
      <c r="E564" s="601" t="n">
        <v>945539</v>
      </c>
      <c r="F564" s="601">
        <f>_xlfn.CONCAT([2]!scheduleapr[[#This Row],[OD]],"-",[2]!scheduleapr[[#This Row],[ID]],"-",[2]!scheduleapr[[#This Row],[TICKNESS]],"-",[2]!scheduleapr[[#This Row],[LENGTH]])</f>
        <v/>
      </c>
      <c r="G564" s="601">
        <f>_xlfn.CONCAT(scheduleapr[[#This Row],[CUSTOMER CODE]],"-",scheduleapr[[#This Row],[MATERIAL NO]])</f>
        <v/>
      </c>
      <c r="H564" s="601" t="n"/>
      <c r="I564" s="601" t="inlineStr">
        <is>
          <t>CEW</t>
        </is>
      </c>
      <c r="J564" s="601" t="n"/>
      <c r="K564" s="601" t="inlineStr">
        <is>
          <t>CEW</t>
        </is>
      </c>
      <c r="L564" s="601" t="inlineStr">
        <is>
          <t>HR</t>
        </is>
      </c>
      <c r="M564" s="601" t="n"/>
      <c r="N564" s="601" t="n"/>
      <c r="O564" s="601" t="n"/>
      <c r="P564" s="601" t="n"/>
      <c r="Q564" s="557">
        <f>CONCATENATE(scheduleapr[[#This Row],[OD]],"-",scheduleapr[[#This Row],[ID]],"-",scheduleapr[[#This Row],[TICKNESS]],"-",scheduleapr[[#This Row],[Grade]],"-",scheduleapr[[#This Row],[FC/NFC]])</f>
        <v/>
      </c>
      <c r="R564" s="557">
        <f>_xlfn.CONCAT(scheduleapr[[#This Row],[Bucket]],"-",scheduleapr[[#This Row],[LENGTH]]/1000)</f>
        <v/>
      </c>
      <c r="S564" s="557">
        <f>COUNTIF(scheduleapr[CTL Bucket],scheduleapr[[#This Row],[CTL Bucket]])</f>
        <v/>
      </c>
      <c r="T564" s="601" t="inlineStr">
        <is>
          <t>Khopoli</t>
        </is>
      </c>
      <c r="U564" s="601">
        <f>_xlfn.IFNA(VLOOKUP(scheduleapr[[#This Row],[Bucket]],salesforecast[[#All],[Bucket2]:[8406 Stock]],19,0),0)</f>
        <v/>
      </c>
      <c r="V564" s="562">
        <f>_xlfn.IFNA(VLOOKUP(scheduleapr[[#This Row],[Bucket]],salesforecast[[#All],[Bucket2]:[8406 Stock]],20,0),0)+_xlfn.IFNA(VLOOKUP(scheduleapr[[#This Row],[Bucket]],salesforecast[[#All],[Bucket2]:[8406 Stock]],17,0),0)</f>
        <v/>
      </c>
      <c r="W564" s="557" t="n"/>
      <c r="X564" s="599" t="n">
        <v>20</v>
      </c>
      <c r="Y564" s="599" t="n">
        <v>20</v>
      </c>
      <c r="Z564" s="599" t="n">
        <v>12.4</v>
      </c>
      <c r="AA564" s="599" t="n">
        <v>4.5</v>
      </c>
      <c r="AB564" s="600" t="n">
        <v>1000</v>
      </c>
      <c r="AC564" s="600" t="inlineStr">
        <is>
          <t>M</t>
        </is>
      </c>
      <c r="AD564" s="600" t="n"/>
      <c r="AE564" s="600" t="n"/>
      <c r="AF564" s="601" t="n"/>
      <c r="AG564" s="601" t="n"/>
      <c r="AH564" s="601">
        <f t="array" ref="AH5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4" s="602">
        <f>scheduleapr[[#This Row],[SCHEDULE in nos]]-scheduleapr[[#This Row],[DISPATCH]]</f>
        <v/>
      </c>
      <c r="AJ564" s="599">
        <f>(3.14*(scheduleapr[[#This Row],[ACTUAL OD]]-scheduleapr[[#This Row],[TICKNESS]])*scheduleapr[[#This Row],[TICKNESS]]*scheduleapr[[#This Row],[LENGTH]]*7.85)/1000000*scheduleapr[[#This Row],[SCHEDULE in nos]]/1000</f>
        <v/>
      </c>
      <c r="AK564" s="599">
        <f>(3.14*(scheduleapr[[#This Row],[ACTUAL OD]]-scheduleapr[[#This Row],[TICKNESS]])*scheduleapr[[#This Row],[TICKNESS]]*scheduleapr[[#This Row],[LENGTH]]*7.85)/1000000*scheduleapr[[#This Row],[DISPATCH]]/1000</f>
        <v/>
      </c>
      <c r="AL564" s="599">
        <f>AJ564-AK564</f>
        <v/>
      </c>
      <c r="AM564" s="599">
        <f>scheduleapr[[#This Row],[SCHEDULE in nos]]/scheduleapr[[#This Row],[SCHEDULE IN MT]]*scheduleapr[[#This Row],[CTL Stock]]</f>
        <v/>
      </c>
      <c r="AN564" s="599">
        <f>SUMIFS(stock[MT],stock[Bucket],scheduleapr[[#This Row],[Bucket]],stock[CTL Bucket],scheduleapr[[#This Row],[CTL Bucket]],stock[Plant],"0789")</f>
        <v/>
      </c>
      <c r="AO564" s="599" t="n"/>
      <c r="AP564" s="599">
        <f>SUMIFS(stock[MT],stock[Bucket],scheduleapr[[#This Row],[Bucket]],stock[LL or CTL],"LL")</f>
        <v/>
      </c>
      <c r="AQ564" s="599">
        <f>+SUMIFS(wip[Stock(Net Wt)],wip[Bucket],scheduleapr[[#This Row],[Bucket]])/1000</f>
        <v/>
      </c>
      <c r="AR564" s="599">
        <f>AJ564-AN564</f>
        <v/>
      </c>
      <c r="AS564" s="118" t="n"/>
    </row>
    <row r="565">
      <c r="A565" s="594" t="n">
        <v>394</v>
      </c>
      <c r="B565" s="5" t="inlineStr">
        <is>
          <t xml:space="preserve">Khopoli </t>
        </is>
      </c>
      <c r="C565" s="601" t="inlineStr">
        <is>
          <t xml:space="preserve">Sandhar Engg Mysore </t>
        </is>
      </c>
      <c r="D565" s="601" t="inlineStr">
        <is>
          <t>SANDHAR Mysore</t>
        </is>
      </c>
      <c r="E565" s="601" t="n">
        <v>945539</v>
      </c>
      <c r="F565" s="601">
        <f>_xlfn.CONCAT([2]!scheduleapr[[#This Row],[OD]],"-",[2]!scheduleapr[[#This Row],[ID]],"-",[2]!scheduleapr[[#This Row],[TICKNESS]],"-",[2]!scheduleapr[[#This Row],[LENGTH]])</f>
        <v/>
      </c>
      <c r="G565" s="601">
        <f>_xlfn.CONCAT(scheduleapr[[#This Row],[CUSTOMER CODE]],"-",scheduleapr[[#This Row],[MATERIAL NO]])</f>
        <v/>
      </c>
      <c r="H565" s="601" t="e">
        <v>#REF!</v>
      </c>
      <c r="I565" s="601" t="inlineStr">
        <is>
          <t>CEW</t>
        </is>
      </c>
      <c r="J565" s="601" t="n"/>
      <c r="K565" s="601" t="inlineStr">
        <is>
          <t>CEW</t>
        </is>
      </c>
      <c r="L565" s="601" t="inlineStr">
        <is>
          <t>HR</t>
        </is>
      </c>
      <c r="M565" s="601" t="n"/>
      <c r="N565" s="601" t="n"/>
      <c r="O565" s="601" t="n"/>
      <c r="P565" s="601" t="n"/>
      <c r="Q565" s="557">
        <f>CONCATENATE(scheduleapr[[#This Row],[OD]],"-",scheduleapr[[#This Row],[ID]],"-",scheduleapr[[#This Row],[TICKNESS]],"-",scheduleapr[[#This Row],[Grade]],"-",scheduleapr[[#This Row],[FC/NFC]])</f>
        <v/>
      </c>
      <c r="R565" s="557">
        <f>_xlfn.CONCAT(scheduleapr[[#This Row],[Bucket]],"-",scheduleapr[[#This Row],[LENGTH]]/1000)</f>
        <v/>
      </c>
      <c r="S565" s="557">
        <f>COUNTIF(scheduleapr[CTL Bucket],scheduleapr[[#This Row],[CTL Bucket]])</f>
        <v/>
      </c>
      <c r="T565" s="601" t="inlineStr">
        <is>
          <t>Khopoli</t>
        </is>
      </c>
      <c r="U565" s="601">
        <f>_xlfn.IFNA(VLOOKUP(scheduleapr[[#This Row],[Bucket]],salesforecast[[#All],[Bucket2]:[8406 Stock]],19,0),0)</f>
        <v/>
      </c>
      <c r="V565" s="562">
        <f>_xlfn.IFNA(VLOOKUP(scheduleapr[[#This Row],[Bucket]],salesforecast[[#All],[Bucket2]:[8406 Stock]],20,0),0)+_xlfn.IFNA(VLOOKUP(scheduleapr[[#This Row],[Bucket]],salesforecast[[#All],[Bucket2]:[8406 Stock]],17,0),0)</f>
        <v/>
      </c>
      <c r="W565" s="557" t="n"/>
      <c r="X565" s="599" t="n">
        <v>21.75</v>
      </c>
      <c r="Y565" s="599" t="n">
        <v>21.75</v>
      </c>
      <c r="Z565" s="599" t="n">
        <v>0</v>
      </c>
      <c r="AA565" s="599" t="n">
        <v>3.5</v>
      </c>
      <c r="AB565" s="600" t="n">
        <v>1000</v>
      </c>
      <c r="AC565" s="600" t="inlineStr">
        <is>
          <t>M</t>
        </is>
      </c>
      <c r="AD565" s="600" t="n"/>
      <c r="AE565" s="600" t="n"/>
      <c r="AF565" s="601" t="n"/>
      <c r="AG565" s="601" t="n"/>
      <c r="AH565" s="601">
        <f t="array" ref="AH5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5" s="602">
        <f>scheduleapr[[#This Row],[SCHEDULE in nos]]-scheduleapr[[#This Row],[DISPATCH]]</f>
        <v/>
      </c>
      <c r="AJ565" s="79">
        <f>(3.14*(scheduleapr[[#This Row],[ACTUAL OD]]-scheduleapr[[#This Row],[TICKNESS]])*scheduleapr[[#This Row],[TICKNESS]]*scheduleapr[[#This Row],[LENGTH]]*7.85)/1000000*scheduleapr[[#This Row],[SCHEDULE in nos]]/1000</f>
        <v/>
      </c>
      <c r="AK565" s="599">
        <f>(3.14*(scheduleapr[[#This Row],[ACTUAL OD]]-scheduleapr[[#This Row],[TICKNESS]])*scheduleapr[[#This Row],[TICKNESS]]*scheduleapr[[#This Row],[LENGTH]]*7.85)/1000000*scheduleapr[[#This Row],[DISPATCH]]/1000</f>
        <v/>
      </c>
      <c r="AL565" s="599">
        <f>AJ565-AK565</f>
        <v/>
      </c>
      <c r="AM565" s="599">
        <f>scheduleapr[[#This Row],[SCHEDULE in nos]]/scheduleapr[[#This Row],[SCHEDULE IN MT]]*scheduleapr[[#This Row],[CTL Stock]]</f>
        <v/>
      </c>
      <c r="AN565" s="599">
        <f>SUMIFS(stock[MT],stock[Bucket],scheduleapr[[#This Row],[Bucket]],stock[CTL Bucket],scheduleapr[[#This Row],[CTL Bucket]],stock[Plant],"0789")</f>
        <v/>
      </c>
      <c r="AO565" s="599" t="n"/>
      <c r="AP565" s="599">
        <f>SUMIFS(stock[MT],stock[Bucket],scheduleapr[[#This Row],[Bucket]],stock[LL or CTL],"LL")</f>
        <v/>
      </c>
      <c r="AQ565" s="599">
        <f>+SUMIFS(wip[Stock(Net Wt)],wip[Bucket],scheduleapr[[#This Row],[Bucket]])/1000</f>
        <v/>
      </c>
      <c r="AR565" s="599">
        <f>AJ565-AN565</f>
        <v/>
      </c>
      <c r="AS565" s="118" t="n"/>
    </row>
    <row r="566">
      <c r="A566" s="594" t="n">
        <v>457</v>
      </c>
      <c r="B566" s="5" t="inlineStr">
        <is>
          <t xml:space="preserve">Khopoli </t>
        </is>
      </c>
      <c r="C566" s="601" t="inlineStr">
        <is>
          <t xml:space="preserve">Sandhar Engg Mysore </t>
        </is>
      </c>
      <c r="D566" s="48" t="inlineStr">
        <is>
          <t>SANDHAR Mysore</t>
        </is>
      </c>
      <c r="E566" s="601" t="n">
        <v>945539</v>
      </c>
      <c r="F566" s="601" t="n">
        <v>2410997</v>
      </c>
      <c r="G566" s="601">
        <f>_xlfn.CONCAT(scheduleapr[[#This Row],[CUSTOMER CODE]],"-",scheduleapr[[#This Row],[MATERIAL NO]])</f>
        <v/>
      </c>
      <c r="H566" s="601" t="inlineStr">
        <is>
          <t>TUB-O-C-AUT-AD-FC-25.40X3.200X04-05</t>
        </is>
      </c>
      <c r="I566" s="601" t="inlineStr">
        <is>
          <t>CEW</t>
        </is>
      </c>
      <c r="J566" s="601" t="n"/>
      <c r="K566" s="601" t="inlineStr">
        <is>
          <t>CEW</t>
        </is>
      </c>
      <c r="L566" s="601" t="inlineStr">
        <is>
          <t>HR</t>
        </is>
      </c>
      <c r="M566" s="601" t="n"/>
      <c r="N566" s="601" t="n"/>
      <c r="O566" s="601" t="n"/>
      <c r="P566" s="601" t="n"/>
      <c r="Q566" s="557">
        <f>CONCATENATE(scheduleapr[[#This Row],[OD]],"-",scheduleapr[[#This Row],[ID]],"-",scheduleapr[[#This Row],[TICKNESS]],"-",scheduleapr[[#This Row],[Grade]],"-",scheduleapr[[#This Row],[FC/NFC]])</f>
        <v/>
      </c>
      <c r="R566" s="557">
        <f>_xlfn.CONCAT(scheduleapr[[#This Row],[Bucket]],"-",scheduleapr[[#This Row],[LENGTH]]/1000)</f>
        <v/>
      </c>
      <c r="S566" s="557">
        <f>COUNTIF(scheduleapr[CTL Bucket],scheduleapr[[#This Row],[CTL Bucket]])</f>
        <v/>
      </c>
      <c r="T566" s="601" t="inlineStr">
        <is>
          <t>Khopoli</t>
        </is>
      </c>
      <c r="U566" s="601" t="n"/>
      <c r="V566" s="557" t="n"/>
      <c r="W566" s="557" t="n"/>
      <c r="X566" s="599" t="n">
        <v>25.4</v>
      </c>
      <c r="Y566" s="599" t="n">
        <v>25.4</v>
      </c>
      <c r="Z566" s="6" t="n">
        <v>19</v>
      </c>
      <c r="AA566" s="599" t="n">
        <v>3.2</v>
      </c>
      <c r="AB566" s="600" t="n">
        <v>1000</v>
      </c>
      <c r="AC566" s="600" t="inlineStr">
        <is>
          <t>M</t>
        </is>
      </c>
      <c r="AD566" s="600" t="n"/>
      <c r="AE566" s="600" t="n"/>
      <c r="AF566" s="601" t="n"/>
      <c r="AG566" s="601" t="n"/>
      <c r="AH566" s="601">
        <f t="array" ref="AH5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6" s="602">
        <f>scheduleapr[[#This Row],[SCHEDULE in nos]]-scheduleapr[[#This Row],[DISPATCH]]</f>
        <v/>
      </c>
      <c r="AJ566" s="599">
        <f>(3.14*(scheduleapr[[#This Row],[ACTUAL OD]]-scheduleapr[[#This Row],[TICKNESS]])*scheduleapr[[#This Row],[TICKNESS]]*scheduleapr[[#This Row],[LENGTH]]*7.85)/1000000*scheduleapr[[#This Row],[SCHEDULE in nos]]/1000</f>
        <v/>
      </c>
      <c r="AK566" s="599">
        <f>(3.14*(scheduleapr[[#This Row],[ACTUAL OD]]-scheduleapr[[#This Row],[TICKNESS]])*scheduleapr[[#This Row],[TICKNESS]]*scheduleapr[[#This Row],[LENGTH]]*7.85)/1000000*scheduleapr[[#This Row],[DISPATCH]]/1000</f>
        <v/>
      </c>
      <c r="AL566" s="599">
        <f>AJ566-AK566</f>
        <v/>
      </c>
      <c r="AM566" s="599">
        <f>scheduleapr[[#This Row],[SCHEDULE in nos]]/scheduleapr[[#This Row],[SCHEDULE IN MT]]*scheduleapr[[#This Row],[CTL Stock]]</f>
        <v/>
      </c>
      <c r="AN566" s="599">
        <f>SUMIFS(stock[MT],stock[Bucket],scheduleapr[[#This Row],[Bucket]],stock[CTL Bucket],scheduleapr[[#This Row],[CTL Bucket]],stock[Plant],"0789")</f>
        <v/>
      </c>
      <c r="AO566" s="599" t="n"/>
      <c r="AP566" s="599">
        <f>SUMIFS(stock[MT],stock[Bucket],scheduleapr[[#This Row],[Bucket]],stock[LL or CTL],"LL")</f>
        <v/>
      </c>
      <c r="AQ566" s="599">
        <f>+SUMIFS(wip[Stock(Net Wt)],wip[Bucket],scheduleapr[[#This Row],[Bucket]])/1000</f>
        <v/>
      </c>
      <c r="AR566" s="599">
        <f>AJ566-AN566</f>
        <v/>
      </c>
      <c r="AS566" s="118" t="n"/>
    </row>
    <row r="567">
      <c r="A567" s="594" t="n">
        <v>467</v>
      </c>
      <c r="B567" s="5" t="inlineStr">
        <is>
          <t xml:space="preserve">Khopoli </t>
        </is>
      </c>
      <c r="C567" s="601" t="inlineStr">
        <is>
          <t xml:space="preserve">Sandhar Engg Mysore </t>
        </is>
      </c>
      <c r="D567" s="601" t="inlineStr">
        <is>
          <t>SANDHAR Mysore</t>
        </is>
      </c>
      <c r="E567" s="601" t="n">
        <v>945539</v>
      </c>
      <c r="F567" s="601">
        <f>_xlfn.CONCAT([2]!scheduleapr[[#This Row],[OD]],"-",[2]!scheduleapr[[#This Row],[ID]],"-",[2]!scheduleapr[[#This Row],[TICKNESS]],"-",[2]!scheduleapr[[#This Row],[LENGTH]])</f>
        <v/>
      </c>
      <c r="G567" s="601">
        <f>_xlfn.CONCAT(scheduleapr[[#This Row],[CUSTOMER CODE]],"-",scheduleapr[[#This Row],[MATERIAL NO]])</f>
        <v/>
      </c>
      <c r="H567" s="601" t="n"/>
      <c r="I567" s="601" t="inlineStr">
        <is>
          <t>CEW</t>
        </is>
      </c>
      <c r="J567" s="601" t="n"/>
      <c r="K567" s="601" t="inlineStr">
        <is>
          <t>CEW</t>
        </is>
      </c>
      <c r="L567" s="601" t="inlineStr">
        <is>
          <t>HR</t>
        </is>
      </c>
      <c r="M567" s="601" t="n"/>
      <c r="N567" s="601" t="n"/>
      <c r="O567" s="601" t="n"/>
      <c r="P567" s="601" t="n"/>
      <c r="Q567" s="557">
        <f>CONCATENATE(scheduleapr[[#This Row],[OD]],"-",scheduleapr[[#This Row],[ID]],"-",scheduleapr[[#This Row],[TICKNESS]],"-",scheduleapr[[#This Row],[Grade]],"-",scheduleapr[[#This Row],[FC/NFC]])</f>
        <v/>
      </c>
      <c r="R567" s="557">
        <f>_xlfn.CONCAT(scheduleapr[[#This Row],[Bucket]],"-",scheduleapr[[#This Row],[LENGTH]]/1000)</f>
        <v/>
      </c>
      <c r="S567" s="557">
        <f>COUNTIF([2]!buckets[CTL Bucket],[2]!scheduleapr[[#This Row],[CTL Bucket]])</f>
        <v/>
      </c>
      <c r="T567" s="601" t="inlineStr">
        <is>
          <t>Khopoli</t>
        </is>
      </c>
      <c r="U567" s="601">
        <f>_xlfn.IFNA(VLOOKUP(scheduleapr[[#This Row],[Bucket]],salesforecast[[#All],[Bucket2]:[8406 Stock]],19,0),0)</f>
        <v/>
      </c>
      <c r="V567" s="562">
        <f>_xlfn.IFNA(VLOOKUP(scheduleapr[[#This Row],[Bucket]],salesforecast[[#All],[Bucket2]:[8406 Stock]],20,0),0)+_xlfn.IFNA(VLOOKUP(scheduleapr[[#This Row],[Bucket]],salesforecast[[#All],[Bucket2]:[8406 Stock]],17,0),0)</f>
        <v/>
      </c>
      <c r="W567" s="557" t="n"/>
      <c r="X567" s="599" t="n">
        <v>31.75</v>
      </c>
      <c r="Y567" s="599" t="n">
        <v>31.75</v>
      </c>
      <c r="Z567" s="599" t="n">
        <v>25</v>
      </c>
      <c r="AA567" s="599" t="n">
        <v>3.37</v>
      </c>
      <c r="AB567" s="600" t="n">
        <v>1000</v>
      </c>
      <c r="AC567" s="600" t="inlineStr">
        <is>
          <t>M</t>
        </is>
      </c>
      <c r="AD567" s="600" t="n"/>
      <c r="AE567" s="600" t="n"/>
      <c r="AF567" s="601" t="n"/>
      <c r="AG567" s="601" t="n"/>
      <c r="AH567" s="601">
        <f t="array" ref="AH5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7" s="602">
        <f>scheduleapr[[#This Row],[SCHEDULE in nos]]-scheduleapr[[#This Row],[DISPATCH]]</f>
        <v/>
      </c>
      <c r="AJ567" s="599">
        <f>(3.14*(scheduleapr[[#This Row],[ACTUAL OD]]-scheduleapr[[#This Row],[TICKNESS]])*scheduleapr[[#This Row],[TICKNESS]]*scheduleapr[[#This Row],[LENGTH]]*7.85)/1000000*scheduleapr[[#This Row],[SCHEDULE in nos]]/1000</f>
        <v/>
      </c>
      <c r="AK567" s="599">
        <f>(3.14*(scheduleapr[[#This Row],[ACTUAL OD]]-scheduleapr[[#This Row],[TICKNESS]])*scheduleapr[[#This Row],[TICKNESS]]*scheduleapr[[#This Row],[LENGTH]]*7.85)/1000000*scheduleapr[[#This Row],[DISPATCH]]/1000</f>
        <v/>
      </c>
      <c r="AL567" s="599">
        <f>AJ567-AK567</f>
        <v/>
      </c>
      <c r="AM567" s="599">
        <f>scheduleapr[[#This Row],[SCHEDULE in nos]]/scheduleapr[[#This Row],[SCHEDULE IN MT]]*scheduleapr[[#This Row],[CTL Stock]]</f>
        <v/>
      </c>
      <c r="AN567" s="599">
        <f>SUMIFS(stock[MT],stock[Bucket],scheduleapr[[#This Row],[Bucket]],stock[CTL Bucket],scheduleapr[[#This Row],[CTL Bucket]],stock[Plant],"0789")</f>
        <v/>
      </c>
      <c r="AO567" s="599" t="n"/>
      <c r="AP567" s="599">
        <f>SUMIFS(stock[MT],stock[Bucket],scheduleapr[[#This Row],[Bucket]],stock[LL or CTL],"LL")</f>
        <v/>
      </c>
      <c r="AQ567" s="599">
        <f>+SUMIFS(wip[Stock(Net Wt)],wip[Bucket],scheduleapr[[#This Row],[Bucket]])/1000</f>
        <v/>
      </c>
      <c r="AR567" s="599">
        <f>AJ567-AN567</f>
        <v/>
      </c>
      <c r="AS567" s="118" t="n"/>
    </row>
    <row r="568">
      <c r="A568" s="594" t="n">
        <v>403</v>
      </c>
      <c r="B568" s="5" t="inlineStr">
        <is>
          <t>Hosur</t>
        </is>
      </c>
      <c r="C568" s="601" t="inlineStr">
        <is>
          <t xml:space="preserve">Sandhar Engg Mysore </t>
        </is>
      </c>
      <c r="D568" s="601" t="inlineStr">
        <is>
          <t>SANDHAR Mysore</t>
        </is>
      </c>
      <c r="E568" s="601" t="n">
        <v>945539</v>
      </c>
      <c r="F568" s="601" t="n">
        <v>3714733</v>
      </c>
      <c r="G568" s="601">
        <f>_xlfn.CONCAT(scheduleapr[[#This Row],[CUSTOMER CODE]],"-",scheduleapr[[#This Row],[MATERIAL NO]])</f>
        <v/>
      </c>
      <c r="H568" s="601" t="inlineStr">
        <is>
          <t>TUB-O-N-AUT-AW-PE-22.23X1.600X0.690</t>
        </is>
      </c>
      <c r="I568" s="601" t="inlineStr">
        <is>
          <t>ERW 1</t>
        </is>
      </c>
      <c r="J568" s="601" t="n"/>
      <c r="K568" s="601" t="inlineStr">
        <is>
          <t>PE</t>
        </is>
      </c>
      <c r="L568" s="601" t="inlineStr">
        <is>
          <t>CR</t>
        </is>
      </c>
      <c r="M568" s="596" t="inlineStr">
        <is>
          <t>NORMAL</t>
        </is>
      </c>
      <c r="N568" s="601" t="inlineStr">
        <is>
          <t> </t>
        </is>
      </c>
      <c r="O568" s="601" t="n"/>
      <c r="P568" s="601" t="n"/>
      <c r="Q568" s="557">
        <f>CONCATENATE(scheduleapr[[#This Row],[OD]],"-",scheduleapr[[#This Row],[ID]],"-",scheduleapr[[#This Row],[TICKNESS]],"-",scheduleapr[[#This Row],[Grade]],"-",scheduleapr[[#This Row],[FC/NFC]])</f>
        <v/>
      </c>
      <c r="R568" s="557">
        <f>_xlfn.CONCAT(scheduleapr[[#This Row],[Bucket]],"-",scheduleapr[[#This Row],[LENGTH]]/1000)</f>
        <v/>
      </c>
      <c r="S568" s="557">
        <f>COUNTIF(scheduleapr[CTL Bucket],scheduleapr[[#This Row],[CTL Bucket]])</f>
        <v/>
      </c>
      <c r="T568" s="601" t="inlineStr">
        <is>
          <t>Hosur</t>
        </is>
      </c>
      <c r="U568" s="601">
        <f>_xlfn.IFNA(VLOOKUP(scheduleapr[[#This Row],[Bucket]],salesforecast[[#All],[Bucket2]:[8406 Stock]],19,0),0)</f>
        <v/>
      </c>
      <c r="V568" s="562">
        <f>_xlfn.IFNA(VLOOKUP(scheduleapr[[#This Row],[Bucket]],salesforecast[[#All],[Bucket2]:[8406 Stock]],20,0),0)+_xlfn.IFNA(VLOOKUP(scheduleapr[[#This Row],[Bucket]],salesforecast[[#All],[Bucket2]:[8406 Stock]],17,0),0)</f>
        <v/>
      </c>
      <c r="W568" s="557" t="n"/>
      <c r="X568" s="599" t="n">
        <v>22.23</v>
      </c>
      <c r="Y568" s="599" t="n">
        <v>22.23</v>
      </c>
      <c r="Z568" s="599" t="n">
        <v>0</v>
      </c>
      <c r="AA568" s="599" t="n">
        <v>1.6</v>
      </c>
      <c r="AB568" s="600" t="n">
        <v>690</v>
      </c>
      <c r="AC568" s="600" t="inlineStr">
        <is>
          <t>NOS</t>
        </is>
      </c>
      <c r="AD568" s="600" t="n"/>
      <c r="AE568" s="600" t="n"/>
      <c r="AF568" s="601" t="n">
        <v>20000</v>
      </c>
      <c r="AG568" s="601" t="inlineStr">
        <is>
          <t>Aug 2026 schedule · sandhar mysore body</t>
        </is>
      </c>
      <c r="AH568" s="601">
        <f t="array" ref="AH5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8" s="602">
        <f>scheduleapr[[#This Row],[SCHEDULE in nos]]-scheduleapr[[#This Row],[DISPATCH]]</f>
        <v/>
      </c>
      <c r="AJ568" s="599">
        <f>(3.14*(scheduleapr[[#This Row],[ACTUAL OD]]-scheduleapr[[#This Row],[TICKNESS]])*scheduleapr[[#This Row],[TICKNESS]]*scheduleapr[[#This Row],[LENGTH]]*7.85)/1000000*scheduleapr[[#This Row],[SCHEDULE in nos]]/1000</f>
        <v/>
      </c>
      <c r="AK568" s="599">
        <f>(3.14*(scheduleapr[[#This Row],[ACTUAL OD]]-scheduleapr[[#This Row],[TICKNESS]])*scheduleapr[[#This Row],[TICKNESS]]*scheduleapr[[#This Row],[LENGTH]]*7.85)/1000000*scheduleapr[[#This Row],[DISPATCH]]/1000</f>
        <v/>
      </c>
      <c r="AL568" s="599">
        <f>AJ568-AK568</f>
        <v/>
      </c>
      <c r="AM568" s="599">
        <f>scheduleapr[[#This Row],[SCHEDULE in nos]]/scheduleapr[[#This Row],[SCHEDULE IN MT]]*scheduleapr[[#This Row],[CTL Stock]]</f>
        <v/>
      </c>
      <c r="AN568" s="599">
        <f>SUMIFS(stock[MT],stock[Bucket],scheduleapr[[#This Row],[Bucket]],stock[CTL Bucket],scheduleapr[[#This Row],[CTL Bucket]],stock[Plant],"0789")</f>
        <v/>
      </c>
      <c r="AO568" s="599" t="n"/>
      <c r="AP568" s="599">
        <f>SUMIFS(stock[MT],stock[Bucket],scheduleapr[[#This Row],[Bucket]],stock[LL or CTL],"LL")</f>
        <v/>
      </c>
      <c r="AQ568" s="599">
        <f>+SUMIFS(wip[Stock(Net Wt)],wip[Bucket],scheduleapr[[#This Row],[Bucket]])/1000</f>
        <v/>
      </c>
      <c r="AR568" s="599">
        <f>AJ568-AN568</f>
        <v/>
      </c>
      <c r="AS568" s="118" t="n"/>
    </row>
    <row r="569">
      <c r="A569" s="594" t="n">
        <v>413</v>
      </c>
      <c r="B569" s="78" t="inlineStr">
        <is>
          <t>Hosur</t>
        </is>
      </c>
      <c r="C569" s="596" t="inlineStr">
        <is>
          <t xml:space="preserve">Sandhar Engg Mysore </t>
        </is>
      </c>
      <c r="D569" s="601" t="inlineStr">
        <is>
          <t>SANDHAR Mysore</t>
        </is>
      </c>
      <c r="E569" s="601" t="n">
        <v>945539</v>
      </c>
      <c r="F569" s="87" t="n">
        <v>3910650</v>
      </c>
      <c r="G569" s="601">
        <f>_xlfn.CONCAT(scheduleapr[[#This Row],[CUSTOMER CODE]],"-",scheduleapr[[#This Row],[MATERIAL NO]])</f>
        <v/>
      </c>
      <c r="H569" s="601" t="inlineStr">
        <is>
          <t>HT2-O-N-AUT-AS-FC-22.23X2.000X0.8550</t>
        </is>
      </c>
      <c r="I569" s="601" t="inlineStr">
        <is>
          <t>ERW 1</t>
        </is>
      </c>
      <c r="J569" s="557" t="n"/>
      <c r="K569" s="557" t="inlineStr">
        <is>
          <t>FC</t>
        </is>
      </c>
      <c r="L569" s="601" t="inlineStr">
        <is>
          <t>HR</t>
        </is>
      </c>
      <c r="M569" s="557" t="n"/>
      <c r="N569" s="557" t="n"/>
      <c r="O569" s="557" t="n"/>
      <c r="P569" s="557" t="n"/>
      <c r="Q569" s="557">
        <f>CONCATENATE(scheduleapr[[#This Row],[OD]],"-",scheduleapr[[#This Row],[ID]],"-",scheduleapr[[#This Row],[TICKNESS]],"-",scheduleapr[[#This Row],[Grade]],"-",scheduleapr[[#This Row],[FC/NFC]])</f>
        <v/>
      </c>
      <c r="R569" s="557">
        <f>_xlfn.CONCAT(scheduleapr[[#This Row],[Bucket]],"-",scheduleapr[[#This Row],[LENGTH]]/1000)</f>
        <v/>
      </c>
      <c r="S569" s="557">
        <f>COUNTIF(scheduleapr[CTL Bucket],scheduleapr[[#This Row],[CTL Bucket]])</f>
        <v/>
      </c>
      <c r="T569" s="601" t="inlineStr">
        <is>
          <t>Hosur</t>
        </is>
      </c>
      <c r="U569" s="601">
        <f>_xlfn.IFNA(VLOOKUP(scheduleapr[[#This Row],[Bucket]],salesforecast[[#All],[Bucket2]:[8406 Stock]],19,0),0)</f>
        <v/>
      </c>
      <c r="V569" s="562">
        <f>_xlfn.IFNA(VLOOKUP(scheduleapr[[#This Row],[Bucket]],salesforecast[[#All],[Bucket2]:[8406 Stock]],20,0),0)+_xlfn.IFNA(VLOOKUP(scheduleapr[[#This Row],[Bucket]],salesforecast[[#All],[Bucket2]:[8406 Stock]],17,0),0)</f>
        <v/>
      </c>
      <c r="W569" s="557" t="n"/>
      <c r="X569" s="599" t="n">
        <v>22.23</v>
      </c>
      <c r="Y569" s="599" t="n">
        <v>22.23</v>
      </c>
      <c r="Z569" s="599" t="n">
        <v>0</v>
      </c>
      <c r="AA569" s="599" t="n">
        <v>2</v>
      </c>
      <c r="AB569" s="600" t="n">
        <v>855</v>
      </c>
      <c r="AC569" s="600" t="inlineStr">
        <is>
          <t>NOS</t>
        </is>
      </c>
      <c r="AD569" s="600" t="n"/>
      <c r="AE569" s="600" t="n"/>
      <c r="AF569" s="601" t="n">
        <v>51829</v>
      </c>
      <c r="AG569" s="601" t="inlineStr">
        <is>
          <t>Aug 2026 schedule · sandhar mysore body</t>
        </is>
      </c>
      <c r="AH569" s="601">
        <f t="array" ref="AH5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69" s="602">
        <f>scheduleapr[[#This Row],[SCHEDULE in nos]]-scheduleapr[[#This Row],[DISPATCH]]</f>
        <v/>
      </c>
      <c r="AJ569" s="599">
        <f>(3.14*(scheduleapr[[#This Row],[ACTUAL OD]]-scheduleapr[[#This Row],[TICKNESS]])*scheduleapr[[#This Row],[TICKNESS]]*scheduleapr[[#This Row],[LENGTH]]*7.85)/1000000*scheduleapr[[#This Row],[SCHEDULE in nos]]/1000</f>
        <v/>
      </c>
      <c r="AK569" s="599">
        <f>(3.14*(scheduleapr[[#This Row],[ACTUAL OD]]-scheduleapr[[#This Row],[TICKNESS]])*scheduleapr[[#This Row],[TICKNESS]]*scheduleapr[[#This Row],[LENGTH]]*7.85)/1000000*scheduleapr[[#This Row],[DISPATCH]]/1000</f>
        <v/>
      </c>
      <c r="AL569" s="599">
        <f>AJ569-AK569</f>
        <v/>
      </c>
      <c r="AM569" s="599">
        <f>scheduleapr[[#This Row],[SCHEDULE in nos]]/scheduleapr[[#This Row],[SCHEDULE IN MT]]*scheduleapr[[#This Row],[CTL Stock]]</f>
        <v/>
      </c>
      <c r="AN569" s="599">
        <f>SUMIFS(stock[MT],stock[Bucket],scheduleapr[[#This Row],[Bucket]],stock[CTL Bucket],scheduleapr[[#This Row],[CTL Bucket]],stock[Plant],"0789")</f>
        <v/>
      </c>
      <c r="AO569" s="599" t="n"/>
      <c r="AP569" s="599">
        <f>SUMIFS(stock[MT],stock[Bucket],scheduleapr[[#This Row],[Bucket]],stock[LL or CTL],"LL")</f>
        <v/>
      </c>
      <c r="AQ569" s="599">
        <f>+SUMIFS(wip[Stock(Net Wt)],wip[Bucket],scheduleapr[[#This Row],[Bucket]])/1000</f>
        <v/>
      </c>
      <c r="AR569" s="599">
        <f>AJ569-AN569</f>
        <v/>
      </c>
      <c r="AS569" s="118" t="n"/>
    </row>
    <row r="570">
      <c r="A570" s="594" t="n">
        <v>415</v>
      </c>
      <c r="B570" s="78" t="inlineStr">
        <is>
          <t>Hosur</t>
        </is>
      </c>
      <c r="C570" s="596" t="inlineStr">
        <is>
          <t xml:space="preserve">Sandhar Engg Mysore </t>
        </is>
      </c>
      <c r="D570" s="601" t="inlineStr">
        <is>
          <t>SANDHAR Mysore</t>
        </is>
      </c>
      <c r="E570" s="601" t="n">
        <v>945539</v>
      </c>
      <c r="F570" s="87" t="n">
        <v>3910649</v>
      </c>
      <c r="G570" s="601">
        <f>_xlfn.CONCAT(scheduleapr[[#This Row],[CUSTOMER CODE]],"-",scheduleapr[[#This Row],[MATERIAL NO]])</f>
        <v/>
      </c>
      <c r="H570" s="601" t="inlineStr">
        <is>
          <t>HT2-O-N-AUT-AW-FC-22.23X2.000X0.8630</t>
        </is>
      </c>
      <c r="I570" s="601" t="inlineStr">
        <is>
          <t>ERW 1</t>
        </is>
      </c>
      <c r="J570" s="557" t="n"/>
      <c r="K570" s="557" t="inlineStr">
        <is>
          <t>FC</t>
        </is>
      </c>
      <c r="L570" s="601" t="inlineStr">
        <is>
          <t>HR</t>
        </is>
      </c>
      <c r="M570" s="557" t="n"/>
      <c r="N570" s="557" t="n"/>
      <c r="O570" s="557" t="n"/>
      <c r="P570" s="557" t="n"/>
      <c r="Q570" s="557">
        <f>CONCATENATE(scheduleapr[[#This Row],[OD]],"-",scheduleapr[[#This Row],[ID]],"-",scheduleapr[[#This Row],[TICKNESS]],"-",scheduleapr[[#This Row],[Grade]],"-",scheduleapr[[#This Row],[FC/NFC]])</f>
        <v/>
      </c>
      <c r="R570" s="557">
        <f>_xlfn.CONCAT(scheduleapr[[#This Row],[Bucket]],"-",scheduleapr[[#This Row],[LENGTH]]/1000)</f>
        <v/>
      </c>
      <c r="S570" s="557">
        <f>COUNTIF(scheduleapr[CTL Bucket],scheduleapr[[#This Row],[CTL Bucket]])</f>
        <v/>
      </c>
      <c r="T570" s="601" t="inlineStr">
        <is>
          <t>Hosur</t>
        </is>
      </c>
      <c r="U570" s="601">
        <f>_xlfn.IFNA(VLOOKUP(scheduleapr[[#This Row],[Bucket]],salesforecast[[#All],[Bucket2]:[8406 Stock]],19,0),0)</f>
        <v/>
      </c>
      <c r="V570" s="562">
        <f>_xlfn.IFNA(VLOOKUP(scheduleapr[[#This Row],[Bucket]],salesforecast[[#All],[Bucket2]:[8406 Stock]],20,0),0)+_xlfn.IFNA(VLOOKUP(scheduleapr[[#This Row],[Bucket]],salesforecast[[#All],[Bucket2]:[8406 Stock]],17,0),0)</f>
        <v/>
      </c>
      <c r="W570" s="557" t="n"/>
      <c r="X570" s="599" t="n">
        <v>22.23</v>
      </c>
      <c r="Y570" s="599" t="n">
        <v>22.23</v>
      </c>
      <c r="Z570" s="599" t="n">
        <v>0</v>
      </c>
      <c r="AA570" s="599" t="n">
        <v>2</v>
      </c>
      <c r="AB570" s="600" t="n">
        <v>863</v>
      </c>
      <c r="AC570" s="600" t="inlineStr">
        <is>
          <t>NOS</t>
        </is>
      </c>
      <c r="AD570" s="600" t="n"/>
      <c r="AE570" s="600" t="n"/>
      <c r="AF570" s="601" t="n">
        <v>24518</v>
      </c>
      <c r="AG570" s="601" t="inlineStr">
        <is>
          <t>Aug 2026 schedule · sandhar mysore body</t>
        </is>
      </c>
      <c r="AH570" s="601">
        <f t="array" ref="AH5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0" s="602">
        <f>scheduleapr[[#This Row],[SCHEDULE in nos]]-scheduleapr[[#This Row],[DISPATCH]]</f>
        <v/>
      </c>
      <c r="AJ570" s="599">
        <f>(3.14*(scheduleapr[[#This Row],[ACTUAL OD]]-scheduleapr[[#This Row],[TICKNESS]])*scheduleapr[[#This Row],[TICKNESS]]*scheduleapr[[#This Row],[LENGTH]]*7.85)/1000000*scheduleapr[[#This Row],[SCHEDULE in nos]]/1000</f>
        <v/>
      </c>
      <c r="AK570" s="599">
        <f>(3.14*(scheduleapr[[#This Row],[ACTUAL OD]]-scheduleapr[[#This Row],[TICKNESS]])*scheduleapr[[#This Row],[TICKNESS]]*scheduleapr[[#This Row],[LENGTH]]*7.85)/1000000*scheduleapr[[#This Row],[DISPATCH]]/1000</f>
        <v/>
      </c>
      <c r="AL570" s="599">
        <f>AJ570-AK570</f>
        <v/>
      </c>
      <c r="AM570" s="599">
        <f>scheduleapr[[#This Row],[SCHEDULE in nos]]/scheduleapr[[#This Row],[SCHEDULE IN MT]]*scheduleapr[[#This Row],[CTL Stock]]</f>
        <v/>
      </c>
      <c r="AN570" s="599">
        <f>SUMIFS(stock[MT],stock[Bucket],scheduleapr[[#This Row],[Bucket]],stock[CTL Bucket],scheduleapr[[#This Row],[CTL Bucket]],stock[Plant],"0789")</f>
        <v/>
      </c>
      <c r="AO570" s="599" t="n"/>
      <c r="AP570" s="599">
        <f>SUMIFS(stock[MT],stock[Bucket],scheduleapr[[#This Row],[Bucket]],stock[LL or CTL],"LL")</f>
        <v/>
      </c>
      <c r="AQ570" s="599">
        <f>+SUMIFS(wip[Stock(Net Wt)],wip[Bucket],scheduleapr[[#This Row],[Bucket]])/1000</f>
        <v/>
      </c>
      <c r="AR570" s="599">
        <f>AJ570-AN570</f>
        <v/>
      </c>
      <c r="AS570" s="118" t="n"/>
    </row>
    <row r="571">
      <c r="A571" s="594" t="n">
        <v>422</v>
      </c>
      <c r="B571" s="78" t="inlineStr">
        <is>
          <t>Hosur</t>
        </is>
      </c>
      <c r="C571" s="596" t="inlineStr">
        <is>
          <t xml:space="preserve">Sandhar Engg Mysore </t>
        </is>
      </c>
      <c r="D571" s="601" t="inlineStr">
        <is>
          <t>SANDHAR Mysore</t>
        </is>
      </c>
      <c r="E571" s="601" t="n">
        <v>945539</v>
      </c>
      <c r="F571" s="56" t="n">
        <v>3926270</v>
      </c>
      <c r="G571" s="601">
        <f>_xlfn.CONCAT(scheduleapr[[#This Row],[CUSTOMER CODE]],"-",scheduleapr[[#This Row],[MATERIAL NO]])</f>
        <v/>
      </c>
      <c r="H571" s="601" t="inlineStr">
        <is>
          <t>CUT-O-N-AUT-AW-FC-25.40X2.000X0.4180</t>
        </is>
      </c>
      <c r="I571" s="601" t="inlineStr">
        <is>
          <t>ERW 1</t>
        </is>
      </c>
      <c r="J571" s="557" t="n"/>
      <c r="K571" s="557" t="inlineStr">
        <is>
          <t>FC</t>
        </is>
      </c>
      <c r="L571" s="601" t="inlineStr">
        <is>
          <t>HR</t>
        </is>
      </c>
      <c r="M571" s="557" t="n"/>
      <c r="N571" s="557" t="n"/>
      <c r="O571" s="557" t="n"/>
      <c r="P571" s="557" t="n"/>
      <c r="Q571" s="557">
        <f>CONCATENATE(scheduleapr[[#This Row],[OD]],"-",scheduleapr[[#This Row],[ID]],"-",scheduleapr[[#This Row],[TICKNESS]],"-",scheduleapr[[#This Row],[Grade]],"-",scheduleapr[[#This Row],[FC/NFC]])</f>
        <v/>
      </c>
      <c r="R571" s="557">
        <f>_xlfn.CONCAT(scheduleapr[[#This Row],[Bucket]],"-",scheduleapr[[#This Row],[LENGTH]]/1000)</f>
        <v/>
      </c>
      <c r="S571" s="557">
        <f>COUNTIF(scheduleapr[CTL Bucket],scheduleapr[[#This Row],[CTL Bucket]])</f>
        <v/>
      </c>
      <c r="T571" s="601" t="inlineStr">
        <is>
          <t>Hosur</t>
        </is>
      </c>
      <c r="U571" s="601">
        <f>_xlfn.IFNA(VLOOKUP(scheduleapr[[#This Row],[Bucket]],salesforecast[[#All],[Bucket2]:[8406 Stock]],19,0),0)</f>
        <v/>
      </c>
      <c r="V571" s="562">
        <f>_xlfn.IFNA(VLOOKUP(scheduleapr[[#This Row],[Bucket]],salesforecast[[#All],[Bucket2]:[8406 Stock]],20,0),0)+_xlfn.IFNA(VLOOKUP(scheduleapr[[#This Row],[Bucket]],salesforecast[[#All],[Bucket2]:[8406 Stock]],17,0),0)</f>
        <v/>
      </c>
      <c r="W571" s="557" t="n"/>
      <c r="X571" s="599" t="n">
        <v>25.4</v>
      </c>
      <c r="Y571" s="599" t="n">
        <v>25.4</v>
      </c>
      <c r="Z571" s="599" t="n">
        <v>0</v>
      </c>
      <c r="AA571" s="599" t="n">
        <v>2</v>
      </c>
      <c r="AB571" s="600" t="n">
        <v>418</v>
      </c>
      <c r="AC571" s="600" t="inlineStr">
        <is>
          <t>NOS</t>
        </is>
      </c>
      <c r="AD571" s="600" t="n"/>
      <c r="AE571" s="600" t="n"/>
      <c r="AF571" s="601" t="n">
        <v>24570</v>
      </c>
      <c r="AG571" s="601" t="inlineStr">
        <is>
          <t>Aug 2026 schedule · sandhar mysore body</t>
        </is>
      </c>
      <c r="AH571" s="601">
        <f t="array" ref="AH5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1" s="602">
        <f>scheduleapr[[#This Row],[SCHEDULE in nos]]-scheduleapr[[#This Row],[DISPATCH]]</f>
        <v/>
      </c>
      <c r="AJ571" s="599">
        <f>(3.14*(scheduleapr[[#This Row],[ACTUAL OD]]-scheduleapr[[#This Row],[TICKNESS]])*scheduleapr[[#This Row],[TICKNESS]]*scheduleapr[[#This Row],[LENGTH]]*7.85)/1000000*scheduleapr[[#This Row],[SCHEDULE in nos]]/1000</f>
        <v/>
      </c>
      <c r="AK571" s="599">
        <f>(3.14*(scheduleapr[[#This Row],[ACTUAL OD]]-scheduleapr[[#This Row],[TICKNESS]])*scheduleapr[[#This Row],[TICKNESS]]*scheduleapr[[#This Row],[LENGTH]]*7.85)/1000000*scheduleapr[[#This Row],[DISPATCH]]/1000</f>
        <v/>
      </c>
      <c r="AL571" s="599">
        <f>AJ571-AK571</f>
        <v/>
      </c>
      <c r="AM571" s="599">
        <f>scheduleapr[[#This Row],[SCHEDULE in nos]]/scheduleapr[[#This Row],[SCHEDULE IN MT]]*scheduleapr[[#This Row],[CTL Stock]]</f>
        <v/>
      </c>
      <c r="AN571" s="599">
        <f>SUMIFS(stock[MT],stock[Bucket],scheduleapr[[#This Row],[Bucket]],stock[CTL Bucket],scheduleapr[[#This Row],[CTL Bucket]],stock[Plant],"0789")</f>
        <v/>
      </c>
      <c r="AO571" s="599" t="n"/>
      <c r="AP571" s="599">
        <f>SUMIFS(stock[MT],stock[Bucket],scheduleapr[[#This Row],[Bucket]],stock[LL or CTL],"LL")</f>
        <v/>
      </c>
      <c r="AQ571" s="599">
        <f>+SUMIFS(wip[Stock(Net Wt)],wip[Bucket],scheduleapr[[#This Row],[Bucket]])/1000</f>
        <v/>
      </c>
      <c r="AR571" s="599">
        <f>AJ571-AN571</f>
        <v/>
      </c>
      <c r="AS571" s="118" t="n"/>
    </row>
    <row r="572">
      <c r="A572" s="594" t="n">
        <v>462</v>
      </c>
      <c r="B572" s="5" t="inlineStr">
        <is>
          <t>Hosur</t>
        </is>
      </c>
      <c r="C572" s="601" t="inlineStr">
        <is>
          <t xml:space="preserve">Sandhar Engg Mysore </t>
        </is>
      </c>
      <c r="D572" s="601" t="inlineStr">
        <is>
          <t>SANDHAR Mysore</t>
        </is>
      </c>
      <c r="E572" s="601" t="n">
        <v>945539</v>
      </c>
      <c r="F572" s="601" t="n">
        <v>2400891</v>
      </c>
      <c r="G572" s="601">
        <f>_xlfn.CONCAT(scheduleapr[[#This Row],[CUSTOMER CODE]],"-",scheduleapr[[#This Row],[MATERIAL NO]])</f>
        <v/>
      </c>
      <c r="H572" s="601" t="inlineStr">
        <is>
          <t>TUB-O-N-AUT-AW-PE-25.40X1.600X0.4700</t>
        </is>
      </c>
      <c r="I572" s="601" t="inlineStr">
        <is>
          <t>ERW 1</t>
        </is>
      </c>
      <c r="J572" s="601" t="n"/>
      <c r="K572" s="601" t="inlineStr">
        <is>
          <t>PE</t>
        </is>
      </c>
      <c r="L572" s="601" t="inlineStr">
        <is>
          <t>HR</t>
        </is>
      </c>
      <c r="M572" s="601" t="n"/>
      <c r="N572" s="601" t="n"/>
      <c r="O572" s="601" t="n"/>
      <c r="P572" s="601" t="n"/>
      <c r="Q572" s="557">
        <f>CONCATENATE(scheduleapr[[#This Row],[OD]],"-",scheduleapr[[#This Row],[ID]],"-",scheduleapr[[#This Row],[TICKNESS]],"-",scheduleapr[[#This Row],[Grade]],"-",scheduleapr[[#This Row],[FC/NFC]])</f>
        <v/>
      </c>
      <c r="R572" s="557">
        <f>_xlfn.CONCAT(scheduleapr[[#This Row],[Bucket]],"-",scheduleapr[[#This Row],[LENGTH]]/1000)</f>
        <v/>
      </c>
      <c r="S572" s="557">
        <f>COUNTIF([2]!buckets[CTL Bucket],[2]!scheduleapr[[#This Row],[CTL Bucket]])</f>
        <v/>
      </c>
      <c r="T572" s="557" t="n"/>
      <c r="U572" s="557" t="n"/>
      <c r="V572" s="557" t="n"/>
      <c r="W572" s="557" t="n"/>
      <c r="X572" s="599" t="n">
        <v>25.4</v>
      </c>
      <c r="Y572" s="599" t="n">
        <v>25.4</v>
      </c>
      <c r="Z572" s="599" t="n">
        <v>0</v>
      </c>
      <c r="AA572" s="599" t="n">
        <v>2</v>
      </c>
      <c r="AB572" s="600" t="n">
        <v>470</v>
      </c>
      <c r="AC572" s="600" t="inlineStr">
        <is>
          <t>NOS</t>
        </is>
      </c>
      <c r="AD572" s="600" t="n"/>
      <c r="AE572" s="600" t="n"/>
      <c r="AF572" s="601" t="n"/>
      <c r="AG572" s="601" t="n"/>
      <c r="AH572" s="601">
        <f t="array" ref="AH5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2" s="602">
        <f>scheduleapr[[#This Row],[SCHEDULE in nos]]-scheduleapr[[#This Row],[DISPATCH]]</f>
        <v/>
      </c>
      <c r="AJ572" s="599">
        <f>(3.14*(scheduleapr[[#This Row],[ACTUAL OD]]-scheduleapr[[#This Row],[TICKNESS]])*scheduleapr[[#This Row],[TICKNESS]]*scheduleapr[[#This Row],[LENGTH]]*7.85)/1000000*scheduleapr[[#This Row],[SCHEDULE in nos]]/1000</f>
        <v/>
      </c>
      <c r="AK572" s="599">
        <f>(3.14*(scheduleapr[[#This Row],[ACTUAL OD]]-scheduleapr[[#This Row],[TICKNESS]])*scheduleapr[[#This Row],[TICKNESS]]*scheduleapr[[#This Row],[LENGTH]]*7.85)/1000000*scheduleapr[[#This Row],[DISPATCH]]/1000</f>
        <v/>
      </c>
      <c r="AL572" s="599">
        <f>AJ572-AK572</f>
        <v/>
      </c>
      <c r="AM572" s="599">
        <f>scheduleapr[[#This Row],[SCHEDULE in nos]]/scheduleapr[[#This Row],[SCHEDULE IN MT]]*scheduleapr[[#This Row],[CTL Stock]]</f>
        <v/>
      </c>
      <c r="AN572" s="599">
        <f>SUMIFS(stock[MT],stock[Bucket],scheduleapr[[#This Row],[Bucket]],stock[CTL Bucket],scheduleapr[[#This Row],[CTL Bucket]],stock[Plant],"0789")</f>
        <v/>
      </c>
      <c r="AO572" s="599" t="n"/>
      <c r="AP572" s="599">
        <f>SUMIFS(stock[MT],stock[Bucket],scheduleapr[[#This Row],[Bucket]],stock[LL or CTL],"LL")</f>
        <v/>
      </c>
      <c r="AQ572" s="599">
        <f>+SUMIFS(wip[Stock(Net Wt)],wip[Bucket],scheduleapr[[#This Row],[Bucket]])/1000</f>
        <v/>
      </c>
      <c r="AR572" s="599">
        <f>AJ572-AN572</f>
        <v/>
      </c>
      <c r="AS572" s="118" t="n"/>
    </row>
    <row r="573">
      <c r="A573" s="594" t="n">
        <v>456</v>
      </c>
      <c r="B573" s="5" t="inlineStr">
        <is>
          <t>Hosur</t>
        </is>
      </c>
      <c r="C573" s="601" t="inlineStr">
        <is>
          <t xml:space="preserve">Sandhar Engg Mysore </t>
        </is>
      </c>
      <c r="D573" s="601" t="inlineStr">
        <is>
          <t>SANDHAR Mysore</t>
        </is>
      </c>
      <c r="E573" s="601" t="n">
        <v>945539</v>
      </c>
      <c r="F573" s="601" t="n">
        <v>3775636</v>
      </c>
      <c r="G573" s="601">
        <f>_xlfn.CONCAT(scheduleapr[[#This Row],[CUSTOMER CODE]],"-",scheduleapr[[#This Row],[MATERIAL NO]])</f>
        <v/>
      </c>
      <c r="H573" s="601" t="inlineStr">
        <is>
          <t>TUB-O-O-AUT-AW-FC-25.40X2.500X0.7830</t>
        </is>
      </c>
      <c r="I573" s="601" t="inlineStr">
        <is>
          <t>ERW 1</t>
        </is>
      </c>
      <c r="J573" s="601" t="n"/>
      <c r="K573" s="601" t="inlineStr">
        <is>
          <t>FC</t>
        </is>
      </c>
      <c r="L573" s="601" t="inlineStr">
        <is>
          <t>HR</t>
        </is>
      </c>
      <c r="M573" s="601" t="n"/>
      <c r="N573" s="601" t="n"/>
      <c r="O573" s="601" t="n"/>
      <c r="P573" s="601" t="n"/>
      <c r="Q573" s="557">
        <f>CONCATENATE(scheduleapr[[#This Row],[OD]],"-",scheduleapr[[#This Row],[ID]],"-",scheduleapr[[#This Row],[TICKNESS]],"-",scheduleapr[[#This Row],[Grade]],"-",scheduleapr[[#This Row],[FC/NFC]])</f>
        <v/>
      </c>
      <c r="R573" s="557">
        <f>_xlfn.CONCAT(scheduleapr[[#This Row],[Bucket]],"-",scheduleapr[[#This Row],[LENGTH]]/1000)</f>
        <v/>
      </c>
      <c r="S573" s="557">
        <f>COUNTIF(scheduleapr[CTL Bucket],scheduleapr[[#This Row],[CTL Bucket]])</f>
        <v/>
      </c>
      <c r="T573" s="601" t="inlineStr">
        <is>
          <t>Hosur</t>
        </is>
      </c>
      <c r="U573" s="601">
        <f>_xlfn.IFNA(VLOOKUP(scheduleapr[[#This Row],[Bucket]],salesforecast[[#All],[Bucket2]:[8406 Stock]],19,0),0)</f>
        <v/>
      </c>
      <c r="V573" s="562">
        <f>_xlfn.IFNA(VLOOKUP(scheduleapr[[#This Row],[Bucket]],salesforecast[[#All],[Bucket2]:[8406 Stock]],20,0),0)+_xlfn.IFNA(VLOOKUP(scheduleapr[[#This Row],[Bucket]],salesforecast[[#All],[Bucket2]:[8406 Stock]],17,0),0)</f>
        <v/>
      </c>
      <c r="W573" s="557" t="n"/>
      <c r="X573" s="599" t="n">
        <v>25.4</v>
      </c>
      <c r="Y573" s="599" t="n">
        <v>25.4</v>
      </c>
      <c r="Z573" s="599" t="n">
        <v>0</v>
      </c>
      <c r="AA573" s="599" t="n">
        <v>2.5</v>
      </c>
      <c r="AB573" s="600" t="n">
        <v>783</v>
      </c>
      <c r="AC573" s="600" t="inlineStr">
        <is>
          <t>NOS</t>
        </is>
      </c>
      <c r="AD573" s="600" t="n"/>
      <c r="AE573" s="600" t="n"/>
      <c r="AF573" s="601" t="n">
        <v>29018</v>
      </c>
      <c r="AG573" s="601" t="inlineStr">
        <is>
          <t>Aug 2026 schedule · sandhar mysore body</t>
        </is>
      </c>
      <c r="AH573" s="601">
        <f t="array" ref="AH5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3" s="602">
        <f>scheduleapr[[#This Row],[SCHEDULE in nos]]-scheduleapr[[#This Row],[DISPATCH]]</f>
        <v/>
      </c>
      <c r="AJ573" s="599">
        <f>(3.14*(scheduleapr[[#This Row],[ACTUAL OD]]-scheduleapr[[#This Row],[TICKNESS]])*scheduleapr[[#This Row],[TICKNESS]]*scheduleapr[[#This Row],[LENGTH]]*7.85)/1000000*scheduleapr[[#This Row],[SCHEDULE in nos]]/1000</f>
        <v/>
      </c>
      <c r="AK573" s="599">
        <f>(3.14*(scheduleapr[[#This Row],[ACTUAL OD]]-scheduleapr[[#This Row],[TICKNESS]])*scheduleapr[[#This Row],[TICKNESS]]*scheduleapr[[#This Row],[LENGTH]]*7.85)/1000000*scheduleapr[[#This Row],[DISPATCH]]/1000</f>
        <v/>
      </c>
      <c r="AL573" s="599">
        <f>AJ573-AK573</f>
        <v/>
      </c>
      <c r="AM573" s="599">
        <f>scheduleapr[[#This Row],[SCHEDULE in nos]]/scheduleapr[[#This Row],[SCHEDULE IN MT]]*scheduleapr[[#This Row],[CTL Stock]]</f>
        <v/>
      </c>
      <c r="AN573" s="599">
        <f>SUMIFS(stock[MT],stock[Bucket],scheduleapr[[#This Row],[Bucket]],stock[CTL Bucket],scheduleapr[[#This Row],[CTL Bucket]],stock[Plant],"0789")</f>
        <v/>
      </c>
      <c r="AO573" s="599" t="n"/>
      <c r="AP573" s="599">
        <f>SUMIFS(stock[MT],stock[Bucket],scheduleapr[[#This Row],[Bucket]],stock[LL or CTL],"LL")</f>
        <v/>
      </c>
      <c r="AQ573" s="599">
        <f>+SUMIFS(wip[Stock(Net Wt)],wip[Bucket],scheduleapr[[#This Row],[Bucket]])/1000</f>
        <v/>
      </c>
      <c r="AR573" s="599">
        <f>AJ573-AN573</f>
        <v/>
      </c>
      <c r="AS573" s="118" t="n"/>
    </row>
    <row r="574">
      <c r="A574" s="594" t="n">
        <v>468</v>
      </c>
      <c r="B574" s="5" t="inlineStr">
        <is>
          <t>Hosur</t>
        </is>
      </c>
      <c r="C574" s="601" t="inlineStr">
        <is>
          <t xml:space="preserve">Sandhar Engg Mysore </t>
        </is>
      </c>
      <c r="D574" s="601" t="inlineStr">
        <is>
          <t>SANDHAR Mysore</t>
        </is>
      </c>
      <c r="E574" s="601" t="n">
        <v>945539</v>
      </c>
      <c r="F574" s="601" t="n">
        <v>3508742</v>
      </c>
      <c r="G574" s="601">
        <f>_xlfn.CONCAT(scheduleapr[[#This Row],[CUSTOMER CODE]],"-",scheduleapr[[#This Row],[MATERIAL NO]])</f>
        <v/>
      </c>
      <c r="H574" s="601" t="inlineStr">
        <is>
          <t>CUT-O-N-AUT-AW-FC-38.10X2.000X0.4100</t>
        </is>
      </c>
      <c r="I574" s="601" t="inlineStr">
        <is>
          <t>ERW 1</t>
        </is>
      </c>
      <c r="J574" s="601" t="n"/>
      <c r="K574" s="601" t="inlineStr">
        <is>
          <t>FC</t>
        </is>
      </c>
      <c r="L574" s="601" t="inlineStr">
        <is>
          <t>HR</t>
        </is>
      </c>
      <c r="M574" s="601" t="n"/>
      <c r="N574" s="601" t="n"/>
      <c r="O574" s="601" t="n"/>
      <c r="P574" s="601" t="n"/>
      <c r="Q574" s="557">
        <f>CONCATENATE(scheduleapr[[#This Row],[OD]],"-",scheduleapr[[#This Row],[ID]],"-",scheduleapr[[#This Row],[TICKNESS]],"-",scheduleapr[[#This Row],[Grade]],"-",scheduleapr[[#This Row],[FC/NFC]])</f>
        <v/>
      </c>
      <c r="R574" s="557">
        <f>_xlfn.CONCAT(scheduleapr[[#This Row],[Bucket]],"-",scheduleapr[[#This Row],[LENGTH]]/1000)</f>
        <v/>
      </c>
      <c r="S574" s="557">
        <f>COUNTIF(scheduleapr[CTL Bucket],scheduleapr[[#This Row],[CTL Bucket]])</f>
        <v/>
      </c>
      <c r="T574" s="601" t="inlineStr">
        <is>
          <t>Hosur</t>
        </is>
      </c>
      <c r="U574" s="601">
        <f>_xlfn.IFNA(VLOOKUP(scheduleapr[[#This Row],[Bucket]],salesforecast[[#All],[Bucket2]:[8406 Stock]],19,0),0)</f>
        <v/>
      </c>
      <c r="V574" s="562">
        <f>_xlfn.IFNA(VLOOKUP(scheduleapr[[#This Row],[Bucket]],salesforecast[[#All],[Bucket2]:[8406 Stock]],20,0),0)+_xlfn.IFNA(VLOOKUP(scheduleapr[[#This Row],[Bucket]],salesforecast[[#All],[Bucket2]:[8406 Stock]],17,0),0)</f>
        <v/>
      </c>
      <c r="W574" s="557" t="n"/>
      <c r="X574" s="599" t="n">
        <v>38.1</v>
      </c>
      <c r="Y574" s="599" t="n">
        <v>38.1</v>
      </c>
      <c r="Z574" s="599" t="n">
        <v>0</v>
      </c>
      <c r="AA574" s="599" t="n">
        <v>2</v>
      </c>
      <c r="AB574" s="600" t="n">
        <v>410</v>
      </c>
      <c r="AC574" s="600" t="inlineStr">
        <is>
          <t>NOS</t>
        </is>
      </c>
      <c r="AD574" s="600" t="n"/>
      <c r="AE574" s="600" t="n"/>
      <c r="AF574" s="601" t="n">
        <v>9828</v>
      </c>
      <c r="AG574" s="601" t="inlineStr">
        <is>
          <t>Aug 2026 schedule · sandhar mysore body</t>
        </is>
      </c>
      <c r="AH574" s="601">
        <f t="array" ref="AH5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4" s="602">
        <f>scheduleapr[[#This Row],[SCHEDULE in nos]]-scheduleapr[[#This Row],[DISPATCH]]</f>
        <v/>
      </c>
      <c r="AJ574" s="599">
        <f>(3.14*(scheduleapr[[#This Row],[ACTUAL OD]]-scheduleapr[[#This Row],[TICKNESS]])*scheduleapr[[#This Row],[TICKNESS]]*scheduleapr[[#This Row],[LENGTH]]*7.85)/1000000*scheduleapr[[#This Row],[SCHEDULE in nos]]/1000</f>
        <v/>
      </c>
      <c r="AK574" s="599">
        <f>(3.14*(scheduleapr[[#This Row],[ACTUAL OD]]-scheduleapr[[#This Row],[TICKNESS]])*scheduleapr[[#This Row],[TICKNESS]]*scheduleapr[[#This Row],[LENGTH]]*7.85)/1000000*scheduleapr[[#This Row],[DISPATCH]]/1000</f>
        <v/>
      </c>
      <c r="AL574" s="599">
        <f>AJ574-AK574</f>
        <v/>
      </c>
      <c r="AM574" s="599">
        <f>scheduleapr[[#This Row],[SCHEDULE in nos]]/scheduleapr[[#This Row],[SCHEDULE IN MT]]*scheduleapr[[#This Row],[CTL Stock]]</f>
        <v/>
      </c>
      <c r="AN574" s="599">
        <f>SUMIFS(stock[MT],stock[Bucket],scheduleapr[[#This Row],[Bucket]],stock[CTL Bucket],scheduleapr[[#This Row],[CTL Bucket]],stock[Plant],"0789")</f>
        <v/>
      </c>
      <c r="AO574" s="599" t="n"/>
      <c r="AP574" s="599">
        <f>SUMIFS(stock[MT],stock[Bucket],scheduleapr[[#This Row],[Bucket]],stock[LL or CTL],"LL")</f>
        <v/>
      </c>
      <c r="AQ574" s="599">
        <f>+SUMIFS(wip[Stock(Net Wt)],wip[Bucket],scheduleapr[[#This Row],[Bucket]])/1000</f>
        <v/>
      </c>
      <c r="AR574" s="599">
        <f>AJ574-AN574</f>
        <v/>
      </c>
      <c r="AS574" s="118" t="n"/>
    </row>
    <row r="575">
      <c r="A575" s="594" t="n">
        <v>474</v>
      </c>
      <c r="B575" s="5" t="inlineStr">
        <is>
          <t>Hosur</t>
        </is>
      </c>
      <c r="C575" s="601" t="inlineStr">
        <is>
          <t xml:space="preserve">Sandhar Engg Mysore </t>
        </is>
      </c>
      <c r="D575" s="601" t="inlineStr">
        <is>
          <t>SANDHAR Mysore</t>
        </is>
      </c>
      <c r="E575" s="601" t="n">
        <v>945539</v>
      </c>
      <c r="F575" s="18" t="n">
        <v>3801265</v>
      </c>
      <c r="G575" s="601">
        <f>_xlfn.CONCAT(scheduleapr[[#This Row],[CUSTOMER CODE]],"-",scheduleapr[[#This Row],[MATERIAL NO]])</f>
        <v/>
      </c>
      <c r="H575" s="601" t="inlineStr">
        <is>
          <t>CUT-R-AW-AUT-40.00X25.00X1.600X0.5610</t>
        </is>
      </c>
      <c r="I575" s="601" t="inlineStr">
        <is>
          <t>ERW 1</t>
        </is>
      </c>
      <c r="J575" s="601" t="n"/>
      <c r="K575" s="601" t="inlineStr">
        <is>
          <t>FC</t>
        </is>
      </c>
      <c r="L575" s="601" t="inlineStr">
        <is>
          <t>CR</t>
        </is>
      </c>
      <c r="M575" s="596" t="inlineStr">
        <is>
          <t>SAE1020</t>
        </is>
      </c>
      <c r="N575" s="601" t="n"/>
      <c r="O575" s="601" t="n"/>
      <c r="P575" s="601" t="n"/>
      <c r="Q575" s="557">
        <f>CONCATENATE(scheduleapr[[#This Row],[OD]],"-",scheduleapr[[#This Row],[ID]],"-",scheduleapr[[#This Row],[TICKNESS]],"-",scheduleapr[[#This Row],[Grade]],"-",scheduleapr[[#This Row],[FC/NFC]])</f>
        <v/>
      </c>
      <c r="R575" s="557">
        <f>_xlfn.CONCAT(scheduleapr[[#This Row],[Bucket]],"-",scheduleapr[[#This Row],[LENGTH]]/1000)</f>
        <v/>
      </c>
      <c r="S575" s="557">
        <f>COUNTIF(scheduleapr[CTL Bucket],scheduleapr[[#This Row],[CTL Bucket]])</f>
        <v/>
      </c>
      <c r="T575" s="601" t="inlineStr">
        <is>
          <t>Hosur</t>
        </is>
      </c>
      <c r="U575" s="601">
        <f>_xlfn.IFNA(VLOOKUP(scheduleapr[[#This Row],[Bucket]],salesforecast[[#All],[Bucket2]:[8406 Stock]],19,0),0)</f>
        <v/>
      </c>
      <c r="V575" s="562">
        <f>_xlfn.IFNA(VLOOKUP(scheduleapr[[#This Row],[Bucket]],salesforecast[[#All],[Bucket2]:[8406 Stock]],20,0),0)+_xlfn.IFNA(VLOOKUP(scheduleapr[[#This Row],[Bucket]],salesforecast[[#All],[Bucket2]:[8406 Stock]],17,0),0)</f>
        <v/>
      </c>
      <c r="W575" s="557" t="n"/>
      <c r="X575" s="599" t="n">
        <v>41.28</v>
      </c>
      <c r="Y575" s="599" t="n">
        <v>40</v>
      </c>
      <c r="Z575" s="599" t="n">
        <v>25</v>
      </c>
      <c r="AA575" s="599" t="n">
        <v>1.6</v>
      </c>
      <c r="AB575" s="600" t="n">
        <v>561</v>
      </c>
      <c r="AC575" s="600" t="inlineStr">
        <is>
          <t>NOS</t>
        </is>
      </c>
      <c r="AD575" s="600" t="n"/>
      <c r="AE575" s="600" t="n"/>
      <c r="AF575" s="601" t="n">
        <v>40991</v>
      </c>
      <c r="AG575" s="601" t="inlineStr">
        <is>
          <t>Aug 2026 schedule · sandhar mysore body</t>
        </is>
      </c>
      <c r="AH575" s="601">
        <f t="array" ref="AH5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5" s="602">
        <f>scheduleapr[[#This Row],[SCHEDULE in nos]]-scheduleapr[[#This Row],[DISPATCH]]</f>
        <v/>
      </c>
      <c r="AJ575" s="599">
        <f>(3.14*(scheduleapr[[#This Row],[ACTUAL OD]]-scheduleapr[[#This Row],[TICKNESS]])*scheduleapr[[#This Row],[TICKNESS]]*scheduleapr[[#This Row],[LENGTH]]*7.85)/1000000*scheduleapr[[#This Row],[SCHEDULE in nos]]/1000</f>
        <v/>
      </c>
      <c r="AK575" s="599">
        <f>(3.14*(scheduleapr[[#This Row],[ACTUAL OD]]-scheduleapr[[#This Row],[TICKNESS]])*scheduleapr[[#This Row],[TICKNESS]]*scheduleapr[[#This Row],[LENGTH]]*7.85)/1000000*scheduleapr[[#This Row],[DISPATCH]]/1000</f>
        <v/>
      </c>
      <c r="AL575" s="599">
        <f>AJ575-AK575</f>
        <v/>
      </c>
      <c r="AM575" s="599">
        <f>scheduleapr[[#This Row],[SCHEDULE in nos]]/scheduleapr[[#This Row],[SCHEDULE IN MT]]*scheduleapr[[#This Row],[CTL Stock]]</f>
        <v/>
      </c>
      <c r="AN575" s="599">
        <f>SUMIFS(stock[MT],stock[Bucket],scheduleapr[[#This Row],[Bucket]],stock[CTL Bucket],scheduleapr[[#This Row],[CTL Bucket]],stock[Plant],"0789")</f>
        <v/>
      </c>
      <c r="AO575" s="599" t="n"/>
      <c r="AP575" s="599">
        <f>SUMIFS(stock[MT],stock[Bucket],scheduleapr[[#This Row],[Bucket]],stock[LL or CTL],"LL")</f>
        <v/>
      </c>
      <c r="AQ575" s="599">
        <f>+SUMIFS(wip[Stock(Net Wt)],wip[Bucket],scheduleapr[[#This Row],[Bucket]])/1000</f>
        <v/>
      </c>
      <c r="AR575" s="599">
        <f>AJ575-AN575</f>
        <v/>
      </c>
      <c r="AS575" s="118" t="n"/>
    </row>
    <row r="576">
      <c r="A576" s="594" t="n">
        <v>475</v>
      </c>
      <c r="B576" s="5" t="inlineStr">
        <is>
          <t xml:space="preserve">Khopoli </t>
        </is>
      </c>
      <c r="C576" s="596" t="inlineStr">
        <is>
          <t xml:space="preserve">Sandhar Engg Mysore </t>
        </is>
      </c>
      <c r="D576" s="601" t="inlineStr">
        <is>
          <t>SANDHAR Mysore</t>
        </is>
      </c>
      <c r="E576" s="601" t="n">
        <v>945539</v>
      </c>
      <c r="F576" s="9" t="n">
        <v>3910648</v>
      </c>
      <c r="G576" s="601">
        <f>_xlfn.CONCAT(scheduleapr[[#This Row],[CUSTOMER CODE]],"-",scheduleapr[[#This Row],[MATERIAL NO]])</f>
        <v/>
      </c>
      <c r="H576" s="601" t="inlineStr">
        <is>
          <t>HT2-O-N-AUT-AW-FC-41.28X2.600X0.8500</t>
        </is>
      </c>
      <c r="I576" s="601" t="inlineStr">
        <is>
          <t>ERW 1</t>
        </is>
      </c>
      <c r="J576" s="601" t="n"/>
      <c r="K576" s="601" t="inlineStr">
        <is>
          <t>FC</t>
        </is>
      </c>
      <c r="L576" s="601" t="n"/>
      <c r="M576" s="601" t="n"/>
      <c r="N576" s="601" t="n"/>
      <c r="O576" s="601" t="n"/>
      <c r="P576" s="601" t="n"/>
      <c r="Q576" s="557">
        <f>CONCATENATE(scheduleapr[[#This Row],[OD]],"-",scheduleapr[[#This Row],[ID]],"-",scheduleapr[[#This Row],[TICKNESS]],"-",scheduleapr[[#This Row],[Grade]],"-",scheduleapr[[#This Row],[FC/NFC]])</f>
        <v/>
      </c>
      <c r="R576" s="557">
        <f>_xlfn.CONCAT(scheduleapr[[#This Row],[Bucket]],"-",scheduleapr[[#This Row],[LENGTH]]/1000)</f>
        <v/>
      </c>
      <c r="S576" s="557">
        <f>COUNTIF(scheduleapr[CTL Bucket],scheduleapr[[#This Row],[CTL Bucket]])</f>
        <v/>
      </c>
      <c r="T576" s="601" t="inlineStr">
        <is>
          <t>Hosur</t>
        </is>
      </c>
      <c r="U576" s="601">
        <f>_xlfn.IFNA(VLOOKUP(scheduleapr[[#This Row],[Bucket]],salesforecast[[#All],[Bucket2]:[8406 Stock]],19,0),0)</f>
        <v/>
      </c>
      <c r="V576" s="562">
        <f>_xlfn.IFNA(VLOOKUP(scheduleapr[[#This Row],[Bucket]],salesforecast[[#All],[Bucket2]:[8406 Stock]],20,0),0)+_xlfn.IFNA(VLOOKUP(scheduleapr[[#This Row],[Bucket]],salesforecast[[#All],[Bucket2]:[8406 Stock]],17,0),0)</f>
        <v/>
      </c>
      <c r="W576" s="557" t="n"/>
      <c r="X576" s="599" t="n">
        <v>41.28</v>
      </c>
      <c r="Y576" s="599" t="n">
        <v>41.28</v>
      </c>
      <c r="Z576" s="599" t="n">
        <v>0</v>
      </c>
      <c r="AA576" s="599" t="n">
        <v>2.6</v>
      </c>
      <c r="AB576" s="600" t="n">
        <v>850</v>
      </c>
      <c r="AC576" s="600" t="inlineStr">
        <is>
          <t>NOS</t>
        </is>
      </c>
      <c r="AD576" s="600" t="n"/>
      <c r="AE576" s="600" t="n"/>
      <c r="AF576" s="601" t="n">
        <v>19311</v>
      </c>
      <c r="AG576" s="601" t="inlineStr">
        <is>
          <t>Aug 2026 schedule · sandhar mysore body</t>
        </is>
      </c>
      <c r="AH576" s="601">
        <f t="array" ref="AH5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6" s="602">
        <f>scheduleapr[[#This Row],[SCHEDULE in nos]]-scheduleapr[[#This Row],[DISPATCH]]</f>
        <v/>
      </c>
      <c r="AJ576" s="599">
        <f>(3.14*(scheduleapr[[#This Row],[ACTUAL OD]]-scheduleapr[[#This Row],[TICKNESS]])*scheduleapr[[#This Row],[TICKNESS]]*scheduleapr[[#This Row],[LENGTH]]*7.85)/1000000*scheduleapr[[#This Row],[SCHEDULE in nos]]/1000</f>
        <v/>
      </c>
      <c r="AK576" s="599">
        <f>(3.14*(scheduleapr[[#This Row],[ACTUAL OD]]-scheduleapr[[#This Row],[TICKNESS]])*scheduleapr[[#This Row],[TICKNESS]]*scheduleapr[[#This Row],[LENGTH]]*7.85)/1000000*scheduleapr[[#This Row],[DISPATCH]]/1000</f>
        <v/>
      </c>
      <c r="AL576" s="599">
        <f>AJ576-AK576</f>
        <v/>
      </c>
      <c r="AM576" s="599">
        <f>scheduleapr[[#This Row],[SCHEDULE in nos]]/scheduleapr[[#This Row],[SCHEDULE IN MT]]*scheduleapr[[#This Row],[CTL Stock]]</f>
        <v/>
      </c>
      <c r="AN576" s="599">
        <f>SUMIFS(stock[MT],stock[Bucket],scheduleapr[[#This Row],[Bucket]],stock[CTL Bucket],scheduleapr[[#This Row],[CTL Bucket]],stock[Plant],"0789")</f>
        <v/>
      </c>
      <c r="AO576" s="599" t="n"/>
      <c r="AP576" s="599">
        <f>SUMIFS(stock[MT],stock[Bucket],scheduleapr[[#This Row],[Bucket]],stock[LL or CTL],"LL")</f>
        <v/>
      </c>
      <c r="AQ576" s="599">
        <f>+SUMIFS(wip[Stock(Net Wt)],wip[Bucket],scheduleapr[[#This Row],[Bucket]])/1000</f>
        <v/>
      </c>
      <c r="AR576" s="599">
        <f>AJ576-AN576</f>
        <v/>
      </c>
      <c r="AS576" s="118" t="n"/>
    </row>
    <row r="577">
      <c r="A577" s="594" t="n">
        <v>481</v>
      </c>
      <c r="B577" s="5" t="inlineStr">
        <is>
          <t>JSR</t>
        </is>
      </c>
      <c r="C577" s="601" t="inlineStr">
        <is>
          <t xml:space="preserve">Sandhar Engg Mysore </t>
        </is>
      </c>
      <c r="D577" s="601" t="inlineStr">
        <is>
          <t>SANDHAR Mysore</t>
        </is>
      </c>
      <c r="E577" s="601" t="n">
        <v>945539</v>
      </c>
      <c r="F577" s="9" t="n">
        <v>3901714</v>
      </c>
      <c r="G577" s="601">
        <f>_xlfn.CONCAT(scheduleapr[[#This Row],[CUSTOMER CODE]],"-",scheduleapr[[#This Row],[MATERIAL NO]])</f>
        <v/>
      </c>
      <c r="H577" s="601" t="inlineStr">
        <is>
          <t>CUT-N-AUT-AN-FC-42.70X4.000X0.2150</t>
        </is>
      </c>
      <c r="I577" s="601" t="inlineStr">
        <is>
          <t>ERW 1</t>
        </is>
      </c>
      <c r="J577" s="601" t="inlineStr">
        <is>
          <t>Annealed</t>
        </is>
      </c>
      <c r="K577" s="601" t="inlineStr">
        <is>
          <t>FC</t>
        </is>
      </c>
      <c r="L577" s="601" t="inlineStr">
        <is>
          <t>HR</t>
        </is>
      </c>
      <c r="M577" s="601" t="n"/>
      <c r="N577" s="601" t="inlineStr">
        <is>
          <t>Chamferring</t>
        </is>
      </c>
      <c r="O577" s="601" t="n"/>
      <c r="P577" s="601" t="n"/>
      <c r="Q577" s="557">
        <f>CONCATENATE(scheduleapr[[#This Row],[OD]],"-",scheduleapr[[#This Row],[ID]],"-",scheduleapr[[#This Row],[TICKNESS]],"-",scheduleapr[[#This Row],[Grade]],"-",scheduleapr[[#This Row],[FC/NFC]])</f>
        <v/>
      </c>
      <c r="R577" s="557">
        <f>_xlfn.CONCAT(scheduleapr[[#This Row],[Bucket]],"-",scheduleapr[[#This Row],[LENGTH]]/1000)</f>
        <v/>
      </c>
      <c r="S577" s="557">
        <f>COUNTIF(scheduleapr[CTL Bucket],scheduleapr[[#This Row],[CTL Bucket]])</f>
        <v/>
      </c>
      <c r="T577" s="601" t="inlineStr">
        <is>
          <t>Khopoli</t>
        </is>
      </c>
      <c r="U577" s="601">
        <f>_xlfn.IFNA(VLOOKUP(scheduleapr[[#This Row],[Bucket]],salesforecast[[#All],[Bucket2]:[8406 Stock]],19,0),0)</f>
        <v/>
      </c>
      <c r="V577" s="562">
        <f>_xlfn.IFNA(VLOOKUP(scheduleapr[[#This Row],[Bucket]],salesforecast[[#All],[Bucket2]:[8406 Stock]],20,0),0)+_xlfn.IFNA(VLOOKUP(scheduleapr[[#This Row],[Bucket]],salesforecast[[#All],[Bucket2]:[8406 Stock]],17,0),0)</f>
        <v/>
      </c>
      <c r="W577" s="557" t="n"/>
      <c r="X577" s="599" t="n">
        <v>42.7</v>
      </c>
      <c r="Y577" s="599" t="n">
        <v>42.7</v>
      </c>
      <c r="Z577" s="599" t="n">
        <v>0</v>
      </c>
      <c r="AA577" s="599" t="n">
        <v>4</v>
      </c>
      <c r="AB577" s="600" t="n">
        <v>215</v>
      </c>
      <c r="AC577" s="600" t="inlineStr">
        <is>
          <t>NOS</t>
        </is>
      </c>
      <c r="AD577" s="600" t="n"/>
      <c r="AE577" s="600" t="n"/>
      <c r="AF577" s="601" t="n">
        <v>67590</v>
      </c>
      <c r="AG577" s="601" t="inlineStr">
        <is>
          <t>Aug 2026 schedule · sandhar mysore body</t>
        </is>
      </c>
      <c r="AH577" s="601">
        <f t="array" ref="AH5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7" s="602">
        <f>scheduleapr[[#This Row],[SCHEDULE in nos]]-scheduleapr[[#This Row],[DISPATCH]]</f>
        <v/>
      </c>
      <c r="AJ577" s="599">
        <f>(3.14*(scheduleapr[[#This Row],[ACTUAL OD]]-scheduleapr[[#This Row],[TICKNESS]])*scheduleapr[[#This Row],[TICKNESS]]*scheduleapr[[#This Row],[LENGTH]]*7.85)/1000000*scheduleapr[[#This Row],[SCHEDULE in nos]]/1000</f>
        <v/>
      </c>
      <c r="AK577" s="599">
        <f>(3.14*(scheduleapr[[#This Row],[ACTUAL OD]]-scheduleapr[[#This Row],[TICKNESS]])*scheduleapr[[#This Row],[TICKNESS]]*scheduleapr[[#This Row],[LENGTH]]*7.85)/1000000*scheduleapr[[#This Row],[DISPATCH]]/1000</f>
        <v/>
      </c>
      <c r="AL577" s="599">
        <f>AJ577-AK577</f>
        <v/>
      </c>
      <c r="AM577" s="599">
        <f>scheduleapr[[#This Row],[SCHEDULE in nos]]/scheduleapr[[#This Row],[SCHEDULE IN MT]]*scheduleapr[[#This Row],[CTL Stock]]</f>
        <v/>
      </c>
      <c r="AN577" s="599">
        <f>SUMIFS(stock[MT],stock[Bucket],scheduleapr[[#This Row],[Bucket]],stock[CTL Bucket],scheduleapr[[#This Row],[CTL Bucket]],stock[Plant],"0789")</f>
        <v/>
      </c>
      <c r="AO577" s="599" t="n"/>
      <c r="AP577" s="599">
        <f>SUMIFS(stock[MT],stock[Bucket],scheduleapr[[#This Row],[Bucket]],stock[LL or CTL],"LL")</f>
        <v/>
      </c>
      <c r="AQ577" s="599">
        <f>+SUMIFS(wip[Stock(Net Wt)],wip[Bucket],scheduleapr[[#This Row],[Bucket]])/1000</f>
        <v/>
      </c>
      <c r="AR577" s="599">
        <f>AJ577-AN577</f>
        <v/>
      </c>
      <c r="AS577" s="118" t="n"/>
    </row>
    <row r="578">
      <c r="A578" s="594" t="n">
        <v>491</v>
      </c>
      <c r="B578" s="5" t="inlineStr">
        <is>
          <t xml:space="preserve">Khopoli </t>
        </is>
      </c>
      <c r="C578" s="601" t="inlineStr">
        <is>
          <t xml:space="preserve">Sandhar Engg Mysore </t>
        </is>
      </c>
      <c r="D578" s="601" t="inlineStr">
        <is>
          <t>SANDHAR Mysore</t>
        </is>
      </c>
      <c r="E578" s="601" t="n">
        <v>945539</v>
      </c>
      <c r="F578" s="601">
        <f>_xlfn.CONCAT([2]!scheduleapr[[#This Row],[OD]],"-",[2]!scheduleapr[[#This Row],[ID]],"-",[2]!scheduleapr[[#This Row],[TICKNESS]],"-",[2]!scheduleapr[[#This Row],[LENGTH]])</f>
        <v/>
      </c>
      <c r="G578" s="601">
        <f>_xlfn.CONCAT(scheduleapr[[#This Row],[CUSTOMER CODE]],"-",scheduleapr[[#This Row],[MATERIAL NO]])</f>
        <v/>
      </c>
      <c r="H578" s="601" t="inlineStr">
        <is>
          <t>TUB-O-N-AUT-AW-FC-48.60X3.500X0.202.5</t>
        </is>
      </c>
      <c r="I578" s="601" t="inlineStr">
        <is>
          <t>ERW 1</t>
        </is>
      </c>
      <c r="J578" s="601" t="n"/>
      <c r="K578" s="601" t="inlineStr">
        <is>
          <t>FC</t>
        </is>
      </c>
      <c r="L578" s="601" t="inlineStr">
        <is>
          <t>HR</t>
        </is>
      </c>
      <c r="M578" s="601" t="n"/>
      <c r="N578" s="601" t="inlineStr">
        <is>
          <t>Chamferring</t>
        </is>
      </c>
      <c r="O578" s="601" t="n"/>
      <c r="P578" s="601" t="n"/>
      <c r="Q578" s="557">
        <f>CONCATENATE(scheduleapr[[#This Row],[OD]],"-",scheduleapr[[#This Row],[ID]],"-",scheduleapr[[#This Row],[TICKNESS]],"-",scheduleapr[[#This Row],[Grade]],"-",scheduleapr[[#This Row],[FC/NFC]])</f>
        <v/>
      </c>
      <c r="R578" s="557">
        <f>_xlfn.CONCAT(scheduleapr[[#This Row],[Bucket]],"-",scheduleapr[[#This Row],[LENGTH]]/1000)</f>
        <v/>
      </c>
      <c r="S578" s="557">
        <f>COUNTIF([2]!buckets[CTL Bucket],[2]!scheduleapr[[#This Row],[CTL Bucket]])</f>
        <v/>
      </c>
      <c r="T578" s="601" t="inlineStr">
        <is>
          <t>Hosur</t>
        </is>
      </c>
      <c r="U578" s="601" t="inlineStr">
        <is>
          <t>Plan</t>
        </is>
      </c>
      <c r="V578" s="557" t="n"/>
      <c r="W578" s="557" t="n"/>
      <c r="X578" s="599" t="n">
        <v>48.6</v>
      </c>
      <c r="Y578" s="599" t="n">
        <v>48.6</v>
      </c>
      <c r="Z578" s="599" t="n">
        <v>0</v>
      </c>
      <c r="AA578" s="599" t="n">
        <v>3.5</v>
      </c>
      <c r="AB578" s="600" t="n">
        <v>202.5</v>
      </c>
      <c r="AC578" s="600" t="inlineStr">
        <is>
          <t>NOS</t>
        </is>
      </c>
      <c r="AD578" s="600" t="n"/>
      <c r="AE578" s="600" t="n"/>
      <c r="AF578" s="601" t="n"/>
      <c r="AG578" s="601" t="n"/>
      <c r="AH578" s="601">
        <f t="array" ref="AH5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8" s="602">
        <f>scheduleapr[[#This Row],[SCHEDULE in nos]]-scheduleapr[[#This Row],[DISPATCH]]</f>
        <v/>
      </c>
      <c r="AJ578" s="599">
        <f>(3.14*(scheduleapr[[#This Row],[ACTUAL OD]]-scheduleapr[[#This Row],[TICKNESS]])*scheduleapr[[#This Row],[TICKNESS]]*scheduleapr[[#This Row],[LENGTH]]*7.85)/1000000*scheduleapr[[#This Row],[SCHEDULE in nos]]/1000</f>
        <v/>
      </c>
      <c r="AK578" s="599">
        <f>(3.14*(scheduleapr[[#This Row],[ACTUAL OD]]-scheduleapr[[#This Row],[TICKNESS]])*scheduleapr[[#This Row],[TICKNESS]]*scheduleapr[[#This Row],[LENGTH]]*7.85)/1000000*scheduleapr[[#This Row],[DISPATCH]]/1000</f>
        <v/>
      </c>
      <c r="AL578" s="599">
        <f>AJ578-AK578</f>
        <v/>
      </c>
      <c r="AM578" s="599">
        <f>scheduleapr[[#This Row],[SCHEDULE in nos]]/scheduleapr[[#This Row],[SCHEDULE IN MT]]*scheduleapr[[#This Row],[CTL Stock]]</f>
        <v/>
      </c>
      <c r="AN578" s="599">
        <f>SUMIFS(stock[MT],stock[Bucket],scheduleapr[[#This Row],[Bucket]],stock[CTL Bucket],scheduleapr[[#This Row],[CTL Bucket]],stock[Plant],"0789")</f>
        <v/>
      </c>
      <c r="AO578" s="599" t="n"/>
      <c r="AP578" s="599">
        <f>SUMIFS(stock[MT],stock[Bucket],scheduleapr[[#This Row],[Bucket]],stock[LL or CTL],"LL")</f>
        <v/>
      </c>
      <c r="AQ578" s="599">
        <f>+SUMIFS(wip[Stock(Net Wt)],wip[Bucket],scheduleapr[[#This Row],[Bucket]])/1000</f>
        <v/>
      </c>
      <c r="AR578" s="599">
        <f>AJ578-AN578</f>
        <v/>
      </c>
      <c r="AS578" s="118" t="n"/>
    </row>
    <row r="579">
      <c r="A579" s="594" t="n">
        <v>493</v>
      </c>
      <c r="B579" s="5" t="inlineStr">
        <is>
          <t>Hosur</t>
        </is>
      </c>
      <c r="C579" s="601" t="inlineStr">
        <is>
          <t xml:space="preserve">Sandhar Engg Mysore </t>
        </is>
      </c>
      <c r="D579" s="601" t="inlineStr">
        <is>
          <t>SANDHAR Mysore</t>
        </is>
      </c>
      <c r="E579" s="601" t="n">
        <v>945539</v>
      </c>
      <c r="F579" s="18" t="n">
        <v>3780004</v>
      </c>
      <c r="G579" s="601">
        <f>_xlfn.CONCAT(scheduleapr[[#This Row],[CUSTOMER CODE]],"-",scheduleapr[[#This Row],[MATERIAL NO]])</f>
        <v/>
      </c>
      <c r="H579" s="601" t="inlineStr">
        <is>
          <t>TUB-R-AW-AUT-50.00X30.00X1.600X0.6070</t>
        </is>
      </c>
      <c r="I579" s="601" t="inlineStr">
        <is>
          <t>ERW 1</t>
        </is>
      </c>
      <c r="J579" s="601" t="n"/>
      <c r="K579" s="601" t="inlineStr">
        <is>
          <t>FC</t>
        </is>
      </c>
      <c r="L579" s="601" t="inlineStr">
        <is>
          <t>CR</t>
        </is>
      </c>
      <c r="M579" s="596" t="inlineStr">
        <is>
          <t>SAE1020</t>
        </is>
      </c>
      <c r="N579" s="601" t="n"/>
      <c r="O579" s="601" t="n"/>
      <c r="P579" s="601" t="n"/>
      <c r="Q579" s="557">
        <f>CONCATENATE(scheduleapr[[#This Row],[OD]],"-",scheduleapr[[#This Row],[ID]],"-",scheduleapr[[#This Row],[TICKNESS]],"-",scheduleapr[[#This Row],[Grade]],"-",scheduleapr[[#This Row],[FC/NFC]])</f>
        <v/>
      </c>
      <c r="R579" s="557">
        <f>_xlfn.CONCAT(scheduleapr[[#This Row],[Bucket]],"-",scheduleapr[[#This Row],[LENGTH]]/1000)</f>
        <v/>
      </c>
      <c r="S579" s="557">
        <f>COUNTIF(scheduleapr[CTL Bucket],scheduleapr[[#This Row],[CTL Bucket]])</f>
        <v/>
      </c>
      <c r="T579" s="601" t="inlineStr">
        <is>
          <t>Hosur</t>
        </is>
      </c>
      <c r="U579" s="601">
        <f>_xlfn.IFNA(VLOOKUP(scheduleapr[[#This Row],[Bucket]],salesforecast[[#All],[Bucket2]:[8406 Stock]],19,0),0)</f>
        <v/>
      </c>
      <c r="V579" s="562">
        <f>_xlfn.IFNA(VLOOKUP(scheduleapr[[#This Row],[Bucket]],salesforecast[[#All],[Bucket2]:[8406 Stock]],20,0),0)+_xlfn.IFNA(VLOOKUP(scheduleapr[[#This Row],[Bucket]],salesforecast[[#All],[Bucket2]:[8406 Stock]],17,0),0)</f>
        <v/>
      </c>
      <c r="W579" s="557" t="n"/>
      <c r="X579" s="599" t="n">
        <v>50.8</v>
      </c>
      <c r="Y579" s="599" t="n">
        <v>50</v>
      </c>
      <c r="Z579" s="599" t="n">
        <v>30</v>
      </c>
      <c r="AA579" s="599" t="n">
        <v>1.6</v>
      </c>
      <c r="AB579" s="600" t="n">
        <v>607</v>
      </c>
      <c r="AC579" s="600" t="inlineStr">
        <is>
          <t>NOS</t>
        </is>
      </c>
      <c r="AD579" s="600" t="n"/>
      <c r="AE579" s="600" t="n"/>
      <c r="AF579" s="601" t="n">
        <v>19656</v>
      </c>
      <c r="AG579" s="601" t="inlineStr">
        <is>
          <t>Aug 2026 schedule · sandhar mysore body</t>
        </is>
      </c>
      <c r="AH579" s="601">
        <f t="array" ref="AH5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79" s="602">
        <f>scheduleapr[[#This Row],[SCHEDULE in nos]]-scheduleapr[[#This Row],[DISPATCH]]</f>
        <v/>
      </c>
      <c r="AJ579" s="599">
        <f>(3.14*(scheduleapr[[#This Row],[ACTUAL OD]]-scheduleapr[[#This Row],[TICKNESS]])*scheduleapr[[#This Row],[TICKNESS]]*scheduleapr[[#This Row],[LENGTH]]*7.85)/1000000*scheduleapr[[#This Row],[SCHEDULE in nos]]/1000</f>
        <v/>
      </c>
      <c r="AK579" s="599">
        <f>(3.14*(scheduleapr[[#This Row],[ACTUAL OD]]-scheduleapr[[#This Row],[TICKNESS]])*scheduleapr[[#This Row],[TICKNESS]]*scheduleapr[[#This Row],[LENGTH]]*7.85)/1000000*scheduleapr[[#This Row],[DISPATCH]]/1000</f>
        <v/>
      </c>
      <c r="AL579" s="599">
        <f>AJ579-AK579</f>
        <v/>
      </c>
      <c r="AM579" s="599">
        <f>scheduleapr[[#This Row],[SCHEDULE in nos]]/scheduleapr[[#This Row],[SCHEDULE IN MT]]*scheduleapr[[#This Row],[CTL Stock]]</f>
        <v/>
      </c>
      <c r="AN579" s="599">
        <f>SUMIFS(stock[MT],stock[Bucket],scheduleapr[[#This Row],[Bucket]],stock[CTL Bucket],scheduleapr[[#This Row],[CTL Bucket]],stock[Plant],"0789")</f>
        <v/>
      </c>
      <c r="AO579" s="599" t="n"/>
      <c r="AP579" s="599">
        <f>SUMIFS(stock[MT],stock[Bucket],scheduleapr[[#This Row],[Bucket]],stock[LL or CTL],"LL")</f>
        <v/>
      </c>
      <c r="AQ579" s="599">
        <f>+SUMIFS(wip[Stock(Net Wt)],wip[Bucket],scheduleapr[[#This Row],[Bucket]])/1000</f>
        <v/>
      </c>
      <c r="AR579" s="599">
        <f>AJ579-AN579</f>
        <v/>
      </c>
      <c r="AS579" s="118" t="n"/>
    </row>
    <row r="580">
      <c r="A580" s="594" t="n">
        <v>472</v>
      </c>
      <c r="B580" s="5" t="inlineStr">
        <is>
          <t>Hosur</t>
        </is>
      </c>
      <c r="C580" s="601" t="inlineStr">
        <is>
          <t xml:space="preserve">Sandhar Engg Mysore </t>
        </is>
      </c>
      <c r="D580" s="601" t="inlineStr">
        <is>
          <t>SANDHAR Mysore</t>
        </is>
      </c>
      <c r="E580" s="601" t="n">
        <v>945539</v>
      </c>
      <c r="F580" s="18" t="n">
        <v>3780005</v>
      </c>
      <c r="G580" s="601">
        <f>_xlfn.CONCAT(scheduleapr[[#This Row],[CUSTOMER CODE]],"-",scheduleapr[[#This Row],[MATERIAL NO]])</f>
        <v/>
      </c>
      <c r="H580" s="601" t="inlineStr">
        <is>
          <t>TUB-R-AW-RHS-50.00X30.00X1.600X0.6380</t>
        </is>
      </c>
      <c r="I580" s="601" t="inlineStr">
        <is>
          <t>ERW 1</t>
        </is>
      </c>
      <c r="J580" s="601" t="n"/>
      <c r="K580" s="601" t="inlineStr">
        <is>
          <t>FC</t>
        </is>
      </c>
      <c r="L580" s="601" t="inlineStr">
        <is>
          <t>CR</t>
        </is>
      </c>
      <c r="M580" s="596" t="inlineStr">
        <is>
          <t>SAE1020</t>
        </is>
      </c>
      <c r="N580" s="601" t="n"/>
      <c r="O580" s="601" t="n"/>
      <c r="P580" s="601" t="n"/>
      <c r="Q580" s="557">
        <f>CONCATENATE(scheduleapr[[#This Row],[OD]],"-",scheduleapr[[#This Row],[ID]],"-",scheduleapr[[#This Row],[TICKNESS]],"-",scheduleapr[[#This Row],[Grade]],"-",scheduleapr[[#This Row],[FC/NFC]])</f>
        <v/>
      </c>
      <c r="R580" s="557">
        <f>_xlfn.CONCAT(scheduleapr[[#This Row],[Bucket]],"-",scheduleapr[[#This Row],[LENGTH]]/1000)</f>
        <v/>
      </c>
      <c r="S580" s="557">
        <f>COUNTIF([2]!buckets[CTL Bucket],[2]!scheduleapr[[#This Row],[CTL Bucket]])</f>
        <v/>
      </c>
      <c r="T580" s="601" t="inlineStr">
        <is>
          <t>Hosur</t>
        </is>
      </c>
      <c r="U580" s="601">
        <f>_xlfn.IFNA(VLOOKUP(scheduleapr[[#This Row],[Bucket]],salesforecast[[#All],[Bucket2]:[8406 Stock]],19,0),0)</f>
        <v/>
      </c>
      <c r="V580" s="562">
        <f>_xlfn.IFNA(VLOOKUP(scheduleapr[[#This Row],[Bucket]],salesforecast[[#All],[Bucket2]:[8406 Stock]],20,0),0)+_xlfn.IFNA(VLOOKUP(scheduleapr[[#This Row],[Bucket]],salesforecast[[#All],[Bucket2]:[8406 Stock]],17,0),0)</f>
        <v/>
      </c>
      <c r="W580" s="557" t="n"/>
      <c r="X580" s="599" t="n">
        <v>50.8</v>
      </c>
      <c r="Y580" s="599" t="n">
        <v>50</v>
      </c>
      <c r="Z580" s="599" t="n">
        <v>30</v>
      </c>
      <c r="AA580" s="599" t="n">
        <v>1.6</v>
      </c>
      <c r="AB580" s="600" t="n">
        <v>638</v>
      </c>
      <c r="AC580" s="600" t="inlineStr">
        <is>
          <t>NOS</t>
        </is>
      </c>
      <c r="AD580" s="600" t="n"/>
      <c r="AE580" s="600" t="n"/>
      <c r="AF580" s="601" t="n">
        <v>5504</v>
      </c>
      <c r="AG580" s="601" t="inlineStr">
        <is>
          <t>Aug 2026 schedule · sandhar mysore body</t>
        </is>
      </c>
      <c r="AH580" s="601">
        <f t="array" ref="AH5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0" s="602">
        <f>scheduleapr[[#This Row],[SCHEDULE in nos]]-scheduleapr[[#This Row],[DISPATCH]]</f>
        <v/>
      </c>
      <c r="AJ580" s="599">
        <f>(3.14*(scheduleapr[[#This Row],[ACTUAL OD]]-scheduleapr[[#This Row],[TICKNESS]])*scheduleapr[[#This Row],[TICKNESS]]*scheduleapr[[#This Row],[LENGTH]]*7.85)/1000000*scheduleapr[[#This Row],[SCHEDULE in nos]]/1000</f>
        <v/>
      </c>
      <c r="AK580" s="599">
        <f>(3.14*(scheduleapr[[#This Row],[ACTUAL OD]]-scheduleapr[[#This Row],[TICKNESS]])*scheduleapr[[#This Row],[TICKNESS]]*scheduleapr[[#This Row],[LENGTH]]*7.85)/1000000*scheduleapr[[#This Row],[DISPATCH]]/1000</f>
        <v/>
      </c>
      <c r="AL580" s="599">
        <f>AJ580-AK580</f>
        <v/>
      </c>
      <c r="AM580" s="599">
        <f>scheduleapr[[#This Row],[SCHEDULE in nos]]/scheduleapr[[#This Row],[SCHEDULE IN MT]]*scheduleapr[[#This Row],[CTL Stock]]</f>
        <v/>
      </c>
      <c r="AN580" s="599">
        <f>SUMIFS(stock[MT],stock[Bucket],scheduleapr[[#This Row],[Bucket]],stock[CTL Bucket],scheduleapr[[#This Row],[CTL Bucket]],stock[Plant],"0789")</f>
        <v/>
      </c>
      <c r="AO580" s="599" t="n"/>
      <c r="AP580" s="599">
        <f>SUMIFS(stock[MT],stock[Bucket],scheduleapr[[#This Row],[Bucket]],stock[LL or CTL],"LL")</f>
        <v/>
      </c>
      <c r="AQ580" s="599">
        <f>+SUMIFS(wip[Stock(Net Wt)],wip[Bucket],scheduleapr[[#This Row],[Bucket]])/1000</f>
        <v/>
      </c>
      <c r="AR580" s="599">
        <f>AJ580-AN580</f>
        <v/>
      </c>
      <c r="AS580" s="118" t="n"/>
    </row>
    <row r="581">
      <c r="A581" s="594" t="n">
        <v>495</v>
      </c>
      <c r="B581" s="5" t="inlineStr">
        <is>
          <t>Hosur</t>
        </is>
      </c>
      <c r="C581" s="601" t="inlineStr">
        <is>
          <t xml:space="preserve">Sandhar Engg Mysore </t>
        </is>
      </c>
      <c r="D581" s="601" t="inlineStr">
        <is>
          <t>SANDHAR Mysore</t>
        </is>
      </c>
      <c r="E581" s="601" t="n">
        <v>945539</v>
      </c>
      <c r="F581" s="601">
        <f>_xlfn.CONCAT([2]!scheduleapr[[#This Row],[OD]],"-",[2]!scheduleapr[[#This Row],[ID]],"-",[2]!scheduleapr[[#This Row],[TICKNESS]],"-",[2]!scheduleapr[[#This Row],[LENGTH]])</f>
        <v/>
      </c>
      <c r="G581" s="601">
        <f>_xlfn.CONCAT(scheduleapr[[#This Row],[CUSTOMER CODE]],"-",scheduleapr[[#This Row],[MATERIAL NO]])</f>
        <v/>
      </c>
      <c r="H581" s="601" t="n"/>
      <c r="I581" s="601" t="inlineStr">
        <is>
          <t>ERW 1</t>
        </is>
      </c>
      <c r="J581" s="601" t="n"/>
      <c r="K581" s="601" t="inlineStr">
        <is>
          <t>FC</t>
        </is>
      </c>
      <c r="L581" s="601" t="inlineStr">
        <is>
          <t>HR</t>
        </is>
      </c>
      <c r="M581" s="601" t="n"/>
      <c r="N581" s="601" t="n"/>
      <c r="O581" s="601" t="n"/>
      <c r="P581" s="601" t="n"/>
      <c r="Q581" s="557">
        <f>CONCATENATE(scheduleapr[[#This Row],[OD]],"-",scheduleapr[[#This Row],[ID]],"-",scheduleapr[[#This Row],[TICKNESS]],"-",scheduleapr[[#This Row],[Grade]],"-",scheduleapr[[#This Row],[FC/NFC]])</f>
        <v/>
      </c>
      <c r="R581" s="557">
        <f>_xlfn.CONCAT(scheduleapr[[#This Row],[Bucket]],"-",scheduleapr[[#This Row],[LENGTH]]/1000)</f>
        <v/>
      </c>
      <c r="S581" s="557">
        <f>COUNTIF([2]!buckets[CTL Bucket],[2]!scheduleapr[[#This Row],[CTL Bucket]])</f>
        <v/>
      </c>
      <c r="T581" s="557" t="n"/>
      <c r="U581" s="557" t="n"/>
      <c r="V581" s="557" t="n"/>
      <c r="W581" s="557" t="n"/>
      <c r="X581" s="599" t="n">
        <v>50.8</v>
      </c>
      <c r="Y581" s="599" t="n">
        <v>50.8</v>
      </c>
      <c r="Z581" s="599" t="n">
        <v>0</v>
      </c>
      <c r="AA581" s="599" t="n">
        <v>1.6</v>
      </c>
      <c r="AB581" s="600" t="n">
        <v>753</v>
      </c>
      <c r="AC581" s="600" t="inlineStr">
        <is>
          <t>NOS</t>
        </is>
      </c>
      <c r="AD581" s="600" t="n"/>
      <c r="AE581" s="600" t="n"/>
      <c r="AF581" s="601" t="n"/>
      <c r="AG581" s="601" t="n"/>
      <c r="AH581" s="601">
        <f t="array" ref="AH5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1" s="602">
        <f>scheduleapr[[#This Row],[SCHEDULE in nos]]-scheduleapr[[#This Row],[DISPATCH]]</f>
        <v/>
      </c>
      <c r="AJ581" s="599">
        <f>(3.14*(scheduleapr[[#This Row],[ACTUAL OD]]-scheduleapr[[#This Row],[TICKNESS]])*scheduleapr[[#This Row],[TICKNESS]]*scheduleapr[[#This Row],[LENGTH]]*7.85)/1000000*scheduleapr[[#This Row],[SCHEDULE in nos]]/1000</f>
        <v/>
      </c>
      <c r="AK581" s="599">
        <f>(3.14*(scheduleapr[[#This Row],[ACTUAL OD]]-scheduleapr[[#This Row],[TICKNESS]])*scheduleapr[[#This Row],[TICKNESS]]*scheduleapr[[#This Row],[LENGTH]]*7.85)/1000000*scheduleapr[[#This Row],[DISPATCH]]/1000</f>
        <v/>
      </c>
      <c r="AL581" s="599">
        <f>AJ581-AK581</f>
        <v/>
      </c>
      <c r="AM581" s="599">
        <f>scheduleapr[[#This Row],[SCHEDULE in nos]]/scheduleapr[[#This Row],[SCHEDULE IN MT]]*scheduleapr[[#This Row],[CTL Stock]]</f>
        <v/>
      </c>
      <c r="AN581" s="599">
        <f>SUMIFS(stock[MT],stock[Bucket],scheduleapr[[#This Row],[Bucket]],stock[CTL Bucket],scheduleapr[[#This Row],[CTL Bucket]],stock[Plant],"0789")</f>
        <v/>
      </c>
      <c r="AO581" s="599" t="n"/>
      <c r="AP581" s="599">
        <f>SUMIFS(stock[MT],stock[Bucket],scheduleapr[[#This Row],[Bucket]],stock[LL or CTL],"LL")</f>
        <v/>
      </c>
      <c r="AQ581" s="599">
        <f>+SUMIFS(wip[Stock(Net Wt)],wip[Bucket],scheduleapr[[#This Row],[Bucket]])/1000</f>
        <v/>
      </c>
      <c r="AR581" s="599">
        <f>AJ581-AN581</f>
        <v/>
      </c>
      <c r="AS581" s="118" t="n"/>
    </row>
    <row r="582">
      <c r="A582" s="594" t="n">
        <v>444</v>
      </c>
      <c r="B582" s="5" t="inlineStr">
        <is>
          <t>Hosur</t>
        </is>
      </c>
      <c r="C582" s="601" t="inlineStr">
        <is>
          <t>Sandhar Automach</t>
        </is>
      </c>
      <c r="D582" s="601" t="inlineStr">
        <is>
          <t>Sandhar Technology</t>
        </is>
      </c>
      <c r="E582" s="601" t="n">
        <v>187702</v>
      </c>
      <c r="F582" s="601" t="n">
        <v>2386074</v>
      </c>
      <c r="G582" s="601">
        <f>_xlfn.CONCAT(scheduleapr[[#This Row],[CUSTOMER CODE]],"-",scheduleapr[[#This Row],[MATERIAL NO]])</f>
        <v/>
      </c>
      <c r="H582" s="601" t="inlineStr">
        <is>
          <t>TUB-O-N-AUT-AW-PE-12.70X1.200X0.6000</t>
        </is>
      </c>
      <c r="I582" s="601" t="inlineStr">
        <is>
          <t>ERW 1</t>
        </is>
      </c>
      <c r="J582" s="601" t="n"/>
      <c r="K582" s="601" t="inlineStr">
        <is>
          <t>PE</t>
        </is>
      </c>
      <c r="L582" s="601" t="inlineStr">
        <is>
          <t>HR</t>
        </is>
      </c>
      <c r="M582" s="601" t="n"/>
      <c r="N582" s="601" t="n"/>
      <c r="O582" s="601" t="n"/>
      <c r="P582" s="601" t="n"/>
      <c r="Q582" s="557">
        <f>CONCATENATE(scheduleapr[[#This Row],[OD]],"-",scheduleapr[[#This Row],[ID]],"-",scheduleapr[[#This Row],[TICKNESS]],"-",scheduleapr[[#This Row],[Grade]],"-",scheduleapr[[#This Row],[FC/NFC]])</f>
        <v/>
      </c>
      <c r="R582" s="557">
        <f>_xlfn.CONCAT(scheduleapr[[#This Row],[Bucket]],"-",scheduleapr[[#This Row],[LENGTH]]/1000)</f>
        <v/>
      </c>
      <c r="S582" s="557">
        <f>COUNTIF([2]!buckets[CTL Bucket],[2]!scheduleapr[[#This Row],[CTL Bucket]])</f>
        <v/>
      </c>
      <c r="T582" s="601" t="inlineStr">
        <is>
          <t>Hosur</t>
        </is>
      </c>
      <c r="U582" s="557" t="n"/>
      <c r="V582" s="557" t="n"/>
      <c r="W582" s="557" t="n"/>
      <c r="X582" s="599" t="n">
        <v>12.7</v>
      </c>
      <c r="Y582" s="599" t="n">
        <v>12.7</v>
      </c>
      <c r="Z582" s="599" t="n">
        <v>0</v>
      </c>
      <c r="AA582" s="599" t="n">
        <v>1.2</v>
      </c>
      <c r="AB582" s="600" t="n">
        <v>600</v>
      </c>
      <c r="AC582" s="600" t="inlineStr">
        <is>
          <t>NOS</t>
        </is>
      </c>
      <c r="AD582" s="600" t="n"/>
      <c r="AE582" s="600" t="n"/>
      <c r="AF582" s="601" t="n"/>
      <c r="AG582" s="601" t="n"/>
      <c r="AH582" s="601">
        <f t="array" ref="AH5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2" s="602">
        <f>scheduleapr[[#This Row],[SCHEDULE in nos]]-scheduleapr[[#This Row],[DISPATCH]]</f>
        <v/>
      </c>
      <c r="AJ582" s="599">
        <f>(3.14*(scheduleapr[[#This Row],[ACTUAL OD]]-scheduleapr[[#This Row],[TICKNESS]])*scheduleapr[[#This Row],[TICKNESS]]*scheduleapr[[#This Row],[LENGTH]]*7.85)/1000000*scheduleapr[[#This Row],[SCHEDULE in nos]]/1000</f>
        <v/>
      </c>
      <c r="AK582" s="599">
        <f>(3.14*(scheduleapr[[#This Row],[ACTUAL OD]]-scheduleapr[[#This Row],[TICKNESS]])*scheduleapr[[#This Row],[TICKNESS]]*scheduleapr[[#This Row],[LENGTH]]*7.85)/1000000*scheduleapr[[#This Row],[DISPATCH]]/1000</f>
        <v/>
      </c>
      <c r="AL582" s="599">
        <f>AJ582-AK582</f>
        <v/>
      </c>
      <c r="AM582" s="599">
        <f>scheduleapr[[#This Row],[SCHEDULE in nos]]/scheduleapr[[#This Row],[SCHEDULE IN MT]]*scheduleapr[[#This Row],[CTL Stock]]</f>
        <v/>
      </c>
      <c r="AN582" s="599">
        <f>SUMIFS(stock[MT],stock[Bucket],scheduleapr[[#This Row],[Bucket]],stock[CTL Bucket],scheduleapr[[#This Row],[CTL Bucket]],stock[Plant],"0789")</f>
        <v/>
      </c>
      <c r="AO582" s="599" t="n"/>
      <c r="AP582" s="599">
        <f>SUMIFS(stock[MT],stock[Bucket],scheduleapr[[#This Row],[Bucket]],stock[LL or CTL],"LL")</f>
        <v/>
      </c>
      <c r="AQ582" s="599">
        <f>+SUMIFS(wip[Stock(Net Wt)],wip[Bucket],scheduleapr[[#This Row],[Bucket]])/1000</f>
        <v/>
      </c>
      <c r="AR582" s="599">
        <f>AJ582-AN582</f>
        <v/>
      </c>
      <c r="AS582" s="118" t="n"/>
    </row>
    <row r="583">
      <c r="A583" s="594" t="n">
        <v>445</v>
      </c>
      <c r="B583" s="5" t="inlineStr">
        <is>
          <t>Hosur</t>
        </is>
      </c>
      <c r="C583" s="601" t="inlineStr">
        <is>
          <t>Sandhar Automach</t>
        </is>
      </c>
      <c r="D583" s="601" t="inlineStr">
        <is>
          <t>Sandhar Technology</t>
        </is>
      </c>
      <c r="E583" s="601" t="n">
        <v>187702</v>
      </c>
      <c r="F583" s="601" t="n">
        <v>2423535</v>
      </c>
      <c r="G583" s="601">
        <f>_xlfn.CONCAT(scheduleapr[[#This Row],[CUSTOMER CODE]],"-",scheduleapr[[#This Row],[MATERIAL NO]])</f>
        <v/>
      </c>
      <c r="H583" s="601" t="inlineStr">
        <is>
          <t>TUB-O-N-AUT-AW-PE-22.23X1.200X1.3280</t>
        </is>
      </c>
      <c r="I583" s="601" t="inlineStr">
        <is>
          <t>ERW 1</t>
        </is>
      </c>
      <c r="J583" s="601" t="n"/>
      <c r="K583" s="601" t="inlineStr">
        <is>
          <t>PE</t>
        </is>
      </c>
      <c r="L583" s="601" t="inlineStr">
        <is>
          <t>HR</t>
        </is>
      </c>
      <c r="M583" s="601" t="n"/>
      <c r="N583" s="601" t="n"/>
      <c r="O583" s="601" t="n"/>
      <c r="P583" s="601" t="n"/>
      <c r="Q583" s="557">
        <f>CONCATENATE(scheduleapr[[#This Row],[OD]],"-",scheduleapr[[#This Row],[ID]],"-",scheduleapr[[#This Row],[TICKNESS]],"-",scheduleapr[[#This Row],[Grade]],"-",scheduleapr[[#This Row],[FC/NFC]])</f>
        <v/>
      </c>
      <c r="R583" s="557">
        <f>_xlfn.CONCAT(scheduleapr[[#This Row],[Bucket]],"-",scheduleapr[[#This Row],[LENGTH]]/1000)</f>
        <v/>
      </c>
      <c r="S583" s="557">
        <f>COUNTIF(scheduleapr[CTL Bucket],scheduleapr[[#This Row],[CTL Bucket]])</f>
        <v/>
      </c>
      <c r="T583" s="557" t="n"/>
      <c r="U583" s="557" t="n"/>
      <c r="V583" s="557" t="n"/>
      <c r="W583" s="557" t="n"/>
      <c r="X583" s="599" t="n">
        <v>22.23</v>
      </c>
      <c r="Y583" s="599" t="n">
        <v>22.23</v>
      </c>
      <c r="Z583" s="599" t="n">
        <v>0</v>
      </c>
      <c r="AA583" s="599" t="n">
        <v>1.2</v>
      </c>
      <c r="AB583" s="600" t="n">
        <v>1328</v>
      </c>
      <c r="AC583" s="600" t="inlineStr">
        <is>
          <t>NOS</t>
        </is>
      </c>
      <c r="AD583" s="600" t="n"/>
      <c r="AE583" s="600" t="n"/>
      <c r="AF583" s="601" t="n">
        <v>1500</v>
      </c>
      <c r="AG583" s="601" t="inlineStr">
        <is>
          <t>Aug 2026 schedule · sandhar auto body</t>
        </is>
      </c>
      <c r="AH583" s="601">
        <f t="array" ref="AH5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3" s="602">
        <f>scheduleapr[[#This Row],[SCHEDULE in nos]]-scheduleapr[[#This Row],[DISPATCH]]</f>
        <v/>
      </c>
      <c r="AJ583" s="599">
        <f>(3.14*(scheduleapr[[#This Row],[ACTUAL OD]]-scheduleapr[[#This Row],[TICKNESS]])*scheduleapr[[#This Row],[TICKNESS]]*scheduleapr[[#This Row],[LENGTH]]*7.85)/1000000*scheduleapr[[#This Row],[SCHEDULE in nos]]/1000</f>
        <v/>
      </c>
      <c r="AK583" s="599">
        <f>(3.14*(scheduleapr[[#This Row],[ACTUAL OD]]-scheduleapr[[#This Row],[TICKNESS]])*scheduleapr[[#This Row],[TICKNESS]]*scheduleapr[[#This Row],[LENGTH]]*7.85)/1000000*scheduleapr[[#This Row],[DISPATCH]]/1000</f>
        <v/>
      </c>
      <c r="AL583" s="599">
        <f>AJ583-AK583</f>
        <v/>
      </c>
      <c r="AM583" s="599">
        <f>scheduleapr[[#This Row],[SCHEDULE in nos]]/scheduleapr[[#This Row],[SCHEDULE IN MT]]*scheduleapr[[#This Row],[CTL Stock]]</f>
        <v/>
      </c>
      <c r="AN583" s="599">
        <f>SUMIFS(stock[MT],stock[Bucket],scheduleapr[[#This Row],[Bucket]],stock[CTL Bucket],scheduleapr[[#This Row],[CTL Bucket]],stock[Plant],"0789")</f>
        <v/>
      </c>
      <c r="AO583" s="599" t="n"/>
      <c r="AP583" s="599">
        <f>SUMIFS(stock[MT],stock[Bucket],scheduleapr[[#This Row],[Bucket]],stock[LL or CTL],"LL")</f>
        <v/>
      </c>
      <c r="AQ583" s="599">
        <f>+SUMIFS(wip[Stock(Net Wt)],wip[Bucket],scheduleapr[[#This Row],[Bucket]])/1000</f>
        <v/>
      </c>
      <c r="AR583" s="599">
        <f>AJ583-AN583</f>
        <v/>
      </c>
      <c r="AS583" s="118" t="n"/>
    </row>
    <row r="584">
      <c r="A584" s="594" t="n">
        <v>447</v>
      </c>
      <c r="B584" s="5" t="inlineStr">
        <is>
          <t>Hosur</t>
        </is>
      </c>
      <c r="C584" s="601" t="inlineStr">
        <is>
          <t>Sandhar Automach</t>
        </is>
      </c>
      <c r="D584" s="601" t="inlineStr">
        <is>
          <t>Sandhar Technology</t>
        </is>
      </c>
      <c r="E584" s="601" t="n">
        <v>187702</v>
      </c>
      <c r="F584" s="601" t="n">
        <v>2422186</v>
      </c>
      <c r="G584" s="601">
        <f>_xlfn.CONCAT(scheduleapr[[#This Row],[CUSTOMER CODE]],"-",scheduleapr[[#This Row],[MATERIAL NO]])</f>
        <v/>
      </c>
      <c r="H584" s="601" t="inlineStr">
        <is>
          <t>TUB-O-N-AUT-AW-PE-22.23X2.000X0.7750</t>
        </is>
      </c>
      <c r="I584" s="601" t="inlineStr">
        <is>
          <t>ERW 1</t>
        </is>
      </c>
      <c r="J584" s="601" t="n"/>
      <c r="K584" s="601" t="inlineStr">
        <is>
          <t>PE</t>
        </is>
      </c>
      <c r="L584" s="601" t="inlineStr">
        <is>
          <t>HR</t>
        </is>
      </c>
      <c r="M584" s="601" t="n"/>
      <c r="N584" s="601" t="n"/>
      <c r="O584" s="601" t="n"/>
      <c r="P584" s="601" t="n"/>
      <c r="Q584" s="557">
        <f>CONCATENATE(scheduleapr[[#This Row],[OD]],"-",scheduleapr[[#This Row],[ID]],"-",scheduleapr[[#This Row],[TICKNESS]],"-",scheduleapr[[#This Row],[Grade]],"-",scheduleapr[[#This Row],[FC/NFC]])</f>
        <v/>
      </c>
      <c r="R584" s="557">
        <f>_xlfn.CONCAT(scheduleapr[[#This Row],[Bucket]],"-",scheduleapr[[#This Row],[LENGTH]]/1000)</f>
        <v/>
      </c>
      <c r="S584" s="557">
        <f>COUNTIF(scheduleapr[CTL Bucket],scheduleapr[[#This Row],[CTL Bucket]])</f>
        <v/>
      </c>
      <c r="T584" s="557" t="n"/>
      <c r="U584" s="557" t="n"/>
      <c r="V584" s="557" t="n"/>
      <c r="W584" s="557" t="n"/>
      <c r="X584" s="599" t="n">
        <v>22.23</v>
      </c>
      <c r="Y584" s="599" t="n">
        <v>22.23</v>
      </c>
      <c r="Z584" s="599" t="n">
        <v>0</v>
      </c>
      <c r="AA584" s="599" t="n">
        <v>2</v>
      </c>
      <c r="AB584" s="600" t="n">
        <v>775</v>
      </c>
      <c r="AC584" s="600" t="inlineStr">
        <is>
          <t>NOS</t>
        </is>
      </c>
      <c r="AD584" s="600" t="n"/>
      <c r="AE584" s="600" t="n"/>
      <c r="AF584" s="601" t="n">
        <v>14000</v>
      </c>
      <c r="AG584" s="601" t="inlineStr">
        <is>
          <t>Aug 2026 schedule · sandhar auto body</t>
        </is>
      </c>
      <c r="AH584" s="601">
        <f t="array" ref="AH5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4" s="602">
        <f>scheduleapr[[#This Row],[SCHEDULE in nos]]-scheduleapr[[#This Row],[DISPATCH]]</f>
        <v/>
      </c>
      <c r="AJ584" s="599">
        <f>(3.14*(scheduleapr[[#This Row],[ACTUAL OD]]-scheduleapr[[#This Row],[TICKNESS]])*scheduleapr[[#This Row],[TICKNESS]]*scheduleapr[[#This Row],[LENGTH]]*7.85)/1000000*scheduleapr[[#This Row],[SCHEDULE in nos]]/1000</f>
        <v/>
      </c>
      <c r="AK584" s="599">
        <f>(3.14*(scheduleapr[[#This Row],[ACTUAL OD]]-scheduleapr[[#This Row],[TICKNESS]])*scheduleapr[[#This Row],[TICKNESS]]*scheduleapr[[#This Row],[LENGTH]]*7.85)/1000000*scheduleapr[[#This Row],[DISPATCH]]/1000</f>
        <v/>
      </c>
      <c r="AL584" s="599">
        <f>AJ584-AK584</f>
        <v/>
      </c>
      <c r="AM584" s="599">
        <f>scheduleapr[[#This Row],[SCHEDULE in nos]]/scheduleapr[[#This Row],[SCHEDULE IN MT]]*scheduleapr[[#This Row],[CTL Stock]]</f>
        <v/>
      </c>
      <c r="AN584" s="599">
        <f>SUMIFS(stock[MT],stock[Bucket],scheduleapr[[#This Row],[Bucket]],stock[CTL Bucket],scheduleapr[[#This Row],[CTL Bucket]],stock[Plant],"0789")</f>
        <v/>
      </c>
      <c r="AO584" s="599" t="n"/>
      <c r="AP584" s="599">
        <f>SUMIFS(stock[MT],stock[Bucket],scheduleapr[[#This Row],[Bucket]],stock[LL or CTL],"LL")</f>
        <v/>
      </c>
      <c r="AQ584" s="599">
        <f>+SUMIFS(wip[Stock(Net Wt)],wip[Bucket],scheduleapr[[#This Row],[Bucket]])/1000</f>
        <v/>
      </c>
      <c r="AR584" s="599">
        <f>AJ584-AN584</f>
        <v/>
      </c>
      <c r="AS584" s="118" t="n"/>
    </row>
    <row r="585">
      <c r="A585" s="594" t="n">
        <v>453</v>
      </c>
      <c r="B585" s="5" t="inlineStr">
        <is>
          <t>Hosur</t>
        </is>
      </c>
      <c r="C585" s="601" t="inlineStr">
        <is>
          <t>Sandhar Automach</t>
        </is>
      </c>
      <c r="D585" s="601" t="inlineStr">
        <is>
          <t>Sandhar Technology</t>
        </is>
      </c>
      <c r="E585" s="601" t="n">
        <v>187702</v>
      </c>
      <c r="F585" s="539" t="n">
        <v>3697417</v>
      </c>
      <c r="G585" s="601">
        <f>_xlfn.CONCAT(scheduleapr[[#This Row],[CUSTOMER CODE]],"-",scheduleapr[[#This Row],[MATERIAL NO]])</f>
        <v/>
      </c>
      <c r="H585" s="601" t="inlineStr">
        <is>
          <t>PT2-O-N-AUT-AW-PE-22.20X2.000X1.3850</t>
        </is>
      </c>
      <c r="I585" s="601" t="inlineStr">
        <is>
          <t>ERW 1</t>
        </is>
      </c>
      <c r="J585" s="601" t="n"/>
      <c r="K585" s="601" t="inlineStr">
        <is>
          <t>PE</t>
        </is>
      </c>
      <c r="L585" s="601" t="inlineStr">
        <is>
          <t>HR</t>
        </is>
      </c>
      <c r="M585" s="601" t="n"/>
      <c r="N585" s="601" t="n"/>
      <c r="O585" s="601" t="n"/>
      <c r="P585" s="601" t="n"/>
      <c r="Q585" s="557">
        <f>CONCATENATE(scheduleapr[[#This Row],[OD]],"-",scheduleapr[[#This Row],[ID]],"-",scheduleapr[[#This Row],[TICKNESS]],"-",scheduleapr[[#This Row],[Grade]],"-",scheduleapr[[#This Row],[FC/NFC]])</f>
        <v/>
      </c>
      <c r="R585" s="557">
        <f>_xlfn.CONCAT(scheduleapr[[#This Row],[Bucket]],"-",scheduleapr[[#This Row],[LENGTH]]/1000)</f>
        <v/>
      </c>
      <c r="S585" s="557">
        <f>COUNTIF(scheduleapr[CTL Bucket],scheduleapr[[#This Row],[CTL Bucket]])</f>
        <v/>
      </c>
      <c r="T585" s="557" t="n"/>
      <c r="U585" s="557" t="n"/>
      <c r="V585" s="557" t="n"/>
      <c r="W585" s="557" t="n"/>
      <c r="X585" s="599" t="n">
        <v>22.23</v>
      </c>
      <c r="Y585" s="599" t="n">
        <v>22.23</v>
      </c>
      <c r="Z585" s="599" t="n">
        <v>0</v>
      </c>
      <c r="AA585" s="599" t="n">
        <v>2</v>
      </c>
      <c r="AB585" s="600" t="n">
        <v>1385</v>
      </c>
      <c r="AC585" s="600" t="inlineStr">
        <is>
          <t>NOS</t>
        </is>
      </c>
      <c r="AD585" s="600" t="n"/>
      <c r="AE585" s="600" t="n"/>
      <c r="AF585" s="601" t="n">
        <v>1000</v>
      </c>
      <c r="AG585" s="601" t="inlineStr">
        <is>
          <t>Aug 2026 schedule · sandhar auto body</t>
        </is>
      </c>
      <c r="AH585" s="601">
        <f t="array" ref="AH5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5" s="602">
        <f>scheduleapr[[#This Row],[SCHEDULE in nos]]-scheduleapr[[#This Row],[DISPATCH]]</f>
        <v/>
      </c>
      <c r="AJ585" s="599">
        <f>(3.14*(scheduleapr[[#This Row],[ACTUAL OD]]-scheduleapr[[#This Row],[TICKNESS]])*scheduleapr[[#This Row],[TICKNESS]]*scheduleapr[[#This Row],[LENGTH]]*7.85)/1000000*scheduleapr[[#This Row],[SCHEDULE in nos]]/1000</f>
        <v/>
      </c>
      <c r="AK585" s="599">
        <f>(3.14*(scheduleapr[[#This Row],[ACTUAL OD]]-scheduleapr[[#This Row],[TICKNESS]])*scheduleapr[[#This Row],[TICKNESS]]*scheduleapr[[#This Row],[LENGTH]]*7.85)/1000000*scheduleapr[[#This Row],[DISPATCH]]/1000</f>
        <v/>
      </c>
      <c r="AL585" s="599">
        <f>AJ585-AK585</f>
        <v/>
      </c>
      <c r="AM585" s="599">
        <f>scheduleapr[[#This Row],[SCHEDULE in nos]]/scheduleapr[[#This Row],[SCHEDULE IN MT]]*scheduleapr[[#This Row],[CTL Stock]]</f>
        <v/>
      </c>
      <c r="AN585" s="599">
        <f>SUMIFS(stock[MT],stock[Bucket],scheduleapr[[#This Row],[Bucket]],stock[CTL Bucket],scheduleapr[[#This Row],[CTL Bucket]],stock[Plant],"0789")</f>
        <v/>
      </c>
      <c r="AO585" s="599" t="n"/>
      <c r="AP585" s="599">
        <f>SUMIFS(stock[MT],stock[Bucket],scheduleapr[[#This Row],[Bucket]],stock[LL or CTL],"LL")</f>
        <v/>
      </c>
      <c r="AQ585" s="599">
        <f>+SUMIFS(wip[Stock(Net Wt)],wip[Bucket],scheduleapr[[#This Row],[Bucket]])/1000</f>
        <v/>
      </c>
      <c r="AR585" s="599">
        <f>AJ585-AN585</f>
        <v/>
      </c>
      <c r="AS585" s="118" t="n"/>
    </row>
    <row r="586">
      <c r="A586" s="594" t="n">
        <v>446</v>
      </c>
      <c r="B586" s="5" t="inlineStr">
        <is>
          <t>Hosur</t>
        </is>
      </c>
      <c r="C586" s="601" t="inlineStr">
        <is>
          <t>Sandhar Automach</t>
        </is>
      </c>
      <c r="D586" s="601" t="inlineStr">
        <is>
          <t>Sandhar Technology</t>
        </is>
      </c>
      <c r="E586" s="601" t="n">
        <v>187702</v>
      </c>
      <c r="F586" s="601" t="n">
        <v>1940416</v>
      </c>
      <c r="G586" s="601">
        <f>_xlfn.CONCAT(scheduleapr[[#This Row],[CUSTOMER CODE]],"-",scheduleapr[[#This Row],[MATERIAL NO]])</f>
        <v/>
      </c>
      <c r="H586" s="601" t="inlineStr">
        <is>
          <t>TUB-O-O-AUT-AW-PE-22.23X1.600X0.9350</t>
        </is>
      </c>
      <c r="I586" s="601" t="inlineStr">
        <is>
          <t>ERW 2 MAHS</t>
        </is>
      </c>
      <c r="J586" s="601" t="n"/>
      <c r="K586" s="601" t="inlineStr">
        <is>
          <t>PE</t>
        </is>
      </c>
      <c r="L586" s="601" t="inlineStr">
        <is>
          <t>CR</t>
        </is>
      </c>
      <c r="M586" s="596" t="inlineStr">
        <is>
          <t>ST52AL</t>
        </is>
      </c>
      <c r="N586" s="601" t="inlineStr">
        <is>
          <t>Chamferring</t>
        </is>
      </c>
      <c r="O586" s="601" t="n"/>
      <c r="P586" s="601" t="inlineStr">
        <is>
          <t>SC</t>
        </is>
      </c>
      <c r="Q586" s="557">
        <f>CONCATENATE(scheduleapr[[#This Row],[OD]],"-",scheduleapr[[#This Row],[ID]],"-",scheduleapr[[#This Row],[TICKNESS]],"-",scheduleapr[[#This Row],[Grade]],"-",scheduleapr[[#This Row],[FC/NFC]])</f>
        <v/>
      </c>
      <c r="R586" s="557">
        <f>_xlfn.CONCAT(scheduleapr[[#This Row],[Bucket]],"-",scheduleapr[[#This Row],[LENGTH]]/1000)</f>
        <v/>
      </c>
      <c r="S586" s="557">
        <f>COUNTIF(scheduleapr[CTL Bucket],scheduleapr[[#This Row],[CTL Bucket]])</f>
        <v/>
      </c>
      <c r="T586" s="601" t="inlineStr">
        <is>
          <t>Hosur</t>
        </is>
      </c>
      <c r="U586" s="601" t="n"/>
      <c r="V586" s="557" t="n"/>
      <c r="W586" s="557" t="n"/>
      <c r="X586" s="599" t="n">
        <v>22.23</v>
      </c>
      <c r="Y586" s="599" t="n">
        <v>22.23</v>
      </c>
      <c r="Z586" s="599" t="n">
        <v>0</v>
      </c>
      <c r="AA586" s="599" t="n">
        <v>1.6</v>
      </c>
      <c r="AB586" s="600" t="n">
        <v>935</v>
      </c>
      <c r="AC586" s="600" t="inlineStr">
        <is>
          <t>NOS</t>
        </is>
      </c>
      <c r="AD586" s="600" t="n"/>
      <c r="AE586" s="600" t="n"/>
      <c r="AF586" s="601" t="n">
        <v>20000</v>
      </c>
      <c r="AG586" s="601" t="inlineStr">
        <is>
          <t>Aug 2026 schedule · sandhar auto body</t>
        </is>
      </c>
      <c r="AH586" s="601">
        <f t="array" ref="AH5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6" s="602">
        <f>scheduleapr[[#This Row],[SCHEDULE in nos]]-scheduleapr[[#This Row],[DISPATCH]]</f>
        <v/>
      </c>
      <c r="AJ586" s="599">
        <f>(3.14*(scheduleapr[[#This Row],[ACTUAL OD]]-scheduleapr[[#This Row],[TICKNESS]])*scheduleapr[[#This Row],[TICKNESS]]*scheduleapr[[#This Row],[LENGTH]]*7.85)/1000000*scheduleapr[[#This Row],[SCHEDULE in nos]]/1000</f>
        <v/>
      </c>
      <c r="AK586" s="599">
        <f>(3.14*(scheduleapr[[#This Row],[ACTUAL OD]]-scheduleapr[[#This Row],[TICKNESS]])*scheduleapr[[#This Row],[TICKNESS]]*scheduleapr[[#This Row],[LENGTH]]*7.85)/1000000*scheduleapr[[#This Row],[DISPATCH]]/1000</f>
        <v/>
      </c>
      <c r="AL586" s="599">
        <f>AJ586-AK586</f>
        <v/>
      </c>
      <c r="AM586" s="599">
        <f>scheduleapr[[#This Row],[SCHEDULE in nos]]/scheduleapr[[#This Row],[SCHEDULE IN MT]]*scheduleapr[[#This Row],[CTL Stock]]</f>
        <v/>
      </c>
      <c r="AN586" s="599">
        <f>SUMIFS(stock[MT],stock[Bucket],scheduleapr[[#This Row],[Bucket]],stock[CTL Bucket],scheduleapr[[#This Row],[CTL Bucket]],stock[Plant],"0789")</f>
        <v/>
      </c>
      <c r="AO586" s="599" t="n"/>
      <c r="AP586" s="599">
        <f>SUMIFS(stock[MT],stock[Bucket],scheduleapr[[#This Row],[Bucket]],stock[LL or CTL],"LL")</f>
        <v/>
      </c>
      <c r="AQ586" s="599">
        <f>+SUMIFS(wip[Stock(Net Wt)],wip[Bucket],scheduleapr[[#This Row],[Bucket]])/1000</f>
        <v/>
      </c>
      <c r="AR586" s="599">
        <f>AJ586-AN586</f>
        <v/>
      </c>
      <c r="AS586" s="118" t="n"/>
    </row>
    <row r="587">
      <c r="A587" s="594" t="n">
        <v>448</v>
      </c>
      <c r="B587" s="78" t="inlineStr">
        <is>
          <t>Hosur</t>
        </is>
      </c>
      <c r="C587" s="596" t="inlineStr">
        <is>
          <t>Sandhar Automach</t>
        </is>
      </c>
      <c r="D587" s="601" t="inlineStr">
        <is>
          <t>Sandhar Technology</t>
        </is>
      </c>
      <c r="E587" s="596" t="n">
        <v>187702</v>
      </c>
      <c r="F587" s="9" t="n">
        <v>3943202</v>
      </c>
      <c r="G587" s="601">
        <f>_xlfn.CONCAT(scheduleapr[[#This Row],[CUSTOMER CODE]],"-",scheduleapr[[#This Row],[MATERIAL NO]])</f>
        <v/>
      </c>
      <c r="H587" s="9" t="inlineStr">
        <is>
          <t>CUT-O-N-AUT-AW-FC-22.23X2.000X0.8400</t>
        </is>
      </c>
      <c r="I587" s="601" t="inlineStr">
        <is>
          <t>ERW 2 MAHS</t>
        </is>
      </c>
      <c r="J587" s="557" t="n"/>
      <c r="K587" s="557" t="inlineStr">
        <is>
          <t>FC</t>
        </is>
      </c>
      <c r="L587" s="557" t="n"/>
      <c r="M587" s="557" t="n"/>
      <c r="N587" s="557" t="n"/>
      <c r="O587" s="557" t="n"/>
      <c r="P587" s="557" t="n"/>
      <c r="Q587" s="557">
        <f>CONCATENATE(scheduleapr[[#This Row],[OD]],"-",scheduleapr[[#This Row],[ID]],"-",scheduleapr[[#This Row],[TICKNESS]],"-",scheduleapr[[#This Row],[Grade]],"-",scheduleapr[[#This Row],[FC/NFC]])</f>
        <v/>
      </c>
      <c r="R587" s="557">
        <f>_xlfn.CONCAT(scheduleapr[[#This Row],[Bucket]],"-",scheduleapr[[#This Row],[LENGTH]]/1000)</f>
        <v/>
      </c>
      <c r="S587" s="557">
        <f>COUNTIF([2]!buckets[CTL Bucket],[2]!scheduleapr[[#This Row],[CTL Bucket]])</f>
        <v/>
      </c>
      <c r="T587" s="557" t="n"/>
      <c r="U587" s="557" t="n"/>
      <c r="V587" s="557" t="n"/>
      <c r="W587" s="557" t="n"/>
      <c r="X587" s="79" t="n">
        <v>22.23</v>
      </c>
      <c r="Y587" s="79" t="n">
        <v>22.23</v>
      </c>
      <c r="Z587" s="79" t="n">
        <v>0</v>
      </c>
      <c r="AA587" s="599" t="n">
        <v>2</v>
      </c>
      <c r="AB587" s="600" t="n">
        <v>840</v>
      </c>
      <c r="AC587" s="600" t="inlineStr">
        <is>
          <t>NOS</t>
        </is>
      </c>
      <c r="AD587" s="600" t="n"/>
      <c r="AE587" s="600" t="n"/>
      <c r="AF587" s="601" t="n"/>
      <c r="AG587" s="601" t="n"/>
      <c r="AH587" s="601">
        <f t="array" ref="AH5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7" s="602">
        <f>scheduleapr[[#This Row],[SCHEDULE in nos]]-scheduleapr[[#This Row],[DISPATCH]]</f>
        <v/>
      </c>
      <c r="AJ587" s="599">
        <f>(3.14*(scheduleapr[[#This Row],[ACTUAL OD]]-scheduleapr[[#This Row],[TICKNESS]])*scheduleapr[[#This Row],[TICKNESS]]*scheduleapr[[#This Row],[LENGTH]]*7.85)/1000000*scheduleapr[[#This Row],[SCHEDULE in nos]]/1000</f>
        <v/>
      </c>
      <c r="AK587" s="599">
        <f>(3.14*(scheduleapr[[#This Row],[ACTUAL OD]]-scheduleapr[[#This Row],[TICKNESS]])*scheduleapr[[#This Row],[TICKNESS]]*scheduleapr[[#This Row],[LENGTH]]*7.85)/1000000*scheduleapr[[#This Row],[DISPATCH]]/1000</f>
        <v/>
      </c>
      <c r="AL587" s="599">
        <f>AJ587-AK587</f>
        <v/>
      </c>
      <c r="AM587" s="599">
        <f>scheduleapr[[#This Row],[SCHEDULE in nos]]/scheduleapr[[#This Row],[SCHEDULE IN MT]]*scheduleapr[[#This Row],[CTL Stock]]</f>
        <v/>
      </c>
      <c r="AN587" s="599">
        <f>SUMIFS(stock[MT],stock[Bucket],scheduleapr[[#This Row],[Bucket]],stock[CTL Bucket],scheduleapr[[#This Row],[CTL Bucket]],stock[Plant],"0789")</f>
        <v/>
      </c>
      <c r="AO587" s="599" t="n"/>
      <c r="AP587" s="599">
        <f>SUMIFS(stock[MT],stock[Bucket],scheduleapr[[#This Row],[Bucket]],stock[LL or CTL],"LL")</f>
        <v/>
      </c>
      <c r="AQ587" s="599">
        <f>+SUMIFS(wip[Stock(Net Wt)],wip[Bucket],scheduleapr[[#This Row],[Bucket]])/1000</f>
        <v/>
      </c>
      <c r="AR587" s="599">
        <f>AJ587-AN587</f>
        <v/>
      </c>
      <c r="AS587" s="118" t="n"/>
    </row>
    <row r="588">
      <c r="A588" s="594" t="n">
        <v>449</v>
      </c>
      <c r="B588" s="78" t="inlineStr">
        <is>
          <t>Hosur</t>
        </is>
      </c>
      <c r="C588" s="596" t="inlineStr">
        <is>
          <t>Sandhar Automach</t>
        </is>
      </c>
      <c r="D588" s="601" t="inlineStr">
        <is>
          <t>Sandhar Technology</t>
        </is>
      </c>
      <c r="E588" s="596" t="n">
        <v>187702</v>
      </c>
      <c r="F588" s="9" t="n">
        <v>3943203</v>
      </c>
      <c r="G588" s="601">
        <f>_xlfn.CONCAT(scheduleapr[[#This Row],[CUSTOMER CODE]],"-",scheduleapr[[#This Row],[MATERIAL NO]])</f>
        <v/>
      </c>
      <c r="H588" s="9" t="inlineStr">
        <is>
          <t>CUT-O-N-AUT-AW-FC-22.23X2.000X0.8550</t>
        </is>
      </c>
      <c r="I588" s="601" t="inlineStr">
        <is>
          <t>ERW 2 MAHS</t>
        </is>
      </c>
      <c r="J588" s="557" t="n"/>
      <c r="K588" s="557" t="inlineStr">
        <is>
          <t>FC</t>
        </is>
      </c>
      <c r="L588" s="557" t="n"/>
      <c r="M588" s="557" t="n"/>
      <c r="N588" s="557" t="n"/>
      <c r="O588" s="557" t="n"/>
      <c r="P588" s="557" t="n"/>
      <c r="Q588" s="557">
        <f>CONCATENATE(scheduleapr[[#This Row],[OD]],"-",scheduleapr[[#This Row],[ID]],"-",scheduleapr[[#This Row],[TICKNESS]],"-",scheduleapr[[#This Row],[Grade]],"-",scheduleapr[[#This Row],[FC/NFC]])</f>
        <v/>
      </c>
      <c r="R588" s="557">
        <f>_xlfn.CONCAT(scheduleapr[[#This Row],[Bucket]],"-",scheduleapr[[#This Row],[LENGTH]]/1000)</f>
        <v/>
      </c>
      <c r="S588" s="557">
        <f>COUNTIF([2]!buckets[CTL Bucket],[2]!scheduleapr[[#This Row],[CTL Bucket]])</f>
        <v/>
      </c>
      <c r="T588" s="557" t="n"/>
      <c r="U588" s="557" t="n"/>
      <c r="V588" s="557" t="n"/>
      <c r="W588" s="557" t="n"/>
      <c r="X588" s="79" t="n">
        <v>22.23</v>
      </c>
      <c r="Y588" s="79" t="n">
        <v>22.23</v>
      </c>
      <c r="Z588" s="79" t="n">
        <v>0</v>
      </c>
      <c r="AA588" s="599" t="n">
        <v>2</v>
      </c>
      <c r="AB588" s="600" t="n">
        <v>855</v>
      </c>
      <c r="AC588" s="600" t="inlineStr">
        <is>
          <t>NOS</t>
        </is>
      </c>
      <c r="AD588" s="600" t="n"/>
      <c r="AE588" s="600" t="n"/>
      <c r="AF588" s="601" t="n"/>
      <c r="AG588" s="601" t="n"/>
      <c r="AH588" s="601">
        <f t="array" ref="AH5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8" s="602">
        <f>scheduleapr[[#This Row],[SCHEDULE in nos]]-scheduleapr[[#This Row],[DISPATCH]]</f>
        <v/>
      </c>
      <c r="AJ588" s="599">
        <f>(3.14*(scheduleapr[[#This Row],[ACTUAL OD]]-scheduleapr[[#This Row],[TICKNESS]])*scheduleapr[[#This Row],[TICKNESS]]*scheduleapr[[#This Row],[LENGTH]]*7.85)/1000000*scheduleapr[[#This Row],[SCHEDULE in nos]]/1000</f>
        <v/>
      </c>
      <c r="AK588" s="599">
        <f>(3.14*(scheduleapr[[#This Row],[ACTUAL OD]]-scheduleapr[[#This Row],[TICKNESS]])*scheduleapr[[#This Row],[TICKNESS]]*scheduleapr[[#This Row],[LENGTH]]*7.85)/1000000*scheduleapr[[#This Row],[DISPATCH]]/1000</f>
        <v/>
      </c>
      <c r="AL588" s="599">
        <f>AJ588-AK588</f>
        <v/>
      </c>
      <c r="AM588" s="599">
        <f>scheduleapr[[#This Row],[SCHEDULE in nos]]/scheduleapr[[#This Row],[SCHEDULE IN MT]]*scheduleapr[[#This Row],[CTL Stock]]</f>
        <v/>
      </c>
      <c r="AN588" s="599">
        <f>SUMIFS(stock[MT],stock[Bucket],scheduleapr[[#This Row],[Bucket]],stock[CTL Bucket],scheduleapr[[#This Row],[CTL Bucket]],stock[Plant],"0789")</f>
        <v/>
      </c>
      <c r="AO588" s="599" t="n"/>
      <c r="AP588" s="599">
        <f>SUMIFS(stock[MT],stock[Bucket],scheduleapr[[#This Row],[Bucket]],stock[LL or CTL],"LL")</f>
        <v/>
      </c>
      <c r="AQ588" s="599">
        <f>+SUMIFS(wip[Stock(Net Wt)],wip[Bucket],scheduleapr[[#This Row],[Bucket]])/1000</f>
        <v/>
      </c>
      <c r="AR588" s="599">
        <f>AJ588-AN588</f>
        <v/>
      </c>
      <c r="AS588" s="118" t="n"/>
    </row>
    <row r="589">
      <c r="A589" s="594" t="n">
        <v>450</v>
      </c>
      <c r="B589" s="5" t="inlineStr">
        <is>
          <t>Hosur</t>
        </is>
      </c>
      <c r="C589" s="601" t="inlineStr">
        <is>
          <t>Sandhar Automach</t>
        </is>
      </c>
      <c r="D589" s="601" t="inlineStr">
        <is>
          <t>Sandhar Technology</t>
        </is>
      </c>
      <c r="E589" s="601" t="n">
        <v>187702</v>
      </c>
      <c r="F589" s="601" t="n">
        <v>1940474</v>
      </c>
      <c r="G589" s="601">
        <f>_xlfn.CONCAT(scheduleapr[[#This Row],[CUSTOMER CODE]],"-",scheduleapr[[#This Row],[MATERIAL NO]])</f>
        <v/>
      </c>
      <c r="H589" s="601" t="inlineStr">
        <is>
          <t>TUB-O-O-AUT-AW-PE-22.23X2.00X0.865-MAHS</t>
        </is>
      </c>
      <c r="I589" s="601" t="inlineStr">
        <is>
          <t>ERW 2 MAHS</t>
        </is>
      </c>
      <c r="J589" s="601" t="n"/>
      <c r="K589" s="601" t="inlineStr">
        <is>
          <t>FC</t>
        </is>
      </c>
      <c r="L589" s="601" t="inlineStr">
        <is>
          <t>HR</t>
        </is>
      </c>
      <c r="M589" s="596" t="inlineStr">
        <is>
          <t>ST52AL</t>
        </is>
      </c>
      <c r="N589" s="601" t="n"/>
      <c r="O589" s="601" t="n"/>
      <c r="P589" s="601" t="n"/>
      <c r="Q589" s="557">
        <f>CONCATENATE(scheduleapr[[#This Row],[OD]],"-",scheduleapr[[#This Row],[ID]],"-",scheduleapr[[#This Row],[TICKNESS]],"-",scheduleapr[[#This Row],[Grade]],"-",scheduleapr[[#This Row],[FC/NFC]])</f>
        <v/>
      </c>
      <c r="R589" s="557">
        <f>_xlfn.CONCAT(scheduleapr[[#This Row],[Bucket]],"-",scheduleapr[[#This Row],[LENGTH]]/1000)</f>
        <v/>
      </c>
      <c r="S589" s="557">
        <f>COUNTIF([2]!buckets[CTL Bucket],[2]!scheduleapr[[#This Row],[CTL Bucket]])</f>
        <v/>
      </c>
      <c r="T589" s="557" t="n"/>
      <c r="U589" s="557" t="n"/>
      <c r="V589" s="557" t="n"/>
      <c r="W589" s="557" t="n"/>
      <c r="X589" s="599" t="n">
        <v>22.23</v>
      </c>
      <c r="Y589" s="599" t="n">
        <v>22.23</v>
      </c>
      <c r="Z589" s="599" t="n">
        <v>0</v>
      </c>
      <c r="AA589" s="599" t="n">
        <v>2</v>
      </c>
      <c r="AB589" s="600" t="n">
        <v>865</v>
      </c>
      <c r="AC589" s="600" t="inlineStr">
        <is>
          <t>NOS</t>
        </is>
      </c>
      <c r="AD589" s="600" t="n"/>
      <c r="AE589" s="600" t="n"/>
      <c r="AF589" s="601" t="n">
        <v>2000</v>
      </c>
      <c r="AG589" s="601" t="inlineStr">
        <is>
          <t>Aug 2026 schedule · sandhar auto body</t>
        </is>
      </c>
      <c r="AH589" s="601">
        <f t="array" ref="AH5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89" s="602">
        <f>scheduleapr[[#This Row],[SCHEDULE in nos]]-scheduleapr[[#This Row],[DISPATCH]]</f>
        <v/>
      </c>
      <c r="AJ589" s="599">
        <f>(3.14*(scheduleapr[[#This Row],[ACTUAL OD]]-scheduleapr[[#This Row],[TICKNESS]])*scheduleapr[[#This Row],[TICKNESS]]*scheduleapr[[#This Row],[LENGTH]]*7.85)/1000000*scheduleapr[[#This Row],[SCHEDULE in nos]]/1000</f>
        <v/>
      </c>
      <c r="AK589" s="599">
        <f>(3.14*(scheduleapr[[#This Row],[ACTUAL OD]]-scheduleapr[[#This Row],[TICKNESS]])*scheduleapr[[#This Row],[TICKNESS]]*scheduleapr[[#This Row],[LENGTH]]*7.85)/1000000*scheduleapr[[#This Row],[DISPATCH]]/1000</f>
        <v/>
      </c>
      <c r="AL589" s="599">
        <f>AJ589-AK589</f>
        <v/>
      </c>
      <c r="AM589" s="599">
        <f>scheduleapr[[#This Row],[SCHEDULE in nos]]/scheduleapr[[#This Row],[SCHEDULE IN MT]]*scheduleapr[[#This Row],[CTL Stock]]</f>
        <v/>
      </c>
      <c r="AN589" s="599">
        <f>SUMIFS(stock[MT],stock[Bucket],scheduleapr[[#This Row],[Bucket]],stock[CTL Bucket],scheduleapr[[#This Row],[CTL Bucket]],stock[Plant],"0789")</f>
        <v/>
      </c>
      <c r="AO589" s="599" t="n"/>
      <c r="AP589" s="599">
        <f>SUMIFS(stock[MT],stock[Bucket],scheduleapr[[#This Row],[Bucket]],stock[LL or CTL],"LL")</f>
        <v/>
      </c>
      <c r="AQ589" s="599">
        <f>+SUMIFS(wip[Stock(Net Wt)],wip[Bucket],scheduleapr[[#This Row],[Bucket]])/1000</f>
        <v/>
      </c>
      <c r="AR589" s="599">
        <f>AJ589-AN589</f>
        <v/>
      </c>
      <c r="AS589" s="118" t="n"/>
    </row>
    <row r="590">
      <c r="A590" s="594" t="n">
        <v>451</v>
      </c>
      <c r="B590" s="5" t="inlineStr">
        <is>
          <t>Hosur</t>
        </is>
      </c>
      <c r="C590" s="601" t="inlineStr">
        <is>
          <t>Sandhar Automach</t>
        </is>
      </c>
      <c r="D590" s="601" t="inlineStr">
        <is>
          <t>Sandhar Technology</t>
        </is>
      </c>
      <c r="E590" s="601" t="n">
        <v>187702</v>
      </c>
      <c r="F590" s="601" t="n">
        <v>1940478</v>
      </c>
      <c r="G590" s="601">
        <f>_xlfn.CONCAT(scheduleapr[[#This Row],[CUSTOMER CODE]],"-",scheduleapr[[#This Row],[MATERIAL NO]])</f>
        <v/>
      </c>
      <c r="H590" s="601" t="inlineStr">
        <is>
          <t>TUB-O-O-AUT-AW-PE-22.23X2.000X0.9050</t>
        </is>
      </c>
      <c r="I590" s="601" t="inlineStr">
        <is>
          <t>ERW 2 MAHS</t>
        </is>
      </c>
      <c r="J590" s="601" t="n"/>
      <c r="K590" s="601" t="inlineStr">
        <is>
          <t>PE</t>
        </is>
      </c>
      <c r="L590" s="601" t="inlineStr">
        <is>
          <t>CR</t>
        </is>
      </c>
      <c r="M590" s="601" t="n"/>
      <c r="N590" s="601" t="inlineStr">
        <is>
          <t>Chamferring</t>
        </is>
      </c>
      <c r="O590" s="601" t="n"/>
      <c r="P590" s="601" t="inlineStr">
        <is>
          <t>SC</t>
        </is>
      </c>
      <c r="Q590" s="557">
        <f>CONCATENATE(scheduleapr[[#This Row],[OD]],"-",scheduleapr[[#This Row],[ID]],"-",scheduleapr[[#This Row],[TICKNESS]],"-",scheduleapr[[#This Row],[Grade]],"-",scheduleapr[[#This Row],[FC/NFC]])</f>
        <v/>
      </c>
      <c r="R590" s="557">
        <f>_xlfn.CONCAT(scheduleapr[[#This Row],[Bucket]],"-",scheduleapr[[#This Row],[LENGTH]]/1000)</f>
        <v/>
      </c>
      <c r="S590" s="557">
        <f>COUNTIF(scheduleapr[CTL Bucket],scheduleapr[[#This Row],[CTL Bucket]])</f>
        <v/>
      </c>
      <c r="T590" s="601" t="inlineStr">
        <is>
          <t>Hosur</t>
        </is>
      </c>
      <c r="U590" s="601" t="n"/>
      <c r="V590" s="557" t="n"/>
      <c r="W590" s="557" t="n"/>
      <c r="X590" s="599" t="n">
        <v>22.23</v>
      </c>
      <c r="Y590" s="599" t="n">
        <v>22.23</v>
      </c>
      <c r="Z590" s="599" t="n">
        <v>0</v>
      </c>
      <c r="AA590" s="599" t="n">
        <v>2</v>
      </c>
      <c r="AB590" s="600" t="n">
        <v>905</v>
      </c>
      <c r="AC590" s="600" t="inlineStr">
        <is>
          <t>NOS</t>
        </is>
      </c>
      <c r="AD590" s="600" t="n"/>
      <c r="AE590" s="600" t="n"/>
      <c r="AF590" s="601" t="n">
        <v>65000</v>
      </c>
      <c r="AG590" s="601" t="inlineStr">
        <is>
          <t>Aug 2026 schedule · sandhar auto body</t>
        </is>
      </c>
      <c r="AH590" s="601">
        <f t="array" ref="AH5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0" s="602">
        <f>scheduleapr[[#This Row],[SCHEDULE in nos]]-scheduleapr[[#This Row],[DISPATCH]]</f>
        <v/>
      </c>
      <c r="AJ590" s="599">
        <f>(3.14*(scheduleapr[[#This Row],[ACTUAL OD]]-scheduleapr[[#This Row],[TICKNESS]])*scheduleapr[[#This Row],[TICKNESS]]*scheduleapr[[#This Row],[LENGTH]]*7.85)/1000000*scheduleapr[[#This Row],[SCHEDULE in nos]]/1000</f>
        <v/>
      </c>
      <c r="AK590" s="599">
        <f>(3.14*(scheduleapr[[#This Row],[ACTUAL OD]]-scheduleapr[[#This Row],[TICKNESS]])*scheduleapr[[#This Row],[TICKNESS]]*scheduleapr[[#This Row],[LENGTH]]*7.85)/1000000*scheduleapr[[#This Row],[DISPATCH]]/1000</f>
        <v/>
      </c>
      <c r="AL590" s="599">
        <f>AJ590-AK590</f>
        <v/>
      </c>
      <c r="AM590" s="599">
        <f>scheduleapr[[#This Row],[SCHEDULE in nos]]/scheduleapr[[#This Row],[SCHEDULE IN MT]]*scheduleapr[[#This Row],[CTL Stock]]</f>
        <v/>
      </c>
      <c r="AN590" s="599">
        <f>SUMIFS(stock[MT],stock[Bucket],scheduleapr[[#This Row],[Bucket]],stock[CTL Bucket],scheduleapr[[#This Row],[CTL Bucket]],stock[Plant],"0789")</f>
        <v/>
      </c>
      <c r="AO590" s="599" t="n"/>
      <c r="AP590" s="599">
        <f>SUMIFS(stock[MT],stock[Bucket],scheduleapr[[#This Row],[Bucket]],stock[LL or CTL],"LL")</f>
        <v/>
      </c>
      <c r="AQ590" s="599">
        <f>+SUMIFS(wip[Stock(Net Wt)],wip[Bucket],scheduleapr[[#This Row],[Bucket]])/1000</f>
        <v/>
      </c>
      <c r="AR590" s="599">
        <f>AJ590-AN590</f>
        <v/>
      </c>
      <c r="AS590" s="118" t="n"/>
    </row>
    <row r="591">
      <c r="A591" s="594" t="n">
        <v>452</v>
      </c>
      <c r="B591" s="5" t="inlineStr">
        <is>
          <t>Hosur</t>
        </is>
      </c>
      <c r="C591" s="601" t="inlineStr">
        <is>
          <t>Sandhar Automach</t>
        </is>
      </c>
      <c r="D591" s="601" t="inlineStr">
        <is>
          <t>Sandhar Technology</t>
        </is>
      </c>
      <c r="E591" s="601" t="n">
        <v>187702</v>
      </c>
      <c r="F591" s="601" t="n"/>
      <c r="G591" s="601">
        <f>_xlfn.CONCAT(scheduleapr[[#This Row],[CUSTOMER CODE]],"-",scheduleapr[[#This Row],[MATERIAL NO]])</f>
        <v/>
      </c>
      <c r="H591" s="601" t="inlineStr">
        <is>
          <t>TUB-O-O-AUT-AW-PE-22.23X2.00X0.925-MAHS</t>
        </is>
      </c>
      <c r="I591" s="601" t="inlineStr">
        <is>
          <t>ERW 2 MAHS</t>
        </is>
      </c>
      <c r="J591" s="601" t="n"/>
      <c r="K591" s="601" t="inlineStr">
        <is>
          <t>PE</t>
        </is>
      </c>
      <c r="L591" s="601" t="inlineStr">
        <is>
          <t>HR</t>
        </is>
      </c>
      <c r="M591" s="601" t="n"/>
      <c r="N591" s="601" t="n"/>
      <c r="O591" s="601" t="n"/>
      <c r="P591" s="601" t="n"/>
      <c r="Q591" s="557">
        <f>CONCATENATE(scheduleapr[[#This Row],[OD]],"-",scheduleapr[[#This Row],[ID]],"-",scheduleapr[[#This Row],[TICKNESS]],"-",scheduleapr[[#This Row],[Grade]],"-",scheduleapr[[#This Row],[FC/NFC]])</f>
        <v/>
      </c>
      <c r="R591" s="557">
        <f>_xlfn.CONCAT(scheduleapr[[#This Row],[Bucket]],"-",scheduleapr[[#This Row],[LENGTH]]/1000)</f>
        <v/>
      </c>
      <c r="S591" s="557">
        <f>COUNTIF([2]!buckets[CTL Bucket],[2]!scheduleapr[[#This Row],[CTL Bucket]])</f>
        <v/>
      </c>
      <c r="T591" s="557" t="n"/>
      <c r="U591" s="557" t="n"/>
      <c r="V591" s="557" t="n"/>
      <c r="W591" s="557" t="n"/>
      <c r="X591" s="599" t="n">
        <v>22.23</v>
      </c>
      <c r="Y591" s="599" t="n">
        <v>22.23</v>
      </c>
      <c r="Z591" s="599" t="n">
        <v>0</v>
      </c>
      <c r="AA591" s="599" t="n">
        <v>2</v>
      </c>
      <c r="AB591" s="600" t="n">
        <v>925</v>
      </c>
      <c r="AC591" s="600" t="inlineStr">
        <is>
          <t>NOS</t>
        </is>
      </c>
      <c r="AD591" s="600" t="n"/>
      <c r="AE591" s="600" t="n"/>
      <c r="AF591" s="601" t="n"/>
      <c r="AG591" s="601" t="n"/>
      <c r="AH591" s="601">
        <f t="array" ref="AH5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1" s="602">
        <f>scheduleapr[[#This Row],[SCHEDULE in nos]]-scheduleapr[[#This Row],[DISPATCH]]</f>
        <v/>
      </c>
      <c r="AJ591" s="599">
        <f>(3.14*(scheduleapr[[#This Row],[ACTUAL OD]]-scheduleapr[[#This Row],[TICKNESS]])*scheduleapr[[#This Row],[TICKNESS]]*scheduleapr[[#This Row],[LENGTH]]*7.85)/1000000*scheduleapr[[#This Row],[SCHEDULE in nos]]/1000</f>
        <v/>
      </c>
      <c r="AK591" s="599">
        <f>(3.14*(scheduleapr[[#This Row],[ACTUAL OD]]-scheduleapr[[#This Row],[TICKNESS]])*scheduleapr[[#This Row],[TICKNESS]]*scheduleapr[[#This Row],[LENGTH]]*7.85)/1000000*scheduleapr[[#This Row],[DISPATCH]]/1000</f>
        <v/>
      </c>
      <c r="AL591" s="599">
        <f>AJ591-AK591</f>
        <v/>
      </c>
      <c r="AM591" s="599">
        <f>scheduleapr[[#This Row],[SCHEDULE in nos]]/scheduleapr[[#This Row],[SCHEDULE IN MT]]*scheduleapr[[#This Row],[CTL Stock]]</f>
        <v/>
      </c>
      <c r="AN591" s="599">
        <f>SUMIFS(stock[MT],stock[Bucket],scheduleapr[[#This Row],[Bucket]],stock[CTL Bucket],scheduleapr[[#This Row],[CTL Bucket]],stock[Plant],"0789")</f>
        <v/>
      </c>
      <c r="AO591" s="599" t="n"/>
      <c r="AP591" s="599">
        <f>SUMIFS(stock[MT],stock[Bucket],scheduleapr[[#This Row],[Bucket]],stock[LL or CTL],"LL")</f>
        <v/>
      </c>
      <c r="AQ591" s="599">
        <f>+SUMIFS(wip[Stock(Net Wt)],wip[Bucket],scheduleapr[[#This Row],[Bucket]])/1000</f>
        <v/>
      </c>
      <c r="AR591" s="599">
        <f>AJ591-AN591</f>
        <v/>
      </c>
      <c r="AS591" s="118" t="n"/>
    </row>
    <row r="592">
      <c r="A592" s="556" t="n"/>
      <c r="B592" s="78" t="inlineStr">
        <is>
          <t>Hosur</t>
        </is>
      </c>
      <c r="C592" s="596" t="inlineStr">
        <is>
          <t>Sandhar Automach</t>
        </is>
      </c>
      <c r="D592" s="601" t="inlineStr">
        <is>
          <t>Sandhar Technology</t>
        </is>
      </c>
      <c r="E592" s="596" t="n">
        <v>187702</v>
      </c>
      <c r="F592" s="557" t="n"/>
      <c r="G592" s="601">
        <f>_xlfn.CONCAT(scheduleapr[[#This Row],[CUSTOMER CODE]],"-",scheduleapr[[#This Row],[MATERIAL NO]])</f>
        <v/>
      </c>
      <c r="H592" s="557" t="n"/>
      <c r="I592" s="601" t="inlineStr">
        <is>
          <t>ERW 2 MAHS</t>
        </is>
      </c>
      <c r="J592" s="557" t="n"/>
      <c r="K592" s="557" t="n"/>
      <c r="L592" s="557" t="n"/>
      <c r="M592" s="558" t="n"/>
      <c r="N592" s="557" t="n"/>
      <c r="O592" s="557" t="n"/>
      <c r="P592" s="557" t="n"/>
      <c r="Q592" s="557" t="n"/>
      <c r="R592" s="557" t="n"/>
      <c r="S592" s="557" t="n"/>
      <c r="T592" s="601" t="n"/>
      <c r="U592" s="601" t="n"/>
      <c r="V592" s="601" t="n"/>
      <c r="W592" s="601" t="n"/>
      <c r="X592" s="559" t="n">
        <v>22.23</v>
      </c>
      <c r="Y592" s="559" t="n">
        <v>22.23</v>
      </c>
      <c r="Z592" s="559" t="n">
        <v>0</v>
      </c>
      <c r="AA592" s="559" t="n">
        <v>2</v>
      </c>
      <c r="AB592" s="600" t="n">
        <v>930</v>
      </c>
      <c r="AC592" s="600" t="inlineStr">
        <is>
          <t>NOS</t>
        </is>
      </c>
      <c r="AD592" s="600" t="n"/>
      <c r="AE592" s="600" t="n"/>
      <c r="AF592" s="557" t="n"/>
      <c r="AG592" s="557" t="n"/>
      <c r="AH592" s="557">
        <f t="array" ref="AH5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2" s="560">
        <f>scheduleapr[[#This Row],[SCHEDULE in nos]]-scheduleapr[[#This Row],[DISPATCH]]</f>
        <v/>
      </c>
      <c r="AJ592" s="559">
        <f>(3.14*(scheduleapr[[#This Row],[ACTUAL OD]]-scheduleapr[[#This Row],[TICKNESS]])*scheduleapr[[#This Row],[TICKNESS]]*scheduleapr[[#This Row],[LENGTH]]*7.85)/1000000*scheduleapr[[#This Row],[SCHEDULE in nos]]/1000</f>
        <v/>
      </c>
      <c r="AK592" s="599">
        <f>(3.14*(scheduleapr[[#This Row],[ACTUAL OD]]-scheduleapr[[#This Row],[TICKNESS]])*scheduleapr[[#This Row],[TICKNESS]]*scheduleapr[[#This Row],[LENGTH]]*7.85)/1000000*scheduleapr[[#This Row],[DISPATCH]]/1000</f>
        <v/>
      </c>
      <c r="AL592" s="599">
        <f>AJ592-AK592</f>
        <v/>
      </c>
      <c r="AM592" s="559">
        <f>scheduleapr[[#This Row],[SCHEDULE in nos]]/scheduleapr[[#This Row],[SCHEDULE IN MT]]*scheduleapr[[#This Row],[CTL Stock]]</f>
        <v/>
      </c>
      <c r="AN592" s="599">
        <f>SUMIFS(stock[MT],stock[Bucket],scheduleapr[[#This Row],[Bucket]],stock[CTL Bucket],scheduleapr[[#This Row],[CTL Bucket]],stock[Plant],"0789")</f>
        <v/>
      </c>
      <c r="AO592" s="599" t="n"/>
      <c r="AP592" s="599">
        <f>SUMIFS(stock[MT],stock[Bucket],scheduleapr[[#This Row],[Bucket]],stock[LL or CTL],"LL")</f>
        <v/>
      </c>
      <c r="AQ592" s="599">
        <f>+SUMIFS(wip[Stock(Net Wt)],wip[Bucket],scheduleapr[[#This Row],[Bucket]])/1000</f>
        <v/>
      </c>
      <c r="AR592" s="599">
        <f>AJ592-AN592</f>
        <v/>
      </c>
      <c r="AS592" s="118" t="n"/>
    </row>
    <row r="593">
      <c r="A593" s="594" t="n">
        <v>531</v>
      </c>
      <c r="B593" s="5" t="inlineStr">
        <is>
          <t>Hosur</t>
        </is>
      </c>
      <c r="C593" s="601" t="inlineStr">
        <is>
          <t>SRI BALAJI GEARS V4</t>
        </is>
      </c>
      <c r="D593" s="601" t="inlineStr">
        <is>
          <t>Sri Balaji Gear</t>
        </is>
      </c>
      <c r="E593" s="601" t="n">
        <v>188595</v>
      </c>
      <c r="F593" s="9" t="n">
        <v>3929691</v>
      </c>
      <c r="G593" s="601">
        <f>_xlfn.CONCAT(scheduleapr[[#This Row],[CUSTOMER CODE]],"-",scheduleapr[[#This Row],[MATERIAL NO]])</f>
        <v/>
      </c>
      <c r="H593" s="601" t="inlineStr">
        <is>
          <t>CUT-O-N-AUT-AW-PE-19.05X1.200X0.2000</t>
        </is>
      </c>
      <c r="I593" s="596" t="inlineStr">
        <is>
          <t>CRFH</t>
        </is>
      </c>
      <c r="J593" s="596" t="n"/>
      <c r="K593" s="596" t="inlineStr">
        <is>
          <t>PE</t>
        </is>
      </c>
      <c r="L593" s="596" t="n"/>
      <c r="M593" s="596" t="n"/>
      <c r="N593" s="596" t="n"/>
      <c r="O593" s="596" t="n"/>
      <c r="P593" s="596" t="n"/>
      <c r="Q593" s="557">
        <f>CONCATENATE(scheduleapr[[#This Row],[OD]],"-",scheduleapr[[#This Row],[ID]],"-",scheduleapr[[#This Row],[TICKNESS]],"-",scheduleapr[[#This Row],[Grade]],"-",scheduleapr[[#This Row],[FC/NFC]])</f>
        <v/>
      </c>
      <c r="R593" s="557">
        <f>_xlfn.CONCAT(scheduleapr[[#This Row],[Bucket]],"-",scheduleapr[[#This Row],[LENGTH]]/1000)</f>
        <v/>
      </c>
      <c r="S593" s="557">
        <f>COUNTIF(scheduleapr[CTL Bucket],scheduleapr[[#This Row],[CTL Bucket]])</f>
        <v/>
      </c>
      <c r="T593" s="601" t="inlineStr">
        <is>
          <t>Hosur</t>
        </is>
      </c>
      <c r="U593" s="601">
        <f>_xlfn.IFNA(VLOOKUP(scheduleapr[[#This Row],[Bucket]],salesforecast[[#All],[Bucket2]:[8406 Stock]],19,0),0)</f>
        <v/>
      </c>
      <c r="V593" s="562">
        <f>_xlfn.IFNA(VLOOKUP(scheduleapr[[#This Row],[Bucket]],salesforecast[[#All],[Bucket2]:[8406 Stock]],20,0),0)+_xlfn.IFNA(VLOOKUP(scheduleapr[[#This Row],[Bucket]],salesforecast[[#All],[Bucket2]:[8406 Stock]],17,0),0)</f>
        <v/>
      </c>
      <c r="W593" s="557" t="n"/>
      <c r="X593" s="599" t="n">
        <v>19.05</v>
      </c>
      <c r="Y593" s="599" t="n">
        <v>19.05</v>
      </c>
      <c r="Z593" s="599" t="n">
        <v>0</v>
      </c>
      <c r="AA593" s="599" t="n">
        <v>1.2</v>
      </c>
      <c r="AB593" s="600" t="n">
        <v>200</v>
      </c>
      <c r="AC593" s="600" t="inlineStr">
        <is>
          <t>NOS</t>
        </is>
      </c>
      <c r="AD593" s="600" t="n"/>
      <c r="AE593" s="600" t="n"/>
      <c r="AF593" s="601" t="n">
        <v>2000</v>
      </c>
      <c r="AG593" s="601" t="n"/>
      <c r="AH593" s="601">
        <f t="array" ref="AH5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3" s="602">
        <f>scheduleapr[[#This Row],[SCHEDULE in nos]]-scheduleapr[[#This Row],[DISPATCH]]</f>
        <v/>
      </c>
      <c r="AJ593" s="599">
        <f>(3.14*(scheduleapr[[#This Row],[ACTUAL OD]]-scheduleapr[[#This Row],[TICKNESS]])*scheduleapr[[#This Row],[TICKNESS]]*scheduleapr[[#This Row],[LENGTH]]*7.85)/1000000*scheduleapr[[#This Row],[SCHEDULE in nos]]/1000</f>
        <v/>
      </c>
      <c r="AK593" s="599">
        <f>(3.14*(scheduleapr[[#This Row],[ACTUAL OD]]-scheduleapr[[#This Row],[TICKNESS]])*scheduleapr[[#This Row],[TICKNESS]]*scheduleapr[[#This Row],[LENGTH]]*7.85)/1000000*scheduleapr[[#This Row],[DISPATCH]]/1000</f>
        <v/>
      </c>
      <c r="AL593" s="599">
        <f>AJ593-AK593</f>
        <v/>
      </c>
      <c r="AM593" s="599">
        <f>scheduleapr[[#This Row],[SCHEDULE in nos]]/scheduleapr[[#This Row],[SCHEDULE IN MT]]*scheduleapr[[#This Row],[CTL Stock]]</f>
        <v/>
      </c>
      <c r="AN593" s="599">
        <f>SUMIFS(stock[MT],stock[Bucket],scheduleapr[[#This Row],[Bucket]],stock[CTL Bucket],scheduleapr[[#This Row],[CTL Bucket]],stock[Plant],"0789")</f>
        <v/>
      </c>
      <c r="AO593" s="599" t="n"/>
      <c r="AP593" s="599">
        <f>SUMIFS(stock[MT],stock[Bucket],scheduleapr[[#This Row],[Bucket]],stock[LL or CTL],"LL")</f>
        <v/>
      </c>
      <c r="AQ593" s="599">
        <f>+SUMIFS(wip[Stock(Net Wt)],wip[Bucket],scheduleapr[[#This Row],[Bucket]])/1000</f>
        <v/>
      </c>
      <c r="AR593" s="599">
        <f>AJ593-AN593</f>
        <v/>
      </c>
      <c r="AS593" s="118" t="n"/>
    </row>
    <row r="594">
      <c r="A594" s="594" t="n">
        <v>503</v>
      </c>
      <c r="B594" s="78" t="inlineStr">
        <is>
          <t>Hosur</t>
        </is>
      </c>
      <c r="C594" s="596" t="inlineStr">
        <is>
          <t>SRI BALAJI GEARS V7</t>
        </is>
      </c>
      <c r="D594" s="601" t="inlineStr">
        <is>
          <t>Sri Balaji Gear</t>
        </is>
      </c>
      <c r="E594" s="596" t="n">
        <v>188595</v>
      </c>
      <c r="F594" s="523" t="n">
        <v>3929691</v>
      </c>
      <c r="G594" s="601">
        <f>_xlfn.CONCAT(scheduleapr[[#This Row],[CUSTOMER CODE]],"-",scheduleapr[[#This Row],[MATERIAL NO]])</f>
        <v/>
      </c>
      <c r="H594" s="601" t="inlineStr">
        <is>
          <t>CUT-O-N-AUT-AW-PE-19.05X1.200X0.200</t>
        </is>
      </c>
      <c r="I594" s="596" t="inlineStr">
        <is>
          <t>CRFH</t>
        </is>
      </c>
      <c r="J594" s="596" t="n"/>
      <c r="K594" s="596" t="inlineStr">
        <is>
          <t>PE</t>
        </is>
      </c>
      <c r="L594" s="596" t="n"/>
      <c r="M594" s="596" t="n"/>
      <c r="N594" s="596" t="n"/>
      <c r="O594" s="596" t="n"/>
      <c r="P594" s="596" t="n"/>
      <c r="Q594" s="557">
        <f>CONCATENATE(scheduleapr[[#This Row],[OD]],"-",scheduleapr[[#This Row],[ID]],"-",scheduleapr[[#This Row],[TICKNESS]],"-",scheduleapr[[#This Row],[Grade]],"-",scheduleapr[[#This Row],[FC/NFC]])</f>
        <v/>
      </c>
      <c r="R594" s="557">
        <f>_xlfn.CONCAT(scheduleapr[[#This Row],[Bucket]],"-",scheduleapr[[#This Row],[LENGTH]]/1000)</f>
        <v/>
      </c>
      <c r="S594" s="557">
        <f>COUNTIF(scheduleapr[CTL Bucket],scheduleapr[[#This Row],[CTL Bucket]])</f>
        <v/>
      </c>
      <c r="T594" s="601" t="inlineStr">
        <is>
          <t>Hosur</t>
        </is>
      </c>
      <c r="U594" s="601">
        <f>_xlfn.IFNA(VLOOKUP(scheduleapr[[#This Row],[Bucket]],salesforecast[[#All],[Bucket2]:[8406 Stock]],19,0),0)</f>
        <v/>
      </c>
      <c r="V594" s="562">
        <f>_xlfn.IFNA(VLOOKUP(scheduleapr[[#This Row],[Bucket]],salesforecast[[#All],[Bucket2]:[8406 Stock]],20,0),0)+_xlfn.IFNA(VLOOKUP(scheduleapr[[#This Row],[Bucket]],salesforecast[[#All],[Bucket2]:[8406 Stock]],17,0),0)</f>
        <v/>
      </c>
      <c r="W594" s="557" t="n"/>
      <c r="X594" s="79" t="n">
        <v>19.05</v>
      </c>
      <c r="Y594" s="79" t="n">
        <v>19.05</v>
      </c>
      <c r="Z594" s="79" t="n">
        <v>0</v>
      </c>
      <c r="AA594" s="599" t="n">
        <v>1.2</v>
      </c>
      <c r="AB594" s="600" t="n">
        <v>200</v>
      </c>
      <c r="AC594" s="600" t="inlineStr">
        <is>
          <t>NOS</t>
        </is>
      </c>
      <c r="AD594" s="600" t="n"/>
      <c r="AE594" s="600" t="n"/>
      <c r="AF594" s="602" t="n">
        <v>36000</v>
      </c>
      <c r="AG594" s="602" t="n"/>
      <c r="AH594" s="601">
        <f t="array" ref="AH5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4" s="602">
        <f>scheduleapr[[#This Row],[SCHEDULE in nos]]-scheduleapr[[#This Row],[DISPATCH]]</f>
        <v/>
      </c>
      <c r="AJ594" s="599">
        <f>(3.14*(scheduleapr[[#This Row],[ACTUAL OD]]-scheduleapr[[#This Row],[TICKNESS]])*scheduleapr[[#This Row],[TICKNESS]]*scheduleapr[[#This Row],[LENGTH]]*7.85)/1000000*scheduleapr[[#This Row],[SCHEDULE in nos]]/1000</f>
        <v/>
      </c>
      <c r="AK594" s="599">
        <f>(3.14*(scheduleapr[[#This Row],[ACTUAL OD]]-scheduleapr[[#This Row],[TICKNESS]])*scheduleapr[[#This Row],[TICKNESS]]*scheduleapr[[#This Row],[LENGTH]]*7.85)/1000000*scheduleapr[[#This Row],[DISPATCH]]/1000</f>
        <v/>
      </c>
      <c r="AL594" s="599">
        <f>AJ594-AK594</f>
        <v/>
      </c>
      <c r="AM594" s="599">
        <f>scheduleapr[[#This Row],[SCHEDULE in nos]]/scheduleapr[[#This Row],[SCHEDULE IN MT]]*scheduleapr[[#This Row],[CTL Stock]]</f>
        <v/>
      </c>
      <c r="AN594" s="599">
        <f>SUMIFS(stock[MT],stock[Bucket],scheduleapr[[#This Row],[Bucket]],stock[CTL Bucket],scheduleapr[[#This Row],[CTL Bucket]],stock[Plant],"0789")</f>
        <v/>
      </c>
      <c r="AO594" s="599" t="n"/>
      <c r="AP594" s="599">
        <f>SUMIFS(stock[MT],stock[Bucket],scheduleapr[[#This Row],[Bucket]],stock[LL or CTL],"LL")</f>
        <v/>
      </c>
      <c r="AQ594" s="599">
        <f>+SUMIFS(wip[Stock(Net Wt)],wip[Bucket],scheduleapr[[#This Row],[Bucket]])/1000</f>
        <v/>
      </c>
      <c r="AR594" s="599">
        <f>AJ594-AN594</f>
        <v/>
      </c>
      <c r="AS594" s="118" t="n"/>
    </row>
    <row r="595">
      <c r="A595" s="594" t="n">
        <v>532</v>
      </c>
      <c r="B595" s="5" t="inlineStr">
        <is>
          <t>Hosur</t>
        </is>
      </c>
      <c r="C595" s="596" t="inlineStr">
        <is>
          <t>SRI BALAJI GEARS V4</t>
        </is>
      </c>
      <c r="D595" s="601" t="inlineStr">
        <is>
          <t>Sri Balaji Gear</t>
        </is>
      </c>
      <c r="E595" s="596" t="n">
        <v>188595</v>
      </c>
      <c r="F595" s="87" t="n">
        <v>3938681</v>
      </c>
      <c r="G595" s="601">
        <f>_xlfn.CONCAT(scheduleapr[[#This Row],[CUSTOMER CODE]],"-",scheduleapr[[#This Row],[MATERIAL NO]])</f>
        <v/>
      </c>
      <c r="H595" s="601" t="inlineStr">
        <is>
          <t>TUB-O-N-AUT-AW-PE-19.05X1.200X0.2200</t>
        </is>
      </c>
      <c r="I595" s="596" t="inlineStr">
        <is>
          <t>CRFH</t>
        </is>
      </c>
      <c r="J595" s="596" t="n"/>
      <c r="K595" s="596" t="inlineStr">
        <is>
          <t>PE</t>
        </is>
      </c>
      <c r="L595" s="596" t="n"/>
      <c r="M595" s="596" t="n"/>
      <c r="N595" s="596" t="n"/>
      <c r="O595" s="596" t="n"/>
      <c r="P595" s="596" t="n"/>
      <c r="Q595" s="557">
        <f>CONCATENATE(scheduleapr[[#This Row],[OD]],"-",scheduleapr[[#This Row],[ID]],"-",scheduleapr[[#This Row],[TICKNESS]],"-",scheduleapr[[#This Row],[Grade]],"-",scheduleapr[[#This Row],[FC/NFC]])</f>
        <v/>
      </c>
      <c r="R595" s="557">
        <f>_xlfn.CONCAT(scheduleapr[[#This Row],[Bucket]],"-",scheduleapr[[#This Row],[LENGTH]]/1000)</f>
        <v/>
      </c>
      <c r="S595" s="557">
        <f>COUNTIF(scheduleapr[CTL Bucket],scheduleapr[[#This Row],[CTL Bucket]])</f>
        <v/>
      </c>
      <c r="T595" s="601" t="inlineStr">
        <is>
          <t>Hosur</t>
        </is>
      </c>
      <c r="U595" s="601">
        <f>_xlfn.IFNA(VLOOKUP(scheduleapr[[#This Row],[Bucket]],salesforecast[[#All],[Bucket2]:[8406 Stock]],19,0),0)</f>
        <v/>
      </c>
      <c r="V595" s="562">
        <f>_xlfn.IFNA(VLOOKUP(scheduleapr[[#This Row],[Bucket]],salesforecast[[#All],[Bucket2]:[8406 Stock]],20,0),0)+_xlfn.IFNA(VLOOKUP(scheduleapr[[#This Row],[Bucket]],salesforecast[[#All],[Bucket2]:[8406 Stock]],17,0),0)</f>
        <v/>
      </c>
      <c r="W595" s="557" t="n"/>
      <c r="X595" s="599" t="n">
        <v>19.05</v>
      </c>
      <c r="Y595" s="599" t="n">
        <v>19.05</v>
      </c>
      <c r="Z595" s="599" t="n">
        <v>0</v>
      </c>
      <c r="AA595" s="599" t="n">
        <v>1.2</v>
      </c>
      <c r="AB595" s="600" t="n">
        <v>220</v>
      </c>
      <c r="AC595" s="600" t="inlineStr">
        <is>
          <t>NOS</t>
        </is>
      </c>
      <c r="AD595" s="600" t="n"/>
      <c r="AE595" s="600" t="n"/>
      <c r="AF595" s="601" t="n">
        <v>1500</v>
      </c>
      <c r="AG595" s="601" t="n"/>
      <c r="AH595" s="601">
        <f t="array" ref="AH5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5" s="602">
        <f>scheduleapr[[#This Row],[SCHEDULE in nos]]-scheduleapr[[#This Row],[DISPATCH]]</f>
        <v/>
      </c>
      <c r="AJ595" s="599">
        <f>(3.14*(scheduleapr[[#This Row],[ACTUAL OD]]-scheduleapr[[#This Row],[TICKNESS]])*scheduleapr[[#This Row],[TICKNESS]]*scheduleapr[[#This Row],[LENGTH]]*7.85)/1000000*scheduleapr[[#This Row],[SCHEDULE in nos]]/1000</f>
        <v/>
      </c>
      <c r="AK595" s="599">
        <f>(3.14*(scheduleapr[[#This Row],[ACTUAL OD]]-scheduleapr[[#This Row],[TICKNESS]])*scheduleapr[[#This Row],[TICKNESS]]*scheduleapr[[#This Row],[LENGTH]]*7.85)/1000000*scheduleapr[[#This Row],[DISPATCH]]/1000</f>
        <v/>
      </c>
      <c r="AL595" s="599">
        <f>AJ595-AK595</f>
        <v/>
      </c>
      <c r="AM595" s="599">
        <f>scheduleapr[[#This Row],[SCHEDULE in nos]]/scheduleapr[[#This Row],[SCHEDULE IN MT]]*scheduleapr[[#This Row],[CTL Stock]]</f>
        <v/>
      </c>
      <c r="AN595" s="599">
        <f>SUMIFS(stock[MT],stock[Bucket],scheduleapr[[#This Row],[Bucket]],stock[CTL Bucket],scheduleapr[[#This Row],[CTL Bucket]],stock[Plant],"0789")</f>
        <v/>
      </c>
      <c r="AO595" s="599" t="n"/>
      <c r="AP595" s="599">
        <f>SUMIFS(stock[MT],stock[Bucket],scheduleapr[[#This Row],[Bucket]],stock[LL or CTL],"LL")</f>
        <v/>
      </c>
      <c r="AQ595" s="599">
        <f>+SUMIFS(wip[Stock(Net Wt)],wip[Bucket],scheduleapr[[#This Row],[Bucket]])/1000</f>
        <v/>
      </c>
      <c r="AR595" s="599">
        <f>AJ595-AN595</f>
        <v/>
      </c>
      <c r="AS595" s="118" t="n"/>
    </row>
    <row r="596">
      <c r="A596" s="594" t="n">
        <v>533</v>
      </c>
      <c r="B596" s="5" t="inlineStr">
        <is>
          <t>Hosur</t>
        </is>
      </c>
      <c r="C596" s="596" t="inlineStr">
        <is>
          <t>SRI BALAJI GEARS V4</t>
        </is>
      </c>
      <c r="D596" s="601" t="inlineStr">
        <is>
          <t>Sri Balaji Gear</t>
        </is>
      </c>
      <c r="E596" s="596" t="n">
        <v>188595</v>
      </c>
      <c r="F596" s="87" t="n">
        <v>3938682</v>
      </c>
      <c r="G596" s="601">
        <f>_xlfn.CONCAT(scheduleapr[[#This Row],[CUSTOMER CODE]],"-",scheduleapr[[#This Row],[MATERIAL NO]])</f>
        <v/>
      </c>
      <c r="H596" s="601" t="inlineStr">
        <is>
          <t>TUB-O-N-AUT-AW-PE-19.05X1.200X0.3200</t>
        </is>
      </c>
      <c r="I596" s="596" t="inlineStr">
        <is>
          <t>CRFH</t>
        </is>
      </c>
      <c r="J596" s="596" t="n"/>
      <c r="K596" s="596" t="inlineStr">
        <is>
          <t>PE</t>
        </is>
      </c>
      <c r="L596" s="596" t="n"/>
      <c r="M596" s="596" t="n"/>
      <c r="N596" s="596" t="n"/>
      <c r="O596" s="596" t="n"/>
      <c r="P596" s="596" t="n"/>
      <c r="Q596" s="557">
        <f>CONCATENATE(scheduleapr[[#This Row],[OD]],"-",scheduleapr[[#This Row],[ID]],"-",scheduleapr[[#This Row],[TICKNESS]],"-",scheduleapr[[#This Row],[Grade]],"-",scheduleapr[[#This Row],[FC/NFC]])</f>
        <v/>
      </c>
      <c r="R596" s="557">
        <f>_xlfn.CONCAT(scheduleapr[[#This Row],[Bucket]],"-",scheduleapr[[#This Row],[LENGTH]]/1000)</f>
        <v/>
      </c>
      <c r="S596" s="557">
        <f>COUNTIF(scheduleapr[CTL Bucket],scheduleapr[[#This Row],[CTL Bucket]])</f>
        <v/>
      </c>
      <c r="T596" s="601" t="inlineStr">
        <is>
          <t>Hosur</t>
        </is>
      </c>
      <c r="U596" s="601">
        <f>_xlfn.IFNA(VLOOKUP(scheduleapr[[#This Row],[Bucket]],salesforecast[[#All],[Bucket2]:[8406 Stock]],19,0),0)</f>
        <v/>
      </c>
      <c r="V596" s="562">
        <f>_xlfn.IFNA(VLOOKUP(scheduleapr[[#This Row],[Bucket]],salesforecast[[#All],[Bucket2]:[8406 Stock]],20,0),0)+_xlfn.IFNA(VLOOKUP(scheduleapr[[#This Row],[Bucket]],salesforecast[[#All],[Bucket2]:[8406 Stock]],17,0),0)</f>
        <v/>
      </c>
      <c r="W596" s="557" t="n"/>
      <c r="X596" s="599" t="n">
        <v>19.05</v>
      </c>
      <c r="Y596" s="599" t="n">
        <v>19.05</v>
      </c>
      <c r="Z596" s="599" t="n">
        <v>0</v>
      </c>
      <c r="AA596" s="599" t="n">
        <v>1.2</v>
      </c>
      <c r="AB596" s="600" t="n">
        <v>320</v>
      </c>
      <c r="AC596" s="600" t="inlineStr">
        <is>
          <t>NOS</t>
        </is>
      </c>
      <c r="AD596" s="600" t="n"/>
      <c r="AE596" s="600" t="n"/>
      <c r="AF596" s="601" t="n">
        <v>500</v>
      </c>
      <c r="AG596" s="601" t="n"/>
      <c r="AH596" s="601">
        <f t="array" ref="AH5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6" s="602">
        <f>scheduleapr[[#This Row],[SCHEDULE in nos]]-scheduleapr[[#This Row],[DISPATCH]]</f>
        <v/>
      </c>
      <c r="AJ596" s="599">
        <f>(3.14*(scheduleapr[[#This Row],[ACTUAL OD]]-scheduleapr[[#This Row],[TICKNESS]])*scheduleapr[[#This Row],[TICKNESS]]*scheduleapr[[#This Row],[LENGTH]]*7.85)/1000000*scheduleapr[[#This Row],[SCHEDULE in nos]]/1000</f>
        <v/>
      </c>
      <c r="AK596" s="599">
        <f>(3.14*(scheduleapr[[#This Row],[ACTUAL OD]]-scheduleapr[[#This Row],[TICKNESS]])*scheduleapr[[#This Row],[TICKNESS]]*scheduleapr[[#This Row],[LENGTH]]*7.85)/1000000*scheduleapr[[#This Row],[DISPATCH]]/1000</f>
        <v/>
      </c>
      <c r="AL596" s="599">
        <f>AJ596-AK596</f>
        <v/>
      </c>
      <c r="AM596" s="599">
        <f>scheduleapr[[#This Row],[SCHEDULE in nos]]/scheduleapr[[#This Row],[SCHEDULE IN MT]]*scheduleapr[[#This Row],[CTL Stock]]</f>
        <v/>
      </c>
      <c r="AN596" s="599">
        <f>SUMIFS(stock[MT],stock[Bucket],scheduleapr[[#This Row],[Bucket]],stock[CTL Bucket],scheduleapr[[#This Row],[CTL Bucket]],stock[Plant],"0789")</f>
        <v/>
      </c>
      <c r="AO596" s="599" t="n"/>
      <c r="AP596" s="599">
        <f>SUMIFS(stock[MT],stock[Bucket],scheduleapr[[#This Row],[Bucket]],stock[LL or CTL],"LL")</f>
        <v/>
      </c>
      <c r="AQ596" s="599">
        <f>+SUMIFS(wip[Stock(Net Wt)],wip[Bucket],scheduleapr[[#This Row],[Bucket]])/1000</f>
        <v/>
      </c>
      <c r="AR596" s="599">
        <f>AJ596-AN596</f>
        <v/>
      </c>
      <c r="AS596" s="118" t="n"/>
    </row>
    <row r="597" ht="15.75" customHeight="1" s="584">
      <c r="A597" s="594" t="n">
        <v>502</v>
      </c>
      <c r="B597" s="78" t="inlineStr">
        <is>
          <t>Hosur</t>
        </is>
      </c>
      <c r="C597" s="596" t="inlineStr">
        <is>
          <t>SRI BALAJI GEARS V7</t>
        </is>
      </c>
      <c r="D597" s="601" t="inlineStr">
        <is>
          <t>Sri Balaji Gear</t>
        </is>
      </c>
      <c r="E597" s="596" t="n">
        <v>188595</v>
      </c>
      <c r="F597" s="88" t="n">
        <v>3935313</v>
      </c>
      <c r="G597" s="601">
        <f>_xlfn.CONCAT(scheduleapr[[#This Row],[CUSTOMER CODE]],"-",scheduleapr[[#This Row],[MATERIAL NO]])</f>
        <v/>
      </c>
      <c r="H597" s="601" t="inlineStr">
        <is>
          <t>CUT-O-N-AUT-AW-PE-19.05X1.200X0.33</t>
        </is>
      </c>
      <c r="I597" s="596" t="inlineStr">
        <is>
          <t>CRFH</t>
        </is>
      </c>
      <c r="J597" s="596" t="n"/>
      <c r="K597" s="596" t="inlineStr">
        <is>
          <t>PE</t>
        </is>
      </c>
      <c r="L597" s="596" t="n"/>
      <c r="M597" s="596" t="n"/>
      <c r="N597" s="596" t="n"/>
      <c r="O597" s="596" t="n"/>
      <c r="P597" s="596" t="n"/>
      <c r="Q597" s="557">
        <f>CONCATENATE(scheduleapr[[#This Row],[OD]],"-",scheduleapr[[#This Row],[ID]],"-",scheduleapr[[#This Row],[TICKNESS]],"-",scheduleapr[[#This Row],[Grade]],"-",scheduleapr[[#This Row],[FC/NFC]])</f>
        <v/>
      </c>
      <c r="R597" s="557">
        <f>_xlfn.CONCAT(scheduleapr[[#This Row],[Bucket]],"-",scheduleapr[[#This Row],[LENGTH]]/1000)</f>
        <v/>
      </c>
      <c r="S597" s="557">
        <f>COUNTIF(scheduleapr[CTL Bucket],scheduleapr[[#This Row],[CTL Bucket]])</f>
        <v/>
      </c>
      <c r="T597" s="601" t="inlineStr">
        <is>
          <t>Hosur</t>
        </is>
      </c>
      <c r="U597" s="601">
        <f>_xlfn.IFNA(VLOOKUP(scheduleapr[[#This Row],[Bucket]],salesforecast[[#All],[Bucket2]:[8406 Stock]],19,0),0)</f>
        <v/>
      </c>
      <c r="V597" s="562">
        <f>_xlfn.IFNA(VLOOKUP(scheduleapr[[#This Row],[Bucket]],salesforecast[[#All],[Bucket2]:[8406 Stock]],20,0),0)+_xlfn.IFNA(VLOOKUP(scheduleapr[[#This Row],[Bucket]],salesforecast[[#All],[Bucket2]:[8406 Stock]],17,0),0)</f>
        <v/>
      </c>
      <c r="W597" s="557" t="n"/>
      <c r="X597" s="79" t="n">
        <v>19.05</v>
      </c>
      <c r="Y597" s="79" t="n">
        <v>19.05</v>
      </c>
      <c r="Z597" s="79" t="n">
        <v>0</v>
      </c>
      <c r="AA597" s="599" t="n">
        <v>1.2</v>
      </c>
      <c r="AB597" s="600" t="n">
        <v>330</v>
      </c>
      <c r="AC597" s="600" t="inlineStr">
        <is>
          <t>NOS</t>
        </is>
      </c>
      <c r="AD597" s="600" t="n"/>
      <c r="AE597" s="600" t="n"/>
      <c r="AF597" s="602" t="n">
        <v>6000</v>
      </c>
      <c r="AG597" s="602" t="n"/>
      <c r="AH597" s="601">
        <f t="array" ref="AH5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7" s="602">
        <f>scheduleapr[[#This Row],[SCHEDULE in nos]]-scheduleapr[[#This Row],[DISPATCH]]</f>
        <v/>
      </c>
      <c r="AJ597" s="599">
        <f>(3.14*(scheduleapr[[#This Row],[ACTUAL OD]]-scheduleapr[[#This Row],[TICKNESS]])*scheduleapr[[#This Row],[TICKNESS]]*scheduleapr[[#This Row],[LENGTH]]*7.85)/1000000*scheduleapr[[#This Row],[SCHEDULE in nos]]/1000</f>
        <v/>
      </c>
      <c r="AK597" s="599">
        <f>(3.14*(scheduleapr[[#This Row],[ACTUAL OD]]-scheduleapr[[#This Row],[TICKNESS]])*scheduleapr[[#This Row],[TICKNESS]]*scheduleapr[[#This Row],[LENGTH]]*7.85)/1000000*scheduleapr[[#This Row],[DISPATCH]]/1000</f>
        <v/>
      </c>
      <c r="AL597" s="599">
        <f>AJ597-AK597</f>
        <v/>
      </c>
      <c r="AM597" s="599">
        <f>scheduleapr[[#This Row],[SCHEDULE in nos]]/scheduleapr[[#This Row],[SCHEDULE IN MT]]*scheduleapr[[#This Row],[CTL Stock]]</f>
        <v/>
      </c>
      <c r="AN597" s="599">
        <f>SUMIFS(stock[MT],stock[Bucket],scheduleapr[[#This Row],[Bucket]],stock[CTL Bucket],scheduleapr[[#This Row],[CTL Bucket]],stock[Plant],"0789")</f>
        <v/>
      </c>
      <c r="AO597" s="599" t="n"/>
      <c r="AP597" s="599">
        <f>SUMIFS(stock[MT],stock[Bucket],scheduleapr[[#This Row],[Bucket]],stock[LL or CTL],"LL")</f>
        <v/>
      </c>
      <c r="AQ597" s="599">
        <f>+SUMIFS(wip[Stock(Net Wt)],wip[Bucket],scheduleapr[[#This Row],[Bucket]])/1000</f>
        <v/>
      </c>
      <c r="AR597" s="599">
        <f>AJ597-AN597</f>
        <v/>
      </c>
      <c r="AS597" s="118" t="n"/>
    </row>
    <row r="598">
      <c r="A598" s="594" t="n">
        <v>534</v>
      </c>
      <c r="B598" s="5" t="inlineStr">
        <is>
          <t>Hosur</t>
        </is>
      </c>
      <c r="C598" s="596" t="inlineStr">
        <is>
          <t>SRI BALAJI GEARS V4</t>
        </is>
      </c>
      <c r="D598" s="601" t="inlineStr">
        <is>
          <t>Sri Balaji Gear</t>
        </is>
      </c>
      <c r="E598" s="596" t="n">
        <v>188595</v>
      </c>
      <c r="F598" s="87" t="n">
        <v>3938683</v>
      </c>
      <c r="G598" s="601">
        <f>_xlfn.CONCAT(scheduleapr[[#This Row],[CUSTOMER CODE]],"-",scheduleapr[[#This Row],[MATERIAL NO]])</f>
        <v/>
      </c>
      <c r="H598" s="601" t="inlineStr">
        <is>
          <t>TUB-O-N-AUT-AW-PE-19.05X1.200X0.3770</t>
        </is>
      </c>
      <c r="I598" s="596" t="inlineStr">
        <is>
          <t>CRFH</t>
        </is>
      </c>
      <c r="J598" s="596" t="n"/>
      <c r="K598" s="596" t="inlineStr">
        <is>
          <t>PE</t>
        </is>
      </c>
      <c r="L598" s="596" t="n"/>
      <c r="M598" s="596" t="n"/>
      <c r="N598" s="596" t="n"/>
      <c r="O598" s="596" t="n"/>
      <c r="P598" s="596" t="n"/>
      <c r="Q598" s="557">
        <f>CONCATENATE(scheduleapr[[#This Row],[OD]],"-",scheduleapr[[#This Row],[ID]],"-",scheduleapr[[#This Row],[TICKNESS]],"-",scheduleapr[[#This Row],[Grade]],"-",scheduleapr[[#This Row],[FC/NFC]])</f>
        <v/>
      </c>
      <c r="R598" s="557">
        <f>_xlfn.CONCAT(scheduleapr[[#This Row],[Bucket]],"-",scheduleapr[[#This Row],[LENGTH]]/1000)</f>
        <v/>
      </c>
      <c r="S598" s="557">
        <f>COUNTIF(scheduleapr[CTL Bucket],scheduleapr[[#This Row],[CTL Bucket]])</f>
        <v/>
      </c>
      <c r="T598" s="601" t="inlineStr">
        <is>
          <t>Hosur</t>
        </is>
      </c>
      <c r="U598" s="601">
        <f>_xlfn.IFNA(VLOOKUP(scheduleapr[[#This Row],[Bucket]],salesforecast[[#All],[Bucket2]:[8406 Stock]],19,0),0)</f>
        <v/>
      </c>
      <c r="V598" s="562">
        <f>_xlfn.IFNA(VLOOKUP(scheduleapr[[#This Row],[Bucket]],salesforecast[[#All],[Bucket2]:[8406 Stock]],20,0),0)+_xlfn.IFNA(VLOOKUP(scheduleapr[[#This Row],[Bucket]],salesforecast[[#All],[Bucket2]:[8406 Stock]],17,0),0)</f>
        <v/>
      </c>
      <c r="W598" s="557" t="n"/>
      <c r="X598" s="599" t="n">
        <v>19.05</v>
      </c>
      <c r="Y598" s="599" t="n">
        <v>19.05</v>
      </c>
      <c r="Z598" s="599" t="n">
        <v>0</v>
      </c>
      <c r="AA598" s="599" t="n">
        <v>1.2</v>
      </c>
      <c r="AB598" s="600" t="n">
        <v>377</v>
      </c>
      <c r="AC598" s="600" t="inlineStr">
        <is>
          <t>NOS</t>
        </is>
      </c>
      <c r="AD598" s="600" t="n"/>
      <c r="AE598" s="600" t="n"/>
      <c r="AF598" s="601" t="n">
        <v>500</v>
      </c>
      <c r="AG598" s="601" t="n"/>
      <c r="AH598" s="601">
        <f t="array" ref="AH5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8" s="602">
        <f>scheduleapr[[#This Row],[SCHEDULE in nos]]-scheduleapr[[#This Row],[DISPATCH]]</f>
        <v/>
      </c>
      <c r="AJ598" s="599">
        <f>(3.14*(scheduleapr[[#This Row],[ACTUAL OD]]-scheduleapr[[#This Row],[TICKNESS]])*scheduleapr[[#This Row],[TICKNESS]]*scheduleapr[[#This Row],[LENGTH]]*7.85)/1000000*scheduleapr[[#This Row],[SCHEDULE in nos]]/1000</f>
        <v/>
      </c>
      <c r="AK598" s="599">
        <f>(3.14*(scheduleapr[[#This Row],[ACTUAL OD]]-scheduleapr[[#This Row],[TICKNESS]])*scheduleapr[[#This Row],[TICKNESS]]*scheduleapr[[#This Row],[LENGTH]]*7.85)/1000000*scheduleapr[[#This Row],[DISPATCH]]/1000</f>
        <v/>
      </c>
      <c r="AL598" s="599">
        <f>AJ598-AK598</f>
        <v/>
      </c>
      <c r="AM598" s="599">
        <f>scheduleapr[[#This Row],[SCHEDULE in nos]]/scheduleapr[[#This Row],[SCHEDULE IN MT]]*scheduleapr[[#This Row],[CTL Stock]]</f>
        <v/>
      </c>
      <c r="AN598" s="599">
        <f>SUMIFS(stock[MT],stock[Bucket],scheduleapr[[#This Row],[Bucket]],stock[CTL Bucket],scheduleapr[[#This Row],[CTL Bucket]],stock[Plant],"0789")</f>
        <v/>
      </c>
      <c r="AO598" s="599" t="n"/>
      <c r="AP598" s="599">
        <f>SUMIFS(stock[MT],stock[Bucket],scheduleapr[[#This Row],[Bucket]],stock[LL or CTL],"LL")</f>
        <v/>
      </c>
      <c r="AQ598" s="599">
        <f>+SUMIFS(wip[Stock(Net Wt)],wip[Bucket],scheduleapr[[#This Row],[Bucket]])/1000</f>
        <v/>
      </c>
      <c r="AR598" s="599">
        <f>AJ598-AN598</f>
        <v/>
      </c>
      <c r="AS598" s="118" t="n"/>
    </row>
    <row r="599">
      <c r="A599" s="594" t="n">
        <v>535</v>
      </c>
      <c r="B599" s="5" t="inlineStr">
        <is>
          <t>Hosur</t>
        </is>
      </c>
      <c r="C599" s="601" t="inlineStr">
        <is>
          <t>SRI BALAJI GEARS V4</t>
        </is>
      </c>
      <c r="D599" s="601" t="inlineStr">
        <is>
          <t>Sri Balaji Gear</t>
        </is>
      </c>
      <c r="E599" s="601" t="n">
        <v>188595</v>
      </c>
      <c r="F599" s="9" t="n">
        <v>3929692</v>
      </c>
      <c r="G599" s="601">
        <f>_xlfn.CONCAT(scheduleapr[[#This Row],[CUSTOMER CODE]],"-",scheduleapr[[#This Row],[MATERIAL NO]])</f>
        <v/>
      </c>
      <c r="H599" s="601" t="inlineStr">
        <is>
          <t>CUT-O-N-AUT-AW-PE-19.05X1.200X1.2300</t>
        </is>
      </c>
      <c r="I599" s="596" t="inlineStr">
        <is>
          <t>CRFH</t>
        </is>
      </c>
      <c r="J599" s="596" t="n"/>
      <c r="K599" s="596" t="inlineStr">
        <is>
          <t>PE</t>
        </is>
      </c>
      <c r="L599" s="596" t="n"/>
      <c r="M599" s="596" t="n"/>
      <c r="N599" s="596" t="n"/>
      <c r="O599" s="596" t="n"/>
      <c r="P599" s="596" t="n"/>
      <c r="Q599" s="557">
        <f>CONCATENATE(scheduleapr[[#This Row],[OD]],"-",scheduleapr[[#This Row],[ID]],"-",scheduleapr[[#This Row],[TICKNESS]],"-",scheduleapr[[#This Row],[Grade]],"-",scheduleapr[[#This Row],[FC/NFC]])</f>
        <v/>
      </c>
      <c r="R599" s="557">
        <f>_xlfn.CONCAT(scheduleapr[[#This Row],[Bucket]],"-",scheduleapr[[#This Row],[LENGTH]]/1000)</f>
        <v/>
      </c>
      <c r="S599" s="557">
        <f>COUNTIF(scheduleapr[CTL Bucket],scheduleapr[[#This Row],[CTL Bucket]])</f>
        <v/>
      </c>
      <c r="T599" s="601" t="inlineStr">
        <is>
          <t>Hosur</t>
        </is>
      </c>
      <c r="U599" s="601">
        <f>_xlfn.IFNA(VLOOKUP(scheduleapr[[#This Row],[Bucket]],salesforecast[[#All],[Bucket2]:[8406 Stock]],19,0),0)</f>
        <v/>
      </c>
      <c r="V599" s="562">
        <f>_xlfn.IFNA(VLOOKUP(scheduleapr[[#This Row],[Bucket]],salesforecast[[#All],[Bucket2]:[8406 Stock]],20,0),0)+_xlfn.IFNA(VLOOKUP(scheduleapr[[#This Row],[Bucket]],salesforecast[[#All],[Bucket2]:[8406 Stock]],17,0),0)</f>
        <v/>
      </c>
      <c r="W599" s="557" t="n"/>
      <c r="X599" s="599" t="n">
        <v>19.05</v>
      </c>
      <c r="Y599" s="599" t="n">
        <v>19.05</v>
      </c>
      <c r="Z599" s="599" t="n">
        <v>0</v>
      </c>
      <c r="AA599" s="599" t="n">
        <v>1.2</v>
      </c>
      <c r="AB599" s="600" t="n">
        <v>1230</v>
      </c>
      <c r="AC599" s="600" t="inlineStr">
        <is>
          <t>NOS</t>
        </is>
      </c>
      <c r="AD599" s="600" t="n"/>
      <c r="AE599" s="600" t="n"/>
      <c r="AF599" s="601" t="n">
        <v>500</v>
      </c>
      <c r="AG599" s="601" t="n"/>
      <c r="AH599" s="601">
        <f t="array" ref="AH5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599" s="602">
        <f>scheduleapr[[#This Row],[SCHEDULE in nos]]-scheduleapr[[#This Row],[DISPATCH]]</f>
        <v/>
      </c>
      <c r="AJ599" s="599">
        <f>(3.14*(scheduleapr[[#This Row],[ACTUAL OD]]-scheduleapr[[#This Row],[TICKNESS]])*scheduleapr[[#This Row],[TICKNESS]]*scheduleapr[[#This Row],[LENGTH]]*7.85)/1000000*scheduleapr[[#This Row],[SCHEDULE in nos]]/1000</f>
        <v/>
      </c>
      <c r="AK599" s="599">
        <f>(3.14*(scheduleapr[[#This Row],[ACTUAL OD]]-scheduleapr[[#This Row],[TICKNESS]])*scheduleapr[[#This Row],[TICKNESS]]*scheduleapr[[#This Row],[LENGTH]]*7.85)/1000000*scheduleapr[[#This Row],[DISPATCH]]/1000</f>
        <v/>
      </c>
      <c r="AL599" s="599">
        <f>AJ599-AK599</f>
        <v/>
      </c>
      <c r="AM599" s="599">
        <f>scheduleapr[[#This Row],[SCHEDULE in nos]]/scheduleapr[[#This Row],[SCHEDULE IN MT]]*scheduleapr[[#This Row],[CTL Stock]]</f>
        <v/>
      </c>
      <c r="AN599" s="599">
        <f>SUMIFS(stock[MT],stock[Bucket],scheduleapr[[#This Row],[Bucket]],stock[CTL Bucket],scheduleapr[[#This Row],[CTL Bucket]],stock[Plant],"0789")</f>
        <v/>
      </c>
      <c r="AO599" s="599" t="n"/>
      <c r="AP599" s="599">
        <f>SUMIFS(stock[MT],stock[Bucket],scheduleapr[[#This Row],[Bucket]],stock[LL or CTL],"LL")</f>
        <v/>
      </c>
      <c r="AQ599" s="599">
        <f>+SUMIFS(wip[Stock(Net Wt)],wip[Bucket],scheduleapr[[#This Row],[Bucket]])/1000</f>
        <v/>
      </c>
      <c r="AR599" s="599">
        <f>AJ599-AN599</f>
        <v/>
      </c>
      <c r="AS599" s="118" t="n"/>
    </row>
    <row r="600">
      <c r="A600" s="594" t="n">
        <v>504</v>
      </c>
      <c r="B600" s="78" t="inlineStr">
        <is>
          <t>Hosur</t>
        </is>
      </c>
      <c r="C600" s="596" t="inlineStr">
        <is>
          <t>SRI BALAJI GEARS V7</t>
        </is>
      </c>
      <c r="D600" s="601" t="inlineStr">
        <is>
          <t>Sri Balaji Gear</t>
        </is>
      </c>
      <c r="E600" s="596" t="n">
        <v>188595</v>
      </c>
      <c r="F600" s="87" t="n">
        <v>3929692</v>
      </c>
      <c r="G600" s="601">
        <f>_xlfn.CONCAT(scheduleapr[[#This Row],[CUSTOMER CODE]],"-",scheduleapr[[#This Row],[MATERIAL NO]])</f>
        <v/>
      </c>
      <c r="H600" s="601" t="inlineStr">
        <is>
          <t>CUT-O-N-AUT-AW-PE-19.05X1.200X1.2300</t>
        </is>
      </c>
      <c r="I600" s="596" t="inlineStr">
        <is>
          <t>CRFH</t>
        </is>
      </c>
      <c r="J600" s="596" t="n"/>
      <c r="K600" s="596" t="inlineStr">
        <is>
          <t>PE</t>
        </is>
      </c>
      <c r="L600" s="596" t="n"/>
      <c r="M600" s="596" t="n"/>
      <c r="N600" s="596" t="n"/>
      <c r="O600" s="596" t="n"/>
      <c r="P600" s="596" t="n"/>
      <c r="Q600" s="557">
        <f>CONCATENATE(scheduleapr[[#This Row],[OD]],"-",scheduleapr[[#This Row],[ID]],"-",scheduleapr[[#This Row],[TICKNESS]],"-",scheduleapr[[#This Row],[Grade]],"-",scheduleapr[[#This Row],[FC/NFC]])</f>
        <v/>
      </c>
      <c r="R600" s="557">
        <f>_xlfn.CONCAT(scheduleapr[[#This Row],[Bucket]],"-",scheduleapr[[#This Row],[LENGTH]]/1000)</f>
        <v/>
      </c>
      <c r="S600" s="557">
        <f>COUNTIF(scheduleapr[CTL Bucket],scheduleapr[[#This Row],[CTL Bucket]])</f>
        <v/>
      </c>
      <c r="T600" s="601" t="inlineStr">
        <is>
          <t>Hosur</t>
        </is>
      </c>
      <c r="U600" s="601">
        <f>_xlfn.IFNA(VLOOKUP(scheduleapr[[#This Row],[Bucket]],salesforecast[[#All],[Bucket2]:[8406 Stock]],19,0),0)</f>
        <v/>
      </c>
      <c r="V600" s="562">
        <f>_xlfn.IFNA(VLOOKUP(scheduleapr[[#This Row],[Bucket]],salesforecast[[#All],[Bucket2]:[8406 Stock]],20,0),0)+_xlfn.IFNA(VLOOKUP(scheduleapr[[#This Row],[Bucket]],salesforecast[[#All],[Bucket2]:[8406 Stock]],17,0),0)</f>
        <v/>
      </c>
      <c r="W600" s="557" t="n"/>
      <c r="X600" s="79" t="n">
        <v>19.05</v>
      </c>
      <c r="Y600" s="79" t="n">
        <v>19.05</v>
      </c>
      <c r="Z600" s="79" t="n">
        <v>0</v>
      </c>
      <c r="AA600" s="599" t="n">
        <v>1.2</v>
      </c>
      <c r="AB600" s="600" t="n">
        <v>1230</v>
      </c>
      <c r="AC600" s="600" t="inlineStr">
        <is>
          <t>NOS</t>
        </is>
      </c>
      <c r="AD600" s="600" t="n"/>
      <c r="AE600" s="600" t="n"/>
      <c r="AF600" s="602" t="n">
        <v>6000</v>
      </c>
      <c r="AG600" s="602" t="n"/>
      <c r="AH600" s="601">
        <f t="array" ref="AH6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0" s="602">
        <f>scheduleapr[[#This Row],[SCHEDULE in nos]]-scheduleapr[[#This Row],[DISPATCH]]</f>
        <v/>
      </c>
      <c r="AJ600" s="599">
        <f>(3.14*(scheduleapr[[#This Row],[ACTUAL OD]]-scheduleapr[[#This Row],[TICKNESS]])*scheduleapr[[#This Row],[TICKNESS]]*scheduleapr[[#This Row],[LENGTH]]*7.85)/1000000*scheduleapr[[#This Row],[SCHEDULE in nos]]/1000</f>
        <v/>
      </c>
      <c r="AK600" s="599">
        <f>(3.14*(scheduleapr[[#This Row],[ACTUAL OD]]-scheduleapr[[#This Row],[TICKNESS]])*scheduleapr[[#This Row],[TICKNESS]]*scheduleapr[[#This Row],[LENGTH]]*7.85)/1000000*scheduleapr[[#This Row],[DISPATCH]]/1000</f>
        <v/>
      </c>
      <c r="AL600" s="599">
        <f>AJ600-AK600</f>
        <v/>
      </c>
      <c r="AM600" s="599">
        <f>scheduleapr[[#This Row],[SCHEDULE in nos]]/scheduleapr[[#This Row],[SCHEDULE IN MT]]*scheduleapr[[#This Row],[CTL Stock]]</f>
        <v/>
      </c>
      <c r="AN600" s="599">
        <f>SUMIFS(stock[MT],stock[Bucket],scheduleapr[[#This Row],[Bucket]],stock[CTL Bucket],scheduleapr[[#This Row],[CTL Bucket]],stock[Plant],"0789")</f>
        <v/>
      </c>
      <c r="AO600" s="599" t="n"/>
      <c r="AP600" s="599">
        <f>SUMIFS(stock[MT],stock[Bucket],scheduleapr[[#This Row],[Bucket]],stock[LL or CTL],"LL")</f>
        <v/>
      </c>
      <c r="AQ600" s="599">
        <f>+SUMIFS(wip[Stock(Net Wt)],wip[Bucket],scheduleapr[[#This Row],[Bucket]])/1000</f>
        <v/>
      </c>
      <c r="AR600" s="599">
        <f>AJ600-AN600</f>
        <v/>
      </c>
      <c r="AS600" s="118" t="n"/>
    </row>
    <row r="601">
      <c r="A601" s="594" t="n">
        <v>505</v>
      </c>
      <c r="B601" s="5" t="inlineStr">
        <is>
          <t>Hosur</t>
        </is>
      </c>
      <c r="C601" s="596" t="inlineStr">
        <is>
          <t>SRI BALAJI GEARS V7</t>
        </is>
      </c>
      <c r="D601" s="601" t="inlineStr">
        <is>
          <t>Sri Balaji Gear</t>
        </is>
      </c>
      <c r="E601" s="601" t="n">
        <v>188595</v>
      </c>
      <c r="F601" s="9" t="n">
        <v>3931834</v>
      </c>
      <c r="G601" s="601">
        <f>_xlfn.CONCAT(scheduleapr[[#This Row],[CUSTOMER CODE]],"-",scheduleapr[[#This Row],[MATERIAL NO]])</f>
        <v/>
      </c>
      <c r="H601" s="601" t="inlineStr">
        <is>
          <t>HT1-R-AW-AUT-19.00X19.00X1.000X0.1000</t>
        </is>
      </c>
      <c r="I601" s="596" t="inlineStr">
        <is>
          <t>CRFH</t>
        </is>
      </c>
      <c r="J601" s="599" t="n"/>
      <c r="K601" s="596" t="inlineStr">
        <is>
          <t>PE</t>
        </is>
      </c>
      <c r="L601" s="601" t="inlineStr">
        <is>
          <t>CR</t>
        </is>
      </c>
      <c r="M601" s="599" t="n"/>
      <c r="N601" s="600" t="n"/>
      <c r="O601" s="601" t="n"/>
      <c r="P601" s="601" t="n"/>
      <c r="Q601" s="557">
        <f>CONCATENATE(scheduleapr[[#This Row],[OD]],"-",scheduleapr[[#This Row],[ID]],"-",scheduleapr[[#This Row],[TICKNESS]],"-",scheduleapr[[#This Row],[Grade]],"-",scheduleapr[[#This Row],[FC/NFC]])</f>
        <v/>
      </c>
      <c r="R601" s="557">
        <f>_xlfn.CONCAT(scheduleapr[[#This Row],[Bucket]],"-",scheduleapr[[#This Row],[LENGTH]]/1000)</f>
        <v/>
      </c>
      <c r="S601" s="557">
        <f>COUNTIF(scheduleapr[CTL Bucket],scheduleapr[[#This Row],[CTL Bucket]])</f>
        <v/>
      </c>
      <c r="T601" s="601" t="inlineStr">
        <is>
          <t>Hosur</t>
        </is>
      </c>
      <c r="U601" s="601">
        <f>_xlfn.IFNA(VLOOKUP(scheduleapr[[#This Row],[Bucket]],salesforecast[[#All],[Bucket2]:[8406 Stock]],19,0),0)</f>
        <v/>
      </c>
      <c r="V601" s="562">
        <f>_xlfn.IFNA(VLOOKUP(scheduleapr[[#This Row],[Bucket]],salesforecast[[#All],[Bucket2]:[8406 Stock]],20,0),0)+_xlfn.IFNA(VLOOKUP(scheduleapr[[#This Row],[Bucket]],salesforecast[[#All],[Bucket2]:[8406 Stock]],17,0),0)</f>
        <v/>
      </c>
      <c r="W601" s="557" t="n"/>
      <c r="X601" s="599" t="n">
        <v>23.42</v>
      </c>
      <c r="Y601" s="599" t="n">
        <v>19</v>
      </c>
      <c r="Z601" s="599" t="n">
        <v>19</v>
      </c>
      <c r="AA601" s="599" t="n">
        <v>1</v>
      </c>
      <c r="AB601" s="600" t="n">
        <v>100</v>
      </c>
      <c r="AC601" s="600" t="inlineStr">
        <is>
          <t>NOS</t>
        </is>
      </c>
      <c r="AD601" s="600" t="n"/>
      <c r="AE601" s="600" t="n"/>
      <c r="AF601" s="602" t="n">
        <v>24000</v>
      </c>
      <c r="AG601" s="602" t="n"/>
      <c r="AH601" s="601">
        <f t="array" ref="AH6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1" s="602">
        <f>scheduleapr[[#This Row],[SCHEDULE in nos]]-scheduleapr[[#This Row],[DISPATCH]]</f>
        <v/>
      </c>
      <c r="AJ601" s="599">
        <f>(3.14*(scheduleapr[[#This Row],[ACTUAL OD]]-scheduleapr[[#This Row],[TICKNESS]])*scheduleapr[[#This Row],[TICKNESS]]*scheduleapr[[#This Row],[LENGTH]]*7.85)/1000000*scheduleapr[[#This Row],[SCHEDULE in nos]]/1000</f>
        <v/>
      </c>
      <c r="AK601" s="599">
        <f>(3.14*(scheduleapr[[#This Row],[ACTUAL OD]]-scheduleapr[[#This Row],[TICKNESS]])*scheduleapr[[#This Row],[TICKNESS]]*scheduleapr[[#This Row],[LENGTH]]*7.85)/1000000*scheduleapr[[#This Row],[DISPATCH]]/1000</f>
        <v/>
      </c>
      <c r="AL601" s="599">
        <f>AJ601-AK601</f>
        <v/>
      </c>
      <c r="AM601" s="599">
        <f>scheduleapr[[#This Row],[SCHEDULE in nos]]/scheduleapr[[#This Row],[SCHEDULE IN MT]]*scheduleapr[[#This Row],[CTL Stock]]</f>
        <v/>
      </c>
      <c r="AN601" s="599">
        <f>SUMIFS(stock[MT],stock[Bucket],scheduleapr[[#This Row],[Bucket]],stock[CTL Bucket],scheduleapr[[#This Row],[CTL Bucket]],stock[Plant],"0789")</f>
        <v/>
      </c>
      <c r="AO601" s="599" t="n"/>
      <c r="AP601" s="599">
        <f>SUMIFS(stock[MT],stock[Bucket],scheduleapr[[#This Row],[Bucket]],stock[LL or CTL],"LL")</f>
        <v/>
      </c>
      <c r="AQ601" s="599">
        <f>+SUMIFS(wip[Stock(Net Wt)],wip[Bucket],scheduleapr[[#This Row],[Bucket]])/1000</f>
        <v/>
      </c>
      <c r="AR601" s="599">
        <f>AJ601-AN601</f>
        <v/>
      </c>
      <c r="AS601" s="118" t="n"/>
    </row>
    <row r="602">
      <c r="A602" s="594" t="n">
        <v>536</v>
      </c>
      <c r="B602" s="5" t="inlineStr">
        <is>
          <t>Hosur</t>
        </is>
      </c>
      <c r="C602" s="601" t="inlineStr">
        <is>
          <t>SRI BALAJI GEARS V4</t>
        </is>
      </c>
      <c r="D602" s="601" t="inlineStr">
        <is>
          <t>Sri Balaji Gear</t>
        </is>
      </c>
      <c r="E602" s="601" t="n">
        <v>188595</v>
      </c>
      <c r="F602" s="9" t="n">
        <v>3931834</v>
      </c>
      <c r="G602" s="601">
        <f>_xlfn.CONCAT(scheduleapr[[#This Row],[CUSTOMER CODE]],"-",scheduleapr[[#This Row],[MATERIAL NO]])</f>
        <v/>
      </c>
      <c r="H602" s="601" t="inlineStr">
        <is>
          <t>HT1-R-AW-AUT-19.00X19.00X1.000X0.1000</t>
        </is>
      </c>
      <c r="I602" s="596" t="inlineStr">
        <is>
          <t>CRFH</t>
        </is>
      </c>
      <c r="J602" s="599" t="n"/>
      <c r="K602" s="596" t="inlineStr">
        <is>
          <t>PE</t>
        </is>
      </c>
      <c r="L602" s="601" t="inlineStr">
        <is>
          <t>CR</t>
        </is>
      </c>
      <c r="M602" s="599" t="n"/>
      <c r="N602" s="600" t="n"/>
      <c r="O602" s="601" t="n"/>
      <c r="P602" s="601" t="n"/>
      <c r="Q602" s="557">
        <f>CONCATENATE(scheduleapr[[#This Row],[OD]],"-",scheduleapr[[#This Row],[ID]],"-",scheduleapr[[#This Row],[TICKNESS]],"-",scheduleapr[[#This Row],[Grade]],"-",scheduleapr[[#This Row],[FC/NFC]])</f>
        <v/>
      </c>
      <c r="R602" s="557">
        <f>_xlfn.CONCAT(scheduleapr[[#This Row],[Bucket]],"-",scheduleapr[[#This Row],[LENGTH]]/1000)</f>
        <v/>
      </c>
      <c r="S602" s="557">
        <f>COUNTIF(scheduleapr[CTL Bucket],scheduleapr[[#This Row],[CTL Bucket]])</f>
        <v/>
      </c>
      <c r="T602" s="601" t="inlineStr">
        <is>
          <t>Hosur</t>
        </is>
      </c>
      <c r="U602" s="601" t="n"/>
      <c r="V602" s="557" t="n"/>
      <c r="W602" s="557" t="n"/>
      <c r="X602" s="599" t="n">
        <v>23.42</v>
      </c>
      <c r="Y602" s="599" t="n">
        <v>19</v>
      </c>
      <c r="Z602" s="599" t="n">
        <v>19</v>
      </c>
      <c r="AA602" s="599" t="n">
        <v>1</v>
      </c>
      <c r="AB602" s="600" t="n">
        <v>100</v>
      </c>
      <c r="AC602" s="600" t="inlineStr">
        <is>
          <t>NOS</t>
        </is>
      </c>
      <c r="AD602" s="600" t="n"/>
      <c r="AE602" s="600" t="n"/>
      <c r="AF602" s="601" t="n"/>
      <c r="AG602" s="601" t="n"/>
      <c r="AH602" s="601">
        <f t="array" ref="AH6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2" s="602">
        <f>scheduleapr[[#This Row],[SCHEDULE in nos]]-scheduleapr[[#This Row],[DISPATCH]]</f>
        <v/>
      </c>
      <c r="AJ602" s="599">
        <f>(3.14*(scheduleapr[[#This Row],[ACTUAL OD]]-scheduleapr[[#This Row],[TICKNESS]])*scheduleapr[[#This Row],[TICKNESS]]*scheduleapr[[#This Row],[LENGTH]]*7.85)/1000000*scheduleapr[[#This Row],[SCHEDULE in nos]]/1000</f>
        <v/>
      </c>
      <c r="AK602" s="599">
        <f>(3.14*(scheduleapr[[#This Row],[ACTUAL OD]]-scheduleapr[[#This Row],[TICKNESS]])*scheduleapr[[#This Row],[TICKNESS]]*scheduleapr[[#This Row],[LENGTH]]*7.85)/1000000*scheduleapr[[#This Row],[DISPATCH]]/1000</f>
        <v/>
      </c>
      <c r="AL602" s="599">
        <f>AJ602-AK602</f>
        <v/>
      </c>
      <c r="AM602" s="599">
        <f>scheduleapr[[#This Row],[SCHEDULE in nos]]/scheduleapr[[#This Row],[SCHEDULE IN MT]]*scheduleapr[[#This Row],[CTL Stock]]</f>
        <v/>
      </c>
      <c r="AN602" s="599">
        <f>SUMIFS(stock[MT],stock[Bucket],scheduleapr[[#This Row],[Bucket]],stock[CTL Bucket],scheduleapr[[#This Row],[CTL Bucket]],stock[Plant],"0789")</f>
        <v/>
      </c>
      <c r="AO602" s="599" t="n"/>
      <c r="AP602" s="599">
        <f>SUMIFS(stock[MT],stock[Bucket],scheduleapr[[#This Row],[Bucket]],stock[LL or CTL],"LL")</f>
        <v/>
      </c>
      <c r="AQ602" s="599">
        <f>+SUMIFS(wip[Stock(Net Wt)],wip[Bucket],scheduleapr[[#This Row],[Bucket]])/1000</f>
        <v/>
      </c>
      <c r="AR602" s="599">
        <f>AJ602-AN602</f>
        <v/>
      </c>
      <c r="AS602" s="118" t="n"/>
    </row>
    <row r="603">
      <c r="A603" s="594" t="n">
        <v>506</v>
      </c>
      <c r="B603" s="5" t="inlineStr">
        <is>
          <t>Hosur</t>
        </is>
      </c>
      <c r="C603" s="596" t="inlineStr">
        <is>
          <t>SRI BALAJI GEARS V7</t>
        </is>
      </c>
      <c r="D603" s="601" t="inlineStr">
        <is>
          <t>Sri Balaji Gear</t>
        </is>
      </c>
      <c r="E603" s="601" t="n">
        <v>188595</v>
      </c>
      <c r="F603" s="9" t="n">
        <v>3931835</v>
      </c>
      <c r="G603" s="601">
        <f>_xlfn.CONCAT(scheduleapr[[#This Row],[CUSTOMER CODE]],"-",scheduleapr[[#This Row],[MATERIAL NO]])</f>
        <v/>
      </c>
      <c r="H603" s="601" t="inlineStr">
        <is>
          <t>CUT-R-AW-AUT-19.00X19.00X1.000X0.1100</t>
        </is>
      </c>
      <c r="I603" s="596" t="inlineStr">
        <is>
          <t>CRFH</t>
        </is>
      </c>
      <c r="J603" s="599" t="n"/>
      <c r="K603" s="596" t="inlineStr">
        <is>
          <t>PE</t>
        </is>
      </c>
      <c r="L603" s="601" t="inlineStr">
        <is>
          <t>CR</t>
        </is>
      </c>
      <c r="M603" s="599" t="n"/>
      <c r="N603" s="600" t="n"/>
      <c r="O603" s="601" t="n"/>
      <c r="P603" s="601" t="n"/>
      <c r="Q603" s="557">
        <f>CONCATENATE(scheduleapr[[#This Row],[OD]],"-",scheduleapr[[#This Row],[ID]],"-",scheduleapr[[#This Row],[TICKNESS]],"-",scheduleapr[[#This Row],[Grade]],"-",scheduleapr[[#This Row],[FC/NFC]])</f>
        <v/>
      </c>
      <c r="R603" s="557">
        <f>_xlfn.CONCAT(scheduleapr[[#This Row],[Bucket]],"-",scheduleapr[[#This Row],[LENGTH]]/1000)</f>
        <v/>
      </c>
      <c r="S603" s="557">
        <f>COUNTIF(scheduleapr[CTL Bucket],scheduleapr[[#This Row],[CTL Bucket]])</f>
        <v/>
      </c>
      <c r="T603" s="601" t="inlineStr">
        <is>
          <t>Hosur</t>
        </is>
      </c>
      <c r="U603" s="601">
        <f>_xlfn.IFNA(VLOOKUP(scheduleapr[[#This Row],[Bucket]],salesforecast[[#All],[Bucket2]:[8406 Stock]],19,0),0)</f>
        <v/>
      </c>
      <c r="V603" s="562">
        <f>_xlfn.IFNA(VLOOKUP(scheduleapr[[#This Row],[Bucket]],salesforecast[[#All],[Bucket2]:[8406 Stock]],20,0),0)+_xlfn.IFNA(VLOOKUP(scheduleapr[[#This Row],[Bucket]],salesforecast[[#All],[Bucket2]:[8406 Stock]],17,0),0)</f>
        <v/>
      </c>
      <c r="W603" s="557" t="n"/>
      <c r="X603" s="599" t="n">
        <v>23.42</v>
      </c>
      <c r="Y603" s="599" t="n">
        <v>19</v>
      </c>
      <c r="Z603" s="599" t="n">
        <v>19</v>
      </c>
      <c r="AA603" s="599" t="n">
        <v>1</v>
      </c>
      <c r="AB603" s="600" t="n">
        <v>110</v>
      </c>
      <c r="AC603" s="600" t="inlineStr">
        <is>
          <t>NOS</t>
        </is>
      </c>
      <c r="AD603" s="600" t="n"/>
      <c r="AE603" s="600" t="n"/>
      <c r="AF603" s="602" t="n">
        <v>12000</v>
      </c>
      <c r="AG603" s="602" t="n"/>
      <c r="AH603" s="601">
        <f t="array" ref="AH6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3" s="602">
        <f>scheduleapr[[#This Row],[SCHEDULE in nos]]-scheduleapr[[#This Row],[DISPATCH]]</f>
        <v/>
      </c>
      <c r="AJ603" s="599">
        <f>(3.14*(scheduleapr[[#This Row],[ACTUAL OD]]-scheduleapr[[#This Row],[TICKNESS]])*scheduleapr[[#This Row],[TICKNESS]]*scheduleapr[[#This Row],[LENGTH]]*7.85)/1000000*scheduleapr[[#This Row],[SCHEDULE in nos]]/1000</f>
        <v/>
      </c>
      <c r="AK603" s="599">
        <f>(3.14*(scheduleapr[[#This Row],[ACTUAL OD]]-scheduleapr[[#This Row],[TICKNESS]])*scheduleapr[[#This Row],[TICKNESS]]*scheduleapr[[#This Row],[LENGTH]]*7.85)/1000000*scheduleapr[[#This Row],[DISPATCH]]/1000</f>
        <v/>
      </c>
      <c r="AL603" s="599">
        <f>AJ603-AK603</f>
        <v/>
      </c>
      <c r="AM603" s="599">
        <f>scheduleapr[[#This Row],[SCHEDULE in nos]]/scheduleapr[[#This Row],[SCHEDULE IN MT]]*scheduleapr[[#This Row],[CTL Stock]]</f>
        <v/>
      </c>
      <c r="AN603" s="599">
        <f>SUMIFS(stock[MT],stock[Bucket],scheduleapr[[#This Row],[Bucket]],stock[CTL Bucket],scheduleapr[[#This Row],[CTL Bucket]],stock[Plant],"0789")</f>
        <v/>
      </c>
      <c r="AO603" s="599" t="n"/>
      <c r="AP603" s="599">
        <f>SUMIFS(stock[MT],stock[Bucket],scheduleapr[[#This Row],[Bucket]],stock[LL or CTL],"LL")</f>
        <v/>
      </c>
      <c r="AQ603" s="599">
        <f>+SUMIFS(wip[Stock(Net Wt)],wip[Bucket],scheduleapr[[#This Row],[Bucket]])/1000</f>
        <v/>
      </c>
      <c r="AR603" s="599">
        <f>AJ603-AN603</f>
        <v/>
      </c>
      <c r="AS603" s="118" t="n"/>
    </row>
    <row r="604">
      <c r="A604" s="594" t="n">
        <v>537</v>
      </c>
      <c r="B604" s="5" t="inlineStr">
        <is>
          <t>Hosur</t>
        </is>
      </c>
      <c r="C604" s="601" t="inlineStr">
        <is>
          <t>SRI BALAJI GEARS V4</t>
        </is>
      </c>
      <c r="D604" s="601" t="inlineStr">
        <is>
          <t>Sri Balaji Gear</t>
        </is>
      </c>
      <c r="E604" s="601" t="n">
        <v>188595</v>
      </c>
      <c r="F604" s="575" t="n">
        <v>3931835</v>
      </c>
      <c r="G604" s="601">
        <f>_xlfn.CONCAT(scheduleapr[[#This Row],[CUSTOMER CODE]],"-",scheduleapr[[#This Row],[MATERIAL NO]])</f>
        <v/>
      </c>
      <c r="H604" s="601" t="inlineStr">
        <is>
          <t>CUT-R-AW-AUT-19.00X19.00X1.000X0.1100</t>
        </is>
      </c>
      <c r="I604" s="596" t="inlineStr">
        <is>
          <t>CRFH</t>
        </is>
      </c>
      <c r="J604" s="599" t="n"/>
      <c r="K604" s="596" t="inlineStr">
        <is>
          <t>PE</t>
        </is>
      </c>
      <c r="L604" s="601" t="inlineStr">
        <is>
          <t>CR</t>
        </is>
      </c>
      <c r="M604" s="599" t="n"/>
      <c r="N604" s="600" t="n"/>
      <c r="O604" s="601" t="n"/>
      <c r="P604" s="601" t="n"/>
      <c r="Q604" s="557">
        <f>CONCATENATE(scheduleapr[[#This Row],[OD]],"-",scheduleapr[[#This Row],[ID]],"-",scheduleapr[[#This Row],[TICKNESS]],"-",scheduleapr[[#This Row],[Grade]],"-",scheduleapr[[#This Row],[FC/NFC]])</f>
        <v/>
      </c>
      <c r="R604" s="557">
        <f>_xlfn.CONCAT(scheduleapr[[#This Row],[Bucket]],"-",scheduleapr[[#This Row],[LENGTH]]/1000)</f>
        <v/>
      </c>
      <c r="S604" s="557">
        <f>COUNTIF(scheduleapr[CTL Bucket],scheduleapr[[#This Row],[CTL Bucket]])</f>
        <v/>
      </c>
      <c r="T604" s="601" t="inlineStr">
        <is>
          <t>Hosur</t>
        </is>
      </c>
      <c r="U604" s="601">
        <f>_xlfn.IFNA(VLOOKUP(scheduleapr[[#This Row],[Bucket]],salesforecast[[#All],[Bucket2]:[8406 Stock]],19,0),0)</f>
        <v/>
      </c>
      <c r="V604" s="562">
        <f>_xlfn.IFNA(VLOOKUP(scheduleapr[[#This Row],[Bucket]],salesforecast[[#All],[Bucket2]:[8406 Stock]],20,0),0)+_xlfn.IFNA(VLOOKUP(scheduleapr[[#This Row],[Bucket]],salesforecast[[#All],[Bucket2]:[8406 Stock]],17,0),0)</f>
        <v/>
      </c>
      <c r="W604" s="557" t="n"/>
      <c r="X604" s="599" t="n">
        <v>23.42</v>
      </c>
      <c r="Y604" s="599" t="n">
        <v>19</v>
      </c>
      <c r="Z604" s="599" t="n">
        <v>19</v>
      </c>
      <c r="AA604" s="599" t="n">
        <v>1</v>
      </c>
      <c r="AB604" s="600" t="n">
        <v>110</v>
      </c>
      <c r="AC604" s="600" t="inlineStr">
        <is>
          <t>NOS</t>
        </is>
      </c>
      <c r="AD604" s="600" t="n"/>
      <c r="AE604" s="600" t="n"/>
      <c r="AF604" s="601" t="n">
        <v>1000</v>
      </c>
      <c r="AG604" s="601" t="n"/>
      <c r="AH604" s="601">
        <f t="array" ref="AH6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4" s="602">
        <f>scheduleapr[[#This Row],[SCHEDULE in nos]]-scheduleapr[[#This Row],[DISPATCH]]</f>
        <v/>
      </c>
      <c r="AJ604" s="599">
        <f>(3.14*(scheduleapr[[#This Row],[ACTUAL OD]]-scheduleapr[[#This Row],[TICKNESS]])*scheduleapr[[#This Row],[TICKNESS]]*scheduleapr[[#This Row],[LENGTH]]*7.85)/1000000*scheduleapr[[#This Row],[SCHEDULE in nos]]/1000</f>
        <v/>
      </c>
      <c r="AK604" s="599">
        <f>(3.14*(scheduleapr[[#This Row],[ACTUAL OD]]-scheduleapr[[#This Row],[TICKNESS]])*scheduleapr[[#This Row],[TICKNESS]]*scheduleapr[[#This Row],[LENGTH]]*7.85)/1000000*scheduleapr[[#This Row],[DISPATCH]]/1000</f>
        <v/>
      </c>
      <c r="AL604" s="599">
        <f>AJ604-AK604</f>
        <v/>
      </c>
      <c r="AM604" s="599">
        <f>scheduleapr[[#This Row],[SCHEDULE in nos]]/scheduleapr[[#This Row],[SCHEDULE IN MT]]*scheduleapr[[#This Row],[CTL Stock]]</f>
        <v/>
      </c>
      <c r="AN604" s="599">
        <f>SUMIFS(stock[MT],stock[Bucket],scheduleapr[[#This Row],[Bucket]],stock[CTL Bucket],scheduleapr[[#This Row],[CTL Bucket]],stock[Plant],"0789")</f>
        <v/>
      </c>
      <c r="AO604" s="599" t="n"/>
      <c r="AP604" s="599">
        <f>SUMIFS(stock[MT],stock[Bucket],scheduleapr[[#This Row],[Bucket]],stock[LL or CTL],"LL")</f>
        <v/>
      </c>
      <c r="AQ604" s="599">
        <f>+SUMIFS(wip[Stock(Net Wt)],wip[Bucket],scheduleapr[[#This Row],[Bucket]])/1000</f>
        <v/>
      </c>
      <c r="AR604" s="599">
        <f>AJ604-AN604</f>
        <v/>
      </c>
      <c r="AS604" s="118" t="n"/>
    </row>
    <row r="605">
      <c r="A605" s="594" t="n">
        <v>648</v>
      </c>
      <c r="B605" s="5" t="inlineStr">
        <is>
          <t>Hosur</t>
        </is>
      </c>
      <c r="C605" s="601" t="inlineStr">
        <is>
          <t>Balaji Gears V3</t>
        </is>
      </c>
      <c r="D605" s="601" t="inlineStr">
        <is>
          <t>Sri Balaji Gear</t>
        </is>
      </c>
      <c r="E605" s="601" t="n">
        <v>188595</v>
      </c>
      <c r="F605" s="523" t="n">
        <v>3931835</v>
      </c>
      <c r="G605" s="601">
        <f>_xlfn.CONCAT(scheduleapr[[#This Row],[CUSTOMER CODE]],"-",scheduleapr[[#This Row],[MATERIAL NO]])</f>
        <v/>
      </c>
      <c r="H605" s="523" t="inlineStr">
        <is>
          <t>CUT-R-AW-AUT-19.00X19.00X1.000X0.1100</t>
        </is>
      </c>
      <c r="I605" s="601" t="inlineStr">
        <is>
          <t>CRFH</t>
        </is>
      </c>
      <c r="J605" s="601" t="n"/>
      <c r="K605" s="596" t="inlineStr">
        <is>
          <t>PE</t>
        </is>
      </c>
      <c r="L605" s="601" t="n"/>
      <c r="M605" s="596" t="n"/>
      <c r="N605" s="601" t="n"/>
      <c r="O605" s="601" t="n"/>
      <c r="P605" s="601" t="n"/>
      <c r="Q605" s="557">
        <f>CONCATENATE(scheduleapr[[#This Row],[OD]],"-",scheduleapr[[#This Row],[ID]],"-",scheduleapr[[#This Row],[TICKNESS]],"-",scheduleapr[[#This Row],[Grade]],"-",scheduleapr[[#This Row],[FC/NFC]])</f>
        <v/>
      </c>
      <c r="R605" s="557">
        <f>_xlfn.CONCAT(scheduleapr[[#This Row],[Bucket]],"-",scheduleapr[[#This Row],[LENGTH]]/1000)</f>
        <v/>
      </c>
      <c r="S605" s="601" t="n"/>
      <c r="T605" s="601" t="n"/>
      <c r="U605" s="601">
        <f>_xlfn.IFNA(VLOOKUP(scheduleapr[[#This Row],[Bucket]],salesforecast[[#All],[Bucket2]:[8406 Stock]],19,0),0)</f>
        <v/>
      </c>
      <c r="V605" s="562">
        <f>_xlfn.IFNA(VLOOKUP(scheduleapr[[#This Row],[Bucket]],salesforecast[[#All],[Bucket2]:[8406 Stock]],20,0),0)+_xlfn.IFNA(VLOOKUP(scheduleapr[[#This Row],[Bucket]],salesforecast[[#All],[Bucket2]:[8406 Stock]],17,0),0)</f>
        <v/>
      </c>
      <c r="W605" s="601" t="n"/>
      <c r="X605" s="599" t="n">
        <v>23.42</v>
      </c>
      <c r="Y605" s="599" t="n">
        <v>19</v>
      </c>
      <c r="Z605" s="599" t="n">
        <v>19</v>
      </c>
      <c r="AA605" s="599" t="n">
        <v>1</v>
      </c>
      <c r="AB605" s="600" t="n">
        <v>110</v>
      </c>
      <c r="AC605" s="600" t="inlineStr">
        <is>
          <t>NOS</t>
        </is>
      </c>
      <c r="AD605" s="600" t="n"/>
      <c r="AE605" s="600" t="n"/>
      <c r="AF605" s="601" t="n">
        <v>1000</v>
      </c>
      <c r="AG605" s="601" t="n"/>
      <c r="AH605" s="601">
        <f t="array" ref="AH6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5" s="602">
        <f>scheduleapr[[#This Row],[SCHEDULE in nos]]-scheduleapr[[#This Row],[DISPATCH]]</f>
        <v/>
      </c>
      <c r="AJ605" s="599">
        <f>(3.14*(scheduleapr[[#This Row],[ACTUAL OD]]-scheduleapr[[#This Row],[TICKNESS]])*scheduleapr[[#This Row],[TICKNESS]]*scheduleapr[[#This Row],[LENGTH]]*7.85)/1000000*scheduleapr[[#This Row],[SCHEDULE in nos]]/1000</f>
        <v/>
      </c>
      <c r="AK605" s="599">
        <f>(3.14*(scheduleapr[[#This Row],[ACTUAL OD]]-scheduleapr[[#This Row],[TICKNESS]])*scheduleapr[[#This Row],[TICKNESS]]*scheduleapr[[#This Row],[LENGTH]]*7.85)/1000000*scheduleapr[[#This Row],[DISPATCH]]/1000</f>
        <v/>
      </c>
      <c r="AL605" s="599">
        <f>AJ605-AK605</f>
        <v/>
      </c>
      <c r="AM605" s="599">
        <f>scheduleapr[[#This Row],[SCHEDULE in nos]]/scheduleapr[[#This Row],[SCHEDULE IN MT]]*scheduleapr[[#This Row],[CTL Stock]]</f>
        <v/>
      </c>
      <c r="AN605" s="599">
        <f>SUMIFS(stock[MT],stock[Bucket],scheduleapr[[#This Row],[Bucket]],stock[CTL Bucket],scheduleapr[[#This Row],[CTL Bucket]],stock[Plant],"0789")</f>
        <v/>
      </c>
      <c r="AO605" s="599" t="n"/>
      <c r="AP605" s="599">
        <f>SUMIFS(stock[MT],stock[Bucket],scheduleapr[[#This Row],[Bucket]],stock[LL or CTL],"LL")</f>
        <v/>
      </c>
      <c r="AQ605" s="599">
        <f>+SUMIFS(wip[Stock(Net Wt)],wip[Bucket],scheduleapr[[#This Row],[Bucket]])/1000</f>
        <v/>
      </c>
      <c r="AR605" s="599">
        <f>AJ605-AN605</f>
        <v/>
      </c>
      <c r="AS605" s="118" t="n"/>
    </row>
    <row r="606">
      <c r="A606" s="594" t="n">
        <v>512</v>
      </c>
      <c r="B606" s="5" t="inlineStr">
        <is>
          <t>Hosur</t>
        </is>
      </c>
      <c r="C606" s="596" t="inlineStr">
        <is>
          <t>SRI BALAJI GEARS V7</t>
        </is>
      </c>
      <c r="D606" s="601" t="inlineStr">
        <is>
          <t>Sri Balaji Gear</t>
        </is>
      </c>
      <c r="E606" s="601" t="n">
        <v>188595</v>
      </c>
      <c r="F606" s="523" t="n">
        <v>4151428</v>
      </c>
      <c r="G606" s="601">
        <f>_xlfn.CONCAT(scheduleapr[[#This Row],[CUSTOMER CODE]],"-",scheduleapr[[#This Row],[MATERIAL NO]])</f>
        <v/>
      </c>
      <c r="H606" s="601" t="inlineStr">
        <is>
          <t>CUT-R-AW-AUT-19.00X19.00X1.000X0.115</t>
        </is>
      </c>
      <c r="I606" s="596" t="inlineStr">
        <is>
          <t>CRFH</t>
        </is>
      </c>
      <c r="J606" s="599" t="n"/>
      <c r="K606" s="596" t="inlineStr">
        <is>
          <t>PE</t>
        </is>
      </c>
      <c r="L606" s="601" t="inlineStr">
        <is>
          <t>CR</t>
        </is>
      </c>
      <c r="M606" s="599" t="n"/>
      <c r="N606" s="600" t="n"/>
      <c r="O606" s="601" t="n"/>
      <c r="P606" s="601" t="n"/>
      <c r="Q606" s="557">
        <f>CONCATENATE(scheduleapr[[#This Row],[OD]],"-",scheduleapr[[#This Row],[ID]],"-",scheduleapr[[#This Row],[TICKNESS]],"-",scheduleapr[[#This Row],[Grade]],"-",scheduleapr[[#This Row],[FC/NFC]])</f>
        <v/>
      </c>
      <c r="R606" s="557">
        <f>_xlfn.CONCAT(scheduleapr[[#This Row],[Bucket]],"-",scheduleapr[[#This Row],[LENGTH]]/1000)</f>
        <v/>
      </c>
      <c r="S606" s="557">
        <f>COUNTIF(scheduleapr[CTL Bucket],scheduleapr[[#This Row],[CTL Bucket]])</f>
        <v/>
      </c>
      <c r="T606" s="601" t="inlineStr">
        <is>
          <t>Hosur</t>
        </is>
      </c>
      <c r="U606" s="601">
        <f>_xlfn.IFNA(VLOOKUP(scheduleapr[[#This Row],[Bucket]],salesforecast[[#All],[Bucket2]:[8406 Stock]],19,0),0)</f>
        <v/>
      </c>
      <c r="V606" s="562">
        <f>_xlfn.IFNA(VLOOKUP(scheduleapr[[#This Row],[Bucket]],salesforecast[[#All],[Bucket2]:[8406 Stock]],20,0),0)+_xlfn.IFNA(VLOOKUP(scheduleapr[[#This Row],[Bucket]],salesforecast[[#All],[Bucket2]:[8406 Stock]],17,0),0)</f>
        <v/>
      </c>
      <c r="W606" s="557" t="n"/>
      <c r="X606" s="599" t="n">
        <v>23.42</v>
      </c>
      <c r="Y606" s="599" t="n">
        <v>19</v>
      </c>
      <c r="Z606" s="599" t="n">
        <v>19</v>
      </c>
      <c r="AA606" s="599" t="n">
        <v>1</v>
      </c>
      <c r="AB606" s="600" t="n">
        <v>115</v>
      </c>
      <c r="AC606" s="600" t="inlineStr">
        <is>
          <t>NOS</t>
        </is>
      </c>
      <c r="AD606" s="600" t="n"/>
      <c r="AE606" s="600" t="n"/>
      <c r="AF606" s="602" t="n">
        <v>12000</v>
      </c>
      <c r="AG606" s="602" t="n"/>
      <c r="AH606" s="601">
        <f t="array" ref="AH6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6" s="602">
        <f>scheduleapr[[#This Row],[SCHEDULE in nos]]-scheduleapr[[#This Row],[DISPATCH]]</f>
        <v/>
      </c>
      <c r="AJ606" s="599">
        <f>(3.14*(scheduleapr[[#This Row],[ACTUAL OD]]-scheduleapr[[#This Row],[TICKNESS]])*scheduleapr[[#This Row],[TICKNESS]]*scheduleapr[[#This Row],[LENGTH]]*7.85)/1000000*scheduleapr[[#This Row],[SCHEDULE in nos]]/1000</f>
        <v/>
      </c>
      <c r="AK606" s="599">
        <f>(3.14*(scheduleapr[[#This Row],[ACTUAL OD]]-scheduleapr[[#This Row],[TICKNESS]])*scheduleapr[[#This Row],[TICKNESS]]*scheduleapr[[#This Row],[LENGTH]]*7.85)/1000000*scheduleapr[[#This Row],[DISPATCH]]/1000</f>
        <v/>
      </c>
      <c r="AL606" s="599">
        <f>AJ606-AK606</f>
        <v/>
      </c>
      <c r="AM606" s="599">
        <f>scheduleapr[[#This Row],[SCHEDULE in nos]]/scheduleapr[[#This Row],[SCHEDULE IN MT]]*scheduleapr[[#This Row],[CTL Stock]]</f>
        <v/>
      </c>
      <c r="AN606" s="599">
        <f>SUMIFS(stock[MT],stock[Bucket],scheduleapr[[#This Row],[Bucket]],stock[CTL Bucket],scheduleapr[[#This Row],[CTL Bucket]],stock[Plant],"0789")</f>
        <v/>
      </c>
      <c r="AO606" s="599" t="n"/>
      <c r="AP606" s="599">
        <f>SUMIFS(stock[MT],stock[Bucket],scheduleapr[[#This Row],[Bucket]],stock[LL or CTL],"LL")</f>
        <v/>
      </c>
      <c r="AQ606" s="599">
        <f>+SUMIFS(wip[Stock(Net Wt)],wip[Bucket],scheduleapr[[#This Row],[Bucket]])/1000</f>
        <v/>
      </c>
      <c r="AR606" s="599">
        <f>AJ606-AN606</f>
        <v/>
      </c>
      <c r="AS606" s="118" t="n"/>
    </row>
    <row r="607">
      <c r="A607" s="594" t="n">
        <v>647</v>
      </c>
      <c r="B607" s="5" t="inlineStr">
        <is>
          <t>Hosur</t>
        </is>
      </c>
      <c r="C607" s="601" t="inlineStr">
        <is>
          <t>Balaji Gears V3</t>
        </is>
      </c>
      <c r="D607" s="601" t="inlineStr">
        <is>
          <t>Sri Balaji Gear</t>
        </is>
      </c>
      <c r="E607" s="601" t="n">
        <v>188595</v>
      </c>
      <c r="F607" s="523" t="n">
        <v>3938687</v>
      </c>
      <c r="G607" s="601">
        <f>_xlfn.CONCAT(scheduleapr[[#This Row],[CUSTOMER CODE]],"-",scheduleapr[[#This Row],[MATERIAL NO]])</f>
        <v/>
      </c>
      <c r="H607" s="523" t="inlineStr">
        <is>
          <t>TUB-S-AW-AUT-19.00X19.00X1.000X0.1290</t>
        </is>
      </c>
      <c r="I607" s="601" t="inlineStr">
        <is>
          <t>CRFH</t>
        </is>
      </c>
      <c r="J607" s="601" t="n"/>
      <c r="K607" s="596" t="inlineStr">
        <is>
          <t>PE</t>
        </is>
      </c>
      <c r="L607" s="601" t="n"/>
      <c r="M607" s="596" t="n"/>
      <c r="N607" s="601" t="n"/>
      <c r="O607" s="601" t="n"/>
      <c r="P607" s="601" t="n"/>
      <c r="Q607" s="557">
        <f>CONCATENATE(scheduleapr[[#This Row],[OD]],"-",scheduleapr[[#This Row],[ID]],"-",scheduleapr[[#This Row],[TICKNESS]],"-",scheduleapr[[#This Row],[Grade]],"-",scheduleapr[[#This Row],[FC/NFC]])</f>
        <v/>
      </c>
      <c r="R607" s="557">
        <f>_xlfn.CONCAT(scheduleapr[[#This Row],[Bucket]],"-",scheduleapr[[#This Row],[LENGTH]]/1000)</f>
        <v/>
      </c>
      <c r="S607" s="601" t="n"/>
      <c r="T607" s="601" t="n"/>
      <c r="U607" s="601">
        <f>_xlfn.IFNA(VLOOKUP(scheduleapr[[#This Row],[Bucket]],salesforecast[[#All],[Bucket2]:[8406 Stock]],19,0),0)</f>
        <v/>
      </c>
      <c r="V607" s="562">
        <f>_xlfn.IFNA(VLOOKUP(scheduleapr[[#This Row],[Bucket]],salesforecast[[#All],[Bucket2]:[8406 Stock]],20,0),0)+_xlfn.IFNA(VLOOKUP(scheduleapr[[#This Row],[Bucket]],salesforecast[[#All],[Bucket2]:[8406 Stock]],17,0),0)</f>
        <v/>
      </c>
      <c r="W607" s="601" t="n"/>
      <c r="X607" s="599" t="n">
        <v>23.42</v>
      </c>
      <c r="Y607" s="599" t="n">
        <v>19</v>
      </c>
      <c r="Z607" s="599" t="n">
        <v>19</v>
      </c>
      <c r="AA607" s="599" t="n">
        <v>1</v>
      </c>
      <c r="AB607" s="600" t="n">
        <v>129</v>
      </c>
      <c r="AC607" s="600" t="inlineStr">
        <is>
          <t>NOS</t>
        </is>
      </c>
      <c r="AD607" s="600" t="n"/>
      <c r="AE607" s="600" t="n"/>
      <c r="AF607" s="601" t="n">
        <v>1000</v>
      </c>
      <c r="AG607" s="601" t="n"/>
      <c r="AH607" s="601">
        <f t="array" ref="AH6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7" s="602">
        <f>scheduleapr[[#This Row],[SCHEDULE in nos]]-scheduleapr[[#This Row],[DISPATCH]]</f>
        <v/>
      </c>
      <c r="AJ607" s="599">
        <f>(3.14*(scheduleapr[[#This Row],[ACTUAL OD]]-scheduleapr[[#This Row],[TICKNESS]])*scheduleapr[[#This Row],[TICKNESS]]*scheduleapr[[#This Row],[LENGTH]]*7.85)/1000000*scheduleapr[[#This Row],[SCHEDULE in nos]]/1000</f>
        <v/>
      </c>
      <c r="AK607" s="599">
        <f>(3.14*(scheduleapr[[#This Row],[ACTUAL OD]]-scheduleapr[[#This Row],[TICKNESS]])*scheduleapr[[#This Row],[TICKNESS]]*scheduleapr[[#This Row],[LENGTH]]*7.85)/1000000*scheduleapr[[#This Row],[DISPATCH]]/1000</f>
        <v/>
      </c>
      <c r="AL607" s="599">
        <f>AJ607-AK607</f>
        <v/>
      </c>
      <c r="AM607" s="599">
        <f>scheduleapr[[#This Row],[SCHEDULE in nos]]/scheduleapr[[#This Row],[SCHEDULE IN MT]]*scheduleapr[[#This Row],[CTL Stock]]</f>
        <v/>
      </c>
      <c r="AN607" s="599">
        <f>SUMIFS(stock[MT],stock[Bucket],scheduleapr[[#This Row],[Bucket]],stock[CTL Bucket],scheduleapr[[#This Row],[CTL Bucket]],stock[Plant],"0789")</f>
        <v/>
      </c>
      <c r="AO607" s="599" t="n"/>
      <c r="AP607" s="599">
        <f>SUMIFS(stock[MT],stock[Bucket],scheduleapr[[#This Row],[Bucket]],stock[LL or CTL],"LL")</f>
        <v/>
      </c>
      <c r="AQ607" s="599">
        <f>+SUMIFS(wip[Stock(Net Wt)],wip[Bucket],scheduleapr[[#This Row],[Bucket]])/1000</f>
        <v/>
      </c>
      <c r="AR607" s="599">
        <f>AJ607-AN607</f>
        <v/>
      </c>
      <c r="AS607" s="118" t="n"/>
    </row>
    <row r="608">
      <c r="A608" s="594" t="n">
        <v>538</v>
      </c>
      <c r="B608" s="5" t="inlineStr">
        <is>
          <t>Hosur</t>
        </is>
      </c>
      <c r="C608" s="596" t="inlineStr">
        <is>
          <t>SRI BALAJI GEARS V4</t>
        </is>
      </c>
      <c r="D608" s="601" t="inlineStr">
        <is>
          <t>Sri Balaji Gear</t>
        </is>
      </c>
      <c r="E608" s="596" t="n">
        <v>188595</v>
      </c>
      <c r="F608" s="87" t="n">
        <v>3938687</v>
      </c>
      <c r="G608" s="601">
        <f>_xlfn.CONCAT(scheduleapr[[#This Row],[CUSTOMER CODE]],"-",scheduleapr[[#This Row],[MATERIAL NO]])</f>
        <v/>
      </c>
      <c r="H608" s="601" t="inlineStr">
        <is>
          <t>TUB-S-AW-AUT-19.00X19.00X1.000X0.1290</t>
        </is>
      </c>
      <c r="I608" s="596" t="inlineStr">
        <is>
          <t>CRFH</t>
        </is>
      </c>
      <c r="J608" s="599" t="n"/>
      <c r="K608" s="596" t="inlineStr">
        <is>
          <t>PE</t>
        </is>
      </c>
      <c r="L608" s="601" t="inlineStr">
        <is>
          <t>CR</t>
        </is>
      </c>
      <c r="M608" s="599" t="n"/>
      <c r="N608" s="600" t="n"/>
      <c r="O608" s="601" t="n"/>
      <c r="P608" s="601" t="n"/>
      <c r="Q608" s="557">
        <f>CONCATENATE(scheduleapr[[#This Row],[OD]],"-",scheduleapr[[#This Row],[ID]],"-",scheduleapr[[#This Row],[TICKNESS]],"-",scheduleapr[[#This Row],[Grade]],"-",scheduleapr[[#This Row],[FC/NFC]])</f>
        <v/>
      </c>
      <c r="R608" s="557">
        <f>_xlfn.CONCAT(scheduleapr[[#This Row],[Bucket]],"-",scheduleapr[[#This Row],[LENGTH]]/1000)</f>
        <v/>
      </c>
      <c r="S608" s="557">
        <f>COUNTIF(scheduleapr[CTL Bucket],scheduleapr[[#This Row],[CTL Bucket]])</f>
        <v/>
      </c>
      <c r="T608" s="601" t="inlineStr">
        <is>
          <t>Hosur</t>
        </is>
      </c>
      <c r="U608" s="601">
        <f>_xlfn.IFNA(VLOOKUP(scheduleapr[[#This Row],[Bucket]],salesforecast[[#All],[Bucket2]:[8406 Stock]],19,0),0)</f>
        <v/>
      </c>
      <c r="V608" s="562">
        <f>_xlfn.IFNA(VLOOKUP(scheduleapr[[#This Row],[Bucket]],salesforecast[[#All],[Bucket2]:[8406 Stock]],20,0),0)+_xlfn.IFNA(VLOOKUP(scheduleapr[[#This Row],[Bucket]],salesforecast[[#All],[Bucket2]:[8406 Stock]],17,0),0)</f>
        <v/>
      </c>
      <c r="W608" s="557" t="n"/>
      <c r="X608" s="599" t="n">
        <v>23.42</v>
      </c>
      <c r="Y608" s="599" t="n">
        <v>19</v>
      </c>
      <c r="Z608" s="599" t="n">
        <v>19</v>
      </c>
      <c r="AA608" s="599" t="n">
        <v>1</v>
      </c>
      <c r="AB608" s="600" t="n">
        <v>129</v>
      </c>
      <c r="AC608" s="600" t="inlineStr">
        <is>
          <t>NOS</t>
        </is>
      </c>
      <c r="AD608" s="600" t="n"/>
      <c r="AE608" s="600" t="n"/>
      <c r="AF608" s="601" t="n">
        <v>1000</v>
      </c>
      <c r="AG608" s="601" t="n"/>
      <c r="AH608" s="601">
        <f t="array" ref="AH6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8" s="602">
        <f>scheduleapr[[#This Row],[SCHEDULE in nos]]-scheduleapr[[#This Row],[DISPATCH]]</f>
        <v/>
      </c>
      <c r="AJ608" s="599">
        <f>(3.14*(scheduleapr[[#This Row],[ACTUAL OD]]-scheduleapr[[#This Row],[TICKNESS]])*scheduleapr[[#This Row],[TICKNESS]]*scheduleapr[[#This Row],[LENGTH]]*7.85)/1000000*scheduleapr[[#This Row],[SCHEDULE in nos]]/1000</f>
        <v/>
      </c>
      <c r="AK608" s="599">
        <f>(3.14*(scheduleapr[[#This Row],[ACTUAL OD]]-scheduleapr[[#This Row],[TICKNESS]])*scheduleapr[[#This Row],[TICKNESS]]*scheduleapr[[#This Row],[LENGTH]]*7.85)/1000000*scheduleapr[[#This Row],[DISPATCH]]/1000</f>
        <v/>
      </c>
      <c r="AL608" s="599">
        <f>AJ608-AK608</f>
        <v/>
      </c>
      <c r="AM608" s="599">
        <f>scheduleapr[[#This Row],[SCHEDULE in nos]]/scheduleapr[[#This Row],[SCHEDULE IN MT]]*scheduleapr[[#This Row],[CTL Stock]]</f>
        <v/>
      </c>
      <c r="AN608" s="599">
        <f>SUMIFS(stock[MT],stock[Bucket],scheduleapr[[#This Row],[Bucket]],stock[CTL Bucket],scheduleapr[[#This Row],[CTL Bucket]],stock[Plant],"0789")</f>
        <v/>
      </c>
      <c r="AO608" s="599" t="n"/>
      <c r="AP608" s="599">
        <f>SUMIFS(stock[MT],stock[Bucket],scheduleapr[[#This Row],[Bucket]],stock[LL or CTL],"LL")</f>
        <v/>
      </c>
      <c r="AQ608" s="599">
        <f>+SUMIFS(wip[Stock(Net Wt)],wip[Bucket],scheduleapr[[#This Row],[Bucket]])/1000</f>
        <v/>
      </c>
      <c r="AR608" s="599">
        <f>AJ608-AN608</f>
        <v/>
      </c>
      <c r="AS608" s="118" t="n"/>
    </row>
    <row r="609">
      <c r="A609" s="594" t="n">
        <v>507</v>
      </c>
      <c r="B609" s="78" t="inlineStr">
        <is>
          <t>Hosur</t>
        </is>
      </c>
      <c r="C609" s="596" t="inlineStr">
        <is>
          <t>SRI BALAJI GEARS V7</t>
        </is>
      </c>
      <c r="D609" s="601" t="inlineStr">
        <is>
          <t>Sri Balaji Gear</t>
        </is>
      </c>
      <c r="E609" s="596" t="n">
        <v>188595</v>
      </c>
      <c r="F609" s="87" t="n">
        <v>3938687</v>
      </c>
      <c r="G609" s="601">
        <f>_xlfn.CONCAT(scheduleapr[[#This Row],[CUSTOMER CODE]],"-",scheduleapr[[#This Row],[MATERIAL NO]])</f>
        <v/>
      </c>
      <c r="H609" s="601" t="inlineStr">
        <is>
          <t>TUB-S-AW-AUT-19.00X19.00X1.000X0.1290</t>
        </is>
      </c>
      <c r="I609" s="596" t="inlineStr">
        <is>
          <t>CRFH</t>
        </is>
      </c>
      <c r="J609" s="599" t="n"/>
      <c r="K609" s="596" t="inlineStr">
        <is>
          <t>PE</t>
        </is>
      </c>
      <c r="L609" s="601" t="inlineStr">
        <is>
          <t>CR</t>
        </is>
      </c>
      <c r="M609" s="599" t="n"/>
      <c r="N609" s="600" t="n"/>
      <c r="O609" s="601" t="n"/>
      <c r="P609" s="601" t="n"/>
      <c r="Q609" s="557">
        <f>CONCATENATE(scheduleapr[[#This Row],[OD]],"-",scheduleapr[[#This Row],[ID]],"-",scheduleapr[[#This Row],[TICKNESS]],"-",scheduleapr[[#This Row],[Grade]],"-",scheduleapr[[#This Row],[FC/NFC]])</f>
        <v/>
      </c>
      <c r="R609" s="557">
        <f>_xlfn.CONCAT(scheduleapr[[#This Row],[Bucket]],"-",scheduleapr[[#This Row],[LENGTH]]/1000)</f>
        <v/>
      </c>
      <c r="S609" s="557">
        <f>COUNTIF(scheduleapr[CTL Bucket],scheduleapr[[#This Row],[CTL Bucket]])</f>
        <v/>
      </c>
      <c r="T609" s="601" t="inlineStr">
        <is>
          <t>Hosur</t>
        </is>
      </c>
      <c r="U609" s="601">
        <f>_xlfn.IFNA(VLOOKUP(scheduleapr[[#This Row],[Bucket]],salesforecast[[#All],[Bucket2]:[8406 Stock]],19,0),0)</f>
        <v/>
      </c>
      <c r="V609" s="562">
        <f>_xlfn.IFNA(VLOOKUP(scheduleapr[[#This Row],[Bucket]],salesforecast[[#All],[Bucket2]:[8406 Stock]],20,0),0)+_xlfn.IFNA(VLOOKUP(scheduleapr[[#This Row],[Bucket]],salesforecast[[#All],[Bucket2]:[8406 Stock]],17,0),0)</f>
        <v/>
      </c>
      <c r="W609" s="557" t="n"/>
      <c r="X609" s="79" t="n">
        <v>23.42</v>
      </c>
      <c r="Y609" s="79" t="n">
        <v>19</v>
      </c>
      <c r="Z609" s="79" t="n">
        <v>19</v>
      </c>
      <c r="AA609" s="599" t="n">
        <v>1</v>
      </c>
      <c r="AB609" s="600" t="n">
        <v>129</v>
      </c>
      <c r="AC609" s="600" t="inlineStr">
        <is>
          <t>NOS</t>
        </is>
      </c>
      <c r="AD609" s="600" t="n"/>
      <c r="AE609" s="600" t="n"/>
      <c r="AF609" s="602" t="n">
        <v>12000</v>
      </c>
      <c r="AG609" s="602" t="n"/>
      <c r="AH609" s="601">
        <f t="array" ref="AH6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09" s="602">
        <f>scheduleapr[[#This Row],[SCHEDULE in nos]]-scheduleapr[[#This Row],[DISPATCH]]</f>
        <v/>
      </c>
      <c r="AJ609" s="599">
        <f>(3.14*(scheduleapr[[#This Row],[ACTUAL OD]]-scheduleapr[[#This Row],[TICKNESS]])*scheduleapr[[#This Row],[TICKNESS]]*scheduleapr[[#This Row],[LENGTH]]*7.85)/1000000*scheduleapr[[#This Row],[SCHEDULE in nos]]/1000</f>
        <v/>
      </c>
      <c r="AK609" s="599">
        <f>(3.14*(scheduleapr[[#This Row],[ACTUAL OD]]-scheduleapr[[#This Row],[TICKNESS]])*scheduleapr[[#This Row],[TICKNESS]]*scheduleapr[[#This Row],[LENGTH]]*7.85)/1000000*scheduleapr[[#This Row],[DISPATCH]]/1000</f>
        <v/>
      </c>
      <c r="AL609" s="599">
        <f>AJ609-AK609</f>
        <v/>
      </c>
      <c r="AM609" s="599">
        <f>scheduleapr[[#This Row],[SCHEDULE in nos]]/scheduleapr[[#This Row],[SCHEDULE IN MT]]*scheduleapr[[#This Row],[CTL Stock]]</f>
        <v/>
      </c>
      <c r="AN609" s="599">
        <f>SUMIFS(stock[MT],stock[Bucket],scheduleapr[[#This Row],[Bucket]],stock[CTL Bucket],scheduleapr[[#This Row],[CTL Bucket]],stock[Plant],"0789")</f>
        <v/>
      </c>
      <c r="AO609" s="599" t="n"/>
      <c r="AP609" s="599">
        <f>SUMIFS(stock[MT],stock[Bucket],scheduleapr[[#This Row],[Bucket]],stock[LL or CTL],"LL")</f>
        <v/>
      </c>
      <c r="AQ609" s="599">
        <f>+SUMIFS(wip[Stock(Net Wt)],wip[Bucket],scheduleapr[[#This Row],[Bucket]])/1000</f>
        <v/>
      </c>
      <c r="AR609" s="599">
        <f>AJ609-AN609</f>
        <v/>
      </c>
      <c r="AS609" s="118" t="n"/>
    </row>
    <row r="610">
      <c r="A610" s="594" t="n">
        <v>646</v>
      </c>
      <c r="B610" s="5" t="inlineStr">
        <is>
          <t>Hosur</t>
        </is>
      </c>
      <c r="C610" s="601" t="inlineStr">
        <is>
          <t>Balaji Gears V3</t>
        </is>
      </c>
      <c r="D610" s="601" t="inlineStr">
        <is>
          <t>Sri Balaji Gear</t>
        </is>
      </c>
      <c r="E610" s="601" t="n">
        <v>188595</v>
      </c>
      <c r="F610" s="523" t="n">
        <v>3230486</v>
      </c>
      <c r="G610" s="601">
        <f>_xlfn.CONCAT(scheduleapr[[#This Row],[CUSTOMER CODE]],"-",scheduleapr[[#This Row],[MATERIAL NO]])</f>
        <v/>
      </c>
      <c r="H610" s="523" t="inlineStr">
        <is>
          <t>TUB-S-AW-AUT-19.00X19.00X1.000X0.1500</t>
        </is>
      </c>
      <c r="I610" s="601" t="inlineStr">
        <is>
          <t>CRFH</t>
        </is>
      </c>
      <c r="J610" s="601" t="n"/>
      <c r="K610" s="596" t="inlineStr">
        <is>
          <t>PE</t>
        </is>
      </c>
      <c r="L610" s="601" t="n"/>
      <c r="M610" s="596" t="n"/>
      <c r="N610" s="601" t="n"/>
      <c r="O610" s="601" t="n"/>
      <c r="P610" s="601" t="n"/>
      <c r="Q610" s="557">
        <f>CONCATENATE(scheduleapr[[#This Row],[OD]],"-",scheduleapr[[#This Row],[ID]],"-",scheduleapr[[#This Row],[TICKNESS]],"-",scheduleapr[[#This Row],[Grade]],"-",scheduleapr[[#This Row],[FC/NFC]])</f>
        <v/>
      </c>
      <c r="R610" s="557">
        <f>_xlfn.CONCAT(scheduleapr[[#This Row],[Bucket]],"-",scheduleapr[[#This Row],[LENGTH]]/1000)</f>
        <v/>
      </c>
      <c r="S610" s="601" t="n"/>
      <c r="T610" s="601" t="n"/>
      <c r="U610" s="601">
        <f>_xlfn.IFNA(VLOOKUP(scheduleapr[[#This Row],[Bucket]],salesforecast[[#All],[Bucket2]:[8406 Stock]],19,0),0)</f>
        <v/>
      </c>
      <c r="V610" s="562">
        <f>_xlfn.IFNA(VLOOKUP(scheduleapr[[#This Row],[Bucket]],salesforecast[[#All],[Bucket2]:[8406 Stock]],20,0),0)+_xlfn.IFNA(VLOOKUP(scheduleapr[[#This Row],[Bucket]],salesforecast[[#All],[Bucket2]:[8406 Stock]],17,0),0)</f>
        <v/>
      </c>
      <c r="W610" s="601" t="n"/>
      <c r="X610" s="599" t="n">
        <v>23.42</v>
      </c>
      <c r="Y610" s="599" t="n">
        <v>19</v>
      </c>
      <c r="Z610" s="599" t="n">
        <v>19</v>
      </c>
      <c r="AA610" s="599" t="n">
        <v>1</v>
      </c>
      <c r="AB610" s="600" t="n">
        <v>150</v>
      </c>
      <c r="AC610" s="600" t="inlineStr">
        <is>
          <t>NOS</t>
        </is>
      </c>
      <c r="AD610" s="600" t="n"/>
      <c r="AE610" s="600" t="n"/>
      <c r="AF610" s="601" t="n">
        <v>2000</v>
      </c>
      <c r="AG610" s="601" t="n"/>
      <c r="AH610" s="601">
        <f t="array" ref="AH6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0" s="602">
        <f>scheduleapr[[#This Row],[SCHEDULE in nos]]-scheduleapr[[#This Row],[DISPATCH]]</f>
        <v/>
      </c>
      <c r="AJ610" s="599">
        <f>(3.14*(scheduleapr[[#This Row],[ACTUAL OD]]-scheduleapr[[#This Row],[TICKNESS]])*scheduleapr[[#This Row],[TICKNESS]]*scheduleapr[[#This Row],[LENGTH]]*7.85)/1000000*scheduleapr[[#This Row],[SCHEDULE in nos]]/1000</f>
        <v/>
      </c>
      <c r="AK610" s="599">
        <f>(3.14*(scheduleapr[[#This Row],[ACTUAL OD]]-scheduleapr[[#This Row],[TICKNESS]])*scheduleapr[[#This Row],[TICKNESS]]*scheduleapr[[#This Row],[LENGTH]]*7.85)/1000000*scheduleapr[[#This Row],[DISPATCH]]/1000</f>
        <v/>
      </c>
      <c r="AL610" s="599">
        <f>AJ610-AK610</f>
        <v/>
      </c>
      <c r="AM610" s="599">
        <f>scheduleapr[[#This Row],[SCHEDULE in nos]]/scheduleapr[[#This Row],[SCHEDULE IN MT]]*scheduleapr[[#This Row],[CTL Stock]]</f>
        <v/>
      </c>
      <c r="AN610" s="599">
        <f>SUMIFS(stock[MT],stock[Bucket],scheduleapr[[#This Row],[Bucket]],stock[CTL Bucket],scheduleapr[[#This Row],[CTL Bucket]],stock[Plant],"0789")</f>
        <v/>
      </c>
      <c r="AO610" s="599" t="n"/>
      <c r="AP610" s="599">
        <f>SUMIFS(stock[MT],stock[Bucket],scheduleapr[[#This Row],[Bucket]],stock[LL or CTL],"LL")</f>
        <v/>
      </c>
      <c r="AQ610" s="599">
        <f>+SUMIFS(wip[Stock(Net Wt)],wip[Bucket],scheduleapr[[#This Row],[Bucket]])/1000</f>
        <v/>
      </c>
      <c r="AR610" s="599">
        <f>AJ610-AN610</f>
        <v/>
      </c>
      <c r="AS610" s="118" t="n"/>
    </row>
    <row r="611">
      <c r="A611" s="594" t="n">
        <v>539</v>
      </c>
      <c r="B611" s="5" t="inlineStr">
        <is>
          <t>Hosur</t>
        </is>
      </c>
      <c r="C611" s="601" t="inlineStr">
        <is>
          <t>SRI BALAJI GEARS V4</t>
        </is>
      </c>
      <c r="D611" s="601" t="inlineStr">
        <is>
          <t>Sri Balaji Gear</t>
        </is>
      </c>
      <c r="E611" s="601" t="n">
        <v>188595</v>
      </c>
      <c r="F611" s="9" t="n">
        <v>3230486</v>
      </c>
      <c r="G611" s="601">
        <f>_xlfn.CONCAT(scheduleapr[[#This Row],[CUSTOMER CODE]],"-",scheduleapr[[#This Row],[MATERIAL NO]])</f>
        <v/>
      </c>
      <c r="H611" s="601" t="inlineStr">
        <is>
          <t>TUB-S-AW-AUT-19.00X19.00X1.000X0.1500</t>
        </is>
      </c>
      <c r="I611" s="596" t="inlineStr">
        <is>
          <t>CRFH</t>
        </is>
      </c>
      <c r="J611" s="599" t="n"/>
      <c r="K611" s="596" t="inlineStr">
        <is>
          <t>PE</t>
        </is>
      </c>
      <c r="L611" s="601" t="inlineStr">
        <is>
          <t>CR</t>
        </is>
      </c>
      <c r="M611" s="599" t="n"/>
      <c r="N611" s="600" t="n"/>
      <c r="O611" s="601" t="n"/>
      <c r="P611" s="601" t="n"/>
      <c r="Q611" s="557">
        <f>CONCATENATE(scheduleapr[[#This Row],[OD]],"-",scheduleapr[[#This Row],[ID]],"-",scheduleapr[[#This Row],[TICKNESS]],"-",scheduleapr[[#This Row],[Grade]],"-",scheduleapr[[#This Row],[FC/NFC]])</f>
        <v/>
      </c>
      <c r="R611" s="557">
        <f>_xlfn.CONCAT(scheduleapr[[#This Row],[Bucket]],"-",scheduleapr[[#This Row],[LENGTH]]/1000)</f>
        <v/>
      </c>
      <c r="S611" s="557">
        <f>COUNTIF(scheduleapr[CTL Bucket],scheduleapr[[#This Row],[CTL Bucket]])</f>
        <v/>
      </c>
      <c r="T611" s="601" t="inlineStr">
        <is>
          <t>Hosur</t>
        </is>
      </c>
      <c r="U611" s="601">
        <f>_xlfn.IFNA(VLOOKUP(scheduleapr[[#This Row],[Bucket]],salesforecast[[#All],[Bucket2]:[8406 Stock]],19,0),0)</f>
        <v/>
      </c>
      <c r="V611" s="562">
        <f>_xlfn.IFNA(VLOOKUP(scheduleapr[[#This Row],[Bucket]],salesforecast[[#All],[Bucket2]:[8406 Stock]],20,0),0)+_xlfn.IFNA(VLOOKUP(scheduleapr[[#This Row],[Bucket]],salesforecast[[#All],[Bucket2]:[8406 Stock]],17,0),0)</f>
        <v/>
      </c>
      <c r="W611" s="557" t="n"/>
      <c r="X611" s="599" t="n">
        <v>23.42</v>
      </c>
      <c r="Y611" s="599" t="n">
        <v>19</v>
      </c>
      <c r="Z611" s="599" t="n">
        <v>19</v>
      </c>
      <c r="AA611" s="599" t="n">
        <v>1</v>
      </c>
      <c r="AB611" s="600" t="n">
        <v>150</v>
      </c>
      <c r="AC611" s="600" t="inlineStr">
        <is>
          <t>NOS</t>
        </is>
      </c>
      <c r="AD611" s="600" t="n"/>
      <c r="AE611" s="600" t="n"/>
      <c r="AF611" s="601" t="n">
        <v>500</v>
      </c>
      <c r="AG611" s="601" t="n"/>
      <c r="AH611" s="601">
        <f t="array" ref="AH6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1" s="602">
        <f>scheduleapr[[#This Row],[SCHEDULE in nos]]-scheduleapr[[#This Row],[DISPATCH]]</f>
        <v/>
      </c>
      <c r="AJ611" s="599">
        <f>(3.14*(scheduleapr[[#This Row],[ACTUAL OD]]-scheduleapr[[#This Row],[TICKNESS]])*scheduleapr[[#This Row],[TICKNESS]]*scheduleapr[[#This Row],[LENGTH]]*7.85)/1000000*scheduleapr[[#This Row],[SCHEDULE in nos]]/1000</f>
        <v/>
      </c>
      <c r="AK611" s="599">
        <f>(3.14*(scheduleapr[[#This Row],[ACTUAL OD]]-scheduleapr[[#This Row],[TICKNESS]])*scheduleapr[[#This Row],[TICKNESS]]*scheduleapr[[#This Row],[LENGTH]]*7.85)/1000000*scheduleapr[[#This Row],[DISPATCH]]/1000</f>
        <v/>
      </c>
      <c r="AL611" s="599">
        <f>AJ611-AK611</f>
        <v/>
      </c>
      <c r="AM611" s="599">
        <f>scheduleapr[[#This Row],[SCHEDULE in nos]]/scheduleapr[[#This Row],[SCHEDULE IN MT]]*scheduleapr[[#This Row],[CTL Stock]]</f>
        <v/>
      </c>
      <c r="AN611" s="599">
        <f>SUMIFS(stock[MT],stock[Bucket],scheduleapr[[#This Row],[Bucket]],stock[CTL Bucket],scheduleapr[[#This Row],[CTL Bucket]],stock[Plant],"0789")</f>
        <v/>
      </c>
      <c r="AO611" s="599" t="n"/>
      <c r="AP611" s="599">
        <f>SUMIFS(stock[MT],stock[Bucket],scheduleapr[[#This Row],[Bucket]],stock[LL or CTL],"LL")</f>
        <v/>
      </c>
      <c r="AQ611" s="599">
        <f>+SUMIFS(wip[Stock(Net Wt)],wip[Bucket],scheduleapr[[#This Row],[Bucket]])/1000</f>
        <v/>
      </c>
      <c r="AR611" s="599">
        <f>AJ611-AN611</f>
        <v/>
      </c>
      <c r="AS611" s="118" t="n"/>
    </row>
    <row r="612">
      <c r="A612" s="594" t="n">
        <v>540</v>
      </c>
      <c r="B612" s="5" t="inlineStr">
        <is>
          <t>Hosur</t>
        </is>
      </c>
      <c r="C612" s="601" t="inlineStr">
        <is>
          <t>SRI BALAJI GEARS V4</t>
        </is>
      </c>
      <c r="D612" s="601" t="inlineStr">
        <is>
          <t>Sri Balaji Gear</t>
        </is>
      </c>
      <c r="E612" s="601" t="n">
        <v>188595</v>
      </c>
      <c r="F612" s="9" t="n">
        <v>3571864</v>
      </c>
      <c r="G612" s="601">
        <f>_xlfn.CONCAT(scheduleapr[[#This Row],[CUSTOMER CODE]],"-",scheduleapr[[#This Row],[MATERIAL NO]])</f>
        <v/>
      </c>
      <c r="H612" s="601" t="inlineStr">
        <is>
          <t>TUB-S-AW-AUT-19.00X19.00X1.000X0.2900</t>
        </is>
      </c>
      <c r="I612" s="596" t="inlineStr">
        <is>
          <t>CRFH</t>
        </is>
      </c>
      <c r="J612" s="599" t="n"/>
      <c r="K612" s="596" t="inlineStr">
        <is>
          <t>PE</t>
        </is>
      </c>
      <c r="L612" s="601" t="inlineStr">
        <is>
          <t>CR</t>
        </is>
      </c>
      <c r="M612" s="599" t="n"/>
      <c r="N612" s="600" t="n"/>
      <c r="O612" s="601" t="n"/>
      <c r="P612" s="601" t="n"/>
      <c r="Q612" s="557">
        <f>CONCATENATE(scheduleapr[[#This Row],[OD]],"-",scheduleapr[[#This Row],[ID]],"-",scheduleapr[[#This Row],[TICKNESS]],"-",scheduleapr[[#This Row],[Grade]],"-",scheduleapr[[#This Row],[FC/NFC]])</f>
        <v/>
      </c>
      <c r="R612" s="557">
        <f>_xlfn.CONCAT(scheduleapr[[#This Row],[Bucket]],"-",scheduleapr[[#This Row],[LENGTH]]/1000)</f>
        <v/>
      </c>
      <c r="S612" s="557">
        <f>COUNTIF(scheduleapr[CTL Bucket],scheduleapr[[#This Row],[CTL Bucket]])</f>
        <v/>
      </c>
      <c r="T612" s="601" t="inlineStr">
        <is>
          <t>Hosur</t>
        </is>
      </c>
      <c r="U612" s="601">
        <f>_xlfn.IFNA(VLOOKUP(scheduleapr[[#This Row],[Bucket]],salesforecast[[#All],[Bucket2]:[8406 Stock]],19,0),0)</f>
        <v/>
      </c>
      <c r="V612" s="562">
        <f>_xlfn.IFNA(VLOOKUP(scheduleapr[[#This Row],[Bucket]],salesforecast[[#All],[Bucket2]:[8406 Stock]],20,0),0)+_xlfn.IFNA(VLOOKUP(scheduleapr[[#This Row],[Bucket]],salesforecast[[#All],[Bucket2]:[8406 Stock]],17,0),0)</f>
        <v/>
      </c>
      <c r="W612" s="557" t="n"/>
      <c r="X612" s="599" t="n">
        <v>23.42</v>
      </c>
      <c r="Y612" s="599" t="n">
        <v>19</v>
      </c>
      <c r="Z612" s="599" t="n">
        <v>19</v>
      </c>
      <c r="AA612" s="599" t="n">
        <v>1</v>
      </c>
      <c r="AB612" s="600" t="n">
        <v>290</v>
      </c>
      <c r="AC612" s="600" t="inlineStr">
        <is>
          <t>NOS</t>
        </is>
      </c>
      <c r="AD612" s="600" t="n"/>
      <c r="AE612" s="600" t="n"/>
      <c r="AF612" s="601" t="n">
        <v>1000</v>
      </c>
      <c r="AG612" s="601" t="n"/>
      <c r="AH612" s="601">
        <f t="array" ref="AH6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2" s="602">
        <f>scheduleapr[[#This Row],[SCHEDULE in nos]]-scheduleapr[[#This Row],[DISPATCH]]</f>
        <v/>
      </c>
      <c r="AJ612" s="599">
        <f>(3.14*(scheduleapr[[#This Row],[ACTUAL OD]]-scheduleapr[[#This Row],[TICKNESS]])*scheduleapr[[#This Row],[TICKNESS]]*scheduleapr[[#This Row],[LENGTH]]*7.85)/1000000*scheduleapr[[#This Row],[SCHEDULE in nos]]/1000</f>
        <v/>
      </c>
      <c r="AK612" s="599">
        <f>(3.14*(scheduleapr[[#This Row],[ACTUAL OD]]-scheduleapr[[#This Row],[TICKNESS]])*scheduleapr[[#This Row],[TICKNESS]]*scheduleapr[[#This Row],[LENGTH]]*7.85)/1000000*scheduleapr[[#This Row],[DISPATCH]]/1000</f>
        <v/>
      </c>
      <c r="AL612" s="599">
        <f>AJ612-AK612</f>
        <v/>
      </c>
      <c r="AM612" s="599">
        <f>scheduleapr[[#This Row],[SCHEDULE in nos]]/scheduleapr[[#This Row],[SCHEDULE IN MT]]*scheduleapr[[#This Row],[CTL Stock]]</f>
        <v/>
      </c>
      <c r="AN612" s="599">
        <f>SUMIFS(stock[MT],stock[Bucket],scheduleapr[[#This Row],[Bucket]],stock[CTL Bucket],scheduleapr[[#This Row],[CTL Bucket]],stock[Plant],"0789")</f>
        <v/>
      </c>
      <c r="AO612" s="599" t="n"/>
      <c r="AP612" s="599">
        <f>SUMIFS(stock[MT],stock[Bucket],scheduleapr[[#This Row],[Bucket]],stock[LL or CTL],"LL")</f>
        <v/>
      </c>
      <c r="AQ612" s="599">
        <f>+SUMIFS(wip[Stock(Net Wt)],wip[Bucket],scheduleapr[[#This Row],[Bucket]])/1000</f>
        <v/>
      </c>
      <c r="AR612" s="599">
        <f>AJ612-AN612</f>
        <v/>
      </c>
      <c r="AS612" s="118" t="n"/>
    </row>
    <row r="613">
      <c r="A613" s="594" t="n">
        <v>509</v>
      </c>
      <c r="B613" s="5" t="inlineStr">
        <is>
          <t>Hosur</t>
        </is>
      </c>
      <c r="C613" s="596" t="inlineStr">
        <is>
          <t>SRI BALAJI GEARS V7</t>
        </is>
      </c>
      <c r="D613" s="601" t="inlineStr">
        <is>
          <t>Sri Balaji Gear</t>
        </is>
      </c>
      <c r="E613" s="601" t="n">
        <v>188595</v>
      </c>
      <c r="F613" s="9" t="n">
        <v>3230490</v>
      </c>
      <c r="G613" s="601">
        <f>_xlfn.CONCAT(scheduleapr[[#This Row],[CUSTOMER CODE]],"-",scheduleapr[[#This Row],[MATERIAL NO]])</f>
        <v/>
      </c>
      <c r="H613" s="601" t="inlineStr">
        <is>
          <t>TUB-S-AW-AUT-19.00X19.00X1.000X0.3550</t>
        </is>
      </c>
      <c r="I613" s="596" t="inlineStr">
        <is>
          <t>CRFH</t>
        </is>
      </c>
      <c r="J613" s="599" t="n"/>
      <c r="K613" s="596" t="inlineStr">
        <is>
          <t>PE</t>
        </is>
      </c>
      <c r="L613" s="601" t="inlineStr">
        <is>
          <t>CR</t>
        </is>
      </c>
      <c r="M613" s="599" t="n"/>
      <c r="N613" s="600" t="n"/>
      <c r="O613" s="601" t="n"/>
      <c r="P613" s="601" t="n"/>
      <c r="Q613" s="557">
        <f>CONCATENATE(scheduleapr[[#This Row],[OD]],"-",scheduleapr[[#This Row],[ID]],"-",scheduleapr[[#This Row],[TICKNESS]],"-",scheduleapr[[#This Row],[Grade]],"-",scheduleapr[[#This Row],[FC/NFC]])</f>
        <v/>
      </c>
      <c r="R613" s="557">
        <f>_xlfn.CONCAT(scheduleapr[[#This Row],[Bucket]],"-",scheduleapr[[#This Row],[LENGTH]]/1000)</f>
        <v/>
      </c>
      <c r="S613" s="557">
        <f>COUNTIF(scheduleapr[CTL Bucket],scheduleapr[[#This Row],[CTL Bucket]])</f>
        <v/>
      </c>
      <c r="T613" s="601" t="inlineStr">
        <is>
          <t>Hosur</t>
        </is>
      </c>
      <c r="U613" s="601">
        <f>_xlfn.IFNA(VLOOKUP(scheduleapr[[#This Row],[Bucket]],salesforecast[[#All],[Bucket2]:[8406 Stock]],19,0),0)</f>
        <v/>
      </c>
      <c r="V613" s="562">
        <f>_xlfn.IFNA(VLOOKUP(scheduleapr[[#This Row],[Bucket]],salesforecast[[#All],[Bucket2]:[8406 Stock]],20,0),0)+_xlfn.IFNA(VLOOKUP(scheduleapr[[#This Row],[Bucket]],salesforecast[[#All],[Bucket2]:[8406 Stock]],17,0),0)</f>
        <v/>
      </c>
      <c r="W613" s="557" t="n"/>
      <c r="X613" s="599" t="n">
        <v>23.42</v>
      </c>
      <c r="Y613" s="599" t="n">
        <v>19</v>
      </c>
      <c r="Z613" s="599" t="n">
        <v>19</v>
      </c>
      <c r="AA613" s="599" t="n">
        <v>1</v>
      </c>
      <c r="AB613" s="600" t="n">
        <v>355</v>
      </c>
      <c r="AC613" s="600" t="inlineStr">
        <is>
          <t>NOS</t>
        </is>
      </c>
      <c r="AD613" s="600" t="n"/>
      <c r="AE613" s="600" t="n"/>
      <c r="AF613" s="602" t="n">
        <v>12000</v>
      </c>
      <c r="AG613" s="602" t="n"/>
      <c r="AH613" s="601">
        <f t="array" ref="AH6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3" s="602">
        <f>scheduleapr[[#This Row],[SCHEDULE in nos]]-scheduleapr[[#This Row],[DISPATCH]]</f>
        <v/>
      </c>
      <c r="AJ613" s="599">
        <f>(3.14*(scheduleapr[[#This Row],[ACTUAL OD]]-scheduleapr[[#This Row],[TICKNESS]])*scheduleapr[[#This Row],[TICKNESS]]*scheduleapr[[#This Row],[LENGTH]]*7.85)/1000000*scheduleapr[[#This Row],[SCHEDULE in nos]]/1000</f>
        <v/>
      </c>
      <c r="AK613" s="599">
        <f>(3.14*(scheduleapr[[#This Row],[ACTUAL OD]]-scheduleapr[[#This Row],[TICKNESS]])*scheduleapr[[#This Row],[TICKNESS]]*scheduleapr[[#This Row],[LENGTH]]*7.85)/1000000*scheduleapr[[#This Row],[DISPATCH]]/1000</f>
        <v/>
      </c>
      <c r="AL613" s="599">
        <f>AJ613-AK613</f>
        <v/>
      </c>
      <c r="AM613" s="599">
        <f>scheduleapr[[#This Row],[SCHEDULE in nos]]/scheduleapr[[#This Row],[SCHEDULE IN MT]]*scheduleapr[[#This Row],[CTL Stock]]</f>
        <v/>
      </c>
      <c r="AN613" s="599">
        <f>SUMIFS(stock[MT],stock[Bucket],scheduleapr[[#This Row],[Bucket]],stock[CTL Bucket],scheduleapr[[#This Row],[CTL Bucket]],stock[Plant],"0789")</f>
        <v/>
      </c>
      <c r="AO613" s="599" t="n"/>
      <c r="AP613" s="599">
        <f>SUMIFS(stock[MT],stock[Bucket],scheduleapr[[#This Row],[Bucket]],stock[LL or CTL],"LL")</f>
        <v/>
      </c>
      <c r="AQ613" s="599">
        <f>+SUMIFS(wip[Stock(Net Wt)],wip[Bucket],scheduleapr[[#This Row],[Bucket]])/1000</f>
        <v/>
      </c>
      <c r="AR613" s="599">
        <f>AJ613-AN613</f>
        <v/>
      </c>
      <c r="AS613" s="118" t="n"/>
    </row>
    <row r="614">
      <c r="A614" s="594" t="n">
        <v>645</v>
      </c>
      <c r="B614" s="5" t="inlineStr">
        <is>
          <t>Hosur</t>
        </is>
      </c>
      <c r="C614" s="601" t="inlineStr">
        <is>
          <t>Balaji Gears V3</t>
        </is>
      </c>
      <c r="D614" s="601" t="inlineStr">
        <is>
          <t>Sri Balaji Gear</t>
        </is>
      </c>
      <c r="E614" s="601" t="n">
        <v>188595</v>
      </c>
      <c r="F614" s="523" t="n">
        <v>3230490</v>
      </c>
      <c r="G614" s="601">
        <f>_xlfn.CONCAT(scheduleapr[[#This Row],[CUSTOMER CODE]],"-",scheduleapr[[#This Row],[MATERIAL NO]])</f>
        <v/>
      </c>
      <c r="H614" s="523" t="inlineStr">
        <is>
          <t>TUB-S-AW-AUT-19.00X19.00X1.000X0.3550</t>
        </is>
      </c>
      <c r="I614" s="601" t="inlineStr">
        <is>
          <t>CRFH</t>
        </is>
      </c>
      <c r="J614" s="601" t="n"/>
      <c r="K614" s="596" t="inlineStr">
        <is>
          <t>PE</t>
        </is>
      </c>
      <c r="L614" s="601" t="n"/>
      <c r="M614" s="596" t="n"/>
      <c r="N614" s="601" t="n"/>
      <c r="O614" s="601" t="n"/>
      <c r="P614" s="601" t="n"/>
      <c r="Q614" s="557">
        <f>CONCATENATE(scheduleapr[[#This Row],[OD]],"-",scheduleapr[[#This Row],[ID]],"-",scheduleapr[[#This Row],[TICKNESS]],"-",scheduleapr[[#This Row],[Grade]],"-",scheduleapr[[#This Row],[FC/NFC]])</f>
        <v/>
      </c>
      <c r="R614" s="557">
        <f>_xlfn.CONCAT(scheduleapr[[#This Row],[Bucket]],"-",scheduleapr[[#This Row],[LENGTH]]/1000)</f>
        <v/>
      </c>
      <c r="S614" s="601" t="n"/>
      <c r="T614" s="601" t="n"/>
      <c r="U614" s="601">
        <f>_xlfn.IFNA(VLOOKUP(scheduleapr[[#This Row],[Bucket]],salesforecast[[#All],[Bucket2]:[8406 Stock]],19,0),0)</f>
        <v/>
      </c>
      <c r="V614" s="562">
        <f>_xlfn.IFNA(VLOOKUP(scheduleapr[[#This Row],[Bucket]],salesforecast[[#All],[Bucket2]:[8406 Stock]],20,0),0)+_xlfn.IFNA(VLOOKUP(scheduleapr[[#This Row],[Bucket]],salesforecast[[#All],[Bucket2]:[8406 Stock]],17,0),0)</f>
        <v/>
      </c>
      <c r="W614" s="601" t="n"/>
      <c r="X614" s="599" t="n">
        <v>23.42</v>
      </c>
      <c r="Y614" s="599" t="n">
        <v>19</v>
      </c>
      <c r="Z614" s="599" t="n">
        <v>19</v>
      </c>
      <c r="AA614" s="599" t="n">
        <v>1</v>
      </c>
      <c r="AB614" s="600" t="n">
        <v>355</v>
      </c>
      <c r="AC614" s="600" t="inlineStr">
        <is>
          <t>NOS</t>
        </is>
      </c>
      <c r="AD614" s="600" t="n"/>
      <c r="AE614" s="600" t="n"/>
      <c r="AF614" s="601" t="n">
        <v>1000</v>
      </c>
      <c r="AG614" s="601" t="n"/>
      <c r="AH614" s="601">
        <f t="array" ref="AH6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4" s="602">
        <f>scheduleapr[[#This Row],[SCHEDULE in nos]]-scheduleapr[[#This Row],[DISPATCH]]</f>
        <v/>
      </c>
      <c r="AJ614" s="599">
        <f>(3.14*(scheduleapr[[#This Row],[ACTUAL OD]]-scheduleapr[[#This Row],[TICKNESS]])*scheduleapr[[#This Row],[TICKNESS]]*scheduleapr[[#This Row],[LENGTH]]*7.85)/1000000*scheduleapr[[#This Row],[SCHEDULE in nos]]/1000</f>
        <v/>
      </c>
      <c r="AK614" s="599">
        <f>(3.14*(scheduleapr[[#This Row],[ACTUAL OD]]-scheduleapr[[#This Row],[TICKNESS]])*scheduleapr[[#This Row],[TICKNESS]]*scheduleapr[[#This Row],[LENGTH]]*7.85)/1000000*scheduleapr[[#This Row],[DISPATCH]]/1000</f>
        <v/>
      </c>
      <c r="AL614" s="599">
        <f>AJ614-AK614</f>
        <v/>
      </c>
      <c r="AM614" s="599">
        <f>scheduleapr[[#This Row],[SCHEDULE in nos]]/scheduleapr[[#This Row],[SCHEDULE IN MT]]*scheduleapr[[#This Row],[CTL Stock]]</f>
        <v/>
      </c>
      <c r="AN614" s="599">
        <f>SUMIFS(stock[MT],stock[Bucket],scheduleapr[[#This Row],[Bucket]],stock[CTL Bucket],scheduleapr[[#This Row],[CTL Bucket]],stock[Plant],"0789")</f>
        <v/>
      </c>
      <c r="AO614" s="599" t="n"/>
      <c r="AP614" s="599">
        <f>SUMIFS(stock[MT],stock[Bucket],scheduleapr[[#This Row],[Bucket]],stock[LL or CTL],"LL")</f>
        <v/>
      </c>
      <c r="AQ614" s="599">
        <f>+SUMIFS(wip[Stock(Net Wt)],wip[Bucket],scheduleapr[[#This Row],[Bucket]])/1000</f>
        <v/>
      </c>
      <c r="AR614" s="599">
        <f>AJ614-AN614</f>
        <v/>
      </c>
      <c r="AS614" s="118" t="n"/>
    </row>
    <row r="615">
      <c r="A615" s="594" t="n">
        <v>541</v>
      </c>
      <c r="B615" s="5" t="inlineStr">
        <is>
          <t>Hosur</t>
        </is>
      </c>
      <c r="C615" s="601" t="inlineStr">
        <is>
          <t>SRI BALAJI GEARS V4</t>
        </is>
      </c>
      <c r="D615" s="601" t="inlineStr">
        <is>
          <t>Sri Balaji Gear</t>
        </is>
      </c>
      <c r="E615" s="601" t="n">
        <v>188595</v>
      </c>
      <c r="F615" s="9" t="n">
        <v>3571868</v>
      </c>
      <c r="G615" s="601">
        <f>_xlfn.CONCAT(scheduleapr[[#This Row],[CUSTOMER CODE]],"-",scheduleapr[[#This Row],[MATERIAL NO]])</f>
        <v/>
      </c>
      <c r="H615" s="601" t="inlineStr">
        <is>
          <t>TUB-S-AW-AUT-19.00X19.00X1.000X0.3920</t>
        </is>
      </c>
      <c r="I615" s="596" t="inlineStr">
        <is>
          <t>CRFH</t>
        </is>
      </c>
      <c r="J615" s="599" t="n"/>
      <c r="K615" s="596" t="inlineStr">
        <is>
          <t>PE</t>
        </is>
      </c>
      <c r="L615" s="601" t="inlineStr">
        <is>
          <t>CR</t>
        </is>
      </c>
      <c r="M615" s="599" t="n"/>
      <c r="N615" s="600" t="n"/>
      <c r="O615" s="601" t="n"/>
      <c r="P615" s="601" t="n"/>
      <c r="Q615" s="557">
        <f>CONCATENATE(scheduleapr[[#This Row],[OD]],"-",scheduleapr[[#This Row],[ID]],"-",scheduleapr[[#This Row],[TICKNESS]],"-",scheduleapr[[#This Row],[Grade]],"-",scheduleapr[[#This Row],[FC/NFC]])</f>
        <v/>
      </c>
      <c r="R615" s="557">
        <f>_xlfn.CONCAT(scheduleapr[[#This Row],[Bucket]],"-",scheduleapr[[#This Row],[LENGTH]]/1000)</f>
        <v/>
      </c>
      <c r="S615" s="557">
        <f>COUNTIF(scheduleapr[CTL Bucket],scheduleapr[[#This Row],[CTL Bucket]])</f>
        <v/>
      </c>
      <c r="T615" s="601" t="inlineStr">
        <is>
          <t>Hosur</t>
        </is>
      </c>
      <c r="U615" s="601">
        <f>_xlfn.IFNA(VLOOKUP(scheduleapr[[#This Row],[Bucket]],salesforecast[[#All],[Bucket2]:[8406 Stock]],19,0),0)</f>
        <v/>
      </c>
      <c r="V615" s="562">
        <f>_xlfn.IFNA(VLOOKUP(scheduleapr[[#This Row],[Bucket]],salesforecast[[#All],[Bucket2]:[8406 Stock]],20,0),0)+_xlfn.IFNA(VLOOKUP(scheduleapr[[#This Row],[Bucket]],salesforecast[[#All],[Bucket2]:[8406 Stock]],17,0),0)</f>
        <v/>
      </c>
      <c r="W615" s="557" t="n"/>
      <c r="X615" s="599" t="n">
        <v>23.42</v>
      </c>
      <c r="Y615" s="599" t="n">
        <v>19</v>
      </c>
      <c r="Z615" s="599" t="n">
        <v>19</v>
      </c>
      <c r="AA615" s="599" t="n">
        <v>1</v>
      </c>
      <c r="AB615" s="600" t="n">
        <v>392</v>
      </c>
      <c r="AC615" s="600" t="inlineStr">
        <is>
          <t>NOS</t>
        </is>
      </c>
      <c r="AD615" s="600" t="n"/>
      <c r="AE615" s="600" t="n"/>
      <c r="AF615" s="601" t="n">
        <v>1000</v>
      </c>
      <c r="AG615" s="601" t="n"/>
      <c r="AH615" s="601">
        <f t="array" ref="AH6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5" s="602">
        <f>scheduleapr[[#This Row],[SCHEDULE in nos]]-scheduleapr[[#This Row],[DISPATCH]]</f>
        <v/>
      </c>
      <c r="AJ615" s="599">
        <f>(3.14*(scheduleapr[[#This Row],[ACTUAL OD]]-scheduleapr[[#This Row],[TICKNESS]])*scheduleapr[[#This Row],[TICKNESS]]*scheduleapr[[#This Row],[LENGTH]]*7.85)/1000000*scheduleapr[[#This Row],[SCHEDULE in nos]]/1000</f>
        <v/>
      </c>
      <c r="AK615" s="599">
        <f>(3.14*(scheduleapr[[#This Row],[ACTUAL OD]]-scheduleapr[[#This Row],[TICKNESS]])*scheduleapr[[#This Row],[TICKNESS]]*scheduleapr[[#This Row],[LENGTH]]*7.85)/1000000*scheduleapr[[#This Row],[DISPATCH]]/1000</f>
        <v/>
      </c>
      <c r="AL615" s="599">
        <f>AJ615-AK615</f>
        <v/>
      </c>
      <c r="AM615" s="599">
        <f>scheduleapr[[#This Row],[SCHEDULE in nos]]/scheduleapr[[#This Row],[SCHEDULE IN MT]]*scheduleapr[[#This Row],[CTL Stock]]</f>
        <v/>
      </c>
      <c r="AN615" s="599">
        <f>SUMIFS(stock[MT],stock[Bucket],scheduleapr[[#This Row],[Bucket]],stock[CTL Bucket],scheduleapr[[#This Row],[CTL Bucket]],stock[Plant],"0789")</f>
        <v/>
      </c>
      <c r="AO615" s="599" t="n"/>
      <c r="AP615" s="599">
        <f>SUMIFS(stock[MT],stock[Bucket],scheduleapr[[#This Row],[Bucket]],stock[LL or CTL],"LL")</f>
        <v/>
      </c>
      <c r="AQ615" s="599">
        <f>+SUMIFS(wip[Stock(Net Wt)],wip[Bucket],scheduleapr[[#This Row],[Bucket]])/1000</f>
        <v/>
      </c>
      <c r="AR615" s="599">
        <f>AJ615-AN615</f>
        <v/>
      </c>
      <c r="AS615" s="118" t="n"/>
    </row>
    <row r="616">
      <c r="A616" s="594" t="n">
        <v>510</v>
      </c>
      <c r="B616" s="5" t="inlineStr">
        <is>
          <t>Hosur</t>
        </is>
      </c>
      <c r="C616" s="596" t="inlineStr">
        <is>
          <t>SRI BALAJI GEARS V7</t>
        </is>
      </c>
      <c r="D616" s="601" t="inlineStr">
        <is>
          <t>Sri Balaji Gear</t>
        </is>
      </c>
      <c r="E616" s="601" t="n">
        <v>188595</v>
      </c>
      <c r="F616" s="9" t="n">
        <v>3230487</v>
      </c>
      <c r="G616" s="601">
        <f>_xlfn.CONCAT(scheduleapr[[#This Row],[CUSTOMER CODE]],"-",scheduleapr[[#This Row],[MATERIAL NO]])</f>
        <v/>
      </c>
      <c r="H616" s="601" t="inlineStr">
        <is>
          <t>TUB-S-AW-AUT-19.00X19.00X1.000X0.4000</t>
        </is>
      </c>
      <c r="I616" s="596" t="inlineStr">
        <is>
          <t>CRFH</t>
        </is>
      </c>
      <c r="J616" s="599" t="n"/>
      <c r="K616" s="596" t="inlineStr">
        <is>
          <t>PE</t>
        </is>
      </c>
      <c r="L616" s="601" t="inlineStr">
        <is>
          <t>CR</t>
        </is>
      </c>
      <c r="M616" s="599" t="n"/>
      <c r="N616" s="600" t="n"/>
      <c r="O616" s="601" t="n"/>
      <c r="P616" s="601" t="n"/>
      <c r="Q616" s="557">
        <f>CONCATENATE(scheduleapr[[#This Row],[OD]],"-",scheduleapr[[#This Row],[ID]],"-",scheduleapr[[#This Row],[TICKNESS]],"-",scheduleapr[[#This Row],[Grade]],"-",scheduleapr[[#This Row],[FC/NFC]])</f>
        <v/>
      </c>
      <c r="R616" s="557">
        <f>_xlfn.CONCAT(scheduleapr[[#This Row],[Bucket]],"-",scheduleapr[[#This Row],[LENGTH]]/1000)</f>
        <v/>
      </c>
      <c r="S616" s="557">
        <f>COUNTIF(scheduleapr[CTL Bucket],scheduleapr[[#This Row],[CTL Bucket]])</f>
        <v/>
      </c>
      <c r="T616" s="601" t="inlineStr">
        <is>
          <t>Hosur</t>
        </is>
      </c>
      <c r="U616" s="601">
        <f>_xlfn.IFNA(VLOOKUP(scheduleapr[[#This Row],[Bucket]],salesforecast[[#All],[Bucket2]:[8406 Stock]],19,0),0)</f>
        <v/>
      </c>
      <c r="V616" s="562">
        <f>_xlfn.IFNA(VLOOKUP(scheduleapr[[#This Row],[Bucket]],salesforecast[[#All],[Bucket2]:[8406 Stock]],20,0),0)+_xlfn.IFNA(VLOOKUP(scheduleapr[[#This Row],[Bucket]],salesforecast[[#All],[Bucket2]:[8406 Stock]],17,0),0)</f>
        <v/>
      </c>
      <c r="W616" s="557" t="n"/>
      <c r="X616" s="599" t="n">
        <v>23.42</v>
      </c>
      <c r="Y616" s="599" t="n">
        <v>19</v>
      </c>
      <c r="Z616" s="599" t="n">
        <v>19</v>
      </c>
      <c r="AA616" s="599" t="n">
        <v>1</v>
      </c>
      <c r="AB616" s="600" t="n">
        <v>400</v>
      </c>
      <c r="AC616" s="600" t="inlineStr">
        <is>
          <t>NOS</t>
        </is>
      </c>
      <c r="AD616" s="600" t="n"/>
      <c r="AE616" s="600" t="n"/>
      <c r="AF616" s="602" t="n">
        <v>48000</v>
      </c>
      <c r="AG616" s="602" t="n"/>
      <c r="AH616" s="601">
        <f t="array" ref="AH6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6" s="602">
        <f>scheduleapr[[#This Row],[SCHEDULE in nos]]-scheduleapr[[#This Row],[DISPATCH]]</f>
        <v/>
      </c>
      <c r="AJ616" s="599">
        <f>(3.14*(scheduleapr[[#This Row],[ACTUAL OD]]-scheduleapr[[#This Row],[TICKNESS]])*scheduleapr[[#This Row],[TICKNESS]]*scheduleapr[[#This Row],[LENGTH]]*7.85)/1000000*scheduleapr[[#This Row],[SCHEDULE in nos]]/1000</f>
        <v/>
      </c>
      <c r="AK616" s="599">
        <f>(3.14*(scheduleapr[[#This Row],[ACTUAL OD]]-scheduleapr[[#This Row],[TICKNESS]])*scheduleapr[[#This Row],[TICKNESS]]*scheduleapr[[#This Row],[LENGTH]]*7.85)/1000000*scheduleapr[[#This Row],[DISPATCH]]/1000</f>
        <v/>
      </c>
      <c r="AL616" s="599">
        <f>AJ616-AK616</f>
        <v/>
      </c>
      <c r="AM616" s="599">
        <f>scheduleapr[[#This Row],[SCHEDULE in nos]]/scheduleapr[[#This Row],[SCHEDULE IN MT]]*scheduleapr[[#This Row],[CTL Stock]]</f>
        <v/>
      </c>
      <c r="AN616" s="599">
        <f>SUMIFS(stock[MT],stock[Bucket],scheduleapr[[#This Row],[Bucket]],stock[CTL Bucket],scheduleapr[[#This Row],[CTL Bucket]],stock[Plant],"0789")</f>
        <v/>
      </c>
      <c r="AO616" s="599" t="n"/>
      <c r="AP616" s="599">
        <f>SUMIFS(stock[MT],stock[Bucket],scheduleapr[[#This Row],[Bucket]],stock[LL or CTL],"LL")</f>
        <v/>
      </c>
      <c r="AQ616" s="599">
        <f>+SUMIFS(wip[Stock(Net Wt)],wip[Bucket],scheduleapr[[#This Row],[Bucket]])/1000</f>
        <v/>
      </c>
      <c r="AR616" s="599">
        <f>AJ616-AN616</f>
        <v/>
      </c>
      <c r="AS616" s="118" t="n"/>
    </row>
    <row r="617">
      <c r="A617" s="594" t="n">
        <v>644</v>
      </c>
      <c r="B617" s="5" t="inlineStr">
        <is>
          <t>Hosur</t>
        </is>
      </c>
      <c r="C617" s="601" t="inlineStr">
        <is>
          <t>Balaji Gears V3</t>
        </is>
      </c>
      <c r="D617" s="601" t="inlineStr">
        <is>
          <t>Sri Balaji Gear</t>
        </is>
      </c>
      <c r="E617" s="601" t="n">
        <v>188595</v>
      </c>
      <c r="F617" s="523" t="n">
        <v>3230487</v>
      </c>
      <c r="G617" s="601">
        <f>_xlfn.CONCAT(scheduleapr[[#This Row],[CUSTOMER CODE]],"-",scheduleapr[[#This Row],[MATERIAL NO]])</f>
        <v/>
      </c>
      <c r="H617" s="523" t="inlineStr">
        <is>
          <t>TUB-S-AW-AUT-19.00X19.00X1.000X0.4000</t>
        </is>
      </c>
      <c r="I617" s="601" t="inlineStr">
        <is>
          <t>CRFH</t>
        </is>
      </c>
      <c r="J617" s="601" t="n"/>
      <c r="K617" s="596" t="inlineStr">
        <is>
          <t>PE</t>
        </is>
      </c>
      <c r="L617" s="601" t="n"/>
      <c r="M617" s="596" t="n"/>
      <c r="N617" s="601" t="n"/>
      <c r="O617" s="601" t="n"/>
      <c r="P617" s="601" t="n"/>
      <c r="Q617" s="557">
        <f>CONCATENATE(scheduleapr[[#This Row],[OD]],"-",scheduleapr[[#This Row],[ID]],"-",scheduleapr[[#This Row],[TICKNESS]],"-",scheduleapr[[#This Row],[Grade]],"-",scheduleapr[[#This Row],[FC/NFC]])</f>
        <v/>
      </c>
      <c r="R617" s="557">
        <f>_xlfn.CONCAT(scheduleapr[[#This Row],[Bucket]],"-",scheduleapr[[#This Row],[LENGTH]]/1000)</f>
        <v/>
      </c>
      <c r="S617" s="601" t="n"/>
      <c r="T617" s="601" t="n"/>
      <c r="U617" s="601">
        <f>_xlfn.IFNA(VLOOKUP(scheduleapr[[#This Row],[Bucket]],salesforecast[[#All],[Bucket2]:[8406 Stock]],19,0),0)</f>
        <v/>
      </c>
      <c r="V617" s="562">
        <f>_xlfn.IFNA(VLOOKUP(scheduleapr[[#This Row],[Bucket]],salesforecast[[#All],[Bucket2]:[8406 Stock]],20,0),0)+_xlfn.IFNA(VLOOKUP(scheduleapr[[#This Row],[Bucket]],salesforecast[[#All],[Bucket2]:[8406 Stock]],17,0),0)</f>
        <v/>
      </c>
      <c r="W617" s="601" t="n"/>
      <c r="X617" s="599" t="n">
        <v>23.42</v>
      </c>
      <c r="Y617" s="599" t="n">
        <v>19</v>
      </c>
      <c r="Z617" s="599" t="n">
        <v>19</v>
      </c>
      <c r="AA617" s="599" t="n">
        <v>1</v>
      </c>
      <c r="AB617" s="600" t="n">
        <v>400</v>
      </c>
      <c r="AC617" s="600" t="inlineStr">
        <is>
          <t>NOS</t>
        </is>
      </c>
      <c r="AD617" s="600" t="n"/>
      <c r="AE617" s="600" t="n"/>
      <c r="AF617" s="601" t="n">
        <v>3000</v>
      </c>
      <c r="AG617" s="601" t="n"/>
      <c r="AH617" s="601">
        <f t="array" ref="AH6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7" s="602">
        <f>scheduleapr[[#This Row],[SCHEDULE in nos]]-scheduleapr[[#This Row],[DISPATCH]]</f>
        <v/>
      </c>
      <c r="AJ617" s="599">
        <f>(3.14*(scheduleapr[[#This Row],[ACTUAL OD]]-scheduleapr[[#This Row],[TICKNESS]])*scheduleapr[[#This Row],[TICKNESS]]*scheduleapr[[#This Row],[LENGTH]]*7.85)/1000000*scheduleapr[[#This Row],[SCHEDULE in nos]]/1000</f>
        <v/>
      </c>
      <c r="AK617" s="599">
        <f>(3.14*(scheduleapr[[#This Row],[ACTUAL OD]]-scheduleapr[[#This Row],[TICKNESS]])*scheduleapr[[#This Row],[TICKNESS]]*scheduleapr[[#This Row],[LENGTH]]*7.85)/1000000*scheduleapr[[#This Row],[DISPATCH]]/1000</f>
        <v/>
      </c>
      <c r="AL617" s="599">
        <f>AJ617-AK617</f>
        <v/>
      </c>
      <c r="AM617" s="599">
        <f>scheduleapr[[#This Row],[SCHEDULE in nos]]/scheduleapr[[#This Row],[SCHEDULE IN MT]]*scheduleapr[[#This Row],[CTL Stock]]</f>
        <v/>
      </c>
      <c r="AN617" s="599">
        <f>SUMIFS(stock[MT],stock[Bucket],scheduleapr[[#This Row],[Bucket]],stock[CTL Bucket],scheduleapr[[#This Row],[CTL Bucket]],stock[Plant],"0789")</f>
        <v/>
      </c>
      <c r="AO617" s="599" t="n"/>
      <c r="AP617" s="599">
        <f>SUMIFS(stock[MT],stock[Bucket],scheduleapr[[#This Row],[Bucket]],stock[LL or CTL],"LL")</f>
        <v/>
      </c>
      <c r="AQ617" s="599">
        <f>+SUMIFS(wip[Stock(Net Wt)],wip[Bucket],scheduleapr[[#This Row],[Bucket]])/1000</f>
        <v/>
      </c>
      <c r="AR617" s="599">
        <f>AJ617-AN617</f>
        <v/>
      </c>
      <c r="AS617" s="118" t="n"/>
    </row>
    <row r="618">
      <c r="A618" s="594" t="n">
        <v>511</v>
      </c>
      <c r="B618" s="5" t="inlineStr">
        <is>
          <t>Hosur</t>
        </is>
      </c>
      <c r="C618" s="596" t="inlineStr">
        <is>
          <t>SRI BALAJI GEARS V7</t>
        </is>
      </c>
      <c r="D618" s="601" t="inlineStr">
        <is>
          <t>Sri Balaji Gear</t>
        </is>
      </c>
      <c r="E618" s="601" t="n">
        <v>188595</v>
      </c>
      <c r="F618" s="575" t="n">
        <v>3230488</v>
      </c>
      <c r="G618" s="601">
        <f>_xlfn.CONCAT(scheduleapr[[#This Row],[CUSTOMER CODE]],"-",scheduleapr[[#This Row],[MATERIAL NO]])</f>
        <v/>
      </c>
      <c r="H618" s="601" t="inlineStr">
        <is>
          <t>TUB-S-AW-AUT-19.00X19.00X1.000X0.4700</t>
        </is>
      </c>
      <c r="I618" s="596" t="inlineStr">
        <is>
          <t>CRFH</t>
        </is>
      </c>
      <c r="J618" s="599" t="n"/>
      <c r="K618" s="596" t="inlineStr">
        <is>
          <t>PE</t>
        </is>
      </c>
      <c r="L618" s="601" t="inlineStr">
        <is>
          <t>CR</t>
        </is>
      </c>
      <c r="M618" s="599" t="n"/>
      <c r="N618" s="600" t="n"/>
      <c r="O618" s="601" t="n"/>
      <c r="P618" s="601" t="n"/>
      <c r="Q618" s="557">
        <f>CONCATENATE(scheduleapr[[#This Row],[OD]],"-",scheduleapr[[#This Row],[ID]],"-",scheduleapr[[#This Row],[TICKNESS]],"-",scheduleapr[[#This Row],[Grade]],"-",scheduleapr[[#This Row],[FC/NFC]])</f>
        <v/>
      </c>
      <c r="R618" s="557">
        <f>_xlfn.CONCAT(scheduleapr[[#This Row],[Bucket]],"-",scheduleapr[[#This Row],[LENGTH]]/1000)</f>
        <v/>
      </c>
      <c r="S618" s="557">
        <f>COUNTIF(scheduleapr[CTL Bucket],scheduleapr[[#This Row],[CTL Bucket]])</f>
        <v/>
      </c>
      <c r="T618" s="601" t="inlineStr">
        <is>
          <t>Hosur</t>
        </is>
      </c>
      <c r="U618" s="601">
        <f>_xlfn.IFNA(VLOOKUP(scheduleapr[[#This Row],[Bucket]],salesforecast[[#All],[Bucket2]:[8406 Stock]],19,0),0)</f>
        <v/>
      </c>
      <c r="V618" s="562">
        <f>_xlfn.IFNA(VLOOKUP(scheduleapr[[#This Row],[Bucket]],salesforecast[[#All],[Bucket2]:[8406 Stock]],20,0),0)+_xlfn.IFNA(VLOOKUP(scheduleapr[[#This Row],[Bucket]],salesforecast[[#All],[Bucket2]:[8406 Stock]],17,0),0)</f>
        <v/>
      </c>
      <c r="W618" s="557" t="n"/>
      <c r="X618" s="599" t="n">
        <v>23.42</v>
      </c>
      <c r="Y618" s="599" t="n">
        <v>19</v>
      </c>
      <c r="Z618" s="599" t="n">
        <v>19</v>
      </c>
      <c r="AA618" s="599" t="n">
        <v>1</v>
      </c>
      <c r="AB618" s="600" t="n">
        <v>470</v>
      </c>
      <c r="AC618" s="600" t="inlineStr">
        <is>
          <t>NOS</t>
        </is>
      </c>
      <c r="AD618" s="600" t="n"/>
      <c r="AE618" s="600" t="n"/>
      <c r="AF618" s="602" t="n">
        <v>12000</v>
      </c>
      <c r="AG618" s="602" t="n"/>
      <c r="AH618" s="601">
        <f t="array" ref="AH6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8" s="602">
        <f>scheduleapr[[#This Row],[SCHEDULE in nos]]-scheduleapr[[#This Row],[DISPATCH]]</f>
        <v/>
      </c>
      <c r="AJ618" s="599">
        <f>(3.14*(scheduleapr[[#This Row],[ACTUAL OD]]-scheduleapr[[#This Row],[TICKNESS]])*scheduleapr[[#This Row],[TICKNESS]]*scheduleapr[[#This Row],[LENGTH]]*7.85)/1000000*scheduleapr[[#This Row],[SCHEDULE in nos]]/1000</f>
        <v/>
      </c>
      <c r="AK618" s="599">
        <f>(3.14*(scheduleapr[[#This Row],[ACTUAL OD]]-scheduleapr[[#This Row],[TICKNESS]])*scheduleapr[[#This Row],[TICKNESS]]*scheduleapr[[#This Row],[LENGTH]]*7.85)/1000000*scheduleapr[[#This Row],[DISPATCH]]/1000</f>
        <v/>
      </c>
      <c r="AL618" s="599">
        <f>AJ618-AK618</f>
        <v/>
      </c>
      <c r="AM618" s="599">
        <f>scheduleapr[[#This Row],[SCHEDULE in nos]]/scheduleapr[[#This Row],[SCHEDULE IN MT]]*scheduleapr[[#This Row],[CTL Stock]]</f>
        <v/>
      </c>
      <c r="AN618" s="599">
        <f>SUMIFS(stock[MT],stock[Bucket],scheduleapr[[#This Row],[Bucket]],stock[CTL Bucket],scheduleapr[[#This Row],[CTL Bucket]],stock[Plant],"0789")</f>
        <v/>
      </c>
      <c r="AO618" s="599" t="n"/>
      <c r="AP618" s="599">
        <f>SUMIFS(stock[MT],stock[Bucket],scheduleapr[[#This Row],[Bucket]],stock[LL or CTL],"LL")</f>
        <v/>
      </c>
      <c r="AQ618" s="599">
        <f>+SUMIFS(wip[Stock(Net Wt)],wip[Bucket],scheduleapr[[#This Row],[Bucket]])/1000</f>
        <v/>
      </c>
      <c r="AR618" s="599">
        <f>AJ618-AN618</f>
        <v/>
      </c>
      <c r="AS618" s="118" t="n"/>
    </row>
    <row r="619">
      <c r="A619" s="594" t="n">
        <v>643</v>
      </c>
      <c r="B619" s="5" t="inlineStr">
        <is>
          <t>Hosur</t>
        </is>
      </c>
      <c r="C619" s="601" t="inlineStr">
        <is>
          <t>Balaji Gears V3</t>
        </is>
      </c>
      <c r="D619" s="601" t="inlineStr">
        <is>
          <t>Sri Balaji Gear</t>
        </is>
      </c>
      <c r="E619" s="601" t="n">
        <v>188595</v>
      </c>
      <c r="F619" s="523" t="n">
        <v>3230488</v>
      </c>
      <c r="G619" s="601">
        <f>_xlfn.CONCAT(scheduleapr[[#This Row],[CUSTOMER CODE]],"-",scheduleapr[[#This Row],[MATERIAL NO]])</f>
        <v/>
      </c>
      <c r="H619" s="523" t="inlineStr">
        <is>
          <t>TUB-S-AW-AUT-19.00X19.00X1.000X0.4700</t>
        </is>
      </c>
      <c r="I619" s="601" t="inlineStr">
        <is>
          <t>CRFH</t>
        </is>
      </c>
      <c r="J619" s="601" t="n"/>
      <c r="K619" s="596" t="inlineStr">
        <is>
          <t>PE</t>
        </is>
      </c>
      <c r="L619" s="601" t="n"/>
      <c r="M619" s="596" t="n"/>
      <c r="N619" s="601" t="n"/>
      <c r="O619" s="601" t="n"/>
      <c r="P619" s="601" t="n"/>
      <c r="Q619" s="557">
        <f>CONCATENATE(scheduleapr[[#This Row],[OD]],"-",scheduleapr[[#This Row],[ID]],"-",scheduleapr[[#This Row],[TICKNESS]],"-",scheduleapr[[#This Row],[Grade]],"-",scheduleapr[[#This Row],[FC/NFC]])</f>
        <v/>
      </c>
      <c r="R619" s="557">
        <f>_xlfn.CONCAT(scheduleapr[[#This Row],[Bucket]],"-",scheduleapr[[#This Row],[LENGTH]]/1000)</f>
        <v/>
      </c>
      <c r="S619" s="601" t="n"/>
      <c r="T619" s="601" t="n"/>
      <c r="U619" s="601">
        <f>_xlfn.IFNA(VLOOKUP(scheduleapr[[#This Row],[Bucket]],salesforecast[[#All],[Bucket2]:[8406 Stock]],19,0),0)</f>
        <v/>
      </c>
      <c r="V619" s="562">
        <f>_xlfn.IFNA(VLOOKUP(scheduleapr[[#This Row],[Bucket]],salesforecast[[#All],[Bucket2]:[8406 Stock]],20,0),0)+_xlfn.IFNA(VLOOKUP(scheduleapr[[#This Row],[Bucket]],salesforecast[[#All],[Bucket2]:[8406 Stock]],17,0),0)</f>
        <v/>
      </c>
      <c r="W619" s="601" t="n"/>
      <c r="X619" s="599" t="n">
        <v>23.42</v>
      </c>
      <c r="Y619" s="599" t="n">
        <v>19</v>
      </c>
      <c r="Z619" s="599" t="n">
        <v>19</v>
      </c>
      <c r="AA619" s="599" t="n">
        <v>1</v>
      </c>
      <c r="AB619" s="600" t="n">
        <v>470</v>
      </c>
      <c r="AC619" s="600" t="inlineStr">
        <is>
          <t>NOS</t>
        </is>
      </c>
      <c r="AD619" s="600" t="n"/>
      <c r="AE619" s="600" t="n"/>
      <c r="AF619" s="601" t="n">
        <v>1000</v>
      </c>
      <c r="AG619" s="601" t="n"/>
      <c r="AH619" s="601">
        <f t="array" ref="AH6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19" s="602">
        <f>scheduleapr[[#This Row],[SCHEDULE in nos]]-scheduleapr[[#This Row],[DISPATCH]]</f>
        <v/>
      </c>
      <c r="AJ619" s="599">
        <f>(3.14*(scheduleapr[[#This Row],[ACTUAL OD]]-scheduleapr[[#This Row],[TICKNESS]])*scheduleapr[[#This Row],[TICKNESS]]*scheduleapr[[#This Row],[LENGTH]]*7.85)/1000000*scheduleapr[[#This Row],[SCHEDULE in nos]]/1000</f>
        <v/>
      </c>
      <c r="AK619" s="599">
        <f>(3.14*(scheduleapr[[#This Row],[ACTUAL OD]]-scheduleapr[[#This Row],[TICKNESS]])*scheduleapr[[#This Row],[TICKNESS]]*scheduleapr[[#This Row],[LENGTH]]*7.85)/1000000*scheduleapr[[#This Row],[DISPATCH]]/1000</f>
        <v/>
      </c>
      <c r="AL619" s="599">
        <f>AJ619-AK619</f>
        <v/>
      </c>
      <c r="AM619" s="599">
        <f>scheduleapr[[#This Row],[SCHEDULE in nos]]/scheduleapr[[#This Row],[SCHEDULE IN MT]]*scheduleapr[[#This Row],[CTL Stock]]</f>
        <v/>
      </c>
      <c r="AN619" s="599">
        <f>SUMIFS(stock[MT],stock[Bucket],scheduleapr[[#This Row],[Bucket]],stock[CTL Bucket],scheduleapr[[#This Row],[CTL Bucket]],stock[Plant],"0789")</f>
        <v/>
      </c>
      <c r="AO619" s="599" t="n"/>
      <c r="AP619" s="599">
        <f>SUMIFS(stock[MT],stock[Bucket],scheduleapr[[#This Row],[Bucket]],stock[LL or CTL],"LL")</f>
        <v/>
      </c>
      <c r="AQ619" s="599">
        <f>+SUMIFS(wip[Stock(Net Wt)],wip[Bucket],scheduleapr[[#This Row],[Bucket]])/1000</f>
        <v/>
      </c>
      <c r="AR619" s="599">
        <f>AJ619-AN619</f>
        <v/>
      </c>
      <c r="AS619" s="118" t="n"/>
    </row>
    <row r="620">
      <c r="A620" s="594" t="n">
        <v>542</v>
      </c>
      <c r="B620" s="5" t="inlineStr">
        <is>
          <t>Hosur</t>
        </is>
      </c>
      <c r="C620" s="601" t="inlineStr">
        <is>
          <t>SRI BALAJI GEARS V4</t>
        </is>
      </c>
      <c r="D620" s="601" t="inlineStr">
        <is>
          <t>Sri Balaji Gear</t>
        </is>
      </c>
      <c r="E620" s="601" t="n">
        <v>188595</v>
      </c>
      <c r="F620" s="9" t="n">
        <v>3571869</v>
      </c>
      <c r="G620" s="601">
        <f>_xlfn.CONCAT(scheduleapr[[#This Row],[CUSTOMER CODE]],"-",scheduleapr[[#This Row],[MATERIAL NO]])</f>
        <v/>
      </c>
      <c r="H620" s="601" t="inlineStr">
        <is>
          <t>TUB-S-AW-AUT-19.00X19.00X1.000X0.4860</t>
        </is>
      </c>
      <c r="I620" s="596" t="inlineStr">
        <is>
          <t>CRFH</t>
        </is>
      </c>
      <c r="J620" s="599" t="n"/>
      <c r="K620" s="596" t="inlineStr">
        <is>
          <t>PE</t>
        </is>
      </c>
      <c r="L620" s="601" t="inlineStr">
        <is>
          <t>CR</t>
        </is>
      </c>
      <c r="M620" s="599" t="n"/>
      <c r="N620" s="600" t="n"/>
      <c r="O620" s="601" t="n"/>
      <c r="P620" s="601" t="n"/>
      <c r="Q620" s="557">
        <f>CONCATENATE(scheduleapr[[#This Row],[OD]],"-",scheduleapr[[#This Row],[ID]],"-",scheduleapr[[#This Row],[TICKNESS]],"-",scheduleapr[[#This Row],[Grade]],"-",scheduleapr[[#This Row],[FC/NFC]])</f>
        <v/>
      </c>
      <c r="R620" s="557">
        <f>_xlfn.CONCAT(scheduleapr[[#This Row],[Bucket]],"-",scheduleapr[[#This Row],[LENGTH]]/1000)</f>
        <v/>
      </c>
      <c r="S620" s="557">
        <f>COUNTIF(scheduleapr[CTL Bucket],scheduleapr[[#This Row],[CTL Bucket]])</f>
        <v/>
      </c>
      <c r="T620" s="601" t="inlineStr">
        <is>
          <t>Hosur</t>
        </is>
      </c>
      <c r="U620" s="601">
        <f>_xlfn.IFNA(VLOOKUP(scheduleapr[[#This Row],[Bucket]],salesforecast[[#All],[Bucket2]:[8406 Stock]],19,0),0)</f>
        <v/>
      </c>
      <c r="V620" s="562">
        <f>_xlfn.IFNA(VLOOKUP(scheduleapr[[#This Row],[Bucket]],salesforecast[[#All],[Bucket2]:[8406 Stock]],20,0),0)+_xlfn.IFNA(VLOOKUP(scheduleapr[[#This Row],[Bucket]],salesforecast[[#All],[Bucket2]:[8406 Stock]],17,0),0)</f>
        <v/>
      </c>
      <c r="W620" s="557" t="n"/>
      <c r="X620" s="599" t="n">
        <v>23.42</v>
      </c>
      <c r="Y620" s="599" t="n">
        <v>19</v>
      </c>
      <c r="Z620" s="599" t="n">
        <v>19</v>
      </c>
      <c r="AA620" s="599" t="n">
        <v>1</v>
      </c>
      <c r="AB620" s="600" t="n">
        <v>486</v>
      </c>
      <c r="AC620" s="600" t="inlineStr">
        <is>
          <t>NOS</t>
        </is>
      </c>
      <c r="AD620" s="600" t="n"/>
      <c r="AE620" s="600" t="n"/>
      <c r="AF620" s="601" t="n">
        <v>500</v>
      </c>
      <c r="AG620" s="601" t="n"/>
      <c r="AH620" s="601">
        <f t="array" ref="AH6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0" s="602">
        <f>scheduleapr[[#This Row],[SCHEDULE in nos]]-scheduleapr[[#This Row],[DISPATCH]]</f>
        <v/>
      </c>
      <c r="AJ620" s="599">
        <f>(3.14*(scheduleapr[[#This Row],[ACTUAL OD]]-scheduleapr[[#This Row],[TICKNESS]])*scheduleapr[[#This Row],[TICKNESS]]*scheduleapr[[#This Row],[LENGTH]]*7.85)/1000000*scheduleapr[[#This Row],[SCHEDULE in nos]]/1000</f>
        <v/>
      </c>
      <c r="AK620" s="599">
        <f>(3.14*(scheduleapr[[#This Row],[ACTUAL OD]]-scheduleapr[[#This Row],[TICKNESS]])*scheduleapr[[#This Row],[TICKNESS]]*scheduleapr[[#This Row],[LENGTH]]*7.85)/1000000*scheduleapr[[#This Row],[DISPATCH]]/1000</f>
        <v/>
      </c>
      <c r="AL620" s="599">
        <f>AJ620-AK620</f>
        <v/>
      </c>
      <c r="AM620" s="599">
        <f>scheduleapr[[#This Row],[SCHEDULE in nos]]/scheduleapr[[#This Row],[SCHEDULE IN MT]]*scheduleapr[[#This Row],[CTL Stock]]</f>
        <v/>
      </c>
      <c r="AN620" s="599">
        <f>SUMIFS(stock[MT],stock[Bucket],scheduleapr[[#This Row],[Bucket]],stock[CTL Bucket],scheduleapr[[#This Row],[CTL Bucket]],stock[Plant],"0789")</f>
        <v/>
      </c>
      <c r="AO620" s="599" t="n"/>
      <c r="AP620" s="599">
        <f>SUMIFS(stock[MT],stock[Bucket],scheduleapr[[#This Row],[Bucket]],stock[LL or CTL],"LL")</f>
        <v/>
      </c>
      <c r="AQ620" s="599">
        <f>+SUMIFS(wip[Stock(Net Wt)],wip[Bucket],scheduleapr[[#This Row],[Bucket]])/1000</f>
        <v/>
      </c>
      <c r="AR620" s="599">
        <f>AJ620-AN620</f>
        <v/>
      </c>
      <c r="AS620" s="118" t="n"/>
    </row>
    <row r="621">
      <c r="A621" s="594" t="n">
        <v>520</v>
      </c>
      <c r="B621" s="5" t="inlineStr">
        <is>
          <t>Hosur</t>
        </is>
      </c>
      <c r="C621" s="596" t="inlineStr">
        <is>
          <t>SRI BALAJI GEARS V7</t>
        </is>
      </c>
      <c r="D621" s="601" t="inlineStr">
        <is>
          <t>Sri Balaji Gear</t>
        </is>
      </c>
      <c r="E621" s="601" t="n">
        <v>188595</v>
      </c>
      <c r="F621" s="523" t="n">
        <v>3571870</v>
      </c>
      <c r="G621" s="601">
        <f>_xlfn.CONCAT(scheduleapr[[#This Row],[CUSTOMER CODE]],"-",scheduleapr[[#This Row],[MATERIAL NO]])</f>
        <v/>
      </c>
      <c r="H621" s="601" t="inlineStr">
        <is>
          <t>TUB-S-AW-AUT-19.00X19.00X1.000X0.5400</t>
        </is>
      </c>
      <c r="I621" s="596" t="inlineStr">
        <is>
          <t>CRFH</t>
        </is>
      </c>
      <c r="J621" s="599" t="n"/>
      <c r="K621" s="596" t="inlineStr">
        <is>
          <t>PE</t>
        </is>
      </c>
      <c r="L621" s="601" t="inlineStr">
        <is>
          <t>CR</t>
        </is>
      </c>
      <c r="M621" s="599" t="n"/>
      <c r="N621" s="600" t="n"/>
      <c r="O621" s="601" t="n"/>
      <c r="P621" s="601" t="n"/>
      <c r="Q621" s="557">
        <f>CONCATENATE(scheduleapr[[#This Row],[OD]],"-",scheduleapr[[#This Row],[ID]],"-",scheduleapr[[#This Row],[TICKNESS]],"-",scheduleapr[[#This Row],[Grade]],"-",scheduleapr[[#This Row],[FC/NFC]])</f>
        <v/>
      </c>
      <c r="R621" s="557">
        <f>_xlfn.CONCAT(scheduleapr[[#This Row],[Bucket]],"-",scheduleapr[[#This Row],[LENGTH]]/1000)</f>
        <v/>
      </c>
      <c r="S621" s="557">
        <f>COUNTIF(scheduleapr[CTL Bucket],scheduleapr[[#This Row],[CTL Bucket]])</f>
        <v/>
      </c>
      <c r="T621" s="601" t="inlineStr">
        <is>
          <t>Hosur</t>
        </is>
      </c>
      <c r="U621" s="601">
        <f>_xlfn.IFNA(VLOOKUP(scheduleapr[[#This Row],[Bucket]],salesforecast[[#All],[Bucket2]:[8406 Stock]],19,0),0)</f>
        <v/>
      </c>
      <c r="V621" s="562">
        <f>_xlfn.IFNA(VLOOKUP(scheduleapr[[#This Row],[Bucket]],salesforecast[[#All],[Bucket2]:[8406 Stock]],20,0),0)+_xlfn.IFNA(VLOOKUP(scheduleapr[[#This Row],[Bucket]],salesforecast[[#All],[Bucket2]:[8406 Stock]],17,0),0)</f>
        <v/>
      </c>
      <c r="W621" s="557" t="n"/>
      <c r="X621" s="599" t="n">
        <v>23.42</v>
      </c>
      <c r="Y621" s="599" t="n">
        <v>19</v>
      </c>
      <c r="Z621" s="599" t="n">
        <v>19</v>
      </c>
      <c r="AA621" s="599" t="n">
        <v>1</v>
      </c>
      <c r="AB621" s="600" t="n">
        <v>540</v>
      </c>
      <c r="AC621" s="600" t="inlineStr">
        <is>
          <t>NOS</t>
        </is>
      </c>
      <c r="AD621" s="600" t="n"/>
      <c r="AE621" s="600" t="n"/>
      <c r="AF621" s="602" t="n">
        <v>12000</v>
      </c>
      <c r="AG621" s="602" t="n"/>
      <c r="AH621" s="601">
        <f t="array" ref="AH6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1" s="602">
        <f>scheduleapr[[#This Row],[SCHEDULE in nos]]-scheduleapr[[#This Row],[DISPATCH]]</f>
        <v/>
      </c>
      <c r="AJ621" s="599">
        <f>(3.14*(scheduleapr[[#This Row],[ACTUAL OD]]-scheduleapr[[#This Row],[TICKNESS]])*scheduleapr[[#This Row],[TICKNESS]]*scheduleapr[[#This Row],[LENGTH]]*7.85)/1000000*scheduleapr[[#This Row],[SCHEDULE in nos]]/1000</f>
        <v/>
      </c>
      <c r="AK621" s="599">
        <f>(3.14*(scheduleapr[[#This Row],[ACTUAL OD]]-scheduleapr[[#This Row],[TICKNESS]])*scheduleapr[[#This Row],[TICKNESS]]*scheduleapr[[#This Row],[LENGTH]]*7.85)/1000000*scheduleapr[[#This Row],[DISPATCH]]/1000</f>
        <v/>
      </c>
      <c r="AL621" s="599">
        <f>AJ621-AK621</f>
        <v/>
      </c>
      <c r="AM621" s="599">
        <f>scheduleapr[[#This Row],[SCHEDULE in nos]]/scheduleapr[[#This Row],[SCHEDULE IN MT]]*scheduleapr[[#This Row],[CTL Stock]]</f>
        <v/>
      </c>
      <c r="AN621" s="599">
        <f>SUMIFS(stock[MT],stock[Bucket],scheduleapr[[#This Row],[Bucket]],stock[CTL Bucket],scheduleapr[[#This Row],[CTL Bucket]],stock[Plant],"0789")</f>
        <v/>
      </c>
      <c r="AO621" s="599" t="n"/>
      <c r="AP621" s="599">
        <f>SUMIFS(stock[MT],stock[Bucket],scheduleapr[[#This Row],[Bucket]],stock[LL or CTL],"LL")</f>
        <v/>
      </c>
      <c r="AQ621" s="599">
        <f>+SUMIFS(wip[Stock(Net Wt)],wip[Bucket],scheduleapr[[#This Row],[Bucket]])/1000</f>
        <v/>
      </c>
      <c r="AR621" s="599">
        <f>AJ621-AN621</f>
        <v/>
      </c>
      <c r="AS621" s="118" t="n"/>
    </row>
    <row r="622">
      <c r="A622" s="594" t="n">
        <v>543</v>
      </c>
      <c r="B622" s="5" t="inlineStr">
        <is>
          <t>Hosur</t>
        </is>
      </c>
      <c r="C622" s="601" t="inlineStr">
        <is>
          <t>SRI BALAJI GEARS V4</t>
        </is>
      </c>
      <c r="D622" s="601" t="inlineStr">
        <is>
          <t>Sri Balaji Gear</t>
        </is>
      </c>
      <c r="E622" s="601" t="n">
        <v>188595</v>
      </c>
      <c r="F622" s="9" t="n">
        <v>3571870</v>
      </c>
      <c r="G622" s="601">
        <f>_xlfn.CONCAT(scheduleapr[[#This Row],[CUSTOMER CODE]],"-",scheduleapr[[#This Row],[MATERIAL NO]])</f>
        <v/>
      </c>
      <c r="H622" s="601" t="inlineStr">
        <is>
          <t>TUB-S-AW-AUT-19.00X19.00X1.000X0.5400</t>
        </is>
      </c>
      <c r="I622" s="596" t="inlineStr">
        <is>
          <t>CRFH</t>
        </is>
      </c>
      <c r="J622" s="599" t="n"/>
      <c r="K622" s="596" t="inlineStr">
        <is>
          <t>PE</t>
        </is>
      </c>
      <c r="L622" s="601" t="inlineStr">
        <is>
          <t>CR</t>
        </is>
      </c>
      <c r="M622" s="599" t="n"/>
      <c r="N622" s="600" t="n"/>
      <c r="O622" s="601" t="n"/>
      <c r="P622" s="601" t="n"/>
      <c r="Q622" s="557">
        <f>CONCATENATE(scheduleapr[[#This Row],[OD]],"-",scheduleapr[[#This Row],[ID]],"-",scheduleapr[[#This Row],[TICKNESS]],"-",scheduleapr[[#This Row],[Grade]],"-",scheduleapr[[#This Row],[FC/NFC]])</f>
        <v/>
      </c>
      <c r="R622" s="557">
        <f>_xlfn.CONCAT(scheduleapr[[#This Row],[Bucket]],"-",scheduleapr[[#This Row],[LENGTH]]/1000)</f>
        <v/>
      </c>
      <c r="S622" s="557">
        <f>COUNTIF(scheduleapr[CTL Bucket],scheduleapr[[#This Row],[CTL Bucket]])</f>
        <v/>
      </c>
      <c r="T622" s="601" t="inlineStr">
        <is>
          <t>Hosur</t>
        </is>
      </c>
      <c r="U622" s="601">
        <f>_xlfn.IFNA(VLOOKUP(scheduleapr[[#This Row],[Bucket]],salesforecast[[#All],[Bucket2]:[8406 Stock]],19,0),0)</f>
        <v/>
      </c>
      <c r="V622" s="562">
        <f>_xlfn.IFNA(VLOOKUP(scheduleapr[[#This Row],[Bucket]],salesforecast[[#All],[Bucket2]:[8406 Stock]],20,0),0)+_xlfn.IFNA(VLOOKUP(scheduleapr[[#This Row],[Bucket]],salesforecast[[#All],[Bucket2]:[8406 Stock]],17,0),0)</f>
        <v/>
      </c>
      <c r="W622" s="557" t="n"/>
      <c r="X622" s="599" t="n">
        <v>23.42</v>
      </c>
      <c r="Y622" s="599" t="n">
        <v>19</v>
      </c>
      <c r="Z622" s="599" t="n">
        <v>19</v>
      </c>
      <c r="AA622" s="599" t="n">
        <v>1</v>
      </c>
      <c r="AB622" s="600" t="n">
        <v>540</v>
      </c>
      <c r="AC622" s="600" t="inlineStr">
        <is>
          <t>NOS</t>
        </is>
      </c>
      <c r="AD622" s="600" t="n"/>
      <c r="AE622" s="600" t="n"/>
      <c r="AF622" s="601" t="n">
        <v>1000</v>
      </c>
      <c r="AG622" s="601" t="n"/>
      <c r="AH622" s="601">
        <f t="array" ref="AH6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2" s="602">
        <f>scheduleapr[[#This Row],[SCHEDULE in nos]]-scheduleapr[[#This Row],[DISPATCH]]</f>
        <v/>
      </c>
      <c r="AJ622" s="599">
        <f>(3.14*(scheduleapr[[#This Row],[ACTUAL OD]]-scheduleapr[[#This Row],[TICKNESS]])*scheduleapr[[#This Row],[TICKNESS]]*scheduleapr[[#This Row],[LENGTH]]*7.85)/1000000*scheduleapr[[#This Row],[SCHEDULE in nos]]/1000</f>
        <v/>
      </c>
      <c r="AK622" s="599">
        <f>(3.14*(scheduleapr[[#This Row],[ACTUAL OD]]-scheduleapr[[#This Row],[TICKNESS]])*scheduleapr[[#This Row],[TICKNESS]]*scheduleapr[[#This Row],[LENGTH]]*7.85)/1000000*scheduleapr[[#This Row],[DISPATCH]]/1000</f>
        <v/>
      </c>
      <c r="AL622" s="599">
        <f>AJ622-AK622</f>
        <v/>
      </c>
      <c r="AM622" s="599">
        <f>scheduleapr[[#This Row],[SCHEDULE in nos]]/scheduleapr[[#This Row],[SCHEDULE IN MT]]*scheduleapr[[#This Row],[CTL Stock]]</f>
        <v/>
      </c>
      <c r="AN622" s="599">
        <f>SUMIFS(stock[MT],stock[Bucket],scheduleapr[[#This Row],[Bucket]],stock[CTL Bucket],scheduleapr[[#This Row],[CTL Bucket]],stock[Plant],"0789")</f>
        <v/>
      </c>
      <c r="AO622" s="599" t="n"/>
      <c r="AP622" s="599">
        <f>SUMIFS(stock[MT],stock[Bucket],scheduleapr[[#This Row],[Bucket]],stock[LL or CTL],"LL")</f>
        <v/>
      </c>
      <c r="AQ622" s="599">
        <f>+SUMIFS(wip[Stock(Net Wt)],wip[Bucket],scheduleapr[[#This Row],[Bucket]])/1000</f>
        <v/>
      </c>
      <c r="AR622" s="599">
        <f>AJ622-AN622</f>
        <v/>
      </c>
      <c r="AS622" s="118" t="n"/>
    </row>
    <row r="623">
      <c r="A623" s="594" t="n">
        <v>659</v>
      </c>
      <c r="B623" s="5" t="inlineStr">
        <is>
          <t>Hosur</t>
        </is>
      </c>
      <c r="C623" s="601" t="inlineStr">
        <is>
          <t>Balaji Gears V3</t>
        </is>
      </c>
      <c r="D623" s="601" t="inlineStr">
        <is>
          <t>Sri Balaji Gear</t>
        </is>
      </c>
      <c r="E623" s="601" t="n">
        <v>188595</v>
      </c>
      <c r="F623" s="523" t="n">
        <v>3571870</v>
      </c>
      <c r="G623" s="601">
        <f>_xlfn.CONCAT(scheduleapr[[#This Row],[CUSTOMER CODE]],"-",scheduleapr[[#This Row],[MATERIAL NO]])</f>
        <v/>
      </c>
      <c r="H623" s="523" t="inlineStr">
        <is>
          <t>TUB-S-AW-AUT-19.00X19.00X1.000X0.5400</t>
        </is>
      </c>
      <c r="I623" s="601" t="inlineStr">
        <is>
          <t>CRFH</t>
        </is>
      </c>
      <c r="J623" s="601" t="n"/>
      <c r="K623" s="596" t="inlineStr">
        <is>
          <t>PE</t>
        </is>
      </c>
      <c r="L623" s="601" t="n"/>
      <c r="M623" s="596" t="n"/>
      <c r="N623" s="601" t="n"/>
      <c r="O623" s="601" t="n"/>
      <c r="P623" s="601" t="n"/>
      <c r="Q623" s="557">
        <f>CONCATENATE(scheduleapr[[#This Row],[OD]],"-",scheduleapr[[#This Row],[ID]],"-",scheduleapr[[#This Row],[TICKNESS]],"-",scheduleapr[[#This Row],[Grade]],"-",scheduleapr[[#This Row],[FC/NFC]])</f>
        <v/>
      </c>
      <c r="R623" s="557">
        <f>_xlfn.CONCAT(scheduleapr[[#This Row],[Bucket]],"-",scheduleapr[[#This Row],[LENGTH]]/1000)</f>
        <v/>
      </c>
      <c r="S623" s="601" t="n"/>
      <c r="T623" s="601" t="n"/>
      <c r="U623" s="601">
        <f>_xlfn.IFNA(VLOOKUP(scheduleapr[[#This Row],[Bucket]],salesforecast[[#All],[Bucket2]:[8406 Stock]],19,0),0)</f>
        <v/>
      </c>
      <c r="V623" s="562">
        <f>_xlfn.IFNA(VLOOKUP(scheduleapr[[#This Row],[Bucket]],salesforecast[[#All],[Bucket2]:[8406 Stock]],20,0),0)+_xlfn.IFNA(VLOOKUP(scheduleapr[[#This Row],[Bucket]],salesforecast[[#All],[Bucket2]:[8406 Stock]],17,0),0)</f>
        <v/>
      </c>
      <c r="W623" s="601" t="n"/>
      <c r="X623" s="599" t="n">
        <v>23.42</v>
      </c>
      <c r="Y623" s="599" t="n">
        <v>19</v>
      </c>
      <c r="Z623" s="599" t="n">
        <v>19</v>
      </c>
      <c r="AA623" s="599" t="n">
        <v>1</v>
      </c>
      <c r="AB623" s="600" t="n">
        <v>540</v>
      </c>
      <c r="AC623" s="600" t="inlineStr">
        <is>
          <t>NOS</t>
        </is>
      </c>
      <c r="AD623" s="600" t="n"/>
      <c r="AE623" s="600" t="n"/>
      <c r="AF623" s="601" t="n">
        <v>1000</v>
      </c>
      <c r="AG623" s="601" t="n"/>
      <c r="AH623" s="601">
        <f t="array" ref="AH6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3" s="602">
        <f>scheduleapr[[#This Row],[SCHEDULE in nos]]-scheduleapr[[#This Row],[DISPATCH]]</f>
        <v/>
      </c>
      <c r="AJ623" s="599">
        <f>(3.14*(scheduleapr[[#This Row],[ACTUAL OD]]-scheduleapr[[#This Row],[TICKNESS]])*scheduleapr[[#This Row],[TICKNESS]]*scheduleapr[[#This Row],[LENGTH]]*7.85)/1000000*scheduleapr[[#This Row],[SCHEDULE in nos]]/1000</f>
        <v/>
      </c>
      <c r="AK623" s="599">
        <f>(3.14*(scheduleapr[[#This Row],[ACTUAL OD]]-scheduleapr[[#This Row],[TICKNESS]])*scheduleapr[[#This Row],[TICKNESS]]*scheduleapr[[#This Row],[LENGTH]]*7.85)/1000000*scheduleapr[[#This Row],[DISPATCH]]/1000</f>
        <v/>
      </c>
      <c r="AL623" s="599">
        <f>AJ623-AK623</f>
        <v/>
      </c>
      <c r="AM623" s="599">
        <f>scheduleapr[[#This Row],[SCHEDULE in nos]]/scheduleapr[[#This Row],[SCHEDULE IN MT]]*scheduleapr[[#This Row],[CTL Stock]]</f>
        <v/>
      </c>
      <c r="AN623" s="599">
        <f>SUMIFS(stock[MT],stock[Bucket],scheduleapr[[#This Row],[Bucket]],stock[CTL Bucket],scheduleapr[[#This Row],[CTL Bucket]],stock[Plant],"0789")</f>
        <v/>
      </c>
      <c r="AO623" s="599" t="n"/>
      <c r="AP623" s="599">
        <f>SUMIFS(stock[MT],stock[Bucket],scheduleapr[[#This Row],[Bucket]],stock[LL or CTL],"LL")</f>
        <v/>
      </c>
      <c r="AQ623" s="599">
        <f>+SUMIFS(wip[Stock(Net Wt)],wip[Bucket],scheduleapr[[#This Row],[Bucket]])/1000</f>
        <v/>
      </c>
      <c r="AR623" s="599">
        <f>AJ623-AN623</f>
        <v/>
      </c>
      <c r="AS623" s="118" t="n"/>
    </row>
    <row r="624">
      <c r="A624" s="594" t="n">
        <v>544</v>
      </c>
      <c r="B624" s="5" t="inlineStr">
        <is>
          <t>Hosur</t>
        </is>
      </c>
      <c r="C624" s="601" t="inlineStr">
        <is>
          <t>SRI BALAJI GEARS V4</t>
        </is>
      </c>
      <c r="D624" s="601" t="inlineStr">
        <is>
          <t>Sri Balaji Gear</t>
        </is>
      </c>
      <c r="E624" s="601" t="n">
        <v>188595</v>
      </c>
      <c r="F624" s="9" t="n">
        <v>3572031</v>
      </c>
      <c r="G624" s="601">
        <f>_xlfn.CONCAT(scheduleapr[[#This Row],[CUSTOMER CODE]],"-",scheduleapr[[#This Row],[MATERIAL NO]])</f>
        <v/>
      </c>
      <c r="H624" s="601" t="inlineStr">
        <is>
          <t>TUB-S-AW-AUT-19.00X19.00X1.000X0.7100</t>
        </is>
      </c>
      <c r="I624" s="596" t="inlineStr">
        <is>
          <t>CRFH</t>
        </is>
      </c>
      <c r="J624" s="599" t="n"/>
      <c r="K624" s="596" t="inlineStr">
        <is>
          <t>PE</t>
        </is>
      </c>
      <c r="L624" s="601" t="inlineStr">
        <is>
          <t>CR</t>
        </is>
      </c>
      <c r="M624" s="599" t="n"/>
      <c r="N624" s="600" t="n"/>
      <c r="O624" s="601" t="n"/>
      <c r="P624" s="601" t="n"/>
      <c r="Q624" s="557">
        <f>CONCATENATE(scheduleapr[[#This Row],[OD]],"-",scheduleapr[[#This Row],[ID]],"-",scheduleapr[[#This Row],[TICKNESS]],"-",scheduleapr[[#This Row],[Grade]],"-",scheduleapr[[#This Row],[FC/NFC]])</f>
        <v/>
      </c>
      <c r="R624" s="557">
        <f>_xlfn.CONCAT(scheduleapr[[#This Row],[Bucket]],"-",scheduleapr[[#This Row],[LENGTH]]/1000)</f>
        <v/>
      </c>
      <c r="S624" s="557">
        <f>COUNTIF(scheduleapr[CTL Bucket],scheduleapr[[#This Row],[CTL Bucket]])</f>
        <v/>
      </c>
      <c r="T624" s="601" t="inlineStr">
        <is>
          <t>Hosur</t>
        </is>
      </c>
      <c r="U624" s="601">
        <f>_xlfn.IFNA(VLOOKUP(scheduleapr[[#This Row],[Bucket]],salesforecast[[#All],[Bucket2]:[8406 Stock]],19,0),0)</f>
        <v/>
      </c>
      <c r="V624" s="562">
        <f>_xlfn.IFNA(VLOOKUP(scheduleapr[[#This Row],[Bucket]],salesforecast[[#All],[Bucket2]:[8406 Stock]],20,0),0)+_xlfn.IFNA(VLOOKUP(scheduleapr[[#This Row],[Bucket]],salesforecast[[#All],[Bucket2]:[8406 Stock]],17,0),0)</f>
        <v/>
      </c>
      <c r="W624" s="557" t="n"/>
      <c r="X624" s="599" t="n">
        <v>23.42</v>
      </c>
      <c r="Y624" s="599" t="n">
        <v>19</v>
      </c>
      <c r="Z624" s="599" t="n">
        <v>19</v>
      </c>
      <c r="AA624" s="599" t="n">
        <v>1</v>
      </c>
      <c r="AB624" s="600" t="n">
        <v>710</v>
      </c>
      <c r="AC624" s="600" t="inlineStr">
        <is>
          <t>NOS</t>
        </is>
      </c>
      <c r="AD624" s="600" t="n"/>
      <c r="AE624" s="600" t="n"/>
      <c r="AF624" s="601" t="n">
        <v>1000</v>
      </c>
      <c r="AG624" s="601" t="n"/>
      <c r="AH624" s="601">
        <f t="array" ref="AH6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4" s="602">
        <f>scheduleapr[[#This Row],[SCHEDULE in nos]]-scheduleapr[[#This Row],[DISPATCH]]</f>
        <v/>
      </c>
      <c r="AJ624" s="599">
        <f>(3.14*(scheduleapr[[#This Row],[ACTUAL OD]]-scheduleapr[[#This Row],[TICKNESS]])*scheduleapr[[#This Row],[TICKNESS]]*scheduleapr[[#This Row],[LENGTH]]*7.85)/1000000*scheduleapr[[#This Row],[SCHEDULE in nos]]/1000</f>
        <v/>
      </c>
      <c r="AK624" s="599">
        <f>(3.14*(scheduleapr[[#This Row],[ACTUAL OD]]-scheduleapr[[#This Row],[TICKNESS]])*scheduleapr[[#This Row],[TICKNESS]]*scheduleapr[[#This Row],[LENGTH]]*7.85)/1000000*scheduleapr[[#This Row],[DISPATCH]]/1000</f>
        <v/>
      </c>
      <c r="AL624" s="599">
        <f>AJ624-AK624</f>
        <v/>
      </c>
      <c r="AM624" s="599">
        <f>scheduleapr[[#This Row],[SCHEDULE in nos]]/scheduleapr[[#This Row],[SCHEDULE IN MT]]*scheduleapr[[#This Row],[CTL Stock]]</f>
        <v/>
      </c>
      <c r="AN624" s="599">
        <f>SUMIFS(stock[MT],stock[Bucket],scheduleapr[[#This Row],[Bucket]],stock[CTL Bucket],scheduleapr[[#This Row],[CTL Bucket]],stock[Plant],"0789")</f>
        <v/>
      </c>
      <c r="AO624" s="599" t="n"/>
      <c r="AP624" s="599">
        <f>SUMIFS(stock[MT],stock[Bucket],scheduleapr[[#This Row],[Bucket]],stock[LL or CTL],"LL")</f>
        <v/>
      </c>
      <c r="AQ624" s="599">
        <f>+SUMIFS(wip[Stock(Net Wt)],wip[Bucket],scheduleapr[[#This Row],[Bucket]])/1000</f>
        <v/>
      </c>
      <c r="AR624" s="599">
        <f>AJ624-AN624</f>
        <v/>
      </c>
      <c r="AS624" s="118" t="n"/>
    </row>
    <row r="625">
      <c r="A625" s="594" t="n">
        <v>545</v>
      </c>
      <c r="B625" s="5" t="inlineStr">
        <is>
          <t>Hosur</t>
        </is>
      </c>
      <c r="C625" s="601" t="inlineStr">
        <is>
          <t>SRI BALAJI GEARS V4</t>
        </is>
      </c>
      <c r="D625" s="601" t="inlineStr">
        <is>
          <t>Sri Balaji Gear</t>
        </is>
      </c>
      <c r="E625" s="601" t="n">
        <v>188595</v>
      </c>
      <c r="F625" s="9" t="n">
        <v>3572032</v>
      </c>
      <c r="G625" s="601">
        <f>_xlfn.CONCAT(scheduleapr[[#This Row],[CUSTOMER CODE]],"-",scheduleapr[[#This Row],[MATERIAL NO]])</f>
        <v/>
      </c>
      <c r="H625" s="601" t="inlineStr">
        <is>
          <t>TUB-S-AW-AUT-19.00X19.00X1.000X0.7500</t>
        </is>
      </c>
      <c r="I625" s="596" t="inlineStr">
        <is>
          <t>CRFH</t>
        </is>
      </c>
      <c r="J625" s="599" t="n"/>
      <c r="K625" s="596" t="inlineStr">
        <is>
          <t>PE</t>
        </is>
      </c>
      <c r="L625" s="601" t="inlineStr">
        <is>
          <t>CR</t>
        </is>
      </c>
      <c r="M625" s="599" t="n"/>
      <c r="N625" s="600" t="n"/>
      <c r="O625" s="601" t="n"/>
      <c r="P625" s="601" t="n"/>
      <c r="Q625" s="557">
        <f>CONCATENATE(scheduleapr[[#This Row],[OD]],"-",scheduleapr[[#This Row],[ID]],"-",scheduleapr[[#This Row],[TICKNESS]],"-",scheduleapr[[#This Row],[Grade]],"-",scheduleapr[[#This Row],[FC/NFC]])</f>
        <v/>
      </c>
      <c r="R625" s="557">
        <f>_xlfn.CONCAT(scheduleapr[[#This Row],[Bucket]],"-",scheduleapr[[#This Row],[LENGTH]]/1000)</f>
        <v/>
      </c>
      <c r="S625" s="557">
        <f>COUNTIF(scheduleapr[CTL Bucket],scheduleapr[[#This Row],[CTL Bucket]])</f>
        <v/>
      </c>
      <c r="T625" s="601" t="inlineStr">
        <is>
          <t>Hosur</t>
        </is>
      </c>
      <c r="U625" s="601">
        <f>_xlfn.IFNA(VLOOKUP(scheduleapr[[#This Row],[Bucket]],salesforecast[[#All],[Bucket2]:[8406 Stock]],19,0),0)</f>
        <v/>
      </c>
      <c r="V625" s="562">
        <f>_xlfn.IFNA(VLOOKUP(scheduleapr[[#This Row],[Bucket]],salesforecast[[#All],[Bucket2]:[8406 Stock]],20,0),0)+_xlfn.IFNA(VLOOKUP(scheduleapr[[#This Row],[Bucket]],salesforecast[[#All],[Bucket2]:[8406 Stock]],17,0),0)</f>
        <v/>
      </c>
      <c r="W625" s="557" t="n"/>
      <c r="X625" s="599" t="n">
        <v>23.42</v>
      </c>
      <c r="Y625" s="599" t="n">
        <v>19</v>
      </c>
      <c r="Z625" s="599" t="n">
        <v>19</v>
      </c>
      <c r="AA625" s="599" t="n">
        <v>1</v>
      </c>
      <c r="AB625" s="600" t="n">
        <v>750</v>
      </c>
      <c r="AC625" s="600" t="inlineStr">
        <is>
          <t>NOS</t>
        </is>
      </c>
      <c r="AD625" s="600" t="n"/>
      <c r="AE625" s="600" t="n"/>
      <c r="AF625" s="601" t="n">
        <v>1000</v>
      </c>
      <c r="AG625" s="601" t="n"/>
      <c r="AH625" s="601">
        <f t="array" ref="AH6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5" s="602">
        <f>scheduleapr[[#This Row],[SCHEDULE in nos]]-scheduleapr[[#This Row],[DISPATCH]]</f>
        <v/>
      </c>
      <c r="AJ625" s="599">
        <f>(3.14*(scheduleapr[[#This Row],[ACTUAL OD]]-scheduleapr[[#This Row],[TICKNESS]])*scheduleapr[[#This Row],[TICKNESS]]*scheduleapr[[#This Row],[LENGTH]]*7.85)/1000000*scheduleapr[[#This Row],[SCHEDULE in nos]]/1000</f>
        <v/>
      </c>
      <c r="AK625" s="599">
        <f>(3.14*(scheduleapr[[#This Row],[ACTUAL OD]]-scheduleapr[[#This Row],[TICKNESS]])*scheduleapr[[#This Row],[TICKNESS]]*scheduleapr[[#This Row],[LENGTH]]*7.85)/1000000*scheduleapr[[#This Row],[DISPATCH]]/1000</f>
        <v/>
      </c>
      <c r="AL625" s="599">
        <f>AJ625-AK625</f>
        <v/>
      </c>
      <c r="AM625" s="599">
        <f>scheduleapr[[#This Row],[SCHEDULE in nos]]/scheduleapr[[#This Row],[SCHEDULE IN MT]]*scheduleapr[[#This Row],[CTL Stock]]</f>
        <v/>
      </c>
      <c r="AN625" s="599">
        <f>SUMIFS(stock[MT],stock[Bucket],scheduleapr[[#This Row],[Bucket]],stock[CTL Bucket],scheduleapr[[#This Row],[CTL Bucket]],stock[Plant],"0789")</f>
        <v/>
      </c>
      <c r="AO625" s="599" t="n"/>
      <c r="AP625" s="599">
        <f>SUMIFS(stock[MT],stock[Bucket],scheduleapr[[#This Row],[Bucket]],stock[LL or CTL],"LL")</f>
        <v/>
      </c>
      <c r="AQ625" s="599">
        <f>+SUMIFS(wip[Stock(Net Wt)],wip[Bucket],scheduleapr[[#This Row],[Bucket]])/1000</f>
        <v/>
      </c>
      <c r="AR625" s="599">
        <f>AJ625-AN625</f>
        <v/>
      </c>
      <c r="AS625" s="118" t="n"/>
    </row>
    <row r="626">
      <c r="A626" s="594" t="n">
        <v>514</v>
      </c>
      <c r="B626" s="5" t="inlineStr">
        <is>
          <t>Hosur</t>
        </is>
      </c>
      <c r="C626" s="596" t="inlineStr">
        <is>
          <t>SRI BALAJI GEARS V7</t>
        </is>
      </c>
      <c r="D626" s="601" t="inlineStr">
        <is>
          <t>Sri Balaji Gear</t>
        </is>
      </c>
      <c r="E626" s="601" t="n">
        <v>188595</v>
      </c>
      <c r="F626" s="523" t="n">
        <v>4151426</v>
      </c>
      <c r="G626" s="601">
        <f>_xlfn.CONCAT(scheduleapr[[#This Row],[CUSTOMER CODE]],"-",scheduleapr[[#This Row],[MATERIAL NO]])</f>
        <v/>
      </c>
      <c r="H626" s="601" t="inlineStr">
        <is>
          <t>TUB-S-AW-AUT-19.00X19.00X1.000X0.755</t>
        </is>
      </c>
      <c r="I626" s="596" t="inlineStr">
        <is>
          <t>CRFH</t>
        </is>
      </c>
      <c r="J626" s="599" t="n"/>
      <c r="K626" s="596" t="inlineStr">
        <is>
          <t>PE</t>
        </is>
      </c>
      <c r="L626" s="601" t="inlineStr">
        <is>
          <t>CR</t>
        </is>
      </c>
      <c r="M626" s="599" t="n"/>
      <c r="N626" s="600" t="n"/>
      <c r="O626" s="601" t="n"/>
      <c r="P626" s="601" t="n"/>
      <c r="Q626" s="557">
        <f>CONCATENATE(scheduleapr[[#This Row],[OD]],"-",scheduleapr[[#This Row],[ID]],"-",scheduleapr[[#This Row],[TICKNESS]],"-",scheduleapr[[#This Row],[Grade]],"-",scheduleapr[[#This Row],[FC/NFC]])</f>
        <v/>
      </c>
      <c r="R626" s="557">
        <f>_xlfn.CONCAT(scheduleapr[[#This Row],[Bucket]],"-",scheduleapr[[#This Row],[LENGTH]]/1000)</f>
        <v/>
      </c>
      <c r="S626" s="557">
        <f>COUNTIF(scheduleapr[CTL Bucket],scheduleapr[[#This Row],[CTL Bucket]])</f>
        <v/>
      </c>
      <c r="T626" s="601" t="inlineStr">
        <is>
          <t>Hosur</t>
        </is>
      </c>
      <c r="U626" s="601">
        <f>_xlfn.IFNA(VLOOKUP(scheduleapr[[#This Row],[Bucket]],salesforecast[[#All],[Bucket2]:[8406 Stock]],19,0),0)</f>
        <v/>
      </c>
      <c r="V626" s="562">
        <f>_xlfn.IFNA(VLOOKUP(scheduleapr[[#This Row],[Bucket]],salesforecast[[#All],[Bucket2]:[8406 Stock]],20,0),0)+_xlfn.IFNA(VLOOKUP(scheduleapr[[#This Row],[Bucket]],salesforecast[[#All],[Bucket2]:[8406 Stock]],17,0),0)</f>
        <v/>
      </c>
      <c r="W626" s="557" t="n"/>
      <c r="X626" s="599" t="n">
        <v>23.42</v>
      </c>
      <c r="Y626" s="599" t="n">
        <v>19</v>
      </c>
      <c r="Z626" s="599" t="n">
        <v>19</v>
      </c>
      <c r="AA626" s="599" t="n">
        <v>1</v>
      </c>
      <c r="AB626" s="600" t="n">
        <v>755</v>
      </c>
      <c r="AC626" s="600" t="inlineStr">
        <is>
          <t>NOS</t>
        </is>
      </c>
      <c r="AD626" s="600" t="n"/>
      <c r="AE626" s="600" t="n"/>
      <c r="AF626" s="602" t="n">
        <v>12000</v>
      </c>
      <c r="AG626" s="602" t="n"/>
      <c r="AH626" s="601">
        <f t="array" ref="AH6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6" s="602">
        <f>scheduleapr[[#This Row],[SCHEDULE in nos]]-scheduleapr[[#This Row],[DISPATCH]]</f>
        <v/>
      </c>
      <c r="AJ626" s="599">
        <f>(3.14*(scheduleapr[[#This Row],[ACTUAL OD]]-scheduleapr[[#This Row],[TICKNESS]])*scheduleapr[[#This Row],[TICKNESS]]*scheduleapr[[#This Row],[LENGTH]]*7.85)/1000000*scheduleapr[[#This Row],[SCHEDULE in nos]]/1000</f>
        <v/>
      </c>
      <c r="AK626" s="599">
        <f>(3.14*(scheduleapr[[#This Row],[ACTUAL OD]]-scheduleapr[[#This Row],[TICKNESS]])*scheduleapr[[#This Row],[TICKNESS]]*scheduleapr[[#This Row],[LENGTH]]*7.85)/1000000*scheduleapr[[#This Row],[DISPATCH]]/1000</f>
        <v/>
      </c>
      <c r="AL626" s="599">
        <f>AJ626-AK626</f>
        <v/>
      </c>
      <c r="AM626" s="599">
        <f>scheduleapr[[#This Row],[SCHEDULE in nos]]/scheduleapr[[#This Row],[SCHEDULE IN MT]]*scheduleapr[[#This Row],[CTL Stock]]</f>
        <v/>
      </c>
      <c r="AN626" s="599">
        <f>SUMIFS(stock[MT],stock[Bucket],scheduleapr[[#This Row],[Bucket]],stock[CTL Bucket],scheduleapr[[#This Row],[CTL Bucket]],stock[Plant],"0789")</f>
        <v/>
      </c>
      <c r="AO626" s="599" t="n"/>
      <c r="AP626" s="599">
        <f>SUMIFS(stock[MT],stock[Bucket],scheduleapr[[#This Row],[Bucket]],stock[LL or CTL],"LL")</f>
        <v/>
      </c>
      <c r="AQ626" s="599">
        <f>+SUMIFS(wip[Stock(Net Wt)],wip[Bucket],scheduleapr[[#This Row],[Bucket]])/1000</f>
        <v/>
      </c>
      <c r="AR626" s="599">
        <f>AJ626-AN626</f>
        <v/>
      </c>
      <c r="AS626" s="118" t="n"/>
    </row>
    <row r="627">
      <c r="A627" s="594" t="n">
        <v>546</v>
      </c>
      <c r="B627" s="5" t="inlineStr">
        <is>
          <t>Hosur</t>
        </is>
      </c>
      <c r="C627" s="601" t="inlineStr">
        <is>
          <t>SRI BALAJI GEARS V4</t>
        </is>
      </c>
      <c r="D627" s="601" t="inlineStr">
        <is>
          <t>Sri Balaji Gear</t>
        </is>
      </c>
      <c r="E627" s="601" t="n">
        <v>188595</v>
      </c>
      <c r="F627" s="9" t="n">
        <v>3572033</v>
      </c>
      <c r="G627" s="601">
        <f>_xlfn.CONCAT(scheduleapr[[#This Row],[CUSTOMER CODE]],"-",scheduleapr[[#This Row],[MATERIAL NO]])</f>
        <v/>
      </c>
      <c r="H627" s="601" t="inlineStr">
        <is>
          <t>TUB-S-AW-AUT-19.00X19.00X1.000X0.7900</t>
        </is>
      </c>
      <c r="I627" s="596" t="inlineStr">
        <is>
          <t>CRFH</t>
        </is>
      </c>
      <c r="J627" s="599" t="n"/>
      <c r="K627" s="596" t="inlineStr">
        <is>
          <t>PE</t>
        </is>
      </c>
      <c r="L627" s="601" t="inlineStr">
        <is>
          <t>CR</t>
        </is>
      </c>
      <c r="M627" s="599" t="n"/>
      <c r="N627" s="600" t="n"/>
      <c r="O627" s="601" t="n"/>
      <c r="P627" s="601" t="n"/>
      <c r="Q627" s="557">
        <f>CONCATENATE(scheduleapr[[#This Row],[OD]],"-",scheduleapr[[#This Row],[ID]],"-",scheduleapr[[#This Row],[TICKNESS]],"-",scheduleapr[[#This Row],[Grade]],"-",scheduleapr[[#This Row],[FC/NFC]])</f>
        <v/>
      </c>
      <c r="R627" s="557">
        <f>_xlfn.CONCAT(scheduleapr[[#This Row],[Bucket]],"-",scheduleapr[[#This Row],[LENGTH]]/1000)</f>
        <v/>
      </c>
      <c r="S627" s="557">
        <f>COUNTIF(scheduleapr[CTL Bucket],scheduleapr[[#This Row],[CTL Bucket]])</f>
        <v/>
      </c>
      <c r="T627" s="601" t="inlineStr">
        <is>
          <t>Hosur</t>
        </is>
      </c>
      <c r="U627" s="601">
        <f>_xlfn.IFNA(VLOOKUP(scheduleapr[[#This Row],[Bucket]],salesforecast[[#All],[Bucket2]:[8406 Stock]],19,0),0)</f>
        <v/>
      </c>
      <c r="V627" s="562">
        <f>_xlfn.IFNA(VLOOKUP(scheduleapr[[#This Row],[Bucket]],salesforecast[[#All],[Bucket2]:[8406 Stock]],20,0),0)+_xlfn.IFNA(VLOOKUP(scheduleapr[[#This Row],[Bucket]],salesforecast[[#All],[Bucket2]:[8406 Stock]],17,0),0)</f>
        <v/>
      </c>
      <c r="W627" s="557" t="n"/>
      <c r="X627" s="599" t="n">
        <v>23.42</v>
      </c>
      <c r="Y627" s="599" t="n">
        <v>19</v>
      </c>
      <c r="Z627" s="599" t="n">
        <v>19</v>
      </c>
      <c r="AA627" s="599" t="n">
        <v>1</v>
      </c>
      <c r="AB627" s="600" t="n">
        <v>790</v>
      </c>
      <c r="AC627" s="600" t="inlineStr">
        <is>
          <t>NOS</t>
        </is>
      </c>
      <c r="AD627" s="600" t="n"/>
      <c r="AE627" s="600" t="n"/>
      <c r="AF627" s="601" t="n">
        <v>1000</v>
      </c>
      <c r="AG627" s="601" t="n"/>
      <c r="AH627" s="601">
        <f t="array" ref="AH6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7" s="602">
        <f>scheduleapr[[#This Row],[SCHEDULE in nos]]-scheduleapr[[#This Row],[DISPATCH]]</f>
        <v/>
      </c>
      <c r="AJ627" s="599">
        <f>(3.14*(scheduleapr[[#This Row],[ACTUAL OD]]-scheduleapr[[#This Row],[TICKNESS]])*scheduleapr[[#This Row],[TICKNESS]]*scheduleapr[[#This Row],[LENGTH]]*7.85)/1000000*scheduleapr[[#This Row],[SCHEDULE in nos]]/1000</f>
        <v/>
      </c>
      <c r="AK627" s="599">
        <f>(3.14*(scheduleapr[[#This Row],[ACTUAL OD]]-scheduleapr[[#This Row],[TICKNESS]])*scheduleapr[[#This Row],[TICKNESS]]*scheduleapr[[#This Row],[LENGTH]]*7.85)/1000000*scheduleapr[[#This Row],[DISPATCH]]/1000</f>
        <v/>
      </c>
      <c r="AL627" s="599">
        <f>AJ627-AK627</f>
        <v/>
      </c>
      <c r="AM627" s="599">
        <f>scheduleapr[[#This Row],[SCHEDULE in nos]]/scheduleapr[[#This Row],[SCHEDULE IN MT]]*scheduleapr[[#This Row],[CTL Stock]]</f>
        <v/>
      </c>
      <c r="AN627" s="599">
        <f>SUMIFS(stock[MT],stock[Bucket],scheduleapr[[#This Row],[Bucket]],stock[CTL Bucket],scheduleapr[[#This Row],[CTL Bucket]],stock[Plant],"0789")</f>
        <v/>
      </c>
      <c r="AO627" s="599" t="n"/>
      <c r="AP627" s="599">
        <f>SUMIFS(stock[MT],stock[Bucket],scheduleapr[[#This Row],[Bucket]],stock[LL or CTL],"LL")</f>
        <v/>
      </c>
      <c r="AQ627" s="599">
        <f>+SUMIFS(wip[Stock(Net Wt)],wip[Bucket],scheduleapr[[#This Row],[Bucket]])/1000</f>
        <v/>
      </c>
      <c r="AR627" s="599">
        <f>AJ627-AN627</f>
        <v/>
      </c>
      <c r="AS627" s="118" t="n"/>
    </row>
    <row r="628">
      <c r="A628" s="594" t="n">
        <v>508</v>
      </c>
      <c r="B628" s="5" t="inlineStr">
        <is>
          <t>Hosur</t>
        </is>
      </c>
      <c r="C628" s="596" t="inlineStr">
        <is>
          <t>SRI BALAJI GEARS V7</t>
        </is>
      </c>
      <c r="D628" s="601" t="inlineStr">
        <is>
          <t>Sri Balaji Gear</t>
        </is>
      </c>
      <c r="E628" s="601" t="n">
        <v>188595</v>
      </c>
      <c r="F628" s="523" t="n">
        <v>4151429</v>
      </c>
      <c r="G628" s="601">
        <f>_xlfn.CONCAT(scheduleapr[[#This Row],[CUSTOMER CODE]],"-",scheduleapr[[#This Row],[MATERIAL NO]])</f>
        <v/>
      </c>
      <c r="H628" s="601" t="inlineStr">
        <is>
          <t>TUB-S-AW-AUT-19.00X19.00X1.000X0.795</t>
        </is>
      </c>
      <c r="I628" s="596" t="inlineStr">
        <is>
          <t>CRFH</t>
        </is>
      </c>
      <c r="J628" s="599" t="n"/>
      <c r="K628" s="596" t="inlineStr">
        <is>
          <t>PE</t>
        </is>
      </c>
      <c r="L628" s="601" t="inlineStr">
        <is>
          <t>CR</t>
        </is>
      </c>
      <c r="M628" s="599" t="n"/>
      <c r="N628" s="600" t="n"/>
      <c r="O628" s="601" t="n"/>
      <c r="P628" s="601" t="n"/>
      <c r="Q628" s="557">
        <f>CONCATENATE(scheduleapr[[#This Row],[OD]],"-",scheduleapr[[#This Row],[ID]],"-",scheduleapr[[#This Row],[TICKNESS]],"-",scheduleapr[[#This Row],[Grade]],"-",scheduleapr[[#This Row],[FC/NFC]])</f>
        <v/>
      </c>
      <c r="R628" s="557">
        <f>_xlfn.CONCAT(scheduleapr[[#This Row],[Bucket]],"-",scheduleapr[[#This Row],[LENGTH]]/1000)</f>
        <v/>
      </c>
      <c r="S628" s="557">
        <f>COUNTIF(scheduleapr[CTL Bucket],scheduleapr[[#This Row],[CTL Bucket]])</f>
        <v/>
      </c>
      <c r="T628" s="601" t="inlineStr">
        <is>
          <t>Hosur</t>
        </is>
      </c>
      <c r="U628" s="601">
        <f>_xlfn.IFNA(VLOOKUP(scheduleapr[[#This Row],[Bucket]],salesforecast[[#All],[Bucket2]:[8406 Stock]],19,0),0)</f>
        <v/>
      </c>
      <c r="V628" s="562">
        <f>_xlfn.IFNA(VLOOKUP(scheduleapr[[#This Row],[Bucket]],salesforecast[[#All],[Bucket2]:[8406 Stock]],20,0),0)+_xlfn.IFNA(VLOOKUP(scheduleapr[[#This Row],[Bucket]],salesforecast[[#All],[Bucket2]:[8406 Stock]],17,0),0)</f>
        <v/>
      </c>
      <c r="W628" s="557" t="n"/>
      <c r="X628" s="599" t="n">
        <v>23.42</v>
      </c>
      <c r="Y628" s="599" t="n">
        <v>19</v>
      </c>
      <c r="Z628" s="599" t="n">
        <v>19</v>
      </c>
      <c r="AA628" s="599" t="n">
        <v>1</v>
      </c>
      <c r="AB628" s="600" t="n">
        <v>795</v>
      </c>
      <c r="AC628" s="600" t="inlineStr">
        <is>
          <t>NOS</t>
        </is>
      </c>
      <c r="AD628" s="600" t="n"/>
      <c r="AE628" s="600" t="n"/>
      <c r="AF628" s="602" t="n">
        <v>12000</v>
      </c>
      <c r="AG628" s="602" t="n"/>
      <c r="AH628" s="601">
        <f t="array" ref="AH6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8" s="602">
        <f>scheduleapr[[#This Row],[SCHEDULE in nos]]-scheduleapr[[#This Row],[DISPATCH]]</f>
        <v/>
      </c>
      <c r="AJ628" s="599">
        <f>(3.14*(scheduleapr[[#This Row],[ACTUAL OD]]-scheduleapr[[#This Row],[TICKNESS]])*scheduleapr[[#This Row],[TICKNESS]]*scheduleapr[[#This Row],[LENGTH]]*7.85)/1000000*scheduleapr[[#This Row],[SCHEDULE in nos]]/1000</f>
        <v/>
      </c>
      <c r="AK628" s="599">
        <f>(3.14*(scheduleapr[[#This Row],[ACTUAL OD]]-scheduleapr[[#This Row],[TICKNESS]])*scheduleapr[[#This Row],[TICKNESS]]*scheduleapr[[#This Row],[LENGTH]]*7.85)/1000000*scheduleapr[[#This Row],[DISPATCH]]/1000</f>
        <v/>
      </c>
      <c r="AL628" s="599">
        <f>AJ628-AK628</f>
        <v/>
      </c>
      <c r="AM628" s="599">
        <f>scheduleapr[[#This Row],[SCHEDULE in nos]]/scheduleapr[[#This Row],[SCHEDULE IN MT]]*scheduleapr[[#This Row],[CTL Stock]]</f>
        <v/>
      </c>
      <c r="AN628" s="599">
        <f>SUMIFS(stock[MT],stock[Bucket],scheduleapr[[#This Row],[Bucket]],stock[CTL Bucket],scheduleapr[[#This Row],[CTL Bucket]],stock[Plant],"0789")</f>
        <v/>
      </c>
      <c r="AO628" s="599" t="n"/>
      <c r="AP628" s="599">
        <f>SUMIFS(stock[MT],stock[Bucket],scheduleapr[[#This Row],[Bucket]],stock[LL or CTL],"LL")</f>
        <v/>
      </c>
      <c r="AQ628" s="599">
        <f>+SUMIFS(wip[Stock(Net Wt)],wip[Bucket],scheduleapr[[#This Row],[Bucket]])/1000</f>
        <v/>
      </c>
      <c r="AR628" s="599">
        <f>AJ628-AN628</f>
        <v/>
      </c>
      <c r="AS628" s="118" t="n"/>
    </row>
    <row r="629">
      <c r="A629" s="594" t="n">
        <v>642</v>
      </c>
      <c r="B629" s="5" t="inlineStr">
        <is>
          <t>Hosur</t>
        </is>
      </c>
      <c r="C629" s="601" t="inlineStr">
        <is>
          <t>Balaji Gears V3</t>
        </is>
      </c>
      <c r="D629" s="601" t="inlineStr">
        <is>
          <t>Sri Balaji Gear</t>
        </is>
      </c>
      <c r="E629" s="601" t="n">
        <v>188595</v>
      </c>
      <c r="F629" s="523" t="n">
        <v>3931836</v>
      </c>
      <c r="G629" s="601">
        <f>_xlfn.CONCAT(scheduleapr[[#This Row],[CUSTOMER CODE]],"-",scheduleapr[[#This Row],[MATERIAL NO]])</f>
        <v/>
      </c>
      <c r="H629" s="523" t="inlineStr">
        <is>
          <t>CUT-R-AW-AUT-19.00X19.00X1.000X0.8000</t>
        </is>
      </c>
      <c r="I629" s="601" t="inlineStr">
        <is>
          <t>CRFH</t>
        </is>
      </c>
      <c r="J629" s="601" t="n"/>
      <c r="K629" s="596" t="inlineStr">
        <is>
          <t>PE</t>
        </is>
      </c>
      <c r="L629" s="601" t="n"/>
      <c r="M629" s="596" t="n"/>
      <c r="N629" s="601" t="n"/>
      <c r="O629" s="601" t="n"/>
      <c r="P629" s="601" t="n"/>
      <c r="Q629" s="557">
        <f>CONCATENATE(scheduleapr[[#This Row],[OD]],"-",scheduleapr[[#This Row],[ID]],"-",scheduleapr[[#This Row],[TICKNESS]],"-",scheduleapr[[#This Row],[Grade]],"-",scheduleapr[[#This Row],[FC/NFC]])</f>
        <v/>
      </c>
      <c r="R629" s="557">
        <f>_xlfn.CONCAT(scheduleapr[[#This Row],[Bucket]],"-",scheduleapr[[#This Row],[LENGTH]]/1000)</f>
        <v/>
      </c>
      <c r="S629" s="601" t="n"/>
      <c r="T629" s="601" t="n"/>
      <c r="U629" s="601">
        <f>_xlfn.IFNA(VLOOKUP(scheduleapr[[#This Row],[Bucket]],salesforecast[[#All],[Bucket2]:[8406 Stock]],19,0),0)</f>
        <v/>
      </c>
      <c r="V629" s="562">
        <f>_xlfn.IFNA(VLOOKUP(scheduleapr[[#This Row],[Bucket]],salesforecast[[#All],[Bucket2]:[8406 Stock]],20,0),0)+_xlfn.IFNA(VLOOKUP(scheduleapr[[#This Row],[Bucket]],salesforecast[[#All],[Bucket2]:[8406 Stock]],17,0),0)</f>
        <v/>
      </c>
      <c r="W629" s="601" t="n"/>
      <c r="X629" s="599" t="n">
        <v>23.42</v>
      </c>
      <c r="Y629" s="599" t="n">
        <v>19</v>
      </c>
      <c r="Z629" s="599" t="n">
        <v>19</v>
      </c>
      <c r="AA629" s="599" t="n">
        <v>1</v>
      </c>
      <c r="AB629" s="600" t="n">
        <v>800</v>
      </c>
      <c r="AC629" s="600" t="inlineStr">
        <is>
          <t>NOS</t>
        </is>
      </c>
      <c r="AD629" s="600" t="n"/>
      <c r="AE629" s="600" t="n"/>
      <c r="AF629" s="601" t="n">
        <v>1000</v>
      </c>
      <c r="AG629" s="601" t="n"/>
      <c r="AH629" s="601">
        <f t="array" ref="AH6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29" s="602">
        <f>scheduleapr[[#This Row],[SCHEDULE in nos]]-scheduleapr[[#This Row],[DISPATCH]]</f>
        <v/>
      </c>
      <c r="AJ629" s="599">
        <f>(3.14*(scheduleapr[[#This Row],[ACTUAL OD]]-scheduleapr[[#This Row],[TICKNESS]])*scheduleapr[[#This Row],[TICKNESS]]*scheduleapr[[#This Row],[LENGTH]]*7.85)/1000000*scheduleapr[[#This Row],[SCHEDULE in nos]]/1000</f>
        <v/>
      </c>
      <c r="AK629" s="599">
        <f>(3.14*(scheduleapr[[#This Row],[ACTUAL OD]]-scheduleapr[[#This Row],[TICKNESS]])*scheduleapr[[#This Row],[TICKNESS]]*scheduleapr[[#This Row],[LENGTH]]*7.85)/1000000*scheduleapr[[#This Row],[DISPATCH]]/1000</f>
        <v/>
      </c>
      <c r="AL629" s="599">
        <f>AJ629-AK629</f>
        <v/>
      </c>
      <c r="AM629" s="599">
        <f>scheduleapr[[#This Row],[SCHEDULE in nos]]/scheduleapr[[#This Row],[SCHEDULE IN MT]]*scheduleapr[[#This Row],[CTL Stock]]</f>
        <v/>
      </c>
      <c r="AN629" s="599">
        <f>SUMIFS(stock[MT],stock[Bucket],scheduleapr[[#This Row],[Bucket]],stock[CTL Bucket],scheduleapr[[#This Row],[CTL Bucket]],stock[Plant],"0789")</f>
        <v/>
      </c>
      <c r="AO629" s="599" t="n"/>
      <c r="AP629" s="599">
        <f>SUMIFS(stock[MT],stock[Bucket],scheduleapr[[#This Row],[Bucket]],stock[LL or CTL],"LL")</f>
        <v/>
      </c>
      <c r="AQ629" s="599">
        <f>+SUMIFS(wip[Stock(Net Wt)],wip[Bucket],scheduleapr[[#This Row],[Bucket]])/1000</f>
        <v/>
      </c>
      <c r="AR629" s="599">
        <f>AJ629-AN629</f>
        <v/>
      </c>
      <c r="AS629" s="118" t="n"/>
    </row>
    <row r="630">
      <c r="A630" s="594" t="n">
        <v>518</v>
      </c>
      <c r="B630" s="5" t="inlineStr">
        <is>
          <t>Hosur</t>
        </is>
      </c>
      <c r="C630" s="596" t="inlineStr">
        <is>
          <t>SRI BALAJI GEARS V7</t>
        </is>
      </c>
      <c r="D630" s="601" t="inlineStr">
        <is>
          <t>Sri Balaji Gear</t>
        </is>
      </c>
      <c r="E630" s="601" t="n">
        <v>188595</v>
      </c>
      <c r="F630" s="523" t="n">
        <v>4151425</v>
      </c>
      <c r="G630" s="601">
        <f>_xlfn.CONCAT(scheduleapr[[#This Row],[CUSTOMER CODE]],"-",scheduleapr[[#This Row],[MATERIAL NO]])</f>
        <v/>
      </c>
      <c r="H630" s="601" t="inlineStr">
        <is>
          <t>CUT-S-AW-AUT-19.00X19.00X1.000X0.835</t>
        </is>
      </c>
      <c r="I630" s="596" t="inlineStr">
        <is>
          <t>CRFH</t>
        </is>
      </c>
      <c r="J630" s="599" t="n"/>
      <c r="K630" s="596" t="inlineStr">
        <is>
          <t>PE</t>
        </is>
      </c>
      <c r="L630" s="601" t="inlineStr">
        <is>
          <t>CR</t>
        </is>
      </c>
      <c r="M630" s="599" t="n"/>
      <c r="N630" s="600" t="n"/>
      <c r="O630" s="601" t="n"/>
      <c r="P630" s="601" t="n"/>
      <c r="Q630" s="557">
        <f>CONCATENATE(scheduleapr[[#This Row],[OD]],"-",scheduleapr[[#This Row],[ID]],"-",scheduleapr[[#This Row],[TICKNESS]],"-",scheduleapr[[#This Row],[Grade]],"-",scheduleapr[[#This Row],[FC/NFC]])</f>
        <v/>
      </c>
      <c r="R630" s="557">
        <f>_xlfn.CONCAT(scheduleapr[[#This Row],[Bucket]],"-",scheduleapr[[#This Row],[LENGTH]]/1000)</f>
        <v/>
      </c>
      <c r="S630" s="557">
        <f>COUNTIF(scheduleapr[CTL Bucket],scheduleapr[[#This Row],[CTL Bucket]])</f>
        <v/>
      </c>
      <c r="T630" s="601" t="inlineStr">
        <is>
          <t>Hosur</t>
        </is>
      </c>
      <c r="U630" s="601">
        <f>_xlfn.IFNA(VLOOKUP(scheduleapr[[#This Row],[Bucket]],salesforecast[[#All],[Bucket2]:[8406 Stock]],19,0),0)</f>
        <v/>
      </c>
      <c r="V630" s="562">
        <f>_xlfn.IFNA(VLOOKUP(scheduleapr[[#This Row],[Bucket]],salesforecast[[#All],[Bucket2]:[8406 Stock]],20,0),0)+_xlfn.IFNA(VLOOKUP(scheduleapr[[#This Row],[Bucket]],salesforecast[[#All],[Bucket2]:[8406 Stock]],17,0),0)</f>
        <v/>
      </c>
      <c r="W630" s="557" t="n"/>
      <c r="X630" s="599" t="n">
        <v>23.42</v>
      </c>
      <c r="Y630" s="599" t="n">
        <v>19</v>
      </c>
      <c r="Z630" s="599" t="n">
        <v>19</v>
      </c>
      <c r="AA630" s="599" t="n">
        <v>1</v>
      </c>
      <c r="AB630" s="600" t="n">
        <v>835</v>
      </c>
      <c r="AC630" s="600" t="inlineStr">
        <is>
          <t>NOS</t>
        </is>
      </c>
      <c r="AD630" s="600" t="n"/>
      <c r="AE630" s="600" t="n"/>
      <c r="AF630" s="602" t="n">
        <v>12000</v>
      </c>
      <c r="AG630" s="602" t="n"/>
      <c r="AH630" s="601">
        <f t="array" ref="AH6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0" s="602">
        <f>scheduleapr[[#This Row],[SCHEDULE in nos]]-scheduleapr[[#This Row],[DISPATCH]]</f>
        <v/>
      </c>
      <c r="AJ630" s="599">
        <f>(3.14*(scheduleapr[[#This Row],[ACTUAL OD]]-scheduleapr[[#This Row],[TICKNESS]])*scheduleapr[[#This Row],[TICKNESS]]*scheduleapr[[#This Row],[LENGTH]]*7.85)/1000000*scheduleapr[[#This Row],[SCHEDULE in nos]]/1000</f>
        <v/>
      </c>
      <c r="AK630" s="599">
        <f>(3.14*(scheduleapr[[#This Row],[ACTUAL OD]]-scheduleapr[[#This Row],[TICKNESS]])*scheduleapr[[#This Row],[TICKNESS]]*scheduleapr[[#This Row],[LENGTH]]*7.85)/1000000*scheduleapr[[#This Row],[DISPATCH]]/1000</f>
        <v/>
      </c>
      <c r="AL630" s="599">
        <f>AJ630-AK630</f>
        <v/>
      </c>
      <c r="AM630" s="599">
        <f>scheduleapr[[#This Row],[SCHEDULE in nos]]/scheduleapr[[#This Row],[SCHEDULE IN MT]]*scheduleapr[[#This Row],[CTL Stock]]</f>
        <v/>
      </c>
      <c r="AN630" s="599">
        <f>SUMIFS(stock[MT],stock[Bucket],scheduleapr[[#This Row],[Bucket]],stock[CTL Bucket],scheduleapr[[#This Row],[CTL Bucket]],stock[Plant],"0789")</f>
        <v/>
      </c>
      <c r="AO630" s="599" t="n"/>
      <c r="AP630" s="599">
        <f>SUMIFS(stock[MT],stock[Bucket],scheduleapr[[#This Row],[Bucket]],stock[LL or CTL],"LL")</f>
        <v/>
      </c>
      <c r="AQ630" s="599">
        <f>+SUMIFS(wip[Stock(Net Wt)],wip[Bucket],scheduleapr[[#This Row],[Bucket]])/1000</f>
        <v/>
      </c>
      <c r="AR630" s="599">
        <f>AJ630-AN630</f>
        <v/>
      </c>
      <c r="AS630" s="118" t="n"/>
    </row>
    <row r="631">
      <c r="A631" s="594" t="n">
        <v>641</v>
      </c>
      <c r="B631" s="5" t="inlineStr">
        <is>
          <t>Hosur</t>
        </is>
      </c>
      <c r="C631" s="601" t="inlineStr">
        <is>
          <t>Balaji Gears V3</t>
        </is>
      </c>
      <c r="D631" s="601" t="inlineStr">
        <is>
          <t>Sri Balaji Gear</t>
        </is>
      </c>
      <c r="E631" s="601" t="n">
        <v>188595</v>
      </c>
      <c r="F631" s="523" t="n">
        <v>3230485</v>
      </c>
      <c r="G631" s="601">
        <f>_xlfn.CONCAT(scheduleapr[[#This Row],[CUSTOMER CODE]],"-",scheduleapr[[#This Row],[MATERIAL NO]])</f>
        <v/>
      </c>
      <c r="H631" s="523" t="inlineStr">
        <is>
          <t>TUB-S-AW-AUT-19.00X19.00X1.000X0.8400</t>
        </is>
      </c>
      <c r="I631" s="601" t="inlineStr">
        <is>
          <t>CRFH</t>
        </is>
      </c>
      <c r="J631" s="601" t="n"/>
      <c r="K631" s="596" t="inlineStr">
        <is>
          <t>PE</t>
        </is>
      </c>
      <c r="L631" s="601" t="n"/>
      <c r="M631" s="596" t="n"/>
      <c r="N631" s="601" t="n"/>
      <c r="O631" s="601" t="n"/>
      <c r="P631" s="601" t="n"/>
      <c r="Q631" s="557">
        <f>CONCATENATE(scheduleapr[[#This Row],[OD]],"-",scheduleapr[[#This Row],[ID]],"-",scheduleapr[[#This Row],[TICKNESS]],"-",scheduleapr[[#This Row],[Grade]],"-",scheduleapr[[#This Row],[FC/NFC]])</f>
        <v/>
      </c>
      <c r="R631" s="557">
        <f>_xlfn.CONCAT(scheduleapr[[#This Row],[Bucket]],"-",scheduleapr[[#This Row],[LENGTH]]/1000)</f>
        <v/>
      </c>
      <c r="S631" s="601" t="n"/>
      <c r="T631" s="601" t="n"/>
      <c r="U631" s="601">
        <f>_xlfn.IFNA(VLOOKUP(scheduleapr[[#This Row],[Bucket]],salesforecast[[#All],[Bucket2]:[8406 Stock]],19,0),0)</f>
        <v/>
      </c>
      <c r="V631" s="562">
        <f>_xlfn.IFNA(VLOOKUP(scheduleapr[[#This Row],[Bucket]],salesforecast[[#All],[Bucket2]:[8406 Stock]],20,0),0)+_xlfn.IFNA(VLOOKUP(scheduleapr[[#This Row],[Bucket]],salesforecast[[#All],[Bucket2]:[8406 Stock]],17,0),0)</f>
        <v/>
      </c>
      <c r="W631" s="601" t="n"/>
      <c r="X631" s="599" t="n">
        <v>23.42</v>
      </c>
      <c r="Y631" s="599" t="n">
        <v>19</v>
      </c>
      <c r="Z631" s="599" t="n">
        <v>19</v>
      </c>
      <c r="AA631" s="599" t="n">
        <v>1</v>
      </c>
      <c r="AB631" s="600" t="n">
        <v>840</v>
      </c>
      <c r="AC631" s="600" t="inlineStr">
        <is>
          <t>NOS</t>
        </is>
      </c>
      <c r="AD631" s="600" t="n"/>
      <c r="AE631" s="600" t="n"/>
      <c r="AF631" s="601" t="n">
        <v>1000</v>
      </c>
      <c r="AG631" s="601" t="n"/>
      <c r="AH631" s="601">
        <f t="array" ref="AH6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1" s="602">
        <f>scheduleapr[[#This Row],[SCHEDULE in nos]]-scheduleapr[[#This Row],[DISPATCH]]</f>
        <v/>
      </c>
      <c r="AJ631" s="599">
        <f>(3.14*(scheduleapr[[#This Row],[ACTUAL OD]]-scheduleapr[[#This Row],[TICKNESS]])*scheduleapr[[#This Row],[TICKNESS]]*scheduleapr[[#This Row],[LENGTH]]*7.85)/1000000*scheduleapr[[#This Row],[SCHEDULE in nos]]/1000</f>
        <v/>
      </c>
      <c r="AK631" s="599">
        <f>(3.14*(scheduleapr[[#This Row],[ACTUAL OD]]-scheduleapr[[#This Row],[TICKNESS]])*scheduleapr[[#This Row],[TICKNESS]]*scheduleapr[[#This Row],[LENGTH]]*7.85)/1000000*scheduleapr[[#This Row],[DISPATCH]]/1000</f>
        <v/>
      </c>
      <c r="AL631" s="599">
        <f>AJ631-AK631</f>
        <v/>
      </c>
      <c r="AM631" s="599">
        <f>scheduleapr[[#This Row],[SCHEDULE in nos]]/scheduleapr[[#This Row],[SCHEDULE IN MT]]*scheduleapr[[#This Row],[CTL Stock]]</f>
        <v/>
      </c>
      <c r="AN631" s="599">
        <f>SUMIFS(stock[MT],stock[Bucket],scheduleapr[[#This Row],[Bucket]],stock[CTL Bucket],scheduleapr[[#This Row],[CTL Bucket]],stock[Plant],"0789")</f>
        <v/>
      </c>
      <c r="AO631" s="599" t="n"/>
      <c r="AP631" s="599">
        <f>SUMIFS(stock[MT],stock[Bucket],scheduleapr[[#This Row],[Bucket]],stock[LL or CTL],"LL")</f>
        <v/>
      </c>
      <c r="AQ631" s="599">
        <f>+SUMIFS(wip[Stock(Net Wt)],wip[Bucket],scheduleapr[[#This Row],[Bucket]])/1000</f>
        <v/>
      </c>
      <c r="AR631" s="599">
        <f>AJ631-AN631</f>
        <v/>
      </c>
      <c r="AS631" s="118" t="n"/>
    </row>
    <row r="632">
      <c r="A632" s="594" t="n">
        <v>640</v>
      </c>
      <c r="B632" s="5" t="inlineStr">
        <is>
          <t>Hosur</t>
        </is>
      </c>
      <c r="C632" s="601" t="inlineStr">
        <is>
          <t>Balaji Gears V3</t>
        </is>
      </c>
      <c r="D632" s="601" t="inlineStr">
        <is>
          <t>Sri Balaji Gear</t>
        </is>
      </c>
      <c r="E632" s="601" t="n">
        <v>188595</v>
      </c>
      <c r="F632" s="523" t="n">
        <v>3233560</v>
      </c>
      <c r="G632" s="601">
        <f>_xlfn.CONCAT(scheduleapr[[#This Row],[CUSTOMER CODE]],"-",scheduleapr[[#This Row],[MATERIAL NO]])</f>
        <v/>
      </c>
      <c r="H632" s="523" t="inlineStr">
        <is>
          <t>TUB-S-AW-AUT-19.00X19.00X1.000X0.8750</t>
        </is>
      </c>
      <c r="I632" s="601" t="inlineStr">
        <is>
          <t>CRFH</t>
        </is>
      </c>
      <c r="J632" s="601" t="n"/>
      <c r="K632" s="596" t="inlineStr">
        <is>
          <t>PE</t>
        </is>
      </c>
      <c r="L632" s="601" t="n"/>
      <c r="M632" s="596" t="n"/>
      <c r="N632" s="601" t="n"/>
      <c r="O632" s="601" t="n"/>
      <c r="P632" s="601" t="n"/>
      <c r="Q632" s="557">
        <f>CONCATENATE(scheduleapr[[#This Row],[OD]],"-",scheduleapr[[#This Row],[ID]],"-",scheduleapr[[#This Row],[TICKNESS]],"-",scheduleapr[[#This Row],[Grade]],"-",scheduleapr[[#This Row],[FC/NFC]])</f>
        <v/>
      </c>
      <c r="R632" s="557">
        <f>_xlfn.CONCAT(scheduleapr[[#This Row],[Bucket]],"-",scheduleapr[[#This Row],[LENGTH]]/1000)</f>
        <v/>
      </c>
      <c r="S632" s="601" t="n"/>
      <c r="T632" s="601" t="n"/>
      <c r="U632" s="601">
        <f>_xlfn.IFNA(VLOOKUP(scheduleapr[[#This Row],[Bucket]],salesforecast[[#All],[Bucket2]:[8406 Stock]],19,0),0)</f>
        <v/>
      </c>
      <c r="V632" s="562">
        <f>_xlfn.IFNA(VLOOKUP(scheduleapr[[#This Row],[Bucket]],salesforecast[[#All],[Bucket2]:[8406 Stock]],20,0),0)+_xlfn.IFNA(VLOOKUP(scheduleapr[[#This Row],[Bucket]],salesforecast[[#All],[Bucket2]:[8406 Stock]],17,0),0)</f>
        <v/>
      </c>
      <c r="W632" s="601" t="n"/>
      <c r="X632" s="599" t="n">
        <v>23.42</v>
      </c>
      <c r="Y632" s="599" t="n">
        <v>19</v>
      </c>
      <c r="Z632" s="599" t="n">
        <v>19</v>
      </c>
      <c r="AA632" s="599" t="n">
        <v>1</v>
      </c>
      <c r="AB632" s="600" t="n">
        <v>875</v>
      </c>
      <c r="AC632" s="600" t="inlineStr">
        <is>
          <t>NOS</t>
        </is>
      </c>
      <c r="AD632" s="600" t="n"/>
      <c r="AE632" s="600" t="n"/>
      <c r="AF632" s="601" t="n">
        <v>1000</v>
      </c>
      <c r="AG632" s="601" t="n"/>
      <c r="AH632" s="601">
        <f t="array" ref="AH6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2" s="602">
        <f>scheduleapr[[#This Row],[SCHEDULE in nos]]-scheduleapr[[#This Row],[DISPATCH]]</f>
        <v/>
      </c>
      <c r="AJ632" s="599">
        <f>(3.14*(scheduleapr[[#This Row],[ACTUAL OD]]-scheduleapr[[#This Row],[TICKNESS]])*scheduleapr[[#This Row],[TICKNESS]]*scheduleapr[[#This Row],[LENGTH]]*7.85)/1000000*scheduleapr[[#This Row],[SCHEDULE in nos]]/1000</f>
        <v/>
      </c>
      <c r="AK632" s="599">
        <f>(3.14*(scheduleapr[[#This Row],[ACTUAL OD]]-scheduleapr[[#This Row],[TICKNESS]])*scheduleapr[[#This Row],[TICKNESS]]*scheduleapr[[#This Row],[LENGTH]]*7.85)/1000000*scheduleapr[[#This Row],[DISPATCH]]/1000</f>
        <v/>
      </c>
      <c r="AL632" s="599">
        <f>AJ632-AK632</f>
        <v/>
      </c>
      <c r="AM632" s="599">
        <f>scheduleapr[[#This Row],[SCHEDULE in nos]]/scheduleapr[[#This Row],[SCHEDULE IN MT]]*scheduleapr[[#This Row],[CTL Stock]]</f>
        <v/>
      </c>
      <c r="AN632" s="599">
        <f>SUMIFS(stock[MT],stock[Bucket],scheduleapr[[#This Row],[Bucket]],stock[CTL Bucket],scheduleapr[[#This Row],[CTL Bucket]],stock[Plant],"0789")</f>
        <v/>
      </c>
      <c r="AO632" s="599" t="n"/>
      <c r="AP632" s="599">
        <f>SUMIFS(stock[MT],stock[Bucket],scheduleapr[[#This Row],[Bucket]],stock[LL or CTL],"LL")</f>
        <v/>
      </c>
      <c r="AQ632" s="599">
        <f>+SUMIFS(wip[Stock(Net Wt)],wip[Bucket],scheduleapr[[#This Row],[Bucket]])/1000</f>
        <v/>
      </c>
      <c r="AR632" s="599">
        <f>AJ632-AN632</f>
        <v/>
      </c>
      <c r="AS632" s="118" t="n"/>
    </row>
    <row r="633">
      <c r="A633" s="594" t="n">
        <v>639</v>
      </c>
      <c r="B633" s="5" t="inlineStr">
        <is>
          <t>Hosur</t>
        </is>
      </c>
      <c r="C633" s="601" t="inlineStr">
        <is>
          <t>Balaji Gears V3</t>
        </is>
      </c>
      <c r="D633" s="601" t="inlineStr">
        <is>
          <t>Sri Balaji Gear</t>
        </is>
      </c>
      <c r="E633" s="601" t="n">
        <v>188595</v>
      </c>
      <c r="F633" s="523" t="n">
        <v>3230492</v>
      </c>
      <c r="G633" s="601">
        <f>_xlfn.CONCAT(scheduleapr[[#This Row],[CUSTOMER CODE]],"-",scheduleapr[[#This Row],[MATERIAL NO]])</f>
        <v/>
      </c>
      <c r="H633" s="523" t="inlineStr">
        <is>
          <t>TUB-S-AW-AUT-19.00X19.00X1.000X0.8800</t>
        </is>
      </c>
      <c r="I633" s="601" t="inlineStr">
        <is>
          <t>CRFH</t>
        </is>
      </c>
      <c r="J633" s="601" t="n"/>
      <c r="K633" s="596" t="inlineStr">
        <is>
          <t>PE</t>
        </is>
      </c>
      <c r="L633" s="601" t="n"/>
      <c r="M633" s="596" t="n"/>
      <c r="N633" s="601" t="n"/>
      <c r="O633" s="601" t="n"/>
      <c r="P633" s="601" t="n"/>
      <c r="Q633" s="557">
        <f>CONCATENATE(scheduleapr[[#This Row],[OD]],"-",scheduleapr[[#This Row],[ID]],"-",scheduleapr[[#This Row],[TICKNESS]],"-",scheduleapr[[#This Row],[Grade]],"-",scheduleapr[[#This Row],[FC/NFC]])</f>
        <v/>
      </c>
      <c r="R633" s="557">
        <f>_xlfn.CONCAT(scheduleapr[[#This Row],[Bucket]],"-",scheduleapr[[#This Row],[LENGTH]]/1000)</f>
        <v/>
      </c>
      <c r="S633" s="601" t="n"/>
      <c r="T633" s="601" t="n"/>
      <c r="U633" s="601">
        <f>_xlfn.IFNA(VLOOKUP(scheduleapr[[#This Row],[Bucket]],salesforecast[[#All],[Bucket2]:[8406 Stock]],19,0),0)</f>
        <v/>
      </c>
      <c r="V633" s="562">
        <f>_xlfn.IFNA(VLOOKUP(scheduleapr[[#This Row],[Bucket]],salesforecast[[#All],[Bucket2]:[8406 Stock]],20,0),0)+_xlfn.IFNA(VLOOKUP(scheduleapr[[#This Row],[Bucket]],salesforecast[[#All],[Bucket2]:[8406 Stock]],17,0),0)</f>
        <v/>
      </c>
      <c r="W633" s="601" t="n"/>
      <c r="X633" s="599" t="n">
        <v>23.42</v>
      </c>
      <c r="Y633" s="599" t="n">
        <v>19</v>
      </c>
      <c r="Z633" s="599" t="n">
        <v>19</v>
      </c>
      <c r="AA633" s="599" t="n">
        <v>1</v>
      </c>
      <c r="AB633" s="600" t="n">
        <v>880</v>
      </c>
      <c r="AC633" s="600" t="inlineStr">
        <is>
          <t>NOS</t>
        </is>
      </c>
      <c r="AD633" s="600" t="n"/>
      <c r="AE633" s="600" t="n"/>
      <c r="AF633" s="601" t="n">
        <v>1000</v>
      </c>
      <c r="AG633" s="601" t="n"/>
      <c r="AH633" s="601">
        <f t="array" ref="AH6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3" s="602">
        <f>scheduleapr[[#This Row],[SCHEDULE in nos]]-scheduleapr[[#This Row],[DISPATCH]]</f>
        <v/>
      </c>
      <c r="AJ633" s="599">
        <f>(3.14*(scheduleapr[[#This Row],[ACTUAL OD]]-scheduleapr[[#This Row],[TICKNESS]])*scheduleapr[[#This Row],[TICKNESS]]*scheduleapr[[#This Row],[LENGTH]]*7.85)/1000000*scheduleapr[[#This Row],[SCHEDULE in nos]]/1000</f>
        <v/>
      </c>
      <c r="AK633" s="599">
        <f>(3.14*(scheduleapr[[#This Row],[ACTUAL OD]]-scheduleapr[[#This Row],[TICKNESS]])*scheduleapr[[#This Row],[TICKNESS]]*scheduleapr[[#This Row],[LENGTH]]*7.85)/1000000*scheduleapr[[#This Row],[DISPATCH]]/1000</f>
        <v/>
      </c>
      <c r="AL633" s="599">
        <f>AJ633-AK633</f>
        <v/>
      </c>
      <c r="AM633" s="599">
        <f>scheduleapr[[#This Row],[SCHEDULE in nos]]/scheduleapr[[#This Row],[SCHEDULE IN MT]]*scheduleapr[[#This Row],[CTL Stock]]</f>
        <v/>
      </c>
      <c r="AN633" s="599">
        <f>SUMIFS(stock[MT],stock[Bucket],scheduleapr[[#This Row],[Bucket]],stock[CTL Bucket],scheduleapr[[#This Row],[CTL Bucket]],stock[Plant],"0789")</f>
        <v/>
      </c>
      <c r="AO633" s="599" t="n"/>
      <c r="AP633" s="599">
        <f>SUMIFS(stock[MT],stock[Bucket],scheduleapr[[#This Row],[Bucket]],stock[LL or CTL],"LL")</f>
        <v/>
      </c>
      <c r="AQ633" s="599">
        <f>+SUMIFS(wip[Stock(Net Wt)],wip[Bucket],scheduleapr[[#This Row],[Bucket]])/1000</f>
        <v/>
      </c>
      <c r="AR633" s="599">
        <f>AJ633-AN633</f>
        <v/>
      </c>
      <c r="AS633" s="118" t="n"/>
    </row>
    <row r="634">
      <c r="A634" s="594" t="n">
        <v>547</v>
      </c>
      <c r="B634" s="5" t="inlineStr">
        <is>
          <t>Hosur</t>
        </is>
      </c>
      <c r="C634" s="601" t="inlineStr">
        <is>
          <t>SRI BALAJI GEARS V4</t>
        </is>
      </c>
      <c r="D634" s="48" t="inlineStr">
        <is>
          <t>Sri Balaji Gear</t>
        </is>
      </c>
      <c r="E634" s="601" t="n">
        <v>188595</v>
      </c>
      <c r="F634" s="9" t="n">
        <v>3572035</v>
      </c>
      <c r="G634" s="601">
        <f>_xlfn.CONCAT(scheduleapr[[#This Row],[CUSTOMER CODE]],"-",scheduleapr[[#This Row],[MATERIAL NO]])</f>
        <v/>
      </c>
      <c r="H634" s="601" t="inlineStr">
        <is>
          <t>TUB-S-AW-AUT-19.00X19.00X1.000X0.8900</t>
        </is>
      </c>
      <c r="I634" s="596" t="inlineStr">
        <is>
          <t>CRFH</t>
        </is>
      </c>
      <c r="J634" s="599" t="n"/>
      <c r="K634" s="596" t="inlineStr">
        <is>
          <t>PE</t>
        </is>
      </c>
      <c r="L634" s="601" t="inlineStr">
        <is>
          <t>CR</t>
        </is>
      </c>
      <c r="M634" s="599" t="n"/>
      <c r="N634" s="600" t="n"/>
      <c r="O634" s="601" t="n"/>
      <c r="P634" s="601" t="n"/>
      <c r="Q634" s="557">
        <f>CONCATENATE(scheduleapr[[#This Row],[OD]],"-",scheduleapr[[#This Row],[ID]],"-",scheduleapr[[#This Row],[TICKNESS]],"-",scheduleapr[[#This Row],[Grade]],"-",scheduleapr[[#This Row],[FC/NFC]])</f>
        <v/>
      </c>
      <c r="R634" s="557">
        <f>_xlfn.CONCAT(scheduleapr[[#This Row],[Bucket]],"-",scheduleapr[[#This Row],[LENGTH]]/1000)</f>
        <v/>
      </c>
      <c r="S634" s="557">
        <f>COUNTIF(scheduleapr[CTL Bucket],scheduleapr[[#This Row],[CTL Bucket]])</f>
        <v/>
      </c>
      <c r="T634" s="601" t="inlineStr">
        <is>
          <t>Hosur</t>
        </is>
      </c>
      <c r="U634" s="601">
        <f>_xlfn.IFNA(VLOOKUP(scheduleapr[[#This Row],[Bucket]],salesforecast[[#All],[Bucket2]:[8406 Stock]],19,0),0)</f>
        <v/>
      </c>
      <c r="V634" s="562">
        <f>_xlfn.IFNA(VLOOKUP(scheduleapr[[#This Row],[Bucket]],salesforecast[[#All],[Bucket2]:[8406 Stock]],20,0),0)+_xlfn.IFNA(VLOOKUP(scheduleapr[[#This Row],[Bucket]],salesforecast[[#All],[Bucket2]:[8406 Stock]],17,0),0)</f>
        <v/>
      </c>
      <c r="W634" s="557" t="n"/>
      <c r="X634" s="599" t="n">
        <v>23.42</v>
      </c>
      <c r="Y634" s="599" t="n">
        <v>19</v>
      </c>
      <c r="Z634" s="599" t="n">
        <v>19</v>
      </c>
      <c r="AA634" s="599" t="n">
        <v>1</v>
      </c>
      <c r="AB634" s="600" t="n">
        <v>890</v>
      </c>
      <c r="AC634" s="600" t="inlineStr">
        <is>
          <t>NOS</t>
        </is>
      </c>
      <c r="AD634" s="600" t="n"/>
      <c r="AE634" s="600" t="n"/>
      <c r="AF634" s="601" t="n">
        <v>500</v>
      </c>
      <c r="AG634" s="601" t="n"/>
      <c r="AH634" s="601">
        <f t="array" ref="AH6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4" s="602">
        <f>scheduleapr[[#This Row],[SCHEDULE in nos]]-scheduleapr[[#This Row],[DISPATCH]]</f>
        <v/>
      </c>
      <c r="AJ634" s="599">
        <f>(3.14*(scheduleapr[[#This Row],[ACTUAL OD]]-scheduleapr[[#This Row],[TICKNESS]])*scheduleapr[[#This Row],[TICKNESS]]*scheduleapr[[#This Row],[LENGTH]]*7.85)/1000000*scheduleapr[[#This Row],[SCHEDULE in nos]]/1000</f>
        <v/>
      </c>
      <c r="AK634" s="599">
        <f>(3.14*(scheduleapr[[#This Row],[ACTUAL OD]]-scheduleapr[[#This Row],[TICKNESS]])*scheduleapr[[#This Row],[TICKNESS]]*scheduleapr[[#This Row],[LENGTH]]*7.85)/1000000*scheduleapr[[#This Row],[DISPATCH]]/1000</f>
        <v/>
      </c>
      <c r="AL634" s="599">
        <f>AJ634-AK634</f>
        <v/>
      </c>
      <c r="AM634" s="599">
        <f>scheduleapr[[#This Row],[SCHEDULE in nos]]/scheduleapr[[#This Row],[SCHEDULE IN MT]]*scheduleapr[[#This Row],[CTL Stock]]</f>
        <v/>
      </c>
      <c r="AN634" s="599">
        <f>SUMIFS(stock[MT],stock[Bucket],scheduleapr[[#This Row],[Bucket]],stock[CTL Bucket],scheduleapr[[#This Row],[CTL Bucket]],stock[Plant],"0789")</f>
        <v/>
      </c>
      <c r="AO634" s="599" t="n"/>
      <c r="AP634" s="599">
        <f>SUMIFS(stock[MT],stock[Bucket],scheduleapr[[#This Row],[Bucket]],stock[LL or CTL],"LL")</f>
        <v/>
      </c>
      <c r="AQ634" s="599">
        <f>+SUMIFS(wip[Stock(Net Wt)],wip[Bucket],scheduleapr[[#This Row],[Bucket]])/1000</f>
        <v/>
      </c>
      <c r="AR634" s="599">
        <f>AJ634-AN634</f>
        <v/>
      </c>
      <c r="AS634" s="118" t="n"/>
    </row>
    <row r="635">
      <c r="A635" s="594" t="n">
        <v>548</v>
      </c>
      <c r="B635" s="5" t="inlineStr">
        <is>
          <t>Hosur</t>
        </is>
      </c>
      <c r="C635" s="596" t="inlineStr">
        <is>
          <t>SRI BALAJI GEARS V4</t>
        </is>
      </c>
      <c r="D635" s="601" t="inlineStr">
        <is>
          <t>Sri Balaji Gear</t>
        </is>
      </c>
      <c r="E635" s="596" t="n">
        <v>188595</v>
      </c>
      <c r="F635" s="87" t="n">
        <v>3938684</v>
      </c>
      <c r="G635" s="601">
        <f>_xlfn.CONCAT(scheduleapr[[#This Row],[CUSTOMER CODE]],"-",scheduleapr[[#This Row],[MATERIAL NO]])</f>
        <v/>
      </c>
      <c r="H635" s="601" t="inlineStr">
        <is>
          <t>TUB-S-AW-AUT-19.00X19.00X1.000X0.9620</t>
        </is>
      </c>
      <c r="I635" s="596" t="inlineStr">
        <is>
          <t>CRFH</t>
        </is>
      </c>
      <c r="J635" s="599" t="n"/>
      <c r="K635" s="596" t="inlineStr">
        <is>
          <t>PE</t>
        </is>
      </c>
      <c r="L635" s="601" t="inlineStr">
        <is>
          <t>CR</t>
        </is>
      </c>
      <c r="M635" s="599" t="n"/>
      <c r="N635" s="600" t="n"/>
      <c r="O635" s="601" t="n"/>
      <c r="P635" s="601" t="n"/>
      <c r="Q635" s="557">
        <f>CONCATENATE(scheduleapr[[#This Row],[OD]],"-",scheduleapr[[#This Row],[ID]],"-",scheduleapr[[#This Row],[TICKNESS]],"-",scheduleapr[[#This Row],[Grade]],"-",scheduleapr[[#This Row],[FC/NFC]])</f>
        <v/>
      </c>
      <c r="R635" s="557">
        <f>_xlfn.CONCAT(scheduleapr[[#This Row],[Bucket]],"-",scheduleapr[[#This Row],[LENGTH]]/1000)</f>
        <v/>
      </c>
      <c r="S635" s="557">
        <f>COUNTIF(scheduleapr[CTL Bucket],scheduleapr[[#This Row],[CTL Bucket]])</f>
        <v/>
      </c>
      <c r="T635" s="601" t="inlineStr">
        <is>
          <t>Hosur</t>
        </is>
      </c>
      <c r="U635" s="601">
        <f>_xlfn.IFNA(VLOOKUP(scheduleapr[[#This Row],[Bucket]],salesforecast[[#All],[Bucket2]:[8406 Stock]],19,0),0)</f>
        <v/>
      </c>
      <c r="V635" s="562">
        <f>_xlfn.IFNA(VLOOKUP(scheduleapr[[#This Row],[Bucket]],salesforecast[[#All],[Bucket2]:[8406 Stock]],20,0),0)+_xlfn.IFNA(VLOOKUP(scheduleapr[[#This Row],[Bucket]],salesforecast[[#All],[Bucket2]:[8406 Stock]],17,0),0)</f>
        <v/>
      </c>
      <c r="W635" s="557" t="n"/>
      <c r="X635" s="599" t="n">
        <v>23.42</v>
      </c>
      <c r="Y635" s="599" t="n">
        <v>19</v>
      </c>
      <c r="Z635" s="599" t="n">
        <v>19</v>
      </c>
      <c r="AA635" s="599" t="n">
        <v>1</v>
      </c>
      <c r="AB635" s="600" t="n">
        <v>962</v>
      </c>
      <c r="AC635" s="600" t="inlineStr">
        <is>
          <t>NOS</t>
        </is>
      </c>
      <c r="AD635" s="600" t="n"/>
      <c r="AE635" s="600" t="n"/>
      <c r="AF635" s="601" t="n">
        <v>1000</v>
      </c>
      <c r="AG635" s="601" t="n"/>
      <c r="AH635" s="601">
        <f t="array" ref="AH6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5" s="602">
        <f>scheduleapr[[#This Row],[SCHEDULE in nos]]-scheduleapr[[#This Row],[DISPATCH]]</f>
        <v/>
      </c>
      <c r="AJ635" s="599">
        <f>(3.14*(scheduleapr[[#This Row],[ACTUAL OD]]-scheduleapr[[#This Row],[TICKNESS]])*scheduleapr[[#This Row],[TICKNESS]]*scheduleapr[[#This Row],[LENGTH]]*7.85)/1000000*scheduleapr[[#This Row],[SCHEDULE in nos]]/1000</f>
        <v/>
      </c>
      <c r="AK635" s="599">
        <f>(3.14*(scheduleapr[[#This Row],[ACTUAL OD]]-scheduleapr[[#This Row],[TICKNESS]])*scheduleapr[[#This Row],[TICKNESS]]*scheduleapr[[#This Row],[LENGTH]]*7.85)/1000000*scheduleapr[[#This Row],[DISPATCH]]/1000</f>
        <v/>
      </c>
      <c r="AL635" s="599">
        <f>AJ635-AK635</f>
        <v/>
      </c>
      <c r="AM635" s="599">
        <f>scheduleapr[[#This Row],[SCHEDULE in nos]]/scheduleapr[[#This Row],[SCHEDULE IN MT]]*scheduleapr[[#This Row],[CTL Stock]]</f>
        <v/>
      </c>
      <c r="AN635" s="599">
        <f>SUMIFS(stock[MT],stock[Bucket],scheduleapr[[#This Row],[Bucket]],stock[CTL Bucket],scheduleapr[[#This Row],[CTL Bucket]],stock[Plant],"0789")</f>
        <v/>
      </c>
      <c r="AO635" s="599" t="n"/>
      <c r="AP635" s="599">
        <f>SUMIFS(stock[MT],stock[Bucket],scheduleapr[[#This Row],[Bucket]],stock[LL or CTL],"LL")</f>
        <v/>
      </c>
      <c r="AQ635" s="599">
        <f>+SUMIFS(wip[Stock(Net Wt)],wip[Bucket],scheduleapr[[#This Row],[Bucket]])/1000</f>
        <v/>
      </c>
      <c r="AR635" s="599">
        <f>AJ635-AN635</f>
        <v/>
      </c>
      <c r="AS635" s="118" t="n"/>
    </row>
    <row r="636">
      <c r="A636" s="594" t="n">
        <v>513</v>
      </c>
      <c r="B636" s="5" t="inlineStr">
        <is>
          <t>Hosur</t>
        </is>
      </c>
      <c r="C636" s="596" t="inlineStr">
        <is>
          <t>SRI BALAJI GEARS V7</t>
        </is>
      </c>
      <c r="D636" s="48" t="inlineStr">
        <is>
          <t>Sri Balaji Gear</t>
        </is>
      </c>
      <c r="E636" s="601" t="n">
        <v>188595</v>
      </c>
      <c r="F636" s="523" t="n">
        <v>4151427</v>
      </c>
      <c r="G636" s="601">
        <f>_xlfn.CONCAT(scheduleapr[[#This Row],[CUSTOMER CODE]],"-",scheduleapr[[#This Row],[MATERIAL NO]])</f>
        <v/>
      </c>
      <c r="H636" s="601" t="inlineStr">
        <is>
          <t>TUB-S-AW-AUT-19.00X19.00X1.000X0.963</t>
        </is>
      </c>
      <c r="I636" s="596" t="inlineStr">
        <is>
          <t>CRFH</t>
        </is>
      </c>
      <c r="J636" s="599" t="n"/>
      <c r="K636" s="596" t="inlineStr">
        <is>
          <t>PE</t>
        </is>
      </c>
      <c r="L636" s="601" t="inlineStr">
        <is>
          <t>CR</t>
        </is>
      </c>
      <c r="M636" s="599" t="n"/>
      <c r="N636" s="600" t="n"/>
      <c r="O636" s="601" t="n"/>
      <c r="P636" s="601" t="n"/>
      <c r="Q636" s="557">
        <f>CONCATENATE(scheduleapr[[#This Row],[OD]],"-",scheduleapr[[#This Row],[ID]],"-",scheduleapr[[#This Row],[TICKNESS]],"-",scheduleapr[[#This Row],[Grade]],"-",scheduleapr[[#This Row],[FC/NFC]])</f>
        <v/>
      </c>
      <c r="R636" s="557">
        <f>_xlfn.CONCAT(scheduleapr[[#This Row],[Bucket]],"-",scheduleapr[[#This Row],[LENGTH]]/1000)</f>
        <v/>
      </c>
      <c r="S636" s="557">
        <f>COUNTIF(scheduleapr[CTL Bucket],scheduleapr[[#This Row],[CTL Bucket]])</f>
        <v/>
      </c>
      <c r="T636" s="601" t="inlineStr">
        <is>
          <t>Hosur</t>
        </is>
      </c>
      <c r="U636" s="601">
        <f>_xlfn.IFNA(VLOOKUP(scheduleapr[[#This Row],[Bucket]],salesforecast[[#All],[Bucket2]:[8406 Stock]],19,0),0)</f>
        <v/>
      </c>
      <c r="V636" s="562">
        <f>_xlfn.IFNA(VLOOKUP(scheduleapr[[#This Row],[Bucket]],salesforecast[[#All],[Bucket2]:[8406 Stock]],20,0),0)+_xlfn.IFNA(VLOOKUP(scheduleapr[[#This Row],[Bucket]],salesforecast[[#All],[Bucket2]:[8406 Stock]],17,0),0)</f>
        <v/>
      </c>
      <c r="W636" s="557" t="n"/>
      <c r="X636" s="599" t="n">
        <v>23.42</v>
      </c>
      <c r="Y636" s="599" t="n">
        <v>19</v>
      </c>
      <c r="Z636" s="599" t="n">
        <v>19</v>
      </c>
      <c r="AA636" s="599" t="n">
        <v>1</v>
      </c>
      <c r="AB636" s="600" t="n">
        <v>963</v>
      </c>
      <c r="AC636" s="600" t="inlineStr">
        <is>
          <t>NOS</t>
        </is>
      </c>
      <c r="AD636" s="600" t="n"/>
      <c r="AE636" s="600" t="n"/>
      <c r="AF636" s="602" t="n">
        <v>12000</v>
      </c>
      <c r="AG636" s="602" t="n"/>
      <c r="AH636" s="601">
        <f t="array" ref="AH6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6" s="602">
        <f>scheduleapr[[#This Row],[SCHEDULE in nos]]-scheduleapr[[#This Row],[DISPATCH]]</f>
        <v/>
      </c>
      <c r="AJ636" s="599">
        <f>(3.14*(scheduleapr[[#This Row],[ACTUAL OD]]-scheduleapr[[#This Row],[TICKNESS]])*scheduleapr[[#This Row],[TICKNESS]]*scheduleapr[[#This Row],[LENGTH]]*7.85)/1000000*scheduleapr[[#This Row],[SCHEDULE in nos]]/1000</f>
        <v/>
      </c>
      <c r="AK636" s="599">
        <f>(3.14*(scheduleapr[[#This Row],[ACTUAL OD]]-scheduleapr[[#This Row],[TICKNESS]])*scheduleapr[[#This Row],[TICKNESS]]*scheduleapr[[#This Row],[LENGTH]]*7.85)/1000000*scheduleapr[[#This Row],[DISPATCH]]/1000</f>
        <v/>
      </c>
      <c r="AL636" s="599">
        <f>AJ636-AK636</f>
        <v/>
      </c>
      <c r="AM636" s="599">
        <f>scheduleapr[[#This Row],[SCHEDULE in nos]]/scheduleapr[[#This Row],[SCHEDULE IN MT]]*scheduleapr[[#This Row],[CTL Stock]]</f>
        <v/>
      </c>
      <c r="AN636" s="599">
        <f>SUMIFS(stock[MT],stock[Bucket],scheduleapr[[#This Row],[Bucket]],stock[CTL Bucket],scheduleapr[[#This Row],[CTL Bucket]],stock[Plant],"0789")</f>
        <v/>
      </c>
      <c r="AO636" s="599" t="n"/>
      <c r="AP636" s="599">
        <f>SUMIFS(stock[MT],stock[Bucket],scheduleapr[[#This Row],[Bucket]],stock[LL or CTL],"LL")</f>
        <v/>
      </c>
      <c r="AQ636" s="599">
        <f>+SUMIFS(wip[Stock(Net Wt)],wip[Bucket],scheduleapr[[#This Row],[Bucket]])/1000</f>
        <v/>
      </c>
      <c r="AR636" s="599">
        <f>AJ636-AN636</f>
        <v/>
      </c>
      <c r="AS636" s="118" t="n"/>
    </row>
    <row r="637">
      <c r="A637" s="594" t="n">
        <v>516</v>
      </c>
      <c r="B637" s="5" t="inlineStr">
        <is>
          <t>Hosur</t>
        </is>
      </c>
      <c r="C637" s="596" t="inlineStr">
        <is>
          <t>SRI BALAJI GEARS V7</t>
        </is>
      </c>
      <c r="D637" s="601" t="inlineStr">
        <is>
          <t>Sri Balaji Gear</t>
        </is>
      </c>
      <c r="E637" s="601" t="n">
        <v>188595</v>
      </c>
      <c r="F637" s="523" t="n">
        <v>4100796</v>
      </c>
      <c r="G637" s="601">
        <f>_xlfn.CONCAT(scheduleapr[[#This Row],[CUSTOMER CODE]],"-",scheduleapr[[#This Row],[MATERIAL NO]])</f>
        <v/>
      </c>
      <c r="H637" s="601" t="inlineStr">
        <is>
          <t>CUT-R-AW-AUT-19.00X19.00X1.000X1.007</t>
        </is>
      </c>
      <c r="I637" s="596" t="inlineStr">
        <is>
          <t>CRFH</t>
        </is>
      </c>
      <c r="J637" s="599" t="n"/>
      <c r="K637" s="596" t="inlineStr">
        <is>
          <t>PE</t>
        </is>
      </c>
      <c r="L637" s="601" t="inlineStr">
        <is>
          <t>CR</t>
        </is>
      </c>
      <c r="M637" s="599" t="n"/>
      <c r="N637" s="600" t="n"/>
      <c r="O637" s="601" t="n"/>
      <c r="P637" s="601" t="n"/>
      <c r="Q637" s="557">
        <f>CONCATENATE(scheduleapr[[#This Row],[OD]],"-",scheduleapr[[#This Row],[ID]],"-",scheduleapr[[#This Row],[TICKNESS]],"-",scheduleapr[[#This Row],[Grade]],"-",scheduleapr[[#This Row],[FC/NFC]])</f>
        <v/>
      </c>
      <c r="R637" s="557">
        <f>_xlfn.CONCAT(scheduleapr[[#This Row],[Bucket]],"-",scheduleapr[[#This Row],[LENGTH]]/1000)</f>
        <v/>
      </c>
      <c r="S637" s="557">
        <f>COUNTIF(scheduleapr[CTL Bucket],scheduleapr[[#This Row],[CTL Bucket]])</f>
        <v/>
      </c>
      <c r="T637" s="601" t="inlineStr">
        <is>
          <t>Hosur</t>
        </is>
      </c>
      <c r="U637" s="601">
        <f>_xlfn.IFNA(VLOOKUP(scheduleapr[[#This Row],[Bucket]],salesforecast[[#All],[Bucket2]:[8406 Stock]],19,0),0)</f>
        <v/>
      </c>
      <c r="V637" s="562">
        <f>_xlfn.IFNA(VLOOKUP(scheduleapr[[#This Row],[Bucket]],salesforecast[[#All],[Bucket2]:[8406 Stock]],20,0),0)+_xlfn.IFNA(VLOOKUP(scheduleapr[[#This Row],[Bucket]],salesforecast[[#All],[Bucket2]:[8406 Stock]],17,0),0)</f>
        <v/>
      </c>
      <c r="W637" s="557" t="n"/>
      <c r="X637" s="599" t="n">
        <v>23.42</v>
      </c>
      <c r="Y637" s="599" t="n">
        <v>19</v>
      </c>
      <c r="Z637" s="599" t="n">
        <v>19</v>
      </c>
      <c r="AA637" s="599" t="n">
        <v>1</v>
      </c>
      <c r="AB637" s="600" t="n">
        <v>1007</v>
      </c>
      <c r="AC637" s="600" t="inlineStr">
        <is>
          <t>NOS</t>
        </is>
      </c>
      <c r="AD637" s="600" t="n"/>
      <c r="AE637" s="600" t="n"/>
      <c r="AF637" s="602" t="n">
        <v>6000</v>
      </c>
      <c r="AG637" s="602" t="n"/>
      <c r="AH637" s="601">
        <f t="array" ref="AH6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7" s="602">
        <f>scheduleapr[[#This Row],[SCHEDULE in nos]]-scheduleapr[[#This Row],[DISPATCH]]</f>
        <v/>
      </c>
      <c r="AJ637" s="599">
        <f>(3.14*(scheduleapr[[#This Row],[ACTUAL OD]]-scheduleapr[[#This Row],[TICKNESS]])*scheduleapr[[#This Row],[TICKNESS]]*scheduleapr[[#This Row],[LENGTH]]*7.85)/1000000*scheduleapr[[#This Row],[SCHEDULE in nos]]/1000</f>
        <v/>
      </c>
      <c r="AK637" s="599">
        <f>(3.14*(scheduleapr[[#This Row],[ACTUAL OD]]-scheduleapr[[#This Row],[TICKNESS]])*scheduleapr[[#This Row],[TICKNESS]]*scheduleapr[[#This Row],[LENGTH]]*7.85)/1000000*scheduleapr[[#This Row],[DISPATCH]]/1000</f>
        <v/>
      </c>
      <c r="AL637" s="599">
        <f>AJ637-AK637</f>
        <v/>
      </c>
      <c r="AM637" s="599">
        <f>scheduleapr[[#This Row],[SCHEDULE in nos]]/scheduleapr[[#This Row],[SCHEDULE IN MT]]*scheduleapr[[#This Row],[CTL Stock]]</f>
        <v/>
      </c>
      <c r="AN637" s="599">
        <f>SUMIFS(stock[MT],stock[Bucket],scheduleapr[[#This Row],[Bucket]],stock[CTL Bucket],scheduleapr[[#This Row],[CTL Bucket]],stock[Plant],"0789")</f>
        <v/>
      </c>
      <c r="AO637" s="599" t="n"/>
      <c r="AP637" s="599">
        <f>SUMIFS(stock[MT],stock[Bucket],scheduleapr[[#This Row],[Bucket]],stock[LL or CTL],"LL")</f>
        <v/>
      </c>
      <c r="AQ637" s="599">
        <f>+SUMIFS(wip[Stock(Net Wt)],wip[Bucket],scheduleapr[[#This Row],[Bucket]])/1000</f>
        <v/>
      </c>
      <c r="AR637" s="599">
        <f>AJ637-AN637</f>
        <v/>
      </c>
      <c r="AS637" s="118" t="n"/>
    </row>
    <row r="638">
      <c r="A638" s="594" t="n">
        <v>549</v>
      </c>
      <c r="B638" s="5" t="inlineStr">
        <is>
          <t>Hosur</t>
        </is>
      </c>
      <c r="C638" s="601" t="inlineStr">
        <is>
          <t>SRI BALAJI GEARS V4</t>
        </is>
      </c>
      <c r="D638" s="601" t="inlineStr">
        <is>
          <t>Sri Balaji Gear</t>
        </is>
      </c>
      <c r="E638" s="601" t="n">
        <v>188595</v>
      </c>
      <c r="F638" s="544" t="n">
        <v>4100796</v>
      </c>
      <c r="G638" s="601">
        <f>_xlfn.CONCAT(scheduleapr[[#This Row],[CUSTOMER CODE]],"-",scheduleapr[[#This Row],[MATERIAL NO]])</f>
        <v/>
      </c>
      <c r="H638" s="601" t="inlineStr">
        <is>
          <t>CUT-R-AW-AUT-19.00X19.00X1.000X1.007</t>
        </is>
      </c>
      <c r="I638" s="596" t="inlineStr">
        <is>
          <t>CRFH</t>
        </is>
      </c>
      <c r="J638" s="599" t="n"/>
      <c r="K638" s="596" t="inlineStr">
        <is>
          <t>PE</t>
        </is>
      </c>
      <c r="L638" s="601" t="inlineStr">
        <is>
          <t>CR</t>
        </is>
      </c>
      <c r="M638" s="599" t="n"/>
      <c r="N638" s="600" t="n"/>
      <c r="O638" s="601" t="n"/>
      <c r="P638" s="601" t="n"/>
      <c r="Q638" s="557">
        <f>CONCATENATE(scheduleapr[[#This Row],[OD]],"-",scheduleapr[[#This Row],[ID]],"-",scheduleapr[[#This Row],[TICKNESS]],"-",scheduleapr[[#This Row],[Grade]],"-",scheduleapr[[#This Row],[FC/NFC]])</f>
        <v/>
      </c>
      <c r="R638" s="557">
        <f>_xlfn.CONCAT(scheduleapr[[#This Row],[Bucket]],"-",scheduleapr[[#This Row],[LENGTH]]/1000)</f>
        <v/>
      </c>
      <c r="S638" s="557">
        <f>COUNTIF(scheduleapr[CTL Bucket],scheduleapr[[#This Row],[CTL Bucket]])</f>
        <v/>
      </c>
      <c r="T638" s="601" t="inlineStr">
        <is>
          <t>Hosur</t>
        </is>
      </c>
      <c r="U638" s="601">
        <f>_xlfn.IFNA(VLOOKUP(scheduleapr[[#This Row],[Bucket]],salesforecast[[#All],[Bucket2]:[8406 Stock]],19,0),0)</f>
        <v/>
      </c>
      <c r="V638" s="562">
        <f>_xlfn.IFNA(VLOOKUP(scheduleapr[[#This Row],[Bucket]],salesforecast[[#All],[Bucket2]:[8406 Stock]],20,0),0)+_xlfn.IFNA(VLOOKUP(scheduleapr[[#This Row],[Bucket]],salesforecast[[#All],[Bucket2]:[8406 Stock]],17,0),0)</f>
        <v/>
      </c>
      <c r="W638" s="557" t="n"/>
      <c r="X638" s="599" t="n">
        <v>23.42</v>
      </c>
      <c r="Y638" s="599" t="n">
        <v>19</v>
      </c>
      <c r="Z638" s="599" t="n">
        <v>19</v>
      </c>
      <c r="AA638" s="599" t="n">
        <v>1</v>
      </c>
      <c r="AB638" s="600" t="n">
        <v>1007</v>
      </c>
      <c r="AC638" s="600" t="inlineStr">
        <is>
          <t>NOS</t>
        </is>
      </c>
      <c r="AD638" s="600" t="n"/>
      <c r="AE638" s="600" t="n"/>
      <c r="AF638" s="601" t="n">
        <v>500</v>
      </c>
      <c r="AG638" s="601" t="n"/>
      <c r="AH638" s="601">
        <f t="array" ref="AH6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8" s="602">
        <f>scheduleapr[[#This Row],[SCHEDULE in nos]]-scheduleapr[[#This Row],[DISPATCH]]</f>
        <v/>
      </c>
      <c r="AJ638" s="599">
        <f>(3.14*(scheduleapr[[#This Row],[ACTUAL OD]]-scheduleapr[[#This Row],[TICKNESS]])*scheduleapr[[#This Row],[TICKNESS]]*scheduleapr[[#This Row],[LENGTH]]*7.85)/1000000*scheduleapr[[#This Row],[SCHEDULE in nos]]/1000</f>
        <v/>
      </c>
      <c r="AK638" s="599">
        <f>(3.14*(scheduleapr[[#This Row],[ACTUAL OD]]-scheduleapr[[#This Row],[TICKNESS]])*scheduleapr[[#This Row],[TICKNESS]]*scheduleapr[[#This Row],[LENGTH]]*7.85)/1000000*scheduleapr[[#This Row],[DISPATCH]]/1000</f>
        <v/>
      </c>
      <c r="AL638" s="599">
        <f>AJ638-AK638</f>
        <v/>
      </c>
      <c r="AM638" s="599">
        <f>scheduleapr[[#This Row],[SCHEDULE in nos]]/scheduleapr[[#This Row],[SCHEDULE IN MT]]*scheduleapr[[#This Row],[CTL Stock]]</f>
        <v/>
      </c>
      <c r="AN638" s="599">
        <f>SUMIFS(stock[MT],stock[Bucket],scheduleapr[[#This Row],[Bucket]],stock[CTL Bucket],scheduleapr[[#This Row],[CTL Bucket]],stock[Plant],"0789")</f>
        <v/>
      </c>
      <c r="AO638" s="599" t="n"/>
      <c r="AP638" s="599">
        <f>SUMIFS(stock[MT],stock[Bucket],scheduleapr[[#This Row],[Bucket]],stock[LL or CTL],"LL")</f>
        <v/>
      </c>
      <c r="AQ638" s="599">
        <f>+SUMIFS(wip[Stock(Net Wt)],wip[Bucket],scheduleapr[[#This Row],[Bucket]])/1000</f>
        <v/>
      </c>
      <c r="AR638" s="599">
        <f>AJ638-AN638</f>
        <v/>
      </c>
      <c r="AS638" s="118" t="n"/>
    </row>
    <row r="639">
      <c r="A639" s="594" t="n">
        <v>661</v>
      </c>
      <c r="B639" s="5" t="inlineStr">
        <is>
          <t>Hosur</t>
        </is>
      </c>
      <c r="C639" s="601" t="inlineStr">
        <is>
          <t>Balaji Gears V3</t>
        </is>
      </c>
      <c r="D639" s="601" t="inlineStr">
        <is>
          <t>Sri Balaji Gear</t>
        </is>
      </c>
      <c r="E639" s="601" t="n">
        <v>188595</v>
      </c>
      <c r="F639" s="523" t="n">
        <v>4100796</v>
      </c>
      <c r="G639" s="601">
        <f>_xlfn.CONCAT(scheduleapr[[#This Row],[CUSTOMER CODE]],"-",scheduleapr[[#This Row],[MATERIAL NO]])</f>
        <v/>
      </c>
      <c r="H639" s="523" t="inlineStr">
        <is>
          <t>CUT-R-AW-AUT-19.00X19.00X1.000X1.0070</t>
        </is>
      </c>
      <c r="I639" s="601" t="inlineStr">
        <is>
          <t>CRFH</t>
        </is>
      </c>
      <c r="J639" s="601" t="n"/>
      <c r="K639" s="596" t="inlineStr">
        <is>
          <t>PE</t>
        </is>
      </c>
      <c r="L639" s="601" t="n"/>
      <c r="M639" s="596" t="n"/>
      <c r="N639" s="601" t="n"/>
      <c r="O639" s="601" t="n"/>
      <c r="P639" s="601" t="n"/>
      <c r="Q639" s="557">
        <f>CONCATENATE(scheduleapr[[#This Row],[OD]],"-",scheduleapr[[#This Row],[ID]],"-",scheduleapr[[#This Row],[TICKNESS]],"-",scheduleapr[[#This Row],[Grade]],"-",scheduleapr[[#This Row],[FC/NFC]])</f>
        <v/>
      </c>
      <c r="R639" s="557">
        <f>_xlfn.CONCAT(scheduleapr[[#This Row],[Bucket]],"-",scheduleapr[[#This Row],[LENGTH]]/1000)</f>
        <v/>
      </c>
      <c r="S639" s="601" t="n"/>
      <c r="T639" s="601" t="n"/>
      <c r="U639" s="601">
        <f>_xlfn.IFNA(VLOOKUP(scheduleapr[[#This Row],[Bucket]],salesforecast[[#All],[Bucket2]:[8406 Stock]],19,0),0)</f>
        <v/>
      </c>
      <c r="V639" s="562">
        <f>_xlfn.IFNA(VLOOKUP(scheduleapr[[#This Row],[Bucket]],salesforecast[[#All],[Bucket2]:[8406 Stock]],20,0),0)+_xlfn.IFNA(VLOOKUP(scheduleapr[[#This Row],[Bucket]],salesforecast[[#All],[Bucket2]:[8406 Stock]],17,0),0)</f>
        <v/>
      </c>
      <c r="W639" s="601" t="n"/>
      <c r="X639" s="599" t="n">
        <v>23.42</v>
      </c>
      <c r="Y639" s="599" t="n">
        <v>19</v>
      </c>
      <c r="Z639" s="599" t="n">
        <v>19</v>
      </c>
      <c r="AA639" s="599" t="n">
        <v>1</v>
      </c>
      <c r="AB639" s="600" t="n">
        <v>1007</v>
      </c>
      <c r="AC639" s="600" t="inlineStr">
        <is>
          <t>NOS</t>
        </is>
      </c>
      <c r="AD639" s="600" t="n"/>
      <c r="AE639" s="600" t="n"/>
      <c r="AF639" s="601" t="n">
        <v>500</v>
      </c>
      <c r="AG639" s="601" t="n"/>
      <c r="AH639" s="601">
        <f t="array" ref="AH6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39" s="602">
        <f>scheduleapr[[#This Row],[SCHEDULE in nos]]-scheduleapr[[#This Row],[DISPATCH]]</f>
        <v/>
      </c>
      <c r="AJ639" s="599">
        <f>(3.14*(scheduleapr[[#This Row],[ACTUAL OD]]-scheduleapr[[#This Row],[TICKNESS]])*scheduleapr[[#This Row],[TICKNESS]]*scheduleapr[[#This Row],[LENGTH]]*7.85)/1000000*scheduleapr[[#This Row],[SCHEDULE in nos]]/1000</f>
        <v/>
      </c>
      <c r="AK639" s="599">
        <f>(3.14*(scheduleapr[[#This Row],[ACTUAL OD]]-scheduleapr[[#This Row],[TICKNESS]])*scheduleapr[[#This Row],[TICKNESS]]*scheduleapr[[#This Row],[LENGTH]]*7.85)/1000000*scheduleapr[[#This Row],[DISPATCH]]/1000</f>
        <v/>
      </c>
      <c r="AL639" s="599">
        <f>AJ639-AK639</f>
        <v/>
      </c>
      <c r="AM639" s="599">
        <f>scheduleapr[[#This Row],[SCHEDULE in nos]]/scheduleapr[[#This Row],[SCHEDULE IN MT]]*scheduleapr[[#This Row],[CTL Stock]]</f>
        <v/>
      </c>
      <c r="AN639" s="599">
        <f>SUMIFS(stock[MT],stock[Bucket],scheduleapr[[#This Row],[Bucket]],stock[CTL Bucket],scheduleapr[[#This Row],[CTL Bucket]],stock[Plant],"0789")</f>
        <v/>
      </c>
      <c r="AO639" s="599" t="n"/>
      <c r="AP639" s="599">
        <f>SUMIFS(stock[MT],stock[Bucket],scheduleapr[[#This Row],[Bucket]],stock[LL or CTL],"LL")</f>
        <v/>
      </c>
      <c r="AQ639" s="599">
        <f>+SUMIFS(wip[Stock(Net Wt)],wip[Bucket],scheduleapr[[#This Row],[Bucket]])/1000</f>
        <v/>
      </c>
      <c r="AR639" s="599">
        <f>AJ639-AN639</f>
        <v/>
      </c>
      <c r="AS639" s="118" t="n"/>
    </row>
    <row r="640">
      <c r="A640" s="594" t="n">
        <v>517</v>
      </c>
      <c r="B640" s="5" t="inlineStr">
        <is>
          <t>Hosur</t>
        </is>
      </c>
      <c r="C640" s="596" t="inlineStr">
        <is>
          <t>SRI BALAJI GEARS V7</t>
        </is>
      </c>
      <c r="D640" s="601" t="inlineStr">
        <is>
          <t>Sri Balaji Gear</t>
        </is>
      </c>
      <c r="E640" s="601" t="n">
        <v>188595</v>
      </c>
      <c r="F640" s="9" t="n">
        <v>3572038</v>
      </c>
      <c r="G640" s="601">
        <f>_xlfn.CONCAT(scheduleapr[[#This Row],[CUSTOMER CODE]],"-",scheduleapr[[#This Row],[MATERIAL NO]])</f>
        <v/>
      </c>
      <c r="H640" s="601" t="inlineStr">
        <is>
          <t>TUB-S-AW-AUT-19.00X19.00X1.000X1.2460</t>
        </is>
      </c>
      <c r="I640" s="596" t="inlineStr">
        <is>
          <t>CRFH</t>
        </is>
      </c>
      <c r="J640" s="599" t="n"/>
      <c r="K640" s="596" t="inlineStr">
        <is>
          <t>PE</t>
        </is>
      </c>
      <c r="L640" s="601" t="inlineStr">
        <is>
          <t>CR</t>
        </is>
      </c>
      <c r="M640" s="599" t="n"/>
      <c r="N640" s="600" t="n"/>
      <c r="O640" s="601" t="n"/>
      <c r="P640" s="601" t="n"/>
      <c r="Q640" s="557">
        <f>CONCATENATE(scheduleapr[[#This Row],[OD]],"-",scheduleapr[[#This Row],[ID]],"-",scheduleapr[[#This Row],[TICKNESS]],"-",scheduleapr[[#This Row],[Grade]],"-",scheduleapr[[#This Row],[FC/NFC]])</f>
        <v/>
      </c>
      <c r="R640" s="557">
        <f>_xlfn.CONCAT(scheduleapr[[#This Row],[Bucket]],"-",scheduleapr[[#This Row],[LENGTH]]/1000)</f>
        <v/>
      </c>
      <c r="S640" s="557">
        <f>COUNTIF(scheduleapr[CTL Bucket],scheduleapr[[#This Row],[CTL Bucket]])</f>
        <v/>
      </c>
      <c r="T640" s="601" t="inlineStr">
        <is>
          <t>Hosur</t>
        </is>
      </c>
      <c r="U640" s="601">
        <f>_xlfn.IFNA(VLOOKUP(scheduleapr[[#This Row],[Bucket]],salesforecast[[#All],[Bucket2]:[8406 Stock]],19,0),0)</f>
        <v/>
      </c>
      <c r="V640" s="562">
        <f>_xlfn.IFNA(VLOOKUP(scheduleapr[[#This Row],[Bucket]],salesforecast[[#All],[Bucket2]:[8406 Stock]],20,0),0)+_xlfn.IFNA(VLOOKUP(scheduleapr[[#This Row],[Bucket]],salesforecast[[#All],[Bucket2]:[8406 Stock]],17,0),0)</f>
        <v/>
      </c>
      <c r="W640" s="557" t="n"/>
      <c r="X640" s="599" t="n">
        <v>23.42</v>
      </c>
      <c r="Y640" s="599" t="n">
        <v>19</v>
      </c>
      <c r="Z640" s="599" t="n">
        <v>19</v>
      </c>
      <c r="AA640" s="599" t="n">
        <v>1</v>
      </c>
      <c r="AB640" s="600" t="n">
        <v>1246</v>
      </c>
      <c r="AC640" s="600" t="inlineStr">
        <is>
          <t>NOS</t>
        </is>
      </c>
      <c r="AD640" s="600" t="n"/>
      <c r="AE640" s="600" t="n"/>
      <c r="AF640" s="602" t="n">
        <v>6000</v>
      </c>
      <c r="AG640" s="602" t="n"/>
      <c r="AH640" s="601">
        <f t="array" ref="AH6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0" s="602">
        <f>scheduleapr[[#This Row],[SCHEDULE in nos]]-scheduleapr[[#This Row],[DISPATCH]]</f>
        <v/>
      </c>
      <c r="AJ640" s="599">
        <f>(3.14*(scheduleapr[[#This Row],[ACTUAL OD]]-scheduleapr[[#This Row],[TICKNESS]])*scheduleapr[[#This Row],[TICKNESS]]*scheduleapr[[#This Row],[LENGTH]]*7.85)/1000000*scheduleapr[[#This Row],[SCHEDULE in nos]]/1000</f>
        <v/>
      </c>
      <c r="AK640" s="599">
        <f>(3.14*(scheduleapr[[#This Row],[ACTUAL OD]]-scheduleapr[[#This Row],[TICKNESS]])*scheduleapr[[#This Row],[TICKNESS]]*scheduleapr[[#This Row],[LENGTH]]*7.85)/1000000*scheduleapr[[#This Row],[DISPATCH]]/1000</f>
        <v/>
      </c>
      <c r="AL640" s="599">
        <f>AJ640-AK640</f>
        <v/>
      </c>
      <c r="AM640" s="599">
        <f>scheduleapr[[#This Row],[SCHEDULE in nos]]/scheduleapr[[#This Row],[SCHEDULE IN MT]]*scheduleapr[[#This Row],[CTL Stock]]</f>
        <v/>
      </c>
      <c r="AN640" s="599">
        <f>SUMIFS(stock[MT],stock[Bucket],scheduleapr[[#This Row],[Bucket]],stock[CTL Bucket],scheduleapr[[#This Row],[CTL Bucket]],stock[Plant],"0789")</f>
        <v/>
      </c>
      <c r="AO640" s="599" t="n"/>
      <c r="AP640" s="599">
        <f>SUMIFS(stock[MT],stock[Bucket],scheduleapr[[#This Row],[Bucket]],stock[LL or CTL],"LL")</f>
        <v/>
      </c>
      <c r="AQ640" s="599">
        <f>+SUMIFS(wip[Stock(Net Wt)],wip[Bucket],scheduleapr[[#This Row],[Bucket]])/1000</f>
        <v/>
      </c>
      <c r="AR640" s="599">
        <f>AJ640-AN640</f>
        <v/>
      </c>
      <c r="AS640" s="118" t="n"/>
    </row>
    <row r="641">
      <c r="A641" s="594" t="n">
        <v>550</v>
      </c>
      <c r="B641" s="5" t="inlineStr">
        <is>
          <t>Hosur</t>
        </is>
      </c>
      <c r="C641" s="601" t="inlineStr">
        <is>
          <t>SRI BALAJI GEARS V4</t>
        </is>
      </c>
      <c r="D641" s="601" t="inlineStr">
        <is>
          <t>Sri Balaji Gear</t>
        </is>
      </c>
      <c r="E641" s="601" t="n">
        <v>188595</v>
      </c>
      <c r="F641" s="9" t="n">
        <v>3572038</v>
      </c>
      <c r="G641" s="601">
        <f>_xlfn.CONCAT(scheduleapr[[#This Row],[CUSTOMER CODE]],"-",scheduleapr[[#This Row],[MATERIAL NO]])</f>
        <v/>
      </c>
      <c r="H641" s="601" t="inlineStr">
        <is>
          <t>TUB-S-AW-AUT-19.00X19.00X1.000X1.2460</t>
        </is>
      </c>
      <c r="I641" s="596" t="inlineStr">
        <is>
          <t>CRFH</t>
        </is>
      </c>
      <c r="J641" s="599" t="n"/>
      <c r="K641" s="596" t="inlineStr">
        <is>
          <t>PE</t>
        </is>
      </c>
      <c r="L641" s="601" t="inlineStr">
        <is>
          <t>CR</t>
        </is>
      </c>
      <c r="M641" s="599" t="n"/>
      <c r="N641" s="600" t="n"/>
      <c r="O641" s="601" t="n"/>
      <c r="P641" s="601" t="n"/>
      <c r="Q641" s="557">
        <f>CONCATENATE(scheduleapr[[#This Row],[OD]],"-",scheduleapr[[#This Row],[ID]],"-",scheduleapr[[#This Row],[TICKNESS]],"-",scheduleapr[[#This Row],[Grade]],"-",scheduleapr[[#This Row],[FC/NFC]])</f>
        <v/>
      </c>
      <c r="R641" s="557">
        <f>_xlfn.CONCAT(scheduleapr[[#This Row],[Bucket]],"-",scheduleapr[[#This Row],[LENGTH]]/1000)</f>
        <v/>
      </c>
      <c r="S641" s="557">
        <f>COUNTIF(scheduleapr[CTL Bucket],scheduleapr[[#This Row],[CTL Bucket]])</f>
        <v/>
      </c>
      <c r="T641" s="601" t="inlineStr">
        <is>
          <t>Hosur</t>
        </is>
      </c>
      <c r="U641" s="601">
        <f>_xlfn.IFNA(VLOOKUP(scheduleapr[[#This Row],[Bucket]],salesforecast[[#All],[Bucket2]:[8406 Stock]],19,0),0)</f>
        <v/>
      </c>
      <c r="V641" s="562">
        <f>_xlfn.IFNA(VLOOKUP(scheduleapr[[#This Row],[Bucket]],salesforecast[[#All],[Bucket2]:[8406 Stock]],20,0),0)+_xlfn.IFNA(VLOOKUP(scheduleapr[[#This Row],[Bucket]],salesforecast[[#All],[Bucket2]:[8406 Stock]],17,0),0)</f>
        <v/>
      </c>
      <c r="W641" s="557" t="n"/>
      <c r="X641" s="599" t="n">
        <v>23.42</v>
      </c>
      <c r="Y641" s="599" t="n">
        <v>19</v>
      </c>
      <c r="Z641" s="599" t="n">
        <v>19</v>
      </c>
      <c r="AA641" s="599" t="n">
        <v>1</v>
      </c>
      <c r="AB641" s="600" t="n">
        <v>1246</v>
      </c>
      <c r="AC641" s="600" t="inlineStr">
        <is>
          <t>NOS</t>
        </is>
      </c>
      <c r="AD641" s="600" t="n"/>
      <c r="AE641" s="600" t="n"/>
      <c r="AF641" s="601" t="n">
        <v>500</v>
      </c>
      <c r="AG641" s="601" t="n"/>
      <c r="AH641" s="601">
        <f t="array" ref="AH6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1" s="602">
        <f>scheduleapr[[#This Row],[SCHEDULE in nos]]-scheduleapr[[#This Row],[DISPATCH]]</f>
        <v/>
      </c>
      <c r="AJ641" s="599">
        <f>(3.14*(scheduleapr[[#This Row],[ACTUAL OD]]-scheduleapr[[#This Row],[TICKNESS]])*scheduleapr[[#This Row],[TICKNESS]]*scheduleapr[[#This Row],[LENGTH]]*7.85)/1000000*scheduleapr[[#This Row],[SCHEDULE in nos]]/1000</f>
        <v/>
      </c>
      <c r="AK641" s="599">
        <f>(3.14*(scheduleapr[[#This Row],[ACTUAL OD]]-scheduleapr[[#This Row],[TICKNESS]])*scheduleapr[[#This Row],[TICKNESS]]*scheduleapr[[#This Row],[LENGTH]]*7.85)/1000000*scheduleapr[[#This Row],[DISPATCH]]/1000</f>
        <v/>
      </c>
      <c r="AL641" s="599">
        <f>AJ641-AK641</f>
        <v/>
      </c>
      <c r="AM641" s="599">
        <f>scheduleapr[[#This Row],[SCHEDULE in nos]]/scheduleapr[[#This Row],[SCHEDULE IN MT]]*scheduleapr[[#This Row],[CTL Stock]]</f>
        <v/>
      </c>
      <c r="AN641" s="599">
        <f>SUMIFS(stock[MT],stock[Bucket],scheduleapr[[#This Row],[Bucket]],stock[CTL Bucket],scheduleapr[[#This Row],[CTL Bucket]],stock[Plant],"0789")</f>
        <v/>
      </c>
      <c r="AO641" s="599" t="n"/>
      <c r="AP641" s="599">
        <f>SUMIFS(stock[MT],stock[Bucket],scheduleapr[[#This Row],[Bucket]],stock[LL or CTL],"LL")</f>
        <v/>
      </c>
      <c r="AQ641" s="599">
        <f>+SUMIFS(wip[Stock(Net Wt)],wip[Bucket],scheduleapr[[#This Row],[Bucket]])/1000</f>
        <v/>
      </c>
      <c r="AR641" s="599">
        <f>AJ641-AN641</f>
        <v/>
      </c>
      <c r="AS641" s="118" t="n"/>
    </row>
    <row r="642">
      <c r="A642" s="594" t="n">
        <v>638</v>
      </c>
      <c r="B642" s="5" t="inlineStr">
        <is>
          <t>Hosur</t>
        </is>
      </c>
      <c r="C642" s="601" t="inlineStr">
        <is>
          <t>Balaji Gears V3</t>
        </is>
      </c>
      <c r="D642" s="601" t="inlineStr">
        <is>
          <t>Sri Balaji Gear</t>
        </is>
      </c>
      <c r="E642" s="601" t="n">
        <v>188595</v>
      </c>
      <c r="F642" s="523" t="n">
        <v>3572038</v>
      </c>
      <c r="G642" s="601">
        <f>_xlfn.CONCAT(scheduleapr[[#This Row],[CUSTOMER CODE]],"-",scheduleapr[[#This Row],[MATERIAL NO]])</f>
        <v/>
      </c>
      <c r="H642" s="523" t="inlineStr">
        <is>
          <t>TUB-S-AW-AUT-19.00X19.00X1.000X1.2460</t>
        </is>
      </c>
      <c r="I642" s="601" t="inlineStr">
        <is>
          <t>CRFH</t>
        </is>
      </c>
      <c r="J642" s="601" t="n"/>
      <c r="K642" s="596" t="inlineStr">
        <is>
          <t>PE</t>
        </is>
      </c>
      <c r="L642" s="601" t="n"/>
      <c r="M642" s="596" t="n"/>
      <c r="N642" s="601" t="n"/>
      <c r="O642" s="601" t="n"/>
      <c r="P642" s="601" t="n"/>
      <c r="Q642" s="557">
        <f>CONCATENATE(scheduleapr[[#This Row],[OD]],"-",scheduleapr[[#This Row],[ID]],"-",scheduleapr[[#This Row],[TICKNESS]],"-",scheduleapr[[#This Row],[Grade]],"-",scheduleapr[[#This Row],[FC/NFC]])</f>
        <v/>
      </c>
      <c r="R642" s="557">
        <f>_xlfn.CONCAT(scheduleapr[[#This Row],[Bucket]],"-",scheduleapr[[#This Row],[LENGTH]]/1000)</f>
        <v/>
      </c>
      <c r="S642" s="601" t="n"/>
      <c r="T642" s="601" t="n"/>
      <c r="U642" s="601">
        <f>_xlfn.IFNA(VLOOKUP(scheduleapr[[#This Row],[Bucket]],salesforecast[[#All],[Bucket2]:[8406 Stock]],19,0),0)</f>
        <v/>
      </c>
      <c r="V642" s="562">
        <f>_xlfn.IFNA(VLOOKUP(scheduleapr[[#This Row],[Bucket]],salesforecast[[#All],[Bucket2]:[8406 Stock]],20,0),0)+_xlfn.IFNA(VLOOKUP(scheduleapr[[#This Row],[Bucket]],salesforecast[[#All],[Bucket2]:[8406 Stock]],17,0),0)</f>
        <v/>
      </c>
      <c r="W642" s="601" t="n"/>
      <c r="X642" s="599" t="n">
        <v>23.42</v>
      </c>
      <c r="Y642" s="599" t="n">
        <v>19</v>
      </c>
      <c r="Z642" s="599" t="n">
        <v>19</v>
      </c>
      <c r="AA642" s="599" t="n">
        <v>1</v>
      </c>
      <c r="AB642" s="600" t="n">
        <v>1246</v>
      </c>
      <c r="AC642" s="600" t="inlineStr">
        <is>
          <t>NOS</t>
        </is>
      </c>
      <c r="AD642" s="600" t="n"/>
      <c r="AE642" s="600" t="n"/>
      <c r="AF642" s="601" t="n">
        <v>500</v>
      </c>
      <c r="AG642" s="601" t="n"/>
      <c r="AH642" s="601">
        <f t="array" ref="AH6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2" s="602">
        <f>scheduleapr[[#This Row],[SCHEDULE in nos]]-scheduleapr[[#This Row],[DISPATCH]]</f>
        <v/>
      </c>
      <c r="AJ642" s="599">
        <f>(3.14*(scheduleapr[[#This Row],[ACTUAL OD]]-scheduleapr[[#This Row],[TICKNESS]])*scheduleapr[[#This Row],[TICKNESS]]*scheduleapr[[#This Row],[LENGTH]]*7.85)/1000000*scheduleapr[[#This Row],[SCHEDULE in nos]]/1000</f>
        <v/>
      </c>
      <c r="AK642" s="599">
        <f>(3.14*(scheduleapr[[#This Row],[ACTUAL OD]]-scheduleapr[[#This Row],[TICKNESS]])*scheduleapr[[#This Row],[TICKNESS]]*scheduleapr[[#This Row],[LENGTH]]*7.85)/1000000*scheduleapr[[#This Row],[DISPATCH]]/1000</f>
        <v/>
      </c>
      <c r="AL642" s="599">
        <f>AJ642-AK642</f>
        <v/>
      </c>
      <c r="AM642" s="599">
        <f>scheduleapr[[#This Row],[SCHEDULE in nos]]/scheduleapr[[#This Row],[SCHEDULE IN MT]]*scheduleapr[[#This Row],[CTL Stock]]</f>
        <v/>
      </c>
      <c r="AN642" s="599">
        <f>SUMIFS(stock[MT],stock[Bucket],scheduleapr[[#This Row],[Bucket]],stock[CTL Bucket],scheduleapr[[#This Row],[CTL Bucket]],stock[Plant],"0789")</f>
        <v/>
      </c>
      <c r="AO642" s="599" t="n"/>
      <c r="AP642" s="599">
        <f>SUMIFS(stock[MT],stock[Bucket],scheduleapr[[#This Row],[Bucket]],stock[LL or CTL],"LL")</f>
        <v/>
      </c>
      <c r="AQ642" s="599">
        <f>+SUMIFS(wip[Stock(Net Wt)],wip[Bucket],scheduleapr[[#This Row],[Bucket]])/1000</f>
        <v/>
      </c>
      <c r="AR642" s="599">
        <f>AJ642-AN642</f>
        <v/>
      </c>
      <c r="AS642" s="118" t="n"/>
    </row>
    <row r="643">
      <c r="A643" s="594" t="n">
        <v>515</v>
      </c>
      <c r="B643" s="5" t="inlineStr">
        <is>
          <t>Hosur</t>
        </is>
      </c>
      <c r="C643" s="596" t="inlineStr">
        <is>
          <t>SRI BALAJI GEARS V7</t>
        </is>
      </c>
      <c r="D643" s="601" t="inlineStr">
        <is>
          <t>Sri Balaji Gear</t>
        </is>
      </c>
      <c r="E643" s="601" t="n">
        <v>188595</v>
      </c>
      <c r="F643" s="523" t="n">
        <v>3572039</v>
      </c>
      <c r="G643" s="601">
        <f>_xlfn.CONCAT(scheduleapr[[#This Row],[CUSTOMER CODE]],"-",scheduleapr[[#This Row],[MATERIAL NO]])</f>
        <v/>
      </c>
      <c r="H643" s="601" t="inlineStr">
        <is>
          <t>TUB-S-AW-AUT-19.00X19.00X1.000X1.304</t>
        </is>
      </c>
      <c r="I643" s="596" t="inlineStr">
        <is>
          <t>CRFH</t>
        </is>
      </c>
      <c r="J643" s="599" t="n"/>
      <c r="K643" s="596" t="inlineStr">
        <is>
          <t>PE</t>
        </is>
      </c>
      <c r="L643" s="601" t="inlineStr">
        <is>
          <t>CR</t>
        </is>
      </c>
      <c r="M643" s="599" t="n"/>
      <c r="N643" s="600" t="n"/>
      <c r="O643" s="601" t="n"/>
      <c r="P643" s="601" t="n"/>
      <c r="Q643" s="557">
        <f>CONCATENATE(scheduleapr[[#This Row],[OD]],"-",scheduleapr[[#This Row],[ID]],"-",scheduleapr[[#This Row],[TICKNESS]],"-",scheduleapr[[#This Row],[Grade]],"-",scheduleapr[[#This Row],[FC/NFC]])</f>
        <v/>
      </c>
      <c r="R643" s="557">
        <f>_xlfn.CONCAT(scheduleapr[[#This Row],[Bucket]],"-",scheduleapr[[#This Row],[LENGTH]]/1000)</f>
        <v/>
      </c>
      <c r="S643" s="557">
        <f>COUNTIF(scheduleapr[CTL Bucket],scheduleapr[[#This Row],[CTL Bucket]])</f>
        <v/>
      </c>
      <c r="T643" s="601" t="inlineStr">
        <is>
          <t>Hosur</t>
        </is>
      </c>
      <c r="U643" s="601">
        <f>_xlfn.IFNA(VLOOKUP(scheduleapr[[#This Row],[Bucket]],salesforecast[[#All],[Bucket2]:[8406 Stock]],19,0),0)</f>
        <v/>
      </c>
      <c r="V643" s="562">
        <f>_xlfn.IFNA(VLOOKUP(scheduleapr[[#This Row],[Bucket]],salesforecast[[#All],[Bucket2]:[8406 Stock]],20,0),0)+_xlfn.IFNA(VLOOKUP(scheduleapr[[#This Row],[Bucket]],salesforecast[[#All],[Bucket2]:[8406 Stock]],17,0),0)</f>
        <v/>
      </c>
      <c r="W643" s="557" t="n"/>
      <c r="X643" s="599" t="n">
        <v>23.42</v>
      </c>
      <c r="Y643" s="599" t="n">
        <v>19</v>
      </c>
      <c r="Z643" s="599" t="n">
        <v>19</v>
      </c>
      <c r="AA643" s="599" t="n">
        <v>1</v>
      </c>
      <c r="AB643" s="600" t="n">
        <v>1304</v>
      </c>
      <c r="AC643" s="600" t="inlineStr">
        <is>
          <t>NOS</t>
        </is>
      </c>
      <c r="AD643" s="600" t="n"/>
      <c r="AE643" s="600" t="n"/>
      <c r="AF643" s="602" t="n">
        <v>12000</v>
      </c>
      <c r="AG643" s="602" t="n"/>
      <c r="AH643" s="601">
        <f t="array" ref="AH6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3" s="602">
        <f>scheduleapr[[#This Row],[SCHEDULE in nos]]-scheduleapr[[#This Row],[DISPATCH]]</f>
        <v/>
      </c>
      <c r="AJ643" s="599">
        <f>(3.14*(scheduleapr[[#This Row],[ACTUAL OD]]-scheduleapr[[#This Row],[TICKNESS]])*scheduleapr[[#This Row],[TICKNESS]]*scheduleapr[[#This Row],[LENGTH]]*7.85)/1000000*scheduleapr[[#This Row],[SCHEDULE in nos]]/1000</f>
        <v/>
      </c>
      <c r="AK643" s="599">
        <f>(3.14*(scheduleapr[[#This Row],[ACTUAL OD]]-scheduleapr[[#This Row],[TICKNESS]])*scheduleapr[[#This Row],[TICKNESS]]*scheduleapr[[#This Row],[LENGTH]]*7.85)/1000000*scheduleapr[[#This Row],[DISPATCH]]/1000</f>
        <v/>
      </c>
      <c r="AL643" s="599">
        <f>AJ643-AK643</f>
        <v/>
      </c>
      <c r="AM643" s="599">
        <f>scheduleapr[[#This Row],[SCHEDULE in nos]]/scheduleapr[[#This Row],[SCHEDULE IN MT]]*scheduleapr[[#This Row],[CTL Stock]]</f>
        <v/>
      </c>
      <c r="AN643" s="599">
        <f>SUMIFS(stock[MT],stock[Bucket],scheduleapr[[#This Row],[Bucket]],stock[CTL Bucket],scheduleapr[[#This Row],[CTL Bucket]],stock[Plant],"0789")</f>
        <v/>
      </c>
      <c r="AO643" s="599" t="n"/>
      <c r="AP643" s="599">
        <f>SUMIFS(stock[MT],stock[Bucket],scheduleapr[[#This Row],[Bucket]],stock[LL or CTL],"LL")</f>
        <v/>
      </c>
      <c r="AQ643" s="599">
        <f>+SUMIFS(wip[Stock(Net Wt)],wip[Bucket],scheduleapr[[#This Row],[Bucket]])/1000</f>
        <v/>
      </c>
      <c r="AR643" s="599">
        <f>AJ643-AN643</f>
        <v/>
      </c>
      <c r="AS643" s="118" t="n"/>
    </row>
    <row r="644">
      <c r="A644" s="594" t="n">
        <v>551</v>
      </c>
      <c r="B644" s="5" t="inlineStr">
        <is>
          <t>Hosur</t>
        </is>
      </c>
      <c r="C644" s="601" t="inlineStr">
        <is>
          <t>SRI BALAJI GEARS V4</t>
        </is>
      </c>
      <c r="D644" s="48" t="inlineStr">
        <is>
          <t>Sri Balaji Gear</t>
        </is>
      </c>
      <c r="E644" s="601" t="n">
        <v>188595</v>
      </c>
      <c r="F644" s="9" t="n">
        <v>3572039</v>
      </c>
      <c r="G644" s="601">
        <f>_xlfn.CONCAT(scheduleapr[[#This Row],[CUSTOMER CODE]],"-",scheduleapr[[#This Row],[MATERIAL NO]])</f>
        <v/>
      </c>
      <c r="H644" s="601" t="inlineStr">
        <is>
          <t>TUB-S-AW-AUT-19.00X19.00X1.000X1.3040</t>
        </is>
      </c>
      <c r="I644" s="596" t="inlineStr">
        <is>
          <t>CRFH</t>
        </is>
      </c>
      <c r="J644" s="599" t="n"/>
      <c r="K644" s="596" t="inlineStr">
        <is>
          <t>PE</t>
        </is>
      </c>
      <c r="L644" s="601" t="inlineStr">
        <is>
          <t>CR</t>
        </is>
      </c>
      <c r="M644" s="599" t="n"/>
      <c r="N644" s="600" t="n"/>
      <c r="O644" s="601" t="n"/>
      <c r="P644" s="601" t="n"/>
      <c r="Q644" s="557">
        <f>CONCATENATE(scheduleapr[[#This Row],[OD]],"-",scheduleapr[[#This Row],[ID]],"-",scheduleapr[[#This Row],[TICKNESS]],"-",scheduleapr[[#This Row],[Grade]],"-",scheduleapr[[#This Row],[FC/NFC]])</f>
        <v/>
      </c>
      <c r="R644" s="557">
        <f>_xlfn.CONCAT(scheduleapr[[#This Row],[Bucket]],"-",scheduleapr[[#This Row],[LENGTH]]/1000)</f>
        <v/>
      </c>
      <c r="S644" s="557">
        <f>COUNTIF(scheduleapr[CTL Bucket],scheduleapr[[#This Row],[CTL Bucket]])</f>
        <v/>
      </c>
      <c r="T644" s="601" t="inlineStr">
        <is>
          <t>Hosur</t>
        </is>
      </c>
      <c r="U644" s="601">
        <f>_xlfn.IFNA(VLOOKUP(scheduleapr[[#This Row],[Bucket]],salesforecast[[#All],[Bucket2]:[8406 Stock]],19,0),0)</f>
        <v/>
      </c>
      <c r="V644" s="562">
        <f>_xlfn.IFNA(VLOOKUP(scheduleapr[[#This Row],[Bucket]],salesforecast[[#All],[Bucket2]:[8406 Stock]],20,0),0)+_xlfn.IFNA(VLOOKUP(scheduleapr[[#This Row],[Bucket]],salesforecast[[#All],[Bucket2]:[8406 Stock]],17,0),0)</f>
        <v/>
      </c>
      <c r="W644" s="557" t="n"/>
      <c r="X644" s="599" t="n">
        <v>23.42</v>
      </c>
      <c r="Y644" s="599" t="n">
        <v>19</v>
      </c>
      <c r="Z644" s="599" t="n">
        <v>19</v>
      </c>
      <c r="AA644" s="599" t="n">
        <v>1</v>
      </c>
      <c r="AB644" s="600" t="n">
        <v>1304</v>
      </c>
      <c r="AC644" s="600" t="inlineStr">
        <is>
          <t>NOS</t>
        </is>
      </c>
      <c r="AD644" s="600" t="n"/>
      <c r="AE644" s="600" t="n"/>
      <c r="AF644" s="601" t="n">
        <v>500</v>
      </c>
      <c r="AG644" s="601" t="n"/>
      <c r="AH644" s="601">
        <f t="array" ref="AH6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4" s="602">
        <f>scheduleapr[[#This Row],[SCHEDULE in nos]]-scheduleapr[[#This Row],[DISPATCH]]</f>
        <v/>
      </c>
      <c r="AJ644" s="599">
        <f>(3.14*(scheduleapr[[#This Row],[ACTUAL OD]]-scheduleapr[[#This Row],[TICKNESS]])*scheduleapr[[#This Row],[TICKNESS]]*scheduleapr[[#This Row],[LENGTH]]*7.85)/1000000*scheduleapr[[#This Row],[SCHEDULE in nos]]/1000</f>
        <v/>
      </c>
      <c r="AK644" s="599">
        <f>(3.14*(scheduleapr[[#This Row],[ACTUAL OD]]-scheduleapr[[#This Row],[TICKNESS]])*scheduleapr[[#This Row],[TICKNESS]]*scheduleapr[[#This Row],[LENGTH]]*7.85)/1000000*scheduleapr[[#This Row],[DISPATCH]]/1000</f>
        <v/>
      </c>
      <c r="AL644" s="599">
        <f>AJ644-AK644</f>
        <v/>
      </c>
      <c r="AM644" s="599">
        <f>scheduleapr[[#This Row],[SCHEDULE in nos]]/scheduleapr[[#This Row],[SCHEDULE IN MT]]*scheduleapr[[#This Row],[CTL Stock]]</f>
        <v/>
      </c>
      <c r="AN644" s="599">
        <f>SUMIFS(stock[MT],stock[Bucket],scheduleapr[[#This Row],[Bucket]],stock[CTL Bucket],scheduleapr[[#This Row],[CTL Bucket]],stock[Plant],"0789")</f>
        <v/>
      </c>
      <c r="AO644" s="599" t="n"/>
      <c r="AP644" s="599">
        <f>SUMIFS(stock[MT],stock[Bucket],scheduleapr[[#This Row],[Bucket]],stock[LL or CTL],"LL")</f>
        <v/>
      </c>
      <c r="AQ644" s="599">
        <f>+SUMIFS(wip[Stock(Net Wt)],wip[Bucket],scheduleapr[[#This Row],[Bucket]])/1000</f>
        <v/>
      </c>
      <c r="AR644" s="599">
        <f>AJ644-AN644</f>
        <v/>
      </c>
      <c r="AS644" s="118" t="n"/>
    </row>
    <row r="645">
      <c r="A645" s="594" t="n">
        <v>519</v>
      </c>
      <c r="B645" s="5" t="inlineStr">
        <is>
          <t>Hosur</t>
        </is>
      </c>
      <c r="C645" s="596" t="inlineStr">
        <is>
          <t>SRI BALAJI GEARS V7</t>
        </is>
      </c>
      <c r="D645" s="601" t="inlineStr">
        <is>
          <t>Sri Balaji Gear</t>
        </is>
      </c>
      <c r="E645" s="601" t="n">
        <v>188595</v>
      </c>
      <c r="F645" s="523" t="n">
        <v>4151430</v>
      </c>
      <c r="G645" s="601">
        <f>_xlfn.CONCAT(scheduleapr[[#This Row],[CUSTOMER CODE]],"-",scheduleapr[[#This Row],[MATERIAL NO]])</f>
        <v/>
      </c>
      <c r="H645" s="601" t="inlineStr">
        <is>
          <t>TUB-S-AW-AUT-25.00X25.00X1.200X0.640</t>
        </is>
      </c>
      <c r="I645" s="601" t="inlineStr">
        <is>
          <t>CRFH</t>
        </is>
      </c>
      <c r="J645" s="601" t="n"/>
      <c r="K645" s="601" t="inlineStr">
        <is>
          <t>PE</t>
        </is>
      </c>
      <c r="L645" s="601" t="n"/>
      <c r="M645" s="601" t="n"/>
      <c r="N645" s="601" t="n"/>
      <c r="O645" s="601" t="n"/>
      <c r="P645" s="601" t="n"/>
      <c r="Q645" s="557">
        <f>CONCATENATE(scheduleapr[[#This Row],[OD]],"-",scheduleapr[[#This Row],[ID]],"-",scheduleapr[[#This Row],[TICKNESS]],"-",scheduleapr[[#This Row],[Grade]],"-",scheduleapr[[#This Row],[FC/NFC]])</f>
        <v/>
      </c>
      <c r="R645" s="557">
        <f>_xlfn.CONCAT(scheduleapr[[#This Row],[Bucket]],"-",scheduleapr[[#This Row],[LENGTH]]/1000)</f>
        <v/>
      </c>
      <c r="S645" s="557">
        <f>COUNTIF(scheduleapr[CTL Bucket],scheduleapr[[#This Row],[CTL Bucket]])</f>
        <v/>
      </c>
      <c r="T645" s="601" t="inlineStr">
        <is>
          <t>Hosur</t>
        </is>
      </c>
      <c r="U645" s="601">
        <f>_xlfn.IFNA(VLOOKUP(scheduleapr[[#This Row],[Bucket]],salesforecast[[#All],[Bucket2]:[8406 Stock]],19,0),0)</f>
        <v/>
      </c>
      <c r="V645" s="562">
        <f>_xlfn.IFNA(VLOOKUP(scheduleapr[[#This Row],[Bucket]],salesforecast[[#All],[Bucket2]:[8406 Stock]],20,0),0)+_xlfn.IFNA(VLOOKUP(scheduleapr[[#This Row],[Bucket]],salesforecast[[#All],[Bucket2]:[8406 Stock]],17,0),0)</f>
        <v/>
      </c>
      <c r="W645" s="557" t="n"/>
      <c r="X645" s="599" t="n">
        <v>31.75</v>
      </c>
      <c r="Y645" s="599" t="n">
        <v>25</v>
      </c>
      <c r="Z645" s="599" t="n">
        <v>25</v>
      </c>
      <c r="AA645" s="599" t="n">
        <v>1.2</v>
      </c>
      <c r="AB645" s="600" t="n">
        <v>640</v>
      </c>
      <c r="AC645" s="600" t="inlineStr">
        <is>
          <t>NOS</t>
        </is>
      </c>
      <c r="AD645" s="600" t="n"/>
      <c r="AE645" s="600" t="n"/>
      <c r="AF645" s="602" t="n">
        <v>12000</v>
      </c>
      <c r="AG645" s="602" t="n"/>
      <c r="AH645" s="601">
        <f t="array" ref="AH6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5" s="602">
        <f>scheduleapr[[#This Row],[SCHEDULE in nos]]-scheduleapr[[#This Row],[DISPATCH]]</f>
        <v/>
      </c>
      <c r="AJ645" s="599">
        <f>(3.14*(scheduleapr[[#This Row],[ACTUAL OD]]-scheduleapr[[#This Row],[TICKNESS]])*scheduleapr[[#This Row],[TICKNESS]]*scheduleapr[[#This Row],[LENGTH]]*7.85)/1000000*scheduleapr[[#This Row],[SCHEDULE in nos]]/1000</f>
        <v/>
      </c>
      <c r="AK645" s="599">
        <f>(3.14*(scheduleapr[[#This Row],[ACTUAL OD]]-scheduleapr[[#This Row],[TICKNESS]])*scheduleapr[[#This Row],[TICKNESS]]*scheduleapr[[#This Row],[LENGTH]]*7.85)/1000000*scheduleapr[[#This Row],[DISPATCH]]/1000</f>
        <v/>
      </c>
      <c r="AL645" s="599">
        <f>AJ645-AK645</f>
        <v/>
      </c>
      <c r="AM645" s="599">
        <f>scheduleapr[[#This Row],[SCHEDULE in nos]]/scheduleapr[[#This Row],[SCHEDULE IN MT]]*scheduleapr[[#This Row],[CTL Stock]]</f>
        <v/>
      </c>
      <c r="AN645" s="599">
        <f>SUMIFS(stock[MT],stock[Bucket],scheduleapr[[#This Row],[Bucket]],stock[CTL Bucket],scheduleapr[[#This Row],[CTL Bucket]],stock[Plant],"0789")</f>
        <v/>
      </c>
      <c r="AO645" s="599" t="n"/>
      <c r="AP645" s="599">
        <f>SUMIFS(stock[MT],stock[Bucket],scheduleapr[[#This Row],[Bucket]],stock[LL or CTL],"LL")</f>
        <v/>
      </c>
      <c r="AQ645" s="599">
        <f>+SUMIFS(wip[Stock(Net Wt)],wip[Bucket],scheduleapr[[#This Row],[Bucket]])/1000</f>
        <v/>
      </c>
      <c r="AR645" s="599">
        <f>AJ645-AN645</f>
        <v/>
      </c>
      <c r="AS645" s="118" t="n"/>
    </row>
    <row r="646">
      <c r="A646" s="594" t="n">
        <v>552</v>
      </c>
      <c r="B646" s="5" t="inlineStr">
        <is>
          <t>Hosur</t>
        </is>
      </c>
      <c r="C646" s="601" t="inlineStr">
        <is>
          <t>SRI BALAJI GEARS V4</t>
        </is>
      </c>
      <c r="D646" s="601" t="inlineStr">
        <is>
          <t>Sri Balaji Gear</t>
        </is>
      </c>
      <c r="E646" s="601" t="n">
        <v>188595</v>
      </c>
      <c r="F646" s="9" t="n">
        <v>3572043</v>
      </c>
      <c r="G646" s="601">
        <f>_xlfn.CONCAT(scheduleapr[[#This Row],[CUSTOMER CODE]],"-",scheduleapr[[#This Row],[MATERIAL NO]])</f>
        <v/>
      </c>
      <c r="H646" s="601" t="inlineStr">
        <is>
          <t>TUB-S-AW-AUT-25.00X25.00X1.200X0.6420</t>
        </is>
      </c>
      <c r="I646" s="601" t="inlineStr">
        <is>
          <t>CRFH</t>
        </is>
      </c>
      <c r="J646" s="601" t="n"/>
      <c r="K646" s="601" t="inlineStr">
        <is>
          <t>PE</t>
        </is>
      </c>
      <c r="L646" s="601" t="n"/>
      <c r="M646" s="601" t="n"/>
      <c r="N646" s="601" t="n"/>
      <c r="O646" s="601" t="n"/>
      <c r="P646" s="601" t="n"/>
      <c r="Q646" s="557">
        <f>CONCATENATE(scheduleapr[[#This Row],[OD]],"-",scheduleapr[[#This Row],[ID]],"-",scheduleapr[[#This Row],[TICKNESS]],"-",scheduleapr[[#This Row],[Grade]],"-",scheduleapr[[#This Row],[FC/NFC]])</f>
        <v/>
      </c>
      <c r="R646" s="557">
        <f>_xlfn.CONCAT(scheduleapr[[#This Row],[Bucket]],"-",scheduleapr[[#This Row],[LENGTH]]/1000)</f>
        <v/>
      </c>
      <c r="S646" s="557">
        <f>COUNTIF(scheduleapr[CTL Bucket],scheduleapr[[#This Row],[CTL Bucket]])</f>
        <v/>
      </c>
      <c r="T646" s="601" t="inlineStr">
        <is>
          <t>Hosur</t>
        </is>
      </c>
      <c r="U646" s="601">
        <f>_xlfn.IFNA(VLOOKUP(scheduleapr[[#This Row],[Bucket]],salesforecast[[#All],[Bucket2]:[8406 Stock]],19,0),0)</f>
        <v/>
      </c>
      <c r="V646" s="562">
        <f>_xlfn.IFNA(VLOOKUP(scheduleapr[[#This Row],[Bucket]],salesforecast[[#All],[Bucket2]:[8406 Stock]],20,0),0)+_xlfn.IFNA(VLOOKUP(scheduleapr[[#This Row],[Bucket]],salesforecast[[#All],[Bucket2]:[8406 Stock]],17,0),0)</f>
        <v/>
      </c>
      <c r="W646" s="557" t="n"/>
      <c r="X646" s="599" t="n">
        <v>31.75</v>
      </c>
      <c r="Y646" s="599" t="n">
        <v>25</v>
      </c>
      <c r="Z646" s="599" t="n">
        <v>25</v>
      </c>
      <c r="AA646" s="599" t="n">
        <v>1.2</v>
      </c>
      <c r="AB646" s="600" t="n">
        <v>642</v>
      </c>
      <c r="AC646" s="600" t="inlineStr">
        <is>
          <t>NOS</t>
        </is>
      </c>
      <c r="AD646" s="600" t="n"/>
      <c r="AE646" s="600" t="n"/>
      <c r="AF646" s="601" t="n">
        <v>1000</v>
      </c>
      <c r="AG646" s="601" t="n"/>
      <c r="AH646" s="601">
        <f t="array" ref="AH6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6" s="602">
        <f>scheduleapr[[#This Row],[SCHEDULE in nos]]-scheduleapr[[#This Row],[DISPATCH]]</f>
        <v/>
      </c>
      <c r="AJ646" s="599">
        <f>(3.14*(scheduleapr[[#This Row],[ACTUAL OD]]-scheduleapr[[#This Row],[TICKNESS]])*scheduleapr[[#This Row],[TICKNESS]]*scheduleapr[[#This Row],[LENGTH]]*7.85)/1000000*scheduleapr[[#This Row],[SCHEDULE in nos]]/1000</f>
        <v/>
      </c>
      <c r="AK646" s="599">
        <f>(3.14*(scheduleapr[[#This Row],[ACTUAL OD]]-scheduleapr[[#This Row],[TICKNESS]])*scheduleapr[[#This Row],[TICKNESS]]*scheduleapr[[#This Row],[LENGTH]]*7.85)/1000000*scheduleapr[[#This Row],[DISPATCH]]/1000</f>
        <v/>
      </c>
      <c r="AL646" s="599">
        <f>AJ646-AK646</f>
        <v/>
      </c>
      <c r="AM646" s="599">
        <f>scheduleapr[[#This Row],[SCHEDULE in nos]]/scheduleapr[[#This Row],[SCHEDULE IN MT]]*scheduleapr[[#This Row],[CTL Stock]]</f>
        <v/>
      </c>
      <c r="AN646" s="599">
        <f>SUMIFS(stock[MT],stock[Bucket],scheduleapr[[#This Row],[Bucket]],stock[CTL Bucket],scheduleapr[[#This Row],[CTL Bucket]],stock[Plant],"0789")</f>
        <v/>
      </c>
      <c r="AO646" s="599" t="n"/>
      <c r="AP646" s="599">
        <f>SUMIFS(stock[MT],stock[Bucket],scheduleapr[[#This Row],[Bucket]],stock[LL or CTL],"LL")</f>
        <v/>
      </c>
      <c r="AQ646" s="599">
        <f>+SUMIFS(wip[Stock(Net Wt)],wip[Bucket],scheduleapr[[#This Row],[Bucket]])/1000</f>
        <v/>
      </c>
      <c r="AR646" s="599">
        <f>AJ646-AN646</f>
        <v/>
      </c>
      <c r="AS646" s="118" t="n"/>
    </row>
    <row r="647">
      <c r="A647" s="594" t="n">
        <v>650</v>
      </c>
      <c r="B647" s="5" t="inlineStr">
        <is>
          <t>Hosur</t>
        </is>
      </c>
      <c r="C647" s="601" t="inlineStr">
        <is>
          <t>Balaji Gears V3</t>
        </is>
      </c>
      <c r="D647" s="601" t="inlineStr">
        <is>
          <t>Sri Balaji Gear</t>
        </is>
      </c>
      <c r="E647" s="601" t="n">
        <v>188595</v>
      </c>
      <c r="F647" s="523" t="n">
        <v>3230482</v>
      </c>
      <c r="G647" s="601">
        <f>_xlfn.CONCAT(scheduleapr[[#This Row],[CUSTOMER CODE]],"-",scheduleapr[[#This Row],[MATERIAL NO]])</f>
        <v/>
      </c>
      <c r="H647" s="523" t="inlineStr">
        <is>
          <t>TUB-S-AW-AUT-25.00X25.00X1.200X0.7870</t>
        </is>
      </c>
      <c r="I647" s="601" t="inlineStr">
        <is>
          <t>CRFH</t>
        </is>
      </c>
      <c r="J647" s="601" t="n"/>
      <c r="K647" s="601" t="inlineStr">
        <is>
          <t>PE</t>
        </is>
      </c>
      <c r="L647" s="601" t="n"/>
      <c r="M647" s="596" t="n"/>
      <c r="N647" s="601" t="n"/>
      <c r="O647" s="601" t="n"/>
      <c r="P647" s="601" t="n"/>
      <c r="Q647" s="557">
        <f>CONCATENATE(scheduleapr[[#This Row],[OD]],"-",scheduleapr[[#This Row],[ID]],"-",scheduleapr[[#This Row],[TICKNESS]],"-",scheduleapr[[#This Row],[Grade]],"-",scheduleapr[[#This Row],[FC/NFC]])</f>
        <v/>
      </c>
      <c r="R647" s="557">
        <f>_xlfn.CONCAT(scheduleapr[[#This Row],[Bucket]],"-",scheduleapr[[#This Row],[LENGTH]]/1000)</f>
        <v/>
      </c>
      <c r="S647" s="601" t="n"/>
      <c r="T647" s="601" t="n"/>
      <c r="U647" s="601">
        <f>_xlfn.IFNA(VLOOKUP(scheduleapr[[#This Row],[Bucket]],salesforecast[[#All],[Bucket2]:[8406 Stock]],19,0),0)</f>
        <v/>
      </c>
      <c r="V647" s="562">
        <f>_xlfn.IFNA(VLOOKUP(scheduleapr[[#This Row],[Bucket]],salesforecast[[#All],[Bucket2]:[8406 Stock]],20,0),0)+_xlfn.IFNA(VLOOKUP(scheduleapr[[#This Row],[Bucket]],salesforecast[[#All],[Bucket2]:[8406 Stock]],17,0),0)</f>
        <v/>
      </c>
      <c r="W647" s="601" t="n"/>
      <c r="X647" s="599" t="n">
        <v>31.75</v>
      </c>
      <c r="Y647" s="599" t="n">
        <v>25</v>
      </c>
      <c r="Z647" s="599" t="n">
        <v>25</v>
      </c>
      <c r="AA647" s="599" t="n">
        <v>1.2</v>
      </c>
      <c r="AB647" s="600" t="n">
        <v>787</v>
      </c>
      <c r="AC647" s="600" t="inlineStr">
        <is>
          <t>NOS</t>
        </is>
      </c>
      <c r="AD647" s="600" t="n"/>
      <c r="AE647" s="600" t="n"/>
      <c r="AF647" s="601" t="n">
        <v>1000</v>
      </c>
      <c r="AG647" s="601" t="n"/>
      <c r="AH647" s="601">
        <f t="array" ref="AH6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7" s="602">
        <f>scheduleapr[[#This Row],[SCHEDULE in nos]]-scheduleapr[[#This Row],[DISPATCH]]</f>
        <v/>
      </c>
      <c r="AJ647" s="599">
        <f>(3.14*(scheduleapr[[#This Row],[ACTUAL OD]]-scheduleapr[[#This Row],[TICKNESS]])*scheduleapr[[#This Row],[TICKNESS]]*scheduleapr[[#This Row],[LENGTH]]*7.85)/1000000*scheduleapr[[#This Row],[SCHEDULE in nos]]/1000</f>
        <v/>
      </c>
      <c r="AK647" s="599">
        <f>(3.14*(scheduleapr[[#This Row],[ACTUAL OD]]-scheduleapr[[#This Row],[TICKNESS]])*scheduleapr[[#This Row],[TICKNESS]]*scheduleapr[[#This Row],[LENGTH]]*7.85)/1000000*scheduleapr[[#This Row],[DISPATCH]]/1000</f>
        <v/>
      </c>
      <c r="AL647" s="599">
        <f>AJ647-AK647</f>
        <v/>
      </c>
      <c r="AM647" s="599">
        <f>scheduleapr[[#This Row],[SCHEDULE in nos]]/scheduleapr[[#This Row],[SCHEDULE IN MT]]*scheduleapr[[#This Row],[CTL Stock]]</f>
        <v/>
      </c>
      <c r="AN647" s="599">
        <f>SUMIFS(stock[MT],stock[Bucket],scheduleapr[[#This Row],[Bucket]],stock[CTL Bucket],scheduleapr[[#This Row],[CTL Bucket]],stock[Plant],"0789")</f>
        <v/>
      </c>
      <c r="AO647" s="599" t="n"/>
      <c r="AP647" s="599">
        <f>SUMIFS(stock[MT],stock[Bucket],scheduleapr[[#This Row],[Bucket]],stock[LL or CTL],"LL")</f>
        <v/>
      </c>
      <c r="AQ647" s="599">
        <f>+SUMIFS(wip[Stock(Net Wt)],wip[Bucket],scheduleapr[[#This Row],[Bucket]])/1000</f>
        <v/>
      </c>
      <c r="AR647" s="599">
        <f>AJ647-AN647</f>
        <v/>
      </c>
      <c r="AS647" s="118" t="n"/>
    </row>
    <row r="648">
      <c r="A648" s="594" t="n">
        <v>649</v>
      </c>
      <c r="B648" s="5" t="inlineStr">
        <is>
          <t>Hosur</t>
        </is>
      </c>
      <c r="C648" s="601" t="inlineStr">
        <is>
          <t>Balaji Gears V3</t>
        </is>
      </c>
      <c r="D648" s="601" t="inlineStr">
        <is>
          <t>Sri Balaji Gear</t>
        </is>
      </c>
      <c r="E648" s="601" t="n">
        <v>188595</v>
      </c>
      <c r="F648" s="523" t="n">
        <v>3935311</v>
      </c>
      <c r="G648" s="601">
        <f>_xlfn.CONCAT(scheduleapr[[#This Row],[CUSTOMER CODE]],"-",scheduleapr[[#This Row],[MATERIAL NO]])</f>
        <v/>
      </c>
      <c r="H648" s="523" t="inlineStr">
        <is>
          <t>CUT-S-AW-AUT-25.00X25.00X1.200X1.2980</t>
        </is>
      </c>
      <c r="I648" s="601" t="inlineStr">
        <is>
          <t>CRFH</t>
        </is>
      </c>
      <c r="J648" s="601" t="n"/>
      <c r="K648" s="601" t="inlineStr">
        <is>
          <t>PE</t>
        </is>
      </c>
      <c r="L648" s="601" t="n"/>
      <c r="M648" s="596" t="n"/>
      <c r="N648" s="601" t="n"/>
      <c r="O648" s="601" t="n"/>
      <c r="P648" s="601" t="n"/>
      <c r="Q648" s="557">
        <f>CONCATENATE(scheduleapr[[#This Row],[OD]],"-",scheduleapr[[#This Row],[ID]],"-",scheduleapr[[#This Row],[TICKNESS]],"-",scheduleapr[[#This Row],[Grade]],"-",scheduleapr[[#This Row],[FC/NFC]])</f>
        <v/>
      </c>
      <c r="R648" s="557">
        <f>_xlfn.CONCAT(scheduleapr[[#This Row],[Bucket]],"-",scheduleapr[[#This Row],[LENGTH]]/1000)</f>
        <v/>
      </c>
      <c r="S648" s="601" t="n"/>
      <c r="T648" s="601" t="n"/>
      <c r="U648" s="601">
        <f>_xlfn.IFNA(VLOOKUP(scheduleapr[[#This Row],[Bucket]],salesforecast[[#All],[Bucket2]:[8406 Stock]],19,0),0)</f>
        <v/>
      </c>
      <c r="V648" s="562">
        <f>_xlfn.IFNA(VLOOKUP(scheduleapr[[#This Row],[Bucket]],salesforecast[[#All],[Bucket2]:[8406 Stock]],20,0),0)+_xlfn.IFNA(VLOOKUP(scheduleapr[[#This Row],[Bucket]],salesforecast[[#All],[Bucket2]:[8406 Stock]],17,0),0)</f>
        <v/>
      </c>
      <c r="W648" s="601" t="n"/>
      <c r="X648" s="599" t="n">
        <v>31.75</v>
      </c>
      <c r="Y648" s="599" t="n">
        <v>25</v>
      </c>
      <c r="Z648" s="599" t="n">
        <v>25</v>
      </c>
      <c r="AA648" s="599" t="n">
        <v>1.2</v>
      </c>
      <c r="AB648" s="600" t="n">
        <v>1298</v>
      </c>
      <c r="AC648" s="600" t="inlineStr">
        <is>
          <t>NOS</t>
        </is>
      </c>
      <c r="AD648" s="600" t="n"/>
      <c r="AE648" s="600" t="n"/>
      <c r="AF648" s="601" t="n">
        <v>500</v>
      </c>
      <c r="AG648" s="601" t="n"/>
      <c r="AH648" s="601">
        <f t="array" ref="AH6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8" s="602">
        <f>scheduleapr[[#This Row],[SCHEDULE in nos]]-scheduleapr[[#This Row],[DISPATCH]]</f>
        <v/>
      </c>
      <c r="AJ648" s="599">
        <f>(3.14*(scheduleapr[[#This Row],[ACTUAL OD]]-scheduleapr[[#This Row],[TICKNESS]])*scheduleapr[[#This Row],[TICKNESS]]*scheduleapr[[#This Row],[LENGTH]]*7.85)/1000000*scheduleapr[[#This Row],[SCHEDULE in nos]]/1000</f>
        <v/>
      </c>
      <c r="AK648" s="599">
        <f>(3.14*(scheduleapr[[#This Row],[ACTUAL OD]]-scheduleapr[[#This Row],[TICKNESS]])*scheduleapr[[#This Row],[TICKNESS]]*scheduleapr[[#This Row],[LENGTH]]*7.85)/1000000*scheduleapr[[#This Row],[DISPATCH]]/1000</f>
        <v/>
      </c>
      <c r="AL648" s="599">
        <f>AJ648-AK648</f>
        <v/>
      </c>
      <c r="AM648" s="599">
        <f>scheduleapr[[#This Row],[SCHEDULE in nos]]/scheduleapr[[#This Row],[SCHEDULE IN MT]]*scheduleapr[[#This Row],[CTL Stock]]</f>
        <v/>
      </c>
      <c r="AN648" s="599">
        <f>SUMIFS(stock[MT],stock[Bucket],scheduleapr[[#This Row],[Bucket]],stock[CTL Bucket],scheduleapr[[#This Row],[CTL Bucket]],stock[Plant],"0789")</f>
        <v/>
      </c>
      <c r="AO648" s="599" t="n"/>
      <c r="AP648" s="599">
        <f>SUMIFS(stock[MT],stock[Bucket],scheduleapr[[#This Row],[Bucket]],stock[LL or CTL],"LL")</f>
        <v/>
      </c>
      <c r="AQ648" s="599">
        <f>+SUMIFS(wip[Stock(Net Wt)],wip[Bucket],scheduleapr[[#This Row],[Bucket]])/1000</f>
        <v/>
      </c>
      <c r="AR648" s="599">
        <f>AJ648-AN648</f>
        <v/>
      </c>
      <c r="AS648" s="118" t="n"/>
    </row>
    <row r="649">
      <c r="A649" s="594" t="n">
        <v>553</v>
      </c>
      <c r="B649" s="5" t="inlineStr">
        <is>
          <t>Hosur</t>
        </is>
      </c>
      <c r="C649" s="601" t="inlineStr">
        <is>
          <t>SRI BALAJI GEARS V4</t>
        </is>
      </c>
      <c r="D649" s="601" t="inlineStr">
        <is>
          <t>Sri Balaji Gear</t>
        </is>
      </c>
      <c r="E649" s="601" t="n">
        <v>188595</v>
      </c>
      <c r="F649" s="9" t="n">
        <v>3572045</v>
      </c>
      <c r="G649" s="601">
        <f>_xlfn.CONCAT(scheduleapr[[#This Row],[CUSTOMER CODE]],"-",scheduleapr[[#This Row],[MATERIAL NO]])</f>
        <v/>
      </c>
      <c r="H649" s="601" t="inlineStr">
        <is>
          <t>TUB-S-AW-AUT-30.00X30.00X1.200X0.1400</t>
        </is>
      </c>
      <c r="I649" s="601" t="inlineStr">
        <is>
          <t>CRFH</t>
        </is>
      </c>
      <c r="J649" s="601" t="n"/>
      <c r="K649" s="601" t="inlineStr">
        <is>
          <t>PE</t>
        </is>
      </c>
      <c r="L649" s="601" t="n"/>
      <c r="M649" s="601" t="n"/>
      <c r="N649" s="601" t="n"/>
      <c r="O649" s="601" t="n"/>
      <c r="P649" s="601" t="n"/>
      <c r="Q649" s="557">
        <f>CONCATENATE(scheduleapr[[#This Row],[OD]],"-",scheduleapr[[#This Row],[ID]],"-",scheduleapr[[#This Row],[TICKNESS]],"-",scheduleapr[[#This Row],[Grade]],"-",scheduleapr[[#This Row],[FC/NFC]])</f>
        <v/>
      </c>
      <c r="R649" s="557">
        <f>_xlfn.CONCAT(scheduleapr[[#This Row],[Bucket]],"-",scheduleapr[[#This Row],[LENGTH]]/1000)</f>
        <v/>
      </c>
      <c r="S649" s="557">
        <f>COUNTIF([2]!buckets[CTL Bucket],[2]!scheduleapr[[#This Row],[CTL Bucket]])</f>
        <v/>
      </c>
      <c r="T649" s="601" t="inlineStr">
        <is>
          <t>Hosur</t>
        </is>
      </c>
      <c r="U649" s="601">
        <f>_xlfn.IFNA(VLOOKUP(scheduleapr[[#This Row],[Bucket]],salesforecast[[#All],[Bucket2]:[8406 Stock]],19,0),0)</f>
        <v/>
      </c>
      <c r="V649" s="562">
        <f>_xlfn.IFNA(VLOOKUP(scheduleapr[[#This Row],[Bucket]],salesforecast[[#All],[Bucket2]:[8406 Stock]],20,0),0)+_xlfn.IFNA(VLOOKUP(scheduleapr[[#This Row],[Bucket]],salesforecast[[#All],[Bucket2]:[8406 Stock]],17,0),0)</f>
        <v/>
      </c>
      <c r="W649" s="557" t="n"/>
      <c r="X649" s="599" t="n">
        <v>38.1</v>
      </c>
      <c r="Y649" s="599" t="n">
        <v>30</v>
      </c>
      <c r="Z649" s="599" t="n">
        <v>30</v>
      </c>
      <c r="AA649" s="599" t="n">
        <v>1.2</v>
      </c>
      <c r="AB649" s="600" t="n">
        <v>140</v>
      </c>
      <c r="AC649" s="600" t="inlineStr">
        <is>
          <t>NOS</t>
        </is>
      </c>
      <c r="AD649" s="600" t="n"/>
      <c r="AE649" s="600" t="n"/>
      <c r="AF649" s="601" t="n">
        <v>1000</v>
      </c>
      <c r="AG649" s="601" t="n"/>
      <c r="AH649" s="601">
        <f t="array" ref="AH64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49" s="602">
        <f>scheduleapr[[#This Row],[SCHEDULE in nos]]-scheduleapr[[#This Row],[DISPATCH]]</f>
        <v/>
      </c>
      <c r="AJ649" s="599">
        <f>(3.14*(scheduleapr[[#This Row],[ACTUAL OD]]-scheduleapr[[#This Row],[TICKNESS]])*scheduleapr[[#This Row],[TICKNESS]]*scheduleapr[[#This Row],[LENGTH]]*7.85)/1000000*scheduleapr[[#This Row],[SCHEDULE in nos]]/1000</f>
        <v/>
      </c>
      <c r="AK649" s="599">
        <f>(3.14*(scheduleapr[[#This Row],[ACTUAL OD]]-scheduleapr[[#This Row],[TICKNESS]])*scheduleapr[[#This Row],[TICKNESS]]*scheduleapr[[#This Row],[LENGTH]]*7.85)/1000000*scheduleapr[[#This Row],[DISPATCH]]/1000</f>
        <v/>
      </c>
      <c r="AL649" s="599">
        <f>AJ649-AK649</f>
        <v/>
      </c>
      <c r="AM649" s="599">
        <f>scheduleapr[[#This Row],[SCHEDULE in nos]]/scheduleapr[[#This Row],[SCHEDULE IN MT]]*scheduleapr[[#This Row],[CTL Stock]]</f>
        <v/>
      </c>
      <c r="AN649" s="599">
        <f>SUMIFS(stock[MT],stock[Bucket],scheduleapr[[#This Row],[Bucket]],stock[CTL Bucket],scheduleapr[[#This Row],[CTL Bucket]],stock[Plant],"0789")</f>
        <v/>
      </c>
      <c r="AO649" s="599" t="n"/>
      <c r="AP649" s="599">
        <f>SUMIFS(stock[MT],stock[Bucket],scheduleapr[[#This Row],[Bucket]],stock[LL or CTL],"LL")</f>
        <v/>
      </c>
      <c r="AQ649" s="599">
        <f>+SUMIFS(wip[Stock(Net Wt)],wip[Bucket],scheduleapr[[#This Row],[Bucket]])/1000</f>
        <v/>
      </c>
      <c r="AR649" s="599">
        <f>AJ649-AN649</f>
        <v/>
      </c>
      <c r="AS649" s="118" t="n"/>
    </row>
    <row r="650">
      <c r="A650" s="594" t="n">
        <v>521</v>
      </c>
      <c r="B650" s="5" t="inlineStr">
        <is>
          <t>Hosur</t>
        </is>
      </c>
      <c r="C650" s="596" t="inlineStr">
        <is>
          <t>SRI BALAJI GEARS V7</t>
        </is>
      </c>
      <c r="D650" s="601" t="inlineStr">
        <is>
          <t>Sri Balaji Gear</t>
        </is>
      </c>
      <c r="E650" s="601" t="n">
        <v>188595</v>
      </c>
      <c r="F650" s="523" t="n">
        <v>4151424</v>
      </c>
      <c r="G650" s="601">
        <f>_xlfn.CONCAT(scheduleapr[[#This Row],[CUSTOMER CODE]],"-",scheduleapr[[#This Row],[MATERIAL NO]])</f>
        <v/>
      </c>
      <c r="H650" s="601" t="inlineStr">
        <is>
          <t>TUB-S-AW-AUT-30.00X30.00X1.200X0.190</t>
        </is>
      </c>
      <c r="I650" s="601" t="inlineStr">
        <is>
          <t>CRFH</t>
        </is>
      </c>
      <c r="J650" s="601" t="n"/>
      <c r="K650" s="601" t="inlineStr">
        <is>
          <t>PE</t>
        </is>
      </c>
      <c r="L650" s="601" t="n"/>
      <c r="M650" s="601" t="n"/>
      <c r="N650" s="601" t="n"/>
      <c r="O650" s="601" t="n"/>
      <c r="P650" s="601" t="n"/>
      <c r="Q650" s="557">
        <f>CONCATENATE(scheduleapr[[#This Row],[OD]],"-",scheduleapr[[#This Row],[ID]],"-",scheduleapr[[#This Row],[TICKNESS]],"-",scheduleapr[[#This Row],[Grade]],"-",scheduleapr[[#This Row],[FC/NFC]])</f>
        <v/>
      </c>
      <c r="R650" s="557">
        <f>_xlfn.CONCAT(scheduleapr[[#This Row],[Bucket]],"-",scheduleapr[[#This Row],[LENGTH]]/1000)</f>
        <v/>
      </c>
      <c r="S650" s="557">
        <f>COUNTIF(scheduleapr[CTL Bucket],scheduleapr[[#This Row],[CTL Bucket]])</f>
        <v/>
      </c>
      <c r="T650" s="601" t="inlineStr">
        <is>
          <t>Hosur</t>
        </is>
      </c>
      <c r="U650" s="601">
        <f>_xlfn.IFNA(VLOOKUP(scheduleapr[[#This Row],[Bucket]],salesforecast[[#All],[Bucket2]:[8406 Stock]],19,0),0)</f>
        <v/>
      </c>
      <c r="V650" s="562">
        <f>_xlfn.IFNA(VLOOKUP(scheduleapr[[#This Row],[Bucket]],salesforecast[[#All],[Bucket2]:[8406 Stock]],20,0),0)+_xlfn.IFNA(VLOOKUP(scheduleapr[[#This Row],[Bucket]],salesforecast[[#All],[Bucket2]:[8406 Stock]],17,0),0)</f>
        <v/>
      </c>
      <c r="W650" s="557" t="n"/>
      <c r="X650" s="599" t="n">
        <v>38.1</v>
      </c>
      <c r="Y650" s="599" t="n">
        <v>30</v>
      </c>
      <c r="Z650" s="599" t="n">
        <v>30</v>
      </c>
      <c r="AA650" s="599" t="n">
        <v>1.2</v>
      </c>
      <c r="AB650" s="600" t="n">
        <v>190</v>
      </c>
      <c r="AC650" s="600" t="inlineStr">
        <is>
          <t>NOS</t>
        </is>
      </c>
      <c r="AD650" s="600" t="n"/>
      <c r="AE650" s="600" t="n"/>
      <c r="AF650" s="602" t="n">
        <v>12000</v>
      </c>
      <c r="AG650" s="602" t="n"/>
      <c r="AH650" s="601">
        <f t="array" ref="AH65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0" s="602">
        <f>scheduleapr[[#This Row],[SCHEDULE in nos]]-scheduleapr[[#This Row],[DISPATCH]]</f>
        <v/>
      </c>
      <c r="AJ650" s="599">
        <f>(3.14*(scheduleapr[[#This Row],[ACTUAL OD]]-scheduleapr[[#This Row],[TICKNESS]])*scheduleapr[[#This Row],[TICKNESS]]*scheduleapr[[#This Row],[LENGTH]]*7.85)/1000000*scheduleapr[[#This Row],[SCHEDULE in nos]]/1000</f>
        <v/>
      </c>
      <c r="AK650" s="599">
        <f>(3.14*(scheduleapr[[#This Row],[ACTUAL OD]]-scheduleapr[[#This Row],[TICKNESS]])*scheduleapr[[#This Row],[TICKNESS]]*scheduleapr[[#This Row],[LENGTH]]*7.85)/1000000*scheduleapr[[#This Row],[DISPATCH]]/1000</f>
        <v/>
      </c>
      <c r="AL650" s="599">
        <f>AJ650-AK650</f>
        <v/>
      </c>
      <c r="AM650" s="599">
        <f>scheduleapr[[#This Row],[SCHEDULE in nos]]/scheduleapr[[#This Row],[SCHEDULE IN MT]]*scheduleapr[[#This Row],[CTL Stock]]</f>
        <v/>
      </c>
      <c r="AN650" s="599">
        <f>SUMIFS(stock[MT],stock[Bucket],scheduleapr[[#This Row],[Bucket]],stock[CTL Bucket],scheduleapr[[#This Row],[CTL Bucket]],stock[Plant],"0789")</f>
        <v/>
      </c>
      <c r="AO650" s="599" t="n"/>
      <c r="AP650" s="599">
        <f>SUMIFS(stock[MT],stock[Bucket],scheduleapr[[#This Row],[Bucket]],stock[LL or CTL],"LL")</f>
        <v/>
      </c>
      <c r="AQ650" s="599">
        <f>+SUMIFS(wip[Stock(Net Wt)],wip[Bucket],scheduleapr[[#This Row],[Bucket]])/1000</f>
        <v/>
      </c>
      <c r="AR650" s="599">
        <f>AJ650-AN650</f>
        <v/>
      </c>
      <c r="AS650" s="118" t="n"/>
    </row>
    <row r="651">
      <c r="A651" s="594" t="n">
        <v>653</v>
      </c>
      <c r="B651" s="5" t="inlineStr">
        <is>
          <t>Hosur</t>
        </is>
      </c>
      <c r="C651" s="601" t="inlineStr">
        <is>
          <t>Balaji Gears V3</t>
        </is>
      </c>
      <c r="D651" s="601" t="inlineStr">
        <is>
          <t>Sri Balaji Gear</t>
        </is>
      </c>
      <c r="E651" s="601" t="n">
        <v>188595</v>
      </c>
      <c r="F651" s="523" t="n">
        <v>3230495</v>
      </c>
      <c r="G651" s="601">
        <f>_xlfn.CONCAT(scheduleapr[[#This Row],[CUSTOMER CODE]],"-",scheduleapr[[#This Row],[MATERIAL NO]])</f>
        <v/>
      </c>
      <c r="H651" s="523" t="inlineStr">
        <is>
          <t>TUB-S-AW-AUT-30.00X30.00X1.200X0.2200</t>
        </is>
      </c>
      <c r="I651" s="601" t="inlineStr">
        <is>
          <t>CRFH</t>
        </is>
      </c>
      <c r="J651" s="601" t="n"/>
      <c r="K651" s="601" t="inlineStr">
        <is>
          <t>PE</t>
        </is>
      </c>
      <c r="L651" s="601" t="n"/>
      <c r="M651" s="596" t="n"/>
      <c r="N651" s="601" t="n"/>
      <c r="O651" s="601" t="n"/>
      <c r="P651" s="601" t="n"/>
      <c r="Q651" s="557">
        <f>CONCATENATE(scheduleapr[[#This Row],[OD]],"-",scheduleapr[[#This Row],[ID]],"-",scheduleapr[[#This Row],[TICKNESS]],"-",scheduleapr[[#This Row],[Grade]],"-",scheduleapr[[#This Row],[FC/NFC]])</f>
        <v/>
      </c>
      <c r="R651" s="557">
        <f>_xlfn.CONCAT(scheduleapr[[#This Row],[Bucket]],"-",scheduleapr[[#This Row],[LENGTH]]/1000)</f>
        <v/>
      </c>
      <c r="S651" s="601" t="n"/>
      <c r="T651" s="601" t="n"/>
      <c r="U651" s="601">
        <f>_xlfn.IFNA(VLOOKUP(scheduleapr[[#This Row],[Bucket]],salesforecast[[#All],[Bucket2]:[8406 Stock]],19,0),0)</f>
        <v/>
      </c>
      <c r="V651" s="562">
        <f>_xlfn.IFNA(VLOOKUP(scheduleapr[[#This Row],[Bucket]],salesforecast[[#All],[Bucket2]:[8406 Stock]],20,0),0)+_xlfn.IFNA(VLOOKUP(scheduleapr[[#This Row],[Bucket]],salesforecast[[#All],[Bucket2]:[8406 Stock]],17,0),0)</f>
        <v/>
      </c>
      <c r="W651" s="601" t="n"/>
      <c r="X651" s="599" t="n">
        <v>38.1</v>
      </c>
      <c r="Y651" s="599" t="n">
        <v>30</v>
      </c>
      <c r="Z651" s="599" t="n">
        <v>30</v>
      </c>
      <c r="AA651" s="599" t="n">
        <v>1.2</v>
      </c>
      <c r="AB651" s="600" t="n">
        <v>220</v>
      </c>
      <c r="AC651" s="600" t="inlineStr">
        <is>
          <t>NOS</t>
        </is>
      </c>
      <c r="AD651" s="600" t="n"/>
      <c r="AE651" s="600" t="n"/>
      <c r="AF651" s="601" t="n">
        <v>1000</v>
      </c>
      <c r="AG651" s="601" t="n"/>
      <c r="AH651" s="601">
        <f t="array" ref="AH65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1" s="602">
        <f>scheduleapr[[#This Row],[SCHEDULE in nos]]-scheduleapr[[#This Row],[DISPATCH]]</f>
        <v/>
      </c>
      <c r="AJ651" s="599">
        <f>(3.14*(scheduleapr[[#This Row],[ACTUAL OD]]-scheduleapr[[#This Row],[TICKNESS]])*scheduleapr[[#This Row],[TICKNESS]]*scheduleapr[[#This Row],[LENGTH]]*7.85)/1000000*scheduleapr[[#This Row],[SCHEDULE in nos]]/1000</f>
        <v/>
      </c>
      <c r="AK651" s="599">
        <f>(3.14*(scheduleapr[[#This Row],[ACTUAL OD]]-scheduleapr[[#This Row],[TICKNESS]])*scheduleapr[[#This Row],[TICKNESS]]*scheduleapr[[#This Row],[LENGTH]]*7.85)/1000000*scheduleapr[[#This Row],[DISPATCH]]/1000</f>
        <v/>
      </c>
      <c r="AL651" s="599">
        <f>AJ651-AK651</f>
        <v/>
      </c>
      <c r="AM651" s="599">
        <f>scheduleapr[[#This Row],[SCHEDULE in nos]]/scheduleapr[[#This Row],[SCHEDULE IN MT]]*scheduleapr[[#This Row],[CTL Stock]]</f>
        <v/>
      </c>
      <c r="AN651" s="599">
        <f>SUMIFS(stock[MT],stock[Bucket],scheduleapr[[#This Row],[Bucket]],stock[CTL Bucket],scheduleapr[[#This Row],[CTL Bucket]],stock[Plant],"0789")</f>
        <v/>
      </c>
      <c r="AO651" s="599" t="n"/>
      <c r="AP651" s="599">
        <f>SUMIFS(stock[MT],stock[Bucket],scheduleapr[[#This Row],[Bucket]],stock[LL or CTL],"LL")</f>
        <v/>
      </c>
      <c r="AQ651" s="599">
        <f>+SUMIFS(wip[Stock(Net Wt)],wip[Bucket],scheduleapr[[#This Row],[Bucket]])/1000</f>
        <v/>
      </c>
      <c r="AR651" s="599">
        <f>AJ651-AN651</f>
        <v/>
      </c>
      <c r="AS651" s="118" t="n"/>
    </row>
    <row r="652">
      <c r="A652" s="594" t="n">
        <v>564</v>
      </c>
      <c r="B652" s="5" t="inlineStr">
        <is>
          <t>Hosur</t>
        </is>
      </c>
      <c r="C652" s="596" t="inlineStr">
        <is>
          <t>SRI BALAJI GEARS V4</t>
        </is>
      </c>
      <c r="D652" s="601" t="inlineStr">
        <is>
          <t>Sri Balaji Gear</t>
        </is>
      </c>
      <c r="E652" s="596" t="n">
        <v>188595</v>
      </c>
      <c r="F652" s="523" t="n">
        <v>3938688</v>
      </c>
      <c r="G652" s="601">
        <f>_xlfn.CONCAT(scheduleapr[[#This Row],[CUSTOMER CODE]],"-",scheduleapr[[#This Row],[MATERIAL NO]])</f>
        <v/>
      </c>
      <c r="H652" s="601" t="inlineStr">
        <is>
          <t>TUB-S-AW-AUT-40.00X20.00X1.200X0.095</t>
        </is>
      </c>
      <c r="I652" s="601" t="inlineStr">
        <is>
          <t>CRFH</t>
        </is>
      </c>
      <c r="J652" s="596" t="n"/>
      <c r="K652" s="596" t="inlineStr">
        <is>
          <t>PE</t>
        </is>
      </c>
      <c r="L652" s="601" t="inlineStr">
        <is>
          <t>CR</t>
        </is>
      </c>
      <c r="M652" s="596" t="n"/>
      <c r="N652" s="596" t="n"/>
      <c r="O652" s="596" t="n"/>
      <c r="P652" s="596" t="n"/>
      <c r="Q652" s="557">
        <f>CONCATENATE(scheduleapr[[#This Row],[OD]],"-",scheduleapr[[#This Row],[ID]],"-",scheduleapr[[#This Row],[TICKNESS]],"-",scheduleapr[[#This Row],[Grade]],"-",scheduleapr[[#This Row],[FC/NFC]])</f>
        <v/>
      </c>
      <c r="R652" s="557">
        <f>_xlfn.CONCAT(scheduleapr[[#This Row],[Bucket]],"-",scheduleapr[[#This Row],[LENGTH]]/1000)</f>
        <v/>
      </c>
      <c r="S652" s="557">
        <f>COUNTIF(scheduleapr[CTL Bucket],scheduleapr[[#This Row],[CTL Bucket]])</f>
        <v/>
      </c>
      <c r="T652" s="601" t="inlineStr">
        <is>
          <t>Hosur</t>
        </is>
      </c>
      <c r="U652" s="601">
        <f>_xlfn.IFNA(VLOOKUP(scheduleapr[[#This Row],[Bucket]],salesforecast[[#All],[Bucket2]:[8406 Stock]],19,0),0)</f>
        <v/>
      </c>
      <c r="V652" s="562">
        <f>_xlfn.IFNA(VLOOKUP(scheduleapr[[#This Row],[Bucket]],salesforecast[[#All],[Bucket2]:[8406 Stock]],20,0),0)+_xlfn.IFNA(VLOOKUP(scheduleapr[[#This Row],[Bucket]],salesforecast[[#All],[Bucket2]:[8406 Stock]],17,0),0)</f>
        <v/>
      </c>
      <c r="W652" s="557" t="n"/>
      <c r="X652" s="599" t="n">
        <v>38.1</v>
      </c>
      <c r="Y652" s="599" t="n">
        <v>40</v>
      </c>
      <c r="Z652" s="599" t="n">
        <v>20</v>
      </c>
      <c r="AA652" s="599" t="n">
        <v>1.2</v>
      </c>
      <c r="AB652" s="600" t="n">
        <v>95</v>
      </c>
      <c r="AC652" s="600" t="inlineStr">
        <is>
          <t>NOS</t>
        </is>
      </c>
      <c r="AD652" s="600" t="n"/>
      <c r="AE652" s="600" t="n"/>
      <c r="AF652" s="601" t="n">
        <v>1000</v>
      </c>
      <c r="AG652" s="601" t="n"/>
      <c r="AH652" s="601">
        <f t="array" ref="AH65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2" s="602">
        <f>scheduleapr[[#This Row],[SCHEDULE in nos]]-scheduleapr[[#This Row],[DISPATCH]]</f>
        <v/>
      </c>
      <c r="AJ652" s="599">
        <f>(3.14*(scheduleapr[[#This Row],[ACTUAL OD]]-scheduleapr[[#This Row],[TICKNESS]])*scheduleapr[[#This Row],[TICKNESS]]*scheduleapr[[#This Row],[LENGTH]]*7.85)/1000000*scheduleapr[[#This Row],[SCHEDULE in nos]]/1000</f>
        <v/>
      </c>
      <c r="AK652" s="599">
        <f>(3.14*(scheduleapr[[#This Row],[ACTUAL OD]]-scheduleapr[[#This Row],[TICKNESS]])*scheduleapr[[#This Row],[TICKNESS]]*scheduleapr[[#This Row],[LENGTH]]*7.85)/1000000*scheduleapr[[#This Row],[DISPATCH]]/1000</f>
        <v/>
      </c>
      <c r="AL652" s="599">
        <f>AJ652-AK652</f>
        <v/>
      </c>
      <c r="AM652" s="599">
        <f>scheduleapr[[#This Row],[SCHEDULE in nos]]/scheduleapr[[#This Row],[SCHEDULE IN MT]]*scheduleapr[[#This Row],[CTL Stock]]</f>
        <v/>
      </c>
      <c r="AN652" s="599">
        <f>SUMIFS(stock[MT],stock[Bucket],scheduleapr[[#This Row],[Bucket]],stock[CTL Bucket],scheduleapr[[#This Row],[CTL Bucket]],stock[Plant],"0789")</f>
        <v/>
      </c>
      <c r="AO652" s="599" t="n"/>
      <c r="AP652" s="599">
        <f>SUMIFS(stock[MT],stock[Bucket],scheduleapr[[#This Row],[Bucket]],stock[LL or CTL],"LL")</f>
        <v/>
      </c>
      <c r="AQ652" s="599">
        <f>+SUMIFS(wip[Stock(Net Wt)],wip[Bucket],scheduleapr[[#This Row],[Bucket]])/1000</f>
        <v/>
      </c>
      <c r="AR652" s="599">
        <f>AJ652-AN652</f>
        <v/>
      </c>
      <c r="AS652" s="118" t="n"/>
    </row>
    <row r="653">
      <c r="A653" s="594" t="n">
        <v>523</v>
      </c>
      <c r="B653" s="5" t="inlineStr">
        <is>
          <t>Hosur</t>
        </is>
      </c>
      <c r="C653" s="596" t="inlineStr">
        <is>
          <t>SRI BALAJI GEARS V7</t>
        </is>
      </c>
      <c r="D653" s="601" t="inlineStr">
        <is>
          <t>Sri Balaji Gear</t>
        </is>
      </c>
      <c r="E653" s="601" t="n">
        <v>188595</v>
      </c>
      <c r="F653" s="523" t="n">
        <v>3572047</v>
      </c>
      <c r="G653" s="601">
        <f>_xlfn.CONCAT(scheduleapr[[#This Row],[CUSTOMER CODE]],"-",scheduleapr[[#This Row],[MATERIAL NO]])</f>
        <v/>
      </c>
      <c r="H653" s="601" t="inlineStr">
        <is>
          <t>TUB-R-AW-RHS-40.00X20.00X1.200X0.110</t>
        </is>
      </c>
      <c r="I653" s="601" t="inlineStr">
        <is>
          <t>CRFH</t>
        </is>
      </c>
      <c r="J653" s="596" t="n"/>
      <c r="K653" s="596" t="inlineStr">
        <is>
          <t>PE</t>
        </is>
      </c>
      <c r="L653" s="601" t="inlineStr">
        <is>
          <t>CR</t>
        </is>
      </c>
      <c r="M653" s="596" t="n"/>
      <c r="N653" s="596" t="n"/>
      <c r="O653" s="596" t="n"/>
      <c r="P653" s="596" t="n"/>
      <c r="Q653" s="557">
        <f>CONCATENATE(scheduleapr[[#This Row],[OD]],"-",scheduleapr[[#This Row],[ID]],"-",scheduleapr[[#This Row],[TICKNESS]],"-",scheduleapr[[#This Row],[Grade]],"-",scheduleapr[[#This Row],[FC/NFC]])</f>
        <v/>
      </c>
      <c r="R653" s="557">
        <f>_xlfn.CONCAT(scheduleapr[[#This Row],[Bucket]],"-",scheduleapr[[#This Row],[LENGTH]]/1000)</f>
        <v/>
      </c>
      <c r="S653" s="557">
        <f>COUNTIF(scheduleapr[CTL Bucket],scheduleapr[[#This Row],[CTL Bucket]])</f>
        <v/>
      </c>
      <c r="T653" s="601" t="inlineStr">
        <is>
          <t>Hosur</t>
        </is>
      </c>
      <c r="U653" s="601">
        <f>_xlfn.IFNA(VLOOKUP(scheduleapr[[#This Row],[Bucket]],salesforecast[[#All],[Bucket2]:[8406 Stock]],19,0),0)</f>
        <v/>
      </c>
      <c r="V653" s="562">
        <f>_xlfn.IFNA(VLOOKUP(scheduleapr[[#This Row],[Bucket]],salesforecast[[#All],[Bucket2]:[8406 Stock]],20,0),0)+_xlfn.IFNA(VLOOKUP(scheduleapr[[#This Row],[Bucket]],salesforecast[[#All],[Bucket2]:[8406 Stock]],17,0),0)</f>
        <v/>
      </c>
      <c r="W653" s="557" t="n"/>
      <c r="X653" s="599" t="n">
        <v>38.1</v>
      </c>
      <c r="Y653" s="599" t="n">
        <v>40</v>
      </c>
      <c r="Z653" s="599" t="n">
        <v>20</v>
      </c>
      <c r="AA653" s="599" t="n">
        <v>1.2</v>
      </c>
      <c r="AB653" s="600" t="n">
        <v>110</v>
      </c>
      <c r="AC653" s="600" t="inlineStr">
        <is>
          <t>NOS</t>
        </is>
      </c>
      <c r="AD653" s="600" t="n"/>
      <c r="AE653" s="600" t="n"/>
      <c r="AF653" s="602" t="n">
        <v>12000</v>
      </c>
      <c r="AG653" s="602" t="n"/>
      <c r="AH653" s="601">
        <f t="array" ref="AH65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3" s="602">
        <f>scheduleapr[[#This Row],[SCHEDULE in nos]]-scheduleapr[[#This Row],[DISPATCH]]</f>
        <v/>
      </c>
      <c r="AJ653" s="599">
        <f>(3.14*(scheduleapr[[#This Row],[ACTUAL OD]]-scheduleapr[[#This Row],[TICKNESS]])*scheduleapr[[#This Row],[TICKNESS]]*scheduleapr[[#This Row],[LENGTH]]*7.85)/1000000*scheduleapr[[#This Row],[SCHEDULE in nos]]/1000</f>
        <v/>
      </c>
      <c r="AK653" s="599">
        <f>(3.14*(scheduleapr[[#This Row],[ACTUAL OD]]-scheduleapr[[#This Row],[TICKNESS]])*scheduleapr[[#This Row],[TICKNESS]]*scheduleapr[[#This Row],[LENGTH]]*7.85)/1000000*scheduleapr[[#This Row],[DISPATCH]]/1000</f>
        <v/>
      </c>
      <c r="AL653" s="599">
        <f>AJ653-AK653</f>
        <v/>
      </c>
      <c r="AM653" s="599">
        <f>scheduleapr[[#This Row],[SCHEDULE in nos]]/scheduleapr[[#This Row],[SCHEDULE IN MT]]*scheduleapr[[#This Row],[CTL Stock]]</f>
        <v/>
      </c>
      <c r="AN653" s="599">
        <f>SUMIFS(stock[MT],stock[Bucket],scheduleapr[[#This Row],[Bucket]],stock[CTL Bucket],scheduleapr[[#This Row],[CTL Bucket]],stock[Plant],"0789")</f>
        <v/>
      </c>
      <c r="AO653" s="599" t="n"/>
      <c r="AP653" s="599">
        <f>SUMIFS(stock[MT],stock[Bucket],scheduleapr[[#This Row],[Bucket]],stock[LL or CTL],"LL")</f>
        <v/>
      </c>
      <c r="AQ653" s="599">
        <f>+SUMIFS(wip[Stock(Net Wt)],wip[Bucket],scheduleapr[[#This Row],[Bucket]])/1000</f>
        <v/>
      </c>
      <c r="AR653" s="599">
        <f>AJ653-AN653</f>
        <v/>
      </c>
      <c r="AS653" s="118" t="n"/>
    </row>
    <row r="654">
      <c r="A654" s="594" t="n">
        <v>555</v>
      </c>
      <c r="B654" s="5" t="inlineStr">
        <is>
          <t>Hosur</t>
        </is>
      </c>
      <c r="C654" s="601" t="inlineStr">
        <is>
          <t>SRI BALAJI GEARS V4</t>
        </is>
      </c>
      <c r="D654" s="601" t="inlineStr">
        <is>
          <t>Sri Balaji Gear</t>
        </is>
      </c>
      <c r="E654" s="601" t="n">
        <v>188595</v>
      </c>
      <c r="F654" s="9" t="n">
        <v>3572047</v>
      </c>
      <c r="G654" s="601">
        <f>_xlfn.CONCAT(scheduleapr[[#This Row],[CUSTOMER CODE]],"-",scheduleapr[[#This Row],[MATERIAL NO]])</f>
        <v/>
      </c>
      <c r="H654" s="601" t="inlineStr">
        <is>
          <t>TUB-R-AW-AUT-40.00X20.00X1.200X0.1100</t>
        </is>
      </c>
      <c r="I654" s="601" t="inlineStr">
        <is>
          <t>CRFH</t>
        </is>
      </c>
      <c r="J654" s="596" t="n"/>
      <c r="K654" s="596" t="inlineStr">
        <is>
          <t>PE</t>
        </is>
      </c>
      <c r="L654" s="601" t="inlineStr">
        <is>
          <t>CR</t>
        </is>
      </c>
      <c r="M654" s="596" t="n"/>
      <c r="N654" s="596" t="n"/>
      <c r="O654" s="596" t="n"/>
      <c r="P654" s="596" t="n"/>
      <c r="Q654" s="557">
        <f>CONCATENATE(scheduleapr[[#This Row],[OD]],"-",scheduleapr[[#This Row],[ID]],"-",scheduleapr[[#This Row],[TICKNESS]],"-",scheduleapr[[#This Row],[Grade]],"-",scheduleapr[[#This Row],[FC/NFC]])</f>
        <v/>
      </c>
      <c r="R654" s="557">
        <f>_xlfn.CONCAT(scheduleapr[[#This Row],[Bucket]],"-",scheduleapr[[#This Row],[LENGTH]]/1000)</f>
        <v/>
      </c>
      <c r="S654" s="557">
        <f>COUNTIF(scheduleapr[CTL Bucket],scheduleapr[[#This Row],[CTL Bucket]])</f>
        <v/>
      </c>
      <c r="T654" s="601" t="inlineStr">
        <is>
          <t>Hosur</t>
        </is>
      </c>
      <c r="U654" s="601">
        <f>_xlfn.IFNA(VLOOKUP(scheduleapr[[#This Row],[Bucket]],salesforecast[[#All],[Bucket2]:[8406 Stock]],19,0),0)</f>
        <v/>
      </c>
      <c r="V654" s="562">
        <f>_xlfn.IFNA(VLOOKUP(scheduleapr[[#This Row],[Bucket]],salesforecast[[#All],[Bucket2]:[8406 Stock]],20,0),0)+_xlfn.IFNA(VLOOKUP(scheduleapr[[#This Row],[Bucket]],salesforecast[[#All],[Bucket2]:[8406 Stock]],17,0),0)</f>
        <v/>
      </c>
      <c r="W654" s="557" t="n"/>
      <c r="X654" s="599" t="n">
        <v>38.1</v>
      </c>
      <c r="Y654" s="599" t="n">
        <v>40</v>
      </c>
      <c r="Z654" s="599" t="n">
        <v>20</v>
      </c>
      <c r="AA654" s="599" t="n">
        <v>1.2</v>
      </c>
      <c r="AB654" s="600" t="n">
        <v>110</v>
      </c>
      <c r="AC654" s="600" t="inlineStr">
        <is>
          <t>NOS</t>
        </is>
      </c>
      <c r="AD654" s="600" t="n"/>
      <c r="AE654" s="600" t="n"/>
      <c r="AF654" s="601" t="n">
        <v>1000</v>
      </c>
      <c r="AG654" s="601" t="n"/>
      <c r="AH654" s="601">
        <f t="array" ref="AH65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4" s="602">
        <f>scheduleapr[[#This Row],[SCHEDULE in nos]]-scheduleapr[[#This Row],[DISPATCH]]</f>
        <v/>
      </c>
      <c r="AJ654" s="599">
        <f>(3.14*(scheduleapr[[#This Row],[ACTUAL OD]]-scheduleapr[[#This Row],[TICKNESS]])*scheduleapr[[#This Row],[TICKNESS]]*scheduleapr[[#This Row],[LENGTH]]*7.85)/1000000*scheduleapr[[#This Row],[SCHEDULE in nos]]/1000</f>
        <v/>
      </c>
      <c r="AK654" s="599">
        <f>(3.14*(scheduleapr[[#This Row],[ACTUAL OD]]-scheduleapr[[#This Row],[TICKNESS]])*scheduleapr[[#This Row],[TICKNESS]]*scheduleapr[[#This Row],[LENGTH]]*7.85)/1000000*scheduleapr[[#This Row],[DISPATCH]]/1000</f>
        <v/>
      </c>
      <c r="AL654" s="599">
        <f>AJ654-AK654</f>
        <v/>
      </c>
      <c r="AM654" s="599">
        <f>scheduleapr[[#This Row],[SCHEDULE in nos]]/scheduleapr[[#This Row],[SCHEDULE IN MT]]*scheduleapr[[#This Row],[CTL Stock]]</f>
        <v/>
      </c>
      <c r="AN654" s="599">
        <f>SUMIFS(stock[MT],stock[Bucket],scheduleapr[[#This Row],[Bucket]],stock[CTL Bucket],scheduleapr[[#This Row],[CTL Bucket]],stock[Plant],"0789")</f>
        <v/>
      </c>
      <c r="AO654" s="599" t="n"/>
      <c r="AP654" s="599">
        <f>SUMIFS(stock[MT],stock[Bucket],scheduleapr[[#This Row],[Bucket]],stock[LL or CTL],"LL")</f>
        <v/>
      </c>
      <c r="AQ654" s="599">
        <f>+SUMIFS(wip[Stock(Net Wt)],wip[Bucket],scheduleapr[[#This Row],[Bucket]])/1000</f>
        <v/>
      </c>
      <c r="AR654" s="599">
        <f>AJ654-AN654</f>
        <v/>
      </c>
      <c r="AS654" s="118" t="n"/>
    </row>
    <row r="655">
      <c r="A655" s="594" t="n">
        <v>637</v>
      </c>
      <c r="B655" s="5" t="inlineStr">
        <is>
          <t>Hosur</t>
        </is>
      </c>
      <c r="C655" s="601" t="inlineStr">
        <is>
          <t>Balaji Gears V3</t>
        </is>
      </c>
      <c r="D655" s="601" t="inlineStr">
        <is>
          <t>Sri Balaji Gear</t>
        </is>
      </c>
      <c r="E655" s="601" t="n">
        <v>188595</v>
      </c>
      <c r="F655" s="523" t="n">
        <v>3233559</v>
      </c>
      <c r="G655" s="601">
        <f>_xlfn.CONCAT(scheduleapr[[#This Row],[CUSTOMER CODE]],"-",scheduleapr[[#This Row],[MATERIAL NO]])</f>
        <v/>
      </c>
      <c r="H655" s="523" t="inlineStr">
        <is>
          <t>TUB-R-AW-AUT-40.00X20.00X1.210X0.1200</t>
        </is>
      </c>
      <c r="I655" s="601" t="inlineStr">
        <is>
          <t>CRFH</t>
        </is>
      </c>
      <c r="J655" s="601" t="n"/>
      <c r="K655" s="596" t="inlineStr">
        <is>
          <t>PE</t>
        </is>
      </c>
      <c r="L655" s="601" t="n"/>
      <c r="M655" s="596" t="n"/>
      <c r="N655" s="601" t="n"/>
      <c r="O655" s="601" t="n"/>
      <c r="P655" s="601" t="n"/>
      <c r="Q655" s="557">
        <f>CONCATENATE(scheduleapr[[#This Row],[OD]],"-",scheduleapr[[#This Row],[ID]],"-",scheduleapr[[#This Row],[TICKNESS]],"-",scheduleapr[[#This Row],[Grade]],"-",scheduleapr[[#This Row],[FC/NFC]])</f>
        <v/>
      </c>
      <c r="R655" s="557">
        <f>_xlfn.CONCAT(scheduleapr[[#This Row],[Bucket]],"-",scheduleapr[[#This Row],[LENGTH]]/1000)</f>
        <v/>
      </c>
      <c r="S655" s="601" t="n"/>
      <c r="T655" s="601" t="n"/>
      <c r="U655" s="601">
        <f>_xlfn.IFNA(VLOOKUP(scheduleapr[[#This Row],[Bucket]],salesforecast[[#All],[Bucket2]:[8406 Stock]],19,0),0)</f>
        <v/>
      </c>
      <c r="V655" s="562">
        <f>_xlfn.IFNA(VLOOKUP(scheduleapr[[#This Row],[Bucket]],salesforecast[[#All],[Bucket2]:[8406 Stock]],20,0),0)+_xlfn.IFNA(VLOOKUP(scheduleapr[[#This Row],[Bucket]],salesforecast[[#All],[Bucket2]:[8406 Stock]],17,0),0)</f>
        <v/>
      </c>
      <c r="W655" s="601" t="n"/>
      <c r="X655" s="599" t="n">
        <v>38.1</v>
      </c>
      <c r="Y655" s="599" t="n">
        <v>40</v>
      </c>
      <c r="Z655" s="599" t="n">
        <v>20</v>
      </c>
      <c r="AA655" s="599" t="n">
        <v>1.2</v>
      </c>
      <c r="AB655" s="600" t="n">
        <v>120</v>
      </c>
      <c r="AC655" s="600" t="inlineStr">
        <is>
          <t>NOS</t>
        </is>
      </c>
      <c r="AD655" s="600" t="n"/>
      <c r="AE655" s="600" t="n"/>
      <c r="AF655" s="601" t="n">
        <v>1000</v>
      </c>
      <c r="AG655" s="601" t="n"/>
      <c r="AH655" s="601">
        <f t="array" ref="AH65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5" s="602">
        <f>scheduleapr[[#This Row],[SCHEDULE in nos]]-scheduleapr[[#This Row],[DISPATCH]]</f>
        <v/>
      </c>
      <c r="AJ655" s="599">
        <f>(3.14*(scheduleapr[[#This Row],[ACTUAL OD]]-scheduleapr[[#This Row],[TICKNESS]])*scheduleapr[[#This Row],[TICKNESS]]*scheduleapr[[#This Row],[LENGTH]]*7.85)/1000000*scheduleapr[[#This Row],[SCHEDULE in nos]]/1000</f>
        <v/>
      </c>
      <c r="AK655" s="599">
        <f>(3.14*(scheduleapr[[#This Row],[ACTUAL OD]]-scheduleapr[[#This Row],[TICKNESS]])*scheduleapr[[#This Row],[TICKNESS]]*scheduleapr[[#This Row],[LENGTH]]*7.85)/1000000*scheduleapr[[#This Row],[DISPATCH]]/1000</f>
        <v/>
      </c>
      <c r="AL655" s="599">
        <f>AJ655-AK655</f>
        <v/>
      </c>
      <c r="AM655" s="599">
        <f>scheduleapr[[#This Row],[SCHEDULE in nos]]/scheduleapr[[#This Row],[SCHEDULE IN MT]]*scheduleapr[[#This Row],[CTL Stock]]</f>
        <v/>
      </c>
      <c r="AN655" s="599">
        <f>SUMIFS(stock[MT],stock[Bucket],scheduleapr[[#This Row],[Bucket]],stock[CTL Bucket],scheduleapr[[#This Row],[CTL Bucket]],stock[Plant],"0789")</f>
        <v/>
      </c>
      <c r="AO655" s="599" t="n"/>
      <c r="AP655" s="599">
        <f>SUMIFS(stock[MT],stock[Bucket],scheduleapr[[#This Row],[Bucket]],stock[LL or CTL],"LL")</f>
        <v/>
      </c>
      <c r="AQ655" s="599">
        <f>+SUMIFS(wip[Stock(Net Wt)],wip[Bucket],scheduleapr[[#This Row],[Bucket]])/1000</f>
        <v/>
      </c>
      <c r="AR655" s="599">
        <f>AJ655-AN655</f>
        <v/>
      </c>
      <c r="AS655" s="118" t="n"/>
    </row>
    <row r="656">
      <c r="A656" s="594" t="n">
        <v>522</v>
      </c>
      <c r="B656" s="5" t="inlineStr">
        <is>
          <t>Hosur</t>
        </is>
      </c>
      <c r="C656" s="596" t="inlineStr">
        <is>
          <t>SRI BALAJI GEARS V7</t>
        </is>
      </c>
      <c r="D656" s="601" t="inlineStr">
        <is>
          <t>Sri Balaji Gear</t>
        </is>
      </c>
      <c r="E656" s="601" t="n">
        <v>188595</v>
      </c>
      <c r="F656" s="9" t="n">
        <v>3233559</v>
      </c>
      <c r="G656" s="601">
        <f>_xlfn.CONCAT(scheduleapr[[#This Row],[CUSTOMER CODE]],"-",scheduleapr[[#This Row],[MATERIAL NO]])</f>
        <v/>
      </c>
      <c r="H656" s="601" t="inlineStr">
        <is>
          <t>TUB-R-AW-AUT-40.00X20.00X1.210X0.1200</t>
        </is>
      </c>
      <c r="I656" s="601" t="inlineStr">
        <is>
          <t>CRFH</t>
        </is>
      </c>
      <c r="J656" s="596" t="n"/>
      <c r="K656" s="596" t="inlineStr">
        <is>
          <t>PE</t>
        </is>
      </c>
      <c r="L656" s="601" t="inlineStr">
        <is>
          <t>CR</t>
        </is>
      </c>
      <c r="M656" s="596" t="n"/>
      <c r="N656" s="596" t="n"/>
      <c r="O656" s="596" t="n"/>
      <c r="P656" s="596" t="n"/>
      <c r="Q656" s="557">
        <f>CONCATENATE(scheduleapr[[#This Row],[OD]],"-",scheduleapr[[#This Row],[ID]],"-",scheduleapr[[#This Row],[TICKNESS]],"-",scheduleapr[[#This Row],[Grade]],"-",scheduleapr[[#This Row],[FC/NFC]])</f>
        <v/>
      </c>
      <c r="R656" s="557">
        <f>_xlfn.CONCAT(scheduleapr[[#This Row],[Bucket]],"-",scheduleapr[[#This Row],[LENGTH]]/1000)</f>
        <v/>
      </c>
      <c r="S656" s="557">
        <f>COUNTIF(scheduleapr[CTL Bucket],scheduleapr[[#This Row],[CTL Bucket]])</f>
        <v/>
      </c>
      <c r="T656" s="601" t="inlineStr">
        <is>
          <t>Hosur</t>
        </is>
      </c>
      <c r="U656" s="601">
        <f>_xlfn.IFNA(VLOOKUP(scheduleapr[[#This Row],[Bucket]],salesforecast[[#All],[Bucket2]:[8406 Stock]],19,0),0)</f>
        <v/>
      </c>
      <c r="V656" s="562">
        <f>_xlfn.IFNA(VLOOKUP(scheduleapr[[#This Row],[Bucket]],salesforecast[[#All],[Bucket2]:[8406 Stock]],20,0),0)+_xlfn.IFNA(VLOOKUP(scheduleapr[[#This Row],[Bucket]],salesforecast[[#All],[Bucket2]:[8406 Stock]],17,0),0)</f>
        <v/>
      </c>
      <c r="W656" s="557" t="n"/>
      <c r="X656" s="599" t="n">
        <v>38.1</v>
      </c>
      <c r="Y656" s="599" t="n">
        <v>40</v>
      </c>
      <c r="Z656" s="599" t="n">
        <v>20</v>
      </c>
      <c r="AA656" s="599" t="n">
        <v>1.2</v>
      </c>
      <c r="AB656" s="600" t="n">
        <v>120</v>
      </c>
      <c r="AC656" s="600" t="inlineStr">
        <is>
          <t>NOS</t>
        </is>
      </c>
      <c r="AD656" s="600" t="n"/>
      <c r="AE656" s="600" t="n"/>
      <c r="AF656" s="602" t="n">
        <v>12000</v>
      </c>
      <c r="AG656" s="602" t="n"/>
      <c r="AH656" s="601">
        <f t="array" ref="AH65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6" s="602">
        <f>scheduleapr[[#This Row],[SCHEDULE in nos]]-scheduleapr[[#This Row],[DISPATCH]]</f>
        <v/>
      </c>
      <c r="AJ656" s="599">
        <f>(3.14*(scheduleapr[[#This Row],[ACTUAL OD]]-scheduleapr[[#This Row],[TICKNESS]])*scheduleapr[[#This Row],[TICKNESS]]*scheduleapr[[#This Row],[LENGTH]]*7.85)/1000000*scheduleapr[[#This Row],[SCHEDULE in nos]]/1000</f>
        <v/>
      </c>
      <c r="AK656" s="599">
        <f>(3.14*(scheduleapr[[#This Row],[ACTUAL OD]]-scheduleapr[[#This Row],[TICKNESS]])*scheduleapr[[#This Row],[TICKNESS]]*scheduleapr[[#This Row],[LENGTH]]*7.85)/1000000*scheduleapr[[#This Row],[DISPATCH]]/1000</f>
        <v/>
      </c>
      <c r="AL656" s="599">
        <f>AJ656-AK656</f>
        <v/>
      </c>
      <c r="AM656" s="599">
        <f>scheduleapr[[#This Row],[SCHEDULE in nos]]/scheduleapr[[#This Row],[SCHEDULE IN MT]]*scheduleapr[[#This Row],[CTL Stock]]</f>
        <v/>
      </c>
      <c r="AN656" s="599">
        <f>SUMIFS(stock[MT],stock[Bucket],scheduleapr[[#This Row],[Bucket]],stock[CTL Bucket],scheduleapr[[#This Row],[CTL Bucket]],stock[Plant],"0789")</f>
        <v/>
      </c>
      <c r="AO656" s="599" t="n"/>
      <c r="AP656" s="599">
        <f>SUMIFS(stock[MT],stock[Bucket],scheduleapr[[#This Row],[Bucket]],stock[LL or CTL],"LL")</f>
        <v/>
      </c>
      <c r="AQ656" s="599">
        <f>+SUMIFS(wip[Stock(Net Wt)],wip[Bucket],scheduleapr[[#This Row],[Bucket]])/1000</f>
        <v/>
      </c>
      <c r="AR656" s="599">
        <f>AJ656-AN656</f>
        <v/>
      </c>
      <c r="AS656" s="118" t="n"/>
    </row>
    <row r="657">
      <c r="A657" s="594" t="n">
        <v>556</v>
      </c>
      <c r="B657" s="5" t="inlineStr">
        <is>
          <t>Hosur</t>
        </is>
      </c>
      <c r="C657" s="601" t="inlineStr">
        <is>
          <t>SRI BALAJI GEARS V4</t>
        </is>
      </c>
      <c r="D657" s="601" t="inlineStr">
        <is>
          <t>Sri Balaji Gear</t>
        </is>
      </c>
      <c r="E657" s="601" t="n">
        <v>188595</v>
      </c>
      <c r="F657" s="9" t="n">
        <v>3233559</v>
      </c>
      <c r="G657" s="601">
        <f>_xlfn.CONCAT(scheduleapr[[#This Row],[CUSTOMER CODE]],"-",scheduleapr[[#This Row],[MATERIAL NO]])</f>
        <v/>
      </c>
      <c r="H657" s="601" t="inlineStr">
        <is>
          <t>TUB-R-AW-AUT-40.00X20.00X1.210X0.1200</t>
        </is>
      </c>
      <c r="I657" s="601" t="inlineStr">
        <is>
          <t>CRFH</t>
        </is>
      </c>
      <c r="J657" s="596" t="n"/>
      <c r="K657" s="596" t="inlineStr">
        <is>
          <t>PE</t>
        </is>
      </c>
      <c r="L657" s="601" t="inlineStr">
        <is>
          <t>CR</t>
        </is>
      </c>
      <c r="M657" s="596" t="n"/>
      <c r="N657" s="596" t="n"/>
      <c r="O657" s="596" t="n"/>
      <c r="P657" s="596" t="n"/>
      <c r="Q657" s="557">
        <f>CONCATENATE(scheduleapr[[#This Row],[OD]],"-",scheduleapr[[#This Row],[ID]],"-",scheduleapr[[#This Row],[TICKNESS]],"-",scheduleapr[[#This Row],[Grade]],"-",scheduleapr[[#This Row],[FC/NFC]])</f>
        <v/>
      </c>
      <c r="R657" s="557">
        <f>_xlfn.CONCAT(scheduleapr[[#This Row],[Bucket]],"-",scheduleapr[[#This Row],[LENGTH]]/1000)</f>
        <v/>
      </c>
      <c r="S657" s="557">
        <f>COUNTIF(scheduleapr[CTL Bucket],scheduleapr[[#This Row],[CTL Bucket]])</f>
        <v/>
      </c>
      <c r="T657" s="601" t="inlineStr">
        <is>
          <t>Hosur</t>
        </is>
      </c>
      <c r="U657" s="601">
        <f>_xlfn.IFNA(VLOOKUP(scheduleapr[[#This Row],[Bucket]],salesforecast[[#All],[Bucket2]:[8406 Stock]],19,0),0)</f>
        <v/>
      </c>
      <c r="V657" s="562">
        <f>_xlfn.IFNA(VLOOKUP(scheduleapr[[#This Row],[Bucket]],salesforecast[[#All],[Bucket2]:[8406 Stock]],20,0),0)+_xlfn.IFNA(VLOOKUP(scheduleapr[[#This Row],[Bucket]],salesforecast[[#All],[Bucket2]:[8406 Stock]],17,0),0)</f>
        <v/>
      </c>
      <c r="W657" s="557" t="n"/>
      <c r="X657" s="599" t="n">
        <v>38.1</v>
      </c>
      <c r="Y657" s="599" t="n">
        <v>40</v>
      </c>
      <c r="Z657" s="599" t="n">
        <v>20</v>
      </c>
      <c r="AA657" s="599" t="n">
        <v>1.2</v>
      </c>
      <c r="AB657" s="600" t="n">
        <v>120</v>
      </c>
      <c r="AC657" s="600" t="inlineStr">
        <is>
          <t>NOS</t>
        </is>
      </c>
      <c r="AD657" s="600" t="n"/>
      <c r="AE657" s="600" t="n"/>
      <c r="AF657" s="601" t="n">
        <v>1000</v>
      </c>
      <c r="AG657" s="601" t="n"/>
      <c r="AH657" s="601">
        <f t="array" ref="AH65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7" s="602">
        <f>scheduleapr[[#This Row],[SCHEDULE in nos]]-scheduleapr[[#This Row],[DISPATCH]]</f>
        <v/>
      </c>
      <c r="AJ657" s="599">
        <f>(3.14*(scheduleapr[[#This Row],[ACTUAL OD]]-scheduleapr[[#This Row],[TICKNESS]])*scheduleapr[[#This Row],[TICKNESS]]*scheduleapr[[#This Row],[LENGTH]]*7.85)/1000000*scheduleapr[[#This Row],[SCHEDULE in nos]]/1000</f>
        <v/>
      </c>
      <c r="AK657" s="599">
        <f>(3.14*(scheduleapr[[#This Row],[ACTUAL OD]]-scheduleapr[[#This Row],[TICKNESS]])*scheduleapr[[#This Row],[TICKNESS]]*scheduleapr[[#This Row],[LENGTH]]*7.85)/1000000*scheduleapr[[#This Row],[DISPATCH]]/1000</f>
        <v/>
      </c>
      <c r="AL657" s="599">
        <f>AJ657-AK657</f>
        <v/>
      </c>
      <c r="AM657" s="599">
        <f>scheduleapr[[#This Row],[SCHEDULE in nos]]/scheduleapr[[#This Row],[SCHEDULE IN MT]]*scheduleapr[[#This Row],[CTL Stock]]</f>
        <v/>
      </c>
      <c r="AN657" s="599">
        <f>SUMIFS(stock[MT],stock[Bucket],scheduleapr[[#This Row],[Bucket]],stock[CTL Bucket],scheduleapr[[#This Row],[CTL Bucket]],stock[Plant],"0789")</f>
        <v/>
      </c>
      <c r="AO657" s="599" t="n"/>
      <c r="AP657" s="599">
        <f>SUMIFS(stock[MT],stock[Bucket],scheduleapr[[#This Row],[Bucket]],stock[LL or CTL],"LL")</f>
        <v/>
      </c>
      <c r="AQ657" s="599">
        <f>+SUMIFS(wip[Stock(Net Wt)],wip[Bucket],scheduleapr[[#This Row],[Bucket]])/1000</f>
        <v/>
      </c>
      <c r="AR657" s="599">
        <f>AJ657-AN657</f>
        <v/>
      </c>
      <c r="AS657" s="118" t="n"/>
    </row>
    <row r="658">
      <c r="A658" s="594" t="n">
        <v>636</v>
      </c>
      <c r="B658" s="5" t="inlineStr">
        <is>
          <t>Hosur</t>
        </is>
      </c>
      <c r="C658" s="601" t="inlineStr">
        <is>
          <t>Balaji Gears V3</t>
        </is>
      </c>
      <c r="D658" s="601" t="inlineStr">
        <is>
          <t>Sri Balaji Gear</t>
        </is>
      </c>
      <c r="E658" s="601" t="n">
        <v>188595</v>
      </c>
      <c r="F658" s="523" t="n">
        <v>3584171</v>
      </c>
      <c r="G658" s="601">
        <f>_xlfn.CONCAT(scheduleapr[[#This Row],[CUSTOMER CODE]],"-",scheduleapr[[#This Row],[MATERIAL NO]])</f>
        <v/>
      </c>
      <c r="H658" s="523" t="inlineStr">
        <is>
          <t>TUB-R-AW-RHS-40.00X20.00X1.200X0.1300</t>
        </is>
      </c>
      <c r="I658" s="601" t="inlineStr">
        <is>
          <t>CRFH</t>
        </is>
      </c>
      <c r="J658" s="601" t="n"/>
      <c r="K658" s="596" t="inlineStr">
        <is>
          <t>PE</t>
        </is>
      </c>
      <c r="L658" s="601" t="n"/>
      <c r="M658" s="596" t="n"/>
      <c r="N658" s="601" t="n"/>
      <c r="O658" s="601" t="n"/>
      <c r="P658" s="601" t="n"/>
      <c r="Q658" s="557">
        <f>CONCATENATE(scheduleapr[[#This Row],[OD]],"-",scheduleapr[[#This Row],[ID]],"-",scheduleapr[[#This Row],[TICKNESS]],"-",scheduleapr[[#This Row],[Grade]],"-",scheduleapr[[#This Row],[FC/NFC]])</f>
        <v/>
      </c>
      <c r="R658" s="557">
        <f>_xlfn.CONCAT(scheduleapr[[#This Row],[Bucket]],"-",scheduleapr[[#This Row],[LENGTH]]/1000)</f>
        <v/>
      </c>
      <c r="S658" s="601" t="n"/>
      <c r="T658" s="601" t="n"/>
      <c r="U658" s="601">
        <f>_xlfn.IFNA(VLOOKUP(scheduleapr[[#This Row],[Bucket]],salesforecast[[#All],[Bucket2]:[8406 Stock]],19,0),0)</f>
        <v/>
      </c>
      <c r="V658" s="562">
        <f>_xlfn.IFNA(VLOOKUP(scheduleapr[[#This Row],[Bucket]],salesforecast[[#All],[Bucket2]:[8406 Stock]],20,0),0)+_xlfn.IFNA(VLOOKUP(scheduleapr[[#This Row],[Bucket]],salesforecast[[#All],[Bucket2]:[8406 Stock]],17,0),0)</f>
        <v/>
      </c>
      <c r="W658" s="601" t="n"/>
      <c r="X658" s="599" t="n">
        <v>38.1</v>
      </c>
      <c r="Y658" s="599" t="n">
        <v>40</v>
      </c>
      <c r="Z658" s="599" t="n">
        <v>20</v>
      </c>
      <c r="AA658" s="599" t="n">
        <v>1.2</v>
      </c>
      <c r="AB658" s="600" t="n">
        <v>130</v>
      </c>
      <c r="AC658" s="600" t="inlineStr">
        <is>
          <t>NOS</t>
        </is>
      </c>
      <c r="AD658" s="600" t="n"/>
      <c r="AE658" s="600" t="n"/>
      <c r="AF658" s="601" t="n">
        <v>1000</v>
      </c>
      <c r="AG658" s="601" t="n"/>
      <c r="AH658" s="601">
        <f t="array" ref="AH65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8" s="602">
        <f>scheduleapr[[#This Row],[SCHEDULE in nos]]-scheduleapr[[#This Row],[DISPATCH]]</f>
        <v/>
      </c>
      <c r="AJ658" s="599">
        <f>(3.14*(scheduleapr[[#This Row],[ACTUAL OD]]-scheduleapr[[#This Row],[TICKNESS]])*scheduleapr[[#This Row],[TICKNESS]]*scheduleapr[[#This Row],[LENGTH]]*7.85)/1000000*scheduleapr[[#This Row],[SCHEDULE in nos]]/1000</f>
        <v/>
      </c>
      <c r="AK658" s="599">
        <f>(3.14*(scheduleapr[[#This Row],[ACTUAL OD]]-scheduleapr[[#This Row],[TICKNESS]])*scheduleapr[[#This Row],[TICKNESS]]*scheduleapr[[#This Row],[LENGTH]]*7.85)/1000000*scheduleapr[[#This Row],[DISPATCH]]/1000</f>
        <v/>
      </c>
      <c r="AL658" s="599">
        <f>AJ658-AK658</f>
        <v/>
      </c>
      <c r="AM658" s="599">
        <f>scheduleapr[[#This Row],[SCHEDULE in nos]]/scheduleapr[[#This Row],[SCHEDULE IN MT]]*scheduleapr[[#This Row],[CTL Stock]]</f>
        <v/>
      </c>
      <c r="AN658" s="599">
        <f>SUMIFS(stock[MT],stock[Bucket],scheduleapr[[#This Row],[Bucket]],stock[CTL Bucket],scheduleapr[[#This Row],[CTL Bucket]],stock[Plant],"0789")</f>
        <v/>
      </c>
      <c r="AO658" s="599" t="n"/>
      <c r="AP658" s="599">
        <f>SUMIFS(stock[MT],stock[Bucket],scheduleapr[[#This Row],[Bucket]],stock[LL or CTL],"LL")</f>
        <v/>
      </c>
      <c r="AQ658" s="599">
        <f>+SUMIFS(wip[Stock(Net Wt)],wip[Bucket],scheduleapr[[#This Row],[Bucket]])/1000</f>
        <v/>
      </c>
      <c r="AR658" s="599">
        <f>AJ658-AN658</f>
        <v/>
      </c>
      <c r="AS658" s="118" t="n"/>
    </row>
    <row r="659">
      <c r="A659" s="594" t="n">
        <v>557</v>
      </c>
      <c r="B659" s="5" t="inlineStr">
        <is>
          <t>Hosur</t>
        </is>
      </c>
      <c r="C659" s="601" t="inlineStr">
        <is>
          <t>SRI BALAJI GEARS V4</t>
        </is>
      </c>
      <c r="D659" s="601" t="inlineStr">
        <is>
          <t>Sri Balaji Gear</t>
        </is>
      </c>
      <c r="E659" s="601" t="n">
        <v>188595</v>
      </c>
      <c r="F659" s="9" t="n">
        <v>3572048</v>
      </c>
      <c r="G659" s="601">
        <f>_xlfn.CONCAT(scheduleapr[[#This Row],[CUSTOMER CODE]],"-",scheduleapr[[#This Row],[MATERIAL NO]])</f>
        <v/>
      </c>
      <c r="H659" s="601" t="inlineStr">
        <is>
          <t>TUB-R-AW-AUT-40.00X20.00X1.200X0.1400</t>
        </is>
      </c>
      <c r="I659" s="601" t="inlineStr">
        <is>
          <t>CRFH</t>
        </is>
      </c>
      <c r="J659" s="596" t="n"/>
      <c r="K659" s="596" t="inlineStr">
        <is>
          <t>PE</t>
        </is>
      </c>
      <c r="L659" s="601" t="inlineStr">
        <is>
          <t>CR</t>
        </is>
      </c>
      <c r="M659" s="596" t="n"/>
      <c r="N659" s="596" t="n"/>
      <c r="O659" s="596" t="n"/>
      <c r="P659" s="596" t="n"/>
      <c r="Q659" s="557">
        <f>CONCATENATE(scheduleapr[[#This Row],[OD]],"-",scheduleapr[[#This Row],[ID]],"-",scheduleapr[[#This Row],[TICKNESS]],"-",scheduleapr[[#This Row],[Grade]],"-",scheduleapr[[#This Row],[FC/NFC]])</f>
        <v/>
      </c>
      <c r="R659" s="557">
        <f>_xlfn.CONCAT(scheduleapr[[#This Row],[Bucket]],"-",scheduleapr[[#This Row],[LENGTH]]/1000)</f>
        <v/>
      </c>
      <c r="S659" s="557">
        <f>COUNTIF(scheduleapr[CTL Bucket],scheduleapr[[#This Row],[CTL Bucket]])</f>
        <v/>
      </c>
      <c r="T659" s="601" t="inlineStr">
        <is>
          <t>Hosur</t>
        </is>
      </c>
      <c r="U659" s="601">
        <f>_xlfn.IFNA(VLOOKUP(scheduleapr[[#This Row],[Bucket]],salesforecast[[#All],[Bucket2]:[8406 Stock]],19,0),0)</f>
        <v/>
      </c>
      <c r="V659" s="562">
        <f>_xlfn.IFNA(VLOOKUP(scheduleapr[[#This Row],[Bucket]],salesforecast[[#All],[Bucket2]:[8406 Stock]],20,0),0)+_xlfn.IFNA(VLOOKUP(scheduleapr[[#This Row],[Bucket]],salesforecast[[#All],[Bucket2]:[8406 Stock]],17,0),0)</f>
        <v/>
      </c>
      <c r="W659" s="557" t="n"/>
      <c r="X659" s="599" t="n">
        <v>38.1</v>
      </c>
      <c r="Y659" s="599" t="n">
        <v>40</v>
      </c>
      <c r="Z659" s="599" t="n">
        <v>20</v>
      </c>
      <c r="AA659" s="599" t="n">
        <v>1.2</v>
      </c>
      <c r="AB659" s="600" t="n">
        <v>140</v>
      </c>
      <c r="AC659" s="600" t="inlineStr">
        <is>
          <t>NOS</t>
        </is>
      </c>
      <c r="AD659" s="600" t="n"/>
      <c r="AE659" s="600" t="n"/>
      <c r="AF659" s="601" t="n">
        <v>1000</v>
      </c>
      <c r="AG659" s="601" t="n"/>
      <c r="AH659" s="601">
        <f t="array" ref="AH65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59" s="602">
        <f>scheduleapr[[#This Row],[SCHEDULE in nos]]-scheduleapr[[#This Row],[DISPATCH]]</f>
        <v/>
      </c>
      <c r="AJ659" s="599">
        <f>(3.14*(scheduleapr[[#This Row],[ACTUAL OD]]-scheduleapr[[#This Row],[TICKNESS]])*scheduleapr[[#This Row],[TICKNESS]]*scheduleapr[[#This Row],[LENGTH]]*7.85)/1000000*scheduleapr[[#This Row],[SCHEDULE in nos]]/1000</f>
        <v/>
      </c>
      <c r="AK659" s="599">
        <f>(3.14*(scheduleapr[[#This Row],[ACTUAL OD]]-scheduleapr[[#This Row],[TICKNESS]])*scheduleapr[[#This Row],[TICKNESS]]*scheduleapr[[#This Row],[LENGTH]]*7.85)/1000000*scheduleapr[[#This Row],[DISPATCH]]/1000</f>
        <v/>
      </c>
      <c r="AL659" s="599">
        <f>AJ659-AK659</f>
        <v/>
      </c>
      <c r="AM659" s="599">
        <f>scheduleapr[[#This Row],[SCHEDULE in nos]]/scheduleapr[[#This Row],[SCHEDULE IN MT]]*scheduleapr[[#This Row],[CTL Stock]]</f>
        <v/>
      </c>
      <c r="AN659" s="599">
        <f>SUMIFS(stock[MT],stock[Bucket],scheduleapr[[#This Row],[Bucket]],stock[CTL Bucket],scheduleapr[[#This Row],[CTL Bucket]],stock[Plant],"0789")</f>
        <v/>
      </c>
      <c r="AO659" s="599" t="n"/>
      <c r="AP659" s="599">
        <f>SUMIFS(stock[MT],stock[Bucket],scheduleapr[[#This Row],[Bucket]],stock[LL or CTL],"LL")</f>
        <v/>
      </c>
      <c r="AQ659" s="599">
        <f>+SUMIFS(wip[Stock(Net Wt)],wip[Bucket],scheduleapr[[#This Row],[Bucket]])/1000</f>
        <v/>
      </c>
      <c r="AR659" s="599">
        <f>AJ659-AN659</f>
        <v/>
      </c>
      <c r="AS659" s="118" t="n"/>
    </row>
    <row r="660">
      <c r="A660" s="594" t="n">
        <v>558</v>
      </c>
      <c r="B660" s="5" t="inlineStr">
        <is>
          <t>Hosur</t>
        </is>
      </c>
      <c r="C660" s="601" t="inlineStr">
        <is>
          <t>SRI BALAJI GEARS V4</t>
        </is>
      </c>
      <c r="D660" s="601" t="inlineStr">
        <is>
          <t>Sri Balaji Gear</t>
        </is>
      </c>
      <c r="E660" s="601" t="n">
        <v>188595</v>
      </c>
      <c r="F660" s="9" t="n">
        <v>3572050</v>
      </c>
      <c r="G660" s="601">
        <f>_xlfn.CONCAT(scheduleapr[[#This Row],[CUSTOMER CODE]],"-",scheduleapr[[#This Row],[MATERIAL NO]])</f>
        <v/>
      </c>
      <c r="H660" s="601" t="inlineStr">
        <is>
          <t>TUB-R-AW-AUT-40.00X20.00X1.200X0.7100</t>
        </is>
      </c>
      <c r="I660" s="601" t="inlineStr">
        <is>
          <t>CRFH</t>
        </is>
      </c>
      <c r="J660" s="596" t="n"/>
      <c r="K660" s="596" t="inlineStr">
        <is>
          <t>PE</t>
        </is>
      </c>
      <c r="L660" s="601" t="inlineStr">
        <is>
          <t>CR</t>
        </is>
      </c>
      <c r="M660" s="596" t="n"/>
      <c r="N660" s="596" t="n"/>
      <c r="O660" s="596" t="n"/>
      <c r="P660" s="596" t="n"/>
      <c r="Q660" s="557">
        <f>CONCATENATE(scheduleapr[[#This Row],[OD]],"-",scheduleapr[[#This Row],[ID]],"-",scheduleapr[[#This Row],[TICKNESS]],"-",scheduleapr[[#This Row],[Grade]],"-",scheduleapr[[#This Row],[FC/NFC]])</f>
        <v/>
      </c>
      <c r="R660" s="557">
        <f>_xlfn.CONCAT(scheduleapr[[#This Row],[Bucket]],"-",scheduleapr[[#This Row],[LENGTH]]/1000)</f>
        <v/>
      </c>
      <c r="S660" s="557">
        <f>COUNTIF(scheduleapr[CTL Bucket],scheduleapr[[#This Row],[CTL Bucket]])</f>
        <v/>
      </c>
      <c r="T660" s="601" t="inlineStr">
        <is>
          <t>Hosur</t>
        </is>
      </c>
      <c r="U660" s="601">
        <f>_xlfn.IFNA(VLOOKUP(scheduleapr[[#This Row],[Bucket]],salesforecast[[#All],[Bucket2]:[8406 Stock]],19,0),0)</f>
        <v/>
      </c>
      <c r="V660" s="562">
        <f>_xlfn.IFNA(VLOOKUP(scheduleapr[[#This Row],[Bucket]],salesforecast[[#All],[Bucket2]:[8406 Stock]],20,0),0)+_xlfn.IFNA(VLOOKUP(scheduleapr[[#This Row],[Bucket]],salesforecast[[#All],[Bucket2]:[8406 Stock]],17,0),0)</f>
        <v/>
      </c>
      <c r="W660" s="557" t="n"/>
      <c r="X660" s="599" t="n">
        <v>38.1</v>
      </c>
      <c r="Y660" s="599" t="n">
        <v>40</v>
      </c>
      <c r="Z660" s="599" t="n">
        <v>20</v>
      </c>
      <c r="AA660" s="599" t="n">
        <v>1.2</v>
      </c>
      <c r="AB660" s="600" t="n">
        <v>710</v>
      </c>
      <c r="AC660" s="600" t="inlineStr">
        <is>
          <t>NOS</t>
        </is>
      </c>
      <c r="AD660" s="600" t="n"/>
      <c r="AE660" s="600" t="n"/>
      <c r="AF660" s="601" t="n">
        <v>1000</v>
      </c>
      <c r="AG660" s="601" t="n"/>
      <c r="AH660" s="601">
        <f t="array" ref="AH66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0" s="602">
        <f>scheduleapr[[#This Row],[SCHEDULE in nos]]-scheduleapr[[#This Row],[DISPATCH]]</f>
        <v/>
      </c>
      <c r="AJ660" s="599">
        <f>(3.14*(scheduleapr[[#This Row],[ACTUAL OD]]-scheduleapr[[#This Row],[TICKNESS]])*scheduleapr[[#This Row],[TICKNESS]]*scheduleapr[[#This Row],[LENGTH]]*7.85)/1000000*scheduleapr[[#This Row],[SCHEDULE in nos]]/1000</f>
        <v/>
      </c>
      <c r="AK660" s="599">
        <f>(3.14*(scheduleapr[[#This Row],[ACTUAL OD]]-scheduleapr[[#This Row],[TICKNESS]])*scheduleapr[[#This Row],[TICKNESS]]*scheduleapr[[#This Row],[LENGTH]]*7.85)/1000000*scheduleapr[[#This Row],[DISPATCH]]/1000</f>
        <v/>
      </c>
      <c r="AL660" s="599">
        <f>AJ660-AK660</f>
        <v/>
      </c>
      <c r="AM660" s="599">
        <f>scheduleapr[[#This Row],[SCHEDULE in nos]]/scheduleapr[[#This Row],[SCHEDULE IN MT]]*scheduleapr[[#This Row],[CTL Stock]]</f>
        <v/>
      </c>
      <c r="AN660" s="599">
        <f>SUMIFS(stock[MT],stock[Bucket],scheduleapr[[#This Row],[Bucket]],stock[CTL Bucket],scheduleapr[[#This Row],[CTL Bucket]],stock[Plant],"0789")</f>
        <v/>
      </c>
      <c r="AO660" s="599" t="n"/>
      <c r="AP660" s="599">
        <f>SUMIFS(stock[MT],stock[Bucket],scheduleapr[[#This Row],[Bucket]],stock[LL or CTL],"LL")</f>
        <v/>
      </c>
      <c r="AQ660" s="599">
        <f>+SUMIFS(wip[Stock(Net Wt)],wip[Bucket],scheduleapr[[#This Row],[Bucket]])/1000</f>
        <v/>
      </c>
      <c r="AR660" s="599">
        <f>AJ660-AN660</f>
        <v/>
      </c>
      <c r="AS660" s="118" t="n"/>
    </row>
    <row r="661">
      <c r="A661" s="594" t="n">
        <v>524</v>
      </c>
      <c r="B661" s="5" t="inlineStr">
        <is>
          <t>Hosur</t>
        </is>
      </c>
      <c r="C661" s="596" t="inlineStr">
        <is>
          <t>SRI BALAJI GEARS V7</t>
        </is>
      </c>
      <c r="D661" s="601" t="inlineStr">
        <is>
          <t>Sri Balaji Gear</t>
        </is>
      </c>
      <c r="E661" s="601" t="n">
        <v>188595</v>
      </c>
      <c r="F661" s="523" t="n">
        <v>4151472</v>
      </c>
      <c r="G661" s="601">
        <f>_xlfn.CONCAT(scheduleapr[[#This Row],[CUSTOMER CODE]],"-",scheduleapr[[#This Row],[MATERIAL NO]])</f>
        <v/>
      </c>
      <c r="H661" s="601" t="inlineStr">
        <is>
          <t>TUB-R-AW-AUT-40.00X20.00X1.210X0.755</t>
        </is>
      </c>
      <c r="I661" s="601" t="inlineStr">
        <is>
          <t>CRFH</t>
        </is>
      </c>
      <c r="J661" s="596" t="n"/>
      <c r="K661" s="596" t="inlineStr">
        <is>
          <t>PE</t>
        </is>
      </c>
      <c r="L661" s="601" t="inlineStr">
        <is>
          <t>CR</t>
        </is>
      </c>
      <c r="M661" s="596" t="n"/>
      <c r="N661" s="596" t="n"/>
      <c r="O661" s="596" t="n"/>
      <c r="P661" s="596" t="n"/>
      <c r="Q661" s="557">
        <f>CONCATENATE(scheduleapr[[#This Row],[OD]],"-",scheduleapr[[#This Row],[ID]],"-",scheduleapr[[#This Row],[TICKNESS]],"-",scheduleapr[[#This Row],[Grade]],"-",scheduleapr[[#This Row],[FC/NFC]])</f>
        <v/>
      </c>
      <c r="R661" s="557">
        <f>_xlfn.CONCAT(scheduleapr[[#This Row],[Bucket]],"-",scheduleapr[[#This Row],[LENGTH]]/1000)</f>
        <v/>
      </c>
      <c r="S661" s="557">
        <f>COUNTIF(scheduleapr[CTL Bucket],scheduleapr[[#This Row],[CTL Bucket]])</f>
        <v/>
      </c>
      <c r="T661" s="601" t="inlineStr">
        <is>
          <t>Hosur</t>
        </is>
      </c>
      <c r="U661" s="601">
        <f>_xlfn.IFNA(VLOOKUP(scheduleapr[[#This Row],[Bucket]],salesforecast[[#All],[Bucket2]:[8406 Stock]],19,0),0)</f>
        <v/>
      </c>
      <c r="V661" s="562">
        <f>_xlfn.IFNA(VLOOKUP(scheduleapr[[#This Row],[Bucket]],salesforecast[[#All],[Bucket2]:[8406 Stock]],20,0),0)+_xlfn.IFNA(VLOOKUP(scheduleapr[[#This Row],[Bucket]],salesforecast[[#All],[Bucket2]:[8406 Stock]],17,0),0)</f>
        <v/>
      </c>
      <c r="W661" s="557" t="n"/>
      <c r="X661" s="599" t="n">
        <v>38.1</v>
      </c>
      <c r="Y661" s="599" t="n">
        <v>40</v>
      </c>
      <c r="Z661" s="599" t="n">
        <v>20</v>
      </c>
      <c r="AA661" s="599" t="n">
        <v>1.2</v>
      </c>
      <c r="AB661" s="600" t="n">
        <v>755</v>
      </c>
      <c r="AC661" s="600" t="inlineStr">
        <is>
          <t>NOS</t>
        </is>
      </c>
      <c r="AD661" s="600" t="n"/>
      <c r="AE661" s="600" t="n"/>
      <c r="AF661" s="602" t="n">
        <v>12000</v>
      </c>
      <c r="AG661" s="602" t="n"/>
      <c r="AH661" s="601">
        <f t="array" ref="AH66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1" s="602">
        <f>scheduleapr[[#This Row],[SCHEDULE in nos]]-scheduleapr[[#This Row],[DISPATCH]]</f>
        <v/>
      </c>
      <c r="AJ661" s="599">
        <f>(3.14*(scheduleapr[[#This Row],[ACTUAL OD]]-scheduleapr[[#This Row],[TICKNESS]])*scheduleapr[[#This Row],[TICKNESS]]*scheduleapr[[#This Row],[LENGTH]]*7.85)/1000000*scheduleapr[[#This Row],[SCHEDULE in nos]]/1000</f>
        <v/>
      </c>
      <c r="AK661" s="599">
        <f>(3.14*(scheduleapr[[#This Row],[ACTUAL OD]]-scheduleapr[[#This Row],[TICKNESS]])*scheduleapr[[#This Row],[TICKNESS]]*scheduleapr[[#This Row],[LENGTH]]*7.85)/1000000*scheduleapr[[#This Row],[DISPATCH]]/1000</f>
        <v/>
      </c>
      <c r="AL661" s="599">
        <f>AJ661-AK661</f>
        <v/>
      </c>
      <c r="AM661" s="599">
        <f>scheduleapr[[#This Row],[SCHEDULE in nos]]/scheduleapr[[#This Row],[SCHEDULE IN MT]]*scheduleapr[[#This Row],[CTL Stock]]</f>
        <v/>
      </c>
      <c r="AN661" s="599">
        <f>SUMIFS(stock[MT],stock[Bucket],scheduleapr[[#This Row],[Bucket]],stock[CTL Bucket],scheduleapr[[#This Row],[CTL Bucket]],stock[Plant],"0789")</f>
        <v/>
      </c>
      <c r="AO661" s="599" t="n"/>
      <c r="AP661" s="599">
        <f>SUMIFS(stock[MT],stock[Bucket],scheduleapr[[#This Row],[Bucket]],stock[LL or CTL],"LL")</f>
        <v/>
      </c>
      <c r="AQ661" s="599">
        <f>+SUMIFS(wip[Stock(Net Wt)],wip[Bucket],scheduleapr[[#This Row],[Bucket]])/1000</f>
        <v/>
      </c>
      <c r="AR661" s="599">
        <f>AJ661-AN661</f>
        <v/>
      </c>
      <c r="AS661" s="118" t="n"/>
    </row>
    <row r="662">
      <c r="A662" s="594" t="n">
        <v>635</v>
      </c>
      <c r="B662" s="5" t="inlineStr">
        <is>
          <t>Hosur</t>
        </is>
      </c>
      <c r="C662" s="601" t="inlineStr">
        <is>
          <t>Balaji Gears V3</t>
        </is>
      </c>
      <c r="D662" s="601" t="inlineStr">
        <is>
          <t>Sri Balaji Gear</t>
        </is>
      </c>
      <c r="E662" s="601" t="n">
        <v>188595</v>
      </c>
      <c r="F662" s="523" t="n">
        <v>3233557</v>
      </c>
      <c r="G662" s="601">
        <f>_xlfn.CONCAT(scheduleapr[[#This Row],[CUSTOMER CODE]],"-",scheduleapr[[#This Row],[MATERIAL NO]])</f>
        <v/>
      </c>
      <c r="H662" s="523" t="inlineStr">
        <is>
          <t>TUB-R-AW-AUT-40.00X20.00X1.210X0.8000</t>
        </is>
      </c>
      <c r="I662" s="601" t="inlineStr">
        <is>
          <t>CRFH</t>
        </is>
      </c>
      <c r="J662" s="601" t="n"/>
      <c r="K662" s="596" t="inlineStr">
        <is>
          <t>PE</t>
        </is>
      </c>
      <c r="L662" s="601" t="n"/>
      <c r="M662" s="596" t="n"/>
      <c r="N662" s="601" t="n"/>
      <c r="O662" s="601" t="n"/>
      <c r="P662" s="601" t="n"/>
      <c r="Q662" s="557">
        <f>CONCATENATE(scheduleapr[[#This Row],[OD]],"-",scheduleapr[[#This Row],[ID]],"-",scheduleapr[[#This Row],[TICKNESS]],"-",scheduleapr[[#This Row],[Grade]],"-",scheduleapr[[#This Row],[FC/NFC]])</f>
        <v/>
      </c>
      <c r="R662" s="557">
        <f>_xlfn.CONCAT(scheduleapr[[#This Row],[Bucket]],"-",scheduleapr[[#This Row],[LENGTH]]/1000)</f>
        <v/>
      </c>
      <c r="S662" s="601" t="n"/>
      <c r="T662" s="601" t="n"/>
      <c r="U662" s="601">
        <f>_xlfn.IFNA(VLOOKUP(scheduleapr[[#This Row],[Bucket]],salesforecast[[#All],[Bucket2]:[8406 Stock]],19,0),0)</f>
        <v/>
      </c>
      <c r="V662" s="562">
        <f>_xlfn.IFNA(VLOOKUP(scheduleapr[[#This Row],[Bucket]],salesforecast[[#All],[Bucket2]:[8406 Stock]],20,0),0)+_xlfn.IFNA(VLOOKUP(scheduleapr[[#This Row],[Bucket]],salesforecast[[#All],[Bucket2]:[8406 Stock]],17,0),0)</f>
        <v/>
      </c>
      <c r="W662" s="601" t="n"/>
      <c r="X662" s="599" t="n">
        <v>38.1</v>
      </c>
      <c r="Y662" s="599" t="n">
        <v>40</v>
      </c>
      <c r="Z662" s="599" t="n">
        <v>20</v>
      </c>
      <c r="AA662" s="599" t="n">
        <v>1.2</v>
      </c>
      <c r="AB662" s="600" t="n">
        <v>800</v>
      </c>
      <c r="AC662" s="600" t="inlineStr">
        <is>
          <t>NOS</t>
        </is>
      </c>
      <c r="AD662" s="600" t="n"/>
      <c r="AE662" s="600" t="n"/>
      <c r="AF662" s="601" t="n">
        <v>1000</v>
      </c>
      <c r="AG662" s="601" t="n"/>
      <c r="AH662" s="601">
        <f t="array" ref="AH66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2" s="602">
        <f>scheduleapr[[#This Row],[SCHEDULE in nos]]-scheduleapr[[#This Row],[DISPATCH]]</f>
        <v/>
      </c>
      <c r="AJ662" s="599">
        <f>(3.14*(scheduleapr[[#This Row],[ACTUAL OD]]-scheduleapr[[#This Row],[TICKNESS]])*scheduleapr[[#This Row],[TICKNESS]]*scheduleapr[[#This Row],[LENGTH]]*7.85)/1000000*scheduleapr[[#This Row],[SCHEDULE in nos]]/1000</f>
        <v/>
      </c>
      <c r="AK662" s="599">
        <f>(3.14*(scheduleapr[[#This Row],[ACTUAL OD]]-scheduleapr[[#This Row],[TICKNESS]])*scheduleapr[[#This Row],[TICKNESS]]*scheduleapr[[#This Row],[LENGTH]]*7.85)/1000000*scheduleapr[[#This Row],[DISPATCH]]/1000</f>
        <v/>
      </c>
      <c r="AL662" s="599">
        <f>AJ662-AK662</f>
        <v/>
      </c>
      <c r="AM662" s="599">
        <f>scheduleapr[[#This Row],[SCHEDULE in nos]]/scheduleapr[[#This Row],[SCHEDULE IN MT]]*scheduleapr[[#This Row],[CTL Stock]]</f>
        <v/>
      </c>
      <c r="AN662" s="599">
        <f>SUMIFS(stock[MT],stock[Bucket],scheduleapr[[#This Row],[Bucket]],stock[CTL Bucket],scheduleapr[[#This Row],[CTL Bucket]],stock[Plant],"0789")</f>
        <v/>
      </c>
      <c r="AO662" s="599" t="n"/>
      <c r="AP662" s="599">
        <f>SUMIFS(stock[MT],stock[Bucket],scheduleapr[[#This Row],[Bucket]],stock[LL or CTL],"LL")</f>
        <v/>
      </c>
      <c r="AQ662" s="599">
        <f>+SUMIFS(wip[Stock(Net Wt)],wip[Bucket],scheduleapr[[#This Row],[Bucket]])/1000</f>
        <v/>
      </c>
      <c r="AR662" s="599">
        <f>AJ662-AN662</f>
        <v/>
      </c>
      <c r="AS662" s="118" t="n"/>
    </row>
    <row r="663">
      <c r="A663" s="594" t="n">
        <v>525</v>
      </c>
      <c r="B663" s="5" t="inlineStr">
        <is>
          <t>Hosur</t>
        </is>
      </c>
      <c r="C663" s="596" t="inlineStr">
        <is>
          <t>SRI BALAJI GEARS V7</t>
        </is>
      </c>
      <c r="D663" s="601" t="inlineStr">
        <is>
          <t>Sri Balaji Gear</t>
        </is>
      </c>
      <c r="E663" s="601" t="n">
        <v>188595</v>
      </c>
      <c r="F663" s="523" t="n">
        <v>3572051</v>
      </c>
      <c r="G663" s="601">
        <f>_xlfn.CONCAT(scheduleapr[[#This Row],[CUSTOMER CODE]],"-",scheduleapr[[#This Row],[MATERIAL NO]])</f>
        <v/>
      </c>
      <c r="H663" s="601" t="inlineStr">
        <is>
          <t>TUB-R-AW-AUT-40.00X20.00X1.210X0.860</t>
        </is>
      </c>
      <c r="I663" s="601" t="inlineStr">
        <is>
          <t>CRFH</t>
        </is>
      </c>
      <c r="J663" s="596" t="n"/>
      <c r="K663" s="596" t="inlineStr">
        <is>
          <t>PE</t>
        </is>
      </c>
      <c r="L663" s="601" t="inlineStr">
        <is>
          <t>CR</t>
        </is>
      </c>
      <c r="M663" s="596" t="n"/>
      <c r="N663" s="596" t="n"/>
      <c r="O663" s="596" t="n"/>
      <c r="P663" s="596" t="n"/>
      <c r="Q663" s="557">
        <f>CONCATENATE(scheduleapr[[#This Row],[OD]],"-",scheduleapr[[#This Row],[ID]],"-",scheduleapr[[#This Row],[TICKNESS]],"-",scheduleapr[[#This Row],[Grade]],"-",scheduleapr[[#This Row],[FC/NFC]])</f>
        <v/>
      </c>
      <c r="R663" s="557">
        <f>_xlfn.CONCAT(scheduleapr[[#This Row],[Bucket]],"-",scheduleapr[[#This Row],[LENGTH]]/1000)</f>
        <v/>
      </c>
      <c r="S663" s="557">
        <f>COUNTIF(scheduleapr[CTL Bucket],scheduleapr[[#This Row],[CTL Bucket]])</f>
        <v/>
      </c>
      <c r="T663" s="601" t="inlineStr">
        <is>
          <t>Hosur</t>
        </is>
      </c>
      <c r="U663" s="601">
        <f>_xlfn.IFNA(VLOOKUP(scheduleapr[[#This Row],[Bucket]],salesforecast[[#All],[Bucket2]:[8406 Stock]],19,0),0)</f>
        <v/>
      </c>
      <c r="V663" s="562">
        <f>_xlfn.IFNA(VLOOKUP(scheduleapr[[#This Row],[Bucket]],salesforecast[[#All],[Bucket2]:[8406 Stock]],20,0),0)+_xlfn.IFNA(VLOOKUP(scheduleapr[[#This Row],[Bucket]],salesforecast[[#All],[Bucket2]:[8406 Stock]],17,0),0)</f>
        <v/>
      </c>
      <c r="W663" s="557" t="n"/>
      <c r="X663" s="599" t="n">
        <v>38.1</v>
      </c>
      <c r="Y663" s="599" t="n">
        <v>40</v>
      </c>
      <c r="Z663" s="599" t="n">
        <v>20</v>
      </c>
      <c r="AA663" s="599" t="n">
        <v>1.2</v>
      </c>
      <c r="AB663" s="600" t="n">
        <v>860</v>
      </c>
      <c r="AC663" s="600" t="inlineStr">
        <is>
          <t>NOS</t>
        </is>
      </c>
      <c r="AD663" s="600" t="n"/>
      <c r="AE663" s="600" t="n"/>
      <c r="AF663" s="602" t="n">
        <v>24000</v>
      </c>
      <c r="AG663" s="602" t="n"/>
      <c r="AH663" s="601">
        <f t="array" ref="AH66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3" s="602">
        <f>scheduleapr[[#This Row],[SCHEDULE in nos]]-scheduleapr[[#This Row],[DISPATCH]]</f>
        <v/>
      </c>
      <c r="AJ663" s="599">
        <f>(3.14*(scheduleapr[[#This Row],[ACTUAL OD]]-scheduleapr[[#This Row],[TICKNESS]])*scheduleapr[[#This Row],[TICKNESS]]*scheduleapr[[#This Row],[LENGTH]]*7.85)/1000000*scheduleapr[[#This Row],[SCHEDULE in nos]]/1000</f>
        <v/>
      </c>
      <c r="AK663" s="599">
        <f>(3.14*(scheduleapr[[#This Row],[ACTUAL OD]]-scheduleapr[[#This Row],[TICKNESS]])*scheduleapr[[#This Row],[TICKNESS]]*scheduleapr[[#This Row],[LENGTH]]*7.85)/1000000*scheduleapr[[#This Row],[DISPATCH]]/1000</f>
        <v/>
      </c>
      <c r="AL663" s="599">
        <f>AJ663-AK663</f>
        <v/>
      </c>
      <c r="AM663" s="599">
        <f>scheduleapr[[#This Row],[SCHEDULE in nos]]/scheduleapr[[#This Row],[SCHEDULE IN MT]]*scheduleapr[[#This Row],[CTL Stock]]</f>
        <v/>
      </c>
      <c r="AN663" s="599">
        <f>SUMIFS(stock[MT],stock[Bucket],scheduleapr[[#This Row],[Bucket]],stock[CTL Bucket],scheduleapr[[#This Row],[CTL Bucket]],stock[Plant],"0789")</f>
        <v/>
      </c>
      <c r="AO663" s="599" t="n"/>
      <c r="AP663" s="599">
        <f>SUMIFS(stock[MT],stock[Bucket],scheduleapr[[#This Row],[Bucket]],stock[LL or CTL],"LL")</f>
        <v/>
      </c>
      <c r="AQ663" s="599">
        <f>+SUMIFS(wip[Stock(Net Wt)],wip[Bucket],scheduleapr[[#This Row],[Bucket]])/1000</f>
        <v/>
      </c>
      <c r="AR663" s="599">
        <f>AJ663-AN663</f>
        <v/>
      </c>
      <c r="AS663" s="118" t="n"/>
    </row>
    <row r="664">
      <c r="A664" s="594" t="n">
        <v>559</v>
      </c>
      <c r="B664" s="5" t="inlineStr">
        <is>
          <t>Hosur</t>
        </is>
      </c>
      <c r="C664" s="601" t="inlineStr">
        <is>
          <t>SRI BALAJI GEARS V4</t>
        </is>
      </c>
      <c r="D664" s="601" t="inlineStr">
        <is>
          <t>Sri Balaji Gear</t>
        </is>
      </c>
      <c r="E664" s="601" t="n">
        <v>188595</v>
      </c>
      <c r="F664" s="9" t="n">
        <v>3572051</v>
      </c>
      <c r="G664" s="601">
        <f>_xlfn.CONCAT(scheduleapr[[#This Row],[CUSTOMER CODE]],"-",scheduleapr[[#This Row],[MATERIAL NO]])</f>
        <v/>
      </c>
      <c r="H664" s="601" t="inlineStr">
        <is>
          <t>TUB-R-AW-AUT-40.00X20.00X1.200X0.8600</t>
        </is>
      </c>
      <c r="I664" s="601" t="inlineStr">
        <is>
          <t>CRFH</t>
        </is>
      </c>
      <c r="J664" s="596" t="n"/>
      <c r="K664" s="596" t="inlineStr">
        <is>
          <t>PE</t>
        </is>
      </c>
      <c r="L664" s="601" t="inlineStr">
        <is>
          <t>CR</t>
        </is>
      </c>
      <c r="M664" s="596" t="n"/>
      <c r="N664" s="596" t="n"/>
      <c r="O664" s="596" t="n"/>
      <c r="P664" s="596" t="n"/>
      <c r="Q664" s="557">
        <f>CONCATENATE(scheduleapr[[#This Row],[OD]],"-",scheduleapr[[#This Row],[ID]],"-",scheduleapr[[#This Row],[TICKNESS]],"-",scheduleapr[[#This Row],[Grade]],"-",scheduleapr[[#This Row],[FC/NFC]])</f>
        <v/>
      </c>
      <c r="R664" s="557">
        <f>_xlfn.CONCAT(scheduleapr[[#This Row],[Bucket]],"-",scheduleapr[[#This Row],[LENGTH]]/1000)</f>
        <v/>
      </c>
      <c r="S664" s="557">
        <f>COUNTIF(scheduleapr[CTL Bucket],scheduleapr[[#This Row],[CTL Bucket]])</f>
        <v/>
      </c>
      <c r="T664" s="601" t="inlineStr">
        <is>
          <t>Hosur</t>
        </is>
      </c>
      <c r="U664" s="601">
        <f>_xlfn.IFNA(VLOOKUP(scheduleapr[[#This Row],[Bucket]],salesforecast[[#All],[Bucket2]:[8406 Stock]],19,0),0)</f>
        <v/>
      </c>
      <c r="V664" s="562">
        <f>_xlfn.IFNA(VLOOKUP(scheduleapr[[#This Row],[Bucket]],salesforecast[[#All],[Bucket2]:[8406 Stock]],20,0),0)+_xlfn.IFNA(VLOOKUP(scheduleapr[[#This Row],[Bucket]],salesforecast[[#All],[Bucket2]:[8406 Stock]],17,0),0)</f>
        <v/>
      </c>
      <c r="W664" s="557" t="n"/>
      <c r="X664" s="599" t="n">
        <v>38.1</v>
      </c>
      <c r="Y664" s="599" t="n">
        <v>40</v>
      </c>
      <c r="Z664" s="599" t="n">
        <v>20</v>
      </c>
      <c r="AA664" s="599" t="n">
        <v>1.2</v>
      </c>
      <c r="AB664" s="600" t="n">
        <v>860</v>
      </c>
      <c r="AC664" s="600" t="inlineStr">
        <is>
          <t>NOS</t>
        </is>
      </c>
      <c r="AD664" s="600" t="n"/>
      <c r="AE664" s="600" t="n"/>
      <c r="AF664" s="601" t="n">
        <v>2000</v>
      </c>
      <c r="AG664" s="601" t="n"/>
      <c r="AH664" s="601">
        <f t="array" ref="AH66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4" s="602">
        <f>scheduleapr[[#This Row],[SCHEDULE in nos]]-scheduleapr[[#This Row],[DISPATCH]]</f>
        <v/>
      </c>
      <c r="AJ664" s="599">
        <f>(3.14*(scheduleapr[[#This Row],[ACTUAL OD]]-scheduleapr[[#This Row],[TICKNESS]])*scheduleapr[[#This Row],[TICKNESS]]*scheduleapr[[#This Row],[LENGTH]]*7.85)/1000000*scheduleapr[[#This Row],[SCHEDULE in nos]]/1000</f>
        <v/>
      </c>
      <c r="AK664" s="599">
        <f>(3.14*(scheduleapr[[#This Row],[ACTUAL OD]]-scheduleapr[[#This Row],[TICKNESS]])*scheduleapr[[#This Row],[TICKNESS]]*scheduleapr[[#This Row],[LENGTH]]*7.85)/1000000*scheduleapr[[#This Row],[DISPATCH]]/1000</f>
        <v/>
      </c>
      <c r="AL664" s="599">
        <f>AJ664-AK664</f>
        <v/>
      </c>
      <c r="AM664" s="599">
        <f>scheduleapr[[#This Row],[SCHEDULE in nos]]/scheduleapr[[#This Row],[SCHEDULE IN MT]]*scheduleapr[[#This Row],[CTL Stock]]</f>
        <v/>
      </c>
      <c r="AN664" s="599">
        <f>SUMIFS(stock[MT],stock[Bucket],scheduleapr[[#This Row],[Bucket]],stock[CTL Bucket],scheduleapr[[#This Row],[CTL Bucket]],stock[Plant],"0789")</f>
        <v/>
      </c>
      <c r="AO664" s="599" t="n"/>
      <c r="AP664" s="599">
        <f>SUMIFS(stock[MT],stock[Bucket],scheduleapr[[#This Row],[Bucket]],stock[LL or CTL],"LL")</f>
        <v/>
      </c>
      <c r="AQ664" s="599">
        <f>+SUMIFS(wip[Stock(Net Wt)],wip[Bucket],scheduleapr[[#This Row],[Bucket]])/1000</f>
        <v/>
      </c>
      <c r="AR664" s="599">
        <f>AJ664-AN664</f>
        <v/>
      </c>
      <c r="AS664" s="118" t="n"/>
    </row>
    <row r="665">
      <c r="A665" s="594" t="n">
        <v>658</v>
      </c>
      <c r="B665" s="5" t="inlineStr">
        <is>
          <t>Hosur</t>
        </is>
      </c>
      <c r="C665" s="601" t="inlineStr">
        <is>
          <t>Balaji Gears V3</t>
        </is>
      </c>
      <c r="D665" s="601" t="inlineStr">
        <is>
          <t>Sri Balaji Gear</t>
        </is>
      </c>
      <c r="E665" s="601" t="n">
        <v>188595</v>
      </c>
      <c r="F665" s="523" t="n">
        <v>3572051</v>
      </c>
      <c r="G665" s="601">
        <f>_xlfn.CONCAT(scheduleapr[[#This Row],[CUSTOMER CODE]],"-",scheduleapr[[#This Row],[MATERIAL NO]])</f>
        <v/>
      </c>
      <c r="H665" s="523" t="inlineStr">
        <is>
          <t>TUB-R-AW-AUT-40.00X20.00X1.200X0.8600</t>
        </is>
      </c>
      <c r="I665" s="601" t="inlineStr">
        <is>
          <t>CRFH</t>
        </is>
      </c>
      <c r="J665" s="601" t="n"/>
      <c r="K665" s="596" t="inlineStr">
        <is>
          <t>PE</t>
        </is>
      </c>
      <c r="L665" s="601" t="n"/>
      <c r="M665" s="596" t="n"/>
      <c r="N665" s="601" t="n"/>
      <c r="O665" s="601" t="n"/>
      <c r="P665" s="601" t="n"/>
      <c r="Q665" s="557">
        <f>CONCATENATE(scheduleapr[[#This Row],[OD]],"-",scheduleapr[[#This Row],[ID]],"-",scheduleapr[[#This Row],[TICKNESS]],"-",scheduleapr[[#This Row],[Grade]],"-",scheduleapr[[#This Row],[FC/NFC]])</f>
        <v/>
      </c>
      <c r="R665" s="557">
        <f>_xlfn.CONCAT(scheduleapr[[#This Row],[Bucket]],"-",scheduleapr[[#This Row],[LENGTH]]/1000)</f>
        <v/>
      </c>
      <c r="S665" s="601" t="n"/>
      <c r="T665" s="601" t="n"/>
      <c r="U665" s="601">
        <f>_xlfn.IFNA(VLOOKUP(scheduleapr[[#This Row],[Bucket]],salesforecast[[#All],[Bucket2]:[8406 Stock]],19,0),0)</f>
        <v/>
      </c>
      <c r="V665" s="562">
        <f>_xlfn.IFNA(VLOOKUP(scheduleapr[[#This Row],[Bucket]],salesforecast[[#All],[Bucket2]:[8406 Stock]],20,0),0)+_xlfn.IFNA(VLOOKUP(scheduleapr[[#This Row],[Bucket]],salesforecast[[#All],[Bucket2]:[8406 Stock]],17,0),0)</f>
        <v/>
      </c>
      <c r="W665" s="601" t="n"/>
      <c r="X665" s="599" t="n">
        <v>38.1</v>
      </c>
      <c r="Y665" s="599" t="n">
        <v>40</v>
      </c>
      <c r="Z665" s="599" t="n">
        <v>20</v>
      </c>
      <c r="AA665" s="599" t="n">
        <v>1.2</v>
      </c>
      <c r="AB665" s="600" t="n">
        <v>860</v>
      </c>
      <c r="AC665" s="600" t="inlineStr">
        <is>
          <t>NOS</t>
        </is>
      </c>
      <c r="AD665" s="600" t="n"/>
      <c r="AE665" s="600" t="n"/>
      <c r="AF665" s="601" t="n">
        <v>2000</v>
      </c>
      <c r="AG665" s="601" t="n"/>
      <c r="AH665" s="601">
        <f t="array" ref="AH66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5" s="602">
        <f>scheduleapr[[#This Row],[SCHEDULE in nos]]-scheduleapr[[#This Row],[DISPATCH]]</f>
        <v/>
      </c>
      <c r="AJ665" s="599">
        <f>(3.14*(scheduleapr[[#This Row],[ACTUAL OD]]-scheduleapr[[#This Row],[TICKNESS]])*scheduleapr[[#This Row],[TICKNESS]]*scheduleapr[[#This Row],[LENGTH]]*7.85)/1000000*scheduleapr[[#This Row],[SCHEDULE in nos]]/1000</f>
        <v/>
      </c>
      <c r="AK665" s="599">
        <f>(3.14*(scheduleapr[[#This Row],[ACTUAL OD]]-scheduleapr[[#This Row],[TICKNESS]])*scheduleapr[[#This Row],[TICKNESS]]*scheduleapr[[#This Row],[LENGTH]]*7.85)/1000000*scheduleapr[[#This Row],[DISPATCH]]/1000</f>
        <v/>
      </c>
      <c r="AL665" s="599">
        <f>AJ665-AK665</f>
        <v/>
      </c>
      <c r="AM665" s="599">
        <f>scheduleapr[[#This Row],[SCHEDULE in nos]]/scheduleapr[[#This Row],[SCHEDULE IN MT]]*scheduleapr[[#This Row],[CTL Stock]]</f>
        <v/>
      </c>
      <c r="AN665" s="599">
        <f>SUMIFS(stock[MT],stock[Bucket],scheduleapr[[#This Row],[Bucket]],stock[CTL Bucket],scheduleapr[[#This Row],[CTL Bucket]],stock[Plant],"0789")</f>
        <v/>
      </c>
      <c r="AO665" s="599" t="n"/>
      <c r="AP665" s="599">
        <f>SUMIFS(stock[MT],stock[Bucket],scheduleapr[[#This Row],[Bucket]],stock[LL or CTL],"LL")</f>
        <v/>
      </c>
      <c r="AQ665" s="599">
        <f>+SUMIFS(wip[Stock(Net Wt)],wip[Bucket],scheduleapr[[#This Row],[Bucket]])/1000</f>
        <v/>
      </c>
      <c r="AR665" s="599">
        <f>AJ665-AN665</f>
        <v/>
      </c>
      <c r="AS665" s="118" t="n"/>
    </row>
    <row r="666">
      <c r="A666" s="594" t="n">
        <v>526</v>
      </c>
      <c r="B666" s="5" t="inlineStr">
        <is>
          <t>Hosur</t>
        </is>
      </c>
      <c r="C666" s="596" t="inlineStr">
        <is>
          <t>SRI BALAJI GEARS V7</t>
        </is>
      </c>
      <c r="D666" s="601" t="inlineStr">
        <is>
          <t>Sri Balaji Gear</t>
        </is>
      </c>
      <c r="E666" s="601" t="n">
        <v>188595</v>
      </c>
      <c r="F666" s="9" t="n">
        <v>3233555</v>
      </c>
      <c r="G666" s="601">
        <f>_xlfn.CONCAT(scheduleapr[[#This Row],[CUSTOMER CODE]],"-",scheduleapr[[#This Row],[MATERIAL NO]])</f>
        <v/>
      </c>
      <c r="H666" s="601" t="inlineStr">
        <is>
          <t>TUB-R-AW-AUT-40.00X20.00X1.210X1.1200</t>
        </is>
      </c>
      <c r="I666" s="601" t="inlineStr">
        <is>
          <t>CRFH</t>
        </is>
      </c>
      <c r="J666" s="596" t="n"/>
      <c r="K666" s="596" t="inlineStr">
        <is>
          <t>PE</t>
        </is>
      </c>
      <c r="L666" s="601" t="inlineStr">
        <is>
          <t>CR</t>
        </is>
      </c>
      <c r="M666" s="596" t="n"/>
      <c r="N666" s="596" t="n"/>
      <c r="O666" s="596" t="n"/>
      <c r="P666" s="596" t="n"/>
      <c r="Q666" s="557">
        <f>CONCATENATE(scheduleapr[[#This Row],[OD]],"-",scheduleapr[[#This Row],[ID]],"-",scheduleapr[[#This Row],[TICKNESS]],"-",scheduleapr[[#This Row],[Grade]],"-",scheduleapr[[#This Row],[FC/NFC]])</f>
        <v/>
      </c>
      <c r="R666" s="557">
        <f>_xlfn.CONCAT(scheduleapr[[#This Row],[Bucket]],"-",scheduleapr[[#This Row],[LENGTH]]/1000)</f>
        <v/>
      </c>
      <c r="S666" s="557">
        <f>COUNTIF(scheduleapr[CTL Bucket],scheduleapr[[#This Row],[CTL Bucket]])</f>
        <v/>
      </c>
      <c r="T666" s="601" t="inlineStr">
        <is>
          <t>Hosur</t>
        </is>
      </c>
      <c r="U666" s="601">
        <f>_xlfn.IFNA(VLOOKUP(scheduleapr[[#This Row],[Bucket]],salesforecast[[#All],[Bucket2]:[8406 Stock]],19,0),0)</f>
        <v/>
      </c>
      <c r="V666" s="562">
        <f>_xlfn.IFNA(VLOOKUP(scheduleapr[[#This Row],[Bucket]],salesforecast[[#All],[Bucket2]:[8406 Stock]],20,0),0)+_xlfn.IFNA(VLOOKUP(scheduleapr[[#This Row],[Bucket]],salesforecast[[#All],[Bucket2]:[8406 Stock]],17,0),0)</f>
        <v/>
      </c>
      <c r="W666" s="557" t="n"/>
      <c r="X666" s="599" t="n">
        <v>38.1</v>
      </c>
      <c r="Y666" s="599" t="n">
        <v>40</v>
      </c>
      <c r="Z666" s="599" t="n">
        <v>20</v>
      </c>
      <c r="AA666" s="599" t="n">
        <v>1.2</v>
      </c>
      <c r="AB666" s="600" t="n">
        <v>1120</v>
      </c>
      <c r="AC666" s="600" t="inlineStr">
        <is>
          <t>NOS</t>
        </is>
      </c>
      <c r="AD666" s="600" t="n"/>
      <c r="AE666" s="600" t="n"/>
      <c r="AF666" s="602" t="n">
        <v>24000</v>
      </c>
      <c r="AG666" s="602" t="n"/>
      <c r="AH666" s="601">
        <f t="array" ref="AH66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6" s="602">
        <f>scheduleapr[[#This Row],[SCHEDULE in nos]]-scheduleapr[[#This Row],[DISPATCH]]</f>
        <v/>
      </c>
      <c r="AJ666" s="599">
        <f>(3.14*(scheduleapr[[#This Row],[ACTUAL OD]]-scheduleapr[[#This Row],[TICKNESS]])*scheduleapr[[#This Row],[TICKNESS]]*scheduleapr[[#This Row],[LENGTH]]*7.85)/1000000*scheduleapr[[#This Row],[SCHEDULE in nos]]/1000</f>
        <v/>
      </c>
      <c r="AK666" s="599">
        <f>(3.14*(scheduleapr[[#This Row],[ACTUAL OD]]-scheduleapr[[#This Row],[TICKNESS]])*scheduleapr[[#This Row],[TICKNESS]]*scheduleapr[[#This Row],[LENGTH]]*7.85)/1000000*scheduleapr[[#This Row],[DISPATCH]]/1000</f>
        <v/>
      </c>
      <c r="AL666" s="599">
        <f>AJ666-AK666</f>
        <v/>
      </c>
      <c r="AM666" s="599">
        <f>scheduleapr[[#This Row],[SCHEDULE in nos]]/scheduleapr[[#This Row],[SCHEDULE IN MT]]*scheduleapr[[#This Row],[CTL Stock]]</f>
        <v/>
      </c>
      <c r="AN666" s="599">
        <f>SUMIFS(stock[MT],stock[Bucket],scheduleapr[[#This Row],[Bucket]],stock[CTL Bucket],scheduleapr[[#This Row],[CTL Bucket]],stock[Plant],"0789")</f>
        <v/>
      </c>
      <c r="AO666" s="599" t="n"/>
      <c r="AP666" s="599">
        <f>SUMIFS(stock[MT],stock[Bucket],scheduleapr[[#This Row],[Bucket]],stock[LL or CTL],"LL")</f>
        <v/>
      </c>
      <c r="AQ666" s="599">
        <f>+SUMIFS(wip[Stock(Net Wt)],wip[Bucket],scheduleapr[[#This Row],[Bucket]])/1000</f>
        <v/>
      </c>
      <c r="AR666" s="599">
        <f>AJ666-AN666</f>
        <v/>
      </c>
      <c r="AS666" s="118" t="n"/>
    </row>
    <row r="667">
      <c r="A667" s="594" t="n">
        <v>560</v>
      </c>
      <c r="B667" s="5" t="inlineStr">
        <is>
          <t>Hosur</t>
        </is>
      </c>
      <c r="C667" s="601" t="inlineStr">
        <is>
          <t>SRI BALAJI GEARS V4</t>
        </is>
      </c>
      <c r="D667" s="601" t="inlineStr">
        <is>
          <t>Sri Balaji Gear</t>
        </is>
      </c>
      <c r="E667" s="601" t="n">
        <v>188595</v>
      </c>
      <c r="F667" s="9" t="n">
        <v>3233555</v>
      </c>
      <c r="G667" s="601">
        <f>_xlfn.CONCAT(scheduleapr[[#This Row],[CUSTOMER CODE]],"-",scheduleapr[[#This Row],[MATERIAL NO]])</f>
        <v/>
      </c>
      <c r="H667" s="601" t="inlineStr">
        <is>
          <t>TUB-R-AW-AUT-40.00X20.00X1.210X1.1200</t>
        </is>
      </c>
      <c r="I667" s="601" t="inlineStr">
        <is>
          <t>CRFH</t>
        </is>
      </c>
      <c r="J667" s="596" t="n"/>
      <c r="K667" s="596" t="inlineStr">
        <is>
          <t>PE</t>
        </is>
      </c>
      <c r="L667" s="601" t="inlineStr">
        <is>
          <t>CR</t>
        </is>
      </c>
      <c r="M667" s="596" t="n"/>
      <c r="N667" s="596" t="n"/>
      <c r="O667" s="596" t="n"/>
      <c r="P667" s="596" t="n"/>
      <c r="Q667" s="557">
        <f>CONCATENATE(scheduleapr[[#This Row],[OD]],"-",scheduleapr[[#This Row],[ID]],"-",scheduleapr[[#This Row],[TICKNESS]],"-",scheduleapr[[#This Row],[Grade]],"-",scheduleapr[[#This Row],[FC/NFC]])</f>
        <v/>
      </c>
      <c r="R667" s="557">
        <f>_xlfn.CONCAT(scheduleapr[[#This Row],[Bucket]],"-",scheduleapr[[#This Row],[LENGTH]]/1000)</f>
        <v/>
      </c>
      <c r="S667" s="557">
        <f>COUNTIF(scheduleapr[CTL Bucket],scheduleapr[[#This Row],[CTL Bucket]])</f>
        <v/>
      </c>
      <c r="T667" s="601" t="inlineStr">
        <is>
          <t>Hosur</t>
        </is>
      </c>
      <c r="U667" s="601">
        <f>_xlfn.IFNA(VLOOKUP(scheduleapr[[#This Row],[Bucket]],salesforecast[[#All],[Bucket2]:[8406 Stock]],19,0),0)</f>
        <v/>
      </c>
      <c r="V667" s="562">
        <f>_xlfn.IFNA(VLOOKUP(scheduleapr[[#This Row],[Bucket]],salesforecast[[#All],[Bucket2]:[8406 Stock]],20,0),0)+_xlfn.IFNA(VLOOKUP(scheduleapr[[#This Row],[Bucket]],salesforecast[[#All],[Bucket2]:[8406 Stock]],17,0),0)</f>
        <v/>
      </c>
      <c r="W667" s="557" t="n"/>
      <c r="X667" s="599" t="n">
        <v>38.1</v>
      </c>
      <c r="Y667" s="599" t="n">
        <v>40</v>
      </c>
      <c r="Z667" s="599" t="n">
        <v>20</v>
      </c>
      <c r="AA667" s="599" t="n">
        <v>1.2</v>
      </c>
      <c r="AB667" s="600" t="n">
        <v>1120</v>
      </c>
      <c r="AC667" s="600" t="inlineStr">
        <is>
          <t>NOS</t>
        </is>
      </c>
      <c r="AD667" s="600" t="n"/>
      <c r="AE667" s="600" t="n"/>
      <c r="AF667" s="601" t="n">
        <v>2000</v>
      </c>
      <c r="AG667" s="601" t="n"/>
      <c r="AH667" s="601">
        <f t="array" ref="AH66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7" s="602">
        <f>scheduleapr[[#This Row],[SCHEDULE in nos]]-scheduleapr[[#This Row],[DISPATCH]]</f>
        <v/>
      </c>
      <c r="AJ667" s="599">
        <f>(3.14*(scheduleapr[[#This Row],[ACTUAL OD]]-scheduleapr[[#This Row],[TICKNESS]])*scheduleapr[[#This Row],[TICKNESS]]*scheduleapr[[#This Row],[LENGTH]]*7.85)/1000000*scheduleapr[[#This Row],[SCHEDULE in nos]]/1000</f>
        <v/>
      </c>
      <c r="AK667" s="599">
        <f>(3.14*(scheduleapr[[#This Row],[ACTUAL OD]]-scheduleapr[[#This Row],[TICKNESS]])*scheduleapr[[#This Row],[TICKNESS]]*scheduleapr[[#This Row],[LENGTH]]*7.85)/1000000*scheduleapr[[#This Row],[DISPATCH]]/1000</f>
        <v/>
      </c>
      <c r="AL667" s="599">
        <f>AJ667-AK667</f>
        <v/>
      </c>
      <c r="AM667" s="599">
        <f>scheduleapr[[#This Row],[SCHEDULE in nos]]/scheduleapr[[#This Row],[SCHEDULE IN MT]]*scheduleapr[[#This Row],[CTL Stock]]</f>
        <v/>
      </c>
      <c r="AN667" s="599">
        <f>SUMIFS(stock[MT],stock[Bucket],scheduleapr[[#This Row],[Bucket]],stock[CTL Bucket],scheduleapr[[#This Row],[CTL Bucket]],stock[Plant],"0789")</f>
        <v/>
      </c>
      <c r="AO667" s="599" t="n"/>
      <c r="AP667" s="599">
        <f>SUMIFS(stock[MT],stock[Bucket],scheduleapr[[#This Row],[Bucket]],stock[LL or CTL],"LL")</f>
        <v/>
      </c>
      <c r="AQ667" s="599">
        <f>+SUMIFS(wip[Stock(Net Wt)],wip[Bucket],scheduleapr[[#This Row],[Bucket]])/1000</f>
        <v/>
      </c>
      <c r="AR667" s="599">
        <f>AJ667-AN667</f>
        <v/>
      </c>
      <c r="AS667" s="118" t="n"/>
    </row>
    <row r="668">
      <c r="A668" s="594" t="n">
        <v>634</v>
      </c>
      <c r="B668" s="5" t="inlineStr">
        <is>
          <t>Hosur</t>
        </is>
      </c>
      <c r="C668" s="601" t="inlineStr">
        <is>
          <t>Balaji Gears V3</t>
        </is>
      </c>
      <c r="D668" s="601" t="inlineStr">
        <is>
          <t>Sri Balaji Gear</t>
        </is>
      </c>
      <c r="E668" s="601" t="n">
        <v>188595</v>
      </c>
      <c r="F668" s="523" t="n">
        <v>3233555</v>
      </c>
      <c r="G668" s="601">
        <f>_xlfn.CONCAT(scheduleapr[[#This Row],[CUSTOMER CODE]],"-",scheduleapr[[#This Row],[MATERIAL NO]])</f>
        <v/>
      </c>
      <c r="H668" s="523" t="inlineStr">
        <is>
          <t>TUB-R-AW-AUT-40.00X20.00X1.210X1.1200</t>
        </is>
      </c>
      <c r="I668" s="601" t="inlineStr">
        <is>
          <t>CRFH</t>
        </is>
      </c>
      <c r="J668" s="601" t="n"/>
      <c r="K668" s="596" t="inlineStr">
        <is>
          <t>PE</t>
        </is>
      </c>
      <c r="L668" s="601" t="n"/>
      <c r="M668" s="596" t="n"/>
      <c r="N668" s="601" t="n"/>
      <c r="O668" s="601" t="n"/>
      <c r="P668" s="601" t="n"/>
      <c r="Q668" s="557">
        <f>CONCATENATE(scheduleapr[[#This Row],[OD]],"-",scheduleapr[[#This Row],[ID]],"-",scheduleapr[[#This Row],[TICKNESS]],"-",scheduleapr[[#This Row],[Grade]],"-",scheduleapr[[#This Row],[FC/NFC]])</f>
        <v/>
      </c>
      <c r="R668" s="557">
        <f>_xlfn.CONCAT(scheduleapr[[#This Row],[Bucket]],"-",scheduleapr[[#This Row],[LENGTH]]/1000)</f>
        <v/>
      </c>
      <c r="S668" s="601" t="n"/>
      <c r="T668" s="601" t="n"/>
      <c r="U668" s="601">
        <f>_xlfn.IFNA(VLOOKUP(scheduleapr[[#This Row],[Bucket]],salesforecast[[#All],[Bucket2]:[8406 Stock]],19,0),0)</f>
        <v/>
      </c>
      <c r="V668" s="562">
        <f>_xlfn.IFNA(VLOOKUP(scheduleapr[[#This Row],[Bucket]],salesforecast[[#All],[Bucket2]:[8406 Stock]],20,0),0)+_xlfn.IFNA(VLOOKUP(scheduleapr[[#This Row],[Bucket]],salesforecast[[#All],[Bucket2]:[8406 Stock]],17,0),0)</f>
        <v/>
      </c>
      <c r="W668" s="601" t="n"/>
      <c r="X668" s="599" t="n">
        <v>38.1</v>
      </c>
      <c r="Y668" s="599" t="n">
        <v>40</v>
      </c>
      <c r="Z668" s="599" t="n">
        <v>20</v>
      </c>
      <c r="AA668" s="599" t="n">
        <v>1.2</v>
      </c>
      <c r="AB668" s="600" t="n">
        <v>1120</v>
      </c>
      <c r="AC668" s="600" t="inlineStr">
        <is>
          <t>NOS</t>
        </is>
      </c>
      <c r="AD668" s="600" t="n"/>
      <c r="AE668" s="600" t="n"/>
      <c r="AF668" s="601" t="n">
        <v>2000</v>
      </c>
      <c r="AG668" s="601" t="n"/>
      <c r="AH668" s="601">
        <f t="array" ref="AH66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8" s="602">
        <f>scheduleapr[[#This Row],[SCHEDULE in nos]]-scheduleapr[[#This Row],[DISPATCH]]</f>
        <v/>
      </c>
      <c r="AJ668" s="599">
        <f>(3.14*(scheduleapr[[#This Row],[ACTUAL OD]]-scheduleapr[[#This Row],[TICKNESS]])*scheduleapr[[#This Row],[TICKNESS]]*scheduleapr[[#This Row],[LENGTH]]*7.85)/1000000*scheduleapr[[#This Row],[SCHEDULE in nos]]/1000</f>
        <v/>
      </c>
      <c r="AK668" s="599">
        <f>(3.14*(scheduleapr[[#This Row],[ACTUAL OD]]-scheduleapr[[#This Row],[TICKNESS]])*scheduleapr[[#This Row],[TICKNESS]]*scheduleapr[[#This Row],[LENGTH]]*7.85)/1000000*scheduleapr[[#This Row],[DISPATCH]]/1000</f>
        <v/>
      </c>
      <c r="AL668" s="599">
        <f>AJ668-AK668</f>
        <v/>
      </c>
      <c r="AM668" s="599">
        <f>scheduleapr[[#This Row],[SCHEDULE in nos]]/scheduleapr[[#This Row],[SCHEDULE IN MT]]*scheduleapr[[#This Row],[CTL Stock]]</f>
        <v/>
      </c>
      <c r="AN668" s="599">
        <f>SUMIFS(stock[MT],stock[Bucket],scheduleapr[[#This Row],[Bucket]],stock[CTL Bucket],scheduleapr[[#This Row],[CTL Bucket]],stock[Plant],"0789")</f>
        <v/>
      </c>
      <c r="AO668" s="599" t="n"/>
      <c r="AP668" s="599">
        <f>SUMIFS(stock[MT],stock[Bucket],scheduleapr[[#This Row],[Bucket]],stock[LL or CTL],"LL")</f>
        <v/>
      </c>
      <c r="AQ668" s="599">
        <f>+SUMIFS(wip[Stock(Net Wt)],wip[Bucket],scheduleapr[[#This Row],[Bucket]])/1000</f>
        <v/>
      </c>
      <c r="AR668" s="599">
        <f>AJ668-AN668</f>
        <v/>
      </c>
      <c r="AS668" s="118" t="n"/>
    </row>
    <row r="669">
      <c r="A669" s="594" t="n">
        <v>527</v>
      </c>
      <c r="B669" s="5" t="inlineStr">
        <is>
          <t>Hosur</t>
        </is>
      </c>
      <c r="C669" s="596" t="inlineStr">
        <is>
          <t>SRI BALAJI GEARS V7</t>
        </is>
      </c>
      <c r="D669" s="601" t="inlineStr">
        <is>
          <t>Sri Balaji Gear</t>
        </is>
      </c>
      <c r="E669" s="601" t="n">
        <v>188595</v>
      </c>
      <c r="F669" s="9" t="n">
        <v>3233554</v>
      </c>
      <c r="G669" s="601">
        <f>_xlfn.CONCAT(scheduleapr[[#This Row],[CUSTOMER CODE]],"-",scheduleapr[[#This Row],[MATERIAL NO]])</f>
        <v/>
      </c>
      <c r="H669" s="601" t="inlineStr">
        <is>
          <t>TUB-R-AW-AUT-40.00X20.00X1.210X1.2460</t>
        </is>
      </c>
      <c r="I669" s="601" t="inlineStr">
        <is>
          <t>CRFH</t>
        </is>
      </c>
      <c r="J669" s="596" t="n"/>
      <c r="K669" s="596" t="inlineStr">
        <is>
          <t>PE</t>
        </is>
      </c>
      <c r="L669" s="601" t="inlineStr">
        <is>
          <t>CR</t>
        </is>
      </c>
      <c r="M669" s="596" t="n"/>
      <c r="N669" s="596" t="n"/>
      <c r="O669" s="596" t="n"/>
      <c r="P669" s="596" t="n"/>
      <c r="Q669" s="557">
        <f>CONCATENATE(scheduleapr[[#This Row],[OD]],"-",scheduleapr[[#This Row],[ID]],"-",scheduleapr[[#This Row],[TICKNESS]],"-",scheduleapr[[#This Row],[Grade]],"-",scheduleapr[[#This Row],[FC/NFC]])</f>
        <v/>
      </c>
      <c r="R669" s="557">
        <f>_xlfn.CONCAT(scheduleapr[[#This Row],[Bucket]],"-",scheduleapr[[#This Row],[LENGTH]]/1000)</f>
        <v/>
      </c>
      <c r="S669" s="557">
        <f>COUNTIF(scheduleapr[CTL Bucket],scheduleapr[[#This Row],[CTL Bucket]])</f>
        <v/>
      </c>
      <c r="T669" s="601" t="inlineStr">
        <is>
          <t>Hosur</t>
        </is>
      </c>
      <c r="U669" s="601">
        <f>_xlfn.IFNA(VLOOKUP(scheduleapr[[#This Row],[Bucket]],salesforecast[[#All],[Bucket2]:[8406 Stock]],19,0),0)</f>
        <v/>
      </c>
      <c r="V669" s="562">
        <f>_xlfn.IFNA(VLOOKUP(scheduleapr[[#This Row],[Bucket]],salesforecast[[#All],[Bucket2]:[8406 Stock]],20,0),0)+_xlfn.IFNA(VLOOKUP(scheduleapr[[#This Row],[Bucket]],salesforecast[[#All],[Bucket2]:[8406 Stock]],17,0),0)</f>
        <v/>
      </c>
      <c r="W669" s="557" t="n"/>
      <c r="X669" s="599" t="n">
        <v>38.1</v>
      </c>
      <c r="Y669" s="599" t="n">
        <v>40</v>
      </c>
      <c r="Z669" s="599" t="n">
        <v>20</v>
      </c>
      <c r="AA669" s="599" t="n">
        <v>1.2</v>
      </c>
      <c r="AB669" s="600" t="n">
        <v>1246</v>
      </c>
      <c r="AC669" s="600" t="inlineStr">
        <is>
          <t>NOS</t>
        </is>
      </c>
      <c r="AD669" s="600" t="n"/>
      <c r="AE669" s="600" t="n"/>
      <c r="AF669" s="602" t="n">
        <v>6000</v>
      </c>
      <c r="AG669" s="602" t="n"/>
      <c r="AH669" s="601">
        <f t="array" ref="AH66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69" s="602">
        <f>scheduleapr[[#This Row],[SCHEDULE in nos]]-scheduleapr[[#This Row],[DISPATCH]]</f>
        <v/>
      </c>
      <c r="AJ669" s="599">
        <f>(3.14*(scheduleapr[[#This Row],[ACTUAL OD]]-scheduleapr[[#This Row],[TICKNESS]])*scheduleapr[[#This Row],[TICKNESS]]*scheduleapr[[#This Row],[LENGTH]]*7.85)/1000000*scheduleapr[[#This Row],[SCHEDULE in nos]]/1000</f>
        <v/>
      </c>
      <c r="AK669" s="599">
        <f>(3.14*(scheduleapr[[#This Row],[ACTUAL OD]]-scheduleapr[[#This Row],[TICKNESS]])*scheduleapr[[#This Row],[TICKNESS]]*scheduleapr[[#This Row],[LENGTH]]*7.85)/1000000*scheduleapr[[#This Row],[DISPATCH]]/1000</f>
        <v/>
      </c>
      <c r="AL669" s="599">
        <f>AJ669-AK669</f>
        <v/>
      </c>
      <c r="AM669" s="599">
        <f>scheduleapr[[#This Row],[SCHEDULE in nos]]/scheduleapr[[#This Row],[SCHEDULE IN MT]]*scheduleapr[[#This Row],[CTL Stock]]</f>
        <v/>
      </c>
      <c r="AN669" s="599">
        <f>SUMIFS(stock[MT],stock[Bucket],scheduleapr[[#This Row],[Bucket]],stock[CTL Bucket],scheduleapr[[#This Row],[CTL Bucket]],stock[Plant],"0789")</f>
        <v/>
      </c>
      <c r="AO669" s="599" t="n"/>
      <c r="AP669" s="599">
        <f>SUMIFS(stock[MT],stock[Bucket],scheduleapr[[#This Row],[Bucket]],stock[LL or CTL],"LL")</f>
        <v/>
      </c>
      <c r="AQ669" s="599">
        <f>+SUMIFS(wip[Stock(Net Wt)],wip[Bucket],scheduleapr[[#This Row],[Bucket]])/1000</f>
        <v/>
      </c>
      <c r="AR669" s="599">
        <f>AJ669-AN669</f>
        <v/>
      </c>
      <c r="AS669" s="118" t="n"/>
    </row>
    <row r="670">
      <c r="A670" s="594" t="n">
        <v>561</v>
      </c>
      <c r="B670" s="5" t="inlineStr">
        <is>
          <t>Hosur</t>
        </is>
      </c>
      <c r="C670" s="601" t="inlineStr">
        <is>
          <t>SRI BALAJI GEARS V4</t>
        </is>
      </c>
      <c r="D670" s="601" t="inlineStr">
        <is>
          <t>Sri Balaji Gear</t>
        </is>
      </c>
      <c r="E670" s="601" t="n">
        <v>188595</v>
      </c>
      <c r="F670" s="9" t="n">
        <v>3233554</v>
      </c>
      <c r="G670" s="601">
        <f>_xlfn.CONCAT(scheduleapr[[#This Row],[CUSTOMER CODE]],"-",scheduleapr[[#This Row],[MATERIAL NO]])</f>
        <v/>
      </c>
      <c r="H670" s="601" t="inlineStr">
        <is>
          <t>TUB-R-AW-AUT-40.00X20.00X1.210X1.2460</t>
        </is>
      </c>
      <c r="I670" s="601" t="inlineStr">
        <is>
          <t>CRFH</t>
        </is>
      </c>
      <c r="J670" s="596" t="n"/>
      <c r="K670" s="596" t="inlineStr">
        <is>
          <t>PE</t>
        </is>
      </c>
      <c r="L670" s="601" t="inlineStr">
        <is>
          <t>CR</t>
        </is>
      </c>
      <c r="M670" s="596" t="n"/>
      <c r="N670" s="596" t="n"/>
      <c r="O670" s="596" t="n"/>
      <c r="P670" s="596" t="n"/>
      <c r="Q670" s="557">
        <f>CONCATENATE(scheduleapr[[#This Row],[OD]],"-",scheduleapr[[#This Row],[ID]],"-",scheduleapr[[#This Row],[TICKNESS]],"-",scheduleapr[[#This Row],[Grade]],"-",scheduleapr[[#This Row],[FC/NFC]])</f>
        <v/>
      </c>
      <c r="R670" s="557">
        <f>_xlfn.CONCAT(scheduleapr[[#This Row],[Bucket]],"-",scheduleapr[[#This Row],[LENGTH]]/1000)</f>
        <v/>
      </c>
      <c r="S670" s="557">
        <f>COUNTIF(scheduleapr[CTL Bucket],scheduleapr[[#This Row],[CTL Bucket]])</f>
        <v/>
      </c>
      <c r="T670" s="601" t="inlineStr">
        <is>
          <t>Hosur</t>
        </is>
      </c>
      <c r="U670" s="601">
        <f>_xlfn.IFNA(VLOOKUP(scheduleapr[[#This Row],[Bucket]],salesforecast[[#All],[Bucket2]:[8406 Stock]],19,0),0)</f>
        <v/>
      </c>
      <c r="V670" s="562">
        <f>_xlfn.IFNA(VLOOKUP(scheduleapr[[#This Row],[Bucket]],salesforecast[[#All],[Bucket2]:[8406 Stock]],20,0),0)+_xlfn.IFNA(VLOOKUP(scheduleapr[[#This Row],[Bucket]],salesforecast[[#All],[Bucket2]:[8406 Stock]],17,0),0)</f>
        <v/>
      </c>
      <c r="W670" s="557" t="n"/>
      <c r="X670" s="599" t="n">
        <v>38.1</v>
      </c>
      <c r="Y670" s="599" t="n">
        <v>40</v>
      </c>
      <c r="Z670" s="599" t="n">
        <v>20</v>
      </c>
      <c r="AA670" s="599" t="n">
        <v>1.2</v>
      </c>
      <c r="AB670" s="600" t="n">
        <v>1246</v>
      </c>
      <c r="AC670" s="600" t="inlineStr">
        <is>
          <t>NOS</t>
        </is>
      </c>
      <c r="AD670" s="600" t="n"/>
      <c r="AE670" s="600" t="n"/>
      <c r="AF670" s="601" t="n">
        <v>500</v>
      </c>
      <c r="AG670" s="601" t="n"/>
      <c r="AH670" s="601">
        <f t="array" ref="AH67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0" s="602">
        <f>scheduleapr[[#This Row],[SCHEDULE in nos]]-scheduleapr[[#This Row],[DISPATCH]]</f>
        <v/>
      </c>
      <c r="AJ670" s="599">
        <f>(3.14*(scheduleapr[[#This Row],[ACTUAL OD]]-scheduleapr[[#This Row],[TICKNESS]])*scheduleapr[[#This Row],[TICKNESS]]*scheduleapr[[#This Row],[LENGTH]]*7.85)/1000000*scheduleapr[[#This Row],[SCHEDULE in nos]]/1000</f>
        <v/>
      </c>
      <c r="AK670" s="599">
        <f>(3.14*(scheduleapr[[#This Row],[ACTUAL OD]]-scheduleapr[[#This Row],[TICKNESS]])*scheduleapr[[#This Row],[TICKNESS]]*scheduleapr[[#This Row],[LENGTH]]*7.85)/1000000*scheduleapr[[#This Row],[DISPATCH]]/1000</f>
        <v/>
      </c>
      <c r="AL670" s="599">
        <f>AJ670-AK670</f>
        <v/>
      </c>
      <c r="AM670" s="599">
        <f>scheduleapr[[#This Row],[SCHEDULE in nos]]/scheduleapr[[#This Row],[SCHEDULE IN MT]]*scheduleapr[[#This Row],[CTL Stock]]</f>
        <v/>
      </c>
      <c r="AN670" s="599">
        <f>SUMIFS(stock[MT],stock[Bucket],scheduleapr[[#This Row],[Bucket]],stock[CTL Bucket],scheduleapr[[#This Row],[CTL Bucket]],stock[Plant],"0789")</f>
        <v/>
      </c>
      <c r="AO670" s="599" t="n"/>
      <c r="AP670" s="599">
        <f>SUMIFS(stock[MT],stock[Bucket],scheduleapr[[#This Row],[Bucket]],stock[LL or CTL],"LL")</f>
        <v/>
      </c>
      <c r="AQ670" s="599">
        <f>+SUMIFS(wip[Stock(Net Wt)],wip[Bucket],scheduleapr[[#This Row],[Bucket]])/1000</f>
        <v/>
      </c>
      <c r="AR670" s="599">
        <f>AJ670-AN670</f>
        <v/>
      </c>
      <c r="AS670" s="118" t="n"/>
    </row>
    <row r="671">
      <c r="A671" s="594" t="n">
        <v>633</v>
      </c>
      <c r="B671" s="5" t="inlineStr">
        <is>
          <t>Hosur</t>
        </is>
      </c>
      <c r="C671" s="601" t="inlineStr">
        <is>
          <t>Balaji Gears V3</t>
        </is>
      </c>
      <c r="D671" s="601" t="inlineStr">
        <is>
          <t>Sri Balaji Gear</t>
        </is>
      </c>
      <c r="E671" s="601" t="n">
        <v>188595</v>
      </c>
      <c r="F671" s="523" t="n">
        <v>3233554</v>
      </c>
      <c r="G671" s="601">
        <f>_xlfn.CONCAT(scheduleapr[[#This Row],[CUSTOMER CODE]],"-",scheduleapr[[#This Row],[MATERIAL NO]])</f>
        <v/>
      </c>
      <c r="H671" s="523" t="inlineStr">
        <is>
          <t>TUB-R-AW-AUT-40.00X20.00X1.210X1.2460</t>
        </is>
      </c>
      <c r="I671" s="601" t="inlineStr">
        <is>
          <t>CRFH</t>
        </is>
      </c>
      <c r="J671" s="601" t="n"/>
      <c r="K671" s="596" t="inlineStr">
        <is>
          <t>PE</t>
        </is>
      </c>
      <c r="L671" s="601" t="n"/>
      <c r="M671" s="596" t="n"/>
      <c r="N671" s="601" t="n"/>
      <c r="O671" s="601" t="n"/>
      <c r="P671" s="601" t="n"/>
      <c r="Q671" s="557">
        <f>CONCATENATE(scheduleapr[[#This Row],[OD]],"-",scheduleapr[[#This Row],[ID]],"-",scheduleapr[[#This Row],[TICKNESS]],"-",scheduleapr[[#This Row],[Grade]],"-",scheduleapr[[#This Row],[FC/NFC]])</f>
        <v/>
      </c>
      <c r="R671" s="557">
        <f>_xlfn.CONCAT(scheduleapr[[#This Row],[Bucket]],"-",scheduleapr[[#This Row],[LENGTH]]/1000)</f>
        <v/>
      </c>
      <c r="S671" s="601" t="n"/>
      <c r="T671" s="601" t="n"/>
      <c r="U671" s="601">
        <f>_xlfn.IFNA(VLOOKUP(scheduleapr[[#This Row],[Bucket]],salesforecast[[#All],[Bucket2]:[8406 Stock]],19,0),0)</f>
        <v/>
      </c>
      <c r="V671" s="562">
        <f>_xlfn.IFNA(VLOOKUP(scheduleapr[[#This Row],[Bucket]],salesforecast[[#All],[Bucket2]:[8406 Stock]],20,0),0)+_xlfn.IFNA(VLOOKUP(scheduleapr[[#This Row],[Bucket]],salesforecast[[#All],[Bucket2]:[8406 Stock]],17,0),0)</f>
        <v/>
      </c>
      <c r="W671" s="601" t="n"/>
      <c r="X671" s="599" t="n">
        <v>38.1</v>
      </c>
      <c r="Y671" s="599" t="n">
        <v>40</v>
      </c>
      <c r="Z671" s="599" t="n">
        <v>20</v>
      </c>
      <c r="AA671" s="599" t="n">
        <v>1.2</v>
      </c>
      <c r="AB671" s="600" t="n">
        <v>1246</v>
      </c>
      <c r="AC671" s="600" t="inlineStr">
        <is>
          <t>NOS</t>
        </is>
      </c>
      <c r="AD671" s="600" t="n"/>
      <c r="AE671" s="600" t="n"/>
      <c r="AF671" s="601" t="n">
        <v>500</v>
      </c>
      <c r="AG671" s="601" t="n"/>
      <c r="AH671" s="601">
        <f t="array" ref="AH67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1" s="602">
        <f>scheduleapr[[#This Row],[SCHEDULE in nos]]-scheduleapr[[#This Row],[DISPATCH]]</f>
        <v/>
      </c>
      <c r="AJ671" s="599">
        <f>(3.14*(scheduleapr[[#This Row],[ACTUAL OD]]-scheduleapr[[#This Row],[TICKNESS]])*scheduleapr[[#This Row],[TICKNESS]]*scheduleapr[[#This Row],[LENGTH]]*7.85)/1000000*scheduleapr[[#This Row],[SCHEDULE in nos]]/1000</f>
        <v/>
      </c>
      <c r="AK671" s="599">
        <f>(3.14*(scheduleapr[[#This Row],[ACTUAL OD]]-scheduleapr[[#This Row],[TICKNESS]])*scheduleapr[[#This Row],[TICKNESS]]*scheduleapr[[#This Row],[LENGTH]]*7.85)/1000000*scheduleapr[[#This Row],[DISPATCH]]/1000</f>
        <v/>
      </c>
      <c r="AL671" s="599">
        <f>AJ671-AK671</f>
        <v/>
      </c>
      <c r="AM671" s="599">
        <f>scheduleapr[[#This Row],[SCHEDULE in nos]]/scheduleapr[[#This Row],[SCHEDULE IN MT]]*scheduleapr[[#This Row],[CTL Stock]]</f>
        <v/>
      </c>
      <c r="AN671" s="599">
        <f>SUMIFS(stock[MT],stock[Bucket],scheduleapr[[#This Row],[Bucket]],stock[CTL Bucket],scheduleapr[[#This Row],[CTL Bucket]],stock[Plant],"0789")</f>
        <v/>
      </c>
      <c r="AO671" s="599" t="n"/>
      <c r="AP671" s="599">
        <f>SUMIFS(stock[MT],stock[Bucket],scheduleapr[[#This Row],[Bucket]],stock[LL or CTL],"LL")</f>
        <v/>
      </c>
      <c r="AQ671" s="599">
        <f>+SUMIFS(wip[Stock(Net Wt)],wip[Bucket],scheduleapr[[#This Row],[Bucket]])/1000</f>
        <v/>
      </c>
      <c r="AR671" s="599">
        <f>AJ671-AN671</f>
        <v/>
      </c>
      <c r="AS671" s="118" t="n"/>
    </row>
    <row r="672">
      <c r="A672" s="594" t="n">
        <v>528</v>
      </c>
      <c r="B672" s="5" t="inlineStr">
        <is>
          <t>Hosur</t>
        </is>
      </c>
      <c r="C672" s="596" t="inlineStr">
        <is>
          <t>SRI BALAJI GEARS V7</t>
        </is>
      </c>
      <c r="D672" s="601" t="inlineStr">
        <is>
          <t>Sri Balaji Gear</t>
        </is>
      </c>
      <c r="E672" s="601" t="n">
        <v>188595</v>
      </c>
      <c r="F672" s="9" t="n">
        <v>1940801</v>
      </c>
      <c r="G672" s="601">
        <f>_xlfn.CONCAT(scheduleapr[[#This Row],[CUSTOMER CODE]],"-",scheduleapr[[#This Row],[MATERIAL NO]])</f>
        <v/>
      </c>
      <c r="H672" s="601" t="inlineStr">
        <is>
          <t>TUB-R-AW-RHS-40.00X20.00X1.210X1.3100</t>
        </is>
      </c>
      <c r="I672" s="601" t="inlineStr">
        <is>
          <t>CRFH</t>
        </is>
      </c>
      <c r="J672" s="596" t="n"/>
      <c r="K672" s="596" t="inlineStr">
        <is>
          <t>PE</t>
        </is>
      </c>
      <c r="L672" s="601" t="inlineStr">
        <is>
          <t>CR</t>
        </is>
      </c>
      <c r="M672" s="596" t="n"/>
      <c r="N672" s="596" t="n"/>
      <c r="O672" s="596" t="n"/>
      <c r="P672" s="596" t="n"/>
      <c r="Q672" s="557">
        <f>CONCATENATE(scheduleapr[[#This Row],[OD]],"-",scheduleapr[[#This Row],[ID]],"-",scheduleapr[[#This Row],[TICKNESS]],"-",scheduleapr[[#This Row],[Grade]],"-",scheduleapr[[#This Row],[FC/NFC]])</f>
        <v/>
      </c>
      <c r="R672" s="557">
        <f>_xlfn.CONCAT(scheduleapr[[#This Row],[Bucket]],"-",scheduleapr[[#This Row],[LENGTH]]/1000)</f>
        <v/>
      </c>
      <c r="S672" s="557">
        <f>COUNTIF(scheduleapr[CTL Bucket],scheduleapr[[#This Row],[CTL Bucket]])</f>
        <v/>
      </c>
      <c r="T672" s="601" t="inlineStr">
        <is>
          <t>Hosur</t>
        </is>
      </c>
      <c r="U672" s="601">
        <f>_xlfn.IFNA(VLOOKUP(scheduleapr[[#This Row],[Bucket]],salesforecast[[#All],[Bucket2]:[8406 Stock]],19,0),0)</f>
        <v/>
      </c>
      <c r="V672" s="562">
        <f>_xlfn.IFNA(VLOOKUP(scheduleapr[[#This Row],[Bucket]],salesforecast[[#All],[Bucket2]:[8406 Stock]],20,0),0)+_xlfn.IFNA(VLOOKUP(scheduleapr[[#This Row],[Bucket]],salesforecast[[#All],[Bucket2]:[8406 Stock]],17,0),0)</f>
        <v/>
      </c>
      <c r="W672" s="557" t="n"/>
      <c r="X672" s="599" t="n">
        <v>38.1</v>
      </c>
      <c r="Y672" s="599" t="n">
        <v>40</v>
      </c>
      <c r="Z672" s="599" t="n">
        <v>20</v>
      </c>
      <c r="AA672" s="599" t="n">
        <v>1.2</v>
      </c>
      <c r="AB672" s="600" t="n">
        <v>1310</v>
      </c>
      <c r="AC672" s="600" t="inlineStr">
        <is>
          <t>NOS</t>
        </is>
      </c>
      <c r="AD672" s="600" t="n"/>
      <c r="AE672" s="600" t="n"/>
      <c r="AF672" s="602" t="n">
        <v>18000</v>
      </c>
      <c r="AG672" s="602" t="n"/>
      <c r="AH672" s="601">
        <f t="array" ref="AH67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2" s="602">
        <f>scheduleapr[[#This Row],[SCHEDULE in nos]]-scheduleapr[[#This Row],[DISPATCH]]</f>
        <v/>
      </c>
      <c r="AJ672" s="599">
        <f>(3.14*(scheduleapr[[#This Row],[ACTUAL OD]]-scheduleapr[[#This Row],[TICKNESS]])*scheduleapr[[#This Row],[TICKNESS]]*scheduleapr[[#This Row],[LENGTH]]*7.85)/1000000*scheduleapr[[#This Row],[SCHEDULE in nos]]/1000</f>
        <v/>
      </c>
      <c r="AK672" s="599">
        <f>(3.14*(scheduleapr[[#This Row],[ACTUAL OD]]-scheduleapr[[#This Row],[TICKNESS]])*scheduleapr[[#This Row],[TICKNESS]]*scheduleapr[[#This Row],[LENGTH]]*7.85)/1000000*scheduleapr[[#This Row],[DISPATCH]]/1000</f>
        <v/>
      </c>
      <c r="AL672" s="599">
        <f>AJ672-AK672</f>
        <v/>
      </c>
      <c r="AM672" s="599">
        <f>scheduleapr[[#This Row],[SCHEDULE in nos]]/scheduleapr[[#This Row],[SCHEDULE IN MT]]*scheduleapr[[#This Row],[CTL Stock]]</f>
        <v/>
      </c>
      <c r="AN672" s="599">
        <f>SUMIFS(stock[MT],stock[Bucket],scheduleapr[[#This Row],[Bucket]],stock[CTL Bucket],scheduleapr[[#This Row],[CTL Bucket]],stock[Plant],"0789")</f>
        <v/>
      </c>
      <c r="AO672" s="599" t="n"/>
      <c r="AP672" s="599">
        <f>SUMIFS(stock[MT],stock[Bucket],scheduleapr[[#This Row],[Bucket]],stock[LL or CTL],"LL")</f>
        <v/>
      </c>
      <c r="AQ672" s="599">
        <f>+SUMIFS(wip[Stock(Net Wt)],wip[Bucket],scheduleapr[[#This Row],[Bucket]])/1000</f>
        <v/>
      </c>
      <c r="AR672" s="599">
        <f>AJ672-AN672</f>
        <v/>
      </c>
      <c r="AS672" s="118" t="n"/>
    </row>
    <row r="673">
      <c r="A673" s="594" t="n">
        <v>562</v>
      </c>
      <c r="B673" s="5" t="inlineStr">
        <is>
          <t>Hosur</t>
        </is>
      </c>
      <c r="C673" s="601" t="inlineStr">
        <is>
          <t>SRI BALAJI GEARS V4</t>
        </is>
      </c>
      <c r="D673" s="601" t="inlineStr">
        <is>
          <t>Sri Balaji Gear</t>
        </is>
      </c>
      <c r="E673" s="601" t="n">
        <v>188595</v>
      </c>
      <c r="F673" s="9" t="n">
        <v>1940801</v>
      </c>
      <c r="G673" s="601">
        <f>_xlfn.CONCAT(scheduleapr[[#This Row],[CUSTOMER CODE]],"-",scheduleapr[[#This Row],[MATERIAL NO]])</f>
        <v/>
      </c>
      <c r="H673" s="601" t="inlineStr">
        <is>
          <t>TUB-R-AW-RHS-40.00X20.00X1.210X1.3100</t>
        </is>
      </c>
      <c r="I673" s="601" t="inlineStr">
        <is>
          <t>CRFH</t>
        </is>
      </c>
      <c r="J673" s="596" t="n"/>
      <c r="K673" s="596" t="inlineStr">
        <is>
          <t>PE</t>
        </is>
      </c>
      <c r="L673" s="601" t="inlineStr">
        <is>
          <t>CR</t>
        </is>
      </c>
      <c r="M673" s="596" t="n"/>
      <c r="N673" s="596" t="n"/>
      <c r="O673" s="596" t="n"/>
      <c r="P673" s="596" t="n"/>
      <c r="Q673" s="557">
        <f>CONCATENATE(scheduleapr[[#This Row],[OD]],"-",scheduleapr[[#This Row],[ID]],"-",scheduleapr[[#This Row],[TICKNESS]],"-",scheduleapr[[#This Row],[Grade]],"-",scheduleapr[[#This Row],[FC/NFC]])</f>
        <v/>
      </c>
      <c r="R673" s="557">
        <f>_xlfn.CONCAT(scheduleapr[[#This Row],[Bucket]],"-",scheduleapr[[#This Row],[LENGTH]]/1000)</f>
        <v/>
      </c>
      <c r="S673" s="557">
        <f>COUNTIF(scheduleapr[CTL Bucket],scheduleapr[[#This Row],[CTL Bucket]])</f>
        <v/>
      </c>
      <c r="T673" s="601" t="inlineStr">
        <is>
          <t>Hosur</t>
        </is>
      </c>
      <c r="U673" s="601">
        <f>_xlfn.IFNA(VLOOKUP(scheduleapr[[#This Row],[Bucket]],salesforecast[[#All],[Bucket2]:[8406 Stock]],19,0),0)</f>
        <v/>
      </c>
      <c r="V673" s="562">
        <f>_xlfn.IFNA(VLOOKUP(scheduleapr[[#This Row],[Bucket]],salesforecast[[#All],[Bucket2]:[8406 Stock]],20,0),0)+_xlfn.IFNA(VLOOKUP(scheduleapr[[#This Row],[Bucket]],salesforecast[[#All],[Bucket2]:[8406 Stock]],17,0),0)</f>
        <v/>
      </c>
      <c r="W673" s="557" t="n"/>
      <c r="X673" s="599" t="n">
        <v>38.1</v>
      </c>
      <c r="Y673" s="599" t="n">
        <v>40</v>
      </c>
      <c r="Z673" s="599" t="n">
        <v>20</v>
      </c>
      <c r="AA673" s="599" t="n">
        <v>1.2</v>
      </c>
      <c r="AB673" s="600" t="n">
        <v>1310</v>
      </c>
      <c r="AC673" s="600" t="inlineStr">
        <is>
          <t>NOS</t>
        </is>
      </c>
      <c r="AD673" s="600" t="n"/>
      <c r="AE673" s="600" t="n"/>
      <c r="AF673" s="601" t="n">
        <v>1500</v>
      </c>
      <c r="AG673" s="601" t="n"/>
      <c r="AH673" s="601">
        <f t="array" ref="AH67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3" s="602">
        <f>scheduleapr[[#This Row],[SCHEDULE in nos]]-scheduleapr[[#This Row],[DISPATCH]]</f>
        <v/>
      </c>
      <c r="AJ673" s="599">
        <f>(3.14*(scheduleapr[[#This Row],[ACTUAL OD]]-scheduleapr[[#This Row],[TICKNESS]])*scheduleapr[[#This Row],[TICKNESS]]*scheduleapr[[#This Row],[LENGTH]]*7.85)/1000000*scheduleapr[[#This Row],[SCHEDULE in nos]]/1000</f>
        <v/>
      </c>
      <c r="AK673" s="599">
        <f>(3.14*(scheduleapr[[#This Row],[ACTUAL OD]]-scheduleapr[[#This Row],[TICKNESS]])*scheduleapr[[#This Row],[TICKNESS]]*scheduleapr[[#This Row],[LENGTH]]*7.85)/1000000*scheduleapr[[#This Row],[DISPATCH]]/1000</f>
        <v/>
      </c>
      <c r="AL673" s="599">
        <f>AJ673-AK673</f>
        <v/>
      </c>
      <c r="AM673" s="599">
        <f>scheduleapr[[#This Row],[SCHEDULE in nos]]/scheduleapr[[#This Row],[SCHEDULE IN MT]]*scheduleapr[[#This Row],[CTL Stock]]</f>
        <v/>
      </c>
      <c r="AN673" s="599">
        <f>SUMIFS(stock[MT],stock[Bucket],scheduleapr[[#This Row],[Bucket]],stock[CTL Bucket],scheduleapr[[#This Row],[CTL Bucket]],stock[Plant],"0789")</f>
        <v/>
      </c>
      <c r="AO673" s="599" t="n"/>
      <c r="AP673" s="599">
        <f>SUMIFS(stock[MT],stock[Bucket],scheduleapr[[#This Row],[Bucket]],stock[LL or CTL],"LL")</f>
        <v/>
      </c>
      <c r="AQ673" s="599">
        <f>+SUMIFS(wip[Stock(Net Wt)],wip[Bucket],scheduleapr[[#This Row],[Bucket]])/1000</f>
        <v/>
      </c>
      <c r="AR673" s="599">
        <f>AJ673-AN673</f>
        <v/>
      </c>
      <c r="AS673" s="118" t="n"/>
    </row>
    <row r="674">
      <c r="A674" s="594" t="n">
        <v>632</v>
      </c>
      <c r="B674" s="5" t="inlineStr">
        <is>
          <t>Hosur</t>
        </is>
      </c>
      <c r="C674" s="601" t="inlineStr">
        <is>
          <t>Balaji Gears V3</t>
        </is>
      </c>
      <c r="D674" s="601" t="inlineStr">
        <is>
          <t>Sri Balaji Gear</t>
        </is>
      </c>
      <c r="E674" s="601" t="n">
        <v>188595</v>
      </c>
      <c r="F674" s="523" t="n">
        <v>1940801</v>
      </c>
      <c r="G674" s="601">
        <f>_xlfn.CONCAT(scheduleapr[[#This Row],[CUSTOMER CODE]],"-",scheduleapr[[#This Row],[MATERIAL NO]])</f>
        <v/>
      </c>
      <c r="H674" s="523" t="inlineStr">
        <is>
          <t>TUB-R-AW-RHS-40.00X20.00X1.210X1.3100</t>
        </is>
      </c>
      <c r="I674" s="601" t="inlineStr">
        <is>
          <t>CRFH</t>
        </is>
      </c>
      <c r="J674" s="601" t="n"/>
      <c r="K674" s="596" t="inlineStr">
        <is>
          <t>PE</t>
        </is>
      </c>
      <c r="L674" s="601" t="n"/>
      <c r="M674" s="596" t="n"/>
      <c r="N674" s="601" t="n"/>
      <c r="O674" s="601" t="n"/>
      <c r="P674" s="601" t="n"/>
      <c r="Q674" s="557">
        <f>CONCATENATE(scheduleapr[[#This Row],[OD]],"-",scheduleapr[[#This Row],[ID]],"-",scheduleapr[[#This Row],[TICKNESS]],"-",scheduleapr[[#This Row],[Grade]],"-",scheduleapr[[#This Row],[FC/NFC]])</f>
        <v/>
      </c>
      <c r="R674" s="557">
        <f>_xlfn.CONCAT(scheduleapr[[#This Row],[Bucket]],"-",scheduleapr[[#This Row],[LENGTH]]/1000)</f>
        <v/>
      </c>
      <c r="S674" s="601" t="n"/>
      <c r="T674" s="601" t="n"/>
      <c r="U674" s="601">
        <f>_xlfn.IFNA(VLOOKUP(scheduleapr[[#This Row],[Bucket]],salesforecast[[#All],[Bucket2]:[8406 Stock]],19,0),0)</f>
        <v/>
      </c>
      <c r="V674" s="562">
        <f>_xlfn.IFNA(VLOOKUP(scheduleapr[[#This Row],[Bucket]],salesforecast[[#All],[Bucket2]:[8406 Stock]],20,0),0)+_xlfn.IFNA(VLOOKUP(scheduleapr[[#This Row],[Bucket]],salesforecast[[#All],[Bucket2]:[8406 Stock]],17,0),0)</f>
        <v/>
      </c>
      <c r="W674" s="601" t="n"/>
      <c r="X674" s="599" t="n">
        <v>38.1</v>
      </c>
      <c r="Y674" s="599" t="n">
        <v>40</v>
      </c>
      <c r="Z674" s="599" t="n">
        <v>20</v>
      </c>
      <c r="AA674" s="599" t="n">
        <v>1.2</v>
      </c>
      <c r="AB674" s="600" t="n">
        <v>1310</v>
      </c>
      <c r="AC674" s="600" t="inlineStr">
        <is>
          <t>NOS</t>
        </is>
      </c>
      <c r="AD674" s="600" t="n"/>
      <c r="AE674" s="600" t="n"/>
      <c r="AF674" s="601" t="n">
        <v>1500</v>
      </c>
      <c r="AG674" s="601" t="n"/>
      <c r="AH674" s="601">
        <f t="array" ref="AH67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4" s="602">
        <f>scheduleapr[[#This Row],[SCHEDULE in nos]]-scheduleapr[[#This Row],[DISPATCH]]</f>
        <v/>
      </c>
      <c r="AJ674" s="599">
        <f>(3.14*(scheduleapr[[#This Row],[ACTUAL OD]]-scheduleapr[[#This Row],[TICKNESS]])*scheduleapr[[#This Row],[TICKNESS]]*scheduleapr[[#This Row],[LENGTH]]*7.85)/1000000*scheduleapr[[#This Row],[SCHEDULE in nos]]/1000</f>
        <v/>
      </c>
      <c r="AK674" s="599">
        <f>(3.14*(scheduleapr[[#This Row],[ACTUAL OD]]-scheduleapr[[#This Row],[TICKNESS]])*scheduleapr[[#This Row],[TICKNESS]]*scheduleapr[[#This Row],[LENGTH]]*7.85)/1000000*scheduleapr[[#This Row],[DISPATCH]]/1000</f>
        <v/>
      </c>
      <c r="AL674" s="599">
        <f>AJ674-AK674</f>
        <v/>
      </c>
      <c r="AM674" s="599">
        <f>scheduleapr[[#This Row],[SCHEDULE in nos]]/scheduleapr[[#This Row],[SCHEDULE IN MT]]*scheduleapr[[#This Row],[CTL Stock]]</f>
        <v/>
      </c>
      <c r="AN674" s="599">
        <f>SUMIFS(stock[MT],stock[Bucket],scheduleapr[[#This Row],[Bucket]],stock[CTL Bucket],scheduleapr[[#This Row],[CTL Bucket]],stock[Plant],"0789")</f>
        <v/>
      </c>
      <c r="AO674" s="599" t="n"/>
      <c r="AP674" s="599">
        <f>SUMIFS(stock[MT],stock[Bucket],scheduleapr[[#This Row],[Bucket]],stock[LL or CTL],"LL")</f>
        <v/>
      </c>
      <c r="AQ674" s="599">
        <f>+SUMIFS(wip[Stock(Net Wt)],wip[Bucket],scheduleapr[[#This Row],[Bucket]])/1000</f>
        <v/>
      </c>
      <c r="AR674" s="599">
        <f>AJ674-AN674</f>
        <v/>
      </c>
      <c r="AS674" s="118" t="n"/>
    </row>
    <row r="675">
      <c r="A675" s="594" t="n">
        <v>554</v>
      </c>
      <c r="B675" s="5" t="inlineStr">
        <is>
          <t>Hosur</t>
        </is>
      </c>
      <c r="C675" s="596" t="inlineStr">
        <is>
          <t>SRI BALAJI GEARS V4</t>
        </is>
      </c>
      <c r="D675" s="601" t="inlineStr">
        <is>
          <t>Sri Balaji Gear</t>
        </is>
      </c>
      <c r="E675" s="596" t="n">
        <v>188595</v>
      </c>
      <c r="F675" s="574" t="n">
        <v>3938685</v>
      </c>
      <c r="G675" s="601">
        <f>_xlfn.CONCAT(scheduleapr[[#This Row],[CUSTOMER CODE]],"-",scheduleapr[[#This Row],[MATERIAL NO]])</f>
        <v/>
      </c>
      <c r="H675" s="601" t="inlineStr">
        <is>
          <t>TUB-R-AW-AUT-40.00X40.00X1.200X0.0850</t>
        </is>
      </c>
      <c r="I675" s="601" t="inlineStr">
        <is>
          <t>CRFH</t>
        </is>
      </c>
      <c r="J675" s="596" t="n"/>
      <c r="K675" s="596" t="inlineStr">
        <is>
          <t>PE</t>
        </is>
      </c>
      <c r="L675" s="601" t="inlineStr">
        <is>
          <t>CR</t>
        </is>
      </c>
      <c r="M675" s="596" t="n"/>
      <c r="N675" s="596" t="n"/>
      <c r="O675" s="596" t="n"/>
      <c r="P675" s="596" t="n"/>
      <c r="Q675" s="557">
        <f>CONCATENATE(scheduleapr[[#This Row],[OD]],"-",scheduleapr[[#This Row],[ID]],"-",scheduleapr[[#This Row],[TICKNESS]],"-",scheduleapr[[#This Row],[Grade]],"-",scheduleapr[[#This Row],[FC/NFC]])</f>
        <v/>
      </c>
      <c r="R675" s="557">
        <f>_xlfn.CONCAT(scheduleapr[[#This Row],[Bucket]],"-",scheduleapr[[#This Row],[LENGTH]]/1000)</f>
        <v/>
      </c>
      <c r="S675" s="557">
        <f>COUNTIF(scheduleapr[CTL Bucket],scheduleapr[[#This Row],[CTL Bucket]])</f>
        <v/>
      </c>
      <c r="T675" s="601" t="inlineStr">
        <is>
          <t>Hosur</t>
        </is>
      </c>
      <c r="U675" s="601">
        <f>_xlfn.IFNA(VLOOKUP(scheduleapr[[#This Row],[Bucket]],salesforecast[[#All],[Bucket2]:[8406 Stock]],19,0),0)</f>
        <v/>
      </c>
      <c r="V675" s="562">
        <f>_xlfn.IFNA(VLOOKUP(scheduleapr[[#This Row],[Bucket]],salesforecast[[#All],[Bucket2]:[8406 Stock]],20,0),0)+_xlfn.IFNA(VLOOKUP(scheduleapr[[#This Row],[Bucket]],salesforecast[[#All],[Bucket2]:[8406 Stock]],17,0),0)</f>
        <v/>
      </c>
      <c r="W675" s="557" t="n"/>
      <c r="X675" s="599" t="n">
        <v>50.8</v>
      </c>
      <c r="Y675" s="599" t="n">
        <v>40</v>
      </c>
      <c r="Z675" s="599" t="n">
        <v>40</v>
      </c>
      <c r="AA675" s="599" t="n">
        <v>1.2</v>
      </c>
      <c r="AB675" s="600" t="n">
        <v>85</v>
      </c>
      <c r="AC675" s="600" t="inlineStr">
        <is>
          <t>NOS</t>
        </is>
      </c>
      <c r="AD675" s="600" t="n"/>
      <c r="AE675" s="600" t="n"/>
      <c r="AF675" s="601" t="n">
        <v>1000</v>
      </c>
      <c r="AG675" s="601" t="n"/>
      <c r="AH675" s="601">
        <f t="array" ref="AH67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5" s="602">
        <f>scheduleapr[[#This Row],[SCHEDULE in nos]]-scheduleapr[[#This Row],[DISPATCH]]</f>
        <v/>
      </c>
      <c r="AJ675" s="599">
        <f>(3.14*(scheduleapr[[#This Row],[ACTUAL OD]]-scheduleapr[[#This Row],[TICKNESS]])*scheduleapr[[#This Row],[TICKNESS]]*scheduleapr[[#This Row],[LENGTH]]*7.85)/1000000*scheduleapr[[#This Row],[SCHEDULE in nos]]/1000</f>
        <v/>
      </c>
      <c r="AK675" s="599">
        <f>(3.14*(scheduleapr[[#This Row],[ACTUAL OD]]-scheduleapr[[#This Row],[TICKNESS]])*scheduleapr[[#This Row],[TICKNESS]]*scheduleapr[[#This Row],[LENGTH]]*7.85)/1000000*scheduleapr[[#This Row],[DISPATCH]]/1000</f>
        <v/>
      </c>
      <c r="AL675" s="599">
        <f>AJ675-AK675</f>
        <v/>
      </c>
      <c r="AM675" s="599">
        <f>scheduleapr[[#This Row],[SCHEDULE in nos]]/scheduleapr[[#This Row],[SCHEDULE IN MT]]*scheduleapr[[#This Row],[CTL Stock]]</f>
        <v/>
      </c>
      <c r="AN675" s="599">
        <f>SUMIFS(stock[MT],stock[Bucket],scheduleapr[[#This Row],[Bucket]],stock[CTL Bucket],scheduleapr[[#This Row],[CTL Bucket]],stock[Plant],"0789")</f>
        <v/>
      </c>
      <c r="AO675" s="599" t="n"/>
      <c r="AP675" s="599">
        <f>SUMIFS(stock[MT],stock[Bucket],scheduleapr[[#This Row],[Bucket]],stock[LL or CTL],"LL")</f>
        <v/>
      </c>
      <c r="AQ675" s="599">
        <f>+SUMIFS(wip[Stock(Net Wt)],wip[Bucket],scheduleapr[[#This Row],[Bucket]])/1000</f>
        <v/>
      </c>
      <c r="AR675" s="599">
        <f>AJ675-AN675</f>
        <v/>
      </c>
      <c r="AS675" s="118" t="n"/>
    </row>
    <row r="676">
      <c r="A676" s="594" t="n">
        <v>530</v>
      </c>
      <c r="B676" s="5" t="inlineStr">
        <is>
          <t>Hosur</t>
        </is>
      </c>
      <c r="C676" s="596" t="inlineStr">
        <is>
          <t>SRI BALAJI GEARS V7</t>
        </is>
      </c>
      <c r="D676" s="601" t="inlineStr">
        <is>
          <t>Sri Balaji Gear</t>
        </is>
      </c>
      <c r="E676" s="601" t="n">
        <v>188595</v>
      </c>
      <c r="F676" s="523" t="n">
        <v>4151471</v>
      </c>
      <c r="G676" s="601">
        <f>_xlfn.CONCAT(scheduleapr[[#This Row],[CUSTOMER CODE]],"-",scheduleapr[[#This Row],[MATERIAL NO]])</f>
        <v/>
      </c>
      <c r="H676" s="601" t="inlineStr">
        <is>
          <t>TUB-S-AW-SHS-40.00X40.00X1.200X0.115</t>
        </is>
      </c>
      <c r="I676" s="601" t="inlineStr">
        <is>
          <t>CRFH</t>
        </is>
      </c>
      <c r="J676" s="601" t="n"/>
      <c r="K676" s="601" t="inlineStr">
        <is>
          <t>PE</t>
        </is>
      </c>
      <c r="L676" s="601" t="n"/>
      <c r="M676" s="601" t="n"/>
      <c r="N676" s="601" t="n"/>
      <c r="O676" s="601" t="n"/>
      <c r="P676" s="601" t="n"/>
      <c r="Q676" s="557">
        <f>CONCATENATE(scheduleapr[[#This Row],[OD]],"-",scheduleapr[[#This Row],[ID]],"-",scheduleapr[[#This Row],[TICKNESS]],"-",scheduleapr[[#This Row],[Grade]],"-",scheduleapr[[#This Row],[FC/NFC]])</f>
        <v/>
      </c>
      <c r="R676" s="557">
        <f>_xlfn.CONCAT(scheduleapr[[#This Row],[Bucket]],"-",scheduleapr[[#This Row],[LENGTH]]/1000)</f>
        <v/>
      </c>
      <c r="S676" s="557">
        <f>COUNTIF(scheduleapr[CTL Bucket],scheduleapr[[#This Row],[CTL Bucket]])</f>
        <v/>
      </c>
      <c r="T676" s="601" t="inlineStr">
        <is>
          <t>Hosur</t>
        </is>
      </c>
      <c r="U676" s="601">
        <f>_xlfn.IFNA(VLOOKUP(scheduleapr[[#This Row],[Bucket]],salesforecast[[#All],[Bucket2]:[8406 Stock]],19,0),0)</f>
        <v/>
      </c>
      <c r="V676" s="562">
        <f>_xlfn.IFNA(VLOOKUP(scheduleapr[[#This Row],[Bucket]],salesforecast[[#All],[Bucket2]:[8406 Stock]],20,0),0)+_xlfn.IFNA(VLOOKUP(scheduleapr[[#This Row],[Bucket]],salesforecast[[#All],[Bucket2]:[8406 Stock]],17,0),0)</f>
        <v/>
      </c>
      <c r="W676" s="557" t="n"/>
      <c r="X676" s="599" t="n">
        <v>50.8</v>
      </c>
      <c r="Y676" s="599" t="n">
        <v>40</v>
      </c>
      <c r="Z676" s="599" t="n">
        <v>40</v>
      </c>
      <c r="AA676" s="599" t="n">
        <v>1.2</v>
      </c>
      <c r="AB676" s="600" t="n">
        <v>115</v>
      </c>
      <c r="AC676" s="600" t="inlineStr">
        <is>
          <t>NOS</t>
        </is>
      </c>
      <c r="AD676" s="600" t="n"/>
      <c r="AE676" s="600" t="n"/>
      <c r="AF676" s="602" t="n">
        <v>12000</v>
      </c>
      <c r="AG676" s="602" t="n"/>
      <c r="AH676" s="601">
        <f t="array" ref="AH67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6" s="602">
        <f>scheduleapr[[#This Row],[SCHEDULE in nos]]-scheduleapr[[#This Row],[DISPATCH]]</f>
        <v/>
      </c>
      <c r="AJ676" s="599">
        <f>(3.14*(scheduleapr[[#This Row],[ACTUAL OD]]-scheduleapr[[#This Row],[TICKNESS]])*scheduleapr[[#This Row],[TICKNESS]]*scheduleapr[[#This Row],[LENGTH]]*7.85)/1000000*scheduleapr[[#This Row],[SCHEDULE in nos]]/1000</f>
        <v/>
      </c>
      <c r="AK676" s="599">
        <f>(3.14*(scheduleapr[[#This Row],[ACTUAL OD]]-scheduleapr[[#This Row],[TICKNESS]])*scheduleapr[[#This Row],[TICKNESS]]*scheduleapr[[#This Row],[LENGTH]]*7.85)/1000000*scheduleapr[[#This Row],[DISPATCH]]/1000</f>
        <v/>
      </c>
      <c r="AL676" s="599">
        <f>AJ676-AK676</f>
        <v/>
      </c>
      <c r="AM676" s="599">
        <f>scheduleapr[[#This Row],[SCHEDULE in nos]]/scheduleapr[[#This Row],[SCHEDULE IN MT]]*scheduleapr[[#This Row],[CTL Stock]]</f>
        <v/>
      </c>
      <c r="AN676" s="599">
        <f>SUMIFS(stock[MT],stock[Bucket],scheduleapr[[#This Row],[Bucket]],stock[CTL Bucket],scheduleapr[[#This Row],[CTL Bucket]],stock[Plant],"0789")</f>
        <v/>
      </c>
      <c r="AO676" s="599" t="n"/>
      <c r="AP676" s="599">
        <f>SUMIFS(stock[MT],stock[Bucket],scheduleapr[[#This Row],[Bucket]],stock[LL or CTL],"LL")</f>
        <v/>
      </c>
      <c r="AQ676" s="599">
        <f>+SUMIFS(wip[Stock(Net Wt)],wip[Bucket],scheduleapr[[#This Row],[Bucket]])/1000</f>
        <v/>
      </c>
      <c r="AR676" s="599">
        <f>AJ676-AN676</f>
        <v/>
      </c>
      <c r="AS676" s="118" t="n"/>
    </row>
    <row r="677">
      <c r="A677" s="594" t="n">
        <v>652</v>
      </c>
      <c r="B677" s="5" t="inlineStr">
        <is>
          <t>Hosur</t>
        </is>
      </c>
      <c r="C677" s="601" t="inlineStr">
        <is>
          <t>Balaji Gears V3</t>
        </is>
      </c>
      <c r="D677" s="601" t="inlineStr">
        <is>
          <t>Sri Balaji Gear</t>
        </is>
      </c>
      <c r="E677" s="601" t="n">
        <v>188595</v>
      </c>
      <c r="F677" s="523" t="n">
        <v>1940849</v>
      </c>
      <c r="G677" s="601">
        <f>_xlfn.CONCAT(scheduleapr[[#This Row],[CUSTOMER CODE]],"-",scheduleapr[[#This Row],[MATERIAL NO]])</f>
        <v/>
      </c>
      <c r="H677" s="523" t="inlineStr">
        <is>
          <t>TUB-S-AW-SHS-40.00X40.00X1.200X0.1250</t>
        </is>
      </c>
      <c r="I677" s="601" t="inlineStr">
        <is>
          <t>CRFH</t>
        </is>
      </c>
      <c r="J677" s="601" t="n"/>
      <c r="K677" s="601" t="inlineStr">
        <is>
          <t>PE</t>
        </is>
      </c>
      <c r="L677" s="601" t="n"/>
      <c r="M677" s="596" t="n"/>
      <c r="N677" s="601" t="n"/>
      <c r="O677" s="601" t="n"/>
      <c r="P677" s="601" t="n"/>
      <c r="Q677" s="557">
        <f>CONCATENATE(scheduleapr[[#This Row],[OD]],"-",scheduleapr[[#This Row],[ID]],"-",scheduleapr[[#This Row],[TICKNESS]],"-",scheduleapr[[#This Row],[Grade]],"-",scheduleapr[[#This Row],[FC/NFC]])</f>
        <v/>
      </c>
      <c r="R677" s="557">
        <f>_xlfn.CONCAT(scheduleapr[[#This Row],[Bucket]],"-",scheduleapr[[#This Row],[LENGTH]]/1000)</f>
        <v/>
      </c>
      <c r="S677" s="601" t="n"/>
      <c r="T677" s="601" t="n"/>
      <c r="U677" s="601">
        <f>_xlfn.IFNA(VLOOKUP(scheduleapr[[#This Row],[Bucket]],salesforecast[[#All],[Bucket2]:[8406 Stock]],19,0),0)</f>
        <v/>
      </c>
      <c r="V677" s="562">
        <f>_xlfn.IFNA(VLOOKUP(scheduleapr[[#This Row],[Bucket]],salesforecast[[#All],[Bucket2]:[8406 Stock]],20,0),0)+_xlfn.IFNA(VLOOKUP(scheduleapr[[#This Row],[Bucket]],salesforecast[[#All],[Bucket2]:[8406 Stock]],17,0),0)</f>
        <v/>
      </c>
      <c r="W677" s="601" t="n"/>
      <c r="X677" s="599" t="n">
        <v>50.8</v>
      </c>
      <c r="Y677" s="599" t="n">
        <v>40</v>
      </c>
      <c r="Z677" s="599" t="n">
        <v>40</v>
      </c>
      <c r="AA677" s="599" t="n">
        <v>1.2</v>
      </c>
      <c r="AB677" s="600" t="n">
        <v>125</v>
      </c>
      <c r="AC677" s="600" t="inlineStr">
        <is>
          <t>NOS</t>
        </is>
      </c>
      <c r="AD677" s="600" t="n"/>
      <c r="AE677" s="600" t="n"/>
      <c r="AF677" s="601" t="n"/>
      <c r="AG677" s="601" t="n"/>
      <c r="AH677" s="601">
        <f t="array" ref="AH67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7" s="602">
        <f>scheduleapr[[#This Row],[SCHEDULE in nos]]-scheduleapr[[#This Row],[DISPATCH]]</f>
        <v/>
      </c>
      <c r="AJ677" s="599">
        <f>(3.14*(scheduleapr[[#This Row],[ACTUAL OD]]-scheduleapr[[#This Row],[TICKNESS]])*scheduleapr[[#This Row],[TICKNESS]]*scheduleapr[[#This Row],[LENGTH]]*7.85)/1000000*scheduleapr[[#This Row],[SCHEDULE in nos]]/1000</f>
        <v/>
      </c>
      <c r="AK677" s="599">
        <f>(3.14*(scheduleapr[[#This Row],[ACTUAL OD]]-scheduleapr[[#This Row],[TICKNESS]])*scheduleapr[[#This Row],[TICKNESS]]*scheduleapr[[#This Row],[LENGTH]]*7.85)/1000000*scheduleapr[[#This Row],[DISPATCH]]/1000</f>
        <v/>
      </c>
      <c r="AL677" s="599">
        <f>AJ677-AK677</f>
        <v/>
      </c>
      <c r="AM677" s="599">
        <f>scheduleapr[[#This Row],[SCHEDULE in nos]]/scheduleapr[[#This Row],[SCHEDULE IN MT]]*scheduleapr[[#This Row],[CTL Stock]]</f>
        <v/>
      </c>
      <c r="AN677" s="599">
        <f>SUMIFS(stock[MT],stock[Bucket],scheduleapr[[#This Row],[Bucket]],stock[CTL Bucket],scheduleapr[[#This Row],[CTL Bucket]],stock[Plant],"0789")</f>
        <v/>
      </c>
      <c r="AO677" s="599" t="n"/>
      <c r="AP677" s="599">
        <f>SUMIFS(stock[MT],stock[Bucket],scheduleapr[[#This Row],[Bucket]],stock[LL or CTL],"LL")</f>
        <v/>
      </c>
      <c r="AQ677" s="599">
        <f>+SUMIFS(wip[Stock(Net Wt)],wip[Bucket],scheduleapr[[#This Row],[Bucket]])/1000</f>
        <v/>
      </c>
      <c r="AR677" s="599">
        <f>AJ677-AN677</f>
        <v/>
      </c>
      <c r="AS677" s="118" t="n"/>
    </row>
    <row r="678">
      <c r="A678" s="594" t="n">
        <v>651</v>
      </c>
      <c r="B678" s="5" t="inlineStr">
        <is>
          <t>Hosur</t>
        </is>
      </c>
      <c r="C678" s="601" t="inlineStr">
        <is>
          <t>Balaji Gears V3</t>
        </is>
      </c>
      <c r="D678" s="601" t="inlineStr">
        <is>
          <t>Sri Balaji Gear</t>
        </is>
      </c>
      <c r="E678" s="601" t="n">
        <v>188595</v>
      </c>
      <c r="F678" s="523" t="n">
        <v>1940850</v>
      </c>
      <c r="G678" s="601">
        <f>_xlfn.CONCAT(scheduleapr[[#This Row],[CUSTOMER CODE]],"-",scheduleapr[[#This Row],[MATERIAL NO]])</f>
        <v/>
      </c>
      <c r="H678" s="523" t="inlineStr">
        <is>
          <t>TUB-S-AW-SHS-40.00X40.00X1.200X0.1400</t>
        </is>
      </c>
      <c r="I678" s="601" t="inlineStr">
        <is>
          <t>CRFH</t>
        </is>
      </c>
      <c r="J678" s="601" t="n"/>
      <c r="K678" s="601" t="inlineStr">
        <is>
          <t>PE</t>
        </is>
      </c>
      <c r="L678" s="601" t="n"/>
      <c r="M678" s="596" t="n"/>
      <c r="N678" s="601" t="n"/>
      <c r="O678" s="601" t="n"/>
      <c r="P678" s="601" t="n"/>
      <c r="Q678" s="557">
        <f>CONCATENATE(scheduleapr[[#This Row],[OD]],"-",scheduleapr[[#This Row],[ID]],"-",scheduleapr[[#This Row],[TICKNESS]],"-",scheduleapr[[#This Row],[Grade]],"-",scheduleapr[[#This Row],[FC/NFC]])</f>
        <v/>
      </c>
      <c r="R678" s="557">
        <f>_xlfn.CONCAT(scheduleapr[[#This Row],[Bucket]],"-",scheduleapr[[#This Row],[LENGTH]]/1000)</f>
        <v/>
      </c>
      <c r="S678" s="601" t="n"/>
      <c r="T678" s="601" t="n"/>
      <c r="U678" s="601">
        <f>_xlfn.IFNA(VLOOKUP(scheduleapr[[#This Row],[Bucket]],salesforecast[[#All],[Bucket2]:[8406 Stock]],19,0),0)</f>
        <v/>
      </c>
      <c r="V678" s="562">
        <f>_xlfn.IFNA(VLOOKUP(scheduleapr[[#This Row],[Bucket]],salesforecast[[#All],[Bucket2]:[8406 Stock]],20,0),0)+_xlfn.IFNA(VLOOKUP(scheduleapr[[#This Row],[Bucket]],salesforecast[[#All],[Bucket2]:[8406 Stock]],17,0),0)</f>
        <v/>
      </c>
      <c r="W678" s="601" t="n"/>
      <c r="X678" s="599" t="n">
        <v>50.8</v>
      </c>
      <c r="Y678" s="599" t="n">
        <v>40</v>
      </c>
      <c r="Z678" s="599" t="n">
        <v>40</v>
      </c>
      <c r="AA678" s="599" t="n">
        <v>1.2</v>
      </c>
      <c r="AB678" s="600" t="n">
        <v>140</v>
      </c>
      <c r="AC678" s="600" t="inlineStr">
        <is>
          <t>NOS</t>
        </is>
      </c>
      <c r="AD678" s="600" t="n"/>
      <c r="AE678" s="600" t="n"/>
      <c r="AF678" s="601" t="n"/>
      <c r="AG678" s="601" t="n"/>
      <c r="AH678" s="601">
        <f t="array" ref="AH67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8" s="602">
        <f>scheduleapr[[#This Row],[SCHEDULE in nos]]-scheduleapr[[#This Row],[DISPATCH]]</f>
        <v/>
      </c>
      <c r="AJ678" s="599">
        <f>(3.14*(scheduleapr[[#This Row],[ACTUAL OD]]-scheduleapr[[#This Row],[TICKNESS]])*scheduleapr[[#This Row],[TICKNESS]]*scheduleapr[[#This Row],[LENGTH]]*7.85)/1000000*scheduleapr[[#This Row],[SCHEDULE in nos]]/1000</f>
        <v/>
      </c>
      <c r="AK678" s="599">
        <f>(3.14*(scheduleapr[[#This Row],[ACTUAL OD]]-scheduleapr[[#This Row],[TICKNESS]])*scheduleapr[[#This Row],[TICKNESS]]*scheduleapr[[#This Row],[LENGTH]]*7.85)/1000000*scheduleapr[[#This Row],[DISPATCH]]/1000</f>
        <v/>
      </c>
      <c r="AL678" s="599">
        <f>AJ678-AK678</f>
        <v/>
      </c>
      <c r="AM678" s="599">
        <f>scheduleapr[[#This Row],[SCHEDULE in nos]]/scheduleapr[[#This Row],[SCHEDULE IN MT]]*scheduleapr[[#This Row],[CTL Stock]]</f>
        <v/>
      </c>
      <c r="AN678" s="599">
        <f>SUMIFS(stock[MT],stock[Bucket],scheduleapr[[#This Row],[Bucket]],stock[CTL Bucket],scheduleapr[[#This Row],[CTL Bucket]],stock[Plant],"0789")</f>
        <v/>
      </c>
      <c r="AO678" s="599" t="n"/>
      <c r="AP678" s="599">
        <f>SUMIFS(stock[MT],stock[Bucket],scheduleapr[[#This Row],[Bucket]],stock[LL or CTL],"LL")</f>
        <v/>
      </c>
      <c r="AQ678" s="599">
        <f>+SUMIFS(wip[Stock(Net Wt)],wip[Bucket],scheduleapr[[#This Row],[Bucket]])/1000</f>
        <v/>
      </c>
      <c r="AR678" s="599">
        <f>AJ678-AN678</f>
        <v/>
      </c>
      <c r="AS678" s="118" t="n"/>
    </row>
    <row r="679">
      <c r="A679" s="594" t="n">
        <v>529</v>
      </c>
      <c r="B679" s="5" t="inlineStr">
        <is>
          <t>Hosur</t>
        </is>
      </c>
      <c r="C679" s="596" t="inlineStr">
        <is>
          <t>SRI BALAJI GEARS V7</t>
        </is>
      </c>
      <c r="D679" s="601" t="inlineStr">
        <is>
          <t>Sri Balaji Gear</t>
        </is>
      </c>
      <c r="E679" s="601" t="n">
        <v>188595</v>
      </c>
      <c r="F679" s="523" t="n">
        <v>3572055</v>
      </c>
      <c r="G679" s="601">
        <f>_xlfn.CONCAT(scheduleapr[[#This Row],[CUSTOMER CODE]],"-",scheduleapr[[#This Row],[MATERIAL NO]])</f>
        <v/>
      </c>
      <c r="H679" s="601" t="inlineStr">
        <is>
          <t>TUB-S-AW-SHS-40.00X40.00X1.200X0.158</t>
        </is>
      </c>
      <c r="I679" s="601" t="inlineStr">
        <is>
          <t>CRFH</t>
        </is>
      </c>
      <c r="J679" s="601" t="n"/>
      <c r="K679" s="601" t="inlineStr">
        <is>
          <t>PE</t>
        </is>
      </c>
      <c r="L679" s="601" t="n"/>
      <c r="M679" s="601" t="n"/>
      <c r="N679" s="601" t="n"/>
      <c r="O679" s="601" t="n"/>
      <c r="P679" s="601" t="n"/>
      <c r="Q679" s="557">
        <f>CONCATENATE(scheduleapr[[#This Row],[OD]],"-",scheduleapr[[#This Row],[ID]],"-",scheduleapr[[#This Row],[TICKNESS]],"-",scheduleapr[[#This Row],[Grade]],"-",scheduleapr[[#This Row],[FC/NFC]])</f>
        <v/>
      </c>
      <c r="R679" s="557">
        <f>_xlfn.CONCAT(scheduleapr[[#This Row],[Bucket]],"-",scheduleapr[[#This Row],[LENGTH]]/1000)</f>
        <v/>
      </c>
      <c r="S679" s="557">
        <f>COUNTIF(scheduleapr[CTL Bucket],scheduleapr[[#This Row],[CTL Bucket]])</f>
        <v/>
      </c>
      <c r="T679" s="601" t="inlineStr">
        <is>
          <t>Hosur</t>
        </is>
      </c>
      <c r="U679" s="601">
        <f>_xlfn.IFNA(VLOOKUP(scheduleapr[[#This Row],[Bucket]],salesforecast[[#All],[Bucket2]:[8406 Stock]],19,0),0)</f>
        <v/>
      </c>
      <c r="V679" s="562">
        <f>_xlfn.IFNA(VLOOKUP(scheduleapr[[#This Row],[Bucket]],salesforecast[[#All],[Bucket2]:[8406 Stock]],20,0),0)+_xlfn.IFNA(VLOOKUP(scheduleapr[[#This Row],[Bucket]],salesforecast[[#All],[Bucket2]:[8406 Stock]],17,0),0)</f>
        <v/>
      </c>
      <c r="W679" s="557" t="n"/>
      <c r="X679" s="599" t="n">
        <v>50.8</v>
      </c>
      <c r="Y679" s="599" t="n">
        <v>40</v>
      </c>
      <c r="Z679" s="599" t="n">
        <v>40</v>
      </c>
      <c r="AA679" s="599" t="n">
        <v>1.2</v>
      </c>
      <c r="AB679" s="600" t="n">
        <v>158</v>
      </c>
      <c r="AC679" s="600" t="inlineStr">
        <is>
          <t>NOS</t>
        </is>
      </c>
      <c r="AD679" s="600" t="n"/>
      <c r="AE679" s="600" t="n"/>
      <c r="AF679" s="602" t="n">
        <v>24000</v>
      </c>
      <c r="AG679" s="602" t="n"/>
      <c r="AH679" s="601">
        <f t="array" ref="AH67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79" s="602">
        <f>scheduleapr[[#This Row],[SCHEDULE in nos]]-scheduleapr[[#This Row],[DISPATCH]]</f>
        <v/>
      </c>
      <c r="AJ679" s="599">
        <f>(3.14*(scheduleapr[[#This Row],[ACTUAL OD]]-scheduleapr[[#This Row],[TICKNESS]])*scheduleapr[[#This Row],[TICKNESS]]*scheduleapr[[#This Row],[LENGTH]]*7.85)/1000000*scheduleapr[[#This Row],[SCHEDULE in nos]]/1000</f>
        <v/>
      </c>
      <c r="AK679" s="599">
        <f>(3.14*(scheduleapr[[#This Row],[ACTUAL OD]]-scheduleapr[[#This Row],[TICKNESS]])*scheduleapr[[#This Row],[TICKNESS]]*scheduleapr[[#This Row],[LENGTH]]*7.85)/1000000*scheduleapr[[#This Row],[DISPATCH]]/1000</f>
        <v/>
      </c>
      <c r="AL679" s="599">
        <f>AJ679-AK679</f>
        <v/>
      </c>
      <c r="AM679" s="599">
        <f>scheduleapr[[#This Row],[SCHEDULE in nos]]/scheduleapr[[#This Row],[SCHEDULE IN MT]]*scheduleapr[[#This Row],[CTL Stock]]</f>
        <v/>
      </c>
      <c r="AN679" s="599">
        <f>SUMIFS(stock[MT],stock[Bucket],scheduleapr[[#This Row],[Bucket]],stock[CTL Bucket],scheduleapr[[#This Row],[CTL Bucket]],stock[Plant],"0789")</f>
        <v/>
      </c>
      <c r="AO679" s="599" t="n"/>
      <c r="AP679" s="599">
        <f>SUMIFS(stock[MT],stock[Bucket],scheduleapr[[#This Row],[Bucket]],stock[LL or CTL],"LL")</f>
        <v/>
      </c>
      <c r="AQ679" s="599">
        <f>+SUMIFS(wip[Stock(Net Wt)],wip[Bucket],scheduleapr[[#This Row],[Bucket]])/1000</f>
        <v/>
      </c>
      <c r="AR679" s="599">
        <f>AJ679-AN679</f>
        <v/>
      </c>
      <c r="AS679" s="118" t="n"/>
    </row>
    <row r="680">
      <c r="A680" s="594" t="n">
        <v>565</v>
      </c>
      <c r="B680" s="126" t="inlineStr">
        <is>
          <t>Hosur</t>
        </is>
      </c>
      <c r="C680" s="100" t="inlineStr">
        <is>
          <t>SRI BALAJI GEARS V4</t>
        </is>
      </c>
      <c r="D680" s="601" t="inlineStr">
        <is>
          <t>Sri Balaji Gear</t>
        </is>
      </c>
      <c r="E680" s="48" t="n">
        <v>188595</v>
      </c>
      <c r="F680" s="549" t="n">
        <v>3572055</v>
      </c>
      <c r="G680" s="601">
        <f>_xlfn.CONCAT(scheduleapr[[#This Row],[CUSTOMER CODE]],"-",scheduleapr[[#This Row],[MATERIAL NO]])</f>
        <v/>
      </c>
      <c r="H680" s="100" t="inlineStr">
        <is>
          <t>TUB-S-AW-AUT-40.00X40.00X1.200X0.1580</t>
        </is>
      </c>
      <c r="I680" s="100" t="inlineStr">
        <is>
          <t>CRFH</t>
        </is>
      </c>
      <c r="J680" s="100" t="n"/>
      <c r="K680" s="100" t="inlineStr">
        <is>
          <t>PE</t>
        </is>
      </c>
      <c r="L680" s="100" t="n"/>
      <c r="M680" s="100" t="n"/>
      <c r="N680" s="100" t="n"/>
      <c r="O680" s="100" t="n"/>
      <c r="P680" s="100" t="n"/>
      <c r="Q680" s="557">
        <f>CONCATENATE(scheduleapr[[#This Row],[OD]],"-",scheduleapr[[#This Row],[ID]],"-",scheduleapr[[#This Row],[TICKNESS]],"-",scheduleapr[[#This Row],[Grade]],"-",scheduleapr[[#This Row],[FC/NFC]])</f>
        <v/>
      </c>
      <c r="R680" s="557">
        <f>_xlfn.CONCAT(scheduleapr[[#This Row],[Bucket]],"-",scheduleapr[[#This Row],[LENGTH]]/1000)</f>
        <v/>
      </c>
      <c r="S680" s="557">
        <f>COUNTIF(scheduleapr[CTL Bucket],scheduleapr[[#This Row],[CTL Bucket]])</f>
        <v/>
      </c>
      <c r="T680" s="100" t="inlineStr">
        <is>
          <t>Hosur</t>
        </is>
      </c>
      <c r="U680" s="601">
        <f>_xlfn.IFNA(VLOOKUP(scheduleapr[[#This Row],[Bucket]],salesforecast[[#All],[Bucket2]:[8406 Stock]],19,0),0)</f>
        <v/>
      </c>
      <c r="V680" s="562">
        <f>_xlfn.IFNA(VLOOKUP(scheduleapr[[#This Row],[Bucket]],salesforecast[[#All],[Bucket2]:[8406 Stock]],20,0),0)+_xlfn.IFNA(VLOOKUP(scheduleapr[[#This Row],[Bucket]],salesforecast[[#All],[Bucket2]:[8406 Stock]],17,0),0)</f>
        <v/>
      </c>
      <c r="W680" s="565" t="n"/>
      <c r="X680" s="129" t="n">
        <v>50.8</v>
      </c>
      <c r="Y680" s="129" t="n">
        <v>40</v>
      </c>
      <c r="Z680" s="129" t="n">
        <v>40</v>
      </c>
      <c r="AA680" s="599" t="n">
        <v>1.2</v>
      </c>
      <c r="AB680" s="600" t="n">
        <v>158</v>
      </c>
      <c r="AC680" s="600" t="inlineStr">
        <is>
          <t>NOS</t>
        </is>
      </c>
      <c r="AD680" s="600" t="n"/>
      <c r="AE680" s="600" t="n"/>
      <c r="AF680" s="601" t="n">
        <v>2000</v>
      </c>
      <c r="AG680" s="601" t="n"/>
      <c r="AH680" s="601">
        <f t="array" ref="AH68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0" s="602">
        <f>scheduleapr[[#This Row],[SCHEDULE in nos]]-scheduleapr[[#This Row],[DISPATCH]]</f>
        <v/>
      </c>
      <c r="AJ680" s="599">
        <f>(3.14*(scheduleapr[[#This Row],[ACTUAL OD]]-scheduleapr[[#This Row],[TICKNESS]])*scheduleapr[[#This Row],[TICKNESS]]*scheduleapr[[#This Row],[LENGTH]]*7.85)/1000000*scheduleapr[[#This Row],[SCHEDULE in nos]]/1000</f>
        <v/>
      </c>
      <c r="AK680" s="599">
        <f>(3.14*(scheduleapr[[#This Row],[ACTUAL OD]]-scheduleapr[[#This Row],[TICKNESS]])*scheduleapr[[#This Row],[TICKNESS]]*scheduleapr[[#This Row],[LENGTH]]*7.85)/1000000*scheduleapr[[#This Row],[DISPATCH]]/1000</f>
        <v/>
      </c>
      <c r="AL680" s="599">
        <f>AJ680-AK680</f>
        <v/>
      </c>
      <c r="AM680" s="599">
        <f>scheduleapr[[#This Row],[SCHEDULE in nos]]/scheduleapr[[#This Row],[SCHEDULE IN MT]]*scheduleapr[[#This Row],[CTL Stock]]</f>
        <v/>
      </c>
      <c r="AN680" s="599">
        <f>SUMIFS(stock[MT],stock[Bucket],scheduleapr[[#This Row],[Bucket]],stock[CTL Bucket],scheduleapr[[#This Row],[CTL Bucket]],stock[Plant],"0789")</f>
        <v/>
      </c>
      <c r="AO680" s="599" t="n"/>
      <c r="AP680" s="599">
        <f>SUMIFS(stock[MT],stock[Bucket],scheduleapr[[#This Row],[Bucket]],stock[LL or CTL],"LL")</f>
        <v/>
      </c>
      <c r="AQ680" s="599">
        <f>+SUMIFS(wip[Stock(Net Wt)],wip[Bucket],scheduleapr[[#This Row],[Bucket]])/1000</f>
        <v/>
      </c>
      <c r="AR680" s="599">
        <f>AJ680-AN680</f>
        <v/>
      </c>
      <c r="AS680" s="118" t="n"/>
    </row>
    <row r="681">
      <c r="A681" s="594" t="n">
        <v>563</v>
      </c>
      <c r="B681" s="5" t="inlineStr">
        <is>
          <t>Hosur</t>
        </is>
      </c>
      <c r="C681" s="601" t="inlineStr">
        <is>
          <t>SRI BALAJI GEARS V4</t>
        </is>
      </c>
      <c r="D681" s="601" t="inlineStr">
        <is>
          <t>Sri Balaji Gear</t>
        </is>
      </c>
      <c r="E681" s="601" t="n">
        <v>188595</v>
      </c>
      <c r="F681" s="523" t="n">
        <v>4104140</v>
      </c>
      <c r="G681" s="601">
        <f>_xlfn.CONCAT(scheduleapr[[#This Row],[CUSTOMER CODE]],"-",scheduleapr[[#This Row],[MATERIAL NO]])</f>
        <v/>
      </c>
      <c r="H681" s="9" t="inlineStr">
        <is>
          <t>CUT-O-N-AUT-AW-PE-15.88X1.220X0.150</t>
        </is>
      </c>
      <c r="I681" s="596" t="inlineStr">
        <is>
          <t>ERW 1</t>
        </is>
      </c>
      <c r="J681" s="601" t="n"/>
      <c r="K681" s="601" t="inlineStr">
        <is>
          <t>PE</t>
        </is>
      </c>
      <c r="L681" s="601" t="inlineStr">
        <is>
          <t>CR</t>
        </is>
      </c>
      <c r="M681" s="601" t="n"/>
      <c r="N681" s="601" t="n"/>
      <c r="O681" s="601" t="n"/>
      <c r="P681" s="601" t="n"/>
      <c r="Q681" s="557">
        <f>CONCATENATE(scheduleapr[[#This Row],[OD]],"-",scheduleapr[[#This Row],[ID]],"-",scheduleapr[[#This Row],[TICKNESS]],"-",scheduleapr[[#This Row],[Grade]],"-",scheduleapr[[#This Row],[FC/NFC]])</f>
        <v/>
      </c>
      <c r="R681" s="557">
        <f>_xlfn.CONCAT(scheduleapr[[#This Row],[Bucket]],"-",scheduleapr[[#This Row],[LENGTH]]/1000)</f>
        <v/>
      </c>
      <c r="S681" s="557">
        <f>COUNTIF(scheduleapr[CTL Bucket],scheduleapr[[#This Row],[CTL Bucket]])</f>
        <v/>
      </c>
      <c r="T681" s="601" t="inlineStr">
        <is>
          <t>Hosur</t>
        </is>
      </c>
      <c r="U681" s="601">
        <f>_xlfn.IFNA(VLOOKUP(scheduleapr[[#This Row],[Bucket]],salesforecast[[#All],[Bucket2]:[8406 Stock]],19,0),0)</f>
        <v/>
      </c>
      <c r="V681" s="562">
        <f>_xlfn.IFNA(VLOOKUP(scheduleapr[[#This Row],[Bucket]],salesforecast[[#All],[Bucket2]:[8406 Stock]],20,0),0)+_xlfn.IFNA(VLOOKUP(scheduleapr[[#This Row],[Bucket]],salesforecast[[#All],[Bucket2]:[8406 Stock]],17,0),0)</f>
        <v/>
      </c>
      <c r="W681" s="557" t="n"/>
      <c r="X681" s="599" t="n">
        <v>15.88</v>
      </c>
      <c r="Y681" s="599" t="n">
        <v>15.88</v>
      </c>
      <c r="Z681" s="599" t="n">
        <v>0</v>
      </c>
      <c r="AA681" s="599" t="n">
        <v>1.2</v>
      </c>
      <c r="AB681" s="600" t="n">
        <v>150</v>
      </c>
      <c r="AC681" s="600" t="inlineStr">
        <is>
          <t>NOS</t>
        </is>
      </c>
      <c r="AD681" s="600" t="n"/>
      <c r="AE681" s="600" t="n"/>
      <c r="AF681" s="601" t="n">
        <v>1000</v>
      </c>
      <c r="AG681" s="601" t="n"/>
      <c r="AH681" s="601">
        <f t="array" ref="AH68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1" s="602">
        <f>scheduleapr[[#This Row],[SCHEDULE in nos]]-scheduleapr[[#This Row],[DISPATCH]]</f>
        <v/>
      </c>
      <c r="AJ681" s="599">
        <f>(3.14*(scheduleapr[[#This Row],[ACTUAL OD]]-scheduleapr[[#This Row],[TICKNESS]])*scheduleapr[[#This Row],[TICKNESS]]*scheduleapr[[#This Row],[LENGTH]]*7.85)/1000000*scheduleapr[[#This Row],[SCHEDULE in nos]]/1000</f>
        <v/>
      </c>
      <c r="AK681" s="599">
        <f>(3.14*(scheduleapr[[#This Row],[ACTUAL OD]]-scheduleapr[[#This Row],[TICKNESS]])*scheduleapr[[#This Row],[TICKNESS]]*scheduleapr[[#This Row],[LENGTH]]*7.85)/1000000*scheduleapr[[#This Row],[DISPATCH]]/1000</f>
        <v/>
      </c>
      <c r="AL681" s="599">
        <f>AJ681-AK681</f>
        <v/>
      </c>
      <c r="AM681" s="599">
        <f>scheduleapr[[#This Row],[SCHEDULE in nos]]/scheduleapr[[#This Row],[SCHEDULE IN MT]]*scheduleapr[[#This Row],[CTL Stock]]</f>
        <v/>
      </c>
      <c r="AN681" s="599">
        <f>SUMIFS(stock[MT],stock[Bucket],scheduleapr[[#This Row],[Bucket]],stock[CTL Bucket],scheduleapr[[#This Row],[CTL Bucket]],stock[Plant],"0789")</f>
        <v/>
      </c>
      <c r="AO681" s="599" t="n"/>
      <c r="AP681" s="599">
        <f>SUMIFS(stock[MT],stock[Bucket],scheduleapr[[#This Row],[Bucket]],stock[LL or CTL],"LL")</f>
        <v/>
      </c>
      <c r="AQ681" s="599">
        <f>+SUMIFS(wip[Stock(Net Wt)],wip[Bucket],scheduleapr[[#This Row],[Bucket]])/1000</f>
        <v/>
      </c>
      <c r="AR681" s="599">
        <f>AJ681-AN681</f>
        <v/>
      </c>
      <c r="AS681" s="118" t="n"/>
    </row>
    <row r="682">
      <c r="A682" s="594" t="n">
        <v>660</v>
      </c>
      <c r="B682" s="5" t="inlineStr">
        <is>
          <t>Hosur</t>
        </is>
      </c>
      <c r="C682" s="601" t="inlineStr">
        <is>
          <t>Balaji Gears V3</t>
        </is>
      </c>
      <c r="D682" s="601" t="inlineStr">
        <is>
          <t>Sri Balaji Gear</t>
        </is>
      </c>
      <c r="E682" s="601" t="n">
        <v>188595</v>
      </c>
      <c r="F682" s="523" t="n">
        <v>4104140</v>
      </c>
      <c r="G682" s="601">
        <f>_xlfn.CONCAT(scheduleapr[[#This Row],[CUSTOMER CODE]],"-",scheduleapr[[#This Row],[MATERIAL NO]])</f>
        <v/>
      </c>
      <c r="H682" s="523" t="inlineStr">
        <is>
          <t>TUB-O-N-AUT-AW-PE-15.88X1.220X0.1500</t>
        </is>
      </c>
      <c r="I682" s="601" t="inlineStr">
        <is>
          <t>ERW 1</t>
        </is>
      </c>
      <c r="J682" s="601" t="n"/>
      <c r="K682" s="601" t="inlineStr">
        <is>
          <t>PE</t>
        </is>
      </c>
      <c r="L682" s="601" t="n"/>
      <c r="M682" s="596" t="n"/>
      <c r="N682" s="601" t="n"/>
      <c r="O682" s="601" t="n"/>
      <c r="P682" s="601" t="n"/>
      <c r="Q682" s="557">
        <f>CONCATENATE(scheduleapr[[#This Row],[OD]],"-",scheduleapr[[#This Row],[ID]],"-",scheduleapr[[#This Row],[TICKNESS]],"-",scheduleapr[[#This Row],[Grade]],"-",scheduleapr[[#This Row],[FC/NFC]])</f>
        <v/>
      </c>
      <c r="R682" s="557">
        <f>_xlfn.CONCAT(scheduleapr[[#This Row],[Bucket]],"-",scheduleapr[[#This Row],[LENGTH]]/1000)</f>
        <v/>
      </c>
      <c r="S682" s="601" t="n"/>
      <c r="T682" s="601" t="n"/>
      <c r="U682" s="601">
        <f>_xlfn.IFNA(VLOOKUP(scheduleapr[[#This Row],[Bucket]],salesforecast[[#All],[Bucket2]:[8406 Stock]],19,0),0)</f>
        <v/>
      </c>
      <c r="V682" s="562">
        <f>_xlfn.IFNA(VLOOKUP(scheduleapr[[#This Row],[Bucket]],salesforecast[[#All],[Bucket2]:[8406 Stock]],20,0),0)+_xlfn.IFNA(VLOOKUP(scheduleapr[[#This Row],[Bucket]],salesforecast[[#All],[Bucket2]:[8406 Stock]],17,0),0)</f>
        <v/>
      </c>
      <c r="W682" s="601" t="n"/>
      <c r="X682" s="599" t="n">
        <v>15.88</v>
      </c>
      <c r="Y682" s="599" t="n">
        <v>15.88</v>
      </c>
      <c r="Z682" s="599" t="n">
        <v>0</v>
      </c>
      <c r="AA682" s="599" t="n">
        <v>1.2</v>
      </c>
      <c r="AB682" s="600" t="n">
        <v>150</v>
      </c>
      <c r="AC682" s="600" t="inlineStr">
        <is>
          <t>NOS</t>
        </is>
      </c>
      <c r="AD682" s="600" t="n"/>
      <c r="AE682" s="600" t="n"/>
      <c r="AF682" s="600" t="n">
        <v>1000</v>
      </c>
      <c r="AG682" s="600" t="n"/>
      <c r="AH682" s="601">
        <f t="array" ref="AH68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2" s="602">
        <f>scheduleapr[[#This Row],[SCHEDULE in nos]]-scheduleapr[[#This Row],[DISPATCH]]</f>
        <v/>
      </c>
      <c r="AJ682" s="599">
        <f>(3.14*(scheduleapr[[#This Row],[ACTUAL OD]]-scheduleapr[[#This Row],[TICKNESS]])*scheduleapr[[#This Row],[TICKNESS]]*scheduleapr[[#This Row],[LENGTH]]*7.85)/1000000*scheduleapr[[#This Row],[SCHEDULE in nos]]/1000</f>
        <v/>
      </c>
      <c r="AK682" s="599">
        <f>(3.14*(scheduleapr[[#This Row],[ACTUAL OD]]-scheduleapr[[#This Row],[TICKNESS]])*scheduleapr[[#This Row],[TICKNESS]]*scheduleapr[[#This Row],[LENGTH]]*7.85)/1000000*scheduleapr[[#This Row],[DISPATCH]]/1000</f>
        <v/>
      </c>
      <c r="AL682" s="599">
        <f>AJ682-AK682</f>
        <v/>
      </c>
      <c r="AM682" s="599">
        <f>scheduleapr[[#This Row],[SCHEDULE in nos]]/scheduleapr[[#This Row],[SCHEDULE IN MT]]*scheduleapr[[#This Row],[CTL Stock]]</f>
        <v/>
      </c>
      <c r="AN682" s="599">
        <f>SUMIFS(stock[MT],stock[Bucket],scheduleapr[[#This Row],[Bucket]],stock[CTL Bucket],scheduleapr[[#This Row],[CTL Bucket]],stock[Plant],"0789")</f>
        <v/>
      </c>
      <c r="AO682" s="599" t="n"/>
      <c r="AP682" s="599">
        <f>SUMIFS(stock[MT],stock[Bucket],scheduleapr[[#This Row],[Bucket]],stock[LL or CTL],"LL")</f>
        <v/>
      </c>
      <c r="AQ682" s="599">
        <f>+SUMIFS(wip[Stock(Net Wt)],wip[Bucket],scheduleapr[[#This Row],[Bucket]])/1000</f>
        <v/>
      </c>
      <c r="AR682" s="599">
        <f>AJ682-AN682</f>
        <v/>
      </c>
      <c r="AS682" s="118" t="n"/>
    </row>
    <row r="683" ht="15.75" customHeight="1" s="584">
      <c r="A683" s="594" t="n">
        <v>501</v>
      </c>
      <c r="B683" s="78" t="inlineStr">
        <is>
          <t>Hosur</t>
        </is>
      </c>
      <c r="C683" s="596" t="inlineStr">
        <is>
          <t>SRI BALAJI GEARS V7</t>
        </is>
      </c>
      <c r="D683" s="601" t="inlineStr">
        <is>
          <t>Sri Balaji Gear</t>
        </is>
      </c>
      <c r="E683" s="596" t="n">
        <v>188595</v>
      </c>
      <c r="F683" s="88" t="n">
        <v>4104140</v>
      </c>
      <c r="G683" s="601">
        <f>_xlfn.CONCAT(scheduleapr[[#This Row],[CUSTOMER CODE]],"-",scheduleapr[[#This Row],[MATERIAL NO]])</f>
        <v/>
      </c>
      <c r="H683" s="601" t="inlineStr">
        <is>
          <t>HT1-O-N-AUT-AW-PE-15.88X1.220X0.1500</t>
        </is>
      </c>
      <c r="I683" s="596" t="inlineStr">
        <is>
          <t>ERW 1</t>
        </is>
      </c>
      <c r="J683" s="596" t="n"/>
      <c r="K683" s="601" t="inlineStr">
        <is>
          <t>PE</t>
        </is>
      </c>
      <c r="L683" s="601" t="inlineStr">
        <is>
          <t>CR</t>
        </is>
      </c>
      <c r="M683" s="596" t="n"/>
      <c r="N683" s="596" t="n"/>
      <c r="O683" s="596" t="n"/>
      <c r="P683" s="596" t="n"/>
      <c r="Q683" s="557">
        <f>CONCATENATE(scheduleapr[[#This Row],[OD]],"-",scheduleapr[[#This Row],[ID]],"-",scheduleapr[[#This Row],[TICKNESS]],"-",scheduleapr[[#This Row],[Grade]],"-",scheduleapr[[#This Row],[FC/NFC]])</f>
        <v/>
      </c>
      <c r="R683" s="557">
        <f>_xlfn.CONCAT(scheduleapr[[#This Row],[Bucket]],"-",scheduleapr[[#This Row],[LENGTH]]/1000)</f>
        <v/>
      </c>
      <c r="S683" s="557">
        <f>COUNTIF(scheduleapr[CTL Bucket],scheduleapr[[#This Row],[CTL Bucket]])</f>
        <v/>
      </c>
      <c r="T683" s="601" t="inlineStr">
        <is>
          <t>Hosur</t>
        </is>
      </c>
      <c r="U683" s="601">
        <f>_xlfn.IFNA(VLOOKUP(scheduleapr[[#This Row],[Bucket]],salesforecast[[#All],[Bucket2]:[8406 Stock]],19,0),0)</f>
        <v/>
      </c>
      <c r="V683" s="562">
        <f>_xlfn.IFNA(VLOOKUP(scheduleapr[[#This Row],[Bucket]],salesforecast[[#All],[Bucket2]:[8406 Stock]],20,0),0)+_xlfn.IFNA(VLOOKUP(scheduleapr[[#This Row],[Bucket]],salesforecast[[#All],[Bucket2]:[8406 Stock]],17,0),0)</f>
        <v/>
      </c>
      <c r="W683" s="557" t="n"/>
      <c r="X683" s="79" t="n">
        <v>15.88</v>
      </c>
      <c r="Y683" s="79" t="n">
        <v>15.88</v>
      </c>
      <c r="Z683" s="79" t="n">
        <v>0</v>
      </c>
      <c r="AA683" s="599" t="n">
        <v>1.2</v>
      </c>
      <c r="AB683" s="600" t="n">
        <v>150</v>
      </c>
      <c r="AC683" s="600" t="inlineStr">
        <is>
          <t>NOS</t>
        </is>
      </c>
      <c r="AD683" s="600" t="n"/>
      <c r="AE683" s="600" t="n"/>
      <c r="AF683" s="602" t="n">
        <v>12000</v>
      </c>
      <c r="AG683" s="602" t="n"/>
      <c r="AH683" s="601">
        <f t="array" ref="AH68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3" s="602">
        <f>scheduleapr[[#This Row],[SCHEDULE in nos]]-scheduleapr[[#This Row],[DISPATCH]]</f>
        <v/>
      </c>
      <c r="AJ683" s="599">
        <f>(3.14*(scheduleapr[[#This Row],[ACTUAL OD]]-scheduleapr[[#This Row],[TICKNESS]])*scheduleapr[[#This Row],[TICKNESS]]*scheduleapr[[#This Row],[LENGTH]]*7.85)/1000000*scheduleapr[[#This Row],[SCHEDULE in nos]]/1000</f>
        <v/>
      </c>
      <c r="AK683" s="599">
        <f>(3.14*(scheduleapr[[#This Row],[ACTUAL OD]]-scheduleapr[[#This Row],[TICKNESS]])*scheduleapr[[#This Row],[TICKNESS]]*scheduleapr[[#This Row],[LENGTH]]*7.85)/1000000*scheduleapr[[#This Row],[DISPATCH]]/1000</f>
        <v/>
      </c>
      <c r="AL683" s="599">
        <f>AJ683-AK683</f>
        <v/>
      </c>
      <c r="AM683" s="599">
        <f>scheduleapr[[#This Row],[SCHEDULE in nos]]/scheduleapr[[#This Row],[SCHEDULE IN MT]]*scheduleapr[[#This Row],[CTL Stock]]</f>
        <v/>
      </c>
      <c r="AN683" s="599">
        <f>SUMIFS(stock[MT],stock[Bucket],scheduleapr[[#This Row],[Bucket]],stock[CTL Bucket],scheduleapr[[#This Row],[CTL Bucket]],stock[Plant],"0789")</f>
        <v/>
      </c>
      <c r="AO683" s="599" t="n"/>
      <c r="AP683" s="599">
        <f>SUMIFS(stock[MT],stock[Bucket],scheduleapr[[#This Row],[Bucket]],stock[LL or CTL],"LL")</f>
        <v/>
      </c>
      <c r="AQ683" s="599">
        <f>+SUMIFS(wip[Stock(Net Wt)],wip[Bucket],scheduleapr[[#This Row],[Bucket]])/1000</f>
        <v/>
      </c>
      <c r="AR683" s="599">
        <f>AJ683-AN683</f>
        <v/>
      </c>
      <c r="AS683" s="118" t="n"/>
    </row>
    <row r="684">
      <c r="A684" s="594" t="n">
        <v>657</v>
      </c>
      <c r="B684" s="126" t="inlineStr">
        <is>
          <t>Hosur</t>
        </is>
      </c>
      <c r="C684" s="601" t="inlineStr">
        <is>
          <t>Balaji Gears V3</t>
        </is>
      </c>
      <c r="D684" s="601" t="inlineStr">
        <is>
          <t>Sri Balaji Gear</t>
        </is>
      </c>
      <c r="E684" s="601" t="n">
        <v>188595</v>
      </c>
      <c r="F684" s="574" t="n">
        <v>3929691</v>
      </c>
      <c r="G684" s="601">
        <f>_xlfn.CONCAT(scheduleapr[[#This Row],[CUSTOMER CODE]],"-",scheduleapr[[#This Row],[MATERIAL NO]])</f>
        <v/>
      </c>
      <c r="H684" s="550" t="inlineStr">
        <is>
          <t>CUT-O-N-AUT-AW-PE-19.05X1.200X0.2000</t>
        </is>
      </c>
      <c r="I684" s="100" t="inlineStr">
        <is>
          <t>ERW 1</t>
        </is>
      </c>
      <c r="J684" s="100" t="n"/>
      <c r="K684" s="100" t="inlineStr">
        <is>
          <t>PE</t>
        </is>
      </c>
      <c r="L684" s="100" t="n"/>
      <c r="M684" s="128" t="n"/>
      <c r="N684" s="100" t="n"/>
      <c r="O684" s="100" t="n"/>
      <c r="P684" s="100" t="n"/>
      <c r="Q684" s="557">
        <f>CONCATENATE(scheduleapr[[#This Row],[OD]],"-",scheduleapr[[#This Row],[ID]],"-",scheduleapr[[#This Row],[TICKNESS]],"-",scheduleapr[[#This Row],[Grade]],"-",scheduleapr[[#This Row],[FC/NFC]])</f>
        <v/>
      </c>
      <c r="R684" s="557">
        <f>_xlfn.CONCAT(scheduleapr[[#This Row],[Bucket]],"-",scheduleapr[[#This Row],[LENGTH]]/1000)</f>
        <v/>
      </c>
      <c r="S684" s="100" t="n"/>
      <c r="T684" s="100" t="n"/>
      <c r="U684" s="100">
        <f>_xlfn.IFNA(VLOOKUP(scheduleapr[[#This Row],[Bucket]],salesforecast[[#All],[Bucket2]:[8406 Stock]],19,0),0)</f>
        <v/>
      </c>
      <c r="V684" s="577">
        <f>_xlfn.IFNA(VLOOKUP(scheduleapr[[#This Row],[Bucket]],salesforecast[[#All],[Bucket2]:[8406 Stock]],20,0),0)+_xlfn.IFNA(VLOOKUP(scheduleapr[[#This Row],[Bucket]],salesforecast[[#All],[Bucket2]:[8406 Stock]],17,0),0)</f>
        <v/>
      </c>
      <c r="W684" s="100" t="n"/>
      <c r="X684" s="129" t="n">
        <v>19.05</v>
      </c>
      <c r="Y684" s="129" t="n">
        <v>19.05</v>
      </c>
      <c r="Z684" s="129" t="n">
        <v>0</v>
      </c>
      <c r="AA684" s="599" t="n">
        <v>1.2</v>
      </c>
      <c r="AB684" s="600" t="n">
        <v>200</v>
      </c>
      <c r="AC684" s="600" t="inlineStr">
        <is>
          <t>NOS</t>
        </is>
      </c>
      <c r="AD684" s="600" t="n"/>
      <c r="AE684" s="600" t="n"/>
      <c r="AF684" s="601" t="n">
        <v>2000</v>
      </c>
      <c r="AG684" s="601" t="n"/>
      <c r="AH684" s="601">
        <f t="array" ref="AH68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4" s="602">
        <f>scheduleapr[[#This Row],[SCHEDULE in nos]]-scheduleapr[[#This Row],[DISPATCH]]</f>
        <v/>
      </c>
      <c r="AJ684" s="599">
        <f>(3.14*(scheduleapr[[#This Row],[ACTUAL OD]]-scheduleapr[[#This Row],[TICKNESS]])*scheduleapr[[#This Row],[TICKNESS]]*scheduleapr[[#This Row],[LENGTH]]*7.85)/1000000*scheduleapr[[#This Row],[SCHEDULE in nos]]/1000</f>
        <v/>
      </c>
      <c r="AK684" s="599">
        <f>(3.14*(scheduleapr[[#This Row],[ACTUAL OD]]-scheduleapr[[#This Row],[TICKNESS]])*scheduleapr[[#This Row],[TICKNESS]]*scheduleapr[[#This Row],[LENGTH]]*7.85)/1000000*scheduleapr[[#This Row],[DISPATCH]]/1000</f>
        <v/>
      </c>
      <c r="AL684" s="599">
        <f>AJ684-AK684</f>
        <v/>
      </c>
      <c r="AM684" s="599">
        <f>scheduleapr[[#This Row],[SCHEDULE in nos]]/scheduleapr[[#This Row],[SCHEDULE IN MT]]*scheduleapr[[#This Row],[CTL Stock]]</f>
        <v/>
      </c>
      <c r="AN684" s="599">
        <f>SUMIFS(stock[MT],stock[Bucket],scheduleapr[[#This Row],[Bucket]],stock[CTL Bucket],scheduleapr[[#This Row],[CTL Bucket]],stock[Plant],"0789")</f>
        <v/>
      </c>
      <c r="AO684" s="599" t="n"/>
      <c r="AP684" s="599">
        <f>SUMIFS(stock[MT],stock[Bucket],scheduleapr[[#This Row],[Bucket]],stock[LL or CTL],"LL")</f>
        <v/>
      </c>
      <c r="AQ684" s="599">
        <f>+SUMIFS(wip[Stock(Net Wt)],wip[Bucket],scheduleapr[[#This Row],[Bucket]])/1000</f>
        <v/>
      </c>
      <c r="AR684" s="599">
        <f>AJ684-AN684</f>
        <v/>
      </c>
      <c r="AS684" s="580" t="n"/>
    </row>
    <row r="685">
      <c r="A685" s="594" t="n">
        <v>656</v>
      </c>
      <c r="B685" s="126" t="inlineStr">
        <is>
          <t>Hosur</t>
        </is>
      </c>
      <c r="C685" s="601" t="inlineStr">
        <is>
          <t>Balaji Gears V3</t>
        </is>
      </c>
      <c r="D685" s="601" t="inlineStr">
        <is>
          <t>Sri Balaji Gear</t>
        </is>
      </c>
      <c r="E685" s="601" t="n">
        <v>188595</v>
      </c>
      <c r="F685" s="523" t="n">
        <v>3935313</v>
      </c>
      <c r="G685" s="601">
        <f>_xlfn.CONCAT(scheduleapr[[#This Row],[CUSTOMER CODE]],"-",scheduleapr[[#This Row],[MATERIAL NO]])</f>
        <v/>
      </c>
      <c r="H685" s="523" t="inlineStr">
        <is>
          <t>CUT-O-N-AUT-AW-PE-19.05X1.200X0.33</t>
        </is>
      </c>
      <c r="I685" s="100" t="inlineStr">
        <is>
          <t>ERW 1</t>
        </is>
      </c>
      <c r="J685" s="601" t="n"/>
      <c r="K685" s="601" t="inlineStr">
        <is>
          <t>PE</t>
        </is>
      </c>
      <c r="L685" s="601" t="n"/>
      <c r="M685" s="596" t="n"/>
      <c r="N685" s="601" t="n"/>
      <c r="O685" s="601" t="n"/>
      <c r="P685" s="601" t="n"/>
      <c r="Q685" s="557">
        <f>CONCATENATE(scheduleapr[[#This Row],[OD]],"-",scheduleapr[[#This Row],[ID]],"-",scheduleapr[[#This Row],[TICKNESS]],"-",scheduleapr[[#This Row],[Grade]],"-",scheduleapr[[#This Row],[FC/NFC]])</f>
        <v/>
      </c>
      <c r="R685" s="557">
        <f>_xlfn.CONCAT(scheduleapr[[#This Row],[Bucket]],"-",scheduleapr[[#This Row],[LENGTH]]/1000)</f>
        <v/>
      </c>
      <c r="S685" s="601" t="n"/>
      <c r="T685" s="601" t="n"/>
      <c r="U685" s="601">
        <f>_xlfn.IFNA(VLOOKUP(scheduleapr[[#This Row],[Bucket]],salesforecast[[#All],[Bucket2]:[8406 Stock]],19,0),0)</f>
        <v/>
      </c>
      <c r="V685" s="562">
        <f>_xlfn.IFNA(VLOOKUP(scheduleapr[[#This Row],[Bucket]],salesforecast[[#All],[Bucket2]:[8406 Stock]],20,0),0)+_xlfn.IFNA(VLOOKUP(scheduleapr[[#This Row],[Bucket]],salesforecast[[#All],[Bucket2]:[8406 Stock]],17,0),0)</f>
        <v/>
      </c>
      <c r="W685" s="601" t="n"/>
      <c r="X685" s="599" t="n">
        <v>19.05</v>
      </c>
      <c r="Y685" s="599" t="n">
        <v>19.05</v>
      </c>
      <c r="Z685" s="599" t="n">
        <v>0</v>
      </c>
      <c r="AA685" s="599" t="n">
        <v>1.2</v>
      </c>
      <c r="AB685" s="600" t="n">
        <v>330</v>
      </c>
      <c r="AC685" s="600" t="inlineStr">
        <is>
          <t>NOS</t>
        </is>
      </c>
      <c r="AD685" s="600" t="n"/>
      <c r="AE685" s="600" t="n"/>
      <c r="AF685" s="601" t="n">
        <v>500</v>
      </c>
      <c r="AG685" s="601" t="n"/>
      <c r="AH685" s="601">
        <f t="array" ref="AH68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5" s="602">
        <f>scheduleapr[[#This Row],[SCHEDULE in nos]]-scheduleapr[[#This Row],[DISPATCH]]</f>
        <v/>
      </c>
      <c r="AJ685" s="599">
        <f>(3.14*(scheduleapr[[#This Row],[ACTUAL OD]]-scheduleapr[[#This Row],[TICKNESS]])*scheduleapr[[#This Row],[TICKNESS]]*scheduleapr[[#This Row],[LENGTH]]*7.85)/1000000*scheduleapr[[#This Row],[SCHEDULE in nos]]/1000</f>
        <v/>
      </c>
      <c r="AK685" s="599">
        <f>(3.14*(scheduleapr[[#This Row],[ACTUAL OD]]-scheduleapr[[#This Row],[TICKNESS]])*scheduleapr[[#This Row],[TICKNESS]]*scheduleapr[[#This Row],[LENGTH]]*7.85)/1000000*scheduleapr[[#This Row],[DISPATCH]]/1000</f>
        <v/>
      </c>
      <c r="AL685" s="599">
        <f>AJ685-AK685</f>
        <v/>
      </c>
      <c r="AM685" s="599">
        <f>scheduleapr[[#This Row],[SCHEDULE in nos]]/scheduleapr[[#This Row],[SCHEDULE IN MT]]*scheduleapr[[#This Row],[CTL Stock]]</f>
        <v/>
      </c>
      <c r="AN685" s="599">
        <f>SUMIFS(stock[MT],stock[Bucket],scheduleapr[[#This Row],[Bucket]],stock[CTL Bucket],scheduleapr[[#This Row],[CTL Bucket]],stock[Plant],"0789")</f>
        <v/>
      </c>
      <c r="AO685" s="599" t="n"/>
      <c r="AP685" s="599">
        <f>SUMIFS(stock[MT],stock[Bucket],scheduleapr[[#This Row],[Bucket]],stock[LL or CTL],"LL")</f>
        <v/>
      </c>
      <c r="AQ685" s="599">
        <f>+SUMIFS(wip[Stock(Net Wt)],wip[Bucket],scheduleapr[[#This Row],[Bucket]])/1000</f>
        <v/>
      </c>
      <c r="AR685" s="599">
        <f>AJ685-AN685</f>
        <v/>
      </c>
      <c r="AS685" s="118" t="n"/>
    </row>
    <row r="686">
      <c r="A686" s="594" t="n">
        <v>655</v>
      </c>
      <c r="B686" s="126" t="inlineStr">
        <is>
          <t>Hosur</t>
        </is>
      </c>
      <c r="C686" s="601" t="inlineStr">
        <is>
          <t>Balaji Gears V3</t>
        </is>
      </c>
      <c r="D686" s="601" t="inlineStr">
        <is>
          <t>Sri Balaji Gear</t>
        </is>
      </c>
      <c r="E686" s="601" t="n">
        <v>188595</v>
      </c>
      <c r="F686" s="550" t="n">
        <v>3929540</v>
      </c>
      <c r="G686" s="601">
        <f>_xlfn.CONCAT(scheduleapr[[#This Row],[CUSTOMER CODE]],"-",scheduleapr[[#This Row],[MATERIAL NO]])</f>
        <v/>
      </c>
      <c r="H686" s="550" t="inlineStr">
        <is>
          <t>CUT-O-N-AUT-AW-PE-19.05X1.200X0.6820</t>
        </is>
      </c>
      <c r="I686" s="100" t="inlineStr">
        <is>
          <t>ERW 1</t>
        </is>
      </c>
      <c r="J686" s="100" t="n"/>
      <c r="K686" s="601" t="inlineStr">
        <is>
          <t>PE</t>
        </is>
      </c>
      <c r="L686" s="100" t="n"/>
      <c r="M686" s="128" t="n"/>
      <c r="N686" s="100" t="n"/>
      <c r="O686" s="100" t="n"/>
      <c r="P686" s="100" t="n"/>
      <c r="Q686" s="557">
        <f>CONCATENATE(scheduleapr[[#This Row],[OD]],"-",scheduleapr[[#This Row],[ID]],"-",scheduleapr[[#This Row],[TICKNESS]],"-",scheduleapr[[#This Row],[Grade]],"-",scheduleapr[[#This Row],[FC/NFC]])</f>
        <v/>
      </c>
      <c r="R686" s="557">
        <f>_xlfn.CONCAT(scheduleapr[[#This Row],[Bucket]],"-",scheduleapr[[#This Row],[LENGTH]]/1000)</f>
        <v/>
      </c>
      <c r="S686" s="100" t="n"/>
      <c r="T686" s="100" t="n"/>
      <c r="U686" s="601">
        <f>_xlfn.IFNA(VLOOKUP(scheduleapr[[#This Row],[Bucket]],salesforecast[[#All],[Bucket2]:[8406 Stock]],19,0),0)</f>
        <v/>
      </c>
      <c r="V686" s="562">
        <f>_xlfn.IFNA(VLOOKUP(scheduleapr[[#This Row],[Bucket]],salesforecast[[#All],[Bucket2]:[8406 Stock]],20,0),0)+_xlfn.IFNA(VLOOKUP(scheduleapr[[#This Row],[Bucket]],salesforecast[[#All],[Bucket2]:[8406 Stock]],17,0),0)</f>
        <v/>
      </c>
      <c r="W686" s="100" t="n"/>
      <c r="X686" s="129" t="n">
        <v>19.05</v>
      </c>
      <c r="Y686" s="129" t="n">
        <v>19.05</v>
      </c>
      <c r="Z686" s="129" t="n">
        <v>0</v>
      </c>
      <c r="AA686" s="599" t="n">
        <v>1.2</v>
      </c>
      <c r="AB686" s="600" t="n">
        <v>682</v>
      </c>
      <c r="AC686" s="600" t="inlineStr">
        <is>
          <t>NOS</t>
        </is>
      </c>
      <c r="AD686" s="600" t="n"/>
      <c r="AE686" s="600" t="n"/>
      <c r="AF686" s="601" t="n">
        <v>1000</v>
      </c>
      <c r="AG686" s="601" t="n"/>
      <c r="AH686" s="601">
        <f t="array" ref="AH68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6" s="602">
        <f>scheduleapr[[#This Row],[SCHEDULE in nos]]-scheduleapr[[#This Row],[DISPATCH]]</f>
        <v/>
      </c>
      <c r="AJ686" s="599">
        <f>(3.14*(scheduleapr[[#This Row],[ACTUAL OD]]-scheduleapr[[#This Row],[TICKNESS]])*scheduleapr[[#This Row],[TICKNESS]]*scheduleapr[[#This Row],[LENGTH]]*7.85)/1000000*scheduleapr[[#This Row],[SCHEDULE in nos]]/1000</f>
        <v/>
      </c>
      <c r="AK686" s="599">
        <f>(3.14*(scheduleapr[[#This Row],[ACTUAL OD]]-scheduleapr[[#This Row],[TICKNESS]])*scheduleapr[[#This Row],[TICKNESS]]*scheduleapr[[#This Row],[LENGTH]]*7.85)/1000000*scheduleapr[[#This Row],[DISPATCH]]/1000</f>
        <v/>
      </c>
      <c r="AL686" s="599">
        <f>AJ686-AK686</f>
        <v/>
      </c>
      <c r="AM686" s="599">
        <f>scheduleapr[[#This Row],[SCHEDULE in nos]]/scheduleapr[[#This Row],[SCHEDULE IN MT]]*scheduleapr[[#This Row],[CTL Stock]]</f>
        <v/>
      </c>
      <c r="AN686" s="599">
        <f>SUMIFS(stock[MT],stock[Bucket],scheduleapr[[#This Row],[Bucket]],stock[CTL Bucket],scheduleapr[[#This Row],[CTL Bucket]],stock[Plant],"0789")</f>
        <v/>
      </c>
      <c r="AO686" s="599" t="n"/>
      <c r="AP686" s="599">
        <f>SUMIFS(stock[MT],stock[Bucket],scheduleapr[[#This Row],[Bucket]],stock[LL or CTL],"LL")</f>
        <v/>
      </c>
      <c r="AQ686" s="599">
        <f>+SUMIFS(wip[Stock(Net Wt)],wip[Bucket],scheduleapr[[#This Row],[Bucket]])/1000</f>
        <v/>
      </c>
      <c r="AR686" s="599">
        <f>AJ686-AN686</f>
        <v/>
      </c>
      <c r="AS686" s="118" t="n"/>
    </row>
    <row r="687">
      <c r="A687" s="594" t="n">
        <v>654</v>
      </c>
      <c r="B687" s="126" t="inlineStr">
        <is>
          <t>Hosur</t>
        </is>
      </c>
      <c r="C687" s="100" t="inlineStr">
        <is>
          <t>Balaji Gears V3</t>
        </is>
      </c>
      <c r="D687" s="100" t="inlineStr">
        <is>
          <t>Sri Balaji Gear</t>
        </is>
      </c>
      <c r="E687" s="100" t="n">
        <v>188595</v>
      </c>
      <c r="F687" s="550" t="n">
        <v>3929692</v>
      </c>
      <c r="G687" s="601">
        <f>_xlfn.CONCAT(scheduleapr[[#This Row],[CUSTOMER CODE]],"-",scheduleapr[[#This Row],[MATERIAL NO]])</f>
        <v/>
      </c>
      <c r="H687" s="550" t="inlineStr">
        <is>
          <t>CUT-O-N-AUT-AW-PE-19.05X1.200X1.2300</t>
        </is>
      </c>
      <c r="I687" s="100" t="inlineStr">
        <is>
          <t>ERW 1</t>
        </is>
      </c>
      <c r="J687" s="100" t="n"/>
      <c r="K687" s="601" t="inlineStr">
        <is>
          <t>PE</t>
        </is>
      </c>
      <c r="L687" s="601" t="n"/>
      <c r="M687" s="128" t="n"/>
      <c r="N687" s="100" t="n"/>
      <c r="O687" s="100" t="n"/>
      <c r="P687" s="100" t="n"/>
      <c r="Q687" s="557">
        <f>CONCATENATE(scheduleapr[[#This Row],[OD]],"-",scheduleapr[[#This Row],[ID]],"-",scheduleapr[[#This Row],[TICKNESS]],"-",scheduleapr[[#This Row],[Grade]],"-",scheduleapr[[#This Row],[FC/NFC]])</f>
        <v/>
      </c>
      <c r="R687" s="557">
        <f>_xlfn.CONCAT(scheduleapr[[#This Row],[Bucket]],"-",scheduleapr[[#This Row],[LENGTH]]/1000)</f>
        <v/>
      </c>
      <c r="S687" s="100" t="n"/>
      <c r="T687" s="100" t="n"/>
      <c r="U687" s="100">
        <f>_xlfn.IFNA(VLOOKUP(scheduleapr[[#This Row],[Bucket]],salesforecast[[#All],[Bucket2]:[8406 Stock]],19,0),0)</f>
        <v/>
      </c>
      <c r="V687" s="577">
        <f>_xlfn.IFNA(VLOOKUP(scheduleapr[[#This Row],[Bucket]],salesforecast[[#All],[Bucket2]:[8406 Stock]],20,0),0)+_xlfn.IFNA(VLOOKUP(scheduleapr[[#This Row],[Bucket]],salesforecast[[#All],[Bucket2]:[8406 Stock]],17,0),0)</f>
        <v/>
      </c>
      <c r="W687" s="100" t="n"/>
      <c r="X687" s="599" t="n">
        <v>19.05</v>
      </c>
      <c r="Y687" s="599" t="n">
        <v>19.05</v>
      </c>
      <c r="Z687" s="599" t="n">
        <v>0</v>
      </c>
      <c r="AA687" s="599" t="n">
        <v>1.2</v>
      </c>
      <c r="AB687" s="600" t="n">
        <v>1230</v>
      </c>
      <c r="AC687" s="600" t="inlineStr">
        <is>
          <t>NOS</t>
        </is>
      </c>
      <c r="AD687" s="600" t="n"/>
      <c r="AE687" s="600" t="n"/>
      <c r="AF687" s="601" t="n">
        <v>500</v>
      </c>
      <c r="AG687" s="601" t="n"/>
      <c r="AH687" s="601">
        <f t="array" ref="AH68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7" s="602">
        <f>scheduleapr[[#This Row],[SCHEDULE in nos]]-scheduleapr[[#This Row],[DISPATCH]]</f>
        <v/>
      </c>
      <c r="AJ687" s="599">
        <f>(3.14*(scheduleapr[[#This Row],[ACTUAL OD]]-scheduleapr[[#This Row],[TICKNESS]])*scheduleapr[[#This Row],[TICKNESS]]*scheduleapr[[#This Row],[LENGTH]]*7.85)/1000000*scheduleapr[[#This Row],[SCHEDULE in nos]]/1000</f>
        <v/>
      </c>
      <c r="AK687" s="599">
        <f>(3.14*(scheduleapr[[#This Row],[ACTUAL OD]]-scheduleapr[[#This Row],[TICKNESS]])*scheduleapr[[#This Row],[TICKNESS]]*scheduleapr[[#This Row],[LENGTH]]*7.85)/1000000*scheduleapr[[#This Row],[DISPATCH]]/1000</f>
        <v/>
      </c>
      <c r="AL687" s="599">
        <f>AJ687-AK687</f>
        <v/>
      </c>
      <c r="AM687" s="599">
        <f>scheduleapr[[#This Row],[SCHEDULE in nos]]/scheduleapr[[#This Row],[SCHEDULE IN MT]]*scheduleapr[[#This Row],[CTL Stock]]</f>
        <v/>
      </c>
      <c r="AN687" s="599">
        <f>SUMIFS(stock[MT],stock[Bucket],scheduleapr[[#This Row],[Bucket]],stock[CTL Bucket],scheduleapr[[#This Row],[CTL Bucket]],stock[Plant],"0789")</f>
        <v/>
      </c>
      <c r="AO687" s="599" t="n"/>
      <c r="AP687" s="599">
        <f>SUMIFS(stock[MT],stock[Bucket],scheduleapr[[#This Row],[Bucket]],stock[LL or CTL],"LL")</f>
        <v/>
      </c>
      <c r="AQ687" s="599">
        <f>+SUMIFS(wip[Stock(Net Wt)],wip[Bucket],scheduleapr[[#This Row],[Bucket]])/1000</f>
        <v/>
      </c>
      <c r="AR687" s="599">
        <f>AJ687-AN687</f>
        <v/>
      </c>
      <c r="AS687" s="132" t="n"/>
    </row>
    <row r="688">
      <c r="A688" s="125" t="n">
        <v>574</v>
      </c>
      <c r="B688" s="126" t="inlineStr">
        <is>
          <t xml:space="preserve">Khopoli </t>
        </is>
      </c>
      <c r="C688" s="100" t="inlineStr">
        <is>
          <t>SRIKAM HITECH</t>
        </is>
      </c>
      <c r="D688" s="601" t="inlineStr">
        <is>
          <t>Srikam HI-Tech</t>
        </is>
      </c>
      <c r="E688" s="100" t="n">
        <v>944141</v>
      </c>
      <c r="F688" s="100" t="n">
        <v>2410963</v>
      </c>
      <c r="G688" s="100">
        <f>_xlfn.CONCAT(scheduleapr[[#This Row],[CUSTOMER CODE]],"-",scheduleapr[[#This Row],[MATERIAL NO]])</f>
        <v/>
      </c>
      <c r="H688" s="100" t="inlineStr">
        <is>
          <t>TUB-O-C-AUT-AD-FC-14.00X1.950X04-05</t>
        </is>
      </c>
      <c r="I688" s="100" t="inlineStr">
        <is>
          <t>CEW</t>
        </is>
      </c>
      <c r="J688" s="100" t="n"/>
      <c r="K688" s="100" t="inlineStr">
        <is>
          <t>CEW</t>
        </is>
      </c>
      <c r="L688" s="100" t="inlineStr">
        <is>
          <t>HR</t>
        </is>
      </c>
      <c r="M688" s="100" t="n"/>
      <c r="N688" s="100" t="n"/>
      <c r="O688" s="100" t="n"/>
      <c r="P688" s="100" t="n"/>
      <c r="Q688" s="557">
        <f>CONCATENATE(scheduleapr[[#This Row],[OD]],"-",scheduleapr[[#This Row],[ID]],"-",scheduleapr[[#This Row],[TICKNESS]],"-",scheduleapr[[#This Row],[Grade]],"-",scheduleapr[[#This Row],[FC/NFC]])</f>
        <v/>
      </c>
      <c r="R688" s="565">
        <f>_xlfn.CONCAT(scheduleapr[[#This Row],[Bucket]],"-",scheduleapr[[#This Row],[LENGTH]]/1000)</f>
        <v/>
      </c>
      <c r="S688" s="565">
        <f>COUNTIF(scheduleapr[CTL Bucket],scheduleapr[[#This Row],[CTL Bucket]])</f>
        <v/>
      </c>
      <c r="T688" s="100" t="inlineStr">
        <is>
          <t>Khopoli</t>
        </is>
      </c>
      <c r="U688" s="601" t="n"/>
      <c r="V688" s="557" t="n"/>
      <c r="W688" s="565" t="n"/>
      <c r="X688" s="129" t="n">
        <v>14</v>
      </c>
      <c r="Y688" s="129" t="n">
        <v>14</v>
      </c>
      <c r="Z688" s="129" t="n">
        <v>10.1</v>
      </c>
      <c r="AA688" s="599" t="n">
        <v>1.95</v>
      </c>
      <c r="AB688" s="600" t="n">
        <v>1000</v>
      </c>
      <c r="AC688" s="600" t="inlineStr">
        <is>
          <t>M</t>
        </is>
      </c>
      <c r="AD688" s="600" t="n"/>
      <c r="AE688" s="600" t="n"/>
      <c r="AF688" s="100" t="n"/>
      <c r="AG688" s="100" t="n"/>
      <c r="AH688" s="601">
        <f t="array" ref="AH68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8" s="602">
        <f>scheduleapr[[#This Row],[SCHEDULE in nos]]-scheduleapr[[#This Row],[DISPATCH]]</f>
        <v/>
      </c>
      <c r="AJ688" s="129">
        <f>(3.14*(scheduleapr[[#This Row],[ACTUAL OD]]-scheduleapr[[#This Row],[TICKNESS]])*scheduleapr[[#This Row],[TICKNESS]]*scheduleapr[[#This Row],[LENGTH]]*7.85)/1000000*scheduleapr[[#This Row],[SCHEDULE in nos]]/1000</f>
        <v/>
      </c>
      <c r="AK688" s="129">
        <f>(3.14*(scheduleapr[[#This Row],[ACTUAL OD]]-scheduleapr[[#This Row],[TICKNESS]])*scheduleapr[[#This Row],[TICKNESS]]*scheduleapr[[#This Row],[LENGTH]]*7.85)/1000000*scheduleapr[[#This Row],[DISPATCH]]/1000</f>
        <v/>
      </c>
      <c r="AL688" s="129">
        <f>AJ688-AK688</f>
        <v/>
      </c>
      <c r="AM688" s="129">
        <f>scheduleapr[[#This Row],[SCHEDULE in nos]]/scheduleapr[[#This Row],[SCHEDULE IN MT]]*scheduleapr[[#This Row],[CTL Stock]]</f>
        <v/>
      </c>
      <c r="AN688" s="129">
        <f>SUMIFS(stock[MT],stock[Bucket],scheduleapr[[#This Row],[Bucket]],stock[CTL Bucket],scheduleapr[[#This Row],[CTL Bucket]],stock[Plant],"0789")</f>
        <v/>
      </c>
      <c r="AO688" s="129" t="n"/>
      <c r="AP688" s="129">
        <f>SUMIFS(stock[MT],stock[Bucket],scheduleapr[[#This Row],[Bucket]],stock[LL or CTL],"LL")</f>
        <v/>
      </c>
      <c r="AQ688" s="129">
        <f>+SUMIFS(wip[Stock(Net Wt)],wip[Bucket],scheduleapr[[#This Row],[Bucket]])/1000</f>
        <v/>
      </c>
      <c r="AR688" s="129">
        <f>AJ688-AN688</f>
        <v/>
      </c>
      <c r="AS688" s="132" t="n"/>
    </row>
    <row r="689">
      <c r="A689" s="594" t="n">
        <v>581</v>
      </c>
      <c r="B689" s="5" t="inlineStr">
        <is>
          <t xml:space="preserve">Khopoli </t>
        </is>
      </c>
      <c r="C689" s="601" t="inlineStr">
        <is>
          <t>SRIKAM HITECH</t>
        </is>
      </c>
      <c r="D689" s="601" t="inlineStr">
        <is>
          <t>Srikam HI-Tech</t>
        </is>
      </c>
      <c r="E689" s="601" t="n">
        <v>944141</v>
      </c>
      <c r="F689" s="601" t="n">
        <v>1938191</v>
      </c>
      <c r="G689" s="100">
        <f>_xlfn.CONCAT(scheduleapr[[#This Row],[CUSTOMER CODE]],"-",scheduleapr[[#This Row],[MATERIAL NO]])</f>
        <v/>
      </c>
      <c r="H689" s="601" t="inlineStr">
        <is>
          <t>TUB-I-C-AUT-AD-FC-12.50X3.250X0.5880</t>
        </is>
      </c>
      <c r="I689" s="601" t="inlineStr">
        <is>
          <t>CEW</t>
        </is>
      </c>
      <c r="J689" s="601" t="n"/>
      <c r="K689" s="100" t="inlineStr">
        <is>
          <t>CEW</t>
        </is>
      </c>
      <c r="L689" s="601" t="inlineStr">
        <is>
          <t>HR</t>
        </is>
      </c>
      <c r="M689" s="601" t="n"/>
      <c r="N689" s="601" t="n"/>
      <c r="O689" s="601" t="n"/>
      <c r="P689" s="601" t="n"/>
      <c r="Q689" s="557">
        <f>CONCATENATE(scheduleapr[[#This Row],[OD]],"-",scheduleapr[[#This Row],[ID]],"-",scheduleapr[[#This Row],[TICKNESS]],"-",scheduleapr[[#This Row],[Grade]],"-",scheduleapr[[#This Row],[FC/NFC]])</f>
        <v/>
      </c>
      <c r="R689" s="557">
        <f>_xlfn.CONCAT(scheduleapr[[#This Row],[Bucket]],"-",scheduleapr[[#This Row],[LENGTH]]/1000)</f>
        <v/>
      </c>
      <c r="S689" s="557">
        <f>COUNTIF(scheduleapr[CTL Bucket],scheduleapr[[#This Row],[CTL Bucket]])</f>
        <v/>
      </c>
      <c r="T689" s="601" t="inlineStr">
        <is>
          <t>Khopoli</t>
        </is>
      </c>
      <c r="U689" s="601">
        <f>_xlfn.IFNA(VLOOKUP(scheduleapr[[#This Row],[Bucket]],salesforecast[[#All],[Bucket2]:[8406 Stock]],19,0),0)</f>
        <v/>
      </c>
      <c r="V689" s="562">
        <f>_xlfn.IFNA(VLOOKUP(scheduleapr[[#This Row],[Bucket]],salesforecast[[#All],[Bucket2]:[8406 Stock]],20,0),0)+_xlfn.IFNA(VLOOKUP(scheduleapr[[#This Row],[Bucket]],salesforecast[[#All],[Bucket2]:[8406 Stock]],17,0),0)</f>
        <v/>
      </c>
      <c r="W689" s="557" t="n"/>
      <c r="X689" s="599" t="n">
        <v>19</v>
      </c>
      <c r="Y689" s="599" t="n">
        <v>19</v>
      </c>
      <c r="Z689" s="599" t="n">
        <v>12.5</v>
      </c>
      <c r="AA689" s="599" t="n">
        <v>3.25</v>
      </c>
      <c r="AB689" s="600" t="n">
        <v>588</v>
      </c>
      <c r="AC689" s="600" t="inlineStr">
        <is>
          <t>NOS</t>
        </is>
      </c>
      <c r="AD689" s="600" t="inlineStr">
        <is>
          <t>Indico</t>
        </is>
      </c>
      <c r="AE689" s="600" t="n">
        <v>4000</v>
      </c>
      <c r="AF689" s="601" t="n"/>
      <c r="AG689" s="601" t="n"/>
      <c r="AH689" s="601">
        <f t="array" ref="AH68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89" s="602">
        <f>scheduleapr[[#This Row],[SCHEDULE in nos]]-scheduleapr[[#This Row],[DISPATCH]]</f>
        <v/>
      </c>
      <c r="AJ689" s="599">
        <f>(3.14*(scheduleapr[[#This Row],[ACTUAL OD]]-scheduleapr[[#This Row],[TICKNESS]])*scheduleapr[[#This Row],[TICKNESS]]*scheduleapr[[#This Row],[LENGTH]]*7.85)/1000000*scheduleapr[[#This Row],[SCHEDULE in nos]]/1000</f>
        <v/>
      </c>
      <c r="AK689" s="599">
        <f>(3.14*(scheduleapr[[#This Row],[ACTUAL OD]]-scheduleapr[[#This Row],[TICKNESS]])*scheduleapr[[#This Row],[TICKNESS]]*scheduleapr[[#This Row],[LENGTH]]*7.85)/1000000*scheduleapr[[#This Row],[DISPATCH]]/1000</f>
        <v/>
      </c>
      <c r="AL689" s="599">
        <f>AJ689-AK689</f>
        <v/>
      </c>
      <c r="AM689" s="599">
        <f>scheduleapr[[#This Row],[SCHEDULE in nos]]/scheduleapr[[#This Row],[SCHEDULE IN MT]]*scheduleapr[[#This Row],[CTL Stock]]</f>
        <v/>
      </c>
      <c r="AN689" s="599">
        <f>SUMIFS(stock[MT],stock[Bucket],scheduleapr[[#This Row],[Bucket]],stock[CTL Bucket],scheduleapr[[#This Row],[CTL Bucket]],stock[Plant],"0789")</f>
        <v/>
      </c>
      <c r="AO689" s="599" t="n"/>
      <c r="AP689" s="599">
        <f>SUMIFS(stock[MT],stock[Bucket],scheduleapr[[#This Row],[Bucket]],stock[LL or CTL],"LL")</f>
        <v/>
      </c>
      <c r="AQ689" s="79">
        <f>+SUMIFS(wip[Stock(Net Wt)],wip[Bucket],scheduleapr[[#This Row],[Bucket]])/1000</f>
        <v/>
      </c>
      <c r="AR689" s="599">
        <f>AJ689-AN689</f>
        <v/>
      </c>
      <c r="AS689" s="118" t="n"/>
    </row>
    <row r="690">
      <c r="A690" s="125" t="n">
        <v>582</v>
      </c>
      <c r="B690" s="5" t="inlineStr">
        <is>
          <t xml:space="preserve">Khopoli </t>
        </is>
      </c>
      <c r="C690" s="601" t="inlineStr">
        <is>
          <t>SRIKAM HITECH</t>
        </is>
      </c>
      <c r="D690" s="601" t="inlineStr">
        <is>
          <t>Srikam HI-Tech</t>
        </is>
      </c>
      <c r="E690" s="601" t="n">
        <v>944141</v>
      </c>
      <c r="F690" s="539" t="n">
        <v>2419066</v>
      </c>
      <c r="G690" s="100">
        <f>_xlfn.CONCAT(scheduleapr[[#This Row],[CUSTOMER CODE]],"-",scheduleapr[[#This Row],[MATERIAL NO]])</f>
        <v/>
      </c>
      <c r="H690" s="539" t="inlineStr">
        <is>
          <t>TUB-O-C-AUT-AD-FC-19.00X3.250X4.8000</t>
        </is>
      </c>
      <c r="I690" s="601" t="inlineStr">
        <is>
          <t>CEW</t>
        </is>
      </c>
      <c r="J690" s="601" t="n"/>
      <c r="K690" s="601" t="n"/>
      <c r="L690" s="601" t="inlineStr">
        <is>
          <t>HR</t>
        </is>
      </c>
      <c r="M690" s="601" t="n"/>
      <c r="N690" s="601" t="n"/>
      <c r="O690" s="601" t="n"/>
      <c r="P690" s="601" t="n"/>
      <c r="Q690" s="557">
        <f>CONCATENATE(scheduleapr[[#This Row],[OD]],"-",scheduleapr[[#This Row],[ID]],"-",scheduleapr[[#This Row],[TICKNESS]],"-",scheduleapr[[#This Row],[Grade]],"-",scheduleapr[[#This Row],[FC/NFC]])</f>
        <v/>
      </c>
      <c r="R690" s="557">
        <f>_xlfn.CONCAT(scheduleapr[[#This Row],[Bucket]],"-",scheduleapr[[#This Row],[LENGTH]]/1000)</f>
        <v/>
      </c>
      <c r="S690" s="557">
        <f>COUNTIF([2]!buckets[CTL Bucket],[2]!scheduleapr[[#This Row],[CTL Bucket]])</f>
        <v/>
      </c>
      <c r="T690" s="557" t="n"/>
      <c r="U690" s="557" t="n"/>
      <c r="V690" s="557" t="n"/>
      <c r="W690" s="557" t="n"/>
      <c r="X690" s="599" t="n">
        <v>19</v>
      </c>
      <c r="Y690" s="599" t="n">
        <v>19</v>
      </c>
      <c r="Z690" s="599" t="n">
        <v>12.5</v>
      </c>
      <c r="AA690" s="599" t="n">
        <v>3.25</v>
      </c>
      <c r="AB690" s="600" t="n">
        <v>4800</v>
      </c>
      <c r="AC690" s="600" t="n"/>
      <c r="AD690" s="600" t="n"/>
      <c r="AE690" s="600" t="n"/>
      <c r="AF690" s="601" t="n"/>
      <c r="AG690" s="601" t="n"/>
      <c r="AH690" s="601">
        <f t="array" ref="AH69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0" s="602">
        <f>scheduleapr[[#This Row],[SCHEDULE in nos]]-scheduleapr[[#This Row],[DISPATCH]]</f>
        <v/>
      </c>
      <c r="AJ690" s="599">
        <f>(3.14*(scheduleapr[[#This Row],[ACTUAL OD]]-scheduleapr[[#This Row],[TICKNESS]])*scheduleapr[[#This Row],[TICKNESS]]*scheduleapr[[#This Row],[LENGTH]]*7.85)/1000000*scheduleapr[[#This Row],[SCHEDULE in nos]]/1000</f>
        <v/>
      </c>
      <c r="AK690" s="599">
        <f>(3.14*(scheduleapr[[#This Row],[ACTUAL OD]]-scheduleapr[[#This Row],[TICKNESS]])*scheduleapr[[#This Row],[TICKNESS]]*scheduleapr[[#This Row],[LENGTH]]*7.85)/1000000*scheduleapr[[#This Row],[DISPATCH]]/1000</f>
        <v/>
      </c>
      <c r="AL690" s="599">
        <f>AJ690-AK690</f>
        <v/>
      </c>
      <c r="AM690" s="599">
        <f>scheduleapr[[#This Row],[SCHEDULE in nos]]/scheduleapr[[#This Row],[SCHEDULE IN MT]]*scheduleapr[[#This Row],[CTL Stock]]</f>
        <v/>
      </c>
      <c r="AN690" s="599">
        <f>SUMIFS(stock[MT],stock[Bucket],scheduleapr[[#This Row],[Bucket]],stock[CTL Bucket],scheduleapr[[#This Row],[CTL Bucket]],stock[Plant],"0789")</f>
        <v/>
      </c>
      <c r="AO690" s="599" t="n"/>
      <c r="AP690" s="599">
        <f>SUMIFS(stock[MT],stock[Bucket],scheduleapr[[#This Row],[Bucket]],stock[LL or CTL],"LL")</f>
        <v/>
      </c>
      <c r="AQ690" s="599">
        <f>+SUMIFS(wip[Stock(Net Wt)],wip[Bucket],scheduleapr[[#This Row],[Bucket]])/1000</f>
        <v/>
      </c>
      <c r="AR690" s="599">
        <f>AJ690-AN690</f>
        <v/>
      </c>
      <c r="AS690" s="118" t="n"/>
    </row>
    <row r="691">
      <c r="A691" s="594" t="n">
        <v>603</v>
      </c>
      <c r="B691" s="5" t="inlineStr">
        <is>
          <t xml:space="preserve">Khopoli </t>
        </is>
      </c>
      <c r="C691" s="601" t="inlineStr">
        <is>
          <t>SRIKAM HITECH</t>
        </is>
      </c>
      <c r="D691" s="601" t="inlineStr">
        <is>
          <t>Srikam HI-Tech</t>
        </is>
      </c>
      <c r="E691" s="601" t="n">
        <v>944141</v>
      </c>
      <c r="F691" s="601" t="n">
        <v>2410999</v>
      </c>
      <c r="G691" s="601">
        <f>_xlfn.CONCAT(scheduleapr[[#This Row],[CUSTOMER CODE]],"-",scheduleapr[[#This Row],[MATERIAL NO]])</f>
        <v/>
      </c>
      <c r="H691" s="601" t="inlineStr">
        <is>
          <t>TUB-O-C-AUT-AD-FC-21.70X2.750X04-05</t>
        </is>
      </c>
      <c r="I691" s="601" t="inlineStr">
        <is>
          <t>CEW</t>
        </is>
      </c>
      <c r="J691" s="601" t="n"/>
      <c r="K691" s="601" t="inlineStr">
        <is>
          <t>CEW</t>
        </is>
      </c>
      <c r="L691" s="601" t="inlineStr">
        <is>
          <t>HR</t>
        </is>
      </c>
      <c r="M691" s="601" t="n"/>
      <c r="N691" s="601" t="n"/>
      <c r="O691" s="601" t="n"/>
      <c r="P691" s="601" t="n"/>
      <c r="Q691" s="557">
        <f>CONCATENATE(scheduleapr[[#This Row],[OD]],"-",scheduleapr[[#This Row],[ID]],"-",scheduleapr[[#This Row],[TICKNESS]],"-",scheduleapr[[#This Row],[Grade]],"-",scheduleapr[[#This Row],[FC/NFC]])</f>
        <v/>
      </c>
      <c r="R691" s="557">
        <f>_xlfn.CONCAT(scheduleapr[[#This Row],[Bucket]],"-",scheduleapr[[#This Row],[LENGTH]]/1000)</f>
        <v/>
      </c>
      <c r="S691" s="557">
        <f>COUNTIF(scheduleapr[CTL Bucket],scheduleapr[[#This Row],[CTL Bucket]])</f>
        <v/>
      </c>
      <c r="T691" s="601" t="inlineStr">
        <is>
          <t>Khopoli</t>
        </is>
      </c>
      <c r="U691" s="601" t="n"/>
      <c r="V691" s="557" t="n"/>
      <c r="W691" s="557" t="n"/>
      <c r="X691" s="599" t="n">
        <v>21.7</v>
      </c>
      <c r="Y691" s="6" t="n">
        <v>21.7</v>
      </c>
      <c r="Z691" s="6" t="n">
        <v>16.2</v>
      </c>
      <c r="AA691" s="599" t="n">
        <v>2.75</v>
      </c>
      <c r="AB691" s="600" t="n">
        <v>1000</v>
      </c>
      <c r="AC691" s="600" t="inlineStr">
        <is>
          <t>M</t>
        </is>
      </c>
      <c r="AD691" s="600" t="n"/>
      <c r="AE691" s="600" t="n"/>
      <c r="AF691" s="601" t="n"/>
      <c r="AG691" s="601" t="n"/>
      <c r="AH691" s="601">
        <f t="array" ref="AH69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1" s="602">
        <f>scheduleapr[[#This Row],[SCHEDULE in nos]]-scheduleapr[[#This Row],[DISPATCH]]</f>
        <v/>
      </c>
      <c r="AJ691" s="599">
        <f>(3.14*(scheduleapr[[#This Row],[ACTUAL OD]]-scheduleapr[[#This Row],[TICKNESS]])*scheduleapr[[#This Row],[TICKNESS]]*scheduleapr[[#This Row],[LENGTH]]*7.85)/1000000*scheduleapr[[#This Row],[SCHEDULE in nos]]/1000</f>
        <v/>
      </c>
      <c r="AK691" s="599">
        <f>(3.14*(scheduleapr[[#This Row],[ACTUAL OD]]-scheduleapr[[#This Row],[TICKNESS]])*scheduleapr[[#This Row],[TICKNESS]]*scheduleapr[[#This Row],[LENGTH]]*7.85)/1000000*scheduleapr[[#This Row],[DISPATCH]]/1000</f>
        <v/>
      </c>
      <c r="AL691" s="599">
        <f>AJ691-AK691</f>
        <v/>
      </c>
      <c r="AM691" s="599">
        <f>scheduleapr[[#This Row],[SCHEDULE in nos]]/scheduleapr[[#This Row],[SCHEDULE IN MT]]*scheduleapr[[#This Row],[CTL Stock]]</f>
        <v/>
      </c>
      <c r="AN691" s="599">
        <f>SUMIFS(stock[MT],stock[Bucket],scheduleapr[[#This Row],[Bucket]],stock[CTL Bucket],scheduleapr[[#This Row],[CTL Bucket]],stock[Plant],"0789")</f>
        <v/>
      </c>
      <c r="AO691" s="599" t="n"/>
      <c r="AP691" s="599">
        <f>SUMIFS(stock[MT],stock[Bucket],scheduleapr[[#This Row],[Bucket]],stock[LL or CTL],"LL")</f>
        <v/>
      </c>
      <c r="AQ691" s="599">
        <f>+SUMIFS(wip[Stock(Net Wt)],wip[Bucket],scheduleapr[[#This Row],[Bucket]])/1000</f>
        <v/>
      </c>
      <c r="AR691" s="599">
        <f>AJ691-AN691</f>
        <v/>
      </c>
      <c r="AS691" s="118" t="n"/>
    </row>
    <row r="692">
      <c r="A692" s="594" t="n">
        <v>566</v>
      </c>
      <c r="B692" s="5" t="inlineStr">
        <is>
          <t>Hosur</t>
        </is>
      </c>
      <c r="C692" s="601" t="inlineStr">
        <is>
          <t>SRIKAM HITECH</t>
        </is>
      </c>
      <c r="D692" s="601" t="inlineStr">
        <is>
          <t>Srikam HI-Tech</t>
        </is>
      </c>
      <c r="E692" s="601" t="n">
        <v>944141</v>
      </c>
      <c r="F692" s="539" t="n">
        <v>1939963</v>
      </c>
      <c r="G692" s="100">
        <f>_xlfn.CONCAT(scheduleapr[[#This Row],[CUSTOMER CODE]],"-",scheduleapr[[#This Row],[MATERIAL NO]])</f>
        <v/>
      </c>
      <c r="H692" s="539" t="inlineStr">
        <is>
          <t>TUB-O-O-AUT-AW-PE-12.70X1.200X0.2780</t>
        </is>
      </c>
      <c r="I692" s="601" t="inlineStr">
        <is>
          <t>ERW 1</t>
        </is>
      </c>
      <c r="J692" s="601" t="n"/>
      <c r="K692" s="601" t="inlineStr">
        <is>
          <t>PE</t>
        </is>
      </c>
      <c r="L692" s="601" t="inlineStr">
        <is>
          <t>CR</t>
        </is>
      </c>
      <c r="M692" s="601" t="n"/>
      <c r="N692" s="601" t="n"/>
      <c r="O692" s="601" t="n"/>
      <c r="P692" s="601" t="n"/>
      <c r="Q692" s="557">
        <f>CONCATENATE(scheduleapr[[#This Row],[OD]],"-",scheduleapr[[#This Row],[ID]],"-",scheduleapr[[#This Row],[TICKNESS]],"-",scheduleapr[[#This Row],[Grade]],"-",scheduleapr[[#This Row],[FC/NFC]])</f>
        <v/>
      </c>
      <c r="R692" s="557">
        <f>_xlfn.CONCAT(scheduleapr[[#This Row],[Bucket]],"-",scheduleapr[[#This Row],[LENGTH]]/1000)</f>
        <v/>
      </c>
      <c r="S692" s="557">
        <f>COUNTIF(scheduleapr[CTL Bucket],scheduleapr[[#This Row],[CTL Bucket]])</f>
        <v/>
      </c>
      <c r="T692" s="601" t="inlineStr">
        <is>
          <t>Hosur</t>
        </is>
      </c>
      <c r="U692" s="601">
        <f>_xlfn.IFNA(VLOOKUP(scheduleapr[[#This Row],[Bucket]],salesforecast[[#All],[Bucket2]:[8406 Stock]],19,0),0)</f>
        <v/>
      </c>
      <c r="V692" s="562">
        <f>_xlfn.IFNA(VLOOKUP(scheduleapr[[#This Row],[Bucket]],salesforecast[[#All],[Bucket2]:[8406 Stock]],20,0),0)+_xlfn.IFNA(VLOOKUP(scheduleapr[[#This Row],[Bucket]],salesforecast[[#All],[Bucket2]:[8406 Stock]],17,0),0)</f>
        <v/>
      </c>
      <c r="W692" s="557" t="n"/>
      <c r="X692" s="599" t="n">
        <v>12.7</v>
      </c>
      <c r="Y692" s="599" t="n">
        <v>12.7</v>
      </c>
      <c r="Z692" s="6" t="n">
        <v>0</v>
      </c>
      <c r="AA692" s="599" t="n">
        <v>1.2</v>
      </c>
      <c r="AB692" s="23" t="n">
        <v>278</v>
      </c>
      <c r="AC692" s="600" t="inlineStr">
        <is>
          <t>NOS</t>
        </is>
      </c>
      <c r="AD692" s="600" t="inlineStr">
        <is>
          <t>Hosur Plant</t>
        </is>
      </c>
      <c r="AE692" s="600" t="n">
        <v>2000</v>
      </c>
      <c r="AF692" s="596" t="n">
        <v>30000</v>
      </c>
      <c r="AG692" s="596" t="inlineStr">
        <is>
          <t>Aug 2026 schedule · srikam</t>
        </is>
      </c>
      <c r="AH692" s="601">
        <f t="array" ref="AH69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2" s="602">
        <f>scheduleapr[[#This Row],[SCHEDULE in nos]]-scheduleapr[[#This Row],[DISPATCH]]</f>
        <v/>
      </c>
      <c r="AJ692" s="599">
        <f>(3.14*(scheduleapr[[#This Row],[ACTUAL OD]]-scheduleapr[[#This Row],[TICKNESS]])*scheduleapr[[#This Row],[TICKNESS]]*scheduleapr[[#This Row],[LENGTH]]*7.85)/1000000*scheduleapr[[#This Row],[SCHEDULE in nos]]/1000</f>
        <v/>
      </c>
      <c r="AK692" s="599">
        <f>(3.14*(scheduleapr[[#This Row],[ACTUAL OD]]-scheduleapr[[#This Row],[TICKNESS]])*scheduleapr[[#This Row],[TICKNESS]]*scheduleapr[[#This Row],[LENGTH]]*7.85)/1000000*scheduleapr[[#This Row],[DISPATCH]]/1000</f>
        <v/>
      </c>
      <c r="AL692" s="599">
        <f>AJ692-AK692</f>
        <v/>
      </c>
      <c r="AM692" s="599">
        <f>scheduleapr[[#This Row],[SCHEDULE in nos]]/scheduleapr[[#This Row],[SCHEDULE IN MT]]*scheduleapr[[#This Row],[CTL Stock]]</f>
        <v/>
      </c>
      <c r="AN692" s="599">
        <f>SUMIFS(stock[MT],stock[Bucket],scheduleapr[[#This Row],[Bucket]],stock[CTL Bucket],scheduleapr[[#This Row],[CTL Bucket]],stock[Plant],"0789")</f>
        <v/>
      </c>
      <c r="AO692" s="599" t="n"/>
      <c r="AP692" s="599">
        <f>SUMIFS(stock[MT],stock[Bucket],scheduleapr[[#This Row],[Bucket]],stock[LL or CTL],"LL")</f>
        <v/>
      </c>
      <c r="AQ692" s="599">
        <f>+SUMIFS(wip[Stock(Net Wt)],wip[Bucket],scheduleapr[[#This Row],[Bucket]])/1000</f>
        <v/>
      </c>
      <c r="AR692" s="599">
        <f>AJ692-AN692</f>
        <v/>
      </c>
      <c r="AS692" s="118" t="n"/>
    </row>
    <row r="693">
      <c r="A693" s="125" t="n">
        <v>567</v>
      </c>
      <c r="B693" s="5" t="inlineStr">
        <is>
          <t>Hosur</t>
        </is>
      </c>
      <c r="C693" s="601" t="inlineStr">
        <is>
          <t>SRIKAM HITECH</t>
        </is>
      </c>
      <c r="D693" s="48" t="inlineStr">
        <is>
          <t>Srikam HI-Tech</t>
        </is>
      </c>
      <c r="E693" s="601" t="n">
        <v>944141</v>
      </c>
      <c r="F693" s="539" t="n">
        <v>1939986</v>
      </c>
      <c r="G693" s="100">
        <f>_xlfn.CONCAT(scheduleapr[[#This Row],[CUSTOMER CODE]],"-",scheduleapr[[#This Row],[MATERIAL NO]])</f>
        <v/>
      </c>
      <c r="H693" s="539" t="inlineStr">
        <is>
          <t>TUB-O-O-GEN-AW-PE-12.70X1.200X6.0000</t>
        </is>
      </c>
      <c r="I693" s="601" t="inlineStr">
        <is>
          <t>ERW 1</t>
        </is>
      </c>
      <c r="J693" s="601" t="n"/>
      <c r="K693" s="601" t="inlineStr">
        <is>
          <t>PE</t>
        </is>
      </c>
      <c r="L693" s="601" t="inlineStr">
        <is>
          <t>CR</t>
        </is>
      </c>
      <c r="M693" s="601" t="n"/>
      <c r="N693" s="601" t="n"/>
      <c r="O693" s="601" t="n"/>
      <c r="P693" s="601" t="n"/>
      <c r="Q693" s="557">
        <f>CONCATENATE(scheduleapr[[#This Row],[OD]],"-",scheduleapr[[#This Row],[ID]],"-",scheduleapr[[#This Row],[TICKNESS]],"-",scheduleapr[[#This Row],[Grade]],"-",scheduleapr[[#This Row],[FC/NFC]])</f>
        <v/>
      </c>
      <c r="R693" s="557">
        <f>_xlfn.CONCAT(scheduleapr[[#This Row],[Bucket]],"-",scheduleapr[[#This Row],[LENGTH]]/1000)</f>
        <v/>
      </c>
      <c r="S693" s="557">
        <f>COUNTIF(scheduleapr[CTL Bucket],scheduleapr[[#This Row],[CTL Bucket]])</f>
        <v/>
      </c>
      <c r="T693" s="601" t="inlineStr">
        <is>
          <t>Hosur</t>
        </is>
      </c>
      <c r="U693" s="601" t="n"/>
      <c r="V693" s="557" t="n"/>
      <c r="W693" s="557" t="n"/>
      <c r="X693" s="599" t="n">
        <v>12.7</v>
      </c>
      <c r="Y693" s="599" t="n">
        <v>12.7</v>
      </c>
      <c r="Z693" s="6" t="n">
        <v>0</v>
      </c>
      <c r="AA693" s="599" t="n">
        <v>1.2</v>
      </c>
      <c r="AB693" s="600" t="n">
        <v>1000</v>
      </c>
      <c r="AC693" s="600" t="inlineStr">
        <is>
          <t>M</t>
        </is>
      </c>
      <c r="AD693" s="600" t="n"/>
      <c r="AE693" s="600" t="n"/>
      <c r="AF693" s="601" t="n"/>
      <c r="AG693" s="601" t="n"/>
      <c r="AH693" s="601">
        <f t="array" ref="AH69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3" s="602">
        <f>scheduleapr[[#This Row],[SCHEDULE in nos]]-scheduleapr[[#This Row],[DISPATCH]]</f>
        <v/>
      </c>
      <c r="AJ693" s="599">
        <f>(3.14*(scheduleapr[[#This Row],[ACTUAL OD]]-scheduleapr[[#This Row],[TICKNESS]])*scheduleapr[[#This Row],[TICKNESS]]*scheduleapr[[#This Row],[LENGTH]]*7.85)/1000000*scheduleapr[[#This Row],[SCHEDULE in nos]]/1000</f>
        <v/>
      </c>
      <c r="AK693" s="599">
        <f>(3.14*(scheduleapr[[#This Row],[ACTUAL OD]]-scheduleapr[[#This Row],[TICKNESS]])*scheduleapr[[#This Row],[TICKNESS]]*scheduleapr[[#This Row],[LENGTH]]*7.85)/1000000*scheduleapr[[#This Row],[DISPATCH]]/1000</f>
        <v/>
      </c>
      <c r="AL693" s="599">
        <f>AJ693-AK693</f>
        <v/>
      </c>
      <c r="AM693" s="599">
        <f>scheduleapr[[#This Row],[SCHEDULE in nos]]/scheduleapr[[#This Row],[SCHEDULE IN MT]]*scheduleapr[[#This Row],[CTL Stock]]</f>
        <v/>
      </c>
      <c r="AN693" s="599">
        <f>SUMIFS(stock[MT],stock[Bucket],scheduleapr[[#This Row],[Bucket]],stock[CTL Bucket],scheduleapr[[#This Row],[CTL Bucket]],stock[Plant],"0789")</f>
        <v/>
      </c>
      <c r="AO693" s="599" t="n"/>
      <c r="AP693" s="599">
        <f>SUMIFS(stock[MT],stock[Bucket],scheduleapr[[#This Row],[Bucket]],stock[LL or CTL],"LL")</f>
        <v/>
      </c>
      <c r="AQ693" s="599">
        <f>+SUMIFS(wip[Stock(Net Wt)],wip[Bucket],scheduleapr[[#This Row],[Bucket]])/1000</f>
        <v/>
      </c>
      <c r="AR693" s="599">
        <f>AJ693-AN693</f>
        <v/>
      </c>
      <c r="AS693" s="118" t="n"/>
    </row>
    <row r="694">
      <c r="A694" s="594" t="n">
        <v>568</v>
      </c>
      <c r="B694" s="5" t="inlineStr">
        <is>
          <t>Hosur</t>
        </is>
      </c>
      <c r="C694" s="601" t="inlineStr">
        <is>
          <t>SRIKAM HITECH</t>
        </is>
      </c>
      <c r="D694" s="601" t="inlineStr">
        <is>
          <t>Srikam HI-Tech</t>
        </is>
      </c>
      <c r="E694" s="601" t="n">
        <v>944141</v>
      </c>
      <c r="F694" s="539" t="n">
        <v>3676336</v>
      </c>
      <c r="G694" s="100">
        <f>_xlfn.CONCAT(scheduleapr[[#This Row],[CUSTOMER CODE]],"-",scheduleapr[[#This Row],[MATERIAL NO]])</f>
        <v/>
      </c>
      <c r="H694" s="539" t="inlineStr">
        <is>
          <t>TUB-O-N-AUT-AW-PE-12.70X1.600X0.2570</t>
        </is>
      </c>
      <c r="I694" s="601" t="inlineStr">
        <is>
          <t>ERW 1</t>
        </is>
      </c>
      <c r="J694" s="601" t="n"/>
      <c r="K694" s="601" t="inlineStr">
        <is>
          <t>PE</t>
        </is>
      </c>
      <c r="L694" s="601" t="inlineStr">
        <is>
          <t>CR</t>
        </is>
      </c>
      <c r="M694" s="601" t="inlineStr">
        <is>
          <t>WG</t>
        </is>
      </c>
      <c r="N694" s="601" t="n"/>
      <c r="O694" s="601" t="n"/>
      <c r="P694" s="601" t="n"/>
      <c r="Q694" s="557">
        <f>CONCATENATE(scheduleapr[[#This Row],[OD]],"-",scheduleapr[[#This Row],[ID]],"-",scheduleapr[[#This Row],[TICKNESS]],"-",scheduleapr[[#This Row],[Grade]],"-",scheduleapr[[#This Row],[FC/NFC]])</f>
        <v/>
      </c>
      <c r="R694" s="557">
        <f>_xlfn.CONCAT(scheduleapr[[#This Row],[Bucket]],"-",scheduleapr[[#This Row],[LENGTH]]/1000)</f>
        <v/>
      </c>
      <c r="S694" s="557">
        <f>COUNTIF(scheduleapr[CTL Bucket],scheduleapr[[#This Row],[CTL Bucket]])</f>
        <v/>
      </c>
      <c r="T694" s="601" t="inlineStr">
        <is>
          <t>Hosur</t>
        </is>
      </c>
      <c r="U694" s="601">
        <f>_xlfn.IFNA(VLOOKUP(scheduleapr[[#This Row],[Bucket]],salesforecast[[#All],[Bucket2]:[8406 Stock]],19,0),0)</f>
        <v/>
      </c>
      <c r="V694" s="562">
        <f>_xlfn.IFNA(VLOOKUP(scheduleapr[[#This Row],[Bucket]],salesforecast[[#All],[Bucket2]:[8406 Stock]],20,0),0)+_xlfn.IFNA(VLOOKUP(scheduleapr[[#This Row],[Bucket]],salesforecast[[#All],[Bucket2]:[8406 Stock]],17,0),0)</f>
        <v/>
      </c>
      <c r="W694" s="557" t="n"/>
      <c r="X694" s="599" t="n">
        <v>12.7</v>
      </c>
      <c r="Y694" s="599" t="n">
        <v>12.7</v>
      </c>
      <c r="Z694" s="6" t="n">
        <v>0</v>
      </c>
      <c r="AA694" s="599" t="n">
        <v>1.6</v>
      </c>
      <c r="AB694" s="23" t="n">
        <v>257</v>
      </c>
      <c r="AC694" s="23" t="inlineStr">
        <is>
          <t>NOS</t>
        </is>
      </c>
      <c r="AD694" s="600" t="inlineStr">
        <is>
          <t>Hosur Plant</t>
        </is>
      </c>
      <c r="AE694" s="600" t="n">
        <v>1000</v>
      </c>
      <c r="AF694" s="596" t="n">
        <v>6000</v>
      </c>
      <c r="AG694" s="596" t="inlineStr">
        <is>
          <t>Aug 2026 schedule · srikam</t>
        </is>
      </c>
      <c r="AH694" s="601">
        <f t="array" ref="AH69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4" s="602">
        <f>scheduleapr[[#This Row],[SCHEDULE in nos]]-scheduleapr[[#This Row],[DISPATCH]]</f>
        <v/>
      </c>
      <c r="AJ694" s="599">
        <f>(3.14*(scheduleapr[[#This Row],[ACTUAL OD]]-scheduleapr[[#This Row],[TICKNESS]])*scheduleapr[[#This Row],[TICKNESS]]*scheduleapr[[#This Row],[LENGTH]]*7.85)/1000000*scheduleapr[[#This Row],[SCHEDULE in nos]]/1000</f>
        <v/>
      </c>
      <c r="AK694" s="599">
        <f>(3.14*(scheduleapr[[#This Row],[ACTUAL OD]]-scheduleapr[[#This Row],[TICKNESS]])*scheduleapr[[#This Row],[TICKNESS]]*scheduleapr[[#This Row],[LENGTH]]*7.85)/1000000*scheduleapr[[#This Row],[DISPATCH]]/1000</f>
        <v/>
      </c>
      <c r="AL694" s="599">
        <f>AJ694-AK694</f>
        <v/>
      </c>
      <c r="AM694" s="599">
        <f>scheduleapr[[#This Row],[SCHEDULE in nos]]/scheduleapr[[#This Row],[SCHEDULE IN MT]]*scheduleapr[[#This Row],[CTL Stock]]</f>
        <v/>
      </c>
      <c r="AN694" s="599">
        <f>SUMIFS(stock[MT],stock[Bucket],scheduleapr[[#This Row],[Bucket]],stock[CTL Bucket],scheduleapr[[#This Row],[CTL Bucket]],stock[Plant],"0789")</f>
        <v/>
      </c>
      <c r="AO694" s="599" t="n"/>
      <c r="AP694" s="599">
        <f>SUMIFS(stock[MT],stock[Bucket],scheduleapr[[#This Row],[Bucket]],stock[LL or CTL],"LL")</f>
        <v/>
      </c>
      <c r="AQ694" s="208">
        <f>+SUMIFS(wip[Stock(Net Wt)],wip[Bucket],scheduleapr[[#This Row],[Bucket]])/1000</f>
        <v/>
      </c>
      <c r="AR694" s="599">
        <f>AJ694-AN694</f>
        <v/>
      </c>
      <c r="AS694" s="118" t="n"/>
    </row>
    <row r="695">
      <c r="A695" s="125" t="n">
        <v>569</v>
      </c>
      <c r="B695" s="5" t="inlineStr">
        <is>
          <t>Hosur</t>
        </is>
      </c>
      <c r="C695" s="601" t="inlineStr">
        <is>
          <t>SRIKAM HITECH</t>
        </is>
      </c>
      <c r="D695" s="601" t="inlineStr">
        <is>
          <t>Srikam HI-Tech</t>
        </is>
      </c>
      <c r="E695" s="601" t="n">
        <v>944141</v>
      </c>
      <c r="F695" s="539" t="n">
        <v>1932848</v>
      </c>
      <c r="G695" s="100">
        <f>_xlfn.CONCAT(scheduleapr[[#This Row],[CUSTOMER CODE]],"-",scheduleapr[[#This Row],[MATERIAL NO]])</f>
        <v/>
      </c>
      <c r="H695" s="539" t="inlineStr">
        <is>
          <t>TUB-O-N-AUT-AW-PE-12.70X1.600X0.2600</t>
        </is>
      </c>
      <c r="I695" s="601" t="inlineStr">
        <is>
          <t>ERW 1</t>
        </is>
      </c>
      <c r="J695" s="601" t="n"/>
      <c r="K695" s="601" t="inlineStr">
        <is>
          <t>PE</t>
        </is>
      </c>
      <c r="L695" s="601" t="inlineStr">
        <is>
          <t>CR</t>
        </is>
      </c>
      <c r="M695" s="49" t="inlineStr">
        <is>
          <t>D</t>
        </is>
      </c>
      <c r="N695" s="601" t="n"/>
      <c r="O695" s="601" t="n"/>
      <c r="P695" s="601" t="n"/>
      <c r="Q695" s="557">
        <f>CONCATENATE(scheduleapr[[#This Row],[OD]],"-",scheduleapr[[#This Row],[ID]],"-",scheduleapr[[#This Row],[TICKNESS]],"-",scheduleapr[[#This Row],[Grade]],"-",scheduleapr[[#This Row],[FC/NFC]])</f>
        <v/>
      </c>
      <c r="R695" s="557">
        <f>_xlfn.CONCAT(scheduleapr[[#This Row],[Bucket]],"-",scheduleapr[[#This Row],[LENGTH]]/1000)</f>
        <v/>
      </c>
      <c r="S695" s="557">
        <f>COUNTIF(scheduleapr[CTL Bucket],scheduleapr[[#This Row],[CTL Bucket]])</f>
        <v/>
      </c>
      <c r="T695" s="601" t="inlineStr">
        <is>
          <t>Hosur</t>
        </is>
      </c>
      <c r="U695" s="601">
        <f>_xlfn.IFNA(VLOOKUP(scheduleapr[[#This Row],[Bucket]],salesforecast[[#All],[Bucket2]:[8406 Stock]],19,0),0)</f>
        <v/>
      </c>
      <c r="V695" s="562">
        <f>_xlfn.IFNA(VLOOKUP(scheduleapr[[#This Row],[Bucket]],salesforecast[[#All],[Bucket2]:[8406 Stock]],20,0),0)+_xlfn.IFNA(VLOOKUP(scheduleapr[[#This Row],[Bucket]],salesforecast[[#All],[Bucket2]:[8406 Stock]],17,0),0)</f>
        <v/>
      </c>
      <c r="W695" s="557" t="n"/>
      <c r="X695" s="599" t="n">
        <v>12.7</v>
      </c>
      <c r="Y695" s="599" t="n">
        <v>12.7</v>
      </c>
      <c r="Z695" s="6" t="n">
        <v>0</v>
      </c>
      <c r="AA695" s="599" t="n">
        <v>1.6</v>
      </c>
      <c r="AB695" s="23" t="n">
        <v>260</v>
      </c>
      <c r="AC695" s="600" t="inlineStr">
        <is>
          <t>NOS</t>
        </is>
      </c>
      <c r="AD695" s="600" t="n"/>
      <c r="AE695" s="600" t="n"/>
      <c r="AF695" s="596" t="n">
        <v>30000</v>
      </c>
      <c r="AG695" s="596" t="inlineStr">
        <is>
          <t>Aug 2026 schedule · srikam</t>
        </is>
      </c>
      <c r="AH695" s="601">
        <f t="array" ref="AH69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5" s="602">
        <f>scheduleapr[[#This Row],[SCHEDULE in nos]]-scheduleapr[[#This Row],[DISPATCH]]</f>
        <v/>
      </c>
      <c r="AJ695" s="599">
        <f>(3.14*(scheduleapr[[#This Row],[ACTUAL OD]]-scheduleapr[[#This Row],[TICKNESS]])*scheduleapr[[#This Row],[TICKNESS]]*scheduleapr[[#This Row],[LENGTH]]*7.85)/1000000*scheduleapr[[#This Row],[SCHEDULE in nos]]/1000</f>
        <v/>
      </c>
      <c r="AK695" s="599">
        <f>(3.14*(scheduleapr[[#This Row],[ACTUAL OD]]-scheduleapr[[#This Row],[TICKNESS]])*scheduleapr[[#This Row],[TICKNESS]]*scheduleapr[[#This Row],[LENGTH]]*7.85)/1000000*scheduleapr[[#This Row],[DISPATCH]]/1000</f>
        <v/>
      </c>
      <c r="AL695" s="599">
        <f>AJ695-AK695</f>
        <v/>
      </c>
      <c r="AM695" s="599">
        <f>scheduleapr[[#This Row],[SCHEDULE in nos]]/scheduleapr[[#This Row],[SCHEDULE IN MT]]*scheduleapr[[#This Row],[CTL Stock]]</f>
        <v/>
      </c>
      <c r="AN695" s="599">
        <f>SUMIFS(stock[MT],stock[Bucket],scheduleapr[[#This Row],[Bucket]],stock[CTL Bucket],scheduleapr[[#This Row],[CTL Bucket]],stock[Plant],"0789")</f>
        <v/>
      </c>
      <c r="AO695" s="599" t="n"/>
      <c r="AP695" s="599">
        <f>SUMIFS(stock[MT],stock[Bucket],scheduleapr[[#This Row],[Bucket]],stock[LL or CTL],"LL")</f>
        <v/>
      </c>
      <c r="AQ695" s="599">
        <f>+SUMIFS(wip[Stock(Net Wt)],wip[Bucket],scheduleapr[[#This Row],[Bucket]])/1000</f>
        <v/>
      </c>
      <c r="AR695" s="599">
        <f>AJ695-AN695</f>
        <v/>
      </c>
      <c r="AS695" s="118" t="n"/>
    </row>
    <row r="696">
      <c r="A696" s="594" t="n">
        <v>570</v>
      </c>
      <c r="B696" s="5" t="inlineStr">
        <is>
          <t>Hosur</t>
        </is>
      </c>
      <c r="C696" s="601" t="inlineStr">
        <is>
          <t>SRIKAM HITECH</t>
        </is>
      </c>
      <c r="D696" s="601" t="inlineStr">
        <is>
          <t>Srikam HI-Tech</t>
        </is>
      </c>
      <c r="E696" s="601" t="n">
        <v>944141</v>
      </c>
      <c r="F696" s="539" t="n">
        <v>1939994</v>
      </c>
      <c r="G696" s="100">
        <f>_xlfn.CONCAT(scheduleapr[[#This Row],[CUSTOMER CODE]],"-",scheduleapr[[#This Row],[MATERIAL NO]])</f>
        <v/>
      </c>
      <c r="H696" s="539" t="inlineStr">
        <is>
          <t>TUB-O-O-AUT-AW-PE-12.70X1.600X0.2800</t>
        </is>
      </c>
      <c r="I696" s="601" t="inlineStr">
        <is>
          <t>ERW 1</t>
        </is>
      </c>
      <c r="J696" s="601" t="n"/>
      <c r="K696" s="601" t="inlineStr">
        <is>
          <t>PE</t>
        </is>
      </c>
      <c r="L696" s="601" t="inlineStr">
        <is>
          <t>CR</t>
        </is>
      </c>
      <c r="M696" s="601" t="inlineStr">
        <is>
          <t>WG</t>
        </is>
      </c>
      <c r="N696" s="601" t="n"/>
      <c r="O696" s="601" t="n"/>
      <c r="P696" s="601" t="n"/>
      <c r="Q696" s="557">
        <f>CONCATENATE(scheduleapr[[#This Row],[OD]],"-",scheduleapr[[#This Row],[ID]],"-",scheduleapr[[#This Row],[TICKNESS]],"-",scheduleapr[[#This Row],[Grade]],"-",scheduleapr[[#This Row],[FC/NFC]])</f>
        <v/>
      </c>
      <c r="R696" s="557">
        <f>_xlfn.CONCAT(scheduleapr[[#This Row],[Bucket]],"-",scheduleapr[[#This Row],[LENGTH]]/1000)</f>
        <v/>
      </c>
      <c r="S696" s="557">
        <f>COUNTIF(scheduleapr[CTL Bucket],scheduleapr[[#This Row],[CTL Bucket]])</f>
        <v/>
      </c>
      <c r="T696" s="601" t="inlineStr">
        <is>
          <t>Hosur</t>
        </is>
      </c>
      <c r="U696" s="601">
        <f>_xlfn.IFNA(VLOOKUP(scheduleapr[[#This Row],[Bucket]],salesforecast[[#All],[Bucket2]:[8406 Stock]],19,0),0)</f>
        <v/>
      </c>
      <c r="V696" s="562">
        <f>_xlfn.IFNA(VLOOKUP(scheduleapr[[#This Row],[Bucket]],salesforecast[[#All],[Bucket2]:[8406 Stock]],20,0),0)+_xlfn.IFNA(VLOOKUP(scheduleapr[[#This Row],[Bucket]],salesforecast[[#All],[Bucket2]:[8406 Stock]],17,0),0)</f>
        <v/>
      </c>
      <c r="W696" s="557" t="n"/>
      <c r="X696" s="599" t="n">
        <v>12.7</v>
      </c>
      <c r="Y696" s="599" t="n">
        <v>12.7</v>
      </c>
      <c r="Z696" s="6" t="n">
        <v>0</v>
      </c>
      <c r="AA696" s="599" t="n">
        <v>1.6</v>
      </c>
      <c r="AB696" s="23" t="n">
        <v>280</v>
      </c>
      <c r="AC696" s="600" t="inlineStr">
        <is>
          <t>NOS</t>
        </is>
      </c>
      <c r="AD696" s="600" t="n"/>
      <c r="AE696" s="600" t="n"/>
      <c r="AF696" s="596" t="n">
        <v>30000</v>
      </c>
      <c r="AG696" s="596" t="inlineStr">
        <is>
          <t>Aug 2026 schedule · srikam</t>
        </is>
      </c>
      <c r="AH696" s="601">
        <f t="array" ref="AH69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6" s="602">
        <f>scheduleapr[[#This Row],[SCHEDULE in nos]]-scheduleapr[[#This Row],[DISPATCH]]</f>
        <v/>
      </c>
      <c r="AJ696" s="599">
        <f>(3.14*(scheduleapr[[#This Row],[ACTUAL OD]]-scheduleapr[[#This Row],[TICKNESS]])*scheduleapr[[#This Row],[TICKNESS]]*scheduleapr[[#This Row],[LENGTH]]*7.85)/1000000*scheduleapr[[#This Row],[SCHEDULE in nos]]/1000</f>
        <v/>
      </c>
      <c r="AK696" s="599">
        <f>(3.14*(scheduleapr[[#This Row],[ACTUAL OD]]-scheduleapr[[#This Row],[TICKNESS]])*scheduleapr[[#This Row],[TICKNESS]]*scheduleapr[[#This Row],[LENGTH]]*7.85)/1000000*scheduleapr[[#This Row],[DISPATCH]]/1000</f>
        <v/>
      </c>
      <c r="AL696" s="599">
        <f>AJ696-AK696</f>
        <v/>
      </c>
      <c r="AM696" s="599">
        <f>scheduleapr[[#This Row],[SCHEDULE in nos]]/scheduleapr[[#This Row],[SCHEDULE IN MT]]*scheduleapr[[#This Row],[CTL Stock]]</f>
        <v/>
      </c>
      <c r="AN696" s="599">
        <f>SUMIFS(stock[MT],stock[Bucket],scheduleapr[[#This Row],[Bucket]],stock[CTL Bucket],scheduleapr[[#This Row],[CTL Bucket]],stock[Plant],"0789")</f>
        <v/>
      </c>
      <c r="AO696" s="599" t="n"/>
      <c r="AP696" s="599">
        <f>SUMIFS(stock[MT],stock[Bucket],scheduleapr[[#This Row],[Bucket]],stock[LL or CTL],"LL")</f>
        <v/>
      </c>
      <c r="AQ696" s="599">
        <f>+SUMIFS(wip[Stock(Net Wt)],wip[Bucket],scheduleapr[[#This Row],[Bucket]])/1000</f>
        <v/>
      </c>
      <c r="AR696" s="599">
        <f>AJ696-AN696</f>
        <v/>
      </c>
      <c r="AS696" s="118" t="n"/>
    </row>
    <row r="697">
      <c r="A697" s="125" t="n">
        <v>571</v>
      </c>
      <c r="B697" s="5" t="inlineStr">
        <is>
          <t>Hosur</t>
        </is>
      </c>
      <c r="C697" s="601" t="inlineStr">
        <is>
          <t>SRIKAM HITECH</t>
        </is>
      </c>
      <c r="D697" s="601" t="inlineStr">
        <is>
          <t>Srikam HI-Tech</t>
        </is>
      </c>
      <c r="E697" s="601" t="n">
        <v>944141</v>
      </c>
      <c r="F697" s="539" t="n">
        <v>3676337</v>
      </c>
      <c r="G697" s="100">
        <f>_xlfn.CONCAT(scheduleapr[[#This Row],[CUSTOMER CODE]],"-",scheduleapr[[#This Row],[MATERIAL NO]])</f>
        <v/>
      </c>
      <c r="H697" s="539" t="inlineStr">
        <is>
          <t>TUB-O-N-AUT-AW-PE-12.70X1.600X0.3200</t>
        </is>
      </c>
      <c r="I697" s="601" t="inlineStr">
        <is>
          <t>ERW 1</t>
        </is>
      </c>
      <c r="J697" s="601" t="n"/>
      <c r="K697" s="601" t="inlineStr">
        <is>
          <t>PE</t>
        </is>
      </c>
      <c r="L697" s="601" t="inlineStr">
        <is>
          <t>CR</t>
        </is>
      </c>
      <c r="M697" s="601" t="inlineStr">
        <is>
          <t>WG</t>
        </is>
      </c>
      <c r="N697" s="601" t="n"/>
      <c r="O697" s="601" t="n"/>
      <c r="P697" s="601" t="n"/>
      <c r="Q697" s="557">
        <f>CONCATENATE(scheduleapr[[#This Row],[OD]],"-",scheduleapr[[#This Row],[ID]],"-",scheduleapr[[#This Row],[TICKNESS]],"-",scheduleapr[[#This Row],[Grade]],"-",scheduleapr[[#This Row],[FC/NFC]])</f>
        <v/>
      </c>
      <c r="R697" s="557">
        <f>_xlfn.CONCAT(scheduleapr[[#This Row],[Bucket]],"-",scheduleapr[[#This Row],[LENGTH]]/1000)</f>
        <v/>
      </c>
      <c r="S697" s="557">
        <f>COUNTIF(scheduleapr[CTL Bucket],scheduleapr[[#This Row],[CTL Bucket]])</f>
        <v/>
      </c>
      <c r="T697" s="557" t="n"/>
      <c r="U697" s="601">
        <f>_xlfn.IFNA(VLOOKUP(scheduleapr[[#This Row],[Bucket]],salesforecast[[#All],[Bucket2]:[8406 Stock]],19,0),0)</f>
        <v/>
      </c>
      <c r="V697" s="562">
        <f>_xlfn.IFNA(VLOOKUP(scheduleapr[[#This Row],[Bucket]],salesforecast[[#All],[Bucket2]:[8406 Stock]],20,0),0)+_xlfn.IFNA(VLOOKUP(scheduleapr[[#This Row],[Bucket]],salesforecast[[#All],[Bucket2]:[8406 Stock]],17,0),0)</f>
        <v/>
      </c>
      <c r="W697" s="557" t="n"/>
      <c r="X697" s="599" t="n">
        <v>12.7</v>
      </c>
      <c r="Y697" s="599" t="n">
        <v>12.7</v>
      </c>
      <c r="Z697" s="6" t="n">
        <v>0</v>
      </c>
      <c r="AA697" s="599" t="n">
        <v>1.6</v>
      </c>
      <c r="AB697" s="600" t="n">
        <v>320</v>
      </c>
      <c r="AC697" s="600" t="inlineStr">
        <is>
          <t>NOS</t>
        </is>
      </c>
      <c r="AD697" s="600" t="inlineStr">
        <is>
          <t>Hosur Plant</t>
        </is>
      </c>
      <c r="AE697" s="600" t="n">
        <v>1000</v>
      </c>
      <c r="AF697" s="596" t="n">
        <v>6000</v>
      </c>
      <c r="AG697" s="596" t="inlineStr">
        <is>
          <t>Aug 2026 schedule · srikam</t>
        </is>
      </c>
      <c r="AH697" s="601">
        <f t="array" ref="AH69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7" s="602">
        <f>scheduleapr[[#This Row],[SCHEDULE in nos]]-scheduleapr[[#This Row],[DISPATCH]]</f>
        <v/>
      </c>
      <c r="AJ697" s="599">
        <f>(3.14*(scheduleapr[[#This Row],[ACTUAL OD]]-scheduleapr[[#This Row],[TICKNESS]])*scheduleapr[[#This Row],[TICKNESS]]*scheduleapr[[#This Row],[LENGTH]]*7.85)/1000000*scheduleapr[[#This Row],[SCHEDULE in nos]]/1000</f>
        <v/>
      </c>
      <c r="AK697" s="599">
        <f>(3.14*(scheduleapr[[#This Row],[ACTUAL OD]]-scheduleapr[[#This Row],[TICKNESS]])*scheduleapr[[#This Row],[TICKNESS]]*scheduleapr[[#This Row],[LENGTH]]*7.85)/1000000*scheduleapr[[#This Row],[DISPATCH]]/1000</f>
        <v/>
      </c>
      <c r="AL697" s="599">
        <f>AJ697-AK697</f>
        <v/>
      </c>
      <c r="AM697" s="599">
        <f>scheduleapr[[#This Row],[SCHEDULE in nos]]/scheduleapr[[#This Row],[SCHEDULE IN MT]]*scheduleapr[[#This Row],[CTL Stock]]</f>
        <v/>
      </c>
      <c r="AN697" s="599">
        <f>SUMIFS(stock[MT],stock[Bucket],scheduleapr[[#This Row],[Bucket]],stock[CTL Bucket],scheduleapr[[#This Row],[CTL Bucket]],stock[Plant],"0789")</f>
        <v/>
      </c>
      <c r="AO697" s="599" t="n"/>
      <c r="AP697" s="599">
        <f>SUMIFS(stock[MT],stock[Bucket],scheduleapr[[#This Row],[Bucket]],stock[LL or CTL],"LL")</f>
        <v/>
      </c>
      <c r="AQ697" s="208">
        <f>+SUMIFS(wip[Stock(Net Wt)],wip[Bucket],scheduleapr[[#This Row],[Bucket]])/1000</f>
        <v/>
      </c>
      <c r="AR697" s="599">
        <f>AJ697-AN697</f>
        <v/>
      </c>
      <c r="AS697" s="118" t="n"/>
    </row>
    <row r="698">
      <c r="A698" s="594" t="n">
        <v>572</v>
      </c>
      <c r="B698" s="5" t="inlineStr">
        <is>
          <t>Hosur</t>
        </is>
      </c>
      <c r="C698" s="601" t="inlineStr">
        <is>
          <t>SRIKAM HITECH</t>
        </is>
      </c>
      <c r="D698" s="601" t="inlineStr">
        <is>
          <t>Srikam HI-Tech</t>
        </is>
      </c>
      <c r="E698" s="601" t="n">
        <v>944141</v>
      </c>
      <c r="F698" s="539" t="n">
        <v>3620427</v>
      </c>
      <c r="G698" s="100">
        <f>_xlfn.CONCAT(scheduleapr[[#This Row],[CUSTOMER CODE]],"-",scheduleapr[[#This Row],[MATERIAL NO]])</f>
        <v/>
      </c>
      <c r="H698" s="539" t="inlineStr">
        <is>
          <t>TUB-O-N-AUT-AW-PE-12.70X1.600X0.9500</t>
        </is>
      </c>
      <c r="I698" s="601" t="inlineStr">
        <is>
          <t>ERW 1</t>
        </is>
      </c>
      <c r="J698" s="601" t="n"/>
      <c r="K698" s="601" t="inlineStr">
        <is>
          <t>PE</t>
        </is>
      </c>
      <c r="L698" s="601" t="inlineStr">
        <is>
          <t>CR</t>
        </is>
      </c>
      <c r="M698" s="601" t="inlineStr">
        <is>
          <t>WG</t>
        </is>
      </c>
      <c r="N698" s="601" t="n"/>
      <c r="O698" s="601" t="n"/>
      <c r="P698" s="601" t="n"/>
      <c r="Q698" s="557">
        <f>CONCATENATE(scheduleapr[[#This Row],[OD]],"-",scheduleapr[[#This Row],[ID]],"-",scheduleapr[[#This Row],[TICKNESS]],"-",scheduleapr[[#This Row],[Grade]],"-",scheduleapr[[#This Row],[FC/NFC]])</f>
        <v/>
      </c>
      <c r="R698" s="557">
        <f>_xlfn.CONCAT(scheduleapr[[#This Row],[Bucket]],"-",scheduleapr[[#This Row],[LENGTH]]/1000)</f>
        <v/>
      </c>
      <c r="S698" s="557">
        <f>COUNTIF(scheduleapr[CTL Bucket],scheduleapr[[#This Row],[CTL Bucket]])</f>
        <v/>
      </c>
      <c r="T698" s="557" t="n"/>
      <c r="U698" s="601">
        <f>_xlfn.IFNA(VLOOKUP(scheduleapr[[#This Row],[Bucket]],salesforecast[[#All],[Bucket2]:[8406 Stock]],19,0),0)</f>
        <v/>
      </c>
      <c r="V698" s="562">
        <f>_xlfn.IFNA(VLOOKUP(scheduleapr[[#This Row],[Bucket]],salesforecast[[#All],[Bucket2]:[8406 Stock]],20,0),0)+_xlfn.IFNA(VLOOKUP(scheduleapr[[#This Row],[Bucket]],salesforecast[[#All],[Bucket2]:[8406 Stock]],17,0),0)</f>
        <v/>
      </c>
      <c r="W698" s="557" t="n"/>
      <c r="X698" s="599" t="n">
        <v>12.7</v>
      </c>
      <c r="Y698" s="599" t="n">
        <v>12.7</v>
      </c>
      <c r="Z698" s="6" t="n">
        <v>0</v>
      </c>
      <c r="AA698" s="599" t="n">
        <v>1.6</v>
      </c>
      <c r="AB698" s="600" t="n">
        <v>950</v>
      </c>
      <c r="AC698" s="600" t="inlineStr">
        <is>
          <t>NOS</t>
        </is>
      </c>
      <c r="AD698" s="600" t="inlineStr">
        <is>
          <t>Hosur Plant</t>
        </is>
      </c>
      <c r="AE698" s="600" t="n">
        <v>5000</v>
      </c>
      <c r="AF698" s="596" t="n">
        <v>6000</v>
      </c>
      <c r="AG698" s="596" t="inlineStr">
        <is>
          <t>Aug 2026 schedule · srikam</t>
        </is>
      </c>
      <c r="AH698" s="601">
        <f t="array" ref="AH69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8" s="602">
        <f>scheduleapr[[#This Row],[SCHEDULE in nos]]-scheduleapr[[#This Row],[DISPATCH]]</f>
        <v/>
      </c>
      <c r="AJ698" s="599">
        <f>(3.14*(scheduleapr[[#This Row],[ACTUAL OD]]-scheduleapr[[#This Row],[TICKNESS]])*scheduleapr[[#This Row],[TICKNESS]]*scheduleapr[[#This Row],[LENGTH]]*7.85)/1000000*scheduleapr[[#This Row],[SCHEDULE in nos]]/1000</f>
        <v/>
      </c>
      <c r="AK698" s="599">
        <f>(3.14*(scheduleapr[[#This Row],[ACTUAL OD]]-scheduleapr[[#This Row],[TICKNESS]])*scheduleapr[[#This Row],[TICKNESS]]*scheduleapr[[#This Row],[LENGTH]]*7.85)/1000000*scheduleapr[[#This Row],[DISPATCH]]/1000</f>
        <v/>
      </c>
      <c r="AL698" s="599">
        <f>AJ698-AK698</f>
        <v/>
      </c>
      <c r="AM698" s="599">
        <f>scheduleapr[[#This Row],[SCHEDULE in nos]]/scheduleapr[[#This Row],[SCHEDULE IN MT]]*scheduleapr[[#This Row],[CTL Stock]]</f>
        <v/>
      </c>
      <c r="AN698" s="599">
        <f>SUMIFS(stock[MT],stock[Bucket],scheduleapr[[#This Row],[Bucket]],stock[CTL Bucket],scheduleapr[[#This Row],[CTL Bucket]],stock[Plant],"0789")</f>
        <v/>
      </c>
      <c r="AO698" s="599" t="n"/>
      <c r="AP698" s="599">
        <f>SUMIFS(stock[MT],stock[Bucket],scheduleapr[[#This Row],[Bucket]],stock[LL or CTL],"LL")</f>
        <v/>
      </c>
      <c r="AQ698" s="208">
        <f>+SUMIFS(wip[Stock(Net Wt)],wip[Bucket],scheduleapr[[#This Row],[Bucket]])/1000</f>
        <v/>
      </c>
      <c r="AR698" s="599">
        <f>AJ698-AN698</f>
        <v/>
      </c>
      <c r="AS698" s="118" t="n"/>
    </row>
    <row r="699">
      <c r="A699" s="125" t="n">
        <v>573</v>
      </c>
      <c r="B699" s="5" t="inlineStr">
        <is>
          <t>Hosur</t>
        </is>
      </c>
      <c r="C699" s="601" t="inlineStr">
        <is>
          <t>SRIKAM HITECH</t>
        </is>
      </c>
      <c r="D699" s="601" t="inlineStr">
        <is>
          <t>Srikam HI-Tech</t>
        </is>
      </c>
      <c r="E699" s="601" t="n">
        <v>944141</v>
      </c>
      <c r="F699" s="539" t="n">
        <v>1940014</v>
      </c>
      <c r="G699" s="100">
        <f>_xlfn.CONCAT(scheduleapr[[#This Row],[CUSTOMER CODE]],"-",scheduleapr[[#This Row],[MATERIAL NO]])</f>
        <v/>
      </c>
      <c r="H699" s="539" t="inlineStr">
        <is>
          <t>TUB-O-O-GEN-AW-PE-12.70X1.600X6.0000</t>
        </is>
      </c>
      <c r="I699" s="601" t="inlineStr">
        <is>
          <t>ERW 1</t>
        </is>
      </c>
      <c r="J699" s="601" t="n"/>
      <c r="K699" s="601" t="inlineStr">
        <is>
          <t>PE</t>
        </is>
      </c>
      <c r="L699" s="601" t="inlineStr">
        <is>
          <t>CR</t>
        </is>
      </c>
      <c r="M699" s="601" t="inlineStr">
        <is>
          <t>WG</t>
        </is>
      </c>
      <c r="N699" s="601" t="n"/>
      <c r="O699" s="601" t="n"/>
      <c r="P699" s="601" t="n"/>
      <c r="Q699" s="557">
        <f>CONCATENATE(scheduleapr[[#This Row],[OD]],"-",scheduleapr[[#This Row],[ID]],"-",scheduleapr[[#This Row],[TICKNESS]],"-",scheduleapr[[#This Row],[Grade]],"-",scheduleapr[[#This Row],[FC/NFC]])</f>
        <v/>
      </c>
      <c r="R699" s="557">
        <f>_xlfn.CONCAT(scheduleapr[[#This Row],[Bucket]],"-",scheduleapr[[#This Row],[LENGTH]]/1000)</f>
        <v/>
      </c>
      <c r="S699" s="557">
        <f>COUNTIF(scheduleapr[CTL Bucket],scheduleapr[[#This Row],[CTL Bucket]])</f>
        <v/>
      </c>
      <c r="T699" s="601" t="inlineStr">
        <is>
          <t>Hosur</t>
        </is>
      </c>
      <c r="U699" s="601">
        <f>_xlfn.IFNA(VLOOKUP(scheduleapr[[#This Row],[Bucket]],salesforecast[[#All],[Bucket2]:[8406 Stock]],19,0),0)</f>
        <v/>
      </c>
      <c r="V699" s="562">
        <f>_xlfn.IFNA(VLOOKUP(scheduleapr[[#This Row],[Bucket]],salesforecast[[#All],[Bucket2]:[8406 Stock]],20,0),0)+_xlfn.IFNA(VLOOKUP(scheduleapr[[#This Row],[Bucket]],salesforecast[[#All],[Bucket2]:[8406 Stock]],17,0),0)</f>
        <v/>
      </c>
      <c r="W699" s="557" t="n"/>
      <c r="X699" s="599" t="n">
        <v>12.7</v>
      </c>
      <c r="Y699" s="599" t="n">
        <v>12.7</v>
      </c>
      <c r="Z699" s="6" t="n">
        <v>0</v>
      </c>
      <c r="AA699" s="599" t="n">
        <v>1.6</v>
      </c>
      <c r="AB699" s="600" t="n">
        <v>1000</v>
      </c>
      <c r="AC699" s="600" t="inlineStr">
        <is>
          <t>M</t>
        </is>
      </c>
      <c r="AD699" s="600" t="inlineStr">
        <is>
          <t>Hosur Plant</t>
        </is>
      </c>
      <c r="AE699" s="600" t="n">
        <v>1000</v>
      </c>
      <c r="AF699" s="596" t="n">
        <v>5000</v>
      </c>
      <c r="AG699" s="596" t="inlineStr">
        <is>
          <t>Aug 2026 schedule · srikam</t>
        </is>
      </c>
      <c r="AH699" s="601">
        <f t="array" ref="AH69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699" s="602">
        <f>scheduleapr[[#This Row],[SCHEDULE in nos]]-scheduleapr[[#This Row],[DISPATCH]]</f>
        <v/>
      </c>
      <c r="AJ699" s="599">
        <f>(3.14*(scheduleapr[[#This Row],[ACTUAL OD]]-scheduleapr[[#This Row],[TICKNESS]])*scheduleapr[[#This Row],[TICKNESS]]*scheduleapr[[#This Row],[LENGTH]]*7.85)/1000000*scheduleapr[[#This Row],[SCHEDULE in nos]]/1000</f>
        <v/>
      </c>
      <c r="AK699" s="599">
        <f>(3.14*(scheduleapr[[#This Row],[ACTUAL OD]]-scheduleapr[[#This Row],[TICKNESS]])*scheduleapr[[#This Row],[TICKNESS]]*scheduleapr[[#This Row],[LENGTH]]*7.85)/1000000*scheduleapr[[#This Row],[DISPATCH]]/1000</f>
        <v/>
      </c>
      <c r="AL699" s="599">
        <f>AJ699-AK699</f>
        <v/>
      </c>
      <c r="AM699" s="599">
        <f>scheduleapr[[#This Row],[SCHEDULE in nos]]/scheduleapr[[#This Row],[SCHEDULE IN MT]]*scheduleapr[[#This Row],[CTL Stock]]</f>
        <v/>
      </c>
      <c r="AN699" s="599">
        <f>SUMIFS(stock[MT],stock[Bucket],scheduleapr[[#This Row],[Bucket]],stock[CTL Bucket],scheduleapr[[#This Row],[CTL Bucket]],stock[Plant],"0789")</f>
        <v/>
      </c>
      <c r="AO699" s="599" t="n"/>
      <c r="AP699" s="599">
        <f>SUMIFS(stock[MT],stock[Bucket],scheduleapr[[#This Row],[Bucket]],stock[LL or CTL],"LL")</f>
        <v/>
      </c>
      <c r="AQ699" s="208">
        <f>+SUMIFS(wip[Stock(Net Wt)],wip[Bucket],scheduleapr[[#This Row],[Bucket]])/1000</f>
        <v/>
      </c>
      <c r="AR699" s="599">
        <f>AJ699-AN699</f>
        <v/>
      </c>
      <c r="AS699" s="118" t="n"/>
    </row>
    <row r="700">
      <c r="A700" s="594" t="n">
        <v>575</v>
      </c>
      <c r="B700" s="5" t="inlineStr">
        <is>
          <t>Hosur</t>
        </is>
      </c>
      <c r="C700" s="601" t="inlineStr">
        <is>
          <t>SRIKAM HITECH</t>
        </is>
      </c>
      <c r="D700" s="601" t="inlineStr">
        <is>
          <t>Srikam HI-Tech</t>
        </is>
      </c>
      <c r="E700" s="601" t="n">
        <v>944141</v>
      </c>
      <c r="F700" s="539" t="n">
        <v>1940043</v>
      </c>
      <c r="G700" s="100">
        <f>_xlfn.CONCAT(scheduleapr[[#This Row],[CUSTOMER CODE]],"-",scheduleapr[[#This Row],[MATERIAL NO]])</f>
        <v/>
      </c>
      <c r="H700" s="539" t="inlineStr">
        <is>
          <t>TUB-O-O-AUT-AW-PE-15.88X1.200X0.8880</t>
        </is>
      </c>
      <c r="I700" s="601" t="inlineStr">
        <is>
          <t>ERW 1</t>
        </is>
      </c>
      <c r="J700" s="601" t="n"/>
      <c r="K700" s="601" t="inlineStr">
        <is>
          <t>PE</t>
        </is>
      </c>
      <c r="L700" s="601" t="inlineStr">
        <is>
          <t>CR</t>
        </is>
      </c>
      <c r="M700" s="601" t="n"/>
      <c r="N700" s="601" t="n"/>
      <c r="O700" s="601" t="n"/>
      <c r="P700" s="601" t="n"/>
      <c r="Q700" s="557">
        <f>CONCATENATE(scheduleapr[[#This Row],[OD]],"-",scheduleapr[[#This Row],[ID]],"-",scheduleapr[[#This Row],[TICKNESS]],"-",scheduleapr[[#This Row],[Grade]],"-",scheduleapr[[#This Row],[FC/NFC]])</f>
        <v/>
      </c>
      <c r="R700" s="557">
        <f>_xlfn.CONCAT(scheduleapr[[#This Row],[Bucket]],"-",scheduleapr[[#This Row],[LENGTH]]/1000)</f>
        <v/>
      </c>
      <c r="S700" s="557">
        <f>COUNTIF(scheduleapr[CTL Bucket],scheduleapr[[#This Row],[CTL Bucket]])</f>
        <v/>
      </c>
      <c r="T700" s="601" t="inlineStr">
        <is>
          <t>Hosur</t>
        </is>
      </c>
      <c r="U700" s="601">
        <f>_xlfn.IFNA(VLOOKUP(scheduleapr[[#This Row],[Bucket]],salesforecast[[#All],[Bucket2]:[8406 Stock]],19,0),0)</f>
        <v/>
      </c>
      <c r="V700" s="562">
        <f>_xlfn.IFNA(VLOOKUP(scheduleapr[[#This Row],[Bucket]],salesforecast[[#All],[Bucket2]:[8406 Stock]],20,0),0)+_xlfn.IFNA(VLOOKUP(scheduleapr[[#This Row],[Bucket]],salesforecast[[#All],[Bucket2]:[8406 Stock]],17,0),0)</f>
        <v/>
      </c>
      <c r="W700" s="557" t="n"/>
      <c r="X700" s="599" t="n">
        <v>15.88</v>
      </c>
      <c r="Y700" s="599" t="n">
        <v>15.88</v>
      </c>
      <c r="Z700" s="6" t="n">
        <v>0</v>
      </c>
      <c r="AA700" s="599" t="n">
        <v>1.2</v>
      </c>
      <c r="AB700" s="600" t="n">
        <v>888</v>
      </c>
      <c r="AC700" s="600" t="inlineStr">
        <is>
          <t>NOS</t>
        </is>
      </c>
      <c r="AD700" s="600" t="n"/>
      <c r="AE700" s="600" t="n"/>
      <c r="AF700" s="596" t="n">
        <v>30000</v>
      </c>
      <c r="AG700" s="596" t="inlineStr">
        <is>
          <t>Aug 2026 schedule · srikam</t>
        </is>
      </c>
      <c r="AH700" s="601">
        <f t="array" ref="AH70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0" s="602">
        <f>scheduleapr[[#This Row],[SCHEDULE in nos]]-scheduleapr[[#This Row],[DISPATCH]]</f>
        <v/>
      </c>
      <c r="AJ700" s="599">
        <f>(3.14*(scheduleapr[[#This Row],[ACTUAL OD]]-scheduleapr[[#This Row],[TICKNESS]])*scheduleapr[[#This Row],[TICKNESS]]*scheduleapr[[#This Row],[LENGTH]]*7.85)/1000000*scheduleapr[[#This Row],[SCHEDULE in nos]]/1000</f>
        <v/>
      </c>
      <c r="AK700" s="599">
        <f>(3.14*(scheduleapr[[#This Row],[ACTUAL OD]]-scheduleapr[[#This Row],[TICKNESS]])*scheduleapr[[#This Row],[TICKNESS]]*scheduleapr[[#This Row],[LENGTH]]*7.85)/1000000*scheduleapr[[#This Row],[DISPATCH]]/1000</f>
        <v/>
      </c>
      <c r="AL700" s="599">
        <f>AJ700-AK700</f>
        <v/>
      </c>
      <c r="AM700" s="599">
        <f>scheduleapr[[#This Row],[SCHEDULE in nos]]/scheduleapr[[#This Row],[SCHEDULE IN MT]]*scheduleapr[[#This Row],[CTL Stock]]</f>
        <v/>
      </c>
      <c r="AN700" s="599">
        <f>SUMIFS(stock[MT],stock[Bucket],scheduleapr[[#This Row],[Bucket]],stock[CTL Bucket],scheduleapr[[#This Row],[CTL Bucket]],stock[Plant],"0789")</f>
        <v/>
      </c>
      <c r="AO700" s="599" t="n"/>
      <c r="AP700" s="599">
        <f>SUMIFS(stock[MT],stock[Bucket],scheduleapr[[#This Row],[Bucket]],stock[LL or CTL],"LL")</f>
        <v/>
      </c>
      <c r="AQ700" s="599">
        <f>+SUMIFS(wip[Stock(Net Wt)],wip[Bucket],scheduleapr[[#This Row],[Bucket]])/1000</f>
        <v/>
      </c>
      <c r="AR700" s="599">
        <f>AJ700-AN700</f>
        <v/>
      </c>
      <c r="AS700" s="118" t="n"/>
    </row>
    <row r="701">
      <c r="A701" s="125" t="n">
        <v>576</v>
      </c>
      <c r="B701" s="5" t="inlineStr">
        <is>
          <t>Hosur</t>
        </is>
      </c>
      <c r="C701" s="601" t="inlineStr">
        <is>
          <t>SRIKAM HITECH</t>
        </is>
      </c>
      <c r="D701" s="48" t="inlineStr">
        <is>
          <t>Srikam HI-Tech</t>
        </is>
      </c>
      <c r="E701" s="601" t="n">
        <v>944141</v>
      </c>
      <c r="F701" s="539" t="n">
        <v>3620428</v>
      </c>
      <c r="G701" s="100">
        <f>_xlfn.CONCAT(scheduleapr[[#This Row],[CUSTOMER CODE]],"-",scheduleapr[[#This Row],[MATERIAL NO]])</f>
        <v/>
      </c>
      <c r="H701" s="539" t="inlineStr">
        <is>
          <t>TUB-O-N-AUT-AW-PE-15.88X1.600X0.4350</t>
        </is>
      </c>
      <c r="I701" s="601" t="inlineStr">
        <is>
          <t>ERW 1</t>
        </is>
      </c>
      <c r="J701" s="601" t="n"/>
      <c r="K701" s="601" t="inlineStr">
        <is>
          <t>PE</t>
        </is>
      </c>
      <c r="L701" s="601" t="inlineStr">
        <is>
          <t>CR</t>
        </is>
      </c>
      <c r="M701" s="601" t="inlineStr">
        <is>
          <t>WG</t>
        </is>
      </c>
      <c r="N701" s="601" t="n"/>
      <c r="O701" s="601" t="n"/>
      <c r="P701" s="601" t="n"/>
      <c r="Q701" s="557">
        <f>CONCATENATE(scheduleapr[[#This Row],[OD]],"-",scheduleapr[[#This Row],[ID]],"-",scheduleapr[[#This Row],[TICKNESS]],"-",scheduleapr[[#This Row],[Grade]],"-",scheduleapr[[#This Row],[FC/NFC]])</f>
        <v/>
      </c>
      <c r="R701" s="557">
        <f>_xlfn.CONCAT(scheduleapr[[#This Row],[Bucket]],"-",scheduleapr[[#This Row],[LENGTH]]/1000)</f>
        <v/>
      </c>
      <c r="S701" s="557">
        <f>COUNTIF(scheduleapr[CTL Bucket],scheduleapr[[#This Row],[CTL Bucket]])</f>
        <v/>
      </c>
      <c r="T701" s="601" t="inlineStr">
        <is>
          <t>Hosur</t>
        </is>
      </c>
      <c r="U701" s="601">
        <f>_xlfn.IFNA(VLOOKUP(scheduleapr[[#This Row],[Bucket]],salesforecast[[#All],[Bucket2]:[8406 Stock]],19,0),0)</f>
        <v/>
      </c>
      <c r="V701" s="562">
        <f>_xlfn.IFNA(VLOOKUP(scheduleapr[[#This Row],[Bucket]],salesforecast[[#All],[Bucket2]:[8406 Stock]],20,0),0)+_xlfn.IFNA(VLOOKUP(scheduleapr[[#This Row],[Bucket]],salesforecast[[#All],[Bucket2]:[8406 Stock]],17,0),0)</f>
        <v/>
      </c>
      <c r="W701" s="557" t="n"/>
      <c r="X701" s="599" t="n">
        <v>15.88</v>
      </c>
      <c r="Y701" s="599" t="n">
        <v>15.88</v>
      </c>
      <c r="Z701" s="6" t="n">
        <v>0</v>
      </c>
      <c r="AA701" s="599" t="n">
        <v>1.6</v>
      </c>
      <c r="AB701" s="600" t="n">
        <v>435</v>
      </c>
      <c r="AC701" s="600" t="inlineStr">
        <is>
          <t>NOS</t>
        </is>
      </c>
      <c r="AD701" s="600" t="n"/>
      <c r="AE701" s="600" t="n"/>
      <c r="AF701" s="596" t="n">
        <v>20000</v>
      </c>
      <c r="AG701" s="596" t="inlineStr">
        <is>
          <t>Aug 2026 schedule · srikam</t>
        </is>
      </c>
      <c r="AH701" s="601">
        <f t="array" ref="AH70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1" s="602">
        <f>scheduleapr[[#This Row],[SCHEDULE in nos]]-scheduleapr[[#This Row],[DISPATCH]]</f>
        <v/>
      </c>
      <c r="AJ701" s="599">
        <f>(3.14*(scheduleapr[[#This Row],[ACTUAL OD]]-scheduleapr[[#This Row],[TICKNESS]])*scheduleapr[[#This Row],[TICKNESS]]*scheduleapr[[#This Row],[LENGTH]]*7.85)/1000000*scheduleapr[[#This Row],[SCHEDULE in nos]]/1000</f>
        <v/>
      </c>
      <c r="AK701" s="599">
        <f>(3.14*(scheduleapr[[#This Row],[ACTUAL OD]]-scheduleapr[[#This Row],[TICKNESS]])*scheduleapr[[#This Row],[TICKNESS]]*scheduleapr[[#This Row],[LENGTH]]*7.85)/1000000*scheduleapr[[#This Row],[DISPATCH]]/1000</f>
        <v/>
      </c>
      <c r="AL701" s="599">
        <f>AJ701-AK701</f>
        <v/>
      </c>
      <c r="AM701" s="599">
        <f>scheduleapr[[#This Row],[SCHEDULE in nos]]/scheduleapr[[#This Row],[SCHEDULE IN MT]]*scheduleapr[[#This Row],[CTL Stock]]</f>
        <v/>
      </c>
      <c r="AN701" s="599">
        <f>SUMIFS(stock[MT],stock[Bucket],scheduleapr[[#This Row],[Bucket]],stock[CTL Bucket],scheduleapr[[#This Row],[CTL Bucket]],stock[Plant],"0789")</f>
        <v/>
      </c>
      <c r="AO701" s="599" t="n"/>
      <c r="AP701" s="599">
        <f>SUMIFS(stock[MT],stock[Bucket],scheduleapr[[#This Row],[Bucket]],stock[LL or CTL],"LL")</f>
        <v/>
      </c>
      <c r="AQ701" s="599">
        <f>+SUMIFS(wip[Stock(Net Wt)],wip[Bucket],scheduleapr[[#This Row],[Bucket]])/1000</f>
        <v/>
      </c>
      <c r="AR701" s="599">
        <f>AJ701-AN701</f>
        <v/>
      </c>
      <c r="AS701" s="118" t="n"/>
    </row>
    <row r="702">
      <c r="A702" s="594" t="n">
        <v>577</v>
      </c>
      <c r="B702" s="5" t="inlineStr">
        <is>
          <t>Hosur</t>
        </is>
      </c>
      <c r="C702" s="601" t="inlineStr">
        <is>
          <t>SRIKAM HITECH</t>
        </is>
      </c>
      <c r="D702" s="601" t="inlineStr">
        <is>
          <t>Srikam HI-Tech</t>
        </is>
      </c>
      <c r="E702" s="601" t="n">
        <v>944141</v>
      </c>
      <c r="F702" s="539" t="n">
        <v>1940078</v>
      </c>
      <c r="G702" s="100">
        <f>_xlfn.CONCAT(scheduleapr[[#This Row],[CUSTOMER CODE]],"-",scheduleapr[[#This Row],[MATERIAL NO]])</f>
        <v/>
      </c>
      <c r="H702" s="539" t="inlineStr">
        <is>
          <t>TUB-O-O-GEN-AW-PE-15.88X1.600X6.0000</t>
        </is>
      </c>
      <c r="I702" s="601" t="inlineStr">
        <is>
          <t>ERW 1</t>
        </is>
      </c>
      <c r="J702" s="601" t="n"/>
      <c r="K702" s="601" t="inlineStr">
        <is>
          <t>PE</t>
        </is>
      </c>
      <c r="L702" s="601" t="inlineStr">
        <is>
          <t>CR</t>
        </is>
      </c>
      <c r="M702" s="49" t="inlineStr">
        <is>
          <t>GR1</t>
        </is>
      </c>
      <c r="N702" s="601" t="n"/>
      <c r="O702" s="601" t="n"/>
      <c r="P702" s="601" t="n"/>
      <c r="Q702" s="557">
        <f>CONCATENATE(scheduleapr[[#This Row],[OD]],"-",scheduleapr[[#This Row],[ID]],"-",scheduleapr[[#This Row],[TICKNESS]],"-",scheduleapr[[#This Row],[Grade]],"-",scheduleapr[[#This Row],[FC/NFC]])</f>
        <v/>
      </c>
      <c r="R702" s="557">
        <f>_xlfn.CONCAT(scheduleapr[[#This Row],[Bucket]],"-",scheduleapr[[#This Row],[LENGTH]]/1000)</f>
        <v/>
      </c>
      <c r="S702" s="557">
        <f>COUNTIF(scheduleapr[CTL Bucket],scheduleapr[[#This Row],[CTL Bucket]])</f>
        <v/>
      </c>
      <c r="T702" s="601" t="inlineStr">
        <is>
          <t>Hosur</t>
        </is>
      </c>
      <c r="U702" s="601">
        <f>_xlfn.IFNA(VLOOKUP(scheduleapr[[#This Row],[Bucket]],salesforecast[[#All],[Bucket2]:[8406 Stock]],19,0),0)</f>
        <v/>
      </c>
      <c r="V702" s="562">
        <f>_xlfn.IFNA(VLOOKUP(scheduleapr[[#This Row],[Bucket]],salesforecast[[#All],[Bucket2]:[8406 Stock]],20,0),0)+_xlfn.IFNA(VLOOKUP(scheduleapr[[#This Row],[Bucket]],salesforecast[[#All],[Bucket2]:[8406 Stock]],17,0),0)</f>
        <v/>
      </c>
      <c r="W702" s="557" t="n"/>
      <c r="X702" s="599" t="n">
        <v>15.88</v>
      </c>
      <c r="Y702" s="599" t="n">
        <v>15.88</v>
      </c>
      <c r="Z702" s="6" t="n">
        <v>0</v>
      </c>
      <c r="AA702" s="599" t="n">
        <v>1.6</v>
      </c>
      <c r="AB702" s="600" t="n">
        <v>1000</v>
      </c>
      <c r="AC702" s="600" t="inlineStr">
        <is>
          <t>M</t>
        </is>
      </c>
      <c r="AD702" s="600" t="n"/>
      <c r="AE702" s="600" t="n"/>
      <c r="AF702" s="600" t="n"/>
      <c r="AG702" s="600" t="n"/>
      <c r="AH702" s="601">
        <f t="array" ref="AH70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2" s="602">
        <f>scheduleapr[[#This Row],[SCHEDULE in nos]]-scheduleapr[[#This Row],[DISPATCH]]</f>
        <v/>
      </c>
      <c r="AJ702" s="599">
        <f>(3.14*(scheduleapr[[#This Row],[ACTUAL OD]]-scheduleapr[[#This Row],[TICKNESS]])*scheduleapr[[#This Row],[TICKNESS]]*scheduleapr[[#This Row],[LENGTH]]*7.85)/1000000*scheduleapr[[#This Row],[SCHEDULE in nos]]/1000</f>
        <v/>
      </c>
      <c r="AK702" s="599">
        <f>(3.14*(scheduleapr[[#This Row],[ACTUAL OD]]-scheduleapr[[#This Row],[TICKNESS]])*scheduleapr[[#This Row],[TICKNESS]]*scheduleapr[[#This Row],[LENGTH]]*7.85)/1000000*scheduleapr[[#This Row],[DISPATCH]]/1000</f>
        <v/>
      </c>
      <c r="AL702" s="599">
        <f>AJ702-AK702</f>
        <v/>
      </c>
      <c r="AM702" s="599">
        <f>scheduleapr[[#This Row],[SCHEDULE in nos]]/scheduleapr[[#This Row],[SCHEDULE IN MT]]*scheduleapr[[#This Row],[CTL Stock]]</f>
        <v/>
      </c>
      <c r="AN702" s="599">
        <f>SUMIFS(stock[MT],stock[Bucket],scheduleapr[[#This Row],[Bucket]],stock[CTL Bucket],scheduleapr[[#This Row],[CTL Bucket]],stock[Plant],"0789")</f>
        <v/>
      </c>
      <c r="AO702" s="599" t="n"/>
      <c r="AP702" s="599">
        <f>SUMIFS(stock[MT],stock[Bucket],scheduleapr[[#This Row],[Bucket]],stock[LL or CTL],"LL")</f>
        <v/>
      </c>
      <c r="AQ702" s="599">
        <f>+SUMIFS(wip[Stock(Net Wt)],wip[Bucket],scheduleapr[[#This Row],[Bucket]])/1000</f>
        <v/>
      </c>
      <c r="AR702" s="599">
        <f>AJ702-AN702</f>
        <v/>
      </c>
      <c r="AS702" s="118" t="n"/>
    </row>
    <row r="703">
      <c r="A703" s="125" t="n">
        <v>578</v>
      </c>
      <c r="B703" s="5" t="inlineStr">
        <is>
          <t>Hosur</t>
        </is>
      </c>
      <c r="C703" s="601" t="inlineStr">
        <is>
          <t>SRIKAM HITECH</t>
        </is>
      </c>
      <c r="D703" s="601" t="inlineStr">
        <is>
          <t>Srikam HI-Tech</t>
        </is>
      </c>
      <c r="E703" s="601" t="n">
        <v>944141</v>
      </c>
      <c r="F703" s="539" t="n">
        <v>2420205</v>
      </c>
      <c r="G703" s="100">
        <f>_xlfn.CONCAT(scheduleapr[[#This Row],[CUSTOMER CODE]],"-",scheduleapr[[#This Row],[MATERIAL NO]])</f>
        <v/>
      </c>
      <c r="H703" s="539" t="inlineStr">
        <is>
          <t>TUB-O-N-AUT-AW-PE-15.88X2.000X0.1550</t>
        </is>
      </c>
      <c r="I703" s="601" t="inlineStr">
        <is>
          <t>ERW 1</t>
        </is>
      </c>
      <c r="J703" s="601" t="n"/>
      <c r="K703" s="601" t="inlineStr">
        <is>
          <t>PE</t>
        </is>
      </c>
      <c r="L703" s="601" t="inlineStr">
        <is>
          <t>HR</t>
        </is>
      </c>
      <c r="M703" s="601" t="n"/>
      <c r="N703" s="601" t="n"/>
      <c r="O703" s="601" t="n"/>
      <c r="P703" s="601" t="n"/>
      <c r="Q703" s="557">
        <f>CONCATENATE(scheduleapr[[#This Row],[OD]],"-",scheduleapr[[#This Row],[ID]],"-",scheduleapr[[#This Row],[TICKNESS]],"-",scheduleapr[[#This Row],[Grade]],"-",scheduleapr[[#This Row],[FC/NFC]])</f>
        <v/>
      </c>
      <c r="R703" s="557">
        <f>_xlfn.CONCAT(scheduleapr[[#This Row],[Bucket]],"-",scheduleapr[[#This Row],[LENGTH]]/1000)</f>
        <v/>
      </c>
      <c r="S703" s="557">
        <f>COUNTIF(scheduleapr[CTL Bucket],scheduleapr[[#This Row],[CTL Bucket]])</f>
        <v/>
      </c>
      <c r="T703" s="601" t="inlineStr">
        <is>
          <t>Hosur</t>
        </is>
      </c>
      <c r="U703" s="601">
        <f>_xlfn.IFNA(VLOOKUP(scheduleapr[[#This Row],[Bucket]],salesforecast[[#All],[Bucket2]:[8406 Stock]],19,0),0)</f>
        <v/>
      </c>
      <c r="V703" s="562">
        <f>_xlfn.IFNA(VLOOKUP(scheduleapr[[#This Row],[Bucket]],salesforecast[[#All],[Bucket2]:[8406 Stock]],20,0),0)+_xlfn.IFNA(VLOOKUP(scheduleapr[[#This Row],[Bucket]],salesforecast[[#All],[Bucket2]:[8406 Stock]],17,0),0)</f>
        <v/>
      </c>
      <c r="W703" s="557" t="n"/>
      <c r="X703" s="599" t="n">
        <v>15.88</v>
      </c>
      <c r="Y703" s="599" t="n">
        <v>15.88</v>
      </c>
      <c r="Z703" s="6" t="n">
        <v>0</v>
      </c>
      <c r="AA703" s="599" t="n">
        <v>2</v>
      </c>
      <c r="AB703" s="600" t="n">
        <v>155</v>
      </c>
      <c r="AC703" s="600" t="inlineStr">
        <is>
          <t>NOS</t>
        </is>
      </c>
      <c r="AD703" s="600" t="inlineStr">
        <is>
          <t>Hosur Plant</t>
        </is>
      </c>
      <c r="AE703" s="600" t="n">
        <v>2000</v>
      </c>
      <c r="AF703" s="601" t="n"/>
      <c r="AG703" s="601" t="n"/>
      <c r="AH703" s="601">
        <f t="array" ref="AH70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3" s="602">
        <f>scheduleapr[[#This Row],[SCHEDULE in nos]]-scheduleapr[[#This Row],[DISPATCH]]</f>
        <v/>
      </c>
      <c r="AJ703" s="599">
        <f>(3.14*(scheduleapr[[#This Row],[ACTUAL OD]]-scheduleapr[[#This Row],[TICKNESS]])*scheduleapr[[#This Row],[TICKNESS]]*scheduleapr[[#This Row],[LENGTH]]*7.85)/1000000*scheduleapr[[#This Row],[SCHEDULE in nos]]/1000</f>
        <v/>
      </c>
      <c r="AK703" s="599">
        <f>(3.14*(scheduleapr[[#This Row],[ACTUAL OD]]-scheduleapr[[#This Row],[TICKNESS]])*scheduleapr[[#This Row],[TICKNESS]]*scheduleapr[[#This Row],[LENGTH]]*7.85)/1000000*scheduleapr[[#This Row],[DISPATCH]]/1000</f>
        <v/>
      </c>
      <c r="AL703" s="599">
        <f>AJ703-AK703</f>
        <v/>
      </c>
      <c r="AM703" s="599">
        <f>scheduleapr[[#This Row],[SCHEDULE in nos]]/scheduleapr[[#This Row],[SCHEDULE IN MT]]*scheduleapr[[#This Row],[CTL Stock]]</f>
        <v/>
      </c>
      <c r="AN703" s="599">
        <f>SUMIFS(stock[MT],stock[Bucket],scheduleapr[[#This Row],[Bucket]],stock[CTL Bucket],scheduleapr[[#This Row],[CTL Bucket]],stock[Plant],"0789")</f>
        <v/>
      </c>
      <c r="AO703" s="599" t="n"/>
      <c r="AP703" s="599">
        <f>SUMIFS(stock[MT],stock[Bucket],scheduleapr[[#This Row],[Bucket]],stock[LL or CTL],"LL")</f>
        <v/>
      </c>
      <c r="AQ703" s="79">
        <f>+SUMIFS(wip[Stock(Net Wt)],wip[Bucket],scheduleapr[[#This Row],[Bucket]])/1000</f>
        <v/>
      </c>
      <c r="AR703" s="599">
        <f>AJ703-AN703</f>
        <v/>
      </c>
      <c r="AS703" s="118" t="n"/>
    </row>
    <row r="704">
      <c r="A704" s="594" t="n">
        <v>579</v>
      </c>
      <c r="B704" s="5" t="inlineStr">
        <is>
          <t>Hosur</t>
        </is>
      </c>
      <c r="C704" s="601" t="inlineStr">
        <is>
          <t>SRIKAM HITECH</t>
        </is>
      </c>
      <c r="D704" s="601" t="inlineStr">
        <is>
          <t>Srikam HI-Tech</t>
        </is>
      </c>
      <c r="E704" s="601" t="n">
        <v>944141</v>
      </c>
      <c r="F704" s="539" t="n">
        <v>3706751</v>
      </c>
      <c r="G704" s="100">
        <f>_xlfn.CONCAT(scheduleapr[[#This Row],[CUSTOMER CODE]],"-",scheduleapr[[#This Row],[MATERIAL NO]])</f>
        <v/>
      </c>
      <c r="H704" s="539" t="inlineStr">
        <is>
          <t>CUT-O-N-AUT-AW-PE-15.88X2.000X0.1600</t>
        </is>
      </c>
      <c r="I704" s="601" t="inlineStr">
        <is>
          <t>ERW 1</t>
        </is>
      </c>
      <c r="J704" s="601" t="n"/>
      <c r="K704" s="601" t="inlineStr">
        <is>
          <t>PE</t>
        </is>
      </c>
      <c r="L704" s="601" t="inlineStr">
        <is>
          <t>HR</t>
        </is>
      </c>
      <c r="M704" s="601" t="n"/>
      <c r="N704" s="601" t="n"/>
      <c r="O704" s="601" t="n"/>
      <c r="P704" s="601" t="n"/>
      <c r="Q704" s="557">
        <f>CONCATENATE(scheduleapr[[#This Row],[OD]],"-",scheduleapr[[#This Row],[ID]],"-",scheduleapr[[#This Row],[TICKNESS]],"-",scheduleapr[[#This Row],[Grade]],"-",scheduleapr[[#This Row],[FC/NFC]])</f>
        <v/>
      </c>
      <c r="R704" s="557">
        <f>_xlfn.CONCAT(scheduleapr[[#This Row],[Bucket]],"-",scheduleapr[[#This Row],[LENGTH]]/1000)</f>
        <v/>
      </c>
      <c r="S704" s="557">
        <f>COUNTIF(scheduleapr[CTL Bucket],scheduleapr[[#This Row],[CTL Bucket]])</f>
        <v/>
      </c>
      <c r="T704" s="601" t="inlineStr">
        <is>
          <t>Hosur</t>
        </is>
      </c>
      <c r="U704" s="601">
        <f>_xlfn.IFNA(VLOOKUP(scheduleapr[[#This Row],[Bucket]],salesforecast[[#All],[Bucket2]:[8406 Stock]],19,0),0)</f>
        <v/>
      </c>
      <c r="V704" s="562">
        <f>_xlfn.IFNA(VLOOKUP(scheduleapr[[#This Row],[Bucket]],salesforecast[[#All],[Bucket2]:[8406 Stock]],20,0),0)+_xlfn.IFNA(VLOOKUP(scheduleapr[[#This Row],[Bucket]],salesforecast[[#All],[Bucket2]:[8406 Stock]],17,0),0)</f>
        <v/>
      </c>
      <c r="W704" s="557" t="n"/>
      <c r="X704" s="599" t="n">
        <v>15.88</v>
      </c>
      <c r="Y704" s="599" t="n">
        <v>15.88</v>
      </c>
      <c r="Z704" s="6" t="n">
        <v>0</v>
      </c>
      <c r="AA704" s="599" t="n">
        <v>2</v>
      </c>
      <c r="AB704" s="600" t="n">
        <v>160</v>
      </c>
      <c r="AC704" s="600" t="inlineStr">
        <is>
          <t>NOS</t>
        </is>
      </c>
      <c r="AD704" s="600" t="inlineStr">
        <is>
          <t>Hosur Plant</t>
        </is>
      </c>
      <c r="AE704" s="600" t="n">
        <v>2000</v>
      </c>
      <c r="AF704" s="601" t="n"/>
      <c r="AG704" s="601" t="n"/>
      <c r="AH704" s="601">
        <f t="array" ref="AH70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4" s="602">
        <f>scheduleapr[[#This Row],[SCHEDULE in nos]]-scheduleapr[[#This Row],[DISPATCH]]</f>
        <v/>
      </c>
      <c r="AJ704" s="599">
        <f>(3.14*(scheduleapr[[#This Row],[ACTUAL OD]]-scheduleapr[[#This Row],[TICKNESS]])*scheduleapr[[#This Row],[TICKNESS]]*scheduleapr[[#This Row],[LENGTH]]*7.85)/1000000*scheduleapr[[#This Row],[SCHEDULE in nos]]/1000</f>
        <v/>
      </c>
      <c r="AK704" s="599">
        <f>(3.14*(scheduleapr[[#This Row],[ACTUAL OD]]-scheduleapr[[#This Row],[TICKNESS]])*scheduleapr[[#This Row],[TICKNESS]]*scheduleapr[[#This Row],[LENGTH]]*7.85)/1000000*scheduleapr[[#This Row],[DISPATCH]]/1000</f>
        <v/>
      </c>
      <c r="AL704" s="599">
        <f>AJ704-AK704</f>
        <v/>
      </c>
      <c r="AM704" s="599">
        <f>scheduleapr[[#This Row],[SCHEDULE in nos]]/scheduleapr[[#This Row],[SCHEDULE IN MT]]*scheduleapr[[#This Row],[CTL Stock]]</f>
        <v/>
      </c>
      <c r="AN704" s="599">
        <f>SUMIFS(stock[MT],stock[Bucket],scheduleapr[[#This Row],[Bucket]],stock[CTL Bucket],scheduleapr[[#This Row],[CTL Bucket]],stock[Plant],"0789")</f>
        <v/>
      </c>
      <c r="AO704" s="599" t="n"/>
      <c r="AP704" s="599">
        <f>SUMIFS(stock[MT],stock[Bucket],scheduleapr[[#This Row],[Bucket]],stock[LL or CTL],"LL")</f>
        <v/>
      </c>
      <c r="AQ704" s="79">
        <f>+SUMIFS(wip[Stock(Net Wt)],wip[Bucket],scheduleapr[[#This Row],[Bucket]])/1000</f>
        <v/>
      </c>
      <c r="AR704" s="599">
        <f>AJ704-AN704</f>
        <v/>
      </c>
      <c r="AS704" s="118" t="n"/>
    </row>
    <row r="705">
      <c r="A705" s="125" t="n">
        <v>580</v>
      </c>
      <c r="B705" s="5" t="inlineStr">
        <is>
          <t xml:space="preserve">Khopoli </t>
        </is>
      </c>
      <c r="C705" s="601" t="inlineStr">
        <is>
          <t>SRIKAM HITECH</t>
        </is>
      </c>
      <c r="D705" s="601" t="inlineStr">
        <is>
          <t>Srikam HI-Tech</t>
        </is>
      </c>
      <c r="E705" s="601" t="n">
        <v>944141</v>
      </c>
      <c r="F705" s="539" t="n">
        <v>1938163</v>
      </c>
      <c r="G705" s="100">
        <f>_xlfn.CONCAT(scheduleapr[[#This Row],[CUSTOMER CODE]],"-",scheduleapr[[#This Row],[MATERIAL NO]])</f>
        <v/>
      </c>
      <c r="H705" s="539" t="inlineStr">
        <is>
          <t>TUB-O-N-AUT-AW-PE-17.30X1.600X0.6400</t>
        </is>
      </c>
      <c r="I705" s="601" t="inlineStr">
        <is>
          <t>ERW 1</t>
        </is>
      </c>
      <c r="J705" s="601" t="n"/>
      <c r="K705" s="601" t="inlineStr">
        <is>
          <t>PE</t>
        </is>
      </c>
      <c r="L705" s="601" t="inlineStr">
        <is>
          <t>CR</t>
        </is>
      </c>
      <c r="M705" s="601" t="inlineStr">
        <is>
          <t>D</t>
        </is>
      </c>
      <c r="N705" s="601" t="n"/>
      <c r="O705" s="601" t="n"/>
      <c r="P705" s="601" t="n"/>
      <c r="Q705" s="557">
        <f>CONCATENATE(scheduleapr[[#This Row],[OD]],"-",scheduleapr[[#This Row],[ID]],"-",scheduleapr[[#This Row],[TICKNESS]],"-",scheduleapr[[#This Row],[Grade]],"-",scheduleapr[[#This Row],[FC/NFC]])</f>
        <v/>
      </c>
      <c r="R705" s="557">
        <f>_xlfn.CONCAT(scheduleapr[[#This Row],[Bucket]],"-",scheduleapr[[#This Row],[LENGTH]]/1000)</f>
        <v/>
      </c>
      <c r="S705" s="557">
        <f>COUNTIF(scheduleapr[CTL Bucket],scheduleapr[[#This Row],[CTL Bucket]])</f>
        <v/>
      </c>
      <c r="T705" s="601" t="inlineStr">
        <is>
          <t>Khopoli</t>
        </is>
      </c>
      <c r="U705" s="601">
        <f>_xlfn.IFNA(VLOOKUP(scheduleapr[[#This Row],[Bucket]],salesforecast[[#All],[Bucket2]:[8406 Stock]],19,0),0)</f>
        <v/>
      </c>
      <c r="V705" s="562">
        <f>_xlfn.IFNA(VLOOKUP(scheduleapr[[#This Row],[Bucket]],salesforecast[[#All],[Bucket2]:[8406 Stock]],20,0),0)+_xlfn.IFNA(VLOOKUP(scheduleapr[[#This Row],[Bucket]],salesforecast[[#All],[Bucket2]:[8406 Stock]],17,0),0)</f>
        <v/>
      </c>
      <c r="W705" s="557" t="n"/>
      <c r="X705" s="599" t="n">
        <v>17.3</v>
      </c>
      <c r="Y705" s="599" t="n">
        <v>17.3</v>
      </c>
      <c r="Z705" s="6" t="n">
        <v>0</v>
      </c>
      <c r="AA705" s="599" t="n">
        <v>1.6</v>
      </c>
      <c r="AB705" s="600" t="n">
        <v>640</v>
      </c>
      <c r="AC705" s="600" t="inlineStr">
        <is>
          <t>NOS</t>
        </is>
      </c>
      <c r="AD705" s="600" t="n"/>
      <c r="AE705" s="600" t="n"/>
      <c r="AF705" s="596" t="n">
        <v>5000</v>
      </c>
      <c r="AG705" s="596" t="inlineStr">
        <is>
          <t>Aug 2026 schedule · srikam</t>
        </is>
      </c>
      <c r="AH705" s="601">
        <f t="array" ref="AH70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5" s="602">
        <f>scheduleapr[[#This Row],[SCHEDULE in nos]]-scheduleapr[[#This Row],[DISPATCH]]</f>
        <v/>
      </c>
      <c r="AJ705" s="599">
        <f>(3.14*(scheduleapr[[#This Row],[ACTUAL OD]]-scheduleapr[[#This Row],[TICKNESS]])*scheduleapr[[#This Row],[TICKNESS]]*scheduleapr[[#This Row],[LENGTH]]*7.85)/1000000*scheduleapr[[#This Row],[SCHEDULE in nos]]/1000</f>
        <v/>
      </c>
      <c r="AK705" s="599">
        <f>(3.14*(scheduleapr[[#This Row],[ACTUAL OD]]-scheduleapr[[#This Row],[TICKNESS]])*scheduleapr[[#This Row],[TICKNESS]]*scheduleapr[[#This Row],[LENGTH]]*7.85)/1000000*scheduleapr[[#This Row],[DISPATCH]]/1000</f>
        <v/>
      </c>
      <c r="AL705" s="599">
        <f>AJ705-AK705</f>
        <v/>
      </c>
      <c r="AM705" s="599">
        <f>scheduleapr[[#This Row],[SCHEDULE in nos]]/scheduleapr[[#This Row],[SCHEDULE IN MT]]*scheduleapr[[#This Row],[CTL Stock]]</f>
        <v/>
      </c>
      <c r="AN705" s="599">
        <f>SUMIFS(stock[MT],stock[Bucket],scheduleapr[[#This Row],[Bucket]],stock[CTL Bucket],scheduleapr[[#This Row],[CTL Bucket]],stock[Plant],"0789")</f>
        <v/>
      </c>
      <c r="AO705" s="599" t="n"/>
      <c r="AP705" s="599">
        <f>SUMIFS(stock[MT],stock[Bucket],scheduleapr[[#This Row],[Bucket]],stock[LL or CTL],"LL")</f>
        <v/>
      </c>
      <c r="AQ705" s="599">
        <f>+SUMIFS(wip[Stock(Net Wt)],wip[Bucket],scheduleapr[[#This Row],[Bucket]])/1000</f>
        <v/>
      </c>
      <c r="AR705" s="599">
        <f>AJ705-AN705</f>
        <v/>
      </c>
      <c r="AS705" s="118" t="n"/>
    </row>
    <row r="706">
      <c r="A706" s="594" t="n">
        <v>583</v>
      </c>
      <c r="B706" s="5" t="inlineStr">
        <is>
          <t>Hosur</t>
        </is>
      </c>
      <c r="C706" s="601" t="inlineStr">
        <is>
          <t>SRIKAM HITECH</t>
        </is>
      </c>
      <c r="D706" s="601" t="inlineStr">
        <is>
          <t>Srikam HI-Tech</t>
        </is>
      </c>
      <c r="E706" s="601" t="n">
        <v>944141</v>
      </c>
      <c r="F706" s="543" t="n">
        <v>3838038</v>
      </c>
      <c r="G706" s="100">
        <f>_xlfn.CONCAT(scheduleapr[[#This Row],[CUSTOMER CODE]],"-",scheduleapr[[#This Row],[MATERIAL NO]])</f>
        <v/>
      </c>
      <c r="H706" s="543" t="inlineStr">
        <is>
          <t>CUT-O-N-AUT-AW-PE-19.05X1.600X0.2580</t>
        </is>
      </c>
      <c r="I706" s="601" t="inlineStr">
        <is>
          <t>ERW 1</t>
        </is>
      </c>
      <c r="J706" s="601" t="n"/>
      <c r="K706" s="601" t="inlineStr">
        <is>
          <t>PE</t>
        </is>
      </c>
      <c r="L706" s="601" t="inlineStr">
        <is>
          <t>CR</t>
        </is>
      </c>
      <c r="M706" s="49" t="inlineStr">
        <is>
          <t>NORMAL</t>
        </is>
      </c>
      <c r="N706" s="601" t="n"/>
      <c r="O706" s="601" t="n"/>
      <c r="P706" s="601" t="n"/>
      <c r="Q706" s="557">
        <f>CONCATENATE(scheduleapr[[#This Row],[OD]],"-",scheduleapr[[#This Row],[ID]],"-",scheduleapr[[#This Row],[TICKNESS]],"-",scheduleapr[[#This Row],[Grade]],"-",scheduleapr[[#This Row],[FC/NFC]])</f>
        <v/>
      </c>
      <c r="R706" s="557">
        <f>_xlfn.CONCAT(scheduleapr[[#This Row],[Bucket]],"-",scheduleapr[[#This Row],[LENGTH]]/1000)</f>
        <v/>
      </c>
      <c r="S706" s="557">
        <f>COUNTIF([2]!buckets[CTL Bucket],[2]!scheduleapr[[#This Row],[CTL Bucket]])</f>
        <v/>
      </c>
      <c r="T706" s="557" t="n"/>
      <c r="U706" s="557" t="n"/>
      <c r="V706" s="557" t="n"/>
      <c r="W706" s="557" t="n"/>
      <c r="X706" s="599" t="n">
        <v>19.05</v>
      </c>
      <c r="Y706" s="599" t="n">
        <v>19.05</v>
      </c>
      <c r="Z706" s="6" t="n">
        <v>0</v>
      </c>
      <c r="AA706" s="599" t="n">
        <v>1.6</v>
      </c>
      <c r="AB706" s="600" t="n">
        <v>258</v>
      </c>
      <c r="AC706" s="600" t="inlineStr">
        <is>
          <t>NOS</t>
        </is>
      </c>
      <c r="AD706" s="600" t="n"/>
      <c r="AE706" s="600" t="n"/>
      <c r="AF706" s="601" t="n"/>
      <c r="AG706" s="601" t="n"/>
      <c r="AH706" s="601">
        <f t="array" ref="AH70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6" s="602">
        <f>scheduleapr[[#This Row],[SCHEDULE in nos]]-scheduleapr[[#This Row],[DISPATCH]]</f>
        <v/>
      </c>
      <c r="AJ706" s="599">
        <f>(3.14*(scheduleapr[[#This Row],[ACTUAL OD]]-scheduleapr[[#This Row],[TICKNESS]])*scheduleapr[[#This Row],[TICKNESS]]*scheduleapr[[#This Row],[LENGTH]]*7.85)/1000000*scheduleapr[[#This Row],[SCHEDULE in nos]]/1000</f>
        <v/>
      </c>
      <c r="AK706" s="599">
        <f>(3.14*(scheduleapr[[#This Row],[ACTUAL OD]]-scheduleapr[[#This Row],[TICKNESS]])*scheduleapr[[#This Row],[TICKNESS]]*scheduleapr[[#This Row],[LENGTH]]*7.85)/1000000*scheduleapr[[#This Row],[DISPATCH]]/1000</f>
        <v/>
      </c>
      <c r="AL706" s="599">
        <f>AJ706-AK706</f>
        <v/>
      </c>
      <c r="AM706" s="599">
        <f>scheduleapr[[#This Row],[SCHEDULE in nos]]/scheduleapr[[#This Row],[SCHEDULE IN MT]]*scheduleapr[[#This Row],[CTL Stock]]</f>
        <v/>
      </c>
      <c r="AN706" s="599">
        <f>SUMIFS(stock[MT],stock[Bucket],scheduleapr[[#This Row],[Bucket]],stock[CTL Bucket],scheduleapr[[#This Row],[CTL Bucket]],stock[Plant],"0789")</f>
        <v/>
      </c>
      <c r="AO706" s="599" t="n"/>
      <c r="AP706" s="599">
        <f>SUMIFS(stock[MT],stock[Bucket],scheduleapr[[#This Row],[Bucket]],stock[LL or CTL],"LL")</f>
        <v/>
      </c>
      <c r="AQ706" s="599">
        <f>+SUMIFS(wip[Stock(Net Wt)],wip[Bucket],scheduleapr[[#This Row],[Bucket]])/1000</f>
        <v/>
      </c>
      <c r="AR706" s="599">
        <f>AJ706-AN706</f>
        <v/>
      </c>
      <c r="AS706" s="118" t="n"/>
    </row>
    <row r="707">
      <c r="A707" s="125" t="n">
        <v>584</v>
      </c>
      <c r="B707" s="5" t="inlineStr">
        <is>
          <t>Hosur</t>
        </is>
      </c>
      <c r="C707" s="601" t="inlineStr">
        <is>
          <t>SRIKAM HITECH</t>
        </is>
      </c>
      <c r="D707" s="601" t="inlineStr">
        <is>
          <t>Srikam HI-Tech</t>
        </is>
      </c>
      <c r="E707" s="601" t="n">
        <v>944141</v>
      </c>
      <c r="F707" s="543" t="n">
        <v>3850310</v>
      </c>
      <c r="G707" s="100">
        <f>_xlfn.CONCAT(scheduleapr[[#This Row],[CUSTOMER CODE]],"-",scheduleapr[[#This Row],[MATERIAL NO]])</f>
        <v/>
      </c>
      <c r="H707" s="539" t="inlineStr">
        <is>
          <t>CUT-O-N-AUT-AW-PE-19.05X1.600X0.2680</t>
        </is>
      </c>
      <c r="I707" s="601" t="inlineStr">
        <is>
          <t>ERW 1</t>
        </is>
      </c>
      <c r="J707" s="601" t="n"/>
      <c r="K707" s="601" t="inlineStr">
        <is>
          <t>PE</t>
        </is>
      </c>
      <c r="L707" s="601" t="inlineStr">
        <is>
          <t>CR</t>
        </is>
      </c>
      <c r="M707" s="601" t="inlineStr">
        <is>
          <t>WG</t>
        </is>
      </c>
      <c r="N707" s="601" t="n"/>
      <c r="O707" s="601" t="n"/>
      <c r="P707" s="601" t="n"/>
      <c r="Q707" s="557">
        <f>CONCATENATE(scheduleapr[[#This Row],[OD]],"-",scheduleapr[[#This Row],[ID]],"-",scheduleapr[[#This Row],[TICKNESS]],"-",scheduleapr[[#This Row],[Grade]],"-",scheduleapr[[#This Row],[FC/NFC]])</f>
        <v/>
      </c>
      <c r="R707" s="557">
        <f>_xlfn.CONCAT(scheduleapr[[#This Row],[Bucket]],"-",scheduleapr[[#This Row],[LENGTH]]/1000)</f>
        <v/>
      </c>
      <c r="S707" s="557">
        <f>COUNTIF([2]!buckets[CTL Bucket],[2]!scheduleapr[[#This Row],[CTL Bucket]])</f>
        <v/>
      </c>
      <c r="T707" s="557" t="n"/>
      <c r="U707" s="557" t="n"/>
      <c r="V707" s="557" t="n"/>
      <c r="W707" s="557" t="n"/>
      <c r="X707" s="599" t="n">
        <v>19.05</v>
      </c>
      <c r="Y707" s="599" t="n">
        <v>19.05</v>
      </c>
      <c r="Z707" s="6" t="n">
        <v>0</v>
      </c>
      <c r="AA707" s="599" t="n">
        <v>1.6</v>
      </c>
      <c r="AB707" s="600" t="n">
        <v>268</v>
      </c>
      <c r="AC707" s="600" t="inlineStr">
        <is>
          <t>NOS</t>
        </is>
      </c>
      <c r="AD707" s="600" t="n"/>
      <c r="AE707" s="600" t="n"/>
      <c r="AF707" s="601" t="n"/>
      <c r="AG707" s="601" t="n"/>
      <c r="AH707" s="601">
        <f t="array" ref="AH70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7" s="602">
        <f>scheduleapr[[#This Row],[SCHEDULE in nos]]-scheduleapr[[#This Row],[DISPATCH]]</f>
        <v/>
      </c>
      <c r="AJ707" s="599">
        <f>(3.14*(scheduleapr[[#This Row],[ACTUAL OD]]-scheduleapr[[#This Row],[TICKNESS]])*scheduleapr[[#This Row],[TICKNESS]]*scheduleapr[[#This Row],[LENGTH]]*7.85)/1000000*scheduleapr[[#This Row],[SCHEDULE in nos]]/1000</f>
        <v/>
      </c>
      <c r="AK707" s="599">
        <f>(3.14*(scheduleapr[[#This Row],[ACTUAL OD]]-scheduleapr[[#This Row],[TICKNESS]])*scheduleapr[[#This Row],[TICKNESS]]*scheduleapr[[#This Row],[LENGTH]]*7.85)/1000000*scheduleapr[[#This Row],[DISPATCH]]/1000</f>
        <v/>
      </c>
      <c r="AL707" s="599">
        <f>AJ707-AK707</f>
        <v/>
      </c>
      <c r="AM707" s="599">
        <f>scheduleapr[[#This Row],[SCHEDULE in nos]]/scheduleapr[[#This Row],[SCHEDULE IN MT]]*scheduleapr[[#This Row],[CTL Stock]]</f>
        <v/>
      </c>
      <c r="AN707" s="599">
        <f>SUMIFS(stock[MT],stock[Bucket],scheduleapr[[#This Row],[Bucket]],stock[CTL Bucket],scheduleapr[[#This Row],[CTL Bucket]],stock[Plant],"0789")</f>
        <v/>
      </c>
      <c r="AO707" s="599" t="n"/>
      <c r="AP707" s="599">
        <f>SUMIFS(stock[MT],stock[Bucket],scheduleapr[[#This Row],[Bucket]],stock[LL or CTL],"LL")</f>
        <v/>
      </c>
      <c r="AQ707" s="599">
        <f>+SUMIFS(wip[Stock(Net Wt)],wip[Bucket],scheduleapr[[#This Row],[Bucket]])/1000</f>
        <v/>
      </c>
      <c r="AR707" s="599">
        <f>AJ707-AN707</f>
        <v/>
      </c>
      <c r="AS707" s="118" t="n"/>
    </row>
    <row r="708">
      <c r="A708" s="594" t="n">
        <v>585</v>
      </c>
      <c r="B708" s="5" t="inlineStr">
        <is>
          <t>Hosur</t>
        </is>
      </c>
      <c r="C708" s="601" t="inlineStr">
        <is>
          <t>SRIKAM HITECH</t>
        </is>
      </c>
      <c r="D708" s="601" t="inlineStr">
        <is>
          <t>Srikam HI-Tech</t>
        </is>
      </c>
      <c r="E708" s="601" t="n">
        <v>944141</v>
      </c>
      <c r="F708" s="539" t="n">
        <v>3217232</v>
      </c>
      <c r="G708" s="100">
        <f>_xlfn.CONCAT(scheduleapr[[#This Row],[CUSTOMER CODE]],"-",scheduleapr[[#This Row],[MATERIAL NO]])</f>
        <v/>
      </c>
      <c r="H708" s="539" t="inlineStr">
        <is>
          <t>TUB-O-N-AUT-AW-PE-19.05X1.600X0.2750</t>
        </is>
      </c>
      <c r="I708" s="601" t="inlineStr">
        <is>
          <t>ERW 1</t>
        </is>
      </c>
      <c r="J708" s="601" t="n"/>
      <c r="K708" s="601" t="inlineStr">
        <is>
          <t>PE</t>
        </is>
      </c>
      <c r="L708" s="601" t="inlineStr">
        <is>
          <t>CR</t>
        </is>
      </c>
      <c r="M708" s="49" t="inlineStr">
        <is>
          <t>HROP</t>
        </is>
      </c>
      <c r="N708" s="601" t="n"/>
      <c r="O708" s="601" t="n"/>
      <c r="P708" s="601" t="n"/>
      <c r="Q708" s="557">
        <f>CONCATENATE(scheduleapr[[#This Row],[OD]],"-",scheduleapr[[#This Row],[ID]],"-",scheduleapr[[#This Row],[TICKNESS]],"-",scheduleapr[[#This Row],[Grade]],"-",scheduleapr[[#This Row],[FC/NFC]])</f>
        <v/>
      </c>
      <c r="R708" s="557">
        <f>_xlfn.CONCAT(scheduleapr[[#This Row],[Bucket]],"-",scheduleapr[[#This Row],[LENGTH]]/1000)</f>
        <v/>
      </c>
      <c r="S708" s="557">
        <f>COUNTIF([2]!buckets[CTL Bucket],[2]!scheduleapr[[#This Row],[CTL Bucket]])</f>
        <v/>
      </c>
      <c r="T708" s="601" t="inlineStr">
        <is>
          <t>Hosur</t>
        </is>
      </c>
      <c r="U708" s="601" t="n"/>
      <c r="V708" s="557" t="n"/>
      <c r="W708" s="557" t="n"/>
      <c r="X708" s="599" t="n">
        <v>19.05</v>
      </c>
      <c r="Y708" s="599" t="n">
        <v>19.05</v>
      </c>
      <c r="Z708" s="6" t="n">
        <v>0</v>
      </c>
      <c r="AA708" s="599" t="n">
        <v>1.6</v>
      </c>
      <c r="AB708" s="600" t="n">
        <v>275</v>
      </c>
      <c r="AC708" s="600" t="inlineStr">
        <is>
          <t>NOS</t>
        </is>
      </c>
      <c r="AD708" s="600" t="n"/>
      <c r="AE708" s="600" t="n"/>
      <c r="AF708" s="601" t="n"/>
      <c r="AG708" s="601" t="n"/>
      <c r="AH708" s="601">
        <f t="array" ref="AH70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8" s="602">
        <f>scheduleapr[[#This Row],[SCHEDULE in nos]]-scheduleapr[[#This Row],[DISPATCH]]</f>
        <v/>
      </c>
      <c r="AJ708" s="599">
        <f>(3.14*(scheduleapr[[#This Row],[ACTUAL OD]]-scheduleapr[[#This Row],[TICKNESS]])*scheduleapr[[#This Row],[TICKNESS]]*scheduleapr[[#This Row],[LENGTH]]*7.85)/1000000*scheduleapr[[#This Row],[SCHEDULE in nos]]/1000</f>
        <v/>
      </c>
      <c r="AK708" s="599">
        <f>(3.14*(scheduleapr[[#This Row],[ACTUAL OD]]-scheduleapr[[#This Row],[TICKNESS]])*scheduleapr[[#This Row],[TICKNESS]]*scheduleapr[[#This Row],[LENGTH]]*7.85)/1000000*scheduleapr[[#This Row],[DISPATCH]]/1000</f>
        <v/>
      </c>
      <c r="AL708" s="599">
        <f>AJ708-AK708</f>
        <v/>
      </c>
      <c r="AM708" s="599">
        <f>scheduleapr[[#This Row],[SCHEDULE in nos]]/scheduleapr[[#This Row],[SCHEDULE IN MT]]*scheduleapr[[#This Row],[CTL Stock]]</f>
        <v/>
      </c>
      <c r="AN708" s="599">
        <f>SUMIFS(stock[MT],stock[Bucket],scheduleapr[[#This Row],[Bucket]],stock[CTL Bucket],scheduleapr[[#This Row],[CTL Bucket]],stock[Plant],"0789")</f>
        <v/>
      </c>
      <c r="AO708" s="599" t="n"/>
      <c r="AP708" s="599">
        <f>SUMIFS(stock[MT],stock[Bucket],scheduleapr[[#This Row],[Bucket]],stock[LL or CTL],"LL")</f>
        <v/>
      </c>
      <c r="AQ708" s="599">
        <f>+SUMIFS(wip[Stock(Net Wt)],wip[Bucket],scheduleapr[[#This Row],[Bucket]])/1000</f>
        <v/>
      </c>
      <c r="AR708" s="599">
        <f>AJ708-AN708</f>
        <v/>
      </c>
      <c r="AS708" s="118" t="n"/>
    </row>
    <row r="709">
      <c r="A709" s="125" t="n">
        <v>586</v>
      </c>
      <c r="B709" s="5" t="inlineStr">
        <is>
          <t>Hosur</t>
        </is>
      </c>
      <c r="C709" s="601" t="inlineStr">
        <is>
          <t>SRIKAM HITECH</t>
        </is>
      </c>
      <c r="D709" s="601" t="inlineStr">
        <is>
          <t>Srikam HI-Tech</t>
        </is>
      </c>
      <c r="E709" s="601" t="n">
        <v>944141</v>
      </c>
      <c r="F709" s="539" t="n">
        <v>1940262</v>
      </c>
      <c r="G709" s="100">
        <f>_xlfn.CONCAT(scheduleapr[[#This Row],[CUSTOMER CODE]],"-",scheduleapr[[#This Row],[MATERIAL NO]])</f>
        <v/>
      </c>
      <c r="H709" s="539" t="inlineStr">
        <is>
          <t>TUB-O-O-AUT-AW-PE-19.05X2.000X0.1040</t>
        </is>
      </c>
      <c r="I709" s="601" t="inlineStr">
        <is>
          <t>ERW 1</t>
        </is>
      </c>
      <c r="J709" s="601" t="n"/>
      <c r="K709" s="601" t="inlineStr">
        <is>
          <t>PE</t>
        </is>
      </c>
      <c r="L709" s="601" t="inlineStr">
        <is>
          <t>HR</t>
        </is>
      </c>
      <c r="M709" s="601" t="n"/>
      <c r="N709" s="601" t="n"/>
      <c r="O709" s="601" t="n"/>
      <c r="P709" s="601" t="n"/>
      <c r="Q709" s="557">
        <f>CONCATENATE(scheduleapr[[#This Row],[OD]],"-",scheduleapr[[#This Row],[ID]],"-",scheduleapr[[#This Row],[TICKNESS]],"-",scheduleapr[[#This Row],[Grade]],"-",scheduleapr[[#This Row],[FC/NFC]])</f>
        <v/>
      </c>
      <c r="R709" s="557">
        <f>_xlfn.CONCAT(scheduleapr[[#This Row],[Bucket]],"-",scheduleapr[[#This Row],[LENGTH]]/1000)</f>
        <v/>
      </c>
      <c r="S709" s="557">
        <f>COUNTIF(scheduleapr[CTL Bucket],scheduleapr[[#This Row],[CTL Bucket]])</f>
        <v/>
      </c>
      <c r="T709" s="601" t="inlineStr">
        <is>
          <t>Hosur</t>
        </is>
      </c>
      <c r="U709" s="601">
        <f>_xlfn.IFNA(VLOOKUP(scheduleapr[[#This Row],[Bucket]],salesforecast[[#All],[Bucket2]:[8406 Stock]],19,0),0)</f>
        <v/>
      </c>
      <c r="V709" s="562">
        <f>_xlfn.IFNA(VLOOKUP(scheduleapr[[#This Row],[Bucket]],salesforecast[[#All],[Bucket2]:[8406 Stock]],20,0),0)+_xlfn.IFNA(VLOOKUP(scheduleapr[[#This Row],[Bucket]],salesforecast[[#All],[Bucket2]:[8406 Stock]],17,0),0)</f>
        <v/>
      </c>
      <c r="W709" s="557" t="n"/>
      <c r="X709" s="599" t="n">
        <v>19.05</v>
      </c>
      <c r="Y709" s="599" t="n">
        <v>19.05</v>
      </c>
      <c r="Z709" s="6" t="n">
        <v>0</v>
      </c>
      <c r="AA709" s="599" t="n">
        <v>2</v>
      </c>
      <c r="AB709" s="600" t="n">
        <v>104</v>
      </c>
      <c r="AC709" s="600" t="inlineStr">
        <is>
          <t>NOS</t>
        </is>
      </c>
      <c r="AD709" s="600" t="inlineStr">
        <is>
          <t>Megh Steel</t>
        </is>
      </c>
      <c r="AE709" s="600" t="n"/>
      <c r="AF709" s="601" t="n"/>
      <c r="AG709" s="601" t="n"/>
      <c r="AH709" s="601">
        <f t="array" ref="AH70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09" s="602">
        <f>scheduleapr[[#This Row],[SCHEDULE in nos]]-scheduleapr[[#This Row],[DISPATCH]]</f>
        <v/>
      </c>
      <c r="AJ709" s="599">
        <f>(3.14*(scheduleapr[[#This Row],[ACTUAL OD]]-scheduleapr[[#This Row],[TICKNESS]])*scheduleapr[[#This Row],[TICKNESS]]*scheduleapr[[#This Row],[LENGTH]]*7.85)/1000000*scheduleapr[[#This Row],[SCHEDULE in nos]]/1000</f>
        <v/>
      </c>
      <c r="AK709" s="599">
        <f>(3.14*(scheduleapr[[#This Row],[ACTUAL OD]]-scheduleapr[[#This Row],[TICKNESS]])*scheduleapr[[#This Row],[TICKNESS]]*scheduleapr[[#This Row],[LENGTH]]*7.85)/1000000*scheduleapr[[#This Row],[DISPATCH]]/1000</f>
        <v/>
      </c>
      <c r="AL709" s="599">
        <f>AJ709-AK709</f>
        <v/>
      </c>
      <c r="AM709" s="599">
        <f>scheduleapr[[#This Row],[SCHEDULE in nos]]/scheduleapr[[#This Row],[SCHEDULE IN MT]]*scheduleapr[[#This Row],[CTL Stock]]</f>
        <v/>
      </c>
      <c r="AN709" s="599">
        <f>SUMIFS(stock[MT],stock[Bucket],scheduleapr[[#This Row],[Bucket]],stock[CTL Bucket],scheduleapr[[#This Row],[CTL Bucket]],stock[Plant],"0789")</f>
        <v/>
      </c>
      <c r="AO709" s="599" t="n"/>
      <c r="AP709" s="599">
        <f>SUMIFS(stock[MT],stock[Bucket],scheduleapr[[#This Row],[Bucket]],stock[LL or CTL],"LL")</f>
        <v/>
      </c>
      <c r="AQ709" s="79">
        <f>+SUMIFS(wip[Stock(Net Wt)],wip[Bucket],scheduleapr[[#This Row],[Bucket]])/1000</f>
        <v/>
      </c>
      <c r="AR709" s="599">
        <f>AJ709-AN709</f>
        <v/>
      </c>
      <c r="AS709" s="118" t="n"/>
    </row>
    <row r="710">
      <c r="A710" s="594" t="n">
        <v>589</v>
      </c>
      <c r="B710" s="5" t="inlineStr">
        <is>
          <t>Hosur</t>
        </is>
      </c>
      <c r="C710" s="601" t="inlineStr">
        <is>
          <t>SRIKAM HITECH</t>
        </is>
      </c>
      <c r="D710" s="601" t="inlineStr">
        <is>
          <t>Srikam HI-Tech</t>
        </is>
      </c>
      <c r="E710" s="601" t="n">
        <v>944141</v>
      </c>
      <c r="F710" s="539" t="n">
        <v>1940287</v>
      </c>
      <c r="G710" s="100">
        <f>_xlfn.CONCAT(scheduleapr[[#This Row],[CUSTOMER CODE]],"-",scheduleapr[[#This Row],[MATERIAL NO]])</f>
        <v/>
      </c>
      <c r="H710" s="539" t="inlineStr">
        <is>
          <t>TUB-O-O-AUT-AW-PE-19.05X2.000X0.8150</t>
        </is>
      </c>
      <c r="I710" s="601" t="inlineStr">
        <is>
          <t>ERW 1</t>
        </is>
      </c>
      <c r="J710" s="601" t="n"/>
      <c r="K710" s="601" t="inlineStr">
        <is>
          <t>PE</t>
        </is>
      </c>
      <c r="L710" s="601" t="inlineStr">
        <is>
          <t>HR</t>
        </is>
      </c>
      <c r="M710" s="601" t="n"/>
      <c r="N710" s="601" t="n"/>
      <c r="O710" s="601" t="n"/>
      <c r="P710" s="601" t="n"/>
      <c r="Q710" s="557">
        <f>CONCATENATE(scheduleapr[[#This Row],[OD]],"-",scheduleapr[[#This Row],[ID]],"-",scheduleapr[[#This Row],[TICKNESS]],"-",scheduleapr[[#This Row],[Grade]],"-",scheduleapr[[#This Row],[FC/NFC]])</f>
        <v/>
      </c>
      <c r="R710" s="557">
        <f>_xlfn.CONCAT(scheduleapr[[#This Row],[Bucket]],"-",scheduleapr[[#This Row],[LENGTH]]/1000)</f>
        <v/>
      </c>
      <c r="S710" s="557">
        <f>COUNTIF(scheduleapr[CTL Bucket],scheduleapr[[#This Row],[CTL Bucket]])</f>
        <v/>
      </c>
      <c r="T710" s="601" t="inlineStr">
        <is>
          <t>Hosur</t>
        </is>
      </c>
      <c r="U710" s="601">
        <f>_xlfn.IFNA(VLOOKUP(scheduleapr[[#This Row],[Bucket]],salesforecast[[#All],[Bucket2]:[8406 Stock]],19,0),0)</f>
        <v/>
      </c>
      <c r="V710" s="562">
        <f>_xlfn.IFNA(VLOOKUP(scheduleapr[[#This Row],[Bucket]],salesforecast[[#All],[Bucket2]:[8406 Stock]],20,0),0)+_xlfn.IFNA(VLOOKUP(scheduleapr[[#This Row],[Bucket]],salesforecast[[#All],[Bucket2]:[8406 Stock]],17,0),0)</f>
        <v/>
      </c>
      <c r="W710" s="557" t="n"/>
      <c r="X710" s="599" t="n">
        <v>19.05</v>
      </c>
      <c r="Y710" s="599" t="n">
        <v>19.05</v>
      </c>
      <c r="Z710" s="6" t="n">
        <v>0</v>
      </c>
      <c r="AA710" s="599" t="n">
        <v>2</v>
      </c>
      <c r="AB710" s="600" t="n">
        <v>815</v>
      </c>
      <c r="AC710" s="600" t="inlineStr">
        <is>
          <t>NOS</t>
        </is>
      </c>
      <c r="AD710" s="600" t="inlineStr">
        <is>
          <t>Megh Steel</t>
        </is>
      </c>
      <c r="AE710" s="600" t="n">
        <v>8000</v>
      </c>
      <c r="AF710" s="601" t="n">
        <v>50000</v>
      </c>
      <c r="AG710" s="601" t="inlineStr">
        <is>
          <t>Aug 2026 schedule · srikam</t>
        </is>
      </c>
      <c r="AH710" s="601">
        <f t="array" ref="AH71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0" s="602">
        <f>scheduleapr[[#This Row],[SCHEDULE in nos]]-scheduleapr[[#This Row],[DISPATCH]]</f>
        <v/>
      </c>
      <c r="AJ710" s="599">
        <f>(3.14*(scheduleapr[[#This Row],[ACTUAL OD]]-scheduleapr[[#This Row],[TICKNESS]])*scheduleapr[[#This Row],[TICKNESS]]*scheduleapr[[#This Row],[LENGTH]]*7.85)/1000000*scheduleapr[[#This Row],[SCHEDULE in nos]]/1000</f>
        <v/>
      </c>
      <c r="AK710" s="599">
        <f>(3.14*(scheduleapr[[#This Row],[ACTUAL OD]]-scheduleapr[[#This Row],[TICKNESS]])*scheduleapr[[#This Row],[TICKNESS]]*scheduleapr[[#This Row],[LENGTH]]*7.85)/1000000*scheduleapr[[#This Row],[DISPATCH]]/1000</f>
        <v/>
      </c>
      <c r="AL710" s="599">
        <f>AJ710-AK710</f>
        <v/>
      </c>
      <c r="AM710" s="599">
        <f>scheduleapr[[#This Row],[SCHEDULE in nos]]/scheduleapr[[#This Row],[SCHEDULE IN MT]]*scheduleapr[[#This Row],[CTL Stock]]</f>
        <v/>
      </c>
      <c r="AN710" s="599">
        <f>SUMIFS(stock[MT],stock[Bucket],scheduleapr[[#This Row],[Bucket]],stock[CTL Bucket],scheduleapr[[#This Row],[CTL Bucket]],stock[Plant],"0789")</f>
        <v/>
      </c>
      <c r="AO710" s="599" t="n"/>
      <c r="AP710" s="599">
        <f>SUMIFS(stock[MT],stock[Bucket],scheduleapr[[#This Row],[Bucket]],stock[LL or CTL],"LL")</f>
        <v/>
      </c>
      <c r="AQ710" s="599">
        <f>+SUMIFS(wip[Stock(Net Wt)],wip[Bucket],scheduleapr[[#This Row],[Bucket]])/1000</f>
        <v/>
      </c>
      <c r="AR710" s="599">
        <f>AJ710-AN710</f>
        <v/>
      </c>
      <c r="AS710" s="118" t="n"/>
    </row>
    <row r="711">
      <c r="A711" s="125" t="n">
        <v>590</v>
      </c>
      <c r="B711" s="110" t="inlineStr">
        <is>
          <t>Hosur</t>
        </is>
      </c>
      <c r="C711" s="111" t="inlineStr">
        <is>
          <t>SRIKAM HITECH</t>
        </is>
      </c>
      <c r="D711" s="601" t="inlineStr">
        <is>
          <t>Srikam HI-Tech</t>
        </is>
      </c>
      <c r="E711" s="111" t="n">
        <v>944141</v>
      </c>
      <c r="F711" s="581" t="n">
        <v>1937438</v>
      </c>
      <c r="G711" s="100">
        <f>_xlfn.CONCAT(scheduleapr[[#This Row],[CUSTOMER CODE]],"-",scheduleapr[[#This Row],[MATERIAL NO]])</f>
        <v/>
      </c>
      <c r="H711" s="581" t="inlineStr">
        <is>
          <t>TUB-O-N-AUT-AW-PE-19.05X2.030X0.8300</t>
        </is>
      </c>
      <c r="I711" s="111" t="inlineStr">
        <is>
          <t>ERW 1</t>
        </is>
      </c>
      <c r="J711" s="601" t="n"/>
      <c r="K711" s="601" t="inlineStr">
        <is>
          <t>PE</t>
        </is>
      </c>
      <c r="L711" s="601" t="inlineStr">
        <is>
          <t>HR</t>
        </is>
      </c>
      <c r="M711" s="601" t="n"/>
      <c r="N711" s="601" t="n"/>
      <c r="O711" s="601" t="n"/>
      <c r="P711" s="601" t="n"/>
      <c r="Q711" s="557">
        <f>CONCATENATE(scheduleapr[[#This Row],[OD]],"-",scheduleapr[[#This Row],[ID]],"-",scheduleapr[[#This Row],[TICKNESS]],"-",scheduleapr[[#This Row],[Grade]],"-",scheduleapr[[#This Row],[FC/NFC]])</f>
        <v/>
      </c>
      <c r="R711" s="557">
        <f>_xlfn.CONCAT(scheduleapr[[#This Row],[Bucket]],"-",scheduleapr[[#This Row],[LENGTH]]/1000)</f>
        <v/>
      </c>
      <c r="S711" s="557">
        <f>COUNTIF([2]!buckets[CTL Bucket],[2]!scheduleapr[[#This Row],[CTL Bucket]])</f>
        <v/>
      </c>
      <c r="T711" s="601" t="inlineStr">
        <is>
          <t>Hosur</t>
        </is>
      </c>
      <c r="U711" s="601" t="inlineStr">
        <is>
          <t>Plan</t>
        </is>
      </c>
      <c r="V711" s="557" t="n"/>
      <c r="W711" s="557" t="n"/>
      <c r="X711" s="112" t="n">
        <v>19.05</v>
      </c>
      <c r="Y711" s="112" t="n">
        <v>19.05</v>
      </c>
      <c r="Z711" s="113" t="n">
        <v>0</v>
      </c>
      <c r="AA711" s="599" t="n">
        <v>2</v>
      </c>
      <c r="AB711" s="600" t="n">
        <v>830</v>
      </c>
      <c r="AC711" s="600" t="inlineStr">
        <is>
          <t>NOS</t>
        </is>
      </c>
      <c r="AD711" s="600" t="n"/>
      <c r="AE711" s="600" t="n"/>
      <c r="AF711" s="601" t="n"/>
      <c r="AG711" s="601" t="n"/>
      <c r="AH711" s="601">
        <f t="array" ref="AH71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1" s="602">
        <f>scheduleapr[[#This Row],[SCHEDULE in nos]]-scheduleapr[[#This Row],[DISPATCH]]</f>
        <v/>
      </c>
      <c r="AJ711" s="599">
        <f>(3.14*(scheduleapr[[#This Row],[ACTUAL OD]]-scheduleapr[[#This Row],[TICKNESS]])*scheduleapr[[#This Row],[TICKNESS]]*scheduleapr[[#This Row],[LENGTH]]*7.85)/1000000*scheduleapr[[#This Row],[SCHEDULE in nos]]/1000</f>
        <v/>
      </c>
      <c r="AK711" s="599">
        <f>(3.14*(scheduleapr[[#This Row],[ACTUAL OD]]-scheduleapr[[#This Row],[TICKNESS]])*scheduleapr[[#This Row],[TICKNESS]]*scheduleapr[[#This Row],[LENGTH]]*7.85)/1000000*scheduleapr[[#This Row],[DISPATCH]]/1000</f>
        <v/>
      </c>
      <c r="AL711" s="599">
        <f>AJ711-AK711</f>
        <v/>
      </c>
      <c r="AM711" s="599">
        <f>scheduleapr[[#This Row],[SCHEDULE in nos]]/scheduleapr[[#This Row],[SCHEDULE IN MT]]*scheduleapr[[#This Row],[CTL Stock]]</f>
        <v/>
      </c>
      <c r="AN711" s="599">
        <f>SUMIFS(stock[MT],stock[Bucket],scheduleapr[[#This Row],[Bucket]],stock[CTL Bucket],scheduleapr[[#This Row],[CTL Bucket]],stock[Plant],"0789")</f>
        <v/>
      </c>
      <c r="AO711" s="599" t="n"/>
      <c r="AP711" s="599">
        <f>SUMIFS(stock[MT],stock[Bucket],scheduleapr[[#This Row],[Bucket]],stock[LL or CTL],"LL")</f>
        <v/>
      </c>
      <c r="AQ711" s="599">
        <f>+SUMIFS(wip[Stock(Net Wt)],wip[Bucket],scheduleapr[[#This Row],[Bucket]])/1000</f>
        <v/>
      </c>
      <c r="AR711" s="599">
        <f>AJ711-AN711</f>
        <v/>
      </c>
      <c r="AS711" s="118" t="n"/>
    </row>
    <row r="712">
      <c r="A712" s="556" t="n"/>
      <c r="B712" s="5" t="inlineStr">
        <is>
          <t>Hosur</t>
        </is>
      </c>
      <c r="C712" s="601" t="inlineStr">
        <is>
          <t>SRIKAM HITECH</t>
        </is>
      </c>
      <c r="D712" s="601" t="inlineStr">
        <is>
          <t>Srikam HI-Tech</t>
        </is>
      </c>
      <c r="E712" s="601" t="n">
        <v>944141</v>
      </c>
      <c r="F712" s="567" t="n"/>
      <c r="G712" s="100">
        <f>_xlfn.CONCAT(scheduleapr[[#This Row],[CUSTOMER CODE]],"-",scheduleapr[[#This Row],[MATERIAL NO]])</f>
        <v/>
      </c>
      <c r="H712" s="567" t="n"/>
      <c r="I712" s="601" t="inlineStr">
        <is>
          <t>ERW 1</t>
        </is>
      </c>
      <c r="J712" s="557" t="n"/>
      <c r="K712" s="601" t="inlineStr">
        <is>
          <t>PE</t>
        </is>
      </c>
      <c r="L712" s="557" t="n"/>
      <c r="M712" s="558" t="n"/>
      <c r="N712" s="557" t="n"/>
      <c r="O712" s="557" t="n"/>
      <c r="P712" s="557" t="n"/>
      <c r="Q712" s="557" t="n"/>
      <c r="R712" s="557" t="n"/>
      <c r="S712" s="557" t="n"/>
      <c r="T712" s="601" t="n"/>
      <c r="U712" s="601">
        <f>_xlfn.IFNA(VLOOKUP(scheduleapr[[#This Row],[Bucket]],salesforecast[[#All],[Bucket2]:[8406 Stock]],19,0),0)</f>
        <v/>
      </c>
      <c r="V712" s="601" t="n"/>
      <c r="W712" s="601" t="n"/>
      <c r="X712" s="559" t="n">
        <v>19.05</v>
      </c>
      <c r="Y712" s="599" t="n">
        <v>19.05</v>
      </c>
      <c r="Z712" s="559" t="n">
        <v>0</v>
      </c>
      <c r="AA712" s="559" t="n">
        <v>2</v>
      </c>
      <c r="AB712" s="600" t="n">
        <v>835</v>
      </c>
      <c r="AC712" s="600" t="inlineStr">
        <is>
          <t>NOS</t>
        </is>
      </c>
      <c r="AD712" s="600" t="n"/>
      <c r="AE712" s="600" t="n"/>
      <c r="AF712" s="557" t="n">
        <v>5000</v>
      </c>
      <c r="AG712" s="596" t="inlineStr">
        <is>
          <t>Aug 2026 schedule · srikam</t>
        </is>
      </c>
      <c r="AH712" s="601">
        <f t="array" ref="AH71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2" s="560">
        <f>scheduleapr[[#This Row],[SCHEDULE in nos]]-scheduleapr[[#This Row],[DISPATCH]]</f>
        <v/>
      </c>
      <c r="AJ712" s="559">
        <f>(3.14*(scheduleapr[[#This Row],[ACTUAL OD]]-scheduleapr[[#This Row],[TICKNESS]])*scheduleapr[[#This Row],[TICKNESS]]*scheduleapr[[#This Row],[LENGTH]]*7.85)/1000000*scheduleapr[[#This Row],[SCHEDULE in nos]]/1000</f>
        <v/>
      </c>
      <c r="AK712" s="599">
        <f>(3.14*(scheduleapr[[#This Row],[ACTUAL OD]]-scheduleapr[[#This Row],[TICKNESS]])*scheduleapr[[#This Row],[TICKNESS]]*scheduleapr[[#This Row],[LENGTH]]*7.85)/1000000*scheduleapr[[#This Row],[DISPATCH]]/1000</f>
        <v/>
      </c>
      <c r="AL712" s="599">
        <f>AJ712-AK712</f>
        <v/>
      </c>
      <c r="AM712" s="559">
        <f>scheduleapr[[#This Row],[SCHEDULE in nos]]/scheduleapr[[#This Row],[SCHEDULE IN MT]]*scheduleapr[[#This Row],[CTL Stock]]</f>
        <v/>
      </c>
      <c r="AN712" s="599">
        <f>SUMIFS(stock[MT],stock[Bucket],scheduleapr[[#This Row],[Bucket]],stock[CTL Bucket],scheduleapr[[#This Row],[CTL Bucket]],stock[Plant],"0789")</f>
        <v/>
      </c>
      <c r="AO712" s="599" t="n"/>
      <c r="AP712" s="599">
        <f>SUMIFS(stock[MT],stock[Bucket],scheduleapr[[#This Row],[Bucket]],stock[LL or CTL],"LL")</f>
        <v/>
      </c>
      <c r="AQ712" s="599">
        <f>+SUMIFS(wip[Stock(Net Wt)],wip[Bucket],scheduleapr[[#This Row],[Bucket]])/1000</f>
        <v/>
      </c>
      <c r="AR712" s="599">
        <f>AJ712-AN712</f>
        <v/>
      </c>
      <c r="AS712" s="118" t="n"/>
    </row>
    <row r="713">
      <c r="A713" s="125" t="n">
        <v>591</v>
      </c>
      <c r="B713" s="5" t="inlineStr">
        <is>
          <t>Hosur</t>
        </is>
      </c>
      <c r="C713" s="601" t="inlineStr">
        <is>
          <t>SRIKAM HITECH</t>
        </is>
      </c>
      <c r="D713" s="601" t="inlineStr">
        <is>
          <t>Srikam HI-Tech</t>
        </is>
      </c>
      <c r="E713" s="601" t="n">
        <v>944141</v>
      </c>
      <c r="F713" s="543" t="n">
        <v>3850335</v>
      </c>
      <c r="G713" s="100">
        <f>_xlfn.CONCAT(scheduleapr[[#This Row],[CUSTOMER CODE]],"-",scheduleapr[[#This Row],[MATERIAL NO]])</f>
        <v/>
      </c>
      <c r="H713" s="543" t="inlineStr">
        <is>
          <t>CUT-O-O-AUT-AW-PE-19.05X2.000X0.9000</t>
        </is>
      </c>
      <c r="I713" s="601" t="inlineStr">
        <is>
          <t>ERW 1</t>
        </is>
      </c>
      <c r="J713" s="601" t="n"/>
      <c r="K713" s="601" t="inlineStr">
        <is>
          <t>PE</t>
        </is>
      </c>
      <c r="L713" s="601" t="inlineStr">
        <is>
          <t>HR</t>
        </is>
      </c>
      <c r="M713" s="601" t="n"/>
      <c r="N713" s="601" t="n"/>
      <c r="O713" s="601" t="n"/>
      <c r="P713" s="601" t="n"/>
      <c r="Q713" s="557">
        <f>CONCATENATE(scheduleapr[[#This Row],[OD]],"-",scheduleapr[[#This Row],[ID]],"-",scheduleapr[[#This Row],[TICKNESS]],"-",scheduleapr[[#This Row],[Grade]],"-",scheduleapr[[#This Row],[FC/NFC]])</f>
        <v/>
      </c>
      <c r="R713" s="557">
        <f>_xlfn.CONCAT(scheduleapr[[#This Row],[Bucket]],"-",scheduleapr[[#This Row],[LENGTH]]/1000)</f>
        <v/>
      </c>
      <c r="S713" s="557">
        <f>COUNTIF([2]!buckets[CTL Bucket],[2]!scheduleapr[[#This Row],[CTL Bucket]])</f>
        <v/>
      </c>
      <c r="T713" s="557" t="n"/>
      <c r="U713" s="557" t="n"/>
      <c r="V713" s="557" t="n"/>
      <c r="W713" s="557" t="n"/>
      <c r="X713" s="599" t="n">
        <v>19.05</v>
      </c>
      <c r="Y713" s="599" t="n">
        <v>19.05</v>
      </c>
      <c r="Z713" s="6" t="n">
        <v>0</v>
      </c>
      <c r="AA713" s="599" t="n">
        <v>2</v>
      </c>
      <c r="AB713" s="600" t="n">
        <v>900</v>
      </c>
      <c r="AC713" s="600" t="inlineStr">
        <is>
          <t>NOS</t>
        </is>
      </c>
      <c r="AD713" s="600" t="n"/>
      <c r="AE713" s="600" t="n"/>
      <c r="AF713" s="601" t="n"/>
      <c r="AG713" s="601" t="n"/>
      <c r="AH713" s="601">
        <f t="array" ref="AH71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3" s="602">
        <f>scheduleapr[[#This Row],[SCHEDULE in nos]]-scheduleapr[[#This Row],[DISPATCH]]</f>
        <v/>
      </c>
      <c r="AJ713" s="599">
        <f>(3.14*(scheduleapr[[#This Row],[ACTUAL OD]]-scheduleapr[[#This Row],[TICKNESS]])*scheduleapr[[#This Row],[TICKNESS]]*scheduleapr[[#This Row],[LENGTH]]*7.85)/1000000*scheduleapr[[#This Row],[SCHEDULE in nos]]/1000</f>
        <v/>
      </c>
      <c r="AK713" s="599">
        <f>(3.14*(scheduleapr[[#This Row],[ACTUAL OD]]-scheduleapr[[#This Row],[TICKNESS]])*scheduleapr[[#This Row],[TICKNESS]]*scheduleapr[[#This Row],[LENGTH]]*7.85)/1000000*scheduleapr[[#This Row],[DISPATCH]]/1000</f>
        <v/>
      </c>
      <c r="AL713" s="599">
        <f>AJ713-AK713</f>
        <v/>
      </c>
      <c r="AM713" s="599">
        <f>scheduleapr[[#This Row],[SCHEDULE in nos]]/scheduleapr[[#This Row],[SCHEDULE IN MT]]*scheduleapr[[#This Row],[CTL Stock]]</f>
        <v/>
      </c>
      <c r="AN713" s="599">
        <f>SUMIFS(stock[MT],stock[Bucket],scheduleapr[[#This Row],[Bucket]],stock[CTL Bucket],scheduleapr[[#This Row],[CTL Bucket]],stock[Plant],"0789")</f>
        <v/>
      </c>
      <c r="AO713" s="599" t="n"/>
      <c r="AP713" s="599">
        <f>SUMIFS(stock[MT],stock[Bucket],scheduleapr[[#This Row],[Bucket]],stock[LL or CTL],"LL")</f>
        <v/>
      </c>
      <c r="AQ713" s="599">
        <f>+SUMIFS(wip[Stock(Net Wt)],wip[Bucket],scheduleapr[[#This Row],[Bucket]])/1000</f>
        <v/>
      </c>
      <c r="AR713" s="599">
        <f>AJ713-AN713</f>
        <v/>
      </c>
      <c r="AS713" s="118" t="n"/>
    </row>
    <row r="714">
      <c r="A714" s="594" t="n">
        <v>594</v>
      </c>
      <c r="B714" s="5" t="inlineStr">
        <is>
          <t>Hosur</t>
        </is>
      </c>
      <c r="C714" s="601" t="inlineStr">
        <is>
          <t>SRIKAM HITECH</t>
        </is>
      </c>
      <c r="D714" s="601" t="inlineStr">
        <is>
          <t>Srikam HI-Tech</t>
        </is>
      </c>
      <c r="E714" s="601" t="n">
        <v>944141</v>
      </c>
      <c r="F714" s="539" t="n">
        <v>1259405</v>
      </c>
      <c r="G714" s="100">
        <f>_xlfn.CONCAT(scheduleapr[[#This Row],[CUSTOMER CODE]],"-",scheduleapr[[#This Row],[MATERIAL NO]])</f>
        <v/>
      </c>
      <c r="H714" s="539" t="inlineStr">
        <is>
          <t>TUB-O-N-AUT-AW-PE-19.05X2.300X0.2100</t>
        </is>
      </c>
      <c r="I714" s="601" t="inlineStr">
        <is>
          <t>ERW 1</t>
        </is>
      </c>
      <c r="J714" s="601" t="n"/>
      <c r="K714" s="601" t="inlineStr">
        <is>
          <t>PE</t>
        </is>
      </c>
      <c r="L714" s="601" t="inlineStr">
        <is>
          <t>HR</t>
        </is>
      </c>
      <c r="M714" s="601" t="n"/>
      <c r="N714" s="601" t="n"/>
      <c r="O714" s="601" t="n"/>
      <c r="P714" s="601" t="n"/>
      <c r="Q714" s="557">
        <f>CONCATENATE(scheduleapr[[#This Row],[OD]],"-",scheduleapr[[#This Row],[ID]],"-",scheduleapr[[#This Row],[TICKNESS]],"-",scheduleapr[[#This Row],[Grade]],"-",scheduleapr[[#This Row],[FC/NFC]])</f>
        <v/>
      </c>
      <c r="R714" s="557">
        <f>_xlfn.CONCAT(scheduleapr[[#This Row],[Bucket]],"-",scheduleapr[[#This Row],[LENGTH]]/1000)</f>
        <v/>
      </c>
      <c r="S714" s="557">
        <f>COUNTIF(scheduleapr[CTL Bucket],scheduleapr[[#This Row],[CTL Bucket]])</f>
        <v/>
      </c>
      <c r="T714" s="601" t="inlineStr">
        <is>
          <t>Hosur</t>
        </is>
      </c>
      <c r="U714" s="601">
        <f>_xlfn.IFNA(VLOOKUP(scheduleapr[[#This Row],[Bucket]],salesforecast[[#All],[Bucket2]:[8406 Stock]],19,0),0)</f>
        <v/>
      </c>
      <c r="V714" s="557" t="n"/>
      <c r="W714" s="557" t="n"/>
      <c r="X714" s="599" t="n">
        <v>19.05</v>
      </c>
      <c r="Y714" s="599" t="n">
        <v>19.05</v>
      </c>
      <c r="Z714" s="6" t="n">
        <v>0</v>
      </c>
      <c r="AA714" s="599" t="n">
        <v>2.3</v>
      </c>
      <c r="AB714" s="600" t="n">
        <v>210</v>
      </c>
      <c r="AC714" s="600" t="inlineStr">
        <is>
          <t>NOS</t>
        </is>
      </c>
      <c r="AD714" s="600" t="n"/>
      <c r="AE714" s="600" t="n"/>
      <c r="AF714" s="601" t="n">
        <v>5000</v>
      </c>
      <c r="AG714" s="596" t="inlineStr">
        <is>
          <t>Aug 2026 schedule · srikam</t>
        </is>
      </c>
      <c r="AH714" s="601">
        <f t="array" ref="AH71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4" s="602">
        <f>scheduleapr[[#This Row],[SCHEDULE in nos]]-scheduleapr[[#This Row],[DISPATCH]]</f>
        <v/>
      </c>
      <c r="AJ714" s="599">
        <f>(3.14*(scheduleapr[[#This Row],[ACTUAL OD]]-scheduleapr[[#This Row],[TICKNESS]])*scheduleapr[[#This Row],[TICKNESS]]*scheduleapr[[#This Row],[LENGTH]]*7.85)/1000000*scheduleapr[[#This Row],[SCHEDULE in nos]]/1000</f>
        <v/>
      </c>
      <c r="AK714" s="599">
        <f>(3.14*(scheduleapr[[#This Row],[ACTUAL OD]]-scheduleapr[[#This Row],[TICKNESS]])*scheduleapr[[#This Row],[TICKNESS]]*scheduleapr[[#This Row],[LENGTH]]*7.85)/1000000*scheduleapr[[#This Row],[DISPATCH]]/1000</f>
        <v/>
      </c>
      <c r="AL714" s="599">
        <f>AJ714-AK714</f>
        <v/>
      </c>
      <c r="AM714" s="599">
        <f>scheduleapr[[#This Row],[SCHEDULE in nos]]/scheduleapr[[#This Row],[SCHEDULE IN MT]]*scheduleapr[[#This Row],[CTL Stock]]</f>
        <v/>
      </c>
      <c r="AN714" s="599">
        <f>SUMIFS(stock[MT],stock[Bucket],scheduleapr[[#This Row],[Bucket]],stock[CTL Bucket],scheduleapr[[#This Row],[CTL Bucket]],stock[Plant],"0789")</f>
        <v/>
      </c>
      <c r="AO714" s="599" t="n"/>
      <c r="AP714" s="599">
        <f>SUMIFS(stock[MT],stock[Bucket],scheduleapr[[#This Row],[Bucket]],stock[LL or CTL],"LL")</f>
        <v/>
      </c>
      <c r="AQ714" s="599">
        <f>+SUMIFS(wip[Stock(Net Wt)],wip[Bucket],scheduleapr[[#This Row],[Bucket]])/1000</f>
        <v/>
      </c>
      <c r="AR714" s="599">
        <f>AJ714-AN714</f>
        <v/>
      </c>
      <c r="AS714" s="118" t="n"/>
    </row>
    <row r="715">
      <c r="A715" s="125" t="n">
        <v>595</v>
      </c>
      <c r="B715" s="5" t="inlineStr">
        <is>
          <t>Hosur</t>
        </is>
      </c>
      <c r="C715" s="601" t="inlineStr">
        <is>
          <t>SRIKAM HITECH</t>
        </is>
      </c>
      <c r="D715" s="601" t="inlineStr">
        <is>
          <t>Srikam HI-Tech</t>
        </is>
      </c>
      <c r="E715" s="601" t="n">
        <v>944141</v>
      </c>
      <c r="F715" s="539" t="n">
        <v>1940306</v>
      </c>
      <c r="G715" s="100">
        <f>_xlfn.CONCAT(scheduleapr[[#This Row],[CUSTOMER CODE]],"-",scheduleapr[[#This Row],[MATERIAL NO]])</f>
        <v/>
      </c>
      <c r="H715" s="539" t="inlineStr">
        <is>
          <t>TUB-O-O-AUT-AW-PE-19.05X2.300X0.2360</t>
        </is>
      </c>
      <c r="I715" s="601" t="inlineStr">
        <is>
          <t>ERW 1</t>
        </is>
      </c>
      <c r="J715" s="601" t="n"/>
      <c r="K715" s="601" t="inlineStr">
        <is>
          <t>PE</t>
        </is>
      </c>
      <c r="L715" s="601" t="inlineStr">
        <is>
          <t>HR</t>
        </is>
      </c>
      <c r="M715" s="601" t="n"/>
      <c r="N715" s="601" t="n"/>
      <c r="O715" s="601" t="n"/>
      <c r="P715" s="601" t="n"/>
      <c r="Q715" s="557">
        <f>CONCATENATE(scheduleapr[[#This Row],[OD]],"-",scheduleapr[[#This Row],[ID]],"-",scheduleapr[[#This Row],[TICKNESS]],"-",scheduleapr[[#This Row],[Grade]],"-",scheduleapr[[#This Row],[FC/NFC]])</f>
        <v/>
      </c>
      <c r="R715" s="557">
        <f>_xlfn.CONCAT(scheduleapr[[#This Row],[Bucket]],"-",scheduleapr[[#This Row],[LENGTH]]/1000)</f>
        <v/>
      </c>
      <c r="S715" s="557">
        <f>COUNTIF(scheduleapr[CTL Bucket],scheduleapr[[#This Row],[CTL Bucket]])</f>
        <v/>
      </c>
      <c r="T715" s="601" t="inlineStr">
        <is>
          <t>Hosur</t>
        </is>
      </c>
      <c r="U715" s="601">
        <f>_xlfn.IFNA(VLOOKUP(scheduleapr[[#This Row],[Bucket]],salesforecast[[#All],[Bucket2]:[8406 Stock]],19,0),0)</f>
        <v/>
      </c>
      <c r="V715" s="562">
        <f>_xlfn.IFNA(VLOOKUP(scheduleapr[[#This Row],[Bucket]],salesforecast[[#All],[Bucket2]:[8406 Stock]],20,0),0)+_xlfn.IFNA(VLOOKUP(scheduleapr[[#This Row],[Bucket]],salesforecast[[#All],[Bucket2]:[8406 Stock]],17,0),0)</f>
        <v/>
      </c>
      <c r="W715" s="557" t="n"/>
      <c r="X715" s="599" t="n">
        <v>19.05</v>
      </c>
      <c r="Y715" s="599" t="n">
        <v>19.05</v>
      </c>
      <c r="Z715" s="6" t="n">
        <v>0</v>
      </c>
      <c r="AA715" s="599" t="n">
        <v>2.3</v>
      </c>
      <c r="AB715" s="600" t="n">
        <v>236</v>
      </c>
      <c r="AC715" s="600" t="inlineStr">
        <is>
          <t>NOS</t>
        </is>
      </c>
      <c r="AD715" s="600" t="n"/>
      <c r="AE715" s="600" t="n"/>
      <c r="AF715" s="601" t="n">
        <v>40000</v>
      </c>
      <c r="AG715" s="601" t="inlineStr">
        <is>
          <t>Aug 2026 schedule · srikam</t>
        </is>
      </c>
      <c r="AH715" s="601">
        <f t="array" ref="AH71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5" s="602">
        <f>scheduleapr[[#This Row],[SCHEDULE in nos]]-scheduleapr[[#This Row],[DISPATCH]]</f>
        <v/>
      </c>
      <c r="AJ715" s="599">
        <f>(3.14*(scheduleapr[[#This Row],[ACTUAL OD]]-scheduleapr[[#This Row],[TICKNESS]])*scheduleapr[[#This Row],[TICKNESS]]*scheduleapr[[#This Row],[LENGTH]]*7.85)/1000000*scheduleapr[[#This Row],[SCHEDULE in nos]]/1000</f>
        <v/>
      </c>
      <c r="AK715" s="599">
        <f>(3.14*(scheduleapr[[#This Row],[ACTUAL OD]]-scheduleapr[[#This Row],[TICKNESS]])*scheduleapr[[#This Row],[TICKNESS]]*scheduleapr[[#This Row],[LENGTH]]*7.85)/1000000*scheduleapr[[#This Row],[DISPATCH]]/1000</f>
        <v/>
      </c>
      <c r="AL715" s="599">
        <f>AJ715-AK715</f>
        <v/>
      </c>
      <c r="AM715" s="599">
        <f>scheduleapr[[#This Row],[SCHEDULE in nos]]/scheduleapr[[#This Row],[SCHEDULE IN MT]]*scheduleapr[[#This Row],[CTL Stock]]</f>
        <v/>
      </c>
      <c r="AN715" s="599">
        <f>SUMIFS(stock[MT],stock[Bucket],scheduleapr[[#This Row],[Bucket]],stock[CTL Bucket],scheduleapr[[#This Row],[CTL Bucket]],stock[Plant],"0789")</f>
        <v/>
      </c>
      <c r="AO715" s="599" t="n"/>
      <c r="AP715" s="599">
        <f>SUMIFS(stock[MT],stock[Bucket],scheduleapr[[#This Row],[Bucket]],stock[LL or CTL],"LL")</f>
        <v/>
      </c>
      <c r="AQ715" s="599">
        <f>+SUMIFS(wip[Stock(Net Wt)],wip[Bucket],scheduleapr[[#This Row],[Bucket]])/1000</f>
        <v/>
      </c>
      <c r="AR715" s="599">
        <f>AJ715-AN715</f>
        <v/>
      </c>
      <c r="AS715" s="118" t="n"/>
    </row>
    <row r="716">
      <c r="A716" s="594" t="n">
        <v>596</v>
      </c>
      <c r="B716" s="5" t="inlineStr">
        <is>
          <t>Hosur</t>
        </is>
      </c>
      <c r="C716" s="601" t="inlineStr">
        <is>
          <t>SRIKAM HITECH</t>
        </is>
      </c>
      <c r="D716" s="601" t="inlineStr">
        <is>
          <t>Srikam HI-Tech</t>
        </is>
      </c>
      <c r="E716" s="601" t="n">
        <v>944141</v>
      </c>
      <c r="F716" s="601" t="n">
        <v>1940307</v>
      </c>
      <c r="G716" s="601">
        <f>_xlfn.CONCAT(scheduleapr[[#This Row],[CUSTOMER CODE]],"-",scheduleapr[[#This Row],[MATERIAL NO]])</f>
        <v/>
      </c>
      <c r="H716" s="601" t="inlineStr">
        <is>
          <t>TUB-O-O-AUT-AW-PE-19.05X2.300X0.2520</t>
        </is>
      </c>
      <c r="I716" s="601" t="inlineStr">
        <is>
          <t>ERW 1</t>
        </is>
      </c>
      <c r="J716" s="601" t="n"/>
      <c r="K716" s="601" t="inlineStr">
        <is>
          <t>PE</t>
        </is>
      </c>
      <c r="L716" s="601" t="inlineStr">
        <is>
          <t>HR</t>
        </is>
      </c>
      <c r="M716" s="601" t="n"/>
      <c r="N716" s="601" t="n"/>
      <c r="O716" s="601" t="n"/>
      <c r="P716" s="601" t="n"/>
      <c r="Q716" s="557">
        <f>CONCATENATE(scheduleapr[[#This Row],[OD]],"-",scheduleapr[[#This Row],[ID]],"-",scheduleapr[[#This Row],[TICKNESS]],"-",scheduleapr[[#This Row],[Grade]],"-",scheduleapr[[#This Row],[FC/NFC]])</f>
        <v/>
      </c>
      <c r="R716" s="557">
        <f>_xlfn.CONCAT(scheduleapr[[#This Row],[Bucket]],"-",scheduleapr[[#This Row],[LENGTH]]/1000)</f>
        <v/>
      </c>
      <c r="S716" s="557">
        <f>COUNTIF(scheduleapr[CTL Bucket],scheduleapr[[#This Row],[CTL Bucket]])</f>
        <v/>
      </c>
      <c r="T716" s="601" t="inlineStr">
        <is>
          <t>Hosur</t>
        </is>
      </c>
      <c r="U716" s="601">
        <f>_xlfn.IFNA(VLOOKUP(scheduleapr[[#This Row],[Bucket]],salesforecast[[#All],[Bucket2]:[8406 Stock]],19,0),0)</f>
        <v/>
      </c>
      <c r="V716" s="562">
        <f>_xlfn.IFNA(VLOOKUP(scheduleapr[[#This Row],[Bucket]],salesforecast[[#All],[Bucket2]:[8406 Stock]],20,0),0)+_xlfn.IFNA(VLOOKUP(scheduleapr[[#This Row],[Bucket]],salesforecast[[#All],[Bucket2]:[8406 Stock]],17,0),0)</f>
        <v/>
      </c>
      <c r="W716" s="557" t="n"/>
      <c r="X716" s="599" t="n">
        <v>19.05</v>
      </c>
      <c r="Y716" s="599" t="n">
        <v>19.05</v>
      </c>
      <c r="Z716" s="6" t="n">
        <v>0</v>
      </c>
      <c r="AA716" s="599" t="n">
        <v>2.3</v>
      </c>
      <c r="AB716" s="600" t="n">
        <v>252</v>
      </c>
      <c r="AC716" s="600" t="inlineStr">
        <is>
          <t>NOS</t>
        </is>
      </c>
      <c r="AD716" s="600" t="n"/>
      <c r="AE716" s="600" t="n"/>
      <c r="AF716" s="601" t="n">
        <v>70000</v>
      </c>
      <c r="AG716" s="601" t="inlineStr">
        <is>
          <t>Aug 2026 schedule · srikam</t>
        </is>
      </c>
      <c r="AH716" s="601">
        <f t="array" ref="AH71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6" s="602">
        <f>scheduleapr[[#This Row],[SCHEDULE in nos]]-scheduleapr[[#This Row],[DISPATCH]]</f>
        <v/>
      </c>
      <c r="AJ716" s="599">
        <f>(3.14*(scheduleapr[[#This Row],[ACTUAL OD]]-scheduleapr[[#This Row],[TICKNESS]])*scheduleapr[[#This Row],[TICKNESS]]*scheduleapr[[#This Row],[LENGTH]]*7.85)/1000000*scheduleapr[[#This Row],[SCHEDULE in nos]]/1000</f>
        <v/>
      </c>
      <c r="AK716" s="599">
        <f>(3.14*(scheduleapr[[#This Row],[ACTUAL OD]]-scheduleapr[[#This Row],[TICKNESS]])*scheduleapr[[#This Row],[TICKNESS]]*scheduleapr[[#This Row],[LENGTH]]*7.85)/1000000*scheduleapr[[#This Row],[DISPATCH]]/1000</f>
        <v/>
      </c>
      <c r="AL716" s="599">
        <f>AJ716-AK716</f>
        <v/>
      </c>
      <c r="AM716" s="599">
        <f>scheduleapr[[#This Row],[SCHEDULE in nos]]/scheduleapr[[#This Row],[SCHEDULE IN MT]]*scheduleapr[[#This Row],[CTL Stock]]</f>
        <v/>
      </c>
      <c r="AN716" s="599">
        <f>SUMIFS(stock[MT],stock[Bucket],scheduleapr[[#This Row],[Bucket]],stock[CTL Bucket],scheduleapr[[#This Row],[CTL Bucket]],stock[Plant],"0789")</f>
        <v/>
      </c>
      <c r="AO716" s="599" t="n"/>
      <c r="AP716" s="599">
        <f>SUMIFS(stock[MT],stock[Bucket],scheduleapr[[#This Row],[Bucket]],stock[LL or CTL],"LL")</f>
        <v/>
      </c>
      <c r="AQ716" s="599">
        <f>+SUMIFS(wip[Stock(Net Wt)],wip[Bucket],scheduleapr[[#This Row],[Bucket]])/1000</f>
        <v/>
      </c>
      <c r="AR716" s="599">
        <f>AJ716-AN716</f>
        <v/>
      </c>
      <c r="AS716" s="118" t="n"/>
    </row>
    <row r="717">
      <c r="A717" s="594" t="n">
        <v>597</v>
      </c>
      <c r="B717" s="5" t="inlineStr">
        <is>
          <t>Hosur</t>
        </is>
      </c>
      <c r="C717" s="601" t="inlineStr">
        <is>
          <t>SRIKAM HITECH</t>
        </is>
      </c>
      <c r="D717" s="601" t="inlineStr">
        <is>
          <t>Srikam HI-Tech</t>
        </is>
      </c>
      <c r="E717" s="601" t="n">
        <v>944141</v>
      </c>
      <c r="F717" s="539" t="n">
        <v>1940309</v>
      </c>
      <c r="G717" s="100">
        <f>_xlfn.CONCAT(scheduleapr[[#This Row],[CUSTOMER CODE]],"-",scheduleapr[[#This Row],[MATERIAL NO]])</f>
        <v/>
      </c>
      <c r="H717" s="539" t="inlineStr">
        <is>
          <t>TUB-O-O-AUT-AW-PE-19.05X2.300X0.2650</t>
        </is>
      </c>
      <c r="I717" s="601" t="inlineStr">
        <is>
          <t>ERW 1</t>
        </is>
      </c>
      <c r="J717" s="601" t="n"/>
      <c r="K717" s="601" t="inlineStr">
        <is>
          <t>PE</t>
        </is>
      </c>
      <c r="L717" s="601" t="inlineStr">
        <is>
          <t>HR</t>
        </is>
      </c>
      <c r="M717" s="601" t="n"/>
      <c r="N717" s="601" t="n"/>
      <c r="O717" s="601" t="n"/>
      <c r="P717" s="601" t="n"/>
      <c r="Q717" s="557">
        <f>CONCATENATE(scheduleapr[[#This Row],[OD]],"-",scheduleapr[[#This Row],[ID]],"-",scheduleapr[[#This Row],[TICKNESS]],"-",scheduleapr[[#This Row],[Grade]],"-",scheduleapr[[#This Row],[FC/NFC]])</f>
        <v/>
      </c>
      <c r="R717" s="557">
        <f>_xlfn.CONCAT(scheduleapr[[#This Row],[Bucket]],"-",scheduleapr[[#This Row],[LENGTH]]/1000)</f>
        <v/>
      </c>
      <c r="S717" s="557">
        <f>COUNTIF(scheduleapr[CTL Bucket],scheduleapr[[#This Row],[CTL Bucket]])</f>
        <v/>
      </c>
      <c r="T717" s="601" t="inlineStr">
        <is>
          <t>Hosur</t>
        </is>
      </c>
      <c r="U717" s="601">
        <f>_xlfn.IFNA(VLOOKUP(scheduleapr[[#This Row],[Bucket]],salesforecast[[#All],[Bucket2]:[8406 Stock]],19,0),0)</f>
        <v/>
      </c>
      <c r="V717" s="562">
        <f>_xlfn.IFNA(VLOOKUP(scheduleapr[[#This Row],[Bucket]],salesforecast[[#All],[Bucket2]:[8406 Stock]],20,0),0)+_xlfn.IFNA(VLOOKUP(scheduleapr[[#This Row],[Bucket]],salesforecast[[#All],[Bucket2]:[8406 Stock]],17,0),0)</f>
        <v/>
      </c>
      <c r="W717" s="557" t="n"/>
      <c r="X717" s="599" t="n">
        <v>19.05</v>
      </c>
      <c r="Y717" s="599" t="n">
        <v>19.05</v>
      </c>
      <c r="Z717" s="6" t="n">
        <v>0</v>
      </c>
      <c r="AA717" s="599" t="n">
        <v>2.3</v>
      </c>
      <c r="AB717" s="600" t="n">
        <v>265</v>
      </c>
      <c r="AC717" s="600" t="inlineStr">
        <is>
          <t>NOS</t>
        </is>
      </c>
      <c r="AD717" s="600" t="inlineStr">
        <is>
          <t>Indico</t>
        </is>
      </c>
      <c r="AE717" s="600" t="n">
        <v>8000</v>
      </c>
      <c r="AF717" s="601" t="n">
        <v>25000</v>
      </c>
      <c r="AG717" s="601" t="inlineStr">
        <is>
          <t>Aug 2026 schedule · srikam</t>
        </is>
      </c>
      <c r="AH717" s="601">
        <f t="array" ref="AH71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7" s="602">
        <f>scheduleapr[[#This Row],[SCHEDULE in nos]]-scheduleapr[[#This Row],[DISPATCH]]</f>
        <v/>
      </c>
      <c r="AJ717" s="599">
        <f>(3.14*(scheduleapr[[#This Row],[ACTUAL OD]]-scheduleapr[[#This Row],[TICKNESS]])*scheduleapr[[#This Row],[TICKNESS]]*scheduleapr[[#This Row],[LENGTH]]*7.85)/1000000*scheduleapr[[#This Row],[SCHEDULE in nos]]/1000</f>
        <v/>
      </c>
      <c r="AK717" s="599">
        <f>(3.14*(scheduleapr[[#This Row],[ACTUAL OD]]-scheduleapr[[#This Row],[TICKNESS]])*scheduleapr[[#This Row],[TICKNESS]]*scheduleapr[[#This Row],[LENGTH]]*7.85)/1000000*scheduleapr[[#This Row],[DISPATCH]]/1000</f>
        <v/>
      </c>
      <c r="AL717" s="599">
        <f>AJ717-AK717</f>
        <v/>
      </c>
      <c r="AM717" s="599">
        <f>scheduleapr[[#This Row],[SCHEDULE in nos]]/scheduleapr[[#This Row],[SCHEDULE IN MT]]*scheduleapr[[#This Row],[CTL Stock]]</f>
        <v/>
      </c>
      <c r="AN717" s="599">
        <f>SUMIFS(stock[MT],stock[Bucket],scheduleapr[[#This Row],[Bucket]],stock[CTL Bucket],scheduleapr[[#This Row],[CTL Bucket]],stock[Plant],"0789")</f>
        <v/>
      </c>
      <c r="AO717" s="599" t="n"/>
      <c r="AP717" s="599">
        <f>SUMIFS(stock[MT],stock[Bucket],scheduleapr[[#This Row],[Bucket]],stock[LL or CTL],"LL")</f>
        <v/>
      </c>
      <c r="AQ717" s="79">
        <f>+SUMIFS(wip[Stock(Net Wt)],wip[Bucket],scheduleapr[[#This Row],[Bucket]])/1000</f>
        <v/>
      </c>
      <c r="AR717" s="599">
        <f>AJ717-AN717</f>
        <v/>
      </c>
      <c r="AS717" s="118" t="n"/>
    </row>
    <row r="718">
      <c r="A718" s="125" t="n">
        <v>598</v>
      </c>
      <c r="B718" s="5" t="inlineStr">
        <is>
          <t>Hosur</t>
        </is>
      </c>
      <c r="C718" s="601" t="inlineStr">
        <is>
          <t>SRIKAM HITECH</t>
        </is>
      </c>
      <c r="D718" s="601" t="inlineStr">
        <is>
          <t>Srikam HI-Tech</t>
        </is>
      </c>
      <c r="E718" s="601" t="n">
        <v>944141</v>
      </c>
      <c r="F718" s="539" t="n">
        <v>1940310</v>
      </c>
      <c r="G718" s="100">
        <f>_xlfn.CONCAT(scheduleapr[[#This Row],[CUSTOMER CODE]],"-",scheduleapr[[#This Row],[MATERIAL NO]])</f>
        <v/>
      </c>
      <c r="H718" s="539" t="inlineStr">
        <is>
          <t>TUB-O-O-AUT-AW-PE-19.05X2.300X0.2810</t>
        </is>
      </c>
      <c r="I718" s="601" t="inlineStr">
        <is>
          <t>ERW 1</t>
        </is>
      </c>
      <c r="J718" s="601" t="n"/>
      <c r="K718" s="601" t="inlineStr">
        <is>
          <t>PE</t>
        </is>
      </c>
      <c r="L718" s="601" t="inlineStr">
        <is>
          <t>HR</t>
        </is>
      </c>
      <c r="M718" s="601" t="n"/>
      <c r="N718" s="601" t="n"/>
      <c r="O718" s="601" t="n"/>
      <c r="P718" s="601" t="n"/>
      <c r="Q718" s="557">
        <f>CONCATENATE(scheduleapr[[#This Row],[OD]],"-",scheduleapr[[#This Row],[ID]],"-",scheduleapr[[#This Row],[TICKNESS]],"-",scheduleapr[[#This Row],[Grade]],"-",scheduleapr[[#This Row],[FC/NFC]])</f>
        <v/>
      </c>
      <c r="R718" s="557">
        <f>_xlfn.CONCAT(scheduleapr[[#This Row],[Bucket]],"-",scheduleapr[[#This Row],[LENGTH]]/1000)</f>
        <v/>
      </c>
      <c r="S718" s="557">
        <f>COUNTIF([2]!buckets[CTL Bucket],[2]!scheduleapr[[#This Row],[CTL Bucket]])</f>
        <v/>
      </c>
      <c r="T718" s="557" t="n"/>
      <c r="U718" s="601">
        <f>_xlfn.IFNA(VLOOKUP(scheduleapr[[#This Row],[Bucket]],salesforecast[[#All],[Bucket2]:[8406 Stock]],19,0),0)</f>
        <v/>
      </c>
      <c r="V718" s="557" t="n"/>
      <c r="W718" s="557" t="n"/>
      <c r="X718" s="599" t="n">
        <v>19.05</v>
      </c>
      <c r="Y718" s="599" t="n">
        <v>19.05</v>
      </c>
      <c r="Z718" s="6" t="n">
        <v>0</v>
      </c>
      <c r="AA718" s="599" t="n">
        <v>2.3</v>
      </c>
      <c r="AB718" s="600" t="n">
        <v>281</v>
      </c>
      <c r="AC718" s="600" t="inlineStr">
        <is>
          <t>NOS</t>
        </is>
      </c>
      <c r="AD718" s="600" t="n"/>
      <c r="AE718" s="600" t="n"/>
      <c r="AF718" s="601" t="n">
        <v>5000</v>
      </c>
      <c r="AG718" s="596" t="inlineStr">
        <is>
          <t>Aug 2026 schedule · srikam</t>
        </is>
      </c>
      <c r="AH718" s="601">
        <f t="array" ref="AH71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8" s="602">
        <f>scheduleapr[[#This Row],[SCHEDULE in nos]]-scheduleapr[[#This Row],[DISPATCH]]</f>
        <v/>
      </c>
      <c r="AJ718" s="599">
        <f>(3.14*(scheduleapr[[#This Row],[ACTUAL OD]]-scheduleapr[[#This Row],[TICKNESS]])*scheduleapr[[#This Row],[TICKNESS]]*scheduleapr[[#This Row],[LENGTH]]*7.85)/1000000*scheduleapr[[#This Row],[SCHEDULE in nos]]/1000</f>
        <v/>
      </c>
      <c r="AK718" s="599">
        <f>(3.14*(scheduleapr[[#This Row],[ACTUAL OD]]-scheduleapr[[#This Row],[TICKNESS]])*scheduleapr[[#This Row],[TICKNESS]]*scheduleapr[[#This Row],[LENGTH]]*7.85)/1000000*scheduleapr[[#This Row],[DISPATCH]]/1000</f>
        <v/>
      </c>
      <c r="AL718" s="599">
        <f>AJ718-AK718</f>
        <v/>
      </c>
      <c r="AM718" s="599">
        <f>scheduleapr[[#This Row],[SCHEDULE in nos]]/scheduleapr[[#This Row],[SCHEDULE IN MT]]*scheduleapr[[#This Row],[CTL Stock]]</f>
        <v/>
      </c>
      <c r="AN718" s="599">
        <f>SUMIFS(stock[MT],stock[Bucket],scheduleapr[[#This Row],[Bucket]],stock[CTL Bucket],scheduleapr[[#This Row],[CTL Bucket]],stock[Plant],"0789")</f>
        <v/>
      </c>
      <c r="AO718" s="599" t="n"/>
      <c r="AP718" s="599">
        <f>SUMIFS(stock[MT],stock[Bucket],scheduleapr[[#This Row],[Bucket]],stock[LL or CTL],"LL")</f>
        <v/>
      </c>
      <c r="AQ718" s="599">
        <f>+SUMIFS(wip[Stock(Net Wt)],wip[Bucket],scheduleapr[[#This Row],[Bucket]])/1000</f>
        <v/>
      </c>
      <c r="AR718" s="599">
        <f>AJ718-AN718</f>
        <v/>
      </c>
      <c r="AS718" s="118" t="n"/>
    </row>
    <row r="719">
      <c r="A719" s="594" t="n">
        <v>599</v>
      </c>
      <c r="B719" s="5" t="inlineStr">
        <is>
          <t>Hosur</t>
        </is>
      </c>
      <c r="C719" s="601" t="inlineStr">
        <is>
          <t>SRIKAM HITECH</t>
        </is>
      </c>
      <c r="D719" s="601" t="inlineStr">
        <is>
          <t>Srikam HI-Tech</t>
        </is>
      </c>
      <c r="E719" s="601" t="n">
        <v>944141</v>
      </c>
      <c r="F719" s="539" t="n">
        <v>1940312</v>
      </c>
      <c r="G719" s="100">
        <f>_xlfn.CONCAT(scheduleapr[[#This Row],[CUSTOMER CODE]],"-",scheduleapr[[#This Row],[MATERIAL NO]])</f>
        <v/>
      </c>
      <c r="H719" s="539" t="inlineStr">
        <is>
          <t>TUB-O-O-AUT-AW-PE-19.05X2.300X0.2950</t>
        </is>
      </c>
      <c r="I719" s="601" t="inlineStr">
        <is>
          <t>ERW 1</t>
        </is>
      </c>
      <c r="J719" s="601" t="n"/>
      <c r="K719" s="601" t="inlineStr">
        <is>
          <t>PE</t>
        </is>
      </c>
      <c r="L719" s="601" t="inlineStr">
        <is>
          <t>HR</t>
        </is>
      </c>
      <c r="M719" s="601" t="n"/>
      <c r="N719" s="601" t="n"/>
      <c r="O719" s="601" t="n"/>
      <c r="P719" s="601" t="n"/>
      <c r="Q719" s="557">
        <f>CONCATENATE(scheduleapr[[#This Row],[OD]],"-",scheduleapr[[#This Row],[ID]],"-",scheduleapr[[#This Row],[TICKNESS]],"-",scheduleapr[[#This Row],[Grade]],"-",scheduleapr[[#This Row],[FC/NFC]])</f>
        <v/>
      </c>
      <c r="R719" s="557">
        <f>_xlfn.CONCAT(scheduleapr[[#This Row],[Bucket]],"-",scheduleapr[[#This Row],[LENGTH]]/1000)</f>
        <v/>
      </c>
      <c r="S719" s="557">
        <f>COUNTIF(scheduleapr[CTL Bucket],scheduleapr[[#This Row],[CTL Bucket]])</f>
        <v/>
      </c>
      <c r="T719" s="601" t="inlineStr">
        <is>
          <t>Hosur</t>
        </is>
      </c>
      <c r="U719" s="601">
        <f>_xlfn.IFNA(VLOOKUP(scheduleapr[[#This Row],[Bucket]],salesforecast[[#All],[Bucket2]:[8406 Stock]],19,0),0)</f>
        <v/>
      </c>
      <c r="V719" s="562">
        <f>_xlfn.IFNA(VLOOKUP(scheduleapr[[#This Row],[Bucket]],salesforecast[[#All],[Bucket2]:[8406 Stock]],20,0),0)+_xlfn.IFNA(VLOOKUP(scheduleapr[[#This Row],[Bucket]],salesforecast[[#All],[Bucket2]:[8406 Stock]],17,0),0)</f>
        <v/>
      </c>
      <c r="W719" s="557" t="n"/>
      <c r="X719" s="599" t="n">
        <v>19.05</v>
      </c>
      <c r="Y719" s="599" t="n">
        <v>19.05</v>
      </c>
      <c r="Z719" s="6" t="n">
        <v>0</v>
      </c>
      <c r="AA719" s="599" t="n">
        <v>2.3</v>
      </c>
      <c r="AB719" s="600" t="n">
        <v>295</v>
      </c>
      <c r="AC719" s="600" t="inlineStr">
        <is>
          <t>NOS</t>
        </is>
      </c>
      <c r="AD719" s="600" t="n"/>
      <c r="AE719" s="600" t="n"/>
      <c r="AF719" s="601" t="n">
        <v>80000</v>
      </c>
      <c r="AG719" s="601" t="inlineStr">
        <is>
          <t>Aug 2026 schedule · srikam</t>
        </is>
      </c>
      <c r="AH719" s="601">
        <f t="array" ref="AH71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19" s="602">
        <f>scheduleapr[[#This Row],[SCHEDULE in nos]]-scheduleapr[[#This Row],[DISPATCH]]</f>
        <v/>
      </c>
      <c r="AJ719" s="599">
        <f>(3.14*(scheduleapr[[#This Row],[ACTUAL OD]]-scheduleapr[[#This Row],[TICKNESS]])*scheduleapr[[#This Row],[TICKNESS]]*scheduleapr[[#This Row],[LENGTH]]*7.85)/1000000*scheduleapr[[#This Row],[SCHEDULE in nos]]/1000</f>
        <v/>
      </c>
      <c r="AK719" s="599">
        <f>(3.14*(scheduleapr[[#This Row],[ACTUAL OD]]-scheduleapr[[#This Row],[TICKNESS]])*scheduleapr[[#This Row],[TICKNESS]]*scheduleapr[[#This Row],[LENGTH]]*7.85)/1000000*scheduleapr[[#This Row],[DISPATCH]]/1000</f>
        <v/>
      </c>
      <c r="AL719" s="599">
        <f>AJ719-AK719</f>
        <v/>
      </c>
      <c r="AM719" s="599">
        <f>scheduleapr[[#This Row],[SCHEDULE in nos]]/scheduleapr[[#This Row],[SCHEDULE IN MT]]*scheduleapr[[#This Row],[CTL Stock]]</f>
        <v/>
      </c>
      <c r="AN719" s="599">
        <f>SUMIFS(stock[MT],stock[Bucket],scheduleapr[[#This Row],[Bucket]],stock[CTL Bucket],scheduleapr[[#This Row],[CTL Bucket]],stock[Plant],"0789")</f>
        <v/>
      </c>
      <c r="AO719" s="599" t="n"/>
      <c r="AP719" s="599">
        <f>SUMIFS(stock[MT],stock[Bucket],scheduleapr[[#This Row],[Bucket]],stock[LL or CTL],"LL")</f>
        <v/>
      </c>
      <c r="AQ719" s="599">
        <f>+SUMIFS(wip[Stock(Net Wt)],wip[Bucket],scheduleapr[[#This Row],[Bucket]])/1000</f>
        <v/>
      </c>
      <c r="AR719" s="599">
        <f>AJ719-AN719</f>
        <v/>
      </c>
      <c r="AS719" s="118" t="n"/>
    </row>
    <row r="720">
      <c r="A720" s="125" t="n">
        <v>600</v>
      </c>
      <c r="B720" s="5" t="inlineStr">
        <is>
          <t>Hosur</t>
        </is>
      </c>
      <c r="C720" s="601" t="inlineStr">
        <is>
          <t>SRIKAM HITECH</t>
        </is>
      </c>
      <c r="D720" s="601" t="inlineStr">
        <is>
          <t>Srikam HI-Tech</t>
        </is>
      </c>
      <c r="E720" s="601" t="n">
        <v>944141</v>
      </c>
      <c r="F720" s="539" t="n">
        <v>1940325</v>
      </c>
      <c r="G720" s="100">
        <f>_xlfn.CONCAT(scheduleapr[[#This Row],[CUSTOMER CODE]],"-",scheduleapr[[#This Row],[MATERIAL NO]])</f>
        <v/>
      </c>
      <c r="H720" s="539" t="inlineStr">
        <is>
          <t>TUB-O-O-AUT-AW-PE-19.05X2.300X0.5700</t>
        </is>
      </c>
      <c r="I720" s="601" t="inlineStr">
        <is>
          <t>ERW 1</t>
        </is>
      </c>
      <c r="J720" s="601" t="n"/>
      <c r="K720" s="601" t="inlineStr">
        <is>
          <t>PE</t>
        </is>
      </c>
      <c r="L720" s="601" t="inlineStr">
        <is>
          <t>HR</t>
        </is>
      </c>
      <c r="M720" s="601" t="n"/>
      <c r="N720" s="601" t="n"/>
      <c r="O720" s="601" t="n"/>
      <c r="P720" s="601" t="n"/>
      <c r="Q720" s="557">
        <f>CONCATENATE(scheduleapr[[#This Row],[OD]],"-",scheduleapr[[#This Row],[ID]],"-",scheduleapr[[#This Row],[TICKNESS]],"-",scheduleapr[[#This Row],[Grade]],"-",scheduleapr[[#This Row],[FC/NFC]])</f>
        <v/>
      </c>
      <c r="R720" s="557">
        <f>_xlfn.CONCAT(scheduleapr[[#This Row],[Bucket]],"-",scheduleapr[[#This Row],[LENGTH]]/1000)</f>
        <v/>
      </c>
      <c r="S720" s="557">
        <f>COUNTIF(scheduleapr[CTL Bucket],scheduleapr[[#This Row],[CTL Bucket]])</f>
        <v/>
      </c>
      <c r="T720" s="601" t="inlineStr">
        <is>
          <t>Hosur</t>
        </is>
      </c>
      <c r="U720" s="601">
        <f>_xlfn.IFNA(VLOOKUP(scheduleapr[[#This Row],[Bucket]],salesforecast[[#All],[Bucket2]:[8406 Stock]],19,0),0)</f>
        <v/>
      </c>
      <c r="V720" s="562">
        <f>_xlfn.IFNA(VLOOKUP(scheduleapr[[#This Row],[Bucket]],salesforecast[[#All],[Bucket2]:[8406 Stock]],20,0),0)+_xlfn.IFNA(VLOOKUP(scheduleapr[[#This Row],[Bucket]],salesforecast[[#All],[Bucket2]:[8406 Stock]],17,0),0)</f>
        <v/>
      </c>
      <c r="W720" s="557" t="n"/>
      <c r="X720" s="599" t="n">
        <v>19.05</v>
      </c>
      <c r="Y720" s="599" t="n">
        <v>19.05</v>
      </c>
      <c r="Z720" s="6" t="n">
        <v>0</v>
      </c>
      <c r="AA720" s="599" t="n">
        <v>2.3</v>
      </c>
      <c r="AB720" s="600" t="n">
        <v>570</v>
      </c>
      <c r="AC720" s="600" t="inlineStr">
        <is>
          <t>NOS</t>
        </is>
      </c>
      <c r="AD720" s="600" t="inlineStr">
        <is>
          <t>Indico</t>
        </is>
      </c>
      <c r="AE720" s="600" t="n">
        <v>2000</v>
      </c>
      <c r="AF720" s="601" t="n">
        <v>10000</v>
      </c>
      <c r="AG720" s="596" t="inlineStr">
        <is>
          <t>Aug 2026 schedule · srikam</t>
        </is>
      </c>
      <c r="AH720" s="601">
        <f t="array" ref="AH72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0" s="602">
        <f>scheduleapr[[#This Row],[SCHEDULE in nos]]-scheduleapr[[#This Row],[DISPATCH]]</f>
        <v/>
      </c>
      <c r="AJ720" s="599">
        <f>(3.14*(scheduleapr[[#This Row],[ACTUAL OD]]-scheduleapr[[#This Row],[TICKNESS]])*scheduleapr[[#This Row],[TICKNESS]]*scheduleapr[[#This Row],[LENGTH]]*7.85)/1000000*scheduleapr[[#This Row],[SCHEDULE in nos]]/1000</f>
        <v/>
      </c>
      <c r="AK720" s="599">
        <f>(3.14*(scheduleapr[[#This Row],[ACTUAL OD]]-scheduleapr[[#This Row],[TICKNESS]])*scheduleapr[[#This Row],[TICKNESS]]*scheduleapr[[#This Row],[LENGTH]]*7.85)/1000000*scheduleapr[[#This Row],[DISPATCH]]/1000</f>
        <v/>
      </c>
      <c r="AL720" s="599">
        <f>AJ720-AK720</f>
        <v/>
      </c>
      <c r="AM720" s="599">
        <f>scheduleapr[[#This Row],[SCHEDULE in nos]]/scheduleapr[[#This Row],[SCHEDULE IN MT]]*scheduleapr[[#This Row],[CTL Stock]]</f>
        <v/>
      </c>
      <c r="AN720" s="599">
        <f>SUMIFS(stock[MT],stock[Bucket],scheduleapr[[#This Row],[Bucket]],stock[CTL Bucket],scheduleapr[[#This Row],[CTL Bucket]],stock[Plant],"0789")</f>
        <v/>
      </c>
      <c r="AO720" s="599" t="n"/>
      <c r="AP720" s="599">
        <f>SUMIFS(stock[MT],stock[Bucket],scheduleapr[[#This Row],[Bucket]],stock[LL or CTL],"LL")</f>
        <v/>
      </c>
      <c r="AQ720" s="79">
        <f>+SUMIFS(wip[Stock(Net Wt)],wip[Bucket],scheduleapr[[#This Row],[Bucket]])/1000</f>
        <v/>
      </c>
      <c r="AR720" s="599">
        <f>AJ720-AN720</f>
        <v/>
      </c>
      <c r="AS720" s="118" t="n"/>
    </row>
    <row r="721">
      <c r="A721" s="125" t="n">
        <v>601</v>
      </c>
      <c r="B721" s="5" t="inlineStr">
        <is>
          <t>Hosur</t>
        </is>
      </c>
      <c r="C721" s="601" t="inlineStr">
        <is>
          <t>SRIKAM HITECH</t>
        </is>
      </c>
      <c r="D721" s="601" t="inlineStr">
        <is>
          <t>Srikam HI-Tech</t>
        </is>
      </c>
      <c r="E721" s="601" t="n">
        <v>944141</v>
      </c>
      <c r="F721" s="601" t="n">
        <v>1940329</v>
      </c>
      <c r="G721" s="601">
        <f>_xlfn.CONCAT(scheduleapr[[#This Row],[CUSTOMER CODE]],"-",scheduleapr[[#This Row],[MATERIAL NO]])</f>
        <v/>
      </c>
      <c r="H721" s="601" t="inlineStr">
        <is>
          <t>TUB-O-O-AUT-AW-PE-19.05X2.300X0.6100</t>
        </is>
      </c>
      <c r="I721" s="601" t="inlineStr">
        <is>
          <t>ERW 1</t>
        </is>
      </c>
      <c r="J721" s="601" t="n"/>
      <c r="K721" s="601" t="inlineStr">
        <is>
          <t>PE</t>
        </is>
      </c>
      <c r="L721" s="601" t="inlineStr">
        <is>
          <t>HR</t>
        </is>
      </c>
      <c r="M721" s="601" t="n"/>
      <c r="N721" s="601" t="n"/>
      <c r="O721" s="601" t="n"/>
      <c r="P721" s="601" t="n"/>
      <c r="Q721" s="557">
        <f>CONCATENATE(scheduleapr[[#This Row],[OD]],"-",scheduleapr[[#This Row],[ID]],"-",scheduleapr[[#This Row],[TICKNESS]],"-",scheduleapr[[#This Row],[Grade]],"-",scheduleapr[[#This Row],[FC/NFC]])</f>
        <v/>
      </c>
      <c r="R721" s="557">
        <f>_xlfn.CONCAT(scheduleapr[[#This Row],[Bucket]],"-",scheduleapr[[#This Row],[LENGTH]]/1000)</f>
        <v/>
      </c>
      <c r="S721" s="557">
        <f>COUNTIF(scheduleapr[CTL Bucket],scheduleapr[[#This Row],[CTL Bucket]])</f>
        <v/>
      </c>
      <c r="T721" s="601" t="inlineStr">
        <is>
          <t>Hosur</t>
        </is>
      </c>
      <c r="U721" s="601">
        <f>_xlfn.IFNA(VLOOKUP(scheduleapr[[#This Row],[Bucket]],salesforecast[[#All],[Bucket2]:[8406 Stock]],19,0),0)</f>
        <v/>
      </c>
      <c r="V721" s="562">
        <f>_xlfn.IFNA(VLOOKUP(scheduleapr[[#This Row],[Bucket]],salesforecast[[#All],[Bucket2]:[8406 Stock]],20,0),0)+_xlfn.IFNA(VLOOKUP(scheduleapr[[#This Row],[Bucket]],salesforecast[[#All],[Bucket2]:[8406 Stock]],17,0),0)</f>
        <v/>
      </c>
      <c r="W721" s="557" t="n"/>
      <c r="X721" s="599" t="n">
        <v>19.05</v>
      </c>
      <c r="Y721" s="599" t="n">
        <v>19.05</v>
      </c>
      <c r="Z721" s="6" t="n">
        <v>0</v>
      </c>
      <c r="AA721" s="599" t="n">
        <v>2.3</v>
      </c>
      <c r="AB721" s="600" t="n">
        <v>610</v>
      </c>
      <c r="AC721" s="600" t="inlineStr">
        <is>
          <t>NOS</t>
        </is>
      </c>
      <c r="AD721" s="600" t="n"/>
      <c r="AE721" s="600" t="n"/>
      <c r="AF721" s="601" t="n">
        <v>10000</v>
      </c>
      <c r="AG721" s="596" t="inlineStr">
        <is>
          <t>Aug 2026 schedule · srikam</t>
        </is>
      </c>
      <c r="AH721" s="601">
        <f t="array" ref="AH72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1" s="602">
        <f>scheduleapr[[#This Row],[SCHEDULE in nos]]-scheduleapr[[#This Row],[DISPATCH]]</f>
        <v/>
      </c>
      <c r="AJ721" s="599">
        <f>(3.14*(scheduleapr[[#This Row],[ACTUAL OD]]-scheduleapr[[#This Row],[TICKNESS]])*scheduleapr[[#This Row],[TICKNESS]]*scheduleapr[[#This Row],[LENGTH]]*7.85)/1000000*scheduleapr[[#This Row],[SCHEDULE in nos]]/1000</f>
        <v/>
      </c>
      <c r="AK721" s="599">
        <f>(3.14*(scheduleapr[[#This Row],[ACTUAL OD]]-scheduleapr[[#This Row],[TICKNESS]])*scheduleapr[[#This Row],[TICKNESS]]*scheduleapr[[#This Row],[LENGTH]]*7.85)/1000000*scheduleapr[[#This Row],[DISPATCH]]/1000</f>
        <v/>
      </c>
      <c r="AL721" s="599">
        <f>AJ721-AK721</f>
        <v/>
      </c>
      <c r="AM721" s="599">
        <f>scheduleapr[[#This Row],[SCHEDULE in nos]]/scheduleapr[[#This Row],[SCHEDULE IN MT]]*scheduleapr[[#This Row],[CTL Stock]]</f>
        <v/>
      </c>
      <c r="AN721" s="599">
        <f>SUMIFS(stock[MT],stock[Bucket],scheduleapr[[#This Row],[Bucket]],stock[CTL Bucket],scheduleapr[[#This Row],[CTL Bucket]],stock[Plant],"0789")</f>
        <v/>
      </c>
      <c r="AO721" s="599" t="n"/>
      <c r="AP721" s="599">
        <f>SUMIFS(stock[MT],stock[Bucket],scheduleapr[[#This Row],[Bucket]],stock[LL or CTL],"LL")</f>
        <v/>
      </c>
      <c r="AQ721" s="599">
        <f>+SUMIFS(wip[Stock(Net Wt)],wip[Bucket],scheduleapr[[#This Row],[Bucket]])/1000</f>
        <v/>
      </c>
      <c r="AR721" s="599">
        <f>AJ721-AN721</f>
        <v/>
      </c>
      <c r="AS721" s="118" t="n"/>
    </row>
    <row r="722">
      <c r="A722" s="594" t="n">
        <v>602</v>
      </c>
      <c r="B722" s="5" t="inlineStr">
        <is>
          <t>Hosur</t>
        </is>
      </c>
      <c r="C722" s="601" t="inlineStr">
        <is>
          <t>SRIKAM HITECH</t>
        </is>
      </c>
      <c r="D722" s="601" t="inlineStr">
        <is>
          <t>Srikam HI-Tech</t>
        </is>
      </c>
      <c r="E722" s="601" t="n">
        <v>944141</v>
      </c>
      <c r="F722" s="601" t="n">
        <v>477006</v>
      </c>
      <c r="G722" s="601">
        <f>_xlfn.CONCAT(scheduleapr[[#This Row],[CUSTOMER CODE]],"-",scheduleapr[[#This Row],[MATERIAL NO]])</f>
        <v/>
      </c>
      <c r="H722" s="601" t="inlineStr">
        <is>
          <t>PT2-O-N-AUT-AW-PE-19.05X2.300X0.245</t>
        </is>
      </c>
      <c r="I722" s="601" t="inlineStr">
        <is>
          <t>ERW 1</t>
        </is>
      </c>
      <c r="J722" s="601" t="n"/>
      <c r="K722" s="601" t="n"/>
      <c r="L722" s="601" t="inlineStr">
        <is>
          <t>HR</t>
        </is>
      </c>
      <c r="M722" s="601" t="n"/>
      <c r="N722" s="601" t="n"/>
      <c r="O722" s="601" t="n"/>
      <c r="P722" s="601" t="n"/>
      <c r="Q722" s="557">
        <f>CONCATENATE(scheduleapr[[#This Row],[OD]],"-",scheduleapr[[#This Row],[ID]],"-",scheduleapr[[#This Row],[TICKNESS]],"-",scheduleapr[[#This Row],[Grade]],"-",scheduleapr[[#This Row],[FC/NFC]])</f>
        <v/>
      </c>
      <c r="R722" s="557">
        <f>_xlfn.CONCAT(scheduleapr[[#This Row],[Bucket]],"-",scheduleapr[[#This Row],[LENGTH]]/1000)</f>
        <v/>
      </c>
      <c r="S722" s="557">
        <f>COUNTIF([2]!buckets[CTL Bucket],[2]!scheduleapr[[#This Row],[CTL Bucket]])</f>
        <v/>
      </c>
      <c r="T722" s="557" t="n"/>
      <c r="U722" s="557" t="n"/>
      <c r="V722" s="557" t="n"/>
      <c r="W722" s="557" t="n"/>
      <c r="X722" s="599" t="n">
        <v>19.05</v>
      </c>
      <c r="Y722" s="599" t="n">
        <v>19.05</v>
      </c>
      <c r="Z722" s="6" t="n">
        <v>0</v>
      </c>
      <c r="AA722" s="599" t="n">
        <v>2.34</v>
      </c>
      <c r="AB722" s="600" t="n">
        <v>245</v>
      </c>
      <c r="AC722" s="600" t="inlineStr">
        <is>
          <t>NOS</t>
        </is>
      </c>
      <c r="AD722" s="600" t="n"/>
      <c r="AE722" s="600" t="n"/>
      <c r="AF722" s="601" t="n"/>
      <c r="AG722" s="601" t="n"/>
      <c r="AH722" s="601">
        <f t="array" ref="AH72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2" s="602">
        <f>scheduleapr[[#This Row],[SCHEDULE in nos]]-scheduleapr[[#This Row],[DISPATCH]]</f>
        <v/>
      </c>
      <c r="AJ722" s="599">
        <f>(3.14*(scheduleapr[[#This Row],[ACTUAL OD]]-scheduleapr[[#This Row],[TICKNESS]])*scheduleapr[[#This Row],[TICKNESS]]*scheduleapr[[#This Row],[LENGTH]]*7.85)/1000000*scheduleapr[[#This Row],[SCHEDULE in nos]]/1000</f>
        <v/>
      </c>
      <c r="AK722" s="599">
        <f>(3.14*(scheduleapr[[#This Row],[ACTUAL OD]]-scheduleapr[[#This Row],[TICKNESS]])*scheduleapr[[#This Row],[TICKNESS]]*scheduleapr[[#This Row],[LENGTH]]*7.85)/1000000*scheduleapr[[#This Row],[DISPATCH]]/1000</f>
        <v/>
      </c>
      <c r="AL722" s="599">
        <f>AJ722-AK722</f>
        <v/>
      </c>
      <c r="AM722" s="599">
        <f>scheduleapr[[#This Row],[SCHEDULE in nos]]/scheduleapr[[#This Row],[SCHEDULE IN MT]]*scheduleapr[[#This Row],[CTL Stock]]</f>
        <v/>
      </c>
      <c r="AN722" s="599">
        <f>SUMIFS(stock[MT],stock[Bucket],scheduleapr[[#This Row],[Bucket]],stock[CTL Bucket],scheduleapr[[#This Row],[CTL Bucket]],stock[Plant],"0789")</f>
        <v/>
      </c>
      <c r="AO722" s="599" t="n"/>
      <c r="AP722" s="599">
        <f>SUMIFS(stock[MT],stock[Bucket],scheduleapr[[#This Row],[Bucket]],stock[LL or CTL],"LL")</f>
        <v/>
      </c>
      <c r="AQ722" s="599">
        <f>+SUMIFS(wip[Stock(Net Wt)],wip[Bucket],scheduleapr[[#This Row],[Bucket]])/1000</f>
        <v/>
      </c>
      <c r="AR722" s="599">
        <f>AJ722-AN722</f>
        <v/>
      </c>
      <c r="AS722" s="118" t="n"/>
    </row>
    <row r="723">
      <c r="A723" s="125" t="n">
        <v>604</v>
      </c>
      <c r="B723" s="5" t="inlineStr">
        <is>
          <t>Hosur</t>
        </is>
      </c>
      <c r="C723" s="601" t="inlineStr">
        <is>
          <t>SRIKAM HITECH</t>
        </is>
      </c>
      <c r="D723" s="601" t="inlineStr">
        <is>
          <t>Srikam HI-Tech</t>
        </is>
      </c>
      <c r="E723" s="601" t="n">
        <v>944141</v>
      </c>
      <c r="F723" s="601" t="n">
        <v>3180928</v>
      </c>
      <c r="G723" s="601">
        <f>_xlfn.CONCAT(scheduleapr[[#This Row],[CUSTOMER CODE]],"-",scheduleapr[[#This Row],[MATERIAL NO]])</f>
        <v/>
      </c>
      <c r="H723" s="601" t="inlineStr">
        <is>
          <t>TUB-O-N-AUT-AW-PE-22.20X1.200X0.6300</t>
        </is>
      </c>
      <c r="I723" s="601" t="inlineStr">
        <is>
          <t>ERW 1</t>
        </is>
      </c>
      <c r="J723" s="601" t="n"/>
      <c r="K723" s="601" t="n"/>
      <c r="L723" s="601" t="inlineStr">
        <is>
          <t>HR</t>
        </is>
      </c>
      <c r="M723" s="601" t="n"/>
      <c r="N723" s="601" t="n"/>
      <c r="O723" s="601" t="n"/>
      <c r="P723" s="601" t="n"/>
      <c r="Q723" s="557">
        <f>CONCATENATE(scheduleapr[[#This Row],[OD]],"-",scheduleapr[[#This Row],[ID]],"-",scheduleapr[[#This Row],[TICKNESS]],"-",scheduleapr[[#This Row],[Grade]],"-",scheduleapr[[#This Row],[FC/NFC]])</f>
        <v/>
      </c>
      <c r="R723" s="557">
        <f>_xlfn.CONCAT(scheduleapr[[#This Row],[Bucket]],"-",scheduleapr[[#This Row],[LENGTH]]/1000)</f>
        <v/>
      </c>
      <c r="S723" s="557">
        <f>COUNTIF([2]!buckets[CTL Bucket],[2]!scheduleapr[[#This Row],[CTL Bucket]])</f>
        <v/>
      </c>
      <c r="T723" s="557" t="n"/>
      <c r="U723" s="557" t="n"/>
      <c r="V723" s="557" t="n"/>
      <c r="W723" s="557" t="n"/>
      <c r="X723" s="599" t="n">
        <v>22.23</v>
      </c>
      <c r="Y723" s="599" t="n">
        <v>22.23</v>
      </c>
      <c r="Z723" s="6" t="n">
        <v>0</v>
      </c>
      <c r="AA723" s="599" t="n">
        <v>1.2</v>
      </c>
      <c r="AB723" s="600" t="n">
        <v>630</v>
      </c>
      <c r="AC723" s="600" t="n"/>
      <c r="AD723" s="600" t="n"/>
      <c r="AE723" s="600" t="n"/>
      <c r="AF723" s="601" t="n"/>
      <c r="AG723" s="601" t="n"/>
      <c r="AH723" s="601">
        <f t="array" ref="AH72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3" s="602">
        <f>scheduleapr[[#This Row],[SCHEDULE in nos]]-scheduleapr[[#This Row],[DISPATCH]]</f>
        <v/>
      </c>
      <c r="AJ723" s="599">
        <f>(3.14*(scheduleapr[[#This Row],[ACTUAL OD]]-scheduleapr[[#This Row],[TICKNESS]])*scheduleapr[[#This Row],[TICKNESS]]*scheduleapr[[#This Row],[LENGTH]]*7.85)/1000000*scheduleapr[[#This Row],[SCHEDULE in nos]]/1000</f>
        <v/>
      </c>
      <c r="AK723" s="599">
        <f>(3.14*(scheduleapr[[#This Row],[ACTUAL OD]]-scheduleapr[[#This Row],[TICKNESS]])*scheduleapr[[#This Row],[TICKNESS]]*scheduleapr[[#This Row],[LENGTH]]*7.85)/1000000*scheduleapr[[#This Row],[DISPATCH]]/1000</f>
        <v/>
      </c>
      <c r="AL723" s="599">
        <f>AJ723-AK723</f>
        <v/>
      </c>
      <c r="AM723" s="599">
        <f>scheduleapr[[#This Row],[SCHEDULE in nos]]/scheduleapr[[#This Row],[SCHEDULE IN MT]]*scheduleapr[[#This Row],[CTL Stock]]</f>
        <v/>
      </c>
      <c r="AN723" s="599">
        <f>SUMIFS(stock[MT],stock[Bucket],scheduleapr[[#This Row],[Bucket]],stock[CTL Bucket],scheduleapr[[#This Row],[CTL Bucket]],stock[Plant],"0789")</f>
        <v/>
      </c>
      <c r="AO723" s="599" t="n"/>
      <c r="AP723" s="599">
        <f>SUMIFS(stock[MT],stock[Bucket],scheduleapr[[#This Row],[Bucket]],stock[LL or CTL],"LL")</f>
        <v/>
      </c>
      <c r="AQ723" s="599">
        <f>+SUMIFS(wip[Stock(Net Wt)],wip[Bucket],scheduleapr[[#This Row],[Bucket]])/1000</f>
        <v/>
      </c>
      <c r="AR723" s="599">
        <f>AJ723-AN723</f>
        <v/>
      </c>
      <c r="AS723" s="118" t="n"/>
    </row>
    <row r="724">
      <c r="A724" s="594" t="n">
        <v>606</v>
      </c>
      <c r="B724" s="5" t="inlineStr">
        <is>
          <t>Hosur</t>
        </is>
      </c>
      <c r="C724" s="601" t="inlineStr">
        <is>
          <t>SRIKAM HITECH</t>
        </is>
      </c>
      <c r="D724" s="601" t="inlineStr">
        <is>
          <t>Srikam HI-Tech</t>
        </is>
      </c>
      <c r="E724" s="601" t="n">
        <v>944141</v>
      </c>
      <c r="F724" s="601" t="n">
        <v>3747393</v>
      </c>
      <c r="G724" s="601">
        <f>_xlfn.CONCAT(scheduleapr[[#This Row],[CUSTOMER CODE]],"-",scheduleapr[[#This Row],[MATERIAL NO]])</f>
        <v/>
      </c>
      <c r="H724" s="601" t="inlineStr">
        <is>
          <t>CUT-O-N-AUT-AW-PE-22.23X1.200X1.3080</t>
        </is>
      </c>
      <c r="I724" s="601" t="inlineStr">
        <is>
          <t>ERW 1</t>
        </is>
      </c>
      <c r="J724" s="601" t="n"/>
      <c r="K724" s="601" t="inlineStr">
        <is>
          <t>PE</t>
        </is>
      </c>
      <c r="L724" s="601" t="inlineStr">
        <is>
          <t>CR</t>
        </is>
      </c>
      <c r="M724" s="601" t="n"/>
      <c r="N724" s="601" t="n"/>
      <c r="O724" s="601" t="n"/>
      <c r="P724" s="601" t="n"/>
      <c r="Q724" s="557">
        <f>CONCATENATE(scheduleapr[[#This Row],[OD]],"-",scheduleapr[[#This Row],[ID]],"-",scheduleapr[[#This Row],[TICKNESS]],"-",scheduleapr[[#This Row],[Grade]],"-",scheduleapr[[#This Row],[FC/NFC]])</f>
        <v/>
      </c>
      <c r="R724" s="557">
        <f>_xlfn.CONCAT(scheduleapr[[#This Row],[Bucket]],"-",scheduleapr[[#This Row],[LENGTH]]/1000)</f>
        <v/>
      </c>
      <c r="S724" s="557">
        <f>COUNTIF(scheduleapr[CTL Bucket],scheduleapr[[#This Row],[CTL Bucket]])</f>
        <v/>
      </c>
      <c r="T724" s="601" t="inlineStr">
        <is>
          <t>Hosur</t>
        </is>
      </c>
      <c r="U724" s="601">
        <f>_xlfn.IFNA(VLOOKUP(scheduleapr[[#This Row],[Bucket]],salesforecast[[#All],[Bucket2]:[8406 Stock]],19,0),0)</f>
        <v/>
      </c>
      <c r="V724" s="562">
        <f>_xlfn.IFNA(VLOOKUP(scheduleapr[[#This Row],[Bucket]],salesforecast[[#All],[Bucket2]:[8406 Stock]],20,0),0)+_xlfn.IFNA(VLOOKUP(scheduleapr[[#This Row],[Bucket]],salesforecast[[#All],[Bucket2]:[8406 Stock]],17,0),0)</f>
        <v/>
      </c>
      <c r="W724" s="557" t="n"/>
      <c r="X724" s="599" t="n">
        <v>22.23</v>
      </c>
      <c r="Y724" s="599" t="n">
        <v>22.23</v>
      </c>
      <c r="Z724" s="6" t="n">
        <v>0</v>
      </c>
      <c r="AA724" s="599" t="n">
        <v>1.2</v>
      </c>
      <c r="AB724" s="600" t="n">
        <v>1308</v>
      </c>
      <c r="AC724" s="600" t="inlineStr">
        <is>
          <t>NOS</t>
        </is>
      </c>
      <c r="AD724" s="600" t="n"/>
      <c r="AE724" s="600" t="n"/>
      <c r="AF724" s="601" t="n">
        <v>10000</v>
      </c>
      <c r="AG724" s="596" t="inlineStr">
        <is>
          <t>Aug 2026 schedule · srikam</t>
        </is>
      </c>
      <c r="AH724" s="601">
        <f t="array" ref="AH72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4" s="602">
        <f>scheduleapr[[#This Row],[SCHEDULE in nos]]-scheduleapr[[#This Row],[DISPATCH]]</f>
        <v/>
      </c>
      <c r="AJ724" s="599">
        <f>(3.14*(scheduleapr[[#This Row],[ACTUAL OD]]-scheduleapr[[#This Row],[TICKNESS]])*scheduleapr[[#This Row],[TICKNESS]]*scheduleapr[[#This Row],[LENGTH]]*7.85)/1000000*scheduleapr[[#This Row],[SCHEDULE in nos]]/1000</f>
        <v/>
      </c>
      <c r="AK724" s="599">
        <f>(3.14*(scheduleapr[[#This Row],[ACTUAL OD]]-scheduleapr[[#This Row],[TICKNESS]])*scheduleapr[[#This Row],[TICKNESS]]*scheduleapr[[#This Row],[LENGTH]]*7.85)/1000000*scheduleapr[[#This Row],[DISPATCH]]/1000</f>
        <v/>
      </c>
      <c r="AL724" s="599">
        <f>AJ724-AK724</f>
        <v/>
      </c>
      <c r="AM724" s="599">
        <f>scheduleapr[[#This Row],[SCHEDULE in nos]]/scheduleapr[[#This Row],[SCHEDULE IN MT]]*scheduleapr[[#This Row],[CTL Stock]]</f>
        <v/>
      </c>
      <c r="AN724" s="599">
        <f>SUMIFS(stock[MT],stock[Bucket],scheduleapr[[#This Row],[Bucket]],stock[CTL Bucket],scheduleapr[[#This Row],[CTL Bucket]],stock[Plant],"0789")</f>
        <v/>
      </c>
      <c r="AO724" s="599" t="n"/>
      <c r="AP724" s="599">
        <f>SUMIFS(stock[MT],stock[Bucket],scheduleapr[[#This Row],[Bucket]],stock[LL or CTL],"LL")</f>
        <v/>
      </c>
      <c r="AQ724" s="599">
        <f>+SUMIFS(wip[Stock(Net Wt)],wip[Bucket],scheduleapr[[#This Row],[Bucket]])/1000</f>
        <v/>
      </c>
      <c r="AR724" s="599">
        <f>AJ724-AN724</f>
        <v/>
      </c>
      <c r="AS724" s="118" t="n"/>
    </row>
    <row r="725">
      <c r="A725" s="125" t="n">
        <v>607</v>
      </c>
      <c r="B725" s="5" t="inlineStr">
        <is>
          <t>Hosur</t>
        </is>
      </c>
      <c r="C725" s="601" t="inlineStr">
        <is>
          <t>SRIKAM HITECH</t>
        </is>
      </c>
      <c r="D725" s="601" t="inlineStr">
        <is>
          <t>Srikam HI-Tech</t>
        </is>
      </c>
      <c r="E725" s="601" t="n">
        <v>944141</v>
      </c>
      <c r="F725" s="601" t="n">
        <v>2320560</v>
      </c>
      <c r="G725" s="601">
        <f>_xlfn.CONCAT(scheduleapr[[#This Row],[CUSTOMER CODE]],"-",scheduleapr[[#This Row],[MATERIAL NO]])</f>
        <v/>
      </c>
      <c r="H725" s="601" t="inlineStr">
        <is>
          <t>TUB-O-N-AUT-AW-PE-22.23X1.600X0.2100</t>
        </is>
      </c>
      <c r="I725" s="601" t="inlineStr">
        <is>
          <t>ERW 1</t>
        </is>
      </c>
      <c r="J725" s="601" t="n"/>
      <c r="K725" s="601" t="inlineStr">
        <is>
          <t>PE</t>
        </is>
      </c>
      <c r="L725" s="601" t="inlineStr">
        <is>
          <t>CR</t>
        </is>
      </c>
      <c r="M725" s="49" t="inlineStr">
        <is>
          <t>HROP</t>
        </is>
      </c>
      <c r="N725" s="601" t="n"/>
      <c r="O725" s="601" t="n"/>
      <c r="P725" s="601" t="n"/>
      <c r="Q725" s="557">
        <f>CONCATENATE(scheduleapr[[#This Row],[OD]],"-",scheduleapr[[#This Row],[ID]],"-",scheduleapr[[#This Row],[TICKNESS]],"-",scheduleapr[[#This Row],[Grade]],"-",scheduleapr[[#This Row],[FC/NFC]])</f>
        <v/>
      </c>
      <c r="R725" s="557">
        <f>_xlfn.CONCAT(scheduleapr[[#This Row],[Bucket]],"-",scheduleapr[[#This Row],[LENGTH]]/1000)</f>
        <v/>
      </c>
      <c r="S725" s="557">
        <f>COUNTIF([2]!buckets[CTL Bucket],[2]!scheduleapr[[#This Row],[CTL Bucket]])</f>
        <v/>
      </c>
      <c r="T725" s="557" t="n"/>
      <c r="U725" s="557" t="n"/>
      <c r="V725" s="557" t="n"/>
      <c r="W725" s="557" t="n"/>
      <c r="X725" s="599" t="n">
        <v>22.23</v>
      </c>
      <c r="Y725" s="599" t="n">
        <v>22.23</v>
      </c>
      <c r="Z725" s="6" t="n">
        <v>0</v>
      </c>
      <c r="AA725" s="599" t="n">
        <v>1.6</v>
      </c>
      <c r="AB725" s="600" t="n">
        <v>210</v>
      </c>
      <c r="AC725" s="600" t="n"/>
      <c r="AD725" s="600" t="n"/>
      <c r="AE725" s="600" t="n"/>
      <c r="AF725" s="601" t="n"/>
      <c r="AG725" s="601" t="n"/>
      <c r="AH725" s="601">
        <f t="array" ref="AH72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5" s="602">
        <f>scheduleapr[[#This Row],[SCHEDULE in nos]]-scheduleapr[[#This Row],[DISPATCH]]</f>
        <v/>
      </c>
      <c r="AJ725" s="599">
        <f>(3.14*(scheduleapr[[#This Row],[ACTUAL OD]]-scheduleapr[[#This Row],[TICKNESS]])*scheduleapr[[#This Row],[TICKNESS]]*scheduleapr[[#This Row],[LENGTH]]*7.85)/1000000*scheduleapr[[#This Row],[SCHEDULE in nos]]/1000</f>
        <v/>
      </c>
      <c r="AK725" s="599">
        <f>(3.14*(scheduleapr[[#This Row],[ACTUAL OD]]-scheduleapr[[#This Row],[TICKNESS]])*scheduleapr[[#This Row],[TICKNESS]]*scheduleapr[[#This Row],[LENGTH]]*7.85)/1000000*scheduleapr[[#This Row],[DISPATCH]]/1000</f>
        <v/>
      </c>
      <c r="AL725" s="599">
        <f>AJ725-AK725</f>
        <v/>
      </c>
      <c r="AM725" s="599">
        <f>scheduleapr[[#This Row],[SCHEDULE in nos]]/scheduleapr[[#This Row],[SCHEDULE IN MT]]*scheduleapr[[#This Row],[CTL Stock]]</f>
        <v/>
      </c>
      <c r="AN725" s="599">
        <f>SUMIFS(stock[MT],stock[Bucket],scheduleapr[[#This Row],[Bucket]],stock[CTL Bucket],scheduleapr[[#This Row],[CTL Bucket]],stock[Plant],"0789")</f>
        <v/>
      </c>
      <c r="AO725" s="599" t="n"/>
      <c r="AP725" s="599">
        <f>SUMIFS(stock[MT],stock[Bucket],scheduleapr[[#This Row],[Bucket]],stock[LL or CTL],"LL")</f>
        <v/>
      </c>
      <c r="AQ725" s="599">
        <f>+SUMIFS(wip[Stock(Net Wt)],wip[Bucket],scheduleapr[[#This Row],[Bucket]])/1000</f>
        <v/>
      </c>
      <c r="AR725" s="599">
        <f>AJ725-AN725</f>
        <v/>
      </c>
      <c r="AS725" s="118" t="n"/>
    </row>
    <row r="726">
      <c r="A726" s="594" t="n">
        <v>608</v>
      </c>
      <c r="B726" s="5" t="inlineStr">
        <is>
          <t>Hosur</t>
        </is>
      </c>
      <c r="C726" s="601" t="inlineStr">
        <is>
          <t>SRIKAM HITECH</t>
        </is>
      </c>
      <c r="D726" s="601" t="inlineStr">
        <is>
          <t>Srikam HI-Tech</t>
        </is>
      </c>
      <c r="E726" s="601" t="n">
        <v>944141</v>
      </c>
      <c r="F726" s="601" t="n">
        <v>1940390</v>
      </c>
      <c r="G726" s="601">
        <f>_xlfn.CONCAT(scheduleapr[[#This Row],[CUSTOMER CODE]],"-",scheduleapr[[#This Row],[MATERIAL NO]])</f>
        <v/>
      </c>
      <c r="H726" s="601" t="inlineStr">
        <is>
          <t>TUB-O-O-AUT-AW-PE-22.23X1.600X0.2830</t>
        </is>
      </c>
      <c r="I726" s="601" t="inlineStr">
        <is>
          <t>ERW 1</t>
        </is>
      </c>
      <c r="J726" s="601" t="n"/>
      <c r="K726" s="601" t="inlineStr">
        <is>
          <t>PE</t>
        </is>
      </c>
      <c r="L726" s="601" t="inlineStr">
        <is>
          <t>CR</t>
        </is>
      </c>
      <c r="M726" s="49" t="inlineStr">
        <is>
          <t>GR1</t>
        </is>
      </c>
      <c r="N726" s="601" t="n"/>
      <c r="O726" s="601" t="n"/>
      <c r="P726" s="601" t="n"/>
      <c r="Q726" s="557">
        <f>CONCATENATE(scheduleapr[[#This Row],[OD]],"-",scheduleapr[[#This Row],[ID]],"-",scheduleapr[[#This Row],[TICKNESS]],"-",scheduleapr[[#This Row],[Grade]],"-",scheduleapr[[#This Row],[FC/NFC]])</f>
        <v/>
      </c>
      <c r="R726" s="557">
        <f>_xlfn.CONCAT(scheduleapr[[#This Row],[Bucket]],"-",scheduleapr[[#This Row],[LENGTH]]/1000)</f>
        <v/>
      </c>
      <c r="S726" s="557">
        <f>COUNTIF(scheduleapr[CTL Bucket],scheduleapr[[#This Row],[CTL Bucket]])</f>
        <v/>
      </c>
      <c r="T726" s="601" t="inlineStr">
        <is>
          <t>Hosur</t>
        </is>
      </c>
      <c r="U726" s="601">
        <f>_xlfn.IFNA(VLOOKUP(scheduleapr[[#This Row],[Bucket]],salesforecast[[#All],[Bucket2]:[8406 Stock]],19,0),0)</f>
        <v/>
      </c>
      <c r="V726" s="562">
        <f>_xlfn.IFNA(VLOOKUP(scheduleapr[[#This Row],[Bucket]],salesforecast[[#All],[Bucket2]:[8406 Stock]],20,0),0)+_xlfn.IFNA(VLOOKUP(scheduleapr[[#This Row],[Bucket]],salesforecast[[#All],[Bucket2]:[8406 Stock]],17,0),0)</f>
        <v/>
      </c>
      <c r="W726" s="557" t="n"/>
      <c r="X726" s="599" t="n">
        <v>22.23</v>
      </c>
      <c r="Y726" s="599" t="n">
        <v>22.23</v>
      </c>
      <c r="Z726" s="6" t="n">
        <v>0</v>
      </c>
      <c r="AA726" s="599" t="n">
        <v>1.6</v>
      </c>
      <c r="AB726" s="600" t="n">
        <v>283</v>
      </c>
      <c r="AC726" s="600" t="inlineStr">
        <is>
          <t>NOS</t>
        </is>
      </c>
      <c r="AD726" s="600" t="inlineStr">
        <is>
          <t>Indico</t>
        </is>
      </c>
      <c r="AE726" s="600" t="n"/>
      <c r="AF726" s="601" t="n">
        <v>10000</v>
      </c>
      <c r="AG726" s="596" t="inlineStr">
        <is>
          <t>Aug 2026 schedule · srikam</t>
        </is>
      </c>
      <c r="AH726" s="601">
        <f t="array" ref="AH72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6" s="602">
        <f>scheduleapr[[#This Row],[SCHEDULE in nos]]-scheduleapr[[#This Row],[DISPATCH]]</f>
        <v/>
      </c>
      <c r="AJ726" s="599">
        <f>(3.14*(scheduleapr[[#This Row],[ACTUAL OD]]-scheduleapr[[#This Row],[TICKNESS]])*scheduleapr[[#This Row],[TICKNESS]]*scheduleapr[[#This Row],[LENGTH]]*7.85)/1000000*scheduleapr[[#This Row],[SCHEDULE in nos]]/1000</f>
        <v/>
      </c>
      <c r="AK726" s="599">
        <f>(3.14*(scheduleapr[[#This Row],[ACTUAL OD]]-scheduleapr[[#This Row],[TICKNESS]])*scheduleapr[[#This Row],[TICKNESS]]*scheduleapr[[#This Row],[LENGTH]]*7.85)/1000000*scheduleapr[[#This Row],[DISPATCH]]/1000</f>
        <v/>
      </c>
      <c r="AL726" s="599">
        <f>AJ726-AK726</f>
        <v/>
      </c>
      <c r="AM726" s="599">
        <f>scheduleapr[[#This Row],[SCHEDULE in nos]]/scheduleapr[[#This Row],[SCHEDULE IN MT]]*scheduleapr[[#This Row],[CTL Stock]]</f>
        <v/>
      </c>
      <c r="AN726" s="599">
        <f>SUMIFS(stock[MT],stock[Bucket],scheduleapr[[#This Row],[Bucket]],stock[CTL Bucket],scheduleapr[[#This Row],[CTL Bucket]],stock[Plant],"0789")</f>
        <v/>
      </c>
      <c r="AO726" s="599" t="n"/>
      <c r="AP726" s="599">
        <f>SUMIFS(stock[MT],stock[Bucket],scheduleapr[[#This Row],[Bucket]],stock[LL or CTL],"LL")</f>
        <v/>
      </c>
      <c r="AQ726" s="599">
        <f>+SUMIFS(wip[Stock(Net Wt)],wip[Bucket],scheduleapr[[#This Row],[Bucket]])/1000</f>
        <v/>
      </c>
      <c r="AR726" s="599">
        <f>AJ726-AN726</f>
        <v/>
      </c>
      <c r="AS726" s="118" t="n"/>
    </row>
    <row r="727">
      <c r="A727" s="125" t="n">
        <v>609</v>
      </c>
      <c r="B727" s="5" t="inlineStr">
        <is>
          <t>Hosur</t>
        </is>
      </c>
      <c r="C727" s="601" t="inlineStr">
        <is>
          <t>SRIKAM HITECH</t>
        </is>
      </c>
      <c r="D727" s="601" t="inlineStr">
        <is>
          <t>Srikam HI-Tech</t>
        </is>
      </c>
      <c r="E727" s="601" t="n">
        <v>944141</v>
      </c>
      <c r="F727" s="601" t="n">
        <v>2270133</v>
      </c>
      <c r="G727" s="601">
        <f>_xlfn.CONCAT(scheduleapr[[#This Row],[CUSTOMER CODE]],"-",scheduleapr[[#This Row],[MATERIAL NO]])</f>
        <v/>
      </c>
      <c r="H727" s="601" t="inlineStr">
        <is>
          <t>TUB-O-N-AUT-HR-PE-22.23X1.600X0.7000</t>
        </is>
      </c>
      <c r="I727" s="601" t="inlineStr">
        <is>
          <t>ERW 1</t>
        </is>
      </c>
      <c r="J727" s="601" t="n"/>
      <c r="K727" s="601" t="inlineStr">
        <is>
          <t>PE</t>
        </is>
      </c>
      <c r="L727" s="601" t="inlineStr">
        <is>
          <t>CR</t>
        </is>
      </c>
      <c r="M727" s="49" t="inlineStr">
        <is>
          <t>GR1</t>
        </is>
      </c>
      <c r="N727" s="601" t="n"/>
      <c r="O727" s="601" t="n"/>
      <c r="P727" s="601" t="n"/>
      <c r="Q727" s="557">
        <f>CONCATENATE(scheduleapr[[#This Row],[OD]],"-",scheduleapr[[#This Row],[ID]],"-",scheduleapr[[#This Row],[TICKNESS]],"-",scheduleapr[[#This Row],[Grade]],"-",scheduleapr[[#This Row],[FC/NFC]])</f>
        <v/>
      </c>
      <c r="R727" s="557">
        <f>_xlfn.CONCAT(scheduleapr[[#This Row],[Bucket]],"-",scheduleapr[[#This Row],[LENGTH]]/1000)</f>
        <v/>
      </c>
      <c r="S727" s="557">
        <f>COUNTIF(scheduleapr[CTL Bucket],scheduleapr[[#This Row],[CTL Bucket]])</f>
        <v/>
      </c>
      <c r="T727" s="601" t="inlineStr">
        <is>
          <t>Hosur</t>
        </is>
      </c>
      <c r="U727" s="601">
        <f>_xlfn.IFNA(VLOOKUP(scheduleapr[[#This Row],[Bucket]],salesforecast[[#All],[Bucket2]:[8406 Stock]],19,0),0)</f>
        <v/>
      </c>
      <c r="V727" s="562">
        <f>_xlfn.IFNA(VLOOKUP(scheduleapr[[#This Row],[Bucket]],salesforecast[[#All],[Bucket2]:[8406 Stock]],20,0),0)+_xlfn.IFNA(VLOOKUP(scheduleapr[[#This Row],[Bucket]],salesforecast[[#All],[Bucket2]:[8406 Stock]],17,0),0)</f>
        <v/>
      </c>
      <c r="W727" s="557" t="n"/>
      <c r="X727" s="599" t="n">
        <v>22.23</v>
      </c>
      <c r="Y727" s="599" t="n">
        <v>22.23</v>
      </c>
      <c r="Z727" s="6" t="n">
        <v>0</v>
      </c>
      <c r="AA727" s="599" t="n">
        <v>1.6</v>
      </c>
      <c r="AB727" s="600" t="n">
        <v>700</v>
      </c>
      <c r="AC727" s="600" t="inlineStr">
        <is>
          <t>NOS</t>
        </is>
      </c>
      <c r="AD727" s="600" t="n"/>
      <c r="AE727" s="600" t="n"/>
      <c r="AF727" s="601" t="n">
        <v>20000</v>
      </c>
      <c r="AG727" s="601" t="inlineStr">
        <is>
          <t>Aug 2026 schedule · srikam</t>
        </is>
      </c>
      <c r="AH727" s="601">
        <f t="array" ref="AH72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7" s="602">
        <f>scheduleapr[[#This Row],[SCHEDULE in nos]]-scheduleapr[[#This Row],[DISPATCH]]</f>
        <v/>
      </c>
      <c r="AJ727" s="599">
        <f>(3.14*(scheduleapr[[#This Row],[ACTUAL OD]]-scheduleapr[[#This Row],[TICKNESS]])*scheduleapr[[#This Row],[TICKNESS]]*scheduleapr[[#This Row],[LENGTH]]*7.85)/1000000*scheduleapr[[#This Row],[SCHEDULE in nos]]/1000</f>
        <v/>
      </c>
      <c r="AK727" s="599">
        <f>(3.14*(scheduleapr[[#This Row],[ACTUAL OD]]-scheduleapr[[#This Row],[TICKNESS]])*scheduleapr[[#This Row],[TICKNESS]]*scheduleapr[[#This Row],[LENGTH]]*7.85)/1000000*scheduleapr[[#This Row],[DISPATCH]]/1000</f>
        <v/>
      </c>
      <c r="AL727" s="599">
        <f>AJ727-AK727</f>
        <v/>
      </c>
      <c r="AM727" s="599">
        <f>scheduleapr[[#This Row],[SCHEDULE in nos]]/scheduleapr[[#This Row],[SCHEDULE IN MT]]*scheduleapr[[#This Row],[CTL Stock]]</f>
        <v/>
      </c>
      <c r="AN727" s="599">
        <f>SUMIFS(stock[MT],stock[Bucket],scheduleapr[[#This Row],[Bucket]],stock[CTL Bucket],scheduleapr[[#This Row],[CTL Bucket]],stock[Plant],"0789")</f>
        <v/>
      </c>
      <c r="AO727" s="599" t="n"/>
      <c r="AP727" s="599">
        <f>SUMIFS(stock[MT],stock[Bucket],scheduleapr[[#This Row],[Bucket]],stock[LL or CTL],"LL")</f>
        <v/>
      </c>
      <c r="AQ727" s="599">
        <f>+SUMIFS(wip[Stock(Net Wt)],wip[Bucket],scheduleapr[[#This Row],[Bucket]])/1000</f>
        <v/>
      </c>
      <c r="AR727" s="599">
        <f>AJ727-AN727</f>
        <v/>
      </c>
      <c r="AS727" s="118" t="n"/>
    </row>
    <row r="728">
      <c r="A728" s="594" t="n">
        <v>610</v>
      </c>
      <c r="B728" s="5" t="inlineStr">
        <is>
          <t>Hosur</t>
        </is>
      </c>
      <c r="C728" s="601" t="inlineStr">
        <is>
          <t>SRIKAM HITECH</t>
        </is>
      </c>
      <c r="D728" s="601" t="inlineStr">
        <is>
          <t>Srikam HI-Tech</t>
        </is>
      </c>
      <c r="E728" s="601" t="n">
        <v>944141</v>
      </c>
      <c r="F728" s="601" t="n">
        <v>3673012</v>
      </c>
      <c r="G728" s="601">
        <f>_xlfn.CONCAT(scheduleapr[[#This Row],[CUSTOMER CODE]],"-",scheduleapr[[#This Row],[MATERIAL NO]])</f>
        <v/>
      </c>
      <c r="H728" s="601" t="inlineStr">
        <is>
          <t>TUB-O-N-AUT-AW-PE-22.23X1.600X0.9490</t>
        </is>
      </c>
      <c r="I728" s="601" t="inlineStr">
        <is>
          <t>ERW 1</t>
        </is>
      </c>
      <c r="J728" s="601" t="n"/>
      <c r="K728" s="601" t="inlineStr">
        <is>
          <t>PE</t>
        </is>
      </c>
      <c r="L728" s="601" t="inlineStr">
        <is>
          <t>CR</t>
        </is>
      </c>
      <c r="M728" s="49" t="inlineStr">
        <is>
          <t>HROP</t>
        </is>
      </c>
      <c r="N728" s="601" t="n"/>
      <c r="O728" s="601" t="n"/>
      <c r="P728" s="601" t="n"/>
      <c r="Q728" s="557">
        <f>CONCATENATE(scheduleapr[[#This Row],[OD]],"-",scheduleapr[[#This Row],[ID]],"-",scheduleapr[[#This Row],[TICKNESS]],"-",scheduleapr[[#This Row],[Grade]],"-",scheduleapr[[#This Row],[FC/NFC]])</f>
        <v/>
      </c>
      <c r="R728" s="557">
        <f>_xlfn.CONCAT(scheduleapr[[#This Row],[Bucket]],"-",scheduleapr[[#This Row],[LENGTH]]/1000)</f>
        <v/>
      </c>
      <c r="S728" s="557">
        <f>COUNTIF(scheduleapr[CTL Bucket],scheduleapr[[#This Row],[CTL Bucket]])</f>
        <v/>
      </c>
      <c r="T728" s="601" t="inlineStr">
        <is>
          <t>Hosur</t>
        </is>
      </c>
      <c r="U728" s="601">
        <f>_xlfn.IFNA(VLOOKUP(scheduleapr[[#This Row],[Bucket]],salesforecast[[#All],[Bucket2]:[8406 Stock]],19,0),0)</f>
        <v/>
      </c>
      <c r="V728" s="562">
        <f>_xlfn.IFNA(VLOOKUP(scheduleapr[[#This Row],[Bucket]],salesforecast[[#All],[Bucket2]:[8406 Stock]],20,0),0)+_xlfn.IFNA(VLOOKUP(scheduleapr[[#This Row],[Bucket]],salesforecast[[#All],[Bucket2]:[8406 Stock]],17,0),0)</f>
        <v/>
      </c>
      <c r="W728" s="557" t="n"/>
      <c r="X728" s="599" t="n">
        <v>22.23</v>
      </c>
      <c r="Y728" s="599" t="n">
        <v>22.23</v>
      </c>
      <c r="Z728" s="6" t="n">
        <v>0</v>
      </c>
      <c r="AA728" s="599" t="n">
        <v>1.6</v>
      </c>
      <c r="AB728" s="600" t="n">
        <v>949</v>
      </c>
      <c r="AC728" s="600" t="inlineStr">
        <is>
          <t>NOS</t>
        </is>
      </c>
      <c r="AD728" s="600" t="inlineStr">
        <is>
          <t>Indico</t>
        </is>
      </c>
      <c r="AE728" s="600" t="n"/>
      <c r="AF728" s="601" t="n">
        <v>5000</v>
      </c>
      <c r="AG728" s="596" t="inlineStr">
        <is>
          <t>Aug 2026 schedule · srikam</t>
        </is>
      </c>
      <c r="AH728" s="601">
        <f t="array" ref="AH72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8" s="602">
        <f>scheduleapr[[#This Row],[SCHEDULE in nos]]-scheduleapr[[#This Row],[DISPATCH]]</f>
        <v/>
      </c>
      <c r="AJ728" s="599">
        <f>(3.14*(scheduleapr[[#This Row],[ACTUAL OD]]-scheduleapr[[#This Row],[TICKNESS]])*scheduleapr[[#This Row],[TICKNESS]]*scheduleapr[[#This Row],[LENGTH]]*7.85)/1000000*scheduleapr[[#This Row],[SCHEDULE in nos]]/1000</f>
        <v/>
      </c>
      <c r="AK728" s="599">
        <f>(3.14*(scheduleapr[[#This Row],[ACTUAL OD]]-scheduleapr[[#This Row],[TICKNESS]])*scheduleapr[[#This Row],[TICKNESS]]*scheduleapr[[#This Row],[LENGTH]]*7.85)/1000000*scheduleapr[[#This Row],[DISPATCH]]/1000</f>
        <v/>
      </c>
      <c r="AL728" s="599">
        <f>AJ728-AK728</f>
        <v/>
      </c>
      <c r="AM728" s="599">
        <f>scheduleapr[[#This Row],[SCHEDULE in nos]]/scheduleapr[[#This Row],[SCHEDULE IN MT]]*scheduleapr[[#This Row],[CTL Stock]]</f>
        <v/>
      </c>
      <c r="AN728" s="599">
        <f>SUMIFS(stock[MT],stock[Bucket],scheduleapr[[#This Row],[Bucket]],stock[CTL Bucket],scheduleapr[[#This Row],[CTL Bucket]],stock[Plant],"0789")</f>
        <v/>
      </c>
      <c r="AO728" s="599" t="n"/>
      <c r="AP728" s="599">
        <f>SUMIFS(stock[MT],stock[Bucket],scheduleapr[[#This Row],[Bucket]],stock[LL or CTL],"LL")</f>
        <v/>
      </c>
      <c r="AQ728" s="79">
        <f>+SUMIFS(wip[Stock(Net Wt)],wip[Bucket],scheduleapr[[#This Row],[Bucket]])/1000</f>
        <v/>
      </c>
      <c r="AR728" s="599">
        <f>AJ728-AN728</f>
        <v/>
      </c>
      <c r="AS728" s="118" t="n"/>
    </row>
    <row r="729">
      <c r="A729" s="125" t="n">
        <v>611</v>
      </c>
      <c r="B729" s="5" t="inlineStr">
        <is>
          <t>Hosur</t>
        </is>
      </c>
      <c r="C729" s="601" t="inlineStr">
        <is>
          <t>SRIKAM HITECH</t>
        </is>
      </c>
      <c r="D729" s="601" t="inlineStr">
        <is>
          <t>Srikam HI-Tech</t>
        </is>
      </c>
      <c r="E729" s="601" t="n">
        <v>944141</v>
      </c>
      <c r="F729" s="601" t="n">
        <v>1940418</v>
      </c>
      <c r="G729" s="601">
        <f>_xlfn.CONCAT(scheduleapr[[#This Row],[CUSTOMER CODE]],"-",scheduleapr[[#This Row],[MATERIAL NO]])</f>
        <v/>
      </c>
      <c r="H729" s="601" t="inlineStr">
        <is>
          <t>TUB-O-O-AUT-AW-PE-22.23X1.600X0.9670</t>
        </is>
      </c>
      <c r="I729" s="601" t="inlineStr">
        <is>
          <t>ERW 1</t>
        </is>
      </c>
      <c r="J729" s="601" t="n"/>
      <c r="K729" s="601" t="inlineStr">
        <is>
          <t>PE</t>
        </is>
      </c>
      <c r="L729" s="601" t="inlineStr">
        <is>
          <t>CR</t>
        </is>
      </c>
      <c r="M729" s="49" t="inlineStr">
        <is>
          <t>GR1</t>
        </is>
      </c>
      <c r="N729" s="601" t="n"/>
      <c r="O729" s="601" t="n"/>
      <c r="P729" s="601" t="n"/>
      <c r="Q729" s="557">
        <f>CONCATENATE(scheduleapr[[#This Row],[OD]],"-",scheduleapr[[#This Row],[ID]],"-",scheduleapr[[#This Row],[TICKNESS]],"-",scheduleapr[[#This Row],[Grade]],"-",scheduleapr[[#This Row],[FC/NFC]])</f>
        <v/>
      </c>
      <c r="R729" s="557">
        <f>_xlfn.CONCAT(scheduleapr[[#This Row],[Bucket]],"-",scheduleapr[[#This Row],[LENGTH]]/1000)</f>
        <v/>
      </c>
      <c r="S729" s="557">
        <f>COUNTIF(scheduleapr[CTL Bucket],scheduleapr[[#This Row],[CTL Bucket]])</f>
        <v/>
      </c>
      <c r="T729" s="601" t="inlineStr">
        <is>
          <t>Hosur</t>
        </is>
      </c>
      <c r="U729" s="601" t="n"/>
      <c r="V729" s="557" t="n"/>
      <c r="W729" s="557" t="n"/>
      <c r="X729" s="599" t="n">
        <v>22.23</v>
      </c>
      <c r="Y729" s="599" t="n">
        <v>22.23</v>
      </c>
      <c r="Z729" s="6" t="n">
        <v>0</v>
      </c>
      <c r="AA729" s="599" t="n">
        <v>1.6</v>
      </c>
      <c r="AB729" s="600" t="n">
        <v>967</v>
      </c>
      <c r="AC729" s="600" t="inlineStr">
        <is>
          <t>NOS</t>
        </is>
      </c>
      <c r="AD729" s="600" t="n"/>
      <c r="AE729" s="600" t="n"/>
      <c r="AF729" s="601" t="n"/>
      <c r="AG729" s="601" t="n"/>
      <c r="AH729" s="601">
        <f t="array" ref="AH72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29" s="602">
        <f>scheduleapr[[#This Row],[SCHEDULE in nos]]-scheduleapr[[#This Row],[DISPATCH]]</f>
        <v/>
      </c>
      <c r="AJ729" s="599">
        <f>(3.14*(scheduleapr[[#This Row],[ACTUAL OD]]-scheduleapr[[#This Row],[TICKNESS]])*scheduleapr[[#This Row],[TICKNESS]]*scheduleapr[[#This Row],[LENGTH]]*7.85)/1000000*scheduleapr[[#This Row],[SCHEDULE in nos]]/1000</f>
        <v/>
      </c>
      <c r="AK729" s="599">
        <f>(3.14*(scheduleapr[[#This Row],[ACTUAL OD]]-scheduleapr[[#This Row],[TICKNESS]])*scheduleapr[[#This Row],[TICKNESS]]*scheduleapr[[#This Row],[LENGTH]]*7.85)/1000000*scheduleapr[[#This Row],[DISPATCH]]/1000</f>
        <v/>
      </c>
      <c r="AL729" s="599">
        <f>AJ729-AK729</f>
        <v/>
      </c>
      <c r="AM729" s="599">
        <f>scheduleapr[[#This Row],[SCHEDULE in nos]]/scheduleapr[[#This Row],[SCHEDULE IN MT]]*scheduleapr[[#This Row],[CTL Stock]]</f>
        <v/>
      </c>
      <c r="AN729" s="599">
        <f>SUMIFS(stock[MT],stock[Bucket],scheduleapr[[#This Row],[Bucket]],stock[CTL Bucket],scheduleapr[[#This Row],[CTL Bucket]],stock[Plant],"0789")</f>
        <v/>
      </c>
      <c r="AO729" s="599" t="n"/>
      <c r="AP729" s="599">
        <f>SUMIFS(stock[MT],stock[Bucket],scheduleapr[[#This Row],[Bucket]],stock[LL or CTL],"LL")</f>
        <v/>
      </c>
      <c r="AQ729" s="599">
        <f>+SUMIFS(wip[Stock(Net Wt)],wip[Bucket],scheduleapr[[#This Row],[Bucket]])/1000</f>
        <v/>
      </c>
      <c r="AR729" s="599">
        <f>AJ729-AN729</f>
        <v/>
      </c>
      <c r="AS729" s="118" t="n"/>
    </row>
    <row r="730">
      <c r="A730" s="594" t="n">
        <v>612</v>
      </c>
      <c r="B730" s="5" t="inlineStr">
        <is>
          <t>Hosur</t>
        </is>
      </c>
      <c r="C730" s="601" t="inlineStr">
        <is>
          <t>SRIKAM HITECH</t>
        </is>
      </c>
      <c r="D730" s="601" t="inlineStr">
        <is>
          <t>Srikam HI-Tech</t>
        </is>
      </c>
      <c r="E730" s="601" t="n">
        <v>944141</v>
      </c>
      <c r="F730" s="601" t="n">
        <v>3673011</v>
      </c>
      <c r="G730" s="601">
        <f>_xlfn.CONCAT(scheduleapr[[#This Row],[CUSTOMER CODE]],"-",scheduleapr[[#This Row],[MATERIAL NO]])</f>
        <v/>
      </c>
      <c r="H730" s="601" t="inlineStr">
        <is>
          <t>TUB-O-N-AUT-AW-PE-22.23X1.600X1.3040</t>
        </is>
      </c>
      <c r="I730" s="601" t="inlineStr">
        <is>
          <t>ERW 1</t>
        </is>
      </c>
      <c r="J730" s="601" t="n"/>
      <c r="K730" s="601" t="inlineStr">
        <is>
          <t>PE</t>
        </is>
      </c>
      <c r="L730" s="601" t="inlineStr">
        <is>
          <t>CR</t>
        </is>
      </c>
      <c r="M730" s="49" t="inlineStr">
        <is>
          <t>HROP</t>
        </is>
      </c>
      <c r="N730" s="601" t="n"/>
      <c r="O730" s="601" t="n"/>
      <c r="P730" s="601" t="n"/>
      <c r="Q730" s="557">
        <f>CONCATENATE(scheduleapr[[#This Row],[OD]],"-",scheduleapr[[#This Row],[ID]],"-",scheduleapr[[#This Row],[TICKNESS]],"-",scheduleapr[[#This Row],[Grade]],"-",scheduleapr[[#This Row],[FC/NFC]])</f>
        <v/>
      </c>
      <c r="R730" s="557">
        <f>_xlfn.CONCAT(scheduleapr[[#This Row],[Bucket]],"-",scheduleapr[[#This Row],[LENGTH]]/1000)</f>
        <v/>
      </c>
      <c r="S730" s="557">
        <f>COUNTIF(scheduleapr[CTL Bucket],scheduleapr[[#This Row],[CTL Bucket]])</f>
        <v/>
      </c>
      <c r="T730" s="601" t="inlineStr">
        <is>
          <t>Hosur</t>
        </is>
      </c>
      <c r="U730" s="601">
        <f>_xlfn.IFNA(VLOOKUP(scheduleapr[[#This Row],[Bucket]],salesforecast[[#All],[Bucket2]:[8406 Stock]],19,0),0)</f>
        <v/>
      </c>
      <c r="V730" s="562">
        <f>_xlfn.IFNA(VLOOKUP(scheduleapr[[#This Row],[Bucket]],salesforecast[[#All],[Bucket2]:[8406 Stock]],20,0),0)+_xlfn.IFNA(VLOOKUP(scheduleapr[[#This Row],[Bucket]],salesforecast[[#All],[Bucket2]:[8406 Stock]],17,0),0)</f>
        <v/>
      </c>
      <c r="W730" s="557" t="n"/>
      <c r="X730" s="599" t="n">
        <v>22.23</v>
      </c>
      <c r="Y730" s="599" t="n">
        <v>22.23</v>
      </c>
      <c r="Z730" s="6" t="n">
        <v>0</v>
      </c>
      <c r="AA730" s="599" t="n">
        <v>1.6</v>
      </c>
      <c r="AB730" s="600" t="n">
        <v>1304</v>
      </c>
      <c r="AC730" s="600" t="inlineStr">
        <is>
          <t>NOS</t>
        </is>
      </c>
      <c r="AD730" s="600" t="n"/>
      <c r="AE730" s="600" t="n"/>
      <c r="AF730" s="601" t="n">
        <v>5000</v>
      </c>
      <c r="AG730" s="596" t="inlineStr">
        <is>
          <t>Aug 2026 schedule · srikam</t>
        </is>
      </c>
      <c r="AH730" s="601">
        <f t="array" ref="AH73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0" s="602">
        <f>scheduleapr[[#This Row],[SCHEDULE in nos]]-scheduleapr[[#This Row],[DISPATCH]]</f>
        <v/>
      </c>
      <c r="AJ730" s="599">
        <f>(3.14*(scheduleapr[[#This Row],[ACTUAL OD]]-scheduleapr[[#This Row],[TICKNESS]])*scheduleapr[[#This Row],[TICKNESS]]*scheduleapr[[#This Row],[LENGTH]]*7.85)/1000000*scheduleapr[[#This Row],[SCHEDULE in nos]]/1000</f>
        <v/>
      </c>
      <c r="AK730" s="599">
        <f>(3.14*(scheduleapr[[#This Row],[ACTUAL OD]]-scheduleapr[[#This Row],[TICKNESS]])*scheduleapr[[#This Row],[TICKNESS]]*scheduleapr[[#This Row],[LENGTH]]*7.85)/1000000*scheduleapr[[#This Row],[DISPATCH]]/1000</f>
        <v/>
      </c>
      <c r="AL730" s="599">
        <f>AJ730-AK730</f>
        <v/>
      </c>
      <c r="AM730" s="599">
        <f>scheduleapr[[#This Row],[SCHEDULE in nos]]/scheduleapr[[#This Row],[SCHEDULE IN MT]]*scheduleapr[[#This Row],[CTL Stock]]</f>
        <v/>
      </c>
      <c r="AN730" s="599">
        <f>SUMIFS(stock[MT],stock[Bucket],scheduleapr[[#This Row],[Bucket]],stock[CTL Bucket],scheduleapr[[#This Row],[CTL Bucket]],stock[Plant],"0789")</f>
        <v/>
      </c>
      <c r="AO730" s="599" t="n"/>
      <c r="AP730" s="599">
        <f>SUMIFS(stock[MT],stock[Bucket],scheduleapr[[#This Row],[Bucket]],stock[LL or CTL],"LL")</f>
        <v/>
      </c>
      <c r="AQ730" s="599">
        <f>+SUMIFS(wip[Stock(Net Wt)],wip[Bucket],scheduleapr[[#This Row],[Bucket]])/1000</f>
        <v/>
      </c>
      <c r="AR730" s="599">
        <f>AJ730-AN730</f>
        <v/>
      </c>
      <c r="AS730" s="118" t="n"/>
    </row>
    <row r="731">
      <c r="A731" s="125" t="n">
        <v>613</v>
      </c>
      <c r="B731" s="5" t="inlineStr">
        <is>
          <t>Hosur</t>
        </is>
      </c>
      <c r="C731" s="601" t="inlineStr">
        <is>
          <t>SRIKAM HITECH</t>
        </is>
      </c>
      <c r="D731" s="601" t="inlineStr">
        <is>
          <t>Srikam HI-Tech</t>
        </is>
      </c>
      <c r="E731" s="601" t="n">
        <v>944141</v>
      </c>
      <c r="F731" s="601" t="n">
        <v>1385283</v>
      </c>
      <c r="G731" s="601">
        <f>_xlfn.CONCAT(scheduleapr[[#This Row],[CUSTOMER CODE]],"-",scheduleapr[[#This Row],[MATERIAL NO]])</f>
        <v/>
      </c>
      <c r="H731" s="601" t="inlineStr">
        <is>
          <t>TUB-O-N-AUT-AW-PE-22.20X1.600X1.3370</t>
        </is>
      </c>
      <c r="I731" s="601" t="inlineStr">
        <is>
          <t>ERW 1</t>
        </is>
      </c>
      <c r="J731" s="601" t="n"/>
      <c r="K731" s="601" t="inlineStr">
        <is>
          <t>PE</t>
        </is>
      </c>
      <c r="L731" s="601" t="inlineStr">
        <is>
          <t>HR</t>
        </is>
      </c>
      <c r="M731" s="601" t="n"/>
      <c r="N731" s="601" t="n"/>
      <c r="O731" s="601" t="n"/>
      <c r="P731" s="601" t="n"/>
      <c r="Q731" s="557">
        <f>CONCATENATE(scheduleapr[[#This Row],[OD]],"-",scheduleapr[[#This Row],[ID]],"-",scheduleapr[[#This Row],[TICKNESS]],"-",scheduleapr[[#This Row],[Grade]],"-",scheduleapr[[#This Row],[FC/NFC]])</f>
        <v/>
      </c>
      <c r="R731" s="557">
        <f>_xlfn.CONCAT(scheduleapr[[#This Row],[Bucket]],"-",scheduleapr[[#This Row],[LENGTH]]/1000)</f>
        <v/>
      </c>
      <c r="S731" s="557">
        <f>COUNTIF(scheduleapr[CTL Bucket],scheduleapr[[#This Row],[CTL Bucket]])</f>
        <v/>
      </c>
      <c r="T731" s="601" t="inlineStr">
        <is>
          <t>Hosur</t>
        </is>
      </c>
      <c r="U731" s="601" t="n"/>
      <c r="V731" s="557" t="n"/>
      <c r="W731" s="557" t="n"/>
      <c r="X731" s="599" t="n">
        <v>22.23</v>
      </c>
      <c r="Y731" s="599" t="n">
        <v>22.23</v>
      </c>
      <c r="Z731" s="6" t="n">
        <v>0</v>
      </c>
      <c r="AA731" s="599" t="n">
        <v>1.6</v>
      </c>
      <c r="AB731" s="600" t="n">
        <v>1337</v>
      </c>
      <c r="AC731" s="600" t="inlineStr">
        <is>
          <t>NOS</t>
        </is>
      </c>
      <c r="AD731" s="600" t="n"/>
      <c r="AE731" s="600" t="n"/>
      <c r="AF731" s="601" t="n"/>
      <c r="AG731" s="601" t="n"/>
      <c r="AH731" s="601">
        <f t="array" ref="AH73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1" s="602">
        <f>scheduleapr[[#This Row],[SCHEDULE in nos]]-scheduleapr[[#This Row],[DISPATCH]]</f>
        <v/>
      </c>
      <c r="AJ731" s="599">
        <f>(3.14*(scheduleapr[[#This Row],[ACTUAL OD]]-scheduleapr[[#This Row],[TICKNESS]])*scheduleapr[[#This Row],[TICKNESS]]*scheduleapr[[#This Row],[LENGTH]]*7.85)/1000000*scheduleapr[[#This Row],[SCHEDULE in nos]]/1000</f>
        <v/>
      </c>
      <c r="AK731" s="599">
        <f>(3.14*(scheduleapr[[#This Row],[ACTUAL OD]]-scheduleapr[[#This Row],[TICKNESS]])*scheduleapr[[#This Row],[TICKNESS]]*scheduleapr[[#This Row],[LENGTH]]*7.85)/1000000*scheduleapr[[#This Row],[DISPATCH]]/1000</f>
        <v/>
      </c>
      <c r="AL731" s="599">
        <f>AJ731-AK731</f>
        <v/>
      </c>
      <c r="AM731" s="599">
        <f>scheduleapr[[#This Row],[SCHEDULE in nos]]/scheduleapr[[#This Row],[SCHEDULE IN MT]]*scheduleapr[[#This Row],[CTL Stock]]</f>
        <v/>
      </c>
      <c r="AN731" s="599">
        <f>SUMIFS(stock[MT],stock[Bucket],scheduleapr[[#This Row],[Bucket]],stock[CTL Bucket],scheduleapr[[#This Row],[CTL Bucket]],stock[Plant],"0789")</f>
        <v/>
      </c>
      <c r="AO731" s="599" t="n"/>
      <c r="AP731" s="599">
        <f>SUMIFS(stock[MT],stock[Bucket],scheduleapr[[#This Row],[Bucket]],stock[LL or CTL],"LL")</f>
        <v/>
      </c>
      <c r="AQ731" s="599">
        <f>+SUMIFS(wip[Stock(Net Wt)],wip[Bucket],scheduleapr[[#This Row],[Bucket]])/1000</f>
        <v/>
      </c>
      <c r="AR731" s="599">
        <f>AJ731-AN731</f>
        <v/>
      </c>
      <c r="AS731" s="118" t="n"/>
    </row>
    <row r="732">
      <c r="A732" s="594" t="n">
        <v>614</v>
      </c>
      <c r="B732" s="5" t="inlineStr">
        <is>
          <t>Hosur</t>
        </is>
      </c>
      <c r="C732" s="601" t="inlineStr">
        <is>
          <t>SRIKAM HITECH</t>
        </is>
      </c>
      <c r="D732" s="601" t="inlineStr">
        <is>
          <t>Srikam HI-Tech</t>
        </is>
      </c>
      <c r="E732" s="601" t="n">
        <v>944141</v>
      </c>
      <c r="F732" s="601" t="n">
        <v>1940430</v>
      </c>
      <c r="G732" s="601">
        <f>_xlfn.CONCAT(scheduleapr[[#This Row],[CUSTOMER CODE]],"-",scheduleapr[[#This Row],[MATERIAL NO]])</f>
        <v/>
      </c>
      <c r="H732" s="601" t="inlineStr">
        <is>
          <t>TUB-O-O-AUT-AW-PE-22.23X2.000X0.2200</t>
        </is>
      </c>
      <c r="I732" s="601" t="inlineStr">
        <is>
          <t>ERW 1</t>
        </is>
      </c>
      <c r="J732" s="601" t="n"/>
      <c r="K732" s="601" t="inlineStr">
        <is>
          <t>PE</t>
        </is>
      </c>
      <c r="L732" s="601" t="inlineStr">
        <is>
          <t>HR</t>
        </is>
      </c>
      <c r="M732" s="601" t="n"/>
      <c r="N732" s="601" t="n"/>
      <c r="O732" s="601" t="n"/>
      <c r="P732" s="601" t="n"/>
      <c r="Q732" s="557">
        <f>CONCATENATE(scheduleapr[[#This Row],[OD]],"-",scheduleapr[[#This Row],[ID]],"-",scheduleapr[[#This Row],[TICKNESS]],"-",scheduleapr[[#This Row],[Grade]],"-",scheduleapr[[#This Row],[FC/NFC]])</f>
        <v/>
      </c>
      <c r="R732" s="557">
        <f>_xlfn.CONCAT(scheduleapr[[#This Row],[Bucket]],"-",scheduleapr[[#This Row],[LENGTH]]/1000)</f>
        <v/>
      </c>
      <c r="S732" s="557">
        <f>COUNTIF(scheduleapr[CTL Bucket],scheduleapr[[#This Row],[CTL Bucket]])</f>
        <v/>
      </c>
      <c r="T732" s="601" t="inlineStr">
        <is>
          <t>Hosur</t>
        </is>
      </c>
      <c r="U732" s="601">
        <f>_xlfn.IFNA(VLOOKUP(scheduleapr[[#This Row],[Bucket]],salesforecast[[#All],[Bucket2]:[8406 Stock]],19,0),0)</f>
        <v/>
      </c>
      <c r="V732" s="562">
        <f>_xlfn.IFNA(VLOOKUP(scheduleapr[[#This Row],[Bucket]],salesforecast[[#All],[Bucket2]:[8406 Stock]],20,0),0)+_xlfn.IFNA(VLOOKUP(scheduleapr[[#This Row],[Bucket]],salesforecast[[#All],[Bucket2]:[8406 Stock]],17,0),0)</f>
        <v/>
      </c>
      <c r="W732" s="557" t="n"/>
      <c r="X732" s="599" t="n">
        <v>22.23</v>
      </c>
      <c r="Y732" s="599" t="n">
        <v>22.23</v>
      </c>
      <c r="Z732" s="6" t="n">
        <v>0</v>
      </c>
      <c r="AA732" s="599" t="n">
        <v>2</v>
      </c>
      <c r="AB732" s="600" t="n">
        <v>220</v>
      </c>
      <c r="AC732" s="600" t="inlineStr">
        <is>
          <t>NOS</t>
        </is>
      </c>
      <c r="AD732" s="600" t="inlineStr">
        <is>
          <t>Hosur Plant</t>
        </is>
      </c>
      <c r="AE732" s="600" t="n"/>
      <c r="AF732" s="601" t="n">
        <v>20000</v>
      </c>
      <c r="AG732" s="601" t="inlineStr">
        <is>
          <t>Aug 2026 schedule · srikam</t>
        </is>
      </c>
      <c r="AH732" s="601">
        <f t="array" ref="AH73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2" s="602">
        <f>scheduleapr[[#This Row],[SCHEDULE in nos]]-scheduleapr[[#This Row],[DISPATCH]]</f>
        <v/>
      </c>
      <c r="AJ732" s="599">
        <f>(3.14*(scheduleapr[[#This Row],[ACTUAL OD]]-scheduleapr[[#This Row],[TICKNESS]])*scheduleapr[[#This Row],[TICKNESS]]*scheduleapr[[#This Row],[LENGTH]]*7.85)/1000000*scheduleapr[[#This Row],[SCHEDULE in nos]]/1000</f>
        <v/>
      </c>
      <c r="AK732" s="599">
        <f>(3.14*(scheduleapr[[#This Row],[ACTUAL OD]]-scheduleapr[[#This Row],[TICKNESS]])*scheduleapr[[#This Row],[TICKNESS]]*scheduleapr[[#This Row],[LENGTH]]*7.85)/1000000*scheduleapr[[#This Row],[DISPATCH]]/1000</f>
        <v/>
      </c>
      <c r="AL732" s="599">
        <f>AJ732-AK732</f>
        <v/>
      </c>
      <c r="AM732" s="599">
        <f>scheduleapr[[#This Row],[SCHEDULE in nos]]/scheduleapr[[#This Row],[SCHEDULE IN MT]]*scheduleapr[[#This Row],[CTL Stock]]</f>
        <v/>
      </c>
      <c r="AN732" s="599">
        <f>SUMIFS(stock[MT],stock[Bucket],scheduleapr[[#This Row],[Bucket]],stock[CTL Bucket],scheduleapr[[#This Row],[CTL Bucket]],stock[Plant],"0789")</f>
        <v/>
      </c>
      <c r="AO732" s="599" t="n"/>
      <c r="AP732" s="599">
        <f>SUMIFS(stock[MT],stock[Bucket],scheduleapr[[#This Row],[Bucket]],stock[LL or CTL],"LL")</f>
        <v/>
      </c>
      <c r="AQ732" s="599">
        <f>+SUMIFS(wip[Stock(Net Wt)],wip[Bucket],scheduleapr[[#This Row],[Bucket]])/1000</f>
        <v/>
      </c>
      <c r="AR732" s="599">
        <f>AJ732-AN732</f>
        <v/>
      </c>
      <c r="AS732" s="118" t="n"/>
    </row>
    <row r="733">
      <c r="A733" s="125" t="n">
        <v>615</v>
      </c>
      <c r="B733" s="5" t="inlineStr">
        <is>
          <t>Hosur</t>
        </is>
      </c>
      <c r="C733" s="601" t="inlineStr">
        <is>
          <t>SRIKAM HITECH</t>
        </is>
      </c>
      <c r="D733" s="601" t="inlineStr">
        <is>
          <t>Srikam HI-Tech</t>
        </is>
      </c>
      <c r="E733" s="601" t="n">
        <v>944141</v>
      </c>
      <c r="F733" s="601" t="n">
        <v>1902768</v>
      </c>
      <c r="G733" s="601">
        <f>_xlfn.CONCAT(scheduleapr[[#This Row],[CUSTOMER CODE]],"-",scheduleapr[[#This Row],[MATERIAL NO]])</f>
        <v/>
      </c>
      <c r="H733" s="601" t="inlineStr">
        <is>
          <t>TUB-O-N-AUT-AW-PE-22.23X2.000X0.3050</t>
        </is>
      </c>
      <c r="I733" s="601" t="inlineStr">
        <is>
          <t>ERW 1</t>
        </is>
      </c>
      <c r="J733" s="601" t="n"/>
      <c r="K733" s="601" t="n"/>
      <c r="L733" s="601" t="inlineStr">
        <is>
          <t>HR</t>
        </is>
      </c>
      <c r="M733" s="601" t="n"/>
      <c r="N733" s="601" t="n"/>
      <c r="O733" s="601" t="n"/>
      <c r="P733" s="601" t="n"/>
      <c r="Q733" s="557">
        <f>CONCATENATE(scheduleapr[[#This Row],[OD]],"-",scheduleapr[[#This Row],[ID]],"-",scheduleapr[[#This Row],[TICKNESS]],"-",scheduleapr[[#This Row],[Grade]],"-",scheduleapr[[#This Row],[FC/NFC]])</f>
        <v/>
      </c>
      <c r="R733" s="557">
        <f>_xlfn.CONCAT(scheduleapr[[#This Row],[Bucket]],"-",scheduleapr[[#This Row],[LENGTH]]/1000)</f>
        <v/>
      </c>
      <c r="S733" s="557">
        <f>COUNTIF([2]!buckets[CTL Bucket],[2]!scheduleapr[[#This Row],[CTL Bucket]])</f>
        <v/>
      </c>
      <c r="T733" s="557" t="n"/>
      <c r="U733" s="557" t="n"/>
      <c r="V733" s="557" t="n"/>
      <c r="W733" s="557" t="n"/>
      <c r="X733" s="599" t="n">
        <v>22.23</v>
      </c>
      <c r="Y733" s="599" t="n">
        <v>22.23</v>
      </c>
      <c r="Z733" s="6" t="n">
        <v>0</v>
      </c>
      <c r="AA733" s="599" t="n">
        <v>2</v>
      </c>
      <c r="AB733" s="600" t="n">
        <v>305</v>
      </c>
      <c r="AC733" s="600" t="n"/>
      <c r="AD733" s="600" t="n"/>
      <c r="AE733" s="600" t="n"/>
      <c r="AF733" s="601" t="n"/>
      <c r="AG733" s="601" t="n"/>
      <c r="AH733" s="601">
        <f t="array" ref="AH73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3" s="602">
        <f>scheduleapr[[#This Row],[SCHEDULE in nos]]-scheduleapr[[#This Row],[DISPATCH]]</f>
        <v/>
      </c>
      <c r="AJ733" s="599">
        <f>(3.14*(scheduleapr[[#This Row],[ACTUAL OD]]-scheduleapr[[#This Row],[TICKNESS]])*scheduleapr[[#This Row],[TICKNESS]]*scheduleapr[[#This Row],[LENGTH]]*7.85)/1000000*scheduleapr[[#This Row],[SCHEDULE in nos]]/1000</f>
        <v/>
      </c>
      <c r="AK733" s="599">
        <f>(3.14*(scheduleapr[[#This Row],[ACTUAL OD]]-scheduleapr[[#This Row],[TICKNESS]])*scheduleapr[[#This Row],[TICKNESS]]*scheduleapr[[#This Row],[LENGTH]]*7.85)/1000000*scheduleapr[[#This Row],[DISPATCH]]/1000</f>
        <v/>
      </c>
      <c r="AL733" s="599">
        <f>AJ733-AK733</f>
        <v/>
      </c>
      <c r="AM733" s="599">
        <f>scheduleapr[[#This Row],[SCHEDULE in nos]]/scheduleapr[[#This Row],[SCHEDULE IN MT]]*scheduleapr[[#This Row],[CTL Stock]]</f>
        <v/>
      </c>
      <c r="AN733" s="599">
        <f>SUMIFS(stock[MT],stock[Bucket],scheduleapr[[#This Row],[Bucket]],stock[CTL Bucket],scheduleapr[[#This Row],[CTL Bucket]],stock[Plant],"0789")</f>
        <v/>
      </c>
      <c r="AO733" s="599" t="n"/>
      <c r="AP733" s="599">
        <f>SUMIFS(stock[MT],stock[Bucket],scheduleapr[[#This Row],[Bucket]],stock[LL or CTL],"LL")</f>
        <v/>
      </c>
      <c r="AQ733" s="599">
        <f>+SUMIFS(wip[Stock(Net Wt)],wip[Bucket],scheduleapr[[#This Row],[Bucket]])/1000</f>
        <v/>
      </c>
      <c r="AR733" s="599">
        <f>AJ733-AN733</f>
        <v/>
      </c>
      <c r="AS733" s="118" t="n"/>
    </row>
    <row r="734">
      <c r="A734" s="594" t="n">
        <v>616</v>
      </c>
      <c r="B734" s="5" t="inlineStr">
        <is>
          <t>Hosur</t>
        </is>
      </c>
      <c r="C734" s="601" t="inlineStr">
        <is>
          <t>SRIKAM HITECH</t>
        </is>
      </c>
      <c r="D734" s="601" t="inlineStr">
        <is>
          <t>Srikam HI-Tech</t>
        </is>
      </c>
      <c r="E734" s="601" t="n">
        <v>944141</v>
      </c>
      <c r="F734" s="601" t="n">
        <v>1940449</v>
      </c>
      <c r="G734" s="601">
        <f>_xlfn.CONCAT(scheduleapr[[#This Row],[CUSTOMER CODE]],"-",scheduleapr[[#This Row],[MATERIAL NO]])</f>
        <v/>
      </c>
      <c r="H734" s="601" t="inlineStr">
        <is>
          <t>TUB-O-O-AUT-AW-PE-22.23X2.000X0.5740</t>
        </is>
      </c>
      <c r="I734" s="601" t="inlineStr">
        <is>
          <t>ERW 1</t>
        </is>
      </c>
      <c r="J734" s="601" t="n"/>
      <c r="K734" s="601" t="n"/>
      <c r="L734" s="601" t="inlineStr">
        <is>
          <t>HR</t>
        </is>
      </c>
      <c r="M734" s="601" t="n"/>
      <c r="N734" s="601" t="n"/>
      <c r="O734" s="601" t="n"/>
      <c r="P734" s="601" t="n"/>
      <c r="Q734" s="557">
        <f>CONCATENATE(scheduleapr[[#This Row],[OD]],"-",scheduleapr[[#This Row],[ID]],"-",scheduleapr[[#This Row],[TICKNESS]],"-",scheduleapr[[#This Row],[Grade]],"-",scheduleapr[[#This Row],[FC/NFC]])</f>
        <v/>
      </c>
      <c r="R734" s="557">
        <f>_xlfn.CONCAT(scheduleapr[[#This Row],[Bucket]],"-",scheduleapr[[#This Row],[LENGTH]]/1000)</f>
        <v/>
      </c>
      <c r="S734" s="557">
        <f>COUNTIF([2]!buckets[CTL Bucket],[2]!scheduleapr[[#This Row],[CTL Bucket]])</f>
        <v/>
      </c>
      <c r="T734" s="557" t="n"/>
      <c r="U734" s="557" t="n"/>
      <c r="V734" s="557" t="n"/>
      <c r="W734" s="557" t="n"/>
      <c r="X734" s="599" t="n">
        <v>22.23</v>
      </c>
      <c r="Y734" s="599" t="n">
        <v>22.23</v>
      </c>
      <c r="Z734" s="6" t="n">
        <v>0</v>
      </c>
      <c r="AA734" s="599" t="n">
        <v>2</v>
      </c>
      <c r="AB734" s="600" t="n">
        <v>574</v>
      </c>
      <c r="AC734" s="600" t="n"/>
      <c r="AD734" s="600" t="n"/>
      <c r="AE734" s="600" t="n"/>
      <c r="AF734" s="601" t="n"/>
      <c r="AG734" s="601" t="n"/>
      <c r="AH734" s="601">
        <f t="array" ref="AH73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4" s="602">
        <f>scheduleapr[[#This Row],[SCHEDULE in nos]]-scheduleapr[[#This Row],[DISPATCH]]</f>
        <v/>
      </c>
      <c r="AJ734" s="599">
        <f>(3.14*(scheduleapr[[#This Row],[ACTUAL OD]]-scheduleapr[[#This Row],[TICKNESS]])*scheduleapr[[#This Row],[TICKNESS]]*scheduleapr[[#This Row],[LENGTH]]*7.85)/1000000*scheduleapr[[#This Row],[SCHEDULE in nos]]/1000</f>
        <v/>
      </c>
      <c r="AK734" s="599">
        <f>(3.14*(scheduleapr[[#This Row],[ACTUAL OD]]-scheduleapr[[#This Row],[TICKNESS]])*scheduleapr[[#This Row],[TICKNESS]]*scheduleapr[[#This Row],[LENGTH]]*7.85)/1000000*scheduleapr[[#This Row],[DISPATCH]]/1000</f>
        <v/>
      </c>
      <c r="AL734" s="599">
        <f>AJ734-AK734</f>
        <v/>
      </c>
      <c r="AM734" s="599">
        <f>scheduleapr[[#This Row],[SCHEDULE in nos]]/scheduleapr[[#This Row],[SCHEDULE IN MT]]*scheduleapr[[#This Row],[CTL Stock]]</f>
        <v/>
      </c>
      <c r="AN734" s="599">
        <f>SUMIFS(stock[MT],stock[Bucket],scheduleapr[[#This Row],[Bucket]],stock[CTL Bucket],scheduleapr[[#This Row],[CTL Bucket]],stock[Plant],"0789")</f>
        <v/>
      </c>
      <c r="AO734" s="599" t="n"/>
      <c r="AP734" s="599">
        <f>SUMIFS(stock[MT],stock[Bucket],scheduleapr[[#This Row],[Bucket]],stock[LL or CTL],"LL")</f>
        <v/>
      </c>
      <c r="AQ734" s="599">
        <f>+SUMIFS(wip[Stock(Net Wt)],wip[Bucket],scheduleapr[[#This Row],[Bucket]])/1000</f>
        <v/>
      </c>
      <c r="AR734" s="599">
        <f>AJ734-AN734</f>
        <v/>
      </c>
      <c r="AS734" s="118" t="n"/>
    </row>
    <row r="735">
      <c r="A735" s="125" t="n">
        <v>617</v>
      </c>
      <c r="B735" s="5" t="inlineStr">
        <is>
          <t>Hosur</t>
        </is>
      </c>
      <c r="C735" s="601" t="inlineStr">
        <is>
          <t>SRIKAM HITECH</t>
        </is>
      </c>
      <c r="D735" s="601" t="inlineStr">
        <is>
          <t>Srikam HI-Tech</t>
        </is>
      </c>
      <c r="E735" s="601" t="n">
        <v>944141</v>
      </c>
      <c r="F735" s="601" t="n">
        <v>1936862</v>
      </c>
      <c r="G735" s="601">
        <f>_xlfn.CONCAT(scheduleapr[[#This Row],[CUSTOMER CODE]],"-",scheduleapr[[#This Row],[MATERIAL NO]])</f>
        <v/>
      </c>
      <c r="H735" s="601" t="inlineStr">
        <is>
          <t>TUB-O-N-AUT-AW-PE-22.20X2.000X0.8050</t>
        </is>
      </c>
      <c r="I735" s="601" t="inlineStr">
        <is>
          <t>ERW 1</t>
        </is>
      </c>
      <c r="J735" s="601" t="n"/>
      <c r="K735" s="601" t="n"/>
      <c r="L735" s="601" t="inlineStr">
        <is>
          <t>HR</t>
        </is>
      </c>
      <c r="M735" s="601" t="n"/>
      <c r="N735" s="601" t="n"/>
      <c r="O735" s="601" t="n"/>
      <c r="P735" s="601" t="n"/>
      <c r="Q735" s="557">
        <f>CONCATENATE(scheduleapr[[#This Row],[OD]],"-",scheduleapr[[#This Row],[ID]],"-",scheduleapr[[#This Row],[TICKNESS]],"-",scheduleapr[[#This Row],[Grade]],"-",scheduleapr[[#This Row],[FC/NFC]])</f>
        <v/>
      </c>
      <c r="R735" s="557">
        <f>_xlfn.CONCAT(scheduleapr[[#This Row],[Bucket]],"-",scheduleapr[[#This Row],[LENGTH]]/1000)</f>
        <v/>
      </c>
      <c r="S735" s="557">
        <f>COUNTIF([2]!buckets[CTL Bucket],[2]!scheduleapr[[#This Row],[CTL Bucket]])</f>
        <v/>
      </c>
      <c r="T735" s="557" t="n"/>
      <c r="U735" s="557" t="n"/>
      <c r="V735" s="557" t="n"/>
      <c r="W735" s="557" t="n"/>
      <c r="X735" s="599" t="n">
        <v>22.23</v>
      </c>
      <c r="Y735" s="599" t="n">
        <v>22.23</v>
      </c>
      <c r="Z735" s="6" t="n">
        <v>0</v>
      </c>
      <c r="AA735" s="599" t="n">
        <v>2</v>
      </c>
      <c r="AB735" s="600" t="n">
        <v>805</v>
      </c>
      <c r="AC735" s="600" t="n"/>
      <c r="AD735" s="600" t="n"/>
      <c r="AE735" s="600" t="n"/>
      <c r="AF735" s="601" t="n"/>
      <c r="AG735" s="601" t="n"/>
      <c r="AH735" s="601">
        <f t="array" ref="AH73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5" s="602">
        <f>scheduleapr[[#This Row],[SCHEDULE in nos]]-scheduleapr[[#This Row],[DISPATCH]]</f>
        <v/>
      </c>
      <c r="AJ735" s="599">
        <f>(3.14*(scheduleapr[[#This Row],[ACTUAL OD]]-scheduleapr[[#This Row],[TICKNESS]])*scheduleapr[[#This Row],[TICKNESS]]*scheduleapr[[#This Row],[LENGTH]]*7.85)/1000000*scheduleapr[[#This Row],[SCHEDULE in nos]]/1000</f>
        <v/>
      </c>
      <c r="AK735" s="599">
        <f>(3.14*(scheduleapr[[#This Row],[ACTUAL OD]]-scheduleapr[[#This Row],[TICKNESS]])*scheduleapr[[#This Row],[TICKNESS]]*scheduleapr[[#This Row],[LENGTH]]*7.85)/1000000*scheduleapr[[#This Row],[DISPATCH]]/1000</f>
        <v/>
      </c>
      <c r="AL735" s="599">
        <f>AJ735-AK735</f>
        <v/>
      </c>
      <c r="AM735" s="599">
        <f>scheduleapr[[#This Row],[SCHEDULE in nos]]/scheduleapr[[#This Row],[SCHEDULE IN MT]]*scheduleapr[[#This Row],[CTL Stock]]</f>
        <v/>
      </c>
      <c r="AN735" s="599">
        <f>SUMIFS(stock[MT],stock[Bucket],scheduleapr[[#This Row],[Bucket]],stock[CTL Bucket],scheduleapr[[#This Row],[CTL Bucket]],stock[Plant],"0789")</f>
        <v/>
      </c>
      <c r="AO735" s="599" t="n"/>
      <c r="AP735" s="599">
        <f>SUMIFS(stock[MT],stock[Bucket],scheduleapr[[#This Row],[Bucket]],stock[LL or CTL],"LL")</f>
        <v/>
      </c>
      <c r="AQ735" s="599">
        <f>+SUMIFS(wip[Stock(Net Wt)],wip[Bucket],scheduleapr[[#This Row],[Bucket]])/1000</f>
        <v/>
      </c>
      <c r="AR735" s="599">
        <f>AJ735-AN735</f>
        <v/>
      </c>
      <c r="AS735" s="118" t="n"/>
    </row>
    <row r="736">
      <c r="A736" s="556" t="n"/>
      <c r="B736" s="5" t="inlineStr">
        <is>
          <t>Hosur</t>
        </is>
      </c>
      <c r="C736" s="601" t="inlineStr">
        <is>
          <t>SRIKAM HITECH</t>
        </is>
      </c>
      <c r="D736" s="601" t="inlineStr">
        <is>
          <t>Srikam HI-Tech</t>
        </is>
      </c>
      <c r="E736" s="601" t="n">
        <v>944141</v>
      </c>
      <c r="F736" s="557" t="n"/>
      <c r="G736" s="601">
        <f>_xlfn.CONCAT(scheduleapr[[#This Row],[CUSTOMER CODE]],"-",scheduleapr[[#This Row],[MATERIAL NO]])</f>
        <v/>
      </c>
      <c r="H736" s="557" t="n"/>
      <c r="I736" s="601" t="inlineStr">
        <is>
          <t>ERW 1</t>
        </is>
      </c>
      <c r="J736" s="557" t="n"/>
      <c r="K736" s="601" t="inlineStr">
        <is>
          <t>PE</t>
        </is>
      </c>
      <c r="L736" s="557" t="n"/>
      <c r="M736" s="558" t="n"/>
      <c r="N736" s="557" t="n"/>
      <c r="O736" s="557" t="n"/>
      <c r="P736" s="557" t="n"/>
      <c r="Q736" s="557" t="n"/>
      <c r="R736" s="557" t="n"/>
      <c r="S736" s="557" t="n"/>
      <c r="T736" s="601" t="n"/>
      <c r="U736" s="601">
        <f>_xlfn.IFNA(VLOOKUP(scheduleapr[[#This Row],[Bucket]],salesforecast[[#All],[Bucket2]:[8406 Stock]],19,0),0)</f>
        <v/>
      </c>
      <c r="V736" s="598" t="n"/>
      <c r="W736" s="601" t="n"/>
      <c r="X736" s="559" t="n">
        <v>22.23</v>
      </c>
      <c r="Y736" s="599" t="n">
        <v>22.23</v>
      </c>
      <c r="Z736" s="559" t="n">
        <v>0</v>
      </c>
      <c r="AA736" s="559" t="n">
        <v>2.3</v>
      </c>
      <c r="AB736" s="600" t="n">
        <v>245</v>
      </c>
      <c r="AC736" s="81" t="inlineStr">
        <is>
          <t>NOS</t>
        </is>
      </c>
      <c r="AD736" s="600" t="n"/>
      <c r="AE736" s="600" t="n"/>
      <c r="AF736" s="557" t="n"/>
      <c r="AG736" s="557" t="n"/>
      <c r="AH736" s="601">
        <f t="array" ref="AH73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6" s="560">
        <f>scheduleapr[[#This Row],[SCHEDULE in nos]]-scheduleapr[[#This Row],[DISPATCH]]</f>
        <v/>
      </c>
      <c r="AJ736" s="559">
        <f>(3.14*(scheduleapr[[#This Row],[ACTUAL OD]]-scheduleapr[[#This Row],[TICKNESS]])*scheduleapr[[#This Row],[TICKNESS]]*scheduleapr[[#This Row],[LENGTH]]*7.85)/1000000*scheduleapr[[#This Row],[SCHEDULE in nos]]/1000</f>
        <v/>
      </c>
      <c r="AK736" s="599">
        <f>(3.14*(scheduleapr[[#This Row],[ACTUAL OD]]-scheduleapr[[#This Row],[TICKNESS]])*scheduleapr[[#This Row],[TICKNESS]]*scheduleapr[[#This Row],[LENGTH]]*7.85)/1000000*scheduleapr[[#This Row],[DISPATCH]]/1000</f>
        <v/>
      </c>
      <c r="AL736" s="599">
        <f>AJ736-AK736</f>
        <v/>
      </c>
      <c r="AM736" s="559">
        <f>scheduleapr[[#This Row],[SCHEDULE in nos]]/scheduleapr[[#This Row],[SCHEDULE IN MT]]*scheduleapr[[#This Row],[CTL Stock]]</f>
        <v/>
      </c>
      <c r="AN736" s="599">
        <f>SUMIFS(stock[MT],stock[Bucket],scheduleapr[[#This Row],[Bucket]],stock[CTL Bucket],scheduleapr[[#This Row],[CTL Bucket]],stock[Plant],"0789")</f>
        <v/>
      </c>
      <c r="AO736" s="599" t="n"/>
      <c r="AP736" s="599">
        <f>SUMIFS(stock[MT],stock[Bucket],scheduleapr[[#This Row],[Bucket]],stock[LL or CTL],"LL")</f>
        <v/>
      </c>
      <c r="AQ736" s="599">
        <f>+SUMIFS(wip[Stock(Net Wt)],wip[Bucket],scheduleapr[[#This Row],[Bucket]])/1000</f>
        <v/>
      </c>
      <c r="AR736" s="599">
        <f>AJ736-AN736</f>
        <v/>
      </c>
      <c r="AS736" s="118" t="n"/>
    </row>
    <row r="737">
      <c r="A737" s="125" t="n">
        <v>620</v>
      </c>
      <c r="B737" s="5" t="inlineStr">
        <is>
          <t>Hosur</t>
        </is>
      </c>
      <c r="C737" s="601" t="inlineStr">
        <is>
          <t>SRIKAM HITECH</t>
        </is>
      </c>
      <c r="D737" s="601" t="inlineStr">
        <is>
          <t>Srikam HI-Tech</t>
        </is>
      </c>
      <c r="E737" s="601" t="n">
        <v>944141</v>
      </c>
      <c r="F737" s="601" t="n">
        <v>1940498</v>
      </c>
      <c r="G737" s="601">
        <f>_xlfn.CONCAT(scheduleapr[[#This Row],[CUSTOMER CODE]],"-",scheduleapr[[#This Row],[MATERIAL NO]])</f>
        <v/>
      </c>
      <c r="H737" s="601" t="inlineStr">
        <is>
          <t>TUB-O-O-AUT-AW-PE-22.23X2.300X0.2810</t>
        </is>
      </c>
      <c r="I737" s="601" t="inlineStr">
        <is>
          <t>ERW 1</t>
        </is>
      </c>
      <c r="J737" s="601" t="n"/>
      <c r="K737" s="601" t="inlineStr">
        <is>
          <t>PE</t>
        </is>
      </c>
      <c r="L737" s="601" t="inlineStr">
        <is>
          <t>HR</t>
        </is>
      </c>
      <c r="M737" s="601" t="n"/>
      <c r="N737" s="601" t="n"/>
      <c r="O737" s="601" t="n"/>
      <c r="P737" s="601" t="n"/>
      <c r="Q737" s="557">
        <f>CONCATENATE(scheduleapr[[#This Row],[OD]],"-",scheduleapr[[#This Row],[ID]],"-",scheduleapr[[#This Row],[TICKNESS]],"-",scheduleapr[[#This Row],[Grade]],"-",scheduleapr[[#This Row],[FC/NFC]])</f>
        <v/>
      </c>
      <c r="R737" s="557">
        <f>_xlfn.CONCAT(scheduleapr[[#This Row],[Bucket]],"-",scheduleapr[[#This Row],[LENGTH]]/1000)</f>
        <v/>
      </c>
      <c r="S737" s="557">
        <f>COUNTIF(scheduleapr[CTL Bucket],scheduleapr[[#This Row],[CTL Bucket]])</f>
        <v/>
      </c>
      <c r="T737" s="601" t="inlineStr">
        <is>
          <t>Hosur</t>
        </is>
      </c>
      <c r="U737" s="601">
        <f>_xlfn.IFNA(VLOOKUP(scheduleapr[[#This Row],[Bucket]],salesforecast[[#All],[Bucket2]:[8406 Stock]],19,0),0)</f>
        <v/>
      </c>
      <c r="V737" s="562">
        <f>_xlfn.IFNA(VLOOKUP(scheduleapr[[#This Row],[Bucket]],salesforecast[[#All],[Bucket2]:[8406 Stock]],20,0),0)+_xlfn.IFNA(VLOOKUP(scheduleapr[[#This Row],[Bucket]],salesforecast[[#All],[Bucket2]:[8406 Stock]],17,0),0)</f>
        <v/>
      </c>
      <c r="W737" s="557" t="n"/>
      <c r="X737" s="599" t="n">
        <v>22.23</v>
      </c>
      <c r="Y737" s="599" t="n">
        <v>22.23</v>
      </c>
      <c r="Z737" s="6" t="n">
        <v>0</v>
      </c>
      <c r="AA737" s="599" t="n">
        <v>2.3</v>
      </c>
      <c r="AB737" s="600" t="n">
        <v>281</v>
      </c>
      <c r="AC737" s="600" t="inlineStr">
        <is>
          <t>NOS</t>
        </is>
      </c>
      <c r="AD737" s="600" t="n"/>
      <c r="AE737" s="600" t="n"/>
      <c r="AF737" s="601" t="n">
        <v>40000</v>
      </c>
      <c r="AG737" s="601" t="inlineStr">
        <is>
          <t>Aug 2026 schedule · srikam</t>
        </is>
      </c>
      <c r="AH737" s="601">
        <f t="array" ref="AH73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7" s="602">
        <f>scheduleapr[[#This Row],[SCHEDULE in nos]]-scheduleapr[[#This Row],[DISPATCH]]</f>
        <v/>
      </c>
      <c r="AJ737" s="599">
        <f>(3.14*(scheduleapr[[#This Row],[ACTUAL OD]]-scheduleapr[[#This Row],[TICKNESS]])*scheduleapr[[#This Row],[TICKNESS]]*scheduleapr[[#This Row],[LENGTH]]*7.85)/1000000*scheduleapr[[#This Row],[SCHEDULE in nos]]/1000</f>
        <v/>
      </c>
      <c r="AK737" s="599">
        <f>(3.14*(scheduleapr[[#This Row],[ACTUAL OD]]-scheduleapr[[#This Row],[TICKNESS]])*scheduleapr[[#This Row],[TICKNESS]]*scheduleapr[[#This Row],[LENGTH]]*7.85)/1000000*scheduleapr[[#This Row],[DISPATCH]]/1000</f>
        <v/>
      </c>
      <c r="AL737" s="599">
        <f>AJ737-AK737</f>
        <v/>
      </c>
      <c r="AM737" s="599">
        <f>scheduleapr[[#This Row],[SCHEDULE in nos]]/scheduleapr[[#This Row],[SCHEDULE IN MT]]*scheduleapr[[#This Row],[CTL Stock]]</f>
        <v/>
      </c>
      <c r="AN737" s="599">
        <f>SUMIFS(stock[MT],stock[Bucket],scheduleapr[[#This Row],[Bucket]],stock[CTL Bucket],scheduleapr[[#This Row],[CTL Bucket]],stock[Plant],"0789")</f>
        <v/>
      </c>
      <c r="AO737" s="599" t="n"/>
      <c r="AP737" s="599">
        <f>SUMIFS(stock[MT],stock[Bucket],scheduleapr[[#This Row],[Bucket]],stock[LL or CTL],"LL")</f>
        <v/>
      </c>
      <c r="AQ737" s="599">
        <f>+SUMIFS(wip[Stock(Net Wt)],wip[Bucket],scheduleapr[[#This Row],[Bucket]])/1000</f>
        <v/>
      </c>
      <c r="AR737" s="599">
        <f>AJ737-AN737</f>
        <v/>
      </c>
      <c r="AS737" s="118" t="n"/>
    </row>
    <row r="738">
      <c r="A738" s="594" t="n">
        <v>621</v>
      </c>
      <c r="B738" s="5" t="inlineStr">
        <is>
          <t>Hosur</t>
        </is>
      </c>
      <c r="C738" s="601" t="inlineStr">
        <is>
          <t>SRIKAM HITECH</t>
        </is>
      </c>
      <c r="D738" s="601" t="inlineStr">
        <is>
          <t>Srikam HI-Tech</t>
        </is>
      </c>
      <c r="E738" s="601" t="n">
        <v>944141</v>
      </c>
      <c r="F738" s="601" t="inlineStr">
        <is>
          <t>NO MATERIAL CODE</t>
        </is>
      </c>
      <c r="G738" s="601">
        <f>_xlfn.CONCAT(scheduleapr[[#This Row],[CUSTOMER CODE]],"-",scheduleapr[[#This Row],[MATERIAL NO]])</f>
        <v/>
      </c>
      <c r="H738" s="601" t="inlineStr">
        <is>
          <t>TUB-O-O-AUT-AW-PE-22.23X2.300X0.4270</t>
        </is>
      </c>
      <c r="I738" s="601" t="inlineStr">
        <is>
          <t>ERW 1</t>
        </is>
      </c>
      <c r="J738" s="601" t="n"/>
      <c r="K738" s="601" t="inlineStr">
        <is>
          <t>PE</t>
        </is>
      </c>
      <c r="L738" s="601" t="inlineStr">
        <is>
          <t>HR</t>
        </is>
      </c>
      <c r="M738" s="601" t="n"/>
      <c r="N738" s="601" t="n"/>
      <c r="O738" s="601" t="n"/>
      <c r="P738" s="601" t="n"/>
      <c r="Q738" s="557">
        <f>CONCATENATE(scheduleapr[[#This Row],[OD]],"-",scheduleapr[[#This Row],[ID]],"-",scheduleapr[[#This Row],[TICKNESS]],"-",scheduleapr[[#This Row],[Grade]],"-",scheduleapr[[#This Row],[FC/NFC]])</f>
        <v/>
      </c>
      <c r="R738" s="557">
        <f>_xlfn.CONCAT(scheduleapr[[#This Row],[Bucket]],"-",scheduleapr[[#This Row],[LENGTH]]/1000)</f>
        <v/>
      </c>
      <c r="S738" s="557">
        <f>COUNTIF(scheduleapr[CTL Bucket],scheduleapr[[#This Row],[CTL Bucket]])</f>
        <v/>
      </c>
      <c r="T738" s="601" t="inlineStr">
        <is>
          <t>Hosur</t>
        </is>
      </c>
      <c r="U738" s="601">
        <f>_xlfn.IFNA(VLOOKUP(scheduleapr[[#This Row],[Bucket]],salesforecast[[#All],[Bucket2]:[8406 Stock]],19,0),0)</f>
        <v/>
      </c>
      <c r="V738" s="562">
        <f>_xlfn.IFNA(VLOOKUP(scheduleapr[[#This Row],[Bucket]],salesforecast[[#All],[Bucket2]:[8406 Stock]],20,0),0)+_xlfn.IFNA(VLOOKUP(scheduleapr[[#This Row],[Bucket]],salesforecast[[#All],[Bucket2]:[8406 Stock]],17,0),0)</f>
        <v/>
      </c>
      <c r="W738" s="557" t="n"/>
      <c r="X738" s="599" t="n">
        <v>22.23</v>
      </c>
      <c r="Y738" s="599" t="n">
        <v>22.23</v>
      </c>
      <c r="Z738" s="6" t="n">
        <v>0</v>
      </c>
      <c r="AA738" s="599" t="n">
        <v>2.3</v>
      </c>
      <c r="AB738" s="600" t="n">
        <v>427</v>
      </c>
      <c r="AC738" s="600" t="inlineStr">
        <is>
          <t>NOS</t>
        </is>
      </c>
      <c r="AD738" s="600" t="n"/>
      <c r="AE738" s="600" t="n"/>
      <c r="AF738" s="601" t="n">
        <v>5000</v>
      </c>
      <c r="AG738" s="596" t="inlineStr">
        <is>
          <t>Aug 2026 schedule · srikam</t>
        </is>
      </c>
      <c r="AH738" s="601">
        <f t="array" ref="AH73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8" s="602">
        <f>scheduleapr[[#This Row],[SCHEDULE in nos]]-scheduleapr[[#This Row],[DISPATCH]]</f>
        <v/>
      </c>
      <c r="AJ738" s="599">
        <f>(3.14*(scheduleapr[[#This Row],[ACTUAL OD]]-scheduleapr[[#This Row],[TICKNESS]])*scheduleapr[[#This Row],[TICKNESS]]*scheduleapr[[#This Row],[LENGTH]]*7.85)/1000000*scheduleapr[[#This Row],[SCHEDULE in nos]]/1000</f>
        <v/>
      </c>
      <c r="AK738" s="599">
        <f>(3.14*(scheduleapr[[#This Row],[ACTUAL OD]]-scheduleapr[[#This Row],[TICKNESS]])*scheduleapr[[#This Row],[TICKNESS]]*scheduleapr[[#This Row],[LENGTH]]*7.85)/1000000*scheduleapr[[#This Row],[DISPATCH]]/1000</f>
        <v/>
      </c>
      <c r="AL738" s="599">
        <f>AJ738-AK738</f>
        <v/>
      </c>
      <c r="AM738" s="599">
        <f>scheduleapr[[#This Row],[SCHEDULE in nos]]/scheduleapr[[#This Row],[SCHEDULE IN MT]]*scheduleapr[[#This Row],[CTL Stock]]</f>
        <v/>
      </c>
      <c r="AN738" s="599">
        <f>SUMIFS(stock[MT],stock[Bucket],scheduleapr[[#This Row],[Bucket]],stock[CTL Bucket],scheduleapr[[#This Row],[CTL Bucket]],stock[Plant],"0789")</f>
        <v/>
      </c>
      <c r="AO738" s="599" t="n"/>
      <c r="AP738" s="599">
        <f>SUMIFS(stock[MT],stock[Bucket],scheduleapr[[#This Row],[Bucket]],stock[LL or CTL],"LL")</f>
        <v/>
      </c>
      <c r="AQ738" s="599">
        <f>+SUMIFS(wip[Stock(Net Wt)],wip[Bucket],scheduleapr[[#This Row],[Bucket]])/1000</f>
        <v/>
      </c>
      <c r="AR738" s="599">
        <f>AJ738-AN738</f>
        <v/>
      </c>
      <c r="AS738" s="118" t="n"/>
    </row>
    <row r="739">
      <c r="A739" s="125" t="n">
        <v>622</v>
      </c>
      <c r="B739" s="5" t="inlineStr">
        <is>
          <t>Hosur</t>
        </is>
      </c>
      <c r="C739" s="601" t="inlineStr">
        <is>
          <t>SRIKAM HITECH</t>
        </is>
      </c>
      <c r="D739" s="601" t="inlineStr">
        <is>
          <t>Srikam HI-Tech</t>
        </is>
      </c>
      <c r="E739" s="601" t="n">
        <v>944141</v>
      </c>
      <c r="F739" s="601" t="n">
        <v>1940584</v>
      </c>
      <c r="G739" s="601">
        <f>_xlfn.CONCAT(scheduleapr[[#This Row],[CUSTOMER CODE]],"-",scheduleapr[[#This Row],[MATERIAL NO]])</f>
        <v/>
      </c>
      <c r="H739" s="601" t="inlineStr">
        <is>
          <t>TUB-O-O-AUT-AW-FC-25.40X2.000X0.2810</t>
        </is>
      </c>
      <c r="I739" s="601" t="inlineStr">
        <is>
          <t>ERW 1</t>
        </is>
      </c>
      <c r="J739" s="601" t="n"/>
      <c r="K739" s="601" t="inlineStr">
        <is>
          <t>FC</t>
        </is>
      </c>
      <c r="L739" s="601" t="inlineStr">
        <is>
          <t>HR</t>
        </is>
      </c>
      <c r="M739" s="601" t="n"/>
      <c r="N739" s="601" t="n"/>
      <c r="O739" s="601" t="n"/>
      <c r="P739" s="601" t="n"/>
      <c r="Q739" s="557">
        <f>CONCATENATE(scheduleapr[[#This Row],[OD]],"-",scheduleapr[[#This Row],[ID]],"-",scheduleapr[[#This Row],[TICKNESS]],"-",scheduleapr[[#This Row],[Grade]],"-",scheduleapr[[#This Row],[FC/NFC]])</f>
        <v/>
      </c>
      <c r="R739" s="557">
        <f>_xlfn.CONCAT(scheduleapr[[#This Row],[Bucket]],"-",scheduleapr[[#This Row],[LENGTH]]/1000)</f>
        <v/>
      </c>
      <c r="S739" s="557">
        <f>COUNTIF(scheduleapr[CTL Bucket],scheduleapr[[#This Row],[CTL Bucket]])</f>
        <v/>
      </c>
      <c r="T739" s="601" t="inlineStr">
        <is>
          <t>Hosur</t>
        </is>
      </c>
      <c r="U739" s="601">
        <f>_xlfn.IFNA(VLOOKUP(scheduleapr[[#This Row],[Bucket]],salesforecast[[#All],[Bucket2]:[8406 Stock]],19,0),0)</f>
        <v/>
      </c>
      <c r="V739" s="562">
        <f>_xlfn.IFNA(VLOOKUP(scheduleapr[[#This Row],[Bucket]],salesforecast[[#All],[Bucket2]:[8406 Stock]],20,0),0)+_xlfn.IFNA(VLOOKUP(scheduleapr[[#This Row],[Bucket]],salesforecast[[#All],[Bucket2]:[8406 Stock]],17,0),0)</f>
        <v/>
      </c>
      <c r="W739" s="557" t="n"/>
      <c r="X739" s="599" t="n">
        <v>25.4</v>
      </c>
      <c r="Y739" s="599" t="n">
        <v>25.4</v>
      </c>
      <c r="Z739" s="6" t="n">
        <v>0</v>
      </c>
      <c r="AA739" s="599" t="n">
        <v>2</v>
      </c>
      <c r="AB739" s="600" t="n">
        <v>281</v>
      </c>
      <c r="AC739" s="600" t="inlineStr">
        <is>
          <t>NOS</t>
        </is>
      </c>
      <c r="AD739" s="600" t="n"/>
      <c r="AE739" s="600" t="n"/>
      <c r="AF739" s="601" t="n">
        <v>30000</v>
      </c>
      <c r="AG739" s="601" t="inlineStr">
        <is>
          <t>Aug 2026 schedule · srikam</t>
        </is>
      </c>
      <c r="AH739" s="601">
        <f t="array" ref="AH739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39" s="602">
        <f>scheduleapr[[#This Row],[SCHEDULE in nos]]-scheduleapr[[#This Row],[DISPATCH]]</f>
        <v/>
      </c>
      <c r="AJ739" s="599">
        <f>(3.14*(scheduleapr[[#This Row],[ACTUAL OD]]-scheduleapr[[#This Row],[TICKNESS]])*scheduleapr[[#This Row],[TICKNESS]]*scheduleapr[[#This Row],[LENGTH]]*7.85)/1000000*scheduleapr[[#This Row],[SCHEDULE in nos]]/1000</f>
        <v/>
      </c>
      <c r="AK739" s="599">
        <f>(3.14*(scheduleapr[[#This Row],[ACTUAL OD]]-scheduleapr[[#This Row],[TICKNESS]])*scheduleapr[[#This Row],[TICKNESS]]*scheduleapr[[#This Row],[LENGTH]]*7.85)/1000000*scheduleapr[[#This Row],[DISPATCH]]/1000</f>
        <v/>
      </c>
      <c r="AL739" s="599">
        <f>AJ739-AK739</f>
        <v/>
      </c>
      <c r="AM739" s="599">
        <f>scheduleapr[[#This Row],[SCHEDULE in nos]]/scheduleapr[[#This Row],[SCHEDULE IN MT]]*scheduleapr[[#This Row],[CTL Stock]]</f>
        <v/>
      </c>
      <c r="AN739" s="599">
        <f>SUMIFS(stock[MT],stock[Bucket],scheduleapr[[#This Row],[Bucket]],stock[CTL Bucket],scheduleapr[[#This Row],[CTL Bucket]],stock[Plant],"0789")</f>
        <v/>
      </c>
      <c r="AO739" s="599" t="n"/>
      <c r="AP739" s="599">
        <f>SUMIFS(stock[MT],stock[Bucket],scheduleapr[[#This Row],[Bucket]],stock[LL or CTL],"LL")</f>
        <v/>
      </c>
      <c r="AQ739" s="599">
        <f>+SUMIFS(wip[Stock(Net Wt)],wip[Bucket],scheduleapr[[#This Row],[Bucket]])/1000</f>
        <v/>
      </c>
      <c r="AR739" s="599">
        <f>AJ739-AN739</f>
        <v/>
      </c>
      <c r="AS739" s="118" t="n"/>
    </row>
    <row r="740">
      <c r="A740" s="594" t="n">
        <v>623</v>
      </c>
      <c r="B740" s="5" t="inlineStr">
        <is>
          <t>Hosur</t>
        </is>
      </c>
      <c r="C740" s="601" t="inlineStr">
        <is>
          <t>SRIKAM HITECH</t>
        </is>
      </c>
      <c r="D740" s="601" t="inlineStr">
        <is>
          <t>Srikam HI-Tech</t>
        </is>
      </c>
      <c r="E740" s="601" t="n">
        <v>944141</v>
      </c>
      <c r="F740" s="601" t="n">
        <v>1940621</v>
      </c>
      <c r="G740" s="601">
        <f>_xlfn.CONCAT(scheduleapr[[#This Row],[CUSTOMER CODE]],"-",scheduleapr[[#This Row],[MATERIAL NO]])</f>
        <v/>
      </c>
      <c r="H740" s="9" t="inlineStr">
        <is>
          <t>TUB-O-O-GEN-AW-PE-28.58X1.600X6.0000</t>
        </is>
      </c>
      <c r="I740" s="601" t="inlineStr">
        <is>
          <t>ERW 1</t>
        </is>
      </c>
      <c r="J740" s="601" t="n"/>
      <c r="K740" s="601" t="inlineStr">
        <is>
          <t>PE</t>
        </is>
      </c>
      <c r="L740" s="601" t="inlineStr">
        <is>
          <t>CR</t>
        </is>
      </c>
      <c r="M740" s="49" t="inlineStr">
        <is>
          <t>GR1</t>
        </is>
      </c>
      <c r="N740" s="601" t="n"/>
      <c r="O740" s="601" t="n"/>
      <c r="P740" s="601" t="n"/>
      <c r="Q740" s="557">
        <f>CONCATENATE(scheduleapr[[#This Row],[OD]],"-",scheduleapr[[#This Row],[ID]],"-",scheduleapr[[#This Row],[TICKNESS]],"-",scheduleapr[[#This Row],[Grade]],"-",scheduleapr[[#This Row],[FC/NFC]])</f>
        <v/>
      </c>
      <c r="R740" s="557">
        <f>_xlfn.CONCAT(scheduleapr[[#This Row],[Bucket]],"-",scheduleapr[[#This Row],[LENGTH]]/1000)</f>
        <v/>
      </c>
      <c r="S740" s="557">
        <f>COUNTIF([2]!buckets[CTL Bucket],[2]!scheduleapr[[#This Row],[CTL Bucket]])</f>
        <v/>
      </c>
      <c r="T740" s="557" t="n"/>
      <c r="U740" s="557" t="n"/>
      <c r="V740" s="557" t="n"/>
      <c r="W740" s="557" t="n"/>
      <c r="X740" s="599" t="n">
        <v>28.58</v>
      </c>
      <c r="Y740" s="599" t="n">
        <v>28.58</v>
      </c>
      <c r="Z740" s="6" t="n">
        <v>0</v>
      </c>
      <c r="AA740" s="599" t="n">
        <v>1.6</v>
      </c>
      <c r="AB740" s="600" t="n">
        <v>6000</v>
      </c>
      <c r="AC740" s="600" t="n"/>
      <c r="AD740" s="600" t="n"/>
      <c r="AE740" s="600" t="n"/>
      <c r="AF740" s="601" t="n"/>
      <c r="AG740" s="601" t="n"/>
      <c r="AH740" s="601">
        <f t="array" ref="AH740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0" s="602">
        <f>scheduleapr[[#This Row],[SCHEDULE in nos]]-scheduleapr[[#This Row],[DISPATCH]]</f>
        <v/>
      </c>
      <c r="AJ740" s="599">
        <f>(3.14*(scheduleapr[[#This Row],[ACTUAL OD]]-scheduleapr[[#This Row],[TICKNESS]])*scheduleapr[[#This Row],[TICKNESS]]*scheduleapr[[#This Row],[LENGTH]]*7.85)/1000000*scheduleapr[[#This Row],[SCHEDULE in nos]]/1000</f>
        <v/>
      </c>
      <c r="AK740" s="599">
        <f>(3.14*(scheduleapr[[#This Row],[ACTUAL OD]]-scheduleapr[[#This Row],[TICKNESS]])*scheduleapr[[#This Row],[TICKNESS]]*scheduleapr[[#This Row],[LENGTH]]*7.85)/1000000*scheduleapr[[#This Row],[DISPATCH]]/1000</f>
        <v/>
      </c>
      <c r="AL740" s="599">
        <f>AJ740-AK740</f>
        <v/>
      </c>
      <c r="AM740" s="599">
        <f>scheduleapr[[#This Row],[SCHEDULE in nos]]/scheduleapr[[#This Row],[SCHEDULE IN MT]]*scheduleapr[[#This Row],[CTL Stock]]</f>
        <v/>
      </c>
      <c r="AN740" s="599">
        <f>SUMIFS(stock[MT],stock[Bucket],scheduleapr[[#This Row],[Bucket]],stock[CTL Bucket],scheduleapr[[#This Row],[CTL Bucket]],stock[Plant],"0789")</f>
        <v/>
      </c>
      <c r="AO740" s="599" t="n"/>
      <c r="AP740" s="599">
        <f>SUMIFS(stock[MT],stock[Bucket],scheduleapr[[#This Row],[Bucket]],stock[LL or CTL],"LL")</f>
        <v/>
      </c>
      <c r="AQ740" s="599">
        <f>+SUMIFS(wip[Stock(Net Wt)],wip[Bucket],scheduleapr[[#This Row],[Bucket]])/1000</f>
        <v/>
      </c>
      <c r="AR740" s="599">
        <f>AJ740-AN740</f>
        <v/>
      </c>
      <c r="AS740" s="118" t="n"/>
    </row>
    <row r="741">
      <c r="A741" s="125" t="n">
        <v>619</v>
      </c>
      <c r="B741" s="5" t="inlineStr">
        <is>
          <t>Hosur</t>
        </is>
      </c>
      <c r="C741" s="601" t="inlineStr">
        <is>
          <t>SRIKAM HITECH</t>
        </is>
      </c>
      <c r="D741" s="601" t="inlineStr">
        <is>
          <t>Srikam HI-Tech</t>
        </is>
      </c>
      <c r="E741" s="601" t="n">
        <v>944141</v>
      </c>
      <c r="F741" s="252" t="n">
        <v>4036237</v>
      </c>
      <c r="G741" s="601">
        <f>_xlfn.CONCAT(scheduleapr[[#This Row],[CUSTOMER CODE]],"-",scheduleapr[[#This Row],[MATERIAL NO]])</f>
        <v/>
      </c>
      <c r="H741" s="601" t="inlineStr">
        <is>
          <t>CUT-O-N-AUT-AW-PE-22.23X2.000X0.6040</t>
        </is>
      </c>
      <c r="I741" s="252" t="inlineStr">
        <is>
          <t>ERW 2 MAHS</t>
        </is>
      </c>
      <c r="J741" s="601" t="n"/>
      <c r="K741" s="601" t="inlineStr">
        <is>
          <t>PE</t>
        </is>
      </c>
      <c r="L741" s="601" t="inlineStr">
        <is>
          <t>HR</t>
        </is>
      </c>
      <c r="M741" s="601" t="n"/>
      <c r="N741" s="601" t="n"/>
      <c r="O741" s="601" t="n"/>
      <c r="P741" s="601" t="n"/>
      <c r="Q741" s="557">
        <f>CONCATENATE(scheduleapr[[#This Row],[OD]],"-",scheduleapr[[#This Row],[ID]],"-",scheduleapr[[#This Row],[TICKNESS]],"-",scheduleapr[[#This Row],[Grade]],"-",scheduleapr[[#This Row],[FC/NFC]])</f>
        <v/>
      </c>
      <c r="R741" s="557">
        <f>_xlfn.CONCAT(scheduleapr[[#This Row],[Bucket]],"-",scheduleapr[[#This Row],[LENGTH]]/1000)</f>
        <v/>
      </c>
      <c r="S741" s="557">
        <f>COUNTIF(scheduleapr[CTL Bucket],scheduleapr[[#This Row],[CTL Bucket]])</f>
        <v/>
      </c>
      <c r="T741" s="601" t="n"/>
      <c r="U741" s="601" t="n"/>
      <c r="V741" s="601" t="n"/>
      <c r="W741" s="601" t="n"/>
      <c r="X741" s="253" t="n">
        <v>22.23</v>
      </c>
      <c r="Y741" s="253" t="n">
        <v>22.23</v>
      </c>
      <c r="Z741" s="254" t="n">
        <v>0</v>
      </c>
      <c r="AA741" s="599" t="n">
        <v>2</v>
      </c>
      <c r="AB741" s="600" t="n">
        <v>604</v>
      </c>
      <c r="AC741" s="600" t="inlineStr">
        <is>
          <t>NOS</t>
        </is>
      </c>
      <c r="AD741" s="600" t="n"/>
      <c r="AE741" s="600" t="n"/>
      <c r="AF741" s="601" t="n"/>
      <c r="AG741" s="601" t="n"/>
      <c r="AH741" s="601">
        <f t="array" ref="AH741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1" s="602">
        <f>scheduleapr[[#This Row],[SCHEDULE in nos]]-scheduleapr[[#This Row],[DISPATCH]]</f>
        <v/>
      </c>
      <c r="AJ741" s="599">
        <f>(3.14*(scheduleapr[[#This Row],[ACTUAL OD]]-scheduleapr[[#This Row],[TICKNESS]])*scheduleapr[[#This Row],[TICKNESS]]*scheduleapr[[#This Row],[LENGTH]]*7.85)/1000000*scheduleapr[[#This Row],[SCHEDULE in nos]]/1000</f>
        <v/>
      </c>
      <c r="AK741" s="599">
        <f>(3.14*(scheduleapr[[#This Row],[ACTUAL OD]]-scheduleapr[[#This Row],[TICKNESS]])*scheduleapr[[#This Row],[TICKNESS]]*scheduleapr[[#This Row],[LENGTH]]*7.85)/1000000*scheduleapr[[#This Row],[DISPATCH]]/1000</f>
        <v/>
      </c>
      <c r="AL741" s="599">
        <f>AJ741-AK741</f>
        <v/>
      </c>
      <c r="AM741" s="599">
        <f>scheduleapr[[#This Row],[SCHEDULE in nos]]/scheduleapr[[#This Row],[SCHEDULE IN MT]]*scheduleapr[[#This Row],[CTL Stock]]</f>
        <v/>
      </c>
      <c r="AN741" s="599">
        <f>SUMIFS(stock[MT],stock[Bucket],scheduleapr[[#This Row],[Bucket]],stock[CTL Bucket],scheduleapr[[#This Row],[CTL Bucket]],stock[Plant],"0789")</f>
        <v/>
      </c>
      <c r="AO741" s="599" t="n"/>
      <c r="AP741" s="599">
        <f>SUMIFS(stock[MT],stock[Bucket],scheduleapr[[#This Row],[Bucket]],stock[LL or CTL],"LL")</f>
        <v/>
      </c>
      <c r="AQ741" s="599">
        <f>+SUMIFS(wip[Stock(Net Wt)],wip[Bucket],scheduleapr[[#This Row],[Bucket]])/1000</f>
        <v/>
      </c>
      <c r="AR741" s="599">
        <f>AJ741-AN741</f>
        <v/>
      </c>
      <c r="AS741" s="118" t="n"/>
    </row>
    <row r="742">
      <c r="A742" s="594" t="n">
        <v>587</v>
      </c>
      <c r="B742" s="5" t="inlineStr">
        <is>
          <t>Hosur</t>
        </is>
      </c>
      <c r="C742" s="601" t="inlineStr">
        <is>
          <t>SRIKAM HITECH</t>
        </is>
      </c>
      <c r="D742" s="601" t="inlineStr">
        <is>
          <t>Srikam HI-Tech</t>
        </is>
      </c>
      <c r="E742" s="601" t="n">
        <v>944141</v>
      </c>
      <c r="F742" s="601" t="n">
        <v>1156869</v>
      </c>
      <c r="G742" s="601">
        <f>_xlfn.CONCAT(scheduleapr[[#This Row],[CUSTOMER CODE]],"-",scheduleapr[[#This Row],[MATERIAL NO]])</f>
        <v/>
      </c>
      <c r="H742" s="601" t="inlineStr">
        <is>
          <t>TUB-O-N-AUT-AW-PE-19.05X2.000X0.271</t>
        </is>
      </c>
      <c r="I742" s="601" t="n"/>
      <c r="J742" s="601" t="n"/>
      <c r="K742" s="601" t="n"/>
      <c r="L742" s="601" t="inlineStr">
        <is>
          <t>HR</t>
        </is>
      </c>
      <c r="M742" s="601" t="n"/>
      <c r="N742" s="601" t="n"/>
      <c r="O742" s="601" t="n"/>
      <c r="P742" s="601" t="n"/>
      <c r="Q742" s="557">
        <f>CONCATENATE(scheduleapr[[#This Row],[OD]],"-",scheduleapr[[#This Row],[ID]],"-",scheduleapr[[#This Row],[TICKNESS]],"-",scheduleapr[[#This Row],[Grade]],"-",scheduleapr[[#This Row],[FC/NFC]])</f>
        <v/>
      </c>
      <c r="R742" s="557">
        <f>_xlfn.CONCAT(scheduleapr[[#This Row],[Bucket]],"-",scheduleapr[[#This Row],[LENGTH]]/1000)</f>
        <v/>
      </c>
      <c r="S742" s="557">
        <f>COUNTIF([2]!buckets[CTL Bucket],[2]!scheduleapr[[#This Row],[CTL Bucket]])</f>
        <v/>
      </c>
      <c r="T742" s="557" t="n"/>
      <c r="U742" s="557" t="n"/>
      <c r="V742" s="557" t="n"/>
      <c r="W742" s="557" t="n"/>
      <c r="X742" s="599" t="n">
        <v>19.05</v>
      </c>
      <c r="Y742" s="599" t="n">
        <v>19.05</v>
      </c>
      <c r="Z742" s="6" t="n">
        <v>0</v>
      </c>
      <c r="AA742" s="599" t="n">
        <v>2</v>
      </c>
      <c r="AB742" s="600" t="n">
        <v>271</v>
      </c>
      <c r="AC742" s="600" t="inlineStr">
        <is>
          <t>NOS</t>
        </is>
      </c>
      <c r="AD742" s="600" t="n"/>
      <c r="AE742" s="600" t="n"/>
      <c r="AF742" s="601" t="n"/>
      <c r="AG742" s="601" t="n"/>
      <c r="AH742" s="601">
        <f t="array" ref="AH742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2" s="602">
        <f>scheduleapr[[#This Row],[SCHEDULE in nos]]-scheduleapr[[#This Row],[DISPATCH]]</f>
        <v/>
      </c>
      <c r="AJ742" s="599">
        <f>(3.14*(scheduleapr[[#This Row],[ACTUAL OD]]-scheduleapr[[#This Row],[TICKNESS]])*scheduleapr[[#This Row],[TICKNESS]]*scheduleapr[[#This Row],[LENGTH]]*7.85)/1000000*scheduleapr[[#This Row],[SCHEDULE in nos]]/1000</f>
        <v/>
      </c>
      <c r="AK742" s="599">
        <f>(3.14*(scheduleapr[[#This Row],[ACTUAL OD]]-scheduleapr[[#This Row],[TICKNESS]])*scheduleapr[[#This Row],[TICKNESS]]*scheduleapr[[#This Row],[LENGTH]]*7.85)/1000000*scheduleapr[[#This Row],[DISPATCH]]/1000</f>
        <v/>
      </c>
      <c r="AL742" s="599">
        <f>AJ742-AK742</f>
        <v/>
      </c>
      <c r="AM742" s="599">
        <f>scheduleapr[[#This Row],[SCHEDULE in nos]]/scheduleapr[[#This Row],[SCHEDULE IN MT]]*scheduleapr[[#This Row],[CTL Stock]]</f>
        <v/>
      </c>
      <c r="AN742" s="599">
        <f>SUMIFS(stock[MT],stock[Bucket],scheduleapr[[#This Row],[Bucket]],stock[CTL Bucket],scheduleapr[[#This Row],[CTL Bucket]],stock[Plant],"0789")</f>
        <v/>
      </c>
      <c r="AO742" s="599" t="n"/>
      <c r="AP742" s="599">
        <f>SUMIFS(stock[MT],stock[Bucket],scheduleapr[[#This Row],[Bucket]],stock[LL or CTL],"LL")</f>
        <v/>
      </c>
      <c r="AQ742" s="599">
        <f>+SUMIFS(wip[Stock(Net Wt)],wip[Bucket],scheduleapr[[#This Row],[Bucket]])/1000</f>
        <v/>
      </c>
      <c r="AR742" s="599">
        <f>AJ742-AN742</f>
        <v/>
      </c>
      <c r="AS742" s="118" t="n"/>
    </row>
    <row r="743">
      <c r="A743" s="125" t="n">
        <v>588</v>
      </c>
      <c r="B743" s="5" t="inlineStr">
        <is>
          <t>Hosur</t>
        </is>
      </c>
      <c r="C743" s="601" t="inlineStr">
        <is>
          <t>SRIKAM HITECH</t>
        </is>
      </c>
      <c r="D743" s="601" t="inlineStr">
        <is>
          <t>Srikam HI-Tech</t>
        </is>
      </c>
      <c r="E743" s="601" t="n">
        <v>944141</v>
      </c>
      <c r="F743" s="601" t="n">
        <v>1637759</v>
      </c>
      <c r="G743" s="601">
        <f>_xlfn.CONCAT(scheduleapr[[#This Row],[CUSTOMER CODE]],"-",scheduleapr[[#This Row],[MATERIAL NO]])</f>
        <v/>
      </c>
      <c r="H743" s="601" t="inlineStr">
        <is>
          <t>TUB-O-N-AUT-AW-PE-19.05X2.000X0.4520</t>
        </is>
      </c>
      <c r="I743" s="601" t="n"/>
      <c r="J743" s="601" t="n"/>
      <c r="K743" s="601" t="n"/>
      <c r="L743" s="601" t="inlineStr">
        <is>
          <t>HR</t>
        </is>
      </c>
      <c r="M743" s="601" t="n"/>
      <c r="N743" s="601" t="n"/>
      <c r="O743" s="601" t="n"/>
      <c r="P743" s="601" t="n"/>
      <c r="Q743" s="557">
        <f>CONCATENATE(scheduleapr[[#This Row],[OD]],"-",scheduleapr[[#This Row],[ID]],"-",scheduleapr[[#This Row],[TICKNESS]],"-",scheduleapr[[#This Row],[Grade]],"-",scheduleapr[[#This Row],[FC/NFC]])</f>
        <v/>
      </c>
      <c r="R743" s="557">
        <f>_xlfn.CONCAT(scheduleapr[[#This Row],[Bucket]],"-",scheduleapr[[#This Row],[LENGTH]]/1000)</f>
        <v/>
      </c>
      <c r="S743" s="557">
        <f>COUNTIF([2]!buckets[CTL Bucket],[2]!scheduleapr[[#This Row],[CTL Bucket]])</f>
        <v/>
      </c>
      <c r="T743" s="557" t="n"/>
      <c r="U743" s="557" t="n"/>
      <c r="V743" s="557" t="n"/>
      <c r="W743" s="557" t="n"/>
      <c r="X743" s="599" t="n">
        <v>19.05</v>
      </c>
      <c r="Y743" s="599" t="n">
        <v>19.05</v>
      </c>
      <c r="Z743" s="6" t="n">
        <v>0</v>
      </c>
      <c r="AA743" s="599" t="n">
        <v>2</v>
      </c>
      <c r="AB743" s="600" t="n">
        <v>452</v>
      </c>
      <c r="AC743" s="600" t="inlineStr">
        <is>
          <t>NOS</t>
        </is>
      </c>
      <c r="AD743" s="600" t="n"/>
      <c r="AE743" s="600" t="n"/>
      <c r="AF743" s="601" t="n"/>
      <c r="AG743" s="601" t="n"/>
      <c r="AH743" s="601">
        <f t="array" ref="AH743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3" s="602">
        <f>scheduleapr[[#This Row],[SCHEDULE in nos]]-scheduleapr[[#This Row],[DISPATCH]]</f>
        <v/>
      </c>
      <c r="AJ743" s="599">
        <f>(3.14*(scheduleapr[[#This Row],[ACTUAL OD]]-scheduleapr[[#This Row],[TICKNESS]])*scheduleapr[[#This Row],[TICKNESS]]*scheduleapr[[#This Row],[LENGTH]]*7.85)/1000000*scheduleapr[[#This Row],[SCHEDULE in nos]]/1000</f>
        <v/>
      </c>
      <c r="AK743" s="599">
        <f>(3.14*(scheduleapr[[#This Row],[ACTUAL OD]]-scheduleapr[[#This Row],[TICKNESS]])*scheduleapr[[#This Row],[TICKNESS]]*scheduleapr[[#This Row],[LENGTH]]*7.85)/1000000*scheduleapr[[#This Row],[DISPATCH]]/1000</f>
        <v/>
      </c>
      <c r="AL743" s="599">
        <f>AJ743-AK743</f>
        <v/>
      </c>
      <c r="AM743" s="599">
        <f>scheduleapr[[#This Row],[SCHEDULE in nos]]/scheduleapr[[#This Row],[SCHEDULE IN MT]]*scheduleapr[[#This Row],[CTL Stock]]</f>
        <v/>
      </c>
      <c r="AN743" s="599">
        <f>SUMIFS(stock[MT],stock[Bucket],scheduleapr[[#This Row],[Bucket]],stock[CTL Bucket],scheduleapr[[#This Row],[CTL Bucket]],stock[Plant],"0789")</f>
        <v/>
      </c>
      <c r="AO743" s="599" t="n"/>
      <c r="AP743" s="599">
        <f>SUMIFS(stock[MT],stock[Bucket],scheduleapr[[#This Row],[Bucket]],stock[LL or CTL],"LL")</f>
        <v/>
      </c>
      <c r="AQ743" s="599">
        <f>+SUMIFS(wip[Stock(Net Wt)],wip[Bucket],scheduleapr[[#This Row],[Bucket]])/1000</f>
        <v/>
      </c>
      <c r="AR743" s="599">
        <f>AJ743-AN743</f>
        <v/>
      </c>
      <c r="AS743" s="118" t="n"/>
    </row>
    <row r="744">
      <c r="A744" s="594" t="n">
        <v>592</v>
      </c>
      <c r="B744" s="5" t="inlineStr">
        <is>
          <t>Hosur</t>
        </is>
      </c>
      <c r="C744" s="601" t="inlineStr">
        <is>
          <t>SRIKAM HITECH</t>
        </is>
      </c>
      <c r="D744" s="601" t="inlineStr">
        <is>
          <t>Srikam HI-Tech</t>
        </is>
      </c>
      <c r="E744" s="601" t="n">
        <v>944141</v>
      </c>
      <c r="F744" s="601" t="n">
        <v>451367</v>
      </c>
      <c r="G744" s="601">
        <f>_xlfn.CONCAT(scheduleapr[[#This Row],[CUSTOMER CODE]],"-",scheduleapr[[#This Row],[MATERIAL NO]])</f>
        <v/>
      </c>
      <c r="H744" s="601" t="inlineStr">
        <is>
          <t>PT2-O-N-AUT-AW-PE-19.05X2.000X0.925</t>
        </is>
      </c>
      <c r="I744" s="601" t="n"/>
      <c r="J744" s="601" t="n"/>
      <c r="K744" s="601" t="n"/>
      <c r="L744" s="601" t="inlineStr">
        <is>
          <t>HR</t>
        </is>
      </c>
      <c r="M744" s="601" t="n"/>
      <c r="N744" s="601" t="n"/>
      <c r="O744" s="601" t="n"/>
      <c r="P744" s="601" t="n"/>
      <c r="Q744" s="557">
        <f>CONCATENATE(scheduleapr[[#This Row],[OD]],"-",scheduleapr[[#This Row],[ID]],"-",scheduleapr[[#This Row],[TICKNESS]],"-",scheduleapr[[#This Row],[Grade]],"-",scheduleapr[[#This Row],[FC/NFC]])</f>
        <v/>
      </c>
      <c r="R744" s="557">
        <f>_xlfn.CONCAT(scheduleapr[[#This Row],[Bucket]],"-",scheduleapr[[#This Row],[LENGTH]]/1000)</f>
        <v/>
      </c>
      <c r="S744" s="557">
        <f>COUNTIF([2]!buckets[CTL Bucket],[2]!scheduleapr[[#This Row],[CTL Bucket]])</f>
        <v/>
      </c>
      <c r="T744" s="557" t="n"/>
      <c r="U744" s="557" t="n"/>
      <c r="V744" s="557" t="n"/>
      <c r="W744" s="557" t="n"/>
      <c r="X744" s="599" t="n">
        <v>19.05</v>
      </c>
      <c r="Y744" s="599" t="n">
        <v>19.05</v>
      </c>
      <c r="Z744" s="6" t="n">
        <v>0</v>
      </c>
      <c r="AA744" s="599" t="n">
        <v>2</v>
      </c>
      <c r="AB744" s="600" t="n">
        <v>925</v>
      </c>
      <c r="AC744" s="600" t="inlineStr">
        <is>
          <t>NOS</t>
        </is>
      </c>
      <c r="AD744" s="600" t="n"/>
      <c r="AE744" s="600" t="n"/>
      <c r="AF744" s="601" t="n"/>
      <c r="AG744" s="601" t="n"/>
      <c r="AH744" s="601">
        <f t="array" ref="AH744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4" s="602">
        <f>scheduleapr[[#This Row],[SCHEDULE in nos]]-scheduleapr[[#This Row],[DISPATCH]]</f>
        <v/>
      </c>
      <c r="AJ744" s="599">
        <f>(3.14*(scheduleapr[[#This Row],[ACTUAL OD]]-scheduleapr[[#This Row],[TICKNESS]])*scheduleapr[[#This Row],[TICKNESS]]*scheduleapr[[#This Row],[LENGTH]]*7.85)/1000000*scheduleapr[[#This Row],[SCHEDULE in nos]]/1000</f>
        <v/>
      </c>
      <c r="AK744" s="599">
        <f>(3.14*(scheduleapr[[#This Row],[ACTUAL OD]]-scheduleapr[[#This Row],[TICKNESS]])*scheduleapr[[#This Row],[TICKNESS]]*scheduleapr[[#This Row],[LENGTH]]*7.85)/1000000*scheduleapr[[#This Row],[DISPATCH]]/1000</f>
        <v/>
      </c>
      <c r="AL744" s="599">
        <f>AJ744-AK744</f>
        <v/>
      </c>
      <c r="AM744" s="599">
        <f>scheduleapr[[#This Row],[SCHEDULE in nos]]/scheduleapr[[#This Row],[SCHEDULE IN MT]]*scheduleapr[[#This Row],[CTL Stock]]</f>
        <v/>
      </c>
      <c r="AN744" s="599">
        <f>SUMIFS(stock[MT],stock[Bucket],scheduleapr[[#This Row],[Bucket]],stock[CTL Bucket],scheduleapr[[#This Row],[CTL Bucket]],stock[Plant],"0789")</f>
        <v/>
      </c>
      <c r="AO744" s="599" t="n"/>
      <c r="AP744" s="599">
        <f>SUMIFS(stock[MT],stock[Bucket],scheduleapr[[#This Row],[Bucket]],stock[LL or CTL],"LL")</f>
        <v/>
      </c>
      <c r="AQ744" s="599">
        <f>+SUMIFS(wip[Stock(Net Wt)],wip[Bucket],scheduleapr[[#This Row],[Bucket]])/1000</f>
        <v/>
      </c>
      <c r="AR744" s="599">
        <f>AJ744-AN744</f>
        <v/>
      </c>
      <c r="AS744" s="118" t="n"/>
    </row>
    <row r="745">
      <c r="A745" s="125" t="n">
        <v>593</v>
      </c>
      <c r="B745" s="5" t="inlineStr">
        <is>
          <t>Hosur</t>
        </is>
      </c>
      <c r="C745" s="601" t="inlineStr">
        <is>
          <t>SRIKAM HITECH</t>
        </is>
      </c>
      <c r="D745" s="601" t="inlineStr">
        <is>
          <t>Srikam HI-Tech</t>
        </is>
      </c>
      <c r="E745" s="601" t="n">
        <v>944141</v>
      </c>
      <c r="F745" s="9" t="n">
        <v>3499307</v>
      </c>
      <c r="G745" s="601">
        <f>_xlfn.CONCAT(scheduleapr[[#This Row],[CUSTOMER CODE]],"-",scheduleapr[[#This Row],[MATERIAL NO]])</f>
        <v/>
      </c>
      <c r="H745" s="9" t="inlineStr">
        <is>
          <t>TUB-O-N-AUT-AW-PE-19.05X2.00X6.000-ERW 1</t>
        </is>
      </c>
      <c r="I745" s="601" t="n"/>
      <c r="J745" s="601" t="n"/>
      <c r="K745" s="601" t="n"/>
      <c r="L745" s="601" t="inlineStr">
        <is>
          <t>HR</t>
        </is>
      </c>
      <c r="M745" s="601" t="n"/>
      <c r="N745" s="601" t="n"/>
      <c r="O745" s="601" t="n"/>
      <c r="P745" s="601" t="n"/>
      <c r="Q745" s="557">
        <f>CONCATENATE(scheduleapr[[#This Row],[OD]],"-",scheduleapr[[#This Row],[ID]],"-",scheduleapr[[#This Row],[TICKNESS]],"-",scheduleapr[[#This Row],[Grade]],"-",scheduleapr[[#This Row],[FC/NFC]])</f>
        <v/>
      </c>
      <c r="R745" s="557">
        <f>_xlfn.CONCAT(scheduleapr[[#This Row],[Bucket]],"-",scheduleapr[[#This Row],[LENGTH]]/1000)</f>
        <v/>
      </c>
      <c r="S745" s="557">
        <f>COUNTIF([2]!buckets[CTL Bucket],[2]!scheduleapr[[#This Row],[CTL Bucket]])</f>
        <v/>
      </c>
      <c r="T745" s="557" t="n"/>
      <c r="U745" s="557" t="n"/>
      <c r="V745" s="557" t="n"/>
      <c r="W745" s="557" t="n"/>
      <c r="X745" s="599" t="n">
        <v>19.05</v>
      </c>
      <c r="Y745" s="599" t="n">
        <v>19.05</v>
      </c>
      <c r="Z745" s="6" t="n">
        <v>0</v>
      </c>
      <c r="AA745" s="599" t="n">
        <v>2</v>
      </c>
      <c r="AB745" s="600" t="n">
        <v>6000</v>
      </c>
      <c r="AC745" s="600" t="inlineStr">
        <is>
          <t>M</t>
        </is>
      </c>
      <c r="AD745" s="600" t="n"/>
      <c r="AE745" s="600" t="n"/>
      <c r="AF745" s="601" t="n"/>
      <c r="AG745" s="601" t="n"/>
      <c r="AH745" s="601">
        <f t="array" ref="AH745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5" s="602">
        <f>scheduleapr[[#This Row],[SCHEDULE in nos]]-scheduleapr[[#This Row],[DISPATCH]]</f>
        <v/>
      </c>
      <c r="AJ745" s="599">
        <f>(3.14*(scheduleapr[[#This Row],[ACTUAL OD]]-scheduleapr[[#This Row],[TICKNESS]])*scheduleapr[[#This Row],[TICKNESS]]*scheduleapr[[#This Row],[LENGTH]]*7.85)/1000000*scheduleapr[[#This Row],[SCHEDULE in nos]]/1000</f>
        <v/>
      </c>
      <c r="AK745" s="599">
        <f>(3.14*(scheduleapr[[#This Row],[ACTUAL OD]]-scheduleapr[[#This Row],[TICKNESS]])*scheduleapr[[#This Row],[TICKNESS]]*scheduleapr[[#This Row],[LENGTH]]*7.85)/1000000*scheduleapr[[#This Row],[DISPATCH]]/1000</f>
        <v/>
      </c>
      <c r="AL745" s="599">
        <f>AJ745-AK745</f>
        <v/>
      </c>
      <c r="AM745" s="599">
        <f>scheduleapr[[#This Row],[SCHEDULE in nos]]/scheduleapr[[#This Row],[SCHEDULE IN MT]]*scheduleapr[[#This Row],[CTL Stock]]</f>
        <v/>
      </c>
      <c r="AN745" s="599">
        <f>SUMIFS(stock[MT],stock[Bucket],scheduleapr[[#This Row],[Bucket]],stock[CTL Bucket],scheduleapr[[#This Row],[CTL Bucket]],stock[Plant],"0789")</f>
        <v/>
      </c>
      <c r="AO745" s="599" t="n"/>
      <c r="AP745" s="599">
        <f>SUMIFS(stock[MT],stock[Bucket],scheduleapr[[#This Row],[Bucket]],stock[LL or CTL],"LL")</f>
        <v/>
      </c>
      <c r="AQ745" s="599">
        <f>+SUMIFS(wip[Stock(Net Wt)],wip[Bucket],scheduleapr[[#This Row],[Bucket]])/1000</f>
        <v/>
      </c>
      <c r="AR745" s="599">
        <f>AJ745-AN745</f>
        <v/>
      </c>
      <c r="AS745" s="118" t="n"/>
    </row>
    <row r="746">
      <c r="A746" s="594" t="n">
        <v>605</v>
      </c>
      <c r="B746" s="5" t="inlineStr">
        <is>
          <t>Hosur</t>
        </is>
      </c>
      <c r="C746" s="601" t="inlineStr">
        <is>
          <t>Rajsriya Automotive</t>
        </is>
      </c>
      <c r="D746" s="601" t="inlineStr">
        <is>
          <t>Rajsriya Automotive Hosur</t>
        </is>
      </c>
      <c r="E746" s="601" t="inlineStr">
        <is>
          <t>129695|187884|188415|189239|189240</t>
        </is>
      </c>
      <c r="F746" s="601" t="n">
        <v>3669081</v>
      </c>
      <c r="G746" s="601">
        <f>_xlfn.CONCAT(scheduleapr[[#This Row],[CUSTOMER CODE]],"-",scheduleapr[[#This Row],[MATERIAL NO]])</f>
        <v/>
      </c>
      <c r="H746" s="601" t="inlineStr">
        <is>
          <t>19.05 x 14.05 x 2.34 x 600 mm ERW — rajsriya PLANT-1</t>
        </is>
      </c>
      <c r="I746" s="601" t="inlineStr">
        <is>
          <t>ERW</t>
        </is>
      </c>
      <c r="J746" s="601" t="n"/>
      <c r="K746" s="601" t="n"/>
      <c r="L746" s="601" t="inlineStr">
        <is>
          <t>HR</t>
        </is>
      </c>
      <c r="M746" s="601" t="n"/>
      <c r="N746" s="601" t="n"/>
      <c r="O746" s="601" t="n"/>
      <c r="P746" s="601" t="n"/>
      <c r="Q746" s="557">
        <f>CONCATENATE(scheduleapr[[#This Row],[OD]],"-",scheduleapr[[#This Row],[ID]],"-",scheduleapr[[#This Row],[TICKNESS]],"-",scheduleapr[[#This Row],[Grade]],"-",scheduleapr[[#This Row],[FC/NFC]])</f>
        <v/>
      </c>
      <c r="R746" s="557">
        <f>_xlfn.CONCAT(scheduleapr[[#This Row],[Bucket]],"-",scheduleapr[[#This Row],[LENGTH]]/1000)</f>
        <v/>
      </c>
      <c r="S746" s="557">
        <f>COUNTIF([2]!buckets[CTL Bucket],[2]!scheduleapr[[#This Row],[CTL Bucket]])</f>
        <v/>
      </c>
      <c r="T746" s="557" t="n"/>
      <c r="U746" s="557" t="n"/>
      <c r="V746" s="557" t="n"/>
      <c r="W746" s="557" t="n"/>
      <c r="X746" s="599" t="n">
        <v>19.05</v>
      </c>
      <c r="Y746" s="599" t="n">
        <v>19.05</v>
      </c>
      <c r="Z746" s="6" t="n">
        <v>14.05</v>
      </c>
      <c r="AA746" s="599" t="n">
        <v>2.34</v>
      </c>
      <c r="AB746" s="600" t="n">
        <v>600</v>
      </c>
      <c r="AC746" s="600" t="inlineStr">
        <is>
          <t>NOS</t>
        </is>
      </c>
      <c r="AD746" s="600" t="n"/>
      <c r="AE746" s="600" t="n"/>
      <c r="AF746" s="601" t="n">
        <v>6000</v>
      </c>
      <c r="AG746" s="601" t="inlineStr">
        <is>
          <t>Aug 2026 schedule · new size · rajsriya PLANT-1</t>
        </is>
      </c>
      <c r="AH746" s="601">
        <f t="array" ref="AH746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6" s="602">
        <f>scheduleapr[[#This Row],[SCHEDULE in nos]]-scheduleapr[[#This Row],[DISPATCH]]</f>
        <v/>
      </c>
      <c r="AJ746" s="599">
        <f>(3.14*(X746-AA746)*AA746*AB746*7.85)/1000000*AF746/1000</f>
        <v/>
      </c>
      <c r="AK746" s="599">
        <f>(3.14*(scheduleapr[[#This Row],[ACTUAL OD]]-scheduleapr[[#This Row],[TICKNESS]])*scheduleapr[[#This Row],[TICKNESS]]*scheduleapr[[#This Row],[LENGTH]]*7.85)/1000000*scheduleapr[[#This Row],[DISPATCH]]/1000</f>
        <v/>
      </c>
      <c r="AL746" s="599">
        <f>AJ746-AK746</f>
        <v/>
      </c>
      <c r="AM746" s="599">
        <f>scheduleapr[[#This Row],[SCHEDULE in nos]]/scheduleapr[[#This Row],[SCHEDULE IN MT]]*scheduleapr[[#This Row],[CTL Stock]]</f>
        <v/>
      </c>
      <c r="AN746" s="599">
        <f>SUMIFS(stock[MT],stock[Bucket],scheduleapr[[#This Row],[Bucket]],stock[CTL Bucket],scheduleapr[[#This Row],[CTL Bucket]],stock[Plant],"0789")</f>
        <v/>
      </c>
      <c r="AO746" s="599" t="n"/>
      <c r="AP746" s="599">
        <f>SUMIFS(stock[MT],stock[Bucket],scheduleapr[[#This Row],[Bucket]],stock[LL or CTL],"LL")</f>
        <v/>
      </c>
      <c r="AQ746" s="599">
        <f>+SUMIFS(wip[Stock(Net Wt)],wip[Bucket],scheduleapr[[#This Row],[Bucket]])/1000</f>
        <v/>
      </c>
      <c r="AR746" s="599">
        <f>AJ746-AN746</f>
        <v/>
      </c>
      <c r="AS746" s="118" t="n"/>
    </row>
    <row r="747">
      <c r="A747" s="125" t="n">
        <v>618</v>
      </c>
      <c r="B747" s="5" t="inlineStr">
        <is>
          <t>Hosur</t>
        </is>
      </c>
      <c r="C747" s="601" t="inlineStr">
        <is>
          <t>Rajsriya Automotive</t>
        </is>
      </c>
      <c r="D747" s="601" t="inlineStr">
        <is>
          <t>Rajsriya Automotive Hosur</t>
        </is>
      </c>
      <c r="E747" s="601" t="inlineStr">
        <is>
          <t>129695|187884|188415|189239|189240</t>
        </is>
      </c>
      <c r="F747" s="601" t="n">
        <v>3673948</v>
      </c>
      <c r="G747" s="601">
        <f>_xlfn.CONCAT(scheduleapr[[#This Row],[CUSTOMER CODE]],"-",scheduleapr[[#This Row],[MATERIAL NO]])</f>
        <v/>
      </c>
      <c r="H747" s="601" t="inlineStr">
        <is>
          <t>21.7 x 3.5 x 1000 mm CEW U/N — rajsriya PLANT-1</t>
        </is>
      </c>
      <c r="I747" s="601" t="inlineStr">
        <is>
          <t>CEW U/N</t>
        </is>
      </c>
      <c r="J747" s="601" t="n"/>
      <c r="K747" s="601" t="inlineStr">
        <is>
          <t>PE</t>
        </is>
      </c>
      <c r="L747" s="601" t="inlineStr">
        <is>
          <t>HR</t>
        </is>
      </c>
      <c r="M747" s="601" t="n"/>
      <c r="N747" s="601" t="n"/>
      <c r="O747" s="601" t="n"/>
      <c r="P747" s="601" t="n"/>
      <c r="Q747" s="557">
        <f>CONCATENATE(scheduleapr[[#This Row],[OD]],"-",scheduleapr[[#This Row],[ID]],"-",scheduleapr[[#This Row],[TICKNESS]],"-",scheduleapr[[#This Row],[Grade]],"-",scheduleapr[[#This Row],[FC/NFC]])</f>
        <v/>
      </c>
      <c r="R747" s="557">
        <f>_xlfn.CONCAT(scheduleapr[[#This Row],[Bucket]],"-",scheduleapr[[#This Row],[LENGTH]]/1000)</f>
        <v/>
      </c>
      <c r="S747" s="557">
        <f>COUNTIF([2]!buckets[CTL Bucket],[2]!scheduleapr[[#This Row],[CTL Bucket]])</f>
        <v/>
      </c>
      <c r="T747" s="557" t="n"/>
      <c r="U747" s="557" t="n"/>
      <c r="V747" s="557" t="n"/>
      <c r="W747" s="557" t="n"/>
      <c r="X747" s="599" t="n">
        <v>21.7</v>
      </c>
      <c r="Y747" s="599" t="n">
        <v>21.7</v>
      </c>
      <c r="Z747" s="6" t="n">
        <v>0</v>
      </c>
      <c r="AA747" s="599" t="n">
        <v>3.5</v>
      </c>
      <c r="AB747" s="600" t="n">
        <v>1000</v>
      </c>
      <c r="AC747" s="600" t="inlineStr">
        <is>
          <t>NOS</t>
        </is>
      </c>
      <c r="AD747" s="600" t="n"/>
      <c r="AE747" s="600" t="n"/>
      <c r="AF747" s="601" t="n">
        <v>5000</v>
      </c>
      <c r="AG747" s="601" t="inlineStr">
        <is>
          <t>Aug 2026 schedule · new size · rajsriya PLANT-1</t>
        </is>
      </c>
      <c r="AH747" s="601">
        <f t="array" ref="AH747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7" s="602">
        <f>scheduleapr[[#This Row],[SCHEDULE in nos]]-scheduleapr[[#This Row],[DISPATCH]]</f>
        <v/>
      </c>
      <c r="AJ747" s="599">
        <f>(3.14*(X747-AA747)*AA747*AB747*7.85)/1000000*AF747/1000</f>
        <v/>
      </c>
      <c r="AK747" s="599">
        <f>(3.14*(scheduleapr[[#This Row],[ACTUAL OD]]-scheduleapr[[#This Row],[TICKNESS]])*scheduleapr[[#This Row],[TICKNESS]]*scheduleapr[[#This Row],[LENGTH]]*7.85)/1000000*scheduleapr[[#This Row],[DISPATCH]]/1000</f>
        <v/>
      </c>
      <c r="AL747" s="599">
        <f>AJ747-AK747</f>
        <v/>
      </c>
      <c r="AM747" s="599">
        <f>scheduleapr[[#This Row],[SCHEDULE in nos]]/scheduleapr[[#This Row],[SCHEDULE IN MT]]*scheduleapr[[#This Row],[CTL Stock]]</f>
        <v/>
      </c>
      <c r="AN747" s="599">
        <f>SUMIFS(stock[MT],stock[Bucket],scheduleapr[[#This Row],[Bucket]],stock[CTL Bucket],scheduleapr[[#This Row],[CTL Bucket]],stock[Plant],"0789")</f>
        <v/>
      </c>
      <c r="AO747" s="599" t="n"/>
      <c r="AP747" s="599">
        <f>SUMIFS(stock[MT],stock[Bucket],scheduleapr[[#This Row],[Bucket]],stock[LL or CTL],"LL")</f>
        <v/>
      </c>
      <c r="AQ747" s="599">
        <f>+SUMIFS(wip[Stock(Net Wt)],wip[Bucket],scheduleapr[[#This Row],[Bucket]])/1000</f>
        <v/>
      </c>
      <c r="AR747" s="599">
        <f>AJ747-AN747</f>
        <v/>
      </c>
      <c r="AS747" s="118" t="n"/>
    </row>
    <row r="748">
      <c r="A748" s="125" t="n">
        <v>624</v>
      </c>
      <c r="B748" s="126" t="inlineStr">
        <is>
          <t>Hosur</t>
        </is>
      </c>
      <c r="C748" s="100" t="inlineStr">
        <is>
          <t>Rajsriya Automotive</t>
        </is>
      </c>
      <c r="D748" s="100" t="inlineStr">
        <is>
          <t>Rajsriya Automotive Hosur</t>
        </is>
      </c>
      <c r="E748" s="423" t="inlineStr">
        <is>
          <t>129695|187884|188415|189239|189240</t>
        </is>
      </c>
      <c r="F748" s="100" t="n">
        <v>1941860</v>
      </c>
      <c r="G748" s="100">
        <f>_xlfn.CONCAT(scheduleapr[[#This Row],[CUSTOMER CODE]],"-",scheduleapr[[#This Row],[MATERIAL NO]])</f>
        <v/>
      </c>
      <c r="H748" s="100" t="inlineStr">
        <is>
          <t>30.15 x 25.5 x 2.32 x 465 mm CEW A — rajsriya PLANT-1</t>
        </is>
      </c>
      <c r="I748" s="100" t="inlineStr">
        <is>
          <t>CEW A</t>
        </is>
      </c>
      <c r="J748" s="100" t="n"/>
      <c r="K748" s="100" t="inlineStr">
        <is>
          <t>FC</t>
        </is>
      </c>
      <c r="L748" s="100" t="inlineStr">
        <is>
          <t>CR</t>
        </is>
      </c>
      <c r="M748" s="128" t="inlineStr">
        <is>
          <t>GR1</t>
        </is>
      </c>
      <c r="N748" s="100" t="n"/>
      <c r="O748" s="100" t="n"/>
      <c r="P748" s="100" t="n"/>
      <c r="Q748" s="565" t="inlineStr">
        <is>
          <t>30-25.5-2.25-CEW-CEW</t>
        </is>
      </c>
      <c r="R748" s="565" t="inlineStr">
        <is>
          <t>30-25.5-2.25-CEW-CEW-0.465</t>
        </is>
      </c>
      <c r="S748" s="565">
        <f>COUNTIF(scheduleapr[CTL Bucket],scheduleapr[[#This Row],[CTL Bucket]])</f>
        <v/>
      </c>
      <c r="T748" s="565" t="n"/>
      <c r="U748" s="100">
        <f>_xlfn.IFNA(VLOOKUP(scheduleapr[[#This Row],[Bucket]],salesforecast[[#All],[Bucket2]:[8406 Stock]],19,0),0)</f>
        <v/>
      </c>
      <c r="V748" s="577">
        <f>_xlfn.IFNA(VLOOKUP(scheduleapr[[#This Row],[Bucket]],salesforecast[[#All],[Bucket2]:[8406 Stock]],20,0),0)+_xlfn.IFNA(VLOOKUP(scheduleapr[[#This Row],[Bucket]],salesforecast[[#All],[Bucket2]:[8406 Stock]],17,0),0)</f>
        <v/>
      </c>
      <c r="W748" s="565" t="n"/>
      <c r="X748" s="129" t="n">
        <v>30.15</v>
      </c>
      <c r="Y748" s="129" t="n">
        <v>30.15</v>
      </c>
      <c r="Z748" s="129" t="n">
        <v>25.5</v>
      </c>
      <c r="AA748" s="129" t="n">
        <v>2.32</v>
      </c>
      <c r="AB748" s="181" t="n">
        <v>465</v>
      </c>
      <c r="AC748" s="181" t="inlineStr">
        <is>
          <t>NOS</t>
        </is>
      </c>
      <c r="AD748" s="181" t="n"/>
      <c r="AE748" s="181" t="n"/>
      <c r="AF748" s="100" t="n">
        <v>10000</v>
      </c>
      <c r="AG748" s="100" t="inlineStr">
        <is>
          <t>Aug 2026 schedule · new size · rajsriya PLANT-1</t>
        </is>
      </c>
      <c r="AH748" s="100">
        <f t="array" ref="AH748">SUM(_xlfn.SWITCH(scheduleapr[[#This Row],[UoM]],"NOS",SUMIFS(salesTVS[qty in no],salesTVS[CUSTOMER  CD],_xlfn.TEXTSPLIT(scheduleapr[[#This Row],[CUSTOMER CODE]],"|"),salesTVS[buckets.CTL Bucket],scheduleapr[[#This Row],[CTL Bucket]]),"M",
SUMIFS(salesTVS[Domain for z_qty_meter],salesTVS[CUSTOMER  CD],_xlfn.TEXTSPLIT(scheduleapr[[#This Row],[CUSTOMER CODE]],"|"),salesTVS[buckets.CTL Bucket],scheduleapr[[#This Row],[CTL Bucket]])
))</f>
        <v/>
      </c>
      <c r="AI748" s="131">
        <f>scheduleapr[[#This Row],[SCHEDULE in nos]]-scheduleapr[[#This Row],[DISPATCH]]</f>
        <v/>
      </c>
      <c r="AJ748" s="129">
        <f>(3.14*(X748-AA748)*AA748*AB748*7.85)/1000000*AF748/1000</f>
        <v/>
      </c>
      <c r="AK748" s="129">
        <f>(3.14*(scheduleapr[[#This Row],[ACTUAL OD]]-scheduleapr[[#This Row],[TICKNESS]])*scheduleapr[[#This Row],[TICKNESS]]*scheduleapr[[#This Row],[LENGTH]]*7.85)/1000000*scheduleapr[[#This Row],[DISPATCH]]/1000</f>
        <v/>
      </c>
      <c r="AL748" s="129">
        <f>AJ748-AK748</f>
        <v/>
      </c>
      <c r="AM748" s="129">
        <f>scheduleapr[[#This Row],[SCHEDULE in nos]]/scheduleapr[[#This Row],[SCHEDULE IN MT]]*scheduleapr[[#This Row],[CTL Stock]]</f>
        <v/>
      </c>
      <c r="AN748" s="129">
        <f>SUMIFS(stock[MT],stock[Bucket],scheduleapr[[#This Row],[Bucket]],stock[CTL Bucket],scheduleapr[[#This Row],[CTL Bucket]],stock[Plant],"0789")</f>
        <v/>
      </c>
      <c r="AO748" s="129" t="n"/>
      <c r="AP748" s="129">
        <f>SUMIFS(stock[MT],stock[Bucket],scheduleapr[[#This Row],[Bucket]],stock[LL or CTL],"LL")</f>
        <v/>
      </c>
      <c r="AQ748" s="129">
        <f>+SUMIFS(wip[Stock(Net Wt)],wip[Bucket],scheduleapr[[#This Row],[Bucket]])/1000</f>
        <v/>
      </c>
      <c r="AR748" s="129">
        <f>AJ748-AN748</f>
        <v/>
      </c>
      <c r="AS748" s="132" t="n"/>
    </row>
    <row r="749">
      <c r="A749" s="528" t="n"/>
      <c r="C749" t="inlineStr">
        <is>
          <t>Rajsriya Automotive</t>
        </is>
      </c>
      <c r="D749" t="inlineStr">
        <is>
          <t>Rajsriya Automotive Hosur</t>
        </is>
      </c>
      <c r="E749" t="inlineStr">
        <is>
          <t>129695|187884|188415|189239|189240</t>
        </is>
      </c>
      <c r="H749" t="inlineStr">
        <is>
          <t>19.05 x 1.63 x 300 mm ERW A — rajsriya PLANT4</t>
        </is>
      </c>
      <c r="I749" t="inlineStr">
        <is>
          <t>ERW A</t>
        </is>
      </c>
      <c r="X749" t="n">
        <v>19.05</v>
      </c>
      <c r="Y749" t="n">
        <v>19.05</v>
      </c>
      <c r="Z749" t="n">
        <v>0</v>
      </c>
      <c r="AA749" t="n">
        <v>1.63</v>
      </c>
      <c r="AB749" t="n">
        <v>300</v>
      </c>
      <c r="AC749" t="inlineStr">
        <is>
          <t>NOS</t>
        </is>
      </c>
      <c r="AF749" t="n">
        <v>3000</v>
      </c>
      <c r="AG749" t="inlineStr">
        <is>
          <t>Aug 2026 schedule · new size · rajsriya PLANT4</t>
        </is>
      </c>
      <c r="AJ749">
        <f>(3.14*(X749-AA749)*AA749*AB749*7.85)/1000000*AF749/1000</f>
        <v/>
      </c>
    </row>
    <row r="750">
      <c r="A750" s="528" t="n"/>
      <c r="C750" t="inlineStr">
        <is>
          <t>Rajsriya Automotive</t>
        </is>
      </c>
      <c r="D750" t="inlineStr">
        <is>
          <t>Rajsriya Automotive Hosur</t>
        </is>
      </c>
      <c r="E750" t="inlineStr">
        <is>
          <t>129695|187884|188415|189239|189240</t>
        </is>
      </c>
      <c r="H750" t="inlineStr">
        <is>
          <t>16.1 x 10.5 x 2.75 x 1000 mm CEW A — rajsriya PLANT5</t>
        </is>
      </c>
      <c r="I750" t="inlineStr">
        <is>
          <t>CEW A</t>
        </is>
      </c>
      <c r="X750" t="n">
        <v>16.1</v>
      </c>
      <c r="Y750" t="n">
        <v>16.1</v>
      </c>
      <c r="Z750" t="n">
        <v>10.5</v>
      </c>
      <c r="AA750" t="n">
        <v>2.75</v>
      </c>
      <c r="AB750" t="n">
        <v>1000</v>
      </c>
      <c r="AC750" t="inlineStr">
        <is>
          <t>NOS</t>
        </is>
      </c>
      <c r="AF750" t="n">
        <v>3000</v>
      </c>
      <c r="AG750" t="inlineStr">
        <is>
          <t>Aug 2026 schedule · new size · rajsriya PLANT5</t>
        </is>
      </c>
      <c r="AJ750">
        <f>(3.14*(X750-AA750)*AA750*AB750*7.85)/1000000*AF750/1000</f>
        <v/>
      </c>
    </row>
    <row r="751">
      <c r="A751" s="528" t="n"/>
      <c r="C751" t="inlineStr">
        <is>
          <t>Rajsriya Automotive</t>
        </is>
      </c>
      <c r="D751" t="inlineStr">
        <is>
          <t>Rajsriya Automotive Hosur</t>
        </is>
      </c>
      <c r="E751" t="inlineStr">
        <is>
          <t>129695|187884|188415|189239|189240</t>
        </is>
      </c>
      <c r="H751" t="inlineStr">
        <is>
          <t>19.05 x 14.05 x 2.34 x 303 mm ERW A — rajsriya PLANT5</t>
        </is>
      </c>
      <c r="I751" t="inlineStr">
        <is>
          <t>ERW A</t>
        </is>
      </c>
      <c r="X751" t="n">
        <v>19.05</v>
      </c>
      <c r="Y751" t="n">
        <v>19.05</v>
      </c>
      <c r="Z751" t="n">
        <v>14.05</v>
      </c>
      <c r="AA751" t="n">
        <v>2.34</v>
      </c>
      <c r="AB751" t="n">
        <v>303</v>
      </c>
      <c r="AC751" t="inlineStr">
        <is>
          <t>NOS</t>
        </is>
      </c>
      <c r="AF751" t="n">
        <v>5000</v>
      </c>
      <c r="AG751" t="inlineStr">
        <is>
          <t>Aug 2026 schedule · new size · rajsriya PLANT5</t>
        </is>
      </c>
      <c r="AJ751">
        <f>(3.14*(X751-AA751)*AA751*AB751*7.85)/1000000*AF751/1000</f>
        <v/>
      </c>
    </row>
    <row r="752">
      <c r="A752" s="528" t="n"/>
      <c r="C752" t="inlineStr">
        <is>
          <t>Rajsriya Automotive</t>
        </is>
      </c>
      <c r="D752" t="inlineStr">
        <is>
          <t>Rajsriya Automotive Hosur</t>
        </is>
      </c>
      <c r="E752" t="inlineStr">
        <is>
          <t>129695|187884|188415|189239|189240</t>
        </is>
      </c>
      <c r="H752" t="inlineStr">
        <is>
          <t>19.05 x 14.05 x 2.34 x 554 mm ERW A — rajsriya PLANT5</t>
        </is>
      </c>
      <c r="I752" t="inlineStr">
        <is>
          <t>ERW A</t>
        </is>
      </c>
      <c r="X752" t="n">
        <v>19.05</v>
      </c>
      <c r="Y752" t="n">
        <v>19.05</v>
      </c>
      <c r="Z752" t="n">
        <v>14.05</v>
      </c>
      <c r="AA752" t="n">
        <v>2.34</v>
      </c>
      <c r="AB752" t="n">
        <v>554</v>
      </c>
      <c r="AC752" t="inlineStr">
        <is>
          <t>NOS</t>
        </is>
      </c>
      <c r="AF752" t="n">
        <v>5000</v>
      </c>
      <c r="AG752" t="inlineStr">
        <is>
          <t>Aug 2026 schedule · new size · rajsriya PLANT5</t>
        </is>
      </c>
      <c r="AJ752">
        <f>(3.14*(X752-AA752)*AA752*AB752*7.85)/1000000*AF752/1000</f>
        <v/>
      </c>
    </row>
    <row r="753">
      <c r="A753" s="528" t="n"/>
      <c r="C753" t="inlineStr">
        <is>
          <t>Rajsriya Automotive</t>
        </is>
      </c>
      <c r="D753" t="inlineStr">
        <is>
          <t>Rajsriya Automotive Hosur</t>
        </is>
      </c>
      <c r="E753" t="inlineStr">
        <is>
          <t>129695|187884|188415|189239|189240</t>
        </is>
      </c>
      <c r="H753" t="inlineStr">
        <is>
          <t>22.23 x 18.2 x 2.03 x 236 mm ERW A — rajsriya PLANT5</t>
        </is>
      </c>
      <c r="I753" t="inlineStr">
        <is>
          <t>ERW A</t>
        </is>
      </c>
      <c r="X753" t="n">
        <v>22.23</v>
      </c>
      <c r="Y753" t="n">
        <v>22.23</v>
      </c>
      <c r="Z753" t="n">
        <v>18.2</v>
      </c>
      <c r="AA753" t="n">
        <v>2.03</v>
      </c>
      <c r="AB753" t="n">
        <v>236</v>
      </c>
      <c r="AC753" t="inlineStr">
        <is>
          <t>NOS</t>
        </is>
      </c>
      <c r="AF753" t="n">
        <v>8000</v>
      </c>
      <c r="AG753" t="inlineStr">
        <is>
          <t>Aug 2026 schedule · new size · rajsriya PLANT5</t>
        </is>
      </c>
      <c r="AJ753">
        <f>(3.14*(X753-AA753)*AA753*AB753*7.85)/1000000*AF753/1000</f>
        <v/>
      </c>
    </row>
    <row r="754">
      <c r="A754" s="528" t="n"/>
      <c r="C754" t="inlineStr">
        <is>
          <t>Rajsriya Automotive</t>
        </is>
      </c>
      <c r="D754" t="inlineStr">
        <is>
          <t>Rajsriya Automotive Hosur</t>
        </is>
      </c>
      <c r="E754" t="inlineStr">
        <is>
          <t>129695|187884|188415|189239|189240</t>
        </is>
      </c>
      <c r="H754" t="inlineStr">
        <is>
          <t>19.05 x 3.2 x 588 mm CEW A — rajsriya PLANT5</t>
        </is>
      </c>
      <c r="I754" t="inlineStr">
        <is>
          <t>CEW A</t>
        </is>
      </c>
      <c r="X754" t="n">
        <v>19.05</v>
      </c>
      <c r="Y754" t="n">
        <v>19.05</v>
      </c>
      <c r="Z754" t="n">
        <v>0</v>
      </c>
      <c r="AA754" t="n">
        <v>3.2</v>
      </c>
      <c r="AB754" t="n">
        <v>588</v>
      </c>
      <c r="AC754" t="inlineStr">
        <is>
          <t>NOS</t>
        </is>
      </c>
      <c r="AF754" t="n">
        <v>20000</v>
      </c>
      <c r="AG754" t="inlineStr">
        <is>
          <t>Aug 2026 schedule · new size · rajsriya PLANT5</t>
        </is>
      </c>
      <c r="AJ754">
        <f>(3.14*(X754-AA754)*AA754*AB754*7.85)/1000000*AF754/1000</f>
        <v/>
      </c>
    </row>
    <row r="755">
      <c r="A755" s="528" t="n"/>
      <c r="C755" t="inlineStr">
        <is>
          <t>Rajsriya Automotive</t>
        </is>
      </c>
      <c r="D755" t="inlineStr">
        <is>
          <t>Rajsriya Automotive Hosur</t>
        </is>
      </c>
      <c r="E755" t="inlineStr">
        <is>
          <t>129695|187884|188415|189239|189240</t>
        </is>
      </c>
      <c r="H755" t="inlineStr">
        <is>
          <t>19 x 3.2 x 195 mm CEW 1 — rajsriya PLANT8</t>
        </is>
      </c>
      <c r="I755" t="inlineStr">
        <is>
          <t>CEW 1</t>
        </is>
      </c>
      <c r="X755" t="n">
        <v>19</v>
      </c>
      <c r="Y755" t="n">
        <v>19</v>
      </c>
      <c r="Z755" t="n">
        <v>0</v>
      </c>
      <c r="AA755" t="n">
        <v>3.2</v>
      </c>
      <c r="AB755" t="n">
        <v>195</v>
      </c>
      <c r="AC755" t="inlineStr">
        <is>
          <t>NOS</t>
        </is>
      </c>
      <c r="AF755" t="n">
        <v>40000</v>
      </c>
      <c r="AG755" t="inlineStr">
        <is>
          <t>Aug 2026 schedule · new size · rajsriya PLANT8</t>
        </is>
      </c>
      <c r="AJ755">
        <f>(3.14*(X755-AA755)*AA755*AB755*7.85)/1000000*AF755/1000</f>
        <v/>
      </c>
    </row>
    <row r="756">
      <c r="A756" s="528" t="n"/>
      <c r="C756" t="inlineStr">
        <is>
          <t>Rajsriya Automotive</t>
        </is>
      </c>
      <c r="D756" t="inlineStr">
        <is>
          <t>Rajsriya Automotive Hosur</t>
        </is>
      </c>
      <c r="E756" t="inlineStr">
        <is>
          <t>129695|187884|188415|189239|189240</t>
        </is>
      </c>
      <c r="H756" t="inlineStr">
        <is>
          <t>19.05 x 2 x 860 mm ERW 1 — rajsriya PLANT8</t>
        </is>
      </c>
      <c r="I756" t="inlineStr">
        <is>
          <t>ERW 1</t>
        </is>
      </c>
      <c r="X756" t="n">
        <v>19.05</v>
      </c>
      <c r="Y756" t="n">
        <v>19.05</v>
      </c>
      <c r="Z756" t="n">
        <v>0</v>
      </c>
      <c r="AA756" t="n">
        <v>2</v>
      </c>
      <c r="AB756" t="n">
        <v>860</v>
      </c>
      <c r="AC756" t="inlineStr">
        <is>
          <t>NOS</t>
        </is>
      </c>
      <c r="AF756" t="n">
        <v>3000</v>
      </c>
      <c r="AG756" t="inlineStr">
        <is>
          <t>Aug 2026 schedule · new size · rajsriya PLANT8</t>
        </is>
      </c>
      <c r="AJ756">
        <f>(3.14*(X756-AA756)*AA756*AB756*7.85)/1000000*AF756/1000</f>
        <v/>
      </c>
    </row>
    <row r="757">
      <c r="A757" s="528" t="n"/>
      <c r="C757" t="inlineStr">
        <is>
          <t>Rajsriya Automotive</t>
        </is>
      </c>
      <c r="D757" t="inlineStr">
        <is>
          <t>Rajsriya Automotive Hosur</t>
        </is>
      </c>
      <c r="E757" t="inlineStr">
        <is>
          <t>129695|187884|188415|189239|189240</t>
        </is>
      </c>
      <c r="H757" t="inlineStr">
        <is>
          <t>50 x 30 x 2.5 x 770 mm ERW 1 — rajsriya PLANT8</t>
        </is>
      </c>
      <c r="I757" t="inlineStr">
        <is>
          <t>ERW 1</t>
        </is>
      </c>
      <c r="Q757" t="inlineStr">
        <is>
          <t>50-30-2.5-ERW 1-FC</t>
        </is>
      </c>
      <c r="R757" t="inlineStr">
        <is>
          <t>50-30-2.5-ERW 1-FC-0.77</t>
        </is>
      </c>
      <c r="X757" t="n">
        <v>50</v>
      </c>
      <c r="Y757" t="n">
        <v>50</v>
      </c>
      <c r="Z757" t="n">
        <v>30</v>
      </c>
      <c r="AA757" t="n">
        <v>2.5</v>
      </c>
      <c r="AB757" t="n">
        <v>770</v>
      </c>
      <c r="AC757" t="inlineStr">
        <is>
          <t>NOS</t>
        </is>
      </c>
      <c r="AF757" t="n">
        <v>10000</v>
      </c>
      <c r="AG757" t="inlineStr">
        <is>
          <t>Aug 2026 schedule · new size · rajsriya PLANT8</t>
        </is>
      </c>
      <c r="AJ757">
        <f>(3.14*(X757-AA757)*AA757*AB757*7.85)/1000000*AF757/1000</f>
        <v/>
      </c>
    </row>
    <row r="758">
      <c r="A758" s="528" t="n"/>
      <c r="C758" t="inlineStr">
        <is>
          <t>Rajsriya Automotive</t>
        </is>
      </c>
      <c r="D758" t="inlineStr">
        <is>
          <t>Rajsriya Automotive Hosur</t>
        </is>
      </c>
      <c r="E758" t="inlineStr">
        <is>
          <t>129695|187884|188415|189239|189240</t>
        </is>
      </c>
      <c r="H758" t="inlineStr">
        <is>
          <t>19.05 x 2 x 250 mm ERW 1 — rajsriya PLANT8</t>
        </is>
      </c>
      <c r="I758" t="inlineStr">
        <is>
          <t>ERW 1</t>
        </is>
      </c>
      <c r="X758" t="n">
        <v>19.05</v>
      </c>
      <c r="Y758" t="n">
        <v>19.05</v>
      </c>
      <c r="Z758" t="n">
        <v>0</v>
      </c>
      <c r="AA758" t="n">
        <v>2</v>
      </c>
      <c r="AB758" t="n">
        <v>250</v>
      </c>
      <c r="AC758" t="inlineStr">
        <is>
          <t>NOS</t>
        </is>
      </c>
      <c r="AF758" t="n">
        <v>5000</v>
      </c>
      <c r="AG758" t="inlineStr">
        <is>
          <t>Aug 2026 schedule · new size · rajsriya PLANT8</t>
        </is>
      </c>
      <c r="AJ758">
        <f>(3.14*(X758-AA758)*AA758*AB758*7.85)/1000000*AF758/1000</f>
        <v/>
      </c>
    </row>
    <row r="759">
      <c r="A759" s="528" t="n"/>
      <c r="C759" t="inlineStr">
        <is>
          <t xml:space="preserve">Rajsriya Mysore </t>
        </is>
      </c>
      <c r="D759" t="inlineStr">
        <is>
          <t>Rajsriya Automotive Mysore</t>
        </is>
      </c>
      <c r="E759" t="inlineStr">
        <is>
          <t>930883|189481</t>
        </is>
      </c>
      <c r="H759" t="inlineStr">
        <is>
          <t>12 x 1.6 x 1000 mm CEW — rajsriya MYSORE</t>
        </is>
      </c>
      <c r="I759" t="inlineStr">
        <is>
          <t>CEW</t>
        </is>
      </c>
      <c r="X759" t="n">
        <v>12</v>
      </c>
      <c r="Y759" t="n">
        <v>12</v>
      </c>
      <c r="Z759" t="n">
        <v>0</v>
      </c>
      <c r="AA759" t="n">
        <v>1.6</v>
      </c>
      <c r="AB759" t="n">
        <v>1000</v>
      </c>
      <c r="AC759" t="inlineStr">
        <is>
          <t>NOS</t>
        </is>
      </c>
      <c r="AF759" t="n">
        <v>2000</v>
      </c>
      <c r="AG759" t="inlineStr">
        <is>
          <t>Aug 2026 schedule · new size · rajsriya MYSORE</t>
        </is>
      </c>
      <c r="AJ759">
        <f>(3.14*(X759-AA759)*AA759*AB759*7.85)/1000000*AF759/1000</f>
        <v/>
      </c>
    </row>
    <row r="760">
      <c r="A760" s="528" t="n"/>
      <c r="C760" t="inlineStr">
        <is>
          <t xml:space="preserve">Rajsriya Mysore </t>
        </is>
      </c>
      <c r="D760" t="inlineStr">
        <is>
          <t>Rajsriya Automotive Mysore</t>
        </is>
      </c>
      <c r="E760" t="inlineStr">
        <is>
          <t>930883|189481</t>
        </is>
      </c>
      <c r="H760" t="inlineStr">
        <is>
          <t>16.1 x 10.7 x 2.7 x 1000 mm CEW A — rajsriya MYSORE</t>
        </is>
      </c>
      <c r="I760" t="inlineStr">
        <is>
          <t>CEW A</t>
        </is>
      </c>
      <c r="Q760" t="inlineStr">
        <is>
          <t>16.1-10.4-2.7-CEW-CEW</t>
        </is>
      </c>
      <c r="R760" t="inlineStr">
        <is>
          <t>16.1-10.4-2.7-CEW-CEW-1</t>
        </is>
      </c>
      <c r="X760" t="n">
        <v>16.1</v>
      </c>
      <c r="Y760" t="n">
        <v>16.1</v>
      </c>
      <c r="Z760" t="n">
        <v>10.7</v>
      </c>
      <c r="AA760" t="n">
        <v>2.7</v>
      </c>
      <c r="AB760" t="n">
        <v>1000</v>
      </c>
      <c r="AC760" t="inlineStr">
        <is>
          <t>NOS</t>
        </is>
      </c>
      <c r="AF760" t="n">
        <v>3000</v>
      </c>
      <c r="AG760" t="inlineStr">
        <is>
          <t>Aug 2026 schedule · new size · rajsriya MYSORE</t>
        </is>
      </c>
      <c r="AJ760">
        <f>(3.14*(X760-AA760)*AA760*AB760*7.85)/1000000*AF760/1000</f>
        <v/>
      </c>
    </row>
    <row r="761">
      <c r="A761" s="528" t="n"/>
      <c r="C761" t="inlineStr">
        <is>
          <t xml:space="preserve">Rajsriya Mysore </t>
        </is>
      </c>
      <c r="D761" t="inlineStr">
        <is>
          <t>Rajsriya Automotive Mysore</t>
        </is>
      </c>
      <c r="E761" t="inlineStr">
        <is>
          <t>930883|189481</t>
        </is>
      </c>
      <c r="H761" t="inlineStr">
        <is>
          <t>18.2 x 12.3 x 2.95 x 1000 mm CEW A — rajsriya MYSORE</t>
        </is>
      </c>
      <c r="I761" t="inlineStr">
        <is>
          <t>CEW A</t>
        </is>
      </c>
      <c r="X761" t="n">
        <v>18.2</v>
      </c>
      <c r="Y761" t="n">
        <v>18.2</v>
      </c>
      <c r="Z761" t="n">
        <v>12.3</v>
      </c>
      <c r="AA761" t="n">
        <v>2.95</v>
      </c>
      <c r="AB761" t="n">
        <v>1000</v>
      </c>
      <c r="AC761" t="inlineStr">
        <is>
          <t>NOS</t>
        </is>
      </c>
      <c r="AF761" t="n">
        <v>3000</v>
      </c>
      <c r="AG761" t="inlineStr">
        <is>
          <t>Aug 2026 schedule · new size · rajsriya MYSORE</t>
        </is>
      </c>
      <c r="AJ761">
        <f>(3.14*(X761-AA761)*AA761*AB761*7.85)/1000000*AF761/1000</f>
        <v/>
      </c>
    </row>
    <row r="762">
      <c r="A762" s="528" t="n"/>
      <c r="C762" t="inlineStr">
        <is>
          <t xml:space="preserve">Rajsriya Mysore </t>
        </is>
      </c>
      <c r="D762" t="inlineStr">
        <is>
          <t>Rajsriya Automotive Mysore</t>
        </is>
      </c>
      <c r="E762" t="inlineStr">
        <is>
          <t>930883|189481</t>
        </is>
      </c>
      <c r="H762" t="inlineStr">
        <is>
          <t>21.7 x 2.8 x 1000 mm CEW — rajsriya MYSORE</t>
        </is>
      </c>
      <c r="I762" t="inlineStr">
        <is>
          <t>CEW</t>
        </is>
      </c>
      <c r="X762" t="n">
        <v>21.7</v>
      </c>
      <c r="Y762" t="n">
        <v>21.7</v>
      </c>
      <c r="Z762" t="n">
        <v>0</v>
      </c>
      <c r="AA762" t="n">
        <v>2.8</v>
      </c>
      <c r="AB762" t="n">
        <v>1000</v>
      </c>
      <c r="AC762" t="inlineStr">
        <is>
          <t>NOS</t>
        </is>
      </c>
      <c r="AF762" t="n">
        <v>2500</v>
      </c>
      <c r="AG762" t="inlineStr">
        <is>
          <t>Aug 2026 schedule · new size · rajsriya MYSORE</t>
        </is>
      </c>
      <c r="AJ762">
        <f>(3.14*(X762-AA762)*AA762*AB762*7.85)/1000000*AF762/1000</f>
        <v/>
      </c>
    </row>
    <row r="763">
      <c r="A763" s="528" t="n"/>
      <c r="C763" t="inlineStr">
        <is>
          <t>SANDHAR ENGINEERING PVT LTD.</t>
        </is>
      </c>
      <c r="D763" t="inlineStr">
        <is>
          <t>SANDHAR Hosur</t>
        </is>
      </c>
      <c r="E763" t="n">
        <v>941496</v>
      </c>
      <c r="H763" t="inlineStr">
        <is>
          <t>34.93 x 2.3 x 856 mm ERW2 — sandhar hosur</t>
        </is>
      </c>
      <c r="I763" t="inlineStr">
        <is>
          <t>ERW2</t>
        </is>
      </c>
      <c r="Q763" t="inlineStr">
        <is>
          <t>34.93-0-2.3-ERW 2-FC-Ampere</t>
        </is>
      </c>
      <c r="R763" t="inlineStr">
        <is>
          <t>34.93-0-2.3-ERW 2-FC-Ampere-0.856</t>
        </is>
      </c>
      <c r="T763" t="inlineStr">
        <is>
          <t>Khopoli</t>
        </is>
      </c>
      <c r="X763" t="n">
        <v>34.93</v>
      </c>
      <c r="Y763" t="n">
        <v>34.93</v>
      </c>
      <c r="Z763" t="n">
        <v>0</v>
      </c>
      <c r="AA763" t="n">
        <v>2.3</v>
      </c>
      <c r="AB763" t="n">
        <v>856</v>
      </c>
      <c r="AC763" t="inlineStr">
        <is>
          <t>NOS</t>
        </is>
      </c>
      <c r="AF763" t="n">
        <v>2000</v>
      </c>
      <c r="AG763" t="inlineStr">
        <is>
          <t>Aug 2026 schedule · new size · sandhar hosur</t>
        </is>
      </c>
      <c r="AJ763">
        <f>(3.14*(X763-AA763)*AA763*AB763*7.85)/1000000*AF763/1000</f>
        <v/>
      </c>
    </row>
    <row r="764">
      <c r="A764" s="528" t="n"/>
      <c r="C764" t="inlineStr">
        <is>
          <t>SANDHAR ENGINEERING PVT LTD.</t>
        </is>
      </c>
      <c r="D764" t="inlineStr">
        <is>
          <t>SANDHAR Hosur</t>
        </is>
      </c>
      <c r="E764" t="n">
        <v>941496</v>
      </c>
      <c r="H764" t="inlineStr">
        <is>
          <t>41.28 x 3.2 x 252 mm ERW1 — sandhar hosur</t>
        </is>
      </c>
      <c r="I764" t="inlineStr">
        <is>
          <t>ERW1</t>
        </is>
      </c>
      <c r="Q764" t="inlineStr">
        <is>
          <t>41.28-0-3.2-ERW 1-FC</t>
        </is>
      </c>
      <c r="R764" t="inlineStr">
        <is>
          <t>41.28-0-3.2-ERW 1-FC-0.252</t>
        </is>
      </c>
      <c r="T764" t="inlineStr">
        <is>
          <t>Khopoli</t>
        </is>
      </c>
      <c r="X764" t="n">
        <v>41.28</v>
      </c>
      <c r="Y764" t="n">
        <v>41.28</v>
      </c>
      <c r="Z764" t="n">
        <v>0</v>
      </c>
      <c r="AA764" t="n">
        <v>3.2</v>
      </c>
      <c r="AB764" t="n">
        <v>252</v>
      </c>
      <c r="AC764" t="inlineStr">
        <is>
          <t>NOS</t>
        </is>
      </c>
      <c r="AF764" t="n">
        <v>5000</v>
      </c>
      <c r="AG764" t="inlineStr">
        <is>
          <t>Aug 2026 schedule · new size · sandhar hosur</t>
        </is>
      </c>
      <c r="AJ764">
        <f>(3.14*(X764-AA764)*AA764*AB764*7.85)/1000000*AF764/1000</f>
        <v/>
      </c>
    </row>
    <row r="765">
      <c r="A765" s="528" t="n"/>
      <c r="C765" t="inlineStr">
        <is>
          <t>SANDHAR ENGINEERING PVT LTD.</t>
        </is>
      </c>
      <c r="D765" t="inlineStr">
        <is>
          <t>SANDHAR Hosur</t>
        </is>
      </c>
      <c r="E765" t="n">
        <v>941496</v>
      </c>
      <c r="H765" t="inlineStr">
        <is>
          <t>25.4 x 1.6 x 214 mm ERW1 — sandhar hosur</t>
        </is>
      </c>
      <c r="I765" t="inlineStr">
        <is>
          <t>ERW1</t>
        </is>
      </c>
      <c r="T765" t="inlineStr">
        <is>
          <t>Khopoli</t>
        </is>
      </c>
      <c r="X765" t="n">
        <v>25.4</v>
      </c>
      <c r="Y765" t="n">
        <v>25.4</v>
      </c>
      <c r="Z765" t="n">
        <v>0</v>
      </c>
      <c r="AA765" t="n">
        <v>1.6</v>
      </c>
      <c r="AB765" t="n">
        <v>214</v>
      </c>
      <c r="AC765" t="inlineStr">
        <is>
          <t>NOS</t>
        </is>
      </c>
      <c r="AF765" t="n">
        <v>10000</v>
      </c>
      <c r="AG765" t="inlineStr">
        <is>
          <t>Aug 2026 schedule · new size · sandhar hosur</t>
        </is>
      </c>
      <c r="AJ765">
        <f>(3.14*(X765-AA765)*AA765*AB765*7.85)/1000000*AF765/1000</f>
        <v/>
      </c>
    </row>
    <row r="766">
      <c r="A766" s="528" t="n"/>
      <c r="C766" t="inlineStr">
        <is>
          <t>SANDHAR ENGINEERING PVT LTD.</t>
        </is>
      </c>
      <c r="D766" t="inlineStr">
        <is>
          <t>SANDHAR Hosur</t>
        </is>
      </c>
      <c r="E766" t="n">
        <v>941496</v>
      </c>
      <c r="H766" t="inlineStr">
        <is>
          <t>22.23 x 2 x 196 mm ERW1 — sandhar hosur</t>
        </is>
      </c>
      <c r="I766" t="inlineStr">
        <is>
          <t>ERW1</t>
        </is>
      </c>
      <c r="T766" t="inlineStr">
        <is>
          <t>Khopoli</t>
        </is>
      </c>
      <c r="X766" t="n">
        <v>22.23</v>
      </c>
      <c r="Y766" t="n">
        <v>22.23</v>
      </c>
      <c r="Z766" t="n">
        <v>0</v>
      </c>
      <c r="AA766" t="n">
        <v>2</v>
      </c>
      <c r="AB766" t="n">
        <v>196</v>
      </c>
      <c r="AC766" t="inlineStr">
        <is>
          <t>NOS</t>
        </is>
      </c>
      <c r="AF766" t="n">
        <v>10000</v>
      </c>
      <c r="AG766" t="inlineStr">
        <is>
          <t>Aug 2026 schedule · new size · sandhar hosur</t>
        </is>
      </c>
      <c r="AJ766">
        <f>(3.14*(X766-AA766)*AA766*AB766*7.85)/1000000*AF766/1000</f>
        <v/>
      </c>
    </row>
    <row r="767">
      <c r="A767" s="528" t="n"/>
      <c r="C767" t="inlineStr">
        <is>
          <t>SRIKAM HITECH</t>
        </is>
      </c>
      <c r="D767" t="inlineStr">
        <is>
          <t>Srikam HI-Tech</t>
        </is>
      </c>
      <c r="E767" t="n">
        <v>944141</v>
      </c>
      <c r="H767" t="inlineStr">
        <is>
          <t>19.05 x 3.2 x 588 mm CEW — srikam</t>
        </is>
      </c>
      <c r="I767" t="inlineStr">
        <is>
          <t>CEW</t>
        </is>
      </c>
      <c r="T767" t="inlineStr">
        <is>
          <t>Khopoli</t>
        </is>
      </c>
      <c r="X767" t="n">
        <v>19.05</v>
      </c>
      <c r="Y767" t="n">
        <v>19.05</v>
      </c>
      <c r="Z767" t="n">
        <v>0</v>
      </c>
      <c r="AA767" t="n">
        <v>3.2</v>
      </c>
      <c r="AB767" t="n">
        <v>588</v>
      </c>
      <c r="AC767" t="inlineStr">
        <is>
          <t>NOS</t>
        </is>
      </c>
      <c r="AF767" t="n">
        <v>20000</v>
      </c>
      <c r="AG767" t="inlineStr">
        <is>
          <t>Aug 2026 schedule · new size · srikam</t>
        </is>
      </c>
      <c r="AJ767">
        <f>(3.14*(X767-AA767)*AA767*AB767*7.85)/1000000*AF767/1000</f>
        <v/>
      </c>
    </row>
    <row r="768">
      <c r="A768" s="528" t="n"/>
      <c r="C768" t="inlineStr">
        <is>
          <t>SRIKAM HITECH</t>
        </is>
      </c>
      <c r="D768" t="inlineStr">
        <is>
          <t>Srikam HI-Tech</t>
        </is>
      </c>
      <c r="E768" t="n">
        <v>944141</v>
      </c>
      <c r="H768" t="inlineStr">
        <is>
          <t>21.7 x 16.15 x 2.8 x 1000 mm CEW — srikam</t>
        </is>
      </c>
      <c r="I768" t="inlineStr">
        <is>
          <t>CEW</t>
        </is>
      </c>
      <c r="T768" t="inlineStr">
        <is>
          <t>Khopoli</t>
        </is>
      </c>
      <c r="X768" t="n">
        <v>21.7</v>
      </c>
      <c r="Y768" t="n">
        <v>21.7</v>
      </c>
      <c r="Z768" t="n">
        <v>16.15</v>
      </c>
      <c r="AA768" t="n">
        <v>2.8</v>
      </c>
      <c r="AB768" t="n">
        <v>1000</v>
      </c>
      <c r="AC768" t="inlineStr">
        <is>
          <t>NOS</t>
        </is>
      </c>
      <c r="AF768" t="n">
        <v>3000</v>
      </c>
      <c r="AG768" t="inlineStr">
        <is>
          <t>Aug 2026 schedule · new size · srikam</t>
        </is>
      </c>
      <c r="AJ768">
        <f>(3.14*(X768-AA768)*AA768*AB768*7.85)/1000000*AF768/1000</f>
        <v/>
      </c>
    </row>
    <row r="769">
      <c r="A769" s="528" t="n"/>
      <c r="C769" t="inlineStr">
        <is>
          <t>NMPL TVSM</t>
        </is>
      </c>
      <c r="D769" t="inlineStr">
        <is>
          <t>NMPL</t>
        </is>
      </c>
      <c r="E769" t="inlineStr">
        <is>
          <t>189226|930794</t>
        </is>
      </c>
      <c r="H769" t="inlineStr">
        <is>
          <t>14 x 2.45 x 6000 mm — nmpl 1</t>
        </is>
      </c>
      <c r="Q769" t="inlineStr">
        <is>
          <t>14-0-2.45-CEW-CEW</t>
        </is>
      </c>
      <c r="R769" t="inlineStr">
        <is>
          <t>14-0-2.45-CEW-CEW-1</t>
        </is>
      </c>
      <c r="T769" t="inlineStr">
        <is>
          <t>Khopoli</t>
        </is>
      </c>
      <c r="X769" t="n">
        <v>14</v>
      </c>
      <c r="Y769" t="n">
        <v>14</v>
      </c>
      <c r="Z769" t="n">
        <v>0</v>
      </c>
      <c r="AA769" t="n">
        <v>2.45</v>
      </c>
      <c r="AB769" t="n">
        <v>6000</v>
      </c>
      <c r="AC769" t="inlineStr">
        <is>
          <t>NOS</t>
        </is>
      </c>
      <c r="AF769" t="n">
        <v>6000</v>
      </c>
      <c r="AG769" t="inlineStr">
        <is>
          <t>Aug 2026 schedule · new size · nmpl 1</t>
        </is>
      </c>
      <c r="AJ769">
        <f>(3.14*(X769-AA769)*AA769*AB769*7.85)/1000000*AF769/1000</f>
        <v/>
      </c>
    </row>
    <row r="770">
      <c r="A770" s="528" t="n"/>
      <c r="C770" t="inlineStr">
        <is>
          <t>NMPL TVSM</t>
        </is>
      </c>
      <c r="D770" t="inlineStr">
        <is>
          <t>NMPL</t>
        </is>
      </c>
      <c r="E770" t="inlineStr">
        <is>
          <t>189226|930794</t>
        </is>
      </c>
      <c r="H770" t="inlineStr">
        <is>
          <t>28.6 x 1.2 x 610 mm — nmpl 1</t>
        </is>
      </c>
      <c r="T770" t="inlineStr">
        <is>
          <t>Khopoli</t>
        </is>
      </c>
      <c r="X770" t="n">
        <v>28.6</v>
      </c>
      <c r="Y770" t="n">
        <v>28.6</v>
      </c>
      <c r="Z770" t="n">
        <v>0</v>
      </c>
      <c r="AA770" t="n">
        <v>1.2</v>
      </c>
      <c r="AB770" t="n">
        <v>610</v>
      </c>
      <c r="AC770" t="inlineStr">
        <is>
          <t>NOS</t>
        </is>
      </c>
      <c r="AF770" t="n">
        <v>3000</v>
      </c>
      <c r="AG770" t="inlineStr">
        <is>
          <t>Aug 2026 schedule · new size · nmpl 1</t>
        </is>
      </c>
      <c r="AJ770">
        <f>(3.14*(X770-AA770)*AA770*AB770*7.85)/1000000*AF770/1000</f>
        <v/>
      </c>
    </row>
    <row r="771">
      <c r="A771" s="528" t="n"/>
      <c r="C771" t="inlineStr">
        <is>
          <t>NMPL TVSM</t>
        </is>
      </c>
      <c r="D771" t="inlineStr">
        <is>
          <t>NMPL</t>
        </is>
      </c>
      <c r="E771" t="inlineStr">
        <is>
          <t>189226|930794</t>
        </is>
      </c>
      <c r="H771" t="inlineStr">
        <is>
          <t>31.75 x 2 x 450 mm — nmpl 1</t>
        </is>
      </c>
      <c r="T771" t="inlineStr">
        <is>
          <t>Khopoli</t>
        </is>
      </c>
      <c r="X771" t="n">
        <v>31.75</v>
      </c>
      <c r="Y771" t="n">
        <v>31.75</v>
      </c>
      <c r="Z771" t="n">
        <v>0</v>
      </c>
      <c r="AA771" t="n">
        <v>2</v>
      </c>
      <c r="AB771" t="n">
        <v>450</v>
      </c>
      <c r="AC771" t="inlineStr">
        <is>
          <t>NOS</t>
        </is>
      </c>
      <c r="AF771" t="n">
        <v>2500</v>
      </c>
      <c r="AG771" t="inlineStr">
        <is>
          <t>Aug 2026 schedule · new size · nmpl 1</t>
        </is>
      </c>
      <c r="AJ771">
        <f>(3.14*(X771-AA771)*AA771*AB771*7.85)/1000000*AF771/1000</f>
        <v/>
      </c>
    </row>
    <row r="772">
      <c r="A772" s="528" t="n"/>
      <c r="C772" t="inlineStr">
        <is>
          <t>NMPL TVSM</t>
        </is>
      </c>
      <c r="D772" t="inlineStr">
        <is>
          <t>NMPL</t>
        </is>
      </c>
      <c r="E772" t="inlineStr">
        <is>
          <t>189226|930794</t>
        </is>
      </c>
      <c r="H772" t="inlineStr">
        <is>
          <t>11 x 1.5 x 330 mm — nmpl 1</t>
        </is>
      </c>
      <c r="Q772" t="inlineStr">
        <is>
          <t>11--1.5-CEW-NON FIN</t>
        </is>
      </c>
      <c r="R772" t="inlineStr">
        <is>
          <t>11--1.5-CEW-NON FIN-0.33</t>
        </is>
      </c>
      <c r="T772" t="inlineStr">
        <is>
          <t>Khopoli</t>
        </is>
      </c>
      <c r="X772" t="n">
        <v>11</v>
      </c>
      <c r="Y772" t="n">
        <v>11</v>
      </c>
      <c r="Z772" t="n">
        <v>0</v>
      </c>
      <c r="AA772" t="n">
        <v>1.5</v>
      </c>
      <c r="AB772" t="n">
        <v>330</v>
      </c>
      <c r="AC772" t="inlineStr">
        <is>
          <t>NOS</t>
        </is>
      </c>
      <c r="AF772" t="n">
        <v>1000</v>
      </c>
      <c r="AG772" t="inlineStr">
        <is>
          <t>Aug 2026 schedule · new size · nmpl 1</t>
        </is>
      </c>
      <c r="AJ772">
        <f>(3.14*(X772-AA772)*AA772*AB772*7.85)/1000000*AF772/1000</f>
        <v/>
      </c>
    </row>
    <row r="773">
      <c r="A773" s="528" t="n"/>
      <c r="C773" t="inlineStr">
        <is>
          <t>NMPL TVSM</t>
        </is>
      </c>
      <c r="D773" t="inlineStr">
        <is>
          <t>NMPL</t>
        </is>
      </c>
      <c r="E773" t="inlineStr">
        <is>
          <t>189226|930794</t>
        </is>
      </c>
      <c r="H773" t="inlineStr">
        <is>
          <t>11 x 1.5 x 263 mm — nmpl 1</t>
        </is>
      </c>
      <c r="Q773" t="inlineStr">
        <is>
          <t>11--1.5-CEW-NON FIN</t>
        </is>
      </c>
      <c r="R773" t="inlineStr">
        <is>
          <t>11--1.5-CEW-NON FIN-0.263</t>
        </is>
      </c>
      <c r="T773" t="inlineStr">
        <is>
          <t>Khopoli</t>
        </is>
      </c>
      <c r="X773" t="n">
        <v>11</v>
      </c>
      <c r="Y773" t="n">
        <v>11</v>
      </c>
      <c r="Z773" t="n">
        <v>0</v>
      </c>
      <c r="AA773" t="n">
        <v>1.5</v>
      </c>
      <c r="AB773" t="n">
        <v>263</v>
      </c>
      <c r="AC773" t="inlineStr">
        <is>
          <t>NOS</t>
        </is>
      </c>
      <c r="AF773" t="n">
        <v>1000</v>
      </c>
      <c r="AG773" t="inlineStr">
        <is>
          <t>Aug 2026 schedule · new size · nmpl 1</t>
        </is>
      </c>
      <c r="AJ773">
        <f>(3.14*(X773-AA773)*AA773*AB773*7.85)/1000000*AF773/1000</f>
        <v/>
      </c>
    </row>
    <row r="774">
      <c r="A774" s="528" t="n"/>
      <c r="C774" t="inlineStr">
        <is>
          <t>NMPL TVSM</t>
        </is>
      </c>
      <c r="D774" t="inlineStr">
        <is>
          <t>NMPL</t>
        </is>
      </c>
      <c r="E774" t="inlineStr">
        <is>
          <t>189226|930794</t>
        </is>
      </c>
      <c r="H774" t="inlineStr">
        <is>
          <t>20 x 4.5 x 6000 mm — nmpl hub</t>
        </is>
      </c>
      <c r="Q774" t="inlineStr">
        <is>
          <t>20-12.4-4.5-CEW-CEW</t>
        </is>
      </c>
      <c r="R774" t="inlineStr">
        <is>
          <t>20-12.4-4.5-CEW-CEW-1</t>
        </is>
      </c>
      <c r="T774" t="inlineStr">
        <is>
          <t>Khopoli</t>
        </is>
      </c>
      <c r="X774" t="n">
        <v>20</v>
      </c>
      <c r="Y774" t="n">
        <v>20</v>
      </c>
      <c r="Z774" t="n">
        <v>0</v>
      </c>
      <c r="AA774" t="n">
        <v>4.5</v>
      </c>
      <c r="AB774" t="n">
        <v>6000</v>
      </c>
      <c r="AC774" t="inlineStr">
        <is>
          <t>NOS</t>
        </is>
      </c>
      <c r="AF774" t="n">
        <v>1164.230769230769</v>
      </c>
      <c r="AG774" t="inlineStr">
        <is>
          <t>Aug 2026 schedule · new size · nmpl hub</t>
        </is>
      </c>
      <c r="AJ774">
        <f>(3.14*(X774-AA774)*AA774*AB774*7.85)/1000000*AF774/1000</f>
        <v/>
      </c>
    </row>
    <row r="775">
      <c r="A775" s="528" t="n"/>
      <c r="C775" t="inlineStr">
        <is>
          <t>NMPL TVSM</t>
        </is>
      </c>
      <c r="D775" t="inlineStr">
        <is>
          <t>NMPL</t>
        </is>
      </c>
      <c r="E775" t="inlineStr">
        <is>
          <t>189226|930794</t>
        </is>
      </c>
      <c r="H775" t="inlineStr">
        <is>
          <t>25.4 x 3.2 x 6000 mm — nmpl hub</t>
        </is>
      </c>
      <c r="Q775" t="inlineStr">
        <is>
          <t>25.4-19-3.2-CEW-CEW</t>
        </is>
      </c>
      <c r="R775" t="inlineStr">
        <is>
          <t>25.4-19-3.2-CEW-CEW-1</t>
        </is>
      </c>
      <c r="T775" t="inlineStr">
        <is>
          <t>Khopoli</t>
        </is>
      </c>
      <c r="X775" t="n">
        <v>25.4</v>
      </c>
      <c r="Y775" t="n">
        <v>25.4</v>
      </c>
      <c r="Z775" t="n">
        <v>0</v>
      </c>
      <c r="AA775" t="n">
        <v>3.2</v>
      </c>
      <c r="AB775" t="n">
        <v>6000</v>
      </c>
      <c r="AC775" t="inlineStr">
        <is>
          <t>NOS</t>
        </is>
      </c>
      <c r="AF775" t="n">
        <v>861.5384615384615</v>
      </c>
      <c r="AG775" t="inlineStr">
        <is>
          <t>Aug 2026 schedule · new size · nmpl hub</t>
        </is>
      </c>
      <c r="AJ775">
        <f>(3.14*(X775-AA775)*AA775*AB775*7.85)/1000000*AF775/1000</f>
        <v/>
      </c>
    </row>
    <row r="776">
      <c r="A776" s="528" t="n"/>
      <c r="C776" t="inlineStr">
        <is>
          <t>NMPL TVSM</t>
        </is>
      </c>
      <c r="D776" t="inlineStr">
        <is>
          <t>NMPL</t>
        </is>
      </c>
      <c r="E776" t="inlineStr">
        <is>
          <t>189226|930794</t>
        </is>
      </c>
      <c r="H776" t="inlineStr">
        <is>
          <t>12.7 x 2 x 6000 mm — nmpl hub</t>
        </is>
      </c>
      <c r="Q776" t="inlineStr">
        <is>
          <t>check tdc for CEW</t>
        </is>
      </c>
      <c r="R776" t="inlineStr">
        <is>
          <t>check tdc for CEW-1</t>
        </is>
      </c>
      <c r="T776" t="inlineStr">
        <is>
          <t>Khopoli</t>
        </is>
      </c>
      <c r="X776" t="n">
        <v>12.7</v>
      </c>
      <c r="Y776" t="n">
        <v>12.7</v>
      </c>
      <c r="Z776" t="n">
        <v>0</v>
      </c>
      <c r="AA776" t="n">
        <v>2</v>
      </c>
      <c r="AB776" t="n">
        <v>6000</v>
      </c>
      <c r="AC776" t="inlineStr">
        <is>
          <t>NOS</t>
        </is>
      </c>
      <c r="AF776" t="n">
        <v>677.8846153846154</v>
      </c>
      <c r="AG776" t="inlineStr">
        <is>
          <t>Aug 2026 schedule · new size · nmpl hub</t>
        </is>
      </c>
      <c r="AJ776">
        <f>(3.14*(X776-AA776)*AA776*AB776*7.85)/1000000*AF776/1000</f>
        <v/>
      </c>
    </row>
    <row r="777">
      <c r="A777" s="528" t="n"/>
      <c r="C777" t="inlineStr">
        <is>
          <t>NMPL TVSM</t>
        </is>
      </c>
      <c r="D777" t="inlineStr">
        <is>
          <t>NMPL</t>
        </is>
      </c>
      <c r="E777" t="inlineStr">
        <is>
          <t>189226|930794</t>
        </is>
      </c>
      <c r="H777" t="inlineStr">
        <is>
          <t>37.9 x 2.95 x 6000 mm — nmpl hub</t>
        </is>
      </c>
      <c r="T777" t="inlineStr">
        <is>
          <t>Khopoli</t>
        </is>
      </c>
      <c r="X777" t="n">
        <v>37.9</v>
      </c>
      <c r="Y777" t="n">
        <v>37.9</v>
      </c>
      <c r="Z777" t="n">
        <v>0</v>
      </c>
      <c r="AA777" t="n">
        <v>2.95</v>
      </c>
      <c r="AB777" t="n">
        <v>6000</v>
      </c>
      <c r="AC777" t="inlineStr">
        <is>
          <t>NOS</t>
        </is>
      </c>
      <c r="AF777" t="n">
        <v>2326.923076923077</v>
      </c>
      <c r="AG777" t="inlineStr">
        <is>
          <t>Aug 2026 schedule · new size · nmpl hub</t>
        </is>
      </c>
      <c r="AJ777">
        <f>(3.14*(X777-AA777)*AA777*AB777*7.85)/1000000*AF777/1000</f>
        <v/>
      </c>
    </row>
    <row r="778">
      <c r="A778" s="528" t="n">
        <v>105</v>
      </c>
      <c r="B778" t="inlineStr">
        <is>
          <t>Hosur</t>
        </is>
      </c>
      <c r="C778" t="inlineStr">
        <is>
          <t>KNITVEL NEEDLES P LTD</t>
        </is>
      </c>
      <c r="D778" t="inlineStr">
        <is>
          <t>Knitvel</t>
        </is>
      </c>
      <c r="E778" t="n">
        <v>819045</v>
      </c>
      <c r="F778" t="n">
        <v>235292</v>
      </c>
      <c r="G778" t="inlineStr">
        <is>
          <t>819045-235292</t>
        </is>
      </c>
      <c r="H778" t="inlineStr">
        <is>
          <t>TUB-O-N-AUT-AW-PE-19.05X2.00X6.000-ERW 1</t>
        </is>
      </c>
      <c r="I778" t="inlineStr">
        <is>
          <t>ERW 1</t>
        </is>
      </c>
      <c r="K778" t="inlineStr">
        <is>
          <t>PE</t>
        </is>
      </c>
      <c r="L778" t="inlineStr">
        <is>
          <t>HR</t>
        </is>
      </c>
      <c r="Q778" t="inlineStr">
        <is>
          <t>19.05-0-2-ERW 1-PE</t>
        </is>
      </c>
      <c r="R778" t="inlineStr">
        <is>
          <t>19.05-0-2-ERW 1-PE-1</t>
        </is>
      </c>
      <c r="S778" t="n">
        <v>1</v>
      </c>
      <c r="T778" t="inlineStr">
        <is>
          <t>Hosur</t>
        </is>
      </c>
      <c r="X778" t="n">
        <v>19.05</v>
      </c>
      <c r="Y778" t="n">
        <v>19.05</v>
      </c>
      <c r="Z778" t="n">
        <v>0</v>
      </c>
      <c r="AA778" t="n">
        <v>2</v>
      </c>
      <c r="AB778" t="n">
        <v>1000</v>
      </c>
      <c r="AC778" t="inlineStr">
        <is>
          <t>m</t>
        </is>
      </c>
      <c r="AF778" t="n">
        <v>4000</v>
      </c>
      <c r="AG778" t="inlineStr">
        <is>
          <t>Carried over from July — no August schedule received</t>
        </is>
      </c>
      <c r="AJ778">
        <f>(3.14*(X778-AA778)*AA778*AB778*7.85)/1000000*AF778/1000</f>
        <v/>
      </c>
      <c r="AM778" t="n">
        <v>0</v>
      </c>
      <c r="AN778" t="n">
        <v>0</v>
      </c>
      <c r="AP778" t="n">
        <v>0</v>
      </c>
      <c r="AQ778" t="n">
        <v>11.189</v>
      </c>
      <c r="AR778" t="n">
        <v>3.3621236</v>
      </c>
    </row>
    <row r="779">
      <c r="A779" s="528" t="n">
        <v>107</v>
      </c>
      <c r="B779" t="inlineStr">
        <is>
          <t>Hosur</t>
        </is>
      </c>
      <c r="C779" t="inlineStr">
        <is>
          <t>KNITVEL NEEDLES P LTD</t>
        </is>
      </c>
      <c r="D779" t="inlineStr">
        <is>
          <t>Knitvel</t>
        </is>
      </c>
      <c r="E779" t="n">
        <v>819045</v>
      </c>
      <c r="F779" t="n">
        <v>3533248</v>
      </c>
      <c r="G779" t="inlineStr">
        <is>
          <t>819045-3533248</t>
        </is>
      </c>
      <c r="H779" t="inlineStr">
        <is>
          <t>CUT-O-N-AUT-AW-PE-22.20X1.600X1.2900</t>
        </is>
      </c>
      <c r="I779" t="inlineStr">
        <is>
          <t>ERW 1</t>
        </is>
      </c>
      <c r="K779" t="inlineStr">
        <is>
          <t>PE</t>
        </is>
      </c>
      <c r="L779" t="inlineStr">
        <is>
          <t>CR</t>
        </is>
      </c>
      <c r="M779" t="inlineStr">
        <is>
          <t>GR1</t>
        </is>
      </c>
      <c r="Q779" t="inlineStr">
        <is>
          <t>22.23-0-1.6-ERW 1-PE</t>
        </is>
      </c>
      <c r="R779" t="inlineStr">
        <is>
          <t>22.23-0-1.6-ERW 1-PE-1.29</t>
        </is>
      </c>
      <c r="S779" t="n">
        <v>1</v>
      </c>
      <c r="T779" t="inlineStr">
        <is>
          <t>Hosur</t>
        </is>
      </c>
      <c r="X779" t="n">
        <v>22.23</v>
      </c>
      <c r="Y779" t="n">
        <v>22.23</v>
      </c>
      <c r="Z779" t="n">
        <v>0</v>
      </c>
      <c r="AA779" t="n">
        <v>1.6</v>
      </c>
      <c r="AB779" t="n">
        <v>1290</v>
      </c>
      <c r="AC779" t="inlineStr">
        <is>
          <t>NOS</t>
        </is>
      </c>
      <c r="AF779" t="n">
        <v>10000</v>
      </c>
      <c r="AG779" t="inlineStr">
        <is>
          <t>Carried over from July — no August schedule received</t>
        </is>
      </c>
      <c r="AJ779">
        <f>(3.14*(X779-AA779)*AA779*AB779*7.85)/1000000*AF779/1000</f>
        <v/>
      </c>
      <c r="AM779" t="n">
        <v>0</v>
      </c>
      <c r="AN779" t="n">
        <v>0</v>
      </c>
      <c r="AP779" t="n">
        <v>62.74216200000001</v>
      </c>
      <c r="AQ779" t="n">
        <v>0</v>
      </c>
      <c r="AR779" t="n">
        <v>10.4956230768</v>
      </c>
    </row>
    <row r="780">
      <c r="A780" s="528" t="n">
        <v>109</v>
      </c>
      <c r="B780" t="inlineStr">
        <is>
          <t>Hosur</t>
        </is>
      </c>
      <c r="C780" t="inlineStr">
        <is>
          <t>KNITVEL NEEDLES P LTD</t>
        </is>
      </c>
      <c r="D780" t="inlineStr">
        <is>
          <t>Knitvel</t>
        </is>
      </c>
      <c r="E780" t="n">
        <v>819045</v>
      </c>
      <c r="F780" t="n">
        <v>1940467</v>
      </c>
      <c r="G780" t="inlineStr">
        <is>
          <t>819045-1940467</t>
        </is>
      </c>
      <c r="H780" t="inlineStr">
        <is>
          <t>TUB-O-O-AUT-AW-PE-22.23X2.000X0.8120</t>
        </is>
      </c>
      <c r="I780" t="inlineStr">
        <is>
          <t>ERW 2 MAHS</t>
        </is>
      </c>
      <c r="K780" t="inlineStr">
        <is>
          <t>PE</t>
        </is>
      </c>
      <c r="L780" t="inlineStr">
        <is>
          <t>HR</t>
        </is>
      </c>
      <c r="M780" t="inlineStr">
        <is>
          <t>ST52AL</t>
        </is>
      </c>
      <c r="Q780" t="inlineStr">
        <is>
          <t>22.23-0-2-ERW 2 MAHS-PE</t>
        </is>
      </c>
      <c r="R780" t="inlineStr">
        <is>
          <t>22.23-0-2-ERW 2 MAHS-PE-0.812</t>
        </is>
      </c>
      <c r="S780" t="n">
        <v>1</v>
      </c>
      <c r="X780" t="n">
        <v>22.23</v>
      </c>
      <c r="Y780" t="n">
        <v>22.23</v>
      </c>
      <c r="Z780" t="n">
        <v>0</v>
      </c>
      <c r="AA780" t="n">
        <v>2</v>
      </c>
      <c r="AB780" t="n">
        <v>812</v>
      </c>
      <c r="AC780" t="inlineStr">
        <is>
          <t>NOS</t>
        </is>
      </c>
      <c r="AF780" t="n">
        <v>1000</v>
      </c>
      <c r="AG780" t="inlineStr">
        <is>
          <t>Carried over from July — no August schedule received</t>
        </is>
      </c>
      <c r="AJ780">
        <f>(3.14*(X780-AA780)*AA780*AB780*7.85)/1000000*AF780/1000</f>
        <v/>
      </c>
      <c r="AM780" t="n">
        <v>0</v>
      </c>
      <c r="AN780" t="n">
        <v>0</v>
      </c>
      <c r="AP780" t="n">
        <v>5.82791</v>
      </c>
      <c r="AQ780" t="n">
        <v>0</v>
      </c>
      <c r="AR780" t="n">
        <v>0.80980641448</v>
      </c>
    </row>
    <row r="781">
      <c r="A781" s="528" t="n">
        <v>13</v>
      </c>
      <c r="B781" t="inlineStr">
        <is>
          <t>Hosur</t>
        </is>
      </c>
      <c r="C781" t="inlineStr">
        <is>
          <t>Balaji press product</t>
        </is>
      </c>
      <c r="D781" t="inlineStr">
        <is>
          <t>ara</t>
        </is>
      </c>
      <c r="E781" t="n">
        <v>189287</v>
      </c>
      <c r="F781" t="n">
        <v>3229739</v>
      </c>
      <c r="G781" t="inlineStr">
        <is>
          <t>189287-3229739</t>
        </is>
      </c>
      <c r="H781" t="inlineStr">
        <is>
          <t>TUB-O-N-AUT-AW-PE-19.05X1.200X1.1300</t>
        </is>
      </c>
      <c r="I781" t="inlineStr">
        <is>
          <t>ERW 1</t>
        </is>
      </c>
      <c r="K781" t="inlineStr">
        <is>
          <t>PE</t>
        </is>
      </c>
      <c r="L781" t="inlineStr">
        <is>
          <t>CR</t>
        </is>
      </c>
      <c r="Q781" t="inlineStr">
        <is>
          <t>19.05-0-1.2-ERW 1-PE</t>
        </is>
      </c>
      <c r="R781" t="inlineStr">
        <is>
          <t>19.05-0-1.2-ERW 1-PE-1.13</t>
        </is>
      </c>
      <c r="S781" t="n">
        <v>1</v>
      </c>
      <c r="T781" t="inlineStr">
        <is>
          <t>Hosur</t>
        </is>
      </c>
      <c r="X781" t="n">
        <v>19.05</v>
      </c>
      <c r="Y781" t="n">
        <v>19.05</v>
      </c>
      <c r="Z781" t="n">
        <v>0</v>
      </c>
      <c r="AA781" t="n">
        <v>1.2</v>
      </c>
      <c r="AB781" t="n">
        <v>1130</v>
      </c>
      <c r="AC781" t="inlineStr">
        <is>
          <t>NOS</t>
        </is>
      </c>
      <c r="AF781" t="n">
        <v>3000</v>
      </c>
      <c r="AG781" t="inlineStr">
        <is>
          <t>Carried over from July — no August schedule received</t>
        </is>
      </c>
      <c r="AJ781">
        <f>(3.14*(X781-AA781)*AA781*AB781*7.85)/1000000*AF781/1000</f>
        <v/>
      </c>
      <c r="AM781" t="n">
        <v>2279.799297919124</v>
      </c>
      <c r="AN781" t="n">
        <v>1.360172</v>
      </c>
      <c r="AP781" t="n">
        <v>0</v>
      </c>
      <c r="AQ781" t="n">
        <v>20.588</v>
      </c>
      <c r="AR781" t="n">
        <v>0.4296855561999999</v>
      </c>
    </row>
    <row r="782">
      <c r="A782" s="528" t="n"/>
    </row>
    <row r="783">
      <c r="A783" s="528" t="n"/>
    </row>
    <row r="784">
      <c r="A784" s="528" t="n"/>
    </row>
    <row r="785">
      <c r="A785" s="528" t="n"/>
    </row>
    <row r="786">
      <c r="A786" s="528" t="n"/>
    </row>
    <row r="787">
      <c r="A787" s="528" t="n"/>
    </row>
    <row r="788">
      <c r="A788" s="528" t="n"/>
    </row>
    <row r="789">
      <c r="A789" s="528" t="n"/>
    </row>
    <row r="790">
      <c r="A790" s="528" t="n"/>
    </row>
    <row r="791">
      <c r="A791" s="528" t="n"/>
    </row>
    <row r="792">
      <c r="A792" s="528" t="n"/>
    </row>
    <row r="793">
      <c r="A793" s="528" t="n"/>
    </row>
    <row r="794">
      <c r="A794" s="528" t="n"/>
    </row>
    <row r="795">
      <c r="A795" s="528" t="n"/>
    </row>
    <row r="796">
      <c r="A796" s="528" t="n"/>
    </row>
    <row r="797">
      <c r="A797" s="528" t="n"/>
    </row>
    <row r="798">
      <c r="A798" s="528" t="n"/>
    </row>
    <row r="799">
      <c r="A799" s="528" t="n"/>
    </row>
    <row r="800">
      <c r="A800" s="528" t="n"/>
    </row>
    <row r="801">
      <c r="A801" s="528" t="n"/>
    </row>
    <row r="802">
      <c r="A802" s="528" t="n"/>
    </row>
    <row r="803">
      <c r="A803" s="528" t="n"/>
    </row>
    <row r="804">
      <c r="A804" s="528" t="n"/>
    </row>
    <row r="805">
      <c r="A805" s="528" t="n"/>
    </row>
    <row r="806">
      <c r="A806" s="528" t="n"/>
    </row>
    <row r="807">
      <c r="A807" s="528" t="n"/>
    </row>
    <row r="808">
      <c r="A808" s="528" t="n"/>
    </row>
    <row r="809">
      <c r="A809" s="528" t="n"/>
    </row>
    <row r="810">
      <c r="A810" s="528" t="n"/>
    </row>
    <row r="811">
      <c r="A811" s="528" t="n"/>
    </row>
    <row r="812">
      <c r="A812" s="528" t="n"/>
    </row>
    <row r="813">
      <c r="A813" s="528" t="n"/>
    </row>
    <row r="814">
      <c r="A814" s="528" t="n"/>
    </row>
    <row r="815">
      <c r="A815" s="528" t="n"/>
    </row>
    <row r="816">
      <c r="A816" s="528" t="n"/>
    </row>
    <row r="817">
      <c r="A817" s="528" t="n"/>
    </row>
    <row r="818">
      <c r="A818" s="528" t="n"/>
    </row>
    <row r="819">
      <c r="A819" s="528" t="n"/>
    </row>
    <row r="820">
      <c r="A820" s="528" t="n"/>
    </row>
    <row r="821">
      <c r="A821" s="528" t="n"/>
    </row>
    <row r="822">
      <c r="A822" s="528" t="n"/>
    </row>
    <row r="823">
      <c r="A823" s="528" t="n"/>
    </row>
    <row r="824">
      <c r="A824" s="528" t="n"/>
    </row>
    <row r="825">
      <c r="A825" s="528" t="n"/>
    </row>
    <row r="826">
      <c r="A826" s="528" t="n"/>
    </row>
    <row r="827">
      <c r="A827" s="528" t="n"/>
    </row>
    <row r="828">
      <c r="A828" s="528" t="n"/>
    </row>
  </sheetData>
  <conditionalFormatting sqref="D268 D278 D391 D393 D399 D418 D444 D448 D457 D459:D461 D463 D495 D497 D512 D515 D526 D530 D532:D533 D540 D544 D566 D634 D636 D644 D693 D701">
    <cfRule type="duplicateValues" priority="1" dxfId="0"/>
  </conditionalFormatting>
  <pageMargins left="0.7" right="0.7" top="0.75" bottom="0.75" header="0.3" footer="0.3"/>
  <pageSetup orientation="landscape" paperSize="9" scale="27" fitToHeight="0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1"/>
  <sheetViews>
    <sheetView topLeftCell="A12" workbookViewId="0">
      <selection activeCell="A5" sqref="A5"/>
    </sheetView>
  </sheetViews>
  <sheetFormatPr baseColWidth="8" defaultRowHeight="15"/>
  <cols>
    <col width="19.85546875" bestFit="1" customWidth="1" style="584" min="12" max="12"/>
  </cols>
  <sheetData>
    <row r="1" ht="45" customHeight="1" s="584">
      <c r="A1" s="551" t="inlineStr">
        <is>
          <t>Customer</t>
        </is>
      </c>
      <c r="B1" s="551" t="inlineStr">
        <is>
          <t>Grade</t>
        </is>
      </c>
      <c r="C1" s="101" t="inlineStr">
        <is>
          <t>ACTUAL OD</t>
        </is>
      </c>
      <c r="D1" s="101" t="inlineStr">
        <is>
          <t>OD</t>
        </is>
      </c>
      <c r="E1" s="101" t="inlineStr">
        <is>
          <t>ID</t>
        </is>
      </c>
      <c r="F1" s="101" t="inlineStr">
        <is>
          <t>TICKNESS</t>
        </is>
      </c>
      <c r="G1" s="101" t="inlineStr">
        <is>
          <t>LENGTH</t>
        </is>
      </c>
      <c r="H1" s="101" t="inlineStr">
        <is>
          <t>UoM</t>
        </is>
      </c>
      <c r="I1" s="102" t="inlineStr">
        <is>
          <t>SCHEDULE in nos</t>
        </is>
      </c>
      <c r="J1" s="203" t="inlineStr">
        <is>
          <t>DISPATCH</t>
        </is>
      </c>
      <c r="K1" s="191" t="inlineStr">
        <is>
          <t>BAL IN NOS</t>
        </is>
      </c>
      <c r="L1" s="551" t="inlineStr">
        <is>
          <t>Bucket</t>
        </is>
      </c>
      <c r="M1" s="551" t="inlineStr">
        <is>
          <t>4318 + 8406 stock</t>
        </is>
      </c>
    </row>
    <row r="2">
      <c r="A2" s="601" t="inlineStr">
        <is>
          <t>NMPL pla</t>
        </is>
      </c>
      <c r="B2" s="601" t="inlineStr">
        <is>
          <t>ERW 1</t>
        </is>
      </c>
      <c r="C2" s="599" t="n">
        <v>17.3</v>
      </c>
      <c r="D2" s="599" t="n">
        <v>17.3</v>
      </c>
      <c r="E2" s="599" t="n">
        <v>0</v>
      </c>
      <c r="F2" s="599" t="n">
        <v>1.2</v>
      </c>
      <c r="G2" s="600" t="n">
        <v>150</v>
      </c>
      <c r="H2" s="600" t="inlineStr">
        <is>
          <t>NOS</t>
        </is>
      </c>
      <c r="I2" s="601" t="n">
        <v>15000</v>
      </c>
      <c r="J2" s="601" t="n">
        <v>2000</v>
      </c>
      <c r="K2" s="602" t="n">
        <v>13000</v>
      </c>
      <c r="L2" s="557" t="inlineStr">
        <is>
          <t>17.3-0-1.2-ERW 1-PE</t>
        </is>
      </c>
      <c r="M2" s="562" t="n">
        <v>0.84</v>
      </c>
    </row>
    <row r="3">
      <c r="A3" s="601" t="inlineStr">
        <is>
          <t>Elkayem</t>
        </is>
      </c>
      <c r="B3" s="601" t="inlineStr">
        <is>
          <t>ERW 1</t>
        </is>
      </c>
      <c r="C3" s="599" t="n">
        <v>41.28</v>
      </c>
      <c r="D3" s="599" t="n">
        <v>40</v>
      </c>
      <c r="E3" s="599" t="n">
        <v>25</v>
      </c>
      <c r="F3" s="599" t="n">
        <v>1.6</v>
      </c>
      <c r="G3" s="600" t="n">
        <v>536</v>
      </c>
      <c r="H3" s="600" t="inlineStr">
        <is>
          <t>NOS</t>
        </is>
      </c>
      <c r="I3" s="601" t="n">
        <v>40000</v>
      </c>
      <c r="J3" s="601" t="n">
        <v>10738</v>
      </c>
      <c r="K3" s="602" t="n">
        <v>29262</v>
      </c>
      <c r="L3" s="557" t="inlineStr">
        <is>
          <t>40-25-1.6-ERW 1-FC</t>
        </is>
      </c>
      <c r="M3" s="562" t="n">
        <v>2.26339</v>
      </c>
    </row>
    <row r="4">
      <c r="A4" s="601" t="inlineStr">
        <is>
          <t>Elkayem</t>
        </is>
      </c>
      <c r="B4" s="601" t="inlineStr">
        <is>
          <t>ERW 1</t>
        </is>
      </c>
      <c r="C4" s="599" t="n">
        <v>44.45</v>
      </c>
      <c r="D4" s="599" t="n">
        <v>40</v>
      </c>
      <c r="E4" s="599" t="n">
        <v>30</v>
      </c>
      <c r="F4" s="599" t="n">
        <v>2</v>
      </c>
      <c r="G4" s="600" t="n">
        <v>149</v>
      </c>
      <c r="H4" s="600" t="inlineStr">
        <is>
          <t>NOS</t>
        </is>
      </c>
      <c r="I4" s="601" t="n">
        <v>35000</v>
      </c>
      <c r="J4" s="601" t="n">
        <v>0</v>
      </c>
      <c r="K4" s="602" t="n">
        <v>35000</v>
      </c>
      <c r="L4" s="557" t="inlineStr">
        <is>
          <t>40-30-2-ERW 1-FC</t>
        </is>
      </c>
      <c r="M4" s="562" t="n">
        <v>7.785</v>
      </c>
    </row>
    <row r="5">
      <c r="A5" s="601" t="inlineStr">
        <is>
          <t>Elkayem</t>
        </is>
      </c>
      <c r="B5" s="601" t="inlineStr">
        <is>
          <t>ERW 1</t>
        </is>
      </c>
      <c r="C5" s="559" t="n">
        <v>44.45</v>
      </c>
      <c r="D5" s="559" t="n">
        <v>40</v>
      </c>
      <c r="E5" s="559" t="n">
        <v>30</v>
      </c>
      <c r="F5" s="599" t="n">
        <v>2</v>
      </c>
      <c r="G5" s="600" t="n">
        <v>149</v>
      </c>
      <c r="H5" s="600" t="inlineStr">
        <is>
          <t>NOS</t>
        </is>
      </c>
      <c r="I5" s="557" t="n">
        <v>23700</v>
      </c>
      <c r="J5" s="601" t="n">
        <v>0</v>
      </c>
      <c r="K5" s="602" t="n">
        <v>23700</v>
      </c>
      <c r="L5" s="557" t="inlineStr">
        <is>
          <t>40-30-2-ERW 1-FC</t>
        </is>
      </c>
      <c r="M5" s="562" t="n">
        <v>7.785</v>
      </c>
    </row>
    <row r="6">
      <c r="A6" s="601" t="inlineStr">
        <is>
          <t>Rajsriya</t>
        </is>
      </c>
      <c r="B6" s="601" t="inlineStr">
        <is>
          <t>ERW 1</t>
        </is>
      </c>
      <c r="C6" s="599" t="n">
        <v>44.45</v>
      </c>
      <c r="D6" s="599" t="n">
        <v>40</v>
      </c>
      <c r="E6" s="6" t="n">
        <v>30</v>
      </c>
      <c r="F6" s="599" t="n">
        <v>2</v>
      </c>
      <c r="G6" s="81" t="n">
        <v>870</v>
      </c>
      <c r="H6" s="600" t="inlineStr">
        <is>
          <t>NOS</t>
        </is>
      </c>
      <c r="I6" s="601" t="n">
        <v>7000</v>
      </c>
      <c r="J6" s="601" t="n">
        <v>0</v>
      </c>
      <c r="K6" s="602" t="n">
        <v>7000</v>
      </c>
      <c r="L6" s="557" t="inlineStr">
        <is>
          <t>40-30-2-ERW 1-FC</t>
        </is>
      </c>
      <c r="M6" s="562" t="n">
        <v>7.785</v>
      </c>
    </row>
    <row r="7">
      <c r="A7" s="601" t="inlineStr">
        <is>
          <t>Rajsriya</t>
        </is>
      </c>
      <c r="B7" s="601" t="inlineStr">
        <is>
          <t>ERW 1</t>
        </is>
      </c>
      <c r="C7" s="599" t="n">
        <v>44.45</v>
      </c>
      <c r="D7" s="599" t="n">
        <v>40</v>
      </c>
      <c r="E7" s="6" t="n">
        <v>30</v>
      </c>
      <c r="F7" s="599" t="n">
        <v>2</v>
      </c>
      <c r="G7" s="81" t="n">
        <v>870</v>
      </c>
      <c r="H7" s="600" t="inlineStr">
        <is>
          <t>NOS</t>
        </is>
      </c>
      <c r="I7" s="601" t="n">
        <v>10000</v>
      </c>
      <c r="J7" s="601" t="n">
        <v>2229</v>
      </c>
      <c r="K7" s="602" t="n">
        <v>7771</v>
      </c>
      <c r="L7" s="557" t="inlineStr">
        <is>
          <t>40-30-2-ERW 1-FC</t>
        </is>
      </c>
      <c r="M7" s="562" t="n">
        <v>7.785</v>
      </c>
    </row>
    <row r="8">
      <c r="A8" s="601" t="inlineStr">
        <is>
          <t>Sandhar</t>
        </is>
      </c>
      <c r="B8" s="601" t="inlineStr">
        <is>
          <t>ERW 1</t>
        </is>
      </c>
      <c r="C8" s="599" t="n">
        <v>22.23</v>
      </c>
      <c r="D8" s="599" t="n">
        <v>22.23</v>
      </c>
      <c r="E8" s="599" t="n">
        <v>0</v>
      </c>
      <c r="F8" s="599" t="n">
        <v>2</v>
      </c>
      <c r="G8" s="600" t="n">
        <v>855</v>
      </c>
      <c r="H8" s="600" t="inlineStr">
        <is>
          <t>NOS</t>
        </is>
      </c>
      <c r="I8" s="601" t="n">
        <v>30330</v>
      </c>
      <c r="J8" s="601" t="n">
        <v>0</v>
      </c>
      <c r="K8" s="602" t="n">
        <v>30330</v>
      </c>
      <c r="L8" s="557" t="inlineStr">
        <is>
          <t>22.23-0-2-ERW 1-FC</t>
        </is>
      </c>
      <c r="M8" s="562" t="n">
        <v>4.716852</v>
      </c>
    </row>
    <row r="9">
      <c r="A9" s="601" t="inlineStr">
        <is>
          <t>Sandhar</t>
        </is>
      </c>
      <c r="B9" s="601" t="inlineStr">
        <is>
          <t>ERW 1</t>
        </is>
      </c>
      <c r="C9" s="599" t="n">
        <v>22.23</v>
      </c>
      <c r="D9" s="599" t="n">
        <v>22.23</v>
      </c>
      <c r="E9" s="599" t="n">
        <v>0</v>
      </c>
      <c r="F9" s="599" t="n">
        <v>2</v>
      </c>
      <c r="G9" s="600" t="n">
        <v>863</v>
      </c>
      <c r="H9" s="600" t="inlineStr">
        <is>
          <t>NOS</t>
        </is>
      </c>
      <c r="I9" s="601" t="n">
        <v>14944</v>
      </c>
      <c r="J9" s="601" t="n">
        <v>0</v>
      </c>
      <c r="K9" s="602" t="n">
        <v>14944</v>
      </c>
      <c r="L9" s="557" t="inlineStr">
        <is>
          <t>22.23-0-2-ERW 1-FC</t>
        </is>
      </c>
      <c r="M9" s="562" t="n">
        <v>4.716852</v>
      </c>
    </row>
    <row r="10">
      <c r="A10" s="601" t="inlineStr">
        <is>
          <t>Sandhar Engineering Hosur</t>
        </is>
      </c>
      <c r="B10" s="601" t="inlineStr">
        <is>
          <t>ERW 1</t>
        </is>
      </c>
      <c r="C10" s="599" t="n">
        <v>22.23</v>
      </c>
      <c r="D10" s="599" t="n">
        <v>22.23</v>
      </c>
      <c r="E10" s="599" t="n">
        <v>0</v>
      </c>
      <c r="F10" s="599" t="n">
        <v>1.6</v>
      </c>
      <c r="G10" s="600" t="n">
        <v>274</v>
      </c>
      <c r="H10" s="600" t="inlineStr">
        <is>
          <t>NOS</t>
        </is>
      </c>
      <c r="I10" s="601" t="n">
        <v>8000</v>
      </c>
      <c r="J10" s="601" t="n">
        <v>7500</v>
      </c>
      <c r="K10" s="602" t="n">
        <v>500</v>
      </c>
      <c r="L10" s="557" t="inlineStr">
        <is>
          <t>22.23-0-1.6-ERW 1-PE</t>
        </is>
      </c>
      <c r="M10" s="562" t="n">
        <v>7.916449999999999</v>
      </c>
    </row>
    <row r="11">
      <c r="A11" s="601" t="inlineStr">
        <is>
          <t>SRIKAM</t>
        </is>
      </c>
      <c r="B11" s="601" t="inlineStr">
        <is>
          <t>ERW 1</t>
        </is>
      </c>
      <c r="C11" s="599" t="n">
        <v>22.23</v>
      </c>
      <c r="D11" s="599" t="n">
        <v>22.23</v>
      </c>
      <c r="E11" s="6" t="n">
        <v>0</v>
      </c>
      <c r="F11" s="599" t="n">
        <v>1.6</v>
      </c>
      <c r="G11" s="600" t="n">
        <v>283</v>
      </c>
      <c r="H11" s="600" t="inlineStr">
        <is>
          <t>NOS</t>
        </is>
      </c>
      <c r="I11" s="601" t="n">
        <v>1000</v>
      </c>
      <c r="J11" s="601" t="n">
        <v>0</v>
      </c>
      <c r="K11" s="602" t="n">
        <v>1000</v>
      </c>
      <c r="L11" s="557" t="inlineStr">
        <is>
          <t>22.23-0-1.6-ERW 1-PE</t>
        </is>
      </c>
      <c r="M11" s="562" t="n">
        <v>7.916449999999999</v>
      </c>
    </row>
    <row r="12">
      <c r="A12" s="601" t="inlineStr">
        <is>
          <t>NMPL 1</t>
        </is>
      </c>
      <c r="B12" s="601" t="inlineStr">
        <is>
          <t>ERW 1</t>
        </is>
      </c>
      <c r="C12" s="599" t="n">
        <v>22.23</v>
      </c>
      <c r="D12" s="599" t="n">
        <v>22.23</v>
      </c>
      <c r="E12" s="599" t="n">
        <v>0</v>
      </c>
      <c r="F12" s="599" t="n">
        <v>1.6</v>
      </c>
      <c r="G12" s="600" t="n">
        <v>285</v>
      </c>
      <c r="H12" s="600" t="inlineStr">
        <is>
          <t>NOS</t>
        </is>
      </c>
      <c r="I12" s="601" t="n">
        <v>30000</v>
      </c>
      <c r="J12" s="601" t="n">
        <v>0</v>
      </c>
      <c r="K12" s="602" t="n">
        <v>30000</v>
      </c>
      <c r="L12" s="557" t="inlineStr">
        <is>
          <t>22.23-0-1.6-ERW 1-PE</t>
        </is>
      </c>
      <c r="M12" s="562" t="n">
        <v>7.916449999999999</v>
      </c>
    </row>
    <row r="13">
      <c r="A13" s="601" t="inlineStr">
        <is>
          <t>NMPL HUB</t>
        </is>
      </c>
      <c r="B13" s="601" t="inlineStr">
        <is>
          <t>ERW 1</t>
        </is>
      </c>
      <c r="C13" s="599" t="n">
        <v>22.23</v>
      </c>
      <c r="D13" s="599" t="n">
        <v>22.23</v>
      </c>
      <c r="E13" s="6" t="n">
        <v>0</v>
      </c>
      <c r="F13" s="599" t="n">
        <v>1.6</v>
      </c>
      <c r="G13" s="600" t="n">
        <v>394</v>
      </c>
      <c r="H13" s="600" t="inlineStr">
        <is>
          <t>NOS</t>
        </is>
      </c>
      <c r="I13" s="601" t="n">
        <v>15000</v>
      </c>
      <c r="J13" s="601" t="n">
        <v>0</v>
      </c>
      <c r="K13" s="602" t="n">
        <v>15000</v>
      </c>
      <c r="L13" s="557" t="inlineStr">
        <is>
          <t>22.23-0-1.6-ERW 1-PE</t>
        </is>
      </c>
      <c r="M13" s="562" t="n">
        <v>7.916449999999999</v>
      </c>
    </row>
    <row r="14">
      <c r="A14" s="601" t="inlineStr">
        <is>
          <t>NMPL HUB</t>
        </is>
      </c>
      <c r="B14" s="601" t="inlineStr">
        <is>
          <t>ERW 1</t>
        </is>
      </c>
      <c r="C14" s="559" t="n">
        <v>22.23</v>
      </c>
      <c r="D14" s="559" t="n">
        <v>22.23</v>
      </c>
      <c r="E14" s="559" t="n">
        <v>0</v>
      </c>
      <c r="F14" s="599" t="n">
        <v>1.6</v>
      </c>
      <c r="G14" s="600" t="n">
        <v>394</v>
      </c>
      <c r="H14" s="600" t="inlineStr">
        <is>
          <t>NOS</t>
        </is>
      </c>
      <c r="I14" s="557" t="n">
        <v>15000</v>
      </c>
      <c r="J14" s="601" t="n">
        <v>2720</v>
      </c>
      <c r="K14" s="602" t="n">
        <v>12280</v>
      </c>
      <c r="L14" s="557" t="inlineStr">
        <is>
          <t>22.23-0-1.6-ERW 1-PE</t>
        </is>
      </c>
      <c r="M14" s="562" t="n">
        <v>7.916449999999999</v>
      </c>
    </row>
    <row r="15">
      <c r="A15" s="601" t="inlineStr">
        <is>
          <t>Sandhar</t>
        </is>
      </c>
      <c r="B15" s="601" t="inlineStr">
        <is>
          <t>ERW 1</t>
        </is>
      </c>
      <c r="C15" s="599" t="n">
        <v>41.28</v>
      </c>
      <c r="D15" s="599" t="n">
        <v>40</v>
      </c>
      <c r="E15" s="599" t="n">
        <v>25</v>
      </c>
      <c r="F15" s="599" t="n">
        <v>1.6</v>
      </c>
      <c r="G15" s="600" t="n">
        <v>561</v>
      </c>
      <c r="H15" s="600" t="inlineStr">
        <is>
          <t>NOS</t>
        </is>
      </c>
      <c r="I15" s="601" t="n">
        <v>27300</v>
      </c>
      <c r="J15" s="601" t="n">
        <v>0</v>
      </c>
      <c r="K15" s="602" t="n">
        <v>27300</v>
      </c>
      <c r="L15" s="557" t="inlineStr">
        <is>
          <t>40-25-1.6-ERW 1-FC</t>
        </is>
      </c>
      <c r="M15" s="562" t="n">
        <v>2.26339</v>
      </c>
    </row>
    <row r="16">
      <c r="A16" s="601" t="inlineStr">
        <is>
          <t>NMPL HUB</t>
        </is>
      </c>
      <c r="B16" s="601" t="inlineStr">
        <is>
          <t>ERW 1</t>
        </is>
      </c>
      <c r="C16" s="599" t="n">
        <v>22.23</v>
      </c>
      <c r="D16" s="599" t="n">
        <v>22.23</v>
      </c>
      <c r="E16" s="6" t="n">
        <v>0</v>
      </c>
      <c r="F16" s="599" t="n">
        <v>1.6</v>
      </c>
      <c r="G16" s="600" t="n">
        <v>670</v>
      </c>
      <c r="H16" s="600" t="inlineStr">
        <is>
          <t>NOS</t>
        </is>
      </c>
      <c r="I16" s="601" t="n">
        <v>18000</v>
      </c>
      <c r="J16" s="601" t="n">
        <v>0</v>
      </c>
      <c r="K16" s="602" t="n">
        <v>18000</v>
      </c>
      <c r="L16" s="557" t="inlineStr">
        <is>
          <t>22.23-0-1.6-ERW 1-PE</t>
        </is>
      </c>
      <c r="M16" s="562" t="n">
        <v>7.916449999999999</v>
      </c>
    </row>
    <row r="17">
      <c r="A17" s="601" t="inlineStr">
        <is>
          <t>NMPL HUB</t>
        </is>
      </c>
      <c r="B17" s="601" t="inlineStr">
        <is>
          <t>ERW 1</t>
        </is>
      </c>
      <c r="C17" s="559" t="n">
        <v>22.23</v>
      </c>
      <c r="D17" s="559" t="n">
        <v>22.23</v>
      </c>
      <c r="E17" s="559" t="n">
        <v>0</v>
      </c>
      <c r="F17" s="599" t="n">
        <v>1.6</v>
      </c>
      <c r="G17" s="600" t="n">
        <v>690</v>
      </c>
      <c r="H17" s="600" t="inlineStr">
        <is>
          <t>NOS</t>
        </is>
      </c>
      <c r="I17" s="557" t="n">
        <v>16000</v>
      </c>
      <c r="J17" s="601" t="n">
        <v>0</v>
      </c>
      <c r="K17" s="602" t="n">
        <v>16000</v>
      </c>
      <c r="L17" s="557" t="inlineStr">
        <is>
          <t>22.23-0-1.6-ERW 1-PE</t>
        </is>
      </c>
      <c r="M17" s="562" t="n">
        <v>7.916449999999999</v>
      </c>
    </row>
    <row r="18">
      <c r="A18" s="601" t="inlineStr">
        <is>
          <t>Sandhar</t>
        </is>
      </c>
      <c r="B18" s="601" t="inlineStr">
        <is>
          <t>ERW 1</t>
        </is>
      </c>
      <c r="C18" s="599" t="n">
        <v>22.23</v>
      </c>
      <c r="D18" s="599" t="n">
        <v>22.23</v>
      </c>
      <c r="E18" s="599" t="n">
        <v>0</v>
      </c>
      <c r="F18" s="599" t="n">
        <v>1.6</v>
      </c>
      <c r="G18" s="600" t="n">
        <v>690</v>
      </c>
      <c r="H18" s="600" t="inlineStr">
        <is>
          <t>NOS</t>
        </is>
      </c>
      <c r="I18" s="601" t="n">
        <v>32760</v>
      </c>
      <c r="J18" s="601" t="n">
        <v>18905</v>
      </c>
      <c r="K18" s="602" t="n">
        <v>13855</v>
      </c>
      <c r="L18" s="557" t="inlineStr">
        <is>
          <t>22.23-0-1.6-ERW 1-PE</t>
        </is>
      </c>
      <c r="M18" s="562" t="n">
        <v>7.916449999999999</v>
      </c>
    </row>
    <row r="19">
      <c r="A19" s="601" t="inlineStr">
        <is>
          <t>Sandhar</t>
        </is>
      </c>
      <c r="B19" s="601" t="inlineStr">
        <is>
          <t>ERW 1</t>
        </is>
      </c>
      <c r="C19" s="599" t="n">
        <v>41.28</v>
      </c>
      <c r="D19" s="599" t="n">
        <v>41.28</v>
      </c>
      <c r="E19" s="599" t="n">
        <v>0</v>
      </c>
      <c r="F19" s="599" t="n">
        <v>2.6</v>
      </c>
      <c r="G19" s="600" t="n">
        <v>850</v>
      </c>
      <c r="H19" s="600" t="inlineStr">
        <is>
          <t>NOS</t>
        </is>
      </c>
      <c r="I19" s="601" t="n">
        <v>22637</v>
      </c>
      <c r="J19" s="601" t="n">
        <v>10811</v>
      </c>
      <c r="K19" s="602" t="n">
        <v>11826</v>
      </c>
      <c r="L19" s="557" t="inlineStr">
        <is>
          <t>41.28-0-2.6-ERW 1-FC</t>
        </is>
      </c>
      <c r="M19" s="562" t="n">
        <v>4.15905</v>
      </c>
    </row>
    <row r="20">
      <c r="A20" s="601" t="inlineStr">
        <is>
          <t>Metalman</t>
        </is>
      </c>
      <c r="B20" s="601" t="inlineStr">
        <is>
          <t>ERW 1</t>
        </is>
      </c>
      <c r="C20" s="599" t="n">
        <v>22.23</v>
      </c>
      <c r="D20" s="599" t="n">
        <v>22.23</v>
      </c>
      <c r="E20" s="599" t="n">
        <v>0</v>
      </c>
      <c r="F20" s="599" t="n">
        <v>1.6</v>
      </c>
      <c r="G20" s="600" t="n">
        <v>740</v>
      </c>
      <c r="H20" s="600" t="inlineStr">
        <is>
          <t>NOS</t>
        </is>
      </c>
      <c r="I20" s="601" t="n">
        <v>2500</v>
      </c>
      <c r="J20" s="601" t="n">
        <v>0</v>
      </c>
      <c r="K20" s="602" t="n">
        <v>2500</v>
      </c>
      <c r="L20" s="557" t="inlineStr">
        <is>
          <t>22.23-0-1.6-ERW 1-PE</t>
        </is>
      </c>
      <c r="M20" s="562" t="n">
        <v>7.916449999999999</v>
      </c>
    </row>
    <row r="21">
      <c r="A21" s="601" t="inlineStr">
        <is>
          <t>NMPL HUB</t>
        </is>
      </c>
      <c r="B21" s="601" t="inlineStr">
        <is>
          <t>ERW 1</t>
        </is>
      </c>
      <c r="C21" s="559" t="n">
        <v>22.23</v>
      </c>
      <c r="D21" s="559" t="n">
        <v>22.23</v>
      </c>
      <c r="E21" s="599" t="n">
        <v>0</v>
      </c>
      <c r="F21" s="599" t="n">
        <v>1.6</v>
      </c>
      <c r="G21" s="600" t="n">
        <v>809</v>
      </c>
      <c r="H21" s="600" t="inlineStr">
        <is>
          <t>NOS</t>
        </is>
      </c>
      <c r="I21" s="601" t="n">
        <v>18000</v>
      </c>
      <c r="J21" s="601" t="n">
        <v>0</v>
      </c>
      <c r="K21" s="602" t="n">
        <v>18000</v>
      </c>
      <c r="L21" s="557" t="inlineStr">
        <is>
          <t>22.23-0-1.6-ERW 1-PE</t>
        </is>
      </c>
      <c r="M21" s="562" t="n">
        <v>7.916449999999999</v>
      </c>
    </row>
    <row r="22">
      <c r="A22" s="601" t="inlineStr">
        <is>
          <t>NMPL 1</t>
        </is>
      </c>
      <c r="B22" s="601" t="inlineStr">
        <is>
          <t>ERW 1</t>
        </is>
      </c>
      <c r="C22" s="599" t="n">
        <v>22.23</v>
      </c>
      <c r="D22" s="599" t="n">
        <v>22.23</v>
      </c>
      <c r="E22" s="6" t="n">
        <v>0</v>
      </c>
      <c r="F22" s="599" t="n">
        <v>1.6</v>
      </c>
      <c r="G22" s="600" t="n">
        <v>809</v>
      </c>
      <c r="H22" s="600" t="inlineStr">
        <is>
          <t>NOS</t>
        </is>
      </c>
      <c r="I22" s="601" t="n">
        <v>2000</v>
      </c>
      <c r="J22" s="601" t="n">
        <v>0</v>
      </c>
      <c r="K22" s="602" t="n">
        <v>2000</v>
      </c>
      <c r="L22" s="557" t="inlineStr">
        <is>
          <t>22.23-0-1.6-ERW 1-PE</t>
        </is>
      </c>
      <c r="M22" s="562" t="n">
        <v>7.916449999999999</v>
      </c>
    </row>
    <row r="23">
      <c r="A23" s="601" t="inlineStr">
        <is>
          <t>Metalman</t>
        </is>
      </c>
      <c r="B23" s="601" t="inlineStr">
        <is>
          <t>ERW 1</t>
        </is>
      </c>
      <c r="C23" s="599" t="n">
        <v>22.23</v>
      </c>
      <c r="D23" s="599" t="n">
        <v>22.23</v>
      </c>
      <c r="E23" s="599" t="n">
        <v>0</v>
      </c>
      <c r="F23" s="599" t="n">
        <v>1.6</v>
      </c>
      <c r="G23" s="600" t="n">
        <v>880</v>
      </c>
      <c r="H23" s="600" t="inlineStr">
        <is>
          <t>NOS</t>
        </is>
      </c>
      <c r="I23" s="601" t="n">
        <v>2500</v>
      </c>
      <c r="J23" s="601" t="n">
        <v>269</v>
      </c>
      <c r="K23" s="602" t="n">
        <v>2231</v>
      </c>
      <c r="L23" s="557" t="inlineStr">
        <is>
          <t>22.23-0-1.6-ERW 1-PE</t>
        </is>
      </c>
      <c r="M23" s="562" t="n">
        <v>7.916449999999999</v>
      </c>
    </row>
    <row r="24">
      <c r="A24" s="601" t="inlineStr">
        <is>
          <t>Sandhar</t>
        </is>
      </c>
      <c r="B24" s="601" t="inlineStr">
        <is>
          <t>ERW 1</t>
        </is>
      </c>
      <c r="C24" s="599" t="n">
        <v>42.7</v>
      </c>
      <c r="D24" s="599" t="n">
        <v>42.7</v>
      </c>
      <c r="E24" s="599" t="n">
        <v>0</v>
      </c>
      <c r="F24" s="599" t="n">
        <v>4</v>
      </c>
      <c r="G24" s="600" t="n">
        <v>215</v>
      </c>
      <c r="H24" s="600" t="inlineStr">
        <is>
          <t>NOS</t>
        </is>
      </c>
      <c r="I24" s="601" t="n">
        <v>45274</v>
      </c>
      <c r="J24" s="601" t="n">
        <v>22240</v>
      </c>
      <c r="K24" s="602" t="n">
        <v>23034</v>
      </c>
      <c r="L24" s="557" t="inlineStr">
        <is>
          <t>42.7-0-4-ERW 1-FC</t>
        </is>
      </c>
      <c r="M24" s="562" t="n">
        <v>16.485048</v>
      </c>
    </row>
    <row r="25">
      <c r="A25" s="601" t="inlineStr">
        <is>
          <t>Rajsriya</t>
        </is>
      </c>
      <c r="B25" s="601" t="inlineStr">
        <is>
          <t>ERW 1</t>
        </is>
      </c>
      <c r="C25" s="599" t="n">
        <v>22.23</v>
      </c>
      <c r="D25" s="599" t="n">
        <v>22.23</v>
      </c>
      <c r="E25" s="599" t="n">
        <v>0</v>
      </c>
      <c r="F25" s="599" t="n">
        <v>1.6</v>
      </c>
      <c r="G25" s="600" t="n">
        <v>401</v>
      </c>
      <c r="H25" s="600" t="inlineStr">
        <is>
          <t>NOS</t>
        </is>
      </c>
      <c r="I25" s="601" t="n">
        <v>12000</v>
      </c>
      <c r="J25" s="601" t="n">
        <v>8200</v>
      </c>
      <c r="K25" s="602" t="n">
        <v>3800</v>
      </c>
      <c r="L25" s="557" t="inlineStr">
        <is>
          <t>22.23-0-1.6-ERW 1-PE</t>
        </is>
      </c>
      <c r="M25" s="562" t="n">
        <v>7.916449999999999</v>
      </c>
    </row>
    <row r="26">
      <c r="A26" s="601" t="inlineStr">
        <is>
          <t>SRIKAM</t>
        </is>
      </c>
      <c r="B26" s="601" t="inlineStr">
        <is>
          <t>ERW 1</t>
        </is>
      </c>
      <c r="C26" s="599" t="n">
        <v>22.23</v>
      </c>
      <c r="D26" s="599" t="n">
        <v>22.23</v>
      </c>
      <c r="E26" s="6" t="n">
        <v>0</v>
      </c>
      <c r="F26" s="599" t="n">
        <v>1.6</v>
      </c>
      <c r="G26" s="600" t="n">
        <v>1304</v>
      </c>
      <c r="H26" s="600" t="inlineStr">
        <is>
          <t>NOS</t>
        </is>
      </c>
      <c r="I26" s="601" t="n">
        <v>5000</v>
      </c>
      <c r="J26" s="601" t="n">
        <v>3715</v>
      </c>
      <c r="K26" s="602" t="n">
        <v>1285</v>
      </c>
      <c r="L26" s="557" t="inlineStr">
        <is>
          <t>22.23-0-1.6-ERW 1-PE</t>
        </is>
      </c>
      <c r="M26" s="562" t="n">
        <v>7.916449999999999</v>
      </c>
    </row>
    <row r="27">
      <c r="A27" s="601" t="inlineStr">
        <is>
          <t>Rajsriya</t>
        </is>
      </c>
      <c r="B27" s="601" t="inlineStr">
        <is>
          <t>ERW 1</t>
        </is>
      </c>
      <c r="C27" s="599" t="n">
        <v>22.23</v>
      </c>
      <c r="D27" s="599" t="n">
        <v>22.23</v>
      </c>
      <c r="E27" s="599" t="n">
        <v>0</v>
      </c>
      <c r="F27" s="599" t="n">
        <v>1.6</v>
      </c>
      <c r="G27" s="600" t="n">
        <v>640</v>
      </c>
      <c r="H27" s="600" t="inlineStr">
        <is>
          <t>NOS</t>
        </is>
      </c>
      <c r="I27" s="601" t="n">
        <v>13000</v>
      </c>
      <c r="J27" s="601" t="n">
        <v>6063</v>
      </c>
      <c r="K27" s="602" t="n">
        <v>6937</v>
      </c>
      <c r="L27" s="557" t="inlineStr">
        <is>
          <t>22.23-0-1.6-ERW 1-PE</t>
        </is>
      </c>
      <c r="M27" s="562" t="n">
        <v>7.916449999999999</v>
      </c>
    </row>
    <row r="28">
      <c r="A28" s="601" t="inlineStr">
        <is>
          <t>Elkayem</t>
        </is>
      </c>
      <c r="B28" s="601" t="inlineStr">
        <is>
          <t>ERW 1</t>
        </is>
      </c>
      <c r="C28" s="599" t="n">
        <v>22.23</v>
      </c>
      <c r="D28" s="599" t="n">
        <v>22.23</v>
      </c>
      <c r="E28" s="599" t="n">
        <v>0</v>
      </c>
      <c r="F28" s="599" t="n">
        <v>2</v>
      </c>
      <c r="G28" s="600" t="n">
        <v>715</v>
      </c>
      <c r="H28" s="600" t="inlineStr">
        <is>
          <t>NOS</t>
        </is>
      </c>
      <c r="I28" s="601" t="n">
        <v>27600</v>
      </c>
      <c r="J28" s="601" t="n">
        <v>0</v>
      </c>
      <c r="K28" s="602" t="n">
        <v>27600</v>
      </c>
      <c r="L28" s="557" t="inlineStr">
        <is>
          <t>22.23-0-2-ERW 1-FC</t>
        </is>
      </c>
      <c r="M28" s="562" t="n">
        <v>4.716852</v>
      </c>
    </row>
    <row r="29">
      <c r="A29" s="601" t="inlineStr">
        <is>
          <t>NMPL HUB</t>
        </is>
      </c>
      <c r="B29" s="601" t="inlineStr">
        <is>
          <t>ERW 1</t>
        </is>
      </c>
      <c r="C29" s="599" t="n">
        <v>38.1</v>
      </c>
      <c r="D29" s="599" t="n">
        <v>38.1</v>
      </c>
      <c r="E29" s="6" t="n">
        <v>0</v>
      </c>
      <c r="F29" s="599" t="n">
        <v>2</v>
      </c>
      <c r="G29" s="600" t="n">
        <v>812</v>
      </c>
      <c r="H29" s="600" t="inlineStr">
        <is>
          <t>NOS</t>
        </is>
      </c>
      <c r="I29" s="601" t="n">
        <v>6000</v>
      </c>
      <c r="J29" s="601" t="n">
        <v>0</v>
      </c>
      <c r="K29" s="602" t="n">
        <v>6000</v>
      </c>
      <c r="L29" s="563" t="inlineStr">
        <is>
          <t>38.1-0-2-ERW 1-FC</t>
        </is>
      </c>
      <c r="M29" s="562" t="n">
        <v>0.5043500000000001</v>
      </c>
    </row>
    <row r="30">
      <c r="A30" s="601" t="inlineStr">
        <is>
          <t>Rajsriya</t>
        </is>
      </c>
      <c r="B30" s="601" t="inlineStr">
        <is>
          <t>ERW 1</t>
        </is>
      </c>
      <c r="C30" s="599" t="n">
        <v>22.23</v>
      </c>
      <c r="D30" s="599" t="n">
        <v>22.23</v>
      </c>
      <c r="E30" s="599" t="n">
        <v>0</v>
      </c>
      <c r="F30" s="599" t="n">
        <v>1.6</v>
      </c>
      <c r="G30" s="600" t="n">
        <v>1175</v>
      </c>
      <c r="H30" s="600" t="inlineStr">
        <is>
          <t>NOS</t>
        </is>
      </c>
      <c r="I30" s="601" t="n">
        <v>12000</v>
      </c>
      <c r="J30" s="601" t="n">
        <v>5000</v>
      </c>
      <c r="K30" s="602" t="n">
        <v>7000</v>
      </c>
      <c r="L30" s="557" t="inlineStr">
        <is>
          <t>22.23-0-1.6-ERW 1-PE</t>
        </is>
      </c>
      <c r="M30" s="562" t="n">
        <v>7.916449999999999</v>
      </c>
    </row>
    <row r="31">
      <c r="A31" s="601" t="inlineStr">
        <is>
          <t>Rajsriya</t>
        </is>
      </c>
      <c r="B31" s="601" t="inlineStr">
        <is>
          <t>ERW 1</t>
        </is>
      </c>
      <c r="C31" s="599" t="n">
        <v>22.23</v>
      </c>
      <c r="D31" s="599" t="n">
        <v>22.23</v>
      </c>
      <c r="E31" s="599" t="n">
        <v>0</v>
      </c>
      <c r="F31" s="599" t="n">
        <v>1.6</v>
      </c>
      <c r="G31" s="600" t="n">
        <v>1210</v>
      </c>
      <c r="H31" s="600" t="inlineStr">
        <is>
          <t>NOS</t>
        </is>
      </c>
      <c r="I31" s="601" t="n">
        <v>6000</v>
      </c>
      <c r="J31" s="601" t="n">
        <v>4683</v>
      </c>
      <c r="K31" s="602" t="n">
        <v>1317</v>
      </c>
      <c r="L31" s="557" t="inlineStr">
        <is>
          <t>22.23-0-1.6-ERW 1-PE</t>
        </is>
      </c>
      <c r="M31" s="562" t="n">
        <v>7.916449999999999</v>
      </c>
    </row>
    <row r="32">
      <c r="A32" s="601" t="inlineStr">
        <is>
          <t>Marathwada</t>
        </is>
      </c>
      <c r="B32" s="601" t="inlineStr">
        <is>
          <t>CEW</t>
        </is>
      </c>
      <c r="C32" s="599" t="n">
        <v>25.4</v>
      </c>
      <c r="D32" s="599" t="n">
        <v>25.4</v>
      </c>
      <c r="E32" s="599" t="n">
        <v>0</v>
      </c>
      <c r="F32" s="599" t="n">
        <v>2.5</v>
      </c>
      <c r="G32" s="600" t="n">
        <v>217</v>
      </c>
      <c r="H32" s="600" t="inlineStr">
        <is>
          <t>NOS</t>
        </is>
      </c>
      <c r="I32" s="601" t="n">
        <v>8000</v>
      </c>
      <c r="J32" s="601" t="n">
        <v>8000</v>
      </c>
      <c r="K32" s="602" t="n">
        <v>0</v>
      </c>
      <c r="L32" s="557" t="inlineStr">
        <is>
          <t>25.4-0-2.5-CEW-CEW</t>
        </is>
      </c>
      <c r="M32" s="562" t="n">
        <v>0.924158</v>
      </c>
    </row>
    <row r="33">
      <c r="A33" s="601" t="inlineStr">
        <is>
          <t>Rajsriya</t>
        </is>
      </c>
      <c r="B33" s="601" t="inlineStr">
        <is>
          <t>CEW</t>
        </is>
      </c>
      <c r="C33" s="599" t="n">
        <v>25.4</v>
      </c>
      <c r="D33" s="599" t="n">
        <v>25.4</v>
      </c>
      <c r="E33" s="599" t="n">
        <v>0</v>
      </c>
      <c r="F33" s="599" t="n">
        <v>2.5</v>
      </c>
      <c r="G33" s="600" t="n">
        <v>217</v>
      </c>
      <c r="H33" s="600" t="inlineStr">
        <is>
          <t>NOS</t>
        </is>
      </c>
      <c r="I33" s="601" t="n">
        <v>15000</v>
      </c>
      <c r="J33" s="601" t="n">
        <v>3957</v>
      </c>
      <c r="K33" s="602" t="n">
        <v>11043</v>
      </c>
      <c r="L33" s="557" t="inlineStr">
        <is>
          <t>25.4-0-2.5-CEW-CEW</t>
        </is>
      </c>
      <c r="M33" s="562" t="n">
        <v>0.924158</v>
      </c>
    </row>
    <row r="34">
      <c r="A34" s="601" t="inlineStr">
        <is>
          <t>Sandhar Engineering Hosur</t>
        </is>
      </c>
      <c r="B34" s="601" t="inlineStr">
        <is>
          <t>ERW 1</t>
        </is>
      </c>
      <c r="C34" s="599" t="n">
        <v>38.1</v>
      </c>
      <c r="D34" s="599" t="n">
        <v>38.1</v>
      </c>
      <c r="E34" s="599" t="n">
        <v>0</v>
      </c>
      <c r="F34" s="599" t="n">
        <v>2</v>
      </c>
      <c r="G34" s="600" t="n">
        <v>432</v>
      </c>
      <c r="H34" s="600" t="inlineStr">
        <is>
          <t>NOS</t>
        </is>
      </c>
      <c r="I34" s="601" t="n">
        <v>15000</v>
      </c>
      <c r="J34" s="601" t="n">
        <v>6200</v>
      </c>
      <c r="K34" s="602" t="n">
        <v>8800</v>
      </c>
      <c r="L34" s="557" t="inlineStr">
        <is>
          <t>38.1-0-2-ERW 1-FC</t>
        </is>
      </c>
      <c r="M34" s="562" t="n">
        <v>0.5043500000000001</v>
      </c>
    </row>
    <row r="35">
      <c r="A35" s="601" t="inlineStr">
        <is>
          <t>Sandhar Engineering Hosur</t>
        </is>
      </c>
      <c r="B35" s="601" t="inlineStr">
        <is>
          <t>ERW 1</t>
        </is>
      </c>
      <c r="C35" s="599" t="n">
        <v>38.1</v>
      </c>
      <c r="D35" s="599" t="n">
        <v>38.1</v>
      </c>
      <c r="E35" s="599" t="n">
        <v>0</v>
      </c>
      <c r="F35" s="599" t="n">
        <v>2</v>
      </c>
      <c r="G35" s="600" t="n">
        <v>812</v>
      </c>
      <c r="H35" s="600" t="inlineStr">
        <is>
          <t>NOS</t>
        </is>
      </c>
      <c r="I35" s="601" t="n">
        <v>15000</v>
      </c>
      <c r="J35" s="601" t="n">
        <v>11000</v>
      </c>
      <c r="K35" s="602" t="n">
        <v>4000</v>
      </c>
      <c r="L35" s="557" t="inlineStr">
        <is>
          <t>38.1-0-2-ERW 1-FC</t>
        </is>
      </c>
      <c r="M35" s="562" t="n">
        <v>0.5043500000000001</v>
      </c>
    </row>
    <row r="36">
      <c r="A36" s="601" t="inlineStr">
        <is>
          <t>NMPL HUB</t>
        </is>
      </c>
      <c r="B36" s="601" t="inlineStr">
        <is>
          <t>ERW 1</t>
        </is>
      </c>
      <c r="C36" s="599" t="n">
        <v>38.1</v>
      </c>
      <c r="D36" s="599" t="n">
        <v>38.1</v>
      </c>
      <c r="E36" s="6" t="n">
        <v>0</v>
      </c>
      <c r="F36" s="599" t="n">
        <v>2</v>
      </c>
      <c r="G36" s="600" t="n">
        <v>1000</v>
      </c>
      <c r="H36" s="600" t="inlineStr">
        <is>
          <t>NOS</t>
        </is>
      </c>
      <c r="I36" s="601" t="n">
        <v>800</v>
      </c>
      <c r="J36" s="601" t="n">
        <v>0</v>
      </c>
      <c r="K36" s="602" t="n">
        <v>800</v>
      </c>
      <c r="L36" s="557" t="inlineStr">
        <is>
          <t>38.1-0-2-ERW 1-FC</t>
        </is>
      </c>
      <c r="M36" s="562" t="n">
        <v>0.5043500000000001</v>
      </c>
    </row>
    <row r="37">
      <c r="A37" s="601" t="inlineStr">
        <is>
          <t>NMPL HUB</t>
        </is>
      </c>
      <c r="B37" s="601" t="inlineStr">
        <is>
          <t>ERW 1</t>
        </is>
      </c>
      <c r="C37" s="599" t="n">
        <v>38.1</v>
      </c>
      <c r="D37" s="599" t="n">
        <v>38.1</v>
      </c>
      <c r="E37" s="6" t="n">
        <v>0</v>
      </c>
      <c r="F37" s="599" t="n">
        <v>2</v>
      </c>
      <c r="G37" s="600" t="n">
        <v>406</v>
      </c>
      <c r="H37" s="600" t="inlineStr">
        <is>
          <t>NOS</t>
        </is>
      </c>
      <c r="I37" s="601" t="n">
        <v>15000</v>
      </c>
      <c r="J37" s="601" t="n">
        <v>0</v>
      </c>
      <c r="K37" s="602" t="n">
        <v>15000</v>
      </c>
      <c r="L37" s="557" t="inlineStr">
        <is>
          <t>38.1-0-2-ERW 1-FC</t>
        </is>
      </c>
      <c r="M37" s="562" t="n">
        <v>0.5043500000000001</v>
      </c>
    </row>
    <row r="38">
      <c r="A38" s="601" t="inlineStr">
        <is>
          <t>Sandhar</t>
        </is>
      </c>
      <c r="B38" s="601" t="inlineStr">
        <is>
          <t>ERW 1</t>
        </is>
      </c>
      <c r="C38" s="599" t="n">
        <v>38.1</v>
      </c>
      <c r="D38" s="599" t="n">
        <v>38.1</v>
      </c>
      <c r="E38" s="599" t="n">
        <v>0</v>
      </c>
      <c r="F38" s="599" t="n">
        <v>2</v>
      </c>
      <c r="G38" s="600" t="n">
        <v>410</v>
      </c>
      <c r="H38" s="600" t="inlineStr">
        <is>
          <t>NOS</t>
        </is>
      </c>
      <c r="I38" s="601" t="n">
        <v>6552</v>
      </c>
      <c r="J38" s="601" t="n">
        <v>0</v>
      </c>
      <c r="K38" s="602" t="n">
        <v>6552</v>
      </c>
      <c r="L38" s="557" t="inlineStr">
        <is>
          <t>38.1-0-2-ERW 1-FC</t>
        </is>
      </c>
      <c r="M38" s="562" t="n">
        <v>0.5043500000000001</v>
      </c>
    </row>
    <row r="39">
      <c r="A39" s="601" t="inlineStr">
        <is>
          <t>NMPL 1</t>
        </is>
      </c>
      <c r="B39" s="601" t="inlineStr">
        <is>
          <t>ERW 1</t>
        </is>
      </c>
      <c r="C39" s="599" t="n">
        <v>38.1</v>
      </c>
      <c r="D39" s="599" t="n">
        <v>38.1</v>
      </c>
      <c r="E39" s="599" t="n">
        <v>0</v>
      </c>
      <c r="F39" s="599" t="n">
        <v>2</v>
      </c>
      <c r="G39" s="600" t="n">
        <v>488</v>
      </c>
      <c r="H39" s="600" t="inlineStr">
        <is>
          <t>NOS</t>
        </is>
      </c>
      <c r="I39" s="601" t="n">
        <v>6000</v>
      </c>
      <c r="J39" s="601" t="n">
        <v>0</v>
      </c>
      <c r="K39" s="602" t="n">
        <v>6000</v>
      </c>
      <c r="L39" s="557" t="inlineStr">
        <is>
          <t>38.1-0-2-ERW 1-FC</t>
        </is>
      </c>
      <c r="M39" s="562" t="n">
        <v>0.5043500000000001</v>
      </c>
    </row>
    <row r="40">
      <c r="A40" s="601" t="inlineStr">
        <is>
          <t>NMPL 1</t>
        </is>
      </c>
      <c r="B40" s="601" t="inlineStr">
        <is>
          <t>ERW 1</t>
        </is>
      </c>
      <c r="C40" s="599" t="n">
        <v>38.1</v>
      </c>
      <c r="D40" s="599" t="n">
        <v>38.1</v>
      </c>
      <c r="E40" s="6" t="n">
        <v>0</v>
      </c>
      <c r="F40" s="599" t="n">
        <v>2</v>
      </c>
      <c r="G40" s="600" t="n">
        <v>812</v>
      </c>
      <c r="H40" s="600" t="inlineStr">
        <is>
          <t>NOS</t>
        </is>
      </c>
      <c r="I40" s="601" t="n">
        <v>15000</v>
      </c>
      <c r="J40" s="601" t="n">
        <v>18305</v>
      </c>
      <c r="K40" s="602" t="n">
        <v>-3305</v>
      </c>
      <c r="L40" s="557" t="inlineStr">
        <is>
          <t>38.1-0-2-ERW 1-FC</t>
        </is>
      </c>
      <c r="M40" s="562" t="n">
        <v>0.5043500000000001</v>
      </c>
    </row>
    <row r="41">
      <c r="A41" s="601" t="inlineStr">
        <is>
          <t>Marathwada</t>
        </is>
      </c>
      <c r="B41" s="601" t="inlineStr">
        <is>
          <t>ERW 1</t>
        </is>
      </c>
      <c r="C41" s="599" t="n">
        <v>41.28</v>
      </c>
      <c r="D41" s="599" t="n">
        <v>40</v>
      </c>
      <c r="E41" s="599" t="n">
        <v>25</v>
      </c>
      <c r="F41" s="599" t="n">
        <v>1.6</v>
      </c>
      <c r="G41" s="600" t="n">
        <v>514</v>
      </c>
      <c r="H41" s="600" t="inlineStr">
        <is>
          <t>NOS</t>
        </is>
      </c>
      <c r="I41" s="601" t="n">
        <v>6000</v>
      </c>
      <c r="J41" s="601" t="n">
        <v>3160</v>
      </c>
      <c r="K41" s="602" t="n">
        <v>2840</v>
      </c>
      <c r="L41" s="557" t="inlineStr">
        <is>
          <t>40-25-1.6-ERW 1-FC</t>
        </is>
      </c>
      <c r="M41" s="562" t="n">
        <v>2.26339</v>
      </c>
    </row>
    <row r="42">
      <c r="A42" s="601" t="inlineStr">
        <is>
          <t>Marathwada</t>
        </is>
      </c>
      <c r="B42" s="601" t="inlineStr">
        <is>
          <t>ERW 1</t>
        </is>
      </c>
      <c r="C42" s="599" t="n">
        <v>41.28</v>
      </c>
      <c r="D42" s="599" t="n">
        <v>40</v>
      </c>
      <c r="E42" s="599" t="n">
        <v>25</v>
      </c>
      <c r="F42" s="599" t="n">
        <v>1.6</v>
      </c>
      <c r="G42" s="600" t="n">
        <v>538</v>
      </c>
      <c r="H42" s="600" t="inlineStr">
        <is>
          <t>NOS</t>
        </is>
      </c>
      <c r="I42" s="601" t="n">
        <v>15000</v>
      </c>
      <c r="J42" s="601" t="n">
        <v>9457</v>
      </c>
      <c r="K42" s="602" t="n">
        <v>5543</v>
      </c>
      <c r="L42" s="557" t="inlineStr">
        <is>
          <t>40-25-1.6-ERW 1-FC</t>
        </is>
      </c>
      <c r="M42" s="562" t="n">
        <v>2.26339</v>
      </c>
    </row>
    <row r="43">
      <c r="A43" s="601" t="inlineStr">
        <is>
          <t>Marathwada</t>
        </is>
      </c>
      <c r="B43" s="601" t="inlineStr">
        <is>
          <t>ERW 1</t>
        </is>
      </c>
      <c r="C43" s="599" t="n">
        <v>41.28</v>
      </c>
      <c r="D43" s="599" t="n">
        <v>40</v>
      </c>
      <c r="E43" s="599" t="n">
        <v>25</v>
      </c>
      <c r="F43" s="599" t="n">
        <v>1.6</v>
      </c>
      <c r="G43" s="600" t="n">
        <v>587</v>
      </c>
      <c r="H43" s="600" t="inlineStr">
        <is>
          <t>NOS</t>
        </is>
      </c>
      <c r="I43" s="601" t="n">
        <v>12000</v>
      </c>
      <c r="J43" s="601" t="n">
        <v>8926</v>
      </c>
      <c r="K43" s="602" t="n">
        <v>3074</v>
      </c>
      <c r="L43" s="557" t="inlineStr">
        <is>
          <t>40-25-1.6-ERW 1-FC</t>
        </is>
      </c>
      <c r="M43" s="562" t="n">
        <v>2.26339</v>
      </c>
    </row>
    <row r="44">
      <c r="A44" s="601" t="inlineStr">
        <is>
          <t>Elkayem</t>
        </is>
      </c>
      <c r="B44" s="601" t="inlineStr">
        <is>
          <t>ERW 1</t>
        </is>
      </c>
      <c r="C44" s="599" t="n">
        <v>41.28</v>
      </c>
      <c r="D44" s="599" t="n">
        <v>40</v>
      </c>
      <c r="E44" s="599" t="n">
        <v>25</v>
      </c>
      <c r="F44" s="599" t="n">
        <v>1.6</v>
      </c>
      <c r="G44" s="600" t="n">
        <v>513</v>
      </c>
      <c r="H44" s="600" t="inlineStr">
        <is>
          <t>NOS</t>
        </is>
      </c>
      <c r="I44" s="601" t="n">
        <v>2000</v>
      </c>
      <c r="J44" s="601" t="n">
        <v>0</v>
      </c>
      <c r="K44" s="602" t="n">
        <v>2000</v>
      </c>
      <c r="L44" s="557" t="inlineStr">
        <is>
          <t>40-25-1.6-ERW 1-FC</t>
        </is>
      </c>
      <c r="M44" s="562" t="n">
        <v>2.26339</v>
      </c>
    </row>
    <row r="45">
      <c r="A45" s="601" t="inlineStr">
        <is>
          <t>Sandhar Engineering Hosur</t>
        </is>
      </c>
      <c r="B45" s="601" t="inlineStr">
        <is>
          <t>ERW 1</t>
        </is>
      </c>
      <c r="C45" s="599" t="n">
        <v>41.28</v>
      </c>
      <c r="D45" s="599" t="n">
        <v>40</v>
      </c>
      <c r="E45" s="599" t="n">
        <v>25</v>
      </c>
      <c r="F45" s="599" t="n">
        <v>1.6</v>
      </c>
      <c r="G45" s="600" t="n">
        <v>513</v>
      </c>
      <c r="H45" s="600" t="inlineStr">
        <is>
          <t>NOS</t>
        </is>
      </c>
      <c r="I45" s="601" t="n">
        <v>20000</v>
      </c>
      <c r="J45" s="601" t="n">
        <v>19210</v>
      </c>
      <c r="K45" s="602" t="n">
        <v>790</v>
      </c>
      <c r="L45" s="557" t="inlineStr">
        <is>
          <t>40-25-1.6-ERW 1-FC</t>
        </is>
      </c>
      <c r="M45" s="562" t="n">
        <v>2.26339</v>
      </c>
    </row>
    <row r="46">
      <c r="A46" s="601" t="inlineStr">
        <is>
          <t>Sandhar Engineering Hosur</t>
        </is>
      </c>
      <c r="B46" s="601" t="inlineStr">
        <is>
          <t>ERW 1</t>
        </is>
      </c>
      <c r="C46" s="599" t="n">
        <v>41.28</v>
      </c>
      <c r="D46" s="599" t="n">
        <v>40</v>
      </c>
      <c r="E46" s="599" t="n">
        <v>25</v>
      </c>
      <c r="F46" s="599" t="n">
        <v>1.6</v>
      </c>
      <c r="G46" s="600" t="n">
        <v>536</v>
      </c>
      <c r="H46" s="600" t="inlineStr">
        <is>
          <t>NOS</t>
        </is>
      </c>
      <c r="I46" s="601" t="n">
        <v>20000</v>
      </c>
      <c r="J46" s="601" t="n">
        <v>13578</v>
      </c>
      <c r="K46" s="602" t="n">
        <v>6422</v>
      </c>
      <c r="L46" s="557" t="inlineStr">
        <is>
          <t>40-25-1.6-ERW 1-FC</t>
        </is>
      </c>
      <c r="M46" s="562" t="n">
        <v>2.26339</v>
      </c>
    </row>
    <row r="47">
      <c r="A47" s="601" t="inlineStr">
        <is>
          <t>Elkayem</t>
        </is>
      </c>
      <c r="B47" s="601" t="inlineStr">
        <is>
          <t>ERW 1</t>
        </is>
      </c>
      <c r="C47" s="599" t="n">
        <v>41.28</v>
      </c>
      <c r="D47" s="599" t="n">
        <v>40</v>
      </c>
      <c r="E47" s="599" t="n">
        <v>25</v>
      </c>
      <c r="F47" s="599" t="n">
        <v>1.6</v>
      </c>
      <c r="G47" s="600" t="n">
        <v>560</v>
      </c>
      <c r="H47" s="600" t="inlineStr">
        <is>
          <t>NOS</t>
        </is>
      </c>
      <c r="I47" s="601" t="n">
        <v>25000</v>
      </c>
      <c r="J47" s="601" t="n">
        <v>15214</v>
      </c>
      <c r="K47" s="602" t="n">
        <v>9786</v>
      </c>
      <c r="L47" s="557" t="inlineStr">
        <is>
          <t>40-25-1.6-ERW 1-FC</t>
        </is>
      </c>
      <c r="M47" s="562" t="n">
        <v>2.26339</v>
      </c>
    </row>
    <row r="48">
      <c r="A48" s="601" t="inlineStr">
        <is>
          <t>Elkayem</t>
        </is>
      </c>
      <c r="B48" s="601" t="inlineStr">
        <is>
          <t>ERW 1</t>
        </is>
      </c>
      <c r="C48" s="599" t="n">
        <v>41.28</v>
      </c>
      <c r="D48" s="599" t="n">
        <v>40</v>
      </c>
      <c r="E48" s="599" t="n">
        <v>25</v>
      </c>
      <c r="F48" s="599" t="n">
        <v>1.6</v>
      </c>
      <c r="G48" s="600" t="n">
        <v>585</v>
      </c>
      <c r="H48" s="600" t="inlineStr">
        <is>
          <t>NOS</t>
        </is>
      </c>
      <c r="I48" s="601" t="n">
        <v>12000</v>
      </c>
      <c r="J48" s="601" t="n">
        <v>5060</v>
      </c>
      <c r="K48" s="602" t="n">
        <v>6940</v>
      </c>
      <c r="L48" s="557" t="inlineStr">
        <is>
          <t>40-25-1.6-ERW 1-FC</t>
        </is>
      </c>
      <c r="M48" s="562" t="n">
        <v>2.26339</v>
      </c>
    </row>
    <row r="49">
      <c r="A49" s="601" t="inlineStr">
        <is>
          <t>Elkayem</t>
        </is>
      </c>
      <c r="B49" s="601" t="inlineStr">
        <is>
          <t>ERW 1</t>
        </is>
      </c>
      <c r="C49" s="599" t="n">
        <v>44.45</v>
      </c>
      <c r="D49" s="599" t="n">
        <v>40</v>
      </c>
      <c r="E49" s="599" t="n">
        <v>30</v>
      </c>
      <c r="F49" s="599" t="n">
        <v>2</v>
      </c>
      <c r="G49" s="600" t="n">
        <v>162</v>
      </c>
      <c r="H49" s="600" t="inlineStr">
        <is>
          <t>NOS</t>
        </is>
      </c>
      <c r="I49" s="601" t="n">
        <v>7000</v>
      </c>
      <c r="J49" s="601" t="n">
        <v>4260</v>
      </c>
      <c r="K49" s="602" t="n">
        <v>2740</v>
      </c>
      <c r="L49" s="557" t="inlineStr">
        <is>
          <t>40-30-2-ERW 1-FC</t>
        </is>
      </c>
      <c r="M49" s="562" t="n">
        <v>7.785</v>
      </c>
    </row>
    <row r="50">
      <c r="A50" s="601" t="inlineStr">
        <is>
          <t>Elkayem</t>
        </is>
      </c>
      <c r="B50" s="601" t="inlineStr">
        <is>
          <t>ERW 1</t>
        </is>
      </c>
      <c r="C50" s="559" t="n">
        <v>44.45</v>
      </c>
      <c r="D50" s="559" t="n">
        <v>40</v>
      </c>
      <c r="E50" s="559" t="n">
        <v>30</v>
      </c>
      <c r="F50" s="599" t="n">
        <v>2</v>
      </c>
      <c r="G50" s="600" t="n">
        <v>162</v>
      </c>
      <c r="H50" s="600" t="inlineStr">
        <is>
          <t>NOS</t>
        </is>
      </c>
      <c r="I50" s="557" t="n">
        <v>3450</v>
      </c>
      <c r="J50" s="601" t="n">
        <v>0</v>
      </c>
      <c r="K50" s="602" t="n">
        <v>3450</v>
      </c>
      <c r="L50" s="557" t="inlineStr">
        <is>
          <t>40-30-2-ERW 1-FC</t>
        </is>
      </c>
      <c r="M50" s="562" t="n">
        <v>7.785</v>
      </c>
    </row>
    <row r="51">
      <c r="A51" s="100" t="inlineStr">
        <is>
          <t>Metalman</t>
        </is>
      </c>
      <c r="B51" s="100" t="inlineStr">
        <is>
          <t>ERW 1</t>
        </is>
      </c>
      <c r="C51" s="566" t="n">
        <v>44.45</v>
      </c>
      <c r="D51" s="566" t="n">
        <v>40</v>
      </c>
      <c r="E51" s="566" t="n">
        <v>30</v>
      </c>
      <c r="F51" s="599" t="n">
        <v>2</v>
      </c>
      <c r="G51" s="600" t="n">
        <v>880</v>
      </c>
      <c r="H51" s="600" t="inlineStr">
        <is>
          <t>NOS</t>
        </is>
      </c>
      <c r="I51" s="557" t="n">
        <v>4000</v>
      </c>
      <c r="J51" s="601" t="n">
        <v>1500</v>
      </c>
      <c r="K51" s="602" t="n">
        <v>2500</v>
      </c>
      <c r="L51" s="557" t="inlineStr">
        <is>
          <t>40-30-2-ERW 1-FC</t>
        </is>
      </c>
      <c r="M51" s="562" t="n">
        <v>7.785</v>
      </c>
    </row>
    <row r="52">
      <c r="A52" s="601" t="inlineStr">
        <is>
          <t>Sandhar Engineering Hosur</t>
        </is>
      </c>
      <c r="B52" s="601" t="inlineStr">
        <is>
          <t>ERW 1</t>
        </is>
      </c>
      <c r="C52" s="599" t="n">
        <v>42.7</v>
      </c>
      <c r="D52" s="599" t="n">
        <v>42.7</v>
      </c>
      <c r="E52" s="599" t="n">
        <v>0</v>
      </c>
      <c r="F52" s="599" t="n">
        <v>3.5</v>
      </c>
      <c r="G52" s="600" t="n">
        <v>208</v>
      </c>
      <c r="H52" s="600" t="inlineStr">
        <is>
          <t>NOS</t>
        </is>
      </c>
      <c r="I52" s="601" t="n">
        <v>22000</v>
      </c>
      <c r="J52" s="601" t="n">
        <v>12242</v>
      </c>
      <c r="K52" s="602" t="n">
        <v>9758</v>
      </c>
      <c r="L52" s="557" t="inlineStr">
        <is>
          <t>42.7-0-3.5-ERW 1-FC</t>
        </is>
      </c>
      <c r="M52" s="562" t="n">
        <v>11.019</v>
      </c>
    </row>
    <row r="53">
      <c r="A53" s="601" t="inlineStr">
        <is>
          <t>Metalman</t>
        </is>
      </c>
      <c r="B53" s="601" t="inlineStr">
        <is>
          <t>ERW 1</t>
        </is>
      </c>
      <c r="C53" s="599" t="n">
        <v>42.7</v>
      </c>
      <c r="D53" s="599" t="n">
        <v>42.7</v>
      </c>
      <c r="E53" s="599" t="n">
        <v>0</v>
      </c>
      <c r="F53" s="599" t="n">
        <v>3.5</v>
      </c>
      <c r="G53" s="600" t="n">
        <v>210</v>
      </c>
      <c r="H53" s="600" t="inlineStr">
        <is>
          <t>NOS</t>
        </is>
      </c>
      <c r="I53" s="601" t="n">
        <v>3000</v>
      </c>
      <c r="J53" s="601" t="n">
        <v>0</v>
      </c>
      <c r="K53" s="602" t="n">
        <v>3000</v>
      </c>
      <c r="L53" s="557" t="inlineStr">
        <is>
          <t>42.7-0-3.5-ERW 1-FC</t>
        </is>
      </c>
      <c r="M53" s="562" t="n">
        <v>11.019</v>
      </c>
    </row>
    <row r="54">
      <c r="A54" s="601" t="inlineStr">
        <is>
          <t>NMPL 1</t>
        </is>
      </c>
      <c r="B54" s="601" t="inlineStr">
        <is>
          <t>ERW 1</t>
        </is>
      </c>
      <c r="C54" s="599" t="n">
        <v>42.7</v>
      </c>
      <c r="D54" s="599" t="n">
        <v>42.7</v>
      </c>
      <c r="E54" s="599" t="n">
        <v>0</v>
      </c>
      <c r="F54" s="599" t="n">
        <v>3.5</v>
      </c>
      <c r="G54" s="600" t="n">
        <v>210</v>
      </c>
      <c r="H54" s="600" t="inlineStr">
        <is>
          <t>NOS</t>
        </is>
      </c>
      <c r="I54" s="601" t="n">
        <v>40000</v>
      </c>
      <c r="J54" s="601" t="n">
        <v>20070</v>
      </c>
      <c r="K54" s="602" t="n">
        <v>19930</v>
      </c>
      <c r="L54" s="557" t="inlineStr">
        <is>
          <t>42.7-0-3.5-ERW 1-FC</t>
        </is>
      </c>
      <c r="M54" s="562" t="n">
        <v>11.019</v>
      </c>
    </row>
    <row r="55">
      <c r="A55" s="601" t="inlineStr">
        <is>
          <t>SRIKAM</t>
        </is>
      </c>
      <c r="B55" s="601" t="inlineStr">
        <is>
          <t>ERW 1</t>
        </is>
      </c>
      <c r="C55" s="599" t="n">
        <v>22.23</v>
      </c>
      <c r="D55" s="599" t="n">
        <v>22.23</v>
      </c>
      <c r="E55" s="6" t="n">
        <v>0</v>
      </c>
      <c r="F55" s="599" t="n">
        <v>1.6</v>
      </c>
      <c r="G55" s="600" t="n">
        <v>700</v>
      </c>
      <c r="H55" s="600" t="inlineStr">
        <is>
          <t>NOS</t>
        </is>
      </c>
      <c r="I55" s="601" t="n">
        <v>20000</v>
      </c>
      <c r="J55" s="601" t="n">
        <v>7300</v>
      </c>
      <c r="K55" s="602" t="n">
        <v>12700</v>
      </c>
      <c r="L55" s="557" t="inlineStr">
        <is>
          <t>22.23-0-1.6-ERW 1-PE</t>
        </is>
      </c>
      <c r="M55" s="562" t="n">
        <v>7.916449999999999</v>
      </c>
    </row>
    <row r="56">
      <c r="A56" s="601" t="inlineStr">
        <is>
          <t>Metalman</t>
        </is>
      </c>
      <c r="B56" s="601" t="inlineStr">
        <is>
          <t>ERW 1</t>
        </is>
      </c>
      <c r="C56" s="599" t="n">
        <v>42.7</v>
      </c>
      <c r="D56" s="599" t="n">
        <v>42.7</v>
      </c>
      <c r="E56" s="599" t="n">
        <v>0</v>
      </c>
      <c r="F56" s="599" t="n">
        <v>4</v>
      </c>
      <c r="G56" s="600" t="n">
        <v>235</v>
      </c>
      <c r="H56" s="600" t="inlineStr">
        <is>
          <t>NOS</t>
        </is>
      </c>
      <c r="I56" s="601" t="n">
        <v>7000</v>
      </c>
      <c r="J56" s="601" t="n">
        <v>0</v>
      </c>
      <c r="K56" s="602" t="n">
        <v>7000</v>
      </c>
      <c r="L56" s="557" t="inlineStr">
        <is>
          <t>42.7-0-4-ERW 1-FC</t>
        </is>
      </c>
      <c r="M56" s="562" t="n">
        <v>16.485048</v>
      </c>
    </row>
    <row r="57">
      <c r="A57" s="601" t="inlineStr">
        <is>
          <t>Rajsriya</t>
        </is>
      </c>
      <c r="B57" s="601" t="inlineStr">
        <is>
          <t>ERW 1</t>
        </is>
      </c>
      <c r="C57" s="599" t="n">
        <v>42.7</v>
      </c>
      <c r="D57" s="599" t="n">
        <v>42.7</v>
      </c>
      <c r="E57" s="599" t="n">
        <v>0</v>
      </c>
      <c r="F57" s="599" t="n">
        <v>4</v>
      </c>
      <c r="G57" s="600" t="n">
        <v>254</v>
      </c>
      <c r="H57" s="600" t="inlineStr">
        <is>
          <t>NOS</t>
        </is>
      </c>
      <c r="I57" s="601" t="n">
        <v>12000</v>
      </c>
      <c r="J57" s="601" t="n">
        <v>6758</v>
      </c>
      <c r="K57" s="602" t="n">
        <v>5242</v>
      </c>
      <c r="L57" s="557" t="inlineStr">
        <is>
          <t>42.7-0-4-ERW 1-FC</t>
        </is>
      </c>
      <c r="M57" s="562" t="n">
        <v>16.485048</v>
      </c>
    </row>
    <row r="58">
      <c r="A58" s="601" t="inlineStr">
        <is>
          <t>Rajsriya</t>
        </is>
      </c>
      <c r="B58" s="601" t="inlineStr">
        <is>
          <t>ERW 1</t>
        </is>
      </c>
      <c r="C58" s="599" t="n">
        <v>42.7</v>
      </c>
      <c r="D58" s="599" t="n">
        <v>42.7</v>
      </c>
      <c r="E58" s="599" t="n">
        <v>0</v>
      </c>
      <c r="F58" s="599" t="n">
        <v>4</v>
      </c>
      <c r="G58" s="600" t="n">
        <v>254</v>
      </c>
      <c r="H58" s="600" t="inlineStr">
        <is>
          <t>NOS</t>
        </is>
      </c>
      <c r="I58" s="601" t="n">
        <v>10000</v>
      </c>
      <c r="J58" s="601" t="n">
        <v>2685</v>
      </c>
      <c r="K58" s="602" t="n">
        <v>7315</v>
      </c>
      <c r="L58" s="557" t="inlineStr">
        <is>
          <t>42.7-0-4-ERW 1-FC</t>
        </is>
      </c>
      <c r="M58" s="562" t="n">
        <v>16.485048</v>
      </c>
    </row>
    <row r="59">
      <c r="A59" s="601" t="inlineStr">
        <is>
          <t>SRIKAM</t>
        </is>
      </c>
      <c r="B59" s="601" t="inlineStr">
        <is>
          <t>ERW 1</t>
        </is>
      </c>
      <c r="C59" s="599" t="n">
        <v>22.23</v>
      </c>
      <c r="D59" s="599" t="n">
        <v>22.23</v>
      </c>
      <c r="E59" s="6" t="n">
        <v>0</v>
      </c>
      <c r="F59" s="599" t="n">
        <v>1.6</v>
      </c>
      <c r="G59" s="600" t="n">
        <v>949</v>
      </c>
      <c r="H59" s="600" t="inlineStr">
        <is>
          <t>NOS</t>
        </is>
      </c>
      <c r="I59" s="601" t="n">
        <v>5000</v>
      </c>
      <c r="J59" s="601" t="n">
        <v>1500</v>
      </c>
      <c r="K59" s="602" t="n">
        <v>3500</v>
      </c>
      <c r="L59" s="557" t="inlineStr">
        <is>
          <t>22.23-0-1.6-ERW 1-PE</t>
        </is>
      </c>
      <c r="M59" s="562" t="n">
        <v>7.916449999999999</v>
      </c>
    </row>
    <row r="60">
      <c r="A60" s="601" t="inlineStr">
        <is>
          <t>NMPL 1</t>
        </is>
      </c>
      <c r="B60" s="601" t="inlineStr">
        <is>
          <t>ERW 2</t>
        </is>
      </c>
      <c r="C60" s="599" t="n">
        <v>63.5</v>
      </c>
      <c r="D60" s="79" t="n">
        <v>50</v>
      </c>
      <c r="E60" s="599" t="n">
        <v>50</v>
      </c>
      <c r="F60" s="599" t="n">
        <v>1.6</v>
      </c>
      <c r="G60" s="600" t="n">
        <v>847</v>
      </c>
      <c r="H60" s="600" t="inlineStr">
        <is>
          <t>NOS</t>
        </is>
      </c>
      <c r="I60" s="601" t="n">
        <v>9000</v>
      </c>
      <c r="J60" s="601" t="n">
        <v>6214</v>
      </c>
      <c r="K60" s="602" t="n">
        <v>2786</v>
      </c>
      <c r="L60" s="557" t="inlineStr">
        <is>
          <t>50-50-1.6-ERW 2-PE</t>
        </is>
      </c>
      <c r="M60" s="562" t="n">
        <v>14.279</v>
      </c>
    </row>
    <row r="61">
      <c r="A61" s="601" t="inlineStr">
        <is>
          <t>Laxmi</t>
        </is>
      </c>
      <c r="B61" s="601" t="inlineStr">
        <is>
          <t>ERW 2</t>
        </is>
      </c>
      <c r="C61" s="599" t="n">
        <v>63.5</v>
      </c>
      <c r="D61" s="599" t="n">
        <v>50</v>
      </c>
      <c r="E61" s="599" t="n">
        <v>50</v>
      </c>
      <c r="F61" s="599" t="n">
        <v>1.6</v>
      </c>
      <c r="G61" s="600" t="n">
        <v>847</v>
      </c>
      <c r="H61" s="600" t="inlineStr">
        <is>
          <t>NOS</t>
        </is>
      </c>
      <c r="I61" s="601" t="n">
        <v>3000</v>
      </c>
      <c r="J61" s="601" t="n">
        <v>2123</v>
      </c>
      <c r="K61" s="602" t="n">
        <v>877</v>
      </c>
      <c r="L61" s="557" t="inlineStr">
        <is>
          <t>50-50-1.6-ERW 2-PE</t>
        </is>
      </c>
      <c r="M61" s="562" t="n">
        <v>14.279</v>
      </c>
    </row>
    <row r="62">
      <c r="A62" s="601" t="inlineStr">
        <is>
          <t>Rajsriya</t>
        </is>
      </c>
      <c r="B62" s="601" t="inlineStr">
        <is>
          <t>ERW 1</t>
        </is>
      </c>
      <c r="C62" s="599" t="n">
        <v>57.15</v>
      </c>
      <c r="D62" s="599" t="n">
        <v>57.15</v>
      </c>
      <c r="E62" s="599" t="n">
        <v>0</v>
      </c>
      <c r="F62" s="599" t="n">
        <v>2.5</v>
      </c>
      <c r="G62" s="81" t="n">
        <v>376</v>
      </c>
      <c r="H62" s="600" t="inlineStr">
        <is>
          <t>NOS</t>
        </is>
      </c>
      <c r="I62" s="601" t="n">
        <v>10000</v>
      </c>
      <c r="J62" s="601" t="n">
        <v>3420</v>
      </c>
      <c r="K62" s="602" t="n">
        <v>6580</v>
      </c>
      <c r="L62" s="557" t="inlineStr">
        <is>
          <t>57.15-0-2.5-ERW 1-FC</t>
        </is>
      </c>
      <c r="M62" s="562" t="n">
        <v>26.982919</v>
      </c>
    </row>
    <row r="63">
      <c r="A63" s="601" t="inlineStr">
        <is>
          <t>NMPL HUB</t>
        </is>
      </c>
      <c r="B63" s="601" t="inlineStr">
        <is>
          <t>ERW 2</t>
        </is>
      </c>
      <c r="C63" s="599" t="n">
        <v>57.15</v>
      </c>
      <c r="D63" s="599" t="n">
        <v>57.15</v>
      </c>
      <c r="E63" s="6" t="n">
        <v>0</v>
      </c>
      <c r="F63" s="599" t="n">
        <v>2.3</v>
      </c>
      <c r="G63" s="600" t="n">
        <v>1365</v>
      </c>
      <c r="H63" s="600" t="inlineStr">
        <is>
          <t>NOS</t>
        </is>
      </c>
      <c r="I63" s="601" t="n">
        <v>10000</v>
      </c>
      <c r="J63" s="601" t="n">
        <v>5700</v>
      </c>
      <c r="K63" s="602" t="n">
        <v>4300</v>
      </c>
      <c r="L63" s="557" t="inlineStr">
        <is>
          <t>57.15-0-2.3-ERW 2-FC</t>
        </is>
      </c>
      <c r="M63" s="562" t="n">
        <v>95.73943999999996</v>
      </c>
    </row>
    <row r="64">
      <c r="A64" s="601" t="inlineStr">
        <is>
          <t>Rajsriya</t>
        </is>
      </c>
      <c r="B64" s="601" t="inlineStr">
        <is>
          <t>ERW 1</t>
        </is>
      </c>
      <c r="C64" s="599" t="n">
        <v>57.15</v>
      </c>
      <c r="D64" s="599" t="n">
        <v>57.15</v>
      </c>
      <c r="E64" s="599" t="n">
        <v>0</v>
      </c>
      <c r="F64" s="599" t="n">
        <v>2.5</v>
      </c>
      <c r="G64" s="81" t="n">
        <v>772</v>
      </c>
      <c r="H64" s="600" t="inlineStr">
        <is>
          <t>NOS</t>
        </is>
      </c>
      <c r="I64" s="601" t="n">
        <v>5000</v>
      </c>
      <c r="J64" s="601" t="n">
        <v>2675</v>
      </c>
      <c r="K64" s="602" t="n">
        <v>2325</v>
      </c>
      <c r="L64" s="557" t="inlineStr">
        <is>
          <t>57.15-0-2.5-ERW 1-FC</t>
        </is>
      </c>
      <c r="M64" s="562" t="n">
        <v>26.982919</v>
      </c>
    </row>
    <row r="65">
      <c r="A65" s="601" t="inlineStr">
        <is>
          <t>Rajsriya</t>
        </is>
      </c>
      <c r="B65" s="601" t="inlineStr">
        <is>
          <t>ERW 1</t>
        </is>
      </c>
      <c r="C65" s="599" t="n">
        <v>57.15</v>
      </c>
      <c r="D65" s="599" t="n">
        <v>57.15</v>
      </c>
      <c r="E65" s="599" t="n">
        <v>0</v>
      </c>
      <c r="F65" s="599" t="n">
        <v>2.5</v>
      </c>
      <c r="G65" s="81" t="n">
        <v>772</v>
      </c>
      <c r="H65" s="600" t="inlineStr">
        <is>
          <t>NOS</t>
        </is>
      </c>
      <c r="I65" s="601" t="n">
        <v>5000</v>
      </c>
      <c r="J65" s="601" t="n">
        <v>0</v>
      </c>
      <c r="K65" s="602" t="n">
        <v>5000</v>
      </c>
      <c r="L65" s="557" t="inlineStr">
        <is>
          <t>57.15-0-2.5-ERW 1-FC</t>
        </is>
      </c>
      <c r="M65" s="562" t="n">
        <v>26.982919</v>
      </c>
    </row>
    <row r="66">
      <c r="A66" s="601" t="inlineStr">
        <is>
          <t>Rajsriya</t>
        </is>
      </c>
      <c r="B66" s="601" t="inlineStr">
        <is>
          <t>ERW 1</t>
        </is>
      </c>
      <c r="C66" s="599" t="n">
        <v>60.3</v>
      </c>
      <c r="D66" s="599" t="n">
        <v>60.3</v>
      </c>
      <c r="E66" s="599" t="n">
        <v>0</v>
      </c>
      <c r="F66" s="599" t="n">
        <v>2</v>
      </c>
      <c r="G66" s="81" t="n">
        <v>491</v>
      </c>
      <c r="H66" s="600" t="inlineStr">
        <is>
          <t>NOS</t>
        </is>
      </c>
      <c r="I66" s="601" t="n">
        <v>8000</v>
      </c>
      <c r="J66" s="601" t="n">
        <v>2020</v>
      </c>
      <c r="K66" s="602" t="n">
        <v>5980</v>
      </c>
      <c r="L66" s="557" t="inlineStr">
        <is>
          <t>60.3-0-2-ERW 1-FC</t>
        </is>
      </c>
      <c r="M66" s="562" t="n">
        <v>31.47584</v>
      </c>
    </row>
    <row r="67">
      <c r="A67" s="601" t="inlineStr">
        <is>
          <t>Metalman</t>
        </is>
      </c>
      <c r="B67" s="601" t="inlineStr">
        <is>
          <t>ERW 1</t>
        </is>
      </c>
      <c r="C67" s="599" t="n">
        <v>60.3</v>
      </c>
      <c r="D67" s="599" t="n">
        <v>60.3</v>
      </c>
      <c r="E67" s="599" t="n">
        <v>0</v>
      </c>
      <c r="F67" s="112" t="n">
        <v>2</v>
      </c>
      <c r="G67" s="600" t="n">
        <v>525</v>
      </c>
      <c r="H67" s="22" t="inlineStr">
        <is>
          <t>NOS</t>
        </is>
      </c>
      <c r="I67" s="601" t="n">
        <v>6000</v>
      </c>
      <c r="J67" s="601" t="n">
        <v>0</v>
      </c>
      <c r="K67" s="602" t="n">
        <v>6000</v>
      </c>
      <c r="L67" s="557" t="inlineStr">
        <is>
          <t>60.3-0-2-ERW 1-FC</t>
        </is>
      </c>
      <c r="M67" s="562" t="n">
        <v>31.47584</v>
      </c>
    </row>
    <row r="68">
      <c r="A68" s="601" t="inlineStr">
        <is>
          <t>Laxmi</t>
        </is>
      </c>
      <c r="B68" s="601" t="inlineStr">
        <is>
          <t>ERW 1</t>
        </is>
      </c>
      <c r="C68" s="599" t="n">
        <v>63.5</v>
      </c>
      <c r="D68" s="599" t="n">
        <v>63.5</v>
      </c>
      <c r="E68" s="599" t="n">
        <v>0</v>
      </c>
      <c r="F68" s="599" t="n">
        <v>4</v>
      </c>
      <c r="G68" s="22" t="n">
        <v>234</v>
      </c>
      <c r="H68" s="22" t="inlineStr">
        <is>
          <t>NOS</t>
        </is>
      </c>
      <c r="I68" s="601" t="n">
        <v>6000</v>
      </c>
      <c r="J68" s="601" t="n">
        <v>1005</v>
      </c>
      <c r="K68" s="602" t="n">
        <v>4995</v>
      </c>
      <c r="L68" s="557" t="inlineStr">
        <is>
          <t>63.5-0-4-ERW 1-FC</t>
        </is>
      </c>
      <c r="M68" s="562" t="n">
        <v>3.268547</v>
      </c>
    </row>
    <row r="69">
      <c r="A69" s="601" t="inlineStr">
        <is>
          <t>NMPL 1</t>
        </is>
      </c>
      <c r="B69" s="601" t="inlineStr">
        <is>
          <t>ERW 1</t>
        </is>
      </c>
      <c r="C69" s="599" t="n">
        <v>63.5</v>
      </c>
      <c r="D69" s="79" t="n">
        <v>63.5</v>
      </c>
      <c r="E69" s="599" t="n">
        <v>0</v>
      </c>
      <c r="F69" s="599" t="n">
        <v>4</v>
      </c>
      <c r="G69" s="22" t="n">
        <v>236</v>
      </c>
      <c r="H69" s="22" t="inlineStr">
        <is>
          <t>NOS</t>
        </is>
      </c>
      <c r="I69" s="601" t="n">
        <v>18000</v>
      </c>
      <c r="J69" s="601" t="n">
        <v>5690</v>
      </c>
      <c r="K69" s="602" t="n">
        <v>12310</v>
      </c>
      <c r="L69" s="557" t="inlineStr">
        <is>
          <t>63.5-0-4-ERW 1-FC</t>
        </is>
      </c>
      <c r="M69" s="562" t="n">
        <v>3.268547</v>
      </c>
    </row>
    <row r="70">
      <c r="A70" s="601" t="inlineStr">
        <is>
          <t>NMPL 1</t>
        </is>
      </c>
      <c r="B70" s="601" t="inlineStr">
        <is>
          <t>ERW 2</t>
        </is>
      </c>
      <c r="C70" s="599" t="n">
        <v>70</v>
      </c>
      <c r="D70" s="79" t="n">
        <v>70</v>
      </c>
      <c r="E70" s="599" t="n">
        <v>0</v>
      </c>
      <c r="F70" s="112" t="n">
        <v>3.2</v>
      </c>
      <c r="G70" s="22" t="n">
        <v>490</v>
      </c>
      <c r="H70" s="22" t="inlineStr">
        <is>
          <t>NOS</t>
        </is>
      </c>
      <c r="I70" s="601" t="n">
        <v>9000</v>
      </c>
      <c r="J70" s="601" t="n">
        <v>2544</v>
      </c>
      <c r="K70" s="602" t="n">
        <v>6456</v>
      </c>
      <c r="L70" s="557" t="inlineStr">
        <is>
          <t>70-0-3.2-ERW 2-FC</t>
        </is>
      </c>
      <c r="M70" s="562" t="n">
        <v>3.01</v>
      </c>
    </row>
    <row r="71">
      <c r="A71" s="601" t="inlineStr">
        <is>
          <t>Laxmi</t>
        </is>
      </c>
      <c r="B71" s="601" t="inlineStr">
        <is>
          <t>ERW 2</t>
        </is>
      </c>
      <c r="C71" s="599" t="n">
        <v>70</v>
      </c>
      <c r="D71" s="599" t="n">
        <v>70</v>
      </c>
      <c r="E71" s="599" t="n">
        <v>0</v>
      </c>
      <c r="F71" s="112" t="n">
        <v>3.2</v>
      </c>
      <c r="G71" s="22" t="n">
        <v>512</v>
      </c>
      <c r="H71" s="23" t="inlineStr">
        <is>
          <t>NOS</t>
        </is>
      </c>
      <c r="I71" s="601" t="n">
        <v>2500</v>
      </c>
      <c r="J71" s="601" t="n">
        <v>150</v>
      </c>
      <c r="K71" s="602" t="n">
        <v>2350</v>
      </c>
      <c r="L71" s="601" t="inlineStr">
        <is>
          <t>70-0-3.2-ERW 2-FC</t>
        </is>
      </c>
      <c r="M71" s="598" t="n">
        <v>3.01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79"/>
  <sheetViews>
    <sheetView topLeftCell="C1" workbookViewId="0">
      <selection activeCell="A5" sqref="A5"/>
    </sheetView>
  </sheetViews>
  <sheetFormatPr baseColWidth="8" defaultRowHeight="15"/>
  <cols>
    <col width="11.7109375" customWidth="1" style="584" min="1" max="1"/>
    <col width="13.28515625" customWidth="1" style="584" min="3" max="3"/>
    <col width="11.42578125" customWidth="1" style="584" min="6" max="6"/>
    <col width="10.140625" customWidth="1" style="584" min="7" max="7"/>
    <col width="17.85546875" customWidth="1" style="584" min="9" max="9"/>
    <col width="11.85546875" customWidth="1" style="584" min="10" max="10"/>
    <col width="13.140625" customWidth="1" style="584" min="11" max="11"/>
    <col width="22.42578125" bestFit="1" customWidth="1" style="584" min="12" max="12"/>
    <col width="14.42578125" customWidth="1" style="584" min="13" max="14"/>
  </cols>
  <sheetData>
    <row r="1">
      <c r="I1" s="108">
        <f>SUBTOTAL(9,Table37[SCHEDULE in nos])</f>
        <v/>
      </c>
      <c r="J1" s="108">
        <f>SUBTOTAL(9,Table37[DISPATCH])</f>
        <v/>
      </c>
      <c r="K1" s="108">
        <f>SUBTOTAL(9,Table37[BAL IN NOS])</f>
        <v/>
      </c>
      <c r="N1" s="554">
        <f>SUBTOTAL(9,Table37[CTL to be planned as per capacity constraint])</f>
        <v/>
      </c>
      <c r="O1">
        <f>SUBTOTAL(9,Table37[22])</f>
        <v/>
      </c>
      <c r="P1">
        <f>SUBTOTAL(9,Table37[23])</f>
        <v/>
      </c>
      <c r="Q1">
        <f>SUBTOTAL(9,Table37[24])</f>
        <v/>
      </c>
      <c r="R1">
        <f>SUBTOTAL(9,Table37[25])</f>
        <v/>
      </c>
      <c r="S1">
        <f>SUBTOTAL(9,Table37[26])</f>
        <v/>
      </c>
      <c r="T1">
        <f>SUBTOTAL(9,Table37[27])</f>
        <v/>
      </c>
      <c r="U1">
        <f>SUBTOTAL(9,Table37[28])</f>
        <v/>
      </c>
      <c r="V1">
        <f>SUBTOTAL(9,Table37[29])</f>
        <v/>
      </c>
      <c r="W1">
        <f>SUBTOTAL(9,Table37[30])</f>
        <v/>
      </c>
      <c r="X1">
        <f>SUBTOTAL(9,Table37[31])</f>
        <v/>
      </c>
    </row>
    <row r="2" ht="60" customHeight="1" s="584">
      <c r="A2" s="553" t="inlineStr">
        <is>
          <t>Customer</t>
        </is>
      </c>
      <c r="B2" s="37" t="inlineStr">
        <is>
          <t>Grade</t>
        </is>
      </c>
      <c r="C2" s="38" t="inlineStr">
        <is>
          <t>ACTUAL OD</t>
        </is>
      </c>
      <c r="D2" s="38" t="inlineStr">
        <is>
          <t>OD</t>
        </is>
      </c>
      <c r="E2" s="38" t="inlineStr">
        <is>
          <t>ID</t>
        </is>
      </c>
      <c r="F2" s="38" t="inlineStr">
        <is>
          <t>TICKNESS</t>
        </is>
      </c>
      <c r="G2" s="38" t="inlineStr">
        <is>
          <t>LENGTH</t>
        </is>
      </c>
      <c r="H2" s="38" t="inlineStr">
        <is>
          <t>UoM</t>
        </is>
      </c>
      <c r="I2" s="39" t="inlineStr">
        <is>
          <t>SCHEDULE in nos</t>
        </is>
      </c>
      <c r="J2" s="40" t="inlineStr">
        <is>
          <t>DISPATCH</t>
        </is>
      </c>
      <c r="K2" s="41" t="inlineStr">
        <is>
          <t>BAL IN NOS</t>
        </is>
      </c>
      <c r="L2" s="37" t="inlineStr">
        <is>
          <t>Bucket</t>
        </is>
      </c>
      <c r="M2" s="551" t="inlineStr">
        <is>
          <t>4731 LL Stock</t>
        </is>
      </c>
      <c r="N2" s="551" t="inlineStr">
        <is>
          <t>CTL to be planned as per capacity constraint</t>
        </is>
      </c>
      <c r="O2" s="89" t="inlineStr">
        <is>
          <t>22</t>
        </is>
      </c>
      <c r="P2" s="89" t="inlineStr">
        <is>
          <t>23</t>
        </is>
      </c>
      <c r="Q2" s="89" t="inlineStr">
        <is>
          <t>24</t>
        </is>
      </c>
      <c r="R2" s="89" t="inlineStr">
        <is>
          <t>25</t>
        </is>
      </c>
      <c r="S2" s="89" t="inlineStr">
        <is>
          <t>26</t>
        </is>
      </c>
      <c r="T2" s="89" t="inlineStr">
        <is>
          <t>27</t>
        </is>
      </c>
      <c r="U2" s="89" t="inlineStr">
        <is>
          <t>28</t>
        </is>
      </c>
      <c r="V2" s="89" t="inlineStr">
        <is>
          <t>29</t>
        </is>
      </c>
      <c r="W2" s="89" t="inlineStr">
        <is>
          <t>30</t>
        </is>
      </c>
      <c r="X2" s="89" t="inlineStr">
        <is>
          <t>31</t>
        </is>
      </c>
    </row>
    <row r="3">
      <c r="A3" s="552" t="inlineStr">
        <is>
          <t>Elkayem</t>
        </is>
      </c>
      <c r="B3" s="601" t="inlineStr">
        <is>
          <t>ERW 1</t>
        </is>
      </c>
      <c r="C3" s="599" t="n">
        <v>19.05</v>
      </c>
      <c r="D3" s="599" t="n">
        <v>19.05</v>
      </c>
      <c r="E3" s="599" t="n">
        <v>0</v>
      </c>
      <c r="F3" s="599" t="n">
        <v>2.3</v>
      </c>
      <c r="G3" s="600" t="n">
        <v>255</v>
      </c>
      <c r="H3" s="600" t="inlineStr">
        <is>
          <t>NOS</t>
        </is>
      </c>
      <c r="I3" s="601" t="n">
        <v>6000</v>
      </c>
      <c r="J3" s="601" t="n">
        <v>0</v>
      </c>
      <c r="K3" s="602" t="n">
        <v>6000</v>
      </c>
      <c r="L3" s="557" t="inlineStr">
        <is>
          <t>19.05-0-2.3-ERW 1-PE</t>
        </is>
      </c>
      <c r="M3" s="598" t="n">
        <v>13.504943</v>
      </c>
      <c r="N3" s="598">
        <f>Table37[[#This Row],[BAL IN NOS]]</f>
        <v/>
      </c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>
      <c r="A4" s="552" t="inlineStr">
        <is>
          <t>Elkayem</t>
        </is>
      </c>
      <c r="B4" s="601" t="inlineStr">
        <is>
          <t>ERW 1</t>
        </is>
      </c>
      <c r="C4" s="599" t="n">
        <v>19.05</v>
      </c>
      <c r="D4" s="599" t="n">
        <v>19.05</v>
      </c>
      <c r="E4" s="599" t="n">
        <v>0</v>
      </c>
      <c r="F4" s="599" t="n">
        <v>2.3</v>
      </c>
      <c r="G4" s="600" t="n">
        <v>285</v>
      </c>
      <c r="H4" s="600" t="inlineStr">
        <is>
          <t>NOS</t>
        </is>
      </c>
      <c r="I4" s="601" t="n">
        <v>7000</v>
      </c>
      <c r="J4" s="601" t="n">
        <v>0</v>
      </c>
      <c r="K4" s="602" t="n">
        <v>7000</v>
      </c>
      <c r="L4" s="557" t="inlineStr">
        <is>
          <t>19.05-0-2.3-ERW 1-PE</t>
        </is>
      </c>
      <c r="M4" s="598" t="n">
        <v>13.504943</v>
      </c>
      <c r="N4" s="598">
        <f>Table37[[#This Row],[BAL IN NOS]]</f>
        <v/>
      </c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</row>
    <row r="5" hidden="1" s="584">
      <c r="A5" s="552" t="inlineStr">
        <is>
          <t>Elkayem</t>
        </is>
      </c>
      <c r="B5" s="601" t="inlineStr">
        <is>
          <t>ERW 1</t>
        </is>
      </c>
      <c r="C5" s="6" t="n">
        <v>17.3</v>
      </c>
      <c r="D5" s="6" t="n">
        <v>17.3</v>
      </c>
      <c r="E5" s="599" t="n">
        <v>0</v>
      </c>
      <c r="F5" s="599" t="n">
        <v>1.6</v>
      </c>
      <c r="G5" s="600" t="n">
        <v>355</v>
      </c>
      <c r="H5" s="600" t="inlineStr">
        <is>
          <t>NOS</t>
        </is>
      </c>
      <c r="I5" s="601" t="n">
        <v>15000</v>
      </c>
      <c r="J5" s="601" t="n">
        <v>18000</v>
      </c>
      <c r="K5" s="602" t="n">
        <v>-3000</v>
      </c>
      <c r="L5" s="557" t="inlineStr">
        <is>
          <t>17.3-0-1.6-ERW 1-PE</t>
        </is>
      </c>
      <c r="M5" s="598" t="n">
        <v>11.246831</v>
      </c>
      <c r="N5" s="598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</row>
    <row r="6">
      <c r="A6" s="552" t="inlineStr">
        <is>
          <t>Elkayem</t>
        </is>
      </c>
      <c r="B6" s="601" t="inlineStr">
        <is>
          <t>ERW 1</t>
        </is>
      </c>
      <c r="C6" s="6" t="n">
        <v>17.3</v>
      </c>
      <c r="D6" s="6" t="n">
        <v>17.3</v>
      </c>
      <c r="E6" s="599" t="n">
        <v>0</v>
      </c>
      <c r="F6" s="599" t="n">
        <v>1.6</v>
      </c>
      <c r="G6" s="600" t="n">
        <v>400</v>
      </c>
      <c r="H6" s="600" t="inlineStr">
        <is>
          <t>NOS</t>
        </is>
      </c>
      <c r="I6" s="601" t="n">
        <v>25000</v>
      </c>
      <c r="J6" s="601" t="n">
        <v>7400</v>
      </c>
      <c r="K6" s="602" t="n">
        <v>17600</v>
      </c>
      <c r="L6" s="557" t="inlineStr">
        <is>
          <t>17.3-0-1.6-ERW 1-PE</t>
        </is>
      </c>
      <c r="M6" s="598" t="n">
        <v>11.246831</v>
      </c>
      <c r="N6" s="598">
        <f>Table37[[#This Row],[BAL IN NOS]]</f>
        <v/>
      </c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</row>
    <row r="7">
      <c r="A7" s="552" t="inlineStr">
        <is>
          <t>Elkayem</t>
        </is>
      </c>
      <c r="B7" s="601" t="inlineStr">
        <is>
          <t>ERW 1</t>
        </is>
      </c>
      <c r="C7" s="599" t="n">
        <v>19.05</v>
      </c>
      <c r="D7" s="599" t="n">
        <v>19.05</v>
      </c>
      <c r="E7" s="599" t="n">
        <v>0</v>
      </c>
      <c r="F7" s="599" t="n">
        <v>2.3</v>
      </c>
      <c r="G7" s="600" t="n">
        <v>303</v>
      </c>
      <c r="H7" s="600" t="inlineStr">
        <is>
          <t>NOS</t>
        </is>
      </c>
      <c r="I7" s="601" t="n">
        <v>14000</v>
      </c>
      <c r="J7" s="601" t="n">
        <v>0</v>
      </c>
      <c r="K7" s="602" t="n">
        <v>14000</v>
      </c>
      <c r="L7" s="557" t="inlineStr">
        <is>
          <t>19.05-0-2.3-ERW 1-PE</t>
        </is>
      </c>
      <c r="M7" s="598" t="n">
        <v>13.504943</v>
      </c>
      <c r="N7" s="598">
        <f>Table37[[#This Row],[BAL IN NOS]]</f>
        <v/>
      </c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</row>
    <row r="8">
      <c r="A8" s="552" t="inlineStr">
        <is>
          <t>Laxmi</t>
        </is>
      </c>
      <c r="B8" s="601" t="inlineStr">
        <is>
          <t>CEW</t>
        </is>
      </c>
      <c r="C8" s="599" t="n">
        <v>20</v>
      </c>
      <c r="D8" s="599" t="n">
        <v>20</v>
      </c>
      <c r="E8" s="599" t="n">
        <v>17.16</v>
      </c>
      <c r="F8" s="599" t="n">
        <v>1.42</v>
      </c>
      <c r="G8" s="600" t="n">
        <v>273</v>
      </c>
      <c r="H8" s="600" t="inlineStr">
        <is>
          <t>NOS</t>
        </is>
      </c>
      <c r="I8" s="601" t="n">
        <v>12000</v>
      </c>
      <c r="J8" s="601" t="n">
        <v>3000</v>
      </c>
      <c r="K8" s="602" t="n">
        <v>9000</v>
      </c>
      <c r="L8" s="557" t="inlineStr">
        <is>
          <t>20-17.16-1.42-CEW-CEW</t>
        </is>
      </c>
      <c r="M8" s="598" t="n">
        <v>10.409595</v>
      </c>
      <c r="N8" s="598" t="n">
        <v>9000</v>
      </c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</row>
    <row r="9">
      <c r="A9" s="552" t="inlineStr">
        <is>
          <t>Laxmi</t>
        </is>
      </c>
      <c r="B9" s="601" t="inlineStr">
        <is>
          <t>ERW 2</t>
        </is>
      </c>
      <c r="C9" s="599" t="n">
        <v>63.5</v>
      </c>
      <c r="D9" s="599" t="n">
        <v>50</v>
      </c>
      <c r="E9" s="599" t="n">
        <v>50</v>
      </c>
      <c r="F9" s="599" t="n">
        <v>1.6</v>
      </c>
      <c r="G9" s="600" t="n">
        <v>847</v>
      </c>
      <c r="H9" s="600" t="inlineStr">
        <is>
          <t>NOS</t>
        </is>
      </c>
      <c r="I9" s="601" t="n">
        <v>3000</v>
      </c>
      <c r="J9" s="601" t="n">
        <v>2123</v>
      </c>
      <c r="K9" s="602" t="n">
        <v>877</v>
      </c>
      <c r="L9" s="557" t="inlineStr">
        <is>
          <t>50-50-1.6-ERW 2-PE</t>
        </is>
      </c>
      <c r="M9" s="598" t="n">
        <v>29.22196600000002</v>
      </c>
      <c r="N9" s="598" t="n">
        <v>877</v>
      </c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>
      <c r="A10" s="552" t="inlineStr">
        <is>
          <t>Laxmi</t>
        </is>
      </c>
      <c r="B10" s="601" t="inlineStr">
        <is>
          <t>ERW 2</t>
        </is>
      </c>
      <c r="C10" s="599" t="n">
        <v>54</v>
      </c>
      <c r="D10" s="599" t="n">
        <v>54</v>
      </c>
      <c r="E10" s="599" t="n">
        <v>0</v>
      </c>
      <c r="F10" s="599" t="n">
        <v>3</v>
      </c>
      <c r="G10" s="600" t="n">
        <v>1140</v>
      </c>
      <c r="H10" s="600" t="inlineStr">
        <is>
          <t>NOS</t>
        </is>
      </c>
      <c r="I10" s="601" t="n">
        <v>3500</v>
      </c>
      <c r="J10" s="601" t="n">
        <v>1980</v>
      </c>
      <c r="K10" s="602" t="n">
        <v>1520</v>
      </c>
      <c r="L10" s="557" t="inlineStr">
        <is>
          <t>54-0-3-ERW 2-FC</t>
        </is>
      </c>
      <c r="M10" s="598" t="n">
        <v>8.111578</v>
      </c>
      <c r="N10" s="598">
        <f>Table37[[#This Row],[BAL IN NOS]]</f>
        <v/>
      </c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</row>
    <row r="11">
      <c r="A11" s="552" t="inlineStr">
        <is>
          <t>Laxmi</t>
        </is>
      </c>
      <c r="B11" s="601" t="inlineStr">
        <is>
          <t>ERW 1</t>
        </is>
      </c>
      <c r="C11" s="599" t="n">
        <v>63.5</v>
      </c>
      <c r="D11" s="599" t="n">
        <v>63.5</v>
      </c>
      <c r="E11" s="599" t="n">
        <v>0</v>
      </c>
      <c r="F11" s="599" t="n">
        <v>4</v>
      </c>
      <c r="G11" s="22" t="n">
        <v>234</v>
      </c>
      <c r="H11" s="22" t="inlineStr">
        <is>
          <t>NOS</t>
        </is>
      </c>
      <c r="I11" s="601" t="n">
        <v>6000</v>
      </c>
      <c r="J11" s="601" t="n">
        <v>1005</v>
      </c>
      <c r="K11" s="602" t="n">
        <v>4995</v>
      </c>
      <c r="L11" s="557" t="inlineStr">
        <is>
          <t>63.5-0-4-ERW 1-FC</t>
        </is>
      </c>
      <c r="M11" s="598" t="n">
        <v>60.79548700000001</v>
      </c>
      <c r="N11" s="598">
        <f>Table37[[#This Row],[BAL IN NOS]]</f>
        <v/>
      </c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</row>
    <row r="12" hidden="1" s="584">
      <c r="A12" s="552" t="inlineStr">
        <is>
          <t>Marathwada</t>
        </is>
      </c>
      <c r="B12" s="601" t="inlineStr">
        <is>
          <t>CEW</t>
        </is>
      </c>
      <c r="C12" s="599" t="n">
        <v>25.4</v>
      </c>
      <c r="D12" s="599" t="n">
        <v>25.4</v>
      </c>
      <c r="E12" s="599" t="n">
        <v>0</v>
      </c>
      <c r="F12" s="599" t="n">
        <v>2.5</v>
      </c>
      <c r="G12" s="600" t="n">
        <v>217</v>
      </c>
      <c r="H12" s="600" t="inlineStr">
        <is>
          <t>NOS</t>
        </is>
      </c>
      <c r="I12" s="601" t="n">
        <v>8000</v>
      </c>
      <c r="J12" s="601" t="n">
        <v>8000</v>
      </c>
      <c r="K12" s="602" t="n">
        <v>0</v>
      </c>
      <c r="L12" s="557" t="inlineStr">
        <is>
          <t>25.4-0-2.5-CEW-CEW</t>
        </is>
      </c>
      <c r="M12" s="598" t="n">
        <v>14.297749</v>
      </c>
      <c r="N12" s="598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</row>
    <row r="13" hidden="1" s="584">
      <c r="A13" s="552" t="inlineStr">
        <is>
          <t>Marathwada</t>
        </is>
      </c>
      <c r="B13" s="601" t="inlineStr">
        <is>
          <t>CEW</t>
        </is>
      </c>
      <c r="C13" s="599" t="n">
        <v>30.15</v>
      </c>
      <c r="D13" s="599" t="n">
        <v>30</v>
      </c>
      <c r="E13" s="599" t="n">
        <v>25.5</v>
      </c>
      <c r="F13" s="599" t="n">
        <v>2.25</v>
      </c>
      <c r="G13" s="600" t="n">
        <v>485</v>
      </c>
      <c r="H13" s="600" t="inlineStr">
        <is>
          <t>NOS</t>
        </is>
      </c>
      <c r="I13" s="601" t="n">
        <v>30000</v>
      </c>
      <c r="J13" s="601" t="n">
        <v>28500</v>
      </c>
      <c r="K13" s="602" t="n">
        <v>1499.999999999996</v>
      </c>
      <c r="L13" s="557" t="inlineStr">
        <is>
          <t>30-25.5-2.25-CEW-CEW</t>
        </is>
      </c>
      <c r="M13" s="598" t="n">
        <v>24.27011</v>
      </c>
      <c r="N13" s="598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</row>
    <row r="14">
      <c r="A14" s="552" t="inlineStr">
        <is>
          <t>Marathwada</t>
        </is>
      </c>
      <c r="B14" s="601" t="inlineStr">
        <is>
          <t>CEW</t>
        </is>
      </c>
      <c r="C14" s="599" t="n">
        <v>39</v>
      </c>
      <c r="D14" s="599" t="n">
        <v>39</v>
      </c>
      <c r="E14" s="599" t="n">
        <v>34</v>
      </c>
      <c r="F14" s="599" t="n">
        <v>2.5</v>
      </c>
      <c r="G14" s="600" t="n">
        <v>272</v>
      </c>
      <c r="H14" s="600" t="inlineStr">
        <is>
          <t>NOS</t>
        </is>
      </c>
      <c r="I14" s="601" t="n">
        <v>15000</v>
      </c>
      <c r="J14" s="601" t="n">
        <v>5000</v>
      </c>
      <c r="K14" s="602" t="n">
        <v>10000</v>
      </c>
      <c r="L14" s="557" t="inlineStr">
        <is>
          <t>39-34-2.5-CEW-CEW</t>
        </is>
      </c>
      <c r="M14" s="598" t="n">
        <v>38.132676</v>
      </c>
      <c r="N14" s="598">
        <f>Table37[[#This Row],[BAL IN NOS]]</f>
        <v/>
      </c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</row>
    <row r="15" hidden="1" s="584">
      <c r="A15" s="552" t="inlineStr">
        <is>
          <t>Metalman</t>
        </is>
      </c>
      <c r="B15" s="601" t="inlineStr">
        <is>
          <t>ERW 1</t>
        </is>
      </c>
      <c r="C15" s="599" t="n">
        <v>38.1</v>
      </c>
      <c r="D15" s="599" t="n">
        <v>38.1</v>
      </c>
      <c r="E15" s="599" t="n">
        <v>0</v>
      </c>
      <c r="F15" s="599" t="n">
        <v>1.6</v>
      </c>
      <c r="G15" s="600" t="n">
        <v>821</v>
      </c>
      <c r="H15" s="600" t="inlineStr">
        <is>
          <t>NOS</t>
        </is>
      </c>
      <c r="I15" s="601" t="n">
        <v>2500</v>
      </c>
      <c r="J15" s="601" t="n">
        <v>935</v>
      </c>
      <c r="K15" s="602" t="n">
        <v>1565</v>
      </c>
      <c r="L15" s="557" t="inlineStr">
        <is>
          <t>38.1-0-1.6-ERW 1-FC</t>
        </is>
      </c>
      <c r="M15" s="598" t="n">
        <v>9.805775000000001</v>
      </c>
      <c r="N15" s="598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</row>
    <row r="16" hidden="1" s="584">
      <c r="A16" s="552" t="inlineStr">
        <is>
          <t>Metalman</t>
        </is>
      </c>
      <c r="B16" s="601" t="inlineStr">
        <is>
          <t>ERW 1</t>
        </is>
      </c>
      <c r="C16" s="599" t="n">
        <v>44.45</v>
      </c>
      <c r="D16" s="599" t="n">
        <v>40</v>
      </c>
      <c r="E16" s="599" t="n">
        <v>30</v>
      </c>
      <c r="F16" s="599" t="n">
        <v>1.6</v>
      </c>
      <c r="G16" s="600" t="n">
        <v>835</v>
      </c>
      <c r="H16" s="600" t="inlineStr">
        <is>
          <t>NOS</t>
        </is>
      </c>
      <c r="I16" s="601" t="n">
        <v>16000</v>
      </c>
      <c r="J16" s="601" t="n">
        <v>4500</v>
      </c>
      <c r="K16" s="602" t="n">
        <v>11500</v>
      </c>
      <c r="L16" s="557" t="inlineStr">
        <is>
          <t>40-30-1.6-ERW 1-FC</t>
        </is>
      </c>
      <c r="M16" s="598" t="n">
        <v>11.456838</v>
      </c>
      <c r="N16" s="598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</row>
    <row r="17" hidden="1" s="584">
      <c r="A17" s="552" t="inlineStr">
        <is>
          <t>Metalman</t>
        </is>
      </c>
      <c r="B17" s="601" t="inlineStr">
        <is>
          <t>ERW 1</t>
        </is>
      </c>
      <c r="C17" s="599" t="n">
        <v>44.45</v>
      </c>
      <c r="D17" s="599" t="n">
        <v>40</v>
      </c>
      <c r="E17" s="599" t="n">
        <v>30</v>
      </c>
      <c r="F17" s="599" t="n">
        <v>1.6</v>
      </c>
      <c r="G17" s="600" t="n">
        <v>880</v>
      </c>
      <c r="H17" s="600" t="inlineStr">
        <is>
          <t>NOS</t>
        </is>
      </c>
      <c r="I17" s="601" t="n">
        <v>4000</v>
      </c>
      <c r="J17" s="601" t="n">
        <v>885</v>
      </c>
      <c r="K17" s="602" t="n">
        <v>3115</v>
      </c>
      <c r="L17" s="557" t="inlineStr">
        <is>
          <t>40-30-1.6-ERW 1-FC</t>
        </is>
      </c>
      <c r="M17" s="598" t="n">
        <v>11.456838</v>
      </c>
      <c r="N17" s="598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</row>
    <row r="18" hidden="1" s="584">
      <c r="A18" s="552" t="inlineStr">
        <is>
          <t>Metalman</t>
        </is>
      </c>
      <c r="B18" s="601" t="inlineStr">
        <is>
          <t>ERW 1</t>
        </is>
      </c>
      <c r="C18" s="599" t="n">
        <v>42.7</v>
      </c>
      <c r="D18" s="599" t="n">
        <v>42.7</v>
      </c>
      <c r="E18" s="599" t="n">
        <v>0</v>
      </c>
      <c r="F18" s="599" t="n">
        <v>3.5</v>
      </c>
      <c r="G18" s="600" t="n">
        <v>210</v>
      </c>
      <c r="H18" s="600" t="inlineStr">
        <is>
          <t>NOS</t>
        </is>
      </c>
      <c r="I18" s="601" t="n">
        <v>3000</v>
      </c>
      <c r="J18" s="601" t="n">
        <v>0</v>
      </c>
      <c r="K18" s="602" t="n">
        <v>3000</v>
      </c>
      <c r="L18" s="557" t="inlineStr">
        <is>
          <t>42.7-0-3.5-ERW 1-FC</t>
        </is>
      </c>
      <c r="M18" s="598" t="n">
        <v>50.95052599999999</v>
      </c>
      <c r="N18" s="598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</row>
    <row r="19" hidden="1" s="584">
      <c r="A19" s="552" t="inlineStr">
        <is>
          <t>Metalman</t>
        </is>
      </c>
      <c r="B19" s="601" t="inlineStr">
        <is>
          <t>ERW 1</t>
        </is>
      </c>
      <c r="C19" s="599" t="n">
        <v>42.7</v>
      </c>
      <c r="D19" s="599" t="n">
        <v>42.7</v>
      </c>
      <c r="E19" s="599" t="n">
        <v>0</v>
      </c>
      <c r="F19" s="599" t="n">
        <v>4</v>
      </c>
      <c r="G19" s="600" t="n">
        <v>235</v>
      </c>
      <c r="H19" s="600" t="inlineStr">
        <is>
          <t>NOS</t>
        </is>
      </c>
      <c r="I19" s="601" t="n">
        <v>7000</v>
      </c>
      <c r="J19" s="601" t="n">
        <v>0</v>
      </c>
      <c r="K19" s="602" t="n">
        <v>7000</v>
      </c>
      <c r="L19" s="557" t="inlineStr">
        <is>
          <t>42.7-0-4-ERW 1-FC</t>
        </is>
      </c>
      <c r="M19" s="598" t="n">
        <v>4.465389</v>
      </c>
      <c r="N19" s="598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</row>
    <row r="20" hidden="1" s="584">
      <c r="A20" s="552" t="inlineStr">
        <is>
          <t>Narsipur</t>
        </is>
      </c>
      <c r="B20" s="601" t="inlineStr">
        <is>
          <t>CEW</t>
        </is>
      </c>
      <c r="C20" s="599" t="n">
        <v>25.4</v>
      </c>
      <c r="D20" s="599" t="n">
        <v>25.4</v>
      </c>
      <c r="E20" s="599" t="n">
        <v>18.4</v>
      </c>
      <c r="F20" s="599" t="n">
        <v>3.5</v>
      </c>
      <c r="G20" s="600" t="n">
        <v>247</v>
      </c>
      <c r="H20" s="600" t="inlineStr">
        <is>
          <t>NOS</t>
        </is>
      </c>
      <c r="I20" s="601" t="n">
        <v>34000</v>
      </c>
      <c r="J20" s="601" t="n">
        <v>0</v>
      </c>
      <c r="K20" s="602" t="n">
        <v>34000</v>
      </c>
      <c r="L20" s="557" t="inlineStr">
        <is>
          <t>25.4-18.4-3.5-CEW-CEW</t>
        </is>
      </c>
      <c r="M20" s="598" t="n">
        <v>69.68606799999998</v>
      </c>
      <c r="N20" s="598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</row>
    <row r="21" hidden="1" s="584">
      <c r="A21" s="552" t="inlineStr">
        <is>
          <t>Narsipur</t>
        </is>
      </c>
      <c r="B21" s="601" t="inlineStr">
        <is>
          <t>CEW</t>
        </is>
      </c>
      <c r="C21" s="599" t="n">
        <v>25.4</v>
      </c>
      <c r="D21" s="599" t="n">
        <v>25.4</v>
      </c>
      <c r="E21" s="599" t="n">
        <v>18.4</v>
      </c>
      <c r="F21" s="599" t="n">
        <v>3.5</v>
      </c>
      <c r="G21" s="600" t="n">
        <v>263</v>
      </c>
      <c r="H21" s="600" t="inlineStr">
        <is>
          <t>NOS</t>
        </is>
      </c>
      <c r="I21" s="601" t="n">
        <v>24000</v>
      </c>
      <c r="J21" s="601" t="n">
        <v>0</v>
      </c>
      <c r="K21" s="602" t="n">
        <v>24000</v>
      </c>
      <c r="L21" s="557" t="inlineStr">
        <is>
          <t>25.4-18.4-3.5-CEW-CEW</t>
        </is>
      </c>
      <c r="M21" s="598" t="n">
        <v>69.68606799999998</v>
      </c>
      <c r="N21" s="598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</row>
    <row r="22" hidden="1" s="584">
      <c r="A22" s="552" t="inlineStr">
        <is>
          <t>Narsipur</t>
        </is>
      </c>
      <c r="B22" s="601" t="inlineStr">
        <is>
          <t xml:space="preserve">CEW </t>
        </is>
      </c>
      <c r="C22" s="599" t="n">
        <v>29.4</v>
      </c>
      <c r="D22" s="599" t="n">
        <v>29.4</v>
      </c>
      <c r="E22" s="599" t="n">
        <v>20.4</v>
      </c>
      <c r="F22" s="599" t="n">
        <v>4.5</v>
      </c>
      <c r="G22" s="600" t="n">
        <v>357</v>
      </c>
      <c r="H22" s="600" t="inlineStr">
        <is>
          <t>NOS</t>
        </is>
      </c>
      <c r="I22" s="601" t="n">
        <v>3500</v>
      </c>
      <c r="J22" s="601" t="n">
        <v>0</v>
      </c>
      <c r="K22" s="602" t="n">
        <v>3500</v>
      </c>
      <c r="L22" s="601" t="inlineStr">
        <is>
          <t>29.4-20.4-4.5-CEW-CEW</t>
        </is>
      </c>
      <c r="M22" s="598" t="n">
        <v>36.881112</v>
      </c>
      <c r="N22" s="598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</row>
    <row r="23" hidden="1" s="584">
      <c r="A23" s="552" t="inlineStr">
        <is>
          <t>Narsipur</t>
        </is>
      </c>
      <c r="B23" s="601" t="inlineStr">
        <is>
          <t xml:space="preserve">CEW </t>
        </is>
      </c>
      <c r="C23" s="599" t="n">
        <v>29.4</v>
      </c>
      <c r="D23" s="599" t="n">
        <v>29.4</v>
      </c>
      <c r="E23" s="599" t="n">
        <v>20.4</v>
      </c>
      <c r="F23" s="599" t="n">
        <v>4.5</v>
      </c>
      <c r="G23" s="600" t="n">
        <v>361</v>
      </c>
      <c r="H23" s="600" t="inlineStr">
        <is>
          <t>NOS</t>
        </is>
      </c>
      <c r="I23" s="601" t="n">
        <v>25000</v>
      </c>
      <c r="J23" s="601" t="n">
        <v>0</v>
      </c>
      <c r="K23" s="602" t="n">
        <v>25000</v>
      </c>
      <c r="L23" s="601" t="inlineStr">
        <is>
          <t>29.4-20.4-4.5-CEW-CEW</t>
        </is>
      </c>
      <c r="M23" s="598" t="n">
        <v>36.881112</v>
      </c>
      <c r="N23" s="598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</row>
    <row r="24" hidden="1" s="584">
      <c r="A24" s="552" t="inlineStr">
        <is>
          <t>NMPL 1</t>
        </is>
      </c>
      <c r="B24" s="601" t="inlineStr">
        <is>
          <t>CEW</t>
        </is>
      </c>
      <c r="C24" s="599" t="n">
        <v>20</v>
      </c>
      <c r="D24" s="79" t="n">
        <v>20</v>
      </c>
      <c r="E24" s="599" t="n">
        <v>17.16</v>
      </c>
      <c r="F24" s="599" t="n">
        <v>1.42</v>
      </c>
      <c r="G24" s="600" t="n">
        <v>273</v>
      </c>
      <c r="H24" s="600" t="inlineStr">
        <is>
          <t>NOS</t>
        </is>
      </c>
      <c r="I24" s="601" t="n">
        <v>8000</v>
      </c>
      <c r="J24" s="601" t="n">
        <v>0</v>
      </c>
      <c r="K24" s="602" t="n">
        <v>8000</v>
      </c>
      <c r="L24" s="557" t="inlineStr">
        <is>
          <t>20-17.16-1.42-CEW-CEW</t>
        </is>
      </c>
      <c r="M24" s="598" t="n">
        <v>10.409595</v>
      </c>
      <c r="N24" s="598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 hidden="1" s="584">
      <c r="A25" s="552" t="inlineStr">
        <is>
          <t>NMPL 1</t>
        </is>
      </c>
      <c r="B25" s="601" t="inlineStr">
        <is>
          <t>ERW 1</t>
        </is>
      </c>
      <c r="C25" s="599" t="n">
        <v>38.1</v>
      </c>
      <c r="D25" s="599" t="n">
        <v>38.1</v>
      </c>
      <c r="E25" s="599" t="n">
        <v>0</v>
      </c>
      <c r="F25" s="599" t="n">
        <v>1.6</v>
      </c>
      <c r="G25" s="600" t="n">
        <v>488</v>
      </c>
      <c r="H25" s="600" t="inlineStr">
        <is>
          <t>NOS</t>
        </is>
      </c>
      <c r="I25" s="601" t="n">
        <v>1000</v>
      </c>
      <c r="J25" s="601" t="n">
        <v>0</v>
      </c>
      <c r="K25" s="602" t="n">
        <v>1000</v>
      </c>
      <c r="L25" s="557" t="inlineStr">
        <is>
          <t>38.1-0-1.6-ERW 1-FC</t>
        </is>
      </c>
      <c r="M25" s="598" t="n">
        <v>9.805775000000001</v>
      </c>
      <c r="N25" s="598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</row>
    <row r="26">
      <c r="A26" s="552" t="inlineStr">
        <is>
          <t>NMPL 1</t>
        </is>
      </c>
      <c r="B26" s="601" t="inlineStr">
        <is>
          <t>ERW 1</t>
        </is>
      </c>
      <c r="C26" s="599" t="n">
        <v>19.05</v>
      </c>
      <c r="D26" s="599" t="n">
        <v>19.05</v>
      </c>
      <c r="E26" s="6" t="n">
        <v>0</v>
      </c>
      <c r="F26" s="599" t="n">
        <v>2.3</v>
      </c>
      <c r="G26" s="600" t="n">
        <v>394</v>
      </c>
      <c r="H26" s="600" t="inlineStr">
        <is>
          <t>NOS</t>
        </is>
      </c>
      <c r="I26" s="601" t="n">
        <v>15000</v>
      </c>
      <c r="J26" s="601" t="n">
        <v>3087</v>
      </c>
      <c r="K26" s="602" t="n">
        <v>11913</v>
      </c>
      <c r="L26" s="557" t="inlineStr">
        <is>
          <t>19.05-0-2.3-ERW 1-PE</t>
        </is>
      </c>
      <c r="M26" s="598" t="n">
        <v>13.504943</v>
      </c>
      <c r="N26" s="598">
        <f>Table37[[#This Row],[BAL IN NOS]]</f>
        <v/>
      </c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</row>
    <row r="27" hidden="1" s="584">
      <c r="A27" s="552" t="inlineStr">
        <is>
          <t>NMPL 1</t>
        </is>
      </c>
      <c r="B27" s="601" t="inlineStr">
        <is>
          <t>ERW 1</t>
        </is>
      </c>
      <c r="C27" s="599" t="n">
        <v>38.1</v>
      </c>
      <c r="D27" s="599" t="n">
        <v>38.1</v>
      </c>
      <c r="E27" s="599" t="n">
        <v>0</v>
      </c>
      <c r="F27" s="599" t="n">
        <v>2</v>
      </c>
      <c r="G27" s="600" t="n">
        <v>488</v>
      </c>
      <c r="H27" s="600" t="inlineStr">
        <is>
          <t>NOS</t>
        </is>
      </c>
      <c r="I27" s="601" t="n">
        <v>6000</v>
      </c>
      <c r="J27" s="601" t="n">
        <v>0</v>
      </c>
      <c r="K27" s="602" t="n">
        <v>6000</v>
      </c>
      <c r="L27" s="557" t="inlineStr">
        <is>
          <t>38.1-0-2-ERW 1-FC</t>
        </is>
      </c>
      <c r="M27" s="598" t="n">
        <v>23.642767</v>
      </c>
      <c r="N27" s="598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 hidden="1" s="584">
      <c r="A28" s="552" t="inlineStr">
        <is>
          <t>NMPL 1</t>
        </is>
      </c>
      <c r="B28" s="601" t="inlineStr">
        <is>
          <t>ERW 1</t>
        </is>
      </c>
      <c r="C28" s="599" t="n">
        <v>38.1</v>
      </c>
      <c r="D28" s="599" t="n">
        <v>38.1</v>
      </c>
      <c r="E28" s="6" t="n">
        <v>0</v>
      </c>
      <c r="F28" s="599" t="n">
        <v>1.6</v>
      </c>
      <c r="G28" s="600" t="n">
        <v>812</v>
      </c>
      <c r="H28" s="600" t="inlineStr">
        <is>
          <t>NOS</t>
        </is>
      </c>
      <c r="I28" s="601" t="n">
        <v>2000</v>
      </c>
      <c r="J28" s="601" t="n">
        <v>0</v>
      </c>
      <c r="K28" s="602" t="n">
        <v>2000</v>
      </c>
      <c r="L28" s="557" t="inlineStr">
        <is>
          <t>38.1-0-1.6-ERW 1-FC</t>
        </is>
      </c>
      <c r="M28" s="598" t="n">
        <v>9.805775000000001</v>
      </c>
      <c r="N28" s="598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</row>
    <row r="29" hidden="1" s="584">
      <c r="A29" s="552" t="inlineStr">
        <is>
          <t>NMPL 1</t>
        </is>
      </c>
      <c r="B29" s="601" t="inlineStr">
        <is>
          <t>ERW 1</t>
        </is>
      </c>
      <c r="C29" s="599" t="n">
        <v>38.1</v>
      </c>
      <c r="D29" s="599" t="n">
        <v>38.1</v>
      </c>
      <c r="E29" s="6" t="n">
        <v>0</v>
      </c>
      <c r="F29" s="599" t="n">
        <v>2</v>
      </c>
      <c r="G29" s="600" t="n">
        <v>812</v>
      </c>
      <c r="H29" s="600" t="inlineStr">
        <is>
          <t>NOS</t>
        </is>
      </c>
      <c r="I29" s="601" t="n">
        <v>15000</v>
      </c>
      <c r="J29" s="601" t="n">
        <v>18305</v>
      </c>
      <c r="K29" s="602" t="n">
        <v>-3305</v>
      </c>
      <c r="L29" s="557" t="inlineStr">
        <is>
          <t>38.1-0-2-ERW 1-FC</t>
        </is>
      </c>
      <c r="M29" s="598" t="n">
        <v>23.642767</v>
      </c>
      <c r="N29" s="598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</row>
    <row r="30">
      <c r="A30" s="552" t="inlineStr">
        <is>
          <t>NMPL 1</t>
        </is>
      </c>
      <c r="B30" s="601" t="inlineStr">
        <is>
          <t>ERW 1</t>
        </is>
      </c>
      <c r="C30" s="599" t="n">
        <v>42.7</v>
      </c>
      <c r="D30" s="599" t="n">
        <v>42.7</v>
      </c>
      <c r="E30" s="599" t="n">
        <v>0</v>
      </c>
      <c r="F30" s="599" t="n">
        <v>3.5</v>
      </c>
      <c r="G30" s="600" t="n">
        <v>210</v>
      </c>
      <c r="H30" s="600" t="inlineStr">
        <is>
          <t>NOS</t>
        </is>
      </c>
      <c r="I30" s="601" t="n">
        <v>40000</v>
      </c>
      <c r="J30" s="601" t="n">
        <v>20070</v>
      </c>
      <c r="K30" s="602" t="n">
        <v>19930</v>
      </c>
      <c r="L30" s="557" t="inlineStr">
        <is>
          <t>42.7-0-3.5-ERW 1-FC</t>
        </is>
      </c>
      <c r="M30" s="598" t="n">
        <v>50.95052599999999</v>
      </c>
      <c r="N30" s="598">
        <f>Table37[[#This Row],[BAL IN NOS]]</f>
        <v/>
      </c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</row>
    <row r="31" hidden="1" s="584">
      <c r="A31" s="552" t="inlineStr">
        <is>
          <t>NMPL 1</t>
        </is>
      </c>
      <c r="B31" s="601" t="inlineStr">
        <is>
          <t>ERW 1</t>
        </is>
      </c>
      <c r="C31" s="599" t="n">
        <v>50.8</v>
      </c>
      <c r="D31" s="599" t="n">
        <v>50</v>
      </c>
      <c r="E31" s="599" t="n">
        <v>30</v>
      </c>
      <c r="F31" s="599" t="n">
        <v>2</v>
      </c>
      <c r="G31" s="600" t="n">
        <v>140</v>
      </c>
      <c r="H31" s="600" t="inlineStr">
        <is>
          <t>NOS</t>
        </is>
      </c>
      <c r="I31" s="601" t="n">
        <v>1500</v>
      </c>
      <c r="J31" s="601" t="n">
        <v>0</v>
      </c>
      <c r="K31" s="602" t="n">
        <v>1500</v>
      </c>
      <c r="L31" s="563" t="inlineStr">
        <is>
          <t>50-30-2-ERW 1-FC</t>
        </is>
      </c>
      <c r="M31" s="598" t="n">
        <v>4.068</v>
      </c>
      <c r="N31" s="598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</row>
    <row r="32">
      <c r="A32" s="552" t="inlineStr">
        <is>
          <t>NMPL 1</t>
        </is>
      </c>
      <c r="B32" s="601" t="inlineStr">
        <is>
          <t>ERW 1</t>
        </is>
      </c>
      <c r="C32" s="599" t="n">
        <v>50.8</v>
      </c>
      <c r="D32" s="599" t="n">
        <v>50</v>
      </c>
      <c r="E32" s="6" t="n">
        <v>30</v>
      </c>
      <c r="F32" s="599" t="n">
        <v>2</v>
      </c>
      <c r="G32" s="600" t="n">
        <v>730</v>
      </c>
      <c r="H32" s="600" t="inlineStr">
        <is>
          <t>NOS</t>
        </is>
      </c>
      <c r="I32" s="601" t="n">
        <v>18000</v>
      </c>
      <c r="J32" s="601" t="n">
        <v>9286</v>
      </c>
      <c r="K32" s="602" t="n">
        <v>8714</v>
      </c>
      <c r="L32" s="557" t="inlineStr">
        <is>
          <t>50-30-2-ERW 1-FC</t>
        </is>
      </c>
      <c r="M32" s="598" t="n">
        <v>4.068</v>
      </c>
      <c r="N32" s="598" t="n">
        <v>2000</v>
      </c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</row>
    <row r="33">
      <c r="A33" s="552" t="inlineStr">
        <is>
          <t>NMPL 1</t>
        </is>
      </c>
      <c r="B33" s="601" t="inlineStr">
        <is>
          <t>ERW 2</t>
        </is>
      </c>
      <c r="C33" s="599" t="n">
        <v>63.5</v>
      </c>
      <c r="D33" s="79" t="n">
        <v>50</v>
      </c>
      <c r="E33" s="599" t="n">
        <v>50</v>
      </c>
      <c r="F33" s="599" t="n">
        <v>1.6</v>
      </c>
      <c r="G33" s="600" t="n">
        <v>847</v>
      </c>
      <c r="H33" s="600" t="inlineStr">
        <is>
          <t>NOS</t>
        </is>
      </c>
      <c r="I33" s="601" t="n">
        <v>9000</v>
      </c>
      <c r="J33" s="601" t="n">
        <v>6214</v>
      </c>
      <c r="K33" s="602" t="n">
        <v>2786</v>
      </c>
      <c r="L33" s="557" t="inlineStr">
        <is>
          <t>50-50-1.6-ERW 2-PE</t>
        </is>
      </c>
      <c r="M33" s="598" t="n">
        <v>29.22196600000002</v>
      </c>
      <c r="N33" s="598">
        <f>Table37[[#This Row],[BAL IN NOS]]</f>
        <v/>
      </c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</row>
    <row r="34">
      <c r="A34" s="552" t="inlineStr">
        <is>
          <t>NMPL 1</t>
        </is>
      </c>
      <c r="B34" s="601" t="inlineStr">
        <is>
          <t>ERW 2</t>
        </is>
      </c>
      <c r="C34" s="599" t="n">
        <v>54</v>
      </c>
      <c r="D34" s="79" t="n">
        <v>54</v>
      </c>
      <c r="E34" s="599" t="n">
        <v>0</v>
      </c>
      <c r="F34" s="599" t="n">
        <v>3</v>
      </c>
      <c r="G34" s="600" t="n">
        <v>1140</v>
      </c>
      <c r="H34" s="600" t="inlineStr">
        <is>
          <t>NOS</t>
        </is>
      </c>
      <c r="I34" s="601" t="n">
        <v>9000</v>
      </c>
      <c r="J34" s="601" t="n">
        <v>3245</v>
      </c>
      <c r="K34" s="602" t="n">
        <v>5755</v>
      </c>
      <c r="L34" s="557" t="inlineStr">
        <is>
          <t>54-0-3-ERW 2-FC</t>
        </is>
      </c>
      <c r="M34" s="598" t="n">
        <v>8.111578</v>
      </c>
      <c r="N34" s="598" t="n">
        <v>2000</v>
      </c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</row>
    <row r="35">
      <c r="A35" s="552" t="inlineStr">
        <is>
          <t>NMPL 1</t>
        </is>
      </c>
      <c r="B35" s="601" t="inlineStr">
        <is>
          <t>ERW 1</t>
        </is>
      </c>
      <c r="C35" s="599" t="n">
        <v>63.5</v>
      </c>
      <c r="D35" s="79" t="n">
        <v>63.5</v>
      </c>
      <c r="E35" s="599" t="n">
        <v>0</v>
      </c>
      <c r="F35" s="599" t="n">
        <v>4</v>
      </c>
      <c r="G35" s="22" t="n">
        <v>236</v>
      </c>
      <c r="H35" s="22" t="inlineStr">
        <is>
          <t>NOS</t>
        </is>
      </c>
      <c r="I35" s="601" t="n">
        <v>18000</v>
      </c>
      <c r="J35" s="601" t="n">
        <v>5690</v>
      </c>
      <c r="K35" s="602" t="n">
        <v>12310</v>
      </c>
      <c r="L35" s="601" t="inlineStr">
        <is>
          <t>63.5-0-4-ERW 1-FC</t>
        </is>
      </c>
      <c r="M35" s="598" t="n">
        <v>60.79548700000001</v>
      </c>
      <c r="N35" s="598">
        <f>Table37[[#This Row],[BAL IN NOS]]</f>
        <v/>
      </c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</row>
    <row r="36" hidden="1" s="584">
      <c r="A36" s="552" t="inlineStr">
        <is>
          <t>NMPL HUB</t>
        </is>
      </c>
      <c r="B36" s="601" t="inlineStr">
        <is>
          <t>ERW 1</t>
        </is>
      </c>
      <c r="C36" s="599" t="n">
        <v>38.1</v>
      </c>
      <c r="D36" s="599" t="n">
        <v>38.1</v>
      </c>
      <c r="E36" s="6" t="n">
        <v>0</v>
      </c>
      <c r="F36" s="599" t="n">
        <v>1.6</v>
      </c>
      <c r="G36" s="600" t="n">
        <v>812</v>
      </c>
      <c r="H36" s="600" t="inlineStr">
        <is>
          <t>NOS</t>
        </is>
      </c>
      <c r="I36" s="601" t="n">
        <v>6000</v>
      </c>
      <c r="J36" s="601" t="n">
        <v>0</v>
      </c>
      <c r="K36" s="602" t="n">
        <v>6000</v>
      </c>
      <c r="L36" s="557" t="inlineStr">
        <is>
          <t>38.1-0-1.6-ERW 1-FC</t>
        </is>
      </c>
      <c r="M36" s="598" t="n">
        <v>9.805775000000001</v>
      </c>
      <c r="N36" s="598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</row>
    <row r="37">
      <c r="A37" s="552" t="inlineStr">
        <is>
          <t>NMPL HUB</t>
        </is>
      </c>
      <c r="B37" s="601" t="inlineStr">
        <is>
          <t>ERW 1</t>
        </is>
      </c>
      <c r="C37" s="599" t="n">
        <v>38.1</v>
      </c>
      <c r="D37" s="599" t="n">
        <v>38.1</v>
      </c>
      <c r="E37" s="6" t="n">
        <v>0</v>
      </c>
      <c r="F37" s="599" t="n">
        <v>2</v>
      </c>
      <c r="G37" s="600" t="n">
        <v>812</v>
      </c>
      <c r="H37" s="600" t="inlineStr">
        <is>
          <t>NOS</t>
        </is>
      </c>
      <c r="I37" s="601" t="n">
        <v>6000</v>
      </c>
      <c r="J37" s="601" t="n">
        <v>0</v>
      </c>
      <c r="K37" s="602" t="n">
        <v>6000</v>
      </c>
      <c r="L37" s="557" t="inlineStr">
        <is>
          <t>38.1-0-2-ERW 1-FC</t>
        </is>
      </c>
      <c r="M37" s="598" t="n">
        <v>23.642767</v>
      </c>
      <c r="N37" s="598">
        <f>Table37[[#This Row],[BAL IN NOS]]</f>
        <v/>
      </c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</row>
    <row r="38">
      <c r="A38" s="552" t="inlineStr">
        <is>
          <t>NMPL HUB</t>
        </is>
      </c>
      <c r="B38" s="601" t="inlineStr">
        <is>
          <t>ERW 1</t>
        </is>
      </c>
      <c r="C38" s="599" t="n">
        <v>38.1</v>
      </c>
      <c r="D38" s="599" t="n">
        <v>38.1</v>
      </c>
      <c r="E38" s="6" t="n">
        <v>0</v>
      </c>
      <c r="F38" s="599" t="n">
        <v>2</v>
      </c>
      <c r="G38" s="600" t="n">
        <v>406</v>
      </c>
      <c r="H38" s="600" t="inlineStr">
        <is>
          <t>NOS</t>
        </is>
      </c>
      <c r="I38" s="601" t="n">
        <v>15000</v>
      </c>
      <c r="J38" s="601" t="n">
        <v>0</v>
      </c>
      <c r="K38" s="602" t="n">
        <v>15000</v>
      </c>
      <c r="L38" s="557" t="inlineStr">
        <is>
          <t>38.1-0-2-ERW 1-FC</t>
        </is>
      </c>
      <c r="M38" s="598" t="n">
        <v>23.642767</v>
      </c>
      <c r="N38" s="598">
        <f>Table37[[#This Row],[BAL IN NOS]]</f>
        <v/>
      </c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</row>
    <row r="39">
      <c r="A39" s="552" t="inlineStr">
        <is>
          <t>NMPL HUB</t>
        </is>
      </c>
      <c r="B39" s="601" t="inlineStr">
        <is>
          <t>ERW 1</t>
        </is>
      </c>
      <c r="C39" s="599" t="n">
        <v>48.6</v>
      </c>
      <c r="D39" s="599" t="n">
        <v>48.6</v>
      </c>
      <c r="E39" s="599" t="n">
        <v>0</v>
      </c>
      <c r="F39" s="599" t="n">
        <v>3.5</v>
      </c>
      <c r="G39" s="600" t="n">
        <v>196</v>
      </c>
      <c r="H39" s="600" t="inlineStr">
        <is>
          <t>NOS</t>
        </is>
      </c>
      <c r="I39" s="601" t="n">
        <v>14000</v>
      </c>
      <c r="J39" s="601" t="n">
        <v>0</v>
      </c>
      <c r="K39" s="602" t="n">
        <v>14000</v>
      </c>
      <c r="L39" s="557" t="inlineStr">
        <is>
          <t>48.6-0-3.5-ERW 1-FC</t>
        </is>
      </c>
      <c r="M39" s="598" t="n">
        <v>2.991104</v>
      </c>
      <c r="N39" s="598" t="n">
        <v>4200</v>
      </c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</row>
    <row r="40" hidden="1" s="584">
      <c r="A40" s="552" t="inlineStr">
        <is>
          <t>NMPL pla</t>
        </is>
      </c>
      <c r="B40" s="601" t="inlineStr">
        <is>
          <t>ERW 1</t>
        </is>
      </c>
      <c r="C40" s="599" t="n">
        <v>17.3</v>
      </c>
      <c r="D40" s="599" t="n">
        <v>17.3</v>
      </c>
      <c r="E40" s="599" t="n">
        <v>0</v>
      </c>
      <c r="F40" s="599" t="n">
        <v>1.2</v>
      </c>
      <c r="G40" s="600" t="n">
        <v>150</v>
      </c>
      <c r="H40" s="600" t="inlineStr">
        <is>
          <t>NOS</t>
        </is>
      </c>
      <c r="I40" s="601" t="n">
        <v>15000</v>
      </c>
      <c r="J40" s="601" t="n">
        <v>2000</v>
      </c>
      <c r="K40" s="602" t="n">
        <v>13000</v>
      </c>
      <c r="L40" s="557" t="inlineStr">
        <is>
          <t>17.3-0-1.2-ERW 1-PE</t>
        </is>
      </c>
      <c r="M40" s="598" t="n">
        <v>9.234420000000002</v>
      </c>
      <c r="N40" s="598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</row>
    <row r="41">
      <c r="A41" s="552" t="inlineStr">
        <is>
          <t>Rajsriya</t>
        </is>
      </c>
      <c r="B41" s="601" t="inlineStr">
        <is>
          <t>CEW</t>
        </is>
      </c>
      <c r="C41" s="599" t="n">
        <v>19</v>
      </c>
      <c r="D41" s="599" t="n">
        <v>19</v>
      </c>
      <c r="E41" s="599" t="n">
        <v>12.5</v>
      </c>
      <c r="F41" s="599" t="n">
        <v>3.25</v>
      </c>
      <c r="G41" s="81" t="n">
        <v>195</v>
      </c>
      <c r="H41" s="600" t="inlineStr">
        <is>
          <t>NOS</t>
        </is>
      </c>
      <c r="I41" s="601" t="n">
        <v>20000</v>
      </c>
      <c r="J41" s="601" t="n">
        <v>2000</v>
      </c>
      <c r="K41" s="602" t="n">
        <v>18000</v>
      </c>
      <c r="L41" s="557" t="inlineStr">
        <is>
          <t>19-12.5-3.25-CEW-CEW</t>
        </is>
      </c>
      <c r="M41" s="598" t="n">
        <v>37.067293</v>
      </c>
      <c r="N41" s="598">
        <f>Table37[[#This Row],[BAL IN NOS]]</f>
        <v/>
      </c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</row>
    <row r="42">
      <c r="A42" s="552" t="inlineStr">
        <is>
          <t>Rajsriya</t>
        </is>
      </c>
      <c r="B42" s="601" t="inlineStr">
        <is>
          <t>CEW</t>
        </is>
      </c>
      <c r="C42" s="599" t="n">
        <v>19</v>
      </c>
      <c r="D42" s="599" t="n">
        <v>19</v>
      </c>
      <c r="E42" s="599" t="n">
        <v>12.5</v>
      </c>
      <c r="F42" s="599" t="n">
        <v>3.25</v>
      </c>
      <c r="G42" s="600" t="n">
        <v>588</v>
      </c>
      <c r="H42" s="600" t="inlineStr">
        <is>
          <t>NOS</t>
        </is>
      </c>
      <c r="I42" s="601" t="n">
        <v>12000</v>
      </c>
      <c r="J42" s="601" t="n">
        <v>0</v>
      </c>
      <c r="K42" s="602" t="n">
        <v>12000</v>
      </c>
      <c r="L42" s="557" t="inlineStr">
        <is>
          <t>19-12.5-3.25-CEW-CEW</t>
        </is>
      </c>
      <c r="M42" s="598" t="n">
        <v>37.067293</v>
      </c>
      <c r="N42" s="598">
        <f>Table37[[#This Row],[BAL IN NOS]]</f>
        <v/>
      </c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</row>
    <row r="43">
      <c r="A43" s="552" t="inlineStr">
        <is>
          <t>Rajsriya</t>
        </is>
      </c>
      <c r="B43" s="601" t="inlineStr">
        <is>
          <t>ERW 1</t>
        </is>
      </c>
      <c r="C43" s="599" t="n">
        <v>19.05</v>
      </c>
      <c r="D43" s="599" t="n">
        <v>19.05</v>
      </c>
      <c r="E43" s="599" t="n">
        <v>0</v>
      </c>
      <c r="F43" s="599" t="n">
        <v>2.3</v>
      </c>
      <c r="G43" s="600" t="n">
        <v>195</v>
      </c>
      <c r="H43" s="600" t="inlineStr">
        <is>
          <t>NOS</t>
        </is>
      </c>
      <c r="I43" s="601" t="n">
        <v>16000</v>
      </c>
      <c r="J43" s="601" t="n">
        <v>0</v>
      </c>
      <c r="K43" s="602" t="n">
        <v>16000</v>
      </c>
      <c r="L43" s="557" t="inlineStr">
        <is>
          <t>19.05-0-2.3-ERW 1-PE</t>
        </is>
      </c>
      <c r="M43" s="598" t="n">
        <v>13.504943</v>
      </c>
      <c r="N43" s="598">
        <f>Table37[[#This Row],[BAL IN NOS]]</f>
        <v/>
      </c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</row>
    <row r="44" hidden="1" s="584">
      <c r="A44" s="552" t="inlineStr">
        <is>
          <t>Rajsriya</t>
        </is>
      </c>
      <c r="B44" s="601" t="inlineStr">
        <is>
          <t>ERW 1</t>
        </is>
      </c>
      <c r="C44" s="599" t="n">
        <v>19.05</v>
      </c>
      <c r="D44" s="599" t="n">
        <v>19.05</v>
      </c>
      <c r="E44" s="599" t="n">
        <v>0</v>
      </c>
      <c r="F44" s="599" t="n">
        <v>2.3</v>
      </c>
      <c r="G44" s="600" t="n">
        <v>303</v>
      </c>
      <c r="H44" s="600" t="inlineStr">
        <is>
          <t>NOS</t>
        </is>
      </c>
      <c r="I44" s="601" t="n">
        <v>5000</v>
      </c>
      <c r="J44" s="601" t="n">
        <v>4911</v>
      </c>
      <c r="K44" s="602" t="n">
        <v>89</v>
      </c>
      <c r="L44" s="557" t="inlineStr">
        <is>
          <t>19.05-0-2.3-ERW 1-PE</t>
        </is>
      </c>
      <c r="M44" s="598" t="n">
        <v>13.504943</v>
      </c>
      <c r="N44" s="598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</row>
    <row r="45" hidden="1" s="584">
      <c r="A45" s="552" t="inlineStr">
        <is>
          <t>Rajsriya</t>
        </is>
      </c>
      <c r="B45" s="601" t="inlineStr">
        <is>
          <t>ERW 1</t>
        </is>
      </c>
      <c r="C45" s="599" t="n">
        <v>44.45</v>
      </c>
      <c r="D45" s="599" t="n">
        <v>40</v>
      </c>
      <c r="E45" s="599" t="n">
        <v>30</v>
      </c>
      <c r="F45" s="599" t="n">
        <v>1.6</v>
      </c>
      <c r="G45" s="81" t="n">
        <v>835</v>
      </c>
      <c r="H45" s="600" t="inlineStr">
        <is>
          <t>NOS</t>
        </is>
      </c>
      <c r="I45" s="601" t="n">
        <v>20000</v>
      </c>
      <c r="J45" s="601" t="n">
        <v>15308</v>
      </c>
      <c r="K45" s="602" t="n">
        <v>4692</v>
      </c>
      <c r="L45" s="557" t="inlineStr">
        <is>
          <t>40-30-1.6-ERW 1-FC</t>
        </is>
      </c>
      <c r="M45" s="598" t="n">
        <v>11.456838</v>
      </c>
      <c r="N45" s="598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</row>
    <row r="46" hidden="1" s="584">
      <c r="A46" s="552" t="inlineStr">
        <is>
          <t>Rajsriya</t>
        </is>
      </c>
      <c r="B46" s="601" t="inlineStr">
        <is>
          <t>ERW 1</t>
        </is>
      </c>
      <c r="C46" s="599" t="n">
        <v>19.05</v>
      </c>
      <c r="D46" s="599" t="n">
        <v>19.05</v>
      </c>
      <c r="E46" s="599" t="n">
        <v>0</v>
      </c>
      <c r="F46" s="599" t="n">
        <v>2.3</v>
      </c>
      <c r="G46" s="600" t="n">
        <v>554</v>
      </c>
      <c r="H46" s="600" t="inlineStr">
        <is>
          <t>NOS</t>
        </is>
      </c>
      <c r="I46" s="601" t="n">
        <v>1000</v>
      </c>
      <c r="J46" s="601" t="n">
        <v>0</v>
      </c>
      <c r="K46" s="602" t="n">
        <v>1000</v>
      </c>
      <c r="L46" s="557" t="inlineStr">
        <is>
          <t>19.05-0-2.3-ERW 1-PE</t>
        </is>
      </c>
      <c r="M46" s="598" t="n">
        <v>13.504943</v>
      </c>
      <c r="N46" s="598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</row>
    <row r="47" hidden="1" s="584">
      <c r="A47" s="552" t="inlineStr">
        <is>
          <t>Rajsriya</t>
        </is>
      </c>
      <c r="B47" s="601" t="inlineStr">
        <is>
          <t>ERW 1</t>
        </is>
      </c>
      <c r="C47" s="599" t="n">
        <v>19.05</v>
      </c>
      <c r="D47" s="599" t="n">
        <v>19.05</v>
      </c>
      <c r="E47" s="599" t="n">
        <v>0</v>
      </c>
      <c r="F47" s="599" t="n">
        <v>2.3</v>
      </c>
      <c r="G47" s="600" t="n">
        <v>570</v>
      </c>
      <c r="H47" s="600" t="inlineStr">
        <is>
          <t>NOS</t>
        </is>
      </c>
      <c r="I47" s="601" t="n">
        <v>5000</v>
      </c>
      <c r="J47" s="601" t="n">
        <v>4000</v>
      </c>
      <c r="K47" s="602" t="n">
        <v>1000</v>
      </c>
      <c r="L47" s="557" t="inlineStr">
        <is>
          <t>19.05-0-2.3-ERW 1-PE</t>
        </is>
      </c>
      <c r="M47" s="598" t="n">
        <v>13.504943</v>
      </c>
      <c r="N47" s="598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</row>
    <row r="48" hidden="1" s="584">
      <c r="A48" s="552" t="inlineStr">
        <is>
          <t>Rajsriya</t>
        </is>
      </c>
      <c r="B48" s="601" t="inlineStr">
        <is>
          <t>ERW 1</t>
        </is>
      </c>
      <c r="C48" s="599" t="n">
        <v>19.05</v>
      </c>
      <c r="D48" s="599" t="n">
        <v>19.05</v>
      </c>
      <c r="E48" s="599" t="n">
        <v>0</v>
      </c>
      <c r="F48" s="599" t="n">
        <v>2.3</v>
      </c>
      <c r="G48" s="600" t="n">
        <v>585</v>
      </c>
      <c r="H48" s="600" t="inlineStr">
        <is>
          <t>NOS</t>
        </is>
      </c>
      <c r="I48" s="601" t="n">
        <v>4000</v>
      </c>
      <c r="J48" s="601" t="n">
        <v>7204</v>
      </c>
      <c r="K48" s="602" t="n">
        <v>-3204</v>
      </c>
      <c r="L48" s="557" t="inlineStr">
        <is>
          <t>19.05-0-2.3-ERW 1-PE</t>
        </is>
      </c>
      <c r="M48" s="598" t="n">
        <v>13.504943</v>
      </c>
      <c r="N48" s="598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</row>
    <row r="49" hidden="1" s="584">
      <c r="A49" s="552" t="inlineStr">
        <is>
          <t>Rajsriya</t>
        </is>
      </c>
      <c r="B49" s="601" t="inlineStr">
        <is>
          <t>ERW 1</t>
        </is>
      </c>
      <c r="C49" s="599" t="n">
        <v>19.05</v>
      </c>
      <c r="D49" s="599" t="n">
        <v>19.05</v>
      </c>
      <c r="E49" s="599" t="n">
        <v>0</v>
      </c>
      <c r="F49" s="599" t="n">
        <v>2.3</v>
      </c>
      <c r="G49" s="600" t="n">
        <v>600</v>
      </c>
      <c r="H49" s="600" t="inlineStr">
        <is>
          <t>NOS</t>
        </is>
      </c>
      <c r="I49" s="601" t="n">
        <v>4000</v>
      </c>
      <c r="J49" s="601" t="n">
        <v>0</v>
      </c>
      <c r="K49" s="602" t="n">
        <v>4000</v>
      </c>
      <c r="L49" s="557" t="inlineStr">
        <is>
          <t>19.05-0-2.3-ERW 1-PE</t>
        </is>
      </c>
      <c r="M49" s="598" t="n">
        <v>13.504943</v>
      </c>
      <c r="N49" s="598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</row>
    <row r="50" hidden="1" s="584">
      <c r="A50" s="552" t="inlineStr">
        <is>
          <t>Rajsriya</t>
        </is>
      </c>
      <c r="B50" s="601" t="inlineStr">
        <is>
          <t>ERW 1</t>
        </is>
      </c>
      <c r="C50" s="599" t="n">
        <v>22.23</v>
      </c>
      <c r="D50" s="599" t="n">
        <v>22.23</v>
      </c>
      <c r="E50" s="599" t="n">
        <v>0</v>
      </c>
      <c r="F50" s="599" t="n">
        <v>2.3</v>
      </c>
      <c r="G50" s="600" t="n">
        <v>425</v>
      </c>
      <c r="H50" s="600" t="inlineStr">
        <is>
          <t>NOS</t>
        </is>
      </c>
      <c r="I50" s="601" t="n">
        <v>12000</v>
      </c>
      <c r="J50" s="601" t="n">
        <v>550</v>
      </c>
      <c r="K50" s="602" t="n">
        <v>11450</v>
      </c>
      <c r="L50" s="557" t="inlineStr">
        <is>
          <t>22.23-0-2.3-ERW 1-PE</t>
        </is>
      </c>
      <c r="M50" s="598" t="n">
        <v>46.538291</v>
      </c>
      <c r="N50" s="598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</row>
    <row r="51" hidden="1" s="584">
      <c r="A51" s="552" t="inlineStr">
        <is>
          <t>Rajsriya</t>
        </is>
      </c>
      <c r="B51" s="601" t="inlineStr">
        <is>
          <t>CEW</t>
        </is>
      </c>
      <c r="C51" s="599" t="n">
        <v>25.4</v>
      </c>
      <c r="D51" s="599" t="n">
        <v>25.4</v>
      </c>
      <c r="E51" s="599" t="n">
        <v>0</v>
      </c>
      <c r="F51" s="599" t="n">
        <v>2.5</v>
      </c>
      <c r="G51" s="600" t="n">
        <v>217</v>
      </c>
      <c r="H51" s="600" t="inlineStr">
        <is>
          <t>NOS</t>
        </is>
      </c>
      <c r="I51" s="601" t="n">
        <v>15000</v>
      </c>
      <c r="J51" s="601" t="n">
        <v>3957</v>
      </c>
      <c r="K51" s="602" t="n">
        <v>11043</v>
      </c>
      <c r="L51" s="557" t="inlineStr">
        <is>
          <t>25.4-0-2.5-CEW-CEW</t>
        </is>
      </c>
      <c r="M51" s="598" t="n">
        <v>14.297749</v>
      </c>
      <c r="N51" s="598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</row>
    <row r="52" hidden="1" s="584">
      <c r="A52" s="552" t="inlineStr">
        <is>
          <t>Rajsriya</t>
        </is>
      </c>
      <c r="B52" s="601" t="inlineStr">
        <is>
          <t>CEW</t>
        </is>
      </c>
      <c r="C52" s="599" t="n">
        <v>30.15</v>
      </c>
      <c r="D52" s="599" t="n">
        <v>30</v>
      </c>
      <c r="E52" s="599" t="n">
        <v>25.5</v>
      </c>
      <c r="F52" s="599" t="n">
        <v>2.25</v>
      </c>
      <c r="G52" s="600" t="n">
        <v>465</v>
      </c>
      <c r="H52" s="600" t="inlineStr">
        <is>
          <t>NOS</t>
        </is>
      </c>
      <c r="I52" s="601" t="n">
        <v>7000</v>
      </c>
      <c r="J52" s="601" t="n">
        <v>11600</v>
      </c>
      <c r="K52" s="602" t="n">
        <v>-4600</v>
      </c>
      <c r="L52" s="557" t="inlineStr">
        <is>
          <t>30-25.5-2.25-CEW-CEW</t>
        </is>
      </c>
      <c r="M52" s="598" t="n">
        <v>24.27011</v>
      </c>
      <c r="N52" s="598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</row>
    <row r="53" hidden="1" s="584">
      <c r="A53" s="552" t="inlineStr">
        <is>
          <t>Rajsriya</t>
        </is>
      </c>
      <c r="B53" s="601" t="inlineStr">
        <is>
          <t>CEW</t>
        </is>
      </c>
      <c r="C53" s="599" t="n">
        <v>30.15</v>
      </c>
      <c r="D53" s="599" t="n">
        <v>30</v>
      </c>
      <c r="E53" s="599" t="n">
        <v>25.5</v>
      </c>
      <c r="F53" s="599" t="n">
        <v>2.25</v>
      </c>
      <c r="G53" s="600" t="n">
        <v>485</v>
      </c>
      <c r="H53" s="600" t="inlineStr">
        <is>
          <t>NOS</t>
        </is>
      </c>
      <c r="I53" s="601" t="n">
        <v>20000</v>
      </c>
      <c r="J53" s="601" t="n">
        <v>18500</v>
      </c>
      <c r="K53" s="602" t="n">
        <v>1500</v>
      </c>
      <c r="L53" s="557" t="inlineStr">
        <is>
          <t>30-25.5-2.25-CEW-CEW</t>
        </is>
      </c>
      <c r="M53" s="598" t="n">
        <v>24.27011</v>
      </c>
      <c r="N53" s="598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</row>
    <row r="54" hidden="1" s="584">
      <c r="A54" s="552" t="inlineStr">
        <is>
          <t>Rajsriya</t>
        </is>
      </c>
      <c r="B54" s="601" t="inlineStr">
        <is>
          <t>CEW</t>
        </is>
      </c>
      <c r="C54" s="599" t="n">
        <v>39</v>
      </c>
      <c r="D54" s="599" t="n">
        <v>39</v>
      </c>
      <c r="E54" s="599" t="n">
        <v>34</v>
      </c>
      <c r="F54" s="599" t="n">
        <v>2.5</v>
      </c>
      <c r="G54" s="600" t="n">
        <v>272</v>
      </c>
      <c r="H54" s="600" t="inlineStr">
        <is>
          <t>NOS</t>
        </is>
      </c>
      <c r="I54" s="601" t="n">
        <v>15000</v>
      </c>
      <c r="J54" s="601" t="n">
        <v>8000</v>
      </c>
      <c r="K54" s="602" t="n">
        <v>7000</v>
      </c>
      <c r="L54" s="557" t="inlineStr">
        <is>
          <t>39-34-2.5-CEW-CEW</t>
        </is>
      </c>
      <c r="M54" s="598" t="n">
        <v>38.132676</v>
      </c>
      <c r="N54" s="598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</row>
    <row r="55" hidden="1" s="584">
      <c r="A55" s="552" t="inlineStr">
        <is>
          <t>Rajsriya</t>
        </is>
      </c>
      <c r="B55" s="601" t="inlineStr">
        <is>
          <t>ERW 1</t>
        </is>
      </c>
      <c r="C55" s="599" t="n">
        <v>44.45</v>
      </c>
      <c r="D55" s="599" t="n">
        <v>40</v>
      </c>
      <c r="E55" s="6" t="n">
        <v>30</v>
      </c>
      <c r="F55" s="599" t="n">
        <v>1.6</v>
      </c>
      <c r="G55" s="600" t="n">
        <v>860</v>
      </c>
      <c r="H55" s="600" t="inlineStr">
        <is>
          <t>NOS</t>
        </is>
      </c>
      <c r="I55" s="601" t="n">
        <v>5000</v>
      </c>
      <c r="J55" s="601" t="n">
        <v>0</v>
      </c>
      <c r="K55" s="602" t="n">
        <v>5000</v>
      </c>
      <c r="L55" s="557" t="inlineStr">
        <is>
          <t>40-30-1.6-ERW 1-FC</t>
        </is>
      </c>
      <c r="M55" s="598" t="n">
        <v>11.456838</v>
      </c>
      <c r="N55" s="598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</row>
    <row r="56" hidden="1" s="584">
      <c r="A56" s="552" t="inlineStr">
        <is>
          <t>Rajsriya</t>
        </is>
      </c>
      <c r="B56" s="601" t="inlineStr">
        <is>
          <t>ERW 1</t>
        </is>
      </c>
      <c r="C56" s="599" t="n">
        <v>44.45</v>
      </c>
      <c r="D56" s="599" t="n">
        <v>40</v>
      </c>
      <c r="E56" s="6" t="n">
        <v>30</v>
      </c>
      <c r="F56" s="599" t="n">
        <v>1.6</v>
      </c>
      <c r="G56" s="600" t="n">
        <v>860</v>
      </c>
      <c r="H56" s="600" t="inlineStr">
        <is>
          <t>NOS</t>
        </is>
      </c>
      <c r="I56" s="601" t="n">
        <v>9000</v>
      </c>
      <c r="J56" s="601" t="n">
        <v>2200</v>
      </c>
      <c r="K56" s="602" t="n">
        <v>6800</v>
      </c>
      <c r="L56" s="557" t="inlineStr">
        <is>
          <t>40-30-1.6-ERW 1-FC</t>
        </is>
      </c>
      <c r="M56" s="598" t="n">
        <v>11.456838</v>
      </c>
      <c r="N56" s="598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</row>
    <row r="57" hidden="1" s="584">
      <c r="A57" s="552" t="inlineStr">
        <is>
          <t>Rajsriya</t>
        </is>
      </c>
      <c r="B57" s="601" t="inlineStr">
        <is>
          <t>ERW 1</t>
        </is>
      </c>
      <c r="C57" s="599" t="n">
        <v>42.7</v>
      </c>
      <c r="D57" s="599" t="n">
        <v>42.7</v>
      </c>
      <c r="E57" s="599" t="n">
        <v>0</v>
      </c>
      <c r="F57" s="599" t="n">
        <v>4</v>
      </c>
      <c r="G57" s="600" t="n">
        <v>254</v>
      </c>
      <c r="H57" s="600" t="inlineStr">
        <is>
          <t>NOS</t>
        </is>
      </c>
      <c r="I57" s="601" t="n">
        <v>12000</v>
      </c>
      <c r="J57" s="601" t="n">
        <v>6758</v>
      </c>
      <c r="K57" s="602" t="n">
        <v>5242</v>
      </c>
      <c r="L57" s="557" t="inlineStr">
        <is>
          <t>42.7-0-4-ERW 1-FC</t>
        </is>
      </c>
      <c r="M57" s="598" t="n">
        <v>4.465389</v>
      </c>
      <c r="N57" s="598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</row>
    <row r="58" hidden="1" s="584">
      <c r="A58" s="552" t="inlineStr">
        <is>
          <t>Rajsriya</t>
        </is>
      </c>
      <c r="B58" s="601" t="inlineStr">
        <is>
          <t>ERW 1</t>
        </is>
      </c>
      <c r="C58" s="599" t="n">
        <v>42.7</v>
      </c>
      <c r="D58" s="599" t="n">
        <v>42.7</v>
      </c>
      <c r="E58" s="599" t="n">
        <v>0</v>
      </c>
      <c r="F58" s="599" t="n">
        <v>4</v>
      </c>
      <c r="G58" s="600" t="n">
        <v>254</v>
      </c>
      <c r="H58" s="600" t="inlineStr">
        <is>
          <t>NOS</t>
        </is>
      </c>
      <c r="I58" s="601" t="n">
        <v>10000</v>
      </c>
      <c r="J58" s="601" t="n">
        <v>2685</v>
      </c>
      <c r="K58" s="602" t="n">
        <v>7315</v>
      </c>
      <c r="L58" s="557" t="inlineStr">
        <is>
          <t>42.7-0-4-ERW 1-FC</t>
        </is>
      </c>
      <c r="M58" s="598" t="n">
        <v>4.465389</v>
      </c>
      <c r="N58" s="598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</row>
    <row r="59" hidden="1" s="584">
      <c r="A59" s="552" t="inlineStr">
        <is>
          <t>Rajsriya</t>
        </is>
      </c>
      <c r="B59" s="601" t="inlineStr">
        <is>
          <t>ERW 1</t>
        </is>
      </c>
      <c r="C59" s="599" t="n">
        <v>57.15</v>
      </c>
      <c r="D59" s="599" t="n">
        <v>57.15</v>
      </c>
      <c r="E59" s="599" t="n">
        <v>0</v>
      </c>
      <c r="F59" s="599" t="n">
        <v>2</v>
      </c>
      <c r="G59" s="600" t="n">
        <v>409</v>
      </c>
      <c r="H59" s="600" t="inlineStr">
        <is>
          <t>NOS</t>
        </is>
      </c>
      <c r="I59" s="601" t="n">
        <v>5000</v>
      </c>
      <c r="J59" s="601" t="n">
        <v>4427</v>
      </c>
      <c r="K59" s="602" t="n">
        <v>573</v>
      </c>
      <c r="L59" s="557" t="inlineStr">
        <is>
          <t>57.15-0-2-ERW 1-FC</t>
        </is>
      </c>
      <c r="M59" s="598" t="n">
        <v>31.31248099999999</v>
      </c>
      <c r="N59" s="598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</row>
    <row r="60" hidden="1" s="584">
      <c r="A60" s="552" t="inlineStr">
        <is>
          <t>Rajsriya</t>
        </is>
      </c>
      <c r="B60" s="601" t="inlineStr">
        <is>
          <t>ERW 1</t>
        </is>
      </c>
      <c r="C60" s="559" t="n">
        <v>22.23</v>
      </c>
      <c r="D60" s="559" t="n">
        <v>22.23</v>
      </c>
      <c r="E60" s="559" t="n">
        <v>0</v>
      </c>
      <c r="F60" s="599" t="n">
        <v>2.3</v>
      </c>
      <c r="G60" s="600" t="n">
        <v>220</v>
      </c>
      <c r="H60" s="600" t="inlineStr">
        <is>
          <t>NOS</t>
        </is>
      </c>
      <c r="I60" s="557" t="n">
        <v>10000</v>
      </c>
      <c r="J60" s="601" t="n">
        <v>0</v>
      </c>
      <c r="K60" s="602" t="n">
        <v>10000</v>
      </c>
      <c r="L60" s="557" t="inlineStr">
        <is>
          <t>22.23-0-2.3-ERW 1-PE</t>
        </is>
      </c>
      <c r="M60" s="598" t="n">
        <v>46.538291</v>
      </c>
      <c r="N60" s="598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</row>
    <row r="61">
      <c r="A61" s="552" t="inlineStr">
        <is>
          <t>Sandhar</t>
        </is>
      </c>
      <c r="B61" s="601" t="inlineStr">
        <is>
          <t>ERW 1</t>
        </is>
      </c>
      <c r="C61" s="599" t="n">
        <v>22.23</v>
      </c>
      <c r="D61" s="599" t="n">
        <v>22.23</v>
      </c>
      <c r="E61" s="599" t="n">
        <v>0</v>
      </c>
      <c r="F61" s="599" t="n">
        <v>2</v>
      </c>
      <c r="G61" s="600" t="n">
        <v>855</v>
      </c>
      <c r="H61" s="600" t="inlineStr">
        <is>
          <t>NOS</t>
        </is>
      </c>
      <c r="I61" s="601" t="n">
        <v>30330</v>
      </c>
      <c r="J61" s="601" t="n">
        <v>0</v>
      </c>
      <c r="K61" s="602" t="n">
        <v>30330</v>
      </c>
      <c r="L61" s="557" t="inlineStr">
        <is>
          <t>22.23-0-2-ERW 1-FC</t>
        </is>
      </c>
      <c r="M61" s="598" t="n">
        <v>4.180197</v>
      </c>
      <c r="N61" s="598">
        <f>Table37[[#This Row],[BAL IN NOS]]</f>
        <v/>
      </c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</row>
    <row r="62">
      <c r="A62" s="552" t="inlineStr">
        <is>
          <t>Sandhar</t>
        </is>
      </c>
      <c r="B62" s="601" t="inlineStr">
        <is>
          <t>ERW 1</t>
        </is>
      </c>
      <c r="C62" s="599" t="n">
        <v>22.23</v>
      </c>
      <c r="D62" s="599" t="n">
        <v>22.23</v>
      </c>
      <c r="E62" s="599" t="n">
        <v>0</v>
      </c>
      <c r="F62" s="599" t="n">
        <v>2</v>
      </c>
      <c r="G62" s="600" t="n">
        <v>863</v>
      </c>
      <c r="H62" s="600" t="inlineStr">
        <is>
          <t>NOS</t>
        </is>
      </c>
      <c r="I62" s="601" t="n">
        <v>14944</v>
      </c>
      <c r="J62" s="601" t="n">
        <v>0</v>
      </c>
      <c r="K62" s="602" t="n">
        <v>14944</v>
      </c>
      <c r="L62" s="557" t="inlineStr">
        <is>
          <t>22.23-0-2-ERW 1-FC</t>
        </is>
      </c>
      <c r="M62" s="598" t="n">
        <v>4.180197</v>
      </c>
      <c r="N62" s="598" t="n">
        <v>5000</v>
      </c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</row>
    <row r="63">
      <c r="A63" s="552" t="inlineStr">
        <is>
          <t>Sandhar</t>
        </is>
      </c>
      <c r="B63" s="601" t="inlineStr">
        <is>
          <t>ERW 1</t>
        </is>
      </c>
      <c r="C63" s="599" t="n">
        <v>41.28</v>
      </c>
      <c r="D63" s="599" t="n">
        <v>41.28</v>
      </c>
      <c r="E63" s="599" t="n">
        <v>0</v>
      </c>
      <c r="F63" s="599" t="n">
        <v>2.6</v>
      </c>
      <c r="G63" s="600" t="n">
        <v>850</v>
      </c>
      <c r="H63" s="600" t="inlineStr">
        <is>
          <t>NOS</t>
        </is>
      </c>
      <c r="I63" s="601" t="n">
        <v>22637</v>
      </c>
      <c r="J63" s="601" t="n">
        <v>10811</v>
      </c>
      <c r="K63" s="602" t="n">
        <v>11826</v>
      </c>
      <c r="L63" s="557" t="inlineStr">
        <is>
          <t>41.28-0-2.6-ERW 1-FC</t>
        </is>
      </c>
      <c r="M63" s="598" t="n">
        <v>34.10274500000001</v>
      </c>
      <c r="N63" s="598" t="n">
        <v>5000</v>
      </c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</row>
    <row r="64" hidden="1" s="584">
      <c r="A64" s="552" t="inlineStr">
        <is>
          <t>Sandhar</t>
        </is>
      </c>
      <c r="B64" s="601" t="inlineStr">
        <is>
          <t>ERW 1</t>
        </is>
      </c>
      <c r="C64" s="599" t="n">
        <v>42.7</v>
      </c>
      <c r="D64" s="599" t="n">
        <v>42.7</v>
      </c>
      <c r="E64" s="599" t="n">
        <v>0</v>
      </c>
      <c r="F64" s="599" t="n">
        <v>4</v>
      </c>
      <c r="G64" s="600" t="n">
        <v>215</v>
      </c>
      <c r="H64" s="600" t="inlineStr">
        <is>
          <t>NOS</t>
        </is>
      </c>
      <c r="I64" s="601" t="n">
        <v>45274</v>
      </c>
      <c r="J64" s="601" t="n">
        <v>22240</v>
      </c>
      <c r="K64" s="602" t="n">
        <v>23034</v>
      </c>
      <c r="L64" s="557" t="inlineStr">
        <is>
          <t>42.7-0-4-ERW 1-FC</t>
        </is>
      </c>
      <c r="M64" s="598" t="n">
        <v>4.465389</v>
      </c>
      <c r="N64" s="598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</row>
    <row r="65">
      <c r="A65" s="552" t="inlineStr">
        <is>
          <t>Sandhar</t>
        </is>
      </c>
      <c r="B65" s="601" t="inlineStr">
        <is>
          <t>ERW 1</t>
        </is>
      </c>
      <c r="C65" s="599" t="n">
        <v>38.1</v>
      </c>
      <c r="D65" s="599" t="n">
        <v>38.1</v>
      </c>
      <c r="E65" s="599" t="n">
        <v>0</v>
      </c>
      <c r="F65" s="599" t="n">
        <v>2</v>
      </c>
      <c r="G65" s="600" t="n">
        <v>410</v>
      </c>
      <c r="H65" s="600" t="inlineStr">
        <is>
          <t>NOS</t>
        </is>
      </c>
      <c r="I65" s="601" t="n">
        <v>6552</v>
      </c>
      <c r="J65" s="601" t="n">
        <v>0</v>
      </c>
      <c r="K65" s="602" t="n">
        <v>6552</v>
      </c>
      <c r="L65" s="557" t="inlineStr">
        <is>
          <t>38.1-0-2-ERW 1-FC</t>
        </is>
      </c>
      <c r="M65" s="598" t="n">
        <v>23.642767</v>
      </c>
      <c r="N65" s="598">
        <f>Table37[[#This Row],[BAL IN NOS]]</f>
        <v/>
      </c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</row>
    <row r="66">
      <c r="A66" s="552" t="inlineStr">
        <is>
          <t>Sandhar Engineering Hosur</t>
        </is>
      </c>
      <c r="B66" s="601" t="inlineStr">
        <is>
          <t>ERW 1</t>
        </is>
      </c>
      <c r="C66" s="599" t="n">
        <v>38.1</v>
      </c>
      <c r="D66" s="599" t="n">
        <v>38.1</v>
      </c>
      <c r="E66" s="599" t="n">
        <v>0</v>
      </c>
      <c r="F66" s="599" t="n">
        <v>2</v>
      </c>
      <c r="G66" s="600" t="n">
        <v>432</v>
      </c>
      <c r="H66" s="600" t="inlineStr">
        <is>
          <t>NOS</t>
        </is>
      </c>
      <c r="I66" s="601" t="n">
        <v>15000</v>
      </c>
      <c r="J66" s="601" t="n">
        <v>6200</v>
      </c>
      <c r="K66" s="602" t="n">
        <v>8800</v>
      </c>
      <c r="L66" s="557" t="inlineStr">
        <is>
          <t>38.1-0-2-ERW 1-FC</t>
        </is>
      </c>
      <c r="M66" s="598" t="n">
        <v>23.642767</v>
      </c>
      <c r="N66" s="598">
        <f>Table37[[#This Row],[BAL IN NOS]]</f>
        <v/>
      </c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</row>
    <row r="67">
      <c r="A67" s="552" t="inlineStr">
        <is>
          <t>Sandhar Engineering Hosur</t>
        </is>
      </c>
      <c r="B67" s="601" t="inlineStr">
        <is>
          <t>ERW 1</t>
        </is>
      </c>
      <c r="C67" s="599" t="n">
        <v>38.1</v>
      </c>
      <c r="D67" s="599" t="n">
        <v>38.1</v>
      </c>
      <c r="E67" s="599" t="n">
        <v>0</v>
      </c>
      <c r="F67" s="599" t="n">
        <v>2</v>
      </c>
      <c r="G67" s="600" t="n">
        <v>812</v>
      </c>
      <c r="H67" s="600" t="inlineStr">
        <is>
          <t>NOS</t>
        </is>
      </c>
      <c r="I67" s="601" t="n">
        <v>15000</v>
      </c>
      <c r="J67" s="601" t="n">
        <v>11000</v>
      </c>
      <c r="K67" s="602" t="n">
        <v>4000</v>
      </c>
      <c r="L67" s="557" t="inlineStr">
        <is>
          <t>38.1-0-2-ERW 1-FC</t>
        </is>
      </c>
      <c r="M67" s="598" t="n">
        <v>23.642767</v>
      </c>
      <c r="N67" s="598">
        <f>Table37[[#This Row],[BAL IN NOS]]</f>
        <v/>
      </c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</row>
    <row r="68">
      <c r="A68" s="552" t="inlineStr">
        <is>
          <t>Sandhar Engineering Hosur</t>
        </is>
      </c>
      <c r="B68" s="601" t="inlineStr">
        <is>
          <t>ERW 1</t>
        </is>
      </c>
      <c r="C68" s="599" t="n">
        <v>42.7</v>
      </c>
      <c r="D68" s="599" t="n">
        <v>42.7</v>
      </c>
      <c r="E68" s="599" t="n">
        <v>0</v>
      </c>
      <c r="F68" s="599" t="n">
        <v>3.5</v>
      </c>
      <c r="G68" s="600" t="n">
        <v>208</v>
      </c>
      <c r="H68" s="600" t="inlineStr">
        <is>
          <t>NOS</t>
        </is>
      </c>
      <c r="I68" s="601" t="n">
        <v>22000</v>
      </c>
      <c r="J68" s="601" t="n">
        <v>12242</v>
      </c>
      <c r="K68" s="602" t="n">
        <v>9758</v>
      </c>
      <c r="L68" s="557" t="inlineStr">
        <is>
          <t>42.7-0-3.5-ERW 1-FC</t>
        </is>
      </c>
      <c r="M68" s="598" t="n">
        <v>50.95052599999999</v>
      </c>
      <c r="N68" s="598">
        <f>Table37[[#This Row],[BAL IN NOS]]</f>
        <v/>
      </c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</row>
    <row r="69" hidden="1" s="584">
      <c r="A69" s="552" t="inlineStr">
        <is>
          <t>SRIKAM</t>
        </is>
      </c>
      <c r="B69" s="601" t="inlineStr">
        <is>
          <t>ERW 1</t>
        </is>
      </c>
      <c r="C69" s="599" t="n">
        <v>17.3</v>
      </c>
      <c r="D69" s="599" t="n">
        <v>17.3</v>
      </c>
      <c r="E69" s="6" t="n">
        <v>0</v>
      </c>
      <c r="F69" s="599" t="n">
        <v>1.6</v>
      </c>
      <c r="G69" s="600" t="n">
        <v>640</v>
      </c>
      <c r="H69" s="600" t="inlineStr">
        <is>
          <t>NOS</t>
        </is>
      </c>
      <c r="I69" s="601" t="n">
        <v>5000</v>
      </c>
      <c r="J69" s="601" t="n">
        <v>1000</v>
      </c>
      <c r="K69" s="602" t="n">
        <v>4000</v>
      </c>
      <c r="L69" s="557" t="inlineStr">
        <is>
          <t>17.3-0-1.6-ERW 1-PE</t>
        </is>
      </c>
      <c r="M69" s="598" t="n">
        <v>11.246831</v>
      </c>
      <c r="N69" s="598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</row>
    <row r="70" hidden="1" s="584">
      <c r="A70" s="552" t="inlineStr">
        <is>
          <t>SRIKAM</t>
        </is>
      </c>
      <c r="B70" s="601" t="inlineStr">
        <is>
          <t>ERW 1</t>
        </is>
      </c>
      <c r="C70" s="599" t="n">
        <v>19.05</v>
      </c>
      <c r="D70" s="599" t="n">
        <v>19.05</v>
      </c>
      <c r="E70" s="6" t="n">
        <v>0</v>
      </c>
      <c r="F70" s="599" t="n">
        <v>2.3</v>
      </c>
      <c r="G70" s="600" t="n">
        <v>236</v>
      </c>
      <c r="H70" s="600" t="inlineStr">
        <is>
          <t>NOS</t>
        </is>
      </c>
      <c r="I70" s="601" t="n">
        <v>40000</v>
      </c>
      <c r="J70" s="601" t="n">
        <v>18019</v>
      </c>
      <c r="K70" s="602" t="n">
        <v>21981</v>
      </c>
      <c r="L70" s="557" t="inlineStr">
        <is>
          <t>19.05-0-2.3-ERW 1-PE</t>
        </is>
      </c>
      <c r="M70" s="598" t="n">
        <v>13.504943</v>
      </c>
      <c r="N70" s="598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</row>
    <row r="71" hidden="1" s="584">
      <c r="A71" s="552" t="inlineStr">
        <is>
          <t>SRIKAM</t>
        </is>
      </c>
      <c r="B71" s="601" t="inlineStr">
        <is>
          <t>ERW 1</t>
        </is>
      </c>
      <c r="C71" s="599" t="n">
        <v>19.05</v>
      </c>
      <c r="D71" s="599" t="n">
        <v>19.05</v>
      </c>
      <c r="E71" s="6" t="n">
        <v>0</v>
      </c>
      <c r="F71" s="599" t="n">
        <v>2.3</v>
      </c>
      <c r="G71" s="600" t="n">
        <v>252</v>
      </c>
      <c r="H71" s="600" t="inlineStr">
        <is>
          <t>NOS</t>
        </is>
      </c>
      <c r="I71" s="601" t="n">
        <v>70000</v>
      </c>
      <c r="J71" s="601" t="n">
        <v>26794</v>
      </c>
      <c r="K71" s="602" t="n">
        <v>43206</v>
      </c>
      <c r="L71" s="557" t="inlineStr">
        <is>
          <t>19.05-0-2.3-ERW 1-PE</t>
        </is>
      </c>
      <c r="M71" s="598" t="n">
        <v>13.504943</v>
      </c>
      <c r="N71" s="598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</row>
    <row r="72" hidden="1" s="584">
      <c r="A72" s="552" t="inlineStr">
        <is>
          <t>SRIKAM</t>
        </is>
      </c>
      <c r="B72" s="601" t="inlineStr">
        <is>
          <t>ERW 1</t>
        </is>
      </c>
      <c r="C72" s="599" t="n">
        <v>19.05</v>
      </c>
      <c r="D72" s="599" t="n">
        <v>19.05</v>
      </c>
      <c r="E72" s="6" t="n">
        <v>0</v>
      </c>
      <c r="F72" s="599" t="n">
        <v>2.3</v>
      </c>
      <c r="G72" s="600" t="n">
        <v>570</v>
      </c>
      <c r="H72" s="600" t="inlineStr">
        <is>
          <t>NOS</t>
        </is>
      </c>
      <c r="I72" s="601" t="n">
        <v>10000</v>
      </c>
      <c r="J72" s="601" t="n">
        <v>0</v>
      </c>
      <c r="K72" s="602" t="n">
        <v>10000</v>
      </c>
      <c r="L72" s="557" t="inlineStr">
        <is>
          <t>19.05-0-2.3-ERW 1-PE</t>
        </is>
      </c>
      <c r="M72" s="598" t="n">
        <v>13.504943</v>
      </c>
      <c r="N72" s="598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</row>
    <row r="73" hidden="1" s="584">
      <c r="A73" s="552" t="inlineStr">
        <is>
          <t>SRIKAM</t>
        </is>
      </c>
      <c r="B73" s="601" t="inlineStr">
        <is>
          <t>ERW 1</t>
        </is>
      </c>
      <c r="C73" s="599" t="n">
        <v>19.05</v>
      </c>
      <c r="D73" s="599" t="n">
        <v>19.05</v>
      </c>
      <c r="E73" s="6" t="n">
        <v>0</v>
      </c>
      <c r="F73" s="599" t="n">
        <v>2.3</v>
      </c>
      <c r="G73" s="600" t="n">
        <v>610</v>
      </c>
      <c r="H73" s="600" t="inlineStr">
        <is>
          <t>NOS</t>
        </is>
      </c>
      <c r="I73" s="601" t="n">
        <v>10000</v>
      </c>
      <c r="J73" s="601" t="n">
        <v>7577</v>
      </c>
      <c r="K73" s="602" t="n">
        <v>2423</v>
      </c>
      <c r="L73" s="557" t="inlineStr">
        <is>
          <t>19.05-0-2.3-ERW 1-PE</t>
        </is>
      </c>
      <c r="M73" s="598" t="n">
        <v>13.504943</v>
      </c>
      <c r="N73" s="598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</row>
    <row r="74" hidden="1" s="584">
      <c r="A74" s="552" t="inlineStr">
        <is>
          <t>SRIKAM</t>
        </is>
      </c>
      <c r="B74" s="601" t="inlineStr">
        <is>
          <t>ERW 1</t>
        </is>
      </c>
      <c r="C74" s="599" t="n">
        <v>22.23</v>
      </c>
      <c r="D74" s="599" t="n">
        <v>22.23</v>
      </c>
      <c r="E74" s="6" t="n">
        <v>0</v>
      </c>
      <c r="F74" s="599" t="n">
        <v>2.3</v>
      </c>
      <c r="G74" s="600" t="n">
        <v>281</v>
      </c>
      <c r="H74" s="600" t="inlineStr">
        <is>
          <t>NOS</t>
        </is>
      </c>
      <c r="I74" s="601" t="n">
        <v>70000</v>
      </c>
      <c r="J74" s="601" t="n">
        <v>20950</v>
      </c>
      <c r="K74" s="602" t="n">
        <v>49050</v>
      </c>
      <c r="L74" s="557" t="inlineStr">
        <is>
          <t>22.23-0-2.3-ERW 1-PE</t>
        </is>
      </c>
      <c r="M74" s="598" t="n">
        <v>46.538291</v>
      </c>
      <c r="N74" s="598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</row>
    <row r="75" hidden="1" s="584">
      <c r="A75" s="552" t="inlineStr">
        <is>
          <t>SRIKAM</t>
        </is>
      </c>
      <c r="B75" s="601" t="inlineStr">
        <is>
          <t>ERW 1</t>
        </is>
      </c>
      <c r="C75" s="599" t="n">
        <v>22.23</v>
      </c>
      <c r="D75" s="599" t="n">
        <v>22.23</v>
      </c>
      <c r="E75" s="6" t="n">
        <v>0</v>
      </c>
      <c r="F75" s="599" t="n">
        <v>2.3</v>
      </c>
      <c r="G75" s="600" t="n">
        <v>427</v>
      </c>
      <c r="H75" s="600" t="inlineStr">
        <is>
          <t>NOS</t>
        </is>
      </c>
      <c r="I75" s="601" t="n">
        <v>5000</v>
      </c>
      <c r="J75" s="601" t="n">
        <v>5775</v>
      </c>
      <c r="K75" s="602" t="n">
        <v>-775</v>
      </c>
      <c r="L75" s="557" t="inlineStr">
        <is>
          <t>22.23-0-2.3-ERW 1-PE</t>
        </is>
      </c>
      <c r="M75" s="598" t="n">
        <v>46.538291</v>
      </c>
      <c r="N75" s="598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</row>
    <row r="76">
      <c r="A76" s="552" t="inlineStr">
        <is>
          <t>SRIKAM</t>
        </is>
      </c>
      <c r="B76" s="601" t="inlineStr">
        <is>
          <t>CEW</t>
        </is>
      </c>
      <c r="C76" s="599" t="n">
        <v>19</v>
      </c>
      <c r="D76" s="599" t="n">
        <v>19</v>
      </c>
      <c r="E76" s="599" t="n">
        <v>12.5</v>
      </c>
      <c r="F76" s="599" t="n">
        <v>3.25</v>
      </c>
      <c r="G76" s="600" t="n">
        <v>588</v>
      </c>
      <c r="H76" s="600" t="inlineStr">
        <is>
          <t>NOS</t>
        </is>
      </c>
      <c r="I76" s="601" t="n">
        <v>10000</v>
      </c>
      <c r="J76" s="601" t="n">
        <v>0</v>
      </c>
      <c r="K76" s="602" t="n">
        <v>10000</v>
      </c>
      <c r="L76" s="557" t="inlineStr">
        <is>
          <t>19-12.5-3.25-CEW-CEW</t>
        </is>
      </c>
      <c r="M76" s="598" t="n">
        <v>37.067293</v>
      </c>
      <c r="N76" s="598" t="n">
        <v>10000</v>
      </c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</row>
    <row r="77">
      <c r="A77" s="552" t="inlineStr">
        <is>
          <t>SRIKAM</t>
        </is>
      </c>
      <c r="B77" s="601" t="inlineStr">
        <is>
          <t>ERW 1</t>
        </is>
      </c>
      <c r="C77" s="599" t="n">
        <v>19.05</v>
      </c>
      <c r="D77" s="599" t="n">
        <v>19.05</v>
      </c>
      <c r="E77" s="6" t="n">
        <v>0</v>
      </c>
      <c r="F77" s="599" t="n">
        <v>2.3</v>
      </c>
      <c r="G77" s="600" t="n">
        <v>265</v>
      </c>
      <c r="H77" s="600" t="inlineStr">
        <is>
          <t>NOS</t>
        </is>
      </c>
      <c r="I77" s="601" t="n">
        <v>20000</v>
      </c>
      <c r="J77" s="601" t="n">
        <v>0</v>
      </c>
      <c r="K77" s="602" t="n">
        <v>20000</v>
      </c>
      <c r="L77" s="557" t="inlineStr">
        <is>
          <t>19.05-0-2.3-ERW 1-PE</t>
        </is>
      </c>
      <c r="M77" s="598" t="n">
        <v>13.504943</v>
      </c>
      <c r="N77" s="598" t="n">
        <v>10000</v>
      </c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</row>
    <row r="78" hidden="1" s="584">
      <c r="A78" s="552" t="inlineStr">
        <is>
          <t>SRIKAM</t>
        </is>
      </c>
      <c r="B78" s="601" t="inlineStr">
        <is>
          <t>ERW 1</t>
        </is>
      </c>
      <c r="C78" s="599" t="n">
        <v>19.05</v>
      </c>
      <c r="D78" s="599" t="n">
        <v>19.05</v>
      </c>
      <c r="E78" s="6" t="n">
        <v>0</v>
      </c>
      <c r="F78" s="599" t="n">
        <v>2.3</v>
      </c>
      <c r="G78" s="600" t="n">
        <v>295</v>
      </c>
      <c r="H78" s="600" t="inlineStr">
        <is>
          <t>NOS</t>
        </is>
      </c>
      <c r="I78" s="601" t="n">
        <v>80000</v>
      </c>
      <c r="J78" s="601" t="n">
        <v>30034</v>
      </c>
      <c r="K78" s="602" t="n">
        <v>49966</v>
      </c>
      <c r="L78" s="557" t="inlineStr">
        <is>
          <t>19.05-0-2.3-ERW 1-PE</t>
        </is>
      </c>
      <c r="M78" s="598" t="n">
        <v>13.504943</v>
      </c>
      <c r="N78" s="598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idden="1" s="584">
      <c r="A79" s="552" t="inlineStr">
        <is>
          <t>Tvs</t>
        </is>
      </c>
      <c r="B79" s="100" t="inlineStr">
        <is>
          <t>ERW 1</t>
        </is>
      </c>
      <c r="C79" s="129" t="n">
        <v>44.45</v>
      </c>
      <c r="D79" s="129" t="n">
        <v>40</v>
      </c>
      <c r="E79" s="129" t="n">
        <v>30</v>
      </c>
      <c r="F79" s="129" t="n">
        <v>1.6</v>
      </c>
      <c r="G79" s="181" t="n">
        <v>400</v>
      </c>
      <c r="H79" s="181" t="inlineStr">
        <is>
          <t>NOS</t>
        </is>
      </c>
      <c r="I79" s="100" t="n">
        <v>10000</v>
      </c>
      <c r="J79" s="100" t="n">
        <v>9621</v>
      </c>
      <c r="K79" s="131" t="n">
        <v>379</v>
      </c>
      <c r="L79" s="565" t="inlineStr">
        <is>
          <t>40-30-1.6-ERW 1-FC</t>
        </is>
      </c>
      <c r="M79" s="598" t="n">
        <v>11.456838</v>
      </c>
      <c r="N79" s="598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 codeName="Sheet9">
    <outlinePr summaryBelow="1" summaryRight="1"/>
    <pageSetUpPr/>
  </sheetPr>
  <dimension ref="A1:K1512"/>
  <sheetViews>
    <sheetView topLeftCell="D1" workbookViewId="0">
      <selection activeCell="C261" sqref="C261:C1551"/>
    </sheetView>
  </sheetViews>
  <sheetFormatPr baseColWidth="8" defaultRowHeight="15"/>
  <cols>
    <col width="10.85546875" bestFit="1" customWidth="1" style="584" min="1" max="1"/>
    <col width="42.7109375" bestFit="1" customWidth="1" style="584" min="2" max="2"/>
    <col width="9" bestFit="1" customWidth="1" style="584" min="3" max="3"/>
    <col width="7.85546875" bestFit="1" customWidth="1" style="584" min="4" max="4"/>
    <col width="37.7109375" bestFit="1" customWidth="1" style="584" min="5" max="5"/>
    <col width="8.28515625" bestFit="1" customWidth="1" style="584" min="6" max="6"/>
    <col width="7.5703125" bestFit="1" customWidth="1" style="584" min="7" max="7"/>
    <col width="31.140625" bestFit="1" customWidth="1" style="584" min="8" max="8"/>
    <col width="33.42578125" bestFit="1" customWidth="1" style="584" min="9" max="9"/>
    <col width="9.28515625" bestFit="1" customWidth="1" style="584" min="10" max="10"/>
    <col width="10.7109375" customWidth="1" style="584" min="11" max="11"/>
    <col width="10.7109375" bestFit="1" customWidth="1" style="584" min="12" max="12"/>
    <col width="7.85546875" bestFit="1" customWidth="1" style="584" min="13" max="13"/>
    <col width="14.140625" bestFit="1" customWidth="1" style="584" min="14" max="14"/>
    <col width="16.7109375" bestFit="1" customWidth="1" style="584" min="15" max="15"/>
    <col width="22.28515625" bestFit="1" customWidth="1" style="584" min="16" max="16"/>
    <col width="11.5703125" bestFit="1" customWidth="1" style="584" min="17" max="17"/>
    <col width="37.42578125" bestFit="1" customWidth="1" style="584" min="18" max="18"/>
    <col width="13.85546875" bestFit="1" customWidth="1" style="584" min="19" max="19"/>
    <col width="12" bestFit="1" customWidth="1" style="584" min="20" max="20"/>
    <col width="21.7109375" bestFit="1" customWidth="1" style="584" min="21" max="21"/>
    <col width="8.28515625" bestFit="1" customWidth="1" style="584" min="22" max="22"/>
    <col width="7.5703125" bestFit="1" customWidth="1" style="584" min="23" max="23"/>
    <col width="31.140625" customWidth="1" style="584" min="24" max="24"/>
  </cols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MT</t>
        </is>
      </c>
      <c r="D1" t="inlineStr">
        <is>
          <t>Plant</t>
        </is>
      </c>
      <c r="E1" t="inlineStr">
        <is>
          <t>CUSTOMER NAME</t>
        </is>
      </c>
      <c r="F1" t="inlineStr">
        <is>
          <t>Index</t>
        </is>
      </c>
      <c r="G1" t="inlineStr">
        <is>
          <t>OEM</t>
        </is>
      </c>
      <c r="H1" t="inlineStr">
        <is>
          <t>Bucket</t>
        </is>
      </c>
      <c r="I1" t="inlineStr">
        <is>
          <t>CTL Bucket</t>
        </is>
      </c>
      <c r="J1" t="inlineStr">
        <is>
          <t>Length</t>
        </is>
      </c>
      <c r="K1" t="inlineStr">
        <is>
          <t>LL or CTL</t>
        </is>
      </c>
    </row>
    <row r="2" hidden="1" s="584">
      <c r="A2" t="n">
        <v>1939985</v>
      </c>
      <c r="B2" t="inlineStr">
        <is>
          <t>TUB-O-O-AUT-AW-PE-12.70X1.200X6.0000</t>
        </is>
      </c>
      <c r="C2" t="n">
        <v>0.613</v>
      </c>
      <c r="D2" t="n">
        <v>789</v>
      </c>
      <c r="E2" t="inlineStr">
        <is>
          <t>MEGH STEELS PRIVATE LIMITED - TVS A</t>
        </is>
      </c>
      <c r="F2" t="n">
        <v>2</v>
      </c>
      <c r="G2" t="inlineStr">
        <is>
          <t>Direct</t>
        </is>
      </c>
      <c r="H2" t="inlineStr">
        <is>
          <t>12.7-0-1.2-ERW 1-PE</t>
        </is>
      </c>
      <c r="I2" t="inlineStr">
        <is>
          <t>12.7-0-1.2-ERW 1-PE-1</t>
        </is>
      </c>
      <c r="J2" t="n">
        <v>6</v>
      </c>
      <c r="K2" t="inlineStr">
        <is>
          <t>LL</t>
        </is>
      </c>
    </row>
    <row r="3" hidden="1" s="584">
      <c r="A3" t="n">
        <v>1939985</v>
      </c>
      <c r="B3" t="inlineStr">
        <is>
          <t>TUB-O-O-AUT-AW-PE-12.70X1.200X6.0000</t>
        </is>
      </c>
      <c r="C3" t="n">
        <v>0.61</v>
      </c>
      <c r="D3" t="n">
        <v>789</v>
      </c>
      <c r="E3" t="inlineStr">
        <is>
          <t>MEGH STEELS PRIVATE LIMITED - TVS A</t>
        </is>
      </c>
      <c r="F3" t="n">
        <v>3</v>
      </c>
      <c r="G3" t="inlineStr">
        <is>
          <t>Direct</t>
        </is>
      </c>
      <c r="H3" t="inlineStr">
        <is>
          <t>12.7-0-1.2-ERW 1-PE</t>
        </is>
      </c>
      <c r="I3" t="inlineStr">
        <is>
          <t>12.7-0-1.2-ERW 1-PE-1</t>
        </is>
      </c>
      <c r="J3" t="n">
        <v>6</v>
      </c>
      <c r="K3" t="inlineStr">
        <is>
          <t>LL</t>
        </is>
      </c>
    </row>
    <row r="4" hidden="1" s="584">
      <c r="A4" t="n">
        <v>1939985</v>
      </c>
      <c r="B4" t="inlineStr">
        <is>
          <t>TUB-O-O-AUT-AW-PE-12.70X1.200X6.0000</t>
        </is>
      </c>
      <c r="C4" t="n">
        <v>0.241453</v>
      </c>
      <c r="D4" t="n">
        <v>789</v>
      </c>
      <c r="E4" t="inlineStr">
        <is>
          <t>MEGH STEELS PRIVATE LIMITED - TVS A</t>
        </is>
      </c>
      <c r="F4" t="n">
        <v>4</v>
      </c>
      <c r="G4" t="inlineStr">
        <is>
          <t>Direct</t>
        </is>
      </c>
      <c r="H4" t="inlineStr">
        <is>
          <t>12.7-0-1.2-ERW 1-PE</t>
        </is>
      </c>
      <c r="I4" t="inlineStr">
        <is>
          <t>12.7-0-1.2-ERW 1-PE-1</t>
        </is>
      </c>
      <c r="J4" t="n">
        <v>6</v>
      </c>
      <c r="K4" t="inlineStr">
        <is>
          <t>LL</t>
        </is>
      </c>
    </row>
    <row r="5" hidden="1" s="584">
      <c r="A5" t="n">
        <v>1939985</v>
      </c>
      <c r="B5" t="inlineStr">
        <is>
          <t>TUB-O-O-AUT-AW-PE-12.70X1.200X6.0000</t>
        </is>
      </c>
      <c r="C5" t="n">
        <v>0.6879999999999999</v>
      </c>
      <c r="D5" t="n">
        <v>789</v>
      </c>
      <c r="E5" t="inlineStr">
        <is>
          <t>MEGH STEELS PRIVATE LIMITED - TVS A</t>
        </is>
      </c>
      <c r="F5" t="n">
        <v>89</v>
      </c>
      <c r="G5" t="inlineStr">
        <is>
          <t>Direct</t>
        </is>
      </c>
      <c r="H5" t="inlineStr">
        <is>
          <t>12.7-0-1.2-ERW 1-PE</t>
        </is>
      </c>
      <c r="I5" t="inlineStr">
        <is>
          <t>12.7-0-1.2-ERW 1-PE-1</t>
        </is>
      </c>
      <c r="J5" t="n">
        <v>6</v>
      </c>
      <c r="K5" t="inlineStr">
        <is>
          <t>LL</t>
        </is>
      </c>
    </row>
    <row r="6" hidden="1" s="584">
      <c r="A6" t="n">
        <v>1939985</v>
      </c>
      <c r="B6" t="inlineStr">
        <is>
          <t>TUB-O-O-AUT-AW-PE-12.70X1.200X6.0000</t>
        </is>
      </c>
      <c r="C6" t="n">
        <v>1.763</v>
      </c>
      <c r="D6" t="n">
        <v>789</v>
      </c>
      <c r="E6" t="inlineStr">
        <is>
          <t>MEGH STEELS PRIVATE LIMITED - TVS A</t>
        </is>
      </c>
      <c r="F6" t="n">
        <v>90</v>
      </c>
      <c r="G6" t="inlineStr">
        <is>
          <t>Direct</t>
        </is>
      </c>
      <c r="H6" t="inlineStr">
        <is>
          <t>12.7-0-1.2-ERW 1-PE</t>
        </is>
      </c>
      <c r="I6" t="inlineStr">
        <is>
          <t>12.7-0-1.2-ERW 1-PE-1</t>
        </is>
      </c>
      <c r="J6" t="n">
        <v>6</v>
      </c>
      <c r="K6" t="inlineStr">
        <is>
          <t>LL</t>
        </is>
      </c>
    </row>
    <row r="7" hidden="1" s="584">
      <c r="A7" t="n">
        <v>1939985</v>
      </c>
      <c r="B7" t="inlineStr">
        <is>
          <t>TUB-O-O-AUT-AW-PE-12.70X1.200X6.0000</t>
        </is>
      </c>
      <c r="C7" t="n">
        <v>0.613</v>
      </c>
      <c r="D7" t="n">
        <v>789</v>
      </c>
      <c r="E7" t="inlineStr">
        <is>
          <t>MEGH STEELS PRIVATE LIMITED - TVS A</t>
        </is>
      </c>
      <c r="F7" t="n">
        <v>91</v>
      </c>
      <c r="G7" t="inlineStr">
        <is>
          <t>Direct</t>
        </is>
      </c>
      <c r="H7" t="inlineStr">
        <is>
          <t>12.7-0-1.2-ERW 1-PE</t>
        </is>
      </c>
      <c r="I7" t="inlineStr">
        <is>
          <t>12.7-0-1.2-ERW 1-PE-1</t>
        </is>
      </c>
      <c r="J7" t="n">
        <v>6</v>
      </c>
      <c r="K7" t="inlineStr">
        <is>
          <t>LL</t>
        </is>
      </c>
    </row>
    <row r="8" hidden="1" s="584">
      <c r="A8" t="n">
        <v>1939985</v>
      </c>
      <c r="B8" t="inlineStr">
        <is>
          <t>TUB-O-O-AUT-AW-PE-12.70X1.200X6.0000</t>
        </is>
      </c>
      <c r="C8" t="n">
        <v>1.828</v>
      </c>
      <c r="D8" t="n">
        <v>789</v>
      </c>
      <c r="E8" t="inlineStr">
        <is>
          <t>MEGH STEELS PRIVATE LIMITED - TVS A</t>
        </is>
      </c>
      <c r="F8" t="n">
        <v>92</v>
      </c>
      <c r="G8" t="inlineStr">
        <is>
          <t>Direct</t>
        </is>
      </c>
      <c r="H8" t="inlineStr">
        <is>
          <t>12.7-0-1.2-ERW 1-PE</t>
        </is>
      </c>
      <c r="I8" t="inlineStr">
        <is>
          <t>12.7-0-1.2-ERW 1-PE-1</t>
        </is>
      </c>
      <c r="J8" t="n">
        <v>6</v>
      </c>
      <c r="K8" t="inlineStr">
        <is>
          <t>LL</t>
        </is>
      </c>
    </row>
    <row r="9" hidden="1" s="584">
      <c r="A9" t="n">
        <v>1939985</v>
      </c>
      <c r="B9" t="inlineStr">
        <is>
          <t>TUB-O-O-AUT-AW-PE-12.70X1.200X6.0000</t>
        </is>
      </c>
      <c r="C9" t="n">
        <v>0.792</v>
      </c>
      <c r="D9" t="n">
        <v>789</v>
      </c>
      <c r="E9" t="inlineStr">
        <is>
          <t>MEGH STEELS PRIVATE LIMITED - TVS A</t>
        </is>
      </c>
      <c r="F9" t="n">
        <v>93</v>
      </c>
      <c r="G9" t="inlineStr">
        <is>
          <t>Direct</t>
        </is>
      </c>
      <c r="H9" t="inlineStr">
        <is>
          <t>12.7-0-1.2-ERW 1-PE</t>
        </is>
      </c>
      <c r="I9" t="inlineStr">
        <is>
          <t>12.7-0-1.2-ERW 1-PE-1</t>
        </is>
      </c>
      <c r="J9" t="n">
        <v>6</v>
      </c>
      <c r="K9" t="inlineStr">
        <is>
          <t>LL</t>
        </is>
      </c>
    </row>
    <row r="10" hidden="1" s="584">
      <c r="A10" t="n">
        <v>1939985</v>
      </c>
      <c r="B10" t="inlineStr">
        <is>
          <t>TUB-O-O-AUT-AW-PE-12.70X1.200X6.0000</t>
        </is>
      </c>
      <c r="C10" t="n">
        <v>2.63</v>
      </c>
      <c r="D10" t="n">
        <v>789</v>
      </c>
      <c r="E10" t="inlineStr">
        <is>
          <t>MEGH STEELS PRIVATE LIMITED - TVS A</t>
        </is>
      </c>
      <c r="F10" t="n">
        <v>94</v>
      </c>
      <c r="G10" t="inlineStr">
        <is>
          <t>Direct</t>
        </is>
      </c>
      <c r="H10" t="inlineStr">
        <is>
          <t>12.7-0-1.2-ERW 1-PE</t>
        </is>
      </c>
      <c r="I10" t="inlineStr">
        <is>
          <t>12.7-0-1.2-ERW 1-PE-1</t>
        </is>
      </c>
      <c r="J10" t="n">
        <v>6</v>
      </c>
      <c r="K10" t="inlineStr">
        <is>
          <t>LL</t>
        </is>
      </c>
    </row>
    <row r="11" hidden="1" s="584">
      <c r="A11" t="n">
        <v>1939985</v>
      </c>
      <c r="B11" t="inlineStr">
        <is>
          <t>TUB-O-O-AUT-AW-PE-12.70X1.200X6.0000</t>
        </is>
      </c>
      <c r="C11" t="n">
        <v>2.275</v>
      </c>
      <c r="D11" t="n">
        <v>789</v>
      </c>
      <c r="E11" t="inlineStr">
        <is>
          <t>MEGH STEELS PRIVATE LIMITED - TVS A</t>
        </is>
      </c>
      <c r="F11" t="n">
        <v>95</v>
      </c>
      <c r="G11" t="inlineStr">
        <is>
          <t>Direct</t>
        </is>
      </c>
      <c r="H11" t="inlineStr">
        <is>
          <t>12.7-0-1.2-ERW 1-PE</t>
        </is>
      </c>
      <c r="I11" t="inlineStr">
        <is>
          <t>12.7-0-1.2-ERW 1-PE-1</t>
        </is>
      </c>
      <c r="J11" t="n">
        <v>6</v>
      </c>
      <c r="K11" t="inlineStr">
        <is>
          <t>LL</t>
        </is>
      </c>
    </row>
    <row r="12" hidden="1" s="584">
      <c r="A12" t="n">
        <v>1939985</v>
      </c>
      <c r="B12" t="inlineStr">
        <is>
          <t>TUB-O-O-AUT-AW-PE-12.70X1.200X6.0000</t>
        </is>
      </c>
      <c r="C12" t="n">
        <v>2.27</v>
      </c>
      <c r="D12" t="n">
        <v>789</v>
      </c>
      <c r="E12" t="inlineStr">
        <is>
          <t>MEGH STEELS PRIVATE LIMITED - TVS A</t>
        </is>
      </c>
      <c r="F12" t="n">
        <v>96</v>
      </c>
      <c r="G12" t="inlineStr">
        <is>
          <t>Direct</t>
        </is>
      </c>
      <c r="H12" t="inlineStr">
        <is>
          <t>12.7-0-1.2-ERW 1-PE</t>
        </is>
      </c>
      <c r="I12" t="inlineStr">
        <is>
          <t>12.7-0-1.2-ERW 1-PE-1</t>
        </is>
      </c>
      <c r="J12" t="n">
        <v>6</v>
      </c>
      <c r="K12" t="inlineStr">
        <is>
          <t>LL</t>
        </is>
      </c>
    </row>
    <row r="13" hidden="1" s="584">
      <c r="A13" t="n">
        <v>1939985</v>
      </c>
      <c r="B13" t="inlineStr">
        <is>
          <t>TUB-O-O-AUT-AW-PE-12.70X1.200X6.0000</t>
        </is>
      </c>
      <c r="C13" t="n">
        <v>2.26</v>
      </c>
      <c r="D13" t="n">
        <v>789</v>
      </c>
      <c r="E13" t="inlineStr">
        <is>
          <t>MEGH STEELS PRIVATE LIMITED - TVS A</t>
        </is>
      </c>
      <c r="F13" t="n">
        <v>97</v>
      </c>
      <c r="G13" t="inlineStr">
        <is>
          <t>Direct</t>
        </is>
      </c>
      <c r="H13" t="inlineStr">
        <is>
          <t>12.7-0-1.2-ERW 1-PE</t>
        </is>
      </c>
      <c r="I13" t="inlineStr">
        <is>
          <t>12.7-0-1.2-ERW 1-PE-1</t>
        </is>
      </c>
      <c r="J13" t="n">
        <v>6</v>
      </c>
      <c r="K13" t="inlineStr">
        <is>
          <t>LL</t>
        </is>
      </c>
    </row>
    <row r="14" hidden="1" s="584">
      <c r="A14" t="n">
        <v>1939985</v>
      </c>
      <c r="B14" t="inlineStr">
        <is>
          <t>TUB-O-O-AUT-AW-PE-12.70X1.200X6.0000</t>
        </is>
      </c>
      <c r="C14" t="n">
        <v>2.261</v>
      </c>
      <c r="D14" t="n">
        <v>789</v>
      </c>
      <c r="E14" t="inlineStr">
        <is>
          <t>MEGH STEELS PRIVATE LIMITED - TVS A</t>
        </is>
      </c>
      <c r="F14" t="n">
        <v>98</v>
      </c>
      <c r="G14" t="inlineStr">
        <is>
          <t>Direct</t>
        </is>
      </c>
      <c r="H14" t="inlineStr">
        <is>
          <t>12.7-0-1.2-ERW 1-PE</t>
        </is>
      </c>
      <c r="I14" t="inlineStr">
        <is>
          <t>12.7-0-1.2-ERW 1-PE-1</t>
        </is>
      </c>
      <c r="J14" t="n">
        <v>6</v>
      </c>
      <c r="K14" t="inlineStr">
        <is>
          <t>LL</t>
        </is>
      </c>
    </row>
    <row r="15" hidden="1" s="584">
      <c r="A15" t="n">
        <v>1939985</v>
      </c>
      <c r="B15" t="inlineStr">
        <is>
          <t>TUB-O-O-AUT-AW-PE-12.70X1.200X6.0000</t>
        </is>
      </c>
      <c r="C15" t="n">
        <v>1.332</v>
      </c>
      <c r="D15" t="n">
        <v>789</v>
      </c>
      <c r="E15" t="inlineStr">
        <is>
          <t>MEGH STEELS PRIVATE LIMITED - TVS A</t>
        </is>
      </c>
      <c r="F15" t="n">
        <v>99</v>
      </c>
      <c r="G15" t="inlineStr">
        <is>
          <t>Direct</t>
        </is>
      </c>
      <c r="H15" t="inlineStr">
        <is>
          <t>12.7-0-1.2-ERW 1-PE</t>
        </is>
      </c>
      <c r="I15" t="inlineStr">
        <is>
          <t>12.7-0-1.2-ERW 1-PE-1</t>
        </is>
      </c>
      <c r="J15" t="n">
        <v>6</v>
      </c>
      <c r="K15" t="inlineStr">
        <is>
          <t>LL</t>
        </is>
      </c>
    </row>
    <row r="16" hidden="1" s="584">
      <c r="A16" t="n">
        <v>1940369</v>
      </c>
      <c r="B16" t="inlineStr">
        <is>
          <t>TUB-O-O-AUT-AW-PE-22.23X1.200X6.0000</t>
        </is>
      </c>
      <c r="C16" t="n">
        <v>0.08500000000000001</v>
      </c>
      <c r="D16" t="n">
        <v>789</v>
      </c>
      <c r="E16" t="inlineStr">
        <is>
          <t>MEGH STEELS PRIVATE LIMITED - TVS A</t>
        </is>
      </c>
      <c r="F16" t="n">
        <v>5</v>
      </c>
      <c r="G16" t="inlineStr">
        <is>
          <t>Direct</t>
        </is>
      </c>
      <c r="H16" t="inlineStr">
        <is>
          <t>22.23-0-1.2-ERW 1-PE</t>
        </is>
      </c>
      <c r="I16" t="inlineStr">
        <is>
          <t>22.23-0-1.2-ERW 1-PE-1</t>
        </is>
      </c>
      <c r="J16" t="n">
        <v>6</v>
      </c>
      <c r="K16" t="inlineStr">
        <is>
          <t>LL</t>
        </is>
      </c>
    </row>
    <row r="17" hidden="1" s="584">
      <c r="A17" t="n">
        <v>1939963</v>
      </c>
      <c r="B17" t="inlineStr">
        <is>
          <t>TUB-O-O-AUT-AW-PE-12.70X1.200X0.2780</t>
        </is>
      </c>
      <c r="C17" t="n">
        <v>0.00664</v>
      </c>
      <c r="D17" t="n">
        <v>789</v>
      </c>
      <c r="E17" t="inlineStr">
        <is>
          <t>SRIKAM HITECH ENGINEERING PRIVATE L</t>
        </is>
      </c>
      <c r="F17" t="n">
        <v>86</v>
      </c>
      <c r="G17" t="inlineStr">
        <is>
          <t>TVS</t>
        </is>
      </c>
      <c r="H17" t="inlineStr">
        <is>
          <t>12.7-0-1.2-ERW 1-PE</t>
        </is>
      </c>
      <c r="I17" t="inlineStr">
        <is>
          <t>12.7-0-1.2-ERW 1-PE-0.278</t>
        </is>
      </c>
      <c r="J17" t="n">
        <v>0.278</v>
      </c>
      <c r="K17" t="inlineStr">
        <is>
          <t>CTL</t>
        </is>
      </c>
    </row>
    <row r="18" hidden="1" s="584">
      <c r="A18" t="n">
        <v>1939963</v>
      </c>
      <c r="B18" t="inlineStr">
        <is>
          <t>TUB-O-O-AUT-AW-PE-12.70X1.200X0.2780</t>
        </is>
      </c>
      <c r="C18" t="n">
        <v>0.76</v>
      </c>
      <c r="D18" t="n">
        <v>789</v>
      </c>
      <c r="E18" t="inlineStr">
        <is>
          <t>SRIKAM HITECH ENGINEERING PRIVATE L</t>
        </is>
      </c>
      <c r="F18" t="n">
        <v>87</v>
      </c>
      <c r="G18" t="inlineStr">
        <is>
          <t>TVS</t>
        </is>
      </c>
      <c r="H18" t="inlineStr">
        <is>
          <t>12.7-0-1.2-ERW 1-PE</t>
        </is>
      </c>
      <c r="I18" t="inlineStr">
        <is>
          <t>12.7-0-1.2-ERW 1-PE-0.278</t>
        </is>
      </c>
      <c r="J18" t="n">
        <v>0.278</v>
      </c>
      <c r="K18" t="inlineStr">
        <is>
          <t>CTL</t>
        </is>
      </c>
    </row>
    <row r="19" hidden="1" s="584">
      <c r="A19" t="n">
        <v>3575894</v>
      </c>
      <c r="B19" t="inlineStr">
        <is>
          <t>TUB-O-N-AUT-AW-PE-22.23X1.600X5.2700</t>
        </is>
      </c>
      <c r="C19" t="n">
        <v>1.313</v>
      </c>
      <c r="D19" t="n">
        <v>789</v>
      </c>
      <c r="E19" t="inlineStr">
        <is>
          <t>MEGH STEELS PRIVATE LIMITED - TVS A</t>
        </is>
      </c>
      <c r="F19" t="n">
        <v>36</v>
      </c>
      <c r="G19" t="inlineStr">
        <is>
          <t>Direct</t>
        </is>
      </c>
      <c r="H19" t="inlineStr">
        <is>
          <t>22.23-0-1.6-ERW 1-PE</t>
        </is>
      </c>
      <c r="I19" t="inlineStr">
        <is>
          <t>22.23-0-1.6-ERW 1-PE-1</t>
        </is>
      </c>
      <c r="J19" t="n">
        <v>5.27</v>
      </c>
      <c r="K19" t="inlineStr">
        <is>
          <t>LL</t>
        </is>
      </c>
    </row>
    <row r="20" hidden="1" s="584">
      <c r="A20" t="n">
        <v>3575894</v>
      </c>
      <c r="B20" t="inlineStr">
        <is>
          <t>TUB-O-N-AUT-AW-PE-22.23X1.600X5.2700</t>
        </is>
      </c>
      <c r="C20" t="n">
        <v>2.751</v>
      </c>
      <c r="D20" t="n">
        <v>789</v>
      </c>
      <c r="E20" t="inlineStr">
        <is>
          <t>MEGH STEELS PRIVATE LIMITED - TVS A</t>
        </is>
      </c>
      <c r="F20" t="n">
        <v>37</v>
      </c>
      <c r="G20" t="inlineStr">
        <is>
          <t>Direct</t>
        </is>
      </c>
      <c r="H20" t="inlineStr">
        <is>
          <t>22.23-0-1.6-ERW 1-PE</t>
        </is>
      </c>
      <c r="I20" t="inlineStr">
        <is>
          <t>22.23-0-1.6-ERW 1-PE-1</t>
        </is>
      </c>
      <c r="J20" t="n">
        <v>5.27</v>
      </c>
      <c r="K20" t="inlineStr">
        <is>
          <t>LL</t>
        </is>
      </c>
    </row>
    <row r="21" hidden="1" s="584">
      <c r="A21" t="n">
        <v>3575894</v>
      </c>
      <c r="B21" t="inlineStr">
        <is>
          <t>TUB-O-N-AUT-AW-PE-22.23X1.600X5.2700</t>
        </is>
      </c>
      <c r="C21" t="n">
        <v>0.75</v>
      </c>
      <c r="D21" t="n">
        <v>789</v>
      </c>
      <c r="E21" t="inlineStr">
        <is>
          <t>MEGH STEELS PRIVATE LIMITED - TVS A</t>
        </is>
      </c>
      <c r="F21" t="n">
        <v>38</v>
      </c>
      <c r="G21" t="inlineStr">
        <is>
          <t>Direct</t>
        </is>
      </c>
      <c r="H21" t="inlineStr">
        <is>
          <t>22.23-0-1.6-ERW 1-PE</t>
        </is>
      </c>
      <c r="I21" t="inlineStr">
        <is>
          <t>22.23-0-1.6-ERW 1-PE-1</t>
        </is>
      </c>
      <c r="J21" t="n">
        <v>5.27</v>
      </c>
      <c r="K21" t="inlineStr">
        <is>
          <t>LL</t>
        </is>
      </c>
    </row>
    <row r="22" hidden="1" s="584">
      <c r="A22" t="n">
        <v>3575894</v>
      </c>
      <c r="B22" t="inlineStr">
        <is>
          <t>TUB-O-N-AUT-AW-PE-22.23X1.600X5.2700</t>
        </is>
      </c>
      <c r="C22" t="n">
        <v>0.7</v>
      </c>
      <c r="D22" t="n">
        <v>789</v>
      </c>
      <c r="E22" t="inlineStr">
        <is>
          <t>MEGH STEELS PRIVATE LIMITED - TVS A</t>
        </is>
      </c>
      <c r="F22" t="n">
        <v>39</v>
      </c>
      <c r="G22" t="inlineStr">
        <is>
          <t>Direct</t>
        </is>
      </c>
      <c r="H22" t="inlineStr">
        <is>
          <t>22.23-0-1.6-ERW 1-PE</t>
        </is>
      </c>
      <c r="I22" t="inlineStr">
        <is>
          <t>22.23-0-1.6-ERW 1-PE-1</t>
        </is>
      </c>
      <c r="J22" t="n">
        <v>5.27</v>
      </c>
      <c r="K22" t="inlineStr">
        <is>
          <t>LL</t>
        </is>
      </c>
    </row>
    <row r="23" hidden="1" s="584">
      <c r="A23" t="n">
        <v>3575894</v>
      </c>
      <c r="B23" t="inlineStr">
        <is>
          <t>TUB-O-N-AUT-AW-PE-22.23X1.600X5.2700</t>
        </is>
      </c>
      <c r="C23" t="n">
        <v>2.48</v>
      </c>
      <c r="D23" t="n">
        <v>789</v>
      </c>
      <c r="E23" t="inlineStr">
        <is>
          <t>MEGH STEELS PRIVATE LIMITED - TVS A</t>
        </is>
      </c>
      <c r="F23" t="n">
        <v>669</v>
      </c>
      <c r="G23" t="inlineStr">
        <is>
          <t>Direct</t>
        </is>
      </c>
      <c r="H23" t="inlineStr">
        <is>
          <t>22.23-0-1.6-ERW 1-PE</t>
        </is>
      </c>
      <c r="I23" t="inlineStr">
        <is>
          <t>22.23-0-1.6-ERW 1-PE-1</t>
        </is>
      </c>
      <c r="J23" t="n">
        <v>5.27</v>
      </c>
      <c r="K23" t="inlineStr">
        <is>
          <t>LL</t>
        </is>
      </c>
    </row>
    <row r="24" hidden="1" s="584">
      <c r="A24" t="n">
        <v>3575894</v>
      </c>
      <c r="B24" t="inlineStr">
        <is>
          <t>TUB-O-N-AUT-AW-PE-22.23X1.600X5.2700</t>
        </is>
      </c>
      <c r="C24" t="n">
        <v>2.189</v>
      </c>
      <c r="D24" t="n">
        <v>789</v>
      </c>
      <c r="E24" t="inlineStr">
        <is>
          <t>MEGH STEELS PRIVATE LIMITED - TVS A</t>
        </is>
      </c>
      <c r="F24" t="n">
        <v>670</v>
      </c>
      <c r="G24" t="inlineStr">
        <is>
          <t>Direct</t>
        </is>
      </c>
      <c r="H24" t="inlineStr">
        <is>
          <t>22.23-0-1.6-ERW 1-PE</t>
        </is>
      </c>
      <c r="I24" t="inlineStr">
        <is>
          <t>22.23-0-1.6-ERW 1-PE-1</t>
        </is>
      </c>
      <c r="J24" t="n">
        <v>5.27</v>
      </c>
      <c r="K24" t="inlineStr">
        <is>
          <t>LL</t>
        </is>
      </c>
    </row>
    <row r="25" hidden="1" s="584">
      <c r="A25" t="n">
        <v>3575894</v>
      </c>
      <c r="B25" t="inlineStr">
        <is>
          <t>TUB-O-N-AUT-AW-PE-22.23X1.600X5.2700</t>
        </is>
      </c>
      <c r="C25" t="n">
        <v>2.091</v>
      </c>
      <c r="D25" t="n">
        <v>789</v>
      </c>
      <c r="E25" t="inlineStr">
        <is>
          <t>MEGH STEELS PRIVATE LIMITED - TVS A</t>
        </is>
      </c>
      <c r="F25" t="n">
        <v>671</v>
      </c>
      <c r="G25" t="inlineStr">
        <is>
          <t>Direct</t>
        </is>
      </c>
      <c r="H25" t="inlineStr">
        <is>
          <t>22.23-0-1.6-ERW 1-PE</t>
        </is>
      </c>
      <c r="I25" t="inlineStr">
        <is>
          <t>22.23-0-1.6-ERW 1-PE-1</t>
        </is>
      </c>
      <c r="J25" t="n">
        <v>5.27</v>
      </c>
      <c r="K25" t="inlineStr">
        <is>
          <t>LL</t>
        </is>
      </c>
    </row>
    <row r="26" hidden="1" s="584">
      <c r="A26" t="n">
        <v>3575894</v>
      </c>
      <c r="B26" t="inlineStr">
        <is>
          <t>TUB-O-N-AUT-AW-PE-22.23X1.600X5.2700</t>
        </is>
      </c>
      <c r="C26" t="n">
        <v>2.077</v>
      </c>
      <c r="D26" t="n">
        <v>789</v>
      </c>
      <c r="E26" t="inlineStr">
        <is>
          <t>MEGH STEELS PRIVATE LIMITED - TVS A</t>
        </is>
      </c>
      <c r="F26" t="n">
        <v>672</v>
      </c>
      <c r="G26" t="inlineStr">
        <is>
          <t>Direct</t>
        </is>
      </c>
      <c r="H26" t="inlineStr">
        <is>
          <t>22.23-0-1.6-ERW 1-PE</t>
        </is>
      </c>
      <c r="I26" t="inlineStr">
        <is>
          <t>22.23-0-1.6-ERW 1-PE-1</t>
        </is>
      </c>
      <c r="J26" t="n">
        <v>5.27</v>
      </c>
      <c r="K26" t="inlineStr">
        <is>
          <t>LL</t>
        </is>
      </c>
    </row>
    <row r="27" hidden="1" s="584">
      <c r="A27" t="n">
        <v>3575894</v>
      </c>
      <c r="B27" t="inlineStr">
        <is>
          <t>TUB-O-N-AUT-AW-PE-22.23X1.600X5.2700</t>
        </is>
      </c>
      <c r="C27" t="n">
        <v>2.759</v>
      </c>
      <c r="D27" t="n">
        <v>789</v>
      </c>
      <c r="E27" t="inlineStr">
        <is>
          <t>MEGH STEELS PRIVATE LIMITED - TVS A</t>
        </is>
      </c>
      <c r="F27" t="n">
        <v>673</v>
      </c>
      <c r="G27" t="inlineStr">
        <is>
          <t>Direct</t>
        </is>
      </c>
      <c r="H27" t="inlineStr">
        <is>
          <t>22.23-0-1.6-ERW 1-PE</t>
        </is>
      </c>
      <c r="I27" t="inlineStr">
        <is>
          <t>22.23-0-1.6-ERW 1-PE-1</t>
        </is>
      </c>
      <c r="J27" t="n">
        <v>5.27</v>
      </c>
      <c r="K27" t="inlineStr">
        <is>
          <t>LL</t>
        </is>
      </c>
    </row>
    <row r="28" hidden="1" s="584">
      <c r="A28" t="n">
        <v>3575894</v>
      </c>
      <c r="B28" t="inlineStr">
        <is>
          <t>TUB-O-N-AUT-AW-PE-22.23X1.600X5.2700</t>
        </is>
      </c>
      <c r="C28" t="n">
        <v>2.778</v>
      </c>
      <c r="D28" t="n">
        <v>789</v>
      </c>
      <c r="E28" t="inlineStr">
        <is>
          <t>MEGH STEELS PRIVATE LIMITED - TVS A</t>
        </is>
      </c>
      <c r="F28" t="n">
        <v>674</v>
      </c>
      <c r="G28" t="inlineStr">
        <is>
          <t>Direct</t>
        </is>
      </c>
      <c r="H28" t="inlineStr">
        <is>
          <t>22.23-0-1.6-ERW 1-PE</t>
        </is>
      </c>
      <c r="I28" t="inlineStr">
        <is>
          <t>22.23-0-1.6-ERW 1-PE-1</t>
        </is>
      </c>
      <c r="J28" t="n">
        <v>5.27</v>
      </c>
      <c r="K28" t="inlineStr">
        <is>
          <t>LL</t>
        </is>
      </c>
    </row>
    <row r="29" hidden="1" s="584">
      <c r="A29" t="n">
        <v>3575894</v>
      </c>
      <c r="B29" t="inlineStr">
        <is>
          <t>TUB-O-N-AUT-AW-PE-22.23X1.600X5.2700</t>
        </is>
      </c>
      <c r="C29" t="n">
        <v>2.712</v>
      </c>
      <c r="D29" t="n">
        <v>789</v>
      </c>
      <c r="E29" t="inlineStr">
        <is>
          <t>MEGH STEELS PRIVATE LIMITED - TVS A</t>
        </is>
      </c>
      <c r="F29" t="n">
        <v>675</v>
      </c>
      <c r="G29" t="inlineStr">
        <is>
          <t>Direct</t>
        </is>
      </c>
      <c r="H29" t="inlineStr">
        <is>
          <t>22.23-0-1.6-ERW 1-PE</t>
        </is>
      </c>
      <c r="I29" t="inlineStr">
        <is>
          <t>22.23-0-1.6-ERW 1-PE-1</t>
        </is>
      </c>
      <c r="J29" t="n">
        <v>5.27</v>
      </c>
      <c r="K29" t="inlineStr">
        <is>
          <t>LL</t>
        </is>
      </c>
    </row>
    <row r="30" hidden="1" s="584">
      <c r="A30" t="n">
        <v>3575894</v>
      </c>
      <c r="B30" t="inlineStr">
        <is>
          <t>TUB-O-N-AUT-AW-PE-22.23X1.600X5.2700</t>
        </is>
      </c>
      <c r="C30" t="n">
        <v>2.755</v>
      </c>
      <c r="D30" t="n">
        <v>789</v>
      </c>
      <c r="E30" t="inlineStr">
        <is>
          <t>MEGH STEELS PRIVATE LIMITED - TVS A</t>
        </is>
      </c>
      <c r="F30" t="n">
        <v>676</v>
      </c>
      <c r="G30" t="inlineStr">
        <is>
          <t>Direct</t>
        </is>
      </c>
      <c r="H30" t="inlineStr">
        <is>
          <t>22.23-0-1.6-ERW 1-PE</t>
        </is>
      </c>
      <c r="I30" t="inlineStr">
        <is>
          <t>22.23-0-1.6-ERW 1-PE-1</t>
        </is>
      </c>
      <c r="J30" t="n">
        <v>5.27</v>
      </c>
      <c r="K30" t="inlineStr">
        <is>
          <t>LL</t>
        </is>
      </c>
    </row>
    <row r="31" hidden="1" s="584">
      <c r="A31" t="n">
        <v>3575894</v>
      </c>
      <c r="B31" t="inlineStr">
        <is>
          <t>TUB-O-N-AUT-AW-PE-22.23X1.600X5.2700</t>
        </is>
      </c>
      <c r="C31" t="n">
        <v>1.385</v>
      </c>
      <c r="D31" t="n">
        <v>789</v>
      </c>
      <c r="E31" t="inlineStr">
        <is>
          <t>MEGH STEELS PRIVATE LIMITED - TVS A</t>
        </is>
      </c>
      <c r="F31" t="n">
        <v>677</v>
      </c>
      <c r="G31" t="inlineStr">
        <is>
          <t>Direct</t>
        </is>
      </c>
      <c r="H31" t="inlineStr">
        <is>
          <t>22.23-0-1.6-ERW 1-PE</t>
        </is>
      </c>
      <c r="I31" t="inlineStr">
        <is>
          <t>22.23-0-1.6-ERW 1-PE-1</t>
        </is>
      </c>
      <c r="J31" t="n">
        <v>5.27</v>
      </c>
      <c r="K31" t="inlineStr">
        <is>
          <t>LL</t>
        </is>
      </c>
    </row>
    <row r="32" hidden="1" s="584">
      <c r="A32" t="n">
        <v>3575894</v>
      </c>
      <c r="B32" t="inlineStr">
        <is>
          <t>TUB-O-N-AUT-AW-PE-22.23X1.600X5.2700</t>
        </is>
      </c>
      <c r="C32" t="n">
        <v>2.775</v>
      </c>
      <c r="D32" t="n">
        <v>789</v>
      </c>
      <c r="E32" t="inlineStr">
        <is>
          <t>MEGH STEELS PRIVATE LIMITED - TVS A</t>
        </is>
      </c>
      <c r="F32" t="n">
        <v>678</v>
      </c>
      <c r="G32" t="inlineStr">
        <is>
          <t>Direct</t>
        </is>
      </c>
      <c r="H32" t="inlineStr">
        <is>
          <t>22.23-0-1.6-ERW 1-PE</t>
        </is>
      </c>
      <c r="I32" t="inlineStr">
        <is>
          <t>22.23-0-1.6-ERW 1-PE-1</t>
        </is>
      </c>
      <c r="J32" t="n">
        <v>5.27</v>
      </c>
      <c r="K32" t="inlineStr">
        <is>
          <t>LL</t>
        </is>
      </c>
    </row>
    <row r="33" hidden="1" s="584">
      <c r="A33" t="n">
        <v>3575894</v>
      </c>
      <c r="B33" t="inlineStr">
        <is>
          <t>TUB-O-N-AUT-AW-PE-22.23X1.600X5.2700</t>
        </is>
      </c>
      <c r="C33" t="n">
        <v>2.79</v>
      </c>
      <c r="D33" t="n">
        <v>789</v>
      </c>
      <c r="E33" t="inlineStr">
        <is>
          <t>MEGH STEELS PRIVATE LIMITED - TVS A</t>
        </is>
      </c>
      <c r="F33" t="n">
        <v>679</v>
      </c>
      <c r="G33" t="inlineStr">
        <is>
          <t>Direct</t>
        </is>
      </c>
      <c r="H33" t="inlineStr">
        <is>
          <t>22.23-0-1.6-ERW 1-PE</t>
        </is>
      </c>
      <c r="I33" t="inlineStr">
        <is>
          <t>22.23-0-1.6-ERW 1-PE-1</t>
        </is>
      </c>
      <c r="J33" t="n">
        <v>5.27</v>
      </c>
      <c r="K33" t="inlineStr">
        <is>
          <t>LL</t>
        </is>
      </c>
    </row>
    <row r="34" hidden="1" s="584">
      <c r="A34" t="n">
        <v>3575894</v>
      </c>
      <c r="B34" t="inlineStr">
        <is>
          <t>TUB-O-N-AUT-AW-PE-22.23X1.600X5.2700</t>
        </is>
      </c>
      <c r="C34" t="n">
        <v>2.764</v>
      </c>
      <c r="D34" t="n">
        <v>789</v>
      </c>
      <c r="E34" t="inlineStr">
        <is>
          <t>MEGH STEELS PRIVATE LIMITED - TVS A</t>
        </is>
      </c>
      <c r="F34" t="n">
        <v>680</v>
      </c>
      <c r="G34" t="inlineStr">
        <is>
          <t>Direct</t>
        </is>
      </c>
      <c r="H34" t="inlineStr">
        <is>
          <t>22.23-0-1.6-ERW 1-PE</t>
        </is>
      </c>
      <c r="I34" t="inlineStr">
        <is>
          <t>22.23-0-1.6-ERW 1-PE-1</t>
        </is>
      </c>
      <c r="J34" t="n">
        <v>5.27</v>
      </c>
      <c r="K34" t="inlineStr">
        <is>
          <t>LL</t>
        </is>
      </c>
    </row>
    <row r="35" hidden="1" s="584">
      <c r="A35" t="n">
        <v>3575894</v>
      </c>
      <c r="B35" t="inlineStr">
        <is>
          <t>TUB-O-N-AUT-AW-PE-22.23X1.600X5.2700</t>
        </is>
      </c>
      <c r="C35" t="n">
        <v>2.806</v>
      </c>
      <c r="D35" t="n">
        <v>789</v>
      </c>
      <c r="E35" t="inlineStr">
        <is>
          <t>MEGH STEELS PRIVATE LIMITED - TVS A</t>
        </is>
      </c>
      <c r="F35" t="n">
        <v>681</v>
      </c>
      <c r="G35" t="inlineStr">
        <is>
          <t>Direct</t>
        </is>
      </c>
      <c r="H35" t="inlineStr">
        <is>
          <t>22.23-0-1.6-ERW 1-PE</t>
        </is>
      </c>
      <c r="I35" t="inlineStr">
        <is>
          <t>22.23-0-1.6-ERW 1-PE-1</t>
        </is>
      </c>
      <c r="J35" t="n">
        <v>5.27</v>
      </c>
      <c r="K35" t="inlineStr">
        <is>
          <t>LL</t>
        </is>
      </c>
    </row>
    <row r="36" hidden="1" s="584">
      <c r="A36" t="n">
        <v>3575894</v>
      </c>
      <c r="B36" t="inlineStr">
        <is>
          <t>TUB-O-N-AUT-AW-PE-22.23X1.600X5.2700</t>
        </is>
      </c>
      <c r="C36" t="n">
        <v>2.831</v>
      </c>
      <c r="D36" t="n">
        <v>789</v>
      </c>
      <c r="E36" t="inlineStr">
        <is>
          <t>MEGH STEELS PRIVATE LIMITED - TVS A</t>
        </is>
      </c>
      <c r="F36" t="n">
        <v>682</v>
      </c>
      <c r="G36" t="inlineStr">
        <is>
          <t>Direct</t>
        </is>
      </c>
      <c r="H36" t="inlineStr">
        <is>
          <t>22.23-0-1.6-ERW 1-PE</t>
        </is>
      </c>
      <c r="I36" t="inlineStr">
        <is>
          <t>22.23-0-1.6-ERW 1-PE-1</t>
        </is>
      </c>
      <c r="J36" t="n">
        <v>5.27</v>
      </c>
      <c r="K36" t="inlineStr">
        <is>
          <t>LL</t>
        </is>
      </c>
    </row>
    <row r="37" hidden="1" s="584">
      <c r="A37" t="n">
        <v>3575894</v>
      </c>
      <c r="B37" t="inlineStr">
        <is>
          <t>TUB-O-N-AUT-AW-PE-22.23X1.600X5.2700</t>
        </is>
      </c>
      <c r="C37" t="n">
        <v>2.837</v>
      </c>
      <c r="D37" t="n">
        <v>789</v>
      </c>
      <c r="E37" t="inlineStr">
        <is>
          <t>MEGH STEELS PRIVATE LIMITED - TVS A</t>
        </is>
      </c>
      <c r="F37" t="n">
        <v>683</v>
      </c>
      <c r="G37" t="inlineStr">
        <is>
          <t>Direct</t>
        </is>
      </c>
      <c r="H37" t="inlineStr">
        <is>
          <t>22.23-0-1.6-ERW 1-PE</t>
        </is>
      </c>
      <c r="I37" t="inlineStr">
        <is>
          <t>22.23-0-1.6-ERW 1-PE-1</t>
        </is>
      </c>
      <c r="J37" t="n">
        <v>5.27</v>
      </c>
      <c r="K37" t="inlineStr">
        <is>
          <t>LL</t>
        </is>
      </c>
    </row>
    <row r="38" hidden="1" s="584">
      <c r="A38" t="n">
        <v>3575894</v>
      </c>
      <c r="B38" t="inlineStr">
        <is>
          <t>TUB-O-N-AUT-AW-PE-22.23X1.600X5.2700</t>
        </is>
      </c>
      <c r="C38" t="n">
        <v>2.817</v>
      </c>
      <c r="D38" t="n">
        <v>789</v>
      </c>
      <c r="E38" t="inlineStr">
        <is>
          <t>MEGH STEELS PRIVATE LIMITED - TVS A</t>
        </is>
      </c>
      <c r="F38" t="n">
        <v>684</v>
      </c>
      <c r="G38" t="inlineStr">
        <is>
          <t>Direct</t>
        </is>
      </c>
      <c r="H38" t="inlineStr">
        <is>
          <t>22.23-0-1.6-ERW 1-PE</t>
        </is>
      </c>
      <c r="I38" t="inlineStr">
        <is>
          <t>22.23-0-1.6-ERW 1-PE-1</t>
        </is>
      </c>
      <c r="J38" t="n">
        <v>5.27</v>
      </c>
      <c r="K38" t="inlineStr">
        <is>
          <t>LL</t>
        </is>
      </c>
    </row>
    <row r="39" hidden="1" s="584">
      <c r="A39" t="n">
        <v>3575894</v>
      </c>
      <c r="B39" t="inlineStr">
        <is>
          <t>TUB-O-N-AUT-AW-PE-22.23X1.600X5.2700</t>
        </is>
      </c>
      <c r="C39" t="n">
        <v>1.403</v>
      </c>
      <c r="D39" t="n">
        <v>789</v>
      </c>
      <c r="E39" t="inlineStr">
        <is>
          <t>MEGH STEELS PRIVATE LIMITED - TVS A</t>
        </is>
      </c>
      <c r="F39" t="n">
        <v>685</v>
      </c>
      <c r="G39" t="inlineStr">
        <is>
          <t>Direct</t>
        </is>
      </c>
      <c r="H39" t="inlineStr">
        <is>
          <t>22.23-0-1.6-ERW 1-PE</t>
        </is>
      </c>
      <c r="I39" t="inlineStr">
        <is>
          <t>22.23-0-1.6-ERW 1-PE-1</t>
        </is>
      </c>
      <c r="J39" t="n">
        <v>5.27</v>
      </c>
      <c r="K39" t="inlineStr">
        <is>
          <t>LL</t>
        </is>
      </c>
    </row>
    <row r="40" hidden="1" s="584">
      <c r="A40" t="n">
        <v>3575894</v>
      </c>
      <c r="B40" t="inlineStr">
        <is>
          <t>TUB-O-N-AUT-AW-PE-22.23X1.600X5.2700</t>
        </is>
      </c>
      <c r="C40" t="n">
        <v>2.746</v>
      </c>
      <c r="D40" t="n">
        <v>789</v>
      </c>
      <c r="E40" t="inlineStr">
        <is>
          <t>MEGH STEELS PRIVATE LIMITED - TVS A</t>
        </is>
      </c>
      <c r="F40" t="n">
        <v>686</v>
      </c>
      <c r="G40" t="inlineStr">
        <is>
          <t>Direct</t>
        </is>
      </c>
      <c r="H40" t="inlineStr">
        <is>
          <t>22.23-0-1.6-ERW 1-PE</t>
        </is>
      </c>
      <c r="I40" t="inlineStr">
        <is>
          <t>22.23-0-1.6-ERW 1-PE-1</t>
        </is>
      </c>
      <c r="J40" t="n">
        <v>5.27</v>
      </c>
      <c r="K40" t="inlineStr">
        <is>
          <t>LL</t>
        </is>
      </c>
    </row>
    <row r="41" hidden="1" s="584">
      <c r="A41" t="n">
        <v>3575894</v>
      </c>
      <c r="B41" t="inlineStr">
        <is>
          <t>TUB-O-N-AUT-AW-PE-22.23X1.600X5.2700</t>
        </is>
      </c>
      <c r="C41" t="n">
        <v>2.741</v>
      </c>
      <c r="D41" t="n">
        <v>789</v>
      </c>
      <c r="E41" t="inlineStr">
        <is>
          <t>MEGH STEELS PRIVATE LIMITED - TVS A</t>
        </is>
      </c>
      <c r="F41" t="n">
        <v>687</v>
      </c>
      <c r="G41" t="inlineStr">
        <is>
          <t>Direct</t>
        </is>
      </c>
      <c r="H41" t="inlineStr">
        <is>
          <t>22.23-0-1.6-ERW 1-PE</t>
        </is>
      </c>
      <c r="I41" t="inlineStr">
        <is>
          <t>22.23-0-1.6-ERW 1-PE-1</t>
        </is>
      </c>
      <c r="J41" t="n">
        <v>5.27</v>
      </c>
      <c r="K41" t="inlineStr">
        <is>
          <t>LL</t>
        </is>
      </c>
    </row>
    <row r="42" hidden="1" s="584">
      <c r="A42" t="n">
        <v>3575894</v>
      </c>
      <c r="B42" t="inlineStr">
        <is>
          <t>TUB-O-N-AUT-AW-PE-22.23X1.600X5.2700</t>
        </is>
      </c>
      <c r="C42" t="n">
        <v>2.789</v>
      </c>
      <c r="D42" t="n">
        <v>789</v>
      </c>
      <c r="E42" t="inlineStr">
        <is>
          <t>MEGH STEELS PRIVATE LIMITED - TVS A</t>
        </is>
      </c>
      <c r="F42" t="n">
        <v>688</v>
      </c>
      <c r="G42" t="inlineStr">
        <is>
          <t>Direct</t>
        </is>
      </c>
      <c r="H42" t="inlineStr">
        <is>
          <t>22.23-0-1.6-ERW 1-PE</t>
        </is>
      </c>
      <c r="I42" t="inlineStr">
        <is>
          <t>22.23-0-1.6-ERW 1-PE-1</t>
        </is>
      </c>
      <c r="J42" t="n">
        <v>5.27</v>
      </c>
      <c r="K42" t="inlineStr">
        <is>
          <t>LL</t>
        </is>
      </c>
    </row>
    <row r="43" hidden="1" s="584">
      <c r="A43" t="n">
        <v>1939966</v>
      </c>
      <c r="B43" t="inlineStr">
        <is>
          <t>TUB-O-O-AUT-AW-PE-12.70X1.200X0.4080</t>
        </is>
      </c>
      <c r="C43" t="n">
        <v>0.027559</v>
      </c>
      <c r="D43" t="n">
        <v>789</v>
      </c>
      <c r="E43" t="inlineStr">
        <is>
          <t>ELKAYEM AUTO ANCILLARIES (PVT) LTD.</t>
        </is>
      </c>
      <c r="F43" t="n">
        <v>88</v>
      </c>
      <c r="G43" t="inlineStr">
        <is>
          <t>TVS</t>
        </is>
      </c>
      <c r="H43" t="inlineStr">
        <is>
          <t>12.7-0-1.2-ERW 1-PE</t>
        </is>
      </c>
      <c r="I43" t="inlineStr">
        <is>
          <t>12.7-0-1.2-ERW 1-PE-0.408</t>
        </is>
      </c>
      <c r="J43" t="n">
        <v>0.408</v>
      </c>
      <c r="K43" t="inlineStr">
        <is>
          <t>CTL</t>
        </is>
      </c>
    </row>
    <row r="44" hidden="1" s="584">
      <c r="A44" t="n">
        <v>1939974</v>
      </c>
      <c r="B44" t="inlineStr">
        <is>
          <t>TUB-O-O-AUT-AW-PE-12.70X1.200X0.7720</t>
        </is>
      </c>
      <c r="C44" t="n">
        <v>0.015</v>
      </c>
      <c r="D44" t="n">
        <v>789</v>
      </c>
      <c r="E44" t="inlineStr">
        <is>
          <t>ELKAYEM AUTO ANCILLARIES (PVT) LTD.</t>
        </is>
      </c>
      <c r="F44" t="n">
        <v>269</v>
      </c>
      <c r="G44" t="inlineStr">
        <is>
          <t>TVS</t>
        </is>
      </c>
      <c r="H44" t="inlineStr">
        <is>
          <t>12.7-0-1.2-ERW 1-PE</t>
        </is>
      </c>
      <c r="I44" t="inlineStr">
        <is>
          <t>12.7-0-1.2-ERW 1-PE-0.772</t>
        </is>
      </c>
      <c r="J44" t="n">
        <v>0.772</v>
      </c>
      <c r="K44" t="inlineStr">
        <is>
          <t>CTL</t>
        </is>
      </c>
    </row>
    <row r="45" hidden="1" s="584">
      <c r="A45" t="n">
        <v>1939974</v>
      </c>
      <c r="B45" t="inlineStr">
        <is>
          <t>TUB-O-O-AUT-AW-PE-12.70X1.200X0.7720</t>
        </is>
      </c>
      <c r="C45" t="n">
        <v>0.0025</v>
      </c>
      <c r="D45" t="n">
        <v>789</v>
      </c>
      <c r="E45" t="inlineStr">
        <is>
          <t>ELKAYEM AUTO ANCILLARIES (PVT) LTD.</t>
        </is>
      </c>
      <c r="F45" t="n">
        <v>270</v>
      </c>
      <c r="G45" t="inlineStr">
        <is>
          <t>TVS</t>
        </is>
      </c>
      <c r="H45" t="inlineStr">
        <is>
          <t>12.7-0-1.2-ERW 1-PE</t>
        </is>
      </c>
      <c r="I45" t="inlineStr">
        <is>
          <t>12.7-0-1.2-ERW 1-PE-0.772</t>
        </is>
      </c>
      <c r="J45" t="n">
        <v>0.772</v>
      </c>
      <c r="K45" t="inlineStr">
        <is>
          <t>CTL</t>
        </is>
      </c>
    </row>
    <row r="46" hidden="1" s="584">
      <c r="A46" t="n">
        <v>1939974</v>
      </c>
      <c r="B46" t="inlineStr">
        <is>
          <t>TUB-O-O-AUT-AW-PE-12.70X1.200X0.7720</t>
        </is>
      </c>
      <c r="C46" t="n">
        <v>0.04977</v>
      </c>
      <c r="D46" t="n">
        <v>789</v>
      </c>
      <c r="E46" t="inlineStr">
        <is>
          <t>ELKAYEM AUTO ANCILLARIES (PVT) LTD.</t>
        </is>
      </c>
      <c r="F46" t="n">
        <v>271</v>
      </c>
      <c r="G46" t="inlineStr">
        <is>
          <t>TVS</t>
        </is>
      </c>
      <c r="H46" t="inlineStr">
        <is>
          <t>12.7-0-1.2-ERW 1-PE</t>
        </is>
      </c>
      <c r="I46" t="inlineStr">
        <is>
          <t>12.7-0-1.2-ERW 1-PE-0.772</t>
        </is>
      </c>
      <c r="J46" t="n">
        <v>0.772</v>
      </c>
      <c r="K46" t="inlineStr">
        <is>
          <t>CTL</t>
        </is>
      </c>
    </row>
    <row r="47" hidden="1" s="584">
      <c r="A47" t="n">
        <v>1939974</v>
      </c>
      <c r="B47" t="inlineStr">
        <is>
          <t>TUB-O-O-AUT-AW-PE-12.70X1.200X0.7720</t>
        </is>
      </c>
      <c r="C47" t="n">
        <v>0.032441</v>
      </c>
      <c r="D47" t="n">
        <v>789</v>
      </c>
      <c r="E47" t="inlineStr">
        <is>
          <t>ELKAYEM AUTO ANCILLARIES (PVT) LTD.</t>
        </is>
      </c>
      <c r="F47" t="n">
        <v>272</v>
      </c>
      <c r="G47" t="inlineStr">
        <is>
          <t>TVS</t>
        </is>
      </c>
      <c r="H47" t="inlineStr">
        <is>
          <t>12.7-0-1.2-ERW 1-PE</t>
        </is>
      </c>
      <c r="I47" t="inlineStr">
        <is>
          <t>12.7-0-1.2-ERW 1-PE-0.772</t>
        </is>
      </c>
      <c r="J47" t="n">
        <v>0.772</v>
      </c>
      <c r="K47" t="inlineStr">
        <is>
          <t>CTL</t>
        </is>
      </c>
    </row>
    <row r="48" hidden="1" s="584">
      <c r="A48" t="n">
        <v>3909479</v>
      </c>
      <c r="B48" t="inlineStr">
        <is>
          <t>TUB-O-N-AUT-AW-FC-48.60X3.500X4.6500</t>
        </is>
      </c>
      <c r="C48" t="n">
        <v>1.159</v>
      </c>
      <c r="D48" t="n">
        <v>789</v>
      </c>
      <c r="E48" t="inlineStr">
        <is>
          <t>MEGH STEELS PRIVATE LIMITED - TVS A</t>
        </is>
      </c>
      <c r="F48" t="n">
        <v>51</v>
      </c>
      <c r="G48" t="inlineStr">
        <is>
          <t>Direct</t>
        </is>
      </c>
      <c r="H48" t="inlineStr">
        <is>
          <t>48.6-0-3.5-ERW 1-FC</t>
        </is>
      </c>
      <c r="I48" t="inlineStr">
        <is>
          <t>48.6-0-3.5-ERW 1-FC-1</t>
        </is>
      </c>
      <c r="J48" t="n">
        <v>4.65</v>
      </c>
      <c r="K48" t="inlineStr">
        <is>
          <t>LL</t>
        </is>
      </c>
    </row>
    <row r="49" hidden="1" s="584">
      <c r="A49" t="n">
        <v>3909479</v>
      </c>
      <c r="B49" t="inlineStr">
        <is>
          <t>TUB-O-N-AUT-AW-FC-48.60X3.500X4.6500</t>
        </is>
      </c>
      <c r="C49" t="n">
        <v>1.586</v>
      </c>
      <c r="D49" t="n">
        <v>789</v>
      </c>
      <c r="E49" t="inlineStr">
        <is>
          <t>MEGH STEELS PRIVATE LIMITED - TVS A</t>
        </is>
      </c>
      <c r="F49" t="n">
        <v>52</v>
      </c>
      <c r="G49" t="inlineStr">
        <is>
          <t>Direct</t>
        </is>
      </c>
      <c r="H49" t="inlineStr">
        <is>
          <t>48.6-0-3.5-ERW 1-FC</t>
        </is>
      </c>
      <c r="I49" t="inlineStr">
        <is>
          <t>48.6-0-3.5-ERW 1-FC-1</t>
        </is>
      </c>
      <c r="J49" t="n">
        <v>4.65</v>
      </c>
      <c r="K49" t="inlineStr">
        <is>
          <t>LL</t>
        </is>
      </c>
    </row>
    <row r="50" hidden="1" s="584">
      <c r="A50" t="n">
        <v>3432081</v>
      </c>
      <c r="B50" t="inlineStr">
        <is>
          <t>TUB-O-N-AUT-AW-PE-12.70X1.600X0.1890</t>
        </is>
      </c>
      <c r="C50" t="n">
        <v>0.002184</v>
      </c>
      <c r="D50" t="n">
        <v>789</v>
      </c>
      <c r="E50" t="inlineStr">
        <is>
          <t>BALAJI PRESS PRODUCTS INDIA</t>
        </is>
      </c>
      <c r="F50" t="n">
        <v>169</v>
      </c>
      <c r="G50" t="inlineStr">
        <is>
          <t>TVS</t>
        </is>
      </c>
      <c r="H50" t="inlineStr">
        <is>
          <t>12.7-0-1.6-ERW 1-PE</t>
        </is>
      </c>
      <c r="I50" t="inlineStr">
        <is>
          <t>12.7-0-1.6-ERW 1-PE-0.189</t>
        </is>
      </c>
      <c r="J50" t="n">
        <v>0.189</v>
      </c>
      <c r="K50" t="inlineStr">
        <is>
          <t>CTL</t>
        </is>
      </c>
    </row>
    <row r="51" hidden="1" s="584">
      <c r="A51" t="n">
        <v>3432081</v>
      </c>
      <c r="B51" t="inlineStr">
        <is>
          <t>TUB-O-N-AUT-AW-PE-12.70X1.600X0.1890</t>
        </is>
      </c>
      <c r="C51" t="n">
        <v>0.001092</v>
      </c>
      <c r="D51" t="n">
        <v>789</v>
      </c>
      <c r="E51" t="inlineStr">
        <is>
          <t>BALAJI PRESS PRODUCTS INDIA</t>
        </is>
      </c>
      <c r="F51" t="n">
        <v>170</v>
      </c>
      <c r="G51" t="inlineStr">
        <is>
          <t>TVS</t>
        </is>
      </c>
      <c r="H51" t="inlineStr">
        <is>
          <t>12.7-0-1.6-ERW 1-PE</t>
        </is>
      </c>
      <c r="I51" t="inlineStr">
        <is>
          <t>12.7-0-1.6-ERW 1-PE-0.189</t>
        </is>
      </c>
      <c r="J51" t="n">
        <v>0.189</v>
      </c>
      <c r="K51" t="inlineStr">
        <is>
          <t>CTL</t>
        </is>
      </c>
    </row>
    <row r="52" hidden="1" s="584">
      <c r="A52" t="n">
        <v>3432081</v>
      </c>
      <c r="B52" t="inlineStr">
        <is>
          <t>TUB-O-N-AUT-AW-PE-12.70X1.600X0.1890</t>
        </is>
      </c>
      <c r="C52" t="n">
        <v>0.021</v>
      </c>
      <c r="D52" t="n">
        <v>789</v>
      </c>
      <c r="E52" t="inlineStr">
        <is>
          <t>BALAJI PRESS PRODUCTS INDIA</t>
        </is>
      </c>
      <c r="F52" t="n">
        <v>171</v>
      </c>
      <c r="G52" t="inlineStr">
        <is>
          <t>TVS</t>
        </is>
      </c>
      <c r="H52" t="inlineStr">
        <is>
          <t>12.7-0-1.6-ERW 1-PE</t>
        </is>
      </c>
      <c r="I52" t="inlineStr">
        <is>
          <t>12.7-0-1.6-ERW 1-PE-0.189</t>
        </is>
      </c>
      <c r="J52" t="n">
        <v>0.189</v>
      </c>
      <c r="K52" t="inlineStr">
        <is>
          <t>CTL</t>
        </is>
      </c>
    </row>
    <row r="53" hidden="1" s="584">
      <c r="A53" t="n">
        <v>1939993</v>
      </c>
      <c r="B53" t="inlineStr">
        <is>
          <t>TUB-O-O-AUT-AW-PE-12.70X1.600X0.2500</t>
        </is>
      </c>
      <c r="C53" t="n">
        <v>0.274</v>
      </c>
      <c r="D53" t="n">
        <v>789</v>
      </c>
      <c r="E53" t="inlineStr">
        <is>
          <t>Rajsriya Automotive Industries</t>
        </is>
      </c>
      <c r="F53" t="n">
        <v>100</v>
      </c>
      <c r="G53" t="inlineStr">
        <is>
          <t>TVS</t>
        </is>
      </c>
      <c r="H53" t="inlineStr">
        <is>
          <t>12.7-0-1.6-ERW 1-PE</t>
        </is>
      </c>
      <c r="I53" t="inlineStr">
        <is>
          <t>12.7-0-1.6-ERW 1-PE-0.25</t>
        </is>
      </c>
      <c r="J53" t="n">
        <v>0.25</v>
      </c>
      <c r="K53" t="inlineStr">
        <is>
          <t>CTL</t>
        </is>
      </c>
    </row>
    <row r="54" hidden="1" s="584">
      <c r="A54" t="n">
        <v>1939993</v>
      </c>
      <c r="B54" t="inlineStr">
        <is>
          <t>TUB-O-O-AUT-AW-PE-12.70X1.600X0.2500</t>
        </is>
      </c>
      <c r="C54" t="n">
        <v>0.01534</v>
      </c>
      <c r="D54" t="n">
        <v>789</v>
      </c>
      <c r="E54" t="inlineStr">
        <is>
          <t>Rajsriya Automotive Industries</t>
        </is>
      </c>
      <c r="F54" t="n">
        <v>414</v>
      </c>
      <c r="G54" t="inlineStr">
        <is>
          <t>TVS</t>
        </is>
      </c>
      <c r="H54" t="inlineStr">
        <is>
          <t>12.7-0-1.6-ERW 1-PE</t>
        </is>
      </c>
      <c r="I54" t="inlineStr">
        <is>
          <t>12.7-0-1.6-ERW 1-PE-0.25</t>
        </is>
      </c>
      <c r="J54" t="n">
        <v>0.25</v>
      </c>
      <c r="K54" t="inlineStr">
        <is>
          <t>CTL</t>
        </is>
      </c>
    </row>
    <row r="55" hidden="1" s="584">
      <c r="A55" t="n">
        <v>1939993</v>
      </c>
      <c r="B55" t="inlineStr">
        <is>
          <t>TUB-O-O-AUT-AW-PE-12.70X1.600X0.2500</t>
        </is>
      </c>
      <c r="C55" t="n">
        <v>0.1122</v>
      </c>
      <c r="D55" t="n">
        <v>4731</v>
      </c>
      <c r="E55" t="inlineStr">
        <is>
          <t>Rajsriya Automotive Industries</t>
        </is>
      </c>
      <c r="F55" t="n">
        <v>1326</v>
      </c>
      <c r="G55" t="inlineStr">
        <is>
          <t>TVS</t>
        </is>
      </c>
      <c r="H55" t="inlineStr">
        <is>
          <t>12.7-0-1.6-ERW 1-PE</t>
        </is>
      </c>
      <c r="I55" t="inlineStr">
        <is>
          <t>12.7-0-1.6-ERW 1-PE-0.25</t>
        </is>
      </c>
      <c r="J55" t="n">
        <v>0.25</v>
      </c>
      <c r="K55" t="inlineStr">
        <is>
          <t>CTL</t>
        </is>
      </c>
    </row>
    <row r="56" hidden="1" s="584">
      <c r="A56" t="n">
        <v>3727213</v>
      </c>
      <c r="B56" t="inlineStr">
        <is>
          <t>TUB-O-N-AUT-AW-PE-12.70X1.600X0.2520</t>
        </is>
      </c>
      <c r="C56" t="n">
        <v>0.071504</v>
      </c>
      <c r="D56" t="n">
        <v>789</v>
      </c>
      <c r="E56" t="inlineStr">
        <is>
          <t>ELKAYEM AUTO ANCILLARIES PRIVATE LI</t>
        </is>
      </c>
      <c r="F56" t="n">
        <v>207</v>
      </c>
      <c r="G56" t="inlineStr">
        <is>
          <t>TVS</t>
        </is>
      </c>
      <c r="H56" t="inlineStr">
        <is>
          <t>12.7-0-1.6-ERW 1-PE</t>
        </is>
      </c>
      <c r="I56" t="inlineStr">
        <is>
          <t>12.7-0-1.6-ERW 1-PE-0.252</t>
        </is>
      </c>
      <c r="J56" t="n">
        <v>0.252</v>
      </c>
      <c r="K56" t="inlineStr">
        <is>
          <t>CTL</t>
        </is>
      </c>
    </row>
    <row r="57" hidden="1" s="584">
      <c r="A57" t="n">
        <v>3727213</v>
      </c>
      <c r="B57" t="inlineStr">
        <is>
          <t>TUB-O-N-AUT-AW-PE-12.70X1.600X0.2520</t>
        </is>
      </c>
      <c r="C57" t="n">
        <v>0.000313</v>
      </c>
      <c r="D57" t="n">
        <v>789</v>
      </c>
      <c r="E57" t="inlineStr">
        <is>
          <t>ELKAYEM AUTO ANCILLARIES PRIVATE LI</t>
        </is>
      </c>
      <c r="F57" t="n">
        <v>208</v>
      </c>
      <c r="G57" t="inlineStr">
        <is>
          <t>TVS</t>
        </is>
      </c>
      <c r="H57" t="inlineStr">
        <is>
          <t>12.7-0-1.6-ERW 1-PE</t>
        </is>
      </c>
      <c r="I57" t="inlineStr">
        <is>
          <t>12.7-0-1.6-ERW 1-PE-0.252</t>
        </is>
      </c>
      <c r="J57" t="n">
        <v>0.252</v>
      </c>
      <c r="K57" t="inlineStr">
        <is>
          <t>CTL</t>
        </is>
      </c>
    </row>
    <row r="58" hidden="1" s="584">
      <c r="A58" t="n">
        <v>3223304</v>
      </c>
      <c r="B58" t="inlineStr">
        <is>
          <t>TUB-O-N-AUT-AW-PE-12.70X1.600X0.2550</t>
        </is>
      </c>
      <c r="C58" t="n">
        <v>0.0074</v>
      </c>
      <c r="D58" t="n">
        <v>789</v>
      </c>
      <c r="E58" t="inlineStr">
        <is>
          <t>Rajsriya Automotive Ind.P.Ltd Unit-</t>
        </is>
      </c>
      <c r="F58" t="n">
        <v>534</v>
      </c>
      <c r="G58" t="inlineStr">
        <is>
          <t>TVS</t>
        </is>
      </c>
      <c r="H58" t="inlineStr">
        <is>
          <t>12.7-0-1.6-ERW 1-PE</t>
        </is>
      </c>
      <c r="I58" t="inlineStr">
        <is>
          <t>12.7-0-1.6-ERW 1-PE-0.255</t>
        </is>
      </c>
      <c r="J58" t="n">
        <v>0.255</v>
      </c>
      <c r="K58" t="inlineStr">
        <is>
          <t>CTL</t>
        </is>
      </c>
    </row>
    <row r="59" hidden="1" s="584">
      <c r="A59" t="n">
        <v>3223304</v>
      </c>
      <c r="B59" t="inlineStr">
        <is>
          <t>TUB-O-N-AUT-AW-PE-12.70X1.600X0.2550</t>
        </is>
      </c>
      <c r="C59" t="n">
        <v>0.547008</v>
      </c>
      <c r="D59" t="n">
        <v>4731</v>
      </c>
      <c r="E59" t="inlineStr">
        <is>
          <t>Rajsriya Automotive Ind.P.Ltd Unit-</t>
        </is>
      </c>
      <c r="F59" t="n">
        <v>1414</v>
      </c>
      <c r="G59" t="inlineStr">
        <is>
          <t>TVS</t>
        </is>
      </c>
      <c r="H59" t="inlineStr">
        <is>
          <t>12.7-0-1.6-ERW 1-PE</t>
        </is>
      </c>
      <c r="I59" t="inlineStr">
        <is>
          <t>12.7-0-1.6-ERW 1-PE-0.255</t>
        </is>
      </c>
      <c r="J59" t="n">
        <v>0.255</v>
      </c>
      <c r="K59" t="inlineStr">
        <is>
          <t>CTL</t>
        </is>
      </c>
    </row>
    <row r="60" hidden="1" s="584">
      <c r="A60" t="n">
        <v>2430128</v>
      </c>
      <c r="B60" t="inlineStr">
        <is>
          <t>TUB-R-AW-AUT-50.00X30.00X1.600X1.1000</t>
        </is>
      </c>
      <c r="C60" t="n">
        <v>0.003375</v>
      </c>
      <c r="D60" t="n">
        <v>789</v>
      </c>
      <c r="E60" t="inlineStr">
        <is>
          <t>MEGH STEELS PRIVATE LIMITED - TVS A</t>
        </is>
      </c>
      <c r="F60" t="n">
        <v>157</v>
      </c>
      <c r="G60" t="inlineStr">
        <is>
          <t>Direct</t>
        </is>
      </c>
      <c r="H60" t="inlineStr">
        <is>
          <t>50-30-1.6-ERW 1-FC</t>
        </is>
      </c>
      <c r="I60" t="inlineStr">
        <is>
          <t>50-30-1.6-ERW 1-FC-1.1</t>
        </is>
      </c>
      <c r="J60" t="n">
        <v>1.1</v>
      </c>
      <c r="K60" t="inlineStr">
        <is>
          <t>CTL</t>
        </is>
      </c>
    </row>
    <row r="61" hidden="1" s="584">
      <c r="A61" t="n">
        <v>2430128</v>
      </c>
      <c r="B61" t="inlineStr">
        <is>
          <t>TUB-R-AW-AUT-50.00X30.00X1.600X1.1000</t>
        </is>
      </c>
      <c r="C61" t="n">
        <v>0.003295</v>
      </c>
      <c r="D61" t="n">
        <v>789</v>
      </c>
      <c r="E61" t="inlineStr">
        <is>
          <t>MEGH STEELS PRIVATE LIMITED - TVS A</t>
        </is>
      </c>
      <c r="F61" t="n">
        <v>158</v>
      </c>
      <c r="G61" t="inlineStr">
        <is>
          <t>Direct</t>
        </is>
      </c>
      <c r="H61" t="inlineStr">
        <is>
          <t>50-30-1.6-ERW 1-FC</t>
        </is>
      </c>
      <c r="I61" t="inlineStr">
        <is>
          <t>50-30-1.6-ERW 1-FC-1.1</t>
        </is>
      </c>
      <c r="J61" t="n">
        <v>1.1</v>
      </c>
      <c r="K61" t="inlineStr">
        <is>
          <t>CTL</t>
        </is>
      </c>
    </row>
    <row r="62" hidden="1" s="584">
      <c r="A62" t="n">
        <v>3676336</v>
      </c>
      <c r="B62" t="inlineStr">
        <is>
          <t>TUB-O-N-AUT-AW-PE-12.70X1.600X0.2570</t>
        </is>
      </c>
      <c r="C62" t="n">
        <v>0.009800000000000001</v>
      </c>
      <c r="D62" t="n">
        <v>789</v>
      </c>
      <c r="E62" t="inlineStr">
        <is>
          <t>SRIKAM HITECH ENGINEERING PRIVATE L</t>
        </is>
      </c>
      <c r="F62" t="n">
        <v>736</v>
      </c>
      <c r="G62" t="inlineStr">
        <is>
          <t>TVS</t>
        </is>
      </c>
      <c r="H62" t="inlineStr">
        <is>
          <t>12.7-0-1.6-ERW 1-PE</t>
        </is>
      </c>
      <c r="I62" t="inlineStr">
        <is>
          <t>12.7-0-1.6-ERW 1-PE-0.257</t>
        </is>
      </c>
      <c r="J62" t="n">
        <v>0.257</v>
      </c>
      <c r="K62" t="inlineStr">
        <is>
          <t>CTL</t>
        </is>
      </c>
    </row>
    <row r="63" hidden="1" s="584">
      <c r="A63" t="n">
        <v>3676336</v>
      </c>
      <c r="B63" t="inlineStr">
        <is>
          <t>TUB-O-N-AUT-AW-PE-12.70X1.600X0.2570</t>
        </is>
      </c>
      <c r="C63" t="n">
        <v>0.00967</v>
      </c>
      <c r="D63" t="n">
        <v>789</v>
      </c>
      <c r="E63" t="inlineStr">
        <is>
          <t>SRIKAM HITECH ENGINEERING PRIVATE L</t>
        </is>
      </c>
      <c r="F63" t="n">
        <v>737</v>
      </c>
      <c r="G63" t="inlineStr">
        <is>
          <t>TVS</t>
        </is>
      </c>
      <c r="H63" t="inlineStr">
        <is>
          <t>12.7-0-1.6-ERW 1-PE</t>
        </is>
      </c>
      <c r="I63" t="inlineStr">
        <is>
          <t>12.7-0-1.6-ERW 1-PE-0.257</t>
        </is>
      </c>
      <c r="J63" t="n">
        <v>0.257</v>
      </c>
      <c r="K63" t="inlineStr">
        <is>
          <t>CTL</t>
        </is>
      </c>
    </row>
    <row r="64" hidden="1" s="584">
      <c r="A64" t="n">
        <v>1932848</v>
      </c>
      <c r="B64" t="inlineStr">
        <is>
          <t>TUB-O-N-AUT-AW-PE-12.70X1.600X0.2600</t>
        </is>
      </c>
      <c r="C64" t="n">
        <v>0.00242</v>
      </c>
      <c r="D64" t="n">
        <v>789</v>
      </c>
      <c r="E64" t="inlineStr">
        <is>
          <t>SRIKAM HITECH ENGINEERING PRIVATE L</t>
        </is>
      </c>
      <c r="F64" t="n">
        <v>411</v>
      </c>
      <c r="G64" t="inlineStr">
        <is>
          <t>TVS</t>
        </is>
      </c>
      <c r="H64" t="inlineStr">
        <is>
          <t>12.7-0-1.6-ERW 1-PE</t>
        </is>
      </c>
      <c r="I64" t="inlineStr">
        <is>
          <t>12.7-0-1.6-ERW 1-PE-0.26</t>
        </is>
      </c>
      <c r="J64" t="n">
        <v>0.26</v>
      </c>
      <c r="K64" t="inlineStr">
        <is>
          <t>CTL</t>
        </is>
      </c>
    </row>
    <row r="65" hidden="1" s="584">
      <c r="A65" t="n">
        <v>1932848</v>
      </c>
      <c r="B65" t="inlineStr">
        <is>
          <t>TUB-O-N-AUT-AW-PE-12.70X1.600X0.2600</t>
        </is>
      </c>
      <c r="C65" t="n">
        <v>0.319</v>
      </c>
      <c r="D65" t="n">
        <v>789</v>
      </c>
      <c r="E65" t="inlineStr">
        <is>
          <t>SRIKAM HITECH ENGINEERING PRIVATE L</t>
        </is>
      </c>
      <c r="F65" t="n">
        <v>412</v>
      </c>
      <c r="G65" t="inlineStr">
        <is>
          <t>TVS</t>
        </is>
      </c>
      <c r="H65" t="inlineStr">
        <is>
          <t>12.7-0-1.6-ERW 1-PE</t>
        </is>
      </c>
      <c r="I65" t="inlineStr">
        <is>
          <t>12.7-0-1.6-ERW 1-PE-0.26</t>
        </is>
      </c>
      <c r="J65" t="n">
        <v>0.26</v>
      </c>
      <c r="K65" t="inlineStr">
        <is>
          <t>CTL</t>
        </is>
      </c>
    </row>
    <row r="66" hidden="1" s="584">
      <c r="A66" t="n">
        <v>1940653</v>
      </c>
      <c r="B66" t="inlineStr">
        <is>
          <t>TUB-O-O-AUT-AW-PE-31.75X1.200X0.6700</t>
        </is>
      </c>
      <c r="C66" t="n">
        <v>3.08</v>
      </c>
      <c r="D66" t="n">
        <v>789</v>
      </c>
      <c r="E66" t="inlineStr">
        <is>
          <t>Neel Metal Products Limited</t>
        </is>
      </c>
      <c r="F66" t="n">
        <v>6</v>
      </c>
      <c r="G66" t="inlineStr">
        <is>
          <t>TVS</t>
        </is>
      </c>
      <c r="H66" t="inlineStr">
        <is>
          <t>31.75-0-1.2-ERW 1-PE</t>
        </is>
      </c>
      <c r="I66" t="inlineStr">
        <is>
          <t>31.75-0-1.2-ERW 1-PE-0.67</t>
        </is>
      </c>
      <c r="J66" t="n">
        <v>0.67</v>
      </c>
      <c r="K66" t="inlineStr">
        <is>
          <t>CTL</t>
        </is>
      </c>
    </row>
    <row r="67" hidden="1" s="584">
      <c r="A67" t="n">
        <v>1940653</v>
      </c>
      <c r="B67" t="inlineStr">
        <is>
          <t>TUB-O-O-AUT-AW-PE-31.75X1.200X0.6700</t>
        </is>
      </c>
      <c r="C67" t="n">
        <v>2.688216</v>
      </c>
      <c r="D67" t="n">
        <v>789</v>
      </c>
      <c r="E67" t="inlineStr">
        <is>
          <t>Neel Metal Products Limited</t>
        </is>
      </c>
      <c r="F67" t="n">
        <v>7</v>
      </c>
      <c r="G67" t="inlineStr">
        <is>
          <t>TVS</t>
        </is>
      </c>
      <c r="H67" t="inlineStr">
        <is>
          <t>31.75-0-1.2-ERW 1-PE</t>
        </is>
      </c>
      <c r="I67" t="inlineStr">
        <is>
          <t>31.75-0-1.2-ERW 1-PE-0.67</t>
        </is>
      </c>
      <c r="J67" t="n">
        <v>0.67</v>
      </c>
      <c r="K67" t="inlineStr">
        <is>
          <t>CTL</t>
        </is>
      </c>
    </row>
    <row r="68" hidden="1" s="584">
      <c r="A68" t="n">
        <v>1940653</v>
      </c>
      <c r="B68" t="inlineStr">
        <is>
          <t>TUB-O-O-AUT-AW-PE-31.75X1.200X0.6700</t>
        </is>
      </c>
      <c r="C68" t="n">
        <v>0.013532</v>
      </c>
      <c r="D68" t="n">
        <v>789</v>
      </c>
      <c r="E68" t="inlineStr">
        <is>
          <t>Neel Metal Products Limited</t>
        </is>
      </c>
      <c r="F68" t="n">
        <v>1015</v>
      </c>
      <c r="G68" t="inlineStr">
        <is>
          <t>TVS</t>
        </is>
      </c>
      <c r="H68" t="inlineStr">
        <is>
          <t>31.75-0-1.2-ERW 1-PE</t>
        </is>
      </c>
      <c r="I68" t="inlineStr">
        <is>
          <t>31.75-0-1.2-ERW 1-PE-0.67</t>
        </is>
      </c>
      <c r="J68" t="n">
        <v>0.67</v>
      </c>
      <c r="K68" t="inlineStr">
        <is>
          <t>CTL</t>
        </is>
      </c>
    </row>
    <row r="69" hidden="1" s="584">
      <c r="A69" t="n">
        <v>1940653</v>
      </c>
      <c r="B69" t="inlineStr">
        <is>
          <t>TUB-O-O-AUT-AW-PE-31.75X1.200X0.6700</t>
        </is>
      </c>
      <c r="C69" t="n">
        <v>0.497</v>
      </c>
      <c r="D69" t="n">
        <v>789</v>
      </c>
      <c r="E69" t="inlineStr">
        <is>
          <t>Neel Metal Products Limited</t>
        </is>
      </c>
      <c r="F69" t="n">
        <v>1160</v>
      </c>
      <c r="G69" t="inlineStr">
        <is>
          <t>TVS</t>
        </is>
      </c>
      <c r="H69" t="inlineStr">
        <is>
          <t>31.75-0-1.2-ERW 1-PE</t>
        </is>
      </c>
      <c r="I69" t="inlineStr">
        <is>
          <t>31.75-0-1.2-ERW 1-PE-0.67</t>
        </is>
      </c>
      <c r="J69" t="n">
        <v>0.67</v>
      </c>
      <c r="K69" t="inlineStr">
        <is>
          <t>CTL</t>
        </is>
      </c>
    </row>
    <row r="70" hidden="1" s="584">
      <c r="A70" t="n">
        <v>1939994</v>
      </c>
      <c r="B70" t="inlineStr">
        <is>
          <t>TUB-O-O-AUT-AW-PE-12.70X1.600X0.2800</t>
        </is>
      </c>
      <c r="C70" t="n">
        <v>0.001468</v>
      </c>
      <c r="D70" t="n">
        <v>789</v>
      </c>
      <c r="E70" t="inlineStr">
        <is>
          <t>SRIKAM HITECH ENGINEERING PRIVATE L</t>
        </is>
      </c>
      <c r="F70" t="n">
        <v>415</v>
      </c>
      <c r="G70" t="inlineStr">
        <is>
          <t>TVS</t>
        </is>
      </c>
      <c r="H70" t="inlineStr">
        <is>
          <t>12.7-0-1.6-ERW 1-PE</t>
        </is>
      </c>
      <c r="I70" t="inlineStr">
        <is>
          <t>12.7-0-1.6-ERW 1-PE-0.28</t>
        </is>
      </c>
      <c r="J70" t="n">
        <v>0.28</v>
      </c>
      <c r="K70" t="inlineStr">
        <is>
          <t>CTL</t>
        </is>
      </c>
    </row>
    <row r="71" hidden="1" s="584">
      <c r="A71" t="n">
        <v>1939994</v>
      </c>
      <c r="B71" t="inlineStr">
        <is>
          <t>TUB-O-O-AUT-AW-PE-12.70X1.600X0.2800</t>
        </is>
      </c>
      <c r="C71" t="n">
        <v>0.002994</v>
      </c>
      <c r="D71" t="n">
        <v>789</v>
      </c>
      <c r="E71" t="inlineStr">
        <is>
          <t>SRIKAM HITECH ENGINEERING PRIVATE L</t>
        </is>
      </c>
      <c r="F71" t="n">
        <v>416</v>
      </c>
      <c r="G71" t="inlineStr">
        <is>
          <t>TVS</t>
        </is>
      </c>
      <c r="H71" t="inlineStr">
        <is>
          <t>12.7-0-1.6-ERW 1-PE</t>
        </is>
      </c>
      <c r="I71" t="inlineStr">
        <is>
          <t>12.7-0-1.6-ERW 1-PE-0.28</t>
        </is>
      </c>
      <c r="J71" t="n">
        <v>0.28</v>
      </c>
      <c r="K71" t="inlineStr">
        <is>
          <t>CTL</t>
        </is>
      </c>
    </row>
    <row r="72" hidden="1" s="584">
      <c r="A72" t="n">
        <v>1939994</v>
      </c>
      <c r="B72" t="inlineStr">
        <is>
          <t>TUB-O-O-AUT-AW-PE-12.70X1.600X0.2800</t>
        </is>
      </c>
      <c r="C72" t="n">
        <v>0.0006889999999999999</v>
      </c>
      <c r="D72" t="n">
        <v>789</v>
      </c>
      <c r="E72" t="inlineStr">
        <is>
          <t>SRIKAM HITECH ENGINEERING PRIVATE L</t>
        </is>
      </c>
      <c r="F72" t="n">
        <v>417</v>
      </c>
      <c r="G72" t="inlineStr">
        <is>
          <t>TVS</t>
        </is>
      </c>
      <c r="H72" t="inlineStr">
        <is>
          <t>12.7-0-1.6-ERW 1-PE</t>
        </is>
      </c>
      <c r="I72" t="inlineStr">
        <is>
          <t>12.7-0-1.6-ERW 1-PE-0.28</t>
        </is>
      </c>
      <c r="J72" t="n">
        <v>0.28</v>
      </c>
      <c r="K72" t="inlineStr">
        <is>
          <t>CTL</t>
        </is>
      </c>
    </row>
    <row r="73" hidden="1" s="584">
      <c r="A73" t="n">
        <v>1941848</v>
      </c>
      <c r="B73" t="inlineStr">
        <is>
          <t>TUB-E-O-AUT-AW-FC-15.88X1.000X2.4900</t>
        </is>
      </c>
      <c r="C73" t="n">
        <v>1.96967</v>
      </c>
      <c r="D73" t="n">
        <v>789</v>
      </c>
      <c r="E73" t="inlineStr">
        <is>
          <t>Neel Metal Products Limited</t>
        </is>
      </c>
      <c r="F73" t="n">
        <v>9</v>
      </c>
      <c r="G73" t="inlineStr">
        <is>
          <t>TVS</t>
        </is>
      </c>
      <c r="H73" t="inlineStr">
        <is>
          <t>15.88-0-1-ERW 1-PE</t>
        </is>
      </c>
      <c r="I73" t="inlineStr">
        <is>
          <t>15.88-0-1-ERW 1-PE-2.49</t>
        </is>
      </c>
      <c r="J73" t="n">
        <v>2.49</v>
      </c>
      <c r="K73" t="inlineStr">
        <is>
          <t>CTL</t>
        </is>
      </c>
    </row>
    <row r="74" hidden="1" s="584">
      <c r="A74" t="n">
        <v>1941848</v>
      </c>
      <c r="B74" t="inlineStr">
        <is>
          <t>TUB-E-O-AUT-AW-FC-15.88X1.000X2.4900</t>
        </is>
      </c>
      <c r="C74" t="n">
        <v>0.008226000000000001</v>
      </c>
      <c r="D74" t="n">
        <v>789</v>
      </c>
      <c r="E74" t="inlineStr">
        <is>
          <t>Neel Metal Products Limited</t>
        </is>
      </c>
      <c r="F74" t="n">
        <v>128</v>
      </c>
      <c r="G74" t="inlineStr">
        <is>
          <t>TVS</t>
        </is>
      </c>
      <c r="H74" t="inlineStr">
        <is>
          <t>15.88-0-1-ERW 1-PE</t>
        </is>
      </c>
      <c r="I74" t="inlineStr">
        <is>
          <t>15.88-0-1-ERW 1-PE-2.49</t>
        </is>
      </c>
      <c r="J74" t="n">
        <v>2.49</v>
      </c>
      <c r="K74" t="inlineStr">
        <is>
          <t>CTL</t>
        </is>
      </c>
    </row>
    <row r="75" hidden="1" s="584">
      <c r="A75" t="n">
        <v>1941848</v>
      </c>
      <c r="B75" t="inlineStr">
        <is>
          <t>TUB-E-O-AUT-AW-FC-15.88X1.000X2.4900</t>
        </is>
      </c>
      <c r="C75" t="n">
        <v>0.018</v>
      </c>
      <c r="D75" t="n">
        <v>789</v>
      </c>
      <c r="E75" t="inlineStr">
        <is>
          <t>Neel Metal Products Limited</t>
        </is>
      </c>
      <c r="F75" t="n">
        <v>514</v>
      </c>
      <c r="G75" t="inlineStr">
        <is>
          <t>TVS</t>
        </is>
      </c>
      <c r="H75" t="inlineStr">
        <is>
          <t>15.88-0-1-ERW 1-PE</t>
        </is>
      </c>
      <c r="I75" t="inlineStr">
        <is>
          <t>15.88-0-1-ERW 1-PE-2.49</t>
        </is>
      </c>
      <c r="J75" t="n">
        <v>2.49</v>
      </c>
      <c r="K75" t="inlineStr">
        <is>
          <t>CTL</t>
        </is>
      </c>
    </row>
    <row r="76" hidden="1" s="584">
      <c r="A76" t="n">
        <v>1941848</v>
      </c>
      <c r="B76" t="inlineStr">
        <is>
          <t>TUB-E-O-AUT-AW-FC-15.88X1.000X2.4900</t>
        </is>
      </c>
      <c r="C76" t="n">
        <v>0.594</v>
      </c>
      <c r="D76" t="n">
        <v>789</v>
      </c>
      <c r="E76" t="inlineStr">
        <is>
          <t>Neel Metal Products Limited</t>
        </is>
      </c>
      <c r="F76" t="n">
        <v>515</v>
      </c>
      <c r="G76" t="inlineStr">
        <is>
          <t>TVS</t>
        </is>
      </c>
      <c r="H76" t="inlineStr">
        <is>
          <t>15.88-0-1-ERW 1-PE</t>
        </is>
      </c>
      <c r="I76" t="inlineStr">
        <is>
          <t>15.88-0-1-ERW 1-PE-2.49</t>
        </is>
      </c>
      <c r="J76" t="n">
        <v>2.49</v>
      </c>
      <c r="K76" t="inlineStr">
        <is>
          <t>CTL</t>
        </is>
      </c>
    </row>
    <row r="77" hidden="1" s="584">
      <c r="A77" t="n">
        <v>1939996</v>
      </c>
      <c r="B77" t="inlineStr">
        <is>
          <t>TUB-O-O-AUT-AW-PE-12.70X1.600X0.2950</t>
        </is>
      </c>
      <c r="C77" t="n">
        <v>1.81</v>
      </c>
      <c r="D77" t="n">
        <v>789</v>
      </c>
      <c r="E77" t="inlineStr">
        <is>
          <t>Rajsriya Automotive Industries</t>
        </is>
      </c>
      <c r="F77" t="n">
        <v>273</v>
      </c>
      <c r="G77" t="inlineStr">
        <is>
          <t>TVS</t>
        </is>
      </c>
      <c r="H77" t="inlineStr">
        <is>
          <t>12.7-0-1.6-ERW 1-PE</t>
        </is>
      </c>
      <c r="I77" t="inlineStr">
        <is>
          <t>12.7-0-1.6-ERW 1-PE-0.295</t>
        </is>
      </c>
      <c r="J77" t="n">
        <v>0.295</v>
      </c>
      <c r="K77" t="inlineStr">
        <is>
          <t>CTL</t>
        </is>
      </c>
    </row>
    <row r="78" hidden="1" s="584">
      <c r="A78" t="n">
        <v>1939996</v>
      </c>
      <c r="B78" t="inlineStr">
        <is>
          <t>TUB-O-O-AUT-AW-PE-12.70X1.600X0.2950</t>
        </is>
      </c>
      <c r="C78" t="n">
        <v>0.969</v>
      </c>
      <c r="D78" t="n">
        <v>789</v>
      </c>
      <c r="E78" t="inlineStr">
        <is>
          <t>Rajsriya Automotive Industries</t>
        </is>
      </c>
      <c r="F78" t="n">
        <v>274</v>
      </c>
      <c r="G78" t="inlineStr">
        <is>
          <t>TVS</t>
        </is>
      </c>
      <c r="H78" t="inlineStr">
        <is>
          <t>12.7-0-1.6-ERW 1-PE</t>
        </is>
      </c>
      <c r="I78" t="inlineStr">
        <is>
          <t>12.7-0-1.6-ERW 1-PE-0.295</t>
        </is>
      </c>
      <c r="J78" t="n">
        <v>0.295</v>
      </c>
      <c r="K78" t="inlineStr">
        <is>
          <t>CTL</t>
        </is>
      </c>
    </row>
    <row r="79" hidden="1" s="584">
      <c r="A79" t="n">
        <v>1939996</v>
      </c>
      <c r="B79" t="inlineStr">
        <is>
          <t>TUB-O-O-AUT-AW-PE-12.70X1.600X0.2950</t>
        </is>
      </c>
      <c r="C79" t="n">
        <v>0.08770099999999999</v>
      </c>
      <c r="D79" t="n">
        <v>789</v>
      </c>
      <c r="E79" t="inlineStr">
        <is>
          <t>Rajsriya Automotive Industries</t>
        </is>
      </c>
      <c r="F79" t="n">
        <v>492</v>
      </c>
      <c r="G79" t="inlineStr">
        <is>
          <t>TVS</t>
        </is>
      </c>
      <c r="H79" t="inlineStr">
        <is>
          <t>12.7-0-1.6-ERW 1-PE</t>
        </is>
      </c>
      <c r="I79" t="inlineStr">
        <is>
          <t>12.7-0-1.6-ERW 1-PE-0.295</t>
        </is>
      </c>
      <c r="J79" t="n">
        <v>0.295</v>
      </c>
      <c r="K79" t="inlineStr">
        <is>
          <t>CTL</t>
        </is>
      </c>
    </row>
    <row r="80" hidden="1" s="584">
      <c r="A80" t="n">
        <v>3509030</v>
      </c>
      <c r="B80" t="inlineStr">
        <is>
          <t>CUT-O-N-AUT-AW-PE-38.10X2.000X0.4060</t>
        </is>
      </c>
      <c r="C80" t="n">
        <v>0.888</v>
      </c>
      <c r="D80" t="n">
        <v>789</v>
      </c>
      <c r="E80" t="inlineStr">
        <is>
          <t>Neel Metal Products Limited</t>
        </is>
      </c>
      <c r="F80" t="n">
        <v>25</v>
      </c>
      <c r="G80" t="inlineStr">
        <is>
          <t>TVS</t>
        </is>
      </c>
      <c r="H80" t="inlineStr">
        <is>
          <t>38.1-0-2-ERW 1-FC</t>
        </is>
      </c>
      <c r="I80" t="inlineStr">
        <is>
          <t>38.1-0-2-ERW 1-FC-0.406</t>
        </is>
      </c>
      <c r="J80" t="n">
        <v>0.406</v>
      </c>
      <c r="K80" t="inlineStr">
        <is>
          <t>CTL</t>
        </is>
      </c>
    </row>
    <row r="81" hidden="1" s="584">
      <c r="A81" t="n">
        <v>3509030</v>
      </c>
      <c r="B81" t="inlineStr">
        <is>
          <t>CUT-O-N-AUT-AW-PE-38.10X2.000X0.4060</t>
        </is>
      </c>
      <c r="C81" t="n">
        <v>0.173439</v>
      </c>
      <c r="D81" t="n">
        <v>4731</v>
      </c>
      <c r="E81" t="inlineStr">
        <is>
          <t>Neel Metal Products Limited</t>
        </is>
      </c>
      <c r="F81" t="n">
        <v>1649</v>
      </c>
      <c r="G81" t="inlineStr">
        <is>
          <t>TVS</t>
        </is>
      </c>
      <c r="H81" t="inlineStr">
        <is>
          <t>38.1-0-2-ERW 1-FC</t>
        </is>
      </c>
      <c r="I81" t="inlineStr">
        <is>
          <t>38.1-0-2-ERW 1-FC-0.406</t>
        </is>
      </c>
      <c r="J81" t="n">
        <v>0.406</v>
      </c>
      <c r="K81" t="inlineStr">
        <is>
          <t>CTL</t>
        </is>
      </c>
    </row>
    <row r="82" hidden="1" s="584">
      <c r="A82" t="n">
        <v>3676337</v>
      </c>
      <c r="B82" t="inlineStr">
        <is>
          <t>TUB-O-N-AUT-AW-PE-12.70X1.600X0.3200</t>
        </is>
      </c>
      <c r="C82" t="n">
        <v>0.003161</v>
      </c>
      <c r="D82" t="n">
        <v>789</v>
      </c>
      <c r="E82" t="inlineStr">
        <is>
          <t>SRIKAM HITECH ENGINEERING PRIVATE L</t>
        </is>
      </c>
      <c r="F82" t="n">
        <v>1091</v>
      </c>
      <c r="G82" t="inlineStr">
        <is>
          <t>TVS</t>
        </is>
      </c>
      <c r="H82" t="inlineStr">
        <is>
          <t>12.7-0-1.6-ERW 1-PE</t>
        </is>
      </c>
      <c r="I82" t="inlineStr">
        <is>
          <t>12.7-0-1.6-ERW 1-PE-0.32</t>
        </is>
      </c>
      <c r="J82" t="n">
        <v>0.32</v>
      </c>
      <c r="K82" t="inlineStr">
        <is>
          <t>CTL</t>
        </is>
      </c>
    </row>
    <row r="83" hidden="1" s="584">
      <c r="A83" t="n">
        <v>3676337</v>
      </c>
      <c r="B83" t="inlineStr">
        <is>
          <t>TUB-O-N-AUT-AW-PE-12.70X1.600X0.3200</t>
        </is>
      </c>
      <c r="C83" t="n">
        <v>0.016312</v>
      </c>
      <c r="D83" t="n">
        <v>789</v>
      </c>
      <c r="E83" t="inlineStr">
        <is>
          <t>SRIKAM HITECH ENGINEERING PRIVATE L</t>
        </is>
      </c>
      <c r="F83" t="n">
        <v>1092</v>
      </c>
      <c r="G83" t="inlineStr">
        <is>
          <t>TVS</t>
        </is>
      </c>
      <c r="H83" t="inlineStr">
        <is>
          <t>12.7-0-1.6-ERW 1-PE</t>
        </is>
      </c>
      <c r="I83" t="inlineStr">
        <is>
          <t>12.7-0-1.6-ERW 1-PE-0.32</t>
        </is>
      </c>
      <c r="J83" t="n">
        <v>0.32</v>
      </c>
      <c r="K83" t="inlineStr">
        <is>
          <t>CTL</t>
        </is>
      </c>
    </row>
    <row r="84" hidden="1" s="584">
      <c r="A84" t="n">
        <v>1940881</v>
      </c>
      <c r="B84" t="inlineStr">
        <is>
          <t>TUB-R-AW-RHS-50.00X30.00X2.000X0.7300</t>
        </is>
      </c>
      <c r="C84" t="n">
        <v>1.319608</v>
      </c>
      <c r="D84" t="n">
        <v>789</v>
      </c>
      <c r="E84" t="inlineStr">
        <is>
          <t>Neel Metal Products Limited</t>
        </is>
      </c>
      <c r="F84" t="n">
        <v>126</v>
      </c>
      <c r="G84" t="inlineStr">
        <is>
          <t>TVS</t>
        </is>
      </c>
      <c r="H84" t="inlineStr">
        <is>
          <t>50-30-2-ERW 1-FC</t>
        </is>
      </c>
      <c r="I84" t="inlineStr">
        <is>
          <t>50-30-2-ERW 1-FC-0.73</t>
        </is>
      </c>
      <c r="J84" t="n">
        <v>0.73</v>
      </c>
      <c r="K84" t="inlineStr">
        <is>
          <t>CTL</t>
        </is>
      </c>
    </row>
    <row r="85" hidden="1" s="584">
      <c r="A85" t="n">
        <v>1940881</v>
      </c>
      <c r="B85" t="inlineStr">
        <is>
          <t>TUB-R-AW-RHS-50.00X30.00X2.000X0.7300</t>
        </is>
      </c>
      <c r="C85" t="n">
        <v>0.495</v>
      </c>
      <c r="D85" t="n">
        <v>4731</v>
      </c>
      <c r="E85" t="inlineStr">
        <is>
          <t>Neel Metal Products Limited</t>
        </is>
      </c>
      <c r="F85" t="n">
        <v>1359</v>
      </c>
      <c r="G85" t="inlineStr">
        <is>
          <t>TVS</t>
        </is>
      </c>
      <c r="H85" t="inlineStr">
        <is>
          <t>50-30-2-ERW 1-FC</t>
        </is>
      </c>
      <c r="I85" t="inlineStr">
        <is>
          <t>50-30-2-ERW 1-FC-0.73</t>
        </is>
      </c>
      <c r="J85" t="n">
        <v>0.73</v>
      </c>
      <c r="K85" t="inlineStr">
        <is>
          <t>CTL</t>
        </is>
      </c>
    </row>
    <row r="86" hidden="1" s="584">
      <c r="A86" t="n">
        <v>1940881</v>
      </c>
      <c r="B86" t="inlineStr">
        <is>
          <t>TUB-R-AW-RHS-50.00X30.00X2.000X0.7300</t>
        </is>
      </c>
      <c r="C86" t="n">
        <v>0.177481</v>
      </c>
      <c r="D86" t="n">
        <v>4731</v>
      </c>
      <c r="E86" t="inlineStr">
        <is>
          <t>Neel Metal Products Limited</t>
        </is>
      </c>
      <c r="F86" t="n">
        <v>1360</v>
      </c>
      <c r="G86" t="inlineStr">
        <is>
          <t>TVS</t>
        </is>
      </c>
      <c r="H86" t="inlineStr">
        <is>
          <t>50-30-2-ERW 1-FC</t>
        </is>
      </c>
      <c r="I86" t="inlineStr">
        <is>
          <t>50-30-2-ERW 1-FC-0.73</t>
        </is>
      </c>
      <c r="J86" t="n">
        <v>0.73</v>
      </c>
      <c r="K86" t="inlineStr">
        <is>
          <t>CTL</t>
        </is>
      </c>
    </row>
    <row r="87" hidden="1" s="584">
      <c r="A87" t="n">
        <v>1941845</v>
      </c>
      <c r="B87" t="inlineStr">
        <is>
          <t>TUB-E-O-AUT-AW-FC-15.88X1.000X1.2340</t>
        </is>
      </c>
      <c r="C87" t="n">
        <v>0.278716</v>
      </c>
      <c r="D87" t="n">
        <v>789</v>
      </c>
      <c r="E87" t="inlineStr">
        <is>
          <t>Neel Metal Products Limited</t>
        </is>
      </c>
      <c r="F87" t="n">
        <v>127</v>
      </c>
      <c r="G87" t="inlineStr">
        <is>
          <t>TVS</t>
        </is>
      </c>
      <c r="H87" t="inlineStr">
        <is>
          <t>15.88-0-1-ERW 1-PE</t>
        </is>
      </c>
      <c r="I87" t="inlineStr">
        <is>
          <t>15.88-0-1-ERW 1-PE-1.234</t>
        </is>
      </c>
      <c r="J87" t="n">
        <v>1.234</v>
      </c>
      <c r="K87" t="inlineStr">
        <is>
          <t>CTL</t>
        </is>
      </c>
    </row>
    <row r="88" hidden="1" s="584">
      <c r="A88" t="n">
        <v>2353927</v>
      </c>
      <c r="B88" t="inlineStr">
        <is>
          <t>50.80X1.600X0.3850</t>
        </is>
      </c>
      <c r="C88" t="n">
        <v>0.00704</v>
      </c>
      <c r="D88" t="n">
        <v>789</v>
      </c>
      <c r="E88" t="inlineStr">
        <is>
          <t>Neel Metal Products Limited</t>
        </is>
      </c>
      <c r="F88" t="n">
        <v>135</v>
      </c>
      <c r="G88" t="inlineStr">
        <is>
          <t>TVS</t>
        </is>
      </c>
      <c r="H88" t="inlineStr">
        <is>
          <t>50.8-0-1.6-ERW 1-FC</t>
        </is>
      </c>
      <c r="I88" t="inlineStr">
        <is>
          <t>50.8-0-1.6-ERW 1-FC-0.385</t>
        </is>
      </c>
      <c r="J88" t="n">
        <v>0.385</v>
      </c>
      <c r="K88" t="inlineStr">
        <is>
          <t>CTL</t>
        </is>
      </c>
    </row>
    <row r="89" hidden="1" s="584">
      <c r="A89" t="n">
        <v>2353927</v>
      </c>
      <c r="B89" t="inlineStr">
        <is>
          <t>50.80X1.600X0.3850</t>
        </is>
      </c>
      <c r="C89" t="n">
        <v>1.421</v>
      </c>
      <c r="D89" t="n">
        <v>789</v>
      </c>
      <c r="E89" t="inlineStr">
        <is>
          <t>Neel Metal Products Limited</t>
        </is>
      </c>
      <c r="F89" t="n">
        <v>773</v>
      </c>
      <c r="G89" t="inlineStr">
        <is>
          <t>TVS</t>
        </is>
      </c>
      <c r="H89" t="inlineStr">
        <is>
          <t>50.8-0-1.6-ERW 1-FC</t>
        </is>
      </c>
      <c r="I89" t="inlineStr">
        <is>
          <t>50.8-0-1.6-ERW 1-FC-0.385</t>
        </is>
      </c>
      <c r="J89" t="n">
        <v>0.385</v>
      </c>
      <c r="K89" t="inlineStr">
        <is>
          <t>CTL</t>
        </is>
      </c>
    </row>
    <row r="90" hidden="1" s="584">
      <c r="A90" t="n">
        <v>2353927</v>
      </c>
      <c r="B90" t="inlineStr">
        <is>
          <t>50.80X1.600X0.3850</t>
        </is>
      </c>
      <c r="C90" t="n">
        <v>1.593</v>
      </c>
      <c r="D90" t="n">
        <v>789</v>
      </c>
      <c r="E90" t="inlineStr">
        <is>
          <t>Neel Metal Products Limited</t>
        </is>
      </c>
      <c r="F90" t="n">
        <v>774</v>
      </c>
      <c r="G90" t="inlineStr">
        <is>
          <t>TVS</t>
        </is>
      </c>
      <c r="H90" t="inlineStr">
        <is>
          <t>50.8-0-1.6-ERW 1-FC</t>
        </is>
      </c>
      <c r="I90" t="inlineStr">
        <is>
          <t>50.8-0-1.6-ERW 1-FC-0.385</t>
        </is>
      </c>
      <c r="J90" t="n">
        <v>0.385</v>
      </c>
      <c r="K90" t="inlineStr">
        <is>
          <t>CTL</t>
        </is>
      </c>
    </row>
    <row r="91" hidden="1" s="584">
      <c r="A91" t="n">
        <v>2353927</v>
      </c>
      <c r="B91" t="inlineStr">
        <is>
          <t>50.80X1.600X0.3850</t>
        </is>
      </c>
      <c r="C91" t="n">
        <v>0.576</v>
      </c>
      <c r="D91" t="n">
        <v>789</v>
      </c>
      <c r="E91" t="inlineStr">
        <is>
          <t>Neel Metal Products Limited</t>
        </is>
      </c>
      <c r="F91" t="n">
        <v>775</v>
      </c>
      <c r="G91" t="inlineStr">
        <is>
          <t>TVS</t>
        </is>
      </c>
      <c r="H91" t="inlineStr">
        <is>
          <t>50.8-0-1.6-ERW 1-FC</t>
        </is>
      </c>
      <c r="I91" t="inlineStr">
        <is>
          <t>50.8-0-1.6-ERW 1-FC-0.385</t>
        </is>
      </c>
      <c r="J91" t="n">
        <v>0.385</v>
      </c>
      <c r="K91" t="inlineStr">
        <is>
          <t>CTL</t>
        </is>
      </c>
    </row>
    <row r="92" hidden="1" s="584">
      <c r="A92" t="n">
        <v>3620427</v>
      </c>
      <c r="B92" t="inlineStr">
        <is>
          <t>TUB-O-N-AUT-AW-PE-12.70X1.600X0.9500</t>
        </is>
      </c>
      <c r="C92" t="n">
        <v>0.013791</v>
      </c>
      <c r="D92" t="n">
        <v>789</v>
      </c>
      <c r="E92" t="inlineStr">
        <is>
          <t>ELKAYEM AUTO ANCILLARIES PRIVATE LI</t>
        </is>
      </c>
      <c r="F92" t="n">
        <v>348</v>
      </c>
      <c r="G92" t="inlineStr">
        <is>
          <t>TVS</t>
        </is>
      </c>
      <c r="H92" t="inlineStr">
        <is>
          <t>12.7-0-1.6-ERW 1-PE</t>
        </is>
      </c>
      <c r="I92" t="inlineStr">
        <is>
          <t>12.7-0-1.6-ERW 1-PE-0.95</t>
        </is>
      </c>
      <c r="J92" t="n">
        <v>0.95</v>
      </c>
      <c r="K92" t="inlineStr">
        <is>
          <t>CTL</t>
        </is>
      </c>
    </row>
    <row r="93" hidden="1" s="584">
      <c r="A93" t="n">
        <v>3620427</v>
      </c>
      <c r="B93" t="inlineStr">
        <is>
          <t>TUB-O-N-AUT-AW-PE-12.70X1.600X0.9500</t>
        </is>
      </c>
      <c r="C93" t="n">
        <v>1.103</v>
      </c>
      <c r="D93" t="n">
        <v>789</v>
      </c>
      <c r="E93" t="inlineStr">
        <is>
          <t>ELKAYEM AUTO ANCILLARIES PRIVATE LI</t>
        </is>
      </c>
      <c r="F93" t="n">
        <v>547</v>
      </c>
      <c r="G93" t="inlineStr">
        <is>
          <t>TVS</t>
        </is>
      </c>
      <c r="H93" t="inlineStr">
        <is>
          <t>12.7-0-1.6-ERW 1-PE</t>
        </is>
      </c>
      <c r="I93" t="inlineStr">
        <is>
          <t>12.7-0-1.6-ERW 1-PE-0.95</t>
        </is>
      </c>
      <c r="J93" t="n">
        <v>0.95</v>
      </c>
      <c r="K93" t="inlineStr">
        <is>
          <t>CTL</t>
        </is>
      </c>
    </row>
    <row r="94" hidden="1" s="584">
      <c r="A94" t="n">
        <v>1940363</v>
      </c>
      <c r="B94" t="inlineStr">
        <is>
          <t>TUB-O-O-AUT-AW-PE-22.23X1.200X1.1620</t>
        </is>
      </c>
      <c r="C94" t="n">
        <v>0.593342</v>
      </c>
      <c r="D94" t="n">
        <v>789</v>
      </c>
      <c r="E94" t="inlineStr">
        <is>
          <t>ELKAYEM AUTO ANCILLARIES PRIVATE LI</t>
        </is>
      </c>
      <c r="F94" t="n">
        <v>106</v>
      </c>
      <c r="G94" t="inlineStr">
        <is>
          <t>TVS</t>
        </is>
      </c>
      <c r="H94" t="inlineStr">
        <is>
          <t>22.23-0-1.2-ERW 1-PE</t>
        </is>
      </c>
      <c r="I94" t="inlineStr">
        <is>
          <t>22.23-0-1.2-ERW 1-PE-1.162</t>
        </is>
      </c>
      <c r="J94" t="n">
        <v>1.162</v>
      </c>
      <c r="K94" t="inlineStr">
        <is>
          <t>CTL</t>
        </is>
      </c>
    </row>
    <row r="95" hidden="1" s="584">
      <c r="A95" t="n">
        <v>1940363</v>
      </c>
      <c r="B95" t="inlineStr">
        <is>
          <t>TUB-O-O-AUT-AW-PE-22.23X1.200X1.1620</t>
        </is>
      </c>
      <c r="C95" t="n">
        <v>0.008358000000000001</v>
      </c>
      <c r="D95" t="n">
        <v>789</v>
      </c>
      <c r="E95" t="inlineStr">
        <is>
          <t>ELKAYEM AUTO ANCILLARIES PRIVATE LI</t>
        </is>
      </c>
      <c r="F95" t="n">
        <v>107</v>
      </c>
      <c r="G95" t="inlineStr">
        <is>
          <t>TVS</t>
        </is>
      </c>
      <c r="H95" t="inlineStr">
        <is>
          <t>22.23-0-1.2-ERW 1-PE</t>
        </is>
      </c>
      <c r="I95" t="inlineStr">
        <is>
          <t>22.23-0-1.2-ERW 1-PE-1.162</t>
        </is>
      </c>
      <c r="J95" t="n">
        <v>1.162</v>
      </c>
      <c r="K95" t="inlineStr">
        <is>
          <t>CTL</t>
        </is>
      </c>
    </row>
    <row r="96" hidden="1" s="584">
      <c r="A96" t="n">
        <v>1940363</v>
      </c>
      <c r="B96" t="inlineStr">
        <is>
          <t>TUB-O-O-AUT-AW-PE-22.23X1.200X1.1620</t>
        </is>
      </c>
      <c r="C96" t="n">
        <v>0.796</v>
      </c>
      <c r="D96" t="n">
        <v>789</v>
      </c>
      <c r="E96" t="inlineStr">
        <is>
          <t>ELKAYEM AUTO ANCILLARIES PRIVATE LI</t>
        </is>
      </c>
      <c r="F96" t="n">
        <v>761</v>
      </c>
      <c r="G96" t="inlineStr">
        <is>
          <t>TVS</t>
        </is>
      </c>
      <c r="H96" t="inlineStr">
        <is>
          <t>22.23-0-1.2-ERW 1-PE</t>
        </is>
      </c>
      <c r="I96" t="inlineStr">
        <is>
          <t>22.23-0-1.2-ERW 1-PE-1.162</t>
        </is>
      </c>
      <c r="J96" t="n">
        <v>1.162</v>
      </c>
      <c r="K96" t="inlineStr">
        <is>
          <t>CTL</t>
        </is>
      </c>
    </row>
    <row r="97" hidden="1" s="584">
      <c r="A97" t="n">
        <v>1940014</v>
      </c>
      <c r="B97" t="inlineStr">
        <is>
          <t>TUB-O-O-GEN-AW-PE-12.70X1.600X6.0000</t>
        </is>
      </c>
      <c r="C97" t="n">
        <v>0.06565699999999999</v>
      </c>
      <c r="D97" t="n">
        <v>789</v>
      </c>
      <c r="E97" t="inlineStr">
        <is>
          <t>Marathwada Auto Compo Pvt. Ltd.</t>
        </is>
      </c>
      <c r="F97" t="n">
        <v>1244</v>
      </c>
      <c r="G97" t="inlineStr">
        <is>
          <t>TVS</t>
        </is>
      </c>
      <c r="H97" t="inlineStr">
        <is>
          <t>12.7-0-1.6-ERW 1-PE</t>
        </is>
      </c>
      <c r="I97" t="inlineStr">
        <is>
          <t>12.7-0-1.6-ERW 1-PE-1</t>
        </is>
      </c>
      <c r="J97" t="n">
        <v>6</v>
      </c>
      <c r="K97" t="inlineStr">
        <is>
          <t>LL</t>
        </is>
      </c>
    </row>
    <row r="98" hidden="1" s="584">
      <c r="A98" t="n">
        <v>1940822</v>
      </c>
      <c r="B98" t="inlineStr">
        <is>
          <t>TUB-R-AW-RHS-40.00X25.00X1.600X0.5360</t>
        </is>
      </c>
      <c r="C98" t="n">
        <v>0.01008</v>
      </c>
      <c r="D98" t="n">
        <v>789</v>
      </c>
      <c r="E98" t="inlineStr">
        <is>
          <t>ELKAYEM AUTO ANCILLARIES PRIVATE LI</t>
        </is>
      </c>
      <c r="F98" t="n">
        <v>123</v>
      </c>
      <c r="G98" t="inlineStr">
        <is>
          <t>TVS</t>
        </is>
      </c>
      <c r="H98" t="inlineStr">
        <is>
          <t>40-25-1.6-ERW 1-FC</t>
        </is>
      </c>
      <c r="I98" t="inlineStr">
        <is>
          <t>40-25-1.6-ERW 1-FC-0.536</t>
        </is>
      </c>
      <c r="J98" t="n">
        <v>0.536</v>
      </c>
      <c r="K98" t="inlineStr">
        <is>
          <t>CTL</t>
        </is>
      </c>
    </row>
    <row r="99" hidden="1" s="584">
      <c r="A99" t="n">
        <v>1940822</v>
      </c>
      <c r="B99" t="inlineStr">
        <is>
          <t>TUB-R-AW-RHS-40.00X25.00X1.600X0.5360</t>
        </is>
      </c>
      <c r="C99" t="n">
        <v>0.1532</v>
      </c>
      <c r="D99" t="n">
        <v>789</v>
      </c>
      <c r="E99" t="inlineStr">
        <is>
          <t>ELKAYEM AUTO ANCILLARIES PRIVATE LI</t>
        </is>
      </c>
      <c r="F99" t="n">
        <v>587</v>
      </c>
      <c r="G99" t="inlineStr">
        <is>
          <t>TVS</t>
        </is>
      </c>
      <c r="H99" t="inlineStr">
        <is>
          <t>40-25-1.6-ERW 1-FC</t>
        </is>
      </c>
      <c r="I99" t="inlineStr">
        <is>
          <t>40-25-1.6-ERW 1-FC-0.536</t>
        </is>
      </c>
      <c r="J99" t="n">
        <v>0.536</v>
      </c>
      <c r="K99" t="inlineStr">
        <is>
          <t>CTL</t>
        </is>
      </c>
    </row>
    <row r="100" hidden="1" s="584">
      <c r="A100" t="n">
        <v>1940823</v>
      </c>
      <c r="B100" t="inlineStr">
        <is>
          <t>TUB-R-AW-RHS-40.00X25.00X1.600X0.5600</t>
        </is>
      </c>
      <c r="C100" t="n">
        <v>0.000877</v>
      </c>
      <c r="D100" t="n">
        <v>789</v>
      </c>
      <c r="E100" t="inlineStr">
        <is>
          <t>ELKAYEM AUTO ANCILLARIES PRIVATE LI</t>
        </is>
      </c>
      <c r="F100" t="n">
        <v>124</v>
      </c>
      <c r="G100" t="inlineStr">
        <is>
          <t>TVS</t>
        </is>
      </c>
      <c r="H100" t="inlineStr">
        <is>
          <t>40-25-1.6-ERW 1-FC</t>
        </is>
      </c>
      <c r="I100" t="inlineStr">
        <is>
          <t>40-25-1.6-ERW 1-FC-0.56</t>
        </is>
      </c>
      <c r="J100" t="n">
        <v>0.5600000000000001</v>
      </c>
      <c r="K100" t="inlineStr">
        <is>
          <t>CTL</t>
        </is>
      </c>
    </row>
    <row r="101" hidden="1" s="584">
      <c r="A101" t="n">
        <v>1940823</v>
      </c>
      <c r="B101" t="inlineStr">
        <is>
          <t>TUB-R-AW-RHS-40.00X25.00X1.600X0.5600</t>
        </is>
      </c>
      <c r="C101" t="n">
        <v>0.001474</v>
      </c>
      <c r="D101" t="n">
        <v>789</v>
      </c>
      <c r="E101" t="inlineStr">
        <is>
          <t>ELKAYEM AUTO ANCILLARIES PRIVATE LI</t>
        </is>
      </c>
      <c r="F101" t="n">
        <v>647</v>
      </c>
      <c r="G101" t="inlineStr">
        <is>
          <t>TVS</t>
        </is>
      </c>
      <c r="H101" t="inlineStr">
        <is>
          <t>40-25-1.6-ERW 1-FC</t>
        </is>
      </c>
      <c r="I101" t="inlineStr">
        <is>
          <t>40-25-1.6-ERW 1-FC-0.56</t>
        </is>
      </c>
      <c r="J101" t="n">
        <v>0.5600000000000001</v>
      </c>
      <c r="K101" t="inlineStr">
        <is>
          <t>CTL</t>
        </is>
      </c>
    </row>
    <row r="102" hidden="1" s="584">
      <c r="A102" t="n">
        <v>1940823</v>
      </c>
      <c r="B102" t="inlineStr">
        <is>
          <t>TUB-R-AW-RHS-40.00X25.00X1.600X0.5600</t>
        </is>
      </c>
      <c r="C102" t="n">
        <v>0.005906</v>
      </c>
      <c r="D102" t="n">
        <v>789</v>
      </c>
      <c r="E102" t="inlineStr">
        <is>
          <t>ELKAYEM AUTO ANCILLARIES PRIVATE LI</t>
        </is>
      </c>
      <c r="F102" t="n">
        <v>648</v>
      </c>
      <c r="G102" t="inlineStr">
        <is>
          <t>TVS</t>
        </is>
      </c>
      <c r="H102" t="inlineStr">
        <is>
          <t>40-25-1.6-ERW 1-FC</t>
        </is>
      </c>
      <c r="I102" t="inlineStr">
        <is>
          <t>40-25-1.6-ERW 1-FC-0.56</t>
        </is>
      </c>
      <c r="J102" t="n">
        <v>0.5600000000000001</v>
      </c>
      <c r="K102" t="inlineStr">
        <is>
          <t>CTL</t>
        </is>
      </c>
    </row>
    <row r="103" hidden="1" s="584">
      <c r="A103" t="n">
        <v>2427711</v>
      </c>
      <c r="B103" t="inlineStr">
        <is>
          <t>TUB-O-N-AUT-AW-PE-19.05X2.300X0.2850</t>
        </is>
      </c>
      <c r="C103" t="n">
        <v>0.010623</v>
      </c>
      <c r="D103" t="n">
        <v>789</v>
      </c>
      <c r="E103" t="inlineStr">
        <is>
          <t>ELKAYEM AUTO ANCILLARIES PRIVATE LI</t>
        </is>
      </c>
      <c r="F103" t="n">
        <v>156</v>
      </c>
      <c r="G103" t="inlineStr">
        <is>
          <t>TVS</t>
        </is>
      </c>
      <c r="H103" t="inlineStr">
        <is>
          <t>19.05-0-2.3-ERW 1-PE</t>
        </is>
      </c>
      <c r="I103" t="inlineStr">
        <is>
          <t>19.05-0-2.3-ERW 1-PE-0.285</t>
        </is>
      </c>
      <c r="J103" t="n">
        <v>0.285</v>
      </c>
      <c r="K103" t="inlineStr">
        <is>
          <t>CTL</t>
        </is>
      </c>
    </row>
    <row r="104" hidden="1" s="584">
      <c r="A104" t="n">
        <v>1940715</v>
      </c>
      <c r="B104" t="inlineStr">
        <is>
          <t>TUB-O-O-AUT-AW-FC-34.93X2.500X1.7210</t>
        </is>
      </c>
      <c r="C104" t="n">
        <v>0.89466</v>
      </c>
      <c r="D104" t="n">
        <v>789</v>
      </c>
      <c r="E104" t="inlineStr">
        <is>
          <t>ELKAYEM AUTO ANCILLARIES PVT LTD -U</t>
        </is>
      </c>
      <c r="F104" t="n">
        <v>8</v>
      </c>
      <c r="G104" t="inlineStr">
        <is>
          <t>TVS</t>
        </is>
      </c>
      <c r="H104" t="inlineStr">
        <is>
          <t>34.93-0-2.6-ERW 1-FC</t>
        </is>
      </c>
      <c r="I104" t="inlineStr">
        <is>
          <t>34.93-0-2.6-ERW 1-FC-1.721</t>
        </is>
      </c>
      <c r="J104" t="n">
        <v>1.721</v>
      </c>
      <c r="K104" t="inlineStr">
        <is>
          <t>CTL</t>
        </is>
      </c>
    </row>
    <row r="105" hidden="1" s="584">
      <c r="A105" t="n">
        <v>1940715</v>
      </c>
      <c r="B105" t="inlineStr">
        <is>
          <t>TUB-O-O-AUT-AW-FC-34.93X2.500X1.7210</t>
        </is>
      </c>
      <c r="C105" t="n">
        <v>1.618</v>
      </c>
      <c r="D105" t="n">
        <v>789</v>
      </c>
      <c r="E105" t="inlineStr">
        <is>
          <t>ELKAYEM AUTO ANCILLARIES PVT LTD -U</t>
        </is>
      </c>
      <c r="F105" t="n">
        <v>508</v>
      </c>
      <c r="G105" t="inlineStr">
        <is>
          <t>TVS</t>
        </is>
      </c>
      <c r="H105" t="inlineStr">
        <is>
          <t>34.93-0-2.6-ERW 1-FC</t>
        </is>
      </c>
      <c r="I105" t="inlineStr">
        <is>
          <t>34.93-0-2.6-ERW 1-FC-1.721</t>
        </is>
      </c>
      <c r="J105" t="n">
        <v>1.721</v>
      </c>
      <c r="K105" t="inlineStr">
        <is>
          <t>CTL</t>
        </is>
      </c>
    </row>
    <row r="106" hidden="1" s="584">
      <c r="A106" t="n">
        <v>1940715</v>
      </c>
      <c r="B106" t="inlineStr">
        <is>
          <t>TUB-O-O-AUT-AW-FC-34.93X2.500X1.7210</t>
        </is>
      </c>
      <c r="C106" t="n">
        <v>0.5679999999999999</v>
      </c>
      <c r="D106" t="n">
        <v>789</v>
      </c>
      <c r="E106" t="inlineStr">
        <is>
          <t>ELKAYEM AUTO ANCILLARIES PVT LTD -U</t>
        </is>
      </c>
      <c r="F106" t="n">
        <v>509</v>
      </c>
      <c r="G106" t="inlineStr">
        <is>
          <t>TVS</t>
        </is>
      </c>
      <c r="H106" t="inlineStr">
        <is>
          <t>34.93-0-2.6-ERW 1-FC</t>
        </is>
      </c>
      <c r="I106" t="inlineStr">
        <is>
          <t>34.93-0-2.6-ERW 1-FC-1.721</t>
        </is>
      </c>
      <c r="J106" t="n">
        <v>1.721</v>
      </c>
      <c r="K106" t="inlineStr">
        <is>
          <t>CTL</t>
        </is>
      </c>
    </row>
    <row r="107" hidden="1" s="584">
      <c r="A107" t="n">
        <v>1940715</v>
      </c>
      <c r="B107" t="inlineStr">
        <is>
          <t>TUB-O-O-AUT-AW-FC-34.93X2.500X1.7210</t>
        </is>
      </c>
      <c r="C107" t="n">
        <v>0.43</v>
      </c>
      <c r="D107" t="n">
        <v>789</v>
      </c>
      <c r="E107" t="inlineStr">
        <is>
          <t>ELKAYEM AUTO ANCILLARIES PVT LTD -U</t>
        </is>
      </c>
      <c r="F107" t="n">
        <v>510</v>
      </c>
      <c r="G107" t="inlineStr">
        <is>
          <t>TVS</t>
        </is>
      </c>
      <c r="H107" t="inlineStr">
        <is>
          <t>34.93-0-2.6-ERW 1-FC</t>
        </is>
      </c>
      <c r="I107" t="inlineStr">
        <is>
          <t>34.93-0-2.6-ERW 1-FC-1.721</t>
        </is>
      </c>
      <c r="J107" t="n">
        <v>1.721</v>
      </c>
      <c r="K107" t="inlineStr">
        <is>
          <t>CTL</t>
        </is>
      </c>
    </row>
    <row r="108" hidden="1" s="584">
      <c r="A108" t="n">
        <v>1940715</v>
      </c>
      <c r="B108" t="inlineStr">
        <is>
          <t>TUB-O-O-AUT-AW-FC-34.93X2.500X1.7210</t>
        </is>
      </c>
      <c r="C108" t="n">
        <v>0.403142</v>
      </c>
      <c r="D108" t="n">
        <v>789</v>
      </c>
      <c r="E108" t="inlineStr">
        <is>
          <t>ELKAYEM AUTO ANCILLARIES PVT LTD -U</t>
        </is>
      </c>
      <c r="F108" t="n">
        <v>638</v>
      </c>
      <c r="G108" t="inlineStr">
        <is>
          <t>TVS</t>
        </is>
      </c>
      <c r="H108" t="inlineStr">
        <is>
          <t>34.93-0-2.6-ERW 1-FC</t>
        </is>
      </c>
      <c r="I108" t="inlineStr">
        <is>
          <t>34.93-0-2.6-ERW 1-FC-1.721</t>
        </is>
      </c>
      <c r="J108" t="n">
        <v>1.721</v>
      </c>
      <c r="K108" t="inlineStr">
        <is>
          <t>CTL</t>
        </is>
      </c>
    </row>
    <row r="109" hidden="1" s="584">
      <c r="A109" t="n">
        <v>1940715</v>
      </c>
      <c r="B109" t="inlineStr">
        <is>
          <t>TUB-O-O-AUT-AW-FC-34.93X2.500X1.7210</t>
        </is>
      </c>
      <c r="C109" t="n">
        <v>0.258</v>
      </c>
      <c r="D109" t="n">
        <v>789</v>
      </c>
      <c r="E109" t="inlineStr">
        <is>
          <t>ELKAYEM AUTO ANCILLARIES PVT LTD -U</t>
        </is>
      </c>
      <c r="F109" t="n">
        <v>639</v>
      </c>
      <c r="G109" t="inlineStr">
        <is>
          <t>TVS</t>
        </is>
      </c>
      <c r="H109" t="inlineStr">
        <is>
          <t>34.93-0-2.6-ERW 1-FC</t>
        </is>
      </c>
      <c r="I109" t="inlineStr">
        <is>
          <t>34.93-0-2.6-ERW 1-FC-1.721</t>
        </is>
      </c>
      <c r="J109" t="n">
        <v>1.721</v>
      </c>
      <c r="K109" t="inlineStr">
        <is>
          <t>CTL</t>
        </is>
      </c>
    </row>
    <row r="110" hidden="1" s="584">
      <c r="A110" t="n">
        <v>1940715</v>
      </c>
      <c r="B110" t="inlineStr">
        <is>
          <t>TUB-O-O-AUT-AW-FC-34.93X2.500X1.7210</t>
        </is>
      </c>
      <c r="C110" t="n">
        <v>0.03491</v>
      </c>
      <c r="D110" t="n">
        <v>789</v>
      </c>
      <c r="E110" t="inlineStr">
        <is>
          <t>ELKAYEM AUTO ANCILLARIES PVT LTD -U</t>
        </is>
      </c>
      <c r="F110" t="n">
        <v>640</v>
      </c>
      <c r="G110" t="inlineStr">
        <is>
          <t>TVS</t>
        </is>
      </c>
      <c r="H110" t="inlineStr">
        <is>
          <t>34.93-0-2.6-ERW 1-FC</t>
        </is>
      </c>
      <c r="I110" t="inlineStr">
        <is>
          <t>34.93-0-2.6-ERW 1-FC-1.721</t>
        </is>
      </c>
      <c r="J110" t="n">
        <v>1.721</v>
      </c>
      <c r="K110" t="inlineStr">
        <is>
          <t>CTL</t>
        </is>
      </c>
    </row>
    <row r="111" hidden="1" s="584">
      <c r="A111" t="n">
        <v>1940715</v>
      </c>
      <c r="B111" t="inlineStr">
        <is>
          <t>TUB-O-O-AUT-AW-FC-34.93X2.500X1.7210</t>
        </is>
      </c>
      <c r="C111" t="n">
        <v>0.861</v>
      </c>
      <c r="D111" t="n">
        <v>789</v>
      </c>
      <c r="E111" t="inlineStr">
        <is>
          <t>ELKAYEM AUTO ANCILLARIES PVT LTD -U</t>
        </is>
      </c>
      <c r="F111" t="n">
        <v>641</v>
      </c>
      <c r="G111" t="inlineStr">
        <is>
          <t>TVS</t>
        </is>
      </c>
      <c r="H111" t="inlineStr">
        <is>
          <t>34.93-0-2.6-ERW 1-FC</t>
        </is>
      </c>
      <c r="I111" t="inlineStr">
        <is>
          <t>34.93-0-2.6-ERW 1-FC-1.721</t>
        </is>
      </c>
      <c r="J111" t="n">
        <v>1.721</v>
      </c>
      <c r="K111" t="inlineStr">
        <is>
          <t>CTL</t>
        </is>
      </c>
    </row>
    <row r="112" hidden="1" s="584">
      <c r="A112" t="n">
        <v>1940715</v>
      </c>
      <c r="B112" t="inlineStr">
        <is>
          <t>TUB-O-O-AUT-AW-FC-34.93X2.500X1.7210</t>
        </is>
      </c>
      <c r="C112" t="n">
        <v>0.344</v>
      </c>
      <c r="D112" t="n">
        <v>789</v>
      </c>
      <c r="E112" t="inlineStr">
        <is>
          <t>ELKAYEM AUTO ANCILLARIES PVT LTD -U</t>
        </is>
      </c>
      <c r="F112" t="n">
        <v>642</v>
      </c>
      <c r="G112" t="inlineStr">
        <is>
          <t>TVS</t>
        </is>
      </c>
      <c r="H112" t="inlineStr">
        <is>
          <t>34.93-0-2.6-ERW 1-FC</t>
        </is>
      </c>
      <c r="I112" t="inlineStr">
        <is>
          <t>34.93-0-2.6-ERW 1-FC-1.721</t>
        </is>
      </c>
      <c r="J112" t="n">
        <v>1.721</v>
      </c>
      <c r="K112" t="inlineStr">
        <is>
          <t>CTL</t>
        </is>
      </c>
    </row>
    <row r="113" hidden="1" s="584">
      <c r="A113" t="n">
        <v>1940715</v>
      </c>
      <c r="B113" t="inlineStr">
        <is>
          <t>TUB-O-O-AUT-AW-FC-34.93X2.500X1.7210</t>
        </is>
      </c>
      <c r="C113" t="n">
        <v>0.661</v>
      </c>
      <c r="D113" t="n">
        <v>789</v>
      </c>
      <c r="E113" t="inlineStr">
        <is>
          <t>ELKAYEM AUTO ANCILLARIES PVT LTD -U</t>
        </is>
      </c>
      <c r="F113" t="n">
        <v>643</v>
      </c>
      <c r="G113" t="inlineStr">
        <is>
          <t>TVS</t>
        </is>
      </c>
      <c r="H113" t="inlineStr">
        <is>
          <t>34.93-0-2.6-ERW 1-FC</t>
        </is>
      </c>
      <c r="I113" t="inlineStr">
        <is>
          <t>34.93-0-2.6-ERW 1-FC-1.721</t>
        </is>
      </c>
      <c r="J113" t="n">
        <v>1.721</v>
      </c>
      <c r="K113" t="inlineStr">
        <is>
          <t>CTL</t>
        </is>
      </c>
    </row>
    <row r="114" hidden="1" s="584">
      <c r="A114" t="n">
        <v>1940454</v>
      </c>
      <c r="B114" t="inlineStr">
        <is>
          <t>TUB-O-O-AUT-AW-PE-22.23X2.000X0.7050</t>
        </is>
      </c>
      <c r="C114" t="n">
        <v>0.017</v>
      </c>
      <c r="D114" t="n">
        <v>789</v>
      </c>
      <c r="E114" t="inlineStr">
        <is>
          <t>ELKAYEM AUTO ANCILLARIES PVT LTD -U</t>
        </is>
      </c>
      <c r="F114" t="n">
        <v>110</v>
      </c>
      <c r="G114" t="inlineStr">
        <is>
          <t>TVS</t>
        </is>
      </c>
      <c r="H114" t="inlineStr">
        <is>
          <t>22.23-0-2-ERW 1-PE</t>
        </is>
      </c>
      <c r="I114" t="inlineStr">
        <is>
          <t>22.23-0-2-ERW 1-PE-0.705</t>
        </is>
      </c>
      <c r="J114" t="n">
        <v>0.705</v>
      </c>
      <c r="K114" t="inlineStr">
        <is>
          <t>CTL</t>
        </is>
      </c>
    </row>
    <row r="115" hidden="1" s="584">
      <c r="A115" t="n">
        <v>2256593</v>
      </c>
      <c r="B115" t="inlineStr">
        <is>
          <t>TUB-O-N-AUT-AW-FC-31.75X1.200X0.2100</t>
        </is>
      </c>
      <c r="C115" t="n">
        <v>0.32</v>
      </c>
      <c r="D115" t="n">
        <v>789</v>
      </c>
      <c r="E115" t="inlineStr">
        <is>
          <t>SANDHAR ENGINEERING PVT LTD.(KA) -U</t>
        </is>
      </c>
      <c r="F115" t="n">
        <v>11</v>
      </c>
      <c r="G115" t="inlineStr">
        <is>
          <t>TVS</t>
        </is>
      </c>
      <c r="H115" t="inlineStr">
        <is>
          <t>31.75-0-1.2-ERW 1-FC</t>
        </is>
      </c>
      <c r="I115" t="inlineStr">
        <is>
          <t>31.75-0-1.2-ERW 1-FC-0.21</t>
        </is>
      </c>
      <c r="J115" t="n">
        <v>0.21</v>
      </c>
      <c r="K115" t="inlineStr">
        <is>
          <t>CTL</t>
        </is>
      </c>
    </row>
    <row r="116" hidden="1" s="584">
      <c r="A116" t="n">
        <v>2256593</v>
      </c>
      <c r="B116" t="inlineStr">
        <is>
          <t>TUB-O-N-AUT-AW-FC-31.75X1.200X0.2100</t>
        </is>
      </c>
      <c r="C116" t="n">
        <v>0.00046</v>
      </c>
      <c r="D116" t="n">
        <v>789</v>
      </c>
      <c r="E116" t="inlineStr">
        <is>
          <t>SANDHAR ENGINEERING PVT LTD.(KA) -U</t>
        </is>
      </c>
      <c r="F116" t="n">
        <v>984</v>
      </c>
      <c r="G116" t="inlineStr">
        <is>
          <t>TVS</t>
        </is>
      </c>
      <c r="H116" t="inlineStr">
        <is>
          <t>31.75-0-1.2-ERW 1-FC</t>
        </is>
      </c>
      <c r="I116" t="inlineStr">
        <is>
          <t>31.75-0-1.2-ERW 1-FC-0.21</t>
        </is>
      </c>
      <c r="J116" t="n">
        <v>0.21</v>
      </c>
      <c r="K116" t="inlineStr">
        <is>
          <t>CTL</t>
        </is>
      </c>
    </row>
    <row r="117" hidden="1" s="584">
      <c r="A117" t="n">
        <v>3230758</v>
      </c>
      <c r="B117" t="inlineStr">
        <is>
          <t>TUB-O-N-AUT-AW-FC-25.40X2.000X5.8600</t>
        </is>
      </c>
      <c r="C117" t="n">
        <v>0.6879999999999999</v>
      </c>
      <c r="D117" t="n">
        <v>789</v>
      </c>
      <c r="E117" t="inlineStr">
        <is>
          <t>SANDHAR ENGINEERING PVT LTD.(KA) -U</t>
        </is>
      </c>
      <c r="F117" t="n">
        <v>23</v>
      </c>
      <c r="G117" t="inlineStr">
        <is>
          <t>TVS</t>
        </is>
      </c>
      <c r="H117" t="inlineStr">
        <is>
          <t>25.4-0-2-ERW 1-FC</t>
        </is>
      </c>
      <c r="J117" t="n">
        <v>5.86</v>
      </c>
      <c r="K117" t="inlineStr">
        <is>
          <t>LL</t>
        </is>
      </c>
    </row>
    <row r="118" hidden="1" s="584">
      <c r="A118" t="n">
        <v>3230758</v>
      </c>
      <c r="B118" t="inlineStr">
        <is>
          <t>TUB-O-N-AUT-AW-FC-25.40X2.000X5.8600</t>
        </is>
      </c>
      <c r="C118" t="n">
        <v>3.171</v>
      </c>
      <c r="D118" t="n">
        <v>4731</v>
      </c>
      <c r="E118" t="inlineStr">
        <is>
          <t>SANDHAR ENGINEERING PVT LTD.(KA) -U</t>
        </is>
      </c>
      <c r="F118" t="n">
        <v>1417</v>
      </c>
      <c r="G118" t="inlineStr">
        <is>
          <t>TVS</t>
        </is>
      </c>
      <c r="H118" t="inlineStr">
        <is>
          <t>25.4-0-2-ERW 1-FC</t>
        </is>
      </c>
      <c r="J118" t="n">
        <v>5.86</v>
      </c>
      <c r="K118" t="inlineStr">
        <is>
          <t>LL</t>
        </is>
      </c>
    </row>
    <row r="119" hidden="1" s="584">
      <c r="A119" t="n">
        <v>3230758</v>
      </c>
      <c r="B119" t="inlineStr">
        <is>
          <t>TUB-O-N-AUT-AW-FC-25.40X2.000X5.8600</t>
        </is>
      </c>
      <c r="C119" t="n">
        <v>2.524</v>
      </c>
      <c r="D119" t="n">
        <v>4731</v>
      </c>
      <c r="E119" t="inlineStr">
        <is>
          <t>SANDHAR ENGINEERING PVT LTD.(KA) -U</t>
        </is>
      </c>
      <c r="F119" t="n">
        <v>1418</v>
      </c>
      <c r="G119" t="inlineStr">
        <is>
          <t>TVS</t>
        </is>
      </c>
      <c r="H119" t="inlineStr">
        <is>
          <t>25.4-0-2-ERW 1-FC</t>
        </is>
      </c>
      <c r="J119" t="n">
        <v>5.86</v>
      </c>
      <c r="K119" t="inlineStr">
        <is>
          <t>LL</t>
        </is>
      </c>
    </row>
    <row r="120" hidden="1" s="584">
      <c r="A120" t="n">
        <v>3230758</v>
      </c>
      <c r="B120" t="inlineStr">
        <is>
          <t>TUB-O-N-AUT-AW-FC-25.40X2.000X5.8600</t>
        </is>
      </c>
      <c r="C120" t="n">
        <v>2.512</v>
      </c>
      <c r="D120" t="n">
        <v>4731</v>
      </c>
      <c r="E120" t="inlineStr">
        <is>
          <t>SANDHAR ENGINEERING PVT LTD.(KA) -U</t>
        </is>
      </c>
      <c r="F120" t="n">
        <v>1419</v>
      </c>
      <c r="G120" t="inlineStr">
        <is>
          <t>TVS</t>
        </is>
      </c>
      <c r="H120" t="inlineStr">
        <is>
          <t>25.4-0-2-ERW 1-FC</t>
        </is>
      </c>
      <c r="J120" t="n">
        <v>5.86</v>
      </c>
      <c r="K120" t="inlineStr">
        <is>
          <t>LL</t>
        </is>
      </c>
    </row>
    <row r="121" hidden="1" s="584">
      <c r="A121" t="n">
        <v>3230758</v>
      </c>
      <c r="B121" t="inlineStr">
        <is>
          <t>TUB-O-N-AUT-AW-FC-25.40X2.000X5.8600</t>
        </is>
      </c>
      <c r="C121" t="n">
        <v>1.844</v>
      </c>
      <c r="D121" t="n">
        <v>4731</v>
      </c>
      <c r="E121" t="inlineStr">
        <is>
          <t>SANDHAR ENGINEERING PVT LTD.(KA) -U</t>
        </is>
      </c>
      <c r="F121" t="n">
        <v>1420</v>
      </c>
      <c r="G121" t="inlineStr">
        <is>
          <t>TVS</t>
        </is>
      </c>
      <c r="H121" t="inlineStr">
        <is>
          <t>25.4-0-2-ERW 1-FC</t>
        </is>
      </c>
      <c r="J121" t="n">
        <v>5.86</v>
      </c>
      <c r="K121" t="inlineStr">
        <is>
          <t>LL</t>
        </is>
      </c>
    </row>
    <row r="122" hidden="1" s="584">
      <c r="A122" t="n">
        <v>2363145</v>
      </c>
      <c r="B122" t="inlineStr">
        <is>
          <t>TUB-O-C-AUT-AN-FC-14.00X2.450X5.0000</t>
        </is>
      </c>
      <c r="C122" t="n">
        <v>2.027</v>
      </c>
      <c r="D122" t="inlineStr">
        <is>
          <t>0788</t>
        </is>
      </c>
      <c r="E122" t="inlineStr">
        <is>
          <t>Neel Metal Products Limited</t>
        </is>
      </c>
      <c r="F122" t="n">
        <v>2079</v>
      </c>
      <c r="G122" t="inlineStr">
        <is>
          <t>TVS</t>
        </is>
      </c>
      <c r="H122" t="inlineStr">
        <is>
          <t>14-0-2.45-CEW-CEW</t>
        </is>
      </c>
      <c r="I122" t="inlineStr">
        <is>
          <t>14-0-2.45-CEW-CEW-1</t>
        </is>
      </c>
      <c r="J122" t="n">
        <v>5</v>
      </c>
      <c r="K122" t="inlineStr">
        <is>
          <t>LL</t>
        </is>
      </c>
    </row>
    <row r="123" hidden="1" s="584">
      <c r="A123" t="n">
        <v>3586640</v>
      </c>
      <c r="B123" t="inlineStr">
        <is>
          <t>TUB-O-N-AUT-AW-PE-22.23X2.000X5.7500</t>
        </is>
      </c>
      <c r="C123" t="n">
        <v>0.560241</v>
      </c>
      <c r="D123" t="n">
        <v>789</v>
      </c>
      <c r="E123" t="inlineStr">
        <is>
          <t>SANDHAR ENGINEERING PVT LTD.(KA) -U</t>
        </is>
      </c>
      <c r="F123" t="n">
        <v>40</v>
      </c>
      <c r="G123" t="inlineStr">
        <is>
          <t>TVS</t>
        </is>
      </c>
      <c r="H123" t="inlineStr">
        <is>
          <t>22.23-0-2-ERW 1-PE</t>
        </is>
      </c>
      <c r="I123" t="inlineStr">
        <is>
          <t>22.23-0-2-ERW 1-PE-1</t>
        </is>
      </c>
      <c r="J123" t="n">
        <v>5.75</v>
      </c>
      <c r="K123" t="inlineStr">
        <is>
          <t>LL</t>
        </is>
      </c>
    </row>
    <row r="124" hidden="1" s="584">
      <c r="A124" t="n">
        <v>3863198</v>
      </c>
      <c r="B124" t="inlineStr">
        <is>
          <t>TUB-O-N-AUT-AW-FC-38.10X2.000X5.0300</t>
        </is>
      </c>
      <c r="C124" t="n">
        <v>2.811</v>
      </c>
      <c r="D124" t="n">
        <v>789</v>
      </c>
      <c r="E124" t="inlineStr">
        <is>
          <t>SANDHAR ENGINEERING PVT LTD.(KA) -U</t>
        </is>
      </c>
      <c r="F124" t="n">
        <v>49</v>
      </c>
      <c r="G124" t="inlineStr">
        <is>
          <t>TVS</t>
        </is>
      </c>
      <c r="H124" t="inlineStr">
        <is>
          <t>38.1-0-2-ERW 1-FC</t>
        </is>
      </c>
      <c r="I124" t="inlineStr">
        <is>
          <t>38.1-0-2-ERW 1-FC-1</t>
        </is>
      </c>
      <c r="J124" t="n">
        <v>5.03</v>
      </c>
      <c r="K124" t="inlineStr">
        <is>
          <t>LL</t>
        </is>
      </c>
    </row>
    <row r="125" hidden="1" s="584">
      <c r="A125" t="n">
        <v>3863198</v>
      </c>
      <c r="B125" t="inlineStr">
        <is>
          <t>TUB-O-N-AUT-AW-FC-38.10X2.000X5.0300</t>
        </is>
      </c>
      <c r="C125" t="n">
        <v>2.631</v>
      </c>
      <c r="D125" t="n">
        <v>789</v>
      </c>
      <c r="E125" t="inlineStr">
        <is>
          <t>SANDHAR ENGINEERING PVT LTD.(KA) -U</t>
        </is>
      </c>
      <c r="F125" t="n">
        <v>50</v>
      </c>
      <c r="G125" t="inlineStr">
        <is>
          <t>TVS</t>
        </is>
      </c>
      <c r="H125" t="inlineStr">
        <is>
          <t>38.1-0-2-ERW 1-FC</t>
        </is>
      </c>
      <c r="I125" t="inlineStr">
        <is>
          <t>38.1-0-2-ERW 1-FC-1</t>
        </is>
      </c>
      <c r="J125" t="n">
        <v>5.03</v>
      </c>
      <c r="K125" t="inlineStr">
        <is>
          <t>LL</t>
        </is>
      </c>
    </row>
    <row r="126" hidden="1" s="584">
      <c r="A126" t="n">
        <v>1941846</v>
      </c>
      <c r="B126" t="inlineStr">
        <is>
          <t>TUB-E-O-AUT-AW-FC-15.88X1.000X1.6030</t>
        </is>
      </c>
      <c r="C126" t="n">
        <v>0.003464</v>
      </c>
      <c r="D126" t="n">
        <v>789</v>
      </c>
      <c r="E126" t="inlineStr">
        <is>
          <t>Marathwada Auto Compo Pvt. Ltd.</t>
        </is>
      </c>
      <c r="F126" t="n">
        <v>981</v>
      </c>
      <c r="G126" t="inlineStr">
        <is>
          <t>TVS</t>
        </is>
      </c>
      <c r="H126" t="inlineStr">
        <is>
          <t>15.88-0-1-ERW 1-PE</t>
        </is>
      </c>
      <c r="I126" t="inlineStr">
        <is>
          <t>15.88-0-1-ERW 1-PE-1.603</t>
        </is>
      </c>
      <c r="J126" t="n">
        <v>1.603</v>
      </c>
      <c r="K126" t="inlineStr">
        <is>
          <t>CTL</t>
        </is>
      </c>
    </row>
    <row r="127" hidden="1" s="584">
      <c r="A127" t="n">
        <v>1941846</v>
      </c>
      <c r="B127" t="inlineStr">
        <is>
          <t>TUB-E-O-AUT-AW-FC-15.88X1.000X1.6030</t>
        </is>
      </c>
      <c r="C127" t="n">
        <v>0.00644</v>
      </c>
      <c r="D127" t="n">
        <v>789</v>
      </c>
      <c r="E127" t="inlineStr">
        <is>
          <t>Marathwada Auto Compo Pvt. Ltd.</t>
        </is>
      </c>
      <c r="F127" t="n">
        <v>982</v>
      </c>
      <c r="G127" t="inlineStr">
        <is>
          <t>TVS</t>
        </is>
      </c>
      <c r="H127" t="inlineStr">
        <is>
          <t>15.88-0-1-ERW 1-PE</t>
        </is>
      </c>
      <c r="I127" t="inlineStr">
        <is>
          <t>15.88-0-1-ERW 1-PE-1.603</t>
        </is>
      </c>
      <c r="J127" t="n">
        <v>1.603</v>
      </c>
      <c r="K127" t="inlineStr">
        <is>
          <t>CTL</t>
        </is>
      </c>
    </row>
    <row r="128" hidden="1" s="584">
      <c r="A128" t="n">
        <v>1941846</v>
      </c>
      <c r="B128" t="inlineStr">
        <is>
          <t>TUB-E-O-AUT-AW-FC-15.88X1.000X1.6030</t>
        </is>
      </c>
      <c r="C128" t="n">
        <v>0.1045</v>
      </c>
      <c r="D128" t="n">
        <v>789</v>
      </c>
      <c r="E128" t="inlineStr">
        <is>
          <t>Marathwada Auto Compo Pvt. Ltd.</t>
        </is>
      </c>
      <c r="F128" t="n">
        <v>983</v>
      </c>
      <c r="G128" t="inlineStr">
        <is>
          <t>TVS</t>
        </is>
      </c>
      <c r="H128" t="inlineStr">
        <is>
          <t>15.88-0-1-ERW 1-PE</t>
        </is>
      </c>
      <c r="I128" t="inlineStr">
        <is>
          <t>15.88-0-1-ERW 1-PE-1.603</t>
        </is>
      </c>
      <c r="J128" t="n">
        <v>1.603</v>
      </c>
      <c r="K128" t="inlineStr">
        <is>
          <t>CTL</t>
        </is>
      </c>
    </row>
    <row r="129" hidden="1" s="584">
      <c r="A129" t="n">
        <v>3672607</v>
      </c>
      <c r="B129" t="inlineStr">
        <is>
          <t>TUB-O-N-AUT-AW-PE-15.88X1.000X1.7150</t>
        </is>
      </c>
      <c r="C129" t="n">
        <v>0.09735000000000001</v>
      </c>
      <c r="D129" t="n">
        <v>789</v>
      </c>
      <c r="E129" t="inlineStr">
        <is>
          <t>Marathwada Auto Compo Pvt. Ltd.</t>
        </is>
      </c>
      <c r="F129" t="n">
        <v>205</v>
      </c>
      <c r="G129" t="inlineStr">
        <is>
          <t>TVS</t>
        </is>
      </c>
      <c r="H129" t="inlineStr">
        <is>
          <t>15.88-0-1-ERW 1-PE</t>
        </is>
      </c>
      <c r="I129" t="inlineStr">
        <is>
          <t>15.88-0-1-ERW 1-PE-1.715</t>
        </is>
      </c>
      <c r="J129" t="n">
        <v>1.715</v>
      </c>
      <c r="K129" t="inlineStr">
        <is>
          <t>CTL</t>
        </is>
      </c>
    </row>
    <row r="130" hidden="1" s="584">
      <c r="A130" t="n">
        <v>1940247</v>
      </c>
      <c r="B130" t="inlineStr">
        <is>
          <t>TUB-O-O-AUT-AW-PE-19.05X1.600X0.5950</t>
        </is>
      </c>
      <c r="C130" t="n">
        <v>0.00152</v>
      </c>
      <c r="D130" t="n">
        <v>789</v>
      </c>
      <c r="E130" t="inlineStr">
        <is>
          <t>SANDHAR ENGINEERING PVT LTD.(KA) -U</t>
        </is>
      </c>
      <c r="F130" t="n">
        <v>104</v>
      </c>
      <c r="G130" t="inlineStr">
        <is>
          <t>TVS</t>
        </is>
      </c>
      <c r="H130" t="inlineStr">
        <is>
          <t>19.05-0-1.6-ERW 1-PE</t>
        </is>
      </c>
      <c r="I130" t="inlineStr">
        <is>
          <t>19.05-0-1.6-ERW 1-PE-0.595</t>
        </is>
      </c>
      <c r="J130" t="n">
        <v>0.595</v>
      </c>
      <c r="K130" t="inlineStr">
        <is>
          <t>CTL</t>
        </is>
      </c>
    </row>
    <row r="131" hidden="1" s="584">
      <c r="A131" t="n">
        <v>1940247</v>
      </c>
      <c r="B131" t="inlineStr">
        <is>
          <t>TUB-O-O-AUT-AW-PE-19.05X1.600X0.5950</t>
        </is>
      </c>
      <c r="C131" t="n">
        <v>0.672</v>
      </c>
      <c r="D131" t="n">
        <v>789</v>
      </c>
      <c r="E131" t="inlineStr">
        <is>
          <t>SANDHAR ENGINEERING PVT LTD.(KA) -U</t>
        </is>
      </c>
      <c r="F131" t="n">
        <v>573</v>
      </c>
      <c r="G131" t="inlineStr">
        <is>
          <t>TVS</t>
        </is>
      </c>
      <c r="H131" t="inlineStr">
        <is>
          <t>19.05-0-1.6-ERW 1-PE</t>
        </is>
      </c>
      <c r="I131" t="inlineStr">
        <is>
          <t>19.05-0-1.6-ERW 1-PE-0.595</t>
        </is>
      </c>
      <c r="J131" t="n">
        <v>0.595</v>
      </c>
      <c r="K131" t="inlineStr">
        <is>
          <t>CTL</t>
        </is>
      </c>
    </row>
    <row r="132" hidden="1" s="584">
      <c r="A132" t="n">
        <v>1940247</v>
      </c>
      <c r="B132" t="inlineStr">
        <is>
          <t>TUB-O-O-AUT-AW-PE-19.05X1.600X0.5950</t>
        </is>
      </c>
      <c r="C132" t="n">
        <v>0.615</v>
      </c>
      <c r="D132" t="n">
        <v>789</v>
      </c>
      <c r="E132" t="inlineStr">
        <is>
          <t>SANDHAR ENGINEERING PVT LTD.(KA) -U</t>
        </is>
      </c>
      <c r="F132" t="n">
        <v>574</v>
      </c>
      <c r="G132" t="inlineStr">
        <is>
          <t>TVS</t>
        </is>
      </c>
      <c r="H132" t="inlineStr">
        <is>
          <t>19.05-0-1.6-ERW 1-PE</t>
        </is>
      </c>
      <c r="I132" t="inlineStr">
        <is>
          <t>19.05-0-1.6-ERW 1-PE-0.595</t>
        </is>
      </c>
      <c r="J132" t="n">
        <v>0.595</v>
      </c>
      <c r="K132" t="inlineStr">
        <is>
          <t>CTL</t>
        </is>
      </c>
    </row>
    <row r="133" hidden="1" s="584">
      <c r="A133" t="n">
        <v>3672606</v>
      </c>
      <c r="B133" t="inlineStr">
        <is>
          <t>TUB-O-N-AUT-AW-PE-15.88X1.000X1.7450</t>
        </is>
      </c>
      <c r="C133" t="n">
        <v>0.001456</v>
      </c>
      <c r="D133" t="n">
        <v>789</v>
      </c>
      <c r="E133" t="inlineStr">
        <is>
          <t>Marathwada Auto Compo Pvt. Ltd.</t>
        </is>
      </c>
      <c r="F133" t="n">
        <v>351</v>
      </c>
      <c r="G133" t="inlineStr">
        <is>
          <t>TVS</t>
        </is>
      </c>
      <c r="H133" t="inlineStr">
        <is>
          <t>15.88-0-1-ERW 1-PE</t>
        </is>
      </c>
      <c r="I133" t="inlineStr">
        <is>
          <t>15.88-0-1-ERW 1-PE-1.745</t>
        </is>
      </c>
      <c r="J133" t="n">
        <v>1.745</v>
      </c>
      <c r="K133" t="inlineStr">
        <is>
          <t>CTL</t>
        </is>
      </c>
    </row>
    <row r="134" hidden="1" s="584">
      <c r="A134" t="n">
        <v>3672606</v>
      </c>
      <c r="B134" t="inlineStr">
        <is>
          <t>TUB-O-N-AUT-AW-PE-15.88X1.000X1.7450</t>
        </is>
      </c>
      <c r="C134" t="n">
        <v>0.012961</v>
      </c>
      <c r="D134" t="n">
        <v>789</v>
      </c>
      <c r="E134" t="inlineStr">
        <is>
          <t>Marathwada Auto Compo Pvt. Ltd.</t>
        </is>
      </c>
      <c r="F134" t="n">
        <v>352</v>
      </c>
      <c r="G134" t="inlineStr">
        <is>
          <t>TVS</t>
        </is>
      </c>
      <c r="H134" t="inlineStr">
        <is>
          <t>15.88-0-1-ERW 1-PE</t>
        </is>
      </c>
      <c r="I134" t="inlineStr">
        <is>
          <t>15.88-0-1-ERW 1-PE-1.745</t>
        </is>
      </c>
      <c r="J134" t="n">
        <v>1.745</v>
      </c>
      <c r="K134" t="inlineStr">
        <is>
          <t>CTL</t>
        </is>
      </c>
    </row>
    <row r="135" hidden="1" s="584">
      <c r="A135" t="n">
        <v>1941847</v>
      </c>
      <c r="B135" t="inlineStr">
        <is>
          <t>TUB-E-O-AUT-AW-FC-15.88X1.000X2.1850</t>
        </is>
      </c>
      <c r="C135" t="n">
        <v>1.373024</v>
      </c>
      <c r="D135" t="n">
        <v>789</v>
      </c>
      <c r="E135" t="inlineStr">
        <is>
          <t>Marathwada Auto Compo Pvt. Ltd.</t>
        </is>
      </c>
      <c r="F135" t="n">
        <v>439</v>
      </c>
      <c r="G135" t="inlineStr">
        <is>
          <t>TVS</t>
        </is>
      </c>
      <c r="H135" t="inlineStr">
        <is>
          <t>15.88-0-1-ERW 1-PE</t>
        </is>
      </c>
      <c r="I135" t="inlineStr">
        <is>
          <t>15.88-0-1-ERW 1-PE-2.185</t>
        </is>
      </c>
      <c r="J135" t="n">
        <v>2.185</v>
      </c>
      <c r="K135" t="inlineStr">
        <is>
          <t>CTL</t>
        </is>
      </c>
    </row>
    <row r="136" hidden="1" s="584">
      <c r="A136" t="n">
        <v>1941847</v>
      </c>
      <c r="B136" t="inlineStr">
        <is>
          <t>TUB-E-O-AUT-AW-FC-15.88X1.000X2.1850</t>
        </is>
      </c>
      <c r="C136" t="n">
        <v>0.205</v>
      </c>
      <c r="D136" t="n">
        <v>789</v>
      </c>
      <c r="E136" t="inlineStr">
        <is>
          <t>Neel Metal Products Limited</t>
        </is>
      </c>
      <c r="F136" t="n">
        <v>440</v>
      </c>
      <c r="G136" t="inlineStr">
        <is>
          <t>TVS</t>
        </is>
      </c>
      <c r="H136" t="inlineStr">
        <is>
          <t>15.88-0-1-ERW 1-PE</t>
        </is>
      </c>
      <c r="I136" t="inlineStr">
        <is>
          <t>15.88-0-1-ERW 1-PE-2.185</t>
        </is>
      </c>
      <c r="J136" t="n">
        <v>2.185</v>
      </c>
      <c r="K136" t="inlineStr">
        <is>
          <t>CTL</t>
        </is>
      </c>
    </row>
    <row r="137" hidden="1" s="584">
      <c r="A137" t="n">
        <v>1941847</v>
      </c>
      <c r="B137" t="inlineStr">
        <is>
          <t>TUB-E-O-AUT-AW-FC-15.88X1.000X2.1850</t>
        </is>
      </c>
      <c r="C137" t="n">
        <v>0.421</v>
      </c>
      <c r="D137" t="n">
        <v>789</v>
      </c>
      <c r="E137" t="inlineStr">
        <is>
          <t>Marathwada Auto Compo Pvt. Ltd.</t>
        </is>
      </c>
      <c r="F137" t="n">
        <v>1020</v>
      </c>
      <c r="G137" t="inlineStr">
        <is>
          <t>TVS</t>
        </is>
      </c>
      <c r="H137" t="inlineStr">
        <is>
          <t>15.88-0-1-ERW 1-PE</t>
        </is>
      </c>
      <c r="I137" t="inlineStr">
        <is>
          <t>15.88-0-1-ERW 1-PE-2.185</t>
        </is>
      </c>
      <c r="J137" t="n">
        <v>2.185</v>
      </c>
      <c r="K137" t="inlineStr">
        <is>
          <t>CTL</t>
        </is>
      </c>
    </row>
    <row r="138" hidden="1" s="584">
      <c r="A138" t="n">
        <v>1941847</v>
      </c>
      <c r="B138" t="inlineStr">
        <is>
          <t>TUB-E-O-AUT-AW-FC-15.88X1.000X2.1850</t>
        </is>
      </c>
      <c r="C138" t="n">
        <v>0.78235</v>
      </c>
      <c r="D138" t="n">
        <v>789</v>
      </c>
      <c r="E138" t="inlineStr">
        <is>
          <t>Marathwada Auto Compo Pvt. Ltd.</t>
        </is>
      </c>
      <c r="F138" t="n">
        <v>1021</v>
      </c>
      <c r="G138" t="inlineStr">
        <is>
          <t>TVS</t>
        </is>
      </c>
      <c r="H138" t="inlineStr">
        <is>
          <t>15.88-0-1-ERW 1-PE</t>
        </is>
      </c>
      <c r="I138" t="inlineStr">
        <is>
          <t>15.88-0-1-ERW 1-PE-2.185</t>
        </is>
      </c>
      <c r="J138" t="n">
        <v>2.185</v>
      </c>
      <c r="K138" t="inlineStr">
        <is>
          <t>CTL</t>
        </is>
      </c>
    </row>
    <row r="139" hidden="1" s="584">
      <c r="A139" t="n">
        <v>3672608</v>
      </c>
      <c r="B139" t="inlineStr">
        <is>
          <t>TUB-O-N-AUT-AW-PE-15.88X1.000X2.3400</t>
        </is>
      </c>
      <c r="C139" t="n">
        <v>0.005732999999999999</v>
      </c>
      <c r="D139" t="n">
        <v>789</v>
      </c>
      <c r="E139" t="inlineStr">
        <is>
          <t>Marathwada Auto Compo Pvt. Ltd.</t>
        </is>
      </c>
      <c r="F139" t="n">
        <v>469</v>
      </c>
      <c r="G139" t="inlineStr">
        <is>
          <t>TVS</t>
        </is>
      </c>
      <c r="H139" t="inlineStr">
        <is>
          <t>15.88-0-1-ERW 1-PE</t>
        </is>
      </c>
      <c r="I139" t="inlineStr">
        <is>
          <t>15.88-0-1-ERW 1-PE-2.34</t>
        </is>
      </c>
      <c r="J139" t="n">
        <v>2.34</v>
      </c>
      <c r="K139" t="inlineStr">
        <is>
          <t>CTL</t>
        </is>
      </c>
    </row>
    <row r="140" hidden="1" s="584">
      <c r="A140" t="n">
        <v>3672608</v>
      </c>
      <c r="B140" t="inlineStr">
        <is>
          <t>TUB-O-N-AUT-AW-PE-15.88X1.000X2.3400</t>
        </is>
      </c>
      <c r="C140" t="n">
        <v>0.192411</v>
      </c>
      <c r="D140" t="n">
        <v>789</v>
      </c>
      <c r="E140" t="inlineStr">
        <is>
          <t>Marathwada Auto Compo Pvt. Ltd.</t>
        </is>
      </c>
      <c r="F140" t="n">
        <v>470</v>
      </c>
      <c r="G140" t="inlineStr">
        <is>
          <t>TVS</t>
        </is>
      </c>
      <c r="H140" t="inlineStr">
        <is>
          <t>15.88-0-1-ERW 1-PE</t>
        </is>
      </c>
      <c r="I140" t="inlineStr">
        <is>
          <t>15.88-0-1-ERW 1-PE-2.34</t>
        </is>
      </c>
      <c r="J140" t="n">
        <v>2.34</v>
      </c>
      <c r="K140" t="inlineStr">
        <is>
          <t>CTL</t>
        </is>
      </c>
    </row>
    <row r="141" hidden="1" s="584">
      <c r="A141" t="n">
        <v>3672608</v>
      </c>
      <c r="B141" t="inlineStr">
        <is>
          <t>TUB-O-N-AUT-AW-PE-15.88X1.000X2.3400</t>
        </is>
      </c>
      <c r="C141" t="n">
        <v>0.003276</v>
      </c>
      <c r="D141" t="n">
        <v>789</v>
      </c>
      <c r="E141" t="inlineStr">
        <is>
          <t>Marathwada Auto Compo Pvt. Ltd.</t>
        </is>
      </c>
      <c r="F141" t="n">
        <v>471</v>
      </c>
      <c r="G141" t="inlineStr">
        <is>
          <t>TVS</t>
        </is>
      </c>
      <c r="H141" t="inlineStr">
        <is>
          <t>15.88-0-1-ERW 1-PE</t>
        </is>
      </c>
      <c r="I141" t="inlineStr">
        <is>
          <t>15.88-0-1-ERW 1-PE-2.34</t>
        </is>
      </c>
      <c r="J141" t="n">
        <v>2.34</v>
      </c>
      <c r="K141" t="inlineStr">
        <is>
          <t>CTL</t>
        </is>
      </c>
    </row>
    <row r="142" hidden="1" s="584">
      <c r="A142" t="n">
        <v>3672608</v>
      </c>
      <c r="B142" t="inlineStr">
        <is>
          <t>TUB-O-N-AUT-AW-PE-15.88X1.000X2.3400</t>
        </is>
      </c>
      <c r="C142" t="n">
        <v>0.008904</v>
      </c>
      <c r="D142" t="n">
        <v>789</v>
      </c>
      <c r="E142" t="inlineStr">
        <is>
          <t>Marathwada Auto Compo Pvt. Ltd.</t>
        </is>
      </c>
      <c r="F142" t="n">
        <v>472</v>
      </c>
      <c r="G142" t="inlineStr">
        <is>
          <t>TVS</t>
        </is>
      </c>
      <c r="H142" t="inlineStr">
        <is>
          <t>15.88-0-1-ERW 1-PE</t>
        </is>
      </c>
      <c r="I142" t="inlineStr">
        <is>
          <t>15.88-0-1-ERW 1-PE-2.34</t>
        </is>
      </c>
      <c r="J142" t="n">
        <v>2.34</v>
      </c>
      <c r="K142" t="inlineStr">
        <is>
          <t>CTL</t>
        </is>
      </c>
    </row>
    <row r="143" hidden="1" s="584">
      <c r="A143" t="n">
        <v>3541434</v>
      </c>
      <c r="B143" t="inlineStr">
        <is>
          <t>TUB-O-N-AUT-AW-PE-15.88X1.000X2.9050</t>
        </is>
      </c>
      <c r="C143" t="n">
        <v>0.101065</v>
      </c>
      <c r="D143" t="n">
        <v>789</v>
      </c>
      <c r="E143" t="inlineStr">
        <is>
          <t>Neel Metal Products Limited</t>
        </is>
      </c>
      <c r="F143" t="n">
        <v>608</v>
      </c>
      <c r="G143" t="inlineStr">
        <is>
          <t>TVS</t>
        </is>
      </c>
      <c r="H143" t="inlineStr">
        <is>
          <t>15.88-0-1-ERW 1-PE</t>
        </is>
      </c>
      <c r="I143" t="inlineStr">
        <is>
          <t>15.88-0-1-ERW 1-PE-2.905</t>
        </is>
      </c>
      <c r="J143" t="n">
        <v>2.905</v>
      </c>
      <c r="K143" t="inlineStr">
        <is>
          <t>CTL</t>
        </is>
      </c>
    </row>
    <row r="144" hidden="1" s="584">
      <c r="A144" t="n">
        <v>3541434</v>
      </c>
      <c r="B144" t="inlineStr">
        <is>
          <t>TUB-O-N-AUT-AW-PE-15.88X1.000X2.9050</t>
        </is>
      </c>
      <c r="C144" t="n">
        <v>0.349386</v>
      </c>
      <c r="D144" t="n">
        <v>789</v>
      </c>
      <c r="E144" t="inlineStr">
        <is>
          <t>Neel Metal Products Limited</t>
        </is>
      </c>
      <c r="F144" t="n">
        <v>609</v>
      </c>
      <c r="G144" t="inlineStr">
        <is>
          <t>TVS</t>
        </is>
      </c>
      <c r="H144" t="inlineStr">
        <is>
          <t>15.88-0-1-ERW 1-PE</t>
        </is>
      </c>
      <c r="I144" t="inlineStr">
        <is>
          <t>15.88-0-1-ERW 1-PE-2.905</t>
        </is>
      </c>
      <c r="J144" t="n">
        <v>2.905</v>
      </c>
      <c r="K144" t="inlineStr">
        <is>
          <t>CTL</t>
        </is>
      </c>
    </row>
    <row r="145" hidden="1" s="584">
      <c r="A145" t="n">
        <v>3541434</v>
      </c>
      <c r="B145" t="inlineStr">
        <is>
          <t>TUB-O-N-AUT-AW-PE-15.88X1.000X2.9050</t>
        </is>
      </c>
      <c r="C145" t="n">
        <v>0.421</v>
      </c>
      <c r="D145" t="n">
        <v>789</v>
      </c>
      <c r="E145" t="inlineStr">
        <is>
          <t>Neel Metal Products Limited</t>
        </is>
      </c>
      <c r="F145" t="n">
        <v>610</v>
      </c>
      <c r="G145" t="inlineStr">
        <is>
          <t>TVS</t>
        </is>
      </c>
      <c r="H145" t="inlineStr">
        <is>
          <t>15.88-0-1-ERW 1-PE</t>
        </is>
      </c>
      <c r="I145" t="inlineStr">
        <is>
          <t>15.88-0-1-ERW 1-PE-2.905</t>
        </is>
      </c>
      <c r="J145" t="n">
        <v>2.905</v>
      </c>
      <c r="K145" t="inlineStr">
        <is>
          <t>CTL</t>
        </is>
      </c>
    </row>
    <row r="146" hidden="1" s="584">
      <c r="A146" t="n">
        <v>3541434</v>
      </c>
      <c r="B146" t="inlineStr">
        <is>
          <t>TUB-O-N-AUT-AW-PE-15.88X1.000X2.9050</t>
        </is>
      </c>
      <c r="C146" t="n">
        <v>0.608</v>
      </c>
      <c r="D146" t="n">
        <v>789</v>
      </c>
      <c r="E146" t="inlineStr">
        <is>
          <t>Neel Metal Products Limited</t>
        </is>
      </c>
      <c r="F146" t="n">
        <v>611</v>
      </c>
      <c r="G146" t="inlineStr">
        <is>
          <t>TVS</t>
        </is>
      </c>
      <c r="H146" t="inlineStr">
        <is>
          <t>15.88-0-1-ERW 1-PE</t>
        </is>
      </c>
      <c r="I146" t="inlineStr">
        <is>
          <t>15.88-0-1-ERW 1-PE-2.905</t>
        </is>
      </c>
      <c r="J146" t="n">
        <v>2.905</v>
      </c>
      <c r="K146" t="inlineStr">
        <is>
          <t>CTL</t>
        </is>
      </c>
    </row>
    <row r="147" hidden="1" s="584">
      <c r="A147" t="n">
        <v>1940262</v>
      </c>
      <c r="B147" t="inlineStr">
        <is>
          <t>TUB-O-O-AUT-AW-PE-19.05X2.000X0.1040</t>
        </is>
      </c>
      <c r="C147" t="n">
        <v>0.057545</v>
      </c>
      <c r="D147" t="n">
        <v>789</v>
      </c>
      <c r="E147" t="inlineStr">
        <is>
          <t>SRIKAM HITECH ENGINEERING PRIVATE L</t>
        </is>
      </c>
      <c r="F147" t="n">
        <v>105</v>
      </c>
      <c r="G147" t="inlineStr">
        <is>
          <t>TVS</t>
        </is>
      </c>
      <c r="H147" t="inlineStr">
        <is>
          <t>19.05-0-2-ERW 1-PE</t>
        </is>
      </c>
      <c r="I147" t="inlineStr">
        <is>
          <t>19.05-0-2-ERW 1-PE-0.104</t>
        </is>
      </c>
      <c r="J147" t="n">
        <v>0.104</v>
      </c>
      <c r="K147" t="inlineStr">
        <is>
          <t>CTL</t>
        </is>
      </c>
    </row>
    <row r="148" hidden="1" s="584">
      <c r="A148" t="n">
        <v>3929636</v>
      </c>
      <c r="B148" t="inlineStr">
        <is>
          <t>TUB-R-AW-AUT-40.00X20.00X1.600X5.8600</t>
        </is>
      </c>
      <c r="C148" t="n">
        <v>0.274995</v>
      </c>
      <c r="D148" t="n">
        <v>789</v>
      </c>
      <c r="E148" t="inlineStr">
        <is>
          <t>Marathwada Auto Compo Pvt. Ltd.</t>
        </is>
      </c>
      <c r="F148" t="n">
        <v>69</v>
      </c>
      <c r="G148" t="inlineStr">
        <is>
          <t>TVS</t>
        </is>
      </c>
      <c r="H148" t="inlineStr">
        <is>
          <t>40-20-1.6-ERW 1-FC</t>
        </is>
      </c>
      <c r="I148" t="inlineStr">
        <is>
          <t>40-20-1.6-ERW 1-FC-1</t>
        </is>
      </c>
      <c r="J148" t="n">
        <v>5.86</v>
      </c>
      <c r="K148" t="inlineStr">
        <is>
          <t>LL</t>
        </is>
      </c>
    </row>
    <row r="149" hidden="1" s="584">
      <c r="A149" t="n">
        <v>4100177</v>
      </c>
      <c r="B149" t="inlineStr">
        <is>
          <t>TUB-R-AW-AUT-40.00X20.00X1.600X0.3560</t>
        </is>
      </c>
      <c r="C149" t="n">
        <v>4.39038</v>
      </c>
      <c r="D149" t="n">
        <v>789</v>
      </c>
      <c r="E149" t="inlineStr">
        <is>
          <t>Marathwada Auto Compo Pvt. Ltd.</t>
        </is>
      </c>
      <c r="F149" t="n">
        <v>79</v>
      </c>
      <c r="G149" t="inlineStr">
        <is>
          <t>TVS</t>
        </is>
      </c>
      <c r="H149" t="inlineStr">
        <is>
          <t>40-20-1.6-ERW 1-FC</t>
        </is>
      </c>
      <c r="I149" t="inlineStr">
        <is>
          <t>40-20-1.6-ERW 1-FC-0.356</t>
        </is>
      </c>
      <c r="J149" t="n">
        <v>0.356</v>
      </c>
      <c r="K149" t="inlineStr">
        <is>
          <t>CTL</t>
        </is>
      </c>
    </row>
    <row r="150" hidden="1" s="584">
      <c r="A150" t="n">
        <v>4100177</v>
      </c>
      <c r="B150" t="inlineStr">
        <is>
          <t>TUB-R-AW-AUT-40.00X20.00X1.600X0.3560</t>
        </is>
      </c>
      <c r="C150" t="n">
        <v>1.084617</v>
      </c>
      <c r="D150" t="n">
        <v>789</v>
      </c>
      <c r="E150" t="inlineStr">
        <is>
          <t>Marathwada Auto Compo Pvt. Ltd.</t>
        </is>
      </c>
      <c r="F150" t="n">
        <v>852</v>
      </c>
      <c r="G150" t="inlineStr">
        <is>
          <t>TVS</t>
        </is>
      </c>
      <c r="H150" t="inlineStr">
        <is>
          <t>40-20-1.6-ERW 1-FC</t>
        </is>
      </c>
      <c r="I150" t="inlineStr">
        <is>
          <t>40-20-1.6-ERW 1-FC-0.356</t>
        </is>
      </c>
      <c r="J150" t="n">
        <v>0.356</v>
      </c>
      <c r="K150" t="inlineStr">
        <is>
          <t>CTL</t>
        </is>
      </c>
    </row>
    <row r="151" hidden="1" s="584">
      <c r="A151" t="n">
        <v>4100177</v>
      </c>
      <c r="B151" t="inlineStr">
        <is>
          <t>TUB-R-AW-AUT-40.00X20.00X1.600X0.3560</t>
        </is>
      </c>
      <c r="C151" t="n">
        <v>0.003143</v>
      </c>
      <c r="D151" t="n">
        <v>789</v>
      </c>
      <c r="E151" t="inlineStr">
        <is>
          <t>Marathwada Auto Compo Pvt. Ltd.</t>
        </is>
      </c>
      <c r="F151" t="n">
        <v>853</v>
      </c>
      <c r="G151" t="inlineStr">
        <is>
          <t>TVS</t>
        </is>
      </c>
      <c r="H151" t="inlineStr">
        <is>
          <t>40-20-1.6-ERW 1-FC</t>
        </is>
      </c>
      <c r="I151" t="inlineStr">
        <is>
          <t>40-20-1.6-ERW 1-FC-0.356</t>
        </is>
      </c>
      <c r="J151" t="n">
        <v>0.356</v>
      </c>
      <c r="K151" t="inlineStr">
        <is>
          <t>CTL</t>
        </is>
      </c>
    </row>
    <row r="152" hidden="1" s="584">
      <c r="A152" t="n">
        <v>4100177</v>
      </c>
      <c r="B152" t="inlineStr">
        <is>
          <t>TUB-R-AW-AUT-40.00X20.00X1.600X0.3560</t>
        </is>
      </c>
      <c r="C152" t="n">
        <v>0.08451500000000001</v>
      </c>
      <c r="D152" t="n">
        <v>789</v>
      </c>
      <c r="E152" t="inlineStr">
        <is>
          <t>Marathwada Auto Compo Pvt. Ltd.</t>
        </is>
      </c>
      <c r="F152" t="n">
        <v>854</v>
      </c>
      <c r="G152" t="inlineStr">
        <is>
          <t>TVS</t>
        </is>
      </c>
      <c r="H152" t="inlineStr">
        <is>
          <t>40-20-1.6-ERW 1-FC</t>
        </is>
      </c>
      <c r="I152" t="inlineStr">
        <is>
          <t>40-20-1.6-ERW 1-FC-0.356</t>
        </is>
      </c>
      <c r="J152" t="n">
        <v>0.356</v>
      </c>
      <c r="K152" t="inlineStr">
        <is>
          <t>CTL</t>
        </is>
      </c>
    </row>
    <row r="153" hidden="1" s="584">
      <c r="A153" t="n">
        <v>1931385</v>
      </c>
      <c r="B153" t="inlineStr">
        <is>
          <t>TUB-O-N-GEN-AW-PE-15.88X1.000X6.0000</t>
        </is>
      </c>
      <c r="C153" t="n">
        <v>0.179</v>
      </c>
      <c r="D153" t="n">
        <v>789</v>
      </c>
      <c r="E153" t="inlineStr">
        <is>
          <t>MEGH STEELS PRIVATE LIMITED - HMSIL</t>
        </is>
      </c>
      <c r="F153" t="n">
        <v>84</v>
      </c>
      <c r="G153" t="inlineStr">
        <is>
          <t>Direct</t>
        </is>
      </c>
      <c r="H153" t="inlineStr">
        <is>
          <t>15.88-0-1-ERW 1-PE</t>
        </is>
      </c>
      <c r="I153" t="inlineStr">
        <is>
          <t>15.88-0-1-ERW 1-PE-1</t>
        </is>
      </c>
      <c r="J153" t="n">
        <v>6</v>
      </c>
      <c r="K153" t="inlineStr">
        <is>
          <t>LL</t>
        </is>
      </c>
    </row>
    <row r="154" hidden="1" s="584">
      <c r="A154" t="n">
        <v>1940054</v>
      </c>
      <c r="B154" t="inlineStr">
        <is>
          <t>TUB-O-O-AUT-AW-PE-15.88X1.200X6.0000</t>
        </is>
      </c>
      <c r="C154" t="n">
        <v>1.95</v>
      </c>
      <c r="D154" t="n">
        <v>789</v>
      </c>
      <c r="E154" t="inlineStr">
        <is>
          <t>MEGH STEELS PRIVATE LIMITED - HMSIL</t>
        </is>
      </c>
      <c r="F154" t="n">
        <v>101</v>
      </c>
      <c r="G154" t="inlineStr">
        <is>
          <t>Direct</t>
        </is>
      </c>
      <c r="H154" t="inlineStr">
        <is>
          <t>15.88-0-1.2-ERW 1-PE</t>
        </is>
      </c>
      <c r="I154" t="inlineStr">
        <is>
          <t>15.88-0-1.2-ERW 1-PE-1</t>
        </is>
      </c>
      <c r="J154" t="n">
        <v>6</v>
      </c>
      <c r="K154" t="inlineStr">
        <is>
          <t>LL</t>
        </is>
      </c>
    </row>
    <row r="155" hidden="1" s="584">
      <c r="A155" t="n">
        <v>1940054</v>
      </c>
      <c r="B155" t="inlineStr">
        <is>
          <t>TUB-O-O-AUT-AW-PE-15.88X1.200X6.0000</t>
        </is>
      </c>
      <c r="C155" t="n">
        <v>2.837</v>
      </c>
      <c r="D155" t="n">
        <v>789</v>
      </c>
      <c r="E155" t="inlineStr">
        <is>
          <t>MEGH STEELS PRIVATE LIMITED - HMSIL</t>
        </is>
      </c>
      <c r="F155" t="n">
        <v>102</v>
      </c>
      <c r="G155" t="inlineStr">
        <is>
          <t>Direct</t>
        </is>
      </c>
      <c r="H155" t="inlineStr">
        <is>
          <t>15.88-0-1.2-ERW 1-PE</t>
        </is>
      </c>
      <c r="I155" t="inlineStr">
        <is>
          <t>15.88-0-1.2-ERW 1-PE-1</t>
        </is>
      </c>
      <c r="J155" t="n">
        <v>6</v>
      </c>
      <c r="K155" t="inlineStr">
        <is>
          <t>LL</t>
        </is>
      </c>
    </row>
    <row r="156" hidden="1" s="584">
      <c r="A156" t="n">
        <v>1940054</v>
      </c>
      <c r="B156" t="inlineStr">
        <is>
          <t>TUB-O-O-AUT-AW-PE-15.88X1.200X6.0000</t>
        </is>
      </c>
      <c r="C156" t="n">
        <v>1.111742</v>
      </c>
      <c r="D156" t="n">
        <v>789</v>
      </c>
      <c r="E156" t="inlineStr">
        <is>
          <t>MEGH STEELS PRIVATE LIMITED - HMSIL</t>
        </is>
      </c>
      <c r="F156" t="n">
        <v>275</v>
      </c>
      <c r="G156" t="inlineStr">
        <is>
          <t>Direct</t>
        </is>
      </c>
      <c r="H156" t="inlineStr">
        <is>
          <t>15.88-0-1.2-ERW 1-PE</t>
        </is>
      </c>
      <c r="I156" t="inlineStr">
        <is>
          <t>15.88-0-1.2-ERW 1-PE-1</t>
        </is>
      </c>
      <c r="J156" t="n">
        <v>6</v>
      </c>
      <c r="K156" t="inlineStr">
        <is>
          <t>LL</t>
        </is>
      </c>
    </row>
    <row r="157" hidden="1" s="584">
      <c r="A157" t="n">
        <v>3553505</v>
      </c>
      <c r="B157" t="inlineStr">
        <is>
          <t>TUB-O-N-AUT-AW-PE-31.75X1.200X6.1250</t>
        </is>
      </c>
      <c r="C157" t="n">
        <v>1.745</v>
      </c>
      <c r="D157" t="n">
        <v>789</v>
      </c>
      <c r="E157" t="inlineStr">
        <is>
          <t>Rajsriya Automotive Ind. Pvt Ltd</t>
        </is>
      </c>
      <c r="F157" t="n">
        <v>27</v>
      </c>
      <c r="G157" t="inlineStr">
        <is>
          <t>TVS</t>
        </is>
      </c>
      <c r="H157" t="inlineStr">
        <is>
          <t>31.75-0-1.2-ERW 1-PE</t>
        </is>
      </c>
      <c r="I157" t="inlineStr">
        <is>
          <t>31.75-0-1.2-ERW 1-PE-1</t>
        </is>
      </c>
      <c r="J157" t="n">
        <v>6.125</v>
      </c>
      <c r="K157" t="inlineStr">
        <is>
          <t>LL</t>
        </is>
      </c>
    </row>
    <row r="158" hidden="1" s="584">
      <c r="A158" t="n">
        <v>3553505</v>
      </c>
      <c r="B158" t="inlineStr">
        <is>
          <t>TUB-O-N-AUT-AW-PE-31.75X1.200X6.1250</t>
        </is>
      </c>
      <c r="C158" t="n">
        <v>1.928</v>
      </c>
      <c r="D158" t="n">
        <v>789</v>
      </c>
      <c r="E158" t="inlineStr">
        <is>
          <t>Rajsriya Automotive Ind. Pvt Ltd</t>
        </is>
      </c>
      <c r="F158" t="n">
        <v>28</v>
      </c>
      <c r="G158" t="inlineStr">
        <is>
          <t>TVS</t>
        </is>
      </c>
      <c r="H158" t="inlineStr">
        <is>
          <t>31.75-0-1.2-ERW 1-PE</t>
        </is>
      </c>
      <c r="I158" t="inlineStr">
        <is>
          <t>31.75-0-1.2-ERW 1-PE-1</t>
        </is>
      </c>
      <c r="J158" t="n">
        <v>6.125</v>
      </c>
      <c r="K158" t="inlineStr">
        <is>
          <t>LL</t>
        </is>
      </c>
    </row>
    <row r="159" hidden="1" s="584">
      <c r="A159" t="n">
        <v>3553505</v>
      </c>
      <c r="B159" t="inlineStr">
        <is>
          <t>TUB-O-N-AUT-AW-PE-31.75X1.200X6.1250</t>
        </is>
      </c>
      <c r="C159" t="n">
        <v>1.939</v>
      </c>
      <c r="D159" t="n">
        <v>789</v>
      </c>
      <c r="E159" t="inlineStr">
        <is>
          <t>Rajsriya Automotive Ind. Pvt Ltd</t>
        </is>
      </c>
      <c r="F159" t="n">
        <v>29</v>
      </c>
      <c r="G159" t="inlineStr">
        <is>
          <t>TVS</t>
        </is>
      </c>
      <c r="H159" t="inlineStr">
        <is>
          <t>31.75-0-1.2-ERW 1-PE</t>
        </is>
      </c>
      <c r="I159" t="inlineStr">
        <is>
          <t>31.75-0-1.2-ERW 1-PE-1</t>
        </is>
      </c>
      <c r="J159" t="n">
        <v>6.125</v>
      </c>
      <c r="K159" t="inlineStr">
        <is>
          <t>LL</t>
        </is>
      </c>
    </row>
    <row r="160" hidden="1" s="584">
      <c r="A160" t="n">
        <v>3553505</v>
      </c>
      <c r="B160" t="inlineStr">
        <is>
          <t>TUB-O-N-AUT-AW-PE-31.75X1.200X6.1250</t>
        </is>
      </c>
      <c r="C160" t="n">
        <v>0.678</v>
      </c>
      <c r="D160" t="n">
        <v>789</v>
      </c>
      <c r="E160" t="inlineStr">
        <is>
          <t>Rajsriya Automotive Ind. Pvt Ltd</t>
        </is>
      </c>
      <c r="F160" t="n">
        <v>30</v>
      </c>
      <c r="G160" t="inlineStr">
        <is>
          <t>TVS</t>
        </is>
      </c>
      <c r="H160" t="inlineStr">
        <is>
          <t>31.75-0-1.2-ERW 1-PE</t>
        </is>
      </c>
      <c r="I160" t="inlineStr">
        <is>
          <t>31.75-0-1.2-ERW 1-PE-1</t>
        </is>
      </c>
      <c r="J160" t="n">
        <v>6.125</v>
      </c>
      <c r="K160" t="inlineStr">
        <is>
          <t>LL</t>
        </is>
      </c>
    </row>
    <row r="161" hidden="1" s="584">
      <c r="A161" t="n">
        <v>3553505</v>
      </c>
      <c r="B161" t="inlineStr">
        <is>
          <t>TUB-O-N-AUT-AW-PE-31.75X1.200X6.1250</t>
        </is>
      </c>
      <c r="C161" t="n">
        <v>0.166644</v>
      </c>
      <c r="D161" t="n">
        <v>789</v>
      </c>
      <c r="E161" t="inlineStr">
        <is>
          <t>Rajsriya Automotive Ind. Pvt Ltd</t>
        </is>
      </c>
      <c r="F161" t="n">
        <v>31</v>
      </c>
      <c r="G161" t="inlineStr">
        <is>
          <t>TVS</t>
        </is>
      </c>
      <c r="H161" t="inlineStr">
        <is>
          <t>31.75-0-1.2-ERW 1-PE</t>
        </is>
      </c>
      <c r="I161" t="inlineStr">
        <is>
          <t>31.75-0-1.2-ERW 1-PE-1</t>
        </is>
      </c>
      <c r="J161" t="n">
        <v>6.125</v>
      </c>
      <c r="K161" t="inlineStr">
        <is>
          <t>LL</t>
        </is>
      </c>
    </row>
    <row r="162" hidden="1" s="584">
      <c r="A162" t="n">
        <v>3553505</v>
      </c>
      <c r="B162" t="inlineStr">
        <is>
          <t>TUB-O-N-AUT-AW-PE-31.75X1.200X6.1250</t>
        </is>
      </c>
      <c r="C162" t="n">
        <v>2.07</v>
      </c>
      <c r="D162" t="n">
        <v>4731</v>
      </c>
      <c r="E162" t="inlineStr">
        <is>
          <t>Rajsriya Automotive Ind. Pvt Ltd</t>
        </is>
      </c>
      <c r="F162" t="n">
        <v>1670</v>
      </c>
      <c r="G162" t="inlineStr">
        <is>
          <t>TVS</t>
        </is>
      </c>
      <c r="H162" t="inlineStr">
        <is>
          <t>31.75-0-1.2-ERW 1-PE</t>
        </is>
      </c>
      <c r="I162" t="inlineStr">
        <is>
          <t>31.75-0-1.2-ERW 1-PE-1</t>
        </is>
      </c>
      <c r="J162" t="n">
        <v>6.125</v>
      </c>
      <c r="K162" t="inlineStr">
        <is>
          <t>LL</t>
        </is>
      </c>
    </row>
    <row r="163" hidden="1" s="584">
      <c r="A163" t="n">
        <v>3553505</v>
      </c>
      <c r="B163" t="inlineStr">
        <is>
          <t>TUB-O-N-AUT-AW-PE-31.75X1.200X6.1250</t>
        </is>
      </c>
      <c r="C163" t="n">
        <v>1.99</v>
      </c>
      <c r="D163" t="n">
        <v>4731</v>
      </c>
      <c r="E163" t="inlineStr">
        <is>
          <t>Rajsriya Automotive Ind. Pvt Ltd</t>
        </is>
      </c>
      <c r="F163" t="n">
        <v>1671</v>
      </c>
      <c r="G163" t="inlineStr">
        <is>
          <t>TVS</t>
        </is>
      </c>
      <c r="H163" t="inlineStr">
        <is>
          <t>31.75-0-1.2-ERW 1-PE</t>
        </is>
      </c>
      <c r="I163" t="inlineStr">
        <is>
          <t>31.75-0-1.2-ERW 1-PE-1</t>
        </is>
      </c>
      <c r="J163" t="n">
        <v>6.125</v>
      </c>
      <c r="K163" t="inlineStr">
        <is>
          <t>LL</t>
        </is>
      </c>
    </row>
    <row r="164" hidden="1" s="584">
      <c r="A164" t="n">
        <v>3553505</v>
      </c>
      <c r="B164" t="inlineStr">
        <is>
          <t>TUB-O-N-AUT-AW-PE-31.75X1.200X6.1250</t>
        </is>
      </c>
      <c r="C164" t="n">
        <v>2.02</v>
      </c>
      <c r="D164" t="n">
        <v>4731</v>
      </c>
      <c r="E164" t="inlineStr">
        <is>
          <t>Rajsriya Automotive Ind. Pvt Ltd</t>
        </is>
      </c>
      <c r="F164" t="n">
        <v>1672</v>
      </c>
      <c r="G164" t="inlineStr">
        <is>
          <t>TVS</t>
        </is>
      </c>
      <c r="H164" t="inlineStr">
        <is>
          <t>31.75-0-1.2-ERW 1-PE</t>
        </is>
      </c>
      <c r="I164" t="inlineStr">
        <is>
          <t>31.75-0-1.2-ERW 1-PE-1</t>
        </is>
      </c>
      <c r="J164" t="n">
        <v>6.125</v>
      </c>
      <c r="K164" t="inlineStr">
        <is>
          <t>LL</t>
        </is>
      </c>
    </row>
    <row r="165" hidden="1" s="584">
      <c r="A165" t="n">
        <v>3553505</v>
      </c>
      <c r="B165" t="inlineStr">
        <is>
          <t>TUB-O-N-AUT-AW-PE-31.75X1.200X6.1250</t>
        </is>
      </c>
      <c r="C165" t="n">
        <v>2.129</v>
      </c>
      <c r="D165" t="n">
        <v>4731</v>
      </c>
      <c r="E165" t="inlineStr">
        <is>
          <t>Rajsriya Automotive Ind. Pvt Ltd</t>
        </is>
      </c>
      <c r="F165" t="n">
        <v>1673</v>
      </c>
      <c r="G165" t="inlineStr">
        <is>
          <t>TVS</t>
        </is>
      </c>
      <c r="H165" t="inlineStr">
        <is>
          <t>31.75-0-1.2-ERW 1-PE</t>
        </is>
      </c>
      <c r="I165" t="inlineStr">
        <is>
          <t>31.75-0-1.2-ERW 1-PE-1</t>
        </is>
      </c>
      <c r="J165" t="n">
        <v>6.125</v>
      </c>
      <c r="K165" t="inlineStr">
        <is>
          <t>LL</t>
        </is>
      </c>
    </row>
    <row r="166" hidden="1" s="584">
      <c r="A166" t="n">
        <v>3553505</v>
      </c>
      <c r="B166" t="inlineStr">
        <is>
          <t>TUB-O-N-AUT-AW-PE-31.75X1.200X6.1250</t>
        </is>
      </c>
      <c r="C166" t="n">
        <v>0.202236</v>
      </c>
      <c r="D166" t="n">
        <v>8406</v>
      </c>
      <c r="E166" t="inlineStr">
        <is>
          <t>Rajsriya Automotive Ind. Pvt Ltd</t>
        </is>
      </c>
      <c r="F166" t="n">
        <v>1674</v>
      </c>
      <c r="G166" t="inlineStr">
        <is>
          <t>TVS</t>
        </is>
      </c>
      <c r="H166" t="inlineStr">
        <is>
          <t>31.75-0-1.2-ERW 1-PE</t>
        </is>
      </c>
      <c r="I166" t="inlineStr">
        <is>
          <t>31.75-0-1.2-ERW 1-PE-1</t>
        </is>
      </c>
      <c r="J166" t="n">
        <v>6.125</v>
      </c>
      <c r="K166" t="inlineStr">
        <is>
          <t>LL</t>
        </is>
      </c>
    </row>
    <row r="167" hidden="1" s="584">
      <c r="A167" t="n">
        <v>3553505</v>
      </c>
      <c r="B167" t="inlineStr">
        <is>
          <t>TUB-O-N-AUT-AW-PE-31.75X1.200X6.1250</t>
        </is>
      </c>
      <c r="C167" t="n">
        <v>1.978</v>
      </c>
      <c r="D167" t="n">
        <v>8406</v>
      </c>
      <c r="E167" t="inlineStr">
        <is>
          <t>Rajsriya Automotive Ind. Pvt Ltd</t>
        </is>
      </c>
      <c r="F167" t="n">
        <v>1675</v>
      </c>
      <c r="G167" t="inlineStr">
        <is>
          <t>TVS</t>
        </is>
      </c>
      <c r="H167" t="inlineStr">
        <is>
          <t>31.75-0-1.2-ERW 1-PE</t>
        </is>
      </c>
      <c r="I167" t="inlineStr">
        <is>
          <t>31.75-0-1.2-ERW 1-PE-1</t>
        </is>
      </c>
      <c r="J167" t="n">
        <v>6.125</v>
      </c>
      <c r="K167" t="inlineStr">
        <is>
          <t>LL</t>
        </is>
      </c>
    </row>
    <row r="168" hidden="1" s="584">
      <c r="A168" t="n">
        <v>1940034</v>
      </c>
      <c r="B168" t="inlineStr">
        <is>
          <t>TUB-O-O-AUT-AW-PE-15.88X1.200X0.5400</t>
        </is>
      </c>
      <c r="C168" t="n">
        <v>0.004036</v>
      </c>
      <c r="D168" t="n">
        <v>789</v>
      </c>
      <c r="E168" t="inlineStr">
        <is>
          <t>BALAJI PRESS PRODUCTS INDIA</t>
        </is>
      </c>
      <c r="F168" t="n">
        <v>493</v>
      </c>
      <c r="G168" t="inlineStr">
        <is>
          <t>TVS</t>
        </is>
      </c>
      <c r="H168" t="inlineStr">
        <is>
          <t>15.88-0-1.2-ERW 1-PE</t>
        </is>
      </c>
      <c r="I168" t="inlineStr">
        <is>
          <t>15.88-0-1.2-ERW 1-PE-0.54</t>
        </is>
      </c>
      <c r="J168" t="n">
        <v>0.54</v>
      </c>
      <c r="K168" t="inlineStr">
        <is>
          <t>CTL</t>
        </is>
      </c>
    </row>
    <row r="169" hidden="1" s="584">
      <c r="A169" t="n">
        <v>1940034</v>
      </c>
      <c r="B169" t="inlineStr">
        <is>
          <t>TUB-O-O-AUT-AW-PE-15.88X1.200X0.5400</t>
        </is>
      </c>
      <c r="C169" t="n">
        <v>0.292933</v>
      </c>
      <c r="D169" t="n">
        <v>789</v>
      </c>
      <c r="E169" t="inlineStr">
        <is>
          <t>BALAJI PRESS PRODUCTS INDIA</t>
        </is>
      </c>
      <c r="F169" t="n">
        <v>494</v>
      </c>
      <c r="G169" t="inlineStr">
        <is>
          <t>TVS</t>
        </is>
      </c>
      <c r="H169" t="inlineStr">
        <is>
          <t>15.88-0-1.2-ERW 1-PE</t>
        </is>
      </c>
      <c r="I169" t="inlineStr">
        <is>
          <t>15.88-0-1.2-ERW 1-PE-0.54</t>
        </is>
      </c>
      <c r="J169" t="n">
        <v>0.54</v>
      </c>
      <c r="K169" t="inlineStr">
        <is>
          <t>CTL</t>
        </is>
      </c>
    </row>
    <row r="170" hidden="1" s="584">
      <c r="A170" t="n">
        <v>1940034</v>
      </c>
      <c r="B170" t="inlineStr">
        <is>
          <t>TUB-O-O-AUT-AW-PE-15.88X1.200X0.5400</t>
        </is>
      </c>
      <c r="C170" t="n">
        <v>0.5396219999999999</v>
      </c>
      <c r="D170" t="n">
        <v>789</v>
      </c>
      <c r="E170" t="inlineStr">
        <is>
          <t>BALAJI PRESS PRODUCTS INDIA</t>
        </is>
      </c>
      <c r="F170" t="n">
        <v>495</v>
      </c>
      <c r="G170" t="inlineStr">
        <is>
          <t>TVS</t>
        </is>
      </c>
      <c r="H170" t="inlineStr">
        <is>
          <t>15.88-0-1.2-ERW 1-PE</t>
        </is>
      </c>
      <c r="I170" t="inlineStr">
        <is>
          <t>15.88-0-1.2-ERW 1-PE-0.54</t>
        </is>
      </c>
      <c r="J170" t="n">
        <v>0.54</v>
      </c>
      <c r="K170" t="inlineStr">
        <is>
          <t>CTL</t>
        </is>
      </c>
    </row>
    <row r="171" hidden="1" s="584">
      <c r="A171" t="n">
        <v>1940034</v>
      </c>
      <c r="B171" t="inlineStr">
        <is>
          <t>TUB-O-O-AUT-AW-PE-15.88X1.200X0.5400</t>
        </is>
      </c>
      <c r="C171" t="n">
        <v>0.493</v>
      </c>
      <c r="D171" t="n">
        <v>789</v>
      </c>
      <c r="E171" t="inlineStr">
        <is>
          <t>BALAJI PRESS PRODUCTS INDIA</t>
        </is>
      </c>
      <c r="F171" t="n">
        <v>496</v>
      </c>
      <c r="G171" t="inlineStr">
        <is>
          <t>TVS</t>
        </is>
      </c>
      <c r="H171" t="inlineStr">
        <is>
          <t>15.88-0-1.2-ERW 1-PE</t>
        </is>
      </c>
      <c r="I171" t="inlineStr">
        <is>
          <t>15.88-0-1.2-ERW 1-PE-0.54</t>
        </is>
      </c>
      <c r="J171" t="n">
        <v>0.54</v>
      </c>
      <c r="K171" t="inlineStr">
        <is>
          <t>CTL</t>
        </is>
      </c>
    </row>
    <row r="172" hidden="1" s="584">
      <c r="A172" t="n">
        <v>1940038</v>
      </c>
      <c r="B172" t="inlineStr">
        <is>
          <t>TUB-O-O-AUT-AW-PE-15.88X1.200X0.6800</t>
        </is>
      </c>
      <c r="C172" t="n">
        <v>0.362</v>
      </c>
      <c r="D172" t="n">
        <v>789</v>
      </c>
      <c r="E172" t="inlineStr">
        <is>
          <t>BALAJI PRESS PRODUCTS INDIA</t>
        </is>
      </c>
      <c r="F172" t="n">
        <v>571</v>
      </c>
      <c r="G172" t="inlineStr">
        <is>
          <t>TVS</t>
        </is>
      </c>
      <c r="H172" t="inlineStr">
        <is>
          <t>15.88-0-1.2-ERW 1-PE</t>
        </is>
      </c>
      <c r="I172" t="inlineStr">
        <is>
          <t>15.88-0-1.2-ERW 1-PE-0.68</t>
        </is>
      </c>
      <c r="J172" t="n">
        <v>0.68</v>
      </c>
      <c r="K172" t="inlineStr">
        <is>
          <t>CTL</t>
        </is>
      </c>
    </row>
    <row r="173" hidden="1" s="584">
      <c r="A173" t="n">
        <v>1940038</v>
      </c>
      <c r="B173" t="inlineStr">
        <is>
          <t>TUB-O-O-AUT-AW-PE-15.88X1.200X0.6800</t>
        </is>
      </c>
      <c r="C173" t="n">
        <v>0.362</v>
      </c>
      <c r="D173" t="n">
        <v>789</v>
      </c>
      <c r="E173" t="inlineStr">
        <is>
          <t>BALAJI PRESS PRODUCTS INDIA</t>
        </is>
      </c>
      <c r="F173" t="n">
        <v>572</v>
      </c>
      <c r="G173" t="inlineStr">
        <is>
          <t>TVS</t>
        </is>
      </c>
      <c r="H173" t="inlineStr">
        <is>
          <t>15.88-0-1.2-ERW 1-PE</t>
        </is>
      </c>
      <c r="I173" t="inlineStr">
        <is>
          <t>15.88-0-1.2-ERW 1-PE-0.68</t>
        </is>
      </c>
      <c r="J173" t="n">
        <v>0.68</v>
      </c>
      <c r="K173" t="inlineStr">
        <is>
          <t>CTL</t>
        </is>
      </c>
    </row>
    <row r="174" hidden="1" s="584">
      <c r="A174" t="n">
        <v>2403383</v>
      </c>
      <c r="B174" t="inlineStr">
        <is>
          <t>TUB-O-N-AUT-AW-PE-19.05X2.000X0.4750</t>
        </is>
      </c>
      <c r="C174" t="n">
        <v>0.008800000000000001</v>
      </c>
      <c r="D174" t="n">
        <v>789</v>
      </c>
      <c r="E174" t="inlineStr">
        <is>
          <t>Rajsriya Automotive Industries</t>
        </is>
      </c>
      <c r="F174" t="n">
        <v>153</v>
      </c>
      <c r="G174" t="inlineStr">
        <is>
          <t>TVS</t>
        </is>
      </c>
      <c r="H174" t="inlineStr">
        <is>
          <t>19.05-0-2-ERW 1-PE</t>
        </is>
      </c>
      <c r="I174" t="inlineStr">
        <is>
          <t>19.05-0-2-ERW 1-PE-0.475</t>
        </is>
      </c>
      <c r="J174" t="n">
        <v>0.475</v>
      </c>
      <c r="K174" t="inlineStr">
        <is>
          <t>CTL</t>
        </is>
      </c>
    </row>
    <row r="175" hidden="1" s="584">
      <c r="A175" t="n">
        <v>4241099</v>
      </c>
      <c r="B175" t="inlineStr">
        <is>
          <t>CUT-O-N-AUT-AW-PE-15.88X1.200X0.7300</t>
        </is>
      </c>
      <c r="C175" t="n">
        <v>0.010762</v>
      </c>
      <c r="D175" t="n">
        <v>789</v>
      </c>
      <c r="E175" t="inlineStr">
        <is>
          <t>MEGH STEELS PRIVATE LIMITED - TVS A</t>
        </is>
      </c>
      <c r="F175" t="n">
        <v>1038</v>
      </c>
      <c r="G175" t="inlineStr">
        <is>
          <t>Direct</t>
        </is>
      </c>
      <c r="H175" t="inlineStr">
        <is>
          <t>15.88-0-1.2-ERW 1-PE</t>
        </is>
      </c>
      <c r="J175" t="n">
        <v>0.73</v>
      </c>
      <c r="K175" t="inlineStr">
        <is>
          <t>CTL</t>
        </is>
      </c>
    </row>
    <row r="176" hidden="1" s="584">
      <c r="A176" t="n">
        <v>4020857</v>
      </c>
      <c r="B176" t="inlineStr">
        <is>
          <t>TUB-O-N-AUT-AW-FC-57.15X2.000X0.4090</t>
        </is>
      </c>
      <c r="C176" t="n">
        <v>1.139985</v>
      </c>
      <c r="D176" t="n">
        <v>789</v>
      </c>
      <c r="E176" t="inlineStr">
        <is>
          <t>Rajsriya Automotive Industries(P)</t>
        </is>
      </c>
      <c r="F176" t="n">
        <v>78</v>
      </c>
      <c r="G176" t="inlineStr">
        <is>
          <t>TVS</t>
        </is>
      </c>
      <c r="H176" t="inlineStr">
        <is>
          <t>57.15-0-2-ERW 1-FC</t>
        </is>
      </c>
      <c r="I176" t="inlineStr">
        <is>
          <t>57.15-0-2-ERW 1-FC-0.409</t>
        </is>
      </c>
      <c r="J176" t="n">
        <v>0.409</v>
      </c>
      <c r="K176" t="inlineStr">
        <is>
          <t>CTL</t>
        </is>
      </c>
    </row>
    <row r="177" hidden="1" s="584">
      <c r="A177" t="n">
        <v>4020857</v>
      </c>
      <c r="B177" t="inlineStr">
        <is>
          <t>TUB-O-N-AUT-AW-FC-57.15X2.000X0.4090</t>
        </is>
      </c>
      <c r="C177" t="n">
        <v>0.001087</v>
      </c>
      <c r="D177" t="n">
        <v>789</v>
      </c>
      <c r="E177" t="inlineStr">
        <is>
          <t>Rajsriya Automotive Industries(P)</t>
        </is>
      </c>
      <c r="F177" t="n">
        <v>794</v>
      </c>
      <c r="G177" t="inlineStr">
        <is>
          <t>TVS</t>
        </is>
      </c>
      <c r="H177" t="inlineStr">
        <is>
          <t>57.15-0-2-ERW 1-FC</t>
        </is>
      </c>
      <c r="I177" t="inlineStr">
        <is>
          <t>57.15-0-2-ERW 1-FC-0.409</t>
        </is>
      </c>
      <c r="J177" t="n">
        <v>0.409</v>
      </c>
      <c r="K177" t="inlineStr">
        <is>
          <t>CTL</t>
        </is>
      </c>
    </row>
    <row r="178" hidden="1" s="584">
      <c r="A178" t="n">
        <v>4020857</v>
      </c>
      <c r="B178" t="inlineStr">
        <is>
          <t>TUB-O-N-AUT-AW-FC-57.15X2.000X0.4090</t>
        </is>
      </c>
      <c r="C178" t="n">
        <v>0.006437</v>
      </c>
      <c r="D178" t="n">
        <v>789</v>
      </c>
      <c r="E178" t="inlineStr">
        <is>
          <t>Rajsriya Automotive Industries(P)</t>
        </is>
      </c>
      <c r="F178" t="n">
        <v>795</v>
      </c>
      <c r="G178" t="inlineStr">
        <is>
          <t>TVS</t>
        </is>
      </c>
      <c r="H178" t="inlineStr">
        <is>
          <t>57.15-0-2-ERW 1-FC</t>
        </is>
      </c>
      <c r="I178" t="inlineStr">
        <is>
          <t>57.15-0-2-ERW 1-FC-0.409</t>
        </is>
      </c>
      <c r="J178" t="n">
        <v>0.409</v>
      </c>
      <c r="K178" t="inlineStr">
        <is>
          <t>CTL</t>
        </is>
      </c>
    </row>
    <row r="179" hidden="1" s="584">
      <c r="A179" t="n">
        <v>3715199</v>
      </c>
      <c r="B179" t="inlineStr">
        <is>
          <t>TUB-O-O-AUT-AW-PE-15.88X1.200X0.7550</t>
        </is>
      </c>
      <c r="C179" t="n">
        <v>0.001211</v>
      </c>
      <c r="D179" t="n">
        <v>789</v>
      </c>
      <c r="E179" t="inlineStr">
        <is>
          <t>BALAJI PRESS PRODUCTS INDIA</t>
        </is>
      </c>
      <c r="F179" t="n">
        <v>791</v>
      </c>
      <c r="G179" t="inlineStr">
        <is>
          <t>TVS</t>
        </is>
      </c>
      <c r="H179" t="inlineStr">
        <is>
          <t>15.88-0-1.2-ERW 1-PE</t>
        </is>
      </c>
      <c r="I179" t="inlineStr">
        <is>
          <t>15.88-0-1.2-ERW 1-PE-0.755</t>
        </is>
      </c>
      <c r="J179" t="n">
        <v>0.755</v>
      </c>
      <c r="K179" t="inlineStr">
        <is>
          <t>CTL</t>
        </is>
      </c>
    </row>
    <row r="180" hidden="1" s="584">
      <c r="A180" t="n">
        <v>1940801</v>
      </c>
      <c r="B180" t="inlineStr">
        <is>
          <t>TUB-R-AW-RHS-40.00X20.00X1.210X1.3100</t>
        </is>
      </c>
      <c r="C180" t="n">
        <v>0.019177</v>
      </c>
      <c r="D180" t="n">
        <v>789</v>
      </c>
      <c r="E180" t="inlineStr">
        <is>
          <t>Sri Balaji Gears</t>
        </is>
      </c>
      <c r="F180" t="n">
        <v>115</v>
      </c>
      <c r="G180" t="inlineStr">
        <is>
          <t>TVS</t>
        </is>
      </c>
      <c r="H180" t="inlineStr">
        <is>
          <t>40-20-1.2-CRFH-PE</t>
        </is>
      </c>
      <c r="I180" t="inlineStr">
        <is>
          <t>40-20-1.2-CRFH-PE-1.31</t>
        </is>
      </c>
      <c r="J180" t="n">
        <v>1.31</v>
      </c>
      <c r="K180" t="inlineStr">
        <is>
          <t>CTL</t>
        </is>
      </c>
    </row>
    <row r="181" hidden="1" s="584">
      <c r="A181" t="n">
        <v>1940801</v>
      </c>
      <c r="B181" t="inlineStr">
        <is>
          <t>TUB-R-AW-RHS-40.00X20.00X1.210X1.3100</t>
        </is>
      </c>
      <c r="C181" t="n">
        <v>0.142457</v>
      </c>
      <c r="D181" t="n">
        <v>789</v>
      </c>
      <c r="E181" t="inlineStr">
        <is>
          <t>Sri Balaji Gears</t>
        </is>
      </c>
      <c r="F181" t="n">
        <v>116</v>
      </c>
      <c r="G181" t="inlineStr">
        <is>
          <t>TVS</t>
        </is>
      </c>
      <c r="H181" t="inlineStr">
        <is>
          <t>40-20-1.2-CRFH-PE</t>
        </is>
      </c>
      <c r="I181" t="inlineStr">
        <is>
          <t>40-20-1.2-CRFH-PE-1.31</t>
        </is>
      </c>
      <c r="J181" t="n">
        <v>1.31</v>
      </c>
      <c r="K181" t="inlineStr">
        <is>
          <t>CTL</t>
        </is>
      </c>
    </row>
    <row r="182" hidden="1" s="584">
      <c r="A182" t="n">
        <v>1940801</v>
      </c>
      <c r="B182" t="inlineStr">
        <is>
          <t>TUB-R-AW-RHS-40.00X20.00X1.210X1.3100</t>
        </is>
      </c>
      <c r="C182" t="n">
        <v>0.207532</v>
      </c>
      <c r="D182" t="n">
        <v>789</v>
      </c>
      <c r="E182" t="inlineStr">
        <is>
          <t>Sri Balaji Gears</t>
        </is>
      </c>
      <c r="F182" t="n">
        <v>117</v>
      </c>
      <c r="G182" t="inlineStr">
        <is>
          <t>TVS</t>
        </is>
      </c>
      <c r="H182" t="inlineStr">
        <is>
          <t>40-20-1.2-CRFH-PE</t>
        </is>
      </c>
      <c r="I182" t="inlineStr">
        <is>
          <t>40-20-1.2-CRFH-PE-1.31</t>
        </is>
      </c>
      <c r="J182" t="n">
        <v>1.31</v>
      </c>
      <c r="K182" t="inlineStr">
        <is>
          <t>CTL</t>
        </is>
      </c>
    </row>
    <row r="183" hidden="1" s="584">
      <c r="A183" t="n">
        <v>1940801</v>
      </c>
      <c r="B183" t="inlineStr">
        <is>
          <t>TUB-R-AW-RHS-40.00X20.00X1.210X1.3100</t>
        </is>
      </c>
      <c r="C183" t="n">
        <v>0.150397</v>
      </c>
      <c r="D183" t="n">
        <v>789</v>
      </c>
      <c r="E183" t="inlineStr">
        <is>
          <t>Sri Balaji Gears</t>
        </is>
      </c>
      <c r="F183" t="n">
        <v>118</v>
      </c>
      <c r="G183" t="inlineStr">
        <is>
          <t>TVS</t>
        </is>
      </c>
      <c r="H183" t="inlineStr">
        <is>
          <t>40-20-1.2-CRFH-PE</t>
        </is>
      </c>
      <c r="I183" t="inlineStr">
        <is>
          <t>40-20-1.2-CRFH-PE-1.31</t>
        </is>
      </c>
      <c r="J183" t="n">
        <v>1.31</v>
      </c>
      <c r="K183" t="inlineStr">
        <is>
          <t>CTL</t>
        </is>
      </c>
    </row>
    <row r="184" hidden="1" s="584">
      <c r="A184" t="n">
        <v>1940801</v>
      </c>
      <c r="B184" t="inlineStr">
        <is>
          <t>TUB-R-AW-RHS-40.00X20.00X1.210X1.3100</t>
        </is>
      </c>
      <c r="C184" t="n">
        <v>0.1435</v>
      </c>
      <c r="D184" t="n">
        <v>789</v>
      </c>
      <c r="E184" t="inlineStr">
        <is>
          <t>Sri Balaji Gears</t>
        </is>
      </c>
      <c r="F184" t="n">
        <v>119</v>
      </c>
      <c r="G184" t="inlineStr">
        <is>
          <t>TVS</t>
        </is>
      </c>
      <c r="H184" t="inlineStr">
        <is>
          <t>40-20-1.2-CRFH-PE</t>
        </is>
      </c>
      <c r="I184" t="inlineStr">
        <is>
          <t>40-20-1.2-CRFH-PE-1.31</t>
        </is>
      </c>
      <c r="J184" t="n">
        <v>1.31</v>
      </c>
      <c r="K184" t="inlineStr">
        <is>
          <t>CTL</t>
        </is>
      </c>
    </row>
    <row r="185" hidden="1" s="584">
      <c r="A185" t="n">
        <v>1940801</v>
      </c>
      <c r="B185" t="inlineStr">
        <is>
          <t>TUB-R-AW-RHS-40.00X20.00X1.210X1.3100</t>
        </is>
      </c>
      <c r="C185" t="n">
        <v>0.1435</v>
      </c>
      <c r="D185" t="n">
        <v>789</v>
      </c>
      <c r="E185" t="inlineStr">
        <is>
          <t>Sri Balaji Gears</t>
        </is>
      </c>
      <c r="F185" t="n">
        <v>120</v>
      </c>
      <c r="G185" t="inlineStr">
        <is>
          <t>TVS</t>
        </is>
      </c>
      <c r="H185" t="inlineStr">
        <is>
          <t>40-20-1.2-CRFH-PE</t>
        </is>
      </c>
      <c r="I185" t="inlineStr">
        <is>
          <t>40-20-1.2-CRFH-PE-1.31</t>
        </is>
      </c>
      <c r="J185" t="n">
        <v>1.31</v>
      </c>
      <c r="K185" t="inlineStr">
        <is>
          <t>CTL</t>
        </is>
      </c>
    </row>
    <row r="186" hidden="1" s="584">
      <c r="A186" t="n">
        <v>1940801</v>
      </c>
      <c r="B186" t="inlineStr">
        <is>
          <t>TUB-R-AW-RHS-40.00X20.00X1.210X1.3100</t>
        </is>
      </c>
      <c r="C186" t="n">
        <v>0.2155</v>
      </c>
      <c r="D186" t="n">
        <v>789</v>
      </c>
      <c r="E186" t="inlineStr">
        <is>
          <t>Sri Balaji Gears</t>
        </is>
      </c>
      <c r="F186" t="n">
        <v>121</v>
      </c>
      <c r="G186" t="inlineStr">
        <is>
          <t>TVS</t>
        </is>
      </c>
      <c r="H186" t="inlineStr">
        <is>
          <t>40-20-1.2-CRFH-PE</t>
        </is>
      </c>
      <c r="I186" t="inlineStr">
        <is>
          <t>40-20-1.2-CRFH-PE-1.31</t>
        </is>
      </c>
      <c r="J186" t="n">
        <v>1.31</v>
      </c>
      <c r="K186" t="inlineStr">
        <is>
          <t>CTL</t>
        </is>
      </c>
    </row>
    <row r="187" hidden="1" s="584">
      <c r="A187" t="n">
        <v>1940801</v>
      </c>
      <c r="B187" t="inlineStr">
        <is>
          <t>TUB-R-AW-RHS-40.00X20.00X1.210X1.3100</t>
        </is>
      </c>
      <c r="C187" t="n">
        <v>1.168</v>
      </c>
      <c r="D187" t="n">
        <v>789</v>
      </c>
      <c r="E187" t="inlineStr">
        <is>
          <t>Sri Balaji Gears</t>
        </is>
      </c>
      <c r="F187" t="n">
        <v>122</v>
      </c>
      <c r="G187" t="inlineStr">
        <is>
          <t>TVS</t>
        </is>
      </c>
      <c r="H187" t="inlineStr">
        <is>
          <t>40-20-1.2-CRFH-PE</t>
        </is>
      </c>
      <c r="I187" t="inlineStr">
        <is>
          <t>40-20-1.2-CRFH-PE-1.31</t>
        </is>
      </c>
      <c r="J187" t="n">
        <v>1.31</v>
      </c>
      <c r="K187" t="inlineStr">
        <is>
          <t>CTL</t>
        </is>
      </c>
    </row>
    <row r="188" hidden="1" s="584">
      <c r="A188" t="n">
        <v>1940043</v>
      </c>
      <c r="B188" t="inlineStr">
        <is>
          <t>TUB-O-O-AUT-AW-PE-15.88X1.200X0.8880</t>
        </is>
      </c>
      <c r="C188" t="n">
        <v>0.00173</v>
      </c>
      <c r="D188" t="n">
        <v>789</v>
      </c>
      <c r="E188" t="inlineStr">
        <is>
          <t>SRIKAM HITECH ENGINEERING PRIVATE L</t>
        </is>
      </c>
      <c r="F188" t="n">
        <v>755</v>
      </c>
      <c r="G188" t="inlineStr">
        <is>
          <t>TVS</t>
        </is>
      </c>
      <c r="H188" t="inlineStr">
        <is>
          <t>15.88-0-1.2-ERW 1-PE</t>
        </is>
      </c>
      <c r="I188" t="inlineStr">
        <is>
          <t>15.88-0-1.2-ERW 1-PE-0.888</t>
        </is>
      </c>
      <c r="J188" t="n">
        <v>0.888</v>
      </c>
      <c r="K188" t="inlineStr">
        <is>
          <t>CTL</t>
        </is>
      </c>
    </row>
    <row r="189" hidden="1" s="584">
      <c r="A189" t="n">
        <v>1940043</v>
      </c>
      <c r="B189" t="inlineStr">
        <is>
          <t>TUB-O-O-AUT-AW-PE-15.88X1.200X0.8880</t>
        </is>
      </c>
      <c r="C189" t="n">
        <v>1.417</v>
      </c>
      <c r="D189" t="n">
        <v>789</v>
      </c>
      <c r="E189" t="inlineStr">
        <is>
          <t>SRIKAM HITECH ENGINEERING PRIVATE L</t>
        </is>
      </c>
      <c r="F189" t="n">
        <v>756</v>
      </c>
      <c r="G189" t="inlineStr">
        <is>
          <t>TVS</t>
        </is>
      </c>
      <c r="H189" t="inlineStr">
        <is>
          <t>15.88-0-1.2-ERW 1-PE</t>
        </is>
      </c>
      <c r="I189" t="inlineStr">
        <is>
          <t>15.88-0-1.2-ERW 1-PE-0.888</t>
        </is>
      </c>
      <c r="J189" t="n">
        <v>0.888</v>
      </c>
      <c r="K189" t="inlineStr">
        <is>
          <t>CTL</t>
        </is>
      </c>
    </row>
    <row r="190" hidden="1" s="584">
      <c r="A190" t="n">
        <v>1940045</v>
      </c>
      <c r="B190" t="inlineStr">
        <is>
          <t>TUB-O-O-AUT-AW-PE-15.88X1.200X1.1300</t>
        </is>
      </c>
      <c r="C190" t="n">
        <v>0.008984000000000001</v>
      </c>
      <c r="D190" t="n">
        <v>789</v>
      </c>
      <c r="E190" t="inlineStr">
        <is>
          <t>MEGH STEELS PRIVATE LIMITED - TVS A</t>
        </is>
      </c>
      <c r="F190" t="n">
        <v>631</v>
      </c>
      <c r="G190" t="inlineStr">
        <is>
          <t>Direct</t>
        </is>
      </c>
      <c r="H190" t="inlineStr">
        <is>
          <t>15.88-0-1.2-ERW 1-PE</t>
        </is>
      </c>
      <c r="I190" t="inlineStr">
        <is>
          <t>15.88-0-1.2-ERW 1-PE-1.13</t>
        </is>
      </c>
      <c r="J190" t="n">
        <v>1.13</v>
      </c>
      <c r="K190" t="inlineStr">
        <is>
          <t>CTL</t>
        </is>
      </c>
    </row>
    <row r="191" hidden="1" s="584">
      <c r="A191" t="n">
        <v>1940046</v>
      </c>
      <c r="B191" t="inlineStr">
        <is>
          <t>TUB-O-O-AUT-AW-PE-15.88X1.200X1.3100</t>
        </is>
      </c>
      <c r="C191" t="n">
        <v>0.021337</v>
      </c>
      <c r="D191" t="n">
        <v>789</v>
      </c>
      <c r="E191" t="inlineStr">
        <is>
          <t>MEGH STEELS PRIVATE LIMITED - TVS A</t>
        </is>
      </c>
      <c r="F191" t="n">
        <v>702</v>
      </c>
      <c r="G191" t="inlineStr">
        <is>
          <t>Direct</t>
        </is>
      </c>
      <c r="H191" t="inlineStr">
        <is>
          <t>15.88-0-1.2-ERW 1-PE</t>
        </is>
      </c>
      <c r="I191" t="inlineStr">
        <is>
          <t>15.88-0-1.2-ERW 1-PE-1.31</t>
        </is>
      </c>
      <c r="J191" t="n">
        <v>1.31</v>
      </c>
      <c r="K191" t="inlineStr">
        <is>
          <t>CTL</t>
        </is>
      </c>
    </row>
    <row r="192" hidden="1" s="584">
      <c r="A192" t="n">
        <v>1940046</v>
      </c>
      <c r="B192" t="inlineStr">
        <is>
          <t>TUB-O-O-AUT-AW-PE-15.88X1.200X1.3100</t>
        </is>
      </c>
      <c r="C192" t="n">
        <v>0.156</v>
      </c>
      <c r="D192" t="n">
        <v>789</v>
      </c>
      <c r="E192" t="inlineStr">
        <is>
          <t>MEGH STEELS PRIVATE LIMITED - TVS A</t>
        </is>
      </c>
      <c r="F192" t="n">
        <v>703</v>
      </c>
      <c r="G192" t="inlineStr">
        <is>
          <t>Direct</t>
        </is>
      </c>
      <c r="H192" t="inlineStr">
        <is>
          <t>15.88-0-1.2-ERW 1-PE</t>
        </is>
      </c>
      <c r="I192" t="inlineStr">
        <is>
          <t>15.88-0-1.2-ERW 1-PE-1.31</t>
        </is>
      </c>
      <c r="J192" t="n">
        <v>1.31</v>
      </c>
      <c r="K192" t="inlineStr">
        <is>
          <t>CTL</t>
        </is>
      </c>
    </row>
    <row r="193" hidden="1" s="584">
      <c r="A193" t="n">
        <v>1940046</v>
      </c>
      <c r="B193" t="inlineStr">
        <is>
          <t>TUB-O-O-AUT-AW-PE-15.88X1.200X1.3100</t>
        </is>
      </c>
      <c r="C193" t="n">
        <v>0.022575</v>
      </c>
      <c r="D193" t="n">
        <v>789</v>
      </c>
      <c r="E193" t="inlineStr">
        <is>
          <t>MEGH STEELS PRIVATE LIMITED - TVS A</t>
        </is>
      </c>
      <c r="F193" t="n">
        <v>704</v>
      </c>
      <c r="G193" t="inlineStr">
        <is>
          <t>Direct</t>
        </is>
      </c>
      <c r="H193" t="inlineStr">
        <is>
          <t>15.88-0-1.2-ERW 1-PE</t>
        </is>
      </c>
      <c r="I193" t="inlineStr">
        <is>
          <t>15.88-0-1.2-ERW 1-PE-1.31</t>
        </is>
      </c>
      <c r="J193" t="n">
        <v>1.31</v>
      </c>
      <c r="K193" t="inlineStr">
        <is>
          <t>CTL</t>
        </is>
      </c>
    </row>
    <row r="194" hidden="1" s="584">
      <c r="A194" t="n">
        <v>3931304</v>
      </c>
      <c r="B194" t="inlineStr">
        <is>
          <t>TUB-O-N-AUT-AW-FC-38.10X1.600X5.3500</t>
        </is>
      </c>
      <c r="C194" t="n">
        <v>0.371211</v>
      </c>
      <c r="D194" t="n">
        <v>789</v>
      </c>
      <c r="E194" t="inlineStr">
        <is>
          <t>Metalman Auto Private Limited</t>
        </is>
      </c>
      <c r="F194" t="n">
        <v>73</v>
      </c>
      <c r="G194" t="inlineStr">
        <is>
          <t>TVS</t>
        </is>
      </c>
      <c r="H194" t="inlineStr">
        <is>
          <t>38.1-0-1.6-ERW 2 MAHS-FC</t>
        </is>
      </c>
      <c r="I194" t="inlineStr">
        <is>
          <t>38.1-0-1.6-ERW 2 MAHS-FC-1</t>
        </is>
      </c>
      <c r="J194" t="n">
        <v>5.35</v>
      </c>
      <c r="K194" t="inlineStr">
        <is>
          <t>LL</t>
        </is>
      </c>
    </row>
    <row r="195" hidden="1" s="584">
      <c r="A195" t="n">
        <v>1940416</v>
      </c>
      <c r="B195" t="inlineStr">
        <is>
          <t>TUB-O-O-AUT-AW-PE-22.23X1.60X0.935-MAHS</t>
        </is>
      </c>
      <c r="C195" t="n">
        <v>0.1522</v>
      </c>
      <c r="D195" t="n">
        <v>789</v>
      </c>
      <c r="E195" t="inlineStr">
        <is>
          <t>SANDHAR ENGINEERING PVTLTD(KA)U-III</t>
        </is>
      </c>
      <c r="F195" t="n">
        <v>108</v>
      </c>
      <c r="G195" t="inlineStr">
        <is>
          <t>TVS</t>
        </is>
      </c>
      <c r="H195" t="inlineStr">
        <is>
          <t>22.23-0-1.6-ERW 2 MAHS-PE</t>
        </is>
      </c>
      <c r="I195" t="inlineStr">
        <is>
          <t>22.23-0-1.6-ERW 2 MAHS-PE-0.935</t>
        </is>
      </c>
      <c r="J195" t="n">
        <v>0.9350000000000001</v>
      </c>
      <c r="K195" t="inlineStr">
        <is>
          <t>CTL</t>
        </is>
      </c>
    </row>
    <row r="196" hidden="1" s="584">
      <c r="A196" t="n">
        <v>1940416</v>
      </c>
      <c r="B196" t="inlineStr">
        <is>
          <t>TUB-O-O-AUT-AW-PE-22.23X1.60X0.935-MAHS</t>
        </is>
      </c>
      <c r="C196" t="n">
        <v>0.34245</v>
      </c>
      <c r="D196" t="n">
        <v>789</v>
      </c>
      <c r="E196" t="inlineStr">
        <is>
          <t>SANDHAR ENGINEERING PVTLTD(KA)U-III</t>
        </is>
      </c>
      <c r="F196" t="n">
        <v>109</v>
      </c>
      <c r="G196" t="inlineStr">
        <is>
          <t>TVS</t>
        </is>
      </c>
      <c r="H196" t="inlineStr">
        <is>
          <t>22.23-0-1.6-ERW 2 MAHS-PE</t>
        </is>
      </c>
      <c r="I196" t="inlineStr">
        <is>
          <t>22.23-0-1.6-ERW 2 MAHS-PE-0.935</t>
        </is>
      </c>
      <c r="J196" t="n">
        <v>0.9350000000000001</v>
      </c>
      <c r="K196" t="inlineStr">
        <is>
          <t>CTL</t>
        </is>
      </c>
    </row>
    <row r="197" hidden="1" s="584">
      <c r="A197" t="n">
        <v>1940416</v>
      </c>
      <c r="B197" t="inlineStr">
        <is>
          <t>TUB-O-O-AUT-AW-PE-22.23X1.60X0.935-MAHS</t>
        </is>
      </c>
      <c r="C197" t="n">
        <v>0.144309</v>
      </c>
      <c r="D197" t="n">
        <v>789</v>
      </c>
      <c r="E197" t="inlineStr">
        <is>
          <t>SANDHAR ENGINEERING PVTLTD(KA)U-III</t>
        </is>
      </c>
      <c r="F197" t="n">
        <v>288</v>
      </c>
      <c r="G197" t="inlineStr">
        <is>
          <t>TVS</t>
        </is>
      </c>
      <c r="H197" t="inlineStr">
        <is>
          <t>22.23-0-1.6-ERW 2 MAHS-PE</t>
        </is>
      </c>
      <c r="I197" t="inlineStr">
        <is>
          <t>22.23-0-1.6-ERW 2 MAHS-PE-0.935</t>
        </is>
      </c>
      <c r="J197" t="n">
        <v>0.9350000000000001</v>
      </c>
      <c r="K197" t="inlineStr">
        <is>
          <t>CTL</t>
        </is>
      </c>
    </row>
    <row r="198" hidden="1" s="584">
      <c r="A198" t="n">
        <v>1940478</v>
      </c>
      <c r="B198" t="inlineStr">
        <is>
          <t>TUB-O-O-AUT-AW-PE-22.23X2.00X0.905-MAHS</t>
        </is>
      </c>
      <c r="C198" t="n">
        <v>0.474075</v>
      </c>
      <c r="D198" t="n">
        <v>789</v>
      </c>
      <c r="E198" t="inlineStr">
        <is>
          <t>SANDHAR ENGINEERING PVTLTD(KA)U-III</t>
        </is>
      </c>
      <c r="F198" t="n">
        <v>111</v>
      </c>
      <c r="G198" t="inlineStr">
        <is>
          <t>TVS</t>
        </is>
      </c>
      <c r="H198" t="inlineStr">
        <is>
          <t>22.23-0-2-ERW 2 MAHS-PE</t>
        </is>
      </c>
      <c r="I198" t="inlineStr">
        <is>
          <t>22.23-0-2-ERW 2 MAHS-PE-0.905</t>
        </is>
      </c>
      <c r="J198" t="n">
        <v>0.905</v>
      </c>
      <c r="K198" t="inlineStr">
        <is>
          <t>CTL</t>
        </is>
      </c>
    </row>
    <row r="199" hidden="1" s="584">
      <c r="A199" t="n">
        <v>1940478</v>
      </c>
      <c r="B199" t="inlineStr">
        <is>
          <t>TUB-O-O-AUT-AW-PE-22.23X2.00X0.905-MAHS</t>
        </is>
      </c>
      <c r="C199" t="n">
        <v>0.008147</v>
      </c>
      <c r="D199" t="n">
        <v>789</v>
      </c>
      <c r="E199" t="inlineStr">
        <is>
          <t>SANDHAR ENGINEERING PVTLTD(KA)U-III</t>
        </is>
      </c>
      <c r="F199" t="n">
        <v>426</v>
      </c>
      <c r="G199" t="inlineStr">
        <is>
          <t>TVS</t>
        </is>
      </c>
      <c r="H199" t="inlineStr">
        <is>
          <t>22.23-0-2-ERW 2 MAHS-PE</t>
        </is>
      </c>
      <c r="I199" t="inlineStr">
        <is>
          <t>22.23-0-2-ERW 2 MAHS-PE-0.905</t>
        </is>
      </c>
      <c r="J199" t="n">
        <v>0.905</v>
      </c>
      <c r="K199" t="inlineStr">
        <is>
          <t>CTL</t>
        </is>
      </c>
    </row>
    <row r="200" hidden="1" s="584">
      <c r="A200" t="n">
        <v>2423535</v>
      </c>
      <c r="B200" t="inlineStr">
        <is>
          <t>TUB-O-N-AUT-AW-PE-22.23X1.200X1.3280</t>
        </is>
      </c>
      <c r="C200" t="n">
        <v>0.022869</v>
      </c>
      <c r="D200" t="n">
        <v>789</v>
      </c>
      <c r="E200" t="inlineStr">
        <is>
          <t>SANDHAR ENGINEERING PVTLTD(KA)U-III</t>
        </is>
      </c>
      <c r="F200" t="n">
        <v>155</v>
      </c>
      <c r="G200" t="inlineStr">
        <is>
          <t>TVS</t>
        </is>
      </c>
      <c r="H200" t="inlineStr">
        <is>
          <t>22.23-0-1.2-ERW 1-PE</t>
        </is>
      </c>
      <c r="I200" t="inlineStr">
        <is>
          <t>22.23-0-1.2-ERW 1-PE-1.328</t>
        </is>
      </c>
      <c r="J200" t="n">
        <v>1.328</v>
      </c>
      <c r="K200" t="inlineStr">
        <is>
          <t>CTL</t>
        </is>
      </c>
    </row>
    <row r="201" hidden="1" s="584">
      <c r="A201" t="n">
        <v>3935312</v>
      </c>
      <c r="B201" t="inlineStr">
        <is>
          <t>CUT-O-N-AUT-AW-PE-15.88X1.220X0.1000</t>
        </is>
      </c>
      <c r="C201" t="n">
        <v>0.00372</v>
      </c>
      <c r="D201" t="n">
        <v>789</v>
      </c>
      <c r="E201" t="inlineStr">
        <is>
          <t>Sri Balaji Gears</t>
        </is>
      </c>
      <c r="F201" t="n">
        <v>1252</v>
      </c>
      <c r="G201" t="inlineStr">
        <is>
          <t>TVS</t>
        </is>
      </c>
      <c r="H201" t="inlineStr">
        <is>
          <t>15.88-0-1.2-ERW 1-PE</t>
        </is>
      </c>
      <c r="I201" t="inlineStr">
        <is>
          <t>15.88-0-1.2-ERW 1-PE-0.1</t>
        </is>
      </c>
      <c r="J201" t="n">
        <v>0.1</v>
      </c>
      <c r="K201" t="inlineStr">
        <is>
          <t>CTL</t>
        </is>
      </c>
    </row>
    <row r="202" hidden="1" s="584">
      <c r="A202" t="n">
        <v>3935312</v>
      </c>
      <c r="B202" t="inlineStr">
        <is>
          <t>CUT-O-N-AUT-AW-PE-15.88X1.220X0.1000</t>
        </is>
      </c>
      <c r="C202" t="n">
        <v>0.086272</v>
      </c>
      <c r="D202" t="n">
        <v>789</v>
      </c>
      <c r="E202" t="inlineStr">
        <is>
          <t>Sri Balaji Gears</t>
        </is>
      </c>
      <c r="F202" t="n">
        <v>1253</v>
      </c>
      <c r="G202" t="inlineStr">
        <is>
          <t>TVS</t>
        </is>
      </c>
      <c r="H202" t="inlineStr">
        <is>
          <t>15.88-0-1.2-ERW 1-PE</t>
        </is>
      </c>
      <c r="I202" t="inlineStr">
        <is>
          <t>15.88-0-1.2-ERW 1-PE-0.1</t>
        </is>
      </c>
      <c r="J202" t="n">
        <v>0.1</v>
      </c>
      <c r="K202" t="inlineStr">
        <is>
          <t>CTL</t>
        </is>
      </c>
    </row>
    <row r="203" hidden="1" s="584">
      <c r="A203" t="n">
        <v>1941860</v>
      </c>
      <c r="B203" t="inlineStr">
        <is>
          <t>TUB-R-AW-RHS-40.00X30.00X1.600X0.4000</t>
        </is>
      </c>
      <c r="C203" t="n">
        <v>0.004493</v>
      </c>
      <c r="D203" t="n">
        <v>789</v>
      </c>
      <c r="E203" t="inlineStr">
        <is>
          <t>TVS MOTOR COMPANY LIMITED</t>
        </is>
      </c>
      <c r="F203" t="n">
        <v>129</v>
      </c>
      <c r="G203" t="inlineStr">
        <is>
          <t>TVS</t>
        </is>
      </c>
      <c r="H203" t="inlineStr">
        <is>
          <t>40-30-1.6-ERW 1-FC</t>
        </is>
      </c>
      <c r="I203" t="inlineStr">
        <is>
          <t>40-30-1.6-ERW 1-FC-0.4</t>
        </is>
      </c>
      <c r="J203" t="n">
        <v>0.4</v>
      </c>
      <c r="K203" t="inlineStr">
        <is>
          <t>CTL</t>
        </is>
      </c>
    </row>
    <row r="204" hidden="1" s="584">
      <c r="A204" t="n">
        <v>4104140</v>
      </c>
      <c r="B204" t="inlineStr">
        <is>
          <t>TUB-O-N-AUT-AW-PE-15.88X1.220X0.1500</t>
        </is>
      </c>
      <c r="C204" t="n">
        <v>0.005587</v>
      </c>
      <c r="D204" t="n">
        <v>789</v>
      </c>
      <c r="E204" t="inlineStr">
        <is>
          <t>Sri Balaji Gears</t>
        </is>
      </c>
      <c r="F204" t="n">
        <v>1256</v>
      </c>
      <c r="G204" t="inlineStr">
        <is>
          <t>TVS</t>
        </is>
      </c>
      <c r="H204" t="inlineStr">
        <is>
          <t>15.88-0-1.2-ERW 1-PE</t>
        </is>
      </c>
      <c r="I204" t="inlineStr">
        <is>
          <t>15.88-0-1.2-ERW 1-PE-0.15</t>
        </is>
      </c>
      <c r="J204" t="n">
        <v>0.15</v>
      </c>
      <c r="K204" t="inlineStr">
        <is>
          <t>CTL</t>
        </is>
      </c>
    </row>
    <row r="205" hidden="1" s="584">
      <c r="A205" t="n">
        <v>4104140</v>
      </c>
      <c r="B205" t="inlineStr">
        <is>
          <t>TUB-O-N-AUT-AW-PE-15.88X1.220X0.1500</t>
        </is>
      </c>
      <c r="C205" t="n">
        <v>0.032281</v>
      </c>
      <c r="D205" t="n">
        <v>789</v>
      </c>
      <c r="E205" t="inlineStr">
        <is>
          <t>Sri Balaji Gears</t>
        </is>
      </c>
      <c r="F205" t="n">
        <v>1257</v>
      </c>
      <c r="G205" t="inlineStr">
        <is>
          <t>TVS</t>
        </is>
      </c>
      <c r="H205" t="inlineStr">
        <is>
          <t>15.88-0-1.2-ERW 1-PE</t>
        </is>
      </c>
      <c r="I205" t="inlineStr">
        <is>
          <t>15.88-0-1.2-ERW 1-PE-0.15</t>
        </is>
      </c>
      <c r="J205" t="n">
        <v>0.15</v>
      </c>
      <c r="K205" t="inlineStr">
        <is>
          <t>CTL</t>
        </is>
      </c>
    </row>
    <row r="206" hidden="1" s="584">
      <c r="A206" t="n">
        <v>4104140</v>
      </c>
      <c r="B206" t="inlineStr">
        <is>
          <t>TUB-O-N-AUT-AW-PE-15.88X1.220X0.1500</t>
        </is>
      </c>
      <c r="C206" t="n">
        <v>0.894833</v>
      </c>
      <c r="D206" t="n">
        <v>789</v>
      </c>
      <c r="E206" t="inlineStr">
        <is>
          <t>Sri Balaji Gears</t>
        </is>
      </c>
      <c r="F206" t="n">
        <v>1258</v>
      </c>
      <c r="G206" t="inlineStr">
        <is>
          <t>TVS</t>
        </is>
      </c>
      <c r="H206" t="inlineStr">
        <is>
          <t>15.88-0-1.2-ERW 1-PE</t>
        </is>
      </c>
      <c r="I206" t="inlineStr">
        <is>
          <t>15.88-0-1.2-ERW 1-PE-0.15</t>
        </is>
      </c>
      <c r="J206" t="n">
        <v>0.15</v>
      </c>
      <c r="K206" t="inlineStr">
        <is>
          <t>CTL</t>
        </is>
      </c>
    </row>
    <row r="207" hidden="1" s="584">
      <c r="A207" t="n">
        <v>3701579</v>
      </c>
      <c r="B207" t="inlineStr">
        <is>
          <t>TUB-O-N-AUT-AW-PE-15.88X1.220X6.0000</t>
        </is>
      </c>
      <c r="C207" t="n">
        <v>0.170849</v>
      </c>
      <c r="D207" t="n">
        <v>4731</v>
      </c>
      <c r="E207" t="inlineStr">
        <is>
          <t>BALAJI PRESS PRODUCTS INDIA</t>
        </is>
      </c>
      <c r="F207" t="n">
        <v>1735</v>
      </c>
      <c r="G207" t="inlineStr">
        <is>
          <t>TVS</t>
        </is>
      </c>
      <c r="H207" t="inlineStr">
        <is>
          <t>15.88-0-1.2-ERW 1-PE</t>
        </is>
      </c>
      <c r="I207" t="inlineStr">
        <is>
          <t>15.88-0-1.2-ERW 1-PE-1</t>
        </is>
      </c>
      <c r="J207" t="n">
        <v>6</v>
      </c>
      <c r="K207" t="inlineStr">
        <is>
          <t>LL</t>
        </is>
      </c>
    </row>
    <row r="208" hidden="1" s="584">
      <c r="A208" t="n">
        <v>4096696</v>
      </c>
      <c r="B208" t="inlineStr">
        <is>
          <t>TUB-O-N-AUT-AW-PE-15.88X1.600X0.1500</t>
        </is>
      </c>
      <c r="C208" t="n">
        <v>0.002053</v>
      </c>
      <c r="D208" t="n">
        <v>789</v>
      </c>
      <c r="E208" t="inlineStr">
        <is>
          <t>ELKAYEM AUTO ANCILLARIES PRIVATE LI</t>
        </is>
      </c>
      <c r="F208" t="n">
        <v>627</v>
      </c>
      <c r="G208" t="inlineStr">
        <is>
          <t>TVS</t>
        </is>
      </c>
      <c r="H208" t="inlineStr">
        <is>
          <t>15.88-0-1.6-ERW 1-PE</t>
        </is>
      </c>
      <c r="I208" t="inlineStr">
        <is>
          <t>15.88-0-1.6-ERW 1-PE-0.15</t>
        </is>
      </c>
      <c r="J208" t="n">
        <v>0.15</v>
      </c>
      <c r="K208" t="inlineStr">
        <is>
          <t>CTL</t>
        </is>
      </c>
    </row>
    <row r="209" hidden="1" s="584">
      <c r="A209" t="n">
        <v>4096696</v>
      </c>
      <c r="B209" t="inlineStr">
        <is>
          <t>TUB-O-N-AUT-AW-PE-15.88X1.600X0.1500</t>
        </is>
      </c>
      <c r="C209" t="n">
        <v>0.000217</v>
      </c>
      <c r="D209" t="n">
        <v>789</v>
      </c>
      <c r="E209" t="inlineStr">
        <is>
          <t>ELKAYEM AUTO ANCILLARIES PRIVATE LI</t>
        </is>
      </c>
      <c r="F209" t="n">
        <v>628</v>
      </c>
      <c r="G209" t="inlineStr">
        <is>
          <t>TVS</t>
        </is>
      </c>
      <c r="H209" t="inlineStr">
        <is>
          <t>15.88-0-1.6-ERW 1-PE</t>
        </is>
      </c>
      <c r="I209" t="inlineStr">
        <is>
          <t>15.88-0-1.6-ERW 1-PE-0.15</t>
        </is>
      </c>
      <c r="J209" t="n">
        <v>0.15</v>
      </c>
      <c r="K209" t="inlineStr">
        <is>
          <t>CTL</t>
        </is>
      </c>
    </row>
    <row r="210" hidden="1" s="584">
      <c r="A210" t="n">
        <v>4096695</v>
      </c>
      <c r="B210" t="inlineStr">
        <is>
          <t>TUB-O-N-AUT-AW-PE-15.88X1.600X0.1540</t>
        </is>
      </c>
      <c r="C210" t="n">
        <v>0.00055</v>
      </c>
      <c r="D210" t="n">
        <v>789</v>
      </c>
      <c r="E210" t="inlineStr">
        <is>
          <t>ELKAYEM AUTO ANCILLARIES PRIVATE LI</t>
        </is>
      </c>
      <c r="F210" t="n">
        <v>696</v>
      </c>
      <c r="G210" t="inlineStr">
        <is>
          <t>TVS</t>
        </is>
      </c>
      <c r="H210" t="inlineStr">
        <is>
          <t>15.88-0-1.6-ERW 1-PE</t>
        </is>
      </c>
      <c r="I210" t="inlineStr">
        <is>
          <t>15.88-0-1.6-ERW 1-PE-0.154</t>
        </is>
      </c>
      <c r="J210" t="n">
        <v>0.154</v>
      </c>
      <c r="K210" t="inlineStr">
        <is>
          <t>CTL</t>
        </is>
      </c>
    </row>
    <row r="211" hidden="1" s="584">
      <c r="A211" t="n">
        <v>4096695</v>
      </c>
      <c r="B211" t="inlineStr">
        <is>
          <t>TUB-O-N-AUT-AW-PE-15.88X1.600X0.1540</t>
        </is>
      </c>
      <c r="C211" t="n">
        <v>0.001431</v>
      </c>
      <c r="D211" t="n">
        <v>789</v>
      </c>
      <c r="E211" t="inlineStr">
        <is>
          <t>ELKAYEM AUTO ANCILLARIES PRIVATE LI</t>
        </is>
      </c>
      <c r="F211" t="n">
        <v>697</v>
      </c>
      <c r="G211" t="inlineStr">
        <is>
          <t>TVS</t>
        </is>
      </c>
      <c r="H211" t="inlineStr">
        <is>
          <t>15.88-0-1.6-ERW 1-PE</t>
        </is>
      </c>
      <c r="I211" t="inlineStr">
        <is>
          <t>15.88-0-1.6-ERW 1-PE-0.154</t>
        </is>
      </c>
      <c r="J211" t="n">
        <v>0.154</v>
      </c>
      <c r="K211" t="inlineStr">
        <is>
          <t>CTL</t>
        </is>
      </c>
    </row>
    <row r="212" hidden="1" s="584">
      <c r="A212" t="n">
        <v>3620428</v>
      </c>
      <c r="B212" t="inlineStr">
        <is>
          <t>TUB-O-N-AUT-AW-PE-15.88X1.600X0.4350</t>
        </is>
      </c>
      <c r="C212" t="n">
        <v>0.001748</v>
      </c>
      <c r="D212" t="n">
        <v>789</v>
      </c>
      <c r="E212" t="inlineStr">
        <is>
          <t>SRIKAM HITECH ENGINEERING PRIVATE L</t>
        </is>
      </c>
      <c r="F212" t="n">
        <v>349</v>
      </c>
      <c r="G212" t="inlineStr">
        <is>
          <t>TVS</t>
        </is>
      </c>
      <c r="H212" t="inlineStr">
        <is>
          <t>15.88-0-1.6-ERW 1-PE</t>
        </is>
      </c>
      <c r="I212" t="inlineStr">
        <is>
          <t>15.88-0-1.6-ERW 1-PE-0.435</t>
        </is>
      </c>
      <c r="J212" t="n">
        <v>0.435</v>
      </c>
      <c r="K212" t="inlineStr">
        <is>
          <t>CTL</t>
        </is>
      </c>
    </row>
    <row r="213" hidden="1" s="584">
      <c r="A213" t="n">
        <v>3620428</v>
      </c>
      <c r="B213" t="inlineStr">
        <is>
          <t>TUB-O-N-AUT-AW-PE-15.88X1.600X0.4350</t>
        </is>
      </c>
      <c r="C213" t="n">
        <v>1.79</v>
      </c>
      <c r="D213" t="n">
        <v>789</v>
      </c>
      <c r="E213" t="inlineStr">
        <is>
          <t>SRIKAM HITECH ENGINEERING PRIVATE L</t>
        </is>
      </c>
      <c r="F213" t="n">
        <v>839</v>
      </c>
      <c r="G213" t="inlineStr">
        <is>
          <t>TVS</t>
        </is>
      </c>
      <c r="H213" t="inlineStr">
        <is>
          <t>15.88-0-1.6-ERW 1-PE</t>
        </is>
      </c>
      <c r="I213" t="inlineStr">
        <is>
          <t>15.88-0-1.6-ERW 1-PE-0.435</t>
        </is>
      </c>
      <c r="J213" t="n">
        <v>0.435</v>
      </c>
      <c r="K213" t="inlineStr">
        <is>
          <t>CTL</t>
        </is>
      </c>
    </row>
    <row r="214" hidden="1" s="584">
      <c r="A214" t="n">
        <v>3620428</v>
      </c>
      <c r="B214" t="inlineStr">
        <is>
          <t>TUB-O-N-AUT-AW-PE-15.88X1.600X0.4350</t>
        </is>
      </c>
      <c r="C214" t="n">
        <v>0.585</v>
      </c>
      <c r="D214" t="n">
        <v>789</v>
      </c>
      <c r="E214" t="inlineStr">
        <is>
          <t>SRIKAM HITECH ENGINEERING PRIVATE L</t>
        </is>
      </c>
      <c r="F214" t="n">
        <v>840</v>
      </c>
      <c r="G214" t="inlineStr">
        <is>
          <t>TVS</t>
        </is>
      </c>
      <c r="H214" t="inlineStr">
        <is>
          <t>15.88-0-1.6-ERW 1-PE</t>
        </is>
      </c>
      <c r="I214" t="inlineStr">
        <is>
          <t>15.88-0-1.6-ERW 1-PE-0.435</t>
        </is>
      </c>
      <c r="J214" t="n">
        <v>0.435</v>
      </c>
      <c r="K214" t="inlineStr">
        <is>
          <t>CTL</t>
        </is>
      </c>
    </row>
    <row r="215" hidden="1" s="584">
      <c r="A215" t="n">
        <v>3460088</v>
      </c>
      <c r="B215" t="inlineStr">
        <is>
          <t>TUB-O-N-AUT-AW-FC-48.00X1.200X5.6700</t>
        </is>
      </c>
      <c r="C215" t="n">
        <v>0.304046</v>
      </c>
      <c r="D215" t="n">
        <v>789</v>
      </c>
      <c r="E215" t="inlineStr">
        <is>
          <t>MEGH STEELS PRIVATE LIMITED - RE</t>
        </is>
      </c>
      <c r="F215" t="n">
        <v>176</v>
      </c>
      <c r="G215" t="inlineStr">
        <is>
          <t>Direct</t>
        </is>
      </c>
      <c r="H215" t="inlineStr">
        <is>
          <t>48-0-1.2-ERW 1-FIN CUT</t>
        </is>
      </c>
      <c r="I215" t="inlineStr">
        <is>
          <t>48--1.2-ERW 1-FIN CUT-1</t>
        </is>
      </c>
      <c r="J215" t="n">
        <v>5.67</v>
      </c>
      <c r="K215" t="inlineStr">
        <is>
          <t>LL</t>
        </is>
      </c>
    </row>
    <row r="216" hidden="1" s="584">
      <c r="A216" t="n">
        <v>3460088</v>
      </c>
      <c r="B216" t="inlineStr">
        <is>
          <t>TUB-O-N-AUT-AW-FC-48.00X1.200X5.6700</t>
        </is>
      </c>
      <c r="C216" t="n">
        <v>1.099</v>
      </c>
      <c r="D216" t="n">
        <v>789</v>
      </c>
      <c r="E216" t="inlineStr">
        <is>
          <t>MEGH STEELS PRIVATE LIMITED - RE</t>
        </is>
      </c>
      <c r="F216" t="n">
        <v>177</v>
      </c>
      <c r="G216" t="inlineStr">
        <is>
          <t>Direct</t>
        </is>
      </c>
      <c r="H216" t="inlineStr">
        <is>
          <t>48-0-1.2-ERW 1-FIN CUT</t>
        </is>
      </c>
      <c r="I216" t="inlineStr">
        <is>
          <t>48--1.2-ERW 1-FIN CUT-1</t>
        </is>
      </c>
      <c r="J216" t="n">
        <v>5.67</v>
      </c>
      <c r="K216" t="inlineStr">
        <is>
          <t>LL</t>
        </is>
      </c>
    </row>
    <row r="217" hidden="1" s="584">
      <c r="A217" t="n">
        <v>3460088</v>
      </c>
      <c r="B217" t="inlineStr">
        <is>
          <t>TUB-O-N-AUT-AW-FC-48.00X1.200X5.6700</t>
        </is>
      </c>
      <c r="C217" t="n">
        <v>1.595</v>
      </c>
      <c r="D217" t="n">
        <v>789</v>
      </c>
      <c r="E217" t="inlineStr">
        <is>
          <t>MEGH STEELS PRIVATE LIMITED - RE</t>
        </is>
      </c>
      <c r="F217" t="n">
        <v>178</v>
      </c>
      <c r="G217" t="inlineStr">
        <is>
          <t>Direct</t>
        </is>
      </c>
      <c r="H217" t="inlineStr">
        <is>
          <t>48-0-1.2-ERW 1-FIN CUT</t>
        </is>
      </c>
      <c r="I217" t="inlineStr">
        <is>
          <t>48--1.2-ERW 1-FIN CUT-1</t>
        </is>
      </c>
      <c r="J217" t="n">
        <v>5.67</v>
      </c>
      <c r="K217" t="inlineStr">
        <is>
          <t>LL</t>
        </is>
      </c>
    </row>
    <row r="218" hidden="1" s="584">
      <c r="A218" t="n">
        <v>3460088</v>
      </c>
      <c r="B218" t="inlineStr">
        <is>
          <t>TUB-O-N-AUT-AW-FC-48.00X1.200X5.6700</t>
        </is>
      </c>
      <c r="C218" t="n">
        <v>1.555</v>
      </c>
      <c r="D218" t="n">
        <v>789</v>
      </c>
      <c r="E218" t="inlineStr">
        <is>
          <t>MEGH STEELS PRIVATE LIMITED - RE</t>
        </is>
      </c>
      <c r="F218" t="n">
        <v>179</v>
      </c>
      <c r="G218" t="inlineStr">
        <is>
          <t>Direct</t>
        </is>
      </c>
      <c r="H218" t="inlineStr">
        <is>
          <t>48-0-1.2-ERW 1-FIN CUT</t>
        </is>
      </c>
      <c r="I218" t="inlineStr">
        <is>
          <t>48--1.2-ERW 1-FIN CUT-1</t>
        </is>
      </c>
      <c r="J218" t="n">
        <v>5.67</v>
      </c>
      <c r="K218" t="inlineStr">
        <is>
          <t>LL</t>
        </is>
      </c>
    </row>
    <row r="219" hidden="1" s="584">
      <c r="A219" t="n">
        <v>3460088</v>
      </c>
      <c r="B219" t="inlineStr">
        <is>
          <t>TUB-O-N-AUT-AW-FC-48.00X1.200X5.6700</t>
        </is>
      </c>
      <c r="C219" t="n">
        <v>1.6</v>
      </c>
      <c r="D219" t="n">
        <v>789</v>
      </c>
      <c r="E219" t="inlineStr">
        <is>
          <t>MEGH STEELS PRIVATE LIMITED - RE</t>
        </is>
      </c>
      <c r="F219" t="n">
        <v>180</v>
      </c>
      <c r="G219" t="inlineStr">
        <is>
          <t>Direct</t>
        </is>
      </c>
      <c r="H219" t="inlineStr">
        <is>
          <t>48-0-1.2-ERW 1-FIN CUT</t>
        </is>
      </c>
      <c r="I219" t="inlineStr">
        <is>
          <t>48--1.2-ERW 1-FIN CUT-1</t>
        </is>
      </c>
      <c r="J219" t="n">
        <v>5.67</v>
      </c>
      <c r="K219" t="inlineStr">
        <is>
          <t>LL</t>
        </is>
      </c>
    </row>
    <row r="220" hidden="1" s="584">
      <c r="A220" t="n">
        <v>3460088</v>
      </c>
      <c r="B220" t="inlineStr">
        <is>
          <t>TUB-O-N-AUT-AW-FC-48.00X1.200X5.6700</t>
        </is>
      </c>
      <c r="C220" t="n">
        <v>1.485</v>
      </c>
      <c r="D220" t="n">
        <v>789</v>
      </c>
      <c r="E220" t="inlineStr">
        <is>
          <t>MEGH STEELS PRIVATE LIMITED - RE</t>
        </is>
      </c>
      <c r="F220" t="n">
        <v>181</v>
      </c>
      <c r="G220" t="inlineStr">
        <is>
          <t>Direct</t>
        </is>
      </c>
      <c r="H220" t="inlineStr">
        <is>
          <t>48-0-1.2-ERW 1-FIN CUT</t>
        </is>
      </c>
      <c r="I220" t="inlineStr">
        <is>
          <t>48--1.2-ERW 1-FIN CUT-1</t>
        </is>
      </c>
      <c r="J220" t="n">
        <v>5.67</v>
      </c>
      <c r="K220" t="inlineStr">
        <is>
          <t>LL</t>
        </is>
      </c>
    </row>
    <row r="221" hidden="1" s="584">
      <c r="A221" t="n">
        <v>3460088</v>
      </c>
      <c r="B221" t="inlineStr">
        <is>
          <t>TUB-O-N-AUT-AW-FC-48.00X1.200X5.6700</t>
        </is>
      </c>
      <c r="C221" t="n">
        <v>1.571</v>
      </c>
      <c r="D221" t="n">
        <v>789</v>
      </c>
      <c r="E221" t="inlineStr">
        <is>
          <t>MEGH STEELS PRIVATE LIMITED - RE</t>
        </is>
      </c>
      <c r="F221" t="n">
        <v>182</v>
      </c>
      <c r="G221" t="inlineStr">
        <is>
          <t>Direct</t>
        </is>
      </c>
      <c r="H221" t="inlineStr">
        <is>
          <t>48-0-1.2-ERW 1-FIN CUT</t>
        </is>
      </c>
      <c r="I221" t="inlineStr">
        <is>
          <t>48--1.2-ERW 1-FIN CUT-1</t>
        </is>
      </c>
      <c r="J221" t="n">
        <v>5.67</v>
      </c>
      <c r="K221" t="inlineStr">
        <is>
          <t>LL</t>
        </is>
      </c>
    </row>
    <row r="222" hidden="1" s="584">
      <c r="A222" t="n">
        <v>3460088</v>
      </c>
      <c r="B222" t="inlineStr">
        <is>
          <t>TUB-O-N-AUT-AW-FC-48.00X1.200X5.6700</t>
        </is>
      </c>
      <c r="C222" t="n">
        <v>1.563</v>
      </c>
      <c r="D222" t="n">
        <v>789</v>
      </c>
      <c r="E222" t="inlineStr">
        <is>
          <t>MEGH STEELS PRIVATE LIMITED - RE</t>
        </is>
      </c>
      <c r="F222" t="n">
        <v>183</v>
      </c>
      <c r="G222" t="inlineStr">
        <is>
          <t>Direct</t>
        </is>
      </c>
      <c r="H222" t="inlineStr">
        <is>
          <t>48-0-1.2-ERW 1-FIN CUT</t>
        </is>
      </c>
      <c r="I222" t="inlineStr">
        <is>
          <t>48--1.2-ERW 1-FIN CUT-1</t>
        </is>
      </c>
      <c r="J222" t="n">
        <v>5.67</v>
      </c>
      <c r="K222" t="inlineStr">
        <is>
          <t>LL</t>
        </is>
      </c>
    </row>
    <row r="223" hidden="1" s="584">
      <c r="A223" t="n">
        <v>3460088</v>
      </c>
      <c r="B223" t="inlineStr">
        <is>
          <t>TUB-O-N-AUT-AW-FC-48.00X1.200X5.6700</t>
        </is>
      </c>
      <c r="C223" t="n">
        <v>1.639</v>
      </c>
      <c r="D223" t="n">
        <v>789</v>
      </c>
      <c r="E223" t="inlineStr">
        <is>
          <t>MEGH STEELS PRIVATE LIMITED - RE</t>
        </is>
      </c>
      <c r="F223" t="n">
        <v>184</v>
      </c>
      <c r="G223" t="inlineStr">
        <is>
          <t>Direct</t>
        </is>
      </c>
      <c r="H223" t="inlineStr">
        <is>
          <t>48-0-1.2-ERW 1-FIN CUT</t>
        </is>
      </c>
      <c r="I223" t="inlineStr">
        <is>
          <t>48--1.2-ERW 1-FIN CUT-1</t>
        </is>
      </c>
      <c r="J223" t="n">
        <v>5.67</v>
      </c>
      <c r="K223" t="inlineStr">
        <is>
          <t>LL</t>
        </is>
      </c>
    </row>
    <row r="224" hidden="1" s="584">
      <c r="A224" t="n">
        <v>2420205</v>
      </c>
      <c r="B224" t="inlineStr">
        <is>
          <t>TUB-O-N-AUT-AW-PE-15.88X2.000X0.1550</t>
        </is>
      </c>
      <c r="C224" t="n">
        <v>0.004804</v>
      </c>
      <c r="D224" t="n">
        <v>789</v>
      </c>
      <c r="E224" t="inlineStr">
        <is>
          <t>SRIKAM HITECH ENGINEERING PRIVATE L</t>
        </is>
      </c>
      <c r="F224" t="n">
        <v>305</v>
      </c>
      <c r="G224" t="inlineStr">
        <is>
          <t>TVS</t>
        </is>
      </c>
      <c r="H224" t="inlineStr">
        <is>
          <t>15.88-0-2-ERW 1-PE</t>
        </is>
      </c>
      <c r="I224" t="inlineStr">
        <is>
          <t>15.88-0-2-ERW 1-PE-0.155</t>
        </is>
      </c>
      <c r="J224" t="n">
        <v>0.155</v>
      </c>
      <c r="K224" t="inlineStr">
        <is>
          <t>CTL</t>
        </is>
      </c>
    </row>
    <row r="225" hidden="1" s="584">
      <c r="A225" t="n">
        <v>3706751</v>
      </c>
      <c r="B225" t="inlineStr">
        <is>
          <t>CUT-O-N-AUT-AW-PE-15.88X2.000X0.1600</t>
        </is>
      </c>
      <c r="C225" t="n">
        <v>0.00394</v>
      </c>
      <c r="D225" t="n">
        <v>789</v>
      </c>
      <c r="E225" t="inlineStr">
        <is>
          <t>SRIKAM HITECH ENGINEERING PRIVATE L</t>
        </is>
      </c>
      <c r="F225" t="n">
        <v>478</v>
      </c>
      <c r="G225" t="inlineStr">
        <is>
          <t>TVS</t>
        </is>
      </c>
      <c r="H225" t="inlineStr">
        <is>
          <t>15.88-0-2-ERW 1-PE</t>
        </is>
      </c>
      <c r="I225" t="inlineStr">
        <is>
          <t>15.88-0-2-ERW 1-PE-0.16</t>
        </is>
      </c>
      <c r="J225" t="n">
        <v>0.16</v>
      </c>
      <c r="K225" t="inlineStr">
        <is>
          <t>CTL</t>
        </is>
      </c>
    </row>
    <row r="226" hidden="1" s="584">
      <c r="A226" t="n">
        <v>3502256</v>
      </c>
      <c r="B226" t="inlineStr">
        <is>
          <t>TUB-O-N-AUT-AW-PE-25.40X2.500X5.5300</t>
        </is>
      </c>
      <c r="C226" t="n">
        <v>0.716</v>
      </c>
      <c r="D226" t="n">
        <v>789</v>
      </c>
      <c r="E226" t="inlineStr">
        <is>
          <t>MEGH STEELS PRIVATE LIMITED - TVS A</t>
        </is>
      </c>
      <c r="F226" t="n">
        <v>186</v>
      </c>
      <c r="G226" t="inlineStr">
        <is>
          <t>Direct</t>
        </is>
      </c>
      <c r="H226" t="inlineStr">
        <is>
          <t>25.4-0-2.5-ERW 1-PE</t>
        </is>
      </c>
      <c r="I226" t="inlineStr">
        <is>
          <t>25.4-0-2.5-ERW 1-PE-1</t>
        </is>
      </c>
      <c r="J226" t="n">
        <v>5.53</v>
      </c>
      <c r="K226" t="inlineStr">
        <is>
          <t>LL</t>
        </is>
      </c>
    </row>
    <row r="227" hidden="1" s="584">
      <c r="A227" t="n">
        <v>3502256</v>
      </c>
      <c r="B227" t="inlineStr">
        <is>
          <t>TUB-O-N-AUT-AW-PE-25.40X2.500X5.5300</t>
        </is>
      </c>
      <c r="C227" t="n">
        <v>3.124</v>
      </c>
      <c r="D227" t="n">
        <v>789</v>
      </c>
      <c r="E227" t="inlineStr">
        <is>
          <t>MEGH STEELS PRIVATE LIMITED - TVS A</t>
        </is>
      </c>
      <c r="F227" t="n">
        <v>187</v>
      </c>
      <c r="G227" t="inlineStr">
        <is>
          <t>Direct</t>
        </is>
      </c>
      <c r="H227" t="inlineStr">
        <is>
          <t>25.4-0-2.5-ERW 1-PE</t>
        </is>
      </c>
      <c r="I227" t="inlineStr">
        <is>
          <t>25.4-0-2.5-ERW 1-PE-1</t>
        </is>
      </c>
      <c r="J227" t="n">
        <v>5.53</v>
      </c>
      <c r="K227" t="inlineStr">
        <is>
          <t>LL</t>
        </is>
      </c>
    </row>
    <row r="228" hidden="1" s="584">
      <c r="A228" t="n">
        <v>1940090</v>
      </c>
      <c r="B228" t="inlineStr">
        <is>
          <t>TUB-O-O-AUT-AW-PE-15.88X2.000X0.2910</t>
        </is>
      </c>
      <c r="C228" t="n">
        <v>0.293634</v>
      </c>
      <c r="D228" t="n">
        <v>789</v>
      </c>
      <c r="E228" t="inlineStr">
        <is>
          <t>Rajsriya Automotive Industries</t>
        </is>
      </c>
      <c r="F228" t="n">
        <v>418</v>
      </c>
      <c r="G228" t="inlineStr">
        <is>
          <t>TVS</t>
        </is>
      </c>
      <c r="H228" t="inlineStr">
        <is>
          <t>15.88-0-2-ERW 1-PE</t>
        </is>
      </c>
      <c r="I228" t="inlineStr">
        <is>
          <t>15.88-0-2-ERW 1-PE-0.291</t>
        </is>
      </c>
      <c r="J228" t="n">
        <v>0.291</v>
      </c>
      <c r="K228" t="inlineStr">
        <is>
          <t>CTL</t>
        </is>
      </c>
    </row>
    <row r="229" hidden="1" s="584">
      <c r="A229" t="n">
        <v>3502339</v>
      </c>
      <c r="B229" t="inlineStr">
        <is>
          <t>TUB-O-N-AUT-AW-FC-38.10X1.600X6.1900</t>
        </is>
      </c>
      <c r="C229" t="n">
        <v>0.131</v>
      </c>
      <c r="D229" t="n">
        <v>789</v>
      </c>
      <c r="E229" t="inlineStr">
        <is>
          <t>MEGH STEELS PRIVATE LIMITED - TVS A</t>
        </is>
      </c>
      <c r="F229" t="n">
        <v>188</v>
      </c>
      <c r="G229" t="inlineStr">
        <is>
          <t>Direct</t>
        </is>
      </c>
      <c r="H229" t="inlineStr">
        <is>
          <t>38.1-0-1.6-ERW 1.6 MAHS-FC</t>
        </is>
      </c>
      <c r="I229" t="inlineStr">
        <is>
          <t>38.1-0-1.6-ERW 1.6 MAHS-FC-1</t>
        </is>
      </c>
      <c r="J229" t="n">
        <v>6.19</v>
      </c>
      <c r="K229" t="inlineStr">
        <is>
          <t>LL</t>
        </is>
      </c>
    </row>
    <row r="230" hidden="1" s="584">
      <c r="A230" t="n">
        <v>3507464</v>
      </c>
      <c r="B230" t="inlineStr">
        <is>
          <t>CUT-O-N-AUT-AW-PE-19.05X2.000X0.7750</t>
        </is>
      </c>
      <c r="C230" t="n">
        <v>0.270648</v>
      </c>
      <c r="D230" t="n">
        <v>789</v>
      </c>
      <c r="E230" t="inlineStr">
        <is>
          <t>Rajsriya Automotive Industries</t>
        </is>
      </c>
      <c r="F230" t="n">
        <v>189</v>
      </c>
      <c r="G230" t="inlineStr">
        <is>
          <t>TVS</t>
        </is>
      </c>
      <c r="H230" t="inlineStr">
        <is>
          <t>19.05-0-2-ERW 1-PE</t>
        </is>
      </c>
      <c r="I230" t="inlineStr">
        <is>
          <t>19.05-0-2-ERW 1-PE-0.775</t>
        </is>
      </c>
      <c r="J230" t="n">
        <v>0.775</v>
      </c>
      <c r="K230" t="inlineStr">
        <is>
          <t>CTL</t>
        </is>
      </c>
    </row>
    <row r="231" hidden="1" s="584">
      <c r="A231" t="n">
        <v>3616911</v>
      </c>
      <c r="B231" t="inlineStr">
        <is>
          <t>TUB-O-N-AUT-AW-FC-25.40X2.000X0.3500</t>
        </is>
      </c>
      <c r="C231" t="n">
        <v>0.12871</v>
      </c>
      <c r="D231" t="n">
        <v>789</v>
      </c>
      <c r="E231" t="inlineStr">
        <is>
          <t>ELKAYEM AUTO ANCILLARIES PVT LTD -U</t>
        </is>
      </c>
      <c r="F231" t="n">
        <v>204</v>
      </c>
      <c r="G231" t="inlineStr">
        <is>
          <t>TVS</t>
        </is>
      </c>
      <c r="H231" t="inlineStr">
        <is>
          <t>25.4-0-2-ERW 1-FC</t>
        </is>
      </c>
      <c r="I231" t="inlineStr">
        <is>
          <t>25.4-0-2-ERW 1-FC-0.35</t>
        </is>
      </c>
      <c r="J231" t="n">
        <v>0.35</v>
      </c>
      <c r="K231" t="inlineStr">
        <is>
          <t>CTL</t>
        </is>
      </c>
    </row>
    <row r="232" hidden="1" s="584">
      <c r="A232" t="n">
        <v>3616911</v>
      </c>
      <c r="B232" t="inlineStr">
        <is>
          <t>TUB-O-N-AUT-AW-FC-25.40X2.000X0.3500</t>
        </is>
      </c>
      <c r="C232" t="n">
        <v>0.49632</v>
      </c>
      <c r="D232" t="n">
        <v>4731</v>
      </c>
      <c r="E232" t="inlineStr">
        <is>
          <t>ELKAYEM AUTO ANCILLARIES PVT LTD -U</t>
        </is>
      </c>
      <c r="F232" t="n">
        <v>1698</v>
      </c>
      <c r="G232" t="inlineStr">
        <is>
          <t>TVS</t>
        </is>
      </c>
      <c r="H232" t="inlineStr">
        <is>
          <t>25.4-0-2-ERW 1-FC</t>
        </is>
      </c>
      <c r="I232" t="inlineStr">
        <is>
          <t>25.4-0-2-ERW 1-FC-0.35</t>
        </is>
      </c>
      <c r="J232" t="n">
        <v>0.35</v>
      </c>
      <c r="K232" t="inlineStr">
        <is>
          <t>CTL</t>
        </is>
      </c>
    </row>
    <row r="233" hidden="1" s="584">
      <c r="A233" t="n">
        <v>3616911</v>
      </c>
      <c r="B233" t="inlineStr">
        <is>
          <t>TUB-O-N-AUT-AW-FC-25.40X2.000X0.3500</t>
        </is>
      </c>
      <c r="C233" t="n">
        <v>0.178176</v>
      </c>
      <c r="D233" t="n">
        <v>4731</v>
      </c>
      <c r="E233" t="inlineStr">
        <is>
          <t>ELKAYEM AUTO ANCILLARIES PVT LTD -U</t>
        </is>
      </c>
      <c r="F233" t="n">
        <v>1699</v>
      </c>
      <c r="G233" t="inlineStr">
        <is>
          <t>TVS</t>
        </is>
      </c>
      <c r="H233" t="inlineStr">
        <is>
          <t>25.4-0-2-ERW 1-FC</t>
        </is>
      </c>
      <c r="I233" t="inlineStr">
        <is>
          <t>25.4-0-2-ERW 1-FC-0.35</t>
        </is>
      </c>
      <c r="J233" t="n">
        <v>0.35</v>
      </c>
      <c r="K233" t="inlineStr">
        <is>
          <t>CTL</t>
        </is>
      </c>
    </row>
    <row r="234" hidden="1" s="584">
      <c r="A234" t="n">
        <v>3714733</v>
      </c>
      <c r="B234" t="inlineStr">
        <is>
          <t>TUB-O-N-AUT-AW-PE-22.23X1.600X0.690</t>
        </is>
      </c>
      <c r="C234" t="n">
        <v>0.012706</v>
      </c>
      <c r="D234" t="n">
        <v>789</v>
      </c>
      <c r="E234" t="inlineStr">
        <is>
          <t>Sandhar EngineeringPvt.Ltd.(KA)-Uni</t>
        </is>
      </c>
      <c r="F234" t="n">
        <v>206</v>
      </c>
      <c r="G234" t="inlineStr">
        <is>
          <t>TVS</t>
        </is>
      </c>
      <c r="H234" t="inlineStr">
        <is>
          <t>22.23-0-1.6-ERW 1-PE</t>
        </is>
      </c>
      <c r="I234" t="inlineStr">
        <is>
          <t>22.23-0-1.6-ERW 1-PE-0.69</t>
        </is>
      </c>
      <c r="J234" t="n">
        <v>0.6899999999999999</v>
      </c>
      <c r="K234" t="inlineStr">
        <is>
          <t>CTL</t>
        </is>
      </c>
    </row>
    <row r="235" hidden="1" s="584">
      <c r="A235" t="n">
        <v>3731692</v>
      </c>
      <c r="B235" t="inlineStr">
        <is>
          <t>TUB-R-AW-AUT-40.00X20.00X1.210X5.3100</t>
        </is>
      </c>
      <c r="C235" t="n">
        <v>1.76</v>
      </c>
      <c r="D235" t="n">
        <v>789</v>
      </c>
      <c r="E235" t="inlineStr">
        <is>
          <t>Sri Balaji Gears</t>
        </is>
      </c>
      <c r="F235" t="n">
        <v>209</v>
      </c>
      <c r="G235" t="inlineStr">
        <is>
          <t>TVS</t>
        </is>
      </c>
      <c r="H235" t="inlineStr">
        <is>
          <t>40-20-1.2-CRFH-PE</t>
        </is>
      </c>
      <c r="J235" t="n">
        <v>5.31</v>
      </c>
      <c r="K235" t="inlineStr">
        <is>
          <t>LL</t>
        </is>
      </c>
    </row>
    <row r="236" hidden="1" s="584">
      <c r="A236" t="n">
        <v>3731692</v>
      </c>
      <c r="B236" t="inlineStr">
        <is>
          <t>TUB-R-AW-AUT-40.00X20.00X1.210X5.3100</t>
        </is>
      </c>
      <c r="C236" t="n">
        <v>1.8</v>
      </c>
      <c r="D236" t="n">
        <v>789</v>
      </c>
      <c r="E236" t="inlineStr">
        <is>
          <t>Sri Balaji Gears</t>
        </is>
      </c>
      <c r="F236" t="n">
        <v>210</v>
      </c>
      <c r="G236" t="inlineStr">
        <is>
          <t>TVS</t>
        </is>
      </c>
      <c r="H236" t="inlineStr">
        <is>
          <t>40-20-1.2-CRFH-PE</t>
        </is>
      </c>
      <c r="J236" t="n">
        <v>5.31</v>
      </c>
      <c r="K236" t="inlineStr">
        <is>
          <t>LL</t>
        </is>
      </c>
    </row>
    <row r="237" hidden="1" s="584">
      <c r="A237" t="n">
        <v>3731692</v>
      </c>
      <c r="B237" t="inlineStr">
        <is>
          <t>TUB-R-AW-AUT-40.00X20.00X1.210X5.3100</t>
        </is>
      </c>
      <c r="C237" t="n">
        <v>1.8</v>
      </c>
      <c r="D237" t="n">
        <v>789</v>
      </c>
      <c r="E237" t="inlineStr">
        <is>
          <t>Sri Balaji Gears</t>
        </is>
      </c>
      <c r="F237" t="n">
        <v>211</v>
      </c>
      <c r="G237" t="inlineStr">
        <is>
          <t>TVS</t>
        </is>
      </c>
      <c r="H237" t="inlineStr">
        <is>
          <t>40-20-1.2-CRFH-PE</t>
        </is>
      </c>
      <c r="J237" t="n">
        <v>5.31</v>
      </c>
      <c r="K237" t="inlineStr">
        <is>
          <t>LL</t>
        </is>
      </c>
    </row>
    <row r="238" hidden="1" s="584">
      <c r="A238" t="n">
        <v>3731692</v>
      </c>
      <c r="B238" t="inlineStr">
        <is>
          <t>TUB-R-AW-AUT-40.00X20.00X1.210X5.3100</t>
        </is>
      </c>
      <c r="C238" t="n">
        <v>1.81</v>
      </c>
      <c r="D238" t="n">
        <v>789</v>
      </c>
      <c r="E238" t="inlineStr">
        <is>
          <t>Sri Balaji Gears</t>
        </is>
      </c>
      <c r="F238" t="n">
        <v>212</v>
      </c>
      <c r="G238" t="inlineStr">
        <is>
          <t>TVS</t>
        </is>
      </c>
      <c r="H238" t="inlineStr">
        <is>
          <t>40-20-1.2-CRFH-PE</t>
        </is>
      </c>
      <c r="J238" t="n">
        <v>5.31</v>
      </c>
      <c r="K238" t="inlineStr">
        <is>
          <t>LL</t>
        </is>
      </c>
    </row>
    <row r="239" hidden="1" s="584">
      <c r="A239" t="n">
        <v>3731692</v>
      </c>
      <c r="B239" t="inlineStr">
        <is>
          <t>TUB-R-AW-AUT-40.00X20.00X1.210X5.3100</t>
        </is>
      </c>
      <c r="C239" t="n">
        <v>1.68</v>
      </c>
      <c r="D239" t="n">
        <v>789</v>
      </c>
      <c r="E239" t="inlineStr">
        <is>
          <t>Sri Balaji Gears</t>
        </is>
      </c>
      <c r="F239" t="n">
        <v>213</v>
      </c>
      <c r="G239" t="inlineStr">
        <is>
          <t>TVS</t>
        </is>
      </c>
      <c r="H239" t="inlineStr">
        <is>
          <t>40-20-1.2-CRFH-PE</t>
        </is>
      </c>
      <c r="J239" t="n">
        <v>5.31</v>
      </c>
      <c r="K239" t="inlineStr">
        <is>
          <t>LL</t>
        </is>
      </c>
    </row>
    <row r="240" hidden="1" s="584">
      <c r="A240" t="n">
        <v>3731692</v>
      </c>
      <c r="B240" t="inlineStr">
        <is>
          <t>TUB-R-AW-AUT-40.00X20.00X1.210X5.3100</t>
        </is>
      </c>
      <c r="C240" t="n">
        <v>0.8110000000000001</v>
      </c>
      <c r="D240" t="n">
        <v>789</v>
      </c>
      <c r="E240" t="inlineStr">
        <is>
          <t>Sri Balaji Gears</t>
        </is>
      </c>
      <c r="F240" t="n">
        <v>740</v>
      </c>
      <c r="G240" t="inlineStr">
        <is>
          <t>TVS</t>
        </is>
      </c>
      <c r="H240" t="inlineStr">
        <is>
          <t>40-20-1.2-CRFH-PE</t>
        </is>
      </c>
      <c r="J240" t="n">
        <v>5.31</v>
      </c>
      <c r="K240" t="inlineStr">
        <is>
          <t>LL</t>
        </is>
      </c>
    </row>
    <row r="241" hidden="1" s="584">
      <c r="A241" t="n">
        <v>3731692</v>
      </c>
      <c r="B241" t="inlineStr">
        <is>
          <t>TUB-R-AW-AUT-40.00X20.00X1.210X5.3100</t>
        </is>
      </c>
      <c r="C241" t="n">
        <v>0.327</v>
      </c>
      <c r="D241" t="n">
        <v>789</v>
      </c>
      <c r="E241" t="inlineStr">
        <is>
          <t>Sri Balaji Gears</t>
        </is>
      </c>
      <c r="F241" t="n">
        <v>741</v>
      </c>
      <c r="G241" t="inlineStr">
        <is>
          <t>TVS</t>
        </is>
      </c>
      <c r="H241" t="inlineStr">
        <is>
          <t>40-20-1.2-CRFH-PE</t>
        </is>
      </c>
      <c r="J241" t="n">
        <v>5.31</v>
      </c>
      <c r="K241" t="inlineStr">
        <is>
          <t>LL</t>
        </is>
      </c>
    </row>
    <row r="242" hidden="1" s="584">
      <c r="A242" t="n">
        <v>3731692</v>
      </c>
      <c r="B242" t="inlineStr">
        <is>
          <t>TUB-R-AW-AUT-40.00X20.00X1.210X5.3100</t>
        </is>
      </c>
      <c r="C242" t="n">
        <v>2.686</v>
      </c>
      <c r="D242" t="n">
        <v>789</v>
      </c>
      <c r="E242" t="inlineStr">
        <is>
          <t>Sri Balaji Gears</t>
        </is>
      </c>
      <c r="F242" t="n">
        <v>742</v>
      </c>
      <c r="G242" t="inlineStr">
        <is>
          <t>TVS</t>
        </is>
      </c>
      <c r="H242" t="inlineStr">
        <is>
          <t>40-20-1.2-CRFH-PE</t>
        </is>
      </c>
      <c r="J242" t="n">
        <v>5.31</v>
      </c>
      <c r="K242" t="inlineStr">
        <is>
          <t>LL</t>
        </is>
      </c>
    </row>
    <row r="243" hidden="1" s="584">
      <c r="A243" t="n">
        <v>3188792</v>
      </c>
      <c r="B243" t="inlineStr">
        <is>
          <t>TUB-O-C-AUT-AD-FC-16.00X2.800X04-06</t>
        </is>
      </c>
      <c r="C243" t="n">
        <v>0.82143</v>
      </c>
      <c r="D243" t="n">
        <v>4731</v>
      </c>
      <c r="E243" t="inlineStr">
        <is>
          <t>Elkayem Auto Ancillaries ( P ) LTD</t>
        </is>
      </c>
      <c r="F243" t="n">
        <v>1407</v>
      </c>
      <c r="G243" t="inlineStr">
        <is>
          <t>TVS</t>
        </is>
      </c>
      <c r="H243" t="inlineStr">
        <is>
          <t>16.1-0-2.8-CEW-CEW</t>
        </is>
      </c>
      <c r="I243" t="inlineStr">
        <is>
          <t>16.1-0-2.8-CEW-CEW-1</t>
        </is>
      </c>
      <c r="J243" t="n">
        <v>6</v>
      </c>
      <c r="K243" t="inlineStr">
        <is>
          <t>LL</t>
        </is>
      </c>
    </row>
    <row r="244" hidden="1" s="584">
      <c r="A244" t="n">
        <v>3188792</v>
      </c>
      <c r="B244" t="inlineStr">
        <is>
          <t>TUB-O-C-AUT-AD-FC-16.00X2.800X04-06</t>
        </is>
      </c>
      <c r="C244" t="n">
        <v>1.1</v>
      </c>
      <c r="D244" t="inlineStr">
        <is>
          <t>0788</t>
        </is>
      </c>
      <c r="E244" t="inlineStr">
        <is>
          <t>Elkayem Auto Ancillaries ( P ) LTD</t>
        </is>
      </c>
      <c r="F244" t="n">
        <v>2081</v>
      </c>
      <c r="G244" t="inlineStr">
        <is>
          <t>TVS</t>
        </is>
      </c>
      <c r="H244" t="inlineStr">
        <is>
          <t>16.1-0-2.8-CEW-CEW</t>
        </is>
      </c>
      <c r="I244" t="inlineStr">
        <is>
          <t>16.1-0-2.8-CEW-CEW-1</t>
        </is>
      </c>
      <c r="J244" t="n">
        <v>6</v>
      </c>
      <c r="K244" t="inlineStr">
        <is>
          <t>LL</t>
        </is>
      </c>
    </row>
    <row r="245" hidden="1" s="584">
      <c r="A245" t="n">
        <v>2410996</v>
      </c>
      <c r="B245" t="inlineStr">
        <is>
          <t>TUB-O-C-AUT-AD-FC-16.10X2.700X04-05</t>
        </is>
      </c>
      <c r="C245" t="n">
        <v>1.242</v>
      </c>
      <c r="D245" t="n">
        <v>4731</v>
      </c>
      <c r="E245" t="inlineStr">
        <is>
          <t>Rajsriya Automotive Ind Pvt Ltd.</t>
        </is>
      </c>
      <c r="F245" t="n">
        <v>1388</v>
      </c>
      <c r="G245" t="inlineStr">
        <is>
          <t>TVS</t>
        </is>
      </c>
      <c r="H245" t="inlineStr">
        <is>
          <t>16.1-10.4-2.7-CEW-CEW</t>
        </is>
      </c>
      <c r="I245" t="inlineStr">
        <is>
          <t>16.1-10.4-2.7-CEW-CEW-1</t>
        </is>
      </c>
      <c r="J245" t="n">
        <v>6</v>
      </c>
      <c r="K245" t="inlineStr">
        <is>
          <t>LL</t>
        </is>
      </c>
    </row>
    <row r="246" hidden="1" s="584">
      <c r="A246" t="n">
        <v>2410996</v>
      </c>
      <c r="B246" t="inlineStr">
        <is>
          <t>TUB-O-C-AUT-AD-FC-16.10X2.700X04-05</t>
        </is>
      </c>
      <c r="C246" t="n">
        <v>1.302</v>
      </c>
      <c r="D246" t="n">
        <v>4731</v>
      </c>
      <c r="E246" t="inlineStr">
        <is>
          <t>Rajsriya Automotive Ind Pvt Ltd.</t>
        </is>
      </c>
      <c r="F246" t="n">
        <v>1389</v>
      </c>
      <c r="G246" t="inlineStr">
        <is>
          <t>TVS</t>
        </is>
      </c>
      <c r="H246" t="inlineStr">
        <is>
          <t>16.1-10.4-2.7-CEW-CEW</t>
        </is>
      </c>
      <c r="I246" t="inlineStr">
        <is>
          <t>16.1-10.4-2.7-CEW-CEW-1</t>
        </is>
      </c>
      <c r="J246" t="n">
        <v>6</v>
      </c>
      <c r="K246" t="inlineStr">
        <is>
          <t>LL</t>
        </is>
      </c>
    </row>
    <row r="247" hidden="1" s="584">
      <c r="A247" t="n">
        <v>2410996</v>
      </c>
      <c r="B247" t="inlineStr">
        <is>
          <t>TUB-O-C-AUT-AD-FC-16.10X2.700X04-05</t>
        </is>
      </c>
      <c r="C247" t="n">
        <v>1.084</v>
      </c>
      <c r="D247" t="n">
        <v>4731</v>
      </c>
      <c r="E247" t="inlineStr">
        <is>
          <t>Rajsriya Automotive Ind Pvt Ltd.</t>
        </is>
      </c>
      <c r="F247" t="n">
        <v>1390</v>
      </c>
      <c r="G247" t="inlineStr">
        <is>
          <t>TVS</t>
        </is>
      </c>
      <c r="H247" t="inlineStr">
        <is>
          <t>16.1-10.4-2.7-CEW-CEW</t>
        </is>
      </c>
      <c r="I247" t="inlineStr">
        <is>
          <t>16.1-10.4-2.7-CEW-CEW-1</t>
        </is>
      </c>
      <c r="J247" t="n">
        <v>6</v>
      </c>
      <c r="K247" t="inlineStr">
        <is>
          <t>LL</t>
        </is>
      </c>
    </row>
    <row r="248" hidden="1" s="584">
      <c r="A248" t="n">
        <v>2410996</v>
      </c>
      <c r="B248" t="inlineStr">
        <is>
          <t>TUB-O-C-AUT-AD-FC-16.10X2.700X04-05</t>
        </is>
      </c>
      <c r="C248" t="n">
        <v>1.242</v>
      </c>
      <c r="D248" t="n">
        <v>4731</v>
      </c>
      <c r="E248" t="inlineStr">
        <is>
          <t>Rajsriya Automotive Ind Pvt Ltd.</t>
        </is>
      </c>
      <c r="F248" t="n">
        <v>1391</v>
      </c>
      <c r="G248" t="inlineStr">
        <is>
          <t>TVS</t>
        </is>
      </c>
      <c r="H248" t="inlineStr">
        <is>
          <t>16.1-10.4-2.7-CEW-CEW</t>
        </is>
      </c>
      <c r="I248" t="inlineStr">
        <is>
          <t>16.1-10.4-2.7-CEW-CEW-1</t>
        </is>
      </c>
      <c r="J248" t="n">
        <v>6</v>
      </c>
      <c r="K248" t="inlineStr">
        <is>
          <t>LL</t>
        </is>
      </c>
    </row>
    <row r="249" hidden="1" s="584">
      <c r="A249" t="n">
        <v>2410996</v>
      </c>
      <c r="B249" t="inlineStr">
        <is>
          <t>TUB-O-C-AUT-AD-FC-16.10X2.700X04-05</t>
        </is>
      </c>
      <c r="C249" t="n">
        <v>0.797</v>
      </c>
      <c r="D249" t="n">
        <v>4731</v>
      </c>
      <c r="E249" t="inlineStr">
        <is>
          <t>Rajsriya Automotive Ind Pvt Ltd.</t>
        </is>
      </c>
      <c r="F249" t="n">
        <v>1392</v>
      </c>
      <c r="G249" t="inlineStr">
        <is>
          <t>TVS</t>
        </is>
      </c>
      <c r="H249" t="inlineStr">
        <is>
          <t>16.1-10.4-2.7-CEW-CEW</t>
        </is>
      </c>
      <c r="I249" t="inlineStr">
        <is>
          <t>16.1-10.4-2.7-CEW-CEW-1</t>
        </is>
      </c>
      <c r="J249" t="n">
        <v>6</v>
      </c>
      <c r="K249" t="inlineStr">
        <is>
          <t>LL</t>
        </is>
      </c>
    </row>
    <row r="250" hidden="1" s="584">
      <c r="A250" t="n">
        <v>2410996</v>
      </c>
      <c r="B250" t="inlineStr">
        <is>
          <t>TUB-O-C-AUT-AD-FC-16.10X2.700X04-05</t>
        </is>
      </c>
      <c r="C250" t="n">
        <v>0.583217</v>
      </c>
      <c r="D250" t="n">
        <v>4731</v>
      </c>
      <c r="E250" t="inlineStr">
        <is>
          <t>Rajsriya Automotive Ind Pvt Ltd.</t>
        </is>
      </c>
      <c r="F250" t="n">
        <v>1393</v>
      </c>
      <c r="G250" t="inlineStr">
        <is>
          <t>TVS</t>
        </is>
      </c>
      <c r="H250" t="inlineStr">
        <is>
          <t>16.1-10.4-2.7-CEW-CEW</t>
        </is>
      </c>
      <c r="I250" t="inlineStr">
        <is>
          <t>16.1-10.4-2.7-CEW-CEW-1</t>
        </is>
      </c>
      <c r="J250" t="n">
        <v>6</v>
      </c>
      <c r="K250" t="inlineStr">
        <is>
          <t>LL</t>
        </is>
      </c>
    </row>
    <row r="251" hidden="1" s="584">
      <c r="A251" t="n">
        <v>2410996</v>
      </c>
      <c r="B251" t="inlineStr">
        <is>
          <t>TUB-O-C-AUT-AD-FC-16.10X2.700X04-05</t>
        </is>
      </c>
      <c r="C251" t="n">
        <v>1.212</v>
      </c>
      <c r="D251" t="inlineStr">
        <is>
          <t>0788</t>
        </is>
      </c>
      <c r="E251" t="inlineStr">
        <is>
          <t>Rajsriya Automotive Ind Pvt Ltd.</t>
        </is>
      </c>
      <c r="F251" t="n">
        <v>2080</v>
      </c>
      <c r="G251" t="inlineStr">
        <is>
          <t>TVS</t>
        </is>
      </c>
      <c r="H251" t="inlineStr">
        <is>
          <t>16.1-10.4-2.7-CEW-CEW</t>
        </is>
      </c>
      <c r="I251" t="inlineStr">
        <is>
          <t>16.1-10.4-2.7-CEW-CEW-1</t>
        </is>
      </c>
      <c r="J251" t="n">
        <v>6</v>
      </c>
      <c r="K251" t="inlineStr">
        <is>
          <t>LL</t>
        </is>
      </c>
    </row>
    <row r="252" hidden="1" s="584">
      <c r="A252" t="n">
        <v>3943202</v>
      </c>
      <c r="B252" t="inlineStr">
        <is>
          <t>CUT-O-N-AUT-AW-FC-22.23X2.000X0.8400</t>
        </is>
      </c>
      <c r="C252" t="n">
        <v>0.001064</v>
      </c>
      <c r="D252" t="n">
        <v>789</v>
      </c>
      <c r="E252" t="inlineStr">
        <is>
          <t>SANDHAR ENGINEERING PVTLTD (KA)UIII</t>
        </is>
      </c>
      <c r="F252" t="n">
        <v>219</v>
      </c>
      <c r="G252" t="inlineStr">
        <is>
          <t>TVS</t>
        </is>
      </c>
      <c r="H252" t="inlineStr">
        <is>
          <t>22.23-0-2-ERW 2 MAHS-FC</t>
        </is>
      </c>
      <c r="I252" t="inlineStr">
        <is>
          <t>22.23-0-2-ERW 2 MAHS-FC-0.84</t>
        </is>
      </c>
      <c r="J252" t="n">
        <v>0.84</v>
      </c>
      <c r="K252" t="inlineStr">
        <is>
          <t>CTL</t>
        </is>
      </c>
    </row>
    <row r="253" hidden="1" s="584">
      <c r="A253" t="n">
        <v>3943202</v>
      </c>
      <c r="B253" t="inlineStr">
        <is>
          <t>CUT-O-N-AUT-AW-FC-22.23X2.000X0.8400</t>
        </is>
      </c>
      <c r="C253" t="n">
        <v>0.503</v>
      </c>
      <c r="D253" t="n">
        <v>789</v>
      </c>
      <c r="E253" t="inlineStr">
        <is>
          <t>SANDHAR ENGINEERING PVTLTD (KA)UIII</t>
        </is>
      </c>
      <c r="F253" t="n">
        <v>220</v>
      </c>
      <c r="G253" t="inlineStr">
        <is>
          <t>TVS</t>
        </is>
      </c>
      <c r="H253" t="inlineStr">
        <is>
          <t>22.23-0-2-ERW 2 MAHS-FC</t>
        </is>
      </c>
      <c r="I253" t="inlineStr">
        <is>
          <t>22.23-0-2-ERW 2 MAHS-FC-0.84</t>
        </is>
      </c>
      <c r="J253" t="n">
        <v>0.84</v>
      </c>
      <c r="K253" t="inlineStr">
        <is>
          <t>CTL</t>
        </is>
      </c>
    </row>
    <row r="254" hidden="1" s="584">
      <c r="A254" t="n">
        <v>3943203</v>
      </c>
      <c r="B254" t="inlineStr">
        <is>
          <t>CUT-O-N-AUT-AW-FC-22.23X2.000X0.8550</t>
        </is>
      </c>
      <c r="C254" t="n">
        <v>0.883373</v>
      </c>
      <c r="D254" t="n">
        <v>789</v>
      </c>
      <c r="E254" t="inlineStr">
        <is>
          <t>SANDHAR ENGINEERING PVTLTD (KA)UIII</t>
        </is>
      </c>
      <c r="F254" t="n">
        <v>221</v>
      </c>
      <c r="G254" t="inlineStr">
        <is>
          <t>TVS</t>
        </is>
      </c>
      <c r="H254" t="inlineStr">
        <is>
          <t>22.23-0-2-ERW 2 MAHS-FC</t>
        </is>
      </c>
      <c r="I254" t="inlineStr">
        <is>
          <t>22.23-0-2-ERW 2 MAHS-FC-0.855</t>
        </is>
      </c>
      <c r="J254" t="n">
        <v>0.855</v>
      </c>
      <c r="K254" t="inlineStr">
        <is>
          <t>CTL</t>
        </is>
      </c>
    </row>
    <row r="255" hidden="1" s="584">
      <c r="A255" t="n">
        <v>3943203</v>
      </c>
      <c r="B255" t="inlineStr">
        <is>
          <t>CUT-O-N-AUT-AW-FC-22.23X2.000X0.8550</t>
        </is>
      </c>
      <c r="C255" t="n">
        <v>0.247032</v>
      </c>
      <c r="D255" t="n">
        <v>789</v>
      </c>
      <c r="E255" t="inlineStr">
        <is>
          <t>SANDHAR ENGINEERING PVTLTD (KA)UIII</t>
        </is>
      </c>
      <c r="F255" t="n">
        <v>373</v>
      </c>
      <c r="G255" t="inlineStr">
        <is>
          <t>TVS</t>
        </is>
      </c>
      <c r="H255" t="inlineStr">
        <is>
          <t>22.23-0-2-ERW 2 MAHS-FC</t>
        </is>
      </c>
      <c r="I255" t="inlineStr">
        <is>
          <t>22.23-0-2-ERW 2 MAHS-FC-0.855</t>
        </is>
      </c>
      <c r="J255" t="n">
        <v>0.855</v>
      </c>
      <c r="K255" t="inlineStr">
        <is>
          <t>CTL</t>
        </is>
      </c>
    </row>
    <row r="256" hidden="1" s="584">
      <c r="A256" t="n">
        <v>1931824</v>
      </c>
      <c r="B256" t="inlineStr">
        <is>
          <t>TUB-O-N-AUT-AW-PE-17.30X1.200X6.0000</t>
        </is>
      </c>
      <c r="C256" t="n">
        <v>1.065269</v>
      </c>
      <c r="D256" t="n">
        <v>4731</v>
      </c>
      <c r="E256" t="inlineStr">
        <is>
          <t>Rajsriya Automotive Industries(P)</t>
        </is>
      </c>
      <c r="F256" t="n">
        <v>1301</v>
      </c>
      <c r="G256" t="inlineStr">
        <is>
          <t>TVS</t>
        </is>
      </c>
      <c r="H256" t="inlineStr">
        <is>
          <t>17.3-0-1.2-ERW 1-PE</t>
        </is>
      </c>
      <c r="I256" t="inlineStr">
        <is>
          <t>17.3-0-1.2-ERW 1-PE-1</t>
        </is>
      </c>
      <c r="J256" t="n">
        <v>6</v>
      </c>
      <c r="K256" t="inlineStr">
        <is>
          <t>LL</t>
        </is>
      </c>
    </row>
    <row r="257" hidden="1" s="584">
      <c r="A257" t="n">
        <v>1931824</v>
      </c>
      <c r="B257" t="inlineStr">
        <is>
          <t>TUB-O-N-AUT-AW-PE-17.30X1.200X6.0000</t>
        </is>
      </c>
      <c r="C257" t="n">
        <v>0.080154</v>
      </c>
      <c r="D257" t="n">
        <v>4731</v>
      </c>
      <c r="E257" t="inlineStr">
        <is>
          <t>Rajsriya Automotive Industries(P)</t>
        </is>
      </c>
      <c r="F257" t="n">
        <v>1302</v>
      </c>
      <c r="G257" t="inlineStr">
        <is>
          <t>TVS</t>
        </is>
      </c>
      <c r="H257" t="inlineStr">
        <is>
          <t>17.3-0-1.2-ERW 1-PE</t>
        </is>
      </c>
      <c r="I257" t="inlineStr">
        <is>
          <t>17.3-0-1.2-ERW 1-PE-1</t>
        </is>
      </c>
      <c r="J257" t="n">
        <v>6</v>
      </c>
      <c r="K257" t="inlineStr">
        <is>
          <t>LL</t>
        </is>
      </c>
    </row>
    <row r="258" hidden="1" s="584">
      <c r="A258" t="n">
        <v>1931824</v>
      </c>
      <c r="B258" t="inlineStr">
        <is>
          <t>TUB-O-N-AUT-AW-PE-17.30X1.200X6.0000</t>
        </is>
      </c>
      <c r="C258" t="n">
        <v>1.834997</v>
      </c>
      <c r="D258" t="n">
        <v>4731</v>
      </c>
      <c r="E258" t="inlineStr">
        <is>
          <t>Rajsriya Automotive Industries(P)</t>
        </is>
      </c>
      <c r="F258" t="n">
        <v>1303</v>
      </c>
      <c r="G258" t="inlineStr">
        <is>
          <t>TVS</t>
        </is>
      </c>
      <c r="H258" t="inlineStr">
        <is>
          <t>17.3-0-1.2-ERW 1-PE</t>
        </is>
      </c>
      <c r="I258" t="inlineStr">
        <is>
          <t>17.3-0-1.2-ERW 1-PE-1</t>
        </is>
      </c>
      <c r="J258" t="n">
        <v>6</v>
      </c>
      <c r="K258" t="inlineStr">
        <is>
          <t>LL</t>
        </is>
      </c>
    </row>
    <row r="259" hidden="1" s="584">
      <c r="A259" t="n">
        <v>1931824</v>
      </c>
      <c r="B259" t="inlineStr">
        <is>
          <t>TUB-O-N-AUT-AW-PE-17.30X1.200X6.0000</t>
        </is>
      </c>
      <c r="C259" t="n">
        <v>0.319</v>
      </c>
      <c r="D259" t="n">
        <v>4731</v>
      </c>
      <c r="E259" t="inlineStr">
        <is>
          <t>Rajsriya Automotive Industries(P)</t>
        </is>
      </c>
      <c r="F259" t="n">
        <v>1304</v>
      </c>
      <c r="G259" t="inlineStr">
        <is>
          <t>TVS</t>
        </is>
      </c>
      <c r="H259" t="inlineStr">
        <is>
          <t>17.3-0-1.2-ERW 1-PE</t>
        </is>
      </c>
      <c r="I259" t="inlineStr">
        <is>
          <t>17.3-0-1.2-ERW 1-PE-1</t>
        </is>
      </c>
      <c r="J259" t="n">
        <v>6</v>
      </c>
      <c r="K259" t="inlineStr">
        <is>
          <t>LL</t>
        </is>
      </c>
    </row>
    <row r="260" hidden="1" s="584">
      <c r="A260" t="n">
        <v>1931824</v>
      </c>
      <c r="B260" t="inlineStr">
        <is>
          <t>TUB-O-N-AUT-AW-PE-17.30X1.200X6.0000</t>
        </is>
      </c>
      <c r="C260" t="n">
        <v>1.1961</v>
      </c>
      <c r="D260" t="n">
        <v>8406</v>
      </c>
      <c r="E260" t="inlineStr">
        <is>
          <t>Rajsriya Automotive Industries(P)</t>
        </is>
      </c>
      <c r="F260" t="n">
        <v>1305</v>
      </c>
      <c r="G260" t="inlineStr">
        <is>
          <t>TVS</t>
        </is>
      </c>
      <c r="H260" t="inlineStr">
        <is>
          <t>17.3-0-1.2-ERW 1-PE</t>
        </is>
      </c>
      <c r="I260" t="inlineStr">
        <is>
          <t>17.3-0-1.2-ERW 1-PE-1</t>
        </is>
      </c>
      <c r="J260" t="n">
        <v>6</v>
      </c>
      <c r="K260" t="inlineStr">
        <is>
          <t>LL</t>
        </is>
      </c>
    </row>
    <row r="261" hidden="1" s="584">
      <c r="A261" t="n">
        <v>4055022</v>
      </c>
      <c r="B261" t="inlineStr">
        <is>
          <t>TUB-O-N-AUT-AW-PE-22.23X1.600X5.6700</t>
        </is>
      </c>
      <c r="C261" t="n">
        <v>2.659</v>
      </c>
      <c r="D261" t="n">
        <v>789</v>
      </c>
      <c r="E261" t="inlineStr">
        <is>
          <t>MEGH STEELS PRIVATE LIMITED - TVS A</t>
        </is>
      </c>
      <c r="F261" t="n">
        <v>230</v>
      </c>
      <c r="G261" t="inlineStr">
        <is>
          <t>Direct</t>
        </is>
      </c>
      <c r="H261" t="inlineStr">
        <is>
          <t>22.23-0-1.6-ERW 1-PE</t>
        </is>
      </c>
      <c r="I261" t="inlineStr">
        <is>
          <t>22.23-0-1.6-ERW 1-PE-1</t>
        </is>
      </c>
      <c r="J261" t="n">
        <v>5.67</v>
      </c>
      <c r="K261" t="inlineStr">
        <is>
          <t>LL</t>
        </is>
      </c>
    </row>
    <row r="262" hidden="1" s="584">
      <c r="A262" t="n">
        <v>4055022</v>
      </c>
      <c r="B262" t="inlineStr">
        <is>
          <t>TUB-O-N-AUT-AW-PE-22.23X1.600X5.6700</t>
        </is>
      </c>
      <c r="C262" t="n">
        <v>1.312</v>
      </c>
      <c r="D262" t="n">
        <v>789</v>
      </c>
      <c r="E262" t="inlineStr">
        <is>
          <t>MEGH STEELS PRIVATE LIMITED - TVS A</t>
        </is>
      </c>
      <c r="F262" t="n">
        <v>231</v>
      </c>
      <c r="G262" t="inlineStr">
        <is>
          <t>Direct</t>
        </is>
      </c>
      <c r="H262" t="inlineStr">
        <is>
          <t>22.23-0-1.6-ERW 1-PE</t>
        </is>
      </c>
      <c r="I262" t="inlineStr">
        <is>
          <t>22.23-0-1.6-ERW 1-PE-1</t>
        </is>
      </c>
      <c r="J262" t="n">
        <v>5.67</v>
      </c>
      <c r="K262" t="inlineStr">
        <is>
          <t>LL</t>
        </is>
      </c>
    </row>
    <row r="263" hidden="1" s="584">
      <c r="A263" t="n">
        <v>4055022</v>
      </c>
      <c r="B263" t="inlineStr">
        <is>
          <t>TUB-O-N-AUT-AW-PE-22.23X1.600X5.6700</t>
        </is>
      </c>
      <c r="C263" t="n">
        <v>2.673</v>
      </c>
      <c r="D263" t="n">
        <v>789</v>
      </c>
      <c r="E263" t="inlineStr">
        <is>
          <t>MEGH STEELS PRIVATE LIMITED - TVS A</t>
        </is>
      </c>
      <c r="F263" t="n">
        <v>232</v>
      </c>
      <c r="G263" t="inlineStr">
        <is>
          <t>Direct</t>
        </is>
      </c>
      <c r="H263" t="inlineStr">
        <is>
          <t>22.23-0-1.6-ERW 1-PE</t>
        </is>
      </c>
      <c r="I263" t="inlineStr">
        <is>
          <t>22.23-0-1.6-ERW 1-PE-1</t>
        </is>
      </c>
      <c r="J263" t="n">
        <v>5.67</v>
      </c>
      <c r="K263" t="inlineStr">
        <is>
          <t>LL</t>
        </is>
      </c>
    </row>
    <row r="264" hidden="1" s="584">
      <c r="A264" t="n">
        <v>1938118</v>
      </c>
      <c r="B264" t="inlineStr">
        <is>
          <t>TUB-O-N-AUT-AW-PE-17.30X1.600X0.3550</t>
        </is>
      </c>
      <c r="C264" t="n">
        <v>0.369949</v>
      </c>
      <c r="D264" t="n">
        <v>4731</v>
      </c>
      <c r="E264" t="inlineStr">
        <is>
          <t>Elkayem Auto Ancillaries ( P ) LTD</t>
        </is>
      </c>
      <c r="F264" t="n">
        <v>1309</v>
      </c>
      <c r="G264" t="inlineStr">
        <is>
          <t>TVS</t>
        </is>
      </c>
      <c r="H264" t="inlineStr">
        <is>
          <t>17.3-0-1.6-ERW 1-PE</t>
        </is>
      </c>
      <c r="I264" t="inlineStr">
        <is>
          <t>17.3-0-1.6-ERW 1-PE-0.355</t>
        </is>
      </c>
      <c r="J264" t="n">
        <v>0.355</v>
      </c>
      <c r="K264" t="inlineStr">
        <is>
          <t>CTL</t>
        </is>
      </c>
    </row>
    <row r="265" hidden="1" s="584">
      <c r="A265" t="n">
        <v>4082199</v>
      </c>
      <c r="B265" t="inlineStr">
        <is>
          <t>CUT-O-N-AUT-AW-FC-31.75X1.200X0.5980</t>
        </is>
      </c>
      <c r="C265" t="n">
        <v>0.07054600000000001</v>
      </c>
      <c r="D265" t="n">
        <v>789</v>
      </c>
      <c r="E265" t="inlineStr">
        <is>
          <t>RAJSRIYA AUTOMOTIVE IND. P LTD</t>
        </is>
      </c>
      <c r="F265" t="n">
        <v>233</v>
      </c>
      <c r="G265" t="inlineStr">
        <is>
          <t>TVS</t>
        </is>
      </c>
      <c r="H265" t="inlineStr">
        <is>
          <t>31.75-0-1.2-ERW 1-FC</t>
        </is>
      </c>
      <c r="I265" t="inlineStr">
        <is>
          <t>31.75-0-1.2-ERW 1-FC-0.598</t>
        </is>
      </c>
      <c r="J265" t="n">
        <v>0.598</v>
      </c>
      <c r="K265" t="inlineStr">
        <is>
          <t>CTL</t>
        </is>
      </c>
    </row>
    <row r="266" hidden="1" s="584">
      <c r="A266" t="n">
        <v>4082199</v>
      </c>
      <c r="B266" t="inlineStr">
        <is>
          <t>CUT-O-N-AUT-AW-FC-31.75X1.200X0.5980</t>
        </is>
      </c>
      <c r="C266" t="n">
        <v>0.368</v>
      </c>
      <c r="D266" t="n">
        <v>789</v>
      </c>
      <c r="E266" t="inlineStr">
        <is>
          <t>Rajsriya Automotive Ind.P.Ltd Unit-</t>
        </is>
      </c>
      <c r="F266" t="n">
        <v>490</v>
      </c>
      <c r="G266" t="inlineStr">
        <is>
          <t>TVS</t>
        </is>
      </c>
      <c r="H266" t="inlineStr">
        <is>
          <t>31.75-0-1.2-ERW 1-FC</t>
        </is>
      </c>
      <c r="I266" t="inlineStr">
        <is>
          <t>31.75-0-1.2-ERW 1-FC-0.598</t>
        </is>
      </c>
      <c r="J266" t="n">
        <v>0.598</v>
      </c>
      <c r="K266" t="inlineStr">
        <is>
          <t>CTL</t>
        </is>
      </c>
    </row>
    <row r="267" hidden="1" s="584">
      <c r="A267" t="n">
        <v>4082199</v>
      </c>
      <c r="B267" t="inlineStr">
        <is>
          <t>CUT-O-N-AUT-AW-FC-31.75X1.200X0.5980</t>
        </is>
      </c>
      <c r="C267" t="n">
        <v>0.133</v>
      </c>
      <c r="D267" t="n">
        <v>789</v>
      </c>
      <c r="E267" t="inlineStr">
        <is>
          <t>Rajsriya Automotive Ind.P.Ltd Unit-</t>
        </is>
      </c>
      <c r="F267" t="n">
        <v>491</v>
      </c>
      <c r="G267" t="inlineStr">
        <is>
          <t>TVS</t>
        </is>
      </c>
      <c r="H267" t="inlineStr">
        <is>
          <t>31.75-0-1.2-ERW 1-FC</t>
        </is>
      </c>
      <c r="I267" t="inlineStr">
        <is>
          <t>31.75-0-1.2-ERW 1-FC-0.598</t>
        </is>
      </c>
      <c r="J267" t="n">
        <v>0.598</v>
      </c>
      <c r="K267" t="inlineStr">
        <is>
          <t>CTL</t>
        </is>
      </c>
    </row>
    <row r="268" hidden="1" s="584">
      <c r="A268" t="n">
        <v>1938119</v>
      </c>
      <c r="B268" t="inlineStr">
        <is>
          <t>TUB-O-N-AUT-AW-PE-17.30X1.600X0.4000</t>
        </is>
      </c>
      <c r="C268" t="n">
        <v>0.385056</v>
      </c>
      <c r="D268" t="n">
        <v>4731</v>
      </c>
      <c r="E268" t="inlineStr">
        <is>
          <t>Elkayem Auto Ancillaries ( P ) LTD</t>
        </is>
      </c>
      <c r="F268" t="n">
        <v>1310</v>
      </c>
      <c r="G268" t="inlineStr">
        <is>
          <t>TVS</t>
        </is>
      </c>
      <c r="H268" t="inlineStr">
        <is>
          <t>17.3-0-1.6-ERW 1-PE</t>
        </is>
      </c>
      <c r="I268" t="inlineStr">
        <is>
          <t>17.3-0-1.6-ERW 1-PE-0.4</t>
        </is>
      </c>
      <c r="J268" t="n">
        <v>0.4</v>
      </c>
      <c r="K268" t="inlineStr">
        <is>
          <t>CTL</t>
        </is>
      </c>
    </row>
    <row r="269" hidden="1" s="584">
      <c r="A269" t="n">
        <v>4095196</v>
      </c>
      <c r="B269" t="inlineStr">
        <is>
          <t>CUT-O-N-AUT-AW-FC-25.40X2.500X0.2730</t>
        </is>
      </c>
      <c r="C269" t="n">
        <v>0.002294</v>
      </c>
      <c r="D269" t="n">
        <v>789</v>
      </c>
      <c r="E269" t="inlineStr">
        <is>
          <t>ELKAYEM AUTO ANCILLARIES (PVT) LTD.</t>
        </is>
      </c>
      <c r="F269" t="n">
        <v>234</v>
      </c>
      <c r="G269" t="inlineStr">
        <is>
          <t>TVS</t>
        </is>
      </c>
      <c r="H269" t="inlineStr">
        <is>
          <t>25.4-0-2.5-ERW 1-FC</t>
        </is>
      </c>
      <c r="I269" t="inlineStr">
        <is>
          <t>25.4-0-2.5-ERW 1-FC-0.273</t>
        </is>
      </c>
      <c r="J269" t="n">
        <v>0.273</v>
      </c>
      <c r="K269" t="inlineStr">
        <is>
          <t>CTL</t>
        </is>
      </c>
    </row>
    <row r="270" hidden="1" s="584">
      <c r="A270" t="n">
        <v>4095196</v>
      </c>
      <c r="B270" t="inlineStr">
        <is>
          <t>CUT-O-N-AUT-AW-FC-25.40X2.500X0.2730</t>
        </is>
      </c>
      <c r="C270" t="n">
        <v>0.15</v>
      </c>
      <c r="D270" t="n">
        <v>4731</v>
      </c>
      <c r="E270" t="inlineStr">
        <is>
          <t>ELKAYEM AUTO ANCILLARIES (PVT) LTD.</t>
        </is>
      </c>
      <c r="F270" t="n">
        <v>1923</v>
      </c>
      <c r="G270" t="inlineStr">
        <is>
          <t>TVS</t>
        </is>
      </c>
      <c r="H270" t="inlineStr">
        <is>
          <t>25.4-0-2.5-ERW 1-FC</t>
        </is>
      </c>
      <c r="I270" t="inlineStr">
        <is>
          <t>25.4-0-2.5-ERW 1-FC-0.273</t>
        </is>
      </c>
      <c r="J270" t="n">
        <v>0.273</v>
      </c>
      <c r="K270" t="inlineStr">
        <is>
          <t>CTL</t>
        </is>
      </c>
    </row>
    <row r="271" hidden="1" s="584">
      <c r="A271" t="n">
        <v>1931823</v>
      </c>
      <c r="B271" t="inlineStr">
        <is>
          <t>TUB-O-N-AUT-AW-PE-17.30X1.600X6.0000</t>
        </is>
      </c>
      <c r="C271" t="n">
        <v>0.09304000000000001</v>
      </c>
      <c r="D271" t="n">
        <v>4731</v>
      </c>
      <c r="E271" t="inlineStr">
        <is>
          <t>ELKAYEM AUTO ANCILLARIES (PVT) LTD.</t>
        </is>
      </c>
      <c r="F271" t="n">
        <v>1300</v>
      </c>
      <c r="G271" t="inlineStr">
        <is>
          <t>TVS</t>
        </is>
      </c>
      <c r="H271" t="inlineStr">
        <is>
          <t>17.3-0-1.6-ERW 1-PE</t>
        </is>
      </c>
      <c r="I271" t="inlineStr">
        <is>
          <t>17.3-0-1.6-ERW 1-PE-1</t>
        </is>
      </c>
      <c r="J271" t="n">
        <v>6</v>
      </c>
      <c r="K271" t="inlineStr">
        <is>
          <t>LL</t>
        </is>
      </c>
    </row>
    <row r="272" hidden="1" s="584">
      <c r="A272" t="n">
        <v>4184749</v>
      </c>
      <c r="B272" t="inlineStr">
        <is>
          <t>TUB-O-N-AUT-AW-FC-22.23X2.000X0.9340</t>
        </is>
      </c>
      <c r="C272" t="n">
        <v>0.001051</v>
      </c>
      <c r="D272" t="n">
        <v>789</v>
      </c>
      <c r="E272" t="inlineStr">
        <is>
          <t>SANDHAR ENGINEERING PVTLTD (KA)UIII</t>
        </is>
      </c>
      <c r="F272" t="n">
        <v>237</v>
      </c>
      <c r="G272" t="inlineStr">
        <is>
          <t>TVS</t>
        </is>
      </c>
      <c r="H272" t="inlineStr">
        <is>
          <t>22.23-0-2-ERW 2 MAHS-PE</t>
        </is>
      </c>
      <c r="I272" t="inlineStr">
        <is>
          <t>22.23-0-2-ERW 2 MAHS-PE-0.934</t>
        </is>
      </c>
      <c r="J272" t="n">
        <v>0.9340000000000001</v>
      </c>
      <c r="K272" t="inlineStr">
        <is>
          <t>CTL</t>
        </is>
      </c>
    </row>
    <row r="273" hidden="1" s="584">
      <c r="A273" t="n">
        <v>4201127</v>
      </c>
      <c r="B273" t="inlineStr">
        <is>
          <t>TUB-R-AW-RHS-40.00X20.00X1.210X6.1000</t>
        </is>
      </c>
      <c r="C273" t="n">
        <v>0.007</v>
      </c>
      <c r="D273" t="n">
        <v>789</v>
      </c>
      <c r="E273" t="inlineStr">
        <is>
          <t>Sri Balaji Gears</t>
        </is>
      </c>
      <c r="F273" t="n">
        <v>238</v>
      </c>
      <c r="G273" t="inlineStr">
        <is>
          <t>TVS</t>
        </is>
      </c>
      <c r="H273" t="inlineStr">
        <is>
          <t>40-20-1.2-CRFH-PE</t>
        </is>
      </c>
      <c r="I273" t="inlineStr">
        <is>
          <t>40-20-1.2-CRFH-PE-1</t>
        </is>
      </c>
      <c r="J273" t="n">
        <v>6.1</v>
      </c>
      <c r="K273" t="inlineStr">
        <is>
          <t>LL</t>
        </is>
      </c>
    </row>
    <row r="274" hidden="1" s="584">
      <c r="A274" t="n">
        <v>4201127</v>
      </c>
      <c r="B274" t="inlineStr">
        <is>
          <t>TUB-R-AW-RHS-40.00X20.00X1.210X6.1000</t>
        </is>
      </c>
      <c r="C274" t="n">
        <v>0.279</v>
      </c>
      <c r="D274" t="n">
        <v>789</v>
      </c>
      <c r="E274" t="inlineStr">
        <is>
          <t>Sri Balaji Gears</t>
        </is>
      </c>
      <c r="F274" t="n">
        <v>239</v>
      </c>
      <c r="G274" t="inlineStr">
        <is>
          <t>TVS</t>
        </is>
      </c>
      <c r="H274" t="inlineStr">
        <is>
          <t>40-20-1.2-CRFH-PE</t>
        </is>
      </c>
      <c r="I274" t="inlineStr">
        <is>
          <t>40-20-1.2-CRFH-PE-1</t>
        </is>
      </c>
      <c r="J274" t="n">
        <v>6.1</v>
      </c>
      <c r="K274" t="inlineStr">
        <is>
          <t>LL</t>
        </is>
      </c>
    </row>
    <row r="275" hidden="1" s="584">
      <c r="A275" t="n">
        <v>4201127</v>
      </c>
      <c r="B275" t="inlineStr">
        <is>
          <t>TUB-R-AW-RHS-40.00X20.00X1.210X6.1000</t>
        </is>
      </c>
      <c r="C275" t="n">
        <v>0.125</v>
      </c>
      <c r="D275" t="n">
        <v>789</v>
      </c>
      <c r="E275" t="inlineStr">
        <is>
          <t>Sri Balaji Gears</t>
        </is>
      </c>
      <c r="F275" t="n">
        <v>240</v>
      </c>
      <c r="G275" t="inlineStr">
        <is>
          <t>TVS</t>
        </is>
      </c>
      <c r="H275" t="inlineStr">
        <is>
          <t>40-20-1.2-CRFH-PE</t>
        </is>
      </c>
      <c r="I275" t="inlineStr">
        <is>
          <t>40-20-1.2-CRFH-PE-1</t>
        </is>
      </c>
      <c r="J275" t="n">
        <v>6.1</v>
      </c>
      <c r="K275" t="inlineStr">
        <is>
          <t>LL</t>
        </is>
      </c>
    </row>
    <row r="276" hidden="1" s="584">
      <c r="A276" t="n">
        <v>4201127</v>
      </c>
      <c r="B276" t="inlineStr">
        <is>
          <t>TUB-R-AW-RHS-40.00X20.00X1.210X6.1000</t>
        </is>
      </c>
      <c r="C276" t="n">
        <v>2.425</v>
      </c>
      <c r="D276" t="n">
        <v>789</v>
      </c>
      <c r="E276" t="inlineStr">
        <is>
          <t>Sri Balaji Gears</t>
        </is>
      </c>
      <c r="F276" t="n">
        <v>241</v>
      </c>
      <c r="G276" t="inlineStr">
        <is>
          <t>TVS</t>
        </is>
      </c>
      <c r="H276" t="inlineStr">
        <is>
          <t>40-20-1.2-CRFH-PE</t>
        </is>
      </c>
      <c r="I276" t="inlineStr">
        <is>
          <t>40-20-1.2-CRFH-PE-1</t>
        </is>
      </c>
      <c r="J276" t="n">
        <v>6.1</v>
      </c>
      <c r="K276" t="inlineStr">
        <is>
          <t>LL</t>
        </is>
      </c>
    </row>
    <row r="277" hidden="1" s="584">
      <c r="A277" t="n">
        <v>4201127</v>
      </c>
      <c r="B277" t="inlineStr">
        <is>
          <t>TUB-R-AW-RHS-40.00X20.00X1.210X6.1000</t>
        </is>
      </c>
      <c r="C277" t="n">
        <v>2.215</v>
      </c>
      <c r="D277" t="n">
        <v>789</v>
      </c>
      <c r="E277" t="inlineStr">
        <is>
          <t>Sri Balaji Gears</t>
        </is>
      </c>
      <c r="F277" t="n">
        <v>242</v>
      </c>
      <c r="G277" t="inlineStr">
        <is>
          <t>TVS</t>
        </is>
      </c>
      <c r="H277" t="inlineStr">
        <is>
          <t>40-20-1.2-CRFH-PE</t>
        </is>
      </c>
      <c r="I277" t="inlineStr">
        <is>
          <t>40-20-1.2-CRFH-PE-1</t>
        </is>
      </c>
      <c r="J277" t="n">
        <v>6.1</v>
      </c>
      <c r="K277" t="inlineStr">
        <is>
          <t>LL</t>
        </is>
      </c>
    </row>
    <row r="278" hidden="1" s="584">
      <c r="A278" t="n">
        <v>4201127</v>
      </c>
      <c r="B278" t="inlineStr">
        <is>
          <t>TUB-R-AW-RHS-40.00X20.00X1.210X6.1000</t>
        </is>
      </c>
      <c r="C278" t="n">
        <v>1.135</v>
      </c>
      <c r="D278" t="n">
        <v>789</v>
      </c>
      <c r="E278" t="inlineStr">
        <is>
          <t>Sri Balaji Gears</t>
        </is>
      </c>
      <c r="F278" t="n">
        <v>243</v>
      </c>
      <c r="G278" t="inlineStr">
        <is>
          <t>TVS</t>
        </is>
      </c>
      <c r="H278" t="inlineStr">
        <is>
          <t>40-20-1.2-CRFH-PE</t>
        </is>
      </c>
      <c r="I278" t="inlineStr">
        <is>
          <t>40-20-1.2-CRFH-PE-1</t>
        </is>
      </c>
      <c r="J278" t="n">
        <v>6.1</v>
      </c>
      <c r="K278" t="inlineStr">
        <is>
          <t>LL</t>
        </is>
      </c>
    </row>
    <row r="279" hidden="1" s="584">
      <c r="A279" t="n">
        <v>4201127</v>
      </c>
      <c r="B279" t="inlineStr">
        <is>
          <t>TUB-R-AW-RHS-40.00X20.00X1.210X6.1000</t>
        </is>
      </c>
      <c r="C279" t="n">
        <v>0.604</v>
      </c>
      <c r="D279" t="n">
        <v>789</v>
      </c>
      <c r="E279" t="inlineStr">
        <is>
          <t>Sri Balaji Gears</t>
        </is>
      </c>
      <c r="F279" t="n">
        <v>244</v>
      </c>
      <c r="G279" t="inlineStr">
        <is>
          <t>TVS</t>
        </is>
      </c>
      <c r="H279" t="inlineStr">
        <is>
          <t>40-20-1.2-CRFH-PE</t>
        </is>
      </c>
      <c r="I279" t="inlineStr">
        <is>
          <t>40-20-1.2-CRFH-PE-1</t>
        </is>
      </c>
      <c r="J279" t="n">
        <v>6.1</v>
      </c>
      <c r="K279" t="inlineStr">
        <is>
          <t>LL</t>
        </is>
      </c>
    </row>
    <row r="280" hidden="1" s="584">
      <c r="A280" t="n">
        <v>4201127</v>
      </c>
      <c r="B280" t="inlineStr">
        <is>
          <t>TUB-R-AW-RHS-40.00X20.00X1.210X6.1000</t>
        </is>
      </c>
      <c r="C280" t="n">
        <v>0.85</v>
      </c>
      <c r="D280" t="n">
        <v>789</v>
      </c>
      <c r="E280" t="inlineStr">
        <is>
          <t>Sri Balaji Gears</t>
        </is>
      </c>
      <c r="F280" t="n">
        <v>403</v>
      </c>
      <c r="G280" t="inlineStr">
        <is>
          <t>TVS</t>
        </is>
      </c>
      <c r="H280" t="inlineStr">
        <is>
          <t>40-20-1.2-CRFH-PE</t>
        </is>
      </c>
      <c r="I280" t="inlineStr">
        <is>
          <t>40-20-1.2-CRFH-PE-1</t>
        </is>
      </c>
      <c r="J280" t="n">
        <v>6.1</v>
      </c>
      <c r="K280" t="inlineStr">
        <is>
          <t>LL</t>
        </is>
      </c>
    </row>
    <row r="281" hidden="1" s="584">
      <c r="A281" t="n">
        <v>4201127</v>
      </c>
      <c r="B281" t="inlineStr">
        <is>
          <t>TUB-R-AW-RHS-40.00X20.00X1.210X6.1000</t>
        </is>
      </c>
      <c r="C281" t="n">
        <v>0.9</v>
      </c>
      <c r="D281" t="n">
        <v>789</v>
      </c>
      <c r="E281" t="inlineStr">
        <is>
          <t>Sri Balaji Gears</t>
        </is>
      </c>
      <c r="F281" t="n">
        <v>404</v>
      </c>
      <c r="G281" t="inlineStr">
        <is>
          <t>TVS</t>
        </is>
      </c>
      <c r="H281" t="inlineStr">
        <is>
          <t>40-20-1.2-CRFH-PE</t>
        </is>
      </c>
      <c r="I281" t="inlineStr">
        <is>
          <t>40-20-1.2-CRFH-PE-1</t>
        </is>
      </c>
      <c r="J281" t="n">
        <v>6.1</v>
      </c>
      <c r="K281" t="inlineStr">
        <is>
          <t>LL</t>
        </is>
      </c>
    </row>
    <row r="282" hidden="1" s="584">
      <c r="A282" t="n">
        <v>4201127</v>
      </c>
      <c r="B282" t="inlineStr">
        <is>
          <t>TUB-R-AW-RHS-40.00X20.00X1.210X6.1000</t>
        </is>
      </c>
      <c r="C282" t="n">
        <v>0.779</v>
      </c>
      <c r="D282" t="n">
        <v>789</v>
      </c>
      <c r="E282" t="inlineStr">
        <is>
          <t>Sri Balaji Gears</t>
        </is>
      </c>
      <c r="F282" t="n">
        <v>405</v>
      </c>
      <c r="G282" t="inlineStr">
        <is>
          <t>TVS</t>
        </is>
      </c>
      <c r="H282" t="inlineStr">
        <is>
          <t>40-20-1.2-CRFH-PE</t>
        </is>
      </c>
      <c r="I282" t="inlineStr">
        <is>
          <t>40-20-1.2-CRFH-PE-1</t>
        </is>
      </c>
      <c r="J282" t="n">
        <v>6.1</v>
      </c>
      <c r="K282" t="inlineStr">
        <is>
          <t>LL</t>
        </is>
      </c>
    </row>
    <row r="283" hidden="1" s="584">
      <c r="A283" t="n">
        <v>4201127</v>
      </c>
      <c r="B283" t="inlineStr">
        <is>
          <t>TUB-R-AW-RHS-40.00X20.00X1.210X6.1000</t>
        </is>
      </c>
      <c r="C283" t="n">
        <v>0.78</v>
      </c>
      <c r="D283" t="n">
        <v>789</v>
      </c>
      <c r="E283" t="inlineStr">
        <is>
          <t>Sri Balaji Gears</t>
        </is>
      </c>
      <c r="F283" t="n">
        <v>406</v>
      </c>
      <c r="G283" t="inlineStr">
        <is>
          <t>TVS</t>
        </is>
      </c>
      <c r="H283" t="inlineStr">
        <is>
          <t>40-20-1.2-CRFH-PE</t>
        </is>
      </c>
      <c r="I283" t="inlineStr">
        <is>
          <t>40-20-1.2-CRFH-PE-1</t>
        </is>
      </c>
      <c r="J283" t="n">
        <v>6.1</v>
      </c>
      <c r="K283" t="inlineStr">
        <is>
          <t>LL</t>
        </is>
      </c>
    </row>
    <row r="284" hidden="1" s="584">
      <c r="A284" t="n">
        <v>4201127</v>
      </c>
      <c r="B284" t="inlineStr">
        <is>
          <t>TUB-R-AW-RHS-40.00X20.00X1.210X6.1000</t>
        </is>
      </c>
      <c r="C284" t="n">
        <v>0.77</v>
      </c>
      <c r="D284" t="n">
        <v>789</v>
      </c>
      <c r="E284" t="inlineStr">
        <is>
          <t>Sri Balaji Gears</t>
        </is>
      </c>
      <c r="F284" t="n">
        <v>407</v>
      </c>
      <c r="G284" t="inlineStr">
        <is>
          <t>TVS</t>
        </is>
      </c>
      <c r="H284" t="inlineStr">
        <is>
          <t>40-20-1.2-CRFH-PE</t>
        </is>
      </c>
      <c r="I284" t="inlineStr">
        <is>
          <t>40-20-1.2-CRFH-PE-1</t>
        </is>
      </c>
      <c r="J284" t="n">
        <v>6.1</v>
      </c>
      <c r="K284" t="inlineStr">
        <is>
          <t>LL</t>
        </is>
      </c>
    </row>
    <row r="285" hidden="1" s="584">
      <c r="A285" t="n">
        <v>4201127</v>
      </c>
      <c r="B285" t="inlineStr">
        <is>
          <t>TUB-R-AW-RHS-40.00X20.00X1.210X6.1000</t>
        </is>
      </c>
      <c r="C285" t="n">
        <v>1.72</v>
      </c>
      <c r="D285" t="n">
        <v>789</v>
      </c>
      <c r="E285" t="inlineStr">
        <is>
          <t>Sri Balaji Gears</t>
        </is>
      </c>
      <c r="F285" t="n">
        <v>408</v>
      </c>
      <c r="G285" t="inlineStr">
        <is>
          <t>TVS</t>
        </is>
      </c>
      <c r="H285" t="inlineStr">
        <is>
          <t>40-20-1.2-CRFH-PE</t>
        </is>
      </c>
      <c r="I285" t="inlineStr">
        <is>
          <t>40-20-1.2-CRFH-PE-1</t>
        </is>
      </c>
      <c r="J285" t="n">
        <v>6.1</v>
      </c>
      <c r="K285" t="inlineStr">
        <is>
          <t>LL</t>
        </is>
      </c>
    </row>
    <row r="286" hidden="1" s="584">
      <c r="A286" t="n">
        <v>1938116</v>
      </c>
      <c r="B286" t="inlineStr">
        <is>
          <t>TUB-O-N-GEN-AW-PE-18.20X1.000X0.1100</t>
        </is>
      </c>
      <c r="C286" t="n">
        <v>0.06878000000000001</v>
      </c>
      <c r="D286" t="n">
        <v>4731</v>
      </c>
      <c r="E286" t="inlineStr">
        <is>
          <t>Neel Metal Products Limited</t>
        </is>
      </c>
      <c r="F286" t="n">
        <v>1307</v>
      </c>
      <c r="G286" t="inlineStr">
        <is>
          <t>TVS</t>
        </is>
      </c>
      <c r="H286" t="inlineStr">
        <is>
          <t>18.2-0-1-ERW 1-PE</t>
        </is>
      </c>
      <c r="I286" t="inlineStr">
        <is>
          <t>18.2-0-1-ERW 1-PE-0.11</t>
        </is>
      </c>
      <c r="J286" t="n">
        <v>0.11</v>
      </c>
      <c r="K286" t="inlineStr">
        <is>
          <t>CTL</t>
        </is>
      </c>
    </row>
    <row r="287" hidden="1" s="584">
      <c r="A287" t="n">
        <v>1938117</v>
      </c>
      <c r="B287" t="inlineStr">
        <is>
          <t>TUB-O-N-GEN-AW-PE-18.20X1.000X0.1450</t>
        </is>
      </c>
      <c r="C287" t="n">
        <v>0.12462</v>
      </c>
      <c r="D287" t="n">
        <v>4731</v>
      </c>
      <c r="E287" t="inlineStr">
        <is>
          <t>Neel Metal Products Limited</t>
        </is>
      </c>
      <c r="F287" t="n">
        <v>1308</v>
      </c>
      <c r="G287" t="inlineStr">
        <is>
          <t>TVS</t>
        </is>
      </c>
      <c r="H287" t="inlineStr">
        <is>
          <t>18.2-0-1-ERW 1-PE</t>
        </is>
      </c>
      <c r="I287" t="inlineStr">
        <is>
          <t>18.2-0-1-ERW 1-PE-0.145</t>
        </is>
      </c>
      <c r="J287" t="n">
        <v>0.145</v>
      </c>
      <c r="K287" t="inlineStr">
        <is>
          <t>CTL</t>
        </is>
      </c>
    </row>
    <row r="288" hidden="1" s="584">
      <c r="A288" t="n">
        <v>2288945</v>
      </c>
      <c r="B288" t="inlineStr">
        <is>
          <t>TUB-O-N-AUT-AW-PE-18.20X1.000X6.1450</t>
        </is>
      </c>
      <c r="C288" t="n">
        <v>0.185903</v>
      </c>
      <c r="D288" t="n">
        <v>4731</v>
      </c>
      <c r="E288" t="inlineStr">
        <is>
          <t>MEGH STEELS PRIVATE LIMITED - TVS A</t>
        </is>
      </c>
      <c r="F288" t="n">
        <v>1368</v>
      </c>
      <c r="G288" t="inlineStr">
        <is>
          <t>Direct</t>
        </is>
      </c>
      <c r="H288" t="inlineStr">
        <is>
          <t>18.2-0-1-ERW 1-PE</t>
        </is>
      </c>
      <c r="I288" t="inlineStr">
        <is>
          <t>18.2-0-1-ERW 1-PE-1</t>
        </is>
      </c>
      <c r="J288" t="n">
        <v>6.145</v>
      </c>
      <c r="K288" t="inlineStr">
        <is>
          <t>LL</t>
        </is>
      </c>
    </row>
    <row r="289" hidden="1" s="584">
      <c r="A289" t="n">
        <v>3842023</v>
      </c>
      <c r="B289" t="inlineStr">
        <is>
          <t>CUT-I-C-AUT-AD-FC-12.50X3.250X0.1800</t>
        </is>
      </c>
      <c r="C289" t="n">
        <v>0.36368</v>
      </c>
      <c r="D289" t="n">
        <v>4731</v>
      </c>
      <c r="E289" t="inlineStr">
        <is>
          <t>Metalman Auto Private Limited</t>
        </is>
      </c>
      <c r="F289" t="n">
        <v>1861</v>
      </c>
      <c r="G289" t="inlineStr">
        <is>
          <t>TVS</t>
        </is>
      </c>
      <c r="H289" t="inlineStr">
        <is>
          <t>19-12.5-3.25-CEW-CEW</t>
        </is>
      </c>
      <c r="I289" t="inlineStr">
        <is>
          <t>19-12.5-3.25-CEW-CEW-0.18</t>
        </is>
      </c>
      <c r="J289" t="n">
        <v>0.18</v>
      </c>
      <c r="K289" t="inlineStr">
        <is>
          <t>CTL</t>
        </is>
      </c>
    </row>
    <row r="290" hidden="1" s="584">
      <c r="A290" t="n">
        <v>3842024</v>
      </c>
      <c r="B290" t="inlineStr">
        <is>
          <t>CUT-I-C-AUT-AD-FC-12.50X3.250X0.1950</t>
        </is>
      </c>
      <c r="C290" t="n">
        <v>1.095788</v>
      </c>
      <c r="D290" t="n">
        <v>4731</v>
      </c>
      <c r="E290" t="inlineStr">
        <is>
          <t>Rajsriya Automotive Ind Pvt Ltd.</t>
        </is>
      </c>
      <c r="F290" t="n">
        <v>1862</v>
      </c>
      <c r="G290" t="inlineStr">
        <is>
          <t>TVS</t>
        </is>
      </c>
      <c r="H290" t="inlineStr">
        <is>
          <t>19-12.5-3.25-CEW-CEW</t>
        </is>
      </c>
      <c r="I290" t="inlineStr">
        <is>
          <t>19-12.5-3.25-CEW-CEW-0.195</t>
        </is>
      </c>
      <c r="J290" t="n">
        <v>0.195</v>
      </c>
      <c r="K290" t="inlineStr">
        <is>
          <t>CTL</t>
        </is>
      </c>
    </row>
    <row r="291" hidden="1" s="584">
      <c r="A291" t="n">
        <v>3545492</v>
      </c>
      <c r="B291" t="inlineStr">
        <is>
          <t>TUB-O-C-AUT-AD-FC-19.00X3.250X0.1950</t>
        </is>
      </c>
      <c r="C291" t="n">
        <v>0.2214</v>
      </c>
      <c r="D291" t="n">
        <v>4731</v>
      </c>
      <c r="E291" t="inlineStr">
        <is>
          <t>Rajsriya Automotive Ind Pvt Ltd.</t>
        </is>
      </c>
      <c r="F291" t="n">
        <v>1667</v>
      </c>
      <c r="G291" t="inlineStr">
        <is>
          <t>TVS</t>
        </is>
      </c>
      <c r="H291" t="inlineStr">
        <is>
          <t>19-12.5-3.25-CEW-CEW</t>
        </is>
      </c>
      <c r="I291" t="inlineStr">
        <is>
          <t>19-12.5-3.25-CEW-CEW-0.195</t>
        </is>
      </c>
      <c r="J291" t="n">
        <v>0.195</v>
      </c>
      <c r="K291" t="inlineStr">
        <is>
          <t>CTL</t>
        </is>
      </c>
    </row>
    <row r="292" hidden="1" s="584">
      <c r="A292" t="n">
        <v>3545492</v>
      </c>
      <c r="B292" t="inlineStr">
        <is>
          <t>TUB-O-C-AUT-AD-FC-19.00X3.250X0.1950</t>
        </is>
      </c>
      <c r="C292" t="n">
        <v>0.2214</v>
      </c>
      <c r="D292" t="n">
        <v>4731</v>
      </c>
      <c r="E292" t="inlineStr">
        <is>
          <t>Rajsriya Automotive Ind Pvt Ltd.</t>
        </is>
      </c>
      <c r="F292" t="n">
        <v>1668</v>
      </c>
      <c r="G292" t="inlineStr">
        <is>
          <t>TVS</t>
        </is>
      </c>
      <c r="H292" t="inlineStr">
        <is>
          <t>19-12.5-3.25-CEW-CEW</t>
        </is>
      </c>
      <c r="I292" t="inlineStr">
        <is>
          <t>19-12.5-3.25-CEW-CEW-0.195</t>
        </is>
      </c>
      <c r="J292" t="n">
        <v>0.195</v>
      </c>
      <c r="K292" t="inlineStr">
        <is>
          <t>CTL</t>
        </is>
      </c>
    </row>
    <row r="293" hidden="1" s="584">
      <c r="A293" t="n">
        <v>1938191</v>
      </c>
      <c r="B293" t="inlineStr">
        <is>
          <t>TUB-I-C-AUT-AD-FC-12.50X3.250X0.5880</t>
        </is>
      </c>
      <c r="C293" t="n">
        <v>0.112127</v>
      </c>
      <c r="D293" t="n">
        <v>4731</v>
      </c>
      <c r="E293" t="inlineStr">
        <is>
          <t>SRIKAM HITECH ENGINEERING PRIVATE L</t>
        </is>
      </c>
      <c r="F293" t="n">
        <v>1316</v>
      </c>
      <c r="G293" t="inlineStr">
        <is>
          <t>TVS</t>
        </is>
      </c>
      <c r="H293" t="inlineStr">
        <is>
          <t>19-12.5-3.25-CEW-CEW</t>
        </is>
      </c>
      <c r="I293" t="inlineStr">
        <is>
          <t>19-12.5-3.25-CEW-CEW-0.588</t>
        </is>
      </c>
      <c r="J293" t="n">
        <v>0.588</v>
      </c>
      <c r="K293" t="inlineStr">
        <is>
          <t>CTL</t>
        </is>
      </c>
    </row>
    <row r="294" hidden="1" s="584">
      <c r="A294" t="n">
        <v>1938191</v>
      </c>
      <c r="B294" t="inlineStr">
        <is>
          <t>TUB-I-C-AUT-AD-FC-12.50X3.250X0.5880</t>
        </is>
      </c>
      <c r="C294" t="n">
        <v>1.505659</v>
      </c>
      <c r="D294" t="n">
        <v>8406</v>
      </c>
      <c r="E294" t="inlineStr">
        <is>
          <t>SRIKAM HITECH ENGINEERING PRIVATE L</t>
        </is>
      </c>
      <c r="F294" t="n">
        <v>1317</v>
      </c>
      <c r="G294" t="inlineStr">
        <is>
          <t>TVS</t>
        </is>
      </c>
      <c r="H294" t="inlineStr">
        <is>
          <t>19-12.5-3.25-CEW-CEW</t>
        </is>
      </c>
      <c r="I294" t="inlineStr">
        <is>
          <t>19-12.5-3.25-CEW-CEW-0.588</t>
        </is>
      </c>
      <c r="J294" t="n">
        <v>0.588</v>
      </c>
      <c r="K294" t="inlineStr">
        <is>
          <t>CTL</t>
        </is>
      </c>
    </row>
    <row r="295">
      <c r="A295" t="n">
        <v>3775569</v>
      </c>
      <c r="B295" t="inlineStr">
        <is>
          <t>TUB-I-C-AUT-AD-FC-12.50X3.250X6.2000</t>
        </is>
      </c>
      <c r="C295" t="n">
        <v>0.075824</v>
      </c>
      <c r="D295" t="n">
        <v>4731</v>
      </c>
      <c r="E295" t="inlineStr">
        <is>
          <t>SRIKAM HITECH ENGINEERING PRIVATE L</t>
        </is>
      </c>
      <c r="F295" t="n">
        <v>1814</v>
      </c>
      <c r="G295" t="inlineStr">
        <is>
          <t>TVS</t>
        </is>
      </c>
      <c r="H295" t="inlineStr">
        <is>
          <t>19-12.5-3.25-CEW-CEW</t>
        </is>
      </c>
      <c r="I295" t="inlineStr">
        <is>
          <t>19-12.5-3.25-CEW-CEW-1</t>
        </is>
      </c>
      <c r="J295" t="n">
        <v>6.2</v>
      </c>
      <c r="K295" t="inlineStr">
        <is>
          <t>LL</t>
        </is>
      </c>
    </row>
    <row r="296">
      <c r="A296" t="n">
        <v>3775569</v>
      </c>
      <c r="B296" t="inlineStr">
        <is>
          <t>TUB-I-C-AUT-AD-FC-12.50X3.250X6.2000</t>
        </is>
      </c>
      <c r="C296" t="n">
        <v>0.295636</v>
      </c>
      <c r="D296" t="n">
        <v>4731</v>
      </c>
      <c r="E296" t="inlineStr">
        <is>
          <t>SRIKAM HITECH ENGINEERING PRIVATE L</t>
        </is>
      </c>
      <c r="F296" t="n">
        <v>1815</v>
      </c>
      <c r="G296" t="inlineStr">
        <is>
          <t>TVS</t>
        </is>
      </c>
      <c r="H296" t="inlineStr">
        <is>
          <t>19-12.5-3.25-CEW-CEW</t>
        </is>
      </c>
      <c r="I296" t="inlineStr">
        <is>
          <t>19-12.5-3.25-CEW-CEW-1</t>
        </is>
      </c>
      <c r="J296" t="n">
        <v>6.2</v>
      </c>
      <c r="K296" t="inlineStr">
        <is>
          <t>LL</t>
        </is>
      </c>
    </row>
    <row r="297">
      <c r="A297" t="n">
        <v>3775569</v>
      </c>
      <c r="B297" t="inlineStr">
        <is>
          <t>TUB-I-C-AUT-AD-FC-12.50X3.250X6.2000</t>
        </is>
      </c>
      <c r="C297" t="n">
        <v>0.07959999999999999</v>
      </c>
      <c r="D297" t="n">
        <v>4731</v>
      </c>
      <c r="E297" t="inlineStr">
        <is>
          <t>SRIKAM HITECH ENGINEERING PRIVATE L</t>
        </is>
      </c>
      <c r="F297" t="n">
        <v>1816</v>
      </c>
      <c r="G297" t="inlineStr">
        <is>
          <t>TVS</t>
        </is>
      </c>
      <c r="H297" t="inlineStr">
        <is>
          <t>19-12.5-3.25-CEW-CEW</t>
        </is>
      </c>
      <c r="I297" t="inlineStr">
        <is>
          <t>19-12.5-3.25-CEW-CEW-1</t>
        </is>
      </c>
      <c r="J297" t="n">
        <v>6.2</v>
      </c>
      <c r="K297" t="inlineStr">
        <is>
          <t>LL</t>
        </is>
      </c>
    </row>
    <row r="298">
      <c r="A298" t="n">
        <v>3775569</v>
      </c>
      <c r="B298" t="inlineStr">
        <is>
          <t>TUB-I-C-AUT-AD-FC-12.50X3.250X6.2000</t>
        </is>
      </c>
      <c r="C298" t="n">
        <v>1.127</v>
      </c>
      <c r="D298" t="n">
        <v>4731</v>
      </c>
      <c r="E298" t="inlineStr">
        <is>
          <t>SRIKAM HITECH ENGINEERING PRIVATE L</t>
        </is>
      </c>
      <c r="F298" t="n">
        <v>1817</v>
      </c>
      <c r="G298" t="inlineStr">
        <is>
          <t>TVS</t>
        </is>
      </c>
      <c r="H298" t="inlineStr">
        <is>
          <t>19-12.5-3.25-CEW-CEW</t>
        </is>
      </c>
      <c r="I298" t="inlineStr">
        <is>
          <t>19-12.5-3.25-CEW-CEW-1</t>
        </is>
      </c>
      <c r="J298" t="n">
        <v>6.2</v>
      </c>
      <c r="K298" t="inlineStr">
        <is>
          <t>LL</t>
        </is>
      </c>
    </row>
    <row r="299">
      <c r="A299" t="n">
        <v>3775569</v>
      </c>
      <c r="B299" t="inlineStr">
        <is>
          <t>TUB-I-C-AUT-AD-FC-12.50X3.250X6.2000</t>
        </is>
      </c>
      <c r="C299" t="n">
        <v>1.198</v>
      </c>
      <c r="D299" t="n">
        <v>4731</v>
      </c>
      <c r="E299" t="inlineStr">
        <is>
          <t>SRIKAM HITECH ENGINEERING PRIVATE L</t>
        </is>
      </c>
      <c r="F299" t="n">
        <v>1818</v>
      </c>
      <c r="G299" t="inlineStr">
        <is>
          <t>TVS</t>
        </is>
      </c>
      <c r="H299" t="inlineStr">
        <is>
          <t>19-12.5-3.25-CEW-CEW</t>
        </is>
      </c>
      <c r="I299" t="inlineStr">
        <is>
          <t>19-12.5-3.25-CEW-CEW-1</t>
        </is>
      </c>
      <c r="J299" t="n">
        <v>6.2</v>
      </c>
      <c r="K299" t="inlineStr">
        <is>
          <t>LL</t>
        </is>
      </c>
    </row>
    <row r="300">
      <c r="A300" t="n">
        <v>3775569</v>
      </c>
      <c r="B300" t="inlineStr">
        <is>
          <t>TUB-I-C-AUT-AD-FC-12.50X3.250X6.2000</t>
        </is>
      </c>
      <c r="C300" t="n">
        <v>0.17973</v>
      </c>
      <c r="D300" t="n">
        <v>4731</v>
      </c>
      <c r="E300" t="inlineStr">
        <is>
          <t>SRIKAM HITECH ENGINEERING PRIVATE L</t>
        </is>
      </c>
      <c r="F300" t="n">
        <v>1819</v>
      </c>
      <c r="G300" t="inlineStr">
        <is>
          <t>TVS</t>
        </is>
      </c>
      <c r="H300" t="inlineStr">
        <is>
          <t>19-12.5-3.25-CEW-CEW</t>
        </is>
      </c>
      <c r="I300" t="inlineStr">
        <is>
          <t>19-12.5-3.25-CEW-CEW-1</t>
        </is>
      </c>
      <c r="J300" t="n">
        <v>6.2</v>
      </c>
      <c r="K300" t="inlineStr">
        <is>
          <t>LL</t>
        </is>
      </c>
    </row>
    <row r="301" hidden="1" s="584">
      <c r="A301" t="n">
        <v>3931834</v>
      </c>
      <c r="B301" t="inlineStr">
        <is>
          <t>CUT-R-AW-AUT-19.00X19.00X1.000X0.1000</t>
        </is>
      </c>
      <c r="C301" t="n">
        <v>0.006111</v>
      </c>
      <c r="D301" t="n">
        <v>789</v>
      </c>
      <c r="E301" t="inlineStr">
        <is>
          <t>Sri Balaji Gears</t>
        </is>
      </c>
      <c r="F301" t="n">
        <v>946</v>
      </c>
      <c r="G301" t="inlineStr">
        <is>
          <t>TVS</t>
        </is>
      </c>
      <c r="H301" t="inlineStr">
        <is>
          <t>19-19-1-CRFH-PE</t>
        </is>
      </c>
      <c r="I301" t="inlineStr">
        <is>
          <t>19-19-1-CRFH-PE-0.1</t>
        </is>
      </c>
      <c r="J301" t="n">
        <v>0.1</v>
      </c>
      <c r="K301" t="inlineStr">
        <is>
          <t>CTL</t>
        </is>
      </c>
    </row>
    <row r="302" hidden="1" s="584">
      <c r="A302" t="n">
        <v>3931834</v>
      </c>
      <c r="B302" t="inlineStr">
        <is>
          <t>CUT-R-AW-AUT-19.00X19.00X1.000X0.1000</t>
        </is>
      </c>
      <c r="C302" t="n">
        <v>0.112</v>
      </c>
      <c r="D302" t="n">
        <v>789</v>
      </c>
      <c r="E302" t="inlineStr">
        <is>
          <t>Sri Balaji Gears</t>
        </is>
      </c>
      <c r="F302" t="n">
        <v>947</v>
      </c>
      <c r="G302" t="inlineStr">
        <is>
          <t>TVS</t>
        </is>
      </c>
      <c r="H302" t="inlineStr">
        <is>
          <t>19-19-1-CRFH-PE</t>
        </is>
      </c>
      <c r="I302" t="inlineStr">
        <is>
          <t>19-19-1-CRFH-PE-0.1</t>
        </is>
      </c>
      <c r="J302" t="n">
        <v>0.1</v>
      </c>
      <c r="K302" t="inlineStr">
        <is>
          <t>CTL</t>
        </is>
      </c>
    </row>
    <row r="303" hidden="1" s="584">
      <c r="A303" t="n">
        <v>3931835</v>
      </c>
      <c r="B303" t="inlineStr">
        <is>
          <t>CUT-R-AW-AUT-19.00X19.00X1.000X0.1100</t>
        </is>
      </c>
      <c r="C303" t="n">
        <v>0.003176</v>
      </c>
      <c r="D303" t="n">
        <v>789</v>
      </c>
      <c r="E303" t="inlineStr">
        <is>
          <t>Sri Balaji Gears</t>
        </is>
      </c>
      <c r="F303" t="n">
        <v>1211</v>
      </c>
      <c r="G303" t="inlineStr">
        <is>
          <t>TVS</t>
        </is>
      </c>
      <c r="H303" t="inlineStr">
        <is>
          <t>19-19-1-CRFH-PE</t>
        </is>
      </c>
      <c r="I303" t="inlineStr">
        <is>
          <t>19-19-1-CRFH-PE-0.11</t>
        </is>
      </c>
      <c r="J303" t="n">
        <v>0.11</v>
      </c>
      <c r="K303" t="inlineStr">
        <is>
          <t>CTL</t>
        </is>
      </c>
    </row>
    <row r="304" hidden="1" s="584">
      <c r="A304" t="n">
        <v>3931835</v>
      </c>
      <c r="B304" t="inlineStr">
        <is>
          <t>CUT-R-AW-AUT-19.00X19.00X1.000X0.1100</t>
        </is>
      </c>
      <c r="C304" t="n">
        <v>0.034195</v>
      </c>
      <c r="D304" t="n">
        <v>789</v>
      </c>
      <c r="E304" t="inlineStr">
        <is>
          <t>Sri Balaji Gears</t>
        </is>
      </c>
      <c r="F304" t="n">
        <v>1212</v>
      </c>
      <c r="G304" t="inlineStr">
        <is>
          <t>TVS</t>
        </is>
      </c>
      <c r="H304" t="inlineStr">
        <is>
          <t>19-19-1-CRFH-PE</t>
        </is>
      </c>
      <c r="I304" t="inlineStr">
        <is>
          <t>19-19-1-CRFH-PE-0.11</t>
        </is>
      </c>
      <c r="J304" t="n">
        <v>0.11</v>
      </c>
      <c r="K304" t="inlineStr">
        <is>
          <t>CTL</t>
        </is>
      </c>
    </row>
    <row r="305" hidden="1" s="584">
      <c r="A305" t="n">
        <v>3931835</v>
      </c>
      <c r="B305" t="inlineStr">
        <is>
          <t>CUT-R-AW-AUT-19.00X19.00X1.000X0.1100</t>
        </is>
      </c>
      <c r="C305" t="n">
        <v>0.038151</v>
      </c>
      <c r="D305" t="n">
        <v>789</v>
      </c>
      <c r="E305" t="inlineStr">
        <is>
          <t>Sri Balaji Gears</t>
        </is>
      </c>
      <c r="F305" t="n">
        <v>1213</v>
      </c>
      <c r="G305" t="inlineStr">
        <is>
          <t>TVS</t>
        </is>
      </c>
      <c r="H305" t="inlineStr">
        <is>
          <t>19-19-1-CRFH-PE</t>
        </is>
      </c>
      <c r="I305" t="inlineStr">
        <is>
          <t>19-19-1-CRFH-PE-0.11</t>
        </is>
      </c>
      <c r="J305" t="n">
        <v>0.11</v>
      </c>
      <c r="K305" t="inlineStr">
        <is>
          <t>CTL</t>
        </is>
      </c>
    </row>
    <row r="306" hidden="1" s="584">
      <c r="A306" t="n">
        <v>3931835</v>
      </c>
      <c r="B306" t="inlineStr">
        <is>
          <t>CUT-R-AW-AUT-19.00X19.00X1.000X0.1100</t>
        </is>
      </c>
      <c r="C306" t="n">
        <v>0.034044</v>
      </c>
      <c r="D306" t="n">
        <v>789</v>
      </c>
      <c r="E306" t="inlineStr">
        <is>
          <t>Sri Balaji Gears</t>
        </is>
      </c>
      <c r="F306" t="n">
        <v>1214</v>
      </c>
      <c r="G306" t="inlineStr">
        <is>
          <t>TVS</t>
        </is>
      </c>
      <c r="H306" t="inlineStr">
        <is>
          <t>19-19-1-CRFH-PE</t>
        </is>
      </c>
      <c r="I306" t="inlineStr">
        <is>
          <t>19-19-1-CRFH-PE-0.11</t>
        </is>
      </c>
      <c r="J306" t="n">
        <v>0.11</v>
      </c>
      <c r="K306" t="inlineStr">
        <is>
          <t>CTL</t>
        </is>
      </c>
    </row>
    <row r="307" hidden="1" s="584">
      <c r="A307" t="n">
        <v>1940392</v>
      </c>
      <c r="B307" t="inlineStr">
        <is>
          <t>TUB-O-O-AUT-AW-PE-22.23X1.600X0.2850</t>
        </is>
      </c>
      <c r="C307" t="n">
        <v>0.001528</v>
      </c>
      <c r="D307" t="n">
        <v>789</v>
      </c>
      <c r="E307" t="inlineStr">
        <is>
          <t>Neel Metal Products Limited</t>
        </is>
      </c>
      <c r="F307" t="n">
        <v>286</v>
      </c>
      <c r="G307" t="inlineStr">
        <is>
          <t>TVS</t>
        </is>
      </c>
      <c r="H307" t="inlineStr">
        <is>
          <t>22.23-0-1.6-ERW 1-PE</t>
        </is>
      </c>
      <c r="I307" t="inlineStr">
        <is>
          <t>22.23-0-1.6-ERW 1-PE-0.285</t>
        </is>
      </c>
      <c r="J307" t="n">
        <v>0.285</v>
      </c>
      <c r="K307" t="inlineStr">
        <is>
          <t>CTL</t>
        </is>
      </c>
    </row>
    <row r="308" hidden="1" s="584">
      <c r="A308" t="n">
        <v>1940392</v>
      </c>
      <c r="B308" t="inlineStr">
        <is>
          <t>TUB-O-O-AUT-AW-PE-22.23X1.600X0.2850</t>
        </is>
      </c>
      <c r="C308" t="n">
        <v>0.09320000000000001</v>
      </c>
      <c r="D308" t="n">
        <v>789</v>
      </c>
      <c r="E308" t="inlineStr">
        <is>
          <t>Neel Metal Products Limited</t>
        </is>
      </c>
      <c r="F308" t="n">
        <v>287</v>
      </c>
      <c r="G308" t="inlineStr">
        <is>
          <t>TVS</t>
        </is>
      </c>
      <c r="H308" t="inlineStr">
        <is>
          <t>22.23-0-1.6-ERW 1-PE</t>
        </is>
      </c>
      <c r="I308" t="inlineStr">
        <is>
          <t>22.23-0-1.6-ERW 1-PE-0.285</t>
        </is>
      </c>
      <c r="J308" t="n">
        <v>0.285</v>
      </c>
      <c r="K308" t="inlineStr">
        <is>
          <t>CTL</t>
        </is>
      </c>
    </row>
    <row r="309" hidden="1" s="584">
      <c r="A309" t="n">
        <v>4151428</v>
      </c>
      <c r="B309" t="inlineStr">
        <is>
          <t>TUB-S-AW-AUT-19.00X19.00X1.000X0.1150</t>
        </is>
      </c>
      <c r="C309" t="n">
        <v>0.000364</v>
      </c>
      <c r="D309" t="n">
        <v>789</v>
      </c>
      <c r="E309" t="inlineStr">
        <is>
          <t>Sri Balaji Gears</t>
        </is>
      </c>
      <c r="F309" t="n">
        <v>974</v>
      </c>
      <c r="G309" t="inlineStr">
        <is>
          <t>TVS</t>
        </is>
      </c>
      <c r="H309" t="inlineStr">
        <is>
          <t>19-19-1-CRFH-PE</t>
        </is>
      </c>
      <c r="I309" t="inlineStr">
        <is>
          <t>19-19-1-CRFH-PE-0.115</t>
        </is>
      </c>
      <c r="J309" t="n">
        <v>0.115</v>
      </c>
      <c r="K309" t="inlineStr">
        <is>
          <t>CTL</t>
        </is>
      </c>
    </row>
    <row r="310" hidden="1" s="584">
      <c r="A310" t="n">
        <v>3938687</v>
      </c>
      <c r="B310" t="inlineStr">
        <is>
          <t>TUB-S-AW-AUT-19.00X19.00X1.000X0.1290</t>
        </is>
      </c>
      <c r="C310" t="n">
        <v>0.002918</v>
      </c>
      <c r="D310" t="n">
        <v>789</v>
      </c>
      <c r="E310" t="inlineStr">
        <is>
          <t>Sri Balaji Gears</t>
        </is>
      </c>
      <c r="F310" t="n">
        <v>1204</v>
      </c>
      <c r="G310" t="inlineStr">
        <is>
          <t>TVS</t>
        </is>
      </c>
      <c r="H310" t="inlineStr">
        <is>
          <t>19-19-1-CRFH-PE</t>
        </is>
      </c>
      <c r="I310" t="inlineStr">
        <is>
          <t>19-19-1-CRFH-PE-0.129</t>
        </is>
      </c>
      <c r="J310" t="n">
        <v>0.129</v>
      </c>
      <c r="K310" t="inlineStr">
        <is>
          <t>CTL</t>
        </is>
      </c>
    </row>
    <row r="311" hidden="1" s="584">
      <c r="A311" t="n">
        <v>3938687</v>
      </c>
      <c r="B311" t="inlineStr">
        <is>
          <t>TUB-S-AW-AUT-19.00X19.00X1.000X0.1290</t>
        </is>
      </c>
      <c r="C311" t="n">
        <v>0.001731</v>
      </c>
      <c r="D311" t="n">
        <v>789</v>
      </c>
      <c r="E311" t="inlineStr">
        <is>
          <t>Sri Balaji Gears</t>
        </is>
      </c>
      <c r="F311" t="n">
        <v>1205</v>
      </c>
      <c r="G311" t="inlineStr">
        <is>
          <t>TVS</t>
        </is>
      </c>
      <c r="H311" t="inlineStr">
        <is>
          <t>19-19-1-CRFH-PE</t>
        </is>
      </c>
      <c r="I311" t="inlineStr">
        <is>
          <t>19-19-1-CRFH-PE-0.129</t>
        </is>
      </c>
      <c r="J311" t="n">
        <v>0.129</v>
      </c>
      <c r="K311" t="inlineStr">
        <is>
          <t>CTL</t>
        </is>
      </c>
    </row>
    <row r="312" hidden="1" s="584">
      <c r="A312" t="n">
        <v>3938687</v>
      </c>
      <c r="B312" t="inlineStr">
        <is>
          <t>TUB-S-AW-AUT-19.00X19.00X1.000X0.1290</t>
        </is>
      </c>
      <c r="C312" t="n">
        <v>0.442689</v>
      </c>
      <c r="D312" t="n">
        <v>789</v>
      </c>
      <c r="E312" t="inlineStr">
        <is>
          <t>Sri Balaji Gears</t>
        </is>
      </c>
      <c r="F312" t="n">
        <v>1206</v>
      </c>
      <c r="G312" t="inlineStr">
        <is>
          <t>TVS</t>
        </is>
      </c>
      <c r="H312" t="inlineStr">
        <is>
          <t>19-19-1-CRFH-PE</t>
        </is>
      </c>
      <c r="I312" t="inlineStr">
        <is>
          <t>19-19-1-CRFH-PE-0.129</t>
        </is>
      </c>
      <c r="J312" t="n">
        <v>0.129</v>
      </c>
      <c r="K312" t="inlineStr">
        <is>
          <t>CTL</t>
        </is>
      </c>
    </row>
    <row r="313" hidden="1" s="584">
      <c r="A313" t="n">
        <v>3938687</v>
      </c>
      <c r="B313" t="inlineStr">
        <is>
          <t>TUB-S-AW-AUT-19.00X19.00X1.000X0.1290</t>
        </is>
      </c>
      <c r="C313" t="n">
        <v>0.053067</v>
      </c>
      <c r="D313" t="n">
        <v>789</v>
      </c>
      <c r="E313" t="inlineStr">
        <is>
          <t>Sri Balaji Gears</t>
        </is>
      </c>
      <c r="F313" t="n">
        <v>1207</v>
      </c>
      <c r="G313" t="inlineStr">
        <is>
          <t>TVS</t>
        </is>
      </c>
      <c r="H313" t="inlineStr">
        <is>
          <t>19-19-1-CRFH-PE</t>
        </is>
      </c>
      <c r="I313" t="inlineStr">
        <is>
          <t>19-19-1-CRFH-PE-0.129</t>
        </is>
      </c>
      <c r="J313" t="n">
        <v>0.129</v>
      </c>
      <c r="K313" t="inlineStr">
        <is>
          <t>CTL</t>
        </is>
      </c>
    </row>
    <row r="314" hidden="1" s="584">
      <c r="A314" t="n">
        <v>3230486</v>
      </c>
      <c r="B314" t="inlineStr">
        <is>
          <t>TUB-S-AW-AUT-19.00X19.00X1.000X0.1500</t>
        </is>
      </c>
      <c r="C314" t="n">
        <v>0.01112</v>
      </c>
      <c r="D314" t="n">
        <v>789</v>
      </c>
      <c r="E314" t="inlineStr">
        <is>
          <t>Sri Balaji Gears</t>
        </is>
      </c>
      <c r="F314" t="n">
        <v>1162</v>
      </c>
      <c r="G314" t="inlineStr">
        <is>
          <t>TVS</t>
        </is>
      </c>
      <c r="H314" t="inlineStr">
        <is>
          <t>19-19-1-CRFH-PE</t>
        </is>
      </c>
      <c r="I314" t="inlineStr">
        <is>
          <t>19-19-1-CRFH-PE-0.15</t>
        </is>
      </c>
      <c r="J314" t="n">
        <v>0.15</v>
      </c>
      <c r="K314" t="inlineStr">
        <is>
          <t>CTL</t>
        </is>
      </c>
    </row>
    <row r="315" hidden="1" s="584">
      <c r="A315" t="n">
        <v>3230486</v>
      </c>
      <c r="B315" t="inlineStr">
        <is>
          <t>TUB-S-AW-AUT-19.00X19.00X1.000X0.1500</t>
        </is>
      </c>
      <c r="C315" t="n">
        <v>0.083</v>
      </c>
      <c r="D315" t="n">
        <v>789</v>
      </c>
      <c r="E315" t="inlineStr">
        <is>
          <t>Sri Balaji Gears</t>
        </is>
      </c>
      <c r="F315" t="n">
        <v>1163</v>
      </c>
      <c r="G315" t="inlineStr">
        <is>
          <t>TVS</t>
        </is>
      </c>
      <c r="H315" t="inlineStr">
        <is>
          <t>19-19-1-CRFH-PE</t>
        </is>
      </c>
      <c r="I315" t="inlineStr">
        <is>
          <t>19-19-1-CRFH-PE-0.15</t>
        </is>
      </c>
      <c r="J315" t="n">
        <v>0.15</v>
      </c>
      <c r="K315" t="inlineStr">
        <is>
          <t>CTL</t>
        </is>
      </c>
    </row>
    <row r="316" hidden="1" s="584">
      <c r="A316" t="n">
        <v>3230486</v>
      </c>
      <c r="B316" t="inlineStr">
        <is>
          <t>TUB-S-AW-AUT-19.00X19.00X1.000X0.1500</t>
        </is>
      </c>
      <c r="C316" t="n">
        <v>0.415</v>
      </c>
      <c r="D316" t="n">
        <v>789</v>
      </c>
      <c r="E316" t="inlineStr">
        <is>
          <t>Sri Balaji Gears</t>
        </is>
      </c>
      <c r="F316" t="n">
        <v>1164</v>
      </c>
      <c r="G316" t="inlineStr">
        <is>
          <t>TVS</t>
        </is>
      </c>
      <c r="H316" t="inlineStr">
        <is>
          <t>19-19-1-CRFH-PE</t>
        </is>
      </c>
      <c r="I316" t="inlineStr">
        <is>
          <t>19-19-1-CRFH-PE-0.15</t>
        </is>
      </c>
      <c r="J316" t="n">
        <v>0.15</v>
      </c>
      <c r="K316" t="inlineStr">
        <is>
          <t>CTL</t>
        </is>
      </c>
    </row>
    <row r="317" hidden="1" s="584">
      <c r="A317" t="n">
        <v>1940588</v>
      </c>
      <c r="B317" t="inlineStr">
        <is>
          <t>TUB-O-O-AUT-AW-FC-25.40X2.000X0.3550</t>
        </is>
      </c>
      <c r="C317" t="n">
        <v>0.41</v>
      </c>
      <c r="D317" t="n">
        <v>789</v>
      </c>
      <c r="E317" t="inlineStr">
        <is>
          <t>SANDHAR ENGINEERING PVT LTD.(KA) -U</t>
        </is>
      </c>
      <c r="F317" t="n">
        <v>289</v>
      </c>
      <c r="G317" t="inlineStr">
        <is>
          <t>TVS</t>
        </is>
      </c>
      <c r="H317" t="inlineStr">
        <is>
          <t>25.4-0-2-ERW 1-FC</t>
        </is>
      </c>
      <c r="I317" t="inlineStr">
        <is>
          <t>25.4-0-2-ERW 1-FC-0.355</t>
        </is>
      </c>
      <c r="J317" t="n">
        <v>0.355</v>
      </c>
      <c r="K317" t="inlineStr">
        <is>
          <t>CTL</t>
        </is>
      </c>
    </row>
    <row r="318" hidden="1" s="584">
      <c r="A318" t="n">
        <v>1940588</v>
      </c>
      <c r="B318" t="inlineStr">
        <is>
          <t>TUB-O-O-AUT-AW-FC-25.40X2.000X0.3550</t>
        </is>
      </c>
      <c r="C318" t="n">
        <v>1.24</v>
      </c>
      <c r="D318" t="n">
        <v>789</v>
      </c>
      <c r="E318" t="inlineStr">
        <is>
          <t>SANDHAR ENGINEERING PVT LTD.(KA) -U</t>
        </is>
      </c>
      <c r="F318" t="n">
        <v>290</v>
      </c>
      <c r="G318" t="inlineStr">
        <is>
          <t>TVS</t>
        </is>
      </c>
      <c r="H318" t="inlineStr">
        <is>
          <t>25.4-0-2-ERW 1-FC</t>
        </is>
      </c>
      <c r="I318" t="inlineStr">
        <is>
          <t>25.4-0-2-ERW 1-FC-0.355</t>
        </is>
      </c>
      <c r="J318" t="n">
        <v>0.355</v>
      </c>
      <c r="K318" t="inlineStr">
        <is>
          <t>CTL</t>
        </is>
      </c>
    </row>
    <row r="319" hidden="1" s="584">
      <c r="A319" t="n">
        <v>1940588</v>
      </c>
      <c r="B319" t="inlineStr">
        <is>
          <t>TUB-O-O-AUT-AW-FC-25.40X2.000X0.3550</t>
        </is>
      </c>
      <c r="C319" t="n">
        <v>0.00205</v>
      </c>
      <c r="D319" t="n">
        <v>789</v>
      </c>
      <c r="E319" t="inlineStr">
        <is>
          <t>SANDHAR ENGINEERING PVT LTD.(KA) -U</t>
        </is>
      </c>
      <c r="F319" t="n">
        <v>291</v>
      </c>
      <c r="G319" t="inlineStr">
        <is>
          <t>TVS</t>
        </is>
      </c>
      <c r="H319" t="inlineStr">
        <is>
          <t>25.4-0-2-ERW 1-FC</t>
        </is>
      </c>
      <c r="I319" t="inlineStr">
        <is>
          <t>25.4-0-2-ERW 1-FC-0.355</t>
        </is>
      </c>
      <c r="J319" t="n">
        <v>0.355</v>
      </c>
      <c r="K319" t="inlineStr">
        <is>
          <t>CTL</t>
        </is>
      </c>
    </row>
    <row r="320" hidden="1" s="584">
      <c r="A320" t="n">
        <v>1940588</v>
      </c>
      <c r="B320" t="inlineStr">
        <is>
          <t>TUB-O-O-AUT-AW-FC-25.40X2.000X0.3550</t>
        </is>
      </c>
      <c r="C320" t="n">
        <v>0.086162</v>
      </c>
      <c r="D320" t="n">
        <v>4731</v>
      </c>
      <c r="E320" t="inlineStr">
        <is>
          <t>SANDHAR ENGINEERING PVT LTD.(KA) -U</t>
        </is>
      </c>
      <c r="F320" t="n">
        <v>1333</v>
      </c>
      <c r="G320" t="inlineStr">
        <is>
          <t>TVS</t>
        </is>
      </c>
      <c r="H320" t="inlineStr">
        <is>
          <t>25.4-0-2-ERW 1-FC</t>
        </is>
      </c>
      <c r="I320" t="inlineStr">
        <is>
          <t>25.4-0-2-ERW 1-FC-0.355</t>
        </is>
      </c>
      <c r="J320" t="n">
        <v>0.355</v>
      </c>
      <c r="K320" t="inlineStr">
        <is>
          <t>CTL</t>
        </is>
      </c>
    </row>
    <row r="321" hidden="1" s="584">
      <c r="A321" t="n">
        <v>1940588</v>
      </c>
      <c r="B321" t="inlineStr">
        <is>
          <t>TUB-O-O-AUT-AW-FC-25.40X2.000X0.3550</t>
        </is>
      </c>
      <c r="C321" t="n">
        <v>0.134617</v>
      </c>
      <c r="D321" t="n">
        <v>4731</v>
      </c>
      <c r="E321" t="inlineStr">
        <is>
          <t>SANDHAR ENGINEERING PVT LTD.(KA) -U</t>
        </is>
      </c>
      <c r="F321" t="n">
        <v>1334</v>
      </c>
      <c r="G321" t="inlineStr">
        <is>
          <t>TVS</t>
        </is>
      </c>
      <c r="H321" t="inlineStr">
        <is>
          <t>25.4-0-2-ERW 1-FC</t>
        </is>
      </c>
      <c r="I321" t="inlineStr">
        <is>
          <t>25.4-0-2-ERW 1-FC-0.355</t>
        </is>
      </c>
      <c r="J321" t="n">
        <v>0.355</v>
      </c>
      <c r="K321" t="inlineStr">
        <is>
          <t>CTL</t>
        </is>
      </c>
    </row>
    <row r="322" hidden="1" s="584">
      <c r="A322" t="n">
        <v>1940588</v>
      </c>
      <c r="B322" t="inlineStr">
        <is>
          <t>TUB-O-O-AUT-AW-FC-25.40X2.000X0.3550</t>
        </is>
      </c>
      <c r="C322" t="n">
        <v>0.62236</v>
      </c>
      <c r="D322" t="n">
        <v>8406</v>
      </c>
      <c r="E322" t="inlineStr">
        <is>
          <t>SANDHAR ENGINEERING PVT LTD.(KA) -U</t>
        </is>
      </c>
      <c r="F322" t="n">
        <v>1335</v>
      </c>
      <c r="G322" t="inlineStr">
        <is>
          <t>TVS</t>
        </is>
      </c>
      <c r="H322" t="inlineStr">
        <is>
          <t>25.4-0-2-ERW 1-FC</t>
        </is>
      </c>
      <c r="I322" t="inlineStr">
        <is>
          <t>25.4-0-2-ERW 1-FC-0.355</t>
        </is>
      </c>
      <c r="J322" t="n">
        <v>0.355</v>
      </c>
      <c r="K322" t="inlineStr">
        <is>
          <t>CTL</t>
        </is>
      </c>
    </row>
    <row r="323" hidden="1" s="584">
      <c r="A323" t="n">
        <v>2325421</v>
      </c>
      <c r="B323" t="inlineStr">
        <is>
          <t>TUB-O-N-AUT-AW-FC-48.60X1.200X0.3360</t>
        </is>
      </c>
      <c r="C323" t="n">
        <v>1.084</v>
      </c>
      <c r="D323" t="n">
        <v>789</v>
      </c>
      <c r="E323" t="inlineStr">
        <is>
          <t>Metalman Auto Private Limited</t>
        </is>
      </c>
      <c r="F323" t="n">
        <v>296</v>
      </c>
      <c r="G323" t="inlineStr">
        <is>
          <t>TVS</t>
        </is>
      </c>
      <c r="H323" t="inlineStr">
        <is>
          <t>48.6-0-1.2-ERW 1-FC</t>
        </is>
      </c>
      <c r="I323" t="inlineStr">
        <is>
          <t>48.6-0-1.2-ERW 1-FC-0.336</t>
        </is>
      </c>
      <c r="J323" t="n">
        <v>0.336</v>
      </c>
      <c r="K323" t="inlineStr">
        <is>
          <t>CTL</t>
        </is>
      </c>
    </row>
    <row r="324" hidden="1" s="584">
      <c r="A324" t="n">
        <v>2325421</v>
      </c>
      <c r="B324" t="inlineStr">
        <is>
          <t>TUB-O-N-AUT-AW-FC-48.60X1.200X0.3360</t>
        </is>
      </c>
      <c r="C324" t="n">
        <v>1.579</v>
      </c>
      <c r="D324" t="n">
        <v>789</v>
      </c>
      <c r="E324" t="inlineStr">
        <is>
          <t>Metalman Auto Private Limited</t>
        </is>
      </c>
      <c r="F324" t="n">
        <v>297</v>
      </c>
      <c r="G324" t="inlineStr">
        <is>
          <t>TVS</t>
        </is>
      </c>
      <c r="H324" t="inlineStr">
        <is>
          <t>48.6-0-1.2-ERW 1-FC</t>
        </is>
      </c>
      <c r="I324" t="inlineStr">
        <is>
          <t>48.6-0-1.2-ERW 1-FC-0.336</t>
        </is>
      </c>
      <c r="J324" t="n">
        <v>0.336</v>
      </c>
      <c r="K324" t="inlineStr">
        <is>
          <t>CTL</t>
        </is>
      </c>
    </row>
    <row r="325" hidden="1" s="584">
      <c r="A325" t="n">
        <v>2325421</v>
      </c>
      <c r="B325" t="inlineStr">
        <is>
          <t>TUB-O-N-AUT-AW-FC-48.60X1.200X0.3360</t>
        </is>
      </c>
      <c r="C325" t="n">
        <v>0.117072</v>
      </c>
      <c r="D325" t="n">
        <v>789</v>
      </c>
      <c r="E325" t="inlineStr">
        <is>
          <t>Metalman Auto Private Limited</t>
        </is>
      </c>
      <c r="F325" t="n">
        <v>298</v>
      </c>
      <c r="G325" t="inlineStr">
        <is>
          <t>TVS</t>
        </is>
      </c>
      <c r="H325" t="inlineStr">
        <is>
          <t>48.6-0-1.2-ERW 1-FC</t>
        </is>
      </c>
      <c r="I325" t="inlineStr">
        <is>
          <t>48.6-0-1.2-ERW 1-FC-0.336</t>
        </is>
      </c>
      <c r="J325" t="n">
        <v>0.336</v>
      </c>
      <c r="K325" t="inlineStr">
        <is>
          <t>CTL</t>
        </is>
      </c>
    </row>
    <row r="326" hidden="1" s="584">
      <c r="A326" t="n">
        <v>2325421</v>
      </c>
      <c r="B326" t="inlineStr">
        <is>
          <t>TUB-O-N-AUT-AW-FC-48.60X1.200X0.3360</t>
        </is>
      </c>
      <c r="C326" t="n">
        <v>0.09136</v>
      </c>
      <c r="D326" t="n">
        <v>4731</v>
      </c>
      <c r="E326" t="inlineStr">
        <is>
          <t>Metalman Auto Private Limited</t>
        </is>
      </c>
      <c r="F326" t="n">
        <v>1369</v>
      </c>
      <c r="G326" t="inlineStr">
        <is>
          <t>TVS</t>
        </is>
      </c>
      <c r="H326" t="inlineStr">
        <is>
          <t>48.6-0-1.2-ERW 1-FC</t>
        </is>
      </c>
      <c r="I326" t="inlineStr">
        <is>
          <t>48.6-0-1.2-ERW 1-FC-0.336</t>
        </is>
      </c>
      <c r="J326" t="n">
        <v>0.336</v>
      </c>
      <c r="K326" t="inlineStr">
        <is>
          <t>CTL</t>
        </is>
      </c>
    </row>
    <row r="327" hidden="1" s="584">
      <c r="A327" t="n">
        <v>2325421</v>
      </c>
      <c r="B327" t="inlineStr">
        <is>
          <t>TUB-O-N-AUT-AW-FC-48.60X1.200X0.3360</t>
        </is>
      </c>
      <c r="C327" t="n">
        <v>0.8026810000000002</v>
      </c>
      <c r="D327" t="n">
        <v>4731</v>
      </c>
      <c r="E327" t="inlineStr">
        <is>
          <t>Metalman Auto Private Limited</t>
        </is>
      </c>
      <c r="F327" t="n">
        <v>1370</v>
      </c>
      <c r="G327" t="inlineStr">
        <is>
          <t>TVS</t>
        </is>
      </c>
      <c r="H327" t="inlineStr">
        <is>
          <t>48.6-0-1.2-ERW 1-FC</t>
        </is>
      </c>
      <c r="I327" t="inlineStr">
        <is>
          <t>48.6-0-1.2-ERW 1-FC-0.336</t>
        </is>
      </c>
      <c r="J327" t="n">
        <v>0.336</v>
      </c>
      <c r="K327" t="inlineStr">
        <is>
          <t>CTL</t>
        </is>
      </c>
    </row>
    <row r="328" hidden="1" s="584">
      <c r="A328" t="n">
        <v>2325421</v>
      </c>
      <c r="B328" t="inlineStr">
        <is>
          <t>TUB-O-N-AUT-AW-FC-48.60X1.200X0.3360</t>
        </is>
      </c>
      <c r="C328" t="n">
        <v>0.7221599999999998</v>
      </c>
      <c r="D328" t="n">
        <v>4731</v>
      </c>
      <c r="E328" t="inlineStr">
        <is>
          <t>Metalman Auto Private Limited</t>
        </is>
      </c>
      <c r="F328" t="n">
        <v>1371</v>
      </c>
      <c r="G328" t="inlineStr">
        <is>
          <t>TVS</t>
        </is>
      </c>
      <c r="H328" t="inlineStr">
        <is>
          <t>48.6-0-1.2-ERW 1-FC</t>
        </is>
      </c>
      <c r="I328" t="inlineStr">
        <is>
          <t>48.6-0-1.2-ERW 1-FC-0.336</t>
        </is>
      </c>
      <c r="J328" t="n">
        <v>0.336</v>
      </c>
      <c r="K328" t="inlineStr">
        <is>
          <t>CTL</t>
        </is>
      </c>
    </row>
    <row r="329" hidden="1" s="584">
      <c r="A329" t="n">
        <v>3571864</v>
      </c>
      <c r="B329" t="inlineStr">
        <is>
          <t>TUB-S-AW-AUT-19.00X19.00X1.000X0.2900</t>
        </is>
      </c>
      <c r="C329" t="n">
        <v>0.064</v>
      </c>
      <c r="D329" t="n">
        <v>789</v>
      </c>
      <c r="E329" t="inlineStr">
        <is>
          <t>Sri Balaji Gears</t>
        </is>
      </c>
      <c r="F329" t="n">
        <v>1224</v>
      </c>
      <c r="G329" t="inlineStr">
        <is>
          <t>TVS</t>
        </is>
      </c>
      <c r="H329" t="inlineStr">
        <is>
          <t>19-19-1-CRFH-PE</t>
        </is>
      </c>
      <c r="I329" t="inlineStr">
        <is>
          <t>19-19-1-CRFH-PE-0.29</t>
        </is>
      </c>
      <c r="J329" t="n">
        <v>0.29</v>
      </c>
      <c r="K329" t="inlineStr">
        <is>
          <t>CTL</t>
        </is>
      </c>
    </row>
    <row r="330" hidden="1" s="584">
      <c r="A330" t="n">
        <v>2403386</v>
      </c>
      <c r="B330" t="inlineStr">
        <is>
          <t>TUB-O-N-AUT-AW-PE-19.05X2.000X0.3580</t>
        </is>
      </c>
      <c r="C330" t="n">
        <v>0.020948</v>
      </c>
      <c r="D330" t="n">
        <v>789</v>
      </c>
      <c r="E330" t="inlineStr">
        <is>
          <t>Rajsriya Automotive Industries</t>
        </is>
      </c>
      <c r="F330" t="n">
        <v>299</v>
      </c>
      <c r="G330" t="inlineStr">
        <is>
          <t>TVS</t>
        </is>
      </c>
      <c r="H330" t="inlineStr">
        <is>
          <t>19.05-0-2-ERW 1-PE</t>
        </is>
      </c>
      <c r="I330" t="inlineStr">
        <is>
          <t>19.05-0-2-ERW 1-PE-0.358</t>
        </is>
      </c>
      <c r="J330" t="n">
        <v>0.358</v>
      </c>
      <c r="K330" t="inlineStr">
        <is>
          <t>CTL</t>
        </is>
      </c>
    </row>
    <row r="331" hidden="1" s="584">
      <c r="A331" t="n">
        <v>2404864</v>
      </c>
      <c r="B331" t="inlineStr">
        <is>
          <t>TUB-O-N-AUT-AW-FC-48.60X2.300X6.0100</t>
        </is>
      </c>
      <c r="C331" t="n">
        <v>0.269</v>
      </c>
      <c r="D331" t="n">
        <v>789</v>
      </c>
      <c r="E331" t="inlineStr">
        <is>
          <t>MEGH STEELS PRIVATE LIMITED - TVS A</t>
        </is>
      </c>
      <c r="F331" t="n">
        <v>300</v>
      </c>
      <c r="G331" t="inlineStr">
        <is>
          <t>Direct</t>
        </is>
      </c>
      <c r="H331" t="inlineStr">
        <is>
          <t>48.6--2.3-HST-FIN CUT</t>
        </is>
      </c>
      <c r="I331" t="inlineStr">
        <is>
          <t>48.6--2.3-HST-FIN CUT-1</t>
        </is>
      </c>
      <c r="J331" t="n">
        <v>6.01</v>
      </c>
      <c r="K331" t="inlineStr">
        <is>
          <t>LL</t>
        </is>
      </c>
    </row>
    <row r="332" hidden="1" s="584">
      <c r="A332" t="n">
        <v>3230490</v>
      </c>
      <c r="B332" t="inlineStr">
        <is>
          <t>TUB-S-AW-AUT-19.00X19.00X1.000X0.3550</t>
        </is>
      </c>
      <c r="C332" t="n">
        <v>0.001848</v>
      </c>
      <c r="D332" t="n">
        <v>789</v>
      </c>
      <c r="E332" t="inlineStr">
        <is>
          <t>Sri Balaji Gears</t>
        </is>
      </c>
      <c r="F332" t="n">
        <v>1040</v>
      </c>
      <c r="G332" t="inlineStr">
        <is>
          <t>TVS</t>
        </is>
      </c>
      <c r="H332" t="inlineStr">
        <is>
          <t>19-19-1-CRFH-PE</t>
        </is>
      </c>
      <c r="I332" t="inlineStr">
        <is>
          <t>19-19-1-CRFH-PE-0.355</t>
        </is>
      </c>
      <c r="J332" t="n">
        <v>0.355</v>
      </c>
      <c r="K332" t="inlineStr">
        <is>
          <t>CTL</t>
        </is>
      </c>
    </row>
    <row r="333" hidden="1" s="584">
      <c r="A333" t="n">
        <v>3230490</v>
      </c>
      <c r="B333" t="inlineStr">
        <is>
          <t>TUB-S-AW-AUT-19.00X19.00X1.000X0.3550</t>
        </is>
      </c>
      <c r="C333" t="n">
        <v>0.627</v>
      </c>
      <c r="D333" t="n">
        <v>789</v>
      </c>
      <c r="E333" t="inlineStr">
        <is>
          <t>Sri Balaji Gears</t>
        </is>
      </c>
      <c r="F333" t="n">
        <v>1041</v>
      </c>
      <c r="G333" t="inlineStr">
        <is>
          <t>TVS</t>
        </is>
      </c>
      <c r="H333" t="inlineStr">
        <is>
          <t>19-19-1-CRFH-PE</t>
        </is>
      </c>
      <c r="I333" t="inlineStr">
        <is>
          <t>19-19-1-CRFH-PE-0.355</t>
        </is>
      </c>
      <c r="J333" t="n">
        <v>0.355</v>
      </c>
      <c r="K333" t="inlineStr">
        <is>
          <t>CTL</t>
        </is>
      </c>
    </row>
    <row r="334" hidden="1" s="584">
      <c r="A334" t="n">
        <v>2409618</v>
      </c>
      <c r="B334" t="inlineStr">
        <is>
          <t>TUB-O-N-AUT-AW-PE-25.40X1.600X2.5900</t>
        </is>
      </c>
      <c r="C334" t="n">
        <v>2.421</v>
      </c>
      <c r="D334" t="n">
        <v>789</v>
      </c>
      <c r="E334" t="inlineStr">
        <is>
          <t>BALAJI PRESS PRODUCTS INDIA</t>
        </is>
      </c>
      <c r="F334" t="n">
        <v>302</v>
      </c>
      <c r="G334" t="inlineStr">
        <is>
          <t>TVS</t>
        </is>
      </c>
      <c r="H334" t="inlineStr">
        <is>
          <t>25.4-0-1.6-ERW 1-PE</t>
        </is>
      </c>
      <c r="I334" t="inlineStr">
        <is>
          <t>25.4-0-1.6-ERW 1-PE-2.59</t>
        </is>
      </c>
      <c r="J334" t="n">
        <v>2.59</v>
      </c>
      <c r="K334" t="inlineStr">
        <is>
          <t>CTL</t>
        </is>
      </c>
    </row>
    <row r="335" hidden="1" s="584">
      <c r="A335" t="n">
        <v>2409618</v>
      </c>
      <c r="B335" t="inlineStr">
        <is>
          <t>TUB-O-N-AUT-AW-PE-25.40X1.600X2.5900</t>
        </is>
      </c>
      <c r="C335" t="n">
        <v>1.399</v>
      </c>
      <c r="D335" t="n">
        <v>789</v>
      </c>
      <c r="E335" t="inlineStr">
        <is>
          <t>MEGH STEELS PRIVATE LIMITED - TVS A</t>
        </is>
      </c>
      <c r="F335" t="n">
        <v>303</v>
      </c>
      <c r="G335" t="inlineStr">
        <is>
          <t>Direct</t>
        </is>
      </c>
      <c r="H335" t="inlineStr">
        <is>
          <t>25.4-0-1.6-ERW 1-PE</t>
        </is>
      </c>
      <c r="I335" t="inlineStr">
        <is>
          <t>25.4-0-1.6-ERW 1-PE-2.59</t>
        </is>
      </c>
      <c r="J335" t="n">
        <v>2.59</v>
      </c>
      <c r="K335" t="inlineStr">
        <is>
          <t>CTL</t>
        </is>
      </c>
    </row>
    <row r="336" hidden="1" s="584">
      <c r="A336" t="n">
        <v>2409618</v>
      </c>
      <c r="B336" t="inlineStr">
        <is>
          <t>TUB-O-N-AUT-AW-PE-25.40X1.600X2.5900</t>
        </is>
      </c>
      <c r="C336" t="n">
        <v>0.366774</v>
      </c>
      <c r="D336" t="n">
        <v>789</v>
      </c>
      <c r="E336" t="inlineStr">
        <is>
          <t>MEGH STEELS PRIVATE LIMITED - TVS A</t>
        </is>
      </c>
      <c r="F336" t="n">
        <v>304</v>
      </c>
      <c r="G336" t="inlineStr">
        <is>
          <t>Direct</t>
        </is>
      </c>
      <c r="H336" t="inlineStr">
        <is>
          <t>25.4-0-1.6-ERW 1-PE</t>
        </is>
      </c>
      <c r="I336" t="inlineStr">
        <is>
          <t>25.4-0-1.6-ERW 1-PE-2.59</t>
        </is>
      </c>
      <c r="J336" t="n">
        <v>2.59</v>
      </c>
      <c r="K336" t="inlineStr">
        <is>
          <t>CTL</t>
        </is>
      </c>
    </row>
    <row r="337" hidden="1" s="584">
      <c r="A337" t="n">
        <v>2409618</v>
      </c>
      <c r="B337" t="inlineStr">
        <is>
          <t>TUB-O-N-AUT-AW-PE-25.40X1.600X2.5900</t>
        </is>
      </c>
      <c r="C337" t="n">
        <v>1.628933</v>
      </c>
      <c r="D337" t="n">
        <v>8406</v>
      </c>
      <c r="E337" t="inlineStr">
        <is>
          <t>BALAJI PRESS PRODUCTS INDIA</t>
        </is>
      </c>
      <c r="F337" t="n">
        <v>1384</v>
      </c>
      <c r="G337" t="inlineStr">
        <is>
          <t>TVS</t>
        </is>
      </c>
      <c r="H337" t="inlineStr">
        <is>
          <t>25.4-0-1.6-ERW 1-PE</t>
        </is>
      </c>
      <c r="I337" t="inlineStr">
        <is>
          <t>25.4-0-1.6-ERW 1-PE-2.59</t>
        </is>
      </c>
      <c r="J337" t="n">
        <v>2.59</v>
      </c>
      <c r="K337" t="inlineStr">
        <is>
          <t>CTL</t>
        </is>
      </c>
    </row>
    <row r="338" hidden="1" s="584">
      <c r="A338" t="n">
        <v>3230487</v>
      </c>
      <c r="B338" t="inlineStr">
        <is>
          <t>TUB-S-AW-AUT-19.00X19.00X1.000X0.4000</t>
        </is>
      </c>
      <c r="C338" t="n">
        <v>0.010852</v>
      </c>
      <c r="D338" t="n">
        <v>789</v>
      </c>
      <c r="E338" t="inlineStr">
        <is>
          <t>Sri Balaji Gears</t>
        </is>
      </c>
      <c r="F338" t="n">
        <v>878</v>
      </c>
      <c r="G338" t="inlineStr">
        <is>
          <t>TVS</t>
        </is>
      </c>
      <c r="H338" t="inlineStr">
        <is>
          <t>19-19-1-CRFH-PE</t>
        </is>
      </c>
      <c r="I338" t="inlineStr">
        <is>
          <t>19-19-1-CRFH-PE-0.4</t>
        </is>
      </c>
      <c r="J338" t="n">
        <v>0.4</v>
      </c>
      <c r="K338" t="inlineStr">
        <is>
          <t>CTL</t>
        </is>
      </c>
    </row>
    <row r="339" hidden="1" s="584">
      <c r="A339" t="n">
        <v>3230487</v>
      </c>
      <c r="B339" t="inlineStr">
        <is>
          <t>TUB-S-AW-AUT-19.00X19.00X1.000X0.4000</t>
        </is>
      </c>
      <c r="C339" t="n">
        <v>0.14598</v>
      </c>
      <c r="D339" t="n">
        <v>789</v>
      </c>
      <c r="E339" t="inlineStr">
        <is>
          <t>Sri Balaji Gears</t>
        </is>
      </c>
      <c r="F339" t="n">
        <v>879</v>
      </c>
      <c r="G339" t="inlineStr">
        <is>
          <t>TVS</t>
        </is>
      </c>
      <c r="H339" t="inlineStr">
        <is>
          <t>19-19-1-CRFH-PE</t>
        </is>
      </c>
      <c r="I339" t="inlineStr">
        <is>
          <t>19-19-1-CRFH-PE-0.4</t>
        </is>
      </c>
      <c r="J339" t="n">
        <v>0.4</v>
      </c>
      <c r="K339" t="inlineStr">
        <is>
          <t>CTL</t>
        </is>
      </c>
    </row>
    <row r="340" hidden="1" s="584">
      <c r="A340" t="n">
        <v>3230487</v>
      </c>
      <c r="B340" t="inlineStr">
        <is>
          <t>TUB-S-AW-AUT-19.00X19.00X1.000X0.4000</t>
        </is>
      </c>
      <c r="C340" t="n">
        <v>0.093</v>
      </c>
      <c r="D340" t="n">
        <v>789</v>
      </c>
      <c r="E340" t="inlineStr">
        <is>
          <t>Sri Balaji Gears</t>
        </is>
      </c>
      <c r="F340" t="n">
        <v>880</v>
      </c>
      <c r="G340" t="inlineStr">
        <is>
          <t>TVS</t>
        </is>
      </c>
      <c r="H340" t="inlineStr">
        <is>
          <t>19-19-1-CRFH-PE</t>
        </is>
      </c>
      <c r="I340" t="inlineStr">
        <is>
          <t>19-19-1-CRFH-PE-0.4</t>
        </is>
      </c>
      <c r="J340" t="n">
        <v>0.4</v>
      </c>
      <c r="K340" t="inlineStr">
        <is>
          <t>CTL</t>
        </is>
      </c>
    </row>
    <row r="341" hidden="1" s="584">
      <c r="A341" t="n">
        <v>3230487</v>
      </c>
      <c r="B341" t="inlineStr">
        <is>
          <t>TUB-S-AW-AUT-19.00X19.00X1.000X0.4000</t>
        </is>
      </c>
      <c r="C341" t="n">
        <v>0.185652</v>
      </c>
      <c r="D341" t="n">
        <v>789</v>
      </c>
      <c r="E341" t="inlineStr">
        <is>
          <t>Sri Balaji Gears</t>
        </is>
      </c>
      <c r="F341" t="n">
        <v>881</v>
      </c>
      <c r="G341" t="inlineStr">
        <is>
          <t>TVS</t>
        </is>
      </c>
      <c r="H341" t="inlineStr">
        <is>
          <t>19-19-1-CRFH-PE</t>
        </is>
      </c>
      <c r="I341" t="inlineStr">
        <is>
          <t>19-19-1-CRFH-PE-0.4</t>
        </is>
      </c>
      <c r="J341" t="n">
        <v>0.4</v>
      </c>
      <c r="K341" t="inlineStr">
        <is>
          <t>CTL</t>
        </is>
      </c>
    </row>
    <row r="342" hidden="1" s="584">
      <c r="A342" t="n">
        <v>3230487</v>
      </c>
      <c r="B342" t="inlineStr">
        <is>
          <t>TUB-S-AW-AUT-19.00X19.00X1.000X0.4000</t>
        </is>
      </c>
      <c r="C342" t="n">
        <v>0.379</v>
      </c>
      <c r="D342" t="n">
        <v>789</v>
      </c>
      <c r="E342" t="inlineStr">
        <is>
          <t>Sri Balaji Gears</t>
        </is>
      </c>
      <c r="F342" t="n">
        <v>882</v>
      </c>
      <c r="G342" t="inlineStr">
        <is>
          <t>TVS</t>
        </is>
      </c>
      <c r="H342" t="inlineStr">
        <is>
          <t>19-19-1-CRFH-PE</t>
        </is>
      </c>
      <c r="I342" t="inlineStr">
        <is>
          <t>19-19-1-CRFH-PE-0.4</t>
        </is>
      </c>
      <c r="J342" t="n">
        <v>0.4</v>
      </c>
      <c r="K342" t="inlineStr">
        <is>
          <t>CTL</t>
        </is>
      </c>
    </row>
    <row r="343" hidden="1" s="584">
      <c r="A343" t="n">
        <v>2422190</v>
      </c>
      <c r="B343" t="inlineStr">
        <is>
          <t>TUB-O-N-AUT-AW-PE-19.05X2.000X0.2650</t>
        </is>
      </c>
      <c r="C343" t="n">
        <v>0.010554</v>
      </c>
      <c r="D343" t="n">
        <v>789</v>
      </c>
      <c r="E343" t="inlineStr">
        <is>
          <t>Rajsriya Automotive Ind Pvt Ltd.</t>
        </is>
      </c>
      <c r="F343" t="n">
        <v>307</v>
      </c>
      <c r="G343" t="inlineStr">
        <is>
          <t>TVS</t>
        </is>
      </c>
      <c r="H343" t="inlineStr">
        <is>
          <t>19.05-0-2-ERW 1-PE</t>
        </is>
      </c>
      <c r="I343" t="inlineStr">
        <is>
          <t>19.05-0-2-ERW 1-PE-0.265</t>
        </is>
      </c>
      <c r="J343" t="n">
        <v>0.265</v>
      </c>
      <c r="K343" t="inlineStr">
        <is>
          <t>CTL</t>
        </is>
      </c>
    </row>
    <row r="344" hidden="1" s="584">
      <c r="A344" t="n">
        <v>3230488</v>
      </c>
      <c r="B344" t="inlineStr">
        <is>
          <t>TUB-S-AW-AUT-19.00X19.00X1.000X0.4700</t>
        </is>
      </c>
      <c r="C344" t="n">
        <v>0.01534</v>
      </c>
      <c r="D344" t="n">
        <v>789</v>
      </c>
      <c r="E344" t="inlineStr">
        <is>
          <t>Sri Balaji Gears</t>
        </is>
      </c>
      <c r="F344" t="n">
        <v>825</v>
      </c>
      <c r="G344" t="inlineStr">
        <is>
          <t>TVS</t>
        </is>
      </c>
      <c r="H344" t="inlineStr">
        <is>
          <t>19-19-1-CRFH-PE</t>
        </is>
      </c>
      <c r="I344" t="inlineStr">
        <is>
          <t>19-19-1-CRFH-PE-0.47</t>
        </is>
      </c>
      <c r="J344" t="n">
        <v>0.47</v>
      </c>
      <c r="K344" t="inlineStr">
        <is>
          <t>CTL</t>
        </is>
      </c>
    </row>
    <row r="345" hidden="1" s="584">
      <c r="A345" t="n">
        <v>3230488</v>
      </c>
      <c r="B345" t="inlineStr">
        <is>
          <t>TUB-S-AW-AUT-19.00X19.00X1.000X0.4700</t>
        </is>
      </c>
      <c r="C345" t="n">
        <v>0.00182</v>
      </c>
      <c r="D345" t="n">
        <v>789</v>
      </c>
      <c r="E345" t="inlineStr">
        <is>
          <t>Sri Balaji Gears</t>
        </is>
      </c>
      <c r="F345" t="n">
        <v>826</v>
      </c>
      <c r="G345" t="inlineStr">
        <is>
          <t>TVS</t>
        </is>
      </c>
      <c r="H345" t="inlineStr">
        <is>
          <t>19-19-1-CRFH-PE</t>
        </is>
      </c>
      <c r="I345" t="inlineStr">
        <is>
          <t>19-19-1-CRFH-PE-0.47</t>
        </is>
      </c>
      <c r="J345" t="n">
        <v>0.47</v>
      </c>
      <c r="K345" t="inlineStr">
        <is>
          <t>CTL</t>
        </is>
      </c>
    </row>
    <row r="346" hidden="1" s="584">
      <c r="A346" t="n">
        <v>3230488</v>
      </c>
      <c r="B346" t="inlineStr">
        <is>
          <t>TUB-S-AW-AUT-19.00X19.00X1.000X0.4700</t>
        </is>
      </c>
      <c r="C346" t="n">
        <v>0.00182</v>
      </c>
      <c r="D346" t="n">
        <v>789</v>
      </c>
      <c r="E346" t="inlineStr">
        <is>
          <t>Sri Balaji Gears</t>
        </is>
      </c>
      <c r="F346" t="n">
        <v>827</v>
      </c>
      <c r="G346" t="inlineStr">
        <is>
          <t>TVS</t>
        </is>
      </c>
      <c r="H346" t="inlineStr">
        <is>
          <t>19-19-1-CRFH-PE</t>
        </is>
      </c>
      <c r="I346" t="inlineStr">
        <is>
          <t>19-19-1-CRFH-PE-0.47</t>
        </is>
      </c>
      <c r="J346" t="n">
        <v>0.47</v>
      </c>
      <c r="K346" t="inlineStr">
        <is>
          <t>CTL</t>
        </is>
      </c>
    </row>
    <row r="347" hidden="1" s="584">
      <c r="A347" t="n">
        <v>3230488</v>
      </c>
      <c r="B347" t="inlineStr">
        <is>
          <t>TUB-S-AW-AUT-19.00X19.00X1.000X0.4700</t>
        </is>
      </c>
      <c r="C347" t="n">
        <v>0.065</v>
      </c>
      <c r="D347" t="n">
        <v>789</v>
      </c>
      <c r="E347" t="inlineStr">
        <is>
          <t>Sri Balaji Gears</t>
        </is>
      </c>
      <c r="F347" t="n">
        <v>828</v>
      </c>
      <c r="G347" t="inlineStr">
        <is>
          <t>TVS</t>
        </is>
      </c>
      <c r="H347" t="inlineStr">
        <is>
          <t>19-19-1-CRFH-PE</t>
        </is>
      </c>
      <c r="I347" t="inlineStr">
        <is>
          <t>19-19-1-CRFH-PE-0.47</t>
        </is>
      </c>
      <c r="J347" t="n">
        <v>0.47</v>
      </c>
      <c r="K347" t="inlineStr">
        <is>
          <t>CTL</t>
        </is>
      </c>
    </row>
    <row r="348" hidden="1" s="584">
      <c r="A348" t="n">
        <v>3230488</v>
      </c>
      <c r="B348" t="inlineStr">
        <is>
          <t>TUB-S-AW-AUT-19.00X19.00X1.000X0.4700</t>
        </is>
      </c>
      <c r="C348" t="n">
        <v>0.13</v>
      </c>
      <c r="D348" t="n">
        <v>789</v>
      </c>
      <c r="E348" t="inlineStr">
        <is>
          <t>Sri Balaji Gears</t>
        </is>
      </c>
      <c r="F348" t="n">
        <v>829</v>
      </c>
      <c r="G348" t="inlineStr">
        <is>
          <t>TVS</t>
        </is>
      </c>
      <c r="H348" t="inlineStr">
        <is>
          <t>19-19-1-CRFH-PE</t>
        </is>
      </c>
      <c r="I348" t="inlineStr">
        <is>
          <t>19-19-1-CRFH-PE-0.47</t>
        </is>
      </c>
      <c r="J348" t="n">
        <v>0.47</v>
      </c>
      <c r="K348" t="inlineStr">
        <is>
          <t>CTL</t>
        </is>
      </c>
    </row>
    <row r="349" hidden="1" s="584">
      <c r="A349" t="n">
        <v>3230488</v>
      </c>
      <c r="B349" t="inlineStr">
        <is>
          <t>TUB-S-AW-AUT-19.00X19.00X1.000X0.4700</t>
        </is>
      </c>
      <c r="C349" t="n">
        <v>0.04</v>
      </c>
      <c r="D349" t="n">
        <v>789</v>
      </c>
      <c r="E349" t="inlineStr">
        <is>
          <t>Sri Balaji Gears</t>
        </is>
      </c>
      <c r="F349" t="n">
        <v>830</v>
      </c>
      <c r="G349" t="inlineStr">
        <is>
          <t>TVS</t>
        </is>
      </c>
      <c r="H349" t="inlineStr">
        <is>
          <t>19-19-1-CRFH-PE</t>
        </is>
      </c>
      <c r="I349" t="inlineStr">
        <is>
          <t>19-19-1-CRFH-PE-0.47</t>
        </is>
      </c>
      <c r="J349" t="n">
        <v>0.47</v>
      </c>
      <c r="K349" t="inlineStr">
        <is>
          <t>CTL</t>
        </is>
      </c>
    </row>
    <row r="350" hidden="1" s="584">
      <c r="A350" t="n">
        <v>3230488</v>
      </c>
      <c r="B350" t="inlineStr">
        <is>
          <t>TUB-S-AW-AUT-19.00X19.00X1.000X0.4700</t>
        </is>
      </c>
      <c r="C350" t="n">
        <v>0.004</v>
      </c>
      <c r="D350" t="n">
        <v>789</v>
      </c>
      <c r="E350" t="inlineStr">
        <is>
          <t>Sri Balaji Gears</t>
        </is>
      </c>
      <c r="F350" t="n">
        <v>831</v>
      </c>
      <c r="G350" t="inlineStr">
        <is>
          <t>TVS</t>
        </is>
      </c>
      <c r="H350" t="inlineStr">
        <is>
          <t>19-19-1-CRFH-PE</t>
        </is>
      </c>
      <c r="I350" t="inlineStr">
        <is>
          <t>19-19-1-CRFH-PE-0.47</t>
        </is>
      </c>
      <c r="J350" t="n">
        <v>0.47</v>
      </c>
      <c r="K350" t="inlineStr">
        <is>
          <t>CTL</t>
        </is>
      </c>
    </row>
    <row r="351" hidden="1" s="584">
      <c r="A351" t="n">
        <v>3230488</v>
      </c>
      <c r="B351" t="inlineStr">
        <is>
          <t>TUB-S-AW-AUT-19.00X19.00X1.000X0.4700</t>
        </is>
      </c>
      <c r="C351" t="n">
        <v>0.254407</v>
      </c>
      <c r="D351" t="n">
        <v>4731</v>
      </c>
      <c r="E351" t="inlineStr">
        <is>
          <t>Sri Balaji Gears</t>
        </is>
      </c>
      <c r="F351" t="n">
        <v>1416</v>
      </c>
      <c r="G351" t="inlineStr">
        <is>
          <t>TVS</t>
        </is>
      </c>
      <c r="H351" t="inlineStr">
        <is>
          <t>19-19-1-CRFH-PE</t>
        </is>
      </c>
      <c r="I351" t="inlineStr">
        <is>
          <t>19-19-1-CRFH-PE-0.47</t>
        </is>
      </c>
      <c r="J351" t="n">
        <v>0.47</v>
      </c>
      <c r="K351" t="inlineStr">
        <is>
          <t>CTL</t>
        </is>
      </c>
    </row>
    <row r="352" hidden="1" s="584">
      <c r="A352" t="n">
        <v>2427712</v>
      </c>
      <c r="B352" t="inlineStr">
        <is>
          <t>TUB-O-N-AUT-AW-PE-19.05X2.300X0.2550</t>
        </is>
      </c>
      <c r="C352" t="n">
        <v>0.007627</v>
      </c>
      <c r="D352" t="n">
        <v>789</v>
      </c>
      <c r="E352" t="inlineStr">
        <is>
          <t>ELKAYEM AUTO ANCILLARIES PRIVATE LI</t>
        </is>
      </c>
      <c r="F352" t="n">
        <v>308</v>
      </c>
      <c r="G352" t="inlineStr">
        <is>
          <t>TVS</t>
        </is>
      </c>
      <c r="H352" t="inlineStr">
        <is>
          <t>19.05-0-2.3-ERW 1-PE</t>
        </is>
      </c>
      <c r="I352" t="inlineStr">
        <is>
          <t>19.05-0-2.3-ERW 1-PE-0.255</t>
        </is>
      </c>
      <c r="J352" t="n">
        <v>0.255</v>
      </c>
      <c r="K352" t="inlineStr">
        <is>
          <t>CTL</t>
        </is>
      </c>
    </row>
    <row r="353" hidden="1" s="584">
      <c r="A353" t="n">
        <v>3571869</v>
      </c>
      <c r="B353" t="inlineStr">
        <is>
          <t>TUB-S-AW-AUT-19.00X19.00X1.000X0.4860</t>
        </is>
      </c>
      <c r="C353" t="n">
        <v>0.0273</v>
      </c>
      <c r="D353" t="n">
        <v>789</v>
      </c>
      <c r="E353" t="inlineStr">
        <is>
          <t>Sri Balaji Gears</t>
        </is>
      </c>
      <c r="F353" t="n">
        <v>1202</v>
      </c>
      <c r="G353" t="inlineStr">
        <is>
          <t>TVS</t>
        </is>
      </c>
      <c r="H353" t="inlineStr">
        <is>
          <t>19-19-1-CRFH-PE</t>
        </is>
      </c>
      <c r="I353" t="inlineStr">
        <is>
          <t>19-19-1-CRFH-PE-0.486</t>
        </is>
      </c>
      <c r="J353" t="n">
        <v>0.486</v>
      </c>
      <c r="K353" t="inlineStr">
        <is>
          <t>CTL</t>
        </is>
      </c>
    </row>
    <row r="354" hidden="1" s="584">
      <c r="A354" t="n">
        <v>3571869</v>
      </c>
      <c r="B354" t="inlineStr">
        <is>
          <t>TUB-S-AW-AUT-19.00X19.00X1.000X0.4860</t>
        </is>
      </c>
      <c r="C354" t="n">
        <v>0.3225</v>
      </c>
      <c r="D354" t="n">
        <v>789</v>
      </c>
      <c r="E354" t="inlineStr">
        <is>
          <t>Sri Balaji Gears</t>
        </is>
      </c>
      <c r="F354" t="n">
        <v>1203</v>
      </c>
      <c r="G354" t="inlineStr">
        <is>
          <t>TVS</t>
        </is>
      </c>
      <c r="H354" t="inlineStr">
        <is>
          <t>19-19-1-CRFH-PE</t>
        </is>
      </c>
      <c r="I354" t="inlineStr">
        <is>
          <t>19-19-1-CRFH-PE-0.486</t>
        </is>
      </c>
      <c r="J354" t="n">
        <v>0.486</v>
      </c>
      <c r="K354" t="inlineStr">
        <is>
          <t>CTL</t>
        </is>
      </c>
    </row>
    <row r="355" hidden="1" s="584">
      <c r="A355" t="n">
        <v>2427960</v>
      </c>
      <c r="B355" t="inlineStr">
        <is>
          <t>TUB-O-N-AUT-AW-PE-22.23X1.600X0.6700</t>
        </is>
      </c>
      <c r="C355" t="n">
        <v>0.000544</v>
      </c>
      <c r="D355" t="n">
        <v>789</v>
      </c>
      <c r="E355" t="inlineStr">
        <is>
          <t>Neel Metal Products Limited</t>
        </is>
      </c>
      <c r="F355" t="n">
        <v>309</v>
      </c>
      <c r="G355" t="inlineStr">
        <is>
          <t>TVS</t>
        </is>
      </c>
      <c r="H355" t="inlineStr">
        <is>
          <t>22.23-0-1.6-ERW 1-PE</t>
        </is>
      </c>
      <c r="I355" t="inlineStr">
        <is>
          <t>22.23-0-1.6-ERW 1-PE-0.67</t>
        </is>
      </c>
      <c r="J355" t="n">
        <v>0.67</v>
      </c>
      <c r="K355" t="inlineStr">
        <is>
          <t>CTL</t>
        </is>
      </c>
    </row>
    <row r="356" hidden="1" s="584">
      <c r="A356" t="n">
        <v>2427960</v>
      </c>
      <c r="B356" t="inlineStr">
        <is>
          <t>TUB-O-N-AUT-AW-PE-22.23X1.600X0.6700</t>
        </is>
      </c>
      <c r="C356" t="n">
        <v>0.000536</v>
      </c>
      <c r="D356" t="n">
        <v>789</v>
      </c>
      <c r="E356" t="inlineStr">
        <is>
          <t>Neel Metal Products Limited</t>
        </is>
      </c>
      <c r="F356" t="n">
        <v>447</v>
      </c>
      <c r="G356" t="inlineStr">
        <is>
          <t>TVS</t>
        </is>
      </c>
      <c r="H356" t="inlineStr">
        <is>
          <t>22.23-0-1.6-ERW 1-PE</t>
        </is>
      </c>
      <c r="I356" t="inlineStr">
        <is>
          <t>22.23-0-1.6-ERW 1-PE-0.67</t>
        </is>
      </c>
      <c r="J356" t="n">
        <v>0.67</v>
      </c>
      <c r="K356" t="inlineStr">
        <is>
          <t>CTL</t>
        </is>
      </c>
    </row>
    <row r="357" hidden="1" s="584">
      <c r="A357" t="n">
        <v>3571870</v>
      </c>
      <c r="B357" t="inlineStr">
        <is>
          <t>TUB-S-AW-AUT-19.00X19.00X1.000X0.5400</t>
        </is>
      </c>
      <c r="C357" t="n">
        <v>0.000296</v>
      </c>
      <c r="D357" t="n">
        <v>789</v>
      </c>
      <c r="E357" t="inlineStr">
        <is>
          <t>Sri Balaji Gears</t>
        </is>
      </c>
      <c r="F357" t="n">
        <v>1189</v>
      </c>
      <c r="G357" t="inlineStr">
        <is>
          <t>TVS</t>
        </is>
      </c>
      <c r="H357" t="inlineStr">
        <is>
          <t>19-19-1-CRFH-PE</t>
        </is>
      </c>
      <c r="I357" t="inlineStr">
        <is>
          <t>19-19-1-CRFH-PE-0.54</t>
        </is>
      </c>
      <c r="J357" t="n">
        <v>0.54</v>
      </c>
      <c r="K357" t="inlineStr">
        <is>
          <t>CTL</t>
        </is>
      </c>
    </row>
    <row r="358" hidden="1" s="584">
      <c r="A358" t="n">
        <v>3571870</v>
      </c>
      <c r="B358" t="inlineStr">
        <is>
          <t>TUB-S-AW-AUT-19.00X19.00X1.000X0.5400</t>
        </is>
      </c>
      <c r="C358" t="n">
        <v>0.000295</v>
      </c>
      <c r="D358" t="n">
        <v>789</v>
      </c>
      <c r="E358" t="inlineStr">
        <is>
          <t>Sri Balaji Gears</t>
        </is>
      </c>
      <c r="F358" t="n">
        <v>1190</v>
      </c>
      <c r="G358" t="inlineStr">
        <is>
          <t>TVS</t>
        </is>
      </c>
      <c r="H358" t="inlineStr">
        <is>
          <t>19-19-1-CRFH-PE</t>
        </is>
      </c>
      <c r="I358" t="inlineStr">
        <is>
          <t>19-19-1-CRFH-PE-0.54</t>
        </is>
      </c>
      <c r="J358" t="n">
        <v>0.54</v>
      </c>
      <c r="K358" t="inlineStr">
        <is>
          <t>CTL</t>
        </is>
      </c>
    </row>
    <row r="359" hidden="1" s="584">
      <c r="A359" t="n">
        <v>3571870</v>
      </c>
      <c r="B359" t="inlineStr">
        <is>
          <t>TUB-S-AW-AUT-19.00X19.00X1.000X0.5400</t>
        </is>
      </c>
      <c r="C359" t="n">
        <v>0.000297</v>
      </c>
      <c r="D359" t="n">
        <v>789</v>
      </c>
      <c r="E359" t="inlineStr">
        <is>
          <t>Sri Balaji Gears</t>
        </is>
      </c>
      <c r="F359" t="n">
        <v>1191</v>
      </c>
      <c r="G359" t="inlineStr">
        <is>
          <t>TVS</t>
        </is>
      </c>
      <c r="H359" t="inlineStr">
        <is>
          <t>19-19-1-CRFH-PE</t>
        </is>
      </c>
      <c r="I359" t="inlineStr">
        <is>
          <t>19-19-1-CRFH-PE-0.54</t>
        </is>
      </c>
      <c r="J359" t="n">
        <v>0.54</v>
      </c>
      <c r="K359" t="inlineStr">
        <is>
          <t>CTL</t>
        </is>
      </c>
    </row>
    <row r="360" hidden="1" s="584">
      <c r="A360" t="n">
        <v>3571870</v>
      </c>
      <c r="B360" t="inlineStr">
        <is>
          <t>TUB-S-AW-AUT-19.00X19.00X1.000X0.5400</t>
        </is>
      </c>
      <c r="C360" t="n">
        <v>0.026905</v>
      </c>
      <c r="D360" t="n">
        <v>789</v>
      </c>
      <c r="E360" t="inlineStr">
        <is>
          <t>Sri Balaji Gears</t>
        </is>
      </c>
      <c r="F360" t="n">
        <v>1192</v>
      </c>
      <c r="G360" t="inlineStr">
        <is>
          <t>TVS</t>
        </is>
      </c>
      <c r="H360" t="inlineStr">
        <is>
          <t>19-19-1-CRFH-PE</t>
        </is>
      </c>
      <c r="I360" t="inlineStr">
        <is>
          <t>19-19-1-CRFH-PE-0.54</t>
        </is>
      </c>
      <c r="J360" t="n">
        <v>0.54</v>
      </c>
      <c r="K360" t="inlineStr">
        <is>
          <t>CTL</t>
        </is>
      </c>
    </row>
    <row r="361" hidden="1" s="584">
      <c r="A361" t="n">
        <v>3571870</v>
      </c>
      <c r="B361" t="inlineStr">
        <is>
          <t>TUB-S-AW-AUT-19.00X19.00X1.000X0.5400</t>
        </is>
      </c>
      <c r="C361" t="n">
        <v>0.001711</v>
      </c>
      <c r="D361" t="n">
        <v>789</v>
      </c>
      <c r="E361" t="inlineStr">
        <is>
          <t>Sri Balaji Gears</t>
        </is>
      </c>
      <c r="F361" t="n">
        <v>1193</v>
      </c>
      <c r="G361" t="inlineStr">
        <is>
          <t>TVS</t>
        </is>
      </c>
      <c r="H361" t="inlineStr">
        <is>
          <t>19-19-1-CRFH-PE</t>
        </is>
      </c>
      <c r="I361" t="inlineStr">
        <is>
          <t>19-19-1-CRFH-PE-0.54</t>
        </is>
      </c>
      <c r="J361" t="n">
        <v>0.54</v>
      </c>
      <c r="K361" t="inlineStr">
        <is>
          <t>CTL</t>
        </is>
      </c>
    </row>
    <row r="362" hidden="1" s="584">
      <c r="A362" t="n">
        <v>3571870</v>
      </c>
      <c r="B362" t="inlineStr">
        <is>
          <t>TUB-S-AW-AUT-19.00X19.00X1.000X0.5400</t>
        </is>
      </c>
      <c r="C362" t="n">
        <v>0.035925</v>
      </c>
      <c r="D362" t="n">
        <v>789</v>
      </c>
      <c r="E362" t="inlineStr">
        <is>
          <t>Sri Balaji Gears</t>
        </is>
      </c>
      <c r="F362" t="n">
        <v>1194</v>
      </c>
      <c r="G362" t="inlineStr">
        <is>
          <t>TVS</t>
        </is>
      </c>
      <c r="H362" t="inlineStr">
        <is>
          <t>19-19-1-CRFH-PE</t>
        </is>
      </c>
      <c r="I362" t="inlineStr">
        <is>
          <t>19-19-1-CRFH-PE-0.54</t>
        </is>
      </c>
      <c r="J362" t="n">
        <v>0.54</v>
      </c>
      <c r="K362" t="inlineStr">
        <is>
          <t>CTL</t>
        </is>
      </c>
    </row>
    <row r="363" hidden="1" s="584">
      <c r="A363" t="n">
        <v>3571870</v>
      </c>
      <c r="B363" t="inlineStr">
        <is>
          <t>TUB-S-AW-AUT-19.00X19.00X1.000X0.5400</t>
        </is>
      </c>
      <c r="C363" t="n">
        <v>0.096</v>
      </c>
      <c r="D363" t="n">
        <v>789</v>
      </c>
      <c r="E363" t="inlineStr">
        <is>
          <t>Sri Balaji Gears</t>
        </is>
      </c>
      <c r="F363" t="n">
        <v>1195</v>
      </c>
      <c r="G363" t="inlineStr">
        <is>
          <t>TVS</t>
        </is>
      </c>
      <c r="H363" t="inlineStr">
        <is>
          <t>19-19-1-CRFH-PE</t>
        </is>
      </c>
      <c r="I363" t="inlineStr">
        <is>
          <t>19-19-1-CRFH-PE-0.54</t>
        </is>
      </c>
      <c r="J363" t="n">
        <v>0.54</v>
      </c>
      <c r="K363" t="inlineStr">
        <is>
          <t>CTL</t>
        </is>
      </c>
    </row>
    <row r="364" hidden="1" s="584">
      <c r="A364" t="n">
        <v>3571870</v>
      </c>
      <c r="B364" t="inlineStr">
        <is>
          <t>TUB-S-AW-AUT-19.00X19.00X1.000X0.5400</t>
        </is>
      </c>
      <c r="C364" t="n">
        <v>0.133</v>
      </c>
      <c r="D364" t="n">
        <v>789</v>
      </c>
      <c r="E364" t="inlineStr">
        <is>
          <t>Sri Balaji Gears</t>
        </is>
      </c>
      <c r="F364" t="n">
        <v>1196</v>
      </c>
      <c r="G364" t="inlineStr">
        <is>
          <t>TVS</t>
        </is>
      </c>
      <c r="H364" t="inlineStr">
        <is>
          <t>19-19-1-CRFH-PE</t>
        </is>
      </c>
      <c r="I364" t="inlineStr">
        <is>
          <t>19-19-1-CRFH-PE-0.54</t>
        </is>
      </c>
      <c r="J364" t="n">
        <v>0.54</v>
      </c>
      <c r="K364" t="inlineStr">
        <is>
          <t>CTL</t>
        </is>
      </c>
    </row>
    <row r="365" hidden="1" s="584">
      <c r="A365" t="n">
        <v>3571870</v>
      </c>
      <c r="B365" t="inlineStr">
        <is>
          <t>TUB-S-AW-AUT-19.00X19.00X1.000X0.5400</t>
        </is>
      </c>
      <c r="C365" t="n">
        <v>0.003</v>
      </c>
      <c r="D365" t="n">
        <v>789</v>
      </c>
      <c r="E365" t="inlineStr">
        <is>
          <t>Sri Balaji Gears</t>
        </is>
      </c>
      <c r="F365" t="n">
        <v>1197</v>
      </c>
      <c r="G365" t="inlineStr">
        <is>
          <t>TVS</t>
        </is>
      </c>
      <c r="H365" t="inlineStr">
        <is>
          <t>19-19-1-CRFH-PE</t>
        </is>
      </c>
      <c r="I365" t="inlineStr">
        <is>
          <t>19-19-1-CRFH-PE-0.54</t>
        </is>
      </c>
      <c r="J365" t="n">
        <v>0.54</v>
      </c>
      <c r="K365" t="inlineStr">
        <is>
          <t>CTL</t>
        </is>
      </c>
    </row>
    <row r="366" hidden="1" s="584">
      <c r="A366" t="n">
        <v>3233554</v>
      </c>
      <c r="B366" t="inlineStr">
        <is>
          <t>TUB-R-AW-AUT-40.00X20.00X1.210X1.2460</t>
        </is>
      </c>
      <c r="C366" t="n">
        <v>0.2385</v>
      </c>
      <c r="D366" t="n">
        <v>789</v>
      </c>
      <c r="E366" t="inlineStr">
        <is>
          <t>Sri Balaji Gears</t>
        </is>
      </c>
      <c r="F366" t="n">
        <v>316</v>
      </c>
      <c r="G366" t="inlineStr">
        <is>
          <t>TVS</t>
        </is>
      </c>
      <c r="H366" t="inlineStr">
        <is>
          <t>40-20-1.2-CRFH-PE</t>
        </is>
      </c>
      <c r="I366" t="inlineStr">
        <is>
          <t>40-20-1.2-CRFH-PE-1.246</t>
        </is>
      </c>
      <c r="J366" t="n">
        <v>1.246</v>
      </c>
      <c r="K366" t="inlineStr">
        <is>
          <t>CTL</t>
        </is>
      </c>
    </row>
    <row r="367" hidden="1" s="584">
      <c r="A367" t="n">
        <v>3233554</v>
      </c>
      <c r="B367" t="inlineStr">
        <is>
          <t>TUB-R-AW-AUT-40.00X20.00X1.210X1.2460</t>
        </is>
      </c>
      <c r="C367" t="n">
        <v>0.005125</v>
      </c>
      <c r="D367" t="n">
        <v>789</v>
      </c>
      <c r="E367" t="inlineStr">
        <is>
          <t>Sri Balaji Gears</t>
        </is>
      </c>
      <c r="F367" t="n">
        <v>317</v>
      </c>
      <c r="G367" t="inlineStr">
        <is>
          <t>TVS</t>
        </is>
      </c>
      <c r="H367" t="inlineStr">
        <is>
          <t>40-20-1.2-CRFH-PE</t>
        </is>
      </c>
      <c r="I367" t="inlineStr">
        <is>
          <t>40-20-1.2-CRFH-PE-1.246</t>
        </is>
      </c>
      <c r="J367" t="n">
        <v>1.246</v>
      </c>
      <c r="K367" t="inlineStr">
        <is>
          <t>CTL</t>
        </is>
      </c>
    </row>
    <row r="368" hidden="1" s="584">
      <c r="A368" t="n">
        <v>3233554</v>
      </c>
      <c r="B368" t="inlineStr">
        <is>
          <t>TUB-R-AW-AUT-40.00X20.00X1.210X1.2460</t>
        </is>
      </c>
      <c r="C368" t="n">
        <v>0.396977</v>
      </c>
      <c r="D368" t="n">
        <v>789</v>
      </c>
      <c r="E368" t="inlineStr">
        <is>
          <t>Sri Balaji Gears</t>
        </is>
      </c>
      <c r="F368" t="n">
        <v>318</v>
      </c>
      <c r="G368" t="inlineStr">
        <is>
          <t>TVS</t>
        </is>
      </c>
      <c r="H368" t="inlineStr">
        <is>
          <t>40-20-1.2-CRFH-PE</t>
        </is>
      </c>
      <c r="I368" t="inlineStr">
        <is>
          <t>40-20-1.2-CRFH-PE-1.246</t>
        </is>
      </c>
      <c r="J368" t="n">
        <v>1.246</v>
      </c>
      <c r="K368" t="inlineStr">
        <is>
          <t>CTL</t>
        </is>
      </c>
    </row>
    <row r="369" hidden="1" s="584">
      <c r="A369" t="n">
        <v>3233554</v>
      </c>
      <c r="B369" t="inlineStr">
        <is>
          <t>TUB-R-AW-AUT-40.00X20.00X1.210X1.2460</t>
        </is>
      </c>
      <c r="C369" t="n">
        <v>1.3715</v>
      </c>
      <c r="D369" t="n">
        <v>789</v>
      </c>
      <c r="E369" t="inlineStr">
        <is>
          <t>Sri Balaji Gears</t>
        </is>
      </c>
      <c r="F369" t="n">
        <v>319</v>
      </c>
      <c r="G369" t="inlineStr">
        <is>
          <t>TVS</t>
        </is>
      </c>
      <c r="H369" t="inlineStr">
        <is>
          <t>40-20-1.2-CRFH-PE</t>
        </is>
      </c>
      <c r="I369" t="inlineStr">
        <is>
          <t>40-20-1.2-CRFH-PE-1.246</t>
        </is>
      </c>
      <c r="J369" t="n">
        <v>1.246</v>
      </c>
      <c r="K369" t="inlineStr">
        <is>
          <t>CTL</t>
        </is>
      </c>
    </row>
    <row r="370" hidden="1" s="584">
      <c r="A370" t="n">
        <v>3572031</v>
      </c>
      <c r="B370" t="inlineStr">
        <is>
          <t>TUB-S-AW-AUT-19.00X19.00X1.000X0.7100</t>
        </is>
      </c>
      <c r="C370" t="n">
        <v>0.078</v>
      </c>
      <c r="D370" t="n">
        <v>789</v>
      </c>
      <c r="E370" t="inlineStr">
        <is>
          <t>Sri Balaji Gears</t>
        </is>
      </c>
      <c r="F370" t="n">
        <v>1219</v>
      </c>
      <c r="G370" t="inlineStr">
        <is>
          <t>TVS</t>
        </is>
      </c>
      <c r="H370" t="inlineStr">
        <is>
          <t>19-19-1-CRFH-PE</t>
        </is>
      </c>
      <c r="I370" t="inlineStr">
        <is>
          <t>19-19-1-CRFH-PE-0.71</t>
        </is>
      </c>
      <c r="J370" t="n">
        <v>0.71</v>
      </c>
      <c r="K370" t="inlineStr">
        <is>
          <t>CTL</t>
        </is>
      </c>
    </row>
    <row r="371" hidden="1" s="584">
      <c r="A371" t="n">
        <v>3572031</v>
      </c>
      <c r="B371" t="inlineStr">
        <is>
          <t>TUB-S-AW-AUT-19.00X19.00X1.000X0.7100</t>
        </is>
      </c>
      <c r="C371" t="n">
        <v>0.9419999999999999</v>
      </c>
      <c r="D371" t="n">
        <v>789</v>
      </c>
      <c r="E371" t="inlineStr">
        <is>
          <t>Sri Balaji Gears</t>
        </is>
      </c>
      <c r="F371" t="n">
        <v>1220</v>
      </c>
      <c r="G371" t="inlineStr">
        <is>
          <t>TVS</t>
        </is>
      </c>
      <c r="H371" t="inlineStr">
        <is>
          <t>19-19-1-CRFH-PE</t>
        </is>
      </c>
      <c r="I371" t="inlineStr">
        <is>
          <t>19-19-1-CRFH-PE-0.71</t>
        </is>
      </c>
      <c r="J371" t="n">
        <v>0.71</v>
      </c>
      <c r="K371" t="inlineStr">
        <is>
          <t>CTL</t>
        </is>
      </c>
    </row>
    <row r="372" hidden="1" s="584">
      <c r="A372" t="n">
        <v>3572032</v>
      </c>
      <c r="B372" t="inlineStr">
        <is>
          <t>TUB-S-AW-AUT-19.00X19.00X1.000X0.7500</t>
        </is>
      </c>
      <c r="C372" t="n">
        <v>0.062</v>
      </c>
      <c r="D372" t="n">
        <v>789</v>
      </c>
      <c r="E372" t="inlineStr">
        <is>
          <t>Sri Balaji Gears</t>
        </is>
      </c>
      <c r="F372" t="n">
        <v>1170</v>
      </c>
      <c r="G372" t="inlineStr">
        <is>
          <t>TVS</t>
        </is>
      </c>
      <c r="H372" t="inlineStr">
        <is>
          <t>19-19-1-CRFH-PE</t>
        </is>
      </c>
      <c r="I372" t="inlineStr">
        <is>
          <t>19-19-1-CRFH-PE-0.75</t>
        </is>
      </c>
      <c r="J372" t="n">
        <v>0.75</v>
      </c>
      <c r="K372" t="inlineStr">
        <is>
          <t>CTL</t>
        </is>
      </c>
    </row>
    <row r="373" hidden="1" s="584">
      <c r="A373" t="n">
        <v>3572032</v>
      </c>
      <c r="B373" t="inlineStr">
        <is>
          <t>TUB-S-AW-AUT-19.00X19.00X1.000X0.7500</t>
        </is>
      </c>
      <c r="C373" t="n">
        <v>1.037</v>
      </c>
      <c r="D373" t="n">
        <v>789</v>
      </c>
      <c r="E373" t="inlineStr">
        <is>
          <t>Sri Balaji Gears</t>
        </is>
      </c>
      <c r="F373" t="n">
        <v>1171</v>
      </c>
      <c r="G373" t="inlineStr">
        <is>
          <t>TVS</t>
        </is>
      </c>
      <c r="H373" t="inlineStr">
        <is>
          <t>19-19-1-CRFH-PE</t>
        </is>
      </c>
      <c r="I373" t="inlineStr">
        <is>
          <t>19-19-1-CRFH-PE-0.75</t>
        </is>
      </c>
      <c r="J373" t="n">
        <v>0.75</v>
      </c>
      <c r="K373" t="inlineStr">
        <is>
          <t>CTL</t>
        </is>
      </c>
    </row>
    <row r="374" hidden="1" s="584">
      <c r="A374" t="n">
        <v>4151426</v>
      </c>
      <c r="B374" t="inlineStr">
        <is>
          <t>TUB-S-AW-AUT-19.00X19.00X1.000X0.7550</t>
        </is>
      </c>
      <c r="C374" t="n">
        <v>0.017663</v>
      </c>
      <c r="D374" t="n">
        <v>789</v>
      </c>
      <c r="E374" t="inlineStr">
        <is>
          <t>Sri Balaji Gears</t>
        </is>
      </c>
      <c r="F374" t="n">
        <v>1031</v>
      </c>
      <c r="G374" t="inlineStr">
        <is>
          <t>TVS</t>
        </is>
      </c>
      <c r="H374" t="inlineStr">
        <is>
          <t>19-19-1-CRFH-PE</t>
        </is>
      </c>
      <c r="I374" t="inlineStr">
        <is>
          <t>19-19-1-CRFH-PE-0.755</t>
        </is>
      </c>
      <c r="J374" t="n">
        <v>0.755</v>
      </c>
      <c r="K374" t="inlineStr">
        <is>
          <t>CTL</t>
        </is>
      </c>
    </row>
    <row r="375" hidden="1" s="584">
      <c r="A375" t="n">
        <v>4151426</v>
      </c>
      <c r="B375" t="inlineStr">
        <is>
          <t>TUB-S-AW-AUT-19.00X19.00X1.000X0.7550</t>
        </is>
      </c>
      <c r="C375" t="n">
        <v>0.003758</v>
      </c>
      <c r="D375" t="n">
        <v>789</v>
      </c>
      <c r="E375" t="inlineStr">
        <is>
          <t>Sri Balaji Gears</t>
        </is>
      </c>
      <c r="F375" t="n">
        <v>1032</v>
      </c>
      <c r="G375" t="inlineStr">
        <is>
          <t>TVS</t>
        </is>
      </c>
      <c r="H375" t="inlineStr">
        <is>
          <t>19-19-1-CRFH-PE</t>
        </is>
      </c>
      <c r="I375" t="inlineStr">
        <is>
          <t>19-19-1-CRFH-PE-0.755</t>
        </is>
      </c>
      <c r="J375" t="n">
        <v>0.755</v>
      </c>
      <c r="K375" t="inlineStr">
        <is>
          <t>CTL</t>
        </is>
      </c>
    </row>
    <row r="376" hidden="1" s="584">
      <c r="A376" t="n">
        <v>4151426</v>
      </c>
      <c r="B376" t="inlineStr">
        <is>
          <t>TUB-S-AW-AUT-19.00X19.00X1.000X0.7550</t>
        </is>
      </c>
      <c r="C376" t="n">
        <v>0.00775</v>
      </c>
      <c r="D376" t="n">
        <v>789</v>
      </c>
      <c r="E376" t="inlineStr">
        <is>
          <t>Sri Balaji Gears</t>
        </is>
      </c>
      <c r="F376" t="n">
        <v>1033</v>
      </c>
      <c r="G376" t="inlineStr">
        <is>
          <t>TVS</t>
        </is>
      </c>
      <c r="H376" t="inlineStr">
        <is>
          <t>19-19-1-CRFH-PE</t>
        </is>
      </c>
      <c r="I376" t="inlineStr">
        <is>
          <t>19-19-1-CRFH-PE-0.755</t>
        </is>
      </c>
      <c r="J376" t="n">
        <v>0.755</v>
      </c>
      <c r="K376" t="inlineStr">
        <is>
          <t>CTL</t>
        </is>
      </c>
    </row>
    <row r="377" hidden="1" s="584">
      <c r="A377" t="n">
        <v>4151426</v>
      </c>
      <c r="B377" t="inlineStr">
        <is>
          <t>TUB-S-AW-AUT-19.00X19.00X1.000X0.7550</t>
        </is>
      </c>
      <c r="C377" t="n">
        <v>0.000417</v>
      </c>
      <c r="D377" t="n">
        <v>789</v>
      </c>
      <c r="E377" t="inlineStr">
        <is>
          <t>Sri Balaji Gears</t>
        </is>
      </c>
      <c r="F377" t="n">
        <v>1034</v>
      </c>
      <c r="G377" t="inlineStr">
        <is>
          <t>TVS</t>
        </is>
      </c>
      <c r="H377" t="inlineStr">
        <is>
          <t>19-19-1-CRFH-PE</t>
        </is>
      </c>
      <c r="I377" t="inlineStr">
        <is>
          <t>19-19-1-CRFH-PE-0.755</t>
        </is>
      </c>
      <c r="J377" t="n">
        <v>0.755</v>
      </c>
      <c r="K377" t="inlineStr">
        <is>
          <t>CTL</t>
        </is>
      </c>
    </row>
    <row r="378" hidden="1" s="584">
      <c r="A378" t="n">
        <v>4151426</v>
      </c>
      <c r="B378" t="inlineStr">
        <is>
          <t>TUB-S-AW-AUT-19.00X19.00X1.000X0.7550</t>
        </is>
      </c>
      <c r="C378" t="n">
        <v>1.001666</v>
      </c>
      <c r="D378" t="n">
        <v>789</v>
      </c>
      <c r="E378" t="inlineStr">
        <is>
          <t>Sri Balaji Gears</t>
        </is>
      </c>
      <c r="F378" t="n">
        <v>1035</v>
      </c>
      <c r="G378" t="inlineStr">
        <is>
          <t>TVS</t>
        </is>
      </c>
      <c r="H378" t="inlineStr">
        <is>
          <t>19-19-1-CRFH-PE</t>
        </is>
      </c>
      <c r="I378" t="inlineStr">
        <is>
          <t>19-19-1-CRFH-PE-0.755</t>
        </is>
      </c>
      <c r="J378" t="n">
        <v>0.755</v>
      </c>
      <c r="K378" t="inlineStr">
        <is>
          <t>CTL</t>
        </is>
      </c>
    </row>
    <row r="379" hidden="1" s="584">
      <c r="A379" t="n">
        <v>4151426</v>
      </c>
      <c r="B379" t="inlineStr">
        <is>
          <t>TUB-S-AW-AUT-19.00X19.00X1.000X0.7550</t>
        </is>
      </c>
      <c r="C379" t="n">
        <v>0.145999</v>
      </c>
      <c r="D379" t="n">
        <v>789</v>
      </c>
      <c r="E379" t="inlineStr">
        <is>
          <t>Sri Balaji Gears</t>
        </is>
      </c>
      <c r="F379" t="n">
        <v>1036</v>
      </c>
      <c r="G379" t="inlineStr">
        <is>
          <t>TVS</t>
        </is>
      </c>
      <c r="H379" t="inlineStr">
        <is>
          <t>19-19-1-CRFH-PE</t>
        </is>
      </c>
      <c r="I379" t="inlineStr">
        <is>
          <t>19-19-1-CRFH-PE-0.755</t>
        </is>
      </c>
      <c r="J379" t="n">
        <v>0.755</v>
      </c>
      <c r="K379" t="inlineStr">
        <is>
          <t>CTL</t>
        </is>
      </c>
    </row>
    <row r="380" hidden="1" s="584">
      <c r="A380" t="n">
        <v>4151426</v>
      </c>
      <c r="B380" t="inlineStr">
        <is>
          <t>TUB-S-AW-AUT-19.00X19.00X1.000X0.7550</t>
        </is>
      </c>
      <c r="C380" t="n">
        <v>0.000417</v>
      </c>
      <c r="D380" t="n">
        <v>789</v>
      </c>
      <c r="E380" t="inlineStr">
        <is>
          <t>Sri Balaji Gears</t>
        </is>
      </c>
      <c r="F380" t="n">
        <v>1037</v>
      </c>
      <c r="G380" t="inlineStr">
        <is>
          <t>TVS</t>
        </is>
      </c>
      <c r="H380" t="inlineStr">
        <is>
          <t>19-19-1-CRFH-PE</t>
        </is>
      </c>
      <c r="I380" t="inlineStr">
        <is>
          <t>19-19-1-CRFH-PE-0.755</t>
        </is>
      </c>
      <c r="J380" t="n">
        <v>0.755</v>
      </c>
      <c r="K380" t="inlineStr">
        <is>
          <t>CTL</t>
        </is>
      </c>
    </row>
    <row r="381" hidden="1" s="584">
      <c r="A381" t="n">
        <v>3507568</v>
      </c>
      <c r="B381" t="inlineStr">
        <is>
          <t>CUT-O-N-AUT-AW-PE-22.20X1.200X0.6810</t>
        </is>
      </c>
      <c r="C381" t="n">
        <v>0.199196</v>
      </c>
      <c r="D381" t="n">
        <v>789</v>
      </c>
      <c r="E381" t="inlineStr">
        <is>
          <t>RAJSRIYA AUTOMOTIVE IND. P LTD</t>
        </is>
      </c>
      <c r="F381" t="n">
        <v>322</v>
      </c>
      <c r="G381" t="inlineStr">
        <is>
          <t>TVS</t>
        </is>
      </c>
      <c r="H381" t="inlineStr">
        <is>
          <t>22.23-0-1.2-ERW 1-PE</t>
        </is>
      </c>
      <c r="I381" t="inlineStr">
        <is>
          <t>22.23-0-1.2-ERW 1-PE-0.681</t>
        </is>
      </c>
      <c r="J381" t="n">
        <v>0.681</v>
      </c>
      <c r="K381" t="inlineStr">
        <is>
          <t>CTL</t>
        </is>
      </c>
    </row>
    <row r="382" hidden="1" s="584">
      <c r="A382" t="n">
        <v>3572033</v>
      </c>
      <c r="B382" t="inlineStr">
        <is>
          <t>TUB-S-AW-AUT-19.00X19.00X1.000X0.7900</t>
        </is>
      </c>
      <c r="C382" t="n">
        <v>0.022</v>
      </c>
      <c r="D382" t="n">
        <v>789</v>
      </c>
      <c r="E382" t="inlineStr">
        <is>
          <t>Sri Balaji Gears</t>
        </is>
      </c>
      <c r="F382" t="n">
        <v>1259</v>
      </c>
      <c r="G382" t="inlineStr">
        <is>
          <t>TVS</t>
        </is>
      </c>
      <c r="H382" t="inlineStr">
        <is>
          <t>19-19-1-CRFH-PE</t>
        </is>
      </c>
      <c r="I382" t="inlineStr">
        <is>
          <t>19-19-1-CRFH-PE-0.79</t>
        </is>
      </c>
      <c r="J382" t="n">
        <v>0.79</v>
      </c>
      <c r="K382" t="inlineStr">
        <is>
          <t>CTL</t>
        </is>
      </c>
    </row>
    <row r="383" hidden="1" s="584">
      <c r="A383" t="n">
        <v>3572033</v>
      </c>
      <c r="B383" t="inlineStr">
        <is>
          <t>TUB-S-AW-AUT-19.00X19.00X1.000X0.7900</t>
        </is>
      </c>
      <c r="C383" t="n">
        <v>0.044</v>
      </c>
      <c r="D383" t="n">
        <v>789</v>
      </c>
      <c r="E383" t="inlineStr">
        <is>
          <t>Sri Balaji Gears</t>
        </is>
      </c>
      <c r="F383" t="n">
        <v>1260</v>
      </c>
      <c r="G383" t="inlineStr">
        <is>
          <t>TVS</t>
        </is>
      </c>
      <c r="H383" t="inlineStr">
        <is>
          <t>19-19-1-CRFH-PE</t>
        </is>
      </c>
      <c r="I383" t="inlineStr">
        <is>
          <t>19-19-1-CRFH-PE-0.79</t>
        </is>
      </c>
      <c r="J383" t="n">
        <v>0.79</v>
      </c>
      <c r="K383" t="inlineStr">
        <is>
          <t>CTL</t>
        </is>
      </c>
    </row>
    <row r="384" hidden="1" s="584">
      <c r="A384" t="n">
        <v>4151429</v>
      </c>
      <c r="B384" t="inlineStr">
        <is>
          <t>TUB-S-AW-AUT-19.00X19.00X1.000X0.7950</t>
        </is>
      </c>
      <c r="C384" t="n">
        <v>0.006944</v>
      </c>
      <c r="D384" t="n">
        <v>789</v>
      </c>
      <c r="E384" t="inlineStr">
        <is>
          <t>Sri Balaji Gears</t>
        </is>
      </c>
      <c r="F384" t="n">
        <v>796</v>
      </c>
      <c r="G384" t="inlineStr">
        <is>
          <t>TVS</t>
        </is>
      </c>
      <c r="H384" t="inlineStr">
        <is>
          <t>19-19-1-CRFH-PE</t>
        </is>
      </c>
      <c r="I384" t="inlineStr">
        <is>
          <t>19-19-1-CRFH-PE-0.795</t>
        </is>
      </c>
      <c r="J384" t="n">
        <v>0.795</v>
      </c>
      <c r="K384" t="inlineStr">
        <is>
          <t>CTL</t>
        </is>
      </c>
    </row>
    <row r="385" hidden="1" s="584">
      <c r="A385" t="n">
        <v>4151429</v>
      </c>
      <c r="B385" t="inlineStr">
        <is>
          <t>TUB-S-AW-AUT-19.00X19.00X1.000X0.7950</t>
        </is>
      </c>
      <c r="C385" t="n">
        <v>1.627211</v>
      </c>
      <c r="D385" t="n">
        <v>789</v>
      </c>
      <c r="E385" t="inlineStr">
        <is>
          <t>Sri Balaji Gears</t>
        </is>
      </c>
      <c r="F385" t="n">
        <v>797</v>
      </c>
      <c r="G385" t="inlineStr">
        <is>
          <t>TVS</t>
        </is>
      </c>
      <c r="H385" t="inlineStr">
        <is>
          <t>19-19-1-CRFH-PE</t>
        </is>
      </c>
      <c r="I385" t="inlineStr">
        <is>
          <t>19-19-1-CRFH-PE-0.795</t>
        </is>
      </c>
      <c r="J385" t="n">
        <v>0.795</v>
      </c>
      <c r="K385" t="inlineStr">
        <is>
          <t>CTL</t>
        </is>
      </c>
    </row>
    <row r="386" hidden="1" s="584">
      <c r="A386" t="n">
        <v>3931836</v>
      </c>
      <c r="B386" t="inlineStr">
        <is>
          <t>CUT-R-AW-AUT-19.00X19.00X1.000X0.8000</t>
        </is>
      </c>
      <c r="C386" t="n">
        <v>0.017264</v>
      </c>
      <c r="D386" t="n">
        <v>789</v>
      </c>
      <c r="E386" t="inlineStr">
        <is>
          <t>Marathwada Auto Compo Pvt. Ltd.</t>
        </is>
      </c>
      <c r="F386" t="n">
        <v>891</v>
      </c>
      <c r="G386" t="inlineStr">
        <is>
          <t>TVS</t>
        </is>
      </c>
      <c r="H386" t="inlineStr">
        <is>
          <t>19-19-1-CRFH-PE</t>
        </is>
      </c>
      <c r="I386" t="inlineStr">
        <is>
          <t>19-19-1-CRFH-PE-0.8</t>
        </is>
      </c>
      <c r="J386" t="n">
        <v>0.8</v>
      </c>
      <c r="K386" t="inlineStr">
        <is>
          <t>CTL</t>
        </is>
      </c>
    </row>
    <row r="387" hidden="1" s="584">
      <c r="A387" t="n">
        <v>3931836</v>
      </c>
      <c r="B387" t="inlineStr">
        <is>
          <t>CUT-R-AW-AUT-19.00X19.00X1.000X0.8000</t>
        </is>
      </c>
      <c r="C387" t="n">
        <v>0.007306</v>
      </c>
      <c r="D387" t="n">
        <v>789</v>
      </c>
      <c r="E387" t="inlineStr">
        <is>
          <t>Marathwada Auto Compo Pvt. Ltd.</t>
        </is>
      </c>
      <c r="F387" t="n">
        <v>892</v>
      </c>
      <c r="G387" t="inlineStr">
        <is>
          <t>TVS</t>
        </is>
      </c>
      <c r="H387" t="inlineStr">
        <is>
          <t>19-19-1-CRFH-PE</t>
        </is>
      </c>
      <c r="I387" t="inlineStr">
        <is>
          <t>19-19-1-CRFH-PE-0.8</t>
        </is>
      </c>
      <c r="J387" t="n">
        <v>0.8</v>
      </c>
      <c r="K387" t="inlineStr">
        <is>
          <t>CTL</t>
        </is>
      </c>
    </row>
    <row r="388" hidden="1" s="584">
      <c r="A388" t="n">
        <v>3931836</v>
      </c>
      <c r="B388" t="inlineStr">
        <is>
          <t>CUT-R-AW-AUT-19.00X19.00X1.000X0.8000</t>
        </is>
      </c>
      <c r="C388" t="n">
        <v>0.004298</v>
      </c>
      <c r="D388" t="n">
        <v>789</v>
      </c>
      <c r="E388" t="inlineStr">
        <is>
          <t>Marathwada Auto Compo Pvt. Ltd.</t>
        </is>
      </c>
      <c r="F388" t="n">
        <v>893</v>
      </c>
      <c r="G388" t="inlineStr">
        <is>
          <t>TVS</t>
        </is>
      </c>
      <c r="H388" t="inlineStr">
        <is>
          <t>19-19-1-CRFH-PE</t>
        </is>
      </c>
      <c r="I388" t="inlineStr">
        <is>
          <t>19-19-1-CRFH-PE-0.8</t>
        </is>
      </c>
      <c r="J388" t="n">
        <v>0.8</v>
      </c>
      <c r="K388" t="inlineStr">
        <is>
          <t>CTL</t>
        </is>
      </c>
    </row>
    <row r="389" hidden="1" s="584">
      <c r="A389" t="n">
        <v>3931836</v>
      </c>
      <c r="B389" t="inlineStr">
        <is>
          <t>CUT-R-AW-AUT-19.00X19.00X1.000X0.8000</t>
        </is>
      </c>
      <c r="C389" t="n">
        <v>0.328967</v>
      </c>
      <c r="D389" t="n">
        <v>789</v>
      </c>
      <c r="E389" t="inlineStr">
        <is>
          <t>Marathwada Auto Compo Pvt. Ltd.</t>
        </is>
      </c>
      <c r="F389" t="n">
        <v>894</v>
      </c>
      <c r="G389" t="inlineStr">
        <is>
          <t>TVS</t>
        </is>
      </c>
      <c r="H389" t="inlineStr">
        <is>
          <t>19-19-1-CRFH-PE</t>
        </is>
      </c>
      <c r="I389" t="inlineStr">
        <is>
          <t>19-19-1-CRFH-PE-0.8</t>
        </is>
      </c>
      <c r="J389" t="n">
        <v>0.8</v>
      </c>
      <c r="K389" t="inlineStr">
        <is>
          <t>CTL</t>
        </is>
      </c>
    </row>
    <row r="390" hidden="1" s="584">
      <c r="A390" t="n">
        <v>3931836</v>
      </c>
      <c r="B390" t="inlineStr">
        <is>
          <t>CUT-R-AW-AUT-19.00X19.00X1.000X0.8000</t>
        </is>
      </c>
      <c r="C390" t="n">
        <v>0.5059669999999999</v>
      </c>
      <c r="D390" t="n">
        <v>789</v>
      </c>
      <c r="E390" t="inlineStr">
        <is>
          <t>Marathwada Auto Compo Pvt. Ltd.</t>
        </is>
      </c>
      <c r="F390" t="n">
        <v>895</v>
      </c>
      <c r="G390" t="inlineStr">
        <is>
          <t>TVS</t>
        </is>
      </c>
      <c r="H390" t="inlineStr">
        <is>
          <t>19-19-1-CRFH-PE</t>
        </is>
      </c>
      <c r="I390" t="inlineStr">
        <is>
          <t>19-19-1-CRFH-PE-0.8</t>
        </is>
      </c>
      <c r="J390" t="n">
        <v>0.8</v>
      </c>
      <c r="K390" t="inlineStr">
        <is>
          <t>CTL</t>
        </is>
      </c>
    </row>
    <row r="391" hidden="1" s="584">
      <c r="A391" t="n">
        <v>4151425</v>
      </c>
      <c r="B391" t="inlineStr">
        <is>
          <t>TUB-S-AW-AUT-19.00X19.00X1.000X0.8350</t>
        </is>
      </c>
      <c r="C391" t="n">
        <v>0.001332</v>
      </c>
      <c r="D391" t="n">
        <v>789</v>
      </c>
      <c r="E391" t="inlineStr">
        <is>
          <t>Sri Balaji Gears</t>
        </is>
      </c>
      <c r="F391" t="n">
        <v>1166</v>
      </c>
      <c r="G391" t="inlineStr">
        <is>
          <t>TVS</t>
        </is>
      </c>
      <c r="H391" t="inlineStr">
        <is>
          <t>19-19-1-CRFH-PE</t>
        </is>
      </c>
      <c r="I391" t="inlineStr">
        <is>
          <t>19-19-1-CRFH-PE-0.835</t>
        </is>
      </c>
      <c r="J391" t="n">
        <v>0.835</v>
      </c>
      <c r="K391" t="inlineStr">
        <is>
          <t>CTL</t>
        </is>
      </c>
    </row>
    <row r="392" hidden="1" s="584">
      <c r="A392" t="n">
        <v>3230485</v>
      </c>
      <c r="B392" t="inlineStr">
        <is>
          <t>TUB-S-AW-AUT-19.00X19.00X1.000X0.8400</t>
        </is>
      </c>
      <c r="C392" t="n">
        <v>0.012985</v>
      </c>
      <c r="D392" t="n">
        <v>789</v>
      </c>
      <c r="E392" t="inlineStr">
        <is>
          <t>Marathwada Auto Compo Pvt. Ltd.</t>
        </is>
      </c>
      <c r="F392" t="n">
        <v>820</v>
      </c>
      <c r="G392" t="inlineStr">
        <is>
          <t>TVS</t>
        </is>
      </c>
      <c r="H392" t="inlineStr">
        <is>
          <t>19-19-1-CRFH-PE</t>
        </is>
      </c>
      <c r="I392" t="inlineStr">
        <is>
          <t>19-19-1-CRFH-PE-0.84</t>
        </is>
      </c>
      <c r="J392" t="n">
        <v>0.84</v>
      </c>
      <c r="K392" t="inlineStr">
        <is>
          <t>CTL</t>
        </is>
      </c>
    </row>
    <row r="393" hidden="1" s="584">
      <c r="A393" t="n">
        <v>3230485</v>
      </c>
      <c r="B393" t="inlineStr">
        <is>
          <t>TUB-S-AW-AUT-19.00X19.00X1.000X0.8400</t>
        </is>
      </c>
      <c r="C393" t="n">
        <v>0.03806</v>
      </c>
      <c r="D393" t="n">
        <v>789</v>
      </c>
      <c r="E393" t="inlineStr">
        <is>
          <t>Marathwada Auto Compo Pvt. Ltd.</t>
        </is>
      </c>
      <c r="F393" t="n">
        <v>821</v>
      </c>
      <c r="G393" t="inlineStr">
        <is>
          <t>TVS</t>
        </is>
      </c>
      <c r="H393" t="inlineStr">
        <is>
          <t>19-19-1-CRFH-PE</t>
        </is>
      </c>
      <c r="I393" t="inlineStr">
        <is>
          <t>19-19-1-CRFH-PE-0.84</t>
        </is>
      </c>
      <c r="J393" t="n">
        <v>0.84</v>
      </c>
      <c r="K393" t="inlineStr">
        <is>
          <t>CTL</t>
        </is>
      </c>
    </row>
    <row r="394" hidden="1" s="584">
      <c r="A394" t="n">
        <v>3230485</v>
      </c>
      <c r="B394" t="inlineStr">
        <is>
          <t>TUB-S-AW-AUT-19.00X19.00X1.000X0.8400</t>
        </is>
      </c>
      <c r="C394" t="n">
        <v>0.06528</v>
      </c>
      <c r="D394" t="n">
        <v>789</v>
      </c>
      <c r="E394" t="inlineStr">
        <is>
          <t>Marathwada Auto Compo Pvt. Ltd.</t>
        </is>
      </c>
      <c r="F394" t="n">
        <v>822</v>
      </c>
      <c r="G394" t="inlineStr">
        <is>
          <t>TVS</t>
        </is>
      </c>
      <c r="H394" t="inlineStr">
        <is>
          <t>19-19-1-CRFH-PE</t>
        </is>
      </c>
      <c r="I394" t="inlineStr">
        <is>
          <t>19-19-1-CRFH-PE-0.84</t>
        </is>
      </c>
      <c r="J394" t="n">
        <v>0.84</v>
      </c>
      <c r="K394" t="inlineStr">
        <is>
          <t>CTL</t>
        </is>
      </c>
    </row>
    <row r="395" hidden="1" s="584">
      <c r="A395" t="n">
        <v>3230485</v>
      </c>
      <c r="B395" t="inlineStr">
        <is>
          <t>TUB-S-AW-AUT-19.00X19.00X1.000X0.8400</t>
        </is>
      </c>
      <c r="C395" t="n">
        <v>0.349</v>
      </c>
      <c r="D395" t="n">
        <v>789</v>
      </c>
      <c r="E395" t="inlineStr">
        <is>
          <t>Marathwada Auto Compo Pvt. Ltd.</t>
        </is>
      </c>
      <c r="F395" t="n">
        <v>823</v>
      </c>
      <c r="G395" t="inlineStr">
        <is>
          <t>TVS</t>
        </is>
      </c>
      <c r="H395" t="inlineStr">
        <is>
          <t>19-19-1-CRFH-PE</t>
        </is>
      </c>
      <c r="I395" t="inlineStr">
        <is>
          <t>19-19-1-CRFH-PE-0.84</t>
        </is>
      </c>
      <c r="J395" t="n">
        <v>0.84</v>
      </c>
      <c r="K395" t="inlineStr">
        <is>
          <t>CTL</t>
        </is>
      </c>
    </row>
    <row r="396" hidden="1" s="584">
      <c r="A396" t="n">
        <v>3230485</v>
      </c>
      <c r="B396" t="inlineStr">
        <is>
          <t>TUB-S-AW-AUT-19.00X19.00X1.000X0.8400</t>
        </is>
      </c>
      <c r="C396" t="n">
        <v>0.376</v>
      </c>
      <c r="D396" t="n">
        <v>789</v>
      </c>
      <c r="E396" t="inlineStr">
        <is>
          <t>Marathwada Auto Compo Pvt. Ltd.</t>
        </is>
      </c>
      <c r="F396" t="n">
        <v>824</v>
      </c>
      <c r="G396" t="inlineStr">
        <is>
          <t>TVS</t>
        </is>
      </c>
      <c r="H396" t="inlineStr">
        <is>
          <t>19-19-1-CRFH-PE</t>
        </is>
      </c>
      <c r="I396" t="inlineStr">
        <is>
          <t>19-19-1-CRFH-PE-0.84</t>
        </is>
      </c>
      <c r="J396" t="n">
        <v>0.84</v>
      </c>
      <c r="K396" t="inlineStr">
        <is>
          <t>CTL</t>
        </is>
      </c>
    </row>
    <row r="397" hidden="1" s="584">
      <c r="A397" t="n">
        <v>3230492</v>
      </c>
      <c r="B397" t="inlineStr">
        <is>
          <t>TUB-S-AW-AUT-19.00X19.00X1.000X0.8800</t>
        </is>
      </c>
      <c r="C397" t="n">
        <v>0.001822</v>
      </c>
      <c r="D397" t="n">
        <v>789</v>
      </c>
      <c r="E397" t="inlineStr">
        <is>
          <t>Marathwada Auto Compo Pvt. Ltd.</t>
        </is>
      </c>
      <c r="F397" t="n">
        <v>720</v>
      </c>
      <c r="G397" t="inlineStr">
        <is>
          <t>TVS</t>
        </is>
      </c>
      <c r="H397" t="inlineStr">
        <is>
          <t>19-19-1-CRFH-PE</t>
        </is>
      </c>
      <c r="I397" t="inlineStr">
        <is>
          <t>19-19-1-CRFH-PE-0.88</t>
        </is>
      </c>
      <c r="J397" t="n">
        <v>0.88</v>
      </c>
      <c r="K397" t="inlineStr">
        <is>
          <t>CTL</t>
        </is>
      </c>
    </row>
    <row r="398" hidden="1" s="584">
      <c r="A398" t="n">
        <v>3230492</v>
      </c>
      <c r="B398" t="inlineStr">
        <is>
          <t>TUB-S-AW-AUT-19.00X19.00X1.000X0.8800</t>
        </is>
      </c>
      <c r="C398" t="n">
        <v>0.7295</v>
      </c>
      <c r="D398" t="n">
        <v>789</v>
      </c>
      <c r="E398" t="inlineStr">
        <is>
          <t>Marathwada Auto Compo Pvt. Ltd.</t>
        </is>
      </c>
      <c r="F398" t="n">
        <v>721</v>
      </c>
      <c r="G398" t="inlineStr">
        <is>
          <t>TVS</t>
        </is>
      </c>
      <c r="H398" t="inlineStr">
        <is>
          <t>19-19-1-CRFH-PE</t>
        </is>
      </c>
      <c r="I398" t="inlineStr">
        <is>
          <t>19-19-1-CRFH-PE-0.88</t>
        </is>
      </c>
      <c r="J398" t="n">
        <v>0.88</v>
      </c>
      <c r="K398" t="inlineStr">
        <is>
          <t>CTL</t>
        </is>
      </c>
    </row>
    <row r="399" hidden="1" s="584">
      <c r="A399" t="n">
        <v>3572035</v>
      </c>
      <c r="B399" t="inlineStr">
        <is>
          <t>TUB-S-AW-AUT-19.00X19.00X1.000X0.8900</t>
        </is>
      </c>
      <c r="C399" t="n">
        <v>0.0985</v>
      </c>
      <c r="D399" t="n">
        <v>789</v>
      </c>
      <c r="E399" t="inlineStr">
        <is>
          <t>Sri Balaji Gears</t>
        </is>
      </c>
      <c r="F399" t="n">
        <v>1245</v>
      </c>
      <c r="G399" t="inlineStr">
        <is>
          <t>TVS</t>
        </is>
      </c>
      <c r="H399" t="inlineStr">
        <is>
          <t>19-19-1-CRFH-PE</t>
        </is>
      </c>
      <c r="I399" t="inlineStr">
        <is>
          <t>19-19-1-CRFH-PE-0.89</t>
        </is>
      </c>
      <c r="J399" t="n">
        <v>0.89</v>
      </c>
      <c r="K399" t="inlineStr">
        <is>
          <t>CTL</t>
        </is>
      </c>
    </row>
    <row r="400" hidden="1" s="584">
      <c r="A400" t="n">
        <v>3572035</v>
      </c>
      <c r="B400" t="inlineStr">
        <is>
          <t>TUB-S-AW-AUT-19.00X19.00X1.000X0.8900</t>
        </is>
      </c>
      <c r="C400" t="n">
        <v>1.1815</v>
      </c>
      <c r="D400" t="n">
        <v>789</v>
      </c>
      <c r="E400" t="inlineStr">
        <is>
          <t>Sri Balaji Gears</t>
        </is>
      </c>
      <c r="F400" t="n">
        <v>1246</v>
      </c>
      <c r="G400" t="inlineStr">
        <is>
          <t>TVS</t>
        </is>
      </c>
      <c r="H400" t="inlineStr">
        <is>
          <t>19-19-1-CRFH-PE</t>
        </is>
      </c>
      <c r="I400" t="inlineStr">
        <is>
          <t>19-19-1-CRFH-PE-0.89</t>
        </is>
      </c>
      <c r="J400" t="n">
        <v>0.89</v>
      </c>
      <c r="K400" t="inlineStr">
        <is>
          <t>CTL</t>
        </is>
      </c>
    </row>
    <row r="401" hidden="1" s="584">
      <c r="A401" t="n">
        <v>3597679</v>
      </c>
      <c r="B401" t="inlineStr">
        <is>
          <t>TUB-S-AW-AUT-19.00X19.00X1.000X6.1400</t>
        </is>
      </c>
      <c r="C401" t="n">
        <v>0.012</v>
      </c>
      <c r="D401" t="n">
        <v>789</v>
      </c>
      <c r="E401" t="inlineStr">
        <is>
          <t>Sri Balaji Gears</t>
        </is>
      </c>
      <c r="F401" t="n">
        <v>336</v>
      </c>
      <c r="G401" t="inlineStr">
        <is>
          <t>TVS</t>
        </is>
      </c>
      <c r="H401" t="inlineStr">
        <is>
          <t>19-19-1-CRFH-PE</t>
        </is>
      </c>
      <c r="I401" t="inlineStr">
        <is>
          <t>19-19-1-CRFH-PE-1</t>
        </is>
      </c>
      <c r="J401" t="n">
        <v>6.14</v>
      </c>
      <c r="K401" t="inlineStr">
        <is>
          <t>LL</t>
        </is>
      </c>
    </row>
    <row r="402" hidden="1" s="584">
      <c r="A402" t="n">
        <v>3597679</v>
      </c>
      <c r="B402" t="inlineStr">
        <is>
          <t>TUB-S-AW-AUT-19.00X19.00X1.000X6.1400</t>
        </is>
      </c>
      <c r="C402" t="n">
        <v>0.97</v>
      </c>
      <c r="D402" t="n">
        <v>789</v>
      </c>
      <c r="E402" t="inlineStr">
        <is>
          <t>Sri Balaji Gears</t>
        </is>
      </c>
      <c r="F402" t="n">
        <v>337</v>
      </c>
      <c r="G402" t="inlineStr">
        <is>
          <t>TVS</t>
        </is>
      </c>
      <c r="H402" t="inlineStr">
        <is>
          <t>19-19-1-CRFH-PE</t>
        </is>
      </c>
      <c r="I402" t="inlineStr">
        <is>
          <t>19-19-1-CRFH-PE-1</t>
        </is>
      </c>
      <c r="J402" t="n">
        <v>6.14</v>
      </c>
      <c r="K402" t="inlineStr">
        <is>
          <t>LL</t>
        </is>
      </c>
    </row>
    <row r="403" hidden="1" s="584">
      <c r="A403" t="n">
        <v>3597679</v>
      </c>
      <c r="B403" t="inlineStr">
        <is>
          <t>TUB-S-AW-AUT-19.00X19.00X1.000X6.1400</t>
        </is>
      </c>
      <c r="C403" t="n">
        <v>0.771</v>
      </c>
      <c r="D403" t="n">
        <v>789</v>
      </c>
      <c r="E403" t="inlineStr">
        <is>
          <t>Sri Balaji Gears</t>
        </is>
      </c>
      <c r="F403" t="n">
        <v>338</v>
      </c>
      <c r="G403" t="inlineStr">
        <is>
          <t>TVS</t>
        </is>
      </c>
      <c r="H403" t="inlineStr">
        <is>
          <t>19-19-1-CRFH-PE</t>
        </is>
      </c>
      <c r="I403" t="inlineStr">
        <is>
          <t>19-19-1-CRFH-PE-1</t>
        </is>
      </c>
      <c r="J403" t="n">
        <v>6.14</v>
      </c>
      <c r="K403" t="inlineStr">
        <is>
          <t>LL</t>
        </is>
      </c>
    </row>
    <row r="404" hidden="1" s="584">
      <c r="A404" t="n">
        <v>3597679</v>
      </c>
      <c r="B404" t="inlineStr">
        <is>
          <t>TUB-S-AW-AUT-19.00X19.00X1.000X6.1400</t>
        </is>
      </c>
      <c r="C404" t="n">
        <v>2.115</v>
      </c>
      <c r="D404" t="n">
        <v>789</v>
      </c>
      <c r="E404" t="inlineStr">
        <is>
          <t>Sri Balaji Gears</t>
        </is>
      </c>
      <c r="F404" t="n">
        <v>339</v>
      </c>
      <c r="G404" t="inlineStr">
        <is>
          <t>TVS</t>
        </is>
      </c>
      <c r="H404" t="inlineStr">
        <is>
          <t>19-19-1-CRFH-PE</t>
        </is>
      </c>
      <c r="I404" t="inlineStr">
        <is>
          <t>19-19-1-CRFH-PE-1</t>
        </is>
      </c>
      <c r="J404" t="n">
        <v>6.14</v>
      </c>
      <c r="K404" t="inlineStr">
        <is>
          <t>LL</t>
        </is>
      </c>
    </row>
    <row r="405" hidden="1" s="584">
      <c r="A405" t="n">
        <v>3597679</v>
      </c>
      <c r="B405" t="inlineStr">
        <is>
          <t>TUB-S-AW-AUT-19.00X19.00X1.000X6.1400</t>
        </is>
      </c>
      <c r="C405" t="n">
        <v>2.115</v>
      </c>
      <c r="D405" t="n">
        <v>789</v>
      </c>
      <c r="E405" t="inlineStr">
        <is>
          <t>Sri Balaji Gears</t>
        </is>
      </c>
      <c r="F405" t="n">
        <v>340</v>
      </c>
      <c r="G405" t="inlineStr">
        <is>
          <t>TVS</t>
        </is>
      </c>
      <c r="H405" t="inlineStr">
        <is>
          <t>19-19-1-CRFH-PE</t>
        </is>
      </c>
      <c r="I405" t="inlineStr">
        <is>
          <t>19-19-1-CRFH-PE-1</t>
        </is>
      </c>
      <c r="J405" t="n">
        <v>6.14</v>
      </c>
      <c r="K405" t="inlineStr">
        <is>
          <t>LL</t>
        </is>
      </c>
    </row>
    <row r="406" hidden="1" s="584">
      <c r="A406" t="n">
        <v>3597679</v>
      </c>
      <c r="B406" t="inlineStr">
        <is>
          <t>TUB-S-AW-AUT-19.00X19.00X1.000X6.1400</t>
        </is>
      </c>
      <c r="C406" t="n">
        <v>0.71</v>
      </c>
      <c r="D406" t="n">
        <v>789</v>
      </c>
      <c r="E406" t="inlineStr">
        <is>
          <t>Sri Balaji Gears</t>
        </is>
      </c>
      <c r="F406" t="n">
        <v>341</v>
      </c>
      <c r="G406" t="inlineStr">
        <is>
          <t>TVS</t>
        </is>
      </c>
      <c r="H406" t="inlineStr">
        <is>
          <t>19-19-1-CRFH-PE</t>
        </is>
      </c>
      <c r="I406" t="inlineStr">
        <is>
          <t>19-19-1-CRFH-PE-1</t>
        </is>
      </c>
      <c r="J406" t="n">
        <v>6.14</v>
      </c>
      <c r="K406" t="inlineStr">
        <is>
          <t>LL</t>
        </is>
      </c>
    </row>
    <row r="407" hidden="1" s="584">
      <c r="A407" t="n">
        <v>3597679</v>
      </c>
      <c r="B407" t="inlineStr">
        <is>
          <t>TUB-S-AW-AUT-19.00X19.00X1.000X6.1400</t>
        </is>
      </c>
      <c r="C407" t="n">
        <v>0.72</v>
      </c>
      <c r="D407" t="n">
        <v>789</v>
      </c>
      <c r="E407" t="inlineStr">
        <is>
          <t>Sri Balaji Gears</t>
        </is>
      </c>
      <c r="F407" t="n">
        <v>342</v>
      </c>
      <c r="G407" t="inlineStr">
        <is>
          <t>TVS</t>
        </is>
      </c>
      <c r="H407" t="inlineStr">
        <is>
          <t>19-19-1-CRFH-PE</t>
        </is>
      </c>
      <c r="I407" t="inlineStr">
        <is>
          <t>19-19-1-CRFH-PE-1</t>
        </is>
      </c>
      <c r="J407" t="n">
        <v>6.14</v>
      </c>
      <c r="K407" t="inlineStr">
        <is>
          <t>LL</t>
        </is>
      </c>
    </row>
    <row r="408" hidden="1" s="584">
      <c r="A408" t="n">
        <v>3597679</v>
      </c>
      <c r="B408" t="inlineStr">
        <is>
          <t>TUB-S-AW-AUT-19.00X19.00X1.000X6.1400</t>
        </is>
      </c>
      <c r="C408" t="n">
        <v>0.313</v>
      </c>
      <c r="D408" t="n">
        <v>789</v>
      </c>
      <c r="E408" t="inlineStr">
        <is>
          <t>Sri Balaji Gears</t>
        </is>
      </c>
      <c r="F408" t="n">
        <v>343</v>
      </c>
      <c r="G408" t="inlineStr">
        <is>
          <t>TVS</t>
        </is>
      </c>
      <c r="H408" t="inlineStr">
        <is>
          <t>19-19-1-CRFH-PE</t>
        </is>
      </c>
      <c r="I408" t="inlineStr">
        <is>
          <t>19-19-1-CRFH-PE-1</t>
        </is>
      </c>
      <c r="J408" t="n">
        <v>6.14</v>
      </c>
      <c r="K408" t="inlineStr">
        <is>
          <t>LL</t>
        </is>
      </c>
    </row>
    <row r="409" hidden="1" s="584">
      <c r="A409" t="n">
        <v>3597679</v>
      </c>
      <c r="B409" t="inlineStr">
        <is>
          <t>TUB-S-AW-AUT-19.00X19.00X1.000X6.1400</t>
        </is>
      </c>
      <c r="C409" t="n">
        <v>2.136</v>
      </c>
      <c r="D409" t="n">
        <v>789</v>
      </c>
      <c r="E409" t="inlineStr">
        <is>
          <t>Sri Balaji Gears</t>
        </is>
      </c>
      <c r="F409" t="n">
        <v>461</v>
      </c>
      <c r="G409" t="inlineStr">
        <is>
          <t>TVS</t>
        </is>
      </c>
      <c r="H409" t="inlineStr">
        <is>
          <t>19-19-1-CRFH-PE</t>
        </is>
      </c>
      <c r="I409" t="inlineStr">
        <is>
          <t>19-19-1-CRFH-PE-1</t>
        </is>
      </c>
      <c r="J409" t="n">
        <v>6.14</v>
      </c>
      <c r="K409" t="inlineStr">
        <is>
          <t>LL</t>
        </is>
      </c>
    </row>
    <row r="410" hidden="1" s="584">
      <c r="A410" t="n">
        <v>3597679</v>
      </c>
      <c r="B410" t="inlineStr">
        <is>
          <t>TUB-S-AW-AUT-19.00X19.00X1.000X6.1400</t>
        </is>
      </c>
      <c r="C410" t="n">
        <v>2.156</v>
      </c>
      <c r="D410" t="n">
        <v>789</v>
      </c>
      <c r="E410" t="inlineStr">
        <is>
          <t>Sri Balaji Gears</t>
        </is>
      </c>
      <c r="F410" t="n">
        <v>462</v>
      </c>
      <c r="G410" t="inlineStr">
        <is>
          <t>TVS</t>
        </is>
      </c>
      <c r="H410" t="inlineStr">
        <is>
          <t>19-19-1-CRFH-PE</t>
        </is>
      </c>
      <c r="I410" t="inlineStr">
        <is>
          <t>19-19-1-CRFH-PE-1</t>
        </is>
      </c>
      <c r="J410" t="n">
        <v>6.14</v>
      </c>
      <c r="K410" t="inlineStr">
        <is>
          <t>LL</t>
        </is>
      </c>
    </row>
    <row r="411" hidden="1" s="584">
      <c r="A411" t="n">
        <v>3597679</v>
      </c>
      <c r="B411" t="inlineStr">
        <is>
          <t>TUB-S-AW-AUT-19.00X19.00X1.000X6.1400</t>
        </is>
      </c>
      <c r="C411" t="n">
        <v>0.761</v>
      </c>
      <c r="D411" t="n">
        <v>789</v>
      </c>
      <c r="E411" t="inlineStr">
        <is>
          <t>Sri Balaji Gears</t>
        </is>
      </c>
      <c r="F411" t="n">
        <v>463</v>
      </c>
      <c r="G411" t="inlineStr">
        <is>
          <t>TVS</t>
        </is>
      </c>
      <c r="H411" t="inlineStr">
        <is>
          <t>19-19-1-CRFH-PE</t>
        </is>
      </c>
      <c r="I411" t="inlineStr">
        <is>
          <t>19-19-1-CRFH-PE-1</t>
        </is>
      </c>
      <c r="J411" t="n">
        <v>6.14</v>
      </c>
      <c r="K411" t="inlineStr">
        <is>
          <t>LL</t>
        </is>
      </c>
    </row>
    <row r="412" hidden="1" s="584">
      <c r="A412" t="n">
        <v>3597679</v>
      </c>
      <c r="B412" t="inlineStr">
        <is>
          <t>TUB-S-AW-AUT-19.00X19.00X1.000X6.1400</t>
        </is>
      </c>
      <c r="C412" t="n">
        <v>1.46</v>
      </c>
      <c r="D412" t="n">
        <v>789</v>
      </c>
      <c r="E412" t="inlineStr">
        <is>
          <t>Sri Balaji Gears</t>
        </is>
      </c>
      <c r="F412" t="n">
        <v>464</v>
      </c>
      <c r="G412" t="inlineStr">
        <is>
          <t>TVS</t>
        </is>
      </c>
      <c r="H412" t="inlineStr">
        <is>
          <t>19-19-1-CRFH-PE</t>
        </is>
      </c>
      <c r="I412" t="inlineStr">
        <is>
          <t>19-19-1-CRFH-PE-1</t>
        </is>
      </c>
      <c r="J412" t="n">
        <v>6.14</v>
      </c>
      <c r="K412" t="inlineStr">
        <is>
          <t>LL</t>
        </is>
      </c>
    </row>
    <row r="413" hidden="1" s="584">
      <c r="A413" t="n">
        <v>3597679</v>
      </c>
      <c r="B413" t="inlineStr">
        <is>
          <t>TUB-S-AW-AUT-19.00X19.00X1.000X6.1400</t>
        </is>
      </c>
      <c r="C413" t="n">
        <v>1.38</v>
      </c>
      <c r="D413" t="n">
        <v>789</v>
      </c>
      <c r="E413" t="inlineStr">
        <is>
          <t>Sri Balaji Gears</t>
        </is>
      </c>
      <c r="F413" t="n">
        <v>465</v>
      </c>
      <c r="G413" t="inlineStr">
        <is>
          <t>TVS</t>
        </is>
      </c>
      <c r="H413" t="inlineStr">
        <is>
          <t>19-19-1-CRFH-PE</t>
        </is>
      </c>
      <c r="I413" t="inlineStr">
        <is>
          <t>19-19-1-CRFH-PE-1</t>
        </is>
      </c>
      <c r="J413" t="n">
        <v>6.14</v>
      </c>
      <c r="K413" t="inlineStr">
        <is>
          <t>LL</t>
        </is>
      </c>
    </row>
    <row r="414" hidden="1" s="584">
      <c r="A414" t="n">
        <v>3938684</v>
      </c>
      <c r="B414" t="inlineStr">
        <is>
          <t>TUB-S-AW-AUT-19.00X19.00X1.000X0.9620</t>
        </is>
      </c>
      <c r="C414" t="n">
        <v>0.03970000000000001</v>
      </c>
      <c r="D414" t="n">
        <v>789</v>
      </c>
      <c r="E414" t="inlineStr">
        <is>
          <t>Sri Balaji Gears</t>
        </is>
      </c>
      <c r="F414" t="n">
        <v>1215</v>
      </c>
      <c r="G414" t="inlineStr">
        <is>
          <t>TVS</t>
        </is>
      </c>
      <c r="H414" t="inlineStr">
        <is>
          <t>19-19-1-CRFH-PE</t>
        </is>
      </c>
      <c r="I414" t="inlineStr">
        <is>
          <t>19-19-1-CRFH-PE-0.962</t>
        </is>
      </c>
      <c r="J414" t="n">
        <v>0.962</v>
      </c>
      <c r="K414" t="inlineStr">
        <is>
          <t>CTL</t>
        </is>
      </c>
    </row>
    <row r="415" hidden="1" s="584">
      <c r="A415" t="n">
        <v>3938684</v>
      </c>
      <c r="B415" t="inlineStr">
        <is>
          <t>TUB-S-AW-AUT-19.00X19.00X1.000X0.9620</t>
        </is>
      </c>
      <c r="C415" t="n">
        <v>1.2847</v>
      </c>
      <c r="D415" t="n">
        <v>789</v>
      </c>
      <c r="E415" t="inlineStr">
        <is>
          <t>Sri Balaji Gears</t>
        </is>
      </c>
      <c r="F415" t="n">
        <v>1216</v>
      </c>
      <c r="G415" t="inlineStr">
        <is>
          <t>TVS</t>
        </is>
      </c>
      <c r="H415" t="inlineStr">
        <is>
          <t>19-19-1-CRFH-PE</t>
        </is>
      </c>
      <c r="I415" t="inlineStr">
        <is>
          <t>19-19-1-CRFH-PE-0.962</t>
        </is>
      </c>
      <c r="J415" t="n">
        <v>0.962</v>
      </c>
      <c r="K415" t="inlineStr">
        <is>
          <t>CTL</t>
        </is>
      </c>
    </row>
    <row r="416" hidden="1" s="584">
      <c r="A416" t="n">
        <v>4151427</v>
      </c>
      <c r="B416" t="inlineStr">
        <is>
          <t>TUB-S-AW-AUT-19.00X19.00X1.000X0.9630</t>
        </is>
      </c>
      <c r="C416" t="n">
        <v>0.304605</v>
      </c>
      <c r="D416" t="n">
        <v>789</v>
      </c>
      <c r="E416" t="inlineStr">
        <is>
          <t>Sri Balaji Gears</t>
        </is>
      </c>
      <c r="F416" t="n">
        <v>1007</v>
      </c>
      <c r="G416" t="inlineStr">
        <is>
          <t>TVS</t>
        </is>
      </c>
      <c r="H416" t="inlineStr">
        <is>
          <t>19-19-1-CRFH-PE</t>
        </is>
      </c>
      <c r="I416" t="inlineStr">
        <is>
          <t>19-19-1-CRFH-PE-0.963</t>
        </is>
      </c>
      <c r="J416" t="n">
        <v>0.963</v>
      </c>
      <c r="K416" t="inlineStr">
        <is>
          <t>CTL</t>
        </is>
      </c>
    </row>
    <row r="417" hidden="1" s="584">
      <c r="A417" t="n">
        <v>4151427</v>
      </c>
      <c r="B417" t="inlineStr">
        <is>
          <t>TUB-S-AW-AUT-19.00X19.00X1.000X0.9630</t>
        </is>
      </c>
      <c r="C417" t="n">
        <v>0.119267</v>
      </c>
      <c r="D417" t="n">
        <v>789</v>
      </c>
      <c r="E417" t="inlineStr">
        <is>
          <t>Sri Balaji Gears</t>
        </is>
      </c>
      <c r="F417" t="n">
        <v>1008</v>
      </c>
      <c r="G417" t="inlineStr">
        <is>
          <t>TVS</t>
        </is>
      </c>
      <c r="H417" t="inlineStr">
        <is>
          <t>19-19-1-CRFH-PE</t>
        </is>
      </c>
      <c r="I417" t="inlineStr">
        <is>
          <t>19-19-1-CRFH-PE-0.963</t>
        </is>
      </c>
      <c r="J417" t="n">
        <v>0.963</v>
      </c>
      <c r="K417" t="inlineStr">
        <is>
          <t>CTL</t>
        </is>
      </c>
    </row>
    <row r="418" hidden="1" s="584">
      <c r="A418" t="n">
        <v>4151427</v>
      </c>
      <c r="B418" t="inlineStr">
        <is>
          <t>TUB-S-AW-AUT-19.00X19.00X1.000X0.9630</t>
        </is>
      </c>
      <c r="C418" t="n">
        <v>0.213068</v>
      </c>
      <c r="D418" t="n">
        <v>789</v>
      </c>
      <c r="E418" t="inlineStr">
        <is>
          <t>Sri Balaji Gears</t>
        </is>
      </c>
      <c r="F418" t="n">
        <v>1009</v>
      </c>
      <c r="G418" t="inlineStr">
        <is>
          <t>TVS</t>
        </is>
      </c>
      <c r="H418" t="inlineStr">
        <is>
          <t>19-19-1-CRFH-PE</t>
        </is>
      </c>
      <c r="I418" t="inlineStr">
        <is>
          <t>19-19-1-CRFH-PE-0.963</t>
        </is>
      </c>
      <c r="J418" t="n">
        <v>0.963</v>
      </c>
      <c r="K418" t="inlineStr">
        <is>
          <t>CTL</t>
        </is>
      </c>
    </row>
    <row r="419" hidden="1" s="584">
      <c r="A419" t="n">
        <v>4100796</v>
      </c>
      <c r="B419" t="inlineStr">
        <is>
          <t>CUT-R-AW-AUT-19.00X19.00X1.000X1.0070</t>
        </is>
      </c>
      <c r="C419" t="n">
        <v>0.001871</v>
      </c>
      <c r="D419" t="n">
        <v>789</v>
      </c>
      <c r="E419" t="inlineStr">
        <is>
          <t>Sri Balaji Gears</t>
        </is>
      </c>
      <c r="F419" t="n">
        <v>1179</v>
      </c>
      <c r="G419" t="inlineStr">
        <is>
          <t>TVS</t>
        </is>
      </c>
      <c r="H419" t="inlineStr">
        <is>
          <t>19-19-1-CRFH-PE</t>
        </is>
      </c>
      <c r="I419" t="inlineStr">
        <is>
          <t>19-19-1-CRFH-PE-1.007</t>
        </is>
      </c>
      <c r="J419" t="n">
        <v>1.007</v>
      </c>
      <c r="K419" t="inlineStr">
        <is>
          <t>CTL</t>
        </is>
      </c>
    </row>
    <row r="420" hidden="1" s="584">
      <c r="A420" t="n">
        <v>4100796</v>
      </c>
      <c r="B420" t="inlineStr">
        <is>
          <t>CUT-R-AW-AUT-19.00X19.00X1.000X1.0070</t>
        </is>
      </c>
      <c r="C420" t="n">
        <v>1.707166</v>
      </c>
      <c r="D420" t="n">
        <v>789</v>
      </c>
      <c r="E420" t="inlineStr">
        <is>
          <t>Sri Balaji Gears</t>
        </is>
      </c>
      <c r="F420" t="n">
        <v>1180</v>
      </c>
      <c r="G420" t="inlineStr">
        <is>
          <t>TVS</t>
        </is>
      </c>
      <c r="H420" t="inlineStr">
        <is>
          <t>19-19-1-CRFH-PE</t>
        </is>
      </c>
      <c r="I420" t="inlineStr">
        <is>
          <t>19-19-1-CRFH-PE-1.007</t>
        </is>
      </c>
      <c r="J420" t="n">
        <v>1.007</v>
      </c>
      <c r="K420" t="inlineStr">
        <is>
          <t>CTL</t>
        </is>
      </c>
    </row>
    <row r="421" hidden="1" s="584">
      <c r="A421" t="n">
        <v>3931837</v>
      </c>
      <c r="B421" t="inlineStr">
        <is>
          <t>CUT-R-AW-AUT-19.00X19.00X1.000X1.1500</t>
        </is>
      </c>
      <c r="C421" t="n">
        <v>0.022244</v>
      </c>
      <c r="D421" t="n">
        <v>789</v>
      </c>
      <c r="E421" t="inlineStr">
        <is>
          <t>Marathwada Auto Compo Pvt. Ltd.</t>
        </is>
      </c>
      <c r="F421" t="n">
        <v>1144</v>
      </c>
      <c r="G421" t="inlineStr">
        <is>
          <t>TVS</t>
        </is>
      </c>
      <c r="H421" t="inlineStr">
        <is>
          <t>19-19-1-CRFH-PE</t>
        </is>
      </c>
      <c r="I421" t="inlineStr">
        <is>
          <t>19-19-1-CRFH-PE-1.15</t>
        </is>
      </c>
      <c r="J421" t="n">
        <v>1.15</v>
      </c>
      <c r="K421" t="inlineStr">
        <is>
          <t>CTL</t>
        </is>
      </c>
    </row>
    <row r="422" hidden="1" s="584">
      <c r="A422" t="n">
        <v>3572038</v>
      </c>
      <c r="B422" t="inlineStr">
        <is>
          <t>TUB-S-AW-AUT-19.00X19.00X1.000X1.2460</t>
        </is>
      </c>
      <c r="C422" t="n">
        <v>0.00254</v>
      </c>
      <c r="D422" t="n">
        <v>789</v>
      </c>
      <c r="E422" t="inlineStr">
        <is>
          <t>Sri Balaji Gears</t>
        </is>
      </c>
      <c r="F422" t="n">
        <v>1138</v>
      </c>
      <c r="G422" t="inlineStr">
        <is>
          <t>TVS</t>
        </is>
      </c>
      <c r="H422" t="inlineStr">
        <is>
          <t>19-19-1-CRFH-PE</t>
        </is>
      </c>
      <c r="I422" t="inlineStr">
        <is>
          <t>19-19-1-CRFH-PE-1.246</t>
        </is>
      </c>
      <c r="J422" t="n">
        <v>1.246</v>
      </c>
      <c r="K422" t="inlineStr">
        <is>
          <t>CTL</t>
        </is>
      </c>
    </row>
    <row r="423" hidden="1" s="584">
      <c r="A423" t="n">
        <v>3572038</v>
      </c>
      <c r="B423" t="inlineStr">
        <is>
          <t>TUB-S-AW-AUT-19.00X19.00X1.000X1.2460</t>
        </is>
      </c>
      <c r="C423" t="n">
        <v>0.02993</v>
      </c>
      <c r="D423" t="n">
        <v>789</v>
      </c>
      <c r="E423" t="inlineStr">
        <is>
          <t>Sri Balaji Gears</t>
        </is>
      </c>
      <c r="F423" t="n">
        <v>1139</v>
      </c>
      <c r="G423" t="inlineStr">
        <is>
          <t>TVS</t>
        </is>
      </c>
      <c r="H423" t="inlineStr">
        <is>
          <t>19-19-1-CRFH-PE</t>
        </is>
      </c>
      <c r="I423" t="inlineStr">
        <is>
          <t>19-19-1-CRFH-PE-1.246</t>
        </is>
      </c>
      <c r="J423" t="n">
        <v>1.246</v>
      </c>
      <c r="K423" t="inlineStr">
        <is>
          <t>CTL</t>
        </is>
      </c>
    </row>
    <row r="424" hidden="1" s="584">
      <c r="A424" t="n">
        <v>3572038</v>
      </c>
      <c r="B424" t="inlineStr">
        <is>
          <t>TUB-S-AW-AUT-19.00X19.00X1.000X1.2460</t>
        </is>
      </c>
      <c r="C424" t="n">
        <v>0.11442</v>
      </c>
      <c r="D424" t="n">
        <v>789</v>
      </c>
      <c r="E424" t="inlineStr">
        <is>
          <t>Sri Balaji Gears</t>
        </is>
      </c>
      <c r="F424" t="n">
        <v>1140</v>
      </c>
      <c r="G424" t="inlineStr">
        <is>
          <t>TVS</t>
        </is>
      </c>
      <c r="H424" t="inlineStr">
        <is>
          <t>19-19-1-CRFH-PE</t>
        </is>
      </c>
      <c r="I424" t="inlineStr">
        <is>
          <t>19-19-1-CRFH-PE-1.246</t>
        </is>
      </c>
      <c r="J424" t="n">
        <v>1.246</v>
      </c>
      <c r="K424" t="inlineStr">
        <is>
          <t>CTL</t>
        </is>
      </c>
    </row>
    <row r="425" hidden="1" s="584">
      <c r="A425" t="n">
        <v>3572038</v>
      </c>
      <c r="B425" t="inlineStr">
        <is>
          <t>TUB-S-AW-AUT-19.00X19.00X1.000X1.2460</t>
        </is>
      </c>
      <c r="C425" t="n">
        <v>0.032</v>
      </c>
      <c r="D425" t="n">
        <v>789</v>
      </c>
      <c r="E425" t="inlineStr">
        <is>
          <t>Sri Balaji Gears</t>
        </is>
      </c>
      <c r="F425" t="n">
        <v>1141</v>
      </c>
      <c r="G425" t="inlineStr">
        <is>
          <t>TVS</t>
        </is>
      </c>
      <c r="H425" t="inlineStr">
        <is>
          <t>19-19-1-CRFH-PE</t>
        </is>
      </c>
      <c r="I425" t="inlineStr">
        <is>
          <t>19-19-1-CRFH-PE-1.246</t>
        </is>
      </c>
      <c r="J425" t="n">
        <v>1.246</v>
      </c>
      <c r="K425" t="inlineStr">
        <is>
          <t>CTL</t>
        </is>
      </c>
    </row>
    <row r="426" hidden="1" s="584">
      <c r="A426" t="n">
        <v>3572038</v>
      </c>
      <c r="B426" t="inlineStr">
        <is>
          <t>TUB-S-AW-AUT-19.00X19.00X1.000X1.2460</t>
        </is>
      </c>
      <c r="C426" t="n">
        <v>0.032</v>
      </c>
      <c r="D426" t="n">
        <v>789</v>
      </c>
      <c r="E426" t="inlineStr">
        <is>
          <t>Sri Balaji Gears</t>
        </is>
      </c>
      <c r="F426" t="n">
        <v>1142</v>
      </c>
      <c r="G426" t="inlineStr">
        <is>
          <t>TVS</t>
        </is>
      </c>
      <c r="H426" t="inlineStr">
        <is>
          <t>19-19-1-CRFH-PE</t>
        </is>
      </c>
      <c r="I426" t="inlineStr">
        <is>
          <t>19-19-1-CRFH-PE-1.246</t>
        </is>
      </c>
      <c r="J426" t="n">
        <v>1.246</v>
      </c>
      <c r="K426" t="inlineStr">
        <is>
          <t>CTL</t>
        </is>
      </c>
    </row>
    <row r="427" hidden="1" s="584">
      <c r="A427" t="n">
        <v>3572038</v>
      </c>
      <c r="B427" t="inlineStr">
        <is>
          <t>TUB-S-AW-AUT-19.00X19.00X1.000X1.2460</t>
        </is>
      </c>
      <c r="C427" t="n">
        <v>0.361</v>
      </c>
      <c r="D427" t="n">
        <v>789</v>
      </c>
      <c r="E427" t="inlineStr">
        <is>
          <t>Sri Balaji Gears</t>
        </is>
      </c>
      <c r="F427" t="n">
        <v>1143</v>
      </c>
      <c r="G427" t="inlineStr">
        <is>
          <t>TVS</t>
        </is>
      </c>
      <c r="H427" t="inlineStr">
        <is>
          <t>19-19-1-CRFH-PE</t>
        </is>
      </c>
      <c r="I427" t="inlineStr">
        <is>
          <t>19-19-1-CRFH-PE-1.246</t>
        </is>
      </c>
      <c r="J427" t="n">
        <v>1.246</v>
      </c>
      <c r="K427" t="inlineStr">
        <is>
          <t>CTL</t>
        </is>
      </c>
    </row>
    <row r="428" hidden="1" s="584">
      <c r="A428" t="n">
        <v>3598957</v>
      </c>
      <c r="B428" t="inlineStr">
        <is>
          <t>TUB-O-N-AUT-AW-FC-28.58X1.600X0.4140</t>
        </is>
      </c>
      <c r="C428" t="n">
        <v>1.194</v>
      </c>
      <c r="D428" t="n">
        <v>789</v>
      </c>
      <c r="E428" t="inlineStr">
        <is>
          <t>ELKAYEM AUTO ANCILLARIES PRIVATE LI</t>
        </is>
      </c>
      <c r="F428" t="n">
        <v>344</v>
      </c>
      <c r="G428" t="inlineStr">
        <is>
          <t>TVS</t>
        </is>
      </c>
      <c r="H428" t="inlineStr">
        <is>
          <t>28.58-0-1.6-ERW 1-FC</t>
        </is>
      </c>
      <c r="I428" t="inlineStr">
        <is>
          <t>28.58-0-1.6-ERW 1-FC-0.414</t>
        </is>
      </c>
      <c r="J428" t="n">
        <v>0.414</v>
      </c>
      <c r="K428" t="inlineStr">
        <is>
          <t>CTL</t>
        </is>
      </c>
    </row>
    <row r="429" hidden="1" s="584">
      <c r="A429" t="n">
        <v>3598957</v>
      </c>
      <c r="B429" t="inlineStr">
        <is>
          <t>TUB-O-N-AUT-AW-FC-28.58X1.600X0.4140</t>
        </is>
      </c>
      <c r="C429" t="n">
        <v>0.007887999999999999</v>
      </c>
      <c r="D429" t="n">
        <v>789</v>
      </c>
      <c r="E429" t="inlineStr">
        <is>
          <t>ELKAYEM AUTO ANCILLARIES PRIVATE LI</t>
        </is>
      </c>
      <c r="F429" t="n">
        <v>345</v>
      </c>
      <c r="G429" t="inlineStr">
        <is>
          <t>TVS</t>
        </is>
      </c>
      <c r="H429" t="inlineStr">
        <is>
          <t>28.58-0-1.6-ERW 1-FC</t>
        </is>
      </c>
      <c r="I429" t="inlineStr">
        <is>
          <t>28.58-0-1.6-ERW 1-FC-0.414</t>
        </is>
      </c>
      <c r="J429" t="n">
        <v>0.414</v>
      </c>
      <c r="K429" t="inlineStr">
        <is>
          <t>CTL</t>
        </is>
      </c>
    </row>
    <row r="430" hidden="1" s="584">
      <c r="A430" t="n">
        <v>3598957</v>
      </c>
      <c r="B430" t="inlineStr">
        <is>
          <t>TUB-O-N-AUT-AW-FC-28.58X1.600X0.4140</t>
        </is>
      </c>
      <c r="C430" t="n">
        <v>1.083468</v>
      </c>
      <c r="D430" t="n">
        <v>4731</v>
      </c>
      <c r="E430" t="inlineStr">
        <is>
          <t>ELKAYEM AUTO ANCILLARIES PRIVATE LI</t>
        </is>
      </c>
      <c r="F430" t="n">
        <v>1695</v>
      </c>
      <c r="G430" t="inlineStr">
        <is>
          <t>TVS</t>
        </is>
      </c>
      <c r="H430" t="inlineStr">
        <is>
          <t>28.58-0-1.6-ERW 1-FC</t>
        </is>
      </c>
      <c r="I430" t="inlineStr">
        <is>
          <t>28.58-0-1.6-ERW 1-FC-0.414</t>
        </is>
      </c>
      <c r="J430" t="n">
        <v>0.414</v>
      </c>
      <c r="K430" t="inlineStr">
        <is>
          <t>CTL</t>
        </is>
      </c>
    </row>
    <row r="431" hidden="1" s="584">
      <c r="A431" t="n">
        <v>3572039</v>
      </c>
      <c r="B431" t="inlineStr">
        <is>
          <t>TUB-S-AW-AUT-19.00X19.00X1.000X1.3040</t>
        </is>
      </c>
      <c r="C431" t="n">
        <v>0.003376</v>
      </c>
      <c r="D431" t="n">
        <v>789</v>
      </c>
      <c r="E431" t="inlineStr">
        <is>
          <t>Sri Balaji Gears</t>
        </is>
      </c>
      <c r="F431" t="n">
        <v>1084</v>
      </c>
      <c r="G431" t="inlineStr">
        <is>
          <t>TVS</t>
        </is>
      </c>
      <c r="H431" t="inlineStr">
        <is>
          <t>19-19-1-CRFH-PE</t>
        </is>
      </c>
      <c r="I431" t="inlineStr">
        <is>
          <t>19-19-1-CRFH-PE-1.304</t>
        </is>
      </c>
      <c r="J431" t="n">
        <v>1.304</v>
      </c>
      <c r="K431" t="inlineStr">
        <is>
          <t>CTL</t>
        </is>
      </c>
    </row>
    <row r="432" hidden="1" s="584">
      <c r="A432" t="n">
        <v>3572039</v>
      </c>
      <c r="B432" t="inlineStr">
        <is>
          <t>TUB-S-AW-AUT-19.00X19.00X1.000X1.3040</t>
        </is>
      </c>
      <c r="C432" t="n">
        <v>0.648</v>
      </c>
      <c r="D432" t="n">
        <v>789</v>
      </c>
      <c r="E432" t="inlineStr">
        <is>
          <t>Sri Balaji Gears</t>
        </is>
      </c>
      <c r="F432" t="n">
        <v>1085</v>
      </c>
      <c r="G432" t="inlineStr">
        <is>
          <t>TVS</t>
        </is>
      </c>
      <c r="H432" t="inlineStr">
        <is>
          <t>19-19-1-CRFH-PE</t>
        </is>
      </c>
      <c r="I432" t="inlineStr">
        <is>
          <t>19-19-1-CRFH-PE-1.304</t>
        </is>
      </c>
      <c r="J432" t="n">
        <v>1.304</v>
      </c>
      <c r="K432" t="inlineStr">
        <is>
          <t>CTL</t>
        </is>
      </c>
    </row>
    <row r="433" hidden="1" s="584">
      <c r="A433" t="n">
        <v>3572039</v>
      </c>
      <c r="B433" t="inlineStr">
        <is>
          <t>TUB-S-AW-AUT-19.00X19.00X1.000X1.3040</t>
        </is>
      </c>
      <c r="C433" t="n">
        <v>0.132712</v>
      </c>
      <c r="D433" t="n">
        <v>789</v>
      </c>
      <c r="E433" t="inlineStr">
        <is>
          <t>Sri Balaji Gears</t>
        </is>
      </c>
      <c r="F433" t="n">
        <v>1086</v>
      </c>
      <c r="G433" t="inlineStr">
        <is>
          <t>TVS</t>
        </is>
      </c>
      <c r="H433" t="inlineStr">
        <is>
          <t>19-19-1-CRFH-PE</t>
        </is>
      </c>
      <c r="I433" t="inlineStr">
        <is>
          <t>19-19-1-CRFH-PE-1.304</t>
        </is>
      </c>
      <c r="J433" t="n">
        <v>1.304</v>
      </c>
      <c r="K433" t="inlineStr">
        <is>
          <t>CTL</t>
        </is>
      </c>
    </row>
    <row r="434" hidden="1" s="584">
      <c r="A434" t="n">
        <v>3673012</v>
      </c>
      <c r="B434" t="inlineStr">
        <is>
          <t>TUB-O-N-AUT-AW-PE-22.23X1.600X0.9490</t>
        </is>
      </c>
      <c r="C434" t="n">
        <v>0.235425</v>
      </c>
      <c r="D434" t="n">
        <v>789</v>
      </c>
      <c r="E434" t="inlineStr">
        <is>
          <t>SRIKAM HITECH ENGINEERING PRIVATE L</t>
        </is>
      </c>
      <c r="F434" t="n">
        <v>353</v>
      </c>
      <c r="G434" t="inlineStr">
        <is>
          <t>TVS</t>
        </is>
      </c>
      <c r="H434" t="inlineStr">
        <is>
          <t>22.23-0-1.6-ERW 1-PE</t>
        </is>
      </c>
      <c r="I434" t="inlineStr">
        <is>
          <t>22.23-0-1.6-ERW 1-PE-0.949</t>
        </is>
      </c>
      <c r="J434" t="n">
        <v>0.949</v>
      </c>
      <c r="K434" t="inlineStr">
        <is>
          <t>CTL</t>
        </is>
      </c>
    </row>
    <row r="435" hidden="1" s="584">
      <c r="A435" t="n">
        <v>3775636</v>
      </c>
      <c r="B435" t="inlineStr">
        <is>
          <t>TUB-O-O-AUT-AW-FC-25.40X2.500X0.7830</t>
        </is>
      </c>
      <c r="C435" t="n">
        <v>0.0881</v>
      </c>
      <c r="D435" t="n">
        <v>789</v>
      </c>
      <c r="E435" t="inlineStr">
        <is>
          <t>Sandhar EngineeringPvt.Ltd.(KA)-Uni</t>
        </is>
      </c>
      <c r="F435" t="n">
        <v>354</v>
      </c>
      <c r="G435" t="inlineStr">
        <is>
          <t>TVS</t>
        </is>
      </c>
      <c r="H435" t="inlineStr">
        <is>
          <t>25.4-0-2.5-ERW 1-FC</t>
        </is>
      </c>
      <c r="I435" t="inlineStr">
        <is>
          <t>25.4-0-2.5-ERW 1-FC-0.783</t>
        </is>
      </c>
      <c r="J435" t="n">
        <v>0.783</v>
      </c>
      <c r="K435" t="inlineStr">
        <is>
          <t>CTL</t>
        </is>
      </c>
    </row>
    <row r="436" hidden="1" s="584">
      <c r="A436" t="n">
        <v>3775636</v>
      </c>
      <c r="B436" t="inlineStr">
        <is>
          <t>TUB-O-O-AUT-AW-FC-25.40X2.500X0.7830</t>
        </is>
      </c>
      <c r="C436" t="n">
        <v>0.269657</v>
      </c>
      <c r="D436" t="n">
        <v>789</v>
      </c>
      <c r="E436" t="inlineStr">
        <is>
          <t>Sandhar EngineeringPvt.Ltd.(KA)-Uni</t>
        </is>
      </c>
      <c r="F436" t="n">
        <v>355</v>
      </c>
      <c r="G436" t="inlineStr">
        <is>
          <t>TVS</t>
        </is>
      </c>
      <c r="H436" t="inlineStr">
        <is>
          <t>25.4-0-2.5-ERW 1-FC</t>
        </is>
      </c>
      <c r="I436" t="inlineStr">
        <is>
          <t>25.4-0-2.5-ERW 1-FC-0.783</t>
        </is>
      </c>
      <c r="J436" t="n">
        <v>0.783</v>
      </c>
      <c r="K436" t="inlineStr">
        <is>
          <t>CTL</t>
        </is>
      </c>
    </row>
    <row r="437" hidden="1" s="584">
      <c r="A437" t="n">
        <v>3775636</v>
      </c>
      <c r="B437" t="inlineStr">
        <is>
          <t>TUB-O-O-AUT-AW-FC-25.40X2.500X0.7830</t>
        </is>
      </c>
      <c r="C437" t="n">
        <v>2.433</v>
      </c>
      <c r="D437" t="n">
        <v>789</v>
      </c>
      <c r="E437" t="inlineStr">
        <is>
          <t>Sandhar EngineeringPvt.Ltd.(KA)-Uni</t>
        </is>
      </c>
      <c r="F437" t="n">
        <v>481</v>
      </c>
      <c r="G437" t="inlineStr">
        <is>
          <t>TVS</t>
        </is>
      </c>
      <c r="H437" t="inlineStr">
        <is>
          <t>25.4-0-2.5-ERW 1-FC</t>
        </is>
      </c>
      <c r="I437" t="inlineStr">
        <is>
          <t>25.4-0-2.5-ERW 1-FC-0.783</t>
        </is>
      </c>
      <c r="J437" t="n">
        <v>0.783</v>
      </c>
      <c r="K437" t="inlineStr">
        <is>
          <t>CTL</t>
        </is>
      </c>
    </row>
    <row r="438" hidden="1" s="584">
      <c r="A438" t="n">
        <v>3775636</v>
      </c>
      <c r="B438" t="inlineStr">
        <is>
          <t>TUB-O-O-AUT-AW-FC-25.40X2.500X0.7830</t>
        </is>
      </c>
      <c r="C438" t="n">
        <v>0.619</v>
      </c>
      <c r="D438" t="n">
        <v>789</v>
      </c>
      <c r="E438" t="inlineStr">
        <is>
          <t>Sandhar EngineeringPvt.Ltd.(KA)-Uni</t>
        </is>
      </c>
      <c r="F438" t="n">
        <v>482</v>
      </c>
      <c r="G438" t="inlineStr">
        <is>
          <t>TVS</t>
        </is>
      </c>
      <c r="H438" t="inlineStr">
        <is>
          <t>25.4-0-2.5-ERW 1-FC</t>
        </is>
      </c>
      <c r="I438" t="inlineStr">
        <is>
          <t>25.4-0-2.5-ERW 1-FC-0.783</t>
        </is>
      </c>
      <c r="J438" t="n">
        <v>0.783</v>
      </c>
      <c r="K438" t="inlineStr">
        <is>
          <t>CTL</t>
        </is>
      </c>
    </row>
    <row r="439" hidden="1" s="584">
      <c r="A439" t="n">
        <v>3775636</v>
      </c>
      <c r="B439" t="inlineStr">
        <is>
          <t>TUB-O-O-AUT-AW-FC-25.40X2.500X0.7830</t>
        </is>
      </c>
      <c r="C439" t="n">
        <v>1.327</v>
      </c>
      <c r="D439" t="n">
        <v>789</v>
      </c>
      <c r="E439" t="inlineStr">
        <is>
          <t>Sandhar EngineeringPvt.Ltd.(KA)-Uni</t>
        </is>
      </c>
      <c r="F439" t="n">
        <v>483</v>
      </c>
      <c r="G439" t="inlineStr">
        <is>
          <t>TVS</t>
        </is>
      </c>
      <c r="H439" t="inlineStr">
        <is>
          <t>25.4-0-2.5-ERW 1-FC</t>
        </is>
      </c>
      <c r="I439" t="inlineStr">
        <is>
          <t>25.4-0-2.5-ERW 1-FC-0.783</t>
        </is>
      </c>
      <c r="J439" t="n">
        <v>0.783</v>
      </c>
      <c r="K439" t="inlineStr">
        <is>
          <t>CTL</t>
        </is>
      </c>
    </row>
    <row r="440" hidden="1" s="584">
      <c r="A440" t="n">
        <v>3775636</v>
      </c>
      <c r="B440" t="inlineStr">
        <is>
          <t>TUB-O-O-AUT-AW-FC-25.40X2.500X0.7830</t>
        </is>
      </c>
      <c r="C440" t="n">
        <v>0.525</v>
      </c>
      <c r="D440" t="n">
        <v>789</v>
      </c>
      <c r="E440" t="inlineStr">
        <is>
          <t>Sandhar EngineeringPvt.Ltd.(KA)-Uni</t>
        </is>
      </c>
      <c r="F440" t="n">
        <v>484</v>
      </c>
      <c r="G440" t="inlineStr">
        <is>
          <t>TVS</t>
        </is>
      </c>
      <c r="H440" t="inlineStr">
        <is>
          <t>25.4-0-2.5-ERW 1-FC</t>
        </is>
      </c>
      <c r="I440" t="inlineStr">
        <is>
          <t>25.4-0-2.5-ERW 1-FC-0.783</t>
        </is>
      </c>
      <c r="J440" t="n">
        <v>0.783</v>
      </c>
      <c r="K440" t="inlineStr">
        <is>
          <t>CTL</t>
        </is>
      </c>
    </row>
    <row r="441" hidden="1" s="584">
      <c r="A441" t="n">
        <v>3775636</v>
      </c>
      <c r="B441" t="inlineStr">
        <is>
          <t>TUB-O-O-AUT-AW-FC-25.40X2.500X0.7830</t>
        </is>
      </c>
      <c r="C441" t="n">
        <v>1.15</v>
      </c>
      <c r="D441" t="n">
        <v>789</v>
      </c>
      <c r="E441" t="inlineStr">
        <is>
          <t>Sandhar EngineeringPvt.Ltd.(KA)-Uni</t>
        </is>
      </c>
      <c r="F441" t="n">
        <v>485</v>
      </c>
      <c r="G441" t="inlineStr">
        <is>
          <t>TVS</t>
        </is>
      </c>
      <c r="H441" t="inlineStr">
        <is>
          <t>25.4-0-2.5-ERW 1-FC</t>
        </is>
      </c>
      <c r="I441" t="inlineStr">
        <is>
          <t>25.4-0-2.5-ERW 1-FC-0.783</t>
        </is>
      </c>
      <c r="J441" t="n">
        <v>0.783</v>
      </c>
      <c r="K441" t="inlineStr">
        <is>
          <t>CTL</t>
        </is>
      </c>
    </row>
    <row r="442" hidden="1" s="584">
      <c r="A442" t="n">
        <v>3775636</v>
      </c>
      <c r="B442" t="inlineStr">
        <is>
          <t>TUB-O-O-AUT-AW-FC-25.40X2.500X0.7830</t>
        </is>
      </c>
      <c r="C442" t="n">
        <v>1.959</v>
      </c>
      <c r="D442" t="n">
        <v>789</v>
      </c>
      <c r="E442" t="inlineStr">
        <is>
          <t>Sandhar EngineeringPvt.Ltd.(KA)-Uni</t>
        </is>
      </c>
      <c r="F442" t="n">
        <v>486</v>
      </c>
      <c r="G442" t="inlineStr">
        <is>
          <t>TVS</t>
        </is>
      </c>
      <c r="H442" t="inlineStr">
        <is>
          <t>25.4-0-2.5-ERW 1-FC</t>
        </is>
      </c>
      <c r="I442" t="inlineStr">
        <is>
          <t>25.4-0-2.5-ERW 1-FC-0.783</t>
        </is>
      </c>
      <c r="J442" t="n">
        <v>0.783</v>
      </c>
      <c r="K442" t="inlineStr">
        <is>
          <t>CTL</t>
        </is>
      </c>
    </row>
    <row r="443" hidden="1" s="584">
      <c r="A443" t="n">
        <v>3775636</v>
      </c>
      <c r="B443" t="inlineStr">
        <is>
          <t>TUB-O-O-AUT-AW-FC-25.40X2.500X0.7830</t>
        </is>
      </c>
      <c r="C443" t="n">
        <v>0.746</v>
      </c>
      <c r="D443" t="n">
        <v>789</v>
      </c>
      <c r="E443" t="inlineStr">
        <is>
          <t>Sandhar EngineeringPvt.Ltd.(KA)-Uni</t>
        </is>
      </c>
      <c r="F443" t="n">
        <v>487</v>
      </c>
      <c r="G443" t="inlineStr">
        <is>
          <t>TVS</t>
        </is>
      </c>
      <c r="H443" t="inlineStr">
        <is>
          <t>25.4-0-2.5-ERW 1-FC</t>
        </is>
      </c>
      <c r="I443" t="inlineStr">
        <is>
          <t>25.4-0-2.5-ERW 1-FC-0.783</t>
        </is>
      </c>
      <c r="J443" t="n">
        <v>0.783</v>
      </c>
      <c r="K443" t="inlineStr">
        <is>
          <t>CTL</t>
        </is>
      </c>
    </row>
    <row r="444" hidden="1" s="584">
      <c r="A444" t="n">
        <v>3775636</v>
      </c>
      <c r="B444" t="inlineStr">
        <is>
          <t>TUB-O-O-AUT-AW-FC-25.40X2.500X0.7830</t>
        </is>
      </c>
      <c r="C444" t="n">
        <v>0.051239</v>
      </c>
      <c r="D444" t="n">
        <v>4731</v>
      </c>
      <c r="E444" t="inlineStr">
        <is>
          <t>Sandhar EngineeringPvt.Ltd.(KA)-Uni</t>
        </is>
      </c>
      <c r="F444" t="n">
        <v>1826</v>
      </c>
      <c r="G444" t="inlineStr">
        <is>
          <t>TVS</t>
        </is>
      </c>
      <c r="H444" t="inlineStr">
        <is>
          <t>25.4-0-2.5-ERW 1-FC</t>
        </is>
      </c>
      <c r="I444" t="inlineStr">
        <is>
          <t>25.4-0-2.5-ERW 1-FC-0.783</t>
        </is>
      </c>
      <c r="J444" t="n">
        <v>0.783</v>
      </c>
      <c r="K444" t="inlineStr">
        <is>
          <t>CTL</t>
        </is>
      </c>
    </row>
    <row r="445" hidden="1" s="584">
      <c r="A445" t="n">
        <v>3910020</v>
      </c>
      <c r="B445" t="inlineStr">
        <is>
          <t>CUT-O-N-AUT-AW-FC-22.23X2.000X0.7150</t>
        </is>
      </c>
      <c r="C445" t="n">
        <v>0.001606</v>
      </c>
      <c r="D445" t="n">
        <v>789</v>
      </c>
      <c r="E445" t="inlineStr">
        <is>
          <t>ELKAYEM AUTO ANCILLARIES PVT LTD -U</t>
        </is>
      </c>
      <c r="F445" t="n">
        <v>366</v>
      </c>
      <c r="G445" t="inlineStr">
        <is>
          <t>TVS</t>
        </is>
      </c>
      <c r="H445" t="inlineStr">
        <is>
          <t>22.23-0-2-ERW 1-FC</t>
        </is>
      </c>
      <c r="I445" t="inlineStr">
        <is>
          <t>22.23-0-2-ERW 1-FC-0.715</t>
        </is>
      </c>
      <c r="J445" t="n">
        <v>0.715</v>
      </c>
      <c r="K445" t="inlineStr">
        <is>
          <t>CTL</t>
        </is>
      </c>
    </row>
    <row r="446" hidden="1" s="584">
      <c r="A446" t="n">
        <v>3910020</v>
      </c>
      <c r="B446" t="inlineStr">
        <is>
          <t>CUT-O-N-AUT-AW-FC-22.23X2.000X0.7150</t>
        </is>
      </c>
      <c r="C446" t="n">
        <v>0.5</v>
      </c>
      <c r="D446" t="n">
        <v>789</v>
      </c>
      <c r="E446" t="inlineStr">
        <is>
          <t>ELKAYEM AUTO ANCILLARIES PVT LTD -U</t>
        </is>
      </c>
      <c r="F446" t="n">
        <v>367</v>
      </c>
      <c r="G446" t="inlineStr">
        <is>
          <t>TVS</t>
        </is>
      </c>
      <c r="H446" t="inlineStr">
        <is>
          <t>22.23-0-2-ERW 1-FC</t>
        </is>
      </c>
      <c r="I446" t="inlineStr">
        <is>
          <t>22.23-0-2-ERW 1-FC-0.715</t>
        </is>
      </c>
      <c r="J446" t="n">
        <v>0.715</v>
      </c>
      <c r="K446" t="inlineStr">
        <is>
          <t>CTL</t>
        </is>
      </c>
    </row>
    <row r="447" hidden="1" s="584">
      <c r="A447" t="n">
        <v>3910020</v>
      </c>
      <c r="B447" t="inlineStr">
        <is>
          <t>CUT-O-N-AUT-AW-FC-22.23X2.000X0.7150</t>
        </is>
      </c>
      <c r="C447" t="n">
        <v>1.056</v>
      </c>
      <c r="D447" t="n">
        <v>789</v>
      </c>
      <c r="E447" t="inlineStr">
        <is>
          <t>ELKAYEM AUTO ANCILLARIES PVT LTD -U</t>
        </is>
      </c>
      <c r="F447" t="n">
        <v>368</v>
      </c>
      <c r="G447" t="inlineStr">
        <is>
          <t>TVS</t>
        </is>
      </c>
      <c r="H447" t="inlineStr">
        <is>
          <t>22.23-0-2-ERW 1-FC</t>
        </is>
      </c>
      <c r="I447" t="inlineStr">
        <is>
          <t>22.23-0-2-ERW 1-FC-0.715</t>
        </is>
      </c>
      <c r="J447" t="n">
        <v>0.715</v>
      </c>
      <c r="K447" t="inlineStr">
        <is>
          <t>CTL</t>
        </is>
      </c>
    </row>
    <row r="448" hidden="1" s="584">
      <c r="A448" t="n">
        <v>3910020</v>
      </c>
      <c r="B448" t="inlineStr">
        <is>
          <t>CUT-O-N-AUT-AW-FC-22.23X2.000X0.7150</t>
        </is>
      </c>
      <c r="C448" t="n">
        <v>1.816</v>
      </c>
      <c r="D448" t="n">
        <v>789</v>
      </c>
      <c r="E448" t="inlineStr">
        <is>
          <t>ELKAYEM AUTO ANCILLARIES PVT LTD -U</t>
        </is>
      </c>
      <c r="F448" t="n">
        <v>369</v>
      </c>
      <c r="G448" t="inlineStr">
        <is>
          <t>TVS</t>
        </is>
      </c>
      <c r="H448" t="inlineStr">
        <is>
          <t>22.23-0-2-ERW 1-FC</t>
        </is>
      </c>
      <c r="I448" t="inlineStr">
        <is>
          <t>22.23-0-2-ERW 1-FC-0.715</t>
        </is>
      </c>
      <c r="J448" t="n">
        <v>0.715</v>
      </c>
      <c r="K448" t="inlineStr">
        <is>
          <t>CTL</t>
        </is>
      </c>
    </row>
    <row r="449" hidden="1" s="584">
      <c r="A449" t="n">
        <v>3910020</v>
      </c>
      <c r="B449" t="inlineStr">
        <is>
          <t>CUT-O-N-AUT-AW-FC-22.23X2.000X0.7150</t>
        </is>
      </c>
      <c r="C449" t="n">
        <v>0.871</v>
      </c>
      <c r="D449" t="n">
        <v>789</v>
      </c>
      <c r="E449" t="inlineStr">
        <is>
          <t>ELKAYEM AUTO ANCILLARIES PVT LTD -U</t>
        </is>
      </c>
      <c r="F449" t="n">
        <v>370</v>
      </c>
      <c r="G449" t="inlineStr">
        <is>
          <t>TVS</t>
        </is>
      </c>
      <c r="H449" t="inlineStr">
        <is>
          <t>22.23-0-2-ERW 1-FC</t>
        </is>
      </c>
      <c r="I449" t="inlineStr">
        <is>
          <t>22.23-0-2-ERW 1-FC-0.715</t>
        </is>
      </c>
      <c r="J449" t="n">
        <v>0.715</v>
      </c>
      <c r="K449" t="inlineStr">
        <is>
          <t>CTL</t>
        </is>
      </c>
    </row>
    <row r="450" hidden="1" s="584">
      <c r="A450" t="n">
        <v>3910020</v>
      </c>
      <c r="B450" t="inlineStr">
        <is>
          <t>CUT-O-N-AUT-AW-FC-22.23X2.000X0.7150</t>
        </is>
      </c>
      <c r="C450" t="n">
        <v>0.079</v>
      </c>
      <c r="D450" t="n">
        <v>789</v>
      </c>
      <c r="E450" t="inlineStr">
        <is>
          <t>ELKAYEM AUTO ANCILLARIES PVT LTD -U</t>
        </is>
      </c>
      <c r="F450" t="n">
        <v>371</v>
      </c>
      <c r="G450" t="inlineStr">
        <is>
          <t>TVS</t>
        </is>
      </c>
      <c r="H450" t="inlineStr">
        <is>
          <t>22.23-0-2-ERW 1-FC</t>
        </is>
      </c>
      <c r="I450" t="inlineStr">
        <is>
          <t>22.23-0-2-ERW 1-FC-0.715</t>
        </is>
      </c>
      <c r="J450" t="n">
        <v>0.715</v>
      </c>
      <c r="K450" t="inlineStr">
        <is>
          <t>CTL</t>
        </is>
      </c>
    </row>
    <row r="451" hidden="1" s="584">
      <c r="A451" t="n">
        <v>1940146</v>
      </c>
      <c r="B451" t="inlineStr">
        <is>
          <t>TUB-S-FH-SHS-19.00X19.00X1.000X6.0000</t>
        </is>
      </c>
      <c r="C451" t="n">
        <v>0.248808</v>
      </c>
      <c r="D451" t="n">
        <v>789</v>
      </c>
      <c r="E451" t="inlineStr">
        <is>
          <t>Marathwada Auto Compo Pvt. Ltd.</t>
        </is>
      </c>
      <c r="F451" t="n">
        <v>1201</v>
      </c>
      <c r="G451" t="inlineStr">
        <is>
          <t>TVS</t>
        </is>
      </c>
      <c r="H451" t="inlineStr">
        <is>
          <t>19-19-1-CRFH-PE</t>
        </is>
      </c>
      <c r="I451" t="inlineStr">
        <is>
          <t>19-19-1-CRFH-PE-1</t>
        </is>
      </c>
      <c r="J451" t="n">
        <v>6</v>
      </c>
      <c r="K451" t="inlineStr">
        <is>
          <t>LL</t>
        </is>
      </c>
    </row>
    <row r="452" hidden="1" s="584">
      <c r="A452" t="n">
        <v>3910648</v>
      </c>
      <c r="B452" t="inlineStr">
        <is>
          <t>CUT-O-N-AUT-AW-FC-41.28X2.600X0.8500</t>
        </is>
      </c>
      <c r="C452" t="n">
        <v>0.886</v>
      </c>
      <c r="D452" t="n">
        <v>789</v>
      </c>
      <c r="E452" t="inlineStr">
        <is>
          <t>Sandhar EngineeringPvt.Ltd.(KA)-Uni</t>
        </is>
      </c>
      <c r="F452" t="n">
        <v>372</v>
      </c>
      <c r="G452" t="inlineStr">
        <is>
          <t>TVS</t>
        </is>
      </c>
      <c r="H452" t="inlineStr">
        <is>
          <t>41.28-0-2.6-ERW 1-FC</t>
        </is>
      </c>
      <c r="I452" t="inlineStr">
        <is>
          <t>41.28-0-2.6-ERW 1-FC-0.85</t>
        </is>
      </c>
      <c r="J452" t="n">
        <v>0.85</v>
      </c>
      <c r="K452" t="inlineStr">
        <is>
          <t>CTL</t>
        </is>
      </c>
    </row>
    <row r="453" hidden="1" s="584">
      <c r="A453" t="n">
        <v>3910648</v>
      </c>
      <c r="B453" t="inlineStr">
        <is>
          <t>CUT-O-N-AUT-AW-FC-41.28X2.600X0.8500</t>
        </is>
      </c>
      <c r="C453" t="n">
        <v>0.06865500000000001</v>
      </c>
      <c r="D453" t="n">
        <v>4731</v>
      </c>
      <c r="E453" t="inlineStr">
        <is>
          <t>Sandhar EngineeringPvt.Ltd.(KA)-Uni</t>
        </is>
      </c>
      <c r="F453" t="n">
        <v>1880</v>
      </c>
      <c r="G453" t="inlineStr">
        <is>
          <t>TVS</t>
        </is>
      </c>
      <c r="H453" t="inlineStr">
        <is>
          <t>41.28-0-2.6-ERW 1-FC</t>
        </is>
      </c>
      <c r="I453" t="inlineStr">
        <is>
          <t>41.28-0-2.6-ERW 1-FC-0.85</t>
        </is>
      </c>
      <c r="J453" t="n">
        <v>0.85</v>
      </c>
      <c r="K453" t="inlineStr">
        <is>
          <t>CTL</t>
        </is>
      </c>
    </row>
    <row r="454" hidden="1" s="584">
      <c r="A454" t="n">
        <v>3910648</v>
      </c>
      <c r="B454" t="inlineStr">
        <is>
          <t>CUT-O-N-AUT-AW-FC-41.28X2.600X0.8500</t>
        </is>
      </c>
      <c r="C454" t="n">
        <v>0.532512</v>
      </c>
      <c r="D454" t="n">
        <v>4731</v>
      </c>
      <c r="E454" t="inlineStr">
        <is>
          <t>Sandhar EngineeringPvt.Ltd.(KA)-Uni</t>
        </is>
      </c>
      <c r="F454" t="n">
        <v>1881</v>
      </c>
      <c r="G454" t="inlineStr">
        <is>
          <t>TVS</t>
        </is>
      </c>
      <c r="H454" t="inlineStr">
        <is>
          <t>41.28-0-2.6-ERW 1-FC</t>
        </is>
      </c>
      <c r="I454" t="inlineStr">
        <is>
          <t>41.28-0-2.6-ERW 1-FC-0.85</t>
        </is>
      </c>
      <c r="J454" t="n">
        <v>0.85</v>
      </c>
      <c r="K454" t="inlineStr">
        <is>
          <t>CTL</t>
        </is>
      </c>
    </row>
    <row r="455" hidden="1" s="584">
      <c r="A455" t="n">
        <v>3910648</v>
      </c>
      <c r="B455" t="inlineStr">
        <is>
          <t>CUT-O-N-AUT-AW-FC-41.28X2.600X0.8500</t>
        </is>
      </c>
      <c r="C455" t="n">
        <v>2.479126</v>
      </c>
      <c r="D455" t="n">
        <v>4731</v>
      </c>
      <c r="E455" t="inlineStr">
        <is>
          <t>Sandhar EngineeringPvt.Ltd.(KA)-Uni</t>
        </is>
      </c>
      <c r="F455" t="n">
        <v>1882</v>
      </c>
      <c r="G455" t="inlineStr">
        <is>
          <t>TVS</t>
        </is>
      </c>
      <c r="H455" t="inlineStr">
        <is>
          <t>41.28-0-2.6-ERW 1-FC</t>
        </is>
      </c>
      <c r="I455" t="inlineStr">
        <is>
          <t>41.28-0-2.6-ERW 1-FC-0.85</t>
        </is>
      </c>
      <c r="J455" t="n">
        <v>0.85</v>
      </c>
      <c r="K455" t="inlineStr">
        <is>
          <t>CTL</t>
        </is>
      </c>
    </row>
    <row r="456" hidden="1" s="584">
      <c r="A456" t="n">
        <v>3910648</v>
      </c>
      <c r="B456" t="inlineStr">
        <is>
          <t>CUT-O-N-AUT-AW-FC-41.28X2.600X0.8500</t>
        </is>
      </c>
      <c r="C456" t="n">
        <v>0.783513</v>
      </c>
      <c r="D456" t="n">
        <v>4731</v>
      </c>
      <c r="E456" t="inlineStr">
        <is>
          <t>Sandhar EngineeringPvt.Ltd.(KA)-Uni</t>
        </is>
      </c>
      <c r="F456" t="n">
        <v>1883</v>
      </c>
      <c r="G456" t="inlineStr">
        <is>
          <t>TVS</t>
        </is>
      </c>
      <c r="H456" t="inlineStr">
        <is>
          <t>41.28-0-2.6-ERW 1-FC</t>
        </is>
      </c>
      <c r="I456" t="inlineStr">
        <is>
          <t>41.28-0-2.6-ERW 1-FC-0.85</t>
        </is>
      </c>
      <c r="J456" t="n">
        <v>0.85</v>
      </c>
      <c r="K456" t="inlineStr">
        <is>
          <t>CTL</t>
        </is>
      </c>
    </row>
    <row r="457" hidden="1" s="584">
      <c r="A457" t="n">
        <v>3910648</v>
      </c>
      <c r="B457" t="inlineStr">
        <is>
          <t>CUT-O-N-AUT-AW-FC-41.28X2.600X0.8500</t>
        </is>
      </c>
      <c r="C457" t="n">
        <v>0.099984</v>
      </c>
      <c r="D457" t="n">
        <v>4731</v>
      </c>
      <c r="E457" t="inlineStr">
        <is>
          <t>Sandhar EngineeringPvt.Ltd.(KA)-Uni</t>
        </is>
      </c>
      <c r="F457" t="n">
        <v>1884</v>
      </c>
      <c r="G457" t="inlineStr">
        <is>
          <t>TVS</t>
        </is>
      </c>
      <c r="H457" t="inlineStr">
        <is>
          <t>41.28-0-2.6-ERW 1-FC</t>
        </is>
      </c>
      <c r="I457" t="inlineStr">
        <is>
          <t>41.28-0-2.6-ERW 1-FC-0.85</t>
        </is>
      </c>
      <c r="J457" t="n">
        <v>0.85</v>
      </c>
      <c r="K457" t="inlineStr">
        <is>
          <t>CTL</t>
        </is>
      </c>
    </row>
    <row r="458" hidden="1" s="584">
      <c r="A458" t="n">
        <v>3910648</v>
      </c>
      <c r="B458" t="inlineStr">
        <is>
          <t>CUT-O-N-AUT-AW-FC-41.28X2.600X0.8500</t>
        </is>
      </c>
      <c r="C458" t="n">
        <v>4.255850000000001</v>
      </c>
      <c r="D458" t="n">
        <v>8406</v>
      </c>
      <c r="E458" t="inlineStr">
        <is>
          <t>Sandhar EngineeringPvt.Ltd.(KA)-Uni</t>
        </is>
      </c>
      <c r="F458" t="n">
        <v>1885</v>
      </c>
      <c r="G458" t="inlineStr">
        <is>
          <t>TVS</t>
        </is>
      </c>
      <c r="H458" t="inlineStr">
        <is>
          <t>41.28-0-2.6-ERW 1-FC</t>
        </is>
      </c>
      <c r="I458" t="inlineStr">
        <is>
          <t>41.28-0-2.6-ERW 1-FC-0.85</t>
        </is>
      </c>
      <c r="J458" t="n">
        <v>0.85</v>
      </c>
      <c r="K458" t="inlineStr">
        <is>
          <t>CTL</t>
        </is>
      </c>
    </row>
    <row r="459" hidden="1" s="584">
      <c r="A459" t="n">
        <v>4010435</v>
      </c>
      <c r="B459" t="inlineStr">
        <is>
          <t>TUB-O-N-AUT-AW-FC-41.28X3.200X0.2300</t>
        </is>
      </c>
      <c r="C459" t="n">
        <v>0.040931</v>
      </c>
      <c r="D459" t="n">
        <v>789</v>
      </c>
      <c r="E459" t="inlineStr">
        <is>
          <t>Rajsriya Automotive Industries(P)</t>
        </is>
      </c>
      <c r="F459" t="n">
        <v>378</v>
      </c>
      <c r="G459" t="inlineStr">
        <is>
          <t>TVS</t>
        </is>
      </c>
      <c r="H459" t="inlineStr">
        <is>
          <t>41.28-0-3.2-ERW 1-FC</t>
        </is>
      </c>
      <c r="I459" t="inlineStr">
        <is>
          <t>41.28-0-3.2-ERW 1-FC-0.23</t>
        </is>
      </c>
      <c r="J459" t="n">
        <v>0.23</v>
      </c>
      <c r="K459" t="inlineStr">
        <is>
          <t>CTL</t>
        </is>
      </c>
    </row>
    <row r="460" hidden="1" s="584">
      <c r="A460" t="n">
        <v>4010435</v>
      </c>
      <c r="B460" t="inlineStr">
        <is>
          <t>TUB-O-N-AUT-AW-FC-41.28X3.200X0.2300</t>
        </is>
      </c>
      <c r="C460" t="n">
        <v>0.07013599999999999</v>
      </c>
      <c r="D460" t="n">
        <v>4731</v>
      </c>
      <c r="E460" t="inlineStr">
        <is>
          <t>Rajsriya Automotive Industries(P)</t>
        </is>
      </c>
      <c r="F460" t="n">
        <v>1916</v>
      </c>
      <c r="G460" t="inlineStr">
        <is>
          <t>TVS</t>
        </is>
      </c>
      <c r="H460" t="inlineStr">
        <is>
          <t>41.28-0-3.2-ERW 1-FC</t>
        </is>
      </c>
      <c r="I460" t="inlineStr">
        <is>
          <t>41.28-0-3.2-ERW 1-FC-0.23</t>
        </is>
      </c>
      <c r="J460" t="n">
        <v>0.23</v>
      </c>
      <c r="K460" t="inlineStr">
        <is>
          <t>CTL</t>
        </is>
      </c>
    </row>
    <row r="461" hidden="1" s="584">
      <c r="A461" t="n">
        <v>3605740</v>
      </c>
      <c r="B461" t="inlineStr">
        <is>
          <t>TUB-S-AW-AUT-19.00X19.00X1.010X0.6750</t>
        </is>
      </c>
      <c r="C461" t="n">
        <v>0.257344</v>
      </c>
      <c r="D461" t="n">
        <v>789</v>
      </c>
      <c r="E461" t="inlineStr">
        <is>
          <t>Marathwada Auto Compo Pvt. Ltd.</t>
        </is>
      </c>
      <c r="F461" t="n">
        <v>929</v>
      </c>
      <c r="G461" t="inlineStr">
        <is>
          <t>TVS</t>
        </is>
      </c>
      <c r="H461" t="inlineStr">
        <is>
          <t>19-19-1-CRFH-PE</t>
        </is>
      </c>
      <c r="I461" t="inlineStr">
        <is>
          <t>19-19-1-CRFH-PE-0.675</t>
        </is>
      </c>
      <c r="J461" t="n">
        <v>0.675</v>
      </c>
      <c r="K461" t="inlineStr">
        <is>
          <t>CTL</t>
        </is>
      </c>
    </row>
    <row r="462" hidden="1" s="584">
      <c r="A462" t="n">
        <v>3605739</v>
      </c>
      <c r="B462" t="inlineStr">
        <is>
          <t>TUB-S-AW-AUT-19.00X19.00X1.010X0.8710</t>
        </is>
      </c>
      <c r="C462" t="n">
        <v>0.316</v>
      </c>
      <c r="D462" t="n">
        <v>789</v>
      </c>
      <c r="E462" t="inlineStr">
        <is>
          <t>Marathwada Auto Compo Pvt. Ltd.</t>
        </is>
      </c>
      <c r="F462" t="n">
        <v>787</v>
      </c>
      <c r="G462" t="inlineStr">
        <is>
          <t>TVS</t>
        </is>
      </c>
      <c r="H462" t="inlineStr">
        <is>
          <t>19-19-1-CRFH-PE</t>
        </is>
      </c>
      <c r="I462" t="inlineStr">
        <is>
          <t>19-19-1-CRFH-PE-0.871</t>
        </is>
      </c>
      <c r="J462" t="n">
        <v>0.871</v>
      </c>
      <c r="K462" t="inlineStr">
        <is>
          <t>CTL</t>
        </is>
      </c>
    </row>
    <row r="463" hidden="1" s="584">
      <c r="A463" t="n">
        <v>3605739</v>
      </c>
      <c r="B463" t="inlineStr">
        <is>
          <t>TUB-S-AW-AUT-19.00X19.00X1.010X0.8710</t>
        </is>
      </c>
      <c r="C463" t="n">
        <v>0.219</v>
      </c>
      <c r="D463" t="n">
        <v>789</v>
      </c>
      <c r="E463" t="inlineStr">
        <is>
          <t>Marathwada Auto Compo Pvt. Ltd.</t>
        </is>
      </c>
      <c r="F463" t="n">
        <v>788</v>
      </c>
      <c r="G463" t="inlineStr">
        <is>
          <t>TVS</t>
        </is>
      </c>
      <c r="H463" t="inlineStr">
        <is>
          <t>19-19-1-CRFH-PE</t>
        </is>
      </c>
      <c r="I463" t="inlineStr">
        <is>
          <t>19-19-1-CRFH-PE-0.871</t>
        </is>
      </c>
      <c r="J463" t="n">
        <v>0.871</v>
      </c>
      <c r="K463" t="inlineStr">
        <is>
          <t>CTL</t>
        </is>
      </c>
    </row>
    <row r="464" hidden="1" s="584">
      <c r="A464" t="n">
        <v>1903849</v>
      </c>
      <c r="B464" t="inlineStr">
        <is>
          <t>TUB-O-N-AUT-AW-FC-38.10X2.000X0.4320</t>
        </is>
      </c>
      <c r="C464" t="n">
        <v>0.000767</v>
      </c>
      <c r="D464" t="n">
        <v>789</v>
      </c>
      <c r="E464" t="inlineStr">
        <is>
          <t>SANDHAR ENGINEERING PVT LTD.(KA) -U</t>
        </is>
      </c>
      <c r="F464" t="n">
        <v>409</v>
      </c>
      <c r="G464" t="inlineStr">
        <is>
          <t>TVS</t>
        </is>
      </c>
      <c r="H464" t="inlineStr">
        <is>
          <t>38.1-0-2-ERW 1-FC</t>
        </is>
      </c>
      <c r="I464" t="inlineStr">
        <is>
          <t>38.1-0-2-ERW 1-FC-0.432</t>
        </is>
      </c>
      <c r="J464" t="n">
        <v>0.432</v>
      </c>
      <c r="K464" t="inlineStr">
        <is>
          <t>CTL</t>
        </is>
      </c>
    </row>
    <row r="465" hidden="1" s="584">
      <c r="A465" t="n">
        <v>1903849</v>
      </c>
      <c r="B465" t="inlineStr">
        <is>
          <t>TUB-O-N-AUT-AW-FC-38.10X2.000X0.4320</t>
        </is>
      </c>
      <c r="C465" t="n">
        <v>0.00076</v>
      </c>
      <c r="D465" t="n">
        <v>789</v>
      </c>
      <c r="E465" t="inlineStr">
        <is>
          <t>SANDHAR ENGINEERING PVT LTD.(KA) -U</t>
        </is>
      </c>
      <c r="F465" t="n">
        <v>410</v>
      </c>
      <c r="G465" t="inlineStr">
        <is>
          <t>TVS</t>
        </is>
      </c>
      <c r="H465" t="inlineStr">
        <is>
          <t>38.1-0-2-ERW 1-FC</t>
        </is>
      </c>
      <c r="I465" t="inlineStr">
        <is>
          <t>38.1-0-2-ERW 1-FC-0.432</t>
        </is>
      </c>
      <c r="J465" t="n">
        <v>0.432</v>
      </c>
      <c r="K465" t="inlineStr">
        <is>
          <t>CTL</t>
        </is>
      </c>
    </row>
    <row r="466" hidden="1" s="584">
      <c r="A466" t="n">
        <v>1903849</v>
      </c>
      <c r="B466" t="inlineStr">
        <is>
          <t>TUB-O-N-AUT-AW-FC-38.10X2.000X0.4320</t>
        </is>
      </c>
      <c r="C466" t="n">
        <v>0.308279</v>
      </c>
      <c r="D466" t="n">
        <v>4731</v>
      </c>
      <c r="E466" t="inlineStr">
        <is>
          <t>SANDHAR ENGINEERING PVT LTD.(KA) -U</t>
        </is>
      </c>
      <c r="F466" t="n">
        <v>1293</v>
      </c>
      <c r="G466" t="inlineStr">
        <is>
          <t>TVS</t>
        </is>
      </c>
      <c r="H466" t="inlineStr">
        <is>
          <t>38.1-0-2-ERW 1-FC</t>
        </is>
      </c>
      <c r="I466" t="inlineStr">
        <is>
          <t>38.1-0-2-ERW 1-FC-0.432</t>
        </is>
      </c>
      <c r="J466" t="n">
        <v>0.432</v>
      </c>
      <c r="K466" t="inlineStr">
        <is>
          <t>CTL</t>
        </is>
      </c>
    </row>
    <row r="467" hidden="1" s="584">
      <c r="A467" t="n">
        <v>1938251</v>
      </c>
      <c r="B467" t="inlineStr">
        <is>
          <t>TUB-O-N-AUT-AW-PE-22.23X1.600X0.3940</t>
        </is>
      </c>
      <c r="C467" t="n">
        <v>0.5610000000000001</v>
      </c>
      <c r="D467" t="n">
        <v>789</v>
      </c>
      <c r="E467" t="inlineStr">
        <is>
          <t>Neel Metal Products Limited</t>
        </is>
      </c>
      <c r="F467" t="n">
        <v>413</v>
      </c>
      <c r="G467" t="inlineStr">
        <is>
          <t>TVS</t>
        </is>
      </c>
      <c r="H467" t="inlineStr">
        <is>
          <t>22.23-0-1.6-ERW 1-PE</t>
        </is>
      </c>
      <c r="I467" t="inlineStr">
        <is>
          <t>22.23-0-1.6-ERW 1-PE-0.394</t>
        </is>
      </c>
      <c r="J467" t="n">
        <v>0.394</v>
      </c>
      <c r="K467" t="inlineStr">
        <is>
          <t>CTL</t>
        </is>
      </c>
    </row>
    <row r="468" hidden="1" s="584">
      <c r="A468" t="n">
        <v>1938251</v>
      </c>
      <c r="B468" t="inlineStr">
        <is>
          <t>TUB-O-N-AUT-AW-PE-22.23X1.600X0.3940</t>
        </is>
      </c>
      <c r="C468" t="n">
        <v>0.055147</v>
      </c>
      <c r="D468" t="n">
        <v>789</v>
      </c>
      <c r="E468" t="inlineStr">
        <is>
          <t>Neel Metal Products Limited</t>
        </is>
      </c>
      <c r="F468" t="n">
        <v>750</v>
      </c>
      <c r="G468" t="inlineStr">
        <is>
          <t>TVS</t>
        </is>
      </c>
      <c r="H468" t="inlineStr">
        <is>
          <t>22.23-0-1.6-ERW 1-PE</t>
        </is>
      </c>
      <c r="I468" t="inlineStr">
        <is>
          <t>22.23-0-1.6-ERW 1-PE-0.394</t>
        </is>
      </c>
      <c r="J468" t="n">
        <v>0.394</v>
      </c>
      <c r="K468" t="inlineStr">
        <is>
          <t>CTL</t>
        </is>
      </c>
    </row>
    <row r="469" hidden="1" s="584">
      <c r="A469" t="n">
        <v>1938251</v>
      </c>
      <c r="B469" t="inlineStr">
        <is>
          <t>TUB-O-N-AUT-AW-PE-22.23X1.600X0.3940</t>
        </is>
      </c>
      <c r="C469" t="n">
        <v>0.278</v>
      </c>
      <c r="D469" t="n">
        <v>789</v>
      </c>
      <c r="E469" t="inlineStr">
        <is>
          <t>Neel Metal Products Limited</t>
        </is>
      </c>
      <c r="F469" t="n">
        <v>751</v>
      </c>
      <c r="G469" t="inlineStr">
        <is>
          <t>TVS</t>
        </is>
      </c>
      <c r="H469" t="inlineStr">
        <is>
          <t>22.23-0-1.6-ERW 1-PE</t>
        </is>
      </c>
      <c r="I469" t="inlineStr">
        <is>
          <t>22.23-0-1.6-ERW 1-PE-0.394</t>
        </is>
      </c>
      <c r="J469" t="n">
        <v>0.394</v>
      </c>
      <c r="K469" t="inlineStr">
        <is>
          <t>CTL</t>
        </is>
      </c>
    </row>
    <row r="470" hidden="1" s="584">
      <c r="A470" t="n">
        <v>1940313</v>
      </c>
      <c r="B470" t="inlineStr">
        <is>
          <t>TUB-O-O-AUT-AW-PE-19.05X2.300X0.3030</t>
        </is>
      </c>
      <c r="C470" t="n">
        <v>0.005223</v>
      </c>
      <c r="D470" t="n">
        <v>789</v>
      </c>
      <c r="E470" t="inlineStr">
        <is>
          <t>ELKAYEM AUTO ANCILLARIES PRIVATE LI</t>
        </is>
      </c>
      <c r="F470" t="n">
        <v>424</v>
      </c>
      <c r="G470" t="inlineStr">
        <is>
          <t>TVS</t>
        </is>
      </c>
      <c r="H470" t="inlineStr">
        <is>
          <t>19.05-0-2.3-ERW 1-PE</t>
        </is>
      </c>
      <c r="I470" t="inlineStr">
        <is>
          <t>19.05-0-2.3-ERW 1-PE-0.303</t>
        </is>
      </c>
      <c r="J470" t="n">
        <v>0.303</v>
      </c>
      <c r="K470" t="inlineStr">
        <is>
          <t>CTL</t>
        </is>
      </c>
    </row>
    <row r="471" hidden="1" s="584">
      <c r="A471" t="n">
        <v>1940313</v>
      </c>
      <c r="B471" t="inlineStr">
        <is>
          <t>TUB-O-O-AUT-AW-PE-19.05X2.300X0.3030</t>
        </is>
      </c>
      <c r="C471" t="n">
        <v>0.062337</v>
      </c>
      <c r="D471" t="n">
        <v>789</v>
      </c>
      <c r="E471" t="inlineStr">
        <is>
          <t>ELKAYEM AUTO ANCILLARIES PRIVATE LI</t>
        </is>
      </c>
      <c r="F471" t="n">
        <v>425</v>
      </c>
      <c r="G471" t="inlineStr">
        <is>
          <t>TVS</t>
        </is>
      </c>
      <c r="H471" t="inlineStr">
        <is>
          <t>19.05-0-2.3-ERW 1-PE</t>
        </is>
      </c>
      <c r="I471" t="inlineStr">
        <is>
          <t>19.05-0-2.3-ERW 1-PE-0.303</t>
        </is>
      </c>
      <c r="J471" t="n">
        <v>0.303</v>
      </c>
      <c r="K471" t="inlineStr">
        <is>
          <t>CTL</t>
        </is>
      </c>
    </row>
    <row r="472" hidden="1" s="584">
      <c r="A472" t="n">
        <v>1940313</v>
      </c>
      <c r="B472" t="inlineStr">
        <is>
          <t>TUB-O-O-AUT-AW-PE-19.05X2.300X0.3030</t>
        </is>
      </c>
      <c r="C472" t="n">
        <v>0.054938</v>
      </c>
      <c r="D472" t="n">
        <v>4731</v>
      </c>
      <c r="E472" t="inlineStr">
        <is>
          <t>ELKAYEM AUTO ANCILLARIES PRIVATE LI</t>
        </is>
      </c>
      <c r="F472" t="n">
        <v>1328</v>
      </c>
      <c r="G472" t="inlineStr">
        <is>
          <t>TVS</t>
        </is>
      </c>
      <c r="H472" t="inlineStr">
        <is>
          <t>19.05-0-2.3-ERW 1-PE</t>
        </is>
      </c>
      <c r="I472" t="inlineStr">
        <is>
          <t>19.05-0-2.3-ERW 1-PE-0.303</t>
        </is>
      </c>
      <c r="J472" t="n">
        <v>0.303</v>
      </c>
      <c r="K472" t="inlineStr">
        <is>
          <t>CTL</t>
        </is>
      </c>
    </row>
    <row r="473" hidden="1" s="584">
      <c r="A473" t="n">
        <v>1940313</v>
      </c>
      <c r="B473" t="inlineStr">
        <is>
          <t>TUB-O-O-AUT-AW-PE-19.05X2.300X0.3030</t>
        </is>
      </c>
      <c r="C473" t="n">
        <v>2.007528</v>
      </c>
      <c r="D473" t="n">
        <v>4731</v>
      </c>
      <c r="E473" t="inlineStr">
        <is>
          <t>ELKAYEM AUTO ANCILLARIES PRIVATE LI</t>
        </is>
      </c>
      <c r="F473" t="n">
        <v>1329</v>
      </c>
      <c r="G473" t="inlineStr">
        <is>
          <t>TVS</t>
        </is>
      </c>
      <c r="H473" t="inlineStr">
        <is>
          <t>19.05-0-2.3-ERW 1-PE</t>
        </is>
      </c>
      <c r="I473" t="inlineStr">
        <is>
          <t>19.05-0-2.3-ERW 1-PE-0.303</t>
        </is>
      </c>
      <c r="J473" t="n">
        <v>0.303</v>
      </c>
      <c r="K473" t="inlineStr">
        <is>
          <t>CTL</t>
        </is>
      </c>
    </row>
    <row r="474" hidden="1" s="584">
      <c r="A474" t="n">
        <v>3635694</v>
      </c>
      <c r="B474" t="inlineStr">
        <is>
          <t>TUB-O-N-AUT-AW-PE-19.05X1.000X1.2000</t>
        </is>
      </c>
      <c r="C474" t="n">
        <v>0.718</v>
      </c>
      <c r="D474" t="n">
        <v>789</v>
      </c>
      <c r="E474" t="inlineStr">
        <is>
          <t>BALAJI PRESS PRODUCTS INDIA</t>
        </is>
      </c>
      <c r="F474" t="n">
        <v>789</v>
      </c>
      <c r="G474" t="inlineStr">
        <is>
          <t>TVS</t>
        </is>
      </c>
      <c r="H474" t="inlineStr">
        <is>
          <t>19.05-0-1-ERW 1-PE</t>
        </is>
      </c>
      <c r="I474" t="inlineStr">
        <is>
          <t>19.05-0-1-ERW 1-PE-1.2</t>
        </is>
      </c>
      <c r="J474" t="n">
        <v>1.2</v>
      </c>
      <c r="K474" t="inlineStr">
        <is>
          <t>CTL</t>
        </is>
      </c>
    </row>
    <row r="475" hidden="1" s="584">
      <c r="A475" t="n">
        <v>3635694</v>
      </c>
      <c r="B475" t="inlineStr">
        <is>
          <t>TUB-O-N-AUT-AW-PE-19.05X1.000X1.2000</t>
        </is>
      </c>
      <c r="C475" t="n">
        <v>0.214</v>
      </c>
      <c r="D475" t="n">
        <v>789</v>
      </c>
      <c r="E475" t="inlineStr">
        <is>
          <t>Marathwada Auto Compo Pvt. Ltd.</t>
        </is>
      </c>
      <c r="F475" t="n">
        <v>790</v>
      </c>
      <c r="G475" t="inlineStr">
        <is>
          <t>TVS</t>
        </is>
      </c>
      <c r="H475" t="inlineStr">
        <is>
          <t>19.05-0-1-ERW 1-PE</t>
        </is>
      </c>
      <c r="I475" t="inlineStr">
        <is>
          <t>19.05-0-1-ERW 1-PE-1.2</t>
        </is>
      </c>
      <c r="J475" t="n">
        <v>1.2</v>
      </c>
      <c r="K475" t="inlineStr">
        <is>
          <t>CTL</t>
        </is>
      </c>
    </row>
    <row r="476" hidden="1" s="584">
      <c r="A476" t="n">
        <v>3635694</v>
      </c>
      <c r="B476" t="inlineStr">
        <is>
          <t>TUB-O-N-AUT-AW-PE-19.05X1.000X1.2000</t>
        </is>
      </c>
      <c r="C476" t="n">
        <v>0.332615</v>
      </c>
      <c r="D476" t="n">
        <v>789</v>
      </c>
      <c r="E476" t="inlineStr">
        <is>
          <t>Marathwada Auto Compo Pvt. Ltd.</t>
        </is>
      </c>
      <c r="F476" t="n">
        <v>1089</v>
      </c>
      <c r="G476" t="inlineStr">
        <is>
          <t>TVS</t>
        </is>
      </c>
      <c r="H476" t="inlineStr">
        <is>
          <t>19.05-0-1-ERW 1-PE</t>
        </is>
      </c>
      <c r="I476" t="inlineStr">
        <is>
          <t>19.05-0-1-ERW 1-PE-1.2</t>
        </is>
      </c>
      <c r="J476" t="n">
        <v>1.2</v>
      </c>
      <c r="K476" t="inlineStr">
        <is>
          <t>CTL</t>
        </is>
      </c>
    </row>
    <row r="477" hidden="1" s="584">
      <c r="A477" t="n">
        <v>3635694</v>
      </c>
      <c r="B477" t="inlineStr">
        <is>
          <t>TUB-O-N-AUT-AW-PE-19.05X1.000X1.2000</t>
        </is>
      </c>
      <c r="C477" t="n">
        <v>0.518485</v>
      </c>
      <c r="D477" t="n">
        <v>789</v>
      </c>
      <c r="E477" t="inlineStr">
        <is>
          <t>Marathwada Auto Compo Pvt. Ltd.</t>
        </is>
      </c>
      <c r="F477" t="n">
        <v>1090</v>
      </c>
      <c r="G477" t="inlineStr">
        <is>
          <t>TVS</t>
        </is>
      </c>
      <c r="H477" t="inlineStr">
        <is>
          <t>19.05-0-1-ERW 1-PE</t>
        </is>
      </c>
      <c r="I477" t="inlineStr">
        <is>
          <t>19.05-0-1-ERW 1-PE-1.2</t>
        </is>
      </c>
      <c r="J477" t="n">
        <v>1.2</v>
      </c>
      <c r="K477" t="inlineStr">
        <is>
          <t>CTL</t>
        </is>
      </c>
    </row>
    <row r="478" hidden="1" s="584">
      <c r="A478" t="n">
        <v>1940479</v>
      </c>
      <c r="B478" t="inlineStr">
        <is>
          <t>TUB-O-O-AUT-AW-PE-22.23X2.00X0.930-MAHS</t>
        </is>
      </c>
      <c r="C478" t="n">
        <v>0.011008</v>
      </c>
      <c r="D478" t="n">
        <v>789</v>
      </c>
      <c r="E478" t="inlineStr">
        <is>
          <t>SANDHAR ENGINEERING PVTLTD (KA)UIII</t>
        </is>
      </c>
      <c r="F478" t="n">
        <v>427</v>
      </c>
      <c r="G478" t="inlineStr">
        <is>
          <t>TVS</t>
        </is>
      </c>
      <c r="H478" t="inlineStr">
        <is>
          <t>22.23-0-2-ERW 2 MAHS-PE</t>
        </is>
      </c>
      <c r="I478" t="inlineStr">
        <is>
          <t>22.23-0-2-ERW 2 MAHS-PE-0.93</t>
        </is>
      </c>
      <c r="J478" t="n">
        <v>0.93</v>
      </c>
      <c r="K478" t="inlineStr">
        <is>
          <t>CTL</t>
        </is>
      </c>
    </row>
    <row r="479" hidden="1" s="584">
      <c r="A479" t="n">
        <v>1940538</v>
      </c>
      <c r="B479" t="inlineStr">
        <is>
          <t>TUB-O-O-AUT-AW-PE-25.40X1.200X0.8450</t>
        </is>
      </c>
      <c r="C479" t="n">
        <v>0.091</v>
      </c>
      <c r="D479" t="n">
        <v>789</v>
      </c>
      <c r="E479" t="inlineStr">
        <is>
          <t>Neel Metal Products Limited</t>
        </is>
      </c>
      <c r="F479" t="n">
        <v>428</v>
      </c>
      <c r="G479" t="inlineStr">
        <is>
          <t>TVS</t>
        </is>
      </c>
      <c r="H479" t="inlineStr">
        <is>
          <t>25.4-0-1.2-ERW 1-PE</t>
        </is>
      </c>
      <c r="I479" t="inlineStr">
        <is>
          <t>25.4-0-1.2-ERW 1-PE-0.845</t>
        </is>
      </c>
      <c r="J479" t="n">
        <v>0.845</v>
      </c>
      <c r="K479" t="inlineStr">
        <is>
          <t>CTL</t>
        </is>
      </c>
    </row>
    <row r="480" hidden="1" s="584">
      <c r="A480" t="n">
        <v>1940538</v>
      </c>
      <c r="B480" t="inlineStr">
        <is>
          <t>TUB-O-O-AUT-AW-PE-25.40X1.200X0.8450</t>
        </is>
      </c>
      <c r="C480" t="n">
        <v>0.000625</v>
      </c>
      <c r="D480" t="n">
        <v>789</v>
      </c>
      <c r="E480" t="inlineStr">
        <is>
          <t>Neel Metal Products Limited</t>
        </is>
      </c>
      <c r="F480" t="n">
        <v>429</v>
      </c>
      <c r="G480" t="inlineStr">
        <is>
          <t>TVS</t>
        </is>
      </c>
      <c r="H480" t="inlineStr">
        <is>
          <t>25.4-0-1.2-ERW 1-PE</t>
        </is>
      </c>
      <c r="I480" t="inlineStr">
        <is>
          <t>25.4-0-1.2-ERW 1-PE-0.845</t>
        </is>
      </c>
      <c r="J480" t="n">
        <v>0.845</v>
      </c>
      <c r="K480" t="inlineStr">
        <is>
          <t>CTL</t>
        </is>
      </c>
    </row>
    <row r="481" hidden="1" s="584">
      <c r="A481" t="n">
        <v>3518158</v>
      </c>
      <c r="B481" t="inlineStr">
        <is>
          <t>TUB-O-N-AUT-AW-PE-19.05X1.020X1.0950</t>
        </is>
      </c>
      <c r="C481" t="n">
        <v>0.015</v>
      </c>
      <c r="D481" t="n">
        <v>789</v>
      </c>
      <c r="E481" t="inlineStr">
        <is>
          <t>Neel Metal Products Limited</t>
        </is>
      </c>
      <c r="F481" t="n">
        <v>728</v>
      </c>
      <c r="G481" t="inlineStr">
        <is>
          <t>TVS</t>
        </is>
      </c>
      <c r="H481" t="inlineStr">
        <is>
          <t>19.05-0-1-ERW 1-PE</t>
        </is>
      </c>
      <c r="I481" t="inlineStr">
        <is>
          <t>19.05-0-1-ERW 1-PE-1.095</t>
        </is>
      </c>
      <c r="J481" t="n">
        <v>1.095</v>
      </c>
      <c r="K481" t="inlineStr">
        <is>
          <t>CTL</t>
        </is>
      </c>
    </row>
    <row r="482" hidden="1" s="584">
      <c r="A482" t="n">
        <v>3518158</v>
      </c>
      <c r="B482" t="inlineStr">
        <is>
          <t>TUB-O-N-AUT-AW-PE-19.05X1.020X1.0950</t>
        </is>
      </c>
      <c r="C482" t="n">
        <v>0.015</v>
      </c>
      <c r="D482" t="n">
        <v>789</v>
      </c>
      <c r="E482" t="inlineStr">
        <is>
          <t>Neel Metal Products Limited</t>
        </is>
      </c>
      <c r="F482" t="n">
        <v>729</v>
      </c>
      <c r="G482" t="inlineStr">
        <is>
          <t>TVS</t>
        </is>
      </c>
      <c r="H482" t="inlineStr">
        <is>
          <t>19.05-0-1-ERW 1-PE</t>
        </is>
      </c>
      <c r="I482" t="inlineStr">
        <is>
          <t>19.05-0-1-ERW 1-PE-1.095</t>
        </is>
      </c>
      <c r="J482" t="n">
        <v>1.095</v>
      </c>
      <c r="K482" t="inlineStr">
        <is>
          <t>CTL</t>
        </is>
      </c>
    </row>
    <row r="483" hidden="1" s="584">
      <c r="A483" t="n">
        <v>3518158</v>
      </c>
      <c r="B483" t="inlineStr">
        <is>
          <t>TUB-O-N-AUT-AW-PE-19.05X1.020X1.0950</t>
        </is>
      </c>
      <c r="C483" t="n">
        <v>0.02</v>
      </c>
      <c r="D483" t="n">
        <v>789</v>
      </c>
      <c r="E483" t="inlineStr">
        <is>
          <t>Neel Metal Products Limited</t>
        </is>
      </c>
      <c r="F483" t="n">
        <v>730</v>
      </c>
      <c r="G483" t="inlineStr">
        <is>
          <t>TVS</t>
        </is>
      </c>
      <c r="H483" t="inlineStr">
        <is>
          <t>19.05-0-1-ERW 1-PE</t>
        </is>
      </c>
      <c r="I483" t="inlineStr">
        <is>
          <t>19.05-0-1-ERW 1-PE-1.095</t>
        </is>
      </c>
      <c r="J483" t="n">
        <v>1.095</v>
      </c>
      <c r="K483" t="inlineStr">
        <is>
          <t>CTL</t>
        </is>
      </c>
    </row>
    <row r="484" hidden="1" s="584">
      <c r="A484" t="n">
        <v>3518158</v>
      </c>
      <c r="B484" t="inlineStr">
        <is>
          <t>TUB-O-N-AUT-AW-PE-19.05X1.020X1.0950</t>
        </is>
      </c>
      <c r="C484" t="n">
        <v>0.02</v>
      </c>
      <c r="D484" t="n">
        <v>789</v>
      </c>
      <c r="E484" t="inlineStr">
        <is>
          <t>Neel Metal Products Limited</t>
        </is>
      </c>
      <c r="F484" t="n">
        <v>731</v>
      </c>
      <c r="G484" t="inlineStr">
        <is>
          <t>TVS</t>
        </is>
      </c>
      <c r="H484" t="inlineStr">
        <is>
          <t>19.05-0-1-ERW 1-PE</t>
        </is>
      </c>
      <c r="I484" t="inlineStr">
        <is>
          <t>19.05-0-1-ERW 1-PE-1.095</t>
        </is>
      </c>
      <c r="J484" t="n">
        <v>1.095</v>
      </c>
      <c r="K484" t="inlineStr">
        <is>
          <t>CTL</t>
        </is>
      </c>
    </row>
    <row r="485" hidden="1" s="584">
      <c r="A485" t="n">
        <v>1940815</v>
      </c>
      <c r="B485" t="inlineStr">
        <is>
          <t>TUB-R-AW-RHS-40.00X20.00X1.600X0.4800</t>
        </is>
      </c>
      <c r="C485" t="n">
        <v>0.006228</v>
      </c>
      <c r="D485" t="n">
        <v>789</v>
      </c>
      <c r="E485" t="inlineStr">
        <is>
          <t>ELKAYEM AUTO ANCILLARIES PRIVATE LI</t>
        </is>
      </c>
      <c r="F485" t="n">
        <v>438</v>
      </c>
      <c r="G485" t="inlineStr">
        <is>
          <t>TVS</t>
        </is>
      </c>
      <c r="H485" t="inlineStr">
        <is>
          <t>40-20-1.6-ERW 1-FC</t>
        </is>
      </c>
      <c r="I485" t="inlineStr">
        <is>
          <t>40-20-1.6-ERW 1-FC-0.48</t>
        </is>
      </c>
      <c r="J485" t="n">
        <v>0.48</v>
      </c>
      <c r="K485" t="inlineStr">
        <is>
          <t>CTL</t>
        </is>
      </c>
    </row>
    <row r="486" hidden="1" s="584">
      <c r="A486" t="n">
        <v>1940815</v>
      </c>
      <c r="B486" t="inlineStr">
        <is>
          <t>TUB-R-AW-RHS-40.00X20.00X1.600X0.4800</t>
        </is>
      </c>
      <c r="C486" t="n">
        <v>0.007576</v>
      </c>
      <c r="D486" t="n">
        <v>789</v>
      </c>
      <c r="E486" t="inlineStr">
        <is>
          <t>ELKAYEM AUTO ANCILLARIES PRIVATE LI</t>
        </is>
      </c>
      <c r="F486" t="n">
        <v>764</v>
      </c>
      <c r="G486" t="inlineStr">
        <is>
          <t>TVS</t>
        </is>
      </c>
      <c r="H486" t="inlineStr">
        <is>
          <t>40-20-1.6-ERW 1-FC</t>
        </is>
      </c>
      <c r="I486" t="inlineStr">
        <is>
          <t>40-20-1.6-ERW 1-FC-0.48</t>
        </is>
      </c>
      <c r="J486" t="n">
        <v>0.48</v>
      </c>
      <c r="K486" t="inlineStr">
        <is>
          <t>CTL</t>
        </is>
      </c>
    </row>
    <row r="487" hidden="1" s="584">
      <c r="A487" t="n">
        <v>1940815</v>
      </c>
      <c r="B487" t="inlineStr">
        <is>
          <t>TUB-R-AW-RHS-40.00X20.00X1.600X0.4800</t>
        </is>
      </c>
      <c r="C487" t="n">
        <v>0.002136</v>
      </c>
      <c r="D487" t="n">
        <v>789</v>
      </c>
      <c r="E487" t="inlineStr">
        <is>
          <t>ELKAYEM AUTO ANCILLARIES PRIVATE LI</t>
        </is>
      </c>
      <c r="F487" t="n">
        <v>765</v>
      </c>
      <c r="G487" t="inlineStr">
        <is>
          <t>TVS</t>
        </is>
      </c>
      <c r="H487" t="inlineStr">
        <is>
          <t>40-20-1.6-ERW 1-FC</t>
        </is>
      </c>
      <c r="I487" t="inlineStr">
        <is>
          <t>40-20-1.6-ERW 1-FC-0.48</t>
        </is>
      </c>
      <c r="J487" t="n">
        <v>0.48</v>
      </c>
      <c r="K487" t="inlineStr">
        <is>
          <t>CTL</t>
        </is>
      </c>
    </row>
    <row r="488" hidden="1" s="584">
      <c r="A488" t="n">
        <v>3409366</v>
      </c>
      <c r="B488" t="inlineStr">
        <is>
          <t>TUB-O-N-AUT-AW-PE-19.05X1.200X0.1090</t>
        </is>
      </c>
      <c r="C488" t="n">
        <v>0.00025</v>
      </c>
      <c r="D488" t="n">
        <v>789</v>
      </c>
      <c r="E488" t="inlineStr">
        <is>
          <t>MEGH STEELS PRIVATE LIMITED - TVS A</t>
        </is>
      </c>
      <c r="F488" t="n">
        <v>883</v>
      </c>
      <c r="G488" t="inlineStr">
        <is>
          <t>Direct</t>
        </is>
      </c>
      <c r="H488" t="inlineStr">
        <is>
          <t>19.05-0-1.2-ERW 1-PE</t>
        </is>
      </c>
      <c r="I488" t="inlineStr">
        <is>
          <t>19.05-0-1.2-ERW 1-PE-0.109</t>
        </is>
      </c>
      <c r="J488" t="n">
        <v>0.109</v>
      </c>
      <c r="K488" t="inlineStr">
        <is>
          <t>CTL</t>
        </is>
      </c>
    </row>
    <row r="489" hidden="1" s="584">
      <c r="A489" t="n">
        <v>3409366</v>
      </c>
      <c r="B489" t="inlineStr">
        <is>
          <t>TUB-O-N-AUT-AW-PE-19.05X1.200X0.1090</t>
        </is>
      </c>
      <c r="C489" t="n">
        <v>0.0156</v>
      </c>
      <c r="D489" t="n">
        <v>789</v>
      </c>
      <c r="E489" t="inlineStr">
        <is>
          <t>MEGH STEELS PRIVATE LIMITED - TVS A</t>
        </is>
      </c>
      <c r="F489" t="n">
        <v>884</v>
      </c>
      <c r="G489" t="inlineStr">
        <is>
          <t>Direct</t>
        </is>
      </c>
      <c r="H489" t="inlineStr">
        <is>
          <t>19.05-0-1.2-ERW 1-PE</t>
        </is>
      </c>
      <c r="I489" t="inlineStr">
        <is>
          <t>19.05-0-1.2-ERW 1-PE-0.109</t>
        </is>
      </c>
      <c r="J489" t="n">
        <v>0.109</v>
      </c>
      <c r="K489" t="inlineStr">
        <is>
          <t>CTL</t>
        </is>
      </c>
    </row>
    <row r="490" hidden="1" s="584">
      <c r="A490" t="n">
        <v>3929691</v>
      </c>
      <c r="B490" t="inlineStr">
        <is>
          <t>CUT-O-N-AUT-AW-PE-19.05X1.200X0.2000</t>
        </is>
      </c>
      <c r="C490" t="n">
        <v>0.015253</v>
      </c>
      <c r="D490" t="n">
        <v>789</v>
      </c>
      <c r="E490" t="inlineStr">
        <is>
          <t>Sri Balaji Gears</t>
        </is>
      </c>
      <c r="F490" t="n">
        <v>1248</v>
      </c>
      <c r="G490" t="inlineStr">
        <is>
          <t>TVS</t>
        </is>
      </c>
      <c r="H490" t="inlineStr">
        <is>
          <t>19.05-0-1.2-CRFH-PE</t>
        </is>
      </c>
      <c r="I490" t="inlineStr">
        <is>
          <t>19.05-0-1.2-CRFH-PE-0.2</t>
        </is>
      </c>
      <c r="J490" t="n">
        <v>0.2</v>
      </c>
      <c r="K490" t="inlineStr">
        <is>
          <t>CTL</t>
        </is>
      </c>
    </row>
    <row r="491" hidden="1" s="584">
      <c r="A491" t="n">
        <v>3929691</v>
      </c>
      <c r="B491" t="inlineStr">
        <is>
          <t>CUT-O-N-AUT-AW-PE-19.05X1.200X0.2000</t>
        </is>
      </c>
      <c r="C491" t="n">
        <v>0.021778</v>
      </c>
      <c r="D491" t="n">
        <v>789</v>
      </c>
      <c r="E491" t="inlineStr">
        <is>
          <t>Sri Balaji Gears</t>
        </is>
      </c>
      <c r="F491" t="n">
        <v>1249</v>
      </c>
      <c r="G491" t="inlineStr">
        <is>
          <t>TVS</t>
        </is>
      </c>
      <c r="H491" t="inlineStr">
        <is>
          <t>19.05-0-1.2-CRFH-PE</t>
        </is>
      </c>
      <c r="I491" t="inlineStr">
        <is>
          <t>19.05-0-1.2-CRFH-PE-0.2</t>
        </is>
      </c>
      <c r="J491" t="n">
        <v>0.2</v>
      </c>
      <c r="K491" t="inlineStr">
        <is>
          <t>CTL</t>
        </is>
      </c>
    </row>
    <row r="492" hidden="1" s="584">
      <c r="A492" t="n">
        <v>3929691</v>
      </c>
      <c r="B492" t="inlineStr">
        <is>
          <t>CUT-O-N-AUT-AW-PE-19.05X1.200X0.2000</t>
        </is>
      </c>
      <c r="C492" t="n">
        <v>0.602778</v>
      </c>
      <c r="D492" t="n">
        <v>789</v>
      </c>
      <c r="E492" t="inlineStr">
        <is>
          <t>Sri Balaji Gears</t>
        </is>
      </c>
      <c r="F492" t="n">
        <v>1250</v>
      </c>
      <c r="G492" t="inlineStr">
        <is>
          <t>TVS</t>
        </is>
      </c>
      <c r="H492" t="inlineStr">
        <is>
          <t>19.05-0-1.2-CRFH-PE</t>
        </is>
      </c>
      <c r="I492" t="inlineStr">
        <is>
          <t>19.05-0-1.2-CRFH-PE-0.2</t>
        </is>
      </c>
      <c r="J492" t="n">
        <v>0.2</v>
      </c>
      <c r="K492" t="inlineStr">
        <is>
          <t>CTL</t>
        </is>
      </c>
    </row>
    <row r="493" hidden="1" s="584">
      <c r="A493" t="n">
        <v>3929691</v>
      </c>
      <c r="B493" t="inlineStr">
        <is>
          <t>CUT-O-N-AUT-AW-PE-19.05X1.200X0.2000</t>
        </is>
      </c>
      <c r="C493" t="n">
        <v>0.070912</v>
      </c>
      <c r="D493" t="n">
        <v>789</v>
      </c>
      <c r="E493" t="inlineStr">
        <is>
          <t>Sri Balaji Gears</t>
        </is>
      </c>
      <c r="F493" t="n">
        <v>1251</v>
      </c>
      <c r="G493" t="inlineStr">
        <is>
          <t>TVS</t>
        </is>
      </c>
      <c r="H493" t="inlineStr">
        <is>
          <t>19.05-0-1.2-CRFH-PE</t>
        </is>
      </c>
      <c r="I493" t="inlineStr">
        <is>
          <t>19.05-0-1.2-CRFH-PE-0.2</t>
        </is>
      </c>
      <c r="J493" t="n">
        <v>0.2</v>
      </c>
      <c r="K493" t="inlineStr">
        <is>
          <t>CTL</t>
        </is>
      </c>
    </row>
    <row r="494" hidden="1" s="584">
      <c r="A494" t="n">
        <v>3233555</v>
      </c>
      <c r="B494" t="inlineStr">
        <is>
          <t>TUB-R-AW-AUT-40.00X20.00X1.210X1.1200</t>
        </is>
      </c>
      <c r="C494" t="n">
        <v>0.007837999999999999</v>
      </c>
      <c r="D494" t="n">
        <v>789</v>
      </c>
      <c r="E494" t="inlineStr">
        <is>
          <t>Sri Balaji Gears</t>
        </is>
      </c>
      <c r="F494" t="n">
        <v>450</v>
      </c>
      <c r="G494" t="inlineStr">
        <is>
          <t>TVS</t>
        </is>
      </c>
      <c r="H494" t="inlineStr">
        <is>
          <t>40-20-1.2-CRFH-PE</t>
        </is>
      </c>
      <c r="I494" t="inlineStr">
        <is>
          <t>40-20-1.2-CRFH-PE-1.12</t>
        </is>
      </c>
      <c r="J494" t="n">
        <v>1.12</v>
      </c>
      <c r="K494" t="inlineStr">
        <is>
          <t>CTL</t>
        </is>
      </c>
    </row>
    <row r="495" hidden="1" s="584">
      <c r="A495" t="n">
        <v>3233555</v>
      </c>
      <c r="B495" t="inlineStr">
        <is>
          <t>TUB-R-AW-AUT-40.00X20.00X1.210X1.1200</t>
        </is>
      </c>
      <c r="C495" t="n">
        <v>0.04876</v>
      </c>
      <c r="D495" t="n">
        <v>789</v>
      </c>
      <c r="E495" t="inlineStr">
        <is>
          <t>Sri Balaji Gears</t>
        </is>
      </c>
      <c r="F495" t="n">
        <v>451</v>
      </c>
      <c r="G495" t="inlineStr">
        <is>
          <t>TVS</t>
        </is>
      </c>
      <c r="H495" t="inlineStr">
        <is>
          <t>40-20-1.2-CRFH-PE</t>
        </is>
      </c>
      <c r="I495" t="inlineStr">
        <is>
          <t>40-20-1.2-CRFH-PE-1.12</t>
        </is>
      </c>
      <c r="J495" t="n">
        <v>1.12</v>
      </c>
      <c r="K495" t="inlineStr">
        <is>
          <t>CTL</t>
        </is>
      </c>
    </row>
    <row r="496" hidden="1" s="584">
      <c r="A496" t="n">
        <v>3233555</v>
      </c>
      <c r="B496" t="inlineStr">
        <is>
          <t>TUB-R-AW-AUT-40.00X20.00X1.210X1.1200</t>
        </is>
      </c>
      <c r="C496" t="n">
        <v>0.454866</v>
      </c>
      <c r="D496" t="n">
        <v>789</v>
      </c>
      <c r="E496" t="inlineStr">
        <is>
          <t>Sri Balaji Gears</t>
        </is>
      </c>
      <c r="F496" t="n">
        <v>452</v>
      </c>
      <c r="G496" t="inlineStr">
        <is>
          <t>TVS</t>
        </is>
      </c>
      <c r="H496" t="inlineStr">
        <is>
          <t>40-20-1.2-CRFH-PE</t>
        </is>
      </c>
      <c r="I496" t="inlineStr">
        <is>
          <t>40-20-1.2-CRFH-PE-1.12</t>
        </is>
      </c>
      <c r="J496" t="n">
        <v>1.12</v>
      </c>
      <c r="K496" t="inlineStr">
        <is>
          <t>CTL</t>
        </is>
      </c>
    </row>
    <row r="497" hidden="1" s="584">
      <c r="A497" t="n">
        <v>3233555</v>
      </c>
      <c r="B497" t="inlineStr">
        <is>
          <t>TUB-R-AW-AUT-40.00X20.00X1.210X1.1200</t>
        </is>
      </c>
      <c r="C497" t="n">
        <v>2.023</v>
      </c>
      <c r="D497" t="n">
        <v>789</v>
      </c>
      <c r="E497" t="inlineStr">
        <is>
          <t>Sri Balaji Gears</t>
        </is>
      </c>
      <c r="F497" t="n">
        <v>453</v>
      </c>
      <c r="G497" t="inlineStr">
        <is>
          <t>TVS</t>
        </is>
      </c>
      <c r="H497" t="inlineStr">
        <is>
          <t>40-20-1.2-CRFH-PE</t>
        </is>
      </c>
      <c r="I497" t="inlineStr">
        <is>
          <t>40-20-1.2-CRFH-PE-1.12</t>
        </is>
      </c>
      <c r="J497" t="n">
        <v>1.12</v>
      </c>
      <c r="K497" t="inlineStr">
        <is>
          <t>CTL</t>
        </is>
      </c>
    </row>
    <row r="498" hidden="1" s="584">
      <c r="A498" t="n">
        <v>3233555</v>
      </c>
      <c r="B498" t="inlineStr">
        <is>
          <t>TUB-R-AW-AUT-40.00X20.00X1.210X1.1200</t>
        </is>
      </c>
      <c r="C498" t="n">
        <v>0.925</v>
      </c>
      <c r="D498" t="n">
        <v>789</v>
      </c>
      <c r="E498" t="inlineStr">
        <is>
          <t>Sri Balaji Gears</t>
        </is>
      </c>
      <c r="F498" t="n">
        <v>454</v>
      </c>
      <c r="G498" t="inlineStr">
        <is>
          <t>TVS</t>
        </is>
      </c>
      <c r="H498" t="inlineStr">
        <is>
          <t>40-20-1.2-CRFH-PE</t>
        </is>
      </c>
      <c r="I498" t="inlineStr">
        <is>
          <t>40-20-1.2-CRFH-PE-1.12</t>
        </is>
      </c>
      <c r="J498" t="n">
        <v>1.12</v>
      </c>
      <c r="K498" t="inlineStr">
        <is>
          <t>CTL</t>
        </is>
      </c>
    </row>
    <row r="499" hidden="1" s="584">
      <c r="A499" t="n">
        <v>3938681</v>
      </c>
      <c r="B499" t="inlineStr">
        <is>
          <t>TUB-O-N-AUT-AW-PE-19.05X1.200X0.2200</t>
        </is>
      </c>
      <c r="C499" t="n">
        <v>0.349683</v>
      </c>
      <c r="D499" t="n">
        <v>789</v>
      </c>
      <c r="E499" t="inlineStr">
        <is>
          <t>Sri Balaji Gears</t>
        </is>
      </c>
      <c r="F499" t="n">
        <v>1073</v>
      </c>
      <c r="G499" t="inlineStr">
        <is>
          <t>TVS</t>
        </is>
      </c>
      <c r="H499" t="inlineStr">
        <is>
          <t>19.05-0-1.2-CRFH-PE</t>
        </is>
      </c>
      <c r="I499" t="inlineStr">
        <is>
          <t>19.05-0-1.2-CRFH-PE-0.22</t>
        </is>
      </c>
      <c r="J499" t="n">
        <v>0.22</v>
      </c>
      <c r="K499" t="inlineStr">
        <is>
          <t>CTL</t>
        </is>
      </c>
    </row>
    <row r="500" hidden="1" s="584">
      <c r="A500" t="n">
        <v>3938682</v>
      </c>
      <c r="B500" t="inlineStr">
        <is>
          <t>TUB-O-N-AUT-AW-PE-19.05X1.200X0.3200</t>
        </is>
      </c>
      <c r="C500" t="n">
        <v>0.016478</v>
      </c>
      <c r="D500" t="n">
        <v>789</v>
      </c>
      <c r="E500" t="inlineStr">
        <is>
          <t>Sri Balaji Gears</t>
        </is>
      </c>
      <c r="F500" t="n">
        <v>1005</v>
      </c>
      <c r="G500" t="inlineStr">
        <is>
          <t>TVS</t>
        </is>
      </c>
      <c r="H500" t="inlineStr">
        <is>
          <t>19.05-0-1.2-CRFH-PE</t>
        </is>
      </c>
      <c r="I500" t="inlineStr">
        <is>
          <t>19.05-0-1.2-CRFH-PE-0.32</t>
        </is>
      </c>
      <c r="J500" t="n">
        <v>0.32</v>
      </c>
      <c r="K500" t="inlineStr">
        <is>
          <t>CTL</t>
        </is>
      </c>
    </row>
    <row r="501" hidden="1" s="584">
      <c r="A501" t="n">
        <v>3938682</v>
      </c>
      <c r="B501" t="inlineStr">
        <is>
          <t>TUB-O-N-AUT-AW-PE-19.05X1.200X0.3200</t>
        </is>
      </c>
      <c r="C501" t="n">
        <v>0.338478</v>
      </c>
      <c r="D501" t="n">
        <v>789</v>
      </c>
      <c r="E501" t="inlineStr">
        <is>
          <t>Sri Balaji Gears</t>
        </is>
      </c>
      <c r="F501" t="n">
        <v>1006</v>
      </c>
      <c r="G501" t="inlineStr">
        <is>
          <t>TVS</t>
        </is>
      </c>
      <c r="H501" t="inlineStr">
        <is>
          <t>19.05-0-1.2-CRFH-PE</t>
        </is>
      </c>
      <c r="I501" t="inlineStr">
        <is>
          <t>19.05-0-1.2-CRFH-PE-0.32</t>
        </is>
      </c>
      <c r="J501" t="n">
        <v>0.32</v>
      </c>
      <c r="K501" t="inlineStr">
        <is>
          <t>CTL</t>
        </is>
      </c>
    </row>
    <row r="502" hidden="1" s="584">
      <c r="A502" t="n">
        <v>3239890</v>
      </c>
      <c r="B502" t="inlineStr">
        <is>
          <t>TUB-O-N-AUT-AW-PE-19.05X1.200X0.3300</t>
        </is>
      </c>
      <c r="C502" t="n">
        <v>0.187</v>
      </c>
      <c r="D502" t="n">
        <v>789</v>
      </c>
      <c r="E502" t="inlineStr">
        <is>
          <t>BALAJI PRESS PRODUCTS INDIA</t>
        </is>
      </c>
      <c r="F502" t="n">
        <v>455</v>
      </c>
      <c r="G502" t="inlineStr">
        <is>
          <t>TVS</t>
        </is>
      </c>
      <c r="H502" t="inlineStr">
        <is>
          <t>19.05-0-1.2-ERW 1-PE</t>
        </is>
      </c>
      <c r="I502" t="inlineStr">
        <is>
          <t>19.05-0-1.2-ERW 1-PE-0.33</t>
        </is>
      </c>
      <c r="J502" t="n">
        <v>0.33</v>
      </c>
      <c r="K502" t="inlineStr">
        <is>
          <t>CTL</t>
        </is>
      </c>
    </row>
    <row r="503" hidden="1" s="584">
      <c r="A503" t="n">
        <v>3239890</v>
      </c>
      <c r="B503" t="inlineStr">
        <is>
          <t>TUB-O-N-AUT-AW-PE-19.05X1.200X0.3300</t>
        </is>
      </c>
      <c r="C503" t="n">
        <v>0.331</v>
      </c>
      <c r="D503" t="n">
        <v>789</v>
      </c>
      <c r="E503" t="inlineStr">
        <is>
          <t>BALAJI PRESS PRODUCTS INDIA</t>
        </is>
      </c>
      <c r="F503" t="n">
        <v>456</v>
      </c>
      <c r="G503" t="inlineStr">
        <is>
          <t>TVS</t>
        </is>
      </c>
      <c r="H503" t="inlineStr">
        <is>
          <t>19.05-0-1.2-ERW 1-PE</t>
        </is>
      </c>
      <c r="I503" t="inlineStr">
        <is>
          <t>19.05-0-1.2-ERW 1-PE-0.33</t>
        </is>
      </c>
      <c r="J503" t="n">
        <v>0.33</v>
      </c>
      <c r="K503" t="inlineStr">
        <is>
          <t>CTL</t>
        </is>
      </c>
    </row>
    <row r="504" hidden="1" s="584">
      <c r="A504" t="n">
        <v>3239890</v>
      </c>
      <c r="B504" t="inlineStr">
        <is>
          <t>TUB-O-N-AUT-AW-PE-19.05X1.200X0.3300</t>
        </is>
      </c>
      <c r="C504" t="n">
        <v>0.07928399999999999</v>
      </c>
      <c r="D504" t="n">
        <v>789</v>
      </c>
      <c r="E504" t="inlineStr">
        <is>
          <t>MEGH STEELS PRIVATE LIMITED - TVS A</t>
        </is>
      </c>
      <c r="F504" t="n">
        <v>457</v>
      </c>
      <c r="G504" t="inlineStr">
        <is>
          <t>Direct</t>
        </is>
      </c>
      <c r="H504" t="inlineStr">
        <is>
          <t>19.05-0-1.2-ERW 1-PE</t>
        </is>
      </c>
      <c r="I504" t="inlineStr">
        <is>
          <t>19.05-0-1.2-ERW 1-PE-0.33</t>
        </is>
      </c>
      <c r="J504" t="n">
        <v>0.33</v>
      </c>
      <c r="K504" t="inlineStr">
        <is>
          <t>CTL</t>
        </is>
      </c>
    </row>
    <row r="505" hidden="1" s="584">
      <c r="A505" t="n">
        <v>3935313</v>
      </c>
      <c r="B505" t="inlineStr">
        <is>
          <t>CUT-O-N-AUT-AW-PE-19.05X1.200X0.33</t>
        </is>
      </c>
      <c r="C505" t="n">
        <v>0.002047</v>
      </c>
      <c r="D505" t="n">
        <v>789</v>
      </c>
      <c r="E505" t="inlineStr">
        <is>
          <t>Sri Balaji Gears</t>
        </is>
      </c>
      <c r="F505" t="n">
        <v>1239</v>
      </c>
      <c r="G505" t="inlineStr">
        <is>
          <t>TVS</t>
        </is>
      </c>
      <c r="H505" t="inlineStr">
        <is>
          <t>19.05-0-1.2-CRFH-PE</t>
        </is>
      </c>
      <c r="I505" t="inlineStr">
        <is>
          <t>19.05-0-1.2-CRFH-PE-0.33</t>
        </is>
      </c>
      <c r="J505" t="n">
        <v>0.33</v>
      </c>
      <c r="K505" t="inlineStr">
        <is>
          <t>CTL</t>
        </is>
      </c>
    </row>
    <row r="506" hidden="1" s="584">
      <c r="A506" t="n">
        <v>3935313</v>
      </c>
      <c r="B506" t="inlineStr">
        <is>
          <t>CUT-O-N-AUT-AW-PE-19.05X1.200X0.33</t>
        </is>
      </c>
      <c r="C506" t="n">
        <v>0.088195</v>
      </c>
      <c r="D506" t="n">
        <v>789</v>
      </c>
      <c r="E506" t="inlineStr">
        <is>
          <t>Sri Balaji Gears</t>
        </is>
      </c>
      <c r="F506" t="n">
        <v>1240</v>
      </c>
      <c r="G506" t="inlineStr">
        <is>
          <t>TVS</t>
        </is>
      </c>
      <c r="H506" t="inlineStr">
        <is>
          <t>19.05-0-1.2-CRFH-PE</t>
        </is>
      </c>
      <c r="I506" t="inlineStr">
        <is>
          <t>19.05-0-1.2-CRFH-PE-0.33</t>
        </is>
      </c>
      <c r="J506" t="n">
        <v>0.33</v>
      </c>
      <c r="K506" t="inlineStr">
        <is>
          <t>CTL</t>
        </is>
      </c>
    </row>
    <row r="507" hidden="1" s="584">
      <c r="A507" t="n">
        <v>3935313</v>
      </c>
      <c r="B507" t="inlineStr">
        <is>
          <t>CUT-O-N-AUT-AW-PE-19.05X1.200X0.33</t>
        </is>
      </c>
      <c r="C507" t="n">
        <v>0.026517</v>
      </c>
      <c r="D507" t="n">
        <v>789</v>
      </c>
      <c r="E507" t="inlineStr">
        <is>
          <t>Sri Balaji Gears</t>
        </is>
      </c>
      <c r="F507" t="n">
        <v>1241</v>
      </c>
      <c r="G507" t="inlineStr">
        <is>
          <t>TVS</t>
        </is>
      </c>
      <c r="H507" t="inlineStr">
        <is>
          <t>19.05-0-1.2-CRFH-PE</t>
        </is>
      </c>
      <c r="I507" t="inlineStr">
        <is>
          <t>19.05-0-1.2-CRFH-PE-0.33</t>
        </is>
      </c>
      <c r="J507" t="n">
        <v>0.33</v>
      </c>
      <c r="K507" t="inlineStr">
        <is>
          <t>CTL</t>
        </is>
      </c>
    </row>
    <row r="508" hidden="1" s="584">
      <c r="A508" t="n">
        <v>3935313</v>
      </c>
      <c r="B508" t="inlineStr">
        <is>
          <t>CUT-O-N-AUT-AW-PE-19.05X1.200X0.33</t>
        </is>
      </c>
      <c r="C508" t="n">
        <v>0.095656</v>
      </c>
      <c r="D508" t="n">
        <v>789</v>
      </c>
      <c r="E508" t="inlineStr">
        <is>
          <t>Sri Balaji Gears</t>
        </is>
      </c>
      <c r="F508" t="n">
        <v>1242</v>
      </c>
      <c r="G508" t="inlineStr">
        <is>
          <t>TVS</t>
        </is>
      </c>
      <c r="H508" t="inlineStr">
        <is>
          <t>19.05-0-1.2-CRFH-PE</t>
        </is>
      </c>
      <c r="I508" t="inlineStr">
        <is>
          <t>19.05-0-1.2-CRFH-PE-0.33</t>
        </is>
      </c>
      <c r="J508" t="n">
        <v>0.33</v>
      </c>
      <c r="K508" t="inlineStr">
        <is>
          <t>CTL</t>
        </is>
      </c>
    </row>
    <row r="509" hidden="1" s="584">
      <c r="A509" t="n">
        <v>3938683</v>
      </c>
      <c r="B509" t="inlineStr">
        <is>
          <t>TUB-O-N-AUT-AW-PE-19.05X1.200X0.3770</t>
        </is>
      </c>
      <c r="C509" t="n">
        <v>0.001844</v>
      </c>
      <c r="D509" t="n">
        <v>789</v>
      </c>
      <c r="E509" t="inlineStr">
        <is>
          <t>Sri Balaji Gears</t>
        </is>
      </c>
      <c r="F509" t="n">
        <v>1028</v>
      </c>
      <c r="G509" t="inlineStr">
        <is>
          <t>TVS</t>
        </is>
      </c>
      <c r="H509" t="inlineStr">
        <is>
          <t>19.05-0-1.2-CRFH-PE</t>
        </is>
      </c>
      <c r="I509" t="inlineStr">
        <is>
          <t>19.05-0-1.2-CRFH-PE-0.377</t>
        </is>
      </c>
      <c r="J509" t="n">
        <v>0.377</v>
      </c>
      <c r="K509" t="inlineStr">
        <is>
          <t>CTL</t>
        </is>
      </c>
    </row>
    <row r="510" hidden="1" s="584">
      <c r="A510" t="n">
        <v>3938683</v>
      </c>
      <c r="B510" t="inlineStr">
        <is>
          <t>TUB-O-N-AUT-AW-PE-19.05X1.200X0.3770</t>
        </is>
      </c>
      <c r="C510" t="n">
        <v>0.001844</v>
      </c>
      <c r="D510" t="n">
        <v>789</v>
      </c>
      <c r="E510" t="inlineStr">
        <is>
          <t>Sri Balaji Gears</t>
        </is>
      </c>
      <c r="F510" t="n">
        <v>1029</v>
      </c>
      <c r="G510" t="inlineStr">
        <is>
          <t>TVS</t>
        </is>
      </c>
      <c r="H510" t="inlineStr">
        <is>
          <t>19.05-0-1.2-CRFH-PE</t>
        </is>
      </c>
      <c r="I510" t="inlineStr">
        <is>
          <t>19.05-0-1.2-CRFH-PE-0.377</t>
        </is>
      </c>
      <c r="J510" t="n">
        <v>0.377</v>
      </c>
      <c r="K510" t="inlineStr">
        <is>
          <t>CTL</t>
        </is>
      </c>
    </row>
    <row r="511" hidden="1" s="584">
      <c r="A511" t="n">
        <v>3938683</v>
      </c>
      <c r="B511" t="inlineStr">
        <is>
          <t>TUB-O-N-AUT-AW-PE-19.05X1.200X0.3770</t>
        </is>
      </c>
      <c r="C511" t="n">
        <v>0.108698</v>
      </c>
      <c r="D511" t="n">
        <v>789</v>
      </c>
      <c r="E511" t="inlineStr">
        <is>
          <t>Sri Balaji Gears</t>
        </is>
      </c>
      <c r="F511" t="n">
        <v>1030</v>
      </c>
      <c r="G511" t="inlineStr">
        <is>
          <t>TVS</t>
        </is>
      </c>
      <c r="H511" t="inlineStr">
        <is>
          <t>19.05-0-1.2-CRFH-PE</t>
        </is>
      </c>
      <c r="I511" t="inlineStr">
        <is>
          <t>19.05-0-1.2-CRFH-PE-0.377</t>
        </is>
      </c>
      <c r="J511" t="n">
        <v>0.377</v>
      </c>
      <c r="K511" t="inlineStr">
        <is>
          <t>CTL</t>
        </is>
      </c>
    </row>
    <row r="512" hidden="1" s="584">
      <c r="A512" t="n">
        <v>2409616</v>
      </c>
      <c r="B512" t="inlineStr">
        <is>
          <t>TUB-O-N-AUT-AW-PE-19.05X1.200X0.5130</t>
        </is>
      </c>
      <c r="C512" t="n">
        <v>0.002304</v>
      </c>
      <c r="D512" t="n">
        <v>789</v>
      </c>
      <c r="E512" t="inlineStr">
        <is>
          <t>MEGH STEELS PRIVATE LIMITED - TVS A</t>
        </is>
      </c>
      <c r="F512" t="n">
        <v>985</v>
      </c>
      <c r="G512" t="inlineStr">
        <is>
          <t>Direct</t>
        </is>
      </c>
      <c r="H512" t="inlineStr">
        <is>
          <t>19.05-0-1.2-ERW 1-PE</t>
        </is>
      </c>
      <c r="I512" t="inlineStr">
        <is>
          <t>19.05-0-1.2-ERW 1-PE-0.513</t>
        </is>
      </c>
      <c r="J512" t="n">
        <v>0.513</v>
      </c>
      <c r="K512" t="inlineStr">
        <is>
          <t>CTL</t>
        </is>
      </c>
    </row>
    <row r="513" hidden="1" s="584">
      <c r="A513" t="n">
        <v>2409616</v>
      </c>
      <c r="B513" t="inlineStr">
        <is>
          <t>TUB-O-N-AUT-AW-PE-19.05X1.200X0.5130</t>
        </is>
      </c>
      <c r="C513" t="n">
        <v>0.008064</v>
      </c>
      <c r="D513" t="n">
        <v>789</v>
      </c>
      <c r="E513" t="inlineStr">
        <is>
          <t>MEGH STEELS PRIVATE LIMITED - TVS A</t>
        </is>
      </c>
      <c r="F513" t="n">
        <v>986</v>
      </c>
      <c r="G513" t="inlineStr">
        <is>
          <t>Direct</t>
        </is>
      </c>
      <c r="H513" t="inlineStr">
        <is>
          <t>19.05-0-1.2-ERW 1-PE</t>
        </is>
      </c>
      <c r="I513" t="inlineStr">
        <is>
          <t>19.05-0-1.2-ERW 1-PE-0.513</t>
        </is>
      </c>
      <c r="J513" t="n">
        <v>0.513</v>
      </c>
      <c r="K513" t="inlineStr">
        <is>
          <t>CTL</t>
        </is>
      </c>
    </row>
    <row r="514" hidden="1" s="584">
      <c r="A514" t="n">
        <v>2409616</v>
      </c>
      <c r="B514" t="inlineStr">
        <is>
          <t>TUB-O-N-AUT-AW-PE-19.05X1.200X0.5130</t>
        </is>
      </c>
      <c r="C514" t="n">
        <v>0.0004</v>
      </c>
      <c r="D514" t="n">
        <v>789</v>
      </c>
      <c r="E514" t="inlineStr">
        <is>
          <t>MEGH STEELS PRIVATE LIMITED - TVS A</t>
        </is>
      </c>
      <c r="F514" t="n">
        <v>987</v>
      </c>
      <c r="G514" t="inlineStr">
        <is>
          <t>Direct</t>
        </is>
      </c>
      <c r="H514" t="inlineStr">
        <is>
          <t>19.05-0-1.2-ERW 1-PE</t>
        </is>
      </c>
      <c r="I514" t="inlineStr">
        <is>
          <t>19.05-0-1.2-ERW 1-PE-0.513</t>
        </is>
      </c>
      <c r="J514" t="n">
        <v>0.513</v>
      </c>
      <c r="K514" t="inlineStr">
        <is>
          <t>CTL</t>
        </is>
      </c>
    </row>
    <row r="515" hidden="1" s="584">
      <c r="A515" t="n">
        <v>3572050</v>
      </c>
      <c r="B515" t="inlineStr">
        <is>
          <t>TUB-R-AW-AUT-40.00X20.00X1.200X0.7100</t>
        </is>
      </c>
      <c r="C515" t="n">
        <v>1.318</v>
      </c>
      <c r="D515" t="n">
        <v>789</v>
      </c>
      <c r="E515" t="inlineStr">
        <is>
          <t>Sri Balaji Gears</t>
        </is>
      </c>
      <c r="F515" t="n">
        <v>460</v>
      </c>
      <c r="G515" t="inlineStr">
        <is>
          <t>TVS</t>
        </is>
      </c>
      <c r="H515" t="inlineStr">
        <is>
          <t>40-20-1.2-CRFH-PE</t>
        </is>
      </c>
      <c r="I515" t="inlineStr">
        <is>
          <t>40-20-1.2-CRFH-PE-0.71</t>
        </is>
      </c>
      <c r="J515" t="n">
        <v>0.71</v>
      </c>
      <c r="K515" t="inlineStr">
        <is>
          <t>CTL</t>
        </is>
      </c>
    </row>
    <row r="516" hidden="1" s="584">
      <c r="A516" t="n">
        <v>1940188</v>
      </c>
      <c r="B516" t="inlineStr">
        <is>
          <t>TUB-O-O-AUT-AW-PE-19.05X1.200X0.6310</t>
        </is>
      </c>
      <c r="C516" t="n">
        <v>0.634</v>
      </c>
      <c r="D516" t="n">
        <v>789</v>
      </c>
      <c r="E516" t="inlineStr">
        <is>
          <t>Neel Metal Products Limited</t>
        </is>
      </c>
      <c r="F516" t="n">
        <v>758</v>
      </c>
      <c r="G516" t="inlineStr">
        <is>
          <t>TVS</t>
        </is>
      </c>
      <c r="H516" t="inlineStr">
        <is>
          <t>19.05-0-1.2-ERW 1-PE</t>
        </is>
      </c>
      <c r="I516" t="inlineStr">
        <is>
          <t>19.05-0-1.2-ERW 1-PE-0.631</t>
        </is>
      </c>
      <c r="J516" t="n">
        <v>0.631</v>
      </c>
      <c r="K516" t="inlineStr">
        <is>
          <t>CTL</t>
        </is>
      </c>
    </row>
    <row r="517" hidden="1" s="584">
      <c r="A517" t="n">
        <v>1940188</v>
      </c>
      <c r="B517" t="inlineStr">
        <is>
          <t>TUB-O-O-AUT-AW-PE-19.05X1.200X0.6310</t>
        </is>
      </c>
      <c r="C517" t="n">
        <v>0.383</v>
      </c>
      <c r="D517" t="n">
        <v>789</v>
      </c>
      <c r="E517" t="inlineStr">
        <is>
          <t>Neel Metal Products Limited</t>
        </is>
      </c>
      <c r="F517" t="n">
        <v>759</v>
      </c>
      <c r="G517" t="inlineStr">
        <is>
          <t>TVS</t>
        </is>
      </c>
      <c r="H517" t="inlineStr">
        <is>
          <t>19.05-0-1.2-ERW 1-PE</t>
        </is>
      </c>
      <c r="I517" t="inlineStr">
        <is>
          <t>19.05-0-1.2-ERW 1-PE-0.631</t>
        </is>
      </c>
      <c r="J517" t="n">
        <v>0.631</v>
      </c>
      <c r="K517" t="inlineStr">
        <is>
          <t>CTL</t>
        </is>
      </c>
    </row>
    <row r="518" hidden="1" s="584">
      <c r="A518" t="n">
        <v>1940188</v>
      </c>
      <c r="B518" t="inlineStr">
        <is>
          <t>TUB-O-O-AUT-AW-PE-19.05X1.200X0.6310</t>
        </is>
      </c>
      <c r="C518" t="n">
        <v>1.882</v>
      </c>
      <c r="D518" t="n">
        <v>789</v>
      </c>
      <c r="E518" t="inlineStr">
        <is>
          <t>Neel Metal Products Limited</t>
        </is>
      </c>
      <c r="F518" t="n">
        <v>760</v>
      </c>
      <c r="G518" t="inlineStr">
        <is>
          <t>TVS</t>
        </is>
      </c>
      <c r="H518" t="inlineStr">
        <is>
          <t>19.05-0-1.2-ERW 1-PE</t>
        </is>
      </c>
      <c r="I518" t="inlineStr">
        <is>
          <t>19.05-0-1.2-ERW 1-PE-0.631</t>
        </is>
      </c>
      <c r="J518" t="n">
        <v>0.631</v>
      </c>
      <c r="K518" t="inlineStr">
        <is>
          <t>CTL</t>
        </is>
      </c>
    </row>
    <row r="519" hidden="1" s="584">
      <c r="A519" t="n">
        <v>1937022</v>
      </c>
      <c r="B519" t="inlineStr">
        <is>
          <t>TUB-O-N-AUT-AW-PE-19.05X1.200X0.6500</t>
        </is>
      </c>
      <c r="C519" t="n">
        <v>2.487</v>
      </c>
      <c r="D519" t="n">
        <v>789</v>
      </c>
      <c r="E519" t="inlineStr">
        <is>
          <t>SANDHAR ENGINEERING PVT LTD.(KA) -U</t>
        </is>
      </c>
      <c r="F519" t="n">
        <v>1010</v>
      </c>
      <c r="G519" t="inlineStr">
        <is>
          <t>TVS</t>
        </is>
      </c>
      <c r="H519" t="inlineStr">
        <is>
          <t>19.05-0-1.2-ERW 1-PE</t>
        </is>
      </c>
      <c r="I519" t="inlineStr">
        <is>
          <t>19.05-0-1.2-ERW 1-PE-0.65</t>
        </is>
      </c>
      <c r="J519" t="n">
        <v>0.65</v>
      </c>
      <c r="K519" t="inlineStr">
        <is>
          <t>CTL</t>
        </is>
      </c>
    </row>
    <row r="520" hidden="1" s="584">
      <c r="A520" t="n">
        <v>1937022</v>
      </c>
      <c r="B520" t="inlineStr">
        <is>
          <t>TUB-O-N-AUT-AW-PE-19.05X1.200X0.6500</t>
        </is>
      </c>
      <c r="C520" t="n">
        <v>1.114892</v>
      </c>
      <c r="D520" t="n">
        <v>789</v>
      </c>
      <c r="E520" t="inlineStr">
        <is>
          <t>SANDHAR ENGINEERING PVT LTD.(KA) -U</t>
        </is>
      </c>
      <c r="F520" t="n">
        <v>1011</v>
      </c>
      <c r="G520" t="inlineStr">
        <is>
          <t>TVS</t>
        </is>
      </c>
      <c r="H520" t="inlineStr">
        <is>
          <t>19.05-0-1.2-ERW 1-PE</t>
        </is>
      </c>
      <c r="I520" t="inlineStr">
        <is>
          <t>19.05-0-1.2-ERW 1-PE-0.65</t>
        </is>
      </c>
      <c r="J520" t="n">
        <v>0.65</v>
      </c>
      <c r="K520" t="inlineStr">
        <is>
          <t>CTL</t>
        </is>
      </c>
    </row>
    <row r="521" hidden="1" s="584">
      <c r="A521" t="n">
        <v>1940189</v>
      </c>
      <c r="B521" t="inlineStr">
        <is>
          <t>TUB-O-O-AUT-AW-PE-19.05X1.200X0.6800</t>
        </is>
      </c>
      <c r="C521" t="n">
        <v>0.068985</v>
      </c>
      <c r="D521" t="n">
        <v>789</v>
      </c>
      <c r="E521" t="inlineStr">
        <is>
          <t>Neel Metal Products Limited</t>
        </is>
      </c>
      <c r="F521" t="n">
        <v>505</v>
      </c>
      <c r="G521" t="inlineStr">
        <is>
          <t>TVS</t>
        </is>
      </c>
      <c r="H521" t="inlineStr">
        <is>
          <t>19.05-0-1.2-ERW 1-PE</t>
        </is>
      </c>
      <c r="I521" t="inlineStr">
        <is>
          <t>19.05-0-1.2-ERW 1-PE-0.68</t>
        </is>
      </c>
      <c r="J521" t="n">
        <v>0.68</v>
      </c>
      <c r="K521" t="inlineStr">
        <is>
          <t>CTL</t>
        </is>
      </c>
    </row>
    <row r="522" hidden="1" s="584">
      <c r="A522" t="n">
        <v>1940189</v>
      </c>
      <c r="B522" t="inlineStr">
        <is>
          <t>TUB-O-O-AUT-AW-PE-19.05X1.200X0.6800</t>
        </is>
      </c>
      <c r="C522" t="n">
        <v>0.442</v>
      </c>
      <c r="D522" t="n">
        <v>789</v>
      </c>
      <c r="E522" t="inlineStr">
        <is>
          <t>Neel Metal Products Limited</t>
        </is>
      </c>
      <c r="F522" t="n">
        <v>802</v>
      </c>
      <c r="G522" t="inlineStr">
        <is>
          <t>TVS</t>
        </is>
      </c>
      <c r="H522" t="inlineStr">
        <is>
          <t>19.05-0-1.2-ERW 1-PE</t>
        </is>
      </c>
      <c r="I522" t="inlineStr">
        <is>
          <t>19.05-0-1.2-ERW 1-PE-0.68</t>
        </is>
      </c>
      <c r="J522" t="n">
        <v>0.68</v>
      </c>
      <c r="K522" t="inlineStr">
        <is>
          <t>CTL</t>
        </is>
      </c>
    </row>
    <row r="523" hidden="1" s="584">
      <c r="A523" t="n">
        <v>1940189</v>
      </c>
      <c r="B523" t="inlineStr">
        <is>
          <t>TUB-O-O-AUT-AW-PE-19.05X1.200X0.6800</t>
        </is>
      </c>
      <c r="C523" t="n">
        <v>1.509</v>
      </c>
      <c r="D523" t="n">
        <v>789</v>
      </c>
      <c r="E523" t="inlineStr">
        <is>
          <t>Neel Metal Products Limited</t>
        </is>
      </c>
      <c r="F523" t="n">
        <v>803</v>
      </c>
      <c r="G523" t="inlineStr">
        <is>
          <t>TVS</t>
        </is>
      </c>
      <c r="H523" t="inlineStr">
        <is>
          <t>19.05-0-1.2-ERW 1-PE</t>
        </is>
      </c>
      <c r="I523" t="inlineStr">
        <is>
          <t>19.05-0-1.2-ERW 1-PE-0.68</t>
        </is>
      </c>
      <c r="J523" t="n">
        <v>0.68</v>
      </c>
      <c r="K523" t="inlineStr">
        <is>
          <t>CTL</t>
        </is>
      </c>
    </row>
    <row r="524" hidden="1" s="584">
      <c r="A524" t="n">
        <v>1940189</v>
      </c>
      <c r="B524" t="inlineStr">
        <is>
          <t>TUB-O-O-AUT-AW-PE-19.05X1.200X0.6800</t>
        </is>
      </c>
      <c r="C524" t="n">
        <v>0.981</v>
      </c>
      <c r="D524" t="n">
        <v>789</v>
      </c>
      <c r="E524" t="inlineStr">
        <is>
          <t>Neel Metal Products Limited</t>
        </is>
      </c>
      <c r="F524" t="n">
        <v>804</v>
      </c>
      <c r="G524" t="inlineStr">
        <is>
          <t>TVS</t>
        </is>
      </c>
      <c r="H524" t="inlineStr">
        <is>
          <t>19.05-0-1.2-ERW 1-PE</t>
        </is>
      </c>
      <c r="I524" t="inlineStr">
        <is>
          <t>19.05-0-1.2-ERW 1-PE-0.68</t>
        </is>
      </c>
      <c r="J524" t="n">
        <v>0.68</v>
      </c>
      <c r="K524" t="inlineStr">
        <is>
          <t>CTL</t>
        </is>
      </c>
    </row>
    <row r="525" hidden="1" s="584">
      <c r="A525" t="n">
        <v>1940189</v>
      </c>
      <c r="B525" t="inlineStr">
        <is>
          <t>TUB-O-O-AUT-AW-PE-19.05X1.200X0.6800</t>
        </is>
      </c>
      <c r="C525" t="n">
        <v>0.528</v>
      </c>
      <c r="D525" t="n">
        <v>789</v>
      </c>
      <c r="E525" t="inlineStr">
        <is>
          <t>Neel Metal Products Limited</t>
        </is>
      </c>
      <c r="F525" t="n">
        <v>805</v>
      </c>
      <c r="G525" t="inlineStr">
        <is>
          <t>TVS</t>
        </is>
      </c>
      <c r="H525" t="inlineStr">
        <is>
          <t>19.05-0-1.2-ERW 1-PE</t>
        </is>
      </c>
      <c r="I525" t="inlineStr">
        <is>
          <t>19.05-0-1.2-ERW 1-PE-0.68</t>
        </is>
      </c>
      <c r="J525" t="n">
        <v>0.68</v>
      </c>
      <c r="K525" t="inlineStr">
        <is>
          <t>CTL</t>
        </is>
      </c>
    </row>
    <row r="526" hidden="1" s="584">
      <c r="A526" t="n">
        <v>3929540</v>
      </c>
      <c r="B526" t="inlineStr">
        <is>
          <t>CUT-O-N-AUT-AW-PE-19.05X1.200X0.6820</t>
        </is>
      </c>
      <c r="C526" t="n">
        <v>0.017986</v>
      </c>
      <c r="D526" t="n">
        <v>789</v>
      </c>
      <c r="E526" t="inlineStr">
        <is>
          <t>Marathwada Auto Compo Pvt. Ltd.</t>
        </is>
      </c>
      <c r="F526" t="n">
        <v>1173</v>
      </c>
      <c r="G526" t="inlineStr">
        <is>
          <t>TVS</t>
        </is>
      </c>
      <c r="H526" t="inlineStr">
        <is>
          <t>19-19-1.2-CRFH-PE</t>
        </is>
      </c>
      <c r="I526" t="inlineStr">
        <is>
          <t>19-19-1.2-CRFH-PE-0.682</t>
        </is>
      </c>
      <c r="J526" t="n">
        <v>0.6820000000000001</v>
      </c>
      <c r="K526" t="inlineStr">
        <is>
          <t>CTL</t>
        </is>
      </c>
    </row>
    <row r="527" hidden="1" s="584">
      <c r="A527" t="n">
        <v>3929540</v>
      </c>
      <c r="B527" t="inlineStr">
        <is>
          <t>CUT-O-N-AUT-AW-PE-19.05X1.200X0.6820</t>
        </is>
      </c>
      <c r="C527" t="n">
        <v>0.000665</v>
      </c>
      <c r="D527" t="n">
        <v>789</v>
      </c>
      <c r="E527" t="inlineStr">
        <is>
          <t>Marathwada Auto Compo Pvt. Ltd.</t>
        </is>
      </c>
      <c r="F527" t="n">
        <v>1174</v>
      </c>
      <c r="G527" t="inlineStr">
        <is>
          <t>TVS</t>
        </is>
      </c>
      <c r="H527" t="inlineStr">
        <is>
          <t>19-19-1.2-CRFH-PE</t>
        </is>
      </c>
      <c r="I527" t="inlineStr">
        <is>
          <t>19-19-1.2-CRFH-PE-0.682</t>
        </is>
      </c>
      <c r="J527" t="n">
        <v>0.6820000000000001</v>
      </c>
      <c r="K527" t="inlineStr">
        <is>
          <t>CTL</t>
        </is>
      </c>
    </row>
    <row r="528" hidden="1" s="584">
      <c r="A528" t="n">
        <v>3929540</v>
      </c>
      <c r="B528" t="inlineStr">
        <is>
          <t>CUT-O-N-AUT-AW-PE-19.05X1.200X0.6820</t>
        </is>
      </c>
      <c r="C528" t="n">
        <v>0.008551999999999999</v>
      </c>
      <c r="D528" t="n">
        <v>789</v>
      </c>
      <c r="E528" t="inlineStr">
        <is>
          <t>Marathwada Auto Compo Pvt. Ltd.</t>
        </is>
      </c>
      <c r="F528" t="n">
        <v>1175</v>
      </c>
      <c r="G528" t="inlineStr">
        <is>
          <t>TVS</t>
        </is>
      </c>
      <c r="H528" t="inlineStr">
        <is>
          <t>19-19-1.2-CRFH-PE</t>
        </is>
      </c>
      <c r="I528" t="inlineStr">
        <is>
          <t>19-19-1.2-CRFH-PE-0.682</t>
        </is>
      </c>
      <c r="J528" t="n">
        <v>0.6820000000000001</v>
      </c>
      <c r="K528" t="inlineStr">
        <is>
          <t>CTL</t>
        </is>
      </c>
    </row>
    <row r="529" hidden="1" s="584">
      <c r="A529" t="n">
        <v>3929540</v>
      </c>
      <c r="B529" t="inlineStr">
        <is>
          <t>CUT-O-N-AUT-AW-PE-19.05X1.200X0.6820</t>
        </is>
      </c>
      <c r="C529" t="n">
        <v>0.109345</v>
      </c>
      <c r="D529" t="n">
        <v>789</v>
      </c>
      <c r="E529" t="inlineStr">
        <is>
          <t>Marathwada Auto Compo Pvt. Ltd.</t>
        </is>
      </c>
      <c r="F529" t="n">
        <v>1176</v>
      </c>
      <c r="G529" t="inlineStr">
        <is>
          <t>TVS</t>
        </is>
      </c>
      <c r="H529" t="inlineStr">
        <is>
          <t>19-19-1.2-CRFH-PE</t>
        </is>
      </c>
      <c r="I529" t="inlineStr">
        <is>
          <t>19-19-1.2-CRFH-PE-0.682</t>
        </is>
      </c>
      <c r="J529" t="n">
        <v>0.6820000000000001</v>
      </c>
      <c r="K529" t="inlineStr">
        <is>
          <t>CTL</t>
        </is>
      </c>
    </row>
    <row r="530" hidden="1" s="584">
      <c r="A530" t="n">
        <v>3929540</v>
      </c>
      <c r="B530" t="inlineStr">
        <is>
          <t>CUT-O-N-AUT-AW-PE-19.05X1.200X0.6820</t>
        </is>
      </c>
      <c r="C530" t="n">
        <v>0.009039999999999999</v>
      </c>
      <c r="D530" t="n">
        <v>789</v>
      </c>
      <c r="E530" t="inlineStr">
        <is>
          <t>Marathwada Auto Compo Pvt. Ltd.</t>
        </is>
      </c>
      <c r="F530" t="n">
        <v>1177</v>
      </c>
      <c r="G530" t="inlineStr">
        <is>
          <t>TVS</t>
        </is>
      </c>
      <c r="H530" t="inlineStr">
        <is>
          <t>19-19-1.2-CRFH-PE</t>
        </is>
      </c>
      <c r="I530" t="inlineStr">
        <is>
          <t>19-19-1.2-CRFH-PE-0.682</t>
        </is>
      </c>
      <c r="J530" t="n">
        <v>0.6820000000000001</v>
      </c>
      <c r="K530" t="inlineStr">
        <is>
          <t>CTL</t>
        </is>
      </c>
    </row>
    <row r="531" hidden="1" s="584">
      <c r="A531" t="n">
        <v>3929540</v>
      </c>
      <c r="B531" t="inlineStr">
        <is>
          <t>CUT-O-N-AUT-AW-PE-19.05X1.200X0.6820</t>
        </is>
      </c>
      <c r="C531" t="n">
        <v>0.22</v>
      </c>
      <c r="D531" t="n">
        <v>789</v>
      </c>
      <c r="E531" t="inlineStr">
        <is>
          <t>Marathwada Auto Compo Pvt. Ltd.</t>
        </is>
      </c>
      <c r="F531" t="n">
        <v>1178</v>
      </c>
      <c r="G531" t="inlineStr">
        <is>
          <t>TVS</t>
        </is>
      </c>
      <c r="H531" t="inlineStr">
        <is>
          <t>19-19-1.2-CRFH-PE</t>
        </is>
      </c>
      <c r="I531" t="inlineStr">
        <is>
          <t>19-19-1.2-CRFH-PE-0.682</t>
        </is>
      </c>
      <c r="J531" t="n">
        <v>0.6820000000000001</v>
      </c>
      <c r="K531" t="inlineStr">
        <is>
          <t>CTL</t>
        </is>
      </c>
    </row>
    <row r="532" hidden="1" s="584">
      <c r="A532" t="n">
        <v>3712521</v>
      </c>
      <c r="B532" t="inlineStr">
        <is>
          <t>CUT-R-AW-RHS-40.00X30.00X1.600X0.8350</t>
        </is>
      </c>
      <c r="C532" t="n">
        <v>0.034044</v>
      </c>
      <c r="D532" t="n">
        <v>789</v>
      </c>
      <c r="E532" t="inlineStr">
        <is>
          <t>Rajsriya Automotive Industries(P)</t>
        </is>
      </c>
      <c r="F532" t="n">
        <v>479</v>
      </c>
      <c r="G532" t="inlineStr">
        <is>
          <t>TVS</t>
        </is>
      </c>
      <c r="H532" t="inlineStr">
        <is>
          <t>40-30-1.6-ERW 1-FC</t>
        </is>
      </c>
      <c r="I532" t="inlineStr">
        <is>
          <t>40-30-1.6-ERW 1-FC-0.835</t>
        </is>
      </c>
      <c r="J532" t="n">
        <v>0.835</v>
      </c>
      <c r="K532" t="inlineStr">
        <is>
          <t>CTL</t>
        </is>
      </c>
    </row>
    <row r="533" hidden="1" s="584">
      <c r="A533" t="n">
        <v>3712521</v>
      </c>
      <c r="B533" t="inlineStr">
        <is>
          <t>CUT-R-AW-RHS-40.00X30.00X1.600X0.8350</t>
        </is>
      </c>
      <c r="C533" t="n">
        <v>0.535114</v>
      </c>
      <c r="D533" t="n">
        <v>4731</v>
      </c>
      <c r="E533" t="inlineStr">
        <is>
          <t>Rajsriya Automotive Industries(P)</t>
        </is>
      </c>
      <c r="F533" t="n">
        <v>1766</v>
      </c>
      <c r="G533" t="inlineStr">
        <is>
          <t>TVS</t>
        </is>
      </c>
      <c r="H533" t="inlineStr">
        <is>
          <t>40-30-1.6-ERW 1-FC</t>
        </is>
      </c>
      <c r="I533" t="inlineStr">
        <is>
          <t>40-30-1.6-ERW 1-FC-0.835</t>
        </is>
      </c>
      <c r="J533" t="n">
        <v>0.835</v>
      </c>
      <c r="K533" t="inlineStr">
        <is>
          <t>CTL</t>
        </is>
      </c>
    </row>
    <row r="534" hidden="1" s="584">
      <c r="A534" t="n">
        <v>3712521</v>
      </c>
      <c r="B534" t="inlineStr">
        <is>
          <t>CUT-R-AW-RHS-40.00X30.00X1.600X0.8350</t>
        </is>
      </c>
      <c r="C534" t="n">
        <v>0.344143</v>
      </c>
      <c r="D534" t="n">
        <v>4731</v>
      </c>
      <c r="E534" t="inlineStr">
        <is>
          <t>Rajsriya Automotive Industries(P)</t>
        </is>
      </c>
      <c r="F534" t="n">
        <v>1767</v>
      </c>
      <c r="G534" t="inlineStr">
        <is>
          <t>TVS</t>
        </is>
      </c>
      <c r="H534" t="inlineStr">
        <is>
          <t>40-30-1.6-ERW 1-FC</t>
        </is>
      </c>
      <c r="I534" t="inlineStr">
        <is>
          <t>40-30-1.6-ERW 1-FC-0.835</t>
        </is>
      </c>
      <c r="J534" t="n">
        <v>0.835</v>
      </c>
      <c r="K534" t="inlineStr">
        <is>
          <t>CTL</t>
        </is>
      </c>
    </row>
    <row r="535" hidden="1" s="584">
      <c r="A535" t="n">
        <v>3727212</v>
      </c>
      <c r="B535" t="inlineStr">
        <is>
          <t>TUB-O-N-AUT-AW-FC-28.58X1.600X0.2150</t>
        </is>
      </c>
      <c r="C535" t="n">
        <v>0.01124</v>
      </c>
      <c r="D535" t="n">
        <v>789</v>
      </c>
      <c r="E535" t="inlineStr">
        <is>
          <t>ELKAYEM AUTO ANCILLARIES PRIVATE LI</t>
        </is>
      </c>
      <c r="F535" t="n">
        <v>480</v>
      </c>
      <c r="G535" t="inlineStr">
        <is>
          <t>TVS</t>
        </is>
      </c>
      <c r="H535" t="inlineStr">
        <is>
          <t>28.58-0-1.6-ERW 1-FC</t>
        </is>
      </c>
      <c r="I535" t="inlineStr">
        <is>
          <t>28.58-0-1.6-ERW 1-FC-0.215</t>
        </is>
      </c>
      <c r="J535" t="n">
        <v>0.215</v>
      </c>
      <c r="K535" t="inlineStr">
        <is>
          <t>CTL</t>
        </is>
      </c>
    </row>
    <row r="536" hidden="1" s="584">
      <c r="A536" t="n">
        <v>3229740</v>
      </c>
      <c r="B536" t="inlineStr">
        <is>
          <t>TUB-O-N-AUT-AW-PE-19.05X1.200X1.0750</t>
        </is>
      </c>
      <c r="C536" t="n">
        <v>0.060848</v>
      </c>
      <c r="D536" t="n">
        <v>789</v>
      </c>
      <c r="E536" t="inlineStr">
        <is>
          <t>BALAJI PRESS PRODUCTS INDIA</t>
        </is>
      </c>
      <c r="F536" t="n">
        <v>988</v>
      </c>
      <c r="G536" t="inlineStr">
        <is>
          <t>TVS</t>
        </is>
      </c>
      <c r="H536" t="inlineStr">
        <is>
          <t>19.05-0-1.2-ERW 1-PE</t>
        </is>
      </c>
      <c r="I536" t="inlineStr">
        <is>
          <t>19.05-0-1.2-ERW 1-PE-1.075</t>
        </is>
      </c>
      <c r="J536" t="n">
        <v>1.075</v>
      </c>
      <c r="K536" t="inlineStr">
        <is>
          <t>CTL</t>
        </is>
      </c>
    </row>
    <row r="537" hidden="1" s="584">
      <c r="A537" t="n">
        <v>3229740</v>
      </c>
      <c r="B537" t="inlineStr">
        <is>
          <t>TUB-O-N-AUT-AW-PE-19.05X1.200X1.0750</t>
        </is>
      </c>
      <c r="C537" t="n">
        <v>0.017102</v>
      </c>
      <c r="D537" t="n">
        <v>789</v>
      </c>
      <c r="E537" t="inlineStr">
        <is>
          <t>BALAJI PRESS PRODUCTS INDIA</t>
        </is>
      </c>
      <c r="F537" t="n">
        <v>989</v>
      </c>
      <c r="G537" t="inlineStr">
        <is>
          <t>TVS</t>
        </is>
      </c>
      <c r="H537" t="inlineStr">
        <is>
          <t>19.05-0-1.2-ERW 1-PE</t>
        </is>
      </c>
      <c r="I537" t="inlineStr">
        <is>
          <t>19.05-0-1.2-ERW 1-PE-1.075</t>
        </is>
      </c>
      <c r="J537" t="n">
        <v>1.075</v>
      </c>
      <c r="K537" t="inlineStr">
        <is>
          <t>CTL</t>
        </is>
      </c>
    </row>
    <row r="538" hidden="1" s="584">
      <c r="A538" t="n">
        <v>3229740</v>
      </c>
      <c r="B538" t="inlineStr">
        <is>
          <t>TUB-O-N-AUT-AW-PE-19.05X1.200X1.0750</t>
        </is>
      </c>
      <c r="C538" t="n">
        <v>0.026307</v>
      </c>
      <c r="D538" t="n">
        <v>789</v>
      </c>
      <c r="E538" t="inlineStr">
        <is>
          <t>BALAJI PRESS PRODUCTS INDIA</t>
        </is>
      </c>
      <c r="F538" t="n">
        <v>990</v>
      </c>
      <c r="G538" t="inlineStr">
        <is>
          <t>TVS</t>
        </is>
      </c>
      <c r="H538" t="inlineStr">
        <is>
          <t>19.05-0-1.2-ERW 1-PE</t>
        </is>
      </c>
      <c r="I538" t="inlineStr">
        <is>
          <t>19.05-0-1.2-ERW 1-PE-1.075</t>
        </is>
      </c>
      <c r="J538" t="n">
        <v>1.075</v>
      </c>
      <c r="K538" t="inlineStr">
        <is>
          <t>CTL</t>
        </is>
      </c>
    </row>
    <row r="539" hidden="1" s="584">
      <c r="A539" t="n">
        <v>3229740</v>
      </c>
      <c r="B539" t="inlineStr">
        <is>
          <t>TUB-O-N-AUT-AW-PE-19.05X1.200X1.0750</t>
        </is>
      </c>
      <c r="C539" t="n">
        <v>0.018554</v>
      </c>
      <c r="D539" t="n">
        <v>789</v>
      </c>
      <c r="E539" t="inlineStr">
        <is>
          <t>BALAJI PRESS PRODUCTS INDIA</t>
        </is>
      </c>
      <c r="F539" t="n">
        <v>991</v>
      </c>
      <c r="G539" t="inlineStr">
        <is>
          <t>TVS</t>
        </is>
      </c>
      <c r="H539" t="inlineStr">
        <is>
          <t>19.05-0-1.2-ERW 1-PE</t>
        </is>
      </c>
      <c r="I539" t="inlineStr">
        <is>
          <t>19.05-0-1.2-ERW 1-PE-1.075</t>
        </is>
      </c>
      <c r="J539" t="n">
        <v>1.075</v>
      </c>
      <c r="K539" t="inlineStr">
        <is>
          <t>CTL</t>
        </is>
      </c>
    </row>
    <row r="540" hidden="1" s="584">
      <c r="A540" t="n">
        <v>3910451</v>
      </c>
      <c r="B540" t="inlineStr">
        <is>
          <t>CUT-O-N-AUT-AW-FC-34.93X2.300X0.2980</t>
        </is>
      </c>
      <c r="C540" t="n">
        <v>0.0005510000000000001</v>
      </c>
      <c r="D540" t="n">
        <v>789</v>
      </c>
      <c r="E540" t="inlineStr">
        <is>
          <t>ELKAYEM AUTO ANCILLARIES PRIVATE LI</t>
        </is>
      </c>
      <c r="F540" t="n">
        <v>488</v>
      </c>
      <c r="G540" t="inlineStr">
        <is>
          <t>TVS</t>
        </is>
      </c>
      <c r="H540" t="inlineStr">
        <is>
          <t>34.93-0-2.3-ERW 2-FC-Ampere</t>
        </is>
      </c>
      <c r="I540" t="inlineStr">
        <is>
          <t>34.93-0-2.3-ERW 2-FC-Ampere-0.298</t>
        </is>
      </c>
      <c r="J540" t="n">
        <v>0.298</v>
      </c>
      <c r="K540" t="inlineStr">
        <is>
          <t>CTL</t>
        </is>
      </c>
    </row>
    <row r="541" hidden="1" s="584">
      <c r="A541" t="n">
        <v>3229739</v>
      </c>
      <c r="B541" t="inlineStr">
        <is>
          <t>TUB-O-N-AUT-AW-PE-19.05X1.200X1.1300</t>
        </is>
      </c>
      <c r="C541" t="n">
        <v>0.155938</v>
      </c>
      <c r="D541" t="n">
        <v>789</v>
      </c>
      <c r="E541" t="inlineStr">
        <is>
          <t>BALAJI PRESS PRODUCTS INDIA</t>
        </is>
      </c>
      <c r="F541" t="n">
        <v>921</v>
      </c>
      <c r="G541" t="inlineStr">
        <is>
          <t>TVS</t>
        </is>
      </c>
      <c r="H541" t="inlineStr">
        <is>
          <t>19.05-0-1.2-ERW 1-PE</t>
        </is>
      </c>
      <c r="I541" t="inlineStr">
        <is>
          <t>19.05-0-1.2-ERW 1-PE-1.13</t>
        </is>
      </c>
      <c r="J541" t="n">
        <v>1.13</v>
      </c>
      <c r="K541" t="inlineStr">
        <is>
          <t>CTL</t>
        </is>
      </c>
    </row>
    <row r="542" hidden="1" s="584">
      <c r="A542" t="n">
        <v>3229739</v>
      </c>
      <c r="B542" t="inlineStr">
        <is>
          <t>TUB-O-N-AUT-AW-PE-19.05X1.200X1.1300</t>
        </is>
      </c>
      <c r="C542" t="n">
        <v>0.597</v>
      </c>
      <c r="D542" t="n">
        <v>789</v>
      </c>
      <c r="E542" t="inlineStr">
        <is>
          <t>BALAJI PRESS PRODUCTS INDIA</t>
        </is>
      </c>
      <c r="F542" t="n">
        <v>922</v>
      </c>
      <c r="G542" t="inlineStr">
        <is>
          <t>TVS</t>
        </is>
      </c>
      <c r="H542" t="inlineStr">
        <is>
          <t>19.05-0-1.2-ERW 1-PE</t>
        </is>
      </c>
      <c r="I542" t="inlineStr">
        <is>
          <t>19.05-0-1.2-ERW 1-PE-1.13</t>
        </is>
      </c>
      <c r="J542" t="n">
        <v>1.13</v>
      </c>
      <c r="K542" t="inlineStr">
        <is>
          <t>CTL</t>
        </is>
      </c>
    </row>
    <row r="543" hidden="1" s="584">
      <c r="A543" t="n">
        <v>3229739</v>
      </c>
      <c r="B543" t="inlineStr">
        <is>
          <t>TUB-O-N-AUT-AW-PE-19.05X1.200X1.1300</t>
        </is>
      </c>
      <c r="C543" t="n">
        <v>0.6072340000000001</v>
      </c>
      <c r="D543" t="n">
        <v>789</v>
      </c>
      <c r="E543" t="inlineStr">
        <is>
          <t>BALAJI PRESS PRODUCTS INDIA</t>
        </is>
      </c>
      <c r="F543" t="n">
        <v>923</v>
      </c>
      <c r="G543" t="inlineStr">
        <is>
          <t>TVS</t>
        </is>
      </c>
      <c r="H543" t="inlineStr">
        <is>
          <t>19.05-0-1.2-ERW 1-PE</t>
        </is>
      </c>
      <c r="I543" t="inlineStr">
        <is>
          <t>19.05-0-1.2-ERW 1-PE-1.13</t>
        </is>
      </c>
      <c r="J543" t="n">
        <v>1.13</v>
      </c>
      <c r="K543" t="inlineStr">
        <is>
          <t>CTL</t>
        </is>
      </c>
    </row>
    <row r="544" hidden="1" s="584">
      <c r="A544" t="n">
        <v>4110464</v>
      </c>
      <c r="B544" t="inlineStr">
        <is>
          <t>TUB-O-N-AUT-AW-PE-19.05X1.200X1.1450</t>
        </is>
      </c>
      <c r="C544" t="n">
        <v>0.013704</v>
      </c>
      <c r="D544" t="n">
        <v>789</v>
      </c>
      <c r="E544" t="inlineStr">
        <is>
          <t>MEGH STEELS PRIVATE LIMITED - TVS A</t>
        </is>
      </c>
      <c r="F544" t="n">
        <v>950</v>
      </c>
      <c r="G544" t="inlineStr">
        <is>
          <t>Direct</t>
        </is>
      </c>
      <c r="H544" t="inlineStr">
        <is>
          <t>19.05-0-1.2-ERW 1-PE</t>
        </is>
      </c>
      <c r="J544" t="n">
        <v>1.145</v>
      </c>
      <c r="K544" t="inlineStr">
        <is>
          <t>CTL</t>
        </is>
      </c>
    </row>
    <row r="545" hidden="1" s="584">
      <c r="A545" t="n">
        <v>4110464</v>
      </c>
      <c r="B545" t="inlineStr">
        <is>
          <t>TUB-O-N-AUT-AW-PE-19.05X1.200X1.1450</t>
        </is>
      </c>
      <c r="C545" t="n">
        <v>0.254288</v>
      </c>
      <c r="D545" t="n">
        <v>789</v>
      </c>
      <c r="E545" t="inlineStr">
        <is>
          <t>MEGH STEELS PRIVATE LIMITED - TVS A</t>
        </is>
      </c>
      <c r="F545" t="n">
        <v>951</v>
      </c>
      <c r="G545" t="inlineStr">
        <is>
          <t>Direct</t>
        </is>
      </c>
      <c r="H545" t="inlineStr">
        <is>
          <t>19.05-0-1.2-ERW 1-PE</t>
        </is>
      </c>
      <c r="J545" t="n">
        <v>1.145</v>
      </c>
      <c r="K545" t="inlineStr">
        <is>
          <t>CTL</t>
        </is>
      </c>
    </row>
    <row r="546" hidden="1" s="584">
      <c r="A546" t="n">
        <v>3929692</v>
      </c>
      <c r="B546" t="inlineStr">
        <is>
          <t>CUT-O-N-AUT-AW-PE-19.05X1.200X1.2300</t>
        </is>
      </c>
      <c r="C546" t="n">
        <v>0.000768</v>
      </c>
      <c r="D546" t="n">
        <v>789</v>
      </c>
      <c r="E546" t="inlineStr">
        <is>
          <t>Sri Balaji Gears</t>
        </is>
      </c>
      <c r="F546" t="n">
        <v>1225</v>
      </c>
      <c r="G546" t="inlineStr">
        <is>
          <t>TVS</t>
        </is>
      </c>
      <c r="H546" t="inlineStr">
        <is>
          <t>19.05-0-1.2-CRFH-PE</t>
        </is>
      </c>
      <c r="I546" t="inlineStr">
        <is>
          <t>19.05-0-1.2-CRFH-PE-1.23</t>
        </is>
      </c>
      <c r="J546" t="n">
        <v>1.23</v>
      </c>
      <c r="K546" t="inlineStr">
        <is>
          <t>CTL</t>
        </is>
      </c>
    </row>
    <row r="547" hidden="1" s="584">
      <c r="A547" t="n">
        <v>3929692</v>
      </c>
      <c r="B547" t="inlineStr">
        <is>
          <t>CUT-O-N-AUT-AW-PE-19.05X1.200X1.2300</t>
        </is>
      </c>
      <c r="C547" t="n">
        <v>0.000768</v>
      </c>
      <c r="D547" t="n">
        <v>789</v>
      </c>
      <c r="E547" t="inlineStr">
        <is>
          <t>Sri Balaji Gears</t>
        </is>
      </c>
      <c r="F547" t="n">
        <v>1226</v>
      </c>
      <c r="G547" t="inlineStr">
        <is>
          <t>TVS</t>
        </is>
      </c>
      <c r="H547" t="inlineStr">
        <is>
          <t>19.05-0-1.2-CRFH-PE</t>
        </is>
      </c>
      <c r="I547" t="inlineStr">
        <is>
          <t>19.05-0-1.2-CRFH-PE-1.23</t>
        </is>
      </c>
      <c r="J547" t="n">
        <v>1.23</v>
      </c>
      <c r="K547" t="inlineStr">
        <is>
          <t>CTL</t>
        </is>
      </c>
    </row>
    <row r="548" hidden="1" s="584">
      <c r="A548" t="n">
        <v>3929692</v>
      </c>
      <c r="B548" t="inlineStr">
        <is>
          <t>CUT-O-N-AUT-AW-PE-19.05X1.200X1.2300</t>
        </is>
      </c>
      <c r="C548" t="n">
        <v>0.000896</v>
      </c>
      <c r="D548" t="n">
        <v>789</v>
      </c>
      <c r="E548" t="inlineStr">
        <is>
          <t>Sri Balaji Gears</t>
        </is>
      </c>
      <c r="F548" t="n">
        <v>1227</v>
      </c>
      <c r="G548" t="inlineStr">
        <is>
          <t>TVS</t>
        </is>
      </c>
      <c r="H548" t="inlineStr">
        <is>
          <t>19.05-0-1.2-CRFH-PE</t>
        </is>
      </c>
      <c r="I548" t="inlineStr">
        <is>
          <t>19.05-0-1.2-CRFH-PE-1.23</t>
        </is>
      </c>
      <c r="J548" t="n">
        <v>1.23</v>
      </c>
      <c r="K548" t="inlineStr">
        <is>
          <t>CTL</t>
        </is>
      </c>
    </row>
    <row r="549" hidden="1" s="584">
      <c r="A549" t="n">
        <v>3929692</v>
      </c>
      <c r="B549" t="inlineStr">
        <is>
          <t>CUT-O-N-AUT-AW-PE-19.05X1.200X1.2300</t>
        </is>
      </c>
      <c r="C549" t="n">
        <v>0.000896</v>
      </c>
      <c r="D549" t="n">
        <v>789</v>
      </c>
      <c r="E549" t="inlineStr">
        <is>
          <t>Sri Balaji Gears</t>
        </is>
      </c>
      <c r="F549" t="n">
        <v>1228</v>
      </c>
      <c r="G549" t="inlineStr">
        <is>
          <t>TVS</t>
        </is>
      </c>
      <c r="H549" t="inlineStr">
        <is>
          <t>19.05-0-1.2-CRFH-PE</t>
        </is>
      </c>
      <c r="I549" t="inlineStr">
        <is>
          <t>19.05-0-1.2-CRFH-PE-1.23</t>
        </is>
      </c>
      <c r="J549" t="n">
        <v>1.23</v>
      </c>
      <c r="K549" t="inlineStr">
        <is>
          <t>CTL</t>
        </is>
      </c>
    </row>
    <row r="550" hidden="1" s="584">
      <c r="A550" t="n">
        <v>3929692</v>
      </c>
      <c r="B550" t="inlineStr">
        <is>
          <t>CUT-O-N-AUT-AW-PE-19.05X1.200X1.2300</t>
        </is>
      </c>
      <c r="C550" t="n">
        <v>0.001351</v>
      </c>
      <c r="D550" t="n">
        <v>789</v>
      </c>
      <c r="E550" t="inlineStr">
        <is>
          <t>Sri Balaji Gears</t>
        </is>
      </c>
      <c r="F550" t="n">
        <v>1229</v>
      </c>
      <c r="G550" t="inlineStr">
        <is>
          <t>TVS</t>
        </is>
      </c>
      <c r="H550" t="inlineStr">
        <is>
          <t>19.05-0-1.2-CRFH-PE</t>
        </is>
      </c>
      <c r="I550" t="inlineStr">
        <is>
          <t>19.05-0-1.2-CRFH-PE-1.23</t>
        </is>
      </c>
      <c r="J550" t="n">
        <v>1.23</v>
      </c>
      <c r="K550" t="inlineStr">
        <is>
          <t>CTL</t>
        </is>
      </c>
    </row>
    <row r="551" hidden="1" s="584">
      <c r="A551" t="n">
        <v>3929692</v>
      </c>
      <c r="B551" t="inlineStr">
        <is>
          <t>CUT-O-N-AUT-AW-PE-19.05X1.200X1.2300</t>
        </is>
      </c>
      <c r="C551" t="n">
        <v>0.5042559999999999</v>
      </c>
      <c r="D551" t="n">
        <v>789</v>
      </c>
      <c r="E551" t="inlineStr">
        <is>
          <t>Sri Balaji Gears</t>
        </is>
      </c>
      <c r="F551" t="n">
        <v>1230</v>
      </c>
      <c r="G551" t="inlineStr">
        <is>
          <t>TVS</t>
        </is>
      </c>
      <c r="H551" t="inlineStr">
        <is>
          <t>19.05-0-1.2-CRFH-PE</t>
        </is>
      </c>
      <c r="I551" t="inlineStr">
        <is>
          <t>19.05-0-1.2-CRFH-PE-1.23</t>
        </is>
      </c>
      <c r="J551" t="n">
        <v>1.23</v>
      </c>
      <c r="K551" t="inlineStr">
        <is>
          <t>CTL</t>
        </is>
      </c>
    </row>
    <row r="552" hidden="1" s="584">
      <c r="A552" t="n">
        <v>3409367</v>
      </c>
      <c r="B552" t="inlineStr">
        <is>
          <t>TUB-O-N-AUT-AW-PE-19.05X1.200X1.2750</t>
        </is>
      </c>
      <c r="C552" t="n">
        <v>0.032554</v>
      </c>
      <c r="D552" t="n">
        <v>789</v>
      </c>
      <c r="E552" t="inlineStr">
        <is>
          <t>BALAJI PRESS PRODUCTS INDIA</t>
        </is>
      </c>
      <c r="F552" t="n">
        <v>832</v>
      </c>
      <c r="G552" t="inlineStr">
        <is>
          <t>TVS</t>
        </is>
      </c>
      <c r="H552" t="inlineStr">
        <is>
          <t>19.05-0-1.2-ERW 1-PE</t>
        </is>
      </c>
      <c r="I552" t="inlineStr">
        <is>
          <t>19.05-0-1.2-ERW 1-PE-1.275</t>
        </is>
      </c>
      <c r="J552" t="n">
        <v>1.275</v>
      </c>
      <c r="K552" t="inlineStr">
        <is>
          <t>CTL</t>
        </is>
      </c>
    </row>
    <row r="553" hidden="1" s="584">
      <c r="A553" t="n">
        <v>3409367</v>
      </c>
      <c r="B553" t="inlineStr">
        <is>
          <t>TUB-O-N-AUT-AW-PE-19.05X1.200X1.2750</t>
        </is>
      </c>
      <c r="C553" t="n">
        <v>0.155716</v>
      </c>
      <c r="D553" t="n">
        <v>789</v>
      </c>
      <c r="E553" t="inlineStr">
        <is>
          <t>BALAJI PRESS PRODUCTS INDIA</t>
        </is>
      </c>
      <c r="F553" t="n">
        <v>833</v>
      </c>
      <c r="G553" t="inlineStr">
        <is>
          <t>TVS</t>
        </is>
      </c>
      <c r="H553" t="inlineStr">
        <is>
          <t>19.05-0-1.2-ERW 1-PE</t>
        </is>
      </c>
      <c r="I553" t="inlineStr">
        <is>
          <t>19.05-0-1.2-ERW 1-PE-1.275</t>
        </is>
      </c>
      <c r="J553" t="n">
        <v>1.275</v>
      </c>
      <c r="K553" t="inlineStr">
        <is>
          <t>CTL</t>
        </is>
      </c>
    </row>
    <row r="554" hidden="1" s="584">
      <c r="A554" t="n">
        <v>1940430</v>
      </c>
      <c r="B554" t="inlineStr">
        <is>
          <t>TUB-O-O-AUT-AW-PE-22.23X2.000X0.2200</t>
        </is>
      </c>
      <c r="C554" t="n">
        <v>0.016509</v>
      </c>
      <c r="D554" t="n">
        <v>789</v>
      </c>
      <c r="E554" t="inlineStr">
        <is>
          <t>SRIKAM HITECH ENGINEERING PRIVATE L</t>
        </is>
      </c>
      <c r="F554" t="n">
        <v>506</v>
      </c>
      <c r="G554" t="inlineStr">
        <is>
          <t>TVS</t>
        </is>
      </c>
      <c r="H554" t="inlineStr">
        <is>
          <t>22.23-0-2-ERW 1-PE</t>
        </is>
      </c>
      <c r="I554" t="inlineStr">
        <is>
          <t>22.23-0-2-ERW 1-PE-0.22</t>
        </is>
      </c>
      <c r="J554" t="n">
        <v>0.22</v>
      </c>
      <c r="K554" t="inlineStr">
        <is>
          <t>CTL</t>
        </is>
      </c>
    </row>
    <row r="555" hidden="1" s="584">
      <c r="A555" t="n">
        <v>1940626</v>
      </c>
      <c r="B555" t="inlineStr">
        <is>
          <t>TUB-O-O-AUT-AW-FC-28.58X2.000X0.4750</t>
        </is>
      </c>
      <c r="C555" t="n">
        <v>0.002151</v>
      </c>
      <c r="D555" t="n">
        <v>789</v>
      </c>
      <c r="E555" t="inlineStr">
        <is>
          <t>ELKAYEM AUTO ANCILLARIES PRIVATE LI</t>
        </is>
      </c>
      <c r="F555" t="n">
        <v>507</v>
      </c>
      <c r="G555" t="inlineStr">
        <is>
          <t>TVS</t>
        </is>
      </c>
      <c r="H555" t="inlineStr">
        <is>
          <t>28.58-0-2-ERW 1-FC</t>
        </is>
      </c>
      <c r="I555" t="inlineStr">
        <is>
          <t>28.58-0-2-ERW 1-FC-0.475</t>
        </is>
      </c>
      <c r="J555" t="n">
        <v>0.475</v>
      </c>
      <c r="K555" t="inlineStr">
        <is>
          <t>CTL</t>
        </is>
      </c>
    </row>
    <row r="556" hidden="1" s="584">
      <c r="A556" t="n">
        <v>1940626</v>
      </c>
      <c r="B556" t="inlineStr">
        <is>
          <t>TUB-O-O-AUT-AW-FC-28.58X2.000X0.4750</t>
        </is>
      </c>
      <c r="C556" t="n">
        <v>1.308</v>
      </c>
      <c r="D556" t="n">
        <v>789</v>
      </c>
      <c r="E556" t="inlineStr">
        <is>
          <t>ELKAYEM AUTO ANCILLARIES (PVT) LTD.</t>
        </is>
      </c>
      <c r="F556" t="n">
        <v>709</v>
      </c>
      <c r="G556" t="inlineStr">
        <is>
          <t>TVS</t>
        </is>
      </c>
      <c r="H556" t="inlineStr">
        <is>
          <t>28.58-0-2-ERW 1-FC</t>
        </is>
      </c>
      <c r="I556" t="inlineStr">
        <is>
          <t>28.58-0-2-ERW 1-FC-0.475</t>
        </is>
      </c>
      <c r="J556" t="n">
        <v>0.475</v>
      </c>
      <c r="K556" t="inlineStr">
        <is>
          <t>CTL</t>
        </is>
      </c>
    </row>
    <row r="557" hidden="1" s="584">
      <c r="A557" t="n">
        <v>1940626</v>
      </c>
      <c r="B557" t="inlineStr">
        <is>
          <t>TUB-O-O-AUT-AW-FC-28.58X2.000X0.4750</t>
        </is>
      </c>
      <c r="C557" t="n">
        <v>2.912</v>
      </c>
      <c r="D557" t="n">
        <v>789</v>
      </c>
      <c r="E557" t="inlineStr">
        <is>
          <t>ELKAYEM AUTO ANCILLARIES (PVT) LTD.</t>
        </is>
      </c>
      <c r="F557" t="n">
        <v>710</v>
      </c>
      <c r="G557" t="inlineStr">
        <is>
          <t>TVS</t>
        </is>
      </c>
      <c r="H557" t="inlineStr">
        <is>
          <t>28.58-0-2-ERW 1-FC</t>
        </is>
      </c>
      <c r="I557" t="inlineStr">
        <is>
          <t>28.58-0-2-ERW 1-FC-0.475</t>
        </is>
      </c>
      <c r="J557" t="n">
        <v>0.475</v>
      </c>
      <c r="K557" t="inlineStr">
        <is>
          <t>CTL</t>
        </is>
      </c>
    </row>
    <row r="558" hidden="1" s="584">
      <c r="A558" t="n">
        <v>1940626</v>
      </c>
      <c r="B558" t="inlineStr">
        <is>
          <t>TUB-O-O-AUT-AW-FC-28.58X2.000X0.4750</t>
        </is>
      </c>
      <c r="C558" t="n">
        <v>0.6850000000000001</v>
      </c>
      <c r="D558" t="n">
        <v>789</v>
      </c>
      <c r="E558" t="inlineStr">
        <is>
          <t>ELKAYEM AUTO ANCILLARIES (PVT) LTD.</t>
        </is>
      </c>
      <c r="F558" t="n">
        <v>711</v>
      </c>
      <c r="G558" t="inlineStr">
        <is>
          <t>TVS</t>
        </is>
      </c>
      <c r="H558" t="inlineStr">
        <is>
          <t>28.58-0-2-ERW 1-FC</t>
        </is>
      </c>
      <c r="I558" t="inlineStr">
        <is>
          <t>28.58-0-2-ERW 1-FC-0.475</t>
        </is>
      </c>
      <c r="J558" t="n">
        <v>0.475</v>
      </c>
      <c r="K558" t="inlineStr">
        <is>
          <t>CTL</t>
        </is>
      </c>
    </row>
    <row r="559" hidden="1" s="584">
      <c r="A559" t="n">
        <v>1940626</v>
      </c>
      <c r="B559" t="inlineStr">
        <is>
          <t>TUB-O-O-AUT-AW-FC-28.58X2.000X0.4750</t>
        </is>
      </c>
      <c r="C559" t="n">
        <v>0.854</v>
      </c>
      <c r="D559" t="n">
        <v>789</v>
      </c>
      <c r="E559" t="inlineStr">
        <is>
          <t>ELKAYEM AUTO ANCILLARIES (PVT) LTD.</t>
        </is>
      </c>
      <c r="F559" t="n">
        <v>712</v>
      </c>
      <c r="G559" t="inlineStr">
        <is>
          <t>TVS</t>
        </is>
      </c>
      <c r="H559" t="inlineStr">
        <is>
          <t>28.58-0-2-ERW 1-FC</t>
        </is>
      </c>
      <c r="I559" t="inlineStr">
        <is>
          <t>28.58-0-2-ERW 1-FC-0.475</t>
        </is>
      </c>
      <c r="J559" t="n">
        <v>0.475</v>
      </c>
      <c r="K559" t="inlineStr">
        <is>
          <t>CTL</t>
        </is>
      </c>
    </row>
    <row r="560" hidden="1" s="584">
      <c r="A560" t="n">
        <v>1940626</v>
      </c>
      <c r="B560" t="inlineStr">
        <is>
          <t>TUB-O-O-AUT-AW-FC-28.58X2.000X0.4750</t>
        </is>
      </c>
      <c r="C560" t="n">
        <v>0.085877</v>
      </c>
      <c r="D560" t="n">
        <v>4731</v>
      </c>
      <c r="E560" t="inlineStr">
        <is>
          <t>ELKAYEM AUTO ANCILLARIES PRIVATE LI</t>
        </is>
      </c>
      <c r="F560" t="n">
        <v>1338</v>
      </c>
      <c r="G560" t="inlineStr">
        <is>
          <t>TVS</t>
        </is>
      </c>
      <c r="H560" t="inlineStr">
        <is>
          <t>28.58-0-2-ERW 1-FC</t>
        </is>
      </c>
      <c r="I560" t="inlineStr">
        <is>
          <t>28.58-0-2-ERW 1-FC-0.475</t>
        </is>
      </c>
      <c r="J560" t="n">
        <v>0.475</v>
      </c>
      <c r="K560" t="inlineStr">
        <is>
          <t>CTL</t>
        </is>
      </c>
    </row>
    <row r="561" hidden="1" s="584">
      <c r="A561" t="n">
        <v>1940821</v>
      </c>
      <c r="B561" t="inlineStr">
        <is>
          <t>TUB-R-AW-RHS-40.00X25.00X1.600X0.5130</t>
        </is>
      </c>
      <c r="C561" t="n">
        <v>0.07337</v>
      </c>
      <c r="D561" t="n">
        <v>789</v>
      </c>
      <c r="E561" t="inlineStr">
        <is>
          <t>ELKAYEM AUTO ANCILLARIES PRIVATE LI</t>
        </is>
      </c>
      <c r="F561" t="n">
        <v>511</v>
      </c>
      <c r="G561" t="inlineStr">
        <is>
          <t>TVS</t>
        </is>
      </c>
      <c r="H561" t="inlineStr">
        <is>
          <t>40-25-1.6-ERW 1-FC</t>
        </is>
      </c>
      <c r="I561" t="inlineStr">
        <is>
          <t>40-25-1.6-ERW 1-FC-0.513</t>
        </is>
      </c>
      <c r="J561" t="n">
        <v>0.513</v>
      </c>
      <c r="K561" t="inlineStr">
        <is>
          <t>CTL</t>
        </is>
      </c>
    </row>
    <row r="562" hidden="1" s="584">
      <c r="A562" t="n">
        <v>1940821</v>
      </c>
      <c r="B562" t="inlineStr">
        <is>
          <t>TUB-R-AW-RHS-40.00X25.00X1.600X0.5130</t>
        </is>
      </c>
      <c r="C562" t="n">
        <v>0.000803</v>
      </c>
      <c r="D562" t="n">
        <v>789</v>
      </c>
      <c r="E562" t="inlineStr">
        <is>
          <t>ELKAYEM AUTO ANCILLARIES PRIVATE LI</t>
        </is>
      </c>
      <c r="F562" t="n">
        <v>586</v>
      </c>
      <c r="G562" t="inlineStr">
        <is>
          <t>TVS</t>
        </is>
      </c>
      <c r="H562" t="inlineStr">
        <is>
          <t>40-25-1.6-ERW 1-FC</t>
        </is>
      </c>
      <c r="I562" t="inlineStr">
        <is>
          <t>40-25-1.6-ERW 1-FC-0.513</t>
        </is>
      </c>
      <c r="J562" t="n">
        <v>0.513</v>
      </c>
      <c r="K562" t="inlineStr">
        <is>
          <t>CTL</t>
        </is>
      </c>
    </row>
    <row r="563" hidden="1" s="584">
      <c r="A563" t="n">
        <v>1940821</v>
      </c>
      <c r="B563" t="inlineStr">
        <is>
          <t>TUB-R-AW-RHS-40.00X25.00X1.600X0.5130</t>
        </is>
      </c>
      <c r="C563" t="n">
        <v>0.1389850000000001</v>
      </c>
      <c r="D563" t="n">
        <v>4731</v>
      </c>
      <c r="E563" t="inlineStr">
        <is>
          <t>ELKAYEM AUTO ANCILLARIES PRIVATE LI</t>
        </is>
      </c>
      <c r="F563" t="n">
        <v>1354</v>
      </c>
      <c r="G563" t="inlineStr">
        <is>
          <t>TVS</t>
        </is>
      </c>
      <c r="H563" t="inlineStr">
        <is>
          <t>40-25-1.6-ERW 1-FC</t>
        </is>
      </c>
      <c r="I563" t="inlineStr">
        <is>
          <t>40-25-1.6-ERW 1-FC-0.513</t>
        </is>
      </c>
      <c r="J563" t="n">
        <v>0.513</v>
      </c>
      <c r="K563" t="inlineStr">
        <is>
          <t>CTL</t>
        </is>
      </c>
    </row>
    <row r="564" hidden="1" s="584">
      <c r="A564" t="n">
        <v>1940830</v>
      </c>
      <c r="B564" t="inlineStr">
        <is>
          <t>TUB-R-AW-RHS-40.00X30.00X1.600X0.8600</t>
        </is>
      </c>
      <c r="C564" t="n">
        <v>0.01405</v>
      </c>
      <c r="D564" t="n">
        <v>789</v>
      </c>
      <c r="E564" t="inlineStr">
        <is>
          <t>Rajsriya Automotive Industries(P)</t>
        </is>
      </c>
      <c r="F564" t="n">
        <v>512</v>
      </c>
      <c r="G564" t="inlineStr">
        <is>
          <t>TVS</t>
        </is>
      </c>
      <c r="H564" t="inlineStr">
        <is>
          <t>40-30-1.6-ERW 1-FC</t>
        </is>
      </c>
      <c r="I564" t="inlineStr">
        <is>
          <t>40-30-1.6-ERW 1-FC-0.86</t>
        </is>
      </c>
      <c r="J564" t="n">
        <v>0.86</v>
      </c>
      <c r="K564" t="inlineStr">
        <is>
          <t>CTL</t>
        </is>
      </c>
    </row>
    <row r="565" hidden="1" s="584">
      <c r="A565" t="n">
        <v>2422186</v>
      </c>
      <c r="B565" t="inlineStr">
        <is>
          <t>TUB-O-N-AUT-AW-PE-22.23X2.000X0.7750</t>
        </is>
      </c>
      <c r="C565" t="n">
        <v>0.000748</v>
      </c>
      <c r="D565" t="n">
        <v>789</v>
      </c>
      <c r="E565" t="inlineStr">
        <is>
          <t>SANDHAR ENGINEERING PVTLTD(KA)U-III</t>
        </is>
      </c>
      <c r="F565" t="n">
        <v>524</v>
      </c>
      <c r="G565" t="inlineStr">
        <is>
          <t>TVS</t>
        </is>
      </c>
      <c r="H565" t="inlineStr">
        <is>
          <t>22.23-0-2-ERW 1-PE</t>
        </is>
      </c>
      <c r="I565" t="inlineStr">
        <is>
          <t>22.23-0-2-ERW 1-PE-0.775</t>
        </is>
      </c>
      <c r="J565" t="n">
        <v>0.775</v>
      </c>
      <c r="K565" t="inlineStr">
        <is>
          <t>CTL</t>
        </is>
      </c>
    </row>
    <row r="566" hidden="1" s="584">
      <c r="A566" t="n">
        <v>2422186</v>
      </c>
      <c r="B566" t="inlineStr">
        <is>
          <t>TUB-O-N-AUT-AW-PE-22.23X2.000X0.7750</t>
        </is>
      </c>
      <c r="C566" t="n">
        <v>0.000748</v>
      </c>
      <c r="D566" t="n">
        <v>789</v>
      </c>
      <c r="E566" t="inlineStr">
        <is>
          <t>SANDHAR ENGINEERING PVTLTD(KA)U-III</t>
        </is>
      </c>
      <c r="F566" t="n">
        <v>525</v>
      </c>
      <c r="G566" t="inlineStr">
        <is>
          <t>TVS</t>
        </is>
      </c>
      <c r="H566" t="inlineStr">
        <is>
          <t>22.23-0-2-ERW 1-PE</t>
        </is>
      </c>
      <c r="I566" t="inlineStr">
        <is>
          <t>22.23-0-2-ERW 1-PE-0.775</t>
        </is>
      </c>
      <c r="J566" t="n">
        <v>0.775</v>
      </c>
      <c r="K566" t="inlineStr">
        <is>
          <t>CTL</t>
        </is>
      </c>
    </row>
    <row r="567" hidden="1" s="584">
      <c r="A567" t="n">
        <v>2422186</v>
      </c>
      <c r="B567" t="inlineStr">
        <is>
          <t>TUB-O-N-AUT-AW-PE-22.23X2.000X0.7750</t>
        </is>
      </c>
      <c r="C567" t="n">
        <v>0.000772</v>
      </c>
      <c r="D567" t="n">
        <v>789</v>
      </c>
      <c r="E567" t="inlineStr">
        <is>
          <t>SANDHAR ENGINEERING PVTLTD(KA)U-III</t>
        </is>
      </c>
      <c r="F567" t="n">
        <v>526</v>
      </c>
      <c r="G567" t="inlineStr">
        <is>
          <t>TVS</t>
        </is>
      </c>
      <c r="H567" t="inlineStr">
        <is>
          <t>22.23-0-2-ERW 1-PE</t>
        </is>
      </c>
      <c r="I567" t="inlineStr">
        <is>
          <t>22.23-0-2-ERW 1-PE-0.775</t>
        </is>
      </c>
      <c r="J567" t="n">
        <v>0.775</v>
      </c>
      <c r="K567" t="inlineStr">
        <is>
          <t>CTL</t>
        </is>
      </c>
    </row>
    <row r="568" hidden="1" s="584">
      <c r="A568" t="n">
        <v>2422186</v>
      </c>
      <c r="B568" t="inlineStr">
        <is>
          <t>TUB-O-N-AUT-AW-PE-22.23X2.000X0.7750</t>
        </is>
      </c>
      <c r="C568" t="n">
        <v>0.000748</v>
      </c>
      <c r="D568" t="n">
        <v>789</v>
      </c>
      <c r="E568" t="inlineStr">
        <is>
          <t>SANDHAR ENGINEERING PVTLTD(KA)U-III</t>
        </is>
      </c>
      <c r="F568" t="n">
        <v>527</v>
      </c>
      <c r="G568" t="inlineStr">
        <is>
          <t>TVS</t>
        </is>
      </c>
      <c r="H568" t="inlineStr">
        <is>
          <t>22.23-0-2-ERW 1-PE</t>
        </is>
      </c>
      <c r="I568" t="inlineStr">
        <is>
          <t>22.23-0-2-ERW 1-PE-0.775</t>
        </is>
      </c>
      <c r="J568" t="n">
        <v>0.775</v>
      </c>
      <c r="K568" t="inlineStr">
        <is>
          <t>CTL</t>
        </is>
      </c>
    </row>
    <row r="569" hidden="1" s="584">
      <c r="A569" t="n">
        <v>2422186</v>
      </c>
      <c r="B569" t="inlineStr">
        <is>
          <t>TUB-O-N-AUT-AW-PE-22.23X2.000X0.7750</t>
        </is>
      </c>
      <c r="C569" t="n">
        <v>0.000748</v>
      </c>
      <c r="D569" t="n">
        <v>789</v>
      </c>
      <c r="E569" t="inlineStr">
        <is>
          <t>SANDHAR ENGINEERING PVTLTD(KA)U-III</t>
        </is>
      </c>
      <c r="F569" t="n">
        <v>528</v>
      </c>
      <c r="G569" t="inlineStr">
        <is>
          <t>TVS</t>
        </is>
      </c>
      <c r="H569" t="inlineStr">
        <is>
          <t>22.23-0-2-ERW 1-PE</t>
        </is>
      </c>
      <c r="I569" t="inlineStr">
        <is>
          <t>22.23-0-2-ERW 1-PE-0.775</t>
        </is>
      </c>
      <c r="J569" t="n">
        <v>0.775</v>
      </c>
      <c r="K569" t="inlineStr">
        <is>
          <t>CTL</t>
        </is>
      </c>
    </row>
    <row r="570" hidden="1" s="584">
      <c r="A570" t="n">
        <v>2422186</v>
      </c>
      <c r="B570" t="inlineStr">
        <is>
          <t>TUB-O-N-AUT-AW-PE-22.23X2.000X0.7750</t>
        </is>
      </c>
      <c r="C570" t="n">
        <v>0.522524</v>
      </c>
      <c r="D570" t="n">
        <v>789</v>
      </c>
      <c r="E570" t="inlineStr">
        <is>
          <t>SANDHAR ENGINEERING PVTLTD(KA)U-III</t>
        </is>
      </c>
      <c r="F570" t="n">
        <v>529</v>
      </c>
      <c r="G570" t="inlineStr">
        <is>
          <t>TVS</t>
        </is>
      </c>
      <c r="H570" t="inlineStr">
        <is>
          <t>22.23-0-2-ERW 1-PE</t>
        </is>
      </c>
      <c r="I570" t="inlineStr">
        <is>
          <t>22.23-0-2-ERW 1-PE-0.775</t>
        </is>
      </c>
      <c r="J570" t="n">
        <v>0.775</v>
      </c>
      <c r="K570" t="inlineStr">
        <is>
          <t>CTL</t>
        </is>
      </c>
    </row>
    <row r="571" hidden="1" s="584">
      <c r="A571" t="n">
        <v>3219710</v>
      </c>
      <c r="B571" t="inlineStr">
        <is>
          <t>TUB-O-N-AUT-AW-PE-21.40X1.600X6.0000</t>
        </is>
      </c>
      <c r="C571" t="n">
        <v>2.606</v>
      </c>
      <c r="D571" t="n">
        <v>789</v>
      </c>
      <c r="E571" t="inlineStr">
        <is>
          <t>MEGH STEELS PRIVATE LIMITED - TVS A</t>
        </is>
      </c>
      <c r="F571" t="n">
        <v>531</v>
      </c>
      <c r="G571" t="inlineStr">
        <is>
          <t>Direct</t>
        </is>
      </c>
      <c r="H571" t="inlineStr">
        <is>
          <t>21.4--1.6-ERW 1-PE</t>
        </is>
      </c>
      <c r="I571" t="inlineStr">
        <is>
          <t>21.4--1.6-ERW 1-PE-1</t>
        </is>
      </c>
      <c r="J571" t="n">
        <v>6</v>
      </c>
      <c r="K571" t="inlineStr">
        <is>
          <t>LL</t>
        </is>
      </c>
    </row>
    <row r="572" hidden="1" s="584">
      <c r="A572" t="n">
        <v>3219710</v>
      </c>
      <c r="B572" t="inlineStr">
        <is>
          <t>TUB-O-N-AUT-AW-PE-21.40X1.600X6.0000</t>
        </is>
      </c>
      <c r="C572" t="n">
        <v>2.706</v>
      </c>
      <c r="D572" t="n">
        <v>789</v>
      </c>
      <c r="E572" t="inlineStr">
        <is>
          <t>MEGH STEELS PRIVATE LIMITED - TVS A</t>
        </is>
      </c>
      <c r="F572" t="n">
        <v>532</v>
      </c>
      <c r="G572" t="inlineStr">
        <is>
          <t>Direct</t>
        </is>
      </c>
      <c r="H572" t="inlineStr">
        <is>
          <t>21.4--1.6-ERW 1-PE</t>
        </is>
      </c>
      <c r="I572" t="inlineStr">
        <is>
          <t>21.4--1.6-ERW 1-PE-1</t>
        </is>
      </c>
      <c r="J572" t="n">
        <v>6</v>
      </c>
      <c r="K572" t="inlineStr">
        <is>
          <t>LL</t>
        </is>
      </c>
    </row>
    <row r="573" hidden="1" s="584">
      <c r="A573" t="n">
        <v>3219710</v>
      </c>
      <c r="B573" t="inlineStr">
        <is>
          <t>TUB-O-N-AUT-AW-PE-21.40X1.600X6.0000</t>
        </is>
      </c>
      <c r="C573" t="n">
        <v>2.706</v>
      </c>
      <c r="D573" t="n">
        <v>789</v>
      </c>
      <c r="E573" t="inlineStr">
        <is>
          <t>MEGH STEELS PRIVATE LIMITED - TVS A</t>
        </is>
      </c>
      <c r="F573" t="n">
        <v>533</v>
      </c>
      <c r="G573" t="inlineStr">
        <is>
          <t>Direct</t>
        </is>
      </c>
      <c r="H573" t="inlineStr">
        <is>
          <t>21.4--1.6-ERW 1-PE</t>
        </is>
      </c>
      <c r="I573" t="inlineStr">
        <is>
          <t>21.4--1.6-ERW 1-PE-1</t>
        </is>
      </c>
      <c r="J573" t="n">
        <v>6</v>
      </c>
      <c r="K573" t="inlineStr">
        <is>
          <t>LL</t>
        </is>
      </c>
    </row>
    <row r="574" hidden="1" s="584">
      <c r="A574" t="n">
        <v>3509016</v>
      </c>
      <c r="B574" t="inlineStr">
        <is>
          <t>CUT-O-N-AUT-AW-PE-31.75X2.500X0.1930</t>
        </is>
      </c>
      <c r="C574" t="n">
        <v>0.000888</v>
      </c>
      <c r="D574" t="n">
        <v>789</v>
      </c>
      <c r="E574" t="inlineStr">
        <is>
          <t>ELKAYEM AUTO ANCILLARIES PVT LTD -U</t>
        </is>
      </c>
      <c r="F574" t="n">
        <v>537</v>
      </c>
      <c r="G574" t="inlineStr">
        <is>
          <t>TVS</t>
        </is>
      </c>
      <c r="H574" t="inlineStr">
        <is>
          <t>31.75-0-2.5-ERW 1-FC</t>
        </is>
      </c>
      <c r="I574" t="inlineStr">
        <is>
          <t>31.75-0-2.5-ERW 1-FC-0.193</t>
        </is>
      </c>
      <c r="J574" t="n">
        <v>0.193</v>
      </c>
      <c r="K574" t="inlineStr">
        <is>
          <t>CTL</t>
        </is>
      </c>
    </row>
    <row r="575" hidden="1" s="584">
      <c r="A575" t="n">
        <v>3509016</v>
      </c>
      <c r="B575" t="inlineStr">
        <is>
          <t>CUT-O-N-AUT-AW-PE-31.75X2.500X0.1930</t>
        </is>
      </c>
      <c r="C575" t="n">
        <v>0.335278</v>
      </c>
      <c r="D575" t="n">
        <v>4731</v>
      </c>
      <c r="E575" t="inlineStr">
        <is>
          <t>ELKAYEM AUTO ANCILLARIES PVT LTD -U</t>
        </is>
      </c>
      <c r="F575" t="n">
        <v>1646</v>
      </c>
      <c r="G575" t="inlineStr">
        <is>
          <t>TVS</t>
        </is>
      </c>
      <c r="H575" t="inlineStr">
        <is>
          <t>31.75-0-2.5-ERW 1-FC</t>
        </is>
      </c>
      <c r="I575" t="inlineStr">
        <is>
          <t>31.75-0-2.5-ERW 1-FC-0.193</t>
        </is>
      </c>
      <c r="J575" t="n">
        <v>0.193</v>
      </c>
      <c r="K575" t="inlineStr">
        <is>
          <t>CTL</t>
        </is>
      </c>
    </row>
    <row r="576" hidden="1" s="584">
      <c r="A576" t="n">
        <v>3509016</v>
      </c>
      <c r="B576" t="inlineStr">
        <is>
          <t>CUT-O-N-AUT-AW-PE-31.75X2.500X0.1930</t>
        </is>
      </c>
      <c r="C576" t="n">
        <v>0.429156</v>
      </c>
      <c r="D576" t="n">
        <v>4731</v>
      </c>
      <c r="E576" t="inlineStr">
        <is>
          <t>ELKAYEM AUTO ANCILLARIES PVT LTD -U</t>
        </is>
      </c>
      <c r="F576" t="n">
        <v>1647</v>
      </c>
      <c r="G576" t="inlineStr">
        <is>
          <t>TVS</t>
        </is>
      </c>
      <c r="H576" t="inlineStr">
        <is>
          <t>31.75-0-2.5-ERW 1-FC</t>
        </is>
      </c>
      <c r="I576" t="inlineStr">
        <is>
          <t>31.75-0-2.5-ERW 1-FC-0.193</t>
        </is>
      </c>
      <c r="J576" t="n">
        <v>0.193</v>
      </c>
      <c r="K576" t="inlineStr">
        <is>
          <t>CTL</t>
        </is>
      </c>
    </row>
    <row r="577" hidden="1" s="584">
      <c r="A577" t="n">
        <v>3509016</v>
      </c>
      <c r="B577" t="inlineStr">
        <is>
          <t>CUT-O-N-AUT-AW-PE-31.75X2.500X0.1930</t>
        </is>
      </c>
      <c r="C577" t="n">
        <v>0.137163</v>
      </c>
      <c r="D577" t="n">
        <v>4731</v>
      </c>
      <c r="E577" t="inlineStr">
        <is>
          <t>ELKAYEM AUTO ANCILLARIES PVT LTD -U</t>
        </is>
      </c>
      <c r="F577" t="n">
        <v>1648</v>
      </c>
      <c r="G577" t="inlineStr">
        <is>
          <t>TVS</t>
        </is>
      </c>
      <c r="H577" t="inlineStr">
        <is>
          <t>31.75-0-2.5-ERW 1-FC</t>
        </is>
      </c>
      <c r="I577" t="inlineStr">
        <is>
          <t>31.75-0-2.5-ERW 1-FC-0.193</t>
        </is>
      </c>
      <c r="J577" t="n">
        <v>0.193</v>
      </c>
      <c r="K577" t="inlineStr">
        <is>
          <t>CTL</t>
        </is>
      </c>
    </row>
    <row r="578" hidden="1" s="584">
      <c r="A578" t="n">
        <v>3572051</v>
      </c>
      <c r="B578" t="inlineStr">
        <is>
          <t>TUB-R-AW-AUT-40.00X20.00X1.200X0.8600</t>
        </is>
      </c>
      <c r="C578" t="n">
        <v>0.06994</v>
      </c>
      <c r="D578" t="n">
        <v>789</v>
      </c>
      <c r="E578" t="inlineStr">
        <is>
          <t>Sri Balaji Gears</t>
        </is>
      </c>
      <c r="F578" t="n">
        <v>538</v>
      </c>
      <c r="G578" t="inlineStr">
        <is>
          <t>TVS</t>
        </is>
      </c>
      <c r="H578" t="inlineStr">
        <is>
          <t>40-20-1.2-CRFH-PE</t>
        </is>
      </c>
      <c r="I578" t="inlineStr">
        <is>
          <t>40-20-1.2-CRFH-PE-0.86</t>
        </is>
      </c>
      <c r="J578" t="n">
        <v>0.86</v>
      </c>
      <c r="K578" t="inlineStr">
        <is>
          <t>CTL</t>
        </is>
      </c>
    </row>
    <row r="579" hidden="1" s="584">
      <c r="A579" t="n">
        <v>3572051</v>
      </c>
      <c r="B579" t="inlineStr">
        <is>
          <t>TUB-R-AW-AUT-40.00X20.00X1.200X0.8600</t>
        </is>
      </c>
      <c r="C579" t="n">
        <v>0.046</v>
      </c>
      <c r="D579" t="n">
        <v>789</v>
      </c>
      <c r="E579" t="inlineStr">
        <is>
          <t>Sri Balaji Gears</t>
        </is>
      </c>
      <c r="F579" t="n">
        <v>539</v>
      </c>
      <c r="G579" t="inlineStr">
        <is>
          <t>TVS</t>
        </is>
      </c>
      <c r="H579" t="inlineStr">
        <is>
          <t>40-20-1.2-CRFH-PE</t>
        </is>
      </c>
      <c r="I579" t="inlineStr">
        <is>
          <t>40-20-1.2-CRFH-PE-0.86</t>
        </is>
      </c>
      <c r="J579" t="n">
        <v>0.86</v>
      </c>
      <c r="K579" t="inlineStr">
        <is>
          <t>CTL</t>
        </is>
      </c>
    </row>
    <row r="580" hidden="1" s="584">
      <c r="A580" t="n">
        <v>3572051</v>
      </c>
      <c r="B580" t="inlineStr">
        <is>
          <t>TUB-R-AW-AUT-40.00X20.00X1.200X0.8600</t>
        </is>
      </c>
      <c r="C580" t="n">
        <v>0.657</v>
      </c>
      <c r="D580" t="n">
        <v>789</v>
      </c>
      <c r="E580" t="inlineStr">
        <is>
          <t>Sri Balaji Gears</t>
        </is>
      </c>
      <c r="F580" t="n">
        <v>540</v>
      </c>
      <c r="G580" t="inlineStr">
        <is>
          <t>TVS</t>
        </is>
      </c>
      <c r="H580" t="inlineStr">
        <is>
          <t>40-20-1.2-CRFH-PE</t>
        </is>
      </c>
      <c r="I580" t="inlineStr">
        <is>
          <t>40-20-1.2-CRFH-PE-0.86</t>
        </is>
      </c>
      <c r="J580" t="n">
        <v>0.86</v>
      </c>
      <c r="K580" t="inlineStr">
        <is>
          <t>CTL</t>
        </is>
      </c>
    </row>
    <row r="581" hidden="1" s="584">
      <c r="A581" t="n">
        <v>3572051</v>
      </c>
      <c r="B581" t="inlineStr">
        <is>
          <t>TUB-R-AW-AUT-40.00X20.00X1.200X0.8600</t>
        </is>
      </c>
      <c r="C581" t="n">
        <v>0.257</v>
      </c>
      <c r="D581" t="n">
        <v>789</v>
      </c>
      <c r="E581" t="inlineStr">
        <is>
          <t>Sri Balaji Gears</t>
        </is>
      </c>
      <c r="F581" t="n">
        <v>541</v>
      </c>
      <c r="G581" t="inlineStr">
        <is>
          <t>TVS</t>
        </is>
      </c>
      <c r="H581" t="inlineStr">
        <is>
          <t>40-20-1.2-CRFH-PE</t>
        </is>
      </c>
      <c r="I581" t="inlineStr">
        <is>
          <t>40-20-1.2-CRFH-PE-0.86</t>
        </is>
      </c>
      <c r="J581" t="n">
        <v>0.86</v>
      </c>
      <c r="K581" t="inlineStr">
        <is>
          <t>CTL</t>
        </is>
      </c>
    </row>
    <row r="582" hidden="1" s="584">
      <c r="A582" t="n">
        <v>3572051</v>
      </c>
      <c r="B582" t="inlineStr">
        <is>
          <t>TUB-R-AW-AUT-40.00X20.00X1.200X0.8600</t>
        </is>
      </c>
      <c r="C582" t="n">
        <v>0.6061799999999999</v>
      </c>
      <c r="D582" t="n">
        <v>789</v>
      </c>
      <c r="E582" t="inlineStr">
        <is>
          <t>Sri Balaji Gears</t>
        </is>
      </c>
      <c r="F582" t="n">
        <v>542</v>
      </c>
      <c r="G582" t="inlineStr">
        <is>
          <t>TVS</t>
        </is>
      </c>
      <c r="H582" t="inlineStr">
        <is>
          <t>40-20-1.2-CRFH-PE</t>
        </is>
      </c>
      <c r="I582" t="inlineStr">
        <is>
          <t>40-20-1.2-CRFH-PE-0.86</t>
        </is>
      </c>
      <c r="J582" t="n">
        <v>0.86</v>
      </c>
      <c r="K582" t="inlineStr">
        <is>
          <t>CTL</t>
        </is>
      </c>
    </row>
    <row r="583" hidden="1" s="584">
      <c r="A583" t="n">
        <v>3572051</v>
      </c>
      <c r="B583" t="inlineStr">
        <is>
          <t>TUB-R-AW-AUT-40.00X20.00X1.200X0.8600</t>
        </is>
      </c>
      <c r="C583" t="n">
        <v>2.184</v>
      </c>
      <c r="D583" t="n">
        <v>789</v>
      </c>
      <c r="E583" t="inlineStr">
        <is>
          <t>Sri Balaji Gears</t>
        </is>
      </c>
      <c r="F583" t="n">
        <v>543</v>
      </c>
      <c r="G583" t="inlineStr">
        <is>
          <t>TVS</t>
        </is>
      </c>
      <c r="H583" t="inlineStr">
        <is>
          <t>40-20-1.2-CRFH-PE</t>
        </is>
      </c>
      <c r="I583" t="inlineStr">
        <is>
          <t>40-20-1.2-CRFH-PE-0.86</t>
        </is>
      </c>
      <c r="J583" t="n">
        <v>0.86</v>
      </c>
      <c r="K583" t="inlineStr">
        <is>
          <t>CTL</t>
        </is>
      </c>
    </row>
    <row r="584" hidden="1" s="584">
      <c r="A584" t="n">
        <v>3649700</v>
      </c>
      <c r="B584" t="inlineStr">
        <is>
          <t>TUB-O-N-AUT-AW-FC-48.00X1.200X0.7000</t>
        </is>
      </c>
      <c r="C584" t="n">
        <v>0.00549</v>
      </c>
      <c r="D584" t="n">
        <v>789</v>
      </c>
      <c r="E584" t="inlineStr">
        <is>
          <t>MEGH STEELS PRIVATE LIMITED - RE</t>
        </is>
      </c>
      <c r="F584" t="n">
        <v>548</v>
      </c>
      <c r="G584" t="inlineStr">
        <is>
          <t>Direct</t>
        </is>
      </c>
      <c r="H584" t="inlineStr">
        <is>
          <t>48-0-1.2-ERW 1-FIN CUT</t>
        </is>
      </c>
      <c r="I584" t="inlineStr">
        <is>
          <t>48--1.2-ERW 1-FIN CUT-0.7</t>
        </is>
      </c>
      <c r="J584" t="n">
        <v>0.7</v>
      </c>
      <c r="K584" t="inlineStr">
        <is>
          <t>CTL</t>
        </is>
      </c>
    </row>
    <row r="585" hidden="1" s="584">
      <c r="A585" t="n">
        <v>3672610</v>
      </c>
      <c r="B585" t="inlineStr">
        <is>
          <t>TUB-O-N-AUT-AW-PE-25.40X1.200X2.5850</t>
        </is>
      </c>
      <c r="C585" t="n">
        <v>1.315</v>
      </c>
      <c r="D585" t="n">
        <v>789</v>
      </c>
      <c r="E585" t="inlineStr">
        <is>
          <t>Marathwada Auto Compo Pvt. Ltd.</t>
        </is>
      </c>
      <c r="F585" t="n">
        <v>549</v>
      </c>
      <c r="G585" t="inlineStr">
        <is>
          <t>TVS</t>
        </is>
      </c>
      <c r="H585" t="inlineStr">
        <is>
          <t>25.4-0-1.2-ERW 1-PE</t>
        </is>
      </c>
      <c r="I585" t="inlineStr">
        <is>
          <t>25.4-0-1.2-ERW 1-PE-2.585</t>
        </is>
      </c>
      <c r="J585" t="n">
        <v>2.585</v>
      </c>
      <c r="K585" t="inlineStr">
        <is>
          <t>CTL</t>
        </is>
      </c>
    </row>
    <row r="586" hidden="1" s="584">
      <c r="A586" t="n">
        <v>3672610</v>
      </c>
      <c r="B586" t="inlineStr">
        <is>
          <t>TUB-O-N-AUT-AW-PE-25.40X1.200X2.5850</t>
        </is>
      </c>
      <c r="C586" t="n">
        <v>1.426</v>
      </c>
      <c r="D586" t="n">
        <v>789</v>
      </c>
      <c r="E586" t="inlineStr">
        <is>
          <t>Marathwada Auto Compo Pvt. Ltd.</t>
        </is>
      </c>
      <c r="F586" t="n">
        <v>550</v>
      </c>
      <c r="G586" t="inlineStr">
        <is>
          <t>TVS</t>
        </is>
      </c>
      <c r="H586" t="inlineStr">
        <is>
          <t>25.4-0-1.2-ERW 1-PE</t>
        </is>
      </c>
      <c r="I586" t="inlineStr">
        <is>
          <t>25.4-0-1.2-ERW 1-PE-2.585</t>
        </is>
      </c>
      <c r="J586" t="n">
        <v>2.585</v>
      </c>
      <c r="K586" t="inlineStr">
        <is>
          <t>CTL</t>
        </is>
      </c>
    </row>
    <row r="587" hidden="1" s="584">
      <c r="A587" t="n">
        <v>3672610</v>
      </c>
      <c r="B587" t="inlineStr">
        <is>
          <t>TUB-O-N-AUT-AW-PE-25.40X1.200X2.5850</t>
        </is>
      </c>
      <c r="C587" t="n">
        <v>1.482</v>
      </c>
      <c r="D587" t="n">
        <v>789</v>
      </c>
      <c r="E587" t="inlineStr">
        <is>
          <t>Marathwada Auto Compo Pvt. Ltd.</t>
        </is>
      </c>
      <c r="F587" t="n">
        <v>551</v>
      </c>
      <c r="G587" t="inlineStr">
        <is>
          <t>TVS</t>
        </is>
      </c>
      <c r="H587" t="inlineStr">
        <is>
          <t>25.4-0-1.2-ERW 1-PE</t>
        </is>
      </c>
      <c r="I587" t="inlineStr">
        <is>
          <t>25.4-0-1.2-ERW 1-PE-2.585</t>
        </is>
      </c>
      <c r="J587" t="n">
        <v>2.585</v>
      </c>
      <c r="K587" t="inlineStr">
        <is>
          <t>CTL</t>
        </is>
      </c>
    </row>
    <row r="588" hidden="1" s="584">
      <c r="A588" t="n">
        <v>3672610</v>
      </c>
      <c r="B588" t="inlineStr">
        <is>
          <t>TUB-O-N-AUT-AW-PE-25.40X1.200X2.5850</t>
        </is>
      </c>
      <c r="C588" t="n">
        <v>1.482</v>
      </c>
      <c r="D588" t="n">
        <v>789</v>
      </c>
      <c r="E588" t="inlineStr">
        <is>
          <t>Marathwada Auto Compo Pvt. Ltd.</t>
        </is>
      </c>
      <c r="F588" t="n">
        <v>552</v>
      </c>
      <c r="G588" t="inlineStr">
        <is>
          <t>TVS</t>
        </is>
      </c>
      <c r="H588" t="inlineStr">
        <is>
          <t>25.4-0-1.2-ERW 1-PE</t>
        </is>
      </c>
      <c r="I588" t="inlineStr">
        <is>
          <t>25.4-0-1.2-ERW 1-PE-2.585</t>
        </is>
      </c>
      <c r="J588" t="n">
        <v>2.585</v>
      </c>
      <c r="K588" t="inlineStr">
        <is>
          <t>CTL</t>
        </is>
      </c>
    </row>
    <row r="589" hidden="1" s="584">
      <c r="A589" t="n">
        <v>3672610</v>
      </c>
      <c r="B589" t="inlineStr">
        <is>
          <t>TUB-O-N-AUT-AW-PE-25.40X1.200X2.5850</t>
        </is>
      </c>
      <c r="C589" t="n">
        <v>1.63</v>
      </c>
      <c r="D589" t="n">
        <v>789</v>
      </c>
      <c r="E589" t="inlineStr">
        <is>
          <t>Marathwada Auto Compo Pvt. Ltd.</t>
        </is>
      </c>
      <c r="F589" t="n">
        <v>553</v>
      </c>
      <c r="G589" t="inlineStr">
        <is>
          <t>TVS</t>
        </is>
      </c>
      <c r="H589" t="inlineStr">
        <is>
          <t>25.4-0-1.2-ERW 1-PE</t>
        </is>
      </c>
      <c r="I589" t="inlineStr">
        <is>
          <t>25.4-0-1.2-ERW 1-PE-2.585</t>
        </is>
      </c>
      <c r="J589" t="n">
        <v>2.585</v>
      </c>
      <c r="K589" t="inlineStr">
        <is>
          <t>CTL</t>
        </is>
      </c>
    </row>
    <row r="590" hidden="1" s="584">
      <c r="A590" t="n">
        <v>3672610</v>
      </c>
      <c r="B590" t="inlineStr">
        <is>
          <t>TUB-O-N-AUT-AW-PE-25.40X1.200X2.5850</t>
        </is>
      </c>
      <c r="C590" t="n">
        <v>0.074</v>
      </c>
      <c r="D590" t="n">
        <v>789</v>
      </c>
      <c r="E590" t="inlineStr">
        <is>
          <t>Marathwada Auto Compo Pvt. Ltd.</t>
        </is>
      </c>
      <c r="F590" t="n">
        <v>554</v>
      </c>
      <c r="G590" t="inlineStr">
        <is>
          <t>TVS</t>
        </is>
      </c>
      <c r="H590" t="inlineStr">
        <is>
          <t>25.4-0-1.2-ERW 1-PE</t>
        </is>
      </c>
      <c r="I590" t="inlineStr">
        <is>
          <t>25.4-0-1.2-ERW 1-PE-2.585</t>
        </is>
      </c>
      <c r="J590" t="n">
        <v>2.585</v>
      </c>
      <c r="K590" t="inlineStr">
        <is>
          <t>CTL</t>
        </is>
      </c>
    </row>
    <row r="591" hidden="1" s="584">
      <c r="A591" t="n">
        <v>3672610</v>
      </c>
      <c r="B591" t="inlineStr">
        <is>
          <t>TUB-O-N-AUT-AW-PE-25.40X1.200X2.5850</t>
        </is>
      </c>
      <c r="C591" t="n">
        <v>0.005056</v>
      </c>
      <c r="D591" t="n">
        <v>789</v>
      </c>
      <c r="E591" t="inlineStr">
        <is>
          <t>Marathwada Auto Compo Pvt. Ltd.</t>
        </is>
      </c>
      <c r="F591" t="n">
        <v>555</v>
      </c>
      <c r="G591" t="inlineStr">
        <is>
          <t>TVS</t>
        </is>
      </c>
      <c r="H591" t="inlineStr">
        <is>
          <t>25.4-0-1.2-ERW 1-PE</t>
        </is>
      </c>
      <c r="I591" t="inlineStr">
        <is>
          <t>25.4-0-1.2-ERW 1-PE-2.585</t>
        </is>
      </c>
      <c r="J591" t="n">
        <v>2.585</v>
      </c>
      <c r="K591" t="inlineStr">
        <is>
          <t>CTL</t>
        </is>
      </c>
    </row>
    <row r="592" hidden="1" s="584">
      <c r="A592" t="n">
        <v>3775637</v>
      </c>
      <c r="B592" t="inlineStr">
        <is>
          <t>TUB-R-AW-RHS-50.00X30.00X1.600X0.6070</t>
        </is>
      </c>
      <c r="C592" t="n">
        <v>1.65</v>
      </c>
      <c r="D592" t="n">
        <v>789</v>
      </c>
      <c r="E592" t="inlineStr">
        <is>
          <t>Sandhar EngineeringPvt.Ltd.(KA)-Uni</t>
        </is>
      </c>
      <c r="F592" t="n">
        <v>559</v>
      </c>
      <c r="G592" t="inlineStr">
        <is>
          <t>TVS</t>
        </is>
      </c>
      <c r="H592" t="inlineStr">
        <is>
          <t>50-30-1.6-ERW 1-FC</t>
        </is>
      </c>
      <c r="I592" t="inlineStr">
        <is>
          <t>50-30-1.6-ERW 1-FC-0.607</t>
        </is>
      </c>
      <c r="J592" t="n">
        <v>0.607</v>
      </c>
      <c r="K592" t="inlineStr">
        <is>
          <t>CTL</t>
        </is>
      </c>
    </row>
    <row r="593" hidden="1" s="584">
      <c r="A593" t="n">
        <v>3775637</v>
      </c>
      <c r="B593" t="inlineStr">
        <is>
          <t>TUB-R-AW-RHS-50.00X30.00X1.600X0.6070</t>
        </is>
      </c>
      <c r="C593" t="n">
        <v>2.399</v>
      </c>
      <c r="D593" t="n">
        <v>789</v>
      </c>
      <c r="E593" t="inlineStr">
        <is>
          <t>Sandhar EngineeringPvt.Ltd.(KA)-Uni</t>
        </is>
      </c>
      <c r="F593" t="n">
        <v>560</v>
      </c>
      <c r="G593" t="inlineStr">
        <is>
          <t>TVS</t>
        </is>
      </c>
      <c r="H593" t="inlineStr">
        <is>
          <t>50-30-1.6-ERW 1-FC</t>
        </is>
      </c>
      <c r="I593" t="inlineStr">
        <is>
          <t>50-30-1.6-ERW 1-FC-0.607</t>
        </is>
      </c>
      <c r="J593" t="n">
        <v>0.607</v>
      </c>
      <c r="K593" t="inlineStr">
        <is>
          <t>CTL</t>
        </is>
      </c>
    </row>
    <row r="594" hidden="1" s="584">
      <c r="A594" t="n">
        <v>3781647</v>
      </c>
      <c r="B594" t="inlineStr">
        <is>
          <t>TUB-E-AW-AUT-59.00X30.00X1.600X0.5720</t>
        </is>
      </c>
      <c r="C594" t="n">
        <v>0.002825</v>
      </c>
      <c r="D594" t="n">
        <v>789</v>
      </c>
      <c r="E594" t="inlineStr">
        <is>
          <t>MEGH STEELS PRIVATE LIMITED - RE</t>
        </is>
      </c>
      <c r="F594" t="n">
        <v>561</v>
      </c>
      <c r="G594" t="inlineStr">
        <is>
          <t>Direct</t>
        </is>
      </c>
      <c r="H594" t="inlineStr">
        <is>
          <t>59-30-1.6-ERW 1-FIN CUT</t>
        </is>
      </c>
      <c r="I594" t="inlineStr">
        <is>
          <t>59-30-1.6-ERW 1-FIN CUT-0.572</t>
        </is>
      </c>
      <c r="J594" t="n">
        <v>0.572</v>
      </c>
      <c r="K594" t="inlineStr">
        <is>
          <t>CTL</t>
        </is>
      </c>
    </row>
    <row r="595" hidden="1" s="584">
      <c r="A595" t="n">
        <v>3819143</v>
      </c>
      <c r="B595" t="inlineStr">
        <is>
          <t>CUT-O-N-AUT-AW-PE-31.75X1.200X0.6800</t>
        </is>
      </c>
      <c r="C595" t="n">
        <v>0.867</v>
      </c>
      <c r="D595" t="n">
        <v>789</v>
      </c>
      <c r="E595" t="inlineStr">
        <is>
          <t>SANDHAR ENGINEERING PVT LTD.(KA) -U</t>
        </is>
      </c>
      <c r="F595" t="n">
        <v>562</v>
      </c>
      <c r="G595" t="inlineStr">
        <is>
          <t>TVS</t>
        </is>
      </c>
      <c r="H595" t="inlineStr">
        <is>
          <t>31.75-0-1.2-ERW 1-PE</t>
        </is>
      </c>
      <c r="I595" t="inlineStr">
        <is>
          <t>31.75-0-1.2-ERW 1-PE-0.68</t>
        </is>
      </c>
      <c r="J595" t="n">
        <v>0.68</v>
      </c>
      <c r="K595" t="inlineStr">
        <is>
          <t>CTL</t>
        </is>
      </c>
    </row>
    <row r="596" hidden="1" s="584">
      <c r="A596" t="n">
        <v>3819143</v>
      </c>
      <c r="B596" t="inlineStr">
        <is>
          <t>CUT-O-N-AUT-AW-PE-31.75X1.200X0.6800</t>
        </is>
      </c>
      <c r="C596" t="n">
        <v>0.004025</v>
      </c>
      <c r="D596" t="n">
        <v>789</v>
      </c>
      <c r="E596" t="inlineStr">
        <is>
          <t>SANDHAR ENGINEERING PVT LTD.(KA) -U</t>
        </is>
      </c>
      <c r="F596" t="n">
        <v>563</v>
      </c>
      <c r="G596" t="inlineStr">
        <is>
          <t>TVS</t>
        </is>
      </c>
      <c r="H596" t="inlineStr">
        <is>
          <t>31.75-0-1.2-ERW 1-PE</t>
        </is>
      </c>
      <c r="I596" t="inlineStr">
        <is>
          <t>31.75-0-1.2-ERW 1-PE-0.68</t>
        </is>
      </c>
      <c r="J596" t="n">
        <v>0.68</v>
      </c>
      <c r="K596" t="inlineStr">
        <is>
          <t>CTL</t>
        </is>
      </c>
    </row>
    <row r="597" hidden="1" s="584">
      <c r="A597" t="n">
        <v>3122347</v>
      </c>
      <c r="B597" t="inlineStr">
        <is>
          <t>TUB-O-N-AUT-AW-PE-19.05X1.600X0.3940</t>
        </is>
      </c>
      <c r="C597" t="n">
        <v>0.199808</v>
      </c>
      <c r="D597" t="n">
        <v>789</v>
      </c>
      <c r="E597" t="inlineStr">
        <is>
          <t>Rajsriya Automotive Industries</t>
        </is>
      </c>
      <c r="F597" t="n">
        <v>876</v>
      </c>
      <c r="G597" t="inlineStr">
        <is>
          <t>TVS</t>
        </is>
      </c>
      <c r="H597" t="inlineStr">
        <is>
          <t>19.05-0-1.6-ERW 2 MAHS-PE</t>
        </is>
      </c>
      <c r="I597" t="inlineStr">
        <is>
          <t>19.05-0-1.6-ERW 2 MAHS-PE-0.394</t>
        </is>
      </c>
      <c r="J597" t="n">
        <v>0.394</v>
      </c>
      <c r="K597" t="inlineStr">
        <is>
          <t>CTL</t>
        </is>
      </c>
    </row>
    <row r="598" hidden="1" s="584">
      <c r="A598" t="n">
        <v>3122347</v>
      </c>
      <c r="B598" t="inlineStr">
        <is>
          <t>TUB-O-N-AUT-AW-PE-19.05X1.600X0.3940</t>
        </is>
      </c>
      <c r="C598" t="n">
        <v>0.569</v>
      </c>
      <c r="D598" t="n">
        <v>789</v>
      </c>
      <c r="E598" t="inlineStr">
        <is>
          <t>Rajsriya Automotive Industries</t>
        </is>
      </c>
      <c r="F598" t="n">
        <v>877</v>
      </c>
      <c r="G598" t="inlineStr">
        <is>
          <t>TVS</t>
        </is>
      </c>
      <c r="H598" t="inlineStr">
        <is>
          <t>19.05-0-1.6-ERW 2 MAHS-PE</t>
        </is>
      </c>
      <c r="I598" t="inlineStr">
        <is>
          <t>19.05-0-1.6-ERW 2 MAHS-PE-0.394</t>
        </is>
      </c>
      <c r="J598" t="n">
        <v>0.394</v>
      </c>
      <c r="K598" t="inlineStr">
        <is>
          <t>CTL</t>
        </is>
      </c>
    </row>
    <row r="599" hidden="1" s="584">
      <c r="A599" t="n">
        <v>3122347</v>
      </c>
      <c r="B599" t="inlineStr">
        <is>
          <t>TUB-O-N-AUT-AW-PE-19.05X1.600X0.3940</t>
        </is>
      </c>
      <c r="C599" t="n">
        <v>1.113</v>
      </c>
      <c r="D599" t="n">
        <v>789</v>
      </c>
      <c r="E599" t="inlineStr">
        <is>
          <t>Rajsriya Automotive Industries</t>
        </is>
      </c>
      <c r="F599" t="n">
        <v>920</v>
      </c>
      <c r="G599" t="inlineStr">
        <is>
          <t>TVS</t>
        </is>
      </c>
      <c r="H599" t="inlineStr">
        <is>
          <t>19.05-0-1.6-ERW 2 MAHS-PE</t>
        </is>
      </c>
      <c r="I599" t="inlineStr">
        <is>
          <t>19.05-0-1.6-ERW 2 MAHS-PE-0.394</t>
        </is>
      </c>
      <c r="J599" t="n">
        <v>0.394</v>
      </c>
      <c r="K599" t="inlineStr">
        <is>
          <t>CTL</t>
        </is>
      </c>
    </row>
    <row r="600" hidden="1" s="584">
      <c r="A600" t="n">
        <v>1940266</v>
      </c>
      <c r="B600" t="inlineStr">
        <is>
          <t>TUB-O-O-AUT-AW-PE-19.05X2.000X0.2130</t>
        </is>
      </c>
      <c r="C600" t="n">
        <v>0.09152100000000001</v>
      </c>
      <c r="D600" t="n">
        <v>789</v>
      </c>
      <c r="E600" t="inlineStr">
        <is>
          <t>Rajsriya Automotive Ind. Pvt Ltd</t>
        </is>
      </c>
      <c r="F600" t="n">
        <v>575</v>
      </c>
      <c r="G600" t="inlineStr">
        <is>
          <t>TVS</t>
        </is>
      </c>
      <c r="H600" t="inlineStr">
        <is>
          <t>19.05-0-2-ERW 1-PE</t>
        </is>
      </c>
      <c r="I600" t="inlineStr">
        <is>
          <t>19.05-0-2-ERW 1-PE-0.213</t>
        </is>
      </c>
      <c r="J600" t="n">
        <v>0.213</v>
      </c>
      <c r="K600" t="inlineStr">
        <is>
          <t>CTL</t>
        </is>
      </c>
    </row>
    <row r="601" hidden="1" s="584">
      <c r="A601" t="n">
        <v>1940266</v>
      </c>
      <c r="B601" t="inlineStr">
        <is>
          <t>TUB-O-O-AUT-AW-PE-19.05X2.000X0.2130</t>
        </is>
      </c>
      <c r="C601" t="n">
        <v>0.009849999999999999</v>
      </c>
      <c r="D601" t="n">
        <v>789</v>
      </c>
      <c r="E601" t="inlineStr">
        <is>
          <t>Rajsriya Automotive Ind. Pvt Ltd</t>
        </is>
      </c>
      <c r="F601" t="n">
        <v>576</v>
      </c>
      <c r="G601" t="inlineStr">
        <is>
          <t>TVS</t>
        </is>
      </c>
      <c r="H601" t="inlineStr">
        <is>
          <t>19.05-0-2-ERW 1-PE</t>
        </is>
      </c>
      <c r="I601" t="inlineStr">
        <is>
          <t>19.05-0-2-ERW 1-PE-0.213</t>
        </is>
      </c>
      <c r="J601" t="n">
        <v>0.213</v>
      </c>
      <c r="K601" t="inlineStr">
        <is>
          <t>CTL</t>
        </is>
      </c>
    </row>
    <row r="602" hidden="1" s="584">
      <c r="A602" t="n">
        <v>1940287</v>
      </c>
      <c r="B602" t="inlineStr">
        <is>
          <t>TUB-O-O-AUT-AW-PE-19.05X2.000X0.8150</t>
        </is>
      </c>
      <c r="C602" t="n">
        <v>0.008624</v>
      </c>
      <c r="D602" t="n">
        <v>789</v>
      </c>
      <c r="E602" t="inlineStr">
        <is>
          <t>SRIKAM HITECH ENGINEERING PRIVATE L</t>
        </is>
      </c>
      <c r="F602" t="n">
        <v>577</v>
      </c>
      <c r="G602" t="inlineStr">
        <is>
          <t>TVS</t>
        </is>
      </c>
      <c r="H602" t="inlineStr">
        <is>
          <t>19.05-0-2-ERW 1-PE</t>
        </is>
      </c>
      <c r="I602" t="inlineStr">
        <is>
          <t>19.05-0-2-ERW 1-PE-0.815</t>
        </is>
      </c>
      <c r="J602" t="n">
        <v>0.8149999999999999</v>
      </c>
      <c r="K602" t="inlineStr">
        <is>
          <t>CTL</t>
        </is>
      </c>
    </row>
    <row r="603" hidden="1" s="584">
      <c r="A603" t="n">
        <v>1940306</v>
      </c>
      <c r="B603" t="inlineStr">
        <is>
          <t>TUB-O-O-AUT-AW-PE-19.05X2.300X0.2360</t>
        </is>
      </c>
      <c r="C603" t="n">
        <v>0.0004</v>
      </c>
      <c r="D603" t="n">
        <v>789</v>
      </c>
      <c r="E603" t="inlineStr">
        <is>
          <t>SRIKAM HITECH ENGINEERING PRIVATE L</t>
        </is>
      </c>
      <c r="F603" t="n">
        <v>578</v>
      </c>
      <c r="G603" t="inlineStr">
        <is>
          <t>TVS</t>
        </is>
      </c>
      <c r="H603" t="inlineStr">
        <is>
          <t>19.05-0-2.3-ERW 1-PE</t>
        </is>
      </c>
      <c r="I603" t="inlineStr">
        <is>
          <t>19.05-0-2.3-ERW 1-PE-0.236</t>
        </is>
      </c>
      <c r="J603" t="n">
        <v>0.236</v>
      </c>
      <c r="K603" t="inlineStr">
        <is>
          <t>CTL</t>
        </is>
      </c>
    </row>
    <row r="604" hidden="1" s="584">
      <c r="A604" t="n">
        <v>1940306</v>
      </c>
      <c r="B604" t="inlineStr">
        <is>
          <t>TUB-O-O-AUT-AW-PE-19.05X2.300X0.2360</t>
        </is>
      </c>
      <c r="C604" t="n">
        <v>0.001325</v>
      </c>
      <c r="D604" t="n">
        <v>789</v>
      </c>
      <c r="E604" t="inlineStr">
        <is>
          <t>SRIKAM HITECH ENGINEERING PRIVATE L</t>
        </is>
      </c>
      <c r="F604" t="n">
        <v>579</v>
      </c>
      <c r="G604" t="inlineStr">
        <is>
          <t>TVS</t>
        </is>
      </c>
      <c r="H604" t="inlineStr">
        <is>
          <t>19.05-0-2.3-ERW 1-PE</t>
        </is>
      </c>
      <c r="I604" t="inlineStr">
        <is>
          <t>19.05-0-2.3-ERW 1-PE-0.236</t>
        </is>
      </c>
      <c r="J604" t="n">
        <v>0.236</v>
      </c>
      <c r="K604" t="inlineStr">
        <is>
          <t>CTL</t>
        </is>
      </c>
    </row>
    <row r="605" hidden="1" s="584">
      <c r="A605" t="n">
        <v>1940306</v>
      </c>
      <c r="B605" t="inlineStr">
        <is>
          <t>TUB-O-O-AUT-AW-PE-19.05X2.300X0.2360</t>
        </is>
      </c>
      <c r="C605" t="n">
        <v>0.00445</v>
      </c>
      <c r="D605" t="n">
        <v>789</v>
      </c>
      <c r="E605" t="inlineStr">
        <is>
          <t>SRIKAM HITECH ENGINEERING PRIVATE L</t>
        </is>
      </c>
      <c r="F605" t="n">
        <v>580</v>
      </c>
      <c r="G605" t="inlineStr">
        <is>
          <t>TVS</t>
        </is>
      </c>
      <c r="H605" t="inlineStr">
        <is>
          <t>19.05-0-2.3-ERW 1-PE</t>
        </is>
      </c>
      <c r="I605" t="inlineStr">
        <is>
          <t>19.05-0-2.3-ERW 1-PE-0.236</t>
        </is>
      </c>
      <c r="J605" t="n">
        <v>0.236</v>
      </c>
      <c r="K605" t="inlineStr">
        <is>
          <t>CTL</t>
        </is>
      </c>
    </row>
    <row r="606" hidden="1" s="584">
      <c r="A606" t="n">
        <v>1940306</v>
      </c>
      <c r="B606" t="inlineStr">
        <is>
          <t>TUB-O-O-AUT-AW-PE-19.05X2.300X0.2360</t>
        </is>
      </c>
      <c r="C606" t="n">
        <v>0.00175</v>
      </c>
      <c r="D606" t="n">
        <v>789</v>
      </c>
      <c r="E606" t="inlineStr">
        <is>
          <t>SRIKAM HITECH ENGINEERING PRIVATE L</t>
        </is>
      </c>
      <c r="F606" t="n">
        <v>1039</v>
      </c>
      <c r="G606" t="inlineStr">
        <is>
          <t>TVS</t>
        </is>
      </c>
      <c r="H606" t="inlineStr">
        <is>
          <t>19.05-0-2.3-ERW 1-PE</t>
        </is>
      </c>
      <c r="I606" t="inlineStr">
        <is>
          <t>19.05-0-2.3-ERW 1-PE-0.236</t>
        </is>
      </c>
      <c r="J606" t="n">
        <v>0.236</v>
      </c>
      <c r="K606" t="inlineStr">
        <is>
          <t>CTL</t>
        </is>
      </c>
    </row>
    <row r="607" hidden="1" s="584">
      <c r="A607" t="n">
        <v>2331953</v>
      </c>
      <c r="B607" t="inlineStr">
        <is>
          <t>TUB-O-N-AUT-AW-PE-19.05X1.600X0.6100</t>
        </is>
      </c>
      <c r="C607" t="n">
        <v>0.018279</v>
      </c>
      <c r="D607" t="n">
        <v>789</v>
      </c>
      <c r="E607" t="inlineStr">
        <is>
          <t>Neel Metal Products Limited</t>
        </is>
      </c>
      <c r="F607" t="n">
        <v>869</v>
      </c>
      <c r="G607" t="inlineStr">
        <is>
          <t>TVS</t>
        </is>
      </c>
      <c r="H607" t="inlineStr">
        <is>
          <t>19.05-0-1.6-ERW 1-PE</t>
        </is>
      </c>
      <c r="I607" t="inlineStr">
        <is>
          <t>19.05-0-1.6-ERW 1-PE-0.61</t>
        </is>
      </c>
      <c r="J607" t="n">
        <v>0.61</v>
      </c>
      <c r="K607" t="inlineStr">
        <is>
          <t>CTL</t>
        </is>
      </c>
    </row>
    <row r="608" hidden="1" s="584">
      <c r="A608" t="n">
        <v>2331953</v>
      </c>
      <c r="B608" t="inlineStr">
        <is>
          <t>TUB-O-N-AUT-AW-PE-19.05X1.600X0.6100</t>
        </is>
      </c>
      <c r="C608" t="n">
        <v>0.012</v>
      </c>
      <c r="D608" t="n">
        <v>789</v>
      </c>
      <c r="E608" t="inlineStr">
        <is>
          <t>Neel Metal Products Limited</t>
        </is>
      </c>
      <c r="F608" t="n">
        <v>870</v>
      </c>
      <c r="G608" t="inlineStr">
        <is>
          <t>TVS</t>
        </is>
      </c>
      <c r="H608" t="inlineStr">
        <is>
          <t>19.05-0-1.6-ERW 1-PE</t>
        </is>
      </c>
      <c r="I608" t="inlineStr">
        <is>
          <t>19.05-0-1.6-ERW 1-PE-0.61</t>
        </is>
      </c>
      <c r="J608" t="n">
        <v>0.61</v>
      </c>
      <c r="K608" t="inlineStr">
        <is>
          <t>CTL</t>
        </is>
      </c>
    </row>
    <row r="609" hidden="1" s="584">
      <c r="A609" t="n">
        <v>1940710</v>
      </c>
      <c r="B609" t="inlineStr">
        <is>
          <t>TUB-O-O-AUT-AW-FC-34.93X1.600X1.7260</t>
        </is>
      </c>
      <c r="C609" t="n">
        <v>0.562608</v>
      </c>
      <c r="D609" t="n">
        <v>789</v>
      </c>
      <c r="E609" t="inlineStr">
        <is>
          <t>ELKAYEM AUTO ANCILLARIES PVT LTD -U</t>
        </is>
      </c>
      <c r="F609" t="n">
        <v>582</v>
      </c>
      <c r="G609" t="inlineStr">
        <is>
          <t>TVS</t>
        </is>
      </c>
      <c r="H609" t="inlineStr">
        <is>
          <t>34.93-0-1.6-ERW 1-FC</t>
        </is>
      </c>
      <c r="I609" t="inlineStr">
        <is>
          <t>34.93-0-1.6-ERW 1-FC-1.726</t>
        </is>
      </c>
      <c r="J609" t="n">
        <v>1.726</v>
      </c>
      <c r="K609" t="inlineStr">
        <is>
          <t>CTL</t>
        </is>
      </c>
    </row>
    <row r="610" hidden="1" s="584">
      <c r="A610" t="n">
        <v>1940710</v>
      </c>
      <c r="B610" t="inlineStr">
        <is>
          <t>TUB-O-O-AUT-AW-FC-34.93X1.600X1.7260</t>
        </is>
      </c>
      <c r="C610" t="n">
        <v>0.216</v>
      </c>
      <c r="D610" t="n">
        <v>789</v>
      </c>
      <c r="E610" t="inlineStr">
        <is>
          <t>ELKAYEM AUTO ANCILLARIES PVT LTD -U</t>
        </is>
      </c>
      <c r="F610" t="n">
        <v>583</v>
      </c>
      <c r="G610" t="inlineStr">
        <is>
          <t>TVS</t>
        </is>
      </c>
      <c r="H610" t="inlineStr">
        <is>
          <t>34.93-0-1.6-ERW 1-FC</t>
        </is>
      </c>
      <c r="I610" t="inlineStr">
        <is>
          <t>34.93-0-1.6-ERW 1-FC-1.726</t>
        </is>
      </c>
      <c r="J610" t="n">
        <v>1.726</v>
      </c>
      <c r="K610" t="inlineStr">
        <is>
          <t>CTL</t>
        </is>
      </c>
    </row>
    <row r="611" hidden="1" s="584">
      <c r="A611" t="n">
        <v>1940710</v>
      </c>
      <c r="B611" t="inlineStr">
        <is>
          <t>TUB-O-O-AUT-AW-FC-34.93X1.600X1.7260</t>
        </is>
      </c>
      <c r="C611" t="n">
        <v>0.636</v>
      </c>
      <c r="D611" t="n">
        <v>789</v>
      </c>
      <c r="E611" t="inlineStr">
        <is>
          <t>ELKAYEM AUTO ANCILLARIES PVT LTD -U</t>
        </is>
      </c>
      <c r="F611" t="n">
        <v>584</v>
      </c>
      <c r="G611" t="inlineStr">
        <is>
          <t>TVS</t>
        </is>
      </c>
      <c r="H611" t="inlineStr">
        <is>
          <t>34.93-0-1.6-ERW 1-FC</t>
        </is>
      </c>
      <c r="I611" t="inlineStr">
        <is>
          <t>34.93-0-1.6-ERW 1-FC-1.726</t>
        </is>
      </c>
      <c r="J611" t="n">
        <v>1.726</v>
      </c>
      <c r="K611" t="inlineStr">
        <is>
          <t>CTL</t>
        </is>
      </c>
    </row>
    <row r="612" hidden="1" s="584">
      <c r="A612" t="n">
        <v>1940710</v>
      </c>
      <c r="B612" t="inlineStr">
        <is>
          <t>TUB-O-O-AUT-AW-FC-34.93X1.600X1.7260</t>
        </is>
      </c>
      <c r="C612" t="n">
        <v>0.636</v>
      </c>
      <c r="D612" t="n">
        <v>789</v>
      </c>
      <c r="E612" t="inlineStr">
        <is>
          <t>ELKAYEM AUTO ANCILLARIES PVT LTD -U</t>
        </is>
      </c>
      <c r="F612" t="n">
        <v>585</v>
      </c>
      <c r="G612" t="inlineStr">
        <is>
          <t>TVS</t>
        </is>
      </c>
      <c r="H612" t="inlineStr">
        <is>
          <t>34.93-0-1.6-ERW 1-FC</t>
        </is>
      </c>
      <c r="I612" t="inlineStr">
        <is>
          <t>34.93-0-1.6-ERW 1-FC-1.726</t>
        </is>
      </c>
      <c r="J612" t="n">
        <v>1.726</v>
      </c>
      <c r="K612" t="inlineStr">
        <is>
          <t>CTL</t>
        </is>
      </c>
    </row>
    <row r="613" hidden="1" s="584">
      <c r="A613" t="n">
        <v>3841883</v>
      </c>
      <c r="B613" t="inlineStr">
        <is>
          <t>TUB-O-N-AUT-AW-PE-19.05X1.600X0.7750</t>
        </is>
      </c>
      <c r="C613" t="n">
        <v>0.009788999999999999</v>
      </c>
      <c r="D613" t="n">
        <v>789</v>
      </c>
      <c r="E613" t="inlineStr">
        <is>
          <t>Rajsriya Automotive Industries(P)</t>
        </is>
      </c>
      <c r="F613" t="n">
        <v>746</v>
      </c>
      <c r="G613" t="inlineStr">
        <is>
          <t>TVS</t>
        </is>
      </c>
      <c r="H613" t="inlineStr">
        <is>
          <t>19.05-0-1.6-ERW 2 MAHS-PE</t>
        </is>
      </c>
      <c r="I613" t="inlineStr">
        <is>
          <t>19.05-0-1.6-ERW 2 MAHS-PE-0.775</t>
        </is>
      </c>
      <c r="J613" t="n">
        <v>0.775</v>
      </c>
      <c r="K613" t="inlineStr">
        <is>
          <t>CTL</t>
        </is>
      </c>
    </row>
    <row r="614" hidden="1" s="584">
      <c r="A614" t="n">
        <v>1940837</v>
      </c>
      <c r="B614" t="inlineStr">
        <is>
          <t>TUB-R-AW-RHS-40.00X30.00X2.000X0.8700</t>
        </is>
      </c>
      <c r="C614" t="n">
        <v>2.168</v>
      </c>
      <c r="D614" t="n">
        <v>789</v>
      </c>
      <c r="E614" t="inlineStr">
        <is>
          <t>Rajsriya Automotive Industries(P)</t>
        </is>
      </c>
      <c r="F614" t="n">
        <v>588</v>
      </c>
      <c r="G614" t="inlineStr">
        <is>
          <t>TVS</t>
        </is>
      </c>
      <c r="H614" t="inlineStr">
        <is>
          <t>40-30-2-ERW 1-FC</t>
        </is>
      </c>
      <c r="I614" t="inlineStr">
        <is>
          <t>40-30-2-ERW 1-FC-0.87</t>
        </is>
      </c>
      <c r="J614" t="n">
        <v>0.87</v>
      </c>
      <c r="K614" t="inlineStr">
        <is>
          <t>CTL</t>
        </is>
      </c>
    </row>
    <row r="615" hidden="1" s="584">
      <c r="A615" t="n">
        <v>1940837</v>
      </c>
      <c r="B615" t="inlineStr">
        <is>
          <t>TUB-R-AW-RHS-40.00X30.00X2.000X0.8700</t>
        </is>
      </c>
      <c r="C615" t="n">
        <v>2.278</v>
      </c>
      <c r="D615" t="n">
        <v>789</v>
      </c>
      <c r="E615" t="inlineStr">
        <is>
          <t>Rajsriya Automotive Industries</t>
        </is>
      </c>
      <c r="F615" t="n">
        <v>767</v>
      </c>
      <c r="G615" t="inlineStr">
        <is>
          <t>TVS</t>
        </is>
      </c>
      <c r="H615" t="inlineStr">
        <is>
          <t>40-30-2-ERW 1-FC</t>
        </is>
      </c>
      <c r="I615" t="inlineStr">
        <is>
          <t>40-30-2-ERW 1-FC-0.87</t>
        </is>
      </c>
      <c r="J615" t="n">
        <v>0.87</v>
      </c>
      <c r="K615" t="inlineStr">
        <is>
          <t>CTL</t>
        </is>
      </c>
    </row>
    <row r="616" hidden="1" s="584">
      <c r="A616" t="n">
        <v>1940837</v>
      </c>
      <c r="B616" t="inlineStr">
        <is>
          <t>TUB-R-AW-RHS-40.00X30.00X2.000X0.8700</t>
        </is>
      </c>
      <c r="C616" t="n">
        <v>2.205</v>
      </c>
      <c r="D616" t="n">
        <v>789</v>
      </c>
      <c r="E616" t="inlineStr">
        <is>
          <t>Rajsriya Automotive Industries</t>
        </is>
      </c>
      <c r="F616" t="n">
        <v>768</v>
      </c>
      <c r="G616" t="inlineStr">
        <is>
          <t>TVS</t>
        </is>
      </c>
      <c r="H616" t="inlineStr">
        <is>
          <t>40-30-2-ERW 1-FC</t>
        </is>
      </c>
      <c r="I616" t="inlineStr">
        <is>
          <t>40-30-2-ERW 1-FC-0.87</t>
        </is>
      </c>
      <c r="J616" t="n">
        <v>0.87</v>
      </c>
      <c r="K616" t="inlineStr">
        <is>
          <t>CTL</t>
        </is>
      </c>
    </row>
    <row r="617" hidden="1" s="584">
      <c r="A617" t="n">
        <v>1940837</v>
      </c>
      <c r="B617" t="inlineStr">
        <is>
          <t>TUB-R-AW-RHS-40.00X30.00X2.000X0.8700</t>
        </is>
      </c>
      <c r="C617" t="n">
        <v>1.749</v>
      </c>
      <c r="D617" t="n">
        <v>789</v>
      </c>
      <c r="E617" t="inlineStr">
        <is>
          <t>Rajsriya Automotive Industries</t>
        </is>
      </c>
      <c r="F617" t="n">
        <v>769</v>
      </c>
      <c r="G617" t="inlineStr">
        <is>
          <t>TVS</t>
        </is>
      </c>
      <c r="H617" t="inlineStr">
        <is>
          <t>40-30-2-ERW 1-FC</t>
        </is>
      </c>
      <c r="I617" t="inlineStr">
        <is>
          <t>40-30-2-ERW 1-FC-0.87</t>
        </is>
      </c>
      <c r="J617" t="n">
        <v>0.87</v>
      </c>
      <c r="K617" t="inlineStr">
        <is>
          <t>CTL</t>
        </is>
      </c>
    </row>
    <row r="618" hidden="1" s="584">
      <c r="A618" t="n">
        <v>1940837</v>
      </c>
      <c r="B618" t="inlineStr">
        <is>
          <t>TUB-R-AW-RHS-40.00X30.00X2.000X0.8700</t>
        </is>
      </c>
      <c r="C618" t="n">
        <v>0.729</v>
      </c>
      <c r="D618" t="n">
        <v>789</v>
      </c>
      <c r="E618" t="inlineStr">
        <is>
          <t>Rajsriya Automotive Industries</t>
        </is>
      </c>
      <c r="F618" t="n">
        <v>770</v>
      </c>
      <c r="G618" t="inlineStr">
        <is>
          <t>TVS</t>
        </is>
      </c>
      <c r="H618" t="inlineStr">
        <is>
          <t>40-30-2-ERW 1-FC</t>
        </is>
      </c>
      <c r="I618" t="inlineStr">
        <is>
          <t>40-30-2-ERW 1-FC-0.87</t>
        </is>
      </c>
      <c r="J618" t="n">
        <v>0.87</v>
      </c>
      <c r="K618" t="inlineStr">
        <is>
          <t>CTL</t>
        </is>
      </c>
    </row>
    <row r="619" hidden="1" s="584">
      <c r="A619" t="n">
        <v>1940837</v>
      </c>
      <c r="B619" t="inlineStr">
        <is>
          <t>TUB-R-AW-RHS-40.00X30.00X2.000X0.8700</t>
        </is>
      </c>
      <c r="C619" t="n">
        <v>1.207674</v>
      </c>
      <c r="D619" t="n">
        <v>789</v>
      </c>
      <c r="E619" t="inlineStr">
        <is>
          <t>Rajsriya Automotive Industries</t>
        </is>
      </c>
      <c r="F619" t="n">
        <v>771</v>
      </c>
      <c r="G619" t="inlineStr">
        <is>
          <t>TVS</t>
        </is>
      </c>
      <c r="H619" t="inlineStr">
        <is>
          <t>40-30-2-ERW 1-FC</t>
        </is>
      </c>
      <c r="I619" t="inlineStr">
        <is>
          <t>40-30-2-ERW 1-FC-0.87</t>
        </is>
      </c>
      <c r="J619" t="n">
        <v>0.87</v>
      </c>
      <c r="K619" t="inlineStr">
        <is>
          <t>CTL</t>
        </is>
      </c>
    </row>
    <row r="620" hidden="1" s="584">
      <c r="A620" t="n">
        <v>2426142</v>
      </c>
      <c r="B620" t="inlineStr">
        <is>
          <t>TUB-O-N-AUT-AW-PE-25.40X1.200X2.5500</t>
        </is>
      </c>
      <c r="C620" t="n">
        <v>0.002102</v>
      </c>
      <c r="D620" t="n">
        <v>789</v>
      </c>
      <c r="E620" t="inlineStr">
        <is>
          <t>Marathwada Auto Compo Pvt. Ltd.</t>
        </is>
      </c>
      <c r="F620" t="n">
        <v>598</v>
      </c>
      <c r="G620" t="inlineStr">
        <is>
          <t>TVS</t>
        </is>
      </c>
      <c r="H620" t="inlineStr">
        <is>
          <t>25.4-0-1.2-ERW 1-PE</t>
        </is>
      </c>
      <c r="I620" t="inlineStr">
        <is>
          <t>25.4-0-1.2-ERW 1-PE-2.55</t>
        </is>
      </c>
      <c r="J620" t="n">
        <v>2.55</v>
      </c>
      <c r="K620" t="inlineStr">
        <is>
          <t>CTL</t>
        </is>
      </c>
    </row>
    <row r="621" hidden="1" s="584">
      <c r="A621" t="n">
        <v>3233557</v>
      </c>
      <c r="B621" t="inlineStr">
        <is>
          <t>TUB-R-AW-AUT-40.00X20.00X1.210X0.8000</t>
        </is>
      </c>
      <c r="C621" t="n">
        <v>2.29</v>
      </c>
      <c r="D621" t="n">
        <v>789</v>
      </c>
      <c r="E621" t="inlineStr">
        <is>
          <t>Marathwada Auto Compo Pvt. Ltd.</t>
        </is>
      </c>
      <c r="F621" t="n">
        <v>603</v>
      </c>
      <c r="G621" t="inlineStr">
        <is>
          <t>TVS</t>
        </is>
      </c>
      <c r="H621" t="inlineStr">
        <is>
          <t>40-20-1.2-CRFH-PE</t>
        </is>
      </c>
      <c r="I621" t="inlineStr">
        <is>
          <t>40-20-1.2-CRFH-PE-0.8</t>
        </is>
      </c>
      <c r="J621" t="n">
        <v>0.8</v>
      </c>
      <c r="K621" t="inlineStr">
        <is>
          <t>CTL</t>
        </is>
      </c>
    </row>
    <row r="622" hidden="1" s="584">
      <c r="A622" t="n">
        <v>3233557</v>
      </c>
      <c r="B622" t="inlineStr">
        <is>
          <t>TUB-R-AW-AUT-40.00X20.00X1.210X0.8000</t>
        </is>
      </c>
      <c r="C622" t="n">
        <v>0.264</v>
      </c>
      <c r="D622" t="n">
        <v>789</v>
      </c>
      <c r="E622" t="inlineStr">
        <is>
          <t>Marathwada Auto Compo Pvt. Ltd.</t>
        </is>
      </c>
      <c r="F622" t="n">
        <v>604</v>
      </c>
      <c r="G622" t="inlineStr">
        <is>
          <t>TVS</t>
        </is>
      </c>
      <c r="H622" t="inlineStr">
        <is>
          <t>40-20-1.2-CRFH-PE</t>
        </is>
      </c>
      <c r="I622" t="inlineStr">
        <is>
          <t>40-20-1.2-CRFH-PE-0.8</t>
        </is>
      </c>
      <c r="J622" t="n">
        <v>0.8</v>
      </c>
      <c r="K622" t="inlineStr">
        <is>
          <t>CTL</t>
        </is>
      </c>
    </row>
    <row r="623" hidden="1" s="584">
      <c r="A623" t="n">
        <v>3233557</v>
      </c>
      <c r="B623" t="inlineStr">
        <is>
          <t>TUB-R-AW-AUT-40.00X20.00X1.210X0.8000</t>
        </is>
      </c>
      <c r="C623" t="n">
        <v>0.595</v>
      </c>
      <c r="D623" t="n">
        <v>789</v>
      </c>
      <c r="E623" t="inlineStr">
        <is>
          <t>Marathwada Auto Compo Pvt. Ltd.</t>
        </is>
      </c>
      <c r="F623" t="n">
        <v>605</v>
      </c>
      <c r="G623" t="inlineStr">
        <is>
          <t>TVS</t>
        </is>
      </c>
      <c r="H623" t="inlineStr">
        <is>
          <t>40-20-1.2-CRFH-PE</t>
        </is>
      </c>
      <c r="I623" t="inlineStr">
        <is>
          <t>40-20-1.2-CRFH-PE-0.8</t>
        </is>
      </c>
      <c r="J623" t="n">
        <v>0.8</v>
      </c>
      <c r="K623" t="inlineStr">
        <is>
          <t>CTL</t>
        </is>
      </c>
    </row>
    <row r="624" hidden="1" s="584">
      <c r="A624" t="n">
        <v>3233557</v>
      </c>
      <c r="B624" t="inlineStr">
        <is>
          <t>TUB-R-AW-AUT-40.00X20.00X1.210X0.8000</t>
        </is>
      </c>
      <c r="C624" t="n">
        <v>0.001534</v>
      </c>
      <c r="D624" t="n">
        <v>789</v>
      </c>
      <c r="E624" t="inlineStr">
        <is>
          <t>Marathwada Auto Compo Pvt. Ltd.</t>
        </is>
      </c>
      <c r="F624" t="n">
        <v>606</v>
      </c>
      <c r="G624" t="inlineStr">
        <is>
          <t>TVS</t>
        </is>
      </c>
      <c r="H624" t="inlineStr">
        <is>
          <t>40-20-1.2-CRFH-PE</t>
        </is>
      </c>
      <c r="I624" t="inlineStr">
        <is>
          <t>40-20-1.2-CRFH-PE-0.8</t>
        </is>
      </c>
      <c r="J624" t="n">
        <v>0.8</v>
      </c>
      <c r="K624" t="inlineStr">
        <is>
          <t>CTL</t>
        </is>
      </c>
    </row>
    <row r="625" hidden="1" s="584">
      <c r="A625" t="n">
        <v>3553684</v>
      </c>
      <c r="B625" t="inlineStr">
        <is>
          <t>TUB-O-N-AUT-AW-PE-22.23X1.600X0.2740</t>
        </is>
      </c>
      <c r="C625" t="n">
        <v>0.000768</v>
      </c>
      <c r="D625" t="n">
        <v>789</v>
      </c>
      <c r="E625" t="inlineStr">
        <is>
          <t>SANDHAR ENGINEERING PVT LTD.(KA) -U</t>
        </is>
      </c>
      <c r="F625" t="n">
        <v>612</v>
      </c>
      <c r="G625" t="inlineStr">
        <is>
          <t>TVS</t>
        </is>
      </c>
      <c r="H625" t="inlineStr">
        <is>
          <t>22.23-0-1.6-ERW 1-PE</t>
        </is>
      </c>
      <c r="I625" t="inlineStr">
        <is>
          <t>22.23-0-1.6-ERW 1-PE-0.274</t>
        </is>
      </c>
      <c r="J625" t="n">
        <v>0.274</v>
      </c>
      <c r="K625" t="inlineStr">
        <is>
          <t>CTL</t>
        </is>
      </c>
    </row>
    <row r="626" hidden="1" s="584">
      <c r="A626" t="n">
        <v>3122348</v>
      </c>
      <c r="B626" t="inlineStr">
        <is>
          <t>TUB-O-N-AUT-AW-PE-19.05X2.000X0.2385</t>
        </is>
      </c>
      <c r="C626" t="n">
        <v>0.01804</v>
      </c>
      <c r="D626" t="n">
        <v>789</v>
      </c>
      <c r="E626" t="inlineStr">
        <is>
          <t>Rajsriya Automotive Industries</t>
        </is>
      </c>
      <c r="F626" t="n">
        <v>1161</v>
      </c>
      <c r="G626" t="inlineStr">
        <is>
          <t>TVS</t>
        </is>
      </c>
      <c r="H626" t="inlineStr">
        <is>
          <t>19.05-0-2-ERW 1-PE</t>
        </is>
      </c>
      <c r="I626" t="inlineStr">
        <is>
          <t>19.05-0-2-ERW 1-PE-0.2385</t>
        </is>
      </c>
      <c r="J626" t="n">
        <v>0.2385</v>
      </c>
      <c r="K626" t="inlineStr">
        <is>
          <t>CTL</t>
        </is>
      </c>
    </row>
    <row r="627" hidden="1" s="584">
      <c r="A627" t="n">
        <v>3801265</v>
      </c>
      <c r="B627" t="inlineStr">
        <is>
          <t>CUT-AW-AUT-40.00X25.00X1.600X0.5610</t>
        </is>
      </c>
      <c r="C627" t="n">
        <v>0.006432</v>
      </c>
      <c r="D627" t="n">
        <v>789</v>
      </c>
      <c r="E627" t="inlineStr">
        <is>
          <t>Sandhar EngineeringPvt.Ltd.(KA)-Uni</t>
        </is>
      </c>
      <c r="F627" t="n">
        <v>619</v>
      </c>
      <c r="G627" t="inlineStr">
        <is>
          <t>TVS</t>
        </is>
      </c>
      <c r="H627" t="inlineStr">
        <is>
          <t>40-25-1.6-ERW 1-FC</t>
        </is>
      </c>
      <c r="I627" t="inlineStr">
        <is>
          <t>40-25-1.6-ERW 1-FC-0.561</t>
        </is>
      </c>
      <c r="J627" t="n">
        <v>0.5610000000000001</v>
      </c>
      <c r="K627" t="inlineStr">
        <is>
          <t>CTL</t>
        </is>
      </c>
    </row>
    <row r="628" hidden="1" s="584">
      <c r="A628" t="n">
        <v>1940269</v>
      </c>
      <c r="B628" t="inlineStr">
        <is>
          <t>TUB-O-O-AUT-AW-PE-19.05X2.000X0.2400</t>
        </is>
      </c>
      <c r="C628" t="n">
        <v>0.05656600000000001</v>
      </c>
      <c r="D628" t="n">
        <v>789</v>
      </c>
      <c r="E628" t="inlineStr">
        <is>
          <t>Rajsriya Automotive Ind. Pvt Ltd</t>
        </is>
      </c>
      <c r="F628" t="n">
        <v>632</v>
      </c>
      <c r="G628" t="inlineStr">
        <is>
          <t>TVS</t>
        </is>
      </c>
      <c r="H628" t="inlineStr">
        <is>
          <t>19.05-0-2-ERW 1-PE</t>
        </is>
      </c>
      <c r="I628" t="inlineStr">
        <is>
          <t>19.05-0-2-ERW 1-PE-0.24</t>
        </is>
      </c>
      <c r="J628" t="n">
        <v>0.24</v>
      </c>
      <c r="K628" t="inlineStr">
        <is>
          <t>CTL</t>
        </is>
      </c>
    </row>
    <row r="629" hidden="1" s="584">
      <c r="A629" t="n">
        <v>4151472</v>
      </c>
      <c r="B629" t="inlineStr">
        <is>
          <t>TUB-R-AW-AUT-40.00X20.00X1.200X0.7550</t>
        </is>
      </c>
      <c r="C629" t="n">
        <v>0.001309</v>
      </c>
      <c r="D629" t="n">
        <v>789</v>
      </c>
      <c r="E629" t="inlineStr">
        <is>
          <t>Sri Balaji Gears</t>
        </is>
      </c>
      <c r="F629" t="n">
        <v>629</v>
      </c>
      <c r="G629" t="inlineStr">
        <is>
          <t>TVS</t>
        </is>
      </c>
      <c r="H629" t="inlineStr">
        <is>
          <t>40-20-1.2-CRFH-PE</t>
        </is>
      </c>
      <c r="I629" t="inlineStr">
        <is>
          <t>40-20-1.2-CRFH-PE-0.755</t>
        </is>
      </c>
      <c r="J629" t="n">
        <v>0.755</v>
      </c>
      <c r="K629" t="inlineStr">
        <is>
          <t>CTL</t>
        </is>
      </c>
    </row>
    <row r="630" hidden="1" s="584">
      <c r="A630" t="n">
        <v>4151472</v>
      </c>
      <c r="B630" t="inlineStr">
        <is>
          <t>TUB-R-AW-AUT-40.00X20.00X1.200X0.7550</t>
        </is>
      </c>
      <c r="C630" t="n">
        <v>0.004521</v>
      </c>
      <c r="D630" t="n">
        <v>789</v>
      </c>
      <c r="E630" t="inlineStr">
        <is>
          <t>Sri Balaji Gears</t>
        </is>
      </c>
      <c r="F630" t="n">
        <v>630</v>
      </c>
      <c r="G630" t="inlineStr">
        <is>
          <t>TVS</t>
        </is>
      </c>
      <c r="H630" t="inlineStr">
        <is>
          <t>40-20-1.2-CRFH-PE</t>
        </is>
      </c>
      <c r="I630" t="inlineStr">
        <is>
          <t>40-20-1.2-CRFH-PE-0.755</t>
        </is>
      </c>
      <c r="J630" t="n">
        <v>0.755</v>
      </c>
      <c r="K630" t="inlineStr">
        <is>
          <t>CTL</t>
        </is>
      </c>
    </row>
    <row r="631" hidden="1" s="584">
      <c r="A631" t="n">
        <v>1940272</v>
      </c>
      <c r="B631" t="inlineStr">
        <is>
          <t>TUB-O-O-AUT-AW-PE-19.05X2.000X0.2590</t>
        </is>
      </c>
      <c r="C631" t="n">
        <v>0.009428000000000001</v>
      </c>
      <c r="D631" t="n">
        <v>789</v>
      </c>
      <c r="E631" t="inlineStr">
        <is>
          <t>Rajsriya Automotive Ind. Pvt Ltd</t>
        </is>
      </c>
      <c r="F631" t="n">
        <v>705</v>
      </c>
      <c r="G631" t="inlineStr">
        <is>
          <t>TVS</t>
        </is>
      </c>
      <c r="H631" t="inlineStr">
        <is>
          <t>19.05-0-2-ERW 1-PE</t>
        </is>
      </c>
      <c r="I631" t="inlineStr">
        <is>
          <t>19.05-0-2-ERW 1-PE-0.259</t>
        </is>
      </c>
      <c r="J631" t="n">
        <v>0.259</v>
      </c>
      <c r="K631" t="inlineStr">
        <is>
          <t>CTL</t>
        </is>
      </c>
    </row>
    <row r="632" hidden="1" s="584">
      <c r="A632" t="n">
        <v>1940307</v>
      </c>
      <c r="B632" t="inlineStr">
        <is>
          <t>TUB-O-O-AUT-AW-PE-19.05X2.300X0.2520</t>
        </is>
      </c>
      <c r="C632" t="n">
        <v>0.00152</v>
      </c>
      <c r="D632" t="n">
        <v>789</v>
      </c>
      <c r="E632" t="inlineStr">
        <is>
          <t>SRIKAM HITECH ENGINEERING PRIVATE L</t>
        </is>
      </c>
      <c r="F632" t="n">
        <v>633</v>
      </c>
      <c r="G632" t="inlineStr">
        <is>
          <t>TVS</t>
        </is>
      </c>
      <c r="H632" t="inlineStr">
        <is>
          <t>19.05-0-2.3-ERW 1-PE</t>
        </is>
      </c>
      <c r="I632" t="inlineStr">
        <is>
          <t>19.05-0-2.3-ERW 1-PE-0.252</t>
        </is>
      </c>
      <c r="J632" t="n">
        <v>0.252</v>
      </c>
      <c r="K632" t="inlineStr">
        <is>
          <t>CTL</t>
        </is>
      </c>
    </row>
    <row r="633" hidden="1" s="584">
      <c r="A633" t="n">
        <v>1940307</v>
      </c>
      <c r="B633" t="inlineStr">
        <is>
          <t>TUB-O-O-AUT-AW-PE-19.05X2.300X0.2520</t>
        </is>
      </c>
      <c r="C633" t="n">
        <v>0.00784</v>
      </c>
      <c r="D633" t="n">
        <v>789</v>
      </c>
      <c r="E633" t="inlineStr">
        <is>
          <t>SRIKAM HITECH ENGINEERING PRIVATE L</t>
        </is>
      </c>
      <c r="F633" t="n">
        <v>634</v>
      </c>
      <c r="G633" t="inlineStr">
        <is>
          <t>TVS</t>
        </is>
      </c>
      <c r="H633" t="inlineStr">
        <is>
          <t>19.05-0-2.3-ERW 1-PE</t>
        </is>
      </c>
      <c r="I633" t="inlineStr">
        <is>
          <t>19.05-0-2.3-ERW 1-PE-0.252</t>
        </is>
      </c>
      <c r="J633" t="n">
        <v>0.252</v>
      </c>
      <c r="K633" t="inlineStr">
        <is>
          <t>CTL</t>
        </is>
      </c>
    </row>
    <row r="634" hidden="1" s="584">
      <c r="A634" t="n">
        <v>1940307</v>
      </c>
      <c r="B634" t="inlineStr">
        <is>
          <t>TUB-O-O-AUT-AW-PE-19.05X2.300X0.2520</t>
        </is>
      </c>
      <c r="C634" t="n">
        <v>0.768</v>
      </c>
      <c r="D634" t="n">
        <v>4731</v>
      </c>
      <c r="E634" t="inlineStr">
        <is>
          <t>SRIKAM HITECH ENGINEERING PRIVATE L</t>
        </is>
      </c>
      <c r="F634" t="n">
        <v>1327</v>
      </c>
      <c r="G634" t="inlineStr">
        <is>
          <t>TVS</t>
        </is>
      </c>
      <c r="H634" t="inlineStr">
        <is>
          <t>19.05-0-2.3-ERW 1-PE</t>
        </is>
      </c>
      <c r="I634" t="inlineStr">
        <is>
          <t>19.05-0-2.3-ERW 1-PE-0.252</t>
        </is>
      </c>
      <c r="J634" t="n">
        <v>0.252</v>
      </c>
      <c r="K634" t="inlineStr">
        <is>
          <t>CTL</t>
        </is>
      </c>
    </row>
    <row r="635" hidden="1" s="584">
      <c r="A635" t="n">
        <v>1940307</v>
      </c>
      <c r="B635" t="inlineStr">
        <is>
          <t>TUB-O-O-AUT-AW-PE-19.05X2.300X0.2520</t>
        </is>
      </c>
      <c r="C635" t="n">
        <v>0.09342300000000001</v>
      </c>
      <c r="D635" t="n">
        <v>4731</v>
      </c>
      <c r="E635" t="inlineStr">
        <is>
          <t>SRIKAM HITECH ENGINEERING PRIVATE L</t>
        </is>
      </c>
      <c r="F635" t="n">
        <v>1959</v>
      </c>
      <c r="G635" t="inlineStr">
        <is>
          <t>TVS</t>
        </is>
      </c>
      <c r="H635" t="inlineStr">
        <is>
          <t>19.05-0-2.3-ERW 1-PE</t>
        </is>
      </c>
      <c r="I635" t="inlineStr">
        <is>
          <t>19.05-0-2.3-ERW 1-PE-0.252</t>
        </is>
      </c>
      <c r="J635" t="n">
        <v>0.252</v>
      </c>
      <c r="K635" t="inlineStr">
        <is>
          <t>CTL</t>
        </is>
      </c>
    </row>
    <row r="636" hidden="1" s="584">
      <c r="A636" t="n">
        <v>1940307</v>
      </c>
      <c r="B636" t="inlineStr">
        <is>
          <t>TUB-O-O-AUT-AW-PE-19.05X2.300X0.2520</t>
        </is>
      </c>
      <c r="C636" t="n">
        <v>0.326577</v>
      </c>
      <c r="D636" t="n">
        <v>4731</v>
      </c>
      <c r="E636" t="inlineStr">
        <is>
          <t>SRIKAM HITECH ENGINEERING PRIVATE L</t>
        </is>
      </c>
      <c r="F636" t="n">
        <v>1960</v>
      </c>
      <c r="G636" t="inlineStr">
        <is>
          <t>TVS</t>
        </is>
      </c>
      <c r="H636" t="inlineStr">
        <is>
          <t>19.05-0-2.3-ERW 1-PE</t>
        </is>
      </c>
      <c r="I636" t="inlineStr">
        <is>
          <t>19.05-0-2.3-ERW 1-PE-0.252</t>
        </is>
      </c>
      <c r="J636" t="n">
        <v>0.252</v>
      </c>
      <c r="K636" t="inlineStr">
        <is>
          <t>CTL</t>
        </is>
      </c>
    </row>
    <row r="637" hidden="1" s="584">
      <c r="A637" t="n">
        <v>1940420</v>
      </c>
      <c r="B637" t="inlineStr">
        <is>
          <t>TUB-O-O-AUT-AW-PE-22.23X1.600X1.1750</t>
        </is>
      </c>
      <c r="C637" t="n">
        <v>0.061201</v>
      </c>
      <c r="D637" t="n">
        <v>789</v>
      </c>
      <c r="E637" t="inlineStr">
        <is>
          <t>Rajsriya Automotive Ind.P.Ltd Unit-</t>
        </is>
      </c>
      <c r="F637" t="n">
        <v>635</v>
      </c>
      <c r="G637" t="inlineStr">
        <is>
          <t>TVS</t>
        </is>
      </c>
      <c r="H637" t="inlineStr">
        <is>
          <t>22.23-0-1.6-ERW 1-PE</t>
        </is>
      </c>
      <c r="I637" t="inlineStr">
        <is>
          <t>22.23-0-1.6-ERW 1-PE-1.175</t>
        </is>
      </c>
      <c r="J637" t="n">
        <v>1.175</v>
      </c>
      <c r="K637" t="inlineStr">
        <is>
          <t>CTL</t>
        </is>
      </c>
    </row>
    <row r="638" hidden="1" s="584">
      <c r="A638" t="n">
        <v>1940474</v>
      </c>
      <c r="B638" t="inlineStr">
        <is>
          <t>TUB-O-O-AUT-AW-PE-22.23X2.00X0.865-MAHS</t>
        </is>
      </c>
      <c r="C638" t="n">
        <v>0.002646</v>
      </c>
      <c r="D638" t="n">
        <v>789</v>
      </c>
      <c r="E638" t="inlineStr">
        <is>
          <t>SANDHAR ENGINEERING PVTLTD(KA)U-III</t>
        </is>
      </c>
      <c r="F638" t="n">
        <v>636</v>
      </c>
      <c r="G638" t="inlineStr">
        <is>
          <t>TVS</t>
        </is>
      </c>
      <c r="H638" t="inlineStr">
        <is>
          <t>22.23-0-2-ERW 2 MAHS-PE</t>
        </is>
      </c>
      <c r="I638" t="inlineStr">
        <is>
          <t>22.23-0-2-ERW 2 MAHS-PE-0.865</t>
        </is>
      </c>
      <c r="J638" t="n">
        <v>0.865</v>
      </c>
      <c r="K638" t="inlineStr">
        <is>
          <t>CTL</t>
        </is>
      </c>
    </row>
    <row r="639" hidden="1" s="584">
      <c r="A639" t="n">
        <v>1940474</v>
      </c>
      <c r="B639" t="inlineStr">
        <is>
          <t>TUB-O-O-AUT-AW-PE-22.23X2.00X0.865-MAHS</t>
        </is>
      </c>
      <c r="C639" t="n">
        <v>0.091027</v>
      </c>
      <c r="D639" t="n">
        <v>789</v>
      </c>
      <c r="E639" t="inlineStr">
        <is>
          <t>SANDHAR ENGINEERING PVTLTD(KA)U-III</t>
        </is>
      </c>
      <c r="F639" t="n">
        <v>637</v>
      </c>
      <c r="G639" t="inlineStr">
        <is>
          <t>TVS</t>
        </is>
      </c>
      <c r="H639" t="inlineStr">
        <is>
          <t>22.23-0-2-ERW 2 MAHS-PE</t>
        </is>
      </c>
      <c r="I639" t="inlineStr">
        <is>
          <t>22.23-0-2-ERW 2 MAHS-PE-0.865</t>
        </is>
      </c>
      <c r="J639" t="n">
        <v>0.865</v>
      </c>
      <c r="K639" t="inlineStr">
        <is>
          <t>CTL</t>
        </is>
      </c>
    </row>
    <row r="640" hidden="1" s="584">
      <c r="A640" t="n">
        <v>1940825</v>
      </c>
      <c r="B640" t="inlineStr">
        <is>
          <t>TUB-R-AW-RHS-40.00X25.00X1.600X0.5850</t>
        </is>
      </c>
      <c r="C640" t="n">
        <v>0.000916</v>
      </c>
      <c r="D640" t="n">
        <v>789</v>
      </c>
      <c r="E640" t="inlineStr">
        <is>
          <t>ELKAYEM AUTO ANCILLARIES PRIVATE LI</t>
        </is>
      </c>
      <c r="F640" t="n">
        <v>649</v>
      </c>
      <c r="G640" t="inlineStr">
        <is>
          <t>TVS</t>
        </is>
      </c>
      <c r="H640" t="inlineStr">
        <is>
          <t>40-25-1.6-ERW 1-FC</t>
        </is>
      </c>
      <c r="I640" t="inlineStr">
        <is>
          <t>40-25-1.6-ERW 1-FC-0.585</t>
        </is>
      </c>
      <c r="J640" t="n">
        <v>0.585</v>
      </c>
      <c r="K640" t="inlineStr">
        <is>
          <t>CTL</t>
        </is>
      </c>
    </row>
    <row r="641" hidden="1" s="584">
      <c r="A641" t="n">
        <v>1940825</v>
      </c>
      <c r="B641" t="inlineStr">
        <is>
          <t>TUB-R-AW-RHS-40.00X25.00X1.600X0.5850</t>
        </is>
      </c>
      <c r="C641" t="n">
        <v>0.006612</v>
      </c>
      <c r="D641" t="n">
        <v>789</v>
      </c>
      <c r="E641" t="inlineStr">
        <is>
          <t>ELKAYEM AUTO ANCILLARIES PRIVATE LI</t>
        </is>
      </c>
      <c r="F641" t="n">
        <v>713</v>
      </c>
      <c r="G641" t="inlineStr">
        <is>
          <t>TVS</t>
        </is>
      </c>
      <c r="H641" t="inlineStr">
        <is>
          <t>40-25-1.6-ERW 1-FC</t>
        </is>
      </c>
      <c r="I641" t="inlineStr">
        <is>
          <t>40-25-1.6-ERW 1-FC-0.585</t>
        </is>
      </c>
      <c r="J641" t="n">
        <v>0.585</v>
      </c>
      <c r="K641" t="inlineStr">
        <is>
          <t>CTL</t>
        </is>
      </c>
    </row>
    <row r="642" hidden="1" s="584">
      <c r="A642" t="n">
        <v>1940825</v>
      </c>
      <c r="B642" t="inlineStr">
        <is>
          <t>TUB-R-AW-RHS-40.00X25.00X1.600X0.5850</t>
        </is>
      </c>
      <c r="C642" t="n">
        <v>0.00298</v>
      </c>
      <c r="D642" t="n">
        <v>789</v>
      </c>
      <c r="E642" t="inlineStr">
        <is>
          <t>ELKAYEM AUTO ANCILLARIES PRIVATE LI</t>
        </is>
      </c>
      <c r="F642" t="n">
        <v>714</v>
      </c>
      <c r="G642" t="inlineStr">
        <is>
          <t>TVS</t>
        </is>
      </c>
      <c r="H642" t="inlineStr">
        <is>
          <t>40-25-1.6-ERW 1-FC</t>
        </is>
      </c>
      <c r="I642" t="inlineStr">
        <is>
          <t>40-25-1.6-ERW 1-FC-0.585</t>
        </is>
      </c>
      <c r="J642" t="n">
        <v>0.585</v>
      </c>
      <c r="K642" t="inlineStr">
        <is>
          <t>CTL</t>
        </is>
      </c>
    </row>
    <row r="643" hidden="1" s="584">
      <c r="A643" t="n">
        <v>3233559</v>
      </c>
      <c r="B643" t="inlineStr">
        <is>
          <t>TUB-R-AW-AUT-40.00X20.00X1.210X0.1200</t>
        </is>
      </c>
      <c r="C643" t="n">
        <v>0.00372</v>
      </c>
      <c r="D643" t="n">
        <v>789</v>
      </c>
      <c r="E643" t="inlineStr">
        <is>
          <t>Sri Balaji Gears</t>
        </is>
      </c>
      <c r="F643" t="n">
        <v>660</v>
      </c>
      <c r="G643" t="inlineStr">
        <is>
          <t>TVS</t>
        </is>
      </c>
      <c r="H643" t="inlineStr">
        <is>
          <t>40-20-1.2-CRFH-PE</t>
        </is>
      </c>
      <c r="I643" t="inlineStr">
        <is>
          <t>40-20-1.2-CRFH-PE-0.12</t>
        </is>
      </c>
      <c r="J643" t="n">
        <v>0.12</v>
      </c>
      <c r="K643" t="inlineStr">
        <is>
          <t>CTL</t>
        </is>
      </c>
    </row>
    <row r="644" hidden="1" s="584">
      <c r="A644" t="n">
        <v>3233559</v>
      </c>
      <c r="B644" t="inlineStr">
        <is>
          <t>TUB-R-AW-AUT-40.00X20.00X1.210X0.1200</t>
        </is>
      </c>
      <c r="C644" t="n">
        <v>0.028878</v>
      </c>
      <c r="D644" t="n">
        <v>789</v>
      </c>
      <c r="E644" t="inlineStr">
        <is>
          <t>Sri Balaji Gears</t>
        </is>
      </c>
      <c r="F644" t="n">
        <v>661</v>
      </c>
      <c r="G644" t="inlineStr">
        <is>
          <t>TVS</t>
        </is>
      </c>
      <c r="H644" t="inlineStr">
        <is>
          <t>40-20-1.2-CRFH-PE</t>
        </is>
      </c>
      <c r="I644" t="inlineStr">
        <is>
          <t>40-20-1.2-CRFH-PE-0.12</t>
        </is>
      </c>
      <c r="J644" t="n">
        <v>0.12</v>
      </c>
      <c r="K644" t="inlineStr">
        <is>
          <t>CTL</t>
        </is>
      </c>
    </row>
    <row r="645" hidden="1" s="584">
      <c r="A645" t="n">
        <v>3233559</v>
      </c>
      <c r="B645" t="inlineStr">
        <is>
          <t>TUB-R-AW-AUT-40.00X20.00X1.210X0.1200</t>
        </is>
      </c>
      <c r="C645" t="n">
        <v>0.95</v>
      </c>
      <c r="D645" t="n">
        <v>789</v>
      </c>
      <c r="E645" t="inlineStr">
        <is>
          <t>Sri Balaji Gears</t>
        </is>
      </c>
      <c r="F645" t="n">
        <v>662</v>
      </c>
      <c r="G645" t="inlineStr">
        <is>
          <t>TVS</t>
        </is>
      </c>
      <c r="H645" t="inlineStr">
        <is>
          <t>40-20-1.2-CRFH-PE</t>
        </is>
      </c>
      <c r="I645" t="inlineStr">
        <is>
          <t>40-20-1.2-CRFH-PE-0.12</t>
        </is>
      </c>
      <c r="J645" t="n">
        <v>0.12</v>
      </c>
      <c r="K645" t="inlineStr">
        <is>
          <t>CTL</t>
        </is>
      </c>
    </row>
    <row r="646" hidden="1" s="584">
      <c r="A646" t="n">
        <v>3438761</v>
      </c>
      <c r="B646" t="inlineStr">
        <is>
          <t>TUB-R-AW-AUT-40.00X25.00X1.600X0.5140</t>
        </is>
      </c>
      <c r="C646" t="n">
        <v>0.379384</v>
      </c>
      <c r="D646" t="n">
        <v>789</v>
      </c>
      <c r="E646" t="inlineStr">
        <is>
          <t>Marathwada Auto Compo Pvt. Ltd.</t>
        </is>
      </c>
      <c r="F646" t="n">
        <v>667</v>
      </c>
      <c r="G646" t="inlineStr">
        <is>
          <t>TVS</t>
        </is>
      </c>
      <c r="H646" t="inlineStr">
        <is>
          <t>40-25-1.6-ERW 1-FC</t>
        </is>
      </c>
      <c r="I646" t="inlineStr">
        <is>
          <t>40-25-1.6-ERW 1-FC-0.514</t>
        </is>
      </c>
      <c r="J646" t="n">
        <v>0.514</v>
      </c>
      <c r="K646" t="inlineStr">
        <is>
          <t>CTL</t>
        </is>
      </c>
    </row>
    <row r="647" hidden="1" s="584">
      <c r="A647" t="n">
        <v>3508742</v>
      </c>
      <c r="B647" t="inlineStr">
        <is>
          <t>CUT-O-N-AUT-AW-FC-38.10X2.000X0.4100</t>
        </is>
      </c>
      <c r="C647" t="n">
        <v>0.010152</v>
      </c>
      <c r="D647" t="n">
        <v>789</v>
      </c>
      <c r="E647" t="inlineStr">
        <is>
          <t>Sandhar EngineeringPvt.Ltd.(KA)-Uni</t>
        </is>
      </c>
      <c r="F647" t="n">
        <v>668</v>
      </c>
      <c r="G647" t="inlineStr">
        <is>
          <t>TVS</t>
        </is>
      </c>
      <c r="H647" t="inlineStr">
        <is>
          <t>38.1-0-2-ERW 1-FC</t>
        </is>
      </c>
      <c r="I647" t="inlineStr">
        <is>
          <t>38.1-0-2-ERW 1-FC-0.41</t>
        </is>
      </c>
      <c r="J647" t="n">
        <v>0.41</v>
      </c>
      <c r="K647" t="inlineStr">
        <is>
          <t>CTL</t>
        </is>
      </c>
    </row>
    <row r="648" hidden="1" s="584">
      <c r="A648" t="n">
        <v>3508742</v>
      </c>
      <c r="B648" t="inlineStr">
        <is>
          <t>CUT-O-N-AUT-AW-FC-38.10X2.000X0.4100</t>
        </is>
      </c>
      <c r="C648" t="n">
        <v>0.176475</v>
      </c>
      <c r="D648" t="n">
        <v>4731</v>
      </c>
      <c r="E648" t="inlineStr">
        <is>
          <t>Sandhar EngineeringPvt.Ltd.(KA)-Uni</t>
        </is>
      </c>
      <c r="F648" t="n">
        <v>1645</v>
      </c>
      <c r="G648" t="inlineStr">
        <is>
          <t>TVS</t>
        </is>
      </c>
      <c r="H648" t="inlineStr">
        <is>
          <t>38.1-0-2-ERW 1-FC</t>
        </is>
      </c>
      <c r="I648" t="inlineStr">
        <is>
          <t>38.1-0-2-ERW 1-FC-0.41</t>
        </is>
      </c>
      <c r="J648" t="n">
        <v>0.41</v>
      </c>
      <c r="K648" t="inlineStr">
        <is>
          <t>CTL</t>
        </is>
      </c>
    </row>
    <row r="649" hidden="1" s="584">
      <c r="A649" t="n">
        <v>3584171</v>
      </c>
      <c r="B649" t="inlineStr">
        <is>
          <t>TUB-R-AW-RHS-40.00X20.00X1.200X0.1300</t>
        </is>
      </c>
      <c r="C649" t="n">
        <v>0.005</v>
      </c>
      <c r="D649" t="n">
        <v>789</v>
      </c>
      <c r="E649" t="inlineStr">
        <is>
          <t>Sri Balaji Gears</t>
        </is>
      </c>
      <c r="F649" t="n">
        <v>689</v>
      </c>
      <c r="G649" t="inlineStr">
        <is>
          <t>TVS</t>
        </is>
      </c>
      <c r="H649" t="inlineStr">
        <is>
          <t>40-20-1.2-CRFH-PE</t>
        </is>
      </c>
      <c r="I649" t="inlineStr">
        <is>
          <t>40-20-1.2-CRFH-PE-0.13</t>
        </is>
      </c>
      <c r="J649" t="n">
        <v>0.13</v>
      </c>
      <c r="K649" t="inlineStr">
        <is>
          <t>CTL</t>
        </is>
      </c>
    </row>
    <row r="650" hidden="1" s="584">
      <c r="A650" t="n">
        <v>3768907</v>
      </c>
      <c r="B650" t="inlineStr">
        <is>
          <t>CUT-O-N-AUT-AW-FC-41.28X3.200X0.2460</t>
        </is>
      </c>
      <c r="C650" t="n">
        <v>0.22221</v>
      </c>
      <c r="D650" t="n">
        <v>789</v>
      </c>
      <c r="E650" t="inlineStr">
        <is>
          <t>Metalman Auto Private Limited</t>
        </is>
      </c>
      <c r="F650" t="n">
        <v>691</v>
      </c>
      <c r="G650" t="inlineStr">
        <is>
          <t>TVS</t>
        </is>
      </c>
      <c r="H650" t="inlineStr">
        <is>
          <t>41.28-0-3.2-ERW 1-FC</t>
        </is>
      </c>
      <c r="I650" t="inlineStr">
        <is>
          <t>41.28-0-3.2-ERW 1-FC-0.246</t>
        </is>
      </c>
      <c r="J650" t="n">
        <v>0.246</v>
      </c>
      <c r="K650" t="inlineStr">
        <is>
          <t>CTL</t>
        </is>
      </c>
    </row>
    <row r="651" hidden="1" s="584">
      <c r="A651" t="n">
        <v>3768907</v>
      </c>
      <c r="B651" t="inlineStr">
        <is>
          <t>CUT-O-N-AUT-AW-FC-41.28X3.200X0.2460</t>
        </is>
      </c>
      <c r="C651" t="n">
        <v>0.437666</v>
      </c>
      <c r="D651" t="n">
        <v>4731</v>
      </c>
      <c r="E651" t="inlineStr">
        <is>
          <t>Metalman Auto Private Limited</t>
        </is>
      </c>
      <c r="F651" t="n">
        <v>1779</v>
      </c>
      <c r="G651" t="inlineStr">
        <is>
          <t>TVS</t>
        </is>
      </c>
      <c r="H651" t="inlineStr">
        <is>
          <t>41.28-0-3.2-ERW 1-FC</t>
        </is>
      </c>
      <c r="I651" t="inlineStr">
        <is>
          <t>41.28-0-3.2-ERW 1-FC-0.246</t>
        </is>
      </c>
      <c r="J651" t="n">
        <v>0.246</v>
      </c>
      <c r="K651" t="inlineStr">
        <is>
          <t>CTL</t>
        </is>
      </c>
    </row>
    <row r="652" hidden="1" s="584">
      <c r="A652" t="n">
        <v>3768907</v>
      </c>
      <c r="B652" t="inlineStr">
        <is>
          <t>CUT-O-N-AUT-AW-FC-41.28X3.200X0.2460</t>
        </is>
      </c>
      <c r="C652" t="n">
        <v>0.060467</v>
      </c>
      <c r="D652" t="n">
        <v>4731</v>
      </c>
      <c r="E652" t="inlineStr">
        <is>
          <t>Metalman Auto Private Limited</t>
        </is>
      </c>
      <c r="F652" t="n">
        <v>1780</v>
      </c>
      <c r="G652" t="inlineStr">
        <is>
          <t>TVS</t>
        </is>
      </c>
      <c r="H652" t="inlineStr">
        <is>
          <t>41.28-0-3.2-ERW 1-FC</t>
        </is>
      </c>
      <c r="I652" t="inlineStr">
        <is>
          <t>41.28-0-3.2-ERW 1-FC-0.246</t>
        </is>
      </c>
      <c r="J652" t="n">
        <v>0.246</v>
      </c>
      <c r="K652" t="inlineStr">
        <is>
          <t>CTL</t>
        </is>
      </c>
    </row>
    <row r="653" hidden="1" s="584">
      <c r="A653" t="n">
        <v>3768907</v>
      </c>
      <c r="B653" t="inlineStr">
        <is>
          <t>CUT-O-N-AUT-AW-FC-41.28X3.200X0.2460</t>
        </is>
      </c>
      <c r="C653" t="n">
        <v>0.060883</v>
      </c>
      <c r="D653" t="n">
        <v>4731</v>
      </c>
      <c r="E653" t="inlineStr">
        <is>
          <t>Metalman Auto Private Limited</t>
        </is>
      </c>
      <c r="F653" t="n">
        <v>1781</v>
      </c>
      <c r="G653" t="inlineStr">
        <is>
          <t>TVS</t>
        </is>
      </c>
      <c r="H653" t="inlineStr">
        <is>
          <t>41.28-0-3.2-ERW 1-FC</t>
        </is>
      </c>
      <c r="I653" t="inlineStr">
        <is>
          <t>41.28-0-3.2-ERW 1-FC-0.246</t>
        </is>
      </c>
      <c r="J653" t="n">
        <v>0.246</v>
      </c>
      <c r="K653" t="inlineStr">
        <is>
          <t>CTL</t>
        </is>
      </c>
    </row>
    <row r="654" hidden="1" s="584">
      <c r="A654" t="n">
        <v>3768907</v>
      </c>
      <c r="B654" t="inlineStr">
        <is>
          <t>CUT-O-N-AUT-AW-FC-41.28X3.200X0.2460</t>
        </is>
      </c>
      <c r="C654" t="n">
        <v>0.152231</v>
      </c>
      <c r="D654" t="n">
        <v>4731</v>
      </c>
      <c r="E654" t="inlineStr">
        <is>
          <t>Metalman Auto Private Limited</t>
        </is>
      </c>
      <c r="F654" t="n">
        <v>1782</v>
      </c>
      <c r="G654" t="inlineStr">
        <is>
          <t>TVS</t>
        </is>
      </c>
      <c r="H654" t="inlineStr">
        <is>
          <t>41.28-0-3.2-ERW 1-FC</t>
        </is>
      </c>
      <c r="I654" t="inlineStr">
        <is>
          <t>41.28-0-3.2-ERW 1-FC-0.246</t>
        </is>
      </c>
      <c r="J654" t="n">
        <v>0.246</v>
      </c>
      <c r="K654" t="inlineStr">
        <is>
          <t>CTL</t>
        </is>
      </c>
    </row>
    <row r="655" hidden="1" s="584">
      <c r="A655" t="n">
        <v>3938688</v>
      </c>
      <c r="B655" t="inlineStr">
        <is>
          <t>TUB-R-AW-AUT-40.00X20.00X1.200X0.0950</t>
        </is>
      </c>
      <c r="C655" t="n">
        <v>0.022402</v>
      </c>
      <c r="D655" t="n">
        <v>789</v>
      </c>
      <c r="E655" t="inlineStr">
        <is>
          <t>Sri Balaji Gears</t>
        </is>
      </c>
      <c r="F655" t="n">
        <v>695</v>
      </c>
      <c r="G655" t="inlineStr">
        <is>
          <t>TVS</t>
        </is>
      </c>
      <c r="H655" t="inlineStr">
        <is>
          <t>40-20-1.2-CRFH-PE</t>
        </is>
      </c>
      <c r="I655" t="inlineStr">
        <is>
          <t>40-20-1.2-CRFH-PE-0.095</t>
        </is>
      </c>
      <c r="J655" t="n">
        <v>0.095</v>
      </c>
      <c r="K655" t="inlineStr">
        <is>
          <t>CTL</t>
        </is>
      </c>
    </row>
    <row r="656" hidden="1" s="584">
      <c r="A656" t="n">
        <v>4098594</v>
      </c>
      <c r="B656" t="inlineStr">
        <is>
          <t>TUB-O-N-AUT-AW-PE-22.23X2.300X0.2300</t>
        </is>
      </c>
      <c r="C656" t="n">
        <v>0.00312</v>
      </c>
      <c r="D656" t="n">
        <v>789</v>
      </c>
      <c r="E656" t="inlineStr">
        <is>
          <t>ELKAYEM AUTO ANCILLARIES (PVT) LTD.</t>
        </is>
      </c>
      <c r="F656" t="n">
        <v>698</v>
      </c>
      <c r="G656" t="inlineStr">
        <is>
          <t>TVS</t>
        </is>
      </c>
      <c r="H656" t="inlineStr">
        <is>
          <t>22.23-0-2.3-ERW 1-PE</t>
        </is>
      </c>
      <c r="I656" t="inlineStr">
        <is>
          <t>22.23-0-2.3-ERW 1-PE-0.23</t>
        </is>
      </c>
      <c r="J656" t="n">
        <v>0.23</v>
      </c>
      <c r="K656" t="inlineStr">
        <is>
          <t>CTL</t>
        </is>
      </c>
    </row>
    <row r="657" hidden="1" s="584">
      <c r="A657" t="n">
        <v>1940333</v>
      </c>
      <c r="B657" t="inlineStr">
        <is>
          <t>TUB-O-O-AUT-AW-PE-19.05X2.300X6.0000</t>
        </is>
      </c>
      <c r="C657" t="n">
        <v>0.34</v>
      </c>
      <c r="D657" t="n">
        <v>789</v>
      </c>
      <c r="E657" t="inlineStr">
        <is>
          <t>MEGH STEELS PRIVATE LIMITED - TVS A</t>
        </is>
      </c>
      <c r="F657" t="n">
        <v>706</v>
      </c>
      <c r="G657" t="inlineStr">
        <is>
          <t>Direct</t>
        </is>
      </c>
      <c r="H657" t="inlineStr">
        <is>
          <t>19.05-0-2.3-ERW 1-PE</t>
        </is>
      </c>
      <c r="I657" t="inlineStr">
        <is>
          <t>19.05-0-2.3-ERW 1-PE-1</t>
        </is>
      </c>
      <c r="J657" t="n">
        <v>6</v>
      </c>
      <c r="K657" t="inlineStr">
        <is>
          <t>LL</t>
        </is>
      </c>
    </row>
    <row r="658" hidden="1" s="584">
      <c r="A658" t="n">
        <v>1940333</v>
      </c>
      <c r="B658" t="inlineStr">
        <is>
          <t>TUB-O-O-AUT-AW-PE-19.05X2.300X6.0000</t>
        </is>
      </c>
      <c r="C658" t="n">
        <v>0.06</v>
      </c>
      <c r="D658" t="n">
        <v>789</v>
      </c>
      <c r="E658" t="inlineStr">
        <is>
          <t>MEGH STEELS PRIVATE LIMITED - TVS A</t>
        </is>
      </c>
      <c r="F658" t="n">
        <v>707</v>
      </c>
      <c r="G658" t="inlineStr">
        <is>
          <t>Direct</t>
        </is>
      </c>
      <c r="H658" t="inlineStr">
        <is>
          <t>19.05-0-2.3-ERW 1-PE</t>
        </is>
      </c>
      <c r="I658" t="inlineStr">
        <is>
          <t>19.05-0-2.3-ERW 1-PE-1</t>
        </is>
      </c>
      <c r="J658" t="n">
        <v>6</v>
      </c>
      <c r="K658" t="inlineStr">
        <is>
          <t>LL</t>
        </is>
      </c>
    </row>
    <row r="659" hidden="1" s="584">
      <c r="A659" t="n">
        <v>1940333</v>
      </c>
      <c r="B659" t="inlineStr">
        <is>
          <t>TUB-O-O-AUT-AW-PE-19.05X2.300X6.0000</t>
        </is>
      </c>
      <c r="C659" t="n">
        <v>0.204</v>
      </c>
      <c r="D659" t="n">
        <v>789</v>
      </c>
      <c r="E659" t="inlineStr">
        <is>
          <t>MEGH STEELS PRIVATE LIMITED - TVS A</t>
        </is>
      </c>
      <c r="F659" t="n">
        <v>708</v>
      </c>
      <c r="G659" t="inlineStr">
        <is>
          <t>Direct</t>
        </is>
      </c>
      <c r="H659" t="inlineStr">
        <is>
          <t>19.05-0-2.3-ERW 1-PE</t>
        </is>
      </c>
      <c r="I659" t="inlineStr">
        <is>
          <t>19.05-0-2.3-ERW 1-PE-1</t>
        </is>
      </c>
      <c r="J659" t="n">
        <v>6</v>
      </c>
      <c r="K659" t="inlineStr">
        <is>
          <t>LL</t>
        </is>
      </c>
    </row>
    <row r="660" hidden="1" s="584">
      <c r="A660" t="n">
        <v>3507523</v>
      </c>
      <c r="B660" t="inlineStr">
        <is>
          <t>CUT-O-N-AUT-AW-PE-19.05X2.300X0.2100</t>
        </is>
      </c>
      <c r="C660" t="n">
        <v>0.060167</v>
      </c>
      <c r="D660" t="n">
        <v>789</v>
      </c>
      <c r="E660" t="inlineStr">
        <is>
          <t>SRIKAM HITECH ENGINEERING PRIVATE L</t>
        </is>
      </c>
      <c r="F660" t="n">
        <v>1281</v>
      </c>
      <c r="G660" t="inlineStr">
        <is>
          <t>TVS</t>
        </is>
      </c>
      <c r="H660" t="inlineStr">
        <is>
          <t>19.05-0-2.3-ERW 1-PE</t>
        </is>
      </c>
      <c r="I660" t="inlineStr">
        <is>
          <t>19.05-0-2.3-ERW 1-PE-0.21</t>
        </is>
      </c>
      <c r="J660" t="n">
        <v>0.21</v>
      </c>
      <c r="K660" t="inlineStr">
        <is>
          <t>CTL</t>
        </is>
      </c>
    </row>
    <row r="661" hidden="1" s="584">
      <c r="A661" t="n">
        <v>2431251</v>
      </c>
      <c r="B661" t="inlineStr">
        <is>
          <t>TUB-O-N-AUT-AW-PE-22.23X2.000X5.4000</t>
        </is>
      </c>
      <c r="C661" t="n">
        <v>2.71</v>
      </c>
      <c r="D661" t="n">
        <v>789</v>
      </c>
      <c r="E661" t="inlineStr">
        <is>
          <t>MEGH STEELS PRIVATE LIMITED - TVS A</t>
        </is>
      </c>
      <c r="F661" t="n">
        <v>716</v>
      </c>
      <c r="G661" t="inlineStr">
        <is>
          <t>Direct</t>
        </is>
      </c>
      <c r="H661" t="inlineStr">
        <is>
          <t>22.23-0-2-ERW 1-PE</t>
        </is>
      </c>
      <c r="I661" t="inlineStr">
        <is>
          <t>22.23-0-2-ERW 1-PE-1</t>
        </is>
      </c>
      <c r="J661" t="n">
        <v>5.4</v>
      </c>
      <c r="K661" t="inlineStr">
        <is>
          <t>LL</t>
        </is>
      </c>
    </row>
    <row r="662" hidden="1" s="584">
      <c r="A662" t="n">
        <v>2431251</v>
      </c>
      <c r="B662" t="inlineStr">
        <is>
          <t>TUB-O-N-AUT-AW-PE-22.23X2.000X5.4000</t>
        </is>
      </c>
      <c r="C662" t="n">
        <v>1.345</v>
      </c>
      <c r="D662" t="n">
        <v>789</v>
      </c>
      <c r="E662" t="inlineStr">
        <is>
          <t>MEGH STEELS PRIVATE LIMITED - TVS A</t>
        </is>
      </c>
      <c r="F662" t="n">
        <v>717</v>
      </c>
      <c r="G662" t="inlineStr">
        <is>
          <t>Direct</t>
        </is>
      </c>
      <c r="H662" t="inlineStr">
        <is>
          <t>22.23-0-2-ERW 1-PE</t>
        </is>
      </c>
      <c r="I662" t="inlineStr">
        <is>
          <t>22.23-0-2-ERW 1-PE-1</t>
        </is>
      </c>
      <c r="J662" t="n">
        <v>5.4</v>
      </c>
      <c r="K662" t="inlineStr">
        <is>
          <t>LL</t>
        </is>
      </c>
    </row>
    <row r="663" hidden="1" s="584">
      <c r="A663" t="n">
        <v>2431251</v>
      </c>
      <c r="B663" t="inlineStr">
        <is>
          <t>TUB-O-N-AUT-AW-PE-22.23X2.000X5.4000</t>
        </is>
      </c>
      <c r="C663" t="n">
        <v>0.325</v>
      </c>
      <c r="D663" t="n">
        <v>789</v>
      </c>
      <c r="E663" t="inlineStr">
        <is>
          <t>MEGH STEELS PRIVATE LIMITED - TVS A</t>
        </is>
      </c>
      <c r="F663" t="n">
        <v>718</v>
      </c>
      <c r="G663" t="inlineStr">
        <is>
          <t>Direct</t>
        </is>
      </c>
      <c r="H663" t="inlineStr">
        <is>
          <t>22.23-0-2-ERW 1-PE</t>
        </is>
      </c>
      <c r="I663" t="inlineStr">
        <is>
          <t>22.23-0-2-ERW 1-PE-1</t>
        </is>
      </c>
      <c r="J663" t="n">
        <v>5.4</v>
      </c>
      <c r="K663" t="inlineStr">
        <is>
          <t>LL</t>
        </is>
      </c>
    </row>
    <row r="664" hidden="1" s="584">
      <c r="A664" t="n">
        <v>1940309</v>
      </c>
      <c r="B664" t="inlineStr">
        <is>
          <t>TUB-O-O-AUT-AW-PE-19.05X2.300X0.2650</t>
        </is>
      </c>
      <c r="C664" t="n">
        <v>0.705</v>
      </c>
      <c r="D664" t="n">
        <v>789</v>
      </c>
      <c r="E664" t="inlineStr">
        <is>
          <t>SRIKAM HITECH ENGINEERING PRIVATE L</t>
        </is>
      </c>
      <c r="F664" t="n">
        <v>1117</v>
      </c>
      <c r="G664" t="inlineStr">
        <is>
          <t>TVS</t>
        </is>
      </c>
      <c r="H664" t="inlineStr">
        <is>
          <t>19.05-0-2.3-ERW 1-PE</t>
        </is>
      </c>
      <c r="I664" t="inlineStr">
        <is>
          <t>19.05-0-2.3-ERW 1-PE-0.265</t>
        </is>
      </c>
      <c r="J664" t="n">
        <v>0.265</v>
      </c>
      <c r="K664" t="inlineStr">
        <is>
          <t>CTL</t>
        </is>
      </c>
    </row>
    <row r="665" hidden="1" s="584">
      <c r="A665" t="n">
        <v>1940309</v>
      </c>
      <c r="B665" t="inlineStr">
        <is>
          <t>TUB-O-O-AUT-AW-PE-19.05X2.300X0.2650</t>
        </is>
      </c>
      <c r="C665" t="n">
        <v>0.6915399999999999</v>
      </c>
      <c r="D665" t="n">
        <v>789</v>
      </c>
      <c r="E665" t="inlineStr">
        <is>
          <t>SRIKAM HITECH ENGINEERING PRIVATE L</t>
        </is>
      </c>
      <c r="F665" t="n">
        <v>1118</v>
      </c>
      <c r="G665" t="inlineStr">
        <is>
          <t>TVS</t>
        </is>
      </c>
      <c r="H665" t="inlineStr">
        <is>
          <t>19.05-0-2.3-ERW 1-PE</t>
        </is>
      </c>
      <c r="I665" t="inlineStr">
        <is>
          <t>19.05-0-2.3-ERW 1-PE-0.265</t>
        </is>
      </c>
      <c r="J665" t="n">
        <v>0.265</v>
      </c>
      <c r="K665" t="inlineStr">
        <is>
          <t>CTL</t>
        </is>
      </c>
    </row>
    <row r="666" hidden="1" s="584">
      <c r="A666" t="n">
        <v>1940309</v>
      </c>
      <c r="B666" t="inlineStr">
        <is>
          <t>TUB-O-O-AUT-AW-PE-19.05X2.300X0.2650</t>
        </is>
      </c>
      <c r="C666" t="n">
        <v>0.428</v>
      </c>
      <c r="D666" t="n">
        <v>789</v>
      </c>
      <c r="E666" t="inlineStr">
        <is>
          <t>SRIKAM HITECH ENGINEERING PRIVATE L</t>
        </is>
      </c>
      <c r="F666" t="n">
        <v>1119</v>
      </c>
      <c r="G666" t="inlineStr">
        <is>
          <t>TVS</t>
        </is>
      </c>
      <c r="H666" t="inlineStr">
        <is>
          <t>19.05-0-2.3-ERW 1-PE</t>
        </is>
      </c>
      <c r="I666" t="inlineStr">
        <is>
          <t>19.05-0-2.3-ERW 1-PE-0.265</t>
        </is>
      </c>
      <c r="J666" t="n">
        <v>0.265</v>
      </c>
      <c r="K666" t="inlineStr">
        <is>
          <t>CTL</t>
        </is>
      </c>
    </row>
    <row r="667" hidden="1" s="584">
      <c r="A667" t="n">
        <v>3507718</v>
      </c>
      <c r="B667" t="inlineStr">
        <is>
          <t>CUT-O-N-AUT-AW-PE-19.05X2.300X0.2650</t>
        </is>
      </c>
      <c r="C667" t="n">
        <v>0.057232</v>
      </c>
      <c r="D667" t="n">
        <v>4731</v>
      </c>
      <c r="E667" t="inlineStr">
        <is>
          <t>SRIKAM HITECH ENGINEERING PRIVATE L</t>
        </is>
      </c>
      <c r="F667" t="n">
        <v>1641</v>
      </c>
      <c r="G667" t="inlineStr">
        <is>
          <t>TVS</t>
        </is>
      </c>
      <c r="H667" t="inlineStr">
        <is>
          <t>19.05-0-2.3-ERW 1-PE</t>
        </is>
      </c>
      <c r="I667" t="inlineStr">
        <is>
          <t>19.05-0-2.3-ERW 1-PE-0.265</t>
        </is>
      </c>
      <c r="J667" t="n">
        <v>0.265</v>
      </c>
      <c r="K667" t="inlineStr">
        <is>
          <t>CTL</t>
        </is>
      </c>
    </row>
    <row r="668" hidden="1" s="584">
      <c r="A668" t="n">
        <v>3572047</v>
      </c>
      <c r="B668" t="inlineStr">
        <is>
          <t>TUB-R-AW-AUT-40.00X20.00X1.200X0.1100</t>
        </is>
      </c>
      <c r="C668" t="n">
        <v>0.001865</v>
      </c>
      <c r="D668" t="n">
        <v>789</v>
      </c>
      <c r="E668" t="inlineStr">
        <is>
          <t>Sri Balaji Gears</t>
        </is>
      </c>
      <c r="F668" t="n">
        <v>732</v>
      </c>
      <c r="G668" t="inlineStr">
        <is>
          <t>TVS</t>
        </is>
      </c>
      <c r="H668" t="inlineStr">
        <is>
          <t>40-20-1.2-CRFH-PE</t>
        </is>
      </c>
      <c r="I668" t="inlineStr">
        <is>
          <t>40-20-1.2-CRFH-PE-0.11</t>
        </is>
      </c>
      <c r="J668" t="n">
        <v>0.11</v>
      </c>
      <c r="K668" t="inlineStr">
        <is>
          <t>CTL</t>
        </is>
      </c>
    </row>
    <row r="669" hidden="1" s="584">
      <c r="A669" t="n">
        <v>3572047</v>
      </c>
      <c r="B669" t="inlineStr">
        <is>
          <t>TUB-R-AW-AUT-40.00X20.00X1.200X0.1100</t>
        </is>
      </c>
      <c r="C669" t="n">
        <v>0.395</v>
      </c>
      <c r="D669" t="n">
        <v>789</v>
      </c>
      <c r="E669" t="inlineStr">
        <is>
          <t>Sri Balaji Gears</t>
        </is>
      </c>
      <c r="F669" t="n">
        <v>733</v>
      </c>
      <c r="G669" t="inlineStr">
        <is>
          <t>TVS</t>
        </is>
      </c>
      <c r="H669" t="inlineStr">
        <is>
          <t>40-20-1.2-CRFH-PE</t>
        </is>
      </c>
      <c r="I669" t="inlineStr">
        <is>
          <t>40-20-1.2-CRFH-PE-0.11</t>
        </is>
      </c>
      <c r="J669" t="n">
        <v>0.11</v>
      </c>
      <c r="K669" t="inlineStr">
        <is>
          <t>CTL</t>
        </is>
      </c>
    </row>
    <row r="670" hidden="1" s="584">
      <c r="A670" t="n">
        <v>3677062</v>
      </c>
      <c r="B670" t="inlineStr">
        <is>
          <t>TUB-O-N-AUT-AW-FC-48.60X3.500X0.1960</t>
        </is>
      </c>
      <c r="C670" t="n">
        <v>0.02648</v>
      </c>
      <c r="D670" t="n">
        <v>789</v>
      </c>
      <c r="E670" t="inlineStr">
        <is>
          <t>Neel Metal Products Limited</t>
        </is>
      </c>
      <c r="F670" t="n">
        <v>738</v>
      </c>
      <c r="G670" t="inlineStr">
        <is>
          <t>TVS</t>
        </is>
      </c>
      <c r="H670" t="inlineStr">
        <is>
          <t>48.6-0-3.5-ERW 1-FC</t>
        </is>
      </c>
      <c r="I670" t="inlineStr">
        <is>
          <t>48.6-0-3.5-ERW 1-FC-0.196</t>
        </is>
      </c>
      <c r="J670" t="n">
        <v>0.196</v>
      </c>
      <c r="K670" t="inlineStr">
        <is>
          <t>CTL</t>
        </is>
      </c>
    </row>
    <row r="671" hidden="1" s="584">
      <c r="A671" t="n">
        <v>3781637</v>
      </c>
      <c r="B671" t="inlineStr">
        <is>
          <t>CUT-O-N-AUT-AW-PE-19.05X2.300X0.2950</t>
        </is>
      </c>
      <c r="C671" t="n">
        <v>0.28138</v>
      </c>
      <c r="D671" t="n">
        <v>4731</v>
      </c>
      <c r="E671" t="inlineStr">
        <is>
          <t>SRIKAM HITECH ENGINEERING PRIVATE L</t>
        </is>
      </c>
      <c r="F671" t="n">
        <v>1842</v>
      </c>
      <c r="G671" t="inlineStr">
        <is>
          <t>TVS</t>
        </is>
      </c>
      <c r="H671" t="inlineStr">
        <is>
          <t>19.05-0-2.3-ERW 1-PE</t>
        </is>
      </c>
      <c r="I671" t="inlineStr">
        <is>
          <t>19.05-0-2.3-ERW 1-PE-0.295</t>
        </is>
      </c>
      <c r="J671" t="n">
        <v>0.295</v>
      </c>
      <c r="K671" t="inlineStr">
        <is>
          <t>CTL</t>
        </is>
      </c>
    </row>
    <row r="672" hidden="1" s="584">
      <c r="A672" t="n">
        <v>3781637</v>
      </c>
      <c r="B672" t="inlineStr">
        <is>
          <t>CUT-O-N-AUT-AW-PE-19.05X2.300X0.2950</t>
        </is>
      </c>
      <c r="C672" t="n">
        <v>0.303136</v>
      </c>
      <c r="D672" t="n">
        <v>4731</v>
      </c>
      <c r="E672" t="inlineStr">
        <is>
          <t>SRIKAM HITECH ENGINEERING PRIVATE L</t>
        </is>
      </c>
      <c r="F672" t="n">
        <v>1843</v>
      </c>
      <c r="G672" t="inlineStr">
        <is>
          <t>TVS</t>
        </is>
      </c>
      <c r="H672" t="inlineStr">
        <is>
          <t>19.05-0-2.3-ERW 1-PE</t>
        </is>
      </c>
      <c r="I672" t="inlineStr">
        <is>
          <t>19.05-0-2.3-ERW 1-PE-0.295</t>
        </is>
      </c>
      <c r="J672" t="n">
        <v>0.295</v>
      </c>
      <c r="K672" t="inlineStr">
        <is>
          <t>CTL</t>
        </is>
      </c>
    </row>
    <row r="673" hidden="1" s="584">
      <c r="A673" t="n">
        <v>3781637</v>
      </c>
      <c r="B673" t="inlineStr">
        <is>
          <t>CUT-O-N-AUT-AW-PE-19.05X2.300X0.2950</t>
        </is>
      </c>
      <c r="C673" t="n">
        <v>2.840903</v>
      </c>
      <c r="D673" t="n">
        <v>4731</v>
      </c>
      <c r="E673" t="inlineStr">
        <is>
          <t>SRIKAM HITECH ENGINEERING PRIVATE L</t>
        </is>
      </c>
      <c r="F673" t="n">
        <v>1844</v>
      </c>
      <c r="G673" t="inlineStr">
        <is>
          <t>TVS</t>
        </is>
      </c>
      <c r="H673" t="inlineStr">
        <is>
          <t>19.05-0-2.3-ERW 1-PE</t>
        </is>
      </c>
      <c r="I673" t="inlineStr">
        <is>
          <t>19.05-0-2.3-ERW 1-PE-0.295</t>
        </is>
      </c>
      <c r="J673" t="n">
        <v>0.295</v>
      </c>
      <c r="K673" t="inlineStr">
        <is>
          <t>CTL</t>
        </is>
      </c>
    </row>
    <row r="674" hidden="1" s="584">
      <c r="A674" t="n">
        <v>1940312</v>
      </c>
      <c r="B674" t="inlineStr">
        <is>
          <t>TUB-O-O-AUT-AW-PE-19.05X2.300X0.2950</t>
        </is>
      </c>
      <c r="C674" t="n">
        <v>0.463</v>
      </c>
      <c r="D674" t="n">
        <v>789</v>
      </c>
      <c r="E674" t="inlineStr">
        <is>
          <t>SRIKAM HITECH ENGINEERING PRIVATE L</t>
        </is>
      </c>
      <c r="F674" t="n">
        <v>1153</v>
      </c>
      <c r="G674" t="inlineStr">
        <is>
          <t>TVS</t>
        </is>
      </c>
      <c r="H674" t="inlineStr">
        <is>
          <t>19.05-0-2.3-ERW 1-PE</t>
        </is>
      </c>
      <c r="I674" t="inlineStr">
        <is>
          <t>19.05-0-2.3-ERW 1-PE-0.295</t>
        </is>
      </c>
      <c r="J674" t="n">
        <v>0.295</v>
      </c>
      <c r="K674" t="inlineStr">
        <is>
          <t>CTL</t>
        </is>
      </c>
    </row>
    <row r="675" hidden="1" s="584">
      <c r="A675" t="n">
        <v>1940312</v>
      </c>
      <c r="B675" t="inlineStr">
        <is>
          <t>TUB-O-O-AUT-AW-PE-19.05X2.300X0.2950</t>
        </is>
      </c>
      <c r="C675" t="n">
        <v>0.6210399999999999</v>
      </c>
      <c r="D675" t="n">
        <v>789</v>
      </c>
      <c r="E675" t="inlineStr">
        <is>
          <t>SRIKAM HITECH ENGINEERING PRIVATE L</t>
        </is>
      </c>
      <c r="F675" t="n">
        <v>1154</v>
      </c>
      <c r="G675" t="inlineStr">
        <is>
          <t>TVS</t>
        </is>
      </c>
      <c r="H675" t="inlineStr">
        <is>
          <t>19.05-0-2.3-ERW 1-PE</t>
        </is>
      </c>
      <c r="I675" t="inlineStr">
        <is>
          <t>19.05-0-2.3-ERW 1-PE-0.295</t>
        </is>
      </c>
      <c r="J675" t="n">
        <v>0.295</v>
      </c>
      <c r="K675" t="inlineStr">
        <is>
          <t>CTL</t>
        </is>
      </c>
    </row>
    <row r="676" hidden="1" s="584">
      <c r="A676" t="n">
        <v>1940312</v>
      </c>
      <c r="B676" t="inlineStr">
        <is>
          <t>TUB-O-O-AUT-AW-PE-19.05X2.300X0.2950</t>
        </is>
      </c>
      <c r="C676" t="n">
        <v>0.491</v>
      </c>
      <c r="D676" t="n">
        <v>789</v>
      </c>
      <c r="E676" t="inlineStr">
        <is>
          <t>SRIKAM HITECH ENGINEERING PRIVATE L</t>
        </is>
      </c>
      <c r="F676" t="n">
        <v>1155</v>
      </c>
      <c r="G676" t="inlineStr">
        <is>
          <t>TVS</t>
        </is>
      </c>
      <c r="H676" t="inlineStr">
        <is>
          <t>19.05-0-2.3-ERW 1-PE</t>
        </is>
      </c>
      <c r="I676" t="inlineStr">
        <is>
          <t>19.05-0-2.3-ERW 1-PE-0.295</t>
        </is>
      </c>
      <c r="J676" t="n">
        <v>0.295</v>
      </c>
      <c r="K676" t="inlineStr">
        <is>
          <t>CTL</t>
        </is>
      </c>
    </row>
    <row r="677" hidden="1" s="584">
      <c r="A677" t="n">
        <v>1940312</v>
      </c>
      <c r="B677" t="inlineStr">
        <is>
          <t>TUB-O-O-AUT-AW-PE-19.05X2.300X0.2950</t>
        </is>
      </c>
      <c r="C677" t="n">
        <v>0.308</v>
      </c>
      <c r="D677" t="n">
        <v>789</v>
      </c>
      <c r="E677" t="inlineStr">
        <is>
          <t>SRIKAM HITECH ENGINEERING PRIVATE L</t>
        </is>
      </c>
      <c r="F677" t="n">
        <v>1156</v>
      </c>
      <c r="G677" t="inlineStr">
        <is>
          <t>TVS</t>
        </is>
      </c>
      <c r="H677" t="inlineStr">
        <is>
          <t>19.05-0-2.3-ERW 1-PE</t>
        </is>
      </c>
      <c r="I677" t="inlineStr">
        <is>
          <t>19.05-0-2.3-ERW 1-PE-0.295</t>
        </is>
      </c>
      <c r="J677" t="n">
        <v>0.295</v>
      </c>
      <c r="K677" t="inlineStr">
        <is>
          <t>CTL</t>
        </is>
      </c>
    </row>
    <row r="678" hidden="1" s="584">
      <c r="A678" t="n">
        <v>1940312</v>
      </c>
      <c r="B678" t="inlineStr">
        <is>
          <t>TUB-O-O-AUT-AW-PE-19.05X2.300X0.2950</t>
        </is>
      </c>
      <c r="C678" t="n">
        <v>0.181</v>
      </c>
      <c r="D678" t="n">
        <v>789</v>
      </c>
      <c r="E678" t="inlineStr">
        <is>
          <t>SRIKAM HITECH ENGINEERING PRIVATE L</t>
        </is>
      </c>
      <c r="F678" t="n">
        <v>1157</v>
      </c>
      <c r="G678" t="inlineStr">
        <is>
          <t>TVS</t>
        </is>
      </c>
      <c r="H678" t="inlineStr">
        <is>
          <t>19.05-0-2.3-ERW 1-PE</t>
        </is>
      </c>
      <c r="I678" t="inlineStr">
        <is>
          <t>19.05-0-2.3-ERW 1-PE-0.295</t>
        </is>
      </c>
      <c r="J678" t="n">
        <v>0.295</v>
      </c>
      <c r="K678" t="inlineStr">
        <is>
          <t>CTL</t>
        </is>
      </c>
    </row>
    <row r="679" hidden="1" s="584">
      <c r="A679" t="n">
        <v>1940312</v>
      </c>
      <c r="B679" t="inlineStr">
        <is>
          <t>TUB-O-O-AUT-AW-PE-19.05X2.300X0.2950</t>
        </is>
      </c>
      <c r="C679" t="n">
        <v>1.591742</v>
      </c>
      <c r="D679" t="n">
        <v>4731</v>
      </c>
      <c r="E679" t="inlineStr">
        <is>
          <t>SRIKAM HITECH ENGINEERING PRIVATE L</t>
        </is>
      </c>
      <c r="F679" t="n">
        <v>1961</v>
      </c>
      <c r="G679" t="inlineStr">
        <is>
          <t>TVS</t>
        </is>
      </c>
      <c r="H679" t="inlineStr">
        <is>
          <t>19.05-0-2.3-ERW 1-PE</t>
        </is>
      </c>
      <c r="I679" t="inlineStr">
        <is>
          <t>19.05-0-2.3-ERW 1-PE-0.295</t>
        </is>
      </c>
      <c r="J679" t="n">
        <v>0.295</v>
      </c>
      <c r="K679" t="inlineStr">
        <is>
          <t>CTL</t>
        </is>
      </c>
    </row>
    <row r="680" hidden="1" s="584">
      <c r="A680" t="n">
        <v>1940312</v>
      </c>
      <c r="B680" t="inlineStr">
        <is>
          <t>TUB-O-O-AUT-AW-PE-19.05X2.300X0.2950</t>
        </is>
      </c>
      <c r="C680" t="n">
        <v>0.296658</v>
      </c>
      <c r="D680" t="n">
        <v>4731</v>
      </c>
      <c r="E680" t="inlineStr">
        <is>
          <t>SRIKAM HITECH ENGINEERING PRIVATE L</t>
        </is>
      </c>
      <c r="F680" t="n">
        <v>1962</v>
      </c>
      <c r="G680" t="inlineStr">
        <is>
          <t>TVS</t>
        </is>
      </c>
      <c r="H680" t="inlineStr">
        <is>
          <t>19.05-0-2.3-ERW 1-PE</t>
        </is>
      </c>
      <c r="I680" t="inlineStr">
        <is>
          <t>19.05-0-2.3-ERW 1-PE-0.295</t>
        </is>
      </c>
      <c r="J680" t="n">
        <v>0.295</v>
      </c>
      <c r="K680" t="inlineStr">
        <is>
          <t>CTL</t>
        </is>
      </c>
    </row>
    <row r="681" hidden="1" s="584">
      <c r="A681" t="n">
        <v>1940312</v>
      </c>
      <c r="B681" t="inlineStr">
        <is>
          <t>TUB-O-O-AUT-AW-PE-19.05X2.300X0.2950</t>
        </is>
      </c>
      <c r="C681" t="n">
        <v>0.727621</v>
      </c>
      <c r="D681" t="n">
        <v>4731</v>
      </c>
      <c r="E681" t="inlineStr">
        <is>
          <t>SRIKAM HITECH ENGINEERING PRIVATE L</t>
        </is>
      </c>
      <c r="F681" t="n">
        <v>1963</v>
      </c>
      <c r="G681" t="inlineStr">
        <is>
          <t>TVS</t>
        </is>
      </c>
      <c r="H681" t="inlineStr">
        <is>
          <t>19.05-0-2.3-ERW 1-PE</t>
        </is>
      </c>
      <c r="I681" t="inlineStr">
        <is>
          <t>19.05-0-2.3-ERW 1-PE-0.295</t>
        </is>
      </c>
      <c r="J681" t="n">
        <v>0.295</v>
      </c>
      <c r="K681" t="inlineStr">
        <is>
          <t>CTL</t>
        </is>
      </c>
    </row>
    <row r="682" hidden="1" s="584">
      <c r="A682" t="n">
        <v>1940312</v>
      </c>
      <c r="B682" t="inlineStr">
        <is>
          <t>TUB-O-O-AUT-AW-PE-19.05X2.300X0.2950</t>
        </is>
      </c>
      <c r="C682" t="n">
        <v>0.6202839999999999</v>
      </c>
      <c r="D682" t="n">
        <v>4731</v>
      </c>
      <c r="E682" t="inlineStr">
        <is>
          <t>SRIKAM HITECH ENGINEERING PRIVATE L</t>
        </is>
      </c>
      <c r="F682" t="n">
        <v>1964</v>
      </c>
      <c r="G682" t="inlineStr">
        <is>
          <t>TVS</t>
        </is>
      </c>
      <c r="H682" t="inlineStr">
        <is>
          <t>19.05-0-2.3-ERW 1-PE</t>
        </is>
      </c>
      <c r="I682" t="inlineStr">
        <is>
          <t>19.05-0-2.3-ERW 1-PE-0.295</t>
        </is>
      </c>
      <c r="J682" t="n">
        <v>0.295</v>
      </c>
      <c r="K682" t="inlineStr">
        <is>
          <t>CTL</t>
        </is>
      </c>
    </row>
    <row r="683" hidden="1" s="584">
      <c r="A683" t="n">
        <v>1940312</v>
      </c>
      <c r="B683" t="inlineStr">
        <is>
          <t>TUB-O-O-AUT-AW-PE-19.05X2.300X0.2950</t>
        </is>
      </c>
      <c r="C683" t="n">
        <v>0.123695</v>
      </c>
      <c r="D683" t="n">
        <v>4731</v>
      </c>
      <c r="E683" t="inlineStr">
        <is>
          <t>SRIKAM HITECH ENGINEERING PRIVATE L</t>
        </is>
      </c>
      <c r="F683" t="n">
        <v>1965</v>
      </c>
      <c r="G683" t="inlineStr">
        <is>
          <t>TVS</t>
        </is>
      </c>
      <c r="H683" t="inlineStr">
        <is>
          <t>19.05-0-2.3-ERW 1-PE</t>
        </is>
      </c>
      <c r="I683" t="inlineStr">
        <is>
          <t>19.05-0-2.3-ERW 1-PE-0.295</t>
        </is>
      </c>
      <c r="J683" t="n">
        <v>0.295</v>
      </c>
      <c r="K683" t="inlineStr">
        <is>
          <t>CTL</t>
        </is>
      </c>
    </row>
    <row r="684" hidden="1" s="584">
      <c r="A684" t="n">
        <v>3781649</v>
      </c>
      <c r="B684" t="inlineStr">
        <is>
          <t>TUB-E-AW-AUT-59.00X30.00X1.600X0.6410</t>
        </is>
      </c>
      <c r="C684" t="n">
        <v>0.268</v>
      </c>
      <c r="D684" t="n">
        <v>789</v>
      </c>
      <c r="E684" t="inlineStr">
        <is>
          <t>ELKAYEM AUTO ANCILLARIES PVT LTD -U</t>
        </is>
      </c>
      <c r="F684" t="n">
        <v>743</v>
      </c>
      <c r="G684" t="inlineStr">
        <is>
          <t>TVS</t>
        </is>
      </c>
      <c r="H684" t="inlineStr">
        <is>
          <t>59-30-1.6-ERW 1-FIN CUT</t>
        </is>
      </c>
      <c r="I684" t="inlineStr">
        <is>
          <t>59-30-1.6-ERW 1-FIN CUT-0.641</t>
        </is>
      </c>
      <c r="J684" t="n">
        <v>0.641</v>
      </c>
      <c r="K684" t="inlineStr">
        <is>
          <t>CTL</t>
        </is>
      </c>
    </row>
    <row r="685" hidden="1" s="584">
      <c r="A685" t="n">
        <v>3781649</v>
      </c>
      <c r="B685" t="inlineStr">
        <is>
          <t>TUB-E-AW-AUT-59.00X30.00X1.600X0.6410</t>
        </is>
      </c>
      <c r="C685" t="n">
        <v>0.00306</v>
      </c>
      <c r="D685" t="n">
        <v>789</v>
      </c>
      <c r="E685" t="inlineStr">
        <is>
          <t>ELKAYEM AUTO ANCILLARIES PVT LTD -U</t>
        </is>
      </c>
      <c r="F685" t="n">
        <v>933</v>
      </c>
      <c r="G685" t="inlineStr">
        <is>
          <t>TVS</t>
        </is>
      </c>
      <c r="H685" t="inlineStr">
        <is>
          <t>59-30-1.6-ERW 1-FIN CUT</t>
        </is>
      </c>
      <c r="I685" t="inlineStr">
        <is>
          <t>59-30-1.6-ERW 1-FIN CUT-0.641</t>
        </is>
      </c>
      <c r="J685" t="n">
        <v>0.641</v>
      </c>
      <c r="K685" t="inlineStr">
        <is>
          <t>CTL</t>
        </is>
      </c>
    </row>
    <row r="686" hidden="1" s="584">
      <c r="A686" t="n">
        <v>3781649</v>
      </c>
      <c r="B686" t="inlineStr">
        <is>
          <t>TUB-E-AW-AUT-59.00X30.00X1.600X0.6410</t>
        </is>
      </c>
      <c r="C686" t="n">
        <v>0.00188</v>
      </c>
      <c r="D686" t="n">
        <v>789</v>
      </c>
      <c r="E686" t="inlineStr">
        <is>
          <t>ELKAYEM AUTO ANCILLARIES PVT LTD -U</t>
        </is>
      </c>
      <c r="F686" t="n">
        <v>934</v>
      </c>
      <c r="G686" t="inlineStr">
        <is>
          <t>TVS</t>
        </is>
      </c>
      <c r="H686" t="inlineStr">
        <is>
          <t>59-30-1.6-ERW 1-FIN CUT</t>
        </is>
      </c>
      <c r="I686" t="inlineStr">
        <is>
          <t>59-30-1.6-ERW 1-FIN CUT-0.641</t>
        </is>
      </c>
      <c r="J686" t="n">
        <v>0.641</v>
      </c>
      <c r="K686" t="inlineStr">
        <is>
          <t>CTL</t>
        </is>
      </c>
    </row>
    <row r="687" hidden="1" s="584">
      <c r="A687" t="n">
        <v>3781649</v>
      </c>
      <c r="B687" t="inlineStr">
        <is>
          <t>TUB-E-AW-AUT-59.00X30.00X1.600X0.6410</t>
        </is>
      </c>
      <c r="C687" t="n">
        <v>1.903</v>
      </c>
      <c r="D687" t="n">
        <v>789</v>
      </c>
      <c r="E687" t="inlineStr">
        <is>
          <t>ELKAYEM AUTO ANCILLARIES PVT LTD -U</t>
        </is>
      </c>
      <c r="F687" t="n">
        <v>935</v>
      </c>
      <c r="G687" t="inlineStr">
        <is>
          <t>TVS</t>
        </is>
      </c>
      <c r="H687" t="inlineStr">
        <is>
          <t>59-30-1.6-ERW 1-FIN CUT</t>
        </is>
      </c>
      <c r="I687" t="inlineStr">
        <is>
          <t>59-30-1.6-ERW 1-FIN CUT-0.641</t>
        </is>
      </c>
      <c r="J687" t="n">
        <v>0.641</v>
      </c>
      <c r="K687" t="inlineStr">
        <is>
          <t>CTL</t>
        </is>
      </c>
    </row>
    <row r="688" hidden="1" s="584">
      <c r="A688" t="n">
        <v>3781649</v>
      </c>
      <c r="B688" t="inlineStr">
        <is>
          <t>TUB-E-AW-AUT-59.00X30.00X1.600X0.6410</t>
        </is>
      </c>
      <c r="C688" t="n">
        <v>2.39</v>
      </c>
      <c r="D688" t="n">
        <v>789</v>
      </c>
      <c r="E688" t="inlineStr">
        <is>
          <t>ELKAYEM AUTO ANCILLARIES PVT LTD -U</t>
        </is>
      </c>
      <c r="F688" t="n">
        <v>936</v>
      </c>
      <c r="G688" t="inlineStr">
        <is>
          <t>TVS</t>
        </is>
      </c>
      <c r="H688" t="inlineStr">
        <is>
          <t>59-30-1.6-ERW 1-FIN CUT</t>
        </is>
      </c>
      <c r="I688" t="inlineStr">
        <is>
          <t>59-30-1.6-ERW 1-FIN CUT-0.641</t>
        </is>
      </c>
      <c r="J688" t="n">
        <v>0.641</v>
      </c>
      <c r="K688" t="inlineStr">
        <is>
          <t>CTL</t>
        </is>
      </c>
    </row>
    <row r="689" hidden="1" s="584">
      <c r="A689" t="n">
        <v>3781649</v>
      </c>
      <c r="B689" t="inlineStr">
        <is>
          <t>TUB-E-AW-AUT-59.00X30.00X1.600X0.6410</t>
        </is>
      </c>
      <c r="C689" t="n">
        <v>2.414</v>
      </c>
      <c r="D689" t="n">
        <v>789</v>
      </c>
      <c r="E689" t="inlineStr">
        <is>
          <t>ELKAYEM AUTO ANCILLARIES PVT LTD -U</t>
        </is>
      </c>
      <c r="F689" t="n">
        <v>937</v>
      </c>
      <c r="G689" t="inlineStr">
        <is>
          <t>TVS</t>
        </is>
      </c>
      <c r="H689" t="inlineStr">
        <is>
          <t>59-30-1.6-ERW 1-FIN CUT</t>
        </is>
      </c>
      <c r="I689" t="inlineStr">
        <is>
          <t>59-30-1.6-ERW 1-FIN CUT-0.641</t>
        </is>
      </c>
      <c r="J689" t="n">
        <v>0.641</v>
      </c>
      <c r="K689" t="inlineStr">
        <is>
          <t>CTL</t>
        </is>
      </c>
    </row>
    <row r="690" hidden="1" s="584">
      <c r="A690" t="n">
        <v>3781649</v>
      </c>
      <c r="B690" t="inlineStr">
        <is>
          <t>TUB-E-AW-AUT-59.00X30.00X1.600X0.6410</t>
        </is>
      </c>
      <c r="C690" t="n">
        <v>2.527</v>
      </c>
      <c r="D690" t="n">
        <v>789</v>
      </c>
      <c r="E690" t="inlineStr">
        <is>
          <t>ELKAYEM AUTO ANCILLARIES PVT LTD -U</t>
        </is>
      </c>
      <c r="F690" t="n">
        <v>938</v>
      </c>
      <c r="G690" t="inlineStr">
        <is>
          <t>TVS</t>
        </is>
      </c>
      <c r="H690" t="inlineStr">
        <is>
          <t>59-30-1.6-ERW 1-FIN CUT</t>
        </is>
      </c>
      <c r="I690" t="inlineStr">
        <is>
          <t>59-30-1.6-ERW 1-FIN CUT-0.641</t>
        </is>
      </c>
      <c r="J690" t="n">
        <v>0.641</v>
      </c>
      <c r="K690" t="inlineStr">
        <is>
          <t>CTL</t>
        </is>
      </c>
    </row>
    <row r="691" hidden="1" s="584">
      <c r="A691" t="n">
        <v>3781649</v>
      </c>
      <c r="B691" t="inlineStr">
        <is>
          <t>TUB-E-AW-AUT-59.00X30.00X1.600X0.6410</t>
        </is>
      </c>
      <c r="C691" t="n">
        <v>2.521</v>
      </c>
      <c r="D691" t="n">
        <v>789</v>
      </c>
      <c r="E691" t="inlineStr">
        <is>
          <t>ELKAYEM AUTO ANCILLARIES PVT LTD -U</t>
        </is>
      </c>
      <c r="F691" t="n">
        <v>939</v>
      </c>
      <c r="G691" t="inlineStr">
        <is>
          <t>TVS</t>
        </is>
      </c>
      <c r="H691" t="inlineStr">
        <is>
          <t>59-30-1.6-ERW 1-FIN CUT</t>
        </is>
      </c>
      <c r="I691" t="inlineStr">
        <is>
          <t>59-30-1.6-ERW 1-FIN CUT-0.641</t>
        </is>
      </c>
      <c r="J691" t="n">
        <v>0.641</v>
      </c>
      <c r="K691" t="inlineStr">
        <is>
          <t>CTL</t>
        </is>
      </c>
    </row>
    <row r="692" hidden="1" s="584">
      <c r="A692" t="n">
        <v>3781649</v>
      </c>
      <c r="B692" t="inlineStr">
        <is>
          <t>TUB-E-AW-AUT-59.00X30.00X1.600X0.6410</t>
        </is>
      </c>
      <c r="C692" t="n">
        <v>2.141</v>
      </c>
      <c r="D692" t="n">
        <v>789</v>
      </c>
      <c r="E692" t="inlineStr">
        <is>
          <t>ELKAYEM AUTO ANCILLARIES PVT LTD -U</t>
        </is>
      </c>
      <c r="F692" t="n">
        <v>940</v>
      </c>
      <c r="G692" t="inlineStr">
        <is>
          <t>TVS</t>
        </is>
      </c>
      <c r="H692" t="inlineStr">
        <is>
          <t>59-30-1.6-ERW 1-FIN CUT</t>
        </is>
      </c>
      <c r="I692" t="inlineStr">
        <is>
          <t>59-30-1.6-ERW 1-FIN CUT-0.641</t>
        </is>
      </c>
      <c r="J692" t="n">
        <v>0.641</v>
      </c>
      <c r="K692" t="inlineStr">
        <is>
          <t>CTL</t>
        </is>
      </c>
    </row>
    <row r="693" hidden="1" s="584">
      <c r="A693" t="n">
        <v>3781649</v>
      </c>
      <c r="B693" t="inlineStr">
        <is>
          <t>TUB-E-AW-AUT-59.00X30.00X1.600X0.6410</t>
        </is>
      </c>
      <c r="C693" t="n">
        <v>1.748</v>
      </c>
      <c r="D693" t="n">
        <v>789</v>
      </c>
      <c r="E693" t="inlineStr">
        <is>
          <t>ELKAYEM AUTO ANCILLARIES PVT LTD -U</t>
        </is>
      </c>
      <c r="F693" t="n">
        <v>941</v>
      </c>
      <c r="G693" t="inlineStr">
        <is>
          <t>TVS</t>
        </is>
      </c>
      <c r="H693" t="inlineStr">
        <is>
          <t>59-30-1.6-ERW 1-FIN CUT</t>
        </is>
      </c>
      <c r="I693" t="inlineStr">
        <is>
          <t>59-30-1.6-ERW 1-FIN CUT-0.641</t>
        </is>
      </c>
      <c r="J693" t="n">
        <v>0.641</v>
      </c>
      <c r="K693" t="inlineStr">
        <is>
          <t>CTL</t>
        </is>
      </c>
    </row>
    <row r="694" hidden="1" s="584">
      <c r="A694" t="n">
        <v>3781649</v>
      </c>
      <c r="B694" t="inlineStr">
        <is>
          <t>TUB-E-AW-AUT-59.00X30.00X1.600X0.6410</t>
        </is>
      </c>
      <c r="C694" t="n">
        <v>0.268</v>
      </c>
      <c r="D694" t="n">
        <v>789</v>
      </c>
      <c r="E694" t="inlineStr">
        <is>
          <t>ELKAYEM AUTO ANCILLARIES PVT LTD -U</t>
        </is>
      </c>
      <c r="F694" t="n">
        <v>942</v>
      </c>
      <c r="G694" t="inlineStr">
        <is>
          <t>TVS</t>
        </is>
      </c>
      <c r="H694" t="inlineStr">
        <is>
          <t>59-30-1.6-ERW 1-FIN CUT</t>
        </is>
      </c>
      <c r="I694" t="inlineStr">
        <is>
          <t>59-30-1.6-ERW 1-FIN CUT-0.641</t>
        </is>
      </c>
      <c r="J694" t="n">
        <v>0.641</v>
      </c>
      <c r="K694" t="inlineStr">
        <is>
          <t>CTL</t>
        </is>
      </c>
    </row>
    <row r="695" hidden="1" s="584">
      <c r="A695" t="n">
        <v>3781649</v>
      </c>
      <c r="B695" t="inlineStr">
        <is>
          <t>TUB-E-AW-AUT-59.00X30.00X1.600X0.6410</t>
        </is>
      </c>
      <c r="C695" t="n">
        <v>0.268</v>
      </c>
      <c r="D695" t="n">
        <v>789</v>
      </c>
      <c r="E695" t="inlineStr">
        <is>
          <t>ELKAYEM AUTO ANCILLARIES PVT LTD -U</t>
        </is>
      </c>
      <c r="F695" t="n">
        <v>943</v>
      </c>
      <c r="G695" t="inlineStr">
        <is>
          <t>TVS</t>
        </is>
      </c>
      <c r="H695" t="inlineStr">
        <is>
          <t>59-30-1.6-ERW 1-FIN CUT</t>
        </is>
      </c>
      <c r="I695" t="inlineStr">
        <is>
          <t>59-30-1.6-ERW 1-FIN CUT-0.641</t>
        </is>
      </c>
      <c r="J695" t="n">
        <v>0.641</v>
      </c>
      <c r="K695" t="inlineStr">
        <is>
          <t>CTL</t>
        </is>
      </c>
    </row>
    <row r="696" hidden="1" s="584">
      <c r="A696" t="n">
        <v>3781649</v>
      </c>
      <c r="B696" t="inlineStr">
        <is>
          <t>TUB-E-AW-AUT-59.00X30.00X1.600X0.6410</t>
        </is>
      </c>
      <c r="C696" t="n">
        <v>1.522</v>
      </c>
      <c r="D696" t="n">
        <v>789</v>
      </c>
      <c r="E696" t="inlineStr">
        <is>
          <t>ELKAYEM AUTO ANCILLARIES PVT LTD -U</t>
        </is>
      </c>
      <c r="F696" t="n">
        <v>944</v>
      </c>
      <c r="G696" t="inlineStr">
        <is>
          <t>TVS</t>
        </is>
      </c>
      <c r="H696" t="inlineStr">
        <is>
          <t>59-30-1.6-ERW 1-FIN CUT</t>
        </is>
      </c>
      <c r="I696" t="inlineStr">
        <is>
          <t>59-30-1.6-ERW 1-FIN CUT-0.641</t>
        </is>
      </c>
      <c r="J696" t="n">
        <v>0.641</v>
      </c>
      <c r="K696" t="inlineStr">
        <is>
          <t>CTL</t>
        </is>
      </c>
    </row>
    <row r="697" hidden="1" s="584">
      <c r="A697" t="n">
        <v>3786201</v>
      </c>
      <c r="B697" t="inlineStr">
        <is>
          <t>TUB-R-AW-RHS-40.00X25.00X1.600X0.5380</t>
        </is>
      </c>
      <c r="C697" t="n">
        <v>0.008541999999999999</v>
      </c>
      <c r="D697" t="n">
        <v>789</v>
      </c>
      <c r="E697" t="inlineStr">
        <is>
          <t>Marathwada Auto Compo Pvt. Ltd.</t>
        </is>
      </c>
      <c r="F697" t="n">
        <v>745</v>
      </c>
      <c r="G697" t="inlineStr">
        <is>
          <t>TVS</t>
        </is>
      </c>
      <c r="H697" t="inlineStr">
        <is>
          <t>40-25-1.6-ERW 1-FC</t>
        </is>
      </c>
      <c r="I697" t="inlineStr">
        <is>
          <t>40-25-1.6-ERW 1-FC-0.538</t>
        </is>
      </c>
      <c r="J697" t="n">
        <v>0.538</v>
      </c>
      <c r="K697" t="inlineStr">
        <is>
          <t>CTL</t>
        </is>
      </c>
    </row>
    <row r="698" hidden="1" s="584">
      <c r="A698" t="n">
        <v>3910649</v>
      </c>
      <c r="B698" t="inlineStr">
        <is>
          <t>CUT-O-N-AUT-AW-FC-22.23X2.000X0.8630</t>
        </is>
      </c>
      <c r="C698" t="n">
        <v>0.01</v>
      </c>
      <c r="D698" t="n">
        <v>789</v>
      </c>
      <c r="E698" t="inlineStr">
        <is>
          <t>Sandhar EngineeringPvt.Ltd.(KA)-Uni</t>
        </is>
      </c>
      <c r="F698" t="n">
        <v>747</v>
      </c>
      <c r="G698" t="inlineStr">
        <is>
          <t>TVS</t>
        </is>
      </c>
      <c r="H698" t="inlineStr">
        <is>
          <t>22.23-0-2-ERW 2-FC</t>
        </is>
      </c>
      <c r="I698" t="inlineStr">
        <is>
          <t>22.23-0-2-ERW 2-FC-0.863</t>
        </is>
      </c>
      <c r="J698" t="n">
        <v>0.863</v>
      </c>
      <c r="K698" t="inlineStr">
        <is>
          <t>CTL</t>
        </is>
      </c>
    </row>
    <row r="699" hidden="1" s="584">
      <c r="A699" t="n">
        <v>3910649</v>
      </c>
      <c r="B699" t="inlineStr">
        <is>
          <t>CUT-O-N-AUT-AW-FC-22.23X2.000X0.8630</t>
        </is>
      </c>
      <c r="C699" t="n">
        <v>0.01</v>
      </c>
      <c r="D699" t="n">
        <v>789</v>
      </c>
      <c r="E699" t="inlineStr">
        <is>
          <t>Sandhar EngineeringPvt.Ltd.(KA)-Uni</t>
        </is>
      </c>
      <c r="F699" t="n">
        <v>748</v>
      </c>
      <c r="G699" t="inlineStr">
        <is>
          <t>TVS</t>
        </is>
      </c>
      <c r="H699" t="inlineStr">
        <is>
          <t>22.23-0-2-ERW 2-FC</t>
        </is>
      </c>
      <c r="I699" t="inlineStr">
        <is>
          <t>22.23-0-2-ERW 2-FC-0.863</t>
        </is>
      </c>
      <c r="J699" t="n">
        <v>0.863</v>
      </c>
      <c r="K699" t="inlineStr">
        <is>
          <t>CTL</t>
        </is>
      </c>
    </row>
    <row r="700" hidden="1" s="584">
      <c r="A700" t="n">
        <v>1940318</v>
      </c>
      <c r="B700" t="inlineStr">
        <is>
          <t>TUB-O-O-AUT-AW-PE-19.05X2.300X0.3940</t>
        </is>
      </c>
      <c r="C700" t="n">
        <v>0.000904</v>
      </c>
      <c r="D700" t="n">
        <v>789</v>
      </c>
      <c r="E700" t="inlineStr">
        <is>
          <t>Neel Metal Products Limited</t>
        </is>
      </c>
      <c r="F700" t="n">
        <v>913</v>
      </c>
      <c r="G700" t="inlineStr">
        <is>
          <t>TVS</t>
        </is>
      </c>
      <c r="H700" t="inlineStr">
        <is>
          <t>19.05-0-2.3-ERW 1-PE</t>
        </is>
      </c>
      <c r="I700" t="inlineStr">
        <is>
          <t>19.05-0-2.3-ERW 1-PE-0.394</t>
        </is>
      </c>
      <c r="J700" t="n">
        <v>0.394</v>
      </c>
      <c r="K700" t="inlineStr">
        <is>
          <t>CTL</t>
        </is>
      </c>
    </row>
    <row r="701" hidden="1" s="584">
      <c r="A701" t="n">
        <v>1940318</v>
      </c>
      <c r="B701" t="inlineStr">
        <is>
          <t>TUB-O-O-AUT-AW-PE-19.05X2.300X0.3940</t>
        </is>
      </c>
      <c r="C701" t="n">
        <v>0.002</v>
      </c>
      <c r="D701" t="n">
        <v>789</v>
      </c>
      <c r="E701" t="inlineStr">
        <is>
          <t>Neel Metal Products Limited</t>
        </is>
      </c>
      <c r="F701" t="n">
        <v>914</v>
      </c>
      <c r="G701" t="inlineStr">
        <is>
          <t>TVS</t>
        </is>
      </c>
      <c r="H701" t="inlineStr">
        <is>
          <t>19.05-0-2.3-ERW 1-PE</t>
        </is>
      </c>
      <c r="I701" t="inlineStr">
        <is>
          <t>19.05-0-2.3-ERW 1-PE-0.394</t>
        </is>
      </c>
      <c r="J701" t="n">
        <v>0.394</v>
      </c>
      <c r="K701" t="inlineStr">
        <is>
          <t>CTL</t>
        </is>
      </c>
    </row>
    <row r="702" hidden="1" s="584">
      <c r="A702" t="n">
        <v>4228296</v>
      </c>
      <c r="B702" t="inlineStr">
        <is>
          <t>CUT-O-N-AUT-AW-FC-22.23X2.000X0.8650</t>
        </is>
      </c>
      <c r="C702" t="n">
        <v>0.043394</v>
      </c>
      <c r="D702" t="n">
        <v>789</v>
      </c>
      <c r="E702" t="inlineStr">
        <is>
          <t>SANDHAR ENGINEERING PVTLTD(KA)U-III</t>
        </is>
      </c>
      <c r="F702" t="n">
        <v>749</v>
      </c>
      <c r="G702" t="inlineStr">
        <is>
          <t>TVS</t>
        </is>
      </c>
      <c r="H702" t="inlineStr">
        <is>
          <t>22.23-0-2-ERW 2-PE</t>
        </is>
      </c>
      <c r="I702" t="inlineStr">
        <is>
          <t>22.23-0-2-ERW 2-PE-0.865</t>
        </is>
      </c>
      <c r="J702" t="n">
        <v>0.865</v>
      </c>
      <c r="K702" t="inlineStr">
        <is>
          <t>CTL</t>
        </is>
      </c>
    </row>
    <row r="703" hidden="1" s="584">
      <c r="A703" t="n">
        <v>1940399</v>
      </c>
      <c r="B703" t="inlineStr">
        <is>
          <t>TUB-O-O-AUT-AW-PE-22.23X1.600X0.4010</t>
        </is>
      </c>
      <c r="C703" t="n">
        <v>0.024064</v>
      </c>
      <c r="D703" t="n">
        <v>789</v>
      </c>
      <c r="E703" t="inlineStr">
        <is>
          <t>Rajsriya Automotive Ind. Pvt Ltd</t>
        </is>
      </c>
      <c r="F703" t="n">
        <v>762</v>
      </c>
      <c r="G703" t="inlineStr">
        <is>
          <t>TVS</t>
        </is>
      </c>
      <c r="H703" t="inlineStr">
        <is>
          <t>22.23-0-1.6-ERW 1-PE</t>
        </is>
      </c>
      <c r="I703" t="inlineStr">
        <is>
          <t>22.23-0-1.6-ERW 1-PE-0.401</t>
        </is>
      </c>
      <c r="J703" t="n">
        <v>0.401</v>
      </c>
      <c r="K703" t="inlineStr">
        <is>
          <t>CTL</t>
        </is>
      </c>
    </row>
    <row r="704" hidden="1" s="584">
      <c r="A704" t="n">
        <v>1940614</v>
      </c>
      <c r="B704" t="inlineStr">
        <is>
          <t>TUB-O-O-AUT-AW-PE-28.58X1.200X0.5950</t>
        </is>
      </c>
      <c r="C704" t="n">
        <v>0.002595</v>
      </c>
      <c r="D704" t="n">
        <v>789</v>
      </c>
      <c r="E704" t="inlineStr">
        <is>
          <t>SANDHAR ENGINEERING PVT LTD.(KA) -U</t>
        </is>
      </c>
      <c r="F704" t="n">
        <v>763</v>
      </c>
      <c r="G704" t="inlineStr">
        <is>
          <t>TVS</t>
        </is>
      </c>
      <c r="H704" t="inlineStr">
        <is>
          <t>28.58-0-1.2-ERW 1-PE</t>
        </is>
      </c>
      <c r="I704" t="inlineStr">
        <is>
          <t>28.58-0-1.2-ERW 1-PE-0.595</t>
        </is>
      </c>
      <c r="J704" t="n">
        <v>0.595</v>
      </c>
      <c r="K704" t="inlineStr">
        <is>
          <t>CTL</t>
        </is>
      </c>
    </row>
    <row r="705" hidden="1" s="584">
      <c r="A705" t="n">
        <v>1940614</v>
      </c>
      <c r="B705" t="inlineStr">
        <is>
          <t>TUB-O-O-AUT-AW-PE-28.58X1.200X0.5950</t>
        </is>
      </c>
      <c r="C705" t="n">
        <v>0.07234500000000001</v>
      </c>
      <c r="D705" t="n">
        <v>4731</v>
      </c>
      <c r="E705" t="inlineStr">
        <is>
          <t>SANDHAR ENGINEERING PVT LTD.(KA) -U</t>
        </is>
      </c>
      <c r="F705" t="n">
        <v>1336</v>
      </c>
      <c r="G705" t="inlineStr">
        <is>
          <t>TVS</t>
        </is>
      </c>
      <c r="H705" t="inlineStr">
        <is>
          <t>28.58-0-1.2-ERW 1-PE</t>
        </is>
      </c>
      <c r="I705" t="inlineStr">
        <is>
          <t>28.58-0-1.2-ERW 1-PE-0.595</t>
        </is>
      </c>
      <c r="J705" t="n">
        <v>0.595</v>
      </c>
      <c r="K705" t="inlineStr">
        <is>
          <t>CTL</t>
        </is>
      </c>
    </row>
    <row r="706" hidden="1" s="584">
      <c r="A706" t="n">
        <v>1940614</v>
      </c>
      <c r="B706" t="inlineStr">
        <is>
          <t>TUB-O-O-AUT-AW-PE-28.58X1.200X0.5950</t>
        </is>
      </c>
      <c r="C706" t="n">
        <v>0.130097</v>
      </c>
      <c r="D706" t="n">
        <v>4731</v>
      </c>
      <c r="E706" t="inlineStr">
        <is>
          <t>SANDHAR ENGINEERING PVT LTD.(KA) -U</t>
        </is>
      </c>
      <c r="F706" t="n">
        <v>1337</v>
      </c>
      <c r="G706" t="inlineStr">
        <is>
          <t>TVS</t>
        </is>
      </c>
      <c r="H706" t="inlineStr">
        <is>
          <t>28.58-0-1.2-ERW 1-PE</t>
        </is>
      </c>
      <c r="I706" t="inlineStr">
        <is>
          <t>28.58-0-1.2-ERW 1-PE-0.595</t>
        </is>
      </c>
      <c r="J706" t="n">
        <v>0.595</v>
      </c>
      <c r="K706" t="inlineStr">
        <is>
          <t>CTL</t>
        </is>
      </c>
    </row>
    <row r="707" hidden="1" s="584">
      <c r="A707" t="n">
        <v>1940325</v>
      </c>
      <c r="B707" t="inlineStr">
        <is>
          <t>TUB-O-O-AUT-AW-PE-19.05X2.300X0.5700</t>
        </is>
      </c>
      <c r="C707" t="n">
        <v>0.3731</v>
      </c>
      <c r="D707" t="n">
        <v>789</v>
      </c>
      <c r="E707" t="inlineStr">
        <is>
          <t>SRIKAM HITECH ENGINEERING PRIVATE L</t>
        </is>
      </c>
      <c r="F707" t="n">
        <v>1167</v>
      </c>
      <c r="G707" t="inlineStr">
        <is>
          <t>TVS</t>
        </is>
      </c>
      <c r="H707" t="inlineStr">
        <is>
          <t>19.05-0-2.3-ERW 1-PE</t>
        </is>
      </c>
      <c r="I707" t="inlineStr">
        <is>
          <t>19.05-0-2.3-ERW 1-PE-0.57</t>
        </is>
      </c>
      <c r="J707" t="n">
        <v>0.57</v>
      </c>
      <c r="K707" t="inlineStr">
        <is>
          <t>CTL</t>
        </is>
      </c>
    </row>
    <row r="708" hidden="1" s="584">
      <c r="A708" t="n">
        <v>3507077</v>
      </c>
      <c r="B708" t="inlineStr">
        <is>
          <t>CUT-O-N-AUT-AW-PE-19.05X2.300X0.570</t>
        </is>
      </c>
      <c r="C708" t="n">
        <v>0.393943</v>
      </c>
      <c r="D708" t="n">
        <v>4731</v>
      </c>
      <c r="E708" t="inlineStr">
        <is>
          <t>SRIKAM HITECH ENGINEERING PRIVATE L</t>
        </is>
      </c>
      <c r="F708" t="n">
        <v>1640</v>
      </c>
      <c r="G708" t="inlineStr">
        <is>
          <t>TVS</t>
        </is>
      </c>
      <c r="H708" t="inlineStr">
        <is>
          <t>19.05-0-2.3-ERW 1-PE</t>
        </is>
      </c>
      <c r="I708" t="inlineStr">
        <is>
          <t>19.05-0-2.3-ERW 1-PE-0.57</t>
        </is>
      </c>
      <c r="J708" t="n">
        <v>0.57</v>
      </c>
      <c r="K708" t="inlineStr">
        <is>
          <t>CTL</t>
        </is>
      </c>
    </row>
    <row r="709" hidden="1" s="584">
      <c r="A709" t="n">
        <v>1940831</v>
      </c>
      <c r="B709" t="inlineStr">
        <is>
          <t>TUB-R-AW-RHS-40.00X30.00X1.600X0.8800</t>
        </is>
      </c>
      <c r="C709" t="n">
        <v>0.09816800000000001</v>
      </c>
      <c r="D709" t="n">
        <v>789</v>
      </c>
      <c r="E709" t="inlineStr">
        <is>
          <t>Metalman Auto Private Limited</t>
        </is>
      </c>
      <c r="F709" t="n">
        <v>766</v>
      </c>
      <c r="G709" t="inlineStr">
        <is>
          <t>TVS</t>
        </is>
      </c>
      <c r="H709" t="inlineStr">
        <is>
          <t>40-30-1.6-ERW 1-FC</t>
        </is>
      </c>
      <c r="I709" t="inlineStr">
        <is>
          <t>40-30-1.6-ERW 1-FC-0.88</t>
        </is>
      </c>
      <c r="J709" t="n">
        <v>0.88</v>
      </c>
      <c r="K709" t="inlineStr">
        <is>
          <t>CTL</t>
        </is>
      </c>
    </row>
    <row r="710" hidden="1" s="584">
      <c r="A710" t="n">
        <v>3508521</v>
      </c>
      <c r="B710" t="inlineStr">
        <is>
          <t>CUT-O-N-AUT-AW-PE-19.05X2.300X0.6100</t>
        </is>
      </c>
      <c r="C710" t="n">
        <v>0.052977</v>
      </c>
      <c r="D710" t="n">
        <v>4731</v>
      </c>
      <c r="E710" t="inlineStr">
        <is>
          <t>SRIKAM HITECH ENGINEERING PRIVATE L</t>
        </is>
      </c>
      <c r="F710" t="n">
        <v>1644</v>
      </c>
      <c r="G710" t="inlineStr">
        <is>
          <t>TVS</t>
        </is>
      </c>
      <c r="H710" t="inlineStr">
        <is>
          <t>19.05-0-2.3-ERW 1-PE</t>
        </is>
      </c>
      <c r="I710" t="inlineStr">
        <is>
          <t>19.05-0-2.3-ERW 1-PE-0.61</t>
        </is>
      </c>
      <c r="J710" t="n">
        <v>0.61</v>
      </c>
      <c r="K710" t="inlineStr">
        <is>
          <t>CTL</t>
        </is>
      </c>
    </row>
    <row r="711" hidden="1" s="584">
      <c r="A711" t="n">
        <v>1940329</v>
      </c>
      <c r="B711" t="inlineStr">
        <is>
          <t>TUB-O-O-AUT-AW-PE-19.05X2.300X0.6100</t>
        </is>
      </c>
      <c r="C711" t="n">
        <v>0.12892</v>
      </c>
      <c r="D711" t="n">
        <v>789</v>
      </c>
      <c r="E711" t="inlineStr">
        <is>
          <t>SRIKAM HITECH ENGINEERING PRIVATE L</t>
        </is>
      </c>
      <c r="F711" t="n">
        <v>1181</v>
      </c>
      <c r="G711" t="inlineStr">
        <is>
          <t>TVS</t>
        </is>
      </c>
      <c r="H711" t="inlineStr">
        <is>
          <t>19.05-0-2.3-ERW 1-PE</t>
        </is>
      </c>
      <c r="I711" t="inlineStr">
        <is>
          <t>19.05-0-2.3-ERW 1-PE-0.61</t>
        </is>
      </c>
      <c r="J711" t="n">
        <v>0.61</v>
      </c>
      <c r="K711" t="inlineStr">
        <is>
          <t>CTL</t>
        </is>
      </c>
    </row>
    <row r="712" hidden="1" s="584">
      <c r="A712" t="n">
        <v>1940329</v>
      </c>
      <c r="B712" t="inlineStr">
        <is>
          <t>TUB-O-O-AUT-AW-PE-19.05X2.300X0.6100</t>
        </is>
      </c>
      <c r="C712" t="n">
        <v>1.287</v>
      </c>
      <c r="D712" t="n">
        <v>789</v>
      </c>
      <c r="E712" t="inlineStr">
        <is>
          <t>SRIKAM HITECH ENGINEERING PRIVATE L</t>
        </is>
      </c>
      <c r="F712" t="n">
        <v>1182</v>
      </c>
      <c r="G712" t="inlineStr">
        <is>
          <t>TVS</t>
        </is>
      </c>
      <c r="H712" t="inlineStr">
        <is>
          <t>19.05-0-2.3-ERW 1-PE</t>
        </is>
      </c>
      <c r="I712" t="inlineStr">
        <is>
          <t>19.05-0-2.3-ERW 1-PE-0.61</t>
        </is>
      </c>
      <c r="J712" t="n">
        <v>0.61</v>
      </c>
      <c r="K712" t="inlineStr">
        <is>
          <t>CTL</t>
        </is>
      </c>
    </row>
    <row r="713" hidden="1" s="584">
      <c r="A713" t="n">
        <v>1940329</v>
      </c>
      <c r="B713" t="inlineStr">
        <is>
          <t>TUB-O-O-AUT-AW-PE-19.05X2.300X0.6100</t>
        </is>
      </c>
      <c r="C713" t="n">
        <v>1.235</v>
      </c>
      <c r="D713" t="n">
        <v>789</v>
      </c>
      <c r="E713" t="inlineStr">
        <is>
          <t>SRIKAM HITECH ENGINEERING PRIVATE L</t>
        </is>
      </c>
      <c r="F713" t="n">
        <v>1183</v>
      </c>
      <c r="G713" t="inlineStr">
        <is>
          <t>TVS</t>
        </is>
      </c>
      <c r="H713" t="inlineStr">
        <is>
          <t>19.05-0-2.3-ERW 1-PE</t>
        </is>
      </c>
      <c r="I713" t="inlineStr">
        <is>
          <t>19.05-0-2.3-ERW 1-PE-0.61</t>
        </is>
      </c>
      <c r="J713" t="n">
        <v>0.61</v>
      </c>
      <c r="K713" t="inlineStr">
        <is>
          <t>CTL</t>
        </is>
      </c>
    </row>
    <row r="714" hidden="1" s="584">
      <c r="A714" t="n">
        <v>1940329</v>
      </c>
      <c r="B714" t="inlineStr">
        <is>
          <t>TUB-O-O-AUT-AW-PE-19.05X2.300X0.6100</t>
        </is>
      </c>
      <c r="C714" t="n">
        <v>0.32284</v>
      </c>
      <c r="D714" t="n">
        <v>789</v>
      </c>
      <c r="E714" t="inlineStr">
        <is>
          <t>SRIKAM HITECH ENGINEERING PRIVATE L</t>
        </is>
      </c>
      <c r="F714" t="n">
        <v>1184</v>
      </c>
      <c r="G714" t="inlineStr">
        <is>
          <t>TVS</t>
        </is>
      </c>
      <c r="H714" t="inlineStr">
        <is>
          <t>19.05-0-2.3-ERW 1-PE</t>
        </is>
      </c>
      <c r="I714" t="inlineStr">
        <is>
          <t>19.05-0-2.3-ERW 1-PE-0.61</t>
        </is>
      </c>
      <c r="J714" t="n">
        <v>0.61</v>
      </c>
      <c r="K714" t="inlineStr">
        <is>
          <t>CTL</t>
        </is>
      </c>
    </row>
    <row r="715" hidden="1" s="584">
      <c r="A715" t="n">
        <v>1940329</v>
      </c>
      <c r="B715" t="inlineStr">
        <is>
          <t>TUB-O-O-AUT-AW-PE-19.05X2.300X0.6100</t>
        </is>
      </c>
      <c r="C715" t="n">
        <v>0.101</v>
      </c>
      <c r="D715" t="n">
        <v>789</v>
      </c>
      <c r="E715" t="inlineStr">
        <is>
          <t>SRIKAM HITECH ENGINEERING PRIVATE L</t>
        </is>
      </c>
      <c r="F715" t="n">
        <v>1185</v>
      </c>
      <c r="G715" t="inlineStr">
        <is>
          <t>TVS</t>
        </is>
      </c>
      <c r="H715" t="inlineStr">
        <is>
          <t>19.05-0-2.3-ERW 1-PE</t>
        </is>
      </c>
      <c r="I715" t="inlineStr">
        <is>
          <t>19.05-0-2.3-ERW 1-PE-0.61</t>
        </is>
      </c>
      <c r="J715" t="n">
        <v>0.61</v>
      </c>
      <c r="K715" t="inlineStr">
        <is>
          <t>CTL</t>
        </is>
      </c>
    </row>
    <row r="716" hidden="1" s="584">
      <c r="A716" t="n">
        <v>1940329</v>
      </c>
      <c r="B716" t="inlineStr">
        <is>
          <t>TUB-O-O-AUT-AW-PE-19.05X2.300X0.6100</t>
        </is>
      </c>
      <c r="C716" t="n">
        <v>0.928</v>
      </c>
      <c r="D716" t="n">
        <v>789</v>
      </c>
      <c r="E716" t="inlineStr">
        <is>
          <t>SRIKAM HITECH ENGINEERING PRIVATE L</t>
        </is>
      </c>
      <c r="F716" t="n">
        <v>1186</v>
      </c>
      <c r="G716" t="inlineStr">
        <is>
          <t>TVS</t>
        </is>
      </c>
      <c r="H716" t="inlineStr">
        <is>
          <t>19.05-0-2.3-ERW 1-PE</t>
        </is>
      </c>
      <c r="I716" t="inlineStr">
        <is>
          <t>19.05-0-2.3-ERW 1-PE-0.61</t>
        </is>
      </c>
      <c r="J716" t="n">
        <v>0.61</v>
      </c>
      <c r="K716" t="inlineStr">
        <is>
          <t>CTL</t>
        </is>
      </c>
    </row>
    <row r="717" hidden="1" s="584">
      <c r="A717" t="n">
        <v>1940329</v>
      </c>
      <c r="B717" t="inlineStr">
        <is>
          <t>TUB-O-O-AUT-AW-PE-19.05X2.300X0.6100</t>
        </is>
      </c>
      <c r="C717" t="n">
        <v>0.309</v>
      </c>
      <c r="D717" t="n">
        <v>789</v>
      </c>
      <c r="E717" t="inlineStr">
        <is>
          <t>SRIKAM HITECH ENGINEERING PRIVATE L</t>
        </is>
      </c>
      <c r="F717" t="n">
        <v>1187</v>
      </c>
      <c r="G717" t="inlineStr">
        <is>
          <t>TVS</t>
        </is>
      </c>
      <c r="H717" t="inlineStr">
        <is>
          <t>19.05-0-2.3-ERW 1-PE</t>
        </is>
      </c>
      <c r="I717" t="inlineStr">
        <is>
          <t>19.05-0-2.3-ERW 1-PE-0.61</t>
        </is>
      </c>
      <c r="J717" t="n">
        <v>0.61</v>
      </c>
      <c r="K717" t="inlineStr">
        <is>
          <t>CTL</t>
        </is>
      </c>
    </row>
    <row r="718" hidden="1" s="584">
      <c r="A718" t="n">
        <v>2427158</v>
      </c>
      <c r="B718" t="inlineStr">
        <is>
          <t>TUB-R-AW-AUT-50.00X30.00X1.600X0.6040</t>
        </is>
      </c>
      <c r="C718" t="n">
        <v>0.017595</v>
      </c>
      <c r="D718" t="n">
        <v>789</v>
      </c>
      <c r="E718" t="inlineStr">
        <is>
          <t>ELKAYEM AUTO ANCILLARIES PRIVATE LI</t>
        </is>
      </c>
      <c r="F718" t="n">
        <v>782</v>
      </c>
      <c r="G718" t="inlineStr">
        <is>
          <t>TVS</t>
        </is>
      </c>
      <c r="H718" t="inlineStr">
        <is>
          <t>50-30-1.6-ERW 1-FC</t>
        </is>
      </c>
      <c r="I718" t="inlineStr">
        <is>
          <t>50-30-1.6-ERW 1-FC-0.604</t>
        </is>
      </c>
      <c r="J718" t="n">
        <v>0.604</v>
      </c>
      <c r="K718" t="inlineStr">
        <is>
          <t>CTL</t>
        </is>
      </c>
    </row>
    <row r="719" hidden="1" s="584">
      <c r="A719" t="n">
        <v>2427158</v>
      </c>
      <c r="B719" t="inlineStr">
        <is>
          <t>TUB-R-AW-AUT-50.00X30.00X1.600X0.6040</t>
        </is>
      </c>
      <c r="C719" t="n">
        <v>0.215582</v>
      </c>
      <c r="D719" t="n">
        <v>789</v>
      </c>
      <c r="E719" t="inlineStr">
        <is>
          <t>ELKAYEM AUTO ANCILLARIES PRIVATE LI</t>
        </is>
      </c>
      <c r="F719" t="n">
        <v>919</v>
      </c>
      <c r="G719" t="inlineStr">
        <is>
          <t>TVS</t>
        </is>
      </c>
      <c r="H719" t="inlineStr">
        <is>
          <t>50-30-1.6-ERW 1-FC</t>
        </is>
      </c>
      <c r="I719" t="inlineStr">
        <is>
          <t>50-30-1.6-ERW 1-FC-0.604</t>
        </is>
      </c>
      <c r="J719" t="n">
        <v>0.604</v>
      </c>
      <c r="K719" t="inlineStr">
        <is>
          <t>CTL</t>
        </is>
      </c>
    </row>
    <row r="720" hidden="1" s="584">
      <c r="A720" t="n">
        <v>3786202</v>
      </c>
      <c r="B720" t="inlineStr">
        <is>
          <t>TUB-R-AW-RHS-40.00X25.00X1.600X0.5870</t>
        </is>
      </c>
      <c r="C720" t="n">
        <v>0.014548</v>
      </c>
      <c r="D720" t="n">
        <v>789</v>
      </c>
      <c r="E720" t="inlineStr">
        <is>
          <t>Marathwada Auto Compo Pvt. Ltd.</t>
        </is>
      </c>
      <c r="F720" t="n">
        <v>793</v>
      </c>
      <c r="G720" t="inlineStr">
        <is>
          <t>TVS</t>
        </is>
      </c>
      <c r="H720" t="inlineStr">
        <is>
          <t>40-25-1.6-ERW 1-FC</t>
        </is>
      </c>
      <c r="I720" t="inlineStr">
        <is>
          <t>40-25-1.6-ERW 1-FC-0.587</t>
        </is>
      </c>
      <c r="J720" t="n">
        <v>0.587</v>
      </c>
      <c r="K720" t="inlineStr">
        <is>
          <t>CTL</t>
        </is>
      </c>
    </row>
    <row r="721" hidden="1" s="584">
      <c r="A721" t="n">
        <v>1940337</v>
      </c>
      <c r="B721" t="inlineStr">
        <is>
          <t>TUB-O-O-AUT-AW-PE-19.05X2.300X6.3200</t>
        </is>
      </c>
      <c r="C721" t="n">
        <v>0.155</v>
      </c>
      <c r="D721" t="n">
        <v>789</v>
      </c>
      <c r="E721" t="inlineStr">
        <is>
          <t>MEGH STEELS PRIVATE LIMITED - TVS A</t>
        </is>
      </c>
      <c r="F721" t="n">
        <v>1120</v>
      </c>
      <c r="G721" t="inlineStr">
        <is>
          <t>Direct</t>
        </is>
      </c>
      <c r="H721" t="inlineStr">
        <is>
          <t>19.05-0-2.3-ERW 1-PE</t>
        </is>
      </c>
      <c r="I721" t="inlineStr">
        <is>
          <t>19.05-0-2.3-ERW 1-PE-1</t>
        </is>
      </c>
      <c r="J721" t="n">
        <v>6.32</v>
      </c>
      <c r="K721" t="inlineStr">
        <is>
          <t>LL</t>
        </is>
      </c>
    </row>
    <row r="722" hidden="1" s="584">
      <c r="A722" t="n">
        <v>1940337</v>
      </c>
      <c r="B722" t="inlineStr">
        <is>
          <t>TUB-O-O-AUT-AW-PE-19.05X2.300X6.3200</t>
        </is>
      </c>
      <c r="C722" t="n">
        <v>1.8</v>
      </c>
      <c r="D722" t="n">
        <v>789</v>
      </c>
      <c r="E722" t="inlineStr">
        <is>
          <t>MEGH STEELS PRIVATE LIMITED - TVS A</t>
        </is>
      </c>
      <c r="F722" t="n">
        <v>1121</v>
      </c>
      <c r="G722" t="inlineStr">
        <is>
          <t>Direct</t>
        </is>
      </c>
      <c r="H722" t="inlineStr">
        <is>
          <t>19.05-0-2.3-ERW 1-PE</t>
        </is>
      </c>
      <c r="I722" t="inlineStr">
        <is>
          <t>19.05-0-2.3-ERW 1-PE-1</t>
        </is>
      </c>
      <c r="J722" t="n">
        <v>6.32</v>
      </c>
      <c r="K722" t="inlineStr">
        <is>
          <t>LL</t>
        </is>
      </c>
    </row>
    <row r="723" hidden="1" s="584">
      <c r="A723" t="n">
        <v>1940337</v>
      </c>
      <c r="B723" t="inlineStr">
        <is>
          <t>TUB-O-O-AUT-AW-PE-19.05X2.300X6.3200</t>
        </is>
      </c>
      <c r="C723" t="n">
        <v>2.745</v>
      </c>
      <c r="D723" t="n">
        <v>789</v>
      </c>
      <c r="E723" t="inlineStr">
        <is>
          <t>MEGH STEELS PRIVATE LIMITED - TVS A</t>
        </is>
      </c>
      <c r="F723" t="n">
        <v>1122</v>
      </c>
      <c r="G723" t="inlineStr">
        <is>
          <t>Direct</t>
        </is>
      </c>
      <c r="H723" t="inlineStr">
        <is>
          <t>19.05-0-2.3-ERW 1-PE</t>
        </is>
      </c>
      <c r="I723" t="inlineStr">
        <is>
          <t>19.05-0-2.3-ERW 1-PE-1</t>
        </is>
      </c>
      <c r="J723" t="n">
        <v>6.32</v>
      </c>
      <c r="K723" t="inlineStr">
        <is>
          <t>LL</t>
        </is>
      </c>
    </row>
    <row r="724" hidden="1" s="584">
      <c r="A724" t="n">
        <v>1940337</v>
      </c>
      <c r="B724" t="inlineStr">
        <is>
          <t>TUB-O-O-AUT-AW-PE-19.05X2.300X6.3200</t>
        </is>
      </c>
      <c r="C724" t="n">
        <v>2.663</v>
      </c>
      <c r="D724" t="n">
        <v>789</v>
      </c>
      <c r="E724" t="inlineStr">
        <is>
          <t>MEGH STEELS PRIVATE LIMITED - TVS A</t>
        </is>
      </c>
      <c r="F724" t="n">
        <v>1123</v>
      </c>
      <c r="G724" t="inlineStr">
        <is>
          <t>Direct</t>
        </is>
      </c>
      <c r="H724" t="inlineStr">
        <is>
          <t>19.05-0-2.3-ERW 1-PE</t>
        </is>
      </c>
      <c r="I724" t="inlineStr">
        <is>
          <t>19.05-0-2.3-ERW 1-PE-1</t>
        </is>
      </c>
      <c r="J724" t="n">
        <v>6.32</v>
      </c>
      <c r="K724" t="inlineStr">
        <is>
          <t>LL</t>
        </is>
      </c>
    </row>
    <row r="725" hidden="1" s="584">
      <c r="A725" t="n">
        <v>1940337</v>
      </c>
      <c r="B725" t="inlineStr">
        <is>
          <t>TUB-O-O-AUT-AW-PE-19.05X2.300X6.3200</t>
        </is>
      </c>
      <c r="C725" t="n">
        <v>1.376</v>
      </c>
      <c r="D725" t="n">
        <v>789</v>
      </c>
      <c r="E725" t="inlineStr">
        <is>
          <t>MEGH STEELS PRIVATE LIMITED - TVS A</t>
        </is>
      </c>
      <c r="F725" t="n">
        <v>1124</v>
      </c>
      <c r="G725" t="inlineStr">
        <is>
          <t>Direct</t>
        </is>
      </c>
      <c r="H725" t="inlineStr">
        <is>
          <t>19.05-0-2.3-ERW 1-PE</t>
        </is>
      </c>
      <c r="I725" t="inlineStr">
        <is>
          <t>19.05-0-2.3-ERW 1-PE-1</t>
        </is>
      </c>
      <c r="J725" t="n">
        <v>6.32</v>
      </c>
      <c r="K725" t="inlineStr">
        <is>
          <t>LL</t>
        </is>
      </c>
    </row>
    <row r="726" hidden="1" s="584">
      <c r="A726" t="n">
        <v>1940337</v>
      </c>
      <c r="B726" t="inlineStr">
        <is>
          <t>TUB-O-O-AUT-AW-PE-19.05X2.300X6.3200</t>
        </is>
      </c>
      <c r="C726" t="n">
        <v>1.62</v>
      </c>
      <c r="D726" t="n">
        <v>789</v>
      </c>
      <c r="E726" t="inlineStr">
        <is>
          <t>MEGH STEELS PRIVATE LIMITED - TVS A</t>
        </is>
      </c>
      <c r="F726" t="n">
        <v>1125</v>
      </c>
      <c r="G726" t="inlineStr">
        <is>
          <t>Direct</t>
        </is>
      </c>
      <c r="H726" t="inlineStr">
        <is>
          <t>19.05-0-2.3-ERW 1-PE</t>
        </is>
      </c>
      <c r="I726" t="inlineStr">
        <is>
          <t>19.05-0-2.3-ERW 1-PE-1</t>
        </is>
      </c>
      <c r="J726" t="n">
        <v>6.32</v>
      </c>
      <c r="K726" t="inlineStr">
        <is>
          <t>LL</t>
        </is>
      </c>
    </row>
    <row r="727" hidden="1" s="584">
      <c r="A727" t="n">
        <v>3500582</v>
      </c>
      <c r="B727" t="inlineStr">
        <is>
          <t>TUB-O-N-AUT-AW-PE-19.05X2.300X7.00-ERW 1</t>
        </is>
      </c>
      <c r="C727" t="n">
        <v>0.118022</v>
      </c>
      <c r="D727" t="n">
        <v>4731</v>
      </c>
      <c r="E727" t="inlineStr">
        <is>
          <t>SRIKAM HITECH ENGINEERING PRIVATE L</t>
        </is>
      </c>
      <c r="F727" t="n">
        <v>1472</v>
      </c>
      <c r="G727" t="inlineStr">
        <is>
          <t>TVS</t>
        </is>
      </c>
      <c r="H727" t="inlineStr">
        <is>
          <t>19.05-0-2.3-ERW 1-PE</t>
        </is>
      </c>
      <c r="I727" t="inlineStr">
        <is>
          <t>19.05-0-2.3-ERW 1-PE-1</t>
        </is>
      </c>
      <c r="J727" t="n">
        <v>7</v>
      </c>
      <c r="K727" t="inlineStr">
        <is>
          <t>LL</t>
        </is>
      </c>
    </row>
    <row r="728" hidden="1" s="584">
      <c r="A728" t="n">
        <v>3500582</v>
      </c>
      <c r="B728" t="inlineStr">
        <is>
          <t>TUB-O-N-AUT-AW-PE-19.05X2.300X7.00-ERW 1</t>
        </is>
      </c>
      <c r="C728" t="n">
        <v>0.142083</v>
      </c>
      <c r="D728" t="n">
        <v>4731</v>
      </c>
      <c r="E728" t="inlineStr">
        <is>
          <t>SRIKAM HITECH ENGINEERING PRIVATE L</t>
        </is>
      </c>
      <c r="F728" t="n">
        <v>1473</v>
      </c>
      <c r="G728" t="inlineStr">
        <is>
          <t>TVS</t>
        </is>
      </c>
      <c r="H728" t="inlineStr">
        <is>
          <t>19.05-0-2.3-ERW 1-PE</t>
        </is>
      </c>
      <c r="I728" t="inlineStr">
        <is>
          <t>19.05-0-2.3-ERW 1-PE-1</t>
        </is>
      </c>
      <c r="J728" t="n">
        <v>7</v>
      </c>
      <c r="K728" t="inlineStr">
        <is>
          <t>LL</t>
        </is>
      </c>
    </row>
    <row r="729" hidden="1" s="584">
      <c r="A729" t="n">
        <v>3500582</v>
      </c>
      <c r="B729" t="inlineStr">
        <is>
          <t>TUB-O-N-AUT-AW-PE-19.05X2.300X7.00-ERW 1</t>
        </is>
      </c>
      <c r="C729" t="n">
        <v>0.300494</v>
      </c>
      <c r="D729" t="n">
        <v>4731</v>
      </c>
      <c r="E729" t="inlineStr">
        <is>
          <t>SRIKAM HITECH ENGINEERING PRIVATE L</t>
        </is>
      </c>
      <c r="F729" t="n">
        <v>1474</v>
      </c>
      <c r="G729" t="inlineStr">
        <is>
          <t>TVS</t>
        </is>
      </c>
      <c r="H729" t="inlineStr">
        <is>
          <t>19.05-0-2.3-ERW 1-PE</t>
        </is>
      </c>
      <c r="I729" t="inlineStr">
        <is>
          <t>19.05-0-2.3-ERW 1-PE-1</t>
        </is>
      </c>
      <c r="J729" t="n">
        <v>7</v>
      </c>
      <c r="K729" t="inlineStr">
        <is>
          <t>LL</t>
        </is>
      </c>
    </row>
    <row r="730" hidden="1" s="584">
      <c r="A730" t="n">
        <v>3500582</v>
      </c>
      <c r="B730" t="inlineStr">
        <is>
          <t>TUB-O-N-AUT-AW-PE-19.05X2.300X7.00-ERW 1</t>
        </is>
      </c>
      <c r="C730" t="n">
        <v>0.19285</v>
      </c>
      <c r="D730" t="n">
        <v>4731</v>
      </c>
      <c r="E730" t="inlineStr">
        <is>
          <t>SRIKAM HITECH ENGINEERING PRIVATE L</t>
        </is>
      </c>
      <c r="F730" t="n">
        <v>1475</v>
      </c>
      <c r="G730" t="inlineStr">
        <is>
          <t>TVS</t>
        </is>
      </c>
      <c r="H730" t="inlineStr">
        <is>
          <t>19.05-0-2.3-ERW 1-PE</t>
        </is>
      </c>
      <c r="I730" t="inlineStr">
        <is>
          <t>19.05-0-2.3-ERW 1-PE-1</t>
        </is>
      </c>
      <c r="J730" t="n">
        <v>7</v>
      </c>
      <c r="K730" t="inlineStr">
        <is>
          <t>LL</t>
        </is>
      </c>
    </row>
    <row r="731" hidden="1" s="584">
      <c r="A731" t="n">
        <v>3500582</v>
      </c>
      <c r="B731" t="inlineStr">
        <is>
          <t>TUB-O-N-AUT-AW-PE-19.05X2.300X7.00-ERW 1</t>
        </is>
      </c>
      <c r="C731" t="n">
        <v>2.99277</v>
      </c>
      <c r="D731" t="n">
        <v>4731</v>
      </c>
      <c r="E731" t="inlineStr">
        <is>
          <t>SRIKAM HITECH ENGINEERING PRIVATE L</t>
        </is>
      </c>
      <c r="F731" t="n">
        <v>1476</v>
      </c>
      <c r="G731" t="inlineStr">
        <is>
          <t>TVS</t>
        </is>
      </c>
      <c r="H731" t="inlineStr">
        <is>
          <t>19.05-0-2.3-ERW 1-PE</t>
        </is>
      </c>
      <c r="I731" t="inlineStr">
        <is>
          <t>19.05-0-2.3-ERW 1-PE-1</t>
        </is>
      </c>
      <c r="J731" t="n">
        <v>7</v>
      </c>
      <c r="K731" t="inlineStr">
        <is>
          <t>LL</t>
        </is>
      </c>
    </row>
    <row r="732" hidden="1" s="584">
      <c r="A732" t="n">
        <v>3500582</v>
      </c>
      <c r="B732" t="inlineStr">
        <is>
          <t>TUB-O-N-AUT-AW-PE-19.05X2.300X7.00-ERW 1</t>
        </is>
      </c>
      <c r="C732" t="n">
        <v>2.986119</v>
      </c>
      <c r="D732" t="n">
        <v>4731</v>
      </c>
      <c r="E732" t="inlineStr">
        <is>
          <t>SRIKAM HITECH ENGINEERING PRIVATE L</t>
        </is>
      </c>
      <c r="F732" t="n">
        <v>1477</v>
      </c>
      <c r="G732" t="inlineStr">
        <is>
          <t>TVS</t>
        </is>
      </c>
      <c r="H732" t="inlineStr">
        <is>
          <t>19.05-0-2.3-ERW 1-PE</t>
        </is>
      </c>
      <c r="I732" t="inlineStr">
        <is>
          <t>19.05-0-2.3-ERW 1-PE-1</t>
        </is>
      </c>
      <c r="J732" t="n">
        <v>7</v>
      </c>
      <c r="K732" t="inlineStr">
        <is>
          <t>LL</t>
        </is>
      </c>
    </row>
    <row r="733" hidden="1" s="584">
      <c r="A733" t="n">
        <v>3500582</v>
      </c>
      <c r="B733" t="inlineStr">
        <is>
          <t>TUB-O-N-AUT-AW-PE-19.05X2.300X7.00-ERW 1</t>
        </is>
      </c>
      <c r="C733" t="n">
        <v>2.979469</v>
      </c>
      <c r="D733" t="n">
        <v>4731</v>
      </c>
      <c r="E733" t="inlineStr">
        <is>
          <t>SRIKAM HITECH ENGINEERING PRIVATE L</t>
        </is>
      </c>
      <c r="F733" t="n">
        <v>1478</v>
      </c>
      <c r="G733" t="inlineStr">
        <is>
          <t>TVS</t>
        </is>
      </c>
      <c r="H733" t="inlineStr">
        <is>
          <t>19.05-0-2.3-ERW 1-PE</t>
        </is>
      </c>
      <c r="I733" t="inlineStr">
        <is>
          <t>19.05-0-2.3-ERW 1-PE-1</t>
        </is>
      </c>
      <c r="J733" t="n">
        <v>7</v>
      </c>
      <c r="K733" t="inlineStr">
        <is>
          <t>LL</t>
        </is>
      </c>
    </row>
    <row r="734" hidden="1" s="584">
      <c r="A734" t="n">
        <v>3500582</v>
      </c>
      <c r="B734" t="inlineStr">
        <is>
          <t>TUB-O-N-AUT-AW-PE-19.05X2.300X7.00-ERW 1</t>
        </is>
      </c>
      <c r="C734" t="n">
        <v>2.979469</v>
      </c>
      <c r="D734" t="n">
        <v>4731</v>
      </c>
      <c r="E734" t="inlineStr">
        <is>
          <t>SRIKAM HITECH ENGINEERING PRIVATE L</t>
        </is>
      </c>
      <c r="F734" t="n">
        <v>1479</v>
      </c>
      <c r="G734" t="inlineStr">
        <is>
          <t>TVS</t>
        </is>
      </c>
      <c r="H734" t="inlineStr">
        <is>
          <t>19.05-0-2.3-ERW 1-PE</t>
        </is>
      </c>
      <c r="I734" t="inlineStr">
        <is>
          <t>19.05-0-2.3-ERW 1-PE-1</t>
        </is>
      </c>
      <c r="J734" t="n">
        <v>7</v>
      </c>
      <c r="K734" t="inlineStr">
        <is>
          <t>LL</t>
        </is>
      </c>
    </row>
    <row r="735" hidden="1" s="584">
      <c r="A735" t="n">
        <v>3500582</v>
      </c>
      <c r="B735" t="inlineStr">
        <is>
          <t>TUB-O-N-AUT-AW-PE-19.05X2.300X7.00-ERW 1</t>
        </is>
      </c>
      <c r="C735" t="n">
        <v>2.986119</v>
      </c>
      <c r="D735" t="n">
        <v>4731</v>
      </c>
      <c r="E735" t="inlineStr">
        <is>
          <t>SRIKAM HITECH ENGINEERING PRIVATE L</t>
        </is>
      </c>
      <c r="F735" t="n">
        <v>1480</v>
      </c>
      <c r="G735" t="inlineStr">
        <is>
          <t>TVS</t>
        </is>
      </c>
      <c r="H735" t="inlineStr">
        <is>
          <t>19.05-0-2.3-ERW 1-PE</t>
        </is>
      </c>
      <c r="I735" t="inlineStr">
        <is>
          <t>19.05-0-2.3-ERW 1-PE-1</t>
        </is>
      </c>
      <c r="J735" t="n">
        <v>7</v>
      </c>
      <c r="K735" t="inlineStr">
        <is>
          <t>LL</t>
        </is>
      </c>
    </row>
    <row r="736" hidden="1" s="584">
      <c r="A736" t="n">
        <v>3500582</v>
      </c>
      <c r="B736" t="inlineStr">
        <is>
          <t>TUB-O-N-AUT-AW-PE-19.05X2.300X7.00-ERW 1</t>
        </is>
      </c>
      <c r="C736" t="n">
        <v>2.986119</v>
      </c>
      <c r="D736" t="n">
        <v>4731</v>
      </c>
      <c r="E736" t="inlineStr">
        <is>
          <t>SRIKAM HITECH ENGINEERING PRIVATE L</t>
        </is>
      </c>
      <c r="F736" t="n">
        <v>1481</v>
      </c>
      <c r="G736" t="inlineStr">
        <is>
          <t>TVS</t>
        </is>
      </c>
      <c r="H736" t="inlineStr">
        <is>
          <t>19.05-0-2.3-ERW 1-PE</t>
        </is>
      </c>
      <c r="I736" t="inlineStr">
        <is>
          <t>19.05-0-2.3-ERW 1-PE-1</t>
        </is>
      </c>
      <c r="J736" t="n">
        <v>7</v>
      </c>
      <c r="K736" t="inlineStr">
        <is>
          <t>LL</t>
        </is>
      </c>
    </row>
    <row r="737" hidden="1" s="584">
      <c r="A737" t="n">
        <v>3500582</v>
      </c>
      <c r="B737" t="inlineStr">
        <is>
          <t>TUB-O-N-AUT-AW-PE-19.05X2.300X7.00-ERW 1</t>
        </is>
      </c>
      <c r="C737" t="n">
        <v>2.986119</v>
      </c>
      <c r="D737" t="n">
        <v>4731</v>
      </c>
      <c r="E737" t="inlineStr">
        <is>
          <t>SRIKAM HITECH ENGINEERING PRIVATE L</t>
        </is>
      </c>
      <c r="F737" t="n">
        <v>1482</v>
      </c>
      <c r="G737" t="inlineStr">
        <is>
          <t>TVS</t>
        </is>
      </c>
      <c r="H737" t="inlineStr">
        <is>
          <t>19.05-0-2.3-ERW 1-PE</t>
        </is>
      </c>
      <c r="I737" t="inlineStr">
        <is>
          <t>19.05-0-2.3-ERW 1-PE-1</t>
        </is>
      </c>
      <c r="J737" t="n">
        <v>7</v>
      </c>
      <c r="K737" t="inlineStr">
        <is>
          <t>LL</t>
        </is>
      </c>
    </row>
    <row r="738" hidden="1" s="584">
      <c r="A738" t="n">
        <v>3500582</v>
      </c>
      <c r="B738" t="inlineStr">
        <is>
          <t>TUB-O-N-AUT-AW-PE-19.05X2.300X7.00-ERW 1</t>
        </is>
      </c>
      <c r="C738" t="n">
        <v>2.986119</v>
      </c>
      <c r="D738" t="n">
        <v>4731</v>
      </c>
      <c r="E738" t="inlineStr">
        <is>
          <t>SRIKAM HITECH ENGINEERING PRIVATE L</t>
        </is>
      </c>
      <c r="F738" t="n">
        <v>1483</v>
      </c>
      <c r="G738" t="inlineStr">
        <is>
          <t>TVS</t>
        </is>
      </c>
      <c r="H738" t="inlineStr">
        <is>
          <t>19.05-0-2.3-ERW 1-PE</t>
        </is>
      </c>
      <c r="I738" t="inlineStr">
        <is>
          <t>19.05-0-2.3-ERW 1-PE-1</t>
        </is>
      </c>
      <c r="J738" t="n">
        <v>7</v>
      </c>
      <c r="K738" t="inlineStr">
        <is>
          <t>LL</t>
        </is>
      </c>
    </row>
    <row r="739" hidden="1" s="584">
      <c r="A739" t="n">
        <v>3500582</v>
      </c>
      <c r="B739" t="inlineStr">
        <is>
          <t>TUB-O-N-AUT-AW-PE-19.05X2.300X7.00-ERW 1</t>
        </is>
      </c>
      <c r="C739" t="n">
        <v>2.153122</v>
      </c>
      <c r="D739" t="n">
        <v>8406</v>
      </c>
      <c r="E739" t="inlineStr">
        <is>
          <t>SRIKAM HITECH ENGINEERING PRIVATE L</t>
        </is>
      </c>
      <c r="F739" t="n">
        <v>1484</v>
      </c>
      <c r="G739" t="inlineStr">
        <is>
          <t>TVS</t>
        </is>
      </c>
      <c r="H739" t="inlineStr">
        <is>
          <t>19.05-0-2.3-ERW 1-PE</t>
        </is>
      </c>
      <c r="I739" t="inlineStr">
        <is>
          <t>19.05-0-2.3-ERW 1-PE-1</t>
        </is>
      </c>
      <c r="J739" t="n">
        <v>7</v>
      </c>
      <c r="K739" t="inlineStr">
        <is>
          <t>LL</t>
        </is>
      </c>
    </row>
    <row r="740" hidden="1" s="584">
      <c r="A740" t="n">
        <v>3500582</v>
      </c>
      <c r="B740" t="inlineStr">
        <is>
          <t>TUB-O-N-AUT-AW-PE-19.05X2.300X7.00-ERW 1</t>
        </is>
      </c>
      <c r="C740" t="n">
        <v>4.427406</v>
      </c>
      <c r="D740" t="n">
        <v>8406</v>
      </c>
      <c r="E740" t="inlineStr">
        <is>
          <t>SRIKAM HITECH ENGINEERING PRIVATE L</t>
        </is>
      </c>
      <c r="F740" t="n">
        <v>1485</v>
      </c>
      <c r="G740" t="inlineStr">
        <is>
          <t>TVS</t>
        </is>
      </c>
      <c r="H740" t="inlineStr">
        <is>
          <t>19.05-0-2.3-ERW 1-PE</t>
        </is>
      </c>
      <c r="I740" t="inlineStr">
        <is>
          <t>19.05-0-2.3-ERW 1-PE-1</t>
        </is>
      </c>
      <c r="J740" t="n">
        <v>7</v>
      </c>
      <c r="K740" t="inlineStr">
        <is>
          <t>LL</t>
        </is>
      </c>
    </row>
    <row r="741" hidden="1" s="584">
      <c r="A741" t="n">
        <v>3500582</v>
      </c>
      <c r="B741" t="inlineStr">
        <is>
          <t>TUB-O-N-AUT-AW-PE-19.05X2.300X7.00-ERW 1</t>
        </is>
      </c>
      <c r="C741" t="n">
        <v>5.972238</v>
      </c>
      <c r="D741" t="n">
        <v>8406</v>
      </c>
      <c r="E741" t="inlineStr">
        <is>
          <t>SRIKAM HITECH ENGINEERING PRIVATE L</t>
        </is>
      </c>
      <c r="F741" t="n">
        <v>1486</v>
      </c>
      <c r="G741" t="inlineStr">
        <is>
          <t>TVS</t>
        </is>
      </c>
      <c r="H741" t="inlineStr">
        <is>
          <t>19.05-0-2.3-ERW 1-PE</t>
        </is>
      </c>
      <c r="I741" t="inlineStr">
        <is>
          <t>19.05-0-2.3-ERW 1-PE-1</t>
        </is>
      </c>
      <c r="J741" t="n">
        <v>7</v>
      </c>
      <c r="K741" t="inlineStr">
        <is>
          <t>LL</t>
        </is>
      </c>
    </row>
    <row r="742" hidden="1" s="584">
      <c r="A742" t="n">
        <v>3500582</v>
      </c>
      <c r="B742" t="inlineStr">
        <is>
          <t>TUB-O-N-AUT-AW-PE-19.05X2.300X7.00-ERW 1</t>
        </is>
      </c>
      <c r="C742" t="n">
        <v>5.965587999999999</v>
      </c>
      <c r="D742" t="n">
        <v>8406</v>
      </c>
      <c r="E742" t="inlineStr">
        <is>
          <t>SRIKAM HITECH ENGINEERING PRIVATE L</t>
        </is>
      </c>
      <c r="F742" t="n">
        <v>1487</v>
      </c>
      <c r="G742" t="inlineStr">
        <is>
          <t>TVS</t>
        </is>
      </c>
      <c r="H742" t="inlineStr">
        <is>
          <t>19.05-0-2.3-ERW 1-PE</t>
        </is>
      </c>
      <c r="I742" t="inlineStr">
        <is>
          <t>19.05-0-2.3-ERW 1-PE-1</t>
        </is>
      </c>
      <c r="J742" t="n">
        <v>7</v>
      </c>
      <c r="K742" t="inlineStr">
        <is>
          <t>LL</t>
        </is>
      </c>
    </row>
    <row r="743" hidden="1" s="584">
      <c r="A743" t="n">
        <v>3500582</v>
      </c>
      <c r="B743" t="inlineStr">
        <is>
          <t>TUB-O-N-AUT-AW-PE-19.05X2.300X7.00-ERW 1</t>
        </is>
      </c>
      <c r="C743" t="n">
        <v>2.979469</v>
      </c>
      <c r="D743" t="n">
        <v>8406</v>
      </c>
      <c r="E743" t="inlineStr">
        <is>
          <t>SRIKAM HITECH ENGINEERING PRIVATE L</t>
        </is>
      </c>
      <c r="F743" t="n">
        <v>1488</v>
      </c>
      <c r="G743" t="inlineStr">
        <is>
          <t>TVS</t>
        </is>
      </c>
      <c r="H743" t="inlineStr">
        <is>
          <t>19.05-0-2.3-ERW 1-PE</t>
        </is>
      </c>
      <c r="I743" t="inlineStr">
        <is>
          <t>19.05-0-2.3-ERW 1-PE-1</t>
        </is>
      </c>
      <c r="J743" t="n">
        <v>7</v>
      </c>
      <c r="K743" t="inlineStr">
        <is>
          <t>LL</t>
        </is>
      </c>
    </row>
    <row r="744" hidden="1" s="584">
      <c r="A744" t="n">
        <v>3500582</v>
      </c>
      <c r="B744" t="inlineStr">
        <is>
          <t>TUB-O-N-AUT-AW-PE-19.05X2.300X7.00-ERW 1</t>
        </is>
      </c>
      <c r="C744" t="n">
        <v>2.972818</v>
      </c>
      <c r="D744" t="n">
        <v>8406</v>
      </c>
      <c r="E744" t="inlineStr">
        <is>
          <t>SRIKAM HITECH ENGINEERING PRIVATE L</t>
        </is>
      </c>
      <c r="F744" t="n">
        <v>1489</v>
      </c>
      <c r="G744" t="inlineStr">
        <is>
          <t>TVS</t>
        </is>
      </c>
      <c r="H744" t="inlineStr">
        <is>
          <t>19.05-0-2.3-ERW 1-PE</t>
        </is>
      </c>
      <c r="I744" t="inlineStr">
        <is>
          <t>19.05-0-2.3-ERW 1-PE-1</t>
        </is>
      </c>
      <c r="J744" t="n">
        <v>7</v>
      </c>
      <c r="K744" t="inlineStr">
        <is>
          <t>LL</t>
        </is>
      </c>
    </row>
    <row r="745" hidden="1" s="584">
      <c r="A745" t="n">
        <v>3500582</v>
      </c>
      <c r="B745" t="inlineStr">
        <is>
          <t>TUB-O-N-AUT-AW-PE-19.05X2.300X7.00-ERW 1</t>
        </is>
      </c>
      <c r="C745" t="n">
        <v>2.986119</v>
      </c>
      <c r="D745" t="n">
        <v>8406</v>
      </c>
      <c r="E745" t="inlineStr">
        <is>
          <t>SRIKAM HITECH ENGINEERING PRIVATE L</t>
        </is>
      </c>
      <c r="F745" t="n">
        <v>1490</v>
      </c>
      <c r="G745" t="inlineStr">
        <is>
          <t>TVS</t>
        </is>
      </c>
      <c r="H745" t="inlineStr">
        <is>
          <t>19.05-0-2.3-ERW 1-PE</t>
        </is>
      </c>
      <c r="I745" t="inlineStr">
        <is>
          <t>19.05-0-2.3-ERW 1-PE-1</t>
        </is>
      </c>
      <c r="J745" t="n">
        <v>7</v>
      </c>
      <c r="K745" t="inlineStr">
        <is>
          <t>LL</t>
        </is>
      </c>
    </row>
    <row r="746" hidden="1" s="584">
      <c r="A746" t="n">
        <v>3500582</v>
      </c>
      <c r="B746" t="inlineStr">
        <is>
          <t>TUB-O-N-AUT-AW-PE-19.05X2.300X7.00-ERW 1</t>
        </is>
      </c>
      <c r="C746" t="n">
        <v>2.99277</v>
      </c>
      <c r="D746" t="n">
        <v>8406</v>
      </c>
      <c r="E746" t="inlineStr">
        <is>
          <t>SRIKAM HITECH ENGINEERING PRIVATE L</t>
        </is>
      </c>
      <c r="F746" t="n">
        <v>1491</v>
      </c>
      <c r="G746" t="inlineStr">
        <is>
          <t>TVS</t>
        </is>
      </c>
      <c r="H746" t="inlineStr">
        <is>
          <t>19.05-0-2.3-ERW 1-PE</t>
        </is>
      </c>
      <c r="I746" t="inlineStr">
        <is>
          <t>19.05-0-2.3-ERW 1-PE-1</t>
        </is>
      </c>
      <c r="J746" t="n">
        <v>7</v>
      </c>
      <c r="K746" t="inlineStr">
        <is>
          <t>LL</t>
        </is>
      </c>
    </row>
    <row r="747" hidden="1" s="584">
      <c r="A747" t="n">
        <v>3500582</v>
      </c>
      <c r="B747" t="inlineStr">
        <is>
          <t>TUB-O-N-AUT-AW-PE-19.05X2.300X7.00-ERW 1</t>
        </is>
      </c>
      <c r="C747" t="n">
        <v>2.966168</v>
      </c>
      <c r="D747" t="n">
        <v>8406</v>
      </c>
      <c r="E747" t="inlineStr">
        <is>
          <t>SRIKAM HITECH ENGINEERING PRIVATE L</t>
        </is>
      </c>
      <c r="F747" t="n">
        <v>1492</v>
      </c>
      <c r="G747" t="inlineStr">
        <is>
          <t>TVS</t>
        </is>
      </c>
      <c r="H747" t="inlineStr">
        <is>
          <t>19.05-0-2.3-ERW 1-PE</t>
        </is>
      </c>
      <c r="I747" t="inlineStr">
        <is>
          <t>19.05-0-2.3-ERW 1-PE-1</t>
        </is>
      </c>
      <c r="J747" t="n">
        <v>7</v>
      </c>
      <c r="K747" t="inlineStr">
        <is>
          <t>LL</t>
        </is>
      </c>
    </row>
    <row r="748" hidden="1" s="584">
      <c r="A748" t="n">
        <v>3500582</v>
      </c>
      <c r="B748" t="inlineStr">
        <is>
          <t>TUB-O-N-AUT-AW-PE-19.05X2.300X7.00-ERW 1</t>
        </is>
      </c>
      <c r="C748" t="n">
        <v>4.941396</v>
      </c>
      <c r="D748" t="n">
        <v>8406</v>
      </c>
      <c r="E748" t="inlineStr">
        <is>
          <t>SRIKAM HITECH ENGINEERING PRIVATE L</t>
        </is>
      </c>
      <c r="F748" t="n">
        <v>1493</v>
      </c>
      <c r="G748" t="inlineStr">
        <is>
          <t>TVS</t>
        </is>
      </c>
      <c r="H748" t="inlineStr">
        <is>
          <t>19.05-0-2.3-ERW 1-PE</t>
        </is>
      </c>
      <c r="I748" t="inlineStr">
        <is>
          <t>19.05-0-2.3-ERW 1-PE-1</t>
        </is>
      </c>
      <c r="J748" t="n">
        <v>7</v>
      </c>
      <c r="K748" t="inlineStr">
        <is>
          <t>LL</t>
        </is>
      </c>
    </row>
    <row r="749" hidden="1" s="584">
      <c r="A749" t="n">
        <v>1940838</v>
      </c>
      <c r="B749" t="inlineStr">
        <is>
          <t>TUB-R-AW-RHS-40.00X30.00X2.000X0.8800</t>
        </is>
      </c>
      <c r="C749" t="n">
        <v>2.341</v>
      </c>
      <c r="D749" t="n">
        <v>789</v>
      </c>
      <c r="E749" t="inlineStr">
        <is>
          <t>Metalman Auto Private Limited</t>
        </is>
      </c>
      <c r="F749" t="n">
        <v>806</v>
      </c>
      <c r="G749" t="inlineStr">
        <is>
          <t>TVS</t>
        </is>
      </c>
      <c r="H749" t="inlineStr">
        <is>
          <t>40-30-2-ERW 1-FC</t>
        </is>
      </c>
      <c r="I749" t="inlineStr">
        <is>
          <t>40-30-2-ERW 1-FC-0.88</t>
        </is>
      </c>
      <c r="J749" t="n">
        <v>0.88</v>
      </c>
      <c r="K749" t="inlineStr">
        <is>
          <t>CTL</t>
        </is>
      </c>
    </row>
    <row r="750" hidden="1" s="584">
      <c r="A750" t="n">
        <v>1940838</v>
      </c>
      <c r="B750" t="inlineStr">
        <is>
          <t>TUB-R-AW-RHS-40.00X30.00X2.000X0.8800</t>
        </is>
      </c>
      <c r="C750" t="n">
        <v>0.055</v>
      </c>
      <c r="D750" t="n">
        <v>789</v>
      </c>
      <c r="E750" t="inlineStr">
        <is>
          <t>Metalman Auto Private Limited</t>
        </is>
      </c>
      <c r="F750" t="n">
        <v>807</v>
      </c>
      <c r="G750" t="inlineStr">
        <is>
          <t>TVS</t>
        </is>
      </c>
      <c r="H750" t="inlineStr">
        <is>
          <t>40-30-2-ERW 1-FC</t>
        </is>
      </c>
      <c r="I750" t="inlineStr">
        <is>
          <t>40-30-2-ERW 1-FC-0.88</t>
        </is>
      </c>
      <c r="J750" t="n">
        <v>0.88</v>
      </c>
      <c r="K750" t="inlineStr">
        <is>
          <t>CTL</t>
        </is>
      </c>
    </row>
    <row r="751" hidden="1" s="584">
      <c r="A751" t="n">
        <v>1940838</v>
      </c>
      <c r="B751" t="inlineStr">
        <is>
          <t>TUB-R-AW-RHS-40.00X30.00X2.000X0.8800</t>
        </is>
      </c>
      <c r="C751" t="n">
        <v>0.040676</v>
      </c>
      <c r="D751" t="n">
        <v>789</v>
      </c>
      <c r="E751" t="inlineStr">
        <is>
          <t>Metalman Auto Private Limited</t>
        </is>
      </c>
      <c r="F751" t="n">
        <v>808</v>
      </c>
      <c r="G751" t="inlineStr">
        <is>
          <t>TVS</t>
        </is>
      </c>
      <c r="H751" t="inlineStr">
        <is>
          <t>40-30-2-ERW 1-FC</t>
        </is>
      </c>
      <c r="I751" t="inlineStr">
        <is>
          <t>40-30-2-ERW 1-FC-0.88</t>
        </is>
      </c>
      <c r="J751" t="n">
        <v>0.88</v>
      </c>
      <c r="K751" t="inlineStr">
        <is>
          <t>CTL</t>
        </is>
      </c>
    </row>
    <row r="752" hidden="1" s="584">
      <c r="A752" t="n">
        <v>1940838</v>
      </c>
      <c r="B752" t="inlineStr">
        <is>
          <t>TUB-R-AW-RHS-40.00X30.00X2.000X0.8800</t>
        </is>
      </c>
      <c r="C752" t="n">
        <v>0.46088</v>
      </c>
      <c r="D752" t="n">
        <v>789</v>
      </c>
      <c r="E752" t="inlineStr">
        <is>
          <t>Metalman Auto Private Limited</t>
        </is>
      </c>
      <c r="F752" t="n">
        <v>809</v>
      </c>
      <c r="G752" t="inlineStr">
        <is>
          <t>TVS</t>
        </is>
      </c>
      <c r="H752" t="inlineStr">
        <is>
          <t>40-30-2-ERW 1-FC</t>
        </is>
      </c>
      <c r="I752" t="inlineStr">
        <is>
          <t>40-30-2-ERW 1-FC-0.88</t>
        </is>
      </c>
      <c r="J752" t="n">
        <v>0.88</v>
      </c>
      <c r="K752" t="inlineStr">
        <is>
          <t>CTL</t>
        </is>
      </c>
    </row>
    <row r="753" hidden="1" s="584">
      <c r="A753" t="n">
        <v>1940838</v>
      </c>
      <c r="B753" t="inlineStr">
        <is>
          <t>TUB-R-AW-RHS-40.00X30.00X2.000X0.8800</t>
        </is>
      </c>
      <c r="C753" t="n">
        <v>2.35</v>
      </c>
      <c r="D753" t="n">
        <v>789</v>
      </c>
      <c r="E753" t="inlineStr">
        <is>
          <t>Metalman Auto Private Limited</t>
        </is>
      </c>
      <c r="F753" t="n">
        <v>810</v>
      </c>
      <c r="G753" t="inlineStr">
        <is>
          <t>TVS</t>
        </is>
      </c>
      <c r="H753" t="inlineStr">
        <is>
          <t>40-30-2-ERW 1-FC</t>
        </is>
      </c>
      <c r="I753" t="inlineStr">
        <is>
          <t>40-30-2-ERW 1-FC-0.88</t>
        </is>
      </c>
      <c r="J753" t="n">
        <v>0.88</v>
      </c>
      <c r="K753" t="inlineStr">
        <is>
          <t>CTL</t>
        </is>
      </c>
    </row>
    <row r="754" hidden="1" s="584">
      <c r="A754" t="n">
        <v>1940838</v>
      </c>
      <c r="B754" t="inlineStr">
        <is>
          <t>TUB-R-AW-RHS-40.00X30.00X2.000X0.8800</t>
        </is>
      </c>
      <c r="C754" t="n">
        <v>2.359</v>
      </c>
      <c r="D754" t="n">
        <v>789</v>
      </c>
      <c r="E754" t="inlineStr">
        <is>
          <t>Metalman Auto Private Limited</t>
        </is>
      </c>
      <c r="F754" t="n">
        <v>811</v>
      </c>
      <c r="G754" t="inlineStr">
        <is>
          <t>TVS</t>
        </is>
      </c>
      <c r="H754" t="inlineStr">
        <is>
          <t>40-30-2-ERW 1-FC</t>
        </is>
      </c>
      <c r="I754" t="inlineStr">
        <is>
          <t>40-30-2-ERW 1-FC-0.88</t>
        </is>
      </c>
      <c r="J754" t="n">
        <v>0.88</v>
      </c>
      <c r="K754" t="inlineStr">
        <is>
          <t>CTL</t>
        </is>
      </c>
    </row>
    <row r="755" hidden="1" s="584">
      <c r="A755" t="n">
        <v>3228788</v>
      </c>
      <c r="B755" t="inlineStr">
        <is>
          <t>TUB-O-C-AUT-AD-FC-20.00X1.420X0.2730</t>
        </is>
      </c>
      <c r="C755" t="n">
        <v>0.711197</v>
      </c>
      <c r="D755" t="n">
        <v>4731</v>
      </c>
      <c r="E755" t="inlineStr">
        <is>
          <t>Neel Metal Products Limited</t>
        </is>
      </c>
      <c r="F755" t="n">
        <v>1415</v>
      </c>
      <c r="G755" t="inlineStr">
        <is>
          <t>TVS</t>
        </is>
      </c>
      <c r="H755" t="inlineStr">
        <is>
          <t>20-17.16-1.42-CEW-CEW</t>
        </is>
      </c>
      <c r="I755" t="inlineStr">
        <is>
          <t>20-17.16-1.42-CEW-CEW-0.273</t>
        </is>
      </c>
      <c r="J755" t="n">
        <v>0.273</v>
      </c>
      <c r="K755" t="inlineStr">
        <is>
          <t>CTL</t>
        </is>
      </c>
    </row>
    <row r="756" hidden="1" s="584">
      <c r="A756" t="n">
        <v>3769066</v>
      </c>
      <c r="B756" t="inlineStr">
        <is>
          <t>TUB-O-C-CEW-AD-FC-20.00X1.420X5.8500</t>
        </is>
      </c>
      <c r="C756" t="n">
        <v>1.172</v>
      </c>
      <c r="D756" t="inlineStr">
        <is>
          <t>0788</t>
        </is>
      </c>
      <c r="E756" t="inlineStr">
        <is>
          <t>Neel Metal Products Limited</t>
        </is>
      </c>
      <c r="F756" t="n">
        <v>2229</v>
      </c>
      <c r="G756" t="inlineStr">
        <is>
          <t>TVS</t>
        </is>
      </c>
      <c r="H756" t="inlineStr">
        <is>
          <t>20-17.16-1.42-CEW-CEW</t>
        </is>
      </c>
      <c r="I756" t="inlineStr">
        <is>
          <t>20-17.16-1.42-CEW-CEW-1</t>
        </is>
      </c>
      <c r="J756" t="n">
        <v>5.85</v>
      </c>
      <c r="K756" t="inlineStr">
        <is>
          <t>LL</t>
        </is>
      </c>
    </row>
    <row r="757" hidden="1" s="584">
      <c r="A757" t="n">
        <v>1940879</v>
      </c>
      <c r="B757" t="inlineStr">
        <is>
          <t>TUB-R-AW-RHS-50.00X30.00X1.600X0.6360</t>
        </is>
      </c>
      <c r="C757" t="n">
        <v>0.00801</v>
      </c>
      <c r="D757" t="n">
        <v>789</v>
      </c>
      <c r="E757" t="inlineStr">
        <is>
          <t>ELKAYEM AUTO ANCILLARIES PVT LTD -U</t>
        </is>
      </c>
      <c r="F757" t="n">
        <v>812</v>
      </c>
      <c r="G757" t="inlineStr">
        <is>
          <t>TVS</t>
        </is>
      </c>
      <c r="H757" t="inlineStr">
        <is>
          <t>50-30-1.6-ERW 1-FC</t>
        </is>
      </c>
      <c r="I757" t="inlineStr">
        <is>
          <t>50-30-1.6-ERW 1-FC-0.636</t>
        </is>
      </c>
      <c r="J757" t="n">
        <v>0.636</v>
      </c>
      <c r="K757" t="inlineStr">
        <is>
          <t>CTL</t>
        </is>
      </c>
    </row>
    <row r="758" hidden="1" s="584">
      <c r="A758" t="n">
        <v>1940879</v>
      </c>
      <c r="B758" t="inlineStr">
        <is>
          <t>TUB-R-AW-RHS-50.00X30.00X1.600X0.6360</t>
        </is>
      </c>
      <c r="C758" t="n">
        <v>1.593</v>
      </c>
      <c r="D758" t="n">
        <v>789</v>
      </c>
      <c r="E758" t="inlineStr">
        <is>
          <t>ELKAYEM AUTO ANCILLARIES PVT LTD -U</t>
        </is>
      </c>
      <c r="F758" t="n">
        <v>813</v>
      </c>
      <c r="G758" t="inlineStr">
        <is>
          <t>TVS</t>
        </is>
      </c>
      <c r="H758" t="inlineStr">
        <is>
          <t>50-30-1.6-ERW 1-FC</t>
        </is>
      </c>
      <c r="I758" t="inlineStr">
        <is>
          <t>50-30-1.6-ERW 1-FC-0.636</t>
        </is>
      </c>
      <c r="J758" t="n">
        <v>0.636</v>
      </c>
      <c r="K758" t="inlineStr">
        <is>
          <t>CTL</t>
        </is>
      </c>
    </row>
    <row r="759" hidden="1" s="584">
      <c r="A759" t="n">
        <v>1940879</v>
      </c>
      <c r="B759" t="inlineStr">
        <is>
          <t>TUB-R-AW-RHS-50.00X30.00X1.600X0.6360</t>
        </is>
      </c>
      <c r="C759" t="n">
        <v>0.574</v>
      </c>
      <c r="D759" t="n">
        <v>789</v>
      </c>
      <c r="E759" t="inlineStr">
        <is>
          <t>ELKAYEM AUTO ANCILLARIES PVT LTD -U</t>
        </is>
      </c>
      <c r="F759" t="n">
        <v>814</v>
      </c>
      <c r="G759" t="inlineStr">
        <is>
          <t>TVS</t>
        </is>
      </c>
      <c r="H759" t="inlineStr">
        <is>
          <t>50-30-1.6-ERW 1-FC</t>
        </is>
      </c>
      <c r="I759" t="inlineStr">
        <is>
          <t>50-30-1.6-ERW 1-FC-0.636</t>
        </is>
      </c>
      <c r="J759" t="n">
        <v>0.636</v>
      </c>
      <c r="K759" t="inlineStr">
        <is>
          <t>CTL</t>
        </is>
      </c>
    </row>
    <row r="760" hidden="1" s="584">
      <c r="A760" t="n">
        <v>1940879</v>
      </c>
      <c r="B760" t="inlineStr">
        <is>
          <t>TUB-R-AW-RHS-50.00X30.00X1.600X0.6360</t>
        </is>
      </c>
      <c r="C760" t="n">
        <v>0.259</v>
      </c>
      <c r="D760" t="n">
        <v>789</v>
      </c>
      <c r="E760" t="inlineStr">
        <is>
          <t>ELKAYEM AUTO ANCILLARIES PVT LTD -U</t>
        </is>
      </c>
      <c r="F760" t="n">
        <v>815</v>
      </c>
      <c r="G760" t="inlineStr">
        <is>
          <t>TVS</t>
        </is>
      </c>
      <c r="H760" t="inlineStr">
        <is>
          <t>50-30-1.6-ERW 1-FC</t>
        </is>
      </c>
      <c r="I760" t="inlineStr">
        <is>
          <t>50-30-1.6-ERW 1-FC-0.636</t>
        </is>
      </c>
      <c r="J760" t="n">
        <v>0.636</v>
      </c>
      <c r="K760" t="inlineStr">
        <is>
          <t>CTL</t>
        </is>
      </c>
    </row>
    <row r="761" hidden="1" s="584">
      <c r="A761" t="n">
        <v>1940911</v>
      </c>
      <c r="B761" t="inlineStr">
        <is>
          <t>TUB-O-O-AUT-AW-AG-57.15X2.500X0.7720</t>
        </is>
      </c>
      <c r="C761" t="n">
        <v>0.012692</v>
      </c>
      <c r="D761" t="n">
        <v>789</v>
      </c>
      <c r="E761" t="inlineStr">
        <is>
          <t>Rajsriya Automotive Industries</t>
        </is>
      </c>
      <c r="F761" t="n">
        <v>816</v>
      </c>
      <c r="G761" t="inlineStr">
        <is>
          <t>TVS</t>
        </is>
      </c>
      <c r="H761" t="inlineStr">
        <is>
          <t>57.15-0-2.5-ERW 1-FC</t>
        </is>
      </c>
      <c r="I761" t="inlineStr">
        <is>
          <t>57.15-0-2.5-ERW 1-FC-0.772</t>
        </is>
      </c>
      <c r="J761" t="n">
        <v>0.772</v>
      </c>
      <c r="K761" t="inlineStr">
        <is>
          <t>CTL</t>
        </is>
      </c>
    </row>
    <row r="762" hidden="1" s="584">
      <c r="A762" t="n">
        <v>1940911</v>
      </c>
      <c r="B762" t="inlineStr">
        <is>
          <t>TUB-O-O-AUT-AW-AG-57.15X2.500X0.7720</t>
        </is>
      </c>
      <c r="C762" t="n">
        <v>0.002932</v>
      </c>
      <c r="D762" t="n">
        <v>789</v>
      </c>
      <c r="E762" t="inlineStr">
        <is>
          <t>Rajsriya Automotive Industries</t>
        </is>
      </c>
      <c r="F762" t="n">
        <v>817</v>
      </c>
      <c r="G762" t="inlineStr">
        <is>
          <t>TVS</t>
        </is>
      </c>
      <c r="H762" t="inlineStr">
        <is>
          <t>57.15-0-2.5-ERW 1-FC</t>
        </is>
      </c>
      <c r="I762" t="inlineStr">
        <is>
          <t>57.15-0-2.5-ERW 1-FC-0.772</t>
        </is>
      </c>
      <c r="J762" t="n">
        <v>0.772</v>
      </c>
      <c r="K762" t="inlineStr">
        <is>
          <t>CTL</t>
        </is>
      </c>
    </row>
    <row r="763" hidden="1" s="584">
      <c r="A763" t="n">
        <v>2410999</v>
      </c>
      <c r="B763" t="inlineStr">
        <is>
          <t>TUB-O-C-AUT-AD-FC-21.70X2.750X04-05</t>
        </is>
      </c>
      <c r="C763" t="n">
        <v>1.867743</v>
      </c>
      <c r="D763" t="n">
        <v>8406</v>
      </c>
      <c r="E763" t="inlineStr">
        <is>
          <t>Rajsriya Automotive Industries(P)</t>
        </is>
      </c>
      <c r="F763" t="n">
        <v>1395</v>
      </c>
      <c r="G763" t="inlineStr">
        <is>
          <t>TVS</t>
        </is>
      </c>
      <c r="H763" t="inlineStr">
        <is>
          <t>21.7-16.2-2.75-CEW-CEW</t>
        </is>
      </c>
      <c r="I763" t="inlineStr">
        <is>
          <t>21.7-16.2-2.75-CEW-CEW-1</t>
        </is>
      </c>
      <c r="J763" t="n">
        <v>6</v>
      </c>
      <c r="K763" t="inlineStr">
        <is>
          <t>LL</t>
        </is>
      </c>
    </row>
    <row r="764" hidden="1" s="584">
      <c r="A764" t="n">
        <v>2413708</v>
      </c>
      <c r="B764" t="inlineStr">
        <is>
          <t>TUB-O-N-AUT-AW-PE-22.23X2.000X0.8150</t>
        </is>
      </c>
      <c r="C764" t="n">
        <v>0.013852</v>
      </c>
      <c r="D764" t="n">
        <v>789</v>
      </c>
      <c r="E764" t="inlineStr">
        <is>
          <t>SANDHAR ENGINEERING PVT LTD.(KA) -U</t>
        </is>
      </c>
      <c r="F764" t="n">
        <v>818</v>
      </c>
      <c r="G764" t="inlineStr">
        <is>
          <t>TVS</t>
        </is>
      </c>
      <c r="H764" t="inlineStr">
        <is>
          <t>22.23-0-2-ERW 1-PE</t>
        </is>
      </c>
      <c r="I764" t="inlineStr">
        <is>
          <t>22.23-0-2-ERW 1-PE-0.815</t>
        </is>
      </c>
      <c r="J764" t="n">
        <v>0.8149999999999999</v>
      </c>
      <c r="K764" t="inlineStr">
        <is>
          <t>CTL</t>
        </is>
      </c>
    </row>
    <row r="765" hidden="1" s="584">
      <c r="A765" t="n">
        <v>3667938</v>
      </c>
      <c r="B765" t="inlineStr">
        <is>
          <t>CUT-O-N-AUT-AW-PE-22.20X1.200X0.6730</t>
        </is>
      </c>
      <c r="C765" t="n">
        <v>0.001357</v>
      </c>
      <c r="D765" t="n">
        <v>789</v>
      </c>
      <c r="E765" t="inlineStr">
        <is>
          <t>SANDHAR ENGINEERING PVT LTD.(KA) -U</t>
        </is>
      </c>
      <c r="F765" t="n">
        <v>1042</v>
      </c>
      <c r="G765" t="inlineStr">
        <is>
          <t>TVS</t>
        </is>
      </c>
      <c r="H765" t="inlineStr">
        <is>
          <t>22.23-0-1.2-ERW 1-PE</t>
        </is>
      </c>
      <c r="I765" t="inlineStr">
        <is>
          <t>22.23-0-1.2-ERW 1-PE-0.673</t>
        </is>
      </c>
      <c r="J765" t="n">
        <v>0.673</v>
      </c>
      <c r="K765" t="inlineStr">
        <is>
          <t>CTL</t>
        </is>
      </c>
    </row>
    <row r="766" hidden="1" s="584">
      <c r="A766" t="n">
        <v>3781676</v>
      </c>
      <c r="B766" t="inlineStr">
        <is>
          <t>CUT-O-N-AUT-AW-PE-22.20X1.200X1.1620</t>
        </is>
      </c>
      <c r="C766" t="n">
        <v>0.24294</v>
      </c>
      <c r="D766" t="n">
        <v>8406</v>
      </c>
      <c r="E766" t="inlineStr">
        <is>
          <t>Elkayem Auto Ancillaries ( P ) LTD</t>
        </is>
      </c>
      <c r="F766" t="n">
        <v>1847</v>
      </c>
      <c r="G766" t="inlineStr">
        <is>
          <t>TVS</t>
        </is>
      </c>
      <c r="H766" t="inlineStr">
        <is>
          <t>22.23-0-1.2-ERW 1-PE</t>
        </is>
      </c>
      <c r="I766" t="inlineStr">
        <is>
          <t>22.23-0-1.2-ERW 1-PE-1.162</t>
        </is>
      </c>
      <c r="J766" t="n">
        <v>1.162</v>
      </c>
      <c r="K766" t="inlineStr">
        <is>
          <t>CTL</t>
        </is>
      </c>
    </row>
    <row r="767" hidden="1" s="584">
      <c r="A767" t="n">
        <v>3556680</v>
      </c>
      <c r="B767" t="inlineStr">
        <is>
          <t>TUB-O-N-AUT-AW-PE-22.20X1.600X0.6400</t>
        </is>
      </c>
      <c r="C767" t="n">
        <v>0.002858</v>
      </c>
      <c r="D767" t="n">
        <v>789</v>
      </c>
      <c r="E767" t="inlineStr">
        <is>
          <t>Rajsriya Automotive Ind. Pvt Ltd</t>
        </is>
      </c>
      <c r="F767" t="n">
        <v>835</v>
      </c>
      <c r="G767" t="inlineStr">
        <is>
          <t>TVS</t>
        </is>
      </c>
      <c r="H767" t="inlineStr">
        <is>
          <t>22.23-0-1.6-ERW 1-PE</t>
        </is>
      </c>
      <c r="I767" t="inlineStr">
        <is>
          <t>22.23-0-1.6-ERW 1-PE-0.64</t>
        </is>
      </c>
      <c r="J767" t="n">
        <v>0.64</v>
      </c>
      <c r="K767" t="inlineStr">
        <is>
          <t>CTL</t>
        </is>
      </c>
    </row>
    <row r="768" hidden="1" s="584">
      <c r="A768" t="n">
        <v>3556680</v>
      </c>
      <c r="B768" t="inlineStr">
        <is>
          <t>TUB-O-N-AUT-AW-PE-22.20X1.600X0.6400</t>
        </is>
      </c>
      <c r="C768" t="n">
        <v>0.002082</v>
      </c>
      <c r="D768" t="n">
        <v>789</v>
      </c>
      <c r="E768" t="inlineStr">
        <is>
          <t>Rajsriya Automotive Ind. Pvt Ltd</t>
        </is>
      </c>
      <c r="F768" t="n">
        <v>836</v>
      </c>
      <c r="G768" t="inlineStr">
        <is>
          <t>TVS</t>
        </is>
      </c>
      <c r="H768" t="inlineStr">
        <is>
          <t>22.23-0-1.6-ERW 1-PE</t>
        </is>
      </c>
      <c r="I768" t="inlineStr">
        <is>
          <t>22.23-0-1.6-ERW 1-PE-0.64</t>
        </is>
      </c>
      <c r="J768" t="n">
        <v>0.64</v>
      </c>
      <c r="K768" t="inlineStr">
        <is>
          <t>CTL</t>
        </is>
      </c>
    </row>
    <row r="769" hidden="1" s="584">
      <c r="A769" t="n">
        <v>3556680</v>
      </c>
      <c r="B769" t="inlineStr">
        <is>
          <t>TUB-O-N-AUT-AW-PE-22.20X1.600X0.6400</t>
        </is>
      </c>
      <c r="C769" t="n">
        <v>0.00395</v>
      </c>
      <c r="D769" t="n">
        <v>789</v>
      </c>
      <c r="E769" t="inlineStr">
        <is>
          <t>Rajsriya Automotive Ind. Pvt Ltd</t>
        </is>
      </c>
      <c r="F769" t="n">
        <v>837</v>
      </c>
      <c r="G769" t="inlineStr">
        <is>
          <t>TVS</t>
        </is>
      </c>
      <c r="H769" t="inlineStr">
        <is>
          <t>22.23-0-1.6-ERW 1-PE</t>
        </is>
      </c>
      <c r="I769" t="inlineStr">
        <is>
          <t>22.23-0-1.6-ERW 1-PE-0.64</t>
        </is>
      </c>
      <c r="J769" t="n">
        <v>0.64</v>
      </c>
      <c r="K769" t="inlineStr">
        <is>
          <t>CTL</t>
        </is>
      </c>
    </row>
    <row r="770" hidden="1" s="584">
      <c r="A770" t="n">
        <v>3556680</v>
      </c>
      <c r="B770" t="inlineStr">
        <is>
          <t>TUB-O-N-AUT-AW-PE-22.20X1.600X0.6400</t>
        </is>
      </c>
      <c r="C770" t="n">
        <v>0.282264</v>
      </c>
      <c r="D770" t="n">
        <v>4731</v>
      </c>
      <c r="E770" t="inlineStr">
        <is>
          <t>Rajsriya Automotive Ind. Pvt Ltd</t>
        </is>
      </c>
      <c r="F770" t="n">
        <v>1676</v>
      </c>
      <c r="G770" t="inlineStr">
        <is>
          <t>TVS</t>
        </is>
      </c>
      <c r="H770" t="inlineStr">
        <is>
          <t>22.23-0-1.6-ERW 1-PE</t>
        </is>
      </c>
      <c r="I770" t="inlineStr">
        <is>
          <t>22.23-0-1.6-ERW 1-PE-0.64</t>
        </is>
      </c>
      <c r="J770" t="n">
        <v>0.64</v>
      </c>
      <c r="K770" t="inlineStr">
        <is>
          <t>CTL</t>
        </is>
      </c>
    </row>
    <row r="771" hidden="1" s="584">
      <c r="A771" t="n">
        <v>3781147</v>
      </c>
      <c r="B771" t="inlineStr">
        <is>
          <t>CUT-O-N-AUT-AW-PE-22.20X1.600X0.2850</t>
        </is>
      </c>
      <c r="C771" t="n">
        <v>0.708609</v>
      </c>
      <c r="D771" t="n">
        <v>4731</v>
      </c>
      <c r="E771" t="inlineStr">
        <is>
          <t>Marathwada Auto Compo Pvt. Ltd.</t>
        </is>
      </c>
      <c r="F771" t="n">
        <v>1833</v>
      </c>
      <c r="G771" t="inlineStr">
        <is>
          <t>TVS</t>
        </is>
      </c>
      <c r="H771" t="inlineStr">
        <is>
          <t>22.23-0-1.6-ERW 1-PE</t>
        </is>
      </c>
      <c r="I771" t="inlineStr">
        <is>
          <t>22.23-0-1.6-ERW 1-PE-0.285</t>
        </is>
      </c>
      <c r="J771" t="n">
        <v>0.285</v>
      </c>
      <c r="K771" t="inlineStr">
        <is>
          <t>CTL</t>
        </is>
      </c>
    </row>
    <row r="772" hidden="1" s="584">
      <c r="A772" t="n">
        <v>3926270</v>
      </c>
      <c r="B772" t="inlineStr">
        <is>
          <t>CUT-O-N-AUT-AW-FC-25.40X2.000X0.4180</t>
        </is>
      </c>
      <c r="C772" t="n">
        <v>2.317</v>
      </c>
      <c r="D772" t="n">
        <v>789</v>
      </c>
      <c r="E772" t="inlineStr">
        <is>
          <t>Sandhar EngineeringPvt.Ltd.(KA)-Uni</t>
        </is>
      </c>
      <c r="F772" t="n">
        <v>844</v>
      </c>
      <c r="G772" t="inlineStr">
        <is>
          <t>TVS</t>
        </is>
      </c>
      <c r="H772" t="inlineStr">
        <is>
          <t>25.4-0-2-ERW 1-FC</t>
        </is>
      </c>
      <c r="I772" t="inlineStr">
        <is>
          <t>25.4-0-2-ERW 1-FC-0.418</t>
        </is>
      </c>
      <c r="J772" t="n">
        <v>0.418</v>
      </c>
      <c r="K772" t="inlineStr">
        <is>
          <t>CTL</t>
        </is>
      </c>
    </row>
    <row r="773" hidden="1" s="584">
      <c r="A773" t="n">
        <v>3926270</v>
      </c>
      <c r="B773" t="inlineStr">
        <is>
          <t>CUT-O-N-AUT-AW-FC-25.40X2.000X0.4180</t>
        </is>
      </c>
      <c r="C773" t="n">
        <v>1.496</v>
      </c>
      <c r="D773" t="n">
        <v>789</v>
      </c>
      <c r="E773" t="inlineStr">
        <is>
          <t>Sandhar EngineeringPvt.Ltd.(KA)-Uni</t>
        </is>
      </c>
      <c r="F773" t="n">
        <v>845</v>
      </c>
      <c r="G773" t="inlineStr">
        <is>
          <t>TVS</t>
        </is>
      </c>
      <c r="H773" t="inlineStr">
        <is>
          <t>25.4-0-2-ERW 1-FC</t>
        </is>
      </c>
      <c r="I773" t="inlineStr">
        <is>
          <t>25.4-0-2-ERW 1-FC-0.418</t>
        </is>
      </c>
      <c r="J773" t="n">
        <v>0.418</v>
      </c>
      <c r="K773" t="inlineStr">
        <is>
          <t>CTL</t>
        </is>
      </c>
    </row>
    <row r="774" hidden="1" s="584">
      <c r="A774" t="n">
        <v>3926270</v>
      </c>
      <c r="B774" t="inlineStr">
        <is>
          <t>CUT-O-N-AUT-AW-FC-25.40X2.000X0.4180</t>
        </is>
      </c>
      <c r="C774" t="n">
        <v>0.724</v>
      </c>
      <c r="D774" t="n">
        <v>789</v>
      </c>
      <c r="E774" t="inlineStr">
        <is>
          <t>Sandhar EngineeringPvt.Ltd.(KA)-Uni</t>
        </is>
      </c>
      <c r="F774" t="n">
        <v>846</v>
      </c>
      <c r="G774" t="inlineStr">
        <is>
          <t>TVS</t>
        </is>
      </c>
      <c r="H774" t="inlineStr">
        <is>
          <t>25.4-0-2-ERW 1-FC</t>
        </is>
      </c>
      <c r="I774" t="inlineStr">
        <is>
          <t>25.4-0-2-ERW 1-FC-0.418</t>
        </is>
      </c>
      <c r="J774" t="n">
        <v>0.418</v>
      </c>
      <c r="K774" t="inlineStr">
        <is>
          <t>CTL</t>
        </is>
      </c>
    </row>
    <row r="775" hidden="1" s="584">
      <c r="A775" t="n">
        <v>3926270</v>
      </c>
      <c r="B775" t="inlineStr">
        <is>
          <t>CUT-O-N-AUT-AW-FC-25.40X2.000X0.4180</t>
        </is>
      </c>
      <c r="C775" t="n">
        <v>1.098</v>
      </c>
      <c r="D775" t="n">
        <v>789</v>
      </c>
      <c r="E775" t="inlineStr">
        <is>
          <t>Sandhar EngineeringPvt.Ltd.(KA)-Uni</t>
        </is>
      </c>
      <c r="F775" t="n">
        <v>847</v>
      </c>
      <c r="G775" t="inlineStr">
        <is>
          <t>TVS</t>
        </is>
      </c>
      <c r="H775" t="inlineStr">
        <is>
          <t>25.4-0-2-ERW 1-FC</t>
        </is>
      </c>
      <c r="I775" t="inlineStr">
        <is>
          <t>25.4-0-2-ERW 1-FC-0.418</t>
        </is>
      </c>
      <c r="J775" t="n">
        <v>0.418</v>
      </c>
      <c r="K775" t="inlineStr">
        <is>
          <t>CTL</t>
        </is>
      </c>
    </row>
    <row r="776" hidden="1" s="584">
      <c r="A776" t="n">
        <v>3926270</v>
      </c>
      <c r="B776" t="inlineStr">
        <is>
          <t>CUT-O-N-AUT-AW-FC-25.40X2.000X0.4180</t>
        </is>
      </c>
      <c r="C776" t="n">
        <v>0.326</v>
      </c>
      <c r="D776" t="n">
        <v>789</v>
      </c>
      <c r="E776" t="inlineStr">
        <is>
          <t>Sandhar EngineeringPvt.Ltd.(KA)-Uni</t>
        </is>
      </c>
      <c r="F776" t="n">
        <v>848</v>
      </c>
      <c r="G776" t="inlineStr">
        <is>
          <t>TVS</t>
        </is>
      </c>
      <c r="H776" t="inlineStr">
        <is>
          <t>25.4-0-2-ERW 1-FC</t>
        </is>
      </c>
      <c r="I776" t="inlineStr">
        <is>
          <t>25.4-0-2-ERW 1-FC-0.418</t>
        </is>
      </c>
      <c r="J776" t="n">
        <v>0.418</v>
      </c>
      <c r="K776" t="inlineStr">
        <is>
          <t>CTL</t>
        </is>
      </c>
    </row>
    <row r="777" hidden="1" s="584">
      <c r="A777" t="n">
        <v>4098592</v>
      </c>
      <c r="B777" t="inlineStr">
        <is>
          <t>TUB-R-AW-AUT-40.00X30.00X2.000X0.1480</t>
        </is>
      </c>
      <c r="C777" t="n">
        <v>0.00136</v>
      </c>
      <c r="D777" t="n">
        <v>789</v>
      </c>
      <c r="E777" t="inlineStr">
        <is>
          <t>ELKAYEM AUTO ANCILLARIES PRIVATE LI</t>
        </is>
      </c>
      <c r="F777" t="n">
        <v>849</v>
      </c>
      <c r="G777" t="inlineStr">
        <is>
          <t>TVS</t>
        </is>
      </c>
      <c r="H777" t="inlineStr">
        <is>
          <t>40-30-2-ERW 1-FC</t>
        </is>
      </c>
      <c r="I777" t="inlineStr">
        <is>
          <t>40-30-2-ERW 1-FC-0.148</t>
        </is>
      </c>
      <c r="J777" t="n">
        <v>0.148</v>
      </c>
      <c r="K777" t="inlineStr">
        <is>
          <t>CTL</t>
        </is>
      </c>
    </row>
    <row r="778" hidden="1" s="584">
      <c r="A778" t="n">
        <v>4098592</v>
      </c>
      <c r="B778" t="inlineStr">
        <is>
          <t>TUB-R-AW-AUT-40.00X30.00X2.000X0.1480</t>
        </is>
      </c>
      <c r="C778" t="n">
        <v>0.001</v>
      </c>
      <c r="D778" t="n">
        <v>789</v>
      </c>
      <c r="E778" t="inlineStr">
        <is>
          <t>ELKAYEM AUTO ANCILLARIES PRIVATE LI</t>
        </is>
      </c>
      <c r="F778" t="n">
        <v>850</v>
      </c>
      <c r="G778" t="inlineStr">
        <is>
          <t>TVS</t>
        </is>
      </c>
      <c r="H778" t="inlineStr">
        <is>
          <t>40-30-2-ERW 1-FC</t>
        </is>
      </c>
      <c r="I778" t="inlineStr">
        <is>
          <t>40-30-2-ERW 1-FC-0.148</t>
        </is>
      </c>
      <c r="J778" t="n">
        <v>0.148</v>
      </c>
      <c r="K778" t="inlineStr">
        <is>
          <t>CTL</t>
        </is>
      </c>
    </row>
    <row r="779" hidden="1" s="584">
      <c r="A779" t="n">
        <v>4098592</v>
      </c>
      <c r="B779" t="inlineStr">
        <is>
          <t>TUB-R-AW-AUT-40.00X30.00X2.000X0.1480</t>
        </is>
      </c>
      <c r="C779" t="n">
        <v>0.03604</v>
      </c>
      <c r="D779" t="n">
        <v>789</v>
      </c>
      <c r="E779" t="inlineStr">
        <is>
          <t>ELKAYEM AUTO ANCILLARIES PRIVATE LI</t>
        </is>
      </c>
      <c r="F779" t="n">
        <v>851</v>
      </c>
      <c r="G779" t="inlineStr">
        <is>
          <t>TVS</t>
        </is>
      </c>
      <c r="H779" t="inlineStr">
        <is>
          <t>40-30-2-ERW 1-FC</t>
        </is>
      </c>
      <c r="I779" t="inlineStr">
        <is>
          <t>40-30-2-ERW 1-FC-0.148</t>
        </is>
      </c>
      <c r="J779" t="n">
        <v>0.148</v>
      </c>
      <c r="K779" t="inlineStr">
        <is>
          <t>CTL</t>
        </is>
      </c>
    </row>
    <row r="780" hidden="1" s="584">
      <c r="A780" t="n">
        <v>3509824</v>
      </c>
      <c r="B780" t="inlineStr">
        <is>
          <t>CUT-O-N-AUT-AW-PE-22.20X1.600X1.2100</t>
        </is>
      </c>
      <c r="C780" t="n">
        <v>0.003844</v>
      </c>
      <c r="D780" t="n">
        <v>789</v>
      </c>
      <c r="E780" t="inlineStr">
        <is>
          <t>Rajsriya Automotive Ind. Pvt Ltd</t>
        </is>
      </c>
      <c r="F780" t="n">
        <v>886</v>
      </c>
      <c r="G780" t="inlineStr">
        <is>
          <t>TVS</t>
        </is>
      </c>
      <c r="H780" t="inlineStr">
        <is>
          <t>22.23-0-1.6-ERW 1-PE</t>
        </is>
      </c>
      <c r="I780" t="inlineStr">
        <is>
          <t>22.23-0-1.6-ERW 1-PE-1.21</t>
        </is>
      </c>
      <c r="J780" t="n">
        <v>1.21</v>
      </c>
      <c r="K780" t="inlineStr">
        <is>
          <t>CTL</t>
        </is>
      </c>
    </row>
    <row r="781" hidden="1" s="584">
      <c r="A781" t="n">
        <v>3531648</v>
      </c>
      <c r="B781" t="inlineStr">
        <is>
          <t>TUB-O-N-AUT-AW-FC-50.80X1.400X0.7390</t>
        </is>
      </c>
      <c r="C781" t="n">
        <v>1.942</v>
      </c>
      <c r="D781" t="n">
        <v>789</v>
      </c>
      <c r="E781" t="inlineStr">
        <is>
          <t>Metalman Auto Private Limited</t>
        </is>
      </c>
      <c r="F781" t="n">
        <v>887</v>
      </c>
      <c r="G781" t="inlineStr">
        <is>
          <t>TVS</t>
        </is>
      </c>
      <c r="H781" t="inlineStr">
        <is>
          <t>50.8-0-1.4-ERW 2-FC</t>
        </is>
      </c>
      <c r="I781" t="inlineStr">
        <is>
          <t>50.8-0-1.4-ERW 2-FC-0.739</t>
        </is>
      </c>
      <c r="J781" t="n">
        <v>0.739</v>
      </c>
      <c r="K781" t="inlineStr">
        <is>
          <t>CTL</t>
        </is>
      </c>
    </row>
    <row r="782" hidden="1" s="584">
      <c r="A782" t="n">
        <v>3534935</v>
      </c>
      <c r="B782" t="inlineStr">
        <is>
          <t>TUB-O-N-AUT-AW-PE-22.20X1.600X5.8000</t>
        </is>
      </c>
      <c r="C782" t="n">
        <v>0.059162</v>
      </c>
      <c r="D782" t="n">
        <v>4731</v>
      </c>
      <c r="E782" t="inlineStr">
        <is>
          <t>SANDHAR ENGINEERING PVT LTD.(KA) -U</t>
        </is>
      </c>
      <c r="F782" t="n">
        <v>1665</v>
      </c>
      <c r="G782" t="inlineStr">
        <is>
          <t>TVS</t>
        </is>
      </c>
      <c r="H782" t="inlineStr">
        <is>
          <t>22.23-0-1.6-ERW 1-PE</t>
        </is>
      </c>
      <c r="I782" t="inlineStr">
        <is>
          <t>22.23-0-1.6-ERW 1-PE-1</t>
        </is>
      </c>
      <c r="J782" t="n">
        <v>5.8</v>
      </c>
      <c r="K782" t="inlineStr">
        <is>
          <t>LL</t>
        </is>
      </c>
    </row>
    <row r="783" hidden="1" s="584">
      <c r="A783" t="n">
        <v>4098593</v>
      </c>
      <c r="B783" t="inlineStr">
        <is>
          <t>TUB-R-AW-AUT-40.00X30.00X2.000X0.1620</t>
        </is>
      </c>
      <c r="C783" t="n">
        <v>0.6850000000000001</v>
      </c>
      <c r="D783" t="n">
        <v>789</v>
      </c>
      <c r="E783" t="inlineStr">
        <is>
          <t>ELKAYEM AUTO ANCILLARIES PRIVATE LI</t>
        </is>
      </c>
      <c r="F783" t="n">
        <v>899</v>
      </c>
      <c r="G783" t="inlineStr">
        <is>
          <t>TVS</t>
        </is>
      </c>
      <c r="H783" t="inlineStr">
        <is>
          <t>40-30-2-ERW 1-FC</t>
        </is>
      </c>
      <c r="I783" t="inlineStr">
        <is>
          <t>40-30-2-ERW 1-FC-0.162</t>
        </is>
      </c>
      <c r="J783" t="n">
        <v>0.162</v>
      </c>
      <c r="K783" t="inlineStr">
        <is>
          <t>CTL</t>
        </is>
      </c>
    </row>
    <row r="784" hidden="1" s="584">
      <c r="A784" t="n">
        <v>4098593</v>
      </c>
      <c r="B784" t="inlineStr">
        <is>
          <t>TUB-R-AW-AUT-40.00X30.00X2.000X0.1620</t>
        </is>
      </c>
      <c r="C784" t="n">
        <v>0.035716</v>
      </c>
      <c r="D784" t="n">
        <v>789</v>
      </c>
      <c r="E784" t="inlineStr">
        <is>
          <t>ELKAYEM AUTO ANCILLARIES PRIVATE LI</t>
        </is>
      </c>
      <c r="F784" t="n">
        <v>900</v>
      </c>
      <c r="G784" t="inlineStr">
        <is>
          <t>TVS</t>
        </is>
      </c>
      <c r="H784" t="inlineStr">
        <is>
          <t>40-30-2-ERW 1-FC</t>
        </is>
      </c>
      <c r="I784" t="inlineStr">
        <is>
          <t>40-30-2-ERW 1-FC-0.162</t>
        </is>
      </c>
      <c r="J784" t="n">
        <v>0.162</v>
      </c>
      <c r="K784" t="inlineStr">
        <is>
          <t>CTL</t>
        </is>
      </c>
    </row>
    <row r="785" hidden="1" s="584">
      <c r="A785" t="n">
        <v>2420106</v>
      </c>
      <c r="B785" t="inlineStr">
        <is>
          <t>TUB-O-N-AUT-AW-PE-22.23X2.000X1.3250</t>
        </is>
      </c>
      <c r="C785" t="n">
        <v>0.08623</v>
      </c>
      <c r="D785" t="n">
        <v>789</v>
      </c>
      <c r="E785" t="inlineStr">
        <is>
          <t>Rajsriya Automotive Ind. Pvt Ltd</t>
        </is>
      </c>
      <c r="F785" t="n">
        <v>918</v>
      </c>
      <c r="G785" t="inlineStr">
        <is>
          <t>TVS</t>
        </is>
      </c>
      <c r="H785" t="inlineStr">
        <is>
          <t>22.23-0-2-ERW 1-PE</t>
        </is>
      </c>
      <c r="I785" t="inlineStr">
        <is>
          <t>22.23-0-2-ERW 1-PE-1.325</t>
        </is>
      </c>
      <c r="J785" t="n">
        <v>1.325</v>
      </c>
      <c r="K785" t="inlineStr">
        <is>
          <t>CTL</t>
        </is>
      </c>
    </row>
    <row r="786" hidden="1" s="584">
      <c r="A786" t="n">
        <v>3500554</v>
      </c>
      <c r="B786" t="inlineStr">
        <is>
          <t>TUB-O-N-AUT-AW-PE-22.20X2.000X5.1000</t>
        </is>
      </c>
      <c r="C786" t="n">
        <v>0.184</v>
      </c>
      <c r="D786" t="n">
        <v>789</v>
      </c>
      <c r="E786" t="inlineStr">
        <is>
          <t>MEGH STEELS PRIVATE LIMITED - TVS A</t>
        </is>
      </c>
      <c r="F786" t="n">
        <v>924</v>
      </c>
      <c r="G786" t="inlineStr">
        <is>
          <t>Direct</t>
        </is>
      </c>
      <c r="H786" t="inlineStr">
        <is>
          <t>22.23-0-2-ERW 1-PE</t>
        </is>
      </c>
      <c r="I786" t="inlineStr">
        <is>
          <t>22.23-0-2-ERW 1-PE-1</t>
        </is>
      </c>
      <c r="J786" t="n">
        <v>5.1</v>
      </c>
      <c r="K786" t="inlineStr">
        <is>
          <t>LL</t>
        </is>
      </c>
    </row>
    <row r="787" hidden="1" s="584">
      <c r="A787" t="n">
        <v>3500554</v>
      </c>
      <c r="B787" t="inlineStr">
        <is>
          <t>TUB-O-N-AUT-AW-PE-22.20X2.000X5.1000</t>
        </is>
      </c>
      <c r="C787" t="n">
        <v>0.015</v>
      </c>
      <c r="D787" t="n">
        <v>789</v>
      </c>
      <c r="E787" t="inlineStr">
        <is>
          <t>MEGH STEELS PRIVATE LIMITED - TVS A</t>
        </is>
      </c>
      <c r="F787" t="n">
        <v>925</v>
      </c>
      <c r="G787" t="inlineStr">
        <is>
          <t>Direct</t>
        </is>
      </c>
      <c r="H787" t="inlineStr">
        <is>
          <t>22.23-0-2-ERW 1-PE</t>
        </is>
      </c>
      <c r="I787" t="inlineStr">
        <is>
          <t>22.23-0-2-ERW 1-PE-1</t>
        </is>
      </c>
      <c r="J787" t="n">
        <v>5.1</v>
      </c>
      <c r="K787" t="inlineStr">
        <is>
          <t>LL</t>
        </is>
      </c>
    </row>
    <row r="788" hidden="1" s="584">
      <c r="A788" t="n">
        <v>3500554</v>
      </c>
      <c r="B788" t="inlineStr">
        <is>
          <t>TUB-O-N-AUT-AW-PE-22.20X2.000X5.1000</t>
        </is>
      </c>
      <c r="C788" t="n">
        <v>0.054432</v>
      </c>
      <c r="D788" t="n">
        <v>4731</v>
      </c>
      <c r="E788" t="inlineStr">
        <is>
          <t>MEGH STEELS PRIVATE LIMITED - TVS A</t>
        </is>
      </c>
      <c r="F788" t="n">
        <v>1471</v>
      </c>
      <c r="G788" t="inlineStr">
        <is>
          <t>Direct</t>
        </is>
      </c>
      <c r="H788" t="inlineStr">
        <is>
          <t>22.23-0-2-ERW 1-PE</t>
        </is>
      </c>
      <c r="I788" t="inlineStr">
        <is>
          <t>22.23-0-2-ERW 1-PE-1</t>
        </is>
      </c>
      <c r="J788" t="n">
        <v>5.1</v>
      </c>
      <c r="K788" t="inlineStr">
        <is>
          <t>LL</t>
        </is>
      </c>
    </row>
    <row r="789" hidden="1" s="584">
      <c r="A789" t="n">
        <v>3531649</v>
      </c>
      <c r="B789" t="inlineStr">
        <is>
          <t>TUB-O-N-AUT-AW-FC-42.70X1.600X0.4170</t>
        </is>
      </c>
      <c r="C789" t="n">
        <v>2.131</v>
      </c>
      <c r="D789" t="n">
        <v>789</v>
      </c>
      <c r="E789" t="inlineStr">
        <is>
          <t>Metalman Auto Private Limited</t>
        </is>
      </c>
      <c r="F789" t="n">
        <v>926</v>
      </c>
      <c r="G789" t="inlineStr">
        <is>
          <t>TVS</t>
        </is>
      </c>
      <c r="H789" t="inlineStr">
        <is>
          <t>42.7-0-1.6-ERW 2-FC-HMSIL</t>
        </is>
      </c>
      <c r="I789" t="inlineStr">
        <is>
          <t>42.7-0-1.6-ERW 2-FC-HMSIL-0.417</t>
        </is>
      </c>
      <c r="J789" t="n">
        <v>0.417</v>
      </c>
      <c r="K789" t="inlineStr">
        <is>
          <t>CTL</t>
        </is>
      </c>
    </row>
    <row r="790" hidden="1" s="584">
      <c r="A790" t="n">
        <v>3531649</v>
      </c>
      <c r="B790" t="inlineStr">
        <is>
          <t>TUB-O-N-AUT-AW-FC-42.70X1.600X0.4170</t>
        </is>
      </c>
      <c r="C790" t="n">
        <v>0.399</v>
      </c>
      <c r="D790" t="n">
        <v>789</v>
      </c>
      <c r="E790" t="inlineStr">
        <is>
          <t>Metalman Auto Private Limited</t>
        </is>
      </c>
      <c r="F790" t="n">
        <v>927</v>
      </c>
      <c r="G790" t="inlineStr">
        <is>
          <t>TVS</t>
        </is>
      </c>
      <c r="H790" t="inlineStr">
        <is>
          <t>42.7-0-1.6-ERW 2-FC-HMSIL</t>
        </is>
      </c>
      <c r="I790" t="inlineStr">
        <is>
          <t>42.7-0-1.6-ERW 2-FC-HMSIL-0.417</t>
        </is>
      </c>
      <c r="J790" t="n">
        <v>0.417</v>
      </c>
      <c r="K790" t="inlineStr">
        <is>
          <t>CTL</t>
        </is>
      </c>
    </row>
    <row r="791" hidden="1" s="584">
      <c r="A791" t="n">
        <v>3605861</v>
      </c>
      <c r="B791" t="inlineStr">
        <is>
          <t>TUB-O-N-AUT-AW-PE-25.40X1.630X2.5800</t>
        </is>
      </c>
      <c r="C791" t="n">
        <v>0.456</v>
      </c>
      <c r="D791" t="n">
        <v>789</v>
      </c>
      <c r="E791" t="inlineStr">
        <is>
          <t>Marathwada Auto Compo Pvt. Ltd.</t>
        </is>
      </c>
      <c r="F791" t="n">
        <v>930</v>
      </c>
      <c r="G791" t="inlineStr">
        <is>
          <t>TVS</t>
        </is>
      </c>
      <c r="H791" t="inlineStr">
        <is>
          <t>25.4-0-1.6-ERW 1-PE</t>
        </is>
      </c>
      <c r="I791" t="inlineStr">
        <is>
          <t>25.4-0-1.6-ERW 1-PE-2.58</t>
        </is>
      </c>
      <c r="J791" t="n">
        <v>2.58</v>
      </c>
      <c r="K791" t="inlineStr">
        <is>
          <t>CTL</t>
        </is>
      </c>
    </row>
    <row r="792" hidden="1" s="584">
      <c r="A792" t="n">
        <v>3605861</v>
      </c>
      <c r="B792" t="inlineStr">
        <is>
          <t>TUB-O-N-AUT-AW-PE-25.40X1.630X2.5800</t>
        </is>
      </c>
      <c r="C792" t="n">
        <v>0.09554799999999999</v>
      </c>
      <c r="D792" t="n">
        <v>789</v>
      </c>
      <c r="E792" t="inlineStr">
        <is>
          <t>Marathwada Auto Compo Pvt. Ltd.</t>
        </is>
      </c>
      <c r="F792" t="n">
        <v>931</v>
      </c>
      <c r="G792" t="inlineStr">
        <is>
          <t>TVS</t>
        </is>
      </c>
      <c r="H792" t="inlineStr">
        <is>
          <t>25.4-0-1.6-ERW 1-PE</t>
        </is>
      </c>
      <c r="I792" t="inlineStr">
        <is>
          <t>25.4-0-1.6-ERW 1-PE-2.58</t>
        </is>
      </c>
      <c r="J792" t="n">
        <v>2.58</v>
      </c>
      <c r="K792" t="inlineStr">
        <is>
          <t>CTL</t>
        </is>
      </c>
    </row>
    <row r="793" hidden="1" s="584">
      <c r="A793" t="n">
        <v>3605861</v>
      </c>
      <c r="B793" t="inlineStr">
        <is>
          <t>TUB-O-N-AUT-AW-PE-25.40X1.630X2.5800</t>
        </is>
      </c>
      <c r="C793" t="n">
        <v>1.677</v>
      </c>
      <c r="D793" t="n">
        <v>789</v>
      </c>
      <c r="E793" t="inlineStr">
        <is>
          <t>Marathwada Auto Compo Pvt. Ltd.</t>
        </is>
      </c>
      <c r="F793" t="n">
        <v>1087</v>
      </c>
      <c r="G793" t="inlineStr">
        <is>
          <t>TVS</t>
        </is>
      </c>
      <c r="H793" t="inlineStr">
        <is>
          <t>25.4-0-1.6-ERW 1-PE</t>
        </is>
      </c>
      <c r="I793" t="inlineStr">
        <is>
          <t>25.4-0-1.6-ERW 1-PE-2.58</t>
        </is>
      </c>
      <c r="J793" t="n">
        <v>2.58</v>
      </c>
      <c r="K793" t="inlineStr">
        <is>
          <t>CTL</t>
        </is>
      </c>
    </row>
    <row r="794" hidden="1" s="584">
      <c r="A794" t="n">
        <v>3605861</v>
      </c>
      <c r="B794" t="inlineStr">
        <is>
          <t>TUB-O-N-AUT-AW-PE-25.40X1.630X2.5800</t>
        </is>
      </c>
      <c r="C794" t="n">
        <v>0.715</v>
      </c>
      <c r="D794" t="n">
        <v>789</v>
      </c>
      <c r="E794" t="inlineStr">
        <is>
          <t>Marathwada Auto Compo Pvt. Ltd.</t>
        </is>
      </c>
      <c r="F794" t="n">
        <v>1088</v>
      </c>
      <c r="G794" t="inlineStr">
        <is>
          <t>TVS</t>
        </is>
      </c>
      <c r="H794" t="inlineStr">
        <is>
          <t>25.4-0-1.6-ERW 1-PE</t>
        </is>
      </c>
      <c r="I794" t="inlineStr">
        <is>
          <t>25.4-0-1.6-ERW 1-PE-2.58</t>
        </is>
      </c>
      <c r="J794" t="n">
        <v>2.58</v>
      </c>
      <c r="K794" t="inlineStr">
        <is>
          <t>CTL</t>
        </is>
      </c>
    </row>
    <row r="795" hidden="1" s="584">
      <c r="A795" t="n">
        <v>3780004</v>
      </c>
      <c r="B795" t="inlineStr">
        <is>
          <t>TUB-R-AW-AUT-50.00X30.00X1.600X0.6070</t>
        </is>
      </c>
      <c r="C795" t="n">
        <v>0.075761</v>
      </c>
      <c r="D795" t="n">
        <v>789</v>
      </c>
      <c r="E795" t="inlineStr">
        <is>
          <t>Sandhar EngineeringPvt.Ltd.(KA)-Uni</t>
        </is>
      </c>
      <c r="F795" t="n">
        <v>932</v>
      </c>
      <c r="G795" t="inlineStr">
        <is>
          <t>TVS</t>
        </is>
      </c>
      <c r="H795" t="inlineStr">
        <is>
          <t>50-30-1.6-ERW 2-FC</t>
        </is>
      </c>
      <c r="I795" t="inlineStr">
        <is>
          <t>50-30-1.6-ERW 2-FC-0.607</t>
        </is>
      </c>
      <c r="J795" t="n">
        <v>0.607</v>
      </c>
      <c r="K795" t="inlineStr">
        <is>
          <t>CTL</t>
        </is>
      </c>
    </row>
    <row r="796" hidden="1" s="584">
      <c r="A796" t="n">
        <v>3863819</v>
      </c>
      <c r="B796" t="inlineStr">
        <is>
          <t>CUT-O-N-AUT-AW-FC-25.40X2.000X0.4120</t>
        </is>
      </c>
      <c r="C796" t="n">
        <v>1.279</v>
      </c>
      <c r="D796" t="n">
        <v>789</v>
      </c>
      <c r="E796" t="inlineStr">
        <is>
          <t>Neel Metal Products Limited</t>
        </is>
      </c>
      <c r="F796" t="n">
        <v>945</v>
      </c>
      <c r="G796" t="inlineStr">
        <is>
          <t>TVS</t>
        </is>
      </c>
      <c r="H796" t="inlineStr">
        <is>
          <t>25.4-0-2-ERW 1-FC</t>
        </is>
      </c>
      <c r="I796" t="inlineStr">
        <is>
          <t>25.4-0-2-ERW 1-FC-0.412</t>
        </is>
      </c>
      <c r="J796" t="n">
        <v>0.412</v>
      </c>
      <c r="K796" t="inlineStr">
        <is>
          <t>CTL</t>
        </is>
      </c>
    </row>
    <row r="797" hidden="1" s="584">
      <c r="A797" t="n">
        <v>3863819</v>
      </c>
      <c r="B797" t="inlineStr">
        <is>
          <t>CUT-O-N-AUT-AW-FC-25.40X2.000X0.4120</t>
        </is>
      </c>
      <c r="C797" t="n">
        <v>0.5929450000000001</v>
      </c>
      <c r="D797" t="n">
        <v>4731</v>
      </c>
      <c r="E797" t="inlineStr">
        <is>
          <t>Neel Metal Products Limited</t>
        </is>
      </c>
      <c r="F797" t="n">
        <v>1863</v>
      </c>
      <c r="G797" t="inlineStr">
        <is>
          <t>TVS</t>
        </is>
      </c>
      <c r="H797" t="inlineStr">
        <is>
          <t>25.4-0-2-ERW 1-FC</t>
        </is>
      </c>
      <c r="I797" t="inlineStr">
        <is>
          <t>25.4-0-2-ERW 1-FC-0.412</t>
        </is>
      </c>
      <c r="J797" t="n">
        <v>0.412</v>
      </c>
      <c r="K797" t="inlineStr">
        <is>
          <t>CTL</t>
        </is>
      </c>
    </row>
    <row r="798" hidden="1" s="584">
      <c r="A798" t="n">
        <v>3863819</v>
      </c>
      <c r="B798" t="inlineStr">
        <is>
          <t>CUT-O-N-AUT-AW-FC-25.40X2.000X0.4120</t>
        </is>
      </c>
      <c r="C798" t="n">
        <v>0.7798529999999998</v>
      </c>
      <c r="D798" t="n">
        <v>4731</v>
      </c>
      <c r="E798" t="inlineStr">
        <is>
          <t>Neel Metal Products Limited</t>
        </is>
      </c>
      <c r="F798" t="n">
        <v>1864</v>
      </c>
      <c r="G798" t="inlineStr">
        <is>
          <t>TVS</t>
        </is>
      </c>
      <c r="H798" t="inlineStr">
        <is>
          <t>25.4-0-2-ERW 1-FC</t>
        </is>
      </c>
      <c r="I798" t="inlineStr">
        <is>
          <t>25.4-0-2-ERW 1-FC-0.412</t>
        </is>
      </c>
      <c r="J798" t="n">
        <v>0.412</v>
      </c>
      <c r="K798" t="inlineStr">
        <is>
          <t>CTL</t>
        </is>
      </c>
    </row>
    <row r="799" hidden="1" s="584">
      <c r="A799" t="n">
        <v>3568328</v>
      </c>
      <c r="B799" t="inlineStr">
        <is>
          <t>TUB-O-N-AUT-AW-FC-22.20X2.000X5.3900</t>
        </is>
      </c>
      <c r="C799" t="n">
        <v>0.503206</v>
      </c>
      <c r="D799" t="n">
        <v>4731</v>
      </c>
      <c r="E799" t="inlineStr">
        <is>
          <t>Rajsriya Automotive Ind Pvt Ltd.</t>
        </is>
      </c>
      <c r="F799" t="n">
        <v>1680</v>
      </c>
      <c r="G799" t="inlineStr">
        <is>
          <t>TVS</t>
        </is>
      </c>
      <c r="H799" t="inlineStr">
        <is>
          <t>22.23-0-2-ERW 1-FC</t>
        </is>
      </c>
      <c r="I799" t="inlineStr">
        <is>
          <t>22.23-0-2-ERW 1-FC-1</t>
        </is>
      </c>
      <c r="J799" t="n">
        <v>5.39</v>
      </c>
      <c r="K799" t="inlineStr">
        <is>
          <t>LL</t>
        </is>
      </c>
    </row>
    <row r="800" hidden="1" s="584">
      <c r="A800" t="n">
        <v>3568328</v>
      </c>
      <c r="B800" t="inlineStr">
        <is>
          <t>TUB-O-N-AUT-AW-FC-22.20X2.000X5.3900</t>
        </is>
      </c>
      <c r="C800" t="n">
        <v>2.204538</v>
      </c>
      <c r="D800" t="n">
        <v>4731</v>
      </c>
      <c r="E800" t="inlineStr">
        <is>
          <t>Rajsriya Automotive Ind Pvt Ltd.</t>
        </is>
      </c>
      <c r="F800" t="n">
        <v>1681</v>
      </c>
      <c r="G800" t="inlineStr">
        <is>
          <t>TVS</t>
        </is>
      </c>
      <c r="H800" t="inlineStr">
        <is>
          <t>22.23-0-2-ERW 1-FC</t>
        </is>
      </c>
      <c r="I800" t="inlineStr">
        <is>
          <t>22.23-0-2-ERW 1-FC-1</t>
        </is>
      </c>
      <c r="J800" t="n">
        <v>5.39</v>
      </c>
      <c r="K800" t="inlineStr">
        <is>
          <t>LL</t>
        </is>
      </c>
    </row>
    <row r="801" hidden="1" s="584">
      <c r="A801" t="n">
        <v>3568328</v>
      </c>
      <c r="B801" t="inlineStr">
        <is>
          <t>TUB-O-N-AUT-AW-FC-22.20X2.000X5.3900</t>
        </is>
      </c>
      <c r="C801" t="n">
        <v>2.204538</v>
      </c>
      <c r="D801" t="n">
        <v>4731</v>
      </c>
      <c r="E801" t="inlineStr">
        <is>
          <t>Rajsriya Automotive Ind Pvt Ltd.</t>
        </is>
      </c>
      <c r="F801" t="n">
        <v>1682</v>
      </c>
      <c r="G801" t="inlineStr">
        <is>
          <t>TVS</t>
        </is>
      </c>
      <c r="H801" t="inlineStr">
        <is>
          <t>22.23-0-2-ERW 1-FC</t>
        </is>
      </c>
      <c r="I801" t="inlineStr">
        <is>
          <t>22.23-0-2-ERW 1-FC-1</t>
        </is>
      </c>
      <c r="J801" t="n">
        <v>5.39</v>
      </c>
      <c r="K801" t="inlineStr">
        <is>
          <t>LL</t>
        </is>
      </c>
    </row>
    <row r="802" hidden="1" s="584">
      <c r="A802" t="n">
        <v>3568328</v>
      </c>
      <c r="B802" t="inlineStr">
        <is>
          <t>TUB-O-N-AUT-AW-FC-22.20X2.000X5.3900</t>
        </is>
      </c>
      <c r="C802" t="n">
        <v>0.5196409999999999</v>
      </c>
      <c r="D802" t="n">
        <v>4731</v>
      </c>
      <c r="E802" t="inlineStr">
        <is>
          <t>Rajsriya Automotive Ind Pvt Ltd.</t>
        </is>
      </c>
      <c r="F802" t="n">
        <v>1683</v>
      </c>
      <c r="G802" t="inlineStr">
        <is>
          <t>TVS</t>
        </is>
      </c>
      <c r="H802" t="inlineStr">
        <is>
          <t>22.23-0-2-ERW 1-FC</t>
        </is>
      </c>
      <c r="I802" t="inlineStr">
        <is>
          <t>22.23-0-2-ERW 1-FC-1</t>
        </is>
      </c>
      <c r="J802" t="n">
        <v>5.39</v>
      </c>
      <c r="K802" t="inlineStr">
        <is>
          <t>LL</t>
        </is>
      </c>
    </row>
    <row r="803" hidden="1" s="584">
      <c r="A803" t="n">
        <v>3568328</v>
      </c>
      <c r="B803" t="inlineStr">
        <is>
          <t>TUB-O-N-AUT-AW-FC-22.20X2.000X5.3900</t>
        </is>
      </c>
      <c r="C803" t="n">
        <v>2.204538</v>
      </c>
      <c r="D803" t="n">
        <v>4731</v>
      </c>
      <c r="E803" t="inlineStr">
        <is>
          <t>Rajsriya Automotive Ind Pvt Ltd.</t>
        </is>
      </c>
      <c r="F803" t="n">
        <v>1684</v>
      </c>
      <c r="G803" t="inlineStr">
        <is>
          <t>TVS</t>
        </is>
      </c>
      <c r="H803" t="inlineStr">
        <is>
          <t>22.23-0-2-ERW 1-FC</t>
        </is>
      </c>
      <c r="I803" t="inlineStr">
        <is>
          <t>22.23-0-2-ERW 1-FC-1</t>
        </is>
      </c>
      <c r="J803" t="n">
        <v>5.39</v>
      </c>
      <c r="K803" t="inlineStr">
        <is>
          <t>LL</t>
        </is>
      </c>
    </row>
    <row r="804" hidden="1" s="584">
      <c r="A804" t="n">
        <v>3938685</v>
      </c>
      <c r="B804" t="inlineStr">
        <is>
          <t>TUB-S-AW-AUT-40.00X40.00X1.200X0.085</t>
        </is>
      </c>
      <c r="C804" t="n">
        <v>0.0086</v>
      </c>
      <c r="D804" t="n">
        <v>789</v>
      </c>
      <c r="E804" t="inlineStr">
        <is>
          <t>Sri Balaji Gears</t>
        </is>
      </c>
      <c r="F804" t="n">
        <v>948</v>
      </c>
      <c r="G804" t="inlineStr">
        <is>
          <t>TVS</t>
        </is>
      </c>
      <c r="H804" t="inlineStr">
        <is>
          <t>40-40-1.2-CRFH-PE</t>
        </is>
      </c>
      <c r="I804" t="inlineStr">
        <is>
          <t>40-40-1.2-CRFH-PE-0.085</t>
        </is>
      </c>
      <c r="J804" t="n">
        <v>0.08500000000000001</v>
      </c>
      <c r="K804" t="inlineStr">
        <is>
          <t>CTL</t>
        </is>
      </c>
    </row>
    <row r="805" hidden="1" s="584">
      <c r="A805" t="n">
        <v>3905466</v>
      </c>
      <c r="B805" t="inlineStr">
        <is>
          <t>TUB-O-N-AUT-AW-PE-22.20X2.000X5.9510</t>
        </is>
      </c>
      <c r="C805" t="n">
        <v>0.126915</v>
      </c>
      <c r="D805" t="n">
        <v>4731</v>
      </c>
      <c r="E805" t="inlineStr">
        <is>
          <t>SRIKAM HITECH ENGINEERING PRIVATE L</t>
        </is>
      </c>
      <c r="F805" t="n">
        <v>1868</v>
      </c>
      <c r="G805" t="inlineStr">
        <is>
          <t>TVS</t>
        </is>
      </c>
      <c r="H805" t="inlineStr">
        <is>
          <t>22.23-0-2-ERW 1-PE</t>
        </is>
      </c>
      <c r="I805" t="inlineStr">
        <is>
          <t>22.23-0-2-ERW 1-PE-1</t>
        </is>
      </c>
      <c r="J805" t="n">
        <v>5.951</v>
      </c>
      <c r="K805" t="inlineStr">
        <is>
          <t>LL</t>
        </is>
      </c>
    </row>
    <row r="806" hidden="1" s="584">
      <c r="A806" t="n">
        <v>3905466</v>
      </c>
      <c r="B806" t="inlineStr">
        <is>
          <t>TUB-O-N-AUT-AW-PE-22.20X2.000X5.9510</t>
        </is>
      </c>
      <c r="C806" t="n">
        <v>0.84375</v>
      </c>
      <c r="D806" t="n">
        <v>4731</v>
      </c>
      <c r="E806" t="inlineStr">
        <is>
          <t>SRIKAM HITECH ENGINEERING PRIVATE L</t>
        </is>
      </c>
      <c r="F806" t="n">
        <v>1869</v>
      </c>
      <c r="G806" t="inlineStr">
        <is>
          <t>TVS</t>
        </is>
      </c>
      <c r="H806" t="inlineStr">
        <is>
          <t>22.23-0-2-ERW 1-PE</t>
        </is>
      </c>
      <c r="I806" t="inlineStr">
        <is>
          <t>22.23-0-2-ERW 1-PE-1</t>
        </is>
      </c>
      <c r="J806" t="n">
        <v>5.951</v>
      </c>
      <c r="K806" t="inlineStr">
        <is>
          <t>LL</t>
        </is>
      </c>
    </row>
    <row r="807" hidden="1" s="584">
      <c r="A807" t="n">
        <v>3905466</v>
      </c>
      <c r="B807" t="inlineStr">
        <is>
          <t>TUB-O-N-AUT-AW-PE-22.20X2.000X5.9510</t>
        </is>
      </c>
      <c r="C807" t="n">
        <v>0.09851900000000001</v>
      </c>
      <c r="D807" t="n">
        <v>4731</v>
      </c>
      <c r="E807" t="inlineStr">
        <is>
          <t>SRIKAM HITECH ENGINEERING PRIVATE L</t>
        </is>
      </c>
      <c r="F807" t="n">
        <v>1870</v>
      </c>
      <c r="G807" t="inlineStr">
        <is>
          <t>TVS</t>
        </is>
      </c>
      <c r="H807" t="inlineStr">
        <is>
          <t>22.23-0-2-ERW 1-PE</t>
        </is>
      </c>
      <c r="I807" t="inlineStr">
        <is>
          <t>22.23-0-2-ERW 1-PE-1</t>
        </is>
      </c>
      <c r="J807" t="n">
        <v>5.951</v>
      </c>
      <c r="K807" t="inlineStr">
        <is>
          <t>LL</t>
        </is>
      </c>
    </row>
    <row r="808" hidden="1" s="584">
      <c r="A808" t="n">
        <v>1940437</v>
      </c>
      <c r="B808" t="inlineStr">
        <is>
          <t>TUB-O-O-AUT-AW-PE-22.23X2.000X0.3940</t>
        </is>
      </c>
      <c r="C808" t="n">
        <v>0.002348</v>
      </c>
      <c r="D808" t="n">
        <v>789</v>
      </c>
      <c r="E808" t="inlineStr">
        <is>
          <t>SANDHAR ENGINEERING PVT LTD.(KA) -U</t>
        </is>
      </c>
      <c r="F808" t="n">
        <v>952</v>
      </c>
      <c r="G808" t="inlineStr">
        <is>
          <t>TVS</t>
        </is>
      </c>
      <c r="H808" t="inlineStr">
        <is>
          <t>22.23-0-2-ERW 1-PE</t>
        </is>
      </c>
      <c r="I808" t="inlineStr">
        <is>
          <t>22.23-0-2-ERW 1-PE-0.394</t>
        </is>
      </c>
      <c r="J808" t="n">
        <v>0.394</v>
      </c>
      <c r="K808" t="inlineStr">
        <is>
          <t>CTL</t>
        </is>
      </c>
    </row>
    <row r="809" hidden="1" s="584">
      <c r="A809" t="n">
        <v>1940498</v>
      </c>
      <c r="B809" t="inlineStr">
        <is>
          <t>TUB-O-O-AUT-AW-PE-22.23X2.300X0.2810</t>
        </is>
      </c>
      <c r="C809" t="n">
        <v>0.097694</v>
      </c>
      <c r="D809" t="n">
        <v>789</v>
      </c>
      <c r="E809" t="inlineStr">
        <is>
          <t>SRIKAM HITECH ENGINEERING PRIVATE L</t>
        </is>
      </c>
      <c r="F809" t="n">
        <v>953</v>
      </c>
      <c r="G809" t="inlineStr">
        <is>
          <t>TVS</t>
        </is>
      </c>
      <c r="H809" t="inlineStr">
        <is>
          <t>22.23-0-2.3-ERW 1-PE</t>
        </is>
      </c>
      <c r="I809" t="inlineStr">
        <is>
          <t>22.23-0-2.3-ERW 1-PE-0.281</t>
        </is>
      </c>
      <c r="J809" t="n">
        <v>0.281</v>
      </c>
      <c r="K809" t="inlineStr">
        <is>
          <t>CTL</t>
        </is>
      </c>
    </row>
    <row r="810" hidden="1" s="584">
      <c r="A810" t="n">
        <v>3572043</v>
      </c>
      <c r="B810" t="inlineStr">
        <is>
          <t>TUB-S-AW-AUT-25.00X25.00X1.200X0.6420</t>
        </is>
      </c>
      <c r="C810" t="n">
        <v>0.012</v>
      </c>
      <c r="D810" t="n">
        <v>789</v>
      </c>
      <c r="E810" t="inlineStr">
        <is>
          <t>Sri Balaji Gears</t>
        </is>
      </c>
      <c r="F810" t="n">
        <v>963</v>
      </c>
      <c r="G810" t="inlineStr">
        <is>
          <t>TVS</t>
        </is>
      </c>
      <c r="H810" t="inlineStr">
        <is>
          <t>25-25-1.2-CRFH-PE</t>
        </is>
      </c>
      <c r="I810" t="inlineStr">
        <is>
          <t>25-25-1.2-CRFH-PE-0.642</t>
        </is>
      </c>
      <c r="J810" t="n">
        <v>0.642</v>
      </c>
      <c r="K810" t="inlineStr">
        <is>
          <t>CTL</t>
        </is>
      </c>
    </row>
    <row r="811" hidden="1" s="584">
      <c r="A811" t="n">
        <v>3572043</v>
      </c>
      <c r="B811" t="inlineStr">
        <is>
          <t>TUB-S-AW-AUT-25.00X25.00X1.200X0.6420</t>
        </is>
      </c>
      <c r="C811" t="n">
        <v>0.015</v>
      </c>
      <c r="D811" t="n">
        <v>789</v>
      </c>
      <c r="E811" t="inlineStr">
        <is>
          <t>Sri Balaji Gears</t>
        </is>
      </c>
      <c r="F811" t="n">
        <v>964</v>
      </c>
      <c r="G811" t="inlineStr">
        <is>
          <t>TVS</t>
        </is>
      </c>
      <c r="H811" t="inlineStr">
        <is>
          <t>25-25-1.2-CRFH-PE</t>
        </is>
      </c>
      <c r="I811" t="inlineStr">
        <is>
          <t>25-25-1.2-CRFH-PE-0.642</t>
        </is>
      </c>
      <c r="J811" t="n">
        <v>0.642</v>
      </c>
      <c r="K811" t="inlineStr">
        <is>
          <t>CTL</t>
        </is>
      </c>
    </row>
    <row r="812" hidden="1" s="584">
      <c r="A812" t="n">
        <v>3572043</v>
      </c>
      <c r="B812" t="inlineStr">
        <is>
          <t>TUB-S-AW-AUT-25.00X25.00X1.200X0.6420</t>
        </is>
      </c>
      <c r="C812" t="n">
        <v>0.45248</v>
      </c>
      <c r="D812" t="n">
        <v>789</v>
      </c>
      <c r="E812" t="inlineStr">
        <is>
          <t>Sri Balaji Gears</t>
        </is>
      </c>
      <c r="F812" t="n">
        <v>965</v>
      </c>
      <c r="G812" t="inlineStr">
        <is>
          <t>TVS</t>
        </is>
      </c>
      <c r="H812" t="inlineStr">
        <is>
          <t>25-25-1.2-CRFH-PE</t>
        </is>
      </c>
      <c r="I812" t="inlineStr">
        <is>
          <t>25-25-1.2-CRFH-PE-0.642</t>
        </is>
      </c>
      <c r="J812" t="n">
        <v>0.642</v>
      </c>
      <c r="K812" t="inlineStr">
        <is>
          <t>CTL</t>
        </is>
      </c>
    </row>
    <row r="813" hidden="1" s="584">
      <c r="A813" t="n">
        <v>3907863</v>
      </c>
      <c r="B813" t="inlineStr">
        <is>
          <t>TUB-O-N-AUT-AW-FC-57.15X2.500X5.7110</t>
        </is>
      </c>
      <c r="C813" t="n">
        <v>1.5</v>
      </c>
      <c r="D813" t="n">
        <v>789</v>
      </c>
      <c r="E813" t="inlineStr">
        <is>
          <t>MEGH STEELS PRIVATE LIMITED - TVS A</t>
        </is>
      </c>
      <c r="F813" t="n">
        <v>966</v>
      </c>
      <c r="G813" t="inlineStr">
        <is>
          <t>Direct</t>
        </is>
      </c>
      <c r="H813" t="inlineStr">
        <is>
          <t>57.15-0-2.5-ERW 1-FC</t>
        </is>
      </c>
      <c r="I813" t="inlineStr">
        <is>
          <t>57.15-0-2.5-ERW 1-FC-1</t>
        </is>
      </c>
      <c r="J813" t="n">
        <v>5.711</v>
      </c>
      <c r="K813" t="inlineStr">
        <is>
          <t>LL</t>
        </is>
      </c>
    </row>
    <row r="814" hidden="1" s="584">
      <c r="A814" t="n">
        <v>3907863</v>
      </c>
      <c r="B814" t="inlineStr">
        <is>
          <t>TUB-O-N-AUT-AW-FC-57.15X2.500X5.7110</t>
        </is>
      </c>
      <c r="C814" t="n">
        <v>1.28</v>
      </c>
      <c r="D814" t="n">
        <v>789</v>
      </c>
      <c r="E814" t="inlineStr">
        <is>
          <t>MEGH STEELS PRIVATE LIMITED - TVS A</t>
        </is>
      </c>
      <c r="F814" t="n">
        <v>967</v>
      </c>
      <c r="G814" t="inlineStr">
        <is>
          <t>Direct</t>
        </is>
      </c>
      <c r="H814" t="inlineStr">
        <is>
          <t>57.15-0-2.5-ERW 1-FC</t>
        </is>
      </c>
      <c r="I814" t="inlineStr">
        <is>
          <t>57.15-0-2.5-ERW 1-FC-1</t>
        </is>
      </c>
      <c r="J814" t="n">
        <v>5.711</v>
      </c>
      <c r="K814" t="inlineStr">
        <is>
          <t>LL</t>
        </is>
      </c>
    </row>
    <row r="815" hidden="1" s="584">
      <c r="A815" t="n">
        <v>3907863</v>
      </c>
      <c r="B815" t="inlineStr">
        <is>
          <t>TUB-O-N-AUT-AW-FC-57.15X2.500X5.7110</t>
        </is>
      </c>
      <c r="C815" t="n">
        <v>1.501</v>
      </c>
      <c r="D815" t="n">
        <v>789</v>
      </c>
      <c r="E815" t="inlineStr">
        <is>
          <t>MEGH STEELS PRIVATE LIMITED - TVS A</t>
        </is>
      </c>
      <c r="F815" t="n">
        <v>968</v>
      </c>
      <c r="G815" t="inlineStr">
        <is>
          <t>Direct</t>
        </is>
      </c>
      <c r="H815" t="inlineStr">
        <is>
          <t>57.15-0-2.5-ERW 1-FC</t>
        </is>
      </c>
      <c r="I815" t="inlineStr">
        <is>
          <t>57.15-0-2.5-ERW 1-FC-1</t>
        </is>
      </c>
      <c r="J815" t="n">
        <v>5.711</v>
      </c>
      <c r="K815" t="inlineStr">
        <is>
          <t>LL</t>
        </is>
      </c>
    </row>
    <row r="816" hidden="1" s="584">
      <c r="A816" t="n">
        <v>3907863</v>
      </c>
      <c r="B816" t="inlineStr">
        <is>
          <t>TUB-O-N-AUT-AW-FC-57.15X2.500X5.7110</t>
        </is>
      </c>
      <c r="C816" t="n">
        <v>1.501</v>
      </c>
      <c r="D816" t="n">
        <v>789</v>
      </c>
      <c r="E816" t="inlineStr">
        <is>
          <t>MEGH STEELS PRIVATE LIMITED - TVS A</t>
        </is>
      </c>
      <c r="F816" t="n">
        <v>969</v>
      </c>
      <c r="G816" t="inlineStr">
        <is>
          <t>Direct</t>
        </is>
      </c>
      <c r="H816" t="inlineStr">
        <is>
          <t>57.15-0-2.5-ERW 1-FC</t>
        </is>
      </c>
      <c r="I816" t="inlineStr">
        <is>
          <t>57.15-0-2.5-ERW 1-FC-1</t>
        </is>
      </c>
      <c r="J816" t="n">
        <v>5.711</v>
      </c>
      <c r="K816" t="inlineStr">
        <is>
          <t>LL</t>
        </is>
      </c>
    </row>
    <row r="817" hidden="1" s="584">
      <c r="A817" t="n">
        <v>3907863</v>
      </c>
      <c r="B817" t="inlineStr">
        <is>
          <t>TUB-O-N-AUT-AW-FC-57.15X2.500X5.7110</t>
        </is>
      </c>
      <c r="C817" t="n">
        <v>1.459</v>
      </c>
      <c r="D817" t="n">
        <v>789</v>
      </c>
      <c r="E817" t="inlineStr">
        <is>
          <t>MEGH STEELS PRIVATE LIMITED - TVS A</t>
        </is>
      </c>
      <c r="F817" t="n">
        <v>970</v>
      </c>
      <c r="G817" t="inlineStr">
        <is>
          <t>Direct</t>
        </is>
      </c>
      <c r="H817" t="inlineStr">
        <is>
          <t>57.15-0-2.5-ERW 1-FC</t>
        </is>
      </c>
      <c r="I817" t="inlineStr">
        <is>
          <t>57.15-0-2.5-ERW 1-FC-1</t>
        </is>
      </c>
      <c r="J817" t="n">
        <v>5.711</v>
      </c>
      <c r="K817" t="inlineStr">
        <is>
          <t>LL</t>
        </is>
      </c>
    </row>
    <row r="818" hidden="1" s="584">
      <c r="A818" t="n">
        <v>3907863</v>
      </c>
      <c r="B818" t="inlineStr">
        <is>
          <t>TUB-O-N-AUT-AW-FC-57.15X2.500X5.7110</t>
        </is>
      </c>
      <c r="C818" t="n">
        <v>0.025</v>
      </c>
      <c r="D818" t="n">
        <v>789</v>
      </c>
      <c r="E818" t="inlineStr">
        <is>
          <t>MEGH STEELS PRIVATE LIMITED - TVS A</t>
        </is>
      </c>
      <c r="F818" t="n">
        <v>971</v>
      </c>
      <c r="G818" t="inlineStr">
        <is>
          <t>Direct</t>
        </is>
      </c>
      <c r="H818" t="inlineStr">
        <is>
          <t>57.15-0-2.5-ERW 1-FC</t>
        </is>
      </c>
      <c r="I818" t="inlineStr">
        <is>
          <t>57.15-0-2.5-ERW 1-FC-1</t>
        </is>
      </c>
      <c r="J818" t="n">
        <v>5.711</v>
      </c>
      <c r="K818" t="inlineStr">
        <is>
          <t>LL</t>
        </is>
      </c>
    </row>
    <row r="819" hidden="1" s="584">
      <c r="A819" t="n">
        <v>3907863</v>
      </c>
      <c r="B819" t="inlineStr">
        <is>
          <t>TUB-O-N-AUT-AW-FC-57.15X2.500X5.7110</t>
        </is>
      </c>
      <c r="C819" t="n">
        <v>0.036</v>
      </c>
      <c r="D819" t="n">
        <v>789</v>
      </c>
      <c r="E819" t="inlineStr">
        <is>
          <t>MEGH STEELS PRIVATE LIMITED - TVS A</t>
        </is>
      </c>
      <c r="F819" t="n">
        <v>972</v>
      </c>
      <c r="G819" t="inlineStr">
        <is>
          <t>Direct</t>
        </is>
      </c>
      <c r="H819" t="inlineStr">
        <is>
          <t>57.15-0-2.5-ERW 1-FC</t>
        </is>
      </c>
      <c r="I819" t="inlineStr">
        <is>
          <t>57.15-0-2.5-ERW 1-FC-1</t>
        </is>
      </c>
      <c r="J819" t="n">
        <v>5.711</v>
      </c>
      <c r="K819" t="inlineStr">
        <is>
          <t>LL</t>
        </is>
      </c>
    </row>
    <row r="820" hidden="1" s="584">
      <c r="A820" t="n">
        <v>3907863</v>
      </c>
      <c r="B820" t="inlineStr">
        <is>
          <t>TUB-O-N-AUT-AW-FC-57.15X2.500X5.7110</t>
        </is>
      </c>
      <c r="C820" t="n">
        <v>0.31</v>
      </c>
      <c r="D820" t="n">
        <v>789</v>
      </c>
      <c r="E820" t="inlineStr">
        <is>
          <t>MEGH STEELS PRIVATE LIMITED - TVS A</t>
        </is>
      </c>
      <c r="F820" t="n">
        <v>998</v>
      </c>
      <c r="G820" t="inlineStr">
        <is>
          <t>Direct</t>
        </is>
      </c>
      <c r="H820" t="inlineStr">
        <is>
          <t>57.15-0-2.5-ERW 1-FC</t>
        </is>
      </c>
      <c r="I820" t="inlineStr">
        <is>
          <t>57.15-0-2.5-ERW 1-FC-1</t>
        </is>
      </c>
      <c r="J820" t="n">
        <v>5.711</v>
      </c>
      <c r="K820" t="inlineStr">
        <is>
          <t>LL</t>
        </is>
      </c>
    </row>
    <row r="821" hidden="1" s="584">
      <c r="A821" t="n">
        <v>3907863</v>
      </c>
      <c r="B821" t="inlineStr">
        <is>
          <t>TUB-O-N-AUT-AW-FC-57.15X2.500X5.7110</t>
        </is>
      </c>
      <c r="C821" t="n">
        <v>0.341</v>
      </c>
      <c r="D821" t="n">
        <v>789</v>
      </c>
      <c r="E821" t="inlineStr">
        <is>
          <t>MEGH STEELS PRIVATE LIMITED - TVS A</t>
        </is>
      </c>
      <c r="F821" t="n">
        <v>999</v>
      </c>
      <c r="G821" t="inlineStr">
        <is>
          <t>Direct</t>
        </is>
      </c>
      <c r="H821" t="inlineStr">
        <is>
          <t>57.15-0-2.5-ERW 1-FC</t>
        </is>
      </c>
      <c r="I821" t="inlineStr">
        <is>
          <t>57.15-0-2.5-ERW 1-FC-1</t>
        </is>
      </c>
      <c r="J821" t="n">
        <v>5.711</v>
      </c>
      <c r="K821" t="inlineStr">
        <is>
          <t>LL</t>
        </is>
      </c>
    </row>
    <row r="822" hidden="1" s="584">
      <c r="A822" t="n">
        <v>3907863</v>
      </c>
      <c r="B822" t="inlineStr">
        <is>
          <t>TUB-O-N-AUT-AW-FC-57.15X2.500X5.7110</t>
        </is>
      </c>
      <c r="C822" t="n">
        <v>1.367</v>
      </c>
      <c r="D822" t="n">
        <v>789</v>
      </c>
      <c r="E822" t="inlineStr">
        <is>
          <t>MEGH STEELS PRIVATE LIMITED - TVS A</t>
        </is>
      </c>
      <c r="F822" t="n">
        <v>1000</v>
      </c>
      <c r="G822" t="inlineStr">
        <is>
          <t>Direct</t>
        </is>
      </c>
      <c r="H822" t="inlineStr">
        <is>
          <t>57.15-0-2.5-ERW 1-FC</t>
        </is>
      </c>
      <c r="I822" t="inlineStr">
        <is>
          <t>57.15-0-2.5-ERW 1-FC-1</t>
        </is>
      </c>
      <c r="J822" t="n">
        <v>5.711</v>
      </c>
      <c r="K822" t="inlineStr">
        <is>
          <t>LL</t>
        </is>
      </c>
    </row>
    <row r="823" hidden="1" s="584">
      <c r="A823" t="n">
        <v>3907863</v>
      </c>
      <c r="B823" t="inlineStr">
        <is>
          <t>TUB-O-N-AUT-AW-FC-57.15X2.500X5.7110</t>
        </is>
      </c>
      <c r="C823" t="n">
        <v>0.02</v>
      </c>
      <c r="D823" t="n">
        <v>789</v>
      </c>
      <c r="E823" t="inlineStr">
        <is>
          <t>MEGH STEELS PRIVATE LIMITED - TVS A</t>
        </is>
      </c>
      <c r="F823" t="n">
        <v>1001</v>
      </c>
      <c r="G823" t="inlineStr">
        <is>
          <t>Direct</t>
        </is>
      </c>
      <c r="H823" t="inlineStr">
        <is>
          <t>57.15-0-2.5-ERW 1-FC</t>
        </is>
      </c>
      <c r="I823" t="inlineStr">
        <is>
          <t>57.15-0-2.5-ERW 1-FC-1</t>
        </is>
      </c>
      <c r="J823" t="n">
        <v>5.711</v>
      </c>
      <c r="K823" t="inlineStr">
        <is>
          <t>LL</t>
        </is>
      </c>
    </row>
    <row r="824" hidden="1" s="584">
      <c r="A824" t="n">
        <v>3907863</v>
      </c>
      <c r="B824" t="inlineStr">
        <is>
          <t>TUB-O-N-AUT-AW-FC-57.15X2.500X5.7110</t>
        </is>
      </c>
      <c r="C824" t="n">
        <v>1.5</v>
      </c>
      <c r="D824" t="n">
        <v>789</v>
      </c>
      <c r="E824" t="inlineStr">
        <is>
          <t>MEGH STEELS PRIVATE LIMITED - TVS A</t>
        </is>
      </c>
      <c r="F824" t="n">
        <v>1002</v>
      </c>
      <c r="G824" t="inlineStr">
        <is>
          <t>Direct</t>
        </is>
      </c>
      <c r="H824" t="inlineStr">
        <is>
          <t>57.15-0-2.5-ERW 1-FC</t>
        </is>
      </c>
      <c r="I824" t="inlineStr">
        <is>
          <t>57.15-0-2.5-ERW 1-FC-1</t>
        </is>
      </c>
      <c r="J824" t="n">
        <v>5.711</v>
      </c>
      <c r="K824" t="inlineStr">
        <is>
          <t>LL</t>
        </is>
      </c>
    </row>
    <row r="825" hidden="1" s="584">
      <c r="A825" t="n">
        <v>3907863</v>
      </c>
      <c r="B825" t="inlineStr">
        <is>
          <t>TUB-O-N-AUT-AW-FC-57.15X2.500X5.7110</t>
        </is>
      </c>
      <c r="C825" t="n">
        <v>1.496</v>
      </c>
      <c r="D825" t="n">
        <v>789</v>
      </c>
      <c r="E825" t="inlineStr">
        <is>
          <t>MEGH STEELS PRIVATE LIMITED - TVS A</t>
        </is>
      </c>
      <c r="F825" t="n">
        <v>1003</v>
      </c>
      <c r="G825" t="inlineStr">
        <is>
          <t>Direct</t>
        </is>
      </c>
      <c r="H825" t="inlineStr">
        <is>
          <t>57.15-0-2.5-ERW 1-FC</t>
        </is>
      </c>
      <c r="I825" t="inlineStr">
        <is>
          <t>57.15-0-2.5-ERW 1-FC-1</t>
        </is>
      </c>
      <c r="J825" t="n">
        <v>5.711</v>
      </c>
      <c r="K825" t="inlineStr">
        <is>
          <t>LL</t>
        </is>
      </c>
    </row>
    <row r="826" hidden="1" s="584">
      <c r="A826" t="n">
        <v>3907863</v>
      </c>
      <c r="B826" t="inlineStr">
        <is>
          <t>TUB-O-N-AUT-AW-FC-57.15X2.500X5.7110</t>
        </is>
      </c>
      <c r="C826" t="n">
        <v>0.392</v>
      </c>
      <c r="D826" t="n">
        <v>789</v>
      </c>
      <c r="E826" t="inlineStr">
        <is>
          <t>MEGH STEELS PRIVATE LIMITED - TVS A</t>
        </is>
      </c>
      <c r="F826" t="n">
        <v>1004</v>
      </c>
      <c r="G826" t="inlineStr">
        <is>
          <t>Direct</t>
        </is>
      </c>
      <c r="H826" t="inlineStr">
        <is>
          <t>57.15-0-2.5-ERW 1-FC</t>
        </is>
      </c>
      <c r="I826" t="inlineStr">
        <is>
          <t>57.15-0-2.5-ERW 1-FC-1</t>
        </is>
      </c>
      <c r="J826" t="n">
        <v>5.711</v>
      </c>
      <c r="K826" t="inlineStr">
        <is>
          <t>LL</t>
        </is>
      </c>
    </row>
    <row r="827" hidden="1" s="584">
      <c r="A827" t="n">
        <v>4095223</v>
      </c>
      <c r="B827" t="inlineStr">
        <is>
          <t>CUT-O-N-AUT-AW-PE-25.40X2.000X0.2900</t>
        </is>
      </c>
      <c r="C827" t="n">
        <v>0.00171</v>
      </c>
      <c r="D827" t="n">
        <v>789</v>
      </c>
      <c r="E827" t="inlineStr">
        <is>
          <t>Marathwada Auto Compo Pvt. Ltd.</t>
        </is>
      </c>
      <c r="F827" t="n">
        <v>973</v>
      </c>
      <c r="G827" t="inlineStr">
        <is>
          <t>TVS</t>
        </is>
      </c>
      <c r="H827" t="inlineStr">
        <is>
          <t>25.4-0-2-ERW 1-PE</t>
        </is>
      </c>
      <c r="I827" t="inlineStr">
        <is>
          <t>25.4-0-2-ERW 1-PE-0.29</t>
        </is>
      </c>
      <c r="J827" t="n">
        <v>0.29</v>
      </c>
      <c r="K827" t="inlineStr">
        <is>
          <t>CTL</t>
        </is>
      </c>
    </row>
    <row r="828" hidden="1" s="584">
      <c r="A828" t="n">
        <v>4229657</v>
      </c>
      <c r="B828" t="inlineStr">
        <is>
          <t>CUT-R-AW-RHS-40.00X25.00X1.600X0.6470</t>
        </is>
      </c>
      <c r="C828" t="n">
        <v>0.017989</v>
      </c>
      <c r="D828" t="n">
        <v>789</v>
      </c>
      <c r="E828" t="inlineStr">
        <is>
          <t>Rajsriya Automotive Industries(P)</t>
        </is>
      </c>
      <c r="F828" t="n">
        <v>976</v>
      </c>
      <c r="G828" t="inlineStr">
        <is>
          <t>TVS</t>
        </is>
      </c>
      <c r="H828" t="inlineStr">
        <is>
          <t>40-25-1.6-ERW 1-FC</t>
        </is>
      </c>
      <c r="I828" t="inlineStr">
        <is>
          <t>40-25-1.6-ERW 1-FC-0.647</t>
        </is>
      </c>
      <c r="J828" t="n">
        <v>0.647</v>
      </c>
      <c r="K828" t="inlineStr">
        <is>
          <t>CTL</t>
        </is>
      </c>
    </row>
    <row r="829" hidden="1" s="584">
      <c r="A829" t="n">
        <v>3629057</v>
      </c>
      <c r="B829" t="inlineStr">
        <is>
          <t>PT2-O-N-AUT-NR-PE-22.20X2.300X0.4270</t>
        </is>
      </c>
      <c r="C829" t="n">
        <v>0.07122100000000001</v>
      </c>
      <c r="D829" t="n">
        <v>4731</v>
      </c>
      <c r="E829" t="inlineStr">
        <is>
          <t>SRIKAM HITECH ENGINEERING PRIVATE L</t>
        </is>
      </c>
      <c r="F829" t="n">
        <v>1703</v>
      </c>
      <c r="G829" t="inlineStr">
        <is>
          <t>TVS</t>
        </is>
      </c>
      <c r="H829" t="inlineStr">
        <is>
          <t>22.23-0-2.3-ERW 1-PE</t>
        </is>
      </c>
      <c r="I829" t="inlineStr">
        <is>
          <t>22.23-0-2.3-ERW 1-PE-0.427</t>
        </is>
      </c>
      <c r="J829" t="n">
        <v>0.427</v>
      </c>
      <c r="K829" t="inlineStr">
        <is>
          <t>CTL</t>
        </is>
      </c>
    </row>
    <row r="830" hidden="1" s="584">
      <c r="A830" t="n">
        <v>1940472</v>
      </c>
      <c r="B830" t="inlineStr">
        <is>
          <t>TUB-O-O-AUT-AW-PE-22.23X2.000X0.8620</t>
        </is>
      </c>
      <c r="C830" t="n">
        <v>0.01082</v>
      </c>
      <c r="D830" t="n">
        <v>789</v>
      </c>
      <c r="E830" t="inlineStr">
        <is>
          <t>Rajsriya Automotive Industries</t>
        </is>
      </c>
      <c r="F830" t="n">
        <v>978</v>
      </c>
      <c r="G830" t="inlineStr">
        <is>
          <t>TVS</t>
        </is>
      </c>
      <c r="H830" t="inlineStr">
        <is>
          <t>22.23-0-2-ERW 1-PE</t>
        </is>
      </c>
      <c r="I830" t="inlineStr">
        <is>
          <t>22.23-0-2-ERW 1-PE-0.862</t>
        </is>
      </c>
      <c r="J830" t="n">
        <v>0.862</v>
      </c>
      <c r="K830" t="inlineStr">
        <is>
          <t>CTL</t>
        </is>
      </c>
    </row>
    <row r="831" hidden="1" s="584">
      <c r="A831" t="n">
        <v>3500367</v>
      </c>
      <c r="B831" t="inlineStr">
        <is>
          <t>TUB-O-N-AUT-AW-PE-22.20X2.30X6.220-ERW 1</t>
        </is>
      </c>
      <c r="C831" t="n">
        <v>0.9449160000000002</v>
      </c>
      <c r="D831" t="n">
        <v>4731</v>
      </c>
      <c r="E831" t="inlineStr">
        <is>
          <t>Rajsriya Automotive Ind Pvt Ltd.</t>
        </is>
      </c>
      <c r="F831" t="n">
        <v>1462</v>
      </c>
      <c r="G831" t="inlineStr">
        <is>
          <t>TVS</t>
        </is>
      </c>
      <c r="H831" t="inlineStr">
        <is>
          <t>22.23-0-2.3-ERW 1-PE</t>
        </is>
      </c>
      <c r="I831" t="inlineStr">
        <is>
          <t>22.23-0-2.3-ERW 1-PE-1</t>
        </is>
      </c>
      <c r="J831" t="n">
        <v>6.22</v>
      </c>
      <c r="K831" t="inlineStr">
        <is>
          <t>LL</t>
        </is>
      </c>
    </row>
    <row r="832" hidden="1" s="584">
      <c r="A832" t="n">
        <v>3500367</v>
      </c>
      <c r="B832" t="inlineStr">
        <is>
          <t>TUB-O-N-AUT-AW-PE-22.20X2.30X6.220-ERW 1</t>
        </is>
      </c>
      <c r="C832" t="n">
        <v>1.373482</v>
      </c>
      <c r="D832" t="n">
        <v>4731</v>
      </c>
      <c r="E832" t="inlineStr">
        <is>
          <t>Rajsriya Automotive Ind Pvt Ltd.</t>
        </is>
      </c>
      <c r="F832" t="n">
        <v>1463</v>
      </c>
      <c r="G832" t="inlineStr">
        <is>
          <t>TVS</t>
        </is>
      </c>
      <c r="H832" t="inlineStr">
        <is>
          <t>22.23-0-2.3-ERW 1-PE</t>
        </is>
      </c>
      <c r="I832" t="inlineStr">
        <is>
          <t>22.23-0-2.3-ERW 1-PE-1</t>
        </is>
      </c>
      <c r="J832" t="n">
        <v>6.22</v>
      </c>
      <c r="K832" t="inlineStr">
        <is>
          <t>LL</t>
        </is>
      </c>
    </row>
    <row r="833" hidden="1" s="584">
      <c r="A833" t="n">
        <v>3500367</v>
      </c>
      <c r="B833" t="inlineStr">
        <is>
          <t>TUB-O-N-AUT-AW-PE-22.20X2.30X6.220-ERW 1</t>
        </is>
      </c>
      <c r="C833" t="n">
        <v>0.681689</v>
      </c>
      <c r="D833" t="n">
        <v>4731</v>
      </c>
      <c r="E833" t="inlineStr">
        <is>
          <t>Rajsriya Automotive Ind Pvt Ltd.</t>
        </is>
      </c>
      <c r="F833" t="n">
        <v>1464</v>
      </c>
      <c r="G833" t="inlineStr">
        <is>
          <t>TVS</t>
        </is>
      </c>
      <c r="H833" t="inlineStr">
        <is>
          <t>22.23-0-2.3-ERW 1-PE</t>
        </is>
      </c>
      <c r="I833" t="inlineStr">
        <is>
          <t>22.23-0-2.3-ERW 1-PE-1</t>
        </is>
      </c>
      <c r="J833" t="n">
        <v>6.22</v>
      </c>
      <c r="K833" t="inlineStr">
        <is>
          <t>LL</t>
        </is>
      </c>
    </row>
    <row r="834" hidden="1" s="584">
      <c r="A834" t="n">
        <v>3500367</v>
      </c>
      <c r="B834" t="inlineStr">
        <is>
          <t>TUB-O-N-AUT-AW-PE-22.20X2.30X6.220-ERW 1</t>
        </is>
      </c>
      <c r="C834" t="n">
        <v>0.794252</v>
      </c>
      <c r="D834" t="n">
        <v>4731</v>
      </c>
      <c r="E834" t="inlineStr">
        <is>
          <t>Rajsriya Automotive Ind Pvt Ltd.</t>
        </is>
      </c>
      <c r="F834" t="n">
        <v>1465</v>
      </c>
      <c r="G834" t="inlineStr">
        <is>
          <t>TVS</t>
        </is>
      </c>
      <c r="H834" t="inlineStr">
        <is>
          <t>22.23-0-2.3-ERW 1-PE</t>
        </is>
      </c>
      <c r="I834" t="inlineStr">
        <is>
          <t>22.23-0-2.3-ERW 1-PE-1</t>
        </is>
      </c>
      <c r="J834" t="n">
        <v>6.22</v>
      </c>
      <c r="K834" t="inlineStr">
        <is>
          <t>LL</t>
        </is>
      </c>
    </row>
    <row r="835" hidden="1" s="584">
      <c r="A835" t="n">
        <v>3500367</v>
      </c>
      <c r="B835" t="inlineStr">
        <is>
          <t>TUB-O-N-AUT-AW-PE-22.20X2.30X6.220-ERW 1</t>
        </is>
      </c>
      <c r="C835" t="n">
        <v>0.089411</v>
      </c>
      <c r="D835" t="n">
        <v>4731</v>
      </c>
      <c r="E835" t="inlineStr">
        <is>
          <t>Rajsriya Automotive Ind Pvt Ltd.</t>
        </is>
      </c>
      <c r="F835" t="n">
        <v>1466</v>
      </c>
      <c r="G835" t="inlineStr">
        <is>
          <t>TVS</t>
        </is>
      </c>
      <c r="H835" t="inlineStr">
        <is>
          <t>22.23-0-2.3-ERW 1-PE</t>
        </is>
      </c>
      <c r="I835" t="inlineStr">
        <is>
          <t>22.23-0-2.3-ERW 1-PE-1</t>
        </is>
      </c>
      <c r="J835" t="n">
        <v>6.22</v>
      </c>
      <c r="K835" t="inlineStr">
        <is>
          <t>LL</t>
        </is>
      </c>
    </row>
    <row r="836" hidden="1" s="584">
      <c r="A836" t="n">
        <v>3500367</v>
      </c>
      <c r="B836" t="inlineStr">
        <is>
          <t>TUB-O-N-AUT-AW-PE-22.20X2.30X6.220-ERW 1</t>
        </is>
      </c>
      <c r="C836" t="n">
        <v>1.518615</v>
      </c>
      <c r="D836" t="n">
        <v>4731</v>
      </c>
      <c r="E836" t="inlineStr">
        <is>
          <t>Rajsriya Automotive Ind Pvt Ltd.</t>
        </is>
      </c>
      <c r="F836" t="n">
        <v>1467</v>
      </c>
      <c r="G836" t="inlineStr">
        <is>
          <t>TVS</t>
        </is>
      </c>
      <c r="H836" t="inlineStr">
        <is>
          <t>22.23-0-2.3-ERW 1-PE</t>
        </is>
      </c>
      <c r="I836" t="inlineStr">
        <is>
          <t>22.23-0-2.3-ERW 1-PE-1</t>
        </is>
      </c>
      <c r="J836" t="n">
        <v>6.22</v>
      </c>
      <c r="K836" t="inlineStr">
        <is>
          <t>LL</t>
        </is>
      </c>
    </row>
    <row r="837" hidden="1" s="584">
      <c r="A837" t="n">
        <v>3500367</v>
      </c>
      <c r="B837" t="inlineStr">
        <is>
          <t>TUB-O-N-AUT-AW-PE-22.20X2.30X6.220-ERW 1</t>
        </is>
      </c>
      <c r="C837" t="n">
        <v>1.347615</v>
      </c>
      <c r="D837" t="n">
        <v>4731</v>
      </c>
      <c r="E837" t="inlineStr">
        <is>
          <t>Rajsriya Automotive Ind Pvt Ltd.</t>
        </is>
      </c>
      <c r="F837" t="n">
        <v>1468</v>
      </c>
      <c r="G837" t="inlineStr">
        <is>
          <t>TVS</t>
        </is>
      </c>
      <c r="H837" t="inlineStr">
        <is>
          <t>22.23-0-2.3-ERW 1-PE</t>
        </is>
      </c>
      <c r="I837" t="inlineStr">
        <is>
          <t>22.23-0-2.3-ERW 1-PE-1</t>
        </is>
      </c>
      <c r="J837" t="n">
        <v>6.22</v>
      </c>
      <c r="K837" t="inlineStr">
        <is>
          <t>LL</t>
        </is>
      </c>
    </row>
    <row r="838" hidden="1" s="584">
      <c r="A838" t="n">
        <v>3500367</v>
      </c>
      <c r="B838" t="inlineStr">
        <is>
          <t>TUB-O-N-AUT-AW-PE-22.20X2.30X6.220-ERW 1</t>
        </is>
      </c>
      <c r="C838" t="n">
        <v>0.060994</v>
      </c>
      <c r="D838" t="n">
        <v>4731</v>
      </c>
      <c r="E838" t="inlineStr">
        <is>
          <t>Rajsriya Automotive Ind Pvt Ltd.</t>
        </is>
      </c>
      <c r="F838" t="n">
        <v>1469</v>
      </c>
      <c r="G838" t="inlineStr">
        <is>
          <t>TVS</t>
        </is>
      </c>
      <c r="H838" t="inlineStr">
        <is>
          <t>22.23-0-2.3-ERW 1-PE</t>
        </is>
      </c>
      <c r="I838" t="inlineStr">
        <is>
          <t>22.23-0-2.3-ERW 1-PE-1</t>
        </is>
      </c>
      <c r="J838" t="n">
        <v>6.22</v>
      </c>
      <c r="K838" t="inlineStr">
        <is>
          <t>LL</t>
        </is>
      </c>
    </row>
    <row r="839" hidden="1" s="584">
      <c r="A839" t="n">
        <v>3732180</v>
      </c>
      <c r="B839" t="inlineStr">
        <is>
          <t>TUB-O-O-AUT-AW-FC-25.40X1.600X0.2080</t>
        </is>
      </c>
      <c r="C839" t="n">
        <v>0.000186</v>
      </c>
      <c r="D839" t="n">
        <v>789</v>
      </c>
      <c r="E839" t="inlineStr">
        <is>
          <t>Metalman Auto Private Limited</t>
        </is>
      </c>
      <c r="F839" t="n">
        <v>992</v>
      </c>
      <c r="G839" t="inlineStr">
        <is>
          <t>TVS</t>
        </is>
      </c>
      <c r="H839" t="inlineStr">
        <is>
          <t>25.4-0-1.6-ERW 1-FC</t>
        </is>
      </c>
      <c r="I839" t="inlineStr">
        <is>
          <t>25.4-0-1.6-ERW 1-FC-0.208</t>
        </is>
      </c>
      <c r="J839" t="n">
        <v>0.208</v>
      </c>
      <c r="K839" t="inlineStr">
        <is>
          <t>CTL</t>
        </is>
      </c>
    </row>
    <row r="840" hidden="1" s="584">
      <c r="A840" t="n">
        <v>3732180</v>
      </c>
      <c r="B840" t="inlineStr">
        <is>
          <t>TUB-O-O-AUT-AW-FC-25.40X1.600X0.2080</t>
        </is>
      </c>
      <c r="C840" t="n">
        <v>0.000176</v>
      </c>
      <c r="D840" t="n">
        <v>789</v>
      </c>
      <c r="E840" t="inlineStr">
        <is>
          <t>Metalman Auto Private Limited</t>
        </is>
      </c>
      <c r="F840" t="n">
        <v>993</v>
      </c>
      <c r="G840" t="inlineStr">
        <is>
          <t>TVS</t>
        </is>
      </c>
      <c r="H840" t="inlineStr">
        <is>
          <t>25.4-0-1.6-ERW 1-FC</t>
        </is>
      </c>
      <c r="I840" t="inlineStr">
        <is>
          <t>25.4-0-1.6-ERW 1-FC-0.208</t>
        </is>
      </c>
      <c r="J840" t="n">
        <v>0.208</v>
      </c>
      <c r="K840" t="inlineStr">
        <is>
          <t>CTL</t>
        </is>
      </c>
    </row>
    <row r="841" hidden="1" s="584">
      <c r="A841" t="n">
        <v>3732180</v>
      </c>
      <c r="B841" t="inlineStr">
        <is>
          <t>TUB-O-O-AUT-AW-FC-25.40X1.600X0.2080</t>
        </is>
      </c>
      <c r="C841" t="n">
        <v>0.000175</v>
      </c>
      <c r="D841" t="n">
        <v>789</v>
      </c>
      <c r="E841" t="inlineStr">
        <is>
          <t>Metalman Auto Private Limited</t>
        </is>
      </c>
      <c r="F841" t="n">
        <v>994</v>
      </c>
      <c r="G841" t="inlineStr">
        <is>
          <t>TVS</t>
        </is>
      </c>
      <c r="H841" t="inlineStr">
        <is>
          <t>25.4-0-1.6-ERW 1-FC</t>
        </is>
      </c>
      <c r="I841" t="inlineStr">
        <is>
          <t>25.4-0-1.6-ERW 1-FC-0.208</t>
        </is>
      </c>
      <c r="J841" t="n">
        <v>0.208</v>
      </c>
      <c r="K841" t="inlineStr">
        <is>
          <t>CTL</t>
        </is>
      </c>
    </row>
    <row r="842" hidden="1" s="584">
      <c r="A842" t="n">
        <v>3732180</v>
      </c>
      <c r="B842" t="inlineStr">
        <is>
          <t>TUB-O-O-AUT-AW-FC-25.40X1.600X0.2080</t>
        </is>
      </c>
      <c r="C842" t="n">
        <v>0.000186</v>
      </c>
      <c r="D842" t="n">
        <v>789</v>
      </c>
      <c r="E842" t="inlineStr">
        <is>
          <t>Metalman Auto Private Limited</t>
        </is>
      </c>
      <c r="F842" t="n">
        <v>995</v>
      </c>
      <c r="G842" t="inlineStr">
        <is>
          <t>TVS</t>
        </is>
      </c>
      <c r="H842" t="inlineStr">
        <is>
          <t>25.4-0-1.6-ERW 1-FC</t>
        </is>
      </c>
      <c r="I842" t="inlineStr">
        <is>
          <t>25.4-0-1.6-ERW 1-FC-0.208</t>
        </is>
      </c>
      <c r="J842" t="n">
        <v>0.208</v>
      </c>
      <c r="K842" t="inlineStr">
        <is>
          <t>CTL</t>
        </is>
      </c>
    </row>
    <row r="843" hidden="1" s="584">
      <c r="A843" t="n">
        <v>3732180</v>
      </c>
      <c r="B843" t="inlineStr">
        <is>
          <t>TUB-O-O-AUT-AW-FC-25.40X1.600X0.2080</t>
        </is>
      </c>
      <c r="C843" t="n">
        <v>0.000175</v>
      </c>
      <c r="D843" t="n">
        <v>789</v>
      </c>
      <c r="E843" t="inlineStr">
        <is>
          <t>Metalman Auto Private Limited</t>
        </is>
      </c>
      <c r="F843" t="n">
        <v>996</v>
      </c>
      <c r="G843" t="inlineStr">
        <is>
          <t>TVS</t>
        </is>
      </c>
      <c r="H843" t="inlineStr">
        <is>
          <t>25.4-0-1.6-ERW 1-FC</t>
        </is>
      </c>
      <c r="I843" t="inlineStr">
        <is>
          <t>25.4-0-1.6-ERW 1-FC-0.208</t>
        </is>
      </c>
      <c r="J843" t="n">
        <v>0.208</v>
      </c>
      <c r="K843" t="inlineStr">
        <is>
          <t>CTL</t>
        </is>
      </c>
    </row>
    <row r="844" hidden="1" s="584">
      <c r="A844" t="n">
        <v>3732180</v>
      </c>
      <c r="B844" t="inlineStr">
        <is>
          <t>TUB-O-O-AUT-AW-FC-25.40X1.600X0.2080</t>
        </is>
      </c>
      <c r="C844" t="n">
        <v>0.000177</v>
      </c>
      <c r="D844" t="n">
        <v>789</v>
      </c>
      <c r="E844" t="inlineStr">
        <is>
          <t>Metalman Auto Private Limited</t>
        </is>
      </c>
      <c r="F844" t="n">
        <v>997</v>
      </c>
      <c r="G844" t="inlineStr">
        <is>
          <t>TVS</t>
        </is>
      </c>
      <c r="H844" t="inlineStr">
        <is>
          <t>25.4-0-1.6-ERW 1-FC</t>
        </is>
      </c>
      <c r="I844" t="inlineStr">
        <is>
          <t>25.4-0-1.6-ERW 1-FC-0.208</t>
        </is>
      </c>
      <c r="J844" t="n">
        <v>0.208</v>
      </c>
      <c r="K844" t="inlineStr">
        <is>
          <t>CTL</t>
        </is>
      </c>
    </row>
    <row r="845" hidden="1" s="584">
      <c r="A845" t="n">
        <v>3732180</v>
      </c>
      <c r="B845" t="inlineStr">
        <is>
          <t>TUB-O-O-AUT-AW-FC-25.40X1.600X0.2080</t>
        </is>
      </c>
      <c r="C845" t="n">
        <v>0.255422</v>
      </c>
      <c r="D845" t="n">
        <v>4731</v>
      </c>
      <c r="E845" t="inlineStr">
        <is>
          <t>Metalman Auto Private Limited</t>
        </is>
      </c>
      <c r="F845" t="n">
        <v>1774</v>
      </c>
      <c r="G845" t="inlineStr">
        <is>
          <t>TVS</t>
        </is>
      </c>
      <c r="H845" t="inlineStr">
        <is>
          <t>25.4-0-1.6-ERW 1-FC</t>
        </is>
      </c>
      <c r="I845" t="inlineStr">
        <is>
          <t>25.4-0-1.6-ERW 1-FC-0.208</t>
        </is>
      </c>
      <c r="J845" t="n">
        <v>0.208</v>
      </c>
      <c r="K845" t="inlineStr">
        <is>
          <t>CTL</t>
        </is>
      </c>
    </row>
    <row r="846" hidden="1" s="584">
      <c r="A846" t="n">
        <v>1940466</v>
      </c>
      <c r="B846" t="inlineStr">
        <is>
          <t>TUB-O-O-AUT-AW-PE-22.23X2.000X0.8090</t>
        </is>
      </c>
      <c r="C846" t="n">
        <v>0.247147</v>
      </c>
      <c r="D846" t="n">
        <v>789</v>
      </c>
      <c r="E846" t="inlineStr">
        <is>
          <t>Neel Metal Products Limited</t>
        </is>
      </c>
      <c r="F846" t="n">
        <v>1013</v>
      </c>
      <c r="G846" t="inlineStr">
        <is>
          <t>TVS</t>
        </is>
      </c>
      <c r="H846" t="inlineStr">
        <is>
          <t>22.23-0-2-ERW 1-PE</t>
        </is>
      </c>
      <c r="I846" t="inlineStr">
        <is>
          <t>22.23-0-2-ERW 1-PE-0.809</t>
        </is>
      </c>
      <c r="J846" t="n">
        <v>0.8090000000000001</v>
      </c>
      <c r="K846" t="inlineStr">
        <is>
          <t>CTL</t>
        </is>
      </c>
    </row>
    <row r="847" hidden="1" s="584">
      <c r="A847" t="n">
        <v>1940466</v>
      </c>
      <c r="B847" t="inlineStr">
        <is>
          <t>TUB-O-O-AUT-AW-PE-22.23X2.000X0.8090</t>
        </is>
      </c>
      <c r="C847" t="n">
        <v>1.534</v>
      </c>
      <c r="D847" t="n">
        <v>789</v>
      </c>
      <c r="E847" t="inlineStr">
        <is>
          <t>Neel Metal Products Limited</t>
        </is>
      </c>
      <c r="F847" t="n">
        <v>1014</v>
      </c>
      <c r="G847" t="inlineStr">
        <is>
          <t>TVS</t>
        </is>
      </c>
      <c r="H847" t="inlineStr">
        <is>
          <t>22.23-0-2-ERW 1-PE</t>
        </is>
      </c>
      <c r="I847" t="inlineStr">
        <is>
          <t>22.23-0-2-ERW 1-PE-0.809</t>
        </is>
      </c>
      <c r="J847" t="n">
        <v>0.8090000000000001</v>
      </c>
      <c r="K847" t="inlineStr">
        <is>
          <t>CTL</t>
        </is>
      </c>
    </row>
    <row r="848" hidden="1" s="584">
      <c r="A848" t="n">
        <v>1940466</v>
      </c>
      <c r="B848" t="inlineStr">
        <is>
          <t>TUB-O-O-AUT-AW-PE-22.23X2.000X0.8090</t>
        </is>
      </c>
      <c r="C848" t="n">
        <v>0.07468900000000001</v>
      </c>
      <c r="D848" t="n">
        <v>4731</v>
      </c>
      <c r="E848" t="inlineStr">
        <is>
          <t>Neel Metal Products Limited</t>
        </is>
      </c>
      <c r="F848" t="n">
        <v>1330</v>
      </c>
      <c r="G848" t="inlineStr">
        <is>
          <t>TVS</t>
        </is>
      </c>
      <c r="H848" t="inlineStr">
        <is>
          <t>22.23-0-2-ERW 1-PE</t>
        </is>
      </c>
      <c r="I848" t="inlineStr">
        <is>
          <t>22.23-0-2-ERW 1-PE-0.809</t>
        </is>
      </c>
      <c r="J848" t="n">
        <v>0.8090000000000001</v>
      </c>
      <c r="K848" t="inlineStr">
        <is>
          <t>CTL</t>
        </is>
      </c>
    </row>
    <row r="849" hidden="1" s="584">
      <c r="A849" t="n">
        <v>2270133</v>
      </c>
      <c r="B849" t="inlineStr">
        <is>
          <t>TUB-O-N-AUT-HR-PE-22.23X1.600X0.7000</t>
        </is>
      </c>
      <c r="C849" t="n">
        <v>0.00684</v>
      </c>
      <c r="D849" t="n">
        <v>789</v>
      </c>
      <c r="E849" t="inlineStr">
        <is>
          <t>SRIKAM HITECH ENGINEERING PRIVATE L</t>
        </is>
      </c>
      <c r="F849" t="n">
        <v>1188</v>
      </c>
      <c r="G849" t="inlineStr">
        <is>
          <t>TVS</t>
        </is>
      </c>
      <c r="H849" t="inlineStr">
        <is>
          <t>22.23-0-1.6-ERW 1-PE</t>
        </is>
      </c>
      <c r="I849" t="inlineStr">
        <is>
          <t>22.23-0-1.6-ERW 1-PE-0.7</t>
        </is>
      </c>
      <c r="J849" t="n">
        <v>0.7</v>
      </c>
      <c r="K849" t="inlineStr">
        <is>
          <t>CTL</t>
        </is>
      </c>
    </row>
    <row r="850" hidden="1" s="584">
      <c r="A850" t="n">
        <v>3673011</v>
      </c>
      <c r="B850" t="inlineStr">
        <is>
          <t>TUB-O-N-AUT-AW-PE-22.23X1.600X1.3040</t>
        </is>
      </c>
      <c r="C850" t="n">
        <v>0.126018</v>
      </c>
      <c r="D850" t="n">
        <v>789</v>
      </c>
      <c r="E850" t="inlineStr">
        <is>
          <t>SRIKAM HITECH ENGINEERING PRIVATE L</t>
        </is>
      </c>
      <c r="F850" t="n">
        <v>1247</v>
      </c>
      <c r="G850" t="inlineStr">
        <is>
          <t>TVS</t>
        </is>
      </c>
      <c r="H850" t="inlineStr">
        <is>
          <t>22.23-0-1.6-ERW 1-PE</t>
        </is>
      </c>
      <c r="I850" t="inlineStr">
        <is>
          <t>22.23-0-1.6-ERW 1-PE-1.304</t>
        </is>
      </c>
      <c r="J850" t="n">
        <v>1.304</v>
      </c>
      <c r="K850" t="inlineStr">
        <is>
          <t>CTL</t>
        </is>
      </c>
    </row>
    <row r="851" hidden="1" s="584">
      <c r="A851" t="n">
        <v>2349249</v>
      </c>
      <c r="B851" t="inlineStr">
        <is>
          <t>22.23X1.600X1.3380</t>
        </is>
      </c>
      <c r="C851" t="n">
        <v>0.01124</v>
      </c>
      <c r="D851" t="n">
        <v>789</v>
      </c>
      <c r="E851" t="inlineStr">
        <is>
          <t>SRIKAM HITECH ENGINEERING PRIVATE L</t>
        </is>
      </c>
      <c r="F851" t="n">
        <v>1255</v>
      </c>
      <c r="G851" t="inlineStr">
        <is>
          <t>TVS</t>
        </is>
      </c>
      <c r="H851" t="inlineStr">
        <is>
          <t>22.23-0-1.6-ERW 1-PE</t>
        </is>
      </c>
      <c r="I851" t="inlineStr">
        <is>
          <t>22.23-0-1.6-ERW 1-PE-1.338</t>
        </is>
      </c>
      <c r="J851" t="n">
        <v>1.338</v>
      </c>
      <c r="K851" t="inlineStr">
        <is>
          <t>CTL</t>
        </is>
      </c>
    </row>
    <row r="852" hidden="1" s="584">
      <c r="A852" t="n">
        <v>3715133</v>
      </c>
      <c r="B852" t="inlineStr">
        <is>
          <t>TUB-O-O-AUT-AW-FC-31.75X1.600X0.6580</t>
        </is>
      </c>
      <c r="C852" t="n">
        <v>0.013464</v>
      </c>
      <c r="D852" t="n">
        <v>789</v>
      </c>
      <c r="E852" t="inlineStr">
        <is>
          <t>SANDHAR ENGINEERING PVT LTD.(KA) -U</t>
        </is>
      </c>
      <c r="F852" t="n">
        <v>1106</v>
      </c>
      <c r="G852" t="inlineStr">
        <is>
          <t>TVS</t>
        </is>
      </c>
      <c r="H852" t="inlineStr">
        <is>
          <t>31.75-0-1.6-ERW 1-FC</t>
        </is>
      </c>
      <c r="I852" t="inlineStr">
        <is>
          <t>31.75-0-1.6-ERW 1-FC-0.658</t>
        </is>
      </c>
      <c r="J852" t="n">
        <v>0.658</v>
      </c>
      <c r="K852" t="inlineStr">
        <is>
          <t>CTL</t>
        </is>
      </c>
    </row>
    <row r="853" hidden="1" s="584">
      <c r="A853" t="n">
        <v>3935311</v>
      </c>
      <c r="B853" t="inlineStr">
        <is>
          <t>CUT-S-AW-AUT-25.00X25.00X1.200X1.2980</t>
        </is>
      </c>
      <c r="C853" t="n">
        <v>0.008045</v>
      </c>
      <c r="D853" t="n">
        <v>789</v>
      </c>
      <c r="E853" t="inlineStr">
        <is>
          <t>Marathwada Auto Compo Pvt. Ltd.</t>
        </is>
      </c>
      <c r="F853" t="n">
        <v>1108</v>
      </c>
      <c r="G853" t="inlineStr">
        <is>
          <t>TVS</t>
        </is>
      </c>
      <c r="H853" t="inlineStr">
        <is>
          <t>25-25-1.2-CRFH-PE</t>
        </is>
      </c>
      <c r="I853" t="inlineStr">
        <is>
          <t>25-25-1.2-CRFH-PE-1.298</t>
        </is>
      </c>
      <c r="J853" t="n">
        <v>1.298</v>
      </c>
      <c r="K853" t="inlineStr">
        <is>
          <t>CTL</t>
        </is>
      </c>
    </row>
    <row r="854" hidden="1" s="584">
      <c r="A854" t="n">
        <v>3935311</v>
      </c>
      <c r="B854" t="inlineStr">
        <is>
          <t>CUT-S-AW-AUT-25.00X25.00X1.200X1.2980</t>
        </is>
      </c>
      <c r="C854" t="n">
        <v>0.001187</v>
      </c>
      <c r="D854" t="n">
        <v>789</v>
      </c>
      <c r="E854" t="inlineStr">
        <is>
          <t>Marathwada Auto Compo Pvt. Ltd.</t>
        </is>
      </c>
      <c r="F854" t="n">
        <v>1109</v>
      </c>
      <c r="G854" t="inlineStr">
        <is>
          <t>TVS</t>
        </is>
      </c>
      <c r="H854" t="inlineStr">
        <is>
          <t>25-25-1.2-CRFH-PE</t>
        </is>
      </c>
      <c r="I854" t="inlineStr">
        <is>
          <t>25-25-1.2-CRFH-PE-1.298</t>
        </is>
      </c>
      <c r="J854" t="n">
        <v>1.298</v>
      </c>
      <c r="K854" t="inlineStr">
        <is>
          <t>CTL</t>
        </is>
      </c>
    </row>
    <row r="855" hidden="1" s="584">
      <c r="A855" t="n">
        <v>3935311</v>
      </c>
      <c r="B855" t="inlineStr">
        <is>
          <t>CUT-S-AW-AUT-25.00X25.00X1.200X1.2980</t>
        </is>
      </c>
      <c r="C855" t="n">
        <v>0.01255</v>
      </c>
      <c r="D855" t="n">
        <v>789</v>
      </c>
      <c r="E855" t="inlineStr">
        <is>
          <t>Marathwada Auto Compo Pvt. Ltd.</t>
        </is>
      </c>
      <c r="F855" t="n">
        <v>1110</v>
      </c>
      <c r="G855" t="inlineStr">
        <is>
          <t>TVS</t>
        </is>
      </c>
      <c r="H855" t="inlineStr">
        <is>
          <t>25-25-1.2-CRFH-PE</t>
        </is>
      </c>
      <c r="I855" t="inlineStr">
        <is>
          <t>25-25-1.2-CRFH-PE-1.298</t>
        </is>
      </c>
      <c r="J855" t="n">
        <v>1.298</v>
      </c>
      <c r="K855" t="inlineStr">
        <is>
          <t>CTL</t>
        </is>
      </c>
    </row>
    <row r="856" hidden="1" s="584">
      <c r="A856" t="n">
        <v>3935311</v>
      </c>
      <c r="B856" t="inlineStr">
        <is>
          <t>CUT-S-AW-AUT-25.00X25.00X1.200X1.2980</t>
        </is>
      </c>
      <c r="C856" t="n">
        <v>0.7517</v>
      </c>
      <c r="D856" t="n">
        <v>789</v>
      </c>
      <c r="E856" t="inlineStr">
        <is>
          <t>Marathwada Auto Compo Pvt. Ltd.</t>
        </is>
      </c>
      <c r="F856" t="n">
        <v>1111</v>
      </c>
      <c r="G856" t="inlineStr">
        <is>
          <t>TVS</t>
        </is>
      </c>
      <c r="H856" t="inlineStr">
        <is>
          <t>25-25-1.2-CRFH-PE</t>
        </is>
      </c>
      <c r="I856" t="inlineStr">
        <is>
          <t>25-25-1.2-CRFH-PE-1.298</t>
        </is>
      </c>
      <c r="J856" t="n">
        <v>1.298</v>
      </c>
      <c r="K856" t="inlineStr">
        <is>
          <t>CTL</t>
        </is>
      </c>
    </row>
    <row r="857" hidden="1" s="584">
      <c r="A857" t="n">
        <v>2331952</v>
      </c>
      <c r="B857" t="inlineStr">
        <is>
          <t>TUB-O-N-AUT-AW-PE-28.58X1.200X0.6100</t>
        </is>
      </c>
      <c r="C857" t="n">
        <v>0.015</v>
      </c>
      <c r="D857" t="n">
        <v>789</v>
      </c>
      <c r="E857" t="inlineStr">
        <is>
          <t>Neel Metal Products Limited</t>
        </is>
      </c>
      <c r="F857" t="n">
        <v>1126</v>
      </c>
      <c r="G857" t="inlineStr">
        <is>
          <t>TVS</t>
        </is>
      </c>
      <c r="H857" t="inlineStr">
        <is>
          <t>28.58-0-1.2-ERW 1-PE</t>
        </is>
      </c>
      <c r="I857" t="inlineStr">
        <is>
          <t>28.58-0-1.2-ERW 1-PE-0.61</t>
        </is>
      </c>
      <c r="J857" t="n">
        <v>0.61</v>
      </c>
      <c r="K857" t="inlineStr">
        <is>
          <t>CTL</t>
        </is>
      </c>
    </row>
    <row r="858" hidden="1" s="584">
      <c r="A858" t="n">
        <v>2331952</v>
      </c>
      <c r="B858" t="inlineStr">
        <is>
          <t>TUB-O-N-AUT-AW-PE-28.58X1.200X0.6100</t>
        </is>
      </c>
      <c r="C858" t="n">
        <v>0.14044</v>
      </c>
      <c r="D858" t="n">
        <v>789</v>
      </c>
      <c r="E858" t="inlineStr">
        <is>
          <t>Neel Metal Products Limited</t>
        </is>
      </c>
      <c r="F858" t="n">
        <v>1127</v>
      </c>
      <c r="G858" t="inlineStr">
        <is>
          <t>TVS</t>
        </is>
      </c>
      <c r="H858" t="inlineStr">
        <is>
          <t>28.58-0-1.2-ERW 1-PE</t>
        </is>
      </c>
      <c r="I858" t="inlineStr">
        <is>
          <t>28.58-0-1.2-ERW 1-PE-0.61</t>
        </is>
      </c>
      <c r="J858" t="n">
        <v>0.61</v>
      </c>
      <c r="K858" t="inlineStr">
        <is>
          <t>CTL</t>
        </is>
      </c>
    </row>
    <row r="859" hidden="1" s="584">
      <c r="A859" t="n">
        <v>2331952</v>
      </c>
      <c r="B859" t="inlineStr">
        <is>
          <t>TUB-O-N-AUT-AW-PE-28.58X1.200X0.6100</t>
        </is>
      </c>
      <c r="C859" t="n">
        <v>1.617</v>
      </c>
      <c r="D859" t="n">
        <v>789</v>
      </c>
      <c r="E859" t="inlineStr">
        <is>
          <t>Neel Metal Products Limited</t>
        </is>
      </c>
      <c r="F859" t="n">
        <v>1128</v>
      </c>
      <c r="G859" t="inlineStr">
        <is>
          <t>TVS</t>
        </is>
      </c>
      <c r="H859" t="inlineStr">
        <is>
          <t>28.58-0-1.2-ERW 1-PE</t>
        </is>
      </c>
      <c r="I859" t="inlineStr">
        <is>
          <t>28.58-0-1.2-ERW 1-PE-0.61</t>
        </is>
      </c>
      <c r="J859" t="n">
        <v>0.61</v>
      </c>
      <c r="K859" t="inlineStr">
        <is>
          <t>CTL</t>
        </is>
      </c>
    </row>
    <row r="860" hidden="1" s="584">
      <c r="A860" t="n">
        <v>3230482</v>
      </c>
      <c r="B860" t="inlineStr">
        <is>
          <t>TUB-S-AW-AUT-25.00X25.00X1.200X0.7870</t>
        </is>
      </c>
      <c r="C860" t="n">
        <v>0.201</v>
      </c>
      <c r="D860" t="n">
        <v>789</v>
      </c>
      <c r="E860" t="inlineStr">
        <is>
          <t>Marathwada Auto Compo Pvt. Ltd.</t>
        </is>
      </c>
      <c r="F860" t="n">
        <v>1129</v>
      </c>
      <c r="G860" t="inlineStr">
        <is>
          <t>TVS</t>
        </is>
      </c>
      <c r="H860" t="inlineStr">
        <is>
          <t>25-25-1.2-CRFH-PE</t>
        </is>
      </c>
      <c r="I860" t="inlineStr">
        <is>
          <t>25-25-1.2-CRFH-PE-0.787</t>
        </is>
      </c>
      <c r="J860" t="n">
        <v>0.787</v>
      </c>
      <c r="K860" t="inlineStr">
        <is>
          <t>CTL</t>
        </is>
      </c>
    </row>
    <row r="861" hidden="1" s="584">
      <c r="A861" t="n">
        <v>3230482</v>
      </c>
      <c r="B861" t="inlineStr">
        <is>
          <t>TUB-S-AW-AUT-25.00X25.00X1.200X0.7870</t>
        </is>
      </c>
      <c r="C861" t="n">
        <v>0.035</v>
      </c>
      <c r="D861" t="n">
        <v>789</v>
      </c>
      <c r="E861" t="inlineStr">
        <is>
          <t>Marathwada Auto Compo Pvt. Ltd.</t>
        </is>
      </c>
      <c r="F861" t="n">
        <v>1130</v>
      </c>
      <c r="G861" t="inlineStr">
        <is>
          <t>TVS</t>
        </is>
      </c>
      <c r="H861" t="inlineStr">
        <is>
          <t>25-25-1.2-CRFH-PE</t>
        </is>
      </c>
      <c r="I861" t="inlineStr">
        <is>
          <t>25-25-1.2-CRFH-PE-0.787</t>
        </is>
      </c>
      <c r="J861" t="n">
        <v>0.787</v>
      </c>
      <c r="K861" t="inlineStr">
        <is>
          <t>CTL</t>
        </is>
      </c>
    </row>
    <row r="862" hidden="1" s="584">
      <c r="A862" t="n">
        <v>3230482</v>
      </c>
      <c r="B862" t="inlineStr">
        <is>
          <t>TUB-S-AW-AUT-25.00X25.00X1.200X0.7870</t>
        </is>
      </c>
      <c r="C862" t="n">
        <v>0.0346</v>
      </c>
      <c r="D862" t="n">
        <v>789</v>
      </c>
      <c r="E862" t="inlineStr">
        <is>
          <t>Marathwada Auto Compo Pvt. Ltd.</t>
        </is>
      </c>
      <c r="F862" t="n">
        <v>1131</v>
      </c>
      <c r="G862" t="inlineStr">
        <is>
          <t>TVS</t>
        </is>
      </c>
      <c r="H862" t="inlineStr">
        <is>
          <t>25-25-1.2-CRFH-PE</t>
        </is>
      </c>
      <c r="I862" t="inlineStr">
        <is>
          <t>25-25-1.2-CRFH-PE-0.787</t>
        </is>
      </c>
      <c r="J862" t="n">
        <v>0.787</v>
      </c>
      <c r="K862" t="inlineStr">
        <is>
          <t>CTL</t>
        </is>
      </c>
    </row>
    <row r="863" hidden="1" s="584">
      <c r="A863" t="n">
        <v>3230482</v>
      </c>
      <c r="B863" t="inlineStr">
        <is>
          <t>TUB-S-AW-AUT-25.00X25.00X1.200X0.7870</t>
        </is>
      </c>
      <c r="C863" t="n">
        <v>0.007</v>
      </c>
      <c r="D863" t="n">
        <v>789</v>
      </c>
      <c r="E863" t="inlineStr">
        <is>
          <t>Marathwada Auto Compo Pvt. Ltd.</t>
        </is>
      </c>
      <c r="F863" t="n">
        <v>1132</v>
      </c>
      <c r="G863" t="inlineStr">
        <is>
          <t>TVS</t>
        </is>
      </c>
      <c r="H863" t="inlineStr">
        <is>
          <t>25-25-1.2-CRFH-PE</t>
        </is>
      </c>
      <c r="I863" t="inlineStr">
        <is>
          <t>25-25-1.2-CRFH-PE-0.787</t>
        </is>
      </c>
      <c r="J863" t="n">
        <v>0.787</v>
      </c>
      <c r="K863" t="inlineStr">
        <is>
          <t>CTL</t>
        </is>
      </c>
    </row>
    <row r="864" hidden="1" s="584">
      <c r="A864" t="n">
        <v>3230482</v>
      </c>
      <c r="B864" t="inlineStr">
        <is>
          <t>TUB-S-AW-AUT-25.00X25.00X1.200X0.7870</t>
        </is>
      </c>
      <c r="C864" t="n">
        <v>0.032552</v>
      </c>
      <c r="D864" t="n">
        <v>789</v>
      </c>
      <c r="E864" t="inlineStr">
        <is>
          <t>Marathwada Auto Compo Pvt. Ltd.</t>
        </is>
      </c>
      <c r="F864" t="n">
        <v>1133</v>
      </c>
      <c r="G864" t="inlineStr">
        <is>
          <t>TVS</t>
        </is>
      </c>
      <c r="H864" t="inlineStr">
        <is>
          <t>25-25-1.2-CRFH-PE</t>
        </is>
      </c>
      <c r="I864" t="inlineStr">
        <is>
          <t>25-25-1.2-CRFH-PE-0.787</t>
        </is>
      </c>
      <c r="J864" t="n">
        <v>0.787</v>
      </c>
      <c r="K864" t="inlineStr">
        <is>
          <t>CTL</t>
        </is>
      </c>
    </row>
    <row r="865" hidden="1" s="584">
      <c r="A865" t="n">
        <v>3230482</v>
      </c>
      <c r="B865" t="inlineStr">
        <is>
          <t>TUB-S-AW-AUT-25.00X25.00X1.200X0.7870</t>
        </is>
      </c>
      <c r="C865" t="n">
        <v>0.140488</v>
      </c>
      <c r="D865" t="n">
        <v>789</v>
      </c>
      <c r="E865" t="inlineStr">
        <is>
          <t>Marathwada Auto Compo Pvt. Ltd.</t>
        </is>
      </c>
      <c r="F865" t="n">
        <v>1134</v>
      </c>
      <c r="G865" t="inlineStr">
        <is>
          <t>TVS</t>
        </is>
      </c>
      <c r="H865" t="inlineStr">
        <is>
          <t>25-25-1.2-CRFH-PE</t>
        </is>
      </c>
      <c r="I865" t="inlineStr">
        <is>
          <t>25-25-1.2-CRFH-PE-0.787</t>
        </is>
      </c>
      <c r="J865" t="n">
        <v>0.787</v>
      </c>
      <c r="K865" t="inlineStr">
        <is>
          <t>CTL</t>
        </is>
      </c>
    </row>
    <row r="866" hidden="1" s="584">
      <c r="A866" t="n">
        <v>3230482</v>
      </c>
      <c r="B866" t="inlineStr">
        <is>
          <t>TUB-S-AW-AUT-25.00X25.00X1.200X0.7870</t>
        </is>
      </c>
      <c r="C866" t="n">
        <v>0.266488</v>
      </c>
      <c r="D866" t="n">
        <v>789</v>
      </c>
      <c r="E866" t="inlineStr">
        <is>
          <t>Marathwada Auto Compo Pvt. Ltd.</t>
        </is>
      </c>
      <c r="F866" t="n">
        <v>1135</v>
      </c>
      <c r="G866" t="inlineStr">
        <is>
          <t>TVS</t>
        </is>
      </c>
      <c r="H866" t="inlineStr">
        <is>
          <t>25-25-1.2-CRFH-PE</t>
        </is>
      </c>
      <c r="I866" t="inlineStr">
        <is>
          <t>25-25-1.2-CRFH-PE-0.787</t>
        </is>
      </c>
      <c r="J866" t="n">
        <v>0.787</v>
      </c>
      <c r="K866" t="inlineStr">
        <is>
          <t>CTL</t>
        </is>
      </c>
    </row>
    <row r="867" hidden="1" s="584">
      <c r="A867" t="n">
        <v>3910650</v>
      </c>
      <c r="B867" t="inlineStr">
        <is>
          <t>CUT-O-N-AUT-AS-FC-22.23X2.000X0.8550</t>
        </is>
      </c>
      <c r="C867" t="n">
        <v>0.165692</v>
      </c>
      <c r="D867" t="n">
        <v>4731</v>
      </c>
      <c r="E867" t="inlineStr">
        <is>
          <t>SANDHAR ENGINEERING PVT LTD.(KA) -U</t>
        </is>
      </c>
      <c r="F867" t="n">
        <v>1886</v>
      </c>
      <c r="G867" t="inlineStr">
        <is>
          <t>TVS</t>
        </is>
      </c>
      <c r="H867" t="inlineStr">
        <is>
          <t>22.23-0-2-ERW 2-FC</t>
        </is>
      </c>
      <c r="I867" t="inlineStr">
        <is>
          <t>22.23-0-2-ERW 2-FC-0.855</t>
        </is>
      </c>
      <c r="J867" t="n">
        <v>0.855</v>
      </c>
      <c r="K867" t="inlineStr">
        <is>
          <t>CTL</t>
        </is>
      </c>
    </row>
    <row r="868" hidden="1" s="584">
      <c r="A868" t="n">
        <v>3910650</v>
      </c>
      <c r="B868" t="inlineStr">
        <is>
          <t>CUT-O-N-AUT-AS-FC-22.23X2.000X0.8550</t>
        </is>
      </c>
      <c r="C868" t="n">
        <v>0.842787</v>
      </c>
      <c r="D868" t="n">
        <v>4731</v>
      </c>
      <c r="E868" t="inlineStr">
        <is>
          <t>SANDHAR ENGINEERING PVT LTD.(KA) -U</t>
        </is>
      </c>
      <c r="F868" t="n">
        <v>1887</v>
      </c>
      <c r="G868" t="inlineStr">
        <is>
          <t>TVS</t>
        </is>
      </c>
      <c r="H868" t="inlineStr">
        <is>
          <t>22.23-0-2-ERW 2-FC</t>
        </is>
      </c>
      <c r="I868" t="inlineStr">
        <is>
          <t>22.23-0-2-ERW 2-FC-0.855</t>
        </is>
      </c>
      <c r="J868" t="n">
        <v>0.855</v>
      </c>
      <c r="K868" t="inlineStr">
        <is>
          <t>CTL</t>
        </is>
      </c>
    </row>
    <row r="869" hidden="1" s="584">
      <c r="A869" t="n">
        <v>1940852</v>
      </c>
      <c r="B869" t="inlineStr">
        <is>
          <t>TUB-S-AW-SHS-40.00X40.00X1.200X6.0000</t>
        </is>
      </c>
      <c r="C869" t="n">
        <v>1.113</v>
      </c>
      <c r="D869" t="n">
        <v>789</v>
      </c>
      <c r="E869" t="inlineStr">
        <is>
          <t>Marathwada Auto Compo Pvt. Ltd.</t>
        </is>
      </c>
      <c r="F869" t="n">
        <v>1168</v>
      </c>
      <c r="G869" t="inlineStr">
        <is>
          <t>TVS</t>
        </is>
      </c>
      <c r="H869" t="inlineStr">
        <is>
          <t>40-40-1.2-CRFH-PE</t>
        </is>
      </c>
      <c r="I869" t="inlineStr">
        <is>
          <t>40-40-1.2-CRFH-PE-1</t>
        </is>
      </c>
      <c r="J869" t="n">
        <v>6</v>
      </c>
      <c r="K869" t="inlineStr">
        <is>
          <t>LL</t>
        </is>
      </c>
    </row>
    <row r="870" hidden="1" s="584">
      <c r="A870" t="n">
        <v>1940852</v>
      </c>
      <c r="B870" t="inlineStr">
        <is>
          <t>TUB-S-AW-SHS-40.00X40.00X1.200X6.0000</t>
        </is>
      </c>
      <c r="C870" t="n">
        <v>0.337949</v>
      </c>
      <c r="D870" t="n">
        <v>789</v>
      </c>
      <c r="E870" t="inlineStr">
        <is>
          <t>Marathwada Auto Compo Pvt. Ltd.</t>
        </is>
      </c>
      <c r="F870" t="n">
        <v>1169</v>
      </c>
      <c r="G870" t="inlineStr">
        <is>
          <t>TVS</t>
        </is>
      </c>
      <c r="H870" t="inlineStr">
        <is>
          <t>40-40-1.2-CRFH-PE</t>
        </is>
      </c>
      <c r="I870" t="inlineStr">
        <is>
          <t>40-40-1.2-CRFH-PE-1</t>
        </is>
      </c>
      <c r="J870" t="n">
        <v>6</v>
      </c>
      <c r="K870" t="inlineStr">
        <is>
          <t>LL</t>
        </is>
      </c>
    </row>
    <row r="871" hidden="1" s="584">
      <c r="A871" t="n">
        <v>1931535</v>
      </c>
      <c r="B871" t="inlineStr">
        <is>
          <t>TUB-O-N-GEN-AW-PE-22.23X2.000X6.0000</t>
        </is>
      </c>
      <c r="C871" t="n">
        <v>1.14</v>
      </c>
      <c r="D871" t="n">
        <v>4731</v>
      </c>
      <c r="E871" t="inlineStr">
        <is>
          <t>Rajsriya Automotive Ind Pvt Ltd.</t>
        </is>
      </c>
      <c r="F871" t="n">
        <v>1294</v>
      </c>
      <c r="G871" t="inlineStr">
        <is>
          <t>TVS</t>
        </is>
      </c>
      <c r="H871" t="inlineStr">
        <is>
          <t>22.23-0-2-ERW 1-PE</t>
        </is>
      </c>
      <c r="I871" t="inlineStr">
        <is>
          <t>22.23-0-2-ERW 1-PE-1</t>
        </is>
      </c>
      <c r="J871" t="n">
        <v>6</v>
      </c>
      <c r="K871" t="inlineStr">
        <is>
          <t>LL</t>
        </is>
      </c>
    </row>
    <row r="872" hidden="1" s="584">
      <c r="A872" t="n">
        <v>1931535</v>
      </c>
      <c r="B872" t="inlineStr">
        <is>
          <t>TUB-O-N-GEN-AW-PE-22.23X2.000X6.0000</t>
        </is>
      </c>
      <c r="C872" t="n">
        <v>1.1785</v>
      </c>
      <c r="D872" t="n">
        <v>4731</v>
      </c>
      <c r="E872" t="inlineStr">
        <is>
          <t>Rajsriya Automotive Ind Pvt Ltd.</t>
        </is>
      </c>
      <c r="F872" t="n">
        <v>1295</v>
      </c>
      <c r="G872" t="inlineStr">
        <is>
          <t>TVS</t>
        </is>
      </c>
      <c r="H872" t="inlineStr">
        <is>
          <t>22.23-0-2-ERW 1-PE</t>
        </is>
      </c>
      <c r="I872" t="inlineStr">
        <is>
          <t>22.23-0-2-ERW 1-PE-1</t>
        </is>
      </c>
      <c r="J872" t="n">
        <v>6</v>
      </c>
      <c r="K872" t="inlineStr">
        <is>
          <t>LL</t>
        </is>
      </c>
    </row>
    <row r="873" hidden="1" s="584">
      <c r="A873" t="n">
        <v>1931535</v>
      </c>
      <c r="B873" t="inlineStr">
        <is>
          <t>TUB-O-N-GEN-AW-PE-22.23X2.000X6.0000</t>
        </is>
      </c>
      <c r="C873" t="n">
        <v>0.414974</v>
      </c>
      <c r="D873" t="n">
        <v>4731</v>
      </c>
      <c r="E873" t="inlineStr">
        <is>
          <t>Rajsriya Automotive Ind Pvt Ltd.</t>
        </is>
      </c>
      <c r="F873" t="n">
        <v>1296</v>
      </c>
      <c r="G873" t="inlineStr">
        <is>
          <t>TVS</t>
        </is>
      </c>
      <c r="H873" t="inlineStr">
        <is>
          <t>22.23-0-2-ERW 1-PE</t>
        </is>
      </c>
      <c r="I873" t="inlineStr">
        <is>
          <t>22.23-0-2-ERW 1-PE-1</t>
        </is>
      </c>
      <c r="J873" t="n">
        <v>6</v>
      </c>
      <c r="K873" t="inlineStr">
        <is>
          <t>LL</t>
        </is>
      </c>
    </row>
    <row r="874" hidden="1" s="584">
      <c r="A874" t="n">
        <v>1931535</v>
      </c>
      <c r="B874" t="inlineStr">
        <is>
          <t>TUB-O-N-GEN-AW-PE-22.23X2.000X6.0000</t>
        </is>
      </c>
      <c r="C874" t="n">
        <v>1.568</v>
      </c>
      <c r="D874" t="n">
        <v>4731</v>
      </c>
      <c r="E874" t="inlineStr">
        <is>
          <t>Rajsriya Automotive Ind Pvt Ltd.</t>
        </is>
      </c>
      <c r="F874" t="n">
        <v>1297</v>
      </c>
      <c r="G874" t="inlineStr">
        <is>
          <t>TVS</t>
        </is>
      </c>
      <c r="H874" t="inlineStr">
        <is>
          <t>22.23-0-2-ERW 1-PE</t>
        </is>
      </c>
      <c r="I874" t="inlineStr">
        <is>
          <t>22.23-0-2-ERW 1-PE-1</t>
        </is>
      </c>
      <c r="J874" t="n">
        <v>6</v>
      </c>
      <c r="K874" t="inlineStr">
        <is>
          <t>LL</t>
        </is>
      </c>
    </row>
    <row r="875" hidden="1" s="584">
      <c r="A875" t="n">
        <v>1931535</v>
      </c>
      <c r="B875" t="inlineStr">
        <is>
          <t>TUB-O-N-GEN-AW-PE-22.23X2.000X6.0000</t>
        </is>
      </c>
      <c r="C875" t="n">
        <v>0.078816</v>
      </c>
      <c r="D875" t="n">
        <v>4731</v>
      </c>
      <c r="E875" t="inlineStr">
        <is>
          <t>Rajsriya Automotive Ind Pvt Ltd.</t>
        </is>
      </c>
      <c r="F875" t="n">
        <v>1298</v>
      </c>
      <c r="G875" t="inlineStr">
        <is>
          <t>TVS</t>
        </is>
      </c>
      <c r="H875" t="inlineStr">
        <is>
          <t>22.23-0-2-ERW 1-PE</t>
        </is>
      </c>
      <c r="I875" t="inlineStr">
        <is>
          <t>22.23-0-2-ERW 1-PE-1</t>
        </is>
      </c>
      <c r="J875" t="n">
        <v>6</v>
      </c>
      <c r="K875" t="inlineStr">
        <is>
          <t>LL</t>
        </is>
      </c>
    </row>
    <row r="876" hidden="1" s="584">
      <c r="A876" t="n">
        <v>1931535</v>
      </c>
      <c r="B876" t="inlineStr">
        <is>
          <t>TUB-O-N-GEN-AW-PE-22.23X2.000X6.0000</t>
        </is>
      </c>
      <c r="C876" t="n">
        <v>0.52</v>
      </c>
      <c r="D876" t="n">
        <v>8406</v>
      </c>
      <c r="E876" t="inlineStr">
        <is>
          <t>Rajsriya Automotive Ind Pvt Ltd.</t>
        </is>
      </c>
      <c r="F876" t="n">
        <v>1299</v>
      </c>
      <c r="G876" t="inlineStr">
        <is>
          <t>TVS</t>
        </is>
      </c>
      <c r="H876" t="inlineStr">
        <is>
          <t>22.23-0-2-ERW 1-PE</t>
        </is>
      </c>
      <c r="I876" t="inlineStr">
        <is>
          <t>22.23-0-2-ERW 1-PE-1</t>
        </is>
      </c>
      <c r="J876" t="n">
        <v>6</v>
      </c>
      <c r="K876" t="inlineStr">
        <is>
          <t>LL</t>
        </is>
      </c>
    </row>
    <row r="877" hidden="1" s="584">
      <c r="A877" t="n">
        <v>3804796</v>
      </c>
      <c r="B877" t="inlineStr">
        <is>
          <t>TUB-O-N-AUT-AW-PE-22.23X2.000X6.1330</t>
        </is>
      </c>
      <c r="C877" t="n">
        <v>0.4699100000000001</v>
      </c>
      <c r="D877" t="n">
        <v>8406</v>
      </c>
      <c r="E877" t="inlineStr">
        <is>
          <t>RAJSRIYA AUTOMOTIVE IND. P LTD</t>
        </is>
      </c>
      <c r="F877" t="n">
        <v>1858</v>
      </c>
      <c r="G877" t="inlineStr">
        <is>
          <t>TVS</t>
        </is>
      </c>
      <c r="H877" t="inlineStr">
        <is>
          <t>22.23-0-2-ERW 2 MAHS-PE</t>
        </is>
      </c>
      <c r="I877" t="inlineStr">
        <is>
          <t>22.23-0-2-ERW 2 MAHS-PE-1</t>
        </is>
      </c>
      <c r="J877" t="n">
        <v>6.133</v>
      </c>
      <c r="K877" t="inlineStr">
        <is>
          <t>LL</t>
        </is>
      </c>
    </row>
    <row r="878" hidden="1" s="584">
      <c r="A878" t="n">
        <v>3804796</v>
      </c>
      <c r="B878" t="inlineStr">
        <is>
          <t>TUB-O-N-AUT-AW-PE-22.23X2.000X6.1330</t>
        </is>
      </c>
      <c r="C878" t="n">
        <v>2.616</v>
      </c>
      <c r="D878" t="n">
        <v>8406</v>
      </c>
      <c r="E878" t="inlineStr">
        <is>
          <t>RAJSRIYA AUTOMOTIVE IND. P LTD</t>
        </is>
      </c>
      <c r="F878" t="n">
        <v>1859</v>
      </c>
      <c r="G878" t="inlineStr">
        <is>
          <t>TVS</t>
        </is>
      </c>
      <c r="H878" t="inlineStr">
        <is>
          <t>22.23-0-2-ERW 2 MAHS-PE</t>
        </is>
      </c>
      <c r="I878" t="inlineStr">
        <is>
          <t>22.23-0-2-ERW 2 MAHS-PE-1</t>
        </is>
      </c>
      <c r="J878" t="n">
        <v>6.133</v>
      </c>
      <c r="K878" t="inlineStr">
        <is>
          <t>LL</t>
        </is>
      </c>
    </row>
    <row r="879" hidden="1" s="584">
      <c r="A879" t="n">
        <v>3804796</v>
      </c>
      <c r="B879" t="inlineStr">
        <is>
          <t>TUB-O-N-AUT-AW-PE-22.23X2.000X6.1330</t>
        </is>
      </c>
      <c r="C879" t="n">
        <v>2.742</v>
      </c>
      <c r="D879" t="n">
        <v>8406</v>
      </c>
      <c r="E879" t="inlineStr">
        <is>
          <t>RAJSRIYA AUTOMOTIVE IND. P LTD</t>
        </is>
      </c>
      <c r="F879" t="n">
        <v>1860</v>
      </c>
      <c r="G879" t="inlineStr">
        <is>
          <t>TVS</t>
        </is>
      </c>
      <c r="H879" t="inlineStr">
        <is>
          <t>22.23-0-2-ERW 2 MAHS-PE</t>
        </is>
      </c>
      <c r="I879" t="inlineStr">
        <is>
          <t>22.23-0-2-ERW 2 MAHS-PE-1</t>
        </is>
      </c>
      <c r="J879" t="n">
        <v>6.133</v>
      </c>
      <c r="K879" t="inlineStr">
        <is>
          <t>LL</t>
        </is>
      </c>
    </row>
    <row r="880" hidden="1" s="584">
      <c r="A880" t="n">
        <v>3230495</v>
      </c>
      <c r="B880" t="inlineStr">
        <is>
          <t>TUB-S-AW-AUT-30.00X30.00X1.200X0.2200</t>
        </is>
      </c>
      <c r="C880" t="n">
        <v>0.000313</v>
      </c>
      <c r="D880" t="n">
        <v>789</v>
      </c>
      <c r="E880" t="inlineStr">
        <is>
          <t>Marathwada Auto Compo Pvt. Ltd.</t>
        </is>
      </c>
      <c r="F880" t="n">
        <v>1209</v>
      </c>
      <c r="G880" t="inlineStr">
        <is>
          <t>TVS</t>
        </is>
      </c>
      <c r="H880" t="inlineStr">
        <is>
          <t>30-30-1.2-CRFH-PE</t>
        </is>
      </c>
      <c r="I880" t="inlineStr">
        <is>
          <t>30-30-1.2-CRFH-PE-0.22</t>
        </is>
      </c>
      <c r="J880" t="n">
        <v>0.22</v>
      </c>
      <c r="K880" t="inlineStr">
        <is>
          <t>CTL</t>
        </is>
      </c>
    </row>
    <row r="881" hidden="1" s="584">
      <c r="A881" t="n">
        <v>3230495</v>
      </c>
      <c r="B881" t="inlineStr">
        <is>
          <t>TUB-S-AW-AUT-30.00X30.00X1.200X0.2200</t>
        </is>
      </c>
      <c r="C881" t="n">
        <v>0.913</v>
      </c>
      <c r="D881" t="n">
        <v>789</v>
      </c>
      <c r="E881" t="inlineStr">
        <is>
          <t>Marathwada Auto Compo Pvt. Ltd.</t>
        </is>
      </c>
      <c r="F881" t="n">
        <v>1210</v>
      </c>
      <c r="G881" t="inlineStr">
        <is>
          <t>TVS</t>
        </is>
      </c>
      <c r="H881" t="inlineStr">
        <is>
          <t>30-30-1.2-CRFH-PE</t>
        </is>
      </c>
      <c r="I881" t="inlineStr">
        <is>
          <t>30-30-1.2-CRFH-PE-0.22</t>
        </is>
      </c>
      <c r="J881" t="n">
        <v>0.22</v>
      </c>
      <c r="K881" t="inlineStr">
        <is>
          <t>CTL</t>
        </is>
      </c>
    </row>
    <row r="882" hidden="1" s="584">
      <c r="A882" t="n">
        <v>3926424</v>
      </c>
      <c r="B882" t="inlineStr">
        <is>
          <t>TUB-O-N-AUT-AW-PE-22.23X2.300X0.37</t>
        </is>
      </c>
      <c r="C882" t="n">
        <v>0.8668400000000001</v>
      </c>
      <c r="D882" t="n">
        <v>4731</v>
      </c>
      <c r="E882" t="inlineStr">
        <is>
          <t>Elkayem Auto Ancillaries ( P ) LTD</t>
        </is>
      </c>
      <c r="F882" t="n">
        <v>1893</v>
      </c>
      <c r="G882" t="inlineStr">
        <is>
          <t>TVS</t>
        </is>
      </c>
      <c r="H882" t="inlineStr">
        <is>
          <t>22.23-0-2-ERW 2-PE</t>
        </is>
      </c>
      <c r="I882" t="inlineStr">
        <is>
          <t>22.23-0-2-ERW 2-PE-0.37</t>
        </is>
      </c>
      <c r="J882" t="n">
        <v>0.37</v>
      </c>
      <c r="K882" t="inlineStr">
        <is>
          <t>CTL</t>
        </is>
      </c>
    </row>
    <row r="883" hidden="1" s="584">
      <c r="A883" t="n">
        <v>4151430</v>
      </c>
      <c r="B883" t="inlineStr">
        <is>
          <t>TUB-S-AW-AUT-25.00X25.00X1.200X0.6400</t>
        </is>
      </c>
      <c r="C883" t="n">
        <v>0.00313</v>
      </c>
      <c r="D883" t="n">
        <v>789</v>
      </c>
      <c r="E883" t="inlineStr">
        <is>
          <t>Sri Balaji Gears</t>
        </is>
      </c>
      <c r="F883" t="n">
        <v>1221</v>
      </c>
      <c r="G883" t="inlineStr">
        <is>
          <t>TVS</t>
        </is>
      </c>
      <c r="H883" t="inlineStr">
        <is>
          <t>25-25-1.2-CRFH-PE</t>
        </is>
      </c>
      <c r="I883" t="inlineStr">
        <is>
          <t>25-25-1.2-CRFH-PE-0.64</t>
        </is>
      </c>
      <c r="J883" t="n">
        <v>0.64</v>
      </c>
      <c r="K883" t="inlineStr">
        <is>
          <t>CTL</t>
        </is>
      </c>
    </row>
    <row r="884" hidden="1" s="584">
      <c r="A884" t="n">
        <v>4151430</v>
      </c>
      <c r="B884" t="inlineStr">
        <is>
          <t>TUB-S-AW-AUT-25.00X25.00X1.200X0.6400</t>
        </is>
      </c>
      <c r="C884" t="n">
        <v>0.02326</v>
      </c>
      <c r="D884" t="n">
        <v>789</v>
      </c>
      <c r="E884" t="inlineStr">
        <is>
          <t>Sri Balaji Gears</t>
        </is>
      </c>
      <c r="F884" t="n">
        <v>1222</v>
      </c>
      <c r="G884" t="inlineStr">
        <is>
          <t>TVS</t>
        </is>
      </c>
      <c r="H884" t="inlineStr">
        <is>
          <t>25-25-1.2-CRFH-PE</t>
        </is>
      </c>
      <c r="I884" t="inlineStr">
        <is>
          <t>25-25-1.2-CRFH-PE-0.64</t>
        </is>
      </c>
      <c r="J884" t="n">
        <v>0.64</v>
      </c>
      <c r="K884" t="inlineStr">
        <is>
          <t>CTL</t>
        </is>
      </c>
    </row>
    <row r="885" hidden="1" s="584">
      <c r="A885" t="n">
        <v>1940849</v>
      </c>
      <c r="B885" t="inlineStr">
        <is>
          <t>TUB-S-AW-SHS-40.00X40.00X1.200X0.1250</t>
        </is>
      </c>
      <c r="C885" t="n">
        <v>0.003</v>
      </c>
      <c r="D885" t="n">
        <v>789</v>
      </c>
      <c r="E885" t="inlineStr">
        <is>
          <t>Sri Balaji Gears</t>
        </is>
      </c>
      <c r="F885" t="n">
        <v>1235</v>
      </c>
      <c r="G885" t="inlineStr">
        <is>
          <t>TVS</t>
        </is>
      </c>
      <c r="H885" t="inlineStr">
        <is>
          <t>40-40-1.2-CRFH-PE</t>
        </is>
      </c>
      <c r="I885" t="inlineStr">
        <is>
          <t>40-40-1.2-CRFH-PE-0.125</t>
        </is>
      </c>
      <c r="J885" t="n">
        <v>0.125</v>
      </c>
      <c r="K885" t="inlineStr">
        <is>
          <t>CTL</t>
        </is>
      </c>
    </row>
    <row r="886" hidden="1" s="584">
      <c r="A886" t="n">
        <v>1940849</v>
      </c>
      <c r="B886" t="inlineStr">
        <is>
          <t>TUB-S-AW-SHS-40.00X40.00X1.200X0.1250</t>
        </is>
      </c>
      <c r="C886" t="n">
        <v>0.017</v>
      </c>
      <c r="D886" t="n">
        <v>789</v>
      </c>
      <c r="E886" t="inlineStr">
        <is>
          <t>Sri Balaji Gears</t>
        </is>
      </c>
      <c r="F886" t="n">
        <v>1236</v>
      </c>
      <c r="G886" t="inlineStr">
        <is>
          <t>TVS</t>
        </is>
      </c>
      <c r="H886" t="inlineStr">
        <is>
          <t>40-40-1.2-CRFH-PE</t>
        </is>
      </c>
      <c r="I886" t="inlineStr">
        <is>
          <t>40-40-1.2-CRFH-PE-0.125</t>
        </is>
      </c>
      <c r="J886" t="n">
        <v>0.125</v>
      </c>
      <c r="K886" t="inlineStr">
        <is>
          <t>CTL</t>
        </is>
      </c>
    </row>
    <row r="887" hidden="1" s="584">
      <c r="A887" t="n">
        <v>1940849</v>
      </c>
      <c r="B887" t="inlineStr">
        <is>
          <t>TUB-S-AW-SHS-40.00X40.00X1.200X0.1250</t>
        </is>
      </c>
      <c r="C887" t="n">
        <v>0.091</v>
      </c>
      <c r="D887" t="n">
        <v>789</v>
      </c>
      <c r="E887" t="inlineStr">
        <is>
          <t>Sri Balaji Gears</t>
        </is>
      </c>
      <c r="F887" t="n">
        <v>1237</v>
      </c>
      <c r="G887" t="inlineStr">
        <is>
          <t>TVS</t>
        </is>
      </c>
      <c r="H887" t="inlineStr">
        <is>
          <t>40-40-1.2-CRFH-PE</t>
        </is>
      </c>
      <c r="I887" t="inlineStr">
        <is>
          <t>40-40-1.2-CRFH-PE-0.125</t>
        </is>
      </c>
      <c r="J887" t="n">
        <v>0.125</v>
      </c>
      <c r="K887" t="inlineStr">
        <is>
          <t>CTL</t>
        </is>
      </c>
    </row>
    <row r="888" hidden="1" s="584">
      <c r="A888" t="n">
        <v>3752128</v>
      </c>
      <c r="B888" t="inlineStr">
        <is>
          <t>TUB-S-AW-AUT-25.00X25.00X1.200X6.4000</t>
        </is>
      </c>
      <c r="C888" t="n">
        <v>1.13</v>
      </c>
      <c r="D888" t="n">
        <v>4731</v>
      </c>
      <c r="E888" t="inlineStr">
        <is>
          <t>Sri Balaji Gears</t>
        </is>
      </c>
      <c r="F888" t="n">
        <v>1777</v>
      </c>
      <c r="G888" t="inlineStr">
        <is>
          <t>TVS</t>
        </is>
      </c>
      <c r="H888" t="inlineStr">
        <is>
          <t>25-25-1.2-CRFH-PE</t>
        </is>
      </c>
      <c r="I888" t="inlineStr">
        <is>
          <t>25-25-1.2-CRFH-PE-1</t>
        </is>
      </c>
      <c r="J888" t="n">
        <v>6.4</v>
      </c>
      <c r="K888" t="inlineStr">
        <is>
          <t>LL</t>
        </is>
      </c>
    </row>
    <row r="889" hidden="1" s="584">
      <c r="A889" t="n">
        <v>3752128</v>
      </c>
      <c r="B889" t="inlineStr">
        <is>
          <t>TUB-S-AW-AUT-25.00X25.00X1.200X6.4000</t>
        </is>
      </c>
      <c r="C889" t="n">
        <v>1.416</v>
      </c>
      <c r="D889" t="n">
        <v>4731</v>
      </c>
      <c r="E889" t="inlineStr">
        <is>
          <t>Sri Balaji Gears</t>
        </is>
      </c>
      <c r="F889" t="n">
        <v>1778</v>
      </c>
      <c r="G889" t="inlineStr">
        <is>
          <t>TVS</t>
        </is>
      </c>
      <c r="H889" t="inlineStr">
        <is>
          <t>25-25-1.2-CRFH-PE</t>
        </is>
      </c>
      <c r="I889" t="inlineStr">
        <is>
          <t>25-25-1.2-CRFH-PE-1</t>
        </is>
      </c>
      <c r="J889" t="n">
        <v>6.4</v>
      </c>
      <c r="K889" t="inlineStr">
        <is>
          <t>LL</t>
        </is>
      </c>
    </row>
    <row r="890" hidden="1" s="584">
      <c r="A890" t="n">
        <v>3597714</v>
      </c>
      <c r="B890" t="inlineStr">
        <is>
          <t>TUB-R-AW-AUT-40.00X20.00X1.200X5.6800</t>
        </is>
      </c>
      <c r="C890" t="n">
        <v>0.173481</v>
      </c>
      <c r="D890" t="n">
        <v>789</v>
      </c>
      <c r="E890" t="inlineStr">
        <is>
          <t>Marathwada Auto Compo Pvt. Ltd.</t>
        </is>
      </c>
      <c r="F890" t="n">
        <v>1238</v>
      </c>
      <c r="G890" t="inlineStr">
        <is>
          <t>TVS</t>
        </is>
      </c>
      <c r="H890" t="inlineStr">
        <is>
          <t>40-20-1.2-CRFH-PE</t>
        </is>
      </c>
      <c r="I890" t="inlineStr">
        <is>
          <t>40-20-1.2-CRFH-PE-1</t>
        </is>
      </c>
      <c r="J890" t="n">
        <v>5.68</v>
      </c>
      <c r="K890" t="inlineStr">
        <is>
          <t>LL</t>
        </is>
      </c>
    </row>
    <row r="891" hidden="1" s="584">
      <c r="A891" t="n">
        <v>3572055</v>
      </c>
      <c r="B891" t="inlineStr">
        <is>
          <t>TUB-S-AW-AUT-40.00X40.00X1.200X0.1580</t>
        </is>
      </c>
      <c r="C891" t="n">
        <v>0.033942</v>
      </c>
      <c r="D891" t="n">
        <v>789</v>
      </c>
      <c r="E891" t="inlineStr">
        <is>
          <t>Sri Balaji Gears</t>
        </is>
      </c>
      <c r="F891" t="n">
        <v>1261</v>
      </c>
      <c r="G891" t="inlineStr">
        <is>
          <t>TVS</t>
        </is>
      </c>
      <c r="H891" t="inlineStr">
        <is>
          <t>40-40-1.2-CRFH-PE</t>
        </is>
      </c>
      <c r="I891" t="inlineStr">
        <is>
          <t>40-40-1.2-CRFH-PE-0.158</t>
        </is>
      </c>
      <c r="J891" t="n">
        <v>0.158</v>
      </c>
      <c r="K891" t="inlineStr">
        <is>
          <t>CTL</t>
        </is>
      </c>
    </row>
    <row r="892" hidden="1" s="584">
      <c r="A892" t="n">
        <v>3572055</v>
      </c>
      <c r="B892" t="inlineStr">
        <is>
          <t>TUB-S-AW-AUT-40.00X40.00X1.200X0.1580</t>
        </is>
      </c>
      <c r="C892" t="n">
        <v>0.003819</v>
      </c>
      <c r="D892" t="n">
        <v>789</v>
      </c>
      <c r="E892" t="inlineStr">
        <is>
          <t>Sri Balaji Gears</t>
        </is>
      </c>
      <c r="F892" t="n">
        <v>1262</v>
      </c>
      <c r="G892" t="inlineStr">
        <is>
          <t>TVS</t>
        </is>
      </c>
      <c r="H892" t="inlineStr">
        <is>
          <t>40-40-1.2-CRFH-PE</t>
        </is>
      </c>
      <c r="I892" t="inlineStr">
        <is>
          <t>40-40-1.2-CRFH-PE-0.158</t>
        </is>
      </c>
      <c r="J892" t="n">
        <v>0.158</v>
      </c>
      <c r="K892" t="inlineStr">
        <is>
          <t>CTL</t>
        </is>
      </c>
    </row>
    <row r="893" hidden="1" s="584">
      <c r="A893" t="n">
        <v>3572055</v>
      </c>
      <c r="B893" t="inlineStr">
        <is>
          <t>TUB-S-AW-AUT-40.00X40.00X1.200X0.1580</t>
        </is>
      </c>
      <c r="C893" t="n">
        <v>0.07662300000000001</v>
      </c>
      <c r="D893" t="n">
        <v>789</v>
      </c>
      <c r="E893" t="inlineStr">
        <is>
          <t>Sri Balaji Gears</t>
        </is>
      </c>
      <c r="F893" t="n">
        <v>1263</v>
      </c>
      <c r="G893" t="inlineStr">
        <is>
          <t>TVS</t>
        </is>
      </c>
      <c r="H893" t="inlineStr">
        <is>
          <t>40-40-1.2-CRFH-PE</t>
        </is>
      </c>
      <c r="I893" t="inlineStr">
        <is>
          <t>40-40-1.2-CRFH-PE-0.158</t>
        </is>
      </c>
      <c r="J893" t="n">
        <v>0.158</v>
      </c>
      <c r="K893" t="inlineStr">
        <is>
          <t>CTL</t>
        </is>
      </c>
    </row>
    <row r="894" hidden="1" s="584">
      <c r="A894" t="n">
        <v>3572055</v>
      </c>
      <c r="B894" t="inlineStr">
        <is>
          <t>TUB-S-AW-AUT-40.00X40.00X1.200X0.1580</t>
        </is>
      </c>
      <c r="C894" t="n">
        <v>0.349</v>
      </c>
      <c r="D894" t="n">
        <v>789</v>
      </c>
      <c r="E894" t="inlineStr">
        <is>
          <t>Sri Balaji Gears</t>
        </is>
      </c>
      <c r="F894" t="n">
        <v>1264</v>
      </c>
      <c r="G894" t="inlineStr">
        <is>
          <t>TVS</t>
        </is>
      </c>
      <c r="H894" t="inlineStr">
        <is>
          <t>40-40-1.2-CRFH-PE</t>
        </is>
      </c>
      <c r="I894" t="inlineStr">
        <is>
          <t>40-40-1.2-CRFH-PE-0.158</t>
        </is>
      </c>
      <c r="J894" t="n">
        <v>0.158</v>
      </c>
      <c r="K894" t="inlineStr">
        <is>
          <t>CTL</t>
        </is>
      </c>
    </row>
    <row r="895" hidden="1" s="584">
      <c r="A895" t="n">
        <v>3572055</v>
      </c>
      <c r="B895" t="inlineStr">
        <is>
          <t>TUB-S-AW-AUT-40.00X40.00X1.200X0.1580</t>
        </is>
      </c>
      <c r="C895" t="n">
        <v>0.464</v>
      </c>
      <c r="D895" t="n">
        <v>789</v>
      </c>
      <c r="E895" t="inlineStr">
        <is>
          <t>Sri Balaji Gears</t>
        </is>
      </c>
      <c r="F895" t="n">
        <v>1265</v>
      </c>
      <c r="G895" t="inlineStr">
        <is>
          <t>TVS</t>
        </is>
      </c>
      <c r="H895" t="inlineStr">
        <is>
          <t>40-40-1.2-CRFH-PE</t>
        </is>
      </c>
      <c r="I895" t="inlineStr">
        <is>
          <t>40-40-1.2-CRFH-PE-0.158</t>
        </is>
      </c>
      <c r="J895" t="n">
        <v>0.158</v>
      </c>
      <c r="K895" t="inlineStr">
        <is>
          <t>CTL</t>
        </is>
      </c>
    </row>
    <row r="896" hidden="1" s="584">
      <c r="A896" t="n">
        <v>3572055</v>
      </c>
      <c r="B896" t="inlineStr">
        <is>
          <t>TUB-S-AW-AUT-40.00X40.00X1.200X0.1580</t>
        </is>
      </c>
      <c r="C896" t="n">
        <v>0.001877</v>
      </c>
      <c r="D896" t="n">
        <v>789</v>
      </c>
      <c r="E896" t="inlineStr">
        <is>
          <t>Sri Balaji Gears</t>
        </is>
      </c>
      <c r="F896" t="n">
        <v>1266</v>
      </c>
      <c r="G896" t="inlineStr">
        <is>
          <t>TVS</t>
        </is>
      </c>
      <c r="H896" t="inlineStr">
        <is>
          <t>40-40-1.2-CRFH-PE</t>
        </is>
      </c>
      <c r="I896" t="inlineStr">
        <is>
          <t>40-40-1.2-CRFH-PE-0.158</t>
        </is>
      </c>
      <c r="J896" t="n">
        <v>0.158</v>
      </c>
      <c r="K896" t="inlineStr">
        <is>
          <t>CTL</t>
        </is>
      </c>
    </row>
    <row r="897" hidden="1" s="584">
      <c r="A897" t="n">
        <v>4151471</v>
      </c>
      <c r="B897" t="inlineStr">
        <is>
          <t>TUB-S-AW-SHS-40.00X40.00X1.200X0.1150</t>
        </is>
      </c>
      <c r="C897" t="n">
        <v>0.002762</v>
      </c>
      <c r="D897" t="n">
        <v>789</v>
      </c>
      <c r="E897" t="inlineStr">
        <is>
          <t>Sri Balaji Gears</t>
        </is>
      </c>
      <c r="F897" t="n">
        <v>1267</v>
      </c>
      <c r="G897" t="inlineStr">
        <is>
          <t>TVS</t>
        </is>
      </c>
      <c r="H897" t="inlineStr">
        <is>
          <t>40-40-1.2-CRFH-PE</t>
        </is>
      </c>
      <c r="I897" t="inlineStr">
        <is>
          <t>40-40-1.2-CRFH-PE-0.115</t>
        </is>
      </c>
      <c r="J897" t="n">
        <v>0.115</v>
      </c>
      <c r="K897" t="inlineStr">
        <is>
          <t>CTL</t>
        </is>
      </c>
    </row>
    <row r="898" hidden="1" s="584">
      <c r="A898" t="n">
        <v>4151471</v>
      </c>
      <c r="B898" t="inlineStr">
        <is>
          <t>TUB-S-AW-SHS-40.00X40.00X1.200X0.1150</t>
        </is>
      </c>
      <c r="C898" t="n">
        <v>0.016931</v>
      </c>
      <c r="D898" t="n">
        <v>789</v>
      </c>
      <c r="E898" t="inlineStr">
        <is>
          <t>Sri Balaji Gears</t>
        </is>
      </c>
      <c r="F898" t="n">
        <v>1268</v>
      </c>
      <c r="G898" t="inlineStr">
        <is>
          <t>TVS</t>
        </is>
      </c>
      <c r="H898" t="inlineStr">
        <is>
          <t>40-40-1.2-CRFH-PE</t>
        </is>
      </c>
      <c r="I898" t="inlineStr">
        <is>
          <t>40-40-1.2-CRFH-PE-0.115</t>
        </is>
      </c>
      <c r="J898" t="n">
        <v>0.115</v>
      </c>
      <c r="K898" t="inlineStr">
        <is>
          <t>CTL</t>
        </is>
      </c>
    </row>
    <row r="899" hidden="1" s="584">
      <c r="A899" t="n">
        <v>4151471</v>
      </c>
      <c r="B899" t="inlineStr">
        <is>
          <t>TUB-S-AW-SHS-40.00X40.00X1.200X0.1150</t>
        </is>
      </c>
      <c r="C899" t="n">
        <v>0.000679</v>
      </c>
      <c r="D899" t="n">
        <v>789</v>
      </c>
      <c r="E899" t="inlineStr">
        <is>
          <t>Sri Balaji Gears</t>
        </is>
      </c>
      <c r="F899" t="n">
        <v>1269</v>
      </c>
      <c r="G899" t="inlineStr">
        <is>
          <t>TVS</t>
        </is>
      </c>
      <c r="H899" t="inlineStr">
        <is>
          <t>40-40-1.2-CRFH-PE</t>
        </is>
      </c>
      <c r="I899" t="inlineStr">
        <is>
          <t>40-40-1.2-CRFH-PE-0.115</t>
        </is>
      </c>
      <c r="J899" t="n">
        <v>0.115</v>
      </c>
      <c r="K899" t="inlineStr">
        <is>
          <t>CTL</t>
        </is>
      </c>
    </row>
    <row r="900" hidden="1" s="584">
      <c r="A900" t="n">
        <v>4151471</v>
      </c>
      <c r="B900" t="inlineStr">
        <is>
          <t>TUB-S-AW-SHS-40.00X40.00X1.200X0.1150</t>
        </is>
      </c>
      <c r="C900" t="n">
        <v>0.008133</v>
      </c>
      <c r="D900" t="n">
        <v>789</v>
      </c>
      <c r="E900" t="inlineStr">
        <is>
          <t>Sri Balaji Gears</t>
        </is>
      </c>
      <c r="F900" t="n">
        <v>1270</v>
      </c>
      <c r="G900" t="inlineStr">
        <is>
          <t>TVS</t>
        </is>
      </c>
      <c r="H900" t="inlineStr">
        <is>
          <t>40-40-1.2-CRFH-PE</t>
        </is>
      </c>
      <c r="I900" t="inlineStr">
        <is>
          <t>40-40-1.2-CRFH-PE-0.115</t>
        </is>
      </c>
      <c r="J900" t="n">
        <v>0.115</v>
      </c>
      <c r="K900" t="inlineStr">
        <is>
          <t>CTL</t>
        </is>
      </c>
    </row>
    <row r="901" hidden="1" s="584">
      <c r="A901" t="n">
        <v>4151471</v>
      </c>
      <c r="B901" t="inlineStr">
        <is>
          <t>TUB-S-AW-SHS-40.00X40.00X1.200X0.1150</t>
        </is>
      </c>
      <c r="C901" t="n">
        <v>0.0334</v>
      </c>
      <c r="D901" t="n">
        <v>789</v>
      </c>
      <c r="E901" t="inlineStr">
        <is>
          <t>Sri Balaji Gears</t>
        </is>
      </c>
      <c r="F901" t="n">
        <v>1271</v>
      </c>
      <c r="G901" t="inlineStr">
        <is>
          <t>TVS</t>
        </is>
      </c>
      <c r="H901" t="inlineStr">
        <is>
          <t>40-40-1.2-CRFH-PE</t>
        </is>
      </c>
      <c r="I901" t="inlineStr">
        <is>
          <t>40-40-1.2-CRFH-PE-0.115</t>
        </is>
      </c>
      <c r="J901" t="n">
        <v>0.115</v>
      </c>
      <c r="K901" t="inlineStr">
        <is>
          <t>CTL</t>
        </is>
      </c>
    </row>
    <row r="902" hidden="1" s="584">
      <c r="A902" t="n">
        <v>4151471</v>
      </c>
      <c r="B902" t="inlineStr">
        <is>
          <t>TUB-S-AW-SHS-40.00X40.00X1.200X0.1150</t>
        </is>
      </c>
      <c r="C902" t="n">
        <v>0.018308</v>
      </c>
      <c r="D902" t="n">
        <v>789</v>
      </c>
      <c r="E902" t="inlineStr">
        <is>
          <t>Sri Balaji Gears</t>
        </is>
      </c>
      <c r="F902" t="n">
        <v>1272</v>
      </c>
      <c r="G902" t="inlineStr">
        <is>
          <t>TVS</t>
        </is>
      </c>
      <c r="H902" t="inlineStr">
        <is>
          <t>40-40-1.2-CRFH-PE</t>
        </is>
      </c>
      <c r="I902" t="inlineStr">
        <is>
          <t>40-40-1.2-CRFH-PE-0.115</t>
        </is>
      </c>
      <c r="J902" t="n">
        <v>0.115</v>
      </c>
      <c r="K902" t="inlineStr">
        <is>
          <t>CTL</t>
        </is>
      </c>
    </row>
    <row r="903" hidden="1" s="584">
      <c r="A903" t="n">
        <v>4151471</v>
      </c>
      <c r="B903" t="inlineStr">
        <is>
          <t>TUB-S-AW-SHS-40.00X40.00X1.200X0.1150</t>
        </is>
      </c>
      <c r="C903" t="n">
        <v>0.09453199999999998</v>
      </c>
      <c r="D903" t="n">
        <v>789</v>
      </c>
      <c r="E903" t="inlineStr">
        <is>
          <t>Sri Balaji Gears</t>
        </is>
      </c>
      <c r="F903" t="n">
        <v>1273</v>
      </c>
      <c r="G903" t="inlineStr">
        <is>
          <t>TVS</t>
        </is>
      </c>
      <c r="H903" t="inlineStr">
        <is>
          <t>40-40-1.2-CRFH-PE</t>
        </is>
      </c>
      <c r="I903" t="inlineStr">
        <is>
          <t>40-40-1.2-CRFH-PE-0.115</t>
        </is>
      </c>
      <c r="J903" t="n">
        <v>0.115</v>
      </c>
      <c r="K903" t="inlineStr">
        <is>
          <t>CTL</t>
        </is>
      </c>
    </row>
    <row r="904" hidden="1" s="584">
      <c r="A904" t="n">
        <v>4151471</v>
      </c>
      <c r="B904" t="inlineStr">
        <is>
          <t>TUB-S-AW-SHS-40.00X40.00X1.200X0.1150</t>
        </is>
      </c>
      <c r="C904" t="n">
        <v>0.005066</v>
      </c>
      <c r="D904" t="n">
        <v>789</v>
      </c>
      <c r="E904" t="inlineStr">
        <is>
          <t>Sri Balaji Gears</t>
        </is>
      </c>
      <c r="F904" t="n">
        <v>1274</v>
      </c>
      <c r="G904" t="inlineStr">
        <is>
          <t>TVS</t>
        </is>
      </c>
      <c r="H904" t="inlineStr">
        <is>
          <t>40-40-1.2-CRFH-PE</t>
        </is>
      </c>
      <c r="I904" t="inlineStr">
        <is>
          <t>40-40-1.2-CRFH-PE-0.115</t>
        </is>
      </c>
      <c r="J904" t="n">
        <v>0.115</v>
      </c>
      <c r="K904" t="inlineStr">
        <is>
          <t>CTL</t>
        </is>
      </c>
    </row>
    <row r="905" hidden="1" s="584">
      <c r="A905" t="n">
        <v>1940584</v>
      </c>
      <c r="B905" t="inlineStr">
        <is>
          <t>TUB-O-O-AUT-AW-FC-25.40X2.000X0.2810</t>
        </is>
      </c>
      <c r="C905" t="n">
        <v>0.658363</v>
      </c>
      <c r="D905" t="n">
        <v>789</v>
      </c>
      <c r="E905" t="inlineStr">
        <is>
          <t>SRIKAM HITECH ENGINEERING PRIVATE L</t>
        </is>
      </c>
      <c r="F905" t="n">
        <v>1275</v>
      </c>
      <c r="G905" t="inlineStr">
        <is>
          <t>TVS</t>
        </is>
      </c>
      <c r="H905" t="inlineStr">
        <is>
          <t>25.4-0-2-ERW 1-FC</t>
        </is>
      </c>
      <c r="I905" t="inlineStr">
        <is>
          <t>25.4-0-2-ERW 1-FC-0.281</t>
        </is>
      </c>
      <c r="J905" t="n">
        <v>0.281</v>
      </c>
      <c r="K905" t="inlineStr">
        <is>
          <t>CTL</t>
        </is>
      </c>
    </row>
    <row r="906" hidden="1" s="584">
      <c r="A906" t="n">
        <v>1940584</v>
      </c>
      <c r="B906" t="inlineStr">
        <is>
          <t>TUB-O-O-AUT-AW-FC-25.40X2.000X0.2810</t>
        </is>
      </c>
      <c r="C906" t="n">
        <v>1.281</v>
      </c>
      <c r="D906" t="n">
        <v>789</v>
      </c>
      <c r="E906" t="inlineStr">
        <is>
          <t>SRIKAM HITECH ENGINEERING PRIVATE L</t>
        </is>
      </c>
      <c r="F906" t="n">
        <v>1276</v>
      </c>
      <c r="G906" t="inlineStr">
        <is>
          <t>TVS</t>
        </is>
      </c>
      <c r="H906" t="inlineStr">
        <is>
          <t>25.4-0-2-ERW 1-FC</t>
        </is>
      </c>
      <c r="I906" t="inlineStr">
        <is>
          <t>25.4-0-2-ERW 1-FC-0.281</t>
        </is>
      </c>
      <c r="J906" t="n">
        <v>0.281</v>
      </c>
      <c r="K906" t="inlineStr">
        <is>
          <t>CTL</t>
        </is>
      </c>
    </row>
    <row r="907" hidden="1" s="584">
      <c r="A907" t="n">
        <v>1940584</v>
      </c>
      <c r="B907" t="inlineStr">
        <is>
          <t>TUB-O-O-AUT-AW-FC-25.40X2.000X0.2810</t>
        </is>
      </c>
      <c r="C907" t="n">
        <v>0.041</v>
      </c>
      <c r="D907" t="n">
        <v>789</v>
      </c>
      <c r="E907" t="inlineStr">
        <is>
          <t>SRIKAM HITECH ENGINEERING PRIVATE L</t>
        </is>
      </c>
      <c r="F907" t="n">
        <v>1277</v>
      </c>
      <c r="G907" t="inlineStr">
        <is>
          <t>TVS</t>
        </is>
      </c>
      <c r="H907" t="inlineStr">
        <is>
          <t>25.4-0-2-ERW 1-FC</t>
        </is>
      </c>
      <c r="I907" t="inlineStr">
        <is>
          <t>25.4-0-2-ERW 1-FC-0.281</t>
        </is>
      </c>
      <c r="J907" t="n">
        <v>0.281</v>
      </c>
      <c r="K907" t="inlineStr">
        <is>
          <t>CTL</t>
        </is>
      </c>
    </row>
    <row r="908" hidden="1" s="584">
      <c r="A908" t="n">
        <v>1940584</v>
      </c>
      <c r="B908" t="inlineStr">
        <is>
          <t>TUB-O-O-AUT-AW-FC-25.40X2.000X0.2810</t>
        </is>
      </c>
      <c r="C908" t="n">
        <v>0.050844</v>
      </c>
      <c r="D908" t="n">
        <v>4731</v>
      </c>
      <c r="E908" t="inlineStr">
        <is>
          <t>SRIKAM HITECH ENGINEERING PRIVATE L</t>
        </is>
      </c>
      <c r="F908" t="n">
        <v>1331</v>
      </c>
      <c r="G908" t="inlineStr">
        <is>
          <t>TVS</t>
        </is>
      </c>
      <c r="H908" t="inlineStr">
        <is>
          <t>25.4-0-2-ERW 1-FC</t>
        </is>
      </c>
      <c r="I908" t="inlineStr">
        <is>
          <t>25.4-0-2-ERW 1-FC-0.281</t>
        </is>
      </c>
      <c r="J908" t="n">
        <v>0.281</v>
      </c>
      <c r="K908" t="inlineStr">
        <is>
          <t>CTL</t>
        </is>
      </c>
    </row>
    <row r="909" hidden="1" s="584">
      <c r="A909" t="n">
        <v>1940584</v>
      </c>
      <c r="B909" t="inlineStr">
        <is>
          <t>TUB-O-O-AUT-AW-FC-25.40X2.000X0.2810</t>
        </is>
      </c>
      <c r="C909" t="n">
        <v>0.907222</v>
      </c>
      <c r="D909" t="n">
        <v>8406</v>
      </c>
      <c r="E909" t="inlineStr">
        <is>
          <t>SRIKAM HITECH ENGINEERING PRIVATE L</t>
        </is>
      </c>
      <c r="F909" t="n">
        <v>1332</v>
      </c>
      <c r="G909" t="inlineStr">
        <is>
          <t>TVS</t>
        </is>
      </c>
      <c r="H909" t="inlineStr">
        <is>
          <t>25.4-0-2-ERW 1-FC</t>
        </is>
      </c>
      <c r="I909" t="inlineStr">
        <is>
          <t>25.4-0-2-ERW 1-FC-0.281</t>
        </is>
      </c>
      <c r="J909" t="n">
        <v>0.281</v>
      </c>
      <c r="K909" t="inlineStr">
        <is>
          <t>CTL</t>
        </is>
      </c>
    </row>
    <row r="910" hidden="1" s="584">
      <c r="A910" t="n">
        <v>4151424</v>
      </c>
      <c r="B910" t="inlineStr">
        <is>
          <t>TUB-S-AW-AUT-30.00X30.00X1.200X0.1900</t>
        </is>
      </c>
      <c r="C910" t="n">
        <v>0.000809</v>
      </c>
      <c r="D910" t="n">
        <v>789</v>
      </c>
      <c r="E910" t="inlineStr">
        <is>
          <t>Sri Balaji Gears</t>
        </is>
      </c>
      <c r="F910" t="n">
        <v>1278</v>
      </c>
      <c r="G910" t="inlineStr">
        <is>
          <t>TVS</t>
        </is>
      </c>
      <c r="H910" t="inlineStr">
        <is>
          <t>30-30-1.2-CRFH-PE</t>
        </is>
      </c>
      <c r="I910" t="inlineStr">
        <is>
          <t>30-30-1.2-CRFH-PE-0.19</t>
        </is>
      </c>
      <c r="J910" t="n">
        <v>0.19</v>
      </c>
      <c r="K910" t="inlineStr">
        <is>
          <t>CTL</t>
        </is>
      </c>
    </row>
    <row r="911" hidden="1" s="584">
      <c r="A911" t="n">
        <v>4151424</v>
      </c>
      <c r="B911" t="inlineStr">
        <is>
          <t>TUB-S-AW-AUT-30.00X30.00X1.200X0.1900</t>
        </is>
      </c>
      <c r="C911" t="n">
        <v>0.00022</v>
      </c>
      <c r="D911" t="n">
        <v>789</v>
      </c>
      <c r="E911" t="inlineStr">
        <is>
          <t>Sri Balaji Gears</t>
        </is>
      </c>
      <c r="F911" t="n">
        <v>1279</v>
      </c>
      <c r="G911" t="inlineStr">
        <is>
          <t>TVS</t>
        </is>
      </c>
      <c r="H911" t="inlineStr">
        <is>
          <t>30-30-1.2-CRFH-PE</t>
        </is>
      </c>
      <c r="I911" t="inlineStr">
        <is>
          <t>30-30-1.2-CRFH-PE-0.19</t>
        </is>
      </c>
      <c r="J911" t="n">
        <v>0.19</v>
      </c>
      <c r="K911" t="inlineStr">
        <is>
          <t>CTL</t>
        </is>
      </c>
    </row>
    <row r="912" hidden="1" s="584">
      <c r="A912" t="n">
        <v>4151424</v>
      </c>
      <c r="B912" t="inlineStr">
        <is>
          <t>TUB-S-AW-AUT-30.00X30.00X1.200X0.1900</t>
        </is>
      </c>
      <c r="C912" t="n">
        <v>0.000221</v>
      </c>
      <c r="D912" t="n">
        <v>789</v>
      </c>
      <c r="E912" t="inlineStr">
        <is>
          <t>Sri Balaji Gears</t>
        </is>
      </c>
      <c r="F912" t="n">
        <v>1280</v>
      </c>
      <c r="G912" t="inlineStr">
        <is>
          <t>TVS</t>
        </is>
      </c>
      <c r="H912" t="inlineStr">
        <is>
          <t>30-30-1.2-CRFH-PE</t>
        </is>
      </c>
      <c r="I912" t="inlineStr">
        <is>
          <t>30-30-1.2-CRFH-PE-0.19</t>
        </is>
      </c>
      <c r="J912" t="n">
        <v>0.19</v>
      </c>
      <c r="K912" t="inlineStr">
        <is>
          <t>CTL</t>
        </is>
      </c>
    </row>
    <row r="913" hidden="1" s="584">
      <c r="A913" t="n">
        <v>3572045</v>
      </c>
      <c r="B913" t="inlineStr">
        <is>
          <t>TUB-S-AW-AUT-30.00X30.00X1.200X0.1400</t>
        </is>
      </c>
      <c r="C913" t="n">
        <v>0.008999999999999999</v>
      </c>
      <c r="D913" t="n">
        <v>789</v>
      </c>
      <c r="E913" t="inlineStr">
        <is>
          <t>Sri Balaji Gears</t>
        </is>
      </c>
      <c r="F913" t="n">
        <v>1282</v>
      </c>
      <c r="G913" t="inlineStr">
        <is>
          <t>TVS</t>
        </is>
      </c>
      <c r="H913" t="inlineStr">
        <is>
          <t>30-30-1.2-CRFH-PE</t>
        </is>
      </c>
      <c r="I913" t="inlineStr">
        <is>
          <t>30-30-1.2-CRFH-PE-0.14</t>
        </is>
      </c>
      <c r="J913" t="n">
        <v>0.14</v>
      </c>
      <c r="K913" t="inlineStr">
        <is>
          <t>CTL</t>
        </is>
      </c>
    </row>
    <row r="914" hidden="1" s="584">
      <c r="A914" t="n">
        <v>3572045</v>
      </c>
      <c r="B914" t="inlineStr">
        <is>
          <t>TUB-S-AW-AUT-30.00X30.00X1.200X0.1400</t>
        </is>
      </c>
      <c r="C914" t="n">
        <v>0.001</v>
      </c>
      <c r="D914" t="n">
        <v>789</v>
      </c>
      <c r="E914" t="inlineStr">
        <is>
          <t>Sri Balaji Gears</t>
        </is>
      </c>
      <c r="F914" t="n">
        <v>1283</v>
      </c>
      <c r="G914" t="inlineStr">
        <is>
          <t>TVS</t>
        </is>
      </c>
      <c r="H914" t="inlineStr">
        <is>
          <t>30-30-1.2-CRFH-PE</t>
        </is>
      </c>
      <c r="I914" t="inlineStr">
        <is>
          <t>30-30-1.2-CRFH-PE-0.14</t>
        </is>
      </c>
      <c r="J914" t="n">
        <v>0.14</v>
      </c>
      <c r="K914" t="inlineStr">
        <is>
          <t>CTL</t>
        </is>
      </c>
    </row>
    <row r="915" hidden="1" s="584">
      <c r="A915" t="n">
        <v>3572045</v>
      </c>
      <c r="B915" t="inlineStr">
        <is>
          <t>TUB-S-AW-AUT-30.00X30.00X1.200X0.1400</t>
        </is>
      </c>
      <c r="C915" t="n">
        <v>0.003</v>
      </c>
      <c r="D915" t="n">
        <v>789</v>
      </c>
      <c r="E915" t="inlineStr">
        <is>
          <t>Sri Balaji Gears</t>
        </is>
      </c>
      <c r="F915" t="n">
        <v>1284</v>
      </c>
      <c r="G915" t="inlineStr">
        <is>
          <t>TVS</t>
        </is>
      </c>
      <c r="H915" t="inlineStr">
        <is>
          <t>30-30-1.2-CRFH-PE</t>
        </is>
      </c>
      <c r="I915" t="inlineStr">
        <is>
          <t>30-30-1.2-CRFH-PE-0.14</t>
        </is>
      </c>
      <c r="J915" t="n">
        <v>0.14</v>
      </c>
      <c r="K915" t="inlineStr">
        <is>
          <t>CTL</t>
        </is>
      </c>
    </row>
    <row r="916" hidden="1" s="584">
      <c r="A916" t="n">
        <v>3572045</v>
      </c>
      <c r="B916" t="inlineStr">
        <is>
          <t>TUB-S-AW-AUT-30.00X30.00X1.200X0.1400</t>
        </is>
      </c>
      <c r="C916" t="n">
        <v>0.076</v>
      </c>
      <c r="D916" t="n">
        <v>789</v>
      </c>
      <c r="E916" t="inlineStr">
        <is>
          <t>Sri Balaji Gears</t>
        </is>
      </c>
      <c r="F916" t="n">
        <v>1285</v>
      </c>
      <c r="G916" t="inlineStr">
        <is>
          <t>TVS</t>
        </is>
      </c>
      <c r="H916" t="inlineStr">
        <is>
          <t>30-30-1.2-CRFH-PE</t>
        </is>
      </c>
      <c r="I916" t="inlineStr">
        <is>
          <t>30-30-1.2-CRFH-PE-0.14</t>
        </is>
      </c>
      <c r="J916" t="n">
        <v>0.14</v>
      </c>
      <c r="K916" t="inlineStr">
        <is>
          <t>CTL</t>
        </is>
      </c>
    </row>
    <row r="917" hidden="1" s="584">
      <c r="A917" t="n">
        <v>1900941</v>
      </c>
      <c r="B917" t="inlineStr">
        <is>
          <t>TUB-O-N-AUT-AP-FC-38.10X2.000X6.0000</t>
        </is>
      </c>
      <c r="C917" t="n">
        <v>0.056079</v>
      </c>
      <c r="D917" t="n">
        <v>4731</v>
      </c>
      <c r="E917" t="inlineStr">
        <is>
          <t>Neel Metal Products Limited</t>
        </is>
      </c>
      <c r="F917" t="n">
        <v>1286</v>
      </c>
      <c r="G917" t="inlineStr">
        <is>
          <t>TVS</t>
        </is>
      </c>
      <c r="H917" t="inlineStr">
        <is>
          <t>38.1-0-2-ERW 1-FC</t>
        </is>
      </c>
      <c r="I917" t="inlineStr">
        <is>
          <t>38.1-0-2-ERW 1-FC-1</t>
        </is>
      </c>
      <c r="J917" t="n">
        <v>6</v>
      </c>
      <c r="K917" t="inlineStr">
        <is>
          <t>LL</t>
        </is>
      </c>
    </row>
    <row r="918" hidden="1" s="584">
      <c r="A918" t="n">
        <v>1901169</v>
      </c>
      <c r="B918" t="inlineStr">
        <is>
          <t>TUB-R-FH-GEN-40.00X20.00X1.200X6.0000</t>
        </is>
      </c>
      <c r="C918" t="n">
        <v>0.49046</v>
      </c>
      <c r="D918" t="n">
        <v>4731</v>
      </c>
      <c r="E918" t="inlineStr">
        <is>
          <t>Sri Balaji Gears</t>
        </is>
      </c>
      <c r="F918" t="n">
        <v>1287</v>
      </c>
      <c r="G918" t="inlineStr">
        <is>
          <t>TVS</t>
        </is>
      </c>
      <c r="H918" t="inlineStr">
        <is>
          <t>40-20-1.2-CRFH-PE</t>
        </is>
      </c>
      <c r="J918" t="n">
        <v>6</v>
      </c>
      <c r="K918" t="inlineStr">
        <is>
          <t>LL</t>
        </is>
      </c>
    </row>
    <row r="919" hidden="1" s="584">
      <c r="A919" t="n">
        <v>1901169</v>
      </c>
      <c r="B919" t="inlineStr">
        <is>
          <t>TUB-R-FH-GEN-40.00X20.00X1.200X6.0000</t>
        </is>
      </c>
      <c r="C919" t="n">
        <v>0.41044</v>
      </c>
      <c r="D919" t="n">
        <v>4731</v>
      </c>
      <c r="E919" t="inlineStr">
        <is>
          <t>Sri Balaji Gears</t>
        </is>
      </c>
      <c r="F919" t="n">
        <v>1288</v>
      </c>
      <c r="G919" t="inlineStr">
        <is>
          <t>TVS</t>
        </is>
      </c>
      <c r="H919" t="inlineStr">
        <is>
          <t>40-20-1.2-CRFH-PE</t>
        </is>
      </c>
      <c r="J919" t="n">
        <v>6</v>
      </c>
      <c r="K919" t="inlineStr">
        <is>
          <t>LL</t>
        </is>
      </c>
    </row>
    <row r="920" hidden="1" s="584">
      <c r="A920" t="n">
        <v>1901169</v>
      </c>
      <c r="B920" t="inlineStr">
        <is>
          <t>TUB-R-FH-GEN-40.00X20.00X1.200X6.0000</t>
        </is>
      </c>
      <c r="C920" t="n">
        <v>0.105</v>
      </c>
      <c r="D920" t="n">
        <v>4731</v>
      </c>
      <c r="E920" t="inlineStr">
        <is>
          <t>Sri Balaji Gears</t>
        </is>
      </c>
      <c r="F920" t="n">
        <v>1289</v>
      </c>
      <c r="G920" t="inlineStr">
        <is>
          <t>TVS</t>
        </is>
      </c>
      <c r="H920" t="inlineStr">
        <is>
          <t>40-20-1.2-CRFH-PE</t>
        </is>
      </c>
      <c r="J920" t="n">
        <v>6</v>
      </c>
      <c r="K920" t="inlineStr">
        <is>
          <t>LL</t>
        </is>
      </c>
    </row>
    <row r="921" hidden="1" s="584">
      <c r="A921" t="n">
        <v>1901169</v>
      </c>
      <c r="B921" t="inlineStr">
        <is>
          <t>TUB-R-FH-GEN-40.00X20.00X1.200X6.0000</t>
        </is>
      </c>
      <c r="C921" t="n">
        <v>1.98</v>
      </c>
      <c r="D921" t="n">
        <v>4731</v>
      </c>
      <c r="E921" t="inlineStr">
        <is>
          <t>Sri Balaji Gears</t>
        </is>
      </c>
      <c r="F921" t="n">
        <v>1290</v>
      </c>
      <c r="G921" t="inlineStr">
        <is>
          <t>TVS</t>
        </is>
      </c>
      <c r="H921" t="inlineStr">
        <is>
          <t>40-20-1.2-CRFH-PE</t>
        </is>
      </c>
      <c r="J921" t="n">
        <v>6</v>
      </c>
      <c r="K921" t="inlineStr">
        <is>
          <t>LL</t>
        </is>
      </c>
    </row>
    <row r="922" hidden="1" s="584">
      <c r="A922" t="n">
        <v>1901169</v>
      </c>
      <c r="B922" t="inlineStr">
        <is>
          <t>TUB-R-FH-GEN-40.00X20.00X1.200X6.0000</t>
        </is>
      </c>
      <c r="C922" t="n">
        <v>2.011</v>
      </c>
      <c r="D922" t="n">
        <v>4731</v>
      </c>
      <c r="E922" t="inlineStr">
        <is>
          <t>Sri Balaji Gears</t>
        </is>
      </c>
      <c r="F922" t="n">
        <v>1291</v>
      </c>
      <c r="G922" t="inlineStr">
        <is>
          <t>TVS</t>
        </is>
      </c>
      <c r="H922" t="inlineStr">
        <is>
          <t>40-20-1.2-CRFH-PE</t>
        </is>
      </c>
      <c r="J922" t="n">
        <v>6</v>
      </c>
      <c r="K922" t="inlineStr">
        <is>
          <t>LL</t>
        </is>
      </c>
    </row>
    <row r="923" hidden="1" s="584">
      <c r="A923" t="n">
        <v>1901169</v>
      </c>
      <c r="B923" t="inlineStr">
        <is>
          <t>TUB-R-FH-GEN-40.00X20.00X1.200X6.0000</t>
        </is>
      </c>
      <c r="C923" t="n">
        <v>0.6462899999999999</v>
      </c>
      <c r="D923" t="n">
        <v>4731</v>
      </c>
      <c r="E923" t="inlineStr">
        <is>
          <t>Sri Balaji Gears</t>
        </is>
      </c>
      <c r="F923" t="n">
        <v>1292</v>
      </c>
      <c r="G923" t="inlineStr">
        <is>
          <t>TVS</t>
        </is>
      </c>
      <c r="H923" t="inlineStr">
        <is>
          <t>40-20-1.2-CRFH-PE</t>
        </is>
      </c>
      <c r="J923" t="n">
        <v>6</v>
      </c>
      <c r="K923" t="inlineStr">
        <is>
          <t>LL</t>
        </is>
      </c>
    </row>
    <row r="924" hidden="1" s="584">
      <c r="A924" t="n">
        <v>1938125</v>
      </c>
      <c r="B924" t="inlineStr">
        <is>
          <t>TUB-I-C-AUT-AN-FC-39.00X34.00X0.2720</t>
        </is>
      </c>
      <c r="C924" t="n">
        <v>0.169717</v>
      </c>
      <c r="D924" t="n">
        <v>4731</v>
      </c>
      <c r="E924" t="inlineStr">
        <is>
          <t>Rajsriya Automotive Ind Pvt Ltd.</t>
        </is>
      </c>
      <c r="F924" t="n">
        <v>1311</v>
      </c>
      <c r="G924" t="inlineStr">
        <is>
          <t>TVS</t>
        </is>
      </c>
      <c r="H924" t="inlineStr">
        <is>
          <t>39-34-2.5-CEW-CEW</t>
        </is>
      </c>
      <c r="I924" t="inlineStr">
        <is>
          <t>39-34-2.5-CEW-CEW-0.272</t>
        </is>
      </c>
      <c r="J924" t="n">
        <v>0.272</v>
      </c>
      <c r="K924" t="inlineStr">
        <is>
          <t>CTL</t>
        </is>
      </c>
    </row>
    <row r="925" hidden="1" s="584">
      <c r="A925" t="n">
        <v>1938125</v>
      </c>
      <c r="B925" t="inlineStr">
        <is>
          <t>TUB-I-C-AUT-AN-FC-39.00X34.00X0.2720</t>
        </is>
      </c>
      <c r="C925" t="n">
        <v>0.6185499999999999</v>
      </c>
      <c r="D925" t="n">
        <v>4731</v>
      </c>
      <c r="E925" t="inlineStr">
        <is>
          <t>Rajsriya Automotive Ind Pvt Ltd.</t>
        </is>
      </c>
      <c r="F925" t="n">
        <v>1312</v>
      </c>
      <c r="G925" t="inlineStr">
        <is>
          <t>TVS</t>
        </is>
      </c>
      <c r="H925" t="inlineStr">
        <is>
          <t>39-34-2.5-CEW-CEW</t>
        </is>
      </c>
      <c r="I925" t="inlineStr">
        <is>
          <t>39-34-2.5-CEW-CEW-0.272</t>
        </is>
      </c>
      <c r="J925" t="n">
        <v>0.272</v>
      </c>
      <c r="K925" t="inlineStr">
        <is>
          <t>CTL</t>
        </is>
      </c>
    </row>
    <row r="926" hidden="1" s="584">
      <c r="A926" t="n">
        <v>1938125</v>
      </c>
      <c r="B926" t="inlineStr">
        <is>
          <t>TUB-I-C-AUT-AN-FC-39.00X34.00X0.2720</t>
        </is>
      </c>
      <c r="C926" t="n">
        <v>0.187785</v>
      </c>
      <c r="D926" t="n">
        <v>4731</v>
      </c>
      <c r="E926" t="inlineStr">
        <is>
          <t>Rajsriya Automotive Ind Pvt Ltd.</t>
        </is>
      </c>
      <c r="F926" t="n">
        <v>1313</v>
      </c>
      <c r="G926" t="inlineStr">
        <is>
          <t>TVS</t>
        </is>
      </c>
      <c r="H926" t="inlineStr">
        <is>
          <t>39-34-2.5-CEW-CEW</t>
        </is>
      </c>
      <c r="I926" t="inlineStr">
        <is>
          <t>39-34-2.5-CEW-CEW-0.272</t>
        </is>
      </c>
      <c r="J926" t="n">
        <v>0.272</v>
      </c>
      <c r="K926" t="inlineStr">
        <is>
          <t>CTL</t>
        </is>
      </c>
    </row>
    <row r="927" hidden="1" s="584">
      <c r="A927" t="n">
        <v>1938125</v>
      </c>
      <c r="B927" t="inlineStr">
        <is>
          <t>TUB-I-C-AUT-AN-FC-39.00X34.00X0.2720</t>
        </is>
      </c>
      <c r="C927" t="n">
        <v>0.1224</v>
      </c>
      <c r="D927" t="n">
        <v>4731</v>
      </c>
      <c r="E927" t="inlineStr">
        <is>
          <t>Rajsriya Automotive Ind Pvt Ltd.</t>
        </is>
      </c>
      <c r="F927" t="n">
        <v>1314</v>
      </c>
      <c r="G927" t="inlineStr">
        <is>
          <t>TVS</t>
        </is>
      </c>
      <c r="H927" t="inlineStr">
        <is>
          <t>39-34-2.5-CEW-CEW</t>
        </is>
      </c>
      <c r="I927" t="inlineStr">
        <is>
          <t>39-34-2.5-CEW-CEW-0.272</t>
        </is>
      </c>
      <c r="J927" t="n">
        <v>0.272</v>
      </c>
      <c r="K927" t="inlineStr">
        <is>
          <t>CTL</t>
        </is>
      </c>
    </row>
    <row r="928" hidden="1" s="584">
      <c r="A928" t="n">
        <v>1938127</v>
      </c>
      <c r="B928" t="inlineStr">
        <is>
          <t>TUB-S-AW-SHS-50.00X50.00X1.600X0.8470</t>
        </is>
      </c>
      <c r="C928" t="n">
        <v>0.112995</v>
      </c>
      <c r="D928" t="n">
        <v>4731</v>
      </c>
      <c r="E928" t="inlineStr">
        <is>
          <t>Neel Metal Products Limited</t>
        </is>
      </c>
      <c r="F928" t="n">
        <v>1315</v>
      </c>
      <c r="G928" t="inlineStr">
        <is>
          <t>TVS</t>
        </is>
      </c>
      <c r="H928" t="inlineStr">
        <is>
          <t>50-50-1.6-ERW 2-PE</t>
        </is>
      </c>
      <c r="I928" t="inlineStr">
        <is>
          <t>50-50-1.6-ERW 2-PE-0.847</t>
        </is>
      </c>
      <c r="J928" t="n">
        <v>0.847</v>
      </c>
      <c r="K928" t="inlineStr">
        <is>
          <t>CTL</t>
        </is>
      </c>
    </row>
    <row r="929" hidden="1" s="584">
      <c r="A929" t="n">
        <v>1938358</v>
      </c>
      <c r="B929" t="inlineStr">
        <is>
          <t>TUB-O-N-AUT-AN-FC-42.70X4.000X0.2540</t>
        </is>
      </c>
      <c r="C929" t="n">
        <v>0.297331</v>
      </c>
      <c r="D929" t="n">
        <v>4731</v>
      </c>
      <c r="E929" t="inlineStr">
        <is>
          <t>Rajsriya Automotive Ind Pvt Ltd.</t>
        </is>
      </c>
      <c r="F929" t="n">
        <v>1318</v>
      </c>
      <c r="G929" t="inlineStr">
        <is>
          <t>TVS</t>
        </is>
      </c>
      <c r="H929" t="inlineStr">
        <is>
          <t>42.7-0-4-ERW 1-FC</t>
        </is>
      </c>
      <c r="I929" t="inlineStr">
        <is>
          <t>42.7-0-4-ERW 1-FC-0.254</t>
        </is>
      </c>
      <c r="J929" t="n">
        <v>0.254</v>
      </c>
      <c r="K929" t="inlineStr">
        <is>
          <t>CTL</t>
        </is>
      </c>
    </row>
    <row r="930" hidden="1" s="584">
      <c r="A930" t="n">
        <v>1938358</v>
      </c>
      <c r="B930" t="inlineStr">
        <is>
          <t>TUB-O-N-AUT-AN-FC-42.70X4.000X0.2540</t>
        </is>
      </c>
      <c r="C930" t="n">
        <v>0.222404</v>
      </c>
      <c r="D930" t="n">
        <v>4731</v>
      </c>
      <c r="E930" t="inlineStr">
        <is>
          <t>Rajsriya Automotive Ind Pvt Ltd.</t>
        </is>
      </c>
      <c r="F930" t="n">
        <v>1319</v>
      </c>
      <c r="G930" t="inlineStr">
        <is>
          <t>TVS</t>
        </is>
      </c>
      <c r="H930" t="inlineStr">
        <is>
          <t>42.7-0-4-ERW 1-FC</t>
        </is>
      </c>
      <c r="I930" t="inlineStr">
        <is>
          <t>42.7-0-4-ERW 1-FC-0.254</t>
        </is>
      </c>
      <c r="J930" t="n">
        <v>0.254</v>
      </c>
      <c r="K930" t="inlineStr">
        <is>
          <t>CTL</t>
        </is>
      </c>
    </row>
    <row r="931" hidden="1" s="584">
      <c r="A931" t="n">
        <v>1939544</v>
      </c>
      <c r="B931" t="inlineStr">
        <is>
          <t>TUB-O-C-CEW-AD-FC-25.40X2.500X0.2170</t>
        </is>
      </c>
      <c r="C931" t="n">
        <v>0.18027</v>
      </c>
      <c r="D931" t="n">
        <v>4731</v>
      </c>
      <c r="E931" t="inlineStr">
        <is>
          <t>Marathwada Auto Compo Pvt. Ltd.</t>
        </is>
      </c>
      <c r="F931" t="n">
        <v>1322</v>
      </c>
      <c r="G931" t="inlineStr">
        <is>
          <t>TVS</t>
        </is>
      </c>
      <c r="H931" t="inlineStr">
        <is>
          <t>25.4-0-2.5-CEW-CEW</t>
        </is>
      </c>
      <c r="I931" t="inlineStr">
        <is>
          <t>25.4-0-2.5-CEW-CEW-0.217</t>
        </is>
      </c>
      <c r="J931" t="n">
        <v>0.217</v>
      </c>
      <c r="K931" t="inlineStr">
        <is>
          <t>CTL</t>
        </is>
      </c>
    </row>
    <row r="932" hidden="1" s="584">
      <c r="A932" t="n">
        <v>1939544</v>
      </c>
      <c r="B932" t="inlineStr">
        <is>
          <t>TUB-O-C-CEW-AD-FC-25.40X2.500X0.2170</t>
        </is>
      </c>
      <c r="C932" t="n">
        <v>0.288048</v>
      </c>
      <c r="D932" t="n">
        <v>4731</v>
      </c>
      <c r="E932" t="inlineStr">
        <is>
          <t>Marathwada Auto Compo Pvt. Ltd.</t>
        </is>
      </c>
      <c r="F932" t="n">
        <v>1323</v>
      </c>
      <c r="G932" t="inlineStr">
        <is>
          <t>TVS</t>
        </is>
      </c>
      <c r="H932" t="inlineStr">
        <is>
          <t>25.4-0-2.5-CEW-CEW</t>
        </is>
      </c>
      <c r="I932" t="inlineStr">
        <is>
          <t>25.4-0-2.5-CEW-CEW-0.217</t>
        </is>
      </c>
      <c r="J932" t="n">
        <v>0.217</v>
      </c>
      <c r="K932" t="inlineStr">
        <is>
          <t>CTL</t>
        </is>
      </c>
    </row>
    <row r="933" hidden="1" s="584">
      <c r="A933" t="n">
        <v>1939544</v>
      </c>
      <c r="B933" t="inlineStr">
        <is>
          <t>TUB-O-C-CEW-AD-FC-25.40X2.500X0.2170</t>
        </is>
      </c>
      <c r="C933" t="n">
        <v>0.726189</v>
      </c>
      <c r="D933" t="n">
        <v>4731</v>
      </c>
      <c r="E933" t="inlineStr">
        <is>
          <t>Marathwada Auto Compo Pvt. Ltd.</t>
        </is>
      </c>
      <c r="F933" t="n">
        <v>1324</v>
      </c>
      <c r="G933" t="inlineStr">
        <is>
          <t>TVS</t>
        </is>
      </c>
      <c r="H933" t="inlineStr">
        <is>
          <t>25.4-0-2.5-CEW-CEW</t>
        </is>
      </c>
      <c r="I933" t="inlineStr">
        <is>
          <t>25.4-0-2.5-CEW-CEW-0.217</t>
        </is>
      </c>
      <c r="J933" t="n">
        <v>0.217</v>
      </c>
      <c r="K933" t="inlineStr">
        <is>
          <t>CTL</t>
        </is>
      </c>
    </row>
    <row r="934" hidden="1" s="584">
      <c r="A934" t="n">
        <v>1939544</v>
      </c>
      <c r="B934" t="inlineStr">
        <is>
          <t>TUB-O-C-CEW-AD-FC-25.40X2.500X0.2170</t>
        </is>
      </c>
      <c r="C934" t="n">
        <v>0.9916509999999999</v>
      </c>
      <c r="D934" t="n">
        <v>8406</v>
      </c>
      <c r="E934" t="inlineStr">
        <is>
          <t>Marathwada Auto Compo Pvt. Ltd.</t>
        </is>
      </c>
      <c r="F934" t="n">
        <v>1325</v>
      </c>
      <c r="G934" t="inlineStr">
        <is>
          <t>TVS</t>
        </is>
      </c>
      <c r="H934" t="inlineStr">
        <is>
          <t>25.4-0-2.5-CEW-CEW</t>
        </is>
      </c>
      <c r="I934" t="inlineStr">
        <is>
          <t>25.4-0-2.5-CEW-CEW-0.217</t>
        </is>
      </c>
      <c r="J934" t="n">
        <v>0.217</v>
      </c>
      <c r="K934" t="inlineStr">
        <is>
          <t>CTL</t>
        </is>
      </c>
    </row>
    <row r="935" hidden="1" s="584">
      <c r="A935" t="n">
        <v>3702196</v>
      </c>
      <c r="B935" t="inlineStr">
        <is>
          <t>TUB-O-N-AUT-AW-PE-25.40X2.000X6.0000</t>
        </is>
      </c>
      <c r="C935" t="n">
        <v>0.37323</v>
      </c>
      <c r="D935" t="n">
        <v>4731</v>
      </c>
      <c r="E935" t="inlineStr">
        <is>
          <t>Rajsriya Automotive Ind Pvt Ltd.</t>
        </is>
      </c>
      <c r="F935" t="n">
        <v>1745</v>
      </c>
      <c r="G935" t="inlineStr">
        <is>
          <t>TVS</t>
        </is>
      </c>
      <c r="H935" t="inlineStr">
        <is>
          <t>25.4-0-2-ERW 1-PE</t>
        </is>
      </c>
      <c r="J935" t="n">
        <v>6</v>
      </c>
      <c r="K935" t="inlineStr">
        <is>
          <t>LL</t>
        </is>
      </c>
    </row>
    <row r="936" hidden="1" s="584">
      <c r="A936" t="n">
        <v>3702196</v>
      </c>
      <c r="B936" t="inlineStr">
        <is>
          <t>TUB-O-N-AUT-AW-PE-25.40X2.000X6.0000</t>
        </is>
      </c>
      <c r="C936" t="n">
        <v>0.775</v>
      </c>
      <c r="D936" t="n">
        <v>4731</v>
      </c>
      <c r="E936" t="inlineStr">
        <is>
          <t>Rajsriya Automotive Ind Pvt Ltd.</t>
        </is>
      </c>
      <c r="F936" t="n">
        <v>1746</v>
      </c>
      <c r="G936" t="inlineStr">
        <is>
          <t>TVS</t>
        </is>
      </c>
      <c r="H936" t="inlineStr">
        <is>
          <t>25.4-0-2-ERW 1-PE</t>
        </is>
      </c>
      <c r="J936" t="n">
        <v>6</v>
      </c>
      <c r="K936" t="inlineStr">
        <is>
          <t>LL</t>
        </is>
      </c>
    </row>
    <row r="937" hidden="1" s="584">
      <c r="A937" t="n">
        <v>1940731</v>
      </c>
      <c r="B937" t="inlineStr">
        <is>
          <t>TUB-O-O-AUT-AW-FC-38.10X1.600X0.8120</t>
        </is>
      </c>
      <c r="C937" t="n">
        <v>0.6828529999999999</v>
      </c>
      <c r="D937" t="n">
        <v>4731</v>
      </c>
      <c r="E937" t="inlineStr">
        <is>
          <t>Neel Metal Products Limited</t>
        </is>
      </c>
      <c r="F937" t="n">
        <v>1339</v>
      </c>
      <c r="G937" t="inlineStr">
        <is>
          <t>TVS</t>
        </is>
      </c>
      <c r="H937" t="inlineStr">
        <is>
          <t>38.1-0-1.6-ERW 1-FC</t>
        </is>
      </c>
      <c r="I937" t="inlineStr">
        <is>
          <t>38.1-0-1.6-ERW 1-FC-0.812</t>
        </is>
      </c>
      <c r="J937" t="n">
        <v>0.8120000000000001</v>
      </c>
      <c r="K937" t="inlineStr">
        <is>
          <t>CTL</t>
        </is>
      </c>
    </row>
    <row r="938" hidden="1" s="584">
      <c r="A938" t="n">
        <v>1940731</v>
      </c>
      <c r="B938" t="inlineStr">
        <is>
          <t>TUB-O-O-AUT-AW-FC-38.10X1.600X0.8120</t>
        </is>
      </c>
      <c r="C938" t="n">
        <v>0.094179</v>
      </c>
      <c r="D938" t="n">
        <v>4731</v>
      </c>
      <c r="E938" t="inlineStr">
        <is>
          <t>Neel Metal Products Limited</t>
        </is>
      </c>
      <c r="F938" t="n">
        <v>1340</v>
      </c>
      <c r="G938" t="inlineStr">
        <is>
          <t>TVS</t>
        </is>
      </c>
      <c r="H938" t="inlineStr">
        <is>
          <t>38.1-0-1.6-ERW 1-FC</t>
        </is>
      </c>
      <c r="I938" t="inlineStr">
        <is>
          <t>38.1-0-1.6-ERW 1-FC-0.812</t>
        </is>
      </c>
      <c r="J938" t="n">
        <v>0.8120000000000001</v>
      </c>
      <c r="K938" t="inlineStr">
        <is>
          <t>CTL</t>
        </is>
      </c>
    </row>
    <row r="939" hidden="1" s="584">
      <c r="A939" t="n">
        <v>1940731</v>
      </c>
      <c r="B939" t="inlineStr">
        <is>
          <t>TUB-O-O-AUT-AW-FC-38.10X1.600X0.8120</t>
        </is>
      </c>
      <c r="C939" t="n">
        <v>3.859</v>
      </c>
      <c r="D939" t="n">
        <v>8406</v>
      </c>
      <c r="E939" t="inlineStr">
        <is>
          <t>Neel Metal Products Limited</t>
        </is>
      </c>
      <c r="F939" t="n">
        <v>1341</v>
      </c>
      <c r="G939" t="inlineStr">
        <is>
          <t>TVS</t>
        </is>
      </c>
      <c r="H939" t="inlineStr">
        <is>
          <t>38.1-0-1.6-ERW 1-FC</t>
        </is>
      </c>
      <c r="I939" t="inlineStr">
        <is>
          <t>38.1-0-1.6-ERW 1-FC-0.812</t>
        </is>
      </c>
      <c r="J939" t="n">
        <v>0.8120000000000001</v>
      </c>
      <c r="K939" t="inlineStr">
        <is>
          <t>CTL</t>
        </is>
      </c>
    </row>
    <row r="940" hidden="1" s="584">
      <c r="A940" t="n">
        <v>1940738</v>
      </c>
      <c r="B940" t="inlineStr">
        <is>
          <t>TUB-O-O-AUT-AW-FC-38.10X2.000X0.4250</t>
        </is>
      </c>
      <c r="C940" t="n">
        <v>0.1172</v>
      </c>
      <c r="D940" t="n">
        <v>4731</v>
      </c>
      <c r="E940" t="inlineStr">
        <is>
          <t>Neel Metal Products Limited</t>
        </is>
      </c>
      <c r="F940" t="n">
        <v>1342</v>
      </c>
      <c r="G940" t="inlineStr">
        <is>
          <t>TVS</t>
        </is>
      </c>
      <c r="H940" t="inlineStr">
        <is>
          <t>38.1-0-2-ERW 1-FC</t>
        </is>
      </c>
      <c r="I940" t="inlineStr">
        <is>
          <t>38.1-0-2-ERW 1-FC-0.425</t>
        </is>
      </c>
      <c r="J940" t="n">
        <v>0.425</v>
      </c>
      <c r="K940" t="inlineStr">
        <is>
          <t>CTL</t>
        </is>
      </c>
    </row>
    <row r="941" hidden="1" s="584">
      <c r="A941" t="n">
        <v>1940738</v>
      </c>
      <c r="B941" t="inlineStr">
        <is>
          <t>TUB-O-O-AUT-AW-FC-38.10X2.000X0.4250</t>
        </is>
      </c>
      <c r="C941" t="n">
        <v>1.97143</v>
      </c>
      <c r="D941" t="n">
        <v>4731</v>
      </c>
      <c r="E941" t="inlineStr">
        <is>
          <t>Neel Metal Products Limited</t>
        </is>
      </c>
      <c r="F941" t="n">
        <v>1343</v>
      </c>
      <c r="G941" t="inlineStr">
        <is>
          <t>TVS</t>
        </is>
      </c>
      <c r="H941" t="inlineStr">
        <is>
          <t>38.1-0-2-ERW 1-FC</t>
        </is>
      </c>
      <c r="I941" t="inlineStr">
        <is>
          <t>38.1-0-2-ERW 1-FC-0.425</t>
        </is>
      </c>
      <c r="J941" t="n">
        <v>0.425</v>
      </c>
      <c r="K941" t="inlineStr">
        <is>
          <t>CTL</t>
        </is>
      </c>
    </row>
    <row r="942" hidden="1" s="584">
      <c r="A942" t="n">
        <v>1940738</v>
      </c>
      <c r="B942" t="inlineStr">
        <is>
          <t>TUB-O-O-AUT-AW-FC-38.10X2.000X0.4250</t>
        </is>
      </c>
      <c r="C942" t="n">
        <v>1.658545</v>
      </c>
      <c r="D942" t="n">
        <v>4731</v>
      </c>
      <c r="E942" t="inlineStr">
        <is>
          <t>Neel Metal Products Limited</t>
        </is>
      </c>
      <c r="F942" t="n">
        <v>1344</v>
      </c>
      <c r="G942" t="inlineStr">
        <is>
          <t>TVS</t>
        </is>
      </c>
      <c r="H942" t="inlineStr">
        <is>
          <t>38.1-0-2-ERW 1-FC</t>
        </is>
      </c>
      <c r="I942" t="inlineStr">
        <is>
          <t>38.1-0-2-ERW 1-FC-0.425</t>
        </is>
      </c>
      <c r="J942" t="n">
        <v>0.425</v>
      </c>
      <c r="K942" t="inlineStr">
        <is>
          <t>CTL</t>
        </is>
      </c>
    </row>
    <row r="943" hidden="1" s="584">
      <c r="A943" t="n">
        <v>1940738</v>
      </c>
      <c r="B943" t="inlineStr">
        <is>
          <t>TUB-O-O-AUT-AW-FC-38.10X2.000X0.4250</t>
        </is>
      </c>
      <c r="C943" t="n">
        <v>0.068845</v>
      </c>
      <c r="D943" t="n">
        <v>4731</v>
      </c>
      <c r="E943" t="inlineStr">
        <is>
          <t>Neel Metal Products Limited</t>
        </is>
      </c>
      <c r="F943" t="n">
        <v>1345</v>
      </c>
      <c r="G943" t="inlineStr">
        <is>
          <t>TVS</t>
        </is>
      </c>
      <c r="H943" t="inlineStr">
        <is>
          <t>38.1-0-2-ERW 1-FC</t>
        </is>
      </c>
      <c r="I943" t="inlineStr">
        <is>
          <t>38.1-0-2-ERW 1-FC-0.425</t>
        </is>
      </c>
      <c r="J943" t="n">
        <v>0.425</v>
      </c>
      <c r="K943" t="inlineStr">
        <is>
          <t>CTL</t>
        </is>
      </c>
    </row>
    <row r="944" hidden="1" s="584">
      <c r="A944" t="n">
        <v>1940738</v>
      </c>
      <c r="B944" t="inlineStr">
        <is>
          <t>TUB-O-O-AUT-AW-FC-38.10X2.000X0.4250</t>
        </is>
      </c>
      <c r="C944" t="n">
        <v>0.05876</v>
      </c>
      <c r="D944" t="n">
        <v>4731</v>
      </c>
      <c r="E944" t="inlineStr">
        <is>
          <t>Neel Metal Products Limited</t>
        </is>
      </c>
      <c r="F944" t="n">
        <v>1346</v>
      </c>
      <c r="G944" t="inlineStr">
        <is>
          <t>TVS</t>
        </is>
      </c>
      <c r="H944" t="inlineStr">
        <is>
          <t>38.1-0-2-ERW 1-FC</t>
        </is>
      </c>
      <c r="I944" t="inlineStr">
        <is>
          <t>38.1-0-2-ERW 1-FC-0.425</t>
        </is>
      </c>
      <c r="J944" t="n">
        <v>0.425</v>
      </c>
      <c r="K944" t="inlineStr">
        <is>
          <t>CTL</t>
        </is>
      </c>
    </row>
    <row r="945" hidden="1" s="584">
      <c r="A945" t="n">
        <v>3682066</v>
      </c>
      <c r="B945" t="inlineStr">
        <is>
          <t>TUB-O-N-AUT-AW-FC-25.40X2.500X5.9500</t>
        </is>
      </c>
      <c r="C945" t="n">
        <v>2.82683</v>
      </c>
      <c r="D945" t="n">
        <v>4731</v>
      </c>
      <c r="E945" t="inlineStr">
        <is>
          <t>SANDHAR ENGINEERING PVT LTD.(KA) -U</t>
        </is>
      </c>
      <c r="F945" t="n">
        <v>1715</v>
      </c>
      <c r="G945" t="inlineStr">
        <is>
          <t>TVS</t>
        </is>
      </c>
      <c r="H945" t="inlineStr">
        <is>
          <t>25.4-0-2.5-ERW 1-FC</t>
        </is>
      </c>
      <c r="I945" t="inlineStr">
        <is>
          <t>25.4-0-2.5-ERW 1-FC-1</t>
        </is>
      </c>
      <c r="J945" t="n">
        <v>5.95</v>
      </c>
      <c r="K945" t="inlineStr">
        <is>
          <t>LL</t>
        </is>
      </c>
    </row>
    <row r="946" hidden="1" s="584">
      <c r="A946" t="n">
        <v>3682066</v>
      </c>
      <c r="B946" t="inlineStr">
        <is>
          <t>TUB-O-N-AUT-AW-FC-25.40X2.500X5.9500</t>
        </is>
      </c>
      <c r="C946" t="n">
        <v>2.83493</v>
      </c>
      <c r="D946" t="n">
        <v>4731</v>
      </c>
      <c r="E946" t="inlineStr">
        <is>
          <t>SANDHAR ENGINEERING PVT LTD.(KA) -U</t>
        </is>
      </c>
      <c r="F946" t="n">
        <v>1716</v>
      </c>
      <c r="G946" t="inlineStr">
        <is>
          <t>TVS</t>
        </is>
      </c>
      <c r="H946" t="inlineStr">
        <is>
          <t>25.4-0-2.5-ERW 1-FC</t>
        </is>
      </c>
      <c r="I946" t="inlineStr">
        <is>
          <t>25.4-0-2.5-ERW 1-FC-1</t>
        </is>
      </c>
      <c r="J946" t="n">
        <v>5.95</v>
      </c>
      <c r="K946" t="inlineStr">
        <is>
          <t>LL</t>
        </is>
      </c>
    </row>
    <row r="947" hidden="1" s="584">
      <c r="A947" t="n">
        <v>3682066</v>
      </c>
      <c r="B947" t="inlineStr">
        <is>
          <t>TUB-O-N-AUT-AW-FC-25.40X2.500X5.9500</t>
        </is>
      </c>
      <c r="C947" t="n">
        <v>0.169274</v>
      </c>
      <c r="D947" t="n">
        <v>4731</v>
      </c>
      <c r="E947" t="inlineStr">
        <is>
          <t>SANDHAR ENGINEERING PVT LTD.(KA) -U</t>
        </is>
      </c>
      <c r="F947" t="n">
        <v>1717</v>
      </c>
      <c r="G947" t="inlineStr">
        <is>
          <t>TVS</t>
        </is>
      </c>
      <c r="H947" t="inlineStr">
        <is>
          <t>25.4-0-2.5-ERW 1-FC</t>
        </is>
      </c>
      <c r="I947" t="inlineStr">
        <is>
          <t>25.4-0-2.5-ERW 1-FC-1</t>
        </is>
      </c>
      <c r="J947" t="n">
        <v>5.95</v>
      </c>
      <c r="K947" t="inlineStr">
        <is>
          <t>LL</t>
        </is>
      </c>
    </row>
    <row r="948" hidden="1" s="584">
      <c r="A948" t="n">
        <v>3682066</v>
      </c>
      <c r="B948" t="inlineStr">
        <is>
          <t>TUB-O-N-AUT-AW-FC-25.40X2.500X5.9500</t>
        </is>
      </c>
      <c r="C948" t="n">
        <v>0.49493</v>
      </c>
      <c r="D948" t="n">
        <v>4731</v>
      </c>
      <c r="E948" t="inlineStr">
        <is>
          <t>SANDHAR ENGINEERING PVT LTD.(KA) -U</t>
        </is>
      </c>
      <c r="F948" t="n">
        <v>1718</v>
      </c>
      <c r="G948" t="inlineStr">
        <is>
          <t>TVS</t>
        </is>
      </c>
      <c r="H948" t="inlineStr">
        <is>
          <t>25.4-0-2.5-ERW 1-FC</t>
        </is>
      </c>
      <c r="I948" t="inlineStr">
        <is>
          <t>25.4-0-2.5-ERW 1-FC-1</t>
        </is>
      </c>
      <c r="J948" t="n">
        <v>5.95</v>
      </c>
      <c r="K948" t="inlineStr">
        <is>
          <t>LL</t>
        </is>
      </c>
    </row>
    <row r="949" hidden="1" s="584">
      <c r="A949" t="n">
        <v>3682066</v>
      </c>
      <c r="B949" t="inlineStr">
        <is>
          <t>TUB-O-N-AUT-AW-FC-25.40X2.500X5.9500</t>
        </is>
      </c>
      <c r="C949" t="n">
        <v>1.700414</v>
      </c>
      <c r="D949" t="n">
        <v>4731</v>
      </c>
      <c r="E949" t="inlineStr">
        <is>
          <t>SANDHAR ENGINEERING PVT LTD.(KA) -U</t>
        </is>
      </c>
      <c r="F949" t="n">
        <v>1719</v>
      </c>
      <c r="G949" t="inlineStr">
        <is>
          <t>TVS</t>
        </is>
      </c>
      <c r="H949" t="inlineStr">
        <is>
          <t>25.4-0-2.5-ERW 1-FC</t>
        </is>
      </c>
      <c r="I949" t="inlineStr">
        <is>
          <t>25.4-0-2.5-ERW 1-FC-1</t>
        </is>
      </c>
      <c r="J949" t="n">
        <v>5.95</v>
      </c>
      <c r="K949" t="inlineStr">
        <is>
          <t>LL</t>
        </is>
      </c>
    </row>
    <row r="950" hidden="1" s="584">
      <c r="A950" t="n">
        <v>3770391</v>
      </c>
      <c r="B950" t="inlineStr">
        <is>
          <t>TUB-O-C-AUT-AD-FC-25.40X2.500X6.0500</t>
        </is>
      </c>
      <c r="C950" t="n">
        <v>0.11963</v>
      </c>
      <c r="D950" t="n">
        <v>4731</v>
      </c>
      <c r="E950" t="inlineStr">
        <is>
          <t>Rajsriya Automotive Ind Pvt Ltd.</t>
        </is>
      </c>
      <c r="F950" t="n">
        <v>1783</v>
      </c>
      <c r="G950" t="inlineStr">
        <is>
          <t>TVS</t>
        </is>
      </c>
      <c r="H950" t="inlineStr">
        <is>
          <t>25.4-0-2.5-CEW-CEW</t>
        </is>
      </c>
      <c r="I950" t="inlineStr">
        <is>
          <t>25.4-0-2.5-CEW-CEW-1</t>
        </is>
      </c>
      <c r="J950" t="n">
        <v>6.05</v>
      </c>
      <c r="K950" t="inlineStr">
        <is>
          <t>LL</t>
        </is>
      </c>
    </row>
    <row r="951" hidden="1" s="584">
      <c r="A951" t="n">
        <v>3770391</v>
      </c>
      <c r="B951" t="inlineStr">
        <is>
          <t>TUB-O-C-AUT-AD-FC-25.40X2.500X6.0500</t>
        </is>
      </c>
      <c r="C951" t="n">
        <v>1.425</v>
      </c>
      <c r="D951" t="n">
        <v>4731</v>
      </c>
      <c r="E951" t="inlineStr">
        <is>
          <t>Rajsriya Automotive Ind Pvt Ltd.</t>
        </is>
      </c>
      <c r="F951" t="n">
        <v>1784</v>
      </c>
      <c r="G951" t="inlineStr">
        <is>
          <t>TVS</t>
        </is>
      </c>
      <c r="H951" t="inlineStr">
        <is>
          <t>25.4-0-2.5-CEW-CEW</t>
        </is>
      </c>
      <c r="I951" t="inlineStr">
        <is>
          <t>25.4-0-2.5-CEW-CEW-1</t>
        </is>
      </c>
      <c r="J951" t="n">
        <v>6.05</v>
      </c>
      <c r="K951" t="inlineStr">
        <is>
          <t>LL</t>
        </is>
      </c>
    </row>
    <row r="952" hidden="1" s="584">
      <c r="A952" t="n">
        <v>3770391</v>
      </c>
      <c r="B952" t="inlineStr">
        <is>
          <t>TUB-O-C-AUT-AD-FC-25.40X2.500X6.0500</t>
        </is>
      </c>
      <c r="C952" t="n">
        <v>1.23877</v>
      </c>
      <c r="D952" t="n">
        <v>4731</v>
      </c>
      <c r="E952" t="inlineStr">
        <is>
          <t>Rajsriya Automotive Ind Pvt Ltd.</t>
        </is>
      </c>
      <c r="F952" t="n">
        <v>1785</v>
      </c>
      <c r="G952" t="inlineStr">
        <is>
          <t>TVS</t>
        </is>
      </c>
      <c r="H952" t="inlineStr">
        <is>
          <t>25.4-0-2.5-CEW-CEW</t>
        </is>
      </c>
      <c r="I952" t="inlineStr">
        <is>
          <t>25.4-0-2.5-CEW-CEW-1</t>
        </is>
      </c>
      <c r="J952" t="n">
        <v>6.05</v>
      </c>
      <c r="K952" t="inlineStr">
        <is>
          <t>LL</t>
        </is>
      </c>
    </row>
    <row r="953" hidden="1" s="584">
      <c r="A953" t="n">
        <v>3770391</v>
      </c>
      <c r="B953" t="inlineStr">
        <is>
          <t>TUB-O-C-AUT-AD-FC-25.40X2.500X6.0500</t>
        </is>
      </c>
      <c r="C953" t="n">
        <v>0.257125</v>
      </c>
      <c r="D953" t="n">
        <v>4731</v>
      </c>
      <c r="E953" t="inlineStr">
        <is>
          <t>Rajsriya Automotive Ind Pvt Ltd.</t>
        </is>
      </c>
      <c r="F953" t="n">
        <v>1786</v>
      </c>
      <c r="G953" t="inlineStr">
        <is>
          <t>TVS</t>
        </is>
      </c>
      <c r="H953" t="inlineStr">
        <is>
          <t>25.4-0-2.5-CEW-CEW</t>
        </is>
      </c>
      <c r="I953" t="inlineStr">
        <is>
          <t>25.4-0-2.5-CEW-CEW-1</t>
        </is>
      </c>
      <c r="J953" t="n">
        <v>6.05</v>
      </c>
      <c r="K953" t="inlineStr">
        <is>
          <t>LL</t>
        </is>
      </c>
    </row>
    <row r="954" hidden="1" s="584">
      <c r="A954" t="n">
        <v>3770391</v>
      </c>
      <c r="B954" t="inlineStr">
        <is>
          <t>TUB-O-C-AUT-AD-FC-25.40X2.500X6.0500</t>
        </is>
      </c>
      <c r="C954" t="n">
        <v>1.332</v>
      </c>
      <c r="D954" t="n">
        <v>4731</v>
      </c>
      <c r="E954" t="inlineStr">
        <is>
          <t>Rajsriya Automotive Ind Pvt Ltd.</t>
        </is>
      </c>
      <c r="F954" t="n">
        <v>1787</v>
      </c>
      <c r="G954" t="inlineStr">
        <is>
          <t>TVS</t>
        </is>
      </c>
      <c r="H954" t="inlineStr">
        <is>
          <t>25.4-0-2.5-CEW-CEW</t>
        </is>
      </c>
      <c r="I954" t="inlineStr">
        <is>
          <t>25.4-0-2.5-CEW-CEW-1</t>
        </is>
      </c>
      <c r="J954" t="n">
        <v>6.05</v>
      </c>
      <c r="K954" t="inlineStr">
        <is>
          <t>LL</t>
        </is>
      </c>
    </row>
    <row r="955" hidden="1" s="584">
      <c r="A955" t="n">
        <v>3770391</v>
      </c>
      <c r="B955" t="inlineStr">
        <is>
          <t>TUB-O-C-AUT-AD-FC-25.40X2.500X6.0500</t>
        </is>
      </c>
      <c r="C955" t="n">
        <v>0.15725</v>
      </c>
      <c r="D955" t="n">
        <v>4731</v>
      </c>
      <c r="E955" t="inlineStr">
        <is>
          <t>Rajsriya Automotive Ind Pvt Ltd.</t>
        </is>
      </c>
      <c r="F955" t="n">
        <v>1788</v>
      </c>
      <c r="G955" t="inlineStr">
        <is>
          <t>TVS</t>
        </is>
      </c>
      <c r="H955" t="inlineStr">
        <is>
          <t>25.4-0-2.5-CEW-CEW</t>
        </is>
      </c>
      <c r="I955" t="inlineStr">
        <is>
          <t>25.4-0-2.5-CEW-CEW-1</t>
        </is>
      </c>
      <c r="J955" t="n">
        <v>6.05</v>
      </c>
      <c r="K955" t="inlineStr">
        <is>
          <t>LL</t>
        </is>
      </c>
    </row>
    <row r="956" hidden="1" s="584">
      <c r="A956" t="n">
        <v>3770391</v>
      </c>
      <c r="B956" t="inlineStr">
        <is>
          <t>TUB-O-C-AUT-AD-FC-25.40X2.500X6.0500</t>
        </is>
      </c>
      <c r="C956" t="n">
        <v>1.354</v>
      </c>
      <c r="D956" t="n">
        <v>4731</v>
      </c>
      <c r="E956" t="inlineStr">
        <is>
          <t>Rajsriya Automotive Ind Pvt Ltd.</t>
        </is>
      </c>
      <c r="F956" t="n">
        <v>1789</v>
      </c>
      <c r="G956" t="inlineStr">
        <is>
          <t>TVS</t>
        </is>
      </c>
      <c r="H956" t="inlineStr">
        <is>
          <t>25.4-0-2.5-CEW-CEW</t>
        </is>
      </c>
      <c r="I956" t="inlineStr">
        <is>
          <t>25.4-0-2.5-CEW-CEW-1</t>
        </is>
      </c>
      <c r="J956" t="n">
        <v>6.05</v>
      </c>
      <c r="K956" t="inlineStr">
        <is>
          <t>LL</t>
        </is>
      </c>
    </row>
    <row r="957" hidden="1" s="584">
      <c r="A957" t="n">
        <v>3770391</v>
      </c>
      <c r="B957" t="inlineStr">
        <is>
          <t>TUB-O-C-AUT-AD-FC-25.40X2.500X6.0500</t>
        </is>
      </c>
      <c r="C957" t="n">
        <v>0.363</v>
      </c>
      <c r="D957" t="n">
        <v>4731</v>
      </c>
      <c r="E957" t="inlineStr">
        <is>
          <t>Rajsriya Automotive Ind Pvt Ltd.</t>
        </is>
      </c>
      <c r="F957" t="n">
        <v>1790</v>
      </c>
      <c r="G957" t="inlineStr">
        <is>
          <t>TVS</t>
        </is>
      </c>
      <c r="H957" t="inlineStr">
        <is>
          <t>25.4-0-2.5-CEW-CEW</t>
        </is>
      </c>
      <c r="I957" t="inlineStr">
        <is>
          <t>25.4-0-2.5-CEW-CEW-1</t>
        </is>
      </c>
      <c r="J957" t="n">
        <v>6.05</v>
      </c>
      <c r="K957" t="inlineStr">
        <is>
          <t>LL</t>
        </is>
      </c>
    </row>
    <row r="958" hidden="1" s="584">
      <c r="A958" t="n">
        <v>1940743</v>
      </c>
      <c r="B958" t="inlineStr">
        <is>
          <t>TUB-O-O-AUT-AW-FC-38.10X2.000X0.8120</t>
        </is>
      </c>
      <c r="C958" t="n">
        <v>0.141829</v>
      </c>
      <c r="D958" t="n">
        <v>4731</v>
      </c>
      <c r="E958" t="inlineStr">
        <is>
          <t>Neel Metal Products Limited</t>
        </is>
      </c>
      <c r="F958" t="n">
        <v>1347</v>
      </c>
      <c r="G958" t="inlineStr">
        <is>
          <t>TVS</t>
        </is>
      </c>
      <c r="H958" t="inlineStr">
        <is>
          <t>38.1-0-2-ERW 1-FC</t>
        </is>
      </c>
      <c r="I958" t="inlineStr">
        <is>
          <t>38.1-0-2-ERW 1-FC-0.812</t>
        </is>
      </c>
      <c r="J958" t="n">
        <v>0.8120000000000001</v>
      </c>
      <c r="K958" t="inlineStr">
        <is>
          <t>CTL</t>
        </is>
      </c>
    </row>
    <row r="959" hidden="1" s="584">
      <c r="A959" t="n">
        <v>1940743</v>
      </c>
      <c r="B959" t="inlineStr">
        <is>
          <t>TUB-O-O-AUT-AW-FC-38.10X2.000X0.8120</t>
        </is>
      </c>
      <c r="C959" t="n">
        <v>0.07542</v>
      </c>
      <c r="D959" t="n">
        <v>4731</v>
      </c>
      <c r="E959" t="inlineStr">
        <is>
          <t>Neel Metal Products Limited</t>
        </is>
      </c>
      <c r="F959" t="n">
        <v>1348</v>
      </c>
      <c r="G959" t="inlineStr">
        <is>
          <t>TVS</t>
        </is>
      </c>
      <c r="H959" t="inlineStr">
        <is>
          <t>38.1-0-2-ERW 1-FC</t>
        </is>
      </c>
      <c r="I959" t="inlineStr">
        <is>
          <t>38.1-0-2-ERW 1-FC-0.812</t>
        </is>
      </c>
      <c r="J959" t="n">
        <v>0.8120000000000001</v>
      </c>
      <c r="K959" t="inlineStr">
        <is>
          <t>CTL</t>
        </is>
      </c>
    </row>
    <row r="960" hidden="1" s="584">
      <c r="A960" t="n">
        <v>1940743</v>
      </c>
      <c r="B960" t="inlineStr">
        <is>
          <t>TUB-O-O-AUT-AW-FC-38.10X2.000X0.8120</t>
        </is>
      </c>
      <c r="C960" t="n">
        <v>0.119035</v>
      </c>
      <c r="D960" t="n">
        <v>4731</v>
      </c>
      <c r="E960" t="inlineStr">
        <is>
          <t>Neel Metal Products Limited</t>
        </is>
      </c>
      <c r="F960" t="n">
        <v>1349</v>
      </c>
      <c r="G960" t="inlineStr">
        <is>
          <t>TVS</t>
        </is>
      </c>
      <c r="H960" t="inlineStr">
        <is>
          <t>38.1-0-2-ERW 1-FC</t>
        </is>
      </c>
      <c r="I960" t="inlineStr">
        <is>
          <t>38.1-0-2-ERW 1-FC-0.812</t>
        </is>
      </c>
      <c r="J960" t="n">
        <v>0.8120000000000001</v>
      </c>
      <c r="K960" t="inlineStr">
        <is>
          <t>CTL</t>
        </is>
      </c>
    </row>
    <row r="961" hidden="1" s="584">
      <c r="A961" t="n">
        <v>1940743</v>
      </c>
      <c r="B961" t="inlineStr">
        <is>
          <t>TUB-O-O-AUT-AW-FC-38.10X2.000X0.8120</t>
        </is>
      </c>
      <c r="C961" t="n">
        <v>0.36612</v>
      </c>
      <c r="D961" t="n">
        <v>4731</v>
      </c>
      <c r="E961" t="inlineStr">
        <is>
          <t>Neel Metal Products Limited</t>
        </is>
      </c>
      <c r="F961" t="n">
        <v>1350</v>
      </c>
      <c r="G961" t="inlineStr">
        <is>
          <t>TVS</t>
        </is>
      </c>
      <c r="H961" t="inlineStr">
        <is>
          <t>38.1-0-2-ERW 1-FC</t>
        </is>
      </c>
      <c r="I961" t="inlineStr">
        <is>
          <t>38.1-0-2-ERW 1-FC-0.812</t>
        </is>
      </c>
      <c r="J961" t="n">
        <v>0.8120000000000001</v>
      </c>
      <c r="K961" t="inlineStr">
        <is>
          <t>CTL</t>
        </is>
      </c>
    </row>
    <row r="962" hidden="1" s="584">
      <c r="A962" t="n">
        <v>1940743</v>
      </c>
      <c r="B962" t="inlineStr">
        <is>
          <t>TUB-O-O-AUT-AW-FC-38.10X2.000X0.8120</t>
        </is>
      </c>
      <c r="C962" t="n">
        <v>1.555896</v>
      </c>
      <c r="D962" t="n">
        <v>4731</v>
      </c>
      <c r="E962" t="inlineStr">
        <is>
          <t>Neel Metal Products Limited</t>
        </is>
      </c>
      <c r="F962" t="n">
        <v>1351</v>
      </c>
      <c r="G962" t="inlineStr">
        <is>
          <t>TVS</t>
        </is>
      </c>
      <c r="H962" t="inlineStr">
        <is>
          <t>38.1-0-2-ERW 1-FC</t>
        </is>
      </c>
      <c r="I962" t="inlineStr">
        <is>
          <t>38.1-0-2-ERW 1-FC-0.812</t>
        </is>
      </c>
      <c r="J962" t="n">
        <v>0.8120000000000001</v>
      </c>
      <c r="K962" t="inlineStr">
        <is>
          <t>CTL</t>
        </is>
      </c>
    </row>
    <row r="963" hidden="1" s="584">
      <c r="A963" t="n">
        <v>1940743</v>
      </c>
      <c r="B963" t="inlineStr">
        <is>
          <t>TUB-O-O-AUT-AW-FC-38.10X2.000X0.8120</t>
        </is>
      </c>
      <c r="C963" t="n">
        <v>7.083452</v>
      </c>
      <c r="D963" t="n">
        <v>8406</v>
      </c>
      <c r="E963" t="inlineStr">
        <is>
          <t>Neel Metal Products Limited</t>
        </is>
      </c>
      <c r="F963" t="n">
        <v>1352</v>
      </c>
      <c r="G963" t="inlineStr">
        <is>
          <t>TVS</t>
        </is>
      </c>
      <c r="H963" t="inlineStr">
        <is>
          <t>38.1-0-2-ERW 1-FC</t>
        </is>
      </c>
      <c r="I963" t="inlineStr">
        <is>
          <t>38.1-0-2-ERW 1-FC-0.812</t>
        </is>
      </c>
      <c r="J963" t="n">
        <v>0.8120000000000001</v>
      </c>
      <c r="K963" t="inlineStr">
        <is>
          <t>CTL</t>
        </is>
      </c>
    </row>
    <row r="964" hidden="1" s="584">
      <c r="A964" t="n">
        <v>2410997</v>
      </c>
      <c r="B964" t="inlineStr">
        <is>
          <t>TUB-O-C-AUT-AD-FC-25.40X3.200X04-05</t>
        </is>
      </c>
      <c r="C964" t="n">
        <v>0.198385</v>
      </c>
      <c r="D964" t="n">
        <v>4731</v>
      </c>
      <c r="E964" t="inlineStr">
        <is>
          <t>SANDHAR ENGINEERING PVT LTD.(KA) -U</t>
        </is>
      </c>
      <c r="F964" t="n">
        <v>1394</v>
      </c>
      <c r="G964" t="inlineStr">
        <is>
          <t>TVS</t>
        </is>
      </c>
      <c r="H964" t="inlineStr">
        <is>
          <t>25.4-19-3.2-CEW-CEW</t>
        </is>
      </c>
      <c r="I964" t="inlineStr">
        <is>
          <t>25.4-19-3.2-CEW-CEW-1</t>
        </is>
      </c>
      <c r="J964" t="n">
        <v>6</v>
      </c>
      <c r="K964" t="inlineStr">
        <is>
          <t>LL</t>
        </is>
      </c>
    </row>
    <row r="965" hidden="1" s="584">
      <c r="A965" t="n">
        <v>3770392</v>
      </c>
      <c r="B965" t="inlineStr">
        <is>
          <t>TUB-O-C-AUT-AD-FC-25.40X3.500X5.6000</t>
        </is>
      </c>
      <c r="C965" t="n">
        <v>0.150597</v>
      </c>
      <c r="D965" t="n">
        <v>4731</v>
      </c>
      <c r="E965" t="inlineStr">
        <is>
          <t>Narasipur Auto Component(P)Ltd</t>
        </is>
      </c>
      <c r="F965" t="n">
        <v>1791</v>
      </c>
      <c r="G965" t="inlineStr">
        <is>
          <t>TVS</t>
        </is>
      </c>
      <c r="H965" t="inlineStr">
        <is>
          <t>25.4-18.4-3.5-CEW-CEW</t>
        </is>
      </c>
      <c r="I965" t="inlineStr">
        <is>
          <t>25.4-18.4-3.5-CEW-CEW-1</t>
        </is>
      </c>
      <c r="J965" t="n">
        <v>5.6</v>
      </c>
      <c r="K965" t="inlineStr">
        <is>
          <t>LL</t>
        </is>
      </c>
    </row>
    <row r="966" hidden="1" s="584">
      <c r="A966" t="n">
        <v>3770392</v>
      </c>
      <c r="B966" t="inlineStr">
        <is>
          <t>TUB-O-C-AUT-AD-FC-25.40X3.500X5.6000</t>
        </is>
      </c>
      <c r="C966" t="n">
        <v>1.294</v>
      </c>
      <c r="D966" t="inlineStr">
        <is>
          <t>0788</t>
        </is>
      </c>
      <c r="E966" t="inlineStr">
        <is>
          <t>Narasipur Auto Component(P)Ltd</t>
        </is>
      </c>
      <c r="F966" t="n">
        <v>2230</v>
      </c>
      <c r="G966" t="inlineStr">
        <is>
          <t>TVS</t>
        </is>
      </c>
      <c r="H966" t="inlineStr">
        <is>
          <t>25.4-18.4-3.5-CEW-CEW</t>
        </is>
      </c>
      <c r="I966" t="inlineStr">
        <is>
          <t>25.4-18.4-3.5-CEW-CEW-1</t>
        </is>
      </c>
      <c r="J966" t="n">
        <v>5.6</v>
      </c>
      <c r="K966" t="inlineStr">
        <is>
          <t>LL</t>
        </is>
      </c>
    </row>
    <row r="967" hidden="1" s="584">
      <c r="A967" t="n">
        <v>3770392</v>
      </c>
      <c r="B967" t="inlineStr">
        <is>
          <t>TUB-O-C-AUT-AD-FC-25.40X3.500X5.6000</t>
        </is>
      </c>
      <c r="C967" t="n">
        <v>0.265</v>
      </c>
      <c r="D967" t="inlineStr">
        <is>
          <t>0788</t>
        </is>
      </c>
      <c r="E967" t="inlineStr">
        <is>
          <t>Narasipur Auto Component(P)Ltd</t>
        </is>
      </c>
      <c r="F967" t="n">
        <v>2231</v>
      </c>
      <c r="G967" t="inlineStr">
        <is>
          <t>TVS</t>
        </is>
      </c>
      <c r="H967" t="inlineStr">
        <is>
          <t>25.4-18.4-3.5-CEW-CEW</t>
        </is>
      </c>
      <c r="I967" t="inlineStr">
        <is>
          <t>25.4-18.4-3.5-CEW-CEW-1</t>
        </is>
      </c>
      <c r="J967" t="n">
        <v>5.6</v>
      </c>
      <c r="K967" t="inlineStr">
        <is>
          <t>LL</t>
        </is>
      </c>
    </row>
    <row r="968" hidden="1" s="584">
      <c r="A968" t="n">
        <v>3770392</v>
      </c>
      <c r="B968" t="inlineStr">
        <is>
          <t>TUB-O-C-AUT-AD-FC-25.40X3.500X5.6000</t>
        </is>
      </c>
      <c r="C968" t="n">
        <v>1.693</v>
      </c>
      <c r="D968" t="inlineStr">
        <is>
          <t>0788</t>
        </is>
      </c>
      <c r="E968" t="inlineStr">
        <is>
          <t>Narasipur Auto Component(P)Ltd</t>
        </is>
      </c>
      <c r="F968" t="n">
        <v>2232</v>
      </c>
      <c r="G968" t="inlineStr">
        <is>
          <t>TVS</t>
        </is>
      </c>
      <c r="H968" t="inlineStr">
        <is>
          <t>25.4-18.4-3.5-CEW-CEW</t>
        </is>
      </c>
      <c r="I968" t="inlineStr">
        <is>
          <t>25.4-18.4-3.5-CEW-CEW-1</t>
        </is>
      </c>
      <c r="J968" t="n">
        <v>5.6</v>
      </c>
      <c r="K968" t="inlineStr">
        <is>
          <t>LL</t>
        </is>
      </c>
    </row>
    <row r="969" hidden="1" s="584">
      <c r="A969" t="n">
        <v>3770392</v>
      </c>
      <c r="B969" t="inlineStr">
        <is>
          <t>TUB-O-C-AUT-AD-FC-25.40X3.500X5.6000</t>
        </is>
      </c>
      <c r="C969" t="n">
        <v>1.598</v>
      </c>
      <c r="D969" t="inlineStr">
        <is>
          <t>0788</t>
        </is>
      </c>
      <c r="E969" t="inlineStr">
        <is>
          <t>Narasipur Auto Component(P)Ltd</t>
        </is>
      </c>
      <c r="F969" t="n">
        <v>2233</v>
      </c>
      <c r="G969" t="inlineStr">
        <is>
          <t>TVS</t>
        </is>
      </c>
      <c r="H969" t="inlineStr">
        <is>
          <t>25.4-18.4-3.5-CEW-CEW</t>
        </is>
      </c>
      <c r="I969" t="inlineStr">
        <is>
          <t>25.4-18.4-3.5-CEW-CEW-1</t>
        </is>
      </c>
      <c r="J969" t="n">
        <v>5.6</v>
      </c>
      <c r="K969" t="inlineStr">
        <is>
          <t>LL</t>
        </is>
      </c>
    </row>
    <row r="970" hidden="1" s="584">
      <c r="A970" t="n">
        <v>3770392</v>
      </c>
      <c r="B970" t="inlineStr">
        <is>
          <t>TUB-O-C-AUT-AD-FC-25.40X3.500X5.6000</t>
        </is>
      </c>
      <c r="C970" t="n">
        <v>1.693</v>
      </c>
      <c r="D970" t="inlineStr">
        <is>
          <t>0788</t>
        </is>
      </c>
      <c r="E970" t="inlineStr">
        <is>
          <t>Narasipur Auto Component(P)Ltd</t>
        </is>
      </c>
      <c r="F970" t="n">
        <v>2234</v>
      </c>
      <c r="G970" t="inlineStr">
        <is>
          <t>TVS</t>
        </is>
      </c>
      <c r="H970" t="inlineStr">
        <is>
          <t>25.4-18.4-3.5-CEW-CEW</t>
        </is>
      </c>
      <c r="I970" t="inlineStr">
        <is>
          <t>25.4-18.4-3.5-CEW-CEW-1</t>
        </is>
      </c>
      <c r="J970" t="n">
        <v>5.6</v>
      </c>
      <c r="K970" t="inlineStr">
        <is>
          <t>LL</t>
        </is>
      </c>
    </row>
    <row r="971" hidden="1" s="584">
      <c r="A971" t="n">
        <v>3770392</v>
      </c>
      <c r="B971" t="inlineStr">
        <is>
          <t>TUB-O-C-AUT-AD-FC-25.40X3.500X5.6000</t>
        </is>
      </c>
      <c r="C971" t="n">
        <v>1.333</v>
      </c>
      <c r="D971" t="inlineStr">
        <is>
          <t>0788</t>
        </is>
      </c>
      <c r="E971" t="inlineStr">
        <is>
          <t>Narasipur Auto Component(P)Ltd</t>
        </is>
      </c>
      <c r="F971" t="n">
        <v>2235</v>
      </c>
      <c r="G971" t="inlineStr">
        <is>
          <t>TVS</t>
        </is>
      </c>
      <c r="H971" t="inlineStr">
        <is>
          <t>25.4-18.4-3.5-CEW-CEW</t>
        </is>
      </c>
      <c r="I971" t="inlineStr">
        <is>
          <t>25.4-18.4-3.5-CEW-CEW-1</t>
        </is>
      </c>
      <c r="J971" t="n">
        <v>5.6</v>
      </c>
      <c r="K971" t="inlineStr">
        <is>
          <t>LL</t>
        </is>
      </c>
    </row>
    <row r="972" hidden="1" s="584">
      <c r="A972" t="n">
        <v>3770392</v>
      </c>
      <c r="B972" t="inlineStr">
        <is>
          <t>TUB-O-C-AUT-AD-FC-25.40X3.500X5.6000</t>
        </is>
      </c>
      <c r="C972" t="n">
        <v>1.545</v>
      </c>
      <c r="D972" t="inlineStr">
        <is>
          <t>0788</t>
        </is>
      </c>
      <c r="E972" t="inlineStr">
        <is>
          <t>Narasipur Auto Component(P)Ltd</t>
        </is>
      </c>
      <c r="F972" t="n">
        <v>2236</v>
      </c>
      <c r="G972" t="inlineStr">
        <is>
          <t>TVS</t>
        </is>
      </c>
      <c r="H972" t="inlineStr">
        <is>
          <t>25.4-18.4-3.5-CEW-CEW</t>
        </is>
      </c>
      <c r="I972" t="inlineStr">
        <is>
          <t>25.4-18.4-3.5-CEW-CEW-1</t>
        </is>
      </c>
      <c r="J972" t="n">
        <v>5.6</v>
      </c>
      <c r="K972" t="inlineStr">
        <is>
          <t>LL</t>
        </is>
      </c>
    </row>
    <row r="973" hidden="1" s="584">
      <c r="A973" t="n">
        <v>3770392</v>
      </c>
      <c r="B973" t="inlineStr">
        <is>
          <t>TUB-O-C-AUT-AD-FC-25.40X3.500X5.6000</t>
        </is>
      </c>
      <c r="C973" t="n">
        <v>1.333</v>
      </c>
      <c r="D973" t="inlineStr">
        <is>
          <t>0788</t>
        </is>
      </c>
      <c r="E973" t="inlineStr">
        <is>
          <t>Narasipur Auto Component(P)Ltd</t>
        </is>
      </c>
      <c r="F973" t="n">
        <v>2237</v>
      </c>
      <c r="G973" t="inlineStr">
        <is>
          <t>TVS</t>
        </is>
      </c>
      <c r="H973" t="inlineStr">
        <is>
          <t>25.4-18.4-3.5-CEW-CEW</t>
        </is>
      </c>
      <c r="I973" t="inlineStr">
        <is>
          <t>25.4-18.4-3.5-CEW-CEW-1</t>
        </is>
      </c>
      <c r="J973" t="n">
        <v>5.6</v>
      </c>
      <c r="K973" t="inlineStr">
        <is>
          <t>LL</t>
        </is>
      </c>
    </row>
    <row r="974" hidden="1" s="584">
      <c r="A974" t="n">
        <v>3770392</v>
      </c>
      <c r="B974" t="inlineStr">
        <is>
          <t>TUB-O-C-AUT-AD-FC-25.40X3.500X5.6000</t>
        </is>
      </c>
      <c r="C974" t="n">
        <v>1.537</v>
      </c>
      <c r="D974" t="inlineStr">
        <is>
          <t>0788</t>
        </is>
      </c>
      <c r="E974" t="inlineStr">
        <is>
          <t>Narasipur Auto Component(P)Ltd</t>
        </is>
      </c>
      <c r="F974" t="n">
        <v>2238</v>
      </c>
      <c r="G974" t="inlineStr">
        <is>
          <t>TVS</t>
        </is>
      </c>
      <c r="H974" t="inlineStr">
        <is>
          <t>25.4-18.4-3.5-CEW-CEW</t>
        </is>
      </c>
      <c r="I974" t="inlineStr">
        <is>
          <t>25.4-18.4-3.5-CEW-CEW-1</t>
        </is>
      </c>
      <c r="J974" t="n">
        <v>5.6</v>
      </c>
      <c r="K974" t="inlineStr">
        <is>
          <t>LL</t>
        </is>
      </c>
    </row>
    <row r="975" hidden="1" s="584">
      <c r="A975" t="n">
        <v>3770392</v>
      </c>
      <c r="B975" t="inlineStr">
        <is>
          <t>TUB-O-C-AUT-AD-FC-25.40X3.500X5.6000</t>
        </is>
      </c>
      <c r="C975" t="n">
        <v>1.717</v>
      </c>
      <c r="D975" t="inlineStr">
        <is>
          <t>0788</t>
        </is>
      </c>
      <c r="E975" t="inlineStr">
        <is>
          <t>Narasipur Auto Component(P)Ltd</t>
        </is>
      </c>
      <c r="F975" t="n">
        <v>2239</v>
      </c>
      <c r="G975" t="inlineStr">
        <is>
          <t>TVS</t>
        </is>
      </c>
      <c r="H975" t="inlineStr">
        <is>
          <t>25.4-18.4-3.5-CEW-CEW</t>
        </is>
      </c>
      <c r="I975" t="inlineStr">
        <is>
          <t>25.4-18.4-3.5-CEW-CEW-1</t>
        </is>
      </c>
      <c r="J975" t="n">
        <v>5.6</v>
      </c>
      <c r="K975" t="inlineStr">
        <is>
          <t>LL</t>
        </is>
      </c>
    </row>
    <row r="976" hidden="1" s="584">
      <c r="A976" t="n">
        <v>3770392</v>
      </c>
      <c r="B976" t="inlineStr">
        <is>
          <t>TUB-O-C-AUT-AD-FC-25.40X3.500X5.6000</t>
        </is>
      </c>
      <c r="C976" t="n">
        <v>1.534</v>
      </c>
      <c r="D976" t="inlineStr">
        <is>
          <t>0788</t>
        </is>
      </c>
      <c r="E976" t="inlineStr">
        <is>
          <t>Narasipur Auto Component(P)Ltd</t>
        </is>
      </c>
      <c r="F976" t="n">
        <v>2240</v>
      </c>
      <c r="G976" t="inlineStr">
        <is>
          <t>TVS</t>
        </is>
      </c>
      <c r="H976" t="inlineStr">
        <is>
          <t>25.4-18.4-3.5-CEW-CEW</t>
        </is>
      </c>
      <c r="I976" t="inlineStr">
        <is>
          <t>25.4-18.4-3.5-CEW-CEW-1</t>
        </is>
      </c>
      <c r="J976" t="n">
        <v>5.6</v>
      </c>
      <c r="K976" t="inlineStr">
        <is>
          <t>LL</t>
        </is>
      </c>
    </row>
    <row r="977" hidden="1" s="584">
      <c r="A977" t="n">
        <v>3770392</v>
      </c>
      <c r="B977" t="inlineStr">
        <is>
          <t>TUB-O-C-AUT-AD-FC-25.40X3.500X5.6000</t>
        </is>
      </c>
      <c r="C977" t="n">
        <v>1.693</v>
      </c>
      <c r="D977" t="inlineStr">
        <is>
          <t>0788</t>
        </is>
      </c>
      <c r="E977" t="inlineStr">
        <is>
          <t>Narasipur Auto Component(P)Ltd</t>
        </is>
      </c>
      <c r="F977" t="n">
        <v>2241</v>
      </c>
      <c r="G977" t="inlineStr">
        <is>
          <t>TVS</t>
        </is>
      </c>
      <c r="H977" t="inlineStr">
        <is>
          <t>25.4-18.4-3.5-CEW-CEW</t>
        </is>
      </c>
      <c r="I977" t="inlineStr">
        <is>
          <t>25.4-18.4-3.5-CEW-CEW-1</t>
        </is>
      </c>
      <c r="J977" t="n">
        <v>5.6</v>
      </c>
      <c r="K977" t="inlineStr">
        <is>
          <t>LL</t>
        </is>
      </c>
    </row>
    <row r="978" hidden="1" s="584">
      <c r="A978" t="n">
        <v>3770392</v>
      </c>
      <c r="B978" t="inlineStr">
        <is>
          <t>TUB-O-C-AUT-AD-FC-25.40X3.500X5.6000</t>
        </is>
      </c>
      <c r="C978" t="n">
        <v>1.693</v>
      </c>
      <c r="D978" t="inlineStr">
        <is>
          <t>0788</t>
        </is>
      </c>
      <c r="E978" t="inlineStr">
        <is>
          <t>Narasipur Auto Component(P)Ltd</t>
        </is>
      </c>
      <c r="F978" t="n">
        <v>2242</v>
      </c>
      <c r="G978" t="inlineStr">
        <is>
          <t>TVS</t>
        </is>
      </c>
      <c r="H978" t="inlineStr">
        <is>
          <t>25.4-18.4-3.5-CEW-CEW</t>
        </is>
      </c>
      <c r="I978" t="inlineStr">
        <is>
          <t>25.4-18.4-3.5-CEW-CEW-1</t>
        </is>
      </c>
      <c r="J978" t="n">
        <v>5.6</v>
      </c>
      <c r="K978" t="inlineStr">
        <is>
          <t>LL</t>
        </is>
      </c>
    </row>
    <row r="979" hidden="1" s="584">
      <c r="A979" t="n">
        <v>3770392</v>
      </c>
      <c r="B979" t="inlineStr">
        <is>
          <t>TUB-O-C-AUT-AD-FC-25.40X3.500X5.6000</t>
        </is>
      </c>
      <c r="C979" t="n">
        <v>1.693</v>
      </c>
      <c r="D979" t="inlineStr">
        <is>
          <t>0788</t>
        </is>
      </c>
      <c r="E979" t="inlineStr">
        <is>
          <t>Narasipur Auto Component(P)Ltd</t>
        </is>
      </c>
      <c r="F979" t="n">
        <v>2243</v>
      </c>
      <c r="G979" t="inlineStr">
        <is>
          <t>TVS</t>
        </is>
      </c>
      <c r="H979" t="inlineStr">
        <is>
          <t>25.4-18.4-3.5-CEW-CEW</t>
        </is>
      </c>
      <c r="I979" t="inlineStr">
        <is>
          <t>25.4-18.4-3.5-CEW-CEW-1</t>
        </is>
      </c>
      <c r="J979" t="n">
        <v>5.6</v>
      </c>
      <c r="K979" t="inlineStr">
        <is>
          <t>LL</t>
        </is>
      </c>
    </row>
    <row r="980" hidden="1" s="584">
      <c r="A980" t="n">
        <v>3770392</v>
      </c>
      <c r="B980" t="inlineStr">
        <is>
          <t>TUB-O-C-AUT-AD-FC-25.40X3.500X5.6000</t>
        </is>
      </c>
      <c r="C980" t="n">
        <v>1.611</v>
      </c>
      <c r="D980" t="inlineStr">
        <is>
          <t>0788</t>
        </is>
      </c>
      <c r="E980" t="inlineStr">
        <is>
          <t>Narasipur Auto Component(P)Ltd</t>
        </is>
      </c>
      <c r="F980" t="n">
        <v>2244</v>
      </c>
      <c r="G980" t="inlineStr">
        <is>
          <t>TVS</t>
        </is>
      </c>
      <c r="H980" t="inlineStr">
        <is>
          <t>25.4-18.4-3.5-CEW-CEW</t>
        </is>
      </c>
      <c r="I980" t="inlineStr">
        <is>
          <t>25.4-18.4-3.5-CEW-CEW-1</t>
        </is>
      </c>
      <c r="J980" t="n">
        <v>5.6</v>
      </c>
      <c r="K980" t="inlineStr">
        <is>
          <t>LL</t>
        </is>
      </c>
    </row>
    <row r="981" hidden="1" s="584">
      <c r="A981" t="n">
        <v>3770392</v>
      </c>
      <c r="B981" t="inlineStr">
        <is>
          <t>TUB-O-C-AUT-AD-FC-25.40X3.500X5.6000</t>
        </is>
      </c>
      <c r="C981" t="n">
        <v>1.714</v>
      </c>
      <c r="D981" t="inlineStr">
        <is>
          <t>0788</t>
        </is>
      </c>
      <c r="E981" t="inlineStr">
        <is>
          <t>Narasipur Auto Component(P)Ltd</t>
        </is>
      </c>
      <c r="F981" t="n">
        <v>2245</v>
      </c>
      <c r="G981" t="inlineStr">
        <is>
          <t>TVS</t>
        </is>
      </c>
      <c r="H981" t="inlineStr">
        <is>
          <t>25.4-18.4-3.5-CEW-CEW</t>
        </is>
      </c>
      <c r="I981" t="inlineStr">
        <is>
          <t>25.4-18.4-3.5-CEW-CEW-1</t>
        </is>
      </c>
      <c r="J981" t="n">
        <v>5.6</v>
      </c>
      <c r="K981" t="inlineStr">
        <is>
          <t>LL</t>
        </is>
      </c>
    </row>
    <row r="982" hidden="1" s="584">
      <c r="A982" t="n">
        <v>3770392</v>
      </c>
      <c r="B982" t="inlineStr">
        <is>
          <t>TUB-O-C-AUT-AD-FC-25.40X3.500X5.6000</t>
        </is>
      </c>
      <c r="C982" t="n">
        <v>1.693</v>
      </c>
      <c r="D982" t="inlineStr">
        <is>
          <t>0788</t>
        </is>
      </c>
      <c r="E982" t="inlineStr">
        <is>
          <t>Narasipur Auto Component(P)Ltd</t>
        </is>
      </c>
      <c r="F982" t="n">
        <v>2246</v>
      </c>
      <c r="G982" t="inlineStr">
        <is>
          <t>TVS</t>
        </is>
      </c>
      <c r="H982" t="inlineStr">
        <is>
          <t>25.4-18.4-3.5-CEW-CEW</t>
        </is>
      </c>
      <c r="I982" t="inlineStr">
        <is>
          <t>25.4-18.4-3.5-CEW-CEW-1</t>
        </is>
      </c>
      <c r="J982" t="n">
        <v>5.6</v>
      </c>
      <c r="K982" t="inlineStr">
        <is>
          <t>LL</t>
        </is>
      </c>
    </row>
    <row r="983" hidden="1" s="584">
      <c r="A983" t="n">
        <v>3770392</v>
      </c>
      <c r="B983" t="inlineStr">
        <is>
          <t>TUB-O-C-AUT-AD-FC-25.40X3.500X5.6000</t>
        </is>
      </c>
      <c r="C983" t="n">
        <v>1.717</v>
      </c>
      <c r="D983" t="inlineStr">
        <is>
          <t>0788</t>
        </is>
      </c>
      <c r="E983" t="inlineStr">
        <is>
          <t>Narasipur Auto Component(P)Ltd</t>
        </is>
      </c>
      <c r="F983" t="n">
        <v>2247</v>
      </c>
      <c r="G983" t="inlineStr">
        <is>
          <t>TVS</t>
        </is>
      </c>
      <c r="H983" t="inlineStr">
        <is>
          <t>25.4-18.4-3.5-CEW-CEW</t>
        </is>
      </c>
      <c r="I983" t="inlineStr">
        <is>
          <t>25.4-18.4-3.5-CEW-CEW-1</t>
        </is>
      </c>
      <c r="J983" t="n">
        <v>5.6</v>
      </c>
      <c r="K983" t="inlineStr">
        <is>
          <t>LL</t>
        </is>
      </c>
    </row>
    <row r="984" hidden="1" s="584">
      <c r="A984" t="n">
        <v>3770392</v>
      </c>
      <c r="B984" t="inlineStr">
        <is>
          <t>TUB-O-C-AUT-AD-FC-25.40X3.500X5.6000</t>
        </is>
      </c>
      <c r="C984" t="n">
        <v>1.693</v>
      </c>
      <c r="D984" t="inlineStr">
        <is>
          <t>0788</t>
        </is>
      </c>
      <c r="E984" t="inlineStr">
        <is>
          <t>Narasipur Auto Component(P)Ltd</t>
        </is>
      </c>
      <c r="F984" t="n">
        <v>2248</v>
      </c>
      <c r="G984" t="inlineStr">
        <is>
          <t>TVS</t>
        </is>
      </c>
      <c r="H984" t="inlineStr">
        <is>
          <t>25.4-18.4-3.5-CEW-CEW</t>
        </is>
      </c>
      <c r="I984" t="inlineStr">
        <is>
          <t>25.4-18.4-3.5-CEW-CEW-1</t>
        </is>
      </c>
      <c r="J984" t="n">
        <v>5.6</v>
      </c>
      <c r="K984" t="inlineStr">
        <is>
          <t>LL</t>
        </is>
      </c>
    </row>
    <row r="985" hidden="1" s="584">
      <c r="A985" t="n">
        <v>3770392</v>
      </c>
      <c r="B985" t="inlineStr">
        <is>
          <t>TUB-O-C-AUT-AD-FC-25.40X3.500X5.6000</t>
        </is>
      </c>
      <c r="C985" t="n">
        <v>1.587</v>
      </c>
      <c r="D985" t="inlineStr">
        <is>
          <t>0788</t>
        </is>
      </c>
      <c r="E985" t="inlineStr">
        <is>
          <t>Narasipur Auto Component(P)Ltd</t>
        </is>
      </c>
      <c r="F985" t="n">
        <v>2249</v>
      </c>
      <c r="G985" t="inlineStr">
        <is>
          <t>TVS</t>
        </is>
      </c>
      <c r="H985" t="inlineStr">
        <is>
          <t>25.4-18.4-3.5-CEW-CEW</t>
        </is>
      </c>
      <c r="I985" t="inlineStr">
        <is>
          <t>25.4-18.4-3.5-CEW-CEW-1</t>
        </is>
      </c>
      <c r="J985" t="n">
        <v>5.6</v>
      </c>
      <c r="K985" t="inlineStr">
        <is>
          <t>LL</t>
        </is>
      </c>
    </row>
    <row r="986" hidden="1" s="584">
      <c r="A986" t="n">
        <v>3770392</v>
      </c>
      <c r="B986" t="inlineStr">
        <is>
          <t>TUB-O-C-AUT-AD-FC-25.40X3.500X5.6000</t>
        </is>
      </c>
      <c r="C986" t="n">
        <v>1.704</v>
      </c>
      <c r="D986" t="inlineStr">
        <is>
          <t>0788</t>
        </is>
      </c>
      <c r="E986" t="inlineStr">
        <is>
          <t>Narasipur Auto Component(P)Ltd</t>
        </is>
      </c>
      <c r="F986" t="n">
        <v>2250</v>
      </c>
      <c r="G986" t="inlineStr">
        <is>
          <t>TVS</t>
        </is>
      </c>
      <c r="H986" t="inlineStr">
        <is>
          <t>25.4-18.4-3.5-CEW-CEW</t>
        </is>
      </c>
      <c r="I986" t="inlineStr">
        <is>
          <t>25.4-18.4-3.5-CEW-CEW-1</t>
        </is>
      </c>
      <c r="J986" t="n">
        <v>5.6</v>
      </c>
      <c r="K986" t="inlineStr">
        <is>
          <t>LL</t>
        </is>
      </c>
    </row>
    <row r="987" hidden="1" s="584">
      <c r="A987" t="n">
        <v>3770392</v>
      </c>
      <c r="B987" t="inlineStr">
        <is>
          <t>TUB-O-C-AUT-AD-FC-25.40X3.500X5.6000</t>
        </is>
      </c>
      <c r="C987" t="n">
        <v>1.693</v>
      </c>
      <c r="D987" t="inlineStr">
        <is>
          <t>0788</t>
        </is>
      </c>
      <c r="E987" t="inlineStr">
        <is>
          <t>Narasipur Auto Component(P)Ltd</t>
        </is>
      </c>
      <c r="F987" t="n">
        <v>2251</v>
      </c>
      <c r="G987" t="inlineStr">
        <is>
          <t>TVS</t>
        </is>
      </c>
      <c r="H987" t="inlineStr">
        <is>
          <t>25.4-18.4-3.5-CEW-CEW</t>
        </is>
      </c>
      <c r="I987" t="inlineStr">
        <is>
          <t>25.4-18.4-3.5-CEW-CEW-1</t>
        </is>
      </c>
      <c r="J987" t="n">
        <v>5.6</v>
      </c>
      <c r="K987" t="inlineStr">
        <is>
          <t>LL</t>
        </is>
      </c>
    </row>
    <row r="988" hidden="1" s="584">
      <c r="A988" t="n">
        <v>3770392</v>
      </c>
      <c r="B988" t="inlineStr">
        <is>
          <t>TUB-O-C-AUT-AD-FC-25.40X3.500X5.6000</t>
        </is>
      </c>
      <c r="C988" t="n">
        <v>1.693</v>
      </c>
      <c r="D988" t="inlineStr">
        <is>
          <t>0788</t>
        </is>
      </c>
      <c r="E988" t="inlineStr">
        <is>
          <t>Narasipur Auto Component(P)Ltd</t>
        </is>
      </c>
      <c r="F988" t="n">
        <v>2252</v>
      </c>
      <c r="G988" t="inlineStr">
        <is>
          <t>TVS</t>
        </is>
      </c>
      <c r="H988" t="inlineStr">
        <is>
          <t>25.4-18.4-3.5-CEW-CEW</t>
        </is>
      </c>
      <c r="I988" t="inlineStr">
        <is>
          <t>25.4-18.4-3.5-CEW-CEW-1</t>
        </is>
      </c>
      <c r="J988" t="n">
        <v>5.6</v>
      </c>
      <c r="K988" t="inlineStr">
        <is>
          <t>LL</t>
        </is>
      </c>
    </row>
    <row r="989" hidden="1" s="584">
      <c r="A989" t="n">
        <v>3770392</v>
      </c>
      <c r="B989" t="inlineStr">
        <is>
          <t>TUB-O-C-AUT-AD-FC-25.40X3.500X5.6000</t>
        </is>
      </c>
      <c r="C989" t="n">
        <v>1.608</v>
      </c>
      <c r="D989" t="inlineStr">
        <is>
          <t>0788</t>
        </is>
      </c>
      <c r="E989" t="inlineStr">
        <is>
          <t>Narasipur Auto Component(P)Ltd</t>
        </is>
      </c>
      <c r="F989" t="n">
        <v>2253</v>
      </c>
      <c r="G989" t="inlineStr">
        <is>
          <t>TVS</t>
        </is>
      </c>
      <c r="H989" t="inlineStr">
        <is>
          <t>25.4-18.4-3.5-CEW-CEW</t>
        </is>
      </c>
      <c r="I989" t="inlineStr">
        <is>
          <t>25.4-18.4-3.5-CEW-CEW-1</t>
        </is>
      </c>
      <c r="J989" t="n">
        <v>5.6</v>
      </c>
      <c r="K989" t="inlineStr">
        <is>
          <t>LL</t>
        </is>
      </c>
    </row>
    <row r="990" hidden="1" s="584">
      <c r="A990" t="n">
        <v>3770392</v>
      </c>
      <c r="B990" t="inlineStr">
        <is>
          <t>TUB-O-C-AUT-AD-FC-25.40X3.500X5.6000</t>
        </is>
      </c>
      <c r="C990" t="n">
        <v>1.545</v>
      </c>
      <c r="D990" t="inlineStr">
        <is>
          <t>0788</t>
        </is>
      </c>
      <c r="E990" t="inlineStr">
        <is>
          <t>Narasipur Auto Component(P)Ltd</t>
        </is>
      </c>
      <c r="F990" t="n">
        <v>2254</v>
      </c>
      <c r="G990" t="inlineStr">
        <is>
          <t>TVS</t>
        </is>
      </c>
      <c r="H990" t="inlineStr">
        <is>
          <t>25.4-18.4-3.5-CEW-CEW</t>
        </is>
      </c>
      <c r="I990" t="inlineStr">
        <is>
          <t>25.4-18.4-3.5-CEW-CEW-1</t>
        </is>
      </c>
      <c r="J990" t="n">
        <v>5.6</v>
      </c>
      <c r="K990" t="inlineStr">
        <is>
          <t>LL</t>
        </is>
      </c>
    </row>
    <row r="991" hidden="1" s="584">
      <c r="A991" t="n">
        <v>3770392</v>
      </c>
      <c r="B991" t="inlineStr">
        <is>
          <t>TUB-O-C-AUT-AD-FC-25.40X3.500X5.6000</t>
        </is>
      </c>
      <c r="C991" t="n">
        <v>1.82</v>
      </c>
      <c r="D991" t="inlineStr">
        <is>
          <t>0788</t>
        </is>
      </c>
      <c r="E991" t="inlineStr">
        <is>
          <t>Narasipur Auto Component(P)Ltd</t>
        </is>
      </c>
      <c r="F991" t="n">
        <v>2255</v>
      </c>
      <c r="G991" t="inlineStr">
        <is>
          <t>TVS</t>
        </is>
      </c>
      <c r="H991" t="inlineStr">
        <is>
          <t>25.4-18.4-3.5-CEW-CEW</t>
        </is>
      </c>
      <c r="I991" t="inlineStr">
        <is>
          <t>25.4-18.4-3.5-CEW-CEW-1</t>
        </is>
      </c>
      <c r="J991" t="n">
        <v>5.6</v>
      </c>
      <c r="K991" t="inlineStr">
        <is>
          <t>LL</t>
        </is>
      </c>
    </row>
    <row r="992" hidden="1" s="584">
      <c r="A992" t="n">
        <v>3770392</v>
      </c>
      <c r="B992" t="inlineStr">
        <is>
          <t>TUB-O-C-AUT-AD-FC-25.40X3.500X5.6000</t>
        </is>
      </c>
      <c r="C992" t="n">
        <v>1.717</v>
      </c>
      <c r="D992" t="inlineStr">
        <is>
          <t>0788</t>
        </is>
      </c>
      <c r="E992" t="inlineStr">
        <is>
          <t>Narasipur Auto Component(P)Ltd</t>
        </is>
      </c>
      <c r="F992" t="n">
        <v>2256</v>
      </c>
      <c r="G992" t="inlineStr">
        <is>
          <t>TVS</t>
        </is>
      </c>
      <c r="H992" t="inlineStr">
        <is>
          <t>25.4-18.4-3.5-CEW-CEW</t>
        </is>
      </c>
      <c r="I992" t="inlineStr">
        <is>
          <t>25.4-18.4-3.5-CEW-CEW-1</t>
        </is>
      </c>
      <c r="J992" t="n">
        <v>5.6</v>
      </c>
      <c r="K992" t="inlineStr">
        <is>
          <t>LL</t>
        </is>
      </c>
    </row>
    <row r="993" hidden="1" s="584">
      <c r="A993" t="n">
        <v>3770392</v>
      </c>
      <c r="B993" t="inlineStr">
        <is>
          <t>TUB-O-C-AUT-AD-FC-25.40X3.500X5.6000</t>
        </is>
      </c>
      <c r="C993" t="n">
        <v>1.693</v>
      </c>
      <c r="D993" t="inlineStr">
        <is>
          <t>0788</t>
        </is>
      </c>
      <c r="E993" t="inlineStr">
        <is>
          <t>Narasipur Auto Component(P)Ltd</t>
        </is>
      </c>
      <c r="F993" t="n">
        <v>2257</v>
      </c>
      <c r="G993" t="inlineStr">
        <is>
          <t>TVS</t>
        </is>
      </c>
      <c r="H993" t="inlineStr">
        <is>
          <t>25.4-18.4-3.5-CEW-CEW</t>
        </is>
      </c>
      <c r="I993" t="inlineStr">
        <is>
          <t>25.4-18.4-3.5-CEW-CEW-1</t>
        </is>
      </c>
      <c r="J993" t="n">
        <v>5.6</v>
      </c>
      <c r="K993" t="inlineStr">
        <is>
          <t>LL</t>
        </is>
      </c>
    </row>
    <row r="994" hidden="1" s="584">
      <c r="A994" t="n">
        <v>3770392</v>
      </c>
      <c r="B994" t="inlineStr">
        <is>
          <t>TUB-O-C-AUT-AD-FC-25.40X3.500X5.6000</t>
        </is>
      </c>
      <c r="C994" t="n">
        <v>1.513</v>
      </c>
      <c r="D994" t="inlineStr">
        <is>
          <t>0788</t>
        </is>
      </c>
      <c r="E994" t="inlineStr">
        <is>
          <t>Narasipur Auto Component(P)Ltd</t>
        </is>
      </c>
      <c r="F994" t="n">
        <v>2258</v>
      </c>
      <c r="G994" t="inlineStr">
        <is>
          <t>TVS</t>
        </is>
      </c>
      <c r="H994" t="inlineStr">
        <is>
          <t>25.4-18.4-3.5-CEW-CEW</t>
        </is>
      </c>
      <c r="I994" t="inlineStr">
        <is>
          <t>25.4-18.4-3.5-CEW-CEW-1</t>
        </is>
      </c>
      <c r="J994" t="n">
        <v>5.6</v>
      </c>
      <c r="K994" t="inlineStr">
        <is>
          <t>LL</t>
        </is>
      </c>
    </row>
    <row r="995" hidden="1" s="584">
      <c r="A995" t="n">
        <v>3770392</v>
      </c>
      <c r="B995" t="inlineStr">
        <is>
          <t>TUB-O-C-AUT-AD-FC-25.40X3.500X5.6000</t>
        </is>
      </c>
      <c r="C995" t="n">
        <v>1.513</v>
      </c>
      <c r="D995" t="inlineStr">
        <is>
          <t>0788</t>
        </is>
      </c>
      <c r="E995" t="inlineStr">
        <is>
          <t>Narasipur Auto Component(P)Ltd</t>
        </is>
      </c>
      <c r="F995" t="n">
        <v>2259</v>
      </c>
      <c r="G995" t="inlineStr">
        <is>
          <t>TVS</t>
        </is>
      </c>
      <c r="H995" t="inlineStr">
        <is>
          <t>25.4-18.4-3.5-CEW-CEW</t>
        </is>
      </c>
      <c r="I995" t="inlineStr">
        <is>
          <t>25.4-18.4-3.5-CEW-CEW-1</t>
        </is>
      </c>
      <c r="J995" t="n">
        <v>5.6</v>
      </c>
      <c r="K995" t="inlineStr">
        <is>
          <t>LL</t>
        </is>
      </c>
    </row>
    <row r="996" hidden="1" s="584">
      <c r="A996" t="n">
        <v>3770392</v>
      </c>
      <c r="B996" t="inlineStr">
        <is>
          <t>TUB-O-C-AUT-AD-FC-25.40X3.500X5.6000</t>
        </is>
      </c>
      <c r="C996" t="n">
        <v>1.513</v>
      </c>
      <c r="D996" t="inlineStr">
        <is>
          <t>0788</t>
        </is>
      </c>
      <c r="E996" t="inlineStr">
        <is>
          <t>Narasipur Auto Component(P)Ltd</t>
        </is>
      </c>
      <c r="F996" t="n">
        <v>2260</v>
      </c>
      <c r="G996" t="inlineStr">
        <is>
          <t>TVS</t>
        </is>
      </c>
      <c r="H996" t="inlineStr">
        <is>
          <t>25.4-18.4-3.5-CEW-CEW</t>
        </is>
      </c>
      <c r="I996" t="inlineStr">
        <is>
          <t>25.4-18.4-3.5-CEW-CEW-1</t>
        </is>
      </c>
      <c r="J996" t="n">
        <v>5.6</v>
      </c>
      <c r="K996" t="inlineStr">
        <is>
          <t>LL</t>
        </is>
      </c>
    </row>
    <row r="997" hidden="1" s="584">
      <c r="A997" t="n">
        <v>3770392</v>
      </c>
      <c r="B997" t="inlineStr">
        <is>
          <t>TUB-O-C-AUT-AD-FC-25.40X3.500X5.6000</t>
        </is>
      </c>
      <c r="C997" t="n">
        <v>1.452</v>
      </c>
      <c r="D997" t="inlineStr">
        <is>
          <t>0788</t>
        </is>
      </c>
      <c r="E997" t="inlineStr">
        <is>
          <t>Narasipur Auto Component(P)Ltd</t>
        </is>
      </c>
      <c r="F997" t="n">
        <v>2261</v>
      </c>
      <c r="G997" t="inlineStr">
        <is>
          <t>TVS</t>
        </is>
      </c>
      <c r="H997" t="inlineStr">
        <is>
          <t>25.4-18.4-3.5-CEW-CEW</t>
        </is>
      </c>
      <c r="I997" t="inlineStr">
        <is>
          <t>25.4-18.4-3.5-CEW-CEW-1</t>
        </is>
      </c>
      <c r="J997" t="n">
        <v>5.6</v>
      </c>
      <c r="K997" t="inlineStr">
        <is>
          <t>LL</t>
        </is>
      </c>
    </row>
    <row r="998" hidden="1" s="584">
      <c r="A998" t="n">
        <v>3770392</v>
      </c>
      <c r="B998" t="inlineStr">
        <is>
          <t>TUB-O-C-AUT-AD-FC-25.40X3.500X5.6000</t>
        </is>
      </c>
      <c r="C998" t="n">
        <v>1.439</v>
      </c>
      <c r="D998" t="inlineStr">
        <is>
          <t>0788</t>
        </is>
      </c>
      <c r="E998" t="inlineStr">
        <is>
          <t>Narasipur Auto Component(P)Ltd</t>
        </is>
      </c>
      <c r="F998" t="n">
        <v>2262</v>
      </c>
      <c r="G998" t="inlineStr">
        <is>
          <t>TVS</t>
        </is>
      </c>
      <c r="H998" t="inlineStr">
        <is>
          <t>25.4-18.4-3.5-CEW-CEW</t>
        </is>
      </c>
      <c r="I998" t="inlineStr">
        <is>
          <t>25.4-18.4-3.5-CEW-CEW-1</t>
        </is>
      </c>
      <c r="J998" t="n">
        <v>5.6</v>
      </c>
      <c r="K998" t="inlineStr">
        <is>
          <t>LL</t>
        </is>
      </c>
    </row>
    <row r="999" hidden="1" s="584">
      <c r="A999" t="n">
        <v>3770392</v>
      </c>
      <c r="B999" t="inlineStr">
        <is>
          <t>TUB-O-C-AUT-AD-FC-25.40X3.500X5.6000</t>
        </is>
      </c>
      <c r="C999" t="n">
        <v>2.137</v>
      </c>
      <c r="D999" t="inlineStr">
        <is>
          <t>0788</t>
        </is>
      </c>
      <c r="E999" t="inlineStr">
        <is>
          <t>Narasipur Auto Component(P)Ltd</t>
        </is>
      </c>
      <c r="F999" t="n">
        <v>2263</v>
      </c>
      <c r="G999" t="inlineStr">
        <is>
          <t>TVS</t>
        </is>
      </c>
      <c r="H999" t="inlineStr">
        <is>
          <t>25.4-18.4-3.5-CEW-CEW</t>
        </is>
      </c>
      <c r="I999" t="inlineStr">
        <is>
          <t>25.4-18.4-3.5-CEW-CEW-1</t>
        </is>
      </c>
      <c r="J999" t="n">
        <v>5.6</v>
      </c>
      <c r="K999" t="inlineStr">
        <is>
          <t>LL</t>
        </is>
      </c>
    </row>
    <row r="1000" hidden="1" s="584">
      <c r="A1000" t="n">
        <v>3770392</v>
      </c>
      <c r="B1000" t="inlineStr">
        <is>
          <t>TUB-O-C-AUT-AD-FC-25.40X3.500X5.6000</t>
        </is>
      </c>
      <c r="C1000" t="n">
        <v>1.717</v>
      </c>
      <c r="D1000" t="inlineStr">
        <is>
          <t>0788</t>
        </is>
      </c>
      <c r="E1000" t="inlineStr">
        <is>
          <t>Narasipur Auto Component(P)Ltd</t>
        </is>
      </c>
      <c r="F1000" t="n">
        <v>2264</v>
      </c>
      <c r="G1000" t="inlineStr">
        <is>
          <t>TVS</t>
        </is>
      </c>
      <c r="H1000" t="inlineStr">
        <is>
          <t>25.4-18.4-3.5-CEW-CEW</t>
        </is>
      </c>
      <c r="I1000" t="inlineStr">
        <is>
          <t>25.4-18.4-3.5-CEW-CEW-1</t>
        </is>
      </c>
      <c r="J1000" t="n">
        <v>5.6</v>
      </c>
      <c r="K1000" t="inlineStr">
        <is>
          <t>LL</t>
        </is>
      </c>
    </row>
    <row r="1001" hidden="1" s="584">
      <c r="A1001" t="n">
        <v>1940833</v>
      </c>
      <c r="B1001" t="inlineStr">
        <is>
          <t>TUB-R-AW-RHS-40.00X30.00X1.600X6.2300</t>
        </is>
      </c>
      <c r="C1001" t="n">
        <v>0.957863</v>
      </c>
      <c r="D1001" t="n">
        <v>4731</v>
      </c>
      <c r="E1001" t="inlineStr">
        <is>
          <t>Rajsriya Automotive Ind Pvt Ltd.</t>
        </is>
      </c>
      <c r="F1001" t="n">
        <v>1355</v>
      </c>
      <c r="G1001" t="inlineStr">
        <is>
          <t>TVS</t>
        </is>
      </c>
      <c r="H1001" t="inlineStr">
        <is>
          <t>40-30-1.6-ERW 1-FC</t>
        </is>
      </c>
      <c r="I1001" t="inlineStr">
        <is>
          <t>40-30-1.6-ERW 1-FC-1</t>
        </is>
      </c>
      <c r="J1001" t="n">
        <v>6.23</v>
      </c>
      <c r="K1001" t="inlineStr">
        <is>
          <t>LL</t>
        </is>
      </c>
    </row>
    <row r="1002" hidden="1" s="584">
      <c r="A1002" t="n">
        <v>1941840</v>
      </c>
      <c r="B1002" t="inlineStr">
        <is>
          <t>TUB-E-O-AUT-AW-FC-31.75X2.500X6.0000</t>
        </is>
      </c>
      <c r="C1002" t="n">
        <v>2.051301</v>
      </c>
      <c r="D1002" t="n">
        <v>8406</v>
      </c>
      <c r="E1002" t="inlineStr">
        <is>
          <t>Rajsriya Automotive Industries</t>
        </is>
      </c>
      <c r="F1002" t="n">
        <v>1362</v>
      </c>
      <c r="G1002" t="inlineStr">
        <is>
          <t>TVS</t>
        </is>
      </c>
      <c r="H1002" t="inlineStr">
        <is>
          <t>31.75-0-2.5-ERW 1-FC</t>
        </is>
      </c>
      <c r="I1002" t="inlineStr">
        <is>
          <t>31.75-0-2.5-ERW 1-FC-1</t>
        </is>
      </c>
      <c r="J1002" t="n">
        <v>6</v>
      </c>
      <c r="K1002" t="inlineStr">
        <is>
          <t>LL</t>
        </is>
      </c>
    </row>
    <row r="1003" hidden="1" s="584">
      <c r="A1003" t="n">
        <v>1942166</v>
      </c>
      <c r="B1003" t="inlineStr">
        <is>
          <t>TUB-O-C-AUT-AD-FC-30.00X2.250X5.9300</t>
        </is>
      </c>
      <c r="C1003" t="n">
        <v>0.161599</v>
      </c>
      <c r="D1003" t="n">
        <v>4731</v>
      </c>
      <c r="E1003" t="inlineStr">
        <is>
          <t>Marathwada Auto Compo Pvt. Ltd.</t>
        </is>
      </c>
      <c r="F1003" t="n">
        <v>1363</v>
      </c>
      <c r="G1003" t="inlineStr">
        <is>
          <t>TVS</t>
        </is>
      </c>
      <c r="H1003" t="inlineStr">
        <is>
          <t>30-25.5-2.25-CEW-CEW</t>
        </is>
      </c>
      <c r="I1003" t="inlineStr">
        <is>
          <t>30-25.5-2.25-CEW-CEW-1</t>
        </is>
      </c>
      <c r="J1003" t="n">
        <v>5.93</v>
      </c>
      <c r="K1003" t="inlineStr">
        <is>
          <t>LL</t>
        </is>
      </c>
    </row>
    <row r="1004" hidden="1" s="584">
      <c r="A1004" t="n">
        <v>3702101</v>
      </c>
      <c r="B1004" t="inlineStr">
        <is>
          <t>TUB-O-N-AUT-AW-PE-28.58X1.200X6.0000</t>
        </is>
      </c>
      <c r="C1004" t="n">
        <v>0.1009</v>
      </c>
      <c r="D1004" t="n">
        <v>4731</v>
      </c>
      <c r="E1004" t="inlineStr">
        <is>
          <t>Elkayem Auto Ancillaries ( P ) LTD</t>
        </is>
      </c>
      <c r="F1004" t="n">
        <v>1743</v>
      </c>
      <c r="G1004" t="inlineStr">
        <is>
          <t>TVS</t>
        </is>
      </c>
      <c r="H1004" t="inlineStr">
        <is>
          <t>28.58-0-1.2-ERW 1-PE</t>
        </is>
      </c>
      <c r="I1004" t="inlineStr">
        <is>
          <t>28.58-0-1.2-ERW 1-PE-1</t>
        </is>
      </c>
      <c r="J1004" t="n">
        <v>6</v>
      </c>
      <c r="K1004" t="inlineStr">
        <is>
          <t>LL</t>
        </is>
      </c>
    </row>
    <row r="1005" hidden="1" s="584">
      <c r="A1005" t="n">
        <v>2359755</v>
      </c>
      <c r="B1005" t="inlineStr">
        <is>
          <t>TUB-O-C-AUT-AD-FC-30.00X2.250X0.4850</t>
        </is>
      </c>
      <c r="C1005" t="n">
        <v>0.5237670000000001</v>
      </c>
      <c r="D1005" t="n">
        <v>4731</v>
      </c>
      <c r="E1005" t="inlineStr">
        <is>
          <t>Marathwada Auto Compo Pvt. Ltd.</t>
        </is>
      </c>
      <c r="F1005" t="n">
        <v>1373</v>
      </c>
      <c r="G1005" t="inlineStr">
        <is>
          <t>TVS</t>
        </is>
      </c>
      <c r="H1005" t="inlineStr">
        <is>
          <t>30-25.5-2.25-CEW-CEW</t>
        </is>
      </c>
      <c r="I1005" t="inlineStr">
        <is>
          <t>30-25.5-2.25-CEW-CEW-0.485</t>
        </is>
      </c>
      <c r="J1005" t="n">
        <v>0.485</v>
      </c>
      <c r="K1005" t="inlineStr">
        <is>
          <t>CTL</t>
        </is>
      </c>
    </row>
    <row r="1006" hidden="1" s="584">
      <c r="A1006" t="n">
        <v>2359755</v>
      </c>
      <c r="B1006" t="inlineStr">
        <is>
          <t>TUB-O-C-AUT-AD-FC-30.00X2.250X0.4850</t>
        </is>
      </c>
      <c r="C1006" t="n">
        <v>0.126237</v>
      </c>
      <c r="D1006" t="n">
        <v>4731</v>
      </c>
      <c r="E1006" t="inlineStr">
        <is>
          <t>Marathwada Auto Compo Pvt. Ltd.</t>
        </is>
      </c>
      <c r="F1006" t="n">
        <v>1374</v>
      </c>
      <c r="G1006" t="inlineStr">
        <is>
          <t>TVS</t>
        </is>
      </c>
      <c r="H1006" t="inlineStr">
        <is>
          <t>30-25.5-2.25-CEW-CEW</t>
        </is>
      </c>
      <c r="I1006" t="inlineStr">
        <is>
          <t>30-25.5-2.25-CEW-CEW-0.485</t>
        </is>
      </c>
      <c r="J1006" t="n">
        <v>0.485</v>
      </c>
      <c r="K1006" t="inlineStr">
        <is>
          <t>CTL</t>
        </is>
      </c>
    </row>
    <row r="1007" hidden="1" s="584">
      <c r="A1007" t="n">
        <v>2359755</v>
      </c>
      <c r="B1007" t="inlineStr">
        <is>
          <t>TUB-O-C-AUT-AD-FC-30.00X2.250X0.4850</t>
        </is>
      </c>
      <c r="C1007" t="n">
        <v>0.190302</v>
      </c>
      <c r="D1007" t="n">
        <v>4731</v>
      </c>
      <c r="E1007" t="inlineStr">
        <is>
          <t>Marathwada Auto Compo Pvt. Ltd.</t>
        </is>
      </c>
      <c r="F1007" t="n">
        <v>1375</v>
      </c>
      <c r="G1007" t="inlineStr">
        <is>
          <t>TVS</t>
        </is>
      </c>
      <c r="H1007" t="inlineStr">
        <is>
          <t>30-25.5-2.25-CEW-CEW</t>
        </is>
      </c>
      <c r="I1007" t="inlineStr">
        <is>
          <t>30-25.5-2.25-CEW-CEW-0.485</t>
        </is>
      </c>
      <c r="J1007" t="n">
        <v>0.485</v>
      </c>
      <c r="K1007" t="inlineStr">
        <is>
          <t>CTL</t>
        </is>
      </c>
    </row>
    <row r="1008" hidden="1" s="584">
      <c r="A1008" t="n">
        <v>2396464</v>
      </c>
      <c r="B1008" t="inlineStr">
        <is>
          <t>TUB-O-N-AUT-AN-FC-54.00X3.000X1.1400</t>
        </is>
      </c>
      <c r="C1008" t="n">
        <v>0.113612</v>
      </c>
      <c r="D1008" t="n">
        <v>4731</v>
      </c>
      <c r="E1008" t="inlineStr">
        <is>
          <t>Neel Metal Products Limited</t>
        </is>
      </c>
      <c r="F1008" t="n">
        <v>1382</v>
      </c>
      <c r="G1008" t="inlineStr">
        <is>
          <t>TVS</t>
        </is>
      </c>
      <c r="H1008" t="inlineStr">
        <is>
          <t>54-0-3-ERW 2-FC</t>
        </is>
      </c>
      <c r="I1008" t="inlineStr">
        <is>
          <t>54-0-3-ERW 2-FC-1.14</t>
        </is>
      </c>
      <c r="J1008" t="n">
        <v>1.14</v>
      </c>
      <c r="K1008" t="inlineStr">
        <is>
          <t>CTL</t>
        </is>
      </c>
    </row>
    <row r="1009" hidden="1" s="584">
      <c r="A1009" t="n">
        <v>2396464</v>
      </c>
      <c r="B1009" t="inlineStr">
        <is>
          <t>TUB-O-N-AUT-AN-FC-54.00X3.000X1.1400</t>
        </is>
      </c>
      <c r="C1009" t="n">
        <v>0.056808</v>
      </c>
      <c r="D1009" t="n">
        <v>4731</v>
      </c>
      <c r="E1009" t="inlineStr">
        <is>
          <t>Neel Metal Products Limited</t>
        </is>
      </c>
      <c r="F1009" t="n">
        <v>1383</v>
      </c>
      <c r="G1009" t="inlineStr">
        <is>
          <t>TVS</t>
        </is>
      </c>
      <c r="H1009" t="inlineStr">
        <is>
          <t>54-0-3-ERW 2-FC</t>
        </is>
      </c>
      <c r="I1009" t="inlineStr">
        <is>
          <t>54-0-3-ERW 2-FC-1.14</t>
        </is>
      </c>
      <c r="J1009" t="n">
        <v>1.14</v>
      </c>
      <c r="K1009" t="inlineStr">
        <is>
          <t>CTL</t>
        </is>
      </c>
    </row>
    <row r="1010" hidden="1" s="584">
      <c r="A1010" t="n">
        <v>2410388</v>
      </c>
      <c r="B1010" t="inlineStr">
        <is>
          <t>TUB-O-C-AUT-AD-FC-28.60X2.650X04-05</t>
        </is>
      </c>
      <c r="C1010" t="n">
        <v>0.950682</v>
      </c>
      <c r="D1010" t="n">
        <v>4731</v>
      </c>
      <c r="E1010" t="inlineStr">
        <is>
          <t>ELKAYEM AUTO ANCILLARIES (PVT) LTD.</t>
        </is>
      </c>
      <c r="F1010" t="n">
        <v>1386</v>
      </c>
      <c r="G1010" t="inlineStr">
        <is>
          <t>TVS</t>
        </is>
      </c>
      <c r="H1010" t="inlineStr">
        <is>
          <t>28.6-0-2.65-CEW-CEW</t>
        </is>
      </c>
      <c r="I1010" t="inlineStr">
        <is>
          <t>28.6-0-2.65-CEW-CEW-1</t>
        </is>
      </c>
      <c r="J1010" t="n">
        <v>6</v>
      </c>
      <c r="K1010" t="inlineStr">
        <is>
          <t>LL</t>
        </is>
      </c>
    </row>
    <row r="1011" hidden="1" s="584">
      <c r="A1011" t="n">
        <v>2410960</v>
      </c>
      <c r="B1011" t="inlineStr">
        <is>
          <t>TUB-O-C-AUT-AD-FC-31.75X3.375X04-05</t>
        </is>
      </c>
      <c r="C1011" t="n">
        <v>0.053089</v>
      </c>
      <c r="D1011" t="n">
        <v>4731</v>
      </c>
      <c r="E1011" t="inlineStr">
        <is>
          <t>Neel Metal Products Limited</t>
        </is>
      </c>
      <c r="F1011" t="n">
        <v>1387</v>
      </c>
      <c r="G1011" t="inlineStr">
        <is>
          <t>TVS</t>
        </is>
      </c>
      <c r="H1011" t="inlineStr">
        <is>
          <t>31.75-25-3.37-CEW-CEW</t>
        </is>
      </c>
      <c r="I1011" t="inlineStr">
        <is>
          <t>31.75-25-3.37-CEW-CEW-1</t>
        </is>
      </c>
      <c r="J1011" t="n">
        <v>6</v>
      </c>
      <c r="K1011" t="inlineStr">
        <is>
          <t>LL</t>
        </is>
      </c>
    </row>
    <row r="1012" hidden="1" s="584">
      <c r="A1012" t="n">
        <v>3702095</v>
      </c>
      <c r="B1012" t="inlineStr">
        <is>
          <t>TUB-O-N-AUT-AW-FC-28.58X2.000X6.0000</t>
        </is>
      </c>
      <c r="C1012" t="n">
        <v>0.383588</v>
      </c>
      <c r="D1012" t="n">
        <v>4731</v>
      </c>
      <c r="E1012" t="inlineStr">
        <is>
          <t>Elkayem Auto Ancillaries ( P ) LTD</t>
        </is>
      </c>
      <c r="F1012" t="n">
        <v>1739</v>
      </c>
      <c r="G1012" t="inlineStr">
        <is>
          <t>TVS</t>
        </is>
      </c>
      <c r="H1012" t="inlineStr">
        <is>
          <t>28.58-0-2-ERW 1-FC</t>
        </is>
      </c>
      <c r="I1012" t="inlineStr">
        <is>
          <t>28.58-0-2-ERW 1-FC-1</t>
        </is>
      </c>
      <c r="J1012" t="n">
        <v>6</v>
      </c>
      <c r="K1012" t="inlineStr">
        <is>
          <t>LL</t>
        </is>
      </c>
    </row>
    <row r="1013" hidden="1" s="584">
      <c r="A1013" t="n">
        <v>3702095</v>
      </c>
      <c r="B1013" t="inlineStr">
        <is>
          <t>TUB-O-N-AUT-AW-FC-28.58X2.000X6.0000</t>
        </is>
      </c>
      <c r="C1013" t="n">
        <v>1.514873</v>
      </c>
      <c r="D1013" t="n">
        <v>4731</v>
      </c>
      <c r="E1013" t="inlineStr">
        <is>
          <t>Elkayem Auto Ancillaries ( P ) LTD</t>
        </is>
      </c>
      <c r="F1013" t="n">
        <v>1740</v>
      </c>
      <c r="G1013" t="inlineStr">
        <is>
          <t>TVS</t>
        </is>
      </c>
      <c r="H1013" t="inlineStr">
        <is>
          <t>28.58-0-2-ERW 1-FC</t>
        </is>
      </c>
      <c r="I1013" t="inlineStr">
        <is>
          <t>28.58-0-2-ERW 1-FC-1</t>
        </is>
      </c>
      <c r="J1013" t="n">
        <v>6</v>
      </c>
      <c r="K1013" t="inlineStr">
        <is>
          <t>LL</t>
        </is>
      </c>
    </row>
    <row r="1014" hidden="1" s="584">
      <c r="A1014" t="n">
        <v>3702095</v>
      </c>
      <c r="B1014" t="inlineStr">
        <is>
          <t>TUB-O-N-AUT-AW-FC-28.58X2.000X6.0000</t>
        </is>
      </c>
      <c r="C1014" t="n">
        <v>1.366</v>
      </c>
      <c r="D1014" t="n">
        <v>4731</v>
      </c>
      <c r="E1014" t="inlineStr">
        <is>
          <t>Elkayem Auto Ancillaries ( P ) LTD</t>
        </is>
      </c>
      <c r="F1014" t="n">
        <v>1741</v>
      </c>
      <c r="G1014" t="inlineStr">
        <is>
          <t>TVS</t>
        </is>
      </c>
      <c r="H1014" t="inlineStr">
        <is>
          <t>28.58-0-2-ERW 1-FC</t>
        </is>
      </c>
      <c r="I1014" t="inlineStr">
        <is>
          <t>28.58-0-2-ERW 1-FC-1</t>
        </is>
      </c>
      <c r="J1014" t="n">
        <v>6</v>
      </c>
      <c r="K1014" t="inlineStr">
        <is>
          <t>LL</t>
        </is>
      </c>
    </row>
    <row r="1015" hidden="1" s="584">
      <c r="A1015" t="n">
        <v>3702095</v>
      </c>
      <c r="B1015" t="inlineStr">
        <is>
          <t>TUB-O-N-AUT-AW-FC-28.58X2.000X6.0000</t>
        </is>
      </c>
      <c r="C1015" t="n">
        <v>1.413</v>
      </c>
      <c r="D1015" t="n">
        <v>4731</v>
      </c>
      <c r="E1015" t="inlineStr">
        <is>
          <t>Elkayem Auto Ancillaries ( P ) LTD</t>
        </is>
      </c>
      <c r="F1015" t="n">
        <v>1742</v>
      </c>
      <c r="G1015" t="inlineStr">
        <is>
          <t>TVS</t>
        </is>
      </c>
      <c r="H1015" t="inlineStr">
        <is>
          <t>28.58-0-2-ERW 1-FC</t>
        </is>
      </c>
      <c r="I1015" t="inlineStr">
        <is>
          <t>28.58-0-2-ERW 1-FC-1</t>
        </is>
      </c>
      <c r="J1015" t="n">
        <v>6</v>
      </c>
      <c r="K1015" t="inlineStr">
        <is>
          <t>LL</t>
        </is>
      </c>
    </row>
    <row r="1016" hidden="1" s="584">
      <c r="A1016" t="n">
        <v>3617058</v>
      </c>
      <c r="B1016" t="inlineStr">
        <is>
          <t>TUB-O-C-AUT-AD-FC-28.60X2.650X0.2090</t>
        </is>
      </c>
      <c r="C1016" t="n">
        <v>1.728399</v>
      </c>
      <c r="D1016" t="n">
        <v>8406</v>
      </c>
      <c r="E1016" t="inlineStr">
        <is>
          <t>Elkayem Auto Ancillaries ( P ) LTD</t>
        </is>
      </c>
      <c r="F1016" t="n">
        <v>1700</v>
      </c>
      <c r="G1016" t="inlineStr">
        <is>
          <t>TVS</t>
        </is>
      </c>
      <c r="H1016" t="inlineStr">
        <is>
          <t>28.6-0-2.65-CEW-CEW</t>
        </is>
      </c>
      <c r="I1016" t="inlineStr">
        <is>
          <t>28.6-0-2.65-CEW-CEW-0.209</t>
        </is>
      </c>
      <c r="J1016" t="n">
        <v>0.209</v>
      </c>
      <c r="K1016" t="inlineStr">
        <is>
          <t>CTL</t>
        </is>
      </c>
    </row>
    <row r="1017" hidden="1" s="584">
      <c r="A1017" t="n">
        <v>2426240</v>
      </c>
      <c r="B1017" t="inlineStr">
        <is>
          <t>TUB-O-C-AUT-AD-FC-29.28X3.400X3.5000</t>
        </is>
      </c>
      <c r="C1017" t="n">
        <v>1.641758</v>
      </c>
      <c r="D1017" t="n">
        <v>4731</v>
      </c>
      <c r="E1017" t="inlineStr">
        <is>
          <t>Elkayem Auto Ancillaries ( P ) LTD</t>
        </is>
      </c>
      <c r="F1017" t="n">
        <v>1397</v>
      </c>
      <c r="G1017" t="inlineStr">
        <is>
          <t>TVS</t>
        </is>
      </c>
      <c r="H1017" t="inlineStr">
        <is>
          <t>29.28-0-3.4-CEW-CEW</t>
        </is>
      </c>
      <c r="I1017" t="inlineStr">
        <is>
          <t>29.28-0-3.4-CEW-CEW-1</t>
        </is>
      </c>
      <c r="J1017" t="n">
        <v>3.5</v>
      </c>
      <c r="K1017" t="inlineStr">
        <is>
          <t>LL</t>
        </is>
      </c>
    </row>
    <row r="1018" hidden="1" s="584">
      <c r="A1018" t="n">
        <v>2426240</v>
      </c>
      <c r="B1018" t="inlineStr">
        <is>
          <t>TUB-O-C-AUT-AD-FC-29.28X3.400X3.5000</t>
        </is>
      </c>
      <c r="C1018" t="n">
        <v>0.425959</v>
      </c>
      <c r="D1018" t="n">
        <v>4731</v>
      </c>
      <c r="E1018" t="inlineStr">
        <is>
          <t>Elkayem Auto Ancillaries ( P ) LTD</t>
        </is>
      </c>
      <c r="F1018" t="n">
        <v>1398</v>
      </c>
      <c r="G1018" t="inlineStr">
        <is>
          <t>TVS</t>
        </is>
      </c>
      <c r="H1018" t="inlineStr">
        <is>
          <t>29.28-0-3.4-CEW-CEW</t>
        </is>
      </c>
      <c r="I1018" t="inlineStr">
        <is>
          <t>29.28-0-3.4-CEW-CEW-1</t>
        </is>
      </c>
      <c r="J1018" t="n">
        <v>3.5</v>
      </c>
      <c r="K1018" t="inlineStr">
        <is>
          <t>LL</t>
        </is>
      </c>
    </row>
    <row r="1019" hidden="1" s="584">
      <c r="A1019" t="n">
        <v>2426240</v>
      </c>
      <c r="B1019" t="inlineStr">
        <is>
          <t>TUB-O-C-AUT-AD-FC-29.28X3.400X3.5000</t>
        </is>
      </c>
      <c r="C1019" t="n">
        <v>0.270507</v>
      </c>
      <c r="D1019" t="n">
        <v>4731</v>
      </c>
      <c r="E1019" t="inlineStr">
        <is>
          <t>Elkayem Auto Ancillaries ( P ) LTD</t>
        </is>
      </c>
      <c r="F1019" t="n">
        <v>1399</v>
      </c>
      <c r="G1019" t="inlineStr">
        <is>
          <t>TVS</t>
        </is>
      </c>
      <c r="H1019" t="inlineStr">
        <is>
          <t>29.28-0-3.4-CEW-CEW</t>
        </is>
      </c>
      <c r="I1019" t="inlineStr">
        <is>
          <t>29.28-0-3.4-CEW-CEW-1</t>
        </is>
      </c>
      <c r="J1019" t="n">
        <v>3.5</v>
      </c>
      <c r="K1019" t="inlineStr">
        <is>
          <t>LL</t>
        </is>
      </c>
    </row>
    <row r="1020" hidden="1" s="584">
      <c r="A1020" t="n">
        <v>2428441</v>
      </c>
      <c r="B1020" t="inlineStr">
        <is>
          <t>TUB-O-N-AUT-AN-FC-42.70X4.000X0.2350</t>
        </is>
      </c>
      <c r="C1020" t="n">
        <v>0.20631</v>
      </c>
      <c r="D1020" t="n">
        <v>4731</v>
      </c>
      <c r="E1020" t="inlineStr">
        <is>
          <t>Metalman Auto Private Limited</t>
        </is>
      </c>
      <c r="F1020" t="n">
        <v>1400</v>
      </c>
      <c r="G1020" t="inlineStr">
        <is>
          <t>TVS</t>
        </is>
      </c>
      <c r="H1020" t="inlineStr">
        <is>
          <t>42.7-0-4-ERW 1-FC</t>
        </is>
      </c>
      <c r="I1020" t="inlineStr">
        <is>
          <t>42.7-0-4-ERW 1-FC-0.235</t>
        </is>
      </c>
      <c r="J1020" t="n">
        <v>0.235</v>
      </c>
      <c r="K1020" t="inlineStr">
        <is>
          <t>CTL</t>
        </is>
      </c>
    </row>
    <row r="1021" hidden="1" s="584">
      <c r="A1021" t="n">
        <v>2429059</v>
      </c>
      <c r="B1021" t="inlineStr">
        <is>
          <t>TUB-O-N-AUT-AN-FC-63.50X4.000X0.2360</t>
        </is>
      </c>
      <c r="C1021" t="n">
        <v>3.064457</v>
      </c>
      <c r="D1021" t="n">
        <v>4731</v>
      </c>
      <c r="E1021" t="inlineStr">
        <is>
          <t>Neel Metal Products Limited</t>
        </is>
      </c>
      <c r="F1021" t="n">
        <v>1401</v>
      </c>
      <c r="G1021" t="inlineStr">
        <is>
          <t>TVS</t>
        </is>
      </c>
      <c r="H1021" t="inlineStr">
        <is>
          <t>63.5-0-4-ERW 1-FC</t>
        </is>
      </c>
      <c r="I1021" t="inlineStr">
        <is>
          <t>63.5-0-4-ERW 1-FC-0.236</t>
        </is>
      </c>
      <c r="J1021" t="n">
        <v>0.236</v>
      </c>
      <c r="K1021" t="inlineStr">
        <is>
          <t>CTL</t>
        </is>
      </c>
    </row>
    <row r="1022" hidden="1" s="584">
      <c r="A1022" t="n">
        <v>3909903</v>
      </c>
      <c r="B1022" t="inlineStr">
        <is>
          <t>CUT-O-C-AUT-AD-FC-29.40X4.500X0.3570</t>
        </is>
      </c>
      <c r="C1022" t="n">
        <v>0.09968100000000001</v>
      </c>
      <c r="D1022" t="n">
        <v>4731</v>
      </c>
      <c r="E1022" t="inlineStr">
        <is>
          <t>Kay Jay Forgings Pvt Ltd Unit Vi</t>
        </is>
      </c>
      <c r="F1022" t="n">
        <v>1871</v>
      </c>
      <c r="G1022" t="inlineStr">
        <is>
          <t>TVS</t>
        </is>
      </c>
      <c r="H1022" t="inlineStr">
        <is>
          <t>29.4-20.4-4.5-CEW-CEW</t>
        </is>
      </c>
      <c r="I1022" t="inlineStr">
        <is>
          <t>29.4-20.4-4.5-CEW-CEW-0.357</t>
        </is>
      </c>
      <c r="J1022" t="n">
        <v>0.357</v>
      </c>
      <c r="K1022" t="inlineStr">
        <is>
          <t>CTL</t>
        </is>
      </c>
    </row>
    <row r="1023" hidden="1" s="584">
      <c r="A1023" t="n">
        <v>3909903</v>
      </c>
      <c r="B1023" t="inlineStr">
        <is>
          <t>CUT-O-C-AUT-AD-FC-29.40X4.500X0.3570</t>
        </is>
      </c>
      <c r="C1023" t="n">
        <v>2.065765</v>
      </c>
      <c r="D1023" t="n">
        <v>4731</v>
      </c>
      <c r="E1023" t="inlineStr">
        <is>
          <t>Kay Jay Forgings Pvt Ltd Unit Vi</t>
        </is>
      </c>
      <c r="F1023" t="n">
        <v>1872</v>
      </c>
      <c r="G1023" t="inlineStr">
        <is>
          <t>TVS</t>
        </is>
      </c>
      <c r="H1023" t="inlineStr">
        <is>
          <t>29.4-20.4-4.5-CEW-CEW</t>
        </is>
      </c>
      <c r="I1023" t="inlineStr">
        <is>
          <t>29.4-20.4-4.5-CEW-CEW-0.357</t>
        </is>
      </c>
      <c r="J1023" t="n">
        <v>0.357</v>
      </c>
      <c r="K1023" t="inlineStr">
        <is>
          <t>CTL</t>
        </is>
      </c>
    </row>
    <row r="1024" hidden="1" s="584">
      <c r="A1024" t="n">
        <v>3909903</v>
      </c>
      <c r="B1024" t="inlineStr">
        <is>
          <t>CUT-O-C-AUT-AD-FC-29.40X4.500X0.3570</t>
        </is>
      </c>
      <c r="C1024" t="n">
        <v>0.103765</v>
      </c>
      <c r="D1024" t="n">
        <v>4731</v>
      </c>
      <c r="E1024" t="inlineStr">
        <is>
          <t>Kay Jay Forgings Pvt Ltd Unit Vi</t>
        </is>
      </c>
      <c r="F1024" t="n">
        <v>1873</v>
      </c>
      <c r="G1024" t="inlineStr">
        <is>
          <t>TVS</t>
        </is>
      </c>
      <c r="H1024" t="inlineStr">
        <is>
          <t>29.4-20.4-4.5-CEW-CEW</t>
        </is>
      </c>
      <c r="I1024" t="inlineStr">
        <is>
          <t>29.4-20.4-4.5-CEW-CEW-0.357</t>
        </is>
      </c>
      <c r="J1024" t="n">
        <v>0.357</v>
      </c>
      <c r="K1024" t="inlineStr">
        <is>
          <t>CTL</t>
        </is>
      </c>
    </row>
    <row r="1025" hidden="1" s="584">
      <c r="A1025" t="n">
        <v>3909903</v>
      </c>
      <c r="B1025" t="inlineStr">
        <is>
          <t>CUT-O-C-AUT-AD-FC-29.40X4.500X0.3570</t>
        </is>
      </c>
      <c r="C1025" t="n">
        <v>2.163426</v>
      </c>
      <c r="D1025" t="n">
        <v>4731</v>
      </c>
      <c r="E1025" t="inlineStr">
        <is>
          <t>Kay Jay Forgings Pvt Ltd Unit Vi</t>
        </is>
      </c>
      <c r="F1025" t="n">
        <v>1874</v>
      </c>
      <c r="G1025" t="inlineStr">
        <is>
          <t>TVS</t>
        </is>
      </c>
      <c r="H1025" t="inlineStr">
        <is>
          <t>29.4-20.4-4.5-CEW-CEW</t>
        </is>
      </c>
      <c r="I1025" t="inlineStr">
        <is>
          <t>29.4-20.4-4.5-CEW-CEW-0.357</t>
        </is>
      </c>
      <c r="J1025" t="n">
        <v>0.357</v>
      </c>
      <c r="K1025" t="inlineStr">
        <is>
          <t>CTL</t>
        </is>
      </c>
    </row>
    <row r="1026" hidden="1" s="584">
      <c r="A1026" t="n">
        <v>3909903</v>
      </c>
      <c r="B1026" t="inlineStr">
        <is>
          <t>CUT-O-C-AUT-AD-FC-29.40X4.500X0.3570</t>
        </is>
      </c>
      <c r="C1026" t="n">
        <v>0.5542480000000001</v>
      </c>
      <c r="D1026" t="n">
        <v>4731</v>
      </c>
      <c r="E1026" t="inlineStr">
        <is>
          <t>Kay Jay Forgings Pvt Ltd Unit Vi</t>
        </is>
      </c>
      <c r="F1026" t="n">
        <v>1875</v>
      </c>
      <c r="G1026" t="inlineStr">
        <is>
          <t>TVS</t>
        </is>
      </c>
      <c r="H1026" t="inlineStr">
        <is>
          <t>29.4-20.4-4.5-CEW-CEW</t>
        </is>
      </c>
      <c r="I1026" t="inlineStr">
        <is>
          <t>29.4-20.4-4.5-CEW-CEW-0.357</t>
        </is>
      </c>
      <c r="J1026" t="n">
        <v>0.357</v>
      </c>
      <c r="K1026" t="inlineStr">
        <is>
          <t>CTL</t>
        </is>
      </c>
    </row>
    <row r="1027" hidden="1" s="584">
      <c r="A1027" t="n">
        <v>3995629</v>
      </c>
      <c r="B1027" t="inlineStr">
        <is>
          <t>TUB-O-C-AUT-AD-FC-29.40X4.500X4.4400</t>
        </is>
      </c>
      <c r="C1027" t="n">
        <v>0.105098</v>
      </c>
      <c r="D1027" t="n">
        <v>4731</v>
      </c>
      <c r="E1027" t="inlineStr">
        <is>
          <t>Kay Jay Forgings Pvt Ltd Unit Vi</t>
        </is>
      </c>
      <c r="F1027" t="n">
        <v>1899</v>
      </c>
      <c r="G1027" t="inlineStr">
        <is>
          <t>TVS</t>
        </is>
      </c>
      <c r="H1027" t="inlineStr">
        <is>
          <t>29.4-20.4-4.5-CEW-CEW</t>
        </is>
      </c>
      <c r="I1027" t="inlineStr">
        <is>
          <t>29.4-20.4-4.5-CEW-CEW-1</t>
        </is>
      </c>
      <c r="J1027" t="n">
        <v>4.44</v>
      </c>
      <c r="K1027" t="inlineStr">
        <is>
          <t>LL</t>
        </is>
      </c>
    </row>
    <row r="1028" hidden="1" s="584">
      <c r="A1028" t="n">
        <v>3995629</v>
      </c>
      <c r="B1028" t="inlineStr">
        <is>
          <t>TUB-O-C-AUT-AD-FC-29.40X4.500X4.4400</t>
        </is>
      </c>
      <c r="C1028" t="n">
        <v>0.447614</v>
      </c>
      <c r="D1028" t="n">
        <v>4731</v>
      </c>
      <c r="E1028" t="inlineStr">
        <is>
          <t>Kay Jay Forgings Pvt Ltd Unit Vi</t>
        </is>
      </c>
      <c r="F1028" t="n">
        <v>1900</v>
      </c>
      <c r="G1028" t="inlineStr">
        <is>
          <t>TVS</t>
        </is>
      </c>
      <c r="H1028" t="inlineStr">
        <is>
          <t>29.4-20.4-4.5-CEW-CEW</t>
        </is>
      </c>
      <c r="I1028" t="inlineStr">
        <is>
          <t>29.4-20.4-4.5-CEW-CEW-1</t>
        </is>
      </c>
      <c r="J1028" t="n">
        <v>4.44</v>
      </c>
      <c r="K1028" t="inlineStr">
        <is>
          <t>LL</t>
        </is>
      </c>
    </row>
    <row r="1029" hidden="1" s="584">
      <c r="A1029" t="n">
        <v>3995629</v>
      </c>
      <c r="B1029" t="inlineStr">
        <is>
          <t>TUB-O-C-AUT-AD-FC-29.40X4.500X4.4400</t>
        </is>
      </c>
      <c r="C1029" t="n">
        <v>0.173396</v>
      </c>
      <c r="D1029" t="n">
        <v>4731</v>
      </c>
      <c r="E1029" t="inlineStr">
        <is>
          <t>Kay Jay Forgings Pvt Ltd Unit Vi</t>
        </is>
      </c>
      <c r="F1029" t="n">
        <v>1901</v>
      </c>
      <c r="G1029" t="inlineStr">
        <is>
          <t>TVS</t>
        </is>
      </c>
      <c r="H1029" t="inlineStr">
        <is>
          <t>29.4-20.4-4.5-CEW-CEW</t>
        </is>
      </c>
      <c r="I1029" t="inlineStr">
        <is>
          <t>29.4-20.4-4.5-CEW-CEW-1</t>
        </is>
      </c>
      <c r="J1029" t="n">
        <v>4.44</v>
      </c>
      <c r="K1029" t="inlineStr">
        <is>
          <t>LL</t>
        </is>
      </c>
    </row>
    <row r="1030" hidden="1" s="584">
      <c r="A1030" t="n">
        <v>3995629</v>
      </c>
      <c r="B1030" t="inlineStr">
        <is>
          <t>TUB-O-C-AUT-AD-FC-29.40X4.500X4.4400</t>
        </is>
      </c>
      <c r="C1030" t="n">
        <v>0.226605</v>
      </c>
      <c r="D1030" t="n">
        <v>4731</v>
      </c>
      <c r="E1030" t="inlineStr">
        <is>
          <t>Kay Jay Forgings Pvt Ltd Unit Vi</t>
        </is>
      </c>
      <c r="F1030" t="n">
        <v>1902</v>
      </c>
      <c r="G1030" t="inlineStr">
        <is>
          <t>TVS</t>
        </is>
      </c>
      <c r="H1030" t="inlineStr">
        <is>
          <t>29.4-20.4-4.5-CEW-CEW</t>
        </is>
      </c>
      <c r="I1030" t="inlineStr">
        <is>
          <t>29.4-20.4-4.5-CEW-CEW-1</t>
        </is>
      </c>
      <c r="J1030" t="n">
        <v>4.44</v>
      </c>
      <c r="K1030" t="inlineStr">
        <is>
          <t>LL</t>
        </is>
      </c>
    </row>
    <row r="1031" hidden="1" s="584">
      <c r="A1031" t="n">
        <v>3995629</v>
      </c>
      <c r="B1031" t="inlineStr">
        <is>
          <t>TUB-O-C-AUT-AD-FC-29.40X4.500X4.4400</t>
        </is>
      </c>
      <c r="C1031" t="n">
        <v>0.274875</v>
      </c>
      <c r="D1031" t="n">
        <v>4731</v>
      </c>
      <c r="E1031" t="inlineStr">
        <is>
          <t>Kay Jay Forgings Pvt Ltd Unit Vi</t>
        </is>
      </c>
      <c r="F1031" t="n">
        <v>1903</v>
      </c>
      <c r="G1031" t="inlineStr">
        <is>
          <t>TVS</t>
        </is>
      </c>
      <c r="H1031" t="inlineStr">
        <is>
          <t>29.4-20.4-4.5-CEW-CEW</t>
        </is>
      </c>
      <c r="I1031" t="inlineStr">
        <is>
          <t>29.4-20.4-4.5-CEW-CEW-1</t>
        </is>
      </c>
      <c r="J1031" t="n">
        <v>4.44</v>
      </c>
      <c r="K1031" t="inlineStr">
        <is>
          <t>LL</t>
        </is>
      </c>
    </row>
    <row r="1032" hidden="1" s="584">
      <c r="A1032" t="n">
        <v>3995629</v>
      </c>
      <c r="B1032" t="inlineStr">
        <is>
          <t>TUB-O-C-AUT-AD-FC-29.40X4.500X4.4400</t>
        </is>
      </c>
      <c r="C1032" t="n">
        <v>0.298534</v>
      </c>
      <c r="D1032" t="n">
        <v>4731</v>
      </c>
      <c r="E1032" t="inlineStr">
        <is>
          <t>Kay Jay Forgings Pvt Ltd Unit Vi</t>
        </is>
      </c>
      <c r="F1032" t="n">
        <v>1904</v>
      </c>
      <c r="G1032" t="inlineStr">
        <is>
          <t>TVS</t>
        </is>
      </c>
      <c r="H1032" t="inlineStr">
        <is>
          <t>29.4-20.4-4.5-CEW-CEW</t>
        </is>
      </c>
      <c r="I1032" t="inlineStr">
        <is>
          <t>29.4-20.4-4.5-CEW-CEW-1</t>
        </is>
      </c>
      <c r="J1032" t="n">
        <v>4.44</v>
      </c>
      <c r="K1032" t="inlineStr">
        <is>
          <t>LL</t>
        </is>
      </c>
    </row>
    <row r="1033" hidden="1" s="584">
      <c r="A1033" t="n">
        <v>3995629</v>
      </c>
      <c r="B1033" t="inlineStr">
        <is>
          <t>TUB-O-C-AUT-AD-FC-29.40X4.500X4.4400</t>
        </is>
      </c>
      <c r="C1033" t="n">
        <v>0.172</v>
      </c>
      <c r="D1033" t="n">
        <v>4731</v>
      </c>
      <c r="E1033" t="inlineStr">
        <is>
          <t>Kay Jay Forgings Pvt Ltd Unit Vi</t>
        </is>
      </c>
      <c r="F1033" t="n">
        <v>1905</v>
      </c>
      <c r="G1033" t="inlineStr">
        <is>
          <t>TVS</t>
        </is>
      </c>
      <c r="H1033" t="inlineStr">
        <is>
          <t>29.4-20.4-4.5-CEW-CEW</t>
        </is>
      </c>
      <c r="I1033" t="inlineStr">
        <is>
          <t>29.4-20.4-4.5-CEW-CEW-1</t>
        </is>
      </c>
      <c r="J1033" t="n">
        <v>4.44</v>
      </c>
      <c r="K1033" t="inlineStr">
        <is>
          <t>LL</t>
        </is>
      </c>
    </row>
    <row r="1034" hidden="1" s="584">
      <c r="A1034" t="n">
        <v>3995629</v>
      </c>
      <c r="B1034" t="inlineStr">
        <is>
          <t>TUB-O-C-AUT-AD-FC-29.40X4.500X4.4400</t>
        </is>
      </c>
      <c r="C1034" t="n">
        <v>1.737</v>
      </c>
      <c r="D1034" t="n">
        <v>4731</v>
      </c>
      <c r="E1034" t="inlineStr">
        <is>
          <t>Kay Jay Forgings Pvt Ltd Unit Vi</t>
        </is>
      </c>
      <c r="F1034" t="n">
        <v>1906</v>
      </c>
      <c r="G1034" t="inlineStr">
        <is>
          <t>TVS</t>
        </is>
      </c>
      <c r="H1034" t="inlineStr">
        <is>
          <t>29.4-20.4-4.5-CEW-CEW</t>
        </is>
      </c>
      <c r="I1034" t="inlineStr">
        <is>
          <t>29.4-20.4-4.5-CEW-CEW-1</t>
        </is>
      </c>
      <c r="J1034" t="n">
        <v>4.44</v>
      </c>
      <c r="K1034" t="inlineStr">
        <is>
          <t>LL</t>
        </is>
      </c>
    </row>
    <row r="1035" hidden="1" s="584">
      <c r="A1035" t="n">
        <v>3995629</v>
      </c>
      <c r="B1035" t="inlineStr">
        <is>
          <t>TUB-O-C-AUT-AD-FC-29.40X4.500X4.4400</t>
        </is>
      </c>
      <c r="C1035" t="n">
        <v>1.88</v>
      </c>
      <c r="D1035" t="n">
        <v>4731</v>
      </c>
      <c r="E1035" t="inlineStr">
        <is>
          <t>Kay Jay Forgings Pvt Ltd Unit Vi</t>
        </is>
      </c>
      <c r="F1035" t="n">
        <v>1907</v>
      </c>
      <c r="G1035" t="inlineStr">
        <is>
          <t>TVS</t>
        </is>
      </c>
      <c r="H1035" t="inlineStr">
        <is>
          <t>29.4-20.4-4.5-CEW-CEW</t>
        </is>
      </c>
      <c r="I1035" t="inlineStr">
        <is>
          <t>29.4-20.4-4.5-CEW-CEW-1</t>
        </is>
      </c>
      <c r="J1035" t="n">
        <v>4.44</v>
      </c>
      <c r="K1035" t="inlineStr">
        <is>
          <t>LL</t>
        </is>
      </c>
    </row>
    <row r="1036" hidden="1" s="584">
      <c r="A1036" t="n">
        <v>3995629</v>
      </c>
      <c r="B1036" t="inlineStr">
        <is>
          <t>TUB-O-C-AUT-AD-FC-29.40X4.500X4.4400</t>
        </is>
      </c>
      <c r="C1036" t="n">
        <v>1.868</v>
      </c>
      <c r="D1036" t="n">
        <v>4731</v>
      </c>
      <c r="E1036" t="inlineStr">
        <is>
          <t>Kay Jay Forgings Pvt Ltd Unit Vi</t>
        </is>
      </c>
      <c r="F1036" t="n">
        <v>1908</v>
      </c>
      <c r="G1036" t="inlineStr">
        <is>
          <t>TVS</t>
        </is>
      </c>
      <c r="H1036" t="inlineStr">
        <is>
          <t>29.4-20.4-4.5-CEW-CEW</t>
        </is>
      </c>
      <c r="I1036" t="inlineStr">
        <is>
          <t>29.4-20.4-4.5-CEW-CEW-1</t>
        </is>
      </c>
      <c r="J1036" t="n">
        <v>4.44</v>
      </c>
      <c r="K1036" t="inlineStr">
        <is>
          <t>LL</t>
        </is>
      </c>
    </row>
    <row r="1037" hidden="1" s="584">
      <c r="A1037" t="n">
        <v>3995629</v>
      </c>
      <c r="B1037" t="inlineStr">
        <is>
          <t>TUB-O-C-AUT-AD-FC-29.40X4.500X4.4400</t>
        </is>
      </c>
      <c r="C1037" t="n">
        <v>1.803</v>
      </c>
      <c r="D1037" t="n">
        <v>4731</v>
      </c>
      <c r="E1037" t="inlineStr">
        <is>
          <t>Kay Jay Forgings Pvt Ltd Unit Vi</t>
        </is>
      </c>
      <c r="F1037" t="n">
        <v>1909</v>
      </c>
      <c r="G1037" t="inlineStr">
        <is>
          <t>TVS</t>
        </is>
      </c>
      <c r="H1037" t="inlineStr">
        <is>
          <t>29.4-20.4-4.5-CEW-CEW</t>
        </is>
      </c>
      <c r="I1037" t="inlineStr">
        <is>
          <t>29.4-20.4-4.5-CEW-CEW-1</t>
        </is>
      </c>
      <c r="J1037" t="n">
        <v>4.44</v>
      </c>
      <c r="K1037" t="inlineStr">
        <is>
          <t>LL</t>
        </is>
      </c>
    </row>
    <row r="1038" hidden="1" s="584">
      <c r="A1038" t="n">
        <v>3995629</v>
      </c>
      <c r="B1038" t="inlineStr">
        <is>
          <t>TUB-O-C-AUT-AD-FC-29.40X4.500X4.4400</t>
        </is>
      </c>
      <c r="C1038" t="n">
        <v>2.06</v>
      </c>
      <c r="D1038" t="n">
        <v>4731</v>
      </c>
      <c r="E1038" t="inlineStr">
        <is>
          <t>Kay Jay Forgings Pvt Ltd Unit Vi</t>
        </is>
      </c>
      <c r="F1038" t="n">
        <v>1910</v>
      </c>
      <c r="G1038" t="inlineStr">
        <is>
          <t>TVS</t>
        </is>
      </c>
      <c r="H1038" t="inlineStr">
        <is>
          <t>29.4-20.4-4.5-CEW-CEW</t>
        </is>
      </c>
      <c r="I1038" t="inlineStr">
        <is>
          <t>29.4-20.4-4.5-CEW-CEW-1</t>
        </is>
      </c>
      <c r="J1038" t="n">
        <v>4.44</v>
      </c>
      <c r="K1038" t="inlineStr">
        <is>
          <t>LL</t>
        </is>
      </c>
    </row>
    <row r="1039" hidden="1" s="584">
      <c r="A1039" t="n">
        <v>3995629</v>
      </c>
      <c r="B1039" t="inlineStr">
        <is>
          <t>TUB-O-C-AUT-AD-FC-29.40X4.500X4.4400</t>
        </is>
      </c>
      <c r="C1039" t="n">
        <v>2.06</v>
      </c>
      <c r="D1039" t="n">
        <v>4731</v>
      </c>
      <c r="E1039" t="inlineStr">
        <is>
          <t>Kay Jay Forgings Pvt Ltd Unit Vi</t>
        </is>
      </c>
      <c r="F1039" t="n">
        <v>1911</v>
      </c>
      <c r="G1039" t="inlineStr">
        <is>
          <t>TVS</t>
        </is>
      </c>
      <c r="H1039" t="inlineStr">
        <is>
          <t>29.4-20.4-4.5-CEW-CEW</t>
        </is>
      </c>
      <c r="I1039" t="inlineStr">
        <is>
          <t>29.4-20.4-4.5-CEW-CEW-1</t>
        </is>
      </c>
      <c r="J1039" t="n">
        <v>4.44</v>
      </c>
      <c r="K1039" t="inlineStr">
        <is>
          <t>LL</t>
        </is>
      </c>
    </row>
    <row r="1040" hidden="1" s="584">
      <c r="A1040" t="n">
        <v>3995629</v>
      </c>
      <c r="B1040" t="inlineStr">
        <is>
          <t>TUB-O-C-AUT-AD-FC-29.40X4.500X4.4400</t>
        </is>
      </c>
      <c r="C1040" t="n">
        <v>0.055</v>
      </c>
      <c r="D1040" t="n">
        <v>4731</v>
      </c>
      <c r="E1040" t="inlineStr">
        <is>
          <t>Kay Jay Forgings Pvt Ltd Unit Vi</t>
        </is>
      </c>
      <c r="F1040" t="n">
        <v>1912</v>
      </c>
      <c r="G1040" t="inlineStr">
        <is>
          <t>TVS</t>
        </is>
      </c>
      <c r="H1040" t="inlineStr">
        <is>
          <t>29.4-20.4-4.5-CEW-CEW</t>
        </is>
      </c>
      <c r="I1040" t="inlineStr">
        <is>
          <t>29.4-20.4-4.5-CEW-CEW-1</t>
        </is>
      </c>
      <c r="J1040" t="n">
        <v>4.44</v>
      </c>
      <c r="K1040" t="inlineStr">
        <is>
          <t>LL</t>
        </is>
      </c>
    </row>
    <row r="1041" hidden="1" s="584">
      <c r="A1041" t="n">
        <v>3995629</v>
      </c>
      <c r="B1041" t="inlineStr">
        <is>
          <t>TUB-O-C-AUT-AD-FC-29.40X4.500X4.4400</t>
        </is>
      </c>
      <c r="C1041" t="n">
        <v>1.32454</v>
      </c>
      <c r="D1041" t="n">
        <v>4731</v>
      </c>
      <c r="E1041" t="inlineStr">
        <is>
          <t>Kay Jay Forgings Pvt Ltd Unit Vi</t>
        </is>
      </c>
      <c r="F1041" t="n">
        <v>1913</v>
      </c>
      <c r="G1041" t="inlineStr">
        <is>
          <t>TVS</t>
        </is>
      </c>
      <c r="H1041" t="inlineStr">
        <is>
          <t>29.4-20.4-4.5-CEW-CEW</t>
        </is>
      </c>
      <c r="I1041" t="inlineStr">
        <is>
          <t>29.4-20.4-4.5-CEW-CEW-1</t>
        </is>
      </c>
      <c r="J1041" t="n">
        <v>4.44</v>
      </c>
      <c r="K1041" t="inlineStr">
        <is>
          <t>LL</t>
        </is>
      </c>
    </row>
    <row r="1042" hidden="1" s="584">
      <c r="A1042" t="n">
        <v>3995629</v>
      </c>
      <c r="B1042" t="inlineStr">
        <is>
          <t>TUB-O-C-AUT-AD-FC-29.40X4.500X4.4400</t>
        </is>
      </c>
      <c r="C1042" t="n">
        <v>1.894</v>
      </c>
      <c r="D1042" t="n">
        <v>4731</v>
      </c>
      <c r="E1042" t="inlineStr">
        <is>
          <t>Kay Jay Forgings Pvt Ltd Unit Vi</t>
        </is>
      </c>
      <c r="F1042" t="n">
        <v>1914</v>
      </c>
      <c r="G1042" t="inlineStr">
        <is>
          <t>TVS</t>
        </is>
      </c>
      <c r="H1042" t="inlineStr">
        <is>
          <t>29.4-20.4-4.5-CEW-CEW</t>
        </is>
      </c>
      <c r="I1042" t="inlineStr">
        <is>
          <t>29.4-20.4-4.5-CEW-CEW-1</t>
        </is>
      </c>
      <c r="J1042" t="n">
        <v>4.44</v>
      </c>
      <c r="K1042" t="inlineStr">
        <is>
          <t>LL</t>
        </is>
      </c>
    </row>
    <row r="1043" hidden="1" s="584">
      <c r="A1043" t="n">
        <v>3995629</v>
      </c>
      <c r="B1043" t="inlineStr">
        <is>
          <t>TUB-O-C-AUT-AD-FC-29.40X4.500X4.4400</t>
        </is>
      </c>
      <c r="C1043" t="n">
        <v>1.833</v>
      </c>
      <c r="D1043" t="n">
        <v>4731</v>
      </c>
      <c r="E1043" t="inlineStr">
        <is>
          <t>Kay Jay Forgings Pvt Ltd Unit Vi</t>
        </is>
      </c>
      <c r="F1043" t="n">
        <v>1915</v>
      </c>
      <c r="G1043" t="inlineStr">
        <is>
          <t>TVS</t>
        </is>
      </c>
      <c r="H1043" t="inlineStr">
        <is>
          <t>29.4-20.4-4.5-CEW-CEW</t>
        </is>
      </c>
      <c r="I1043" t="inlineStr">
        <is>
          <t>29.4-20.4-4.5-CEW-CEW-1</t>
        </is>
      </c>
      <c r="J1043" t="n">
        <v>4.44</v>
      </c>
      <c r="K1043" t="inlineStr">
        <is>
          <t>LL</t>
        </is>
      </c>
    </row>
    <row r="1044" hidden="1" s="584">
      <c r="A1044" t="n">
        <v>3499608</v>
      </c>
      <c r="B1044" t="inlineStr">
        <is>
          <t>TUB-O-N-AUT-AN-FC-70.00X3.200X6.00 HST</t>
        </is>
      </c>
      <c r="C1044" t="n">
        <v>0.719336</v>
      </c>
      <c r="D1044" t="n">
        <v>4731</v>
      </c>
      <c r="E1044" t="inlineStr">
        <is>
          <t>LAXMI METAL PRESSING WORKS PVT LTD</t>
        </is>
      </c>
      <c r="F1044" t="n">
        <v>1429</v>
      </c>
      <c r="G1044" t="inlineStr">
        <is>
          <t>TVS</t>
        </is>
      </c>
      <c r="H1044" t="inlineStr">
        <is>
          <t>70-0-3.2-ERW 2-FC</t>
        </is>
      </c>
      <c r="I1044" t="inlineStr">
        <is>
          <t>70-0-3.2-ERW 2-FC-1</t>
        </is>
      </c>
      <c r="J1044" t="n">
        <v>6</v>
      </c>
      <c r="K1044" t="inlineStr">
        <is>
          <t>LL</t>
        </is>
      </c>
    </row>
    <row r="1045" hidden="1" s="584">
      <c r="A1045" t="n">
        <v>3499608</v>
      </c>
      <c r="B1045" t="inlineStr">
        <is>
          <t>TUB-O-N-AUT-AN-FC-70.00X3.200X6.00 HST</t>
        </is>
      </c>
      <c r="C1045" t="n">
        <v>0.439</v>
      </c>
      <c r="D1045" t="n">
        <v>4731</v>
      </c>
      <c r="E1045" t="inlineStr">
        <is>
          <t>LAXMI METAL PRESSING WORKS PVT LTD</t>
        </is>
      </c>
      <c r="F1045" t="n">
        <v>1430</v>
      </c>
      <c r="G1045" t="inlineStr">
        <is>
          <t>TVS</t>
        </is>
      </c>
      <c r="H1045" t="inlineStr">
        <is>
          <t>70-0-3.2-ERW 2-FC</t>
        </is>
      </c>
      <c r="I1045" t="inlineStr">
        <is>
          <t>70-0-3.2-ERW 2-FC-1</t>
        </is>
      </c>
      <c r="J1045" t="n">
        <v>6</v>
      </c>
      <c r="K1045" t="inlineStr">
        <is>
          <t>LL</t>
        </is>
      </c>
    </row>
    <row r="1046" hidden="1" s="584">
      <c r="A1046" t="n">
        <v>3499608</v>
      </c>
      <c r="B1046" t="inlineStr">
        <is>
          <t>TUB-O-N-AUT-AN-FC-70.00X3.200X6.00 HST</t>
        </is>
      </c>
      <c r="C1046" t="n">
        <v>1.756</v>
      </c>
      <c r="D1046" t="n">
        <v>4731</v>
      </c>
      <c r="E1046" t="inlineStr">
        <is>
          <t>LAXMI METAL PRESSING WORKS PVT LTD</t>
        </is>
      </c>
      <c r="F1046" t="n">
        <v>1431</v>
      </c>
      <c r="G1046" t="inlineStr">
        <is>
          <t>TVS</t>
        </is>
      </c>
      <c r="H1046" t="inlineStr">
        <is>
          <t>70-0-3.2-ERW 2-FC</t>
        </is>
      </c>
      <c r="I1046" t="inlineStr">
        <is>
          <t>70-0-3.2-ERW 2-FC-1</t>
        </is>
      </c>
      <c r="J1046" t="n">
        <v>6</v>
      </c>
      <c r="K1046" t="inlineStr">
        <is>
          <t>LL</t>
        </is>
      </c>
    </row>
    <row r="1047" hidden="1" s="584">
      <c r="A1047" t="n">
        <v>3499608</v>
      </c>
      <c r="B1047" t="inlineStr">
        <is>
          <t>TUB-O-N-AUT-AN-FC-70.00X3.200X6.00 HST</t>
        </is>
      </c>
      <c r="C1047" t="n">
        <v>0.29158</v>
      </c>
      <c r="D1047" t="n">
        <v>4731</v>
      </c>
      <c r="E1047" t="inlineStr">
        <is>
          <t>LAXMI METAL PRESSING WORKS PVT LTD</t>
        </is>
      </c>
      <c r="F1047" t="n">
        <v>1432</v>
      </c>
      <c r="G1047" t="inlineStr">
        <is>
          <t>TVS</t>
        </is>
      </c>
      <c r="H1047" t="inlineStr">
        <is>
          <t>70-0-3.2-ERW 2-FC</t>
        </is>
      </c>
      <c r="I1047" t="inlineStr">
        <is>
          <t>70-0-3.2-ERW 2-FC-1</t>
        </is>
      </c>
      <c r="J1047" t="n">
        <v>6</v>
      </c>
      <c r="K1047" t="inlineStr">
        <is>
          <t>LL</t>
        </is>
      </c>
    </row>
    <row r="1048" hidden="1" s="584">
      <c r="A1048" t="n">
        <v>3499608</v>
      </c>
      <c r="B1048" t="inlineStr">
        <is>
          <t>TUB-O-N-AUT-AN-FC-70.00X3.200X6.00 HST</t>
        </is>
      </c>
      <c r="C1048" t="n">
        <v>0.079</v>
      </c>
      <c r="D1048" t="n">
        <v>4731</v>
      </c>
      <c r="E1048" t="inlineStr">
        <is>
          <t>LAXMI METAL PRESSING WORKS PVT LTD</t>
        </is>
      </c>
      <c r="F1048" t="n">
        <v>1433</v>
      </c>
      <c r="G1048" t="inlineStr">
        <is>
          <t>TVS</t>
        </is>
      </c>
      <c r="H1048" t="inlineStr">
        <is>
          <t>70-0-3.2-ERW 2-FC</t>
        </is>
      </c>
      <c r="I1048" t="inlineStr">
        <is>
          <t>70-0-3.2-ERW 2-FC-1</t>
        </is>
      </c>
      <c r="J1048" t="n">
        <v>6</v>
      </c>
      <c r="K1048" t="inlineStr">
        <is>
          <t>LL</t>
        </is>
      </c>
    </row>
    <row r="1049" hidden="1" s="584">
      <c r="A1049" t="n">
        <v>3499608</v>
      </c>
      <c r="B1049" t="inlineStr">
        <is>
          <t>TUB-O-N-AUT-AN-FC-70.00X3.200X6.00 HST</t>
        </is>
      </c>
      <c r="C1049" t="n">
        <v>0.293</v>
      </c>
      <c r="D1049" t="n">
        <v>4731</v>
      </c>
      <c r="E1049" t="inlineStr">
        <is>
          <t>LAXMI METAL PRESSING WORKS PVT LTD</t>
        </is>
      </c>
      <c r="F1049" t="n">
        <v>1434</v>
      </c>
      <c r="G1049" t="inlineStr">
        <is>
          <t>TVS</t>
        </is>
      </c>
      <c r="H1049" t="inlineStr">
        <is>
          <t>70-0-3.2-ERW 2-FC</t>
        </is>
      </c>
      <c r="I1049" t="inlineStr">
        <is>
          <t>70-0-3.2-ERW 2-FC-1</t>
        </is>
      </c>
      <c r="J1049" t="n">
        <v>6</v>
      </c>
      <c r="K1049" t="inlineStr">
        <is>
          <t>LL</t>
        </is>
      </c>
    </row>
    <row r="1050" hidden="1" s="584">
      <c r="A1050" t="n">
        <v>3499608</v>
      </c>
      <c r="B1050" t="inlineStr">
        <is>
          <t>TUB-O-N-AUT-AN-FC-70.00X3.200X6.00 HST</t>
        </is>
      </c>
      <c r="C1050" t="n">
        <v>1.975</v>
      </c>
      <c r="D1050" t="n">
        <v>8406</v>
      </c>
      <c r="E1050" t="inlineStr">
        <is>
          <t>LAXMI METAL PRESSING WORKS PVT LTD</t>
        </is>
      </c>
      <c r="F1050" t="n">
        <v>1435</v>
      </c>
      <c r="G1050" t="inlineStr">
        <is>
          <t>TVS</t>
        </is>
      </c>
      <c r="H1050" t="inlineStr">
        <is>
          <t>70-0-3.2-ERW 2-FC</t>
        </is>
      </c>
      <c r="I1050" t="inlineStr">
        <is>
          <t>70-0-3.2-ERW 2-FC-1</t>
        </is>
      </c>
      <c r="J1050" t="n">
        <v>6</v>
      </c>
      <c r="K1050" t="inlineStr">
        <is>
          <t>LL</t>
        </is>
      </c>
    </row>
    <row r="1051" hidden="1" s="584">
      <c r="A1051" t="n">
        <v>3499608</v>
      </c>
      <c r="B1051" t="inlineStr">
        <is>
          <t>TUB-O-N-AUT-AN-FC-70.00X3.200X6.00 HST</t>
        </is>
      </c>
      <c r="C1051" t="n">
        <v>1.38207</v>
      </c>
      <c r="D1051" t="n">
        <v>8406</v>
      </c>
      <c r="E1051" t="inlineStr">
        <is>
          <t>LAXMI METAL PRESSING WORKS PVT LTD</t>
        </is>
      </c>
      <c r="F1051" t="n">
        <v>1436</v>
      </c>
      <c r="G1051" t="inlineStr">
        <is>
          <t>TVS</t>
        </is>
      </c>
      <c r="H1051" t="inlineStr">
        <is>
          <t>70-0-3.2-ERW 2-FC</t>
        </is>
      </c>
      <c r="I1051" t="inlineStr">
        <is>
          <t>70-0-3.2-ERW 2-FC-1</t>
        </is>
      </c>
      <c r="J1051" t="n">
        <v>6</v>
      </c>
      <c r="K1051" t="inlineStr">
        <is>
          <t>LL</t>
        </is>
      </c>
    </row>
    <row r="1052" hidden="1" s="584">
      <c r="A1052" t="n">
        <v>3499608</v>
      </c>
      <c r="B1052" t="inlineStr">
        <is>
          <t>TUB-O-N-AUT-AN-FC-70.00X3.200X6.00 HST</t>
        </is>
      </c>
      <c r="C1052" t="n">
        <v>1.898</v>
      </c>
      <c r="D1052" t="n">
        <v>8406</v>
      </c>
      <c r="E1052" t="inlineStr">
        <is>
          <t>LAXMI METAL PRESSING WORKS PVT LTD</t>
        </is>
      </c>
      <c r="F1052" t="n">
        <v>1437</v>
      </c>
      <c r="G1052" t="inlineStr">
        <is>
          <t>TVS</t>
        </is>
      </c>
      <c r="H1052" t="inlineStr">
        <is>
          <t>70-0-3.2-ERW 2-FC</t>
        </is>
      </c>
      <c r="I1052" t="inlineStr">
        <is>
          <t>70-0-3.2-ERW 2-FC-1</t>
        </is>
      </c>
      <c r="J1052" t="n">
        <v>6</v>
      </c>
      <c r="K1052" t="inlineStr">
        <is>
          <t>LL</t>
        </is>
      </c>
    </row>
    <row r="1053" hidden="1" s="584">
      <c r="A1053" t="n">
        <v>3499608</v>
      </c>
      <c r="B1053" t="inlineStr">
        <is>
          <t>TUB-O-N-AUT-AN-FC-70.00X3.200X6.00 HST</t>
        </is>
      </c>
      <c r="C1053" t="n">
        <v>1.962</v>
      </c>
      <c r="D1053" t="n">
        <v>8406</v>
      </c>
      <c r="E1053" t="inlineStr">
        <is>
          <t>LAXMI METAL PRESSING WORKS PVT LTD</t>
        </is>
      </c>
      <c r="F1053" t="n">
        <v>1438</v>
      </c>
      <c r="G1053" t="inlineStr">
        <is>
          <t>TVS</t>
        </is>
      </c>
      <c r="H1053" t="inlineStr">
        <is>
          <t>70-0-3.2-ERW 2-FC</t>
        </is>
      </c>
      <c r="I1053" t="inlineStr">
        <is>
          <t>70-0-3.2-ERW 2-FC-1</t>
        </is>
      </c>
      <c r="J1053" t="n">
        <v>6</v>
      </c>
      <c r="K1053" t="inlineStr">
        <is>
          <t>LL</t>
        </is>
      </c>
    </row>
    <row r="1054" hidden="1" s="584">
      <c r="A1054" t="n">
        <v>3499608</v>
      </c>
      <c r="B1054" t="inlineStr">
        <is>
          <t>TUB-O-N-AUT-AN-FC-70.00X3.200X6.00 HST</t>
        </is>
      </c>
      <c r="C1054" t="n">
        <v>1.644</v>
      </c>
      <c r="D1054" t="inlineStr">
        <is>
          <t>0788</t>
        </is>
      </c>
      <c r="E1054" t="inlineStr">
        <is>
          <t>LAXMI METAL PRESSING WORKS PVT LTD</t>
        </is>
      </c>
      <c r="F1054" t="n">
        <v>2082</v>
      </c>
      <c r="G1054" t="inlineStr">
        <is>
          <t>TVS</t>
        </is>
      </c>
      <c r="H1054" t="inlineStr">
        <is>
          <t>70-0-3.2-ERW 2-FC</t>
        </is>
      </c>
      <c r="I1054" t="inlineStr">
        <is>
          <t>70-0-3.2-ERW 2-FC-1</t>
        </is>
      </c>
      <c r="J1054" t="n">
        <v>6</v>
      </c>
      <c r="K1054" t="inlineStr">
        <is>
          <t>LL</t>
        </is>
      </c>
    </row>
    <row r="1055" hidden="1" s="584">
      <c r="A1055" t="n">
        <v>3499608</v>
      </c>
      <c r="B1055" t="inlineStr">
        <is>
          <t>TUB-O-N-AUT-AN-FC-70.00X3.200X6.00 HST</t>
        </is>
      </c>
      <c r="C1055" t="n">
        <v>1.486</v>
      </c>
      <c r="D1055" t="inlineStr">
        <is>
          <t>0788</t>
        </is>
      </c>
      <c r="E1055" t="inlineStr">
        <is>
          <t>LAXMI METAL PRESSING WORKS PVT LTD</t>
        </is>
      </c>
      <c r="F1055" t="n">
        <v>2083</v>
      </c>
      <c r="G1055" t="inlineStr">
        <is>
          <t>TVS</t>
        </is>
      </c>
      <c r="H1055" t="inlineStr">
        <is>
          <t>70-0-3.2-ERW 2-FC</t>
        </is>
      </c>
      <c r="I1055" t="inlineStr">
        <is>
          <t>70-0-3.2-ERW 2-FC-1</t>
        </is>
      </c>
      <c r="J1055" t="n">
        <v>6</v>
      </c>
      <c r="K1055" t="inlineStr">
        <is>
          <t>LL</t>
        </is>
      </c>
    </row>
    <row r="1056" hidden="1" s="584">
      <c r="A1056" t="n">
        <v>3499608</v>
      </c>
      <c r="B1056" t="inlineStr">
        <is>
          <t>TUB-O-N-AUT-AN-FC-70.00X3.200X6.00 HST</t>
        </is>
      </c>
      <c r="C1056" t="n">
        <v>2.529</v>
      </c>
      <c r="D1056" t="inlineStr">
        <is>
          <t>0788</t>
        </is>
      </c>
      <c r="E1056" t="inlineStr">
        <is>
          <t>LAXMI METAL PRESSING WORKS PVT LTD</t>
        </is>
      </c>
      <c r="F1056" t="n">
        <v>2084</v>
      </c>
      <c r="G1056" t="inlineStr">
        <is>
          <t>TVS</t>
        </is>
      </c>
      <c r="H1056" t="inlineStr">
        <is>
          <t>70-0-3.2-ERW 2-FC</t>
        </is>
      </c>
      <c r="I1056" t="inlineStr">
        <is>
          <t>70-0-3.2-ERW 2-FC-1</t>
        </is>
      </c>
      <c r="J1056" t="n">
        <v>6</v>
      </c>
      <c r="K1056" t="inlineStr">
        <is>
          <t>LL</t>
        </is>
      </c>
    </row>
    <row r="1057" hidden="1" s="584">
      <c r="A1057" t="n">
        <v>3499608</v>
      </c>
      <c r="B1057" t="inlineStr">
        <is>
          <t>TUB-O-N-AUT-AN-FC-70.00X3.200X6.00 HST</t>
        </is>
      </c>
      <c r="C1057" t="n">
        <v>1.739</v>
      </c>
      <c r="D1057" t="inlineStr">
        <is>
          <t>0788</t>
        </is>
      </c>
      <c r="E1057" t="inlineStr">
        <is>
          <t>LAXMI METAL PRESSING WORKS PVT LTD</t>
        </is>
      </c>
      <c r="F1057" t="n">
        <v>2085</v>
      </c>
      <c r="G1057" t="inlineStr">
        <is>
          <t>TVS</t>
        </is>
      </c>
      <c r="H1057" t="inlineStr">
        <is>
          <t>70-0-3.2-ERW 2-FC</t>
        </is>
      </c>
      <c r="I1057" t="inlineStr">
        <is>
          <t>70-0-3.2-ERW 2-FC-1</t>
        </is>
      </c>
      <c r="J1057" t="n">
        <v>6</v>
      </c>
      <c r="K1057" t="inlineStr">
        <is>
          <t>LL</t>
        </is>
      </c>
    </row>
    <row r="1058" hidden="1" s="584">
      <c r="A1058" t="n">
        <v>3499608</v>
      </c>
      <c r="B1058" t="inlineStr">
        <is>
          <t>TUB-O-N-AUT-AN-FC-70.00X3.200X6.00 HST</t>
        </is>
      </c>
      <c r="C1058" t="n">
        <v>1.992</v>
      </c>
      <c r="D1058" t="inlineStr">
        <is>
          <t>0788</t>
        </is>
      </c>
      <c r="E1058" t="inlineStr">
        <is>
          <t>LAXMI METAL PRESSING WORKS PVT LTD</t>
        </is>
      </c>
      <c r="F1058" t="n">
        <v>2086</v>
      </c>
      <c r="G1058" t="inlineStr">
        <is>
          <t>TVS</t>
        </is>
      </c>
      <c r="H1058" t="inlineStr">
        <is>
          <t>70-0-3.2-ERW 2-FC</t>
        </is>
      </c>
      <c r="I1058" t="inlineStr">
        <is>
          <t>70-0-3.2-ERW 2-FC-1</t>
        </is>
      </c>
      <c r="J1058" t="n">
        <v>6</v>
      </c>
      <c r="K1058" t="inlineStr">
        <is>
          <t>LL</t>
        </is>
      </c>
    </row>
    <row r="1059" hidden="1" s="584">
      <c r="A1059" t="n">
        <v>3499608</v>
      </c>
      <c r="B1059" t="inlineStr">
        <is>
          <t>TUB-O-N-AUT-AN-FC-70.00X3.200X6.00 HST</t>
        </is>
      </c>
      <c r="C1059" t="n">
        <v>2.592</v>
      </c>
      <c r="D1059" t="inlineStr">
        <is>
          <t>0788</t>
        </is>
      </c>
      <c r="E1059" t="inlineStr">
        <is>
          <t>LAXMI METAL PRESSING WORKS PVT LTD</t>
        </is>
      </c>
      <c r="F1059" t="n">
        <v>2087</v>
      </c>
      <c r="G1059" t="inlineStr">
        <is>
          <t>TVS</t>
        </is>
      </c>
      <c r="H1059" t="inlineStr">
        <is>
          <t>70-0-3.2-ERW 2-FC</t>
        </is>
      </c>
      <c r="I1059" t="inlineStr">
        <is>
          <t>70-0-3.2-ERW 2-FC-1</t>
        </is>
      </c>
      <c r="J1059" t="n">
        <v>6</v>
      </c>
      <c r="K1059" t="inlineStr">
        <is>
          <t>LL</t>
        </is>
      </c>
    </row>
    <row r="1060" hidden="1" s="584">
      <c r="A1060" t="n">
        <v>3499608</v>
      </c>
      <c r="B1060" t="inlineStr">
        <is>
          <t>TUB-O-N-AUT-AN-FC-70.00X3.200X6.00 HST</t>
        </is>
      </c>
      <c r="C1060" t="n">
        <v>1.075</v>
      </c>
      <c r="D1060" t="inlineStr">
        <is>
          <t>0788</t>
        </is>
      </c>
      <c r="E1060" t="inlineStr">
        <is>
          <t>LAXMI METAL PRESSING WORKS PVT LTD</t>
        </is>
      </c>
      <c r="F1060" t="n">
        <v>2088</v>
      </c>
      <c r="G1060" t="inlineStr">
        <is>
          <t>TVS</t>
        </is>
      </c>
      <c r="H1060" t="inlineStr">
        <is>
          <t>70-0-3.2-ERW 2-FC</t>
        </is>
      </c>
      <c r="I1060" t="inlineStr">
        <is>
          <t>70-0-3.2-ERW 2-FC-1</t>
        </is>
      </c>
      <c r="J1060" t="n">
        <v>6</v>
      </c>
      <c r="K1060" t="inlineStr">
        <is>
          <t>LL</t>
        </is>
      </c>
    </row>
    <row r="1061" hidden="1" s="584">
      <c r="A1061" t="n">
        <v>3499608</v>
      </c>
      <c r="B1061" t="inlineStr">
        <is>
          <t>TUB-O-N-AUT-AN-FC-70.00X3.200X6.00 HST</t>
        </is>
      </c>
      <c r="C1061" t="n">
        <v>2.055</v>
      </c>
      <c r="D1061" t="inlineStr">
        <is>
          <t>0788</t>
        </is>
      </c>
      <c r="E1061" t="inlineStr">
        <is>
          <t>LAXMI METAL PRESSING WORKS PVT LTD</t>
        </is>
      </c>
      <c r="F1061" t="n">
        <v>2089</v>
      </c>
      <c r="G1061" t="inlineStr">
        <is>
          <t>TVS</t>
        </is>
      </c>
      <c r="H1061" t="inlineStr">
        <is>
          <t>70-0-3.2-ERW 2-FC</t>
        </is>
      </c>
      <c r="I1061" t="inlineStr">
        <is>
          <t>70-0-3.2-ERW 2-FC-1</t>
        </is>
      </c>
      <c r="J1061" t="n">
        <v>6</v>
      </c>
      <c r="K1061" t="inlineStr">
        <is>
          <t>LL</t>
        </is>
      </c>
    </row>
    <row r="1062" hidden="1" s="584">
      <c r="A1062" t="n">
        <v>3499608</v>
      </c>
      <c r="B1062" t="inlineStr">
        <is>
          <t>TUB-O-N-AUT-AN-FC-70.00X3.200X6.00 HST</t>
        </is>
      </c>
      <c r="C1062" t="n">
        <v>2.34</v>
      </c>
      <c r="D1062" t="inlineStr">
        <is>
          <t>0788</t>
        </is>
      </c>
      <c r="E1062" t="inlineStr">
        <is>
          <t>LAXMI METAL PRESSING WORKS PVT LTD</t>
        </is>
      </c>
      <c r="F1062" t="n">
        <v>2090</v>
      </c>
      <c r="G1062" t="inlineStr">
        <is>
          <t>TVS</t>
        </is>
      </c>
      <c r="H1062" t="inlineStr">
        <is>
          <t>70-0-3.2-ERW 2-FC</t>
        </is>
      </c>
      <c r="I1062" t="inlineStr">
        <is>
          <t>70-0-3.2-ERW 2-FC-1</t>
        </is>
      </c>
      <c r="J1062" t="n">
        <v>6</v>
      </c>
      <c r="K1062" t="inlineStr">
        <is>
          <t>LL</t>
        </is>
      </c>
    </row>
    <row r="1063" hidden="1" s="584">
      <c r="A1063" t="n">
        <v>3499608</v>
      </c>
      <c r="B1063" t="inlineStr">
        <is>
          <t>TUB-O-N-AUT-AN-FC-70.00X3.200X6.00 HST</t>
        </is>
      </c>
      <c r="C1063" t="n">
        <v>2.308</v>
      </c>
      <c r="D1063" t="inlineStr">
        <is>
          <t>0788</t>
        </is>
      </c>
      <c r="E1063" t="inlineStr">
        <is>
          <t>LAXMI METAL PRESSING WORKS PVT LTD</t>
        </is>
      </c>
      <c r="F1063" t="n">
        <v>2091</v>
      </c>
      <c r="G1063" t="inlineStr">
        <is>
          <t>TVS</t>
        </is>
      </c>
      <c r="H1063" t="inlineStr">
        <is>
          <t>70-0-3.2-ERW 2-FC</t>
        </is>
      </c>
      <c r="I1063" t="inlineStr">
        <is>
          <t>70-0-3.2-ERW 2-FC-1</t>
        </is>
      </c>
      <c r="J1063" t="n">
        <v>6</v>
      </c>
      <c r="K1063" t="inlineStr">
        <is>
          <t>LL</t>
        </is>
      </c>
    </row>
    <row r="1064" hidden="1" s="584">
      <c r="A1064" t="n">
        <v>3499608</v>
      </c>
      <c r="B1064" t="inlineStr">
        <is>
          <t>TUB-O-N-AUT-AN-FC-70.00X3.200X6.00 HST</t>
        </is>
      </c>
      <c r="C1064" t="n">
        <v>2.245</v>
      </c>
      <c r="D1064" t="inlineStr">
        <is>
          <t>0788</t>
        </is>
      </c>
      <c r="E1064" t="inlineStr">
        <is>
          <t>LAXMI METAL PRESSING WORKS PVT LTD</t>
        </is>
      </c>
      <c r="F1064" t="n">
        <v>2092</v>
      </c>
      <c r="G1064" t="inlineStr">
        <is>
          <t>TVS</t>
        </is>
      </c>
      <c r="H1064" t="inlineStr">
        <is>
          <t>70-0-3.2-ERW 2-FC</t>
        </is>
      </c>
      <c r="I1064" t="inlineStr">
        <is>
          <t>70-0-3.2-ERW 2-FC-1</t>
        </is>
      </c>
      <c r="J1064" t="n">
        <v>6</v>
      </c>
      <c r="K1064" t="inlineStr">
        <is>
          <t>LL</t>
        </is>
      </c>
    </row>
    <row r="1065" hidden="1" s="584">
      <c r="A1065" t="n">
        <v>3499608</v>
      </c>
      <c r="B1065" t="inlineStr">
        <is>
          <t>TUB-O-N-AUT-AN-FC-70.00X3.200X6.00 HST</t>
        </is>
      </c>
      <c r="C1065" t="n">
        <v>2.118</v>
      </c>
      <c r="D1065" t="inlineStr">
        <is>
          <t>0788</t>
        </is>
      </c>
      <c r="E1065" t="inlineStr">
        <is>
          <t>LAXMI METAL PRESSING WORKS PVT LTD</t>
        </is>
      </c>
      <c r="F1065" t="n">
        <v>2093</v>
      </c>
      <c r="G1065" t="inlineStr">
        <is>
          <t>TVS</t>
        </is>
      </c>
      <c r="H1065" t="inlineStr">
        <is>
          <t>70-0-3.2-ERW 2-FC</t>
        </is>
      </c>
      <c r="I1065" t="inlineStr">
        <is>
          <t>70-0-3.2-ERW 2-FC-1</t>
        </is>
      </c>
      <c r="J1065" t="n">
        <v>6</v>
      </c>
      <c r="K1065" t="inlineStr">
        <is>
          <t>LL</t>
        </is>
      </c>
    </row>
    <row r="1066" hidden="1" s="584">
      <c r="A1066" t="n">
        <v>3499608</v>
      </c>
      <c r="B1066" t="inlineStr">
        <is>
          <t>TUB-O-N-AUT-AN-FC-70.00X3.200X6.00 HST</t>
        </is>
      </c>
      <c r="C1066" t="n">
        <v>2.15</v>
      </c>
      <c r="D1066" t="inlineStr">
        <is>
          <t>0788</t>
        </is>
      </c>
      <c r="E1066" t="inlineStr">
        <is>
          <t>LAXMI METAL PRESSING WORKS PVT LTD</t>
        </is>
      </c>
      <c r="F1066" t="n">
        <v>2094</v>
      </c>
      <c r="G1066" t="inlineStr">
        <is>
          <t>TVS</t>
        </is>
      </c>
      <c r="H1066" t="inlineStr">
        <is>
          <t>70-0-3.2-ERW 2-FC</t>
        </is>
      </c>
      <c r="I1066" t="inlineStr">
        <is>
          <t>70-0-3.2-ERW 2-FC-1</t>
        </is>
      </c>
      <c r="J1066" t="n">
        <v>6</v>
      </c>
      <c r="K1066" t="inlineStr">
        <is>
          <t>LL</t>
        </is>
      </c>
    </row>
    <row r="1067" hidden="1" s="584">
      <c r="A1067" t="n">
        <v>3770394</v>
      </c>
      <c r="B1067" t="inlineStr">
        <is>
          <t>TUB-O-C-AUT-AD-FC-29.40X4.500X5.5500</t>
        </is>
      </c>
      <c r="C1067" t="n">
        <v>1.0109</v>
      </c>
      <c r="D1067" t="n">
        <v>4731</v>
      </c>
      <c r="E1067" t="inlineStr">
        <is>
          <t>Narasipur Auto Component(P)Ltd</t>
        </is>
      </c>
      <c r="F1067" t="n">
        <v>1792</v>
      </c>
      <c r="G1067" t="inlineStr">
        <is>
          <t>TVS</t>
        </is>
      </c>
      <c r="H1067" t="inlineStr">
        <is>
          <t>29.4-20.4-4.5-CEW STKM 13C-CEW</t>
        </is>
      </c>
      <c r="I1067" t="inlineStr">
        <is>
          <t>29.4-20.4-4.5-CEW STKM 13C-CEW-1</t>
        </is>
      </c>
      <c r="J1067" t="n">
        <v>5.55</v>
      </c>
      <c r="K1067" t="inlineStr">
        <is>
          <t>LL</t>
        </is>
      </c>
    </row>
    <row r="1068" hidden="1" s="584">
      <c r="A1068" t="n">
        <v>3770394</v>
      </c>
      <c r="B1068" t="inlineStr">
        <is>
          <t>TUB-O-C-AUT-AD-FC-29.40X4.500X5.5500</t>
        </is>
      </c>
      <c r="C1068" t="n">
        <v>0.18238</v>
      </c>
      <c r="D1068" t="n">
        <v>4731</v>
      </c>
      <c r="E1068" t="inlineStr">
        <is>
          <t>Narasipur Auto Component(P)Ltd</t>
        </is>
      </c>
      <c r="F1068" t="n">
        <v>1793</v>
      </c>
      <c r="G1068" t="inlineStr">
        <is>
          <t>TVS</t>
        </is>
      </c>
      <c r="H1068" t="inlineStr">
        <is>
          <t>29.4-20.4-4.5-CEW STKM 13C-CEW</t>
        </is>
      </c>
      <c r="I1068" t="inlineStr">
        <is>
          <t>29.4-20.4-4.5-CEW STKM 13C-CEW-1</t>
        </is>
      </c>
      <c r="J1068" t="n">
        <v>5.55</v>
      </c>
      <c r="K1068" t="inlineStr">
        <is>
          <t>LL</t>
        </is>
      </c>
    </row>
    <row r="1069" hidden="1" s="584">
      <c r="A1069" t="n">
        <v>3770394</v>
      </c>
      <c r="B1069" t="inlineStr">
        <is>
          <t>TUB-O-C-AUT-AD-FC-29.40X4.500X5.5500</t>
        </is>
      </c>
      <c r="C1069" t="n">
        <v>2.236</v>
      </c>
      <c r="D1069" t="n">
        <v>4731</v>
      </c>
      <c r="E1069" t="inlineStr">
        <is>
          <t>Narasipur Auto Component(P)Ltd</t>
        </is>
      </c>
      <c r="F1069" t="n">
        <v>1794</v>
      </c>
      <c r="G1069" t="inlineStr">
        <is>
          <t>TVS</t>
        </is>
      </c>
      <c r="H1069" t="inlineStr">
        <is>
          <t>29.4-20.4-4.5-CEW STKM 13C-CEW</t>
        </is>
      </c>
      <c r="I1069" t="inlineStr">
        <is>
          <t>29.4-20.4-4.5-CEW STKM 13C-CEW-1</t>
        </is>
      </c>
      <c r="J1069" t="n">
        <v>5.55</v>
      </c>
      <c r="K1069" t="inlineStr">
        <is>
          <t>LL</t>
        </is>
      </c>
    </row>
    <row r="1070" hidden="1" s="584">
      <c r="A1070" t="n">
        <v>3770394</v>
      </c>
      <c r="B1070" t="inlineStr">
        <is>
          <t>TUB-O-C-AUT-AD-FC-29.40X4.500X5.5500</t>
        </is>
      </c>
      <c r="C1070" t="n">
        <v>1.547</v>
      </c>
      <c r="D1070" t="n">
        <v>4731</v>
      </c>
      <c r="E1070" t="inlineStr">
        <is>
          <t>Narasipur Auto Component(P)Ltd</t>
        </is>
      </c>
      <c r="F1070" t="n">
        <v>1795</v>
      </c>
      <c r="G1070" t="inlineStr">
        <is>
          <t>TVS</t>
        </is>
      </c>
      <c r="H1070" t="inlineStr">
        <is>
          <t>29.4-20.4-4.5-CEW STKM 13C-CEW</t>
        </is>
      </c>
      <c r="I1070" t="inlineStr">
        <is>
          <t>29.4-20.4-4.5-CEW STKM 13C-CEW-1</t>
        </is>
      </c>
      <c r="J1070" t="n">
        <v>5.55</v>
      </c>
      <c r="K1070" t="inlineStr">
        <is>
          <t>LL</t>
        </is>
      </c>
    </row>
    <row r="1071" hidden="1" s="584">
      <c r="A1071" t="n">
        <v>3770394</v>
      </c>
      <c r="B1071" t="inlineStr">
        <is>
          <t>TUB-O-C-AUT-AD-FC-29.40X4.500X5.5500</t>
        </is>
      </c>
      <c r="C1071" t="n">
        <v>1.869</v>
      </c>
      <c r="D1071" t="n">
        <v>4731</v>
      </c>
      <c r="E1071" t="inlineStr">
        <is>
          <t>Narasipur Auto Component(P)Ltd</t>
        </is>
      </c>
      <c r="F1071" t="n">
        <v>1796</v>
      </c>
      <c r="G1071" t="inlineStr">
        <is>
          <t>TVS</t>
        </is>
      </c>
      <c r="H1071" t="inlineStr">
        <is>
          <t>29.4-20.4-4.5-CEW STKM 13C-CEW</t>
        </is>
      </c>
      <c r="I1071" t="inlineStr">
        <is>
          <t>29.4-20.4-4.5-CEW STKM 13C-CEW-1</t>
        </is>
      </c>
      <c r="J1071" t="n">
        <v>5.55</v>
      </c>
      <c r="K1071" t="inlineStr">
        <is>
          <t>LL</t>
        </is>
      </c>
    </row>
    <row r="1072" hidden="1" s="584">
      <c r="A1072" t="n">
        <v>3770394</v>
      </c>
      <c r="B1072" t="inlineStr">
        <is>
          <t>TUB-O-C-AUT-AD-FC-29.40X4.500X5.5500</t>
        </is>
      </c>
      <c r="C1072" t="n">
        <v>3.708</v>
      </c>
      <c r="D1072" t="n">
        <v>4731</v>
      </c>
      <c r="E1072" t="inlineStr">
        <is>
          <t>Narasipur Auto Component(P)Ltd</t>
        </is>
      </c>
      <c r="F1072" t="n">
        <v>1797</v>
      </c>
      <c r="G1072" t="inlineStr">
        <is>
          <t>TVS</t>
        </is>
      </c>
      <c r="H1072" t="inlineStr">
        <is>
          <t>29.4-20.4-4.5-CEW STKM 13C-CEW</t>
        </is>
      </c>
      <c r="I1072" t="inlineStr">
        <is>
          <t>29.4-20.4-4.5-CEW STKM 13C-CEW-1</t>
        </is>
      </c>
      <c r="J1072" t="n">
        <v>5.55</v>
      </c>
      <c r="K1072" t="inlineStr">
        <is>
          <t>LL</t>
        </is>
      </c>
    </row>
    <row r="1073" hidden="1" s="584">
      <c r="A1073" t="n">
        <v>3770394</v>
      </c>
      <c r="B1073" t="inlineStr">
        <is>
          <t>TUB-O-C-AUT-AD-FC-29.40X4.500X5.5500</t>
        </is>
      </c>
      <c r="C1073" t="n">
        <v>0.592821</v>
      </c>
      <c r="D1073" t="n">
        <v>8406</v>
      </c>
      <c r="E1073" t="inlineStr">
        <is>
          <t>Narasipur Auto Component(P)Ltd</t>
        </is>
      </c>
      <c r="F1073" t="n">
        <v>1798</v>
      </c>
      <c r="G1073" t="inlineStr">
        <is>
          <t>TVS</t>
        </is>
      </c>
      <c r="H1073" t="inlineStr">
        <is>
          <t>29.4-20.4-4.5-CEW STKM 13C-CEW</t>
        </is>
      </c>
      <c r="I1073" t="inlineStr">
        <is>
          <t>29.4-20.4-4.5-CEW STKM 13C-CEW-1</t>
        </is>
      </c>
      <c r="J1073" t="n">
        <v>5.55</v>
      </c>
      <c r="K1073" t="inlineStr">
        <is>
          <t>LL</t>
        </is>
      </c>
    </row>
    <row r="1074" hidden="1" s="584">
      <c r="A1074" t="n">
        <v>3770394</v>
      </c>
      <c r="B1074" t="inlineStr">
        <is>
          <t>TUB-O-C-AUT-AD-FC-29.40X4.500X5.5500</t>
        </is>
      </c>
      <c r="C1074" t="n">
        <v>1.04908</v>
      </c>
      <c r="D1074" t="n">
        <v>8406</v>
      </c>
      <c r="E1074" t="inlineStr">
        <is>
          <t>Narasipur Auto Component(P)Ltd</t>
        </is>
      </c>
      <c r="F1074" t="n">
        <v>1799</v>
      </c>
      <c r="G1074" t="inlineStr">
        <is>
          <t>TVS</t>
        </is>
      </c>
      <c r="H1074" t="inlineStr">
        <is>
          <t>29.4-20.4-4.5-CEW STKM 13C-CEW</t>
        </is>
      </c>
      <c r="I1074" t="inlineStr">
        <is>
          <t>29.4-20.4-4.5-CEW STKM 13C-CEW-1</t>
        </is>
      </c>
      <c r="J1074" t="n">
        <v>5.55</v>
      </c>
      <c r="K1074" t="inlineStr">
        <is>
          <t>LL</t>
        </is>
      </c>
    </row>
    <row r="1075" hidden="1" s="584">
      <c r="A1075" t="n">
        <v>3770394</v>
      </c>
      <c r="B1075" t="inlineStr">
        <is>
          <t>TUB-O-C-AUT-AD-FC-29.40X4.500X5.5500</t>
        </is>
      </c>
      <c r="C1075" t="n">
        <v>1.736</v>
      </c>
      <c r="D1075" t="n">
        <v>8406</v>
      </c>
      <c r="E1075" t="inlineStr">
        <is>
          <t>Narasipur Auto Component(P)Ltd</t>
        </is>
      </c>
      <c r="F1075" t="n">
        <v>1800</v>
      </c>
      <c r="G1075" t="inlineStr">
        <is>
          <t>TVS</t>
        </is>
      </c>
      <c r="H1075" t="inlineStr">
        <is>
          <t>29.4-20.4-4.5-CEW STKM 13C-CEW</t>
        </is>
      </c>
      <c r="I1075" t="inlineStr">
        <is>
          <t>29.4-20.4-4.5-CEW STKM 13C-CEW-1</t>
        </is>
      </c>
      <c r="J1075" t="n">
        <v>5.55</v>
      </c>
      <c r="K1075" t="inlineStr">
        <is>
          <t>LL</t>
        </is>
      </c>
    </row>
    <row r="1076" hidden="1" s="584">
      <c r="A1076" t="n">
        <v>3770394</v>
      </c>
      <c r="B1076" t="inlineStr">
        <is>
          <t>TUB-O-C-AUT-AD-FC-29.40X4.500X5.5500</t>
        </is>
      </c>
      <c r="C1076" t="n">
        <v>1.736</v>
      </c>
      <c r="D1076" t="n">
        <v>8406</v>
      </c>
      <c r="E1076" t="inlineStr">
        <is>
          <t>Narasipur Auto Component(P)Ltd</t>
        </is>
      </c>
      <c r="F1076" t="n">
        <v>1801</v>
      </c>
      <c r="G1076" t="inlineStr">
        <is>
          <t>TVS</t>
        </is>
      </c>
      <c r="H1076" t="inlineStr">
        <is>
          <t>29.4-20.4-4.5-CEW STKM 13C-CEW</t>
        </is>
      </c>
      <c r="I1076" t="inlineStr">
        <is>
          <t>29.4-20.4-4.5-CEW STKM 13C-CEW-1</t>
        </is>
      </c>
      <c r="J1076" t="n">
        <v>5.55</v>
      </c>
      <c r="K1076" t="inlineStr">
        <is>
          <t>LL</t>
        </is>
      </c>
    </row>
    <row r="1077" hidden="1" s="584">
      <c r="A1077" t="n">
        <v>3770394</v>
      </c>
      <c r="B1077" t="inlineStr">
        <is>
          <t>TUB-O-C-AUT-AD-FC-29.40X4.500X5.5500</t>
        </is>
      </c>
      <c r="C1077" t="n">
        <v>0.427099</v>
      </c>
      <c r="D1077" t="n">
        <v>8406</v>
      </c>
      <c r="E1077" t="inlineStr">
        <is>
          <t>Narasipur Auto Component(P)Ltd</t>
        </is>
      </c>
      <c r="F1077" t="n">
        <v>1802</v>
      </c>
      <c r="G1077" t="inlineStr">
        <is>
          <t>TVS</t>
        </is>
      </c>
      <c r="H1077" t="inlineStr">
        <is>
          <t>29.4-20.4-4.5-CEW STKM 13C-CEW</t>
        </is>
      </c>
      <c r="I1077" t="inlineStr">
        <is>
          <t>29.4-20.4-4.5-CEW STKM 13C-CEW-1</t>
        </is>
      </c>
      <c r="J1077" t="n">
        <v>5.55</v>
      </c>
      <c r="K1077" t="inlineStr">
        <is>
          <t>LL</t>
        </is>
      </c>
    </row>
    <row r="1078" hidden="1" s="584">
      <c r="A1078" t="n">
        <v>3770394</v>
      </c>
      <c r="B1078" t="inlineStr">
        <is>
          <t>TUB-O-C-AUT-AD-FC-29.40X4.500X5.5500</t>
        </is>
      </c>
      <c r="C1078" t="n">
        <v>1.562</v>
      </c>
      <c r="D1078" t="n">
        <v>8406</v>
      </c>
      <c r="E1078" t="inlineStr">
        <is>
          <t>Narasipur Auto Component(P)Ltd</t>
        </is>
      </c>
      <c r="F1078" t="n">
        <v>1803</v>
      </c>
      <c r="G1078" t="inlineStr">
        <is>
          <t>TVS</t>
        </is>
      </c>
      <c r="H1078" t="inlineStr">
        <is>
          <t>29.4-20.4-4.5-CEW STKM 13C-CEW</t>
        </is>
      </c>
      <c r="I1078" t="inlineStr">
        <is>
          <t>29.4-20.4-4.5-CEW STKM 13C-CEW-1</t>
        </is>
      </c>
      <c r="J1078" t="n">
        <v>5.55</v>
      </c>
      <c r="K1078" t="inlineStr">
        <is>
          <t>LL</t>
        </is>
      </c>
    </row>
    <row r="1079" hidden="1" s="584">
      <c r="A1079" t="n">
        <v>3770394</v>
      </c>
      <c r="B1079" t="inlineStr">
        <is>
          <t>TUB-O-C-AUT-AD-FC-29.40X4.500X5.5500</t>
        </is>
      </c>
      <c r="C1079" t="n">
        <v>1.737</v>
      </c>
      <c r="D1079" t="n">
        <v>8406</v>
      </c>
      <c r="E1079" t="inlineStr">
        <is>
          <t>Narasipur Auto Component(P)Ltd</t>
        </is>
      </c>
      <c r="F1079" t="n">
        <v>1804</v>
      </c>
      <c r="G1079" t="inlineStr">
        <is>
          <t>TVS</t>
        </is>
      </c>
      <c r="H1079" t="inlineStr">
        <is>
          <t>29.4-20.4-4.5-CEW STKM 13C-CEW</t>
        </is>
      </c>
      <c r="I1079" t="inlineStr">
        <is>
          <t>29.4-20.4-4.5-CEW STKM 13C-CEW-1</t>
        </is>
      </c>
      <c r="J1079" t="n">
        <v>5.55</v>
      </c>
      <c r="K1079" t="inlineStr">
        <is>
          <t>LL</t>
        </is>
      </c>
    </row>
    <row r="1080" hidden="1" s="584">
      <c r="A1080" t="n">
        <v>3770398</v>
      </c>
      <c r="B1080" t="inlineStr">
        <is>
          <t>TUB-I-C-AUT-AD-FC-25.50X2.250X5.9500</t>
        </is>
      </c>
      <c r="C1080" t="n">
        <v>0.065358</v>
      </c>
      <c r="D1080" t="n">
        <v>4731</v>
      </c>
      <c r="E1080" t="inlineStr">
        <is>
          <t>Marathwada Auto Compo Pvt. Ltd.</t>
        </is>
      </c>
      <c r="F1080" t="n">
        <v>1805</v>
      </c>
      <c r="G1080" t="inlineStr">
        <is>
          <t>TVS</t>
        </is>
      </c>
      <c r="H1080" t="inlineStr">
        <is>
          <t>30-25.5-2.25-CEW-CEW</t>
        </is>
      </c>
      <c r="I1080" t="inlineStr">
        <is>
          <t>30-25.5-2.25-CEW-CEW-1</t>
        </is>
      </c>
      <c r="J1080" t="n">
        <v>5.95</v>
      </c>
      <c r="K1080" t="inlineStr">
        <is>
          <t>LL</t>
        </is>
      </c>
    </row>
    <row r="1081" hidden="1" s="584">
      <c r="A1081" t="n">
        <v>3770398</v>
      </c>
      <c r="B1081" t="inlineStr">
        <is>
          <t>TUB-I-C-AUT-AD-FC-25.50X2.250X5.9500</t>
        </is>
      </c>
      <c r="C1081" t="n">
        <v>0.158872</v>
      </c>
      <c r="D1081" t="n">
        <v>4731</v>
      </c>
      <c r="E1081" t="inlineStr">
        <is>
          <t>Marathwada Auto Compo Pvt. Ltd.</t>
        </is>
      </c>
      <c r="F1081" t="n">
        <v>1806</v>
      </c>
      <c r="G1081" t="inlineStr">
        <is>
          <t>TVS</t>
        </is>
      </c>
      <c r="H1081" t="inlineStr">
        <is>
          <t>30-25.5-2.25-CEW-CEW</t>
        </is>
      </c>
      <c r="I1081" t="inlineStr">
        <is>
          <t>30-25.5-2.25-CEW-CEW-1</t>
        </is>
      </c>
      <c r="J1081" t="n">
        <v>5.95</v>
      </c>
      <c r="K1081" t="inlineStr">
        <is>
          <t>LL</t>
        </is>
      </c>
    </row>
    <row r="1082" hidden="1" s="584">
      <c r="A1082" t="n">
        <v>3770398</v>
      </c>
      <c r="B1082" t="inlineStr">
        <is>
          <t>TUB-I-C-AUT-AD-FC-25.50X2.250X5.9500</t>
        </is>
      </c>
      <c r="C1082" t="n">
        <v>0.21376</v>
      </c>
      <c r="D1082" t="n">
        <v>4731</v>
      </c>
      <c r="E1082" t="inlineStr">
        <is>
          <t>Marathwada Auto Compo Pvt. Ltd.</t>
        </is>
      </c>
      <c r="F1082" t="n">
        <v>1807</v>
      </c>
      <c r="G1082" t="inlineStr">
        <is>
          <t>TVS</t>
        </is>
      </c>
      <c r="H1082" t="inlineStr">
        <is>
          <t>30-25.5-2.25-CEW-CEW</t>
        </is>
      </c>
      <c r="I1082" t="inlineStr">
        <is>
          <t>30-25.5-2.25-CEW-CEW-1</t>
        </is>
      </c>
      <c r="J1082" t="n">
        <v>5.95</v>
      </c>
      <c r="K1082" t="inlineStr">
        <is>
          <t>LL</t>
        </is>
      </c>
    </row>
    <row r="1083" hidden="1" s="584">
      <c r="A1083" t="n">
        <v>3770398</v>
      </c>
      <c r="B1083" t="inlineStr">
        <is>
          <t>TUB-I-C-AUT-AD-FC-25.50X2.250X5.9500</t>
        </is>
      </c>
      <c r="C1083" t="n">
        <v>0.08522399999999999</v>
      </c>
      <c r="D1083" t="n">
        <v>4731</v>
      </c>
      <c r="E1083" t="inlineStr">
        <is>
          <t>Marathwada Auto Compo Pvt. Ltd.</t>
        </is>
      </c>
      <c r="F1083" t="n">
        <v>1808</v>
      </c>
      <c r="G1083" t="inlineStr">
        <is>
          <t>TVS</t>
        </is>
      </c>
      <c r="H1083" t="inlineStr">
        <is>
          <t>30-25.5-2.25-CEW-CEW</t>
        </is>
      </c>
      <c r="I1083" t="inlineStr">
        <is>
          <t>30-25.5-2.25-CEW-CEW-1</t>
        </is>
      </c>
      <c r="J1083" t="n">
        <v>5.95</v>
      </c>
      <c r="K1083" t="inlineStr">
        <is>
          <t>LL</t>
        </is>
      </c>
    </row>
    <row r="1084" hidden="1" s="584">
      <c r="A1084" t="n">
        <v>3770398</v>
      </c>
      <c r="B1084" t="inlineStr">
        <is>
          <t>TUB-I-C-AUT-AD-FC-25.50X2.250X5.9500</t>
        </is>
      </c>
      <c r="C1084" t="n">
        <v>0.42328</v>
      </c>
      <c r="D1084" t="n">
        <v>4731</v>
      </c>
      <c r="E1084" t="inlineStr">
        <is>
          <t>Marathwada Auto Compo Pvt. Ltd.</t>
        </is>
      </c>
      <c r="F1084" t="n">
        <v>1809</v>
      </c>
      <c r="G1084" t="inlineStr">
        <is>
          <t>TVS</t>
        </is>
      </c>
      <c r="H1084" t="inlineStr">
        <is>
          <t>30-25.5-2.25-CEW-CEW</t>
        </is>
      </c>
      <c r="I1084" t="inlineStr">
        <is>
          <t>30-25.5-2.25-CEW-CEW-1</t>
        </is>
      </c>
      <c r="J1084" t="n">
        <v>5.95</v>
      </c>
      <c r="K1084" t="inlineStr">
        <is>
          <t>LL</t>
        </is>
      </c>
    </row>
    <row r="1085" hidden="1" s="584">
      <c r="A1085" t="n">
        <v>3770398</v>
      </c>
      <c r="B1085" t="inlineStr">
        <is>
          <t>TUB-I-C-AUT-AD-FC-25.50X2.250X5.9500</t>
        </is>
      </c>
      <c r="C1085" t="n">
        <v>0.23</v>
      </c>
      <c r="D1085" t="n">
        <v>4731</v>
      </c>
      <c r="E1085" t="inlineStr">
        <is>
          <t>Marathwada Auto Compo Pvt. Ltd.</t>
        </is>
      </c>
      <c r="F1085" t="n">
        <v>1810</v>
      </c>
      <c r="G1085" t="inlineStr">
        <is>
          <t>TVS</t>
        </is>
      </c>
      <c r="H1085" t="inlineStr">
        <is>
          <t>30-25.5-2.25-CEW-CEW</t>
        </is>
      </c>
      <c r="I1085" t="inlineStr">
        <is>
          <t>30-25.5-2.25-CEW-CEW-1</t>
        </is>
      </c>
      <c r="J1085" t="n">
        <v>5.95</v>
      </c>
      <c r="K1085" t="inlineStr">
        <is>
          <t>LL</t>
        </is>
      </c>
    </row>
    <row r="1086" hidden="1" s="584">
      <c r="A1086" t="n">
        <v>3500233</v>
      </c>
      <c r="B1086" t="inlineStr">
        <is>
          <t>TUB-O-N-AUT-AW-FC-38.10X1.60X4.950-ERW 1</t>
        </is>
      </c>
      <c r="C1086" t="n">
        <v>0.080336</v>
      </c>
      <c r="D1086" t="n">
        <v>4731</v>
      </c>
      <c r="E1086" t="inlineStr">
        <is>
          <t>SANDHAR ENGINEERING PVT LTD.(KA) -U</t>
        </is>
      </c>
      <c r="F1086" t="n">
        <v>1440</v>
      </c>
      <c r="G1086" t="inlineStr">
        <is>
          <t>TVS</t>
        </is>
      </c>
      <c r="H1086" t="inlineStr">
        <is>
          <t>38.1-0-1.6-ERW 1-FC</t>
        </is>
      </c>
      <c r="I1086" t="inlineStr">
        <is>
          <t>38.1-0-1.6-ERW 1-FC-1</t>
        </is>
      </c>
      <c r="J1086" t="n">
        <v>4.95</v>
      </c>
      <c r="K1086" t="inlineStr">
        <is>
          <t>LL</t>
        </is>
      </c>
    </row>
    <row r="1087" hidden="1" s="584">
      <c r="A1087" t="n">
        <v>3500233</v>
      </c>
      <c r="B1087" t="inlineStr">
        <is>
          <t>TUB-O-N-AUT-AW-FC-38.10X1.60X4.950-ERW 1</t>
        </is>
      </c>
      <c r="C1087" t="n">
        <v>1.477717</v>
      </c>
      <c r="D1087" t="n">
        <v>4731</v>
      </c>
      <c r="E1087" t="inlineStr">
        <is>
          <t>SANDHAR ENGINEERING PVT LTD.(KA) -U</t>
        </is>
      </c>
      <c r="F1087" t="n">
        <v>1441</v>
      </c>
      <c r="G1087" t="inlineStr">
        <is>
          <t>TVS</t>
        </is>
      </c>
      <c r="H1087" t="inlineStr">
        <is>
          <t>38.1-0-1.6-ERW 1-FC</t>
        </is>
      </c>
      <c r="I1087" t="inlineStr">
        <is>
          <t>38.1-0-1.6-ERW 1-FC-1</t>
        </is>
      </c>
      <c r="J1087" t="n">
        <v>4.95</v>
      </c>
      <c r="K1087" t="inlineStr">
        <is>
          <t>LL</t>
        </is>
      </c>
    </row>
    <row r="1088" hidden="1" s="584">
      <c r="A1088" t="n">
        <v>3500233</v>
      </c>
      <c r="B1088" t="inlineStr">
        <is>
          <t>TUB-O-N-AUT-AW-FC-38.10X1.60X4.950-ERW 1</t>
        </is>
      </c>
      <c r="C1088" t="n">
        <v>1.491463</v>
      </c>
      <c r="D1088" t="n">
        <v>4731</v>
      </c>
      <c r="E1088" t="inlineStr">
        <is>
          <t>SANDHAR ENGINEERING PVT LTD.(KA) -U</t>
        </is>
      </c>
      <c r="F1088" t="n">
        <v>1442</v>
      </c>
      <c r="G1088" t="inlineStr">
        <is>
          <t>TVS</t>
        </is>
      </c>
      <c r="H1088" t="inlineStr">
        <is>
          <t>38.1-0-1.6-ERW 1-FC</t>
        </is>
      </c>
      <c r="I1088" t="inlineStr">
        <is>
          <t>38.1-0-1.6-ERW 1-FC-1</t>
        </is>
      </c>
      <c r="J1088" t="n">
        <v>4.95</v>
      </c>
      <c r="K1088" t="inlineStr">
        <is>
          <t>LL</t>
        </is>
      </c>
    </row>
    <row r="1089" hidden="1" s="584">
      <c r="A1089" t="n">
        <v>3500233</v>
      </c>
      <c r="B1089" t="inlineStr">
        <is>
          <t>TUB-O-N-AUT-AW-FC-38.10X1.60X4.950-ERW 1</t>
        </is>
      </c>
      <c r="C1089" t="n">
        <v>1.319635</v>
      </c>
      <c r="D1089" t="n">
        <v>4731</v>
      </c>
      <c r="E1089" t="inlineStr">
        <is>
          <t>SANDHAR ENGINEERING PVT LTD.(KA) -U</t>
        </is>
      </c>
      <c r="F1089" t="n">
        <v>1443</v>
      </c>
      <c r="G1089" t="inlineStr">
        <is>
          <t>TVS</t>
        </is>
      </c>
      <c r="H1089" t="inlineStr">
        <is>
          <t>38.1-0-1.6-ERW 1-FC</t>
        </is>
      </c>
      <c r="I1089" t="inlineStr">
        <is>
          <t>38.1-0-1.6-ERW 1-FC-1</t>
        </is>
      </c>
      <c r="J1089" t="n">
        <v>4.95</v>
      </c>
      <c r="K1089" t="inlineStr">
        <is>
          <t>LL</t>
        </is>
      </c>
    </row>
    <row r="1090" hidden="1" s="584">
      <c r="A1090" t="n">
        <v>3500233</v>
      </c>
      <c r="B1090" t="inlineStr">
        <is>
          <t>TUB-O-N-AUT-AW-FC-38.10X1.60X4.950-ERW 1</t>
        </is>
      </c>
      <c r="C1090" t="n">
        <v>0.8110259999999998</v>
      </c>
      <c r="D1090" t="n">
        <v>4731</v>
      </c>
      <c r="E1090" t="inlineStr">
        <is>
          <t>SANDHAR ENGINEERING PVT LTD.(KA) -U</t>
        </is>
      </c>
      <c r="F1090" t="n">
        <v>1444</v>
      </c>
      <c r="G1090" t="inlineStr">
        <is>
          <t>TVS</t>
        </is>
      </c>
      <c r="H1090" t="inlineStr">
        <is>
          <t>38.1-0-1.6-ERW 1-FC</t>
        </is>
      </c>
      <c r="I1090" t="inlineStr">
        <is>
          <t>38.1-0-1.6-ERW 1-FC-1</t>
        </is>
      </c>
      <c r="J1090" t="n">
        <v>4.95</v>
      </c>
      <c r="K1090" t="inlineStr">
        <is>
          <t>LL</t>
        </is>
      </c>
    </row>
    <row r="1091" hidden="1" s="584">
      <c r="A1091" t="n">
        <v>3500233</v>
      </c>
      <c r="B1091" t="inlineStr">
        <is>
          <t>TUB-O-N-AUT-AW-FC-38.10X1.60X4.950-ERW 1</t>
        </is>
      </c>
      <c r="C1091" t="n">
        <v>1.48459</v>
      </c>
      <c r="D1091" t="n">
        <v>8406</v>
      </c>
      <c r="E1091" t="inlineStr">
        <is>
          <t>SANDHAR ENGINEERING PVT LTD.(KA) -U</t>
        </is>
      </c>
      <c r="F1091" t="n">
        <v>1445</v>
      </c>
      <c r="G1091" t="inlineStr">
        <is>
          <t>TVS</t>
        </is>
      </c>
      <c r="H1091" t="inlineStr">
        <is>
          <t>38.1-0-1.6-ERW 1-FC</t>
        </is>
      </c>
      <c r="I1091" t="inlineStr">
        <is>
          <t>38.1-0-1.6-ERW 1-FC-1</t>
        </is>
      </c>
      <c r="J1091" t="n">
        <v>4.95</v>
      </c>
      <c r="K1091" t="inlineStr">
        <is>
          <t>LL</t>
        </is>
      </c>
    </row>
    <row r="1092" hidden="1" s="584">
      <c r="A1092" t="n">
        <v>3500233</v>
      </c>
      <c r="B1092" t="inlineStr">
        <is>
          <t>TUB-O-N-AUT-AW-FC-38.10X1.60X4.950-ERW 1</t>
        </is>
      </c>
      <c r="C1092" t="n">
        <v>1.48459</v>
      </c>
      <c r="D1092" t="n">
        <v>8406</v>
      </c>
      <c r="E1092" t="inlineStr">
        <is>
          <t>SANDHAR ENGINEERING PVT LTD.(KA) -U</t>
        </is>
      </c>
      <c r="F1092" t="n">
        <v>1446</v>
      </c>
      <c r="G1092" t="inlineStr">
        <is>
          <t>TVS</t>
        </is>
      </c>
      <c r="H1092" t="inlineStr">
        <is>
          <t>38.1-0-1.6-ERW 1-FC</t>
        </is>
      </c>
      <c r="I1092" t="inlineStr">
        <is>
          <t>38.1-0-1.6-ERW 1-FC-1</t>
        </is>
      </c>
      <c r="J1092" t="n">
        <v>4.95</v>
      </c>
      <c r="K1092" t="inlineStr">
        <is>
          <t>LL</t>
        </is>
      </c>
    </row>
    <row r="1093" hidden="1" s="584">
      <c r="A1093" t="n">
        <v>3781608</v>
      </c>
      <c r="B1093" t="inlineStr">
        <is>
          <t>CUT-I-C-AUT-AD-CH-25.50X2.320X0.4650</t>
        </is>
      </c>
      <c r="C1093" t="n">
        <v>0.15307</v>
      </c>
      <c r="D1093" t="n">
        <v>4731</v>
      </c>
      <c r="E1093" t="inlineStr">
        <is>
          <t>Rajsriya Automotive Ind Pvt Ltd.</t>
        </is>
      </c>
      <c r="F1093" t="n">
        <v>1835</v>
      </c>
      <c r="G1093" t="inlineStr">
        <is>
          <t>TVS</t>
        </is>
      </c>
      <c r="H1093" t="inlineStr">
        <is>
          <t>30-25.5-2.25-CEW-CEW</t>
        </is>
      </c>
      <c r="I1093" t="inlineStr">
        <is>
          <t>30-25.5-2.25-CEW-CEW-0.465</t>
        </is>
      </c>
      <c r="J1093" t="n">
        <v>0.465</v>
      </c>
      <c r="K1093" t="inlineStr">
        <is>
          <t>CTL</t>
        </is>
      </c>
    </row>
    <row r="1094" hidden="1" s="584">
      <c r="A1094" t="n">
        <v>3781608</v>
      </c>
      <c r="B1094" t="inlineStr">
        <is>
          <t>CUT-I-C-AUT-AD-CH-25.50X2.320X0.4650</t>
        </is>
      </c>
      <c r="C1094" t="n">
        <v>0.105748</v>
      </c>
      <c r="D1094" t="n">
        <v>4731</v>
      </c>
      <c r="E1094" t="inlineStr">
        <is>
          <t>Rajsriya Automotive Ind Pvt Ltd.</t>
        </is>
      </c>
      <c r="F1094" t="n">
        <v>1836</v>
      </c>
      <c r="G1094" t="inlineStr">
        <is>
          <t>TVS</t>
        </is>
      </c>
      <c r="H1094" t="inlineStr">
        <is>
          <t>30-25.5-2.25-CEW-CEW</t>
        </is>
      </c>
      <c r="I1094" t="inlineStr">
        <is>
          <t>30-25.5-2.25-CEW-CEW-0.465</t>
        </is>
      </c>
      <c r="J1094" t="n">
        <v>0.465</v>
      </c>
      <c r="K1094" t="inlineStr">
        <is>
          <t>CTL</t>
        </is>
      </c>
    </row>
    <row r="1095" hidden="1" s="584">
      <c r="A1095" t="n">
        <v>3781608</v>
      </c>
      <c r="B1095" t="inlineStr">
        <is>
          <t>CUT-I-C-AUT-AD-CH-25.50X2.320X0.4650</t>
        </is>
      </c>
      <c r="C1095" t="n">
        <v>0.085949</v>
      </c>
      <c r="D1095" t="n">
        <v>4731</v>
      </c>
      <c r="E1095" t="inlineStr">
        <is>
          <t>Rajsriya Automotive Ind Pvt Ltd.</t>
        </is>
      </c>
      <c r="F1095" t="n">
        <v>1837</v>
      </c>
      <c r="G1095" t="inlineStr">
        <is>
          <t>TVS</t>
        </is>
      </c>
      <c r="H1095" t="inlineStr">
        <is>
          <t>30-25.5-2.25-CEW-CEW</t>
        </is>
      </c>
      <c r="I1095" t="inlineStr">
        <is>
          <t>30-25.5-2.25-CEW-CEW-0.465</t>
        </is>
      </c>
      <c r="J1095" t="n">
        <v>0.465</v>
      </c>
      <c r="K1095" t="inlineStr">
        <is>
          <t>CTL</t>
        </is>
      </c>
    </row>
    <row r="1096" hidden="1" s="584">
      <c r="A1096" t="n">
        <v>3781608</v>
      </c>
      <c r="B1096" t="inlineStr">
        <is>
          <t>CUT-I-C-AUT-AD-CH-25.50X2.320X0.4650</t>
        </is>
      </c>
      <c r="C1096" t="n">
        <v>0.06654399999999999</v>
      </c>
      <c r="D1096" t="n">
        <v>4731</v>
      </c>
      <c r="E1096" t="inlineStr">
        <is>
          <t>Rajsriya Automotive Ind Pvt Ltd.</t>
        </is>
      </c>
      <c r="F1096" t="n">
        <v>1838</v>
      </c>
      <c r="G1096" t="inlineStr">
        <is>
          <t>TVS</t>
        </is>
      </c>
      <c r="H1096" t="inlineStr">
        <is>
          <t>30-25.5-2.25-CEW-CEW</t>
        </is>
      </c>
      <c r="I1096" t="inlineStr">
        <is>
          <t>30-25.5-2.25-CEW-CEW-0.465</t>
        </is>
      </c>
      <c r="J1096" t="n">
        <v>0.465</v>
      </c>
      <c r="K1096" t="inlineStr">
        <is>
          <t>CTL</t>
        </is>
      </c>
    </row>
    <row r="1097" hidden="1" s="584">
      <c r="A1097" t="n">
        <v>3781608</v>
      </c>
      <c r="B1097" t="inlineStr">
        <is>
          <t>CUT-I-C-AUT-AD-CH-25.50X2.320X0.4650</t>
        </is>
      </c>
      <c r="C1097" t="n">
        <v>0.159003</v>
      </c>
      <c r="D1097" t="n">
        <v>4731</v>
      </c>
      <c r="E1097" t="inlineStr">
        <is>
          <t>Rajsriya Automotive Ind Pvt Ltd.</t>
        </is>
      </c>
      <c r="F1097" t="n">
        <v>1839</v>
      </c>
      <c r="G1097" t="inlineStr">
        <is>
          <t>TVS</t>
        </is>
      </c>
      <c r="H1097" t="inlineStr">
        <is>
          <t>30-25.5-2.25-CEW-CEW</t>
        </is>
      </c>
      <c r="I1097" t="inlineStr">
        <is>
          <t>30-25.5-2.25-CEW-CEW-0.465</t>
        </is>
      </c>
      <c r="J1097" t="n">
        <v>0.465</v>
      </c>
      <c r="K1097" t="inlineStr">
        <is>
          <t>CTL</t>
        </is>
      </c>
    </row>
    <row r="1098" hidden="1" s="584">
      <c r="A1098" t="n">
        <v>3781608</v>
      </c>
      <c r="B1098" t="inlineStr">
        <is>
          <t>CUT-I-C-AUT-AD-CH-25.50X2.320X0.4650</t>
        </is>
      </c>
      <c r="C1098" t="n">
        <v>0.068553</v>
      </c>
      <c r="D1098" t="n">
        <v>4731</v>
      </c>
      <c r="E1098" t="inlineStr">
        <is>
          <t>Rajsriya Automotive Ind Pvt Ltd.</t>
        </is>
      </c>
      <c r="F1098" t="n">
        <v>1840</v>
      </c>
      <c r="G1098" t="inlineStr">
        <is>
          <t>TVS</t>
        </is>
      </c>
      <c r="H1098" t="inlineStr">
        <is>
          <t>30-25.5-2.25-CEW-CEW</t>
        </is>
      </c>
      <c r="I1098" t="inlineStr">
        <is>
          <t>30-25.5-2.25-CEW-CEW-0.465</t>
        </is>
      </c>
      <c r="J1098" t="n">
        <v>0.465</v>
      </c>
      <c r="K1098" t="inlineStr">
        <is>
          <t>CTL</t>
        </is>
      </c>
    </row>
    <row r="1099" hidden="1" s="584">
      <c r="A1099" t="n">
        <v>3500240</v>
      </c>
      <c r="B1099" t="inlineStr">
        <is>
          <t>TUB-O-N-AUT-AH-FC-38.10X2.5X5.65 HSTERW2</t>
        </is>
      </c>
      <c r="C1099" t="n">
        <v>0.58</v>
      </c>
      <c r="D1099" t="n">
        <v>4731</v>
      </c>
      <c r="E1099" t="inlineStr">
        <is>
          <t>MEGH STEELS PRIVATE LIMITED - TVS A</t>
        </is>
      </c>
      <c r="F1099" t="n">
        <v>1447</v>
      </c>
      <c r="G1099" t="inlineStr">
        <is>
          <t>Direct</t>
        </is>
      </c>
      <c r="H1099" t="inlineStr">
        <is>
          <t>38.1-0-2.5-ERW 2 MAHS-FC</t>
        </is>
      </c>
      <c r="I1099" t="inlineStr">
        <is>
          <t>38.1-0-2.5-ERW 2 MAHS-FC-1</t>
        </is>
      </c>
      <c r="J1099" t="n">
        <v>5.65</v>
      </c>
      <c r="K1099" t="inlineStr">
        <is>
          <t>LL</t>
        </is>
      </c>
    </row>
    <row r="1100" hidden="1" s="584">
      <c r="A1100" t="n">
        <v>3500268</v>
      </c>
      <c r="B1100" t="inlineStr">
        <is>
          <t>TUB-S-AW-SHS-50.00X50.00X1.600X6.000 HST</t>
        </is>
      </c>
      <c r="C1100" t="n">
        <v>0.136288</v>
      </c>
      <c r="D1100" t="n">
        <v>4731</v>
      </c>
      <c r="E1100" t="inlineStr">
        <is>
          <t>MEGH STEELS PRIVATE LIMITED - TVS A</t>
        </is>
      </c>
      <c r="F1100" t="n">
        <v>1448</v>
      </c>
      <c r="G1100" t="inlineStr">
        <is>
          <t>Direct</t>
        </is>
      </c>
      <c r="H1100" t="inlineStr">
        <is>
          <t>50-50-1.6-ERW 2-PE</t>
        </is>
      </c>
      <c r="I1100" t="inlineStr">
        <is>
          <t>50-50-1.6-ERW 2-PE-1</t>
        </is>
      </c>
      <c r="J1100" t="n">
        <v>6</v>
      </c>
      <c r="K1100" t="inlineStr">
        <is>
          <t>LL</t>
        </is>
      </c>
    </row>
    <row r="1101" hidden="1" s="584">
      <c r="A1101" t="n">
        <v>3500268</v>
      </c>
      <c r="B1101" t="inlineStr">
        <is>
          <t>TUB-S-AW-SHS-50.00X50.00X1.600X6.000 HST</t>
        </is>
      </c>
      <c r="C1101" t="n">
        <v>0.085674</v>
      </c>
      <c r="D1101" t="n">
        <v>4731</v>
      </c>
      <c r="E1101" t="inlineStr">
        <is>
          <t>MEGH STEELS PRIVATE LIMITED - TVS A</t>
        </is>
      </c>
      <c r="F1101" t="n">
        <v>1449</v>
      </c>
      <c r="G1101" t="inlineStr">
        <is>
          <t>Direct</t>
        </is>
      </c>
      <c r="H1101" t="inlineStr">
        <is>
          <t>50-50-1.6-ERW 2-PE</t>
        </is>
      </c>
      <c r="I1101" t="inlineStr">
        <is>
          <t>50-50-1.6-ERW 2-PE-1</t>
        </is>
      </c>
      <c r="J1101" t="n">
        <v>6</v>
      </c>
      <c r="K1101" t="inlineStr">
        <is>
          <t>LL</t>
        </is>
      </c>
    </row>
    <row r="1102" hidden="1" s="584">
      <c r="A1102" t="n">
        <v>3500268</v>
      </c>
      <c r="B1102" t="inlineStr">
        <is>
          <t>TUB-S-AW-SHS-50.00X50.00X1.600X6.000 HST</t>
        </is>
      </c>
      <c r="C1102" t="n">
        <v>0.271301</v>
      </c>
      <c r="D1102" t="n">
        <v>4731</v>
      </c>
      <c r="E1102" t="inlineStr">
        <is>
          <t>MEGH STEELS PRIVATE LIMITED - TVS A</t>
        </is>
      </c>
      <c r="F1102" t="n">
        <v>1450</v>
      </c>
      <c r="G1102" t="inlineStr">
        <is>
          <t>Direct</t>
        </is>
      </c>
      <c r="H1102" t="inlineStr">
        <is>
          <t>50-50-1.6-ERW 2-PE</t>
        </is>
      </c>
      <c r="I1102" t="inlineStr">
        <is>
          <t>50-50-1.6-ERW 2-PE-1</t>
        </is>
      </c>
      <c r="J1102" t="n">
        <v>6</v>
      </c>
      <c r="K1102" t="inlineStr">
        <is>
          <t>LL</t>
        </is>
      </c>
    </row>
    <row r="1103" hidden="1" s="584">
      <c r="A1103" t="n">
        <v>3500268</v>
      </c>
      <c r="B1103" t="inlineStr">
        <is>
          <t>TUB-S-AW-SHS-50.00X50.00X1.600X6.000 HST</t>
        </is>
      </c>
      <c r="C1103" t="n">
        <v>0.57116</v>
      </c>
      <c r="D1103" t="n">
        <v>4731</v>
      </c>
      <c r="E1103" t="inlineStr">
        <is>
          <t>MEGH STEELS PRIVATE LIMITED - TVS A</t>
        </is>
      </c>
      <c r="F1103" t="n">
        <v>1451</v>
      </c>
      <c r="G1103" t="inlineStr">
        <is>
          <t>Direct</t>
        </is>
      </c>
      <c r="H1103" t="inlineStr">
        <is>
          <t>50-50-1.6-ERW 2-PE</t>
        </is>
      </c>
      <c r="I1103" t="inlineStr">
        <is>
          <t>50-50-1.6-ERW 2-PE-1</t>
        </is>
      </c>
      <c r="J1103" t="n">
        <v>6</v>
      </c>
      <c r="K1103" t="inlineStr">
        <is>
          <t>LL</t>
        </is>
      </c>
    </row>
    <row r="1104" hidden="1" s="584">
      <c r="A1104" t="n">
        <v>3500268</v>
      </c>
      <c r="B1104" t="inlineStr">
        <is>
          <t>TUB-S-AW-SHS-50.00X50.00X1.600X6.000 HST</t>
        </is>
      </c>
      <c r="C1104" t="n">
        <v>0.28558</v>
      </c>
      <c r="D1104" t="n">
        <v>4731</v>
      </c>
      <c r="E1104" t="inlineStr">
        <is>
          <t>MEGH STEELS PRIVATE LIMITED - TVS A</t>
        </is>
      </c>
      <c r="F1104" t="n">
        <v>1452</v>
      </c>
      <c r="G1104" t="inlineStr">
        <is>
          <t>Direct</t>
        </is>
      </c>
      <c r="H1104" t="inlineStr">
        <is>
          <t>50-50-1.6-ERW 2-PE</t>
        </is>
      </c>
      <c r="I1104" t="inlineStr">
        <is>
          <t>50-50-1.6-ERW 2-PE-1</t>
        </is>
      </c>
      <c r="J1104" t="n">
        <v>6</v>
      </c>
      <c r="K1104" t="inlineStr">
        <is>
          <t>LL</t>
        </is>
      </c>
    </row>
    <row r="1105" hidden="1" s="584">
      <c r="A1105" t="n">
        <v>3500268</v>
      </c>
      <c r="B1105" t="inlineStr">
        <is>
          <t>TUB-S-AW-SHS-50.00X50.00X1.600X6.000 HST</t>
        </is>
      </c>
      <c r="C1105" t="n">
        <v>1.4279</v>
      </c>
      <c r="D1105" t="n">
        <v>8406</v>
      </c>
      <c r="E1105" t="inlineStr">
        <is>
          <t>MEGH STEELS PRIVATE LIMITED - TVS A</t>
        </is>
      </c>
      <c r="F1105" t="n">
        <v>1453</v>
      </c>
      <c r="G1105" t="inlineStr">
        <is>
          <t>Direct</t>
        </is>
      </c>
      <c r="H1105" t="inlineStr">
        <is>
          <t>50-50-1.6-ERW 2-PE</t>
        </is>
      </c>
      <c r="I1105" t="inlineStr">
        <is>
          <t>50-50-1.6-ERW 2-PE-1</t>
        </is>
      </c>
      <c r="J1105" t="n">
        <v>6</v>
      </c>
      <c r="K1105" t="inlineStr">
        <is>
          <t>LL</t>
        </is>
      </c>
    </row>
    <row r="1106" hidden="1" s="584">
      <c r="A1106" t="n">
        <v>3500268</v>
      </c>
      <c r="B1106" t="inlineStr">
        <is>
          <t>TUB-S-AW-SHS-50.00X50.00X1.600X6.000 HST</t>
        </is>
      </c>
      <c r="C1106" t="n">
        <v>1.4279</v>
      </c>
      <c r="D1106" t="n">
        <v>8406</v>
      </c>
      <c r="E1106" t="inlineStr">
        <is>
          <t>MEGH STEELS PRIVATE LIMITED - TVS A</t>
        </is>
      </c>
      <c r="F1106" t="n">
        <v>1454</v>
      </c>
      <c r="G1106" t="inlineStr">
        <is>
          <t>Direct</t>
        </is>
      </c>
      <c r="H1106" t="inlineStr">
        <is>
          <t>50-50-1.6-ERW 2-PE</t>
        </is>
      </c>
      <c r="I1106" t="inlineStr">
        <is>
          <t>50-50-1.6-ERW 2-PE-1</t>
        </is>
      </c>
      <c r="J1106" t="n">
        <v>6</v>
      </c>
      <c r="K1106" t="inlineStr">
        <is>
          <t>LL</t>
        </is>
      </c>
    </row>
    <row r="1107" hidden="1" s="584">
      <c r="A1107" t="n">
        <v>3500268</v>
      </c>
      <c r="B1107" t="inlineStr">
        <is>
          <t>TUB-S-AW-SHS-50.00X50.00X1.600X6.000 HST</t>
        </is>
      </c>
      <c r="C1107" t="n">
        <v>1.4279</v>
      </c>
      <c r="D1107" t="n">
        <v>8406</v>
      </c>
      <c r="E1107" t="inlineStr">
        <is>
          <t>MEGH STEELS PRIVATE LIMITED - TVS A</t>
        </is>
      </c>
      <c r="F1107" t="n">
        <v>1455</v>
      </c>
      <c r="G1107" t="inlineStr">
        <is>
          <t>Direct</t>
        </is>
      </c>
      <c r="H1107" t="inlineStr">
        <is>
          <t>50-50-1.6-ERW 2-PE</t>
        </is>
      </c>
      <c r="I1107" t="inlineStr">
        <is>
          <t>50-50-1.6-ERW 2-PE-1</t>
        </is>
      </c>
      <c r="J1107" t="n">
        <v>6</v>
      </c>
      <c r="K1107" t="inlineStr">
        <is>
          <t>LL</t>
        </is>
      </c>
    </row>
    <row r="1108" hidden="1" s="584">
      <c r="A1108" t="n">
        <v>3500268</v>
      </c>
      <c r="B1108" t="inlineStr">
        <is>
          <t>TUB-S-AW-SHS-50.00X50.00X1.600X6.000 HST</t>
        </is>
      </c>
      <c r="C1108" t="n">
        <v>1.4279</v>
      </c>
      <c r="D1108" t="n">
        <v>8406</v>
      </c>
      <c r="E1108" t="inlineStr">
        <is>
          <t>MEGH STEELS PRIVATE LIMITED - TVS A</t>
        </is>
      </c>
      <c r="F1108" t="n">
        <v>1456</v>
      </c>
      <c r="G1108" t="inlineStr">
        <is>
          <t>Direct</t>
        </is>
      </c>
      <c r="H1108" t="inlineStr">
        <is>
          <t>50-50-1.6-ERW 2-PE</t>
        </is>
      </c>
      <c r="I1108" t="inlineStr">
        <is>
          <t>50-50-1.6-ERW 2-PE-1</t>
        </is>
      </c>
      <c r="J1108" t="n">
        <v>6</v>
      </c>
      <c r="K1108" t="inlineStr">
        <is>
          <t>LL</t>
        </is>
      </c>
    </row>
    <row r="1109" hidden="1" s="584">
      <c r="A1109" t="n">
        <v>3500268</v>
      </c>
      <c r="B1109" t="inlineStr">
        <is>
          <t>TUB-S-AW-SHS-50.00X50.00X1.600X6.000 HST</t>
        </is>
      </c>
      <c r="C1109" t="n">
        <v>1.4279</v>
      </c>
      <c r="D1109" t="n">
        <v>8406</v>
      </c>
      <c r="E1109" t="inlineStr">
        <is>
          <t>MEGH STEELS PRIVATE LIMITED - TVS A</t>
        </is>
      </c>
      <c r="F1109" t="n">
        <v>1457</v>
      </c>
      <c r="G1109" t="inlineStr">
        <is>
          <t>Direct</t>
        </is>
      </c>
      <c r="H1109" t="inlineStr">
        <is>
          <t>50-50-1.6-ERW 2-PE</t>
        </is>
      </c>
      <c r="I1109" t="inlineStr">
        <is>
          <t>50-50-1.6-ERW 2-PE-1</t>
        </is>
      </c>
      <c r="J1109" t="n">
        <v>6</v>
      </c>
      <c r="K1109" t="inlineStr">
        <is>
          <t>LL</t>
        </is>
      </c>
    </row>
    <row r="1110" hidden="1" s="584">
      <c r="A1110" t="n">
        <v>3500268</v>
      </c>
      <c r="B1110" t="inlineStr">
        <is>
          <t>TUB-S-AW-SHS-50.00X50.00X1.600X6.000 HST</t>
        </is>
      </c>
      <c r="C1110" t="n">
        <v>1.4279</v>
      </c>
      <c r="D1110" t="n">
        <v>8406</v>
      </c>
      <c r="E1110" t="inlineStr">
        <is>
          <t>MEGH STEELS PRIVATE LIMITED - TVS A</t>
        </is>
      </c>
      <c r="F1110" t="n">
        <v>1458</v>
      </c>
      <c r="G1110" t="inlineStr">
        <is>
          <t>Direct</t>
        </is>
      </c>
      <c r="H1110" t="inlineStr">
        <is>
          <t>50-50-1.6-ERW 2-PE</t>
        </is>
      </c>
      <c r="I1110" t="inlineStr">
        <is>
          <t>50-50-1.6-ERW 2-PE-1</t>
        </is>
      </c>
      <c r="J1110" t="n">
        <v>6</v>
      </c>
      <c r="K1110" t="inlineStr">
        <is>
          <t>LL</t>
        </is>
      </c>
    </row>
    <row r="1111" hidden="1" s="584">
      <c r="A1111" t="n">
        <v>3500268</v>
      </c>
      <c r="B1111" t="inlineStr">
        <is>
          <t>TUB-S-AW-SHS-50.00X50.00X1.600X6.000 HST</t>
        </is>
      </c>
      <c r="C1111" t="n">
        <v>1.4279</v>
      </c>
      <c r="D1111" t="n">
        <v>8406</v>
      </c>
      <c r="E1111" t="inlineStr">
        <is>
          <t>MEGH STEELS PRIVATE LIMITED - TVS A</t>
        </is>
      </c>
      <c r="F1111" t="n">
        <v>1459</v>
      </c>
      <c r="G1111" t="inlineStr">
        <is>
          <t>Direct</t>
        </is>
      </c>
      <c r="H1111" t="inlineStr">
        <is>
          <t>50-50-1.6-ERW 2-PE</t>
        </is>
      </c>
      <c r="I1111" t="inlineStr">
        <is>
          <t>50-50-1.6-ERW 2-PE-1</t>
        </is>
      </c>
      <c r="J1111" t="n">
        <v>6</v>
      </c>
      <c r="K1111" t="inlineStr">
        <is>
          <t>LL</t>
        </is>
      </c>
    </row>
    <row r="1112" hidden="1" s="584">
      <c r="A1112" t="n">
        <v>3500268</v>
      </c>
      <c r="B1112" t="inlineStr">
        <is>
          <t>TUB-S-AW-SHS-50.00X50.00X1.600X6.000 HST</t>
        </is>
      </c>
      <c r="C1112" t="n">
        <v>1.4279</v>
      </c>
      <c r="D1112" t="n">
        <v>8406</v>
      </c>
      <c r="E1112" t="inlineStr">
        <is>
          <t>MEGH STEELS PRIVATE LIMITED - TVS A</t>
        </is>
      </c>
      <c r="F1112" t="n">
        <v>1460</v>
      </c>
      <c r="G1112" t="inlineStr">
        <is>
          <t>Direct</t>
        </is>
      </c>
      <c r="H1112" t="inlineStr">
        <is>
          <t>50-50-1.6-ERW 2-PE</t>
        </is>
      </c>
      <c r="I1112" t="inlineStr">
        <is>
          <t>50-50-1.6-ERW 2-PE-1</t>
        </is>
      </c>
      <c r="J1112" t="n">
        <v>6</v>
      </c>
      <c r="K1112" t="inlineStr">
        <is>
          <t>LL</t>
        </is>
      </c>
    </row>
    <row r="1113" hidden="1" s="584">
      <c r="A1113" t="n">
        <v>3500268</v>
      </c>
      <c r="B1113" t="inlineStr">
        <is>
          <t>TUB-S-AW-SHS-50.00X50.00X1.600X6.000 HST</t>
        </is>
      </c>
      <c r="C1113" t="n">
        <v>1.4279</v>
      </c>
      <c r="D1113" t="n">
        <v>8406</v>
      </c>
      <c r="E1113" t="inlineStr">
        <is>
          <t>MEGH STEELS PRIVATE LIMITED - TVS A</t>
        </is>
      </c>
      <c r="F1113" t="n">
        <v>1461</v>
      </c>
      <c r="G1113" t="inlineStr">
        <is>
          <t>Direct</t>
        </is>
      </c>
      <c r="H1113" t="inlineStr">
        <is>
          <t>50-50-1.6-ERW 2-PE</t>
        </is>
      </c>
      <c r="I1113" t="inlineStr">
        <is>
          <t>50-50-1.6-ERW 2-PE-1</t>
        </is>
      </c>
      <c r="J1113" t="n">
        <v>6</v>
      </c>
      <c r="K1113" t="inlineStr">
        <is>
          <t>LL</t>
        </is>
      </c>
    </row>
    <row r="1114" hidden="1" s="584">
      <c r="A1114" t="n">
        <v>4072797</v>
      </c>
      <c r="B1114" t="inlineStr">
        <is>
          <t>TUB-O-N-AUT-AW-FC-31.75X2.300X5.9200</t>
        </is>
      </c>
      <c r="C1114" t="n">
        <v>1.669</v>
      </c>
      <c r="D1114" t="n">
        <v>4731</v>
      </c>
      <c r="E1114" t="inlineStr">
        <is>
          <t>MEGH STEELS PRIVATE LIMITED - RE</t>
        </is>
      </c>
      <c r="F1114" t="n">
        <v>1917</v>
      </c>
      <c r="G1114" t="inlineStr">
        <is>
          <t>Direct</t>
        </is>
      </c>
      <c r="H1114" t="inlineStr">
        <is>
          <t>31.75-0-2.3-ERW 1-FC</t>
        </is>
      </c>
      <c r="J1114" t="n">
        <v>5.92</v>
      </c>
      <c r="K1114" t="inlineStr">
        <is>
          <t>LL</t>
        </is>
      </c>
    </row>
    <row r="1115" hidden="1" s="584">
      <c r="A1115" t="n">
        <v>4072797</v>
      </c>
      <c r="B1115" t="inlineStr">
        <is>
          <t>TUB-O-N-AUT-AW-FC-31.75X2.300X5.9200</t>
        </is>
      </c>
      <c r="C1115" t="n">
        <v>0.161</v>
      </c>
      <c r="D1115" t="n">
        <v>4731</v>
      </c>
      <c r="E1115" t="inlineStr">
        <is>
          <t>MEGH STEELS PRIVATE LIMITED - RE</t>
        </is>
      </c>
      <c r="F1115" t="n">
        <v>1918</v>
      </c>
      <c r="G1115" t="inlineStr">
        <is>
          <t>Direct</t>
        </is>
      </c>
      <c r="H1115" t="inlineStr">
        <is>
          <t>31.75-0-2.3-ERW 1-FC</t>
        </is>
      </c>
      <c r="J1115" t="n">
        <v>5.92</v>
      </c>
      <c r="K1115" t="inlineStr">
        <is>
          <t>LL</t>
        </is>
      </c>
    </row>
    <row r="1116" hidden="1" s="584">
      <c r="A1116" t="n">
        <v>3702361</v>
      </c>
      <c r="B1116" t="inlineStr">
        <is>
          <t>TUB-O-N-AUT-AW-FC-31.75X2.500X6.0000</t>
        </is>
      </c>
      <c r="C1116" t="n">
        <v>0.257726</v>
      </c>
      <c r="D1116" t="n">
        <v>4731</v>
      </c>
      <c r="E1116" t="inlineStr">
        <is>
          <t>Rajsriya Automotive Ind Pvt Ltd.</t>
        </is>
      </c>
      <c r="F1116" t="n">
        <v>1750</v>
      </c>
      <c r="G1116" t="inlineStr">
        <is>
          <t>TVS</t>
        </is>
      </c>
      <c r="H1116" t="inlineStr">
        <is>
          <t>31.75-0-2.5-ERW 1-FC</t>
        </is>
      </c>
      <c r="I1116" t="inlineStr">
        <is>
          <t>31.75-0-2.5-ERW 1-FC-1</t>
        </is>
      </c>
      <c r="J1116" t="n">
        <v>6</v>
      </c>
      <c r="K1116" t="inlineStr">
        <is>
          <t>LL</t>
        </is>
      </c>
    </row>
    <row r="1117" hidden="1" s="584">
      <c r="A1117" t="n">
        <v>3702361</v>
      </c>
      <c r="B1117" t="inlineStr">
        <is>
          <t>TUB-O-N-AUT-AW-FC-31.75X2.500X6.0000</t>
        </is>
      </c>
      <c r="C1117" t="n">
        <v>0.350655</v>
      </c>
      <c r="D1117" t="n">
        <v>4731</v>
      </c>
      <c r="E1117" t="inlineStr">
        <is>
          <t>Rajsriya Automotive Ind Pvt Ltd.</t>
        </is>
      </c>
      <c r="F1117" t="n">
        <v>1751</v>
      </c>
      <c r="G1117" t="inlineStr">
        <is>
          <t>TVS</t>
        </is>
      </c>
      <c r="H1117" t="inlineStr">
        <is>
          <t>31.75-0-2.5-ERW 1-FC</t>
        </is>
      </c>
      <c r="I1117" t="inlineStr">
        <is>
          <t>31.75-0-2.5-ERW 1-FC-1</t>
        </is>
      </c>
      <c r="J1117" t="n">
        <v>6</v>
      </c>
      <c r="K1117" t="inlineStr">
        <is>
          <t>LL</t>
        </is>
      </c>
    </row>
    <row r="1118" hidden="1" s="584">
      <c r="A1118" t="n">
        <v>3702361</v>
      </c>
      <c r="B1118" t="inlineStr">
        <is>
          <t>TUB-O-N-AUT-AW-FC-31.75X2.500X6.0000</t>
        </is>
      </c>
      <c r="C1118" t="n">
        <v>2.38</v>
      </c>
      <c r="D1118" t="n">
        <v>8406</v>
      </c>
      <c r="E1118" t="inlineStr">
        <is>
          <t>Rajsriya Automotive Ind Pvt Ltd.</t>
        </is>
      </c>
      <c r="F1118" t="n">
        <v>1752</v>
      </c>
      <c r="G1118" t="inlineStr">
        <is>
          <t>TVS</t>
        </is>
      </c>
      <c r="H1118" t="inlineStr">
        <is>
          <t>31.75-0-2.5-ERW 1-FC</t>
        </is>
      </c>
      <c r="I1118" t="inlineStr">
        <is>
          <t>31.75-0-2.5-ERW 1-FC-1</t>
        </is>
      </c>
      <c r="J1118" t="n">
        <v>6</v>
      </c>
      <c r="K1118" t="inlineStr">
        <is>
          <t>LL</t>
        </is>
      </c>
    </row>
    <row r="1119" hidden="1" s="584">
      <c r="A1119" t="n">
        <v>3500650</v>
      </c>
      <c r="B1119" t="inlineStr">
        <is>
          <t>TUB-O-N-AUT-BH-FC-42.70X3.500X6.000</t>
        </is>
      </c>
      <c r="C1119" t="n">
        <v>0.61894</v>
      </c>
      <c r="D1119" t="n">
        <v>4731</v>
      </c>
      <c r="E1119" t="inlineStr">
        <is>
          <t>SANDHAR ENGINEERING PVT LTD.(KA) -U</t>
        </is>
      </c>
      <c r="F1119" t="n">
        <v>1531</v>
      </c>
      <c r="G1119" t="inlineStr">
        <is>
          <t>TVS</t>
        </is>
      </c>
      <c r="H1119" t="inlineStr">
        <is>
          <t>42.7-0-3.5-ERW 1-FC</t>
        </is>
      </c>
      <c r="I1119" t="inlineStr">
        <is>
          <t>42.7-0-3.5-ERW 1-FC-1</t>
        </is>
      </c>
      <c r="J1119" t="n">
        <v>6</v>
      </c>
      <c r="K1119" t="inlineStr">
        <is>
          <t>LL</t>
        </is>
      </c>
    </row>
    <row r="1120" hidden="1" s="584">
      <c r="A1120" t="n">
        <v>3500650</v>
      </c>
      <c r="B1120" t="inlineStr">
        <is>
          <t>TUB-O-N-AUT-BH-FC-42.70X3.500X6.000</t>
        </is>
      </c>
      <c r="C1120" t="n">
        <v>2.247</v>
      </c>
      <c r="D1120" t="n">
        <v>4731</v>
      </c>
      <c r="E1120" t="inlineStr">
        <is>
          <t>SANDHAR ENGINEERING PVT LTD.(KA) -U</t>
        </is>
      </c>
      <c r="F1120" t="n">
        <v>1532</v>
      </c>
      <c r="G1120" t="inlineStr">
        <is>
          <t>TVS</t>
        </is>
      </c>
      <c r="H1120" t="inlineStr">
        <is>
          <t>42.7-0-3.5-ERW 1-FC</t>
        </is>
      </c>
      <c r="I1120" t="inlineStr">
        <is>
          <t>42.7-0-3.5-ERW 1-FC-1</t>
        </is>
      </c>
      <c r="J1120" t="n">
        <v>6</v>
      </c>
      <c r="K1120" t="inlineStr">
        <is>
          <t>LL</t>
        </is>
      </c>
    </row>
    <row r="1121" hidden="1" s="584">
      <c r="A1121" t="n">
        <v>3500650</v>
      </c>
      <c r="B1121" t="inlineStr">
        <is>
          <t>TUB-O-N-AUT-BH-FC-42.70X3.500X6.000</t>
        </is>
      </c>
      <c r="C1121" t="n">
        <v>0.06900000000000001</v>
      </c>
      <c r="D1121" t="n">
        <v>4731</v>
      </c>
      <c r="E1121" t="inlineStr">
        <is>
          <t>SANDHAR ENGINEERING PVT LTD.(KA) -U</t>
        </is>
      </c>
      <c r="F1121" t="n">
        <v>1533</v>
      </c>
      <c r="G1121" t="inlineStr">
        <is>
          <t>TVS</t>
        </is>
      </c>
      <c r="H1121" t="inlineStr">
        <is>
          <t>42.7-0-3.5-ERW 1-FC</t>
        </is>
      </c>
      <c r="I1121" t="inlineStr">
        <is>
          <t>42.7-0-3.5-ERW 1-FC-1</t>
        </is>
      </c>
      <c r="J1121" t="n">
        <v>6</v>
      </c>
      <c r="K1121" t="inlineStr">
        <is>
          <t>LL</t>
        </is>
      </c>
    </row>
    <row r="1122" hidden="1" s="584">
      <c r="A1122" t="n">
        <v>3500650</v>
      </c>
      <c r="B1122" t="inlineStr">
        <is>
          <t>TUB-O-N-AUT-BH-FC-42.70X3.500X6.000</t>
        </is>
      </c>
      <c r="C1122" t="n">
        <v>0.8829399999999999</v>
      </c>
      <c r="D1122" t="n">
        <v>4731</v>
      </c>
      <c r="E1122" t="inlineStr">
        <is>
          <t>SANDHAR ENGINEERING PVT LTD.(KA) -U</t>
        </is>
      </c>
      <c r="F1122" t="n">
        <v>1534</v>
      </c>
      <c r="G1122" t="inlineStr">
        <is>
          <t>TVS</t>
        </is>
      </c>
      <c r="H1122" t="inlineStr">
        <is>
          <t>42.7-0-3.5-ERW 1-FC</t>
        </is>
      </c>
      <c r="I1122" t="inlineStr">
        <is>
          <t>42.7-0-3.5-ERW 1-FC-1</t>
        </is>
      </c>
      <c r="J1122" t="n">
        <v>6</v>
      </c>
      <c r="K1122" t="inlineStr">
        <is>
          <t>LL</t>
        </is>
      </c>
    </row>
    <row r="1123" hidden="1" s="584">
      <c r="A1123" t="n">
        <v>3500650</v>
      </c>
      <c r="B1123" t="inlineStr">
        <is>
          <t>TUB-O-N-AUT-BH-FC-42.70X3.500X6.000</t>
        </is>
      </c>
      <c r="C1123" t="n">
        <v>0.459541</v>
      </c>
      <c r="D1123" t="n">
        <v>4731</v>
      </c>
      <c r="E1123" t="inlineStr">
        <is>
          <t>SANDHAR ENGINEERING PVT LTD.(KA) -U</t>
        </is>
      </c>
      <c r="F1123" t="n">
        <v>1535</v>
      </c>
      <c r="G1123" t="inlineStr">
        <is>
          <t>TVS</t>
        </is>
      </c>
      <c r="H1123" t="inlineStr">
        <is>
          <t>42.7-0-3.5-ERW 1-FC</t>
        </is>
      </c>
      <c r="I1123" t="inlineStr">
        <is>
          <t>42.7-0-3.5-ERW 1-FC-1</t>
        </is>
      </c>
      <c r="J1123" t="n">
        <v>6</v>
      </c>
      <c r="K1123" t="inlineStr">
        <is>
          <t>LL</t>
        </is>
      </c>
    </row>
    <row r="1124" hidden="1" s="584">
      <c r="A1124" t="n">
        <v>3500650</v>
      </c>
      <c r="B1124" t="inlineStr">
        <is>
          <t>TUB-O-N-AUT-BH-FC-42.70X3.500X6.000</t>
        </is>
      </c>
      <c r="C1124" t="n">
        <v>0.541</v>
      </c>
      <c r="D1124" t="n">
        <v>4731</v>
      </c>
      <c r="E1124" t="inlineStr">
        <is>
          <t>SANDHAR ENGINEERING PVT LTD.(KA) -U</t>
        </is>
      </c>
      <c r="F1124" t="n">
        <v>1536</v>
      </c>
      <c r="G1124" t="inlineStr">
        <is>
          <t>TVS</t>
        </is>
      </c>
      <c r="H1124" t="inlineStr">
        <is>
          <t>42.7-0-3.5-ERW 1-FC</t>
        </is>
      </c>
      <c r="I1124" t="inlineStr">
        <is>
          <t>42.7-0-3.5-ERW 1-FC-1</t>
        </is>
      </c>
      <c r="J1124" t="n">
        <v>6</v>
      </c>
      <c r="K1124" t="inlineStr">
        <is>
          <t>LL</t>
        </is>
      </c>
    </row>
    <row r="1125" hidden="1" s="584">
      <c r="A1125" t="n">
        <v>3500714</v>
      </c>
      <c r="B1125" t="inlineStr">
        <is>
          <t>TUB-O-N-AUT-BH-FC-42.70X4.000X5.50-ERW 1</t>
        </is>
      </c>
      <c r="C1125" t="n">
        <v>0.186408</v>
      </c>
      <c r="D1125" t="n">
        <v>4731</v>
      </c>
      <c r="E1125" t="inlineStr">
        <is>
          <t>MEGH STEELS PRIVATE LIMITED - TVS A</t>
        </is>
      </c>
      <c r="F1125" t="n">
        <v>1545</v>
      </c>
      <c r="G1125" t="inlineStr">
        <is>
          <t>Direct</t>
        </is>
      </c>
      <c r="H1125" t="inlineStr">
        <is>
          <t>42.7-0-4-ERW 1-FC</t>
        </is>
      </c>
      <c r="I1125" t="inlineStr">
        <is>
          <t>42.7-0-4-ERW 1-FC-1</t>
        </is>
      </c>
      <c r="J1125" t="n">
        <v>5.5</v>
      </c>
      <c r="K1125" t="inlineStr">
        <is>
          <t>LL</t>
        </is>
      </c>
    </row>
    <row r="1126" hidden="1" s="584">
      <c r="A1126" t="n">
        <v>3500714</v>
      </c>
      <c r="B1126" t="inlineStr">
        <is>
          <t>TUB-O-N-AUT-BH-FC-42.70X4.000X5.50-ERW 1</t>
        </is>
      </c>
      <c r="C1126" t="n">
        <v>0.09697500000000001</v>
      </c>
      <c r="D1126" t="n">
        <v>4731</v>
      </c>
      <c r="E1126" t="inlineStr">
        <is>
          <t>MEGH STEELS PRIVATE LIMITED - TVS A</t>
        </is>
      </c>
      <c r="F1126" t="n">
        <v>1546</v>
      </c>
      <c r="G1126" t="inlineStr">
        <is>
          <t>Direct</t>
        </is>
      </c>
      <c r="H1126" t="inlineStr">
        <is>
          <t>42.7-0-4-ERW 1-FC</t>
        </is>
      </c>
      <c r="I1126" t="inlineStr">
        <is>
          <t>42.7-0-4-ERW 1-FC-1</t>
        </is>
      </c>
      <c r="J1126" t="n">
        <v>5.5</v>
      </c>
      <c r="K1126" t="inlineStr">
        <is>
          <t>LL</t>
        </is>
      </c>
    </row>
    <row r="1127" hidden="1" s="584">
      <c r="A1127" t="n">
        <v>3500714</v>
      </c>
      <c r="B1127" t="inlineStr">
        <is>
          <t>TUB-O-N-AUT-BH-FC-42.70X4.000X5.50-ERW 1</t>
        </is>
      </c>
      <c r="C1127" t="n">
        <v>0.785444</v>
      </c>
      <c r="D1127" t="n">
        <v>8406</v>
      </c>
      <c r="E1127" t="inlineStr">
        <is>
          <t>MEGH STEELS PRIVATE LIMITED - TVS A</t>
        </is>
      </c>
      <c r="F1127" t="n">
        <v>1547</v>
      </c>
      <c r="G1127" t="inlineStr">
        <is>
          <t>Direct</t>
        </is>
      </c>
      <c r="H1127" t="inlineStr">
        <is>
          <t>42.7-0-4-ERW 1-FC</t>
        </is>
      </c>
      <c r="I1127" t="inlineStr">
        <is>
          <t>42.7-0-4-ERW 1-FC-1</t>
        </is>
      </c>
      <c r="J1127" t="n">
        <v>5.5</v>
      </c>
      <c r="K1127" t="inlineStr">
        <is>
          <t>LL</t>
        </is>
      </c>
    </row>
    <row r="1128" hidden="1" s="584">
      <c r="A1128" t="n">
        <v>3500714</v>
      </c>
      <c r="B1128" t="inlineStr">
        <is>
          <t>TUB-O-N-AUT-BH-FC-42.70X4.000X5.50-ERW 1</t>
        </is>
      </c>
      <c r="C1128" t="n">
        <v>2.28566</v>
      </c>
      <c r="D1128" t="n">
        <v>8406</v>
      </c>
      <c r="E1128" t="inlineStr">
        <is>
          <t>MEGH STEELS PRIVATE LIMITED - TVS A</t>
        </is>
      </c>
      <c r="F1128" t="n">
        <v>1548</v>
      </c>
      <c r="G1128" t="inlineStr">
        <is>
          <t>Direct</t>
        </is>
      </c>
      <c r="H1128" t="inlineStr">
        <is>
          <t>42.7-0-4-ERW 1-FC</t>
        </is>
      </c>
      <c r="I1128" t="inlineStr">
        <is>
          <t>42.7-0-4-ERW 1-FC-1</t>
        </is>
      </c>
      <c r="J1128" t="n">
        <v>5.5</v>
      </c>
      <c r="K1128" t="inlineStr">
        <is>
          <t>LL</t>
        </is>
      </c>
    </row>
    <row r="1129" hidden="1" s="584">
      <c r="A1129" t="n">
        <v>3500714</v>
      </c>
      <c r="B1129" t="inlineStr">
        <is>
          <t>TUB-O-N-AUT-BH-FC-42.70X4.000X5.50-ERW 1</t>
        </is>
      </c>
      <c r="C1129" t="n">
        <v>2.454</v>
      </c>
      <c r="D1129" t="n">
        <v>8406</v>
      </c>
      <c r="E1129" t="inlineStr">
        <is>
          <t>MEGH STEELS PRIVATE LIMITED - TVS A</t>
        </is>
      </c>
      <c r="F1129" t="n">
        <v>1549</v>
      </c>
      <c r="G1129" t="inlineStr">
        <is>
          <t>Direct</t>
        </is>
      </c>
      <c r="H1129" t="inlineStr">
        <is>
          <t>42.7-0-4-ERW 1-FC</t>
        </is>
      </c>
      <c r="I1129" t="inlineStr">
        <is>
          <t>42.7-0-4-ERW 1-FC-1</t>
        </is>
      </c>
      <c r="J1129" t="n">
        <v>5.5</v>
      </c>
      <c r="K1129" t="inlineStr">
        <is>
          <t>LL</t>
        </is>
      </c>
    </row>
    <row r="1130" hidden="1" s="584">
      <c r="A1130" t="n">
        <v>3500714</v>
      </c>
      <c r="B1130" t="inlineStr">
        <is>
          <t>TUB-O-N-AUT-BH-FC-42.70X4.000X5.50-ERW 1</t>
        </is>
      </c>
      <c r="C1130" t="n">
        <v>2.349</v>
      </c>
      <c r="D1130" t="n">
        <v>8406</v>
      </c>
      <c r="E1130" t="inlineStr">
        <is>
          <t>MEGH STEELS PRIVATE LIMITED - TVS A</t>
        </is>
      </c>
      <c r="F1130" t="n">
        <v>1550</v>
      </c>
      <c r="G1130" t="inlineStr">
        <is>
          <t>Direct</t>
        </is>
      </c>
      <c r="H1130" t="inlineStr">
        <is>
          <t>42.7-0-4-ERW 1-FC</t>
        </is>
      </c>
      <c r="I1130" t="inlineStr">
        <is>
          <t>42.7-0-4-ERW 1-FC-1</t>
        </is>
      </c>
      <c r="J1130" t="n">
        <v>5.5</v>
      </c>
      <c r="K1130" t="inlineStr">
        <is>
          <t>LL</t>
        </is>
      </c>
    </row>
    <row r="1131" hidden="1" s="584">
      <c r="A1131" t="n">
        <v>3500714</v>
      </c>
      <c r="B1131" t="inlineStr">
        <is>
          <t>TUB-O-N-AUT-BH-FC-42.70X4.000X5.50-ERW 1</t>
        </is>
      </c>
      <c r="C1131" t="n">
        <v>2.099</v>
      </c>
      <c r="D1131" t="n">
        <v>8406</v>
      </c>
      <c r="E1131" t="inlineStr">
        <is>
          <t>MEGH STEELS PRIVATE LIMITED - TVS A</t>
        </is>
      </c>
      <c r="F1131" t="n">
        <v>1551</v>
      </c>
      <c r="G1131" t="inlineStr">
        <is>
          <t>Direct</t>
        </is>
      </c>
      <c r="H1131" t="inlineStr">
        <is>
          <t>42.7-0-4-ERW 1-FC</t>
        </is>
      </c>
      <c r="I1131" t="inlineStr">
        <is>
          <t>42.7-0-4-ERW 1-FC-1</t>
        </is>
      </c>
      <c r="J1131" t="n">
        <v>5.5</v>
      </c>
      <c r="K1131" t="inlineStr">
        <is>
          <t>LL</t>
        </is>
      </c>
    </row>
    <row r="1132" hidden="1" s="584">
      <c r="A1132" t="n">
        <v>3500714</v>
      </c>
      <c r="B1132" t="inlineStr">
        <is>
          <t>TUB-O-N-AUT-BH-FC-42.70X4.000X5.50-ERW 1</t>
        </is>
      </c>
      <c r="C1132" t="n">
        <v>2.422</v>
      </c>
      <c r="D1132" t="n">
        <v>8406</v>
      </c>
      <c r="E1132" t="inlineStr">
        <is>
          <t>MEGH STEELS PRIVATE LIMITED - TVS A</t>
        </is>
      </c>
      <c r="F1132" t="n">
        <v>1552</v>
      </c>
      <c r="G1132" t="inlineStr">
        <is>
          <t>Direct</t>
        </is>
      </c>
      <c r="H1132" t="inlineStr">
        <is>
          <t>42.7-0-4-ERW 1-FC</t>
        </is>
      </c>
      <c r="I1132" t="inlineStr">
        <is>
          <t>42.7-0-4-ERW 1-FC-1</t>
        </is>
      </c>
      <c r="J1132" t="n">
        <v>5.5</v>
      </c>
      <c r="K1132" t="inlineStr">
        <is>
          <t>LL</t>
        </is>
      </c>
    </row>
    <row r="1133" hidden="1" s="584">
      <c r="A1133" t="n">
        <v>3500714</v>
      </c>
      <c r="B1133" t="inlineStr">
        <is>
          <t>TUB-O-N-AUT-BH-FC-42.70X4.000X5.50-ERW 1</t>
        </is>
      </c>
      <c r="C1133" t="n">
        <v>2.365</v>
      </c>
      <c r="D1133" t="n">
        <v>8406</v>
      </c>
      <c r="E1133" t="inlineStr">
        <is>
          <t>MEGH STEELS PRIVATE LIMITED - TVS A</t>
        </is>
      </c>
      <c r="F1133" t="n">
        <v>1553</v>
      </c>
      <c r="G1133" t="inlineStr">
        <is>
          <t>Direct</t>
        </is>
      </c>
      <c r="H1133" t="inlineStr">
        <is>
          <t>42.7-0-4-ERW 1-FC</t>
        </is>
      </c>
      <c r="I1133" t="inlineStr">
        <is>
          <t>42.7-0-4-ERW 1-FC-1</t>
        </is>
      </c>
      <c r="J1133" t="n">
        <v>5.5</v>
      </c>
      <c r="K1133" t="inlineStr">
        <is>
          <t>LL</t>
        </is>
      </c>
    </row>
    <row r="1134" hidden="1" s="584">
      <c r="A1134" t="n">
        <v>3500714</v>
      </c>
      <c r="B1134" t="inlineStr">
        <is>
          <t>TUB-O-N-AUT-BH-FC-42.70X4.000X5.50-ERW 1</t>
        </is>
      </c>
      <c r="C1134" t="n">
        <v>2.092</v>
      </c>
      <c r="D1134" t="n">
        <v>8406</v>
      </c>
      <c r="E1134" t="inlineStr">
        <is>
          <t>MEGH STEELS PRIVATE LIMITED - TVS A</t>
        </is>
      </c>
      <c r="F1134" t="n">
        <v>1554</v>
      </c>
      <c r="G1134" t="inlineStr">
        <is>
          <t>Direct</t>
        </is>
      </c>
      <c r="H1134" t="inlineStr">
        <is>
          <t>42.7-0-4-ERW 1-FC</t>
        </is>
      </c>
      <c r="I1134" t="inlineStr">
        <is>
          <t>42.7-0-4-ERW 1-FC-1</t>
        </is>
      </c>
      <c r="J1134" t="n">
        <v>5.5</v>
      </c>
      <c r="K1134" t="inlineStr">
        <is>
          <t>LL</t>
        </is>
      </c>
    </row>
    <row r="1135" hidden="1" s="584">
      <c r="A1135" t="n">
        <v>3500714</v>
      </c>
      <c r="B1135" t="inlineStr">
        <is>
          <t>TUB-O-N-AUT-BH-FC-42.70X4.000X5.50-ERW 1</t>
        </is>
      </c>
      <c r="C1135" t="n">
        <v>2.071</v>
      </c>
      <c r="D1135" t="n">
        <v>8406</v>
      </c>
      <c r="E1135" t="inlineStr">
        <is>
          <t>MEGH STEELS PRIVATE LIMITED - TVS A</t>
        </is>
      </c>
      <c r="F1135" t="n">
        <v>1555</v>
      </c>
      <c r="G1135" t="inlineStr">
        <is>
          <t>Direct</t>
        </is>
      </c>
      <c r="H1135" t="inlineStr">
        <is>
          <t>42.7-0-4-ERW 1-FC</t>
        </is>
      </c>
      <c r="I1135" t="inlineStr">
        <is>
          <t>42.7-0-4-ERW 1-FC-1</t>
        </is>
      </c>
      <c r="J1135" t="n">
        <v>5.5</v>
      </c>
      <c r="K1135" t="inlineStr">
        <is>
          <t>LL</t>
        </is>
      </c>
    </row>
    <row r="1136" hidden="1" s="584">
      <c r="A1136" t="n">
        <v>3500714</v>
      </c>
      <c r="B1136" t="inlineStr">
        <is>
          <t>TUB-O-N-AUT-BH-FC-42.70X4.000X5.50-ERW 1</t>
        </is>
      </c>
      <c r="C1136" t="n">
        <v>2.096</v>
      </c>
      <c r="D1136" t="n">
        <v>8406</v>
      </c>
      <c r="E1136" t="inlineStr">
        <is>
          <t>MEGH STEELS PRIVATE LIMITED - TVS A</t>
        </is>
      </c>
      <c r="F1136" t="n">
        <v>1556</v>
      </c>
      <c r="G1136" t="inlineStr">
        <is>
          <t>Direct</t>
        </is>
      </c>
      <c r="H1136" t="inlineStr">
        <is>
          <t>42.7-0-4-ERW 1-FC</t>
        </is>
      </c>
      <c r="I1136" t="inlineStr">
        <is>
          <t>42.7-0-4-ERW 1-FC-1</t>
        </is>
      </c>
      <c r="J1136" t="n">
        <v>5.5</v>
      </c>
      <c r="K1136" t="inlineStr">
        <is>
          <t>LL</t>
        </is>
      </c>
    </row>
    <row r="1137" hidden="1" s="584">
      <c r="A1137" t="n">
        <v>3500714</v>
      </c>
      <c r="B1137" t="inlineStr">
        <is>
          <t>TUB-O-N-AUT-BH-FC-42.70X4.000X5.50-ERW 1</t>
        </is>
      </c>
      <c r="C1137" t="n">
        <v>2.012</v>
      </c>
      <c r="D1137" t="n">
        <v>8406</v>
      </c>
      <c r="E1137" t="inlineStr">
        <is>
          <t>MEGH STEELS PRIVATE LIMITED - TVS A</t>
        </is>
      </c>
      <c r="F1137" t="n">
        <v>1557</v>
      </c>
      <c r="G1137" t="inlineStr">
        <is>
          <t>Direct</t>
        </is>
      </c>
      <c r="H1137" t="inlineStr">
        <is>
          <t>42.7-0-4-ERW 1-FC</t>
        </is>
      </c>
      <c r="I1137" t="inlineStr">
        <is>
          <t>42.7-0-4-ERW 1-FC-1</t>
        </is>
      </c>
      <c r="J1137" t="n">
        <v>5.5</v>
      </c>
      <c r="K1137" t="inlineStr">
        <is>
          <t>LL</t>
        </is>
      </c>
    </row>
    <row r="1138" hidden="1" s="584">
      <c r="A1138" t="n">
        <v>3500714</v>
      </c>
      <c r="B1138" t="inlineStr">
        <is>
          <t>TUB-O-N-AUT-BH-FC-42.70X4.000X5.50-ERW 1</t>
        </is>
      </c>
      <c r="C1138" t="n">
        <v>0.714</v>
      </c>
      <c r="D1138" t="inlineStr">
        <is>
          <t>0788</t>
        </is>
      </c>
      <c r="E1138" t="inlineStr">
        <is>
          <t>MEGH STEELS PRIVATE LIMITED - TVS A</t>
        </is>
      </c>
      <c r="F1138" t="n">
        <v>2012</v>
      </c>
      <c r="G1138" t="inlineStr">
        <is>
          <t>Direct</t>
        </is>
      </c>
      <c r="H1138" t="inlineStr">
        <is>
          <t>42.7-0-4-ERW 1-FC</t>
        </is>
      </c>
      <c r="I1138" t="inlineStr">
        <is>
          <t>42.7-0-4-ERW 1-FC-1</t>
        </is>
      </c>
      <c r="J1138" t="n">
        <v>5.5</v>
      </c>
      <c r="K1138" t="inlineStr">
        <is>
          <t>LL</t>
        </is>
      </c>
    </row>
    <row r="1139" hidden="1" s="584">
      <c r="A1139" t="n">
        <v>3500714</v>
      </c>
      <c r="B1139" t="inlineStr">
        <is>
          <t>TUB-O-N-AUT-BH-FC-42.70X4.000X5.50-ERW 1</t>
        </is>
      </c>
      <c r="C1139" t="n">
        <v>1.028</v>
      </c>
      <c r="D1139" t="inlineStr">
        <is>
          <t>0788</t>
        </is>
      </c>
      <c r="E1139" t="inlineStr">
        <is>
          <t>MEGH STEELS PRIVATE LIMITED - TVS A</t>
        </is>
      </c>
      <c r="F1139" t="n">
        <v>2013</v>
      </c>
      <c r="G1139" t="inlineStr">
        <is>
          <t>Direct</t>
        </is>
      </c>
      <c r="H1139" t="inlineStr">
        <is>
          <t>42.7-0-4-ERW 1-FC</t>
        </is>
      </c>
      <c r="I1139" t="inlineStr">
        <is>
          <t>42.7-0-4-ERW 1-FC-1</t>
        </is>
      </c>
      <c r="J1139" t="n">
        <v>5.5</v>
      </c>
      <c r="K1139" t="inlineStr">
        <is>
          <t>LL</t>
        </is>
      </c>
    </row>
    <row r="1140" hidden="1" s="584">
      <c r="A1140" t="n">
        <v>3500714</v>
      </c>
      <c r="B1140" t="inlineStr">
        <is>
          <t>TUB-O-N-AUT-BH-FC-42.70X4.000X5.50-ERW 1</t>
        </is>
      </c>
      <c r="C1140" t="n">
        <v>2.288</v>
      </c>
      <c r="D1140" t="inlineStr">
        <is>
          <t>0788</t>
        </is>
      </c>
      <c r="E1140" t="inlineStr">
        <is>
          <t>MEGH STEELS PRIVATE LIMITED - TVS A</t>
        </is>
      </c>
      <c r="F1140" t="n">
        <v>2014</v>
      </c>
      <c r="G1140" t="inlineStr">
        <is>
          <t>Direct</t>
        </is>
      </c>
      <c r="H1140" t="inlineStr">
        <is>
          <t>42.7-0-4-ERW 1-FC</t>
        </is>
      </c>
      <c r="I1140" t="inlineStr">
        <is>
          <t>42.7-0-4-ERW 1-FC-1</t>
        </is>
      </c>
      <c r="J1140" t="n">
        <v>5.5</v>
      </c>
      <c r="K1140" t="inlineStr">
        <is>
          <t>LL</t>
        </is>
      </c>
    </row>
    <row r="1141" hidden="1" s="584">
      <c r="A1141" t="n">
        <v>3500714</v>
      </c>
      <c r="B1141" t="inlineStr">
        <is>
          <t>TUB-O-N-AUT-BH-FC-42.70X4.000X5.50-ERW 1</t>
        </is>
      </c>
      <c r="C1141" t="n">
        <v>1.931</v>
      </c>
      <c r="D1141" t="inlineStr">
        <is>
          <t>0788</t>
        </is>
      </c>
      <c r="E1141" t="inlineStr">
        <is>
          <t>MEGH STEELS PRIVATE LIMITED - TVS A</t>
        </is>
      </c>
      <c r="F1141" t="n">
        <v>2015</v>
      </c>
      <c r="G1141" t="inlineStr">
        <is>
          <t>Direct</t>
        </is>
      </c>
      <c r="H1141" t="inlineStr">
        <is>
          <t>42.7-0-4-ERW 1-FC</t>
        </is>
      </c>
      <c r="I1141" t="inlineStr">
        <is>
          <t>42.7-0-4-ERW 1-FC-1</t>
        </is>
      </c>
      <c r="J1141" t="n">
        <v>5.5</v>
      </c>
      <c r="K1141" t="inlineStr">
        <is>
          <t>LL</t>
        </is>
      </c>
    </row>
    <row r="1142" hidden="1" s="584">
      <c r="A1142" t="n">
        <v>3500714</v>
      </c>
      <c r="B1142" t="inlineStr">
        <is>
          <t>TUB-O-N-AUT-BH-FC-42.70X4.000X5.50-ERW 1</t>
        </is>
      </c>
      <c r="C1142" t="n">
        <v>0.944</v>
      </c>
      <c r="D1142" t="inlineStr">
        <is>
          <t>0788</t>
        </is>
      </c>
      <c r="E1142" t="inlineStr">
        <is>
          <t>MEGH STEELS PRIVATE LIMITED - TVS A</t>
        </is>
      </c>
      <c r="F1142" t="n">
        <v>2016</v>
      </c>
      <c r="G1142" t="inlineStr">
        <is>
          <t>Direct</t>
        </is>
      </c>
      <c r="H1142" t="inlineStr">
        <is>
          <t>42.7-0-4-ERW 1-FC</t>
        </is>
      </c>
      <c r="I1142" t="inlineStr">
        <is>
          <t>42.7-0-4-ERW 1-FC-1</t>
        </is>
      </c>
      <c r="J1142" t="n">
        <v>5.5</v>
      </c>
      <c r="K1142" t="inlineStr">
        <is>
          <t>LL</t>
        </is>
      </c>
    </row>
    <row r="1143" hidden="1" s="584">
      <c r="A1143" t="n">
        <v>3500714</v>
      </c>
      <c r="B1143" t="inlineStr">
        <is>
          <t>TUB-O-N-AUT-BH-FC-42.70X4.000X5.50-ERW 1</t>
        </is>
      </c>
      <c r="C1143" t="n">
        <v>0.462</v>
      </c>
      <c r="D1143" t="inlineStr">
        <is>
          <t>0788</t>
        </is>
      </c>
      <c r="E1143" t="inlineStr">
        <is>
          <t>MEGH STEELS PRIVATE LIMITED - TVS A</t>
        </is>
      </c>
      <c r="F1143" t="n">
        <v>2017</v>
      </c>
      <c r="G1143" t="inlineStr">
        <is>
          <t>Direct</t>
        </is>
      </c>
      <c r="H1143" t="inlineStr">
        <is>
          <t>42.7-0-4-ERW 1-FC</t>
        </is>
      </c>
      <c r="I1143" t="inlineStr">
        <is>
          <t>42.7-0-4-ERW 1-FC-1</t>
        </is>
      </c>
      <c r="J1143" t="n">
        <v>5.5</v>
      </c>
      <c r="K1143" t="inlineStr">
        <is>
          <t>LL</t>
        </is>
      </c>
    </row>
    <row r="1144" hidden="1" s="584">
      <c r="A1144" t="n">
        <v>3500714</v>
      </c>
      <c r="B1144" t="inlineStr">
        <is>
          <t>TUB-O-N-AUT-BH-FC-42.70X4.000X5.50-ERW 1</t>
        </is>
      </c>
      <c r="C1144" t="n">
        <v>2.12</v>
      </c>
      <c r="D1144" t="inlineStr">
        <is>
          <t>0788</t>
        </is>
      </c>
      <c r="E1144" t="inlineStr">
        <is>
          <t>MEGH STEELS PRIVATE LIMITED - TVS A</t>
        </is>
      </c>
      <c r="F1144" t="n">
        <v>2018</v>
      </c>
      <c r="G1144" t="inlineStr">
        <is>
          <t>Direct</t>
        </is>
      </c>
      <c r="H1144" t="inlineStr">
        <is>
          <t>42.7-0-4-ERW 1-FC</t>
        </is>
      </c>
      <c r="I1144" t="inlineStr">
        <is>
          <t>42.7-0-4-ERW 1-FC-1</t>
        </is>
      </c>
      <c r="J1144" t="n">
        <v>5.5</v>
      </c>
      <c r="K1144" t="inlineStr">
        <is>
          <t>LL</t>
        </is>
      </c>
    </row>
    <row r="1145" hidden="1" s="584">
      <c r="A1145" t="n">
        <v>3500714</v>
      </c>
      <c r="B1145" t="inlineStr">
        <is>
          <t>TUB-O-N-AUT-BH-FC-42.70X4.000X5.50-ERW 1</t>
        </is>
      </c>
      <c r="C1145" t="n">
        <v>2.141</v>
      </c>
      <c r="D1145" t="inlineStr">
        <is>
          <t>0788</t>
        </is>
      </c>
      <c r="E1145" t="inlineStr">
        <is>
          <t>MEGH STEELS PRIVATE LIMITED - TVS A</t>
        </is>
      </c>
      <c r="F1145" t="n">
        <v>2019</v>
      </c>
      <c r="G1145" t="inlineStr">
        <is>
          <t>Direct</t>
        </is>
      </c>
      <c r="H1145" t="inlineStr">
        <is>
          <t>42.7-0-4-ERW 1-FC</t>
        </is>
      </c>
      <c r="I1145" t="inlineStr">
        <is>
          <t>42.7-0-4-ERW 1-FC-1</t>
        </is>
      </c>
      <c r="J1145" t="n">
        <v>5.5</v>
      </c>
      <c r="K1145" t="inlineStr">
        <is>
          <t>LL</t>
        </is>
      </c>
    </row>
    <row r="1146" hidden="1" s="584">
      <c r="A1146" t="n">
        <v>3500714</v>
      </c>
      <c r="B1146" t="inlineStr">
        <is>
          <t>TUB-O-N-AUT-BH-FC-42.70X4.000X5.50-ERW 1</t>
        </is>
      </c>
      <c r="C1146" t="n">
        <v>2.372</v>
      </c>
      <c r="D1146" t="inlineStr">
        <is>
          <t>0788</t>
        </is>
      </c>
      <c r="E1146" t="inlineStr">
        <is>
          <t>MEGH STEELS PRIVATE LIMITED - TVS A</t>
        </is>
      </c>
      <c r="F1146" t="n">
        <v>2020</v>
      </c>
      <c r="G1146" t="inlineStr">
        <is>
          <t>Direct</t>
        </is>
      </c>
      <c r="H1146" t="inlineStr">
        <is>
          <t>42.7-0-4-ERW 1-FC</t>
        </is>
      </c>
      <c r="I1146" t="inlineStr">
        <is>
          <t>42.7-0-4-ERW 1-FC-1</t>
        </is>
      </c>
      <c r="J1146" t="n">
        <v>5.5</v>
      </c>
      <c r="K1146" t="inlineStr">
        <is>
          <t>LL</t>
        </is>
      </c>
    </row>
    <row r="1147" hidden="1" s="584">
      <c r="A1147" t="n">
        <v>3500714</v>
      </c>
      <c r="B1147" t="inlineStr">
        <is>
          <t>TUB-O-N-AUT-BH-FC-42.70X4.000X5.50-ERW 1</t>
        </is>
      </c>
      <c r="C1147" t="n">
        <v>1.931</v>
      </c>
      <c r="D1147" t="inlineStr">
        <is>
          <t>0788</t>
        </is>
      </c>
      <c r="E1147" t="inlineStr">
        <is>
          <t>MEGH STEELS PRIVATE LIMITED - TVS A</t>
        </is>
      </c>
      <c r="F1147" t="n">
        <v>2021</v>
      </c>
      <c r="G1147" t="inlineStr">
        <is>
          <t>Direct</t>
        </is>
      </c>
      <c r="H1147" t="inlineStr">
        <is>
          <t>42.7-0-4-ERW 1-FC</t>
        </is>
      </c>
      <c r="I1147" t="inlineStr">
        <is>
          <t>42.7-0-4-ERW 1-FC-1</t>
        </is>
      </c>
      <c r="J1147" t="n">
        <v>5.5</v>
      </c>
      <c r="K1147" t="inlineStr">
        <is>
          <t>LL</t>
        </is>
      </c>
    </row>
    <row r="1148" hidden="1" s="584">
      <c r="A1148" t="n">
        <v>3500714</v>
      </c>
      <c r="B1148" t="inlineStr">
        <is>
          <t>TUB-O-N-AUT-BH-FC-42.70X4.000X5.50-ERW 1</t>
        </is>
      </c>
      <c r="C1148" t="n">
        <v>2.372</v>
      </c>
      <c r="D1148" t="inlineStr">
        <is>
          <t>0788</t>
        </is>
      </c>
      <c r="E1148" t="inlineStr">
        <is>
          <t>MEGH STEELS PRIVATE LIMITED - TVS A</t>
        </is>
      </c>
      <c r="F1148" t="n">
        <v>2022</v>
      </c>
      <c r="G1148" t="inlineStr">
        <is>
          <t>Direct</t>
        </is>
      </c>
      <c r="H1148" t="inlineStr">
        <is>
          <t>42.7-0-4-ERW 1-FC</t>
        </is>
      </c>
      <c r="I1148" t="inlineStr">
        <is>
          <t>42.7-0-4-ERW 1-FC-1</t>
        </is>
      </c>
      <c r="J1148" t="n">
        <v>5.5</v>
      </c>
      <c r="K1148" t="inlineStr">
        <is>
          <t>LL</t>
        </is>
      </c>
    </row>
    <row r="1149" hidden="1" s="584">
      <c r="A1149" t="n">
        <v>3500714</v>
      </c>
      <c r="B1149" t="inlineStr">
        <is>
          <t>TUB-O-N-AUT-BH-FC-42.70X4.000X5.50-ERW 1</t>
        </is>
      </c>
      <c r="C1149" t="n">
        <v>0.63</v>
      </c>
      <c r="D1149" t="inlineStr">
        <is>
          <t>0788</t>
        </is>
      </c>
      <c r="E1149" t="inlineStr">
        <is>
          <t>MEGH STEELS PRIVATE LIMITED - TVS A</t>
        </is>
      </c>
      <c r="F1149" t="n">
        <v>2023</v>
      </c>
      <c r="G1149" t="inlineStr">
        <is>
          <t>Direct</t>
        </is>
      </c>
      <c r="H1149" t="inlineStr">
        <is>
          <t>42.7-0-4-ERW 1-FC</t>
        </is>
      </c>
      <c r="I1149" t="inlineStr">
        <is>
          <t>42.7-0-4-ERW 1-FC-1</t>
        </is>
      </c>
      <c r="J1149" t="n">
        <v>5.5</v>
      </c>
      <c r="K1149" t="inlineStr">
        <is>
          <t>LL</t>
        </is>
      </c>
    </row>
    <row r="1150" hidden="1" s="584">
      <c r="A1150" t="n">
        <v>3500714</v>
      </c>
      <c r="B1150" t="inlineStr">
        <is>
          <t>TUB-O-N-AUT-BH-FC-42.70X4.000X5.50-ERW 1</t>
        </is>
      </c>
      <c r="C1150" t="n">
        <v>1.469</v>
      </c>
      <c r="D1150" t="inlineStr">
        <is>
          <t>0788</t>
        </is>
      </c>
      <c r="E1150" t="inlineStr">
        <is>
          <t>MEGH STEELS PRIVATE LIMITED - TVS A</t>
        </is>
      </c>
      <c r="F1150" t="n">
        <v>2024</v>
      </c>
      <c r="G1150" t="inlineStr">
        <is>
          <t>Direct</t>
        </is>
      </c>
      <c r="H1150" t="inlineStr">
        <is>
          <t>42.7-0-4-ERW 1-FC</t>
        </is>
      </c>
      <c r="I1150" t="inlineStr">
        <is>
          <t>42.7-0-4-ERW 1-FC-1</t>
        </is>
      </c>
      <c r="J1150" t="n">
        <v>5.5</v>
      </c>
      <c r="K1150" t="inlineStr">
        <is>
          <t>LL</t>
        </is>
      </c>
    </row>
    <row r="1151" hidden="1" s="584">
      <c r="A1151" t="n">
        <v>3500714</v>
      </c>
      <c r="B1151" t="inlineStr">
        <is>
          <t>TUB-O-N-AUT-BH-FC-42.70X4.000X5.50-ERW 1</t>
        </is>
      </c>
      <c r="C1151" t="n">
        <v>2.393</v>
      </c>
      <c r="D1151" t="inlineStr">
        <is>
          <t>0788</t>
        </is>
      </c>
      <c r="E1151" t="inlineStr">
        <is>
          <t>MEGH STEELS PRIVATE LIMITED - TVS A</t>
        </is>
      </c>
      <c r="F1151" t="n">
        <v>2025</v>
      </c>
      <c r="G1151" t="inlineStr">
        <is>
          <t>Direct</t>
        </is>
      </c>
      <c r="H1151" t="inlineStr">
        <is>
          <t>42.7-0-4-ERW 1-FC</t>
        </is>
      </c>
      <c r="I1151" t="inlineStr">
        <is>
          <t>42.7-0-4-ERW 1-FC-1</t>
        </is>
      </c>
      <c r="J1151" t="n">
        <v>5.5</v>
      </c>
      <c r="K1151" t="inlineStr">
        <is>
          <t>LL</t>
        </is>
      </c>
    </row>
    <row r="1152" hidden="1" s="584">
      <c r="A1152" t="n">
        <v>3500714</v>
      </c>
      <c r="B1152" t="inlineStr">
        <is>
          <t>TUB-O-N-AUT-BH-FC-42.70X4.000X5.50-ERW 1</t>
        </is>
      </c>
      <c r="C1152" t="n">
        <v>2.309</v>
      </c>
      <c r="D1152" t="inlineStr">
        <is>
          <t>0788</t>
        </is>
      </c>
      <c r="E1152" t="inlineStr">
        <is>
          <t>MEGH STEELS PRIVATE LIMITED - TVS A</t>
        </is>
      </c>
      <c r="F1152" t="n">
        <v>2026</v>
      </c>
      <c r="G1152" t="inlineStr">
        <is>
          <t>Direct</t>
        </is>
      </c>
      <c r="H1152" t="inlineStr">
        <is>
          <t>42.7-0-4-ERW 1-FC</t>
        </is>
      </c>
      <c r="I1152" t="inlineStr">
        <is>
          <t>42.7-0-4-ERW 1-FC-1</t>
        </is>
      </c>
      <c r="J1152" t="n">
        <v>5.5</v>
      </c>
      <c r="K1152" t="inlineStr">
        <is>
          <t>LL</t>
        </is>
      </c>
    </row>
    <row r="1153" hidden="1" s="584">
      <c r="A1153" t="n">
        <v>3500714</v>
      </c>
      <c r="B1153" t="inlineStr">
        <is>
          <t>TUB-O-N-AUT-BH-FC-42.70X4.000X5.50-ERW 1</t>
        </is>
      </c>
      <c r="C1153" t="n">
        <v>2.372</v>
      </c>
      <c r="D1153" t="inlineStr">
        <is>
          <t>0788</t>
        </is>
      </c>
      <c r="E1153" t="inlineStr">
        <is>
          <t>MEGH STEELS PRIVATE LIMITED - TVS A</t>
        </is>
      </c>
      <c r="F1153" t="n">
        <v>2027</v>
      </c>
      <c r="G1153" t="inlineStr">
        <is>
          <t>Direct</t>
        </is>
      </c>
      <c r="H1153" t="inlineStr">
        <is>
          <t>42.7-0-4-ERW 1-FC</t>
        </is>
      </c>
      <c r="I1153" t="inlineStr">
        <is>
          <t>42.7-0-4-ERW 1-FC-1</t>
        </is>
      </c>
      <c r="J1153" t="n">
        <v>5.5</v>
      </c>
      <c r="K1153" t="inlineStr">
        <is>
          <t>LL</t>
        </is>
      </c>
    </row>
    <row r="1154" hidden="1" s="584">
      <c r="A1154" t="n">
        <v>3500714</v>
      </c>
      <c r="B1154" t="inlineStr">
        <is>
          <t>TUB-O-N-AUT-BH-FC-42.70X4.000X5.50-ERW 1</t>
        </is>
      </c>
      <c r="C1154" t="n">
        <v>2.288</v>
      </c>
      <c r="D1154" t="inlineStr">
        <is>
          <t>0788</t>
        </is>
      </c>
      <c r="E1154" t="inlineStr">
        <is>
          <t>MEGH STEELS PRIVATE LIMITED - TVS A</t>
        </is>
      </c>
      <c r="F1154" t="n">
        <v>2028</v>
      </c>
      <c r="G1154" t="inlineStr">
        <is>
          <t>Direct</t>
        </is>
      </c>
      <c r="H1154" t="inlineStr">
        <is>
          <t>42.7-0-4-ERW 1-FC</t>
        </is>
      </c>
      <c r="I1154" t="inlineStr">
        <is>
          <t>42.7-0-4-ERW 1-FC-1</t>
        </is>
      </c>
      <c r="J1154" t="n">
        <v>5.5</v>
      </c>
      <c r="K1154" t="inlineStr">
        <is>
          <t>LL</t>
        </is>
      </c>
    </row>
    <row r="1155" hidden="1" s="584">
      <c r="A1155" t="n">
        <v>3500714</v>
      </c>
      <c r="B1155" t="inlineStr">
        <is>
          <t>TUB-O-N-AUT-BH-FC-42.70X4.000X5.50-ERW 1</t>
        </is>
      </c>
      <c r="C1155" t="n">
        <v>1.973</v>
      </c>
      <c r="D1155" t="inlineStr">
        <is>
          <t>0788</t>
        </is>
      </c>
      <c r="E1155" t="inlineStr">
        <is>
          <t>MEGH STEELS PRIVATE LIMITED - TVS A</t>
        </is>
      </c>
      <c r="F1155" t="n">
        <v>2122</v>
      </c>
      <c r="G1155" t="inlineStr">
        <is>
          <t>Direct</t>
        </is>
      </c>
      <c r="H1155" t="inlineStr">
        <is>
          <t>42.7-0-4-ERW 1-FC</t>
        </is>
      </c>
      <c r="I1155" t="inlineStr">
        <is>
          <t>42.7-0-4-ERW 1-FC-1</t>
        </is>
      </c>
      <c r="J1155" t="n">
        <v>5.5</v>
      </c>
      <c r="K1155" t="inlineStr">
        <is>
          <t>LL</t>
        </is>
      </c>
    </row>
    <row r="1156" hidden="1" s="584">
      <c r="A1156" t="n">
        <v>3500714</v>
      </c>
      <c r="B1156" t="inlineStr">
        <is>
          <t>TUB-O-N-AUT-BH-FC-42.70X4.000X5.50-ERW 1</t>
        </is>
      </c>
      <c r="C1156" t="n">
        <v>2.141</v>
      </c>
      <c r="D1156" t="inlineStr">
        <is>
          <t>0788</t>
        </is>
      </c>
      <c r="E1156" t="inlineStr">
        <is>
          <t>MEGH STEELS PRIVATE LIMITED - TVS A</t>
        </is>
      </c>
      <c r="F1156" t="n">
        <v>2123</v>
      </c>
      <c r="G1156" t="inlineStr">
        <is>
          <t>Direct</t>
        </is>
      </c>
      <c r="H1156" t="inlineStr">
        <is>
          <t>42.7-0-4-ERW 1-FC</t>
        </is>
      </c>
      <c r="I1156" t="inlineStr">
        <is>
          <t>42.7-0-4-ERW 1-FC-1</t>
        </is>
      </c>
      <c r="J1156" t="n">
        <v>5.5</v>
      </c>
      <c r="K1156" t="inlineStr">
        <is>
          <t>LL</t>
        </is>
      </c>
    </row>
    <row r="1157" hidden="1" s="584">
      <c r="A1157" t="n">
        <v>3500714</v>
      </c>
      <c r="B1157" t="inlineStr">
        <is>
          <t>TUB-O-N-AUT-BH-FC-42.70X4.000X5.50-ERW 1</t>
        </is>
      </c>
      <c r="C1157" t="n">
        <v>2.414</v>
      </c>
      <c r="D1157" t="inlineStr">
        <is>
          <t>0788</t>
        </is>
      </c>
      <c r="E1157" t="inlineStr">
        <is>
          <t>MEGH STEELS PRIVATE LIMITED - TVS A</t>
        </is>
      </c>
      <c r="F1157" t="n">
        <v>2124</v>
      </c>
      <c r="G1157" t="inlineStr">
        <is>
          <t>Direct</t>
        </is>
      </c>
      <c r="H1157" t="inlineStr">
        <is>
          <t>42.7-0-4-ERW 1-FC</t>
        </is>
      </c>
      <c r="I1157" t="inlineStr">
        <is>
          <t>42.7-0-4-ERW 1-FC-1</t>
        </is>
      </c>
      <c r="J1157" t="n">
        <v>5.5</v>
      </c>
      <c r="K1157" t="inlineStr">
        <is>
          <t>LL</t>
        </is>
      </c>
    </row>
    <row r="1158" hidden="1" s="584">
      <c r="A1158" t="n">
        <v>3500714</v>
      </c>
      <c r="B1158" t="inlineStr">
        <is>
          <t>TUB-O-N-AUT-BH-FC-42.70X4.000X5.50-ERW 1</t>
        </is>
      </c>
      <c r="C1158" t="n">
        <v>2.099</v>
      </c>
      <c r="D1158" t="inlineStr">
        <is>
          <t>0788</t>
        </is>
      </c>
      <c r="E1158" t="inlineStr">
        <is>
          <t>MEGH STEELS PRIVATE LIMITED - TVS A</t>
        </is>
      </c>
      <c r="F1158" t="n">
        <v>2125</v>
      </c>
      <c r="G1158" t="inlineStr">
        <is>
          <t>Direct</t>
        </is>
      </c>
      <c r="H1158" t="inlineStr">
        <is>
          <t>42.7-0-4-ERW 1-FC</t>
        </is>
      </c>
      <c r="I1158" t="inlineStr">
        <is>
          <t>42.7-0-4-ERW 1-FC-1</t>
        </is>
      </c>
      <c r="J1158" t="n">
        <v>5.5</v>
      </c>
      <c r="K1158" t="inlineStr">
        <is>
          <t>LL</t>
        </is>
      </c>
    </row>
    <row r="1159" hidden="1" s="584">
      <c r="A1159" t="n">
        <v>3500714</v>
      </c>
      <c r="B1159" t="inlineStr">
        <is>
          <t>TUB-O-N-AUT-BH-FC-42.70X4.000X5.50-ERW 1</t>
        </is>
      </c>
      <c r="C1159" t="n">
        <v>1.763</v>
      </c>
      <c r="D1159" t="inlineStr">
        <is>
          <t>0788</t>
        </is>
      </c>
      <c r="E1159" t="inlineStr">
        <is>
          <t>MEGH STEELS PRIVATE LIMITED - TVS A</t>
        </is>
      </c>
      <c r="F1159" t="n">
        <v>2126</v>
      </c>
      <c r="G1159" t="inlineStr">
        <is>
          <t>Direct</t>
        </is>
      </c>
      <c r="H1159" t="inlineStr">
        <is>
          <t>42.7-0-4-ERW 1-FC</t>
        </is>
      </c>
      <c r="I1159" t="inlineStr">
        <is>
          <t>42.7-0-4-ERW 1-FC-1</t>
        </is>
      </c>
      <c r="J1159" t="n">
        <v>5.5</v>
      </c>
      <c r="K1159" t="inlineStr">
        <is>
          <t>LL</t>
        </is>
      </c>
    </row>
    <row r="1160" hidden="1" s="584">
      <c r="A1160" t="n">
        <v>3500714</v>
      </c>
      <c r="B1160" t="inlineStr">
        <is>
          <t>TUB-O-N-AUT-BH-FC-42.70X4.000X5.50-ERW 1</t>
        </is>
      </c>
      <c r="C1160" t="n">
        <v>1.973</v>
      </c>
      <c r="D1160" t="inlineStr">
        <is>
          <t>0788</t>
        </is>
      </c>
      <c r="E1160" t="inlineStr">
        <is>
          <t>MEGH STEELS PRIVATE LIMITED - TVS A</t>
        </is>
      </c>
      <c r="F1160" t="n">
        <v>2127</v>
      </c>
      <c r="G1160" t="inlineStr">
        <is>
          <t>Direct</t>
        </is>
      </c>
      <c r="H1160" t="inlineStr">
        <is>
          <t>42.7-0-4-ERW 1-FC</t>
        </is>
      </c>
      <c r="I1160" t="inlineStr">
        <is>
          <t>42.7-0-4-ERW 1-FC-1</t>
        </is>
      </c>
      <c r="J1160" t="n">
        <v>5.5</v>
      </c>
      <c r="K1160" t="inlineStr">
        <is>
          <t>LL</t>
        </is>
      </c>
    </row>
    <row r="1161" hidden="1" s="584">
      <c r="A1161" t="n">
        <v>3500714</v>
      </c>
      <c r="B1161" t="inlineStr">
        <is>
          <t>TUB-O-N-AUT-BH-FC-42.70X4.000X5.50-ERW 1</t>
        </is>
      </c>
      <c r="C1161" t="n">
        <v>1.343</v>
      </c>
      <c r="D1161" t="inlineStr">
        <is>
          <t>0788</t>
        </is>
      </c>
      <c r="E1161" t="inlineStr">
        <is>
          <t>MEGH STEELS PRIVATE LIMITED - TVS A</t>
        </is>
      </c>
      <c r="F1161" t="n">
        <v>2128</v>
      </c>
      <c r="G1161" t="inlineStr">
        <is>
          <t>Direct</t>
        </is>
      </c>
      <c r="H1161" t="inlineStr">
        <is>
          <t>42.7-0-4-ERW 1-FC</t>
        </is>
      </c>
      <c r="I1161" t="inlineStr">
        <is>
          <t>42.7-0-4-ERW 1-FC-1</t>
        </is>
      </c>
      <c r="J1161" t="n">
        <v>5.5</v>
      </c>
      <c r="K1161" t="inlineStr">
        <is>
          <t>LL</t>
        </is>
      </c>
    </row>
    <row r="1162" hidden="1" s="584">
      <c r="A1162" t="n">
        <v>3500714</v>
      </c>
      <c r="B1162" t="inlineStr">
        <is>
          <t>TUB-O-N-AUT-BH-FC-42.70X4.000X5.50-ERW 1</t>
        </is>
      </c>
      <c r="C1162" t="n">
        <v>2.393</v>
      </c>
      <c r="D1162" t="inlineStr">
        <is>
          <t>0788</t>
        </is>
      </c>
      <c r="E1162" t="inlineStr">
        <is>
          <t>MEGH STEELS PRIVATE LIMITED - TVS A</t>
        </is>
      </c>
      <c r="F1162" t="n">
        <v>2129</v>
      </c>
      <c r="G1162" t="inlineStr">
        <is>
          <t>Direct</t>
        </is>
      </c>
      <c r="H1162" t="inlineStr">
        <is>
          <t>42.7-0-4-ERW 1-FC</t>
        </is>
      </c>
      <c r="I1162" t="inlineStr">
        <is>
          <t>42.7-0-4-ERW 1-FC-1</t>
        </is>
      </c>
      <c r="J1162" t="n">
        <v>5.5</v>
      </c>
      <c r="K1162" t="inlineStr">
        <is>
          <t>LL</t>
        </is>
      </c>
    </row>
    <row r="1163" hidden="1" s="584">
      <c r="A1163" t="n">
        <v>3500714</v>
      </c>
      <c r="B1163" t="inlineStr">
        <is>
          <t>TUB-O-N-AUT-BH-FC-42.70X4.000X5.50-ERW 1</t>
        </is>
      </c>
      <c r="C1163" t="n">
        <v>2.372</v>
      </c>
      <c r="D1163" t="inlineStr">
        <is>
          <t>0788</t>
        </is>
      </c>
      <c r="E1163" t="inlineStr">
        <is>
          <t>MEGH STEELS PRIVATE LIMITED - TVS A</t>
        </is>
      </c>
      <c r="F1163" t="n">
        <v>2130</v>
      </c>
      <c r="G1163" t="inlineStr">
        <is>
          <t>Direct</t>
        </is>
      </c>
      <c r="H1163" t="inlineStr">
        <is>
          <t>42.7-0-4-ERW 1-FC</t>
        </is>
      </c>
      <c r="I1163" t="inlineStr">
        <is>
          <t>42.7-0-4-ERW 1-FC-1</t>
        </is>
      </c>
      <c r="J1163" t="n">
        <v>5.5</v>
      </c>
      <c r="K1163" t="inlineStr">
        <is>
          <t>LL</t>
        </is>
      </c>
    </row>
    <row r="1164" hidden="1" s="584">
      <c r="A1164" t="n">
        <v>3500714</v>
      </c>
      <c r="B1164" t="inlineStr">
        <is>
          <t>TUB-O-N-AUT-BH-FC-42.70X4.000X5.50-ERW 1</t>
        </is>
      </c>
      <c r="C1164" t="n">
        <v>2.309</v>
      </c>
      <c r="D1164" t="inlineStr">
        <is>
          <t>0788</t>
        </is>
      </c>
      <c r="E1164" t="inlineStr">
        <is>
          <t>MEGH STEELS PRIVATE LIMITED - TVS A</t>
        </is>
      </c>
      <c r="F1164" t="n">
        <v>2131</v>
      </c>
      <c r="G1164" t="inlineStr">
        <is>
          <t>Direct</t>
        </is>
      </c>
      <c r="H1164" t="inlineStr">
        <is>
          <t>42.7-0-4-ERW 1-FC</t>
        </is>
      </c>
      <c r="I1164" t="inlineStr">
        <is>
          <t>42.7-0-4-ERW 1-FC-1</t>
        </is>
      </c>
      <c r="J1164" t="n">
        <v>5.5</v>
      </c>
      <c r="K1164" t="inlineStr">
        <is>
          <t>LL</t>
        </is>
      </c>
    </row>
    <row r="1165" hidden="1" s="584">
      <c r="A1165" t="n">
        <v>3500714</v>
      </c>
      <c r="B1165" t="inlineStr">
        <is>
          <t>TUB-O-N-AUT-BH-FC-42.70X4.000X5.50-ERW 1</t>
        </is>
      </c>
      <c r="C1165" t="n">
        <v>2.057</v>
      </c>
      <c r="D1165" t="inlineStr">
        <is>
          <t>0788</t>
        </is>
      </c>
      <c r="E1165" t="inlineStr">
        <is>
          <t>MEGH STEELS PRIVATE LIMITED - TVS A</t>
        </is>
      </c>
      <c r="F1165" t="n">
        <v>2132</v>
      </c>
      <c r="G1165" t="inlineStr">
        <is>
          <t>Direct</t>
        </is>
      </c>
      <c r="H1165" t="inlineStr">
        <is>
          <t>42.7-0-4-ERW 1-FC</t>
        </is>
      </c>
      <c r="I1165" t="inlineStr">
        <is>
          <t>42.7-0-4-ERW 1-FC-1</t>
        </is>
      </c>
      <c r="J1165" t="n">
        <v>5.5</v>
      </c>
      <c r="K1165" t="inlineStr">
        <is>
          <t>LL</t>
        </is>
      </c>
    </row>
    <row r="1166" hidden="1" s="584">
      <c r="A1166" t="n">
        <v>3500714</v>
      </c>
      <c r="B1166" t="inlineStr">
        <is>
          <t>TUB-O-N-AUT-BH-FC-42.70X4.000X5.50-ERW 1</t>
        </is>
      </c>
      <c r="C1166" t="n">
        <v>2.393</v>
      </c>
      <c r="D1166" t="inlineStr">
        <is>
          <t>0788</t>
        </is>
      </c>
      <c r="E1166" t="inlineStr">
        <is>
          <t>MEGH STEELS PRIVATE LIMITED - TVS A</t>
        </is>
      </c>
      <c r="F1166" t="n">
        <v>2133</v>
      </c>
      <c r="G1166" t="inlineStr">
        <is>
          <t>Direct</t>
        </is>
      </c>
      <c r="H1166" t="inlineStr">
        <is>
          <t>42.7-0-4-ERW 1-FC</t>
        </is>
      </c>
      <c r="I1166" t="inlineStr">
        <is>
          <t>42.7-0-4-ERW 1-FC-1</t>
        </is>
      </c>
      <c r="J1166" t="n">
        <v>5.5</v>
      </c>
      <c r="K1166" t="inlineStr">
        <is>
          <t>LL</t>
        </is>
      </c>
    </row>
    <row r="1167" hidden="1" s="584">
      <c r="A1167" t="n">
        <v>3500714</v>
      </c>
      <c r="B1167" t="inlineStr">
        <is>
          <t>TUB-O-N-AUT-BH-FC-42.70X4.000X5.50-ERW 1</t>
        </is>
      </c>
      <c r="C1167" t="n">
        <v>2.141</v>
      </c>
      <c r="D1167" t="inlineStr">
        <is>
          <t>0788</t>
        </is>
      </c>
      <c r="E1167" t="inlineStr">
        <is>
          <t>MEGH STEELS PRIVATE LIMITED - TVS A</t>
        </is>
      </c>
      <c r="F1167" t="n">
        <v>2134</v>
      </c>
      <c r="G1167" t="inlineStr">
        <is>
          <t>Direct</t>
        </is>
      </c>
      <c r="H1167" t="inlineStr">
        <is>
          <t>42.7-0-4-ERW 1-FC</t>
        </is>
      </c>
      <c r="I1167" t="inlineStr">
        <is>
          <t>42.7-0-4-ERW 1-FC-1</t>
        </is>
      </c>
      <c r="J1167" t="n">
        <v>5.5</v>
      </c>
      <c r="K1167" t="inlineStr">
        <is>
          <t>LL</t>
        </is>
      </c>
    </row>
    <row r="1168" hidden="1" s="584">
      <c r="A1168" t="n">
        <v>3500714</v>
      </c>
      <c r="B1168" t="inlineStr">
        <is>
          <t>TUB-O-N-AUT-BH-FC-42.70X4.000X5.50-ERW 1</t>
        </is>
      </c>
      <c r="C1168" t="n">
        <v>2.162</v>
      </c>
      <c r="D1168" t="inlineStr">
        <is>
          <t>0788</t>
        </is>
      </c>
      <c r="E1168" t="inlineStr">
        <is>
          <t>MEGH STEELS PRIVATE LIMITED - TVS A</t>
        </is>
      </c>
      <c r="F1168" t="n">
        <v>2135</v>
      </c>
      <c r="G1168" t="inlineStr">
        <is>
          <t>Direct</t>
        </is>
      </c>
      <c r="H1168" t="inlineStr">
        <is>
          <t>42.7-0-4-ERW 1-FC</t>
        </is>
      </c>
      <c r="I1168" t="inlineStr">
        <is>
          <t>42.7-0-4-ERW 1-FC-1</t>
        </is>
      </c>
      <c r="J1168" t="n">
        <v>5.5</v>
      </c>
      <c r="K1168" t="inlineStr">
        <is>
          <t>LL</t>
        </is>
      </c>
    </row>
    <row r="1169" hidden="1" s="584">
      <c r="A1169" t="n">
        <v>3500714</v>
      </c>
      <c r="B1169" t="inlineStr">
        <is>
          <t>TUB-O-N-AUT-BH-FC-42.70X4.000X5.50-ERW 1</t>
        </is>
      </c>
      <c r="C1169" t="n">
        <v>2.372</v>
      </c>
      <c r="D1169" t="inlineStr">
        <is>
          <t>0788</t>
        </is>
      </c>
      <c r="E1169" t="inlineStr">
        <is>
          <t>MEGH STEELS PRIVATE LIMITED - TVS A</t>
        </is>
      </c>
      <c r="F1169" t="n">
        <v>2136</v>
      </c>
      <c r="G1169" t="inlineStr">
        <is>
          <t>Direct</t>
        </is>
      </c>
      <c r="H1169" t="inlineStr">
        <is>
          <t>42.7-0-4-ERW 1-FC</t>
        </is>
      </c>
      <c r="I1169" t="inlineStr">
        <is>
          <t>42.7-0-4-ERW 1-FC-1</t>
        </is>
      </c>
      <c r="J1169" t="n">
        <v>5.5</v>
      </c>
      <c r="K1169" t="inlineStr">
        <is>
          <t>LL</t>
        </is>
      </c>
    </row>
    <row r="1170" hidden="1" s="584">
      <c r="A1170" t="n">
        <v>3500714</v>
      </c>
      <c r="B1170" t="inlineStr">
        <is>
          <t>TUB-O-N-AUT-BH-FC-42.70X4.000X5.50-ERW 1</t>
        </is>
      </c>
      <c r="C1170" t="n">
        <v>2.33</v>
      </c>
      <c r="D1170" t="inlineStr">
        <is>
          <t>0788</t>
        </is>
      </c>
      <c r="E1170" t="inlineStr">
        <is>
          <t>MEGH STEELS PRIVATE LIMITED - TVS A</t>
        </is>
      </c>
      <c r="F1170" t="n">
        <v>2137</v>
      </c>
      <c r="G1170" t="inlineStr">
        <is>
          <t>Direct</t>
        </is>
      </c>
      <c r="H1170" t="inlineStr">
        <is>
          <t>42.7-0-4-ERW 1-FC</t>
        </is>
      </c>
      <c r="I1170" t="inlineStr">
        <is>
          <t>42.7-0-4-ERW 1-FC-1</t>
        </is>
      </c>
      <c r="J1170" t="n">
        <v>5.5</v>
      </c>
      <c r="K1170" t="inlineStr">
        <is>
          <t>LL</t>
        </is>
      </c>
    </row>
    <row r="1171" hidden="1" s="584">
      <c r="A1171" t="n">
        <v>3500714</v>
      </c>
      <c r="B1171" t="inlineStr">
        <is>
          <t>TUB-O-N-AUT-BH-FC-42.70X4.000X5.50-ERW 1</t>
        </is>
      </c>
      <c r="C1171" t="n">
        <v>2.372</v>
      </c>
      <c r="D1171" t="inlineStr">
        <is>
          <t>0788</t>
        </is>
      </c>
      <c r="E1171" t="inlineStr">
        <is>
          <t>MEGH STEELS PRIVATE LIMITED - TVS A</t>
        </is>
      </c>
      <c r="F1171" t="n">
        <v>2138</v>
      </c>
      <c r="G1171" t="inlineStr">
        <is>
          <t>Direct</t>
        </is>
      </c>
      <c r="H1171" t="inlineStr">
        <is>
          <t>42.7-0-4-ERW 1-FC</t>
        </is>
      </c>
      <c r="I1171" t="inlineStr">
        <is>
          <t>42.7-0-4-ERW 1-FC-1</t>
        </is>
      </c>
      <c r="J1171" t="n">
        <v>5.5</v>
      </c>
      <c r="K1171" t="inlineStr">
        <is>
          <t>LL</t>
        </is>
      </c>
    </row>
    <row r="1172" hidden="1" s="584">
      <c r="A1172" t="n">
        <v>3500714</v>
      </c>
      <c r="B1172" t="inlineStr">
        <is>
          <t>TUB-O-N-AUT-BH-FC-42.70X4.000X5.50-ERW 1</t>
        </is>
      </c>
      <c r="C1172" t="n">
        <v>2.372</v>
      </c>
      <c r="D1172" t="inlineStr">
        <is>
          <t>0788</t>
        </is>
      </c>
      <c r="E1172" t="inlineStr">
        <is>
          <t>MEGH STEELS PRIVATE LIMITED - TVS A</t>
        </is>
      </c>
      <c r="F1172" t="n">
        <v>2139</v>
      </c>
      <c r="G1172" t="inlineStr">
        <is>
          <t>Direct</t>
        </is>
      </c>
      <c r="H1172" t="inlineStr">
        <is>
          <t>42.7-0-4-ERW 1-FC</t>
        </is>
      </c>
      <c r="I1172" t="inlineStr">
        <is>
          <t>42.7-0-4-ERW 1-FC-1</t>
        </is>
      </c>
      <c r="J1172" t="n">
        <v>5.5</v>
      </c>
      <c r="K1172" t="inlineStr">
        <is>
          <t>LL</t>
        </is>
      </c>
    </row>
    <row r="1173" hidden="1" s="584">
      <c r="A1173" t="n">
        <v>3500714</v>
      </c>
      <c r="B1173" t="inlineStr">
        <is>
          <t>TUB-O-N-AUT-BH-FC-42.70X4.000X5.50-ERW 1</t>
        </is>
      </c>
      <c r="C1173" t="n">
        <v>2.393</v>
      </c>
      <c r="D1173" t="inlineStr">
        <is>
          <t>0788</t>
        </is>
      </c>
      <c r="E1173" t="inlineStr">
        <is>
          <t>MEGH STEELS PRIVATE LIMITED - TVS A</t>
        </is>
      </c>
      <c r="F1173" t="n">
        <v>2140</v>
      </c>
      <c r="G1173" t="inlineStr">
        <is>
          <t>Direct</t>
        </is>
      </c>
      <c r="H1173" t="inlineStr">
        <is>
          <t>42.7-0-4-ERW 1-FC</t>
        </is>
      </c>
      <c r="I1173" t="inlineStr">
        <is>
          <t>42.7-0-4-ERW 1-FC-1</t>
        </is>
      </c>
      <c r="J1173" t="n">
        <v>5.5</v>
      </c>
      <c r="K1173" t="inlineStr">
        <is>
          <t>LL</t>
        </is>
      </c>
    </row>
    <row r="1174" hidden="1" s="584">
      <c r="A1174" t="n">
        <v>3500714</v>
      </c>
      <c r="B1174" t="inlineStr">
        <is>
          <t>TUB-O-N-AUT-BH-FC-42.70X4.000X5.50-ERW 1</t>
        </is>
      </c>
      <c r="C1174" t="n">
        <v>2.372</v>
      </c>
      <c r="D1174" t="inlineStr">
        <is>
          <t>0788</t>
        </is>
      </c>
      <c r="E1174" t="inlineStr">
        <is>
          <t>MEGH STEELS PRIVATE LIMITED - TVS A</t>
        </is>
      </c>
      <c r="F1174" t="n">
        <v>2141</v>
      </c>
      <c r="G1174" t="inlineStr">
        <is>
          <t>Direct</t>
        </is>
      </c>
      <c r="H1174" t="inlineStr">
        <is>
          <t>42.7-0-4-ERW 1-FC</t>
        </is>
      </c>
      <c r="I1174" t="inlineStr">
        <is>
          <t>42.7-0-4-ERW 1-FC-1</t>
        </is>
      </c>
      <c r="J1174" t="n">
        <v>5.5</v>
      </c>
      <c r="K1174" t="inlineStr">
        <is>
          <t>LL</t>
        </is>
      </c>
    </row>
    <row r="1175" hidden="1" s="584">
      <c r="A1175" t="n">
        <v>3500714</v>
      </c>
      <c r="B1175" t="inlineStr">
        <is>
          <t>TUB-O-N-AUT-BH-FC-42.70X4.000X5.50-ERW 1</t>
        </is>
      </c>
      <c r="C1175" t="n">
        <v>2.288</v>
      </c>
      <c r="D1175" t="inlineStr">
        <is>
          <t>0788</t>
        </is>
      </c>
      <c r="E1175" t="inlineStr">
        <is>
          <t>MEGH STEELS PRIVATE LIMITED - TVS A</t>
        </is>
      </c>
      <c r="F1175" t="n">
        <v>2142</v>
      </c>
      <c r="G1175" t="inlineStr">
        <is>
          <t>Direct</t>
        </is>
      </c>
      <c r="H1175" t="inlineStr">
        <is>
          <t>42.7-0-4-ERW 1-FC</t>
        </is>
      </c>
      <c r="I1175" t="inlineStr">
        <is>
          <t>42.7-0-4-ERW 1-FC-1</t>
        </is>
      </c>
      <c r="J1175" t="n">
        <v>5.5</v>
      </c>
      <c r="K1175" t="inlineStr">
        <is>
          <t>LL</t>
        </is>
      </c>
    </row>
    <row r="1176" hidden="1" s="584">
      <c r="A1176" t="n">
        <v>3500714</v>
      </c>
      <c r="B1176" t="inlineStr">
        <is>
          <t>TUB-O-N-AUT-BH-FC-42.70X4.000X5.50-ERW 1</t>
        </is>
      </c>
      <c r="C1176" t="n">
        <v>2.267</v>
      </c>
      <c r="D1176" t="inlineStr">
        <is>
          <t>0788</t>
        </is>
      </c>
      <c r="E1176" t="inlineStr">
        <is>
          <t>MEGH STEELS PRIVATE LIMITED - TVS A</t>
        </is>
      </c>
      <c r="F1176" t="n">
        <v>2143</v>
      </c>
      <c r="G1176" t="inlineStr">
        <is>
          <t>Direct</t>
        </is>
      </c>
      <c r="H1176" t="inlineStr">
        <is>
          <t>42.7-0-4-ERW 1-FC</t>
        </is>
      </c>
      <c r="I1176" t="inlineStr">
        <is>
          <t>42.7-0-4-ERW 1-FC-1</t>
        </is>
      </c>
      <c r="J1176" t="n">
        <v>5.5</v>
      </c>
      <c r="K1176" t="inlineStr">
        <is>
          <t>LL</t>
        </is>
      </c>
    </row>
    <row r="1177" hidden="1" s="584">
      <c r="A1177" t="n">
        <v>3500714</v>
      </c>
      <c r="B1177" t="inlineStr">
        <is>
          <t>TUB-O-N-AUT-BH-FC-42.70X4.000X5.50-ERW 1</t>
        </is>
      </c>
      <c r="C1177" t="n">
        <v>2.267</v>
      </c>
      <c r="D1177" t="inlineStr">
        <is>
          <t>0788</t>
        </is>
      </c>
      <c r="E1177" t="inlineStr">
        <is>
          <t>MEGH STEELS PRIVATE LIMITED - TVS A</t>
        </is>
      </c>
      <c r="F1177" t="n">
        <v>2144</v>
      </c>
      <c r="G1177" t="inlineStr">
        <is>
          <t>Direct</t>
        </is>
      </c>
      <c r="H1177" t="inlineStr">
        <is>
          <t>42.7-0-4-ERW 1-FC</t>
        </is>
      </c>
      <c r="I1177" t="inlineStr">
        <is>
          <t>42.7-0-4-ERW 1-FC-1</t>
        </is>
      </c>
      <c r="J1177" t="n">
        <v>5.5</v>
      </c>
      <c r="K1177" t="inlineStr">
        <is>
          <t>LL</t>
        </is>
      </c>
    </row>
    <row r="1178" hidden="1" s="584">
      <c r="A1178" t="n">
        <v>3500714</v>
      </c>
      <c r="B1178" t="inlineStr">
        <is>
          <t>TUB-O-N-AUT-BH-FC-42.70X4.000X5.50-ERW 1</t>
        </is>
      </c>
      <c r="C1178" t="n">
        <v>2.33</v>
      </c>
      <c r="D1178" t="inlineStr">
        <is>
          <t>0788</t>
        </is>
      </c>
      <c r="E1178" t="inlineStr">
        <is>
          <t>MEGH STEELS PRIVATE LIMITED - TVS A</t>
        </is>
      </c>
      <c r="F1178" t="n">
        <v>2145</v>
      </c>
      <c r="G1178" t="inlineStr">
        <is>
          <t>Direct</t>
        </is>
      </c>
      <c r="H1178" t="inlineStr">
        <is>
          <t>42.7-0-4-ERW 1-FC</t>
        </is>
      </c>
      <c r="I1178" t="inlineStr">
        <is>
          <t>42.7-0-4-ERW 1-FC-1</t>
        </is>
      </c>
      <c r="J1178" t="n">
        <v>5.5</v>
      </c>
      <c r="K1178" t="inlineStr">
        <is>
          <t>LL</t>
        </is>
      </c>
    </row>
    <row r="1179" hidden="1" s="584">
      <c r="A1179" t="n">
        <v>3500714</v>
      </c>
      <c r="B1179" t="inlineStr">
        <is>
          <t>TUB-O-N-AUT-BH-FC-42.70X4.000X5.50-ERW 1</t>
        </is>
      </c>
      <c r="C1179" t="n">
        <v>2.225</v>
      </c>
      <c r="D1179" t="inlineStr">
        <is>
          <t>0788</t>
        </is>
      </c>
      <c r="E1179" t="inlineStr">
        <is>
          <t>MEGH STEELS PRIVATE LIMITED - TVS A</t>
        </is>
      </c>
      <c r="F1179" t="n">
        <v>2146</v>
      </c>
      <c r="G1179" t="inlineStr">
        <is>
          <t>Direct</t>
        </is>
      </c>
      <c r="H1179" t="inlineStr">
        <is>
          <t>42.7-0-4-ERW 1-FC</t>
        </is>
      </c>
      <c r="I1179" t="inlineStr">
        <is>
          <t>42.7-0-4-ERW 1-FC-1</t>
        </is>
      </c>
      <c r="J1179" t="n">
        <v>5.5</v>
      </c>
      <c r="K1179" t="inlineStr">
        <is>
          <t>LL</t>
        </is>
      </c>
    </row>
    <row r="1180" hidden="1" s="584">
      <c r="A1180" t="n">
        <v>3500714</v>
      </c>
      <c r="B1180" t="inlineStr">
        <is>
          <t>TUB-O-N-AUT-BH-FC-42.70X4.000X5.50-ERW 1</t>
        </is>
      </c>
      <c r="C1180" t="n">
        <v>2.351</v>
      </c>
      <c r="D1180" t="inlineStr">
        <is>
          <t>0788</t>
        </is>
      </c>
      <c r="E1180" t="inlineStr">
        <is>
          <t>MEGH STEELS PRIVATE LIMITED - TVS A</t>
        </is>
      </c>
      <c r="F1180" t="n">
        <v>2147</v>
      </c>
      <c r="G1180" t="inlineStr">
        <is>
          <t>Direct</t>
        </is>
      </c>
      <c r="H1180" t="inlineStr">
        <is>
          <t>42.7-0-4-ERW 1-FC</t>
        </is>
      </c>
      <c r="I1180" t="inlineStr">
        <is>
          <t>42.7-0-4-ERW 1-FC-1</t>
        </is>
      </c>
      <c r="J1180" t="n">
        <v>5.5</v>
      </c>
      <c r="K1180" t="inlineStr">
        <is>
          <t>LL</t>
        </is>
      </c>
    </row>
    <row r="1181" hidden="1" s="584">
      <c r="A1181" t="n">
        <v>3500714</v>
      </c>
      <c r="B1181" t="inlineStr">
        <is>
          <t>TUB-O-N-AUT-BH-FC-42.70X4.000X5.50-ERW 1</t>
        </is>
      </c>
      <c r="C1181" t="n">
        <v>2.393</v>
      </c>
      <c r="D1181" t="inlineStr">
        <is>
          <t>0788</t>
        </is>
      </c>
      <c r="E1181" t="inlineStr">
        <is>
          <t>MEGH STEELS PRIVATE LIMITED - TVS A</t>
        </is>
      </c>
      <c r="F1181" t="n">
        <v>2148</v>
      </c>
      <c r="G1181" t="inlineStr">
        <is>
          <t>Direct</t>
        </is>
      </c>
      <c r="H1181" t="inlineStr">
        <is>
          <t>42.7-0-4-ERW 1-FC</t>
        </is>
      </c>
      <c r="I1181" t="inlineStr">
        <is>
          <t>42.7-0-4-ERW 1-FC-1</t>
        </is>
      </c>
      <c r="J1181" t="n">
        <v>5.5</v>
      </c>
      <c r="K1181" t="inlineStr">
        <is>
          <t>LL</t>
        </is>
      </c>
    </row>
    <row r="1182" hidden="1" s="584">
      <c r="A1182" t="n">
        <v>3500714</v>
      </c>
      <c r="B1182" t="inlineStr">
        <is>
          <t>TUB-O-N-AUT-BH-FC-42.70X4.000X5.50-ERW 1</t>
        </is>
      </c>
      <c r="C1182" t="n">
        <v>2.372</v>
      </c>
      <c r="D1182" t="inlineStr">
        <is>
          <t>0788</t>
        </is>
      </c>
      <c r="E1182" t="inlineStr">
        <is>
          <t>MEGH STEELS PRIVATE LIMITED - TVS A</t>
        </is>
      </c>
      <c r="F1182" t="n">
        <v>2149</v>
      </c>
      <c r="G1182" t="inlineStr">
        <is>
          <t>Direct</t>
        </is>
      </c>
      <c r="H1182" t="inlineStr">
        <is>
          <t>42.7-0-4-ERW 1-FC</t>
        </is>
      </c>
      <c r="I1182" t="inlineStr">
        <is>
          <t>42.7-0-4-ERW 1-FC-1</t>
        </is>
      </c>
      <c r="J1182" t="n">
        <v>5.5</v>
      </c>
      <c r="K1182" t="inlineStr">
        <is>
          <t>LL</t>
        </is>
      </c>
    </row>
    <row r="1183" hidden="1" s="584">
      <c r="A1183" t="n">
        <v>3500714</v>
      </c>
      <c r="B1183" t="inlineStr">
        <is>
          <t>TUB-O-N-AUT-BH-FC-42.70X4.000X5.50-ERW 1</t>
        </is>
      </c>
      <c r="C1183" t="n">
        <v>2.372</v>
      </c>
      <c r="D1183" t="inlineStr">
        <is>
          <t>0788</t>
        </is>
      </c>
      <c r="E1183" t="inlineStr">
        <is>
          <t>MEGH STEELS PRIVATE LIMITED - TVS A</t>
        </is>
      </c>
      <c r="F1183" t="n">
        <v>2150</v>
      </c>
      <c r="G1183" t="inlineStr">
        <is>
          <t>Direct</t>
        </is>
      </c>
      <c r="H1183" t="inlineStr">
        <is>
          <t>42.7-0-4-ERW 1-FC</t>
        </is>
      </c>
      <c r="I1183" t="inlineStr">
        <is>
          <t>42.7-0-4-ERW 1-FC-1</t>
        </is>
      </c>
      <c r="J1183" t="n">
        <v>5.5</v>
      </c>
      <c r="K1183" t="inlineStr">
        <is>
          <t>LL</t>
        </is>
      </c>
    </row>
    <row r="1184" hidden="1" s="584">
      <c r="A1184" t="n">
        <v>3500714</v>
      </c>
      <c r="B1184" t="inlineStr">
        <is>
          <t>TUB-O-N-AUT-BH-FC-42.70X4.000X5.50-ERW 1</t>
        </is>
      </c>
      <c r="C1184" t="n">
        <v>2.372</v>
      </c>
      <c r="D1184" t="inlineStr">
        <is>
          <t>0788</t>
        </is>
      </c>
      <c r="E1184" t="inlineStr">
        <is>
          <t>MEGH STEELS PRIVATE LIMITED - TVS A</t>
        </is>
      </c>
      <c r="F1184" t="n">
        <v>2151</v>
      </c>
      <c r="G1184" t="inlineStr">
        <is>
          <t>Direct</t>
        </is>
      </c>
      <c r="H1184" t="inlineStr">
        <is>
          <t>42.7-0-4-ERW 1-FC</t>
        </is>
      </c>
      <c r="I1184" t="inlineStr">
        <is>
          <t>42.7-0-4-ERW 1-FC-1</t>
        </is>
      </c>
      <c r="J1184" t="n">
        <v>5.5</v>
      </c>
      <c r="K1184" t="inlineStr">
        <is>
          <t>LL</t>
        </is>
      </c>
    </row>
    <row r="1185" hidden="1" s="584">
      <c r="A1185" t="n">
        <v>3500714</v>
      </c>
      <c r="B1185" t="inlineStr">
        <is>
          <t>TUB-O-N-AUT-BH-FC-42.70X4.000X5.50-ERW 1</t>
        </is>
      </c>
      <c r="C1185" t="n">
        <v>1.679</v>
      </c>
      <c r="D1185" t="inlineStr">
        <is>
          <t>0788</t>
        </is>
      </c>
      <c r="E1185" t="inlineStr">
        <is>
          <t>MEGH STEELS PRIVATE LIMITED - TVS A</t>
        </is>
      </c>
      <c r="F1185" t="n">
        <v>2152</v>
      </c>
      <c r="G1185" t="inlineStr">
        <is>
          <t>Direct</t>
        </is>
      </c>
      <c r="H1185" t="inlineStr">
        <is>
          <t>42.7-0-4-ERW 1-FC</t>
        </is>
      </c>
      <c r="I1185" t="inlineStr">
        <is>
          <t>42.7-0-4-ERW 1-FC-1</t>
        </is>
      </c>
      <c r="J1185" t="n">
        <v>5.5</v>
      </c>
      <c r="K1185" t="inlineStr">
        <is>
          <t>LL</t>
        </is>
      </c>
    </row>
    <row r="1186" hidden="1" s="584">
      <c r="A1186" t="n">
        <v>3500714</v>
      </c>
      <c r="B1186" t="inlineStr">
        <is>
          <t>TUB-O-N-AUT-BH-FC-42.70X4.000X5.50-ERW 1</t>
        </is>
      </c>
      <c r="C1186" t="n">
        <v>0.483</v>
      </c>
      <c r="D1186" t="inlineStr">
        <is>
          <t>0788</t>
        </is>
      </c>
      <c r="E1186" t="inlineStr">
        <is>
          <t>MEGH STEELS PRIVATE LIMITED - TVS A</t>
        </is>
      </c>
      <c r="F1186" t="n">
        <v>2153</v>
      </c>
      <c r="G1186" t="inlineStr">
        <is>
          <t>Direct</t>
        </is>
      </c>
      <c r="H1186" t="inlineStr">
        <is>
          <t>42.7-0-4-ERW 1-FC</t>
        </is>
      </c>
      <c r="I1186" t="inlineStr">
        <is>
          <t>42.7-0-4-ERW 1-FC-1</t>
        </is>
      </c>
      <c r="J1186" t="n">
        <v>5.5</v>
      </c>
      <c r="K1186" t="inlineStr">
        <is>
          <t>LL</t>
        </is>
      </c>
    </row>
    <row r="1187" hidden="1" s="584">
      <c r="A1187" t="n">
        <v>3500714</v>
      </c>
      <c r="B1187" t="inlineStr">
        <is>
          <t>TUB-O-N-AUT-BH-FC-42.70X4.000X5.50-ERW 1</t>
        </is>
      </c>
      <c r="C1187" t="n">
        <v>2.372</v>
      </c>
      <c r="D1187" t="inlineStr">
        <is>
          <t>0788</t>
        </is>
      </c>
      <c r="E1187" t="inlineStr">
        <is>
          <t>MEGH STEELS PRIVATE LIMITED - TVS A</t>
        </is>
      </c>
      <c r="F1187" t="n">
        <v>2154</v>
      </c>
      <c r="G1187" t="inlineStr">
        <is>
          <t>Direct</t>
        </is>
      </c>
      <c r="H1187" t="inlineStr">
        <is>
          <t>42.7-0-4-ERW 1-FC</t>
        </is>
      </c>
      <c r="I1187" t="inlineStr">
        <is>
          <t>42.7-0-4-ERW 1-FC-1</t>
        </is>
      </c>
      <c r="J1187" t="n">
        <v>5.5</v>
      </c>
      <c r="K1187" t="inlineStr">
        <is>
          <t>LL</t>
        </is>
      </c>
    </row>
    <row r="1188" hidden="1" s="584">
      <c r="A1188" t="n">
        <v>3500714</v>
      </c>
      <c r="B1188" t="inlineStr">
        <is>
          <t>TUB-O-N-AUT-BH-FC-42.70X4.000X5.50-ERW 1</t>
        </is>
      </c>
      <c r="C1188" t="n">
        <v>2.372</v>
      </c>
      <c r="D1188" t="inlineStr">
        <is>
          <t>0788</t>
        </is>
      </c>
      <c r="E1188" t="inlineStr">
        <is>
          <t>MEGH STEELS PRIVATE LIMITED - TVS A</t>
        </is>
      </c>
      <c r="F1188" t="n">
        <v>2155</v>
      </c>
      <c r="G1188" t="inlineStr">
        <is>
          <t>Direct</t>
        </is>
      </c>
      <c r="H1188" t="inlineStr">
        <is>
          <t>42.7-0-4-ERW 1-FC</t>
        </is>
      </c>
      <c r="I1188" t="inlineStr">
        <is>
          <t>42.7-0-4-ERW 1-FC-1</t>
        </is>
      </c>
      <c r="J1188" t="n">
        <v>5.5</v>
      </c>
      <c r="K1188" t="inlineStr">
        <is>
          <t>LL</t>
        </is>
      </c>
    </row>
    <row r="1189" hidden="1" s="584">
      <c r="A1189" t="n">
        <v>3500714</v>
      </c>
      <c r="B1189" t="inlineStr">
        <is>
          <t>TUB-O-N-AUT-BH-FC-42.70X4.000X5.50-ERW 1</t>
        </is>
      </c>
      <c r="C1189" t="n">
        <v>2.33</v>
      </c>
      <c r="D1189" t="inlineStr">
        <is>
          <t>0788</t>
        </is>
      </c>
      <c r="E1189" t="inlineStr">
        <is>
          <t>MEGH STEELS PRIVATE LIMITED - TVS A</t>
        </is>
      </c>
      <c r="F1189" t="n">
        <v>2156</v>
      </c>
      <c r="G1189" t="inlineStr">
        <is>
          <t>Direct</t>
        </is>
      </c>
      <c r="H1189" t="inlineStr">
        <is>
          <t>42.7-0-4-ERW 1-FC</t>
        </is>
      </c>
      <c r="I1189" t="inlineStr">
        <is>
          <t>42.7-0-4-ERW 1-FC-1</t>
        </is>
      </c>
      <c r="J1189" t="n">
        <v>5.5</v>
      </c>
      <c r="K1189" t="inlineStr">
        <is>
          <t>LL</t>
        </is>
      </c>
    </row>
    <row r="1190" hidden="1" s="584">
      <c r="A1190" t="n">
        <v>3500714</v>
      </c>
      <c r="B1190" t="inlineStr">
        <is>
          <t>TUB-O-N-AUT-BH-FC-42.70X4.000X5.50-ERW 1</t>
        </is>
      </c>
      <c r="C1190" t="n">
        <v>2.393</v>
      </c>
      <c r="D1190" t="inlineStr">
        <is>
          <t>0788</t>
        </is>
      </c>
      <c r="E1190" t="inlineStr">
        <is>
          <t>MEGH STEELS PRIVATE LIMITED - TVS A</t>
        </is>
      </c>
      <c r="F1190" t="n">
        <v>2157</v>
      </c>
      <c r="G1190" t="inlineStr">
        <is>
          <t>Direct</t>
        </is>
      </c>
      <c r="H1190" t="inlineStr">
        <is>
          <t>42.7-0-4-ERW 1-FC</t>
        </is>
      </c>
      <c r="I1190" t="inlineStr">
        <is>
          <t>42.7-0-4-ERW 1-FC-1</t>
        </is>
      </c>
      <c r="J1190" t="n">
        <v>5.5</v>
      </c>
      <c r="K1190" t="inlineStr">
        <is>
          <t>LL</t>
        </is>
      </c>
    </row>
    <row r="1191" hidden="1" s="584">
      <c r="A1191" t="n">
        <v>3500714</v>
      </c>
      <c r="B1191" t="inlineStr">
        <is>
          <t>TUB-O-N-AUT-BH-FC-42.70X4.000X5.50-ERW 1</t>
        </is>
      </c>
      <c r="C1191" t="n">
        <v>2.078</v>
      </c>
      <c r="D1191" t="inlineStr">
        <is>
          <t>0788</t>
        </is>
      </c>
      <c r="E1191" t="inlineStr">
        <is>
          <t>MEGH STEELS PRIVATE LIMITED - TVS A</t>
        </is>
      </c>
      <c r="F1191" t="n">
        <v>2158</v>
      </c>
      <c r="G1191" t="inlineStr">
        <is>
          <t>Direct</t>
        </is>
      </c>
      <c r="H1191" t="inlineStr">
        <is>
          <t>42.7-0-4-ERW 1-FC</t>
        </is>
      </c>
      <c r="I1191" t="inlineStr">
        <is>
          <t>42.7-0-4-ERW 1-FC-1</t>
        </is>
      </c>
      <c r="J1191" t="n">
        <v>5.5</v>
      </c>
      <c r="K1191" t="inlineStr">
        <is>
          <t>LL</t>
        </is>
      </c>
    </row>
    <row r="1192" hidden="1" s="584">
      <c r="A1192" t="n">
        <v>3500714</v>
      </c>
      <c r="B1192" t="inlineStr">
        <is>
          <t>TUB-O-N-AUT-BH-FC-42.70X4.000X5.50-ERW 1</t>
        </is>
      </c>
      <c r="C1192" t="n">
        <v>2.351</v>
      </c>
      <c r="D1192" t="inlineStr">
        <is>
          <t>0788</t>
        </is>
      </c>
      <c r="E1192" t="inlineStr">
        <is>
          <t>MEGH STEELS PRIVATE LIMITED - TVS A</t>
        </is>
      </c>
      <c r="F1192" t="n">
        <v>2159</v>
      </c>
      <c r="G1192" t="inlineStr">
        <is>
          <t>Direct</t>
        </is>
      </c>
      <c r="H1192" t="inlineStr">
        <is>
          <t>42.7-0-4-ERW 1-FC</t>
        </is>
      </c>
      <c r="I1192" t="inlineStr">
        <is>
          <t>42.7-0-4-ERW 1-FC-1</t>
        </is>
      </c>
      <c r="J1192" t="n">
        <v>5.5</v>
      </c>
      <c r="K1192" t="inlineStr">
        <is>
          <t>LL</t>
        </is>
      </c>
    </row>
    <row r="1193" hidden="1" s="584">
      <c r="A1193" t="n">
        <v>3500714</v>
      </c>
      <c r="B1193" t="inlineStr">
        <is>
          <t>TUB-O-N-AUT-BH-FC-42.70X4.000X5.50-ERW 1</t>
        </is>
      </c>
      <c r="C1193" t="n">
        <v>2.351</v>
      </c>
      <c r="D1193" t="inlineStr">
        <is>
          <t>0788</t>
        </is>
      </c>
      <c r="E1193" t="inlineStr">
        <is>
          <t>MEGH STEELS PRIVATE LIMITED - TVS A</t>
        </is>
      </c>
      <c r="F1193" t="n">
        <v>2160</v>
      </c>
      <c r="G1193" t="inlineStr">
        <is>
          <t>Direct</t>
        </is>
      </c>
      <c r="H1193" t="inlineStr">
        <is>
          <t>42.7-0-4-ERW 1-FC</t>
        </is>
      </c>
      <c r="I1193" t="inlineStr">
        <is>
          <t>42.7-0-4-ERW 1-FC-1</t>
        </is>
      </c>
      <c r="J1193" t="n">
        <v>5.5</v>
      </c>
      <c r="K1193" t="inlineStr">
        <is>
          <t>LL</t>
        </is>
      </c>
    </row>
    <row r="1194" hidden="1" s="584">
      <c r="A1194" t="n">
        <v>3500714</v>
      </c>
      <c r="B1194" t="inlineStr">
        <is>
          <t>TUB-O-N-AUT-BH-FC-42.70X4.000X5.50-ERW 1</t>
        </is>
      </c>
      <c r="C1194" t="n">
        <v>2.12</v>
      </c>
      <c r="D1194" t="inlineStr">
        <is>
          <t>0788</t>
        </is>
      </c>
      <c r="E1194" t="inlineStr">
        <is>
          <t>MEGH STEELS PRIVATE LIMITED - TVS A</t>
        </is>
      </c>
      <c r="F1194" t="n">
        <v>2161</v>
      </c>
      <c r="G1194" t="inlineStr">
        <is>
          <t>Direct</t>
        </is>
      </c>
      <c r="H1194" t="inlineStr">
        <is>
          <t>42.7-0-4-ERW 1-FC</t>
        </is>
      </c>
      <c r="I1194" t="inlineStr">
        <is>
          <t>42.7-0-4-ERW 1-FC-1</t>
        </is>
      </c>
      <c r="J1194" t="n">
        <v>5.5</v>
      </c>
      <c r="K1194" t="inlineStr">
        <is>
          <t>LL</t>
        </is>
      </c>
    </row>
    <row r="1195" hidden="1" s="584">
      <c r="A1195" t="n">
        <v>3500714</v>
      </c>
      <c r="B1195" t="inlineStr">
        <is>
          <t>TUB-O-N-AUT-BH-FC-42.70X4.000X5.50-ERW 1</t>
        </is>
      </c>
      <c r="C1195" t="n">
        <v>2.351</v>
      </c>
      <c r="D1195" t="inlineStr">
        <is>
          <t>0788</t>
        </is>
      </c>
      <c r="E1195" t="inlineStr">
        <is>
          <t>MEGH STEELS PRIVATE LIMITED - TVS A</t>
        </is>
      </c>
      <c r="F1195" t="n">
        <v>2162</v>
      </c>
      <c r="G1195" t="inlineStr">
        <is>
          <t>Direct</t>
        </is>
      </c>
      <c r="H1195" t="inlineStr">
        <is>
          <t>42.7-0-4-ERW 1-FC</t>
        </is>
      </c>
      <c r="I1195" t="inlineStr">
        <is>
          <t>42.7-0-4-ERW 1-FC-1</t>
        </is>
      </c>
      <c r="J1195" t="n">
        <v>5.5</v>
      </c>
      <c r="K1195" t="inlineStr">
        <is>
          <t>LL</t>
        </is>
      </c>
    </row>
    <row r="1196" hidden="1" s="584">
      <c r="A1196" t="n">
        <v>3500714</v>
      </c>
      <c r="B1196" t="inlineStr">
        <is>
          <t>TUB-O-N-AUT-BH-FC-42.70X4.000X5.50-ERW 1</t>
        </is>
      </c>
      <c r="C1196" t="n">
        <v>2.309</v>
      </c>
      <c r="D1196" t="inlineStr">
        <is>
          <t>0788</t>
        </is>
      </c>
      <c r="E1196" t="inlineStr">
        <is>
          <t>MEGH STEELS PRIVATE LIMITED - TVS A</t>
        </is>
      </c>
      <c r="F1196" t="n">
        <v>2163</v>
      </c>
      <c r="G1196" t="inlineStr">
        <is>
          <t>Direct</t>
        </is>
      </c>
      <c r="H1196" t="inlineStr">
        <is>
          <t>42.7-0-4-ERW 1-FC</t>
        </is>
      </c>
      <c r="I1196" t="inlineStr">
        <is>
          <t>42.7-0-4-ERW 1-FC-1</t>
        </is>
      </c>
      <c r="J1196" t="n">
        <v>5.5</v>
      </c>
      <c r="K1196" t="inlineStr">
        <is>
          <t>LL</t>
        </is>
      </c>
    </row>
    <row r="1197" hidden="1" s="584">
      <c r="A1197" t="n">
        <v>3500714</v>
      </c>
      <c r="B1197" t="inlineStr">
        <is>
          <t>TUB-O-N-AUT-BH-FC-42.70X4.000X5.50-ERW 1</t>
        </is>
      </c>
      <c r="C1197" t="n">
        <v>2.225</v>
      </c>
      <c r="D1197" t="inlineStr">
        <is>
          <t>0788</t>
        </is>
      </c>
      <c r="E1197" t="inlineStr">
        <is>
          <t>MEGH STEELS PRIVATE LIMITED - TVS A</t>
        </is>
      </c>
      <c r="F1197" t="n">
        <v>2164</v>
      </c>
      <c r="G1197" t="inlineStr">
        <is>
          <t>Direct</t>
        </is>
      </c>
      <c r="H1197" t="inlineStr">
        <is>
          <t>42.7-0-4-ERW 1-FC</t>
        </is>
      </c>
      <c r="I1197" t="inlineStr">
        <is>
          <t>42.7-0-4-ERW 1-FC-1</t>
        </is>
      </c>
      <c r="J1197" t="n">
        <v>5.5</v>
      </c>
      <c r="K1197" t="inlineStr">
        <is>
          <t>LL</t>
        </is>
      </c>
    </row>
    <row r="1198" hidden="1" s="584">
      <c r="A1198" t="n">
        <v>3500714</v>
      </c>
      <c r="B1198" t="inlineStr">
        <is>
          <t>TUB-O-N-AUT-BH-FC-42.70X4.000X5.50-ERW 1</t>
        </is>
      </c>
      <c r="C1198" t="n">
        <v>2.33</v>
      </c>
      <c r="D1198" t="inlineStr">
        <is>
          <t>0788</t>
        </is>
      </c>
      <c r="E1198" t="inlineStr">
        <is>
          <t>MEGH STEELS PRIVATE LIMITED - TVS A</t>
        </is>
      </c>
      <c r="F1198" t="n">
        <v>2165</v>
      </c>
      <c r="G1198" t="inlineStr">
        <is>
          <t>Direct</t>
        </is>
      </c>
      <c r="H1198" t="inlineStr">
        <is>
          <t>42.7-0-4-ERW 1-FC</t>
        </is>
      </c>
      <c r="I1198" t="inlineStr">
        <is>
          <t>42.7-0-4-ERW 1-FC-1</t>
        </is>
      </c>
      <c r="J1198" t="n">
        <v>5.5</v>
      </c>
      <c r="K1198" t="inlineStr">
        <is>
          <t>LL</t>
        </is>
      </c>
    </row>
    <row r="1199" hidden="1" s="584">
      <c r="A1199" t="n">
        <v>3500714</v>
      </c>
      <c r="B1199" t="inlineStr">
        <is>
          <t>TUB-O-N-AUT-BH-FC-42.70X4.000X5.50-ERW 1</t>
        </is>
      </c>
      <c r="C1199" t="n">
        <v>2.372</v>
      </c>
      <c r="D1199" t="inlineStr">
        <is>
          <t>0788</t>
        </is>
      </c>
      <c r="E1199" t="inlineStr">
        <is>
          <t>MEGH STEELS PRIVATE LIMITED - TVS A</t>
        </is>
      </c>
      <c r="F1199" t="n">
        <v>2166</v>
      </c>
      <c r="G1199" t="inlineStr">
        <is>
          <t>Direct</t>
        </is>
      </c>
      <c r="H1199" t="inlineStr">
        <is>
          <t>42.7-0-4-ERW 1-FC</t>
        </is>
      </c>
      <c r="I1199" t="inlineStr">
        <is>
          <t>42.7-0-4-ERW 1-FC-1</t>
        </is>
      </c>
      <c r="J1199" t="n">
        <v>5.5</v>
      </c>
      <c r="K1199" t="inlineStr">
        <is>
          <t>LL</t>
        </is>
      </c>
    </row>
    <row r="1200" hidden="1" s="584">
      <c r="A1200" t="n">
        <v>3500714</v>
      </c>
      <c r="B1200" t="inlineStr">
        <is>
          <t>TUB-O-N-AUT-BH-FC-42.70X4.000X5.50-ERW 1</t>
        </is>
      </c>
      <c r="C1200" t="n">
        <v>2.393</v>
      </c>
      <c r="D1200" t="inlineStr">
        <is>
          <t>0788</t>
        </is>
      </c>
      <c r="E1200" t="inlineStr">
        <is>
          <t>MEGH STEELS PRIVATE LIMITED - TVS A</t>
        </is>
      </c>
      <c r="F1200" t="n">
        <v>2167</v>
      </c>
      <c r="G1200" t="inlineStr">
        <is>
          <t>Direct</t>
        </is>
      </c>
      <c r="H1200" t="inlineStr">
        <is>
          <t>42.7-0-4-ERW 1-FC</t>
        </is>
      </c>
      <c r="I1200" t="inlineStr">
        <is>
          <t>42.7-0-4-ERW 1-FC-1</t>
        </is>
      </c>
      <c r="J1200" t="n">
        <v>5.5</v>
      </c>
      <c r="K1200" t="inlineStr">
        <is>
          <t>LL</t>
        </is>
      </c>
    </row>
    <row r="1201" hidden="1" s="584">
      <c r="A1201" t="n">
        <v>3500714</v>
      </c>
      <c r="B1201" t="inlineStr">
        <is>
          <t>TUB-O-N-AUT-BH-FC-42.70X4.000X5.50-ERW 1</t>
        </is>
      </c>
      <c r="C1201" t="n">
        <v>2.078</v>
      </c>
      <c r="D1201" t="inlineStr">
        <is>
          <t>0788</t>
        </is>
      </c>
      <c r="E1201" t="inlineStr">
        <is>
          <t>MEGH STEELS PRIVATE LIMITED - TVS A</t>
        </is>
      </c>
      <c r="F1201" t="n">
        <v>2168</v>
      </c>
      <c r="G1201" t="inlineStr">
        <is>
          <t>Direct</t>
        </is>
      </c>
      <c r="H1201" t="inlineStr">
        <is>
          <t>42.7-0-4-ERW 1-FC</t>
        </is>
      </c>
      <c r="I1201" t="inlineStr">
        <is>
          <t>42.7-0-4-ERW 1-FC-1</t>
        </is>
      </c>
      <c r="J1201" t="n">
        <v>5.5</v>
      </c>
      <c r="K1201" t="inlineStr">
        <is>
          <t>LL</t>
        </is>
      </c>
    </row>
    <row r="1202" hidden="1" s="584">
      <c r="A1202" t="n">
        <v>3500714</v>
      </c>
      <c r="B1202" t="inlineStr">
        <is>
          <t>TUB-O-N-AUT-BH-FC-42.70X4.000X5.50-ERW 1</t>
        </is>
      </c>
      <c r="C1202" t="n">
        <v>2.078</v>
      </c>
      <c r="D1202" t="inlineStr">
        <is>
          <t>0788</t>
        </is>
      </c>
      <c r="E1202" t="inlineStr">
        <is>
          <t>MEGH STEELS PRIVATE LIMITED - TVS A</t>
        </is>
      </c>
      <c r="F1202" t="n">
        <v>2169</v>
      </c>
      <c r="G1202" t="inlineStr">
        <is>
          <t>Direct</t>
        </is>
      </c>
      <c r="H1202" t="inlineStr">
        <is>
          <t>42.7-0-4-ERW 1-FC</t>
        </is>
      </c>
      <c r="I1202" t="inlineStr">
        <is>
          <t>42.7-0-4-ERW 1-FC-1</t>
        </is>
      </c>
      <c r="J1202" t="n">
        <v>5.5</v>
      </c>
      <c r="K1202" t="inlineStr">
        <is>
          <t>LL</t>
        </is>
      </c>
    </row>
    <row r="1203" hidden="1" s="584">
      <c r="A1203" t="n">
        <v>3500714</v>
      </c>
      <c r="B1203" t="inlineStr">
        <is>
          <t>TUB-O-N-AUT-BH-FC-42.70X4.000X5.50-ERW 1</t>
        </is>
      </c>
      <c r="C1203" t="n">
        <v>2.351</v>
      </c>
      <c r="D1203" t="inlineStr">
        <is>
          <t>0788</t>
        </is>
      </c>
      <c r="E1203" t="inlineStr">
        <is>
          <t>MEGH STEELS PRIVATE LIMITED - TVS A</t>
        </is>
      </c>
      <c r="F1203" t="n">
        <v>2170</v>
      </c>
      <c r="G1203" t="inlineStr">
        <is>
          <t>Direct</t>
        </is>
      </c>
      <c r="H1203" t="inlineStr">
        <is>
          <t>42.7-0-4-ERW 1-FC</t>
        </is>
      </c>
      <c r="I1203" t="inlineStr">
        <is>
          <t>42.7-0-4-ERW 1-FC-1</t>
        </is>
      </c>
      <c r="J1203" t="n">
        <v>5.5</v>
      </c>
      <c r="K1203" t="inlineStr">
        <is>
          <t>LL</t>
        </is>
      </c>
    </row>
    <row r="1204" hidden="1" s="584">
      <c r="A1204" t="n">
        <v>3500714</v>
      </c>
      <c r="B1204" t="inlineStr">
        <is>
          <t>TUB-O-N-AUT-BH-FC-42.70X4.000X5.50-ERW 1</t>
        </is>
      </c>
      <c r="C1204" t="n">
        <v>2.162</v>
      </c>
      <c r="D1204" t="inlineStr">
        <is>
          <t>0788</t>
        </is>
      </c>
      <c r="E1204" t="inlineStr">
        <is>
          <t>MEGH STEELS PRIVATE LIMITED - TVS A</t>
        </is>
      </c>
      <c r="F1204" t="n">
        <v>2171</v>
      </c>
      <c r="G1204" t="inlineStr">
        <is>
          <t>Direct</t>
        </is>
      </c>
      <c r="H1204" t="inlineStr">
        <is>
          <t>42.7-0-4-ERW 1-FC</t>
        </is>
      </c>
      <c r="I1204" t="inlineStr">
        <is>
          <t>42.7-0-4-ERW 1-FC-1</t>
        </is>
      </c>
      <c r="J1204" t="n">
        <v>5.5</v>
      </c>
      <c r="K1204" t="inlineStr">
        <is>
          <t>LL</t>
        </is>
      </c>
    </row>
    <row r="1205" hidden="1" s="584">
      <c r="A1205" t="n">
        <v>3500714</v>
      </c>
      <c r="B1205" t="inlineStr">
        <is>
          <t>TUB-O-N-AUT-BH-FC-42.70X4.000X5.50-ERW 1</t>
        </is>
      </c>
      <c r="C1205" t="n">
        <v>2.078</v>
      </c>
      <c r="D1205" t="inlineStr">
        <is>
          <t>0788</t>
        </is>
      </c>
      <c r="E1205" t="inlineStr">
        <is>
          <t>MEGH STEELS PRIVATE LIMITED - TVS A</t>
        </is>
      </c>
      <c r="F1205" t="n">
        <v>2172</v>
      </c>
      <c r="G1205" t="inlineStr">
        <is>
          <t>Direct</t>
        </is>
      </c>
      <c r="H1205" t="inlineStr">
        <is>
          <t>42.7-0-4-ERW 1-FC</t>
        </is>
      </c>
      <c r="I1205" t="inlineStr">
        <is>
          <t>42.7-0-4-ERW 1-FC-1</t>
        </is>
      </c>
      <c r="J1205" t="n">
        <v>5.5</v>
      </c>
      <c r="K1205" t="inlineStr">
        <is>
          <t>LL</t>
        </is>
      </c>
    </row>
    <row r="1206" hidden="1" s="584">
      <c r="A1206" t="n">
        <v>3500714</v>
      </c>
      <c r="B1206" t="inlineStr">
        <is>
          <t>TUB-O-N-AUT-BH-FC-42.70X4.000X5.50-ERW 1</t>
        </is>
      </c>
      <c r="C1206" t="n">
        <v>2.393</v>
      </c>
      <c r="D1206" t="inlineStr">
        <is>
          <t>0788</t>
        </is>
      </c>
      <c r="E1206" t="inlineStr">
        <is>
          <t>MEGH STEELS PRIVATE LIMITED - TVS A</t>
        </is>
      </c>
      <c r="F1206" t="n">
        <v>2173</v>
      </c>
      <c r="G1206" t="inlineStr">
        <is>
          <t>Direct</t>
        </is>
      </c>
      <c r="H1206" t="inlineStr">
        <is>
          <t>42.7-0-4-ERW 1-FC</t>
        </is>
      </c>
      <c r="I1206" t="inlineStr">
        <is>
          <t>42.7-0-4-ERW 1-FC-1</t>
        </is>
      </c>
      <c r="J1206" t="n">
        <v>5.5</v>
      </c>
      <c r="K1206" t="inlineStr">
        <is>
          <t>LL</t>
        </is>
      </c>
    </row>
    <row r="1207" hidden="1" s="584">
      <c r="A1207" t="n">
        <v>3500714</v>
      </c>
      <c r="B1207" t="inlineStr">
        <is>
          <t>TUB-O-N-AUT-BH-FC-42.70X4.000X5.50-ERW 1</t>
        </is>
      </c>
      <c r="C1207" t="n">
        <v>2.372</v>
      </c>
      <c r="D1207" t="inlineStr">
        <is>
          <t>0788</t>
        </is>
      </c>
      <c r="E1207" t="inlineStr">
        <is>
          <t>MEGH STEELS PRIVATE LIMITED - TVS A</t>
        </is>
      </c>
      <c r="F1207" t="n">
        <v>2174</v>
      </c>
      <c r="G1207" t="inlineStr">
        <is>
          <t>Direct</t>
        </is>
      </c>
      <c r="H1207" t="inlineStr">
        <is>
          <t>42.7-0-4-ERW 1-FC</t>
        </is>
      </c>
      <c r="I1207" t="inlineStr">
        <is>
          <t>42.7-0-4-ERW 1-FC-1</t>
        </is>
      </c>
      <c r="J1207" t="n">
        <v>5.5</v>
      </c>
      <c r="K1207" t="inlineStr">
        <is>
          <t>LL</t>
        </is>
      </c>
    </row>
    <row r="1208" hidden="1" s="584">
      <c r="A1208" t="n">
        <v>3500714</v>
      </c>
      <c r="B1208" t="inlineStr">
        <is>
          <t>TUB-O-N-AUT-BH-FC-42.70X4.000X5.50-ERW 1</t>
        </is>
      </c>
      <c r="C1208" t="n">
        <v>2.141</v>
      </c>
      <c r="D1208" t="inlineStr">
        <is>
          <t>0788</t>
        </is>
      </c>
      <c r="E1208" t="inlineStr">
        <is>
          <t>MEGH STEELS PRIVATE LIMITED - TVS A</t>
        </is>
      </c>
      <c r="F1208" t="n">
        <v>2175</v>
      </c>
      <c r="G1208" t="inlineStr">
        <is>
          <t>Direct</t>
        </is>
      </c>
      <c r="H1208" t="inlineStr">
        <is>
          <t>42.7-0-4-ERW 1-FC</t>
        </is>
      </c>
      <c r="I1208" t="inlineStr">
        <is>
          <t>42.7-0-4-ERW 1-FC-1</t>
        </is>
      </c>
      <c r="J1208" t="n">
        <v>5.5</v>
      </c>
      <c r="K1208" t="inlineStr">
        <is>
          <t>LL</t>
        </is>
      </c>
    </row>
    <row r="1209" hidden="1" s="584">
      <c r="A1209" t="n">
        <v>3500714</v>
      </c>
      <c r="B1209" t="inlineStr">
        <is>
          <t>TUB-O-N-AUT-BH-FC-42.70X4.000X5.50-ERW 1</t>
        </is>
      </c>
      <c r="C1209" t="n">
        <v>2.12</v>
      </c>
      <c r="D1209" t="inlineStr">
        <is>
          <t>0788</t>
        </is>
      </c>
      <c r="E1209" t="inlineStr">
        <is>
          <t>MEGH STEELS PRIVATE LIMITED - TVS A</t>
        </is>
      </c>
      <c r="F1209" t="n">
        <v>2176</v>
      </c>
      <c r="G1209" t="inlineStr">
        <is>
          <t>Direct</t>
        </is>
      </c>
      <c r="H1209" t="inlineStr">
        <is>
          <t>42.7-0-4-ERW 1-FC</t>
        </is>
      </c>
      <c r="I1209" t="inlineStr">
        <is>
          <t>42.7-0-4-ERW 1-FC-1</t>
        </is>
      </c>
      <c r="J1209" t="n">
        <v>5.5</v>
      </c>
      <c r="K1209" t="inlineStr">
        <is>
          <t>LL</t>
        </is>
      </c>
    </row>
    <row r="1210" hidden="1" s="584">
      <c r="A1210" t="n">
        <v>3500714</v>
      </c>
      <c r="B1210" t="inlineStr">
        <is>
          <t>TUB-O-N-AUT-BH-FC-42.70X4.000X5.50-ERW 1</t>
        </is>
      </c>
      <c r="C1210" t="n">
        <v>2.246</v>
      </c>
      <c r="D1210" t="inlineStr">
        <is>
          <t>0788</t>
        </is>
      </c>
      <c r="E1210" t="inlineStr">
        <is>
          <t>MEGH STEELS PRIVATE LIMITED - TVS A</t>
        </is>
      </c>
      <c r="F1210" t="n">
        <v>2177</v>
      </c>
      <c r="G1210" t="inlineStr">
        <is>
          <t>Direct</t>
        </is>
      </c>
      <c r="H1210" t="inlineStr">
        <is>
          <t>42.7-0-4-ERW 1-FC</t>
        </is>
      </c>
      <c r="I1210" t="inlineStr">
        <is>
          <t>42.7-0-4-ERW 1-FC-1</t>
        </is>
      </c>
      <c r="J1210" t="n">
        <v>5.5</v>
      </c>
      <c r="K1210" t="inlineStr">
        <is>
          <t>LL</t>
        </is>
      </c>
    </row>
    <row r="1211" hidden="1" s="584">
      <c r="A1211" t="n">
        <v>3500714</v>
      </c>
      <c r="B1211" t="inlineStr">
        <is>
          <t>TUB-O-N-AUT-BH-FC-42.70X4.000X5.50-ERW 1</t>
        </is>
      </c>
      <c r="C1211" t="n">
        <v>2.351</v>
      </c>
      <c r="D1211" t="inlineStr">
        <is>
          <t>0788</t>
        </is>
      </c>
      <c r="E1211" t="inlineStr">
        <is>
          <t>MEGH STEELS PRIVATE LIMITED - TVS A</t>
        </is>
      </c>
      <c r="F1211" t="n">
        <v>2178</v>
      </c>
      <c r="G1211" t="inlineStr">
        <is>
          <t>Direct</t>
        </is>
      </c>
      <c r="H1211" t="inlineStr">
        <is>
          <t>42.7-0-4-ERW 1-FC</t>
        </is>
      </c>
      <c r="I1211" t="inlineStr">
        <is>
          <t>42.7-0-4-ERW 1-FC-1</t>
        </is>
      </c>
      <c r="J1211" t="n">
        <v>5.5</v>
      </c>
      <c r="K1211" t="inlineStr">
        <is>
          <t>LL</t>
        </is>
      </c>
    </row>
    <row r="1212" hidden="1" s="584">
      <c r="A1212" t="n">
        <v>3500714</v>
      </c>
      <c r="B1212" t="inlineStr">
        <is>
          <t>TUB-O-N-AUT-BH-FC-42.70X4.000X5.50-ERW 1</t>
        </is>
      </c>
      <c r="C1212" t="n">
        <v>2.288</v>
      </c>
      <c r="D1212" t="inlineStr">
        <is>
          <t>0788</t>
        </is>
      </c>
      <c r="E1212" t="inlineStr">
        <is>
          <t>MEGH STEELS PRIVATE LIMITED - TVS A</t>
        </is>
      </c>
      <c r="F1212" t="n">
        <v>2179</v>
      </c>
      <c r="G1212" t="inlineStr">
        <is>
          <t>Direct</t>
        </is>
      </c>
      <c r="H1212" t="inlineStr">
        <is>
          <t>42.7-0-4-ERW 1-FC</t>
        </is>
      </c>
      <c r="I1212" t="inlineStr">
        <is>
          <t>42.7-0-4-ERW 1-FC-1</t>
        </is>
      </c>
      <c r="J1212" t="n">
        <v>5.5</v>
      </c>
      <c r="K1212" t="inlineStr">
        <is>
          <t>LL</t>
        </is>
      </c>
    </row>
    <row r="1213" hidden="1" s="584">
      <c r="A1213" t="n">
        <v>3500714</v>
      </c>
      <c r="B1213" t="inlineStr">
        <is>
          <t>TUB-O-N-AUT-BH-FC-42.70X4.000X5.50-ERW 1</t>
        </is>
      </c>
      <c r="C1213" t="n">
        <v>2.372</v>
      </c>
      <c r="D1213" t="inlineStr">
        <is>
          <t>0788</t>
        </is>
      </c>
      <c r="E1213" t="inlineStr">
        <is>
          <t>MEGH STEELS PRIVATE LIMITED - TVS A</t>
        </is>
      </c>
      <c r="F1213" t="n">
        <v>2180</v>
      </c>
      <c r="G1213" t="inlineStr">
        <is>
          <t>Direct</t>
        </is>
      </c>
      <c r="H1213" t="inlineStr">
        <is>
          <t>42.7-0-4-ERW 1-FC</t>
        </is>
      </c>
      <c r="I1213" t="inlineStr">
        <is>
          <t>42.7-0-4-ERW 1-FC-1</t>
        </is>
      </c>
      <c r="J1213" t="n">
        <v>5.5</v>
      </c>
      <c r="K1213" t="inlineStr">
        <is>
          <t>LL</t>
        </is>
      </c>
    </row>
    <row r="1214" hidden="1" s="584">
      <c r="A1214" t="n">
        <v>3500714</v>
      </c>
      <c r="B1214" t="inlineStr">
        <is>
          <t>TUB-O-N-AUT-BH-FC-42.70X4.000X5.50-ERW 1</t>
        </is>
      </c>
      <c r="C1214" t="n">
        <v>2.393</v>
      </c>
      <c r="D1214" t="inlineStr">
        <is>
          <t>0788</t>
        </is>
      </c>
      <c r="E1214" t="inlineStr">
        <is>
          <t>MEGH STEELS PRIVATE LIMITED - TVS A</t>
        </is>
      </c>
      <c r="F1214" t="n">
        <v>2181</v>
      </c>
      <c r="G1214" t="inlineStr">
        <is>
          <t>Direct</t>
        </is>
      </c>
      <c r="H1214" t="inlineStr">
        <is>
          <t>42.7-0-4-ERW 1-FC</t>
        </is>
      </c>
      <c r="I1214" t="inlineStr">
        <is>
          <t>42.7-0-4-ERW 1-FC-1</t>
        </is>
      </c>
      <c r="J1214" t="n">
        <v>5.5</v>
      </c>
      <c r="K1214" t="inlineStr">
        <is>
          <t>LL</t>
        </is>
      </c>
    </row>
    <row r="1215" hidden="1" s="584">
      <c r="A1215" t="n">
        <v>3500714</v>
      </c>
      <c r="B1215" t="inlineStr">
        <is>
          <t>TUB-O-N-AUT-BH-FC-42.70X4.000X5.50-ERW 1</t>
        </is>
      </c>
      <c r="C1215" t="n">
        <v>2.351</v>
      </c>
      <c r="D1215" t="inlineStr">
        <is>
          <t>0788</t>
        </is>
      </c>
      <c r="E1215" t="inlineStr">
        <is>
          <t>MEGH STEELS PRIVATE LIMITED - TVS A</t>
        </is>
      </c>
      <c r="F1215" t="n">
        <v>2182</v>
      </c>
      <c r="G1215" t="inlineStr">
        <is>
          <t>Direct</t>
        </is>
      </c>
      <c r="H1215" t="inlineStr">
        <is>
          <t>42.7-0-4-ERW 1-FC</t>
        </is>
      </c>
      <c r="I1215" t="inlineStr">
        <is>
          <t>42.7-0-4-ERW 1-FC-1</t>
        </is>
      </c>
      <c r="J1215" t="n">
        <v>5.5</v>
      </c>
      <c r="K1215" t="inlineStr">
        <is>
          <t>LL</t>
        </is>
      </c>
    </row>
    <row r="1216" hidden="1" s="584">
      <c r="A1216" t="n">
        <v>3500714</v>
      </c>
      <c r="B1216" t="inlineStr">
        <is>
          <t>TUB-O-N-AUT-BH-FC-42.70X4.000X5.50-ERW 1</t>
        </is>
      </c>
      <c r="C1216" t="n">
        <v>2.372</v>
      </c>
      <c r="D1216" t="inlineStr">
        <is>
          <t>0788</t>
        </is>
      </c>
      <c r="E1216" t="inlineStr">
        <is>
          <t>MEGH STEELS PRIVATE LIMITED - TVS A</t>
        </is>
      </c>
      <c r="F1216" t="n">
        <v>2183</v>
      </c>
      <c r="G1216" t="inlineStr">
        <is>
          <t>Direct</t>
        </is>
      </c>
      <c r="H1216" t="inlineStr">
        <is>
          <t>42.7-0-4-ERW 1-FC</t>
        </is>
      </c>
      <c r="I1216" t="inlineStr">
        <is>
          <t>42.7-0-4-ERW 1-FC-1</t>
        </is>
      </c>
      <c r="J1216" t="n">
        <v>5.5</v>
      </c>
      <c r="K1216" t="inlineStr">
        <is>
          <t>LL</t>
        </is>
      </c>
    </row>
    <row r="1217" hidden="1" s="584">
      <c r="A1217" t="n">
        <v>3500714</v>
      </c>
      <c r="B1217" t="inlineStr">
        <is>
          <t>TUB-O-N-AUT-BH-FC-42.70X4.000X5.50-ERW 1</t>
        </is>
      </c>
      <c r="C1217" t="n">
        <v>2.225</v>
      </c>
      <c r="D1217" t="inlineStr">
        <is>
          <t>0788</t>
        </is>
      </c>
      <c r="E1217" t="inlineStr">
        <is>
          <t>MEGH STEELS PRIVATE LIMITED - TVS A</t>
        </is>
      </c>
      <c r="F1217" t="n">
        <v>2184</v>
      </c>
      <c r="G1217" t="inlineStr">
        <is>
          <t>Direct</t>
        </is>
      </c>
      <c r="H1217" t="inlineStr">
        <is>
          <t>42.7-0-4-ERW 1-FC</t>
        </is>
      </c>
      <c r="I1217" t="inlineStr">
        <is>
          <t>42.7-0-4-ERW 1-FC-1</t>
        </is>
      </c>
      <c r="J1217" t="n">
        <v>5.5</v>
      </c>
      <c r="K1217" t="inlineStr">
        <is>
          <t>LL</t>
        </is>
      </c>
    </row>
    <row r="1218" hidden="1" s="584">
      <c r="A1218" t="n">
        <v>3500714</v>
      </c>
      <c r="B1218" t="inlineStr">
        <is>
          <t>TUB-O-N-AUT-BH-FC-42.70X4.000X5.50-ERW 1</t>
        </is>
      </c>
      <c r="C1218" t="n">
        <v>2.267</v>
      </c>
      <c r="D1218" t="inlineStr">
        <is>
          <t>0788</t>
        </is>
      </c>
      <c r="E1218" t="inlineStr">
        <is>
          <t>MEGH STEELS PRIVATE LIMITED - TVS A</t>
        </is>
      </c>
      <c r="F1218" t="n">
        <v>2185</v>
      </c>
      <c r="G1218" t="inlineStr">
        <is>
          <t>Direct</t>
        </is>
      </c>
      <c r="H1218" t="inlineStr">
        <is>
          <t>42.7-0-4-ERW 1-FC</t>
        </is>
      </c>
      <c r="I1218" t="inlineStr">
        <is>
          <t>42.7-0-4-ERW 1-FC-1</t>
        </is>
      </c>
      <c r="J1218" t="n">
        <v>5.5</v>
      </c>
      <c r="K1218" t="inlineStr">
        <is>
          <t>LL</t>
        </is>
      </c>
    </row>
    <row r="1219" hidden="1" s="584">
      <c r="A1219" t="n">
        <v>3500714</v>
      </c>
      <c r="B1219" t="inlineStr">
        <is>
          <t>TUB-O-N-AUT-BH-FC-42.70X4.000X5.50-ERW 1</t>
        </is>
      </c>
      <c r="C1219" t="n">
        <v>2.225</v>
      </c>
      <c r="D1219" t="inlineStr">
        <is>
          <t>0788</t>
        </is>
      </c>
      <c r="E1219" t="inlineStr">
        <is>
          <t>MEGH STEELS PRIVATE LIMITED - TVS A</t>
        </is>
      </c>
      <c r="F1219" t="n">
        <v>2186</v>
      </c>
      <c r="G1219" t="inlineStr">
        <is>
          <t>Direct</t>
        </is>
      </c>
      <c r="H1219" t="inlineStr">
        <is>
          <t>42.7-0-4-ERW 1-FC</t>
        </is>
      </c>
      <c r="I1219" t="inlineStr">
        <is>
          <t>42.7-0-4-ERW 1-FC-1</t>
        </is>
      </c>
      <c r="J1219" t="n">
        <v>5.5</v>
      </c>
      <c r="K1219" t="inlineStr">
        <is>
          <t>LL</t>
        </is>
      </c>
    </row>
    <row r="1220" hidden="1" s="584">
      <c r="A1220" t="n">
        <v>3500714</v>
      </c>
      <c r="B1220" t="inlineStr">
        <is>
          <t>TUB-O-N-AUT-BH-FC-42.70X4.000X5.50-ERW 1</t>
        </is>
      </c>
      <c r="C1220" t="n">
        <v>2.33</v>
      </c>
      <c r="D1220" t="inlineStr">
        <is>
          <t>0788</t>
        </is>
      </c>
      <c r="E1220" t="inlineStr">
        <is>
          <t>MEGH STEELS PRIVATE LIMITED - TVS A</t>
        </is>
      </c>
      <c r="F1220" t="n">
        <v>2187</v>
      </c>
      <c r="G1220" t="inlineStr">
        <is>
          <t>Direct</t>
        </is>
      </c>
      <c r="H1220" t="inlineStr">
        <is>
          <t>42.7-0-4-ERW 1-FC</t>
        </is>
      </c>
      <c r="I1220" t="inlineStr">
        <is>
          <t>42.7-0-4-ERW 1-FC-1</t>
        </is>
      </c>
      <c r="J1220" t="n">
        <v>5.5</v>
      </c>
      <c r="K1220" t="inlineStr">
        <is>
          <t>LL</t>
        </is>
      </c>
    </row>
    <row r="1221" hidden="1" s="584">
      <c r="A1221" t="n">
        <v>3500714</v>
      </c>
      <c r="B1221" t="inlineStr">
        <is>
          <t>TUB-O-N-AUT-BH-FC-42.70X4.000X5.50-ERW 1</t>
        </is>
      </c>
      <c r="C1221" t="n">
        <v>2.099</v>
      </c>
      <c r="D1221" t="inlineStr">
        <is>
          <t>0788</t>
        </is>
      </c>
      <c r="E1221" t="inlineStr">
        <is>
          <t>MEGH STEELS PRIVATE LIMITED - TVS A</t>
        </is>
      </c>
      <c r="F1221" t="n">
        <v>2188</v>
      </c>
      <c r="G1221" t="inlineStr">
        <is>
          <t>Direct</t>
        </is>
      </c>
      <c r="H1221" t="inlineStr">
        <is>
          <t>42.7-0-4-ERW 1-FC</t>
        </is>
      </c>
      <c r="I1221" t="inlineStr">
        <is>
          <t>42.7-0-4-ERW 1-FC-1</t>
        </is>
      </c>
      <c r="J1221" t="n">
        <v>5.5</v>
      </c>
      <c r="K1221" t="inlineStr">
        <is>
          <t>LL</t>
        </is>
      </c>
    </row>
    <row r="1222" hidden="1" s="584">
      <c r="A1222" t="n">
        <v>3500714</v>
      </c>
      <c r="B1222" t="inlineStr">
        <is>
          <t>TUB-O-N-AUT-BH-FC-42.70X4.000X5.50-ERW 1</t>
        </is>
      </c>
      <c r="C1222" t="n">
        <v>2.057</v>
      </c>
      <c r="D1222" t="inlineStr">
        <is>
          <t>0788</t>
        </is>
      </c>
      <c r="E1222" t="inlineStr">
        <is>
          <t>MEGH STEELS PRIVATE LIMITED - TVS A</t>
        </is>
      </c>
      <c r="F1222" t="n">
        <v>2189</v>
      </c>
      <c r="G1222" t="inlineStr">
        <is>
          <t>Direct</t>
        </is>
      </c>
      <c r="H1222" t="inlineStr">
        <is>
          <t>42.7-0-4-ERW 1-FC</t>
        </is>
      </c>
      <c r="I1222" t="inlineStr">
        <is>
          <t>42.7-0-4-ERW 1-FC-1</t>
        </is>
      </c>
      <c r="J1222" t="n">
        <v>5.5</v>
      </c>
      <c r="K1222" t="inlineStr">
        <is>
          <t>LL</t>
        </is>
      </c>
    </row>
    <row r="1223" hidden="1" s="584">
      <c r="A1223" t="n">
        <v>3500714</v>
      </c>
      <c r="B1223" t="inlineStr">
        <is>
          <t>TUB-O-N-AUT-BH-FC-42.70X4.000X5.50-ERW 1</t>
        </is>
      </c>
      <c r="C1223" t="n">
        <v>2.036</v>
      </c>
      <c r="D1223" t="inlineStr">
        <is>
          <t>0788</t>
        </is>
      </c>
      <c r="E1223" t="inlineStr">
        <is>
          <t>MEGH STEELS PRIVATE LIMITED - TVS A</t>
        </is>
      </c>
      <c r="F1223" t="n">
        <v>2190</v>
      </c>
      <c r="G1223" t="inlineStr">
        <is>
          <t>Direct</t>
        </is>
      </c>
      <c r="H1223" t="inlineStr">
        <is>
          <t>42.7-0-4-ERW 1-FC</t>
        </is>
      </c>
      <c r="I1223" t="inlineStr">
        <is>
          <t>42.7-0-4-ERW 1-FC-1</t>
        </is>
      </c>
      <c r="J1223" t="n">
        <v>5.5</v>
      </c>
      <c r="K1223" t="inlineStr">
        <is>
          <t>LL</t>
        </is>
      </c>
    </row>
    <row r="1224" hidden="1" s="584">
      <c r="A1224" t="n">
        <v>3500714</v>
      </c>
      <c r="B1224" t="inlineStr">
        <is>
          <t>TUB-O-N-AUT-BH-FC-42.70X4.000X5.50-ERW 1</t>
        </is>
      </c>
      <c r="C1224" t="n">
        <v>2.393</v>
      </c>
      <c r="D1224" t="inlineStr">
        <is>
          <t>0788</t>
        </is>
      </c>
      <c r="E1224" t="inlineStr">
        <is>
          <t>MEGH STEELS PRIVATE LIMITED - TVS A</t>
        </is>
      </c>
      <c r="F1224" t="n">
        <v>2191</v>
      </c>
      <c r="G1224" t="inlineStr">
        <is>
          <t>Direct</t>
        </is>
      </c>
      <c r="H1224" t="inlineStr">
        <is>
          <t>42.7-0-4-ERW 1-FC</t>
        </is>
      </c>
      <c r="I1224" t="inlineStr">
        <is>
          <t>42.7-0-4-ERW 1-FC-1</t>
        </is>
      </c>
      <c r="J1224" t="n">
        <v>5.5</v>
      </c>
      <c r="K1224" t="inlineStr">
        <is>
          <t>LL</t>
        </is>
      </c>
    </row>
    <row r="1225" hidden="1" s="584">
      <c r="A1225" t="n">
        <v>3500714</v>
      </c>
      <c r="B1225" t="inlineStr">
        <is>
          <t>TUB-O-N-AUT-BH-FC-42.70X4.000X5.50-ERW 1</t>
        </is>
      </c>
      <c r="C1225" t="n">
        <v>1.07</v>
      </c>
      <c r="D1225" t="inlineStr">
        <is>
          <t>0788</t>
        </is>
      </c>
      <c r="E1225" t="inlineStr">
        <is>
          <t>MEGH STEELS PRIVATE LIMITED - TVS A</t>
        </is>
      </c>
      <c r="F1225" t="n">
        <v>2192</v>
      </c>
      <c r="G1225" t="inlineStr">
        <is>
          <t>Direct</t>
        </is>
      </c>
      <c r="H1225" t="inlineStr">
        <is>
          <t>42.7-0-4-ERW 1-FC</t>
        </is>
      </c>
      <c r="I1225" t="inlineStr">
        <is>
          <t>42.7-0-4-ERW 1-FC-1</t>
        </is>
      </c>
      <c r="J1225" t="n">
        <v>5.5</v>
      </c>
      <c r="K1225" t="inlineStr">
        <is>
          <t>LL</t>
        </is>
      </c>
    </row>
    <row r="1226" hidden="1" s="584">
      <c r="A1226" t="n">
        <v>3500714</v>
      </c>
      <c r="B1226" t="inlineStr">
        <is>
          <t>TUB-O-N-AUT-BH-FC-42.70X4.000X5.50-ERW 1</t>
        </is>
      </c>
      <c r="C1226" t="n">
        <v>2.14</v>
      </c>
      <c r="D1226" t="inlineStr">
        <is>
          <t>0788</t>
        </is>
      </c>
      <c r="E1226" t="inlineStr">
        <is>
          <t>MEGH STEELS PRIVATE LIMITED - TVS A</t>
        </is>
      </c>
      <c r="F1226" t="n">
        <v>2193</v>
      </c>
      <c r="G1226" t="inlineStr">
        <is>
          <t>Direct</t>
        </is>
      </c>
      <c r="H1226" t="inlineStr">
        <is>
          <t>42.7-0-4-ERW 1-FC</t>
        </is>
      </c>
      <c r="I1226" t="inlineStr">
        <is>
          <t>42.7-0-4-ERW 1-FC-1</t>
        </is>
      </c>
      <c r="J1226" t="n">
        <v>5.5</v>
      </c>
      <c r="K1226" t="inlineStr">
        <is>
          <t>LL</t>
        </is>
      </c>
    </row>
    <row r="1227" hidden="1" s="584">
      <c r="A1227" t="n">
        <v>3911992</v>
      </c>
      <c r="B1227" t="inlineStr">
        <is>
          <t>CUT-O-N-AUT-AW-FC-34.93X2.300X0.3340</t>
        </is>
      </c>
      <c r="C1227" t="n">
        <v>0.780975</v>
      </c>
      <c r="D1227" t="n">
        <v>4731</v>
      </c>
      <c r="E1227" t="inlineStr">
        <is>
          <t>Elkayem Auto Ancillaries ( P ) LTD</t>
        </is>
      </c>
      <c r="F1227" t="n">
        <v>1888</v>
      </c>
      <c r="G1227" t="inlineStr">
        <is>
          <t>TVS</t>
        </is>
      </c>
      <c r="H1227" t="inlineStr">
        <is>
          <t>34.93-0-2.3-ERW 2-FC-Ampere</t>
        </is>
      </c>
      <c r="I1227" t="inlineStr">
        <is>
          <t>34.93-0-2.3-ERW 2-FC-Ampere-0.334</t>
        </is>
      </c>
      <c r="J1227" t="n">
        <v>0.334</v>
      </c>
      <c r="K1227" t="inlineStr">
        <is>
          <t>CTL</t>
        </is>
      </c>
    </row>
    <row r="1228" hidden="1" s="584">
      <c r="A1228" t="n">
        <v>3911993</v>
      </c>
      <c r="B1228" t="inlineStr">
        <is>
          <t>CUT-O-N-AUT-AW-FC-34.93X2.300X1.5010</t>
        </is>
      </c>
      <c r="C1228" t="n">
        <v>0.7856610000000001</v>
      </c>
      <c r="D1228" t="n">
        <v>4731</v>
      </c>
      <c r="E1228" t="inlineStr">
        <is>
          <t>ELKAYEM AUTO ANCILLARIES PRIVATE LI</t>
        </is>
      </c>
      <c r="F1228" t="n">
        <v>1889</v>
      </c>
      <c r="G1228" t="inlineStr">
        <is>
          <t>TVS</t>
        </is>
      </c>
      <c r="H1228" t="inlineStr">
        <is>
          <t>34.93-0-2.3-ERW 2-FC-Ampere</t>
        </is>
      </c>
      <c r="I1228" t="inlineStr">
        <is>
          <t>34.93-0-2.3-ERW 2-FC-Ampere-1.501</t>
        </is>
      </c>
      <c r="J1228" t="n">
        <v>1.501</v>
      </c>
      <c r="K1228" t="inlineStr">
        <is>
          <t>CTL</t>
        </is>
      </c>
    </row>
    <row r="1229" hidden="1" s="584">
      <c r="A1229" t="n">
        <v>3911993</v>
      </c>
      <c r="B1229" t="inlineStr">
        <is>
          <t>CUT-O-N-AUT-AW-FC-34.93X2.300X1.5010</t>
        </is>
      </c>
      <c r="C1229" t="n">
        <v>2.260344</v>
      </c>
      <c r="D1229" t="n">
        <v>4731</v>
      </c>
      <c r="E1229" t="inlineStr">
        <is>
          <t>ELKAYEM AUTO ANCILLARIES PRIVATE LI</t>
        </is>
      </c>
      <c r="F1229" t="n">
        <v>1890</v>
      </c>
      <c r="G1229" t="inlineStr">
        <is>
          <t>TVS</t>
        </is>
      </c>
      <c r="H1229" t="inlineStr">
        <is>
          <t>34.93-0-2.3-ERW 2-FC-Ampere</t>
        </is>
      </c>
      <c r="I1229" t="inlineStr">
        <is>
          <t>34.93-0-2.3-ERW 2-FC-Ampere-1.501</t>
        </is>
      </c>
      <c r="J1229" t="n">
        <v>1.501</v>
      </c>
      <c r="K1229" t="inlineStr">
        <is>
          <t>CTL</t>
        </is>
      </c>
    </row>
    <row r="1230" hidden="1" s="584">
      <c r="A1230" t="n">
        <v>3911993</v>
      </c>
      <c r="B1230" t="inlineStr">
        <is>
          <t>CUT-O-N-AUT-AW-FC-34.93X2.300X1.5010</t>
        </is>
      </c>
      <c r="C1230" t="n">
        <v>0.378501</v>
      </c>
      <c r="D1230" t="n">
        <v>4731</v>
      </c>
      <c r="E1230" t="inlineStr">
        <is>
          <t>ELKAYEM AUTO ANCILLARIES PRIVATE LI</t>
        </is>
      </c>
      <c r="F1230" t="n">
        <v>1891</v>
      </c>
      <c r="G1230" t="inlineStr">
        <is>
          <t>TVS</t>
        </is>
      </c>
      <c r="H1230" t="inlineStr">
        <is>
          <t>34.93-0-2.3-ERW 2-FC-Ampere</t>
        </is>
      </c>
      <c r="I1230" t="inlineStr">
        <is>
          <t>34.93-0-2.3-ERW 2-FC-Ampere-1.501</t>
        </is>
      </c>
      <c r="J1230" t="n">
        <v>1.501</v>
      </c>
      <c r="K1230" t="inlineStr">
        <is>
          <t>CTL</t>
        </is>
      </c>
    </row>
    <row r="1231" hidden="1" s="584">
      <c r="A1231" t="n">
        <v>3500816</v>
      </c>
      <c r="B1231" t="inlineStr">
        <is>
          <t>TUB-O-N-AUT-BH-FC-63.50X4.000X6.0000</t>
        </is>
      </c>
      <c r="C1231" t="n">
        <v>0.352874</v>
      </c>
      <c r="D1231" t="n">
        <v>4731</v>
      </c>
      <c r="E1231" t="inlineStr">
        <is>
          <t>LAXMI METAL PRESSING WORKS PVT LTD</t>
        </is>
      </c>
      <c r="F1231" t="n">
        <v>1558</v>
      </c>
      <c r="G1231" t="inlineStr">
        <is>
          <t>TVS</t>
        </is>
      </c>
      <c r="H1231" t="inlineStr">
        <is>
          <t>63.5-0-4-ERW 1-FC</t>
        </is>
      </c>
      <c r="I1231" t="inlineStr">
        <is>
          <t>63.5-0-4-ERW 1-FC-1</t>
        </is>
      </c>
      <c r="J1231" t="n">
        <v>6</v>
      </c>
      <c r="K1231" t="inlineStr">
        <is>
          <t>LL</t>
        </is>
      </c>
    </row>
    <row r="1232" hidden="1" s="584">
      <c r="A1232" t="n">
        <v>3500816</v>
      </c>
      <c r="B1232" t="inlineStr">
        <is>
          <t>TUB-O-N-AUT-BH-FC-63.50X4.000X6.0000</t>
        </is>
      </c>
      <c r="C1232" t="n">
        <v>0.46948</v>
      </c>
      <c r="D1232" t="n">
        <v>4731</v>
      </c>
      <c r="E1232" t="inlineStr">
        <is>
          <t>LAXMI METAL PRESSING WORKS PVT LTD</t>
        </is>
      </c>
      <c r="F1232" t="n">
        <v>1559</v>
      </c>
      <c r="G1232" t="inlineStr">
        <is>
          <t>TVS</t>
        </is>
      </c>
      <c r="H1232" t="inlineStr">
        <is>
          <t>63.5-0-4-ERW 1-FC</t>
        </is>
      </c>
      <c r="I1232" t="inlineStr">
        <is>
          <t>63.5-0-4-ERW 1-FC-1</t>
        </is>
      </c>
      <c r="J1232" t="n">
        <v>6</v>
      </c>
      <c r="K1232" t="inlineStr">
        <is>
          <t>LL</t>
        </is>
      </c>
    </row>
    <row r="1233" hidden="1" s="584">
      <c r="A1233" t="n">
        <v>3500816</v>
      </c>
      <c r="B1233" t="inlineStr">
        <is>
          <t>TUB-O-N-AUT-BH-FC-63.50X4.000X6.0000</t>
        </is>
      </c>
      <c r="C1233" t="n">
        <v>0.293694</v>
      </c>
      <c r="D1233" t="n">
        <v>4731</v>
      </c>
      <c r="E1233" t="inlineStr">
        <is>
          <t>LAXMI METAL PRESSING WORKS PVT LTD</t>
        </is>
      </c>
      <c r="F1233" t="n">
        <v>1560</v>
      </c>
      <c r="G1233" t="inlineStr">
        <is>
          <t>TVS</t>
        </is>
      </c>
      <c r="H1233" t="inlineStr">
        <is>
          <t>63.5-0-4-ERW 1-FC</t>
        </is>
      </c>
      <c r="I1233" t="inlineStr">
        <is>
          <t>63.5-0-4-ERW 1-FC-1</t>
        </is>
      </c>
      <c r="J1233" t="n">
        <v>6</v>
      </c>
      <c r="K1233" t="inlineStr">
        <is>
          <t>LL</t>
        </is>
      </c>
    </row>
    <row r="1234" hidden="1" s="584">
      <c r="A1234" t="n">
        <v>3500816</v>
      </c>
      <c r="B1234" t="inlineStr">
        <is>
          <t>TUB-O-N-AUT-BH-FC-63.50X4.000X6.0000</t>
        </is>
      </c>
      <c r="C1234" t="n">
        <v>0.642833</v>
      </c>
      <c r="D1234" t="n">
        <v>4731</v>
      </c>
      <c r="E1234" t="inlineStr">
        <is>
          <t>LAXMI METAL PRESSING WORKS PVT LTD</t>
        </is>
      </c>
      <c r="F1234" t="n">
        <v>1561</v>
      </c>
      <c r="G1234" t="inlineStr">
        <is>
          <t>TVS</t>
        </is>
      </c>
      <c r="H1234" t="inlineStr">
        <is>
          <t>63.5-0-4-ERW 1-FC</t>
        </is>
      </c>
      <c r="I1234" t="inlineStr">
        <is>
          <t>63.5-0-4-ERW 1-FC-1</t>
        </is>
      </c>
      <c r="J1234" t="n">
        <v>6</v>
      </c>
      <c r="K1234" t="inlineStr">
        <is>
          <t>LL</t>
        </is>
      </c>
    </row>
    <row r="1235" hidden="1" s="584">
      <c r="A1235" t="n">
        <v>3500816</v>
      </c>
      <c r="B1235" t="inlineStr">
        <is>
          <t>TUB-O-N-AUT-BH-FC-63.50X4.000X6.0000</t>
        </is>
      </c>
      <c r="C1235" t="n">
        <v>2.57</v>
      </c>
      <c r="D1235" t="n">
        <v>4731</v>
      </c>
      <c r="E1235" t="inlineStr">
        <is>
          <t>LAXMI METAL PRESSING WORKS PVT LTD</t>
        </is>
      </c>
      <c r="F1235" t="n">
        <v>1562</v>
      </c>
      <c r="G1235" t="inlineStr">
        <is>
          <t>TVS</t>
        </is>
      </c>
      <c r="H1235" t="inlineStr">
        <is>
          <t>63.5-0-4-ERW 1-FC</t>
        </is>
      </c>
      <c r="I1235" t="inlineStr">
        <is>
          <t>63.5-0-4-ERW 1-FC-1</t>
        </is>
      </c>
      <c r="J1235" t="n">
        <v>6</v>
      </c>
      <c r="K1235" t="inlineStr">
        <is>
          <t>LL</t>
        </is>
      </c>
    </row>
    <row r="1236" hidden="1" s="584">
      <c r="A1236" t="n">
        <v>3500816</v>
      </c>
      <c r="B1236" t="inlineStr">
        <is>
          <t>TUB-O-N-AUT-BH-FC-63.50X4.000X6.0000</t>
        </is>
      </c>
      <c r="C1236" t="n">
        <v>0.5580000000000001</v>
      </c>
      <c r="D1236" t="n">
        <v>4731</v>
      </c>
      <c r="E1236" t="inlineStr">
        <is>
          <t>LAXMI METAL PRESSING WORKS PVT LTD</t>
        </is>
      </c>
      <c r="F1236" t="n">
        <v>1563</v>
      </c>
      <c r="G1236" t="inlineStr">
        <is>
          <t>TVS</t>
        </is>
      </c>
      <c r="H1236" t="inlineStr">
        <is>
          <t>63.5-0-4-ERW 1-FC</t>
        </is>
      </c>
      <c r="I1236" t="inlineStr">
        <is>
          <t>63.5-0-4-ERW 1-FC-1</t>
        </is>
      </c>
      <c r="J1236" t="n">
        <v>6</v>
      </c>
      <c r="K1236" t="inlineStr">
        <is>
          <t>LL</t>
        </is>
      </c>
    </row>
    <row r="1237" hidden="1" s="584">
      <c r="A1237" t="n">
        <v>3500816</v>
      </c>
      <c r="B1237" t="inlineStr">
        <is>
          <t>TUB-O-N-AUT-BH-FC-63.50X4.000X6.0000</t>
        </is>
      </c>
      <c r="C1237" t="n">
        <v>2.283</v>
      </c>
      <c r="D1237" t="n">
        <v>4731</v>
      </c>
      <c r="E1237" t="inlineStr">
        <is>
          <t>LAXMI METAL PRESSING WORKS PVT LTD</t>
        </is>
      </c>
      <c r="F1237" t="n">
        <v>1564</v>
      </c>
      <c r="G1237" t="inlineStr">
        <is>
          <t>TVS</t>
        </is>
      </c>
      <c r="H1237" t="inlineStr">
        <is>
          <t>63.5-0-4-ERW 1-FC</t>
        </is>
      </c>
      <c r="I1237" t="inlineStr">
        <is>
          <t>63.5-0-4-ERW 1-FC-1</t>
        </is>
      </c>
      <c r="J1237" t="n">
        <v>6</v>
      </c>
      <c r="K1237" t="inlineStr">
        <is>
          <t>LL</t>
        </is>
      </c>
    </row>
    <row r="1238" hidden="1" s="584">
      <c r="A1238" t="n">
        <v>3500816</v>
      </c>
      <c r="B1238" t="inlineStr">
        <is>
          <t>TUB-O-N-AUT-BH-FC-63.50X4.000X6.0000</t>
        </is>
      </c>
      <c r="C1238" t="n">
        <v>1.755</v>
      </c>
      <c r="D1238" t="n">
        <v>4731</v>
      </c>
      <c r="E1238" t="inlineStr">
        <is>
          <t>LAXMI METAL PRESSING WORKS PVT LTD</t>
        </is>
      </c>
      <c r="F1238" t="n">
        <v>1565</v>
      </c>
      <c r="G1238" t="inlineStr">
        <is>
          <t>TVS</t>
        </is>
      </c>
      <c r="H1238" t="inlineStr">
        <is>
          <t>63.5-0-4-ERW 1-FC</t>
        </is>
      </c>
      <c r="I1238" t="inlineStr">
        <is>
          <t>63.5-0-4-ERW 1-FC-1</t>
        </is>
      </c>
      <c r="J1238" t="n">
        <v>6</v>
      </c>
      <c r="K1238" t="inlineStr">
        <is>
          <t>LL</t>
        </is>
      </c>
    </row>
    <row r="1239" hidden="1" s="584">
      <c r="A1239" t="n">
        <v>3500816</v>
      </c>
      <c r="B1239" t="inlineStr">
        <is>
          <t>TUB-O-N-AUT-BH-FC-63.50X4.000X6.0000</t>
        </is>
      </c>
      <c r="C1239" t="n">
        <v>1.649</v>
      </c>
      <c r="D1239" t="n">
        <v>4731</v>
      </c>
      <c r="E1239" t="inlineStr">
        <is>
          <t>LAXMI METAL PRESSING WORKS PVT LTD</t>
        </is>
      </c>
      <c r="F1239" t="n">
        <v>1566</v>
      </c>
      <c r="G1239" t="inlineStr">
        <is>
          <t>TVS</t>
        </is>
      </c>
      <c r="H1239" t="inlineStr">
        <is>
          <t>63.5-0-4-ERW 1-FC</t>
        </is>
      </c>
      <c r="I1239" t="inlineStr">
        <is>
          <t>63.5-0-4-ERW 1-FC-1</t>
        </is>
      </c>
      <c r="J1239" t="n">
        <v>6</v>
      </c>
      <c r="K1239" t="inlineStr">
        <is>
          <t>LL</t>
        </is>
      </c>
    </row>
    <row r="1240" hidden="1" s="584">
      <c r="A1240" t="n">
        <v>3500816</v>
      </c>
      <c r="B1240" t="inlineStr">
        <is>
          <t>TUB-O-N-AUT-BH-FC-63.50X4.000X6.0000</t>
        </is>
      </c>
      <c r="C1240" t="n">
        <v>1.332</v>
      </c>
      <c r="D1240" t="n">
        <v>4731</v>
      </c>
      <c r="E1240" t="inlineStr">
        <is>
          <t>LAXMI METAL PRESSING WORKS PVT LTD</t>
        </is>
      </c>
      <c r="F1240" t="n">
        <v>1567</v>
      </c>
      <c r="G1240" t="inlineStr">
        <is>
          <t>TVS</t>
        </is>
      </c>
      <c r="H1240" t="inlineStr">
        <is>
          <t>63.5-0-4-ERW 1-FC</t>
        </is>
      </c>
      <c r="I1240" t="inlineStr">
        <is>
          <t>63.5-0-4-ERW 1-FC-1</t>
        </is>
      </c>
      <c r="J1240" t="n">
        <v>6</v>
      </c>
      <c r="K1240" t="inlineStr">
        <is>
          <t>LL</t>
        </is>
      </c>
    </row>
    <row r="1241" hidden="1" s="584">
      <c r="A1241" t="n">
        <v>3500816</v>
      </c>
      <c r="B1241" t="inlineStr">
        <is>
          <t>TUB-O-N-AUT-BH-FC-63.50X4.000X6.0000</t>
        </is>
      </c>
      <c r="C1241" t="n">
        <v>1.72</v>
      </c>
      <c r="D1241" t="n">
        <v>4731</v>
      </c>
      <c r="E1241" t="inlineStr">
        <is>
          <t>LAXMI METAL PRESSING WORKS PVT LTD</t>
        </is>
      </c>
      <c r="F1241" t="n">
        <v>1568</v>
      </c>
      <c r="G1241" t="inlineStr">
        <is>
          <t>TVS</t>
        </is>
      </c>
      <c r="H1241" t="inlineStr">
        <is>
          <t>63.5-0-4-ERW 1-FC</t>
        </is>
      </c>
      <c r="I1241" t="inlineStr">
        <is>
          <t>63.5-0-4-ERW 1-FC-1</t>
        </is>
      </c>
      <c r="J1241" t="n">
        <v>6</v>
      </c>
      <c r="K1241" t="inlineStr">
        <is>
          <t>LL</t>
        </is>
      </c>
    </row>
    <row r="1242" hidden="1" s="584">
      <c r="A1242" t="n">
        <v>3500816</v>
      </c>
      <c r="B1242" t="inlineStr">
        <is>
          <t>TUB-O-N-AUT-BH-FC-63.50X4.000X6.0000</t>
        </is>
      </c>
      <c r="C1242" t="n">
        <v>1.614</v>
      </c>
      <c r="D1242" t="n">
        <v>4731</v>
      </c>
      <c r="E1242" t="inlineStr">
        <is>
          <t>LAXMI METAL PRESSING WORKS PVT LTD</t>
        </is>
      </c>
      <c r="F1242" t="n">
        <v>1569</v>
      </c>
      <c r="G1242" t="inlineStr">
        <is>
          <t>TVS</t>
        </is>
      </c>
      <c r="H1242" t="inlineStr">
        <is>
          <t>63.5-0-4-ERW 1-FC</t>
        </is>
      </c>
      <c r="I1242" t="inlineStr">
        <is>
          <t>63.5-0-4-ERW 1-FC-1</t>
        </is>
      </c>
      <c r="J1242" t="n">
        <v>6</v>
      </c>
      <c r="K1242" t="inlineStr">
        <is>
          <t>LL</t>
        </is>
      </c>
    </row>
    <row r="1243" hidden="1" s="584">
      <c r="A1243" t="n">
        <v>3500816</v>
      </c>
      <c r="B1243" t="inlineStr">
        <is>
          <t>TUB-O-N-AUT-BH-FC-63.50X4.000X6.0000</t>
        </is>
      </c>
      <c r="C1243" t="n">
        <v>0.412725</v>
      </c>
      <c r="D1243" t="n">
        <v>4731</v>
      </c>
      <c r="E1243" t="inlineStr">
        <is>
          <t>LAXMI METAL PRESSING WORKS PVT LTD</t>
        </is>
      </c>
      <c r="F1243" t="n">
        <v>1570</v>
      </c>
      <c r="G1243" t="inlineStr">
        <is>
          <t>TVS</t>
        </is>
      </c>
      <c r="H1243" t="inlineStr">
        <is>
          <t>63.5-0-4-ERW 1-FC</t>
        </is>
      </c>
      <c r="I1243" t="inlineStr">
        <is>
          <t>63.5-0-4-ERW 1-FC-1</t>
        </is>
      </c>
      <c r="J1243" t="n">
        <v>6</v>
      </c>
      <c r="K1243" t="inlineStr">
        <is>
          <t>LL</t>
        </is>
      </c>
    </row>
    <row r="1244" hidden="1" s="584">
      <c r="A1244" t="n">
        <v>3500816</v>
      </c>
      <c r="B1244" t="inlineStr">
        <is>
          <t>TUB-O-N-AUT-BH-FC-63.50X4.000X6.0000</t>
        </is>
      </c>
      <c r="C1244" t="n">
        <v>0.113</v>
      </c>
      <c r="D1244" t="n">
        <v>4731</v>
      </c>
      <c r="E1244" t="inlineStr">
        <is>
          <t>LAXMI METAL PRESSING WORKS PVT LTD</t>
        </is>
      </c>
      <c r="F1244" t="n">
        <v>1571</v>
      </c>
      <c r="G1244" t="inlineStr">
        <is>
          <t>TVS</t>
        </is>
      </c>
      <c r="H1244" t="inlineStr">
        <is>
          <t>63.5-0-4-ERW 1-FC</t>
        </is>
      </c>
      <c r="I1244" t="inlineStr">
        <is>
          <t>63.5-0-4-ERW 1-FC-1</t>
        </is>
      </c>
      <c r="J1244" t="n">
        <v>6</v>
      </c>
      <c r="K1244" t="inlineStr">
        <is>
          <t>LL</t>
        </is>
      </c>
    </row>
    <row r="1245" hidden="1" s="584">
      <c r="A1245" t="n">
        <v>3500816</v>
      </c>
      <c r="B1245" t="inlineStr">
        <is>
          <t>TUB-O-N-AUT-BH-FC-63.50X4.000X6.0000</t>
        </is>
      </c>
      <c r="C1245" t="n">
        <v>0.33388</v>
      </c>
      <c r="D1245" t="n">
        <v>4731</v>
      </c>
      <c r="E1245" t="inlineStr">
        <is>
          <t>LAXMI METAL PRESSING WORKS PVT LTD</t>
        </is>
      </c>
      <c r="F1245" t="n">
        <v>1572</v>
      </c>
      <c r="G1245" t="inlineStr">
        <is>
          <t>TVS</t>
        </is>
      </c>
      <c r="H1245" t="inlineStr">
        <is>
          <t>63.5-0-4-ERW 1-FC</t>
        </is>
      </c>
      <c r="I1245" t="inlineStr">
        <is>
          <t>63.5-0-4-ERW 1-FC-1</t>
        </is>
      </c>
      <c r="J1245" t="n">
        <v>6</v>
      </c>
      <c r="K1245" t="inlineStr">
        <is>
          <t>LL</t>
        </is>
      </c>
    </row>
    <row r="1246" hidden="1" s="584">
      <c r="A1246" t="n">
        <v>3500816</v>
      </c>
      <c r="B1246" t="inlineStr">
        <is>
          <t>TUB-O-N-AUT-BH-FC-63.50X4.000X6.0000</t>
        </is>
      </c>
      <c r="C1246" t="n">
        <v>1.368</v>
      </c>
      <c r="D1246" t="n">
        <v>4731</v>
      </c>
      <c r="E1246" t="inlineStr">
        <is>
          <t>LAXMI METAL PRESSING WORKS PVT LTD</t>
        </is>
      </c>
      <c r="F1246" t="n">
        <v>1573</v>
      </c>
      <c r="G1246" t="inlineStr">
        <is>
          <t>TVS</t>
        </is>
      </c>
      <c r="H1246" t="inlineStr">
        <is>
          <t>63.5-0-4-ERW 1-FC</t>
        </is>
      </c>
      <c r="I1246" t="inlineStr">
        <is>
          <t>63.5-0-4-ERW 1-FC-1</t>
        </is>
      </c>
      <c r="J1246" t="n">
        <v>6</v>
      </c>
      <c r="K1246" t="inlineStr">
        <is>
          <t>LL</t>
        </is>
      </c>
    </row>
    <row r="1247" hidden="1" s="584">
      <c r="A1247" t="n">
        <v>3500816</v>
      </c>
      <c r="B1247" t="inlineStr">
        <is>
          <t>TUB-O-N-AUT-BH-FC-63.50X4.000X6.0000</t>
        </is>
      </c>
      <c r="C1247" t="n">
        <v>0.424</v>
      </c>
      <c r="D1247" t="n">
        <v>4731</v>
      </c>
      <c r="E1247" t="inlineStr">
        <is>
          <t>LAXMI METAL PRESSING WORKS PVT LTD</t>
        </is>
      </c>
      <c r="F1247" t="n">
        <v>1574</v>
      </c>
      <c r="G1247" t="inlineStr">
        <is>
          <t>TVS</t>
        </is>
      </c>
      <c r="H1247" t="inlineStr">
        <is>
          <t>63.5-0-4-ERW 1-FC</t>
        </is>
      </c>
      <c r="I1247" t="inlineStr">
        <is>
          <t>63.5-0-4-ERW 1-FC-1</t>
        </is>
      </c>
      <c r="J1247" t="n">
        <v>6</v>
      </c>
      <c r="K1247" t="inlineStr">
        <is>
          <t>LL</t>
        </is>
      </c>
    </row>
    <row r="1248" hidden="1" s="584">
      <c r="A1248" t="n">
        <v>3500816</v>
      </c>
      <c r="B1248" t="inlineStr">
        <is>
          <t>TUB-O-N-AUT-BH-FC-63.50X4.000X6.0000</t>
        </is>
      </c>
      <c r="C1248" t="n">
        <v>2.759</v>
      </c>
      <c r="D1248" t="n">
        <v>4731</v>
      </c>
      <c r="E1248" t="inlineStr">
        <is>
          <t>LAXMI METAL PRESSING WORKS PVT LTD</t>
        </is>
      </c>
      <c r="F1248" t="n">
        <v>1575</v>
      </c>
      <c r="G1248" t="inlineStr">
        <is>
          <t>TVS</t>
        </is>
      </c>
      <c r="H1248" t="inlineStr">
        <is>
          <t>63.5-0-4-ERW 1-FC</t>
        </is>
      </c>
      <c r="I1248" t="inlineStr">
        <is>
          <t>63.5-0-4-ERW 1-FC-1</t>
        </is>
      </c>
      <c r="J1248" t="n">
        <v>6</v>
      </c>
      <c r="K1248" t="inlineStr">
        <is>
          <t>LL</t>
        </is>
      </c>
    </row>
    <row r="1249" hidden="1" s="584">
      <c r="A1249" t="n">
        <v>3500816</v>
      </c>
      <c r="B1249" t="inlineStr">
        <is>
          <t>TUB-O-N-AUT-BH-FC-63.50X4.000X6.0000</t>
        </is>
      </c>
      <c r="C1249" t="n">
        <v>3.257</v>
      </c>
      <c r="D1249" t="n">
        <v>8406</v>
      </c>
      <c r="E1249" t="inlineStr">
        <is>
          <t>LAXMI METAL PRESSING WORKS PVT LTD</t>
        </is>
      </c>
      <c r="F1249" t="n">
        <v>1576</v>
      </c>
      <c r="G1249" t="inlineStr">
        <is>
          <t>TVS</t>
        </is>
      </c>
      <c r="H1249" t="inlineStr">
        <is>
          <t>63.5-0-4-ERW 1-FC</t>
        </is>
      </c>
      <c r="I1249" t="inlineStr">
        <is>
          <t>63.5-0-4-ERW 1-FC-1</t>
        </is>
      </c>
      <c r="J1249" t="n">
        <v>6</v>
      </c>
      <c r="K1249" t="inlineStr">
        <is>
          <t>LL</t>
        </is>
      </c>
    </row>
    <row r="1250" hidden="1" s="584">
      <c r="A1250" t="n">
        <v>3500816</v>
      </c>
      <c r="B1250" t="inlineStr">
        <is>
          <t>TUB-O-N-AUT-BH-FC-63.50X4.000X6.0000</t>
        </is>
      </c>
      <c r="C1250" t="n">
        <v>1.056</v>
      </c>
      <c r="D1250" t="inlineStr">
        <is>
          <t>0788</t>
        </is>
      </c>
      <c r="E1250" t="inlineStr">
        <is>
          <t>LAXMI METAL PRESSING WORKS PVT LTD</t>
        </is>
      </c>
      <c r="F1250" t="n">
        <v>2194</v>
      </c>
      <c r="G1250" t="inlineStr">
        <is>
          <t>TVS</t>
        </is>
      </c>
      <c r="H1250" t="inlineStr">
        <is>
          <t>63.5-0-4-ERW 1-FC</t>
        </is>
      </c>
      <c r="I1250" t="inlineStr">
        <is>
          <t>63.5-0-4-ERW 1-FC-1</t>
        </is>
      </c>
      <c r="J1250" t="n">
        <v>6</v>
      </c>
      <c r="K1250" t="inlineStr">
        <is>
          <t>LL</t>
        </is>
      </c>
    </row>
    <row r="1251" hidden="1" s="584">
      <c r="A1251" t="n">
        <v>3500816</v>
      </c>
      <c r="B1251" t="inlineStr">
        <is>
          <t>TUB-O-N-AUT-BH-FC-63.50X4.000X6.0000</t>
        </is>
      </c>
      <c r="C1251" t="n">
        <v>3.098</v>
      </c>
      <c r="D1251" t="inlineStr">
        <is>
          <t>0788</t>
        </is>
      </c>
      <c r="E1251" t="inlineStr">
        <is>
          <t>LAXMI METAL PRESSING WORKS PVT LTD</t>
        </is>
      </c>
      <c r="F1251" t="n">
        <v>2195</v>
      </c>
      <c r="G1251" t="inlineStr">
        <is>
          <t>TVS</t>
        </is>
      </c>
      <c r="H1251" t="inlineStr">
        <is>
          <t>63.5-0-4-ERW 1-FC</t>
        </is>
      </c>
      <c r="I1251" t="inlineStr">
        <is>
          <t>63.5-0-4-ERW 1-FC-1</t>
        </is>
      </c>
      <c r="J1251" t="n">
        <v>6</v>
      </c>
      <c r="K1251" t="inlineStr">
        <is>
          <t>LL</t>
        </is>
      </c>
    </row>
    <row r="1252" hidden="1" s="584">
      <c r="A1252" t="n">
        <v>3500816</v>
      </c>
      <c r="B1252" t="inlineStr">
        <is>
          <t>TUB-O-N-AUT-BH-FC-63.50X4.000X6.0000</t>
        </is>
      </c>
      <c r="C1252" t="n">
        <v>3.133</v>
      </c>
      <c r="D1252" t="inlineStr">
        <is>
          <t>0788</t>
        </is>
      </c>
      <c r="E1252" t="inlineStr">
        <is>
          <t>LAXMI METAL PRESSING WORKS PVT LTD</t>
        </is>
      </c>
      <c r="F1252" t="n">
        <v>2196</v>
      </c>
      <c r="G1252" t="inlineStr">
        <is>
          <t>TVS</t>
        </is>
      </c>
      <c r="H1252" t="inlineStr">
        <is>
          <t>63.5-0-4-ERW 1-FC</t>
        </is>
      </c>
      <c r="I1252" t="inlineStr">
        <is>
          <t>63.5-0-4-ERW 1-FC-1</t>
        </is>
      </c>
      <c r="J1252" t="n">
        <v>6</v>
      </c>
      <c r="K1252" t="inlineStr">
        <is>
          <t>LL</t>
        </is>
      </c>
    </row>
    <row r="1253" hidden="1" s="584">
      <c r="A1253" t="n">
        <v>3500816</v>
      </c>
      <c r="B1253" t="inlineStr">
        <is>
          <t>TUB-O-N-AUT-BH-FC-63.50X4.000X6.0000</t>
        </is>
      </c>
      <c r="C1253" t="n">
        <v>0.986</v>
      </c>
      <c r="D1253" t="inlineStr">
        <is>
          <t>0788</t>
        </is>
      </c>
      <c r="E1253" t="inlineStr">
        <is>
          <t>LAXMI METAL PRESSING WORKS PVT LTD</t>
        </is>
      </c>
      <c r="F1253" t="n">
        <v>2197</v>
      </c>
      <c r="G1253" t="inlineStr">
        <is>
          <t>TVS</t>
        </is>
      </c>
      <c r="H1253" t="inlineStr">
        <is>
          <t>63.5-0-4-ERW 1-FC</t>
        </is>
      </c>
      <c r="I1253" t="inlineStr">
        <is>
          <t>63.5-0-4-ERW 1-FC-1</t>
        </is>
      </c>
      <c r="J1253" t="n">
        <v>6</v>
      </c>
      <c r="K1253" t="inlineStr">
        <is>
          <t>LL</t>
        </is>
      </c>
    </row>
    <row r="1254" hidden="1" s="584">
      <c r="A1254" t="n">
        <v>3500816</v>
      </c>
      <c r="B1254" t="inlineStr">
        <is>
          <t>TUB-O-N-AUT-BH-FC-63.50X4.000X6.0000</t>
        </is>
      </c>
      <c r="C1254" t="n">
        <v>2.077</v>
      </c>
      <c r="D1254" t="inlineStr">
        <is>
          <t>0788</t>
        </is>
      </c>
      <c r="E1254" t="inlineStr">
        <is>
          <t>LAXMI METAL PRESSING WORKS PVT LTD</t>
        </is>
      </c>
      <c r="F1254" t="n">
        <v>2198</v>
      </c>
      <c r="G1254" t="inlineStr">
        <is>
          <t>TVS</t>
        </is>
      </c>
      <c r="H1254" t="inlineStr">
        <is>
          <t>63.5-0-4-ERW 1-FC</t>
        </is>
      </c>
      <c r="I1254" t="inlineStr">
        <is>
          <t>63.5-0-4-ERW 1-FC-1</t>
        </is>
      </c>
      <c r="J1254" t="n">
        <v>6</v>
      </c>
      <c r="K1254" t="inlineStr">
        <is>
          <t>LL</t>
        </is>
      </c>
    </row>
    <row r="1255" hidden="1" s="584">
      <c r="A1255" t="n">
        <v>3500816</v>
      </c>
      <c r="B1255" t="inlineStr">
        <is>
          <t>TUB-O-N-AUT-BH-FC-63.50X4.000X6.0000</t>
        </is>
      </c>
      <c r="C1255" t="n">
        <v>0.845</v>
      </c>
      <c r="D1255" t="inlineStr">
        <is>
          <t>0788</t>
        </is>
      </c>
      <c r="E1255" t="inlineStr">
        <is>
          <t>LAXMI METAL PRESSING WORKS PVT LTD</t>
        </is>
      </c>
      <c r="F1255" t="n">
        <v>2199</v>
      </c>
      <c r="G1255" t="inlineStr">
        <is>
          <t>TVS</t>
        </is>
      </c>
      <c r="H1255" t="inlineStr">
        <is>
          <t>63.5-0-4-ERW 1-FC</t>
        </is>
      </c>
      <c r="I1255" t="inlineStr">
        <is>
          <t>63.5-0-4-ERW 1-FC-1</t>
        </is>
      </c>
      <c r="J1255" t="n">
        <v>6</v>
      </c>
      <c r="K1255" t="inlineStr">
        <is>
          <t>LL</t>
        </is>
      </c>
    </row>
    <row r="1256" hidden="1" s="584">
      <c r="A1256" t="n">
        <v>3500816</v>
      </c>
      <c r="B1256" t="inlineStr">
        <is>
          <t>TUB-O-N-AUT-BH-FC-63.50X4.000X6.0000</t>
        </is>
      </c>
      <c r="C1256" t="n">
        <v>1.76</v>
      </c>
      <c r="D1256" t="inlineStr">
        <is>
          <t>0788</t>
        </is>
      </c>
      <c r="E1256" t="inlineStr">
        <is>
          <t>LAXMI METAL PRESSING WORKS PVT LTD</t>
        </is>
      </c>
      <c r="F1256" t="n">
        <v>2200</v>
      </c>
      <c r="G1256" t="inlineStr">
        <is>
          <t>TVS</t>
        </is>
      </c>
      <c r="H1256" t="inlineStr">
        <is>
          <t>63.5-0-4-ERW 1-FC</t>
        </is>
      </c>
      <c r="I1256" t="inlineStr">
        <is>
          <t>63.5-0-4-ERW 1-FC-1</t>
        </is>
      </c>
      <c r="J1256" t="n">
        <v>6</v>
      </c>
      <c r="K1256" t="inlineStr">
        <is>
          <t>LL</t>
        </is>
      </c>
    </row>
    <row r="1257" hidden="1" s="584">
      <c r="A1257" t="n">
        <v>3500816</v>
      </c>
      <c r="B1257" t="inlineStr">
        <is>
          <t>TUB-O-N-AUT-BH-FC-63.50X4.000X6.0000</t>
        </is>
      </c>
      <c r="C1257" t="n">
        <v>1.408</v>
      </c>
      <c r="D1257" t="inlineStr">
        <is>
          <t>0788</t>
        </is>
      </c>
      <c r="E1257" t="inlineStr">
        <is>
          <t>LAXMI METAL PRESSING WORKS PVT LTD</t>
        </is>
      </c>
      <c r="F1257" t="n">
        <v>2201</v>
      </c>
      <c r="G1257" t="inlineStr">
        <is>
          <t>TVS</t>
        </is>
      </c>
      <c r="H1257" t="inlineStr">
        <is>
          <t>63.5-0-4-ERW 1-FC</t>
        </is>
      </c>
      <c r="I1257" t="inlineStr">
        <is>
          <t>63.5-0-4-ERW 1-FC-1</t>
        </is>
      </c>
      <c r="J1257" t="n">
        <v>6</v>
      </c>
      <c r="K1257" t="inlineStr">
        <is>
          <t>LL</t>
        </is>
      </c>
    </row>
    <row r="1258" hidden="1" s="584">
      <c r="A1258" t="n">
        <v>3500816</v>
      </c>
      <c r="B1258" t="inlineStr">
        <is>
          <t>TUB-O-N-AUT-BH-FC-63.50X4.000X6.0000</t>
        </is>
      </c>
      <c r="C1258" t="n">
        <v>2.112</v>
      </c>
      <c r="D1258" t="inlineStr">
        <is>
          <t>0788</t>
        </is>
      </c>
      <c r="E1258" t="inlineStr">
        <is>
          <t>LAXMI METAL PRESSING WORKS PVT LTD</t>
        </is>
      </c>
      <c r="F1258" t="n">
        <v>2202</v>
      </c>
      <c r="G1258" t="inlineStr">
        <is>
          <t>TVS</t>
        </is>
      </c>
      <c r="H1258" t="inlineStr">
        <is>
          <t>63.5-0-4-ERW 1-FC</t>
        </is>
      </c>
      <c r="I1258" t="inlineStr">
        <is>
          <t>63.5-0-4-ERW 1-FC-1</t>
        </is>
      </c>
      <c r="J1258" t="n">
        <v>6</v>
      </c>
      <c r="K1258" t="inlineStr">
        <is>
          <t>LL</t>
        </is>
      </c>
    </row>
    <row r="1259" hidden="1" s="584">
      <c r="A1259" t="n">
        <v>3500816</v>
      </c>
      <c r="B1259" t="inlineStr">
        <is>
          <t>TUB-O-N-AUT-BH-FC-63.50X4.000X6.0000</t>
        </is>
      </c>
      <c r="C1259" t="n">
        <v>1.514</v>
      </c>
      <c r="D1259" t="inlineStr">
        <is>
          <t>0788</t>
        </is>
      </c>
      <c r="E1259" t="inlineStr">
        <is>
          <t>LAXMI METAL PRESSING WORKS PVT LTD</t>
        </is>
      </c>
      <c r="F1259" t="n">
        <v>2203</v>
      </c>
      <c r="G1259" t="inlineStr">
        <is>
          <t>TVS</t>
        </is>
      </c>
      <c r="H1259" t="inlineStr">
        <is>
          <t>63.5-0-4-ERW 1-FC</t>
        </is>
      </c>
      <c r="I1259" t="inlineStr">
        <is>
          <t>63.5-0-4-ERW 1-FC-1</t>
        </is>
      </c>
      <c r="J1259" t="n">
        <v>6</v>
      </c>
      <c r="K1259" t="inlineStr">
        <is>
          <t>LL</t>
        </is>
      </c>
    </row>
    <row r="1260" hidden="1" s="584">
      <c r="A1260" t="n">
        <v>3500816</v>
      </c>
      <c r="B1260" t="inlineStr">
        <is>
          <t>TUB-O-N-AUT-BH-FC-63.50X4.000X6.0000</t>
        </is>
      </c>
      <c r="C1260" t="n">
        <v>2.394</v>
      </c>
      <c r="D1260" t="inlineStr">
        <is>
          <t>0788</t>
        </is>
      </c>
      <c r="E1260" t="inlineStr">
        <is>
          <t>LAXMI METAL PRESSING WORKS PVT LTD</t>
        </is>
      </c>
      <c r="F1260" t="n">
        <v>2204</v>
      </c>
      <c r="G1260" t="inlineStr">
        <is>
          <t>TVS</t>
        </is>
      </c>
      <c r="H1260" t="inlineStr">
        <is>
          <t>63.5-0-4-ERW 1-FC</t>
        </is>
      </c>
      <c r="I1260" t="inlineStr">
        <is>
          <t>63.5-0-4-ERW 1-FC-1</t>
        </is>
      </c>
      <c r="J1260" t="n">
        <v>6</v>
      </c>
      <c r="K1260" t="inlineStr">
        <is>
          <t>LL</t>
        </is>
      </c>
    </row>
    <row r="1261" hidden="1" s="584">
      <c r="A1261" t="n">
        <v>3500816</v>
      </c>
      <c r="B1261" t="inlineStr">
        <is>
          <t>TUB-O-N-AUT-BH-FC-63.50X4.000X6.0000</t>
        </is>
      </c>
      <c r="C1261" t="n">
        <v>1.197</v>
      </c>
      <c r="D1261" t="inlineStr">
        <is>
          <t>0788</t>
        </is>
      </c>
      <c r="E1261" t="inlineStr">
        <is>
          <t>LAXMI METAL PRESSING WORKS PVT LTD</t>
        </is>
      </c>
      <c r="F1261" t="n">
        <v>2205</v>
      </c>
      <c r="G1261" t="inlineStr">
        <is>
          <t>TVS</t>
        </is>
      </c>
      <c r="H1261" t="inlineStr">
        <is>
          <t>63.5-0-4-ERW 1-FC</t>
        </is>
      </c>
      <c r="I1261" t="inlineStr">
        <is>
          <t>63.5-0-4-ERW 1-FC-1</t>
        </is>
      </c>
      <c r="J1261" t="n">
        <v>6</v>
      </c>
      <c r="K1261" t="inlineStr">
        <is>
          <t>LL</t>
        </is>
      </c>
    </row>
    <row r="1262" hidden="1" s="584">
      <c r="A1262" t="n">
        <v>3500816</v>
      </c>
      <c r="B1262" t="inlineStr">
        <is>
          <t>TUB-O-N-AUT-BH-FC-63.50X4.000X6.0000</t>
        </is>
      </c>
      <c r="C1262" t="n">
        <v>1.866</v>
      </c>
      <c r="D1262" t="inlineStr">
        <is>
          <t>0788</t>
        </is>
      </c>
      <c r="E1262" t="inlineStr">
        <is>
          <t>LAXMI METAL PRESSING WORKS PVT LTD</t>
        </is>
      </c>
      <c r="F1262" t="n">
        <v>2206</v>
      </c>
      <c r="G1262" t="inlineStr">
        <is>
          <t>TVS</t>
        </is>
      </c>
      <c r="H1262" t="inlineStr">
        <is>
          <t>63.5-0-4-ERW 1-FC</t>
        </is>
      </c>
      <c r="I1262" t="inlineStr">
        <is>
          <t>63.5-0-4-ERW 1-FC-1</t>
        </is>
      </c>
      <c r="J1262" t="n">
        <v>6</v>
      </c>
      <c r="K1262" t="inlineStr">
        <is>
          <t>LL</t>
        </is>
      </c>
    </row>
    <row r="1263" hidden="1" s="584">
      <c r="A1263" t="n">
        <v>3500816</v>
      </c>
      <c r="B1263" t="inlineStr">
        <is>
          <t>TUB-O-N-AUT-BH-FC-63.50X4.000X6.0000</t>
        </is>
      </c>
      <c r="C1263" t="n">
        <v>1.725</v>
      </c>
      <c r="D1263" t="inlineStr">
        <is>
          <t>0788</t>
        </is>
      </c>
      <c r="E1263" t="inlineStr">
        <is>
          <t>LAXMI METAL PRESSING WORKS PVT LTD</t>
        </is>
      </c>
      <c r="F1263" t="n">
        <v>2207</v>
      </c>
      <c r="G1263" t="inlineStr">
        <is>
          <t>TVS</t>
        </is>
      </c>
      <c r="H1263" t="inlineStr">
        <is>
          <t>63.5-0-4-ERW 1-FC</t>
        </is>
      </c>
      <c r="I1263" t="inlineStr">
        <is>
          <t>63.5-0-4-ERW 1-FC-1</t>
        </is>
      </c>
      <c r="J1263" t="n">
        <v>6</v>
      </c>
      <c r="K1263" t="inlineStr">
        <is>
          <t>LL</t>
        </is>
      </c>
    </row>
    <row r="1264" hidden="1" s="584">
      <c r="A1264" t="n">
        <v>3500816</v>
      </c>
      <c r="B1264" t="inlineStr">
        <is>
          <t>TUB-O-N-AUT-BH-FC-63.50X4.000X6.0000</t>
        </is>
      </c>
      <c r="C1264" t="n">
        <v>1.408</v>
      </c>
      <c r="D1264" t="inlineStr">
        <is>
          <t>0788</t>
        </is>
      </c>
      <c r="E1264" t="inlineStr">
        <is>
          <t>LAXMI METAL PRESSING WORKS PVT LTD</t>
        </is>
      </c>
      <c r="F1264" t="n">
        <v>2208</v>
      </c>
      <c r="G1264" t="inlineStr">
        <is>
          <t>TVS</t>
        </is>
      </c>
      <c r="H1264" t="inlineStr">
        <is>
          <t>63.5-0-4-ERW 1-FC</t>
        </is>
      </c>
      <c r="I1264" t="inlineStr">
        <is>
          <t>63.5-0-4-ERW 1-FC-1</t>
        </is>
      </c>
      <c r="J1264" t="n">
        <v>6</v>
      </c>
      <c r="K1264" t="inlineStr">
        <is>
          <t>LL</t>
        </is>
      </c>
    </row>
    <row r="1265" hidden="1" s="584">
      <c r="A1265" t="n">
        <v>3500816</v>
      </c>
      <c r="B1265" t="inlineStr">
        <is>
          <t>TUB-O-N-AUT-BH-FC-63.50X4.000X6.0000</t>
        </is>
      </c>
      <c r="C1265" t="n">
        <v>2.112</v>
      </c>
      <c r="D1265" t="inlineStr">
        <is>
          <t>0788</t>
        </is>
      </c>
      <c r="E1265" t="inlineStr">
        <is>
          <t>LAXMI METAL PRESSING WORKS PVT LTD</t>
        </is>
      </c>
      <c r="F1265" t="n">
        <v>2209</v>
      </c>
      <c r="G1265" t="inlineStr">
        <is>
          <t>TVS</t>
        </is>
      </c>
      <c r="H1265" t="inlineStr">
        <is>
          <t>63.5-0-4-ERW 1-FC</t>
        </is>
      </c>
      <c r="I1265" t="inlineStr">
        <is>
          <t>63.5-0-4-ERW 1-FC-1</t>
        </is>
      </c>
      <c r="J1265" t="n">
        <v>6</v>
      </c>
      <c r="K1265" t="inlineStr">
        <is>
          <t>LL</t>
        </is>
      </c>
    </row>
    <row r="1266" hidden="1" s="584">
      <c r="A1266" t="n">
        <v>3500816</v>
      </c>
      <c r="B1266" t="inlineStr">
        <is>
          <t>TUB-O-N-AUT-BH-FC-63.50X4.000X6.0000</t>
        </is>
      </c>
      <c r="C1266" t="n">
        <v>1.514</v>
      </c>
      <c r="D1266" t="inlineStr">
        <is>
          <t>0788</t>
        </is>
      </c>
      <c r="E1266" t="inlineStr">
        <is>
          <t>LAXMI METAL PRESSING WORKS PVT LTD</t>
        </is>
      </c>
      <c r="F1266" t="n">
        <v>2210</v>
      </c>
      <c r="G1266" t="inlineStr">
        <is>
          <t>TVS</t>
        </is>
      </c>
      <c r="H1266" t="inlineStr">
        <is>
          <t>63.5-0-4-ERW 1-FC</t>
        </is>
      </c>
      <c r="I1266" t="inlineStr">
        <is>
          <t>63.5-0-4-ERW 1-FC-1</t>
        </is>
      </c>
      <c r="J1266" t="n">
        <v>6</v>
      </c>
      <c r="K1266" t="inlineStr">
        <is>
          <t>LL</t>
        </is>
      </c>
    </row>
    <row r="1267" hidden="1" s="584">
      <c r="A1267" t="n">
        <v>3500816</v>
      </c>
      <c r="B1267" t="inlineStr">
        <is>
          <t>TUB-O-N-AUT-BH-FC-63.50X4.000X6.0000</t>
        </is>
      </c>
      <c r="C1267" t="n">
        <v>1.901</v>
      </c>
      <c r="D1267" t="inlineStr">
        <is>
          <t>0788</t>
        </is>
      </c>
      <c r="E1267" t="inlineStr">
        <is>
          <t>LAXMI METAL PRESSING WORKS PVT LTD</t>
        </is>
      </c>
      <c r="F1267" t="n">
        <v>2211</v>
      </c>
      <c r="G1267" t="inlineStr">
        <is>
          <t>TVS</t>
        </is>
      </c>
      <c r="H1267" t="inlineStr">
        <is>
          <t>63.5-0-4-ERW 1-FC</t>
        </is>
      </c>
      <c r="I1267" t="inlineStr">
        <is>
          <t>63.5-0-4-ERW 1-FC-1</t>
        </is>
      </c>
      <c r="J1267" t="n">
        <v>6</v>
      </c>
      <c r="K1267" t="inlineStr">
        <is>
          <t>LL</t>
        </is>
      </c>
    </row>
    <row r="1268" hidden="1" s="584">
      <c r="A1268" t="n">
        <v>3500816</v>
      </c>
      <c r="B1268" t="inlineStr">
        <is>
          <t>TUB-O-N-AUT-BH-FC-63.50X4.000X6.0000</t>
        </is>
      </c>
      <c r="C1268" t="n">
        <v>1.901</v>
      </c>
      <c r="D1268" t="inlineStr">
        <is>
          <t>0788</t>
        </is>
      </c>
      <c r="E1268" t="inlineStr">
        <is>
          <t>LAXMI METAL PRESSING WORKS PVT LTD</t>
        </is>
      </c>
      <c r="F1268" t="n">
        <v>2212</v>
      </c>
      <c r="G1268" t="inlineStr">
        <is>
          <t>TVS</t>
        </is>
      </c>
      <c r="H1268" t="inlineStr">
        <is>
          <t>63.5-0-4-ERW 1-FC</t>
        </is>
      </c>
      <c r="I1268" t="inlineStr">
        <is>
          <t>63.5-0-4-ERW 1-FC-1</t>
        </is>
      </c>
      <c r="J1268" t="n">
        <v>6</v>
      </c>
      <c r="K1268" t="inlineStr">
        <is>
          <t>LL</t>
        </is>
      </c>
    </row>
    <row r="1269" hidden="1" s="584">
      <c r="A1269" t="n">
        <v>3500816</v>
      </c>
      <c r="B1269" t="inlineStr">
        <is>
          <t>TUB-O-N-AUT-BH-FC-63.50X4.000X6.0000</t>
        </is>
      </c>
      <c r="C1269" t="n">
        <v>1.654</v>
      </c>
      <c r="D1269" t="inlineStr">
        <is>
          <t>0788</t>
        </is>
      </c>
      <c r="E1269" t="inlineStr">
        <is>
          <t>LAXMI METAL PRESSING WORKS PVT LTD</t>
        </is>
      </c>
      <c r="F1269" t="n">
        <v>2213</v>
      </c>
      <c r="G1269" t="inlineStr">
        <is>
          <t>TVS</t>
        </is>
      </c>
      <c r="H1269" t="inlineStr">
        <is>
          <t>63.5-0-4-ERW 1-FC</t>
        </is>
      </c>
      <c r="I1269" t="inlineStr">
        <is>
          <t>63.5-0-4-ERW 1-FC-1</t>
        </is>
      </c>
      <c r="J1269" t="n">
        <v>6</v>
      </c>
      <c r="K1269" t="inlineStr">
        <is>
          <t>LL</t>
        </is>
      </c>
    </row>
    <row r="1270" hidden="1" s="584">
      <c r="A1270" t="n">
        <v>3500816</v>
      </c>
      <c r="B1270" t="inlineStr">
        <is>
          <t>TUB-O-N-AUT-BH-FC-63.50X4.000X6.0000</t>
        </is>
      </c>
      <c r="C1270" t="n">
        <v>2.042</v>
      </c>
      <c r="D1270" t="inlineStr">
        <is>
          <t>0788</t>
        </is>
      </c>
      <c r="E1270" t="inlineStr">
        <is>
          <t>LAXMI METAL PRESSING WORKS PVT LTD</t>
        </is>
      </c>
      <c r="F1270" t="n">
        <v>2214</v>
      </c>
      <c r="G1270" t="inlineStr">
        <is>
          <t>TVS</t>
        </is>
      </c>
      <c r="H1270" t="inlineStr">
        <is>
          <t>63.5-0-4-ERW 1-FC</t>
        </is>
      </c>
      <c r="I1270" t="inlineStr">
        <is>
          <t>63.5-0-4-ERW 1-FC-1</t>
        </is>
      </c>
      <c r="J1270" t="n">
        <v>6</v>
      </c>
      <c r="K1270" t="inlineStr">
        <is>
          <t>LL</t>
        </is>
      </c>
    </row>
    <row r="1271" hidden="1" s="584">
      <c r="A1271" t="n">
        <v>3500816</v>
      </c>
      <c r="B1271" t="inlineStr">
        <is>
          <t>TUB-O-N-AUT-BH-FC-63.50X4.000X6.0000</t>
        </is>
      </c>
      <c r="C1271" t="n">
        <v>2.112</v>
      </c>
      <c r="D1271" t="inlineStr">
        <is>
          <t>0788</t>
        </is>
      </c>
      <c r="E1271" t="inlineStr">
        <is>
          <t>LAXMI METAL PRESSING WORKS PVT LTD</t>
        </is>
      </c>
      <c r="F1271" t="n">
        <v>2215</v>
      </c>
      <c r="G1271" t="inlineStr">
        <is>
          <t>TVS</t>
        </is>
      </c>
      <c r="H1271" t="inlineStr">
        <is>
          <t>63.5-0-4-ERW 1-FC</t>
        </is>
      </c>
      <c r="I1271" t="inlineStr">
        <is>
          <t>63.5-0-4-ERW 1-FC-1</t>
        </is>
      </c>
      <c r="J1271" t="n">
        <v>6</v>
      </c>
      <c r="K1271" t="inlineStr">
        <is>
          <t>LL</t>
        </is>
      </c>
    </row>
    <row r="1272" hidden="1" s="584">
      <c r="A1272" t="n">
        <v>3500816</v>
      </c>
      <c r="B1272" t="inlineStr">
        <is>
          <t>TUB-O-N-AUT-BH-FC-63.50X4.000X6.0000</t>
        </is>
      </c>
      <c r="C1272" t="n">
        <v>1.514</v>
      </c>
      <c r="D1272" t="inlineStr">
        <is>
          <t>0788</t>
        </is>
      </c>
      <c r="E1272" t="inlineStr">
        <is>
          <t>LAXMI METAL PRESSING WORKS PVT LTD</t>
        </is>
      </c>
      <c r="F1272" t="n">
        <v>2216</v>
      </c>
      <c r="G1272" t="inlineStr">
        <is>
          <t>TVS</t>
        </is>
      </c>
      <c r="H1272" t="inlineStr">
        <is>
          <t>63.5-0-4-ERW 1-FC</t>
        </is>
      </c>
      <c r="I1272" t="inlineStr">
        <is>
          <t>63.5-0-4-ERW 1-FC-1</t>
        </is>
      </c>
      <c r="J1272" t="n">
        <v>6</v>
      </c>
      <c r="K1272" t="inlineStr">
        <is>
          <t>LL</t>
        </is>
      </c>
    </row>
    <row r="1273" hidden="1" s="584">
      <c r="A1273" t="n">
        <v>3500816</v>
      </c>
      <c r="B1273" t="inlineStr">
        <is>
          <t>TUB-O-N-AUT-BH-FC-63.50X4.000X6.0000</t>
        </is>
      </c>
      <c r="C1273" t="n">
        <v>1.514</v>
      </c>
      <c r="D1273" t="inlineStr">
        <is>
          <t>0788</t>
        </is>
      </c>
      <c r="E1273" t="inlineStr">
        <is>
          <t>LAXMI METAL PRESSING WORKS PVT LTD</t>
        </is>
      </c>
      <c r="F1273" t="n">
        <v>2217</v>
      </c>
      <c r="G1273" t="inlineStr">
        <is>
          <t>TVS</t>
        </is>
      </c>
      <c r="H1273" t="inlineStr">
        <is>
          <t>63.5-0-4-ERW 1-FC</t>
        </is>
      </c>
      <c r="I1273" t="inlineStr">
        <is>
          <t>63.5-0-4-ERW 1-FC-1</t>
        </is>
      </c>
      <c r="J1273" t="n">
        <v>6</v>
      </c>
      <c r="K1273" t="inlineStr">
        <is>
          <t>LL</t>
        </is>
      </c>
    </row>
    <row r="1274" hidden="1" s="584">
      <c r="A1274" t="n">
        <v>3500816</v>
      </c>
      <c r="B1274" t="inlineStr">
        <is>
          <t>TUB-O-N-AUT-BH-FC-63.50X4.000X6.0000</t>
        </is>
      </c>
      <c r="C1274" t="n">
        <v>1.901</v>
      </c>
      <c r="D1274" t="inlineStr">
        <is>
          <t>0788</t>
        </is>
      </c>
      <c r="E1274" t="inlineStr">
        <is>
          <t>LAXMI METAL PRESSING WORKS PVT LTD</t>
        </is>
      </c>
      <c r="F1274" t="n">
        <v>2218</v>
      </c>
      <c r="G1274" t="inlineStr">
        <is>
          <t>TVS</t>
        </is>
      </c>
      <c r="H1274" t="inlineStr">
        <is>
          <t>63.5-0-4-ERW 1-FC</t>
        </is>
      </c>
      <c r="I1274" t="inlineStr">
        <is>
          <t>63.5-0-4-ERW 1-FC-1</t>
        </is>
      </c>
      <c r="J1274" t="n">
        <v>6</v>
      </c>
      <c r="K1274" t="inlineStr">
        <is>
          <t>LL</t>
        </is>
      </c>
    </row>
    <row r="1275" hidden="1" s="584">
      <c r="A1275" t="n">
        <v>3500816</v>
      </c>
      <c r="B1275" t="inlineStr">
        <is>
          <t>TUB-O-N-AUT-BH-FC-63.50X4.000X6.0000</t>
        </is>
      </c>
      <c r="C1275" t="n">
        <v>1.901</v>
      </c>
      <c r="D1275" t="inlineStr">
        <is>
          <t>0788</t>
        </is>
      </c>
      <c r="E1275" t="inlineStr">
        <is>
          <t>LAXMI METAL PRESSING WORKS PVT LTD</t>
        </is>
      </c>
      <c r="F1275" t="n">
        <v>2219</v>
      </c>
      <c r="G1275" t="inlineStr">
        <is>
          <t>TVS</t>
        </is>
      </c>
      <c r="H1275" t="inlineStr">
        <is>
          <t>63.5-0-4-ERW 1-FC</t>
        </is>
      </c>
      <c r="I1275" t="inlineStr">
        <is>
          <t>63.5-0-4-ERW 1-FC-1</t>
        </is>
      </c>
      <c r="J1275" t="n">
        <v>6</v>
      </c>
      <c r="K1275" t="inlineStr">
        <is>
          <t>LL</t>
        </is>
      </c>
    </row>
    <row r="1276" hidden="1" s="584">
      <c r="A1276" t="n">
        <v>4140303</v>
      </c>
      <c r="B1276" t="inlineStr">
        <is>
          <t>TUB-O-N-AUT-AW-FC-34.93X2.500X5.2300</t>
        </is>
      </c>
      <c r="C1276" t="n">
        <v>0.759</v>
      </c>
      <c r="D1276" t="n">
        <v>4731</v>
      </c>
      <c r="E1276" t="inlineStr">
        <is>
          <t>Elkayem Auto Ancillaries ( P ) LTD</t>
        </is>
      </c>
      <c r="F1276" t="n">
        <v>1925</v>
      </c>
      <c r="G1276" t="inlineStr">
        <is>
          <t>TVS</t>
        </is>
      </c>
      <c r="H1276" t="inlineStr">
        <is>
          <t>34.93-0-2.6-ERW 1-FC</t>
        </is>
      </c>
      <c r="J1276" t="n">
        <v>5.23</v>
      </c>
      <c r="K1276" t="inlineStr">
        <is>
          <t>LL</t>
        </is>
      </c>
    </row>
    <row r="1277" hidden="1" s="584">
      <c r="A1277" t="n">
        <v>3500959</v>
      </c>
      <c r="B1277" t="inlineStr">
        <is>
          <t>TUB-O-N-AUT-AW-FC-38.10X2.00X5.650-ERW 1</t>
        </is>
      </c>
      <c r="C1277" t="n">
        <v>2.131417</v>
      </c>
      <c r="D1277" t="n">
        <v>4731</v>
      </c>
      <c r="E1277" t="inlineStr">
        <is>
          <t>Neel Metal Products Limited</t>
        </is>
      </c>
      <c r="F1277" t="n">
        <v>1577</v>
      </c>
      <c r="G1277" t="inlineStr">
        <is>
          <t>TVS</t>
        </is>
      </c>
      <c r="H1277" t="inlineStr">
        <is>
          <t>38.1-0-2-ERW 1-FC</t>
        </is>
      </c>
      <c r="I1277" t="inlineStr">
        <is>
          <t>38.1-0-2-ERW 1-FC-1</t>
        </is>
      </c>
      <c r="J1277" t="n">
        <v>5.65</v>
      </c>
      <c r="K1277" t="inlineStr">
        <is>
          <t>LL</t>
        </is>
      </c>
    </row>
    <row r="1278" hidden="1" s="584">
      <c r="A1278" t="n">
        <v>3500959</v>
      </c>
      <c r="B1278" t="inlineStr">
        <is>
          <t>TUB-O-N-AUT-AW-FC-38.10X2.00X5.650-ERW 1</t>
        </is>
      </c>
      <c r="C1278" t="n">
        <v>2.141239</v>
      </c>
      <c r="D1278" t="n">
        <v>4731</v>
      </c>
      <c r="E1278" t="inlineStr">
        <is>
          <t>Neel Metal Products Limited</t>
        </is>
      </c>
      <c r="F1278" t="n">
        <v>1578</v>
      </c>
      <c r="G1278" t="inlineStr">
        <is>
          <t>TVS</t>
        </is>
      </c>
      <c r="H1278" t="inlineStr">
        <is>
          <t>38.1-0-2-ERW 1-FC</t>
        </is>
      </c>
      <c r="I1278" t="inlineStr">
        <is>
          <t>38.1-0-2-ERW 1-FC-1</t>
        </is>
      </c>
      <c r="J1278" t="n">
        <v>5.65</v>
      </c>
      <c r="K1278" t="inlineStr">
        <is>
          <t>LL</t>
        </is>
      </c>
    </row>
    <row r="1279" hidden="1" s="584">
      <c r="A1279" t="n">
        <v>3500959</v>
      </c>
      <c r="B1279" t="inlineStr">
        <is>
          <t>TUB-O-N-AUT-AW-FC-38.10X2.00X5.650-ERW 1</t>
        </is>
      </c>
      <c r="C1279" t="n">
        <v>2.386794</v>
      </c>
      <c r="D1279" t="n">
        <v>4731</v>
      </c>
      <c r="E1279" t="inlineStr">
        <is>
          <t>Neel Metal Products Limited</t>
        </is>
      </c>
      <c r="F1279" t="n">
        <v>1579</v>
      </c>
      <c r="G1279" t="inlineStr">
        <is>
          <t>TVS</t>
        </is>
      </c>
      <c r="H1279" t="inlineStr">
        <is>
          <t>38.1-0-2-ERW 1-FC</t>
        </is>
      </c>
      <c r="I1279" t="inlineStr">
        <is>
          <t>38.1-0-2-ERW 1-FC-1</t>
        </is>
      </c>
      <c r="J1279" t="n">
        <v>5.65</v>
      </c>
      <c r="K1279" t="inlineStr">
        <is>
          <t>LL</t>
        </is>
      </c>
    </row>
    <row r="1280" hidden="1" s="584">
      <c r="A1280" t="n">
        <v>3500959</v>
      </c>
      <c r="B1280" t="inlineStr">
        <is>
          <t>TUB-O-N-AUT-AW-FC-38.10X2.00X5.650-ERW 1</t>
        </is>
      </c>
      <c r="C1280" t="n">
        <v>2.131417</v>
      </c>
      <c r="D1280" t="n">
        <v>4731</v>
      </c>
      <c r="E1280" t="inlineStr">
        <is>
          <t>Neel Metal Products Limited</t>
        </is>
      </c>
      <c r="F1280" t="n">
        <v>1580</v>
      </c>
      <c r="G1280" t="inlineStr">
        <is>
          <t>TVS</t>
        </is>
      </c>
      <c r="H1280" t="inlineStr">
        <is>
          <t>38.1-0-2-ERW 1-FC</t>
        </is>
      </c>
      <c r="I1280" t="inlineStr">
        <is>
          <t>38.1-0-2-ERW 1-FC-1</t>
        </is>
      </c>
      <c r="J1280" t="n">
        <v>5.65</v>
      </c>
      <c r="K1280" t="inlineStr">
        <is>
          <t>LL</t>
        </is>
      </c>
    </row>
    <row r="1281" hidden="1" s="584">
      <c r="A1281" t="n">
        <v>3500959</v>
      </c>
      <c r="B1281" t="inlineStr">
        <is>
          <t>TUB-O-N-AUT-AW-FC-38.10X2.00X5.650-ERW 1</t>
        </is>
      </c>
      <c r="C1281" t="n">
        <v>2.131417</v>
      </c>
      <c r="D1281" t="n">
        <v>4731</v>
      </c>
      <c r="E1281" t="inlineStr">
        <is>
          <t>Neel Metal Products Limited</t>
        </is>
      </c>
      <c r="F1281" t="n">
        <v>1581</v>
      </c>
      <c r="G1281" t="inlineStr">
        <is>
          <t>TVS</t>
        </is>
      </c>
      <c r="H1281" t="inlineStr">
        <is>
          <t>38.1-0-2-ERW 1-FC</t>
        </is>
      </c>
      <c r="I1281" t="inlineStr">
        <is>
          <t>38.1-0-2-ERW 1-FC-1</t>
        </is>
      </c>
      <c r="J1281" t="n">
        <v>5.65</v>
      </c>
      <c r="K1281" t="inlineStr">
        <is>
          <t>LL</t>
        </is>
      </c>
    </row>
    <row r="1282" hidden="1" s="584">
      <c r="A1282" t="n">
        <v>3500959</v>
      </c>
      <c r="B1282" t="inlineStr">
        <is>
          <t>TUB-O-N-AUT-AW-FC-38.10X2.00X5.650-ERW 1</t>
        </is>
      </c>
      <c r="C1282" t="n">
        <v>2.131417</v>
      </c>
      <c r="D1282" t="n">
        <v>4731</v>
      </c>
      <c r="E1282" t="inlineStr">
        <is>
          <t>Neel Metal Products Limited</t>
        </is>
      </c>
      <c r="F1282" t="n">
        <v>1582</v>
      </c>
      <c r="G1282" t="inlineStr">
        <is>
          <t>TVS</t>
        </is>
      </c>
      <c r="H1282" t="inlineStr">
        <is>
          <t>38.1-0-2-ERW 1-FC</t>
        </is>
      </c>
      <c r="I1282" t="inlineStr">
        <is>
          <t>38.1-0-2-ERW 1-FC-1</t>
        </is>
      </c>
      <c r="J1282" t="n">
        <v>5.65</v>
      </c>
      <c r="K1282" t="inlineStr">
        <is>
          <t>LL</t>
        </is>
      </c>
    </row>
    <row r="1283" hidden="1" s="584">
      <c r="A1283" t="n">
        <v>3502026</v>
      </c>
      <c r="B1283" t="inlineStr">
        <is>
          <t>TUB-O-C-AUT-AD-FC-38.00X3.000X6.0000</t>
        </is>
      </c>
      <c r="C1283" t="n">
        <v>1.511126</v>
      </c>
      <c r="D1283" t="n">
        <v>4731</v>
      </c>
      <c r="E1283" t="inlineStr">
        <is>
          <t>Neel Metal Products Limited</t>
        </is>
      </c>
      <c r="F1283" t="n">
        <v>1614</v>
      </c>
      <c r="G1283" t="inlineStr">
        <is>
          <t>TVS</t>
        </is>
      </c>
      <c r="H1283" t="inlineStr">
        <is>
          <t>37.95-32-2.95-CEW-CEW</t>
        </is>
      </c>
      <c r="I1283" t="inlineStr">
        <is>
          <t>37.95-32-2.95-CEW-CEW-1</t>
        </is>
      </c>
      <c r="J1283" t="n">
        <v>6</v>
      </c>
      <c r="K1283" t="inlineStr">
        <is>
          <t>LL</t>
        </is>
      </c>
    </row>
    <row r="1284" hidden="1" s="584">
      <c r="A1284" t="n">
        <v>3502026</v>
      </c>
      <c r="B1284" t="inlineStr">
        <is>
          <t>TUB-O-C-AUT-AD-FC-38.00X3.000X6.0000</t>
        </is>
      </c>
      <c r="C1284" t="n">
        <v>2.019</v>
      </c>
      <c r="D1284" t="n">
        <v>4731</v>
      </c>
      <c r="E1284" t="inlineStr">
        <is>
          <t>Neel Metal Products Limited</t>
        </is>
      </c>
      <c r="F1284" t="n">
        <v>1615</v>
      </c>
      <c r="G1284" t="inlineStr">
        <is>
          <t>TVS</t>
        </is>
      </c>
      <c r="H1284" t="inlineStr">
        <is>
          <t>37.95-32-2.95-CEW-CEW</t>
        </is>
      </c>
      <c r="I1284" t="inlineStr">
        <is>
          <t>37.95-32-2.95-CEW-CEW-1</t>
        </is>
      </c>
      <c r="J1284" t="n">
        <v>6</v>
      </c>
      <c r="K1284" t="inlineStr">
        <is>
          <t>LL</t>
        </is>
      </c>
    </row>
    <row r="1285" hidden="1" s="584">
      <c r="A1285" t="n">
        <v>3502026</v>
      </c>
      <c r="B1285" t="inlineStr">
        <is>
          <t>TUB-O-C-AUT-AD-FC-38.00X3.000X6.0000</t>
        </is>
      </c>
      <c r="C1285" t="n">
        <v>1.926</v>
      </c>
      <c r="D1285" t="n">
        <v>4731</v>
      </c>
      <c r="E1285" t="inlineStr">
        <is>
          <t>Neel Metal Products Limited</t>
        </is>
      </c>
      <c r="F1285" t="n">
        <v>1616</v>
      </c>
      <c r="G1285" t="inlineStr">
        <is>
          <t>TVS</t>
        </is>
      </c>
      <c r="H1285" t="inlineStr">
        <is>
          <t>37.95-32-2.95-CEW-CEW</t>
        </is>
      </c>
      <c r="I1285" t="inlineStr">
        <is>
          <t>37.95-32-2.95-CEW-CEW-1</t>
        </is>
      </c>
      <c r="J1285" t="n">
        <v>6</v>
      </c>
      <c r="K1285" t="inlineStr">
        <is>
          <t>LL</t>
        </is>
      </c>
    </row>
    <row r="1286" hidden="1" s="584">
      <c r="A1286" t="n">
        <v>3502026</v>
      </c>
      <c r="B1286" t="inlineStr">
        <is>
          <t>TUB-O-C-AUT-AD-FC-38.00X3.000X6.0000</t>
        </is>
      </c>
      <c r="C1286" t="n">
        <v>1.901</v>
      </c>
      <c r="D1286" t="n">
        <v>4731</v>
      </c>
      <c r="E1286" t="inlineStr">
        <is>
          <t>Neel Metal Products Limited</t>
        </is>
      </c>
      <c r="F1286" t="n">
        <v>1617</v>
      </c>
      <c r="G1286" t="inlineStr">
        <is>
          <t>TVS</t>
        </is>
      </c>
      <c r="H1286" t="inlineStr">
        <is>
          <t>37.95-32-2.95-CEW-CEW</t>
        </is>
      </c>
      <c r="I1286" t="inlineStr">
        <is>
          <t>37.95-32-2.95-CEW-CEW-1</t>
        </is>
      </c>
      <c r="J1286" t="n">
        <v>6</v>
      </c>
      <c r="K1286" t="inlineStr">
        <is>
          <t>LL</t>
        </is>
      </c>
    </row>
    <row r="1287" hidden="1" s="584">
      <c r="A1287" t="n">
        <v>3502026</v>
      </c>
      <c r="B1287" t="inlineStr">
        <is>
          <t>TUB-O-C-AUT-AD-FC-38.00X3.000X6.0000</t>
        </is>
      </c>
      <c r="C1287" t="n">
        <v>2.071</v>
      </c>
      <c r="D1287" t="n">
        <v>4731</v>
      </c>
      <c r="E1287" t="inlineStr">
        <is>
          <t>Neel Metal Products Limited</t>
        </is>
      </c>
      <c r="F1287" t="n">
        <v>1618</v>
      </c>
      <c r="G1287" t="inlineStr">
        <is>
          <t>TVS</t>
        </is>
      </c>
      <c r="H1287" t="inlineStr">
        <is>
          <t>37.95-32-2.95-CEW-CEW</t>
        </is>
      </c>
      <c r="I1287" t="inlineStr">
        <is>
          <t>37.95-32-2.95-CEW-CEW-1</t>
        </is>
      </c>
      <c r="J1287" t="n">
        <v>6</v>
      </c>
      <c r="K1287" t="inlineStr">
        <is>
          <t>LL</t>
        </is>
      </c>
    </row>
    <row r="1288" hidden="1" s="584">
      <c r="A1288" t="n">
        <v>3502026</v>
      </c>
      <c r="B1288" t="inlineStr">
        <is>
          <t>TUB-O-C-AUT-AD-FC-38.00X3.000X6.0000</t>
        </is>
      </c>
      <c r="C1288" t="n">
        <v>1.357</v>
      </c>
      <c r="D1288" t="n">
        <v>4731</v>
      </c>
      <c r="E1288" t="inlineStr">
        <is>
          <t>Neel Metal Products Limited</t>
        </is>
      </c>
      <c r="F1288" t="n">
        <v>1619</v>
      </c>
      <c r="G1288" t="inlineStr">
        <is>
          <t>TVS</t>
        </is>
      </c>
      <c r="H1288" t="inlineStr">
        <is>
          <t>37.95-32-2.95-CEW-CEW</t>
        </is>
      </c>
      <c r="I1288" t="inlineStr">
        <is>
          <t>37.95-32-2.95-CEW-CEW-1</t>
        </is>
      </c>
      <c r="J1288" t="n">
        <v>6</v>
      </c>
      <c r="K1288" t="inlineStr">
        <is>
          <t>LL</t>
        </is>
      </c>
    </row>
    <row r="1289" hidden="1" s="584">
      <c r="A1289" t="n">
        <v>3502026</v>
      </c>
      <c r="B1289" t="inlineStr">
        <is>
          <t>TUB-O-C-AUT-AD-FC-38.00X3.000X6.0000</t>
        </is>
      </c>
      <c r="C1289" t="n">
        <v>1.932</v>
      </c>
      <c r="D1289" t="n">
        <v>4731</v>
      </c>
      <c r="E1289" t="inlineStr">
        <is>
          <t>Neel Metal Products Limited</t>
        </is>
      </c>
      <c r="F1289" t="n">
        <v>1620</v>
      </c>
      <c r="G1289" t="inlineStr">
        <is>
          <t>TVS</t>
        </is>
      </c>
      <c r="H1289" t="inlineStr">
        <is>
          <t>37.95-32-2.95-CEW-CEW</t>
        </is>
      </c>
      <c r="I1289" t="inlineStr">
        <is>
          <t>37.95-32-2.95-CEW-CEW-1</t>
        </is>
      </c>
      <c r="J1289" t="n">
        <v>6</v>
      </c>
      <c r="K1289" t="inlineStr">
        <is>
          <t>LL</t>
        </is>
      </c>
    </row>
    <row r="1290" hidden="1" s="584">
      <c r="A1290" t="n">
        <v>3502026</v>
      </c>
      <c r="B1290" t="inlineStr">
        <is>
          <t>TUB-O-C-AUT-AD-FC-38.00X3.000X6.0000</t>
        </is>
      </c>
      <c r="C1290" t="n">
        <v>2.025</v>
      </c>
      <c r="D1290" t="n">
        <v>4731</v>
      </c>
      <c r="E1290" t="inlineStr">
        <is>
          <t>Neel Metal Products Limited</t>
        </is>
      </c>
      <c r="F1290" t="n">
        <v>1621</v>
      </c>
      <c r="G1290" t="inlineStr">
        <is>
          <t>TVS</t>
        </is>
      </c>
      <c r="H1290" t="inlineStr">
        <is>
          <t>37.95-32-2.95-CEW-CEW</t>
        </is>
      </c>
      <c r="I1290" t="inlineStr">
        <is>
          <t>37.95-32-2.95-CEW-CEW-1</t>
        </is>
      </c>
      <c r="J1290" t="n">
        <v>6</v>
      </c>
      <c r="K1290" t="inlineStr">
        <is>
          <t>LL</t>
        </is>
      </c>
    </row>
    <row r="1291" hidden="1" s="584">
      <c r="A1291" t="n">
        <v>3502026</v>
      </c>
      <c r="B1291" t="inlineStr">
        <is>
          <t>TUB-O-C-AUT-AD-FC-38.00X3.000X6.0000</t>
        </is>
      </c>
      <c r="C1291" t="n">
        <v>1.429</v>
      </c>
      <c r="D1291" t="inlineStr">
        <is>
          <t>0788</t>
        </is>
      </c>
      <c r="E1291" t="inlineStr">
        <is>
          <t>Neel Metal Products Limited</t>
        </is>
      </c>
      <c r="F1291" t="n">
        <v>2220</v>
      </c>
      <c r="G1291" t="inlineStr">
        <is>
          <t>TVS</t>
        </is>
      </c>
      <c r="H1291" t="inlineStr">
        <is>
          <t>37.95-32-2.95-CEW-CEW</t>
        </is>
      </c>
      <c r="I1291" t="inlineStr">
        <is>
          <t>37.95-32-2.95-CEW-CEW-1</t>
        </is>
      </c>
      <c r="J1291" t="n">
        <v>6</v>
      </c>
      <c r="K1291" t="inlineStr">
        <is>
          <t>LL</t>
        </is>
      </c>
    </row>
    <row r="1292" hidden="1" s="584">
      <c r="A1292" t="n">
        <v>3502026</v>
      </c>
      <c r="B1292" t="inlineStr">
        <is>
          <t>TUB-O-C-AUT-AD-FC-38.00X3.000X6.0000</t>
        </is>
      </c>
      <c r="C1292" t="n">
        <v>1.972</v>
      </c>
      <c r="D1292" t="inlineStr">
        <is>
          <t>0788</t>
        </is>
      </c>
      <c r="E1292" t="inlineStr">
        <is>
          <t>Neel Metal Products Limited</t>
        </is>
      </c>
      <c r="F1292" t="n">
        <v>2221</v>
      </c>
      <c r="G1292" t="inlineStr">
        <is>
          <t>TVS</t>
        </is>
      </c>
      <c r="H1292" t="inlineStr">
        <is>
          <t>37.95-32-2.95-CEW-CEW</t>
        </is>
      </c>
      <c r="I1292" t="inlineStr">
        <is>
          <t>37.95-32-2.95-CEW-CEW-1</t>
        </is>
      </c>
      <c r="J1292" t="n">
        <v>6</v>
      </c>
      <c r="K1292" t="inlineStr">
        <is>
          <t>LL</t>
        </is>
      </c>
    </row>
    <row r="1293" hidden="1" s="584">
      <c r="A1293" t="n">
        <v>3502026</v>
      </c>
      <c r="B1293" t="inlineStr">
        <is>
          <t>TUB-O-C-AUT-AD-FC-38.00X3.000X6.0000</t>
        </is>
      </c>
      <c r="C1293" t="n">
        <v>1.832</v>
      </c>
      <c r="D1293" t="inlineStr">
        <is>
          <t>0788</t>
        </is>
      </c>
      <c r="E1293" t="inlineStr">
        <is>
          <t>Neel Metal Products Limited</t>
        </is>
      </c>
      <c r="F1293" t="n">
        <v>2222</v>
      </c>
      <c r="G1293" t="inlineStr">
        <is>
          <t>TVS</t>
        </is>
      </c>
      <c r="H1293" t="inlineStr">
        <is>
          <t>37.95-32-2.95-CEW-CEW</t>
        </is>
      </c>
      <c r="I1293" t="inlineStr">
        <is>
          <t>37.95-32-2.95-CEW-CEW-1</t>
        </is>
      </c>
      <c r="J1293" t="n">
        <v>6</v>
      </c>
      <c r="K1293" t="inlineStr">
        <is>
          <t>LL</t>
        </is>
      </c>
    </row>
    <row r="1294" hidden="1" s="584">
      <c r="A1294" t="n">
        <v>3502026</v>
      </c>
      <c r="B1294" t="inlineStr">
        <is>
          <t>TUB-O-C-AUT-AD-FC-38.00X3.000X6.0000</t>
        </is>
      </c>
      <c r="C1294" t="n">
        <v>1.926</v>
      </c>
      <c r="D1294" t="inlineStr">
        <is>
          <t>0788</t>
        </is>
      </c>
      <c r="E1294" t="inlineStr">
        <is>
          <t>Neel Metal Products Limited</t>
        </is>
      </c>
      <c r="F1294" t="n">
        <v>2223</v>
      </c>
      <c r="G1294" t="inlineStr">
        <is>
          <t>TVS</t>
        </is>
      </c>
      <c r="H1294" t="inlineStr">
        <is>
          <t>37.95-32-2.95-CEW-CEW</t>
        </is>
      </c>
      <c r="I1294" t="inlineStr">
        <is>
          <t>37.95-32-2.95-CEW-CEW-1</t>
        </is>
      </c>
      <c r="J1294" t="n">
        <v>6</v>
      </c>
      <c r="K1294" t="inlineStr">
        <is>
          <t>LL</t>
        </is>
      </c>
    </row>
    <row r="1295" hidden="1" s="584">
      <c r="A1295" t="n">
        <v>3502026</v>
      </c>
      <c r="B1295" t="inlineStr">
        <is>
          <t>TUB-O-C-AUT-AD-FC-38.00X3.000X6.0000</t>
        </is>
      </c>
      <c r="C1295" t="n">
        <v>0.652</v>
      </c>
      <c r="D1295" t="inlineStr">
        <is>
          <t>0788</t>
        </is>
      </c>
      <c r="E1295" t="inlineStr">
        <is>
          <t>Neel Metal Products Limited</t>
        </is>
      </c>
      <c r="F1295" t="n">
        <v>2224</v>
      </c>
      <c r="G1295" t="inlineStr">
        <is>
          <t>TVS</t>
        </is>
      </c>
      <c r="H1295" t="inlineStr">
        <is>
          <t>37.95-32-2.95-CEW-CEW</t>
        </is>
      </c>
      <c r="I1295" t="inlineStr">
        <is>
          <t>37.95-32-2.95-CEW-CEW-1</t>
        </is>
      </c>
      <c r="J1295" t="n">
        <v>6</v>
      </c>
      <c r="K1295" t="inlineStr">
        <is>
          <t>LL</t>
        </is>
      </c>
    </row>
    <row r="1296" hidden="1" s="584">
      <c r="A1296" t="n">
        <v>3502026</v>
      </c>
      <c r="B1296" t="inlineStr">
        <is>
          <t>TUB-O-C-AUT-AD-FC-38.00X3.000X6.0000</t>
        </is>
      </c>
      <c r="C1296" t="n">
        <v>1.056</v>
      </c>
      <c r="D1296" t="inlineStr">
        <is>
          <t>0788</t>
        </is>
      </c>
      <c r="E1296" t="inlineStr">
        <is>
          <t>Neel Metal Products Limited</t>
        </is>
      </c>
      <c r="F1296" t="n">
        <v>2225</v>
      </c>
      <c r="G1296" t="inlineStr">
        <is>
          <t>TVS</t>
        </is>
      </c>
      <c r="H1296" t="inlineStr">
        <is>
          <t>37.95-32-2.95-CEW-CEW</t>
        </is>
      </c>
      <c r="I1296" t="inlineStr">
        <is>
          <t>37.95-32-2.95-CEW-CEW-1</t>
        </is>
      </c>
      <c r="J1296" t="n">
        <v>6</v>
      </c>
      <c r="K1296" t="inlineStr">
        <is>
          <t>LL</t>
        </is>
      </c>
    </row>
    <row r="1297" hidden="1" s="584">
      <c r="A1297" t="n">
        <v>3502026</v>
      </c>
      <c r="B1297" t="inlineStr">
        <is>
          <t>TUB-O-C-AUT-AD-FC-38.00X3.000X6.0000</t>
        </is>
      </c>
      <c r="C1297" t="n">
        <v>1.242</v>
      </c>
      <c r="D1297" t="inlineStr">
        <is>
          <t>0788</t>
        </is>
      </c>
      <c r="E1297" t="inlineStr">
        <is>
          <t>Neel Metal Products Limited</t>
        </is>
      </c>
      <c r="F1297" t="n">
        <v>2226</v>
      </c>
      <c r="G1297" t="inlineStr">
        <is>
          <t>TVS</t>
        </is>
      </c>
      <c r="H1297" t="inlineStr">
        <is>
          <t>37.95-32-2.95-CEW-CEW</t>
        </is>
      </c>
      <c r="I1297" t="inlineStr">
        <is>
          <t>37.95-32-2.95-CEW-CEW-1</t>
        </is>
      </c>
      <c r="J1297" t="n">
        <v>6</v>
      </c>
      <c r="K1297" t="inlineStr">
        <is>
          <t>LL</t>
        </is>
      </c>
    </row>
    <row r="1298" hidden="1" s="584">
      <c r="A1298" t="n">
        <v>3502026</v>
      </c>
      <c r="B1298" t="inlineStr">
        <is>
          <t>TUB-O-C-AUT-AD-FC-38.00X3.000X6.0000</t>
        </is>
      </c>
      <c r="C1298" t="n">
        <v>1.087</v>
      </c>
      <c r="D1298" t="inlineStr">
        <is>
          <t>0788</t>
        </is>
      </c>
      <c r="E1298" t="inlineStr">
        <is>
          <t>Neel Metal Products Limited</t>
        </is>
      </c>
      <c r="F1298" t="n">
        <v>2227</v>
      </c>
      <c r="G1298" t="inlineStr">
        <is>
          <t>TVS</t>
        </is>
      </c>
      <c r="H1298" t="inlineStr">
        <is>
          <t>37.95-32-2.95-CEW-CEW</t>
        </is>
      </c>
      <c r="I1298" t="inlineStr">
        <is>
          <t>37.95-32-2.95-CEW-CEW-1</t>
        </is>
      </c>
      <c r="J1298" t="n">
        <v>6</v>
      </c>
      <c r="K1298" t="inlineStr">
        <is>
          <t>LL</t>
        </is>
      </c>
    </row>
    <row r="1299" hidden="1" s="584">
      <c r="A1299" t="n">
        <v>3502026</v>
      </c>
      <c r="B1299" t="inlineStr">
        <is>
          <t>TUB-O-C-AUT-AD-FC-38.00X3.000X6.0000</t>
        </is>
      </c>
      <c r="C1299" t="n">
        <v>1.537</v>
      </c>
      <c r="D1299" t="inlineStr">
        <is>
          <t>0788</t>
        </is>
      </c>
      <c r="E1299" t="inlineStr">
        <is>
          <t>Neel Metal Products Limited</t>
        </is>
      </c>
      <c r="F1299" t="n">
        <v>2228</v>
      </c>
      <c r="G1299" t="inlineStr">
        <is>
          <t>TVS</t>
        </is>
      </c>
      <c r="H1299" t="inlineStr">
        <is>
          <t>37.95-32-2.95-CEW-CEW</t>
        </is>
      </c>
      <c r="I1299" t="inlineStr">
        <is>
          <t>37.95-32-2.95-CEW-CEW-1</t>
        </is>
      </c>
      <c r="J1299" t="n">
        <v>6</v>
      </c>
      <c r="K1299" t="inlineStr">
        <is>
          <t>LL</t>
        </is>
      </c>
    </row>
    <row r="1300" hidden="1" s="584">
      <c r="A1300" t="n">
        <v>3501047</v>
      </c>
      <c r="B1300" t="inlineStr">
        <is>
          <t>TUB-O-N-AUT-AW-FC-57.15X2.50X5.750-ERW 1</t>
        </is>
      </c>
      <c r="C1300" t="n">
        <v>0.806104</v>
      </c>
      <c r="D1300" t="n">
        <v>4731</v>
      </c>
      <c r="E1300" t="inlineStr">
        <is>
          <t>Rajsriya Automotive Ind Pvt Ltd.</t>
        </is>
      </c>
      <c r="F1300" t="n">
        <v>1583</v>
      </c>
      <c r="G1300" t="inlineStr">
        <is>
          <t>TVS</t>
        </is>
      </c>
      <c r="H1300" t="inlineStr">
        <is>
          <t>57.15-0-2.5-ERW 1-FC</t>
        </is>
      </c>
      <c r="I1300" t="inlineStr">
        <is>
          <t>57.15-0-2.5-ERW 1-FC-1</t>
        </is>
      </c>
      <c r="J1300" t="n">
        <v>5.75</v>
      </c>
      <c r="K1300" t="inlineStr">
        <is>
          <t>LL</t>
        </is>
      </c>
    </row>
    <row r="1301" hidden="1" s="584">
      <c r="A1301" t="n">
        <v>3501264</v>
      </c>
      <c r="B1301" t="inlineStr">
        <is>
          <t>TUB-O-N-AUT-AW-FC-57.15X2.000X6.0000</t>
        </is>
      </c>
      <c r="C1301" t="n">
        <v>2.022729</v>
      </c>
      <c r="D1301" t="n">
        <v>4731</v>
      </c>
      <c r="E1301" t="inlineStr">
        <is>
          <t>Rajsriya Automotive Ind Pvt Ltd.</t>
        </is>
      </c>
      <c r="F1301" t="n">
        <v>1593</v>
      </c>
      <c r="G1301" t="inlineStr">
        <is>
          <t>TVS</t>
        </is>
      </c>
      <c r="H1301" t="inlineStr">
        <is>
          <t>57.15-0-2-ERW 1-FC</t>
        </is>
      </c>
      <c r="I1301" t="inlineStr">
        <is>
          <t>57.15-0-2-ERW 1-FC-1</t>
        </is>
      </c>
      <c r="J1301" t="n">
        <v>6</v>
      </c>
      <c r="K1301" t="inlineStr">
        <is>
          <t>LL</t>
        </is>
      </c>
    </row>
    <row r="1302" hidden="1" s="584">
      <c r="A1302" t="n">
        <v>3501264</v>
      </c>
      <c r="B1302" t="inlineStr">
        <is>
          <t>TUB-O-N-AUT-AW-FC-57.15X2.000X6.0000</t>
        </is>
      </c>
      <c r="C1302" t="n">
        <v>0.31625</v>
      </c>
      <c r="D1302" t="n">
        <v>4731</v>
      </c>
      <c r="E1302" t="inlineStr">
        <is>
          <t>Rajsriya Automotive Ind Pvt Ltd.</t>
        </is>
      </c>
      <c r="F1302" t="n">
        <v>1594</v>
      </c>
      <c r="G1302" t="inlineStr">
        <is>
          <t>TVS</t>
        </is>
      </c>
      <c r="H1302" t="inlineStr">
        <is>
          <t>57.15-0-2-ERW 1-FC</t>
        </is>
      </c>
      <c r="I1302" t="inlineStr">
        <is>
          <t>57.15-0-2-ERW 1-FC-1</t>
        </is>
      </c>
      <c r="J1302" t="n">
        <v>6</v>
      </c>
      <c r="K1302" t="inlineStr">
        <is>
          <t>LL</t>
        </is>
      </c>
    </row>
    <row r="1303" hidden="1" s="584">
      <c r="A1303" t="n">
        <v>3501264</v>
      </c>
      <c r="B1303" t="inlineStr">
        <is>
          <t>TUB-O-N-AUT-AW-FC-57.15X2.000X6.0000</t>
        </is>
      </c>
      <c r="C1303" t="n">
        <v>0.116119</v>
      </c>
      <c r="D1303" t="n">
        <v>4731</v>
      </c>
      <c r="E1303" t="inlineStr">
        <is>
          <t>Rajsriya Automotive Ind Pvt Ltd.</t>
        </is>
      </c>
      <c r="F1303" t="n">
        <v>1595</v>
      </c>
      <c r="G1303" t="inlineStr">
        <is>
          <t>TVS</t>
        </is>
      </c>
      <c r="H1303" t="inlineStr">
        <is>
          <t>57.15-0-2-ERW 1-FC</t>
        </is>
      </c>
      <c r="I1303" t="inlineStr">
        <is>
          <t>57.15-0-2-ERW 1-FC-1</t>
        </is>
      </c>
      <c r="J1303" t="n">
        <v>6</v>
      </c>
      <c r="K1303" t="inlineStr">
        <is>
          <t>LL</t>
        </is>
      </c>
    </row>
    <row r="1304" hidden="1" s="584">
      <c r="A1304" t="n">
        <v>3502254</v>
      </c>
      <c r="B1304" t="inlineStr">
        <is>
          <t>TUB-O-N-AUT-AW-FC-38.10X1.600X6.1900</t>
        </is>
      </c>
      <c r="C1304" t="n">
        <v>1.7938</v>
      </c>
      <c r="D1304" t="n">
        <v>4731</v>
      </c>
      <c r="E1304" t="inlineStr">
        <is>
          <t>Neel Metal Products Limited</t>
        </is>
      </c>
      <c r="F1304" t="n">
        <v>1634</v>
      </c>
      <c r="G1304" t="inlineStr">
        <is>
          <t>TVS</t>
        </is>
      </c>
      <c r="H1304" t="inlineStr">
        <is>
          <t>38.1-0-1.6-ERW 1.6 MAHS-FC</t>
        </is>
      </c>
      <c r="I1304" t="inlineStr">
        <is>
          <t>38.1-0-1.6-ERW 1.6 MAHS-FC-1</t>
        </is>
      </c>
      <c r="J1304" t="n">
        <v>6.19</v>
      </c>
      <c r="K1304" t="inlineStr">
        <is>
          <t>LL</t>
        </is>
      </c>
    </row>
    <row r="1305" hidden="1" s="584">
      <c r="A1305" t="n">
        <v>3502254</v>
      </c>
      <c r="B1305" t="inlineStr">
        <is>
          <t>TUB-O-N-AUT-AW-FC-38.10X1.600X6.1900</t>
        </is>
      </c>
      <c r="C1305" t="n">
        <v>1.20345</v>
      </c>
      <c r="D1305" t="n">
        <v>4731</v>
      </c>
      <c r="E1305" t="inlineStr">
        <is>
          <t>Neel Metal Products Limited</t>
        </is>
      </c>
      <c r="F1305" t="n">
        <v>1635</v>
      </c>
      <c r="G1305" t="inlineStr">
        <is>
          <t>TVS</t>
        </is>
      </c>
      <c r="H1305" t="inlineStr">
        <is>
          <t>38.1-0-1.6-ERW 1.6 MAHS-FC</t>
        </is>
      </c>
      <c r="I1305" t="inlineStr">
        <is>
          <t>38.1-0-1.6-ERW 1.6 MAHS-FC-1</t>
        </is>
      </c>
      <c r="J1305" t="n">
        <v>6.19</v>
      </c>
      <c r="K1305" t="inlineStr">
        <is>
          <t>LL</t>
        </is>
      </c>
    </row>
    <row r="1306" hidden="1" s="584">
      <c r="A1306" t="n">
        <v>3502422</v>
      </c>
      <c r="B1306" t="inlineStr">
        <is>
          <t>TUB-O-N-AUT-AW-FC-48.60X3.500X6.0500</t>
        </is>
      </c>
      <c r="C1306" t="n">
        <v>2.920448</v>
      </c>
      <c r="D1306" t="n">
        <v>4731</v>
      </c>
      <c r="E1306" t="inlineStr">
        <is>
          <t>SANDHAR ENGINEERING PVT LTD.(KA) -U</t>
        </is>
      </c>
      <c r="F1306" t="n">
        <v>1637</v>
      </c>
      <c r="G1306" t="inlineStr">
        <is>
          <t>TVS</t>
        </is>
      </c>
      <c r="H1306" t="inlineStr">
        <is>
          <t>48.6-0-3.5-ERW 1-FC</t>
        </is>
      </c>
      <c r="I1306" t="inlineStr">
        <is>
          <t>48.6-0-3.5-ERW 1-FC-1</t>
        </is>
      </c>
      <c r="J1306" t="n">
        <v>6.05</v>
      </c>
      <c r="K1306" t="inlineStr">
        <is>
          <t>LL</t>
        </is>
      </c>
    </row>
    <row r="1307" hidden="1" s="584">
      <c r="A1307" t="n">
        <v>3502422</v>
      </c>
      <c r="B1307" t="inlineStr">
        <is>
          <t>TUB-O-N-AUT-AW-FC-48.60X3.500X6.0500</t>
        </is>
      </c>
      <c r="C1307" t="n">
        <v>3.108864</v>
      </c>
      <c r="D1307" t="n">
        <v>4731</v>
      </c>
      <c r="E1307" t="inlineStr">
        <is>
          <t>SANDHAR ENGINEERING PVT LTD.(KA) -U</t>
        </is>
      </c>
      <c r="F1307" t="n">
        <v>1638</v>
      </c>
      <c r="G1307" t="inlineStr">
        <is>
          <t>TVS</t>
        </is>
      </c>
      <c r="H1307" t="inlineStr">
        <is>
          <t>48.6-0-3.5-ERW 1-FC</t>
        </is>
      </c>
      <c r="I1307" t="inlineStr">
        <is>
          <t>48.6-0-3.5-ERW 1-FC-1</t>
        </is>
      </c>
      <c r="J1307" t="n">
        <v>6.05</v>
      </c>
      <c r="K1307" t="inlineStr">
        <is>
          <t>LL</t>
        </is>
      </c>
    </row>
    <row r="1308" hidden="1" s="584">
      <c r="A1308" t="n">
        <v>3531650</v>
      </c>
      <c r="B1308" t="inlineStr">
        <is>
          <t>TUB-O-N-AUT-AW-CH-48.60X3.500X0.1850</t>
        </is>
      </c>
      <c r="C1308" t="n">
        <v>2.930144</v>
      </c>
      <c r="D1308" t="n">
        <v>4731</v>
      </c>
      <c r="E1308" t="inlineStr">
        <is>
          <t>Metalman Auto Private Limited</t>
        </is>
      </c>
      <c r="F1308" t="n">
        <v>1660</v>
      </c>
      <c r="G1308" t="inlineStr">
        <is>
          <t>TVS</t>
        </is>
      </c>
      <c r="H1308" t="inlineStr">
        <is>
          <t>48.6-0-3.5-ERW 1-FC</t>
        </is>
      </c>
      <c r="I1308" t="inlineStr">
        <is>
          <t>48.6-0-3.5-ERW 1-FC-0.185</t>
        </is>
      </c>
      <c r="J1308" t="n">
        <v>0.185</v>
      </c>
      <c r="K1308" t="inlineStr">
        <is>
          <t>CTL</t>
        </is>
      </c>
    </row>
    <row r="1309" hidden="1" s="584">
      <c r="A1309" t="n">
        <v>3531650</v>
      </c>
      <c r="B1309" t="inlineStr">
        <is>
          <t>TUB-O-N-AUT-AW-CH-48.60X3.500X0.1850</t>
        </is>
      </c>
      <c r="C1309" t="n">
        <v>0.121405</v>
      </c>
      <c r="D1309" t="n">
        <v>4731</v>
      </c>
      <c r="E1309" t="inlineStr">
        <is>
          <t>Metalman Auto Private Limited</t>
        </is>
      </c>
      <c r="F1309" t="n">
        <v>1661</v>
      </c>
      <c r="G1309" t="inlineStr">
        <is>
          <t>TVS</t>
        </is>
      </c>
      <c r="H1309" t="inlineStr">
        <is>
          <t>48.6-0-3.5-ERW 1-FC</t>
        </is>
      </c>
      <c r="I1309" t="inlineStr">
        <is>
          <t>48.6-0-3.5-ERW 1-FC-0.185</t>
        </is>
      </c>
      <c r="J1309" t="n">
        <v>0.185</v>
      </c>
      <c r="K1309" t="inlineStr">
        <is>
          <t>CTL</t>
        </is>
      </c>
    </row>
    <row r="1310" hidden="1" s="584">
      <c r="A1310" t="n">
        <v>3531650</v>
      </c>
      <c r="B1310" t="inlineStr">
        <is>
          <t>TUB-O-N-AUT-AW-CH-48.60X3.500X0.1850</t>
        </is>
      </c>
      <c r="C1310" t="n">
        <v>0.209786</v>
      </c>
      <c r="D1310" t="n">
        <v>4731</v>
      </c>
      <c r="E1310" t="inlineStr">
        <is>
          <t>Metalman Auto Private Limited</t>
        </is>
      </c>
      <c r="F1310" t="n">
        <v>1662</v>
      </c>
      <c r="G1310" t="inlineStr">
        <is>
          <t>TVS</t>
        </is>
      </c>
      <c r="H1310" t="inlineStr">
        <is>
          <t>48.6-0-3.5-ERW 1-FC</t>
        </is>
      </c>
      <c r="I1310" t="inlineStr">
        <is>
          <t>48.6-0-3.5-ERW 1-FC-0.185</t>
        </is>
      </c>
      <c r="J1310" t="n">
        <v>0.185</v>
      </c>
      <c r="K1310" t="inlineStr">
        <is>
          <t>CTL</t>
        </is>
      </c>
    </row>
    <row r="1311" hidden="1" s="584">
      <c r="A1311" t="n">
        <v>3537130</v>
      </c>
      <c r="B1311" t="inlineStr">
        <is>
          <t>TUB-O-N-AUT-AW-FC-25.40X2.500X5.8700</t>
        </is>
      </c>
      <c r="C1311" t="n">
        <v>0.201137</v>
      </c>
      <c r="D1311" t="n">
        <v>4731</v>
      </c>
      <c r="E1311" t="inlineStr">
        <is>
          <t>SANDHAR ENGINEERING PVT LTD.(KA) -U</t>
        </is>
      </c>
      <c r="F1311" t="n">
        <v>1666</v>
      </c>
      <c r="G1311" t="inlineStr">
        <is>
          <t>TVS</t>
        </is>
      </c>
      <c r="H1311" t="inlineStr">
        <is>
          <t>25.4-0-2.5-ERW 1-FC</t>
        </is>
      </c>
      <c r="I1311" t="inlineStr">
        <is>
          <t>25.4-0-2.5-ERW 1-FC-1</t>
        </is>
      </c>
    </row>
    <row r="1312" hidden="1" s="584">
      <c r="A1312" t="n">
        <v>3545558</v>
      </c>
      <c r="B1312" t="inlineStr">
        <is>
          <t>TUB-O-N-AUT-AW-FC-45.00X1.400X5.7000</t>
        </is>
      </c>
      <c r="C1312" t="n">
        <v>0.309359</v>
      </c>
      <c r="D1312" t="n">
        <v>4731</v>
      </c>
      <c r="E1312" t="inlineStr">
        <is>
          <t>MEGH STEELS PRIVATE LIMITED - HMSIL</t>
        </is>
      </c>
      <c r="F1312" t="n">
        <v>1669</v>
      </c>
      <c r="G1312" t="inlineStr">
        <is>
          <t>Direct</t>
        </is>
      </c>
      <c r="H1312" t="inlineStr">
        <is>
          <t>45--1.4-ERW 1-FIN CUT</t>
        </is>
      </c>
      <c r="I1312" t="inlineStr">
        <is>
          <t>45--1.4-ERW 1-FIN CUT-1</t>
        </is>
      </c>
      <c r="J1312" t="n">
        <v>5.7</v>
      </c>
      <c r="K1312" t="inlineStr">
        <is>
          <t>LL</t>
        </is>
      </c>
    </row>
    <row r="1313" hidden="1" s="584">
      <c r="A1313" t="n">
        <v>3575647</v>
      </c>
      <c r="B1313" t="inlineStr">
        <is>
          <t>TUB-O-N-AUT-AW-FC-48.60X1.200X5.8200</t>
        </is>
      </c>
      <c r="C1313" t="n">
        <v>0.09531300000000002</v>
      </c>
      <c r="D1313" t="n">
        <v>4731</v>
      </c>
      <c r="E1313" t="inlineStr">
        <is>
          <t>SANDHAR ENGINEERING PVT LTD.(KA) -U</t>
        </is>
      </c>
      <c r="F1313" t="n">
        <v>1685</v>
      </c>
      <c r="G1313" t="inlineStr">
        <is>
          <t>TVS</t>
        </is>
      </c>
      <c r="H1313" t="inlineStr">
        <is>
          <t>48.6-0-1.2-ERW 1-FC</t>
        </is>
      </c>
      <c r="J1313" t="n">
        <v>5.82</v>
      </c>
      <c r="K1313" t="inlineStr">
        <is>
          <t>LL</t>
        </is>
      </c>
    </row>
    <row r="1314" hidden="1" s="584">
      <c r="A1314" t="n">
        <v>3575647</v>
      </c>
      <c r="B1314" t="inlineStr">
        <is>
          <t>TUB-O-N-AUT-AW-FC-48.60X1.200X5.8200</t>
        </is>
      </c>
      <c r="C1314" t="n">
        <v>0.5284310000000001</v>
      </c>
      <c r="D1314" t="n">
        <v>4731</v>
      </c>
      <c r="E1314" t="inlineStr">
        <is>
          <t>SANDHAR ENGINEERING PVT LTD.(KA) -U</t>
        </is>
      </c>
      <c r="F1314" t="n">
        <v>1686</v>
      </c>
      <c r="G1314" t="inlineStr">
        <is>
          <t>TVS</t>
        </is>
      </c>
      <c r="H1314" t="inlineStr">
        <is>
          <t>48.6-0-1.2-ERW 1-FC</t>
        </is>
      </c>
      <c r="J1314" t="n">
        <v>5.82</v>
      </c>
      <c r="K1314" t="inlineStr">
        <is>
          <t>LL</t>
        </is>
      </c>
    </row>
    <row r="1315" hidden="1" s="584">
      <c r="A1315" t="n">
        <v>3575647</v>
      </c>
      <c r="B1315" t="inlineStr">
        <is>
          <t>TUB-O-N-AUT-AW-FC-48.60X1.200X5.8200</t>
        </is>
      </c>
      <c r="C1315" t="n">
        <v>0.4133</v>
      </c>
      <c r="D1315" t="n">
        <v>4731</v>
      </c>
      <c r="E1315" t="inlineStr">
        <is>
          <t>SANDHAR ENGINEERING PVT LTD.(KA) -U</t>
        </is>
      </c>
      <c r="F1315" t="n">
        <v>1687</v>
      </c>
      <c r="G1315" t="inlineStr">
        <is>
          <t>TVS</t>
        </is>
      </c>
      <c r="H1315" t="inlineStr">
        <is>
          <t>48.6-0-1.2-ERW 1-FC</t>
        </is>
      </c>
      <c r="J1315" t="n">
        <v>5.82</v>
      </c>
      <c r="K1315" t="inlineStr">
        <is>
          <t>LL</t>
        </is>
      </c>
    </row>
    <row r="1316" hidden="1" s="584">
      <c r="A1316" t="n">
        <v>3575647</v>
      </c>
      <c r="B1316" t="inlineStr">
        <is>
          <t>TUB-O-N-AUT-AW-FC-48.60X1.200X5.8200</t>
        </is>
      </c>
      <c r="C1316" t="n">
        <v>0.921</v>
      </c>
      <c r="D1316" t="n">
        <v>4731</v>
      </c>
      <c r="E1316" t="inlineStr">
        <is>
          <t>SANDHAR ENGINEERING PVT LTD.(KA) -U</t>
        </is>
      </c>
      <c r="F1316" t="n">
        <v>1688</v>
      </c>
      <c r="G1316" t="inlineStr">
        <is>
          <t>TVS</t>
        </is>
      </c>
      <c r="H1316" t="inlineStr">
        <is>
          <t>48.6-0-1.2-ERW 1-FC</t>
        </is>
      </c>
      <c r="J1316" t="n">
        <v>5.82</v>
      </c>
      <c r="K1316" t="inlineStr">
        <is>
          <t>LL</t>
        </is>
      </c>
    </row>
    <row r="1317" hidden="1" s="584">
      <c r="A1317" t="n">
        <v>3575647</v>
      </c>
      <c r="B1317" t="inlineStr">
        <is>
          <t>TUB-O-N-AUT-AW-FC-48.60X1.200X5.8200</t>
        </is>
      </c>
      <c r="C1317" t="n">
        <v>0.08197</v>
      </c>
      <c r="D1317" t="n">
        <v>4731</v>
      </c>
      <c r="E1317" t="inlineStr">
        <is>
          <t>SANDHAR ENGINEERING PVT LTD.(KA) -U</t>
        </is>
      </c>
      <c r="F1317" t="n">
        <v>1689</v>
      </c>
      <c r="G1317" t="inlineStr">
        <is>
          <t>TVS</t>
        </is>
      </c>
      <c r="H1317" t="inlineStr">
        <is>
          <t>48.6-0-1.2-ERW 1-FC</t>
        </is>
      </c>
      <c r="J1317" t="n">
        <v>5.82</v>
      </c>
      <c r="K1317" t="inlineStr">
        <is>
          <t>LL</t>
        </is>
      </c>
    </row>
    <row r="1318" hidden="1" s="584">
      <c r="A1318" t="n">
        <v>3575647</v>
      </c>
      <c r="B1318" t="inlineStr">
        <is>
          <t>TUB-O-N-AUT-AW-FC-48.60X1.200X5.8200</t>
        </is>
      </c>
      <c r="C1318" t="n">
        <v>0.154769</v>
      </c>
      <c r="D1318" t="n">
        <v>4731</v>
      </c>
      <c r="E1318" t="inlineStr">
        <is>
          <t>SANDHAR ENGINEERING PVT LTD.(KA) -U</t>
        </is>
      </c>
      <c r="F1318" t="n">
        <v>1690</v>
      </c>
      <c r="G1318" t="inlineStr">
        <is>
          <t>TVS</t>
        </is>
      </c>
      <c r="H1318" t="inlineStr">
        <is>
          <t>48.6-0-1.2-ERW 1-FC</t>
        </is>
      </c>
      <c r="J1318" t="n">
        <v>5.82</v>
      </c>
      <c r="K1318" t="inlineStr">
        <is>
          <t>LL</t>
        </is>
      </c>
    </row>
    <row r="1319" hidden="1" s="584">
      <c r="A1319" t="n">
        <v>3575647</v>
      </c>
      <c r="B1319" t="inlineStr">
        <is>
          <t>TUB-O-N-AUT-AW-FC-48.60X1.200X5.8200</t>
        </is>
      </c>
      <c r="C1319" t="n">
        <v>0.898</v>
      </c>
      <c r="D1319" t="n">
        <v>4731</v>
      </c>
      <c r="E1319" t="inlineStr">
        <is>
          <t>SANDHAR ENGINEERING PVT LTD.(KA) -U</t>
        </is>
      </c>
      <c r="F1319" t="n">
        <v>1691</v>
      </c>
      <c r="G1319" t="inlineStr">
        <is>
          <t>TVS</t>
        </is>
      </c>
      <c r="H1319" t="inlineStr">
        <is>
          <t>48.6-0-1.2-ERW 1-FC</t>
        </is>
      </c>
      <c r="J1319" t="n">
        <v>5.82</v>
      </c>
      <c r="K1319" t="inlineStr">
        <is>
          <t>LL</t>
        </is>
      </c>
    </row>
    <row r="1320" hidden="1" s="584">
      <c r="A1320" t="n">
        <v>3575647</v>
      </c>
      <c r="B1320" t="inlineStr">
        <is>
          <t>TUB-O-N-AUT-AW-FC-48.60X1.200X5.8200</t>
        </is>
      </c>
      <c r="C1320" t="n">
        <v>0.854</v>
      </c>
      <c r="D1320" t="n">
        <v>4731</v>
      </c>
      <c r="E1320" t="inlineStr">
        <is>
          <t>SANDHAR ENGINEERING PVT LTD.(KA) -U</t>
        </is>
      </c>
      <c r="F1320" t="n">
        <v>1692</v>
      </c>
      <c r="G1320" t="inlineStr">
        <is>
          <t>TVS</t>
        </is>
      </c>
      <c r="H1320" t="inlineStr">
        <is>
          <t>48.6-0-1.2-ERW 1-FC</t>
        </is>
      </c>
      <c r="J1320" t="n">
        <v>5.82</v>
      </c>
      <c r="K1320" t="inlineStr">
        <is>
          <t>LL</t>
        </is>
      </c>
    </row>
    <row r="1321" hidden="1" s="584">
      <c r="A1321" t="n">
        <v>3682063</v>
      </c>
      <c r="B1321" t="inlineStr">
        <is>
          <t>TUB-O-N-AUT-AW-FC-38.10X2.000X5.8010</t>
        </is>
      </c>
      <c r="C1321" t="n">
        <v>2.151161</v>
      </c>
      <c r="D1321" t="n">
        <v>4731</v>
      </c>
      <c r="E1321" t="inlineStr">
        <is>
          <t>SANDHAR ENGINEERING PVT LTD.(KA) -U</t>
        </is>
      </c>
      <c r="F1321" t="n">
        <v>1707</v>
      </c>
      <c r="G1321" t="inlineStr">
        <is>
          <t>TVS</t>
        </is>
      </c>
      <c r="H1321" t="inlineStr">
        <is>
          <t>38.1-0-2-ERW 1-FC</t>
        </is>
      </c>
      <c r="I1321" t="inlineStr">
        <is>
          <t>38.1-0-2-ERW 1-FC-1</t>
        </is>
      </c>
      <c r="J1321" t="n">
        <v>5.801</v>
      </c>
      <c r="K1321" t="inlineStr">
        <is>
          <t>LL</t>
        </is>
      </c>
    </row>
    <row r="1322" hidden="1" s="584">
      <c r="A1322" t="n">
        <v>3682063</v>
      </c>
      <c r="B1322" t="inlineStr">
        <is>
          <t>TUB-O-N-AUT-AW-FC-38.10X2.000X5.8010</t>
        </is>
      </c>
      <c r="C1322" t="n">
        <v>2.208615</v>
      </c>
      <c r="D1322" t="n">
        <v>4731</v>
      </c>
      <c r="E1322" t="inlineStr">
        <is>
          <t>SANDHAR ENGINEERING PVT LTD.(KA) -U</t>
        </is>
      </c>
      <c r="F1322" t="n">
        <v>1708</v>
      </c>
      <c r="G1322" t="inlineStr">
        <is>
          <t>TVS</t>
        </is>
      </c>
      <c r="H1322" t="inlineStr">
        <is>
          <t>38.1-0-2-ERW 1-FC</t>
        </is>
      </c>
      <c r="I1322" t="inlineStr">
        <is>
          <t>38.1-0-2-ERW 1-FC-1</t>
        </is>
      </c>
      <c r="J1322" t="n">
        <v>5.801</v>
      </c>
      <c r="K1322" t="inlineStr">
        <is>
          <t>LL</t>
        </is>
      </c>
    </row>
    <row r="1323" hidden="1" s="584">
      <c r="A1323" t="n">
        <v>3682063</v>
      </c>
      <c r="B1323" t="inlineStr">
        <is>
          <t>TUB-O-N-AUT-AW-FC-38.10X2.000X5.8010</t>
        </is>
      </c>
      <c r="C1323" t="n">
        <v>2.188445</v>
      </c>
      <c r="D1323" t="n">
        <v>4731</v>
      </c>
      <c r="E1323" t="inlineStr">
        <is>
          <t>SANDHAR ENGINEERING PVT LTD.(KA) -U</t>
        </is>
      </c>
      <c r="F1323" t="n">
        <v>1709</v>
      </c>
      <c r="G1323" t="inlineStr">
        <is>
          <t>TVS</t>
        </is>
      </c>
      <c r="H1323" t="inlineStr">
        <is>
          <t>38.1-0-2-ERW 1-FC</t>
        </is>
      </c>
      <c r="I1323" t="inlineStr">
        <is>
          <t>38.1-0-2-ERW 1-FC-1</t>
        </is>
      </c>
      <c r="J1323" t="n">
        <v>5.801</v>
      </c>
      <c r="K1323" t="inlineStr">
        <is>
          <t>LL</t>
        </is>
      </c>
    </row>
    <row r="1324" hidden="1" s="584">
      <c r="A1324" t="n">
        <v>3682063</v>
      </c>
      <c r="B1324" t="inlineStr">
        <is>
          <t>TUB-O-N-AUT-AW-FC-38.10X2.000X5.8010</t>
        </is>
      </c>
      <c r="C1324" t="n">
        <v>2.19853</v>
      </c>
      <c r="D1324" t="n">
        <v>4731</v>
      </c>
      <c r="E1324" t="inlineStr">
        <is>
          <t>SANDHAR ENGINEERING PVT LTD.(KA) -U</t>
        </is>
      </c>
      <c r="F1324" t="n">
        <v>1710</v>
      </c>
      <c r="G1324" t="inlineStr">
        <is>
          <t>TVS</t>
        </is>
      </c>
      <c r="H1324" t="inlineStr">
        <is>
          <t>38.1-0-2-ERW 1-FC</t>
        </is>
      </c>
      <c r="I1324" t="inlineStr">
        <is>
          <t>38.1-0-2-ERW 1-FC-1</t>
        </is>
      </c>
      <c r="J1324" t="n">
        <v>5.801</v>
      </c>
      <c r="K1324" t="inlineStr">
        <is>
          <t>LL</t>
        </is>
      </c>
    </row>
    <row r="1325" hidden="1" s="584">
      <c r="A1325" t="n">
        <v>3682063</v>
      </c>
      <c r="B1325" t="inlineStr">
        <is>
          <t>TUB-O-N-AUT-AW-FC-38.10X2.000X5.8010</t>
        </is>
      </c>
      <c r="C1325" t="n">
        <v>2.188445</v>
      </c>
      <c r="D1325" t="n">
        <v>4731</v>
      </c>
      <c r="E1325" t="inlineStr">
        <is>
          <t>SANDHAR ENGINEERING PVT LTD.(KA) -U</t>
        </is>
      </c>
      <c r="F1325" t="n">
        <v>1711</v>
      </c>
      <c r="G1325" t="inlineStr">
        <is>
          <t>TVS</t>
        </is>
      </c>
      <c r="H1325" t="inlineStr">
        <is>
          <t>38.1-0-2-ERW 1-FC</t>
        </is>
      </c>
      <c r="I1325" t="inlineStr">
        <is>
          <t>38.1-0-2-ERW 1-FC-1</t>
        </is>
      </c>
      <c r="J1325" t="n">
        <v>5.801</v>
      </c>
      <c r="K1325" t="inlineStr">
        <is>
          <t>LL</t>
        </is>
      </c>
    </row>
    <row r="1326" hidden="1" s="584">
      <c r="A1326" t="n">
        <v>3682063</v>
      </c>
      <c r="B1326" t="inlineStr">
        <is>
          <t>TUB-O-N-AUT-AW-FC-38.10X2.000X5.8010</t>
        </is>
      </c>
      <c r="C1326" t="n">
        <v>2.2187</v>
      </c>
      <c r="D1326" t="n">
        <v>4731</v>
      </c>
      <c r="E1326" t="inlineStr">
        <is>
          <t>SANDHAR ENGINEERING PVT LTD.(KA) -U</t>
        </is>
      </c>
      <c r="F1326" t="n">
        <v>1712</v>
      </c>
      <c r="G1326" t="inlineStr">
        <is>
          <t>TVS</t>
        </is>
      </c>
      <c r="H1326" t="inlineStr">
        <is>
          <t>38.1-0-2-ERW 1-FC</t>
        </is>
      </c>
      <c r="I1326" t="inlineStr">
        <is>
          <t>38.1-0-2-ERW 1-FC-1</t>
        </is>
      </c>
      <c r="J1326" t="n">
        <v>5.801</v>
      </c>
      <c r="K1326" t="inlineStr">
        <is>
          <t>LL</t>
        </is>
      </c>
    </row>
    <row r="1327" hidden="1" s="584">
      <c r="A1327" t="n">
        <v>3682063</v>
      </c>
      <c r="B1327" t="inlineStr">
        <is>
          <t>TUB-O-N-AUT-AW-FC-38.10X2.000X5.8010</t>
        </is>
      </c>
      <c r="C1327" t="n">
        <v>2.19853</v>
      </c>
      <c r="D1327" t="n">
        <v>4731</v>
      </c>
      <c r="E1327" t="inlineStr">
        <is>
          <t>SANDHAR ENGINEERING PVT LTD.(KA) -U</t>
        </is>
      </c>
      <c r="F1327" t="n">
        <v>1713</v>
      </c>
      <c r="G1327" t="inlineStr">
        <is>
          <t>TVS</t>
        </is>
      </c>
      <c r="H1327" t="inlineStr">
        <is>
          <t>38.1-0-2-ERW 1-FC</t>
        </is>
      </c>
      <c r="I1327" t="inlineStr">
        <is>
          <t>38.1-0-2-ERW 1-FC-1</t>
        </is>
      </c>
      <c r="J1327" t="n">
        <v>5.801</v>
      </c>
      <c r="K1327" t="inlineStr">
        <is>
          <t>LL</t>
        </is>
      </c>
    </row>
    <row r="1328" hidden="1" s="584">
      <c r="A1328" t="n">
        <v>3682063</v>
      </c>
      <c r="B1328" t="inlineStr">
        <is>
          <t>TUB-O-N-AUT-AW-FC-38.10X2.000X5.8010</t>
        </is>
      </c>
      <c r="C1328" t="n">
        <v>2.188445</v>
      </c>
      <c r="D1328" t="n">
        <v>4731</v>
      </c>
      <c r="E1328" t="inlineStr">
        <is>
          <t>SANDHAR ENGINEERING PVT LTD.(KA) -U</t>
        </is>
      </c>
      <c r="F1328" t="n">
        <v>1714</v>
      </c>
      <c r="G1328" t="inlineStr">
        <is>
          <t>TVS</t>
        </is>
      </c>
      <c r="H1328" t="inlineStr">
        <is>
          <t>38.1-0-2-ERW 1-FC</t>
        </is>
      </c>
      <c r="I1328" t="inlineStr">
        <is>
          <t>38.1-0-2-ERW 1-FC-1</t>
        </is>
      </c>
      <c r="J1328" t="n">
        <v>5.801</v>
      </c>
      <c r="K1328" t="inlineStr">
        <is>
          <t>LL</t>
        </is>
      </c>
    </row>
    <row r="1329" hidden="1" s="584">
      <c r="A1329" t="n">
        <v>3597718</v>
      </c>
      <c r="B1329" t="inlineStr">
        <is>
          <t>TUB-R-AW-RHS-40.00X25.00X1.600X5.9900</t>
        </is>
      </c>
      <c r="C1329" t="n">
        <v>0.618274</v>
      </c>
      <c r="D1329" t="n">
        <v>4731</v>
      </c>
      <c r="E1329" t="inlineStr">
        <is>
          <t>MEGH STEELS PRIVATE LIMITED - TVS A</t>
        </is>
      </c>
      <c r="F1329" t="n">
        <v>1694</v>
      </c>
      <c r="G1329" t="inlineStr">
        <is>
          <t>Direct</t>
        </is>
      </c>
      <c r="H1329" t="inlineStr">
        <is>
          <t>40-25-1.6-ERW 1-FC</t>
        </is>
      </c>
      <c r="J1329" t="n">
        <v>5.99</v>
      </c>
      <c r="K1329" t="inlineStr">
        <is>
          <t>LL</t>
        </is>
      </c>
    </row>
    <row r="1330" hidden="1" s="584">
      <c r="A1330" t="n">
        <v>3775631</v>
      </c>
      <c r="B1330" t="inlineStr">
        <is>
          <t>TUB-I-C-AUT-AN-FC-34.00X2.500X6.1500</t>
        </is>
      </c>
      <c r="C1330" t="n">
        <v>0.108133</v>
      </c>
      <c r="D1330" t="n">
        <v>4731</v>
      </c>
      <c r="E1330" t="inlineStr">
        <is>
          <t>Marathwada Auto Compo Pvt. Ltd.</t>
        </is>
      </c>
      <c r="F1330" t="n">
        <v>1820</v>
      </c>
      <c r="G1330" t="inlineStr">
        <is>
          <t>TVS</t>
        </is>
      </c>
      <c r="H1330" t="inlineStr">
        <is>
          <t>39-34-2.5-CEW-CEW</t>
        </is>
      </c>
      <c r="I1330" t="inlineStr">
        <is>
          <t>39-34-2.5-CEW-CEW-1</t>
        </is>
      </c>
      <c r="J1330" t="n">
        <v>6.15</v>
      </c>
      <c r="K1330" t="inlineStr">
        <is>
          <t>LL</t>
        </is>
      </c>
    </row>
    <row r="1331" hidden="1" s="584">
      <c r="A1331" t="n">
        <v>3775631</v>
      </c>
      <c r="B1331" t="inlineStr">
        <is>
          <t>TUB-I-C-AUT-AN-FC-34.00X2.500X6.1500</t>
        </is>
      </c>
      <c r="C1331" t="n">
        <v>0.82884</v>
      </c>
      <c r="D1331" t="n">
        <v>4731</v>
      </c>
      <c r="E1331" t="inlineStr">
        <is>
          <t>Marathwada Auto Compo Pvt. Ltd.</t>
        </is>
      </c>
      <c r="F1331" t="n">
        <v>1821</v>
      </c>
      <c r="G1331" t="inlineStr">
        <is>
          <t>TVS</t>
        </is>
      </c>
      <c r="H1331" t="inlineStr">
        <is>
          <t>39-34-2.5-CEW-CEW</t>
        </is>
      </c>
      <c r="I1331" t="inlineStr">
        <is>
          <t>39-34-2.5-CEW-CEW-1</t>
        </is>
      </c>
      <c r="J1331" t="n">
        <v>6.15</v>
      </c>
      <c r="K1331" t="inlineStr">
        <is>
          <t>LL</t>
        </is>
      </c>
    </row>
    <row r="1332" hidden="1" s="584">
      <c r="A1332" t="n">
        <v>3775631</v>
      </c>
      <c r="B1332" t="inlineStr">
        <is>
          <t>TUB-I-C-AUT-AN-FC-34.00X2.500X6.1500</t>
        </is>
      </c>
      <c r="C1332" t="n">
        <v>0.170595</v>
      </c>
      <c r="D1332" t="n">
        <v>4731</v>
      </c>
      <c r="E1332" t="inlineStr">
        <is>
          <t>Marathwada Auto Compo Pvt. Ltd.</t>
        </is>
      </c>
      <c r="F1332" t="n">
        <v>1822</v>
      </c>
      <c r="G1332" t="inlineStr">
        <is>
          <t>TVS</t>
        </is>
      </c>
      <c r="H1332" t="inlineStr">
        <is>
          <t>39-34-2.5-CEW-CEW</t>
        </is>
      </c>
      <c r="I1332" t="inlineStr">
        <is>
          <t>39-34-2.5-CEW-CEW-1</t>
        </is>
      </c>
      <c r="J1332" t="n">
        <v>6.15</v>
      </c>
      <c r="K1332" t="inlineStr">
        <is>
          <t>LL</t>
        </is>
      </c>
    </row>
    <row r="1333" hidden="1" s="584">
      <c r="A1333" t="n">
        <v>3775631</v>
      </c>
      <c r="B1333" t="inlineStr">
        <is>
          <t>TUB-I-C-AUT-AN-FC-34.00X2.500X6.1500</t>
        </is>
      </c>
      <c r="C1333" t="n">
        <v>2.631</v>
      </c>
      <c r="D1333" t="n">
        <v>4731</v>
      </c>
      <c r="E1333" t="inlineStr">
        <is>
          <t>Marathwada Auto Compo Pvt. Ltd.</t>
        </is>
      </c>
      <c r="F1333" t="n">
        <v>1823</v>
      </c>
      <c r="G1333" t="inlineStr">
        <is>
          <t>TVS</t>
        </is>
      </c>
      <c r="H1333" t="inlineStr">
        <is>
          <t>39-34-2.5-CEW-CEW</t>
        </is>
      </c>
      <c r="I1333" t="inlineStr">
        <is>
          <t>39-34-2.5-CEW-CEW-1</t>
        </is>
      </c>
      <c r="J1333" t="n">
        <v>6.15</v>
      </c>
      <c r="K1333" t="inlineStr">
        <is>
          <t>LL</t>
        </is>
      </c>
    </row>
    <row r="1334" hidden="1" s="584">
      <c r="A1334" t="n">
        <v>3775631</v>
      </c>
      <c r="B1334" t="inlineStr">
        <is>
          <t>TUB-I-C-AUT-AN-FC-34.00X2.500X6.1500</t>
        </is>
      </c>
      <c r="C1334" t="n">
        <v>2.216</v>
      </c>
      <c r="D1334" t="n">
        <v>4731</v>
      </c>
      <c r="E1334" t="inlineStr">
        <is>
          <t>Marathwada Auto Compo Pvt. Ltd.</t>
        </is>
      </c>
      <c r="F1334" t="n">
        <v>1824</v>
      </c>
      <c r="G1334" t="inlineStr">
        <is>
          <t>TVS</t>
        </is>
      </c>
      <c r="H1334" t="inlineStr">
        <is>
          <t>39-34-2.5-CEW-CEW</t>
        </is>
      </c>
      <c r="I1334" t="inlineStr">
        <is>
          <t>39-34-2.5-CEW-CEW-1</t>
        </is>
      </c>
      <c r="J1334" t="n">
        <v>6.15</v>
      </c>
      <c r="K1334" t="inlineStr">
        <is>
          <t>LL</t>
        </is>
      </c>
    </row>
    <row r="1335" hidden="1" s="584">
      <c r="A1335" t="n">
        <v>3775631</v>
      </c>
      <c r="B1335" t="inlineStr">
        <is>
          <t>TUB-I-C-AUT-AN-FC-34.00X2.500X6.1500</t>
        </is>
      </c>
      <c r="C1335" t="n">
        <v>0.3876</v>
      </c>
      <c r="D1335" t="n">
        <v>4731</v>
      </c>
      <c r="E1335" t="inlineStr">
        <is>
          <t>Marathwada Auto Compo Pvt. Ltd.</t>
        </is>
      </c>
      <c r="F1335" t="n">
        <v>1825</v>
      </c>
      <c r="G1335" t="inlineStr">
        <is>
          <t>TVS</t>
        </is>
      </c>
      <c r="H1335" t="inlineStr">
        <is>
          <t>39-34-2.5-CEW-CEW</t>
        </is>
      </c>
      <c r="I1335" t="inlineStr">
        <is>
          <t>39-34-2.5-CEW-CEW-1</t>
        </is>
      </c>
      <c r="J1335" t="n">
        <v>6.15</v>
      </c>
      <c r="K1335" t="inlineStr">
        <is>
          <t>LL</t>
        </is>
      </c>
    </row>
    <row r="1336" hidden="1" s="584">
      <c r="A1336" t="n">
        <v>3682118</v>
      </c>
      <c r="B1336" t="inlineStr">
        <is>
          <t>TUB-O-N-AUT-AW-FC-57.15X2.300X6.9500</t>
        </is>
      </c>
      <c r="C1336" t="n">
        <v>0.077157</v>
      </c>
      <c r="D1336" t="n">
        <v>4731</v>
      </c>
      <c r="E1336" t="inlineStr">
        <is>
          <t>Neel Metal Products Limited</t>
        </is>
      </c>
      <c r="F1336" t="n">
        <v>1720</v>
      </c>
      <c r="G1336" t="inlineStr">
        <is>
          <t>TVS</t>
        </is>
      </c>
      <c r="H1336" t="inlineStr">
        <is>
          <t>57.15-0-2.3-ERW 2-FC</t>
        </is>
      </c>
      <c r="I1336" t="inlineStr">
        <is>
          <t>57.15-0-2.3-ERW 2-FC-1</t>
        </is>
      </c>
      <c r="J1336" t="n">
        <v>6.95</v>
      </c>
      <c r="K1336" t="inlineStr">
        <is>
          <t>LL</t>
        </is>
      </c>
    </row>
    <row r="1337" hidden="1" s="584">
      <c r="A1337" t="n">
        <v>3682118</v>
      </c>
      <c r="B1337" t="inlineStr">
        <is>
          <t>TUB-O-N-AUT-AW-FC-57.15X2.300X6.9500</t>
        </is>
      </c>
      <c r="C1337" t="n">
        <v>2.63144</v>
      </c>
      <c r="D1337" t="n">
        <v>8406</v>
      </c>
      <c r="E1337" t="inlineStr">
        <is>
          <t>Neel Metal Products Limited</t>
        </is>
      </c>
      <c r="F1337" t="n">
        <v>1721</v>
      </c>
      <c r="G1337" t="inlineStr">
        <is>
          <t>TVS</t>
        </is>
      </c>
      <c r="H1337" t="inlineStr">
        <is>
          <t>57.15-0-2.3-ERW 2-FC</t>
        </is>
      </c>
      <c r="I1337" t="inlineStr">
        <is>
          <t>57.15-0-2.3-ERW 2-FC-1</t>
        </is>
      </c>
      <c r="J1337" t="n">
        <v>6.95</v>
      </c>
      <c r="K1337" t="inlineStr">
        <is>
          <t>LL</t>
        </is>
      </c>
    </row>
    <row r="1338" hidden="1" s="584">
      <c r="A1338" t="n">
        <v>3682118</v>
      </c>
      <c r="B1338" t="inlineStr">
        <is>
          <t>TUB-O-N-AUT-AW-FC-57.15X2.300X6.9500</t>
        </is>
      </c>
      <c r="C1338" t="n">
        <v>2.63144</v>
      </c>
      <c r="D1338" t="n">
        <v>8406</v>
      </c>
      <c r="E1338" t="inlineStr">
        <is>
          <t>Neel Metal Products Limited</t>
        </is>
      </c>
      <c r="F1338" t="n">
        <v>1722</v>
      </c>
      <c r="G1338" t="inlineStr">
        <is>
          <t>TVS</t>
        </is>
      </c>
      <c r="H1338" t="inlineStr">
        <is>
          <t>57.15-0-2.3-ERW 2-FC</t>
        </is>
      </c>
      <c r="I1338" t="inlineStr">
        <is>
          <t>57.15-0-2.3-ERW 2-FC-1</t>
        </is>
      </c>
      <c r="J1338" t="n">
        <v>6.95</v>
      </c>
      <c r="K1338" t="inlineStr">
        <is>
          <t>LL</t>
        </is>
      </c>
    </row>
    <row r="1339" hidden="1" s="584">
      <c r="A1339" t="n">
        <v>3682118</v>
      </c>
      <c r="B1339" t="inlineStr">
        <is>
          <t>TUB-O-N-AUT-AW-FC-57.15X2.300X6.9500</t>
        </is>
      </c>
      <c r="C1339" t="n">
        <v>2.63144</v>
      </c>
      <c r="D1339" t="n">
        <v>8406</v>
      </c>
      <c r="E1339" t="inlineStr">
        <is>
          <t>Neel Metal Products Limited</t>
        </is>
      </c>
      <c r="F1339" t="n">
        <v>1723</v>
      </c>
      <c r="G1339" t="inlineStr">
        <is>
          <t>TVS</t>
        </is>
      </c>
      <c r="H1339" t="inlineStr">
        <is>
          <t>57.15-0-2.3-ERW 2-FC</t>
        </is>
      </c>
      <c r="I1339" t="inlineStr">
        <is>
          <t>57.15-0-2.3-ERW 2-FC-1</t>
        </is>
      </c>
      <c r="J1339" t="n">
        <v>6.95</v>
      </c>
      <c r="K1339" t="inlineStr">
        <is>
          <t>LL</t>
        </is>
      </c>
    </row>
    <row r="1340" hidden="1" s="584">
      <c r="A1340" t="n">
        <v>3682118</v>
      </c>
      <c r="B1340" t="inlineStr">
        <is>
          <t>TUB-O-N-AUT-AW-FC-57.15X2.300X6.9500</t>
        </is>
      </c>
      <c r="C1340" t="n">
        <v>1.98912</v>
      </c>
      <c r="D1340" t="n">
        <v>8406</v>
      </c>
      <c r="E1340" t="inlineStr">
        <is>
          <t>Neel Metal Products Limited</t>
        </is>
      </c>
      <c r="F1340" t="n">
        <v>1724</v>
      </c>
      <c r="G1340" t="inlineStr">
        <is>
          <t>TVS</t>
        </is>
      </c>
      <c r="H1340" t="inlineStr">
        <is>
          <t>57.15-0-2.3-ERW 2-FC</t>
        </is>
      </c>
      <c r="I1340" t="inlineStr">
        <is>
          <t>57.15-0-2.3-ERW 2-FC-1</t>
        </is>
      </c>
      <c r="J1340" t="n">
        <v>6.95</v>
      </c>
      <c r="K1340" t="inlineStr">
        <is>
          <t>LL</t>
        </is>
      </c>
    </row>
    <row r="1341" hidden="1" s="584">
      <c r="A1341" t="n">
        <v>3682118</v>
      </c>
      <c r="B1341" t="inlineStr">
        <is>
          <t>TUB-O-N-AUT-AW-FC-57.15X2.300X6.9500</t>
        </is>
      </c>
      <c r="C1341" t="n">
        <v>1.658337</v>
      </c>
      <c r="D1341" t="n">
        <v>8406</v>
      </c>
      <c r="E1341" t="inlineStr">
        <is>
          <t>Neel Metal Products Limited</t>
        </is>
      </c>
      <c r="F1341" t="n">
        <v>1725</v>
      </c>
      <c r="G1341" t="inlineStr">
        <is>
          <t>TVS</t>
        </is>
      </c>
      <c r="H1341" t="inlineStr">
        <is>
          <t>57.15-0-2.3-ERW 2-FC</t>
        </is>
      </c>
      <c r="I1341" t="inlineStr">
        <is>
          <t>57.15-0-2.3-ERW 2-FC-1</t>
        </is>
      </c>
      <c r="J1341" t="n">
        <v>6.95</v>
      </c>
      <c r="K1341" t="inlineStr">
        <is>
          <t>LL</t>
        </is>
      </c>
    </row>
    <row r="1342" hidden="1" s="584">
      <c r="A1342" t="n">
        <v>3682118</v>
      </c>
      <c r="B1342" t="inlineStr">
        <is>
          <t>TUB-O-N-AUT-AW-FC-57.15X2.300X6.9500</t>
        </is>
      </c>
      <c r="C1342" t="n">
        <v>2.61072</v>
      </c>
      <c r="D1342" t="n">
        <v>8406</v>
      </c>
      <c r="E1342" t="inlineStr">
        <is>
          <t>Neel Metal Products Limited</t>
        </is>
      </c>
      <c r="F1342" t="n">
        <v>1726</v>
      </c>
      <c r="G1342" t="inlineStr">
        <is>
          <t>TVS</t>
        </is>
      </c>
      <c r="H1342" t="inlineStr">
        <is>
          <t>57.15-0-2.3-ERW 2-FC</t>
        </is>
      </c>
      <c r="I1342" t="inlineStr">
        <is>
          <t>57.15-0-2.3-ERW 2-FC-1</t>
        </is>
      </c>
      <c r="J1342" t="n">
        <v>6.95</v>
      </c>
      <c r="K1342" t="inlineStr">
        <is>
          <t>LL</t>
        </is>
      </c>
    </row>
    <row r="1343" hidden="1" s="584">
      <c r="A1343" t="n">
        <v>3682118</v>
      </c>
      <c r="B1343" t="inlineStr">
        <is>
          <t>TUB-O-N-AUT-AW-FC-57.15X2.300X6.9500</t>
        </is>
      </c>
      <c r="C1343" t="n">
        <v>2.63144</v>
      </c>
      <c r="D1343" t="n">
        <v>8406</v>
      </c>
      <c r="E1343" t="inlineStr">
        <is>
          <t>Neel Metal Products Limited</t>
        </is>
      </c>
      <c r="F1343" t="n">
        <v>1727</v>
      </c>
      <c r="G1343" t="inlineStr">
        <is>
          <t>TVS</t>
        </is>
      </c>
      <c r="H1343" t="inlineStr">
        <is>
          <t>57.15-0-2.3-ERW 2-FC</t>
        </is>
      </c>
      <c r="I1343" t="inlineStr">
        <is>
          <t>57.15-0-2.3-ERW 2-FC-1</t>
        </is>
      </c>
      <c r="J1343" t="n">
        <v>6.95</v>
      </c>
      <c r="K1343" t="inlineStr">
        <is>
          <t>LL</t>
        </is>
      </c>
    </row>
    <row r="1344" hidden="1" s="584">
      <c r="A1344" t="n">
        <v>3682118</v>
      </c>
      <c r="B1344" t="inlineStr">
        <is>
          <t>TUB-O-N-AUT-AW-FC-57.15X2.300X6.9500</t>
        </is>
      </c>
      <c r="C1344" t="n">
        <v>1.31</v>
      </c>
      <c r="D1344" t="n">
        <v>8406</v>
      </c>
      <c r="E1344" t="inlineStr">
        <is>
          <t>Neel Metal Products Limited</t>
        </is>
      </c>
      <c r="F1344" t="n">
        <v>1728</v>
      </c>
      <c r="G1344" t="inlineStr">
        <is>
          <t>TVS</t>
        </is>
      </c>
      <c r="H1344" t="inlineStr">
        <is>
          <t>57.15-0-2.3-ERW 2-FC</t>
        </is>
      </c>
      <c r="I1344" t="inlineStr">
        <is>
          <t>57.15-0-2.3-ERW 2-FC-1</t>
        </is>
      </c>
      <c r="J1344" t="n">
        <v>6.95</v>
      </c>
      <c r="K1344" t="inlineStr">
        <is>
          <t>LL</t>
        </is>
      </c>
    </row>
    <row r="1345" hidden="1" s="584">
      <c r="A1345" t="n">
        <v>3682118</v>
      </c>
      <c r="B1345" t="inlineStr">
        <is>
          <t>TUB-O-N-AUT-AW-FC-57.15X2.300X6.9500</t>
        </is>
      </c>
      <c r="C1345" t="n">
        <v>0.478</v>
      </c>
      <c r="D1345" t="n">
        <v>8406</v>
      </c>
      <c r="E1345" t="inlineStr">
        <is>
          <t>Neel Metal Products Limited</t>
        </is>
      </c>
      <c r="F1345" t="n">
        <v>1729</v>
      </c>
      <c r="G1345" t="inlineStr">
        <is>
          <t>TVS</t>
        </is>
      </c>
      <c r="H1345" t="inlineStr">
        <is>
          <t>57.15-0-2.3-ERW 2-FC</t>
        </is>
      </c>
      <c r="I1345" t="inlineStr">
        <is>
          <t>57.15-0-2.3-ERW 2-FC-1</t>
        </is>
      </c>
      <c r="J1345" t="n">
        <v>6.95</v>
      </c>
      <c r="K1345" t="inlineStr">
        <is>
          <t>LL</t>
        </is>
      </c>
    </row>
    <row r="1346" hidden="1" s="584">
      <c r="A1346" t="n">
        <v>3682118</v>
      </c>
      <c r="B1346" t="inlineStr">
        <is>
          <t>TUB-O-N-AUT-AW-FC-57.15X2.300X6.9500</t>
        </is>
      </c>
      <c r="C1346" t="n">
        <v>0.242663</v>
      </c>
      <c r="D1346" t="n">
        <v>8406</v>
      </c>
      <c r="E1346" t="inlineStr">
        <is>
          <t>Neel Metal Products Limited</t>
        </is>
      </c>
      <c r="F1346" t="n">
        <v>1730</v>
      </c>
      <c r="G1346" t="inlineStr">
        <is>
          <t>TVS</t>
        </is>
      </c>
      <c r="H1346" t="inlineStr">
        <is>
          <t>57.15-0-2.3-ERW 2-FC</t>
        </is>
      </c>
      <c r="I1346" t="inlineStr">
        <is>
          <t>57.15-0-2.3-ERW 2-FC-1</t>
        </is>
      </c>
      <c r="J1346" t="n">
        <v>6.95</v>
      </c>
      <c r="K1346" t="inlineStr">
        <is>
          <t>LL</t>
        </is>
      </c>
    </row>
    <row r="1347" hidden="1" s="584">
      <c r="A1347" t="n">
        <v>3682118</v>
      </c>
      <c r="B1347" t="inlineStr">
        <is>
          <t>TUB-O-N-AUT-AW-FC-57.15X2.300X6.9500</t>
        </is>
      </c>
      <c r="C1347" t="n">
        <v>0.538</v>
      </c>
      <c r="D1347" t="n">
        <v>8406</v>
      </c>
      <c r="E1347" t="inlineStr">
        <is>
          <t>Neel Metal Products Limited</t>
        </is>
      </c>
      <c r="F1347" t="n">
        <v>1731</v>
      </c>
      <c r="G1347" t="inlineStr">
        <is>
          <t>TVS</t>
        </is>
      </c>
      <c r="H1347" t="inlineStr">
        <is>
          <t>57.15-0-2.3-ERW 2-FC</t>
        </is>
      </c>
      <c r="I1347" t="inlineStr">
        <is>
          <t>57.15-0-2.3-ERW 2-FC-1</t>
        </is>
      </c>
      <c r="J1347" t="n">
        <v>6.95</v>
      </c>
      <c r="K1347" t="inlineStr">
        <is>
          <t>LL</t>
        </is>
      </c>
    </row>
    <row r="1348" hidden="1" s="584">
      <c r="A1348" t="n">
        <v>3682118</v>
      </c>
      <c r="B1348" t="inlineStr">
        <is>
          <t>TUB-O-N-AUT-AW-FC-57.15X2.300X6.9500</t>
        </is>
      </c>
      <c r="C1348" t="n">
        <v>0.509</v>
      </c>
      <c r="D1348" t="n">
        <v>8406</v>
      </c>
      <c r="E1348" t="inlineStr">
        <is>
          <t>Neel Metal Products Limited</t>
        </is>
      </c>
      <c r="F1348" t="n">
        <v>1732</v>
      </c>
      <c r="G1348" t="inlineStr">
        <is>
          <t>TVS</t>
        </is>
      </c>
      <c r="H1348" t="inlineStr">
        <is>
          <t>57.15-0-2.3-ERW 2-FC</t>
        </is>
      </c>
      <c r="I1348" t="inlineStr">
        <is>
          <t>57.15-0-2.3-ERW 2-FC-1</t>
        </is>
      </c>
      <c r="J1348" t="n">
        <v>6.95</v>
      </c>
      <c r="K1348" t="inlineStr">
        <is>
          <t>LL</t>
        </is>
      </c>
    </row>
    <row r="1349" hidden="1" s="584">
      <c r="A1349" t="n">
        <v>3690546</v>
      </c>
      <c r="B1349" t="inlineStr">
        <is>
          <t>CUT-O-N-AUT-NR-FC-42.70X3.500X0.2100</t>
        </is>
      </c>
      <c r="C1349" t="n">
        <v>0.561107</v>
      </c>
      <c r="D1349" t="n">
        <v>8406</v>
      </c>
      <c r="E1349" t="inlineStr">
        <is>
          <t>Neel Metal Products Limited</t>
        </is>
      </c>
      <c r="F1349" t="n">
        <v>1733</v>
      </c>
      <c r="G1349" t="inlineStr">
        <is>
          <t>TVS</t>
        </is>
      </c>
      <c r="H1349" t="inlineStr">
        <is>
          <t>42.7-0-3.5-ERW 1-FC</t>
        </is>
      </c>
      <c r="I1349" t="inlineStr">
        <is>
          <t>42.7-0-3.5-ERW 1-FC-0.21</t>
        </is>
      </c>
      <c r="J1349" t="n">
        <v>0.21</v>
      </c>
      <c r="K1349" t="inlineStr">
        <is>
          <t>CTL</t>
        </is>
      </c>
    </row>
    <row r="1350" hidden="1" s="584">
      <c r="A1350" t="n">
        <v>3702875</v>
      </c>
      <c r="B1350" t="inlineStr">
        <is>
          <t>TUB-O-N-AUT-AW-FC-60.30X2.000X6.0000</t>
        </is>
      </c>
      <c r="C1350" t="n">
        <v>0.089057</v>
      </c>
      <c r="D1350" t="n">
        <v>4731</v>
      </c>
      <c r="E1350" t="inlineStr">
        <is>
          <t>MEGH STEELS PRIVATE LIMITED - TVS A</t>
        </is>
      </c>
      <c r="F1350" t="n">
        <v>1753</v>
      </c>
      <c r="G1350" t="inlineStr">
        <is>
          <t>Direct</t>
        </is>
      </c>
      <c r="H1350" t="inlineStr">
        <is>
          <t>60.3-0-2-ERW 1-FC</t>
        </is>
      </c>
      <c r="I1350" t="inlineStr">
        <is>
          <t>60.3-0-2-ERW 1-FC-1</t>
        </is>
      </c>
      <c r="J1350" t="n">
        <v>6</v>
      </c>
      <c r="K1350" t="inlineStr">
        <is>
          <t>LL</t>
        </is>
      </c>
    </row>
    <row r="1351" hidden="1" s="584">
      <c r="A1351" t="n">
        <v>3702875</v>
      </c>
      <c r="B1351" t="inlineStr">
        <is>
          <t>TUB-O-N-AUT-AW-FC-60.30X2.000X6.0000</t>
        </is>
      </c>
      <c r="C1351" t="n">
        <v>1.962</v>
      </c>
      <c r="D1351" t="n">
        <v>8406</v>
      </c>
      <c r="E1351" t="inlineStr">
        <is>
          <t>MEGH STEELS PRIVATE LIMITED - TVS A</t>
        </is>
      </c>
      <c r="F1351" t="n">
        <v>1754</v>
      </c>
      <c r="G1351" t="inlineStr">
        <is>
          <t>Direct</t>
        </is>
      </c>
      <c r="H1351" t="inlineStr">
        <is>
          <t>60.3-0-2-ERW 1-FC</t>
        </is>
      </c>
      <c r="I1351" t="inlineStr">
        <is>
          <t>60.3-0-2-ERW 1-FC-1</t>
        </is>
      </c>
      <c r="J1351" t="n">
        <v>6</v>
      </c>
      <c r="K1351" t="inlineStr">
        <is>
          <t>LL</t>
        </is>
      </c>
    </row>
    <row r="1352" hidden="1" s="584">
      <c r="A1352" t="n">
        <v>3702875</v>
      </c>
      <c r="B1352" t="inlineStr">
        <is>
          <t>TUB-O-N-AUT-AW-FC-60.30X2.000X6.0000</t>
        </is>
      </c>
      <c r="C1352" t="n">
        <v>2.134</v>
      </c>
      <c r="D1352" t="n">
        <v>8406</v>
      </c>
      <c r="E1352" t="inlineStr">
        <is>
          <t>MEGH STEELS PRIVATE LIMITED - TVS A</t>
        </is>
      </c>
      <c r="F1352" t="n">
        <v>1755</v>
      </c>
      <c r="G1352" t="inlineStr">
        <is>
          <t>Direct</t>
        </is>
      </c>
      <c r="H1352" t="inlineStr">
        <is>
          <t>60.3-0-2-ERW 1-FC</t>
        </is>
      </c>
      <c r="I1352" t="inlineStr">
        <is>
          <t>60.3-0-2-ERW 1-FC-1</t>
        </is>
      </c>
      <c r="J1352" t="n">
        <v>6</v>
      </c>
      <c r="K1352" t="inlineStr">
        <is>
          <t>LL</t>
        </is>
      </c>
    </row>
    <row r="1353" hidden="1" s="584">
      <c r="A1353" t="n">
        <v>3702875</v>
      </c>
      <c r="B1353" t="inlineStr">
        <is>
          <t>TUB-O-N-AUT-AW-FC-60.30X2.000X6.0000</t>
        </is>
      </c>
      <c r="C1353" t="n">
        <v>1.082</v>
      </c>
      <c r="D1353" t="n">
        <v>8406</v>
      </c>
      <c r="E1353" t="inlineStr">
        <is>
          <t>MEGH STEELS PRIVATE LIMITED - TVS A</t>
        </is>
      </c>
      <c r="F1353" t="n">
        <v>1756</v>
      </c>
      <c r="G1353" t="inlineStr">
        <is>
          <t>Direct</t>
        </is>
      </c>
      <c r="H1353" t="inlineStr">
        <is>
          <t>60.3-0-2-ERW 1-FC</t>
        </is>
      </c>
      <c r="I1353" t="inlineStr">
        <is>
          <t>60.3-0-2-ERW 1-FC-1</t>
        </is>
      </c>
      <c r="J1353" t="n">
        <v>6</v>
      </c>
      <c r="K1353" t="inlineStr">
        <is>
          <t>LL</t>
        </is>
      </c>
    </row>
    <row r="1354" hidden="1" s="584">
      <c r="A1354" t="n">
        <v>3702875</v>
      </c>
      <c r="B1354" t="inlineStr">
        <is>
          <t>TUB-O-N-AUT-AW-FC-60.30X2.000X6.0000</t>
        </is>
      </c>
      <c r="C1354" t="n">
        <v>1.048</v>
      </c>
      <c r="D1354" t="n">
        <v>8406</v>
      </c>
      <c r="E1354" t="inlineStr">
        <is>
          <t>MEGH STEELS PRIVATE LIMITED - TVS A</t>
        </is>
      </c>
      <c r="F1354" t="n">
        <v>1757</v>
      </c>
      <c r="G1354" t="inlineStr">
        <is>
          <t>Direct</t>
        </is>
      </c>
      <c r="H1354" t="inlineStr">
        <is>
          <t>60.3-0-2-ERW 1-FC</t>
        </is>
      </c>
      <c r="I1354" t="inlineStr">
        <is>
          <t>60.3-0-2-ERW 1-FC-1</t>
        </is>
      </c>
      <c r="J1354" t="n">
        <v>6</v>
      </c>
      <c r="K1354" t="inlineStr">
        <is>
          <t>LL</t>
        </is>
      </c>
    </row>
    <row r="1355" hidden="1" s="584">
      <c r="A1355" t="n">
        <v>3702875</v>
      </c>
      <c r="B1355" t="inlineStr">
        <is>
          <t>TUB-O-N-AUT-AW-FC-60.30X2.000X6.0000</t>
        </is>
      </c>
      <c r="C1355" t="n">
        <v>1.897</v>
      </c>
      <c r="D1355" t="n">
        <v>8406</v>
      </c>
      <c r="E1355" t="inlineStr">
        <is>
          <t>MEGH STEELS PRIVATE LIMITED - TVS A</t>
        </is>
      </c>
      <c r="F1355" t="n">
        <v>1758</v>
      </c>
      <c r="G1355" t="inlineStr">
        <is>
          <t>Direct</t>
        </is>
      </c>
      <c r="H1355" t="inlineStr">
        <is>
          <t>60.3-0-2-ERW 1-FC</t>
        </is>
      </c>
      <c r="I1355" t="inlineStr">
        <is>
          <t>60.3-0-2-ERW 1-FC-1</t>
        </is>
      </c>
      <c r="J1355" t="n">
        <v>6</v>
      </c>
      <c r="K1355" t="inlineStr">
        <is>
          <t>LL</t>
        </is>
      </c>
    </row>
    <row r="1356" hidden="1" s="584">
      <c r="A1356" t="n">
        <v>3702875</v>
      </c>
      <c r="B1356" t="inlineStr">
        <is>
          <t>TUB-O-N-AUT-AW-FC-60.30X2.000X6.0000</t>
        </is>
      </c>
      <c r="C1356" t="n">
        <v>1.328</v>
      </c>
      <c r="D1356" t="n">
        <v>8406</v>
      </c>
      <c r="E1356" t="inlineStr">
        <is>
          <t>MEGH STEELS PRIVATE LIMITED - TVS A</t>
        </is>
      </c>
      <c r="F1356" t="n">
        <v>1759</v>
      </c>
      <c r="G1356" t="inlineStr">
        <is>
          <t>Direct</t>
        </is>
      </c>
      <c r="H1356" t="inlineStr">
        <is>
          <t>60.3-0-2-ERW 1-FC</t>
        </is>
      </c>
      <c r="I1356" t="inlineStr">
        <is>
          <t>60.3-0-2-ERW 1-FC-1</t>
        </is>
      </c>
      <c r="J1356" t="n">
        <v>6</v>
      </c>
      <c r="K1356" t="inlineStr">
        <is>
          <t>LL</t>
        </is>
      </c>
    </row>
    <row r="1357" hidden="1" s="584">
      <c r="A1357" t="n">
        <v>3702875</v>
      </c>
      <c r="B1357" t="inlineStr">
        <is>
          <t>TUB-O-N-AUT-AW-FC-60.30X2.000X6.0000</t>
        </is>
      </c>
      <c r="C1357" t="n">
        <v>1.914</v>
      </c>
      <c r="D1357" t="n">
        <v>8406</v>
      </c>
      <c r="E1357" t="inlineStr">
        <is>
          <t>MEGH STEELS PRIVATE LIMITED - TVS A</t>
        </is>
      </c>
      <c r="F1357" t="n">
        <v>1760</v>
      </c>
      <c r="G1357" t="inlineStr">
        <is>
          <t>Direct</t>
        </is>
      </c>
      <c r="H1357" t="inlineStr">
        <is>
          <t>60.3-0-2-ERW 1-FC</t>
        </is>
      </c>
      <c r="I1357" t="inlineStr">
        <is>
          <t>60.3-0-2-ERW 1-FC-1</t>
        </is>
      </c>
      <c r="J1357" t="n">
        <v>6</v>
      </c>
      <c r="K1357" t="inlineStr">
        <is>
          <t>LL</t>
        </is>
      </c>
    </row>
    <row r="1358" hidden="1" s="584">
      <c r="A1358" t="n">
        <v>3702875</v>
      </c>
      <c r="B1358" t="inlineStr">
        <is>
          <t>TUB-O-N-AUT-AW-FC-60.30X2.000X6.0000</t>
        </is>
      </c>
      <c r="C1358" t="n">
        <v>1.224</v>
      </c>
      <c r="D1358" t="n">
        <v>8406</v>
      </c>
      <c r="E1358" t="inlineStr">
        <is>
          <t>MEGH STEELS PRIVATE LIMITED - TVS A</t>
        </is>
      </c>
      <c r="F1358" t="n">
        <v>1761</v>
      </c>
      <c r="G1358" t="inlineStr">
        <is>
          <t>Direct</t>
        </is>
      </c>
      <c r="H1358" t="inlineStr">
        <is>
          <t>60.3-0-2-ERW 1-FC</t>
        </is>
      </c>
      <c r="I1358" t="inlineStr">
        <is>
          <t>60.3-0-2-ERW 1-FC-1</t>
        </is>
      </c>
      <c r="J1358" t="n">
        <v>6</v>
      </c>
      <c r="K1358" t="inlineStr">
        <is>
          <t>LL</t>
        </is>
      </c>
    </row>
    <row r="1359" hidden="1" s="584">
      <c r="A1359" t="n">
        <v>3702875</v>
      </c>
      <c r="B1359" t="inlineStr">
        <is>
          <t>TUB-O-N-AUT-AW-FC-60.30X2.000X6.0000</t>
        </is>
      </c>
      <c r="C1359" t="n">
        <v>1.69</v>
      </c>
      <c r="D1359" t="n">
        <v>8406</v>
      </c>
      <c r="E1359" t="inlineStr">
        <is>
          <t>MEGH STEELS PRIVATE LIMITED - TVS A</t>
        </is>
      </c>
      <c r="F1359" t="n">
        <v>1762</v>
      </c>
      <c r="G1359" t="inlineStr">
        <is>
          <t>Direct</t>
        </is>
      </c>
      <c r="H1359" t="inlineStr">
        <is>
          <t>60.3-0-2-ERW 1-FC</t>
        </is>
      </c>
      <c r="I1359" t="inlineStr">
        <is>
          <t>60.3-0-2-ERW 1-FC-1</t>
        </is>
      </c>
      <c r="J1359" t="n">
        <v>6</v>
      </c>
      <c r="K1359" t="inlineStr">
        <is>
          <t>LL</t>
        </is>
      </c>
    </row>
    <row r="1360" hidden="1" s="584">
      <c r="A1360" t="n">
        <v>3702875</v>
      </c>
      <c r="B1360" t="inlineStr">
        <is>
          <t>TUB-O-N-AUT-AW-FC-60.30X2.000X6.0000</t>
        </is>
      </c>
      <c r="C1360" t="n">
        <v>1.686</v>
      </c>
      <c r="D1360" t="n">
        <v>8406</v>
      </c>
      <c r="E1360" t="inlineStr">
        <is>
          <t>MEGH STEELS PRIVATE LIMITED - TVS A</t>
        </is>
      </c>
      <c r="F1360" t="n">
        <v>1763</v>
      </c>
      <c r="G1360" t="inlineStr">
        <is>
          <t>Direct</t>
        </is>
      </c>
      <c r="H1360" t="inlineStr">
        <is>
          <t>60.3-0-2-ERW 1-FC</t>
        </is>
      </c>
      <c r="I1360" t="inlineStr">
        <is>
          <t>60.3-0-2-ERW 1-FC-1</t>
        </is>
      </c>
      <c r="J1360" t="n">
        <v>6</v>
      </c>
      <c r="K1360" t="inlineStr">
        <is>
          <t>LL</t>
        </is>
      </c>
    </row>
    <row r="1361" hidden="1" s="584">
      <c r="A1361" t="n">
        <v>3702875</v>
      </c>
      <c r="B1361" t="inlineStr">
        <is>
          <t>TUB-O-N-AUT-AW-FC-60.30X2.000X6.0000</t>
        </is>
      </c>
      <c r="C1361" t="n">
        <v>1.776</v>
      </c>
      <c r="D1361" t="inlineStr">
        <is>
          <t>0788</t>
        </is>
      </c>
      <c r="E1361" t="inlineStr">
        <is>
          <t>MEGH STEELS PRIVATE LIMITED - TVS A</t>
        </is>
      </c>
      <c r="F1361" t="n">
        <v>2034</v>
      </c>
      <c r="G1361" t="inlineStr">
        <is>
          <t>Direct</t>
        </is>
      </c>
      <c r="H1361" t="inlineStr">
        <is>
          <t>60.3-0-2-ERW 1-FC</t>
        </is>
      </c>
      <c r="I1361" t="inlineStr">
        <is>
          <t>60.3-0-2-ERW 1-FC-1</t>
        </is>
      </c>
      <c r="J1361" t="n">
        <v>6</v>
      </c>
      <c r="K1361" t="inlineStr">
        <is>
          <t>LL</t>
        </is>
      </c>
    </row>
    <row r="1362" hidden="1" s="584">
      <c r="A1362" t="n">
        <v>3702875</v>
      </c>
      <c r="B1362" t="inlineStr">
        <is>
          <t>TUB-O-N-AUT-AW-FC-60.30X2.000X6.0000</t>
        </is>
      </c>
      <c r="C1362" t="n">
        <v>2</v>
      </c>
      <c r="D1362" t="inlineStr">
        <is>
          <t>0788</t>
        </is>
      </c>
      <c r="E1362" t="inlineStr">
        <is>
          <t>MEGH STEELS PRIVATE LIMITED - TVS A</t>
        </is>
      </c>
      <c r="F1362" t="n">
        <v>2035</v>
      </c>
      <c r="G1362" t="inlineStr">
        <is>
          <t>Direct</t>
        </is>
      </c>
      <c r="H1362" t="inlineStr">
        <is>
          <t>60.3-0-2-ERW 1-FC</t>
        </is>
      </c>
      <c r="I1362" t="inlineStr">
        <is>
          <t>60.3-0-2-ERW 1-FC-1</t>
        </is>
      </c>
      <c r="J1362" t="n">
        <v>6</v>
      </c>
      <c r="K1362" t="inlineStr">
        <is>
          <t>LL</t>
        </is>
      </c>
    </row>
    <row r="1363" hidden="1" s="584">
      <c r="A1363" t="n">
        <v>3702875</v>
      </c>
      <c r="B1363" t="inlineStr">
        <is>
          <t>TUB-O-N-AUT-AW-FC-60.30X2.000X6.0000</t>
        </is>
      </c>
      <c r="C1363" t="n">
        <v>1.362</v>
      </c>
      <c r="D1363" t="inlineStr">
        <is>
          <t>0788</t>
        </is>
      </c>
      <c r="E1363" t="inlineStr">
        <is>
          <t>MEGH STEELS PRIVATE LIMITED - TVS A</t>
        </is>
      </c>
      <c r="F1363" t="n">
        <v>2036</v>
      </c>
      <c r="G1363" t="inlineStr">
        <is>
          <t>Direct</t>
        </is>
      </c>
      <c r="H1363" t="inlineStr">
        <is>
          <t>60.3-0-2-ERW 1-FC</t>
        </is>
      </c>
      <c r="I1363" t="inlineStr">
        <is>
          <t>60.3-0-2-ERW 1-FC-1</t>
        </is>
      </c>
      <c r="J1363" t="n">
        <v>6</v>
      </c>
      <c r="K1363" t="inlineStr">
        <is>
          <t>LL</t>
        </is>
      </c>
    </row>
    <row r="1364" hidden="1" s="584">
      <c r="A1364" t="n">
        <v>3702875</v>
      </c>
      <c r="B1364" t="inlineStr">
        <is>
          <t>TUB-O-N-AUT-AW-FC-60.30X2.000X6.0000</t>
        </is>
      </c>
      <c r="C1364" t="n">
        <v>2.225</v>
      </c>
      <c r="D1364" t="inlineStr">
        <is>
          <t>0788</t>
        </is>
      </c>
      <c r="E1364" t="inlineStr">
        <is>
          <t>MEGH STEELS PRIVATE LIMITED - TVS A</t>
        </is>
      </c>
      <c r="F1364" t="n">
        <v>2037</v>
      </c>
      <c r="G1364" t="inlineStr">
        <is>
          <t>Direct</t>
        </is>
      </c>
      <c r="H1364" t="inlineStr">
        <is>
          <t>60.3-0-2-ERW 1-FC</t>
        </is>
      </c>
      <c r="I1364" t="inlineStr">
        <is>
          <t>60.3-0-2-ERW 1-FC-1</t>
        </is>
      </c>
      <c r="J1364" t="n">
        <v>6</v>
      </c>
      <c r="K1364" t="inlineStr">
        <is>
          <t>LL</t>
        </is>
      </c>
    </row>
    <row r="1365" hidden="1" s="584">
      <c r="A1365" t="n">
        <v>3702875</v>
      </c>
      <c r="B1365" t="inlineStr">
        <is>
          <t>TUB-O-N-AUT-AW-FC-60.30X2.000X6.0000</t>
        </is>
      </c>
      <c r="C1365" t="n">
        <v>1.621</v>
      </c>
      <c r="D1365" t="inlineStr">
        <is>
          <t>0788</t>
        </is>
      </c>
      <c r="E1365" t="inlineStr">
        <is>
          <t>MEGH STEELS PRIVATE LIMITED - TVS A</t>
        </is>
      </c>
      <c r="F1365" t="n">
        <v>2038</v>
      </c>
      <c r="G1365" t="inlineStr">
        <is>
          <t>Direct</t>
        </is>
      </c>
      <c r="H1365" t="inlineStr">
        <is>
          <t>60.3-0-2-ERW 1-FC</t>
        </is>
      </c>
      <c r="I1365" t="inlineStr">
        <is>
          <t>60.3-0-2-ERW 1-FC-1</t>
        </is>
      </c>
      <c r="J1365" t="n">
        <v>6</v>
      </c>
      <c r="K1365" t="inlineStr">
        <is>
          <t>LL</t>
        </is>
      </c>
    </row>
    <row r="1366" hidden="1" s="584">
      <c r="A1366" t="n">
        <v>3702875</v>
      </c>
      <c r="B1366" t="inlineStr">
        <is>
          <t>TUB-O-N-AUT-AW-FC-60.30X2.000X6.0000</t>
        </is>
      </c>
      <c r="C1366" t="n">
        <v>0.431</v>
      </c>
      <c r="D1366" t="inlineStr">
        <is>
          <t>0788</t>
        </is>
      </c>
      <c r="E1366" t="inlineStr">
        <is>
          <t>MEGH STEELS PRIVATE LIMITED - TVS A</t>
        </is>
      </c>
      <c r="F1366" t="n">
        <v>2039</v>
      </c>
      <c r="G1366" t="inlineStr">
        <is>
          <t>Direct</t>
        </is>
      </c>
      <c r="H1366" t="inlineStr">
        <is>
          <t>60.3-0-2-ERW 1-FC</t>
        </is>
      </c>
      <c r="I1366" t="inlineStr">
        <is>
          <t>60.3-0-2-ERW 1-FC-1</t>
        </is>
      </c>
      <c r="J1366" t="n">
        <v>6</v>
      </c>
      <c r="K1366" t="inlineStr">
        <is>
          <t>LL</t>
        </is>
      </c>
    </row>
    <row r="1367" hidden="1" s="584">
      <c r="A1367" t="n">
        <v>3711330</v>
      </c>
      <c r="B1367" t="inlineStr">
        <is>
          <t>CUT-O-N-AUT-AW-FC-54.00X3.000X1.1400</t>
        </is>
      </c>
      <c r="C1367" t="n">
        <v>3.46434</v>
      </c>
      <c r="D1367" t="n">
        <v>8406</v>
      </c>
      <c r="E1367" t="inlineStr">
        <is>
          <t>Neel Metal Products Limited</t>
        </is>
      </c>
      <c r="F1367" t="n">
        <v>1764</v>
      </c>
      <c r="G1367" t="inlineStr">
        <is>
          <t>TVS</t>
        </is>
      </c>
      <c r="H1367" t="inlineStr">
        <is>
          <t>54-0-3-ERW 2-FC</t>
        </is>
      </c>
      <c r="I1367" t="inlineStr">
        <is>
          <t>54-0-3-ERW 2-FC-1.14</t>
        </is>
      </c>
      <c r="J1367" t="n">
        <v>1.14</v>
      </c>
      <c r="K1367" t="inlineStr">
        <is>
          <t>CTL</t>
        </is>
      </c>
    </row>
    <row r="1368" hidden="1" s="584">
      <c r="A1368" t="n">
        <v>3711330</v>
      </c>
      <c r="B1368" t="inlineStr">
        <is>
          <t>CUT-O-N-AUT-AW-FC-54.00X3.000X1.1400</t>
        </is>
      </c>
      <c r="C1368" t="n">
        <v>1.5</v>
      </c>
      <c r="D1368" t="n">
        <v>8406</v>
      </c>
      <c r="E1368" t="inlineStr">
        <is>
          <t>Neel Metal Products Limited</t>
        </is>
      </c>
      <c r="F1368" t="n">
        <v>1765</v>
      </c>
      <c r="G1368" t="inlineStr">
        <is>
          <t>TVS</t>
        </is>
      </c>
      <c r="H1368" t="inlineStr">
        <is>
          <t>54-0-3-ERW 2-FC</t>
        </is>
      </c>
      <c r="I1368" t="inlineStr">
        <is>
          <t>54-0-3-ERW 2-FC-1.14</t>
        </is>
      </c>
      <c r="J1368" t="n">
        <v>1.14</v>
      </c>
      <c r="K1368" t="inlineStr">
        <is>
          <t>CTL</t>
        </is>
      </c>
    </row>
    <row r="1369" hidden="1" s="584">
      <c r="A1369" t="n">
        <v>3722021</v>
      </c>
      <c r="B1369" t="inlineStr">
        <is>
          <t>42.70X3.500X0.2080</t>
        </is>
      </c>
      <c r="C1369" t="n">
        <v>0.10769</v>
      </c>
      <c r="D1369" t="n">
        <v>4731</v>
      </c>
      <c r="E1369" t="inlineStr">
        <is>
          <t>SANDHAR ENGINEERING PVT LTD.(KA) -U</t>
        </is>
      </c>
      <c r="F1369" t="n">
        <v>1768</v>
      </c>
      <c r="G1369" t="inlineStr">
        <is>
          <t>TVS</t>
        </is>
      </c>
      <c r="H1369" t="inlineStr">
        <is>
          <t>42.7-0-3.5-ERW 1-FC</t>
        </is>
      </c>
      <c r="I1369" t="inlineStr">
        <is>
          <t>42.7-0-3.5-ERW 1-FC-0.208</t>
        </is>
      </c>
      <c r="J1369" t="n">
        <v>0.208</v>
      </c>
      <c r="K1369" t="inlineStr">
        <is>
          <t>CTL</t>
        </is>
      </c>
    </row>
    <row r="1370" hidden="1" s="584">
      <c r="A1370" t="n">
        <v>3722021</v>
      </c>
      <c r="B1370" t="inlineStr">
        <is>
          <t>42.70X3.500X0.2080</t>
        </is>
      </c>
      <c r="C1370" t="n">
        <v>0.06476999999999999</v>
      </c>
      <c r="D1370" t="n">
        <v>4731</v>
      </c>
      <c r="E1370" t="inlineStr">
        <is>
          <t>SANDHAR ENGINEERING PVT LTD.(KA) -U</t>
        </is>
      </c>
      <c r="F1370" t="n">
        <v>1769</v>
      </c>
      <c r="G1370" t="inlineStr">
        <is>
          <t>TVS</t>
        </is>
      </c>
      <c r="H1370" t="inlineStr">
        <is>
          <t>42.7-0-3.5-ERW 1-FC</t>
        </is>
      </c>
      <c r="I1370" t="inlineStr">
        <is>
          <t>42.7-0-3.5-ERW 1-FC-0.208</t>
        </is>
      </c>
      <c r="J1370" t="n">
        <v>0.208</v>
      </c>
      <c r="K1370" t="inlineStr">
        <is>
          <t>CTL</t>
        </is>
      </c>
    </row>
    <row r="1371" hidden="1" s="584">
      <c r="A1371" t="n">
        <v>3722021</v>
      </c>
      <c r="B1371" t="inlineStr">
        <is>
          <t>42.70X3.500X0.2080</t>
        </is>
      </c>
      <c r="C1371" t="n">
        <v>0.805069</v>
      </c>
      <c r="D1371" t="n">
        <v>4731</v>
      </c>
      <c r="E1371" t="inlineStr">
        <is>
          <t>SANDHAR ENGINEERING PVT LTD.(KA) -U</t>
        </is>
      </c>
      <c r="F1371" t="n">
        <v>1770</v>
      </c>
      <c r="G1371" t="inlineStr">
        <is>
          <t>TVS</t>
        </is>
      </c>
      <c r="H1371" t="inlineStr">
        <is>
          <t>42.7-0-3.5-ERW 1-FC</t>
        </is>
      </c>
      <c r="I1371" t="inlineStr">
        <is>
          <t>42.7-0-3.5-ERW 1-FC-0.208</t>
        </is>
      </c>
      <c r="J1371" t="n">
        <v>0.208</v>
      </c>
      <c r="K1371" t="inlineStr">
        <is>
          <t>CTL</t>
        </is>
      </c>
    </row>
    <row r="1372" hidden="1" s="584">
      <c r="A1372" t="n">
        <v>3746291</v>
      </c>
      <c r="B1372" t="inlineStr">
        <is>
          <t>CUT-O-N-AUT-BH-FC-63.50X4.000X0.2340</t>
        </is>
      </c>
      <c r="C1372" t="n">
        <v>0.839213</v>
      </c>
      <c r="D1372" t="n">
        <v>4731</v>
      </c>
      <c r="E1372" t="inlineStr">
        <is>
          <t>Neel Metal Products Limited</t>
        </is>
      </c>
      <c r="F1372" t="n">
        <v>1775</v>
      </c>
      <c r="G1372" t="inlineStr">
        <is>
          <t>TVS</t>
        </is>
      </c>
      <c r="H1372" t="inlineStr">
        <is>
          <t>63.5-0-4-ERW 1-FC</t>
        </is>
      </c>
      <c r="I1372" t="inlineStr">
        <is>
          <t>63.5-0-4-ERW 1-FC-0.234</t>
        </is>
      </c>
      <c r="J1372" t="n">
        <v>0.234</v>
      </c>
      <c r="K1372" t="inlineStr">
        <is>
          <t>CTL</t>
        </is>
      </c>
    </row>
    <row r="1373" hidden="1" s="584">
      <c r="A1373" t="n">
        <v>3746291</v>
      </c>
      <c r="B1373" t="inlineStr">
        <is>
          <t>CUT-O-N-AUT-BH-FC-63.50X4.000X0.2340</t>
        </is>
      </c>
      <c r="C1373" t="n">
        <v>0.052214</v>
      </c>
      <c r="D1373" t="n">
        <v>4731</v>
      </c>
      <c r="E1373" t="inlineStr">
        <is>
          <t>Neel Metal Products Limited</t>
        </is>
      </c>
      <c r="F1373" t="n">
        <v>1776</v>
      </c>
      <c r="G1373" t="inlineStr">
        <is>
          <t>TVS</t>
        </is>
      </c>
      <c r="H1373" t="inlineStr">
        <is>
          <t>63.5-0-4-ERW 1-FC</t>
        </is>
      </c>
      <c r="I1373" t="inlineStr">
        <is>
          <t>63.5-0-4-ERW 1-FC-0.234</t>
        </is>
      </c>
      <c r="J1373" t="n">
        <v>0.234</v>
      </c>
      <c r="K1373" t="inlineStr">
        <is>
          <t>CTL</t>
        </is>
      </c>
    </row>
    <row r="1374" hidden="1" s="584">
      <c r="A1374" t="n">
        <v>3777563</v>
      </c>
      <c r="B1374" t="inlineStr">
        <is>
          <t>TUB-O-N-AUT-AW-FC-54.00X3.00X5.790 HST</t>
        </is>
      </c>
      <c r="C1374" t="n">
        <v>3.504</v>
      </c>
      <c r="D1374" t="n">
        <v>4731</v>
      </c>
      <c r="E1374" t="inlineStr">
        <is>
          <t>Neel Metal Products Limited</t>
        </is>
      </c>
      <c r="F1374" t="n">
        <v>1828</v>
      </c>
      <c r="G1374" t="inlineStr">
        <is>
          <t>TVS</t>
        </is>
      </c>
      <c r="H1374" t="inlineStr">
        <is>
          <t>54-0-3-ERW 2-FC</t>
        </is>
      </c>
      <c r="I1374" t="inlineStr">
        <is>
          <t>54-0-3-ERW 2-FC-1</t>
        </is>
      </c>
      <c r="J1374" t="n">
        <v>5.79</v>
      </c>
      <c r="K1374" t="inlineStr">
        <is>
          <t>LL</t>
        </is>
      </c>
    </row>
    <row r="1375" hidden="1" s="584">
      <c r="A1375" t="n">
        <v>3777563</v>
      </c>
      <c r="B1375" t="inlineStr">
        <is>
          <t>TUB-O-N-AUT-AW-FC-54.00X3.00X5.790 HST</t>
        </is>
      </c>
      <c r="C1375" t="n">
        <v>3.319</v>
      </c>
      <c r="D1375" t="n">
        <v>4731</v>
      </c>
      <c r="E1375" t="inlineStr">
        <is>
          <t>Neel Metal Products Limited</t>
        </is>
      </c>
      <c r="F1375" t="n">
        <v>1829</v>
      </c>
      <c r="G1375" t="inlineStr">
        <is>
          <t>TVS</t>
        </is>
      </c>
      <c r="H1375" t="inlineStr">
        <is>
          <t>54-0-3-ERW 2-FC</t>
        </is>
      </c>
      <c r="I1375" t="inlineStr">
        <is>
          <t>54-0-3-ERW 2-FC-1</t>
        </is>
      </c>
      <c r="J1375" t="n">
        <v>5.79</v>
      </c>
      <c r="K1375" t="inlineStr">
        <is>
          <t>LL</t>
        </is>
      </c>
    </row>
    <row r="1376" hidden="1" s="584">
      <c r="A1376" t="n">
        <v>3777563</v>
      </c>
      <c r="B1376" t="inlineStr">
        <is>
          <t>TUB-O-N-AUT-AW-FC-54.00X3.00X5.790 HST</t>
        </is>
      </c>
      <c r="C1376" t="n">
        <v>1.966</v>
      </c>
      <c r="D1376" t="n">
        <v>8406</v>
      </c>
      <c r="E1376" t="inlineStr">
        <is>
          <t>Neel Metal Products Limited</t>
        </is>
      </c>
      <c r="F1376" t="n">
        <v>1830</v>
      </c>
      <c r="G1376" t="inlineStr">
        <is>
          <t>TVS</t>
        </is>
      </c>
      <c r="H1376" t="inlineStr">
        <is>
          <t>54-0-3-ERW 2-FC</t>
        </is>
      </c>
      <c r="I1376" t="inlineStr">
        <is>
          <t>54-0-3-ERW 2-FC-1</t>
        </is>
      </c>
      <c r="J1376" t="n">
        <v>5.79</v>
      </c>
      <c r="K1376" t="inlineStr">
        <is>
          <t>LL</t>
        </is>
      </c>
    </row>
    <row r="1377" hidden="1" s="584">
      <c r="A1377" t="n">
        <v>3777563</v>
      </c>
      <c r="B1377" t="inlineStr">
        <is>
          <t>TUB-O-N-AUT-AW-FC-54.00X3.00X5.790 HST</t>
        </is>
      </c>
      <c r="C1377" t="n">
        <v>3.466</v>
      </c>
      <c r="D1377" t="n">
        <v>8406</v>
      </c>
      <c r="E1377" t="inlineStr">
        <is>
          <t>Neel Metal Products Limited</t>
        </is>
      </c>
      <c r="F1377" t="n">
        <v>1831</v>
      </c>
      <c r="G1377" t="inlineStr">
        <is>
          <t>TVS</t>
        </is>
      </c>
      <c r="H1377" t="inlineStr">
        <is>
          <t>54-0-3-ERW 2-FC</t>
        </is>
      </c>
      <c r="I1377" t="inlineStr">
        <is>
          <t>54-0-3-ERW 2-FC-1</t>
        </is>
      </c>
      <c r="J1377" t="n">
        <v>5.79</v>
      </c>
      <c r="K1377" t="inlineStr">
        <is>
          <t>LL</t>
        </is>
      </c>
    </row>
    <row r="1378" hidden="1" s="584">
      <c r="A1378" t="n">
        <v>3777563</v>
      </c>
      <c r="B1378" t="inlineStr">
        <is>
          <t>TUB-O-N-AUT-AW-FC-54.00X3.00X5.790 HST</t>
        </is>
      </c>
      <c r="C1378" t="n">
        <v>3.095</v>
      </c>
      <c r="D1378" t="n">
        <v>8406</v>
      </c>
      <c r="E1378" t="inlineStr">
        <is>
          <t>Neel Metal Products Limited</t>
        </is>
      </c>
      <c r="F1378" t="n">
        <v>1832</v>
      </c>
      <c r="G1378" t="inlineStr">
        <is>
          <t>TVS</t>
        </is>
      </c>
      <c r="H1378" t="inlineStr">
        <is>
          <t>54-0-3-ERW 2-FC</t>
        </is>
      </c>
      <c r="I1378" t="inlineStr">
        <is>
          <t>54-0-3-ERW 2-FC-1</t>
        </is>
      </c>
      <c r="J1378" t="n">
        <v>5.79</v>
      </c>
      <c r="K1378" t="inlineStr">
        <is>
          <t>LL</t>
        </is>
      </c>
    </row>
    <row r="1379" hidden="1" s="584">
      <c r="A1379" t="n">
        <v>3781594</v>
      </c>
      <c r="B1379" t="inlineStr">
        <is>
          <t>CUT-O-N-AUT-AW-FC-48.60X3.500X0.1960</t>
        </is>
      </c>
      <c r="C1379" t="n">
        <v>1.672063</v>
      </c>
      <c r="D1379" t="n">
        <v>4731</v>
      </c>
      <c r="E1379" t="inlineStr">
        <is>
          <t>Neel Metal Products Limited</t>
        </is>
      </c>
      <c r="F1379" t="n">
        <v>1834</v>
      </c>
      <c r="G1379" t="inlineStr">
        <is>
          <t>TVS</t>
        </is>
      </c>
      <c r="H1379" t="inlineStr">
        <is>
          <t>48.6-0-3.5-ERW 1-FC</t>
        </is>
      </c>
      <c r="I1379" t="inlineStr">
        <is>
          <t>48.6-0-3.5-ERW 1-FC-0.196</t>
        </is>
      </c>
      <c r="J1379" t="n">
        <v>0.196</v>
      </c>
      <c r="K1379" t="inlineStr">
        <is>
          <t>CTL</t>
        </is>
      </c>
    </row>
    <row r="1380" hidden="1" s="584">
      <c r="A1380" t="n">
        <v>3781610</v>
      </c>
      <c r="B1380" t="inlineStr">
        <is>
          <t>CUT-O-N-AUT-AN-AG-70.00X3.200X0.490 HST</t>
        </is>
      </c>
      <c r="C1380" t="n">
        <v>1.305944</v>
      </c>
      <c r="D1380" t="n">
        <v>8406</v>
      </c>
      <c r="E1380" t="inlineStr">
        <is>
          <t>LAXMI METAL PRESSING WORKS PVT LTD</t>
        </is>
      </c>
      <c r="F1380" t="n">
        <v>1841</v>
      </c>
      <c r="G1380" t="inlineStr">
        <is>
          <t>TVS</t>
        </is>
      </c>
      <c r="H1380" t="inlineStr">
        <is>
          <t>70-0-3.2-ERW 2-FC</t>
        </is>
      </c>
      <c r="I1380" t="inlineStr">
        <is>
          <t>70-0-3.2-ERW 2-FC-0.49</t>
        </is>
      </c>
      <c r="J1380" t="n">
        <v>0.49</v>
      </c>
      <c r="K1380" t="inlineStr">
        <is>
          <t>CTL</t>
        </is>
      </c>
    </row>
    <row r="1381" hidden="1" s="584">
      <c r="A1381" t="n">
        <v>3781664</v>
      </c>
      <c r="B1381" t="inlineStr">
        <is>
          <t>CUT-S-AW-SHS-50.00X50.00X1.600X0.8470</t>
        </is>
      </c>
      <c r="C1381" t="n">
        <v>3.0237</v>
      </c>
      <c r="D1381" t="n">
        <v>4731</v>
      </c>
      <c r="E1381" t="inlineStr">
        <is>
          <t>Neel Metal Products Limited</t>
        </is>
      </c>
      <c r="F1381" t="n">
        <v>1845</v>
      </c>
      <c r="G1381" t="inlineStr">
        <is>
          <t>TVS</t>
        </is>
      </c>
      <c r="H1381" t="inlineStr">
        <is>
          <t>50-50-1.6-ERW 2-PE</t>
        </is>
      </c>
      <c r="I1381" t="inlineStr">
        <is>
          <t>50-50-1.6-ERW 2-PE-0.847</t>
        </is>
      </c>
      <c r="J1381" t="n">
        <v>0.847</v>
      </c>
      <c r="K1381" t="inlineStr">
        <is>
          <t>CTL</t>
        </is>
      </c>
    </row>
    <row r="1382" hidden="1" s="584">
      <c r="A1382" t="n">
        <v>3781664</v>
      </c>
      <c r="B1382" t="inlineStr">
        <is>
          <t>CUT-S-AW-SHS-50.00X50.00X1.600X0.8470</t>
        </is>
      </c>
      <c r="C1382" t="n">
        <v>0.154876</v>
      </c>
      <c r="D1382" t="n">
        <v>4731</v>
      </c>
      <c r="E1382" t="inlineStr">
        <is>
          <t>Neel Metal Products Limited</t>
        </is>
      </c>
      <c r="F1382" t="n">
        <v>1846</v>
      </c>
      <c r="G1382" t="inlineStr">
        <is>
          <t>TVS</t>
        </is>
      </c>
      <c r="H1382" t="inlineStr">
        <is>
          <t>50-50-1.6-ERW 2-PE</t>
        </is>
      </c>
      <c r="I1382" t="inlineStr">
        <is>
          <t>50-50-1.6-ERW 2-PE-0.847</t>
        </is>
      </c>
      <c r="J1382" t="n">
        <v>0.847</v>
      </c>
      <c r="K1382" t="inlineStr">
        <is>
          <t>CTL</t>
        </is>
      </c>
    </row>
    <row r="1383" hidden="1" s="584">
      <c r="A1383" t="n">
        <v>3781680</v>
      </c>
      <c r="B1383" t="inlineStr">
        <is>
          <t>CUT-O-N-AUT-AW-FC-57.15X2.300X1.3650</t>
        </is>
      </c>
      <c r="C1383" t="n">
        <v>1.16546</v>
      </c>
      <c r="D1383" t="n">
        <v>8406</v>
      </c>
      <c r="E1383" t="inlineStr">
        <is>
          <t>Neel Metal Products Limited</t>
        </is>
      </c>
      <c r="F1383" t="n">
        <v>1848</v>
      </c>
      <c r="G1383" t="inlineStr">
        <is>
          <t>TVS</t>
        </is>
      </c>
      <c r="H1383" t="inlineStr">
        <is>
          <t>57.15-0-2.3-ERW 2-FC</t>
        </is>
      </c>
      <c r="I1383" t="inlineStr">
        <is>
          <t>57.15-0-2.3-ERW 2-FC-1.365</t>
        </is>
      </c>
      <c r="J1383" t="n">
        <v>1.365</v>
      </c>
      <c r="K1383" t="inlineStr">
        <is>
          <t>CTL</t>
        </is>
      </c>
    </row>
    <row r="1384" hidden="1" s="584">
      <c r="A1384" t="n">
        <v>3781680</v>
      </c>
      <c r="B1384" t="inlineStr">
        <is>
          <t>CUT-O-N-AUT-AW-FC-57.15X2.300X1.3650</t>
        </is>
      </c>
      <c r="C1384" t="n">
        <v>0.966831</v>
      </c>
      <c r="D1384" t="n">
        <v>8406</v>
      </c>
      <c r="E1384" t="inlineStr">
        <is>
          <t>Neel Metal Products Limited</t>
        </is>
      </c>
      <c r="F1384" t="n">
        <v>1849</v>
      </c>
      <c r="G1384" t="inlineStr">
        <is>
          <t>TVS</t>
        </is>
      </c>
      <c r="H1384" t="inlineStr">
        <is>
          <t>57.15-0-2.3-ERW 2-FC</t>
        </is>
      </c>
      <c r="I1384" t="inlineStr">
        <is>
          <t>57.15-0-2.3-ERW 2-FC-1.365</t>
        </is>
      </c>
      <c r="J1384" t="n">
        <v>1.365</v>
      </c>
      <c r="K1384" t="inlineStr">
        <is>
          <t>CTL</t>
        </is>
      </c>
    </row>
    <row r="1385" hidden="1" s="584">
      <c r="A1385" t="n">
        <v>3781701</v>
      </c>
      <c r="B1385" t="inlineStr">
        <is>
          <t>CUT-O-N-AUT-BH-FC-42.70X4.000X0.2900</t>
        </is>
      </c>
      <c r="C1385" t="n">
        <v>1.99278</v>
      </c>
      <c r="D1385" t="n">
        <v>8406</v>
      </c>
      <c r="E1385" t="inlineStr">
        <is>
          <t>Elkayem Auto Ancillaries ( P ) LTD</t>
        </is>
      </c>
      <c r="F1385" t="n">
        <v>1850</v>
      </c>
      <c r="G1385" t="inlineStr">
        <is>
          <t>TVS</t>
        </is>
      </c>
      <c r="H1385" t="inlineStr">
        <is>
          <t>42.7-0-4-ERW 1-FC</t>
        </is>
      </c>
      <c r="I1385" t="inlineStr">
        <is>
          <t>42.7-0-4-ERW 1-FC-0.29</t>
        </is>
      </c>
      <c r="J1385" t="n">
        <v>0.29</v>
      </c>
      <c r="K1385" t="inlineStr">
        <is>
          <t>CTL</t>
        </is>
      </c>
    </row>
    <row r="1386" hidden="1" s="584">
      <c r="A1386" t="n">
        <v>3783938</v>
      </c>
      <c r="B1386" t="inlineStr">
        <is>
          <t>CUT-O-N-AUT-NR-AG-57.15X2.000X0.7130</t>
        </is>
      </c>
      <c r="C1386" t="n">
        <v>0.125917</v>
      </c>
      <c r="D1386" t="n">
        <v>8406</v>
      </c>
      <c r="E1386" t="inlineStr">
        <is>
          <t>Elkayem Auto Ancillaries ( P ) LTD</t>
        </is>
      </c>
      <c r="F1386" t="n">
        <v>1851</v>
      </c>
      <c r="G1386" t="inlineStr">
        <is>
          <t>TVS</t>
        </is>
      </c>
      <c r="H1386" t="inlineStr">
        <is>
          <t>57.15-0-2-ERW 1-FC</t>
        </is>
      </c>
      <c r="I1386" t="inlineStr">
        <is>
          <t>57.15-0-2-ERW 1-FC-0.713</t>
        </is>
      </c>
      <c r="J1386" t="n">
        <v>0.713</v>
      </c>
      <c r="K1386" t="inlineStr">
        <is>
          <t>CTL</t>
        </is>
      </c>
    </row>
    <row r="1387" hidden="1" s="584">
      <c r="A1387" t="n">
        <v>3784473</v>
      </c>
      <c r="B1387" t="inlineStr">
        <is>
          <t>CUT-O-N-AUT-BH-FC-63.50X4.000X0.2360</t>
        </is>
      </c>
      <c r="C1387" t="n">
        <v>0.129869</v>
      </c>
      <c r="D1387" t="n">
        <v>4731</v>
      </c>
      <c r="E1387" t="inlineStr">
        <is>
          <t>Neel Metal Products Limited</t>
        </is>
      </c>
      <c r="F1387" t="n">
        <v>1852</v>
      </c>
      <c r="G1387" t="inlineStr">
        <is>
          <t>TVS</t>
        </is>
      </c>
      <c r="H1387" t="inlineStr">
        <is>
          <t>63.5-0-4-ERW 1-FC</t>
        </is>
      </c>
      <c r="I1387" t="inlineStr">
        <is>
          <t>63.5-0-4-ERW 1-FC-0.236</t>
        </is>
      </c>
      <c r="J1387" t="n">
        <v>0.236</v>
      </c>
      <c r="K1387" t="inlineStr">
        <is>
          <t>CTL</t>
        </is>
      </c>
    </row>
    <row r="1388" hidden="1" s="584">
      <c r="A1388" t="n">
        <v>3784473</v>
      </c>
      <c r="B1388" t="inlineStr">
        <is>
          <t>CUT-O-N-AUT-BH-FC-63.50X4.000X0.2360</t>
        </is>
      </c>
      <c r="C1388" t="n">
        <v>0.06206</v>
      </c>
      <c r="D1388" t="n">
        <v>4731</v>
      </c>
      <c r="E1388" t="inlineStr">
        <is>
          <t>Neel Metal Products Limited</t>
        </is>
      </c>
      <c r="F1388" t="n">
        <v>1853</v>
      </c>
      <c r="G1388" t="inlineStr">
        <is>
          <t>TVS</t>
        </is>
      </c>
      <c r="H1388" t="inlineStr">
        <is>
          <t>63.5-0-4-ERW 1-FC</t>
        </is>
      </c>
      <c r="I1388" t="inlineStr">
        <is>
          <t>63.5-0-4-ERW 1-FC-0.236</t>
        </is>
      </c>
      <c r="J1388" t="n">
        <v>0.236</v>
      </c>
      <c r="K1388" t="inlineStr">
        <is>
          <t>CTL</t>
        </is>
      </c>
    </row>
    <row r="1389" hidden="1" s="584">
      <c r="A1389" t="n">
        <v>3784473</v>
      </c>
      <c r="B1389" t="inlineStr">
        <is>
          <t>CUT-O-N-AUT-BH-FC-63.50X4.000X0.2360</t>
        </is>
      </c>
      <c r="C1389" t="n">
        <v>0.212187</v>
      </c>
      <c r="D1389" t="n">
        <v>4731</v>
      </c>
      <c r="E1389" t="inlineStr">
        <is>
          <t>Neel Metal Products Limited</t>
        </is>
      </c>
      <c r="F1389" t="n">
        <v>1854</v>
      </c>
      <c r="G1389" t="inlineStr">
        <is>
          <t>TVS</t>
        </is>
      </c>
      <c r="H1389" t="inlineStr">
        <is>
          <t>63.5-0-4-ERW 1-FC</t>
        </is>
      </c>
      <c r="I1389" t="inlineStr">
        <is>
          <t>63.5-0-4-ERW 1-FC-0.236</t>
        </is>
      </c>
      <c r="J1389" t="n">
        <v>0.236</v>
      </c>
      <c r="K1389" t="inlineStr">
        <is>
          <t>CTL</t>
        </is>
      </c>
    </row>
    <row r="1390" hidden="1" s="584">
      <c r="A1390" t="n">
        <v>3784473</v>
      </c>
      <c r="B1390" t="inlineStr">
        <is>
          <t>CUT-O-N-AUT-BH-FC-63.50X4.000X0.2360</t>
        </is>
      </c>
      <c r="C1390" t="n">
        <v>1.4566</v>
      </c>
      <c r="D1390" t="n">
        <v>8406</v>
      </c>
      <c r="E1390" t="inlineStr">
        <is>
          <t>Neel Metal Products Limited</t>
        </is>
      </c>
      <c r="F1390" t="n">
        <v>1855</v>
      </c>
      <c r="G1390" t="inlineStr">
        <is>
          <t>TVS</t>
        </is>
      </c>
      <c r="H1390" t="inlineStr">
        <is>
          <t>63.5-0-4-ERW 1-FC</t>
        </is>
      </c>
      <c r="I1390" t="inlineStr">
        <is>
          <t>63.5-0-4-ERW 1-FC-0.236</t>
        </is>
      </c>
      <c r="J1390" t="n">
        <v>0.236</v>
      </c>
      <c r="K1390" t="inlineStr">
        <is>
          <t>CTL</t>
        </is>
      </c>
    </row>
    <row r="1391" hidden="1" s="584">
      <c r="A1391" t="n">
        <v>3801263</v>
      </c>
      <c r="B1391" t="inlineStr">
        <is>
          <t>CUT-N-AUT-AN-FC-70.00X3.200X0.5120</t>
        </is>
      </c>
      <c r="C1391" t="n">
        <v>0.059177</v>
      </c>
      <c r="D1391" t="n">
        <v>4731</v>
      </c>
      <c r="E1391" t="inlineStr">
        <is>
          <t>LAXMI METAL PRESSING WORKS PVT LTD</t>
        </is>
      </c>
      <c r="F1391" t="n">
        <v>1856</v>
      </c>
      <c r="G1391" t="inlineStr">
        <is>
          <t>TVS</t>
        </is>
      </c>
      <c r="H1391" t="inlineStr">
        <is>
          <t>70-0-3.2-ERW 2-FC</t>
        </is>
      </c>
      <c r="I1391" t="inlineStr">
        <is>
          <t>70-0-3.2-ERW 2-FC-0.512</t>
        </is>
      </c>
      <c r="J1391" t="n">
        <v>0.512</v>
      </c>
      <c r="K1391" t="inlineStr">
        <is>
          <t>CTL</t>
        </is>
      </c>
    </row>
    <row r="1392" hidden="1" s="584">
      <c r="A1392" t="n">
        <v>3801263</v>
      </c>
      <c r="B1392" t="inlineStr">
        <is>
          <t>CUT-N-AUT-AN-FC-70.00X3.200X0.5120</t>
        </is>
      </c>
      <c r="C1392" t="n">
        <v>0.515498</v>
      </c>
      <c r="D1392" t="n">
        <v>4731</v>
      </c>
      <c r="E1392" t="inlineStr">
        <is>
          <t>LAXMI METAL PRESSING WORKS PVT LTD</t>
        </is>
      </c>
      <c r="F1392" t="n">
        <v>1857</v>
      </c>
      <c r="G1392" t="inlineStr">
        <is>
          <t>TVS</t>
        </is>
      </c>
      <c r="H1392" t="inlineStr">
        <is>
          <t>70-0-3.2-ERW 2-FC</t>
        </is>
      </c>
      <c r="I1392" t="inlineStr">
        <is>
          <t>70-0-3.2-ERW 2-FC-0.512</t>
        </is>
      </c>
      <c r="J1392" t="n">
        <v>0.512</v>
      </c>
      <c r="K1392" t="inlineStr">
        <is>
          <t>CTL</t>
        </is>
      </c>
    </row>
    <row r="1393" hidden="1" s="584">
      <c r="A1393" t="n">
        <v>3901714</v>
      </c>
      <c r="B1393" t="inlineStr">
        <is>
          <t>CUT-N-AUT-AN-FC-42.70X4.000X0.2150</t>
        </is>
      </c>
      <c r="C1393" t="n">
        <v>0.625228</v>
      </c>
      <c r="D1393" t="n">
        <v>4731</v>
      </c>
      <c r="E1393" t="inlineStr">
        <is>
          <t>SANDHAR ENGINEERING PVT LTD.(KA) -U</t>
        </is>
      </c>
      <c r="F1393" t="n">
        <v>1865</v>
      </c>
      <c r="G1393" t="inlineStr">
        <is>
          <t>TVS</t>
        </is>
      </c>
      <c r="H1393" t="inlineStr">
        <is>
          <t>42.7-0-4-ERW 1-FC</t>
        </is>
      </c>
      <c r="I1393" t="inlineStr">
        <is>
          <t>42.7-0-4-ERW 1-FC-0.215</t>
        </is>
      </c>
      <c r="J1393" t="n">
        <v>0.215</v>
      </c>
      <c r="K1393" t="inlineStr">
        <is>
          <t>CTL</t>
        </is>
      </c>
    </row>
    <row r="1394" hidden="1" s="584">
      <c r="A1394" t="n">
        <v>3901714</v>
      </c>
      <c r="B1394" t="inlineStr">
        <is>
          <t>CUT-N-AUT-AN-FC-42.70X4.000X0.2150</t>
        </is>
      </c>
      <c r="C1394" t="n">
        <v>0.246234</v>
      </c>
      <c r="D1394" t="n">
        <v>4731</v>
      </c>
      <c r="E1394" t="inlineStr">
        <is>
          <t>SANDHAR ENGINEERING PVT LTD.(KA) -U</t>
        </is>
      </c>
      <c r="F1394" t="n">
        <v>1866</v>
      </c>
      <c r="G1394" t="inlineStr">
        <is>
          <t>TVS</t>
        </is>
      </c>
      <c r="H1394" t="inlineStr">
        <is>
          <t>42.7-0-4-ERW 1-FC</t>
        </is>
      </c>
      <c r="I1394" t="inlineStr">
        <is>
          <t>42.7-0-4-ERW 1-FC-0.215</t>
        </is>
      </c>
      <c r="J1394" t="n">
        <v>0.215</v>
      </c>
      <c r="K1394" t="inlineStr">
        <is>
          <t>CTL</t>
        </is>
      </c>
    </row>
    <row r="1395" hidden="1" s="584">
      <c r="A1395" t="n">
        <v>3901714</v>
      </c>
      <c r="B1395" t="inlineStr">
        <is>
          <t>CUT-N-AUT-AN-FC-42.70X4.000X0.2150</t>
        </is>
      </c>
      <c r="C1395" t="n">
        <v>0.344213</v>
      </c>
      <c r="D1395" t="n">
        <v>4731</v>
      </c>
      <c r="E1395" t="inlineStr">
        <is>
          <t>SANDHAR ENGINEERING PVT LTD.(KA) -U</t>
        </is>
      </c>
      <c r="F1395" t="n">
        <v>1867</v>
      </c>
      <c r="G1395" t="inlineStr">
        <is>
          <t>TVS</t>
        </is>
      </c>
      <c r="H1395" t="inlineStr">
        <is>
          <t>42.7-0-4-ERW 1-FC</t>
        </is>
      </c>
      <c r="I1395" t="inlineStr">
        <is>
          <t>42.7-0-4-ERW 1-FC-0.215</t>
        </is>
      </c>
      <c r="J1395" t="n">
        <v>0.215</v>
      </c>
      <c r="K1395" t="inlineStr">
        <is>
          <t>CTL</t>
        </is>
      </c>
    </row>
    <row r="1396" hidden="1" s="584">
      <c r="A1396" t="n">
        <v>3910001</v>
      </c>
      <c r="B1396" t="inlineStr">
        <is>
          <t>TUB-O-N-AUT-AW-FC-57.15X2.500X6.1000</t>
        </is>
      </c>
      <c r="C1396" t="n">
        <v>2.510409</v>
      </c>
      <c r="D1396" t="n">
        <v>8406</v>
      </c>
      <c r="E1396" t="inlineStr">
        <is>
          <t>Rajsriya Automotive Ind Pvt Ltd.</t>
        </is>
      </c>
      <c r="F1396" t="n">
        <v>1876</v>
      </c>
      <c r="G1396" t="inlineStr">
        <is>
          <t>TVS</t>
        </is>
      </c>
      <c r="H1396" t="inlineStr">
        <is>
          <t>57.15-0-2.5-ERW 1-FC</t>
        </is>
      </c>
      <c r="I1396" t="inlineStr">
        <is>
          <t>57.15-0-2.5-ERW 1-FC-1</t>
        </is>
      </c>
      <c r="J1396" t="n">
        <v>6.1</v>
      </c>
      <c r="K1396" t="inlineStr">
        <is>
          <t>LL</t>
        </is>
      </c>
    </row>
    <row r="1397" hidden="1" s="584">
      <c r="A1397" t="n">
        <v>3910001</v>
      </c>
      <c r="B1397" t="inlineStr">
        <is>
          <t>TUB-O-N-AUT-AW-FC-57.15X2.500X6.1000</t>
        </is>
      </c>
      <c r="C1397" t="n">
        <v>2.510409</v>
      </c>
      <c r="D1397" t="n">
        <v>8406</v>
      </c>
      <c r="E1397" t="inlineStr">
        <is>
          <t>Rajsriya Automotive Ind Pvt Ltd.</t>
        </is>
      </c>
      <c r="F1397" t="n">
        <v>1877</v>
      </c>
      <c r="G1397" t="inlineStr">
        <is>
          <t>TVS</t>
        </is>
      </c>
      <c r="H1397" t="inlineStr">
        <is>
          <t>57.15-0-2.5-ERW 1-FC</t>
        </is>
      </c>
      <c r="I1397" t="inlineStr">
        <is>
          <t>57.15-0-2.5-ERW 1-FC-1</t>
        </is>
      </c>
      <c r="J1397" t="n">
        <v>6.1</v>
      </c>
      <c r="K1397" t="inlineStr">
        <is>
          <t>LL</t>
        </is>
      </c>
    </row>
    <row r="1398" hidden="1" s="584">
      <c r="A1398" t="n">
        <v>4196298</v>
      </c>
      <c r="B1398" t="inlineStr">
        <is>
          <t>CUT-O-N-AUT-BH-FC-63.50X4.000X0.2630</t>
        </is>
      </c>
      <c r="C1398" t="n">
        <v>0.5301739999999999</v>
      </c>
      <c r="D1398" t="n">
        <v>4731</v>
      </c>
      <c r="E1398" t="inlineStr">
        <is>
          <t>Neel Metal Products Limited</t>
        </is>
      </c>
      <c r="F1398" t="n">
        <v>1955</v>
      </c>
      <c r="G1398" t="inlineStr">
        <is>
          <t>TVS</t>
        </is>
      </c>
      <c r="H1398" t="inlineStr">
        <is>
          <t>63.5-0-4-ERW 1-FC</t>
        </is>
      </c>
      <c r="I1398" t="inlineStr">
        <is>
          <t>63.5-0-4-ERW 1-FC-0.263</t>
        </is>
      </c>
      <c r="J1398" t="n">
        <v>0.263</v>
      </c>
      <c r="K1398" t="inlineStr">
        <is>
          <t>CTL</t>
        </is>
      </c>
    </row>
    <row r="1399" hidden="1" s="584">
      <c r="A1399" t="n">
        <v>3500391</v>
      </c>
      <c r="B1399" t="inlineStr">
        <is>
          <t>TUB-O-N-AUT-AW-FC-54.00X3.000X5.910</t>
        </is>
      </c>
      <c r="C1399" t="n">
        <v>2.563</v>
      </c>
      <c r="D1399" t="inlineStr">
        <is>
          <t>0788</t>
        </is>
      </c>
      <c r="E1399" t="inlineStr">
        <is>
          <t>MEGH STEELS PRIVATE LIMITED - TVS A</t>
        </is>
      </c>
      <c r="F1399" t="n">
        <v>2006</v>
      </c>
      <c r="G1399" t="inlineStr">
        <is>
          <t>Direct</t>
        </is>
      </c>
      <c r="H1399" t="inlineStr">
        <is>
          <t>54-0-3-ERW 1-FC</t>
        </is>
      </c>
      <c r="I1399" t="inlineStr">
        <is>
          <t>54-0-3-ERW 2-FC-1</t>
        </is>
      </c>
      <c r="J1399" t="n">
        <v>5.91</v>
      </c>
      <c r="K1399" t="inlineStr">
        <is>
          <t>LL</t>
        </is>
      </c>
    </row>
    <row r="1400" hidden="1" s="584">
      <c r="A1400" t="n">
        <v>3905049</v>
      </c>
      <c r="B1400" t="inlineStr">
        <is>
          <t>TUB-O-N-AUT-AW-FC-60.30X2.000X5.9000</t>
        </is>
      </c>
      <c r="C1400" t="n">
        <v>1.374</v>
      </c>
      <c r="D1400" t="inlineStr">
        <is>
          <t>0788</t>
        </is>
      </c>
      <c r="E1400" t="inlineStr">
        <is>
          <t>MEGH STEELS PRIVATE LIMITED - TVS A</t>
        </is>
      </c>
      <c r="F1400" t="n">
        <v>2044</v>
      </c>
      <c r="G1400" t="inlineStr">
        <is>
          <t>Direct</t>
        </is>
      </c>
      <c r="H1400" t="inlineStr">
        <is>
          <t>60.3-0-2-ERW 1-FC</t>
        </is>
      </c>
      <c r="I1400" t="inlineStr">
        <is>
          <t>60.3-0-2-ERW 1-FC-1</t>
        </is>
      </c>
      <c r="J1400" t="n">
        <v>5.9</v>
      </c>
      <c r="K1400" t="inlineStr">
        <is>
          <t>LL</t>
        </is>
      </c>
    </row>
    <row r="1401" hidden="1" s="584">
      <c r="A1401" t="n">
        <v>3905049</v>
      </c>
      <c r="B1401" t="inlineStr">
        <is>
          <t>TUB-O-N-AUT-AW-FC-60.30X2.000X5.9000</t>
        </is>
      </c>
      <c r="C1401" t="n">
        <v>1.543</v>
      </c>
      <c r="D1401" t="inlineStr">
        <is>
          <t>0788</t>
        </is>
      </c>
      <c r="E1401" t="inlineStr">
        <is>
          <t>MEGH STEELS PRIVATE LIMITED - TVS A</t>
        </is>
      </c>
      <c r="F1401" t="n">
        <v>2045</v>
      </c>
      <c r="G1401" t="inlineStr">
        <is>
          <t>Direct</t>
        </is>
      </c>
      <c r="H1401" t="inlineStr">
        <is>
          <t>60.3-0-2-ERW 1-FC</t>
        </is>
      </c>
      <c r="I1401" t="inlineStr">
        <is>
          <t>60.3-0-2-ERW 1-FC-1</t>
        </is>
      </c>
      <c r="J1401" t="n">
        <v>5.9</v>
      </c>
      <c r="K1401" t="inlineStr">
        <is>
          <t>LL</t>
        </is>
      </c>
    </row>
    <row r="1402" hidden="1" s="584">
      <c r="A1402" t="n">
        <v>3770392</v>
      </c>
      <c r="B1402" t="inlineStr">
        <is>
          <t>TUB-O-C-AUT-AD-FC-25.40X3.500X5.6000</t>
        </is>
      </c>
      <c r="C1402" t="n">
        <v>1.513</v>
      </c>
      <c r="D1402" t="inlineStr">
        <is>
          <t>0788</t>
        </is>
      </c>
      <c r="E1402" t="inlineStr">
        <is>
          <t>Narasipur Auto Component(P)Ltd</t>
        </is>
      </c>
      <c r="F1402" t="n">
        <v>2265</v>
      </c>
      <c r="G1402" t="inlineStr">
        <is>
          <t>TVS</t>
        </is>
      </c>
      <c r="H1402" t="inlineStr">
        <is>
          <t>25.4-18.4-3.5-CEW-CEW</t>
        </is>
      </c>
      <c r="I1402" t="inlineStr">
        <is>
          <t>25.4-18.4-3.5-CEW-CEW-1</t>
        </is>
      </c>
      <c r="J1402" t="n">
        <v>5.6</v>
      </c>
      <c r="K1402" t="inlineStr">
        <is>
          <t>LL</t>
        </is>
      </c>
    </row>
    <row r="1403" hidden="1" s="584">
      <c r="A1403" t="n">
        <v>3770392</v>
      </c>
      <c r="B1403" t="inlineStr">
        <is>
          <t>TUB-O-C-AUT-AD-FC-25.40X3.500X5.6000</t>
        </is>
      </c>
      <c r="C1403" t="n">
        <v>1.725</v>
      </c>
      <c r="D1403" t="inlineStr">
        <is>
          <t>0788</t>
        </is>
      </c>
      <c r="E1403" t="inlineStr">
        <is>
          <t>Narasipur Auto Component(P)Ltd</t>
        </is>
      </c>
      <c r="F1403" t="n">
        <v>2266</v>
      </c>
      <c r="G1403" t="inlineStr">
        <is>
          <t>TVS</t>
        </is>
      </c>
      <c r="H1403" t="inlineStr">
        <is>
          <t>25.4-18.4-3.5-CEW-CEW</t>
        </is>
      </c>
      <c r="I1403" t="inlineStr">
        <is>
          <t>25.4-18.4-3.5-CEW-CEW-1</t>
        </is>
      </c>
      <c r="J1403" t="n">
        <v>5.6</v>
      </c>
      <c r="K1403" t="inlineStr">
        <is>
          <t>LL</t>
        </is>
      </c>
    </row>
    <row r="1404" hidden="1" s="584">
      <c r="A1404" t="n">
        <v>3770392</v>
      </c>
      <c r="B1404" t="inlineStr">
        <is>
          <t>TUB-O-C-AUT-AD-FC-25.40X3.500X5.6000</t>
        </is>
      </c>
      <c r="C1404" t="n">
        <v>1.418</v>
      </c>
      <c r="D1404" t="inlineStr">
        <is>
          <t>0788</t>
        </is>
      </c>
      <c r="E1404" t="inlineStr">
        <is>
          <t>Narasipur Auto Component(P)Ltd</t>
        </is>
      </c>
      <c r="F1404" t="n">
        <v>2267</v>
      </c>
      <c r="G1404" t="inlineStr">
        <is>
          <t>TVS</t>
        </is>
      </c>
      <c r="H1404" t="inlineStr">
        <is>
          <t>25.4-18.4-3.5-CEW-CEW</t>
        </is>
      </c>
      <c r="I1404" t="inlineStr">
        <is>
          <t>25.4-18.4-3.5-CEW-CEW-1</t>
        </is>
      </c>
      <c r="J1404" t="n">
        <v>5.6</v>
      </c>
      <c r="K1404" t="inlineStr">
        <is>
          <t>LL</t>
        </is>
      </c>
    </row>
    <row r="1405" hidden="1" s="584">
      <c r="A1405" t="n">
        <v>3770392</v>
      </c>
      <c r="B1405" t="inlineStr">
        <is>
          <t>TUB-O-C-AUT-AD-FC-25.40X3.500X5.6000</t>
        </is>
      </c>
      <c r="C1405" t="n">
        <v>1.492</v>
      </c>
      <c r="D1405" t="inlineStr">
        <is>
          <t>0788</t>
        </is>
      </c>
      <c r="E1405" t="inlineStr">
        <is>
          <t>Narasipur Auto Component(P)Ltd</t>
        </is>
      </c>
      <c r="F1405" t="n">
        <v>2268</v>
      </c>
      <c r="G1405" t="inlineStr">
        <is>
          <t>TVS</t>
        </is>
      </c>
      <c r="H1405" t="inlineStr">
        <is>
          <t>25.4-18.4-3.5-CEW-CEW</t>
        </is>
      </c>
      <c r="I1405" t="inlineStr">
        <is>
          <t>25.4-18.4-3.5-CEW-CEW-1</t>
        </is>
      </c>
      <c r="J1405" t="n">
        <v>5.6</v>
      </c>
      <c r="K1405" t="inlineStr">
        <is>
          <t>LL</t>
        </is>
      </c>
    </row>
    <row r="1406" hidden="1" s="584">
      <c r="A1406" t="n">
        <v>3770392</v>
      </c>
      <c r="B1406" t="inlineStr">
        <is>
          <t>TUB-O-C-AUT-AD-FC-25.40X3.500X5.6000</t>
        </is>
      </c>
      <c r="C1406" t="n">
        <v>0.529</v>
      </c>
      <c r="D1406" t="inlineStr">
        <is>
          <t>0788</t>
        </is>
      </c>
      <c r="E1406" t="inlineStr">
        <is>
          <t>Narasipur Auto Component(P)Ltd</t>
        </is>
      </c>
      <c r="F1406" t="n">
        <v>2269</v>
      </c>
      <c r="G1406" t="inlineStr">
        <is>
          <t>TVS</t>
        </is>
      </c>
      <c r="H1406" t="inlineStr">
        <is>
          <t>25.4-18.4-3.5-CEW-CEW</t>
        </is>
      </c>
      <c r="I1406" t="inlineStr">
        <is>
          <t>25.4-18.4-3.5-CEW-CEW-1</t>
        </is>
      </c>
      <c r="J1406" t="n">
        <v>5.6</v>
      </c>
      <c r="K1406" t="inlineStr">
        <is>
          <t>LL</t>
        </is>
      </c>
    </row>
    <row r="1407" hidden="1" s="584">
      <c r="A1407" t="n">
        <v>3770392</v>
      </c>
      <c r="B1407" t="inlineStr">
        <is>
          <t>TUB-O-C-AUT-AD-FC-25.40X3.500X5.6000</t>
        </is>
      </c>
      <c r="C1407" t="n">
        <v>1.577</v>
      </c>
      <c r="D1407" t="inlineStr">
        <is>
          <t>0788</t>
        </is>
      </c>
      <c r="E1407" t="inlineStr">
        <is>
          <t>Narasipur Auto Component(P)Ltd</t>
        </is>
      </c>
      <c r="F1407" t="n">
        <v>2270</v>
      </c>
      <c r="G1407" t="inlineStr">
        <is>
          <t>TVS</t>
        </is>
      </c>
      <c r="H1407" t="inlineStr">
        <is>
          <t>25.4-18.4-3.5-CEW-CEW</t>
        </is>
      </c>
      <c r="I1407" t="inlineStr">
        <is>
          <t>25.4-18.4-3.5-CEW-CEW-1</t>
        </is>
      </c>
      <c r="J1407" t="n">
        <v>5.6</v>
      </c>
      <c r="K1407" t="inlineStr">
        <is>
          <t>LL</t>
        </is>
      </c>
    </row>
    <row r="1408" hidden="1" s="584">
      <c r="A1408" t="n">
        <v>3770392</v>
      </c>
      <c r="B1408" t="inlineStr">
        <is>
          <t>TUB-O-C-AUT-AD-FC-25.40X3.500X5.6000</t>
        </is>
      </c>
      <c r="C1408" t="n">
        <v>1.421</v>
      </c>
      <c r="D1408" t="inlineStr">
        <is>
          <t>0788</t>
        </is>
      </c>
      <c r="E1408" t="inlineStr">
        <is>
          <t>Narasipur Auto Component(P)Ltd</t>
        </is>
      </c>
      <c r="F1408" t="n">
        <v>2271</v>
      </c>
      <c r="G1408" t="inlineStr">
        <is>
          <t>TVS</t>
        </is>
      </c>
      <c r="H1408" t="inlineStr">
        <is>
          <t>25.4-18.4-3.5-CEW-CEW</t>
        </is>
      </c>
      <c r="I1408" t="inlineStr">
        <is>
          <t>25.4-18.4-3.5-CEW-CEW-1</t>
        </is>
      </c>
      <c r="J1408" t="n">
        <v>5.6</v>
      </c>
      <c r="K1408" t="inlineStr">
        <is>
          <t>LL</t>
        </is>
      </c>
    </row>
    <row r="1409" hidden="1" s="584">
      <c r="A1409" t="n">
        <v>3770392</v>
      </c>
      <c r="B1409" t="inlineStr">
        <is>
          <t>TUB-O-C-AUT-AD-FC-25.40X3.500X5.6000</t>
        </is>
      </c>
      <c r="C1409" t="n">
        <v>1.64</v>
      </c>
      <c r="D1409" t="inlineStr">
        <is>
          <t>0788</t>
        </is>
      </c>
      <c r="E1409" t="inlineStr">
        <is>
          <t>Narasipur Auto Component(P)Ltd</t>
        </is>
      </c>
      <c r="F1409" t="n">
        <v>2272</v>
      </c>
      <c r="G1409" t="inlineStr">
        <is>
          <t>TVS</t>
        </is>
      </c>
      <c r="H1409" t="inlineStr">
        <is>
          <t>25.4-18.4-3.5-CEW-CEW</t>
        </is>
      </c>
      <c r="I1409" t="inlineStr">
        <is>
          <t>25.4-18.4-3.5-CEW-CEW-1</t>
        </is>
      </c>
      <c r="J1409" t="n">
        <v>5.6</v>
      </c>
      <c r="K1409" t="inlineStr">
        <is>
          <t>LL</t>
        </is>
      </c>
    </row>
    <row r="1410" hidden="1" s="584">
      <c r="A1410" t="n">
        <v>3770392</v>
      </c>
      <c r="B1410" t="inlineStr">
        <is>
          <t>TUB-O-C-AUT-AD-FC-25.40X3.500X5.6000</t>
        </is>
      </c>
      <c r="C1410" t="n">
        <v>1.259</v>
      </c>
      <c r="D1410" t="inlineStr">
        <is>
          <t>0788</t>
        </is>
      </c>
      <c r="E1410" t="inlineStr">
        <is>
          <t>Narasipur Auto Component(P)Ltd</t>
        </is>
      </c>
      <c r="F1410" t="n">
        <v>2273</v>
      </c>
      <c r="G1410" t="inlineStr">
        <is>
          <t>TVS</t>
        </is>
      </c>
      <c r="H1410" t="inlineStr">
        <is>
          <t>25.4-18.4-3.5-CEW-CEW</t>
        </is>
      </c>
      <c r="I1410" t="inlineStr">
        <is>
          <t>25.4-18.4-3.5-CEW-CEW-1</t>
        </is>
      </c>
      <c r="J1410" t="n">
        <v>5.6</v>
      </c>
      <c r="K1410" t="inlineStr">
        <is>
          <t>LL</t>
        </is>
      </c>
    </row>
    <row r="1411" hidden="1" s="584">
      <c r="A1411" t="n">
        <v>3770392</v>
      </c>
      <c r="B1411" t="inlineStr">
        <is>
          <t>TUB-O-C-AUT-AD-FC-25.40X3.500X5.6000</t>
        </is>
      </c>
      <c r="C1411" t="n">
        <v>0.127</v>
      </c>
      <c r="D1411" t="inlineStr">
        <is>
          <t>0788</t>
        </is>
      </c>
      <c r="E1411" t="inlineStr">
        <is>
          <t>Narasipur Auto Component(P)Ltd</t>
        </is>
      </c>
      <c r="F1411" t="n">
        <v>2274</v>
      </c>
      <c r="G1411" t="inlineStr">
        <is>
          <t>TVS</t>
        </is>
      </c>
      <c r="H1411" t="inlineStr">
        <is>
          <t>25.4-18.4-3.5-CEW-CEW</t>
        </is>
      </c>
      <c r="I1411" t="inlineStr">
        <is>
          <t>25.4-18.4-3.5-CEW-CEW-1</t>
        </is>
      </c>
      <c r="J1411" t="n">
        <v>5.6</v>
      </c>
      <c r="K1411" t="inlineStr">
        <is>
          <t>LL</t>
        </is>
      </c>
    </row>
    <row r="1412" hidden="1" s="584">
      <c r="A1412" t="n">
        <v>3770392</v>
      </c>
      <c r="B1412" t="inlineStr">
        <is>
          <t>TUB-O-C-AUT-AD-FC-25.40X3.500X5.6000</t>
        </is>
      </c>
      <c r="C1412" t="n">
        <v>1.577</v>
      </c>
      <c r="D1412" t="inlineStr">
        <is>
          <t>0788</t>
        </is>
      </c>
      <c r="E1412" t="inlineStr">
        <is>
          <t>Narasipur Auto Component(P)Ltd</t>
        </is>
      </c>
      <c r="F1412" t="n">
        <v>2275</v>
      </c>
      <c r="G1412" t="inlineStr">
        <is>
          <t>TVS</t>
        </is>
      </c>
      <c r="H1412" t="inlineStr">
        <is>
          <t>25.4-18.4-3.5-CEW-CEW</t>
        </is>
      </c>
      <c r="I1412" t="inlineStr">
        <is>
          <t>25.4-18.4-3.5-CEW-CEW-1</t>
        </is>
      </c>
      <c r="J1412" t="n">
        <v>5.6</v>
      </c>
      <c r="K1412" t="inlineStr">
        <is>
          <t>LL</t>
        </is>
      </c>
    </row>
    <row r="1413" hidden="1" s="584">
      <c r="A1413" t="n">
        <v>3770392</v>
      </c>
      <c r="B1413" t="inlineStr">
        <is>
          <t>TUB-O-C-AUT-AD-FC-25.40X3.500X5.6000</t>
        </is>
      </c>
      <c r="C1413" t="n">
        <v>1.725</v>
      </c>
      <c r="D1413" t="inlineStr">
        <is>
          <t>0788</t>
        </is>
      </c>
      <c r="E1413" t="inlineStr">
        <is>
          <t>Narasipur Auto Component(P)Ltd</t>
        </is>
      </c>
      <c r="F1413" t="n">
        <v>2276</v>
      </c>
      <c r="G1413" t="inlineStr">
        <is>
          <t>TVS</t>
        </is>
      </c>
      <c r="H1413" t="inlineStr">
        <is>
          <t>25.4-18.4-3.5-CEW-CEW</t>
        </is>
      </c>
      <c r="I1413" t="inlineStr">
        <is>
          <t>25.4-18.4-3.5-CEW-CEW-1</t>
        </is>
      </c>
      <c r="J1413" t="n">
        <v>5.6</v>
      </c>
      <c r="K1413" t="inlineStr">
        <is>
          <t>LL</t>
        </is>
      </c>
    </row>
    <row r="1414" hidden="1" s="584">
      <c r="A1414" t="n">
        <v>3770392</v>
      </c>
      <c r="B1414" t="inlineStr">
        <is>
          <t>TUB-O-C-AUT-AD-FC-25.40X3.500X5.6000</t>
        </is>
      </c>
      <c r="C1414" t="n">
        <v>1.534</v>
      </c>
      <c r="D1414" t="inlineStr">
        <is>
          <t>0788</t>
        </is>
      </c>
      <c r="E1414" t="inlineStr">
        <is>
          <t>Narasipur Auto Component(P)Ltd</t>
        </is>
      </c>
      <c r="F1414" t="n">
        <v>2277</v>
      </c>
      <c r="G1414" t="inlineStr">
        <is>
          <t>TVS</t>
        </is>
      </c>
      <c r="H1414" t="inlineStr">
        <is>
          <t>25.4-18.4-3.5-CEW-CEW</t>
        </is>
      </c>
      <c r="I1414" t="inlineStr">
        <is>
          <t>25.4-18.4-3.5-CEW-CEW-1</t>
        </is>
      </c>
      <c r="J1414" t="n">
        <v>5.6</v>
      </c>
      <c r="K1414" t="inlineStr">
        <is>
          <t>LL</t>
        </is>
      </c>
    </row>
    <row r="1415" hidden="1" s="584">
      <c r="A1415" t="n">
        <v>3770394</v>
      </c>
      <c r="B1415" t="inlineStr">
        <is>
          <t>TUB-O-C-AUT-AD-FC-29.40X4.500X5.5500</t>
        </is>
      </c>
      <c r="C1415" t="n">
        <v>1.931</v>
      </c>
      <c r="D1415" t="inlineStr">
        <is>
          <t>0788</t>
        </is>
      </c>
      <c r="E1415" t="inlineStr">
        <is>
          <t>Narasipur Auto Component(P)Ltd</t>
        </is>
      </c>
      <c r="F1415" t="n">
        <v>2278</v>
      </c>
      <c r="G1415" t="inlineStr">
        <is>
          <t>TVS</t>
        </is>
      </c>
      <c r="H1415" t="inlineStr">
        <is>
          <t>29.4-20.4-4.5-CEW STKM 13C-CEW</t>
        </is>
      </c>
      <c r="I1415" t="inlineStr">
        <is>
          <t>29.4-20.4-4.5-CEW STKM 13C-CEW-1</t>
        </is>
      </c>
      <c r="J1415" t="n">
        <v>5.55</v>
      </c>
      <c r="K1415" t="inlineStr">
        <is>
          <t>LL</t>
        </is>
      </c>
    </row>
    <row r="1416" hidden="1" s="584">
      <c r="A1416" t="n">
        <v>3770394</v>
      </c>
      <c r="B1416" t="inlineStr">
        <is>
          <t>TUB-O-C-AUT-AD-FC-29.40X4.500X5.5500</t>
        </is>
      </c>
      <c r="C1416" t="n">
        <v>1.518</v>
      </c>
      <c r="D1416" t="inlineStr">
        <is>
          <t>0788</t>
        </is>
      </c>
      <c r="E1416" t="inlineStr">
        <is>
          <t>Narasipur Auto Component(P)Ltd</t>
        </is>
      </c>
      <c r="F1416" t="n">
        <v>2279</v>
      </c>
      <c r="G1416" t="inlineStr">
        <is>
          <t>TVS</t>
        </is>
      </c>
      <c r="H1416" t="inlineStr">
        <is>
          <t>29.4-20.4-4.5-CEW STKM 13C-CEW</t>
        </is>
      </c>
      <c r="I1416" t="inlineStr">
        <is>
          <t>29.4-20.4-4.5-CEW STKM 13C-CEW-1</t>
        </is>
      </c>
      <c r="J1416" t="n">
        <v>5.55</v>
      </c>
      <c r="K1416" t="inlineStr">
        <is>
          <t>LL</t>
        </is>
      </c>
    </row>
    <row r="1417" hidden="1" s="584">
      <c r="A1417" t="n">
        <v>3770394</v>
      </c>
      <c r="B1417" t="inlineStr">
        <is>
          <t>TUB-O-C-AUT-AD-FC-29.40X4.500X5.5500</t>
        </is>
      </c>
      <c r="C1417" t="n">
        <v>2.023</v>
      </c>
      <c r="D1417" t="inlineStr">
        <is>
          <t>0788</t>
        </is>
      </c>
      <c r="E1417" t="inlineStr">
        <is>
          <t>Narasipur Auto Component(P)Ltd</t>
        </is>
      </c>
      <c r="F1417" t="n">
        <v>2280</v>
      </c>
      <c r="G1417" t="inlineStr">
        <is>
          <t>TVS</t>
        </is>
      </c>
      <c r="H1417" t="inlineStr">
        <is>
          <t>29.4-20.4-4.5-CEW STKM 13C-CEW</t>
        </is>
      </c>
      <c r="I1417" t="inlineStr">
        <is>
          <t>29.4-20.4-4.5-CEW STKM 13C-CEW-1</t>
        </is>
      </c>
      <c r="J1417" t="n">
        <v>5.55</v>
      </c>
      <c r="K1417" t="inlineStr">
        <is>
          <t>LL</t>
        </is>
      </c>
    </row>
    <row r="1418" hidden="1" s="584">
      <c r="A1418" t="n">
        <v>3770394</v>
      </c>
      <c r="B1418" t="inlineStr">
        <is>
          <t>TUB-O-C-AUT-AD-FC-29.40X4.500X5.5500</t>
        </is>
      </c>
      <c r="C1418" t="n">
        <v>2.023</v>
      </c>
      <c r="D1418" t="inlineStr">
        <is>
          <t>0788</t>
        </is>
      </c>
      <c r="E1418" t="inlineStr">
        <is>
          <t>Narasipur Auto Component(P)Ltd</t>
        </is>
      </c>
      <c r="F1418" t="n">
        <v>2281</v>
      </c>
      <c r="G1418" t="inlineStr">
        <is>
          <t>TVS</t>
        </is>
      </c>
      <c r="H1418" t="inlineStr">
        <is>
          <t>29.4-20.4-4.5-CEW STKM 13C-CEW</t>
        </is>
      </c>
      <c r="I1418" t="inlineStr">
        <is>
          <t>29.4-20.4-4.5-CEW STKM 13C-CEW-1</t>
        </is>
      </c>
      <c r="J1418" t="n">
        <v>5.55</v>
      </c>
      <c r="K1418" t="inlineStr">
        <is>
          <t>LL</t>
        </is>
      </c>
    </row>
    <row r="1419" hidden="1" s="584">
      <c r="A1419" t="n">
        <v>3770394</v>
      </c>
      <c r="B1419" t="inlineStr">
        <is>
          <t>TUB-O-C-AUT-AD-FC-29.40X4.500X5.5500</t>
        </is>
      </c>
      <c r="C1419" t="n">
        <v>1.012</v>
      </c>
      <c r="D1419" t="inlineStr">
        <is>
          <t>0788</t>
        </is>
      </c>
      <c r="E1419" t="inlineStr">
        <is>
          <t>Narasipur Auto Component(P)Ltd</t>
        </is>
      </c>
      <c r="F1419" t="n">
        <v>2282</v>
      </c>
      <c r="G1419" t="inlineStr">
        <is>
          <t>TVS</t>
        </is>
      </c>
      <c r="H1419" t="inlineStr">
        <is>
          <t>29.4-20.4-4.5-CEW STKM 13C-CEW</t>
        </is>
      </c>
      <c r="I1419" t="inlineStr">
        <is>
          <t>29.4-20.4-4.5-CEW STKM 13C-CEW-1</t>
        </is>
      </c>
      <c r="J1419" t="n">
        <v>5.55</v>
      </c>
      <c r="K1419" t="inlineStr">
        <is>
          <t>LL</t>
        </is>
      </c>
    </row>
    <row r="1420" hidden="1" s="584">
      <c r="A1420" t="n">
        <v>3770394</v>
      </c>
      <c r="B1420" t="inlineStr">
        <is>
          <t>TUB-O-C-AUT-AD-FC-29.40X4.500X5.5500</t>
        </is>
      </c>
      <c r="C1420" t="n">
        <v>2.161</v>
      </c>
      <c r="D1420" t="inlineStr">
        <is>
          <t>0788</t>
        </is>
      </c>
      <c r="E1420" t="inlineStr">
        <is>
          <t>Narasipur Auto Component(P)Ltd</t>
        </is>
      </c>
      <c r="F1420" t="n">
        <v>2283</v>
      </c>
      <c r="G1420" t="inlineStr">
        <is>
          <t>TVS</t>
        </is>
      </c>
      <c r="H1420" t="inlineStr">
        <is>
          <t>29.4-20.4-4.5-CEW STKM 13C-CEW</t>
        </is>
      </c>
      <c r="I1420" t="inlineStr">
        <is>
          <t>29.4-20.4-4.5-CEW STKM 13C-CEW-1</t>
        </is>
      </c>
      <c r="J1420" t="n">
        <v>5.55</v>
      </c>
      <c r="K1420" t="inlineStr">
        <is>
          <t>LL</t>
        </is>
      </c>
    </row>
    <row r="1421" hidden="1" s="584">
      <c r="A1421" t="n">
        <v>3770394</v>
      </c>
      <c r="B1421" t="inlineStr">
        <is>
          <t>TUB-O-C-AUT-AD-FC-29.40X4.500X5.5500</t>
        </is>
      </c>
      <c r="C1421" t="n">
        <v>2.299</v>
      </c>
      <c r="D1421" t="inlineStr">
        <is>
          <t>0788</t>
        </is>
      </c>
      <c r="E1421" t="inlineStr">
        <is>
          <t>Narasipur Auto Component(P)Ltd</t>
        </is>
      </c>
      <c r="F1421" t="n">
        <v>2284</v>
      </c>
      <c r="G1421" t="inlineStr">
        <is>
          <t>TVS</t>
        </is>
      </c>
      <c r="H1421" t="inlineStr">
        <is>
          <t>29.4-20.4-4.5-CEW STKM 13C-CEW</t>
        </is>
      </c>
      <c r="I1421" t="inlineStr">
        <is>
          <t>29.4-20.4-4.5-CEW STKM 13C-CEW-1</t>
        </is>
      </c>
      <c r="J1421" t="n">
        <v>5.55</v>
      </c>
      <c r="K1421" t="inlineStr">
        <is>
          <t>LL</t>
        </is>
      </c>
    </row>
    <row r="1422" hidden="1" s="584">
      <c r="A1422" t="n">
        <v>3770394</v>
      </c>
      <c r="B1422" t="inlineStr">
        <is>
          <t>TUB-O-C-AUT-AD-FC-29.40X4.500X5.5500</t>
        </is>
      </c>
      <c r="C1422" t="n">
        <v>0.644</v>
      </c>
      <c r="D1422" t="inlineStr">
        <is>
          <t>0788</t>
        </is>
      </c>
      <c r="E1422" t="inlineStr">
        <is>
          <t>Narasipur Auto Component(P)Ltd</t>
        </is>
      </c>
      <c r="F1422" t="n">
        <v>2285</v>
      </c>
      <c r="G1422" t="inlineStr">
        <is>
          <t>TVS</t>
        </is>
      </c>
      <c r="H1422" t="inlineStr">
        <is>
          <t>29.4-20.4-4.5-CEW STKM 13C-CEW</t>
        </is>
      </c>
      <c r="I1422" t="inlineStr">
        <is>
          <t>29.4-20.4-4.5-CEW STKM 13C-CEW-1</t>
        </is>
      </c>
      <c r="J1422" t="n">
        <v>5.55</v>
      </c>
      <c r="K1422" t="inlineStr">
        <is>
          <t>LL</t>
        </is>
      </c>
    </row>
    <row r="1423" hidden="1" s="584">
      <c r="A1423" t="n">
        <v>3770394</v>
      </c>
      <c r="B1423" t="inlineStr">
        <is>
          <t>TUB-O-C-AUT-AD-FC-29.40X4.500X5.5500</t>
        </is>
      </c>
      <c r="C1423" t="n">
        <v>1.594</v>
      </c>
      <c r="D1423" t="inlineStr">
        <is>
          <t>0788</t>
        </is>
      </c>
      <c r="E1423" t="inlineStr">
        <is>
          <t>Narasipur Auto Component(P)Ltd</t>
        </is>
      </c>
      <c r="F1423" t="n">
        <v>2286</v>
      </c>
      <c r="G1423" t="inlineStr">
        <is>
          <t>TVS</t>
        </is>
      </c>
      <c r="H1423" t="inlineStr">
        <is>
          <t>29.4-20.4-4.5-CEW STKM 13C-CEW</t>
        </is>
      </c>
      <c r="I1423" t="inlineStr">
        <is>
          <t>29.4-20.4-4.5-CEW STKM 13C-CEW-1</t>
        </is>
      </c>
      <c r="J1423" t="n">
        <v>5.55</v>
      </c>
      <c r="K1423" t="inlineStr">
        <is>
          <t>LL</t>
        </is>
      </c>
    </row>
    <row r="1424" hidden="1" s="584">
      <c r="A1424" t="n">
        <v>3770394</v>
      </c>
      <c r="B1424" t="inlineStr">
        <is>
          <t>TUB-O-C-AUT-AD-FC-29.40X4.500X5.5500</t>
        </is>
      </c>
      <c r="C1424" t="n">
        <v>2.299</v>
      </c>
      <c r="D1424" t="inlineStr">
        <is>
          <t>0788</t>
        </is>
      </c>
      <c r="E1424" t="inlineStr">
        <is>
          <t>Narasipur Auto Component(P)Ltd</t>
        </is>
      </c>
      <c r="F1424" t="n">
        <v>2287</v>
      </c>
      <c r="G1424" t="inlineStr">
        <is>
          <t>TVS</t>
        </is>
      </c>
      <c r="H1424" t="inlineStr">
        <is>
          <t>29.4-20.4-4.5-CEW STKM 13C-CEW</t>
        </is>
      </c>
      <c r="I1424" t="inlineStr">
        <is>
          <t>29.4-20.4-4.5-CEW STKM 13C-CEW-1</t>
        </is>
      </c>
      <c r="J1424" t="n">
        <v>5.55</v>
      </c>
      <c r="K1424" t="inlineStr">
        <is>
          <t>LL</t>
        </is>
      </c>
    </row>
    <row r="1425" hidden="1" s="584">
      <c r="A1425" t="n">
        <v>3770394</v>
      </c>
      <c r="B1425" t="inlineStr">
        <is>
          <t>TUB-O-C-AUT-AD-FC-29.40X4.500X5.5500</t>
        </is>
      </c>
      <c r="C1425" t="n">
        <v>2.207</v>
      </c>
      <c r="D1425" t="inlineStr">
        <is>
          <t>0788</t>
        </is>
      </c>
      <c r="E1425" t="inlineStr">
        <is>
          <t>Narasipur Auto Component(P)Ltd</t>
        </is>
      </c>
      <c r="F1425" t="n">
        <v>2288</v>
      </c>
      <c r="G1425" t="inlineStr">
        <is>
          <t>TVS</t>
        </is>
      </c>
      <c r="H1425" t="inlineStr">
        <is>
          <t>29.4-20.4-4.5-CEW STKM 13C-CEW</t>
        </is>
      </c>
      <c r="I1425" t="inlineStr">
        <is>
          <t>29.4-20.4-4.5-CEW STKM 13C-CEW-1</t>
        </is>
      </c>
      <c r="J1425" t="n">
        <v>5.55</v>
      </c>
      <c r="K1425" t="inlineStr">
        <is>
          <t>LL</t>
        </is>
      </c>
    </row>
    <row r="1426" hidden="1" s="584">
      <c r="A1426" t="n">
        <v>3770394</v>
      </c>
      <c r="B1426" t="inlineStr">
        <is>
          <t>TUB-O-C-AUT-AD-FC-29.40X4.500X5.5500</t>
        </is>
      </c>
      <c r="C1426" t="n">
        <v>2.207</v>
      </c>
      <c r="D1426" t="inlineStr">
        <is>
          <t>0788</t>
        </is>
      </c>
      <c r="E1426" t="inlineStr">
        <is>
          <t>Narasipur Auto Component(P)Ltd</t>
        </is>
      </c>
      <c r="F1426" t="n">
        <v>2289</v>
      </c>
      <c r="G1426" t="inlineStr">
        <is>
          <t>TVS</t>
        </is>
      </c>
      <c r="H1426" t="inlineStr">
        <is>
          <t>29.4-20.4-4.5-CEW STKM 13C-CEW</t>
        </is>
      </c>
      <c r="I1426" t="inlineStr">
        <is>
          <t>29.4-20.4-4.5-CEW STKM 13C-CEW-1</t>
        </is>
      </c>
      <c r="J1426" t="n">
        <v>5.55</v>
      </c>
      <c r="K1426" t="inlineStr">
        <is>
          <t>LL</t>
        </is>
      </c>
    </row>
    <row r="1427" hidden="1" s="584">
      <c r="A1427" t="n">
        <v>3770394</v>
      </c>
      <c r="B1427" t="inlineStr">
        <is>
          <t>TUB-O-C-AUT-AD-FC-29.40X4.500X5.5500</t>
        </is>
      </c>
      <c r="C1427" t="n">
        <v>2.299</v>
      </c>
      <c r="D1427" t="inlineStr">
        <is>
          <t>0788</t>
        </is>
      </c>
      <c r="E1427" t="inlineStr">
        <is>
          <t>Narasipur Auto Component(P)Ltd</t>
        </is>
      </c>
      <c r="F1427" t="n">
        <v>2290</v>
      </c>
      <c r="G1427" t="inlineStr">
        <is>
          <t>TVS</t>
        </is>
      </c>
      <c r="H1427" t="inlineStr">
        <is>
          <t>29.4-20.4-4.5-CEW STKM 13C-CEW</t>
        </is>
      </c>
      <c r="I1427" t="inlineStr">
        <is>
          <t>29.4-20.4-4.5-CEW STKM 13C-CEW-1</t>
        </is>
      </c>
      <c r="J1427" t="n">
        <v>5.55</v>
      </c>
      <c r="K1427" t="inlineStr">
        <is>
          <t>LL</t>
        </is>
      </c>
    </row>
    <row r="1428" hidden="1" s="584">
      <c r="A1428" t="n">
        <v>3770394</v>
      </c>
      <c r="B1428" t="inlineStr">
        <is>
          <t>TUB-O-C-AUT-AD-FC-29.40X4.500X5.5500</t>
        </is>
      </c>
      <c r="C1428" t="n">
        <v>2.299</v>
      </c>
      <c r="D1428" t="inlineStr">
        <is>
          <t>0788</t>
        </is>
      </c>
      <c r="E1428" t="inlineStr">
        <is>
          <t>Narasipur Auto Component(P)Ltd</t>
        </is>
      </c>
      <c r="F1428" t="n">
        <v>2291</v>
      </c>
      <c r="G1428" t="inlineStr">
        <is>
          <t>TVS</t>
        </is>
      </c>
      <c r="H1428" t="inlineStr">
        <is>
          <t>29.4-20.4-4.5-CEW STKM 13C-CEW</t>
        </is>
      </c>
      <c r="I1428" t="inlineStr">
        <is>
          <t>29.4-20.4-4.5-CEW STKM 13C-CEW-1</t>
        </is>
      </c>
      <c r="J1428" t="n">
        <v>5.55</v>
      </c>
      <c r="K1428" t="inlineStr">
        <is>
          <t>LL</t>
        </is>
      </c>
    </row>
    <row r="1429" hidden="1" s="584">
      <c r="A1429" t="n">
        <v>3770394</v>
      </c>
      <c r="B1429" t="inlineStr">
        <is>
          <t>TUB-O-C-AUT-AD-FC-29.40X4.500X5.5500</t>
        </is>
      </c>
      <c r="C1429" t="n">
        <v>1.196</v>
      </c>
      <c r="D1429" t="inlineStr">
        <is>
          <t>0788</t>
        </is>
      </c>
      <c r="E1429" t="inlineStr">
        <is>
          <t>Narasipur Auto Component(P)Ltd</t>
        </is>
      </c>
      <c r="F1429" t="n">
        <v>2292</v>
      </c>
      <c r="G1429" t="inlineStr">
        <is>
          <t>TVS</t>
        </is>
      </c>
      <c r="H1429" t="inlineStr">
        <is>
          <t>29.4-20.4-4.5-CEW STKM 13C-CEW</t>
        </is>
      </c>
      <c r="I1429" t="inlineStr">
        <is>
          <t>29.4-20.4-4.5-CEW STKM 13C-CEW-1</t>
        </is>
      </c>
      <c r="J1429" t="n">
        <v>5.55</v>
      </c>
      <c r="K1429" t="inlineStr">
        <is>
          <t>LL</t>
        </is>
      </c>
    </row>
    <row r="1430" hidden="1" s="584">
      <c r="A1430" t="n">
        <v>3770394</v>
      </c>
      <c r="B1430" t="inlineStr">
        <is>
          <t>TUB-O-C-AUT-AD-FC-29.40X4.500X5.5500</t>
        </is>
      </c>
      <c r="C1430" t="n">
        <v>1.012</v>
      </c>
      <c r="D1430" t="inlineStr">
        <is>
          <t>0788</t>
        </is>
      </c>
      <c r="E1430" t="inlineStr">
        <is>
          <t>Narasipur Auto Component(P)Ltd</t>
        </is>
      </c>
      <c r="F1430" t="n">
        <v>2293</v>
      </c>
      <c r="G1430" t="inlineStr">
        <is>
          <t>TVS</t>
        </is>
      </c>
      <c r="H1430" t="inlineStr">
        <is>
          <t>29.4-20.4-4.5-CEW STKM 13C-CEW</t>
        </is>
      </c>
      <c r="I1430" t="inlineStr">
        <is>
          <t>29.4-20.4-4.5-CEW STKM 13C-CEW-1</t>
        </is>
      </c>
      <c r="J1430" t="n">
        <v>5.55</v>
      </c>
      <c r="K1430" t="inlineStr">
        <is>
          <t>LL</t>
        </is>
      </c>
    </row>
    <row r="1431" hidden="1" s="584">
      <c r="A1431" t="n">
        <v>3770394</v>
      </c>
      <c r="B1431" t="inlineStr">
        <is>
          <t>TUB-O-C-AUT-AD-FC-29.40X4.500X5.5500</t>
        </is>
      </c>
      <c r="C1431" t="n">
        <v>2.299</v>
      </c>
      <c r="D1431" t="inlineStr">
        <is>
          <t>0788</t>
        </is>
      </c>
      <c r="E1431" t="inlineStr">
        <is>
          <t>Narasipur Auto Component(P)Ltd</t>
        </is>
      </c>
      <c r="F1431" t="n">
        <v>2294</v>
      </c>
      <c r="G1431" t="inlineStr">
        <is>
          <t>TVS</t>
        </is>
      </c>
      <c r="H1431" t="inlineStr">
        <is>
          <t>29.4-20.4-4.5-CEW STKM 13C-CEW</t>
        </is>
      </c>
      <c r="I1431" t="inlineStr">
        <is>
          <t>29.4-20.4-4.5-CEW STKM 13C-CEW-1</t>
        </is>
      </c>
      <c r="J1431" t="n">
        <v>5.55</v>
      </c>
      <c r="K1431" t="inlineStr">
        <is>
          <t>LL</t>
        </is>
      </c>
    </row>
    <row r="1432" hidden="1" s="584">
      <c r="A1432" t="n">
        <v>3770394</v>
      </c>
      <c r="B1432" t="inlineStr">
        <is>
          <t>TUB-O-C-AUT-AD-FC-29.40X4.500X5.5500</t>
        </is>
      </c>
      <c r="C1432" t="n">
        <v>2.299</v>
      </c>
      <c r="D1432" t="inlineStr">
        <is>
          <t>0788</t>
        </is>
      </c>
      <c r="E1432" t="inlineStr">
        <is>
          <t>Narasipur Auto Component(P)Ltd</t>
        </is>
      </c>
      <c r="F1432" t="n">
        <v>2295</v>
      </c>
      <c r="G1432" t="inlineStr">
        <is>
          <t>TVS</t>
        </is>
      </c>
      <c r="H1432" t="inlineStr">
        <is>
          <t>29.4-20.4-4.5-CEW STKM 13C-CEW</t>
        </is>
      </c>
      <c r="I1432" t="inlineStr">
        <is>
          <t>29.4-20.4-4.5-CEW STKM 13C-CEW-1</t>
        </is>
      </c>
      <c r="J1432" t="n">
        <v>5.55</v>
      </c>
      <c r="K1432" t="inlineStr">
        <is>
          <t>LL</t>
        </is>
      </c>
    </row>
    <row r="1433" hidden="1" s="584">
      <c r="A1433" t="n">
        <v>3770394</v>
      </c>
      <c r="B1433" t="inlineStr">
        <is>
          <t>TUB-O-C-AUT-AD-FC-29.40X4.500X5.5500</t>
        </is>
      </c>
      <c r="C1433" t="n">
        <v>1.196</v>
      </c>
      <c r="D1433" t="inlineStr">
        <is>
          <t>0788</t>
        </is>
      </c>
      <c r="E1433" t="inlineStr">
        <is>
          <t>Narasipur Auto Component(P)Ltd</t>
        </is>
      </c>
      <c r="F1433" t="n">
        <v>2296</v>
      </c>
      <c r="G1433" t="inlineStr">
        <is>
          <t>TVS</t>
        </is>
      </c>
      <c r="H1433" t="inlineStr">
        <is>
          <t>29.4-20.4-4.5-CEW STKM 13C-CEW</t>
        </is>
      </c>
      <c r="I1433" t="inlineStr">
        <is>
          <t>29.4-20.4-4.5-CEW STKM 13C-CEW-1</t>
        </is>
      </c>
      <c r="J1433" t="n">
        <v>5.55</v>
      </c>
      <c r="K1433" t="inlineStr">
        <is>
          <t>LL</t>
        </is>
      </c>
    </row>
    <row r="1434" hidden="1" s="584">
      <c r="A1434" t="n">
        <v>3770394</v>
      </c>
      <c r="B1434" t="inlineStr">
        <is>
          <t>TUB-O-C-AUT-AD-FC-29.40X4.500X5.5500</t>
        </is>
      </c>
      <c r="C1434" t="n">
        <v>1.625</v>
      </c>
      <c r="D1434" t="inlineStr">
        <is>
          <t>0788</t>
        </is>
      </c>
      <c r="E1434" t="inlineStr">
        <is>
          <t>Narasipur Auto Component(P)Ltd</t>
        </is>
      </c>
      <c r="F1434" t="n">
        <v>2297</v>
      </c>
      <c r="G1434" t="inlineStr">
        <is>
          <t>TVS</t>
        </is>
      </c>
      <c r="H1434" t="inlineStr">
        <is>
          <t>29.4-20.4-4.5-CEW STKM 13C-CEW</t>
        </is>
      </c>
      <c r="I1434" t="inlineStr">
        <is>
          <t>29.4-20.4-4.5-CEW STKM 13C-CEW-1</t>
        </is>
      </c>
      <c r="J1434" t="n">
        <v>5.55</v>
      </c>
      <c r="K1434" t="inlineStr">
        <is>
          <t>LL</t>
        </is>
      </c>
    </row>
    <row r="1435" hidden="1" s="584">
      <c r="A1435" t="n">
        <v>3770394</v>
      </c>
      <c r="B1435" t="inlineStr">
        <is>
          <t>TUB-O-C-AUT-AD-FC-29.40X4.500X5.5500</t>
        </is>
      </c>
      <c r="C1435" t="n">
        <v>2.131</v>
      </c>
      <c r="D1435" t="inlineStr">
        <is>
          <t>0788</t>
        </is>
      </c>
      <c r="E1435" t="inlineStr">
        <is>
          <t>Narasipur Auto Component(P)Ltd</t>
        </is>
      </c>
      <c r="F1435" t="n">
        <v>2298</v>
      </c>
      <c r="G1435" t="inlineStr">
        <is>
          <t>TVS</t>
        </is>
      </c>
      <c r="H1435" t="inlineStr">
        <is>
          <t>29.4-20.4-4.5-CEW STKM 13C-CEW</t>
        </is>
      </c>
      <c r="I1435" t="inlineStr">
        <is>
          <t>29.4-20.4-4.5-CEW STKM 13C-CEW-1</t>
        </is>
      </c>
      <c r="J1435" t="n">
        <v>5.55</v>
      </c>
      <c r="K1435" t="inlineStr">
        <is>
          <t>LL</t>
        </is>
      </c>
    </row>
    <row r="1436" hidden="1" s="584">
      <c r="A1436" t="n">
        <v>3770394</v>
      </c>
      <c r="B1436" t="inlineStr">
        <is>
          <t>TUB-O-C-AUT-AD-FC-29.40X4.500X5.5500</t>
        </is>
      </c>
      <c r="C1436" t="n">
        <v>2.299</v>
      </c>
      <c r="D1436" t="inlineStr">
        <is>
          <t>0788</t>
        </is>
      </c>
      <c r="E1436" t="inlineStr">
        <is>
          <t>Narasipur Auto Component(P)Ltd</t>
        </is>
      </c>
      <c r="F1436" t="n">
        <v>2299</v>
      </c>
      <c r="G1436" t="inlineStr">
        <is>
          <t>TVS</t>
        </is>
      </c>
      <c r="H1436" t="inlineStr">
        <is>
          <t>29.4-20.4-4.5-CEW STKM 13C-CEW</t>
        </is>
      </c>
      <c r="I1436" t="inlineStr">
        <is>
          <t>29.4-20.4-4.5-CEW STKM 13C-CEW-1</t>
        </is>
      </c>
      <c r="J1436" t="n">
        <v>5.55</v>
      </c>
      <c r="K1436" t="inlineStr">
        <is>
          <t>LL</t>
        </is>
      </c>
    </row>
    <row r="1437" hidden="1" s="584">
      <c r="A1437" t="n">
        <v>3770394</v>
      </c>
      <c r="B1437" t="inlineStr">
        <is>
          <t>TUB-O-C-AUT-AD-FC-29.40X4.500X5.5500</t>
        </is>
      </c>
      <c r="C1437" t="n">
        <v>2.023</v>
      </c>
      <c r="D1437" t="inlineStr">
        <is>
          <t>0788</t>
        </is>
      </c>
      <c r="E1437" t="inlineStr">
        <is>
          <t>Narasipur Auto Component(P)Ltd</t>
        </is>
      </c>
      <c r="F1437" t="n">
        <v>2300</v>
      </c>
      <c r="G1437" t="inlineStr">
        <is>
          <t>TVS</t>
        </is>
      </c>
      <c r="H1437" t="inlineStr">
        <is>
          <t>29.4-20.4-4.5-CEW STKM 13C-CEW</t>
        </is>
      </c>
      <c r="I1437" t="inlineStr">
        <is>
          <t>29.4-20.4-4.5-CEW STKM 13C-CEW-1</t>
        </is>
      </c>
      <c r="J1437" t="n">
        <v>5.55</v>
      </c>
      <c r="K1437" t="inlineStr">
        <is>
          <t>LL</t>
        </is>
      </c>
    </row>
    <row r="1438" hidden="1" s="584">
      <c r="A1438" t="n">
        <v>3770394</v>
      </c>
      <c r="B1438" t="inlineStr">
        <is>
          <t>TUB-O-C-AUT-AD-FC-29.40X4.500X5.5500</t>
        </is>
      </c>
      <c r="C1438" t="n">
        <v>2.192</v>
      </c>
      <c r="D1438" t="inlineStr">
        <is>
          <t>0788</t>
        </is>
      </c>
      <c r="E1438" t="inlineStr">
        <is>
          <t>Narasipur Auto Component(P)Ltd</t>
        </is>
      </c>
      <c r="F1438" t="n">
        <v>2301</v>
      </c>
      <c r="G1438" t="inlineStr">
        <is>
          <t>TVS</t>
        </is>
      </c>
      <c r="H1438" t="inlineStr">
        <is>
          <t>29.4-20.4-4.5-CEW STKM 13C-CEW</t>
        </is>
      </c>
      <c r="I1438" t="inlineStr">
        <is>
          <t>29.4-20.4-4.5-CEW STKM 13C-CEW-1</t>
        </is>
      </c>
      <c r="J1438" t="n">
        <v>5.55</v>
      </c>
      <c r="K1438" t="inlineStr">
        <is>
          <t>LL</t>
        </is>
      </c>
    </row>
    <row r="1439" hidden="1" s="584">
      <c r="A1439" t="n">
        <v>3770394</v>
      </c>
      <c r="B1439" t="inlineStr">
        <is>
          <t>TUB-O-C-AUT-AD-FC-29.40X4.500X5.5500</t>
        </is>
      </c>
      <c r="C1439" t="n">
        <v>2.207</v>
      </c>
      <c r="D1439" t="inlineStr">
        <is>
          <t>0788</t>
        </is>
      </c>
      <c r="E1439" t="inlineStr">
        <is>
          <t>Narasipur Auto Component(P)Ltd</t>
        </is>
      </c>
      <c r="F1439" t="n">
        <v>2302</v>
      </c>
      <c r="G1439" t="inlineStr">
        <is>
          <t>TVS</t>
        </is>
      </c>
      <c r="H1439" t="inlineStr">
        <is>
          <t>29.4-20.4-4.5-CEW STKM 13C-CEW</t>
        </is>
      </c>
      <c r="I1439" t="inlineStr">
        <is>
          <t>29.4-20.4-4.5-CEW STKM 13C-CEW-1</t>
        </is>
      </c>
      <c r="J1439" t="n">
        <v>5.55</v>
      </c>
      <c r="K1439" t="inlineStr">
        <is>
          <t>LL</t>
        </is>
      </c>
    </row>
    <row r="1440" hidden="1" s="584">
      <c r="A1440" t="n">
        <v>3770394</v>
      </c>
      <c r="B1440" t="inlineStr">
        <is>
          <t>TUB-O-C-AUT-AD-FC-29.40X4.500X5.5500</t>
        </is>
      </c>
      <c r="C1440" t="n">
        <v>2.069</v>
      </c>
      <c r="D1440" t="inlineStr">
        <is>
          <t>0788</t>
        </is>
      </c>
      <c r="E1440" t="inlineStr">
        <is>
          <t>Narasipur Auto Component(P)Ltd</t>
        </is>
      </c>
      <c r="F1440" t="n">
        <v>2303</v>
      </c>
      <c r="G1440" t="inlineStr">
        <is>
          <t>TVS</t>
        </is>
      </c>
      <c r="H1440" t="inlineStr">
        <is>
          <t>29.4-20.4-4.5-CEW STKM 13C-CEW</t>
        </is>
      </c>
      <c r="I1440" t="inlineStr">
        <is>
          <t>29.4-20.4-4.5-CEW STKM 13C-CEW-1</t>
        </is>
      </c>
      <c r="J1440" t="n">
        <v>5.55</v>
      </c>
      <c r="K1440" t="inlineStr">
        <is>
          <t>LL</t>
        </is>
      </c>
    </row>
    <row r="1441" hidden="1" s="584">
      <c r="A1441" t="n">
        <v>3770394</v>
      </c>
      <c r="B1441" t="inlineStr">
        <is>
          <t>TUB-O-C-AUT-AD-FC-29.40X4.500X5.5500</t>
        </is>
      </c>
      <c r="C1441" t="n">
        <v>2.207</v>
      </c>
      <c r="D1441" t="inlineStr">
        <is>
          <t>0788</t>
        </is>
      </c>
      <c r="E1441" t="inlineStr">
        <is>
          <t>Narasipur Auto Component(P)Ltd</t>
        </is>
      </c>
      <c r="F1441" t="n">
        <v>2304</v>
      </c>
      <c r="G1441" t="inlineStr">
        <is>
          <t>TVS</t>
        </is>
      </c>
      <c r="H1441" t="inlineStr">
        <is>
          <t>29.4-20.4-4.5-CEW STKM 13C-CEW</t>
        </is>
      </c>
      <c r="I1441" t="inlineStr">
        <is>
          <t>29.4-20.4-4.5-CEW STKM 13C-CEW-1</t>
        </is>
      </c>
      <c r="J1441" t="n">
        <v>5.55</v>
      </c>
      <c r="K1441" t="inlineStr">
        <is>
          <t>LL</t>
        </is>
      </c>
    </row>
    <row r="1442" hidden="1" s="584">
      <c r="A1442" t="n">
        <v>3770394</v>
      </c>
      <c r="B1442" t="inlineStr">
        <is>
          <t>TUB-O-C-AUT-AD-FC-29.40X4.500X5.5500</t>
        </is>
      </c>
      <c r="C1442" t="n">
        <v>2.299</v>
      </c>
      <c r="D1442" t="inlineStr">
        <is>
          <t>0788</t>
        </is>
      </c>
      <c r="E1442" t="inlineStr">
        <is>
          <t>Narasipur Auto Component(P)Ltd</t>
        </is>
      </c>
      <c r="F1442" t="n">
        <v>2305</v>
      </c>
      <c r="G1442" t="inlineStr">
        <is>
          <t>TVS</t>
        </is>
      </c>
      <c r="H1442" t="inlineStr">
        <is>
          <t>29.4-20.4-4.5-CEW STKM 13C-CEW</t>
        </is>
      </c>
      <c r="I1442" t="inlineStr">
        <is>
          <t>29.4-20.4-4.5-CEW STKM 13C-CEW-1</t>
        </is>
      </c>
      <c r="J1442" t="n">
        <v>5.55</v>
      </c>
      <c r="K1442" t="inlineStr">
        <is>
          <t>LL</t>
        </is>
      </c>
    </row>
    <row r="1443" hidden="1" s="584">
      <c r="A1443" t="n">
        <v>3770394</v>
      </c>
      <c r="B1443" t="inlineStr">
        <is>
          <t>TUB-O-C-AUT-AD-FC-29.40X4.500X5.5500</t>
        </is>
      </c>
      <c r="C1443" t="n">
        <v>2.299</v>
      </c>
      <c r="D1443" t="inlineStr">
        <is>
          <t>0788</t>
        </is>
      </c>
      <c r="E1443" t="inlineStr">
        <is>
          <t>Narasipur Auto Component(P)Ltd</t>
        </is>
      </c>
      <c r="F1443" t="n">
        <v>2306</v>
      </c>
      <c r="G1443" t="inlineStr">
        <is>
          <t>TVS</t>
        </is>
      </c>
      <c r="H1443" t="inlineStr">
        <is>
          <t>29.4-20.4-4.5-CEW STKM 13C-CEW</t>
        </is>
      </c>
      <c r="I1443" t="inlineStr">
        <is>
          <t>29.4-20.4-4.5-CEW STKM 13C-CEW-1</t>
        </is>
      </c>
      <c r="J1443" t="n">
        <v>5.55</v>
      </c>
      <c r="K1443" t="inlineStr">
        <is>
          <t>LL</t>
        </is>
      </c>
    </row>
    <row r="1444" hidden="1" s="584">
      <c r="A1444" t="n">
        <v>3770394</v>
      </c>
      <c r="B1444" t="inlineStr">
        <is>
          <t>TUB-O-C-AUT-AD-FC-29.40X4.500X5.5500</t>
        </is>
      </c>
      <c r="C1444" t="n">
        <v>2.299</v>
      </c>
      <c r="D1444" t="inlineStr">
        <is>
          <t>0788</t>
        </is>
      </c>
      <c r="E1444" t="inlineStr">
        <is>
          <t>Narasipur Auto Component(P)Ltd</t>
        </is>
      </c>
      <c r="F1444" t="n">
        <v>2307</v>
      </c>
      <c r="G1444" t="inlineStr">
        <is>
          <t>TVS</t>
        </is>
      </c>
      <c r="H1444" t="inlineStr">
        <is>
          <t>29.4-20.4-4.5-CEW STKM 13C-CEW</t>
        </is>
      </c>
      <c r="I1444" t="inlineStr">
        <is>
          <t>29.4-20.4-4.5-CEW STKM 13C-CEW-1</t>
        </is>
      </c>
      <c r="J1444" t="n">
        <v>5.55</v>
      </c>
      <c r="K1444" t="inlineStr">
        <is>
          <t>LL</t>
        </is>
      </c>
    </row>
    <row r="1445" hidden="1" s="584">
      <c r="A1445" t="n">
        <v>3770394</v>
      </c>
      <c r="B1445" t="inlineStr">
        <is>
          <t>TUB-O-C-AUT-AD-FC-29.40X4.500X5.5500</t>
        </is>
      </c>
      <c r="C1445" t="n">
        <v>1.87</v>
      </c>
      <c r="D1445" t="inlineStr">
        <is>
          <t>0788</t>
        </is>
      </c>
      <c r="E1445" t="inlineStr">
        <is>
          <t>Narasipur Auto Component(P)Ltd</t>
        </is>
      </c>
      <c r="F1445" t="n">
        <v>2308</v>
      </c>
      <c r="G1445" t="inlineStr">
        <is>
          <t>TVS</t>
        </is>
      </c>
      <c r="H1445" t="inlineStr">
        <is>
          <t>29.4-20.4-4.5-CEW STKM 13C-CEW</t>
        </is>
      </c>
      <c r="I1445" t="inlineStr">
        <is>
          <t>29.4-20.4-4.5-CEW STKM 13C-CEW-1</t>
        </is>
      </c>
      <c r="J1445" t="n">
        <v>5.55</v>
      </c>
      <c r="K1445" t="inlineStr">
        <is>
          <t>LL</t>
        </is>
      </c>
    </row>
    <row r="1446" hidden="1" s="584">
      <c r="A1446" t="n">
        <v>3770394</v>
      </c>
      <c r="B1446" t="inlineStr">
        <is>
          <t>TUB-O-C-AUT-AD-FC-29.40X4.500X5.5500</t>
        </is>
      </c>
      <c r="C1446" t="n">
        <v>2.207</v>
      </c>
      <c r="D1446" t="inlineStr">
        <is>
          <t>0788</t>
        </is>
      </c>
      <c r="E1446" t="inlineStr">
        <is>
          <t>Narasipur Auto Component(P)Ltd</t>
        </is>
      </c>
      <c r="F1446" t="n">
        <v>2309</v>
      </c>
      <c r="G1446" t="inlineStr">
        <is>
          <t>TVS</t>
        </is>
      </c>
      <c r="H1446" t="inlineStr">
        <is>
          <t>29.4-20.4-4.5-CEW STKM 13C-CEW</t>
        </is>
      </c>
      <c r="I1446" t="inlineStr">
        <is>
          <t>29.4-20.4-4.5-CEW STKM 13C-CEW-1</t>
        </is>
      </c>
      <c r="J1446" t="n">
        <v>5.55</v>
      </c>
      <c r="K1446" t="inlineStr">
        <is>
          <t>LL</t>
        </is>
      </c>
    </row>
    <row r="1447" hidden="1" s="584">
      <c r="A1447" t="n">
        <v>3770394</v>
      </c>
      <c r="B1447" t="inlineStr">
        <is>
          <t>TUB-O-C-AUT-AD-FC-29.40X4.500X5.5500</t>
        </is>
      </c>
      <c r="C1447" t="n">
        <v>1.564</v>
      </c>
      <c r="D1447" t="inlineStr">
        <is>
          <t>0788</t>
        </is>
      </c>
      <c r="E1447" t="inlineStr">
        <is>
          <t>Narasipur Auto Component(P)Ltd</t>
        </is>
      </c>
      <c r="F1447" t="n">
        <v>2310</v>
      </c>
      <c r="G1447" t="inlineStr">
        <is>
          <t>TVS</t>
        </is>
      </c>
      <c r="H1447" t="inlineStr">
        <is>
          <t>29.4-20.4-4.5-CEW STKM 13C-CEW</t>
        </is>
      </c>
      <c r="I1447" t="inlineStr">
        <is>
          <t>29.4-20.4-4.5-CEW STKM 13C-CEW-1</t>
        </is>
      </c>
      <c r="J1447" t="n">
        <v>5.55</v>
      </c>
      <c r="K1447" t="inlineStr">
        <is>
          <t>LL</t>
        </is>
      </c>
    </row>
    <row r="1448" hidden="1" s="584">
      <c r="A1448" t="n">
        <v>3770394</v>
      </c>
      <c r="B1448" t="inlineStr">
        <is>
          <t>TUB-O-C-AUT-AD-FC-29.40X4.500X5.5500</t>
        </is>
      </c>
      <c r="C1448" t="n">
        <v>0.904</v>
      </c>
      <c r="D1448" t="inlineStr">
        <is>
          <t>0788</t>
        </is>
      </c>
      <c r="E1448" t="inlineStr">
        <is>
          <t>Narasipur Auto Component(P)Ltd</t>
        </is>
      </c>
      <c r="F1448" t="n">
        <v>2311</v>
      </c>
      <c r="G1448" t="inlineStr">
        <is>
          <t>TVS</t>
        </is>
      </c>
      <c r="H1448" t="inlineStr">
        <is>
          <t>29.4-20.4-4.5-CEW STKM 13C-CEW</t>
        </is>
      </c>
      <c r="I1448" t="inlineStr">
        <is>
          <t>29.4-20.4-4.5-CEW STKM 13C-CEW-1</t>
        </is>
      </c>
      <c r="J1448" t="n">
        <v>5.55</v>
      </c>
      <c r="K1448" t="inlineStr">
        <is>
          <t>LL</t>
        </is>
      </c>
    </row>
    <row r="1449" hidden="1" s="584">
      <c r="A1449" t="n">
        <v>3770394</v>
      </c>
      <c r="B1449" t="inlineStr">
        <is>
          <t>TUB-O-C-AUT-AD-FC-29.40X4.500X5.5500</t>
        </is>
      </c>
      <c r="C1449" t="n">
        <v>0.537</v>
      </c>
      <c r="D1449" t="inlineStr">
        <is>
          <t>0788</t>
        </is>
      </c>
      <c r="E1449" t="inlineStr">
        <is>
          <t>Narasipur Auto Component(P)Ltd</t>
        </is>
      </c>
      <c r="F1449" t="n">
        <v>2312</v>
      </c>
      <c r="G1449" t="inlineStr">
        <is>
          <t>TVS</t>
        </is>
      </c>
      <c r="H1449" t="inlineStr">
        <is>
          <t>29.4-20.4-4.5-CEW STKM 13C-CEW</t>
        </is>
      </c>
      <c r="I1449" t="inlineStr">
        <is>
          <t>29.4-20.4-4.5-CEW STKM 13C-CEW-1</t>
        </is>
      </c>
      <c r="J1449" t="n">
        <v>5.55</v>
      </c>
      <c r="K1449" t="inlineStr">
        <is>
          <t>LL</t>
        </is>
      </c>
    </row>
    <row r="1450" hidden="1" s="584">
      <c r="A1450" t="n">
        <v>3770394</v>
      </c>
      <c r="B1450" t="inlineStr">
        <is>
          <t>TUB-O-C-AUT-AD-FC-29.40X4.500X5.5500</t>
        </is>
      </c>
      <c r="C1450" t="n">
        <v>3.955</v>
      </c>
      <c r="D1450" t="inlineStr">
        <is>
          <t>0788</t>
        </is>
      </c>
      <c r="E1450" t="inlineStr">
        <is>
          <t>Narasipur Auto Component(P)Ltd</t>
        </is>
      </c>
      <c r="F1450" t="n">
        <v>2313</v>
      </c>
      <c r="G1450" t="inlineStr">
        <is>
          <t>TVS</t>
        </is>
      </c>
      <c r="H1450" t="inlineStr">
        <is>
          <t>29.4-20.4-4.5-CEW STKM 13C-CEW</t>
        </is>
      </c>
      <c r="I1450" t="inlineStr">
        <is>
          <t>29.4-20.4-4.5-CEW STKM 13C-CEW-1</t>
        </is>
      </c>
      <c r="J1450" t="n">
        <v>5.55</v>
      </c>
      <c r="K1450" t="inlineStr">
        <is>
          <t>LL</t>
        </is>
      </c>
    </row>
    <row r="1451" hidden="1" s="584">
      <c r="A1451" t="n">
        <v>3770394</v>
      </c>
      <c r="B1451" t="inlineStr">
        <is>
          <t>TUB-O-C-AUT-AD-FC-29.40X4.500X5.5500</t>
        </is>
      </c>
      <c r="C1451" t="n">
        <v>2.299</v>
      </c>
      <c r="D1451" t="inlineStr">
        <is>
          <t>0788</t>
        </is>
      </c>
      <c r="E1451" t="inlineStr">
        <is>
          <t>Narasipur Auto Component(P)Ltd</t>
        </is>
      </c>
      <c r="F1451" t="n">
        <v>2314</v>
      </c>
      <c r="G1451" t="inlineStr">
        <is>
          <t>TVS</t>
        </is>
      </c>
      <c r="H1451" t="inlineStr">
        <is>
          <t>29.4-20.4-4.5-CEW STKM 13C-CEW</t>
        </is>
      </c>
      <c r="I1451" t="inlineStr">
        <is>
          <t>29.4-20.4-4.5-CEW STKM 13C-CEW-1</t>
        </is>
      </c>
      <c r="J1451" t="n">
        <v>5.55</v>
      </c>
      <c r="K1451" t="inlineStr">
        <is>
          <t>LL</t>
        </is>
      </c>
    </row>
    <row r="1452" hidden="1" s="584">
      <c r="A1452" t="n">
        <v>3770394</v>
      </c>
      <c r="B1452" t="inlineStr">
        <is>
          <t>TUB-O-C-AUT-AD-FC-29.40X4.500X5.5500</t>
        </is>
      </c>
      <c r="C1452" t="n">
        <v>3.955</v>
      </c>
      <c r="D1452" t="inlineStr">
        <is>
          <t>0788</t>
        </is>
      </c>
      <c r="E1452" t="inlineStr">
        <is>
          <t>Narasipur Auto Component(P)Ltd</t>
        </is>
      </c>
      <c r="F1452" t="n">
        <v>2315</v>
      </c>
      <c r="G1452" t="inlineStr">
        <is>
          <t>TVS</t>
        </is>
      </c>
      <c r="H1452" t="inlineStr">
        <is>
          <t>29.4-20.4-4.5-CEW STKM 13C-CEW</t>
        </is>
      </c>
      <c r="I1452" t="inlineStr">
        <is>
          <t>29.4-20.4-4.5-CEW STKM 13C-CEW-1</t>
        </is>
      </c>
      <c r="J1452" t="n">
        <v>5.55</v>
      </c>
      <c r="K1452" t="inlineStr">
        <is>
          <t>LL</t>
        </is>
      </c>
    </row>
    <row r="1453" hidden="1" s="584">
      <c r="A1453" t="n">
        <v>3770394</v>
      </c>
      <c r="B1453" t="inlineStr">
        <is>
          <t>TUB-O-C-AUT-AD-FC-29.40X4.500X5.5500</t>
        </is>
      </c>
      <c r="C1453" t="n">
        <v>1.778</v>
      </c>
      <c r="D1453" t="inlineStr">
        <is>
          <t>0788</t>
        </is>
      </c>
      <c r="E1453" t="inlineStr">
        <is>
          <t>Narasipur Auto Component(P)Ltd</t>
        </is>
      </c>
      <c r="F1453" t="n">
        <v>2316</v>
      </c>
      <c r="G1453" t="inlineStr">
        <is>
          <t>TVS</t>
        </is>
      </c>
      <c r="H1453" t="inlineStr">
        <is>
          <t>29.4-20.4-4.5-CEW STKM 13C-CEW</t>
        </is>
      </c>
      <c r="I1453" t="inlineStr">
        <is>
          <t>29.4-20.4-4.5-CEW STKM 13C-CEW-1</t>
        </is>
      </c>
      <c r="J1453" t="n">
        <v>5.55</v>
      </c>
      <c r="K1453" t="inlineStr">
        <is>
          <t>LL</t>
        </is>
      </c>
    </row>
    <row r="1454" hidden="1" s="584">
      <c r="A1454" t="n">
        <v>3770394</v>
      </c>
      <c r="B1454" t="inlineStr">
        <is>
          <t>TUB-O-C-AUT-AD-FC-29.40X4.500X5.5500</t>
        </is>
      </c>
      <c r="C1454" t="n">
        <v>3.587</v>
      </c>
      <c r="D1454" t="inlineStr">
        <is>
          <t>0788</t>
        </is>
      </c>
      <c r="E1454" t="inlineStr">
        <is>
          <t>Narasipur Auto Component(P)Ltd</t>
        </is>
      </c>
      <c r="F1454" t="n">
        <v>2317</v>
      </c>
      <c r="G1454" t="inlineStr">
        <is>
          <t>TVS</t>
        </is>
      </c>
      <c r="H1454" t="inlineStr">
        <is>
          <t>29.4-20.4-4.5-CEW STKM 13C-CEW</t>
        </is>
      </c>
      <c r="I1454" t="inlineStr">
        <is>
          <t>29.4-20.4-4.5-CEW STKM 13C-CEW-1</t>
        </is>
      </c>
      <c r="J1454" t="n">
        <v>5.55</v>
      </c>
      <c r="K1454" t="inlineStr">
        <is>
          <t>LL</t>
        </is>
      </c>
    </row>
    <row r="1455" hidden="1" s="584">
      <c r="A1455" t="n">
        <v>3770394</v>
      </c>
      <c r="B1455" t="inlineStr">
        <is>
          <t>TUB-O-C-AUT-AD-FC-29.40X4.500X5.5500</t>
        </is>
      </c>
      <c r="C1455" t="n">
        <v>2.207</v>
      </c>
      <c r="D1455" t="inlineStr">
        <is>
          <t>0788</t>
        </is>
      </c>
      <c r="E1455" t="inlineStr">
        <is>
          <t>Narasipur Auto Component(P)Ltd</t>
        </is>
      </c>
      <c r="F1455" t="n">
        <v>2318</v>
      </c>
      <c r="G1455" t="inlineStr">
        <is>
          <t>TVS</t>
        </is>
      </c>
      <c r="H1455" t="inlineStr">
        <is>
          <t>29.4-20.4-4.5-CEW STKM 13C-CEW</t>
        </is>
      </c>
      <c r="I1455" t="inlineStr">
        <is>
          <t>29.4-20.4-4.5-CEW STKM 13C-CEW-1</t>
        </is>
      </c>
      <c r="J1455" t="n">
        <v>5.55</v>
      </c>
      <c r="K1455" t="inlineStr">
        <is>
          <t>LL</t>
        </is>
      </c>
    </row>
    <row r="1456" hidden="1" s="584">
      <c r="A1456" t="n">
        <v>3770398</v>
      </c>
      <c r="B1456" t="inlineStr">
        <is>
          <t>TUB-I-C-AUT-AD-FC-25.50X2.250X5.9500</t>
        </is>
      </c>
      <c r="C1456" t="n">
        <v>1.804</v>
      </c>
      <c r="D1456" t="inlineStr">
        <is>
          <t>0788</t>
        </is>
      </c>
      <c r="E1456" t="inlineStr">
        <is>
          <t>Marathwada Auto Compo Pvt. Ltd.</t>
        </is>
      </c>
      <c r="F1456" t="n">
        <v>2319</v>
      </c>
      <c r="G1456" t="inlineStr">
        <is>
          <t>TVS</t>
        </is>
      </c>
      <c r="H1456" t="inlineStr">
        <is>
          <t>30-25.5-2.25-CEW-CEW</t>
        </is>
      </c>
      <c r="I1456" t="inlineStr">
        <is>
          <t>30-25.5-2.25-CEW-CEW-1</t>
        </is>
      </c>
      <c r="J1456" t="n">
        <v>5.95</v>
      </c>
      <c r="K1456" t="inlineStr">
        <is>
          <t>LL</t>
        </is>
      </c>
    </row>
    <row r="1457" hidden="1" s="584">
      <c r="A1457" t="n">
        <v>3770398</v>
      </c>
      <c r="B1457" t="inlineStr">
        <is>
          <t>TUB-I-C-AUT-AD-FC-25.50X2.250X5.9500</t>
        </is>
      </c>
      <c r="C1457" t="n">
        <v>1.273</v>
      </c>
      <c r="D1457" t="inlineStr">
        <is>
          <t>0788</t>
        </is>
      </c>
      <c r="E1457" t="inlineStr">
        <is>
          <t>Marathwada Auto Compo Pvt. Ltd.</t>
        </is>
      </c>
      <c r="F1457" t="n">
        <v>2320</v>
      </c>
      <c r="G1457" t="inlineStr">
        <is>
          <t>TVS</t>
        </is>
      </c>
      <c r="H1457" t="inlineStr">
        <is>
          <t>30-25.5-2.25-CEW-CEW</t>
        </is>
      </c>
      <c r="I1457" t="inlineStr">
        <is>
          <t>30-25.5-2.25-CEW-CEW-1</t>
        </is>
      </c>
      <c r="J1457" t="n">
        <v>5.95</v>
      </c>
      <c r="K1457" t="inlineStr">
        <is>
          <t>LL</t>
        </is>
      </c>
    </row>
    <row r="1458">
      <c r="A1458" t="n">
        <v>3775569</v>
      </c>
      <c r="B1458" t="inlineStr">
        <is>
          <t>TUB-I-C-AUT-AD-FC-12.50X3.250X6.2000</t>
        </is>
      </c>
      <c r="C1458" t="n">
        <v>1.745</v>
      </c>
      <c r="D1458" t="inlineStr">
        <is>
          <t>0788</t>
        </is>
      </c>
      <c r="E1458" t="inlineStr">
        <is>
          <t>SRIKAM HITECH ENGINEERING PRIVATE L</t>
        </is>
      </c>
      <c r="F1458" t="n">
        <v>2332</v>
      </c>
      <c r="G1458" t="inlineStr">
        <is>
          <t>TVS</t>
        </is>
      </c>
      <c r="H1458" t="inlineStr">
        <is>
          <t>19-12.5-3.25-CEW-CEW</t>
        </is>
      </c>
      <c r="I1458" t="inlineStr">
        <is>
          <t>19-12.5-3.25-CEW-CEW-1</t>
        </is>
      </c>
      <c r="J1458" t="n">
        <v>6.2</v>
      </c>
      <c r="K1458" t="inlineStr">
        <is>
          <t>LL</t>
        </is>
      </c>
    </row>
    <row r="1459">
      <c r="A1459" t="n">
        <v>3775569</v>
      </c>
      <c r="B1459" t="inlineStr">
        <is>
          <t>TUB-I-C-AUT-AD-FC-12.50X3.250X6.2000</t>
        </is>
      </c>
      <c r="C1459" t="n">
        <v>1.682</v>
      </c>
      <c r="D1459" t="inlineStr">
        <is>
          <t>0788</t>
        </is>
      </c>
      <c r="E1459" t="inlineStr">
        <is>
          <t>SRIKAM HITECH ENGINEERING PRIVATE L</t>
        </is>
      </c>
      <c r="F1459" t="n">
        <v>2333</v>
      </c>
      <c r="G1459" t="inlineStr">
        <is>
          <t>TVS</t>
        </is>
      </c>
      <c r="H1459" t="inlineStr">
        <is>
          <t>19-12.5-3.25-CEW-CEW</t>
        </is>
      </c>
      <c r="I1459" t="inlineStr">
        <is>
          <t>19-12.5-3.25-CEW-CEW-1</t>
        </is>
      </c>
      <c r="J1459" t="n">
        <v>6.2</v>
      </c>
      <c r="K1459" t="inlineStr">
        <is>
          <t>LL</t>
        </is>
      </c>
    </row>
    <row r="1460">
      <c r="A1460" t="n">
        <v>3775569</v>
      </c>
      <c r="B1460" t="inlineStr">
        <is>
          <t>TUB-I-C-AUT-AD-FC-12.50X3.250X6.2000</t>
        </is>
      </c>
      <c r="C1460" t="n">
        <v>0.782</v>
      </c>
      <c r="D1460" t="inlineStr">
        <is>
          <t>0788</t>
        </is>
      </c>
      <c r="E1460" t="inlineStr">
        <is>
          <t>SRIKAM HITECH ENGINEERING PRIVATE L</t>
        </is>
      </c>
      <c r="F1460" t="n">
        <v>2334</v>
      </c>
      <c r="G1460" t="inlineStr">
        <is>
          <t>TVS</t>
        </is>
      </c>
      <c r="H1460" t="inlineStr">
        <is>
          <t>19-12.5-3.25-CEW-CEW</t>
        </is>
      </c>
      <c r="I1460" t="inlineStr">
        <is>
          <t>19-12.5-3.25-CEW-CEW-1</t>
        </is>
      </c>
      <c r="J1460" t="n">
        <v>6.2</v>
      </c>
      <c r="K1460" t="inlineStr">
        <is>
          <t>LL</t>
        </is>
      </c>
    </row>
    <row r="1461">
      <c r="A1461" t="n">
        <v>3775569</v>
      </c>
      <c r="B1461" t="inlineStr">
        <is>
          <t>TUB-I-C-AUT-AD-FC-12.50X3.250X6.2000</t>
        </is>
      </c>
      <c r="C1461" t="n">
        <v>1.69</v>
      </c>
      <c r="D1461" t="inlineStr">
        <is>
          <t>0788</t>
        </is>
      </c>
      <c r="E1461" t="inlineStr">
        <is>
          <t>SRIKAM HITECH ENGINEERING PRIVATE L</t>
        </is>
      </c>
      <c r="F1461" t="n">
        <v>2335</v>
      </c>
      <c r="G1461" t="inlineStr">
        <is>
          <t>TVS</t>
        </is>
      </c>
      <c r="H1461" t="inlineStr">
        <is>
          <t>19-12.5-3.25-CEW-CEW</t>
        </is>
      </c>
      <c r="I1461" t="inlineStr">
        <is>
          <t>19-12.5-3.25-CEW-CEW-1</t>
        </is>
      </c>
      <c r="J1461" t="n">
        <v>6.2</v>
      </c>
      <c r="K1461" t="inlineStr">
        <is>
          <t>LL</t>
        </is>
      </c>
    </row>
    <row r="1462">
      <c r="A1462" t="n">
        <v>3775569</v>
      </c>
      <c r="B1462" t="inlineStr">
        <is>
          <t>TUB-I-C-AUT-AD-FC-12.50X3.250X6.2000</t>
        </is>
      </c>
      <c r="C1462" t="n">
        <v>1.103</v>
      </c>
      <c r="D1462" t="inlineStr">
        <is>
          <t>0788</t>
        </is>
      </c>
      <c r="E1462" t="inlineStr">
        <is>
          <t>SRIKAM HITECH ENGINEERING PRIVATE L</t>
        </is>
      </c>
      <c r="F1462" t="n">
        <v>2336</v>
      </c>
      <c r="G1462" t="inlineStr">
        <is>
          <t>TVS</t>
        </is>
      </c>
      <c r="H1462" t="inlineStr">
        <is>
          <t>19-12.5-3.25-CEW-CEW</t>
        </is>
      </c>
      <c r="I1462" t="inlineStr">
        <is>
          <t>19-12.5-3.25-CEW-CEW-1</t>
        </is>
      </c>
      <c r="J1462" t="n">
        <v>6.2</v>
      </c>
      <c r="K1462" t="inlineStr">
        <is>
          <t>LL</t>
        </is>
      </c>
    </row>
    <row r="1463" hidden="1" s="584">
      <c r="A1463" t="n">
        <v>3775631</v>
      </c>
      <c r="B1463" t="inlineStr">
        <is>
          <t>TUB-I-C-AUT-AN-FC-34.00X2.500X6.1500</t>
        </is>
      </c>
      <c r="C1463" t="n">
        <v>1.079</v>
      </c>
      <c r="D1463" t="inlineStr">
        <is>
          <t>0788</t>
        </is>
      </c>
      <c r="E1463" t="inlineStr">
        <is>
          <t>Marathwada Auto Compo Pvt. Ltd.</t>
        </is>
      </c>
      <c r="F1463" t="n">
        <v>2337</v>
      </c>
      <c r="G1463" t="inlineStr">
        <is>
          <t>TVS</t>
        </is>
      </c>
      <c r="H1463" t="inlineStr">
        <is>
          <t>39-34-2.5-CEW-CEW</t>
        </is>
      </c>
      <c r="I1463" t="inlineStr">
        <is>
          <t>39-34-2.5-CEW-CEW-1</t>
        </is>
      </c>
      <c r="J1463" t="n">
        <v>6.15</v>
      </c>
      <c r="K1463" t="inlineStr">
        <is>
          <t>LL</t>
        </is>
      </c>
    </row>
    <row r="1464" hidden="1" s="584">
      <c r="A1464" t="n">
        <v>3777563</v>
      </c>
      <c r="B1464" t="inlineStr">
        <is>
          <t>TUB-O-N-AUT-AW-FC-54.00X3.00X5.790 HST</t>
        </is>
      </c>
      <c r="C1464" t="n">
        <v>3.45</v>
      </c>
      <c r="D1464" t="inlineStr">
        <is>
          <t>0788</t>
        </is>
      </c>
      <c r="E1464" t="inlineStr">
        <is>
          <t>Neel Metal Products Limited</t>
        </is>
      </c>
      <c r="F1464" t="n">
        <v>2338</v>
      </c>
      <c r="G1464" t="inlineStr">
        <is>
          <t>TVS</t>
        </is>
      </c>
      <c r="H1464" t="inlineStr">
        <is>
          <t>54-0-3-ERW 2-FC</t>
        </is>
      </c>
      <c r="I1464" t="inlineStr">
        <is>
          <t>54-0-3-ERW 2-FC-1</t>
        </is>
      </c>
      <c r="J1464" t="n">
        <v>5.79</v>
      </c>
      <c r="K1464" t="inlineStr">
        <is>
          <t>LL</t>
        </is>
      </c>
    </row>
    <row r="1465" hidden="1" s="584">
      <c r="A1465" t="n">
        <v>3777563</v>
      </c>
      <c r="B1465" t="inlineStr">
        <is>
          <t>TUB-O-N-AUT-AW-FC-54.00X3.00X5.790 HST</t>
        </is>
      </c>
      <c r="C1465" t="n">
        <v>3.254</v>
      </c>
      <c r="D1465" t="inlineStr">
        <is>
          <t>0788</t>
        </is>
      </c>
      <c r="E1465" t="inlineStr">
        <is>
          <t>Neel Metal Products Limited</t>
        </is>
      </c>
      <c r="F1465" t="n">
        <v>2339</v>
      </c>
      <c r="G1465" t="inlineStr">
        <is>
          <t>TVS</t>
        </is>
      </c>
      <c r="H1465" t="inlineStr">
        <is>
          <t>54-0-3-ERW 2-FC</t>
        </is>
      </c>
      <c r="I1465" t="inlineStr">
        <is>
          <t>54-0-3-ERW 2-FC-1</t>
        </is>
      </c>
      <c r="J1465" t="n">
        <v>5.79</v>
      </c>
      <c r="K1465" t="inlineStr">
        <is>
          <t>LL</t>
        </is>
      </c>
    </row>
    <row r="1466" hidden="1" s="584">
      <c r="A1466" t="n">
        <v>3777563</v>
      </c>
      <c r="B1466" t="inlineStr">
        <is>
          <t>TUB-O-N-AUT-AW-FC-54.00X3.00X5.790 HST</t>
        </is>
      </c>
      <c r="C1466" t="n">
        <v>3.472</v>
      </c>
      <c r="D1466" t="inlineStr">
        <is>
          <t>0788</t>
        </is>
      </c>
      <c r="E1466" t="inlineStr">
        <is>
          <t>Neel Metal Products Limited</t>
        </is>
      </c>
      <c r="F1466" t="n">
        <v>2340</v>
      </c>
      <c r="G1466" t="inlineStr">
        <is>
          <t>TVS</t>
        </is>
      </c>
      <c r="H1466" t="inlineStr">
        <is>
          <t>54-0-3-ERW 2-FC</t>
        </is>
      </c>
      <c r="I1466" t="inlineStr">
        <is>
          <t>54-0-3-ERW 2-FC-1</t>
        </is>
      </c>
      <c r="J1466" t="n">
        <v>5.79</v>
      </c>
      <c r="K1466" t="inlineStr">
        <is>
          <t>LL</t>
        </is>
      </c>
    </row>
    <row r="1467" hidden="1" s="584">
      <c r="A1467" t="n">
        <v>3777563</v>
      </c>
      <c r="B1467" t="inlineStr">
        <is>
          <t>TUB-O-N-AUT-AW-FC-54.00X3.00X5.790 HST</t>
        </is>
      </c>
      <c r="C1467" t="n">
        <v>3.385</v>
      </c>
      <c r="D1467" t="inlineStr">
        <is>
          <t>0788</t>
        </is>
      </c>
      <c r="E1467" t="inlineStr">
        <is>
          <t>Neel Metal Products Limited</t>
        </is>
      </c>
      <c r="F1467" t="n">
        <v>2341</v>
      </c>
      <c r="G1467" t="inlineStr">
        <is>
          <t>TVS</t>
        </is>
      </c>
      <c r="H1467" t="inlineStr">
        <is>
          <t>54-0-3-ERW 2-FC</t>
        </is>
      </c>
      <c r="I1467" t="inlineStr">
        <is>
          <t>54-0-3-ERW 2-FC-1</t>
        </is>
      </c>
      <c r="J1467" t="n">
        <v>5.79</v>
      </c>
      <c r="K1467" t="inlineStr">
        <is>
          <t>LL</t>
        </is>
      </c>
    </row>
    <row r="1468" hidden="1" s="584">
      <c r="A1468" t="n">
        <v>3500959</v>
      </c>
      <c r="B1468" t="inlineStr">
        <is>
          <t>TUB-O-N-AUT-AW-FC-38.10X2.00X5.650-ERW 1</t>
        </is>
      </c>
      <c r="C1468" t="n">
        <v>2.131417</v>
      </c>
      <c r="D1468" t="n">
        <v>8406</v>
      </c>
      <c r="E1468" t="inlineStr">
        <is>
          <t>TRANSIT STOCK</t>
        </is>
      </c>
      <c r="F1468" t="n">
        <v>2342</v>
      </c>
      <c r="G1468" t="inlineStr">
        <is>
          <t>Transit</t>
        </is>
      </c>
      <c r="H1468" t="inlineStr">
        <is>
          <t>38.1-0-2-ERW 1-FC</t>
        </is>
      </c>
      <c r="I1468" t="inlineStr">
        <is>
          <t>38.1-0-2-ERW 1-FC-1</t>
        </is>
      </c>
      <c r="J1468" t="n">
        <v>5.65</v>
      </c>
      <c r="K1468" t="inlineStr">
        <is>
          <t>LL</t>
        </is>
      </c>
    </row>
    <row r="1469" hidden="1" s="584">
      <c r="A1469" t="n">
        <v>3500959</v>
      </c>
      <c r="B1469" t="inlineStr">
        <is>
          <t>TUB-O-N-AUT-AW-FC-38.10X2.00X5.650-ERW 1</t>
        </is>
      </c>
      <c r="C1469" t="n">
        <v>2.131417</v>
      </c>
      <c r="D1469" t="n">
        <v>8406</v>
      </c>
      <c r="E1469" t="inlineStr">
        <is>
          <t>TRANSIT STOCK</t>
        </is>
      </c>
      <c r="F1469" t="n">
        <v>2343</v>
      </c>
      <c r="G1469" t="inlineStr">
        <is>
          <t>Transit</t>
        </is>
      </c>
      <c r="H1469" t="inlineStr">
        <is>
          <t>38.1-0-2-ERW 1-FC</t>
        </is>
      </c>
      <c r="I1469" t="inlineStr">
        <is>
          <t>38.1-0-2-ERW 1-FC-1</t>
        </is>
      </c>
      <c r="J1469" t="n">
        <v>5.65</v>
      </c>
      <c r="K1469" t="inlineStr">
        <is>
          <t>LL</t>
        </is>
      </c>
    </row>
    <row r="1470" hidden="1" s="584">
      <c r="A1470" t="n">
        <v>3500959</v>
      </c>
      <c r="B1470" t="inlineStr">
        <is>
          <t>TUB-O-N-AUT-AW-FC-38.10X2.00X5.650-ERW 1</t>
        </is>
      </c>
      <c r="C1470" t="n">
        <v>2.131417</v>
      </c>
      <c r="D1470" t="n">
        <v>8406</v>
      </c>
      <c r="E1470" t="inlineStr">
        <is>
          <t>TRANSIT STOCK</t>
        </is>
      </c>
      <c r="F1470" t="n">
        <v>2344</v>
      </c>
      <c r="G1470" t="inlineStr">
        <is>
          <t>Transit</t>
        </is>
      </c>
      <c r="H1470" t="inlineStr">
        <is>
          <t>38.1-0-2-ERW 1-FC</t>
        </is>
      </c>
      <c r="I1470" t="inlineStr">
        <is>
          <t>38.1-0-2-ERW 1-FC-1</t>
        </is>
      </c>
      <c r="J1470" t="n">
        <v>5.65</v>
      </c>
      <c r="K1470" t="inlineStr">
        <is>
          <t>LL</t>
        </is>
      </c>
    </row>
    <row r="1471" hidden="1" s="584">
      <c r="A1471" t="n">
        <v>3500959</v>
      </c>
      <c r="B1471" t="inlineStr">
        <is>
          <t>TUB-O-N-AUT-AW-FC-38.10X2.00X5.650-ERW 1</t>
        </is>
      </c>
      <c r="C1471" t="n">
        <v>2.131417</v>
      </c>
      <c r="D1471" t="n">
        <v>8406</v>
      </c>
      <c r="E1471" t="inlineStr">
        <is>
          <t>TRANSIT STOCK</t>
        </is>
      </c>
      <c r="F1471" t="n">
        <v>2345</v>
      </c>
      <c r="G1471" t="inlineStr">
        <is>
          <t>Transit</t>
        </is>
      </c>
      <c r="H1471" t="inlineStr">
        <is>
          <t>38.1-0-2-ERW 1-FC</t>
        </is>
      </c>
      <c r="I1471" t="inlineStr">
        <is>
          <t>38.1-0-2-ERW 1-FC-1</t>
        </is>
      </c>
      <c r="J1471" t="n">
        <v>5.65</v>
      </c>
      <c r="K1471" t="inlineStr">
        <is>
          <t>LL</t>
        </is>
      </c>
    </row>
    <row r="1472" hidden="1" s="584">
      <c r="A1472" t="n">
        <v>3500959</v>
      </c>
      <c r="B1472" t="inlineStr">
        <is>
          <t>TUB-O-N-AUT-AW-FC-38.10X2.00X5.650-ERW 1</t>
        </is>
      </c>
      <c r="C1472" t="n">
        <v>2.111773</v>
      </c>
      <c r="D1472" t="n">
        <v>8406</v>
      </c>
      <c r="E1472" t="inlineStr">
        <is>
          <t>TRANSIT STOCK</t>
        </is>
      </c>
      <c r="F1472" t="n">
        <v>2346</v>
      </c>
      <c r="G1472" t="inlineStr">
        <is>
          <t>Transit</t>
        </is>
      </c>
      <c r="H1472" t="inlineStr">
        <is>
          <t>38.1-0-2-ERW 1-FC</t>
        </is>
      </c>
      <c r="I1472" t="inlineStr">
        <is>
          <t>38.1-0-2-ERW 1-FC-1</t>
        </is>
      </c>
      <c r="J1472" t="n">
        <v>5.65</v>
      </c>
      <c r="K1472" t="inlineStr">
        <is>
          <t>LL</t>
        </is>
      </c>
    </row>
    <row r="1473" hidden="1" s="584">
      <c r="A1473" t="n">
        <v>3500959</v>
      </c>
      <c r="B1473" t="inlineStr">
        <is>
          <t>TUB-O-N-AUT-AW-FC-38.10X2.00X5.650-ERW 1</t>
        </is>
      </c>
      <c r="C1473" t="n">
        <v>2.111773</v>
      </c>
      <c r="D1473" t="n">
        <v>8406</v>
      </c>
      <c r="E1473" t="inlineStr">
        <is>
          <t>TRANSIT STOCK</t>
        </is>
      </c>
      <c r="F1473" t="n">
        <v>2347</v>
      </c>
      <c r="G1473" t="inlineStr">
        <is>
          <t>Transit</t>
        </is>
      </c>
      <c r="H1473" t="inlineStr">
        <is>
          <t>38.1-0-2-ERW 1-FC</t>
        </is>
      </c>
      <c r="I1473" t="inlineStr">
        <is>
          <t>38.1-0-2-ERW 1-FC-1</t>
        </is>
      </c>
      <c r="J1473" t="n">
        <v>5.65</v>
      </c>
      <c r="K1473" t="inlineStr">
        <is>
          <t>LL</t>
        </is>
      </c>
    </row>
    <row r="1474" hidden="1" s="584">
      <c r="A1474" t="n">
        <v>3500959</v>
      </c>
      <c r="B1474" t="inlineStr">
        <is>
          <t>TUB-O-N-AUT-AW-FC-38.10X2.00X5.650-ERW 1</t>
        </is>
      </c>
      <c r="C1474" t="n">
        <v>2.101951</v>
      </c>
      <c r="D1474" t="n">
        <v>8406</v>
      </c>
      <c r="E1474" t="inlineStr">
        <is>
          <t>TRANSIT STOCK</t>
        </is>
      </c>
      <c r="F1474" t="n">
        <v>2348</v>
      </c>
      <c r="G1474" t="inlineStr">
        <is>
          <t>Transit</t>
        </is>
      </c>
      <c r="H1474" t="inlineStr">
        <is>
          <t>38.1-0-2-ERW 1-FC</t>
        </is>
      </c>
      <c r="I1474" t="inlineStr">
        <is>
          <t>38.1-0-2-ERW 1-FC-1</t>
        </is>
      </c>
      <c r="J1474" t="n">
        <v>5.65</v>
      </c>
      <c r="K1474" t="inlineStr">
        <is>
          <t>LL</t>
        </is>
      </c>
    </row>
    <row r="1475" hidden="1" s="584">
      <c r="A1475" t="n">
        <v>3500959</v>
      </c>
      <c r="B1475" t="inlineStr">
        <is>
          <t>TUB-O-N-AUT-AW-FC-38.10X2.00X5.650-ERW 1</t>
        </is>
      </c>
      <c r="C1475" t="n">
        <v>2.101951</v>
      </c>
      <c r="D1475" t="n">
        <v>8406</v>
      </c>
      <c r="E1475" t="inlineStr">
        <is>
          <t>TRANSIT STOCK</t>
        </is>
      </c>
      <c r="F1475" t="n">
        <v>2349</v>
      </c>
      <c r="G1475" t="inlineStr">
        <is>
          <t>Transit</t>
        </is>
      </c>
      <c r="H1475" t="inlineStr">
        <is>
          <t>38.1-0-2-ERW 1-FC</t>
        </is>
      </c>
      <c r="I1475" t="inlineStr">
        <is>
          <t>38.1-0-2-ERW 1-FC-1</t>
        </is>
      </c>
      <c r="J1475" t="n">
        <v>5.65</v>
      </c>
      <c r="K1475" t="inlineStr">
        <is>
          <t>LL</t>
        </is>
      </c>
    </row>
    <row r="1476" hidden="1" s="584">
      <c r="A1476" t="n">
        <v>3500959</v>
      </c>
      <c r="B1476" t="inlineStr">
        <is>
          <t>TUB-O-N-AUT-AW-FC-38.10X2.00X5.650-ERW 1</t>
        </is>
      </c>
      <c r="C1476" t="n">
        <v>2.131417</v>
      </c>
      <c r="D1476" t="n">
        <v>8406</v>
      </c>
      <c r="E1476" t="inlineStr">
        <is>
          <t>TRANSIT STOCK</t>
        </is>
      </c>
      <c r="F1476" t="n">
        <v>2350</v>
      </c>
      <c r="G1476" t="inlineStr">
        <is>
          <t>Transit</t>
        </is>
      </c>
      <c r="H1476" t="inlineStr">
        <is>
          <t>38.1-0-2-ERW 1-FC</t>
        </is>
      </c>
      <c r="I1476" t="inlineStr">
        <is>
          <t>38.1-0-2-ERW 1-FC-1</t>
        </is>
      </c>
      <c r="J1476" t="n">
        <v>5.65</v>
      </c>
      <c r="K1476" t="inlineStr">
        <is>
          <t>LL</t>
        </is>
      </c>
    </row>
    <row r="1477" hidden="1" s="584">
      <c r="A1477" t="n">
        <v>3500959</v>
      </c>
      <c r="B1477" t="inlineStr">
        <is>
          <t>TUB-O-N-AUT-AW-FC-38.10X2.00X5.650-ERW 1</t>
        </is>
      </c>
      <c r="C1477" t="n">
        <v>2.121595</v>
      </c>
      <c r="D1477" t="n">
        <v>8406</v>
      </c>
      <c r="E1477" t="inlineStr">
        <is>
          <t>TRANSIT STOCK</t>
        </is>
      </c>
      <c r="F1477" t="n">
        <v>2351</v>
      </c>
      <c r="G1477" t="inlineStr">
        <is>
          <t>Transit</t>
        </is>
      </c>
      <c r="H1477" t="inlineStr">
        <is>
          <t>38.1-0-2-ERW 1-FC</t>
        </is>
      </c>
      <c r="I1477" t="inlineStr">
        <is>
          <t>38.1-0-2-ERW 1-FC-1</t>
        </is>
      </c>
      <c r="J1477" t="n">
        <v>5.65</v>
      </c>
      <c r="K1477" t="inlineStr">
        <is>
          <t>LL</t>
        </is>
      </c>
    </row>
    <row r="1478" hidden="1" s="584">
      <c r="A1478" t="n">
        <v>3500959</v>
      </c>
      <c r="B1478" t="inlineStr">
        <is>
          <t>TUB-O-N-AUT-AW-FC-38.10X2.00X5.650-ERW 1</t>
        </is>
      </c>
      <c r="C1478" t="n">
        <v>2.121595</v>
      </c>
      <c r="D1478" t="n">
        <v>8406</v>
      </c>
      <c r="E1478" t="inlineStr">
        <is>
          <t>TRANSIT STOCK</t>
        </is>
      </c>
      <c r="F1478" t="n">
        <v>2352</v>
      </c>
      <c r="G1478" t="inlineStr">
        <is>
          <t>Transit</t>
        </is>
      </c>
      <c r="H1478" t="inlineStr">
        <is>
          <t>38.1-0-2-ERW 1-FC</t>
        </is>
      </c>
      <c r="I1478" t="inlineStr">
        <is>
          <t>38.1-0-2-ERW 1-FC-1</t>
        </is>
      </c>
      <c r="J1478" t="n">
        <v>5.65</v>
      </c>
      <c r="K1478" t="inlineStr">
        <is>
          <t>LL</t>
        </is>
      </c>
    </row>
    <row r="1479" hidden="1" s="584">
      <c r="A1479" t="n">
        <v>3500959</v>
      </c>
      <c r="B1479" t="inlineStr">
        <is>
          <t>TUB-O-N-AUT-AW-FC-38.10X2.00X5.650-ERW 1</t>
        </is>
      </c>
      <c r="C1479" t="n">
        <v>2.131417</v>
      </c>
      <c r="D1479" t="n">
        <v>8406</v>
      </c>
      <c r="E1479" t="inlineStr">
        <is>
          <t>TRANSIT STOCK</t>
        </is>
      </c>
      <c r="F1479" t="n">
        <v>2353</v>
      </c>
      <c r="G1479" t="inlineStr">
        <is>
          <t>Transit</t>
        </is>
      </c>
      <c r="H1479" t="inlineStr">
        <is>
          <t>38.1-0-2-ERW 1-FC</t>
        </is>
      </c>
      <c r="I1479" t="inlineStr">
        <is>
          <t>38.1-0-2-ERW 1-FC-1</t>
        </is>
      </c>
      <c r="J1479" t="n">
        <v>5.65</v>
      </c>
      <c r="K1479" t="inlineStr">
        <is>
          <t>LL</t>
        </is>
      </c>
    </row>
    <row r="1480" hidden="1" s="584">
      <c r="A1480" t="n">
        <v>3682063</v>
      </c>
      <c r="B1480" t="inlineStr">
        <is>
          <t>TUB-O-N-AUT-AW-FC-38.10X2.000X5.8010</t>
        </is>
      </c>
      <c r="C1480" t="n">
        <v>2.19853</v>
      </c>
      <c r="D1480" t="n">
        <v>8406</v>
      </c>
      <c r="E1480" t="inlineStr">
        <is>
          <t>TRANSIT STOCK</t>
        </is>
      </c>
      <c r="F1480" t="n">
        <v>2354</v>
      </c>
      <c r="G1480" t="inlineStr">
        <is>
          <t>Transit</t>
        </is>
      </c>
      <c r="H1480" t="inlineStr">
        <is>
          <t>38.1-0-2-ERW 1-FC</t>
        </is>
      </c>
      <c r="I1480" t="inlineStr">
        <is>
          <t>38.1-0-2-ERW 1-FC-1</t>
        </is>
      </c>
      <c r="J1480" t="n">
        <v>5.801</v>
      </c>
      <c r="K1480" t="inlineStr">
        <is>
          <t>LL</t>
        </is>
      </c>
    </row>
    <row r="1481" hidden="1" s="584">
      <c r="A1481" t="n">
        <v>3682063</v>
      </c>
      <c r="B1481" t="inlineStr">
        <is>
          <t>TUB-O-N-AUT-AW-FC-38.10X2.000X5.8010</t>
        </is>
      </c>
      <c r="C1481" t="n">
        <v>2.19853</v>
      </c>
      <c r="D1481" t="n">
        <v>8406</v>
      </c>
      <c r="E1481" t="inlineStr">
        <is>
          <t>TRANSIT STOCK</t>
        </is>
      </c>
      <c r="F1481" t="n">
        <v>2355</v>
      </c>
      <c r="G1481" t="inlineStr">
        <is>
          <t>Transit</t>
        </is>
      </c>
      <c r="H1481" t="inlineStr">
        <is>
          <t>38.1-0-2-ERW 1-FC</t>
        </is>
      </c>
      <c r="I1481" t="inlineStr">
        <is>
          <t>38.1-0-2-ERW 1-FC-1</t>
        </is>
      </c>
      <c r="J1481" t="n">
        <v>5.801</v>
      </c>
      <c r="K1481" t="inlineStr">
        <is>
          <t>LL</t>
        </is>
      </c>
    </row>
    <row r="1482" hidden="1" s="584">
      <c r="A1482" t="n">
        <v>3682063</v>
      </c>
      <c r="B1482" t="inlineStr">
        <is>
          <t>TUB-O-N-AUT-AW-FC-38.10X2.000X5.8010</t>
        </is>
      </c>
      <c r="C1482" t="n">
        <v>2.19853</v>
      </c>
      <c r="D1482" t="n">
        <v>8406</v>
      </c>
      <c r="E1482" t="inlineStr">
        <is>
          <t>TRANSIT STOCK</t>
        </is>
      </c>
      <c r="F1482" t="n">
        <v>2356</v>
      </c>
      <c r="G1482" t="inlineStr">
        <is>
          <t>Transit</t>
        </is>
      </c>
      <c r="H1482" t="inlineStr">
        <is>
          <t>38.1-0-2-ERW 1-FC</t>
        </is>
      </c>
      <c r="I1482" t="inlineStr">
        <is>
          <t>38.1-0-2-ERW 1-FC-1</t>
        </is>
      </c>
      <c r="J1482" t="n">
        <v>5.801</v>
      </c>
      <c r="K1482" t="inlineStr">
        <is>
          <t>LL</t>
        </is>
      </c>
    </row>
    <row r="1483" hidden="1" s="584">
      <c r="A1483" t="n">
        <v>3682063</v>
      </c>
      <c r="B1483" t="inlineStr">
        <is>
          <t>TUB-O-N-AUT-AW-FC-38.10X2.000X5.8010</t>
        </is>
      </c>
      <c r="C1483" t="n">
        <v>2.19853</v>
      </c>
      <c r="D1483" t="n">
        <v>8406</v>
      </c>
      <c r="E1483" t="inlineStr">
        <is>
          <t>TRANSIT STOCK</t>
        </is>
      </c>
      <c r="F1483" t="n">
        <v>2357</v>
      </c>
      <c r="G1483" t="inlineStr">
        <is>
          <t>Transit</t>
        </is>
      </c>
      <c r="H1483" t="inlineStr">
        <is>
          <t>38.1-0-2-ERW 1-FC</t>
        </is>
      </c>
      <c r="I1483" t="inlineStr">
        <is>
          <t>38.1-0-2-ERW 1-FC-1</t>
        </is>
      </c>
      <c r="J1483" t="n">
        <v>5.801</v>
      </c>
      <c r="K1483" t="inlineStr">
        <is>
          <t>LL</t>
        </is>
      </c>
    </row>
    <row r="1484" hidden="1" s="584">
      <c r="A1484" t="n">
        <v>3682063</v>
      </c>
      <c r="B1484" t="inlineStr">
        <is>
          <t>TUB-O-N-AUT-AW-FC-38.10X2.000X5.8010</t>
        </is>
      </c>
      <c r="C1484" t="n">
        <v>2.188445</v>
      </c>
      <c r="D1484" t="n">
        <v>8406</v>
      </c>
      <c r="E1484" t="inlineStr">
        <is>
          <t>TRANSIT STOCK</t>
        </is>
      </c>
      <c r="F1484" t="n">
        <v>2358</v>
      </c>
      <c r="G1484" t="inlineStr">
        <is>
          <t>Transit</t>
        </is>
      </c>
      <c r="H1484" t="inlineStr">
        <is>
          <t>38.1-0-2-ERW 1-FC</t>
        </is>
      </c>
      <c r="I1484" t="inlineStr">
        <is>
          <t>38.1-0-2-ERW 1-FC-1</t>
        </is>
      </c>
      <c r="J1484" t="n">
        <v>5.801</v>
      </c>
      <c r="K1484" t="inlineStr">
        <is>
          <t>LL</t>
        </is>
      </c>
    </row>
    <row r="1485" hidden="1" s="584">
      <c r="A1485" t="n">
        <v>3682063</v>
      </c>
      <c r="B1485" t="inlineStr">
        <is>
          <t>TUB-O-N-AUT-AW-FC-38.10X2.000X5.8010</t>
        </is>
      </c>
      <c r="C1485" t="n">
        <v>2.188445</v>
      </c>
      <c r="D1485" t="n">
        <v>8406</v>
      </c>
      <c r="E1485" t="inlineStr">
        <is>
          <t>TRANSIT STOCK</t>
        </is>
      </c>
      <c r="F1485" t="n">
        <v>2359</v>
      </c>
      <c r="G1485" t="inlineStr">
        <is>
          <t>Transit</t>
        </is>
      </c>
      <c r="H1485" t="inlineStr">
        <is>
          <t>38.1-0-2-ERW 1-FC</t>
        </is>
      </c>
      <c r="I1485" t="inlineStr">
        <is>
          <t>38.1-0-2-ERW 1-FC-1</t>
        </is>
      </c>
      <c r="J1485" t="n">
        <v>5.801</v>
      </c>
      <c r="K1485" t="inlineStr">
        <is>
          <t>LL</t>
        </is>
      </c>
    </row>
    <row r="1486" hidden="1" s="584">
      <c r="A1486" t="n">
        <v>3682063</v>
      </c>
      <c r="B1486" t="inlineStr">
        <is>
          <t>TUB-O-N-AUT-AW-FC-38.10X2.000X5.8010</t>
        </is>
      </c>
      <c r="C1486" t="n">
        <v>2.188445</v>
      </c>
      <c r="D1486" t="n">
        <v>8406</v>
      </c>
      <c r="E1486" t="inlineStr">
        <is>
          <t>TRANSIT STOCK</t>
        </is>
      </c>
      <c r="F1486" t="n">
        <v>2360</v>
      </c>
      <c r="G1486" t="inlineStr">
        <is>
          <t>Transit</t>
        </is>
      </c>
      <c r="H1486" t="inlineStr">
        <is>
          <t>38.1-0-2-ERW 1-FC</t>
        </is>
      </c>
      <c r="I1486" t="inlineStr">
        <is>
          <t>38.1-0-2-ERW 1-FC-1</t>
        </is>
      </c>
      <c r="J1486" t="n">
        <v>5.801</v>
      </c>
      <c r="K1486" t="inlineStr">
        <is>
          <t>LL</t>
        </is>
      </c>
    </row>
    <row r="1487" hidden="1" s="584">
      <c r="A1487" t="n">
        <v>3682063</v>
      </c>
      <c r="B1487" t="inlineStr">
        <is>
          <t>TUB-O-N-AUT-AW-FC-38.10X2.000X5.8010</t>
        </is>
      </c>
      <c r="C1487" t="n">
        <v>2.188445</v>
      </c>
      <c r="D1487" t="n">
        <v>8406</v>
      </c>
      <c r="E1487" t="inlineStr">
        <is>
          <t>TRANSIT STOCK</t>
        </is>
      </c>
      <c r="F1487" t="n">
        <v>2361</v>
      </c>
      <c r="G1487" t="inlineStr">
        <is>
          <t>Transit</t>
        </is>
      </c>
      <c r="H1487" t="inlineStr">
        <is>
          <t>38.1-0-2-ERW 1-FC</t>
        </is>
      </c>
      <c r="I1487" t="inlineStr">
        <is>
          <t>38.1-0-2-ERW 1-FC-1</t>
        </is>
      </c>
      <c r="J1487" t="n">
        <v>5.801</v>
      </c>
      <c r="K1487" t="inlineStr">
        <is>
          <t>LL</t>
        </is>
      </c>
    </row>
    <row r="1488" hidden="1" s="584">
      <c r="A1488" t="n">
        <v>3682063</v>
      </c>
      <c r="B1488" t="inlineStr">
        <is>
          <t>TUB-O-N-AUT-AW-FC-38.10X2.000X5.8010</t>
        </is>
      </c>
      <c r="C1488" t="n">
        <v>2.168275</v>
      </c>
      <c r="D1488" t="n">
        <v>8406</v>
      </c>
      <c r="E1488" t="inlineStr">
        <is>
          <t>TRANSIT STOCK</t>
        </is>
      </c>
      <c r="F1488" t="n">
        <v>2362</v>
      </c>
      <c r="G1488" t="inlineStr">
        <is>
          <t>Transit</t>
        </is>
      </c>
      <c r="H1488" t="inlineStr">
        <is>
          <t>38.1-0-2-ERW 1-FC</t>
        </is>
      </c>
      <c r="I1488" t="inlineStr">
        <is>
          <t>38.1-0-2-ERW 1-FC-1</t>
        </is>
      </c>
      <c r="J1488" t="n">
        <v>5.801</v>
      </c>
      <c r="K1488" t="inlineStr">
        <is>
          <t>LL</t>
        </is>
      </c>
    </row>
    <row r="1489" hidden="1" s="584">
      <c r="A1489" t="n">
        <v>3682063</v>
      </c>
      <c r="B1489" t="inlineStr">
        <is>
          <t>TUB-O-N-AUT-AW-FC-38.10X2.000X5.8010</t>
        </is>
      </c>
      <c r="C1489" t="n">
        <v>2.17836</v>
      </c>
      <c r="D1489" t="n">
        <v>8406</v>
      </c>
      <c r="E1489" t="inlineStr">
        <is>
          <t>TRANSIT STOCK</t>
        </is>
      </c>
      <c r="F1489" t="n">
        <v>2363</v>
      </c>
      <c r="G1489" t="inlineStr">
        <is>
          <t>Transit</t>
        </is>
      </c>
      <c r="H1489" t="inlineStr">
        <is>
          <t>38.1-0-2-ERW 1-FC</t>
        </is>
      </c>
      <c r="I1489" t="inlineStr">
        <is>
          <t>38.1-0-2-ERW 1-FC-1</t>
        </is>
      </c>
      <c r="J1489" t="n">
        <v>5.801</v>
      </c>
      <c r="K1489" t="inlineStr">
        <is>
          <t>LL</t>
        </is>
      </c>
    </row>
    <row r="1490" hidden="1" s="584">
      <c r="A1490" t="n">
        <v>3682063</v>
      </c>
      <c r="B1490" t="inlineStr">
        <is>
          <t>TUB-O-N-AUT-AW-FC-38.10X2.000X5.8010</t>
        </is>
      </c>
      <c r="C1490" t="n">
        <v>1.83547</v>
      </c>
      <c r="D1490" t="n">
        <v>8406</v>
      </c>
      <c r="E1490" t="inlineStr">
        <is>
          <t>TRANSIT STOCK</t>
        </is>
      </c>
      <c r="F1490" t="n">
        <v>2364</v>
      </c>
      <c r="G1490" t="inlineStr">
        <is>
          <t>Transit</t>
        </is>
      </c>
      <c r="H1490" t="inlineStr">
        <is>
          <t>38.1-0-2-ERW 1-FC</t>
        </is>
      </c>
      <c r="I1490" t="inlineStr">
        <is>
          <t>38.1-0-2-ERW 1-FC-1</t>
        </is>
      </c>
      <c r="J1490" t="n">
        <v>5.801</v>
      </c>
      <c r="K1490" t="inlineStr">
        <is>
          <t>LL</t>
        </is>
      </c>
    </row>
    <row r="1491" hidden="1" s="584">
      <c r="A1491" t="n">
        <v>3500714</v>
      </c>
      <c r="B1491" t="inlineStr">
        <is>
          <t>TUB-O-N-AUT-BH-FC-42.70X4.000X5.50-ERW 1</t>
        </is>
      </c>
      <c r="C1491" t="n">
        <v>1.686</v>
      </c>
      <c r="D1491" t="n">
        <v>8406</v>
      </c>
      <c r="E1491" t="inlineStr">
        <is>
          <t>TRANSIT STOCK</t>
        </is>
      </c>
      <c r="F1491" t="n">
        <v>2374</v>
      </c>
      <c r="G1491" t="inlineStr">
        <is>
          <t>Transit</t>
        </is>
      </c>
      <c r="H1491" t="inlineStr">
        <is>
          <t>42.7-0-4-ERW 1-FC</t>
        </is>
      </c>
      <c r="I1491" t="inlineStr">
        <is>
          <t>42.7-0-4-ERW 1-FC-1</t>
        </is>
      </c>
      <c r="J1491" t="n">
        <v>5.5</v>
      </c>
      <c r="K1491" t="inlineStr">
        <is>
          <t>LL</t>
        </is>
      </c>
    </row>
    <row r="1492" hidden="1" s="584">
      <c r="A1492" t="n">
        <v>3500714</v>
      </c>
      <c r="B1492" t="inlineStr">
        <is>
          <t>TUB-O-N-AUT-BH-FC-42.70X4.000X5.50-ERW 1</t>
        </is>
      </c>
      <c r="C1492" t="n">
        <v>2.358</v>
      </c>
      <c r="D1492" t="n">
        <v>8406</v>
      </c>
      <c r="E1492" t="inlineStr">
        <is>
          <t>TRANSIT STOCK</t>
        </is>
      </c>
      <c r="F1492" t="n">
        <v>2375</v>
      </c>
      <c r="G1492" t="inlineStr">
        <is>
          <t>Transit</t>
        </is>
      </c>
      <c r="H1492" t="inlineStr">
        <is>
          <t>42.7-0-4-ERW 1-FC</t>
        </is>
      </c>
      <c r="I1492" t="inlineStr">
        <is>
          <t>42.7-0-4-ERW 1-FC-1</t>
        </is>
      </c>
      <c r="J1492" t="n">
        <v>5.5</v>
      </c>
      <c r="K1492" t="inlineStr">
        <is>
          <t>LL</t>
        </is>
      </c>
    </row>
    <row r="1493" hidden="1" s="584">
      <c r="A1493" t="n">
        <v>3777563</v>
      </c>
      <c r="B1493" t="inlineStr">
        <is>
          <t>TUB-O-N-AUT-AW-FC-54.00X3.00X5.790 HST</t>
        </is>
      </c>
      <c r="C1493" t="n">
        <v>3.109</v>
      </c>
      <c r="D1493" t="n">
        <v>8406</v>
      </c>
      <c r="E1493" t="inlineStr">
        <is>
          <t>TRANSIT STOCK</t>
        </is>
      </c>
      <c r="F1493" t="n">
        <v>2376</v>
      </c>
      <c r="G1493" t="inlineStr">
        <is>
          <t>Transit</t>
        </is>
      </c>
      <c r="H1493" t="inlineStr">
        <is>
          <t>54-0-3-ERW 2-FC</t>
        </is>
      </c>
      <c r="I1493" t="inlineStr">
        <is>
          <t>54-0-3-ERW 2-FC-1</t>
        </is>
      </c>
      <c r="J1493" t="n">
        <v>5.79</v>
      </c>
      <c r="K1493" t="inlineStr">
        <is>
          <t>LL</t>
        </is>
      </c>
    </row>
    <row r="1494" hidden="1" s="584">
      <c r="A1494" t="n">
        <v>3777563</v>
      </c>
      <c r="B1494" t="inlineStr">
        <is>
          <t>TUB-O-N-AUT-AW-FC-54.00X3.00X5.790 HST</t>
        </is>
      </c>
      <c r="C1494" t="n">
        <v>3.088</v>
      </c>
      <c r="D1494" t="n">
        <v>8406</v>
      </c>
      <c r="E1494" t="inlineStr">
        <is>
          <t>TRANSIT STOCK</t>
        </is>
      </c>
      <c r="F1494" t="n">
        <v>2377</v>
      </c>
      <c r="G1494" t="inlineStr">
        <is>
          <t>Transit</t>
        </is>
      </c>
      <c r="H1494" t="inlineStr">
        <is>
          <t>54-0-3-ERW 2-FC</t>
        </is>
      </c>
      <c r="I1494" t="inlineStr">
        <is>
          <t>54-0-3-ERW 2-FC-1</t>
        </is>
      </c>
      <c r="J1494" t="n">
        <v>5.79</v>
      </c>
      <c r="K1494" t="inlineStr">
        <is>
          <t>LL</t>
        </is>
      </c>
    </row>
    <row r="1495" hidden="1" s="584">
      <c r="A1495" t="n">
        <v>3777563</v>
      </c>
      <c r="B1495" t="inlineStr">
        <is>
          <t>TUB-O-N-AUT-AW-FC-54.00X3.00X5.790 HST</t>
        </is>
      </c>
      <c r="C1495" t="n">
        <v>0.83</v>
      </c>
      <c r="D1495" t="n">
        <v>8406</v>
      </c>
      <c r="E1495" t="inlineStr">
        <is>
          <t>TRANSIT STOCK</t>
        </is>
      </c>
      <c r="F1495" t="n">
        <v>2378</v>
      </c>
      <c r="G1495" t="inlineStr">
        <is>
          <t>Transit</t>
        </is>
      </c>
      <c r="H1495" t="inlineStr">
        <is>
          <t>54-0-3-ERW 2-FC</t>
        </is>
      </c>
      <c r="I1495" t="inlineStr">
        <is>
          <t>54-0-3-ERW 2-FC-1</t>
        </is>
      </c>
      <c r="J1495" t="n">
        <v>5.79</v>
      </c>
      <c r="K1495" t="inlineStr">
        <is>
          <t>LL</t>
        </is>
      </c>
    </row>
    <row r="1496" hidden="1" s="584">
      <c r="A1496" t="n">
        <v>3777563</v>
      </c>
      <c r="B1496" t="inlineStr">
        <is>
          <t>TUB-O-N-AUT-AW-FC-54.00X3.00X5.790 HST</t>
        </is>
      </c>
      <c r="C1496" t="n">
        <v>3.219</v>
      </c>
      <c r="D1496" t="n">
        <v>8406</v>
      </c>
      <c r="E1496" t="inlineStr">
        <is>
          <t>TRANSIT STOCK</t>
        </is>
      </c>
      <c r="F1496" t="n">
        <v>2379</v>
      </c>
      <c r="G1496" t="inlineStr">
        <is>
          <t>Transit</t>
        </is>
      </c>
      <c r="H1496" t="inlineStr">
        <is>
          <t>54-0-3-ERW 2-FC</t>
        </is>
      </c>
      <c r="I1496" t="inlineStr">
        <is>
          <t>54-0-3-ERW 2-FC-1</t>
        </is>
      </c>
      <c r="J1496" t="n">
        <v>5.79</v>
      </c>
      <c r="K1496" t="inlineStr">
        <is>
          <t>LL</t>
        </is>
      </c>
    </row>
    <row r="1497" hidden="1" s="584">
      <c r="A1497" t="n">
        <v>1931535</v>
      </c>
      <c r="B1497" t="inlineStr">
        <is>
          <t>TUB-O-N-GEN-AW-PE-22.23X2.000X6.0000</t>
        </is>
      </c>
      <c r="C1497" t="n">
        <v>0.527</v>
      </c>
      <c r="D1497" t="n">
        <v>8406</v>
      </c>
      <c r="E1497" t="inlineStr">
        <is>
          <t>TRANSIT STOCK</t>
        </is>
      </c>
      <c r="F1497" t="n">
        <v>2386</v>
      </c>
      <c r="G1497" t="inlineStr">
        <is>
          <t>Transit</t>
        </is>
      </c>
      <c r="H1497" t="inlineStr">
        <is>
          <t>22.23-0-2-ERW 1-PE</t>
        </is>
      </c>
      <c r="I1497" t="inlineStr">
        <is>
          <t>22.23-0-2-ERW 1-PE-1</t>
        </is>
      </c>
      <c r="J1497" t="n">
        <v>6</v>
      </c>
      <c r="K1497" t="inlineStr">
        <is>
          <t>LL</t>
        </is>
      </c>
    </row>
    <row r="1498" hidden="1" s="584">
      <c r="A1498" t="n">
        <v>3500650</v>
      </c>
      <c r="B1498" t="inlineStr">
        <is>
          <t>TUB-O-N-AUT-BH-FC-42.70X3.500X6.000</t>
        </is>
      </c>
      <c r="C1498" t="n">
        <v>2.364</v>
      </c>
      <c r="D1498" t="n">
        <v>8406</v>
      </c>
      <c r="E1498" t="inlineStr">
        <is>
          <t>TRANSIT STOCK</t>
        </is>
      </c>
      <c r="F1498" t="n">
        <v>2387</v>
      </c>
      <c r="G1498" t="inlineStr">
        <is>
          <t>Transit</t>
        </is>
      </c>
      <c r="H1498" t="inlineStr">
        <is>
          <t>42.7-0-3.5-ERW 1-FC</t>
        </is>
      </c>
      <c r="I1498" t="inlineStr">
        <is>
          <t>42.7-0-3.5-ERW 1-FC-1</t>
        </is>
      </c>
      <c r="J1498" t="n">
        <v>6</v>
      </c>
      <c r="K1498" t="inlineStr">
        <is>
          <t>LL</t>
        </is>
      </c>
    </row>
    <row r="1499" hidden="1" s="584">
      <c r="A1499" t="n">
        <v>3500650</v>
      </c>
      <c r="B1499" t="inlineStr">
        <is>
          <t>TUB-O-N-AUT-BH-FC-42.70X3.500X6.000</t>
        </is>
      </c>
      <c r="C1499" t="n">
        <v>2.283</v>
      </c>
      <c r="D1499" t="n">
        <v>8406</v>
      </c>
      <c r="E1499" t="inlineStr">
        <is>
          <t>TRANSIT STOCK</t>
        </is>
      </c>
      <c r="F1499" t="n">
        <v>2388</v>
      </c>
      <c r="G1499" t="inlineStr">
        <is>
          <t>Transit</t>
        </is>
      </c>
      <c r="H1499" t="inlineStr">
        <is>
          <t>42.7-0-3.5-ERW 1-FC</t>
        </is>
      </c>
      <c r="I1499" t="inlineStr">
        <is>
          <t>42.7-0-3.5-ERW 1-FC-1</t>
        </is>
      </c>
      <c r="J1499" t="n">
        <v>6</v>
      </c>
      <c r="K1499" t="inlineStr">
        <is>
          <t>LL</t>
        </is>
      </c>
    </row>
    <row r="1500" hidden="1" s="584">
      <c r="A1500" t="n">
        <v>3770392</v>
      </c>
      <c r="B1500" t="inlineStr">
        <is>
          <t>TUB-O-C-AUT-AD-FC-25.40X3.500X5.6000</t>
        </is>
      </c>
      <c r="C1500" t="n">
        <v>1.048</v>
      </c>
      <c r="D1500" t="n">
        <v>4731</v>
      </c>
      <c r="E1500" t="inlineStr">
        <is>
          <t>TRANSIT STOCK</t>
        </is>
      </c>
      <c r="F1500" t="n">
        <v>2405</v>
      </c>
      <c r="G1500" t="inlineStr">
        <is>
          <t>Transit</t>
        </is>
      </c>
      <c r="H1500" t="inlineStr">
        <is>
          <t>25.4-18.4-3.5-CEW-CEW</t>
        </is>
      </c>
      <c r="I1500" t="inlineStr">
        <is>
          <t>25.4-18.4-3.5-CEW-CEW-1</t>
        </is>
      </c>
      <c r="J1500" t="n">
        <v>5.6</v>
      </c>
      <c r="K1500" t="inlineStr">
        <is>
          <t>LL</t>
        </is>
      </c>
    </row>
    <row r="1501" hidden="1" s="584">
      <c r="A1501" t="n">
        <v>3770392</v>
      </c>
      <c r="B1501" t="inlineStr">
        <is>
          <t>TUB-O-C-AUT-AD-FC-25.40X3.500X5.6000</t>
        </is>
      </c>
      <c r="C1501" t="n">
        <v>1.534</v>
      </c>
      <c r="D1501" t="n">
        <v>4731</v>
      </c>
      <c r="E1501" t="inlineStr">
        <is>
          <t>TRANSIT STOCK</t>
        </is>
      </c>
      <c r="F1501" t="n">
        <v>2406</v>
      </c>
      <c r="G1501" t="inlineStr">
        <is>
          <t>Transit</t>
        </is>
      </c>
      <c r="H1501" t="inlineStr">
        <is>
          <t>25.4-18.4-3.5-CEW-CEW</t>
        </is>
      </c>
      <c r="I1501" t="inlineStr">
        <is>
          <t>25.4-18.4-3.5-CEW-CEW-1</t>
        </is>
      </c>
      <c r="J1501" t="n">
        <v>5.6</v>
      </c>
      <c r="K1501" t="inlineStr">
        <is>
          <t>LL</t>
        </is>
      </c>
    </row>
    <row r="1502" hidden="1" s="584">
      <c r="A1502" t="n">
        <v>3770392</v>
      </c>
      <c r="B1502" t="inlineStr">
        <is>
          <t>TUB-O-C-AUT-AD-FC-25.40X3.500X5.6000</t>
        </is>
      </c>
      <c r="C1502" t="n">
        <v>1.534</v>
      </c>
      <c r="D1502" t="n">
        <v>4731</v>
      </c>
      <c r="E1502" t="inlineStr">
        <is>
          <t>TRANSIT STOCK</t>
        </is>
      </c>
      <c r="F1502" t="n">
        <v>2407</v>
      </c>
      <c r="G1502" t="inlineStr">
        <is>
          <t>Transit</t>
        </is>
      </c>
      <c r="H1502" t="inlineStr">
        <is>
          <t>25.4-18.4-3.5-CEW-CEW</t>
        </is>
      </c>
      <c r="I1502" t="inlineStr">
        <is>
          <t>25.4-18.4-3.5-CEW-CEW-1</t>
        </is>
      </c>
      <c r="J1502" t="n">
        <v>5.6</v>
      </c>
      <c r="K1502" t="inlineStr">
        <is>
          <t>LL</t>
        </is>
      </c>
    </row>
    <row r="1503" hidden="1" s="584">
      <c r="A1503" t="n">
        <v>3770392</v>
      </c>
      <c r="B1503" t="inlineStr">
        <is>
          <t>TUB-O-C-AUT-AD-FC-25.40X3.500X5.6000</t>
        </is>
      </c>
      <c r="C1503" t="n">
        <v>1.534</v>
      </c>
      <c r="D1503" t="n">
        <v>4731</v>
      </c>
      <c r="E1503" t="inlineStr">
        <is>
          <t>TRANSIT STOCK</t>
        </is>
      </c>
      <c r="F1503" t="n">
        <v>2408</v>
      </c>
      <c r="G1503" t="inlineStr">
        <is>
          <t>Transit</t>
        </is>
      </c>
      <c r="H1503" t="inlineStr">
        <is>
          <t>25.4-18.4-3.5-CEW-CEW</t>
        </is>
      </c>
      <c r="I1503" t="inlineStr">
        <is>
          <t>25.4-18.4-3.5-CEW-CEW-1</t>
        </is>
      </c>
      <c r="J1503" t="n">
        <v>5.6</v>
      </c>
      <c r="K1503" t="inlineStr">
        <is>
          <t>LL</t>
        </is>
      </c>
    </row>
    <row r="1504" hidden="1" s="584">
      <c r="A1504" t="n">
        <v>3770392</v>
      </c>
      <c r="B1504" t="inlineStr">
        <is>
          <t>TUB-O-C-AUT-AD-FC-25.40X3.500X5.6000</t>
        </is>
      </c>
      <c r="C1504" t="n">
        <v>1.577</v>
      </c>
      <c r="D1504" t="n">
        <v>4731</v>
      </c>
      <c r="E1504" t="inlineStr">
        <is>
          <t>TRANSIT STOCK</t>
        </is>
      </c>
      <c r="F1504" t="n">
        <v>2409</v>
      </c>
      <c r="G1504" t="inlineStr">
        <is>
          <t>Transit</t>
        </is>
      </c>
      <c r="H1504" t="inlineStr">
        <is>
          <t>25.4-18.4-3.5-CEW-CEW</t>
        </is>
      </c>
      <c r="I1504" t="inlineStr">
        <is>
          <t>25.4-18.4-3.5-CEW-CEW-1</t>
        </is>
      </c>
      <c r="J1504" t="n">
        <v>5.6</v>
      </c>
      <c r="K1504" t="inlineStr">
        <is>
          <t>LL</t>
        </is>
      </c>
    </row>
    <row r="1505" hidden="1" s="584">
      <c r="A1505" t="n">
        <v>3770392</v>
      </c>
      <c r="B1505" t="inlineStr">
        <is>
          <t>TUB-O-C-AUT-AD-FC-25.40X3.500X5.6000</t>
        </is>
      </c>
      <c r="C1505" t="n">
        <v>1.63</v>
      </c>
      <c r="D1505" t="n">
        <v>4731</v>
      </c>
      <c r="E1505" t="inlineStr">
        <is>
          <t>TRANSIT STOCK</t>
        </is>
      </c>
      <c r="F1505" t="n">
        <v>2410</v>
      </c>
      <c r="G1505" t="inlineStr">
        <is>
          <t>Transit</t>
        </is>
      </c>
      <c r="H1505" t="inlineStr">
        <is>
          <t>25.4-18.4-3.5-CEW-CEW</t>
        </is>
      </c>
      <c r="I1505" t="inlineStr">
        <is>
          <t>25.4-18.4-3.5-CEW-CEW-1</t>
        </is>
      </c>
      <c r="J1505" t="n">
        <v>5.6</v>
      </c>
      <c r="K1505" t="inlineStr">
        <is>
          <t>LL</t>
        </is>
      </c>
    </row>
    <row r="1506" hidden="1" s="584">
      <c r="A1506" t="n">
        <v>3770392</v>
      </c>
      <c r="B1506" t="inlineStr">
        <is>
          <t>TUB-O-C-AUT-AD-FC-25.40X3.500X5.6000</t>
        </is>
      </c>
      <c r="C1506" t="n">
        <v>1.693</v>
      </c>
      <c r="D1506" t="n">
        <v>4731</v>
      </c>
      <c r="E1506" t="inlineStr">
        <is>
          <t>TRANSIT STOCK</t>
        </is>
      </c>
      <c r="F1506" t="n">
        <v>2411</v>
      </c>
      <c r="G1506" t="inlineStr">
        <is>
          <t>Transit</t>
        </is>
      </c>
      <c r="H1506" t="inlineStr">
        <is>
          <t>25.4-18.4-3.5-CEW-CEW</t>
        </is>
      </c>
      <c r="I1506" t="inlineStr">
        <is>
          <t>25.4-18.4-3.5-CEW-CEW-1</t>
        </is>
      </c>
      <c r="J1506" t="n">
        <v>5.6</v>
      </c>
      <c r="K1506" t="inlineStr">
        <is>
          <t>LL</t>
        </is>
      </c>
    </row>
    <row r="1507" hidden="1" s="584">
      <c r="A1507" t="n">
        <v>3770398</v>
      </c>
      <c r="B1507" t="inlineStr">
        <is>
          <t>TUB-I-C-AUT-AD-FC-25.50X2.250X5.9500</t>
        </is>
      </c>
      <c r="C1507" t="n">
        <v>1.58</v>
      </c>
      <c r="D1507" t="n">
        <v>4731</v>
      </c>
      <c r="E1507" t="inlineStr">
        <is>
          <t>TRANSIT STOCK</t>
        </is>
      </c>
      <c r="F1507" t="n">
        <v>2412</v>
      </c>
      <c r="G1507" t="inlineStr">
        <is>
          <t>Transit</t>
        </is>
      </c>
      <c r="H1507" t="inlineStr">
        <is>
          <t>30-25.5-2.25-CEW-CEW</t>
        </is>
      </c>
      <c r="I1507" t="inlineStr">
        <is>
          <t>30-25.5-2.25-CEW-CEW-1</t>
        </is>
      </c>
      <c r="J1507" t="n">
        <v>5.95</v>
      </c>
      <c r="K1507" t="inlineStr">
        <is>
          <t>LL</t>
        </is>
      </c>
    </row>
    <row r="1508" hidden="1" s="584">
      <c r="A1508" t="n">
        <v>3770398</v>
      </c>
      <c r="B1508" t="inlineStr">
        <is>
          <t>TUB-I-C-AUT-AD-FC-25.50X2.250X5.9500</t>
        </is>
      </c>
      <c r="C1508" t="n">
        <v>1.68</v>
      </c>
      <c r="D1508" t="n">
        <v>4731</v>
      </c>
      <c r="E1508" t="inlineStr">
        <is>
          <t>TRANSIT STOCK</t>
        </is>
      </c>
      <c r="F1508" t="n">
        <v>2413</v>
      </c>
      <c r="G1508" t="inlineStr">
        <is>
          <t>Transit</t>
        </is>
      </c>
      <c r="H1508" t="inlineStr">
        <is>
          <t>30-25.5-2.25-CEW-CEW</t>
        </is>
      </c>
      <c r="I1508" t="inlineStr">
        <is>
          <t>30-25.5-2.25-CEW-CEW-1</t>
        </is>
      </c>
      <c r="J1508" t="n">
        <v>5.95</v>
      </c>
      <c r="K1508" t="inlineStr">
        <is>
          <t>LL</t>
        </is>
      </c>
    </row>
    <row r="1509" hidden="1" s="584">
      <c r="A1509" t="n">
        <v>3770398</v>
      </c>
      <c r="B1509" t="inlineStr">
        <is>
          <t>TUB-I-C-AUT-AD-FC-25.50X2.250X5.9500</t>
        </is>
      </c>
      <c r="C1509" t="n">
        <v>1.845</v>
      </c>
      <c r="D1509" t="n">
        <v>4731</v>
      </c>
      <c r="E1509" t="inlineStr">
        <is>
          <t>TRANSIT STOCK</t>
        </is>
      </c>
      <c r="F1509" t="n">
        <v>2414</v>
      </c>
      <c r="G1509" t="inlineStr">
        <is>
          <t>Transit</t>
        </is>
      </c>
      <c r="H1509" t="inlineStr">
        <is>
          <t>30-25.5-2.25-CEW-CEW</t>
        </is>
      </c>
      <c r="I1509" t="inlineStr">
        <is>
          <t>30-25.5-2.25-CEW-CEW-1</t>
        </is>
      </c>
      <c r="J1509" t="n">
        <v>5.95</v>
      </c>
      <c r="K1509" t="inlineStr">
        <is>
          <t>LL</t>
        </is>
      </c>
    </row>
    <row r="1510" hidden="1" s="584">
      <c r="A1510" t="n">
        <v>3770398</v>
      </c>
      <c r="B1510" t="inlineStr">
        <is>
          <t>TUB-I-C-AUT-AD-FC-25.50X2.250X5.9500</t>
        </is>
      </c>
      <c r="C1510" t="n">
        <v>1.882</v>
      </c>
      <c r="D1510" t="n">
        <v>4731</v>
      </c>
      <c r="E1510" t="inlineStr">
        <is>
          <t>TRANSIT STOCK</t>
        </is>
      </c>
      <c r="F1510" t="n">
        <v>2415</v>
      </c>
      <c r="G1510" t="inlineStr">
        <is>
          <t>Transit</t>
        </is>
      </c>
      <c r="H1510" t="inlineStr">
        <is>
          <t>30-25.5-2.25-CEW-CEW</t>
        </is>
      </c>
      <c r="I1510" t="inlineStr">
        <is>
          <t>30-25.5-2.25-CEW-CEW-1</t>
        </is>
      </c>
      <c r="J1510" t="n">
        <v>5.95</v>
      </c>
      <c r="K1510" t="inlineStr">
        <is>
          <t>LL</t>
        </is>
      </c>
    </row>
    <row r="1511" hidden="1" s="584">
      <c r="A1511" t="n">
        <v>3770398</v>
      </c>
      <c r="B1511" t="inlineStr">
        <is>
          <t>TUB-I-C-AUT-AD-FC-25.50X2.250X5.9500</t>
        </is>
      </c>
      <c r="C1511" t="n">
        <v>1.983</v>
      </c>
      <c r="D1511" t="n">
        <v>4731</v>
      </c>
      <c r="E1511" t="inlineStr">
        <is>
          <t>TRANSIT STOCK</t>
        </is>
      </c>
      <c r="F1511" t="n">
        <v>2416</v>
      </c>
      <c r="G1511" t="inlineStr">
        <is>
          <t>Transit</t>
        </is>
      </c>
      <c r="H1511" t="inlineStr">
        <is>
          <t>30-25.5-2.25-CEW-CEW</t>
        </is>
      </c>
      <c r="I1511" t="inlineStr">
        <is>
          <t>30-25.5-2.25-CEW-CEW-1</t>
        </is>
      </c>
      <c r="J1511" t="n">
        <v>5.95</v>
      </c>
      <c r="K1511" t="inlineStr">
        <is>
          <t>LL</t>
        </is>
      </c>
    </row>
    <row r="1512" hidden="1" s="584">
      <c r="A1512" t="n">
        <v>3995629</v>
      </c>
      <c r="B1512" t="inlineStr">
        <is>
          <t>TUB-O-C-AUT-AD-FC-29.40X4.500X4.4400</t>
        </is>
      </c>
      <c r="C1512" t="n">
        <v>1.201</v>
      </c>
      <c r="D1512" t="n">
        <v>4731</v>
      </c>
      <c r="E1512" t="inlineStr">
        <is>
          <t>TRANSIT STOCK</t>
        </is>
      </c>
      <c r="F1512" t="n">
        <v>2437</v>
      </c>
      <c r="G1512" t="inlineStr">
        <is>
          <t>Transit</t>
        </is>
      </c>
      <c r="H1512" t="inlineStr">
        <is>
          <t>29.4-20.4-4.5-CEW-CEW</t>
        </is>
      </c>
      <c r="I1512" t="inlineStr">
        <is>
          <t>29.4-20.4-4.5-CEW-CEW-1</t>
        </is>
      </c>
      <c r="J1512" t="n">
        <v>4.44</v>
      </c>
      <c r="K1512" t="inlineStr">
        <is>
          <t>LL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 codeName="Sheet2">
    <tabColor rgb="FF00B050"/>
    <outlinePr summaryBelow="1" summaryRight="1"/>
    <pageSetUpPr/>
  </sheetPr>
  <dimension ref="A1:AS114"/>
  <sheetViews>
    <sheetView topLeftCell="X1" zoomScale="96" zoomScaleNormal="100" workbookViewId="0">
      <selection activeCell="AD11" sqref="AD11"/>
    </sheetView>
  </sheetViews>
  <sheetFormatPr baseColWidth="8" defaultRowHeight="15"/>
  <cols>
    <col width="13.28515625" customWidth="1" style="584" min="1" max="1"/>
    <col width="11.42578125" customWidth="1" style="584" min="4" max="4"/>
    <col width="9.28515625" customWidth="1" style="584" min="5" max="5"/>
    <col width="9.7109375" customWidth="1" style="584" min="6" max="6"/>
    <col width="19.85546875" bestFit="1" customWidth="1" style="584" min="8" max="8"/>
    <col width="7.28515625" customWidth="1" style="584" min="9" max="9"/>
    <col outlineLevel="1" width="9.140625" customWidth="1" style="584" min="13" max="13"/>
    <col outlineLevel="1" width="38.5703125" customWidth="1" style="584" min="14" max="14"/>
    <col outlineLevel="1" width="5.7109375" customWidth="1" style="584" min="15" max="15"/>
    <col outlineLevel="1" width="9.140625" customWidth="1" style="584" min="16" max="19"/>
    <col outlineLevel="1" width="9.5703125" customWidth="1" style="584" min="20" max="20"/>
    <col outlineLevel="1" width="9.140625" customWidth="1" style="584" min="21" max="22"/>
    <col outlineLevel="1" width="31.7109375" customWidth="1" style="584" min="23" max="23"/>
    <col outlineLevel="1" width="44.140625" customWidth="1" style="584" min="24" max="24"/>
    <col outlineLevel="1" width="31.42578125" customWidth="1" style="584" min="25" max="25"/>
    <col width="31.140625" bestFit="1" customWidth="1" style="584" min="26" max="26"/>
    <col width="18.140625" bestFit="1" customWidth="1" style="584" min="27" max="27"/>
    <col width="12.7109375" customWidth="1" style="584" min="28" max="28"/>
    <col width="11.28515625" customWidth="1" style="584" min="29" max="30"/>
    <col hidden="1" width="9.140625" customWidth="1" style="584" min="31" max="31"/>
    <col hidden="1" style="584" min="33" max="33"/>
    <col width="15.5703125" customWidth="1" style="584" min="35" max="38"/>
    <col width="15.5703125" bestFit="1" customWidth="1" style="584" min="39" max="39"/>
    <col width="7.42578125" customWidth="1" style="584" min="40" max="40"/>
  </cols>
  <sheetData>
    <row r="1" ht="57.75" customHeight="1" s="584">
      <c r="AA1" s="135">
        <f>SUBTOTAL(9,salesforecast[Schedule])</f>
        <v/>
      </c>
      <c r="AB1" s="135">
        <f>SUBTOTAL(9,salesforecast[Sales])</f>
        <v/>
      </c>
      <c r="AC1" s="135">
        <f>SUBTOTAL(9,salesforecast[Stock CTL])</f>
        <v/>
      </c>
      <c r="AD1" s="135">
        <f>SUBTOTAL(9,salesforecast[Stock LL])</f>
        <v/>
      </c>
      <c r="AF1" s="135">
        <f>SUBTOTAL(9,salesforecast[WIP])</f>
        <v/>
      </c>
      <c r="AH1" s="310">
        <f>SUBTOTAL(9,salesforecast[Khopoli Stock LL])</f>
        <v/>
      </c>
    </row>
    <row r="2">
      <c r="A2" t="inlineStr">
        <is>
          <t>ACTUAL OD</t>
        </is>
      </c>
      <c r="B2" t="inlineStr">
        <is>
          <t>OD</t>
        </is>
      </c>
      <c r="C2" t="inlineStr">
        <is>
          <t>ID</t>
        </is>
      </c>
      <c r="D2" t="inlineStr">
        <is>
          <t>TICKNESS</t>
        </is>
      </c>
      <c r="E2" t="inlineStr">
        <is>
          <t>GRADE</t>
        </is>
      </c>
      <c r="F2" t="inlineStr">
        <is>
          <t>FC/NFC</t>
        </is>
      </c>
      <c r="G2" t="inlineStr">
        <is>
          <t>HR/CR</t>
        </is>
      </c>
      <c r="H2" t="inlineStr">
        <is>
          <t>Bucket</t>
        </is>
      </c>
      <c r="I2" t="inlineStr">
        <is>
          <t>July Schedule</t>
        </is>
      </c>
      <c r="J2" t="inlineStr">
        <is>
          <t>LL Material Code</t>
        </is>
      </c>
      <c r="K2" t="inlineStr">
        <is>
          <t>count error</t>
        </is>
      </c>
      <c r="L2" t="inlineStr">
        <is>
          <t>Correct Code</t>
        </is>
      </c>
      <c r="M2" t="inlineStr">
        <is>
          <t>Column2</t>
        </is>
      </c>
      <c r="N2" t="inlineStr">
        <is>
          <t>Material Description</t>
        </is>
      </c>
      <c r="O2" t="inlineStr">
        <is>
          <t>HR/CR Check</t>
        </is>
      </c>
      <c r="P2" t="inlineStr">
        <is>
          <t>Plant</t>
        </is>
      </c>
      <c r="Q2" t="inlineStr">
        <is>
          <t>FY25 Min</t>
        </is>
      </c>
      <c r="R2" t="inlineStr">
        <is>
          <t>FY25 Max</t>
        </is>
      </c>
      <c r="S2" t="inlineStr">
        <is>
          <t>FY25 Average</t>
        </is>
      </c>
      <c r="T2" t="inlineStr">
        <is>
          <t>Forecast</t>
        </is>
      </c>
      <c r="U2" t="inlineStr">
        <is>
          <t>Difference</t>
        </is>
      </c>
      <c r="V2" t="inlineStr">
        <is>
          <t>Plant2</t>
        </is>
      </c>
      <c r="W2" t="inlineStr">
        <is>
          <t>Customer</t>
        </is>
      </c>
      <c r="X2" t="inlineStr">
        <is>
          <t>CTL Size</t>
        </is>
      </c>
      <c r="Y2" t="inlineStr">
        <is>
          <t>CTL Codes</t>
        </is>
      </c>
      <c r="Z2" t="inlineStr">
        <is>
          <t>Bucket2</t>
        </is>
      </c>
      <c r="AA2" t="inlineStr">
        <is>
          <t>Schedule</t>
        </is>
      </c>
      <c r="AB2" t="inlineStr">
        <is>
          <t>Sales</t>
        </is>
      </c>
      <c r="AC2" t="inlineStr">
        <is>
          <t>Stock CTL</t>
        </is>
      </c>
      <c r="AD2" t="inlineStr">
        <is>
          <t>Stock LL</t>
        </is>
      </c>
      <c r="AE2" t="inlineStr">
        <is>
          <t>Stock LL Check</t>
        </is>
      </c>
      <c r="AF2" t="inlineStr">
        <is>
          <t>WIP</t>
        </is>
      </c>
      <c r="AG2" t="inlineStr">
        <is>
          <t>WIP Check</t>
        </is>
      </c>
      <c r="AH2" t="inlineStr">
        <is>
          <t>Khopoli Stock LL</t>
        </is>
      </c>
      <c r="AI2" t="inlineStr">
        <is>
          <t>Coverage Days</t>
        </is>
      </c>
      <c r="AJ2" t="inlineStr">
        <is>
          <t>Coverage without WIP</t>
        </is>
      </c>
      <c r="AK2" t="inlineStr">
        <is>
          <t>0789 LL Stock</t>
        </is>
      </c>
      <c r="AL2" t="inlineStr">
        <is>
          <t>Scehdule - Sales</t>
        </is>
      </c>
      <c r="AM2" t="inlineStr">
        <is>
          <t>Stock Khopoli</t>
        </is>
      </c>
      <c r="AN2" t="inlineStr">
        <is>
          <t>Rajsriya Schedule</t>
        </is>
      </c>
      <c r="AO2" t="inlineStr">
        <is>
          <t>Rajsriya Sales</t>
        </is>
      </c>
      <c r="AP2" t="inlineStr">
        <is>
          <t>4318 Stock</t>
        </is>
      </c>
      <c r="AQ2" t="inlineStr">
        <is>
          <t>4731 Stock CTL</t>
        </is>
      </c>
      <c r="AR2" t="inlineStr">
        <is>
          <t>4731 StockLL</t>
        </is>
      </c>
      <c r="AS2" t="inlineStr">
        <is>
          <t>8406 Stock</t>
        </is>
      </c>
    </row>
    <row r="3">
      <c r="B3" t="n">
        <v>12</v>
      </c>
      <c r="C3" t="n">
        <v>0</v>
      </c>
      <c r="D3" t="n">
        <v>1.6</v>
      </c>
      <c r="E3" t="inlineStr">
        <is>
          <t>CEW</t>
        </is>
      </c>
      <c r="F3" t="inlineStr">
        <is>
          <t>CEW</t>
        </is>
      </c>
      <c r="G3" t="inlineStr">
        <is>
          <t>HR</t>
        </is>
      </c>
      <c r="H3" t="inlineStr">
        <is>
          <t>12-0-1.6-CEW-CEW</t>
        </is>
      </c>
      <c r="I3" s="43">
        <f>SUMIFS(scheduleapr[SCHEDULE IN MT],scheduleapr[Bucket],salesforecast[[#This Row],[Bucket]])</f>
        <v/>
      </c>
      <c r="K3">
        <f>COUNTIF('helper sheet'!$A$1:$A$33,salesforecast[[#This Row],[LL Material Code]])</f>
        <v/>
      </c>
      <c r="P3" s="47" t="inlineStr">
        <is>
          <t>0788</t>
        </is>
      </c>
      <c r="T3" s="585">
        <f>ROUNDUP(MAX(salesforecast[[#This Row],[FY25 Average]],salesforecast[[#This Row],[July Schedule]]),0)</f>
        <v/>
      </c>
      <c r="U3">
        <f>salesforecast[[#This Row],[Forecast]]-salesforecast[[#This Row],[July Schedule]]</f>
        <v/>
      </c>
      <c r="V3">
        <f>salesforecast[[#This Row],[Plant]]</f>
        <v/>
      </c>
      <c r="W3" s="66">
        <f t="array" ref="W3">_xlfn.TEXTJOIN("|",TRUE,(_xlfn.UNIQUE(_xlfn._xlws.FILTER(scheduleapr[CUSTOMER NAME],scheduleapr[Bucket]=salesforecast[[#This Row],[Bucket]]))))</f>
        <v/>
      </c>
      <c r="X3" s="66">
        <f t="array" ref="X3">_xlfn.TEXTJOIN("|",TRUE,(_xlfn.UNIQUE(_xlfn._xlws.SORT(_xlfn._xlws.FILTER(scheduleapr[LENGTH],scheduleapr[Bucket]=salesforecast[[#This Row],[Bucket]])))))</f>
        <v/>
      </c>
      <c r="Y3" s="66">
        <f t="array" ref="Y3">_xlfn.TEXTJOIN("|",TRUE,_xlfn._xlws.FILTER(buckets[Material Codes],(buckets[Bucket]=salesforecast[[#This Row],[Bucket2]])))</f>
        <v/>
      </c>
      <c r="Z3">
        <f>salesforecast[[#This Row],[Bucket]]</f>
        <v/>
      </c>
      <c r="AA3" s="43">
        <f>salesforecast[[#This Row],[July Schedule]]</f>
        <v/>
      </c>
      <c r="AB3">
        <f>SUMIF(salesTVS[buckets.Bucket],salesforecast[[#This Row],[Bucket]],salesTVS[Quantity])/1000</f>
        <v/>
      </c>
      <c r="AC3" s="43">
        <f>SUMIFS(stock[MT],stock[Bucket],salesforecast[[#This Row],[Bucket]],stock[LL or CTL],"CTL")</f>
        <v/>
      </c>
      <c r="AD3" s="43">
        <f>SUMIF(stock[Bucket],salesforecast[[#This Row],[Bucket]],stock[MT])</f>
        <v/>
      </c>
      <c r="AE3" s="43" t="e">
        <v>#REF!</v>
      </c>
      <c r="AF3">
        <f>SUMIF(wip[Bucket],salesforecast[[#This Row],[Bucket]],wip[Stock(Net Wt)])/1000</f>
        <v/>
      </c>
      <c r="AG3" s="43" t="e">
        <v>#REF!</v>
      </c>
      <c r="AH3" s="43">
        <f>SUMIFS(stock[MT],stock[Bucket],salesforecast[[#This Row],[Bucket2]],stock[Plant],"0788")</f>
        <v/>
      </c>
      <c r="AI3">
        <f>((salesforecast[[#This Row],[WIP]]+salesforecast[[#This Row],[Stock LL]]))/salesforecast[[#This Row],[July Schedule]]*30</f>
        <v/>
      </c>
      <c r="AJ3">
        <f>salesforecast[[#This Row],[Stock LL]]/salesforecast[[#This Row],[Schedule]]*30</f>
        <v/>
      </c>
      <c r="AK3" s="43">
        <f>SUMIFS(stock[MT],stock[Bucket],salesforecast[[#This Row],[Bucket2]],stock[Plant],"0789",stock[LL or CTL],"LL")</f>
        <v/>
      </c>
      <c r="AL3" s="193">
        <f>(salesforecast[[#This Row],[Sales]])/salesforecast[[#This Row],[Schedule]]</f>
        <v/>
      </c>
      <c r="AM3" s="43">
        <f>SUMIFS(stock[MT],stock[Plant],salesforecast[[#This Row],[Plant]],stock[LL or CTL],"LL",stock[Bucket],salesforecast[[#This Row],[Bucket]])</f>
        <v/>
      </c>
      <c r="AN3" s="43">
        <f>SUMIFS(scheduleapr[SCHEDULE IN MT],scheduleapr[CUSTOMER NAME],"*Rajsriya*",scheduleapr[Bucket],salesforecast[[#This Row],[Bucket]])</f>
        <v/>
      </c>
      <c r="AO3" s="43">
        <f>SUMIFS(salesTVS[Quantity],salesTVS[CUSTOMER  NAME],"*RAJSRIYA*",salesTVS[buckets.Bucket],salesforecast[[#This Row],[Bucket]])/1000</f>
        <v/>
      </c>
      <c r="AP3" s="43">
        <f>SUMIFS(stock[MT],stock[Plant],4318,stock[Bucket],salesforecast[[#This Row],[Bucket2]])</f>
        <v/>
      </c>
      <c r="AQ3" s="43">
        <f>SUMIFS(stock[MT],stock[Plant],4731,stock[Bucket],salesforecast[[#This Row],[Bucket2]],stock[LL or CTL],"CTL")</f>
        <v/>
      </c>
      <c r="AR3" s="43">
        <f>SUMIFS(stock[MT],stock[Plant],4731,stock[Bucket],salesforecast[[#This Row],[Bucket2]])-salesforecast[[#This Row],[4731 Stock CTL]]</f>
        <v/>
      </c>
      <c r="AS3" s="43">
        <f>SUMIFS(stock[MT],stock[Plant],8406,stock[Bucket],salesforecast[[#This Row],[Bucket2]])</f>
        <v/>
      </c>
    </row>
    <row r="4" ht="30" customHeight="1" s="584">
      <c r="A4" t="n">
        <v>12.7</v>
      </c>
      <c r="B4" t="n">
        <v>12.7</v>
      </c>
      <c r="C4" t="n">
        <v>0</v>
      </c>
      <c r="D4" t="n">
        <v>1.2</v>
      </c>
      <c r="E4" t="inlineStr">
        <is>
          <t>ERW 1</t>
        </is>
      </c>
      <c r="F4" t="inlineStr">
        <is>
          <t>PE</t>
        </is>
      </c>
      <c r="G4" t="inlineStr">
        <is>
          <t>CR</t>
        </is>
      </c>
      <c r="H4">
        <f>_xlfn.CONCAT(salesforecast[[#This Row],[OD]],"-",salesforecast[[#This Row],[ID]],"-",salesforecast[[#This Row],[TICKNESS]],"-",salesforecast[[#This Row],[GRADE]],"-",salesforecast[[#This Row],[FC/NFC]])</f>
        <v/>
      </c>
      <c r="I4" s="43">
        <f>SUMIFS(scheduleapr[SCHEDULE IN MT],scheduleapr[Bucket],salesforecast[[#This Row],[Bucket]])</f>
        <v/>
      </c>
      <c r="J4" t="n">
        <v>1939985</v>
      </c>
      <c r="K4">
        <f>COUNTIF('helper sheet'!$A$1:$A$33,salesforecast[[#This Row],[LL Material Code]])</f>
        <v/>
      </c>
      <c r="N4" t="inlineStr">
        <is>
          <t>TUB-O-O-AUT-AW-PE-12.70X1.200X6.0000</t>
        </is>
      </c>
      <c r="P4" s="47" t="inlineStr">
        <is>
          <t>0789</t>
        </is>
      </c>
      <c r="Q4" t="n">
        <v>4</v>
      </c>
      <c r="R4" t="n">
        <v>15</v>
      </c>
      <c r="S4" t="n">
        <v>8</v>
      </c>
      <c r="T4" s="585">
        <f>ROUNDUP(MAX(salesforecast[[#This Row],[FY25 Average]],salesforecast[[#This Row],[July Schedule]]),0)</f>
        <v/>
      </c>
      <c r="U4" s="585">
        <f>salesforecast[[#This Row],[Forecast]]-salesforecast[[#This Row],[July Schedule]]</f>
        <v/>
      </c>
      <c r="V4">
        <f>salesforecast[[#This Row],[Plant]]</f>
        <v/>
      </c>
      <c r="W4" s="66">
        <f t="array" ref="W4">_xlfn.TEXTJOIN("|",TRUE,(_xlfn.UNIQUE(_xlfn._xlws.FILTER(scheduleapr[CUSTOMER NAME],scheduleapr[Bucket]=salesforecast[[#This Row],[Bucket]]))))</f>
        <v/>
      </c>
      <c r="X4" s="66">
        <f t="array" ref="X4">_xlfn.TEXTJOIN("|",TRUE,(_xlfn.UNIQUE(_xlfn._xlws.SORT(_xlfn._xlws.FILTER(scheduleapr[LENGTH],scheduleapr[Bucket]=salesforecast[[#This Row],[Bucket]])))))</f>
        <v/>
      </c>
      <c r="Y4" s="66">
        <f t="array" ref="Y4">_xlfn.TEXTJOIN("|",TRUE,_xlfn._xlws.FILTER(buckets[Material Codes],(buckets[Bucket]=salesforecast[[#This Row],[Bucket2]])*(buckets[LL or CTL]="CTL")))</f>
        <v/>
      </c>
      <c r="Z4">
        <f>salesforecast[[#This Row],[Bucket]]</f>
        <v/>
      </c>
      <c r="AA4" s="43">
        <f>salesforecast[[#This Row],[July Schedule]]</f>
        <v/>
      </c>
      <c r="AB4" s="43">
        <f>SUMIF(salesTVS[buckets.Bucket],salesforecast[[#This Row],[Bucket]],salesTVS[Quantity])/1000</f>
        <v/>
      </c>
      <c r="AC4" s="43">
        <f>SUMIFS(stock[MT],stock[Bucket],salesforecast[[#This Row],[Bucket]],stock[LL or CTL],"CTL")</f>
        <v/>
      </c>
      <c r="AD4" s="43">
        <f>SUMIF(stock[Bucket],salesforecast[[#This Row],[Bucket]],stock[MT])-salesforecast[[#This Row],[Stock CTL]]</f>
        <v/>
      </c>
      <c r="AE4" s="43" t="e">
        <v>#REF!</v>
      </c>
      <c r="AF4" s="43">
        <f>SUMIF(wip[Bucket],salesforecast[[#This Row],[Bucket]],wip[Stock(Net Wt)])/1000</f>
        <v/>
      </c>
      <c r="AG4" s="43" t="e">
        <v>#REF!</v>
      </c>
      <c r="AH4" s="43">
        <f>SUMIFS(stock[MT],stock[Bucket],salesforecast[[#This Row],[Bucket2]],stock[Plant],"0788")</f>
        <v/>
      </c>
      <c r="AI4" s="43">
        <f>((salesforecast[[#This Row],[WIP]]+salesforecast[[#This Row],[Stock LL]]))/salesforecast[[#This Row],[July Schedule]]*30</f>
        <v/>
      </c>
      <c r="AJ4" s="585">
        <f>salesforecast[[#This Row],[Stock LL]]/salesforecast[[#This Row],[Schedule]]*30</f>
        <v/>
      </c>
      <c r="AK4" s="43">
        <f>SUMIFS(stock[MT],stock[Bucket],salesforecast[[#This Row],[Bucket2]],stock[Plant],"0789",stock[LL or CTL],"LL")</f>
        <v/>
      </c>
      <c r="AL4" s="193">
        <f>(salesforecast[[#This Row],[Sales]])/salesforecast[[#This Row],[Schedule]]</f>
        <v/>
      </c>
      <c r="AM4" s="43">
        <f>SUMIFS(stock[MT],stock[Plant],salesforecast[[#This Row],[Plant]],stock[LL or CTL],"LL",stock[Bucket],salesforecast[[#This Row],[Bucket]])</f>
        <v/>
      </c>
      <c r="AN4" s="43">
        <f>SUMIFS(scheduleapr[SCHEDULE IN MT],scheduleapr[CUSTOMER NAME],"*Rajsriya*",scheduleapr[Bucket],salesforecast[[#This Row],[Bucket]])</f>
        <v/>
      </c>
      <c r="AO4" s="43">
        <f>SUMIFS(salesTVS[Quantity],salesTVS[CUSTOMER  NAME],"*RAJSRIYA*",salesTVS[buckets.Bucket],salesforecast[[#This Row],[Bucket]])/1000</f>
        <v/>
      </c>
      <c r="AP4" s="43">
        <f>SUMIFS(stock[MT],stock[Plant],4318,stock[Bucket],salesforecast[[#This Row],[Bucket2]])</f>
        <v/>
      </c>
      <c r="AQ4" s="43">
        <f>SUMIFS(stock[MT],stock[Plant],4731,stock[Bucket],salesforecast[[#This Row],[Bucket2]],stock[LL or CTL],"CTL")</f>
        <v/>
      </c>
      <c r="AR4" s="43">
        <f>SUMIFS(stock[MT],stock[Plant],4731,stock[Bucket],salesforecast[[#This Row],[Bucket2]])-salesforecast[[#This Row],[4731 Stock CTL]]</f>
        <v/>
      </c>
      <c r="AS4" s="43">
        <f>SUMIFS(stock[MT],stock[Plant],8406,stock[Bucket],salesforecast[[#This Row],[Bucket2]])</f>
        <v/>
      </c>
    </row>
    <row r="5" ht="75" customHeight="1" s="584">
      <c r="A5" t="n">
        <v>12.7</v>
      </c>
      <c r="B5" t="n">
        <v>12.7</v>
      </c>
      <c r="C5" t="n">
        <v>0</v>
      </c>
      <c r="D5" t="n">
        <v>1.6</v>
      </c>
      <c r="E5" t="inlineStr">
        <is>
          <t>ERW 1</t>
        </is>
      </c>
      <c r="F5" t="inlineStr">
        <is>
          <t>PE</t>
        </is>
      </c>
      <c r="G5" t="inlineStr">
        <is>
          <t>CR</t>
        </is>
      </c>
      <c r="H5">
        <f>_xlfn.CONCAT(salesforecast[[#This Row],[OD]],"-",salesforecast[[#This Row],[ID]],"-",salesforecast[[#This Row],[TICKNESS]],"-",salesforecast[[#This Row],[GRADE]],"-",salesforecast[[#This Row],[FC/NFC]])</f>
        <v/>
      </c>
      <c r="I5" s="43">
        <f>SUMIFS(scheduleapr[SCHEDULE IN MT],scheduleapr[Bucket],salesforecast[[#This Row],[Bucket]])</f>
        <v/>
      </c>
      <c r="J5" t="n">
        <v>2362827</v>
      </c>
      <c r="K5">
        <f>COUNTIF('helper sheet'!$A$1:$A$33,salesforecast[[#This Row],[LL Material Code]])</f>
        <v/>
      </c>
      <c r="L5" t="n">
        <v>1940014</v>
      </c>
      <c r="N5" t="inlineStr">
        <is>
          <t>TUB-O-N-GEN-AW-PE-12.70X1.600X6.2500</t>
        </is>
      </c>
      <c r="O5" t="inlineStr">
        <is>
          <t>WG</t>
        </is>
      </c>
      <c r="P5" s="47" t="inlineStr">
        <is>
          <t>0789</t>
        </is>
      </c>
      <c r="Q5" t="n">
        <v>8</v>
      </c>
      <c r="R5" t="n">
        <v>50</v>
      </c>
      <c r="S5" t="n">
        <v>20</v>
      </c>
      <c r="T5" s="585">
        <f>ROUNDUP(MAX(salesforecast[[#This Row],[FY25 Average]],salesforecast[[#This Row],[July Schedule]]),0)</f>
        <v/>
      </c>
      <c r="U5" s="585">
        <f>salesforecast[[#This Row],[Forecast]]-salesforecast[[#This Row],[July Schedule]]</f>
        <v/>
      </c>
      <c r="V5">
        <f>salesforecast[[#This Row],[Plant]]</f>
        <v/>
      </c>
      <c r="W5" s="66">
        <f t="array" ref="W5">_xlfn.TEXTJOIN("|",TRUE,(_xlfn.UNIQUE(_xlfn._xlws.FILTER(scheduleapr[CUSTOMER NAME],scheduleapr[Bucket]=salesforecast[[#This Row],[Bucket]]))))</f>
        <v/>
      </c>
      <c r="X5" s="66">
        <f t="array" ref="X5">_xlfn.TEXTJOIN("|",TRUE,(_xlfn.UNIQUE(_xlfn._xlws.SORT(_xlfn._xlws.FILTER(scheduleapr[LENGTH],scheduleapr[Bucket]=salesforecast[[#This Row],[Bucket]])))))</f>
        <v/>
      </c>
      <c r="Y5" s="66">
        <f t="array" ref="Y5">_xlfn.TEXTJOIN("|",TRUE,_xlfn._xlws.FILTER(buckets[Material Codes],(buckets[Bucket]=salesforecast[[#This Row],[Bucket2]])*(buckets[LL or CTL]="CTL")))</f>
        <v/>
      </c>
      <c r="Z5">
        <f>salesforecast[[#This Row],[Bucket]]</f>
        <v/>
      </c>
      <c r="AA5" s="43">
        <f>salesforecast[[#This Row],[July Schedule]]</f>
        <v/>
      </c>
      <c r="AB5" s="43">
        <f>SUMIF(salesTVS[buckets.Bucket],salesforecast[[#This Row],[Bucket]],salesTVS[Quantity])/1000</f>
        <v/>
      </c>
      <c r="AC5" s="43">
        <f>SUMIFS(stock[MT],stock[Bucket],salesforecast[[#This Row],[Bucket]],stock[LL or CTL],"CTL")</f>
        <v/>
      </c>
      <c r="AD5" s="43">
        <f>SUMIF(stock[Bucket],salesforecast[[#This Row],[Bucket]],stock[MT])-salesforecast[[#This Row],[Stock CTL]]</f>
        <v/>
      </c>
      <c r="AE5" s="43" t="e">
        <v>#REF!</v>
      </c>
      <c r="AF5" s="43">
        <f>SUMIF(wip[Bucket],salesforecast[[#This Row],[Bucket]],wip[Stock(Net Wt)])/1000</f>
        <v/>
      </c>
      <c r="AG5" s="64" t="e">
        <v>#REF!</v>
      </c>
      <c r="AH5" s="43">
        <f>SUMIFS(stock[MT],stock[Bucket],salesforecast[[#This Row],[Bucket2]],stock[Plant],"0788")</f>
        <v/>
      </c>
      <c r="AI5" s="43">
        <f>((salesforecast[[#This Row],[WIP]]+salesforecast[[#This Row],[Stock LL]]))/salesforecast[[#This Row],[July Schedule]]*30</f>
        <v/>
      </c>
      <c r="AJ5" s="585">
        <f>salesforecast[[#This Row],[Stock LL]]/salesforecast[[#This Row],[Schedule]]*30</f>
        <v/>
      </c>
      <c r="AK5" s="43">
        <f>SUMIFS(stock[MT],stock[Bucket],salesforecast[[#This Row],[Bucket2]],stock[Plant],"0789",stock[LL or CTL],"LL")</f>
        <v/>
      </c>
      <c r="AL5" s="193">
        <f>(salesforecast[[#This Row],[Sales]])/salesforecast[[#This Row],[Schedule]]</f>
        <v/>
      </c>
      <c r="AM5" s="43">
        <f>SUMIFS(stock[MT],stock[Plant],salesforecast[[#This Row],[Plant]],stock[LL or CTL],"LL",stock[Bucket],salesforecast[[#This Row],[Bucket]])</f>
        <v/>
      </c>
      <c r="AN5" s="43">
        <f>SUMIFS(scheduleapr[SCHEDULE IN MT],scheduleapr[CUSTOMER NAME],"*Rajsriya*",scheduleapr[Bucket],salesforecast[[#This Row],[Bucket]])</f>
        <v/>
      </c>
      <c r="AO5" s="43">
        <f>SUMIFS(salesTVS[Quantity],salesTVS[CUSTOMER  NAME],"*RAJSRIYA*",salesTVS[buckets.Bucket],salesforecast[[#This Row],[Bucket]])/1000</f>
        <v/>
      </c>
      <c r="AP5" s="43">
        <f>SUMIFS(stock[MT],stock[Plant],4318,stock[Bucket],salesforecast[[#This Row],[Bucket2]])</f>
        <v/>
      </c>
      <c r="AQ5" s="43">
        <f>SUMIFS(stock[MT],stock[Plant],4731,stock[Bucket],salesforecast[[#This Row],[Bucket2]],stock[LL or CTL],"CTL")</f>
        <v/>
      </c>
      <c r="AR5" s="43">
        <f>SUMIFS(stock[MT],stock[Plant],4731,stock[Bucket],salesforecast[[#This Row],[Bucket2]])-salesforecast[[#This Row],[4731 Stock CTL]]</f>
        <v/>
      </c>
      <c r="AS5" s="43">
        <f>SUMIFS(stock[MT],stock[Plant],8406,stock[Bucket],salesforecast[[#This Row],[Bucket2]])</f>
        <v/>
      </c>
    </row>
    <row r="6">
      <c r="A6" t="n">
        <v>14</v>
      </c>
      <c r="B6" t="n">
        <v>14</v>
      </c>
      <c r="C6" t="n">
        <v>0</v>
      </c>
      <c r="D6" t="n">
        <v>1.6</v>
      </c>
      <c r="E6" t="inlineStr">
        <is>
          <t>CEW</t>
        </is>
      </c>
      <c r="F6" t="inlineStr">
        <is>
          <t>CEW</t>
        </is>
      </c>
      <c r="G6" t="inlineStr">
        <is>
          <t>CR</t>
        </is>
      </c>
      <c r="H6">
        <f>_xlfn.CONCAT(salesforecast[[#This Row],[OD]],"-",salesforecast[[#This Row],[ID]],"-",salesforecast[[#This Row],[TICKNESS]],"-",salesforecast[[#This Row],[GRADE]],"-",salesforecast[[#This Row],[FC/NFC]])</f>
        <v/>
      </c>
      <c r="I6" s="43">
        <f>SUMIFS(scheduleapr[SCHEDULE IN MT],scheduleapr[Bucket],salesforecast[[#This Row],[Bucket]])</f>
        <v/>
      </c>
      <c r="J6" t="n">
        <v>3183851</v>
      </c>
      <c r="K6">
        <f>COUNTIF('helper sheet'!$A$1:$A$33,salesforecast[[#This Row],[LL Material Code]])</f>
        <v/>
      </c>
      <c r="N6" t="inlineStr">
        <is>
          <t>TUB-O-C-AUT-AN-FC-14.00X1.600X04-06</t>
        </is>
      </c>
      <c r="P6" s="47" t="inlineStr">
        <is>
          <t>0788</t>
        </is>
      </c>
      <c r="Q6" t="n">
        <v>0</v>
      </c>
      <c r="R6" t="n">
        <v>2</v>
      </c>
      <c r="S6" t="n">
        <v>1</v>
      </c>
      <c r="T6" s="585">
        <f>ROUNDUP(MAX(salesforecast[[#This Row],[FY25 Average]],salesforecast[[#This Row],[July Schedule]]),0)</f>
        <v/>
      </c>
      <c r="U6" s="585">
        <f>salesforecast[[#This Row],[Forecast]]-salesforecast[[#This Row],[July Schedule]]</f>
        <v/>
      </c>
      <c r="V6">
        <f>salesforecast[[#This Row],[Plant]]</f>
        <v/>
      </c>
      <c r="W6" s="66">
        <f t="array" ref="W6">_xlfn.TEXTJOIN("|",TRUE,(_xlfn.UNIQUE(_xlfn._xlws.FILTER(scheduleapr[CUSTOMER NAME],scheduleapr[Bucket]=salesforecast[[#This Row],[Bucket]]))))</f>
        <v/>
      </c>
      <c r="X6" s="66">
        <f t="array" ref="X6">_xlfn.TEXTJOIN("|",TRUE,(_xlfn.UNIQUE(_xlfn._xlws.SORT(_xlfn._xlws.FILTER(scheduleapr[LENGTH],scheduleapr[Bucket]=salesforecast[[#This Row],[Bucket]])))))</f>
        <v/>
      </c>
      <c r="Y6" s="66">
        <f t="array" ref="Y6">_xlfn.TEXTJOIN("|",TRUE,_xlfn._xlws.FILTER(buckets[Material Codes],(buckets[Bucket]=salesforecast[[#This Row],[Bucket2]])))</f>
        <v/>
      </c>
      <c r="Z6">
        <f>salesforecast[[#This Row],[Bucket]]</f>
        <v/>
      </c>
      <c r="AA6" s="43">
        <f>salesforecast[[#This Row],[July Schedule]]</f>
        <v/>
      </c>
      <c r="AB6" s="43">
        <f>SUMIF(salesTVS[buckets.Bucket],salesforecast[[#This Row],[Bucket]],salesTVS[Quantity])/1000</f>
        <v/>
      </c>
      <c r="AC6" s="43">
        <f>SUMIFS(stock[MT],stock[Bucket],salesforecast[[#This Row],[Bucket]],stock[LL or CTL],"CTL")</f>
        <v/>
      </c>
      <c r="AD6" s="43">
        <f>SUMIF(stock[Bucket],salesforecast[[#This Row],[Bucket]],stock[MT])-salesforecast[[#This Row],[Stock CTL]]</f>
        <v/>
      </c>
      <c r="AE6" s="43" t="e">
        <v>#REF!</v>
      </c>
      <c r="AF6" s="43">
        <f>SUMIF(wip[Bucket],salesforecast[[#This Row],[Bucket]],wip[Stock(Net Wt)])/1000</f>
        <v/>
      </c>
      <c r="AG6" s="43" t="e">
        <v>#REF!</v>
      </c>
      <c r="AH6" s="43">
        <f>SUMIFS(stock[MT],stock[Bucket],salesforecast[[#This Row],[Bucket2]],stock[Plant],"0788")</f>
        <v/>
      </c>
      <c r="AI6" s="43">
        <f>((salesforecast[[#This Row],[WIP]]+salesforecast[[#This Row],[Stock LL]]))/salesforecast[[#This Row],[July Schedule]]*30</f>
        <v/>
      </c>
      <c r="AJ6" s="585">
        <f>salesforecast[[#This Row],[Stock LL]]/salesforecast[[#This Row],[Schedule]]*30</f>
        <v/>
      </c>
      <c r="AK6" s="43">
        <f>SUMIFS(stock[MT],stock[Bucket],salesforecast[[#This Row],[Bucket2]],stock[Plant],"0789",stock[LL or CTL],"LL")</f>
        <v/>
      </c>
      <c r="AL6" s="193">
        <f>(salesforecast[[#This Row],[Sales]])/salesforecast[[#This Row],[Schedule]]</f>
        <v/>
      </c>
      <c r="AM6" s="43">
        <f>SUMIFS(stock[MT],stock[Plant],salesforecast[[#This Row],[Plant]],stock[LL or CTL],"LL",stock[Bucket],salesforecast[[#This Row],[Bucket]])</f>
        <v/>
      </c>
      <c r="AN6" s="43">
        <f>SUMIFS(scheduleapr[SCHEDULE IN MT],scheduleapr[CUSTOMER NAME],"*Rajsriya*",scheduleapr[Bucket],salesforecast[[#This Row],[Bucket]])</f>
        <v/>
      </c>
      <c r="AO6" s="43">
        <f>SUMIFS(salesTVS[Quantity],salesTVS[CUSTOMER  NAME],"*RAJSRIYA*",salesTVS[buckets.Bucket],salesforecast[[#This Row],[Bucket]])/1000</f>
        <v/>
      </c>
      <c r="AP6" s="43">
        <f>SUMIFS(stock[MT],stock[Plant],4318,stock[Bucket],salesforecast[[#This Row],[Bucket2]])</f>
        <v/>
      </c>
      <c r="AQ6" s="43">
        <f>SUMIFS(stock[MT],stock[Plant],4731,stock[Bucket],salesforecast[[#This Row],[Bucket2]],stock[LL or CTL],"CTL")</f>
        <v/>
      </c>
      <c r="AR6" s="43">
        <f>SUMIFS(stock[MT],stock[Plant],4731,stock[Bucket],salesforecast[[#This Row],[Bucket2]])-salesforecast[[#This Row],[4731 Stock CTL]]</f>
        <v/>
      </c>
      <c r="AS6" s="43">
        <f>SUMIFS(stock[MT],stock[Plant],8406,stock[Bucket],salesforecast[[#This Row],[Bucket2]])</f>
        <v/>
      </c>
    </row>
    <row r="7">
      <c r="A7" t="n">
        <v>14</v>
      </c>
      <c r="B7" t="n">
        <v>14</v>
      </c>
      <c r="C7">
        <f>salesforecast[[#This Row],[OD]]-salesforecast[[#This Row],[TICKNESS]]-salesforecast[[#This Row],[TICKNESS]]</f>
        <v/>
      </c>
      <c r="D7" t="n">
        <v>1.95</v>
      </c>
      <c r="E7" t="inlineStr">
        <is>
          <t>CEW</t>
        </is>
      </c>
      <c r="F7" t="inlineStr">
        <is>
          <t>CEW</t>
        </is>
      </c>
      <c r="G7" t="inlineStr">
        <is>
          <t>CR</t>
        </is>
      </c>
      <c r="H7" t="inlineStr">
        <is>
          <t>14-10.1-1.95-CEW-CEW</t>
        </is>
      </c>
      <c r="I7" s="43">
        <f>SUMIFS(scheduleapr[SCHEDULE IN MT],scheduleapr[Bucket],salesforecast[[#This Row],[Bucket]])</f>
        <v/>
      </c>
      <c r="J7" t="n">
        <v>2410963</v>
      </c>
      <c r="K7">
        <f>COUNTIF('helper sheet'!$A$1:$A$33,salesforecast[[#This Row],[LL Material Code]])</f>
        <v/>
      </c>
      <c r="N7" t="inlineStr">
        <is>
          <t>TUB-O-C-AUT-AD-FC-14.00X1.950X04-05</t>
        </is>
      </c>
      <c r="P7" s="47" t="inlineStr">
        <is>
          <t>0788</t>
        </is>
      </c>
      <c r="Q7" t="n">
        <v>0</v>
      </c>
      <c r="R7" t="n">
        <v>1</v>
      </c>
      <c r="S7" t="n">
        <v>1</v>
      </c>
      <c r="T7" s="585">
        <f>ROUNDUP(MAX(salesforecast[[#This Row],[FY25 Average]],salesforecast[[#This Row],[July Schedule]]),0)</f>
        <v/>
      </c>
      <c r="U7" s="585">
        <f>salesforecast[[#This Row],[Forecast]]-salesforecast[[#This Row],[July Schedule]]</f>
        <v/>
      </c>
      <c r="V7">
        <f>salesforecast[[#This Row],[Plant]]</f>
        <v/>
      </c>
      <c r="W7" s="66">
        <f t="array" ref="W7">_xlfn.TEXTJOIN("|",TRUE,(_xlfn.UNIQUE(_xlfn._xlws.FILTER(scheduleapr[CUSTOMER NAME],scheduleapr[Bucket]=salesforecast[[#This Row],[Bucket]]))))</f>
        <v/>
      </c>
      <c r="X7" s="66">
        <f t="array" ref="X7">_xlfn.TEXTJOIN("|",TRUE,(_xlfn.UNIQUE(_xlfn._xlws.SORT(_xlfn._xlws.FILTER(scheduleapr[LENGTH],scheduleapr[Bucket]=salesforecast[[#This Row],[Bucket]])))))</f>
        <v/>
      </c>
      <c r="Y7" s="66">
        <f t="array" ref="Y7">_xlfn.TEXTJOIN("|",TRUE,_xlfn._xlws.FILTER(buckets[Material Codes],(buckets[Bucket]=salesforecast[[#This Row],[Bucket2]])))</f>
        <v/>
      </c>
      <c r="Z7">
        <f>salesforecast[[#This Row],[Bucket]]</f>
        <v/>
      </c>
      <c r="AA7" s="43">
        <f>salesforecast[[#This Row],[July Schedule]]</f>
        <v/>
      </c>
      <c r="AB7" s="43">
        <f>SUMIF(salesTVS[buckets.Bucket],salesforecast[[#This Row],[Bucket]],salesTVS[Quantity])/1000</f>
        <v/>
      </c>
      <c r="AC7" s="43">
        <f>SUMIFS(stock[MT],stock[Bucket],salesforecast[[#This Row],[Bucket]],stock[LL or CTL],"CTL")</f>
        <v/>
      </c>
      <c r="AD7" s="43">
        <f>SUMIF(stock[Bucket],salesforecast[[#This Row],[Bucket]],stock[MT])-salesforecast[[#This Row],[Stock CTL]]</f>
        <v/>
      </c>
      <c r="AE7" s="43" t="e">
        <v>#REF!</v>
      </c>
      <c r="AF7" s="43">
        <f>SUMIF(wip[Bucket],salesforecast[[#This Row],[Bucket]],wip[Stock(Net Wt)])/1000</f>
        <v/>
      </c>
      <c r="AG7" s="43" t="e">
        <v>#REF!</v>
      </c>
      <c r="AH7" s="43">
        <f>SUMIFS(stock[MT],stock[Bucket],salesforecast[[#This Row],[Bucket2]],stock[Plant],"0788")</f>
        <v/>
      </c>
      <c r="AI7" s="43">
        <f>((salesforecast[[#This Row],[WIP]]+salesforecast[[#This Row],[Stock LL]]))/salesforecast[[#This Row],[July Schedule]]*30</f>
        <v/>
      </c>
      <c r="AJ7" s="585">
        <f>salesforecast[[#This Row],[Stock LL]]/salesforecast[[#This Row],[Schedule]]*30</f>
        <v/>
      </c>
      <c r="AK7" s="43">
        <f>SUMIFS(stock[MT],stock[Bucket],salesforecast[[#This Row],[Bucket2]],stock[Plant],"0789",stock[LL or CTL],"LL")</f>
        <v/>
      </c>
      <c r="AL7" s="193">
        <f>(salesforecast[[#This Row],[Sales]])/salesforecast[[#This Row],[Schedule]]</f>
        <v/>
      </c>
      <c r="AM7" s="43">
        <f>SUMIFS(stock[MT],stock[Plant],salesforecast[[#This Row],[Plant]],stock[LL or CTL],"LL",stock[Bucket],salesforecast[[#This Row],[Bucket]])</f>
        <v/>
      </c>
      <c r="AN7" s="43">
        <f>SUMIFS(scheduleapr[SCHEDULE IN MT],scheduleapr[CUSTOMER NAME],"*Rajsriya*",scheduleapr[Bucket],salesforecast[[#This Row],[Bucket]])</f>
        <v/>
      </c>
      <c r="AO7" s="43">
        <f>SUMIFS(salesTVS[Quantity],salesTVS[CUSTOMER  NAME],"*RAJSRIYA*",salesTVS[buckets.Bucket],salesforecast[[#This Row],[Bucket]])/1000</f>
        <v/>
      </c>
      <c r="AP7" s="43">
        <f>SUMIFS(stock[MT],stock[Plant],4318,stock[Bucket],salesforecast[[#This Row],[Bucket2]])</f>
        <v/>
      </c>
      <c r="AQ7" s="43">
        <f>SUMIFS(stock[MT],stock[Plant],4731,stock[Bucket],salesforecast[[#This Row],[Bucket2]],stock[LL or CTL],"CTL")</f>
        <v/>
      </c>
      <c r="AR7" s="43">
        <f>SUMIFS(stock[MT],stock[Plant],4731,stock[Bucket],salesforecast[[#This Row],[Bucket2]])-salesforecast[[#This Row],[4731 Stock CTL]]</f>
        <v/>
      </c>
      <c r="AS7" s="43">
        <f>SUMIFS(stock[MT],stock[Plant],8406,stock[Bucket],salesforecast[[#This Row],[Bucket2]])</f>
        <v/>
      </c>
    </row>
    <row r="8" ht="30" customHeight="1" s="584">
      <c r="A8" t="n">
        <v>14</v>
      </c>
      <c r="B8" t="n">
        <v>14</v>
      </c>
      <c r="C8" t="n">
        <v>0</v>
      </c>
      <c r="D8" t="n">
        <v>2.45</v>
      </c>
      <c r="E8" t="inlineStr">
        <is>
          <t>CEW</t>
        </is>
      </c>
      <c r="F8" t="inlineStr">
        <is>
          <t>CEW</t>
        </is>
      </c>
      <c r="G8" t="inlineStr">
        <is>
          <t>HR</t>
        </is>
      </c>
      <c r="H8">
        <f>_xlfn.CONCAT(salesforecast[[#This Row],[OD]],"-",salesforecast[[#This Row],[ID]],"-",salesforecast[[#This Row],[TICKNESS]],"-",salesforecast[[#This Row],[GRADE]],"-",salesforecast[[#This Row],[FC/NFC]])</f>
        <v/>
      </c>
      <c r="I8" s="43">
        <f>SUMIFS(scheduleapr[SCHEDULE IN MT],scheduleapr[Bucket],salesforecast[[#This Row],[Bucket]])</f>
        <v/>
      </c>
      <c r="J8" s="46" t="n">
        <v>2363145</v>
      </c>
      <c r="K8">
        <f>COUNTIF('helper sheet'!$A$1:$A$33,salesforecast[[#This Row],[LL Material Code]])</f>
        <v/>
      </c>
      <c r="N8" t="inlineStr">
        <is>
          <t>TUB-O-C-AUT-AN-FC-14.00X2.450X5.0000</t>
        </is>
      </c>
      <c r="P8" s="47" t="inlineStr">
        <is>
          <t>0788</t>
        </is>
      </c>
      <c r="Q8" t="n">
        <v>0</v>
      </c>
      <c r="R8" t="n">
        <v>1</v>
      </c>
      <c r="S8" t="n">
        <v>1</v>
      </c>
      <c r="T8" s="585">
        <f>ROUNDUP(MAX(salesforecast[[#This Row],[FY25 Average]],salesforecast[[#This Row],[July Schedule]]),0)</f>
        <v/>
      </c>
      <c r="U8" s="585">
        <f>salesforecast[[#This Row],[Forecast]]-salesforecast[[#This Row],[July Schedule]]</f>
        <v/>
      </c>
      <c r="V8">
        <f>salesforecast[[#This Row],[Plant]]</f>
        <v/>
      </c>
      <c r="W8" s="66">
        <f t="array" ref="W8">_xlfn.TEXTJOIN("|",TRUE,(_xlfn.UNIQUE(_xlfn._xlws.FILTER(scheduleapr[CUSTOMER NAME],scheduleapr[Bucket]=salesforecast[[#This Row],[Bucket]]))))</f>
        <v/>
      </c>
      <c r="X8" s="66">
        <f t="array" ref="X8">_xlfn.TEXTJOIN("|",TRUE,(_xlfn.UNIQUE(_xlfn._xlws.SORT(_xlfn._xlws.FILTER(scheduleapr[LENGTH],scheduleapr[Bucket]=salesforecast[[#This Row],[Bucket]])))))</f>
        <v/>
      </c>
      <c r="Y8" s="66">
        <f t="array" ref="Y8">_xlfn.TEXTJOIN("|",TRUE,_xlfn._xlws.FILTER(buckets[Material Codes],(buckets[Bucket]=salesforecast[[#This Row],[Bucket2]])))</f>
        <v/>
      </c>
      <c r="Z8">
        <f>salesforecast[[#This Row],[Bucket]]</f>
        <v/>
      </c>
      <c r="AA8" s="43">
        <f>salesforecast[[#This Row],[July Schedule]]</f>
        <v/>
      </c>
      <c r="AB8" s="43">
        <f>SUMIF(salesTVS[buckets.Bucket],salesforecast[[#This Row],[Bucket]],salesTVS[Quantity])/1000</f>
        <v/>
      </c>
      <c r="AC8" s="43">
        <f>SUMIFS(stock[MT],stock[Bucket],salesforecast[[#This Row],[Bucket]],stock[LL or CTL],"CTL")</f>
        <v/>
      </c>
      <c r="AD8" s="43">
        <f>SUMIF(stock[Bucket],salesforecast[[#This Row],[Bucket]],stock[MT])-salesforecast[[#This Row],[Stock CTL]]</f>
        <v/>
      </c>
      <c r="AE8" s="43" t="e">
        <v>#REF!</v>
      </c>
      <c r="AF8" s="43">
        <f>SUMIF(wip[Bucket],salesforecast[[#This Row],[Bucket]],wip[Stock(Net Wt)])/1000</f>
        <v/>
      </c>
      <c r="AG8" s="43" t="e">
        <v>#REF!</v>
      </c>
      <c r="AH8" s="43">
        <f>SUMIFS(stock[MT],stock[Bucket],salesforecast[[#This Row],[Bucket2]],stock[Plant],"0788")</f>
        <v/>
      </c>
      <c r="AI8" s="43">
        <f>((salesforecast[[#This Row],[WIP]]+salesforecast[[#This Row],[Stock LL]]))/salesforecast[[#This Row],[July Schedule]]*30</f>
        <v/>
      </c>
      <c r="AJ8" s="585">
        <f>salesforecast[[#This Row],[Stock LL]]/salesforecast[[#This Row],[Schedule]]*30</f>
        <v/>
      </c>
      <c r="AK8" s="43">
        <f>SUMIFS(stock[MT],stock[Bucket],salesforecast[[#This Row],[Bucket2]],stock[Plant],"0789",stock[LL or CTL],"LL")</f>
        <v/>
      </c>
      <c r="AL8" s="193">
        <f>(salesforecast[[#This Row],[Sales]])/salesforecast[[#This Row],[Schedule]]</f>
        <v/>
      </c>
      <c r="AM8" s="67">
        <f>SUMIFS(stock[MT],stock[Plant],salesforecast[[#This Row],[Plant]],stock[LL or CTL],"LL",stock[Bucket],salesforecast[[#This Row],[Bucket]])</f>
        <v/>
      </c>
      <c r="AN8" s="43">
        <f>SUMIFS(scheduleapr[SCHEDULE IN MT],scheduleapr[CUSTOMER NAME],"*Rajsriya*",scheduleapr[Bucket],salesforecast[[#This Row],[Bucket]])</f>
        <v/>
      </c>
      <c r="AO8" s="43">
        <f>SUMIFS(salesTVS[Quantity],salesTVS[CUSTOMER  NAME],"*RAJSRIYA*",salesTVS[buckets.Bucket],salesforecast[[#This Row],[Bucket]])/1000</f>
        <v/>
      </c>
      <c r="AP8" s="43">
        <f>SUMIFS(stock[MT],stock[Plant],4318,stock[Bucket],salesforecast[[#This Row],[Bucket2]])</f>
        <v/>
      </c>
      <c r="AQ8" s="43">
        <f>SUMIFS(stock[MT],stock[Plant],4731,stock[Bucket],salesforecast[[#This Row],[Bucket2]],stock[LL or CTL],"CTL")</f>
        <v/>
      </c>
      <c r="AR8" s="43">
        <f>SUMIFS(stock[MT],stock[Plant],4731,stock[Bucket],salesforecast[[#This Row],[Bucket2]])-salesforecast[[#This Row],[4731 Stock CTL]]</f>
        <v/>
      </c>
      <c r="AS8" s="43">
        <f>SUMIFS(stock[MT],stock[Plant],8406,stock[Bucket],salesforecast[[#This Row],[Bucket2]])</f>
        <v/>
      </c>
    </row>
    <row r="9" ht="45" customHeight="1" s="584">
      <c r="A9" t="n">
        <v>15.88</v>
      </c>
      <c r="B9" t="n">
        <v>15.88</v>
      </c>
      <c r="C9" t="n">
        <v>0</v>
      </c>
      <c r="D9" t="n">
        <v>1</v>
      </c>
      <c r="E9" t="inlineStr">
        <is>
          <t>ERW 1</t>
        </is>
      </c>
      <c r="F9" t="inlineStr">
        <is>
          <t>PE</t>
        </is>
      </c>
      <c r="G9" t="inlineStr">
        <is>
          <t>CR</t>
        </is>
      </c>
      <c r="H9">
        <f>_xlfn.CONCAT(salesforecast[[#This Row],[OD]],"-",salesforecast[[#This Row],[ID]],"-",salesforecast[[#This Row],[TICKNESS]],"-",salesforecast[[#This Row],[GRADE]],"-",salesforecast[[#This Row],[FC/NFC]])</f>
        <v/>
      </c>
      <c r="I9" s="43">
        <f>SUMIFS(scheduleapr[SCHEDULE IN MT],scheduleapr[Bucket],salesforecast[[#This Row],[Bucket]])</f>
        <v/>
      </c>
      <c r="J9" t="n">
        <v>3497961</v>
      </c>
      <c r="K9">
        <f>COUNTIF('helper sheet'!$A$1:$A$33,salesforecast[[#This Row],[LL Material Code]])</f>
        <v/>
      </c>
      <c r="N9" t="inlineStr">
        <is>
          <t>TUB-O-N-GEN-AW-PE-15.88X1.000X6.0500</t>
        </is>
      </c>
      <c r="P9" s="47" t="inlineStr">
        <is>
          <t>0789</t>
        </is>
      </c>
      <c r="Q9" t="n">
        <v>0</v>
      </c>
      <c r="R9" t="n">
        <v>10</v>
      </c>
      <c r="S9" t="n">
        <v>2</v>
      </c>
      <c r="T9" s="585">
        <f>ROUNDUP(MAX(salesforecast[[#This Row],[FY25 Average]],salesforecast[[#This Row],[July Schedule]]),0)</f>
        <v/>
      </c>
      <c r="U9" s="585">
        <f>salesforecast[[#This Row],[Forecast]]-salesforecast[[#This Row],[July Schedule]]</f>
        <v/>
      </c>
      <c r="V9">
        <f>salesforecast[[#This Row],[Plant]]</f>
        <v/>
      </c>
      <c r="W9" s="66">
        <f t="array" ref="W9">_xlfn.TEXTJOIN("|",TRUE,(_xlfn.UNIQUE(_xlfn._xlws.FILTER(scheduleapr[CUSTOMER NAME],scheduleapr[Bucket]=salesforecast[[#This Row],[Bucket]]))))</f>
        <v/>
      </c>
      <c r="X9" s="66">
        <f t="array" ref="X9">_xlfn.TEXTJOIN("|",TRUE,(_xlfn.UNIQUE(_xlfn._xlws.SORT(_xlfn._xlws.FILTER(scheduleapr[LENGTH],scheduleapr[Bucket]=salesforecast[[#This Row],[Bucket]])))))</f>
        <v/>
      </c>
      <c r="Y9" s="66">
        <f t="array" ref="Y9">_xlfn.TEXTJOIN("|",TRUE,_xlfn._xlws.FILTER(buckets[Material Codes],(buckets[Bucket]=salesforecast[[#This Row],[Bucket2]])*(buckets[LL or CTL]="CTL")))</f>
        <v/>
      </c>
      <c r="Z9">
        <f>salesforecast[[#This Row],[Bucket]]</f>
        <v/>
      </c>
      <c r="AA9" s="43">
        <f>salesforecast[[#This Row],[July Schedule]]</f>
        <v/>
      </c>
      <c r="AB9" s="43">
        <f>SUMIF(salesTVS[buckets.Bucket],salesforecast[[#This Row],[Bucket]],salesTVS[Quantity])/1000</f>
        <v/>
      </c>
      <c r="AC9" s="43">
        <f>SUMIFS(stock[MT],stock[Bucket],salesforecast[[#This Row],[Bucket]],stock[LL or CTL],"CTL")</f>
        <v/>
      </c>
      <c r="AD9" s="43">
        <f>SUMIF(stock[Bucket],salesforecast[[#This Row],[Bucket]],stock[MT])-salesforecast[[#This Row],[Stock CTL]]</f>
        <v/>
      </c>
      <c r="AE9" s="43" t="e">
        <v>#REF!</v>
      </c>
      <c r="AF9" s="43">
        <f>SUMIF(wip[Bucket],salesforecast[[#This Row],[Bucket]],wip[Stock(Net Wt)])/1000</f>
        <v/>
      </c>
      <c r="AG9" s="64" t="e">
        <v>#REF!</v>
      </c>
      <c r="AH9" s="43">
        <f>SUMIFS(stock[MT],stock[Bucket],salesforecast[[#This Row],[Bucket2]],stock[Plant],"0788")</f>
        <v/>
      </c>
      <c r="AI9" s="43">
        <f>((salesforecast[[#This Row],[WIP]]+salesforecast[[#This Row],[Stock LL]]))/salesforecast[[#This Row],[July Schedule]]*30</f>
        <v/>
      </c>
      <c r="AJ9" s="585">
        <f>salesforecast[[#This Row],[Stock LL]]/salesforecast[[#This Row],[Schedule]]*30</f>
        <v/>
      </c>
      <c r="AK9" s="43">
        <f>SUMIFS(stock[MT],stock[Bucket],salesforecast[[#This Row],[Bucket2]],stock[Plant],"0789",stock[LL or CTL],"LL")</f>
        <v/>
      </c>
      <c r="AL9" s="193">
        <f>(salesforecast[[#This Row],[Sales]])/salesforecast[[#This Row],[Schedule]]</f>
        <v/>
      </c>
      <c r="AM9" s="43">
        <f>SUMIFS(stock[MT],stock[Plant],salesforecast[[#This Row],[Plant]],stock[LL or CTL],"LL",stock[Bucket],salesforecast[[#This Row],[Bucket]])</f>
        <v/>
      </c>
      <c r="AN9" s="43">
        <f>SUMIFS(scheduleapr[SCHEDULE IN MT],scheduleapr[CUSTOMER NAME],"*Rajsriya*",scheduleapr[Bucket],salesforecast[[#This Row],[Bucket]])</f>
        <v/>
      </c>
      <c r="AO9" s="43">
        <f>SUMIFS(salesTVS[Quantity],salesTVS[CUSTOMER  NAME],"*RAJSRIYA*",salesTVS[buckets.Bucket],salesforecast[[#This Row],[Bucket]])/1000</f>
        <v/>
      </c>
      <c r="AP9" s="43">
        <f>SUMIFS(stock[MT],stock[Plant],4318,stock[Bucket],salesforecast[[#This Row],[Bucket2]])</f>
        <v/>
      </c>
      <c r="AQ9" s="43">
        <f>SUMIFS(stock[MT],stock[Plant],4731,stock[Bucket],salesforecast[[#This Row],[Bucket2]],stock[LL or CTL],"CTL")</f>
        <v/>
      </c>
      <c r="AR9" s="43">
        <f>SUMIFS(stock[MT],stock[Plant],4731,stock[Bucket],salesforecast[[#This Row],[Bucket2]])-salesforecast[[#This Row],[4731 Stock CTL]]</f>
        <v/>
      </c>
      <c r="AS9" s="43">
        <f>SUMIFS(stock[MT],stock[Plant],8406,stock[Bucket],salesforecast[[#This Row],[Bucket2]])</f>
        <v/>
      </c>
    </row>
    <row r="10" ht="60" customHeight="1" s="584">
      <c r="A10" t="n">
        <v>15.88</v>
      </c>
      <c r="B10" t="n">
        <v>15.88</v>
      </c>
      <c r="C10" t="n">
        <v>0</v>
      </c>
      <c r="D10" t="n">
        <v>1.2</v>
      </c>
      <c r="E10" t="inlineStr">
        <is>
          <t>ERW 1</t>
        </is>
      </c>
      <c r="F10" t="inlineStr">
        <is>
          <t>PE</t>
        </is>
      </c>
      <c r="G10" t="inlineStr">
        <is>
          <t>CR</t>
        </is>
      </c>
      <c r="H10">
        <f>_xlfn.CONCAT(salesforecast[[#This Row],[OD]],"-",salesforecast[[#This Row],[ID]],"-",salesforecast[[#This Row],[TICKNESS]],"-",salesforecast[[#This Row],[GRADE]],"-",salesforecast[[#This Row],[FC/NFC]])</f>
        <v/>
      </c>
      <c r="I10" s="43">
        <f>SUMIFS(scheduleapr[SCHEDULE IN MT],scheduleapr[Bucket],salesforecast[[#This Row],[Bucket]])</f>
        <v/>
      </c>
      <c r="J10" t="n">
        <v>1940057</v>
      </c>
      <c r="K10">
        <f>COUNTIF('helper sheet'!$A$1:$A$33,salesforecast[[#This Row],[LL Material Code]])</f>
        <v/>
      </c>
      <c r="L10" t="n">
        <v>3570901</v>
      </c>
      <c r="N10" t="inlineStr">
        <is>
          <t>TUB-O-O-AUT-AW-PE-15.88X1.200X6.2000</t>
        </is>
      </c>
      <c r="P10" s="47" t="inlineStr">
        <is>
          <t>0789</t>
        </is>
      </c>
      <c r="Q10" t="n">
        <v>4</v>
      </c>
      <c r="R10" t="n">
        <v>21</v>
      </c>
      <c r="S10" t="n">
        <v>11</v>
      </c>
      <c r="T10" s="585">
        <f>ROUNDUP(MAX(salesforecast[[#This Row],[FY25 Average]],salesforecast[[#This Row],[July Schedule]]),0)</f>
        <v/>
      </c>
      <c r="U10" s="585">
        <f>salesforecast[[#This Row],[Forecast]]-salesforecast[[#This Row],[July Schedule]]</f>
        <v/>
      </c>
      <c r="V10">
        <f>salesforecast[[#This Row],[Plant]]</f>
        <v/>
      </c>
      <c r="W10" s="66">
        <f t="array" ref="W10">_xlfn.TEXTJOIN("|",TRUE,(_xlfn.UNIQUE(_xlfn._xlws.FILTER(scheduleapr[CUSTOMER NAME],scheduleapr[Bucket]=salesforecast[[#This Row],[Bucket]]))))</f>
        <v/>
      </c>
      <c r="X10" s="66">
        <f t="array" ref="X10">_xlfn.TEXTJOIN("|",TRUE,(_xlfn.UNIQUE(_xlfn._xlws.SORT(_xlfn._xlws.FILTER(scheduleapr[LENGTH],scheduleapr[Bucket]=salesforecast[[#This Row],[Bucket]])))))</f>
        <v/>
      </c>
      <c r="Y10" s="66">
        <f t="array" ref="Y10">_xlfn.TEXTJOIN("|",TRUE,_xlfn._xlws.FILTER(buckets[Material Codes],(buckets[Bucket]=salesforecast[[#This Row],[Bucket2]])*(buckets[LL or CTL]="CTL")))</f>
        <v/>
      </c>
      <c r="Z10">
        <f>salesforecast[[#This Row],[Bucket]]</f>
        <v/>
      </c>
      <c r="AA10" s="43">
        <f>salesforecast[[#This Row],[July Schedule]]</f>
        <v/>
      </c>
      <c r="AB10" s="43">
        <f>SUMIF(salesTVS[buckets.Bucket],salesforecast[[#This Row],[Bucket]],salesTVS[Quantity])/1000</f>
        <v/>
      </c>
      <c r="AC10" s="43">
        <f>SUMIFS(stock[MT],stock[Bucket],salesforecast[[#This Row],[Bucket]],stock[LL or CTL],"CTL")</f>
        <v/>
      </c>
      <c r="AD10" s="43">
        <f>SUMIF(stock[Bucket],salesforecast[[#This Row],[Bucket]],stock[MT])-salesforecast[[#This Row],[Stock CTL]]</f>
        <v/>
      </c>
      <c r="AE10" s="43" t="e">
        <v>#REF!</v>
      </c>
      <c r="AF10" s="64">
        <f>SUMIF(wip[Bucket],salesforecast[[#This Row],[Bucket]],wip[Stock(Net Wt)])/1000</f>
        <v/>
      </c>
      <c r="AG10" s="64" t="e">
        <v>#REF!</v>
      </c>
      <c r="AH10" s="43">
        <f>SUMIFS(stock[MT],stock[Bucket],salesforecast[[#This Row],[Bucket2]],stock[Plant],"0788")</f>
        <v/>
      </c>
      <c r="AI10" s="43">
        <f>((salesforecast[[#This Row],[WIP]]+salesforecast[[#This Row],[Stock LL]]))/salesforecast[[#This Row],[July Schedule]]*30</f>
        <v/>
      </c>
      <c r="AJ10" s="585">
        <f>salesforecast[[#This Row],[Stock LL]]/salesforecast[[#This Row],[Schedule]]*30</f>
        <v/>
      </c>
      <c r="AK10" s="43">
        <f>SUMIFS(stock[MT],stock[Bucket],salesforecast[[#This Row],[Bucket2]],stock[Plant],"0789",stock[LL or CTL],"LL")</f>
        <v/>
      </c>
      <c r="AL10" s="193">
        <f>(salesforecast[[#This Row],[Sales]])/salesforecast[[#This Row],[Schedule]]</f>
        <v/>
      </c>
      <c r="AM10" s="43">
        <f>SUMIFS(stock[MT],stock[Plant],salesforecast[[#This Row],[Plant]],stock[LL or CTL],"LL",stock[Bucket],salesforecast[[#This Row],[Bucket]])</f>
        <v/>
      </c>
      <c r="AN10" s="43">
        <f>SUMIFS(scheduleapr[SCHEDULE IN MT],scheduleapr[CUSTOMER NAME],"*Rajsriya*",scheduleapr[Bucket],salesforecast[[#This Row],[Bucket]])</f>
        <v/>
      </c>
      <c r="AO10" s="43">
        <f>SUMIFS(salesTVS[Quantity],salesTVS[CUSTOMER  NAME],"*RAJSRIYA*",salesTVS[buckets.Bucket],salesforecast[[#This Row],[Bucket]])/1000</f>
        <v/>
      </c>
      <c r="AP10" s="43">
        <f>SUMIFS(stock[MT],stock[Plant],4318,stock[Bucket],salesforecast[[#This Row],[Bucket2]])</f>
        <v/>
      </c>
      <c r="AQ10" s="43">
        <f>SUMIFS(stock[MT],stock[Plant],4731,stock[Bucket],salesforecast[[#This Row],[Bucket2]],stock[LL or CTL],"CTL")</f>
        <v/>
      </c>
      <c r="AR10" s="43">
        <f>SUMIFS(stock[MT],stock[Plant],4731,stock[Bucket],salesforecast[[#This Row],[Bucket2]])-salesforecast[[#This Row],[4731 Stock CTL]]</f>
        <v/>
      </c>
      <c r="AS10" s="43">
        <f>SUMIFS(stock[MT],stock[Plant],8406,stock[Bucket],salesforecast[[#This Row],[Bucket2]])</f>
        <v/>
      </c>
    </row>
    <row r="11" ht="60" customHeight="1" s="584">
      <c r="A11" t="n">
        <v>15.88</v>
      </c>
      <c r="B11" t="n">
        <v>15.88</v>
      </c>
      <c r="C11" t="n">
        <v>0</v>
      </c>
      <c r="D11" t="n">
        <v>1.6</v>
      </c>
      <c r="E11" t="inlineStr">
        <is>
          <t>ERW 1</t>
        </is>
      </c>
      <c r="F11" t="inlineStr">
        <is>
          <t>PE</t>
        </is>
      </c>
      <c r="G11" t="inlineStr">
        <is>
          <t>CR</t>
        </is>
      </c>
      <c r="H11">
        <f>_xlfn.CONCAT(salesforecast[[#This Row],[OD]],"-",salesforecast[[#This Row],[ID]],"-",salesforecast[[#This Row],[TICKNESS]],"-",salesforecast[[#This Row],[GRADE]],"-",salesforecast[[#This Row],[FC/NFC]])</f>
        <v/>
      </c>
      <c r="I11" s="43">
        <f>SUMIFS(scheduleapr[SCHEDULE IN MT],scheduleapr[Bucket],salesforecast[[#This Row],[Bucket]])</f>
        <v/>
      </c>
      <c r="J11" t="n">
        <v>3586627</v>
      </c>
      <c r="K11">
        <f>COUNTIF('helper sheet'!$A$1:$A$33,salesforecast[[#This Row],[LL Material Code]])</f>
        <v/>
      </c>
      <c r="N11" t="inlineStr">
        <is>
          <t>TUB-O-N-AUT-AW-PE-15.88X1.600X5.7600</t>
        </is>
      </c>
      <c r="O11" t="inlineStr">
        <is>
          <t>WG</t>
        </is>
      </c>
      <c r="P11" s="47" t="inlineStr">
        <is>
          <t>0789</t>
        </is>
      </c>
      <c r="Q11" t="n">
        <v>1</v>
      </c>
      <c r="R11" t="n">
        <v>15</v>
      </c>
      <c r="S11" t="n">
        <v>8</v>
      </c>
      <c r="T11" s="585">
        <f>ROUNDUP(MAX(salesforecast[[#This Row],[FY25 Average]],salesforecast[[#This Row],[July Schedule]]),0)</f>
        <v/>
      </c>
      <c r="U11" s="585">
        <f>salesforecast[[#This Row],[Forecast]]-salesforecast[[#This Row],[July Schedule]]</f>
        <v/>
      </c>
      <c r="V11">
        <f>salesforecast[[#This Row],[Plant]]</f>
        <v/>
      </c>
      <c r="W11" s="66">
        <f t="array" ref="W11">_xlfn.TEXTJOIN("|",TRUE,(_xlfn.UNIQUE(_xlfn._xlws.FILTER(scheduleapr[CUSTOMER NAME],scheduleapr[Bucket]=salesforecast[[#This Row],[Bucket]]))))</f>
        <v/>
      </c>
      <c r="X11" s="66">
        <f t="array" ref="X11">_xlfn.TEXTJOIN("|",TRUE,(_xlfn.UNIQUE(_xlfn._xlws.SORT(_xlfn._xlws.FILTER(scheduleapr[LENGTH],scheduleapr[Bucket]=salesforecast[[#This Row],[Bucket]])))))</f>
        <v/>
      </c>
      <c r="Y11" s="66">
        <f t="array" ref="Y11">_xlfn.TEXTJOIN("|",TRUE,_xlfn._xlws.FILTER(buckets[Material Codes],(buckets[Bucket]=salesforecast[[#This Row],[Bucket2]])*(buckets[LL or CTL]="CTL")))</f>
        <v/>
      </c>
      <c r="Z11">
        <f>salesforecast[[#This Row],[Bucket]]</f>
        <v/>
      </c>
      <c r="AA11" s="43">
        <f>salesforecast[[#This Row],[July Schedule]]</f>
        <v/>
      </c>
      <c r="AB11" s="43">
        <f>SUMIF(salesTVS[buckets.Bucket],salesforecast[[#This Row],[Bucket]],salesTVS[Quantity])/1000</f>
        <v/>
      </c>
      <c r="AC11" s="43">
        <f>SUMIFS(stock[MT],stock[Bucket],salesforecast[[#This Row],[Bucket]],stock[LL or CTL],"CTL")</f>
        <v/>
      </c>
      <c r="AD11" s="43">
        <f>SUMIF(stock[Bucket],salesforecast[[#This Row],[Bucket]],stock[MT])-salesforecast[[#This Row],[Stock CTL]]</f>
        <v/>
      </c>
      <c r="AE11" s="43" t="e">
        <v>#REF!</v>
      </c>
      <c r="AF11" s="43">
        <f>SUMIF(wip[Bucket],salesforecast[[#This Row],[Bucket]],wip[Stock(Net Wt)])/1000</f>
        <v/>
      </c>
      <c r="AG11" s="64" t="e">
        <v>#REF!</v>
      </c>
      <c r="AH11" s="43">
        <f>SUMIFS(stock[MT],stock[Bucket],salesforecast[[#This Row],[Bucket2]],stock[Plant],"0788")</f>
        <v/>
      </c>
      <c r="AI11" s="43">
        <f>((salesforecast[[#This Row],[WIP]]+salesforecast[[#This Row],[Stock LL]]))/salesforecast[[#This Row],[July Schedule]]*30</f>
        <v/>
      </c>
      <c r="AJ11" s="585">
        <f>salesforecast[[#This Row],[Stock LL]]/salesforecast[[#This Row],[Schedule]]*30</f>
        <v/>
      </c>
      <c r="AK11" s="43">
        <f>SUMIFS(stock[MT],stock[Bucket],salesforecast[[#This Row],[Bucket2]],stock[Plant],"0789",stock[LL or CTL],"LL")</f>
        <v/>
      </c>
      <c r="AL11" s="193">
        <f>(salesforecast[[#This Row],[Sales]])/salesforecast[[#This Row],[Schedule]]</f>
        <v/>
      </c>
      <c r="AM11" s="43">
        <f>SUMIFS(stock[MT],stock[Plant],salesforecast[[#This Row],[Plant]],stock[LL or CTL],"LL",stock[Bucket],salesforecast[[#This Row],[Bucket]])</f>
        <v/>
      </c>
      <c r="AN11" s="43">
        <f>SUMIFS(scheduleapr[SCHEDULE IN MT],scheduleapr[CUSTOMER NAME],"*Rajsriya*",scheduleapr[Bucket],salesforecast[[#This Row],[Bucket]])</f>
        <v/>
      </c>
      <c r="AO11" s="43">
        <f>SUMIFS(salesTVS[Quantity],salesTVS[CUSTOMER  NAME],"*RAJSRIYA*",salesTVS[buckets.Bucket],salesforecast[[#This Row],[Bucket]])/1000</f>
        <v/>
      </c>
      <c r="AP11" s="43">
        <f>SUMIFS(stock[MT],stock[Plant],4318,stock[Bucket],salesforecast[[#This Row],[Bucket2]])</f>
        <v/>
      </c>
      <c r="AQ11" s="43">
        <f>SUMIFS(stock[MT],stock[Plant],4731,stock[Bucket],salesforecast[[#This Row],[Bucket2]],stock[LL or CTL],"CTL")</f>
        <v/>
      </c>
      <c r="AR11" s="43">
        <f>SUMIFS(stock[MT],stock[Plant],4731,stock[Bucket],salesforecast[[#This Row],[Bucket2]])-salesforecast[[#This Row],[4731 Stock CTL]]</f>
        <v/>
      </c>
      <c r="AS11" s="43">
        <f>SUMIFS(stock[MT],stock[Plant],8406,stock[Bucket],salesforecast[[#This Row],[Bucket2]])</f>
        <v/>
      </c>
    </row>
    <row r="12" ht="60" customHeight="1" s="584">
      <c r="A12" t="n">
        <v>15.88</v>
      </c>
      <c r="B12" t="n">
        <v>15.88</v>
      </c>
      <c r="C12" t="n">
        <v>0</v>
      </c>
      <c r="D12" t="n">
        <v>2</v>
      </c>
      <c r="E12" t="inlineStr">
        <is>
          <t>ERW 1</t>
        </is>
      </c>
      <c r="F12" t="inlineStr">
        <is>
          <t>PE</t>
        </is>
      </c>
      <c r="G12" t="inlineStr">
        <is>
          <t>HR</t>
        </is>
      </c>
      <c r="H12">
        <f>_xlfn.CONCAT(salesforecast[[#This Row],[OD]],"-",salesforecast[[#This Row],[ID]],"-",salesforecast[[#This Row],[TICKNESS]],"-",salesforecast[[#This Row],[GRADE]],"-",salesforecast[[#This Row],[FC/NFC]])</f>
        <v/>
      </c>
      <c r="I12" s="43">
        <f>SUMIFS(scheduleapr[SCHEDULE IN MT],scheduleapr[Bucket],salesforecast[[#This Row],[Bucket]])</f>
        <v/>
      </c>
      <c r="J12" t="n">
        <v>1940124</v>
      </c>
      <c r="K12">
        <f>COUNTIF('helper sheet'!$A$1:$A$33,salesforecast[[#This Row],[LL Material Code]])</f>
        <v/>
      </c>
      <c r="N12" t="inlineStr">
        <is>
          <t>TUB-O-O-AUT-AW-PE-15.88X2.000X6.1000</t>
        </is>
      </c>
      <c r="P12" s="47" t="inlineStr">
        <is>
          <t>0789</t>
        </is>
      </c>
      <c r="Q12" t="n">
        <v>2</v>
      </c>
      <c r="R12" t="n">
        <v>11</v>
      </c>
      <c r="S12" t="n">
        <v>6</v>
      </c>
      <c r="T12" s="585">
        <f>ROUNDUP(MAX(salesforecast[[#This Row],[FY25 Average]],salesforecast[[#This Row],[July Schedule]]),0)</f>
        <v/>
      </c>
      <c r="U12" s="585">
        <f>salesforecast[[#This Row],[Forecast]]-salesforecast[[#This Row],[July Schedule]]</f>
        <v/>
      </c>
      <c r="V12">
        <f>salesforecast[[#This Row],[Plant]]</f>
        <v/>
      </c>
      <c r="W12" s="66">
        <f t="array" ref="W12">_xlfn.TEXTJOIN("|",TRUE,(_xlfn.UNIQUE(_xlfn._xlws.FILTER(scheduleapr[CUSTOMER NAME],scheduleapr[Bucket]=salesforecast[[#This Row],[Bucket]]))))</f>
        <v/>
      </c>
      <c r="X12" s="66">
        <f t="array" ref="X12">_xlfn.TEXTJOIN("|",TRUE,(_xlfn.UNIQUE(_xlfn._xlws.SORT(_xlfn._xlws.FILTER(scheduleapr[LENGTH],scheduleapr[Bucket]=salesforecast[[#This Row],[Bucket]])))))</f>
        <v/>
      </c>
      <c r="Y12" s="66">
        <f t="array" ref="Y12">_xlfn.TEXTJOIN("|",TRUE,_xlfn._xlws.FILTER(buckets[Material Codes],(buckets[Bucket]=salesforecast[[#This Row],[Bucket2]])*(buckets[LL or CTL]="CTL")))</f>
        <v/>
      </c>
      <c r="Z12">
        <f>salesforecast[[#This Row],[Bucket]]</f>
        <v/>
      </c>
      <c r="AA12" s="43">
        <f>salesforecast[[#This Row],[July Schedule]]</f>
        <v/>
      </c>
      <c r="AB12" s="43">
        <f>SUMIF(salesTVS[buckets.Bucket],salesforecast[[#This Row],[Bucket]],salesTVS[Quantity])/1000</f>
        <v/>
      </c>
      <c r="AC12" s="43">
        <f>SUMIFS(stock[MT],stock[Bucket],salesforecast[[#This Row],[Bucket]],stock[LL or CTL],"CTL")</f>
        <v/>
      </c>
      <c r="AD12" s="43">
        <f>SUMIF(stock[Bucket],salesforecast[[#This Row],[Bucket]],stock[MT])-salesforecast[[#This Row],[Stock CTL]]</f>
        <v/>
      </c>
      <c r="AE12" s="43" t="e">
        <v>#REF!</v>
      </c>
      <c r="AF12" s="43">
        <f>SUMIF(wip[Bucket],salesforecast[[#This Row],[Bucket]],wip[Stock(Net Wt)])/1000</f>
        <v/>
      </c>
      <c r="AG12" s="43" t="e">
        <v>#REF!</v>
      </c>
      <c r="AH12" s="43">
        <f>SUMIFS(stock[MT],stock[Bucket],salesforecast[[#This Row],[Bucket2]],stock[Plant],"0788")</f>
        <v/>
      </c>
      <c r="AI12" s="43">
        <f>((salesforecast[[#This Row],[WIP]]+salesforecast[[#This Row],[Stock LL]]))/salesforecast[[#This Row],[July Schedule]]*30</f>
        <v/>
      </c>
      <c r="AJ12" s="585">
        <f>salesforecast[[#This Row],[Stock LL]]/salesforecast[[#This Row],[Schedule]]*30</f>
        <v/>
      </c>
      <c r="AK12" s="43">
        <f>SUMIFS(stock[MT],stock[Bucket],salesforecast[[#This Row],[Bucket2]],stock[Plant],"0789",stock[LL or CTL],"LL")</f>
        <v/>
      </c>
      <c r="AL12" s="193">
        <f>(salesforecast[[#This Row],[Sales]])/salesforecast[[#This Row],[Schedule]]</f>
        <v/>
      </c>
      <c r="AM12" s="43">
        <f>SUMIFS(stock[MT],stock[Plant],salesforecast[[#This Row],[Plant]],stock[LL or CTL],"LL",stock[Bucket],salesforecast[[#This Row],[Bucket]])</f>
        <v/>
      </c>
      <c r="AN12" s="43">
        <f>SUMIFS(scheduleapr[SCHEDULE IN MT],scheduleapr[CUSTOMER NAME],"*Rajsriya*",scheduleapr[Bucket],salesforecast[[#This Row],[Bucket]])</f>
        <v/>
      </c>
      <c r="AO12" s="43">
        <f>SUMIFS(salesTVS[Quantity],salesTVS[CUSTOMER  NAME],"*RAJSRIYA*",salesTVS[buckets.Bucket],salesforecast[[#This Row],[Bucket]])/1000</f>
        <v/>
      </c>
      <c r="AP12" s="43">
        <f>SUMIFS(stock[MT],stock[Plant],4318,stock[Bucket],salesforecast[[#This Row],[Bucket2]])</f>
        <v/>
      </c>
      <c r="AQ12" s="43">
        <f>SUMIFS(stock[MT],stock[Plant],4731,stock[Bucket],salesforecast[[#This Row],[Bucket2]],stock[LL or CTL],"CTL")</f>
        <v/>
      </c>
      <c r="AR12" s="43">
        <f>SUMIFS(stock[MT],stock[Plant],4731,stock[Bucket],salesforecast[[#This Row],[Bucket2]])-salesforecast[[#This Row],[4731 Stock CTL]]</f>
        <v/>
      </c>
      <c r="AS12" s="43">
        <f>SUMIFS(stock[MT],stock[Plant],8406,stock[Bucket],salesforecast[[#This Row],[Bucket2]])</f>
        <v/>
      </c>
    </row>
    <row r="13">
      <c r="A13" t="n">
        <v>16.1</v>
      </c>
      <c r="B13" t="n">
        <v>16.1</v>
      </c>
      <c r="C13" t="n">
        <v>10.4</v>
      </c>
      <c r="D13" t="n">
        <v>2.7</v>
      </c>
      <c r="E13" t="inlineStr">
        <is>
          <t>CEW</t>
        </is>
      </c>
      <c r="F13" t="inlineStr">
        <is>
          <t>CEW</t>
        </is>
      </c>
      <c r="G13" t="inlineStr">
        <is>
          <t>HR</t>
        </is>
      </c>
      <c r="H13">
        <f>_xlfn.CONCAT(salesforecast[[#This Row],[OD]],"-",salesforecast[[#This Row],[ID]],"-",salesforecast[[#This Row],[TICKNESS]],"-",salesforecast[[#This Row],[GRADE]],"-",salesforecast[[#This Row],[FC/NFC]])</f>
        <v/>
      </c>
      <c r="I13" s="43">
        <f>SUMIFS(scheduleapr[SCHEDULE IN MT],scheduleapr[Bucket],salesforecast[[#This Row],[Bucket]])</f>
        <v/>
      </c>
      <c r="J13" s="28" t="n">
        <v>2410996</v>
      </c>
      <c r="K13">
        <f>COUNTIF('helper sheet'!$A$1:$A$33,salesforecast[[#This Row],[LL Material Code]])</f>
        <v/>
      </c>
      <c r="N13" t="inlineStr">
        <is>
          <t>TUB-O-C-AUT-AD-FC-16.10X2.700X04-05</t>
        </is>
      </c>
      <c r="P13" s="47" t="inlineStr">
        <is>
          <t>0788</t>
        </is>
      </c>
      <c r="Q13" t="n">
        <v>0</v>
      </c>
      <c r="R13" t="n">
        <v>3</v>
      </c>
      <c r="S13" t="n">
        <v>0</v>
      </c>
      <c r="T13" s="585">
        <f>ROUNDUP(MAX(salesforecast[[#This Row],[FY25 Average]],salesforecast[[#This Row],[July Schedule]]),0)</f>
        <v/>
      </c>
      <c r="U13" s="585">
        <f>salesforecast[[#This Row],[Forecast]]-salesforecast[[#This Row],[July Schedule]]</f>
        <v/>
      </c>
      <c r="V13">
        <f>salesforecast[[#This Row],[Plant]]</f>
        <v/>
      </c>
      <c r="W13" s="66">
        <f t="array" ref="W13">_xlfn.TEXTJOIN("|",TRUE,(_xlfn.UNIQUE(_xlfn._xlws.FILTER(scheduleapr[CUSTOMER NAME],scheduleapr[Bucket]=salesforecast[[#This Row],[Bucket]]))))</f>
        <v/>
      </c>
      <c r="X13" s="66">
        <f t="array" ref="X13">_xlfn.TEXTJOIN("|",TRUE,(_xlfn.UNIQUE(_xlfn._xlws.SORT(_xlfn._xlws.FILTER(scheduleapr[LENGTH],scheduleapr[Bucket]=salesforecast[[#This Row],[Bucket]])))))</f>
        <v/>
      </c>
      <c r="Y13" s="66">
        <f t="array" ref="Y13">_xlfn.TEXTJOIN("|",TRUE,_xlfn._xlws.FILTER(buckets[Material Codes],(buckets[Bucket]=salesforecast[[#This Row],[Bucket2]])))</f>
        <v/>
      </c>
      <c r="Z13">
        <f>salesforecast[[#This Row],[Bucket]]</f>
        <v/>
      </c>
      <c r="AA13" s="43">
        <f>salesforecast[[#This Row],[July Schedule]]</f>
        <v/>
      </c>
      <c r="AB13" s="43">
        <f>SUMIF(salesTVS[buckets.Bucket],salesforecast[[#This Row],[Bucket]],salesTVS[Quantity])/1000</f>
        <v/>
      </c>
      <c r="AC13" s="43">
        <f>SUMIFS(stock[MT],stock[Bucket],salesforecast[[#This Row],[Bucket]],stock[LL or CTL],"CTL")</f>
        <v/>
      </c>
      <c r="AD13" s="43">
        <f>SUMIF(stock[Bucket],salesforecast[[#This Row],[Bucket]],stock[MT])-salesforecast[[#This Row],[Stock CTL]]</f>
        <v/>
      </c>
      <c r="AE13" s="43" t="e">
        <v>#REF!</v>
      </c>
      <c r="AF13" s="43">
        <f>SUMIF(wip[Bucket],salesforecast[[#This Row],[Bucket]],wip[Stock(Net Wt)])/1000</f>
        <v/>
      </c>
      <c r="AG13" s="43" t="e">
        <v>#REF!</v>
      </c>
      <c r="AH13" s="43">
        <f>SUMIFS(stock[MT],stock[Bucket],salesforecast[[#This Row],[Bucket2]],stock[Plant],"0788")</f>
        <v/>
      </c>
      <c r="AI13" s="43">
        <f>((salesforecast[[#This Row],[WIP]]+salesforecast[[#This Row],[Stock LL]]))/salesforecast[[#This Row],[July Schedule]]*30</f>
        <v/>
      </c>
      <c r="AJ13" s="585">
        <f>salesforecast[[#This Row],[Stock LL]]/salesforecast[[#This Row],[Schedule]]*30</f>
        <v/>
      </c>
      <c r="AK13" s="43">
        <f>SUMIFS(stock[MT],stock[Bucket],salesforecast[[#This Row],[Bucket2]],stock[Plant],"0789",stock[LL or CTL],"LL")</f>
        <v/>
      </c>
      <c r="AL13" s="193">
        <f>(salesforecast[[#This Row],[Sales]])/salesforecast[[#This Row],[Schedule]]</f>
        <v/>
      </c>
      <c r="AM13" s="43">
        <f>SUMIFS(stock[MT],stock[Plant],salesforecast[[#This Row],[Plant]],stock[LL or CTL],"LL",stock[Bucket],salesforecast[[#This Row],[Bucket]])</f>
        <v/>
      </c>
      <c r="AN13" s="43">
        <f>SUMIFS(scheduleapr[SCHEDULE IN MT],scheduleapr[CUSTOMER NAME],"*Rajsriya*",scheduleapr[Bucket],salesforecast[[#This Row],[Bucket]])</f>
        <v/>
      </c>
      <c r="AO13" s="43">
        <f>SUMIFS(salesTVS[Quantity],salesTVS[CUSTOMER  NAME],"*RAJSRIYA*",salesTVS[buckets.Bucket],salesforecast[[#This Row],[Bucket]])/1000</f>
        <v/>
      </c>
      <c r="AP13" s="43">
        <f>SUMIFS(stock[MT],stock[Plant],4318,stock[Bucket],salesforecast[[#This Row],[Bucket2]])</f>
        <v/>
      </c>
      <c r="AQ13" s="43">
        <f>SUMIFS(stock[MT],stock[Plant],4731,stock[Bucket],salesforecast[[#This Row],[Bucket2]],stock[LL or CTL],"CTL")</f>
        <v/>
      </c>
      <c r="AR13" s="43">
        <f>SUMIFS(stock[MT],stock[Plant],4731,stock[Bucket],salesforecast[[#This Row],[Bucket2]])-salesforecast[[#This Row],[4731 Stock CTL]]</f>
        <v/>
      </c>
      <c r="AS13" s="43">
        <f>SUMIFS(stock[MT],stock[Plant],8406,stock[Bucket],salesforecast[[#This Row],[Bucket2]])</f>
        <v/>
      </c>
    </row>
    <row r="14" ht="30" customHeight="1" s="584">
      <c r="A14" t="n">
        <v>16.1</v>
      </c>
      <c r="B14" t="n">
        <v>16.1</v>
      </c>
      <c r="C14" t="n">
        <v>0</v>
      </c>
      <c r="D14" t="n">
        <v>2.8</v>
      </c>
      <c r="E14" t="inlineStr">
        <is>
          <t>CEW</t>
        </is>
      </c>
      <c r="F14" t="inlineStr">
        <is>
          <t>CEW</t>
        </is>
      </c>
      <c r="G14" t="inlineStr">
        <is>
          <t>HR</t>
        </is>
      </c>
      <c r="H14">
        <f>_xlfn.CONCAT(salesforecast[[#This Row],[OD]],"-",salesforecast[[#This Row],[ID]],"-",salesforecast[[#This Row],[TICKNESS]],"-",salesforecast[[#This Row],[GRADE]],"-",salesforecast[[#This Row],[FC/NFC]])</f>
        <v/>
      </c>
      <c r="I14" s="43">
        <f>SUMIFS(scheduleapr[SCHEDULE IN MT],scheduleapr[Bucket],salesforecast[[#This Row],[Bucket]])</f>
        <v/>
      </c>
      <c r="J14" s="91" t="n">
        <v>3188792</v>
      </c>
      <c r="K14">
        <f>COUNTIF('helper sheet'!$A$1:$A$33,salesforecast[[#This Row],[LL Material Code]])</f>
        <v/>
      </c>
      <c r="N14" t="inlineStr">
        <is>
          <t>TUB-O-C-AUT-AD-FC-16.00X2.800X04-06</t>
        </is>
      </c>
      <c r="P14" s="47" t="inlineStr">
        <is>
          <t>0788</t>
        </is>
      </c>
      <c r="Q14" t="n">
        <v>0</v>
      </c>
      <c r="R14" t="n">
        <v>5</v>
      </c>
      <c r="S14" t="n">
        <v>2</v>
      </c>
      <c r="T14" s="585">
        <f>ROUNDUP(MAX(salesforecast[[#This Row],[FY25 Average]],salesforecast[[#This Row],[July Schedule]]),0)</f>
        <v/>
      </c>
      <c r="U14" s="585">
        <f>salesforecast[[#This Row],[Forecast]]-salesforecast[[#This Row],[July Schedule]]</f>
        <v/>
      </c>
      <c r="V14">
        <f>salesforecast[[#This Row],[Plant]]</f>
        <v/>
      </c>
      <c r="W14" s="66">
        <f t="array" ref="W14">_xlfn.TEXTJOIN("|",TRUE,(_xlfn.UNIQUE(_xlfn._xlws.FILTER(scheduleapr[CUSTOMER NAME],scheduleapr[Bucket]=salesforecast[[#This Row],[Bucket]]))))</f>
        <v/>
      </c>
      <c r="X14" s="66">
        <f t="array" ref="X14">_xlfn.TEXTJOIN("|",TRUE,(_xlfn.UNIQUE(_xlfn._xlws.SORT(_xlfn._xlws.FILTER(scheduleapr[LENGTH],scheduleapr[Bucket]=salesforecast[[#This Row],[Bucket]])))))</f>
        <v/>
      </c>
      <c r="Y14" s="66">
        <f t="array" ref="Y14">_xlfn.TEXTJOIN("|",TRUE,_xlfn._xlws.FILTER(buckets[Material Codes],(buckets[Bucket]=salesforecast[[#This Row],[Bucket2]])))</f>
        <v/>
      </c>
      <c r="Z14">
        <f>salesforecast[[#This Row],[Bucket]]</f>
        <v/>
      </c>
      <c r="AA14" s="43">
        <f>salesforecast[[#This Row],[July Schedule]]</f>
        <v/>
      </c>
      <c r="AB14" s="43">
        <f>SUMIF(salesTVS[buckets.Bucket],salesforecast[[#This Row],[Bucket]],salesTVS[Quantity])/1000</f>
        <v/>
      </c>
      <c r="AC14" s="43">
        <f>SUMIFS(stock[MT],stock[Bucket],salesforecast[[#This Row],[Bucket]],stock[LL or CTL],"CTL")</f>
        <v/>
      </c>
      <c r="AD14" s="43">
        <f>SUMIF(stock[Bucket],salesforecast[[#This Row],[Bucket]],stock[MT])-salesforecast[[#This Row],[Stock CTL]]</f>
        <v/>
      </c>
      <c r="AE14" s="43" t="e">
        <v>#REF!</v>
      </c>
      <c r="AF14" s="43">
        <f>SUMIF(wip[Bucket],salesforecast[[#This Row],[Bucket]],wip[Stock(Net Wt)])/1000</f>
        <v/>
      </c>
      <c r="AG14" s="43" t="e">
        <v>#REF!</v>
      </c>
      <c r="AH14" s="43">
        <f>SUMIFS(stock[MT],stock[Bucket],salesforecast[[#This Row],[Bucket2]],stock[Plant],"0788")</f>
        <v/>
      </c>
      <c r="AI14" s="43">
        <f>((salesforecast[[#This Row],[WIP]]+salesforecast[[#This Row],[Stock LL]]))/salesforecast[[#This Row],[July Schedule]]*30</f>
        <v/>
      </c>
      <c r="AJ14" s="585">
        <f>salesforecast[[#This Row],[Stock LL]]/salesforecast[[#This Row],[Schedule]]*30</f>
        <v/>
      </c>
      <c r="AK14" s="43">
        <f>SUMIFS(stock[MT],stock[Bucket],salesforecast[[#This Row],[Bucket2]],stock[Plant],"0789",stock[LL or CTL],"LL")</f>
        <v/>
      </c>
      <c r="AL14" s="193">
        <f>(salesforecast[[#This Row],[Sales]])/salesforecast[[#This Row],[Schedule]]</f>
        <v/>
      </c>
      <c r="AM14" s="43">
        <f>SUMIFS(stock[MT],stock[Plant],salesforecast[[#This Row],[Plant]],stock[LL or CTL],"LL",stock[Bucket],salesforecast[[#This Row],[Bucket]])</f>
        <v/>
      </c>
      <c r="AN14" s="43">
        <f>SUMIFS(scheduleapr[SCHEDULE IN MT],scheduleapr[CUSTOMER NAME],"*Rajsriya*",scheduleapr[Bucket],salesforecast[[#This Row],[Bucket]])</f>
        <v/>
      </c>
      <c r="AO14" s="43">
        <f>SUMIFS(salesTVS[Quantity],salesTVS[CUSTOMER  NAME],"*RAJSRIYA*",salesTVS[buckets.Bucket],salesforecast[[#This Row],[Bucket]])/1000</f>
        <v/>
      </c>
      <c r="AP14" s="43">
        <f>SUMIFS(stock[MT],stock[Plant],4318,stock[Bucket],salesforecast[[#This Row],[Bucket2]])</f>
        <v/>
      </c>
      <c r="AQ14" s="43">
        <f>SUMIFS(stock[MT],stock[Plant],4731,stock[Bucket],salesforecast[[#This Row],[Bucket2]],stock[LL or CTL],"CTL")</f>
        <v/>
      </c>
      <c r="AR14" s="43">
        <f>SUMIFS(stock[MT],stock[Plant],4731,stock[Bucket],salesforecast[[#This Row],[Bucket2]])-salesforecast[[#This Row],[4731 Stock CTL]]</f>
        <v/>
      </c>
      <c r="AS14" s="43">
        <f>SUMIFS(stock[MT],stock[Plant],8406,stock[Bucket],salesforecast[[#This Row],[Bucket2]])</f>
        <v/>
      </c>
    </row>
    <row r="15">
      <c r="A15" t="n">
        <v>16.1</v>
      </c>
      <c r="B15" t="n">
        <v>16.1</v>
      </c>
      <c r="C15" t="n">
        <v>10.7</v>
      </c>
      <c r="D15" t="n">
        <v>2.95</v>
      </c>
      <c r="E15" t="inlineStr">
        <is>
          <t>CEW</t>
        </is>
      </c>
      <c r="F15" t="inlineStr">
        <is>
          <t>CEW</t>
        </is>
      </c>
      <c r="G15" t="inlineStr">
        <is>
          <t>HR</t>
        </is>
      </c>
      <c r="H15">
        <f>_xlfn.CONCAT(salesforecast[[#This Row],[OD]],"-",salesforecast[[#This Row],[ID]],"-",salesforecast[[#This Row],[TICKNESS]],"-",salesforecast[[#This Row],[GRADE]],"-",salesforecast[[#This Row],[FC/NFC]])</f>
        <v/>
      </c>
      <c r="I15" s="43">
        <f>SUMIFS(scheduleapr[SCHEDULE IN MT],scheduleapr[Bucket],salesforecast[[#This Row],[Bucket]])</f>
        <v/>
      </c>
      <c r="J15" s="46" t="n">
        <v>2410995</v>
      </c>
      <c r="K15">
        <f>COUNTIF('helper sheet'!$A$1:$A$33,salesforecast[[#This Row],[LL Material Code]])</f>
        <v/>
      </c>
      <c r="N15" t="inlineStr">
        <is>
          <t>TUB-O-C-AUT-AD-FC-16.10X2.950X04-05</t>
        </is>
      </c>
      <c r="P15" s="47" t="inlineStr">
        <is>
          <t>0788</t>
        </is>
      </c>
      <c r="Q15" t="n">
        <v>0</v>
      </c>
      <c r="R15" t="n">
        <v>1</v>
      </c>
      <c r="S15" t="n">
        <v>0</v>
      </c>
      <c r="T15" s="585">
        <f>ROUNDUP(MAX(salesforecast[[#This Row],[FY25 Average]],salesforecast[[#This Row],[July Schedule]]),0)</f>
        <v/>
      </c>
      <c r="U15" s="585">
        <f>salesforecast[[#This Row],[Forecast]]-salesforecast[[#This Row],[July Schedule]]</f>
        <v/>
      </c>
      <c r="V15">
        <f>salesforecast[[#This Row],[Plant]]</f>
        <v/>
      </c>
      <c r="W15" s="66">
        <f t="array" ref="W15">_xlfn.TEXTJOIN("|",TRUE,(_xlfn.UNIQUE(_xlfn._xlws.FILTER(scheduleapr[CUSTOMER NAME],scheduleapr[Bucket]=salesforecast[[#This Row],[Bucket]]))))</f>
        <v/>
      </c>
      <c r="X15" s="66">
        <f t="array" ref="X15">_xlfn.TEXTJOIN("|",TRUE,(_xlfn.UNIQUE(_xlfn._xlws.SORT(_xlfn._xlws.FILTER(scheduleapr[LENGTH],scheduleapr[Bucket]=salesforecast[[#This Row],[Bucket]])))))</f>
        <v/>
      </c>
      <c r="Y15" s="66">
        <f t="array" ref="Y15">_xlfn.TEXTJOIN("|",TRUE,_xlfn._xlws.FILTER(buckets[Material Codes],(buckets[Bucket]=salesforecast[[#This Row],[Bucket2]])))</f>
        <v/>
      </c>
      <c r="Z15">
        <f>salesforecast[[#This Row],[Bucket]]</f>
        <v/>
      </c>
      <c r="AA15" s="43">
        <f>salesforecast[[#This Row],[July Schedule]]</f>
        <v/>
      </c>
      <c r="AB15" s="43">
        <f>SUMIF(salesTVS[buckets.Bucket],salesforecast[[#This Row],[Bucket]],salesTVS[Quantity])/1000</f>
        <v/>
      </c>
      <c r="AC15" s="43">
        <f>SUMIFS(stock[MT],stock[Bucket],salesforecast[[#This Row],[Bucket]],stock[LL or CTL],"CTL")</f>
        <v/>
      </c>
      <c r="AD15" s="43">
        <f>SUMIF(stock[Bucket],salesforecast[[#This Row],[Bucket]],stock[MT])-salesforecast[[#This Row],[Stock CTL]]</f>
        <v/>
      </c>
      <c r="AE15" s="43" t="e">
        <v>#REF!</v>
      </c>
      <c r="AF15" s="43">
        <f>SUMIF(wip[Bucket],salesforecast[[#This Row],[Bucket]],wip[Stock(Net Wt)])/1000</f>
        <v/>
      </c>
      <c r="AG15" s="43" t="e">
        <v>#REF!</v>
      </c>
      <c r="AH15" s="43">
        <f>SUMIFS(stock[MT],stock[Bucket],salesforecast[[#This Row],[Bucket2]],stock[Plant],"0788")</f>
        <v/>
      </c>
      <c r="AI15" s="43">
        <f>((salesforecast[[#This Row],[WIP]]+salesforecast[[#This Row],[Stock LL]]))/salesforecast[[#This Row],[July Schedule]]*30</f>
        <v/>
      </c>
      <c r="AJ15" s="585">
        <f>salesforecast[[#This Row],[Stock LL]]/salesforecast[[#This Row],[Schedule]]*30</f>
        <v/>
      </c>
      <c r="AK15" s="43">
        <f>SUMIFS(stock[MT],stock[Bucket],salesforecast[[#This Row],[Bucket2]],stock[Plant],"0789",stock[LL or CTL],"LL")</f>
        <v/>
      </c>
      <c r="AL15" s="193">
        <f>(salesforecast[[#This Row],[Sales]])/salesforecast[[#This Row],[Schedule]]</f>
        <v/>
      </c>
      <c r="AM15" s="67">
        <f>SUMIFS(stock[MT],stock[Plant],salesforecast[[#This Row],[Plant]],stock[LL or CTL],"LL",stock[Bucket],salesforecast[[#This Row],[Bucket]])</f>
        <v/>
      </c>
      <c r="AN15" s="43">
        <f>SUMIFS(scheduleapr[SCHEDULE IN MT],scheduleapr[CUSTOMER NAME],"*Rajsriya*",scheduleapr[Bucket],salesforecast[[#This Row],[Bucket]])</f>
        <v/>
      </c>
      <c r="AO15" s="43">
        <f>SUMIFS(salesTVS[Quantity],salesTVS[CUSTOMER  NAME],"*RAJSRIYA*",salesTVS[buckets.Bucket],salesforecast[[#This Row],[Bucket]])/1000</f>
        <v/>
      </c>
      <c r="AP15" s="43">
        <f>SUMIFS(stock[MT],stock[Plant],4318,stock[Bucket],salesforecast[[#This Row],[Bucket2]])</f>
        <v/>
      </c>
      <c r="AQ15" s="43">
        <f>SUMIFS(stock[MT],stock[Plant],4731,stock[Bucket],salesforecast[[#This Row],[Bucket2]],stock[LL or CTL],"CTL")</f>
        <v/>
      </c>
      <c r="AR15" s="43">
        <f>SUMIFS(stock[MT],stock[Plant],4731,stock[Bucket],salesforecast[[#This Row],[Bucket2]])-salesforecast[[#This Row],[4731 Stock CTL]]</f>
        <v/>
      </c>
      <c r="AS15" s="43">
        <f>SUMIFS(stock[MT],stock[Plant],8406,stock[Bucket],salesforecast[[#This Row],[Bucket2]])</f>
        <v/>
      </c>
    </row>
    <row r="16" ht="30" customHeight="1" s="584">
      <c r="A16" t="n">
        <v>17.3</v>
      </c>
      <c r="B16" t="n">
        <v>17.3</v>
      </c>
      <c r="C16" t="n">
        <v>0</v>
      </c>
      <c r="D16" t="n">
        <v>1.2</v>
      </c>
      <c r="E16" t="inlineStr">
        <is>
          <t>ERW 1</t>
        </is>
      </c>
      <c r="F16" t="inlineStr">
        <is>
          <t>PE</t>
        </is>
      </c>
      <c r="G16" t="inlineStr">
        <is>
          <t>CR</t>
        </is>
      </c>
      <c r="H16">
        <f>_xlfn.CONCAT(salesforecast[[#This Row],[OD]],"-",salesforecast[[#This Row],[ID]],"-",salesforecast[[#This Row],[TICKNESS]],"-",salesforecast[[#This Row],[GRADE]],"-",salesforecast[[#This Row],[FC/NFC]])</f>
        <v/>
      </c>
      <c r="I16" s="43">
        <f>SUMIFS(scheduleapr[SCHEDULE IN MT],scheduleapr[Bucket],salesforecast[[#This Row],[Bucket]])</f>
        <v/>
      </c>
      <c r="J16" t="n">
        <v>3702201</v>
      </c>
      <c r="K16">
        <f>COUNTIF('helper sheet'!$A$1:$A$33,salesforecast[[#This Row],[LL Material Code]])</f>
        <v/>
      </c>
      <c r="N16" t="inlineStr">
        <is>
          <t>TUB-O-N-AUT-AW-PE-17.30X1.200X6.0000</t>
        </is>
      </c>
      <c r="P16" s="47" t="inlineStr">
        <is>
          <t>0788</t>
        </is>
      </c>
      <c r="Q16" t="n">
        <v>1</v>
      </c>
      <c r="R16" t="n">
        <v>5</v>
      </c>
      <c r="S16" t="n">
        <v>2</v>
      </c>
      <c r="T16" s="585">
        <f>ROUNDUP(MAX(salesforecast[[#This Row],[FY25 Average]],salesforecast[[#This Row],[July Schedule]]),0)</f>
        <v/>
      </c>
      <c r="U16" s="585">
        <f>salesforecast[[#This Row],[Forecast]]-salesforecast[[#This Row],[July Schedule]]</f>
        <v/>
      </c>
      <c r="V16">
        <f>salesforecast[[#This Row],[Plant]]</f>
        <v/>
      </c>
      <c r="W16" s="66">
        <f t="array" ref="W16">_xlfn.TEXTJOIN("|",TRUE,(_xlfn.UNIQUE(_xlfn._xlws.FILTER(scheduleapr[CUSTOMER NAME],scheduleapr[Bucket]=salesforecast[[#This Row],[Bucket]]))))</f>
        <v/>
      </c>
      <c r="X16" s="66">
        <f t="array" ref="X16">_xlfn.TEXTJOIN("|",TRUE,(_xlfn.UNIQUE(_xlfn._xlws.SORT(_xlfn._xlws.FILTER(scheduleapr[LENGTH],scheduleapr[Bucket]=salesforecast[[#This Row],[Bucket]])))))</f>
        <v/>
      </c>
      <c r="Y16" s="66">
        <f t="array" ref="Y16">_xlfn.TEXTJOIN("|",TRUE,_xlfn._xlws.FILTER(buckets[Material Codes],(buckets[Bucket]=salesforecast[[#This Row],[Bucket2]])))</f>
        <v/>
      </c>
      <c r="Z16">
        <f>salesforecast[[#This Row],[Bucket]]</f>
        <v/>
      </c>
      <c r="AA16" s="43">
        <f>salesforecast[[#This Row],[July Schedule]]</f>
        <v/>
      </c>
      <c r="AB16" s="43">
        <f>SUMIF(salesTVS[buckets.Bucket],salesforecast[[#This Row],[Bucket]],salesTVS[Quantity])/1000</f>
        <v/>
      </c>
      <c r="AC16" s="43">
        <f>SUMIFS(stock[MT],stock[Bucket],salesforecast[[#This Row],[Bucket]],stock[LL or CTL],"CTL")</f>
        <v/>
      </c>
      <c r="AD16" s="43">
        <f>SUMIF(stock[Bucket],salesforecast[[#This Row],[Bucket]],stock[MT])-salesforecast[[#This Row],[Stock CTL]]</f>
        <v/>
      </c>
      <c r="AE16" s="43" t="e">
        <v>#REF!</v>
      </c>
      <c r="AF16" s="43">
        <f>SUMIF(wip[Bucket],salesforecast[[#This Row],[Bucket]],wip[Stock(Net Wt)])/1000</f>
        <v/>
      </c>
      <c r="AG16" s="43" t="e">
        <v>#REF!</v>
      </c>
      <c r="AH16" s="43">
        <f>SUMIFS(stock[MT],stock[Bucket],salesforecast[[#This Row],[Bucket2]],stock[Plant],"0788")</f>
        <v/>
      </c>
      <c r="AI16" s="43">
        <f>((salesforecast[[#This Row],[WIP]]+salesforecast[[#This Row],[Stock LL]]))/salesforecast[[#This Row],[July Schedule]]*30</f>
        <v/>
      </c>
      <c r="AJ16" s="585">
        <f>salesforecast[[#This Row],[Stock LL]]/salesforecast[[#This Row],[Schedule]]*30</f>
        <v/>
      </c>
      <c r="AK16" s="43">
        <f>SUMIFS(stock[MT],stock[Bucket],salesforecast[[#This Row],[Bucket2]],stock[Plant],"0789",stock[LL or CTL],"LL")</f>
        <v/>
      </c>
      <c r="AL16" s="193">
        <f>(salesforecast[[#This Row],[Sales]])/salesforecast[[#This Row],[Schedule]]</f>
        <v/>
      </c>
      <c r="AM16" s="43">
        <f>SUMIFS(stock[MT],stock[Plant],salesforecast[[#This Row],[Plant]],stock[LL or CTL],"LL",stock[Bucket],salesforecast[[#This Row],[Bucket]])</f>
        <v/>
      </c>
      <c r="AN16" s="43">
        <f>SUMIFS(scheduleapr[SCHEDULE IN MT],scheduleapr[CUSTOMER NAME],"*Rajsriya*",scheduleapr[Bucket],salesforecast[[#This Row],[Bucket]])</f>
        <v/>
      </c>
      <c r="AO16" s="43">
        <f>SUMIFS(salesTVS[Quantity],salesTVS[CUSTOMER  NAME],"*RAJSRIYA*",salesTVS[buckets.Bucket],salesforecast[[#This Row],[Bucket]])/1000</f>
        <v/>
      </c>
      <c r="AP16" s="43">
        <f>SUMIFS(stock[MT],stock[Plant],4318,stock[Bucket],salesforecast[[#This Row],[Bucket2]])</f>
        <v/>
      </c>
      <c r="AQ16" s="43">
        <f>SUMIFS(stock[MT],stock[Plant],4731,stock[Bucket],salesforecast[[#This Row],[Bucket2]],stock[LL or CTL],"CTL")</f>
        <v/>
      </c>
      <c r="AR16" s="43">
        <f>SUMIFS(stock[MT],stock[Plant],4731,stock[Bucket],salesforecast[[#This Row],[Bucket2]])-salesforecast[[#This Row],[4731 Stock CTL]]</f>
        <v/>
      </c>
      <c r="AS16" s="43">
        <f>SUMIFS(stock[MT],stock[Plant],8406,stock[Bucket],salesforecast[[#This Row],[Bucket2]])</f>
        <v/>
      </c>
    </row>
    <row r="17" ht="60" customHeight="1" s="584">
      <c r="A17" t="n">
        <v>17.3</v>
      </c>
      <c r="B17" t="n">
        <v>17.3</v>
      </c>
      <c r="C17" t="n">
        <v>0</v>
      </c>
      <c r="D17" t="n">
        <v>1.6</v>
      </c>
      <c r="E17" t="inlineStr">
        <is>
          <t>ERW 1</t>
        </is>
      </c>
      <c r="F17" t="inlineStr">
        <is>
          <t>PE</t>
        </is>
      </c>
      <c r="G17" t="inlineStr">
        <is>
          <t>CR</t>
        </is>
      </c>
      <c r="H17">
        <f>_xlfn.CONCAT(salesforecast[[#This Row],[OD]],"-",salesforecast[[#This Row],[ID]],"-",salesforecast[[#This Row],[TICKNESS]],"-",salesforecast[[#This Row],[GRADE]],"-",salesforecast[[#This Row],[FC/NFC]])</f>
        <v/>
      </c>
      <c r="I17" s="43">
        <f>SUMIFS(scheduleapr[SCHEDULE IN MT],scheduleapr[Bucket],salesforecast[[#This Row],[Bucket]])</f>
        <v/>
      </c>
      <c r="J17" t="n">
        <v>1931823</v>
      </c>
      <c r="K17">
        <f>COUNTIF('helper sheet'!$A$1:$A$33,salesforecast[[#This Row],[LL Material Code]])</f>
        <v/>
      </c>
      <c r="N17" t="inlineStr">
        <is>
          <t>TUB-O-N-AUT-AW-PE-17.30X1.600X6.0000</t>
        </is>
      </c>
      <c r="O17" t="inlineStr">
        <is>
          <t>D</t>
        </is>
      </c>
      <c r="P17" s="47" t="inlineStr">
        <is>
          <t>0788</t>
        </is>
      </c>
      <c r="Q17" t="n">
        <v>5</v>
      </c>
      <c r="R17" t="n">
        <v>19</v>
      </c>
      <c r="S17" t="n">
        <v>12</v>
      </c>
      <c r="T17" s="585">
        <f>ROUNDUP(MAX(salesforecast[[#This Row],[FY25 Average]],salesforecast[[#This Row],[July Schedule]]),0)</f>
        <v/>
      </c>
      <c r="U17" s="585">
        <f>salesforecast[[#This Row],[Forecast]]-salesforecast[[#This Row],[July Schedule]]</f>
        <v/>
      </c>
      <c r="V17">
        <f>salesforecast[[#This Row],[Plant]]</f>
        <v/>
      </c>
      <c r="W17" s="66">
        <f t="array" ref="W17">_xlfn.TEXTJOIN("|",TRUE,(_xlfn.UNIQUE(_xlfn._xlws.FILTER(scheduleapr[CUSTOMER NAME],scheduleapr[Bucket]=salesforecast[[#This Row],[Bucket]]))))</f>
        <v/>
      </c>
      <c r="X17" s="66">
        <f t="array" ref="X17">_xlfn.TEXTJOIN("|",TRUE,(_xlfn.UNIQUE(_xlfn._xlws.SORT(_xlfn._xlws.FILTER(scheduleapr[LENGTH],scheduleapr[Bucket]=salesforecast[[#This Row],[Bucket]])))))</f>
        <v/>
      </c>
      <c r="Y17" s="66">
        <f t="array" ref="Y17">_xlfn.TEXTJOIN("|",TRUE,_xlfn._xlws.FILTER(buckets[Material Codes],(buckets[Bucket]=salesforecast[[#This Row],[Bucket2]])))</f>
        <v/>
      </c>
      <c r="Z17">
        <f>salesforecast[[#This Row],[Bucket]]</f>
        <v/>
      </c>
      <c r="AA17" s="43">
        <f>salesforecast[[#This Row],[July Schedule]]</f>
        <v/>
      </c>
      <c r="AB17" s="43">
        <f>SUMIF(salesTVS[buckets.Bucket],salesforecast[[#This Row],[Bucket]],salesTVS[Quantity])/1000</f>
        <v/>
      </c>
      <c r="AC17" s="43">
        <f>SUMIFS(stock[MT],stock[Bucket],salesforecast[[#This Row],[Bucket]],stock[LL or CTL],"CTL")</f>
        <v/>
      </c>
      <c r="AD17" s="43">
        <f>SUMIF(stock[Bucket],salesforecast[[#This Row],[Bucket]],stock[MT])-salesforecast[[#This Row],[Stock CTL]]</f>
        <v/>
      </c>
      <c r="AE17" s="43" t="e">
        <v>#REF!</v>
      </c>
      <c r="AF17" s="43">
        <f>SUMIF(wip[Bucket],salesforecast[[#This Row],[Bucket]],wip[Stock(Net Wt)])/1000</f>
        <v/>
      </c>
      <c r="AG17" s="43" t="e">
        <v>#REF!</v>
      </c>
      <c r="AH17" s="43">
        <f>SUMIFS(stock[MT],stock[Bucket],salesforecast[[#This Row],[Bucket2]],stock[Plant],"0788")</f>
        <v/>
      </c>
      <c r="AI17" s="43">
        <f>((salesforecast[[#This Row],[WIP]]+salesforecast[[#This Row],[Stock LL]]))/salesforecast[[#This Row],[July Schedule]]*30</f>
        <v/>
      </c>
      <c r="AJ17" s="585">
        <f>salesforecast[[#This Row],[Stock LL]]/salesforecast[[#This Row],[Schedule]]*30</f>
        <v/>
      </c>
      <c r="AK17" s="43">
        <f>SUMIFS(stock[MT],stock[Bucket],salesforecast[[#This Row],[Bucket2]],stock[Plant],"0789",stock[LL or CTL],"LL")</f>
        <v/>
      </c>
      <c r="AL17" s="193">
        <f>(salesforecast[[#This Row],[Sales]])/salesforecast[[#This Row],[Schedule]]</f>
        <v/>
      </c>
      <c r="AM17" s="43">
        <f>SUMIFS(stock[MT],stock[Plant],salesforecast[[#This Row],[Plant]],stock[LL or CTL],"LL",stock[Bucket],salesforecast[[#This Row],[Bucket]])</f>
        <v/>
      </c>
      <c r="AN17" s="43">
        <f>SUMIFS(scheduleapr[SCHEDULE IN MT],scheduleapr[CUSTOMER NAME],"*Rajsriya*",scheduleapr[Bucket],salesforecast[[#This Row],[Bucket]])</f>
        <v/>
      </c>
      <c r="AO17" s="43">
        <f>SUMIFS(salesTVS[Quantity],salesTVS[CUSTOMER  NAME],"*RAJSRIYA*",salesTVS[buckets.Bucket],salesforecast[[#This Row],[Bucket]])/1000</f>
        <v/>
      </c>
      <c r="AP17" s="43">
        <f>SUMIFS(stock[MT],stock[Plant],4318,stock[Bucket],salesforecast[[#This Row],[Bucket2]])</f>
        <v/>
      </c>
      <c r="AQ17" s="43">
        <f>SUMIFS(stock[MT],stock[Plant],4731,stock[Bucket],salesforecast[[#This Row],[Bucket2]],stock[LL or CTL],"CTL")</f>
        <v/>
      </c>
      <c r="AR17" s="43">
        <f>SUMIFS(stock[MT],stock[Plant],4731,stock[Bucket],salesforecast[[#This Row],[Bucket2]])-salesforecast[[#This Row],[4731 Stock CTL]]</f>
        <v/>
      </c>
      <c r="AS17" s="43">
        <f>SUMIFS(stock[MT],stock[Plant],8406,stock[Bucket],salesforecast[[#This Row],[Bucket2]])</f>
        <v/>
      </c>
    </row>
    <row r="18">
      <c r="A18" t="n">
        <v>18</v>
      </c>
      <c r="B18" t="n">
        <v>18</v>
      </c>
      <c r="C18" t="n">
        <v>10.8</v>
      </c>
      <c r="D18" t="n">
        <v>3.6</v>
      </c>
      <c r="E18" t="inlineStr">
        <is>
          <t>CEW</t>
        </is>
      </c>
      <c r="F18" t="inlineStr">
        <is>
          <t>CEW</t>
        </is>
      </c>
      <c r="G18" t="inlineStr">
        <is>
          <t>HR</t>
        </is>
      </c>
      <c r="H18">
        <f>_xlfn.CONCAT(salesforecast[[#This Row],[OD]],"-",salesforecast[[#This Row],[ID]],"-",salesforecast[[#This Row],[TICKNESS]],"-",salesforecast[[#This Row],[GRADE]],"-",salesforecast[[#This Row],[FC/NFC]])</f>
        <v/>
      </c>
      <c r="I18" s="43">
        <f>SUMIFS(scheduleapr[SCHEDULE IN MT],scheduleapr[Bucket],salesforecast[[#This Row],[Bucket]])</f>
        <v/>
      </c>
      <c r="J18" t="n">
        <v>2410642</v>
      </c>
      <c r="K18">
        <f>COUNTIF('helper sheet'!$A$1:$A$33,salesforecast[[#This Row],[LL Material Code]])</f>
        <v/>
      </c>
      <c r="N18" t="inlineStr">
        <is>
          <t>TUB-O-C-AUT-AD-FC-18.00X3.600X04-05</t>
        </is>
      </c>
      <c r="P18" s="47" t="inlineStr">
        <is>
          <t>0788</t>
        </is>
      </c>
      <c r="Q18" t="n">
        <v>0</v>
      </c>
      <c r="R18" t="n">
        <v>2</v>
      </c>
      <c r="S18" t="n">
        <v>0</v>
      </c>
      <c r="T18" s="585">
        <f>ROUNDUP(MAX(salesforecast[[#This Row],[FY25 Average]],salesforecast[[#This Row],[July Schedule]]),0)</f>
        <v/>
      </c>
      <c r="U18" s="585">
        <f>salesforecast[[#This Row],[Forecast]]-salesforecast[[#This Row],[July Schedule]]</f>
        <v/>
      </c>
      <c r="V18">
        <f>salesforecast[[#This Row],[Plant]]</f>
        <v/>
      </c>
      <c r="W18" s="66">
        <f t="array" ref="W18">_xlfn.TEXTJOIN("|",TRUE,(_xlfn.UNIQUE(_xlfn._xlws.FILTER(scheduleapr[CUSTOMER NAME],scheduleapr[Bucket]=salesforecast[[#This Row],[Bucket]]))))</f>
        <v/>
      </c>
      <c r="X18" s="66">
        <f t="array" ref="X18">_xlfn.TEXTJOIN("|",TRUE,(_xlfn.UNIQUE(_xlfn._xlws.SORT(_xlfn._xlws.FILTER(scheduleapr[LENGTH],scheduleapr[Bucket]=salesforecast[[#This Row],[Bucket]])))))</f>
        <v/>
      </c>
      <c r="Y18" s="66">
        <f t="array" ref="Y18">_xlfn.TEXTJOIN("|",TRUE,_xlfn._xlws.FILTER(buckets[Material Codes],(buckets[Bucket]=salesforecast[[#This Row],[Bucket2]])))</f>
        <v/>
      </c>
      <c r="Z18">
        <f>salesforecast[[#This Row],[Bucket]]</f>
        <v/>
      </c>
      <c r="AA18" s="43">
        <f>salesforecast[[#This Row],[July Schedule]]</f>
        <v/>
      </c>
      <c r="AB18" s="43">
        <f>SUMIF(salesTVS[buckets.Bucket],salesforecast[[#This Row],[Bucket]],salesTVS[Quantity])/1000</f>
        <v/>
      </c>
      <c r="AC18" s="43">
        <f>SUMIFS(stock[MT],stock[Bucket],salesforecast[[#This Row],[Bucket]],stock[LL or CTL],"CTL")</f>
        <v/>
      </c>
      <c r="AD18" s="43">
        <f>SUMIF(stock[Bucket],salesforecast[[#This Row],[Bucket]],stock[MT])-salesforecast[[#This Row],[Stock CTL]]</f>
        <v/>
      </c>
      <c r="AE18" s="43" t="e">
        <v>#REF!</v>
      </c>
      <c r="AF18" s="43">
        <f>SUMIF(wip[Bucket],salesforecast[[#This Row],[Bucket]],wip[Stock(Net Wt)])/1000</f>
        <v/>
      </c>
      <c r="AG18" s="43" t="e">
        <v>#REF!</v>
      </c>
      <c r="AH18" s="43">
        <f>SUMIFS(stock[MT],stock[Bucket],salesforecast[[#This Row],[Bucket2]],stock[Plant],"0788")</f>
        <v/>
      </c>
      <c r="AI18" s="43">
        <f>((salesforecast[[#This Row],[WIP]]+salesforecast[[#This Row],[Stock LL]]))/salesforecast[[#This Row],[July Schedule]]*30</f>
        <v/>
      </c>
      <c r="AJ18">
        <f>salesforecast[[#This Row],[Stock LL]]/salesforecast[[#This Row],[Schedule]]*30</f>
        <v/>
      </c>
      <c r="AK18" s="43">
        <f>SUMIFS(stock[MT],stock[Bucket],salesforecast[[#This Row],[Bucket2]],stock[Plant],"0789",stock[LL or CTL],"LL")</f>
        <v/>
      </c>
      <c r="AL18" s="193">
        <f>(salesforecast[[#This Row],[Sales]])/salesforecast[[#This Row],[Schedule]]</f>
        <v/>
      </c>
      <c r="AM18" s="43">
        <f>SUMIFS(stock[MT],stock[Plant],salesforecast[[#This Row],[Plant]],stock[LL or CTL],"LL",stock[Bucket],salesforecast[[#This Row],[Bucket]])</f>
        <v/>
      </c>
      <c r="AN18" s="43">
        <f>SUMIFS(scheduleapr[SCHEDULE IN MT],scheduleapr[CUSTOMER NAME],"*Rajsriya*",scheduleapr[Bucket],salesforecast[[#This Row],[Bucket]])</f>
        <v/>
      </c>
      <c r="AO18" s="43">
        <f>SUMIFS(salesTVS[Quantity],salesTVS[CUSTOMER  NAME],"*RAJSRIYA*",salesTVS[buckets.Bucket],salesforecast[[#This Row],[Bucket]])/1000</f>
        <v/>
      </c>
      <c r="AP18" s="43">
        <f>SUMIFS(stock[MT],stock[Plant],4318,stock[Bucket],salesforecast[[#This Row],[Bucket2]])</f>
        <v/>
      </c>
      <c r="AQ18" s="43">
        <f>SUMIFS(stock[MT],stock[Plant],4731,stock[Bucket],salesforecast[[#This Row],[Bucket2]],stock[LL or CTL],"CTL")</f>
        <v/>
      </c>
      <c r="AR18" s="43">
        <f>SUMIFS(stock[MT],stock[Plant],4731,stock[Bucket],salesforecast[[#This Row],[Bucket2]])-salesforecast[[#This Row],[4731 Stock CTL]]</f>
        <v/>
      </c>
      <c r="AS18" s="43">
        <f>SUMIFS(stock[MT],stock[Plant],8406,stock[Bucket],salesforecast[[#This Row],[Bucket2]])</f>
        <v/>
      </c>
    </row>
    <row r="19">
      <c r="A19" t="n">
        <v>18.2</v>
      </c>
      <c r="B19" t="n">
        <v>18.2</v>
      </c>
      <c r="C19" t="n">
        <v>0</v>
      </c>
      <c r="D19" t="n">
        <v>1</v>
      </c>
      <c r="E19" t="inlineStr">
        <is>
          <t>ERW 1</t>
        </is>
      </c>
      <c r="F19" t="inlineStr">
        <is>
          <t>PE</t>
        </is>
      </c>
      <c r="G19" t="inlineStr">
        <is>
          <t>CR</t>
        </is>
      </c>
      <c r="H19">
        <f>_xlfn.CONCAT(salesforecast[[#This Row],[OD]],"-",salesforecast[[#This Row],[ID]],"-",salesforecast[[#This Row],[TICKNESS]],"-",salesforecast[[#This Row],[GRADE]],"-",salesforecast[[#This Row],[FC/NFC]])</f>
        <v/>
      </c>
      <c r="I19" s="43">
        <f>SUMIFS(scheduleapr[SCHEDULE IN MT],scheduleapr[Bucket],salesforecast[[#This Row],[Bucket]])</f>
        <v/>
      </c>
      <c r="J19" s="45" t="n">
        <v>3702439</v>
      </c>
      <c r="K19">
        <f>COUNTIF('helper sheet'!$A$1:$A$33,salesforecast[[#This Row],[LL Material Code]])</f>
        <v/>
      </c>
      <c r="L19" t="inlineStr">
        <is>
          <t>close</t>
        </is>
      </c>
      <c r="N19" t="inlineStr">
        <is>
          <t>TUB-O-N-AUT-AW-PE-18.20X1.000X6.1450</t>
        </is>
      </c>
      <c r="P19" s="47" t="inlineStr">
        <is>
          <t>0788</t>
        </is>
      </c>
      <c r="Q19" t="n">
        <v>0</v>
      </c>
      <c r="R19" t="n">
        <v>3</v>
      </c>
      <c r="S19" t="n">
        <v>2</v>
      </c>
      <c r="T19" s="585">
        <f>ROUNDUP(MAX(salesforecast[[#This Row],[FY25 Average]],salesforecast[[#This Row],[July Schedule]]),0)</f>
        <v/>
      </c>
      <c r="U19" s="585">
        <f>salesforecast[[#This Row],[Forecast]]-salesforecast[[#This Row],[July Schedule]]</f>
        <v/>
      </c>
      <c r="V19">
        <f>salesforecast[[#This Row],[Plant]]</f>
        <v/>
      </c>
      <c r="W19" s="66">
        <f t="array" ref="W19">_xlfn.TEXTJOIN("|",TRUE,(_xlfn.UNIQUE(_xlfn._xlws.FILTER(scheduleapr[CUSTOMER NAME],scheduleapr[Bucket]=salesforecast[[#This Row],[Bucket]]))))</f>
        <v/>
      </c>
      <c r="X19" s="66">
        <f t="array" ref="X19">_xlfn.TEXTJOIN("|",TRUE,(_xlfn.UNIQUE(_xlfn._xlws.SORT(_xlfn._xlws.FILTER(scheduleapr[LENGTH],scheduleapr[Bucket]=salesforecast[[#This Row],[Bucket]])))))</f>
        <v/>
      </c>
      <c r="Y19" s="66">
        <f t="array" ref="Y19">_xlfn.TEXTJOIN("|",TRUE,_xlfn._xlws.FILTER(buckets[Material Codes],(buckets[Bucket]=salesforecast[[#This Row],[Bucket2]])))</f>
        <v/>
      </c>
      <c r="Z19">
        <f>salesforecast[[#This Row],[Bucket]]</f>
        <v/>
      </c>
      <c r="AA19" s="43">
        <f>salesforecast[[#This Row],[July Schedule]]</f>
        <v/>
      </c>
      <c r="AB19" s="43">
        <f>SUMIF(salesTVS[buckets.Bucket],salesforecast[[#This Row],[Bucket]],salesTVS[Quantity])/1000</f>
        <v/>
      </c>
      <c r="AC19" s="43">
        <f>SUMIFS(stock[MT],stock[Bucket],salesforecast[[#This Row],[Bucket]],stock[LL or CTL],"CTL")</f>
        <v/>
      </c>
      <c r="AD19" s="43">
        <f>SUMIF(stock[Bucket],salesforecast[[#This Row],[Bucket]],stock[MT])-salesforecast[[#This Row],[Stock CTL]]</f>
        <v/>
      </c>
      <c r="AE19" s="43" t="e">
        <v>#REF!</v>
      </c>
      <c r="AF19" s="43">
        <f>SUMIF(wip[Bucket],salesforecast[[#This Row],[Bucket]],wip[Stock(Net Wt)])/1000</f>
        <v/>
      </c>
      <c r="AG19" s="43" t="e">
        <v>#REF!</v>
      </c>
      <c r="AH19" s="43">
        <f>SUMIFS(stock[MT],stock[Bucket],salesforecast[[#This Row],[Bucket2]],stock[Plant],"0788")</f>
        <v/>
      </c>
      <c r="AI19" s="43">
        <f>((salesforecast[[#This Row],[WIP]]+salesforecast[[#This Row],[Stock LL]]))/salesforecast[[#This Row],[July Schedule]]*30</f>
        <v/>
      </c>
      <c r="AJ19" s="585">
        <f>salesforecast[[#This Row],[Stock LL]]/salesforecast[[#This Row],[Schedule]]*30</f>
        <v/>
      </c>
      <c r="AK19" s="43">
        <f>SUMIFS(stock[MT],stock[Bucket],salesforecast[[#This Row],[Bucket2]],stock[Plant],"0789",stock[LL or CTL],"LL")</f>
        <v/>
      </c>
      <c r="AL19" s="193">
        <f>(salesforecast[[#This Row],[Sales]])/salesforecast[[#This Row],[Schedule]]</f>
        <v/>
      </c>
      <c r="AM19" s="43">
        <f>SUMIFS(stock[MT],stock[Plant],salesforecast[[#This Row],[Plant]],stock[LL or CTL],"LL",stock[Bucket],salesforecast[[#This Row],[Bucket]])</f>
        <v/>
      </c>
      <c r="AN19" s="43">
        <f>SUMIFS(scheduleapr[SCHEDULE IN MT],scheduleapr[CUSTOMER NAME],"*Rajsriya*",scheduleapr[Bucket],salesforecast[[#This Row],[Bucket]])</f>
        <v/>
      </c>
      <c r="AO19" s="43">
        <f>SUMIFS(salesTVS[Quantity],salesTVS[CUSTOMER  NAME],"*RAJSRIYA*",salesTVS[buckets.Bucket],salesforecast[[#This Row],[Bucket]])/1000</f>
        <v/>
      </c>
      <c r="AP19" s="43">
        <f>SUMIFS(stock[MT],stock[Plant],4318,stock[Bucket],salesforecast[[#This Row],[Bucket2]])</f>
        <v/>
      </c>
      <c r="AQ19" s="43">
        <f>SUMIFS(stock[MT],stock[Plant],4731,stock[Bucket],salesforecast[[#This Row],[Bucket2]],stock[LL or CTL],"CTL")</f>
        <v/>
      </c>
      <c r="AR19" s="43">
        <f>SUMIFS(stock[MT],stock[Plant],4731,stock[Bucket],salesforecast[[#This Row],[Bucket2]])-salesforecast[[#This Row],[4731 Stock CTL]]</f>
        <v/>
      </c>
      <c r="AS19" s="43">
        <f>SUMIFS(stock[MT],stock[Plant],8406,stock[Bucket],salesforecast[[#This Row],[Bucket2]])</f>
        <v/>
      </c>
    </row>
    <row r="20">
      <c r="A20" t="n">
        <v>18.2</v>
      </c>
      <c r="B20" t="n">
        <v>18.2</v>
      </c>
      <c r="C20" t="n">
        <v>12.3</v>
      </c>
      <c r="D20" t="n">
        <v>2.95</v>
      </c>
      <c r="E20" t="inlineStr">
        <is>
          <t>CEW</t>
        </is>
      </c>
      <c r="F20" t="inlineStr">
        <is>
          <t>CEW</t>
        </is>
      </c>
      <c r="G20" t="inlineStr">
        <is>
          <t>HR</t>
        </is>
      </c>
      <c r="H20">
        <f>_xlfn.CONCAT(salesforecast[[#This Row],[OD]],"-",salesforecast[[#This Row],[ID]],"-",salesforecast[[#This Row],[TICKNESS]],"-",salesforecast[[#This Row],[GRADE]],"-",salesforecast[[#This Row],[FC/NFC]])</f>
        <v/>
      </c>
      <c r="I20" s="43">
        <f>SUMIFS(scheduleapr[SCHEDULE IN MT],scheduleapr[Bucket],salesforecast[[#This Row],[Bucket]])</f>
        <v/>
      </c>
      <c r="J20" t="n">
        <v>2410998</v>
      </c>
      <c r="K20">
        <f>COUNTIF('helper sheet'!$A$1:$A$33,salesforecast[[#This Row],[LL Material Code]])</f>
        <v/>
      </c>
      <c r="N20" t="inlineStr">
        <is>
          <t>TUB-O-C-AUT-AD-FC-18.20X2.950X04-05</t>
        </is>
      </c>
      <c r="P20" s="47" t="inlineStr">
        <is>
          <t>0788</t>
        </is>
      </c>
      <c r="Q20" t="n">
        <v>0</v>
      </c>
      <c r="R20" t="n">
        <v>9</v>
      </c>
      <c r="S20" t="n">
        <v>2</v>
      </c>
      <c r="T20" s="585">
        <f>ROUNDUP(MAX(salesforecast[[#This Row],[FY25 Average]],salesforecast[[#This Row],[July Schedule]]),0)</f>
        <v/>
      </c>
      <c r="U20" s="585">
        <f>salesforecast[[#This Row],[Forecast]]-salesforecast[[#This Row],[July Schedule]]</f>
        <v/>
      </c>
      <c r="V20">
        <f>salesforecast[[#This Row],[Plant]]</f>
        <v/>
      </c>
      <c r="W20" s="66">
        <f t="array" ref="W20">_xlfn.TEXTJOIN("|",TRUE,(_xlfn.UNIQUE(_xlfn._xlws.FILTER(scheduleapr[CUSTOMER NAME],scheduleapr[Bucket]=salesforecast[[#This Row],[Bucket]]))))</f>
        <v/>
      </c>
      <c r="X20" s="66">
        <f t="array" ref="X20">_xlfn.TEXTJOIN("|",TRUE,(_xlfn.UNIQUE(_xlfn._xlws.SORT(_xlfn._xlws.FILTER(scheduleapr[LENGTH],scheduleapr[Bucket]=salesforecast[[#This Row],[Bucket]])))))</f>
        <v/>
      </c>
      <c r="Y20" s="66">
        <f t="array" ref="Y20">_xlfn.TEXTJOIN("|",TRUE,_xlfn._xlws.FILTER(buckets[Material Codes],(buckets[Bucket]=salesforecast[[#This Row],[Bucket2]])))</f>
        <v/>
      </c>
      <c r="Z20">
        <f>salesforecast[[#This Row],[Bucket]]</f>
        <v/>
      </c>
      <c r="AA20" s="43">
        <f>salesforecast[[#This Row],[July Schedule]]</f>
        <v/>
      </c>
      <c r="AB20" s="43">
        <f>SUMIF(salesTVS[buckets.Bucket],salesforecast[[#This Row],[Bucket]],salesTVS[Quantity])/1000</f>
        <v/>
      </c>
      <c r="AC20" s="43">
        <f>SUMIFS(stock[MT],stock[Bucket],salesforecast[[#This Row],[Bucket]],stock[LL or CTL],"CTL")</f>
        <v/>
      </c>
      <c r="AD20" s="43">
        <f>SUMIF(stock[Bucket],salesforecast[[#This Row],[Bucket]],stock[MT])-salesforecast[[#This Row],[Stock CTL]]</f>
        <v/>
      </c>
      <c r="AE20" s="43" t="e">
        <v>#REF!</v>
      </c>
      <c r="AF20" s="43">
        <f>SUMIF(wip[Bucket],salesforecast[[#This Row],[Bucket]],wip[Stock(Net Wt)])/1000</f>
        <v/>
      </c>
      <c r="AG20" s="43" t="e">
        <v>#REF!</v>
      </c>
      <c r="AH20" s="43">
        <f>SUMIFS(stock[MT],stock[Bucket],salesforecast[[#This Row],[Bucket2]],stock[Plant],"0788")</f>
        <v/>
      </c>
      <c r="AI20" s="43">
        <f>((salesforecast[[#This Row],[WIP]]+salesforecast[[#This Row],[Stock LL]]))/salesforecast[[#This Row],[July Schedule]]*30</f>
        <v/>
      </c>
      <c r="AJ20">
        <f>salesforecast[[#This Row],[Stock LL]]/salesforecast[[#This Row],[Schedule]]*30</f>
        <v/>
      </c>
      <c r="AK20" s="43">
        <f>SUMIFS(stock[MT],stock[Bucket],salesforecast[[#This Row],[Bucket2]],stock[Plant],"0789",stock[LL or CTL],"LL")</f>
        <v/>
      </c>
      <c r="AL20" s="193">
        <f>(salesforecast[[#This Row],[Sales]])/salesforecast[[#This Row],[Schedule]]</f>
        <v/>
      </c>
      <c r="AM20" s="43">
        <f>SUMIFS(stock[MT],stock[Plant],salesforecast[[#This Row],[Plant]],stock[LL or CTL],"LL",stock[Bucket],salesforecast[[#This Row],[Bucket]])</f>
        <v/>
      </c>
      <c r="AN20" s="43">
        <f>SUMIFS(scheduleapr[SCHEDULE IN MT],scheduleapr[CUSTOMER NAME],"*Rajsriya*",scheduleapr[Bucket],salesforecast[[#This Row],[Bucket]])</f>
        <v/>
      </c>
      <c r="AO20" s="43">
        <f>SUMIFS(salesTVS[Quantity],salesTVS[CUSTOMER  NAME],"*RAJSRIYA*",salesTVS[buckets.Bucket],salesforecast[[#This Row],[Bucket]])/1000</f>
        <v/>
      </c>
      <c r="AP20" s="43">
        <f>SUMIFS(stock[MT],stock[Plant],4318,stock[Bucket],salesforecast[[#This Row],[Bucket2]])</f>
        <v/>
      </c>
      <c r="AQ20" s="43">
        <f>SUMIFS(stock[MT],stock[Plant],4731,stock[Bucket],salesforecast[[#This Row],[Bucket2]],stock[LL or CTL],"CTL")</f>
        <v/>
      </c>
      <c r="AR20" s="43">
        <f>SUMIFS(stock[MT],stock[Plant],4731,stock[Bucket],salesforecast[[#This Row],[Bucket2]])-salesforecast[[#This Row],[4731 Stock CTL]]</f>
        <v/>
      </c>
      <c r="AS20" s="43">
        <f>SUMIFS(stock[MT],stock[Plant],8406,stock[Bucket],salesforecast[[#This Row],[Bucket2]])</f>
        <v/>
      </c>
    </row>
    <row r="21" ht="195" customHeight="1" s="584">
      <c r="A21" t="n">
        <v>23.42</v>
      </c>
      <c r="B21" t="n">
        <v>19</v>
      </c>
      <c r="C21" t="n">
        <v>19</v>
      </c>
      <c r="D21" t="n">
        <v>1</v>
      </c>
      <c r="E21" t="inlineStr">
        <is>
          <t>CRFH</t>
        </is>
      </c>
      <c r="F21" t="inlineStr">
        <is>
          <t>PE</t>
        </is>
      </c>
      <c r="G21" t="inlineStr">
        <is>
          <t>CR</t>
        </is>
      </c>
      <c r="H21">
        <f>_xlfn.CONCAT(salesforecast[[#This Row],[OD]],"-",salesforecast[[#This Row],[ID]],"-",salesforecast[[#This Row],[TICKNESS]],"-",salesforecast[[#This Row],[GRADE]],"-",salesforecast[[#This Row],[FC/NFC]])</f>
        <v/>
      </c>
      <c r="I21" s="43">
        <f>SUMIFS(scheduleapr[SCHEDULE IN MT],scheduleapr[Bucket],salesforecast[[#This Row],[Bucket]])</f>
        <v/>
      </c>
      <c r="J21" t="n">
        <v>1940146</v>
      </c>
      <c r="K21">
        <f>COUNTIF('helper sheet'!$A$1:$A$33,salesforecast[[#This Row],[LL Material Code]])</f>
        <v/>
      </c>
      <c r="N21" t="inlineStr">
        <is>
          <t>TUB-S-FH-SHS-19.00X19.00X1.000X6.0000</t>
        </is>
      </c>
      <c r="P21" s="47" t="inlineStr">
        <is>
          <t>0789</t>
        </is>
      </c>
      <c r="Q21" t="n">
        <v>30</v>
      </c>
      <c r="R21" t="n">
        <v>101</v>
      </c>
      <c r="S21" t="n">
        <v>69</v>
      </c>
      <c r="T21" s="585" t="n">
        <v>60</v>
      </c>
      <c r="U21" s="585">
        <f>salesforecast[[#This Row],[Forecast]]-salesforecast[[#This Row],[July Schedule]]</f>
        <v/>
      </c>
      <c r="V21">
        <f>salesforecast[[#This Row],[Plant]]</f>
        <v/>
      </c>
      <c r="W21" s="66">
        <f t="array" ref="W21">_xlfn.TEXTJOIN("|",TRUE,(_xlfn.UNIQUE(_xlfn._xlws.FILTER(scheduleapr[CUSTOMER NAME],scheduleapr[Bucket]=salesforecast[[#This Row],[Bucket]]))))</f>
        <v/>
      </c>
      <c r="X21" s="66">
        <f t="array" ref="X21">_xlfn.TEXTJOIN("|",TRUE,(_xlfn.UNIQUE(_xlfn._xlws.SORT(_xlfn._xlws.FILTER(scheduleapr[LENGTH],scheduleapr[Bucket]=salesforecast[[#This Row],[Bucket]])))))</f>
        <v/>
      </c>
      <c r="Y21" s="66">
        <f t="array" ref="Y21">_xlfn.TEXTJOIN("|",TRUE,_xlfn._xlws.FILTER(buckets[Material Codes],(buckets[Bucket]=salesforecast[[#This Row],[Bucket2]])*(buckets[LL or CTL]="CTL")))</f>
        <v/>
      </c>
      <c r="Z21">
        <f>salesforecast[[#This Row],[Bucket]]</f>
        <v/>
      </c>
      <c r="AA21" s="43">
        <f>salesforecast[[#This Row],[July Schedule]]</f>
        <v/>
      </c>
      <c r="AB21" s="43">
        <f>SUMIF(salesTVS[buckets.Bucket],salesforecast[[#This Row],[Bucket]],salesTVS[Quantity])/1000</f>
        <v/>
      </c>
      <c r="AC21" s="43">
        <f>SUMIFS(stock[MT],stock[Bucket],salesforecast[[#This Row],[Bucket]],stock[LL or CTL],"CTL")</f>
        <v/>
      </c>
      <c r="AD21" s="43">
        <f>SUMIF(stock[Bucket],salesforecast[[#This Row],[Bucket]],stock[MT])-salesforecast[[#This Row],[Stock CTL]]</f>
        <v/>
      </c>
      <c r="AE21" s="43" t="e">
        <v>#REF!</v>
      </c>
      <c r="AF21" s="43">
        <f>SUMIF(wip[Bucket],salesforecast[[#This Row],[Bucket]],wip[Stock(Net Wt)])/1000</f>
        <v/>
      </c>
      <c r="AG21" s="43" t="e">
        <v>#REF!</v>
      </c>
      <c r="AH21" s="43">
        <f>SUMIFS(stock[MT],stock[Bucket],salesforecast[[#This Row],[Bucket2]],stock[Plant],"0788")</f>
        <v/>
      </c>
      <c r="AI21" s="43">
        <f>((salesforecast[[#This Row],[WIP]]+salesforecast[[#This Row],[Stock LL]]))/salesforecast[[#This Row],[July Schedule]]*30</f>
        <v/>
      </c>
      <c r="AJ21" s="585">
        <f>salesforecast[[#This Row],[Stock LL]]/salesforecast[[#This Row],[Schedule]]*30</f>
        <v/>
      </c>
      <c r="AK21" s="43">
        <f>SUMIFS(stock[MT],stock[Bucket],salesforecast[[#This Row],[Bucket2]],stock[Plant],"0789",stock[LL or CTL],"LL")</f>
        <v/>
      </c>
      <c r="AL21" s="193">
        <f>(salesforecast[[#This Row],[Sales]])/salesforecast[[#This Row],[Schedule]]</f>
        <v/>
      </c>
      <c r="AM21" s="43">
        <f>SUMIFS(stock[MT],stock[Plant],salesforecast[[#This Row],[Plant]],stock[LL or CTL],"LL",stock[Bucket],salesforecast[[#This Row],[Bucket]])</f>
        <v/>
      </c>
      <c r="AN21" s="43">
        <f>SUMIFS(scheduleapr[SCHEDULE IN MT],scheduleapr[CUSTOMER NAME],"*Rajsriya*",scheduleapr[Bucket],salesforecast[[#This Row],[Bucket]])</f>
        <v/>
      </c>
      <c r="AO21" s="43">
        <f>SUMIFS(salesTVS[Quantity],salesTVS[CUSTOMER  NAME],"*RAJSRIYA*",salesTVS[buckets.Bucket],salesforecast[[#This Row],[Bucket]])/1000</f>
        <v/>
      </c>
      <c r="AP21" s="43">
        <f>SUMIFS(stock[MT],stock[Plant],4318,stock[Bucket],salesforecast[[#This Row],[Bucket2]])</f>
        <v/>
      </c>
      <c r="AQ21" s="43">
        <f>SUMIFS(stock[MT],stock[Plant],4731,stock[Bucket],salesforecast[[#This Row],[Bucket2]],stock[LL or CTL],"CTL")</f>
        <v/>
      </c>
      <c r="AR21" s="43">
        <f>SUMIFS(stock[MT],stock[Plant],4731,stock[Bucket],salesforecast[[#This Row],[Bucket2]])-salesforecast[[#This Row],[4731 Stock CTL]]</f>
        <v/>
      </c>
      <c r="AS21" s="43">
        <f>SUMIFS(stock[MT],stock[Plant],8406,stock[Bucket],salesforecast[[#This Row],[Bucket2]])</f>
        <v/>
      </c>
    </row>
    <row r="22" ht="30" customHeight="1" s="584">
      <c r="A22" t="n">
        <v>23.42</v>
      </c>
      <c r="B22" t="n">
        <v>19</v>
      </c>
      <c r="C22" t="n">
        <v>19</v>
      </c>
      <c r="D22" t="n">
        <v>1.2</v>
      </c>
      <c r="E22" t="inlineStr">
        <is>
          <t>CRFH</t>
        </is>
      </c>
      <c r="F22" t="inlineStr">
        <is>
          <t>PE</t>
        </is>
      </c>
      <c r="G22" t="inlineStr">
        <is>
          <t>CR</t>
        </is>
      </c>
      <c r="H22">
        <f>_xlfn.CONCAT(salesforecast[[#This Row],[OD]],"-",salesforecast[[#This Row],[ID]],"-",salesforecast[[#This Row],[TICKNESS]],"-",salesforecast[[#This Row],[GRADE]],"-",salesforecast[[#This Row],[FC/NFC]])</f>
        <v/>
      </c>
      <c r="I22" s="43">
        <f>SUMIFS(scheduleapr[SCHEDULE IN MT],scheduleapr[Bucket],salesforecast[[#This Row],[Bucket]])</f>
        <v/>
      </c>
      <c r="J22" t="n">
        <v>1940167</v>
      </c>
      <c r="K22">
        <f>COUNTIF('helper sheet'!$A$1:$A$33,salesforecast[[#This Row],[LL Material Code]])</f>
        <v/>
      </c>
      <c r="L22" t="n">
        <v>3576136</v>
      </c>
      <c r="N22" t="inlineStr">
        <is>
          <t>TUB-S-AW-SHS-19.00X19.00X1.200X6.0300</t>
        </is>
      </c>
      <c r="P22" s="47" t="inlineStr">
        <is>
          <t>0789</t>
        </is>
      </c>
      <c r="Q22" t="n">
        <v>0</v>
      </c>
      <c r="R22" t="n">
        <v>2</v>
      </c>
      <c r="S22" t="n">
        <v>1</v>
      </c>
      <c r="T22" s="585">
        <f>ROUNDUP(MAX(salesforecast[[#This Row],[FY25 Average]],salesforecast[[#This Row],[July Schedule]]),0)</f>
        <v/>
      </c>
      <c r="U22" s="585">
        <f>salesforecast[[#This Row],[Forecast]]-salesforecast[[#This Row],[July Schedule]]</f>
        <v/>
      </c>
      <c r="V22">
        <f>salesforecast[[#This Row],[Plant]]</f>
        <v/>
      </c>
      <c r="W22" s="66">
        <f t="array" ref="W22">_xlfn.TEXTJOIN("|",TRUE,(_xlfn.UNIQUE(_xlfn._xlws.FILTER(scheduleapr[CUSTOMER NAME],scheduleapr[Bucket]=salesforecast[[#This Row],[Bucket]]))))</f>
        <v/>
      </c>
      <c r="X22" s="66">
        <f t="array" ref="X22">_xlfn.TEXTJOIN("|",TRUE,(_xlfn.UNIQUE(_xlfn._xlws.SORT(_xlfn._xlws.FILTER(scheduleapr[LENGTH],scheduleapr[Bucket]=salesforecast[[#This Row],[Bucket]])))))</f>
        <v/>
      </c>
      <c r="Y22" s="66">
        <f t="array" ref="Y22">_xlfn.TEXTJOIN("|",TRUE,_xlfn._xlws.FILTER(buckets[Material Codes],(buckets[Bucket]=salesforecast[[#This Row],[Bucket2]])*(buckets[LL or CTL]="CTL")))</f>
        <v/>
      </c>
      <c r="Z22">
        <f>salesforecast[[#This Row],[Bucket]]</f>
        <v/>
      </c>
      <c r="AA22" s="43">
        <f>salesforecast[[#This Row],[July Schedule]]</f>
        <v/>
      </c>
      <c r="AB22" s="43">
        <f>SUMIF(salesTVS[buckets.Bucket],salesforecast[[#This Row],[Bucket]],salesTVS[Quantity])/1000</f>
        <v/>
      </c>
      <c r="AC22" s="43">
        <f>SUMIFS(stock[MT],stock[Bucket],salesforecast[[#This Row],[Bucket]],stock[LL or CTL],"CTL")</f>
        <v/>
      </c>
      <c r="AD22" s="43">
        <f>SUMIF(stock[Bucket],salesforecast[[#This Row],[Bucket]],stock[MT])-salesforecast[[#This Row],[Stock CTL]]</f>
        <v/>
      </c>
      <c r="AE22" s="43" t="e">
        <v>#REF!</v>
      </c>
      <c r="AF22" s="43">
        <f>SUMIF(wip[Bucket],salesforecast[[#This Row],[Bucket]],wip[Stock(Net Wt)])/1000</f>
        <v/>
      </c>
      <c r="AG22" s="43" t="e">
        <v>#REF!</v>
      </c>
      <c r="AH22" s="43">
        <f>SUMIFS(stock[MT],stock[Bucket],salesforecast[[#This Row],[Bucket2]],stock[Plant],"0788")</f>
        <v/>
      </c>
      <c r="AI22" s="43">
        <f>((salesforecast[[#This Row],[WIP]]+salesforecast[[#This Row],[Stock LL]]))/salesforecast[[#This Row],[July Schedule]]*30</f>
        <v/>
      </c>
      <c r="AJ22">
        <f>salesforecast[[#This Row],[Stock LL]]/salesforecast[[#This Row],[Schedule]]*30</f>
        <v/>
      </c>
      <c r="AK22" s="43">
        <f>SUMIFS(stock[MT],stock[Bucket],salesforecast[[#This Row],[Bucket2]],stock[Plant],"0789",stock[LL or CTL],"LL")</f>
        <v/>
      </c>
      <c r="AL22" s="193">
        <f>(salesforecast[[#This Row],[Sales]])/salesforecast[[#This Row],[Schedule]]</f>
        <v/>
      </c>
      <c r="AM22" s="43">
        <f>SUMIFS(stock[MT],stock[Plant],salesforecast[[#This Row],[Plant]],stock[LL or CTL],"LL",stock[Bucket],salesforecast[[#This Row],[Bucket]])</f>
        <v/>
      </c>
      <c r="AN22" s="43">
        <f>SUMIFS(scheduleapr[SCHEDULE IN MT],scheduleapr[CUSTOMER NAME],"*Rajsriya*",scheduleapr[Bucket],salesforecast[[#This Row],[Bucket]])</f>
        <v/>
      </c>
      <c r="AO22" s="43">
        <f>SUMIFS(salesTVS[Quantity],salesTVS[CUSTOMER  NAME],"*RAJSRIYA*",salesTVS[buckets.Bucket],salesforecast[[#This Row],[Bucket]])/1000</f>
        <v/>
      </c>
      <c r="AP22" s="43">
        <f>SUMIFS(stock[MT],stock[Plant],4318,stock[Bucket],salesforecast[[#This Row],[Bucket2]])</f>
        <v/>
      </c>
      <c r="AQ22" s="43">
        <f>SUMIFS(stock[MT],stock[Plant],4731,stock[Bucket],salesforecast[[#This Row],[Bucket2]],stock[LL or CTL],"CTL")</f>
        <v/>
      </c>
      <c r="AR22" s="43">
        <f>SUMIFS(stock[MT],stock[Plant],4731,stock[Bucket],salesforecast[[#This Row],[Bucket2]])-salesforecast[[#This Row],[4731 Stock CTL]]</f>
        <v/>
      </c>
      <c r="AS22" s="43">
        <f>SUMIFS(stock[MT],stock[Plant],8406,stock[Bucket],salesforecast[[#This Row],[Bucket2]])</f>
        <v/>
      </c>
    </row>
    <row r="23" ht="45" customHeight="1" s="584">
      <c r="A23" t="n">
        <v>19</v>
      </c>
      <c r="B23" t="n">
        <v>19</v>
      </c>
      <c r="C23" t="n">
        <v>12.5</v>
      </c>
      <c r="D23" t="n">
        <v>3.25</v>
      </c>
      <c r="E23" t="inlineStr">
        <is>
          <t>CEW</t>
        </is>
      </c>
      <c r="F23" t="inlineStr">
        <is>
          <t>CEW</t>
        </is>
      </c>
      <c r="G23" t="inlineStr">
        <is>
          <t>HR</t>
        </is>
      </c>
      <c r="H23">
        <f>_xlfn.CONCAT(salesforecast[[#This Row],[OD]],"-",salesforecast[[#This Row],[ID]],"-",salesforecast[[#This Row],[TICKNESS]],"-",salesforecast[[#This Row],[GRADE]],"-",salesforecast[[#This Row],[FC/NFC]])</f>
        <v/>
      </c>
      <c r="I23" s="43">
        <f>SUMIFS(scheduleapr[SCHEDULE IN MT],scheduleapr[Bucket],salesforecast[[#This Row],[Bucket]])</f>
        <v/>
      </c>
      <c r="J23" t="n">
        <v>3775569</v>
      </c>
      <c r="K23">
        <f>COUNTIF('helper sheet'!$A$1:$A$33,salesforecast[[#This Row],[LL Material Code]])</f>
        <v/>
      </c>
      <c r="N23" t="inlineStr">
        <is>
          <t>TUB-I-C-AUT-AD-FC-12.50X3.250X6.2000</t>
        </is>
      </c>
      <c r="P23" s="47" t="inlineStr">
        <is>
          <t>0788</t>
        </is>
      </c>
      <c r="Q23" t="n">
        <v>0</v>
      </c>
      <c r="R23" t="n">
        <v>15</v>
      </c>
      <c r="S23" t="n">
        <v>6</v>
      </c>
      <c r="T23" s="585">
        <f>ROUNDUP(MAX(salesforecast[[#This Row],[FY25 Average]],salesforecast[[#This Row],[July Schedule]]),0)</f>
        <v/>
      </c>
      <c r="U23" s="585">
        <f>salesforecast[[#This Row],[Forecast]]-salesforecast[[#This Row],[July Schedule]]</f>
        <v/>
      </c>
      <c r="V23">
        <f>salesforecast[[#This Row],[Plant]]</f>
        <v/>
      </c>
      <c r="W23" s="66">
        <f t="array" ref="W23">_xlfn.TEXTJOIN("|",TRUE,(_xlfn.UNIQUE(_xlfn._xlws.FILTER(scheduleapr[CUSTOMER NAME],scheduleapr[Bucket]=salesforecast[[#This Row],[Bucket]]))))</f>
        <v/>
      </c>
      <c r="X23" s="66">
        <f t="array" ref="X23">_xlfn.TEXTJOIN("|",TRUE,(_xlfn.UNIQUE(_xlfn._xlws.SORT(_xlfn._xlws.FILTER(scheduleapr[LENGTH],scheduleapr[Bucket]=salesforecast[[#This Row],[Bucket]])))))</f>
        <v/>
      </c>
      <c r="Y23" s="66">
        <f t="array" ref="Y23">_xlfn.TEXTJOIN("|",TRUE,_xlfn._xlws.FILTER(buckets[Material Codes],(buckets[Bucket]=salesforecast[[#This Row],[Bucket2]])))</f>
        <v/>
      </c>
      <c r="Z23">
        <f>salesforecast[[#This Row],[Bucket]]</f>
        <v/>
      </c>
      <c r="AA23" s="43">
        <f>salesforecast[[#This Row],[July Schedule]]</f>
        <v/>
      </c>
      <c r="AB23" s="43">
        <f>SUMIF(salesTVS[buckets.Bucket],salesforecast[[#This Row],[Bucket]],salesTVS[Quantity])/1000</f>
        <v/>
      </c>
      <c r="AC23" s="43">
        <f>SUMIFS(stock[MT],stock[Bucket],salesforecast[[#This Row],[Bucket]],stock[LL or CTL],"CTL")</f>
        <v/>
      </c>
      <c r="AD23" s="43">
        <f>SUMIF(stock[Bucket],salesforecast[[#This Row],[Bucket]],stock[MT])-salesforecast[[#This Row],[Stock CTL]]</f>
        <v/>
      </c>
      <c r="AE23" s="43" t="e">
        <v>#REF!</v>
      </c>
      <c r="AF23" s="43">
        <f>SUMIF(wip[Bucket],salesforecast[[#This Row],[Bucket]],wip[Stock(Net Wt)])/1000</f>
        <v/>
      </c>
      <c r="AG23" s="43" t="e">
        <v>#REF!</v>
      </c>
      <c r="AH23" s="43">
        <f>SUMIFS(stock[MT],stock[Bucket],salesforecast[[#This Row],[Bucket2]],stock[Plant],"0788")</f>
        <v/>
      </c>
      <c r="AI23" s="43">
        <f>((salesforecast[[#This Row],[WIP]]+salesforecast[[#This Row],[Stock LL]]))/salesforecast[[#This Row],[July Schedule]]*30</f>
        <v/>
      </c>
      <c r="AJ23" s="585">
        <f>salesforecast[[#This Row],[Stock LL]]/salesforecast[[#This Row],[Schedule]]*30</f>
        <v/>
      </c>
      <c r="AK23" s="43">
        <f>SUMIFS(stock[MT],stock[Bucket],salesforecast[[#This Row],[Bucket2]],stock[Plant],"0789",stock[LL or CTL],"LL")</f>
        <v/>
      </c>
      <c r="AL23" s="193">
        <f>(salesforecast[[#This Row],[Sales]])/salesforecast[[#This Row],[Schedule]]</f>
        <v/>
      </c>
      <c r="AM23" s="43">
        <f>SUMIFS(stock[MT],stock[Plant],salesforecast[[#This Row],[Plant]],stock[LL or CTL],"LL",stock[Bucket],salesforecast[[#This Row],[Bucket]])</f>
        <v/>
      </c>
      <c r="AN23" s="43">
        <f>SUMIFS(scheduleapr[SCHEDULE IN MT],scheduleapr[CUSTOMER NAME],"*Rajsriya*",scheduleapr[Bucket],salesforecast[[#This Row],[Bucket]])</f>
        <v/>
      </c>
      <c r="AO23" s="43">
        <f>SUMIFS(salesTVS[Quantity],salesTVS[CUSTOMER  NAME],"*RAJSRIYA*",salesTVS[buckets.Bucket],salesforecast[[#This Row],[Bucket]])/1000</f>
        <v/>
      </c>
      <c r="AP23" s="43">
        <f>SUMIFS(stock[MT],stock[Plant],4318,stock[Bucket],salesforecast[[#This Row],[Bucket2]])</f>
        <v/>
      </c>
      <c r="AQ23" s="43">
        <f>SUMIFS(stock[MT],stock[Plant],4731,stock[Bucket],salesforecast[[#This Row],[Bucket2]],stock[LL or CTL],"CTL")</f>
        <v/>
      </c>
      <c r="AR23" s="43">
        <f>SUMIFS(stock[MT],stock[Plant],4731,stock[Bucket],salesforecast[[#This Row],[Bucket2]])-salesforecast[[#This Row],[4731 Stock CTL]]</f>
        <v/>
      </c>
      <c r="AS23" s="43">
        <f>SUMIFS(stock[MT],stock[Plant],8406,stock[Bucket],salesforecast[[#This Row],[Bucket2]])</f>
        <v/>
      </c>
    </row>
    <row r="24" ht="45" customHeight="1" s="584">
      <c r="A24" t="n">
        <v>19.05</v>
      </c>
      <c r="B24" t="n">
        <v>19.05</v>
      </c>
      <c r="C24" t="n">
        <v>0</v>
      </c>
      <c r="D24" t="n">
        <v>1</v>
      </c>
      <c r="E24" t="inlineStr">
        <is>
          <t>ERW 1</t>
        </is>
      </c>
      <c r="F24" t="inlineStr">
        <is>
          <t>PE</t>
        </is>
      </c>
      <c r="G24" t="inlineStr">
        <is>
          <t>CR</t>
        </is>
      </c>
      <c r="H24">
        <f>_xlfn.CONCAT(salesforecast[[#This Row],[OD]],"-",salesforecast[[#This Row],[ID]],"-",salesforecast[[#This Row],[TICKNESS]],"-",salesforecast[[#This Row],[GRADE]],"-",salesforecast[[#This Row],[FC/NFC]])</f>
        <v/>
      </c>
      <c r="I24" s="43">
        <f>SUMIFS(scheduleapr[SCHEDULE IN MT],scheduleapr[Bucket],salesforecast[[#This Row],[Bucket]])</f>
        <v/>
      </c>
      <c r="J24" t="n">
        <v>1940181</v>
      </c>
      <c r="K24">
        <f>COUNTIF('helper sheet'!$A$1:$A$33,salesforecast[[#This Row],[LL Material Code]])</f>
        <v/>
      </c>
      <c r="N24" t="inlineStr">
        <is>
          <t>TUB-O-O-GEN-AW-PE-19.05X1.000X6.0000</t>
        </is>
      </c>
      <c r="P24" s="47" t="inlineStr">
        <is>
          <t>0789</t>
        </is>
      </c>
      <c r="Q24" t="n">
        <v>1</v>
      </c>
      <c r="R24" t="n">
        <v>9</v>
      </c>
      <c r="S24" t="n">
        <v>3</v>
      </c>
      <c r="T24" s="585">
        <f>ROUNDUP(MAX(salesforecast[[#This Row],[FY25 Average]],salesforecast[[#This Row],[July Schedule]]),0)</f>
        <v/>
      </c>
      <c r="U24" s="585">
        <f>salesforecast[[#This Row],[Forecast]]-salesforecast[[#This Row],[July Schedule]]</f>
        <v/>
      </c>
      <c r="V24">
        <f>salesforecast[[#This Row],[Plant]]</f>
        <v/>
      </c>
      <c r="W24" s="66">
        <f t="array" ref="W24">_xlfn.TEXTJOIN("|",TRUE,(_xlfn.UNIQUE(_xlfn._xlws.FILTER(scheduleapr[CUSTOMER NAME],scheduleapr[Bucket]=salesforecast[[#This Row],[Bucket]]))))</f>
        <v/>
      </c>
      <c r="X24" s="66">
        <f t="array" ref="X24">_xlfn.TEXTJOIN("|",TRUE,(_xlfn.UNIQUE(_xlfn._xlws.SORT(_xlfn._xlws.FILTER(scheduleapr[LENGTH],scheduleapr[Bucket]=salesforecast[[#This Row],[Bucket]])))))</f>
        <v/>
      </c>
      <c r="Y24" s="66">
        <f t="array" ref="Y24">_xlfn.TEXTJOIN("|",TRUE,_xlfn._xlws.FILTER(buckets[Material Codes],(buckets[Bucket]=salesforecast[[#This Row],[Bucket2]])*(buckets[LL or CTL]="CTL")))</f>
        <v/>
      </c>
      <c r="Z24">
        <f>salesforecast[[#This Row],[Bucket]]</f>
        <v/>
      </c>
      <c r="AA24" s="43">
        <f>salesforecast[[#This Row],[July Schedule]]</f>
        <v/>
      </c>
      <c r="AB24" s="43">
        <f>SUMIF(salesTVS[buckets.Bucket],salesforecast[[#This Row],[Bucket]],salesTVS[Quantity])/1000</f>
        <v/>
      </c>
      <c r="AC24" s="43">
        <f>SUMIFS(stock[MT],stock[Bucket],salesforecast[[#This Row],[Bucket]],stock[LL or CTL],"CTL")</f>
        <v/>
      </c>
      <c r="AD24" s="43">
        <f>SUMIF(stock[Bucket],salesforecast[[#This Row],[Bucket]],stock[MT])-salesforecast[[#This Row],[Stock CTL]]</f>
        <v/>
      </c>
      <c r="AE24" s="43" t="e">
        <v>#REF!</v>
      </c>
      <c r="AF24" s="43">
        <f>SUMIF(wip[Bucket],salesforecast[[#This Row],[Bucket]],wip[Stock(Net Wt)])/1000</f>
        <v/>
      </c>
      <c r="AG24" s="43" t="e">
        <v>#REF!</v>
      </c>
      <c r="AH24" s="43">
        <f>SUMIFS(stock[MT],stock[Bucket],salesforecast[[#This Row],[Bucket2]],stock[Plant],"0788")</f>
        <v/>
      </c>
      <c r="AI24" s="43">
        <f>((salesforecast[[#This Row],[WIP]]+salesforecast[[#This Row],[Stock LL]]))/salesforecast[[#This Row],[July Schedule]]*30</f>
        <v/>
      </c>
      <c r="AJ24" s="585">
        <f>salesforecast[[#This Row],[Stock LL]]/salesforecast[[#This Row],[Schedule]]*30</f>
        <v/>
      </c>
      <c r="AK24" s="43">
        <f>SUMIFS(stock[MT],stock[Bucket],salesforecast[[#This Row],[Bucket2]],stock[Plant],"0789",stock[LL or CTL],"LL")</f>
        <v/>
      </c>
      <c r="AL24" s="193">
        <f>(salesforecast[[#This Row],[Sales]])/salesforecast[[#This Row],[Schedule]]</f>
        <v/>
      </c>
      <c r="AM24" s="43">
        <f>SUMIFS(stock[MT],stock[Plant],salesforecast[[#This Row],[Plant]],stock[LL or CTL],"LL",stock[Bucket],salesforecast[[#This Row],[Bucket]])</f>
        <v/>
      </c>
      <c r="AN24" s="43">
        <f>SUMIFS(scheduleapr[SCHEDULE IN MT],scheduleapr[CUSTOMER NAME],"*Rajsriya*",scheduleapr[Bucket],salesforecast[[#This Row],[Bucket]])</f>
        <v/>
      </c>
      <c r="AO24" s="43">
        <f>SUMIFS(salesTVS[Quantity],salesTVS[CUSTOMER  NAME],"*RAJSRIYA*",salesTVS[buckets.Bucket],salesforecast[[#This Row],[Bucket]])/1000</f>
        <v/>
      </c>
      <c r="AP24" s="43">
        <f>SUMIFS(stock[MT],stock[Plant],4318,stock[Bucket],salesforecast[[#This Row],[Bucket2]])</f>
        <v/>
      </c>
      <c r="AQ24" s="43">
        <f>SUMIFS(stock[MT],stock[Plant],4731,stock[Bucket],salesforecast[[#This Row],[Bucket2]],stock[LL or CTL],"CTL")</f>
        <v/>
      </c>
      <c r="AR24" s="43">
        <f>SUMIFS(stock[MT],stock[Plant],4731,stock[Bucket],salesforecast[[#This Row],[Bucket2]])-salesforecast[[#This Row],[4731 Stock CTL]]</f>
        <v/>
      </c>
      <c r="AS24" s="43">
        <f>SUMIFS(stock[MT],stock[Plant],8406,stock[Bucket],salesforecast[[#This Row],[Bucket2]])</f>
        <v/>
      </c>
    </row>
    <row r="25" ht="75" customHeight="1" s="584">
      <c r="A25" t="n">
        <v>19.05</v>
      </c>
      <c r="B25" t="n">
        <v>19.05</v>
      </c>
      <c r="C25" t="n">
        <v>0</v>
      </c>
      <c r="D25" t="n">
        <v>1.2</v>
      </c>
      <c r="E25" t="inlineStr">
        <is>
          <t>ERW 1</t>
        </is>
      </c>
      <c r="F25" t="inlineStr">
        <is>
          <t>PE</t>
        </is>
      </c>
      <c r="G25" t="inlineStr">
        <is>
          <t>CR</t>
        </is>
      </c>
      <c r="H25">
        <f>_xlfn.CONCAT(salesforecast[[#This Row],[OD]],"-",salesforecast[[#This Row],[ID]],"-",salesforecast[[#This Row],[TICKNESS]],"-",salesforecast[[#This Row],[GRADE]],"-",salesforecast[[#This Row],[FC/NFC]])</f>
        <v/>
      </c>
      <c r="I25" s="43">
        <f>SUMIFS(scheduleapr[SCHEDULE IN MT],scheduleapr[Bucket],salesforecast[[#This Row],[Bucket]])</f>
        <v/>
      </c>
      <c r="J25" t="n">
        <v>1940191</v>
      </c>
      <c r="K25">
        <f>COUNTIF('helper sheet'!$A$1:$A$33,salesforecast[[#This Row],[LL Material Code]])</f>
        <v/>
      </c>
      <c r="N25" t="inlineStr">
        <is>
          <t>TUB-O-O-AUT-AW-PE-19.05X1.200X6.0000</t>
        </is>
      </c>
      <c r="P25" s="47" t="inlineStr">
        <is>
          <t>0789</t>
        </is>
      </c>
      <c r="Q25" t="n">
        <v>2</v>
      </c>
      <c r="R25" t="n">
        <v>19</v>
      </c>
      <c r="S25" t="n">
        <v>7</v>
      </c>
      <c r="T25" s="585">
        <f>ROUNDUP(MAX(salesforecast[[#This Row],[FY25 Average]],salesforecast[[#This Row],[July Schedule]]),0)</f>
        <v/>
      </c>
      <c r="U25" s="585">
        <f>salesforecast[[#This Row],[Forecast]]-salesforecast[[#This Row],[July Schedule]]</f>
        <v/>
      </c>
      <c r="V25">
        <f>salesforecast[[#This Row],[Plant]]</f>
        <v/>
      </c>
      <c r="W25" s="66">
        <f t="array" ref="W25">_xlfn.TEXTJOIN("|",TRUE,(_xlfn.UNIQUE(_xlfn._xlws.FILTER(scheduleapr[CUSTOMER NAME],scheduleapr[Bucket]=salesforecast[[#This Row],[Bucket]]))))</f>
        <v/>
      </c>
      <c r="X25" s="66">
        <f t="array" ref="X25">_xlfn.TEXTJOIN("|",TRUE,(_xlfn.UNIQUE(_xlfn._xlws.SORT(_xlfn._xlws.FILTER(scheduleapr[LENGTH],scheduleapr[Bucket]=salesforecast[[#This Row],[Bucket]])))))</f>
        <v/>
      </c>
      <c r="Y25" s="66">
        <f t="array" ref="Y25">_xlfn.TEXTJOIN("|",TRUE,_xlfn._xlws.FILTER(buckets[Material Codes],(buckets[Bucket]=salesforecast[[#This Row],[Bucket2]])*(buckets[LL or CTL]="CTL")))</f>
        <v/>
      </c>
      <c r="Z25">
        <f>salesforecast[[#This Row],[Bucket]]</f>
        <v/>
      </c>
      <c r="AA25" s="43">
        <f>salesforecast[[#This Row],[July Schedule]]</f>
        <v/>
      </c>
      <c r="AB25" s="43">
        <f>SUMIF(salesTVS[buckets.Bucket],salesforecast[[#This Row],[Bucket]],salesTVS[Quantity])/1000</f>
        <v/>
      </c>
      <c r="AC25" s="43">
        <f>SUMIFS(stock[MT],stock[Bucket],salesforecast[[#This Row],[Bucket]],stock[LL or CTL],"CTL")</f>
        <v/>
      </c>
      <c r="AD25" s="43">
        <f>SUMIF(stock[Bucket],salesforecast[[#This Row],[Bucket]],stock[MT])-salesforecast[[#This Row],[Stock CTL]]</f>
        <v/>
      </c>
      <c r="AE25" s="43" t="e">
        <v>#REF!</v>
      </c>
      <c r="AF25" s="43">
        <f>SUMIF(wip[Bucket],salesforecast[[#This Row],[Bucket]],wip[Stock(Net Wt)])/1000</f>
        <v/>
      </c>
      <c r="AG25" s="43" t="e">
        <v>#REF!</v>
      </c>
      <c r="AH25" s="43">
        <f>SUMIFS(stock[MT],stock[Bucket],salesforecast[[#This Row],[Bucket2]],stock[Plant],"0788")</f>
        <v/>
      </c>
      <c r="AI25" s="43">
        <f>((salesforecast[[#This Row],[WIP]]+salesforecast[[#This Row],[Stock LL]]))/salesforecast[[#This Row],[July Schedule]]*30</f>
        <v/>
      </c>
      <c r="AJ25" s="585">
        <f>salesforecast[[#This Row],[Stock LL]]/salesforecast[[#This Row],[Schedule]]*30</f>
        <v/>
      </c>
      <c r="AK25" s="43">
        <f>SUMIFS(stock[MT],stock[Bucket],salesforecast[[#This Row],[Bucket2]],stock[Plant],"0789",stock[LL or CTL],"LL")</f>
        <v/>
      </c>
      <c r="AL25" s="193">
        <f>(salesforecast[[#This Row],[Sales]])/salesforecast[[#This Row],[Schedule]]</f>
        <v/>
      </c>
      <c r="AM25" s="43">
        <f>SUMIFS(stock[MT],stock[Plant],salesforecast[[#This Row],[Plant]],stock[LL or CTL],"LL",stock[Bucket],salesforecast[[#This Row],[Bucket]])</f>
        <v/>
      </c>
      <c r="AN25" s="43">
        <f>SUMIFS(scheduleapr[SCHEDULE IN MT],scheduleapr[CUSTOMER NAME],"*Rajsriya*",scheduleapr[Bucket],salesforecast[[#This Row],[Bucket]])</f>
        <v/>
      </c>
      <c r="AO25" s="43">
        <f>SUMIFS(salesTVS[Quantity],salesTVS[CUSTOMER  NAME],"*RAJSRIYA*",salesTVS[buckets.Bucket],salesforecast[[#This Row],[Bucket]])/1000</f>
        <v/>
      </c>
      <c r="AP25" s="43">
        <f>SUMIFS(stock[MT],stock[Plant],4318,stock[Bucket],salesforecast[[#This Row],[Bucket2]])</f>
        <v/>
      </c>
      <c r="AQ25" s="43">
        <f>SUMIFS(stock[MT],stock[Plant],4731,stock[Bucket],salesforecast[[#This Row],[Bucket2]],stock[LL or CTL],"CTL")</f>
        <v/>
      </c>
      <c r="AR25" s="43">
        <f>SUMIFS(stock[MT],stock[Plant],4731,stock[Bucket],salesforecast[[#This Row],[Bucket2]])-salesforecast[[#This Row],[4731 Stock CTL]]</f>
        <v/>
      </c>
      <c r="AS25" s="43">
        <f>SUMIFS(stock[MT],stock[Plant],8406,stock[Bucket],salesforecast[[#This Row],[Bucket2]])</f>
        <v/>
      </c>
    </row>
    <row r="26" ht="30" customHeight="1" s="584">
      <c r="A26" t="n">
        <v>19.05</v>
      </c>
      <c r="B26" t="n">
        <v>19.05</v>
      </c>
      <c r="C26" t="n">
        <v>0</v>
      </c>
      <c r="D26" t="n">
        <v>1.2</v>
      </c>
      <c r="E26" t="inlineStr">
        <is>
          <t>CRFH</t>
        </is>
      </c>
      <c r="F26" t="inlineStr">
        <is>
          <t>PE</t>
        </is>
      </c>
      <c r="G26" t="inlineStr">
        <is>
          <t>CR</t>
        </is>
      </c>
      <c r="H26" t="inlineStr">
        <is>
          <t>19.05-0-1.2-CRFH-PE</t>
        </is>
      </c>
      <c r="I26" s="43">
        <f>SUMIFS(scheduleapr[SCHEDULE IN MT],scheduleapr[Bucket],salesforecast[[#This Row],[Bucket]])</f>
        <v/>
      </c>
      <c r="K26">
        <f>COUNTIF('helper sheet'!$A$1:$A$33,salesforecast[[#This Row],[LL Material Code]])</f>
        <v/>
      </c>
      <c r="P26" s="47" t="inlineStr">
        <is>
          <t>0789</t>
        </is>
      </c>
      <c r="T26" s="585">
        <f>ROUNDUP(MAX(salesforecast[[#This Row],[FY25 Average]],salesforecast[[#This Row],[July Schedule]]),0)</f>
        <v/>
      </c>
      <c r="U26" s="585">
        <f>salesforecast[[#This Row],[Forecast]]-salesforecast[[#This Row],[July Schedule]]</f>
        <v/>
      </c>
      <c r="V26">
        <f>salesforecast[[#This Row],[Plant]]</f>
        <v/>
      </c>
      <c r="W26" s="66">
        <f t="array" ref="W26">_xlfn.TEXTJOIN("|",TRUE,(_xlfn.UNIQUE(_xlfn._xlws.FILTER(scheduleapr[CUSTOMER NAME],scheduleapr[Bucket]=salesforecast[[#This Row],[Bucket]]))))</f>
        <v/>
      </c>
      <c r="X26" s="66">
        <f t="array" ref="X26">_xlfn.TEXTJOIN("|",TRUE,(_xlfn.UNIQUE(_xlfn._xlws.SORT(_xlfn._xlws.FILTER(scheduleapr[LENGTH],scheduleapr[Bucket]=salesforecast[[#This Row],[Bucket]])))))</f>
        <v/>
      </c>
      <c r="Y26" s="66">
        <f t="array" ref="Y26">_xlfn.TEXTJOIN("|",TRUE,_xlfn._xlws.FILTER(buckets[Material Codes],(buckets[Bucket]=salesforecast[[#This Row],[Bucket2]])*(buckets[LL or CTL]="CTL")))</f>
        <v/>
      </c>
      <c r="Z26" t="inlineStr">
        <is>
          <t>19.05-0-1.2-CRFH-PE</t>
        </is>
      </c>
      <c r="AA26" s="43">
        <f>salesforecast[[#This Row],[July Schedule]]</f>
        <v/>
      </c>
      <c r="AB26" s="43">
        <f>SUMIF(salesTVS[buckets.Bucket],salesforecast[[#This Row],[Bucket]],salesTVS[Quantity])/1000</f>
        <v/>
      </c>
      <c r="AC26" s="43">
        <f>SUMIFS(stock[MT],stock[Bucket],salesforecast[[#This Row],[Bucket]],stock[LL or CTL],"CTL")</f>
        <v/>
      </c>
      <c r="AD26" s="43">
        <f>SUMIF(stock[Bucket],salesforecast[[#This Row],[Bucket]],stock[MT])</f>
        <v/>
      </c>
      <c r="AE26" s="43" t="e">
        <v>#REF!</v>
      </c>
      <c r="AF26" s="43">
        <f>SUMIF(wip[Bucket],salesforecast[[#This Row],[Bucket]],wip[Stock(Net Wt)])/1000</f>
        <v/>
      </c>
      <c r="AG26" s="43" t="e">
        <v>#REF!</v>
      </c>
      <c r="AH26" s="43">
        <f>SUMIFS(stock[MT],stock[Bucket],salesforecast[[#This Row],[Bucket2]],stock[Plant],"0788")</f>
        <v/>
      </c>
      <c r="AI26" s="43">
        <f>((salesforecast[[#This Row],[WIP]]+salesforecast[[#This Row],[Stock LL]]))/salesforecast[[#This Row],[July Schedule]]*30</f>
        <v/>
      </c>
      <c r="AJ26" s="585">
        <f>salesforecast[[#This Row],[Stock LL]]/salesforecast[[#This Row],[Schedule]]*30</f>
        <v/>
      </c>
      <c r="AK26" s="43">
        <f>SUMIFS(stock[MT],stock[Bucket],salesforecast[[#This Row],[Bucket2]],stock[Plant],"0789",stock[LL or CTL],"LL")</f>
        <v/>
      </c>
      <c r="AL26" s="193">
        <f>(salesforecast[[#This Row],[Sales]])/salesforecast[[#This Row],[Schedule]]</f>
        <v/>
      </c>
      <c r="AM26" s="43">
        <f>SUMIFS(stock[MT],stock[Plant],salesforecast[[#This Row],[Plant]],stock[LL or CTL],"LL",stock[Bucket],salesforecast[[#This Row],[Bucket]])</f>
        <v/>
      </c>
      <c r="AN26" s="43">
        <f>SUMIFS(scheduleapr[SCHEDULE IN MT],scheduleapr[CUSTOMER NAME],"*Rajsriya*",scheduleapr[Bucket],salesforecast[[#This Row],[Bucket]])</f>
        <v/>
      </c>
      <c r="AO26" s="43">
        <f>SUMIFS(salesTVS[Quantity],salesTVS[CUSTOMER  NAME],"*RAJSRIYA*",salesTVS[buckets.Bucket],salesforecast[[#This Row],[Bucket]])/1000</f>
        <v/>
      </c>
      <c r="AP26" s="43">
        <f>SUMIFS(stock[MT],stock[Plant],4318,stock[Bucket],salesforecast[[#This Row],[Bucket2]])</f>
        <v/>
      </c>
      <c r="AQ26" s="43">
        <f>SUMIFS(stock[MT],stock[Plant],4731,stock[Bucket],salesforecast[[#This Row],[Bucket2]],stock[LL or CTL],"CTL")</f>
        <v/>
      </c>
      <c r="AR26" s="43">
        <f>SUMIFS(stock[MT],stock[Plant],4731,stock[Bucket],salesforecast[[#This Row],[Bucket2]])-salesforecast[[#This Row],[4731 Stock CTL]]</f>
        <v/>
      </c>
      <c r="AS26" s="43">
        <f>SUMIFS(stock[MT],stock[Plant],8406,stock[Bucket],salesforecast[[#This Row],[Bucket2]])</f>
        <v/>
      </c>
    </row>
    <row r="27" ht="105" customHeight="1" s="584">
      <c r="A27" t="n">
        <v>19.05</v>
      </c>
      <c r="B27" t="n">
        <v>19.05</v>
      </c>
      <c r="C27" t="n">
        <v>0</v>
      </c>
      <c r="D27" t="n">
        <v>1.6</v>
      </c>
      <c r="E27" t="inlineStr">
        <is>
          <t>ERW 1</t>
        </is>
      </c>
      <c r="F27" t="inlineStr">
        <is>
          <t>PE</t>
        </is>
      </c>
      <c r="G27" t="inlineStr">
        <is>
          <t>CR</t>
        </is>
      </c>
      <c r="H27">
        <f>_xlfn.CONCAT(salesforecast[[#This Row],[OD]],"-",salesforecast[[#This Row],[ID]],"-",salesforecast[[#This Row],[TICKNESS]],"-",salesforecast[[#This Row],[GRADE]],"-",salesforecast[[#This Row],[FC/NFC]])</f>
        <v/>
      </c>
      <c r="I27" s="43">
        <f>SUMIFS(scheduleapr[SCHEDULE IN MT],scheduleapr[Bucket],salesforecast[[#This Row],[Bucket]])</f>
        <v/>
      </c>
      <c r="J27" t="n">
        <v>1940255</v>
      </c>
      <c r="K27">
        <f>COUNTIF('helper sheet'!$A$1:$A$33,salesforecast[[#This Row],[LL Material Code]])</f>
        <v/>
      </c>
      <c r="L27" t="n">
        <v>1940236</v>
      </c>
      <c r="N27" t="inlineStr">
        <is>
          <t>TUB-O-O-AUT-AW-PE-19.05X1.600X6.0000</t>
        </is>
      </c>
      <c r="O27" t="inlineStr">
        <is>
          <t>WG</t>
        </is>
      </c>
      <c r="P27" s="47" t="inlineStr">
        <is>
          <t>0789</t>
        </is>
      </c>
      <c r="Q27" t="n">
        <v>1</v>
      </c>
      <c r="R27" t="n">
        <v>23</v>
      </c>
      <c r="S27" t="n">
        <v>11</v>
      </c>
      <c r="T27" s="585">
        <f>ROUNDUP(MAX(salesforecast[[#This Row],[FY25 Average]],salesforecast[[#This Row],[July Schedule]]),0)</f>
        <v/>
      </c>
      <c r="U27" s="585">
        <f>salesforecast[[#This Row],[Forecast]]-salesforecast[[#This Row],[July Schedule]]</f>
        <v/>
      </c>
      <c r="V27">
        <f>salesforecast[[#This Row],[Plant]]</f>
        <v/>
      </c>
      <c r="W27" s="66">
        <f t="array" ref="W27">_xlfn.TEXTJOIN("|",TRUE,(_xlfn.UNIQUE(_xlfn._xlws.FILTER(scheduleapr[CUSTOMER NAME],scheduleapr[Bucket]=salesforecast[[#This Row],[Bucket]]))))</f>
        <v/>
      </c>
      <c r="X27" s="66">
        <f t="array" ref="X27">_xlfn.TEXTJOIN("|",TRUE,(_xlfn.UNIQUE(_xlfn._xlws.SORT(_xlfn._xlws.FILTER(scheduleapr[LENGTH],scheduleapr[Bucket]=salesforecast[[#This Row],[Bucket]])))))</f>
        <v/>
      </c>
      <c r="Y27" s="66">
        <f t="array" ref="Y27">_xlfn.TEXTJOIN("|",TRUE,_xlfn._xlws.FILTER(buckets[Material Codes],(buckets[Bucket]=salesforecast[[#This Row],[Bucket2]])*(buckets[LL or CTL]="CTL")))</f>
        <v/>
      </c>
      <c r="Z27">
        <f>salesforecast[[#This Row],[Bucket]]</f>
        <v/>
      </c>
      <c r="AA27" s="43">
        <f>salesforecast[[#This Row],[July Schedule]]</f>
        <v/>
      </c>
      <c r="AB27" s="43">
        <f>SUMIF(salesTVS[buckets.Bucket],salesforecast[[#This Row],[Bucket]],salesTVS[Quantity])/1000</f>
        <v/>
      </c>
      <c r="AC27" s="43">
        <f>SUMIFS(stock[MT],stock[Bucket],salesforecast[[#This Row],[Bucket]],stock[LL or CTL],"CTL")</f>
        <v/>
      </c>
      <c r="AD27" s="43">
        <f>SUMIF(stock[Bucket],salesforecast[[#This Row],[Bucket]],stock[MT])-salesforecast[[#This Row],[Stock CTL]]</f>
        <v/>
      </c>
      <c r="AE27" s="43" t="e">
        <v>#REF!</v>
      </c>
      <c r="AF27" s="43">
        <f>SUMIF(wip[Bucket],salesforecast[[#This Row],[Bucket]],wip[Stock(Net Wt)])/1000</f>
        <v/>
      </c>
      <c r="AG27" s="43" t="e">
        <v>#REF!</v>
      </c>
      <c r="AH27" s="43">
        <f>SUMIFS(stock[MT],stock[Bucket],salesforecast[[#This Row],[Bucket2]],stock[Plant],"0788")</f>
        <v/>
      </c>
      <c r="AI27" s="43">
        <f>((salesforecast[[#This Row],[WIP]]+salesforecast[[#This Row],[Stock LL]]))/salesforecast[[#This Row],[July Schedule]]*30</f>
        <v/>
      </c>
      <c r="AJ27" s="585">
        <f>salesforecast[[#This Row],[Stock LL]]/salesforecast[[#This Row],[Schedule]]*30</f>
        <v/>
      </c>
      <c r="AK27" s="43">
        <f>SUMIFS(stock[MT],stock[Bucket],salesforecast[[#This Row],[Bucket2]],stock[Plant],"0789",stock[LL or CTL],"LL")</f>
        <v/>
      </c>
      <c r="AL27" s="193">
        <f>(salesforecast[[#This Row],[Sales]])/salesforecast[[#This Row],[Schedule]]</f>
        <v/>
      </c>
      <c r="AM27" s="43">
        <f>SUMIFS(stock[MT],stock[Plant],salesforecast[[#This Row],[Plant]],stock[LL or CTL],"LL",stock[Bucket],salesforecast[[#This Row],[Bucket]])</f>
        <v/>
      </c>
      <c r="AN27" s="43">
        <f>SUMIFS(scheduleapr[SCHEDULE IN MT],scheduleapr[CUSTOMER NAME],"*Rajsriya*",scheduleapr[Bucket],salesforecast[[#This Row],[Bucket]])</f>
        <v/>
      </c>
      <c r="AO27" s="43">
        <f>SUMIFS(salesTVS[Quantity],salesTVS[CUSTOMER  NAME],"*RAJSRIYA*",salesTVS[buckets.Bucket],salesforecast[[#This Row],[Bucket]])/1000</f>
        <v/>
      </c>
      <c r="AP27" s="43">
        <f>SUMIFS(stock[MT],stock[Plant],4318,stock[Bucket],salesforecast[[#This Row],[Bucket2]])</f>
        <v/>
      </c>
      <c r="AQ27" s="43">
        <f>SUMIFS(stock[MT],stock[Plant],4731,stock[Bucket],salesforecast[[#This Row],[Bucket2]],stock[LL or CTL],"CTL")</f>
        <v/>
      </c>
      <c r="AR27" s="43">
        <f>SUMIFS(stock[MT],stock[Plant],4731,stock[Bucket],salesforecast[[#This Row],[Bucket2]])-salesforecast[[#This Row],[4731 Stock CTL]]</f>
        <v/>
      </c>
      <c r="AS27" s="43">
        <f>SUMIFS(stock[MT],stock[Plant],8406,stock[Bucket],salesforecast[[#This Row],[Bucket2]])</f>
        <v/>
      </c>
    </row>
    <row r="28" ht="30" customHeight="1" s="584">
      <c r="A28" s="50" t="n">
        <v>19.05</v>
      </c>
      <c r="B28" t="n">
        <v>19.05</v>
      </c>
      <c r="C28" t="n">
        <v>0</v>
      </c>
      <c r="D28" t="n">
        <v>1.6</v>
      </c>
      <c r="E28" t="inlineStr">
        <is>
          <t>ERW 2 MAHS</t>
        </is>
      </c>
      <c r="F28" t="inlineStr">
        <is>
          <t>PE</t>
        </is>
      </c>
      <c r="G28" t="inlineStr">
        <is>
          <t>CR</t>
        </is>
      </c>
      <c r="H28">
        <f>_xlfn.CONCAT(salesforecast[[#This Row],[OD]],"-",salesforecast[[#This Row],[ID]],"-",salesforecast[[#This Row],[TICKNESS]],"-",salesforecast[[#This Row],[GRADE]],"-",salesforecast[[#This Row],[FC/NFC]])</f>
        <v/>
      </c>
      <c r="I28" s="43">
        <f>SUMIFS(scheduleapr[SCHEDULE IN MT],scheduleapr[Bucket],salesforecast[[#This Row],[Bucket]])</f>
        <v/>
      </c>
      <c r="J28" t="n">
        <v>3410965</v>
      </c>
      <c r="K28">
        <f>COUNTIF('helper sheet'!$A$1:$A$33,salesforecast[[#This Row],[LL Material Code]])</f>
        <v/>
      </c>
      <c r="N28" t="inlineStr">
        <is>
          <t>TUB-O-N-AUT-AW-PE-19.05X1.600X6.0000</t>
        </is>
      </c>
      <c r="O28" t="inlineStr">
        <is>
          <t>ST52AL</t>
        </is>
      </c>
      <c r="P28" s="47" t="inlineStr">
        <is>
          <t>0789</t>
        </is>
      </c>
      <c r="Q28" t="n">
        <v>1</v>
      </c>
      <c r="R28" t="n">
        <v>21</v>
      </c>
      <c r="S28" t="n">
        <v>8</v>
      </c>
      <c r="T28" s="585">
        <f>ROUNDUP(MAX(salesforecast[[#This Row],[FY25 Average]],salesforecast[[#This Row],[July Schedule]]),0)</f>
        <v/>
      </c>
      <c r="U28" s="585">
        <f>salesforecast[[#This Row],[Forecast]]-salesforecast[[#This Row],[July Schedule]]</f>
        <v/>
      </c>
      <c r="V28">
        <f>salesforecast[[#This Row],[Plant]]</f>
        <v/>
      </c>
      <c r="W28" s="66">
        <f t="array" ref="W28">_xlfn.TEXTJOIN("|",TRUE,(_xlfn.UNIQUE(_xlfn._xlws.FILTER(scheduleapr[CUSTOMER NAME],scheduleapr[Bucket]=salesforecast[[#This Row],[Bucket]]))))</f>
        <v/>
      </c>
      <c r="X28" s="66">
        <f t="array" ref="X28">_xlfn.TEXTJOIN("|",TRUE,(_xlfn.UNIQUE(_xlfn._xlws.SORT(_xlfn._xlws.FILTER(scheduleapr[LENGTH],scheduleapr[Bucket]=salesforecast[[#This Row],[Bucket]])))))</f>
        <v/>
      </c>
      <c r="Y28" s="66">
        <f t="array" ref="Y28">_xlfn.TEXTJOIN("|",TRUE,_xlfn._xlws.FILTER(buckets[Material Codes],(buckets[Bucket]=salesforecast[[#This Row],[Bucket2]])*(buckets[LL or CTL]="CTL")))</f>
        <v/>
      </c>
      <c r="Z28">
        <f>salesforecast[[#This Row],[Bucket]]</f>
        <v/>
      </c>
      <c r="AA28" s="43">
        <f>salesforecast[[#This Row],[July Schedule]]</f>
        <v/>
      </c>
      <c r="AB28" s="43">
        <f>SUMIF(salesTVS[buckets.Bucket],salesforecast[[#This Row],[Bucket]],salesTVS[Quantity])/1000</f>
        <v/>
      </c>
      <c r="AC28" s="43">
        <f>SUMIFS(stock[MT],stock[Bucket],salesforecast[[#This Row],[Bucket]],stock[LL or CTL],"CTL")</f>
        <v/>
      </c>
      <c r="AD28" s="43">
        <f>SUMIF(stock[Bucket],salesforecast[[#This Row],[Bucket]],stock[MT])-salesforecast[[#This Row],[Stock CTL]]</f>
        <v/>
      </c>
      <c r="AE28" s="43" t="e">
        <v>#REF!</v>
      </c>
      <c r="AF28" s="43">
        <f>SUMIF(wip[Bucket],salesforecast[[#This Row],[Bucket]],wip[Stock(Net Wt)])/1000</f>
        <v/>
      </c>
      <c r="AG28" s="43" t="e">
        <v>#REF!</v>
      </c>
      <c r="AH28" s="43">
        <f>SUMIFS(stock[MT],stock[Bucket],salesforecast[[#This Row],[Bucket2]],stock[Plant],"0788")</f>
        <v/>
      </c>
      <c r="AI28" s="43">
        <f>((salesforecast[[#This Row],[WIP]]+salesforecast[[#This Row],[Stock LL]]))/salesforecast[[#This Row],[July Schedule]]*30</f>
        <v/>
      </c>
      <c r="AJ28" s="585">
        <f>salesforecast[[#This Row],[Stock LL]]/salesforecast[[#This Row],[Schedule]]*30</f>
        <v/>
      </c>
      <c r="AK28" s="43">
        <f>SUMIFS(stock[MT],stock[Bucket],salesforecast[[#This Row],[Bucket2]],stock[Plant],"0789",stock[LL or CTL],"LL")</f>
        <v/>
      </c>
      <c r="AL28" s="193">
        <f>(salesforecast[[#This Row],[Sales]])/salesforecast[[#This Row],[Schedule]]</f>
        <v/>
      </c>
      <c r="AM28" s="43">
        <f>SUMIFS(stock[MT],stock[Plant],salesforecast[[#This Row],[Plant]],stock[LL or CTL],"LL",stock[Bucket],salesforecast[[#This Row],[Bucket]])</f>
        <v/>
      </c>
      <c r="AN28" s="43">
        <f>SUMIFS(scheduleapr[SCHEDULE IN MT],scheduleapr[CUSTOMER NAME],"*Rajsriya*",scheduleapr[Bucket],salesforecast[[#This Row],[Bucket]])</f>
        <v/>
      </c>
      <c r="AO28" s="43">
        <f>SUMIFS(salesTVS[Quantity],salesTVS[CUSTOMER  NAME],"*RAJSRIYA*",salesTVS[buckets.Bucket],salesforecast[[#This Row],[Bucket]])/1000</f>
        <v/>
      </c>
      <c r="AP28" s="43">
        <f>SUMIFS(stock[MT],stock[Plant],4318,stock[Bucket],salesforecast[[#This Row],[Bucket2]])</f>
        <v/>
      </c>
      <c r="AQ28" s="43">
        <f>SUMIFS(stock[MT],stock[Plant],4731,stock[Bucket],salesforecast[[#This Row],[Bucket2]],stock[LL or CTL],"CTL")</f>
        <v/>
      </c>
      <c r="AR28" s="43">
        <f>SUMIFS(stock[MT],stock[Plant],4731,stock[Bucket],salesforecast[[#This Row],[Bucket2]])-salesforecast[[#This Row],[4731 Stock CTL]]</f>
        <v/>
      </c>
      <c r="AS28" s="43">
        <f>SUMIFS(stock[MT],stock[Plant],8406,stock[Bucket],salesforecast[[#This Row],[Bucket2]])</f>
        <v/>
      </c>
    </row>
    <row r="29" ht="195" customHeight="1" s="584">
      <c r="A29" s="50" t="n">
        <v>19.05</v>
      </c>
      <c r="B29" t="n">
        <v>19.05</v>
      </c>
      <c r="C29" t="n">
        <v>0</v>
      </c>
      <c r="D29" t="n">
        <v>2</v>
      </c>
      <c r="E29" t="inlineStr">
        <is>
          <t>ERW 1</t>
        </is>
      </c>
      <c r="F29" t="inlineStr">
        <is>
          <t>PE</t>
        </is>
      </c>
      <c r="G29" t="inlineStr">
        <is>
          <t>HR</t>
        </is>
      </c>
      <c r="H29">
        <f>_xlfn.CONCAT(salesforecast[[#This Row],[OD]],"-",salesforecast[[#This Row],[ID]],"-",salesforecast[[#This Row],[TICKNESS]],"-",salesforecast[[#This Row],[GRADE]],"-",salesforecast[[#This Row],[FC/NFC]])</f>
        <v/>
      </c>
      <c r="I29" s="43">
        <f>SUMIFS(scheduleapr[SCHEDULE IN MT],scheduleapr[Bucket],salesforecast[[#This Row],[Bucket]])</f>
        <v/>
      </c>
      <c r="J29" t="n">
        <v>1932568</v>
      </c>
      <c r="K29">
        <f>COUNTIF('helper sheet'!$A$1:$A$33,salesforecast[[#This Row],[LL Material Code]])</f>
        <v/>
      </c>
      <c r="N29" t="inlineStr">
        <is>
          <t>TUB-O-N-AUT-AW-PE-19.05X2.000X6.0000</t>
        </is>
      </c>
      <c r="P29" s="47" t="inlineStr">
        <is>
          <t>0789</t>
        </is>
      </c>
      <c r="Q29" t="n">
        <v>15</v>
      </c>
      <c r="R29" t="n">
        <v>131</v>
      </c>
      <c r="S29" t="n">
        <v>53</v>
      </c>
      <c r="T29" s="585">
        <f>ROUNDUP(MAX(salesforecast[[#This Row],[FY25 Average]],salesforecast[[#This Row],[July Schedule]]),0)</f>
        <v/>
      </c>
      <c r="U29" s="585">
        <f>salesforecast[[#This Row],[Forecast]]-salesforecast[[#This Row],[July Schedule]]</f>
        <v/>
      </c>
      <c r="V29">
        <f>salesforecast[[#This Row],[Plant]]</f>
        <v/>
      </c>
      <c r="W29" s="66">
        <f t="array" ref="W29">_xlfn.TEXTJOIN("|",TRUE,(_xlfn.UNIQUE(_xlfn._xlws.FILTER(scheduleapr[CUSTOMER NAME],scheduleapr[Bucket]=salesforecast[[#This Row],[Bucket]]))))</f>
        <v/>
      </c>
      <c r="X29" s="66">
        <f t="array" ref="X29">_xlfn.TEXTJOIN("|",TRUE,(_xlfn.UNIQUE(_xlfn._xlws.SORT(_xlfn._xlws.FILTER(scheduleapr[LENGTH],scheduleapr[Bucket]=salesforecast[[#This Row],[Bucket]])))))</f>
        <v/>
      </c>
      <c r="Y29" s="66">
        <f t="array" ref="Y29">_xlfn.TEXTJOIN("|",TRUE,_xlfn._xlws.FILTER(buckets[Material Codes],(buckets[Bucket]=salesforecast[[#This Row],[Bucket2]])*(buckets[LL or CTL]="CTL")))</f>
        <v/>
      </c>
      <c r="Z29">
        <f>salesforecast[[#This Row],[Bucket]]</f>
        <v/>
      </c>
      <c r="AA29" s="43">
        <f>salesforecast[[#This Row],[July Schedule]]</f>
        <v/>
      </c>
      <c r="AB29" s="43">
        <f>SUMIF(salesTVS[buckets.Bucket],salesforecast[[#This Row],[Bucket]],salesTVS[Quantity])/1000</f>
        <v/>
      </c>
      <c r="AC29" s="43">
        <f>SUMIFS(stock[MT],stock[Bucket],salesforecast[[#This Row],[Bucket]],stock[LL or CTL],"CTL")</f>
        <v/>
      </c>
      <c r="AD29" s="43">
        <f>SUMIF(stock[Bucket],salesforecast[[#This Row],[Bucket]],stock[MT])-salesforecast[[#This Row],[Stock CTL]]</f>
        <v/>
      </c>
      <c r="AE29" s="43" t="e">
        <v>#REF!</v>
      </c>
      <c r="AF29" s="43">
        <f>SUMIF(wip[Bucket],salesforecast[[#This Row],[Bucket]],wip[Stock(Net Wt)])/1000</f>
        <v/>
      </c>
      <c r="AG29" s="43" t="e">
        <v>#REF!</v>
      </c>
      <c r="AH29" s="43">
        <f>SUMIFS(stock[MT],stock[Bucket],salesforecast[[#This Row],[Bucket2]],stock[Plant],"0788")</f>
        <v/>
      </c>
      <c r="AI29" s="43">
        <f>((salesforecast[[#This Row],[WIP]]+salesforecast[[#This Row],[Stock LL]]))/salesforecast[[#This Row],[July Schedule]]*30</f>
        <v/>
      </c>
      <c r="AJ29" s="585">
        <f>salesforecast[[#This Row],[Stock LL]]/salesforecast[[#This Row],[Schedule]]*30</f>
        <v/>
      </c>
      <c r="AK29" s="43">
        <f>SUMIFS(stock[MT],stock[Bucket],salesforecast[[#This Row],[Bucket2]],stock[Plant],"0789",stock[LL or CTL],"LL")</f>
        <v/>
      </c>
      <c r="AL29" s="193">
        <f>(salesforecast[[#This Row],[Sales]])/salesforecast[[#This Row],[Schedule]]</f>
        <v/>
      </c>
      <c r="AM29" s="43">
        <f>SUMIFS(stock[MT],stock[Plant],salesforecast[[#This Row],[Plant]],stock[LL or CTL],"LL",stock[Bucket],salesforecast[[#This Row],[Bucket]])</f>
        <v/>
      </c>
      <c r="AN29" s="43">
        <f>SUMIFS(scheduleapr[SCHEDULE IN MT],scheduleapr[CUSTOMER NAME],"*Rajsriya*",scheduleapr[Bucket],salesforecast[[#This Row],[Bucket]])</f>
        <v/>
      </c>
      <c r="AO29" s="43">
        <f>SUMIFS(salesTVS[Quantity],salesTVS[CUSTOMER  NAME],"*RAJSRIYA*",salesTVS[buckets.Bucket],salesforecast[[#This Row],[Bucket]])/1000</f>
        <v/>
      </c>
      <c r="AP29" s="43">
        <f>SUMIFS(stock[MT],stock[Plant],4318,stock[Bucket],salesforecast[[#This Row],[Bucket2]])</f>
        <v/>
      </c>
      <c r="AQ29" s="43">
        <f>SUMIFS(stock[MT],stock[Plant],4731,stock[Bucket],salesforecast[[#This Row],[Bucket2]],stock[LL or CTL],"CTL")</f>
        <v/>
      </c>
      <c r="AR29" s="43">
        <f>SUMIFS(stock[MT],stock[Plant],4731,stock[Bucket],salesforecast[[#This Row],[Bucket2]])-salesforecast[[#This Row],[4731 Stock CTL]]</f>
        <v/>
      </c>
      <c r="AS29" s="43">
        <f>SUMIFS(stock[MT],stock[Plant],8406,stock[Bucket],salesforecast[[#This Row],[Bucket2]])</f>
        <v/>
      </c>
    </row>
    <row r="30" ht="225" customHeight="1" s="584">
      <c r="A30" s="50" t="n">
        <v>19.05</v>
      </c>
      <c r="B30" t="n">
        <v>19.05</v>
      </c>
      <c r="C30" t="n">
        <v>0</v>
      </c>
      <c r="D30" t="n">
        <v>2.3</v>
      </c>
      <c r="E30" t="inlineStr">
        <is>
          <t>ERW 1</t>
        </is>
      </c>
      <c r="F30" t="inlineStr">
        <is>
          <t>PE</t>
        </is>
      </c>
      <c r="G30" t="inlineStr">
        <is>
          <t>HR</t>
        </is>
      </c>
      <c r="H30">
        <f>_xlfn.CONCAT(salesforecast[[#This Row],[OD]],"-",salesforecast[[#This Row],[ID]],"-",salesforecast[[#This Row],[TICKNESS]],"-",salesforecast[[#This Row],[GRADE]],"-",salesforecast[[#This Row],[FC/NFC]])</f>
        <v/>
      </c>
      <c r="I30" s="43">
        <f>SUMIFS(scheduleapr[SCHEDULE IN MT],scheduleapr[Bucket],salesforecast[[#This Row],[Bucket]])</f>
        <v/>
      </c>
      <c r="J30" t="n">
        <v>3682070</v>
      </c>
      <c r="K30">
        <f>COUNTIF('helper sheet'!$A$1:$A$33,salesforecast[[#This Row],[LL Material Code]])</f>
        <v/>
      </c>
      <c r="N30" t="inlineStr">
        <is>
          <t>TUB-O-N-AUT-AW-PE-19.05X2.300X6.0500</t>
        </is>
      </c>
      <c r="P30" s="47" t="inlineStr">
        <is>
          <t>0789</t>
        </is>
      </c>
      <c r="Q30" t="n">
        <v>37</v>
      </c>
      <c r="R30" t="n">
        <v>100</v>
      </c>
      <c r="S30" t="n">
        <v>63</v>
      </c>
      <c r="T30" s="585">
        <f>ROUNDUP(MAX(salesforecast[[#This Row],[FY25 Average]],salesforecast[[#This Row],[July Schedule]]),0)</f>
        <v/>
      </c>
      <c r="U30" s="585">
        <f>salesforecast[[#This Row],[Forecast]]-salesforecast[[#This Row],[July Schedule]]</f>
        <v/>
      </c>
      <c r="V30">
        <f>salesforecast[[#This Row],[Plant]]</f>
        <v/>
      </c>
      <c r="W30" s="66">
        <f t="array" ref="W30">_xlfn.TEXTJOIN("|",TRUE,(_xlfn.UNIQUE(_xlfn._xlws.FILTER(scheduleapr[CUSTOMER NAME],scheduleapr[Bucket]=salesforecast[[#This Row],[Bucket]]))))</f>
        <v/>
      </c>
      <c r="X30" s="66">
        <f t="array" ref="X30">_xlfn.TEXTJOIN("|",TRUE,(_xlfn.UNIQUE(_xlfn._xlws.SORT(_xlfn._xlws.FILTER(scheduleapr[LENGTH],scheduleapr[Bucket]=salesforecast[[#This Row],[Bucket]])))))</f>
        <v/>
      </c>
      <c r="Y30" s="66">
        <f t="array" ref="Y30">_xlfn.TEXTJOIN("|",TRUE,_xlfn._xlws.FILTER(buckets[Material Codes],(buckets[Bucket]=salesforecast[[#This Row],[Bucket2]])*(buckets[LL or CTL]="CTL")))</f>
        <v/>
      </c>
      <c r="Z30">
        <f>salesforecast[[#This Row],[Bucket]]</f>
        <v/>
      </c>
      <c r="AA30" s="43">
        <f>salesforecast[[#This Row],[July Schedule]]</f>
        <v/>
      </c>
      <c r="AB30" s="43">
        <f>SUMIF(salesTVS[buckets.Bucket],salesforecast[[#This Row],[Bucket]],salesTVS[Quantity])/1000</f>
        <v/>
      </c>
      <c r="AC30" s="43">
        <f>SUMIFS(stock[MT],stock[Bucket],salesforecast[[#This Row],[Bucket]],stock[LL or CTL],"CTL")</f>
        <v/>
      </c>
      <c r="AD30" s="43">
        <f>SUMIF(stock[Bucket],salesforecast[[#This Row],[Bucket]],stock[MT])-salesforecast[[#This Row],[Stock CTL]]</f>
        <v/>
      </c>
      <c r="AE30" s="43" t="e">
        <v>#REF!</v>
      </c>
      <c r="AF30" s="43">
        <f>SUMIF(wip[Bucket],salesforecast[[#This Row],[Bucket]],wip[Stock(Net Wt)])/1000</f>
        <v/>
      </c>
      <c r="AG30" s="43" t="e">
        <v>#REF!</v>
      </c>
      <c r="AH30" s="43">
        <f>SUMIFS(stock[MT],stock[Bucket],salesforecast[[#This Row],[Bucket2]],stock[Plant],"0788")</f>
        <v/>
      </c>
      <c r="AI30" s="43">
        <f>((salesforecast[[#This Row],[WIP]]+salesforecast[[#This Row],[Stock LL]]))/salesforecast[[#This Row],[July Schedule]]*30</f>
        <v/>
      </c>
      <c r="AJ30" s="585">
        <f>salesforecast[[#This Row],[Stock LL]]/salesforecast[[#This Row],[Schedule]]*30</f>
        <v/>
      </c>
      <c r="AK30" s="43">
        <f>SUMIFS(stock[MT],stock[Bucket],salesforecast[[#This Row],[Bucket2]],stock[Plant],"0789",stock[LL or CTL],"LL")</f>
        <v/>
      </c>
      <c r="AL30" s="193">
        <f>(salesforecast[[#This Row],[Sales]])/salesforecast[[#This Row],[Schedule]]</f>
        <v/>
      </c>
      <c r="AM30" s="43">
        <f>SUMIFS(stock[MT],stock[Plant],salesforecast[[#This Row],[Plant]],stock[LL or CTL],"LL",stock[Bucket],salesforecast[[#This Row],[Bucket]])</f>
        <v/>
      </c>
      <c r="AN30" s="43">
        <f>SUMIFS(scheduleapr[SCHEDULE IN MT],scheduleapr[CUSTOMER NAME],"*Rajsriya*",scheduleapr[Bucket],salesforecast[[#This Row],[Bucket]])</f>
        <v/>
      </c>
      <c r="AO30" s="43">
        <f>SUMIFS(salesTVS[Quantity],salesTVS[CUSTOMER  NAME],"*RAJSRIYA*",salesTVS[buckets.Bucket],salesforecast[[#This Row],[Bucket]])/1000</f>
        <v/>
      </c>
      <c r="AP30" s="43">
        <f>SUMIFS(stock[MT],stock[Plant],4318,stock[Bucket],salesforecast[[#This Row],[Bucket2]])</f>
        <v/>
      </c>
      <c r="AQ30" s="43">
        <f>SUMIFS(stock[MT],stock[Plant],4731,stock[Bucket],salesforecast[[#This Row],[Bucket2]],stock[LL or CTL],"CTL")</f>
        <v/>
      </c>
      <c r="AR30" s="43">
        <f>SUMIFS(stock[MT],stock[Plant],4731,stock[Bucket],salesforecast[[#This Row],[Bucket2]])-salesforecast[[#This Row],[4731 Stock CTL]]</f>
        <v/>
      </c>
      <c r="AS30" s="43">
        <f>SUMIFS(stock[MT],stock[Plant],8406,stock[Bucket],salesforecast[[#This Row],[Bucket2]])</f>
        <v/>
      </c>
    </row>
    <row r="31">
      <c r="A31" t="n">
        <v>20</v>
      </c>
      <c r="B31" t="n">
        <v>20</v>
      </c>
      <c r="C31" t="n">
        <v>17.16</v>
      </c>
      <c r="D31" t="n">
        <v>1.42</v>
      </c>
      <c r="E31" t="inlineStr">
        <is>
          <t>CEW</t>
        </is>
      </c>
      <c r="F31" t="inlineStr">
        <is>
          <t>CEW</t>
        </is>
      </c>
      <c r="G31" t="inlineStr">
        <is>
          <t>HR</t>
        </is>
      </c>
      <c r="H31">
        <f>_xlfn.CONCAT(salesforecast[[#This Row],[OD]],"-",salesforecast[[#This Row],[ID]],"-",salesforecast[[#This Row],[TICKNESS]],"-",salesforecast[[#This Row],[GRADE]],"-",salesforecast[[#This Row],[FC/NFC]])</f>
        <v/>
      </c>
      <c r="I31" s="43">
        <f>SUMIFS(scheduleapr[SCHEDULE IN MT],scheduleapr[Bucket],salesforecast[[#This Row],[Bucket]])</f>
        <v/>
      </c>
      <c r="J31" t="n">
        <v>3769066</v>
      </c>
      <c r="K31">
        <f>COUNTIF('helper sheet'!$A$1:$A$33,salesforecast[[#This Row],[LL Material Code]])</f>
        <v/>
      </c>
      <c r="N31" t="inlineStr">
        <is>
          <t>TUB-O-C-CEW-AD-FC-20.00X1.420X5.8500</t>
        </is>
      </c>
      <c r="P31" s="47" t="inlineStr">
        <is>
          <t>0788</t>
        </is>
      </c>
      <c r="Q31" t="n">
        <v>0</v>
      </c>
      <c r="R31" t="n">
        <v>3</v>
      </c>
      <c r="S31" t="n">
        <v>1</v>
      </c>
      <c r="T31" s="585">
        <f>ROUNDUP(MAX(salesforecast[[#This Row],[FY25 Average]],salesforecast[[#This Row],[July Schedule]]),0)</f>
        <v/>
      </c>
      <c r="U31" s="585">
        <f>salesforecast[[#This Row],[Forecast]]-salesforecast[[#This Row],[July Schedule]]</f>
        <v/>
      </c>
      <c r="V31">
        <f>salesforecast[[#This Row],[Plant]]</f>
        <v/>
      </c>
      <c r="W31" s="66">
        <f t="array" ref="W31">_xlfn.TEXTJOIN("|",TRUE,(_xlfn.UNIQUE(_xlfn._xlws.FILTER(scheduleapr[CUSTOMER NAME],scheduleapr[Bucket]=salesforecast[[#This Row],[Bucket]]))))</f>
        <v/>
      </c>
      <c r="X31" s="66">
        <f t="array" ref="X31">_xlfn.TEXTJOIN("|",TRUE,(_xlfn.UNIQUE(_xlfn._xlws.SORT(_xlfn._xlws.FILTER(scheduleapr[LENGTH],scheduleapr[Bucket]=salesforecast[[#This Row],[Bucket]])))))</f>
        <v/>
      </c>
      <c r="Y31" s="66">
        <f t="array" ref="Y31">_xlfn.TEXTJOIN("|",TRUE,_xlfn._xlws.FILTER(buckets[Material Codes],(buckets[Bucket]=salesforecast[[#This Row],[Bucket2]])))</f>
        <v/>
      </c>
      <c r="Z31">
        <f>salesforecast[[#This Row],[Bucket]]</f>
        <v/>
      </c>
      <c r="AA31" s="43">
        <f>salesforecast[[#This Row],[July Schedule]]</f>
        <v/>
      </c>
      <c r="AB31" s="43">
        <f>SUMIF(salesTVS[buckets.Bucket],salesforecast[[#This Row],[Bucket]],salesTVS[Quantity])/1000</f>
        <v/>
      </c>
      <c r="AC31" s="43">
        <f>SUMIFS(stock[MT],stock[Bucket],salesforecast[[#This Row],[Bucket]],stock[LL or CTL],"CTL")</f>
        <v/>
      </c>
      <c r="AD31" s="43">
        <f>SUMIF(stock[Bucket],salesforecast[[#This Row],[Bucket]],stock[MT])-salesforecast[[#This Row],[Stock CTL]]</f>
        <v/>
      </c>
      <c r="AE31" s="43" t="e">
        <v>#REF!</v>
      </c>
      <c r="AF31" s="43">
        <f>SUMIF(wip[Bucket],salesforecast[[#This Row],[Bucket]],wip[Stock(Net Wt)])/1000</f>
        <v/>
      </c>
      <c r="AG31" s="43" t="e">
        <v>#REF!</v>
      </c>
      <c r="AH31" s="43">
        <f>SUMIFS(stock[MT],stock[Bucket],salesforecast[[#This Row],[Bucket2]],stock[Plant],"0788")</f>
        <v/>
      </c>
      <c r="AI31" s="43">
        <f>((salesforecast[[#This Row],[WIP]]+salesforecast[[#This Row],[Stock LL]]))/salesforecast[[#This Row],[July Schedule]]*30</f>
        <v/>
      </c>
      <c r="AJ31" s="585">
        <f>salesforecast[[#This Row],[Stock LL]]/salesforecast[[#This Row],[Schedule]]*30</f>
        <v/>
      </c>
      <c r="AK31" s="43">
        <f>SUMIFS(stock[MT],stock[Bucket],salesforecast[[#This Row],[Bucket2]],stock[Plant],"0789",stock[LL or CTL],"LL")</f>
        <v/>
      </c>
      <c r="AL31" s="193">
        <f>(salesforecast[[#This Row],[Sales]])/salesforecast[[#This Row],[Schedule]]</f>
        <v/>
      </c>
      <c r="AM31" s="43">
        <f>SUMIFS(stock[MT],stock[Plant],salesforecast[[#This Row],[Plant]],stock[LL or CTL],"LL",stock[Bucket],salesforecast[[#This Row],[Bucket]])</f>
        <v/>
      </c>
      <c r="AN31" s="43">
        <f>SUMIFS(scheduleapr[SCHEDULE IN MT],scheduleapr[CUSTOMER NAME],"*Rajsriya*",scheduleapr[Bucket],salesforecast[[#This Row],[Bucket]])</f>
        <v/>
      </c>
      <c r="AO31" s="43">
        <f>SUMIFS(salesTVS[Quantity],salesTVS[CUSTOMER  NAME],"*RAJSRIYA*",salesTVS[buckets.Bucket],salesforecast[[#This Row],[Bucket]])/1000</f>
        <v/>
      </c>
      <c r="AP31" s="43">
        <f>SUMIFS(stock[MT],stock[Plant],4318,stock[Bucket],salesforecast[[#This Row],[Bucket2]])</f>
        <v/>
      </c>
      <c r="AQ31" s="43">
        <f>SUMIFS(stock[MT],stock[Plant],4731,stock[Bucket],salesforecast[[#This Row],[Bucket2]],stock[LL or CTL],"CTL")</f>
        <v/>
      </c>
      <c r="AR31" s="43">
        <f>SUMIFS(stock[MT],stock[Plant],4731,stock[Bucket],salesforecast[[#This Row],[Bucket2]])-salesforecast[[#This Row],[4731 Stock CTL]]</f>
        <v/>
      </c>
      <c r="AS31" s="43">
        <f>SUMIFS(stock[MT],stock[Plant],8406,stock[Bucket],salesforecast[[#This Row],[Bucket2]])</f>
        <v/>
      </c>
    </row>
    <row r="32">
      <c r="A32" t="n">
        <v>20</v>
      </c>
      <c r="B32" t="n">
        <v>20</v>
      </c>
      <c r="C32" t="n">
        <v>12.4</v>
      </c>
      <c r="D32" t="n">
        <v>3.8</v>
      </c>
      <c r="E32" t="inlineStr">
        <is>
          <t>CEW</t>
        </is>
      </c>
      <c r="F32" t="inlineStr">
        <is>
          <t>CEW</t>
        </is>
      </c>
      <c r="G32" t="inlineStr">
        <is>
          <t>HR</t>
        </is>
      </c>
      <c r="H32">
        <f>_xlfn.CONCAT(salesforecast[[#This Row],[OD]],"-",salesforecast[[#This Row],[ID]],"-",salesforecast[[#This Row],[TICKNESS]],"-",salesforecast[[#This Row],[GRADE]],"-",salesforecast[[#This Row],[FC/NFC]])</f>
        <v/>
      </c>
      <c r="I32" s="43">
        <f>SUMIFS(scheduleapr[SCHEDULE IN MT],scheduleapr[Bucket],salesforecast[[#This Row],[Bucket]])</f>
        <v/>
      </c>
      <c r="J32" t="n">
        <v>2439536</v>
      </c>
      <c r="K32">
        <f>COUNTIF('helper sheet'!$A$1:$A$33,salesforecast[[#This Row],[LL Material Code]])</f>
        <v/>
      </c>
      <c r="N32" t="inlineStr">
        <is>
          <t>TUB-O-C-AUT-AD-FC-20.00X3.800X04-05</t>
        </is>
      </c>
      <c r="P32" s="47" t="inlineStr">
        <is>
          <t>0788</t>
        </is>
      </c>
      <c r="Q32" t="n">
        <v>0</v>
      </c>
      <c r="R32" t="n">
        <v>18</v>
      </c>
      <c r="S32" t="n">
        <v>3</v>
      </c>
      <c r="T32" s="585">
        <f>ROUNDUP(MAX(salesforecast[[#This Row],[FY25 Average]],salesforecast[[#This Row],[July Schedule]]),0)</f>
        <v/>
      </c>
      <c r="U32" s="585">
        <f>salesforecast[[#This Row],[Forecast]]-salesforecast[[#This Row],[July Schedule]]</f>
        <v/>
      </c>
      <c r="V32">
        <f>salesforecast[[#This Row],[Plant]]</f>
        <v/>
      </c>
      <c r="W32" s="66">
        <f t="array" ref="W32">_xlfn.TEXTJOIN("|",TRUE,(_xlfn.UNIQUE(_xlfn._xlws.FILTER(scheduleapr[CUSTOMER NAME],scheduleapr[Bucket]=salesforecast[[#This Row],[Bucket]]))))</f>
        <v/>
      </c>
      <c r="X32" s="66">
        <f t="array" ref="X32">_xlfn.TEXTJOIN("|",TRUE,(_xlfn.UNIQUE(_xlfn._xlws.SORT(_xlfn._xlws.FILTER(scheduleapr[LENGTH],scheduleapr[Bucket]=salesforecast[[#This Row],[Bucket]])))))</f>
        <v/>
      </c>
      <c r="Y32" s="66">
        <f t="array" ref="Y32">_xlfn.TEXTJOIN("|",TRUE,_xlfn._xlws.FILTER(buckets[Material Codes],(buckets[Bucket]=salesforecast[[#This Row],[Bucket2]])))</f>
        <v/>
      </c>
      <c r="Z32">
        <f>salesforecast[[#This Row],[Bucket]]</f>
        <v/>
      </c>
      <c r="AA32" s="43">
        <f>salesforecast[[#This Row],[July Schedule]]</f>
        <v/>
      </c>
      <c r="AB32" s="43">
        <f>SUMIF(salesTVS[buckets.Bucket],salesforecast[[#This Row],[Bucket]],salesTVS[Quantity])/1000</f>
        <v/>
      </c>
      <c r="AC32" s="43">
        <f>SUMIFS(stock[MT],stock[Bucket],salesforecast[[#This Row],[Bucket]],stock[LL or CTL],"CTL")</f>
        <v/>
      </c>
      <c r="AD32" s="43">
        <f>SUMIF(stock[Bucket],salesforecast[[#This Row],[Bucket]],stock[MT])-salesforecast[[#This Row],[Stock CTL]]</f>
        <v/>
      </c>
      <c r="AE32" s="43" t="e">
        <v>#REF!</v>
      </c>
      <c r="AF32" s="43">
        <f>SUMIF(wip[Bucket],salesforecast[[#This Row],[Bucket]],wip[Stock(Net Wt)])/1000</f>
        <v/>
      </c>
      <c r="AG32" s="43" t="e">
        <v>#REF!</v>
      </c>
      <c r="AH32" s="43">
        <f>SUMIFS(stock[MT],stock[Bucket],salesforecast[[#This Row],[Bucket2]],stock[Plant],"0788")</f>
        <v/>
      </c>
      <c r="AI32" s="43">
        <f>((salesforecast[[#This Row],[WIP]]+salesforecast[[#This Row],[Stock LL]]))/salesforecast[[#This Row],[July Schedule]]*30</f>
        <v/>
      </c>
      <c r="AJ32" s="585">
        <f>salesforecast[[#This Row],[Stock LL]]/salesforecast[[#This Row],[Schedule]]*30</f>
        <v/>
      </c>
      <c r="AK32" s="43">
        <f>SUMIFS(stock[MT],stock[Bucket],salesforecast[[#This Row],[Bucket2]],stock[Plant],"0789",stock[LL or CTL],"LL")</f>
        <v/>
      </c>
      <c r="AL32" s="193">
        <f>(salesforecast[[#This Row],[Sales]])/salesforecast[[#This Row],[Schedule]]</f>
        <v/>
      </c>
      <c r="AM32" s="67">
        <f>SUMIFS(stock[MT],stock[Plant],salesforecast[[#This Row],[Plant]],stock[LL or CTL],"LL",stock[Bucket],salesforecast[[#This Row],[Bucket]])</f>
        <v/>
      </c>
      <c r="AN32" s="43">
        <f>SUMIFS(scheduleapr[SCHEDULE IN MT],scheduleapr[CUSTOMER NAME],"*Rajsriya*",scheduleapr[Bucket],salesforecast[[#This Row],[Bucket]])</f>
        <v/>
      </c>
      <c r="AO32" s="43">
        <f>SUMIFS(salesTVS[Quantity],salesTVS[CUSTOMER  NAME],"*RAJSRIYA*",salesTVS[buckets.Bucket],salesforecast[[#This Row],[Bucket]])/1000</f>
        <v/>
      </c>
      <c r="AP32" s="43">
        <f>SUMIFS(stock[MT],stock[Plant],4318,stock[Bucket],salesforecast[[#This Row],[Bucket2]])</f>
        <v/>
      </c>
      <c r="AQ32" s="43">
        <f>SUMIFS(stock[MT],stock[Plant],4731,stock[Bucket],salesforecast[[#This Row],[Bucket2]],stock[LL or CTL],"CTL")</f>
        <v/>
      </c>
      <c r="AR32" s="43">
        <f>SUMIFS(stock[MT],stock[Plant],4731,stock[Bucket],salesforecast[[#This Row],[Bucket2]])-salesforecast[[#This Row],[4731 Stock CTL]]</f>
        <v/>
      </c>
      <c r="AS32" s="43">
        <f>SUMIFS(stock[MT],stock[Plant],8406,stock[Bucket],salesforecast[[#This Row],[Bucket2]])</f>
        <v/>
      </c>
    </row>
    <row r="33">
      <c r="A33" t="n">
        <v>20</v>
      </c>
      <c r="B33" t="n">
        <v>20</v>
      </c>
      <c r="C33" t="n">
        <v>12.4</v>
      </c>
      <c r="D33" t="n">
        <v>4.5</v>
      </c>
      <c r="E33" t="inlineStr">
        <is>
          <t>CEW</t>
        </is>
      </c>
      <c r="F33" t="inlineStr">
        <is>
          <t>CEW</t>
        </is>
      </c>
      <c r="G33" t="inlineStr">
        <is>
          <t>HR</t>
        </is>
      </c>
      <c r="H33">
        <f>_xlfn.CONCAT(salesforecast[[#This Row],[OD]],"-",salesforecast[[#This Row],[ID]],"-",salesforecast[[#This Row],[TICKNESS]],"-",salesforecast[[#This Row],[GRADE]],"-",salesforecast[[#This Row],[FC/NFC]])</f>
        <v/>
      </c>
      <c r="I33" s="43">
        <f>SUMIFS(scheduleapr[SCHEDULE IN MT],scheduleapr[Bucket],salesforecast[[#This Row],[Bucket]])</f>
        <v/>
      </c>
      <c r="J33" s="91" t="n">
        <v>2439535</v>
      </c>
      <c r="K33">
        <f>COUNTIF('helper sheet'!$A$1:$A$33,salesforecast[[#This Row],[LL Material Code]])</f>
        <v/>
      </c>
      <c r="N33" t="inlineStr">
        <is>
          <t>TUB-O-C-AUT-AD-FC-20.00X4.500X04-05</t>
        </is>
      </c>
      <c r="P33" s="47" t="inlineStr">
        <is>
          <t>0788</t>
        </is>
      </c>
      <c r="Q33" t="n">
        <v>0</v>
      </c>
      <c r="R33" t="n">
        <v>2</v>
      </c>
      <c r="S33" t="n">
        <v>0</v>
      </c>
      <c r="T33" s="585">
        <f>ROUNDUP(MAX(salesforecast[[#This Row],[FY25 Average]],salesforecast[[#This Row],[July Schedule]]),0)</f>
        <v/>
      </c>
      <c r="U33" s="585">
        <f>salesforecast[[#This Row],[Forecast]]-salesforecast[[#This Row],[July Schedule]]</f>
        <v/>
      </c>
      <c r="V33">
        <f>salesforecast[[#This Row],[Plant]]</f>
        <v/>
      </c>
      <c r="W33" s="66">
        <f t="array" ref="W33">_xlfn.TEXTJOIN("|",TRUE,(_xlfn.UNIQUE(_xlfn._xlws.FILTER(scheduleapr[CUSTOMER NAME],scheduleapr[Bucket]=salesforecast[[#This Row],[Bucket]]))))</f>
        <v/>
      </c>
      <c r="X33" s="66">
        <f t="array" ref="X33">_xlfn.TEXTJOIN("|",TRUE,(_xlfn.UNIQUE(_xlfn._xlws.SORT(_xlfn._xlws.FILTER(scheduleapr[LENGTH],scheduleapr[Bucket]=salesforecast[[#This Row],[Bucket]])))))</f>
        <v/>
      </c>
      <c r="Y33" s="66">
        <f t="array" ref="Y33">_xlfn.TEXTJOIN("|",TRUE,_xlfn._xlws.FILTER(buckets[Material Codes],(buckets[Bucket]=salesforecast[[#This Row],[Bucket2]])))</f>
        <v/>
      </c>
      <c r="Z33">
        <f>salesforecast[[#This Row],[Bucket]]</f>
        <v/>
      </c>
      <c r="AA33" s="43">
        <f>salesforecast[[#This Row],[July Schedule]]</f>
        <v/>
      </c>
      <c r="AB33" s="43">
        <f>SUMIF(salesTVS[buckets.Bucket],salesforecast[[#This Row],[Bucket]],salesTVS[Quantity])/1000</f>
        <v/>
      </c>
      <c r="AC33" s="43">
        <f>SUMIFS(stock[MT],stock[Bucket],salesforecast[[#This Row],[Bucket]],stock[LL or CTL],"CTL")</f>
        <v/>
      </c>
      <c r="AD33" s="43">
        <f>SUMIF(stock[Bucket],salesforecast[[#This Row],[Bucket]],stock[MT])-salesforecast[[#This Row],[Stock CTL]]</f>
        <v/>
      </c>
      <c r="AE33" s="43" t="e">
        <v>#REF!</v>
      </c>
      <c r="AF33" s="43">
        <f>SUMIF(wip[Bucket],salesforecast[[#This Row],[Bucket]],wip[Stock(Net Wt)])/1000</f>
        <v/>
      </c>
      <c r="AG33" s="43" t="e">
        <v>#REF!</v>
      </c>
      <c r="AH33" s="43">
        <f>SUMIFS(stock[MT],stock[Bucket],salesforecast[[#This Row],[Bucket2]],stock[Plant],"0788")</f>
        <v/>
      </c>
      <c r="AI33" s="43">
        <f>((salesforecast[[#This Row],[WIP]]+salesforecast[[#This Row],[Stock LL]]))/salesforecast[[#This Row],[July Schedule]]*30</f>
        <v/>
      </c>
      <c r="AJ33" s="585">
        <f>salesforecast[[#This Row],[Stock LL]]/salesforecast[[#This Row],[Schedule]]*30</f>
        <v/>
      </c>
      <c r="AK33" s="43">
        <f>SUMIFS(stock[MT],stock[Bucket],salesforecast[[#This Row],[Bucket2]],stock[Plant],"0789",stock[LL or CTL],"LL")</f>
        <v/>
      </c>
      <c r="AL33" s="193">
        <f>(salesforecast[[#This Row],[Sales]])/salesforecast[[#This Row],[Schedule]]</f>
        <v/>
      </c>
      <c r="AM33" s="43">
        <f>SUMIFS(stock[MT],stock[Plant],salesforecast[[#This Row],[Plant]],stock[LL or CTL],"LL",stock[Bucket],salesforecast[[#This Row],[Bucket]])</f>
        <v/>
      </c>
      <c r="AN33" s="43">
        <f>SUMIFS(scheduleapr[SCHEDULE IN MT],scheduleapr[CUSTOMER NAME],"*Rajsriya*",scheduleapr[Bucket],salesforecast[[#This Row],[Bucket]])</f>
        <v/>
      </c>
      <c r="AO33" s="43">
        <f>SUMIFS(salesTVS[Quantity],salesTVS[CUSTOMER  NAME],"*RAJSRIYA*",salesTVS[buckets.Bucket],salesforecast[[#This Row],[Bucket]])/1000</f>
        <v/>
      </c>
      <c r="AP33" s="43">
        <f>SUMIFS(stock[MT],stock[Plant],4318,stock[Bucket],salesforecast[[#This Row],[Bucket2]])</f>
        <v/>
      </c>
      <c r="AQ33" s="43">
        <f>SUMIFS(stock[MT],stock[Plant],4731,stock[Bucket],salesforecast[[#This Row],[Bucket2]],stock[LL or CTL],"CTL")</f>
        <v/>
      </c>
      <c r="AR33" s="43">
        <f>SUMIFS(stock[MT],stock[Plant],4731,stock[Bucket],salesforecast[[#This Row],[Bucket2]])-salesforecast[[#This Row],[4731 Stock CTL]]</f>
        <v/>
      </c>
      <c r="AS33" s="43">
        <f>SUMIFS(stock[MT],stock[Plant],8406,stock[Bucket],salesforecast[[#This Row],[Bucket2]])</f>
        <v/>
      </c>
    </row>
    <row r="34" ht="30" customHeight="1" s="584">
      <c r="A34" t="n">
        <v>21.7</v>
      </c>
      <c r="B34" t="n">
        <v>21.7</v>
      </c>
      <c r="C34" t="n">
        <v>16.2</v>
      </c>
      <c r="D34" t="n">
        <v>2.75</v>
      </c>
      <c r="E34" t="inlineStr">
        <is>
          <t>CEW</t>
        </is>
      </c>
      <c r="F34" t="inlineStr">
        <is>
          <t>CEW</t>
        </is>
      </c>
      <c r="G34" t="inlineStr">
        <is>
          <t>HR</t>
        </is>
      </c>
      <c r="H34">
        <f>_xlfn.CONCAT(salesforecast[[#This Row],[OD]],"-",salesforecast[[#This Row],[ID]],"-",salesforecast[[#This Row],[TICKNESS]],"-",salesforecast[[#This Row],[GRADE]],"-",salesforecast[[#This Row],[FC/NFC]])</f>
        <v/>
      </c>
      <c r="I34" s="43">
        <f>SUMIFS(scheduleapr[SCHEDULE IN MT],scheduleapr[Bucket],salesforecast[[#This Row],[Bucket]])</f>
        <v/>
      </c>
      <c r="J34" t="n">
        <v>2410999</v>
      </c>
      <c r="K34">
        <f>COUNTIF('helper sheet'!$A$1:$A$33,salesforecast[[#This Row],[LL Material Code]])</f>
        <v/>
      </c>
      <c r="N34" t="inlineStr">
        <is>
          <t>TUB-O-C-AUT-AD-FC-21.70X2.750X04-05</t>
        </is>
      </c>
      <c r="P34" s="47" t="inlineStr">
        <is>
          <t>0788</t>
        </is>
      </c>
      <c r="Q34" t="n">
        <v>0</v>
      </c>
      <c r="R34" t="n">
        <v>6</v>
      </c>
      <c r="S34" t="n">
        <v>1</v>
      </c>
      <c r="T34" s="585">
        <f>ROUNDUP(MAX(salesforecast[[#This Row],[FY25 Average]],salesforecast[[#This Row],[July Schedule]]),0)</f>
        <v/>
      </c>
      <c r="U34" s="585">
        <f>salesforecast[[#This Row],[Forecast]]-salesforecast[[#This Row],[July Schedule]]</f>
        <v/>
      </c>
      <c r="V34">
        <f>salesforecast[[#This Row],[Plant]]</f>
        <v/>
      </c>
      <c r="W34" s="66">
        <f t="array" ref="W34">_xlfn.TEXTJOIN("|",TRUE,(_xlfn.UNIQUE(_xlfn._xlws.FILTER(scheduleapr[CUSTOMER NAME],scheduleapr[Bucket]=salesforecast[[#This Row],[Bucket]]))))</f>
        <v/>
      </c>
      <c r="X34" s="66">
        <f t="array" ref="X34">_xlfn.TEXTJOIN("|",TRUE,(_xlfn.UNIQUE(_xlfn._xlws.SORT(_xlfn._xlws.FILTER(scheduleapr[LENGTH],scheduleapr[Bucket]=salesforecast[[#This Row],[Bucket]])))))</f>
        <v/>
      </c>
      <c r="Y34" s="66">
        <f t="array" ref="Y34">_xlfn.TEXTJOIN("|",TRUE,_xlfn._xlws.FILTER(buckets[Material Codes],(buckets[Bucket]=salesforecast[[#This Row],[Bucket2]])))</f>
        <v/>
      </c>
      <c r="Z34">
        <f>salesforecast[[#This Row],[Bucket]]</f>
        <v/>
      </c>
      <c r="AA34" s="43">
        <f>salesforecast[[#This Row],[July Schedule]]</f>
        <v/>
      </c>
      <c r="AB34" s="43">
        <f>SUMIF(salesTVS[buckets.Bucket],salesforecast[[#This Row],[Bucket]],salesTVS[Quantity])/1000</f>
        <v/>
      </c>
      <c r="AC34" s="43">
        <f>SUMIFS(stock[MT],stock[Bucket],salesforecast[[#This Row],[Bucket]],stock[LL or CTL],"CTL")</f>
        <v/>
      </c>
      <c r="AD34" s="43">
        <f>SUMIF(stock[Bucket],salesforecast[[#This Row],[Bucket]],stock[MT])-salesforecast[[#This Row],[Stock CTL]]</f>
        <v/>
      </c>
      <c r="AE34" s="43" t="e">
        <v>#REF!</v>
      </c>
      <c r="AF34" s="43">
        <f>SUMIF(wip[Bucket],salesforecast[[#This Row],[Bucket]],wip[Stock(Net Wt)])/1000</f>
        <v/>
      </c>
      <c r="AG34" s="43" t="e">
        <v>#REF!</v>
      </c>
      <c r="AH34" s="43">
        <f>SUMIFS(stock[MT],stock[Bucket],salesforecast[[#This Row],[Bucket2]],stock[Plant],"0788")</f>
        <v/>
      </c>
      <c r="AI34" s="43">
        <f>((salesforecast[[#This Row],[WIP]]+salesforecast[[#This Row],[Stock LL]]))/salesforecast[[#This Row],[July Schedule]]*30</f>
        <v/>
      </c>
      <c r="AJ34" s="585">
        <f>salesforecast[[#This Row],[Stock LL]]/salesforecast[[#This Row],[Schedule]]*30</f>
        <v/>
      </c>
      <c r="AK34" s="43">
        <f>SUMIFS(stock[MT],stock[Bucket],salesforecast[[#This Row],[Bucket2]],stock[Plant],"0789",stock[LL or CTL],"LL")</f>
        <v/>
      </c>
      <c r="AL34" s="193">
        <f>(salesforecast[[#This Row],[Sales]])/salesforecast[[#This Row],[Schedule]]</f>
        <v/>
      </c>
      <c r="AM34" s="43">
        <f>SUMIFS(stock[MT],stock[Plant],salesforecast[[#This Row],[Plant]],stock[LL or CTL],"LL",stock[Bucket],salesforecast[[#This Row],[Bucket]])</f>
        <v/>
      </c>
      <c r="AN34" s="43">
        <f>SUMIFS(scheduleapr[SCHEDULE IN MT],scheduleapr[CUSTOMER NAME],"*Rajsriya*",scheduleapr[Bucket],salesforecast[[#This Row],[Bucket]])</f>
        <v/>
      </c>
      <c r="AO34" s="43">
        <f>SUMIFS(salesTVS[Quantity],salesTVS[CUSTOMER  NAME],"*RAJSRIYA*",salesTVS[buckets.Bucket],salesforecast[[#This Row],[Bucket]])/1000</f>
        <v/>
      </c>
      <c r="AP34" s="43">
        <f>SUMIFS(stock[MT],stock[Plant],4318,stock[Bucket],salesforecast[[#This Row],[Bucket2]])</f>
        <v/>
      </c>
      <c r="AQ34" s="43">
        <f>SUMIFS(stock[MT],stock[Plant],4731,stock[Bucket],salesforecast[[#This Row],[Bucket2]],stock[LL or CTL],"CTL")</f>
        <v/>
      </c>
      <c r="AR34" s="43">
        <f>SUMIFS(stock[MT],stock[Plant],4731,stock[Bucket],salesforecast[[#This Row],[Bucket2]])-salesforecast[[#This Row],[4731 Stock CTL]]</f>
        <v/>
      </c>
      <c r="AS34" s="43">
        <f>SUMIFS(stock[MT],stock[Plant],8406,stock[Bucket],salesforecast[[#This Row],[Bucket2]])</f>
        <v/>
      </c>
    </row>
    <row r="35" ht="30" customHeight="1" s="584">
      <c r="A35" t="n">
        <v>21.75</v>
      </c>
      <c r="B35" t="n">
        <v>21.75</v>
      </c>
      <c r="C35" t="n">
        <v>0</v>
      </c>
      <c r="D35" t="n">
        <v>3.5</v>
      </c>
      <c r="E35" t="inlineStr">
        <is>
          <t>CEW</t>
        </is>
      </c>
      <c r="F35" t="inlineStr">
        <is>
          <t>CEW</t>
        </is>
      </c>
      <c r="G35" t="inlineStr">
        <is>
          <t>HR</t>
        </is>
      </c>
      <c r="H35">
        <f>_xlfn.CONCAT(salesforecast[[#This Row],[OD]],"-",salesforecast[[#This Row],[ID]],"-",salesforecast[[#This Row],[TICKNESS]],"-",salesforecast[[#This Row],[GRADE]],"-",salesforecast[[#This Row],[FC/NFC]])</f>
        <v/>
      </c>
      <c r="I35" s="43">
        <f>SUMIFS(scheduleapr[SCHEDULE IN MT],scheduleapr[Bucket],salesforecast[[#This Row],[Bucket]])</f>
        <v/>
      </c>
      <c r="J35" s="28" t="n">
        <v>2410994</v>
      </c>
      <c r="K35">
        <f>COUNTIF('helper sheet'!$A$1:$A$33,salesforecast[[#This Row],[LL Material Code]])</f>
        <v/>
      </c>
      <c r="N35" t="inlineStr">
        <is>
          <t>TUB-O-C-AUT-AD-FC-21.75X3.500X04-05</t>
        </is>
      </c>
      <c r="P35" s="47" t="inlineStr">
        <is>
          <t>0788</t>
        </is>
      </c>
      <c r="Q35" t="n">
        <v>0</v>
      </c>
      <c r="R35" t="n">
        <v>11</v>
      </c>
      <c r="S35" t="n">
        <v>3</v>
      </c>
      <c r="T35" s="585">
        <f>ROUNDUP(MAX(salesforecast[[#This Row],[FY25 Average]],salesforecast[[#This Row],[July Schedule]]),0)</f>
        <v/>
      </c>
      <c r="U35" s="585">
        <f>salesforecast[[#This Row],[Forecast]]-salesforecast[[#This Row],[July Schedule]]</f>
        <v/>
      </c>
      <c r="V35">
        <f>salesforecast[[#This Row],[Plant]]</f>
        <v/>
      </c>
      <c r="W35" s="66">
        <f t="array" ref="W35">_xlfn.TEXTJOIN("|",TRUE,(_xlfn.UNIQUE(_xlfn._xlws.FILTER(scheduleapr[CUSTOMER NAME],scheduleapr[Bucket]=salesforecast[[#This Row],[Bucket]]))))</f>
        <v/>
      </c>
      <c r="X35" s="66">
        <f t="array" ref="X35">_xlfn.TEXTJOIN("|",TRUE,(_xlfn.UNIQUE(_xlfn._xlws.SORT(_xlfn._xlws.FILTER(scheduleapr[LENGTH],scheduleapr[Bucket]=salesforecast[[#This Row],[Bucket]])))))</f>
        <v/>
      </c>
      <c r="Y35" s="66">
        <f t="array" ref="Y35">_xlfn.TEXTJOIN("|",TRUE,_xlfn._xlws.FILTER(buckets[Material Codes],(buckets[Bucket]=salesforecast[[#This Row],[Bucket2]])))</f>
        <v/>
      </c>
      <c r="Z35">
        <f>salesforecast[[#This Row],[Bucket]]</f>
        <v/>
      </c>
      <c r="AA35" s="43">
        <f>salesforecast[[#This Row],[July Schedule]]</f>
        <v/>
      </c>
      <c r="AB35" s="43">
        <f>SUMIF(salesTVS[buckets.Bucket],salesforecast[[#This Row],[Bucket]],salesTVS[Quantity])/1000</f>
        <v/>
      </c>
      <c r="AC35" s="43">
        <f>SUMIFS(stock[MT],stock[Bucket],salesforecast[[#This Row],[Bucket]],stock[LL or CTL],"CTL")</f>
        <v/>
      </c>
      <c r="AD35" s="43">
        <f>SUMIF(stock[Bucket],salesforecast[[#This Row],[Bucket]],stock[MT])-salesforecast[[#This Row],[Stock CTL]]</f>
        <v/>
      </c>
      <c r="AE35" s="43" t="e">
        <v>#REF!</v>
      </c>
      <c r="AF35" s="43">
        <f>SUMIF(wip[Bucket],salesforecast[[#This Row],[Bucket]],wip[Stock(Net Wt)])/1000</f>
        <v/>
      </c>
      <c r="AG35" s="43" t="e">
        <v>#REF!</v>
      </c>
      <c r="AH35" s="43">
        <f>SUMIFS(stock[MT],stock[Bucket],salesforecast[[#This Row],[Bucket2]],stock[Plant],"0788")</f>
        <v/>
      </c>
      <c r="AI35" s="43">
        <f>((salesforecast[[#This Row],[WIP]]+salesforecast[[#This Row],[Stock LL]]))/salesforecast[[#This Row],[July Schedule]]*30</f>
        <v/>
      </c>
      <c r="AJ35" s="585">
        <f>salesforecast[[#This Row],[Stock LL]]/salesforecast[[#This Row],[Schedule]]*30</f>
        <v/>
      </c>
      <c r="AK35" s="43">
        <f>SUMIFS(stock[MT],stock[Bucket],salesforecast[[#This Row],[Bucket2]],stock[Plant],"0789",stock[LL or CTL],"LL")</f>
        <v/>
      </c>
      <c r="AL35" s="193">
        <f>(salesforecast[[#This Row],[Sales]])/salesforecast[[#This Row],[Schedule]]</f>
        <v/>
      </c>
      <c r="AM35" s="43">
        <f>SUMIFS(stock[MT],stock[Plant],salesforecast[[#This Row],[Plant]],stock[LL or CTL],"LL",stock[Bucket],salesforecast[[#This Row],[Bucket]])</f>
        <v/>
      </c>
      <c r="AN35" s="43">
        <f>SUMIFS(scheduleapr[SCHEDULE IN MT],scheduleapr[CUSTOMER NAME],"*Rajsriya*",scheduleapr[Bucket],salesforecast[[#This Row],[Bucket]])</f>
        <v/>
      </c>
      <c r="AO35" s="43">
        <f>SUMIFS(salesTVS[Quantity],salesTVS[CUSTOMER  NAME],"*RAJSRIYA*",salesTVS[buckets.Bucket],salesforecast[[#This Row],[Bucket]])/1000</f>
        <v/>
      </c>
      <c r="AP35" s="43">
        <f>SUMIFS(stock[MT],stock[Plant],4318,stock[Bucket],salesforecast[[#This Row],[Bucket2]])</f>
        <v/>
      </c>
      <c r="AQ35" s="43">
        <f>SUMIFS(stock[MT],stock[Plant],4731,stock[Bucket],salesforecast[[#This Row],[Bucket2]],stock[LL or CTL],"CTL")</f>
        <v/>
      </c>
      <c r="AR35" s="43">
        <f>SUMIFS(stock[MT],stock[Plant],4731,stock[Bucket],salesforecast[[#This Row],[Bucket2]])-salesforecast[[#This Row],[4731 Stock CTL]]</f>
        <v/>
      </c>
      <c r="AS35" s="43">
        <f>SUMIFS(stock[MT],stock[Plant],8406,stock[Bucket],salesforecast[[#This Row],[Bucket2]])</f>
        <v/>
      </c>
    </row>
    <row r="36" ht="90" customHeight="1" s="584">
      <c r="A36" t="n">
        <v>22.23</v>
      </c>
      <c r="B36" t="n">
        <v>22.23</v>
      </c>
      <c r="C36" t="n">
        <v>0</v>
      </c>
      <c r="D36" t="n">
        <v>1.2</v>
      </c>
      <c r="E36" t="inlineStr">
        <is>
          <t>ERW 1</t>
        </is>
      </c>
      <c r="F36" t="inlineStr">
        <is>
          <t>PE</t>
        </is>
      </c>
      <c r="G36" t="inlineStr">
        <is>
          <t>CR</t>
        </is>
      </c>
      <c r="H36">
        <f>_xlfn.CONCAT(salesforecast[[#This Row],[OD]],"-",salesforecast[[#This Row],[ID]],"-",salesforecast[[#This Row],[TICKNESS]],"-",salesforecast[[#This Row],[GRADE]],"-",salesforecast[[#This Row],[FC/NFC]])</f>
        <v/>
      </c>
      <c r="I36" s="43">
        <f>SUMIFS(scheduleapr[SCHEDULE IN MT],scheduleapr[Bucket],salesforecast[[#This Row],[Bucket]])</f>
        <v/>
      </c>
      <c r="J36" t="n">
        <v>3183145</v>
      </c>
      <c r="K36">
        <f>COUNTIF('helper sheet'!$A$1:$A$33,salesforecast[[#This Row],[LL Material Code]])</f>
        <v/>
      </c>
      <c r="L36" s="15" t="n"/>
      <c r="N36" t="inlineStr">
        <is>
          <t>TUB-O-N-AUT-AW-PE-22.23X1.200X5.8500</t>
        </is>
      </c>
      <c r="P36" s="47" t="inlineStr">
        <is>
          <t>0789</t>
        </is>
      </c>
      <c r="Q36" t="n">
        <v>4</v>
      </c>
      <c r="R36" t="n">
        <v>21</v>
      </c>
      <c r="S36" t="n">
        <v>10</v>
      </c>
      <c r="T36" s="585">
        <f>ROUNDUP(MAX(salesforecast[[#This Row],[FY25 Average]],salesforecast[[#This Row],[July Schedule]]),0)</f>
        <v/>
      </c>
      <c r="U36" s="585">
        <f>salesforecast[[#This Row],[Forecast]]-salesforecast[[#This Row],[July Schedule]]</f>
        <v/>
      </c>
      <c r="V36">
        <f>salesforecast[[#This Row],[Plant]]</f>
        <v/>
      </c>
      <c r="W36" s="66">
        <f t="array" ref="W36">_xlfn.TEXTJOIN("|",TRUE,(_xlfn.UNIQUE(_xlfn._xlws.FILTER(scheduleapr[CUSTOMER NAME],scheduleapr[Bucket]=salesforecast[[#This Row],[Bucket]]))))</f>
        <v/>
      </c>
      <c r="X36" s="66">
        <f t="array" ref="X36">_xlfn.TEXTJOIN("|",TRUE,(_xlfn.UNIQUE(_xlfn._xlws.SORT(_xlfn._xlws.FILTER(scheduleapr[LENGTH],scheduleapr[Bucket]=salesforecast[[#This Row],[Bucket]])))))</f>
        <v/>
      </c>
      <c r="Y36" s="66">
        <f t="array" ref="Y36">_xlfn.TEXTJOIN("|",TRUE,_xlfn._xlws.FILTER(buckets[Material Codes],(buckets[Bucket]=salesforecast[[#This Row],[Bucket2]])*(buckets[LL or CTL]="CTL")))</f>
        <v/>
      </c>
      <c r="Z36">
        <f>salesforecast[[#This Row],[Bucket]]</f>
        <v/>
      </c>
      <c r="AA36" s="43">
        <f>salesforecast[[#This Row],[July Schedule]]</f>
        <v/>
      </c>
      <c r="AB36" s="43">
        <f>SUMIF(salesTVS[buckets.Bucket],salesforecast[[#This Row],[Bucket]],salesTVS[Quantity])/1000</f>
        <v/>
      </c>
      <c r="AC36" s="43">
        <f>SUMIFS(stock[MT],stock[Bucket],salesforecast[[#This Row],[Bucket]],stock[LL or CTL],"CTL")</f>
        <v/>
      </c>
      <c r="AD36" s="43">
        <f>SUMIF(stock[Bucket],salesforecast[[#This Row],[Bucket]],stock[MT])-salesforecast[[#This Row],[Stock CTL]]</f>
        <v/>
      </c>
      <c r="AE36" s="43" t="e">
        <v>#REF!</v>
      </c>
      <c r="AF36" s="43">
        <f>SUMIF(wip[Bucket],salesforecast[[#This Row],[Bucket]],wip[Stock(Net Wt)])/1000</f>
        <v/>
      </c>
      <c r="AG36" s="43" t="e">
        <v>#REF!</v>
      </c>
      <c r="AH36" s="43">
        <f>SUMIFS(stock[MT],stock[Bucket],salesforecast[[#This Row],[Bucket2]],stock[Plant],"0788")</f>
        <v/>
      </c>
      <c r="AI36" s="43">
        <f>((salesforecast[[#This Row],[WIP]]+salesforecast[[#This Row],[Stock LL]]))/salesforecast[[#This Row],[July Schedule]]*30</f>
        <v/>
      </c>
      <c r="AJ36" s="585">
        <f>salesforecast[[#This Row],[Stock LL]]/salesforecast[[#This Row],[Schedule]]*30</f>
        <v/>
      </c>
      <c r="AK36" s="43">
        <f>SUMIFS(stock[MT],stock[Bucket],salesforecast[[#This Row],[Bucket2]],stock[Plant],"0789",stock[LL or CTL],"LL")</f>
        <v/>
      </c>
      <c r="AL36" s="193">
        <f>(salesforecast[[#This Row],[Sales]])/salesforecast[[#This Row],[Schedule]]</f>
        <v/>
      </c>
      <c r="AM36" s="43">
        <f>SUMIFS(stock[MT],stock[Plant],salesforecast[[#This Row],[Plant]],stock[LL or CTL],"LL",stock[Bucket],salesforecast[[#This Row],[Bucket]])</f>
        <v/>
      </c>
      <c r="AN36" s="43">
        <f>SUMIFS(scheduleapr[SCHEDULE IN MT],scheduleapr[CUSTOMER NAME],"*Rajsriya*",scheduleapr[Bucket],salesforecast[[#This Row],[Bucket]])</f>
        <v/>
      </c>
      <c r="AO36" s="43">
        <f>SUMIFS(salesTVS[Quantity],salesTVS[CUSTOMER  NAME],"*RAJSRIYA*",salesTVS[buckets.Bucket],salesforecast[[#This Row],[Bucket]])/1000</f>
        <v/>
      </c>
      <c r="AP36" s="43">
        <f>SUMIFS(stock[MT],stock[Plant],4318,stock[Bucket],salesforecast[[#This Row],[Bucket2]])</f>
        <v/>
      </c>
      <c r="AQ36" s="43">
        <f>SUMIFS(stock[MT],stock[Plant],4731,stock[Bucket],salesforecast[[#This Row],[Bucket2]],stock[LL or CTL],"CTL")</f>
        <v/>
      </c>
      <c r="AR36" s="43">
        <f>SUMIFS(stock[MT],stock[Plant],4731,stock[Bucket],salesforecast[[#This Row],[Bucket2]])-salesforecast[[#This Row],[4731 Stock CTL]]</f>
        <v/>
      </c>
      <c r="AS36" s="43">
        <f>SUMIFS(stock[MT],stock[Plant],8406,stock[Bucket],salesforecast[[#This Row],[Bucket2]])</f>
        <v/>
      </c>
    </row>
    <row r="37" ht="225" customHeight="1" s="584">
      <c r="A37" t="n">
        <v>22.23</v>
      </c>
      <c r="B37" t="n">
        <v>22.23</v>
      </c>
      <c r="C37" t="n">
        <v>0</v>
      </c>
      <c r="D37" t="n">
        <v>1.6</v>
      </c>
      <c r="E37" t="inlineStr">
        <is>
          <t>ERW 1</t>
        </is>
      </c>
      <c r="F37" t="inlineStr">
        <is>
          <t>PE</t>
        </is>
      </c>
      <c r="G37" t="inlineStr">
        <is>
          <t>CR</t>
        </is>
      </c>
      <c r="H37">
        <f>_xlfn.CONCAT(salesforecast[[#This Row],[OD]],"-",salesforecast[[#This Row],[ID]],"-",salesforecast[[#This Row],[TICKNESS]],"-",salesforecast[[#This Row],[GRADE]],"-",salesforecast[[#This Row],[FC/NFC]])</f>
        <v/>
      </c>
      <c r="I37" s="43">
        <f>SUMIFS(scheduleapr[SCHEDULE IN MT],scheduleapr[Bucket],salesforecast[[#This Row],[Bucket]])</f>
        <v/>
      </c>
      <c r="J37" t="n">
        <v>3584139</v>
      </c>
      <c r="K37">
        <f>COUNTIF('helper sheet'!$A$1:$A$33,salesforecast[[#This Row],[LL Material Code]])</f>
        <v/>
      </c>
      <c r="L37" t="n">
        <v>3570689</v>
      </c>
      <c r="N37" t="inlineStr">
        <is>
          <t>TUB-O-N-AUT-AW-PE-22.23X1.600X6.0100</t>
        </is>
      </c>
      <c r="O37" t="inlineStr">
        <is>
          <t>WG</t>
        </is>
      </c>
      <c r="P37" s="47" t="inlineStr">
        <is>
          <t>0789</t>
        </is>
      </c>
      <c r="Q37" t="n">
        <v>49</v>
      </c>
      <c r="R37" t="n">
        <v>139</v>
      </c>
      <c r="S37" t="n">
        <v>97</v>
      </c>
      <c r="T37" s="585">
        <f>ROUNDUP(MAX(salesforecast[[#This Row],[FY25 Average]],salesforecast[[#This Row],[July Schedule]]),0)</f>
        <v/>
      </c>
      <c r="U37" s="585">
        <f>salesforecast[[#This Row],[Forecast]]-salesforecast[[#This Row],[July Schedule]]</f>
        <v/>
      </c>
      <c r="V37">
        <f>salesforecast[[#This Row],[Plant]]</f>
        <v/>
      </c>
      <c r="W37" s="66">
        <f t="array" ref="W37">_xlfn.TEXTJOIN("|",TRUE,(_xlfn.UNIQUE(_xlfn._xlws.FILTER(scheduleapr[CUSTOMER NAME],scheduleapr[Bucket]=salesforecast[[#This Row],[Bucket]]))))</f>
        <v/>
      </c>
      <c r="X37" s="66">
        <f t="array" ref="X37">_xlfn.TEXTJOIN("|",TRUE,(_xlfn.UNIQUE(_xlfn._xlws.SORT(_xlfn._xlws.FILTER(scheduleapr[LENGTH],scheduleapr[Bucket]=salesforecast[[#This Row],[Bucket]])))))</f>
        <v/>
      </c>
      <c r="Y37" s="66">
        <f t="array" ref="Y37">_xlfn.TEXTJOIN("|",TRUE,_xlfn._xlws.FILTER(buckets[Material Codes],(buckets[Bucket]=salesforecast[[#This Row],[Bucket2]])*(buckets[LL or CTL]="CTL")))</f>
        <v/>
      </c>
      <c r="Z37">
        <f>salesforecast[[#This Row],[Bucket]]</f>
        <v/>
      </c>
      <c r="AA37" s="43">
        <f>salesforecast[[#This Row],[July Schedule]]</f>
        <v/>
      </c>
      <c r="AB37" s="43">
        <f>SUMIF(salesTVS[buckets.Bucket],salesforecast[[#This Row],[Bucket]],salesTVS[Quantity])/1000</f>
        <v/>
      </c>
      <c r="AC37" s="43">
        <f>SUMIFS(stock[MT],stock[Bucket],salesforecast[[#This Row],[Bucket]],stock[LL or CTL],"CTL")</f>
        <v/>
      </c>
      <c r="AD37" s="43">
        <f>SUMIF(stock[Bucket],salesforecast[[#This Row],[Bucket]],stock[MT])-salesforecast[[#This Row],[Stock CTL]]</f>
        <v/>
      </c>
      <c r="AE37" s="43" t="e">
        <v>#REF!</v>
      </c>
      <c r="AF37" s="43">
        <f>SUMIF(wip[Bucket],salesforecast[[#This Row],[Bucket]],wip[Stock(Net Wt)])/1000</f>
        <v/>
      </c>
      <c r="AG37" s="43" t="e">
        <v>#REF!</v>
      </c>
      <c r="AH37" s="43">
        <f>SUMIFS(stock[MT],stock[Bucket],salesforecast[[#This Row],[Bucket2]],stock[Plant],"0788")</f>
        <v/>
      </c>
      <c r="AI37" s="43">
        <f>((salesforecast[[#This Row],[WIP]]+salesforecast[[#This Row],[Stock LL]]))/salesforecast[[#This Row],[July Schedule]]*30</f>
        <v/>
      </c>
      <c r="AJ37" s="585">
        <f>salesforecast[[#This Row],[Stock LL]]/salesforecast[[#This Row],[Schedule]]*30</f>
        <v/>
      </c>
      <c r="AK37" s="43">
        <f>SUMIFS(stock[MT],stock[Bucket],salesforecast[[#This Row],[Bucket2]],stock[Plant],"0789",stock[LL or CTL],"LL")</f>
        <v/>
      </c>
      <c r="AL37" s="193">
        <f>(salesforecast[[#This Row],[Sales]])/salesforecast[[#This Row],[Schedule]]</f>
        <v/>
      </c>
      <c r="AM37" s="43">
        <f>SUMIFS(stock[MT],stock[Plant],salesforecast[[#This Row],[Plant]],stock[LL or CTL],"LL",stock[Bucket],salesforecast[[#This Row],[Bucket]])</f>
        <v/>
      </c>
      <c r="AN37" s="43">
        <f>SUMIFS(scheduleapr[SCHEDULE IN MT],scheduleapr[CUSTOMER NAME],"*Rajsriya*",scheduleapr[Bucket],salesforecast[[#This Row],[Bucket]])</f>
        <v/>
      </c>
      <c r="AO37" s="43">
        <f>SUMIFS(salesTVS[Quantity],salesTVS[CUSTOMER  NAME],"*RAJSRIYA*",salesTVS[buckets.Bucket],salesforecast[[#This Row],[Bucket]])/1000</f>
        <v/>
      </c>
      <c r="AP37" s="43">
        <f>SUMIFS(stock[MT],stock[Plant],4318,stock[Bucket],salesforecast[[#This Row],[Bucket2]])</f>
        <v/>
      </c>
      <c r="AQ37" s="43">
        <f>SUMIFS(stock[MT],stock[Plant],4731,stock[Bucket],salesforecast[[#This Row],[Bucket2]],stock[LL or CTL],"CTL")</f>
        <v/>
      </c>
      <c r="AR37" s="43">
        <f>SUMIFS(stock[MT],stock[Plant],4731,stock[Bucket],salesforecast[[#This Row],[Bucket2]])-salesforecast[[#This Row],[4731 Stock CTL]]</f>
        <v/>
      </c>
      <c r="AS37" s="43">
        <f>SUMIFS(stock[MT],stock[Plant],8406,stock[Bucket],salesforecast[[#This Row],[Bucket2]])</f>
        <v/>
      </c>
    </row>
    <row r="38" ht="30" customHeight="1" s="584">
      <c r="A38" s="50" t="n">
        <v>22.23</v>
      </c>
      <c r="B38" t="n">
        <v>22.23</v>
      </c>
      <c r="C38" t="n">
        <v>0</v>
      </c>
      <c r="D38" t="n">
        <v>1.6</v>
      </c>
      <c r="E38" t="inlineStr">
        <is>
          <t>ERW 2 MAHS</t>
        </is>
      </c>
      <c r="F38" t="inlineStr">
        <is>
          <t>PE</t>
        </is>
      </c>
      <c r="G38" t="inlineStr">
        <is>
          <t>CR</t>
        </is>
      </c>
      <c r="H38">
        <f>_xlfn.CONCAT(salesforecast[[#This Row],[OD]],"-",salesforecast[[#This Row],[ID]],"-",salesforecast[[#This Row],[TICKNESS]],"-",salesforecast[[#This Row],[GRADE]],"-",salesforecast[[#This Row],[FC/NFC]])</f>
        <v/>
      </c>
      <c r="I38" s="43">
        <f>SUMIFS(scheduleapr[SCHEDULE IN MT],scheduleapr[Bucket],salesforecast[[#This Row],[Bucket]])</f>
        <v/>
      </c>
      <c r="J38" t="n">
        <v>2432084</v>
      </c>
      <c r="K38">
        <f>COUNTIF('helper sheet'!$A$1:$A$33,salesforecast[[#This Row],[LL Material Code]])</f>
        <v/>
      </c>
      <c r="L38" s="48" t="n">
        <v>1940416</v>
      </c>
      <c r="M38" s="48" t="n"/>
      <c r="N38" t="inlineStr">
        <is>
          <t>TUB-O-N-AUT-AW-PE-22.23X1.600X5.8200</t>
        </is>
      </c>
      <c r="O38" t="inlineStr">
        <is>
          <t>ST52AL</t>
        </is>
      </c>
      <c r="P38" s="47" t="inlineStr">
        <is>
          <t>0789</t>
        </is>
      </c>
      <c r="Q38" t="n">
        <v>7</v>
      </c>
      <c r="R38" t="n">
        <v>49</v>
      </c>
      <c r="S38" t="n">
        <v>30</v>
      </c>
      <c r="T38" s="585">
        <f>ROUNDUP(MAX(salesforecast[[#This Row],[FY25 Average]],salesforecast[[#This Row],[July Schedule]]),0)</f>
        <v/>
      </c>
      <c r="U38" s="585">
        <f>salesforecast[[#This Row],[Forecast]]-salesforecast[[#This Row],[July Schedule]]</f>
        <v/>
      </c>
      <c r="V38">
        <f>salesforecast[[#This Row],[Plant]]</f>
        <v/>
      </c>
      <c r="W38" s="66">
        <f t="array" ref="W38">_xlfn.TEXTJOIN("|",TRUE,(_xlfn.UNIQUE(_xlfn._xlws.FILTER(scheduleapr[CUSTOMER NAME],scheduleapr[Bucket]=salesforecast[[#This Row],[Bucket]]))))</f>
        <v/>
      </c>
      <c r="X38" s="66">
        <f t="array" ref="X38">_xlfn.TEXTJOIN("|",TRUE,(_xlfn.UNIQUE(_xlfn._xlws.SORT(_xlfn._xlws.FILTER(scheduleapr[LENGTH],scheduleapr[Bucket]=salesforecast[[#This Row],[Bucket]])))))</f>
        <v/>
      </c>
      <c r="Y38" s="66">
        <f t="array" ref="Y38">_xlfn.TEXTJOIN("|",TRUE,_xlfn._xlws.FILTER(buckets[Material Codes],(buckets[Bucket]=salesforecast[[#This Row],[Bucket2]])*(buckets[LL or CTL]="CTL")))</f>
        <v/>
      </c>
      <c r="Z38">
        <f>salesforecast[[#This Row],[Bucket]]</f>
        <v/>
      </c>
      <c r="AA38" s="43">
        <f>salesforecast[[#This Row],[July Schedule]]</f>
        <v/>
      </c>
      <c r="AB38" s="43">
        <f>SUMIF(salesTVS[buckets.Bucket],salesforecast[[#This Row],[Bucket]],salesTVS[Quantity])/1000</f>
        <v/>
      </c>
      <c r="AC38" s="43">
        <f>SUMIFS(stock[MT],stock[Bucket],salesforecast[[#This Row],[Bucket]],stock[LL or CTL],"CTL")</f>
        <v/>
      </c>
      <c r="AD38" s="43">
        <f>SUMIF(stock[Bucket],salesforecast[[#This Row],[Bucket]],stock[MT])-salesforecast[[#This Row],[Stock CTL]]</f>
        <v/>
      </c>
      <c r="AE38" s="43" t="e">
        <v>#REF!</v>
      </c>
      <c r="AF38" s="43">
        <f>SUMIF(wip[Bucket],salesforecast[[#This Row],[Bucket]],wip[Stock(Net Wt)])/1000</f>
        <v/>
      </c>
      <c r="AG38" s="43" t="e">
        <v>#REF!</v>
      </c>
      <c r="AH38" s="43">
        <f>SUMIFS(stock[MT],stock[Bucket],salesforecast[[#This Row],[Bucket2]],stock[Plant],"0788")</f>
        <v/>
      </c>
      <c r="AI38" s="43">
        <f>((salesforecast[[#This Row],[WIP]]+salesforecast[[#This Row],[Stock LL]]))/salesforecast[[#This Row],[July Schedule]]*30</f>
        <v/>
      </c>
      <c r="AJ38" s="585">
        <f>salesforecast[[#This Row],[Stock LL]]/salesforecast[[#This Row],[Schedule]]*30</f>
        <v/>
      </c>
      <c r="AK38" s="43">
        <f>SUMIFS(stock[MT],stock[Bucket],salesforecast[[#This Row],[Bucket2]],stock[Plant],"0789",stock[LL or CTL],"LL")</f>
        <v/>
      </c>
      <c r="AL38" s="193">
        <f>(salesforecast[[#This Row],[Sales]])/salesforecast[[#This Row],[Schedule]]</f>
        <v/>
      </c>
      <c r="AM38" s="43">
        <f>SUMIFS(stock[MT],stock[Plant],salesforecast[[#This Row],[Plant]],stock[LL or CTL],"LL",stock[Bucket],salesforecast[[#This Row],[Bucket]])</f>
        <v/>
      </c>
      <c r="AN38" s="43">
        <f>SUMIFS(scheduleapr[SCHEDULE IN MT],scheduleapr[CUSTOMER NAME],"*Rajsriya*",scheduleapr[Bucket],salesforecast[[#This Row],[Bucket]])</f>
        <v/>
      </c>
      <c r="AO38" s="43">
        <f>SUMIFS(salesTVS[Quantity],salesTVS[CUSTOMER  NAME],"*RAJSRIYA*",salesTVS[buckets.Bucket],salesforecast[[#This Row],[Bucket]])/1000</f>
        <v/>
      </c>
      <c r="AP38" s="43">
        <f>SUMIFS(stock[MT],stock[Plant],4318,stock[Bucket],salesforecast[[#This Row],[Bucket2]])</f>
        <v/>
      </c>
      <c r="AQ38" s="43">
        <f>SUMIFS(stock[MT],stock[Plant],4731,stock[Bucket],salesforecast[[#This Row],[Bucket2]],stock[LL or CTL],"CTL")</f>
        <v/>
      </c>
      <c r="AR38" s="43">
        <f>SUMIFS(stock[MT],stock[Plant],4731,stock[Bucket],salesforecast[[#This Row],[Bucket2]])-salesforecast[[#This Row],[4731 Stock CTL]]</f>
        <v/>
      </c>
      <c r="AS38" s="43">
        <f>SUMIFS(stock[MT],stock[Plant],8406,stock[Bucket],salesforecast[[#This Row],[Bucket2]])</f>
        <v/>
      </c>
    </row>
    <row r="39" ht="30" customFormat="1" customHeight="1" s="45">
      <c r="A39" t="n">
        <v>22.23</v>
      </c>
      <c r="B39" t="n">
        <v>22.23</v>
      </c>
      <c r="C39" t="n">
        <v>0</v>
      </c>
      <c r="D39" t="n">
        <v>2</v>
      </c>
      <c r="E39" t="inlineStr">
        <is>
          <t>ERW 1</t>
        </is>
      </c>
      <c r="F39" t="inlineStr">
        <is>
          <t>FC</t>
        </is>
      </c>
      <c r="G39" t="inlineStr">
        <is>
          <t>HR</t>
        </is>
      </c>
      <c r="H39">
        <f>_xlfn.CONCAT(salesforecast[[#This Row],[OD]],"-",salesforecast[[#This Row],[ID]],"-",salesforecast[[#This Row],[TICKNESS]],"-",salesforecast[[#This Row],[GRADE]],"-",salesforecast[[#This Row],[FC/NFC]])</f>
        <v/>
      </c>
      <c r="I39" s="43">
        <f>SUMIFS(scheduleapr[SCHEDULE IN MT],scheduleapr[Bucket],salesforecast[[#This Row],[Bucket]])</f>
        <v/>
      </c>
      <c r="J39" t="n">
        <v>3557791</v>
      </c>
      <c r="K39">
        <f>COUNTIF('helper sheet'!$A$1:$A$33,salesforecast[[#This Row],[LL Material Code]])</f>
        <v/>
      </c>
      <c r="N39" t="inlineStr">
        <is>
          <t>TUB-O-N-AUT-AW-FC-22.23X2.000X5.3700</t>
        </is>
      </c>
      <c r="P39" s="47" t="inlineStr">
        <is>
          <t>0789</t>
        </is>
      </c>
      <c r="Q39" t="n">
        <v>0</v>
      </c>
      <c r="R39" t="n">
        <v>14</v>
      </c>
      <c r="S39" t="n">
        <v>5</v>
      </c>
      <c r="T39" s="585">
        <f>ROUNDUP(MAX(salesforecast[[#This Row],[FY25 Average]],salesforecast[[#This Row],[July Schedule]]),0)</f>
        <v/>
      </c>
      <c r="U39" s="585">
        <f>salesforecast[[#This Row],[Forecast]]-salesforecast[[#This Row],[July Schedule]]</f>
        <v/>
      </c>
      <c r="V39">
        <f>salesforecast[[#This Row],[Plant]]</f>
        <v/>
      </c>
      <c r="W39" s="66">
        <f t="array" ref="W39">_xlfn.TEXTJOIN("|",TRUE,(_xlfn.UNIQUE(_xlfn._xlws.FILTER(scheduleapr[CUSTOMER NAME],scheduleapr[Bucket]=salesforecast[[#This Row],[Bucket]]))))</f>
        <v/>
      </c>
      <c r="X39" s="66">
        <f t="array" ref="X39">_xlfn.TEXTJOIN("|",TRUE,(_xlfn.UNIQUE(_xlfn._xlws.SORT(_xlfn._xlws.FILTER(scheduleapr[LENGTH],scheduleapr[Bucket]=salesforecast[[#This Row],[Bucket]])))))</f>
        <v/>
      </c>
      <c r="Y39" s="66">
        <f t="array" ref="Y39">_xlfn.TEXTJOIN("|",TRUE,_xlfn._xlws.FILTER(buckets[Material Codes],(buckets[Bucket]=salesforecast[[#This Row],[Bucket2]])*(buckets[LL or CTL]="CTL")))</f>
        <v/>
      </c>
      <c r="Z39">
        <f>salesforecast[[#This Row],[Bucket]]</f>
        <v/>
      </c>
      <c r="AA39" s="43">
        <f>salesforecast[[#This Row],[July Schedule]]</f>
        <v/>
      </c>
      <c r="AB39" s="43">
        <f>SUMIF(salesTVS[buckets.Bucket],salesforecast[[#This Row],[Bucket]],salesTVS[Quantity])/1000</f>
        <v/>
      </c>
      <c r="AC39" s="43">
        <f>SUMIFS(stock[MT],stock[Bucket],salesforecast[[#This Row],[Bucket]],stock[LL or CTL],"CTL")</f>
        <v/>
      </c>
      <c r="AD39" s="43">
        <f>SUMIF(stock[Bucket],salesforecast[[#This Row],[Bucket]],stock[MT])-salesforecast[[#This Row],[Stock CTL]]</f>
        <v/>
      </c>
      <c r="AE39" s="43" t="e">
        <v>#REF!</v>
      </c>
      <c r="AF39" s="43">
        <f>SUMIF(wip[Bucket],salesforecast[[#This Row],[Bucket]],wip[Stock(Net Wt)])/1000</f>
        <v/>
      </c>
      <c r="AG39" s="43" t="e">
        <v>#REF!</v>
      </c>
      <c r="AH39" s="43">
        <f>SUMIFS(stock[MT],stock[Bucket],salesforecast[[#This Row],[Bucket2]],stock[Plant],"0788")</f>
        <v/>
      </c>
      <c r="AI39" s="43">
        <f>((salesforecast[[#This Row],[WIP]]+salesforecast[[#This Row],[Stock LL]]))/salesforecast[[#This Row],[July Schedule]]*30</f>
        <v/>
      </c>
      <c r="AJ39" s="585">
        <f>salesforecast[[#This Row],[Stock LL]]/salesforecast[[#This Row],[Schedule]]*30</f>
        <v/>
      </c>
      <c r="AK39" s="43">
        <f>SUMIFS(stock[MT],stock[Bucket],salesforecast[[#This Row],[Bucket2]],stock[Plant],"0789",stock[LL or CTL],"LL")</f>
        <v/>
      </c>
      <c r="AL39" s="193">
        <f>(salesforecast[[#This Row],[Sales]])/salesforecast[[#This Row],[Schedule]]</f>
        <v/>
      </c>
      <c r="AM39" s="43">
        <f>SUMIFS(stock[MT],stock[Plant],salesforecast[[#This Row],[Plant]],stock[LL or CTL],"LL",stock[Bucket],salesforecast[[#This Row],[Bucket]])</f>
        <v/>
      </c>
      <c r="AN39" s="43">
        <f>SUMIFS(scheduleapr[SCHEDULE IN MT],scheduleapr[CUSTOMER NAME],"*Rajsriya*",scheduleapr[Bucket],salesforecast[[#This Row],[Bucket]])</f>
        <v/>
      </c>
      <c r="AO39" s="43">
        <f>SUMIFS(salesTVS[Quantity],salesTVS[CUSTOMER  NAME],"*RAJSRIYA*",salesTVS[buckets.Bucket],salesforecast[[#This Row],[Bucket]])/1000</f>
        <v/>
      </c>
      <c r="AP39" s="43">
        <f>SUMIFS(stock[MT],stock[Plant],4318,stock[Bucket],salesforecast[[#This Row],[Bucket2]])</f>
        <v/>
      </c>
      <c r="AQ39" s="43">
        <f>SUMIFS(stock[MT],stock[Plant],4731,stock[Bucket],salesforecast[[#This Row],[Bucket2]],stock[LL or CTL],"CTL")</f>
        <v/>
      </c>
      <c r="AR39" s="43">
        <f>SUMIFS(stock[MT],stock[Plant],4731,stock[Bucket],salesforecast[[#This Row],[Bucket2]])-salesforecast[[#This Row],[4731 Stock CTL]]</f>
        <v/>
      </c>
      <c r="AS39" s="43">
        <f>SUMIFS(stock[MT],stock[Plant],8406,stock[Bucket],salesforecast[[#This Row],[Bucket2]])</f>
        <v/>
      </c>
    </row>
    <row r="40">
      <c r="A40" s="50" t="n">
        <v>22.23</v>
      </c>
      <c r="B40" t="n">
        <v>22.23</v>
      </c>
      <c r="C40" t="n">
        <v>0</v>
      </c>
      <c r="D40" t="n">
        <v>2</v>
      </c>
      <c r="E40" t="inlineStr">
        <is>
          <t>ERW 2 MAHS</t>
        </is>
      </c>
      <c r="F40" t="inlineStr">
        <is>
          <t>FC</t>
        </is>
      </c>
      <c r="G40" t="inlineStr">
        <is>
          <t>CR</t>
        </is>
      </c>
      <c r="H40">
        <f>_xlfn.CONCAT(salesforecast[[#This Row],[OD]],"-",salesforecast[[#This Row],[ID]],"-",salesforecast[[#This Row],[TICKNESS]],"-",salesforecast[[#This Row],[GRADE]],"-",salesforecast[[#This Row],[FC/NFC]])</f>
        <v/>
      </c>
      <c r="I40" s="43">
        <f>SUMIFS(scheduleapr[SCHEDULE IN MT],scheduleapr[Bucket],salesforecast[[#This Row],[Bucket]])</f>
        <v/>
      </c>
      <c r="K40">
        <f>COUNTIF('helper sheet'!$A$1:$A$33,salesforecast[[#This Row],[LL Material Code]])</f>
        <v/>
      </c>
      <c r="P40" s="47" t="inlineStr">
        <is>
          <t>0789</t>
        </is>
      </c>
      <c r="T40" s="585">
        <f>ROUNDUP(MAX(salesforecast[[#This Row],[FY25 Average]],salesforecast[[#This Row],[July Schedule]]),0)</f>
        <v/>
      </c>
      <c r="U40" s="585">
        <f>salesforecast[[#This Row],[Forecast]]-salesforecast[[#This Row],[July Schedule]]</f>
        <v/>
      </c>
      <c r="V40">
        <f>salesforecast[[#This Row],[Plant]]</f>
        <v/>
      </c>
      <c r="W40" s="66">
        <f t="array" ref="W40">_xlfn.TEXTJOIN("|",TRUE,(_xlfn.UNIQUE(_xlfn._xlws.FILTER(scheduleapr[CUSTOMER NAME],scheduleapr[Bucket]=salesforecast[[#This Row],[Bucket]]))))</f>
        <v/>
      </c>
      <c r="X40" s="66">
        <f t="array" ref="X40">_xlfn.TEXTJOIN("|",TRUE,(_xlfn.UNIQUE(_xlfn._xlws.SORT(_xlfn._xlws.FILTER(scheduleapr[LENGTH],scheduleapr[Bucket]=salesforecast[[#This Row],[Bucket]])))))</f>
        <v/>
      </c>
      <c r="Y40" s="66">
        <f t="array" ref="Y40">_xlfn.TEXTJOIN("|",TRUE,_xlfn._xlws.FILTER(buckets[Material Codes],(buckets[Bucket]=salesforecast[[#This Row],[Bucket2]])*(buckets[LL or CTL]="CTL")))</f>
        <v/>
      </c>
      <c r="Z40">
        <f>salesforecast[[#This Row],[Bucket]]</f>
        <v/>
      </c>
      <c r="AA40" s="43">
        <f>salesforecast[[#This Row],[July Schedule]]</f>
        <v/>
      </c>
      <c r="AB40" s="43">
        <f>SUMIF(salesTVS[buckets.Bucket],salesforecast[[#This Row],[Bucket]],salesTVS[Quantity])/1000</f>
        <v/>
      </c>
      <c r="AC40" s="43">
        <f>SUMIFS(stock[MT],stock[Bucket],salesforecast[[#This Row],[Bucket]],stock[LL or CTL],"CTL")</f>
        <v/>
      </c>
      <c r="AD40" s="43">
        <f>SUMIF(stock[Bucket],salesforecast[[#This Row],[Bucket]],stock[MT])</f>
        <v/>
      </c>
      <c r="AE40" s="43" t="e">
        <v>#REF!</v>
      </c>
      <c r="AF40" s="43">
        <f>SUMIF(wip[Bucket],salesforecast[[#This Row],[Bucket]],wip[Stock(Net Wt)])/1000</f>
        <v/>
      </c>
      <c r="AG40" s="43" t="e">
        <v>#REF!</v>
      </c>
      <c r="AH40" s="43">
        <f>SUMIFS(stock[MT],stock[Bucket],salesforecast[[#This Row],[Bucket2]],stock[Plant],"0788")</f>
        <v/>
      </c>
      <c r="AI40" s="43">
        <f>((salesforecast[[#This Row],[WIP]]+salesforecast[[#This Row],[Stock LL]]))/salesforecast[[#This Row],[July Schedule]]*30</f>
        <v/>
      </c>
      <c r="AJ40" s="585">
        <f>salesforecast[[#This Row],[Stock LL]]/salesforecast[[#This Row],[Schedule]]*30</f>
        <v/>
      </c>
      <c r="AK40" s="43">
        <f>SUMIFS(stock[MT],stock[Bucket],salesforecast[[#This Row],[Bucket2]],stock[Plant],"0789",stock[LL or CTL],"LL")</f>
        <v/>
      </c>
      <c r="AL40" s="193">
        <f>(salesforecast[[#This Row],[Sales]])/salesforecast[[#This Row],[Schedule]]</f>
        <v/>
      </c>
      <c r="AM40" s="43">
        <f>SUMIFS(stock[MT],stock[Plant],salesforecast[[#This Row],[Plant]],stock[LL or CTL],"LL",stock[Bucket],salesforecast[[#This Row],[Bucket]])</f>
        <v/>
      </c>
      <c r="AN40" s="43">
        <f>SUMIFS(scheduleapr[SCHEDULE IN MT],scheduleapr[CUSTOMER NAME],"*Rajsriya*",scheduleapr[Bucket],salesforecast[[#This Row],[Bucket]])</f>
        <v/>
      </c>
      <c r="AO40" s="43">
        <f>SUMIFS(salesTVS[Quantity],salesTVS[CUSTOMER  NAME],"*RAJSRIYA*",salesTVS[buckets.Bucket],salesforecast[[#This Row],[Bucket]])/1000</f>
        <v/>
      </c>
      <c r="AP40" s="43">
        <f>SUMIFS(stock[MT],stock[Plant],4318,stock[Bucket],salesforecast[[#This Row],[Bucket2]])</f>
        <v/>
      </c>
      <c r="AQ40" s="43">
        <f>SUMIFS(stock[MT],stock[Plant],4731,stock[Bucket],salesforecast[[#This Row],[Bucket2]],stock[LL or CTL],"CTL")</f>
        <v/>
      </c>
      <c r="AR40" s="43">
        <f>SUMIFS(stock[MT],stock[Plant],4731,stock[Bucket],salesforecast[[#This Row],[Bucket2]])-salesforecast[[#This Row],[4731 Stock CTL]]</f>
        <v/>
      </c>
      <c r="AS40" s="43">
        <f>SUMIFS(stock[MT],stock[Plant],8406,stock[Bucket],salesforecast[[#This Row],[Bucket2]])</f>
        <v/>
      </c>
    </row>
    <row r="41" ht="180" customHeight="1" s="584">
      <c r="A41" t="n">
        <v>22.23</v>
      </c>
      <c r="B41" t="n">
        <v>22.23</v>
      </c>
      <c r="C41" t="n">
        <v>0</v>
      </c>
      <c r="D41" t="n">
        <v>2</v>
      </c>
      <c r="E41" t="inlineStr">
        <is>
          <t>ERW 1</t>
        </is>
      </c>
      <c r="F41" t="inlineStr">
        <is>
          <t>PE</t>
        </is>
      </c>
      <c r="G41" t="inlineStr">
        <is>
          <t>HR</t>
        </is>
      </c>
      <c r="H41">
        <f>_xlfn.CONCAT(salesforecast[[#This Row],[OD]],"-",salesforecast[[#This Row],[ID]],"-",salesforecast[[#This Row],[TICKNESS]],"-",salesforecast[[#This Row],[GRADE]],"-",salesforecast[[#This Row],[FC/NFC]])</f>
        <v/>
      </c>
      <c r="I41" s="43">
        <f>SUMIFS(scheduleapr[SCHEDULE IN MT],scheduleapr[Bucket],salesforecast[[#This Row],[Bucket]])</f>
        <v/>
      </c>
      <c r="J41" t="n">
        <v>2364548</v>
      </c>
      <c r="K41">
        <f>COUNTIF('helper sheet'!$A$1:$A$33,salesforecast[[#This Row],[LL Material Code]])</f>
        <v/>
      </c>
      <c r="L41" t="n">
        <v>2426871</v>
      </c>
      <c r="N41" t="inlineStr">
        <is>
          <t>TUB-O-C-AUT-AP-PE-22.23X2.000X6.1000</t>
        </is>
      </c>
      <c r="P41" s="47" t="inlineStr">
        <is>
          <t>0789</t>
        </is>
      </c>
      <c r="Q41" t="n">
        <v>48</v>
      </c>
      <c r="R41" t="n">
        <v>142</v>
      </c>
      <c r="S41" t="n">
        <v>85</v>
      </c>
      <c r="T41" s="585" t="n">
        <v>40</v>
      </c>
      <c r="U41" s="585">
        <f>salesforecast[[#This Row],[Forecast]]-salesforecast[[#This Row],[July Schedule]]</f>
        <v/>
      </c>
      <c r="V41">
        <f>salesforecast[[#This Row],[Plant]]</f>
        <v/>
      </c>
      <c r="W41" s="66">
        <f t="array" ref="W41">_xlfn.TEXTJOIN("|",TRUE,(_xlfn.UNIQUE(_xlfn._xlws.FILTER(scheduleapr[CUSTOMER NAME],scheduleapr[Bucket]=salesforecast[[#This Row],[Bucket]]))))</f>
        <v/>
      </c>
      <c r="X41" s="66">
        <f t="array" ref="X41">_xlfn.TEXTJOIN("|",TRUE,(_xlfn.UNIQUE(_xlfn._xlws.SORT(_xlfn._xlws.FILTER(scheduleapr[LENGTH],scheduleapr[Bucket]=salesforecast[[#This Row],[Bucket]])))))</f>
        <v/>
      </c>
      <c r="Y41" s="66">
        <f t="array" ref="Y41">_xlfn.TEXTJOIN("|",TRUE,_xlfn._xlws.FILTER(buckets[Material Codes],(buckets[Bucket]=salesforecast[[#This Row],[Bucket2]])*(buckets[LL or CTL]="CTL")))</f>
        <v/>
      </c>
      <c r="Z41">
        <f>salesforecast[[#This Row],[Bucket]]</f>
        <v/>
      </c>
      <c r="AA41" s="43">
        <f>salesforecast[[#This Row],[July Schedule]]</f>
        <v/>
      </c>
      <c r="AB41" s="43">
        <f>SUMIF(salesTVS[buckets.Bucket],salesforecast[[#This Row],[Bucket]],salesTVS[Quantity])/1000</f>
        <v/>
      </c>
      <c r="AC41" s="43">
        <f>SUMIFS(stock[MT],stock[Bucket],salesforecast[[#This Row],[Bucket]],stock[LL or CTL],"CTL")</f>
        <v/>
      </c>
      <c r="AD41" s="43">
        <f>SUMIF(stock[Bucket],salesforecast[[#This Row],[Bucket]],stock[MT])-salesforecast[[#This Row],[Stock CTL]]</f>
        <v/>
      </c>
      <c r="AE41" s="43" t="e">
        <v>#REF!</v>
      </c>
      <c r="AF41" s="43">
        <f>SUMIF(wip[Bucket],salesforecast[[#This Row],[Bucket]],wip[Stock(Net Wt)])/1000</f>
        <v/>
      </c>
      <c r="AG41" s="43" t="e">
        <v>#REF!</v>
      </c>
      <c r="AH41" s="43">
        <f>SUMIFS(stock[MT],stock[Bucket],salesforecast[[#This Row],[Bucket2]],stock[Plant],"0788")</f>
        <v/>
      </c>
      <c r="AI41" s="43">
        <f>((salesforecast[[#This Row],[WIP]]+salesforecast[[#This Row],[Stock LL]]))/salesforecast[[#This Row],[July Schedule]]*30</f>
        <v/>
      </c>
      <c r="AJ41" s="585">
        <f>salesforecast[[#This Row],[Stock LL]]/salesforecast[[#This Row],[Schedule]]*30</f>
        <v/>
      </c>
      <c r="AK41" s="43">
        <f>SUMIFS(stock[MT],stock[Bucket],salesforecast[[#This Row],[Bucket2]],stock[Plant],"0789",stock[LL or CTL],"LL")</f>
        <v/>
      </c>
      <c r="AL41" s="193">
        <f>(salesforecast[[#This Row],[Sales]])/salesforecast[[#This Row],[Schedule]]</f>
        <v/>
      </c>
      <c r="AM41" s="43">
        <f>SUMIFS(stock[MT],stock[Plant],salesforecast[[#This Row],[Plant]],stock[LL or CTL],"LL",stock[Bucket],salesforecast[[#This Row],[Bucket]])</f>
        <v/>
      </c>
      <c r="AN41" s="43">
        <f>SUMIFS(scheduleapr[SCHEDULE IN MT],scheduleapr[CUSTOMER NAME],"*Rajsriya*",scheduleapr[Bucket],salesforecast[[#This Row],[Bucket]])</f>
        <v/>
      </c>
      <c r="AO41" s="43">
        <f>SUMIFS(salesTVS[Quantity],salesTVS[CUSTOMER  NAME],"*RAJSRIYA*",salesTVS[buckets.Bucket],salesforecast[[#This Row],[Bucket]])/1000</f>
        <v/>
      </c>
      <c r="AP41" s="43">
        <f>SUMIFS(stock[MT],stock[Plant],4318,stock[Bucket],salesforecast[[#This Row],[Bucket2]])</f>
        <v/>
      </c>
      <c r="AQ41" s="43">
        <f>SUMIFS(stock[MT],stock[Plant],4731,stock[Bucket],salesforecast[[#This Row],[Bucket2]],stock[LL or CTL],"CTL")</f>
        <v/>
      </c>
      <c r="AR41" s="43">
        <f>SUMIFS(stock[MT],stock[Plant],4731,stock[Bucket],salesforecast[[#This Row],[Bucket2]])-salesforecast[[#This Row],[4731 Stock CTL]]</f>
        <v/>
      </c>
      <c r="AS41" s="43">
        <f>SUMIFS(stock[MT],stock[Plant],8406,stock[Bucket],salesforecast[[#This Row],[Bucket2]])</f>
        <v/>
      </c>
    </row>
    <row r="42" ht="30" customHeight="1" s="584">
      <c r="A42" s="45" t="n">
        <v>22.23</v>
      </c>
      <c r="B42" s="45" t="n">
        <v>22.23</v>
      </c>
      <c r="C42" s="45" t="n">
        <v>0</v>
      </c>
      <c r="D42" s="45" t="n">
        <v>2</v>
      </c>
      <c r="E42" s="45" t="inlineStr">
        <is>
          <t>ERW 2</t>
        </is>
      </c>
      <c r="F42" s="45" t="inlineStr">
        <is>
          <t>FC</t>
        </is>
      </c>
      <c r="G42" s="45" t="inlineStr">
        <is>
          <t>HR</t>
        </is>
      </c>
      <c r="H42" s="45">
        <f>_xlfn.CONCAT(salesforecast[[#This Row],[OD]],"-",salesforecast[[#This Row],[ID]],"-",salesforecast[[#This Row],[TICKNESS]],"-",salesforecast[[#This Row],[GRADE]],"-",salesforecast[[#This Row],[FC/NFC]])</f>
        <v/>
      </c>
      <c r="I42" s="43">
        <f>SUMIFS(scheduleapr[SCHEDULE IN MT],scheduleapr[Bucket],salesforecast[[#This Row],[Bucket]])</f>
        <v/>
      </c>
      <c r="J42" s="45" t="n">
        <v>3910650</v>
      </c>
      <c r="K42" s="45">
        <f>COUNTIF('helper sheet'!$A$1:$A$33,salesforecast[[#This Row],[LL Material Code]])</f>
        <v/>
      </c>
      <c r="L42" s="45" t="n"/>
      <c r="M42" s="45" t="n"/>
      <c r="N42" s="45" t="inlineStr">
        <is>
          <t>HT2-O-N-AUT-AS-FC-22.23X2.000X0.8550</t>
        </is>
      </c>
      <c r="P42" s="68" t="inlineStr">
        <is>
          <t>0789</t>
        </is>
      </c>
      <c r="Q42" s="45" t="n"/>
      <c r="R42" s="45" t="n"/>
      <c r="S42" s="45" t="n"/>
      <c r="T42" s="69">
        <f>ROUNDUP(MAX(salesforecast[[#This Row],[FY25 Average]],salesforecast[[#This Row],[July Schedule]]),0)</f>
        <v/>
      </c>
      <c r="U42" s="69">
        <f>salesforecast[[#This Row],[Forecast]]-salesforecast[[#This Row],[July Schedule]]</f>
        <v/>
      </c>
      <c r="V42">
        <f>salesforecast[[#This Row],[Plant]]</f>
        <v/>
      </c>
      <c r="W42" s="66">
        <f t="array" ref="W42">_xlfn.TEXTJOIN("|",TRUE,(_xlfn.UNIQUE(_xlfn._xlws.FILTER(scheduleapr[CUSTOMER NAME],scheduleapr[Bucket]=salesforecast[[#This Row],[Bucket]]))))</f>
        <v/>
      </c>
      <c r="X42" s="66">
        <f t="array" ref="X42">_xlfn.TEXTJOIN("|",TRUE,(_xlfn.UNIQUE(_xlfn._xlws.SORT(_xlfn._xlws.FILTER(scheduleapr[LENGTH],scheduleapr[Bucket]=salesforecast[[#This Row],[Bucket]])))))</f>
        <v/>
      </c>
      <c r="Y42" s="66">
        <f t="array" ref="Y42">_xlfn.TEXTJOIN("|",TRUE,_xlfn._xlws.FILTER(buckets[Material Codes],(buckets[Bucket]=salesforecast[[#This Row],[Bucket2]])*(buckets[LL or CTL]="CTL")))</f>
        <v/>
      </c>
      <c r="Z42">
        <f>salesforecast[[#This Row],[Bucket]]</f>
        <v/>
      </c>
      <c r="AA42" s="43">
        <f>salesforecast[[#This Row],[July Schedule]]</f>
        <v/>
      </c>
      <c r="AB42" s="43">
        <f>SUMIF(salesTVS[buckets.Bucket],salesforecast[[#This Row],[Bucket]],salesTVS[Quantity])/1000</f>
        <v/>
      </c>
      <c r="AC42" s="43">
        <f>SUMIFS(stock[MT],stock[Bucket],salesforecast[[#This Row],[Bucket]],stock[LL or CTL],"CTL")</f>
        <v/>
      </c>
      <c r="AD42" s="43">
        <f>SUMIF(stock[Bucket],salesforecast[[#This Row],[Bucket]],stock[MT])-salesforecast[[#This Row],[Stock CTL]]</f>
        <v/>
      </c>
      <c r="AE42" s="43" t="e">
        <v>#REF!</v>
      </c>
      <c r="AF42" s="43">
        <f>SUMIF(wip[Bucket],salesforecast[[#This Row],[Bucket]],wip[Stock(Net Wt)])/1000</f>
        <v/>
      </c>
      <c r="AG42" s="67" t="e">
        <v>#REF!</v>
      </c>
      <c r="AH42" s="43">
        <f>SUMIFS(stock[MT],stock[Bucket],salesforecast[[#This Row],[Bucket2]],stock[Plant],"0788")</f>
        <v/>
      </c>
      <c r="AI42" s="43">
        <f>((salesforecast[[#This Row],[WIP]]+salesforecast[[#This Row],[Stock LL]]))/salesforecast[[#This Row],[July Schedule]]*30</f>
        <v/>
      </c>
      <c r="AJ42" s="585">
        <f>salesforecast[[#This Row],[Stock LL]]/salesforecast[[#This Row],[Schedule]]*30</f>
        <v/>
      </c>
      <c r="AK42" s="43">
        <f>SUMIFS(stock[MT],stock[Bucket],salesforecast[[#This Row],[Bucket2]],stock[Plant],"0789",stock[LL or CTL],"LL")</f>
        <v/>
      </c>
      <c r="AL42" s="193">
        <f>(salesforecast[[#This Row],[Sales]])/salesforecast[[#This Row],[Schedule]]</f>
        <v/>
      </c>
      <c r="AM42" s="43">
        <f>SUMIFS(stock[MT],stock[Plant],salesforecast[[#This Row],[Plant]],stock[LL or CTL],"LL",stock[Bucket],salesforecast[[#This Row],[Bucket]])</f>
        <v/>
      </c>
      <c r="AN42" s="43">
        <f>SUMIFS(scheduleapr[SCHEDULE IN MT],scheduleapr[CUSTOMER NAME],"*Rajsriya*",scheduleapr[Bucket],salesforecast[[#This Row],[Bucket]])</f>
        <v/>
      </c>
      <c r="AO42" s="43">
        <f>SUMIFS(salesTVS[Quantity],salesTVS[CUSTOMER  NAME],"*RAJSRIYA*",salesTVS[buckets.Bucket],salesforecast[[#This Row],[Bucket]])/1000</f>
        <v/>
      </c>
      <c r="AP42" s="43">
        <f>SUMIFS(stock[MT],stock[Plant],4318,stock[Bucket],salesforecast[[#This Row],[Bucket2]])</f>
        <v/>
      </c>
      <c r="AQ42" s="43">
        <f>SUMIFS(stock[MT],stock[Plant],4731,stock[Bucket],salesforecast[[#This Row],[Bucket2]],stock[LL or CTL],"CTL")</f>
        <v/>
      </c>
      <c r="AR42" s="43">
        <f>SUMIFS(stock[MT],stock[Plant],4731,stock[Bucket],salesforecast[[#This Row],[Bucket2]])-salesforecast[[#This Row],[4731 Stock CTL]]</f>
        <v/>
      </c>
      <c r="AS42" s="43">
        <f>SUMIFS(stock[MT],stock[Plant],8406,stock[Bucket],salesforecast[[#This Row],[Bucket2]])</f>
        <v/>
      </c>
    </row>
    <row r="43" ht="45" customHeight="1" s="584">
      <c r="A43" s="50" t="n">
        <v>22.23</v>
      </c>
      <c r="B43" t="n">
        <v>22.23</v>
      </c>
      <c r="C43" t="n">
        <v>0</v>
      </c>
      <c r="D43" t="n">
        <v>2</v>
      </c>
      <c r="E43" t="inlineStr">
        <is>
          <t>ERW 2 MAHS</t>
        </is>
      </c>
      <c r="F43" t="inlineStr">
        <is>
          <t>PE</t>
        </is>
      </c>
      <c r="G43" t="inlineStr">
        <is>
          <t>CR</t>
        </is>
      </c>
      <c r="H43">
        <f>_xlfn.CONCAT(salesforecast[[#This Row],[OD]],"-",salesforecast[[#This Row],[ID]],"-",salesforecast[[#This Row],[TICKNESS]],"-",salesforecast[[#This Row],[GRADE]],"-",salesforecast[[#This Row],[FC/NFC]])</f>
        <v/>
      </c>
      <c r="I43" s="43">
        <f>SUMIFS(scheduleapr[SCHEDULE IN MT],scheduleapr[Bucket],salesforecast[[#This Row],[Bucket]])</f>
        <v/>
      </c>
      <c r="J43" t="n">
        <v>1941615</v>
      </c>
      <c r="K43">
        <f>COUNTIF('helper sheet'!$A$1:$A$33,salesforecast[[#This Row],[LL Material Code]])</f>
        <v/>
      </c>
      <c r="L43" t="n">
        <v>1940474</v>
      </c>
      <c r="N43" t="inlineStr">
        <is>
          <t>TUB-O-N-AUT-AW-PE-22.23X2.000X6.2000</t>
        </is>
      </c>
      <c r="P43" s="47" t="inlineStr">
        <is>
          <t>0789</t>
        </is>
      </c>
      <c r="Q43" t="n">
        <v>6</v>
      </c>
      <c r="R43" t="n">
        <v>49</v>
      </c>
      <c r="S43" t="n">
        <v>24</v>
      </c>
      <c r="T43" s="585">
        <f>ROUNDUP(MAX(salesforecast[[#This Row],[FY25 Average]],salesforecast[[#This Row],[July Schedule]]),0)</f>
        <v/>
      </c>
      <c r="U43" s="585">
        <f>salesforecast[[#This Row],[Forecast]]-salesforecast[[#This Row],[July Schedule]]</f>
        <v/>
      </c>
      <c r="V43">
        <f>salesforecast[[#This Row],[Plant]]</f>
        <v/>
      </c>
      <c r="W43" s="66">
        <f t="array" ref="W43">_xlfn.TEXTJOIN("|",TRUE,(_xlfn.UNIQUE(_xlfn._xlws.FILTER(scheduleapr[CUSTOMER NAME],scheduleapr[Bucket]=salesforecast[[#This Row],[Bucket]]))))</f>
        <v/>
      </c>
      <c r="X43" s="66">
        <f t="array" ref="X43">_xlfn.TEXTJOIN("|",TRUE,(_xlfn.UNIQUE(_xlfn._xlws.SORT(_xlfn._xlws.FILTER(scheduleapr[LENGTH],scheduleapr[Bucket]=salesforecast[[#This Row],[Bucket]])))))</f>
        <v/>
      </c>
      <c r="Y43" s="66">
        <f t="array" ref="Y43">_xlfn.TEXTJOIN("|",TRUE,_xlfn._xlws.FILTER(buckets[Material Codes],(buckets[Bucket]=salesforecast[[#This Row],[Bucket2]])*(buckets[LL or CTL]="CTL")))</f>
        <v/>
      </c>
      <c r="Z43">
        <f>salesforecast[[#This Row],[Bucket]]</f>
        <v/>
      </c>
      <c r="AA43" s="43">
        <f>salesforecast[[#This Row],[July Schedule]]</f>
        <v/>
      </c>
      <c r="AB43" s="43">
        <f>SUMIF(salesTVS[buckets.Bucket],salesforecast[[#This Row],[Bucket]],salesTVS[Quantity])/1000</f>
        <v/>
      </c>
      <c r="AC43" s="43">
        <f>SUMIFS(stock[MT],stock[Bucket],salesforecast[[#This Row],[Bucket]],stock[LL or CTL],"CTL")</f>
        <v/>
      </c>
      <c r="AD43" s="43">
        <f>SUMIF(stock[Bucket],salesforecast[[#This Row],[Bucket]],stock[MT])-salesforecast[[#This Row],[Stock CTL]]</f>
        <v/>
      </c>
      <c r="AE43" s="43" t="e">
        <v>#REF!</v>
      </c>
      <c r="AF43" s="43">
        <f>SUMIF(wip[Bucket],salesforecast[[#This Row],[Bucket]],wip[Stock(Net Wt)])/1000</f>
        <v/>
      </c>
      <c r="AG43" s="43" t="e">
        <v>#REF!</v>
      </c>
      <c r="AH43" s="43">
        <f>SUMIFS(stock[MT],stock[Bucket],salesforecast[[#This Row],[Bucket2]],stock[Plant],"0788")</f>
        <v/>
      </c>
      <c r="AI43" s="43">
        <f>((salesforecast[[#This Row],[WIP]]+salesforecast[[#This Row],[Stock LL]]))/salesforecast[[#This Row],[July Schedule]]*30</f>
        <v/>
      </c>
      <c r="AJ43" s="585">
        <f>salesforecast[[#This Row],[Stock LL]]/salesforecast[[#This Row],[Schedule]]*30</f>
        <v/>
      </c>
      <c r="AK43" s="43">
        <f>SUMIFS(stock[MT],stock[Bucket],salesforecast[[#This Row],[Bucket2]],stock[Plant],"0789",stock[LL or CTL],"LL")</f>
        <v/>
      </c>
      <c r="AL43" s="193">
        <f>(salesforecast[[#This Row],[Sales]])/salesforecast[[#This Row],[Schedule]]</f>
        <v/>
      </c>
      <c r="AM43" s="43">
        <f>SUMIFS(stock[MT],stock[Plant],salesforecast[[#This Row],[Plant]],stock[LL or CTL],"LL",stock[Bucket],salesforecast[[#This Row],[Bucket]])</f>
        <v/>
      </c>
      <c r="AN43" s="43">
        <f>SUMIFS(scheduleapr[SCHEDULE IN MT],scheduleapr[CUSTOMER NAME],"*Rajsriya*",scheduleapr[Bucket],salesforecast[[#This Row],[Bucket]])</f>
        <v/>
      </c>
      <c r="AO43" s="43">
        <f>SUMIFS(salesTVS[Quantity],salesTVS[CUSTOMER  NAME],"*RAJSRIYA*",salesTVS[buckets.Bucket],salesforecast[[#This Row],[Bucket]])/1000</f>
        <v/>
      </c>
      <c r="AP43" s="43">
        <f>SUMIFS(stock[MT],stock[Plant],4318,stock[Bucket],salesforecast[[#This Row],[Bucket2]])</f>
        <v/>
      </c>
      <c r="AQ43" s="43">
        <f>SUMIFS(stock[MT],stock[Plant],4731,stock[Bucket],salesforecast[[#This Row],[Bucket2]],stock[LL or CTL],"CTL")</f>
        <v/>
      </c>
      <c r="AR43" s="43">
        <f>SUMIFS(stock[MT],stock[Plant],4731,stock[Bucket],salesforecast[[#This Row],[Bucket2]])-salesforecast[[#This Row],[4731 Stock CTL]]</f>
        <v/>
      </c>
      <c r="AS43" s="43">
        <f>SUMIFS(stock[MT],stock[Plant],8406,stock[Bucket],salesforecast[[#This Row],[Bucket2]])</f>
        <v/>
      </c>
    </row>
    <row r="44" ht="90" customHeight="1" s="584">
      <c r="A44" t="n">
        <v>22.23</v>
      </c>
      <c r="B44" t="n">
        <v>22.23</v>
      </c>
      <c r="C44" t="n">
        <v>0</v>
      </c>
      <c r="D44" t="n">
        <v>2.3</v>
      </c>
      <c r="E44" t="inlineStr">
        <is>
          <t>ERW 1</t>
        </is>
      </c>
      <c r="F44" t="inlineStr">
        <is>
          <t>PE</t>
        </is>
      </c>
      <c r="G44" t="inlineStr">
        <is>
          <t>HR</t>
        </is>
      </c>
      <c r="H44">
        <f>_xlfn.CONCAT(salesforecast[[#This Row],[OD]],"-",salesforecast[[#This Row],[ID]],"-",salesforecast[[#This Row],[TICKNESS]],"-",salesforecast[[#This Row],[GRADE]],"-",salesforecast[[#This Row],[FC/NFC]])</f>
        <v/>
      </c>
      <c r="I44" s="43">
        <f>SUMIFS(scheduleapr[SCHEDULE IN MT],scheduleapr[Bucket],salesforecast[[#This Row],[Bucket]])</f>
        <v/>
      </c>
      <c r="J44" t="n">
        <v>3502683</v>
      </c>
      <c r="K44">
        <f>COUNTIF('helper sheet'!$A$1:$A$33,salesforecast[[#This Row],[LL Material Code]])</f>
        <v/>
      </c>
      <c r="N44" t="inlineStr">
        <is>
          <t>TUB-O-N-AUT-AW-PE-22.23X2.300X6.0200</t>
        </is>
      </c>
      <c r="P44" s="47" t="inlineStr">
        <is>
          <t>0789</t>
        </is>
      </c>
      <c r="Q44" t="n">
        <v>1</v>
      </c>
      <c r="R44" t="n">
        <v>31</v>
      </c>
      <c r="S44" t="n">
        <v>16</v>
      </c>
      <c r="T44" s="585">
        <f>ROUNDUP(MAX(salesforecast[[#This Row],[FY25 Average]],salesforecast[[#This Row],[July Schedule]]),0)</f>
        <v/>
      </c>
      <c r="U44" s="585">
        <f>salesforecast[[#This Row],[Forecast]]-salesforecast[[#This Row],[July Schedule]]</f>
        <v/>
      </c>
      <c r="V44">
        <f>salesforecast[[#This Row],[Plant]]</f>
        <v/>
      </c>
      <c r="W44" s="66">
        <f t="array" ref="W44">_xlfn.TEXTJOIN("|",TRUE,(_xlfn.UNIQUE(_xlfn._xlws.FILTER(scheduleapr[CUSTOMER NAME],scheduleapr[Bucket]=salesforecast[[#This Row],[Bucket]]))))</f>
        <v/>
      </c>
      <c r="X44" s="66">
        <f t="array" ref="X44">_xlfn.TEXTJOIN("|",TRUE,(_xlfn.UNIQUE(_xlfn._xlws.SORT(_xlfn._xlws.FILTER(scheduleapr[LENGTH],scheduleapr[Bucket]=salesforecast[[#This Row],[Bucket]])))))</f>
        <v/>
      </c>
      <c r="Y44" s="66">
        <f t="array" ref="Y44">_xlfn.TEXTJOIN("|",TRUE,_xlfn._xlws.FILTER(buckets[Material Codes],(buckets[Bucket]=salesforecast[[#This Row],[Bucket2]])*(buckets[LL or CTL]="CTL")))</f>
        <v/>
      </c>
      <c r="Z44">
        <f>salesforecast[[#This Row],[Bucket]]</f>
        <v/>
      </c>
      <c r="AA44" s="43">
        <f>salesforecast[[#This Row],[July Schedule]]</f>
        <v/>
      </c>
      <c r="AB44" s="43">
        <f>SUMIF(salesTVS[buckets.Bucket],salesforecast[[#This Row],[Bucket]],salesTVS[Quantity])/1000</f>
        <v/>
      </c>
      <c r="AC44" s="43">
        <f>SUMIFS(stock[MT],stock[Bucket],salesforecast[[#This Row],[Bucket]],stock[LL or CTL],"CTL")</f>
        <v/>
      </c>
      <c r="AD44" s="43">
        <f>SUMIF(stock[Bucket],salesforecast[[#This Row],[Bucket]],stock[MT])-salesforecast[[#This Row],[Stock CTL]]</f>
        <v/>
      </c>
      <c r="AE44" s="43" t="e">
        <v>#REF!</v>
      </c>
      <c r="AF44" s="43">
        <f>SUMIF(wip[Bucket],salesforecast[[#This Row],[Bucket]],wip[Stock(Net Wt)])/1000</f>
        <v/>
      </c>
      <c r="AG44" s="43" t="e">
        <v>#REF!</v>
      </c>
      <c r="AH44" s="43">
        <f>SUMIFS(stock[MT],stock[Bucket],salesforecast[[#This Row],[Bucket2]],stock[Plant],"0788")</f>
        <v/>
      </c>
      <c r="AI44" s="43">
        <f>((salesforecast[[#This Row],[WIP]]+salesforecast[[#This Row],[Stock LL]]))/salesforecast[[#This Row],[July Schedule]]*30</f>
        <v/>
      </c>
      <c r="AJ44" s="585">
        <f>salesforecast[[#This Row],[Stock LL]]/salesforecast[[#This Row],[Schedule]]*30</f>
        <v/>
      </c>
      <c r="AK44" s="43">
        <f>SUMIFS(stock[MT],stock[Bucket],salesforecast[[#This Row],[Bucket2]],stock[Plant],"0789",stock[LL or CTL],"LL")</f>
        <v/>
      </c>
      <c r="AL44" s="193">
        <f>(salesforecast[[#This Row],[Sales]])/salesforecast[[#This Row],[Schedule]]</f>
        <v/>
      </c>
      <c r="AM44" s="43">
        <f>SUMIFS(stock[MT],stock[Plant],salesforecast[[#This Row],[Plant]],stock[LL or CTL],"LL",stock[Bucket],salesforecast[[#This Row],[Bucket]])</f>
        <v/>
      </c>
      <c r="AN44" s="43">
        <f>SUMIFS(scheduleapr[SCHEDULE IN MT],scheduleapr[CUSTOMER NAME],"*Rajsriya*",scheduleapr[Bucket],salesforecast[[#This Row],[Bucket]])</f>
        <v/>
      </c>
      <c r="AO44" s="43">
        <f>SUMIFS(salesTVS[Quantity],salesTVS[CUSTOMER  NAME],"*RAJSRIYA*",salesTVS[buckets.Bucket],salesforecast[[#This Row],[Bucket]])/1000</f>
        <v/>
      </c>
      <c r="AP44" s="43">
        <f>SUMIFS(stock[MT],stock[Plant],4318,stock[Bucket],salesforecast[[#This Row],[Bucket2]])</f>
        <v/>
      </c>
      <c r="AQ44" s="43">
        <f>SUMIFS(stock[MT],stock[Plant],4731,stock[Bucket],salesforecast[[#This Row],[Bucket2]],stock[LL or CTL],"CTL")</f>
        <v/>
      </c>
      <c r="AR44" s="43">
        <f>SUMIFS(stock[MT],stock[Plant],4731,stock[Bucket],salesforecast[[#This Row],[Bucket2]])-salesforecast[[#This Row],[4731 Stock CTL]]</f>
        <v/>
      </c>
      <c r="AS44" s="43">
        <f>SUMIFS(stock[MT],stock[Plant],8406,stock[Bucket],salesforecast[[#This Row],[Bucket2]])</f>
        <v/>
      </c>
    </row>
    <row r="45" ht="45" customHeight="1" s="584">
      <c r="A45" t="n">
        <v>31.75</v>
      </c>
      <c r="B45" t="n">
        <v>25</v>
      </c>
      <c r="C45" t="n">
        <v>25</v>
      </c>
      <c r="D45" t="n">
        <v>1.2</v>
      </c>
      <c r="E45" t="inlineStr">
        <is>
          <t>CRFH</t>
        </is>
      </c>
      <c r="F45" t="inlineStr">
        <is>
          <t>PE</t>
        </is>
      </c>
      <c r="G45" t="inlineStr">
        <is>
          <t>CR</t>
        </is>
      </c>
      <c r="H45">
        <f>_xlfn.CONCAT(salesforecast[[#This Row],[OD]],"-",salesforecast[[#This Row],[ID]],"-",salesforecast[[#This Row],[TICKNESS]],"-",salesforecast[[#This Row],[GRADE]],"-",salesforecast[[#This Row],[FC/NFC]])</f>
        <v/>
      </c>
      <c r="I45" s="43">
        <f>SUMIFS(scheduleapr[SCHEDULE IN MT],scheduleapr[Bucket],salesforecast[[#This Row],[Bucket]])</f>
        <v/>
      </c>
      <c r="J45" t="n">
        <v>3532756</v>
      </c>
      <c r="K45">
        <f>COUNTIF('helper sheet'!$A$1:$A$33,salesforecast[[#This Row],[LL Material Code]])</f>
        <v/>
      </c>
      <c r="N45" t="inlineStr">
        <is>
          <t>TUB-S-N-GEN-AW-PE-25.00X1.200X6.0000</t>
        </is>
      </c>
      <c r="P45" s="47" t="inlineStr">
        <is>
          <t>0789</t>
        </is>
      </c>
      <c r="Q45" t="n">
        <v>8</v>
      </c>
      <c r="R45" t="n">
        <v>25</v>
      </c>
      <c r="S45" t="n">
        <v>19</v>
      </c>
      <c r="T45" s="585">
        <f>ROUNDUP(MAX(salesforecast[[#This Row],[FY25 Average]],salesforecast[[#This Row],[July Schedule]]),0)</f>
        <v/>
      </c>
      <c r="U45" s="585">
        <f>salesforecast[[#This Row],[Forecast]]-salesforecast[[#This Row],[July Schedule]]</f>
        <v/>
      </c>
      <c r="V45">
        <f>salesforecast[[#This Row],[Plant]]</f>
        <v/>
      </c>
      <c r="W45" s="66">
        <f t="array" ref="W45">_xlfn.TEXTJOIN("|",TRUE,(_xlfn.UNIQUE(_xlfn._xlws.FILTER(scheduleapr[CUSTOMER NAME],scheduleapr[Bucket]=salesforecast[[#This Row],[Bucket]]))))</f>
        <v/>
      </c>
      <c r="X45" s="66">
        <f t="array" ref="X45">_xlfn.TEXTJOIN("|",TRUE,(_xlfn.UNIQUE(_xlfn._xlws.SORT(_xlfn._xlws.FILTER(scheduleapr[LENGTH],scheduleapr[Bucket]=salesforecast[[#This Row],[Bucket]])))))</f>
        <v/>
      </c>
      <c r="Y45" s="66">
        <f t="array" ref="Y45">_xlfn.TEXTJOIN("|",TRUE,_xlfn._xlws.FILTER(buckets[Material Codes],(buckets[Bucket]=salesforecast[[#This Row],[Bucket2]])*(buckets[LL or CTL]="CTL")))</f>
        <v/>
      </c>
      <c r="Z45">
        <f>salesforecast[[#This Row],[Bucket]]</f>
        <v/>
      </c>
      <c r="AA45" s="43">
        <f>salesforecast[[#This Row],[July Schedule]]</f>
        <v/>
      </c>
      <c r="AB45" s="43">
        <f>SUMIF(salesTVS[buckets.Bucket],salesforecast[[#This Row],[Bucket]],salesTVS[Quantity])/1000</f>
        <v/>
      </c>
      <c r="AC45" s="43">
        <f>SUMIFS(stock[MT],stock[Bucket],salesforecast[[#This Row],[Bucket]],stock[LL or CTL],"CTL")</f>
        <v/>
      </c>
      <c r="AD45" s="43">
        <f>SUMIF(stock[Bucket],salesforecast[[#This Row],[Bucket]],stock[MT])-salesforecast[[#This Row],[Stock CTL]]</f>
        <v/>
      </c>
      <c r="AE45" s="43" t="e">
        <v>#REF!</v>
      </c>
      <c r="AF45" s="43">
        <f>SUMIF(wip[Bucket],salesforecast[[#This Row],[Bucket]],wip[Stock(Net Wt)])/1000</f>
        <v/>
      </c>
      <c r="AG45" s="43" t="e">
        <v>#REF!</v>
      </c>
      <c r="AH45" s="43">
        <f>SUMIFS(stock[MT],stock[Bucket],salesforecast[[#This Row],[Bucket2]],stock[Plant],"0788")</f>
        <v/>
      </c>
      <c r="AI45" s="43">
        <f>((salesforecast[[#This Row],[WIP]]+salesforecast[[#This Row],[Stock LL]]))/salesforecast[[#This Row],[July Schedule]]*30</f>
        <v/>
      </c>
      <c r="AJ45" s="585">
        <f>salesforecast[[#This Row],[Stock LL]]/salesforecast[[#This Row],[Schedule]]*30</f>
        <v/>
      </c>
      <c r="AK45" s="43">
        <f>SUMIFS(stock[MT],stock[Bucket],salesforecast[[#This Row],[Bucket2]],stock[Plant],"0789",stock[LL or CTL],"LL")</f>
        <v/>
      </c>
      <c r="AL45" s="193">
        <f>(salesforecast[[#This Row],[Sales]])/salesforecast[[#This Row],[Schedule]]</f>
        <v/>
      </c>
      <c r="AM45" s="43">
        <f>SUMIFS(stock[MT],stock[Plant],salesforecast[[#This Row],[Plant]],stock[LL or CTL],"LL",stock[Bucket],salesforecast[[#This Row],[Bucket]])</f>
        <v/>
      </c>
      <c r="AN45" s="43">
        <f>SUMIFS(scheduleapr[SCHEDULE IN MT],scheduleapr[CUSTOMER NAME],"*Rajsriya*",scheduleapr[Bucket],salesforecast[[#This Row],[Bucket]])</f>
        <v/>
      </c>
      <c r="AO45" s="43">
        <f>SUMIFS(salesTVS[Quantity],salesTVS[CUSTOMER  NAME],"*RAJSRIYA*",salesTVS[buckets.Bucket],salesforecast[[#This Row],[Bucket]])/1000</f>
        <v/>
      </c>
      <c r="AP45" s="43">
        <f>SUMIFS(stock[MT],stock[Plant],4318,stock[Bucket],salesforecast[[#This Row],[Bucket2]])</f>
        <v/>
      </c>
      <c r="AQ45" s="43">
        <f>SUMIFS(stock[MT],stock[Plant],4731,stock[Bucket],salesforecast[[#This Row],[Bucket2]],stock[LL or CTL],"CTL")</f>
        <v/>
      </c>
      <c r="AR45" s="43">
        <f>SUMIFS(stock[MT],stock[Plant],4731,stock[Bucket],salesforecast[[#This Row],[Bucket2]])-salesforecast[[#This Row],[4731 Stock CTL]]</f>
        <v/>
      </c>
      <c r="AS45" s="43">
        <f>SUMIFS(stock[MT],stock[Plant],8406,stock[Bucket],salesforecast[[#This Row],[Bucket2]])</f>
        <v/>
      </c>
    </row>
    <row r="46" ht="30" customHeight="1" s="584">
      <c r="A46" t="n">
        <v>25.4</v>
      </c>
      <c r="B46" t="n">
        <v>25.4</v>
      </c>
      <c r="C46" t="n">
        <v>0</v>
      </c>
      <c r="D46" t="n">
        <v>1.2</v>
      </c>
      <c r="E46" t="inlineStr">
        <is>
          <t>ERW 1</t>
        </is>
      </c>
      <c r="F46" t="inlineStr">
        <is>
          <t>PE</t>
        </is>
      </c>
      <c r="G46" t="inlineStr">
        <is>
          <t>CR</t>
        </is>
      </c>
      <c r="H46">
        <f>_xlfn.CONCAT(salesforecast[[#This Row],[OD]],"-",salesforecast[[#This Row],[ID]],"-",salesforecast[[#This Row],[TICKNESS]],"-",salesforecast[[#This Row],[GRADE]],"-",salesforecast[[#This Row],[FC/NFC]])</f>
        <v/>
      </c>
      <c r="I46" s="43">
        <f>SUMIFS(scheduleapr[SCHEDULE IN MT],scheduleapr[Bucket],salesforecast[[#This Row],[Bucket]])</f>
        <v/>
      </c>
      <c r="J46" t="n">
        <v>3571603</v>
      </c>
      <c r="K46">
        <f>COUNTIF('helper sheet'!$A$1:$A$33,salesforecast[[#This Row],[LL Material Code]])</f>
        <v/>
      </c>
      <c r="N46" t="inlineStr">
        <is>
          <t>TUB-O-N-AUT-AW-PE-25.40X1.200X5.1700</t>
        </is>
      </c>
      <c r="P46" s="47" t="inlineStr">
        <is>
          <t>0789</t>
        </is>
      </c>
      <c r="Q46" t="n">
        <v>1</v>
      </c>
      <c r="R46" t="n">
        <v>6</v>
      </c>
      <c r="S46" t="n">
        <v>4</v>
      </c>
      <c r="T46" s="585">
        <f>ROUNDUP(MAX(salesforecast[[#This Row],[FY25 Average]],salesforecast[[#This Row],[July Schedule]]),0)</f>
        <v/>
      </c>
      <c r="U46" s="585">
        <f>salesforecast[[#This Row],[Forecast]]-salesforecast[[#This Row],[July Schedule]]</f>
        <v/>
      </c>
      <c r="V46">
        <f>salesforecast[[#This Row],[Plant]]</f>
        <v/>
      </c>
      <c r="W46" s="66">
        <f t="array" ref="W46">_xlfn.TEXTJOIN("|",TRUE,(_xlfn.UNIQUE(_xlfn._xlws.FILTER(scheduleapr[CUSTOMER NAME],scheduleapr[Bucket]=salesforecast[[#This Row],[Bucket]]))))</f>
        <v/>
      </c>
      <c r="X46" s="66">
        <f t="array" ref="X46">_xlfn.TEXTJOIN("|",TRUE,(_xlfn.UNIQUE(_xlfn._xlws.SORT(_xlfn._xlws.FILTER(scheduleapr[LENGTH],scheduleapr[Bucket]=salesforecast[[#This Row],[Bucket]])))))</f>
        <v/>
      </c>
      <c r="Y46" s="66">
        <f t="array" ref="Y46">_xlfn.TEXTJOIN("|",TRUE,_xlfn._xlws.FILTER(buckets[Material Codes],(buckets[Bucket]=salesforecast[[#This Row],[Bucket2]])*(buckets[LL or CTL]="CTL")))</f>
        <v/>
      </c>
      <c r="Z46">
        <f>salesforecast[[#This Row],[Bucket]]</f>
        <v/>
      </c>
      <c r="AA46" s="43">
        <f>salesforecast[[#This Row],[July Schedule]]</f>
        <v/>
      </c>
      <c r="AB46" s="43">
        <f>SUMIF(salesTVS[buckets.Bucket],salesforecast[[#This Row],[Bucket]],salesTVS[Quantity])/1000</f>
        <v/>
      </c>
      <c r="AC46" s="43">
        <f>SUMIFS(stock[MT],stock[Bucket],salesforecast[[#This Row],[Bucket]],stock[LL or CTL],"CTL")</f>
        <v/>
      </c>
      <c r="AD46" s="43">
        <f>SUMIF(stock[Bucket],salesforecast[[#This Row],[Bucket]],stock[MT])-salesforecast[[#This Row],[Stock CTL]]</f>
        <v/>
      </c>
      <c r="AE46" s="43" t="e">
        <v>#REF!</v>
      </c>
      <c r="AF46" s="43">
        <f>SUMIF(wip[Bucket],salesforecast[[#This Row],[Bucket]],wip[Stock(Net Wt)])/1000</f>
        <v/>
      </c>
      <c r="AG46" s="43" t="e">
        <v>#REF!</v>
      </c>
      <c r="AH46" s="43">
        <f>SUMIFS(stock[MT],stock[Bucket],salesforecast[[#This Row],[Bucket2]],stock[Plant],"0788")</f>
        <v/>
      </c>
      <c r="AI46" s="43">
        <f>((salesforecast[[#This Row],[WIP]]+salesforecast[[#This Row],[Stock LL]]))/salesforecast[[#This Row],[July Schedule]]*30</f>
        <v/>
      </c>
      <c r="AJ46" s="585">
        <f>salesforecast[[#This Row],[Stock LL]]/salesforecast[[#This Row],[Schedule]]*30</f>
        <v/>
      </c>
      <c r="AK46" s="43">
        <f>SUMIFS(stock[MT],stock[Bucket],salesforecast[[#This Row],[Bucket2]],stock[Plant],"0789",stock[LL or CTL],"LL")</f>
        <v/>
      </c>
      <c r="AL46" s="193">
        <f>(salesforecast[[#This Row],[Sales]])/salesforecast[[#This Row],[Schedule]]</f>
        <v/>
      </c>
      <c r="AM46" s="43">
        <f>SUMIFS(stock[MT],stock[Plant],salesforecast[[#This Row],[Plant]],stock[LL or CTL],"LL",stock[Bucket],salesforecast[[#This Row],[Bucket]])</f>
        <v/>
      </c>
      <c r="AN46" s="43">
        <f>SUMIFS(scheduleapr[SCHEDULE IN MT],scheduleapr[CUSTOMER NAME],"*Rajsriya*",scheduleapr[Bucket],salesforecast[[#This Row],[Bucket]])</f>
        <v/>
      </c>
      <c r="AO46" s="43">
        <f>SUMIFS(salesTVS[Quantity],salesTVS[CUSTOMER  NAME],"*RAJSRIYA*",salesTVS[buckets.Bucket],salesforecast[[#This Row],[Bucket]])/1000</f>
        <v/>
      </c>
      <c r="AP46" s="43">
        <f>SUMIFS(stock[MT],stock[Plant],4318,stock[Bucket],salesforecast[[#This Row],[Bucket2]])</f>
        <v/>
      </c>
      <c r="AQ46" s="43">
        <f>SUMIFS(stock[MT],stock[Plant],4731,stock[Bucket],salesforecast[[#This Row],[Bucket2]],stock[LL or CTL],"CTL")</f>
        <v/>
      </c>
      <c r="AR46" s="43">
        <f>SUMIFS(stock[MT],stock[Plant],4731,stock[Bucket],salesforecast[[#This Row],[Bucket2]])-salesforecast[[#This Row],[4731 Stock CTL]]</f>
        <v/>
      </c>
      <c r="AS46" s="43">
        <f>SUMIFS(stock[MT],stock[Plant],8406,stock[Bucket],salesforecast[[#This Row],[Bucket2]])</f>
        <v/>
      </c>
    </row>
    <row r="47">
      <c r="A47" t="n">
        <v>25.4</v>
      </c>
      <c r="B47" t="n">
        <v>25.4</v>
      </c>
      <c r="C47" t="n">
        <v>0</v>
      </c>
      <c r="D47" t="n">
        <v>1.4</v>
      </c>
      <c r="E47" t="inlineStr">
        <is>
          <t>ERW 2</t>
        </is>
      </c>
      <c r="F47" t="inlineStr">
        <is>
          <t>PE</t>
        </is>
      </c>
      <c r="G47" t="inlineStr">
        <is>
          <t>CR</t>
        </is>
      </c>
      <c r="H47">
        <f>_xlfn.CONCAT(salesforecast[[#This Row],[OD]],"-",salesforecast[[#This Row],[ID]],"-",salesforecast[[#This Row],[TICKNESS]],"-",salesforecast[[#This Row],[GRADE]],"-",salesforecast[[#This Row],[FC/NFC]])</f>
        <v/>
      </c>
      <c r="I47" s="43">
        <f>SUMIFS(scheduleapr[SCHEDULE IN MT],scheduleapr[Bucket],salesforecast[[#This Row],[Bucket]])</f>
        <v/>
      </c>
      <c r="J47" t="n">
        <v>2279516</v>
      </c>
      <c r="K47">
        <f>COUNTIF('helper sheet'!$A$1:$A$33,salesforecast[[#This Row],[LL Material Code]])</f>
        <v/>
      </c>
      <c r="L47" t="n">
        <v>1931783</v>
      </c>
      <c r="N47" t="inlineStr">
        <is>
          <t>TUB-O-N-AUT-AW-FC-25.40X1.400X6.0820</t>
        </is>
      </c>
      <c r="P47" s="47" t="inlineStr">
        <is>
          <t>0789</t>
        </is>
      </c>
      <c r="Q47" t="n">
        <v>0</v>
      </c>
      <c r="R47" t="n">
        <v>18</v>
      </c>
      <c r="S47" t="n">
        <v>3</v>
      </c>
      <c r="T47" s="585">
        <f>ROUNDUP(MAX(salesforecast[[#This Row],[FY25 Average]],salesforecast[[#This Row],[July Schedule]]),0)</f>
        <v/>
      </c>
      <c r="U47" s="585">
        <f>salesforecast[[#This Row],[Forecast]]-salesforecast[[#This Row],[July Schedule]]</f>
        <v/>
      </c>
      <c r="V47">
        <f>salesforecast[[#This Row],[Plant]]</f>
        <v/>
      </c>
      <c r="W47" s="66">
        <f t="array" ref="W47">_xlfn.TEXTJOIN("|",TRUE,(_xlfn.UNIQUE(_xlfn._xlws.FILTER(scheduleapr[CUSTOMER NAME],scheduleapr[Bucket]=salesforecast[[#This Row],[Bucket]]))))</f>
        <v/>
      </c>
      <c r="X47" s="66">
        <f t="array" ref="X47">_xlfn.TEXTJOIN("|",TRUE,(_xlfn.UNIQUE(_xlfn._xlws.SORT(_xlfn._xlws.FILTER(scheduleapr[LENGTH],scheduleapr[Bucket]=salesforecast[[#This Row],[Bucket]])))))</f>
        <v/>
      </c>
      <c r="Y47" s="66">
        <f t="array" ref="Y47">_xlfn.TEXTJOIN("|",TRUE,_xlfn._xlws.FILTER(buckets[Material Codes],(buckets[Bucket]=salesforecast[[#This Row],[Bucket2]])*(buckets[LL or CTL]="CTL")))</f>
        <v/>
      </c>
      <c r="Z47">
        <f>salesforecast[[#This Row],[Bucket]]</f>
        <v/>
      </c>
      <c r="AA47" s="43">
        <f>salesforecast[[#This Row],[July Schedule]]</f>
        <v/>
      </c>
      <c r="AB47" s="43">
        <f>SUMIF(salesTVS[buckets.Bucket],salesforecast[[#This Row],[Bucket]],salesTVS[Quantity])/1000</f>
        <v/>
      </c>
      <c r="AC47" s="43">
        <f>SUMIFS(stock[MT],stock[Bucket],salesforecast[[#This Row],[Bucket]],stock[LL or CTL],"CTL")</f>
        <v/>
      </c>
      <c r="AD47" s="43">
        <f>SUMIF(stock[Bucket],salesforecast[[#This Row],[Bucket]],stock[MT])-salesforecast[[#This Row],[Stock CTL]]</f>
        <v/>
      </c>
      <c r="AE47" s="43" t="e">
        <v>#REF!</v>
      </c>
      <c r="AF47" s="43">
        <f>SUMIF(wip[Bucket],salesforecast[[#This Row],[Bucket]],wip[Stock(Net Wt)])/1000</f>
        <v/>
      </c>
      <c r="AG47" s="43" t="e">
        <v>#REF!</v>
      </c>
      <c r="AH47" s="43">
        <f>SUMIFS(stock[MT],stock[Bucket],salesforecast[[#This Row],[Bucket2]],stock[Plant],"0788")</f>
        <v/>
      </c>
      <c r="AI47" s="43">
        <f>((salesforecast[[#This Row],[WIP]]+salesforecast[[#This Row],[Stock LL]]))/salesforecast[[#This Row],[July Schedule]]*30</f>
        <v/>
      </c>
      <c r="AJ47">
        <f>salesforecast[[#This Row],[Stock LL]]/salesforecast[[#This Row],[Schedule]]*30</f>
        <v/>
      </c>
      <c r="AK47" s="43">
        <f>SUMIFS(stock[MT],stock[Bucket],salesforecast[[#This Row],[Bucket2]],stock[Plant],"0789",stock[LL or CTL],"LL")</f>
        <v/>
      </c>
      <c r="AL47" s="193">
        <f>(salesforecast[[#This Row],[Sales]])/salesforecast[[#This Row],[Schedule]]</f>
        <v/>
      </c>
      <c r="AM47" s="43">
        <f>SUMIFS(stock[MT],stock[Plant],salesforecast[[#This Row],[Plant]],stock[LL or CTL],"LL",stock[Bucket],salesforecast[[#This Row],[Bucket]])</f>
        <v/>
      </c>
      <c r="AN47" s="43">
        <f>SUMIFS(scheduleapr[SCHEDULE IN MT],scheduleapr[CUSTOMER NAME],"*Rajsriya*",scheduleapr[Bucket],salesforecast[[#This Row],[Bucket]])</f>
        <v/>
      </c>
      <c r="AO47" s="43">
        <f>SUMIFS(salesTVS[Quantity],salesTVS[CUSTOMER  NAME],"*RAJSRIYA*",salesTVS[buckets.Bucket],salesforecast[[#This Row],[Bucket]])/1000</f>
        <v/>
      </c>
      <c r="AP47" s="43">
        <f>SUMIFS(stock[MT],stock[Plant],4318,stock[Bucket],salesforecast[[#This Row],[Bucket2]])</f>
        <v/>
      </c>
      <c r="AQ47" s="43">
        <f>SUMIFS(stock[MT],stock[Plant],4731,stock[Bucket],salesforecast[[#This Row],[Bucket2]],stock[LL or CTL],"CTL")</f>
        <v/>
      </c>
      <c r="AR47" s="43">
        <f>SUMIFS(stock[MT],stock[Plant],4731,stock[Bucket],salesforecast[[#This Row],[Bucket2]])-salesforecast[[#This Row],[4731 Stock CTL]]</f>
        <v/>
      </c>
      <c r="AS47" s="43">
        <f>SUMIFS(stock[MT],stock[Plant],8406,stock[Bucket],salesforecast[[#This Row],[Bucket2]])</f>
        <v/>
      </c>
    </row>
    <row r="48" ht="30" customHeight="1" s="584">
      <c r="A48" t="n">
        <v>25.4</v>
      </c>
      <c r="B48" t="n">
        <v>25.4</v>
      </c>
      <c r="C48" t="n">
        <v>0</v>
      </c>
      <c r="D48" t="n">
        <v>1.6</v>
      </c>
      <c r="E48" t="inlineStr">
        <is>
          <t>ERW 1</t>
        </is>
      </c>
      <c r="F48" t="inlineStr">
        <is>
          <t>FC</t>
        </is>
      </c>
      <c r="G48" t="inlineStr">
        <is>
          <t>CR</t>
        </is>
      </c>
      <c r="H48">
        <f>_xlfn.CONCAT(salesforecast[[#This Row],[OD]],"-",salesforecast[[#This Row],[ID]],"-",salesforecast[[#This Row],[TICKNESS]],"-",salesforecast[[#This Row],[GRADE]],"-",salesforecast[[#This Row],[FC/NFC]])</f>
        <v/>
      </c>
      <c r="I48" s="43">
        <f>SUMIFS(scheduleapr[SCHEDULE IN MT],scheduleapr[Bucket],salesforecast[[#This Row],[Bucket]])</f>
        <v/>
      </c>
      <c r="J48" t="n">
        <v>3623213</v>
      </c>
      <c r="K48">
        <f>COUNTIF('helper sheet'!$A$1:$A$33,salesforecast[[#This Row],[LL Material Code]])</f>
        <v/>
      </c>
      <c r="N48" t="inlineStr">
        <is>
          <t>TUB-O-N-GEN-AW-FC-25.40X1.600X4.9500</t>
        </is>
      </c>
      <c r="O48" t="inlineStr">
        <is>
          <t>HROP</t>
        </is>
      </c>
      <c r="P48" s="47" t="inlineStr">
        <is>
          <t>0789</t>
        </is>
      </c>
      <c r="Q48" t="n">
        <v>0</v>
      </c>
      <c r="R48" t="n">
        <v>5</v>
      </c>
      <c r="S48" t="n">
        <v>2</v>
      </c>
      <c r="T48" s="585">
        <f>ROUNDUP(MAX(salesforecast[[#This Row],[FY25 Average]],salesforecast[[#This Row],[July Schedule]]),0)</f>
        <v/>
      </c>
      <c r="U48" s="585">
        <f>salesforecast[[#This Row],[Forecast]]-salesforecast[[#This Row],[July Schedule]]</f>
        <v/>
      </c>
      <c r="V48">
        <f>salesforecast[[#This Row],[Plant]]</f>
        <v/>
      </c>
      <c r="W48" s="66">
        <f t="array" ref="W48">_xlfn.TEXTJOIN("|",TRUE,(_xlfn.UNIQUE(_xlfn._xlws.FILTER(scheduleapr[CUSTOMER NAME],scheduleapr[Bucket]=salesforecast[[#This Row],[Bucket]]))))</f>
        <v/>
      </c>
      <c r="X48" s="66">
        <f t="array" ref="X48">_xlfn.TEXTJOIN("|",TRUE,(_xlfn.UNIQUE(_xlfn._xlws.SORT(_xlfn._xlws.FILTER(scheduleapr[LENGTH],scheduleapr[Bucket]=salesforecast[[#This Row],[Bucket]])))))</f>
        <v/>
      </c>
      <c r="Y48" s="66">
        <f t="array" ref="Y48">_xlfn.TEXTJOIN("|",TRUE,_xlfn._xlws.FILTER(buckets[Material Codes],(buckets[Bucket]=salesforecast[[#This Row],[Bucket2]])*(buckets[LL or CTL]="CTL")))</f>
        <v/>
      </c>
      <c r="Z48">
        <f>salesforecast[[#This Row],[Bucket]]</f>
        <v/>
      </c>
      <c r="AA48" s="43">
        <f>salesforecast[[#This Row],[July Schedule]]</f>
        <v/>
      </c>
      <c r="AB48" s="43">
        <f>SUMIF(salesTVS[buckets.Bucket],salesforecast[[#This Row],[Bucket]],salesTVS[Quantity])/1000</f>
        <v/>
      </c>
      <c r="AC48" s="43">
        <f>SUMIFS(stock[MT],stock[Bucket],salesforecast[[#This Row],[Bucket]],stock[LL or CTL],"CTL")</f>
        <v/>
      </c>
      <c r="AD48" s="43">
        <f>SUMIF(stock[Bucket],salesforecast[[#This Row],[Bucket]],stock[MT])-salesforecast[[#This Row],[Stock CTL]]</f>
        <v/>
      </c>
      <c r="AE48" s="43" t="e">
        <v>#REF!</v>
      </c>
      <c r="AF48" s="43">
        <f>SUMIF(wip[Bucket],salesforecast[[#This Row],[Bucket]],wip[Stock(Net Wt)])/1000</f>
        <v/>
      </c>
      <c r="AG48" s="43" t="e">
        <v>#REF!</v>
      </c>
      <c r="AH48" s="43">
        <f>SUMIFS(stock[MT],stock[Bucket],salesforecast[[#This Row],[Bucket2]],stock[Plant],"0788")</f>
        <v/>
      </c>
      <c r="AI48" s="43">
        <f>((salesforecast[[#This Row],[WIP]]+salesforecast[[#This Row],[Stock LL]]))/salesforecast[[#This Row],[July Schedule]]*30</f>
        <v/>
      </c>
      <c r="AJ48" s="585">
        <f>salesforecast[[#This Row],[Stock LL]]/salesforecast[[#This Row],[Schedule]]*30</f>
        <v/>
      </c>
      <c r="AK48" s="43">
        <f>SUMIFS(stock[MT],stock[Bucket],salesforecast[[#This Row],[Bucket2]],stock[Plant],"0789",stock[LL or CTL],"LL")</f>
        <v/>
      </c>
      <c r="AL48" s="193">
        <f>(salesforecast[[#This Row],[Sales]])/salesforecast[[#This Row],[Schedule]]</f>
        <v/>
      </c>
      <c r="AM48" s="43">
        <f>SUMIFS(stock[MT],stock[Plant],salesforecast[[#This Row],[Plant]],stock[LL or CTL],"LL",stock[Bucket],salesforecast[[#This Row],[Bucket]])</f>
        <v/>
      </c>
      <c r="AN48" s="43">
        <f>SUMIFS(scheduleapr[SCHEDULE IN MT],scheduleapr[CUSTOMER NAME],"*Rajsriya*",scheduleapr[Bucket],salesforecast[[#This Row],[Bucket]])</f>
        <v/>
      </c>
      <c r="AO48" s="43">
        <f>SUMIFS(salesTVS[Quantity],salesTVS[CUSTOMER  NAME],"*RAJSRIYA*",salesTVS[buckets.Bucket],salesforecast[[#This Row],[Bucket]])/1000</f>
        <v/>
      </c>
      <c r="AP48" s="43">
        <f>SUMIFS(stock[MT],stock[Plant],4318,stock[Bucket],salesforecast[[#This Row],[Bucket2]])</f>
        <v/>
      </c>
      <c r="AQ48" s="43">
        <f>SUMIFS(stock[MT],stock[Plant],4731,stock[Bucket],salesforecast[[#This Row],[Bucket2]],stock[LL or CTL],"CTL")</f>
        <v/>
      </c>
      <c r="AR48" s="43">
        <f>SUMIFS(stock[MT],stock[Plant],4731,stock[Bucket],salesforecast[[#This Row],[Bucket2]])-salesforecast[[#This Row],[4731 Stock CTL]]</f>
        <v/>
      </c>
      <c r="AS48" s="43">
        <f>SUMIFS(stock[MT],stock[Plant],8406,stock[Bucket],salesforecast[[#This Row],[Bucket2]])</f>
        <v/>
      </c>
    </row>
    <row r="49" ht="45" customHeight="1" s="584">
      <c r="A49" t="n">
        <v>25.4</v>
      </c>
      <c r="B49" t="n">
        <v>25.4</v>
      </c>
      <c r="C49" t="n">
        <v>0</v>
      </c>
      <c r="D49" t="n">
        <v>1.6</v>
      </c>
      <c r="E49" t="inlineStr">
        <is>
          <t>ERW 1</t>
        </is>
      </c>
      <c r="F49" t="inlineStr">
        <is>
          <t>PE</t>
        </is>
      </c>
      <c r="G49" t="inlineStr">
        <is>
          <t>CR</t>
        </is>
      </c>
      <c r="H49">
        <f>_xlfn.CONCAT(salesforecast[[#This Row],[OD]],"-",salesforecast[[#This Row],[ID]],"-",salesforecast[[#This Row],[TICKNESS]],"-",salesforecast[[#This Row],[GRADE]],"-",salesforecast[[#This Row],[FC/NFC]])</f>
        <v/>
      </c>
      <c r="I49" s="43">
        <f>SUMIFS(scheduleapr[SCHEDULE IN MT],scheduleapr[Bucket],salesforecast[[#This Row],[Bucket]])</f>
        <v/>
      </c>
      <c r="J49" t="n">
        <v>1940571</v>
      </c>
      <c r="K49">
        <f>COUNTIF('helper sheet'!$A$1:$A$33,salesforecast[[#This Row],[LL Material Code]])</f>
        <v/>
      </c>
      <c r="N49" t="inlineStr">
        <is>
          <t>TUB-O-O-AUT-AW-PE-25.40X1.600X5.9000</t>
        </is>
      </c>
      <c r="O49" t="inlineStr">
        <is>
          <t>WG</t>
        </is>
      </c>
      <c r="P49" s="47" t="inlineStr">
        <is>
          <t>0789</t>
        </is>
      </c>
      <c r="Q49" t="n">
        <v>2</v>
      </c>
      <c r="R49" t="n">
        <v>46</v>
      </c>
      <c r="S49" t="n">
        <v>14</v>
      </c>
      <c r="T49" s="585">
        <f>ROUNDUP(MAX(salesforecast[[#This Row],[FY25 Average]],salesforecast[[#This Row],[July Schedule]]),0)</f>
        <v/>
      </c>
      <c r="U49" s="585">
        <f>salesforecast[[#This Row],[Forecast]]-salesforecast[[#This Row],[July Schedule]]</f>
        <v/>
      </c>
      <c r="V49">
        <f>salesforecast[[#This Row],[Plant]]</f>
        <v/>
      </c>
      <c r="W49" s="66">
        <f t="array" ref="W49">_xlfn.TEXTJOIN("|",TRUE,(_xlfn.UNIQUE(_xlfn._xlws.FILTER(scheduleapr[CUSTOMER NAME],scheduleapr[Bucket]=salesforecast[[#This Row],[Bucket]]))))</f>
        <v/>
      </c>
      <c r="X49" s="66">
        <f t="array" ref="X49">_xlfn.TEXTJOIN("|",TRUE,(_xlfn.UNIQUE(_xlfn._xlws.SORT(_xlfn._xlws.FILTER(scheduleapr[LENGTH],scheduleapr[Bucket]=salesforecast[[#This Row],[Bucket]])))))</f>
        <v/>
      </c>
      <c r="Y49" s="66">
        <f t="array" ref="Y49">_xlfn.TEXTJOIN("|",TRUE,_xlfn._xlws.FILTER(buckets[Material Codes],(buckets[Bucket]=salesforecast[[#This Row],[Bucket2]])*(buckets[LL or CTL]="CTL")))</f>
        <v/>
      </c>
      <c r="Z49">
        <f>salesforecast[[#This Row],[Bucket]]</f>
        <v/>
      </c>
      <c r="AA49" s="43">
        <f>salesforecast[[#This Row],[July Schedule]]</f>
        <v/>
      </c>
      <c r="AB49" s="43">
        <f>SUMIF(salesTVS[buckets.Bucket],salesforecast[[#This Row],[Bucket]],salesTVS[Quantity])/1000</f>
        <v/>
      </c>
      <c r="AC49" s="43">
        <f>SUMIFS(stock[MT],stock[Bucket],salesforecast[[#This Row],[Bucket]],stock[LL or CTL],"CTL")</f>
        <v/>
      </c>
      <c r="AD49" s="43">
        <f>SUMIF(stock[Bucket],salesforecast[[#This Row],[Bucket]],stock[MT])-salesforecast[[#This Row],[Stock CTL]]</f>
        <v/>
      </c>
      <c r="AE49" s="43" t="e">
        <v>#REF!</v>
      </c>
      <c r="AF49" s="43">
        <f>SUMIF(wip[Bucket],salesforecast[[#This Row],[Bucket]],wip[Stock(Net Wt)])/1000</f>
        <v/>
      </c>
      <c r="AG49" s="43" t="e">
        <v>#REF!</v>
      </c>
      <c r="AH49" s="43">
        <f>SUMIFS(stock[MT],stock[Bucket],salesforecast[[#This Row],[Bucket2]],stock[Plant],"0788")</f>
        <v/>
      </c>
      <c r="AI49" s="43">
        <f>((salesforecast[[#This Row],[WIP]]+salesforecast[[#This Row],[Stock LL]]))/salesforecast[[#This Row],[July Schedule]]*30</f>
        <v/>
      </c>
      <c r="AJ49" s="585">
        <f>salesforecast[[#This Row],[Stock LL]]/salesforecast[[#This Row],[Schedule]]*30</f>
        <v/>
      </c>
      <c r="AK49" s="43">
        <f>SUMIFS(stock[MT],stock[Bucket],salesforecast[[#This Row],[Bucket2]],stock[Plant],"0789",stock[LL or CTL],"LL")</f>
        <v/>
      </c>
      <c r="AL49" s="193">
        <f>(salesforecast[[#This Row],[Sales]])/salesforecast[[#This Row],[Schedule]]</f>
        <v/>
      </c>
      <c r="AM49" s="43">
        <f>SUMIFS(stock[MT],stock[Plant],salesforecast[[#This Row],[Plant]],stock[LL or CTL],"LL",stock[Bucket],salesforecast[[#This Row],[Bucket]])</f>
        <v/>
      </c>
      <c r="AN49" s="43">
        <f>SUMIFS(scheduleapr[SCHEDULE IN MT],scheduleapr[CUSTOMER NAME],"*Rajsriya*",scheduleapr[Bucket],salesforecast[[#This Row],[Bucket]])</f>
        <v/>
      </c>
      <c r="AO49" s="43">
        <f>SUMIFS(salesTVS[Quantity],salesTVS[CUSTOMER  NAME],"*RAJSRIYA*",salesTVS[buckets.Bucket],salesforecast[[#This Row],[Bucket]])/1000</f>
        <v/>
      </c>
      <c r="AP49" s="43">
        <f>SUMIFS(stock[MT],stock[Plant],4318,stock[Bucket],salesforecast[[#This Row],[Bucket2]])</f>
        <v/>
      </c>
      <c r="AQ49" s="43">
        <f>SUMIFS(stock[MT],stock[Plant],4731,stock[Bucket],salesforecast[[#This Row],[Bucket2]],stock[LL or CTL],"CTL")</f>
        <v/>
      </c>
      <c r="AR49" s="43">
        <f>SUMIFS(stock[MT],stock[Plant],4731,stock[Bucket],salesforecast[[#This Row],[Bucket2]])-salesforecast[[#This Row],[4731 Stock CTL]]</f>
        <v/>
      </c>
      <c r="AS49" s="43">
        <f>SUMIFS(stock[MT],stock[Plant],8406,stock[Bucket],salesforecast[[#This Row],[Bucket2]])</f>
        <v/>
      </c>
    </row>
    <row r="50" ht="45" customHeight="1" s="584">
      <c r="A50" t="n">
        <v>25.4</v>
      </c>
      <c r="B50" t="n">
        <v>25.4</v>
      </c>
      <c r="C50" t="n">
        <v>0</v>
      </c>
      <c r="D50" t="n">
        <v>2</v>
      </c>
      <c r="E50" t="inlineStr">
        <is>
          <t>ERW 1</t>
        </is>
      </c>
      <c r="F50" t="inlineStr">
        <is>
          <t>PE</t>
        </is>
      </c>
      <c r="G50" t="inlineStr">
        <is>
          <t>HR</t>
        </is>
      </c>
      <c r="H50">
        <f>_xlfn.CONCAT(salesforecast[[#This Row],[OD]],"-",salesforecast[[#This Row],[ID]],"-",salesforecast[[#This Row],[TICKNESS]],"-",salesforecast[[#This Row],[GRADE]],"-",salesforecast[[#This Row],[FC/NFC]])</f>
        <v/>
      </c>
      <c r="I50" s="43">
        <f>SUMIFS(scheduleapr[SCHEDULE IN MT],scheduleapr[Bucket],salesforecast[[#This Row],[Bucket]])</f>
        <v/>
      </c>
      <c r="J50" t="n">
        <v>3618120</v>
      </c>
      <c r="K50">
        <f>COUNTIF('helper sheet'!$A$1:$A$33,salesforecast[[#This Row],[LL Material Code]])</f>
        <v/>
      </c>
      <c r="N50" t="inlineStr">
        <is>
          <t>TUB-O-N-AUT-AW-PE-25.40X2.000X5.8400</t>
        </is>
      </c>
      <c r="P50" s="47" t="inlineStr">
        <is>
          <t>0789</t>
        </is>
      </c>
      <c r="Q50" t="n">
        <v>0</v>
      </c>
      <c r="R50" t="n">
        <v>21</v>
      </c>
      <c r="S50" t="n">
        <v>5</v>
      </c>
      <c r="T50" s="585">
        <f>ROUNDUP(MAX(salesforecast[[#This Row],[FY25 Average]],salesforecast[[#This Row],[July Schedule]]),0)</f>
        <v/>
      </c>
      <c r="U50" s="585">
        <f>salesforecast[[#This Row],[Forecast]]-salesforecast[[#This Row],[July Schedule]]</f>
        <v/>
      </c>
      <c r="V50">
        <f>salesforecast[[#This Row],[Plant]]</f>
        <v/>
      </c>
      <c r="W50" s="66">
        <f t="array" ref="W50">_xlfn.TEXTJOIN("|",TRUE,(_xlfn.UNIQUE(_xlfn._xlws.FILTER(scheduleapr[CUSTOMER NAME],scheduleapr[Bucket]=salesforecast[[#This Row],[Bucket]]))))</f>
        <v/>
      </c>
      <c r="X50" s="66">
        <f t="array" ref="X50">_xlfn.TEXTJOIN("|",TRUE,(_xlfn.UNIQUE(_xlfn._xlws.SORT(_xlfn._xlws.FILTER(scheduleapr[LENGTH],scheduleapr[Bucket]=salesforecast[[#This Row],[Bucket]])))))</f>
        <v/>
      </c>
      <c r="Y50" s="66">
        <f t="array" ref="Y50">_xlfn.TEXTJOIN("|",TRUE,_xlfn._xlws.FILTER(buckets[Material Codes],(buckets[Bucket]=salesforecast[[#This Row],[Bucket2]])*(buckets[LL or CTL]="CTL")))</f>
        <v/>
      </c>
      <c r="Z50">
        <f>salesforecast[[#This Row],[Bucket]]</f>
        <v/>
      </c>
      <c r="AA50" s="43">
        <f>salesforecast[[#This Row],[July Schedule]]</f>
        <v/>
      </c>
      <c r="AB50" s="43">
        <f>SUMIF(salesTVS[buckets.Bucket],salesforecast[[#This Row],[Bucket]],salesTVS[Quantity])/1000</f>
        <v/>
      </c>
      <c r="AC50" s="43">
        <f>SUMIFS(stock[MT],stock[Bucket],salesforecast[[#This Row],[Bucket]],stock[LL or CTL],"CTL")</f>
        <v/>
      </c>
      <c r="AD50" s="43">
        <f>SUMIF(stock[Bucket],salesforecast[[#This Row],[Bucket]],stock[MT])-salesforecast[[#This Row],[Stock CTL]]</f>
        <v/>
      </c>
      <c r="AE50" s="43" t="e">
        <v>#REF!</v>
      </c>
      <c r="AF50" s="43">
        <f>SUMIF(wip[Bucket],salesforecast[[#This Row],[Bucket]],wip[Stock(Net Wt)])/1000</f>
        <v/>
      </c>
      <c r="AG50" s="43" t="e">
        <v>#REF!</v>
      </c>
      <c r="AH50" s="43">
        <f>SUMIFS(stock[MT],stock[Bucket],salesforecast[[#This Row],[Bucket2]],stock[Plant],"0788")</f>
        <v/>
      </c>
      <c r="AI50" s="43">
        <f>((salesforecast[[#This Row],[WIP]]+salesforecast[[#This Row],[Stock LL]]))/salesforecast[[#This Row],[July Schedule]]*30</f>
        <v/>
      </c>
      <c r="AJ50" s="585">
        <f>salesforecast[[#This Row],[Stock LL]]/salesforecast[[#This Row],[Schedule]]*30</f>
        <v/>
      </c>
      <c r="AK50" s="43">
        <f>SUMIFS(stock[MT],stock[Bucket],salesforecast[[#This Row],[Bucket2]],stock[Plant],"0789",stock[LL or CTL],"LL")</f>
        <v/>
      </c>
      <c r="AL50" s="193">
        <f>(salesforecast[[#This Row],[Sales]])/salesforecast[[#This Row],[Schedule]]</f>
        <v/>
      </c>
      <c r="AM50" s="43">
        <f>SUMIFS(stock[MT],stock[Plant],salesforecast[[#This Row],[Plant]],stock[LL or CTL],"LL",stock[Bucket],salesforecast[[#This Row],[Bucket]])</f>
        <v/>
      </c>
      <c r="AN50" s="43">
        <f>SUMIFS(scheduleapr[SCHEDULE IN MT],scheduleapr[CUSTOMER NAME],"*Rajsriya*",scheduleapr[Bucket],salesforecast[[#This Row],[Bucket]])</f>
        <v/>
      </c>
      <c r="AO50" s="43">
        <f>SUMIFS(salesTVS[Quantity],salesTVS[CUSTOMER  NAME],"*RAJSRIYA*",salesTVS[buckets.Bucket],salesforecast[[#This Row],[Bucket]])/1000</f>
        <v/>
      </c>
      <c r="AP50" s="43">
        <f>SUMIFS(stock[MT],stock[Plant],4318,stock[Bucket],salesforecast[[#This Row],[Bucket2]])</f>
        <v/>
      </c>
      <c r="AQ50" s="43">
        <f>SUMIFS(stock[MT],stock[Plant],4731,stock[Bucket],salesforecast[[#This Row],[Bucket2]],stock[LL or CTL],"CTL")</f>
        <v/>
      </c>
      <c r="AR50" s="43">
        <f>SUMIFS(stock[MT],stock[Plant],4731,stock[Bucket],salesforecast[[#This Row],[Bucket2]])-salesforecast[[#This Row],[4731 Stock CTL]]</f>
        <v/>
      </c>
      <c r="AS50" s="43">
        <f>SUMIFS(stock[MT],stock[Plant],8406,stock[Bucket],salesforecast[[#This Row],[Bucket2]])</f>
        <v/>
      </c>
    </row>
    <row r="51" ht="90" customHeight="1" s="584">
      <c r="A51" t="n">
        <v>25.4</v>
      </c>
      <c r="B51" t="n">
        <v>25.4</v>
      </c>
      <c r="C51" t="n">
        <v>0</v>
      </c>
      <c r="D51" t="n">
        <v>2</v>
      </c>
      <c r="E51" t="inlineStr">
        <is>
          <t>ERW 1</t>
        </is>
      </c>
      <c r="F51" t="inlineStr">
        <is>
          <t>FC</t>
        </is>
      </c>
      <c r="G51" t="inlineStr">
        <is>
          <t>HR</t>
        </is>
      </c>
      <c r="H51">
        <f>_xlfn.CONCAT(salesforecast[[#This Row],[OD]],"-",salesforecast[[#This Row],[ID]],"-",salesforecast[[#This Row],[TICKNESS]],"-",salesforecast[[#This Row],[GRADE]],"-",salesforecast[[#This Row],[FC/NFC]])</f>
        <v/>
      </c>
      <c r="I51" s="43">
        <f>SUMIFS(scheduleapr[SCHEDULE IN MT],scheduleapr[Bucket],salesforecast[[#This Row],[Bucket]])</f>
        <v/>
      </c>
      <c r="J51" t="n">
        <v>1940592</v>
      </c>
      <c r="K51">
        <f>COUNTIF('helper sheet'!$A$1:$A$33,salesforecast[[#This Row],[LL Material Code]])</f>
        <v/>
      </c>
      <c r="L51" t="n">
        <v>1940584</v>
      </c>
      <c r="N51" t="inlineStr">
        <is>
          <t>TUB-O-O-AUT-AW-FC-25.40X2.000X6.0000</t>
        </is>
      </c>
      <c r="P51" s="47" t="inlineStr">
        <is>
          <t>0789</t>
        </is>
      </c>
      <c r="Q51" t="n">
        <v>9</v>
      </c>
      <c r="R51" t="n">
        <v>52</v>
      </c>
      <c r="S51" t="n">
        <v>21</v>
      </c>
      <c r="T51" s="585">
        <f>ROUNDUP(MAX(salesforecast[[#This Row],[FY25 Average]],salesforecast[[#This Row],[July Schedule]]),0)</f>
        <v/>
      </c>
      <c r="U51" s="585">
        <f>salesforecast[[#This Row],[Forecast]]-salesforecast[[#This Row],[July Schedule]]</f>
        <v/>
      </c>
      <c r="V51">
        <f>salesforecast[[#This Row],[Plant]]</f>
        <v/>
      </c>
      <c r="W51" s="66">
        <f t="array" ref="W51">_xlfn.TEXTJOIN("|",TRUE,(_xlfn.UNIQUE(_xlfn._xlws.FILTER(scheduleapr[CUSTOMER NAME],scheduleapr[Bucket]=salesforecast[[#This Row],[Bucket]]))))</f>
        <v/>
      </c>
      <c r="X51" s="66">
        <f t="array" ref="X51">_xlfn.TEXTJOIN("|",TRUE,(_xlfn.UNIQUE(_xlfn._xlws.SORT(_xlfn._xlws.FILTER(scheduleapr[LENGTH],scheduleapr[Bucket]=salesforecast[[#This Row],[Bucket]])))))</f>
        <v/>
      </c>
      <c r="Y51" s="66">
        <f t="array" ref="Y51">_xlfn.TEXTJOIN("|",TRUE,_xlfn._xlws.FILTER(buckets[Material Codes],(buckets[Bucket]=salesforecast[[#This Row],[Bucket2]])*(buckets[LL or CTL]="CTL")))</f>
        <v/>
      </c>
      <c r="Z51">
        <f>salesforecast[[#This Row],[Bucket]]</f>
        <v/>
      </c>
      <c r="AA51" s="43">
        <f>salesforecast[[#This Row],[July Schedule]]</f>
        <v/>
      </c>
      <c r="AB51" s="43">
        <f>SUMIF(salesTVS[buckets.Bucket],salesforecast[[#This Row],[Bucket]],salesTVS[Quantity])/1000</f>
        <v/>
      </c>
      <c r="AC51" s="43">
        <f>SUMIFS(stock[MT],stock[Bucket],salesforecast[[#This Row],[Bucket]],stock[LL or CTL],"CTL")</f>
        <v/>
      </c>
      <c r="AD51" s="43">
        <f>SUMIF(stock[Bucket],salesforecast[[#This Row],[Bucket]],stock[MT])-salesforecast[[#This Row],[Stock CTL]]</f>
        <v/>
      </c>
      <c r="AE51" s="43" t="e">
        <v>#REF!</v>
      </c>
      <c r="AF51" s="43">
        <f>SUMIF(wip[Bucket],salesforecast[[#This Row],[Bucket]],wip[Stock(Net Wt)])/1000</f>
        <v/>
      </c>
      <c r="AG51" s="43" t="e">
        <v>#REF!</v>
      </c>
      <c r="AH51" s="43">
        <f>SUMIFS(stock[MT],stock[Bucket],salesforecast[[#This Row],[Bucket2]],stock[Plant],"0788")</f>
        <v/>
      </c>
      <c r="AI51" s="43">
        <f>((salesforecast[[#This Row],[WIP]]+salesforecast[[#This Row],[Stock LL]]))/salesforecast[[#This Row],[July Schedule]]*30</f>
        <v/>
      </c>
      <c r="AJ51" s="585">
        <f>salesforecast[[#This Row],[Stock LL]]/salesforecast[[#This Row],[Schedule]]*30</f>
        <v/>
      </c>
      <c r="AK51" s="43">
        <f>SUMIFS(stock[MT],stock[Bucket],salesforecast[[#This Row],[Bucket2]],stock[Plant],"0789",stock[LL or CTL],"LL")</f>
        <v/>
      </c>
      <c r="AL51" s="193">
        <f>(salesforecast[[#This Row],[Sales]])/salesforecast[[#This Row],[Schedule]]</f>
        <v/>
      </c>
      <c r="AM51" s="43">
        <f>SUMIFS(stock[MT],stock[Plant],salesforecast[[#This Row],[Plant]],stock[LL or CTL],"LL",stock[Bucket],salesforecast[[#This Row],[Bucket]])</f>
        <v/>
      </c>
      <c r="AN51" s="43">
        <f>SUMIFS(scheduleapr[SCHEDULE IN MT],scheduleapr[CUSTOMER NAME],"*Rajsriya*",scheduleapr[Bucket],salesforecast[[#This Row],[Bucket]])</f>
        <v/>
      </c>
      <c r="AO51" s="43">
        <f>SUMIFS(salesTVS[Quantity],salesTVS[CUSTOMER  NAME],"*RAJSRIYA*",salesTVS[buckets.Bucket],salesforecast[[#This Row],[Bucket]])/1000</f>
        <v/>
      </c>
      <c r="AP51" s="43">
        <f>SUMIFS(stock[MT],stock[Plant],4318,stock[Bucket],salesforecast[[#This Row],[Bucket2]])</f>
        <v/>
      </c>
      <c r="AQ51" s="43">
        <f>SUMIFS(stock[MT],stock[Plant],4731,stock[Bucket],salesforecast[[#This Row],[Bucket2]],stock[LL or CTL],"CTL")</f>
        <v/>
      </c>
      <c r="AR51" s="43">
        <f>SUMIFS(stock[MT],stock[Plant],4731,stock[Bucket],salesforecast[[#This Row],[Bucket2]])-salesforecast[[#This Row],[4731 Stock CTL]]</f>
        <v/>
      </c>
      <c r="AS51" s="43">
        <f>SUMIFS(stock[MT],stock[Plant],8406,stock[Bucket],salesforecast[[#This Row],[Bucket2]])</f>
        <v/>
      </c>
    </row>
    <row r="52" ht="30" customHeight="1" s="584">
      <c r="A52" t="n">
        <v>25.4</v>
      </c>
      <c r="B52" t="n">
        <v>25.4</v>
      </c>
      <c r="C52" t="n">
        <v>0</v>
      </c>
      <c r="D52" t="n">
        <v>2.5</v>
      </c>
      <c r="E52" t="inlineStr">
        <is>
          <t>CEW</t>
        </is>
      </c>
      <c r="F52" t="inlineStr">
        <is>
          <t>CEW</t>
        </is>
      </c>
      <c r="G52" t="inlineStr">
        <is>
          <t>HR</t>
        </is>
      </c>
      <c r="H52">
        <f>_xlfn.CONCAT(salesforecast[[#This Row],[OD]],"-",salesforecast[[#This Row],[ID]],"-",salesforecast[[#This Row],[TICKNESS]],"-",salesforecast[[#This Row],[GRADE]],"-",salesforecast[[#This Row],[FC/NFC]])</f>
        <v/>
      </c>
      <c r="I52" s="43">
        <f>SUMIFS(scheduleapr[SCHEDULE IN MT],scheduleapr[Bucket],salesforecast[[#This Row],[Bucket]])</f>
        <v/>
      </c>
      <c r="J52" t="n">
        <v>3770391</v>
      </c>
      <c r="K52">
        <f>COUNTIF('helper sheet'!$A$1:$A$33,salesforecast[[#This Row],[LL Material Code]])</f>
        <v/>
      </c>
      <c r="N52" t="inlineStr">
        <is>
          <t>TUB-O-C-AUT-AD-FC-25.40X2.500X6.0500</t>
        </is>
      </c>
      <c r="P52" s="47" t="inlineStr">
        <is>
          <t>0788</t>
        </is>
      </c>
      <c r="Q52" t="n">
        <v>0</v>
      </c>
      <c r="R52" t="n">
        <v>8</v>
      </c>
      <c r="S52" t="n">
        <v>3</v>
      </c>
      <c r="T52" s="585">
        <f>ROUNDUP(MAX(salesforecast[[#This Row],[FY25 Average]],salesforecast[[#This Row],[July Schedule]]),0)</f>
        <v/>
      </c>
      <c r="U52" s="585">
        <f>salesforecast[[#This Row],[Forecast]]-salesforecast[[#This Row],[July Schedule]]</f>
        <v/>
      </c>
      <c r="V52">
        <f>salesforecast[[#This Row],[Plant]]</f>
        <v/>
      </c>
      <c r="W52" s="66">
        <f t="array" ref="W52">_xlfn.TEXTJOIN("|",TRUE,(_xlfn.UNIQUE(_xlfn._xlws.FILTER(scheduleapr[CUSTOMER NAME],scheduleapr[Bucket]=salesforecast[[#This Row],[Bucket]]))))</f>
        <v/>
      </c>
      <c r="X52" s="66">
        <f t="array" ref="X52">_xlfn.TEXTJOIN("|",TRUE,(_xlfn.UNIQUE(_xlfn._xlws.SORT(_xlfn._xlws.FILTER(scheduleapr[LENGTH],scheduleapr[Bucket]=salesforecast[[#This Row],[Bucket]])))))</f>
        <v/>
      </c>
      <c r="Y52" s="66">
        <f t="array" ref="Y52">_xlfn.TEXTJOIN("|",TRUE,_xlfn._xlws.FILTER(buckets[Material Codes],(buckets[Bucket]=salesforecast[[#This Row],[Bucket2]])))</f>
        <v/>
      </c>
      <c r="Z52">
        <f>salesforecast[[#This Row],[Bucket]]</f>
        <v/>
      </c>
      <c r="AA52" s="43">
        <f>salesforecast[[#This Row],[July Schedule]]</f>
        <v/>
      </c>
      <c r="AB52" s="43">
        <f>SUMIF(salesTVS[buckets.Bucket],salesforecast[[#This Row],[Bucket]],salesTVS[Quantity])/1000</f>
        <v/>
      </c>
      <c r="AC52" s="43">
        <f>SUMIFS(stock[MT],stock[Bucket],salesforecast[[#This Row],[Bucket]],stock[LL or CTL],"CTL")</f>
        <v/>
      </c>
      <c r="AD52" s="43">
        <f>SUMIF(stock[Bucket],salesforecast[[#This Row],[Bucket]],stock[MT])-salesforecast[[#This Row],[Stock CTL]]</f>
        <v/>
      </c>
      <c r="AE52" s="43" t="e">
        <v>#REF!</v>
      </c>
      <c r="AF52" s="43">
        <f>SUMIF(wip[Bucket],salesforecast[[#This Row],[Bucket]],wip[Stock(Net Wt)])/1000</f>
        <v/>
      </c>
      <c r="AG52" s="43" t="e">
        <v>#REF!</v>
      </c>
      <c r="AH52" s="43">
        <f>SUMIFS(stock[MT],stock[Bucket],salesforecast[[#This Row],[Bucket2]],stock[Plant],"0788")</f>
        <v/>
      </c>
      <c r="AI52" s="43">
        <f>((salesforecast[[#This Row],[WIP]]+salesforecast[[#This Row],[Stock LL]]))/salesforecast[[#This Row],[July Schedule]]*30</f>
        <v/>
      </c>
      <c r="AJ52" s="585">
        <f>salesforecast[[#This Row],[Stock LL]]/salesforecast[[#This Row],[Schedule]]*30</f>
        <v/>
      </c>
      <c r="AK52" s="43">
        <f>SUMIFS(stock[MT],stock[Bucket],salesforecast[[#This Row],[Bucket2]],stock[Plant],"0789",stock[LL or CTL],"LL")</f>
        <v/>
      </c>
      <c r="AL52" s="193">
        <f>(salesforecast[[#This Row],[Sales]])/salesforecast[[#This Row],[Schedule]]</f>
        <v/>
      </c>
      <c r="AM52" s="43">
        <f>SUMIFS(stock[MT],stock[Plant],salesforecast[[#This Row],[Plant]],stock[LL or CTL],"LL",stock[Bucket],salesforecast[[#This Row],[Bucket]])</f>
        <v/>
      </c>
      <c r="AN52" s="43">
        <f>SUMIFS(scheduleapr[SCHEDULE IN MT],scheduleapr[CUSTOMER NAME],"*Rajsriya*",scheduleapr[Bucket],salesforecast[[#This Row],[Bucket]])</f>
        <v/>
      </c>
      <c r="AO52" s="43">
        <f>SUMIFS(salesTVS[Quantity],salesTVS[CUSTOMER  NAME],"*RAJSRIYA*",salesTVS[buckets.Bucket],salesforecast[[#This Row],[Bucket]])/1000</f>
        <v/>
      </c>
      <c r="AP52" s="43">
        <f>SUMIFS(stock[MT],stock[Plant],4318,stock[Bucket],salesforecast[[#This Row],[Bucket2]])</f>
        <v/>
      </c>
      <c r="AQ52" s="43">
        <f>SUMIFS(stock[MT],stock[Plant],4731,stock[Bucket],salesforecast[[#This Row],[Bucket2]],stock[LL or CTL],"CTL")</f>
        <v/>
      </c>
      <c r="AR52" s="43">
        <f>SUMIFS(stock[MT],stock[Plant],4731,stock[Bucket],salesforecast[[#This Row],[Bucket2]])-salesforecast[[#This Row],[4731 Stock CTL]]</f>
        <v/>
      </c>
      <c r="AS52" s="43">
        <f>SUMIFS(stock[MT],stock[Plant],8406,stock[Bucket],salesforecast[[#This Row],[Bucket2]])</f>
        <v/>
      </c>
    </row>
    <row r="53" ht="30" customHeight="1" s="584">
      <c r="A53" t="n">
        <v>25.4</v>
      </c>
      <c r="B53" t="n">
        <v>25.4</v>
      </c>
      <c r="C53" t="n">
        <v>0</v>
      </c>
      <c r="D53" t="n">
        <v>2.5</v>
      </c>
      <c r="E53" t="inlineStr">
        <is>
          <t>ERW 1</t>
        </is>
      </c>
      <c r="F53" t="inlineStr">
        <is>
          <t>FC</t>
        </is>
      </c>
      <c r="G53" t="inlineStr">
        <is>
          <t>HR</t>
        </is>
      </c>
      <c r="H53">
        <f>_xlfn.CONCAT(salesforecast[[#This Row],[OD]],"-",salesforecast[[#This Row],[ID]],"-",salesforecast[[#This Row],[TICKNESS]],"-",salesforecast[[#This Row],[GRADE]],"-",salesforecast[[#This Row],[FC/NFC]])</f>
        <v/>
      </c>
      <c r="I53" s="43">
        <f>SUMIFS(scheduleapr[SCHEDULE IN MT],scheduleapr[Bucket],salesforecast[[#This Row],[Bucket]])</f>
        <v/>
      </c>
      <c r="J53" t="n">
        <v>1940592</v>
      </c>
      <c r="K53">
        <f>COUNTIF('helper sheet'!$A$1:$A$33,salesforecast[[#This Row],[LL Material Code]])</f>
        <v/>
      </c>
      <c r="L53" t="n">
        <v>1940595</v>
      </c>
      <c r="N53" t="inlineStr">
        <is>
          <t>TUB-O-O-AUT-AW-FC-25.40X2.000X6.0000</t>
        </is>
      </c>
      <c r="P53" s="47" t="inlineStr">
        <is>
          <t>0789</t>
        </is>
      </c>
      <c r="Q53" t="n">
        <v>0</v>
      </c>
      <c r="R53" t="n">
        <v>9</v>
      </c>
      <c r="S53" t="n">
        <v>3</v>
      </c>
      <c r="T53" s="585">
        <f>ROUNDUP(MAX(salesforecast[[#This Row],[FY25 Average]],salesforecast[[#This Row],[July Schedule]]),0)</f>
        <v/>
      </c>
      <c r="U53" s="585">
        <f>salesforecast[[#This Row],[Forecast]]-salesforecast[[#This Row],[July Schedule]]</f>
        <v/>
      </c>
      <c r="V53">
        <f>salesforecast[[#This Row],[Plant]]</f>
        <v/>
      </c>
      <c r="W53" s="66">
        <f t="array" ref="W53">_xlfn.TEXTJOIN("|",TRUE,(_xlfn.UNIQUE(_xlfn._xlws.FILTER(scheduleapr[CUSTOMER NAME],scheduleapr[Bucket]=salesforecast[[#This Row],[Bucket]]))))</f>
        <v/>
      </c>
      <c r="X53" s="66">
        <f t="array" ref="X53">_xlfn.TEXTJOIN("|",TRUE,(_xlfn.UNIQUE(_xlfn._xlws.SORT(_xlfn._xlws.FILTER(scheduleapr[LENGTH],scheduleapr[Bucket]=salesforecast[[#This Row],[Bucket]])))))</f>
        <v/>
      </c>
      <c r="Y53" s="66">
        <f t="array" ref="Y53">_xlfn.TEXTJOIN("|",TRUE,_xlfn._xlws.FILTER(buckets[Material Codes],(buckets[Bucket]=salesforecast[[#This Row],[Bucket2]])*(buckets[LL or CTL]="CTL")))</f>
        <v/>
      </c>
      <c r="Z53">
        <f>salesforecast[[#This Row],[Bucket]]</f>
        <v/>
      </c>
      <c r="AA53" s="43">
        <f>salesforecast[[#This Row],[July Schedule]]</f>
        <v/>
      </c>
      <c r="AB53" s="43">
        <f>SUMIF(salesTVS[buckets.Bucket],salesforecast[[#This Row],[Bucket]],salesTVS[Quantity])/1000</f>
        <v/>
      </c>
      <c r="AC53" s="43">
        <f>SUMIFS(stock[MT],stock[Bucket],salesforecast[[#This Row],[Bucket]],stock[LL or CTL],"CTL")</f>
        <v/>
      </c>
      <c r="AD53" s="43">
        <f>SUMIF(stock[Bucket],salesforecast[[#This Row],[Bucket]],stock[MT])-salesforecast[[#This Row],[Stock CTL]]</f>
        <v/>
      </c>
      <c r="AE53" s="43" t="e">
        <v>#REF!</v>
      </c>
      <c r="AF53" s="43">
        <f>SUMIF(wip[Bucket],salesforecast[[#This Row],[Bucket]],wip[Stock(Net Wt)])/1000</f>
        <v/>
      </c>
      <c r="AG53" s="43" t="e">
        <v>#REF!</v>
      </c>
      <c r="AH53" s="43">
        <f>SUMIFS(stock[MT],stock[Bucket],salesforecast[[#This Row],[Bucket2]],stock[Plant],"0788")</f>
        <v/>
      </c>
      <c r="AI53" s="43">
        <f>((salesforecast[[#This Row],[WIP]]+salesforecast[[#This Row],[Stock LL]]))/salesforecast[[#This Row],[July Schedule]]*30</f>
        <v/>
      </c>
      <c r="AJ53" s="585">
        <f>salesforecast[[#This Row],[Stock LL]]/salesforecast[[#This Row],[Schedule]]*30</f>
        <v/>
      </c>
      <c r="AK53" s="43">
        <f>SUMIFS(stock[MT],stock[Bucket],salesforecast[[#This Row],[Bucket2]],stock[Plant],"0789",stock[LL or CTL],"LL")</f>
        <v/>
      </c>
      <c r="AL53" s="193">
        <f>(salesforecast[[#This Row],[Sales]])/salesforecast[[#This Row],[Schedule]]</f>
        <v/>
      </c>
      <c r="AM53" s="43">
        <f>SUMIFS(stock[MT],stock[Plant],salesforecast[[#This Row],[Plant]],stock[LL or CTL],"LL",stock[Bucket],salesforecast[[#This Row],[Bucket]])</f>
        <v/>
      </c>
      <c r="AN53" s="43">
        <f>SUMIFS(scheduleapr[SCHEDULE IN MT],scheduleapr[CUSTOMER NAME],"*Rajsriya*",scheduleapr[Bucket],salesforecast[[#This Row],[Bucket]])</f>
        <v/>
      </c>
      <c r="AO53" s="43">
        <f>SUMIFS(salesTVS[Quantity],salesTVS[CUSTOMER  NAME],"*RAJSRIYA*",salesTVS[buckets.Bucket],salesforecast[[#This Row],[Bucket]])/1000</f>
        <v/>
      </c>
      <c r="AP53" s="43">
        <f>SUMIFS(stock[MT],stock[Plant],4318,stock[Bucket],salesforecast[[#This Row],[Bucket2]])</f>
        <v/>
      </c>
      <c r="AQ53" s="43">
        <f>SUMIFS(stock[MT],stock[Plant],4731,stock[Bucket],salesforecast[[#This Row],[Bucket2]],stock[LL or CTL],"CTL")</f>
        <v/>
      </c>
      <c r="AR53" s="43">
        <f>SUMIFS(stock[MT],stock[Plant],4731,stock[Bucket],salesforecast[[#This Row],[Bucket2]])-salesforecast[[#This Row],[4731 Stock CTL]]</f>
        <v/>
      </c>
      <c r="AS53" s="43">
        <f>SUMIFS(stock[MT],stock[Plant],8406,stock[Bucket],salesforecast[[#This Row],[Bucket2]])</f>
        <v/>
      </c>
    </row>
    <row r="54" ht="30" customHeight="1" s="584">
      <c r="A54" t="n">
        <v>25.4</v>
      </c>
      <c r="B54" t="n">
        <v>25.4</v>
      </c>
      <c r="C54" t="n">
        <v>19</v>
      </c>
      <c r="D54" t="n">
        <v>3.2</v>
      </c>
      <c r="E54" t="inlineStr">
        <is>
          <t>CEW</t>
        </is>
      </c>
      <c r="F54" t="inlineStr">
        <is>
          <t>CEW</t>
        </is>
      </c>
      <c r="G54" t="inlineStr">
        <is>
          <t>HR</t>
        </is>
      </c>
      <c r="H54">
        <f>_xlfn.CONCAT(salesforecast[[#This Row],[OD]],"-",salesforecast[[#This Row],[ID]],"-",salesforecast[[#This Row],[TICKNESS]],"-",salesforecast[[#This Row],[GRADE]],"-",salesforecast[[#This Row],[FC/NFC]])</f>
        <v/>
      </c>
      <c r="I54" s="43">
        <f>SUMIFS(scheduleapr[SCHEDULE IN MT],scheduleapr[Bucket],salesforecast[[#This Row],[Bucket]])</f>
        <v/>
      </c>
      <c r="J54" t="n">
        <v>2410997</v>
      </c>
      <c r="K54">
        <f>COUNTIF('helper sheet'!$A$1:$A$33,salesforecast[[#This Row],[LL Material Code]])</f>
        <v/>
      </c>
      <c r="N54" t="inlineStr">
        <is>
          <t>TUB-O-C-AUT-AD-FC-25.40X3.200X04-05</t>
        </is>
      </c>
      <c r="P54" s="47" t="inlineStr">
        <is>
          <t>0788</t>
        </is>
      </c>
      <c r="Q54" t="n">
        <v>0</v>
      </c>
      <c r="R54" t="n">
        <v>9</v>
      </c>
      <c r="S54" t="n">
        <v>2</v>
      </c>
      <c r="T54" s="585">
        <f>ROUNDUP(MAX(salesforecast[[#This Row],[FY25 Average]],salesforecast[[#This Row],[July Schedule]]),0)</f>
        <v/>
      </c>
      <c r="U54" s="585">
        <f>salesforecast[[#This Row],[Forecast]]-salesforecast[[#This Row],[July Schedule]]</f>
        <v/>
      </c>
      <c r="V54">
        <f>salesforecast[[#This Row],[Plant]]</f>
        <v/>
      </c>
      <c r="W54" s="66">
        <f t="array" ref="W54">_xlfn.TEXTJOIN("|",TRUE,(_xlfn.UNIQUE(_xlfn._xlws.FILTER(scheduleapr[CUSTOMER NAME],scheduleapr[Bucket]=salesforecast[[#This Row],[Bucket]]))))</f>
        <v/>
      </c>
      <c r="X54" s="66">
        <f t="array" ref="X54">_xlfn.TEXTJOIN("|",TRUE,(_xlfn.UNIQUE(_xlfn._xlws.SORT(_xlfn._xlws.FILTER(scheduleapr[LENGTH],scheduleapr[Bucket]=salesforecast[[#This Row],[Bucket]])))))</f>
        <v/>
      </c>
      <c r="Y54" s="66">
        <f t="array" ref="Y54">_xlfn.TEXTJOIN("|",TRUE,_xlfn._xlws.FILTER(buckets[Material Codes],(buckets[Bucket]=salesforecast[[#This Row],[Bucket2]])))</f>
        <v/>
      </c>
      <c r="Z54">
        <f>salesforecast[[#This Row],[Bucket]]</f>
        <v/>
      </c>
      <c r="AA54" s="43">
        <f>salesforecast[[#This Row],[July Schedule]]</f>
        <v/>
      </c>
      <c r="AB54" s="43">
        <f>SUMIF(salesTVS[buckets.Bucket],salesforecast[[#This Row],[Bucket]],salesTVS[Quantity])/1000</f>
        <v/>
      </c>
      <c r="AC54" s="43">
        <f>SUMIFS(stock[MT],stock[Bucket],salesforecast[[#This Row],[Bucket]],stock[LL or CTL],"CTL")</f>
        <v/>
      </c>
      <c r="AD54" s="43">
        <f>SUMIF(stock[Bucket],salesforecast[[#This Row],[Bucket]],stock[MT])-salesforecast[[#This Row],[Stock CTL]]</f>
        <v/>
      </c>
      <c r="AE54" s="43" t="e">
        <v>#REF!</v>
      </c>
      <c r="AF54" s="43">
        <f>SUMIF(wip[Bucket],salesforecast[[#This Row],[Bucket]],wip[Stock(Net Wt)])/1000</f>
        <v/>
      </c>
      <c r="AG54" s="43" t="e">
        <v>#REF!</v>
      </c>
      <c r="AH54" s="43">
        <f>SUMIFS(stock[MT],stock[Bucket],salesforecast[[#This Row],[Bucket2]],stock[Plant],"0788")</f>
        <v/>
      </c>
      <c r="AI54" s="43">
        <f>((salesforecast[[#This Row],[WIP]]+salesforecast[[#This Row],[Stock LL]]))/salesforecast[[#This Row],[July Schedule]]*30</f>
        <v/>
      </c>
      <c r="AJ54" s="585">
        <f>salesforecast[[#This Row],[Stock LL]]/salesforecast[[#This Row],[Schedule]]*30</f>
        <v/>
      </c>
      <c r="AK54" s="43">
        <f>SUMIFS(stock[MT],stock[Bucket],salesforecast[[#This Row],[Bucket2]],stock[Plant],"0789",stock[LL or CTL],"LL")</f>
        <v/>
      </c>
      <c r="AL54" s="193">
        <f>(salesforecast[[#This Row],[Sales]])/salesforecast[[#This Row],[Schedule]]</f>
        <v/>
      </c>
      <c r="AM54" s="43">
        <f>SUMIFS(stock[MT],stock[Plant],salesforecast[[#This Row],[Plant]],stock[LL or CTL],"LL",stock[Bucket],salesforecast[[#This Row],[Bucket]])</f>
        <v/>
      </c>
      <c r="AN54" s="43">
        <f>SUMIFS(scheduleapr[SCHEDULE IN MT],scheduleapr[CUSTOMER NAME],"*Rajsriya*",scheduleapr[Bucket],salesforecast[[#This Row],[Bucket]])</f>
        <v/>
      </c>
      <c r="AO54" s="43">
        <f>SUMIFS(salesTVS[Quantity],salesTVS[CUSTOMER  NAME],"*RAJSRIYA*",salesTVS[buckets.Bucket],salesforecast[[#This Row],[Bucket]])/1000</f>
        <v/>
      </c>
      <c r="AP54" s="43">
        <f>SUMIFS(stock[MT],stock[Plant],4318,stock[Bucket],salesforecast[[#This Row],[Bucket2]])</f>
        <v/>
      </c>
      <c r="AQ54" s="43">
        <f>SUMIFS(stock[MT],stock[Plant],4731,stock[Bucket],salesforecast[[#This Row],[Bucket2]],stock[LL or CTL],"CTL")</f>
        <v/>
      </c>
      <c r="AR54" s="43">
        <f>SUMIFS(stock[MT],stock[Plant],4731,stock[Bucket],salesforecast[[#This Row],[Bucket2]])-salesforecast[[#This Row],[4731 Stock CTL]]</f>
        <v/>
      </c>
      <c r="AS54" s="43">
        <f>SUMIFS(stock[MT],stock[Plant],8406,stock[Bucket],salesforecast[[#This Row],[Bucket2]])</f>
        <v/>
      </c>
    </row>
    <row r="55" ht="30" customHeight="1" s="584">
      <c r="A55" t="n">
        <v>25.4</v>
      </c>
      <c r="B55" t="n">
        <v>25.4</v>
      </c>
      <c r="C55" t="n">
        <v>18.4</v>
      </c>
      <c r="D55" t="n">
        <v>3.5</v>
      </c>
      <c r="E55" t="inlineStr">
        <is>
          <t>CEW</t>
        </is>
      </c>
      <c r="F55" t="inlineStr">
        <is>
          <t>CEW</t>
        </is>
      </c>
      <c r="G55" t="inlineStr">
        <is>
          <t>HR</t>
        </is>
      </c>
      <c r="H55">
        <f>_xlfn.CONCAT(salesforecast[[#This Row],[OD]],"-",salesforecast[[#This Row],[ID]],"-",salesforecast[[#This Row],[TICKNESS]],"-",salesforecast[[#This Row],[GRADE]],"-",salesforecast[[#This Row],[FC/NFC]])</f>
        <v/>
      </c>
      <c r="I55" s="43">
        <f>SUMIFS(scheduleapr[SCHEDULE IN MT],scheduleapr[Bucket],salesforecast[[#This Row],[Bucket]])</f>
        <v/>
      </c>
      <c r="J55" t="n">
        <v>2418610</v>
      </c>
      <c r="K55">
        <f>COUNTIF('helper sheet'!$A$1:$A$33,salesforecast[[#This Row],[LL Material Code]])</f>
        <v/>
      </c>
      <c r="N55" t="inlineStr">
        <is>
          <t>TUB-O-C-AUT-AD-FC-25.40X3.500X04-05</t>
        </is>
      </c>
      <c r="P55" s="47" t="inlineStr">
        <is>
          <t>0788</t>
        </is>
      </c>
      <c r="Q55" t="n">
        <v>7</v>
      </c>
      <c r="R55" t="n">
        <v>49</v>
      </c>
      <c r="S55" t="n">
        <v>20</v>
      </c>
      <c r="T55" s="585">
        <f>ROUNDUP(MAX(salesforecast[[#This Row],[FY25 Average]],salesforecast[[#This Row],[July Schedule]]),0)</f>
        <v/>
      </c>
      <c r="U55" s="585">
        <f>salesforecast[[#This Row],[Forecast]]-salesforecast[[#This Row],[July Schedule]]</f>
        <v/>
      </c>
      <c r="V55">
        <f>salesforecast[[#This Row],[Plant]]</f>
        <v/>
      </c>
      <c r="W55" s="66">
        <f t="array" ref="W55">_xlfn.TEXTJOIN("|",TRUE,(_xlfn.UNIQUE(_xlfn._xlws.FILTER(scheduleapr[CUSTOMER NAME],scheduleapr[Bucket]=salesforecast[[#This Row],[Bucket]]))))</f>
        <v/>
      </c>
      <c r="X55" s="66">
        <f t="array" ref="X55">_xlfn.TEXTJOIN("|",TRUE,(_xlfn.UNIQUE(_xlfn._xlws.SORT(_xlfn._xlws.FILTER(scheduleapr[LENGTH],scheduleapr[Bucket]=salesforecast[[#This Row],[Bucket]])))))</f>
        <v/>
      </c>
      <c r="Y55" s="66">
        <f t="array" ref="Y55">_xlfn.TEXTJOIN("|",TRUE,_xlfn._xlws.FILTER(buckets[Material Codes],(buckets[Bucket]=salesforecast[[#This Row],[Bucket2]])))</f>
        <v/>
      </c>
      <c r="Z55">
        <f>salesforecast[[#This Row],[Bucket]]</f>
        <v/>
      </c>
      <c r="AA55" s="43">
        <f>salesforecast[[#This Row],[July Schedule]]</f>
        <v/>
      </c>
      <c r="AB55" s="43">
        <f>SUMIF(salesTVS[buckets.Bucket],salesforecast[[#This Row],[Bucket]],salesTVS[Quantity])/1000</f>
        <v/>
      </c>
      <c r="AC55" s="43">
        <f>SUMIFS(stock[MT],stock[Bucket],salesforecast[[#This Row],[Bucket]],stock[LL or CTL],"CTL")</f>
        <v/>
      </c>
      <c r="AD55" s="43">
        <f>SUMIF(stock[Bucket],salesforecast[[#This Row],[Bucket]],stock[MT])-salesforecast[[#This Row],[Stock CTL]]</f>
        <v/>
      </c>
      <c r="AE55" s="43" t="e">
        <v>#REF!</v>
      </c>
      <c r="AF55" s="43">
        <f>SUMIF(wip[Bucket],salesforecast[[#This Row],[Bucket]],wip[Stock(Net Wt)])/1000</f>
        <v/>
      </c>
      <c r="AG55" s="43" t="e">
        <v>#REF!</v>
      </c>
      <c r="AH55" s="43">
        <f>SUMIFS(stock[MT],stock[Bucket],salesforecast[[#This Row],[Bucket2]],stock[Plant],"0788")</f>
        <v/>
      </c>
      <c r="AI55" s="43">
        <f>((salesforecast[[#This Row],[WIP]]+salesforecast[[#This Row],[Stock LL]]))/salesforecast[[#This Row],[July Schedule]]*30</f>
        <v/>
      </c>
      <c r="AJ55" s="585">
        <f>salesforecast[[#This Row],[Stock LL]]/salesforecast[[#This Row],[Schedule]]*30</f>
        <v/>
      </c>
      <c r="AK55" s="43">
        <f>SUMIFS(stock[MT],stock[Bucket],salesforecast[[#This Row],[Bucket2]],stock[Plant],"0789",stock[LL or CTL],"LL")</f>
        <v/>
      </c>
      <c r="AL55" s="193">
        <f>(salesforecast[[#This Row],[Sales]])/salesforecast[[#This Row],[Schedule]]</f>
        <v/>
      </c>
      <c r="AM55" s="43">
        <f>SUMIFS(stock[MT],stock[Plant],salesforecast[[#This Row],[Plant]],stock[LL or CTL],"LL",stock[Bucket],salesforecast[[#This Row],[Bucket]])</f>
        <v/>
      </c>
      <c r="AN55" s="43">
        <f>SUMIFS(scheduleapr[SCHEDULE IN MT],scheduleapr[CUSTOMER NAME],"*Rajsriya*",scheduleapr[Bucket],salesforecast[[#This Row],[Bucket]])</f>
        <v/>
      </c>
      <c r="AO55" s="43">
        <f>SUMIFS(salesTVS[Quantity],salesTVS[CUSTOMER  NAME],"*RAJSRIYA*",salesTVS[buckets.Bucket],salesforecast[[#This Row],[Bucket]])/1000</f>
        <v/>
      </c>
      <c r="AP55" s="43">
        <f>SUMIFS(stock[MT],stock[Plant],4318,stock[Bucket],salesforecast[[#This Row],[Bucket2]])</f>
        <v/>
      </c>
      <c r="AQ55" s="43">
        <f>SUMIFS(stock[MT],stock[Plant],4731,stock[Bucket],salesforecast[[#This Row],[Bucket2]],stock[LL or CTL],"CTL")</f>
        <v/>
      </c>
      <c r="AR55" s="43">
        <f>SUMIFS(stock[MT],stock[Plant],4731,stock[Bucket],salesforecast[[#This Row],[Bucket2]])-salesforecast[[#This Row],[4731 Stock CTL]]</f>
        <v/>
      </c>
      <c r="AS55" s="43">
        <f>SUMIFS(stock[MT],stock[Plant],8406,stock[Bucket],salesforecast[[#This Row],[Bucket2]])</f>
        <v/>
      </c>
    </row>
    <row r="56" ht="30" customHeight="1" s="584">
      <c r="A56" t="n">
        <v>28.58</v>
      </c>
      <c r="B56" t="n">
        <v>28.58</v>
      </c>
      <c r="C56" t="n">
        <v>0</v>
      </c>
      <c r="D56" t="n">
        <v>1.2</v>
      </c>
      <c r="E56" t="inlineStr">
        <is>
          <t>ERW 1</t>
        </is>
      </c>
      <c r="F56" t="inlineStr">
        <is>
          <t>PE</t>
        </is>
      </c>
      <c r="G56" t="inlineStr">
        <is>
          <t>CR</t>
        </is>
      </c>
      <c r="H56">
        <f>_xlfn.CONCAT(salesforecast[[#This Row],[OD]],"-",salesforecast[[#This Row],[ID]],"-",salesforecast[[#This Row],[TICKNESS]],"-",salesforecast[[#This Row],[GRADE]],"-",salesforecast[[#This Row],[FC/NFC]])</f>
        <v/>
      </c>
      <c r="I56" s="43">
        <f>SUMIFS(scheduleapr[SCHEDULE IN MT],scheduleapr[Bucket],salesforecast[[#This Row],[Bucket]])</f>
        <v/>
      </c>
      <c r="J56" t="n">
        <v>1940617</v>
      </c>
      <c r="K56">
        <f>COUNTIF('helper sheet'!$A$1:$A$33,salesforecast[[#This Row],[LL Material Code]])</f>
        <v/>
      </c>
      <c r="L56" t="n">
        <v>1940614</v>
      </c>
      <c r="N56" t="inlineStr">
        <is>
          <t>TUB-O-O-AUT-AW-PE-28.58X1.200X6.0550</t>
        </is>
      </c>
      <c r="P56" s="47" t="inlineStr">
        <is>
          <t>0789</t>
        </is>
      </c>
      <c r="Q56" t="n">
        <v>0</v>
      </c>
      <c r="R56" t="n">
        <v>14</v>
      </c>
      <c r="S56" t="n">
        <v>4</v>
      </c>
      <c r="T56" s="585">
        <f>ROUNDUP(MAX(salesforecast[[#This Row],[FY25 Average]],salesforecast[[#This Row],[July Schedule]]),0)</f>
        <v/>
      </c>
      <c r="U56" s="585">
        <f>salesforecast[[#This Row],[Forecast]]-salesforecast[[#This Row],[July Schedule]]</f>
        <v/>
      </c>
      <c r="V56">
        <f>salesforecast[[#This Row],[Plant]]</f>
        <v/>
      </c>
      <c r="W56" s="66">
        <f t="array" ref="W56">_xlfn.TEXTJOIN("|",TRUE,(_xlfn.UNIQUE(_xlfn._xlws.FILTER(scheduleapr[CUSTOMER NAME],scheduleapr[Bucket]=salesforecast[[#This Row],[Bucket]]))))</f>
        <v/>
      </c>
      <c r="X56" s="66">
        <f t="array" ref="X56">_xlfn.TEXTJOIN("|",TRUE,(_xlfn.UNIQUE(_xlfn._xlws.SORT(_xlfn._xlws.FILTER(scheduleapr[LENGTH],scheduleapr[Bucket]=salesforecast[[#This Row],[Bucket]])))))</f>
        <v/>
      </c>
      <c r="Y56" s="66">
        <f t="array" ref="Y56">_xlfn.TEXTJOIN("|",TRUE,_xlfn._xlws.FILTER(buckets[Material Codes],(buckets[Bucket]=salesforecast[[#This Row],[Bucket2]])*(buckets[LL or CTL]="CTL")))</f>
        <v/>
      </c>
      <c r="Z56">
        <f>salesforecast[[#This Row],[Bucket]]</f>
        <v/>
      </c>
      <c r="AA56" s="43">
        <f>salesforecast[[#This Row],[July Schedule]]</f>
        <v/>
      </c>
      <c r="AB56" s="43">
        <f>SUMIF(salesTVS[buckets.Bucket],salesforecast[[#This Row],[Bucket]],salesTVS[Quantity])/1000</f>
        <v/>
      </c>
      <c r="AC56" s="43">
        <f>SUMIFS(stock[MT],stock[Bucket],salesforecast[[#This Row],[Bucket]],stock[LL or CTL],"CTL")</f>
        <v/>
      </c>
      <c r="AD56" s="43">
        <f>SUMIF(stock[Bucket],salesforecast[[#This Row],[Bucket]],stock[MT])-salesforecast[[#This Row],[Stock CTL]]</f>
        <v/>
      </c>
      <c r="AE56" s="43" t="e">
        <v>#REF!</v>
      </c>
      <c r="AF56" s="43">
        <f>SUMIF(wip[Bucket],salesforecast[[#This Row],[Bucket]],wip[Stock(Net Wt)])/1000</f>
        <v/>
      </c>
      <c r="AG56" s="43" t="e">
        <v>#REF!</v>
      </c>
      <c r="AH56" s="43">
        <f>SUMIFS(stock[MT],stock[Bucket],salesforecast[[#This Row],[Bucket2]],stock[Plant],"0788")</f>
        <v/>
      </c>
      <c r="AI56" s="43">
        <f>((salesforecast[[#This Row],[WIP]]+salesforecast[[#This Row],[Stock LL]]))/salesforecast[[#This Row],[July Schedule]]*30</f>
        <v/>
      </c>
      <c r="AJ56" s="585">
        <f>salesforecast[[#This Row],[Stock LL]]/salesforecast[[#This Row],[Schedule]]*30</f>
        <v/>
      </c>
      <c r="AK56" s="43">
        <f>SUMIFS(stock[MT],stock[Bucket],salesforecast[[#This Row],[Bucket2]],stock[Plant],"0789",stock[LL or CTL],"LL")</f>
        <v/>
      </c>
      <c r="AL56" s="193">
        <f>(salesforecast[[#This Row],[Sales]])/salesforecast[[#This Row],[Schedule]]</f>
        <v/>
      </c>
      <c r="AM56" s="43">
        <f>SUMIFS(stock[MT],stock[Plant],salesforecast[[#This Row],[Plant]],stock[LL or CTL],"LL",stock[Bucket],salesforecast[[#This Row],[Bucket]])</f>
        <v/>
      </c>
      <c r="AN56" s="43">
        <f>SUMIFS(scheduleapr[SCHEDULE IN MT],scheduleapr[CUSTOMER NAME],"*Rajsriya*",scheduleapr[Bucket],salesforecast[[#This Row],[Bucket]])</f>
        <v/>
      </c>
      <c r="AO56" s="43">
        <f>SUMIFS(salesTVS[Quantity],salesTVS[CUSTOMER  NAME],"*RAJSRIYA*",salesTVS[buckets.Bucket],salesforecast[[#This Row],[Bucket]])/1000</f>
        <v/>
      </c>
      <c r="AP56" s="43">
        <f>SUMIFS(stock[MT],stock[Plant],4318,stock[Bucket],salesforecast[[#This Row],[Bucket2]])</f>
        <v/>
      </c>
      <c r="AQ56" s="43">
        <f>SUMIFS(stock[MT],stock[Plant],4731,stock[Bucket],salesforecast[[#This Row],[Bucket2]],stock[LL or CTL],"CTL")</f>
        <v/>
      </c>
      <c r="AR56" s="43">
        <f>SUMIFS(stock[MT],stock[Plant],4731,stock[Bucket],salesforecast[[#This Row],[Bucket2]])-salesforecast[[#This Row],[4731 Stock CTL]]</f>
        <v/>
      </c>
      <c r="AS56" s="43">
        <f>SUMIFS(stock[MT],stock[Plant],8406,stock[Bucket],salesforecast[[#This Row],[Bucket2]])</f>
        <v/>
      </c>
    </row>
    <row r="57">
      <c r="A57" t="n">
        <v>28.58</v>
      </c>
      <c r="B57" t="n">
        <v>28.58</v>
      </c>
      <c r="C57" t="n">
        <v>0</v>
      </c>
      <c r="D57" t="n">
        <v>1.6</v>
      </c>
      <c r="E57" t="inlineStr">
        <is>
          <t>ERW 1</t>
        </is>
      </c>
      <c r="F57" t="inlineStr">
        <is>
          <t>FC</t>
        </is>
      </c>
      <c r="G57" t="inlineStr">
        <is>
          <t>CR</t>
        </is>
      </c>
      <c r="H57">
        <f>_xlfn.CONCAT(salesforecast[[#This Row],[OD]],"-",salesforecast[[#This Row],[ID]],"-",salesforecast[[#This Row],[TICKNESS]],"-",salesforecast[[#This Row],[GRADE]],"-",salesforecast[[#This Row],[FC/NFC]])</f>
        <v/>
      </c>
      <c r="I57" s="43">
        <f>SUMIFS(scheduleapr[SCHEDULE IN MT],scheduleapr[Bucket],salesforecast[[#This Row],[Bucket]])</f>
        <v/>
      </c>
      <c r="J57" t="n">
        <v>3598958</v>
      </c>
      <c r="K57">
        <f>COUNTIF('helper sheet'!$A$1:$A$33,salesforecast[[#This Row],[LL Material Code]])</f>
        <v/>
      </c>
      <c r="N57" t="inlineStr">
        <is>
          <t>TUB-O-N-AUT-AW-FC-28.58X1.600X5.9000</t>
        </is>
      </c>
      <c r="O57" t="inlineStr">
        <is>
          <t>HROP</t>
        </is>
      </c>
      <c r="P57" s="47" t="inlineStr">
        <is>
          <t>0789</t>
        </is>
      </c>
      <c r="Q57" t="n">
        <v>1</v>
      </c>
      <c r="R57" t="n">
        <v>13</v>
      </c>
      <c r="S57" t="n">
        <v>6</v>
      </c>
      <c r="T57" s="585">
        <f>ROUNDUP(MAX(salesforecast[[#This Row],[FY25 Average]],salesforecast[[#This Row],[July Schedule]]),0)</f>
        <v/>
      </c>
      <c r="U57" s="585">
        <f>salesforecast[[#This Row],[Forecast]]-salesforecast[[#This Row],[July Schedule]]</f>
        <v/>
      </c>
      <c r="V57">
        <f>salesforecast[[#This Row],[Plant]]</f>
        <v/>
      </c>
      <c r="W57" s="66">
        <f t="array" ref="W57">_xlfn.TEXTJOIN("|",TRUE,(_xlfn.UNIQUE(_xlfn._xlws.FILTER(scheduleapr[CUSTOMER NAME],scheduleapr[Bucket]=salesforecast[[#This Row],[Bucket]]))))</f>
        <v/>
      </c>
      <c r="X57" s="66">
        <f t="array" ref="X57">_xlfn.TEXTJOIN("|",TRUE,(_xlfn.UNIQUE(_xlfn._xlws.SORT(_xlfn._xlws.FILTER(scheduleapr[LENGTH],scheduleapr[Bucket]=salesforecast[[#This Row],[Bucket]])))))</f>
        <v/>
      </c>
      <c r="Y57" s="66">
        <f t="array" ref="Y57">_xlfn.TEXTJOIN("|",TRUE,_xlfn._xlws.FILTER(buckets[Material Codes],(buckets[Bucket]=salesforecast[[#This Row],[Bucket2]])*(buckets[LL or CTL]="CTL")))</f>
        <v/>
      </c>
      <c r="Z57">
        <f>salesforecast[[#This Row],[Bucket]]</f>
        <v/>
      </c>
      <c r="AA57" s="43">
        <f>salesforecast[[#This Row],[July Schedule]]</f>
        <v/>
      </c>
      <c r="AB57" s="43">
        <f>SUMIF(salesTVS[buckets.Bucket],salesforecast[[#This Row],[Bucket]],salesTVS[Quantity])/1000</f>
        <v/>
      </c>
      <c r="AC57" s="43">
        <f>SUMIFS(stock[MT],stock[Bucket],salesforecast[[#This Row],[Bucket]],stock[LL or CTL],"CTL")</f>
        <v/>
      </c>
      <c r="AD57" s="43">
        <f>SUMIF(stock[Bucket],salesforecast[[#This Row],[Bucket]],stock[MT])-salesforecast[[#This Row],[Stock CTL]]</f>
        <v/>
      </c>
      <c r="AE57" s="43" t="e">
        <v>#REF!</v>
      </c>
      <c r="AF57" s="43">
        <f>SUMIF(wip[Bucket],salesforecast[[#This Row],[Bucket]],wip[Stock(Net Wt)])/1000</f>
        <v/>
      </c>
      <c r="AG57" s="43" t="e">
        <v>#REF!</v>
      </c>
      <c r="AH57" s="43">
        <f>SUMIFS(stock[MT],stock[Bucket],salesforecast[[#This Row],[Bucket2]],stock[Plant],"0788")</f>
        <v/>
      </c>
      <c r="AI57" s="43">
        <f>((salesforecast[[#This Row],[WIP]]+salesforecast[[#This Row],[Stock LL]]))/salesforecast[[#This Row],[July Schedule]]*30</f>
        <v/>
      </c>
      <c r="AJ57" s="585">
        <f>salesforecast[[#This Row],[Stock LL]]/salesforecast[[#This Row],[Schedule]]*30</f>
        <v/>
      </c>
      <c r="AK57" s="43">
        <f>SUMIFS(stock[MT],stock[Bucket],salesforecast[[#This Row],[Bucket2]],stock[Plant],"0789",stock[LL or CTL],"LL")</f>
        <v/>
      </c>
      <c r="AL57" s="193">
        <f>(salesforecast[[#This Row],[Sales]])/salesforecast[[#This Row],[Schedule]]</f>
        <v/>
      </c>
      <c r="AM57" s="43">
        <f>SUMIFS(stock[MT],stock[Plant],salesforecast[[#This Row],[Plant]],stock[LL or CTL],"LL",stock[Bucket],salesforecast[[#This Row],[Bucket]])</f>
        <v/>
      </c>
      <c r="AN57" s="43">
        <f>SUMIFS(scheduleapr[SCHEDULE IN MT],scheduleapr[CUSTOMER NAME],"*Rajsriya*",scheduleapr[Bucket],salesforecast[[#This Row],[Bucket]])</f>
        <v/>
      </c>
      <c r="AO57" s="43">
        <f>SUMIFS(salesTVS[Quantity],salesTVS[CUSTOMER  NAME],"*RAJSRIYA*",salesTVS[buckets.Bucket],salesforecast[[#This Row],[Bucket]])/1000</f>
        <v/>
      </c>
      <c r="AP57" s="43">
        <f>SUMIFS(stock[MT],stock[Plant],4318,stock[Bucket],salesforecast[[#This Row],[Bucket2]])</f>
        <v/>
      </c>
      <c r="AQ57" s="43">
        <f>SUMIFS(stock[MT],stock[Plant],4731,stock[Bucket],salesforecast[[#This Row],[Bucket2]],stock[LL or CTL],"CTL")</f>
        <v/>
      </c>
      <c r="AR57" s="43">
        <f>SUMIFS(stock[MT],stock[Plant],4731,stock[Bucket],salesforecast[[#This Row],[Bucket2]])-salesforecast[[#This Row],[4731 Stock CTL]]</f>
        <v/>
      </c>
      <c r="AS57" s="43">
        <f>SUMIFS(stock[MT],stock[Plant],8406,stock[Bucket],salesforecast[[#This Row],[Bucket2]])</f>
        <v/>
      </c>
    </row>
    <row r="58">
      <c r="A58" t="n">
        <v>28.58</v>
      </c>
      <c r="B58" t="n">
        <v>28.58</v>
      </c>
      <c r="C58" t="n">
        <v>0</v>
      </c>
      <c r="D58" t="n">
        <v>1.6</v>
      </c>
      <c r="E58" t="inlineStr">
        <is>
          <t>ERW 1</t>
        </is>
      </c>
      <c r="F58" t="inlineStr">
        <is>
          <t>PE</t>
        </is>
      </c>
      <c r="G58" t="inlineStr">
        <is>
          <t>CR</t>
        </is>
      </c>
      <c r="H58">
        <f>_xlfn.CONCAT(salesforecast[[#This Row],[OD]],"-",salesforecast[[#This Row],[ID]],"-",salesforecast[[#This Row],[TICKNESS]],"-",salesforecast[[#This Row],[GRADE]],"-",salesforecast[[#This Row],[FC/NFC]])</f>
        <v/>
      </c>
      <c r="I58" s="43">
        <f>SUMIFS(scheduleapr[SCHEDULE IN MT],scheduleapr[Bucket],salesforecast[[#This Row],[Bucket]])</f>
        <v/>
      </c>
      <c r="J58" t="n">
        <v>1940620</v>
      </c>
      <c r="K58">
        <f>COUNTIF('helper sheet'!$A$1:$A$33,salesforecast[[#This Row],[LL Material Code]])</f>
        <v/>
      </c>
      <c r="L58" t="n">
        <v>3598957</v>
      </c>
      <c r="N58" t="inlineStr">
        <is>
          <t>TUB-O-O-AUT-AW-PE-28.58X1.600X6.0000</t>
        </is>
      </c>
      <c r="O58" t="inlineStr">
        <is>
          <t>WG</t>
        </is>
      </c>
      <c r="P58" s="47" t="inlineStr">
        <is>
          <t>0789</t>
        </is>
      </c>
      <c r="Q58" t="n">
        <v>0</v>
      </c>
      <c r="R58" t="n">
        <v>0</v>
      </c>
      <c r="S58" t="n">
        <v>0</v>
      </c>
      <c r="T58" s="585">
        <f>ROUNDUP(MAX(salesforecast[[#This Row],[FY25 Average]],salesforecast[[#This Row],[July Schedule]]),0)</f>
        <v/>
      </c>
      <c r="U58" s="585">
        <f>salesforecast[[#This Row],[Forecast]]-salesforecast[[#This Row],[July Schedule]]</f>
        <v/>
      </c>
      <c r="V58">
        <f>salesforecast[[#This Row],[Plant]]</f>
        <v/>
      </c>
      <c r="W58" s="66">
        <f t="array" ref="W58">_xlfn.TEXTJOIN("|",TRUE,(_xlfn.UNIQUE(_xlfn._xlws.FILTER(scheduleapr[CUSTOMER NAME],scheduleapr[Bucket]=salesforecast[[#This Row],[Bucket]]))))</f>
        <v/>
      </c>
      <c r="X58" s="66">
        <f t="array" ref="X58">_xlfn.TEXTJOIN("|",TRUE,(_xlfn.UNIQUE(_xlfn._xlws.SORT(_xlfn._xlws.FILTER(scheduleapr[LENGTH],scheduleapr[Bucket]=salesforecast[[#This Row],[Bucket]])))))</f>
        <v/>
      </c>
      <c r="Y58" s="66">
        <f t="array" ref="Y58">_xlfn.TEXTJOIN("|",TRUE,_xlfn._xlws.FILTER(buckets[Material Codes],(buckets[Bucket]=salesforecast[[#This Row],[Bucket2]])*(buckets[LL or CTL]="CTL")))</f>
        <v/>
      </c>
      <c r="Z58">
        <f>salesforecast[[#This Row],[Bucket]]</f>
        <v/>
      </c>
      <c r="AA58" s="43">
        <f>salesforecast[[#This Row],[July Schedule]]</f>
        <v/>
      </c>
      <c r="AB58" s="43">
        <f>SUMIF(salesTVS[buckets.Bucket],salesforecast[[#This Row],[Bucket]],salesTVS[Quantity])/1000</f>
        <v/>
      </c>
      <c r="AC58" s="43">
        <f>SUMIFS(stock[MT],stock[Bucket],salesforecast[[#This Row],[Bucket]],stock[LL or CTL],"CTL")</f>
        <v/>
      </c>
      <c r="AD58" s="43">
        <f>SUMIF(stock[Bucket],salesforecast[[#This Row],[Bucket]],stock[MT])-salesforecast[[#This Row],[Stock CTL]]</f>
        <v/>
      </c>
      <c r="AE58" s="43" t="e">
        <v>#REF!</v>
      </c>
      <c r="AF58" s="43">
        <f>SUMIF(wip[Bucket],salesforecast[[#This Row],[Bucket]],wip[Stock(Net Wt)])/1000</f>
        <v/>
      </c>
      <c r="AG58" s="43" t="e">
        <v>#REF!</v>
      </c>
      <c r="AH58" s="43">
        <f>SUMIFS(stock[MT],stock[Bucket],salesforecast[[#This Row],[Bucket2]],stock[Plant],"0788")</f>
        <v/>
      </c>
      <c r="AI58" s="43">
        <f>((salesforecast[[#This Row],[WIP]]+salesforecast[[#This Row],[Stock LL]]))/salesforecast[[#This Row],[July Schedule]]*30</f>
        <v/>
      </c>
      <c r="AJ58" s="585">
        <f>salesforecast[[#This Row],[Stock LL]]/salesforecast[[#This Row],[Schedule]]*30</f>
        <v/>
      </c>
      <c r="AK58" s="43">
        <f>SUMIFS(stock[MT],stock[Bucket],salesforecast[[#This Row],[Bucket2]],stock[Plant],"0789",stock[LL or CTL],"LL")</f>
        <v/>
      </c>
      <c r="AL58" s="193">
        <f>(salesforecast[[#This Row],[Sales]])/salesforecast[[#This Row],[Schedule]]</f>
        <v/>
      </c>
      <c r="AM58" s="43">
        <f>SUMIFS(stock[MT],stock[Plant],salesforecast[[#This Row],[Plant]],stock[LL or CTL],"LL",stock[Bucket],salesforecast[[#This Row],[Bucket]])</f>
        <v/>
      </c>
      <c r="AN58" s="43">
        <f>SUMIFS(scheduleapr[SCHEDULE IN MT],scheduleapr[CUSTOMER NAME],"*Rajsriya*",scheduleapr[Bucket],salesforecast[[#This Row],[Bucket]])</f>
        <v/>
      </c>
      <c r="AO58" s="43">
        <f>SUMIFS(salesTVS[Quantity],salesTVS[CUSTOMER  NAME],"*RAJSRIYA*",salesTVS[buckets.Bucket],salesforecast[[#This Row],[Bucket]])/1000</f>
        <v/>
      </c>
      <c r="AP58" s="43">
        <f>SUMIFS(stock[MT],stock[Plant],4318,stock[Bucket],salesforecast[[#This Row],[Bucket2]])</f>
        <v/>
      </c>
      <c r="AQ58" s="43">
        <f>SUMIFS(stock[MT],stock[Plant],4731,stock[Bucket],salesforecast[[#This Row],[Bucket2]],stock[LL or CTL],"CTL")</f>
        <v/>
      </c>
      <c r="AR58" s="43">
        <f>SUMIFS(stock[MT],stock[Plant],4731,stock[Bucket],salesforecast[[#This Row],[Bucket2]])-salesforecast[[#This Row],[4731 Stock CTL]]</f>
        <v/>
      </c>
      <c r="AS58" s="43">
        <f>SUMIFS(stock[MT],stock[Plant],8406,stock[Bucket],salesforecast[[#This Row],[Bucket2]])</f>
        <v/>
      </c>
    </row>
    <row r="59">
      <c r="A59" t="n">
        <v>28.58</v>
      </c>
      <c r="B59" t="n">
        <v>28.58</v>
      </c>
      <c r="C59" t="n">
        <v>0</v>
      </c>
      <c r="D59" t="n">
        <v>2</v>
      </c>
      <c r="E59" t="inlineStr">
        <is>
          <t>ERW 1</t>
        </is>
      </c>
      <c r="F59" t="inlineStr">
        <is>
          <t>FC</t>
        </is>
      </c>
      <c r="G59" t="inlineStr">
        <is>
          <t>HR</t>
        </is>
      </c>
      <c r="H59">
        <f>_xlfn.CONCAT(salesforecast[[#This Row],[OD]],"-",salesforecast[[#This Row],[ID]],"-",salesforecast[[#This Row],[TICKNESS]],"-",salesforecast[[#This Row],[GRADE]],"-",salesforecast[[#This Row],[FC/NFC]])</f>
        <v/>
      </c>
      <c r="I59" s="43">
        <f>SUMIFS(scheduleapr[SCHEDULE IN MT],scheduleapr[Bucket],salesforecast[[#This Row],[Bucket]])</f>
        <v/>
      </c>
      <c r="J59" t="n">
        <v>3586646</v>
      </c>
      <c r="K59">
        <f>COUNTIF('helper sheet'!$A$1:$A$33,salesforecast[[#This Row],[LL Material Code]])</f>
        <v/>
      </c>
      <c r="N59" t="inlineStr">
        <is>
          <t>TUB-O-N-AUT-AW-FC-28.58X2.000X6.2000</t>
        </is>
      </c>
      <c r="P59" s="47" t="inlineStr">
        <is>
          <t>0789</t>
        </is>
      </c>
      <c r="Q59" t="n">
        <v>0</v>
      </c>
      <c r="R59" t="n">
        <v>8</v>
      </c>
      <c r="S59" t="n">
        <v>4</v>
      </c>
      <c r="T59" s="585">
        <f>ROUNDUP(MAX(salesforecast[[#This Row],[FY25 Average]],salesforecast[[#This Row],[July Schedule]]),0)</f>
        <v/>
      </c>
      <c r="U59" s="585">
        <f>salesforecast[[#This Row],[Forecast]]-salesforecast[[#This Row],[July Schedule]]</f>
        <v/>
      </c>
      <c r="V59">
        <f>salesforecast[[#This Row],[Plant]]</f>
        <v/>
      </c>
      <c r="W59" s="66">
        <f t="array" ref="W59">_xlfn.TEXTJOIN("|",TRUE,(_xlfn.UNIQUE(_xlfn._xlws.FILTER(scheduleapr[CUSTOMER NAME],scheduleapr[Bucket]=salesforecast[[#This Row],[Bucket]]))))</f>
        <v/>
      </c>
      <c r="X59" s="66">
        <f t="array" ref="X59">_xlfn.TEXTJOIN("|",TRUE,(_xlfn.UNIQUE(_xlfn._xlws.SORT(_xlfn._xlws.FILTER(scheduleapr[LENGTH],scheduleapr[Bucket]=salesforecast[[#This Row],[Bucket]])))))</f>
        <v/>
      </c>
      <c r="Y59" s="66">
        <f t="array" ref="Y59">_xlfn.TEXTJOIN("|",TRUE,_xlfn._xlws.FILTER(buckets[Material Codes],(buckets[Bucket]=salesforecast[[#This Row],[Bucket2]])*(buckets[LL or CTL]="CTL")))</f>
        <v/>
      </c>
      <c r="Z59">
        <f>salesforecast[[#This Row],[Bucket]]</f>
        <v/>
      </c>
      <c r="AA59" s="43">
        <f>salesforecast[[#This Row],[July Schedule]]</f>
        <v/>
      </c>
      <c r="AB59" s="43">
        <f>SUMIF(salesTVS[buckets.Bucket],salesforecast[[#This Row],[Bucket]],salesTVS[Quantity])/1000</f>
        <v/>
      </c>
      <c r="AC59" s="43">
        <f>SUMIFS(stock[MT],stock[Bucket],salesforecast[[#This Row],[Bucket]],stock[LL or CTL],"CTL")</f>
        <v/>
      </c>
      <c r="AD59" s="43">
        <f>SUMIF(stock[Bucket],salesforecast[[#This Row],[Bucket]],stock[MT])-salesforecast[[#This Row],[Stock CTL]]</f>
        <v/>
      </c>
      <c r="AE59" s="43" t="e">
        <v>#REF!</v>
      </c>
      <c r="AF59" s="43">
        <f>SUMIF(wip[Bucket],salesforecast[[#This Row],[Bucket]],wip[Stock(Net Wt)])/1000</f>
        <v/>
      </c>
      <c r="AG59" s="43" t="e">
        <v>#REF!</v>
      </c>
      <c r="AH59" s="43">
        <f>SUMIFS(stock[MT],stock[Bucket],salesforecast[[#This Row],[Bucket2]],stock[Plant],"0788")</f>
        <v/>
      </c>
      <c r="AI59" s="43">
        <f>((salesforecast[[#This Row],[WIP]]+salesforecast[[#This Row],[Stock LL]]))/salesforecast[[#This Row],[July Schedule]]*30</f>
        <v/>
      </c>
      <c r="AJ59" s="585">
        <f>salesforecast[[#This Row],[Stock LL]]/salesforecast[[#This Row],[Schedule]]*30</f>
        <v/>
      </c>
      <c r="AK59" s="43">
        <f>SUMIFS(stock[MT],stock[Bucket],salesforecast[[#This Row],[Bucket2]],stock[Plant],"0789",stock[LL or CTL],"LL")</f>
        <v/>
      </c>
      <c r="AL59" s="193">
        <f>(salesforecast[[#This Row],[Sales]])/salesforecast[[#This Row],[Schedule]]</f>
        <v/>
      </c>
      <c r="AM59" s="43">
        <f>SUMIFS(stock[MT],stock[Plant],salesforecast[[#This Row],[Plant]],stock[LL or CTL],"LL",stock[Bucket],salesforecast[[#This Row],[Bucket]])</f>
        <v/>
      </c>
      <c r="AN59" s="43">
        <f>SUMIFS(scheduleapr[SCHEDULE IN MT],scheduleapr[CUSTOMER NAME],"*Rajsriya*",scheduleapr[Bucket],salesforecast[[#This Row],[Bucket]])</f>
        <v/>
      </c>
      <c r="AO59" s="43">
        <f>SUMIFS(salesTVS[Quantity],salesTVS[CUSTOMER  NAME],"*RAJSRIYA*",salesTVS[buckets.Bucket],salesforecast[[#This Row],[Bucket]])/1000</f>
        <v/>
      </c>
      <c r="AP59" s="43">
        <f>SUMIFS(stock[MT],stock[Plant],4318,stock[Bucket],salesforecast[[#This Row],[Bucket2]])</f>
        <v/>
      </c>
      <c r="AQ59" s="43">
        <f>SUMIFS(stock[MT],stock[Plant],4731,stock[Bucket],salesforecast[[#This Row],[Bucket2]],stock[LL or CTL],"CTL")</f>
        <v/>
      </c>
      <c r="AR59" s="43">
        <f>SUMIFS(stock[MT],stock[Plant],4731,stock[Bucket],salesforecast[[#This Row],[Bucket2]])-salesforecast[[#This Row],[4731 Stock CTL]]</f>
        <v/>
      </c>
      <c r="AS59" s="43">
        <f>SUMIFS(stock[MT],stock[Plant],8406,stock[Bucket],salesforecast[[#This Row],[Bucket2]])</f>
        <v/>
      </c>
    </row>
    <row r="60">
      <c r="A60" t="n">
        <v>28.58</v>
      </c>
      <c r="B60" t="n">
        <v>28.58</v>
      </c>
      <c r="C60" t="n">
        <v>0</v>
      </c>
      <c r="D60" t="n">
        <v>3.2</v>
      </c>
      <c r="E60" t="inlineStr">
        <is>
          <t>ERW 1</t>
        </is>
      </c>
      <c r="F60" t="inlineStr">
        <is>
          <t>FC</t>
        </is>
      </c>
      <c r="G60" t="inlineStr">
        <is>
          <t>HR</t>
        </is>
      </c>
      <c r="H60">
        <f>_xlfn.CONCAT(salesforecast[[#This Row],[OD]],"-",salesforecast[[#This Row],[ID]],"-",salesforecast[[#This Row],[TICKNESS]],"-",salesforecast[[#This Row],[GRADE]],"-",salesforecast[[#This Row],[FC/NFC]])</f>
        <v/>
      </c>
      <c r="I60" s="43">
        <f>SUMIFS(scheduleapr[SCHEDULE IN MT],scheduleapr[Bucket],salesforecast[[#This Row],[Bucket]])</f>
        <v/>
      </c>
      <c r="J60" t="n">
        <v>1940627</v>
      </c>
      <c r="K60">
        <f>COUNTIF('helper sheet'!$A$1:$A$33,salesforecast[[#This Row],[LL Material Code]])</f>
        <v/>
      </c>
      <c r="N60" t="inlineStr">
        <is>
          <t>TUB-O-O-AUT-AW-FC-28.58X3.200X6.0000</t>
        </is>
      </c>
      <c r="P60" s="47" t="inlineStr">
        <is>
          <t>0789</t>
        </is>
      </c>
      <c r="Q60" t="n">
        <v>0</v>
      </c>
      <c r="R60" t="n">
        <v>6</v>
      </c>
      <c r="S60" t="n">
        <v>1</v>
      </c>
      <c r="T60" s="585">
        <f>ROUNDUP(MAX(salesforecast[[#This Row],[FY25 Average]],salesforecast[[#This Row],[July Schedule]]),0)</f>
        <v/>
      </c>
      <c r="U60" s="585">
        <f>salesforecast[[#This Row],[Forecast]]-salesforecast[[#This Row],[July Schedule]]</f>
        <v/>
      </c>
      <c r="V60">
        <f>salesforecast[[#This Row],[Plant]]</f>
        <v/>
      </c>
      <c r="W60" s="66">
        <f t="array" ref="W60">_xlfn.TEXTJOIN("|",TRUE,(_xlfn.UNIQUE(_xlfn._xlws.FILTER(scheduleapr[CUSTOMER NAME],scheduleapr[Bucket]=salesforecast[[#This Row],[Bucket]]))))</f>
        <v/>
      </c>
      <c r="X60" s="66">
        <f t="array" ref="X60">_xlfn.TEXTJOIN("|",TRUE,(_xlfn.UNIQUE(_xlfn._xlws.SORT(_xlfn._xlws.FILTER(scheduleapr[LENGTH],scheduleapr[Bucket]=salesforecast[[#This Row],[Bucket]])))))</f>
        <v/>
      </c>
      <c r="Y60" s="66">
        <f t="array" ref="Y60">_xlfn.TEXTJOIN("|",TRUE,_xlfn._xlws.FILTER(buckets[Material Codes],(buckets[Bucket]=salesforecast[[#This Row],[Bucket2]])*(buckets[LL or CTL]="CTL")))</f>
        <v/>
      </c>
      <c r="Z60">
        <f>salesforecast[[#This Row],[Bucket]]</f>
        <v/>
      </c>
      <c r="AA60" s="43">
        <f>salesforecast[[#This Row],[July Schedule]]</f>
        <v/>
      </c>
      <c r="AB60" s="43">
        <f>SUMIF(salesTVS[buckets.Bucket],salesforecast[[#This Row],[Bucket]],salesTVS[Quantity])/1000</f>
        <v/>
      </c>
      <c r="AC60" s="43">
        <f>SUMIFS(stock[MT],stock[Bucket],salesforecast[[#This Row],[Bucket]],stock[LL or CTL],"CTL")</f>
        <v/>
      </c>
      <c r="AD60" s="43">
        <f>SUMIF(stock[Bucket],salesforecast[[#This Row],[Bucket]],stock[MT])-salesforecast[[#This Row],[Stock CTL]]</f>
        <v/>
      </c>
      <c r="AE60" s="43" t="e">
        <v>#REF!</v>
      </c>
      <c r="AF60" s="43">
        <f>SUMIF(wip[Bucket],salesforecast[[#This Row],[Bucket]],wip[Stock(Net Wt)])/1000</f>
        <v/>
      </c>
      <c r="AG60" s="43" t="e">
        <v>#REF!</v>
      </c>
      <c r="AH60" s="43">
        <f>SUMIFS(stock[MT],stock[Bucket],salesforecast[[#This Row],[Bucket2]],stock[Plant],"0788")</f>
        <v/>
      </c>
      <c r="AI60" s="43">
        <f>((salesforecast[[#This Row],[WIP]]+salesforecast[[#This Row],[Stock LL]]))/salesforecast[[#This Row],[July Schedule]]*30</f>
        <v/>
      </c>
      <c r="AJ60">
        <f>salesforecast[[#This Row],[Stock LL]]/salesforecast[[#This Row],[Schedule]]*30</f>
        <v/>
      </c>
      <c r="AK60" s="43">
        <f>SUMIFS(stock[MT],stock[Bucket],salesforecast[[#This Row],[Bucket2]],stock[Plant],"0789",stock[LL or CTL],"LL")</f>
        <v/>
      </c>
      <c r="AL60" s="193">
        <f>(salesforecast[[#This Row],[Sales]])/salesforecast[[#This Row],[Schedule]]</f>
        <v/>
      </c>
      <c r="AM60" s="43">
        <f>SUMIFS(stock[MT],stock[Plant],salesforecast[[#This Row],[Plant]],stock[LL or CTL],"LL",stock[Bucket],salesforecast[[#This Row],[Bucket]])</f>
        <v/>
      </c>
      <c r="AN60" s="43">
        <f>SUMIFS(scheduleapr[SCHEDULE IN MT],scheduleapr[CUSTOMER NAME],"*Rajsriya*",scheduleapr[Bucket],salesforecast[[#This Row],[Bucket]])</f>
        <v/>
      </c>
      <c r="AO60" s="43">
        <f>SUMIFS(salesTVS[Quantity],salesTVS[CUSTOMER  NAME],"*RAJSRIYA*",salesTVS[buckets.Bucket],salesforecast[[#This Row],[Bucket]])/1000</f>
        <v/>
      </c>
      <c r="AP60" s="43">
        <f>SUMIFS(stock[MT],stock[Plant],4318,stock[Bucket],salesforecast[[#This Row],[Bucket2]])</f>
        <v/>
      </c>
      <c r="AQ60" s="43">
        <f>SUMIFS(stock[MT],stock[Plant],4731,stock[Bucket],salesforecast[[#This Row],[Bucket2]],stock[LL or CTL],"CTL")</f>
        <v/>
      </c>
      <c r="AR60" s="43">
        <f>SUMIFS(stock[MT],stock[Plant],4731,stock[Bucket],salesforecast[[#This Row],[Bucket2]])-salesforecast[[#This Row],[4731 Stock CTL]]</f>
        <v/>
      </c>
      <c r="AS60" s="43">
        <f>SUMIFS(stock[MT],stock[Plant],8406,stock[Bucket],salesforecast[[#This Row],[Bucket2]])</f>
        <v/>
      </c>
    </row>
    <row r="61" ht="30" customHeight="1" s="584">
      <c r="A61" t="n">
        <v>28.6</v>
      </c>
      <c r="B61" t="n">
        <v>28.6</v>
      </c>
      <c r="C61" t="n">
        <v>0</v>
      </c>
      <c r="D61" t="n">
        <v>2.65</v>
      </c>
      <c r="E61" t="inlineStr">
        <is>
          <t>CEW</t>
        </is>
      </c>
      <c r="F61" t="inlineStr">
        <is>
          <t>CEW</t>
        </is>
      </c>
      <c r="G61" t="inlineStr">
        <is>
          <t>HR</t>
        </is>
      </c>
      <c r="H61">
        <f>_xlfn.CONCAT(salesforecast[[#This Row],[OD]],"-",salesforecast[[#This Row],[ID]],"-",salesforecast[[#This Row],[TICKNESS]],"-",salesforecast[[#This Row],[GRADE]],"-",salesforecast[[#This Row],[FC/NFC]])</f>
        <v/>
      </c>
      <c r="I61" s="43">
        <f>SUMIFS(scheduleapr[SCHEDULE IN MT],scheduleapr[Bucket],salesforecast[[#This Row],[Bucket]])</f>
        <v/>
      </c>
      <c r="J61" s="15" t="n">
        <v>2410388</v>
      </c>
      <c r="K61">
        <f>COUNTIF('helper sheet'!$A$1:$A$33,salesforecast[[#This Row],[LL Material Code]])</f>
        <v/>
      </c>
      <c r="N61" s="15" t="inlineStr">
        <is>
          <t>TUB-O-C-AUT-AD-FC-28.60X2.650X04-05</t>
        </is>
      </c>
      <c r="P61" s="47" t="inlineStr">
        <is>
          <t>0788</t>
        </is>
      </c>
      <c r="Q61" t="n">
        <v>1</v>
      </c>
      <c r="R61" t="n">
        <v>21</v>
      </c>
      <c r="S61" t="n">
        <v>9</v>
      </c>
      <c r="T61" s="585">
        <f>ROUNDUP(MAX(salesforecast[[#This Row],[FY25 Average]],salesforecast[[#This Row],[July Schedule]]),0)</f>
        <v/>
      </c>
      <c r="U61" s="585">
        <f>salesforecast[[#This Row],[Forecast]]-salesforecast[[#This Row],[July Schedule]]</f>
        <v/>
      </c>
      <c r="V61">
        <f>salesforecast[[#This Row],[Plant]]</f>
        <v/>
      </c>
      <c r="W61" s="66">
        <f t="array" ref="W61">_xlfn.TEXTJOIN("|",TRUE,(_xlfn.UNIQUE(_xlfn._xlws.FILTER(scheduleapr[CUSTOMER NAME],scheduleapr[Bucket]=salesforecast[[#This Row],[Bucket]]))))</f>
        <v/>
      </c>
      <c r="X61" s="66">
        <f t="array" ref="X61">_xlfn.TEXTJOIN("|",TRUE,(_xlfn.UNIQUE(_xlfn._xlws.SORT(_xlfn._xlws.FILTER(scheduleapr[LENGTH],scheduleapr[Bucket]=salesforecast[[#This Row],[Bucket]])))))</f>
        <v/>
      </c>
      <c r="Y61" s="66">
        <f t="array" ref="Y61">_xlfn.TEXTJOIN("|",TRUE,_xlfn._xlws.FILTER(buckets[Material Codes],(buckets[Bucket]=salesforecast[[#This Row],[Bucket2]])))</f>
        <v/>
      </c>
      <c r="Z61">
        <f>salesforecast[[#This Row],[Bucket]]</f>
        <v/>
      </c>
      <c r="AA61" s="43">
        <f>salesforecast[[#This Row],[July Schedule]]</f>
        <v/>
      </c>
      <c r="AB61" s="43">
        <f>SUMIF(salesTVS[buckets.Bucket],salesforecast[[#This Row],[Bucket]],salesTVS[Quantity])/1000</f>
        <v/>
      </c>
      <c r="AC61" s="43">
        <f>SUMIFS(stock[MT],stock[Bucket],salesforecast[[#This Row],[Bucket]],stock[LL or CTL],"CTL")</f>
        <v/>
      </c>
      <c r="AD61" s="43">
        <f>SUMIF(stock[Bucket],salesforecast[[#This Row],[Bucket]],stock[MT])-salesforecast[[#This Row],[Stock CTL]]</f>
        <v/>
      </c>
      <c r="AE61" s="43" t="e">
        <v>#REF!</v>
      </c>
      <c r="AF61" s="43">
        <f>SUMIF(wip[Bucket],salesforecast[[#This Row],[Bucket]],wip[Stock(Net Wt)])/1000</f>
        <v/>
      </c>
      <c r="AG61" s="43" t="e">
        <v>#REF!</v>
      </c>
      <c r="AH61" s="43">
        <f>SUMIFS(stock[MT],stock[Bucket],salesforecast[[#This Row],[Bucket2]],stock[Plant],"0788")</f>
        <v/>
      </c>
      <c r="AI61" s="43">
        <f>((salesforecast[[#This Row],[WIP]]+salesforecast[[#This Row],[Stock LL]]))/salesforecast[[#This Row],[July Schedule]]*30</f>
        <v/>
      </c>
      <c r="AJ61" s="585">
        <f>salesforecast[[#This Row],[Stock LL]]/salesforecast[[#This Row],[Schedule]]*30</f>
        <v/>
      </c>
      <c r="AK61" s="43">
        <f>SUMIFS(stock[MT],stock[Bucket],salesforecast[[#This Row],[Bucket2]],stock[Plant],"0789",stock[LL or CTL],"LL")</f>
        <v/>
      </c>
      <c r="AL61" s="193">
        <f>(salesforecast[[#This Row],[Sales]])/salesforecast[[#This Row],[Schedule]]</f>
        <v/>
      </c>
      <c r="AM61" s="43">
        <f>SUMIFS(stock[MT],stock[Plant],salesforecast[[#This Row],[Plant]],stock[LL or CTL],"LL",stock[Bucket],salesforecast[[#This Row],[Bucket]])</f>
        <v/>
      </c>
      <c r="AN61" s="43">
        <f>SUMIFS(scheduleapr[SCHEDULE IN MT],scheduleapr[CUSTOMER NAME],"*Rajsriya*",scheduleapr[Bucket],salesforecast[[#This Row],[Bucket]])</f>
        <v/>
      </c>
      <c r="AO61" s="43">
        <f>SUMIFS(salesTVS[Quantity],salesTVS[CUSTOMER  NAME],"*RAJSRIYA*",salesTVS[buckets.Bucket],salesforecast[[#This Row],[Bucket]])/1000</f>
        <v/>
      </c>
      <c r="AP61" s="43">
        <f>SUMIFS(stock[MT],stock[Plant],4318,stock[Bucket],salesforecast[[#This Row],[Bucket2]])</f>
        <v/>
      </c>
      <c r="AQ61" s="43">
        <f>SUMIFS(stock[MT],stock[Plant],4731,stock[Bucket],salesforecast[[#This Row],[Bucket2]],stock[LL or CTL],"CTL")</f>
        <v/>
      </c>
      <c r="AR61" s="43">
        <f>SUMIFS(stock[MT],stock[Plant],4731,stock[Bucket],salesforecast[[#This Row],[Bucket2]])-salesforecast[[#This Row],[4731 Stock CTL]]</f>
        <v/>
      </c>
      <c r="AS61" s="43">
        <f>SUMIFS(stock[MT],stock[Plant],8406,stock[Bucket],salesforecast[[#This Row],[Bucket2]])</f>
        <v/>
      </c>
    </row>
    <row r="62">
      <c r="A62" t="n">
        <v>29.28</v>
      </c>
      <c r="B62" t="n">
        <v>29.28</v>
      </c>
      <c r="C62" t="n">
        <v>0</v>
      </c>
      <c r="D62" t="n">
        <v>3.4</v>
      </c>
      <c r="E62" t="inlineStr">
        <is>
          <t>CEW</t>
        </is>
      </c>
      <c r="F62" t="inlineStr">
        <is>
          <t>CEW</t>
        </is>
      </c>
      <c r="G62" t="inlineStr">
        <is>
          <t>HR</t>
        </is>
      </c>
      <c r="H62">
        <f>_xlfn.CONCAT(salesforecast[[#This Row],[OD]],"-",salesforecast[[#This Row],[ID]],"-",salesforecast[[#This Row],[TICKNESS]],"-",salesforecast[[#This Row],[GRADE]],"-",salesforecast[[#This Row],[FC/NFC]])</f>
        <v/>
      </c>
      <c r="I62" s="43">
        <f>SUMIFS(scheduleapr[SCHEDULE IN MT],scheduleapr[Bucket],salesforecast[[#This Row],[Bucket]])</f>
        <v/>
      </c>
      <c r="J62" s="406" t="n">
        <v>2426240</v>
      </c>
      <c r="K62">
        <f>COUNTIF('helper sheet'!$A$1:$A$33,salesforecast[[#This Row],[LL Material Code]])</f>
        <v/>
      </c>
      <c r="N62" s="407" t="inlineStr">
        <is>
          <t>TUB-O-C-AUT-AD-FC-29.28X3.400X3.5000</t>
        </is>
      </c>
      <c r="P62" s="47" t="inlineStr">
        <is>
          <t>0788</t>
        </is>
      </c>
      <c r="Q62" t="n">
        <v>0</v>
      </c>
      <c r="R62" t="n">
        <v>0</v>
      </c>
      <c r="S62" t="n">
        <v>0</v>
      </c>
      <c r="T62" s="585">
        <f>ROUNDUP(MAX(salesforecast[[#This Row],[FY25 Average]],salesforecast[[#This Row],[July Schedule]]),0)</f>
        <v/>
      </c>
      <c r="U62" s="585">
        <f>salesforecast[[#This Row],[Forecast]]-salesforecast[[#This Row],[July Schedule]]</f>
        <v/>
      </c>
      <c r="V62">
        <f>salesforecast[[#This Row],[Plant]]</f>
        <v/>
      </c>
      <c r="W62" s="66">
        <f t="array" ref="W62">_xlfn.TEXTJOIN("|",TRUE,(_xlfn.UNIQUE(_xlfn._xlws.FILTER(scheduleapr[CUSTOMER NAME],scheduleapr[Bucket]=salesforecast[[#This Row],[Bucket]]))))</f>
        <v/>
      </c>
      <c r="X62" s="66">
        <f t="array" ref="X62">_xlfn.TEXTJOIN("|",TRUE,(_xlfn.UNIQUE(_xlfn._xlws.SORT(_xlfn._xlws.FILTER(scheduleapr[LENGTH],scheduleapr[Bucket]=salesforecast[[#This Row],[Bucket]])))))</f>
        <v/>
      </c>
      <c r="Y62" s="66">
        <f t="array" ref="Y62">_xlfn.TEXTJOIN("|",TRUE,_xlfn._xlws.FILTER(buckets[Material Codes],(buckets[Bucket]=salesforecast[[#This Row],[Bucket2]])))</f>
        <v/>
      </c>
      <c r="Z62">
        <f>salesforecast[[#This Row],[Bucket]]</f>
        <v/>
      </c>
      <c r="AA62" s="43">
        <f>salesforecast[[#This Row],[July Schedule]]</f>
        <v/>
      </c>
      <c r="AB62" s="43">
        <f>SUMIF(salesTVS[buckets.Bucket],salesforecast[[#This Row],[Bucket]],salesTVS[Quantity])/1000</f>
        <v/>
      </c>
      <c r="AC62" s="43">
        <f>SUMIFS(stock[MT],stock[Bucket],salesforecast[[#This Row],[Bucket]],stock[LL or CTL],"CTL")</f>
        <v/>
      </c>
      <c r="AD62" s="43">
        <f>SUMIF(stock[Bucket],salesforecast[[#This Row],[Bucket]],stock[MT])-salesforecast[[#This Row],[Stock CTL]]</f>
        <v/>
      </c>
      <c r="AE62" s="43" t="e">
        <v>#REF!</v>
      </c>
      <c r="AF62" s="43">
        <f>SUMIF(wip[Bucket],salesforecast[[#This Row],[Bucket]],wip[Stock(Net Wt)])/1000</f>
        <v/>
      </c>
      <c r="AG62" s="43" t="e">
        <v>#REF!</v>
      </c>
      <c r="AH62" s="43">
        <f>SUMIFS(stock[MT],stock[Bucket],salesforecast[[#This Row],[Bucket2]],stock[Plant],"0788")</f>
        <v/>
      </c>
      <c r="AI62" s="43">
        <f>((salesforecast[[#This Row],[WIP]]+salesforecast[[#This Row],[Stock LL]]))/salesforecast[[#This Row],[July Schedule]]*30</f>
        <v/>
      </c>
      <c r="AJ62">
        <f>salesforecast[[#This Row],[Stock LL]]/salesforecast[[#This Row],[Schedule]]*30</f>
        <v/>
      </c>
      <c r="AK62" s="43">
        <f>SUMIFS(stock[MT],stock[Bucket],salesforecast[[#This Row],[Bucket2]],stock[Plant],"0789",stock[LL or CTL],"LL")</f>
        <v/>
      </c>
      <c r="AL62" s="193">
        <f>(salesforecast[[#This Row],[Sales]])/salesforecast[[#This Row],[Schedule]]</f>
        <v/>
      </c>
      <c r="AM62" s="43">
        <f>SUMIFS(stock[MT],stock[Plant],salesforecast[[#This Row],[Plant]],stock[LL or CTL],"LL",stock[Bucket],salesforecast[[#This Row],[Bucket]])</f>
        <v/>
      </c>
      <c r="AN62" s="43">
        <f>SUMIFS(scheduleapr[SCHEDULE IN MT],scheduleapr[CUSTOMER NAME],"*Rajsriya*",scheduleapr[Bucket],salesforecast[[#This Row],[Bucket]])</f>
        <v/>
      </c>
      <c r="AO62" s="43">
        <f>SUMIFS(salesTVS[Quantity],salesTVS[CUSTOMER  NAME],"*RAJSRIYA*",salesTVS[buckets.Bucket],salesforecast[[#This Row],[Bucket]])/1000</f>
        <v/>
      </c>
      <c r="AP62" s="43">
        <f>SUMIFS(stock[MT],stock[Plant],4318,stock[Bucket],salesforecast[[#This Row],[Bucket2]])</f>
        <v/>
      </c>
      <c r="AQ62" s="43">
        <f>SUMIFS(stock[MT],stock[Plant],4731,stock[Bucket],salesforecast[[#This Row],[Bucket2]],stock[LL or CTL],"CTL")</f>
        <v/>
      </c>
      <c r="AR62" s="43">
        <f>SUMIFS(stock[MT],stock[Plant],4731,stock[Bucket],salesforecast[[#This Row],[Bucket2]])-salesforecast[[#This Row],[4731 Stock CTL]]</f>
        <v/>
      </c>
      <c r="AS62" s="43">
        <f>SUMIFS(stock[MT],stock[Plant],8406,stock[Bucket],salesforecast[[#This Row],[Bucket2]])</f>
        <v/>
      </c>
    </row>
    <row r="63" ht="45" customHeight="1" s="584">
      <c r="A63" t="n">
        <v>29.4</v>
      </c>
      <c r="B63" t="n">
        <v>29.4</v>
      </c>
      <c r="C63" t="n">
        <v>20.4</v>
      </c>
      <c r="D63" t="n">
        <v>4.5</v>
      </c>
      <c r="E63" t="inlineStr">
        <is>
          <t>CEW</t>
        </is>
      </c>
      <c r="F63" t="inlineStr">
        <is>
          <t>CEW</t>
        </is>
      </c>
      <c r="G63" t="inlineStr">
        <is>
          <t>HR</t>
        </is>
      </c>
      <c r="H63">
        <f>_xlfn.CONCAT(salesforecast[[#This Row],[OD]],"-",salesforecast[[#This Row],[ID]],"-",salesforecast[[#This Row],[TICKNESS]],"-",salesforecast[[#This Row],[GRADE]],"-",salesforecast[[#This Row],[FC/NFC]])</f>
        <v/>
      </c>
      <c r="I63" s="43">
        <f>SUMIFS(scheduleapr[SCHEDULE IN MT],scheduleapr[Bucket],salesforecast[[#This Row],[Bucket]])</f>
        <v/>
      </c>
      <c r="J63" t="n">
        <v>3855139</v>
      </c>
      <c r="K63">
        <f>COUNTIF('helper sheet'!$A$1:$A$33,salesforecast[[#This Row],[LL Material Code]])</f>
        <v/>
      </c>
      <c r="N63" t="inlineStr">
        <is>
          <t>TUB-O-C-AUT-AD-FC-29.40X4.500X4.5000</t>
        </is>
      </c>
      <c r="P63" s="47" t="inlineStr">
        <is>
          <t>0788</t>
        </is>
      </c>
      <c r="Q63" t="n">
        <v>0</v>
      </c>
      <c r="R63" t="n">
        <v>0</v>
      </c>
      <c r="S63" t="n">
        <v>0</v>
      </c>
      <c r="T63" s="585" t="n">
        <v>10</v>
      </c>
      <c r="U63" s="585">
        <f>salesforecast[[#This Row],[Forecast]]-salesforecast[[#This Row],[July Schedule]]</f>
        <v/>
      </c>
      <c r="V63">
        <f>salesforecast[[#This Row],[Plant]]</f>
        <v/>
      </c>
      <c r="W63" s="66">
        <f t="array" ref="W63">_xlfn.TEXTJOIN("|",TRUE,(_xlfn.UNIQUE(_xlfn._xlws.FILTER(scheduleapr[CUSTOMER NAME],scheduleapr[Bucket]=salesforecast[[#This Row],[Bucket]]))))</f>
        <v/>
      </c>
      <c r="X63" s="66">
        <f t="array" ref="X63">_xlfn.TEXTJOIN("|",TRUE,(_xlfn.UNIQUE(_xlfn._xlws.SORT(_xlfn._xlws.FILTER(scheduleapr[LENGTH],scheduleapr[Bucket]=salesforecast[[#This Row],[Bucket]])))))</f>
        <v/>
      </c>
      <c r="Y63" s="66">
        <f t="array" ref="Y63">_xlfn.TEXTJOIN("|",TRUE,_xlfn._xlws.FILTER(buckets[Material Codes],(buckets[Bucket]=salesforecast[[#This Row],[Bucket2]])))</f>
        <v/>
      </c>
      <c r="Z63">
        <f>salesforecast[[#This Row],[Bucket]]</f>
        <v/>
      </c>
      <c r="AA63" s="43">
        <f>salesforecast[[#This Row],[July Schedule]]</f>
        <v/>
      </c>
      <c r="AB63" s="43">
        <f>SUMIF(salesTVS[buckets.Bucket],salesforecast[[#This Row],[Bucket]],salesTVS[Quantity])/1000</f>
        <v/>
      </c>
      <c r="AC63" s="43">
        <f>SUMIFS(stock[MT],stock[Bucket],salesforecast[[#This Row],[Bucket]],stock[LL or CTL],"CTL")</f>
        <v/>
      </c>
      <c r="AD63" s="43">
        <f>SUMIF(stock[Bucket],salesforecast[[#This Row],[Bucket]],stock[MT])-salesforecast[[#This Row],[Stock CTL]]</f>
        <v/>
      </c>
      <c r="AE63" s="43" t="e">
        <v>#REF!</v>
      </c>
      <c r="AF63" s="43">
        <f>SUMIF(wip[Bucket],salesforecast[[#This Row],[Bucket]],wip[Stock(Net Wt)])/1000</f>
        <v/>
      </c>
      <c r="AG63" s="43" t="e">
        <v>#REF!</v>
      </c>
      <c r="AH63" s="43">
        <f>SUMIFS(stock[MT],stock[Bucket],salesforecast[[#This Row],[Bucket2]],stock[Plant],"0788")</f>
        <v/>
      </c>
      <c r="AI63" s="43">
        <f>((salesforecast[[#This Row],[WIP]]+salesforecast[[#This Row],[Stock LL]]))/salesforecast[[#This Row],[July Schedule]]*30</f>
        <v/>
      </c>
      <c r="AJ63" s="585">
        <f>salesforecast[[#This Row],[Stock LL]]/salesforecast[[#This Row],[Schedule]]*30</f>
        <v/>
      </c>
      <c r="AK63" s="43">
        <f>SUMIFS(stock[MT],stock[Bucket],salesforecast[[#This Row],[Bucket2]],stock[Plant],"0789",stock[LL or CTL],"LL")</f>
        <v/>
      </c>
      <c r="AL63" s="193">
        <f>(salesforecast[[#This Row],[Sales]])/salesforecast[[#This Row],[Schedule]]</f>
        <v/>
      </c>
      <c r="AM63" s="43">
        <f>SUMIFS(stock[MT],stock[Plant],salesforecast[[#This Row],[Plant]],stock[LL or CTL],"LL",stock[Bucket],salesforecast[[#This Row],[Bucket]])</f>
        <v/>
      </c>
      <c r="AN63" s="43">
        <f>SUMIFS(scheduleapr[SCHEDULE IN MT],scheduleapr[CUSTOMER NAME],"*Rajsriya*",scheduleapr[Bucket],salesforecast[[#This Row],[Bucket]])</f>
        <v/>
      </c>
      <c r="AO63" s="43">
        <f>SUMIFS(salesTVS[Quantity],salesTVS[CUSTOMER  NAME],"*RAJSRIYA*",salesTVS[buckets.Bucket],salesforecast[[#This Row],[Bucket]])/1000</f>
        <v/>
      </c>
      <c r="AP63" s="43">
        <f>SUMIFS(stock[MT],stock[Plant],4318,stock[Bucket],salesforecast[[#This Row],[Bucket2]])</f>
        <v/>
      </c>
      <c r="AQ63" s="43">
        <f>SUMIFS(stock[MT],stock[Plant],4731,stock[Bucket],salesforecast[[#This Row],[Bucket2]],stock[LL or CTL],"CTL")</f>
        <v/>
      </c>
      <c r="AR63" s="43">
        <f>SUMIFS(stock[MT],stock[Plant],4731,stock[Bucket],salesforecast[[#This Row],[Bucket2]])-salesforecast[[#This Row],[4731 Stock CTL]]</f>
        <v/>
      </c>
      <c r="AS63" s="43">
        <f>SUMIFS(stock[MT],stock[Plant],8406,stock[Bucket],salesforecast[[#This Row],[Bucket2]])</f>
        <v/>
      </c>
    </row>
    <row r="64" ht="45" customHeight="1" s="584">
      <c r="A64" t="n">
        <v>29.4</v>
      </c>
      <c r="B64" t="n">
        <v>29.4</v>
      </c>
      <c r="C64" t="n">
        <v>20.4</v>
      </c>
      <c r="D64" t="n">
        <v>4.5</v>
      </c>
      <c r="E64" t="inlineStr">
        <is>
          <t>CEW STKM 13C</t>
        </is>
      </c>
      <c r="F64" t="inlineStr">
        <is>
          <t>CEW</t>
        </is>
      </c>
      <c r="G64" t="inlineStr">
        <is>
          <t>HR</t>
        </is>
      </c>
      <c r="H64">
        <f>_xlfn.CONCAT(salesforecast[[#This Row],[OD]],"-",salesforecast[[#This Row],[ID]],"-",salesforecast[[#This Row],[TICKNESS]],"-",salesforecast[[#This Row],[GRADE]],"-",salesforecast[[#This Row],[FC/NFC]])</f>
        <v/>
      </c>
      <c r="I64" s="43">
        <f>SUMIFS(scheduleapr[SCHEDULE IN MT],scheduleapr[Bucket],salesforecast[[#This Row],[Bucket]])</f>
        <v/>
      </c>
      <c r="J64" t="n">
        <v>3770394</v>
      </c>
      <c r="K64">
        <f>COUNTIF('helper sheet'!$A$1:$A$33,salesforecast[[#This Row],[LL Material Code]])</f>
        <v/>
      </c>
      <c r="N64" t="inlineStr">
        <is>
          <t>TUB-O-C-AUT-AD-FC-29.40X4.500X5.5500</t>
        </is>
      </c>
      <c r="P64" s="47" t="inlineStr">
        <is>
          <t>0788</t>
        </is>
      </c>
      <c r="Q64" t="n">
        <v>13</v>
      </c>
      <c r="R64" t="n">
        <v>60</v>
      </c>
      <c r="S64" t="n">
        <v>34</v>
      </c>
      <c r="T64" s="585" t="n">
        <v>20</v>
      </c>
      <c r="U64" s="585">
        <f>salesforecast[[#This Row],[Forecast]]-salesforecast[[#This Row],[July Schedule]]</f>
        <v/>
      </c>
      <c r="V64">
        <f>salesforecast[[#This Row],[Plant]]</f>
        <v/>
      </c>
      <c r="W64" s="66">
        <f t="array" ref="W64">_xlfn.TEXTJOIN("|",TRUE,(_xlfn.UNIQUE(_xlfn._xlws.FILTER(scheduleapr[CUSTOMER NAME],scheduleapr[Bucket]=salesforecast[[#This Row],[Bucket]]))))</f>
        <v/>
      </c>
      <c r="X64" s="66">
        <f t="array" ref="X64">_xlfn.TEXTJOIN("|",TRUE,(_xlfn.UNIQUE(_xlfn._xlws.SORT(_xlfn._xlws.FILTER(scheduleapr[LENGTH],scheduleapr[Bucket]=salesforecast[[#This Row],[Bucket]])))))</f>
        <v/>
      </c>
      <c r="Y64" s="66">
        <f t="array" ref="Y64">_xlfn.TEXTJOIN("|",TRUE,_xlfn._xlws.FILTER(buckets[Material Codes],(buckets[Bucket]=salesforecast[[#This Row],[Bucket2]])))</f>
        <v/>
      </c>
      <c r="Z64">
        <f>salesforecast[[#This Row],[Bucket]]</f>
        <v/>
      </c>
      <c r="AA64" s="43">
        <f>salesforecast[[#This Row],[July Schedule]]</f>
        <v/>
      </c>
      <c r="AB64" s="43">
        <f>SUMIF(salesTVS[buckets.Bucket],salesforecast[[#This Row],[Bucket]],salesTVS[Quantity])/1000</f>
        <v/>
      </c>
      <c r="AC64" s="43">
        <f>SUMIFS(stock[MT],stock[Bucket],salesforecast[[#This Row],[Bucket]],stock[LL or CTL],"CTL")</f>
        <v/>
      </c>
      <c r="AD64" s="43">
        <f>SUMIF(stock[Bucket],salesforecast[[#This Row],[Bucket]],stock[MT])-salesforecast[[#This Row],[Stock CTL]]</f>
        <v/>
      </c>
      <c r="AE64" s="43" t="e">
        <v>#REF!</v>
      </c>
      <c r="AF64" s="43">
        <f>SUMIF(wip[Bucket],salesforecast[[#This Row],[Bucket]],wip[Stock(Net Wt)])/1000</f>
        <v/>
      </c>
      <c r="AG64" s="43" t="e">
        <v>#REF!</v>
      </c>
      <c r="AH64" s="43">
        <f>SUMIFS(stock[MT],stock[Bucket],salesforecast[[#This Row],[Bucket2]],stock[Plant],"0788")</f>
        <v/>
      </c>
      <c r="AI64" s="43">
        <f>((salesforecast[[#This Row],[WIP]]+salesforecast[[#This Row],[Stock LL]]))/salesforecast[[#This Row],[July Schedule]]*30</f>
        <v/>
      </c>
      <c r="AJ64" s="585">
        <f>salesforecast[[#This Row],[Stock LL]]/salesforecast[[#This Row],[Schedule]]*30</f>
        <v/>
      </c>
      <c r="AK64" s="43">
        <f>SUMIFS(stock[MT],stock[Bucket],salesforecast[[#This Row],[Bucket2]],stock[Plant],"0789",stock[LL or CTL],"LL")</f>
        <v/>
      </c>
      <c r="AL64" s="193">
        <f>(salesforecast[[#This Row],[Sales]])/salesforecast[[#This Row],[Schedule]]</f>
        <v/>
      </c>
      <c r="AM64" s="43">
        <f>SUMIFS(stock[MT],stock[Plant],salesforecast[[#This Row],[Plant]],stock[LL or CTL],"LL",stock[Bucket],salesforecast[[#This Row],[Bucket]])</f>
        <v/>
      </c>
      <c r="AN64" s="43">
        <f>SUMIFS(scheduleapr[SCHEDULE IN MT],scheduleapr[CUSTOMER NAME],"*Rajsriya*",scheduleapr[Bucket],salesforecast[[#This Row],[Bucket]])</f>
        <v/>
      </c>
      <c r="AO64" s="43">
        <f>SUMIFS(salesTVS[Quantity],salesTVS[CUSTOMER  NAME],"*RAJSRIYA*",salesTVS[buckets.Bucket],salesforecast[[#This Row],[Bucket]])/1000</f>
        <v/>
      </c>
      <c r="AP64" s="43">
        <f>SUMIFS(stock[MT],stock[Plant],4318,stock[Bucket],salesforecast[[#This Row],[Bucket2]])</f>
        <v/>
      </c>
      <c r="AQ64" s="43">
        <f>SUMIFS(stock[MT],stock[Plant],4731,stock[Bucket],salesforecast[[#This Row],[Bucket2]],stock[LL or CTL],"CTL")</f>
        <v/>
      </c>
      <c r="AR64" s="43">
        <f>SUMIFS(stock[MT],stock[Plant],4731,stock[Bucket],salesforecast[[#This Row],[Bucket2]])-salesforecast[[#This Row],[4731 Stock CTL]]</f>
        <v/>
      </c>
      <c r="AS64" s="43">
        <f>SUMIFS(stock[MT],stock[Plant],8406,stock[Bucket],salesforecast[[#This Row],[Bucket2]])</f>
        <v/>
      </c>
    </row>
    <row r="65" ht="45" customHeight="1" s="584">
      <c r="A65" t="n">
        <v>38.1</v>
      </c>
      <c r="B65" t="n">
        <v>30</v>
      </c>
      <c r="C65" t="n">
        <v>30</v>
      </c>
      <c r="D65" t="n">
        <v>1.2</v>
      </c>
      <c r="E65" t="inlineStr">
        <is>
          <t>CRFH</t>
        </is>
      </c>
      <c r="F65" t="inlineStr">
        <is>
          <t>PE</t>
        </is>
      </c>
      <c r="G65" t="inlineStr">
        <is>
          <t>CR</t>
        </is>
      </c>
      <c r="H65">
        <f>_xlfn.CONCAT(salesforecast[[#This Row],[OD]],"-",salesforecast[[#This Row],[ID]],"-",salesforecast[[#This Row],[TICKNESS]],"-",salesforecast[[#This Row],[GRADE]],"-",salesforecast[[#This Row],[FC/NFC]])</f>
        <v/>
      </c>
      <c r="I65" s="43">
        <f>SUMIFS(scheduleapr[SCHEDULE IN MT],scheduleapr[Bucket],salesforecast[[#This Row],[Bucket]])</f>
        <v/>
      </c>
      <c r="J65" t="n">
        <v>3234374</v>
      </c>
      <c r="K65">
        <f>COUNTIF('helper sheet'!$A$1:$A$33,salesforecast[[#This Row],[LL Material Code]])</f>
        <v/>
      </c>
      <c r="L65" t="n">
        <v>3572045</v>
      </c>
      <c r="N65" t="inlineStr">
        <is>
          <t>TUB-S-AW-AUT-30.00X30.00X1.200X6.0000</t>
        </is>
      </c>
      <c r="P65" s="47" t="inlineStr">
        <is>
          <t>0789</t>
        </is>
      </c>
      <c r="Q65" t="n">
        <v>1</v>
      </c>
      <c r="R65" t="n">
        <v>5</v>
      </c>
      <c r="S65" t="n">
        <v>3</v>
      </c>
      <c r="T65" s="585">
        <f>ROUNDUP(MAX(salesforecast[[#This Row],[FY25 Average]],salesforecast[[#This Row],[July Schedule]]),0)</f>
        <v/>
      </c>
      <c r="U65" s="585">
        <f>salesforecast[[#This Row],[Forecast]]-salesforecast[[#This Row],[July Schedule]]</f>
        <v/>
      </c>
      <c r="V65">
        <f>salesforecast[[#This Row],[Plant]]</f>
        <v/>
      </c>
      <c r="W65" s="66">
        <f t="array" ref="W65">_xlfn.TEXTJOIN("|",TRUE,(_xlfn.UNIQUE(_xlfn._xlws.FILTER(scheduleapr[CUSTOMER NAME],scheduleapr[Bucket]=salesforecast[[#This Row],[Bucket]]))))</f>
        <v/>
      </c>
      <c r="X65" s="66">
        <f t="array" ref="X65">_xlfn.TEXTJOIN("|",TRUE,(_xlfn.UNIQUE(_xlfn._xlws.SORT(_xlfn._xlws.FILTER(scheduleapr[LENGTH],scheduleapr[Bucket]=salesforecast[[#This Row],[Bucket]])))))</f>
        <v/>
      </c>
      <c r="Y65" s="66">
        <f t="array" ref="Y65">_xlfn.TEXTJOIN("|",TRUE,_xlfn._xlws.FILTER(buckets[Material Codes],(buckets[Bucket]=salesforecast[[#This Row],[Bucket2]])*(buckets[LL or CTL]="CTL")))</f>
        <v/>
      </c>
      <c r="Z65">
        <f>salesforecast[[#This Row],[Bucket]]</f>
        <v/>
      </c>
      <c r="AA65" s="43">
        <f>salesforecast[[#This Row],[July Schedule]]</f>
        <v/>
      </c>
      <c r="AB65" s="43">
        <f>SUMIF(salesTVS[buckets.Bucket],salesforecast[[#This Row],[Bucket]],salesTVS[Quantity])/1000</f>
        <v/>
      </c>
      <c r="AC65" s="43">
        <f>SUMIFS(stock[MT],stock[Bucket],salesforecast[[#This Row],[Bucket]],stock[LL or CTL],"CTL")</f>
        <v/>
      </c>
      <c r="AD65" s="43">
        <f>SUMIF(stock[Bucket],salesforecast[[#This Row],[Bucket]],stock[MT])-salesforecast[[#This Row],[Stock CTL]]</f>
        <v/>
      </c>
      <c r="AE65" s="43" t="e">
        <v>#REF!</v>
      </c>
      <c r="AF65" s="43">
        <f>SUMIF(wip[Bucket],salesforecast[[#This Row],[Bucket]],wip[Stock(Net Wt)])/1000</f>
        <v/>
      </c>
      <c r="AG65" s="43" t="e">
        <v>#REF!</v>
      </c>
      <c r="AH65" s="43">
        <f>SUMIFS(stock[MT],stock[Bucket],salesforecast[[#This Row],[Bucket2]],stock[Plant],"0788")</f>
        <v/>
      </c>
      <c r="AI65" s="43">
        <f>((salesforecast[[#This Row],[WIP]]+salesforecast[[#This Row],[Stock LL]]))/salesforecast[[#This Row],[July Schedule]]*30</f>
        <v/>
      </c>
      <c r="AJ65" s="585">
        <f>salesforecast[[#This Row],[Stock LL]]/salesforecast[[#This Row],[Schedule]]*30</f>
        <v/>
      </c>
      <c r="AK65" s="43">
        <f>SUMIFS(stock[MT],stock[Bucket],salesforecast[[#This Row],[Bucket2]],stock[Plant],"0789",stock[LL or CTL],"LL")</f>
        <v/>
      </c>
      <c r="AL65" s="193">
        <f>(salesforecast[[#This Row],[Sales]])/salesforecast[[#This Row],[Schedule]]</f>
        <v/>
      </c>
      <c r="AM65" s="43">
        <f>SUMIFS(stock[MT],stock[Plant],salesforecast[[#This Row],[Plant]],stock[LL or CTL],"LL",stock[Bucket],salesforecast[[#This Row],[Bucket]])</f>
        <v/>
      </c>
      <c r="AN65" s="43">
        <f>SUMIFS(scheduleapr[SCHEDULE IN MT],scheduleapr[CUSTOMER NAME],"*Rajsriya*",scheduleapr[Bucket],salesforecast[[#This Row],[Bucket]])</f>
        <v/>
      </c>
      <c r="AO65" s="43">
        <f>SUMIFS(salesTVS[Quantity],salesTVS[CUSTOMER  NAME],"*RAJSRIYA*",salesTVS[buckets.Bucket],salesforecast[[#This Row],[Bucket]])/1000</f>
        <v/>
      </c>
      <c r="AP65" s="43">
        <f>SUMIFS(stock[MT],stock[Plant],4318,stock[Bucket],salesforecast[[#This Row],[Bucket2]])</f>
        <v/>
      </c>
      <c r="AQ65" s="43">
        <f>SUMIFS(stock[MT],stock[Plant],4731,stock[Bucket],salesforecast[[#This Row],[Bucket2]],stock[LL or CTL],"CTL")</f>
        <v/>
      </c>
      <c r="AR65" s="43">
        <f>SUMIFS(stock[MT],stock[Plant],4731,stock[Bucket],salesforecast[[#This Row],[Bucket2]])-salesforecast[[#This Row],[4731 Stock CTL]]</f>
        <v/>
      </c>
      <c r="AS65" s="43">
        <f>SUMIFS(stock[MT],stock[Plant],8406,stock[Bucket],salesforecast[[#This Row],[Bucket2]])</f>
        <v/>
      </c>
    </row>
    <row r="66" ht="30" customHeight="1" s="584">
      <c r="A66" t="n">
        <v>30.15</v>
      </c>
      <c r="B66" t="n">
        <v>30</v>
      </c>
      <c r="C66" t="n">
        <v>25.5</v>
      </c>
      <c r="D66" t="n">
        <v>2.25</v>
      </c>
      <c r="E66" t="inlineStr">
        <is>
          <t>CEW</t>
        </is>
      </c>
      <c r="F66" t="inlineStr">
        <is>
          <t>CEW</t>
        </is>
      </c>
      <c r="G66" t="inlineStr">
        <is>
          <t>HR</t>
        </is>
      </c>
      <c r="H66">
        <f>_xlfn.CONCAT(salesforecast[[#This Row],[OD]],"-",salesforecast[[#This Row],[ID]],"-",salesforecast[[#This Row],[TICKNESS]],"-",salesforecast[[#This Row],[GRADE]],"-",salesforecast[[#This Row],[FC/NFC]])</f>
        <v/>
      </c>
      <c r="I66" s="43">
        <f>SUMIFS(scheduleapr[SCHEDULE IN MT],scheduleapr[Bucket],salesforecast[[#This Row],[Bucket]])</f>
        <v/>
      </c>
      <c r="J66" t="n">
        <v>3770398</v>
      </c>
      <c r="K66">
        <f>COUNTIF('helper sheet'!$A$1:$A$33,salesforecast[[#This Row],[LL Material Code]])</f>
        <v/>
      </c>
      <c r="N66" t="inlineStr">
        <is>
          <t>TUB-I-C-AUT-AD-FC-25.50X2.250X5.9500</t>
        </is>
      </c>
      <c r="P66" s="47" t="inlineStr">
        <is>
          <t>0788</t>
        </is>
      </c>
      <c r="Q66" t="n">
        <v>12</v>
      </c>
      <c r="R66" t="n">
        <v>54</v>
      </c>
      <c r="S66" t="n">
        <v>36</v>
      </c>
      <c r="T66" s="585">
        <f>ROUNDUP(MAX(salesforecast[[#This Row],[FY25 Average]],salesforecast[[#This Row],[July Schedule]]),0)</f>
        <v/>
      </c>
      <c r="U66" s="585">
        <f>salesforecast[[#This Row],[Forecast]]-salesforecast[[#This Row],[July Schedule]]</f>
        <v/>
      </c>
      <c r="V66">
        <f>salesforecast[[#This Row],[Plant]]</f>
        <v/>
      </c>
      <c r="W66" s="66">
        <f t="array" ref="W66">_xlfn.TEXTJOIN("|",TRUE,(_xlfn.UNIQUE(_xlfn._xlws.FILTER(scheduleapr[CUSTOMER NAME],scheduleapr[Bucket]=salesforecast[[#This Row],[Bucket]]))))</f>
        <v/>
      </c>
      <c r="X66" s="66">
        <f t="array" ref="X66">_xlfn.TEXTJOIN("|",TRUE,(_xlfn.UNIQUE(_xlfn._xlws.SORT(_xlfn._xlws.FILTER(scheduleapr[LENGTH],scheduleapr[Bucket]=salesforecast[[#This Row],[Bucket]])))))</f>
        <v/>
      </c>
      <c r="Y66" s="66">
        <f t="array" ref="Y66">_xlfn.TEXTJOIN("|",TRUE,_xlfn._xlws.FILTER(buckets[Material Codes],(buckets[Bucket]=salesforecast[[#This Row],[Bucket2]])))</f>
        <v/>
      </c>
      <c r="Z66">
        <f>salesforecast[[#This Row],[Bucket]]</f>
        <v/>
      </c>
      <c r="AA66" s="43">
        <f>salesforecast[[#This Row],[July Schedule]]</f>
        <v/>
      </c>
      <c r="AB66" s="43">
        <f>SUMIF(salesTVS[buckets.Bucket],salesforecast[[#This Row],[Bucket]],salesTVS[Quantity])/1000</f>
        <v/>
      </c>
      <c r="AC66" s="43">
        <f>SUMIFS(stock[MT],stock[Bucket],salesforecast[[#This Row],[Bucket]],stock[LL or CTL],"CTL")</f>
        <v/>
      </c>
      <c r="AD66" s="43">
        <f>SUMIF(stock[Bucket],salesforecast[[#This Row],[Bucket]],stock[MT])-salesforecast[[#This Row],[Stock CTL]]</f>
        <v/>
      </c>
      <c r="AE66" s="43" t="e">
        <v>#REF!</v>
      </c>
      <c r="AF66" s="43">
        <f>SUMIF(wip[Bucket],salesforecast[[#This Row],[Bucket]],wip[Stock(Net Wt)])/1000</f>
        <v/>
      </c>
      <c r="AG66" s="43" t="e">
        <v>#REF!</v>
      </c>
      <c r="AH66" s="43">
        <f>SUMIFS(stock[MT],stock[Bucket],salesforecast[[#This Row],[Bucket2]],stock[Plant],"0788")</f>
        <v/>
      </c>
      <c r="AI66" s="43">
        <f>((salesforecast[[#This Row],[WIP]]+salesforecast[[#This Row],[Stock LL]]))/salesforecast[[#This Row],[July Schedule]]*30</f>
        <v/>
      </c>
      <c r="AJ66" s="585">
        <f>salesforecast[[#This Row],[Stock LL]]/salesforecast[[#This Row],[Schedule]]*30</f>
        <v/>
      </c>
      <c r="AK66" s="43">
        <f>SUMIFS(stock[MT],stock[Bucket],salesforecast[[#This Row],[Bucket2]],stock[Plant],"0789",stock[LL or CTL],"LL")</f>
        <v/>
      </c>
      <c r="AL66" s="193">
        <f>(salesforecast[[#This Row],[Sales]])/salesforecast[[#This Row],[Schedule]]</f>
        <v/>
      </c>
      <c r="AM66" s="43">
        <f>SUMIFS(stock[MT],stock[Plant],salesforecast[[#This Row],[Plant]],stock[LL or CTL],"LL",stock[Bucket],salesforecast[[#This Row],[Bucket]])</f>
        <v/>
      </c>
      <c r="AN66" s="43">
        <f>SUMIFS(scheduleapr[SCHEDULE IN MT],scheduleapr[CUSTOMER NAME],"*Rajsriya*",scheduleapr[Bucket],salesforecast[[#This Row],[Bucket]])</f>
        <v/>
      </c>
      <c r="AO66" s="43">
        <f>SUMIFS(salesTVS[Quantity],salesTVS[CUSTOMER  NAME],"*RAJSRIYA*",salesTVS[buckets.Bucket],salesforecast[[#This Row],[Bucket]])/1000</f>
        <v/>
      </c>
      <c r="AP66" s="43">
        <f>SUMIFS(stock[MT],stock[Plant],4318,stock[Bucket],salesforecast[[#This Row],[Bucket2]])</f>
        <v/>
      </c>
      <c r="AQ66" s="43">
        <f>SUMIFS(stock[MT],stock[Plant],4731,stock[Bucket],salesforecast[[#This Row],[Bucket2]],stock[LL or CTL],"CTL")</f>
        <v/>
      </c>
      <c r="AR66" s="43">
        <f>SUMIFS(stock[MT],stock[Plant],4731,stock[Bucket],salesforecast[[#This Row],[Bucket2]])-salesforecast[[#This Row],[4731 Stock CTL]]</f>
        <v/>
      </c>
      <c r="AS66" s="43">
        <f>SUMIFS(stock[MT],stock[Plant],8406,stock[Bucket],salesforecast[[#This Row],[Bucket2]])</f>
        <v/>
      </c>
    </row>
    <row r="67" ht="60" customHeight="1" s="584">
      <c r="A67" t="n">
        <v>31.75</v>
      </c>
      <c r="B67" t="n">
        <v>31.75</v>
      </c>
      <c r="C67" t="n">
        <v>0</v>
      </c>
      <c r="D67" t="n">
        <v>1.2</v>
      </c>
      <c r="E67" t="inlineStr">
        <is>
          <t>ERW 1</t>
        </is>
      </c>
      <c r="F67" t="inlineStr">
        <is>
          <t>FC</t>
        </is>
      </c>
      <c r="G67" t="inlineStr">
        <is>
          <t>CR</t>
        </is>
      </c>
      <c r="H67">
        <f>_xlfn.CONCAT(salesforecast[[#This Row],[OD]],"-",salesforecast[[#This Row],[ID]],"-",salesforecast[[#This Row],[TICKNESS]],"-",salesforecast[[#This Row],[GRADE]],"-",salesforecast[[#This Row],[FC/NFC]])</f>
        <v/>
      </c>
      <c r="I67" s="43">
        <f>SUMIFS(scheduleapr[SCHEDULE IN MT],scheduleapr[Bucket],salesforecast[[#This Row],[Bucket]])</f>
        <v/>
      </c>
      <c r="J67" t="n">
        <v>3623212</v>
      </c>
      <c r="K67">
        <f>COUNTIF('helper sheet'!$A$1:$A$33,salesforecast[[#This Row],[LL Material Code]])</f>
        <v/>
      </c>
      <c r="N67" t="inlineStr">
        <is>
          <t>TUB-O-N-GEN-AW-FC-31.75X1.200X6.0700</t>
        </is>
      </c>
      <c r="P67" s="47" t="inlineStr">
        <is>
          <t>0789</t>
        </is>
      </c>
      <c r="Q67" t="n">
        <v>0</v>
      </c>
      <c r="R67" t="n">
        <v>3</v>
      </c>
      <c r="S67" t="n">
        <v>1</v>
      </c>
      <c r="T67" s="585">
        <f>ROUNDUP(MAX(salesforecast[[#This Row],[FY25 Average]],salesforecast[[#This Row],[July Schedule]]),0)</f>
        <v/>
      </c>
      <c r="U67" s="585">
        <f>salesforecast[[#This Row],[Forecast]]-salesforecast[[#This Row],[July Schedule]]</f>
        <v/>
      </c>
      <c r="V67">
        <f>salesforecast[[#This Row],[Plant]]</f>
        <v/>
      </c>
      <c r="W67" s="66">
        <f t="array" ref="W67">_xlfn.TEXTJOIN("|",TRUE,(_xlfn.UNIQUE(_xlfn._xlws.FILTER(scheduleapr[CUSTOMER NAME],scheduleapr[Bucket]=salesforecast[[#This Row],[Bucket]]))))</f>
        <v/>
      </c>
      <c r="X67" s="66">
        <f t="array" ref="X67">_xlfn.TEXTJOIN("|",TRUE,(_xlfn.UNIQUE(_xlfn._xlws.SORT(_xlfn._xlws.FILTER(scheduleapr[LENGTH],scheduleapr[Bucket]=salesforecast[[#This Row],[Bucket]])))))</f>
        <v/>
      </c>
      <c r="Y67" s="66">
        <f t="array" ref="Y67">_xlfn.TEXTJOIN("|",TRUE,_xlfn._xlws.FILTER(buckets[Material Codes],(buckets[Bucket]=salesforecast[[#This Row],[Bucket2]])*(buckets[LL or CTL]="CTL")))</f>
        <v/>
      </c>
      <c r="Z67">
        <f>salesforecast[[#This Row],[Bucket]]</f>
        <v/>
      </c>
      <c r="AA67" s="43">
        <f>salesforecast[[#This Row],[July Schedule]]</f>
        <v/>
      </c>
      <c r="AB67" s="43">
        <f>SUMIF(salesTVS[buckets.Bucket],salesforecast[[#This Row],[Bucket]],salesTVS[Quantity])/1000</f>
        <v/>
      </c>
      <c r="AC67" s="43">
        <f>SUMIFS(stock[MT],stock[Bucket],salesforecast[[#This Row],[Bucket]],stock[LL or CTL],"CTL")</f>
        <v/>
      </c>
      <c r="AD67" s="43">
        <f>SUMIF(stock[Bucket],salesforecast[[#This Row],[Bucket]],stock[MT])-salesforecast[[#This Row],[Stock CTL]]</f>
        <v/>
      </c>
      <c r="AE67" s="43" t="e">
        <v>#REF!</v>
      </c>
      <c r="AF67" s="43">
        <f>SUMIF(wip[Bucket],salesforecast[[#This Row],[Bucket]],wip[Stock(Net Wt)])/1000</f>
        <v/>
      </c>
      <c r="AG67" s="43" t="e">
        <v>#REF!</v>
      </c>
      <c r="AH67" s="43">
        <f>SUMIFS(stock[MT],stock[Bucket],salesforecast[[#This Row],[Bucket2]],stock[Plant],"0788")</f>
        <v/>
      </c>
      <c r="AI67" s="43">
        <f>((salesforecast[[#This Row],[WIP]]+salesforecast[[#This Row],[Stock LL]]))/salesforecast[[#This Row],[July Schedule]]*30</f>
        <v/>
      </c>
      <c r="AJ67" s="585">
        <f>salesforecast[[#This Row],[Stock LL]]/salesforecast[[#This Row],[Schedule]]*30</f>
        <v/>
      </c>
      <c r="AK67" s="43">
        <f>SUMIFS(stock[MT],stock[Bucket],salesforecast[[#This Row],[Bucket2]],stock[Plant],"0789",stock[LL or CTL],"LL")</f>
        <v/>
      </c>
      <c r="AL67" s="193">
        <f>(salesforecast[[#This Row],[Sales]])/salesforecast[[#This Row],[Schedule]]</f>
        <v/>
      </c>
      <c r="AM67" s="43">
        <f>SUMIFS(stock[MT],stock[Plant],salesforecast[[#This Row],[Plant]],stock[LL or CTL],"LL",stock[Bucket],salesforecast[[#This Row],[Bucket]])</f>
        <v/>
      </c>
      <c r="AN67" s="43">
        <f>SUMIFS(scheduleapr[SCHEDULE IN MT],scheduleapr[CUSTOMER NAME],"*Rajsriya*",scheduleapr[Bucket],salesforecast[[#This Row],[Bucket]])</f>
        <v/>
      </c>
      <c r="AO67" s="43">
        <f>SUMIFS(salesTVS[Quantity],salesTVS[CUSTOMER  NAME],"*RAJSRIYA*",salesTVS[buckets.Bucket],salesforecast[[#This Row],[Bucket]])/1000</f>
        <v/>
      </c>
      <c r="AP67" s="43">
        <f>SUMIFS(stock[MT],stock[Plant],4318,stock[Bucket],salesforecast[[#This Row],[Bucket2]])</f>
        <v/>
      </c>
      <c r="AQ67" s="43">
        <f>SUMIFS(stock[MT],stock[Plant],4731,stock[Bucket],salesforecast[[#This Row],[Bucket2]],stock[LL or CTL],"CTL")</f>
        <v/>
      </c>
      <c r="AR67" s="43">
        <f>SUMIFS(stock[MT],stock[Plant],4731,stock[Bucket],salesforecast[[#This Row],[Bucket2]])-salesforecast[[#This Row],[4731 Stock CTL]]</f>
        <v/>
      </c>
      <c r="AS67" s="43">
        <f>SUMIFS(stock[MT],stock[Plant],8406,stock[Bucket],salesforecast[[#This Row],[Bucket2]])</f>
        <v/>
      </c>
    </row>
    <row r="68" ht="45" customHeight="1" s="584">
      <c r="A68" t="n">
        <v>31.75</v>
      </c>
      <c r="B68" t="n">
        <v>31.75</v>
      </c>
      <c r="C68" t="n">
        <v>0</v>
      </c>
      <c r="D68" t="n">
        <v>1.2</v>
      </c>
      <c r="E68" t="inlineStr">
        <is>
          <t>ERW 1</t>
        </is>
      </c>
      <c r="F68" t="inlineStr">
        <is>
          <t>PE</t>
        </is>
      </c>
      <c r="G68" t="inlineStr">
        <is>
          <t>CR</t>
        </is>
      </c>
      <c r="H68">
        <f>_xlfn.CONCAT(salesforecast[[#This Row],[OD]],"-",salesforecast[[#This Row],[ID]],"-",salesforecast[[#This Row],[TICKNESS]],"-",salesforecast[[#This Row],[GRADE]],"-",salesforecast[[#This Row],[FC/NFC]])</f>
        <v/>
      </c>
      <c r="I68" s="43">
        <f>SUMIFS(scheduleapr[SCHEDULE IN MT],scheduleapr[Bucket],salesforecast[[#This Row],[Bucket]])</f>
        <v/>
      </c>
      <c r="J68" t="n">
        <v>1940655</v>
      </c>
      <c r="K68">
        <f>COUNTIF('helper sheet'!$A$1:$A$33,salesforecast[[#This Row],[LL Material Code]])</f>
        <v/>
      </c>
      <c r="L68" t="n">
        <v>3171772</v>
      </c>
      <c r="N68" t="inlineStr">
        <is>
          <t>TUB-O-O-GEN-AW-PE-31.75X1.200X6.0500</t>
        </is>
      </c>
      <c r="P68" s="47" t="inlineStr">
        <is>
          <t>0789</t>
        </is>
      </c>
      <c r="Q68" t="n">
        <v>0</v>
      </c>
      <c r="R68" t="n">
        <v>14</v>
      </c>
      <c r="S68" t="n">
        <v>5</v>
      </c>
      <c r="T68" s="585">
        <f>ROUNDUP(MAX(salesforecast[[#This Row],[FY25 Average]],salesforecast[[#This Row],[July Schedule]]),0)</f>
        <v/>
      </c>
      <c r="U68" s="585">
        <f>salesforecast[[#This Row],[Forecast]]-salesforecast[[#This Row],[July Schedule]]</f>
        <v/>
      </c>
      <c r="V68">
        <f>salesforecast[[#This Row],[Plant]]</f>
        <v/>
      </c>
      <c r="W68" s="66">
        <f t="array" ref="W68">_xlfn.TEXTJOIN("|",TRUE,(_xlfn.UNIQUE(_xlfn._xlws.FILTER(scheduleapr[CUSTOMER NAME],scheduleapr[Bucket]=salesforecast[[#This Row],[Bucket]]))))</f>
        <v/>
      </c>
      <c r="X68" s="66">
        <f t="array" ref="X68">_xlfn.TEXTJOIN("|",TRUE,(_xlfn.UNIQUE(_xlfn._xlws.SORT(_xlfn._xlws.FILTER(scheduleapr[LENGTH],scheduleapr[Bucket]=salesforecast[[#This Row],[Bucket]])))))</f>
        <v/>
      </c>
      <c r="Y68" s="66">
        <f t="array" ref="Y68">_xlfn.TEXTJOIN("|",TRUE,_xlfn._xlws.FILTER(buckets[Material Codes],(buckets[Bucket]=salesforecast[[#This Row],[Bucket2]])*(buckets[LL or CTL]="CTL")))</f>
        <v/>
      </c>
      <c r="Z68">
        <f>salesforecast[[#This Row],[Bucket]]</f>
        <v/>
      </c>
      <c r="AA68" s="43">
        <f>salesforecast[[#This Row],[July Schedule]]</f>
        <v/>
      </c>
      <c r="AB68" s="43">
        <f>SUMIF(salesTVS[buckets.Bucket],salesforecast[[#This Row],[Bucket]],salesTVS[Quantity])/1000</f>
        <v/>
      </c>
      <c r="AC68" s="43">
        <f>SUMIFS(stock[MT],stock[Bucket],salesforecast[[#This Row],[Bucket]],stock[LL or CTL],"CTL")</f>
        <v/>
      </c>
      <c r="AD68" s="43">
        <f>SUMIF(stock[Bucket],salesforecast[[#This Row],[Bucket]],stock[MT])-salesforecast[[#This Row],[Stock CTL]]</f>
        <v/>
      </c>
      <c r="AE68" s="43" t="e">
        <v>#REF!</v>
      </c>
      <c r="AF68" s="43">
        <f>SUMIF(wip[Bucket],salesforecast[[#This Row],[Bucket]],wip[Stock(Net Wt)])/1000</f>
        <v/>
      </c>
      <c r="AG68" s="43" t="e">
        <v>#REF!</v>
      </c>
      <c r="AH68" s="43">
        <f>SUMIFS(stock[MT],stock[Bucket],salesforecast[[#This Row],[Bucket2]],stock[Plant],"0788")</f>
        <v/>
      </c>
      <c r="AI68" s="43">
        <f>((salesforecast[[#This Row],[WIP]]+salesforecast[[#This Row],[Stock LL]]))/salesforecast[[#This Row],[July Schedule]]*30</f>
        <v/>
      </c>
      <c r="AJ68" s="585">
        <f>salesforecast[[#This Row],[Stock LL]]/salesforecast[[#This Row],[Schedule]]*30</f>
        <v/>
      </c>
      <c r="AK68" s="43">
        <f>SUMIFS(stock[MT],stock[Bucket],salesforecast[[#This Row],[Bucket2]],stock[Plant],"0789",stock[LL or CTL],"LL")</f>
        <v/>
      </c>
      <c r="AL68" s="193">
        <f>(salesforecast[[#This Row],[Sales]])/salesforecast[[#This Row],[Schedule]]</f>
        <v/>
      </c>
      <c r="AM68" s="43">
        <f>SUMIFS(stock[MT],stock[Plant],salesforecast[[#This Row],[Plant]],stock[LL or CTL],"LL",stock[Bucket],salesforecast[[#This Row],[Bucket]])</f>
        <v/>
      </c>
      <c r="AN68" s="43">
        <f>SUMIFS(scheduleapr[SCHEDULE IN MT],scheduleapr[CUSTOMER NAME],"*Rajsriya*",scheduleapr[Bucket],salesforecast[[#This Row],[Bucket]])</f>
        <v/>
      </c>
      <c r="AO68" s="43">
        <f>SUMIFS(salesTVS[Quantity],salesTVS[CUSTOMER  NAME],"*RAJSRIYA*",salesTVS[buckets.Bucket],salesforecast[[#This Row],[Bucket]])/1000</f>
        <v/>
      </c>
      <c r="AP68" s="43">
        <f>SUMIFS(stock[MT],stock[Plant],4318,stock[Bucket],salesforecast[[#This Row],[Bucket2]])</f>
        <v/>
      </c>
      <c r="AQ68" s="43">
        <f>SUMIFS(stock[MT],stock[Plant],4731,stock[Bucket],salesforecast[[#This Row],[Bucket2]],stock[LL or CTL],"CTL")</f>
        <v/>
      </c>
      <c r="AR68" s="43">
        <f>SUMIFS(stock[MT],stock[Plant],4731,stock[Bucket],salesforecast[[#This Row],[Bucket2]])-salesforecast[[#This Row],[4731 Stock CTL]]</f>
        <v/>
      </c>
      <c r="AS68" s="43">
        <f>SUMIFS(stock[MT],stock[Plant],8406,stock[Bucket],salesforecast[[#This Row],[Bucket2]])</f>
        <v/>
      </c>
    </row>
    <row r="69">
      <c r="A69" t="n">
        <v>31.75</v>
      </c>
      <c r="B69" t="n">
        <v>31.75</v>
      </c>
      <c r="C69" t="n">
        <v>0</v>
      </c>
      <c r="D69" t="n">
        <v>1.6</v>
      </c>
      <c r="E69" t="inlineStr">
        <is>
          <t>ERW 1</t>
        </is>
      </c>
      <c r="F69" t="inlineStr">
        <is>
          <t>FC</t>
        </is>
      </c>
      <c r="G69" t="inlineStr">
        <is>
          <t>CR</t>
        </is>
      </c>
      <c r="H69">
        <f>_xlfn.CONCAT(salesforecast[[#This Row],[OD]],"-",salesforecast[[#This Row],[ID]],"-",salesforecast[[#This Row],[TICKNESS]],"-",salesforecast[[#This Row],[GRADE]],"-",salesforecast[[#This Row],[FC/NFC]])</f>
        <v/>
      </c>
      <c r="I69" s="43">
        <f>SUMIFS(scheduleapr[SCHEDULE IN MT],scheduleapr[Bucket],salesforecast[[#This Row],[Bucket]])</f>
        <v/>
      </c>
      <c r="J69" t="n">
        <v>1940675</v>
      </c>
      <c r="K69">
        <f>COUNTIF('helper sheet'!$A$1:$A$33,salesforecast[[#This Row],[LL Material Code]])</f>
        <v/>
      </c>
      <c r="L69" t="n">
        <v>3715133</v>
      </c>
      <c r="N69" t="inlineStr">
        <is>
          <t>TUB-O-O-AUT-AW-FC-31.75X1.600X6.2000</t>
        </is>
      </c>
      <c r="O69" t="inlineStr">
        <is>
          <t>WG</t>
        </is>
      </c>
      <c r="P69" s="47" t="inlineStr">
        <is>
          <t>0789</t>
        </is>
      </c>
      <c r="Q69" t="n">
        <v>0</v>
      </c>
      <c r="R69" t="n">
        <v>4</v>
      </c>
      <c r="S69" t="n">
        <v>1</v>
      </c>
      <c r="T69" s="585">
        <f>ROUNDUP(MAX(salesforecast[[#This Row],[FY25 Average]],salesforecast[[#This Row],[July Schedule]]),0)</f>
        <v/>
      </c>
      <c r="U69" s="585">
        <f>salesforecast[[#This Row],[Forecast]]-salesforecast[[#This Row],[July Schedule]]</f>
        <v/>
      </c>
      <c r="V69">
        <f>salesforecast[[#This Row],[Plant]]</f>
        <v/>
      </c>
      <c r="W69" s="66">
        <f t="array" ref="W69">_xlfn.TEXTJOIN("|",TRUE,(_xlfn.UNIQUE(_xlfn._xlws.FILTER(scheduleapr[CUSTOMER NAME],scheduleapr[Bucket]=salesforecast[[#This Row],[Bucket]]))))</f>
        <v/>
      </c>
      <c r="X69" s="66">
        <f t="array" ref="X69">_xlfn.TEXTJOIN("|",TRUE,(_xlfn.UNIQUE(_xlfn._xlws.SORT(_xlfn._xlws.FILTER(scheduleapr[LENGTH],scheduleapr[Bucket]=salesforecast[[#This Row],[Bucket]])))))</f>
        <v/>
      </c>
      <c r="Y69" s="66">
        <f t="array" ref="Y69">_xlfn.TEXTJOIN("|",TRUE,_xlfn._xlws.FILTER(buckets[Material Codes],(buckets[Bucket]=salesforecast[[#This Row],[Bucket2]])*(buckets[LL or CTL]="CTL")))</f>
        <v/>
      </c>
      <c r="Z69">
        <f>salesforecast[[#This Row],[Bucket]]</f>
        <v/>
      </c>
      <c r="AA69" s="43">
        <f>salesforecast[[#This Row],[July Schedule]]</f>
        <v/>
      </c>
      <c r="AB69" s="43">
        <f>SUMIF(salesTVS[buckets.Bucket],salesforecast[[#This Row],[Bucket]],salesTVS[Quantity])/1000</f>
        <v/>
      </c>
      <c r="AC69" s="43">
        <f>SUMIFS(stock[MT],stock[Bucket],salesforecast[[#This Row],[Bucket]],stock[LL or CTL],"CTL")</f>
        <v/>
      </c>
      <c r="AD69" s="43">
        <f>SUMIF(stock[Bucket],salesforecast[[#This Row],[Bucket]],stock[MT])-salesforecast[[#This Row],[Stock CTL]]</f>
        <v/>
      </c>
      <c r="AE69" s="43" t="e">
        <v>#REF!</v>
      </c>
      <c r="AF69" s="43">
        <f>SUMIF(wip[Bucket],salesforecast[[#This Row],[Bucket]],wip[Stock(Net Wt)])/1000</f>
        <v/>
      </c>
      <c r="AG69" s="43" t="e">
        <v>#REF!</v>
      </c>
      <c r="AH69" s="43">
        <f>SUMIFS(stock[MT],stock[Bucket],salesforecast[[#This Row],[Bucket2]],stock[Plant],"0788")</f>
        <v/>
      </c>
      <c r="AI69" s="43">
        <f>((salesforecast[[#This Row],[WIP]]+salesforecast[[#This Row],[Stock LL]]))/salesforecast[[#This Row],[July Schedule]]*30</f>
        <v/>
      </c>
      <c r="AJ69" s="585">
        <f>salesforecast[[#This Row],[Stock LL]]/salesforecast[[#This Row],[Schedule]]*30</f>
        <v/>
      </c>
      <c r="AK69" s="43">
        <f>SUMIFS(stock[MT],stock[Bucket],salesforecast[[#This Row],[Bucket2]],stock[Plant],"0789",stock[LL or CTL],"LL")</f>
        <v/>
      </c>
      <c r="AL69" s="193">
        <f>(salesforecast[[#This Row],[Sales]])/salesforecast[[#This Row],[Schedule]]</f>
        <v/>
      </c>
      <c r="AM69" s="43">
        <f>SUMIFS(stock[MT],stock[Plant],salesforecast[[#This Row],[Plant]],stock[LL or CTL],"LL",stock[Bucket],salesforecast[[#This Row],[Bucket]])</f>
        <v/>
      </c>
      <c r="AN69" s="43">
        <f>SUMIFS(scheduleapr[SCHEDULE IN MT],scheduleapr[CUSTOMER NAME],"*Rajsriya*",scheduleapr[Bucket],salesforecast[[#This Row],[Bucket]])</f>
        <v/>
      </c>
      <c r="AO69" s="43">
        <f>SUMIFS(salesTVS[Quantity],salesTVS[CUSTOMER  NAME],"*RAJSRIYA*",salesTVS[buckets.Bucket],salesforecast[[#This Row],[Bucket]])/1000</f>
        <v/>
      </c>
      <c r="AP69" s="43">
        <f>SUMIFS(stock[MT],stock[Plant],4318,stock[Bucket],salesforecast[[#This Row],[Bucket2]])</f>
        <v/>
      </c>
      <c r="AQ69" s="43">
        <f>SUMIFS(stock[MT],stock[Plant],4731,stock[Bucket],salesforecast[[#This Row],[Bucket2]],stock[LL or CTL],"CTL")</f>
        <v/>
      </c>
      <c r="AR69" s="43">
        <f>SUMIFS(stock[MT],stock[Plant],4731,stock[Bucket],salesforecast[[#This Row],[Bucket2]])-salesforecast[[#This Row],[4731 Stock CTL]]</f>
        <v/>
      </c>
      <c r="AS69" s="43">
        <f>SUMIFS(stock[MT],stock[Plant],8406,stock[Bucket],salesforecast[[#This Row],[Bucket2]])</f>
        <v/>
      </c>
    </row>
    <row r="70">
      <c r="A70" t="n">
        <v>31.75</v>
      </c>
      <c r="B70" t="n">
        <v>31.75</v>
      </c>
      <c r="C70" t="n">
        <v>0</v>
      </c>
      <c r="D70" t="n">
        <v>2.3</v>
      </c>
      <c r="E70" t="inlineStr">
        <is>
          <t>ERW 1</t>
        </is>
      </c>
      <c r="F70" t="inlineStr">
        <is>
          <t>FC</t>
        </is>
      </c>
      <c r="G70" t="inlineStr">
        <is>
          <t>HR</t>
        </is>
      </c>
      <c r="H70" t="inlineStr">
        <is>
          <t>31.75-0-2.3-ERW 1-FC</t>
        </is>
      </c>
      <c r="I70" s="43">
        <f>SUMIFS(scheduleapr[SCHEDULE IN MT],scheduleapr[Bucket],salesforecast[[#This Row],[Bucket]])</f>
        <v/>
      </c>
      <c r="K70">
        <f>COUNTIF('helper sheet'!$A$1:$A$33,salesforecast[[#This Row],[LL Material Code]])</f>
        <v/>
      </c>
      <c r="P70" s="47" t="n"/>
      <c r="T70" s="585">
        <f>ROUNDUP(MAX(salesforecast[[#This Row],[FY25 Average]],salesforecast[[#This Row],[July Schedule]]),0)</f>
        <v/>
      </c>
      <c r="U70" s="585">
        <f>salesforecast[[#This Row],[Forecast]]-salesforecast[[#This Row],[July Schedule]]</f>
        <v/>
      </c>
      <c r="V70">
        <f>salesforecast[[#This Row],[Plant]]</f>
        <v/>
      </c>
      <c r="W70" s="66">
        <f t="array" ref="W70">_xlfn.TEXTJOIN("|",TRUE,(_xlfn.UNIQUE(_xlfn._xlws.FILTER(scheduleapr[CUSTOMER NAME],scheduleapr[Bucket]=salesforecast[[#This Row],[Bucket]]))))</f>
        <v/>
      </c>
      <c r="X70" s="66">
        <f t="array" ref="X70">_xlfn.TEXTJOIN("|",TRUE,(_xlfn.UNIQUE(_xlfn._xlws.SORT(_xlfn._xlws.FILTER(scheduleapr[LENGTH],scheduleapr[Bucket]=salesforecast[[#This Row],[Bucket]])))))</f>
        <v/>
      </c>
      <c r="Y70" s="66">
        <f t="array" ref="Y70">_xlfn.TEXTJOIN("|",TRUE,_xlfn._xlws.FILTER(buckets[Material Codes],(buckets[Bucket]=salesforecast[[#This Row],[Bucket2]])*(buckets[LL or CTL]="CTL")))</f>
        <v/>
      </c>
      <c r="Z70" t="inlineStr">
        <is>
          <t>31.75-0-2.3-ERW 1-FC</t>
        </is>
      </c>
      <c r="AA70" s="43">
        <f>salesforecast[[#This Row],[July Schedule]]</f>
        <v/>
      </c>
      <c r="AB70" s="43">
        <f>SUMIF(salesTVS[buckets.Bucket],salesforecast[[#This Row],[Bucket]],salesTVS[Quantity])/1000</f>
        <v/>
      </c>
      <c r="AC70" s="43">
        <f>SUMIFS(stock[MT],stock[Bucket],salesforecast[[#This Row],[Bucket]],stock[LL or CTL],"CTL")</f>
        <v/>
      </c>
      <c r="AD70" s="43">
        <f>SUMIF(stock[Bucket],salesforecast[[#This Row],[Bucket]],stock[MT])</f>
        <v/>
      </c>
      <c r="AE70" s="43" t="n"/>
      <c r="AF70" s="43">
        <f>SUMIF(wip[Bucket],salesforecast[[#This Row],[Bucket]],wip[Stock(Net Wt)])/1000</f>
        <v/>
      </c>
      <c r="AG70" s="43" t="n"/>
      <c r="AH70" s="43">
        <f>SUMIFS(stock[MT],stock[Bucket],salesforecast[[#This Row],[Bucket2]],stock[Plant],"0788")</f>
        <v/>
      </c>
      <c r="AI70" s="43">
        <f>((salesforecast[[#This Row],[WIP]]+salesforecast[[#This Row],[Stock LL]]))/salesforecast[[#This Row],[July Schedule]]*30</f>
        <v/>
      </c>
      <c r="AJ70" s="43">
        <f>salesforecast[[#This Row],[Stock LL]]/salesforecast[[#This Row],[Schedule]]*30</f>
        <v/>
      </c>
      <c r="AK70" s="43">
        <f>SUMIFS(stock[MT],stock[Bucket],salesforecast[[#This Row],[Bucket2]],stock[Plant],"0789",stock[LL or CTL],"LL")</f>
        <v/>
      </c>
      <c r="AL70" s="193">
        <f>(salesforecast[[#This Row],[Sales]])/salesforecast[[#This Row],[Schedule]]</f>
        <v/>
      </c>
      <c r="AM70" s="43">
        <f>SUMIFS(stock[MT],stock[Plant],salesforecast[[#This Row],[Plant]],stock[LL or CTL],"LL",stock[Bucket],salesforecast[[#This Row],[Bucket]])</f>
        <v/>
      </c>
      <c r="AN70" s="43">
        <f>SUMIFS(scheduleapr[SCHEDULE IN MT],scheduleapr[CUSTOMER NAME],"*Rajsriya*",scheduleapr[Bucket],salesforecast[[#This Row],[Bucket]])</f>
        <v/>
      </c>
      <c r="AO70" s="43">
        <f>SUMIFS(salesTVS[Quantity],salesTVS[CUSTOMER  NAME],"*RAJSRIYA*",salesTVS[buckets.Bucket],salesforecast[[#This Row],[Bucket]])/1000</f>
        <v/>
      </c>
      <c r="AP70" s="43">
        <f>SUMIFS(stock[MT],stock[Plant],4318,stock[Bucket],salesforecast[[#This Row],[Bucket2]])</f>
        <v/>
      </c>
      <c r="AQ70" s="43">
        <f>SUMIFS(stock[MT],stock[Plant],4731,stock[Bucket],salesforecast[[#This Row],[Bucket2]],stock[LL or CTL],"CTL")</f>
        <v/>
      </c>
      <c r="AR70" s="43">
        <f>SUMIFS(stock[MT],stock[Plant],4731,stock[Bucket],salesforecast[[#This Row],[Bucket2]])</f>
        <v/>
      </c>
      <c r="AS70" s="43">
        <f>SUMIFS(stock[MT],stock[Plant],8406,stock[Bucket],salesforecast[[#This Row],[Bucket2]])</f>
        <v/>
      </c>
    </row>
    <row r="71">
      <c r="A71" t="n">
        <v>31.75</v>
      </c>
      <c r="B71" t="n">
        <v>31.75</v>
      </c>
      <c r="C71" t="n">
        <v>0</v>
      </c>
      <c r="D71" t="n">
        <v>2.5</v>
      </c>
      <c r="E71" t="inlineStr">
        <is>
          <t>ERW 1</t>
        </is>
      </c>
      <c r="F71" t="inlineStr">
        <is>
          <t>FC</t>
        </is>
      </c>
      <c r="G71" t="inlineStr">
        <is>
          <t>HR</t>
        </is>
      </c>
      <c r="H71">
        <f>_xlfn.CONCAT(salesforecast[[#This Row],[OD]],"-",salesforecast[[#This Row],[ID]],"-",salesforecast[[#This Row],[TICKNESS]],"-",salesforecast[[#This Row],[GRADE]],"-",salesforecast[[#This Row],[FC/NFC]])</f>
        <v/>
      </c>
      <c r="I71" s="43">
        <f>SUMIFS(scheduleapr[SCHEDULE IN MT],scheduleapr[Bucket],salesforecast[[#This Row],[Bucket]])</f>
        <v/>
      </c>
      <c r="J71" t="n">
        <v>1941840</v>
      </c>
      <c r="K71">
        <f>COUNTIF('helper sheet'!$A$1:$A$33,salesforecast[[#This Row],[LL Material Code]])</f>
        <v/>
      </c>
      <c r="N71" t="inlineStr">
        <is>
          <t>TUB-E-O-AUT-AW-FC-31.75X2.500X6.0000</t>
        </is>
      </c>
      <c r="P71" s="47" t="inlineStr">
        <is>
          <t>0789</t>
        </is>
      </c>
      <c r="Q71" t="n">
        <v>0</v>
      </c>
      <c r="R71" t="n">
        <v>26</v>
      </c>
      <c r="S71" t="n">
        <v>10</v>
      </c>
      <c r="T71" s="585">
        <f>ROUNDUP(MAX(salesforecast[[#This Row],[FY25 Average]],salesforecast[[#This Row],[July Schedule]]),0)</f>
        <v/>
      </c>
      <c r="U71" s="585">
        <f>salesforecast[[#This Row],[Forecast]]-salesforecast[[#This Row],[July Schedule]]</f>
        <v/>
      </c>
      <c r="V71">
        <f>salesforecast[[#This Row],[Plant]]</f>
        <v/>
      </c>
      <c r="W71" s="66">
        <f t="array" ref="W71">_xlfn.TEXTJOIN("|",TRUE,(_xlfn.UNIQUE(_xlfn._xlws.FILTER(scheduleapr[CUSTOMER NAME],scheduleapr[Bucket]=salesforecast[[#This Row],[Bucket]]))))</f>
        <v/>
      </c>
      <c r="X71" s="66">
        <f t="array" ref="X71">_xlfn.TEXTJOIN("|",TRUE,(_xlfn.UNIQUE(_xlfn._xlws.SORT(_xlfn._xlws.FILTER(scheduleapr[LENGTH],scheduleapr[Bucket]=salesforecast[[#This Row],[Bucket]])))))</f>
        <v/>
      </c>
      <c r="Y71" s="66">
        <f t="array" ref="Y71">_xlfn.TEXTJOIN("|",TRUE,_xlfn._xlws.FILTER(buckets[Material Codes],(buckets[Bucket]=salesforecast[[#This Row],[Bucket2]])*(buckets[LL or CTL]="CTL")))</f>
        <v/>
      </c>
      <c r="Z71">
        <f>salesforecast[[#This Row],[Bucket]]</f>
        <v/>
      </c>
      <c r="AA71" s="43">
        <f>salesforecast[[#This Row],[July Schedule]]</f>
        <v/>
      </c>
      <c r="AB71" s="43">
        <f>SUMIF(salesTVS[buckets.Bucket],salesforecast[[#This Row],[Bucket]],salesTVS[Quantity])/1000</f>
        <v/>
      </c>
      <c r="AC71" s="43">
        <f>SUMIFS(stock[MT],stock[Bucket],salesforecast[[#This Row],[Bucket]],stock[LL or CTL],"CTL")</f>
        <v/>
      </c>
      <c r="AD71" s="43">
        <f>SUMIF(stock[Bucket],salesforecast[[#This Row],[Bucket]],stock[MT])-salesforecast[[#This Row],[Stock CTL]]</f>
        <v/>
      </c>
      <c r="AE71" s="43" t="e">
        <v>#REF!</v>
      </c>
      <c r="AF71" s="43">
        <f>SUMIF(wip[Bucket],salesforecast[[#This Row],[Bucket]],wip[Stock(Net Wt)])/1000</f>
        <v/>
      </c>
      <c r="AG71" s="43" t="e">
        <v>#REF!</v>
      </c>
      <c r="AH71" s="43">
        <f>SUMIFS(stock[MT],stock[Bucket],salesforecast[[#This Row],[Bucket2]],stock[Plant],"0788")</f>
        <v/>
      </c>
      <c r="AI71" s="43">
        <f>((salesforecast[[#This Row],[WIP]]+salesforecast[[#This Row],[Stock LL]]))/salesforecast[[#This Row],[July Schedule]]*30</f>
        <v/>
      </c>
      <c r="AJ71" s="585">
        <f>salesforecast[[#This Row],[Stock LL]]/salesforecast[[#This Row],[Schedule]]*30</f>
        <v/>
      </c>
      <c r="AK71" s="43">
        <f>SUMIFS(stock[MT],stock[Bucket],salesforecast[[#This Row],[Bucket2]],stock[Plant],"0789",stock[LL or CTL],"LL")</f>
        <v/>
      </c>
      <c r="AL71" s="193">
        <f>(salesforecast[[#This Row],[Sales]])/salesforecast[[#This Row],[Schedule]]</f>
        <v/>
      </c>
      <c r="AM71" s="43">
        <f>SUMIFS(stock[MT],stock[Plant],salesforecast[[#This Row],[Plant]],stock[LL or CTL],"LL",stock[Bucket],salesforecast[[#This Row],[Bucket]])</f>
        <v/>
      </c>
      <c r="AN71" s="43">
        <f>SUMIFS(scheduleapr[SCHEDULE IN MT],scheduleapr[CUSTOMER NAME],"*Rajsriya*",scheduleapr[Bucket],salesforecast[[#This Row],[Bucket]])</f>
        <v/>
      </c>
      <c r="AO71" s="43">
        <f>SUMIFS(salesTVS[Quantity],salesTVS[CUSTOMER  NAME],"*RAJSRIYA*",salesTVS[buckets.Bucket],salesforecast[[#This Row],[Bucket]])/1000</f>
        <v/>
      </c>
      <c r="AP71" s="43">
        <f>SUMIFS(stock[MT],stock[Plant],4318,stock[Bucket],salesforecast[[#This Row],[Bucket2]])</f>
        <v/>
      </c>
      <c r="AQ71" s="43">
        <f>SUMIFS(stock[MT],stock[Plant],4731,stock[Bucket],salesforecast[[#This Row],[Bucket2]],stock[LL or CTL],"CTL")</f>
        <v/>
      </c>
      <c r="AR71" s="43">
        <f>SUMIFS(stock[MT],stock[Plant],4731,stock[Bucket],salesforecast[[#This Row],[Bucket2]])-salesforecast[[#This Row],[4731 Stock CTL]]</f>
        <v/>
      </c>
      <c r="AS71" s="43">
        <f>SUMIFS(stock[MT],stock[Plant],8406,stock[Bucket],salesforecast[[#This Row],[Bucket2]])</f>
        <v/>
      </c>
    </row>
    <row r="72" ht="30" customHeight="1" s="584">
      <c r="A72" t="n">
        <v>31.75</v>
      </c>
      <c r="B72" t="n">
        <v>31.75</v>
      </c>
      <c r="C72" t="n">
        <v>25</v>
      </c>
      <c r="D72" t="n">
        <v>3.37</v>
      </c>
      <c r="E72" t="inlineStr">
        <is>
          <t>CEW</t>
        </is>
      </c>
      <c r="F72" t="inlineStr">
        <is>
          <t>CEW</t>
        </is>
      </c>
      <c r="G72" t="inlineStr">
        <is>
          <t>HR</t>
        </is>
      </c>
      <c r="H72">
        <f>_xlfn.CONCAT(salesforecast[[#This Row],[OD]],"-",salesforecast[[#This Row],[ID]],"-",salesforecast[[#This Row],[TICKNESS]],"-",salesforecast[[#This Row],[GRADE]],"-",salesforecast[[#This Row],[FC/NFC]])</f>
        <v/>
      </c>
      <c r="I72" s="43">
        <f>SUMIFS(scheduleapr[SCHEDULE IN MT],scheduleapr[Bucket],salesforecast[[#This Row],[Bucket]])</f>
        <v/>
      </c>
      <c r="J72" t="n">
        <v>2410960</v>
      </c>
      <c r="K72">
        <f>COUNTIF('helper sheet'!$A$1:$A$33,salesforecast[[#This Row],[LL Material Code]])</f>
        <v/>
      </c>
      <c r="N72" t="inlineStr">
        <is>
          <t>TUB-O-C-AUT-AD-FC-31.75X3.375X04-05</t>
        </is>
      </c>
      <c r="P72" s="47" t="inlineStr">
        <is>
          <t>0788</t>
        </is>
      </c>
      <c r="Q72" t="n">
        <v>0</v>
      </c>
      <c r="R72" t="n">
        <v>12</v>
      </c>
      <c r="S72" t="n">
        <v>5</v>
      </c>
      <c r="T72" s="585">
        <f>ROUNDUP(MAX(salesforecast[[#This Row],[FY25 Average]],salesforecast[[#This Row],[July Schedule]]),0)</f>
        <v/>
      </c>
      <c r="U72" s="585">
        <f>salesforecast[[#This Row],[Forecast]]-salesforecast[[#This Row],[July Schedule]]</f>
        <v/>
      </c>
      <c r="V72">
        <f>salesforecast[[#This Row],[Plant]]</f>
        <v/>
      </c>
      <c r="W72" s="66">
        <f t="array" ref="W72">_xlfn.TEXTJOIN("|",TRUE,(_xlfn.UNIQUE(_xlfn._xlws.FILTER(scheduleapr[CUSTOMER NAME],scheduleapr[Bucket]=salesforecast[[#This Row],[Bucket]]))))</f>
        <v/>
      </c>
      <c r="X72" s="66">
        <f t="array" ref="X72">_xlfn.TEXTJOIN("|",TRUE,(_xlfn.UNIQUE(_xlfn._xlws.SORT(_xlfn._xlws.FILTER(scheduleapr[LENGTH],scheduleapr[Bucket]=salesforecast[[#This Row],[Bucket]])))))</f>
        <v/>
      </c>
      <c r="Y72" s="66">
        <f t="array" ref="Y72">_xlfn.TEXTJOIN("|",TRUE,_xlfn._xlws.FILTER(buckets[Material Codes],(buckets[Bucket]=salesforecast[[#This Row],[Bucket2]])))</f>
        <v/>
      </c>
      <c r="Z72">
        <f>salesforecast[[#This Row],[Bucket]]</f>
        <v/>
      </c>
      <c r="AA72" s="43">
        <f>salesforecast[[#This Row],[July Schedule]]</f>
        <v/>
      </c>
      <c r="AB72" s="43">
        <f>SUMIF(salesTVS[buckets.Bucket],salesforecast[[#This Row],[Bucket]],salesTVS[Quantity])/1000</f>
        <v/>
      </c>
      <c r="AC72" s="43">
        <f>SUMIFS(stock[MT],stock[Bucket],salesforecast[[#This Row],[Bucket]],stock[LL or CTL],"CTL")</f>
        <v/>
      </c>
      <c r="AD72" s="43">
        <f>SUMIF(stock[Bucket],salesforecast[[#This Row],[Bucket]],stock[MT])-salesforecast[[#This Row],[Stock CTL]]</f>
        <v/>
      </c>
      <c r="AE72" s="43" t="e">
        <v>#REF!</v>
      </c>
      <c r="AF72" s="43">
        <f>SUMIF(wip[Bucket],salesforecast[[#This Row],[Bucket]],wip[Stock(Net Wt)])/1000</f>
        <v/>
      </c>
      <c r="AG72" s="43" t="e">
        <v>#REF!</v>
      </c>
      <c r="AH72" s="43">
        <f>SUMIFS(stock[MT],stock[Bucket],salesforecast[[#This Row],[Bucket2]],stock[Plant],"0788")</f>
        <v/>
      </c>
      <c r="AI72" s="43">
        <f>((salesforecast[[#This Row],[WIP]]+salesforecast[[#This Row],[Stock LL]]))/salesforecast[[#This Row],[July Schedule]]*30</f>
        <v/>
      </c>
      <c r="AJ72" s="585">
        <f>salesforecast[[#This Row],[Stock LL]]/salesforecast[[#This Row],[Schedule]]*30</f>
        <v/>
      </c>
      <c r="AK72" s="43">
        <f>SUMIFS(stock[MT],stock[Bucket],salesforecast[[#This Row],[Bucket2]],stock[Plant],"0789",stock[LL or CTL],"LL")</f>
        <v/>
      </c>
      <c r="AL72" s="193">
        <f>(salesforecast[[#This Row],[Sales]])/salesforecast[[#This Row],[Schedule]]</f>
        <v/>
      </c>
      <c r="AM72" s="43">
        <f>SUMIFS(stock[MT],stock[Plant],salesforecast[[#This Row],[Plant]],stock[LL or CTL],"LL",stock[Bucket],salesforecast[[#This Row],[Bucket]])</f>
        <v/>
      </c>
      <c r="AN72" s="43">
        <f>SUMIFS(scheduleapr[SCHEDULE IN MT],scheduleapr[CUSTOMER NAME],"*Rajsriya*",scheduleapr[Bucket],salesforecast[[#This Row],[Bucket]])</f>
        <v/>
      </c>
      <c r="AO72" s="43">
        <f>SUMIFS(salesTVS[Quantity],salesTVS[CUSTOMER  NAME],"*RAJSRIYA*",salesTVS[buckets.Bucket],salesforecast[[#This Row],[Bucket]])/1000</f>
        <v/>
      </c>
      <c r="AP72" s="43">
        <f>SUMIFS(stock[MT],stock[Plant],4318,stock[Bucket],salesforecast[[#This Row],[Bucket2]])</f>
        <v/>
      </c>
      <c r="AQ72" s="43">
        <f>SUMIFS(stock[MT],stock[Plant],4731,stock[Bucket],salesforecast[[#This Row],[Bucket2]],stock[LL or CTL],"CTL")</f>
        <v/>
      </c>
      <c r="AR72" s="43">
        <f>SUMIFS(stock[MT],stock[Plant],4731,stock[Bucket],salesforecast[[#This Row],[Bucket2]])-salesforecast[[#This Row],[4731 Stock CTL]]</f>
        <v/>
      </c>
      <c r="AS72" s="43">
        <f>SUMIFS(stock[MT],stock[Plant],8406,stock[Bucket],salesforecast[[#This Row],[Bucket2]])</f>
        <v/>
      </c>
    </row>
    <row r="73" ht="30" customHeight="1" s="584">
      <c r="A73" t="n">
        <v>32</v>
      </c>
      <c r="B73" t="n">
        <v>32</v>
      </c>
      <c r="C73" t="n">
        <v>0</v>
      </c>
      <c r="D73" t="n">
        <v>4.5</v>
      </c>
      <c r="E73" t="inlineStr">
        <is>
          <t>CEW</t>
        </is>
      </c>
      <c r="F73" t="inlineStr">
        <is>
          <t>CEW</t>
        </is>
      </c>
      <c r="G73" t="inlineStr">
        <is>
          <t>HR</t>
        </is>
      </c>
      <c r="H73">
        <f>_xlfn.CONCAT(salesforecast[[#This Row],[OD]],"-",salesforecast[[#This Row],[ID]],"-",salesforecast[[#This Row],[TICKNESS]],"-",salesforecast[[#This Row],[GRADE]],"-",salesforecast[[#This Row],[FC/NFC]])</f>
        <v/>
      </c>
      <c r="I73" s="43">
        <f>SUMIFS(scheduleapr[SCHEDULE IN MT],scheduleapr[Bucket],salesforecast[[#This Row],[Bucket]])</f>
        <v/>
      </c>
      <c r="J73" t="n">
        <v>2288959</v>
      </c>
      <c r="K73">
        <f>COUNTIF('helper sheet'!$A$1:$A$33,salesforecast[[#This Row],[LL Material Code]])</f>
        <v/>
      </c>
      <c r="L73" t="inlineStr">
        <is>
          <t>close</t>
        </is>
      </c>
      <c r="N73" t="inlineStr">
        <is>
          <t>TUB-O-C-AUT-AD-FC-32.00X4.500X4.0000</t>
        </is>
      </c>
      <c r="P73" s="47" t="inlineStr">
        <is>
          <t>0788</t>
        </is>
      </c>
      <c r="Q73" t="n">
        <v>0</v>
      </c>
      <c r="R73" t="n">
        <v>4</v>
      </c>
      <c r="S73" t="n">
        <v>0</v>
      </c>
      <c r="T73" s="585">
        <f>ROUNDUP(MAX(salesforecast[[#This Row],[FY25 Average]],salesforecast[[#This Row],[July Schedule]]),0)</f>
        <v/>
      </c>
      <c r="U73" s="585">
        <f>salesforecast[[#This Row],[Forecast]]-salesforecast[[#This Row],[July Schedule]]</f>
        <v/>
      </c>
      <c r="V73">
        <f>salesforecast[[#This Row],[Plant]]</f>
        <v/>
      </c>
      <c r="W73" s="66">
        <f t="array" ref="W73">_xlfn.TEXTJOIN("|",TRUE,(_xlfn.UNIQUE(_xlfn._xlws.FILTER(scheduleapr[CUSTOMER NAME],scheduleapr[Bucket]=salesforecast[[#This Row],[Bucket]]))))</f>
        <v/>
      </c>
      <c r="X73" s="66">
        <f t="array" ref="X73">_xlfn.TEXTJOIN("|",TRUE,(_xlfn.UNIQUE(_xlfn._xlws.SORT(_xlfn._xlws.FILTER(scheduleapr[LENGTH],scheduleapr[Bucket]=salesforecast[[#This Row],[Bucket]])))))</f>
        <v/>
      </c>
      <c r="Y73" s="66">
        <f t="array" ref="Y73">_xlfn.TEXTJOIN("|",TRUE,_xlfn._xlws.FILTER(buckets[Material Codes],(buckets[Bucket]=salesforecast[[#This Row],[Bucket2]])))</f>
        <v/>
      </c>
      <c r="Z73">
        <f>salesforecast[[#This Row],[Bucket]]</f>
        <v/>
      </c>
      <c r="AA73" s="43">
        <f>salesforecast[[#This Row],[July Schedule]]</f>
        <v/>
      </c>
      <c r="AB73" s="43">
        <f>SUMIF(salesTVS[buckets.Bucket],salesforecast[[#This Row],[Bucket]],salesTVS[Quantity])/1000</f>
        <v/>
      </c>
      <c r="AC73" s="43">
        <f>SUMIFS(stock[MT],stock[Bucket],salesforecast[[#This Row],[Bucket]],stock[LL or CTL],"CTL")</f>
        <v/>
      </c>
      <c r="AD73" s="43">
        <f>SUMIF(stock[Bucket],salesforecast[[#This Row],[Bucket]],stock[MT])-salesforecast[[#This Row],[Stock CTL]]</f>
        <v/>
      </c>
      <c r="AE73" s="43" t="e">
        <v>#REF!</v>
      </c>
      <c r="AF73" s="43">
        <f>SUMIF(wip[Bucket],salesforecast[[#This Row],[Bucket]],wip[Stock(Net Wt)])/1000</f>
        <v/>
      </c>
      <c r="AG73" s="43" t="e">
        <v>#REF!</v>
      </c>
      <c r="AH73" s="43">
        <f>SUMIFS(stock[MT],stock[Bucket],salesforecast[[#This Row],[Bucket2]],stock[Plant],"0788")</f>
        <v/>
      </c>
      <c r="AI73" s="43">
        <f>((salesforecast[[#This Row],[WIP]]+salesforecast[[#This Row],[Stock LL]]))/salesforecast[[#This Row],[July Schedule]]*30</f>
        <v/>
      </c>
      <c r="AJ73">
        <f>salesforecast[[#This Row],[Stock LL]]/salesforecast[[#This Row],[Schedule]]*30</f>
        <v/>
      </c>
      <c r="AK73" s="43">
        <f>SUMIFS(stock[MT],stock[Bucket],salesforecast[[#This Row],[Bucket2]],stock[Plant],"0789",stock[LL or CTL],"LL")</f>
        <v/>
      </c>
      <c r="AL73" s="193">
        <f>(salesforecast[[#This Row],[Sales]])/salesforecast[[#This Row],[Schedule]]</f>
        <v/>
      </c>
      <c r="AM73" s="43">
        <f>SUMIFS(stock[MT],stock[Plant],salesforecast[[#This Row],[Plant]],stock[LL or CTL],"LL",stock[Bucket],salesforecast[[#This Row],[Bucket]])</f>
        <v/>
      </c>
      <c r="AN73" s="43">
        <f>SUMIFS(scheduleapr[SCHEDULE IN MT],scheduleapr[CUSTOMER NAME],"*Rajsriya*",scheduleapr[Bucket],salesforecast[[#This Row],[Bucket]])</f>
        <v/>
      </c>
      <c r="AO73" s="43">
        <f>SUMIFS(salesTVS[Quantity],salesTVS[CUSTOMER  NAME],"*RAJSRIYA*",salesTVS[buckets.Bucket],salesforecast[[#This Row],[Bucket]])/1000</f>
        <v/>
      </c>
      <c r="AP73" s="43">
        <f>SUMIFS(stock[MT],stock[Plant],4318,stock[Bucket],salesforecast[[#This Row],[Bucket2]])</f>
        <v/>
      </c>
      <c r="AQ73" s="43">
        <f>SUMIFS(stock[MT],stock[Plant],4731,stock[Bucket],salesforecast[[#This Row],[Bucket2]],stock[LL or CTL],"CTL")</f>
        <v/>
      </c>
      <c r="AR73" s="43">
        <f>SUMIFS(stock[MT],stock[Plant],4731,stock[Bucket],salesforecast[[#This Row],[Bucket2]])-salesforecast[[#This Row],[4731 Stock CTL]]</f>
        <v/>
      </c>
      <c r="AS73" s="43">
        <f>SUMIFS(stock[MT],stock[Plant],8406,stock[Bucket],salesforecast[[#This Row],[Bucket2]])</f>
        <v/>
      </c>
    </row>
    <row r="74">
      <c r="A74" t="n">
        <v>33.3</v>
      </c>
      <c r="B74" t="n">
        <v>33.3</v>
      </c>
      <c r="C74" t="n">
        <v>29.3</v>
      </c>
      <c r="D74" t="n">
        <v>2</v>
      </c>
      <c r="E74" t="inlineStr">
        <is>
          <t>CEW</t>
        </is>
      </c>
      <c r="F74" t="inlineStr">
        <is>
          <t>CEW</t>
        </is>
      </c>
      <c r="G74" t="inlineStr">
        <is>
          <t>HR</t>
        </is>
      </c>
      <c r="H74">
        <f>_xlfn.CONCAT(salesforecast[[#This Row],[OD]],"-",salesforecast[[#This Row],[ID]],"-",salesforecast[[#This Row],[TICKNESS]],"-",salesforecast[[#This Row],[GRADE]],"-",salesforecast[[#This Row],[FC/NFC]])</f>
        <v/>
      </c>
      <c r="I74" s="43">
        <f>SUMIFS(scheduleapr[SCHEDULE IN MT],scheduleapr[Bucket],salesforecast[[#This Row],[Bucket]])</f>
        <v/>
      </c>
      <c r="J74" t="n">
        <v>2412748</v>
      </c>
      <c r="K74">
        <f>COUNTIF('helper sheet'!$A$1:$A$33,salesforecast[[#This Row],[LL Material Code]])</f>
        <v/>
      </c>
      <c r="N74" t="inlineStr">
        <is>
          <t>TUB-O-C-AUT-AD-FC-33.30X2.000X4.3000</t>
        </is>
      </c>
      <c r="P74" s="47" t="inlineStr">
        <is>
          <t>0788</t>
        </is>
      </c>
      <c r="Q74" t="n">
        <v>0</v>
      </c>
      <c r="R74" t="n">
        <v>5</v>
      </c>
      <c r="S74" t="n">
        <v>1</v>
      </c>
      <c r="T74" s="585">
        <f>ROUNDUP(MAX(salesforecast[[#This Row],[FY25 Average]],salesforecast[[#This Row],[July Schedule]]),0)</f>
        <v/>
      </c>
      <c r="U74" s="585">
        <f>salesforecast[[#This Row],[Forecast]]-salesforecast[[#This Row],[July Schedule]]</f>
        <v/>
      </c>
      <c r="V74">
        <f>salesforecast[[#This Row],[Plant]]</f>
        <v/>
      </c>
      <c r="W74" s="66">
        <f t="array" ref="W74">_xlfn.TEXTJOIN("|",TRUE,(_xlfn.UNIQUE(_xlfn._xlws.FILTER(scheduleapr[CUSTOMER NAME],scheduleapr[Bucket]=salesforecast[[#This Row],[Bucket]]))))</f>
        <v/>
      </c>
      <c r="X74" s="66">
        <f t="array" ref="X74">_xlfn.TEXTJOIN("|",TRUE,(_xlfn.UNIQUE(_xlfn._xlws.SORT(_xlfn._xlws.FILTER(scheduleapr[LENGTH],scheduleapr[Bucket]=salesforecast[[#This Row],[Bucket]])))))</f>
        <v/>
      </c>
      <c r="Y74" s="66">
        <f t="array" ref="Y74">_xlfn.TEXTJOIN("|",TRUE,_xlfn._xlws.FILTER(buckets[Material Codes],(buckets[Bucket]=salesforecast[[#This Row],[Bucket2]])))</f>
        <v/>
      </c>
      <c r="Z74">
        <f>salesforecast[[#This Row],[Bucket]]</f>
        <v/>
      </c>
      <c r="AA74" s="43">
        <f>salesforecast[[#This Row],[July Schedule]]</f>
        <v/>
      </c>
      <c r="AB74" s="43">
        <f>SUMIF(salesTVS[buckets.Bucket],salesforecast[[#This Row],[Bucket]],salesTVS[Quantity])/1000</f>
        <v/>
      </c>
      <c r="AC74" s="43">
        <f>SUMIFS(stock[MT],stock[Bucket],salesforecast[[#This Row],[Bucket]],stock[LL or CTL],"CTL")</f>
        <v/>
      </c>
      <c r="AD74" s="43">
        <f>SUMIF(stock[Bucket],salesforecast[[#This Row],[Bucket]],stock[MT])-salesforecast[[#This Row],[Stock CTL]]</f>
        <v/>
      </c>
      <c r="AE74" s="43" t="e">
        <v>#REF!</v>
      </c>
      <c r="AF74" s="43">
        <f>SUMIF(wip[Bucket],salesforecast[[#This Row],[Bucket]],wip[Stock(Net Wt)])/1000</f>
        <v/>
      </c>
      <c r="AG74" s="43" t="e">
        <v>#REF!</v>
      </c>
      <c r="AH74" s="43">
        <f>SUMIFS(stock[MT],stock[Bucket],salesforecast[[#This Row],[Bucket2]],stock[Plant],"0788")</f>
        <v/>
      </c>
      <c r="AI74" s="43">
        <f>((salesforecast[[#This Row],[WIP]]+salesforecast[[#This Row],[Stock LL]]))/salesforecast[[#This Row],[July Schedule]]*30</f>
        <v/>
      </c>
      <c r="AJ74" s="585">
        <f>salesforecast[[#This Row],[Stock LL]]/salesforecast[[#This Row],[Schedule]]*30</f>
        <v/>
      </c>
      <c r="AK74" s="43">
        <f>SUMIFS(stock[MT],stock[Bucket],salesforecast[[#This Row],[Bucket2]],stock[Plant],"0789",stock[LL or CTL],"LL")</f>
        <v/>
      </c>
      <c r="AL74" s="193">
        <f>(salesforecast[[#This Row],[Sales]])/salesforecast[[#This Row],[Schedule]]</f>
        <v/>
      </c>
      <c r="AM74" s="43">
        <f>SUMIFS(stock[MT],stock[Plant],salesforecast[[#This Row],[Plant]],stock[LL or CTL],"LL",stock[Bucket],salesforecast[[#This Row],[Bucket]])</f>
        <v/>
      </c>
      <c r="AN74" s="43">
        <f>SUMIFS(scheduleapr[SCHEDULE IN MT],scheduleapr[CUSTOMER NAME],"*Rajsriya*",scheduleapr[Bucket],salesforecast[[#This Row],[Bucket]])</f>
        <v/>
      </c>
      <c r="AO74" s="43">
        <f>SUMIFS(salesTVS[Quantity],salesTVS[CUSTOMER  NAME],"*RAJSRIYA*",salesTVS[buckets.Bucket],salesforecast[[#This Row],[Bucket]])/1000</f>
        <v/>
      </c>
      <c r="AP74" s="43">
        <f>SUMIFS(stock[MT],stock[Plant],4318,stock[Bucket],salesforecast[[#This Row],[Bucket2]])</f>
        <v/>
      </c>
      <c r="AQ74" s="43">
        <f>SUMIFS(stock[MT],stock[Plant],4731,stock[Bucket],salesforecast[[#This Row],[Bucket2]],stock[LL or CTL],"CTL")</f>
        <v/>
      </c>
      <c r="AR74" s="43">
        <f>SUMIFS(stock[MT],stock[Plant],4731,stock[Bucket],salesforecast[[#This Row],[Bucket2]])-salesforecast[[#This Row],[4731 Stock CTL]]</f>
        <v/>
      </c>
      <c r="AS74" s="43">
        <f>SUMIFS(stock[MT],stock[Plant],8406,stock[Bucket],salesforecast[[#This Row],[Bucket2]])</f>
        <v/>
      </c>
    </row>
    <row r="75" ht="30" customHeight="1" s="584">
      <c r="A75" t="n">
        <v>34.93</v>
      </c>
      <c r="B75" t="n">
        <v>34.93</v>
      </c>
      <c r="C75" t="n">
        <v>0</v>
      </c>
      <c r="D75" t="n">
        <v>1.2</v>
      </c>
      <c r="E75" t="inlineStr">
        <is>
          <t>ERW 1</t>
        </is>
      </c>
      <c r="F75" t="inlineStr">
        <is>
          <t>FC</t>
        </is>
      </c>
      <c r="G75" t="inlineStr">
        <is>
          <t>CR</t>
        </is>
      </c>
      <c r="H75">
        <f>_xlfn.CONCAT(salesforecast[[#This Row],[OD]],"-",salesforecast[[#This Row],[ID]],"-",salesforecast[[#This Row],[TICKNESS]],"-",salesforecast[[#This Row],[GRADE]],"-",salesforecast[[#This Row],[FC/NFC]])</f>
        <v/>
      </c>
      <c r="I75" s="43">
        <f>SUMIFS(scheduleapr[SCHEDULE IN MT],scheduleapr[Bucket],salesforecast[[#This Row],[Bucket]])</f>
        <v/>
      </c>
      <c r="J75" t="n">
        <v>1940701</v>
      </c>
      <c r="K75">
        <f>COUNTIF('helper sheet'!$A$1:$A$33,salesforecast[[#This Row],[LL Material Code]])</f>
        <v/>
      </c>
      <c r="N75" t="inlineStr">
        <is>
          <t>TUB-O-O-AUT-AW-FC-34.93X1.200X6.0000</t>
        </is>
      </c>
      <c r="P75" s="47" t="inlineStr">
        <is>
          <t>0789</t>
        </is>
      </c>
      <c r="Q75" t="n">
        <v>0</v>
      </c>
      <c r="R75" t="n">
        <v>5</v>
      </c>
      <c r="S75" t="n">
        <v>1</v>
      </c>
      <c r="T75" s="585">
        <f>ROUNDUP(MAX(salesforecast[[#This Row],[FY25 Average]],salesforecast[[#This Row],[July Schedule]]),0)</f>
        <v/>
      </c>
      <c r="U75" s="585">
        <f>salesforecast[[#This Row],[Forecast]]-salesforecast[[#This Row],[July Schedule]]</f>
        <v/>
      </c>
      <c r="V75">
        <f>salesforecast[[#This Row],[Plant]]</f>
        <v/>
      </c>
      <c r="W75" s="66">
        <f t="array" ref="W75">_xlfn.TEXTJOIN("|",TRUE,(_xlfn.UNIQUE(_xlfn._xlws.FILTER(scheduleapr[CUSTOMER NAME],scheduleapr[Bucket]=salesforecast[[#This Row],[Bucket]]))))</f>
        <v/>
      </c>
      <c r="X75" s="66">
        <f t="array" ref="X75">_xlfn.TEXTJOIN("|",TRUE,(_xlfn.UNIQUE(_xlfn._xlws.SORT(_xlfn._xlws.FILTER(scheduleapr[LENGTH],scheduleapr[Bucket]=salesforecast[[#This Row],[Bucket]])))))</f>
        <v/>
      </c>
      <c r="Y75" s="66">
        <f t="array" ref="Y75">_xlfn.TEXTJOIN("|",TRUE,_xlfn._xlws.FILTER(buckets[Material Codes],(buckets[Bucket]=salesforecast[[#This Row],[Bucket2]])*(buckets[LL or CTL]="CTL")))</f>
        <v/>
      </c>
      <c r="Z75">
        <f>salesforecast[[#This Row],[Bucket]]</f>
        <v/>
      </c>
      <c r="AA75" s="43">
        <f>salesforecast[[#This Row],[July Schedule]]</f>
        <v/>
      </c>
      <c r="AB75" s="43">
        <f>SUMIF(salesTVS[buckets.Bucket],salesforecast[[#This Row],[Bucket]],salesTVS[Quantity])/1000</f>
        <v/>
      </c>
      <c r="AC75" s="43">
        <f>SUMIFS(stock[MT],stock[Bucket],salesforecast[[#This Row],[Bucket]],stock[LL or CTL],"CTL")</f>
        <v/>
      </c>
      <c r="AD75" s="43">
        <f>SUMIF(stock[Bucket],salesforecast[[#This Row],[Bucket]],stock[MT])-salesforecast[[#This Row],[Stock CTL]]</f>
        <v/>
      </c>
      <c r="AE75" s="43" t="e">
        <v>#REF!</v>
      </c>
      <c r="AF75" s="43">
        <f>SUMIF(wip[Bucket],salesforecast[[#This Row],[Bucket]],wip[Stock(Net Wt)])/1000</f>
        <v/>
      </c>
      <c r="AG75" s="43" t="e">
        <v>#REF!</v>
      </c>
      <c r="AH75" s="43">
        <f>SUMIFS(stock[MT],stock[Bucket],salesforecast[[#This Row],[Bucket2]],stock[Plant],"0788")</f>
        <v/>
      </c>
      <c r="AI75" s="43">
        <f>((salesforecast[[#This Row],[WIP]]+salesforecast[[#This Row],[Stock LL]]))/salesforecast[[#This Row],[July Schedule]]*30</f>
        <v/>
      </c>
      <c r="AJ75">
        <f>salesforecast[[#This Row],[Stock LL]]/salesforecast[[#This Row],[Schedule]]*30</f>
        <v/>
      </c>
      <c r="AK75" s="43">
        <f>SUMIFS(stock[MT],stock[Bucket],salesforecast[[#This Row],[Bucket2]],stock[Plant],"0789",stock[LL or CTL],"LL")</f>
        <v/>
      </c>
      <c r="AL75" s="193">
        <f>(salesforecast[[#This Row],[Sales]])/salesforecast[[#This Row],[Schedule]]</f>
        <v/>
      </c>
      <c r="AM75" s="43">
        <f>SUMIFS(stock[MT],stock[Plant],salesforecast[[#This Row],[Plant]],stock[LL or CTL],"LL",stock[Bucket],salesforecast[[#This Row],[Bucket]])</f>
        <v/>
      </c>
      <c r="AN75" s="43">
        <f>SUMIFS(scheduleapr[SCHEDULE IN MT],scheduleapr[CUSTOMER NAME],"*Rajsriya*",scheduleapr[Bucket],salesforecast[[#This Row],[Bucket]])</f>
        <v/>
      </c>
      <c r="AO75" s="43">
        <f>SUMIFS(salesTVS[Quantity],salesTVS[CUSTOMER  NAME],"*RAJSRIYA*",salesTVS[buckets.Bucket],salesforecast[[#This Row],[Bucket]])/1000</f>
        <v/>
      </c>
      <c r="AP75" s="43">
        <f>SUMIFS(stock[MT],stock[Plant],4318,stock[Bucket],salesforecast[[#This Row],[Bucket2]])</f>
        <v/>
      </c>
      <c r="AQ75" s="43">
        <f>SUMIFS(stock[MT],stock[Plant],4731,stock[Bucket],salesforecast[[#This Row],[Bucket2]],stock[LL or CTL],"CTL")</f>
        <v/>
      </c>
      <c r="AR75" s="43">
        <f>SUMIFS(stock[MT],stock[Plant],4731,stock[Bucket],salesforecast[[#This Row],[Bucket2]])-salesforecast[[#This Row],[4731 Stock CTL]]</f>
        <v/>
      </c>
      <c r="AS75" s="43">
        <f>SUMIFS(stock[MT],stock[Plant],8406,stock[Bucket],salesforecast[[#This Row],[Bucket2]])</f>
        <v/>
      </c>
    </row>
    <row r="76" ht="30" customHeight="1" s="584">
      <c r="A76" t="n">
        <v>34.93</v>
      </c>
      <c r="B76" t="n">
        <v>34.93</v>
      </c>
      <c r="C76" t="n">
        <v>0</v>
      </c>
      <c r="D76" t="n">
        <v>1.6</v>
      </c>
      <c r="E76" t="inlineStr">
        <is>
          <t>ERW 1</t>
        </is>
      </c>
      <c r="F76" t="inlineStr">
        <is>
          <t>FC</t>
        </is>
      </c>
      <c r="G76" t="inlineStr">
        <is>
          <t>CR</t>
        </is>
      </c>
      <c r="H76">
        <f>_xlfn.CONCAT(salesforecast[[#This Row],[OD]],"-",salesforecast[[#This Row],[ID]],"-",salesforecast[[#This Row],[TICKNESS]],"-",salesforecast[[#This Row],[GRADE]],"-",salesforecast[[#This Row],[FC/NFC]])</f>
        <v/>
      </c>
      <c r="I76" s="43">
        <f>SUMIFS(scheduleapr[SCHEDULE IN MT],scheduleapr[Bucket],salesforecast[[#This Row],[Bucket]])</f>
        <v/>
      </c>
      <c r="J76" t="n">
        <v>2397065</v>
      </c>
      <c r="K76">
        <f>COUNTIF('helper sheet'!$A$1:$A$33,salesforecast[[#This Row],[LL Material Code]])</f>
        <v/>
      </c>
      <c r="N76" t="inlineStr">
        <is>
          <t>TUB-O-N-AUT-AW-FC-34.93X1.600X0.5900</t>
        </is>
      </c>
      <c r="O76" t="inlineStr">
        <is>
          <t>WG</t>
        </is>
      </c>
      <c r="P76" s="47" t="inlineStr">
        <is>
          <t>0789</t>
        </is>
      </c>
      <c r="Q76" t="n">
        <v>0</v>
      </c>
      <c r="R76" t="n">
        <v>13</v>
      </c>
      <c r="S76" t="n">
        <v>6</v>
      </c>
      <c r="T76" s="585">
        <f>ROUNDUP(MAX(salesforecast[[#This Row],[FY25 Average]],salesforecast[[#This Row],[July Schedule]]),0)</f>
        <v/>
      </c>
      <c r="U76" s="585">
        <f>salesforecast[[#This Row],[Forecast]]-salesforecast[[#This Row],[July Schedule]]</f>
        <v/>
      </c>
      <c r="V76">
        <f>salesforecast[[#This Row],[Plant]]</f>
        <v/>
      </c>
      <c r="W76" s="66">
        <f t="array" ref="W76">_xlfn.TEXTJOIN("|",TRUE,(_xlfn.UNIQUE(_xlfn._xlws.FILTER(scheduleapr[CUSTOMER NAME],scheduleapr[Bucket]=salesforecast[[#This Row],[Bucket]]))))</f>
        <v/>
      </c>
      <c r="X76" s="66">
        <f t="array" ref="X76">_xlfn.TEXTJOIN("|",TRUE,(_xlfn.UNIQUE(_xlfn._xlws.SORT(_xlfn._xlws.FILTER(scheduleapr[LENGTH],scheduleapr[Bucket]=salesforecast[[#This Row],[Bucket]])))))</f>
        <v/>
      </c>
      <c r="Y76" s="66">
        <f t="array" ref="Y76">_xlfn.TEXTJOIN("|",TRUE,_xlfn._xlws.FILTER(buckets[Material Codes],(buckets[Bucket]=salesforecast[[#This Row],[Bucket2]])*(buckets[LL or CTL]="CTL")))</f>
        <v/>
      </c>
      <c r="Z76">
        <f>salesforecast[[#This Row],[Bucket]]</f>
        <v/>
      </c>
      <c r="AA76" s="43">
        <f>salesforecast[[#This Row],[July Schedule]]</f>
        <v/>
      </c>
      <c r="AB76" s="43">
        <f>SUMIF(salesTVS[buckets.Bucket],salesforecast[[#This Row],[Bucket]],salesTVS[Quantity])/1000</f>
        <v/>
      </c>
      <c r="AC76" s="43">
        <f>SUMIFS(stock[MT],stock[Bucket],salesforecast[[#This Row],[Bucket]],stock[LL or CTL],"CTL")</f>
        <v/>
      </c>
      <c r="AD76" s="43">
        <f>SUMIF(stock[Bucket],salesforecast[[#This Row],[Bucket]],stock[MT])-salesforecast[[#This Row],[Stock CTL]]</f>
        <v/>
      </c>
      <c r="AE76" s="43" t="e">
        <v>#REF!</v>
      </c>
      <c r="AF76" s="43">
        <f>SUMIF(wip[Bucket],salesforecast[[#This Row],[Bucket]],wip[Stock(Net Wt)])/1000</f>
        <v/>
      </c>
      <c r="AG76" s="43" t="e">
        <v>#REF!</v>
      </c>
      <c r="AH76" s="43">
        <f>SUMIFS(stock[MT],stock[Bucket],salesforecast[[#This Row],[Bucket2]],stock[Plant],"0788")</f>
        <v/>
      </c>
      <c r="AI76" s="43">
        <f>((salesforecast[[#This Row],[WIP]]+salesforecast[[#This Row],[Stock LL]]))/salesforecast[[#This Row],[July Schedule]]*30</f>
        <v/>
      </c>
      <c r="AJ76" s="585">
        <f>salesforecast[[#This Row],[Stock LL]]/salesforecast[[#This Row],[Schedule]]*30</f>
        <v/>
      </c>
      <c r="AK76" s="43">
        <f>SUMIFS(stock[MT],stock[Bucket],salesforecast[[#This Row],[Bucket2]],stock[Plant],"0789",stock[LL or CTL],"LL")</f>
        <v/>
      </c>
      <c r="AL76" s="193">
        <f>(salesforecast[[#This Row],[Sales]])/salesforecast[[#This Row],[Schedule]]</f>
        <v/>
      </c>
      <c r="AM76" s="43">
        <f>SUMIFS(stock[MT],stock[Plant],salesforecast[[#This Row],[Plant]],stock[LL or CTL],"LL",stock[Bucket],salesforecast[[#This Row],[Bucket]])</f>
        <v/>
      </c>
      <c r="AN76" s="43">
        <f>SUMIFS(scheduleapr[SCHEDULE IN MT],scheduleapr[CUSTOMER NAME],"*Rajsriya*",scheduleapr[Bucket],salesforecast[[#This Row],[Bucket]])</f>
        <v/>
      </c>
      <c r="AO76" s="43">
        <f>SUMIFS(salesTVS[Quantity],salesTVS[CUSTOMER  NAME],"*RAJSRIYA*",salesTVS[buckets.Bucket],salesforecast[[#This Row],[Bucket]])/1000</f>
        <v/>
      </c>
      <c r="AP76" s="43">
        <f>SUMIFS(stock[MT],stock[Plant],4318,stock[Bucket],salesforecast[[#This Row],[Bucket2]])</f>
        <v/>
      </c>
      <c r="AQ76" s="43">
        <f>SUMIFS(stock[MT],stock[Plant],4731,stock[Bucket],salesforecast[[#This Row],[Bucket2]],stock[LL or CTL],"CTL")</f>
        <v/>
      </c>
      <c r="AR76" s="43">
        <f>SUMIFS(stock[MT],stock[Plant],4731,stock[Bucket],salesforecast[[#This Row],[Bucket2]])-salesforecast[[#This Row],[4731 Stock CTL]]</f>
        <v/>
      </c>
      <c r="AS76" s="43">
        <f>SUMIFS(stock[MT],stock[Plant],8406,stock[Bucket],salesforecast[[#This Row],[Bucket2]])</f>
        <v/>
      </c>
    </row>
    <row r="77" ht="30" customHeight="1" s="584">
      <c r="A77" t="n">
        <v>34.93</v>
      </c>
      <c r="B77" t="n">
        <v>34.93</v>
      </c>
      <c r="C77" t="n">
        <v>0</v>
      </c>
      <c r="D77" t="n">
        <v>2.6</v>
      </c>
      <c r="E77" t="inlineStr">
        <is>
          <t>ERW 1</t>
        </is>
      </c>
      <c r="F77" t="inlineStr">
        <is>
          <t>FC</t>
        </is>
      </c>
      <c r="G77" t="inlineStr">
        <is>
          <t>HR</t>
        </is>
      </c>
      <c r="H77">
        <f>_xlfn.CONCAT(salesforecast[[#This Row],[OD]],"-",salesforecast[[#This Row],[ID]],"-",salesforecast[[#This Row],[TICKNESS]],"-",salesforecast[[#This Row],[GRADE]],"-",salesforecast[[#This Row],[FC/NFC]])</f>
        <v/>
      </c>
      <c r="I77" s="43">
        <f>SUMIFS(scheduleapr[SCHEDULE IN MT],scheduleapr[Bucket],salesforecast[[#This Row],[Bucket]])</f>
        <v/>
      </c>
      <c r="J77" t="n">
        <v>1932361</v>
      </c>
      <c r="K77">
        <f>COUNTIF('helper sheet'!$A$1:$A$33,salesforecast[[#This Row],[LL Material Code]])</f>
        <v/>
      </c>
      <c r="L77" t="n">
        <v>1940716</v>
      </c>
      <c r="N77" t="inlineStr">
        <is>
          <t>TUB-O-N-AUT-AN-FC-34.93X2.600X5.4500</t>
        </is>
      </c>
      <c r="P77" s="47" t="inlineStr">
        <is>
          <t>0789</t>
        </is>
      </c>
      <c r="Q77" t="n">
        <v>6</v>
      </c>
      <c r="R77" t="n">
        <v>14</v>
      </c>
      <c r="S77" t="n">
        <v>9</v>
      </c>
      <c r="T77" s="585">
        <f>ROUNDUP(MAX(salesforecast[[#This Row],[FY25 Average]],salesforecast[[#This Row],[July Schedule]]),0)</f>
        <v/>
      </c>
      <c r="U77" s="585">
        <f>salesforecast[[#This Row],[Forecast]]-salesforecast[[#This Row],[July Schedule]]</f>
        <v/>
      </c>
      <c r="V77">
        <f>salesforecast[[#This Row],[Plant]]</f>
        <v/>
      </c>
      <c r="W77" s="66">
        <f t="array" ref="W77">_xlfn.TEXTJOIN("|",TRUE,(_xlfn.UNIQUE(_xlfn._xlws.FILTER(scheduleapr[CUSTOMER NAME],scheduleapr[Bucket]=salesforecast[[#This Row],[Bucket]]))))</f>
        <v/>
      </c>
      <c r="X77" s="66">
        <f t="array" ref="X77">_xlfn.TEXTJOIN("|",TRUE,(_xlfn.UNIQUE(_xlfn._xlws.SORT(_xlfn._xlws.FILTER(scheduleapr[LENGTH],scheduleapr[Bucket]=salesforecast[[#This Row],[Bucket]])))))</f>
        <v/>
      </c>
      <c r="Y77" s="66">
        <f t="array" ref="Y77">_xlfn.TEXTJOIN("|",TRUE,_xlfn._xlws.FILTER(buckets[Material Codes],(buckets[Bucket]=salesforecast[[#This Row],[Bucket2]])*(buckets[LL or CTL]="CTL")))</f>
        <v/>
      </c>
      <c r="Z77">
        <f>salesforecast[[#This Row],[Bucket]]</f>
        <v/>
      </c>
      <c r="AA77" s="43">
        <f>salesforecast[[#This Row],[July Schedule]]</f>
        <v/>
      </c>
      <c r="AB77" s="43">
        <f>SUMIF(salesTVS[buckets.Bucket],salesforecast[[#This Row],[Bucket]],salesTVS[Quantity])/1000</f>
        <v/>
      </c>
      <c r="AC77" s="43">
        <f>SUMIFS(stock[MT],stock[Bucket],salesforecast[[#This Row],[Bucket]],stock[LL or CTL],"CTL")</f>
        <v/>
      </c>
      <c r="AD77" s="43">
        <f>SUMIF(stock[Bucket],salesforecast[[#This Row],[Bucket]],stock[MT])-salesforecast[[#This Row],[Stock CTL]]</f>
        <v/>
      </c>
      <c r="AE77" s="43" t="e">
        <v>#REF!</v>
      </c>
      <c r="AF77" s="43">
        <f>SUMIF(wip[Bucket],salesforecast[[#This Row],[Bucket]],wip[Stock(Net Wt)])/1000</f>
        <v/>
      </c>
      <c r="AG77" s="43" t="e">
        <v>#REF!</v>
      </c>
      <c r="AH77" s="43">
        <f>SUMIFS(stock[MT],stock[Bucket],salesforecast[[#This Row],[Bucket2]],stock[Plant],"0788")</f>
        <v/>
      </c>
      <c r="AI77" s="43">
        <f>((salesforecast[[#This Row],[WIP]]+salesforecast[[#This Row],[Stock LL]]))/salesforecast[[#This Row],[July Schedule]]*30</f>
        <v/>
      </c>
      <c r="AJ77" s="585">
        <f>salesforecast[[#This Row],[Stock LL]]/salesforecast[[#This Row],[Schedule]]*30</f>
        <v/>
      </c>
      <c r="AK77" s="43">
        <f>SUMIFS(stock[MT],stock[Bucket],salesforecast[[#This Row],[Bucket2]],stock[Plant],"0789",stock[LL or CTL],"LL")</f>
        <v/>
      </c>
      <c r="AL77" s="193">
        <f>(salesforecast[[#This Row],[Sales]])/salesforecast[[#This Row],[Schedule]]</f>
        <v/>
      </c>
      <c r="AM77" s="43">
        <f>SUMIFS(stock[MT],stock[Plant],salesforecast[[#This Row],[Plant]],stock[LL or CTL],"LL",stock[Bucket],salesforecast[[#This Row],[Bucket]])</f>
        <v/>
      </c>
      <c r="AN77" s="43">
        <f>SUMIFS(scheduleapr[SCHEDULE IN MT],scheduleapr[CUSTOMER NAME],"*Rajsriya*",scheduleapr[Bucket],salesforecast[[#This Row],[Bucket]])</f>
        <v/>
      </c>
      <c r="AO77" s="43">
        <f>SUMIFS(salesTVS[Quantity],salesTVS[CUSTOMER  NAME],"*RAJSRIYA*",salesTVS[buckets.Bucket],salesforecast[[#This Row],[Bucket]])/1000</f>
        <v/>
      </c>
      <c r="AP77" s="43">
        <f>SUMIFS(stock[MT],stock[Plant],4318,stock[Bucket],salesforecast[[#This Row],[Bucket2]])</f>
        <v/>
      </c>
      <c r="AQ77" s="43">
        <f>SUMIFS(stock[MT],stock[Plant],4731,stock[Bucket],salesforecast[[#This Row],[Bucket2]],stock[LL or CTL],"CTL")</f>
        <v/>
      </c>
      <c r="AR77" s="43">
        <f>SUMIFS(stock[MT],stock[Plant],4731,stock[Bucket],salesforecast[[#This Row],[Bucket2]])-salesforecast[[#This Row],[4731 Stock CTL]]</f>
        <v/>
      </c>
      <c r="AS77" s="43">
        <f>SUMIFS(stock[MT],stock[Plant],8406,stock[Bucket],salesforecast[[#This Row],[Bucket2]])</f>
        <v/>
      </c>
    </row>
    <row r="78">
      <c r="A78" t="n">
        <v>37.6</v>
      </c>
      <c r="B78" t="n">
        <v>37.6</v>
      </c>
      <c r="C78" t="n">
        <v>31.2</v>
      </c>
      <c r="D78" t="n">
        <v>3.2</v>
      </c>
      <c r="E78" t="inlineStr">
        <is>
          <t>CEW</t>
        </is>
      </c>
      <c r="F78" t="inlineStr">
        <is>
          <t>CEW</t>
        </is>
      </c>
      <c r="G78" t="inlineStr">
        <is>
          <t>HR</t>
        </is>
      </c>
      <c r="H78">
        <f>_xlfn.CONCAT(salesforecast[[#This Row],[OD]],"-",salesforecast[[#This Row],[ID]],"-",salesforecast[[#This Row],[TICKNESS]],"-",salesforecast[[#This Row],[GRADE]],"-",salesforecast[[#This Row],[FC/NFC]])</f>
        <v/>
      </c>
      <c r="I78" s="43">
        <f>SUMIFS(scheduleapr[SCHEDULE IN MT],scheduleapr[Bucket],salesforecast[[#This Row],[Bucket]])</f>
        <v/>
      </c>
      <c r="J78" t="n">
        <v>3499903</v>
      </c>
      <c r="K78">
        <f>COUNTIF('helper sheet'!$A$1:$A$33,salesforecast[[#This Row],[LL Material Code]])</f>
        <v/>
      </c>
      <c r="N78" t="inlineStr">
        <is>
          <t>TUB-I-C-AUT-AD-PE-31.20X3.200X5.130-CEW1</t>
        </is>
      </c>
      <c r="P78" s="47" t="inlineStr">
        <is>
          <t>0788</t>
        </is>
      </c>
      <c r="Q78" t="n">
        <v>2</v>
      </c>
      <c r="R78" t="n">
        <v>8</v>
      </c>
      <c r="S78" t="n">
        <v>4</v>
      </c>
      <c r="T78" s="585">
        <f>ROUNDUP(MAX(salesforecast[[#This Row],[FY25 Average]],salesforecast[[#This Row],[July Schedule]]),0)</f>
        <v/>
      </c>
      <c r="U78" s="585">
        <f>salesforecast[[#This Row],[Forecast]]-salesforecast[[#This Row],[July Schedule]]</f>
        <v/>
      </c>
      <c r="V78">
        <f>salesforecast[[#This Row],[Plant]]</f>
        <v/>
      </c>
      <c r="W78" s="66">
        <f t="array" ref="W78">_xlfn.TEXTJOIN("|",TRUE,(_xlfn.UNIQUE(_xlfn._xlws.FILTER(scheduleapr[CUSTOMER NAME],scheduleapr[Bucket]=salesforecast[[#This Row],[Bucket]]))))</f>
        <v/>
      </c>
      <c r="X78" s="66">
        <f t="array" ref="X78">_xlfn.TEXTJOIN("|",TRUE,(_xlfn.UNIQUE(_xlfn._xlws.SORT(_xlfn._xlws.FILTER(scheduleapr[LENGTH],scheduleapr[Bucket]=salesforecast[[#This Row],[Bucket]])))))</f>
        <v/>
      </c>
      <c r="Y78" s="66">
        <f t="array" ref="Y78">_xlfn.TEXTJOIN("|",TRUE,_xlfn._xlws.FILTER(buckets[Material Codes],(buckets[Bucket]=salesforecast[[#This Row],[Bucket2]])))</f>
        <v/>
      </c>
      <c r="Z78">
        <f>salesforecast[[#This Row],[Bucket]]</f>
        <v/>
      </c>
      <c r="AA78" s="43">
        <f>salesforecast[[#This Row],[July Schedule]]</f>
        <v/>
      </c>
      <c r="AB78" s="43">
        <f>SUMIF(salesTVS[buckets.Bucket],salesforecast[[#This Row],[Bucket]],salesTVS[Quantity])/1000</f>
        <v/>
      </c>
      <c r="AC78" s="43">
        <f>SUMIFS(stock[MT],stock[Bucket],salesforecast[[#This Row],[Bucket]],stock[LL or CTL],"CTL")</f>
        <v/>
      </c>
      <c r="AD78" s="43">
        <f>SUMIF(stock[Bucket],salesforecast[[#This Row],[Bucket]],stock[MT])-salesforecast[[#This Row],[Stock CTL]]</f>
        <v/>
      </c>
      <c r="AE78" s="43" t="e">
        <v>#REF!</v>
      </c>
      <c r="AF78" s="43">
        <f>SUMIF(wip[Bucket],salesforecast[[#This Row],[Bucket]],wip[Stock(Net Wt)])/1000</f>
        <v/>
      </c>
      <c r="AG78" s="43" t="e">
        <v>#REF!</v>
      </c>
      <c r="AH78" s="43">
        <f>SUMIFS(stock[MT],stock[Bucket],salesforecast[[#This Row],[Bucket2]],stock[Plant],"0788")</f>
        <v/>
      </c>
      <c r="AI78" s="43">
        <f>((salesforecast[[#This Row],[WIP]]+salesforecast[[#This Row],[Stock LL]]))/salesforecast[[#This Row],[July Schedule]]*30</f>
        <v/>
      </c>
      <c r="AJ78" s="585">
        <f>salesforecast[[#This Row],[Stock LL]]/salesforecast[[#This Row],[Schedule]]*30</f>
        <v/>
      </c>
      <c r="AK78" s="43">
        <f>SUMIFS(stock[MT],stock[Bucket],salesforecast[[#This Row],[Bucket2]],stock[Plant],"0789",stock[LL or CTL],"LL")</f>
        <v/>
      </c>
      <c r="AL78" s="193">
        <f>(salesforecast[[#This Row],[Sales]])/salesforecast[[#This Row],[Schedule]]</f>
        <v/>
      </c>
      <c r="AM78" s="43">
        <f>SUMIFS(stock[MT],stock[Plant],salesforecast[[#This Row],[Plant]],stock[LL or CTL],"LL",stock[Bucket],salesforecast[[#This Row],[Bucket]])</f>
        <v/>
      </c>
      <c r="AN78" s="43">
        <f>SUMIFS(scheduleapr[SCHEDULE IN MT],scheduleapr[CUSTOMER NAME],"*Rajsriya*",scheduleapr[Bucket],salesforecast[[#This Row],[Bucket]])</f>
        <v/>
      </c>
      <c r="AO78" s="43">
        <f>SUMIFS(salesTVS[Quantity],salesTVS[CUSTOMER  NAME],"*RAJSRIYA*",salesTVS[buckets.Bucket],salesforecast[[#This Row],[Bucket]])/1000</f>
        <v/>
      </c>
      <c r="AP78" s="43">
        <f>SUMIFS(stock[MT],stock[Plant],4318,stock[Bucket],salesforecast[[#This Row],[Bucket2]])</f>
        <v/>
      </c>
      <c r="AQ78" s="43">
        <f>SUMIFS(stock[MT],stock[Plant],4731,stock[Bucket],salesforecast[[#This Row],[Bucket2]],stock[LL or CTL],"CTL")</f>
        <v/>
      </c>
      <c r="AR78" s="43">
        <f>SUMIFS(stock[MT],stock[Plant],4731,stock[Bucket],salesforecast[[#This Row],[Bucket2]])-salesforecast[[#This Row],[4731 Stock CTL]]</f>
        <v/>
      </c>
      <c r="AS78" s="43">
        <f>SUMIFS(stock[MT],stock[Plant],8406,stock[Bucket],salesforecast[[#This Row],[Bucket2]])</f>
        <v/>
      </c>
    </row>
    <row r="79" ht="30" customHeight="1" s="584">
      <c r="A79" t="n">
        <v>37.95</v>
      </c>
      <c r="B79" t="n">
        <v>37.95</v>
      </c>
      <c r="C79" t="n">
        <v>32</v>
      </c>
      <c r="D79" t="n">
        <v>2.95</v>
      </c>
      <c r="E79" t="inlineStr">
        <is>
          <t>CEW</t>
        </is>
      </c>
      <c r="F79" t="inlineStr">
        <is>
          <t>CEW</t>
        </is>
      </c>
      <c r="G79" t="inlineStr">
        <is>
          <t>HR</t>
        </is>
      </c>
      <c r="H79">
        <f>_xlfn.CONCAT(salesforecast[[#This Row],[OD]],"-",salesforecast[[#This Row],[ID]],"-",salesforecast[[#This Row],[TICKNESS]],"-",salesforecast[[#This Row],[GRADE]],"-",salesforecast[[#This Row],[FC/NFC]])</f>
        <v/>
      </c>
      <c r="I79" s="43">
        <f>SUMIFS(scheduleapr[SCHEDULE IN MT],scheduleapr[Bucket],salesforecast[[#This Row],[Bucket]])</f>
        <v/>
      </c>
      <c r="J79" t="n">
        <v>3502026</v>
      </c>
      <c r="K79">
        <f>COUNTIF('helper sheet'!$A$1:$A$33,salesforecast[[#This Row],[LL Material Code]])</f>
        <v/>
      </c>
      <c r="N79" t="inlineStr">
        <is>
          <t>TUB-O-C-AUT-AD-FC-38.00X3.000X6.0000</t>
        </is>
      </c>
      <c r="P79" s="47" t="inlineStr">
        <is>
          <t>0788</t>
        </is>
      </c>
      <c r="Q79" t="n">
        <v>0</v>
      </c>
      <c r="R79" t="n">
        <v>8</v>
      </c>
      <c r="S79" t="n">
        <v>3</v>
      </c>
      <c r="T79" s="585">
        <f>ROUNDUP(MAX(salesforecast[[#This Row],[FY25 Average]],salesforecast[[#This Row],[July Schedule]]),0)</f>
        <v/>
      </c>
      <c r="U79" s="585">
        <f>salesforecast[[#This Row],[Forecast]]-salesforecast[[#This Row],[July Schedule]]</f>
        <v/>
      </c>
      <c r="V79">
        <f>salesforecast[[#This Row],[Plant]]</f>
        <v/>
      </c>
      <c r="W79" s="66">
        <f t="array" ref="W79">_xlfn.TEXTJOIN("|",TRUE,(_xlfn.UNIQUE(_xlfn._xlws.FILTER(scheduleapr[CUSTOMER NAME],scheduleapr[Bucket]=salesforecast[[#This Row],[Bucket]]))))</f>
        <v/>
      </c>
      <c r="X79" s="66">
        <f t="array" ref="X79">_xlfn.TEXTJOIN("|",TRUE,(_xlfn.UNIQUE(_xlfn._xlws.SORT(_xlfn._xlws.FILTER(scheduleapr[LENGTH],scheduleapr[Bucket]=salesforecast[[#This Row],[Bucket]])))))</f>
        <v/>
      </c>
      <c r="Y79" s="66">
        <f t="array" ref="Y79">_xlfn.TEXTJOIN("|",TRUE,_xlfn._xlws.FILTER(buckets[Material Codes],(buckets[Bucket]=salesforecast[[#This Row],[Bucket2]])))</f>
        <v/>
      </c>
      <c r="Z79">
        <f>salesforecast[[#This Row],[Bucket]]</f>
        <v/>
      </c>
      <c r="AA79" s="43">
        <f>salesforecast[[#This Row],[July Schedule]]</f>
        <v/>
      </c>
      <c r="AB79" s="43">
        <f>SUMIF(salesTVS[buckets.Bucket],salesforecast[[#This Row],[Bucket]],salesTVS[Quantity])/1000</f>
        <v/>
      </c>
      <c r="AC79" s="43">
        <f>SUMIFS(stock[MT],stock[Bucket],salesforecast[[#This Row],[Bucket]],stock[LL or CTL],"CTL")</f>
        <v/>
      </c>
      <c r="AD79" s="43">
        <f>SUMIF(stock[Bucket],salesforecast[[#This Row],[Bucket]],stock[MT])-salesforecast[[#This Row],[Stock CTL]]</f>
        <v/>
      </c>
      <c r="AE79" s="43" t="e">
        <v>#REF!</v>
      </c>
      <c r="AF79" s="43">
        <f>SUMIF(wip[Bucket],salesforecast[[#This Row],[Bucket]],wip[Stock(Net Wt)])/1000</f>
        <v/>
      </c>
      <c r="AG79" s="43" t="e">
        <v>#REF!</v>
      </c>
      <c r="AH79" s="43">
        <f>SUMIFS(stock[MT],stock[Bucket],salesforecast[[#This Row],[Bucket2]],stock[Plant],"0788")</f>
        <v/>
      </c>
      <c r="AI79" s="43">
        <f>((salesforecast[[#This Row],[WIP]]+salesforecast[[#This Row],[Stock LL]]))/salesforecast[[#This Row],[July Schedule]]*30</f>
        <v/>
      </c>
      <c r="AJ79" s="585">
        <f>salesforecast[[#This Row],[Stock LL]]/salesforecast[[#This Row],[Schedule]]*30</f>
        <v/>
      </c>
      <c r="AK79" s="43">
        <f>SUMIFS(stock[MT],stock[Bucket],salesforecast[[#This Row],[Bucket2]],stock[Plant],"0789",stock[LL or CTL],"LL")</f>
        <v/>
      </c>
      <c r="AL79" s="193">
        <f>(salesforecast[[#This Row],[Sales]])/salesforecast[[#This Row],[Schedule]]</f>
        <v/>
      </c>
      <c r="AM79" s="43">
        <f>SUMIFS(stock[MT],stock[Plant],salesforecast[[#This Row],[Plant]],stock[LL or CTL],"LL",stock[Bucket],salesforecast[[#This Row],[Bucket]])</f>
        <v/>
      </c>
      <c r="AN79" s="43">
        <f>SUMIFS(scheduleapr[SCHEDULE IN MT],scheduleapr[CUSTOMER NAME],"*Rajsriya*",scheduleapr[Bucket],salesforecast[[#This Row],[Bucket]])</f>
        <v/>
      </c>
      <c r="AO79" s="43">
        <f>SUMIFS(salesTVS[Quantity],salesTVS[CUSTOMER  NAME],"*RAJSRIYA*",salesTVS[buckets.Bucket],salesforecast[[#This Row],[Bucket]])/1000</f>
        <v/>
      </c>
      <c r="AP79" s="43">
        <f>SUMIFS(stock[MT],stock[Plant],4318,stock[Bucket],salesforecast[[#This Row],[Bucket2]])</f>
        <v/>
      </c>
      <c r="AQ79" s="43">
        <f>SUMIFS(stock[MT],stock[Plant],4731,stock[Bucket],salesforecast[[#This Row],[Bucket2]],stock[LL or CTL],"CTL")</f>
        <v/>
      </c>
      <c r="AR79" s="43">
        <f>SUMIFS(stock[MT],stock[Plant],4731,stock[Bucket],salesforecast[[#This Row],[Bucket2]])-salesforecast[[#This Row],[4731 Stock CTL]]</f>
        <v/>
      </c>
      <c r="AS79" s="43">
        <f>SUMIFS(stock[MT],stock[Plant],8406,stock[Bucket],salesforecast[[#This Row],[Bucket2]])</f>
        <v/>
      </c>
    </row>
    <row r="80" ht="30" customHeight="1" s="584">
      <c r="A80" s="50" t="n">
        <v>38.1</v>
      </c>
      <c r="B80" t="n">
        <v>38.1</v>
      </c>
      <c r="C80" t="n">
        <v>0</v>
      </c>
      <c r="D80" t="n">
        <v>1.6</v>
      </c>
      <c r="E80" t="inlineStr">
        <is>
          <t>ERW 2 MAHS</t>
        </is>
      </c>
      <c r="F80" t="inlineStr">
        <is>
          <t>FC</t>
        </is>
      </c>
      <c r="G80" t="inlineStr">
        <is>
          <t>CR</t>
        </is>
      </c>
      <c r="H80">
        <f>_xlfn.CONCAT(salesforecast[[#This Row],[OD]],"-",salesforecast[[#This Row],[ID]],"-",salesforecast[[#This Row],[TICKNESS]],"-",salesforecast[[#This Row],[GRADE]],"-",salesforecast[[#This Row],[FC/NFC]])</f>
        <v/>
      </c>
      <c r="I80" s="43">
        <f>SUMIFS(scheduleapr[SCHEDULE IN MT],scheduleapr[Bucket],salesforecast[[#This Row],[Bucket]])</f>
        <v/>
      </c>
      <c r="J80" t="n">
        <v>3514376</v>
      </c>
      <c r="K80">
        <f>COUNTIF('helper sheet'!$A$1:$A$33,salesforecast[[#This Row],[LL Material Code]])</f>
        <v/>
      </c>
      <c r="N80" t="inlineStr">
        <is>
          <t>TUB-O-N-AUT-AW-FC-38.10X1.600X5.6300</t>
        </is>
      </c>
      <c r="O80" t="inlineStr">
        <is>
          <t>ST52AL</t>
        </is>
      </c>
      <c r="P80" s="47" t="inlineStr">
        <is>
          <t>0789</t>
        </is>
      </c>
      <c r="Q80" t="n">
        <v>0</v>
      </c>
      <c r="R80" t="n">
        <v>19</v>
      </c>
      <c r="S80" t="n">
        <v>9</v>
      </c>
      <c r="T80" s="585">
        <f>ROUNDUP(MAX(salesforecast[[#This Row],[FY25 Average]],salesforecast[[#This Row],[July Schedule]]),0)</f>
        <v/>
      </c>
      <c r="U80" s="585">
        <f>salesforecast[[#This Row],[Forecast]]-salesforecast[[#This Row],[July Schedule]]</f>
        <v/>
      </c>
      <c r="V80">
        <f>salesforecast[[#This Row],[Plant]]</f>
        <v/>
      </c>
      <c r="W80" s="66">
        <f t="array" ref="W80">_xlfn.TEXTJOIN("|",TRUE,(_xlfn.UNIQUE(_xlfn._xlws.FILTER(scheduleapr[CUSTOMER NAME],scheduleapr[Bucket]=salesforecast[[#This Row],[Bucket]]))))</f>
        <v/>
      </c>
      <c r="X80" s="66">
        <f t="array" ref="X80">_xlfn.TEXTJOIN("|",TRUE,(_xlfn.UNIQUE(_xlfn._xlws.SORT(_xlfn._xlws.FILTER(scheduleapr[LENGTH],scheduleapr[Bucket]=salesforecast[[#This Row],[Bucket]])))))</f>
        <v/>
      </c>
      <c r="Y80" s="66">
        <f t="array" ref="Y80">_xlfn.TEXTJOIN("|",TRUE,_xlfn._xlws.FILTER(buckets[Material Codes],(buckets[Bucket]=salesforecast[[#This Row],[Bucket2]])*(buckets[LL or CTL]="CTL")))</f>
        <v/>
      </c>
      <c r="Z80">
        <f>salesforecast[[#This Row],[Bucket]]</f>
        <v/>
      </c>
      <c r="AA80" s="43">
        <f>salesforecast[[#This Row],[July Schedule]]</f>
        <v/>
      </c>
      <c r="AB80" s="43">
        <f>SUMIF(salesTVS[buckets.Bucket],salesforecast[[#This Row],[Bucket]],salesTVS[Quantity])/1000</f>
        <v/>
      </c>
      <c r="AC80" s="43">
        <f>SUMIFS(stock[MT],stock[Bucket],salesforecast[[#This Row],[Bucket]],stock[LL or CTL],"CTL")</f>
        <v/>
      </c>
      <c r="AD80" s="43">
        <f>SUMIF(stock[Bucket],salesforecast[[#This Row],[Bucket]],stock[MT])-salesforecast[[#This Row],[Stock CTL]]</f>
        <v/>
      </c>
      <c r="AE80" s="43" t="e">
        <v>#REF!</v>
      </c>
      <c r="AF80" s="43">
        <f>SUMIF(wip[Bucket],salesforecast[[#This Row],[Bucket]],wip[Stock(Net Wt)])/1000</f>
        <v/>
      </c>
      <c r="AG80" s="43" t="e">
        <v>#REF!</v>
      </c>
      <c r="AH80" s="43">
        <f>SUMIFS(stock[MT],stock[Bucket],salesforecast[[#This Row],[Bucket2]],stock[Plant],"0788")</f>
        <v/>
      </c>
      <c r="AI80" s="43">
        <f>((salesforecast[[#This Row],[WIP]]+salesforecast[[#This Row],[Stock LL]]))/salesforecast[[#This Row],[July Schedule]]*30</f>
        <v/>
      </c>
      <c r="AJ80" s="585">
        <f>salesforecast[[#This Row],[Stock LL]]/salesforecast[[#This Row],[Schedule]]*30</f>
        <v/>
      </c>
      <c r="AK80" s="43">
        <f>SUMIFS(stock[MT],stock[Bucket],salesforecast[[#This Row],[Bucket2]],stock[Plant],"0789",stock[LL or CTL],"LL")</f>
        <v/>
      </c>
      <c r="AL80" s="193">
        <f>(salesforecast[[#This Row],[Sales]])/salesforecast[[#This Row],[Schedule]]</f>
        <v/>
      </c>
      <c r="AM80" s="43">
        <f>SUMIFS(stock[MT],stock[Plant],salesforecast[[#This Row],[Plant]],stock[LL or CTL],"LL",stock[Bucket],salesforecast[[#This Row],[Bucket]])</f>
        <v/>
      </c>
      <c r="AN80" s="43">
        <f>SUMIFS(scheduleapr[SCHEDULE IN MT],scheduleapr[CUSTOMER NAME],"*Rajsriya*",scheduleapr[Bucket],salesforecast[[#This Row],[Bucket]])</f>
        <v/>
      </c>
      <c r="AO80" s="43">
        <f>SUMIFS(salesTVS[Quantity],salesTVS[CUSTOMER  NAME],"*RAJSRIYA*",salesTVS[buckets.Bucket],salesforecast[[#This Row],[Bucket]])/1000</f>
        <v/>
      </c>
      <c r="AP80" s="43">
        <f>SUMIFS(stock[MT],stock[Plant],4318,stock[Bucket],salesforecast[[#This Row],[Bucket2]])</f>
        <v/>
      </c>
      <c r="AQ80" s="43">
        <f>SUMIFS(stock[MT],stock[Plant],4731,stock[Bucket],salesforecast[[#This Row],[Bucket2]],stock[LL or CTL],"CTL")</f>
        <v/>
      </c>
      <c r="AR80" s="43">
        <f>SUMIFS(stock[MT],stock[Plant],4731,stock[Bucket],salesforecast[[#This Row],[Bucket2]])-salesforecast[[#This Row],[4731 Stock CTL]]</f>
        <v/>
      </c>
      <c r="AS80" s="43">
        <f>SUMIFS(stock[MT],stock[Plant],8406,stock[Bucket],salesforecast[[#This Row],[Bucket2]])</f>
        <v/>
      </c>
    </row>
    <row r="81" ht="45" customHeight="1" s="584">
      <c r="A81" t="n">
        <v>38.1</v>
      </c>
      <c r="B81" t="n">
        <v>38.1</v>
      </c>
      <c r="C81" t="n">
        <v>0</v>
      </c>
      <c r="D81" t="n">
        <v>1.6</v>
      </c>
      <c r="E81" t="inlineStr">
        <is>
          <t>ERW 1</t>
        </is>
      </c>
      <c r="F81" t="inlineStr">
        <is>
          <t>FC</t>
        </is>
      </c>
      <c r="G81" t="inlineStr">
        <is>
          <t>CR</t>
        </is>
      </c>
      <c r="H81">
        <f>_xlfn.CONCAT(salesforecast[[#This Row],[OD]],"-",salesforecast[[#This Row],[ID]],"-",salesforecast[[#This Row],[TICKNESS]],"-",salesforecast[[#This Row],[GRADE]],"-",salesforecast[[#This Row],[FC/NFC]])</f>
        <v/>
      </c>
      <c r="I81" s="43">
        <f>SUMIFS(scheduleapr[SCHEDULE IN MT],scheduleapr[Bucket],salesforecast[[#This Row],[Bucket]])</f>
        <v/>
      </c>
      <c r="J81" t="n">
        <v>3540982</v>
      </c>
      <c r="K81">
        <f>COUNTIF('helper sheet'!$A$1:$A$33,salesforecast[[#This Row],[LL Material Code]])</f>
        <v/>
      </c>
      <c r="N81" t="inlineStr">
        <is>
          <t>TUB-O-N-AUT-AW-FC-38.10X1.600X5.6600</t>
        </is>
      </c>
      <c r="O81" t="inlineStr">
        <is>
          <t>HROP</t>
        </is>
      </c>
      <c r="P81" s="47" t="inlineStr">
        <is>
          <t>0789</t>
        </is>
      </c>
      <c r="Q81" t="n">
        <v>3</v>
      </c>
      <c r="R81" t="n">
        <v>10</v>
      </c>
      <c r="S81" t="n">
        <v>7</v>
      </c>
      <c r="T81" s="585">
        <f>ROUNDUP(MAX(salesforecast[[#This Row],[FY25 Average]],salesforecast[[#This Row],[July Schedule]]),0)</f>
        <v/>
      </c>
      <c r="U81" s="585">
        <f>salesforecast[[#This Row],[Forecast]]-salesforecast[[#This Row],[July Schedule]]</f>
        <v/>
      </c>
      <c r="V81">
        <f>salesforecast[[#This Row],[Plant]]</f>
        <v/>
      </c>
      <c r="W81" s="66">
        <f t="array" ref="W81">_xlfn.TEXTJOIN("|",TRUE,(_xlfn.UNIQUE(_xlfn._xlws.FILTER(scheduleapr[CUSTOMER NAME],scheduleapr[Bucket]=salesforecast[[#This Row],[Bucket]]))))</f>
        <v/>
      </c>
      <c r="X81" s="66">
        <f t="array" ref="X81">_xlfn.TEXTJOIN("|",TRUE,(_xlfn.UNIQUE(_xlfn._xlws.SORT(_xlfn._xlws.FILTER(scheduleapr[LENGTH],scheduleapr[Bucket]=salesforecast[[#This Row],[Bucket]])))))</f>
        <v/>
      </c>
      <c r="Y81" s="66">
        <f t="array" ref="Y81">_xlfn.TEXTJOIN("|",TRUE,_xlfn._xlws.FILTER(buckets[Material Codes],(buckets[Bucket]=salesforecast[[#This Row],[Bucket2]])*(buckets[LL or CTL]="CTL")))</f>
        <v/>
      </c>
      <c r="Z81">
        <f>salesforecast[[#This Row],[Bucket]]</f>
        <v/>
      </c>
      <c r="AA81" s="43">
        <f>salesforecast[[#This Row],[July Schedule]]</f>
        <v/>
      </c>
      <c r="AB81" s="43">
        <f>SUMIF(salesTVS[buckets.Bucket],salesforecast[[#This Row],[Bucket]],salesTVS[Quantity])/1000</f>
        <v/>
      </c>
      <c r="AC81" s="43">
        <f>SUMIFS(stock[MT],stock[Bucket],salesforecast[[#This Row],[Bucket]],stock[LL or CTL],"CTL")</f>
        <v/>
      </c>
      <c r="AD81" s="43">
        <f>SUMIF(stock[Bucket],salesforecast[[#This Row],[Bucket]],stock[MT])-salesforecast[[#This Row],[Stock CTL]]</f>
        <v/>
      </c>
      <c r="AE81" s="43" t="e">
        <v>#REF!</v>
      </c>
      <c r="AF81" s="43">
        <f>SUMIF(wip[Bucket],salesforecast[[#This Row],[Bucket]],wip[Stock(Net Wt)])/1000</f>
        <v/>
      </c>
      <c r="AG81" s="43" t="e">
        <v>#REF!</v>
      </c>
      <c r="AH81" s="43">
        <f>SUMIFS(stock[MT],stock[Bucket],salesforecast[[#This Row],[Bucket2]],stock[Plant],"0788")</f>
        <v/>
      </c>
      <c r="AI81" s="43">
        <f>((salesforecast[[#This Row],[WIP]]+salesforecast[[#This Row],[Stock LL]]))/salesforecast[[#This Row],[July Schedule]]*30</f>
        <v/>
      </c>
      <c r="AJ81" s="585">
        <f>salesforecast[[#This Row],[Stock LL]]/salesforecast[[#This Row],[Schedule]]*30</f>
        <v/>
      </c>
      <c r="AK81" s="43">
        <f>SUMIFS(stock[MT],stock[Bucket],salesforecast[[#This Row],[Bucket2]],stock[Plant],"0789",stock[LL or CTL],"LL")</f>
        <v/>
      </c>
      <c r="AL81" s="193">
        <f>(salesforecast[[#This Row],[Sales]])/salesforecast[[#This Row],[Schedule]]</f>
        <v/>
      </c>
      <c r="AM81" s="43">
        <f>SUMIFS(stock[MT],stock[Plant],salesforecast[[#This Row],[Plant]],stock[LL or CTL],"LL",stock[Bucket],salesforecast[[#This Row],[Bucket]])</f>
        <v/>
      </c>
      <c r="AN81" s="43">
        <f>SUMIFS(scheduleapr[SCHEDULE IN MT],scheduleapr[CUSTOMER NAME],"*Rajsriya*",scheduleapr[Bucket],salesforecast[[#This Row],[Bucket]])</f>
        <v/>
      </c>
      <c r="AO81" s="43">
        <f>SUMIFS(salesTVS[Quantity],salesTVS[CUSTOMER  NAME],"*RAJSRIYA*",salesTVS[buckets.Bucket],salesforecast[[#This Row],[Bucket]])/1000</f>
        <v/>
      </c>
      <c r="AP81" s="43">
        <f>SUMIFS(stock[MT],stock[Plant],4318,stock[Bucket],salesforecast[[#This Row],[Bucket2]])</f>
        <v/>
      </c>
      <c r="AQ81" s="43">
        <f>SUMIFS(stock[MT],stock[Plant],4731,stock[Bucket],salesforecast[[#This Row],[Bucket2]],stock[LL or CTL],"CTL")</f>
        <v/>
      </c>
      <c r="AR81" s="43">
        <f>SUMIFS(stock[MT],stock[Plant],4731,stock[Bucket],salesforecast[[#This Row],[Bucket2]])-salesforecast[[#This Row],[4731 Stock CTL]]</f>
        <v/>
      </c>
      <c r="AS81" s="43">
        <f>SUMIFS(stock[MT],stock[Plant],8406,stock[Bucket],salesforecast[[#This Row],[Bucket2]])</f>
        <v/>
      </c>
    </row>
    <row r="82" ht="75" customHeight="1" s="584">
      <c r="A82" t="n">
        <v>38.1</v>
      </c>
      <c r="B82" t="n">
        <v>38.1</v>
      </c>
      <c r="C82" t="n">
        <v>0</v>
      </c>
      <c r="D82" t="n">
        <v>2</v>
      </c>
      <c r="E82" t="inlineStr">
        <is>
          <t>ERW 1</t>
        </is>
      </c>
      <c r="F82" t="inlineStr">
        <is>
          <t>FC</t>
        </is>
      </c>
      <c r="G82" t="inlineStr">
        <is>
          <t>HR</t>
        </is>
      </c>
      <c r="H82">
        <f>_xlfn.CONCAT(salesforecast[[#This Row],[OD]],"-",salesforecast[[#This Row],[ID]],"-",salesforecast[[#This Row],[TICKNESS]],"-",salesforecast[[#This Row],[GRADE]],"-",salesforecast[[#This Row],[FC/NFC]])</f>
        <v/>
      </c>
      <c r="I82" s="43">
        <f>SUMIFS(scheduleapr[SCHEDULE IN MT],scheduleapr[Bucket],salesforecast[[#This Row],[Bucket]])</f>
        <v/>
      </c>
      <c r="J82" s="45" t="n">
        <v>3553658</v>
      </c>
      <c r="K82">
        <f>COUNTIF('helper sheet'!$A$1:$A$33,salesforecast[[#This Row],[LL Material Code]])</f>
        <v/>
      </c>
      <c r="N82" t="inlineStr">
        <is>
          <t>TUB-O-N-AUT-AW-FC-38.10X2.000X6.0700</t>
        </is>
      </c>
      <c r="O82" t="inlineStr">
        <is>
          <t>HROP</t>
        </is>
      </c>
      <c r="P82" s="47" t="inlineStr">
        <is>
          <t>0789</t>
        </is>
      </c>
      <c r="Q82" t="n">
        <v>28</v>
      </c>
      <c r="R82" t="n">
        <v>76</v>
      </c>
      <c r="S82" t="n">
        <v>49</v>
      </c>
      <c r="T82" s="585">
        <f>ROUNDUP(MAX(salesforecast[[#This Row],[FY25 Average]],salesforecast[[#This Row],[July Schedule]]),0)</f>
        <v/>
      </c>
      <c r="U82" s="585">
        <f>salesforecast[[#This Row],[Forecast]]-salesforecast[[#This Row],[July Schedule]]</f>
        <v/>
      </c>
      <c r="V82">
        <f>salesforecast[[#This Row],[Plant]]</f>
        <v/>
      </c>
      <c r="W82" s="66">
        <f t="array" ref="W82">_xlfn.TEXTJOIN("|",TRUE,(_xlfn.UNIQUE(_xlfn._xlws.FILTER(scheduleapr[CUSTOMER NAME],scheduleapr[Bucket]=salesforecast[[#This Row],[Bucket]]))))</f>
        <v/>
      </c>
      <c r="X82" s="66">
        <f t="array" ref="X82">_xlfn.TEXTJOIN("|",TRUE,(_xlfn.UNIQUE(_xlfn._xlws.SORT(_xlfn._xlws.FILTER(scheduleapr[LENGTH],scheduleapr[Bucket]=salesforecast[[#This Row],[Bucket]])))))</f>
        <v/>
      </c>
      <c r="Y82" s="66">
        <f t="array" ref="Y82">_xlfn.TEXTJOIN("|",TRUE,_xlfn._xlws.FILTER(buckets[Material Codes],(buckets[Bucket]=salesforecast[[#This Row],[Bucket2]])*(buckets[LL or CTL]="CTL")))</f>
        <v/>
      </c>
      <c r="Z82">
        <f>salesforecast[[#This Row],[Bucket]]</f>
        <v/>
      </c>
      <c r="AA82" s="43">
        <f>salesforecast[[#This Row],[July Schedule]]</f>
        <v/>
      </c>
      <c r="AB82" s="43">
        <f>SUMIF(salesTVS[buckets.Bucket],salesforecast[[#This Row],[Bucket]],salesTVS[Quantity])/1000</f>
        <v/>
      </c>
      <c r="AC82" s="43">
        <f>SUMIFS(stock[MT],stock[Bucket],salesforecast[[#This Row],[Bucket]],stock[LL or CTL],"CTL")</f>
        <v/>
      </c>
      <c r="AD82" s="43">
        <f>SUMIF(stock[Bucket],salesforecast[[#This Row],[Bucket]],stock[MT])-salesforecast[[#This Row],[Stock CTL]]</f>
        <v/>
      </c>
      <c r="AE82" s="43" t="e">
        <v>#REF!</v>
      </c>
      <c r="AF82" s="43">
        <f>SUMIF(wip[Bucket],salesforecast[[#This Row],[Bucket]],wip[Stock(Net Wt)])/1000</f>
        <v/>
      </c>
      <c r="AG82" s="43" t="e">
        <v>#REF!</v>
      </c>
      <c r="AH82" s="43">
        <f>SUMIFS(stock[MT],stock[Bucket],salesforecast[[#This Row],[Bucket2]],stock[Plant],"0788")</f>
        <v/>
      </c>
      <c r="AI82" s="43">
        <f>((salesforecast[[#This Row],[WIP]]+salesforecast[[#This Row],[Stock LL]]))/salesforecast[[#This Row],[July Schedule]]*30</f>
        <v/>
      </c>
      <c r="AJ82" s="585">
        <f>salesforecast[[#This Row],[Stock LL]]/salesforecast[[#This Row],[Schedule]]*30</f>
        <v/>
      </c>
      <c r="AK82" s="43">
        <f>SUMIFS(stock[MT],stock[Bucket],salesforecast[[#This Row],[Bucket2]],stock[Plant],"0789",stock[LL or CTL],"LL")</f>
        <v/>
      </c>
      <c r="AL82" s="193">
        <f>(salesforecast[[#This Row],[Sales]])/salesforecast[[#This Row],[Schedule]]</f>
        <v/>
      </c>
      <c r="AM82" s="43">
        <f>SUMIFS(stock[MT],stock[Plant],salesforecast[[#This Row],[Plant]],stock[LL or CTL],"LL",stock[Bucket],salesforecast[[#This Row],[Bucket]])</f>
        <v/>
      </c>
      <c r="AN82" s="43">
        <f>SUMIFS(scheduleapr[SCHEDULE IN MT],scheduleapr[CUSTOMER NAME],"*Rajsriya*",scheduleapr[Bucket],salesforecast[[#This Row],[Bucket]])</f>
        <v/>
      </c>
      <c r="AO82" s="43">
        <f>SUMIFS(salesTVS[Quantity],salesTVS[CUSTOMER  NAME],"*RAJSRIYA*",salesTVS[buckets.Bucket],salesforecast[[#This Row],[Bucket]])/1000</f>
        <v/>
      </c>
      <c r="AP82" s="43">
        <f>SUMIFS(stock[MT],stock[Plant],4318,stock[Bucket],salesforecast[[#This Row],[Bucket2]])</f>
        <v/>
      </c>
      <c r="AQ82" s="43">
        <f>SUMIFS(stock[MT],stock[Plant],4731,stock[Bucket],salesforecast[[#This Row],[Bucket2]],stock[LL or CTL],"CTL")</f>
        <v/>
      </c>
      <c r="AR82" s="43">
        <f>SUMIFS(stock[MT],stock[Plant],4731,stock[Bucket],salesforecast[[#This Row],[Bucket2]])-salesforecast[[#This Row],[4731 Stock CTL]]</f>
        <v/>
      </c>
      <c r="AS82" s="43">
        <f>SUMIFS(stock[MT],stock[Plant],8406,stock[Bucket],salesforecast[[#This Row],[Bucket2]])</f>
        <v/>
      </c>
    </row>
    <row r="83" ht="45" customHeight="1" s="584">
      <c r="A83" t="n">
        <v>38.1</v>
      </c>
      <c r="B83" t="n">
        <v>38.1</v>
      </c>
      <c r="C83" t="n">
        <v>0</v>
      </c>
      <c r="D83" t="n">
        <v>2.5</v>
      </c>
      <c r="E83" t="inlineStr">
        <is>
          <t>ERW 2 MAHS</t>
        </is>
      </c>
      <c r="F83" t="inlineStr">
        <is>
          <t>FC</t>
        </is>
      </c>
      <c r="G83" t="inlineStr">
        <is>
          <t>HR</t>
        </is>
      </c>
      <c r="H83">
        <f>_xlfn.CONCAT(salesforecast[[#This Row],[OD]],"-",salesforecast[[#This Row],[ID]],"-",salesforecast[[#This Row],[TICKNESS]],"-",salesforecast[[#This Row],[GRADE]],"-",salesforecast[[#This Row],[FC/NFC]])</f>
        <v/>
      </c>
      <c r="I83" s="43">
        <f>SUMIFS(scheduleapr[SCHEDULE IN MT],scheduleapr[Bucket],salesforecast[[#This Row],[Bucket]])</f>
        <v/>
      </c>
      <c r="J83" t="n">
        <v>3500240</v>
      </c>
      <c r="K83">
        <f>COUNTIF('helper sheet'!$A$1:$A$33,salesforecast[[#This Row],[LL Material Code]])</f>
        <v/>
      </c>
      <c r="N83" t="inlineStr">
        <is>
          <t>TUB-O-N-AUT-AH-FC-38.10X2.5X5.65 HSTERW2</t>
        </is>
      </c>
      <c r="P83" s="47" t="inlineStr">
        <is>
          <t>056</t>
        </is>
      </c>
      <c r="Q83" t="n">
        <v>0</v>
      </c>
      <c r="R83" t="n">
        <v>20</v>
      </c>
      <c r="S83" t="n">
        <v>7</v>
      </c>
      <c r="T83" s="585">
        <f>ROUNDUP(MAX(salesforecast[[#This Row],[FY25 Average]],salesforecast[[#This Row],[July Schedule]]),0)</f>
        <v/>
      </c>
      <c r="U83" s="585">
        <f>salesforecast[[#This Row],[Forecast]]-salesforecast[[#This Row],[July Schedule]]</f>
        <v/>
      </c>
      <c r="V83">
        <f>salesforecast[[#This Row],[Plant]]</f>
        <v/>
      </c>
      <c r="W83" s="66">
        <f t="array" ref="W83">_xlfn.TEXTJOIN("|",TRUE,(_xlfn.UNIQUE(_xlfn._xlws.FILTER(scheduleapr[CUSTOMER NAME],scheduleapr[Bucket]=salesforecast[[#This Row],[Bucket]]))))</f>
        <v/>
      </c>
      <c r="X83" s="66">
        <f t="array" ref="X83">_xlfn.TEXTJOIN("|",TRUE,(_xlfn.UNIQUE(_xlfn._xlws.SORT(_xlfn._xlws.FILTER(scheduleapr[LENGTH],scheduleapr[Bucket]=salesforecast[[#This Row],[Bucket]])))))</f>
        <v/>
      </c>
      <c r="Y83" s="66">
        <f t="array" ref="Y83">_xlfn.TEXTJOIN("|",TRUE,_xlfn._xlws.FILTER(buckets[Material Codes],(buckets[Bucket]=salesforecast[[#This Row],[Bucket2]])))</f>
        <v/>
      </c>
      <c r="Z83">
        <f>salesforecast[[#This Row],[Bucket]]</f>
        <v/>
      </c>
      <c r="AA83" s="43">
        <f>salesforecast[[#This Row],[July Schedule]]</f>
        <v/>
      </c>
      <c r="AB83" s="43">
        <f>SUMIF(salesTVS[buckets.Bucket],salesforecast[[#This Row],[Bucket]],salesTVS[Quantity])/1000</f>
        <v/>
      </c>
      <c r="AC83" s="43">
        <f>SUMIFS(stock[MT],stock[Bucket],salesforecast[[#This Row],[Bucket]],stock[LL or CTL],"CTL")</f>
        <v/>
      </c>
      <c r="AD83" s="43">
        <f>SUMIF(stock[Bucket],salesforecast[[#This Row],[Bucket]],stock[MT])-salesforecast[[#This Row],[Stock CTL]]</f>
        <v/>
      </c>
      <c r="AE83" s="43" t="e">
        <v>#REF!</v>
      </c>
      <c r="AF83" s="43">
        <f>SUMIF(wip[Bucket],salesforecast[[#This Row],[Bucket]],wip[Stock(Net Wt)])/1000</f>
        <v/>
      </c>
      <c r="AG83" s="43" t="e">
        <v>#REF!</v>
      </c>
      <c r="AH83" s="43">
        <f>SUMIFS(stock[MT],stock[Bucket],salesforecast[[#This Row],[Bucket2]],stock[Plant],"0788")</f>
        <v/>
      </c>
      <c r="AI83" s="585">
        <f>((salesforecast[[#This Row],[WIP]]+salesforecast[[#This Row],[Stock LL]]))/salesforecast[[#This Row],[July Schedule]]*30</f>
        <v/>
      </c>
      <c r="AJ83" s="585">
        <f>salesforecast[[#This Row],[Stock LL]]/salesforecast[[#This Row],[Schedule]]*30</f>
        <v/>
      </c>
      <c r="AK83" s="43">
        <f>SUMIFS(stock[MT],stock[Bucket],salesforecast[[#This Row],[Bucket2]],stock[Plant],"0789",stock[LL or CTL],"LL")</f>
        <v/>
      </c>
      <c r="AL83" s="193">
        <f>(salesforecast[[#This Row],[Sales]])/salesforecast[[#This Row],[Schedule]]</f>
        <v/>
      </c>
      <c r="AM83" s="43">
        <f>SUMIFS(stock[MT],stock[Plant],salesforecast[[#This Row],[Plant]],stock[LL or CTL],"LL",stock[Bucket],salesforecast[[#This Row],[Bucket]])</f>
        <v/>
      </c>
      <c r="AN83" s="43">
        <f>SUMIFS(scheduleapr[SCHEDULE IN MT],scheduleapr[CUSTOMER NAME],"*Rajsriya*",scheduleapr[Bucket],salesforecast[[#This Row],[Bucket]])</f>
        <v/>
      </c>
      <c r="AO83" s="43">
        <f>SUMIFS(salesTVS[Quantity],salesTVS[CUSTOMER  NAME],"*RAJSRIYA*",salesTVS[buckets.Bucket],salesforecast[[#This Row],[Bucket]])/1000</f>
        <v/>
      </c>
      <c r="AP83" s="43">
        <f>SUMIFS(stock[MT],stock[Plant],4318,stock[Bucket],salesforecast[[#This Row],[Bucket2]])</f>
        <v/>
      </c>
      <c r="AQ83" s="43">
        <f>SUMIFS(stock[MT],stock[Plant],4731,stock[Bucket],salesforecast[[#This Row],[Bucket2]],stock[LL or CTL],"CTL")</f>
        <v/>
      </c>
      <c r="AR83" s="43">
        <f>SUMIFS(stock[MT],stock[Plant],4731,stock[Bucket],salesforecast[[#This Row],[Bucket2]])-salesforecast[[#This Row],[4731 Stock CTL]]</f>
        <v/>
      </c>
      <c r="AS83" s="43">
        <f>SUMIFS(stock[MT],stock[Plant],8406,stock[Bucket],salesforecast[[#This Row],[Bucket2]])</f>
        <v/>
      </c>
    </row>
    <row r="84">
      <c r="A84" t="n">
        <v>38.1</v>
      </c>
      <c r="B84" t="n">
        <v>38.1</v>
      </c>
      <c r="C84" t="n">
        <v>0</v>
      </c>
      <c r="D84" t="n">
        <v>3.66</v>
      </c>
      <c r="E84" t="inlineStr">
        <is>
          <t>ERW 1</t>
        </is>
      </c>
      <c r="F84" t="inlineStr">
        <is>
          <t>FC</t>
        </is>
      </c>
      <c r="G84" t="inlineStr">
        <is>
          <t>HR</t>
        </is>
      </c>
      <c r="H84">
        <f>_xlfn.CONCAT(salesforecast[[#This Row],[OD]],"-",salesforecast[[#This Row],[ID]],"-",salesforecast[[#This Row],[TICKNESS]],"-",salesforecast[[#This Row],[GRADE]],"-",salesforecast[[#This Row],[FC/NFC]])</f>
        <v/>
      </c>
      <c r="I84" s="43">
        <f>SUMIFS(scheduleapr[SCHEDULE IN MT],scheduleapr[Bucket],salesforecast[[#This Row],[Bucket]])</f>
        <v/>
      </c>
      <c r="J84" s="46" t="n">
        <v>3500718</v>
      </c>
      <c r="K84">
        <f>COUNTIF('helper sheet'!$A$1:$A$33,salesforecast[[#This Row],[LL Material Code]])</f>
        <v/>
      </c>
      <c r="N84" t="inlineStr">
        <is>
          <t>TUB-O-N-AUT-AW-FC-38.10X3.66X4.735-ERW 1</t>
        </is>
      </c>
      <c r="P84" s="47" t="inlineStr">
        <is>
          <t>0788</t>
        </is>
      </c>
      <c r="Q84" t="n">
        <v>0</v>
      </c>
      <c r="R84" t="n">
        <v>4</v>
      </c>
      <c r="S84" t="n">
        <v>1</v>
      </c>
      <c r="T84" s="585">
        <f>ROUNDUP(MAX(salesforecast[[#This Row],[FY25 Average]],salesforecast[[#This Row],[July Schedule]]),0)</f>
        <v/>
      </c>
      <c r="U84" s="585">
        <f>salesforecast[[#This Row],[Forecast]]-salesforecast[[#This Row],[July Schedule]]</f>
        <v/>
      </c>
      <c r="V84">
        <f>salesforecast[[#This Row],[Plant]]</f>
        <v/>
      </c>
      <c r="W84" s="66">
        <f t="array" ref="W84">_xlfn.TEXTJOIN("|",TRUE,(_xlfn.UNIQUE(_xlfn._xlws.FILTER(scheduleapr[CUSTOMER NAME],scheduleapr[Bucket]=salesforecast[[#This Row],[Bucket]]))))</f>
        <v/>
      </c>
      <c r="X84" s="66">
        <f t="array" ref="X84">_xlfn.TEXTJOIN("|",TRUE,(_xlfn.UNIQUE(_xlfn._xlws.SORT(_xlfn._xlws.FILTER(scheduleapr[LENGTH],scheduleapr[Bucket]=salesforecast[[#This Row],[Bucket]])))))</f>
        <v/>
      </c>
      <c r="Y84" s="66">
        <f t="array" ref="Y84">_xlfn.TEXTJOIN("|",TRUE,_xlfn._xlws.FILTER(buckets[Material Codes],(buckets[Bucket]=salesforecast[[#This Row],[Bucket2]])))</f>
        <v/>
      </c>
      <c r="Z84">
        <f>salesforecast[[#This Row],[Bucket]]</f>
        <v/>
      </c>
      <c r="AA84" s="43">
        <f>salesforecast[[#This Row],[July Schedule]]</f>
        <v/>
      </c>
      <c r="AB84" s="43">
        <f>SUMIF(salesTVS[buckets.Bucket],salesforecast[[#This Row],[Bucket]],salesTVS[Quantity])/1000</f>
        <v/>
      </c>
      <c r="AC84" s="43">
        <f>SUMIFS(stock[MT],stock[Bucket],salesforecast[[#This Row],[Bucket]],stock[LL or CTL],"CTL")</f>
        <v/>
      </c>
      <c r="AD84" s="43">
        <f>SUMIF(stock[Bucket],salesforecast[[#This Row],[Bucket]],stock[MT])-salesforecast[[#This Row],[Stock CTL]]</f>
        <v/>
      </c>
      <c r="AE84" s="43" t="e">
        <v>#REF!</v>
      </c>
      <c r="AF84" s="43">
        <f>SUMIF(wip[Bucket],salesforecast[[#This Row],[Bucket]],wip[Stock(Net Wt)])/1000</f>
        <v/>
      </c>
      <c r="AG84" s="43" t="e">
        <v>#REF!</v>
      </c>
      <c r="AH84" s="43">
        <f>SUMIFS(stock[MT],stock[Bucket],salesforecast[[#This Row],[Bucket2]],stock[Plant],"0788")</f>
        <v/>
      </c>
      <c r="AI84" s="43">
        <f>((salesforecast[[#This Row],[WIP]]+salesforecast[[#This Row],[Stock LL]]))/salesforecast[[#This Row],[July Schedule]]*30</f>
        <v/>
      </c>
      <c r="AJ84" s="585">
        <f>salesforecast[[#This Row],[Stock LL]]/salesforecast[[#This Row],[Schedule]]*30</f>
        <v/>
      </c>
      <c r="AK84" s="43">
        <f>SUMIFS(stock[MT],stock[Bucket],salesforecast[[#This Row],[Bucket2]],stock[Plant],"0789",stock[LL or CTL],"LL")</f>
        <v/>
      </c>
      <c r="AL84" s="193">
        <f>(salesforecast[[#This Row],[Sales]])/salesforecast[[#This Row],[Schedule]]</f>
        <v/>
      </c>
      <c r="AM84" s="43">
        <f>SUMIFS(stock[MT],stock[Plant],salesforecast[[#This Row],[Plant]],stock[LL or CTL],"LL",stock[Bucket],salesforecast[[#This Row],[Bucket]])</f>
        <v/>
      </c>
      <c r="AN84" s="43">
        <f>SUMIFS(scheduleapr[SCHEDULE IN MT],scheduleapr[CUSTOMER NAME],"*Rajsriya*",scheduleapr[Bucket],salesforecast[[#This Row],[Bucket]])</f>
        <v/>
      </c>
      <c r="AO84" s="43">
        <f>SUMIFS(salesTVS[Quantity],salesTVS[CUSTOMER  NAME],"*RAJSRIYA*",salesTVS[buckets.Bucket],salesforecast[[#This Row],[Bucket]])/1000</f>
        <v/>
      </c>
      <c r="AP84" s="43">
        <f>SUMIFS(stock[MT],stock[Plant],4318,stock[Bucket],salesforecast[[#This Row],[Bucket2]])</f>
        <v/>
      </c>
      <c r="AQ84" s="43">
        <f>SUMIFS(stock[MT],stock[Plant],4731,stock[Bucket],salesforecast[[#This Row],[Bucket2]],stock[LL or CTL],"CTL")</f>
        <v/>
      </c>
      <c r="AR84" s="43">
        <f>SUMIFS(stock[MT],stock[Plant],4731,stock[Bucket],salesforecast[[#This Row],[Bucket2]])-salesforecast[[#This Row],[4731 Stock CTL]]</f>
        <v/>
      </c>
      <c r="AS84" s="43">
        <f>SUMIFS(stock[MT],stock[Plant],8406,stock[Bucket],salesforecast[[#This Row],[Bucket2]])</f>
        <v/>
      </c>
    </row>
    <row r="85" ht="30" customHeight="1" s="584">
      <c r="A85" t="n">
        <v>39</v>
      </c>
      <c r="B85" t="n">
        <v>39</v>
      </c>
      <c r="C85" t="n">
        <v>34</v>
      </c>
      <c r="D85" t="n">
        <v>2.5</v>
      </c>
      <c r="E85" t="inlineStr">
        <is>
          <t>CEW</t>
        </is>
      </c>
      <c r="F85" t="inlineStr">
        <is>
          <t>CEW</t>
        </is>
      </c>
      <c r="G85" t="inlineStr">
        <is>
          <t>HR</t>
        </is>
      </c>
      <c r="H85">
        <f>_xlfn.CONCAT(salesforecast[[#This Row],[OD]],"-",salesforecast[[#This Row],[ID]],"-",salesforecast[[#This Row],[TICKNESS]],"-",salesforecast[[#This Row],[GRADE]],"-",salesforecast[[#This Row],[FC/NFC]])</f>
        <v/>
      </c>
      <c r="I85" s="43">
        <f>SUMIFS(scheduleapr[SCHEDULE IN MT],scheduleapr[Bucket],salesforecast[[#This Row],[Bucket]])</f>
        <v/>
      </c>
      <c r="J85" t="n">
        <v>3775631</v>
      </c>
      <c r="K85">
        <f>COUNTIF('helper sheet'!$A$1:$A$33,salesforecast[[#This Row],[LL Material Code]])</f>
        <v/>
      </c>
      <c r="N85" t="inlineStr">
        <is>
          <t>TUB-I-C-AUT-AN-FC-34.00X2.500X6.1500</t>
        </is>
      </c>
      <c r="P85" s="47" t="inlineStr">
        <is>
          <t>0788</t>
        </is>
      </c>
      <c r="Q85" t="n">
        <v>11</v>
      </c>
      <c r="R85" t="n">
        <v>42</v>
      </c>
      <c r="S85" t="n">
        <v>24</v>
      </c>
      <c r="T85" s="585">
        <f>ROUNDUP(MAX(salesforecast[[#This Row],[FY25 Average]],salesforecast[[#This Row],[July Schedule]]),0)</f>
        <v/>
      </c>
      <c r="U85" s="585">
        <f>salesforecast[[#This Row],[Forecast]]-salesforecast[[#This Row],[July Schedule]]</f>
        <v/>
      </c>
      <c r="V85">
        <f>salesforecast[[#This Row],[Plant]]</f>
        <v/>
      </c>
      <c r="W85" s="66">
        <f t="array" ref="W85">_xlfn.TEXTJOIN("|",TRUE,(_xlfn.UNIQUE(_xlfn._xlws.FILTER(scheduleapr[CUSTOMER NAME],scheduleapr[Bucket]=salesforecast[[#This Row],[Bucket]]))))</f>
        <v/>
      </c>
      <c r="X85" s="66">
        <f t="array" ref="X85">_xlfn.TEXTJOIN("|",TRUE,(_xlfn.UNIQUE(_xlfn._xlws.SORT(_xlfn._xlws.FILTER(scheduleapr[LENGTH],scheduleapr[Bucket]=salesforecast[[#This Row],[Bucket]])))))</f>
        <v/>
      </c>
      <c r="Y85" s="66">
        <f t="array" ref="Y85">_xlfn.TEXTJOIN("|",TRUE,_xlfn._xlws.FILTER(buckets[Material Codes],(buckets[Bucket]=salesforecast[[#This Row],[Bucket2]])))</f>
        <v/>
      </c>
      <c r="Z85">
        <f>salesforecast[[#This Row],[Bucket]]</f>
        <v/>
      </c>
      <c r="AA85" s="43">
        <f>salesforecast[[#This Row],[July Schedule]]</f>
        <v/>
      </c>
      <c r="AB85" s="43">
        <f>SUMIF(salesTVS[buckets.Bucket],salesforecast[[#This Row],[Bucket]],salesTVS[Quantity])/1000</f>
        <v/>
      </c>
      <c r="AC85" s="43">
        <f>SUMIFS(stock[MT],stock[Bucket],salesforecast[[#This Row],[Bucket]],stock[LL or CTL],"CTL")</f>
        <v/>
      </c>
      <c r="AD85" s="43">
        <f>SUMIF(stock[Bucket],salesforecast[[#This Row],[Bucket]],stock[MT])-salesforecast[[#This Row],[Stock CTL]]</f>
        <v/>
      </c>
      <c r="AE85" s="43" t="e">
        <v>#REF!</v>
      </c>
      <c r="AF85" s="43">
        <f>SUMIF(wip[Bucket],salesforecast[[#This Row],[Bucket]],wip[Stock(Net Wt)])/1000</f>
        <v/>
      </c>
      <c r="AG85" s="43" t="e">
        <v>#REF!</v>
      </c>
      <c r="AH85" s="43">
        <f>SUMIFS(stock[MT],stock[Bucket],salesforecast[[#This Row],[Bucket2]],stock[Plant],"0788")</f>
        <v/>
      </c>
      <c r="AI85" s="43">
        <f>((salesforecast[[#This Row],[WIP]]+salesforecast[[#This Row],[Stock LL]]))/salesforecast[[#This Row],[July Schedule]]*30</f>
        <v/>
      </c>
      <c r="AJ85" s="585">
        <f>salesforecast[[#This Row],[Stock LL]]/salesforecast[[#This Row],[Schedule]]*30</f>
        <v/>
      </c>
      <c r="AK85" s="43">
        <f>SUMIFS(stock[MT],stock[Bucket],salesforecast[[#This Row],[Bucket2]],stock[Plant],"0789",stock[LL or CTL],"LL")</f>
        <v/>
      </c>
      <c r="AL85" s="193">
        <f>(salesforecast[[#This Row],[Sales]])/salesforecast[[#This Row],[Schedule]]</f>
        <v/>
      </c>
      <c r="AM85" s="43">
        <f>SUMIFS(stock[MT],stock[Plant],salesforecast[[#This Row],[Plant]],stock[LL or CTL],"LL",stock[Bucket],salesforecast[[#This Row],[Bucket]])</f>
        <v/>
      </c>
      <c r="AN85" s="43">
        <f>SUMIFS(scheduleapr[SCHEDULE IN MT],scheduleapr[CUSTOMER NAME],"*Rajsriya*",scheduleapr[Bucket],salesforecast[[#This Row],[Bucket]])</f>
        <v/>
      </c>
      <c r="AO85" s="43">
        <f>SUMIFS(salesTVS[Quantity],salesTVS[CUSTOMER  NAME],"*RAJSRIYA*",salesTVS[buckets.Bucket],salesforecast[[#This Row],[Bucket]])/1000</f>
        <v/>
      </c>
      <c r="AP85" s="43">
        <f>SUMIFS(stock[MT],stock[Plant],4318,stock[Bucket],salesforecast[[#This Row],[Bucket2]])</f>
        <v/>
      </c>
      <c r="AQ85" s="43">
        <f>SUMIFS(stock[MT],stock[Plant],4731,stock[Bucket],salesforecast[[#This Row],[Bucket2]],stock[LL or CTL],"CTL")</f>
        <v/>
      </c>
      <c r="AR85" s="43">
        <f>SUMIFS(stock[MT],stock[Plant],4731,stock[Bucket],salesforecast[[#This Row],[Bucket2]])-salesforecast[[#This Row],[4731 Stock CTL]]</f>
        <v/>
      </c>
      <c r="AS85" s="43">
        <f>SUMIFS(stock[MT],stock[Plant],8406,stock[Bucket],salesforecast[[#This Row],[Bucket2]])</f>
        <v/>
      </c>
    </row>
    <row r="86" ht="150" customHeight="1" s="584">
      <c r="A86" t="n">
        <v>38.1</v>
      </c>
      <c r="B86" t="n">
        <v>40</v>
      </c>
      <c r="C86" t="n">
        <v>20</v>
      </c>
      <c r="D86" t="n">
        <v>1.2</v>
      </c>
      <c r="E86" t="inlineStr">
        <is>
          <t>CRFH</t>
        </is>
      </c>
      <c r="F86" t="inlineStr">
        <is>
          <t>PE</t>
        </is>
      </c>
      <c r="G86" t="inlineStr">
        <is>
          <t>CR</t>
        </is>
      </c>
      <c r="H86">
        <f>_xlfn.CONCAT(salesforecast[[#This Row],[OD]],"-",salesforecast[[#This Row],[ID]],"-",salesforecast[[#This Row],[TICKNESS]],"-",salesforecast[[#This Row],[GRADE]],"-",salesforecast[[#This Row],[FC/NFC]])</f>
        <v/>
      </c>
      <c r="I86" s="43">
        <f>SUMIFS(scheduleapr[SCHEDULE IN MT],scheduleapr[Bucket],salesforecast[[#This Row],[Bucket]])</f>
        <v/>
      </c>
      <c r="J86" t="n">
        <v>1940792</v>
      </c>
      <c r="K86">
        <f>COUNTIF('helper sheet'!$A$1:$A$33,salesforecast[[#This Row],[LL Material Code]])</f>
        <v/>
      </c>
      <c r="L86" t="n">
        <v>1940807</v>
      </c>
      <c r="N86" t="inlineStr">
        <is>
          <t>TUB-R-AW-RHS-40.00X20.00X1.200X6.0000</t>
        </is>
      </c>
      <c r="P86" s="47" t="inlineStr">
        <is>
          <t>0789</t>
        </is>
      </c>
      <c r="Q86" t="n">
        <v>71</v>
      </c>
      <c r="R86" t="n">
        <v>229</v>
      </c>
      <c r="S86" t="n">
        <v>153</v>
      </c>
      <c r="T86" s="585" t="n">
        <v>75</v>
      </c>
      <c r="U86" s="585">
        <f>salesforecast[[#This Row],[Forecast]]-salesforecast[[#This Row],[July Schedule]]</f>
        <v/>
      </c>
      <c r="V86">
        <f>salesforecast[[#This Row],[Plant]]</f>
        <v/>
      </c>
      <c r="W86" s="66">
        <f t="array" ref="W86">_xlfn.TEXTJOIN("|",TRUE,(_xlfn.UNIQUE(_xlfn._xlws.FILTER(scheduleapr[CUSTOMER NAME],scheduleapr[Bucket]=salesforecast[[#This Row],[Bucket]]))))</f>
        <v/>
      </c>
      <c r="X86" s="66">
        <f t="array" ref="X86">_xlfn.TEXTJOIN("|",TRUE,(_xlfn.UNIQUE(_xlfn._xlws.SORT(_xlfn._xlws.FILTER(scheduleapr[LENGTH],scheduleapr[Bucket]=salesforecast[[#This Row],[Bucket]])))))</f>
        <v/>
      </c>
      <c r="Y86" s="66">
        <f t="array" ref="Y86">_xlfn.TEXTJOIN("|",TRUE,_xlfn._xlws.FILTER(buckets[Material Codes],(buckets[Bucket]=salesforecast[[#This Row],[Bucket2]])*(buckets[LL or CTL]="CTL")))</f>
        <v/>
      </c>
      <c r="Z86">
        <f>salesforecast[[#This Row],[Bucket]]</f>
        <v/>
      </c>
      <c r="AA86" s="43">
        <f>salesforecast[[#This Row],[July Schedule]]</f>
        <v/>
      </c>
      <c r="AB86" s="43">
        <f>SUMIF(salesTVS[buckets.Bucket],salesforecast[[#This Row],[Bucket]],salesTVS[Quantity])/1000</f>
        <v/>
      </c>
      <c r="AC86" s="43">
        <f>SUMIFS(stock[MT],stock[Bucket],salesforecast[[#This Row],[Bucket]],stock[LL or CTL],"CTL")</f>
        <v/>
      </c>
      <c r="AD86" s="43">
        <f>SUMIF(stock[Bucket],salesforecast[[#This Row],[Bucket]],stock[MT])-salesforecast[[#This Row],[Stock CTL]]</f>
        <v/>
      </c>
      <c r="AE86" s="43" t="e">
        <v>#REF!</v>
      </c>
      <c r="AF86" s="43">
        <f>SUMIF(wip[Bucket],salesforecast[[#This Row],[Bucket]],wip[Stock(Net Wt)])/1000</f>
        <v/>
      </c>
      <c r="AG86" s="43" t="e">
        <v>#REF!</v>
      </c>
      <c r="AH86" s="43">
        <f>SUMIFS(stock[MT],stock[Bucket],salesforecast[[#This Row],[Bucket2]],stock[Plant],"0788")</f>
        <v/>
      </c>
      <c r="AI86" s="43">
        <f>((salesforecast[[#This Row],[WIP]]+salesforecast[[#This Row],[Stock LL]]))/salesforecast[[#This Row],[July Schedule]]*30</f>
        <v/>
      </c>
      <c r="AJ86" s="585">
        <f>salesforecast[[#This Row],[Stock LL]]/salesforecast[[#This Row],[Schedule]]*30</f>
        <v/>
      </c>
      <c r="AK86" s="43">
        <f>SUMIFS(stock[MT],stock[Bucket],salesforecast[[#This Row],[Bucket2]],stock[Plant],"0789",stock[LL or CTL],"LL")</f>
        <v/>
      </c>
      <c r="AL86" s="193">
        <f>(salesforecast[[#This Row],[Sales]])/salesforecast[[#This Row],[Schedule]]</f>
        <v/>
      </c>
      <c r="AM86" s="43">
        <f>SUMIFS(stock[MT],stock[Plant],salesforecast[[#This Row],[Plant]],stock[LL or CTL],"LL",stock[Bucket],salesforecast[[#This Row],[Bucket]])</f>
        <v/>
      </c>
      <c r="AN86" s="43">
        <f>SUMIFS(scheduleapr[SCHEDULE IN MT],scheduleapr[CUSTOMER NAME],"*Rajsriya*",scheduleapr[Bucket],salesforecast[[#This Row],[Bucket]])</f>
        <v/>
      </c>
      <c r="AO86" s="43">
        <f>SUMIFS(salesTVS[Quantity],salesTVS[CUSTOMER  NAME],"*RAJSRIYA*",salesTVS[buckets.Bucket],salesforecast[[#This Row],[Bucket]])/1000</f>
        <v/>
      </c>
      <c r="AP86" s="43">
        <f>SUMIFS(stock[MT],stock[Plant],4318,stock[Bucket],salesforecast[[#This Row],[Bucket2]])</f>
        <v/>
      </c>
      <c r="AQ86" s="43">
        <f>SUMIFS(stock[MT],stock[Plant],4731,stock[Bucket],salesforecast[[#This Row],[Bucket2]],stock[LL or CTL],"CTL")</f>
        <v/>
      </c>
      <c r="AR86" s="43">
        <f>SUMIFS(stock[MT],stock[Plant],4731,stock[Bucket],salesforecast[[#This Row],[Bucket2]])-salesforecast[[#This Row],[4731 Stock CTL]]</f>
        <v/>
      </c>
      <c r="AS86" s="43">
        <f>SUMIFS(stock[MT],stock[Plant],8406,stock[Bucket],salesforecast[[#This Row],[Bucket2]])</f>
        <v/>
      </c>
    </row>
    <row r="87" ht="45" customHeight="1" s="584">
      <c r="A87" t="n">
        <v>50.8</v>
      </c>
      <c r="B87" t="n">
        <v>40</v>
      </c>
      <c r="C87" t="n">
        <v>40</v>
      </c>
      <c r="D87" t="n">
        <v>1.2</v>
      </c>
      <c r="E87" t="inlineStr">
        <is>
          <t>CRFH</t>
        </is>
      </c>
      <c r="F87" t="inlineStr">
        <is>
          <t>PE</t>
        </is>
      </c>
      <c r="G87" t="inlineStr">
        <is>
          <t>CR</t>
        </is>
      </c>
      <c r="H87">
        <f>_xlfn.CONCAT(salesforecast[[#This Row],[OD]],"-",salesforecast[[#This Row],[ID]],"-",salesforecast[[#This Row],[TICKNESS]],"-",salesforecast[[#This Row],[GRADE]],"-",salesforecast[[#This Row],[FC/NFC]])</f>
        <v/>
      </c>
      <c r="I87" s="43">
        <f>SUMIFS(scheduleapr[SCHEDULE IN MT],scheduleapr[Bucket],salesforecast[[#This Row],[Bucket]])</f>
        <v/>
      </c>
      <c r="J87" t="n">
        <v>3551503</v>
      </c>
      <c r="K87">
        <f>COUNTIF('helper sheet'!$A$1:$A$33,salesforecast[[#This Row],[LL Material Code]])</f>
        <v/>
      </c>
      <c r="N87" t="inlineStr">
        <is>
          <t>TUB-S-FH-AUT-40.00X40.00X1.200X6.0000</t>
        </is>
      </c>
      <c r="P87" s="47" t="inlineStr">
        <is>
          <t>0789</t>
        </is>
      </c>
      <c r="Q87" t="n">
        <v>2</v>
      </c>
      <c r="R87" t="n">
        <v>9</v>
      </c>
      <c r="S87" t="n">
        <v>6</v>
      </c>
      <c r="T87" s="585">
        <f>ROUNDUP(MAX(salesforecast[[#This Row],[FY25 Average]],salesforecast[[#This Row],[July Schedule]]),0)</f>
        <v/>
      </c>
      <c r="U87" s="585">
        <f>salesforecast[[#This Row],[Forecast]]-salesforecast[[#This Row],[July Schedule]]</f>
        <v/>
      </c>
      <c r="V87">
        <f>salesforecast[[#This Row],[Plant]]</f>
        <v/>
      </c>
      <c r="W87" s="66">
        <f t="array" ref="W87">_xlfn.TEXTJOIN("|",TRUE,(_xlfn.UNIQUE(_xlfn._xlws.FILTER(scheduleapr[CUSTOMER NAME],scheduleapr[Bucket]=salesforecast[[#This Row],[Bucket]]))))</f>
        <v/>
      </c>
      <c r="X87" s="66">
        <f t="array" ref="X87">_xlfn.TEXTJOIN("|",TRUE,(_xlfn.UNIQUE(_xlfn._xlws.SORT(_xlfn._xlws.FILTER(scheduleapr[LENGTH],scheduleapr[Bucket]=salesforecast[[#This Row],[Bucket]])))))</f>
        <v/>
      </c>
      <c r="Y87" s="66">
        <f t="array" ref="Y87">_xlfn.TEXTJOIN("|",TRUE,_xlfn._xlws.FILTER(buckets[Material Codes],(buckets[Bucket]=salesforecast[[#This Row],[Bucket2]])*(buckets[LL or CTL]="CTL")))</f>
        <v/>
      </c>
      <c r="Z87">
        <f>salesforecast[[#This Row],[Bucket]]</f>
        <v/>
      </c>
      <c r="AA87" s="43">
        <f>salesforecast[[#This Row],[July Schedule]]</f>
        <v/>
      </c>
      <c r="AB87" s="43">
        <f>SUMIF(salesTVS[buckets.Bucket],salesforecast[[#This Row],[Bucket]],salesTVS[Quantity])/1000</f>
        <v/>
      </c>
      <c r="AC87" s="43">
        <f>SUMIFS(stock[MT],stock[Bucket],salesforecast[[#This Row],[Bucket]],stock[LL or CTL],"CTL")</f>
        <v/>
      </c>
      <c r="AD87" s="43">
        <f>SUMIF(stock[Bucket],salesforecast[[#This Row],[Bucket]],stock[MT])-salesforecast[[#This Row],[Stock CTL]]</f>
        <v/>
      </c>
      <c r="AE87" s="43" t="e">
        <v>#REF!</v>
      </c>
      <c r="AF87" s="43">
        <f>SUMIF(wip[Bucket],salesforecast[[#This Row],[Bucket]],wip[Stock(Net Wt)])/1000</f>
        <v/>
      </c>
      <c r="AG87" s="43" t="e">
        <v>#REF!</v>
      </c>
      <c r="AH87" s="43">
        <f>SUMIFS(stock[MT],stock[Bucket],salesforecast[[#This Row],[Bucket2]],stock[Plant],"0788")</f>
        <v/>
      </c>
      <c r="AI87" s="43">
        <f>((salesforecast[[#This Row],[WIP]]+salesforecast[[#This Row],[Stock LL]]))/salesforecast[[#This Row],[July Schedule]]*30</f>
        <v/>
      </c>
      <c r="AJ87" s="585">
        <f>salesforecast[[#This Row],[Stock LL]]/salesforecast[[#This Row],[Schedule]]*30</f>
        <v/>
      </c>
      <c r="AK87" s="43">
        <f>SUMIFS(stock[MT],stock[Bucket],salesforecast[[#This Row],[Bucket2]],stock[Plant],"0789",stock[LL or CTL],"LL")</f>
        <v/>
      </c>
      <c r="AL87" s="193">
        <f>(salesforecast[[#This Row],[Sales]])/salesforecast[[#This Row],[Schedule]]</f>
        <v/>
      </c>
      <c r="AM87" s="43">
        <f>SUMIFS(stock[MT],stock[Plant],salesforecast[[#This Row],[Plant]],stock[LL or CTL],"LL",stock[Bucket],salesforecast[[#This Row],[Bucket]])</f>
        <v/>
      </c>
      <c r="AN87" s="43">
        <f>SUMIFS(scheduleapr[SCHEDULE IN MT],scheduleapr[CUSTOMER NAME],"*Rajsriya*",scheduleapr[Bucket],salesforecast[[#This Row],[Bucket]])</f>
        <v/>
      </c>
      <c r="AO87" s="43">
        <f>SUMIFS(salesTVS[Quantity],salesTVS[CUSTOMER  NAME],"*RAJSRIYA*",salesTVS[buckets.Bucket],salesforecast[[#This Row],[Bucket]])/1000</f>
        <v/>
      </c>
      <c r="AP87" s="43">
        <f>SUMIFS(stock[MT],stock[Plant],4318,stock[Bucket],salesforecast[[#This Row],[Bucket2]])</f>
        <v/>
      </c>
      <c r="AQ87" s="43">
        <f>SUMIFS(stock[MT],stock[Plant],4731,stock[Bucket],salesforecast[[#This Row],[Bucket2]],stock[LL or CTL],"CTL")</f>
        <v/>
      </c>
      <c r="AR87" s="43">
        <f>SUMIFS(stock[MT],stock[Plant],4731,stock[Bucket],salesforecast[[#This Row],[Bucket2]])-salesforecast[[#This Row],[4731 Stock CTL]]</f>
        <v/>
      </c>
      <c r="AS87" s="43">
        <f>SUMIFS(stock[MT],stock[Plant],8406,stock[Bucket],salesforecast[[#This Row],[Bucket2]])</f>
        <v/>
      </c>
    </row>
    <row r="88" ht="30" customFormat="1" customHeight="1" s="74">
      <c r="A88" t="n">
        <v>38.1</v>
      </c>
      <c r="B88" t="n">
        <v>40</v>
      </c>
      <c r="C88" t="n">
        <v>20</v>
      </c>
      <c r="D88" t="n">
        <v>1.6</v>
      </c>
      <c r="E88" t="inlineStr">
        <is>
          <t>ERW 1</t>
        </is>
      </c>
      <c r="F88" t="inlineStr">
        <is>
          <t>FC</t>
        </is>
      </c>
      <c r="G88" t="inlineStr">
        <is>
          <t>HR</t>
        </is>
      </c>
      <c r="H88">
        <f>_xlfn.CONCAT(salesforecast[[#This Row],[OD]],"-",salesforecast[[#This Row],[ID]],"-",salesforecast[[#This Row],[TICKNESS]],"-",salesforecast[[#This Row],[GRADE]],"-",salesforecast[[#This Row],[FC/NFC]])</f>
        <v/>
      </c>
      <c r="I88" s="43">
        <f>SUMIFS(scheduleapr[SCHEDULE IN MT],scheduleapr[Bucket],salesforecast[[#This Row],[Bucket]])</f>
        <v/>
      </c>
      <c r="J88" t="n">
        <v>3569246</v>
      </c>
      <c r="K88">
        <f>COUNTIF('helper sheet'!$A$1:$A$33,salesforecast[[#This Row],[LL Material Code]])</f>
        <v/>
      </c>
      <c r="N88" t="inlineStr">
        <is>
          <t>TUB-R-AW-RHS-40.00X20.00X1.600X6.1200</t>
        </is>
      </c>
      <c r="P88" s="47" t="inlineStr">
        <is>
          <t>0789</t>
        </is>
      </c>
      <c r="Q88" t="n">
        <v>1</v>
      </c>
      <c r="R88" t="n">
        <v>10</v>
      </c>
      <c r="S88" t="n">
        <v>6</v>
      </c>
      <c r="T88" s="585">
        <f>ROUNDUP(MAX(salesforecast[[#This Row],[FY25 Average]],salesforecast[[#This Row],[July Schedule]]),0)</f>
        <v/>
      </c>
      <c r="U88" s="585">
        <f>salesforecast[[#This Row],[Forecast]]-salesforecast[[#This Row],[July Schedule]]</f>
        <v/>
      </c>
      <c r="V88">
        <f>salesforecast[[#This Row],[Plant]]</f>
        <v/>
      </c>
      <c r="W88" s="66">
        <f t="array" ref="W88">_xlfn.TEXTJOIN("|",TRUE,(_xlfn.UNIQUE(_xlfn._xlws.FILTER(scheduleapr[CUSTOMER NAME],scheduleapr[Bucket]=salesforecast[[#This Row],[Bucket]]))))</f>
        <v/>
      </c>
      <c r="X88" s="66">
        <f t="array" ref="X88">_xlfn.TEXTJOIN("|",TRUE,(_xlfn.UNIQUE(_xlfn._xlws.SORT(_xlfn._xlws.FILTER(scheduleapr[LENGTH],scheduleapr[Bucket]=salesforecast[[#This Row],[Bucket]])))))</f>
        <v/>
      </c>
      <c r="Y88" s="66">
        <f t="array" ref="Y88">_xlfn.TEXTJOIN("|",TRUE,_xlfn._xlws.FILTER(buckets[Material Codes],(buckets[Bucket]=salesforecast[[#This Row],[Bucket2]])*(buckets[LL or CTL]="CTL")))</f>
        <v/>
      </c>
      <c r="Z88">
        <f>salesforecast[[#This Row],[Bucket]]</f>
        <v/>
      </c>
      <c r="AA88" s="43">
        <f>salesforecast[[#This Row],[July Schedule]]</f>
        <v/>
      </c>
      <c r="AB88" s="43">
        <f>SUMIF(salesTVS[buckets.Bucket],salesforecast[[#This Row],[Bucket]],salesTVS[Quantity])/1000</f>
        <v/>
      </c>
      <c r="AC88" s="43">
        <f>SUMIFS(stock[MT],stock[Bucket],salesforecast[[#This Row],[Bucket]],stock[LL or CTL],"CTL")</f>
        <v/>
      </c>
      <c r="AD88" s="43">
        <f>SUMIF(stock[Bucket],salesforecast[[#This Row],[Bucket]],stock[MT])-salesforecast[[#This Row],[Stock CTL]]</f>
        <v/>
      </c>
      <c r="AE88" s="43" t="e">
        <v>#REF!</v>
      </c>
      <c r="AF88" s="43">
        <f>SUMIF(wip[Bucket],salesforecast[[#This Row],[Bucket]],wip[Stock(Net Wt)])/1000</f>
        <v/>
      </c>
      <c r="AG88" s="43" t="e">
        <v>#REF!</v>
      </c>
      <c r="AH88" s="43">
        <f>SUMIFS(stock[MT],stock[Bucket],salesforecast[[#This Row],[Bucket2]],stock[Plant],"0788")</f>
        <v/>
      </c>
      <c r="AI88" s="43">
        <f>((salesforecast[[#This Row],[WIP]]+salesforecast[[#This Row],[Stock LL]]))/salesforecast[[#This Row],[July Schedule]]*30</f>
        <v/>
      </c>
      <c r="AJ88" s="585">
        <f>salesforecast[[#This Row],[Stock LL]]/salesforecast[[#This Row],[Schedule]]*30</f>
        <v/>
      </c>
      <c r="AK88" s="43">
        <f>SUMIFS(stock[MT],stock[Bucket],salesforecast[[#This Row],[Bucket2]],stock[Plant],"0789",stock[LL or CTL],"LL")</f>
        <v/>
      </c>
      <c r="AL88" s="193">
        <f>(salesforecast[[#This Row],[Sales]])/salesforecast[[#This Row],[Schedule]]</f>
        <v/>
      </c>
      <c r="AM88" s="43">
        <f>SUMIFS(stock[MT],stock[Plant],salesforecast[[#This Row],[Plant]],stock[LL or CTL],"LL",stock[Bucket],salesforecast[[#This Row],[Bucket]])</f>
        <v/>
      </c>
      <c r="AN88" s="43">
        <f>SUMIFS(scheduleapr[SCHEDULE IN MT],scheduleapr[CUSTOMER NAME],"*Rajsriya*",scheduleapr[Bucket],salesforecast[[#This Row],[Bucket]])</f>
        <v/>
      </c>
      <c r="AO88" s="43">
        <f>SUMIFS(salesTVS[Quantity],salesTVS[CUSTOMER  NAME],"*RAJSRIYA*",salesTVS[buckets.Bucket],salesforecast[[#This Row],[Bucket]])/1000</f>
        <v/>
      </c>
      <c r="AP88" s="43">
        <f>SUMIFS(stock[MT],stock[Plant],4318,stock[Bucket],salesforecast[[#This Row],[Bucket2]])</f>
        <v/>
      </c>
      <c r="AQ88" s="43">
        <f>SUMIFS(stock[MT],stock[Plant],4731,stock[Bucket],salesforecast[[#This Row],[Bucket2]],stock[LL or CTL],"CTL")</f>
        <v/>
      </c>
      <c r="AR88" s="43">
        <f>SUMIFS(stock[MT],stock[Plant],4731,stock[Bucket],salesforecast[[#This Row],[Bucket2]])-salesforecast[[#This Row],[4731 Stock CTL]]</f>
        <v/>
      </c>
      <c r="AS88" s="43">
        <f>SUMIFS(stock[MT],stock[Plant],8406,stock[Bucket],salesforecast[[#This Row],[Bucket2]])</f>
        <v/>
      </c>
    </row>
    <row r="89">
      <c r="A89" s="74" t="n">
        <v>41.28</v>
      </c>
      <c r="B89" s="74" t="n">
        <v>40</v>
      </c>
      <c r="C89" s="74" t="n">
        <v>25</v>
      </c>
      <c r="D89" s="74" t="n">
        <v>1.6</v>
      </c>
      <c r="E89" s="74" t="inlineStr">
        <is>
          <t>CRFH</t>
        </is>
      </c>
      <c r="F89" s="74" t="inlineStr">
        <is>
          <t>FC</t>
        </is>
      </c>
      <c r="G89" s="74" t="inlineStr">
        <is>
          <t>CR</t>
        </is>
      </c>
      <c r="H89" s="74">
        <f>_xlfn.CONCAT(salesforecast[[#This Row],[OD]],"-",salesforecast[[#This Row],[ID]],"-",salesforecast[[#This Row],[TICKNESS]],"-",salesforecast[[#This Row],[GRADE]],"-",salesforecast[[#This Row],[FC/NFC]])</f>
        <v/>
      </c>
      <c r="I89" s="43">
        <f>SUMIFS(scheduleapr[SCHEDULE IN MT],scheduleapr[Bucket],salesforecast[[#This Row],[Bucket]])</f>
        <v/>
      </c>
      <c r="J89" s="74" t="n">
        <v>3786202</v>
      </c>
      <c r="K89" s="74">
        <f>COUNTIF('helper sheet'!$A$1:$A$33,salesforecast[[#This Row],[LL Material Code]])</f>
        <v/>
      </c>
      <c r="L89" s="74" t="n"/>
      <c r="M89" s="74" t="n"/>
      <c r="N89" s="74" t="inlineStr">
        <is>
          <t>TUB-R-AW-RHS-40.00X25.00X1.600X0.5870</t>
        </is>
      </c>
      <c r="O89" t="inlineStr">
        <is>
          <t>KGR2</t>
        </is>
      </c>
      <c r="P89" s="76" t="inlineStr">
        <is>
          <t>0789</t>
        </is>
      </c>
      <c r="Q89" s="74" t="n">
        <v>0</v>
      </c>
      <c r="R89" s="74" t="n">
        <v>0</v>
      </c>
      <c r="S89" s="74" t="n">
        <v>0</v>
      </c>
      <c r="T89" s="77">
        <f>ROUNDUP(MAX(salesforecast[[#This Row],[FY25 Average]],salesforecast[[#This Row],[July Schedule]]),0)</f>
        <v/>
      </c>
      <c r="U89" s="77">
        <f>salesforecast[[#This Row],[Forecast]]-salesforecast[[#This Row],[July Schedule]]</f>
        <v/>
      </c>
      <c r="V89">
        <f>salesforecast[[#This Row],[Plant]]</f>
        <v/>
      </c>
      <c r="W89" s="66">
        <f t="array" ref="W89">_xlfn.TEXTJOIN("|",TRUE,(_xlfn.UNIQUE(_xlfn._xlws.FILTER(scheduleapr[CUSTOMER NAME],scheduleapr[Bucket]=salesforecast[[#This Row],[Bucket]]))))</f>
        <v/>
      </c>
      <c r="X89" s="66">
        <f t="array" ref="X89">_xlfn.TEXTJOIN("|",TRUE,(_xlfn.UNIQUE(_xlfn._xlws.SORT(_xlfn._xlws.FILTER(scheduleapr[LENGTH],scheduleapr[Bucket]=salesforecast[[#This Row],[Bucket]])))))</f>
        <v/>
      </c>
      <c r="Y89" s="66">
        <f t="array" ref="Y89">_xlfn.TEXTJOIN("|",TRUE,_xlfn._xlws.FILTER(buckets[Material Codes],(buckets[Bucket]=salesforecast[[#This Row],[Bucket2]])*(buckets[LL or CTL]="CTL")))</f>
        <v/>
      </c>
      <c r="Z89" s="74">
        <f>salesforecast[[#This Row],[Bucket]]</f>
        <v/>
      </c>
      <c r="AA89" s="43">
        <f>salesforecast[[#This Row],[July Schedule]]</f>
        <v/>
      </c>
      <c r="AB89" s="75">
        <f>SUMIF(salesTVS[buckets.Bucket],salesforecast[[#This Row],[Bucket]],salesTVS[Quantity])/1000</f>
        <v/>
      </c>
      <c r="AC89" s="75">
        <f>SUMIFS(stock[MT],stock[Bucket],salesforecast[[#This Row],[Bucket]],stock[LL or CTL],"CTL")</f>
        <v/>
      </c>
      <c r="AD89" s="75">
        <f>SUMIF(stock[Bucket],salesforecast[[#This Row],[Bucket]],stock[MT])-salesforecast[[#This Row],[Stock CTL]]</f>
        <v/>
      </c>
      <c r="AE89" s="43" t="e">
        <v>#REF!</v>
      </c>
      <c r="AF89" s="75">
        <f>SUMIF(wip[Bucket],salesforecast[[#This Row],[Bucket]],wip[Stock(Net Wt)])/1000</f>
        <v/>
      </c>
      <c r="AG89" s="43" t="e">
        <v>#REF!</v>
      </c>
      <c r="AH89" s="43">
        <f>SUMIFS(stock[MT],stock[Bucket],salesforecast[[#This Row],[Bucket2]],stock[Plant],"0788")</f>
        <v/>
      </c>
      <c r="AI89" s="75">
        <f>((salesforecast[[#This Row],[WIP]]+salesforecast[[#This Row],[Stock LL]]))/salesforecast[[#This Row],[July Schedule]]*30</f>
        <v/>
      </c>
      <c r="AJ89">
        <f>salesforecast[[#This Row],[Stock LL]]/salesforecast[[#This Row],[Schedule]]*30</f>
        <v/>
      </c>
      <c r="AK89" s="43">
        <f>SUMIFS(stock[MT],stock[Bucket],salesforecast[[#This Row],[Bucket2]],stock[Plant],"0789",stock[LL or CTL],"LL")</f>
        <v/>
      </c>
      <c r="AL89" s="193">
        <f>(salesforecast[[#This Row],[Sales]])/salesforecast[[#This Row],[Schedule]]</f>
        <v/>
      </c>
      <c r="AM89" s="75">
        <f>SUMIFS(stock[MT],stock[Plant],salesforecast[[#This Row],[Plant]],stock[LL or CTL],"LL",stock[Bucket],salesforecast[[#This Row],[Bucket]])</f>
        <v/>
      </c>
      <c r="AN89" s="43">
        <f>SUMIFS(scheduleapr[SCHEDULE IN MT],scheduleapr[CUSTOMER NAME],"*Rajsriya*",scheduleapr[Bucket],salesforecast[[#This Row],[Bucket]])</f>
        <v/>
      </c>
      <c r="AO89" s="75">
        <f>SUMIFS(salesTVS[Quantity],salesTVS[CUSTOMER  NAME],"*RAJSRIYA*",salesTVS[buckets.Bucket],salesforecast[[#This Row],[Bucket]])/1000</f>
        <v/>
      </c>
      <c r="AP89" s="43">
        <f>SUMIFS(stock[MT],stock[Plant],4318,stock[Bucket],salesforecast[[#This Row],[Bucket2]])</f>
        <v/>
      </c>
      <c r="AQ89" s="43">
        <f>SUMIFS(stock[MT],stock[Plant],4731,stock[Bucket],salesforecast[[#This Row],[Bucket2]],stock[LL or CTL],"CTL")</f>
        <v/>
      </c>
      <c r="AR89" s="43">
        <f>SUMIFS(stock[MT],stock[Plant],4731,stock[Bucket],salesforecast[[#This Row],[Bucket2]])-salesforecast[[#This Row],[4731 Stock CTL]]</f>
        <v/>
      </c>
      <c r="AS89" s="43">
        <f>SUMIFS(stock[MT],stock[Plant],8406,stock[Bucket],salesforecast[[#This Row],[Bucket2]])</f>
        <v/>
      </c>
    </row>
    <row r="90">
      <c r="A90" t="n">
        <v>41.28</v>
      </c>
      <c r="B90" t="n">
        <v>40</v>
      </c>
      <c r="C90" t="n">
        <v>25</v>
      </c>
      <c r="D90" t="n">
        <v>1.6</v>
      </c>
      <c r="E90" t="inlineStr">
        <is>
          <t>ERW 2</t>
        </is>
      </c>
      <c r="F90" t="inlineStr">
        <is>
          <t>FC</t>
        </is>
      </c>
      <c r="G90" t="inlineStr">
        <is>
          <t>CR</t>
        </is>
      </c>
      <c r="H90">
        <f>_xlfn.CONCAT(salesforecast[[#This Row],[OD]],"-",salesforecast[[#This Row],[ID]],"-",salesforecast[[#This Row],[TICKNESS]],"-",salesforecast[[#This Row],[GRADE]],"-",salesforecast[[#This Row],[FC/NFC]])</f>
        <v/>
      </c>
      <c r="I90" s="43">
        <f>SUMIFS(scheduleapr[SCHEDULE IN MT],scheduleapr[Bucket],salesforecast[[#This Row],[Bucket]])</f>
        <v/>
      </c>
      <c r="J90" t="n">
        <v>3870804</v>
      </c>
      <c r="K90">
        <f>COUNTIF('helper sheet'!$A$1:$A$33,salesforecast[[#This Row],[LL Material Code]])</f>
        <v/>
      </c>
      <c r="N90" t="inlineStr">
        <is>
          <t>TUB-R-AW-AUT-40.00X25.00X1.600X5.6400</t>
        </is>
      </c>
      <c r="O90" t="inlineStr">
        <is>
          <t>SAE1020</t>
        </is>
      </c>
      <c r="P90" s="47" t="inlineStr">
        <is>
          <t>0789</t>
        </is>
      </c>
      <c r="Q90" t="n">
        <v>0</v>
      </c>
      <c r="R90" t="n">
        <v>8</v>
      </c>
      <c r="S90" t="n">
        <v>1</v>
      </c>
      <c r="T90" s="585">
        <f>ROUNDUP(MAX(salesforecast[[#This Row],[FY25 Average]],salesforecast[[#This Row],[July Schedule]]),0)</f>
        <v/>
      </c>
      <c r="U90" s="585">
        <f>salesforecast[[#This Row],[Forecast]]-salesforecast[[#This Row],[July Schedule]]</f>
        <v/>
      </c>
      <c r="V90">
        <f>salesforecast[[#This Row],[Plant]]</f>
        <v/>
      </c>
      <c r="W90" s="66">
        <f t="array" ref="W90">_xlfn.TEXTJOIN("|",TRUE,(_xlfn.UNIQUE(_xlfn._xlws.FILTER(scheduleapr[CUSTOMER NAME],scheduleapr[Bucket]=salesforecast[[#This Row],[Bucket]]))))</f>
        <v/>
      </c>
      <c r="X90" s="66">
        <f t="array" ref="X90">_xlfn.TEXTJOIN("|",TRUE,(_xlfn.UNIQUE(_xlfn._xlws.SORT(_xlfn._xlws.FILTER(scheduleapr[LENGTH],scheduleapr[Bucket]=salesforecast[[#This Row],[Bucket]])))))</f>
        <v/>
      </c>
      <c r="Y90" s="66">
        <f t="array" ref="Y90">_xlfn.TEXTJOIN("|",TRUE,_xlfn._xlws.FILTER(buckets[Material Codes],(buckets[Bucket]=salesforecast[[#This Row],[Bucket2]])*(buckets[LL or CTL]="CTL")))</f>
        <v/>
      </c>
      <c r="Z90">
        <f>salesforecast[[#This Row],[Bucket]]</f>
        <v/>
      </c>
      <c r="AA90" s="43">
        <f>salesforecast[[#This Row],[July Schedule]]</f>
        <v/>
      </c>
      <c r="AB90" s="43">
        <f>SUMIF(salesTVS[buckets.Bucket],salesforecast[[#This Row],[Bucket]],salesTVS[Quantity])/1000</f>
        <v/>
      </c>
      <c r="AC90" s="43">
        <f>SUMIFS(stock[MT],stock[Bucket],salesforecast[[#This Row],[Bucket]],stock[LL or CTL],"CTL")</f>
        <v/>
      </c>
      <c r="AD90" s="43">
        <f>SUMIF(stock[Bucket],salesforecast[[#This Row],[Bucket]],stock[MT])-salesforecast[[#This Row],[Stock CTL]]</f>
        <v/>
      </c>
      <c r="AE90" s="43" t="e">
        <v>#REF!</v>
      </c>
      <c r="AF90" s="43">
        <f>SUMIF(wip[Bucket],salesforecast[[#This Row],[Bucket]],wip[Stock(Net Wt)])/1000</f>
        <v/>
      </c>
      <c r="AG90" s="43" t="e">
        <v>#REF!</v>
      </c>
      <c r="AH90" s="43">
        <f>SUMIFS(stock[MT],stock[Bucket],salesforecast[[#This Row],[Bucket2]],stock[Plant],"0788")</f>
        <v/>
      </c>
      <c r="AI90" s="43">
        <f>((salesforecast[[#This Row],[WIP]]+salesforecast[[#This Row],[Stock LL]]))/salesforecast[[#This Row],[July Schedule]]*30</f>
        <v/>
      </c>
      <c r="AJ90" s="585">
        <f>salesforecast[[#This Row],[Stock LL]]/salesforecast[[#This Row],[Schedule]]*30</f>
        <v/>
      </c>
      <c r="AK90" s="43">
        <f>SUMIFS(stock[MT],stock[Bucket],salesforecast[[#This Row],[Bucket2]],stock[Plant],"0789",stock[LL or CTL],"LL")</f>
        <v/>
      </c>
      <c r="AL90" s="193">
        <f>(salesforecast[[#This Row],[Sales]])/salesforecast[[#This Row],[Schedule]]</f>
        <v/>
      </c>
      <c r="AM90" s="43">
        <f>SUMIFS(stock[MT],stock[Plant],salesforecast[[#This Row],[Plant]],stock[LL or CTL],"LL",stock[Bucket],salesforecast[[#This Row],[Bucket]])</f>
        <v/>
      </c>
      <c r="AN90" s="43">
        <f>SUMIFS(scheduleapr[SCHEDULE IN MT],scheduleapr[CUSTOMER NAME],"*Rajsriya*",scheduleapr[Bucket],salesforecast[[#This Row],[Bucket]])</f>
        <v/>
      </c>
      <c r="AO90" s="43">
        <f>SUMIFS(salesTVS[Quantity],salesTVS[CUSTOMER  NAME],"*RAJSRIYA*",salesTVS[buckets.Bucket],salesforecast[[#This Row],[Bucket]])/1000</f>
        <v/>
      </c>
      <c r="AP90" s="43">
        <f>SUMIFS(stock[MT],stock[Plant],4318,stock[Bucket],salesforecast[[#This Row],[Bucket2]])</f>
        <v/>
      </c>
      <c r="AQ90" s="43">
        <f>SUMIFS(stock[MT],stock[Plant],4731,stock[Bucket],salesforecast[[#This Row],[Bucket2]],stock[LL or CTL],"CTL")</f>
        <v/>
      </c>
      <c r="AR90" s="43">
        <f>SUMIFS(stock[MT],stock[Plant],4731,stock[Bucket],salesforecast[[#This Row],[Bucket2]])-salesforecast[[#This Row],[4731 Stock CTL]]</f>
        <v/>
      </c>
      <c r="AS90" s="43">
        <f>SUMIFS(stock[MT],stock[Plant],8406,stock[Bucket],salesforecast[[#This Row],[Bucket2]])</f>
        <v/>
      </c>
    </row>
    <row r="91" ht="60" customHeight="1" s="584">
      <c r="A91" t="n">
        <v>41.28</v>
      </c>
      <c r="B91" t="n">
        <v>40</v>
      </c>
      <c r="C91" t="n">
        <v>25</v>
      </c>
      <c r="D91" t="n">
        <v>1.6</v>
      </c>
      <c r="E91" t="inlineStr">
        <is>
          <t>ERW 1</t>
        </is>
      </c>
      <c r="F91" t="inlineStr">
        <is>
          <t>FC</t>
        </is>
      </c>
      <c r="G91" t="inlineStr">
        <is>
          <t>CR</t>
        </is>
      </c>
      <c r="H91">
        <f>_xlfn.CONCAT(salesforecast[[#This Row],[OD]],"-",salesforecast[[#This Row],[ID]],"-",salesforecast[[#This Row],[TICKNESS]],"-",salesforecast[[#This Row],[GRADE]],"-",salesforecast[[#This Row],[FC/NFC]])</f>
        <v/>
      </c>
      <c r="I91" s="43">
        <f>SUMIFS(scheduleapr[SCHEDULE IN MT],scheduleapr[Bucket],salesforecast[[#This Row],[Bucket]])</f>
        <v/>
      </c>
      <c r="J91" t="n">
        <v>1940826</v>
      </c>
      <c r="K91">
        <f>COUNTIF('helper sheet'!$A$1:$A$33,salesforecast[[#This Row],[LL Material Code]])</f>
        <v/>
      </c>
      <c r="N91" t="inlineStr">
        <is>
          <t>TUB-R-AW-RHS-40.00X25.00X1.600X6.0000</t>
        </is>
      </c>
      <c r="O91" t="inlineStr">
        <is>
          <t>GR1</t>
        </is>
      </c>
      <c r="P91" s="47" t="inlineStr">
        <is>
          <t>0789</t>
        </is>
      </c>
      <c r="Q91" t="n">
        <v>29</v>
      </c>
      <c r="R91" t="n">
        <v>102</v>
      </c>
      <c r="S91" t="n">
        <v>59</v>
      </c>
      <c r="T91" s="585">
        <f>ROUNDUP(MAX(salesforecast[[#This Row],[FY25 Average]],salesforecast[[#This Row],[July Schedule]]),0)</f>
        <v/>
      </c>
      <c r="U91" s="585">
        <f>salesforecast[[#This Row],[Forecast]]-salesforecast[[#This Row],[July Schedule]]</f>
        <v/>
      </c>
      <c r="V91">
        <f>salesforecast[[#This Row],[Plant]]</f>
        <v/>
      </c>
      <c r="W91" s="66">
        <f t="array" ref="W91">_xlfn.TEXTJOIN("|",TRUE,(_xlfn.UNIQUE(_xlfn._xlws.FILTER(scheduleapr[CUSTOMER NAME],scheduleapr[Bucket]=salesforecast[[#This Row],[Bucket]]))))</f>
        <v/>
      </c>
      <c r="X91" s="66">
        <f t="array" ref="X91">_xlfn.TEXTJOIN("|",TRUE,(_xlfn.UNIQUE(_xlfn._xlws.SORT(_xlfn._xlws.FILTER(scheduleapr[LENGTH],scheduleapr[Bucket]=salesforecast[[#This Row],[Bucket]])))))</f>
        <v/>
      </c>
      <c r="Y91" s="66">
        <f t="array" ref="Y91">_xlfn.TEXTJOIN("|",TRUE,_xlfn._xlws.FILTER(buckets[Material Codes],(buckets[Bucket]=salesforecast[[#This Row],[Bucket2]])*(buckets[LL or CTL]="CTL")))</f>
        <v/>
      </c>
      <c r="Z91">
        <f>salesforecast[[#This Row],[Bucket]]</f>
        <v/>
      </c>
      <c r="AA91" s="43">
        <f>salesforecast[[#This Row],[July Schedule]]</f>
        <v/>
      </c>
      <c r="AB91" s="43">
        <f>SUMIF(salesTVS[buckets.Bucket],salesforecast[[#This Row],[Bucket]],salesTVS[Quantity])/1000</f>
        <v/>
      </c>
      <c r="AC91" s="43">
        <f>SUMIFS(stock[MT],stock[Bucket],salesforecast[[#This Row],[Bucket]],stock[LL or CTL],"CTL")</f>
        <v/>
      </c>
      <c r="AD91" s="43">
        <f>SUMIF(stock[Bucket],salesforecast[[#This Row],[Bucket]],stock[MT])-salesforecast[[#This Row],[Stock CTL]]</f>
        <v/>
      </c>
      <c r="AE91" s="43" t="e">
        <v>#REF!</v>
      </c>
      <c r="AF91" s="43">
        <f>SUMIF(wip[Bucket],salesforecast[[#This Row],[Bucket]],wip[Stock(Net Wt)])/1000</f>
        <v/>
      </c>
      <c r="AG91" s="43" t="e">
        <v>#REF!</v>
      </c>
      <c r="AH91" s="43">
        <f>SUMIFS(stock[MT],stock[Bucket],salesforecast[[#This Row],[Bucket2]],stock[Plant],"0788")</f>
        <v/>
      </c>
      <c r="AI91" s="43">
        <f>((salesforecast[[#This Row],[WIP]]+salesforecast[[#This Row],[Stock LL]]))/salesforecast[[#This Row],[July Schedule]]*30</f>
        <v/>
      </c>
      <c r="AJ91" s="585">
        <f>salesforecast[[#This Row],[Stock LL]]/salesforecast[[#This Row],[Schedule]]*30</f>
        <v/>
      </c>
      <c r="AK91" s="43">
        <f>SUMIFS(stock[MT],stock[Bucket],salesforecast[[#This Row],[Bucket2]],stock[Plant],"0789",stock[LL or CTL],"LL")</f>
        <v/>
      </c>
      <c r="AL91" s="193">
        <f>(salesforecast[[#This Row],[Sales]])/salesforecast[[#This Row],[Schedule]]</f>
        <v/>
      </c>
      <c r="AM91" s="43">
        <f>SUMIFS(stock[MT],stock[Plant],salesforecast[[#This Row],[Plant]],stock[LL or CTL],"LL",stock[Bucket],salesforecast[[#This Row],[Bucket]])</f>
        <v/>
      </c>
      <c r="AN91" s="43">
        <f>SUMIFS(scheduleapr[SCHEDULE IN MT],scheduleapr[CUSTOMER NAME],"*Rajsriya*",scheduleapr[Bucket],salesforecast[[#This Row],[Bucket]])</f>
        <v/>
      </c>
      <c r="AO91" s="43">
        <f>SUMIFS(salesTVS[Quantity],salesTVS[CUSTOMER  NAME],"*RAJSRIYA*",salesTVS[buckets.Bucket],salesforecast[[#This Row],[Bucket]])/1000</f>
        <v/>
      </c>
      <c r="AP91" s="43">
        <f>SUMIFS(stock[MT],stock[Plant],4318,stock[Bucket],salesforecast[[#This Row],[Bucket2]])</f>
        <v/>
      </c>
      <c r="AQ91" s="43">
        <f>SUMIFS(stock[MT],stock[Plant],4731,stock[Bucket],salesforecast[[#This Row],[Bucket2]],stock[LL or CTL],"CTL")</f>
        <v/>
      </c>
      <c r="AR91" s="43">
        <f>SUMIFS(stock[MT],stock[Plant],4731,stock[Bucket],salesforecast[[#This Row],[Bucket2]])-salesforecast[[#This Row],[4731 Stock CTL]]</f>
        <v/>
      </c>
      <c r="AS91" s="43">
        <f>SUMIFS(stock[MT],stock[Plant],8406,stock[Bucket],salesforecast[[#This Row],[Bucket2]])</f>
        <v/>
      </c>
    </row>
    <row r="92" ht="60" customHeight="1" s="584">
      <c r="A92" t="n">
        <v>44.45</v>
      </c>
      <c r="B92" t="n">
        <v>40</v>
      </c>
      <c r="C92" t="n">
        <v>30</v>
      </c>
      <c r="D92" t="n">
        <v>1.6</v>
      </c>
      <c r="E92" t="inlineStr">
        <is>
          <t>ERW 1</t>
        </is>
      </c>
      <c r="F92" t="inlineStr">
        <is>
          <t>FC</t>
        </is>
      </c>
      <c r="G92" t="inlineStr">
        <is>
          <t>CR</t>
        </is>
      </c>
      <c r="H92">
        <f>_xlfn.CONCAT(salesforecast[[#This Row],[OD]],"-",salesforecast[[#This Row],[ID]],"-",salesforecast[[#This Row],[TICKNESS]],"-",salesforecast[[#This Row],[GRADE]],"-",salesforecast[[#This Row],[FC/NFC]])</f>
        <v/>
      </c>
      <c r="I92" s="43">
        <f>SUMIFS(scheduleapr[SCHEDULE IN MT],scheduleapr[Bucket],salesforecast[[#This Row],[Bucket]])</f>
        <v/>
      </c>
      <c r="J92" s="45" t="n">
        <v>3914656</v>
      </c>
      <c r="K92">
        <f>COUNTIF('helper sheet'!$A$1:$A$33,salesforecast[[#This Row],[LL Material Code]])</f>
        <v/>
      </c>
      <c r="N92" t="inlineStr">
        <is>
          <t>TUB-R-AW-AUT-40.00X30.00X1.600X6.2000</t>
        </is>
      </c>
      <c r="O92" t="e">
        <v>#N/A</v>
      </c>
      <c r="P92" s="47" t="inlineStr">
        <is>
          <t>0789</t>
        </is>
      </c>
      <c r="Q92" t="n">
        <v>17</v>
      </c>
      <c r="R92" t="n">
        <v>97</v>
      </c>
      <c r="S92" t="n">
        <v>44</v>
      </c>
      <c r="T92" s="585">
        <f>ROUNDUP(MAX(salesforecast[[#This Row],[FY25 Average]],salesforecast[[#This Row],[July Schedule]]),0)</f>
        <v/>
      </c>
      <c r="U92" s="585">
        <f>salesforecast[[#This Row],[Forecast]]-salesforecast[[#This Row],[July Schedule]]</f>
        <v/>
      </c>
      <c r="V92">
        <f>salesforecast[[#This Row],[Plant]]</f>
        <v/>
      </c>
      <c r="W92" s="66">
        <f t="array" ref="W92">_xlfn.TEXTJOIN("|",TRUE,(_xlfn.UNIQUE(_xlfn._xlws.FILTER(scheduleapr[CUSTOMER NAME],scheduleapr[Bucket]=salesforecast[[#This Row],[Bucket]]))))</f>
        <v/>
      </c>
      <c r="X92" s="66">
        <f t="array" ref="X92">_xlfn.TEXTJOIN("|",TRUE,(_xlfn.UNIQUE(_xlfn._xlws.SORT(_xlfn._xlws.FILTER(scheduleapr[LENGTH],scheduleapr[Bucket]=salesforecast[[#This Row],[Bucket]])))))</f>
        <v/>
      </c>
      <c r="Y92" s="66">
        <f t="array" ref="Y92">_xlfn.TEXTJOIN("|",TRUE,_xlfn._xlws.FILTER(buckets[Material Codes],(buckets[Bucket]=salesforecast[[#This Row],[Bucket2]])*(buckets[LL or CTL]="CTL")))</f>
        <v/>
      </c>
      <c r="Z92">
        <f>salesforecast[[#This Row],[Bucket]]</f>
        <v/>
      </c>
      <c r="AA92" s="43">
        <f>salesforecast[[#This Row],[July Schedule]]</f>
        <v/>
      </c>
      <c r="AB92" s="43">
        <f>SUMIF(salesTVS[buckets.Bucket],salesforecast[[#This Row],[Bucket]],salesTVS[Quantity])/1000</f>
        <v/>
      </c>
      <c r="AC92" s="43">
        <f>SUMIFS(stock[MT],stock[Bucket],salesforecast[[#This Row],[Bucket]],stock[LL or CTL],"CTL")</f>
        <v/>
      </c>
      <c r="AD92" s="43">
        <f>SUMIF(stock[Bucket],salesforecast[[#This Row],[Bucket]],stock[MT])-salesforecast[[#This Row],[Stock CTL]]</f>
        <v/>
      </c>
      <c r="AE92" s="43" t="e">
        <v>#REF!</v>
      </c>
      <c r="AF92" s="43">
        <f>SUMIF(wip[Bucket],salesforecast[[#This Row],[Bucket]],wip[Stock(Net Wt)])/1000</f>
        <v/>
      </c>
      <c r="AG92" s="43" t="e">
        <v>#REF!</v>
      </c>
      <c r="AH92" s="43">
        <f>SUMIFS(stock[MT],stock[Bucket],salesforecast[[#This Row],[Bucket2]],stock[Plant],"0788")</f>
        <v/>
      </c>
      <c r="AI92" s="43">
        <f>((salesforecast[[#This Row],[WIP]]+salesforecast[[#This Row],[Stock LL]]))/salesforecast[[#This Row],[July Schedule]]*30</f>
        <v/>
      </c>
      <c r="AJ92" s="585">
        <f>salesforecast[[#This Row],[Stock LL]]/salesforecast[[#This Row],[Schedule]]*30</f>
        <v/>
      </c>
      <c r="AK92" s="43">
        <f>SUMIFS(stock[MT],stock[Bucket],salesforecast[[#This Row],[Bucket2]],stock[Plant],"0789",stock[LL or CTL],"LL")</f>
        <v/>
      </c>
      <c r="AL92" s="193">
        <f>(salesforecast[[#This Row],[Sales]])/salesforecast[[#This Row],[Schedule]]</f>
        <v/>
      </c>
      <c r="AM92" s="43">
        <f>SUMIFS(stock[MT],stock[Plant],salesforecast[[#This Row],[Plant]],stock[LL or CTL],"LL",stock[Bucket],salesforecast[[#This Row],[Bucket]])</f>
        <v/>
      </c>
      <c r="AN92" s="43">
        <f>SUMIFS(scheduleapr[SCHEDULE IN MT],scheduleapr[CUSTOMER NAME],"*Rajsriya*",scheduleapr[Bucket],salesforecast[[#This Row],[Bucket]])</f>
        <v/>
      </c>
      <c r="AO92" s="43">
        <f>SUMIFS(salesTVS[Quantity],salesTVS[CUSTOMER  NAME],"*RAJSRIYA*",salesTVS[buckets.Bucket],salesforecast[[#This Row],[Bucket]])/1000</f>
        <v/>
      </c>
      <c r="AP92" s="43">
        <f>SUMIFS(stock[MT],stock[Plant],4318,stock[Bucket],salesforecast[[#This Row],[Bucket2]])</f>
        <v/>
      </c>
      <c r="AQ92" s="43">
        <f>SUMIFS(stock[MT],stock[Plant],4731,stock[Bucket],salesforecast[[#This Row],[Bucket2]],stock[LL or CTL],"CTL")</f>
        <v/>
      </c>
      <c r="AR92" s="43">
        <f>SUMIFS(stock[MT],stock[Plant],4731,stock[Bucket],salesforecast[[#This Row],[Bucket2]])-salesforecast[[#This Row],[4731 Stock CTL]]</f>
        <v/>
      </c>
      <c r="AS92" s="43">
        <f>SUMIFS(stock[MT],stock[Plant],8406,stock[Bucket],salesforecast[[#This Row],[Bucket2]])</f>
        <v/>
      </c>
    </row>
    <row r="93">
      <c r="A93" t="n">
        <v>41.28</v>
      </c>
      <c r="B93" t="n">
        <v>40</v>
      </c>
      <c r="C93" t="n">
        <v>25</v>
      </c>
      <c r="D93" t="n">
        <v>2</v>
      </c>
      <c r="E93" t="inlineStr">
        <is>
          <t>ERW 1</t>
        </is>
      </c>
      <c r="F93" t="inlineStr">
        <is>
          <t>FC</t>
        </is>
      </c>
      <c r="G93" t="inlineStr">
        <is>
          <t>HR</t>
        </is>
      </c>
      <c r="H93">
        <f>_xlfn.CONCAT(salesforecast[[#This Row],[OD]],"-",salesforecast[[#This Row],[ID]],"-",salesforecast[[#This Row],[TICKNESS]],"-",salesforecast[[#This Row],[GRADE]],"-",salesforecast[[#This Row],[FC/NFC]])</f>
        <v/>
      </c>
      <c r="I93" s="43">
        <f>SUMIFS(scheduleapr[SCHEDULE IN MT],scheduleapr[Bucket],salesforecast[[#This Row],[Bucket]])</f>
        <v/>
      </c>
      <c r="J93" t="n">
        <v>1931253</v>
      </c>
      <c r="K93">
        <f>COUNTIF('helper sheet'!$A$1:$A$33,salesforecast[[#This Row],[LL Material Code]])</f>
        <v/>
      </c>
      <c r="L93" t="n">
        <v>1932559</v>
      </c>
      <c r="N93" t="inlineStr">
        <is>
          <t>TUB-R-AW-RHS-40.00X25.00X2.000X5.6800</t>
        </is>
      </c>
      <c r="P93" s="47" t="inlineStr">
        <is>
          <t>0789</t>
        </is>
      </c>
      <c r="Q93" t="n">
        <v>0</v>
      </c>
      <c r="R93" t="n">
        <v>7</v>
      </c>
      <c r="S93" t="n">
        <v>1</v>
      </c>
      <c r="T93" s="585">
        <f>ROUNDUP(MAX(salesforecast[[#This Row],[FY25 Average]],salesforecast[[#This Row],[July Schedule]]),0)</f>
        <v/>
      </c>
      <c r="U93" s="585">
        <f>salesforecast[[#This Row],[Forecast]]-salesforecast[[#This Row],[July Schedule]]</f>
        <v/>
      </c>
      <c r="V93">
        <f>salesforecast[[#This Row],[Plant]]</f>
        <v/>
      </c>
      <c r="W93" s="66">
        <f t="array" ref="W93">_xlfn.TEXTJOIN("|",TRUE,(_xlfn.UNIQUE(_xlfn._xlws.FILTER(scheduleapr[CUSTOMER NAME],scheduleapr[Bucket]=salesforecast[[#This Row],[Bucket]]))))</f>
        <v/>
      </c>
      <c r="X93" s="66">
        <f t="array" ref="X93">_xlfn.TEXTJOIN("|",TRUE,(_xlfn.UNIQUE(_xlfn._xlws.SORT(_xlfn._xlws.FILTER(scheduleapr[LENGTH],scheduleapr[Bucket]=salesforecast[[#This Row],[Bucket]])))))</f>
        <v/>
      </c>
      <c r="Y93" s="66">
        <f t="array" ref="Y93">_xlfn.TEXTJOIN("|",TRUE,_xlfn._xlws.FILTER(buckets[Material Codes],(buckets[Bucket]=salesforecast[[#This Row],[Bucket2]])*(buckets[LL or CTL]="CTL")))</f>
        <v/>
      </c>
      <c r="Z93">
        <f>salesforecast[[#This Row],[Bucket]]</f>
        <v/>
      </c>
      <c r="AA93" s="43">
        <f>salesforecast[[#This Row],[July Schedule]]</f>
        <v/>
      </c>
      <c r="AB93" s="43">
        <f>SUMIF(salesTVS[buckets.Bucket],salesforecast[[#This Row],[Bucket]],salesTVS[Quantity])/1000</f>
        <v/>
      </c>
      <c r="AC93" s="43">
        <f>SUMIFS(stock[MT],stock[Bucket],salesforecast[[#This Row],[Bucket]],stock[LL or CTL],"CTL")</f>
        <v/>
      </c>
      <c r="AD93" s="43">
        <f>SUMIF(stock[Bucket],salesforecast[[#This Row],[Bucket]],stock[MT])-salesforecast[[#This Row],[Stock CTL]]</f>
        <v/>
      </c>
      <c r="AE93" s="43" t="e">
        <v>#REF!</v>
      </c>
      <c r="AF93" s="43">
        <f>SUMIF(wip[Bucket],salesforecast[[#This Row],[Bucket]],wip[Stock(Net Wt)])/1000</f>
        <v/>
      </c>
      <c r="AG93" s="43" t="e">
        <v>#REF!</v>
      </c>
      <c r="AH93" s="43">
        <f>SUMIFS(stock[MT],stock[Bucket],salesforecast[[#This Row],[Bucket2]],stock[Plant],"0788")</f>
        <v/>
      </c>
      <c r="AI93" s="43">
        <f>((salesforecast[[#This Row],[WIP]]+salesforecast[[#This Row],[Stock LL]]))/salesforecast[[#This Row],[July Schedule]]*30</f>
        <v/>
      </c>
      <c r="AJ93">
        <f>salesforecast[[#This Row],[Stock LL]]/salesforecast[[#This Row],[Schedule]]*30</f>
        <v/>
      </c>
      <c r="AK93" s="43">
        <f>SUMIFS(stock[MT],stock[Bucket],salesforecast[[#This Row],[Bucket2]],stock[Plant],"0789",stock[LL or CTL],"LL")</f>
        <v/>
      </c>
      <c r="AL93" s="193">
        <f>(salesforecast[[#This Row],[Sales]])/salesforecast[[#This Row],[Schedule]]</f>
        <v/>
      </c>
      <c r="AM93" s="43">
        <f>SUMIFS(stock[MT],stock[Plant],salesforecast[[#This Row],[Plant]],stock[LL or CTL],"LL",stock[Bucket],salesforecast[[#This Row],[Bucket]])</f>
        <v/>
      </c>
      <c r="AN93" s="43">
        <f>SUMIFS(scheduleapr[SCHEDULE IN MT],scheduleapr[CUSTOMER NAME],"*Rajsriya*",scheduleapr[Bucket],salesforecast[[#This Row],[Bucket]])</f>
        <v/>
      </c>
      <c r="AO93" s="43">
        <f>SUMIFS(salesTVS[Quantity],salesTVS[CUSTOMER  NAME],"*RAJSRIYA*",salesTVS[buckets.Bucket],salesforecast[[#This Row],[Bucket]])/1000</f>
        <v/>
      </c>
      <c r="AP93" s="43">
        <f>SUMIFS(stock[MT],stock[Plant],4318,stock[Bucket],salesforecast[[#This Row],[Bucket2]])</f>
        <v/>
      </c>
      <c r="AQ93" s="43">
        <f>SUMIFS(stock[MT],stock[Plant],4731,stock[Bucket],salesforecast[[#This Row],[Bucket2]],stock[LL or CTL],"CTL")</f>
        <v/>
      </c>
      <c r="AR93" s="43">
        <f>SUMIFS(stock[MT],stock[Plant],4731,stock[Bucket],salesforecast[[#This Row],[Bucket2]])-salesforecast[[#This Row],[4731 Stock CTL]]</f>
        <v/>
      </c>
      <c r="AS93" s="43">
        <f>SUMIFS(stock[MT],stock[Plant],8406,stock[Bucket],salesforecast[[#This Row],[Bucket2]])</f>
        <v/>
      </c>
    </row>
    <row r="94" ht="60" customHeight="1" s="584">
      <c r="A94" t="n">
        <v>44.45</v>
      </c>
      <c r="B94" t="n">
        <v>40</v>
      </c>
      <c r="C94" t="n">
        <v>30</v>
      </c>
      <c r="D94" t="n">
        <v>2</v>
      </c>
      <c r="E94" t="inlineStr">
        <is>
          <t>ERW 1</t>
        </is>
      </c>
      <c r="F94" t="inlineStr">
        <is>
          <t>FC</t>
        </is>
      </c>
      <c r="G94" t="inlineStr">
        <is>
          <t>HR</t>
        </is>
      </c>
      <c r="H94">
        <f>_xlfn.CONCAT(salesforecast[[#This Row],[OD]],"-",salesforecast[[#This Row],[ID]],"-",salesforecast[[#This Row],[TICKNESS]],"-",salesforecast[[#This Row],[GRADE]],"-",salesforecast[[#This Row],[FC/NFC]])</f>
        <v/>
      </c>
      <c r="I94" s="43">
        <f>SUMIFS(scheduleapr[SCHEDULE IN MT],scheduleapr[Bucket],salesforecast[[#This Row],[Bucket]])</f>
        <v/>
      </c>
      <c r="J94" t="n">
        <v>3484632</v>
      </c>
      <c r="K94">
        <f>COUNTIF('helper sheet'!$A$1:$A$33,salesforecast[[#This Row],[LL Material Code]])</f>
        <v/>
      </c>
      <c r="L94" t="n">
        <v>1940840</v>
      </c>
      <c r="N94" t="inlineStr">
        <is>
          <t>TUB-R-AW-AUT-40.00X30.00X2.000X6.1740</t>
        </is>
      </c>
      <c r="P94" s="47" t="inlineStr">
        <is>
          <t>0789</t>
        </is>
      </c>
      <c r="Q94" t="n">
        <v>8</v>
      </c>
      <c r="R94" t="n">
        <v>56</v>
      </c>
      <c r="S94" t="n">
        <v>25</v>
      </c>
      <c r="T94" s="585">
        <f>ROUNDUP(MAX(salesforecast[[#This Row],[FY25 Average]],salesforecast[[#This Row],[July Schedule]]),0)</f>
        <v/>
      </c>
      <c r="U94" s="585">
        <f>salesforecast[[#This Row],[Forecast]]-salesforecast[[#This Row],[July Schedule]]</f>
        <v/>
      </c>
      <c r="V94">
        <f>salesforecast[[#This Row],[Plant]]</f>
        <v/>
      </c>
      <c r="W94" s="66">
        <f t="array" ref="W94">_xlfn.TEXTJOIN("|",TRUE,(_xlfn.UNIQUE(_xlfn._xlws.FILTER(scheduleapr[CUSTOMER NAME],scheduleapr[Bucket]=salesforecast[[#This Row],[Bucket]]))))</f>
        <v/>
      </c>
      <c r="X94" s="66">
        <f t="array" ref="X94">_xlfn.TEXTJOIN("|",TRUE,(_xlfn.UNIQUE(_xlfn._xlws.SORT(_xlfn._xlws.FILTER(scheduleapr[LENGTH],scheduleapr[Bucket]=salesforecast[[#This Row],[Bucket]])))))</f>
        <v/>
      </c>
      <c r="Y94" s="66">
        <f t="array" ref="Y94">_xlfn.TEXTJOIN("|",TRUE,_xlfn._xlws.FILTER(buckets[Material Codes],(buckets[Bucket]=salesforecast[[#This Row],[Bucket2]])*(buckets[LL or CTL]="CTL")))</f>
        <v/>
      </c>
      <c r="Z94">
        <f>salesforecast[[#This Row],[Bucket]]</f>
        <v/>
      </c>
      <c r="AA94" s="43">
        <f>salesforecast[[#This Row],[July Schedule]]</f>
        <v/>
      </c>
      <c r="AB94" s="43">
        <f>SUMIF(salesTVS[buckets.Bucket],salesforecast[[#This Row],[Bucket]],salesTVS[Quantity])/1000</f>
        <v/>
      </c>
      <c r="AC94" s="43">
        <f>SUMIFS(stock[MT],stock[Bucket],salesforecast[[#This Row],[Bucket]],stock[LL or CTL],"CTL")</f>
        <v/>
      </c>
      <c r="AD94" s="43">
        <f>SUMIF(stock[Bucket],salesforecast[[#This Row],[Bucket]],stock[MT])-salesforecast[[#This Row],[Stock CTL]]</f>
        <v/>
      </c>
      <c r="AE94" s="43" t="e">
        <v>#REF!</v>
      </c>
      <c r="AF94" s="70">
        <f>SUMIF(wip[Bucket],salesforecast[[#This Row],[Bucket]],wip[Stock(Net Wt)])/1000</f>
        <v/>
      </c>
      <c r="AG94" s="70" t="e">
        <v>#REF!</v>
      </c>
      <c r="AH94" s="43">
        <f>SUMIFS(stock[MT],stock[Bucket],salesforecast[[#This Row],[Bucket2]],stock[Plant],"0788")</f>
        <v/>
      </c>
      <c r="AI94" s="43">
        <f>((salesforecast[[#This Row],[WIP]]+salesforecast[[#This Row],[Stock LL]]))/salesforecast[[#This Row],[July Schedule]]*30</f>
        <v/>
      </c>
      <c r="AJ94" s="585">
        <f>salesforecast[[#This Row],[Stock LL]]/salesforecast[[#This Row],[Schedule]]*30</f>
        <v/>
      </c>
      <c r="AK94" s="43">
        <f>SUMIFS(stock[MT],stock[Bucket],salesforecast[[#This Row],[Bucket2]],stock[Plant],"0789",stock[LL or CTL],"LL")</f>
        <v/>
      </c>
      <c r="AL94" s="193">
        <f>(salesforecast[[#This Row],[Sales]])/salesforecast[[#This Row],[Schedule]]</f>
        <v/>
      </c>
      <c r="AM94" s="43">
        <f>SUMIFS(stock[MT],stock[Plant],salesforecast[[#This Row],[Plant]],stock[LL or CTL],"LL",stock[Bucket],salesforecast[[#This Row],[Bucket]])</f>
        <v/>
      </c>
      <c r="AN94" s="43">
        <f>SUMIFS(scheduleapr[SCHEDULE IN MT],scheduleapr[CUSTOMER NAME],"*Rajsriya*",scheduleapr[Bucket],salesforecast[[#This Row],[Bucket]])</f>
        <v/>
      </c>
      <c r="AO94" s="43">
        <f>SUMIFS(salesTVS[Quantity],salesTVS[CUSTOMER  NAME],"*RAJSRIYA*",salesTVS[buckets.Bucket],salesforecast[[#This Row],[Bucket]])/1000</f>
        <v/>
      </c>
      <c r="AP94" s="43">
        <f>SUMIFS(stock[MT],stock[Plant],4318,stock[Bucket],salesforecast[[#This Row],[Bucket2]])</f>
        <v/>
      </c>
      <c r="AQ94" s="43">
        <f>SUMIFS(stock[MT],stock[Plant],4731,stock[Bucket],salesforecast[[#This Row],[Bucket2]],stock[LL or CTL],"CTL")</f>
        <v/>
      </c>
      <c r="AR94" s="43">
        <f>SUMIFS(stock[MT],stock[Plant],4731,stock[Bucket],salesforecast[[#This Row],[Bucket2]])-salesforecast[[#This Row],[4731 Stock CTL]]</f>
        <v/>
      </c>
      <c r="AS94" s="43">
        <f>SUMIFS(stock[MT],stock[Plant],8406,stock[Bucket],salesforecast[[#This Row],[Bucket2]])</f>
        <v/>
      </c>
    </row>
    <row r="95" ht="30" customHeight="1" s="584">
      <c r="A95" t="n">
        <v>41.28</v>
      </c>
      <c r="B95" t="n">
        <v>41.28</v>
      </c>
      <c r="C95" t="n">
        <v>0</v>
      </c>
      <c r="D95" t="n">
        <v>2.6</v>
      </c>
      <c r="E95" t="inlineStr">
        <is>
          <t>ERW 1</t>
        </is>
      </c>
      <c r="F95" t="inlineStr">
        <is>
          <t>FC</t>
        </is>
      </c>
      <c r="G95" t="inlineStr">
        <is>
          <t>HR</t>
        </is>
      </c>
      <c r="H95">
        <f>_xlfn.CONCAT(salesforecast[[#This Row],[OD]],"-",salesforecast[[#This Row],[ID]],"-",salesforecast[[#This Row],[TICKNESS]],"-",salesforecast[[#This Row],[GRADE]],"-",salesforecast[[#This Row],[FC/NFC]])</f>
        <v/>
      </c>
      <c r="I95" s="43">
        <f>SUMIFS(scheduleapr[SCHEDULE IN MT],scheduleapr[Bucket],salesforecast[[#This Row],[Bucket]])</f>
        <v/>
      </c>
      <c r="J95" t="n">
        <v>3239889</v>
      </c>
      <c r="K95">
        <f>COUNTIF('helper sheet'!$A$1:$A$33,salesforecast[[#This Row],[LL Material Code]])</f>
        <v/>
      </c>
      <c r="N95" t="inlineStr">
        <is>
          <t>TUB-O-N-AUT-AW-FC-41.28X2.600X6.0800</t>
        </is>
      </c>
      <c r="P95" s="47" t="inlineStr">
        <is>
          <t>0789</t>
        </is>
      </c>
      <c r="Q95" t="n">
        <v>0</v>
      </c>
      <c r="R95" t="n">
        <v>26</v>
      </c>
      <c r="S95" t="n">
        <v>11</v>
      </c>
      <c r="T95" s="585">
        <f>ROUNDUP(MAX(salesforecast[[#This Row],[FY25 Average]],salesforecast[[#This Row],[July Schedule]]),0)</f>
        <v/>
      </c>
      <c r="U95" s="585">
        <f>salesforecast[[#This Row],[Forecast]]-salesforecast[[#This Row],[July Schedule]]</f>
        <v/>
      </c>
      <c r="V95">
        <f>salesforecast[[#This Row],[Plant]]</f>
        <v/>
      </c>
      <c r="W95" s="66">
        <f t="array" ref="W95">_xlfn.TEXTJOIN("|",TRUE,(_xlfn.UNIQUE(_xlfn._xlws.FILTER(scheduleapr[CUSTOMER NAME],scheduleapr[Bucket]=salesforecast[[#This Row],[Bucket]]))))</f>
        <v/>
      </c>
      <c r="X95" s="66">
        <f t="array" ref="X95">_xlfn.TEXTJOIN("|",TRUE,(_xlfn.UNIQUE(_xlfn._xlws.SORT(_xlfn._xlws.FILTER(scheduleapr[LENGTH],scheduleapr[Bucket]=salesforecast[[#This Row],[Bucket]])))))</f>
        <v/>
      </c>
      <c r="Y95" s="66">
        <f t="array" ref="Y95">_xlfn.TEXTJOIN("|",TRUE,_xlfn._xlws.FILTER(buckets[Material Codes],(buckets[Bucket]=salesforecast[[#This Row],[Bucket2]])*(buckets[LL or CTL]="CTL")))</f>
        <v/>
      </c>
      <c r="Z95">
        <f>salesforecast[[#This Row],[Bucket]]</f>
        <v/>
      </c>
      <c r="AA95" s="43">
        <f>salesforecast[[#This Row],[July Schedule]]</f>
        <v/>
      </c>
      <c r="AB95" s="43">
        <f>SUMIF(salesTVS[buckets.Bucket],salesforecast[[#This Row],[Bucket]],salesTVS[Quantity])/1000</f>
        <v/>
      </c>
      <c r="AC95" s="43">
        <f>SUMIFS(stock[MT],stock[Bucket],salesforecast[[#This Row],[Bucket]],stock[LL or CTL],"CTL")</f>
        <v/>
      </c>
      <c r="AD95" s="43">
        <f>SUMIF(stock[Bucket],salesforecast[[#This Row],[Bucket]],stock[MT])-salesforecast[[#This Row],[Stock CTL]]</f>
        <v/>
      </c>
      <c r="AE95" s="43" t="e">
        <v>#REF!</v>
      </c>
      <c r="AF95" s="43">
        <f>SUMIF(wip[Bucket],salesforecast[[#This Row],[Bucket]],wip[Stock(Net Wt)])/1000</f>
        <v/>
      </c>
      <c r="AG95" s="43" t="e">
        <v>#REF!</v>
      </c>
      <c r="AH95" s="43">
        <f>SUMIFS(stock[MT],stock[Bucket],salesforecast[[#This Row],[Bucket2]],stock[Plant],"0788")</f>
        <v/>
      </c>
      <c r="AI95" s="43">
        <f>((salesforecast[[#This Row],[WIP]]+salesforecast[[#This Row],[Stock LL]]))/salesforecast[[#This Row],[July Schedule]]*30</f>
        <v/>
      </c>
      <c r="AJ95" s="585">
        <f>salesforecast[[#This Row],[Stock LL]]/salesforecast[[#This Row],[Schedule]]*30</f>
        <v/>
      </c>
      <c r="AK95" s="43">
        <f>SUMIFS(stock[MT],stock[Bucket],salesforecast[[#This Row],[Bucket2]],stock[Plant],"0789",stock[LL or CTL],"LL")</f>
        <v/>
      </c>
      <c r="AL95" s="193">
        <f>(salesforecast[[#This Row],[Sales]])/salesforecast[[#This Row],[Schedule]]</f>
        <v/>
      </c>
      <c r="AM95" s="43">
        <f>SUMIFS(stock[MT],stock[Plant],salesforecast[[#This Row],[Plant]],stock[LL or CTL],"LL",stock[Bucket],salesforecast[[#This Row],[Bucket]])</f>
        <v/>
      </c>
      <c r="AN95" s="43">
        <f>SUMIFS(scheduleapr[SCHEDULE IN MT],scheduleapr[CUSTOMER NAME],"*Rajsriya*",scheduleapr[Bucket],salesforecast[[#This Row],[Bucket]])</f>
        <v/>
      </c>
      <c r="AO95" s="43">
        <f>SUMIFS(salesTVS[Quantity],salesTVS[CUSTOMER  NAME],"*RAJSRIYA*",salesTVS[buckets.Bucket],salesforecast[[#This Row],[Bucket]])/1000</f>
        <v/>
      </c>
      <c r="AP95" s="43">
        <f>SUMIFS(stock[MT],stock[Plant],4318,stock[Bucket],salesforecast[[#This Row],[Bucket2]])</f>
        <v/>
      </c>
      <c r="AQ95" s="43">
        <f>SUMIFS(stock[MT],stock[Plant],4731,stock[Bucket],salesforecast[[#This Row],[Bucket2]],stock[LL or CTL],"CTL")</f>
        <v/>
      </c>
      <c r="AR95" s="43">
        <f>SUMIFS(stock[MT],stock[Plant],4731,stock[Bucket],salesforecast[[#This Row],[Bucket2]])-salesforecast[[#This Row],[4731 Stock CTL]]</f>
        <v/>
      </c>
      <c r="AS95" s="43">
        <f>SUMIFS(stock[MT],stock[Plant],8406,stock[Bucket],salesforecast[[#This Row],[Bucket2]])</f>
        <v/>
      </c>
    </row>
    <row r="96" ht="30" customHeight="1" s="584">
      <c r="A96" t="n">
        <v>41.28</v>
      </c>
      <c r="B96" t="n">
        <v>41.28</v>
      </c>
      <c r="C96" t="n">
        <v>0</v>
      </c>
      <c r="D96" t="n">
        <v>3.2</v>
      </c>
      <c r="E96" t="inlineStr">
        <is>
          <t>ERW 1</t>
        </is>
      </c>
      <c r="F96" t="inlineStr">
        <is>
          <t>FC</t>
        </is>
      </c>
      <c r="G96" t="inlineStr">
        <is>
          <t>HR</t>
        </is>
      </c>
      <c r="H96">
        <f>_xlfn.CONCAT(salesforecast[[#This Row],[OD]],"-",salesforecast[[#This Row],[ID]],"-",salesforecast[[#This Row],[TICKNESS]],"-",salesforecast[[#This Row],[GRADE]],"-",salesforecast[[#This Row],[FC/NFC]])</f>
        <v/>
      </c>
      <c r="I96" s="43">
        <f>SUMIFS(scheduleapr[SCHEDULE IN MT],scheduleapr[Bucket],salesforecast[[#This Row],[Bucket]])</f>
        <v/>
      </c>
      <c r="J96" t="n">
        <v>3597050</v>
      </c>
      <c r="K96">
        <f>COUNTIF('helper sheet'!$A$1:$A$33,salesforecast[[#This Row],[LL Material Code]])</f>
        <v/>
      </c>
      <c r="N96" t="inlineStr">
        <is>
          <t>TUB-O-N-AUT-AW-FC-41.28X3.150X5.9400</t>
        </is>
      </c>
      <c r="P96" s="47" t="inlineStr">
        <is>
          <t>0789</t>
        </is>
      </c>
      <c r="Q96" t="n">
        <v>0</v>
      </c>
      <c r="R96" t="n">
        <v>5</v>
      </c>
      <c r="S96" t="n">
        <v>2</v>
      </c>
      <c r="T96" s="585">
        <f>ROUNDUP(MAX(salesforecast[[#This Row],[FY25 Average]],salesforecast[[#This Row],[July Schedule]]),0)</f>
        <v/>
      </c>
      <c r="U96" s="585">
        <f>salesforecast[[#This Row],[Forecast]]-salesforecast[[#This Row],[July Schedule]]</f>
        <v/>
      </c>
      <c r="V96">
        <f>salesforecast[[#This Row],[Plant]]</f>
        <v/>
      </c>
      <c r="W96" s="66">
        <f t="array" ref="W96">_xlfn.TEXTJOIN("|",TRUE,(_xlfn.UNIQUE(_xlfn._xlws.FILTER(scheduleapr[CUSTOMER NAME],scheduleapr[Bucket]=salesforecast[[#This Row],[Bucket]]))))</f>
        <v/>
      </c>
      <c r="X96" s="66">
        <f t="array" ref="X96">_xlfn.TEXTJOIN("|",TRUE,(_xlfn.UNIQUE(_xlfn._xlws.SORT(_xlfn._xlws.FILTER(scheduleapr[LENGTH],scheduleapr[Bucket]=salesforecast[[#This Row],[Bucket]])))))</f>
        <v/>
      </c>
      <c r="Y96" s="66">
        <f t="array" ref="Y96">_xlfn.TEXTJOIN("|",TRUE,_xlfn._xlws.FILTER(buckets[Material Codes],(buckets[Bucket]=salesforecast[[#This Row],[Bucket2]])*(buckets[LL or CTL]="CTL")))</f>
        <v/>
      </c>
      <c r="Z96">
        <f>salesforecast[[#This Row],[Bucket]]</f>
        <v/>
      </c>
      <c r="AA96" s="43">
        <f>salesforecast[[#This Row],[July Schedule]]</f>
        <v/>
      </c>
      <c r="AB96" s="43">
        <f>SUMIF(salesTVS[buckets.Bucket],salesforecast[[#This Row],[Bucket]],salesTVS[Quantity])/1000</f>
        <v/>
      </c>
      <c r="AC96" s="43">
        <f>SUMIFS(stock[MT],stock[Bucket],salesforecast[[#This Row],[Bucket]],stock[LL or CTL],"CTL")</f>
        <v/>
      </c>
      <c r="AD96" s="43">
        <f>SUMIF(stock[Bucket],salesforecast[[#This Row],[Bucket]],stock[MT])-salesforecast[[#This Row],[Stock CTL]]</f>
        <v/>
      </c>
      <c r="AE96" s="43" t="e">
        <v>#REF!</v>
      </c>
      <c r="AF96" s="43">
        <f>SUMIF(wip[Bucket],salesforecast[[#This Row],[Bucket]],wip[Stock(Net Wt)])/1000</f>
        <v/>
      </c>
      <c r="AG96" s="43" t="e">
        <v>#REF!</v>
      </c>
      <c r="AH96" s="43">
        <f>SUMIFS(stock[MT],stock[Bucket],salesforecast[[#This Row],[Bucket2]],stock[Plant],"0788")</f>
        <v/>
      </c>
      <c r="AI96" s="43">
        <f>((salesforecast[[#This Row],[WIP]]+salesforecast[[#This Row],[Stock LL]]))/salesforecast[[#This Row],[July Schedule]]*30</f>
        <v/>
      </c>
      <c r="AJ96" s="585">
        <f>salesforecast[[#This Row],[Stock LL]]/salesforecast[[#This Row],[Schedule]]*30</f>
        <v/>
      </c>
      <c r="AK96" s="43">
        <f>SUMIFS(stock[MT],stock[Bucket],salesforecast[[#This Row],[Bucket2]],stock[Plant],"0789",stock[LL or CTL],"LL")</f>
        <v/>
      </c>
      <c r="AL96" s="193">
        <f>(salesforecast[[#This Row],[Sales]])/salesforecast[[#This Row],[Schedule]]</f>
        <v/>
      </c>
      <c r="AM96" s="43">
        <f>SUMIFS(stock[MT],stock[Plant],salesforecast[[#This Row],[Plant]],stock[LL or CTL],"LL",stock[Bucket],salesforecast[[#This Row],[Bucket]])</f>
        <v/>
      </c>
      <c r="AN96" s="43">
        <f>SUMIFS(scheduleapr[SCHEDULE IN MT],scheduleapr[CUSTOMER NAME],"*Rajsriya*",scheduleapr[Bucket],salesforecast[[#This Row],[Bucket]])</f>
        <v/>
      </c>
      <c r="AO96" s="43">
        <f>SUMIFS(salesTVS[Quantity],salesTVS[CUSTOMER  NAME],"*RAJSRIYA*",salesTVS[buckets.Bucket],salesforecast[[#This Row],[Bucket]])/1000</f>
        <v/>
      </c>
      <c r="AP96" s="43">
        <f>SUMIFS(stock[MT],stock[Plant],4318,stock[Bucket],salesforecast[[#This Row],[Bucket2]])</f>
        <v/>
      </c>
      <c r="AQ96" s="43">
        <f>SUMIFS(stock[MT],stock[Plant],4731,stock[Bucket],salesforecast[[#This Row],[Bucket2]],stock[LL or CTL],"CTL")</f>
        <v/>
      </c>
      <c r="AR96" s="43">
        <f>SUMIFS(stock[MT],stock[Plant],4731,stock[Bucket],salesforecast[[#This Row],[Bucket2]])-salesforecast[[#This Row],[4731 Stock CTL]]</f>
        <v/>
      </c>
      <c r="AS96" s="43">
        <f>SUMIFS(stock[MT],stock[Plant],8406,stock[Bucket],salesforecast[[#This Row],[Bucket2]])</f>
        <v/>
      </c>
    </row>
    <row r="97" ht="75" customHeight="1" s="584">
      <c r="A97" t="n">
        <v>42.7</v>
      </c>
      <c r="B97" t="n">
        <v>42.7</v>
      </c>
      <c r="C97" t="n">
        <v>0</v>
      </c>
      <c r="D97" t="n">
        <v>3.5</v>
      </c>
      <c r="E97" t="inlineStr">
        <is>
          <t>ERW 1</t>
        </is>
      </c>
      <c r="F97" t="inlineStr">
        <is>
          <t>FC</t>
        </is>
      </c>
      <c r="G97" t="inlineStr">
        <is>
          <t>HR</t>
        </is>
      </c>
      <c r="H97">
        <f>_xlfn.CONCAT(salesforecast[[#This Row],[OD]],"-",salesforecast[[#This Row],[ID]],"-",salesforecast[[#This Row],[TICKNESS]],"-",salesforecast[[#This Row],[GRADE]],"-",salesforecast[[#This Row],[FC/NFC]])</f>
        <v/>
      </c>
      <c r="I97" s="43">
        <f>SUMIFS(scheduleapr[SCHEDULE IN MT],scheduleapr[Bucket],salesforecast[[#This Row],[Bucket]])</f>
        <v/>
      </c>
      <c r="J97" t="n">
        <v>3500650</v>
      </c>
      <c r="K97">
        <f>COUNTIF('helper sheet'!$A$1:$A$33,salesforecast[[#This Row],[LL Material Code]])</f>
        <v/>
      </c>
      <c r="N97" t="inlineStr">
        <is>
          <t>TUB-O-N-AUT-BH-FC-42.70X3.500X6.000 NPD</t>
        </is>
      </c>
      <c r="P97" s="47" t="inlineStr">
        <is>
          <t>0788</t>
        </is>
      </c>
      <c r="Q97" t="n">
        <v>17</v>
      </c>
      <c r="R97" t="n">
        <v>67</v>
      </c>
      <c r="S97" t="n">
        <v>34</v>
      </c>
      <c r="T97" s="585">
        <f>ROUNDUP(MAX(salesforecast[[#This Row],[FY25 Average]],salesforecast[[#This Row],[July Schedule]]),0)</f>
        <v/>
      </c>
      <c r="U97" s="585">
        <f>salesforecast[[#This Row],[Forecast]]-salesforecast[[#This Row],[July Schedule]]</f>
        <v/>
      </c>
      <c r="V97">
        <f>salesforecast[[#This Row],[Plant]]</f>
        <v/>
      </c>
      <c r="W97" s="66">
        <f t="array" ref="W97">_xlfn.TEXTJOIN("|",TRUE,(_xlfn.UNIQUE(_xlfn._xlws.FILTER(scheduleapr[CUSTOMER NAME],scheduleapr[Bucket]=salesforecast[[#This Row],[Bucket]]))))</f>
        <v/>
      </c>
      <c r="X97" s="66">
        <f t="array" ref="X97">_xlfn.TEXTJOIN("|",TRUE,(_xlfn.UNIQUE(_xlfn._xlws.SORT(_xlfn._xlws.FILTER(scheduleapr[LENGTH],scheduleapr[Bucket]=salesforecast[[#This Row],[Bucket]])))))</f>
        <v/>
      </c>
      <c r="Y97" s="66">
        <f t="array" ref="Y97">_xlfn.TEXTJOIN("|",TRUE,_xlfn._xlws.FILTER(buckets[Material Codes],(buckets[Bucket]=salesforecast[[#This Row],[Bucket2]])))</f>
        <v/>
      </c>
      <c r="Z97">
        <f>salesforecast[[#This Row],[Bucket]]</f>
        <v/>
      </c>
      <c r="AA97" s="43">
        <f>salesforecast[[#This Row],[July Schedule]]</f>
        <v/>
      </c>
      <c r="AB97" s="43">
        <f>SUMIF(salesTVS[buckets.Bucket],salesforecast[[#This Row],[Bucket]],salesTVS[Quantity])/1000</f>
        <v/>
      </c>
      <c r="AC97" s="43">
        <f>SUMIFS(stock[MT],stock[Bucket],salesforecast[[#This Row],[Bucket]],stock[LL or CTL],"CTL")</f>
        <v/>
      </c>
      <c r="AD97" s="43">
        <f>SUMIF(stock[Bucket],salesforecast[[#This Row],[Bucket]],stock[MT])-salesforecast[[#This Row],[Stock CTL]]</f>
        <v/>
      </c>
      <c r="AE97" s="43" t="e">
        <v>#REF!</v>
      </c>
      <c r="AF97" s="43">
        <f>SUMIF(wip[Bucket],salesforecast[[#This Row],[Bucket]],wip[Stock(Net Wt)])/1000</f>
        <v/>
      </c>
      <c r="AG97" s="43" t="e">
        <v>#REF!</v>
      </c>
      <c r="AH97" s="43">
        <f>SUMIFS(stock[MT],stock[Bucket],salesforecast[[#This Row],[Bucket2]],stock[Plant],"0788")</f>
        <v/>
      </c>
      <c r="AI97" s="585">
        <f>((salesforecast[[#This Row],[WIP]]+salesforecast[[#This Row],[Stock LL]]))/salesforecast[[#This Row],[July Schedule]]*30</f>
        <v/>
      </c>
      <c r="AJ97" s="585">
        <f>salesforecast[[#This Row],[Stock LL]]/salesforecast[[#This Row],[Schedule]]*30</f>
        <v/>
      </c>
      <c r="AK97" s="43">
        <f>SUMIFS(stock[MT],stock[Bucket],salesforecast[[#This Row],[Bucket2]],stock[Plant],"0789",stock[LL or CTL],"LL")</f>
        <v/>
      </c>
      <c r="AL97" s="193">
        <f>(salesforecast[[#This Row],[Sales]])/salesforecast[[#This Row],[Schedule]]</f>
        <v/>
      </c>
      <c r="AM97" s="43">
        <f>SUMIFS(stock[MT],stock[Plant],salesforecast[[#This Row],[Plant]],stock[LL or CTL],"LL",stock[Bucket],salesforecast[[#This Row],[Bucket]])</f>
        <v/>
      </c>
      <c r="AN97" s="43">
        <f>SUMIFS(scheduleapr[SCHEDULE IN MT],scheduleapr[CUSTOMER NAME],"*Rajsriya*",scheduleapr[Bucket],salesforecast[[#This Row],[Bucket]])</f>
        <v/>
      </c>
      <c r="AO97" s="43">
        <f>SUMIFS(salesTVS[Quantity],salesTVS[CUSTOMER  NAME],"*RAJSRIYA*",salesTVS[buckets.Bucket],salesforecast[[#This Row],[Bucket]])/1000</f>
        <v/>
      </c>
      <c r="AP97" s="43">
        <f>SUMIFS(stock[MT],stock[Plant],4318,stock[Bucket],salesforecast[[#This Row],[Bucket2]])</f>
        <v/>
      </c>
      <c r="AQ97" s="43">
        <f>SUMIFS(stock[MT],stock[Plant],4731,stock[Bucket],salesforecast[[#This Row],[Bucket2]],stock[LL or CTL],"CTL")</f>
        <v/>
      </c>
      <c r="AR97" s="43">
        <f>SUMIFS(stock[MT],stock[Plant],4731,stock[Bucket],salesforecast[[#This Row],[Bucket2]])-salesforecast[[#This Row],[4731 Stock CTL]]</f>
        <v/>
      </c>
      <c r="AS97" s="43">
        <f>SUMIFS(stock[MT],stock[Plant],8406,stock[Bucket],salesforecast[[#This Row],[Bucket2]])</f>
        <v/>
      </c>
    </row>
    <row r="98" ht="75" customHeight="1" s="584">
      <c r="A98" t="n">
        <v>42.7</v>
      </c>
      <c r="B98" t="n">
        <v>42.7</v>
      </c>
      <c r="C98" t="n">
        <v>0</v>
      </c>
      <c r="D98" t="n">
        <v>4</v>
      </c>
      <c r="E98" t="inlineStr">
        <is>
          <t>ERW 1</t>
        </is>
      </c>
      <c r="F98" t="inlineStr">
        <is>
          <t>FC</t>
        </is>
      </c>
      <c r="G98" t="inlineStr">
        <is>
          <t>HR</t>
        </is>
      </c>
      <c r="H98">
        <f>_xlfn.CONCAT(salesforecast[[#This Row],[OD]],"-",salesforecast[[#This Row],[ID]],"-",salesforecast[[#This Row],[TICKNESS]],"-",salesforecast[[#This Row],[GRADE]],"-",salesforecast[[#This Row],[FC/NFC]])</f>
        <v/>
      </c>
      <c r="I98" s="43">
        <f>SUMIFS(scheduleapr[SCHEDULE IN MT],scheduleapr[Bucket],salesforecast[[#This Row],[Bucket]])</f>
        <v/>
      </c>
      <c r="J98" t="n">
        <v>3500714</v>
      </c>
      <c r="K98">
        <f>COUNTIF('helper sheet'!$A$1:$A$33,salesforecast[[#This Row],[LL Material Code]])</f>
        <v/>
      </c>
      <c r="N98" t="inlineStr">
        <is>
          <t>TUB-O-N-AUT-BH-FC-42.70X4.000X5.50-ERW 1</t>
        </is>
      </c>
      <c r="P98" s="47" t="inlineStr">
        <is>
          <t>0788</t>
        </is>
      </c>
      <c r="Q98" t="n">
        <v>13</v>
      </c>
      <c r="R98" t="n">
        <v>46</v>
      </c>
      <c r="S98" t="n">
        <v>28</v>
      </c>
      <c r="T98" s="585">
        <f>ROUNDUP(MAX(salesforecast[[#This Row],[FY25 Average]],salesforecast[[#This Row],[July Schedule]]),0)</f>
        <v/>
      </c>
      <c r="U98" s="585">
        <f>salesforecast[[#This Row],[Forecast]]-salesforecast[[#This Row],[July Schedule]]</f>
        <v/>
      </c>
      <c r="V98">
        <f>salesforecast[[#This Row],[Plant]]</f>
        <v/>
      </c>
      <c r="W98" s="66">
        <f t="array" ref="W98">_xlfn.TEXTJOIN("|",TRUE,(_xlfn.UNIQUE(_xlfn._xlws.FILTER(scheduleapr[CUSTOMER NAME],scheduleapr[Bucket]=salesforecast[[#This Row],[Bucket]]))))</f>
        <v/>
      </c>
      <c r="X98" s="66">
        <f t="array" ref="X98">_xlfn.TEXTJOIN("|",TRUE,(_xlfn.UNIQUE(_xlfn._xlws.SORT(_xlfn._xlws.FILTER(scheduleapr[LENGTH],scheduleapr[Bucket]=salesforecast[[#This Row],[Bucket]])))))</f>
        <v/>
      </c>
      <c r="Y98" s="66">
        <f t="array" ref="Y98">_xlfn.TEXTJOIN("|",TRUE,_xlfn._xlws.FILTER(buckets[Material Codes],(buckets[Bucket]=salesforecast[[#This Row],[Bucket2]])))</f>
        <v/>
      </c>
      <c r="Z98">
        <f>salesforecast[[#This Row],[Bucket]]</f>
        <v/>
      </c>
      <c r="AA98" s="43">
        <f>salesforecast[[#This Row],[July Schedule]]</f>
        <v/>
      </c>
      <c r="AB98" s="43">
        <f>SUMIF(salesTVS[buckets.Bucket],salesforecast[[#This Row],[Bucket]],salesTVS[Quantity])/1000</f>
        <v/>
      </c>
      <c r="AC98" s="43">
        <f>SUMIFS(stock[MT],stock[Bucket],salesforecast[[#This Row],[Bucket]],stock[LL or CTL],"CTL")</f>
        <v/>
      </c>
      <c r="AD98" s="43">
        <f>SUMIF(stock[Bucket],salesforecast[[#This Row],[Bucket]],stock[MT])-salesforecast[[#This Row],[Stock CTL]]</f>
        <v/>
      </c>
      <c r="AE98" s="43" t="e">
        <v>#REF!</v>
      </c>
      <c r="AF98" s="43">
        <f>SUMIF(wip[Bucket],salesforecast[[#This Row],[Bucket]],wip[Stock(Net Wt)])/1000</f>
        <v/>
      </c>
      <c r="AG98" s="43" t="e">
        <v>#REF!</v>
      </c>
      <c r="AH98" s="43">
        <f>SUMIFS(stock[MT],stock[Bucket],salesforecast[[#This Row],[Bucket2]],stock[Plant],"0788")</f>
        <v/>
      </c>
      <c r="AI98" s="43">
        <f>((salesforecast[[#This Row],[WIP]]+salesforecast[[#This Row],[Stock LL]]))/salesforecast[[#This Row],[July Schedule]]*30</f>
        <v/>
      </c>
      <c r="AJ98" s="585">
        <f>salesforecast[[#This Row],[Stock LL]]/salesforecast[[#This Row],[Schedule]]*30</f>
        <v/>
      </c>
      <c r="AK98" s="43">
        <f>SUMIFS(stock[MT],stock[Bucket],salesforecast[[#This Row],[Bucket2]],stock[Plant],"0789",stock[LL or CTL],"LL")</f>
        <v/>
      </c>
      <c r="AL98" s="193">
        <f>(salesforecast[[#This Row],[Sales]])/salesforecast[[#This Row],[Schedule]]</f>
        <v/>
      </c>
      <c r="AM98" s="43">
        <f>SUMIFS(stock[MT],stock[Plant],salesforecast[[#This Row],[Plant]],stock[LL or CTL],"LL",stock[Bucket],salesforecast[[#This Row],[Bucket]])</f>
        <v/>
      </c>
      <c r="AN98" s="43">
        <f>SUMIFS(scheduleapr[SCHEDULE IN MT],scheduleapr[CUSTOMER NAME],"*Rajsriya*",scheduleapr[Bucket],salesforecast[[#This Row],[Bucket]])</f>
        <v/>
      </c>
      <c r="AO98" s="43">
        <f>SUMIFS(salesTVS[Quantity],salesTVS[CUSTOMER  NAME],"*RAJSRIYA*",salesTVS[buckets.Bucket],salesforecast[[#This Row],[Bucket]])/1000</f>
        <v/>
      </c>
      <c r="AP98" s="43">
        <f>SUMIFS(stock[MT],stock[Plant],4318,stock[Bucket],salesforecast[[#This Row],[Bucket2]])</f>
        <v/>
      </c>
      <c r="AQ98" s="43">
        <f>SUMIFS(stock[MT],stock[Plant],4731,stock[Bucket],salesforecast[[#This Row],[Bucket2]],stock[LL or CTL],"CTL")</f>
        <v/>
      </c>
      <c r="AR98" s="43">
        <f>SUMIFS(stock[MT],stock[Plant],4731,stock[Bucket],salesforecast[[#This Row],[Bucket2]])-salesforecast[[#This Row],[4731 Stock CTL]]</f>
        <v/>
      </c>
      <c r="AS98" s="43">
        <f>SUMIFS(stock[MT],stock[Plant],8406,stock[Bucket],salesforecast[[#This Row],[Bucket2]])</f>
        <v/>
      </c>
    </row>
    <row r="99" ht="30" customHeight="1" s="584">
      <c r="A99" t="n">
        <v>48.6</v>
      </c>
      <c r="B99" t="n">
        <v>48.6</v>
      </c>
      <c r="C99" t="n">
        <v>0</v>
      </c>
      <c r="D99" t="n">
        <v>1.2</v>
      </c>
      <c r="E99" t="inlineStr">
        <is>
          <t>ERW 1</t>
        </is>
      </c>
      <c r="F99" t="inlineStr">
        <is>
          <t>FC</t>
        </is>
      </c>
      <c r="G99" t="inlineStr">
        <is>
          <t>CR</t>
        </is>
      </c>
      <c r="H99">
        <f>_xlfn.CONCAT(salesforecast[[#This Row],[OD]],"-",salesforecast[[#This Row],[ID]],"-",salesforecast[[#This Row],[TICKNESS]],"-",salesforecast[[#This Row],[GRADE]],"-",salesforecast[[#This Row],[FC/NFC]])</f>
        <v/>
      </c>
      <c r="I99" s="43">
        <f>SUMIFS(scheduleapr[SCHEDULE IN MT],scheduleapr[Bucket],salesforecast[[#This Row],[Bucket]])</f>
        <v/>
      </c>
      <c r="J99" t="n">
        <v>3575647</v>
      </c>
      <c r="K99">
        <f>COUNTIF('helper sheet'!$A$1:$A$33,salesforecast[[#This Row],[LL Material Code]])</f>
        <v/>
      </c>
      <c r="N99" t="inlineStr">
        <is>
          <t>TUB-O-N-AUT-AW-FC-48.60X1.200X5.8200</t>
        </is>
      </c>
      <c r="P99" s="47" t="inlineStr">
        <is>
          <t>0789</t>
        </is>
      </c>
      <c r="Q99" t="n">
        <v>4</v>
      </c>
      <c r="R99" t="n">
        <v>15</v>
      </c>
      <c r="S99" t="n">
        <v>8</v>
      </c>
      <c r="T99" s="585">
        <f>ROUNDUP(MAX(salesforecast[[#This Row],[FY25 Average]],salesforecast[[#This Row],[July Schedule]]),0)</f>
        <v/>
      </c>
      <c r="U99" s="585">
        <f>salesforecast[[#This Row],[Forecast]]-salesforecast[[#This Row],[July Schedule]]</f>
        <v/>
      </c>
      <c r="V99">
        <f>salesforecast[[#This Row],[Plant]]</f>
        <v/>
      </c>
      <c r="W99" s="66">
        <f t="array" ref="W99">_xlfn.TEXTJOIN("|",TRUE,(_xlfn.UNIQUE(_xlfn._xlws.FILTER(scheduleapr[CUSTOMER NAME],scheduleapr[Bucket]=salesforecast[[#This Row],[Bucket]]))))</f>
        <v/>
      </c>
      <c r="X99" s="66">
        <f t="array" ref="X99">_xlfn.TEXTJOIN("|",TRUE,(_xlfn.UNIQUE(_xlfn._xlws.SORT(_xlfn._xlws.FILTER(scheduleapr[LENGTH],scheduleapr[Bucket]=salesforecast[[#This Row],[Bucket]])))))</f>
        <v/>
      </c>
      <c r="Y99" s="66">
        <f t="array" ref="Y99">_xlfn.TEXTJOIN("|",TRUE,_xlfn._xlws.FILTER(buckets[Material Codes],(buckets[Bucket]=salesforecast[[#This Row],[Bucket2]])*(buckets[LL or CTL]="CTL")))</f>
        <v/>
      </c>
      <c r="Z99">
        <f>salesforecast[[#This Row],[Bucket]]</f>
        <v/>
      </c>
      <c r="AA99" s="43">
        <f>salesforecast[[#This Row],[July Schedule]]</f>
        <v/>
      </c>
      <c r="AB99" s="43">
        <f>SUMIF(salesTVS[buckets.Bucket],salesforecast[[#This Row],[Bucket]],salesTVS[Quantity])/1000</f>
        <v/>
      </c>
      <c r="AC99" s="43">
        <f>SUMIFS(stock[MT],stock[Bucket],salesforecast[[#This Row],[Bucket]],stock[LL or CTL],"CTL")</f>
        <v/>
      </c>
      <c r="AD99" s="43">
        <f>SUMIF(stock[Bucket],salesforecast[[#This Row],[Bucket]],stock[MT])-salesforecast[[#This Row],[Stock CTL]]</f>
        <v/>
      </c>
      <c r="AE99" s="43" t="e">
        <v>#REF!</v>
      </c>
      <c r="AF99" s="43">
        <f>SUMIF(wip[Bucket],salesforecast[[#This Row],[Bucket]],wip[Stock(Net Wt)])/1000</f>
        <v/>
      </c>
      <c r="AG99" s="43" t="e">
        <v>#REF!</v>
      </c>
      <c r="AH99" s="43">
        <f>SUMIFS(stock[MT],stock[Bucket],salesforecast[[#This Row],[Bucket2]],stock[Plant],"0788")</f>
        <v/>
      </c>
      <c r="AI99" s="43">
        <f>((salesforecast[[#This Row],[WIP]]+salesforecast[[#This Row],[Stock LL]]))/salesforecast[[#This Row],[July Schedule]]*30</f>
        <v/>
      </c>
      <c r="AJ99" s="585">
        <f>salesforecast[[#This Row],[Stock LL]]/salesforecast[[#This Row],[Schedule]]*30</f>
        <v/>
      </c>
      <c r="AK99" s="43">
        <f>SUMIFS(stock[MT],stock[Bucket],salesforecast[[#This Row],[Bucket2]],stock[Plant],"0789",stock[LL or CTL],"LL")</f>
        <v/>
      </c>
      <c r="AL99" s="193">
        <f>(salesforecast[[#This Row],[Sales]])/salesforecast[[#This Row],[Schedule]]</f>
        <v/>
      </c>
      <c r="AM99" s="43">
        <f>SUMIFS(stock[MT],stock[Plant],salesforecast[[#This Row],[Plant]],stock[LL or CTL],"LL",stock[Bucket],salesforecast[[#This Row],[Bucket]])</f>
        <v/>
      </c>
      <c r="AN99" s="43">
        <f>SUMIFS(scheduleapr[SCHEDULE IN MT],scheduleapr[CUSTOMER NAME],"*Rajsriya*",scheduleapr[Bucket],salesforecast[[#This Row],[Bucket]])</f>
        <v/>
      </c>
      <c r="AO99" s="43">
        <f>SUMIFS(salesTVS[Quantity],salesTVS[CUSTOMER  NAME],"*RAJSRIYA*",salesTVS[buckets.Bucket],salesforecast[[#This Row],[Bucket]])/1000</f>
        <v/>
      </c>
      <c r="AP99" s="43">
        <f>SUMIFS(stock[MT],stock[Plant],4318,stock[Bucket],salesforecast[[#This Row],[Bucket2]])</f>
        <v/>
      </c>
      <c r="AQ99" s="43">
        <f>SUMIFS(stock[MT],stock[Plant],4731,stock[Bucket],salesforecast[[#This Row],[Bucket2]],stock[LL or CTL],"CTL")</f>
        <v/>
      </c>
      <c r="AR99" s="43">
        <f>SUMIFS(stock[MT],stock[Plant],4731,stock[Bucket],salesforecast[[#This Row],[Bucket2]])-salesforecast[[#This Row],[4731 Stock CTL]]</f>
        <v/>
      </c>
      <c r="AS99" s="43">
        <f>SUMIFS(stock[MT],stock[Plant],8406,stock[Bucket],salesforecast[[#This Row],[Bucket2]])</f>
        <v/>
      </c>
    </row>
    <row r="100" ht="60" customHeight="1" s="584">
      <c r="A100" t="n">
        <v>48.6</v>
      </c>
      <c r="B100" t="n">
        <v>48.6</v>
      </c>
      <c r="C100" t="n">
        <v>0</v>
      </c>
      <c r="D100" t="n">
        <v>3.5</v>
      </c>
      <c r="E100" t="inlineStr">
        <is>
          <t>ERW 1</t>
        </is>
      </c>
      <c r="F100" t="inlineStr">
        <is>
          <t>FC</t>
        </is>
      </c>
      <c r="G100" t="inlineStr">
        <is>
          <t>HR</t>
        </is>
      </c>
      <c r="H100">
        <f>_xlfn.CONCAT(salesforecast[[#This Row],[OD]],"-",salesforecast[[#This Row],[ID]],"-",salesforecast[[#This Row],[TICKNESS]],"-",salesforecast[[#This Row],[GRADE]],"-",salesforecast[[#This Row],[FC/NFC]])</f>
        <v/>
      </c>
      <c r="I100" s="43">
        <f>SUMIFS(scheduleapr[SCHEDULE IN MT],scheduleapr[Bucket],salesforecast[[#This Row],[Bucket]])</f>
        <v/>
      </c>
      <c r="J100" s="91" t="n">
        <v>3909479</v>
      </c>
      <c r="K100">
        <f>COUNTIF('helper sheet'!$A$1:$A$33,salesforecast[[#This Row],[LL Material Code]])</f>
        <v/>
      </c>
      <c r="N100" t="inlineStr">
        <is>
          <t>TUB-O-N-AUT-AW-FC-48.60X3.500X4.6500</t>
        </is>
      </c>
      <c r="P100" s="47" t="inlineStr">
        <is>
          <t>0789</t>
        </is>
      </c>
      <c r="Q100" t="n">
        <v>5</v>
      </c>
      <c r="R100" t="n">
        <v>43</v>
      </c>
      <c r="S100" t="n">
        <v>19</v>
      </c>
      <c r="T100" s="585">
        <f>ROUNDUP(MAX(salesforecast[[#This Row],[FY25 Average]],salesforecast[[#This Row],[July Schedule]]),0)</f>
        <v/>
      </c>
      <c r="U100" s="585">
        <f>salesforecast[[#This Row],[Forecast]]-salesforecast[[#This Row],[July Schedule]]</f>
        <v/>
      </c>
      <c r="V100">
        <f>salesforecast[[#This Row],[Plant]]</f>
        <v/>
      </c>
      <c r="W100" s="66">
        <f t="array" ref="W100">_xlfn.TEXTJOIN("|",TRUE,(_xlfn.UNIQUE(_xlfn._xlws.FILTER(scheduleapr[CUSTOMER NAME],scheduleapr[Bucket]=salesforecast[[#This Row],[Bucket]]))))</f>
        <v/>
      </c>
      <c r="X100" s="66">
        <f t="array" ref="X100">_xlfn.TEXTJOIN("|",TRUE,(_xlfn.UNIQUE(_xlfn._xlws.SORT(_xlfn._xlws.FILTER(scheduleapr[LENGTH],scheduleapr[Bucket]=salesforecast[[#This Row],[Bucket]])))))</f>
        <v/>
      </c>
      <c r="Y100" s="66">
        <f t="array" ref="Y100">_xlfn.TEXTJOIN("|",TRUE,_xlfn._xlws.FILTER(buckets[Material Codes],(buckets[Bucket]=salesforecast[[#This Row],[Bucket2]])*(buckets[LL or CTL]="CTL")))</f>
        <v/>
      </c>
      <c r="Z100">
        <f>salesforecast[[#This Row],[Bucket]]</f>
        <v/>
      </c>
      <c r="AA100" s="43">
        <f>salesforecast[[#This Row],[July Schedule]]</f>
        <v/>
      </c>
      <c r="AB100" s="43">
        <f>SUMIF(salesTVS[buckets.Bucket],salesforecast[[#This Row],[Bucket]],salesTVS[Quantity])/1000</f>
        <v/>
      </c>
      <c r="AC100" s="43">
        <f>SUMIFS(stock[MT],stock[Bucket],salesforecast[[#This Row],[Bucket]],stock[LL or CTL],"CTL")</f>
        <v/>
      </c>
      <c r="AD100" s="43">
        <f>SUMIF(stock[Bucket],salesforecast[[#This Row],[Bucket]],stock[MT])-salesforecast[[#This Row],[Stock CTL]]</f>
        <v/>
      </c>
      <c r="AE100" s="43" t="e">
        <v>#REF!</v>
      </c>
      <c r="AF100" s="43">
        <f>SUMIF(wip[Bucket],salesforecast[[#This Row],[Bucket]],wip[Stock(Net Wt)])/1000</f>
        <v/>
      </c>
      <c r="AG100" s="43" t="e">
        <v>#REF!</v>
      </c>
      <c r="AH100" s="43">
        <f>SUMIFS(stock[MT],stock[Bucket],salesforecast[[#This Row],[Bucket2]],stock[Plant],"0788")</f>
        <v/>
      </c>
      <c r="AI100" s="43">
        <f>((salesforecast[[#This Row],[WIP]]+salesforecast[[#This Row],[Stock LL]]))/salesforecast[[#This Row],[July Schedule]]*30</f>
        <v/>
      </c>
      <c r="AJ100" s="585">
        <f>salesforecast[[#This Row],[Stock LL]]/salesforecast[[#This Row],[Schedule]]*30</f>
        <v/>
      </c>
      <c r="AK100" s="43">
        <f>SUMIFS(stock[MT],stock[Bucket],salesforecast[[#This Row],[Bucket2]],stock[Plant],"0789",stock[LL or CTL],"LL")</f>
        <v/>
      </c>
      <c r="AL100" s="193">
        <f>(salesforecast[[#This Row],[Sales]])/salesforecast[[#This Row],[Schedule]]</f>
        <v/>
      </c>
      <c r="AM100" s="43">
        <f>SUMIFS(stock[MT],stock[Plant],salesforecast[[#This Row],[Plant]],stock[LL or CTL],"LL",stock[Bucket],salesforecast[[#This Row],[Bucket]])</f>
        <v/>
      </c>
      <c r="AN100" s="43">
        <f>SUMIFS(scheduleapr[SCHEDULE IN MT],scheduleapr[CUSTOMER NAME],"*Rajsriya*",scheduleapr[Bucket],salesforecast[[#This Row],[Bucket]])</f>
        <v/>
      </c>
      <c r="AO100" s="43">
        <f>SUMIFS(salesTVS[Quantity],salesTVS[CUSTOMER  NAME],"*RAJSRIYA*",salesTVS[buckets.Bucket],salesforecast[[#This Row],[Bucket]])/1000</f>
        <v/>
      </c>
      <c r="AP100" s="43">
        <f>SUMIFS(stock[MT],stock[Plant],4318,stock[Bucket],salesforecast[[#This Row],[Bucket2]])</f>
        <v/>
      </c>
      <c r="AQ100" s="43">
        <f>SUMIFS(stock[MT],stock[Plant],4731,stock[Bucket],salesforecast[[#This Row],[Bucket2]],stock[LL or CTL],"CTL")</f>
        <v/>
      </c>
      <c r="AR100" s="43">
        <f>SUMIFS(stock[MT],stock[Plant],4731,stock[Bucket],salesforecast[[#This Row],[Bucket2]])-salesforecast[[#This Row],[4731 Stock CTL]]</f>
        <v/>
      </c>
      <c r="AS100" s="43">
        <f>SUMIFS(stock[MT],stock[Plant],8406,stock[Bucket],salesforecast[[#This Row],[Bucket2]])</f>
        <v/>
      </c>
    </row>
    <row r="101" ht="30" customHeight="1" s="584">
      <c r="A101" t="n">
        <v>50</v>
      </c>
      <c r="B101" t="n">
        <v>50</v>
      </c>
      <c r="C101" t="n">
        <v>50</v>
      </c>
      <c r="D101" t="n">
        <v>1.6</v>
      </c>
      <c r="E101" t="inlineStr">
        <is>
          <t>ERW 2</t>
        </is>
      </c>
      <c r="F101" t="inlineStr">
        <is>
          <t>PE</t>
        </is>
      </c>
      <c r="G101" t="inlineStr">
        <is>
          <t>CR</t>
        </is>
      </c>
      <c r="H101">
        <f>_xlfn.CONCAT(salesforecast[[#This Row],[OD]],"-",salesforecast[[#This Row],[ID]],"-",salesforecast[[#This Row],[TICKNESS]],"-",salesforecast[[#This Row],[GRADE]],"-",salesforecast[[#This Row],[FC/NFC]])</f>
        <v/>
      </c>
      <c r="I101" s="43">
        <f>SUMIFS(scheduleapr[SCHEDULE IN MT],scheduleapr[Bucket],salesforecast[[#This Row],[Bucket]])</f>
        <v/>
      </c>
      <c r="J101" s="28" t="n">
        <v>3500268</v>
      </c>
      <c r="K101">
        <f>COUNTIF('helper sheet'!$A$1:$A$33,salesforecast[[#This Row],[LL Material Code]])</f>
        <v/>
      </c>
      <c r="N101" t="inlineStr">
        <is>
          <t>TUB-S-AW-SHS-50.00X50.00X1.600X6.000 HST</t>
        </is>
      </c>
      <c r="O101" t="inlineStr"/>
      <c r="P101" s="47" t="inlineStr">
        <is>
          <t>056</t>
        </is>
      </c>
      <c r="Q101" t="n">
        <v>0</v>
      </c>
      <c r="R101" t="n">
        <v>7</v>
      </c>
      <c r="S101" t="n">
        <v>3</v>
      </c>
      <c r="T101" s="585">
        <f>ROUNDUP(MAX(salesforecast[[#This Row],[FY25 Average]],salesforecast[[#This Row],[July Schedule]]),0)</f>
        <v/>
      </c>
      <c r="U101" s="585">
        <f>salesforecast[[#This Row],[Forecast]]-salesforecast[[#This Row],[July Schedule]]</f>
        <v/>
      </c>
      <c r="V101">
        <f>salesforecast[[#This Row],[Plant]]</f>
        <v/>
      </c>
      <c r="W101" s="66">
        <f t="array" ref="W101">_xlfn.TEXTJOIN("|",TRUE,(_xlfn.UNIQUE(_xlfn._xlws.FILTER(scheduleapr[CUSTOMER NAME],scheduleapr[Bucket]=salesforecast[[#This Row],[Bucket]]))))</f>
        <v/>
      </c>
      <c r="X101" s="66">
        <f t="array" ref="X101">_xlfn.TEXTJOIN("|",TRUE,(_xlfn.UNIQUE(_xlfn._xlws.SORT(_xlfn._xlws.FILTER(scheduleapr[LENGTH],scheduleapr[Bucket]=salesforecast[[#This Row],[Bucket]])))))</f>
        <v/>
      </c>
      <c r="Y101" s="66">
        <f t="array" ref="Y101">_xlfn.TEXTJOIN("|",TRUE,_xlfn._xlws.FILTER(buckets[Material Codes],(buckets[Bucket]=salesforecast[[#This Row],[Bucket2]])))</f>
        <v/>
      </c>
      <c r="Z101">
        <f>salesforecast[[#This Row],[Bucket]]</f>
        <v/>
      </c>
      <c r="AA101" s="43">
        <f>salesforecast[[#This Row],[July Schedule]]</f>
        <v/>
      </c>
      <c r="AB101" s="43">
        <f>SUMIF(salesTVS[buckets.Bucket],salesforecast[[#This Row],[Bucket]],salesTVS[Quantity])/1000</f>
        <v/>
      </c>
      <c r="AC101" s="43">
        <f>SUMIFS(stock[MT],stock[Bucket],salesforecast[[#This Row],[Bucket]],stock[LL or CTL],"CTL")</f>
        <v/>
      </c>
      <c r="AD101" s="43">
        <f>SUMIF(stock[Bucket],salesforecast[[#This Row],[Bucket]],stock[MT])-salesforecast[[#This Row],[Stock CTL]]</f>
        <v/>
      </c>
      <c r="AE101" s="43" t="e">
        <v>#REF!</v>
      </c>
      <c r="AF101" s="43">
        <f>SUMIF(wip[Bucket],salesforecast[[#This Row],[Bucket]],wip[Stock(Net Wt)])/1000</f>
        <v/>
      </c>
      <c r="AG101" s="43" t="e">
        <v>#REF!</v>
      </c>
      <c r="AH101" s="43">
        <f>SUMIFS(stock[MT],stock[Bucket],salesforecast[[#This Row],[Bucket2]],stock[Plant],"0788")</f>
        <v/>
      </c>
      <c r="AI101" s="585">
        <f>((salesforecast[[#This Row],[WIP]]+salesforecast[[#This Row],[Stock LL]]))/salesforecast[[#This Row],[July Schedule]]*30</f>
        <v/>
      </c>
      <c r="AJ101" s="585">
        <f>salesforecast[[#This Row],[Stock LL]]/salesforecast[[#This Row],[Schedule]]*30</f>
        <v/>
      </c>
      <c r="AK101" s="43">
        <f>SUMIFS(stock[MT],stock[Bucket],salesforecast[[#This Row],[Bucket2]],stock[Plant],"0789",stock[LL or CTL],"LL")</f>
        <v/>
      </c>
      <c r="AL101" s="193">
        <f>(salesforecast[[#This Row],[Sales]])/salesforecast[[#This Row],[Schedule]]</f>
        <v/>
      </c>
      <c r="AM101" s="43">
        <f>SUMIFS(stock[MT],stock[Plant],salesforecast[[#This Row],[Plant]],stock[LL or CTL],"LL",stock[Bucket],salesforecast[[#This Row],[Bucket]])</f>
        <v/>
      </c>
      <c r="AN101" s="43">
        <f>SUMIFS(scheduleapr[SCHEDULE IN MT],scheduleapr[CUSTOMER NAME],"*Rajsriya*",scheduleapr[Bucket],salesforecast[[#This Row],[Bucket]])</f>
        <v/>
      </c>
      <c r="AO101" s="43">
        <f>SUMIFS(salesTVS[Quantity],salesTVS[CUSTOMER  NAME],"*RAJSRIYA*",salesTVS[buckets.Bucket],salesforecast[[#This Row],[Bucket]])/1000</f>
        <v/>
      </c>
      <c r="AP101" s="43">
        <f>SUMIFS(stock[MT],stock[Plant],4318,stock[Bucket],salesforecast[[#This Row],[Bucket2]])</f>
        <v/>
      </c>
      <c r="AQ101" s="43">
        <f>SUMIFS(stock[MT],stock[Plant],4731,stock[Bucket],salesforecast[[#This Row],[Bucket2]],stock[LL or CTL],"CTL")</f>
        <v/>
      </c>
      <c r="AR101" s="43">
        <f>SUMIFS(stock[MT],stock[Plant],4731,stock[Bucket],salesforecast[[#This Row],[Bucket2]])-salesforecast[[#This Row],[4731 Stock CTL]]</f>
        <v/>
      </c>
      <c r="AS101" s="43">
        <f>SUMIFS(stock[MT],stock[Plant],8406,stock[Bucket],salesforecast[[#This Row],[Bucket2]])</f>
        <v/>
      </c>
    </row>
    <row r="102">
      <c r="A102" t="n">
        <v>50.8</v>
      </c>
      <c r="B102" t="n">
        <v>50</v>
      </c>
      <c r="C102" t="n">
        <v>30</v>
      </c>
      <c r="D102" t="n">
        <v>1.6</v>
      </c>
      <c r="E102" t="inlineStr">
        <is>
          <t>ERW 2</t>
        </is>
      </c>
      <c r="F102" t="inlineStr">
        <is>
          <t>FC</t>
        </is>
      </c>
      <c r="G102" t="inlineStr">
        <is>
          <t>CR</t>
        </is>
      </c>
      <c r="H102">
        <f>_xlfn.CONCAT(salesforecast[[#This Row],[OD]],"-",salesforecast[[#This Row],[ID]],"-",salesforecast[[#This Row],[TICKNESS]],"-",salesforecast[[#This Row],[GRADE]],"-",salesforecast[[#This Row],[FC/NFC]])</f>
        <v/>
      </c>
      <c r="I102" s="43">
        <f>SUMIFS(scheduleapr[SCHEDULE IN MT],scheduleapr[Bucket],salesforecast[[#This Row],[Bucket]])</f>
        <v/>
      </c>
      <c r="J102" t="n">
        <v>3571607</v>
      </c>
      <c r="K102">
        <f>COUNTIF('helper sheet'!$A$1:$A$33,salesforecast[[#This Row],[LL Material Code]])</f>
        <v/>
      </c>
      <c r="N102" t="inlineStr">
        <is>
          <t>TUB-R-AW-AUT-50.00X30.00X1.600X5.5000</t>
        </is>
      </c>
      <c r="O102" t="inlineStr">
        <is>
          <t>SAE1020</t>
        </is>
      </c>
      <c r="P102" s="47" t="inlineStr">
        <is>
          <t>0789</t>
        </is>
      </c>
      <c r="Q102" t="n">
        <v>0</v>
      </c>
      <c r="R102" t="n">
        <v>16</v>
      </c>
      <c r="S102" t="n">
        <v>2</v>
      </c>
      <c r="T102" s="585">
        <f>ROUNDUP(MAX(salesforecast[[#This Row],[FY25 Average]],salesforecast[[#This Row],[July Schedule]]),0)</f>
        <v/>
      </c>
      <c r="U102" s="585">
        <f>salesforecast[[#This Row],[Forecast]]-salesforecast[[#This Row],[July Schedule]]</f>
        <v/>
      </c>
      <c r="V102">
        <f>salesforecast[[#This Row],[Plant]]</f>
        <v/>
      </c>
      <c r="W102" s="66">
        <f t="array" ref="W102">_xlfn.TEXTJOIN("|",TRUE,(_xlfn.UNIQUE(_xlfn._xlws.FILTER(scheduleapr[CUSTOMER NAME],scheduleapr[Bucket]=salesforecast[[#This Row],[Bucket]]))))</f>
        <v/>
      </c>
      <c r="X102" s="66">
        <f t="array" ref="X102">_xlfn.TEXTJOIN("|",TRUE,(_xlfn.UNIQUE(_xlfn._xlws.SORT(_xlfn._xlws.FILTER(scheduleapr[LENGTH],scheduleapr[Bucket]=salesforecast[[#This Row],[Bucket]])))))</f>
        <v/>
      </c>
      <c r="Y102" s="66">
        <f t="array" ref="Y102">_xlfn.TEXTJOIN("|",TRUE,_xlfn._xlws.FILTER(buckets[Material Codes],(buckets[Bucket]=salesforecast[[#This Row],[Bucket2]])*(buckets[LL or CTL]="CTL")))</f>
        <v/>
      </c>
      <c r="Z102">
        <f>salesforecast[[#This Row],[Bucket]]</f>
        <v/>
      </c>
      <c r="AA102" s="43">
        <f>salesforecast[[#This Row],[July Schedule]]</f>
        <v/>
      </c>
      <c r="AB102" s="43">
        <f>SUMIF(salesTVS[buckets.Bucket],salesforecast[[#This Row],[Bucket]],salesTVS[Quantity])/1000</f>
        <v/>
      </c>
      <c r="AC102" s="43">
        <f>SUMIFS(stock[MT],stock[Bucket],salesforecast[[#This Row],[Bucket]],stock[LL or CTL],"CTL")</f>
        <v/>
      </c>
      <c r="AD102" s="43">
        <f>SUMIF(stock[Bucket],salesforecast[[#This Row],[Bucket]],stock[MT])-salesforecast[[#This Row],[Stock CTL]]</f>
        <v/>
      </c>
      <c r="AE102" s="43" t="e">
        <v>#REF!</v>
      </c>
      <c r="AF102" s="43">
        <f>SUMIF(wip[Bucket],salesforecast[[#This Row],[Bucket]],wip[Stock(Net Wt)])/1000</f>
        <v/>
      </c>
      <c r="AG102" s="43" t="e">
        <v>#REF!</v>
      </c>
      <c r="AH102" s="43">
        <f>SUMIFS(stock[MT],stock[Bucket],salesforecast[[#This Row],[Bucket2]],stock[Plant],"0788")</f>
        <v/>
      </c>
      <c r="AI102" s="43">
        <f>((salesforecast[[#This Row],[WIP]]+salesforecast[[#This Row],[Stock LL]]))/salesforecast[[#This Row],[July Schedule]]*30</f>
        <v/>
      </c>
      <c r="AJ102" s="585">
        <f>salesforecast[[#This Row],[Stock LL]]/salesforecast[[#This Row],[Schedule]]*30</f>
        <v/>
      </c>
      <c r="AK102" s="43">
        <f>SUMIFS(stock[MT],stock[Bucket],salesforecast[[#This Row],[Bucket2]],stock[Plant],"0789",stock[LL or CTL],"LL")</f>
        <v/>
      </c>
      <c r="AL102" s="193">
        <f>(salesforecast[[#This Row],[Sales]])/salesforecast[[#This Row],[Schedule]]</f>
        <v/>
      </c>
      <c r="AM102" s="43">
        <f>SUMIFS(stock[MT],stock[Plant],salesforecast[[#This Row],[Plant]],stock[LL or CTL],"LL",stock[Bucket],salesforecast[[#This Row],[Bucket]])</f>
        <v/>
      </c>
      <c r="AN102" s="43">
        <f>SUMIFS(scheduleapr[SCHEDULE IN MT],scheduleapr[CUSTOMER NAME],"*Rajsriya*",scheduleapr[Bucket],salesforecast[[#This Row],[Bucket]])</f>
        <v/>
      </c>
      <c r="AO102" s="43">
        <f>SUMIFS(salesTVS[Quantity],salesTVS[CUSTOMER  NAME],"*RAJSRIYA*",salesTVS[buckets.Bucket],salesforecast[[#This Row],[Bucket]])/1000</f>
        <v/>
      </c>
      <c r="AP102" s="43">
        <f>SUMIFS(stock[MT],stock[Plant],4318,stock[Bucket],salesforecast[[#This Row],[Bucket2]])</f>
        <v/>
      </c>
      <c r="AQ102" s="43">
        <f>SUMIFS(stock[MT],stock[Plant],4731,stock[Bucket],salesforecast[[#This Row],[Bucket2]],stock[LL or CTL],"CTL")</f>
        <v/>
      </c>
      <c r="AR102" s="43">
        <f>SUMIFS(stock[MT],stock[Plant],4731,stock[Bucket],salesforecast[[#This Row],[Bucket2]])-salesforecast[[#This Row],[4731 Stock CTL]]</f>
        <v/>
      </c>
      <c r="AS102" s="43">
        <f>SUMIFS(stock[MT],stock[Plant],8406,stock[Bucket],salesforecast[[#This Row],[Bucket2]])</f>
        <v/>
      </c>
    </row>
    <row r="103" ht="45" customHeight="1" s="584">
      <c r="A103" t="n">
        <v>50.8</v>
      </c>
      <c r="B103" t="n">
        <v>50</v>
      </c>
      <c r="C103" t="n">
        <v>30</v>
      </c>
      <c r="D103" t="n">
        <v>1.6</v>
      </c>
      <c r="E103" t="inlineStr">
        <is>
          <t>ERW 1</t>
        </is>
      </c>
      <c r="F103" t="inlineStr">
        <is>
          <t>FC</t>
        </is>
      </c>
      <c r="G103" t="inlineStr">
        <is>
          <t>HR</t>
        </is>
      </c>
      <c r="H103">
        <f>_xlfn.CONCAT(salesforecast[[#This Row],[OD]],"-",salesforecast[[#This Row],[ID]],"-",salesforecast[[#This Row],[TICKNESS]],"-",salesforecast[[#This Row],[GRADE]],"-",salesforecast[[#This Row],[FC/NFC]])</f>
        <v/>
      </c>
      <c r="I103" s="43">
        <f>SUMIFS(scheduleapr[SCHEDULE IN MT],scheduleapr[Bucket],salesforecast[[#This Row],[Bucket]])</f>
        <v/>
      </c>
      <c r="J103" t="n">
        <v>3569429</v>
      </c>
      <c r="K103">
        <f>COUNTIF('helper sheet'!$A$1:$A$33,salesforecast[[#This Row],[LL Material Code]])</f>
        <v/>
      </c>
      <c r="N103" t="inlineStr">
        <is>
          <t>TUB-R-AW-RHS-50.00X30.00X1.600X5.8200</t>
        </is>
      </c>
      <c r="P103" s="47" t="inlineStr">
        <is>
          <t>0789</t>
        </is>
      </c>
      <c r="Q103" t="n">
        <v>44</v>
      </c>
      <c r="R103" t="n">
        <v>136</v>
      </c>
      <c r="S103" t="n">
        <v>77</v>
      </c>
      <c r="T103" s="585" t="n">
        <v>65</v>
      </c>
      <c r="U103" s="585">
        <f>salesforecast[[#This Row],[Forecast]]-salesforecast[[#This Row],[July Schedule]]</f>
        <v/>
      </c>
      <c r="V103">
        <f>salesforecast[[#This Row],[Plant]]</f>
        <v/>
      </c>
      <c r="W103" s="66">
        <f t="array" ref="W103">_xlfn.TEXTJOIN("|",TRUE,(_xlfn.UNIQUE(_xlfn._xlws.FILTER(scheduleapr[CUSTOMER NAME],scheduleapr[Bucket]=salesforecast[[#This Row],[Bucket]]))))</f>
        <v/>
      </c>
      <c r="X103" s="66">
        <f t="array" ref="X103">_xlfn.TEXTJOIN("|",TRUE,(_xlfn.UNIQUE(_xlfn._xlws.SORT(_xlfn._xlws.FILTER(scheduleapr[LENGTH],scheduleapr[Bucket]=salesforecast[[#This Row],[Bucket]])))))</f>
        <v/>
      </c>
      <c r="Y103" s="66">
        <f t="array" ref="Y103">_xlfn.TEXTJOIN("|",TRUE,_xlfn._xlws.FILTER(buckets[Material Codes],(buckets[Bucket]=salesforecast[[#This Row],[Bucket2]])*(buckets[LL or CTL]="CTL")))</f>
        <v/>
      </c>
      <c r="Z103">
        <f>salesforecast[[#This Row],[Bucket]]</f>
        <v/>
      </c>
      <c r="AA103" s="43">
        <f>salesforecast[[#This Row],[July Schedule]]</f>
        <v/>
      </c>
      <c r="AB103" s="43">
        <f>SUMIF(salesTVS[buckets.Bucket],salesforecast[[#This Row],[Bucket]],salesTVS[Quantity])/1000</f>
        <v/>
      </c>
      <c r="AC103" s="43">
        <f>SUMIFS(stock[MT],stock[Bucket],salesforecast[[#This Row],[Bucket]],stock[LL or CTL],"CTL")</f>
        <v/>
      </c>
      <c r="AD103" s="43">
        <f>SUMIF(stock[Bucket],salesforecast[[#This Row],[Bucket]],stock[MT])-salesforecast[[#This Row],[Stock CTL]]</f>
        <v/>
      </c>
      <c r="AE103" s="43" t="e">
        <v>#REF!</v>
      </c>
      <c r="AF103" s="43">
        <f>SUMIF(wip[Bucket],salesforecast[[#This Row],[Bucket]],wip[Stock(Net Wt)])/1000</f>
        <v/>
      </c>
      <c r="AG103" s="43" t="e">
        <v>#REF!</v>
      </c>
      <c r="AH103" s="43">
        <f>SUMIFS(stock[MT],stock[Bucket],salesforecast[[#This Row],[Bucket2]],stock[Plant],"0788")</f>
        <v/>
      </c>
      <c r="AI103" s="43">
        <f>((salesforecast[[#This Row],[WIP]]+salesforecast[[#This Row],[Stock LL]]))/salesforecast[[#This Row],[July Schedule]]*30</f>
        <v/>
      </c>
      <c r="AJ103" s="585">
        <f>salesforecast[[#This Row],[Stock LL]]/salesforecast[[#This Row],[Schedule]]*30</f>
        <v/>
      </c>
      <c r="AK103" s="43">
        <f>SUMIFS(stock[MT],stock[Bucket],salesforecast[[#This Row],[Bucket2]],stock[Plant],"0789",stock[LL or CTL],"LL")</f>
        <v/>
      </c>
      <c r="AL103" s="193">
        <f>(salesforecast[[#This Row],[Sales]])/salesforecast[[#This Row],[Schedule]]</f>
        <v/>
      </c>
      <c r="AM103" s="43">
        <f>SUMIFS(stock[MT],stock[Plant],salesforecast[[#This Row],[Plant]],stock[LL or CTL],"LL",stock[Bucket],salesforecast[[#This Row],[Bucket]])</f>
        <v/>
      </c>
      <c r="AN103" s="43">
        <f>SUMIFS(scheduleapr[SCHEDULE IN MT],scheduleapr[CUSTOMER NAME],"*Rajsriya*",scheduleapr[Bucket],salesforecast[[#This Row],[Bucket]])</f>
        <v/>
      </c>
      <c r="AO103" s="43">
        <f>SUMIFS(salesTVS[Quantity],salesTVS[CUSTOMER  NAME],"*RAJSRIYA*",salesTVS[buckets.Bucket],salesforecast[[#This Row],[Bucket]])/1000</f>
        <v/>
      </c>
      <c r="AP103" s="43">
        <f>SUMIFS(stock[MT],stock[Plant],4318,stock[Bucket],salesforecast[[#This Row],[Bucket2]])</f>
        <v/>
      </c>
      <c r="AQ103" s="43">
        <f>SUMIFS(stock[MT],stock[Plant],4731,stock[Bucket],salesforecast[[#This Row],[Bucket2]],stock[LL or CTL],"CTL")</f>
        <v/>
      </c>
      <c r="AR103" s="43">
        <f>SUMIFS(stock[MT],stock[Plant],4731,stock[Bucket],salesforecast[[#This Row],[Bucket2]])-salesforecast[[#This Row],[4731 Stock CTL]]</f>
        <v/>
      </c>
      <c r="AS103" s="43">
        <f>SUMIFS(stock[MT],stock[Plant],8406,stock[Bucket],salesforecast[[#This Row],[Bucket2]])</f>
        <v/>
      </c>
    </row>
    <row r="104">
      <c r="A104" t="n">
        <v>50.8</v>
      </c>
      <c r="B104" t="n">
        <v>50</v>
      </c>
      <c r="C104" t="n">
        <v>30</v>
      </c>
      <c r="D104" t="n">
        <v>2</v>
      </c>
      <c r="E104" t="inlineStr">
        <is>
          <t>ERW 1</t>
        </is>
      </c>
      <c r="F104" t="inlineStr">
        <is>
          <t>FC</t>
        </is>
      </c>
      <c r="G104" t="inlineStr">
        <is>
          <t>HR</t>
        </is>
      </c>
      <c r="H104">
        <f>_xlfn.CONCAT(salesforecast[[#This Row],[OD]],"-",salesforecast[[#This Row],[ID]],"-",salesforecast[[#This Row],[TICKNESS]],"-",salesforecast[[#This Row],[GRADE]],"-",salesforecast[[#This Row],[FC/NFC]])</f>
        <v/>
      </c>
      <c r="I104" s="43">
        <f>SUMIFS(scheduleapr[SCHEDULE IN MT],scheduleapr[Bucket],salesforecast[[#This Row],[Bucket]])</f>
        <v/>
      </c>
      <c r="J104" t="n">
        <v>3569430</v>
      </c>
      <c r="K104">
        <f>COUNTIF('helper sheet'!$A$1:$A$33,salesforecast[[#This Row],[LL Material Code]])</f>
        <v/>
      </c>
      <c r="N104" t="inlineStr">
        <is>
          <t>TUB-R-AW-RHS-50.00X30.00X2.000X5.9300</t>
        </is>
      </c>
      <c r="P104" s="47" t="inlineStr">
        <is>
          <t>0789</t>
        </is>
      </c>
      <c r="Q104" t="n">
        <v>0</v>
      </c>
      <c r="R104" t="n">
        <v>24</v>
      </c>
      <c r="S104" t="n">
        <v>7</v>
      </c>
      <c r="T104" s="585">
        <f>ROUNDUP(MAX(salesforecast[[#This Row],[FY25 Average]],salesforecast[[#This Row],[July Schedule]]),0)</f>
        <v/>
      </c>
      <c r="U104" s="585">
        <f>salesforecast[[#This Row],[Forecast]]-salesforecast[[#This Row],[July Schedule]]</f>
        <v/>
      </c>
      <c r="V104">
        <f>salesforecast[[#This Row],[Plant]]</f>
        <v/>
      </c>
      <c r="W104" s="66">
        <f t="array" ref="W104">_xlfn.TEXTJOIN("|",TRUE,(_xlfn.UNIQUE(_xlfn._xlws.FILTER(scheduleapr[CUSTOMER NAME],scheduleapr[Bucket]=salesforecast[[#This Row],[Bucket]]))))</f>
        <v/>
      </c>
      <c r="X104" s="66">
        <f t="array" ref="X104">_xlfn.TEXTJOIN("|",TRUE,(_xlfn.UNIQUE(_xlfn._xlws.SORT(_xlfn._xlws.FILTER(scheduleapr[LENGTH],scheduleapr[Bucket]=salesforecast[[#This Row],[Bucket]])))))</f>
        <v/>
      </c>
      <c r="Y104" s="66">
        <f t="array" ref="Y104">_xlfn.TEXTJOIN("|",TRUE,_xlfn._xlws.FILTER(buckets[Material Codes],(buckets[Bucket]=salesforecast[[#This Row],[Bucket2]])*(buckets[LL or CTL]="CTL")))</f>
        <v/>
      </c>
      <c r="Z104">
        <f>salesforecast[[#This Row],[Bucket]]</f>
        <v/>
      </c>
      <c r="AA104" s="43">
        <f>salesforecast[[#This Row],[July Schedule]]</f>
        <v/>
      </c>
      <c r="AB104" s="43">
        <f>SUMIF(salesTVS[buckets.Bucket],salesforecast[[#This Row],[Bucket]],salesTVS[Quantity])/1000</f>
        <v/>
      </c>
      <c r="AC104" s="43">
        <f>SUMIFS(stock[MT],stock[Bucket],salesforecast[[#This Row],[Bucket]],stock[LL or CTL],"CTL")</f>
        <v/>
      </c>
      <c r="AD104" s="43">
        <f>SUMIF(stock[Bucket],salesforecast[[#This Row],[Bucket]],stock[MT])-salesforecast[[#This Row],[Stock CTL]]</f>
        <v/>
      </c>
      <c r="AE104" s="43" t="e">
        <v>#REF!</v>
      </c>
      <c r="AF104" s="43">
        <f>SUMIF(wip[Bucket],salesforecast[[#This Row],[Bucket]],wip[Stock(Net Wt)])/1000</f>
        <v/>
      </c>
      <c r="AG104" s="43" t="e">
        <v>#REF!</v>
      </c>
      <c r="AH104" s="43">
        <f>SUMIFS(stock[MT],stock[Bucket],salesforecast[[#This Row],[Bucket2]],stock[Plant],"0788")</f>
        <v/>
      </c>
      <c r="AI104" s="43">
        <f>((salesforecast[[#This Row],[WIP]]+salesforecast[[#This Row],[Stock LL]]))/salesforecast[[#This Row],[July Schedule]]*30</f>
        <v/>
      </c>
      <c r="AJ104" s="585">
        <f>salesforecast[[#This Row],[Stock LL]]/salesforecast[[#This Row],[Schedule]]*30</f>
        <v/>
      </c>
      <c r="AK104" s="43">
        <f>SUMIFS(stock[MT],stock[Bucket],salesforecast[[#This Row],[Bucket2]],stock[Plant],"0789",stock[LL or CTL],"LL")</f>
        <v/>
      </c>
      <c r="AL104" s="193">
        <f>(salesforecast[[#This Row],[Sales]])/salesforecast[[#This Row],[Schedule]]</f>
        <v/>
      </c>
      <c r="AM104" s="43">
        <f>SUMIFS(stock[MT],stock[Plant],salesforecast[[#This Row],[Plant]],stock[LL or CTL],"LL",stock[Bucket],salesforecast[[#This Row],[Bucket]])</f>
        <v/>
      </c>
      <c r="AN104" s="43">
        <f>SUMIFS(scheduleapr[SCHEDULE IN MT],scheduleapr[CUSTOMER NAME],"*Rajsriya*",scheduleapr[Bucket],salesforecast[[#This Row],[Bucket]])</f>
        <v/>
      </c>
      <c r="AO104" s="43">
        <f>SUMIFS(salesTVS[Quantity],salesTVS[CUSTOMER  NAME],"*RAJSRIYA*",salesTVS[buckets.Bucket],salesforecast[[#This Row],[Bucket]])/1000</f>
        <v/>
      </c>
      <c r="AP104" s="43">
        <f>SUMIFS(stock[MT],stock[Plant],4318,stock[Bucket],salesforecast[[#This Row],[Bucket2]])</f>
        <v/>
      </c>
      <c r="AQ104" s="43">
        <f>SUMIFS(stock[MT],stock[Plant],4731,stock[Bucket],salesforecast[[#This Row],[Bucket2]],stock[LL or CTL],"CTL")</f>
        <v/>
      </c>
      <c r="AR104" s="43">
        <f>SUMIFS(stock[MT],stock[Plant],4731,stock[Bucket],salesforecast[[#This Row],[Bucket2]])-salesforecast[[#This Row],[4731 Stock CTL]]</f>
        <v/>
      </c>
      <c r="AS104" s="43">
        <f>SUMIFS(stock[MT],stock[Plant],8406,stock[Bucket],salesforecast[[#This Row],[Bucket2]])</f>
        <v/>
      </c>
    </row>
    <row r="105">
      <c r="A105" t="n">
        <v>50.8</v>
      </c>
      <c r="B105" t="n">
        <v>50.8</v>
      </c>
      <c r="C105" t="n">
        <v>0</v>
      </c>
      <c r="D105" t="n">
        <v>1.4</v>
      </c>
      <c r="E105" t="inlineStr">
        <is>
          <t>ERW 2</t>
        </is>
      </c>
      <c r="F105" t="inlineStr">
        <is>
          <t>FC</t>
        </is>
      </c>
      <c r="G105" t="inlineStr">
        <is>
          <t>HR</t>
        </is>
      </c>
      <c r="H105">
        <f>_xlfn.CONCAT(salesforecast[[#This Row],[OD]],"-",salesforecast[[#This Row],[ID]],"-",salesforecast[[#This Row],[TICKNESS]],"-",salesforecast[[#This Row],[GRADE]],"-",salesforecast[[#This Row],[FC/NFC]])</f>
        <v/>
      </c>
      <c r="I105" s="43">
        <f>SUMIFS(scheduleapr[SCHEDULE IN MT],scheduleapr[Bucket],salesforecast[[#This Row],[Bucket]])</f>
        <v/>
      </c>
      <c r="J105" t="n">
        <v>2248503</v>
      </c>
      <c r="K105">
        <f>COUNTIF('helper sheet'!$A$1:$A$33,salesforecast[[#This Row],[LL Material Code]])</f>
        <v/>
      </c>
      <c r="N105" t="inlineStr">
        <is>
          <t>TUB-O-N-AUT-AW-FC-50.80X1.400X5.9860</t>
        </is>
      </c>
      <c r="P105" s="47" t="inlineStr">
        <is>
          <t>0789</t>
        </is>
      </c>
      <c r="Q105" t="n">
        <v>2</v>
      </c>
      <c r="R105" t="n">
        <v>17</v>
      </c>
      <c r="S105" t="n">
        <v>9</v>
      </c>
      <c r="T105" s="585">
        <f>ROUNDUP(MAX(salesforecast[[#This Row],[FY25 Average]],salesforecast[[#This Row],[July Schedule]]),0)</f>
        <v/>
      </c>
      <c r="U105" s="585">
        <f>salesforecast[[#This Row],[Forecast]]-salesforecast[[#This Row],[July Schedule]]</f>
        <v/>
      </c>
      <c r="V105">
        <f>salesforecast[[#This Row],[Plant]]</f>
        <v/>
      </c>
      <c r="W105" s="66">
        <f t="array" ref="W105">_xlfn.TEXTJOIN("|",TRUE,(_xlfn.UNIQUE(_xlfn._xlws.FILTER(scheduleapr[CUSTOMER NAME],scheduleapr[Bucket]=salesforecast[[#This Row],[Bucket]]))))</f>
        <v/>
      </c>
      <c r="X105" s="66">
        <f t="array" ref="X105">_xlfn.TEXTJOIN("|",TRUE,(_xlfn.UNIQUE(_xlfn._xlws.SORT(_xlfn._xlws.FILTER(scheduleapr[LENGTH],scheduleapr[Bucket]=salesforecast[[#This Row],[Bucket]])))))</f>
        <v/>
      </c>
      <c r="Y105" s="66">
        <f t="array" ref="Y105">_xlfn.TEXTJOIN("|",TRUE,_xlfn._xlws.FILTER(buckets[Material Codes],(buckets[Bucket]=salesforecast[[#This Row],[Bucket2]])*(buckets[LL or CTL]="CTL")))</f>
        <v/>
      </c>
      <c r="Z105">
        <f>salesforecast[[#This Row],[Bucket]]</f>
        <v/>
      </c>
      <c r="AA105" s="43">
        <f>salesforecast[[#This Row],[July Schedule]]</f>
        <v/>
      </c>
      <c r="AB105" s="43">
        <f>SUMIF(salesTVS[buckets.Bucket],salesforecast[[#This Row],[Bucket]],salesTVS[Quantity])/1000</f>
        <v/>
      </c>
      <c r="AC105" s="43">
        <f>SUMIFS(stock[MT],stock[Bucket],salesforecast[[#This Row],[Bucket]],stock[LL or CTL],"CTL")</f>
        <v/>
      </c>
      <c r="AD105" s="43">
        <f>SUMIF(stock[Bucket],salesforecast[[#This Row],[Bucket]],stock[MT])-salesforecast[[#This Row],[Stock CTL]]</f>
        <v/>
      </c>
      <c r="AE105" s="43" t="e">
        <v>#REF!</v>
      </c>
      <c r="AF105" s="43">
        <f>SUMIF(wip[Bucket],salesforecast[[#This Row],[Bucket]],wip[Stock(Net Wt)])/1000</f>
        <v/>
      </c>
      <c r="AG105" s="43" t="e">
        <v>#REF!</v>
      </c>
      <c r="AH105" s="43">
        <f>SUMIFS(stock[MT],stock[Bucket],salesforecast[[#This Row],[Bucket2]],stock[Plant],"0788")</f>
        <v/>
      </c>
      <c r="AI105" s="43">
        <f>((salesforecast[[#This Row],[WIP]]+salesforecast[[#This Row],[Stock LL]]))/salesforecast[[#This Row],[July Schedule]]*30</f>
        <v/>
      </c>
      <c r="AJ105">
        <f>salesforecast[[#This Row],[Stock LL]]/salesforecast[[#This Row],[Schedule]]*30</f>
        <v/>
      </c>
      <c r="AK105" s="43">
        <f>SUMIFS(stock[MT],stock[Bucket],salesforecast[[#This Row],[Bucket2]],stock[Plant],"0789",stock[LL or CTL],"LL")</f>
        <v/>
      </c>
      <c r="AL105" s="193">
        <f>(salesforecast[[#This Row],[Sales]])/salesforecast[[#This Row],[Schedule]]</f>
        <v/>
      </c>
      <c r="AM105" s="43">
        <f>SUMIFS(stock[MT],stock[Plant],salesforecast[[#This Row],[Plant]],stock[LL or CTL],"LL",stock[Bucket],salesforecast[[#This Row],[Bucket]])</f>
        <v/>
      </c>
      <c r="AN105" s="43">
        <f>SUMIFS(scheduleapr[SCHEDULE IN MT],scheduleapr[CUSTOMER NAME],"*Rajsriya*",scheduleapr[Bucket],salesforecast[[#This Row],[Bucket]])</f>
        <v/>
      </c>
      <c r="AO105" s="43">
        <f>SUMIFS(salesTVS[Quantity],salesTVS[CUSTOMER  NAME],"*RAJSRIYA*",salesTVS[buckets.Bucket],salesforecast[[#This Row],[Bucket]])/1000</f>
        <v/>
      </c>
      <c r="AP105" s="43">
        <f>SUMIFS(stock[MT],stock[Plant],4318,stock[Bucket],salesforecast[[#This Row],[Bucket2]])</f>
        <v/>
      </c>
      <c r="AQ105" s="43">
        <f>SUMIFS(stock[MT],stock[Plant],4731,stock[Bucket],salesforecast[[#This Row],[Bucket2]],stock[LL or CTL],"CTL")</f>
        <v/>
      </c>
      <c r="AR105" s="43">
        <f>SUMIFS(stock[MT],stock[Plant],4731,stock[Bucket],salesforecast[[#This Row],[Bucket2]])-salesforecast[[#This Row],[4731 Stock CTL]]</f>
        <v/>
      </c>
      <c r="AS105" s="43">
        <f>SUMIFS(stock[MT],stock[Plant],8406,stock[Bucket],salesforecast[[#This Row],[Bucket2]])</f>
        <v/>
      </c>
    </row>
    <row r="106">
      <c r="A106" t="n">
        <v>50.8</v>
      </c>
      <c r="B106" t="n">
        <v>50.8</v>
      </c>
      <c r="C106" t="n">
        <v>0</v>
      </c>
      <c r="D106" t="n">
        <v>1.6</v>
      </c>
      <c r="E106" t="inlineStr">
        <is>
          <t>ERW 1</t>
        </is>
      </c>
      <c r="F106" t="inlineStr">
        <is>
          <t>FC</t>
        </is>
      </c>
      <c r="G106" t="inlineStr">
        <is>
          <t>HR</t>
        </is>
      </c>
      <c r="H106">
        <f>_xlfn.CONCAT(salesforecast[[#This Row],[OD]],"-",salesforecast[[#This Row],[ID]],"-",salesforecast[[#This Row],[TICKNESS]],"-",salesforecast[[#This Row],[GRADE]],"-",salesforecast[[#This Row],[FC/NFC]])</f>
        <v/>
      </c>
      <c r="I106" s="43">
        <f>SUMIFS(scheduleapr[SCHEDULE IN MT],scheduleapr[Bucket],salesforecast[[#This Row],[Bucket]])</f>
        <v/>
      </c>
      <c r="J106" t="n">
        <v>3569247</v>
      </c>
      <c r="K106">
        <f>COUNTIF('helper sheet'!$A$1:$A$33,salesforecast[[#This Row],[LL Material Code]])</f>
        <v/>
      </c>
      <c r="N106" t="inlineStr">
        <is>
          <t>TUB-O-N-AUT-AW-FC-50.80X1.600X5.9880</t>
        </is>
      </c>
      <c r="P106" s="47" t="inlineStr">
        <is>
          <t>0789</t>
        </is>
      </c>
      <c r="Q106" t="n">
        <v>0</v>
      </c>
      <c r="R106" t="n">
        <v>19</v>
      </c>
      <c r="S106" t="n">
        <v>5</v>
      </c>
      <c r="T106" s="585">
        <f>ROUNDUP(MAX(salesforecast[[#This Row],[FY25 Average]],salesforecast[[#This Row],[July Schedule]]),0)</f>
        <v/>
      </c>
      <c r="U106" s="585">
        <f>salesforecast[[#This Row],[Forecast]]-salesforecast[[#This Row],[July Schedule]]</f>
        <v/>
      </c>
      <c r="V106">
        <f>salesforecast[[#This Row],[Plant]]</f>
        <v/>
      </c>
      <c r="W106" s="66">
        <f t="array" ref="W106">_xlfn.TEXTJOIN("|",TRUE,(_xlfn.UNIQUE(_xlfn._xlws.FILTER(scheduleapr[CUSTOMER NAME],scheduleapr[Bucket]=salesforecast[[#This Row],[Bucket]]))))</f>
        <v/>
      </c>
      <c r="X106" s="66">
        <f t="array" ref="X106">_xlfn.TEXTJOIN("|",TRUE,(_xlfn.UNIQUE(_xlfn._xlws.SORT(_xlfn._xlws.FILTER(scheduleapr[LENGTH],scheduleapr[Bucket]=salesforecast[[#This Row],[Bucket]])))))</f>
        <v/>
      </c>
      <c r="Y106" s="66">
        <f t="array" ref="Y106">_xlfn.TEXTJOIN("|",TRUE,_xlfn._xlws.FILTER(buckets[Material Codes],(buckets[Bucket]=salesforecast[[#This Row],[Bucket2]])*(buckets[LL or CTL]="CTL")))</f>
        <v/>
      </c>
      <c r="Z106">
        <f>salesforecast[[#This Row],[Bucket]]</f>
        <v/>
      </c>
      <c r="AA106" s="43">
        <f>salesforecast[[#This Row],[July Schedule]]</f>
        <v/>
      </c>
      <c r="AB106" s="43">
        <f>SUMIF(salesTVS[buckets.Bucket],salesforecast[[#This Row],[Bucket]],salesTVS[Quantity])/1000</f>
        <v/>
      </c>
      <c r="AC106" s="43">
        <f>SUMIFS(stock[MT],stock[Bucket],salesforecast[[#This Row],[Bucket]],stock[LL or CTL],"CTL")</f>
        <v/>
      </c>
      <c r="AD106" s="43">
        <f>SUMIF(stock[Bucket],salesforecast[[#This Row],[Bucket]],stock[MT])-salesforecast[[#This Row],[Stock CTL]]</f>
        <v/>
      </c>
      <c r="AE106" s="43" t="e">
        <v>#REF!</v>
      </c>
      <c r="AF106" s="43">
        <f>SUMIF(wip[Bucket],salesforecast[[#This Row],[Bucket]],wip[Stock(Net Wt)])/1000</f>
        <v/>
      </c>
      <c r="AG106" s="43" t="e">
        <v>#REF!</v>
      </c>
      <c r="AH106" s="43">
        <f>SUMIFS(stock[MT],stock[Bucket],salesforecast[[#This Row],[Bucket2]],stock[Plant],"0788")</f>
        <v/>
      </c>
      <c r="AI106" s="43">
        <f>((salesforecast[[#This Row],[WIP]]+salesforecast[[#This Row],[Stock LL]]))/salesforecast[[#This Row],[July Schedule]]*30</f>
        <v/>
      </c>
      <c r="AJ106" s="585">
        <f>salesforecast[[#This Row],[Stock LL]]/salesforecast[[#This Row],[Schedule]]*30</f>
        <v/>
      </c>
      <c r="AK106" s="43">
        <f>SUMIFS(stock[MT],stock[Bucket],salesforecast[[#This Row],[Bucket2]],stock[Plant],"0789",stock[LL or CTL],"LL")</f>
        <v/>
      </c>
      <c r="AL106" s="193">
        <f>(salesforecast[[#This Row],[Sales]])/salesforecast[[#This Row],[Schedule]]</f>
        <v/>
      </c>
      <c r="AM106" s="43">
        <f>SUMIFS(stock[MT],stock[Plant],salesforecast[[#This Row],[Plant]],stock[LL or CTL],"LL",stock[Bucket],salesforecast[[#This Row],[Bucket]])</f>
        <v/>
      </c>
      <c r="AN106" s="43">
        <f>SUMIFS(scheduleapr[SCHEDULE IN MT],scheduleapr[CUSTOMER NAME],"*Rajsriya*",scheduleapr[Bucket],salesforecast[[#This Row],[Bucket]])</f>
        <v/>
      </c>
      <c r="AO106" s="43">
        <f>SUMIFS(salesTVS[Quantity],salesTVS[CUSTOMER  NAME],"*RAJSRIYA*",salesTVS[buckets.Bucket],salesforecast[[#This Row],[Bucket]])/1000</f>
        <v/>
      </c>
      <c r="AP106" s="43">
        <f>SUMIFS(stock[MT],stock[Plant],4318,stock[Bucket],salesforecast[[#This Row],[Bucket2]])</f>
        <v/>
      </c>
      <c r="AQ106" s="43">
        <f>SUMIFS(stock[MT],stock[Plant],4731,stock[Bucket],salesforecast[[#This Row],[Bucket2]],stock[LL or CTL],"CTL")</f>
        <v/>
      </c>
      <c r="AR106" s="43">
        <f>SUMIFS(stock[MT],stock[Plant],4731,stock[Bucket],salesforecast[[#This Row],[Bucket2]])-salesforecast[[#This Row],[4731 Stock CTL]]</f>
        <v/>
      </c>
      <c r="AS106" s="43">
        <f>SUMIFS(stock[MT],stock[Plant],8406,stock[Bucket],salesforecast[[#This Row],[Bucket2]])</f>
        <v/>
      </c>
    </row>
    <row r="107" ht="30" customHeight="1" s="584">
      <c r="A107" t="n">
        <v>54</v>
      </c>
      <c r="B107" t="n">
        <v>54</v>
      </c>
      <c r="C107" t="n">
        <v>0</v>
      </c>
      <c r="D107" t="n">
        <v>3</v>
      </c>
      <c r="E107" t="inlineStr">
        <is>
          <t>ERW 2</t>
        </is>
      </c>
      <c r="F107" t="inlineStr">
        <is>
          <t>FC</t>
        </is>
      </c>
      <c r="G107" t="inlineStr">
        <is>
          <t>HR</t>
        </is>
      </c>
      <c r="H107">
        <f>_xlfn.CONCAT(salesforecast[[#This Row],[OD]],"-",salesforecast[[#This Row],[ID]],"-",salesforecast[[#This Row],[TICKNESS]],"-",salesforecast[[#This Row],[GRADE]],"-",salesforecast[[#This Row],[FC/NFC]])</f>
        <v/>
      </c>
      <c r="I107" s="43">
        <f>SUMIFS(scheduleapr[SCHEDULE IN MT],scheduleapr[Bucket],salesforecast[[#This Row],[Bucket]])</f>
        <v/>
      </c>
      <c r="J107" t="n">
        <v>3777563</v>
      </c>
      <c r="K107">
        <f>COUNTIF('helper sheet'!$A$1:$A$33,salesforecast[[#This Row],[LL Material Code]])</f>
        <v/>
      </c>
      <c r="N107" t="inlineStr">
        <is>
          <t>TUB-O-N-AUT-AW-FC-54.00X3.00X5.790 HST</t>
        </is>
      </c>
      <c r="P107" s="47" t="inlineStr">
        <is>
          <t>0788</t>
        </is>
      </c>
      <c r="Q107" t="n">
        <v>0</v>
      </c>
      <c r="R107" t="n">
        <v>13</v>
      </c>
      <c r="S107" t="n">
        <v>7</v>
      </c>
      <c r="T107" s="585">
        <f>ROUNDUP(MAX(salesforecast[[#This Row],[FY25 Average]],salesforecast[[#This Row],[July Schedule]]),0)</f>
        <v/>
      </c>
      <c r="U107" s="585">
        <f>salesforecast[[#This Row],[Forecast]]-salesforecast[[#This Row],[July Schedule]]</f>
        <v/>
      </c>
      <c r="V107">
        <f>salesforecast[[#This Row],[Plant]]</f>
        <v/>
      </c>
      <c r="W107" s="66">
        <f t="array" ref="W107">_xlfn.TEXTJOIN("|",TRUE,(_xlfn.UNIQUE(_xlfn._xlws.FILTER(scheduleapr[CUSTOMER NAME],scheduleapr[Bucket]=salesforecast[[#This Row],[Bucket]]))))</f>
        <v/>
      </c>
      <c r="X107" s="66">
        <f t="array" ref="X107">_xlfn.TEXTJOIN("|",TRUE,(_xlfn.UNIQUE(_xlfn._xlws.SORT(_xlfn._xlws.FILTER(scheduleapr[LENGTH],scheduleapr[Bucket]=salesforecast[[#This Row],[Bucket]])))))</f>
        <v/>
      </c>
      <c r="Y107" s="66">
        <f t="array" ref="Y107">_xlfn.TEXTJOIN("|",TRUE,_xlfn._xlws.FILTER(buckets[Material Codes],(buckets[Bucket]=salesforecast[[#This Row],[Bucket2]])))</f>
        <v/>
      </c>
      <c r="Z107">
        <f>salesforecast[[#This Row],[Bucket]]</f>
        <v/>
      </c>
      <c r="AA107" s="43">
        <f>salesforecast[[#This Row],[July Schedule]]</f>
        <v/>
      </c>
      <c r="AB107" s="43">
        <f>SUMIF(salesTVS[buckets.Bucket],salesforecast[[#This Row],[Bucket]],salesTVS[Quantity])/1000</f>
        <v/>
      </c>
      <c r="AC107" s="43">
        <f>SUMIFS(stock[MT],stock[Bucket],salesforecast[[#This Row],[Bucket]],stock[LL or CTL],"CTL")</f>
        <v/>
      </c>
      <c r="AD107" s="43">
        <f>SUMIF(stock[Bucket],salesforecast[[#This Row],[Bucket]],stock[MT])-salesforecast[[#This Row],[Stock CTL]]</f>
        <v/>
      </c>
      <c r="AE107" s="43" t="e">
        <v>#REF!</v>
      </c>
      <c r="AF107" s="43">
        <f>SUMIF(wip[Bucket],salesforecast[[#This Row],[Bucket]],wip[Stock(Net Wt)])/1000</f>
        <v/>
      </c>
      <c r="AG107" s="43" t="e">
        <v>#REF!</v>
      </c>
      <c r="AH107" s="43">
        <f>SUMIFS(stock[MT],stock[Bucket],salesforecast[[#This Row],[Bucket2]],stock[Plant],"0788")</f>
        <v/>
      </c>
      <c r="AI107" s="43">
        <f>((salesforecast[[#This Row],[WIP]]+salesforecast[[#This Row],[Stock LL]]))/salesforecast[[#This Row],[July Schedule]]*30</f>
        <v/>
      </c>
      <c r="AJ107" s="585">
        <f>salesforecast[[#This Row],[Stock LL]]/salesforecast[[#This Row],[Schedule]]*30</f>
        <v/>
      </c>
      <c r="AK107" s="43">
        <f>SUMIFS(stock[MT],stock[Bucket],salesforecast[[#This Row],[Bucket2]],stock[Plant],"0789",stock[LL or CTL],"LL")</f>
        <v/>
      </c>
      <c r="AL107" s="193">
        <f>(salesforecast[[#This Row],[Sales]])/salesforecast[[#This Row],[Schedule]]</f>
        <v/>
      </c>
      <c r="AM107" s="43">
        <f>SUMIFS(stock[MT],stock[Plant],salesforecast[[#This Row],[Plant]],stock[LL or CTL],"LL",stock[Bucket],salesforecast[[#This Row],[Bucket]])</f>
        <v/>
      </c>
      <c r="AN107" s="43">
        <f>SUMIFS(scheduleapr[SCHEDULE IN MT],scheduleapr[CUSTOMER NAME],"*Rajsriya*",scheduleapr[Bucket],salesforecast[[#This Row],[Bucket]])</f>
        <v/>
      </c>
      <c r="AO107" s="43">
        <f>SUMIFS(salesTVS[Quantity],salesTVS[CUSTOMER  NAME],"*RAJSRIYA*",salesTVS[buckets.Bucket],salesforecast[[#This Row],[Bucket]])/1000</f>
        <v/>
      </c>
      <c r="AP107" s="43">
        <f>SUMIFS(stock[MT],stock[Plant],4318,stock[Bucket],salesforecast[[#This Row],[Bucket2]])</f>
        <v/>
      </c>
      <c r="AQ107" s="43">
        <f>SUMIFS(stock[MT],stock[Plant],4731,stock[Bucket],salesforecast[[#This Row],[Bucket2]],stock[LL or CTL],"CTL")</f>
        <v/>
      </c>
      <c r="AR107" s="43">
        <f>SUMIFS(stock[MT],stock[Plant],4731,stock[Bucket],salesforecast[[#This Row],[Bucket2]])-salesforecast[[#This Row],[4731 Stock CTL]]</f>
        <v/>
      </c>
      <c r="AS107" s="43">
        <f>SUMIFS(stock[MT],stock[Plant],8406,stock[Bucket],salesforecast[[#This Row],[Bucket2]])</f>
        <v/>
      </c>
    </row>
    <row r="108" ht="30" customHeight="1" s="584">
      <c r="A108" t="n">
        <v>57.15</v>
      </c>
      <c r="B108" t="n">
        <v>57.15</v>
      </c>
      <c r="C108" t="n">
        <v>0</v>
      </c>
      <c r="D108" t="n">
        <v>2</v>
      </c>
      <c r="E108" t="inlineStr">
        <is>
          <t>ERW 1</t>
        </is>
      </c>
      <c r="F108" t="inlineStr">
        <is>
          <t>FC</t>
        </is>
      </c>
      <c r="G108" t="inlineStr">
        <is>
          <t>HR</t>
        </is>
      </c>
      <c r="H108">
        <f>_xlfn.CONCAT(salesforecast[[#This Row],[OD]],"-",salesforecast[[#This Row],[ID]],"-",salesforecast[[#This Row],[TICKNESS]],"-",salesforecast[[#This Row],[GRADE]],"-",salesforecast[[#This Row],[FC/NFC]])</f>
        <v/>
      </c>
      <c r="I108" s="43">
        <f>SUMIFS(scheduleapr[SCHEDULE IN MT],scheduleapr[Bucket],salesforecast[[#This Row],[Bucket]])</f>
        <v/>
      </c>
      <c r="J108" t="n">
        <v>3614251</v>
      </c>
      <c r="K108">
        <f>COUNTIF('helper sheet'!$A$1:$A$33,salesforecast[[#This Row],[LL Material Code]])</f>
        <v/>
      </c>
      <c r="L108" t="n">
        <v>3727461</v>
      </c>
      <c r="N108" t="inlineStr">
        <is>
          <t>TUB-O-N-AUT-AW-FC-57.15X2.000X6.0000</t>
        </is>
      </c>
      <c r="P108" s="47" t="inlineStr">
        <is>
          <t>0789</t>
        </is>
      </c>
      <c r="Q108" t="n">
        <v>6</v>
      </c>
      <c r="R108" t="n">
        <v>19</v>
      </c>
      <c r="S108" t="n">
        <v>10</v>
      </c>
      <c r="T108" s="585">
        <f>ROUNDUP(MAX(salesforecast[[#This Row],[FY25 Average]],salesforecast[[#This Row],[July Schedule]]),0)</f>
        <v/>
      </c>
      <c r="U108" s="585">
        <f>salesforecast[[#This Row],[Forecast]]-salesforecast[[#This Row],[July Schedule]]</f>
        <v/>
      </c>
      <c r="V108">
        <f>salesforecast[[#This Row],[Plant]]</f>
        <v/>
      </c>
      <c r="W108" s="66">
        <f t="array" ref="W108">_xlfn.TEXTJOIN("|",TRUE,(_xlfn.UNIQUE(_xlfn._xlws.FILTER(scheduleapr[CUSTOMER NAME],scheduleapr[Bucket]=salesforecast[[#This Row],[Bucket]]))))</f>
        <v/>
      </c>
      <c r="X108" s="66">
        <f t="array" ref="X108">_xlfn.TEXTJOIN("|",TRUE,(_xlfn.UNIQUE(_xlfn._xlws.SORT(_xlfn._xlws.FILTER(scheduleapr[LENGTH],scheduleapr[Bucket]=salesforecast[[#This Row],[Bucket]])))))</f>
        <v/>
      </c>
      <c r="Y108" s="66">
        <f t="array" ref="Y108">_xlfn.TEXTJOIN("|",TRUE,_xlfn._xlws.FILTER(buckets[Material Codes],(buckets[Bucket]=salesforecast[[#This Row],[Bucket2]])*(buckets[LL or CTL]="CTL")))</f>
        <v/>
      </c>
      <c r="Z108">
        <f>salesforecast[[#This Row],[Bucket]]</f>
        <v/>
      </c>
      <c r="AA108" s="43">
        <f>salesforecast[[#This Row],[July Schedule]]</f>
        <v/>
      </c>
      <c r="AB108" s="43">
        <f>SUMIF(salesTVS[buckets.Bucket],salesforecast[[#This Row],[Bucket]],salesTVS[Quantity])/1000</f>
        <v/>
      </c>
      <c r="AC108" s="43">
        <f>SUMIFS(stock[MT],stock[Bucket],salesforecast[[#This Row],[Bucket]],stock[LL or CTL],"CTL")</f>
        <v/>
      </c>
      <c r="AD108" s="43">
        <f>SUMIF(stock[Bucket],salesforecast[[#This Row],[Bucket]],stock[MT])-salesforecast[[#This Row],[Stock CTL]]</f>
        <v/>
      </c>
      <c r="AE108" s="43" t="e">
        <v>#REF!</v>
      </c>
      <c r="AF108" s="43">
        <f>SUMIF(wip[Bucket],salesforecast[[#This Row],[Bucket]],wip[Stock(Net Wt)])/1000</f>
        <v/>
      </c>
      <c r="AG108" s="43" t="e">
        <v>#REF!</v>
      </c>
      <c r="AH108" s="43">
        <f>SUMIFS(stock[MT],stock[Bucket],salesforecast[[#This Row],[Bucket2]],stock[Plant],"0788")</f>
        <v/>
      </c>
      <c r="AI108" s="43">
        <f>((salesforecast[[#This Row],[WIP]]+salesforecast[[#This Row],[Stock LL]]))/salesforecast[[#This Row],[July Schedule]]*30</f>
        <v/>
      </c>
      <c r="AJ108" s="585">
        <f>salesforecast[[#This Row],[Stock LL]]/salesforecast[[#This Row],[Schedule]]*30</f>
        <v/>
      </c>
      <c r="AK108" s="43">
        <f>SUMIFS(stock[MT],stock[Bucket],salesforecast[[#This Row],[Bucket2]],stock[Plant],"0789",stock[LL or CTL],"LL")</f>
        <v/>
      </c>
      <c r="AL108" s="193">
        <f>(salesforecast[[#This Row],[Sales]])/salesforecast[[#This Row],[Schedule]]</f>
        <v/>
      </c>
      <c r="AM108" s="43">
        <f>SUMIFS(stock[MT],stock[Plant],salesforecast[[#This Row],[Plant]],stock[LL or CTL],"LL",stock[Bucket],salesforecast[[#This Row],[Bucket]])</f>
        <v/>
      </c>
      <c r="AN108" s="43">
        <f>SUMIFS(scheduleapr[SCHEDULE IN MT],scheduleapr[CUSTOMER NAME],"*Rajsriya*",scheduleapr[Bucket],salesforecast[[#This Row],[Bucket]])</f>
        <v/>
      </c>
      <c r="AO108" s="43">
        <f>SUMIFS(salesTVS[Quantity],salesTVS[CUSTOMER  NAME],"*RAJSRIYA*",salesTVS[buckets.Bucket],salesforecast[[#This Row],[Bucket]])/1000</f>
        <v/>
      </c>
      <c r="AP108" s="43">
        <f>SUMIFS(stock[MT],stock[Plant],4318,stock[Bucket],salesforecast[[#This Row],[Bucket2]])</f>
        <v/>
      </c>
      <c r="AQ108" s="43">
        <f>SUMIFS(stock[MT],stock[Plant],4731,stock[Bucket],salesforecast[[#This Row],[Bucket2]],stock[LL or CTL],"CTL")</f>
        <v/>
      </c>
      <c r="AR108" s="43">
        <f>SUMIFS(stock[MT],stock[Plant],4731,stock[Bucket],salesforecast[[#This Row],[Bucket2]])-salesforecast[[#This Row],[4731 Stock CTL]]</f>
        <v/>
      </c>
      <c r="AS108" s="43">
        <f>SUMIFS(stock[MT],stock[Plant],8406,stock[Bucket],salesforecast[[#This Row],[Bucket2]])</f>
        <v/>
      </c>
    </row>
    <row r="109" ht="30" customHeight="1" s="584">
      <c r="A109" t="n">
        <v>57.15</v>
      </c>
      <c r="B109" t="n">
        <v>57.15</v>
      </c>
      <c r="C109" t="n">
        <v>0</v>
      </c>
      <c r="D109" t="n">
        <v>2.3</v>
      </c>
      <c r="E109" t="inlineStr">
        <is>
          <t>ERW 2</t>
        </is>
      </c>
      <c r="F109" t="inlineStr">
        <is>
          <t>FC</t>
        </is>
      </c>
      <c r="G109" t="inlineStr">
        <is>
          <t>HR</t>
        </is>
      </c>
      <c r="H109">
        <f>_xlfn.CONCAT(salesforecast[[#This Row],[OD]],"-",salesforecast[[#This Row],[ID]],"-",salesforecast[[#This Row],[TICKNESS]],"-",salesforecast[[#This Row],[GRADE]],"-",salesforecast[[#This Row],[FC/NFC]])</f>
        <v/>
      </c>
      <c r="I109" s="43">
        <f>SUMIFS(scheduleapr[SCHEDULE IN MT],scheduleapr[Bucket],salesforecast[[#This Row],[Bucket]])</f>
        <v/>
      </c>
      <c r="J109" t="n">
        <v>3682118</v>
      </c>
      <c r="K109">
        <f>COUNTIF('helper sheet'!$A$1:$A$33,salesforecast[[#This Row],[LL Material Code]])</f>
        <v/>
      </c>
      <c r="N109" t="inlineStr">
        <is>
          <t>TUB-O-N-AUT-AW-FC-57.15X2.300X6.9500</t>
        </is>
      </c>
      <c r="P109" s="47" t="inlineStr">
        <is>
          <t>056</t>
        </is>
      </c>
      <c r="Q109" t="n">
        <v>20</v>
      </c>
      <c r="R109" t="n">
        <v>199</v>
      </c>
      <c r="S109" t="n">
        <v>64</v>
      </c>
      <c r="T109" s="585" t="n">
        <v>60</v>
      </c>
      <c r="U109" s="585">
        <f>salesforecast[[#This Row],[Forecast]]-salesforecast[[#This Row],[July Schedule]]</f>
        <v/>
      </c>
      <c r="V109">
        <f>salesforecast[[#This Row],[Plant]]</f>
        <v/>
      </c>
      <c r="W109" s="66">
        <f t="array" ref="W109">_xlfn.TEXTJOIN("|",TRUE,(_xlfn.UNIQUE(_xlfn._xlws.FILTER(scheduleapr[CUSTOMER NAME],scheduleapr[Bucket]=salesforecast[[#This Row],[Bucket]]))))</f>
        <v/>
      </c>
      <c r="X109" s="66">
        <f t="array" ref="X109">_xlfn.TEXTJOIN("|",TRUE,(_xlfn.UNIQUE(_xlfn._xlws.SORT(_xlfn._xlws.FILTER(scheduleapr[LENGTH],scheduleapr[Bucket]=salesforecast[[#This Row],[Bucket]])))))</f>
        <v/>
      </c>
      <c r="Y109" s="66">
        <f t="array" ref="Y109">_xlfn.TEXTJOIN("|",TRUE,_xlfn._xlws.FILTER(buckets[Material Codes],(buckets[Bucket]=salesforecast[[#This Row],[Bucket2]])))</f>
        <v/>
      </c>
      <c r="Z109">
        <f>salesforecast[[#This Row],[Bucket]]</f>
        <v/>
      </c>
      <c r="AA109" s="43">
        <f>salesforecast[[#This Row],[July Schedule]]</f>
        <v/>
      </c>
      <c r="AB109" s="43">
        <f>SUMIF(salesTVS[buckets.Bucket],salesforecast[[#This Row],[Bucket]],salesTVS[Quantity])/1000</f>
        <v/>
      </c>
      <c r="AC109" s="43">
        <f>SUMIFS(stock[MT],stock[Bucket],salesforecast[[#This Row],[Bucket]],stock[LL or CTL],"CTL")</f>
        <v/>
      </c>
      <c r="AD109" s="43">
        <f>SUMIF(stock[Bucket],salesforecast[[#This Row],[Bucket]],stock[MT])-salesforecast[[#This Row],[Stock CTL]]</f>
        <v/>
      </c>
      <c r="AE109" s="43" t="e">
        <v>#REF!</v>
      </c>
      <c r="AF109" s="43">
        <f>SUMIF(wip[Bucket],salesforecast[[#This Row],[Bucket]],wip[Stock(Net Wt)])/1000</f>
        <v/>
      </c>
      <c r="AG109" s="43" t="e">
        <v>#REF!</v>
      </c>
      <c r="AH109" s="43">
        <f>SUMIFS(stock[MT],stock[Bucket],salesforecast[[#This Row],[Bucket2]],stock[Plant],"0788")</f>
        <v/>
      </c>
      <c r="AI109" s="585">
        <f>((salesforecast[[#This Row],[WIP]]+salesforecast[[#This Row],[Stock LL]]))/salesforecast[[#This Row],[July Schedule]]*30</f>
        <v/>
      </c>
      <c r="AJ109" s="585">
        <f>salesforecast[[#This Row],[Stock LL]]/salesforecast[[#This Row],[Schedule]]*30</f>
        <v/>
      </c>
      <c r="AK109" s="43">
        <f>SUMIFS(stock[MT],stock[Bucket],salesforecast[[#This Row],[Bucket2]],stock[Plant],"0789",stock[LL or CTL],"LL")</f>
        <v/>
      </c>
      <c r="AL109" s="193">
        <f>(salesforecast[[#This Row],[Sales]])/salesforecast[[#This Row],[Schedule]]</f>
        <v/>
      </c>
      <c r="AM109" s="43">
        <f>SUMIFS(stock[MT],stock[Plant],salesforecast[[#This Row],[Plant]],stock[LL or CTL],"LL",stock[Bucket],salesforecast[[#This Row],[Bucket]])</f>
        <v/>
      </c>
      <c r="AN109" s="43">
        <f>SUMIFS(scheduleapr[SCHEDULE IN MT],scheduleapr[CUSTOMER NAME],"*Rajsriya*",scheduleapr[Bucket],salesforecast[[#This Row],[Bucket]])</f>
        <v/>
      </c>
      <c r="AO109" s="43">
        <f>SUMIFS(salesTVS[Quantity],salesTVS[CUSTOMER  NAME],"*RAJSRIYA*",salesTVS[buckets.Bucket],salesforecast[[#This Row],[Bucket]])/1000</f>
        <v/>
      </c>
      <c r="AP109" s="43">
        <f>SUMIFS(stock[MT],stock[Plant],4318,stock[Bucket],salesforecast[[#This Row],[Bucket2]])</f>
        <v/>
      </c>
      <c r="AQ109" s="43">
        <f>SUMIFS(stock[MT],stock[Plant],4731,stock[Bucket],salesforecast[[#This Row],[Bucket2]],stock[LL or CTL],"CTL")</f>
        <v/>
      </c>
      <c r="AR109" s="43">
        <f>SUMIFS(stock[MT],stock[Plant],4731,stock[Bucket],salesforecast[[#This Row],[Bucket2]])-salesforecast[[#This Row],[4731 Stock CTL]]</f>
        <v/>
      </c>
      <c r="AS109" s="43">
        <f>SUMIFS(stock[MT],stock[Plant],8406,stock[Bucket],salesforecast[[#This Row],[Bucket2]])</f>
        <v/>
      </c>
    </row>
    <row r="110" ht="60" customHeight="1" s="584">
      <c r="A110" t="n">
        <v>57.15</v>
      </c>
      <c r="B110" t="n">
        <v>57.15</v>
      </c>
      <c r="C110" t="n">
        <v>0</v>
      </c>
      <c r="D110" t="n">
        <v>2.5</v>
      </c>
      <c r="E110" t="inlineStr">
        <is>
          <t>ERW 1</t>
        </is>
      </c>
      <c r="F110" t="inlineStr">
        <is>
          <t>FC</t>
        </is>
      </c>
      <c r="G110" t="inlineStr">
        <is>
          <t>HR</t>
        </is>
      </c>
      <c r="H110">
        <f>_xlfn.CONCAT(salesforecast[[#This Row],[OD]],"-",salesforecast[[#This Row],[ID]],"-",salesforecast[[#This Row],[TICKNESS]],"-",salesforecast[[#This Row],[GRADE]],"-",salesforecast[[#This Row],[FC/NFC]])</f>
        <v/>
      </c>
      <c r="I110" s="43">
        <f>SUMIFS(scheduleapr[SCHEDULE IN MT],scheduleapr[Bucket],salesforecast[[#This Row],[Bucket]])</f>
        <v/>
      </c>
      <c r="J110" t="n">
        <v>3501047</v>
      </c>
      <c r="K110">
        <f>COUNTIF('helper sheet'!$A$1:$A$33,salesforecast[[#This Row],[LL Material Code]])</f>
        <v/>
      </c>
      <c r="N110" t="inlineStr">
        <is>
          <t>TUB-O-N-AUT-AW-FC-57.15X2.50X5.750-ERW 1</t>
        </is>
      </c>
      <c r="P110" s="47" t="inlineStr">
        <is>
          <t>0789</t>
        </is>
      </c>
      <c r="Q110" t="n">
        <v>11</v>
      </c>
      <c r="R110" t="n">
        <v>51</v>
      </c>
      <c r="S110" t="n">
        <v>31</v>
      </c>
      <c r="T110" s="585">
        <f>ROUNDUP(MAX(salesforecast[[#This Row],[FY25 Average]],salesforecast[[#This Row],[July Schedule]]),0)</f>
        <v/>
      </c>
      <c r="U110" s="585">
        <f>salesforecast[[#This Row],[Forecast]]-salesforecast[[#This Row],[July Schedule]]</f>
        <v/>
      </c>
      <c r="V110">
        <f>salesforecast[[#This Row],[Plant]]</f>
        <v/>
      </c>
      <c r="W110" s="66">
        <f t="array" ref="W110">_xlfn.TEXTJOIN("|",TRUE,(_xlfn.UNIQUE(_xlfn._xlws.FILTER(scheduleapr[CUSTOMER NAME],scheduleapr[Bucket]=salesforecast[[#This Row],[Bucket]]))))</f>
        <v/>
      </c>
      <c r="X110" s="66">
        <f t="array" ref="X110">_xlfn.TEXTJOIN("|",TRUE,(_xlfn.UNIQUE(_xlfn._xlws.SORT(_xlfn._xlws.FILTER(scheduleapr[LENGTH],scheduleapr[Bucket]=salesforecast[[#This Row],[Bucket]])))))</f>
        <v/>
      </c>
      <c r="Y110" s="66">
        <f t="array" ref="Y110">_xlfn.TEXTJOIN("|",TRUE,_xlfn._xlws.FILTER(buckets[Material Codes],(buckets[Bucket]=salesforecast[[#This Row],[Bucket2]])*(buckets[LL or CTL]="CTL")))</f>
        <v/>
      </c>
      <c r="Z110">
        <f>salesforecast[[#This Row],[Bucket]]</f>
        <v/>
      </c>
      <c r="AA110" s="43">
        <f>salesforecast[[#This Row],[July Schedule]]</f>
        <v/>
      </c>
      <c r="AB110" s="43">
        <f>SUMIF(salesTVS[buckets.Bucket],salesforecast[[#This Row],[Bucket]],salesTVS[Quantity])/1000</f>
        <v/>
      </c>
      <c r="AC110" s="43">
        <f>SUMIFS(stock[MT],stock[Bucket],salesforecast[[#This Row],[Bucket]],stock[LL or CTL],"CTL")</f>
        <v/>
      </c>
      <c r="AD110" s="43">
        <f>SUMIF(stock[Bucket],salesforecast[[#This Row],[Bucket]],stock[MT])-salesforecast[[#This Row],[Stock CTL]]</f>
        <v/>
      </c>
      <c r="AE110" s="43" t="e">
        <v>#REF!</v>
      </c>
      <c r="AF110" s="43">
        <f>SUMIF(wip[Bucket],salesforecast[[#This Row],[Bucket]],wip[Stock(Net Wt)])/1000</f>
        <v/>
      </c>
      <c r="AG110" s="43" t="e">
        <v>#REF!</v>
      </c>
      <c r="AH110" s="43">
        <f>SUMIFS(stock[MT],stock[Bucket],salesforecast[[#This Row],[Bucket2]],stock[Plant],"0788")</f>
        <v/>
      </c>
      <c r="AI110" s="43">
        <f>((salesforecast[[#This Row],[WIP]]+salesforecast[[#This Row],[Stock LL]]))/salesforecast[[#This Row],[July Schedule]]*30</f>
        <v/>
      </c>
      <c r="AJ110" s="585">
        <f>salesforecast[[#This Row],[Stock LL]]/salesforecast[[#This Row],[Schedule]]*30</f>
        <v/>
      </c>
      <c r="AK110" s="43">
        <f>SUMIFS(stock[MT],stock[Bucket],salesforecast[[#This Row],[Bucket2]],stock[Plant],"0789",stock[LL or CTL],"LL")</f>
        <v/>
      </c>
      <c r="AL110" s="193">
        <f>(salesforecast[[#This Row],[Sales]])/salesforecast[[#This Row],[Schedule]]</f>
        <v/>
      </c>
      <c r="AM110" s="43">
        <f>SUMIFS(stock[MT],stock[Plant],salesforecast[[#This Row],[Plant]],stock[LL or CTL],"LL",stock[Bucket],salesforecast[[#This Row],[Bucket]])</f>
        <v/>
      </c>
      <c r="AN110" s="43">
        <f>SUMIFS(scheduleapr[SCHEDULE IN MT],scheduleapr[CUSTOMER NAME],"*Rajsriya*",scheduleapr[Bucket],salesforecast[[#This Row],[Bucket]])</f>
        <v/>
      </c>
      <c r="AO110" s="43">
        <f>SUMIFS(salesTVS[Quantity],salesTVS[CUSTOMER  NAME],"*RAJSRIYA*",salesTVS[buckets.Bucket],salesforecast[[#This Row],[Bucket]])/1000</f>
        <v/>
      </c>
      <c r="AP110" s="43">
        <f>SUMIFS(stock[MT],stock[Plant],4318,stock[Bucket],salesforecast[[#This Row],[Bucket2]])</f>
        <v/>
      </c>
      <c r="AQ110" s="43">
        <f>SUMIFS(stock[MT],stock[Plant],4731,stock[Bucket],salesforecast[[#This Row],[Bucket2]],stock[LL or CTL],"CTL")</f>
        <v/>
      </c>
      <c r="AR110" s="43">
        <f>SUMIFS(stock[MT],stock[Plant],4731,stock[Bucket],salesforecast[[#This Row],[Bucket2]])-salesforecast[[#This Row],[4731 Stock CTL]]</f>
        <v/>
      </c>
      <c r="AS110" s="43">
        <f>SUMIFS(stock[MT],stock[Plant],8406,stock[Bucket],salesforecast[[#This Row],[Bucket2]])</f>
        <v/>
      </c>
    </row>
    <row r="111" ht="30" customHeight="1" s="584">
      <c r="A111" s="43">
        <f>2*(salesforecast[[#This Row],[OD]]+salesforecast[[#This Row],[ID]])/PI()</f>
        <v/>
      </c>
      <c r="B111" t="n">
        <v>59</v>
      </c>
      <c r="C111" t="n">
        <v>30</v>
      </c>
      <c r="D111" t="n">
        <v>1.6</v>
      </c>
      <c r="E111" t="inlineStr">
        <is>
          <t>ERW 1</t>
        </is>
      </c>
      <c r="F111" t="inlineStr">
        <is>
          <t>FC</t>
        </is>
      </c>
      <c r="G111" t="inlineStr">
        <is>
          <t>HR</t>
        </is>
      </c>
      <c r="H111" t="inlineStr">
        <is>
          <t>59-30-1.6-ERW 1-FIN CUT</t>
        </is>
      </c>
      <c r="I111" s="43">
        <f>SUMIFS(scheduleapr[SCHEDULE IN MT],scheduleapr[Bucket],salesforecast[[#This Row],[Bucket]])</f>
        <v/>
      </c>
      <c r="J111" t="n">
        <v>3164112</v>
      </c>
      <c r="K111">
        <f>COUNTIF('helper sheet'!$A$1:$A$33,salesforecast[[#This Row],[LL Material Code]])</f>
        <v/>
      </c>
      <c r="N111" t="inlineStr">
        <is>
          <t>TUB-E-AW-AUT-59.00X30.00X1.600X0.6410</t>
        </is>
      </c>
      <c r="P111" s="47" t="inlineStr">
        <is>
          <t>0789</t>
        </is>
      </c>
      <c r="Q111" t="n">
        <v>0</v>
      </c>
      <c r="R111" t="n">
        <v>22</v>
      </c>
      <c r="S111" t="n">
        <v>7</v>
      </c>
      <c r="T111" s="585">
        <f>ROUNDUP(MAX(salesforecast[[#This Row],[FY25 Average]],salesforecast[[#This Row],[July Schedule]]),0)</f>
        <v/>
      </c>
      <c r="U111" s="585">
        <f>salesforecast[[#This Row],[Forecast]]-salesforecast[[#This Row],[July Schedule]]</f>
        <v/>
      </c>
      <c r="V111">
        <f>salesforecast[[#This Row],[Plant]]</f>
        <v/>
      </c>
      <c r="W111" s="66">
        <f t="array" ref="W111">_xlfn.TEXTJOIN("|",TRUE,(_xlfn.UNIQUE(_xlfn._xlws.FILTER(scheduleapr[CUSTOMER NAME],scheduleapr[Bucket]=salesforecast[[#This Row],[Bucket]]))))</f>
        <v/>
      </c>
      <c r="X111" s="66">
        <f t="array" ref="X111">_xlfn.TEXTJOIN("|",TRUE,(_xlfn.UNIQUE(_xlfn._xlws.SORT(_xlfn._xlws.FILTER(scheduleapr[LENGTH],scheduleapr[Bucket]=salesforecast[[#This Row],[Bucket]])))))</f>
        <v/>
      </c>
      <c r="Y111" s="66">
        <f t="array" ref="Y111">_xlfn.TEXTJOIN("|",TRUE,_xlfn._xlws.FILTER(buckets[Material Codes],(buckets[Bucket]=salesforecast[[#This Row],[Bucket2]])*(buckets[LL or CTL]="CTL")))</f>
        <v/>
      </c>
      <c r="Z111">
        <f>salesforecast[[#This Row],[Bucket]]</f>
        <v/>
      </c>
      <c r="AA111" s="43">
        <f>salesforecast[[#This Row],[July Schedule]]</f>
        <v/>
      </c>
      <c r="AB111" s="43">
        <f>SUMIF(salesTVS[buckets.Bucket],salesforecast[[#This Row],[Bucket]],salesTVS[Quantity])/1000</f>
        <v/>
      </c>
      <c r="AC111" s="43">
        <f>SUMIFS(stock[MT],stock[Bucket],salesforecast[[#This Row],[Bucket]],stock[LL or CTL],"CTL")</f>
        <v/>
      </c>
      <c r="AD111" s="43">
        <f>SUMIF(stock[Bucket],salesforecast[[#This Row],[Bucket]],stock[MT])-salesforecast[[#This Row],[Stock CTL]]</f>
        <v/>
      </c>
      <c r="AE111" s="43" t="e">
        <v>#REF!</v>
      </c>
      <c r="AF111" s="43">
        <f>SUMIF(wip[Bucket],salesforecast[[#This Row],[Bucket]],wip[Stock(Net Wt)])/1000</f>
        <v/>
      </c>
      <c r="AG111" s="43" t="e">
        <v>#REF!</v>
      </c>
      <c r="AH111" s="43">
        <f>SUMIFS(stock[MT],stock[Bucket],salesforecast[[#This Row],[Bucket2]],stock[Plant],"0788")</f>
        <v/>
      </c>
      <c r="AI111" s="43">
        <f>((salesforecast[[#This Row],[WIP]]+salesforecast[[#This Row],[Stock LL]]))/salesforecast[[#This Row],[July Schedule]]*30</f>
        <v/>
      </c>
      <c r="AJ111" s="585">
        <f>salesforecast[[#This Row],[Stock LL]]/salesforecast[[#This Row],[Schedule]]*30</f>
        <v/>
      </c>
      <c r="AK111" s="43">
        <f>SUMIFS(stock[MT],stock[Bucket],salesforecast[[#This Row],[Bucket2]],stock[Plant],"0789",stock[LL or CTL],"LL")</f>
        <v/>
      </c>
      <c r="AL111" s="193">
        <f>(salesforecast[[#This Row],[Sales]])/salesforecast[[#This Row],[Schedule]]</f>
        <v/>
      </c>
      <c r="AM111" s="43">
        <f>SUMIFS(stock[MT],stock[Plant],salesforecast[[#This Row],[Plant]],stock[LL or CTL],"LL",stock[Bucket],salesforecast[[#This Row],[Bucket]])</f>
        <v/>
      </c>
      <c r="AN111" s="43">
        <f>SUMIFS(scheduleapr[SCHEDULE IN MT],scheduleapr[CUSTOMER NAME],"*Rajsriya*",scheduleapr[Bucket],salesforecast[[#This Row],[Bucket]])</f>
        <v/>
      </c>
      <c r="AO111" s="43">
        <f>SUMIFS(salesTVS[Quantity],salesTVS[CUSTOMER  NAME],"*RAJSRIYA*",salesTVS[buckets.Bucket],salesforecast[[#This Row],[Bucket]])/1000</f>
        <v/>
      </c>
      <c r="AP111" s="43">
        <f>SUMIFS(stock[MT],stock[Plant],4318,stock[Bucket],salesforecast[[#This Row],[Bucket2]])</f>
        <v/>
      </c>
      <c r="AQ111" s="43">
        <f>SUMIFS(stock[MT],stock[Plant],4731,stock[Bucket],salesforecast[[#This Row],[Bucket2]],stock[LL or CTL],"CTL")</f>
        <v/>
      </c>
      <c r="AR111" s="43">
        <f>SUMIFS(stock[MT],stock[Plant],4731,stock[Bucket],salesforecast[[#This Row],[Bucket2]])-salesforecast[[#This Row],[4731 Stock CTL]]</f>
        <v/>
      </c>
      <c r="AS111" s="43">
        <f>SUMIFS(stock[MT],stock[Plant],8406,stock[Bucket],salesforecast[[#This Row],[Bucket2]])</f>
        <v/>
      </c>
    </row>
    <row r="112" ht="30" customHeight="1" s="584">
      <c r="A112" t="n">
        <v>60.3</v>
      </c>
      <c r="B112" t="n">
        <v>60.3</v>
      </c>
      <c r="C112" t="n">
        <v>0</v>
      </c>
      <c r="D112" t="n">
        <v>2</v>
      </c>
      <c r="E112" t="inlineStr">
        <is>
          <t>ERW 1</t>
        </is>
      </c>
      <c r="F112" t="inlineStr">
        <is>
          <t>FC</t>
        </is>
      </c>
      <c r="G112" t="inlineStr">
        <is>
          <t>HR</t>
        </is>
      </c>
      <c r="H112">
        <f>_xlfn.CONCAT(salesforecast[[#This Row],[OD]],"-",salesforecast[[#This Row],[ID]],"-",salesforecast[[#This Row],[TICKNESS]],"-",salesforecast[[#This Row],[GRADE]],"-",salesforecast[[#This Row],[FC/NFC]])</f>
        <v/>
      </c>
      <c r="I112" s="43">
        <f>SUMIFS(scheduleapr[SCHEDULE IN MT],scheduleapr[Bucket],salesforecast[[#This Row],[Bucket]])</f>
        <v/>
      </c>
      <c r="J112" t="n">
        <v>3702875</v>
      </c>
      <c r="K112">
        <f>COUNTIF('helper sheet'!$A$1:$A$33,salesforecast[[#This Row],[LL Material Code]])</f>
        <v/>
      </c>
      <c r="N112" t="inlineStr">
        <is>
          <t>TUB-O-N-AUT-AW-FC-60.30X2.000X6.0000</t>
        </is>
      </c>
      <c r="P112" s="47" t="inlineStr">
        <is>
          <t>0788</t>
        </is>
      </c>
      <c r="Q112" t="n">
        <v>0</v>
      </c>
      <c r="R112" t="n">
        <v>5</v>
      </c>
      <c r="S112" t="n">
        <v>2</v>
      </c>
      <c r="T112" s="585">
        <f>ROUNDUP(MAX(salesforecast[[#This Row],[FY25 Average]],salesforecast[[#This Row],[July Schedule]]),0)</f>
        <v/>
      </c>
      <c r="U112" s="585">
        <f>salesforecast[[#This Row],[Forecast]]-salesforecast[[#This Row],[July Schedule]]</f>
        <v/>
      </c>
      <c r="V112">
        <f>salesforecast[[#This Row],[Plant]]</f>
        <v/>
      </c>
      <c r="W112" s="66">
        <f t="array" ref="W112">_xlfn.TEXTJOIN("|",TRUE,(_xlfn.UNIQUE(_xlfn._xlws.FILTER(scheduleapr[CUSTOMER NAME],scheduleapr[Bucket]=salesforecast[[#This Row],[Bucket]]))))</f>
        <v/>
      </c>
      <c r="X112" s="66">
        <f t="array" ref="X112">_xlfn.TEXTJOIN("|",TRUE,(_xlfn.UNIQUE(_xlfn._xlws.SORT(_xlfn._xlws.FILTER(scheduleapr[LENGTH],scheduleapr[Bucket]=salesforecast[[#This Row],[Bucket]])))))</f>
        <v/>
      </c>
      <c r="Y112" s="66">
        <f t="array" ref="Y112">_xlfn.TEXTJOIN("|",TRUE,_xlfn._xlws.FILTER(buckets[Material Codes],(buckets[Bucket]=salesforecast[[#This Row],[Bucket2]])))</f>
        <v/>
      </c>
      <c r="Z112">
        <f>salesforecast[[#This Row],[Bucket]]</f>
        <v/>
      </c>
      <c r="AA112" s="43">
        <f>salesforecast[[#This Row],[July Schedule]]</f>
        <v/>
      </c>
      <c r="AB112" s="43">
        <f>SUMIF(salesTVS[buckets.Bucket],salesforecast[[#This Row],[Bucket]],salesTVS[Quantity])/1000</f>
        <v/>
      </c>
      <c r="AC112" s="43">
        <f>SUMIFS(stock[MT],stock[Bucket],salesforecast[[#This Row],[Bucket]],stock[LL or CTL],"CTL")</f>
        <v/>
      </c>
      <c r="AD112" s="43">
        <f>SUMIF(stock[Bucket],salesforecast[[#This Row],[Bucket]],stock[MT])-salesforecast[[#This Row],[Stock CTL]]</f>
        <v/>
      </c>
      <c r="AE112" s="43" t="e">
        <v>#REF!</v>
      </c>
      <c r="AF112" s="43">
        <f>SUMIF(wip[Bucket],salesforecast[[#This Row],[Bucket]],wip[Stock(Net Wt)])/1000</f>
        <v/>
      </c>
      <c r="AG112" s="43" t="e">
        <v>#REF!</v>
      </c>
      <c r="AH112" s="43">
        <f>SUMIFS(stock[MT],stock[Bucket],salesforecast[[#This Row],[Bucket2]],stock[Plant],"0788")</f>
        <v/>
      </c>
      <c r="AI112" s="43">
        <f>((salesforecast[[#This Row],[WIP]]+salesforecast[[#This Row],[Stock LL]]))/salesforecast[[#This Row],[July Schedule]]*30</f>
        <v/>
      </c>
      <c r="AJ112" s="585">
        <f>salesforecast[[#This Row],[Stock LL]]/salesforecast[[#This Row],[Schedule]]*30</f>
        <v/>
      </c>
      <c r="AK112" s="43">
        <f>SUMIFS(stock[MT],stock[Bucket],salesforecast[[#This Row],[Bucket2]],stock[Plant],"0789",stock[LL or CTL],"LL")</f>
        <v/>
      </c>
      <c r="AL112" s="193">
        <f>(salesforecast[[#This Row],[Sales]])/salesforecast[[#This Row],[Schedule]]</f>
        <v/>
      </c>
      <c r="AM112" s="43">
        <f>SUMIFS(stock[MT],stock[Plant],salesforecast[[#This Row],[Plant]],stock[LL or CTL],"LL",stock[Bucket],salesforecast[[#This Row],[Bucket]])</f>
        <v/>
      </c>
      <c r="AN112" s="43">
        <f>SUMIFS(scheduleapr[SCHEDULE IN MT],scheduleapr[CUSTOMER NAME],"*Rajsriya*",scheduleapr[Bucket],salesforecast[[#This Row],[Bucket]])</f>
        <v/>
      </c>
      <c r="AO112" s="43">
        <f>SUMIFS(salesTVS[Quantity],salesTVS[CUSTOMER  NAME],"*RAJSRIYA*",salesTVS[buckets.Bucket],salesforecast[[#This Row],[Bucket]])/1000</f>
        <v/>
      </c>
      <c r="AP112" s="43">
        <f>SUMIFS(stock[MT],stock[Plant],4318,stock[Bucket],salesforecast[[#This Row],[Bucket2]])</f>
        <v/>
      </c>
      <c r="AQ112" s="43">
        <f>SUMIFS(stock[MT],stock[Plant],4731,stock[Bucket],salesforecast[[#This Row],[Bucket2]],stock[LL or CTL],"CTL")</f>
        <v/>
      </c>
      <c r="AR112" s="43">
        <f>SUMIFS(stock[MT],stock[Plant],4731,stock[Bucket],salesforecast[[#This Row],[Bucket2]])-salesforecast[[#This Row],[4731 Stock CTL]]</f>
        <v/>
      </c>
      <c r="AS112" s="43">
        <f>SUMIFS(stock[MT],stock[Plant],8406,stock[Bucket],salesforecast[[#This Row],[Bucket2]])</f>
        <v/>
      </c>
    </row>
    <row r="113" ht="60" customHeight="1" s="584">
      <c r="A113" t="n">
        <v>63.5</v>
      </c>
      <c r="B113" t="n">
        <v>63.5</v>
      </c>
      <c r="C113" t="n">
        <v>0</v>
      </c>
      <c r="D113" t="n">
        <v>4</v>
      </c>
      <c r="E113" t="inlineStr">
        <is>
          <t>ERW 1</t>
        </is>
      </c>
      <c r="F113" t="inlineStr">
        <is>
          <t>FC</t>
        </is>
      </c>
      <c r="G113" t="inlineStr">
        <is>
          <t>HR</t>
        </is>
      </c>
      <c r="H113">
        <f>_xlfn.CONCAT(salesforecast[[#This Row],[OD]],"-",salesforecast[[#This Row],[ID]],"-",salesforecast[[#This Row],[TICKNESS]],"-",salesforecast[[#This Row],[GRADE]],"-",salesforecast[[#This Row],[FC/NFC]])</f>
        <v/>
      </c>
      <c r="I113" s="43">
        <f>SUMIFS(scheduleapr[SCHEDULE IN MT],scheduleapr[Bucket],salesforecast[[#This Row],[Bucket]])</f>
        <v/>
      </c>
      <c r="J113" t="n">
        <v>3500816</v>
      </c>
      <c r="K113">
        <f>COUNTIF('helper sheet'!$A$1:$A$33,salesforecast[[#This Row],[LL Material Code]])</f>
        <v/>
      </c>
      <c r="N113" t="inlineStr">
        <is>
          <t>TUB-O-N-AUT-BH-FC-63.50X4.000X6.0000</t>
        </is>
      </c>
      <c r="P113" s="47" t="inlineStr">
        <is>
          <t>0788</t>
        </is>
      </c>
      <c r="Q113" t="n">
        <v>6</v>
      </c>
      <c r="R113" t="n">
        <v>14</v>
      </c>
      <c r="S113" t="n">
        <v>10</v>
      </c>
      <c r="T113" s="585">
        <f>ROUNDUP(MAX(salesforecast[[#This Row],[FY25 Average]],salesforecast[[#This Row],[July Schedule]]),0)</f>
        <v/>
      </c>
      <c r="U113" s="585">
        <f>salesforecast[[#This Row],[Forecast]]-salesforecast[[#This Row],[July Schedule]]</f>
        <v/>
      </c>
      <c r="V113">
        <f>salesforecast[[#This Row],[Plant]]</f>
        <v/>
      </c>
      <c r="W113" s="66">
        <f t="array" ref="W113">_xlfn.TEXTJOIN("|",TRUE,(_xlfn.UNIQUE(_xlfn._xlws.FILTER(scheduleapr[CUSTOMER NAME],scheduleapr[Bucket]=salesforecast[[#This Row],[Bucket]]))))</f>
        <v/>
      </c>
      <c r="X113" s="66">
        <f t="array" ref="X113">_xlfn.TEXTJOIN("|",TRUE,(_xlfn.UNIQUE(_xlfn._xlws.SORT(_xlfn._xlws.FILTER(scheduleapr[LENGTH],scheduleapr[Bucket]=salesforecast[[#This Row],[Bucket]])))))</f>
        <v/>
      </c>
      <c r="Y113" s="66">
        <f t="array" ref="Y113">_xlfn.TEXTJOIN("|",TRUE,_xlfn._xlws.FILTER(buckets[Material Codes],(buckets[Bucket]=salesforecast[[#This Row],[Bucket2]])))</f>
        <v/>
      </c>
      <c r="Z113">
        <f>salesforecast[[#This Row],[Bucket]]</f>
        <v/>
      </c>
      <c r="AA113" s="43">
        <f>salesforecast[[#This Row],[July Schedule]]</f>
        <v/>
      </c>
      <c r="AB113" s="43">
        <f>SUMIF(salesTVS[buckets.Bucket],salesforecast[[#This Row],[Bucket]],salesTVS[Quantity])/1000</f>
        <v/>
      </c>
      <c r="AC113" s="43">
        <f>SUMIFS(stock[MT],stock[Bucket],salesforecast[[#This Row],[Bucket]],stock[LL or CTL],"CTL")</f>
        <v/>
      </c>
      <c r="AD113" s="43">
        <f>SUMIF(stock[Bucket],salesforecast[[#This Row],[Bucket]],stock[MT])-salesforecast[[#This Row],[Stock CTL]]</f>
        <v/>
      </c>
      <c r="AE113" s="43" t="e">
        <v>#REF!</v>
      </c>
      <c r="AF113" s="43">
        <f>SUMIF(wip[Bucket],salesforecast[[#This Row],[Bucket]],wip[Stock(Net Wt)])/1000</f>
        <v/>
      </c>
      <c r="AG113" s="43" t="e">
        <v>#REF!</v>
      </c>
      <c r="AH113" s="43">
        <f>SUMIFS(stock[MT],stock[Bucket],salesforecast[[#This Row],[Bucket2]],stock[Plant],"0788")</f>
        <v/>
      </c>
      <c r="AI113" s="43">
        <f>((salesforecast[[#This Row],[WIP]]+salesforecast[[#This Row],[Stock LL]]))/salesforecast[[#This Row],[July Schedule]]*30</f>
        <v/>
      </c>
      <c r="AJ113" s="585">
        <f>salesforecast[[#This Row],[Stock LL]]/salesforecast[[#This Row],[Schedule]]*30</f>
        <v/>
      </c>
      <c r="AK113" s="43">
        <f>SUMIFS(stock[MT],stock[Bucket],salesforecast[[#This Row],[Bucket2]],stock[Plant],"0789",stock[LL or CTL],"LL")</f>
        <v/>
      </c>
      <c r="AL113" s="193">
        <f>(salesforecast[[#This Row],[Sales]])/salesforecast[[#This Row],[Schedule]]</f>
        <v/>
      </c>
      <c r="AM113" s="43">
        <f>SUMIFS(stock[MT],stock[Plant],salesforecast[[#This Row],[Plant]],stock[LL or CTL],"LL",stock[Bucket],salesforecast[[#This Row],[Bucket]])</f>
        <v/>
      </c>
      <c r="AN113" s="43">
        <f>SUMIFS(scheduleapr[SCHEDULE IN MT],scheduleapr[CUSTOMER NAME],"*Rajsriya*",scheduleapr[Bucket],salesforecast[[#This Row],[Bucket]])</f>
        <v/>
      </c>
      <c r="AO113" s="43">
        <f>SUMIFS(salesTVS[Quantity],salesTVS[CUSTOMER  NAME],"*RAJSRIYA*",salesTVS[buckets.Bucket],salesforecast[[#This Row],[Bucket]])/1000</f>
        <v/>
      </c>
      <c r="AP113" s="43">
        <f>SUMIFS(stock[MT],stock[Plant],4318,stock[Bucket],salesforecast[[#This Row],[Bucket2]])</f>
        <v/>
      </c>
      <c r="AQ113" s="43">
        <f>SUMIFS(stock[MT],stock[Plant],4731,stock[Bucket],salesforecast[[#This Row],[Bucket2]],stock[LL or CTL],"CTL")</f>
        <v/>
      </c>
      <c r="AR113" s="43">
        <f>SUMIFS(stock[MT],stock[Plant],4731,stock[Bucket],salesforecast[[#This Row],[Bucket2]])-salesforecast[[#This Row],[4731 Stock CTL]]</f>
        <v/>
      </c>
      <c r="AS113" s="43">
        <f>SUMIFS(stock[MT],stock[Plant],8406,stock[Bucket],salesforecast[[#This Row],[Bucket2]])</f>
        <v/>
      </c>
    </row>
    <row r="114" ht="30" customHeight="1" s="584">
      <c r="A114" t="n">
        <v>70</v>
      </c>
      <c r="B114" t="n">
        <v>70</v>
      </c>
      <c r="C114" t="n">
        <v>0</v>
      </c>
      <c r="D114" t="n">
        <v>3.2</v>
      </c>
      <c r="E114" t="inlineStr">
        <is>
          <t>ERW 2</t>
        </is>
      </c>
      <c r="F114" t="inlineStr">
        <is>
          <t>FC</t>
        </is>
      </c>
      <c r="G114" t="inlineStr">
        <is>
          <t>HR</t>
        </is>
      </c>
      <c r="H114">
        <f>_xlfn.CONCAT(salesforecast[[#This Row],[OD]],"-",salesforecast[[#This Row],[ID]],"-",salesforecast[[#This Row],[TICKNESS]],"-",salesforecast[[#This Row],[GRADE]],"-",salesforecast[[#This Row],[FC/NFC]])</f>
        <v/>
      </c>
      <c r="I114" s="43">
        <f>SUMIFS(scheduleapr[SCHEDULE IN MT],scheduleapr[Bucket],salesforecast[[#This Row],[Bucket]])</f>
        <v/>
      </c>
      <c r="J114" t="n">
        <v>3499608</v>
      </c>
      <c r="K114">
        <f>COUNTIF('helper sheet'!$A$1:$A$33,salesforecast[[#This Row],[LL Material Code]])</f>
        <v/>
      </c>
      <c r="N114" t="inlineStr">
        <is>
          <t>TUB-O-N-AUT-AN-PE-70.00X3.200X6.00 HST</t>
        </is>
      </c>
      <c r="P114" s="47" t="inlineStr">
        <is>
          <t>0788</t>
        </is>
      </c>
      <c r="Q114" t="n">
        <v>0</v>
      </c>
      <c r="R114" t="n">
        <v>14</v>
      </c>
      <c r="S114" t="n">
        <v>6</v>
      </c>
      <c r="T114" s="585">
        <f>ROUNDUP(MAX(salesforecast[[#This Row],[FY25 Average]],salesforecast[[#This Row],[July Schedule]]),0)</f>
        <v/>
      </c>
      <c r="U114" s="585">
        <f>salesforecast[[#This Row],[Forecast]]-salesforecast[[#This Row],[July Schedule]]</f>
        <v/>
      </c>
      <c r="V114">
        <f>salesforecast[[#This Row],[Plant]]</f>
        <v/>
      </c>
      <c r="W114" s="66">
        <f t="array" ref="W114">_xlfn.TEXTJOIN("|",TRUE,(_xlfn.UNIQUE(_xlfn._xlws.FILTER(scheduleapr[CUSTOMER NAME],scheduleapr[Bucket]=salesforecast[[#This Row],[Bucket]]))))</f>
        <v/>
      </c>
      <c r="X114" s="66">
        <f t="array" ref="X114">_xlfn.TEXTJOIN("|",TRUE,(_xlfn.UNIQUE(_xlfn._xlws.SORT(_xlfn._xlws.FILTER(scheduleapr[LENGTH],scheduleapr[Bucket]=salesforecast[[#This Row],[Bucket]])))))</f>
        <v/>
      </c>
      <c r="Y114" s="66">
        <f t="array" ref="Y114">_xlfn.TEXTJOIN("|",TRUE,_xlfn._xlws.FILTER(buckets[Material Codes],(buckets[Bucket]=salesforecast[[#This Row],[Bucket2]])))</f>
        <v/>
      </c>
      <c r="Z114">
        <f>salesforecast[[#This Row],[Bucket]]</f>
        <v/>
      </c>
      <c r="AA114" s="43">
        <f>salesforecast[[#This Row],[July Schedule]]</f>
        <v/>
      </c>
      <c r="AB114" s="43">
        <f>SUMIF(salesTVS[buckets.Bucket],salesforecast[[#This Row],[Bucket]],salesTVS[Quantity])/1000</f>
        <v/>
      </c>
      <c r="AC114" s="43">
        <f>SUMIFS(stock[MT],stock[Bucket],salesforecast[[#This Row],[Bucket]],stock[LL or CTL],"CTL")</f>
        <v/>
      </c>
      <c r="AD114" s="43">
        <f>SUMIF(stock[Bucket],salesforecast[[#This Row],[Bucket]],stock[MT])-salesforecast[[#This Row],[Stock CTL]]</f>
        <v/>
      </c>
      <c r="AE114" s="43" t="e">
        <v>#REF!</v>
      </c>
      <c r="AF114" s="43">
        <f>SUMIF(wip[Bucket],salesforecast[[#This Row],[Bucket]],wip[Stock(Net Wt)])/1000</f>
        <v/>
      </c>
      <c r="AG114" s="43" t="e">
        <v>#REF!</v>
      </c>
      <c r="AH114" s="43">
        <f>SUMIFS(stock[MT],stock[Bucket],salesforecast[[#This Row],[Bucket2]],stock[Plant],"0788")</f>
        <v/>
      </c>
      <c r="AI114" s="43">
        <f>((salesforecast[[#This Row],[WIP]]+salesforecast[[#This Row],[Stock LL]]))/salesforecast[[#This Row],[July Schedule]]*30</f>
        <v/>
      </c>
      <c r="AJ114" s="585">
        <f>salesforecast[[#This Row],[Stock LL]]/salesforecast[[#This Row],[Schedule]]*30</f>
        <v/>
      </c>
      <c r="AK114" s="43">
        <f>SUMIFS(stock[MT],stock[Bucket],salesforecast[[#This Row],[Bucket2]],stock[Plant],"0789",stock[LL or CTL],"LL")</f>
        <v/>
      </c>
      <c r="AL114" s="193">
        <f>(salesforecast[[#This Row],[Sales]])/salesforecast[[#This Row],[Schedule]]</f>
        <v/>
      </c>
      <c r="AM114" s="43">
        <f>SUMIFS(stock[MT],stock[Plant],salesforecast[[#This Row],[Plant]],stock[LL or CTL],"LL",stock[Bucket],salesforecast[[#This Row],[Bucket]])</f>
        <v/>
      </c>
      <c r="AN114" s="43">
        <f>SUMIFS(scheduleapr[SCHEDULE IN MT],scheduleapr[CUSTOMER NAME],"*Rajsriya*",scheduleapr[Bucket],salesforecast[[#This Row],[Bucket]])</f>
        <v/>
      </c>
      <c r="AO114" s="43">
        <f>SUMIFS(salesTVS[Quantity],salesTVS[CUSTOMER  NAME],"*RAJSRIYA*",salesTVS[buckets.Bucket],salesforecast[[#This Row],[Bucket]])/1000</f>
        <v/>
      </c>
      <c r="AP114" s="43">
        <f>SUMIFS(stock[MT],stock[Plant],4318,stock[Bucket],salesforecast[[#This Row],[Bucket2]])</f>
        <v/>
      </c>
      <c r="AQ114" s="43">
        <f>SUMIFS(stock[MT],stock[Plant],4731,stock[Bucket],salesforecast[[#This Row],[Bucket2]],stock[LL or CTL],"CTL")</f>
        <v/>
      </c>
      <c r="AR114" s="43">
        <f>SUMIFS(stock[MT],stock[Plant],4731,stock[Bucket],salesforecast[[#This Row],[Bucket2]])-salesforecast[[#This Row],[4731 Stock CTL]]</f>
        <v/>
      </c>
      <c r="AS114" s="43">
        <f>SUMIFS(stock[MT],stock[Plant],8406,stock[Bucket],salesforecast[[#This Row],[Bucket2]])</f>
        <v/>
      </c>
    </row>
  </sheetData>
  <conditionalFormatting sqref="AI2:AI114">
    <cfRule type="iconSet" priority="1">
      <iconSet>
        <cfvo type="percent" val="0"/>
        <cfvo type="num" val="30"/>
        <cfvo type="num" val="45"/>
      </iconSet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 codeName="Sheet17">
    <tabColor rgb="FF7030A0"/>
    <outlinePr summaryBelow="1" summaryRight="1"/>
    <pageSetUpPr/>
  </sheetPr>
  <dimension ref="A2:AT1752"/>
  <sheetViews>
    <sheetView tabSelected="1" topLeftCell="U1527" zoomScale="90" zoomScaleNormal="90" workbookViewId="0">
      <selection activeCell="AA1536" sqref="AA1536"/>
    </sheetView>
  </sheetViews>
  <sheetFormatPr baseColWidth="8" defaultRowHeight="15"/>
  <cols>
    <col width="16.5703125" customWidth="1" style="584" min="21" max="21"/>
    <col width="37.85546875" bestFit="1" customWidth="1" style="584" min="22" max="22"/>
    <col width="11.7109375" customWidth="1" style="584" min="24" max="24"/>
    <col width="11.7109375" customWidth="1" style="584" min="28" max="28"/>
    <col width="37.5703125" bestFit="1" customWidth="1" style="584" min="29" max="29"/>
    <col width="36.5703125" bestFit="1" customWidth="1" style="584" min="31" max="31"/>
    <col width="20.28515625" bestFit="1" customWidth="1" style="584" min="33" max="33"/>
    <col width="16.5703125" customWidth="1" style="584" min="36" max="36"/>
    <col width="11.7109375" customWidth="1" style="584" min="39" max="39"/>
    <col width="11.7109375" customWidth="1" style="584" min="43" max="43"/>
    <col width="19.85546875" bestFit="1" customWidth="1" style="584" min="44" max="44"/>
    <col width="10.5703125" customWidth="1" style="584" min="45" max="45"/>
    <col width="12.5703125" customWidth="1" style="584" min="46" max="46"/>
  </cols>
  <sheetData>
    <row r="1" ht="99" customHeight="1" s="584"/>
    <row r="2" ht="45" customHeight="1" s="584">
      <c r="A2" s="53" t="inlineStr">
        <is>
          <t>Material</t>
        </is>
      </c>
      <c r="B2" s="53" t="inlineStr">
        <is>
          <t>Material Description</t>
        </is>
      </c>
      <c r="C2" s="54" t="inlineStr">
        <is>
          <t>Batch</t>
        </is>
      </c>
      <c r="D2" s="53" t="inlineStr">
        <is>
          <t>PCS</t>
        </is>
      </c>
      <c r="E2" s="53" t="inlineStr">
        <is>
          <t>KG</t>
        </is>
      </c>
      <c r="F2" s="54" t="inlineStr">
        <is>
          <t>MT</t>
        </is>
      </c>
      <c r="G2" s="55" t="inlineStr">
        <is>
          <t>Base Unit of Measure</t>
        </is>
      </c>
      <c r="H2" s="55" t="inlineStr">
        <is>
          <t>Storage location</t>
        </is>
      </c>
      <c r="I2" s="54" t="inlineStr">
        <is>
          <t>Plant</t>
        </is>
      </c>
      <c r="J2" s="54" t="inlineStr">
        <is>
          <t>T-PKD_TUBE</t>
        </is>
      </c>
      <c r="K2" s="54" t="inlineStr">
        <is>
          <t>Tube Qty.(Mtr)</t>
        </is>
      </c>
      <c r="L2" s="54" t="inlineStr">
        <is>
          <t>Special stock number</t>
        </is>
      </c>
      <c r="M2" s="54" t="inlineStr">
        <is>
          <t>Item (SD)</t>
        </is>
      </c>
      <c r="N2" s="54" t="inlineStr">
        <is>
          <t>CUSTOMER</t>
        </is>
      </c>
      <c r="O2" s="54" t="inlineStr">
        <is>
          <t>Ageing days</t>
        </is>
      </c>
      <c r="P2" s="54" t="inlineStr">
        <is>
          <t>AGE WISE</t>
        </is>
      </c>
      <c r="Q2" s="54" t="inlineStr">
        <is>
          <t>CAM NAME</t>
        </is>
      </c>
      <c r="U2" t="inlineStr">
        <is>
          <t>Material Codes</t>
        </is>
      </c>
      <c r="V2" t="inlineStr">
        <is>
          <t>OD</t>
        </is>
      </c>
      <c r="W2" t="inlineStr">
        <is>
          <t>ID</t>
        </is>
      </c>
      <c r="X2" t="inlineStr">
        <is>
          <t>Thickness</t>
        </is>
      </c>
      <c r="Y2" t="inlineStr">
        <is>
          <t>Length</t>
        </is>
      </c>
      <c r="Z2" t="inlineStr">
        <is>
          <t>Grade</t>
        </is>
      </c>
      <c r="AA2" t="inlineStr">
        <is>
          <t>FC/PE</t>
        </is>
      </c>
      <c r="AB2" t="inlineStr">
        <is>
          <t>Annealed</t>
        </is>
      </c>
      <c r="AC2" t="inlineStr">
        <is>
          <t>Bucket</t>
        </is>
      </c>
      <c r="AD2" t="inlineStr">
        <is>
          <t>LL or CTL</t>
        </is>
      </c>
      <c r="AE2" t="inlineStr">
        <is>
          <t>CTL Bucket</t>
        </is>
      </c>
      <c r="AF2" t="inlineStr">
        <is>
          <t>kG/nos</t>
        </is>
      </c>
      <c r="AI2" s="66" t="inlineStr">
        <is>
          <t>Alf and Ampere Buckets</t>
        </is>
      </c>
      <c r="AJ2" s="65" t="inlineStr">
        <is>
          <t>Material Codes</t>
        </is>
      </c>
      <c r="AK2" s="65" t="inlineStr">
        <is>
          <t>OD</t>
        </is>
      </c>
      <c r="AL2" s="65" t="inlineStr">
        <is>
          <t>ID</t>
        </is>
      </c>
      <c r="AM2" s="65" t="inlineStr">
        <is>
          <t>Thickness</t>
        </is>
      </c>
      <c r="AN2" s="65" t="inlineStr">
        <is>
          <t>Length</t>
        </is>
      </c>
      <c r="AO2" s="65" t="inlineStr">
        <is>
          <t>Grade</t>
        </is>
      </c>
      <c r="AP2" s="65" t="inlineStr">
        <is>
          <t>FC/PE</t>
        </is>
      </c>
      <c r="AQ2" s="65" t="inlineStr">
        <is>
          <t>Annealed</t>
        </is>
      </c>
      <c r="AR2" s="65" t="inlineStr">
        <is>
          <t>Bucket</t>
        </is>
      </c>
      <c r="AS2" s="65" t="inlineStr">
        <is>
          <t>LL or CTL</t>
        </is>
      </c>
      <c r="AT2" s="65" t="inlineStr">
        <is>
          <t>CTL Bucket</t>
        </is>
      </c>
    </row>
    <row r="3">
      <c r="A3" s="56" t="n">
        <v>1903849</v>
      </c>
      <c r="B3" s="56" t="inlineStr">
        <is>
          <t>TUB-O-N-AUT-AW-FC-38.10X2.000X0.4320</t>
        </is>
      </c>
      <c r="C3" s="56" t="inlineStr">
        <is>
          <t>4B20BH2050</t>
        </is>
      </c>
      <c r="D3" s="57" t="n">
        <v>1682.625</v>
      </c>
      <c r="E3" s="57" t="n">
        <v>1293.939</v>
      </c>
      <c r="F3" s="57" t="n">
        <v>1.293939</v>
      </c>
      <c r="G3" s="56" t="inlineStr">
        <is>
          <t>KG</t>
        </is>
      </c>
      <c r="H3" s="56" t="inlineStr">
        <is>
          <t>R001</t>
        </is>
      </c>
      <c r="I3" s="56" t="inlineStr">
        <is>
          <t>0789</t>
        </is>
      </c>
      <c r="J3" s="56" t="inlineStr">
        <is>
          <t>2750</t>
        </is>
      </c>
      <c r="K3" s="57" t="n">
        <v>726.442</v>
      </c>
      <c r="L3" s="56" t="inlineStr">
        <is>
          <t>9518397864/ 11</t>
        </is>
      </c>
      <c r="M3" s="56" t="inlineStr">
        <is>
          <t>11</t>
        </is>
      </c>
      <c r="N3" s="56" t="inlineStr">
        <is>
          <t>SANDHAR ENGINEERING PVT LTD.(KA) -U</t>
        </is>
      </c>
      <c r="O3" s="58" t="n">
        <v>16</v>
      </c>
      <c r="P3" s="59" t="inlineStr">
        <is>
          <t>0-30</t>
        </is>
      </c>
      <c r="Q3" s="56" t="inlineStr">
        <is>
          <t>Jitendra Kumar Sharma</t>
        </is>
      </c>
      <c r="U3" s="585" t="n">
        <v>2426342</v>
      </c>
      <c r="V3" t="n">
        <v>11</v>
      </c>
      <c r="W3" t="n">
        <v>0</v>
      </c>
      <c r="X3" t="n">
        <v>1.5</v>
      </c>
      <c r="Y3" t="n">
        <v>0.263</v>
      </c>
      <c r="Z3" t="inlineStr">
        <is>
          <t>KGR2</t>
        </is>
      </c>
      <c r="AA3" t="inlineStr">
        <is>
          <t>FC</t>
        </is>
      </c>
      <c r="AB3" t="inlineStr">
        <is>
          <t>AD</t>
        </is>
      </c>
      <c r="AC3" t="inlineStr">
        <is>
          <t>11--1.5-CEW-NON FIN</t>
        </is>
      </c>
      <c r="AD3" t="inlineStr">
        <is>
          <t>CTL</t>
        </is>
      </c>
      <c r="AE3" t="inlineStr">
        <is>
          <t>11--1.5-CEW-NON FIN-0.263</t>
        </is>
      </c>
      <c r="AF3" t="n">
        <v>0.09237828974999999</v>
      </c>
      <c r="AH3">
        <f t="array" ref="AH3:AH18">_xlfn.UNIQUE(buckets[Annealed])</f>
        <v/>
      </c>
      <c r="AJ3" t="n">
        <v>3911993</v>
      </c>
      <c r="AK3" t="n">
        <v>34.93</v>
      </c>
      <c r="AL3" t="n">
        <v>0</v>
      </c>
      <c r="AM3" t="n">
        <v>2.3</v>
      </c>
      <c r="AN3" t="n">
        <v>1.501</v>
      </c>
      <c r="AO3" t="inlineStr">
        <is>
          <t>SAE1020</t>
        </is>
      </c>
      <c r="AP3" t="inlineStr">
        <is>
          <t>FC</t>
        </is>
      </c>
      <c r="AQ3" t="inlineStr">
        <is>
          <t>AW</t>
        </is>
      </c>
      <c r="AR3">
        <f>_xlfn.CONCAT(Table8[[#This Row],[OD]],"-",Table8[[#This Row],[ID]],"-",Table8[[#This Row],[Thickness]],"-","ERW 2","-","FC","-ALF")</f>
        <v/>
      </c>
      <c r="AS3">
        <f t="array" ref="AS3">_xlfn.IFS(buckets[[#This Row],[Length]]=0,"LL",buckets[[#This Row],[Length]]&lt;=3,"CTL",buckets[[#This Row],[Length]]&gt;3,"LL")</f>
        <v/>
      </c>
      <c r="AT3">
        <f>_xlfn.CONCAT(Table8[[#This Row],[Bucket]],"-",Table8[[#This Row],[LL or CTL]])</f>
        <v/>
      </c>
    </row>
    <row r="4">
      <c r="A4" s="56" t="n">
        <v>1931050</v>
      </c>
      <c r="B4" s="56" t="inlineStr">
        <is>
          <t>TUB-O-N-GEN-AW-PE-22.23X1.600X6.0000</t>
        </is>
      </c>
      <c r="C4" s="56" t="inlineStr">
        <is>
          <t>4214AH1240</t>
        </is>
      </c>
      <c r="D4" s="57" t="n">
        <v>86.574</v>
      </c>
      <c r="E4" s="58" t="n">
        <v>423</v>
      </c>
      <c r="F4" s="57" t="n">
        <v>0.423</v>
      </c>
      <c r="G4" s="56" t="inlineStr">
        <is>
          <t>KG</t>
        </is>
      </c>
      <c r="H4" s="56" t="inlineStr">
        <is>
          <t>R001</t>
        </is>
      </c>
      <c r="I4" s="56" t="inlineStr">
        <is>
          <t>0789</t>
        </is>
      </c>
      <c r="J4" s="56" t="inlineStr">
        <is>
          <t>275</t>
        </is>
      </c>
      <c r="K4" s="57" t="n">
        <v>519.465</v>
      </c>
      <c r="L4" s="56" t="inlineStr"/>
      <c r="M4" s="56" t="inlineStr">
        <is>
          <t>0</t>
        </is>
      </c>
      <c r="N4" s="56" t="inlineStr">
        <is>
          <t>Rajsriya Automotive Ind Pvt Ltd.</t>
        </is>
      </c>
      <c r="O4" s="58" t="n">
        <v>332</v>
      </c>
      <c r="P4" s="59" t="inlineStr">
        <is>
          <t>ABOVE 90</t>
        </is>
      </c>
      <c r="Q4" s="56" t="inlineStr">
        <is>
          <t>Apoorv</t>
        </is>
      </c>
      <c r="U4" s="585" t="n">
        <v>1939303</v>
      </c>
      <c r="V4" t="n">
        <v>11</v>
      </c>
      <c r="W4" t="n">
        <v>0</v>
      </c>
      <c r="X4" t="n">
        <v>1.5</v>
      </c>
      <c r="Y4" t="n">
        <v>0.33</v>
      </c>
      <c r="Z4" t="inlineStr">
        <is>
          <t>KGR2</t>
        </is>
      </c>
      <c r="AA4" t="inlineStr">
        <is>
          <t>FC</t>
        </is>
      </c>
      <c r="AB4" t="inlineStr">
        <is>
          <t>AD</t>
        </is>
      </c>
      <c r="AC4" t="inlineStr">
        <is>
          <t>11--1.5-CEW-NON FIN</t>
        </is>
      </c>
      <c r="AD4" t="inlineStr">
        <is>
          <t>CTL</t>
        </is>
      </c>
      <c r="AE4" t="inlineStr">
        <is>
          <t>11--1.5-CEW-NON FIN-0.33</t>
        </is>
      </c>
      <c r="AF4" t="n">
        <v>0.1159119225</v>
      </c>
      <c r="AH4" t="inlineStr">
        <is>
          <t>AW</t>
        </is>
      </c>
      <c r="AJ4" t="n">
        <v>3910451</v>
      </c>
      <c r="AK4" t="n">
        <v>34.93</v>
      </c>
      <c r="AL4" t="n">
        <v>0</v>
      </c>
      <c r="AM4" t="n">
        <v>2.3</v>
      </c>
      <c r="AN4" t="n">
        <v>0.298</v>
      </c>
      <c r="AO4" t="inlineStr">
        <is>
          <t>SAE1020</t>
        </is>
      </c>
      <c r="AP4" t="inlineStr">
        <is>
          <t>FC</t>
        </is>
      </c>
      <c r="AQ4" t="inlineStr">
        <is>
          <t>AW</t>
        </is>
      </c>
      <c r="AR4">
        <f>_xlfn.CONCAT(Table8[[#This Row],[OD]],"-",Table8[[#This Row],[ID]],"-",Table8[[#This Row],[Thickness]],"-","ERW 2","-","FC","-ALF")</f>
        <v/>
      </c>
      <c r="AS4">
        <f t="array" ref="AS4">_xlfn.IFS(buckets[[#This Row],[Length]]=0,"LL",buckets[[#This Row],[Length]]&lt;=3,"CTL",buckets[[#This Row],[Length]]&gt;3,"LL")</f>
        <v/>
      </c>
      <c r="AT4">
        <f>_xlfn.CONCAT(Table8[[#This Row],[Bucket]],"-",Table8[[#This Row],[LL or CTL]])</f>
        <v/>
      </c>
    </row>
    <row r="5">
      <c r="A5" s="56" t="n">
        <v>1931050</v>
      </c>
      <c r="B5" s="56" t="inlineStr">
        <is>
          <t>TUB-O-N-GEN-AW-PE-22.23X1.600X6.0000</t>
        </is>
      </c>
      <c r="C5" s="56" t="inlineStr">
        <is>
          <t>4318CH2090</t>
        </is>
      </c>
      <c r="D5" s="57" t="n">
        <v>38.068</v>
      </c>
      <c r="E5" s="58" t="n">
        <v>186</v>
      </c>
      <c r="F5" s="57" t="n">
        <v>0.186</v>
      </c>
      <c r="G5" s="56" t="inlineStr">
        <is>
          <t>KG</t>
        </is>
      </c>
      <c r="H5" s="56" t="inlineStr">
        <is>
          <t>R001</t>
        </is>
      </c>
      <c r="I5" s="56" t="inlineStr">
        <is>
          <t>0789</t>
        </is>
      </c>
      <c r="J5" s="56" t="inlineStr">
        <is>
          <t>138</t>
        </is>
      </c>
      <c r="K5" s="57" t="n">
        <v>228.417</v>
      </c>
      <c r="L5" s="56" t="inlineStr"/>
      <c r="M5" s="56" t="inlineStr">
        <is>
          <t>0</t>
        </is>
      </c>
      <c r="N5" s="56" t="inlineStr">
        <is>
          <t>Rajsriya Automotive Ind Pvt Ltd.</t>
        </is>
      </c>
      <c r="O5" s="58" t="n">
        <v>300</v>
      </c>
      <c r="P5" s="59" t="inlineStr">
        <is>
          <t>ABOVE 90</t>
        </is>
      </c>
      <c r="Q5" s="56" t="inlineStr">
        <is>
          <t>Apoorv</t>
        </is>
      </c>
      <c r="U5" s="585" t="n">
        <v>2442390</v>
      </c>
      <c r="V5" t="n">
        <v>11</v>
      </c>
      <c r="W5" t="n">
        <v>0</v>
      </c>
      <c r="X5" t="n">
        <v>1.5</v>
      </c>
      <c r="Y5" t="n">
        <v>6</v>
      </c>
      <c r="Z5" t="inlineStr">
        <is>
          <t>KGR2</t>
        </is>
      </c>
      <c r="AA5" t="inlineStr">
        <is>
          <t>FC</t>
        </is>
      </c>
      <c r="AB5" t="inlineStr">
        <is>
          <t>AD</t>
        </is>
      </c>
      <c r="AC5" t="inlineStr">
        <is>
          <t>11--1.5-CEW-NON FIN</t>
        </is>
      </c>
      <c r="AD5" t="inlineStr">
        <is>
          <t>LL</t>
        </is>
      </c>
      <c r="AE5" t="inlineStr">
        <is>
          <t>11--1.5-CEW-NON FIN-1</t>
        </is>
      </c>
      <c r="AF5" t="n">
        <v>0.35124825</v>
      </c>
      <c r="AH5" t="inlineStr">
        <is>
          <t>AN</t>
        </is>
      </c>
      <c r="AJ5" t="n">
        <v>3911992</v>
      </c>
      <c r="AK5" t="n">
        <v>34.93</v>
      </c>
      <c r="AL5" t="n">
        <v>0</v>
      </c>
      <c r="AM5" t="n">
        <v>2.3</v>
      </c>
      <c r="AN5" t="n">
        <v>0.334</v>
      </c>
      <c r="AO5" t="inlineStr">
        <is>
          <t>SAE1020</t>
        </is>
      </c>
      <c r="AP5" t="inlineStr">
        <is>
          <t>FC</t>
        </is>
      </c>
      <c r="AQ5" t="inlineStr">
        <is>
          <t>AW</t>
        </is>
      </c>
      <c r="AR5">
        <f>_xlfn.CONCAT(Table8[[#This Row],[OD]],"-",Table8[[#This Row],[ID]],"-",Table8[[#This Row],[Thickness]],"-","ERW 2","-","FC","-ALF")</f>
        <v/>
      </c>
      <c r="AS5">
        <f t="array" ref="AS5">_xlfn.IFS(buckets[[#This Row],[Length]]=0,"LL",buckets[[#This Row],[Length]]&lt;=3,"CTL",buckets[[#This Row],[Length]]&gt;3,"LL")</f>
        <v/>
      </c>
      <c r="AT5">
        <f>_xlfn.CONCAT(Table8[[#This Row],[Bucket]],"-",Table8[[#This Row],[LL or CTL]])</f>
        <v/>
      </c>
    </row>
    <row r="6">
      <c r="A6" s="56" t="n">
        <v>1931154</v>
      </c>
      <c r="B6" s="56" t="inlineStr">
        <is>
          <t>TUB-O-N-AUT-AW-PE-12.70X1.600X6.0000</t>
        </is>
      </c>
      <c r="C6" s="56" t="inlineStr">
        <is>
          <t>4B04BH1010</t>
        </is>
      </c>
      <c r="D6" s="57" t="n">
        <v>235.831</v>
      </c>
      <c r="E6" s="58" t="n">
        <v>620</v>
      </c>
      <c r="F6" s="57" t="n">
        <v>0.62</v>
      </c>
      <c r="G6" s="56" t="inlineStr">
        <is>
          <t>KG</t>
        </is>
      </c>
      <c r="H6" s="56" t="inlineStr">
        <is>
          <t>R001</t>
        </is>
      </c>
      <c r="I6" s="56" t="inlineStr">
        <is>
          <t>0789</t>
        </is>
      </c>
      <c r="J6" s="56" t="inlineStr">
        <is>
          <t>610</t>
        </is>
      </c>
      <c r="K6" s="57" t="n">
        <v>1415.202</v>
      </c>
      <c r="L6" s="56" t="inlineStr"/>
      <c r="M6" s="56" t="inlineStr">
        <is>
          <t>0</t>
        </is>
      </c>
      <c r="N6" s="56" t="inlineStr">
        <is>
          <t>SRIKAM HITECH ENGINEERING PRIVATE L</t>
        </is>
      </c>
      <c r="O6" s="58" t="n">
        <v>40</v>
      </c>
      <c r="P6" s="59" t="inlineStr">
        <is>
          <t>31-60</t>
        </is>
      </c>
      <c r="Q6" s="56" t="inlineStr">
        <is>
          <t>Apoorv</t>
        </is>
      </c>
      <c r="U6" s="585" t="n">
        <v>1939963</v>
      </c>
      <c r="V6" t="n">
        <v>12.7</v>
      </c>
      <c r="W6" t="n">
        <v>0</v>
      </c>
      <c r="X6" t="n">
        <v>1.2</v>
      </c>
      <c r="Y6" t="n">
        <v>0.278</v>
      </c>
      <c r="Z6" t="inlineStr">
        <is>
          <t>WG</t>
        </is>
      </c>
      <c r="AA6" t="inlineStr">
        <is>
          <t>PE</t>
        </is>
      </c>
      <c r="AB6" t="inlineStr">
        <is>
          <t>AW</t>
        </is>
      </c>
      <c r="AC6" t="inlineStr">
        <is>
          <t>12.7-0-1.2-ERW 1-PE</t>
        </is>
      </c>
      <c r="AD6" t="inlineStr">
        <is>
          <t>CTL</t>
        </is>
      </c>
      <c r="AE6" t="inlineStr">
        <is>
          <t>12.7-0-1.2-ERW 1-PE-0.278</t>
        </is>
      </c>
      <c r="AF6" t="n">
        <v>0.0945634236</v>
      </c>
      <c r="AH6" t="inlineStr">
        <is>
          <t>PE</t>
        </is>
      </c>
      <c r="AJ6" t="n">
        <v>3531649</v>
      </c>
      <c r="AK6" t="n">
        <v>42.7</v>
      </c>
      <c r="AL6" t="n">
        <v>0</v>
      </c>
      <c r="AM6" t="n">
        <v>1.6</v>
      </c>
      <c r="AN6" t="n">
        <v>0.417</v>
      </c>
      <c r="AO6" t="inlineStr">
        <is>
          <t>SAE1020</t>
        </is>
      </c>
      <c r="AP6" t="inlineStr">
        <is>
          <t>FC</t>
        </is>
      </c>
      <c r="AQ6" t="inlineStr">
        <is>
          <t>AW</t>
        </is>
      </c>
      <c r="AR6">
        <f>_xlfn.CONCAT(Table8[[#This Row],[OD]],"-",Table8[[#This Row],[ID]],"-",Table8[[#This Row],[Thickness]],"-","ERW 2","-","FC","-HMSIL")</f>
        <v/>
      </c>
      <c r="AS6">
        <f t="array" ref="AS6">_xlfn.IFS(buckets[[#This Row],[Length]]=0,"LL",buckets[[#This Row],[Length]]&lt;=3,"CTL",buckets[[#This Row],[Length]]&gt;3,"LL")</f>
        <v/>
      </c>
      <c r="AT6">
        <f>_xlfn.CONCAT(Table8[[#This Row],[Bucket]],"-",Table8[[#This Row],[LL or CTL]])</f>
        <v/>
      </c>
    </row>
    <row r="7">
      <c r="A7" s="56" t="n">
        <v>1931848</v>
      </c>
      <c r="B7" s="56" t="inlineStr">
        <is>
          <t>TUB-O-N-AUT-AW-PE-19.05X1.400X6.0000</t>
        </is>
      </c>
      <c r="C7" s="56" t="inlineStr">
        <is>
          <t>4826CH2040</t>
        </is>
      </c>
      <c r="D7" s="57" t="n">
        <v>69.21899999999999</v>
      </c>
      <c r="E7" s="57" t="n">
        <v>253.34</v>
      </c>
      <c r="F7" s="57" t="n">
        <v>0.25334</v>
      </c>
      <c r="G7" s="56" t="inlineStr">
        <is>
          <t>KG</t>
        </is>
      </c>
      <c r="H7" s="56" t="inlineStr">
        <is>
          <t>R001</t>
        </is>
      </c>
      <c r="I7" s="56" t="inlineStr">
        <is>
          <t>0789</t>
        </is>
      </c>
      <c r="J7" s="56" t="inlineStr">
        <is>
          <t>920</t>
        </is>
      </c>
      <c r="K7" s="57" t="n">
        <v>415.311</v>
      </c>
      <c r="L7" s="56" t="inlineStr">
        <is>
          <t>9518057459/ 1</t>
        </is>
      </c>
      <c r="M7" s="56" t="inlineStr">
        <is>
          <t>1</t>
        </is>
      </c>
      <c r="N7" s="56" t="inlineStr">
        <is>
          <t>MEGH STEELS PRIVATE LIMITED - TVS A</t>
        </is>
      </c>
      <c r="O7" s="58" t="n">
        <v>139</v>
      </c>
      <c r="P7" s="59" t="inlineStr">
        <is>
          <t>ABOVE 90</t>
        </is>
      </c>
      <c r="Q7" s="56" t="inlineStr">
        <is>
          <t>Apoorv</t>
        </is>
      </c>
      <c r="U7" s="585" t="n">
        <v>1939966</v>
      </c>
      <c r="V7" t="n">
        <v>12.7</v>
      </c>
      <c r="W7" t="n">
        <v>0</v>
      </c>
      <c r="X7" t="n">
        <v>1.2</v>
      </c>
      <c r="Y7" t="n">
        <v>0.408</v>
      </c>
      <c r="Z7" t="inlineStr">
        <is>
          <t>WG</t>
        </is>
      </c>
      <c r="AA7" t="inlineStr">
        <is>
          <t>PE</t>
        </is>
      </c>
      <c r="AB7" t="inlineStr">
        <is>
          <t>AW</t>
        </is>
      </c>
      <c r="AC7" t="inlineStr">
        <is>
          <t>12.7-0-1.2-ERW 1-PE</t>
        </is>
      </c>
      <c r="AD7" t="inlineStr">
        <is>
          <t>CTL</t>
        </is>
      </c>
      <c r="AE7" t="inlineStr">
        <is>
          <t>12.7-0-1.2-ERW 1-PE-0.408</t>
        </is>
      </c>
      <c r="AF7" t="n">
        <v>0.1387837296</v>
      </c>
      <c r="AH7" t="inlineStr">
        <is>
          <t>AP</t>
        </is>
      </c>
    </row>
    <row r="8">
      <c r="A8" s="56" t="n">
        <v>1932559</v>
      </c>
      <c r="B8" s="56" t="inlineStr">
        <is>
          <t>TUB-R-AW-RHS-40.00X25.00X2.000X6.0000</t>
        </is>
      </c>
      <c r="C8" s="56" t="inlineStr">
        <is>
          <t>4920CH2120</t>
        </is>
      </c>
      <c r="D8" s="57" t="n">
        <v>220.158</v>
      </c>
      <c r="E8" s="58" t="n">
        <v>2560</v>
      </c>
      <c r="F8" s="57" t="n">
        <v>2.56</v>
      </c>
      <c r="G8" s="56" t="inlineStr">
        <is>
          <t>KG</t>
        </is>
      </c>
      <c r="H8" s="56" t="inlineStr">
        <is>
          <t>R001</t>
        </is>
      </c>
      <c r="I8" s="56" t="inlineStr">
        <is>
          <t>0789</t>
        </is>
      </c>
      <c r="J8" s="56" t="inlineStr">
        <is>
          <t>231</t>
        </is>
      </c>
      <c r="K8" s="57" t="n">
        <v>1320.881</v>
      </c>
      <c r="L8" s="56" t="inlineStr"/>
      <c r="M8" s="56" t="inlineStr">
        <is>
          <t>0</t>
        </is>
      </c>
      <c r="N8" s="56" t="inlineStr">
        <is>
          <t>ELKAYEM AUTO ANCILLARIES (PVT) LTD.</t>
        </is>
      </c>
      <c r="O8" s="58" t="n">
        <v>111</v>
      </c>
      <c r="P8" s="59" t="inlineStr">
        <is>
          <t>ABOVE 90</t>
        </is>
      </c>
      <c r="Q8" s="56" t="inlineStr">
        <is>
          <t>Diwakar</t>
        </is>
      </c>
      <c r="U8" s="585" t="n">
        <v>2386074</v>
      </c>
      <c r="V8" t="n">
        <v>12.7</v>
      </c>
      <c r="W8" t="n">
        <v>0</v>
      </c>
      <c r="X8" t="n">
        <v>1.2</v>
      </c>
      <c r="Y8" t="n">
        <v>0.6</v>
      </c>
      <c r="Z8" t="inlineStr">
        <is>
          <t>WG</t>
        </is>
      </c>
      <c r="AA8" t="inlineStr">
        <is>
          <t>PE</t>
        </is>
      </c>
      <c r="AB8" t="inlineStr">
        <is>
          <t>AW</t>
        </is>
      </c>
      <c r="AC8" t="inlineStr">
        <is>
          <t>12.7-0-1.2-ERW 1-PE</t>
        </is>
      </c>
      <c r="AD8" t="inlineStr">
        <is>
          <t>CTL</t>
        </is>
      </c>
      <c r="AE8" t="inlineStr">
        <is>
          <t>12.7-0-1.2-ERW 1-PE-0.6</t>
        </is>
      </c>
      <c r="AF8" t="n">
        <v>0.20409372</v>
      </c>
      <c r="AH8" t="inlineStr">
        <is>
          <t>HR</t>
        </is>
      </c>
    </row>
    <row r="9">
      <c r="A9" s="56" t="n">
        <v>1932559</v>
      </c>
      <c r="B9" s="56" t="inlineStr">
        <is>
          <t>TUB-R-AW-RHS-40.00X25.00X2.000X6.0000</t>
        </is>
      </c>
      <c r="C9" s="56" t="inlineStr">
        <is>
          <t>4920CH2130</t>
        </is>
      </c>
      <c r="D9" s="57" t="n">
        <v>226.694</v>
      </c>
      <c r="E9" s="58" t="n">
        <v>2636</v>
      </c>
      <c r="F9" s="57" t="n">
        <v>2.636</v>
      </c>
      <c r="G9" s="56" t="inlineStr">
        <is>
          <t>KG</t>
        </is>
      </c>
      <c r="H9" s="56" t="inlineStr">
        <is>
          <t>R001</t>
        </is>
      </c>
      <c r="I9" s="56" t="inlineStr">
        <is>
          <t>0789</t>
        </is>
      </c>
      <c r="J9" s="56" t="inlineStr">
        <is>
          <t>238</t>
        </is>
      </c>
      <c r="K9" s="57" t="n">
        <v>1360.095</v>
      </c>
      <c r="L9" s="56" t="inlineStr"/>
      <c r="M9" s="56" t="inlineStr">
        <is>
          <t>0</t>
        </is>
      </c>
      <c r="N9" s="56" t="inlineStr">
        <is>
          <t>ELKAYEM AUTO ANCILLARIES (PVT) LTD.</t>
        </is>
      </c>
      <c r="O9" s="58" t="n">
        <v>111</v>
      </c>
      <c r="P9" s="59" t="inlineStr">
        <is>
          <t>ABOVE 90</t>
        </is>
      </c>
      <c r="Q9" s="56" t="inlineStr">
        <is>
          <t>Diwakar</t>
        </is>
      </c>
      <c r="U9" s="585" t="n">
        <v>1939974</v>
      </c>
      <c r="V9" t="n">
        <v>12.7</v>
      </c>
      <c r="W9" t="n">
        <v>0</v>
      </c>
      <c r="X9" t="n">
        <v>1.2</v>
      </c>
      <c r="Y9" t="n">
        <v>0.772</v>
      </c>
      <c r="Z9" t="inlineStr">
        <is>
          <t>WG</t>
        </is>
      </c>
      <c r="AA9" t="inlineStr">
        <is>
          <t>PE</t>
        </is>
      </c>
      <c r="AB9" t="inlineStr">
        <is>
          <t>AW</t>
        </is>
      </c>
      <c r="AC9" t="inlineStr">
        <is>
          <t>12.7-0-1.2-ERW 1-PE</t>
        </is>
      </c>
      <c r="AD9" t="inlineStr">
        <is>
          <t>CTL</t>
        </is>
      </c>
      <c r="AE9" t="inlineStr">
        <is>
          <t>12.7-0-1.2-ERW 1-PE-0.772</t>
        </is>
      </c>
      <c r="AF9" t="n">
        <v>0.2626005864</v>
      </c>
      <c r="AH9" t="inlineStr">
        <is>
          <t>FC</t>
        </is>
      </c>
    </row>
    <row r="10">
      <c r="A10" s="56" t="n">
        <v>1932559</v>
      </c>
      <c r="B10" s="56" t="inlineStr">
        <is>
          <t>TUB-R-AW-RHS-40.00X25.00X2.000X6.0000</t>
        </is>
      </c>
      <c r="C10" s="56" t="inlineStr">
        <is>
          <t>4920CH2140</t>
        </is>
      </c>
      <c r="D10" s="57" t="n">
        <v>223.856</v>
      </c>
      <c r="E10" s="58" t="n">
        <v>2603</v>
      </c>
      <c r="F10" s="57" t="n">
        <v>2.603</v>
      </c>
      <c r="G10" s="56" t="inlineStr">
        <is>
          <t>KG</t>
        </is>
      </c>
      <c r="H10" s="56" t="inlineStr">
        <is>
          <t>R001</t>
        </is>
      </c>
      <c r="I10" s="56" t="inlineStr">
        <is>
          <t>0789</t>
        </is>
      </c>
      <c r="J10" s="56" t="inlineStr">
        <is>
          <t>235</t>
        </is>
      </c>
      <c r="K10" s="57" t="n">
        <v>1343.068</v>
      </c>
      <c r="L10" s="56" t="inlineStr"/>
      <c r="M10" s="56" t="inlineStr">
        <is>
          <t>0</t>
        </is>
      </c>
      <c r="N10" s="56" t="inlineStr">
        <is>
          <t>ELKAYEM AUTO ANCILLARIES (PVT) LTD.</t>
        </is>
      </c>
      <c r="O10" s="58" t="n">
        <v>111</v>
      </c>
      <c r="P10" s="59" t="inlineStr">
        <is>
          <t>ABOVE 90</t>
        </is>
      </c>
      <c r="Q10" s="56" t="inlineStr">
        <is>
          <t>Diwakar</t>
        </is>
      </c>
      <c r="U10" s="585" t="n">
        <v>2403436</v>
      </c>
      <c r="V10" t="n">
        <v>12.7</v>
      </c>
      <c r="W10" t="n">
        <v>0</v>
      </c>
      <c r="X10" t="n">
        <v>1.2</v>
      </c>
      <c r="Y10" t="n">
        <v>0.98</v>
      </c>
      <c r="Z10" t="inlineStr">
        <is>
          <t>WG</t>
        </is>
      </c>
      <c r="AA10" t="inlineStr">
        <is>
          <t>PE</t>
        </is>
      </c>
      <c r="AB10" t="inlineStr">
        <is>
          <t>AW</t>
        </is>
      </c>
      <c r="AC10" t="inlineStr">
        <is>
          <t>12.7-0-1.2-ERW 1-PE</t>
        </is>
      </c>
      <c r="AD10" t="inlineStr">
        <is>
          <t>CTL</t>
        </is>
      </c>
      <c r="AE10" t="inlineStr">
        <is>
          <t>12.7-0-1.2-ERW 1-PE-0.98</t>
        </is>
      </c>
      <c r="AF10" t="n">
        <v>0.333353076</v>
      </c>
      <c r="AH10" t="inlineStr">
        <is>
          <t>FH</t>
        </is>
      </c>
    </row>
    <row r="11">
      <c r="A11" s="56" t="n">
        <v>1938251</v>
      </c>
      <c r="B11" s="56" t="inlineStr">
        <is>
          <t>TUB-O-N-AUT-AW-PE-22.23X1.600X0.3940</t>
        </is>
      </c>
      <c r="C11" s="56" t="inlineStr">
        <is>
          <t>2501010001</t>
        </is>
      </c>
      <c r="D11" s="57" t="n">
        <v>910</v>
      </c>
      <c r="E11" s="57" t="n">
        <v>292.11</v>
      </c>
      <c r="F11" s="57" t="n">
        <v>0.29211</v>
      </c>
      <c r="G11" s="56" t="inlineStr">
        <is>
          <t>KG</t>
        </is>
      </c>
      <c r="H11" s="56" t="inlineStr">
        <is>
          <t>R001</t>
        </is>
      </c>
      <c r="I11" s="56" t="inlineStr">
        <is>
          <t>0789</t>
        </is>
      </c>
      <c r="J11" s="56" t="inlineStr"/>
      <c r="K11" s="57" t="n">
        <v>358.725</v>
      </c>
      <c r="L11" s="56" t="inlineStr">
        <is>
          <t>9518314443/ 4</t>
        </is>
      </c>
      <c r="M11" s="56" t="inlineStr">
        <is>
          <t>4</t>
        </is>
      </c>
      <c r="N11" s="56" t="inlineStr">
        <is>
          <t>Neel Metal Products Limited</t>
        </is>
      </c>
      <c r="O11" s="58" t="n">
        <v>12</v>
      </c>
      <c r="P11" s="59" t="inlineStr">
        <is>
          <t>0-30</t>
        </is>
      </c>
      <c r="Q11" s="56" t="inlineStr">
        <is>
          <t>Apoorv</t>
        </is>
      </c>
      <c r="U11" s="586" t="n">
        <v>110102138</v>
      </c>
      <c r="V11" t="n">
        <v>12.7</v>
      </c>
      <c r="W11" t="n">
        <v>0</v>
      </c>
      <c r="X11" t="n">
        <v>1.2</v>
      </c>
      <c r="Y11" t="n">
        <v>5.4</v>
      </c>
      <c r="Z11" t="inlineStr">
        <is>
          <t>WG</t>
        </is>
      </c>
      <c r="AA11" t="inlineStr">
        <is>
          <t>PE</t>
        </is>
      </c>
      <c r="AB11" t="inlineStr">
        <is>
          <t>AW</t>
        </is>
      </c>
      <c r="AC11" t="inlineStr">
        <is>
          <t>12.7-0-1.2-ERW 1-PE</t>
        </is>
      </c>
      <c r="AD11" t="inlineStr">
        <is>
          <t>LL</t>
        </is>
      </c>
      <c r="AE11" t="inlineStr">
        <is>
          <t>12.7-0-1.2-ERW 1-PE-1</t>
        </is>
      </c>
      <c r="AF11" t="n">
        <v>0.3401562</v>
      </c>
      <c r="AH11" t="inlineStr">
        <is>
          <t>NR</t>
        </is>
      </c>
    </row>
    <row r="12">
      <c r="A12" s="56" t="n">
        <v>1938251</v>
      </c>
      <c r="B12" s="56" t="inlineStr">
        <is>
          <t>TUB-O-N-AUT-AW-PE-22.23X1.600X0.3940</t>
        </is>
      </c>
      <c r="C12" s="56" t="inlineStr">
        <is>
          <t>4810H30009</t>
        </is>
      </c>
      <c r="D12" s="57" t="n">
        <v>850.467</v>
      </c>
      <c r="E12" s="58" t="n">
        <v>273</v>
      </c>
      <c r="F12" s="57" t="n">
        <v>0.273</v>
      </c>
      <c r="G12" s="56" t="inlineStr">
        <is>
          <t>KG</t>
        </is>
      </c>
      <c r="H12" s="56" t="inlineStr">
        <is>
          <t>R001</t>
        </is>
      </c>
      <c r="I12" s="56" t="inlineStr">
        <is>
          <t>0789</t>
        </is>
      </c>
      <c r="J12" s="56" t="inlineStr">
        <is>
          <t>850</t>
        </is>
      </c>
      <c r="K12" s="57" t="n">
        <v>335.257</v>
      </c>
      <c r="L12" s="56" t="inlineStr">
        <is>
          <t>9518314443/ 4</t>
        </is>
      </c>
      <c r="M12" s="56" t="inlineStr">
        <is>
          <t>4</t>
        </is>
      </c>
      <c r="N12" s="56" t="inlineStr">
        <is>
          <t>Neel Metal Products Limited</t>
        </is>
      </c>
      <c r="O12" s="58" t="n">
        <v>22</v>
      </c>
      <c r="P12" s="59" t="inlineStr">
        <is>
          <t>0-30</t>
        </is>
      </c>
      <c r="Q12" s="56" t="inlineStr">
        <is>
          <t>Apoorv</t>
        </is>
      </c>
      <c r="U12" s="586" t="n">
        <v>111114026</v>
      </c>
      <c r="V12" t="n">
        <v>12.7</v>
      </c>
      <c r="W12" t="n">
        <v>0</v>
      </c>
      <c r="X12" t="n">
        <v>1.2</v>
      </c>
      <c r="Y12" t="n">
        <v>5.5</v>
      </c>
      <c r="Z12" t="inlineStr">
        <is>
          <t>WG</t>
        </is>
      </c>
      <c r="AA12" t="inlineStr">
        <is>
          <t>PE</t>
        </is>
      </c>
      <c r="AB12" t="inlineStr">
        <is>
          <t>AW</t>
        </is>
      </c>
      <c r="AC12" t="inlineStr">
        <is>
          <t>12.7-0-1.2-ERW 1-PE</t>
        </is>
      </c>
      <c r="AD12" t="inlineStr">
        <is>
          <t>LL</t>
        </is>
      </c>
      <c r="AE12" t="inlineStr">
        <is>
          <t>12.7-0-1.2-ERW 1-PE-1</t>
        </is>
      </c>
      <c r="AF12" t="n">
        <v>0.3401562</v>
      </c>
      <c r="AH12" t="inlineStr">
        <is>
          <t>AS</t>
        </is>
      </c>
    </row>
    <row r="13">
      <c r="A13" s="56" t="n">
        <v>1938251</v>
      </c>
      <c r="B13" s="56" t="inlineStr">
        <is>
          <t>TUB-O-N-AUT-AW-PE-22.23X1.600X0.3940</t>
        </is>
      </c>
      <c r="C13" s="56" t="inlineStr">
        <is>
          <t>4820H30731</t>
        </is>
      </c>
      <c r="D13" s="57" t="n">
        <v>1697.819</v>
      </c>
      <c r="E13" s="58" t="n">
        <v>545</v>
      </c>
      <c r="F13" s="57" t="n">
        <v>0.545</v>
      </c>
      <c r="G13" s="56" t="inlineStr">
        <is>
          <t>KG</t>
        </is>
      </c>
      <c r="H13" s="56" t="inlineStr">
        <is>
          <t>R001</t>
        </is>
      </c>
      <c r="I13" s="56" t="inlineStr">
        <is>
          <t>0789</t>
        </is>
      </c>
      <c r="J13" s="56" t="inlineStr">
        <is>
          <t>1700</t>
        </is>
      </c>
      <c r="K13" s="57" t="n">
        <v>669.287</v>
      </c>
      <c r="L13" s="56" t="inlineStr">
        <is>
          <t>9518314443/ 4</t>
        </is>
      </c>
      <c r="M13" s="56" t="inlineStr">
        <is>
          <t>4</t>
        </is>
      </c>
      <c r="N13" s="56" t="inlineStr">
        <is>
          <t>Neel Metal Products Limited</t>
        </is>
      </c>
      <c r="O13" s="58" t="n">
        <v>23</v>
      </c>
      <c r="P13" s="59" t="inlineStr">
        <is>
          <t>0-30</t>
        </is>
      </c>
      <c r="Q13" s="56" t="inlineStr">
        <is>
          <t>Apoorv</t>
        </is>
      </c>
      <c r="U13" s="585" t="n">
        <v>1939985</v>
      </c>
      <c r="V13" t="n">
        <v>12.7</v>
      </c>
      <c r="W13" t="n">
        <v>0</v>
      </c>
      <c r="X13" t="n">
        <v>1.2</v>
      </c>
      <c r="Y13" t="n">
        <v>6</v>
      </c>
      <c r="Z13" t="inlineStr">
        <is>
          <t>WG</t>
        </is>
      </c>
      <c r="AA13" t="inlineStr">
        <is>
          <t>PE</t>
        </is>
      </c>
      <c r="AB13" t="inlineStr">
        <is>
          <t>AW</t>
        </is>
      </c>
      <c r="AC13" t="inlineStr">
        <is>
          <t>12.7-0-1.2-ERW 1-PE</t>
        </is>
      </c>
      <c r="AD13" t="inlineStr">
        <is>
          <t>LL</t>
        </is>
      </c>
      <c r="AE13" t="inlineStr">
        <is>
          <t>12.7-0-1.2-ERW 1-PE-1</t>
        </is>
      </c>
      <c r="AF13" t="n">
        <v>0.3401562</v>
      </c>
      <c r="AH13" t="inlineStr">
        <is>
          <t>AH</t>
        </is>
      </c>
    </row>
    <row r="14">
      <c r="A14" s="56" t="n">
        <v>1938251</v>
      </c>
      <c r="B14" s="56" t="inlineStr">
        <is>
          <t>TUB-O-N-AUT-AW-PE-22.23X1.600X0.3940</t>
        </is>
      </c>
      <c r="C14" s="56" t="inlineStr">
        <is>
          <t>4B16AH2130</t>
        </is>
      </c>
      <c r="D14" s="57" t="n">
        <v>3295.573</v>
      </c>
      <c r="E14" s="57" t="n">
        <v>1057.879</v>
      </c>
      <c r="F14" s="57" t="n">
        <v>1.057879</v>
      </c>
      <c r="G14" s="56" t="inlineStr">
        <is>
          <t>KG</t>
        </is>
      </c>
      <c r="H14" s="56" t="inlineStr">
        <is>
          <t>R001</t>
        </is>
      </c>
      <c r="I14" s="56" t="inlineStr">
        <is>
          <t>0789</t>
        </is>
      </c>
      <c r="J14" s="56" t="inlineStr">
        <is>
          <t>4100</t>
        </is>
      </c>
      <c r="K14" s="57" t="n">
        <v>1299.127</v>
      </c>
      <c r="L14" s="56" t="inlineStr">
        <is>
          <t>9518314443/ 4</t>
        </is>
      </c>
      <c r="M14" s="56" t="inlineStr">
        <is>
          <t>4</t>
        </is>
      </c>
      <c r="N14" s="56" t="inlineStr">
        <is>
          <t>Neel Metal Products Limited</t>
        </is>
      </c>
      <c r="O14" s="58" t="n">
        <v>55</v>
      </c>
      <c r="P14" s="59" t="inlineStr">
        <is>
          <t>31-60</t>
        </is>
      </c>
      <c r="Q14" s="56" t="inlineStr">
        <is>
          <t>Apoorv</t>
        </is>
      </c>
      <c r="U14" s="585" t="n">
        <v>1900037</v>
      </c>
      <c r="V14" t="n">
        <v>12.7</v>
      </c>
      <c r="W14" t="n">
        <v>0</v>
      </c>
      <c r="X14" t="n">
        <v>1.2</v>
      </c>
      <c r="Y14" t="n">
        <v>6</v>
      </c>
      <c r="Z14" t="inlineStr">
        <is>
          <t>NORMAL</t>
        </is>
      </c>
      <c r="AA14" t="inlineStr">
        <is>
          <t>PE</t>
        </is>
      </c>
      <c r="AB14" t="inlineStr">
        <is>
          <t>AW</t>
        </is>
      </c>
      <c r="AC14" t="inlineStr">
        <is>
          <t>12.7-0-1.2-ERW 1-PE</t>
        </is>
      </c>
      <c r="AD14" t="inlineStr">
        <is>
          <t>LL</t>
        </is>
      </c>
      <c r="AE14" t="inlineStr">
        <is>
          <t>12.7-0-1.2-ERW 1-PE-1</t>
        </is>
      </c>
      <c r="AF14" t="n">
        <v>0.3401562</v>
      </c>
      <c r="AH14" t="inlineStr">
        <is>
          <t>DT</t>
        </is>
      </c>
    </row>
    <row r="15">
      <c r="A15" s="56" t="n">
        <v>1938251</v>
      </c>
      <c r="B15" s="56" t="inlineStr">
        <is>
          <t>TUB-O-N-AUT-AW-PE-22.23X1.600X0.3940</t>
        </is>
      </c>
      <c r="C15" s="56" t="inlineStr">
        <is>
          <t>4B16AH2160</t>
        </is>
      </c>
      <c r="D15" s="57" t="n">
        <v>1096.573</v>
      </c>
      <c r="E15" s="58" t="n">
        <v>352</v>
      </c>
      <c r="F15" s="57" t="n">
        <v>0.352</v>
      </c>
      <c r="G15" s="56" t="inlineStr">
        <is>
          <t>KG</t>
        </is>
      </c>
      <c r="H15" s="56" t="inlineStr">
        <is>
          <t>R001</t>
        </is>
      </c>
      <c r="I15" s="56" t="inlineStr">
        <is>
          <t>0789</t>
        </is>
      </c>
      <c r="J15" s="56" t="inlineStr">
        <is>
          <t>4100</t>
        </is>
      </c>
      <c r="K15" s="57" t="n">
        <v>432.273</v>
      </c>
      <c r="L15" s="56" t="inlineStr">
        <is>
          <t>9518314443/ 4</t>
        </is>
      </c>
      <c r="M15" s="56" t="inlineStr">
        <is>
          <t>4</t>
        </is>
      </c>
      <c r="N15" s="56" t="inlineStr">
        <is>
          <t>Neel Metal Products Limited</t>
        </is>
      </c>
      <c r="O15" s="58" t="n">
        <v>55</v>
      </c>
      <c r="P15" s="59" t="inlineStr">
        <is>
          <t>31-60</t>
        </is>
      </c>
      <c r="Q15" s="56" t="inlineStr">
        <is>
          <t>Apoorv</t>
        </is>
      </c>
      <c r="U15" s="585" t="n">
        <v>1939986</v>
      </c>
      <c r="V15" t="n">
        <v>12.7</v>
      </c>
      <c r="W15" t="n">
        <v>0</v>
      </c>
      <c r="X15" t="n">
        <v>1.2</v>
      </c>
      <c r="Y15" t="n">
        <v>6</v>
      </c>
      <c r="Z15" t="inlineStr">
        <is>
          <t>WG</t>
        </is>
      </c>
      <c r="AA15" t="inlineStr">
        <is>
          <t>PE</t>
        </is>
      </c>
      <c r="AB15" t="inlineStr">
        <is>
          <t>AW</t>
        </is>
      </c>
      <c r="AC15" t="inlineStr">
        <is>
          <t>12.7-0-1.2-ERW 1-PE</t>
        </is>
      </c>
      <c r="AD15" t="inlineStr">
        <is>
          <t>LL</t>
        </is>
      </c>
      <c r="AE15" t="inlineStr">
        <is>
          <t>12.7-0-1.2-ERW 1-PE-1</t>
        </is>
      </c>
      <c r="AF15" t="n">
        <v>0.3401562</v>
      </c>
      <c r="AH15" t="inlineStr">
        <is>
          <t>UP</t>
        </is>
      </c>
    </row>
    <row r="16">
      <c r="A16" s="56" t="n">
        <v>1939966</v>
      </c>
      <c r="B16" s="56" t="inlineStr">
        <is>
          <t>TUB-O-O-AUT-AW-PE-12.70X1.200X0.4080</t>
        </is>
      </c>
      <c r="C16" s="56" t="inlineStr">
        <is>
          <t>4C04CH1020</t>
        </is>
      </c>
      <c r="D16" s="57" t="n">
        <v>4914.144</v>
      </c>
      <c r="E16" s="57" t="n">
        <v>683.066</v>
      </c>
      <c r="F16" s="57" t="n">
        <v>0.6830660000000001</v>
      </c>
      <c r="G16" s="56" t="inlineStr">
        <is>
          <t>KG</t>
        </is>
      </c>
      <c r="H16" s="56" t="inlineStr">
        <is>
          <t>R001</t>
        </is>
      </c>
      <c r="I16" s="56" t="inlineStr">
        <is>
          <t>0789</t>
        </is>
      </c>
      <c r="J16" s="56" t="inlineStr">
        <is>
          <t>11826</t>
        </is>
      </c>
      <c r="K16" s="57" t="n">
        <v>2006.657</v>
      </c>
      <c r="L16" s="56" t="inlineStr">
        <is>
          <t>9518395341/ 1</t>
        </is>
      </c>
      <c r="M16" s="56" t="inlineStr">
        <is>
          <t>1</t>
        </is>
      </c>
      <c r="N16" s="56" t="inlineStr">
        <is>
          <t>ELKAYEM AUTO ANCILLARIES (PVT) LTD.</t>
        </is>
      </c>
      <c r="O16" s="58" t="n">
        <v>37</v>
      </c>
      <c r="P16" s="59" t="inlineStr">
        <is>
          <t>31-60</t>
        </is>
      </c>
      <c r="Q16" s="56" t="inlineStr">
        <is>
          <t>Diwakar</t>
        </is>
      </c>
      <c r="U16" t="n">
        <v>3701585</v>
      </c>
      <c r="V16" t="n">
        <v>12.7</v>
      </c>
      <c r="W16" t="n">
        <v>0</v>
      </c>
      <c r="X16" t="n">
        <v>1.2</v>
      </c>
      <c r="Y16" t="n">
        <v>6</v>
      </c>
      <c r="Z16" t="inlineStr">
        <is>
          <t>WG</t>
        </is>
      </c>
      <c r="AA16" t="inlineStr">
        <is>
          <t>PE</t>
        </is>
      </c>
      <c r="AB16" t="inlineStr">
        <is>
          <t>AW</t>
        </is>
      </c>
      <c r="AC16" t="inlineStr">
        <is>
          <t>12.7-0-1.2-ERW 1-PE</t>
        </is>
      </c>
      <c r="AD16" t="inlineStr">
        <is>
          <t>LL</t>
        </is>
      </c>
      <c r="AE16" t="inlineStr">
        <is>
          <t>12.7-0-1.2-ERW 1-PE-1</t>
        </is>
      </c>
      <c r="AF16" t="n">
        <v>0.3401562</v>
      </c>
      <c r="AH16" t="inlineStr">
        <is>
          <t>BH</t>
        </is>
      </c>
    </row>
    <row r="17">
      <c r="A17" s="56" t="n">
        <v>1939967</v>
      </c>
      <c r="B17" s="56" t="inlineStr">
        <is>
          <t>TUB-O-O-AUT-AW-PE-12.70X1.200X0.4120</t>
        </is>
      </c>
      <c r="C17" s="56" t="inlineStr">
        <is>
          <t>PV24030045</t>
        </is>
      </c>
      <c r="D17" s="57" t="n">
        <v>2604.9</v>
      </c>
      <c r="E17" s="57" t="n">
        <v>364.686</v>
      </c>
      <c r="F17" s="57" t="n">
        <v>0.364686</v>
      </c>
      <c r="G17" s="56" t="inlineStr">
        <is>
          <t>KG</t>
        </is>
      </c>
      <c r="H17" s="56" t="inlineStr">
        <is>
          <t>R001</t>
        </is>
      </c>
      <c r="I17" s="56" t="inlineStr">
        <is>
          <t>0789</t>
        </is>
      </c>
      <c r="J17" s="56" t="inlineStr"/>
      <c r="K17" s="57" t="n">
        <v>1071.345</v>
      </c>
      <c r="L17" s="56" t="inlineStr"/>
      <c r="M17" s="56" t="inlineStr">
        <is>
          <t>0</t>
        </is>
      </c>
      <c r="N17" s="56" t="inlineStr">
        <is>
          <t>FREE STOCK</t>
        </is>
      </c>
      <c r="O17" s="58" t="n">
        <v>262</v>
      </c>
      <c r="P17" s="59" t="inlineStr">
        <is>
          <t>ABOVE 90</t>
        </is>
      </c>
      <c r="Q17" s="56" t="inlineStr">
        <is>
          <t>Free Stock</t>
        </is>
      </c>
      <c r="U17" s="586" t="n">
        <v>110102145</v>
      </c>
      <c r="V17" t="n">
        <v>12.7</v>
      </c>
      <c r="W17" t="n">
        <v>0</v>
      </c>
      <c r="X17" t="n">
        <v>1.2</v>
      </c>
      <c r="Y17" t="n">
        <v>6</v>
      </c>
      <c r="Z17" t="inlineStr">
        <is>
          <t>WG</t>
        </is>
      </c>
      <c r="AA17" t="inlineStr">
        <is>
          <t>PE</t>
        </is>
      </c>
      <c r="AB17" t="inlineStr">
        <is>
          <t>AW</t>
        </is>
      </c>
      <c r="AC17" t="inlineStr">
        <is>
          <t>12.7-0-1.2-ERW 1-PE</t>
        </is>
      </c>
      <c r="AD17" t="inlineStr">
        <is>
          <t>LL</t>
        </is>
      </c>
      <c r="AE17" t="inlineStr">
        <is>
          <t>12.7-0-1.2-ERW 1-PE-1</t>
        </is>
      </c>
      <c r="AF17" t="n">
        <v>0.3401562</v>
      </c>
      <c r="AH17" t="e">
        <v>#REF!</v>
      </c>
    </row>
    <row r="18">
      <c r="A18" s="56" t="n">
        <v>1939970</v>
      </c>
      <c r="B18" s="56" t="inlineStr">
        <is>
          <t>TUB-O-O-AUT-AW-PE-12.70X1.200X0.5600</t>
        </is>
      </c>
      <c r="C18" s="56" t="inlineStr">
        <is>
          <t>PV24030093</t>
        </is>
      </c>
      <c r="D18" s="57" t="n">
        <v>848.4400000000001</v>
      </c>
      <c r="E18" s="57" t="n">
        <v>162.052</v>
      </c>
      <c r="F18" s="57" t="n">
        <v>0.162052</v>
      </c>
      <c r="G18" s="56" t="inlineStr">
        <is>
          <t>KG</t>
        </is>
      </c>
      <c r="H18" s="56" t="inlineStr">
        <is>
          <t>R001</t>
        </is>
      </c>
      <c r="I18" s="56" t="inlineStr">
        <is>
          <t>0789</t>
        </is>
      </c>
      <c r="J18" s="56" t="inlineStr"/>
      <c r="K18" s="57" t="n">
        <v>476.063</v>
      </c>
      <c r="L18" s="56" t="inlineStr"/>
      <c r="M18" s="56" t="inlineStr">
        <is>
          <t>0</t>
        </is>
      </c>
      <c r="N18" s="56" t="inlineStr">
        <is>
          <t>FREE STOCK</t>
        </is>
      </c>
      <c r="O18" s="58" t="n">
        <v>262</v>
      </c>
      <c r="P18" s="59" t="inlineStr">
        <is>
          <t>ABOVE 90</t>
        </is>
      </c>
      <c r="Q18" s="56" t="inlineStr">
        <is>
          <t>Free Stock</t>
        </is>
      </c>
      <c r="U18" s="585" t="n">
        <v>3552188</v>
      </c>
      <c r="V18" t="n">
        <v>12.7</v>
      </c>
      <c r="W18" t="n">
        <v>0</v>
      </c>
      <c r="X18" t="n">
        <v>1.4</v>
      </c>
      <c r="Y18" t="n">
        <v>5.67</v>
      </c>
      <c r="Z18" t="inlineStr">
        <is>
          <t>WG</t>
        </is>
      </c>
      <c r="AA18" t="inlineStr">
        <is>
          <t>PE</t>
        </is>
      </c>
      <c r="AB18" t="inlineStr">
        <is>
          <t>AW</t>
        </is>
      </c>
      <c r="AC18" t="inlineStr">
        <is>
          <t>12.7--1.4-ERW 1-NON FIN</t>
        </is>
      </c>
      <c r="AD18" t="inlineStr">
        <is>
          <t>LL</t>
        </is>
      </c>
      <c r="AE18" t="inlineStr">
        <is>
          <t>12.7--1.4-ERW 1-NON FIN-1</t>
        </is>
      </c>
      <c r="AF18" t="n">
        <v>0.3899471799999999</v>
      </c>
      <c r="AH18" t="n">
        <v>0</v>
      </c>
    </row>
    <row r="19">
      <c r="A19" s="56" t="n">
        <v>1939985</v>
      </c>
      <c r="B19" s="56" t="inlineStr">
        <is>
          <t>TUB-O-O-AUT-AW-PE-12.70X1.200X6.0000</t>
        </is>
      </c>
      <c r="C19" s="56" t="inlineStr">
        <is>
          <t>4A07BH1070</t>
        </is>
      </c>
      <c r="D19" s="57" t="n">
        <v>762.115</v>
      </c>
      <c r="E19" s="58" t="n">
        <v>1557</v>
      </c>
      <c r="F19" s="57" t="n">
        <v>1.557</v>
      </c>
      <c r="G19" s="56" t="inlineStr">
        <is>
          <t>KG</t>
        </is>
      </c>
      <c r="H19" s="56" t="inlineStr">
        <is>
          <t>R001</t>
        </is>
      </c>
      <c r="I19" s="56" t="inlineStr">
        <is>
          <t>0789</t>
        </is>
      </c>
      <c r="J19" s="56" t="inlineStr">
        <is>
          <t>762</t>
        </is>
      </c>
      <c r="K19" s="57" t="n">
        <v>4574.031</v>
      </c>
      <c r="L19" s="56" t="inlineStr">
        <is>
          <t>9518134245/ 1</t>
        </is>
      </c>
      <c r="M19" s="56" t="inlineStr">
        <is>
          <t>1</t>
        </is>
      </c>
      <c r="N19" s="56" t="inlineStr">
        <is>
          <t>MEGH STEELS PRIVATE LIMITED - TVS A</t>
        </is>
      </c>
      <c r="O19" s="58" t="n">
        <v>10</v>
      </c>
      <c r="P19" s="59" t="inlineStr">
        <is>
          <t>0-30</t>
        </is>
      </c>
      <c r="Q19" s="56" t="inlineStr">
        <is>
          <t>Apoorv</t>
        </is>
      </c>
      <c r="U19" s="585" t="n">
        <v>1931117</v>
      </c>
      <c r="V19" t="n">
        <v>12.7</v>
      </c>
      <c r="W19" t="n">
        <v>0</v>
      </c>
      <c r="X19" t="n">
        <v>1.4</v>
      </c>
      <c r="Y19" t="n">
        <v>6</v>
      </c>
      <c r="Z19" t="inlineStr">
        <is>
          <t>D</t>
        </is>
      </c>
      <c r="AA19" t="inlineStr">
        <is>
          <t>PE</t>
        </is>
      </c>
      <c r="AB19" t="inlineStr">
        <is>
          <t>AW</t>
        </is>
      </c>
      <c r="AC19" t="inlineStr">
        <is>
          <t>12.7--1.4-ERW 1-NON FIN</t>
        </is>
      </c>
      <c r="AD19" t="inlineStr">
        <is>
          <t>LL</t>
        </is>
      </c>
      <c r="AE19" t="inlineStr">
        <is>
          <t>12.7--1.4-ERW 1-NON FIN-1</t>
        </is>
      </c>
      <c r="AF19" t="n">
        <v>0.3899471799999999</v>
      </c>
    </row>
    <row r="20">
      <c r="A20" s="56" t="n">
        <v>1939986</v>
      </c>
      <c r="B20" s="56" t="inlineStr">
        <is>
          <t>TUB-O-O-GEN-AW-PE-12.70X1.200X6.0000</t>
        </is>
      </c>
      <c r="C20" s="56" t="inlineStr">
        <is>
          <t>4C05CH1040</t>
        </is>
      </c>
      <c r="D20" s="57" t="n">
        <v>1125.795</v>
      </c>
      <c r="E20" s="58" t="n">
        <v>2300</v>
      </c>
      <c r="F20" s="57" t="n">
        <v>2.3</v>
      </c>
      <c r="G20" s="56" t="inlineStr">
        <is>
          <t>KG</t>
        </is>
      </c>
      <c r="H20" s="56" t="inlineStr">
        <is>
          <t>R001</t>
        </is>
      </c>
      <c r="I20" s="56" t="inlineStr">
        <is>
          <t>0789</t>
        </is>
      </c>
      <c r="J20" s="56" t="inlineStr">
        <is>
          <t>1101</t>
        </is>
      </c>
      <c r="K20" s="57" t="n">
        <v>6756.757</v>
      </c>
      <c r="L20" s="56" t="inlineStr">
        <is>
          <t>9518315138/ 29</t>
        </is>
      </c>
      <c r="M20" s="56" t="inlineStr">
        <is>
          <t>29</t>
        </is>
      </c>
      <c r="N20" s="56" t="inlineStr">
        <is>
          <t>SRIKAM HITECH ENGINEERING PRIVATE L</t>
        </is>
      </c>
      <c r="O20" s="58" t="n">
        <v>10</v>
      </c>
      <c r="P20" s="59" t="inlineStr">
        <is>
          <t>0-30</t>
        </is>
      </c>
      <c r="Q20" s="56" t="inlineStr">
        <is>
          <t>Apoorv</t>
        </is>
      </c>
      <c r="U20" s="585" t="n">
        <v>2288968</v>
      </c>
      <c r="V20" t="n">
        <v>12.7</v>
      </c>
      <c r="W20" t="n">
        <v>0</v>
      </c>
      <c r="X20" t="n">
        <v>1.42</v>
      </c>
      <c r="Y20" t="n">
        <v>6.035</v>
      </c>
      <c r="Z20" t="inlineStr">
        <is>
          <t>KGR2</t>
        </is>
      </c>
      <c r="AA20" t="inlineStr">
        <is>
          <t>FC</t>
        </is>
      </c>
      <c r="AB20" t="inlineStr">
        <is>
          <t>AN</t>
        </is>
      </c>
      <c r="AC20" t="inlineStr">
        <is>
          <t>check tdc for Annealed</t>
        </is>
      </c>
      <c r="AD20" t="inlineStr">
        <is>
          <t>LL</t>
        </is>
      </c>
      <c r="AE20" t="inlineStr">
        <is>
          <t>check tdc for Annealed-1</t>
        </is>
      </c>
      <c r="AF20" t="n">
        <v>0.3948178224</v>
      </c>
    </row>
    <row r="21">
      <c r="A21" s="56" t="n">
        <v>1939986</v>
      </c>
      <c r="B21" s="56" t="inlineStr">
        <is>
          <t>TUB-O-O-GEN-AW-PE-12.70X1.200X6.0000</t>
        </is>
      </c>
      <c r="C21" s="56" t="inlineStr">
        <is>
          <t>4A03BH1020</t>
        </is>
      </c>
      <c r="D21" s="57" t="n">
        <v>40.869</v>
      </c>
      <c r="E21" s="57" t="n">
        <v>83.496</v>
      </c>
      <c r="F21" s="57" t="n">
        <v>0.083496</v>
      </c>
      <c r="G21" s="56" t="inlineStr">
        <is>
          <t>KG</t>
        </is>
      </c>
      <c r="H21" s="56" t="inlineStr">
        <is>
          <t>R001</t>
        </is>
      </c>
      <c r="I21" s="56" t="inlineStr">
        <is>
          <t>0789</t>
        </is>
      </c>
      <c r="J21" s="56" t="inlineStr">
        <is>
          <t>136</t>
        </is>
      </c>
      <c r="K21" s="57" t="n">
        <v>245.288</v>
      </c>
      <c r="L21" s="56" t="inlineStr">
        <is>
          <t>9518390450/ 32</t>
        </is>
      </c>
      <c r="M21" s="56" t="inlineStr">
        <is>
          <t>32</t>
        </is>
      </c>
      <c r="N21" s="56" t="inlineStr">
        <is>
          <t>SRIKAM HITECH ENGINEERING PRIVATE L</t>
        </is>
      </c>
      <c r="O21" s="58" t="n">
        <v>89</v>
      </c>
      <c r="P21" s="59" t="inlineStr">
        <is>
          <t>61-90</t>
        </is>
      </c>
      <c r="Q21" s="56" t="inlineStr">
        <is>
          <t>Apoorv</t>
        </is>
      </c>
      <c r="U21" s="585" t="n">
        <v>1939991</v>
      </c>
      <c r="V21" t="n">
        <v>12.7</v>
      </c>
      <c r="W21" t="n">
        <v>0</v>
      </c>
      <c r="X21" t="n">
        <v>1.6</v>
      </c>
      <c r="Y21" t="n">
        <v>0.145</v>
      </c>
      <c r="Z21" t="inlineStr">
        <is>
          <t>WG</t>
        </is>
      </c>
      <c r="AA21" t="inlineStr">
        <is>
          <t>PE</t>
        </is>
      </c>
      <c r="AB21" t="inlineStr">
        <is>
          <t>AW</t>
        </is>
      </c>
      <c r="AC21" t="inlineStr">
        <is>
          <t>12.7-0-1.6-ERW 1-PE</t>
        </is>
      </c>
      <c r="AD21" t="inlineStr">
        <is>
          <t>CTL</t>
        </is>
      </c>
      <c r="AE21" t="inlineStr">
        <is>
          <t>12.7-0-1.6-ERW 1-PE-0.145</t>
        </is>
      </c>
      <c r="AF21" t="n">
        <v>0.0634761048</v>
      </c>
    </row>
    <row r="22">
      <c r="A22" s="56" t="n">
        <v>1939991</v>
      </c>
      <c r="B22" s="56" t="inlineStr">
        <is>
          <t>TUB-O-O-AUT-AW-PE-12.70X1.600X0.1450</t>
        </is>
      </c>
      <c r="C22" s="56" t="inlineStr">
        <is>
          <t>5104H41088</t>
        </is>
      </c>
      <c r="D22" s="57" t="n">
        <v>4859.375</v>
      </c>
      <c r="E22" s="58" t="n">
        <v>311</v>
      </c>
      <c r="F22" s="57" t="n">
        <v>0.311</v>
      </c>
      <c r="G22" s="56" t="inlineStr">
        <is>
          <t>KG</t>
        </is>
      </c>
      <c r="H22" s="56" t="inlineStr">
        <is>
          <t>R001</t>
        </is>
      </c>
      <c r="I22" s="56" t="inlineStr">
        <is>
          <t>0789</t>
        </is>
      </c>
      <c r="J22" s="56" t="inlineStr">
        <is>
          <t>20000</t>
        </is>
      </c>
      <c r="K22" s="57" t="n">
        <v>709.884</v>
      </c>
      <c r="L22" s="56" t="inlineStr">
        <is>
          <t>9518314382/ 18</t>
        </is>
      </c>
      <c r="M22" s="56" t="inlineStr">
        <is>
          <t>18</t>
        </is>
      </c>
      <c r="N22" s="56" t="inlineStr">
        <is>
          <t>Neel Metal Products Limited</t>
        </is>
      </c>
      <c r="O22" s="58" t="n">
        <v>6</v>
      </c>
      <c r="P22" s="59" t="inlineStr">
        <is>
          <t>0-30</t>
        </is>
      </c>
      <c r="Q22" s="56" t="inlineStr">
        <is>
          <t>Apoorv</t>
        </is>
      </c>
      <c r="U22" s="585" t="n">
        <v>1939992</v>
      </c>
      <c r="V22" t="n">
        <v>12.7</v>
      </c>
      <c r="W22" t="n">
        <v>0</v>
      </c>
      <c r="X22" t="n">
        <v>1.6</v>
      </c>
      <c r="Y22" t="n">
        <v>0.187</v>
      </c>
      <c r="Z22" t="inlineStr">
        <is>
          <t>WG</t>
        </is>
      </c>
      <c r="AA22" t="inlineStr">
        <is>
          <t>PE</t>
        </is>
      </c>
      <c r="AB22" t="inlineStr">
        <is>
          <t>AW</t>
        </is>
      </c>
      <c r="AC22" t="inlineStr">
        <is>
          <t>12.7-0-1.6-ERW 1-PE</t>
        </is>
      </c>
      <c r="AD22" t="inlineStr">
        <is>
          <t>CTL</t>
        </is>
      </c>
      <c r="AE22" t="inlineStr">
        <is>
          <t>12.7-0-1.6-ERW 1-PE-0.187</t>
        </is>
      </c>
      <c r="AF22" t="n">
        <v>0.08186228688000001</v>
      </c>
    </row>
    <row r="23">
      <c r="A23" s="56" t="n">
        <v>1939994</v>
      </c>
      <c r="B23" s="56" t="inlineStr">
        <is>
          <t>TUB-O-O-AUT-AW-PE-12.70X1.600X0.2800</t>
        </is>
      </c>
      <c r="C23" s="56" t="inlineStr">
        <is>
          <t>4C27H40606</t>
        </is>
      </c>
      <c r="D23" s="57" t="n">
        <v>4016.26</v>
      </c>
      <c r="E23" s="58" t="n">
        <v>494</v>
      </c>
      <c r="F23" s="57" t="n">
        <v>0.494</v>
      </c>
      <c r="G23" s="56" t="inlineStr">
        <is>
          <t>KG</t>
        </is>
      </c>
      <c r="H23" s="56" t="inlineStr">
        <is>
          <t>R001</t>
        </is>
      </c>
      <c r="I23" s="56" t="inlineStr">
        <is>
          <t>0789</t>
        </is>
      </c>
      <c r="J23" s="56" t="inlineStr">
        <is>
          <t>4350</t>
        </is>
      </c>
      <c r="K23" s="57" t="n">
        <v>1127.596</v>
      </c>
      <c r="L23" s="56" t="inlineStr">
        <is>
          <t>9518390450/ 3</t>
        </is>
      </c>
      <c r="M23" s="56" t="inlineStr">
        <is>
          <t>3</t>
        </is>
      </c>
      <c r="N23" s="56" t="inlineStr">
        <is>
          <t>SRIKAM HITECH ENGINEERING PRIVATE L</t>
        </is>
      </c>
      <c r="O23" s="58" t="n">
        <v>7</v>
      </c>
      <c r="P23" s="59" t="inlineStr">
        <is>
          <t>0-30</t>
        </is>
      </c>
      <c r="Q23" s="56" t="inlineStr">
        <is>
          <t>Apoorv</t>
        </is>
      </c>
      <c r="U23" s="585" t="n">
        <v>3432081</v>
      </c>
      <c r="V23" t="n">
        <v>12.7</v>
      </c>
      <c r="W23" t="n">
        <v>0</v>
      </c>
      <c r="X23" t="n">
        <v>1.6</v>
      </c>
      <c r="Y23" t="n">
        <v>0.189</v>
      </c>
      <c r="Z23" t="inlineStr">
        <is>
          <t>HROP</t>
        </is>
      </c>
      <c r="AA23" t="inlineStr">
        <is>
          <t>PE</t>
        </is>
      </c>
      <c r="AB23" t="inlineStr">
        <is>
          <t>AW</t>
        </is>
      </c>
      <c r="AC23" t="inlineStr">
        <is>
          <t>12.7-0-1.6-ERW 1-PE</t>
        </is>
      </c>
      <c r="AD23" t="inlineStr">
        <is>
          <t>CTL</t>
        </is>
      </c>
      <c r="AE23" t="inlineStr">
        <is>
          <t>12.7-0-1.6-ERW 1-PE-0.189</t>
        </is>
      </c>
      <c r="AF23" t="n">
        <v>0.08273781936000001</v>
      </c>
    </row>
    <row r="24">
      <c r="A24" s="56" t="n">
        <v>1939996</v>
      </c>
      <c r="B24" s="56" t="inlineStr">
        <is>
          <t>TUB-O-O-AUT-AW-PE-12.70X1.600X0.2950</t>
        </is>
      </c>
      <c r="C24" s="56" t="inlineStr">
        <is>
          <t>4C27H40605</t>
        </is>
      </c>
      <c r="D24" s="57" t="n">
        <v>4410.853</v>
      </c>
      <c r="E24" s="58" t="n">
        <v>569</v>
      </c>
      <c r="F24" s="57" t="n">
        <v>0.569</v>
      </c>
      <c r="G24" s="56" t="inlineStr">
        <is>
          <t>KG</t>
        </is>
      </c>
      <c r="H24" s="56" t="inlineStr">
        <is>
          <t>R001</t>
        </is>
      </c>
      <c r="I24" s="56" t="inlineStr">
        <is>
          <t>0789</t>
        </is>
      </c>
      <c r="J24" s="56" t="inlineStr">
        <is>
          <t>4400</t>
        </is>
      </c>
      <c r="K24" s="57" t="n">
        <v>1298.79</v>
      </c>
      <c r="L24" s="56" t="inlineStr">
        <is>
          <t>9518220218/ 3</t>
        </is>
      </c>
      <c r="M24" s="56" t="inlineStr">
        <is>
          <t>3</t>
        </is>
      </c>
      <c r="N24" s="56" t="inlineStr">
        <is>
          <t>RAJSRIYA AUTOMOTIVE IND. P LTD</t>
        </is>
      </c>
      <c r="O24" s="58" t="n">
        <v>17</v>
      </c>
      <c r="P24" s="59" t="inlineStr">
        <is>
          <t>0-30</t>
        </is>
      </c>
      <c r="Q24" s="56" t="inlineStr">
        <is>
          <t>Apoorv</t>
        </is>
      </c>
      <c r="U24" s="585" t="n">
        <v>1939993</v>
      </c>
      <c r="V24" t="n">
        <v>12.7</v>
      </c>
      <c r="W24" t="n">
        <v>0</v>
      </c>
      <c r="X24" t="n">
        <v>1.6</v>
      </c>
      <c r="Y24" t="n">
        <v>0.25</v>
      </c>
      <c r="Z24" t="inlineStr">
        <is>
          <t>WG</t>
        </is>
      </c>
      <c r="AA24" t="inlineStr">
        <is>
          <t>PE</t>
        </is>
      </c>
      <c r="AB24" t="inlineStr">
        <is>
          <t>AW</t>
        </is>
      </c>
      <c r="AC24" t="inlineStr">
        <is>
          <t>12.7-0-1.6-ERW 1-PE</t>
        </is>
      </c>
      <c r="AD24" t="inlineStr">
        <is>
          <t>CTL</t>
        </is>
      </c>
      <c r="AE24" t="inlineStr">
        <is>
          <t>12.7-0-1.6-ERW 1-PE-0.25</t>
        </is>
      </c>
      <c r="AF24" t="n">
        <v>0.10944156</v>
      </c>
    </row>
    <row r="25">
      <c r="A25" s="56" t="n">
        <v>1940003</v>
      </c>
      <c r="B25" s="56" t="inlineStr">
        <is>
          <t>TUB-O-O-AUT-AW-PE-12.70X1.600X0.3930</t>
        </is>
      </c>
      <c r="C25" s="56" t="inlineStr">
        <is>
          <t>PV24030041</t>
        </is>
      </c>
      <c r="D25" s="57" t="n">
        <v>592.581</v>
      </c>
      <c r="E25" s="57" t="n">
        <v>101.924</v>
      </c>
      <c r="F25" s="57" t="n">
        <v>0.101924</v>
      </c>
      <c r="G25" s="56" t="inlineStr">
        <is>
          <t>KG</t>
        </is>
      </c>
      <c r="H25" s="56" t="inlineStr">
        <is>
          <t>R001</t>
        </is>
      </c>
      <c r="I25" s="56" t="inlineStr">
        <is>
          <t>0789</t>
        </is>
      </c>
      <c r="J25" s="56" t="inlineStr"/>
      <c r="K25" s="57" t="n">
        <v>232.65</v>
      </c>
      <c r="L25" s="56" t="inlineStr"/>
      <c r="M25" s="56" t="inlineStr">
        <is>
          <t>0</t>
        </is>
      </c>
      <c r="N25" s="56" t="inlineStr">
        <is>
          <t>Rajsriya Automotive Ind. Pvt Ltd</t>
        </is>
      </c>
      <c r="O25" s="58" t="n">
        <v>262</v>
      </c>
      <c r="P25" s="59" t="inlineStr">
        <is>
          <t>ABOVE 90</t>
        </is>
      </c>
      <c r="Q25" s="56" t="inlineStr">
        <is>
          <t>Apoorv</t>
        </is>
      </c>
      <c r="U25" t="n">
        <v>3727213</v>
      </c>
      <c r="V25" t="n">
        <v>12.7</v>
      </c>
      <c r="W25" t="n">
        <v>0</v>
      </c>
      <c r="X25" t="n">
        <v>1.6</v>
      </c>
      <c r="Y25" t="n">
        <v>0.252</v>
      </c>
      <c r="Z25" t="inlineStr">
        <is>
          <t>WG</t>
        </is>
      </c>
      <c r="AA25" t="inlineStr">
        <is>
          <t>PE</t>
        </is>
      </c>
      <c r="AB25" t="inlineStr">
        <is>
          <t>AW</t>
        </is>
      </c>
      <c r="AC25" t="inlineStr">
        <is>
          <t>12.7-0-1.6-ERW 1-PE</t>
        </is>
      </c>
      <c r="AD25" t="inlineStr">
        <is>
          <t>CTL</t>
        </is>
      </c>
      <c r="AE25" t="inlineStr">
        <is>
          <t>12.7-0-1.6-ERW 1-PE-0.252</t>
        </is>
      </c>
      <c r="AF25" t="n">
        <v>0.11031709248</v>
      </c>
    </row>
    <row r="26">
      <c r="A26" s="56" t="n">
        <v>1940014</v>
      </c>
      <c r="B26" s="56" t="inlineStr">
        <is>
          <t>TUB-O-O-GEN-AW-PE-12.70X1.600X6.0000</t>
        </is>
      </c>
      <c r="C26" s="56" t="inlineStr">
        <is>
          <t>4A05BH1060</t>
        </is>
      </c>
      <c r="D26" s="57" t="n">
        <v>572.461</v>
      </c>
      <c r="E26" s="58" t="n">
        <v>1505</v>
      </c>
      <c r="F26" s="57" t="n">
        <v>1.505</v>
      </c>
      <c r="G26" s="56" t="inlineStr">
        <is>
          <t>KG</t>
        </is>
      </c>
      <c r="H26" s="56" t="inlineStr">
        <is>
          <t>R001</t>
        </is>
      </c>
      <c r="I26" s="56" t="inlineStr">
        <is>
          <t>0789</t>
        </is>
      </c>
      <c r="J26" s="56" t="inlineStr">
        <is>
          <t>571</t>
        </is>
      </c>
      <c r="K26" s="57" t="n">
        <v>3435.289</v>
      </c>
      <c r="L26" s="56" t="inlineStr">
        <is>
          <t>9518137189/ 30</t>
        </is>
      </c>
      <c r="M26" s="56" t="inlineStr">
        <is>
          <t>30</t>
        </is>
      </c>
      <c r="N26" s="56" t="inlineStr">
        <is>
          <t>SRIKAM HITECH ENGINEERING PRIVATE L</t>
        </is>
      </c>
      <c r="O26" s="58" t="n">
        <v>10</v>
      </c>
      <c r="P26" s="59" t="inlineStr">
        <is>
          <t>0-30</t>
        </is>
      </c>
      <c r="Q26" s="56" t="inlineStr">
        <is>
          <t>Apoorv</t>
        </is>
      </c>
      <c r="U26" s="585" t="n">
        <v>3223304</v>
      </c>
      <c r="V26" t="n">
        <v>12.7</v>
      </c>
      <c r="W26" t="n">
        <v>0</v>
      </c>
      <c r="X26" t="n">
        <v>1.6</v>
      </c>
      <c r="Y26" t="n">
        <v>0.255</v>
      </c>
      <c r="Z26" t="inlineStr">
        <is>
          <t>HROP</t>
        </is>
      </c>
      <c r="AA26" t="inlineStr">
        <is>
          <t>PE</t>
        </is>
      </c>
      <c r="AB26" t="inlineStr">
        <is>
          <t>AW</t>
        </is>
      </c>
      <c r="AC26" t="inlineStr">
        <is>
          <t>12.7-0-1.6-ERW 1-PE</t>
        </is>
      </c>
      <c r="AD26" t="inlineStr">
        <is>
          <t>CTL</t>
        </is>
      </c>
      <c r="AE26" t="inlineStr">
        <is>
          <t>12.7-0-1.6-ERW 1-PE-0.255</t>
        </is>
      </c>
      <c r="AF26" t="n">
        <v>0.1116303912</v>
      </c>
    </row>
    <row r="27">
      <c r="A27" s="56" t="n">
        <v>1940019</v>
      </c>
      <c r="B27" s="56" t="inlineStr">
        <is>
          <t>TUB-O-O-GEN-AW-PE-15.88X1.000X0.1400</t>
        </is>
      </c>
      <c r="C27" s="56" t="inlineStr">
        <is>
          <t>EXC2405036</t>
        </is>
      </c>
      <c r="D27" s="57" t="n">
        <v>2954</v>
      </c>
      <c r="E27" s="57" t="n">
        <v>150.654</v>
      </c>
      <c r="F27" s="57" t="n">
        <v>0.150654</v>
      </c>
      <c r="G27" s="56" t="inlineStr">
        <is>
          <t>KG</t>
        </is>
      </c>
      <c r="H27" s="56" t="inlineStr">
        <is>
          <t>R001</t>
        </is>
      </c>
      <c r="I27" s="56" t="inlineStr">
        <is>
          <t>0789</t>
        </is>
      </c>
      <c r="J27" s="56" t="inlineStr"/>
      <c r="K27" s="57" t="n">
        <v>410.39</v>
      </c>
      <c r="L27" s="56" t="inlineStr">
        <is>
          <t>9517698308/ 1</t>
        </is>
      </c>
      <c r="M27" s="56" t="inlineStr">
        <is>
          <t>1</t>
        </is>
      </c>
      <c r="N27" s="56" t="inlineStr">
        <is>
          <t>Neel Metal Products Limited</t>
        </is>
      </c>
      <c r="O27" s="58" t="n">
        <v>230</v>
      </c>
      <c r="P27" s="59" t="inlineStr">
        <is>
          <t>ABOVE 90</t>
        </is>
      </c>
      <c r="Q27" s="56" t="inlineStr">
        <is>
          <t>Apoorv</t>
        </is>
      </c>
      <c r="U27" s="585" t="n">
        <v>3676336</v>
      </c>
      <c r="V27" t="n">
        <v>12.7</v>
      </c>
      <c r="W27" t="n">
        <v>0</v>
      </c>
      <c r="X27" t="n">
        <v>1.6</v>
      </c>
      <c r="Y27" t="n">
        <v>0.257</v>
      </c>
      <c r="Z27" t="inlineStr">
        <is>
          <t>WG</t>
        </is>
      </c>
      <c r="AA27" t="inlineStr">
        <is>
          <t>PE</t>
        </is>
      </c>
      <c r="AB27" t="inlineStr">
        <is>
          <t>AW</t>
        </is>
      </c>
      <c r="AC27" t="inlineStr">
        <is>
          <t>12.7-0-1.6-ERW 1-PE</t>
        </is>
      </c>
      <c r="AD27" t="inlineStr">
        <is>
          <t>CTL</t>
        </is>
      </c>
      <c r="AE27" t="inlineStr">
        <is>
          <t>12.7-0-1.6-ERW 1-PE-0.257</t>
        </is>
      </c>
      <c r="AF27" t="n">
        <v>0.11250592368</v>
      </c>
    </row>
    <row r="28">
      <c r="A28" s="56" t="n">
        <v>1940019</v>
      </c>
      <c r="B28" s="56" t="inlineStr">
        <is>
          <t>TUB-O-O-GEN-AW-PE-15.88X1.000X0.1400</t>
        </is>
      </c>
      <c r="C28" s="56" t="inlineStr">
        <is>
          <t>SEN2306117</t>
        </is>
      </c>
      <c r="D28" s="57" t="n">
        <v>3300</v>
      </c>
      <c r="E28" s="57" t="n">
        <v>168.3</v>
      </c>
      <c r="F28" s="57" t="n">
        <v>0.1683</v>
      </c>
      <c r="G28" s="56" t="inlineStr">
        <is>
          <t>KG</t>
        </is>
      </c>
      <c r="H28" s="56" t="inlineStr">
        <is>
          <t>R001</t>
        </is>
      </c>
      <c r="I28" s="56" t="inlineStr">
        <is>
          <t>0789</t>
        </is>
      </c>
      <c r="J28" s="56" t="inlineStr"/>
      <c r="K28" s="57" t="n">
        <v>458.458</v>
      </c>
      <c r="L28" s="56" t="inlineStr">
        <is>
          <t>9517698308/ 1</t>
        </is>
      </c>
      <c r="M28" s="56" t="inlineStr">
        <is>
          <t>1</t>
        </is>
      </c>
      <c r="N28" s="56" t="inlineStr">
        <is>
          <t>Neel Metal Products Limited</t>
        </is>
      </c>
      <c r="O28" s="58" t="n">
        <v>584</v>
      </c>
      <c r="P28" s="59" t="inlineStr">
        <is>
          <t>ABOVE 90</t>
        </is>
      </c>
      <c r="Q28" s="56" t="inlineStr">
        <is>
          <t>Apoorv</t>
        </is>
      </c>
      <c r="U28" s="585" t="n">
        <v>1932848</v>
      </c>
      <c r="V28" t="n">
        <v>12.7</v>
      </c>
      <c r="W28" t="n">
        <v>0</v>
      </c>
      <c r="X28" t="n">
        <v>1.6</v>
      </c>
      <c r="Y28" t="n">
        <v>0.26</v>
      </c>
      <c r="Z28" t="inlineStr">
        <is>
          <t>D</t>
        </is>
      </c>
      <c r="AA28" t="inlineStr">
        <is>
          <t>PE</t>
        </is>
      </c>
      <c r="AB28" t="inlineStr">
        <is>
          <t>AW</t>
        </is>
      </c>
      <c r="AC28" t="inlineStr">
        <is>
          <t>12.7-0-1.6-ERW 1-PE</t>
        </is>
      </c>
      <c r="AD28" t="inlineStr">
        <is>
          <t>CTL</t>
        </is>
      </c>
      <c r="AE28" t="inlineStr">
        <is>
          <t>12.7-0-1.6-ERW 1-PE-0.26</t>
        </is>
      </c>
      <c r="AF28" t="n">
        <v>0.1138192224</v>
      </c>
    </row>
    <row r="29">
      <c r="A29" s="56" t="n">
        <v>1940019</v>
      </c>
      <c r="B29" s="56" t="inlineStr">
        <is>
          <t>TUB-O-O-GEN-AW-PE-15.88X1.000X0.1400</t>
        </is>
      </c>
      <c r="C29" s="56" t="inlineStr">
        <is>
          <t>SEN2306172</t>
        </is>
      </c>
      <c r="D29" s="57" t="n">
        <v>1013</v>
      </c>
      <c r="E29" s="57" t="n">
        <v>51.663</v>
      </c>
      <c r="F29" s="57" t="n">
        <v>0.05166299999999999</v>
      </c>
      <c r="G29" s="56" t="inlineStr">
        <is>
          <t>KG</t>
        </is>
      </c>
      <c r="H29" s="56" t="inlineStr">
        <is>
          <t>R001</t>
        </is>
      </c>
      <c r="I29" s="56" t="inlineStr">
        <is>
          <t>0789</t>
        </is>
      </c>
      <c r="J29" s="56" t="inlineStr"/>
      <c r="K29" s="57" t="n">
        <v>140.733</v>
      </c>
      <c r="L29" s="56" t="inlineStr">
        <is>
          <t>9517698308/ 1</t>
        </is>
      </c>
      <c r="M29" s="56" t="inlineStr">
        <is>
          <t>1</t>
        </is>
      </c>
      <c r="N29" s="56" t="inlineStr">
        <is>
          <t>Neel Metal Products Limited</t>
        </is>
      </c>
      <c r="O29" s="58" t="n">
        <v>580</v>
      </c>
      <c r="P29" s="59" t="inlineStr">
        <is>
          <t>ABOVE 90</t>
        </is>
      </c>
      <c r="Q29" s="56" t="inlineStr">
        <is>
          <t>Apoorv</t>
        </is>
      </c>
      <c r="U29" s="585" t="n">
        <v>1939994</v>
      </c>
      <c r="V29" t="n">
        <v>12.7</v>
      </c>
      <c r="W29" t="n">
        <v>0</v>
      </c>
      <c r="X29" t="n">
        <v>1.6</v>
      </c>
      <c r="Y29" t="n">
        <v>0.28</v>
      </c>
      <c r="Z29" t="inlineStr">
        <is>
          <t>WG</t>
        </is>
      </c>
      <c r="AA29" t="inlineStr">
        <is>
          <t>PE</t>
        </is>
      </c>
      <c r="AB29" t="inlineStr">
        <is>
          <t>AW</t>
        </is>
      </c>
      <c r="AC29" t="inlineStr">
        <is>
          <t>12.7-0-1.6-ERW 1-PE</t>
        </is>
      </c>
      <c r="AD29" t="inlineStr">
        <is>
          <t>CTL</t>
        </is>
      </c>
      <c r="AE29" t="inlineStr">
        <is>
          <t>12.7-0-1.6-ERW 1-PE-0.28</t>
        </is>
      </c>
      <c r="AF29" t="n">
        <v>0.1225745472</v>
      </c>
    </row>
    <row r="30">
      <c r="A30" s="56" t="n">
        <v>1940027</v>
      </c>
      <c r="B30" s="56" t="inlineStr">
        <is>
          <t>TUB-O-O-GEN-AW-PE-15.88X1.000X6.1900</t>
        </is>
      </c>
      <c r="C30" s="56" t="inlineStr">
        <is>
          <t>4211AH1020</t>
        </is>
      </c>
      <c r="D30" s="57" t="n">
        <v>74.384</v>
      </c>
      <c r="E30" s="58" t="n">
        <v>169</v>
      </c>
      <c r="F30" s="57" t="n">
        <v>0.169</v>
      </c>
      <c r="G30" s="56" t="inlineStr">
        <is>
          <t>KG</t>
        </is>
      </c>
      <c r="H30" s="56" t="inlineStr">
        <is>
          <t>R001</t>
        </is>
      </c>
      <c r="I30" s="56" t="inlineStr">
        <is>
          <t>0789</t>
        </is>
      </c>
      <c r="J30" s="56" t="inlineStr">
        <is>
          <t>1087</t>
        </is>
      </c>
      <c r="K30" s="57" t="n">
        <v>460.365</v>
      </c>
      <c r="L30" s="56" t="inlineStr">
        <is>
          <t>9518037895/ 2</t>
        </is>
      </c>
      <c r="M30" s="56" t="inlineStr">
        <is>
          <t>2</t>
        </is>
      </c>
      <c r="N30" s="56" t="inlineStr">
        <is>
          <t>MEGH STEELS PRIVATE LIMITED - TVS A</t>
        </is>
      </c>
      <c r="O30" s="58" t="n">
        <v>336</v>
      </c>
      <c r="P30" s="59" t="inlineStr">
        <is>
          <t>ABOVE 90</t>
        </is>
      </c>
      <c r="Q30" s="56" t="inlineStr">
        <is>
          <t>Apoorv</t>
        </is>
      </c>
      <c r="U30" s="585" t="n">
        <v>2440974</v>
      </c>
      <c r="V30" t="n">
        <v>12.7</v>
      </c>
      <c r="W30" t="n">
        <v>0</v>
      </c>
      <c r="X30" t="n">
        <v>1.6</v>
      </c>
      <c r="Y30" t="n">
        <v>0.28</v>
      </c>
      <c r="Z30" t="inlineStr">
        <is>
          <t>HROP</t>
        </is>
      </c>
      <c r="AA30" t="inlineStr">
        <is>
          <t>PE</t>
        </is>
      </c>
      <c r="AB30" t="inlineStr">
        <is>
          <t>AW</t>
        </is>
      </c>
      <c r="AC30" t="inlineStr">
        <is>
          <t>12.7-0-1.6-ERW 1-PE</t>
        </is>
      </c>
      <c r="AD30" t="inlineStr">
        <is>
          <t>CTL</t>
        </is>
      </c>
      <c r="AE30" t="inlineStr">
        <is>
          <t>12.7-0-1.6-ERW 1-PE-0.28</t>
        </is>
      </c>
      <c r="AF30" t="n">
        <v>0.1225745472</v>
      </c>
    </row>
    <row r="31">
      <c r="A31" s="56" t="n">
        <v>1940034</v>
      </c>
      <c r="B31" s="56" t="inlineStr">
        <is>
          <t>TUB-O-O-AUT-AW-PE-15.88X1.200X0.5400</t>
        </is>
      </c>
      <c r="C31" s="56" t="inlineStr">
        <is>
          <t>4913H32838</t>
        </is>
      </c>
      <c r="D31" s="57" t="n">
        <v>922.872</v>
      </c>
      <c r="E31" s="57" t="n">
        <v>216.875</v>
      </c>
      <c r="F31" s="57" t="n">
        <v>0.216875</v>
      </c>
      <c r="G31" s="56" t="inlineStr">
        <is>
          <t>KG</t>
        </is>
      </c>
      <c r="H31" s="56" t="inlineStr">
        <is>
          <t>R001</t>
        </is>
      </c>
      <c r="I31" s="56" t="inlineStr">
        <is>
          <t>0789</t>
        </is>
      </c>
      <c r="J31" s="56" t="inlineStr">
        <is>
          <t>6106</t>
        </is>
      </c>
      <c r="K31" s="57" t="n">
        <v>499.022</v>
      </c>
      <c r="L31" s="56" t="inlineStr">
        <is>
          <t>9518219863/ 5</t>
        </is>
      </c>
      <c r="M31" s="56" t="inlineStr">
        <is>
          <t>5</t>
        </is>
      </c>
      <c r="N31" s="56" t="inlineStr">
        <is>
          <t>BALAJI PRESS PRODUCTS INDIA</t>
        </is>
      </c>
      <c r="O31" s="58" t="n">
        <v>122</v>
      </c>
      <c r="P31" s="59" t="inlineStr">
        <is>
          <t>ABOVE 90</t>
        </is>
      </c>
      <c r="Q31" s="56" t="inlineStr">
        <is>
          <t>Jitendra Kumar Sharma</t>
        </is>
      </c>
      <c r="U31" s="585" t="n">
        <v>1939996</v>
      </c>
      <c r="V31" t="n">
        <v>12.7</v>
      </c>
      <c r="W31" t="n">
        <v>0</v>
      </c>
      <c r="X31" t="n">
        <v>1.6</v>
      </c>
      <c r="Y31" t="n">
        <v>0.295</v>
      </c>
      <c r="Z31" t="inlineStr">
        <is>
          <t>WG</t>
        </is>
      </c>
      <c r="AA31" t="inlineStr">
        <is>
          <t>PE</t>
        </is>
      </c>
      <c r="AB31" t="inlineStr">
        <is>
          <t>AW</t>
        </is>
      </c>
      <c r="AC31" t="inlineStr">
        <is>
          <t>12.7-0-1.6-ERW 1-PE</t>
        </is>
      </c>
      <c r="AD31" t="inlineStr">
        <is>
          <t>CTL</t>
        </is>
      </c>
      <c r="AE31" t="inlineStr">
        <is>
          <t>12.7-0-1.6-ERW 1-PE-0.295</t>
        </is>
      </c>
      <c r="AF31" t="n">
        <v>0.1291410408</v>
      </c>
    </row>
    <row r="32">
      <c r="A32" s="56" t="n">
        <v>1940034</v>
      </c>
      <c r="B32" s="56" t="inlineStr">
        <is>
          <t>TUB-O-O-AUT-AW-PE-15.88X1.200X0.5400</t>
        </is>
      </c>
      <c r="C32" s="56" t="inlineStr">
        <is>
          <t>4A14BH1030</t>
        </is>
      </c>
      <c r="D32" s="57" t="n">
        <v>1272.34</v>
      </c>
      <c r="E32" s="58" t="n">
        <v>299</v>
      </c>
      <c r="F32" s="57" t="n">
        <v>0.299</v>
      </c>
      <c r="G32" s="56" t="inlineStr">
        <is>
          <t>KG</t>
        </is>
      </c>
      <c r="H32" s="56" t="inlineStr">
        <is>
          <t>R001</t>
        </is>
      </c>
      <c r="I32" s="56" t="inlineStr">
        <is>
          <t>0789</t>
        </is>
      </c>
      <c r="J32" s="56" t="inlineStr">
        <is>
          <t>1300</t>
        </is>
      </c>
      <c r="K32" s="57" t="n">
        <v>687.989</v>
      </c>
      <c r="L32" s="56" t="inlineStr">
        <is>
          <t>9518219863/ 5</t>
        </is>
      </c>
      <c r="M32" s="56" t="inlineStr">
        <is>
          <t>5</t>
        </is>
      </c>
      <c r="N32" s="56" t="inlineStr">
        <is>
          <t>BALAJI PRESS PRODUCTS INDIA</t>
        </is>
      </c>
      <c r="O32" s="58" t="n">
        <v>84</v>
      </c>
      <c r="P32" s="59" t="inlineStr">
        <is>
          <t>61-90</t>
        </is>
      </c>
      <c r="Q32" s="56" t="inlineStr">
        <is>
          <t>Jitendra Kumar Sharma</t>
        </is>
      </c>
      <c r="U32" s="585" t="n">
        <v>3676337</v>
      </c>
      <c r="V32" t="n">
        <v>12.7</v>
      </c>
      <c r="W32" t="n">
        <v>0</v>
      </c>
      <c r="X32" t="n">
        <v>1.6</v>
      </c>
      <c r="Y32" t="n">
        <v>0.32</v>
      </c>
      <c r="Z32" t="inlineStr">
        <is>
          <t>WG</t>
        </is>
      </c>
      <c r="AA32" t="inlineStr">
        <is>
          <t>PE</t>
        </is>
      </c>
      <c r="AB32" t="inlineStr">
        <is>
          <t>AW</t>
        </is>
      </c>
      <c r="AC32" t="inlineStr">
        <is>
          <t>12.7-0-1.6-ERW 1-PE</t>
        </is>
      </c>
      <c r="AD32" t="inlineStr">
        <is>
          <t>CTL</t>
        </is>
      </c>
      <c r="AE32" t="inlineStr">
        <is>
          <t>12.7-0-1.6-ERW 1-PE-0.32</t>
        </is>
      </c>
      <c r="AF32" t="n">
        <v>0.1400851968</v>
      </c>
    </row>
    <row r="33">
      <c r="A33" s="56" t="n">
        <v>1940034</v>
      </c>
      <c r="B33" s="56" t="inlineStr">
        <is>
          <t>TUB-O-O-AUT-AW-PE-15.88X1.200X0.5400</t>
        </is>
      </c>
      <c r="C33" s="56" t="inlineStr">
        <is>
          <t>4A14BH1040</t>
        </is>
      </c>
      <c r="D33" s="57" t="n">
        <v>1697.872</v>
      </c>
      <c r="E33" s="58" t="n">
        <v>399</v>
      </c>
      <c r="F33" s="57" t="n">
        <v>0.399</v>
      </c>
      <c r="G33" s="56" t="inlineStr">
        <is>
          <t>KG</t>
        </is>
      </c>
      <c r="H33" s="56" t="inlineStr">
        <is>
          <t>R001</t>
        </is>
      </c>
      <c r="I33" s="56" t="inlineStr">
        <is>
          <t>0789</t>
        </is>
      </c>
      <c r="J33" s="56" t="inlineStr">
        <is>
          <t>1700</t>
        </is>
      </c>
      <c r="K33" s="57" t="n">
        <v>918.086</v>
      </c>
      <c r="L33" s="56" t="inlineStr">
        <is>
          <t>9518219863/ 5</t>
        </is>
      </c>
      <c r="M33" s="56" t="inlineStr">
        <is>
          <t>5</t>
        </is>
      </c>
      <c r="N33" s="56" t="inlineStr">
        <is>
          <t>BALAJI PRESS PRODUCTS INDIA</t>
        </is>
      </c>
      <c r="O33" s="58" t="n">
        <v>84</v>
      </c>
      <c r="P33" s="59" t="inlineStr">
        <is>
          <t>61-90</t>
        </is>
      </c>
      <c r="Q33" s="56" t="inlineStr">
        <is>
          <t>Jitendra Kumar Sharma</t>
        </is>
      </c>
      <c r="U33" s="585" t="n">
        <v>1940003</v>
      </c>
      <c r="V33" t="n">
        <v>12.7</v>
      </c>
      <c r="W33" t="n">
        <v>0</v>
      </c>
      <c r="X33" t="n">
        <v>1.6</v>
      </c>
      <c r="Y33" t="n">
        <v>0.393</v>
      </c>
      <c r="Z33" t="inlineStr">
        <is>
          <t>WG</t>
        </is>
      </c>
      <c r="AA33" t="inlineStr">
        <is>
          <t>PE</t>
        </is>
      </c>
      <c r="AB33" t="inlineStr">
        <is>
          <t>AW</t>
        </is>
      </c>
      <c r="AC33" t="inlineStr">
        <is>
          <t>12.7-0-1.6-ERW 1-PE</t>
        </is>
      </c>
      <c r="AD33" t="inlineStr">
        <is>
          <t>CTL</t>
        </is>
      </c>
      <c r="AE33" t="inlineStr">
        <is>
          <t>12.7-0-1.6-ERW 1-PE-0.393</t>
        </is>
      </c>
      <c r="AF33" t="n">
        <v>0.17204213232</v>
      </c>
    </row>
    <row r="34">
      <c r="A34" s="56" t="n">
        <v>1940034</v>
      </c>
      <c r="B34" s="56" t="inlineStr">
        <is>
          <t>TUB-O-O-AUT-AW-PE-15.88X1.200X0.5400</t>
        </is>
      </c>
      <c r="C34" s="56" t="inlineStr">
        <is>
          <t>4A14BH1060</t>
        </is>
      </c>
      <c r="D34" s="57" t="n">
        <v>800</v>
      </c>
      <c r="E34" s="58" t="n">
        <v>188</v>
      </c>
      <c r="F34" s="57" t="n">
        <v>0.188</v>
      </c>
      <c r="G34" s="56" t="inlineStr">
        <is>
          <t>KG</t>
        </is>
      </c>
      <c r="H34" s="56" t="inlineStr">
        <is>
          <t>R001</t>
        </is>
      </c>
      <c r="I34" s="56" t="inlineStr">
        <is>
          <t>0789</t>
        </is>
      </c>
      <c r="J34" s="56" t="inlineStr">
        <is>
          <t>800</t>
        </is>
      </c>
      <c r="K34" s="57" t="n">
        <v>432.582</v>
      </c>
      <c r="L34" s="56" t="inlineStr">
        <is>
          <t>9518219863/ 5</t>
        </is>
      </c>
      <c r="M34" s="56" t="inlineStr">
        <is>
          <t>5</t>
        </is>
      </c>
      <c r="N34" s="56" t="inlineStr">
        <is>
          <t>BALAJI PRESS PRODUCTS INDIA</t>
        </is>
      </c>
      <c r="O34" s="58" t="n">
        <v>84</v>
      </c>
      <c r="P34" s="59" t="inlineStr">
        <is>
          <t>61-90</t>
        </is>
      </c>
      <c r="Q34" s="56" t="inlineStr">
        <is>
          <t>Jitendra Kumar Sharma</t>
        </is>
      </c>
      <c r="U34" t="n">
        <v>4151968</v>
      </c>
      <c r="V34" t="n">
        <v>12.7</v>
      </c>
      <c r="W34" t="n">
        <v>0</v>
      </c>
      <c r="X34" t="n">
        <v>1.6</v>
      </c>
      <c r="Y34" t="n">
        <v>0.907</v>
      </c>
      <c r="Z34" t="inlineStr">
        <is>
          <t>GR1</t>
        </is>
      </c>
      <c r="AA34" t="inlineStr">
        <is>
          <t>PE</t>
        </is>
      </c>
      <c r="AB34" t="inlineStr">
        <is>
          <t>AW</t>
        </is>
      </c>
      <c r="AC34" t="inlineStr">
        <is>
          <t>12.7-0-1.6-ERW 1-PE</t>
        </is>
      </c>
      <c r="AD34" t="inlineStr">
        <is>
          <t>CTL</t>
        </is>
      </c>
      <c r="AE34" t="inlineStr">
        <is>
          <t>12.7-0-1.6-ERW 1-PE-0.907</t>
        </is>
      </c>
      <c r="AF34" t="n">
        <v>0.3970539796800001</v>
      </c>
    </row>
    <row r="35">
      <c r="A35" s="56" t="n">
        <v>1940034</v>
      </c>
      <c r="B35" s="56" t="inlineStr">
        <is>
          <t>TUB-O-O-AUT-AW-PE-15.88X1.200X0.5400</t>
        </is>
      </c>
      <c r="C35" s="56" t="inlineStr">
        <is>
          <t>4A21H35873</t>
        </is>
      </c>
      <c r="D35" s="57" t="n">
        <v>497.872</v>
      </c>
      <c r="E35" s="58" t="n">
        <v>117</v>
      </c>
      <c r="F35" s="57" t="n">
        <v>0.117</v>
      </c>
      <c r="G35" s="56" t="inlineStr">
        <is>
          <t>KG</t>
        </is>
      </c>
      <c r="H35" s="56" t="inlineStr">
        <is>
          <t>R001</t>
        </is>
      </c>
      <c r="I35" s="56" t="inlineStr">
        <is>
          <t>0789</t>
        </is>
      </c>
      <c r="J35" s="56" t="inlineStr">
        <is>
          <t>500</t>
        </is>
      </c>
      <c r="K35" s="57" t="n">
        <v>269.213</v>
      </c>
      <c r="L35" s="56" t="inlineStr">
        <is>
          <t>9518219863/ 5</t>
        </is>
      </c>
      <c r="M35" s="56" t="inlineStr">
        <is>
          <t>5</t>
        </is>
      </c>
      <c r="N35" s="56" t="inlineStr">
        <is>
          <t>BALAJI PRESS PRODUCTS INDIA</t>
        </is>
      </c>
      <c r="O35" s="58" t="n">
        <v>84</v>
      </c>
      <c r="P35" s="59" t="inlineStr">
        <is>
          <t>61-90</t>
        </is>
      </c>
      <c r="Q35" s="56" t="inlineStr">
        <is>
          <t>Jitendra Kumar Sharma</t>
        </is>
      </c>
      <c r="U35" s="585" t="n">
        <v>3172238</v>
      </c>
      <c r="V35" t="n">
        <v>12.7</v>
      </c>
      <c r="W35" t="n">
        <v>0</v>
      </c>
      <c r="X35" t="n">
        <v>1.6</v>
      </c>
      <c r="Y35" t="n">
        <v>0.95</v>
      </c>
      <c r="Z35" t="inlineStr">
        <is>
          <t>HROP</t>
        </is>
      </c>
      <c r="AA35" t="inlineStr">
        <is>
          <t>PE</t>
        </is>
      </c>
      <c r="AB35" t="inlineStr">
        <is>
          <t>AW</t>
        </is>
      </c>
      <c r="AC35" t="inlineStr">
        <is>
          <t>12.7-0-1.6-ERW 1-PE</t>
        </is>
      </c>
      <c r="AD35" t="inlineStr">
        <is>
          <t>CTL</t>
        </is>
      </c>
      <c r="AE35" t="inlineStr">
        <is>
          <t>12.7-0-1.6-ERW 1-PE-0.95</t>
        </is>
      </c>
      <c r="AF35" t="n">
        <v>0.415877928</v>
      </c>
    </row>
    <row r="36">
      <c r="A36" s="56" t="n">
        <v>1940034</v>
      </c>
      <c r="B36" s="56" t="inlineStr">
        <is>
          <t>TUB-O-O-AUT-AW-PE-15.88X1.200X0.5400</t>
        </is>
      </c>
      <c r="C36" s="56" t="inlineStr">
        <is>
          <t>4B08BH1070</t>
        </is>
      </c>
      <c r="D36" s="57" t="n">
        <v>1744.681</v>
      </c>
      <c r="E36" s="58" t="n">
        <v>410</v>
      </c>
      <c r="F36" s="57" t="n">
        <v>0.41</v>
      </c>
      <c r="G36" s="56" t="inlineStr">
        <is>
          <t>KG</t>
        </is>
      </c>
      <c r="H36" s="56" t="inlineStr">
        <is>
          <t>R001</t>
        </is>
      </c>
      <c r="I36" s="56" t="inlineStr">
        <is>
          <t>0789</t>
        </is>
      </c>
      <c r="J36" s="56" t="inlineStr">
        <is>
          <t>1746</t>
        </is>
      </c>
      <c r="K36" s="57" t="n">
        <v>943.396</v>
      </c>
      <c r="L36" s="56" t="inlineStr">
        <is>
          <t>9518219863/ 5</t>
        </is>
      </c>
      <c r="M36" s="56" t="inlineStr">
        <is>
          <t>5</t>
        </is>
      </c>
      <c r="N36" s="56" t="inlineStr">
        <is>
          <t>BALAJI PRESS PRODUCTS INDIA</t>
        </is>
      </c>
      <c r="O36" s="58" t="n">
        <v>13</v>
      </c>
      <c r="P36" s="59" t="inlineStr">
        <is>
          <t>0-30</t>
        </is>
      </c>
      <c r="Q36" s="56" t="inlineStr">
        <is>
          <t>Jitendra Kumar Sharma</t>
        </is>
      </c>
      <c r="U36" s="585" t="n">
        <v>3620427</v>
      </c>
      <c r="V36" t="n">
        <v>12.7</v>
      </c>
      <c r="W36" t="n">
        <v>0</v>
      </c>
      <c r="X36" t="n">
        <v>1.6</v>
      </c>
      <c r="Y36" t="n">
        <v>0.95</v>
      </c>
      <c r="Z36" t="inlineStr">
        <is>
          <t>WG</t>
        </is>
      </c>
      <c r="AA36" t="inlineStr">
        <is>
          <t>PE</t>
        </is>
      </c>
      <c r="AB36" t="inlineStr">
        <is>
          <t>AW</t>
        </is>
      </c>
      <c r="AC36" t="inlineStr">
        <is>
          <t>12.7-0-1.6-ERW 1-PE</t>
        </is>
      </c>
      <c r="AD36" t="inlineStr">
        <is>
          <t>CTL</t>
        </is>
      </c>
      <c r="AE36" t="inlineStr">
        <is>
          <t>12.7-0-1.6-ERW 1-PE-0.95</t>
        </is>
      </c>
      <c r="AF36" t="n">
        <v>0.415877928</v>
      </c>
    </row>
    <row r="37">
      <c r="A37" s="56" t="n">
        <v>1940034</v>
      </c>
      <c r="B37" s="56" t="inlineStr">
        <is>
          <t>TUB-O-O-AUT-AW-PE-15.88X1.200X0.5400</t>
        </is>
      </c>
      <c r="C37" s="56" t="inlineStr">
        <is>
          <t>4B14H37485</t>
        </is>
      </c>
      <c r="D37" s="57" t="n">
        <v>548.936</v>
      </c>
      <c r="E37" s="58" t="n">
        <v>129</v>
      </c>
      <c r="F37" s="57" t="n">
        <v>0.129</v>
      </c>
      <c r="G37" s="56" t="inlineStr">
        <is>
          <t>KG</t>
        </is>
      </c>
      <c r="H37" s="56" t="inlineStr">
        <is>
          <t>R001</t>
        </is>
      </c>
      <c r="I37" s="56" t="inlineStr">
        <is>
          <t>0789</t>
        </is>
      </c>
      <c r="J37" s="56" t="inlineStr">
        <is>
          <t>550</t>
        </is>
      </c>
      <c r="K37" s="57" t="n">
        <v>296.825</v>
      </c>
      <c r="L37" s="56" t="inlineStr">
        <is>
          <t>9518219863/ 5</t>
        </is>
      </c>
      <c r="M37" s="56" t="inlineStr">
        <is>
          <t>5</t>
        </is>
      </c>
      <c r="N37" s="56" t="inlineStr">
        <is>
          <t>BALAJI PRESS PRODUCTS INDIA</t>
        </is>
      </c>
      <c r="O37" s="58" t="n">
        <v>60</v>
      </c>
      <c r="P37" s="59" t="inlineStr">
        <is>
          <t>31-60</t>
        </is>
      </c>
      <c r="Q37" s="56" t="inlineStr">
        <is>
          <t>Jitendra Kumar Sharma</t>
        </is>
      </c>
      <c r="U37" s="586" t="n">
        <v>111114029</v>
      </c>
      <c r="V37" t="n">
        <v>12.7</v>
      </c>
      <c r="W37" t="n">
        <v>0</v>
      </c>
      <c r="X37" t="n">
        <v>1.6</v>
      </c>
      <c r="Y37" t="n">
        <v>4.98</v>
      </c>
      <c r="Z37" t="inlineStr">
        <is>
          <t>WG</t>
        </is>
      </c>
      <c r="AA37" t="inlineStr">
        <is>
          <t>PE</t>
        </is>
      </c>
      <c r="AB37" t="inlineStr">
        <is>
          <t>AW</t>
        </is>
      </c>
      <c r="AC37" t="inlineStr">
        <is>
          <t>12.7-0-1.6-ERW 1-PE</t>
        </is>
      </c>
      <c r="AD37" t="inlineStr">
        <is>
          <t>LL</t>
        </is>
      </c>
      <c r="AE37" t="inlineStr">
        <is>
          <t>12.7-0-1.6-ERW 1-PE-1</t>
        </is>
      </c>
      <c r="AF37" t="n">
        <v>0.43776624</v>
      </c>
    </row>
    <row r="38">
      <c r="A38" s="56" t="n">
        <v>1940038</v>
      </c>
      <c r="B38" s="56" t="inlineStr">
        <is>
          <t>TUB-O-O-AUT-AW-PE-15.88X1.200X0.6800</t>
        </is>
      </c>
      <c r="C38" s="56" t="inlineStr">
        <is>
          <t>4C31H40887</t>
        </is>
      </c>
      <c r="D38" s="57" t="n">
        <v>665.5410000000001</v>
      </c>
      <c r="E38" s="58" t="n">
        <v>197</v>
      </c>
      <c r="F38" s="57" t="n">
        <v>0.197</v>
      </c>
      <c r="G38" s="56" t="inlineStr">
        <is>
          <t>KG</t>
        </is>
      </c>
      <c r="H38" s="56" t="inlineStr">
        <is>
          <t>R001</t>
        </is>
      </c>
      <c r="I38" s="56" t="inlineStr">
        <is>
          <t>0789</t>
        </is>
      </c>
      <c r="J38" s="56" t="inlineStr">
        <is>
          <t>665</t>
        </is>
      </c>
      <c r="K38" s="57" t="n">
        <v>453.29</v>
      </c>
      <c r="L38" s="56" t="inlineStr">
        <is>
          <t>9517985361/ 14</t>
        </is>
      </c>
      <c r="M38" s="56" t="inlineStr">
        <is>
          <t>14</t>
        </is>
      </c>
      <c r="N38" s="56" t="inlineStr">
        <is>
          <t>BALAJI PRESS PRODUCTS INDIA</t>
        </is>
      </c>
      <c r="O38" s="58" t="n">
        <v>13</v>
      </c>
      <c r="P38" s="59" t="inlineStr">
        <is>
          <t>0-30</t>
        </is>
      </c>
      <c r="Q38" s="56" t="inlineStr">
        <is>
          <t>Jitendra Kumar Sharma</t>
        </is>
      </c>
      <c r="U38" s="586" t="n">
        <v>111116473</v>
      </c>
      <c r="V38" t="n">
        <v>12.7</v>
      </c>
      <c r="W38" t="n">
        <v>0</v>
      </c>
      <c r="X38" t="n">
        <v>1.6</v>
      </c>
      <c r="Y38" t="n">
        <v>5.15</v>
      </c>
      <c r="Z38" t="inlineStr">
        <is>
          <t>WG</t>
        </is>
      </c>
      <c r="AA38" t="inlineStr">
        <is>
          <t>PE</t>
        </is>
      </c>
      <c r="AB38" t="inlineStr">
        <is>
          <t>AW</t>
        </is>
      </c>
      <c r="AC38" t="inlineStr">
        <is>
          <t>12.7-0-1.6-ERW 1-PE</t>
        </is>
      </c>
      <c r="AD38" t="inlineStr">
        <is>
          <t>LL</t>
        </is>
      </c>
      <c r="AE38" t="inlineStr">
        <is>
          <t>12.7-0-1.6-ERW 1-PE-1</t>
        </is>
      </c>
      <c r="AF38" t="n">
        <v>0.43776624</v>
      </c>
    </row>
    <row r="39">
      <c r="A39" s="56" t="n">
        <v>1940038</v>
      </c>
      <c r="B39" s="56" t="inlineStr">
        <is>
          <t>TUB-O-O-AUT-AW-PE-15.88X1.200X0.6800</t>
        </is>
      </c>
      <c r="C39" s="56" t="inlineStr">
        <is>
          <t>4914H32888</t>
        </is>
      </c>
      <c r="D39" s="57" t="n">
        <v>771.973</v>
      </c>
      <c r="E39" s="57" t="n">
        <v>228.504</v>
      </c>
      <c r="F39" s="57" t="n">
        <v>0.228504</v>
      </c>
      <c r="G39" s="56" t="inlineStr">
        <is>
          <t>KG</t>
        </is>
      </c>
      <c r="H39" s="56" t="inlineStr">
        <is>
          <t>R001</t>
        </is>
      </c>
      <c r="I39" s="56" t="inlineStr">
        <is>
          <t>0789</t>
        </is>
      </c>
      <c r="J39" s="56" t="inlineStr">
        <is>
          <t>1850</t>
        </is>
      </c>
      <c r="K39" s="57" t="n">
        <v>525.78</v>
      </c>
      <c r="L39" s="56" t="inlineStr">
        <is>
          <t>9518219863/ 14</t>
        </is>
      </c>
      <c r="M39" s="56" t="inlineStr">
        <is>
          <t>14</t>
        </is>
      </c>
      <c r="N39" s="56" t="inlineStr">
        <is>
          <t>BALAJI PRESS PRODUCTS INDIA</t>
        </is>
      </c>
      <c r="O39" s="58" t="n">
        <v>121</v>
      </c>
      <c r="P39" s="59" t="inlineStr">
        <is>
          <t>ABOVE 90</t>
        </is>
      </c>
      <c r="Q39" s="56" t="inlineStr">
        <is>
          <t>Jitendra Kumar Sharma</t>
        </is>
      </c>
      <c r="U39" s="586" t="n">
        <v>111106833</v>
      </c>
      <c r="V39" t="n">
        <v>12.7</v>
      </c>
      <c r="W39" t="n">
        <v>0</v>
      </c>
      <c r="X39" t="n">
        <v>1.6</v>
      </c>
      <c r="Y39" t="n">
        <v>5.78</v>
      </c>
      <c r="Z39" t="inlineStr">
        <is>
          <t>WG</t>
        </is>
      </c>
      <c r="AA39" t="inlineStr">
        <is>
          <t>PE</t>
        </is>
      </c>
      <c r="AB39" t="inlineStr">
        <is>
          <t>AW</t>
        </is>
      </c>
      <c r="AC39" t="inlineStr">
        <is>
          <t>12.7-0-1.6-ERW 1-PE</t>
        </is>
      </c>
      <c r="AD39" t="inlineStr">
        <is>
          <t>LL</t>
        </is>
      </c>
      <c r="AE39" t="inlineStr">
        <is>
          <t>12.7-0-1.6-ERW 1-PE-1</t>
        </is>
      </c>
      <c r="AF39" t="n">
        <v>0.43776624</v>
      </c>
    </row>
    <row r="40">
      <c r="A40" s="56" t="n">
        <v>1940038</v>
      </c>
      <c r="B40" s="56" t="inlineStr">
        <is>
          <t>TUB-O-O-AUT-AW-PE-15.88X1.200X0.6800</t>
        </is>
      </c>
      <c r="C40" s="56" t="inlineStr">
        <is>
          <t>4A14BH1070</t>
        </is>
      </c>
      <c r="D40" s="57" t="n">
        <v>1246.297</v>
      </c>
      <c r="E40" s="57" t="n">
        <v>368.904</v>
      </c>
      <c r="F40" s="57" t="n">
        <v>0.368904</v>
      </c>
      <c r="G40" s="56" t="inlineStr">
        <is>
          <t>KG</t>
        </is>
      </c>
      <c r="H40" s="56" t="inlineStr">
        <is>
          <t>R001</t>
        </is>
      </c>
      <c r="I40" s="56" t="inlineStr">
        <is>
          <t>0789</t>
        </is>
      </c>
      <c r="J40" s="56" t="inlineStr">
        <is>
          <t>1300</t>
        </is>
      </c>
      <c r="K40" s="57" t="n">
        <v>848.836</v>
      </c>
      <c r="L40" s="56" t="inlineStr">
        <is>
          <t>9518219863/ 14</t>
        </is>
      </c>
      <c r="M40" s="56" t="inlineStr">
        <is>
          <t>14</t>
        </is>
      </c>
      <c r="N40" s="56" t="inlineStr">
        <is>
          <t>BALAJI PRESS PRODUCTS INDIA</t>
        </is>
      </c>
      <c r="O40" s="58" t="n">
        <v>84</v>
      </c>
      <c r="P40" s="59" t="inlineStr">
        <is>
          <t>61-90</t>
        </is>
      </c>
      <c r="Q40" s="56" t="inlineStr">
        <is>
          <t>Jitendra Kumar Sharma</t>
        </is>
      </c>
      <c r="U40" s="585" t="n">
        <v>3586621</v>
      </c>
      <c r="V40" t="n">
        <v>12.7</v>
      </c>
      <c r="W40" t="n">
        <v>0</v>
      </c>
      <c r="X40" t="n">
        <v>1.6</v>
      </c>
      <c r="Y40" t="n">
        <v>5.78</v>
      </c>
      <c r="Z40" t="inlineStr">
        <is>
          <t>WG</t>
        </is>
      </c>
      <c r="AA40" t="inlineStr">
        <is>
          <t>PE</t>
        </is>
      </c>
      <c r="AB40" t="inlineStr">
        <is>
          <t>AW</t>
        </is>
      </c>
      <c r="AC40" t="inlineStr">
        <is>
          <t>12.7-0-1.6-ERW 1-PE</t>
        </is>
      </c>
      <c r="AD40" t="inlineStr">
        <is>
          <t>LL</t>
        </is>
      </c>
      <c r="AF40" t="n">
        <v>0.43776624</v>
      </c>
    </row>
    <row r="41">
      <c r="A41" s="56" t="n">
        <v>1940038</v>
      </c>
      <c r="B41" s="56" t="inlineStr">
        <is>
          <t>TUB-O-O-AUT-AW-PE-15.88X1.200X0.6800</t>
        </is>
      </c>
      <c r="C41" s="56" t="inlineStr">
        <is>
          <t>4A21H35825</t>
        </is>
      </c>
      <c r="D41" s="57" t="n">
        <v>206.081</v>
      </c>
      <c r="E41" s="58" t="n">
        <v>61</v>
      </c>
      <c r="F41" s="57" t="n">
        <v>0.061</v>
      </c>
      <c r="G41" s="56" t="inlineStr">
        <is>
          <t>KG</t>
        </is>
      </c>
      <c r="H41" s="56" t="inlineStr">
        <is>
          <t>R001</t>
        </is>
      </c>
      <c r="I41" s="56" t="inlineStr">
        <is>
          <t>0789</t>
        </is>
      </c>
      <c r="J41" s="56" t="inlineStr">
        <is>
          <t>207</t>
        </is>
      </c>
      <c r="K41" s="57" t="n">
        <v>140.359</v>
      </c>
      <c r="L41" s="56" t="inlineStr">
        <is>
          <t>9518219863/ 14</t>
        </is>
      </c>
      <c r="M41" s="56" t="inlineStr">
        <is>
          <t>14</t>
        </is>
      </c>
      <c r="N41" s="56" t="inlineStr">
        <is>
          <t>BALAJI PRESS PRODUCTS INDIA</t>
        </is>
      </c>
      <c r="O41" s="58" t="n">
        <v>84</v>
      </c>
      <c r="P41" s="59" t="inlineStr">
        <is>
          <t>61-90</t>
        </is>
      </c>
      <c r="Q41" s="56" t="inlineStr">
        <is>
          <t>Jitendra Kumar Sharma</t>
        </is>
      </c>
      <c r="U41" t="n">
        <v>2404903</v>
      </c>
      <c r="V41" t="n">
        <v>12.7</v>
      </c>
      <c r="W41" t="n">
        <v>0</v>
      </c>
      <c r="X41" t="n">
        <v>1.6</v>
      </c>
      <c r="Y41" t="n">
        <v>5.8</v>
      </c>
      <c r="Z41" t="inlineStr">
        <is>
          <t>NORMAL</t>
        </is>
      </c>
      <c r="AA41" t="inlineStr">
        <is>
          <t>PE</t>
        </is>
      </c>
      <c r="AB41" t="inlineStr">
        <is>
          <t>AW</t>
        </is>
      </c>
      <c r="AC41" t="inlineStr">
        <is>
          <t>12.7-0-1.6-ERW 1-PE</t>
        </is>
      </c>
      <c r="AD41" t="inlineStr">
        <is>
          <t>LL</t>
        </is>
      </c>
      <c r="AE41" t="inlineStr">
        <is>
          <t>12.7-0-1.6-ERW 1-PE-1</t>
        </is>
      </c>
      <c r="AF41" t="n">
        <v>0.43776624</v>
      </c>
    </row>
    <row r="42">
      <c r="A42" s="56" t="n">
        <v>1940038</v>
      </c>
      <c r="B42" s="56" t="inlineStr">
        <is>
          <t>TUB-O-O-AUT-AW-PE-15.88X1.200X0.6800</t>
        </is>
      </c>
      <c r="C42" s="56" t="inlineStr">
        <is>
          <t>4A21H35826</t>
        </is>
      </c>
      <c r="D42" s="57" t="n">
        <v>1000</v>
      </c>
      <c r="E42" s="58" t="n">
        <v>296</v>
      </c>
      <c r="F42" s="57" t="n">
        <v>0.296</v>
      </c>
      <c r="G42" s="56" t="inlineStr">
        <is>
          <t>KG</t>
        </is>
      </c>
      <c r="H42" s="56" t="inlineStr">
        <is>
          <t>R001</t>
        </is>
      </c>
      <c r="I42" s="56" t="inlineStr">
        <is>
          <t>0789</t>
        </is>
      </c>
      <c r="J42" s="56" t="inlineStr">
        <is>
          <t>1000</t>
        </is>
      </c>
      <c r="K42" s="57" t="n">
        <v>681.086</v>
      </c>
      <c r="L42" s="56" t="inlineStr">
        <is>
          <t>9518219863/ 14</t>
        </is>
      </c>
      <c r="M42" s="56" t="inlineStr">
        <is>
          <t>14</t>
        </is>
      </c>
      <c r="N42" s="56" t="inlineStr">
        <is>
          <t>BALAJI PRESS PRODUCTS INDIA</t>
        </is>
      </c>
      <c r="O42" s="58" t="n">
        <v>83</v>
      </c>
      <c r="P42" s="59" t="inlineStr">
        <is>
          <t>61-90</t>
        </is>
      </c>
      <c r="Q42" s="56" t="inlineStr">
        <is>
          <t>Jitendra Kumar Sharma</t>
        </is>
      </c>
      <c r="U42" s="586" t="n">
        <v>111001733</v>
      </c>
      <c r="V42" t="n">
        <v>12.7</v>
      </c>
      <c r="W42" t="n">
        <v>0</v>
      </c>
      <c r="X42" t="n">
        <v>1.6</v>
      </c>
      <c r="Y42" t="n">
        <v>5.88</v>
      </c>
      <c r="Z42" t="inlineStr">
        <is>
          <t>WG</t>
        </is>
      </c>
      <c r="AA42" t="inlineStr">
        <is>
          <t>PE</t>
        </is>
      </c>
      <c r="AB42" t="inlineStr">
        <is>
          <t>AW</t>
        </is>
      </c>
      <c r="AC42" t="inlineStr">
        <is>
          <t>12.7-0-1.6-ERW 1-PE</t>
        </is>
      </c>
      <c r="AD42" t="inlineStr">
        <is>
          <t>LL</t>
        </is>
      </c>
      <c r="AE42" t="inlineStr">
        <is>
          <t>12.7-0-1.6-ERW 1-PE-1</t>
        </is>
      </c>
      <c r="AF42" t="n">
        <v>0.43776624</v>
      </c>
    </row>
    <row r="43">
      <c r="A43" s="56" t="n">
        <v>1940045</v>
      </c>
      <c r="B43" s="56" t="inlineStr">
        <is>
          <t>TUB-O-O-AUT-AW-PE-15.88X1.200X1.1300</t>
        </is>
      </c>
      <c r="C43" s="56" t="inlineStr">
        <is>
          <t>4905BH2030</t>
        </is>
      </c>
      <c r="D43" s="57" t="n">
        <v>150.102</v>
      </c>
      <c r="E43" s="57" t="n">
        <v>73.7</v>
      </c>
      <c r="F43" s="57" t="n">
        <v>0.0737</v>
      </c>
      <c r="G43" s="56" t="inlineStr">
        <is>
          <t>KG</t>
        </is>
      </c>
      <c r="H43" s="56" t="inlineStr">
        <is>
          <t>R001</t>
        </is>
      </c>
      <c r="I43" s="56" t="inlineStr">
        <is>
          <t>0789</t>
        </is>
      </c>
      <c r="J43" s="56" t="inlineStr">
        <is>
          <t>450</t>
        </is>
      </c>
      <c r="K43" s="57" t="n">
        <v>169.581</v>
      </c>
      <c r="L43" s="56" t="inlineStr">
        <is>
          <t>9518219863/ 3</t>
        </is>
      </c>
      <c r="M43" s="56" t="inlineStr">
        <is>
          <t>3</t>
        </is>
      </c>
      <c r="N43" s="56" t="inlineStr">
        <is>
          <t>BALAJI PRESS PRODUCTS INDIA</t>
        </is>
      </c>
      <c r="O43" s="58" t="n">
        <v>121</v>
      </c>
      <c r="P43" s="59" t="inlineStr">
        <is>
          <t>ABOVE 90</t>
        </is>
      </c>
      <c r="Q43" s="56" t="inlineStr">
        <is>
          <t>Jitendra Kumar Sharma</t>
        </is>
      </c>
      <c r="U43" s="585" t="n">
        <v>1940014</v>
      </c>
      <c r="V43" t="n">
        <v>12.7</v>
      </c>
      <c r="W43" t="n">
        <v>0</v>
      </c>
      <c r="X43" t="n">
        <v>1.6</v>
      </c>
      <c r="Y43" t="n">
        <v>6</v>
      </c>
      <c r="Z43" t="inlineStr">
        <is>
          <t>WG</t>
        </is>
      </c>
      <c r="AA43" t="inlineStr">
        <is>
          <t>PE</t>
        </is>
      </c>
      <c r="AB43" t="inlineStr">
        <is>
          <t>AW</t>
        </is>
      </c>
      <c r="AC43" t="inlineStr">
        <is>
          <t>12.7-0-1.6-ERW 1-PE</t>
        </is>
      </c>
      <c r="AD43" t="inlineStr">
        <is>
          <t>LL</t>
        </is>
      </c>
      <c r="AE43" t="inlineStr">
        <is>
          <t>12.7-0-1.6-ERW 1-PE-1</t>
        </is>
      </c>
      <c r="AF43" t="n">
        <v>0.43776624</v>
      </c>
    </row>
    <row r="44">
      <c r="A44" s="56" t="n">
        <v>1940045</v>
      </c>
      <c r="B44" s="56" t="inlineStr">
        <is>
          <t>TUB-O-O-AUT-AW-PE-15.88X1.200X1.1300</t>
        </is>
      </c>
      <c r="C44" s="56" t="inlineStr">
        <is>
          <t>4A21H35833</t>
        </is>
      </c>
      <c r="D44" s="57" t="n">
        <v>1150.713</v>
      </c>
      <c r="E44" s="58" t="n">
        <v>565</v>
      </c>
      <c r="F44" s="57" t="n">
        <v>0.5649999999999999</v>
      </c>
      <c r="G44" s="56" t="inlineStr">
        <is>
          <t>KG</t>
        </is>
      </c>
      <c r="H44" s="56" t="inlineStr">
        <is>
          <t>R001</t>
        </is>
      </c>
      <c r="I44" s="56" t="inlineStr">
        <is>
          <t>0789</t>
        </is>
      </c>
      <c r="J44" s="56" t="inlineStr">
        <is>
          <t>1150</t>
        </is>
      </c>
      <c r="K44" s="57" t="n">
        <v>1300.046</v>
      </c>
      <c r="L44" s="56" t="inlineStr">
        <is>
          <t>9518219863/ 3</t>
        </is>
      </c>
      <c r="M44" s="56" t="inlineStr">
        <is>
          <t>3</t>
        </is>
      </c>
      <c r="N44" s="56" t="inlineStr">
        <is>
          <t>BALAJI PRESS PRODUCTS INDIA</t>
        </is>
      </c>
      <c r="O44" s="58" t="n">
        <v>84</v>
      </c>
      <c r="P44" s="59" t="inlineStr">
        <is>
          <t>61-90</t>
        </is>
      </c>
      <c r="Q44" s="56" t="inlineStr">
        <is>
          <t>Jitendra Kumar Sharma</t>
        </is>
      </c>
      <c r="U44" s="585" t="n">
        <v>1931154</v>
      </c>
      <c r="V44" t="n">
        <v>12.7</v>
      </c>
      <c r="W44" t="n">
        <v>0</v>
      </c>
      <c r="X44" t="n">
        <v>1.6</v>
      </c>
      <c r="Y44" t="n">
        <v>6</v>
      </c>
      <c r="Z44" t="inlineStr">
        <is>
          <t>D</t>
        </is>
      </c>
      <c r="AA44" t="inlineStr">
        <is>
          <t>PE</t>
        </is>
      </c>
      <c r="AB44" t="inlineStr">
        <is>
          <t>AW</t>
        </is>
      </c>
      <c r="AC44" t="inlineStr">
        <is>
          <t>12.7-0-1.6-ERW 1-PE</t>
        </is>
      </c>
      <c r="AD44" t="inlineStr">
        <is>
          <t>LL</t>
        </is>
      </c>
      <c r="AE44" t="inlineStr">
        <is>
          <t>12.7-0-1.6-ERW 1-PE-1</t>
        </is>
      </c>
      <c r="AF44" t="n">
        <v>0.43776624</v>
      </c>
    </row>
    <row r="45">
      <c r="A45" s="56" t="n">
        <v>1940045</v>
      </c>
      <c r="B45" s="56" t="inlineStr">
        <is>
          <t>TUB-O-O-AUT-AW-PE-15.88X1.200X1.1300</t>
        </is>
      </c>
      <c r="C45" s="56" t="inlineStr">
        <is>
          <t>4A21H35834</t>
        </is>
      </c>
      <c r="D45" s="57" t="n">
        <v>1568.228</v>
      </c>
      <c r="E45" s="58" t="n">
        <v>770</v>
      </c>
      <c r="F45" s="57" t="n">
        <v>0.77</v>
      </c>
      <c r="G45" s="56" t="inlineStr">
        <is>
          <t>KG</t>
        </is>
      </c>
      <c r="H45" s="56" t="inlineStr">
        <is>
          <t>R001</t>
        </is>
      </c>
      <c r="I45" s="56" t="inlineStr">
        <is>
          <t>0789</t>
        </is>
      </c>
      <c r="J45" s="56" t="inlineStr">
        <is>
          <t>2568</t>
        </is>
      </c>
      <c r="K45" s="57" t="n">
        <v>1771.744</v>
      </c>
      <c r="L45" s="56" t="inlineStr">
        <is>
          <t>9518219863/ 3</t>
        </is>
      </c>
      <c r="M45" s="56" t="inlineStr">
        <is>
          <t>3</t>
        </is>
      </c>
      <c r="N45" s="56" t="inlineStr">
        <is>
          <t>BALAJI PRESS PRODUCTS INDIA</t>
        </is>
      </c>
      <c r="O45" s="58" t="n">
        <v>83</v>
      </c>
      <c r="P45" s="59" t="inlineStr">
        <is>
          <t>61-90</t>
        </is>
      </c>
      <c r="Q45" s="56" t="inlineStr">
        <is>
          <t>Jitendra Kumar Sharma</t>
        </is>
      </c>
      <c r="U45" s="585" t="n">
        <v>1931049</v>
      </c>
      <c r="V45" t="n">
        <v>12.7</v>
      </c>
      <c r="W45" t="n">
        <v>0</v>
      </c>
      <c r="X45" t="n">
        <v>1.6</v>
      </c>
      <c r="Y45" t="n">
        <v>6.08</v>
      </c>
      <c r="Z45" t="inlineStr">
        <is>
          <t>D</t>
        </is>
      </c>
      <c r="AA45" t="inlineStr">
        <is>
          <t>PE</t>
        </is>
      </c>
      <c r="AB45" t="inlineStr">
        <is>
          <t>AW</t>
        </is>
      </c>
      <c r="AC45" t="inlineStr">
        <is>
          <t>12.7-0-1.6-ERW 1-PE</t>
        </is>
      </c>
      <c r="AD45" t="inlineStr">
        <is>
          <t>LL</t>
        </is>
      </c>
      <c r="AE45" t="inlineStr">
        <is>
          <t>12.7-0-1.6-ERW 1-PE-1</t>
        </is>
      </c>
      <c r="AF45" t="n">
        <v>0.43776624</v>
      </c>
    </row>
    <row r="46">
      <c r="A46" s="56" t="n">
        <v>1940045</v>
      </c>
      <c r="B46" s="56" t="inlineStr">
        <is>
          <t>TUB-O-O-AUT-AW-PE-15.88X1.200X1.1300</t>
        </is>
      </c>
      <c r="C46" s="56" t="inlineStr">
        <is>
          <t>4B08BH1030</t>
        </is>
      </c>
      <c r="D46" s="57" t="n">
        <v>619.145</v>
      </c>
      <c r="E46" s="58" t="n">
        <v>304</v>
      </c>
      <c r="F46" s="57" t="n">
        <v>0.304</v>
      </c>
      <c r="G46" s="56" t="inlineStr">
        <is>
          <t>KG</t>
        </is>
      </c>
      <c r="H46" s="56" t="inlineStr">
        <is>
          <t>R001</t>
        </is>
      </c>
      <c r="I46" s="56" t="inlineStr">
        <is>
          <t>0789</t>
        </is>
      </c>
      <c r="J46" s="56" t="inlineStr">
        <is>
          <t>620</t>
        </is>
      </c>
      <c r="K46" s="57" t="n">
        <v>699.494</v>
      </c>
      <c r="L46" s="56" t="inlineStr">
        <is>
          <t>9518219863/ 3</t>
        </is>
      </c>
      <c r="M46" s="56" t="inlineStr">
        <is>
          <t>3</t>
        </is>
      </c>
      <c r="N46" s="56" t="inlineStr">
        <is>
          <t>BALAJI PRESS PRODUCTS INDIA</t>
        </is>
      </c>
      <c r="O46" s="58" t="n">
        <v>13</v>
      </c>
      <c r="P46" s="59" t="inlineStr">
        <is>
          <t>0-30</t>
        </is>
      </c>
      <c r="Q46" s="56" t="inlineStr">
        <is>
          <t>Jitendra Kumar Sharma</t>
        </is>
      </c>
      <c r="U46" s="586" t="n">
        <v>111116471</v>
      </c>
      <c r="V46" t="n">
        <v>12.7</v>
      </c>
      <c r="W46" t="n">
        <v>0</v>
      </c>
      <c r="X46" t="n">
        <v>1.6</v>
      </c>
      <c r="Y46" t="n">
        <v>6.1</v>
      </c>
      <c r="Z46" t="inlineStr">
        <is>
          <t>WG</t>
        </is>
      </c>
      <c r="AA46" t="inlineStr">
        <is>
          <t>PE</t>
        </is>
      </c>
      <c r="AB46" t="inlineStr">
        <is>
          <t>AW</t>
        </is>
      </c>
      <c r="AC46" t="inlineStr">
        <is>
          <t>12.7-0-1.6-ERW 1-PE</t>
        </is>
      </c>
      <c r="AD46" t="inlineStr">
        <is>
          <t>LL</t>
        </is>
      </c>
      <c r="AE46" t="inlineStr">
        <is>
          <t>12.7-0-1.6-ERW 1-PE-1</t>
        </is>
      </c>
      <c r="AF46" t="n">
        <v>0.43776624</v>
      </c>
    </row>
    <row r="47">
      <c r="A47" s="56" t="n">
        <v>1940046</v>
      </c>
      <c r="B47" s="56" t="inlineStr">
        <is>
          <t>TUB-O-O-AUT-AW-PE-15.88X1.200X1.3100</t>
        </is>
      </c>
      <c r="C47" s="56" t="inlineStr">
        <is>
          <t>4830BH1040</t>
        </is>
      </c>
      <c r="D47" s="57" t="n">
        <v>1902.46</v>
      </c>
      <c r="E47" s="57" t="n">
        <v>1082.5</v>
      </c>
      <c r="F47" s="57" t="n">
        <v>1.0825</v>
      </c>
      <c r="G47" s="56" t="inlineStr">
        <is>
          <t>KG</t>
        </is>
      </c>
      <c r="H47" s="56" t="inlineStr">
        <is>
          <t>R001</t>
        </is>
      </c>
      <c r="I47" s="56" t="inlineStr">
        <is>
          <t>0789</t>
        </is>
      </c>
      <c r="J47" s="56" t="inlineStr">
        <is>
          <t>4400</t>
        </is>
      </c>
      <c r="K47" s="57" t="n">
        <v>2490.796</v>
      </c>
      <c r="L47" s="56" t="inlineStr">
        <is>
          <t>9518219863/ 4</t>
        </is>
      </c>
      <c r="M47" s="56" t="inlineStr">
        <is>
          <t>4</t>
        </is>
      </c>
      <c r="N47" s="56" t="inlineStr">
        <is>
          <t>BALAJI PRESS PRODUCTS INDIA</t>
        </is>
      </c>
      <c r="O47" s="58" t="n">
        <v>115</v>
      </c>
      <c r="P47" s="59" t="inlineStr">
        <is>
          <t>ABOVE 90</t>
        </is>
      </c>
      <c r="Q47" s="56" t="inlineStr">
        <is>
          <t>Jitendra Kumar Sharma</t>
        </is>
      </c>
      <c r="U47" s="586" t="n">
        <v>111106834</v>
      </c>
      <c r="V47" t="n">
        <v>12.7</v>
      </c>
      <c r="W47" t="n">
        <v>0</v>
      </c>
      <c r="X47" t="n">
        <v>1.6</v>
      </c>
      <c r="Y47" t="n">
        <v>6.4</v>
      </c>
      <c r="Z47" t="inlineStr">
        <is>
          <t>WG</t>
        </is>
      </c>
      <c r="AA47" t="inlineStr">
        <is>
          <t>PE</t>
        </is>
      </c>
      <c r="AB47" t="inlineStr">
        <is>
          <t>AW</t>
        </is>
      </c>
      <c r="AC47" t="inlineStr">
        <is>
          <t>12.7-0-1.6-ERW 1-PE</t>
        </is>
      </c>
      <c r="AD47" t="inlineStr">
        <is>
          <t>LL</t>
        </is>
      </c>
      <c r="AE47" t="inlineStr">
        <is>
          <t>12.7-0-1.6-ERW 1-PE-1</t>
        </is>
      </c>
      <c r="AF47" t="n">
        <v>0.43776624</v>
      </c>
    </row>
    <row r="48">
      <c r="A48" s="56" t="n">
        <v>1940046</v>
      </c>
      <c r="B48" s="56" t="inlineStr">
        <is>
          <t>TUB-O-O-AUT-AW-PE-15.88X1.200X1.3100</t>
        </is>
      </c>
      <c r="C48" s="56" t="inlineStr">
        <is>
          <t>4905BH2080</t>
        </is>
      </c>
      <c r="D48" s="57" t="n">
        <v>304.724</v>
      </c>
      <c r="E48" s="57" t="n">
        <v>173.388</v>
      </c>
      <c r="F48" s="57" t="n">
        <v>0.173388</v>
      </c>
      <c r="G48" s="56" t="inlineStr">
        <is>
          <t>KG</t>
        </is>
      </c>
      <c r="H48" s="56" t="inlineStr">
        <is>
          <t>R001</t>
        </is>
      </c>
      <c r="I48" s="56" t="inlineStr">
        <is>
          <t>0789</t>
        </is>
      </c>
      <c r="J48" s="56" t="inlineStr">
        <is>
          <t>4050</t>
        </is>
      </c>
      <c r="K48" s="57" t="n">
        <v>398.96</v>
      </c>
      <c r="L48" s="56" t="inlineStr">
        <is>
          <t>9518219863/ 4</t>
        </is>
      </c>
      <c r="M48" s="56" t="inlineStr">
        <is>
          <t>4</t>
        </is>
      </c>
      <c r="N48" s="56" t="inlineStr">
        <is>
          <t>BALAJI PRESS PRODUCTS INDIA</t>
        </is>
      </c>
      <c r="O48" s="58" t="n">
        <v>126</v>
      </c>
      <c r="P48" s="59" t="inlineStr">
        <is>
          <t>ABOVE 90</t>
        </is>
      </c>
      <c r="Q48" s="56" t="inlineStr">
        <is>
          <t>Jitendra Kumar Sharma</t>
        </is>
      </c>
      <c r="U48" s="585" t="n">
        <v>3188791</v>
      </c>
      <c r="V48" t="n">
        <v>12.7</v>
      </c>
      <c r="W48" t="n">
        <v>0</v>
      </c>
      <c r="X48" t="n">
        <v>2</v>
      </c>
      <c r="Y48" t="n">
        <v>6</v>
      </c>
      <c r="Z48" t="inlineStr">
        <is>
          <t>KGR2</t>
        </is>
      </c>
      <c r="AA48" t="inlineStr">
        <is>
          <t>FC</t>
        </is>
      </c>
      <c r="AB48" t="inlineStr">
        <is>
          <t>AD</t>
        </is>
      </c>
      <c r="AC48" t="inlineStr">
        <is>
          <t>check tdc for CEW</t>
        </is>
      </c>
      <c r="AD48" t="inlineStr">
        <is>
          <t>LL</t>
        </is>
      </c>
      <c r="AE48" t="inlineStr">
        <is>
          <t>check tdc for CEW-1</t>
        </is>
      </c>
      <c r="AF48" t="n">
        <v>0.5274886</v>
      </c>
    </row>
    <row r="49">
      <c r="A49" s="56" t="n">
        <v>1940046</v>
      </c>
      <c r="B49" s="56" t="inlineStr">
        <is>
          <t>TUB-O-O-AUT-AW-PE-15.88X1.200X1.3100</t>
        </is>
      </c>
      <c r="C49" s="56" t="inlineStr">
        <is>
          <t>4C31H40889</t>
        </is>
      </c>
      <c r="D49" s="57" t="n">
        <v>340.949</v>
      </c>
      <c r="E49" s="58" t="n">
        <v>194</v>
      </c>
      <c r="F49" s="57" t="n">
        <v>0.194</v>
      </c>
      <c r="G49" s="56" t="inlineStr">
        <is>
          <t>KG</t>
        </is>
      </c>
      <c r="H49" s="56" t="inlineStr">
        <is>
          <t>R001</t>
        </is>
      </c>
      <c r="I49" s="56" t="inlineStr">
        <is>
          <t>0789</t>
        </is>
      </c>
      <c r="J49" s="56" t="inlineStr">
        <is>
          <t>341</t>
        </is>
      </c>
      <c r="K49" s="57" t="n">
        <v>446.387</v>
      </c>
      <c r="L49" s="56" t="inlineStr">
        <is>
          <t>9518219863/ 4</t>
        </is>
      </c>
      <c r="M49" s="56" t="inlineStr">
        <is>
          <t>4</t>
        </is>
      </c>
      <c r="N49" s="56" t="inlineStr">
        <is>
          <t>BALAJI PRESS PRODUCTS INDIA</t>
        </is>
      </c>
      <c r="O49" s="58" t="n">
        <v>13</v>
      </c>
      <c r="P49" s="59" t="inlineStr">
        <is>
          <t>0-30</t>
        </is>
      </c>
      <c r="Q49" s="56" t="inlineStr">
        <is>
          <t>Jitendra Kumar Sharma</t>
        </is>
      </c>
      <c r="U49" s="585" t="n">
        <v>2410389</v>
      </c>
      <c r="V49" t="n">
        <v>14</v>
      </c>
      <c r="W49" t="n">
        <v>0</v>
      </c>
      <c r="X49" t="n">
        <v>1.6</v>
      </c>
      <c r="Y49" t="n">
        <v>6</v>
      </c>
      <c r="Z49" t="inlineStr">
        <is>
          <t>KGR2</t>
        </is>
      </c>
      <c r="AA49" t="inlineStr">
        <is>
          <t>FC</t>
        </is>
      </c>
      <c r="AB49" t="inlineStr">
        <is>
          <t>AN</t>
        </is>
      </c>
      <c r="AC49" t="inlineStr">
        <is>
          <t>14-0-1.6-CEW-CEW</t>
        </is>
      </c>
      <c r="AD49" t="inlineStr">
        <is>
          <t>LL</t>
        </is>
      </c>
      <c r="AE49" t="inlineStr">
        <is>
          <t>14-0-1.6-CEW-CEW-1</t>
        </is>
      </c>
      <c r="AF49" t="n">
        <v>0.4890361600000001</v>
      </c>
    </row>
    <row r="50">
      <c r="A50" s="56" t="n">
        <v>1940054</v>
      </c>
      <c r="B50" s="56" t="inlineStr">
        <is>
          <t>TUB-O-O-AUT-AW-PE-15.88X1.200X6.0000</t>
        </is>
      </c>
      <c r="C50" s="56" t="inlineStr">
        <is>
          <t>4B08AH1050</t>
        </is>
      </c>
      <c r="D50" s="57" t="n">
        <v>186.706</v>
      </c>
      <c r="E50" s="57" t="n">
        <v>486.928</v>
      </c>
      <c r="F50" s="57" t="n">
        <v>0.486928</v>
      </c>
      <c r="G50" s="56" t="inlineStr">
        <is>
          <t>KG</t>
        </is>
      </c>
      <c r="H50" s="56" t="inlineStr">
        <is>
          <t>R001</t>
        </is>
      </c>
      <c r="I50" s="56" t="inlineStr">
        <is>
          <t>0789</t>
        </is>
      </c>
      <c r="J50" s="56" t="inlineStr">
        <is>
          <t>446</t>
        </is>
      </c>
      <c r="K50" s="57" t="n">
        <v>1120.405</v>
      </c>
      <c r="L50" s="56" t="inlineStr"/>
      <c r="M50" s="56" t="inlineStr">
        <is>
          <t>0</t>
        </is>
      </c>
      <c r="N50" s="56" t="inlineStr">
        <is>
          <t>MEGH STEELS PRIVATE LIMITED - TVS A</t>
        </is>
      </c>
      <c r="O50" s="58" t="n">
        <v>58</v>
      </c>
      <c r="P50" s="59" t="inlineStr">
        <is>
          <t>31-60</t>
        </is>
      </c>
      <c r="Q50" s="56" t="inlineStr">
        <is>
          <t>Apoorv</t>
        </is>
      </c>
      <c r="U50" s="585" t="n">
        <v>2363145</v>
      </c>
      <c r="V50" t="n">
        <v>14</v>
      </c>
      <c r="W50" t="n">
        <v>0</v>
      </c>
      <c r="X50" t="n">
        <v>2.45</v>
      </c>
      <c r="Y50" t="n">
        <v>5</v>
      </c>
      <c r="Z50" t="inlineStr">
        <is>
          <t>WG</t>
        </is>
      </c>
      <c r="AA50" t="inlineStr">
        <is>
          <t>FC</t>
        </is>
      </c>
      <c r="AB50" t="inlineStr">
        <is>
          <t>AN</t>
        </is>
      </c>
      <c r="AC50" t="inlineStr">
        <is>
          <t>14-0-2.45-CEW-CEW</t>
        </is>
      </c>
      <c r="AD50" t="inlineStr">
        <is>
          <t>LL</t>
        </is>
      </c>
      <c r="AE50" t="inlineStr">
        <is>
          <t>14-0-2.45-CEW-CEW-1</t>
        </is>
      </c>
      <c r="AF50" t="n">
        <v>0.6975050775000001</v>
      </c>
    </row>
    <row r="51">
      <c r="A51" s="56" t="n">
        <v>1940054</v>
      </c>
      <c r="B51" s="56" t="inlineStr">
        <is>
          <t>TUB-O-O-AUT-AW-PE-15.88X1.200X6.0000</t>
        </is>
      </c>
      <c r="C51" s="56" t="inlineStr">
        <is>
          <t>4B08BH1010</t>
        </is>
      </c>
      <c r="D51" s="57" t="n">
        <v>444.018</v>
      </c>
      <c r="E51" s="58" t="n">
        <v>1158</v>
      </c>
      <c r="F51" s="57" t="n">
        <v>1.158</v>
      </c>
      <c r="G51" s="56" t="inlineStr">
        <is>
          <t>KG</t>
        </is>
      </c>
      <c r="H51" s="56" t="inlineStr">
        <is>
          <t>R001</t>
        </is>
      </c>
      <c r="I51" s="56" t="inlineStr">
        <is>
          <t>0789</t>
        </is>
      </c>
      <c r="J51" s="56" t="inlineStr">
        <is>
          <t>444</t>
        </is>
      </c>
      <c r="K51" s="57" t="n">
        <v>2664.519</v>
      </c>
      <c r="L51" s="56" t="inlineStr"/>
      <c r="M51" s="56" t="inlineStr">
        <is>
          <t>0</t>
        </is>
      </c>
      <c r="N51" s="56" t="inlineStr">
        <is>
          <t>MEGH STEELS PRIVATE LIMITED - TVS A</t>
        </is>
      </c>
      <c r="O51" s="58" t="n">
        <v>58</v>
      </c>
      <c r="P51" s="59" t="inlineStr">
        <is>
          <t>31-60</t>
        </is>
      </c>
      <c r="Q51" s="56" t="inlineStr">
        <is>
          <t>Apoorv</t>
        </is>
      </c>
      <c r="U51" s="585" t="n">
        <v>3402383</v>
      </c>
      <c r="V51" t="n">
        <v>14</v>
      </c>
      <c r="W51" t="n">
        <v>0</v>
      </c>
      <c r="X51" t="n">
        <v>2.45</v>
      </c>
      <c r="Y51" t="n">
        <v>6</v>
      </c>
      <c r="Z51" t="inlineStr">
        <is>
          <t>KGR2</t>
        </is>
      </c>
      <c r="AA51" t="inlineStr">
        <is>
          <t>FC</t>
        </is>
      </c>
      <c r="AB51" t="inlineStr">
        <is>
          <t>AN</t>
        </is>
      </c>
      <c r="AC51" t="inlineStr">
        <is>
          <t>14-0-2.45-CEW-CEW</t>
        </is>
      </c>
      <c r="AD51" t="inlineStr">
        <is>
          <t>LL</t>
        </is>
      </c>
      <c r="AE51" t="inlineStr">
        <is>
          <t>14-0-2.45-CEW-CEW-1</t>
        </is>
      </c>
      <c r="AF51" t="n">
        <v>0.6975050775000001</v>
      </c>
    </row>
    <row r="52">
      <c r="A52" s="56" t="n">
        <v>1940054</v>
      </c>
      <c r="B52" s="56" t="inlineStr">
        <is>
          <t>TUB-O-O-AUT-AW-PE-15.88X1.200X6.0000</t>
        </is>
      </c>
      <c r="C52" s="56" t="inlineStr">
        <is>
          <t>4B08BH1020</t>
        </is>
      </c>
      <c r="D52" s="57" t="n">
        <v>429.831</v>
      </c>
      <c r="E52" s="58" t="n">
        <v>1121</v>
      </c>
      <c r="F52" s="57" t="n">
        <v>1.121</v>
      </c>
      <c r="G52" s="56" t="inlineStr">
        <is>
          <t>KG</t>
        </is>
      </c>
      <c r="H52" s="56" t="inlineStr">
        <is>
          <t>R001</t>
        </is>
      </c>
      <c r="I52" s="56" t="inlineStr">
        <is>
          <t>0789</t>
        </is>
      </c>
      <c r="J52" s="56" t="inlineStr">
        <is>
          <t>430</t>
        </is>
      </c>
      <c r="K52" s="57" t="n">
        <v>2579.383</v>
      </c>
      <c r="L52" s="56" t="inlineStr"/>
      <c r="M52" s="56" t="inlineStr">
        <is>
          <t>0</t>
        </is>
      </c>
      <c r="N52" s="56" t="inlineStr">
        <is>
          <t>MEGH STEELS PRIVATE LIMITED - TVS A</t>
        </is>
      </c>
      <c r="O52" s="58" t="n">
        <v>58</v>
      </c>
      <c r="P52" s="59" t="inlineStr">
        <is>
          <t>31-60</t>
        </is>
      </c>
      <c r="Q52" s="56" t="inlineStr">
        <is>
          <t>Apoorv</t>
        </is>
      </c>
      <c r="U52" s="585" t="n">
        <v>3487710</v>
      </c>
      <c r="V52" t="n">
        <v>14</v>
      </c>
      <c r="W52" t="n">
        <v>10.1</v>
      </c>
      <c r="X52" t="n">
        <v>1.95</v>
      </c>
      <c r="Y52" t="n">
        <v>0.508</v>
      </c>
      <c r="Z52" t="inlineStr">
        <is>
          <t>KGR2</t>
        </is>
      </c>
      <c r="AA52" t="inlineStr">
        <is>
          <t>FC</t>
        </is>
      </c>
      <c r="AB52" t="inlineStr">
        <is>
          <t>AD</t>
        </is>
      </c>
      <c r="AC52" t="inlineStr">
        <is>
          <t>14-10.1-1.95-CEW-CEW</t>
        </is>
      </c>
      <c r="AD52" t="inlineStr">
        <is>
          <t>CTL</t>
        </is>
      </c>
      <c r="AE52" t="inlineStr">
        <is>
          <t>14-10.1-1.95-CEW-CEW-0.508</t>
        </is>
      </c>
      <c r="AF52" t="n">
        <v>0.2942284577700001</v>
      </c>
    </row>
    <row r="53">
      <c r="A53" s="56" t="n">
        <v>1940054</v>
      </c>
      <c r="B53" s="56" t="inlineStr">
        <is>
          <t>TUB-O-O-AUT-AW-PE-15.88X1.200X6.0000</t>
        </is>
      </c>
      <c r="C53" s="56" t="inlineStr">
        <is>
          <t>4B08AH1070</t>
        </is>
      </c>
      <c r="D53" s="57" t="n">
        <v>442.868</v>
      </c>
      <c r="E53" s="58" t="n">
        <v>1155</v>
      </c>
      <c r="F53" s="57" t="n">
        <v>1.155</v>
      </c>
      <c r="G53" s="56" t="inlineStr">
        <is>
          <t>KG</t>
        </is>
      </c>
      <c r="H53" s="56" t="inlineStr">
        <is>
          <t>R001</t>
        </is>
      </c>
      <c r="I53" s="56" t="inlineStr">
        <is>
          <t>0789</t>
        </is>
      </c>
      <c r="J53" s="56" t="inlineStr">
        <is>
          <t>443</t>
        </is>
      </c>
      <c r="K53" s="57" t="n">
        <v>2657.616</v>
      </c>
      <c r="L53" s="56" t="inlineStr">
        <is>
          <t>9518215163/ 1</t>
        </is>
      </c>
      <c r="M53" s="56" t="inlineStr">
        <is>
          <t>1</t>
        </is>
      </c>
      <c r="N53" s="56" t="inlineStr">
        <is>
          <t>MEGH STEELS PRIVATE LIMITED - TVS A</t>
        </is>
      </c>
      <c r="O53" s="58" t="n">
        <v>10</v>
      </c>
      <c r="P53" s="59" t="inlineStr">
        <is>
          <t>0-30</t>
        </is>
      </c>
      <c r="Q53" s="56" t="inlineStr">
        <is>
          <t>Apoorv</t>
        </is>
      </c>
      <c r="U53" s="585" t="n">
        <v>2410963</v>
      </c>
      <c r="V53" t="n">
        <v>14</v>
      </c>
      <c r="W53" t="n">
        <v>10.1</v>
      </c>
      <c r="X53" t="n">
        <v>1.95</v>
      </c>
      <c r="Y53" t="n">
        <v>6</v>
      </c>
      <c r="Z53" t="inlineStr">
        <is>
          <t>KGR2</t>
        </is>
      </c>
      <c r="AA53" t="inlineStr">
        <is>
          <t>FC</t>
        </is>
      </c>
      <c r="AB53" t="inlineStr">
        <is>
          <t>AD</t>
        </is>
      </c>
      <c r="AC53" t="inlineStr">
        <is>
          <t>14-10.1-1.95-CEW-CEW</t>
        </is>
      </c>
      <c r="AD53" t="inlineStr">
        <is>
          <t>LL</t>
        </is>
      </c>
      <c r="AE53" t="inlineStr">
        <is>
          <t>14-10.1-1.95-CEW-CEW-1</t>
        </is>
      </c>
      <c r="AF53" t="n">
        <v>0.5791898775000001</v>
      </c>
    </row>
    <row r="54">
      <c r="A54" s="56" t="n">
        <v>1940078</v>
      </c>
      <c r="B54" s="56" t="inlineStr">
        <is>
          <t>TUB-O-O-GEN-AW-PE-15.88X1.600X6.0000</t>
        </is>
      </c>
      <c r="C54" s="56" t="inlineStr">
        <is>
          <t>4C24CH2010</t>
        </is>
      </c>
      <c r="D54" s="57" t="n">
        <v>61.74</v>
      </c>
      <c r="E54" s="57" t="n">
        <v>208.805</v>
      </c>
      <c r="F54" s="57" t="n">
        <v>0.208805</v>
      </c>
      <c r="G54" s="56" t="inlineStr">
        <is>
          <t>KG</t>
        </is>
      </c>
      <c r="H54" s="56" t="inlineStr">
        <is>
          <t>R001</t>
        </is>
      </c>
      <c r="I54" s="56" t="inlineStr">
        <is>
          <t>0789</t>
        </is>
      </c>
      <c r="J54" s="56" t="inlineStr">
        <is>
          <t>660</t>
        </is>
      </c>
      <c r="K54" s="57" t="n">
        <v>370.419</v>
      </c>
      <c r="L54" s="56" t="inlineStr">
        <is>
          <t>9518390450/ 34</t>
        </is>
      </c>
      <c r="M54" s="56" t="inlineStr">
        <is>
          <t>34</t>
        </is>
      </c>
      <c r="N54" s="56" t="inlineStr">
        <is>
          <t>SRIKAM HITECH ENGINEERING PRIVATE L</t>
        </is>
      </c>
      <c r="O54" s="58" t="n">
        <v>7</v>
      </c>
      <c r="P54" s="59" t="inlineStr">
        <is>
          <t>0-30</t>
        </is>
      </c>
      <c r="Q54" s="56" t="inlineStr">
        <is>
          <t>Apoorv</t>
        </is>
      </c>
      <c r="U54" s="585" t="n">
        <v>2410988</v>
      </c>
      <c r="V54" t="n">
        <v>15</v>
      </c>
      <c r="W54" t="n">
        <v>10.4</v>
      </c>
      <c r="X54" t="n">
        <v>2.3</v>
      </c>
      <c r="Y54" t="n">
        <v>6</v>
      </c>
      <c r="Z54" t="inlineStr">
        <is>
          <t>SAE1020</t>
        </is>
      </c>
      <c r="AA54" t="inlineStr">
        <is>
          <t>FC</t>
        </is>
      </c>
      <c r="AB54" t="inlineStr">
        <is>
          <t>AD</t>
        </is>
      </c>
      <c r="AC54" t="inlineStr">
        <is>
          <t>15-10.3-2.35-CEW-FIN CUT</t>
        </is>
      </c>
      <c r="AD54" t="inlineStr">
        <is>
          <t>LL</t>
        </is>
      </c>
      <c r="AE54" t="inlineStr">
        <is>
          <t>15-10.3-2.35-CEW-FIN CUT-1</t>
        </is>
      </c>
      <c r="AF54" t="n">
        <v>0.7199972899999999</v>
      </c>
    </row>
    <row r="55">
      <c r="A55" s="56" t="n">
        <v>1940090</v>
      </c>
      <c r="B55" s="56" t="inlineStr">
        <is>
          <t>TUB-O-O-AUT-AW-PE-15.88X2.000X0.2910</t>
        </is>
      </c>
      <c r="C55" s="56" t="inlineStr">
        <is>
          <t>4A21H35871</t>
        </is>
      </c>
      <c r="D55" s="57" t="n">
        <v>326.633</v>
      </c>
      <c r="E55" s="58" t="n">
        <v>65</v>
      </c>
      <c r="F55" s="57" t="n">
        <v>0.065</v>
      </c>
      <c r="G55" s="56" t="inlineStr">
        <is>
          <t>KG</t>
        </is>
      </c>
      <c r="H55" s="56" t="inlineStr">
        <is>
          <t>R001</t>
        </is>
      </c>
      <c r="I55" s="56" t="inlineStr">
        <is>
          <t>0789</t>
        </is>
      </c>
      <c r="J55" s="56" t="inlineStr">
        <is>
          <t>1100</t>
        </is>
      </c>
      <c r="K55" s="57" t="n">
        <v>94.91800000000001</v>
      </c>
      <c r="L55" s="56" t="inlineStr">
        <is>
          <t>9518397264/ 1</t>
        </is>
      </c>
      <c r="M55" s="56" t="inlineStr">
        <is>
          <t>1</t>
        </is>
      </c>
      <c r="N55" s="56" t="inlineStr">
        <is>
          <t>MEGH STEELS PRIVATE LIMITED - TVS A</t>
        </is>
      </c>
      <c r="O55" s="58" t="n">
        <v>84</v>
      </c>
      <c r="P55" s="59" t="inlineStr">
        <is>
          <t>61-90</t>
        </is>
      </c>
      <c r="Q55" s="56" t="inlineStr">
        <is>
          <t>Apoorv</t>
        </is>
      </c>
      <c r="U55" s="585" t="n">
        <v>1940019</v>
      </c>
      <c r="V55" t="n">
        <v>15.88</v>
      </c>
      <c r="W55" t="n">
        <v>0</v>
      </c>
      <c r="X55" t="n">
        <v>1</v>
      </c>
      <c r="Y55" t="n">
        <v>0.14</v>
      </c>
      <c r="Z55" t="inlineStr">
        <is>
          <t>WG</t>
        </is>
      </c>
      <c r="AA55" t="inlineStr">
        <is>
          <t>PE</t>
        </is>
      </c>
      <c r="AB55" t="inlineStr">
        <is>
          <t>AW</t>
        </is>
      </c>
      <c r="AC55" t="inlineStr">
        <is>
          <t>15.88-0-1-ERW 1-PE</t>
        </is>
      </c>
      <c r="AD55" t="inlineStr">
        <is>
          <t>CTL</t>
        </is>
      </c>
      <c r="AE55" t="inlineStr">
        <is>
          <t>15.88-0-1-ERW 1-PE-0.14</t>
        </is>
      </c>
      <c r="AF55" t="n">
        <v>0.05134879680000001</v>
      </c>
    </row>
    <row r="56">
      <c r="A56" s="56" t="n">
        <v>1940090</v>
      </c>
      <c r="B56" s="56" t="inlineStr">
        <is>
          <t>TUB-O-O-AUT-AW-PE-15.88X2.000X0.2910</t>
        </is>
      </c>
      <c r="C56" s="56" t="inlineStr">
        <is>
          <t>4C19H40045</t>
        </is>
      </c>
      <c r="D56" s="57" t="n">
        <v>604.513</v>
      </c>
      <c r="E56" s="57" t="n">
        <v>120.298</v>
      </c>
      <c r="F56" s="57" t="n">
        <v>0.120298</v>
      </c>
      <c r="G56" s="56" t="inlineStr">
        <is>
          <t>KG</t>
        </is>
      </c>
      <c r="H56" s="56" t="inlineStr">
        <is>
          <t>R001</t>
        </is>
      </c>
      <c r="I56" s="56" t="inlineStr">
        <is>
          <t>0789</t>
        </is>
      </c>
      <c r="J56" s="56" t="inlineStr">
        <is>
          <t>1500</t>
        </is>
      </c>
      <c r="K56" s="57" t="n">
        <v>175.669</v>
      </c>
      <c r="L56" s="56" t="inlineStr">
        <is>
          <t>9518397264/ 1</t>
        </is>
      </c>
      <c r="M56" s="56" t="inlineStr">
        <is>
          <t>1</t>
        </is>
      </c>
      <c r="N56" s="56" t="inlineStr">
        <is>
          <t>MEGH STEELS PRIVATE LIMITED - TVS A</t>
        </is>
      </c>
      <c r="O56" s="58" t="n">
        <v>23</v>
      </c>
      <c r="P56" s="59" t="inlineStr">
        <is>
          <t>0-30</t>
        </is>
      </c>
      <c r="Q56" s="56" t="inlineStr">
        <is>
          <t>Apoorv</t>
        </is>
      </c>
      <c r="U56" s="585" t="n">
        <v>2244449</v>
      </c>
      <c r="V56" t="n">
        <v>15.88</v>
      </c>
      <c r="W56" t="n">
        <v>0</v>
      </c>
      <c r="X56" t="n">
        <v>1</v>
      </c>
      <c r="Y56" t="n">
        <v>0.29</v>
      </c>
      <c r="Z56" t="inlineStr">
        <is>
          <t>WG</t>
        </is>
      </c>
      <c r="AA56" t="inlineStr">
        <is>
          <t>PE</t>
        </is>
      </c>
      <c r="AB56" t="inlineStr">
        <is>
          <t>AW</t>
        </is>
      </c>
      <c r="AC56" t="inlineStr">
        <is>
          <t>15.88-0-1-ERW 1-PE</t>
        </is>
      </c>
      <c r="AD56" t="inlineStr">
        <is>
          <t>CTL</t>
        </is>
      </c>
      <c r="AE56" t="inlineStr">
        <is>
          <t>15.88-0-1-ERW 1-PE-0.29</t>
        </is>
      </c>
      <c r="AF56" t="n">
        <v>0.1063653648</v>
      </c>
    </row>
    <row r="57">
      <c r="A57" s="56" t="n">
        <v>1940124</v>
      </c>
      <c r="B57" s="56" t="inlineStr">
        <is>
          <t>TUB-O-O-AUT-AW-PE-15.88X2.000X6.1000</t>
        </is>
      </c>
      <c r="C57" s="56" t="inlineStr">
        <is>
          <t>4A13AH2050</t>
        </is>
      </c>
      <c r="D57" s="57" t="n">
        <v>25.132</v>
      </c>
      <c r="E57" s="58" t="n">
        <v>105</v>
      </c>
      <c r="F57" s="57" t="n">
        <v>0.105</v>
      </c>
      <c r="G57" s="56" t="inlineStr">
        <is>
          <t>KG</t>
        </is>
      </c>
      <c r="H57" s="56" t="inlineStr">
        <is>
          <t>R001</t>
        </is>
      </c>
      <c r="I57" s="56" t="inlineStr">
        <is>
          <t>0789</t>
        </is>
      </c>
      <c r="J57" s="56" t="inlineStr">
        <is>
          <t>416</t>
        </is>
      </c>
      <c r="K57" s="57" t="n">
        <v>153.329</v>
      </c>
      <c r="L57" s="56" t="inlineStr"/>
      <c r="M57" s="56" t="inlineStr">
        <is>
          <t>0</t>
        </is>
      </c>
      <c r="N57" s="56" t="inlineStr">
        <is>
          <t>SRIKAM HITECH ENGINEERING PRIVATE L</t>
        </is>
      </c>
      <c r="O57" s="58" t="n">
        <v>52</v>
      </c>
      <c r="P57" s="59" t="inlineStr">
        <is>
          <t>31-60</t>
        </is>
      </c>
      <c r="Q57" s="56" t="inlineStr">
        <is>
          <t>Apoorv</t>
        </is>
      </c>
      <c r="U57" s="585" t="n">
        <v>1941845</v>
      </c>
      <c r="V57" t="n">
        <v>15.88</v>
      </c>
      <c r="W57" t="n">
        <v>0</v>
      </c>
      <c r="X57" t="n">
        <v>1</v>
      </c>
      <c r="Y57" t="n">
        <v>1.234</v>
      </c>
      <c r="Z57" t="inlineStr">
        <is>
          <t>WG</t>
        </is>
      </c>
      <c r="AA57" t="inlineStr">
        <is>
          <t>FC</t>
        </is>
      </c>
      <c r="AB57" t="inlineStr">
        <is>
          <t>AW</t>
        </is>
      </c>
      <c r="AC57" t="inlineStr">
        <is>
          <t>15.88-0-1-ERW 1-PE</t>
        </is>
      </c>
      <c r="AD57" t="inlineStr">
        <is>
          <t>CTL</t>
        </is>
      </c>
      <c r="AE57" t="inlineStr">
        <is>
          <t>15.88-0-1-ERW 1-PE-1.234</t>
        </is>
      </c>
      <c r="AF57" t="n">
        <v>0.45260296608</v>
      </c>
    </row>
    <row r="58">
      <c r="A58" s="56" t="n">
        <v>1940124</v>
      </c>
      <c r="B58" s="56" t="inlineStr">
        <is>
          <t>TUB-O-O-AUT-AW-PE-15.88X2.000X6.1000</t>
        </is>
      </c>
      <c r="C58" s="56" t="inlineStr">
        <is>
          <t>4B06AH2020</t>
        </is>
      </c>
      <c r="D58" s="57" t="n">
        <v>359.023</v>
      </c>
      <c r="E58" s="58" t="n">
        <v>1500</v>
      </c>
      <c r="F58" s="57" t="n">
        <v>1.5</v>
      </c>
      <c r="G58" s="56" t="inlineStr">
        <is>
          <t>KG</t>
        </is>
      </c>
      <c r="H58" s="56" t="inlineStr">
        <is>
          <t>R001</t>
        </is>
      </c>
      <c r="I58" s="56" t="inlineStr">
        <is>
          <t>0789</t>
        </is>
      </c>
      <c r="J58" s="56" t="inlineStr">
        <is>
          <t>371</t>
        </is>
      </c>
      <c r="K58" s="57" t="n">
        <v>2190.421</v>
      </c>
      <c r="L58" s="56" t="inlineStr"/>
      <c r="M58" s="56" t="inlineStr">
        <is>
          <t>0</t>
        </is>
      </c>
      <c r="N58" s="56" t="inlineStr">
        <is>
          <t>SRIKAM HITECH ENGINEERING PRIVATE L</t>
        </is>
      </c>
      <c r="O58" s="58" t="n">
        <v>52</v>
      </c>
      <c r="P58" s="59" t="inlineStr">
        <is>
          <t>31-60</t>
        </is>
      </c>
      <c r="Q58" s="56" t="inlineStr">
        <is>
          <t>Apoorv</t>
        </is>
      </c>
      <c r="U58" s="585" t="n">
        <v>1941846</v>
      </c>
      <c r="V58" t="n">
        <v>15.88</v>
      </c>
      <c r="W58" t="n">
        <v>0</v>
      </c>
      <c r="X58" t="n">
        <v>1</v>
      </c>
      <c r="Y58" t="n">
        <v>1.603</v>
      </c>
      <c r="Z58" t="inlineStr">
        <is>
          <t>WG</t>
        </is>
      </c>
      <c r="AA58" t="inlineStr">
        <is>
          <t>FC</t>
        </is>
      </c>
      <c r="AB58" t="inlineStr">
        <is>
          <t>AW</t>
        </is>
      </c>
      <c r="AC58" t="inlineStr">
        <is>
          <t>15.88-0-1-ERW 1-PE</t>
        </is>
      </c>
      <c r="AD58" t="inlineStr">
        <is>
          <t>CTL</t>
        </is>
      </c>
      <c r="AE58" t="inlineStr">
        <is>
          <t>15.88-0-1-ERW 1-PE-1.603</t>
        </is>
      </c>
      <c r="AF58" t="n">
        <v>0.58794372336</v>
      </c>
    </row>
    <row r="59">
      <c r="A59" s="56" t="n">
        <v>1940146</v>
      </c>
      <c r="B59" s="56" t="inlineStr">
        <is>
          <t>TUB-S-FH-SHS-19.00X19.00X1.000X6.0000</t>
        </is>
      </c>
      <c r="C59" s="56" t="inlineStr">
        <is>
          <t>4A23AH1020</t>
        </is>
      </c>
      <c r="D59" s="57" t="n">
        <v>593.854</v>
      </c>
      <c r="E59" s="58" t="n">
        <v>1971</v>
      </c>
      <c r="F59" s="57" t="n">
        <v>1.971</v>
      </c>
      <c r="G59" s="56" t="inlineStr">
        <is>
          <t>KG</t>
        </is>
      </c>
      <c r="H59" s="56" t="inlineStr">
        <is>
          <t>R001</t>
        </is>
      </c>
      <c r="I59" s="56" t="inlineStr">
        <is>
          <t>0789</t>
        </is>
      </c>
      <c r="J59" s="56" t="inlineStr">
        <is>
          <t>594</t>
        </is>
      </c>
      <c r="K59" s="57" t="n">
        <v>3563.551</v>
      </c>
      <c r="L59" s="56" t="inlineStr">
        <is>
          <t>9518133082/ 1</t>
        </is>
      </c>
      <c r="M59" s="56" t="inlineStr">
        <is>
          <t>1</t>
        </is>
      </c>
      <c r="N59" s="56" t="inlineStr">
        <is>
          <t>Sri Balaji Gears</t>
        </is>
      </c>
      <c r="O59" s="58" t="n">
        <v>80</v>
      </c>
      <c r="P59" s="59" t="inlineStr">
        <is>
          <t>61-90</t>
        </is>
      </c>
      <c r="Q59" s="56" t="inlineStr">
        <is>
          <t>Diwakar</t>
        </is>
      </c>
      <c r="U59" t="n">
        <v>3672607</v>
      </c>
      <c r="V59" t="n">
        <v>15.88</v>
      </c>
      <c r="W59" t="n">
        <v>0</v>
      </c>
      <c r="X59" t="n">
        <v>1</v>
      </c>
      <c r="Y59" t="n">
        <v>1.715</v>
      </c>
      <c r="Z59" t="inlineStr">
        <is>
          <t>WG</t>
        </is>
      </c>
      <c r="AA59" t="inlineStr">
        <is>
          <t>PE</t>
        </is>
      </c>
      <c r="AB59" t="inlineStr">
        <is>
          <t>AW</t>
        </is>
      </c>
      <c r="AC59" t="inlineStr">
        <is>
          <t>15.88-0-1-ERW 1-PE</t>
        </is>
      </c>
      <c r="AD59" t="inlineStr">
        <is>
          <t>CTL</t>
        </is>
      </c>
      <c r="AE59" t="inlineStr">
        <is>
          <t>15.88-0-1-ERW 1-PE-1.715</t>
        </is>
      </c>
      <c r="AF59" t="n">
        <v>0.6290227608000001</v>
      </c>
    </row>
    <row r="60">
      <c r="A60" s="56" t="n">
        <v>1940146</v>
      </c>
      <c r="B60" s="56" t="inlineStr">
        <is>
          <t>TUB-S-FH-SHS-19.00X19.00X1.000X6.0000</t>
        </is>
      </c>
      <c r="C60" s="56" t="inlineStr">
        <is>
          <t>4A23AH1030</t>
        </is>
      </c>
      <c r="D60" s="57" t="n">
        <v>592.648</v>
      </c>
      <c r="E60" s="58" t="n">
        <v>1967</v>
      </c>
      <c r="F60" s="57" t="n">
        <v>1.967</v>
      </c>
      <c r="G60" s="56" t="inlineStr">
        <is>
          <t>KG</t>
        </is>
      </c>
      <c r="H60" s="56" t="inlineStr">
        <is>
          <t>R001</t>
        </is>
      </c>
      <c r="I60" s="56" t="inlineStr">
        <is>
          <t>0789</t>
        </is>
      </c>
      <c r="J60" s="56" t="inlineStr">
        <is>
          <t>593</t>
        </is>
      </c>
      <c r="K60" s="57" t="n">
        <v>3556.319</v>
      </c>
      <c r="L60" s="56" t="inlineStr">
        <is>
          <t>9518133082/ 1</t>
        </is>
      </c>
      <c r="M60" s="56" t="inlineStr">
        <is>
          <t>1</t>
        </is>
      </c>
      <c r="N60" s="56" t="inlineStr">
        <is>
          <t>Sri Balaji Gears</t>
        </is>
      </c>
      <c r="O60" s="58" t="n">
        <v>80</v>
      </c>
      <c r="P60" s="59" t="inlineStr">
        <is>
          <t>61-90</t>
        </is>
      </c>
      <c r="Q60" s="56" t="inlineStr">
        <is>
          <t>Diwakar</t>
        </is>
      </c>
      <c r="U60" t="n">
        <v>3672606</v>
      </c>
      <c r="V60" t="n">
        <v>15.88</v>
      </c>
      <c r="W60" t="n">
        <v>0</v>
      </c>
      <c r="X60" t="n">
        <v>1</v>
      </c>
      <c r="Y60" t="n">
        <v>1.745</v>
      </c>
      <c r="Z60" t="inlineStr">
        <is>
          <t>WG</t>
        </is>
      </c>
      <c r="AA60" t="inlineStr">
        <is>
          <t>PE</t>
        </is>
      </c>
      <c r="AB60" t="inlineStr">
        <is>
          <t>AW</t>
        </is>
      </c>
      <c r="AC60" t="inlineStr">
        <is>
          <t>15.88-0-1-ERW 1-PE</t>
        </is>
      </c>
      <c r="AD60" t="inlineStr">
        <is>
          <t>CTL</t>
        </is>
      </c>
      <c r="AE60" t="inlineStr">
        <is>
          <t>15.88-0-1-ERW 1-PE-1.745</t>
        </is>
      </c>
      <c r="AF60" t="n">
        <v>0.6400260744</v>
      </c>
    </row>
    <row r="61">
      <c r="A61" s="56" t="n">
        <v>1940146</v>
      </c>
      <c r="B61" s="56" t="inlineStr">
        <is>
          <t>TUB-S-FH-SHS-19.00X19.00X1.000X6.0000</t>
        </is>
      </c>
      <c r="C61" s="56" t="inlineStr">
        <is>
          <t>4A23AH1040</t>
        </is>
      </c>
      <c r="D61" s="57" t="n">
        <v>800.542</v>
      </c>
      <c r="E61" s="58" t="n">
        <v>2657</v>
      </c>
      <c r="F61" s="57" t="n">
        <v>2.657</v>
      </c>
      <c r="G61" s="56" t="inlineStr">
        <is>
          <t>KG</t>
        </is>
      </c>
      <c r="H61" s="56" t="inlineStr">
        <is>
          <t>R001</t>
        </is>
      </c>
      <c r="I61" s="56" t="inlineStr">
        <is>
          <t>0789</t>
        </is>
      </c>
      <c r="J61" s="56" t="inlineStr">
        <is>
          <t>809</t>
        </is>
      </c>
      <c r="K61" s="57" t="n">
        <v>4803.833</v>
      </c>
      <c r="L61" s="56" t="inlineStr">
        <is>
          <t>9518133082/ 1</t>
        </is>
      </c>
      <c r="M61" s="56" t="inlineStr">
        <is>
          <t>1</t>
        </is>
      </c>
      <c r="N61" s="56" t="inlineStr">
        <is>
          <t>Sri Balaji Gears</t>
        </is>
      </c>
      <c r="O61" s="58" t="n">
        <v>44</v>
      </c>
      <c r="P61" s="59" t="inlineStr">
        <is>
          <t>31-60</t>
        </is>
      </c>
      <c r="Q61" s="56" t="inlineStr">
        <is>
          <t>Diwakar</t>
        </is>
      </c>
      <c r="U61" s="585" t="n">
        <v>1941847</v>
      </c>
      <c r="V61" t="n">
        <v>15.88</v>
      </c>
      <c r="W61" t="n">
        <v>0</v>
      </c>
      <c r="X61" t="n">
        <v>1</v>
      </c>
      <c r="Y61" t="n">
        <v>2.185</v>
      </c>
      <c r="Z61" t="inlineStr">
        <is>
          <t>WG</t>
        </is>
      </c>
      <c r="AA61" t="inlineStr">
        <is>
          <t>FC</t>
        </is>
      </c>
      <c r="AB61" t="inlineStr">
        <is>
          <t>AW</t>
        </is>
      </c>
      <c r="AC61" t="inlineStr">
        <is>
          <t>15.88-0-1-ERW 1-PE</t>
        </is>
      </c>
      <c r="AD61" t="inlineStr">
        <is>
          <t>CTL</t>
        </is>
      </c>
      <c r="AE61" t="inlineStr">
        <is>
          <t>15.88-0-1-ERW 1-PE-2.185</t>
        </is>
      </c>
      <c r="AF61" t="n">
        <v>0.8014080072</v>
      </c>
    </row>
    <row r="62">
      <c r="A62" s="56" t="n">
        <v>1940146</v>
      </c>
      <c r="B62" s="56" t="inlineStr">
        <is>
          <t>TUB-S-FH-SHS-19.00X19.00X1.000X6.0000</t>
        </is>
      </c>
      <c r="C62" s="56" t="inlineStr">
        <is>
          <t>4B26BH1020</t>
        </is>
      </c>
      <c r="D62" s="57" t="n">
        <v>724.917</v>
      </c>
      <c r="E62" s="58" t="n">
        <v>2406</v>
      </c>
      <c r="F62" s="57" t="n">
        <v>2.406</v>
      </c>
      <c r="G62" s="56" t="inlineStr">
        <is>
          <t>KG</t>
        </is>
      </c>
      <c r="H62" s="56" t="inlineStr">
        <is>
          <t>R001</t>
        </is>
      </c>
      <c r="I62" s="56" t="inlineStr">
        <is>
          <t>0789</t>
        </is>
      </c>
      <c r="J62" s="56" t="inlineStr">
        <is>
          <t>725</t>
        </is>
      </c>
      <c r="K62" s="57" t="n">
        <v>4350.027</v>
      </c>
      <c r="L62" s="56" t="inlineStr">
        <is>
          <t>9518224307/ 1</t>
        </is>
      </c>
      <c r="M62" s="56" t="inlineStr">
        <is>
          <t>1</t>
        </is>
      </c>
      <c r="N62" s="56" t="inlineStr">
        <is>
          <t>Sri Balaji Gears</t>
        </is>
      </c>
      <c r="O62" s="58" t="n">
        <v>44</v>
      </c>
      <c r="P62" s="59" t="inlineStr">
        <is>
          <t>31-60</t>
        </is>
      </c>
      <c r="Q62" s="56" t="inlineStr">
        <is>
          <t>Diwakar</t>
        </is>
      </c>
      <c r="U62" t="n">
        <v>3672608</v>
      </c>
      <c r="V62" t="n">
        <v>15.88</v>
      </c>
      <c r="W62" t="n">
        <v>0</v>
      </c>
      <c r="X62" t="n">
        <v>1</v>
      </c>
      <c r="Y62" t="n">
        <v>2.34</v>
      </c>
      <c r="Z62" t="inlineStr">
        <is>
          <t>WG</t>
        </is>
      </c>
      <c r="AA62" t="inlineStr">
        <is>
          <t>PE</t>
        </is>
      </c>
      <c r="AB62" t="inlineStr">
        <is>
          <t>AW</t>
        </is>
      </c>
      <c r="AC62" t="inlineStr">
        <is>
          <t>15.88-0-1-ERW 1-PE</t>
        </is>
      </c>
      <c r="AD62" t="inlineStr">
        <is>
          <t>CTL</t>
        </is>
      </c>
      <c r="AE62" t="inlineStr">
        <is>
          <t>15.88-0-1-ERW 1-PE-2.34</t>
        </is>
      </c>
      <c r="AF62" t="n">
        <v>0.8582584608</v>
      </c>
    </row>
    <row r="63">
      <c r="A63" s="56" t="n">
        <v>1940146</v>
      </c>
      <c r="B63" s="56" t="inlineStr">
        <is>
          <t>TUB-S-FH-SHS-19.00X19.00X1.000X6.0000</t>
        </is>
      </c>
      <c r="C63" s="56" t="inlineStr">
        <is>
          <t>4B26BH1030</t>
        </is>
      </c>
      <c r="D63" s="57" t="n">
        <v>479.06</v>
      </c>
      <c r="E63" s="58" t="n">
        <v>1590</v>
      </c>
      <c r="F63" s="57" t="n">
        <v>1.59</v>
      </c>
      <c r="G63" s="56" t="inlineStr">
        <is>
          <t>KG</t>
        </is>
      </c>
      <c r="H63" s="56" t="inlineStr">
        <is>
          <t>R001</t>
        </is>
      </c>
      <c r="I63" s="56" t="inlineStr">
        <is>
          <t>0789</t>
        </is>
      </c>
      <c r="J63" s="56" t="inlineStr">
        <is>
          <t>479</t>
        </is>
      </c>
      <c r="K63" s="57" t="n">
        <v>2874.706</v>
      </c>
      <c r="L63" s="56" t="inlineStr">
        <is>
          <t>9518224307/ 1</t>
        </is>
      </c>
      <c r="M63" s="56" t="inlineStr">
        <is>
          <t>1</t>
        </is>
      </c>
      <c r="N63" s="56" t="inlineStr">
        <is>
          <t>Sri Balaji Gears</t>
        </is>
      </c>
      <c r="O63" s="58" t="n">
        <v>44</v>
      </c>
      <c r="P63" s="59" t="inlineStr">
        <is>
          <t>31-60</t>
        </is>
      </c>
      <c r="Q63" s="56" t="inlineStr">
        <is>
          <t>Diwakar</t>
        </is>
      </c>
      <c r="U63" s="48" t="n">
        <v>1941848</v>
      </c>
      <c r="V63" t="n">
        <v>15.88</v>
      </c>
      <c r="W63" t="n">
        <v>0</v>
      </c>
      <c r="X63" t="n">
        <v>1</v>
      </c>
      <c r="Y63" t="n">
        <v>2.49</v>
      </c>
      <c r="Z63" t="inlineStr">
        <is>
          <t>WG</t>
        </is>
      </c>
      <c r="AA63" t="inlineStr">
        <is>
          <t>FC</t>
        </is>
      </c>
      <c r="AB63" t="inlineStr">
        <is>
          <t>AW</t>
        </is>
      </c>
      <c r="AC63" t="inlineStr">
        <is>
          <t>15.88-0-1-ERW 1-PE</t>
        </is>
      </c>
      <c r="AD63" t="inlineStr">
        <is>
          <t>CTL</t>
        </is>
      </c>
      <c r="AE63" t="inlineStr">
        <is>
          <t>15.88-0-1-ERW 1-PE-2.49</t>
        </is>
      </c>
      <c r="AF63" t="n">
        <v>0.9132750288000001</v>
      </c>
    </row>
    <row r="64">
      <c r="A64" s="56" t="n">
        <v>1940146</v>
      </c>
      <c r="B64" s="56" t="inlineStr">
        <is>
          <t>TUB-S-FH-SHS-19.00X19.00X1.000X6.0000</t>
        </is>
      </c>
      <c r="C64" s="56" t="inlineStr">
        <is>
          <t>4B26AH1090</t>
        </is>
      </c>
      <c r="D64" s="57" t="n">
        <v>313.817</v>
      </c>
      <c r="E64" s="57" t="n">
        <v>1041.56</v>
      </c>
      <c r="F64" s="57" t="n">
        <v>1.04156</v>
      </c>
      <c r="G64" s="56" t="inlineStr">
        <is>
          <t>KG</t>
        </is>
      </c>
      <c r="H64" s="56" t="inlineStr">
        <is>
          <t>R001</t>
        </is>
      </c>
      <c r="I64" s="56" t="inlineStr">
        <is>
          <t>0789</t>
        </is>
      </c>
      <c r="J64" s="56" t="inlineStr">
        <is>
          <t>714</t>
        </is>
      </c>
      <c r="K64" s="57" t="n">
        <v>1883.131</v>
      </c>
      <c r="L64" s="56" t="inlineStr">
        <is>
          <t>9518232457/ 1</t>
        </is>
      </c>
      <c r="M64" s="56" t="inlineStr">
        <is>
          <t>1</t>
        </is>
      </c>
      <c r="N64" s="56" t="inlineStr">
        <is>
          <t>Marathwada Auto Compo Pvt. Ltd.</t>
        </is>
      </c>
      <c r="O64" s="58" t="n">
        <v>44</v>
      </c>
      <c r="P64" s="59" t="inlineStr">
        <is>
          <t>31-60</t>
        </is>
      </c>
      <c r="Q64" s="56" t="inlineStr">
        <is>
          <t>Apoorv</t>
        </is>
      </c>
      <c r="U64" s="585" t="n">
        <v>3541434</v>
      </c>
      <c r="V64" t="n">
        <v>15.88</v>
      </c>
      <c r="W64" t="n">
        <v>0</v>
      </c>
      <c r="X64" t="n">
        <v>1</v>
      </c>
      <c r="Y64" t="n">
        <v>2.905</v>
      </c>
      <c r="Z64" t="inlineStr">
        <is>
          <t>WG</t>
        </is>
      </c>
      <c r="AA64" t="inlineStr">
        <is>
          <t>PE</t>
        </is>
      </c>
      <c r="AB64" t="inlineStr">
        <is>
          <t>AW</t>
        </is>
      </c>
      <c r="AC64" t="inlineStr">
        <is>
          <t>15.88-0-1-ERW 1-PE</t>
        </is>
      </c>
      <c r="AD64" t="inlineStr">
        <is>
          <t>CTL</t>
        </is>
      </c>
      <c r="AE64" t="inlineStr">
        <is>
          <t>15.88-0-1-ERW 1-PE-2.905</t>
        </is>
      </c>
      <c r="AF64" t="n">
        <v>1.0654875336</v>
      </c>
    </row>
    <row r="65">
      <c r="A65" s="56" t="n">
        <v>1940146</v>
      </c>
      <c r="B65" s="56" t="inlineStr">
        <is>
          <t>TUB-S-FH-SHS-19.00X19.00X1.000X6.0000</t>
        </is>
      </c>
      <c r="C65" s="56" t="inlineStr">
        <is>
          <t>4B26AH1100</t>
        </is>
      </c>
      <c r="D65" s="57" t="n">
        <v>473.034</v>
      </c>
      <c r="E65" s="58" t="n">
        <v>1570</v>
      </c>
      <c r="F65" s="57" t="n">
        <v>1.57</v>
      </c>
      <c r="G65" s="56" t="inlineStr">
        <is>
          <t>KG</t>
        </is>
      </c>
      <c r="H65" s="56" t="inlineStr">
        <is>
          <t>R001</t>
        </is>
      </c>
      <c r="I65" s="56" t="inlineStr">
        <is>
          <t>0789</t>
        </is>
      </c>
      <c r="J65" s="56" t="inlineStr">
        <is>
          <t>473</t>
        </is>
      </c>
      <c r="K65" s="57" t="n">
        <v>2838.546</v>
      </c>
      <c r="L65" s="56" t="inlineStr">
        <is>
          <t>9518232457/ 1</t>
        </is>
      </c>
      <c r="M65" s="56" t="inlineStr">
        <is>
          <t>1</t>
        </is>
      </c>
      <c r="N65" s="56" t="inlineStr">
        <is>
          <t>Marathwada Auto Compo Pvt. Ltd.</t>
        </is>
      </c>
      <c r="O65" s="58" t="n">
        <v>10</v>
      </c>
      <c r="P65" s="59" t="inlineStr">
        <is>
          <t>0-30</t>
        </is>
      </c>
      <c r="Q65" s="56" t="inlineStr">
        <is>
          <t>Apoorv</t>
        </is>
      </c>
      <c r="U65" s="586" t="n">
        <v>111120707</v>
      </c>
      <c r="V65" t="n">
        <v>15.88</v>
      </c>
      <c r="W65" t="n">
        <v>0</v>
      </c>
      <c r="X65" t="n">
        <v>1</v>
      </c>
      <c r="Y65" t="n">
        <v>4.44</v>
      </c>
      <c r="Z65" t="inlineStr">
        <is>
          <t>WG</t>
        </is>
      </c>
      <c r="AA65" t="inlineStr">
        <is>
          <t>PE</t>
        </is>
      </c>
      <c r="AB65" t="inlineStr">
        <is>
          <t>AW</t>
        </is>
      </c>
      <c r="AC65" t="inlineStr">
        <is>
          <t>15.88-0-1-ERW 1-PE</t>
        </is>
      </c>
      <c r="AD65" t="inlineStr">
        <is>
          <t>LL</t>
        </is>
      </c>
      <c r="AE65" t="inlineStr">
        <is>
          <t>15.88-0-1-ERW 1-PE-1</t>
        </is>
      </c>
      <c r="AF65" t="n">
        <v>0.36677712</v>
      </c>
    </row>
    <row r="66">
      <c r="A66" s="56" t="n">
        <v>1940151</v>
      </c>
      <c r="B66" s="56" t="inlineStr">
        <is>
          <t>TUB-S-AW-SHS-19.00X19.00X1.200X0.1500</t>
        </is>
      </c>
      <c r="C66" s="56" t="inlineStr">
        <is>
          <t>EXC2405052</t>
        </is>
      </c>
      <c r="D66" s="57" t="n">
        <v>5176.212</v>
      </c>
      <c r="E66" s="57" t="n">
        <v>512.4450000000001</v>
      </c>
      <c r="F66" s="57" t="n">
        <v>0.512445</v>
      </c>
      <c r="G66" s="56" t="inlineStr">
        <is>
          <t>KG</t>
        </is>
      </c>
      <c r="H66" s="56" t="inlineStr">
        <is>
          <t>R001</t>
        </is>
      </c>
      <c r="I66" s="56" t="inlineStr">
        <is>
          <t>0789</t>
        </is>
      </c>
      <c r="J66" s="56" t="inlineStr"/>
      <c r="K66" s="57" t="n">
        <v>779.029</v>
      </c>
      <c r="L66" s="56" t="inlineStr"/>
      <c r="M66" s="56" t="inlineStr">
        <is>
          <t>0</t>
        </is>
      </c>
      <c r="N66" s="56" t="inlineStr">
        <is>
          <t>Sri Balaji Gears</t>
        </is>
      </c>
      <c r="O66" s="58" t="n">
        <v>230</v>
      </c>
      <c r="P66" s="59" t="inlineStr">
        <is>
          <t>ABOVE 90</t>
        </is>
      </c>
      <c r="Q66" s="56" t="inlineStr">
        <is>
          <t>Diwakar</t>
        </is>
      </c>
      <c r="U66" s="586" t="n">
        <v>110102177</v>
      </c>
      <c r="V66" t="n">
        <v>15.88</v>
      </c>
      <c r="W66" t="n">
        <v>0</v>
      </c>
      <c r="X66" t="n">
        <v>1</v>
      </c>
      <c r="Y66" t="n">
        <v>4.83</v>
      </c>
      <c r="Z66" t="inlineStr">
        <is>
          <t>WG</t>
        </is>
      </c>
      <c r="AA66" t="inlineStr">
        <is>
          <t>PE</t>
        </is>
      </c>
      <c r="AB66" t="inlineStr">
        <is>
          <t>AW</t>
        </is>
      </c>
      <c r="AC66" t="inlineStr">
        <is>
          <t>15.88-0-1-ERW 1-PE</t>
        </is>
      </c>
      <c r="AD66" t="inlineStr">
        <is>
          <t>LL</t>
        </is>
      </c>
      <c r="AE66" t="inlineStr">
        <is>
          <t>15.88-0-1-ERW 1-PE-1</t>
        </is>
      </c>
      <c r="AF66" t="n">
        <v>0.36677712</v>
      </c>
    </row>
    <row r="67">
      <c r="A67" s="56" t="n">
        <v>1940151</v>
      </c>
      <c r="B67" s="56" t="inlineStr">
        <is>
          <t>TUB-S-AW-SHS-19.00X19.00X1.200X0.1500</t>
        </is>
      </c>
      <c r="C67" s="56" t="inlineStr">
        <is>
          <t>PV24030006</t>
        </is>
      </c>
      <c r="D67" s="57" t="n">
        <v>4790.465</v>
      </c>
      <c r="E67" s="57" t="n">
        <v>474.256</v>
      </c>
      <c r="F67" s="57" t="n">
        <v>0.474256</v>
      </c>
      <c r="G67" s="56" t="inlineStr">
        <is>
          <t>KG</t>
        </is>
      </c>
      <c r="H67" s="56" t="inlineStr">
        <is>
          <t>R001</t>
        </is>
      </c>
      <c r="I67" s="56" t="inlineStr">
        <is>
          <t>0789</t>
        </is>
      </c>
      <c r="J67" s="56" t="inlineStr"/>
      <c r="K67" s="57" t="n">
        <v>720.973</v>
      </c>
      <c r="L67" s="56" t="inlineStr"/>
      <c r="M67" s="56" t="inlineStr">
        <is>
          <t>0</t>
        </is>
      </c>
      <c r="N67" s="56" t="inlineStr">
        <is>
          <t>Sri Balaji Gears</t>
        </is>
      </c>
      <c r="O67" s="58" t="n">
        <v>262</v>
      </c>
      <c r="P67" s="59" t="inlineStr">
        <is>
          <t>ABOVE 90</t>
        </is>
      </c>
      <c r="Q67" s="56" t="inlineStr">
        <is>
          <t>Diwakar</t>
        </is>
      </c>
      <c r="U67" s="511" t="n">
        <v>1940023</v>
      </c>
      <c r="V67" t="n">
        <v>15.88</v>
      </c>
      <c r="W67" t="n">
        <v>0</v>
      </c>
      <c r="X67" t="n">
        <v>1</v>
      </c>
      <c r="Y67" t="n">
        <v>5.01</v>
      </c>
      <c r="Z67" t="inlineStr">
        <is>
          <t>WG</t>
        </is>
      </c>
      <c r="AA67" t="inlineStr">
        <is>
          <t>PE</t>
        </is>
      </c>
      <c r="AB67" t="inlineStr">
        <is>
          <t>AW</t>
        </is>
      </c>
      <c r="AC67" t="inlineStr">
        <is>
          <t>15.88-0-1-ERW 1-PE</t>
        </is>
      </c>
      <c r="AD67" t="inlineStr">
        <is>
          <t>LL</t>
        </is>
      </c>
      <c r="AE67" t="inlineStr">
        <is>
          <t>15.88-0-1-ERW 1-PE-1</t>
        </is>
      </c>
      <c r="AF67" t="n">
        <v>0.36677712</v>
      </c>
    </row>
    <row r="68">
      <c r="A68" s="56" t="n">
        <v>1940220</v>
      </c>
      <c r="B68" s="56" t="inlineStr">
        <is>
          <t>TUB-O-O-AUT-AW-PE-19.05X1.600X0.1800</t>
        </is>
      </c>
      <c r="C68" s="56" t="inlineStr">
        <is>
          <t>EXC2405051</t>
        </is>
      </c>
      <c r="D68" s="57" t="n">
        <v>3399.492</v>
      </c>
      <c r="E68" s="57" t="n">
        <v>421.537</v>
      </c>
      <c r="F68" s="57" t="n">
        <v>0.421537</v>
      </c>
      <c r="G68" s="56" t="inlineStr">
        <is>
          <t>KG</t>
        </is>
      </c>
      <c r="H68" s="56" t="inlineStr">
        <is>
          <t>R001</t>
        </is>
      </c>
      <c r="I68" s="56" t="inlineStr">
        <is>
          <t>0789</t>
        </is>
      </c>
      <c r="J68" s="56" t="inlineStr"/>
      <c r="K68" s="57" t="n">
        <v>611.9880000000001</v>
      </c>
      <c r="L68" s="56" t="inlineStr"/>
      <c r="M68" s="56" t="inlineStr">
        <is>
          <t>0</t>
        </is>
      </c>
      <c r="N68" s="56" t="inlineStr">
        <is>
          <t>FREE STOCK</t>
        </is>
      </c>
      <c r="O68" s="58" t="n">
        <v>230</v>
      </c>
      <c r="P68" s="59" t="inlineStr">
        <is>
          <t>ABOVE 90</t>
        </is>
      </c>
      <c r="Q68" s="56" t="inlineStr">
        <is>
          <t>Free Stock</t>
        </is>
      </c>
      <c r="U68" s="586" t="n">
        <v>111120705</v>
      </c>
      <c r="V68" t="n">
        <v>15.88</v>
      </c>
      <c r="W68" t="n">
        <v>0</v>
      </c>
      <c r="X68" t="n">
        <v>1</v>
      </c>
      <c r="Y68" t="n">
        <v>5.01</v>
      </c>
      <c r="Z68" t="inlineStr">
        <is>
          <t>WG</t>
        </is>
      </c>
      <c r="AA68" t="inlineStr">
        <is>
          <t>PE</t>
        </is>
      </c>
      <c r="AB68" t="inlineStr">
        <is>
          <t>AW</t>
        </is>
      </c>
      <c r="AC68" t="inlineStr">
        <is>
          <t>15.88-0-1-ERW 1-PE</t>
        </is>
      </c>
      <c r="AD68" t="inlineStr">
        <is>
          <t>LL</t>
        </is>
      </c>
      <c r="AE68" t="inlineStr">
        <is>
          <t>15.88-0-1-ERW 1-PE-1</t>
        </is>
      </c>
      <c r="AF68" t="n">
        <v>0.36677712</v>
      </c>
    </row>
    <row r="69">
      <c r="A69" s="56" t="n">
        <v>1940220</v>
      </c>
      <c r="B69" s="56" t="inlineStr">
        <is>
          <t>TUB-O-O-AUT-AW-PE-19.05X1.600X0.1800</t>
        </is>
      </c>
      <c r="C69" s="56" t="inlineStr">
        <is>
          <t>PV24030027</t>
        </is>
      </c>
      <c r="D69" s="57" t="n">
        <v>3599.468</v>
      </c>
      <c r="E69" s="57" t="n">
        <v>446.334</v>
      </c>
      <c r="F69" s="57" t="n">
        <v>0.446334</v>
      </c>
      <c r="G69" s="56" t="inlineStr">
        <is>
          <t>KG</t>
        </is>
      </c>
      <c r="H69" s="56" t="inlineStr">
        <is>
          <t>R001</t>
        </is>
      </c>
      <c r="I69" s="56" t="inlineStr">
        <is>
          <t>0789</t>
        </is>
      </c>
      <c r="J69" s="56" t="inlineStr"/>
      <c r="K69" s="57" t="n">
        <v>647.9880000000001</v>
      </c>
      <c r="L69" s="56" t="inlineStr"/>
      <c r="M69" s="56" t="inlineStr">
        <is>
          <t>0</t>
        </is>
      </c>
      <c r="N69" s="56" t="inlineStr">
        <is>
          <t>FREE STOCK</t>
        </is>
      </c>
      <c r="O69" s="58" t="n">
        <v>262</v>
      </c>
      <c r="P69" s="59" t="inlineStr">
        <is>
          <t>ABOVE 90</t>
        </is>
      </c>
      <c r="Q69" s="56" t="inlineStr">
        <is>
          <t>Free Stock</t>
        </is>
      </c>
      <c r="U69" s="586" t="n">
        <v>111116479</v>
      </c>
      <c r="V69" t="n">
        <v>15.88</v>
      </c>
      <c r="W69" t="n">
        <v>0</v>
      </c>
      <c r="X69" t="n">
        <v>1</v>
      </c>
      <c r="Y69" t="n">
        <v>5.05</v>
      </c>
      <c r="Z69" t="inlineStr">
        <is>
          <t>WG</t>
        </is>
      </c>
      <c r="AA69" t="inlineStr">
        <is>
          <t>PE</t>
        </is>
      </c>
      <c r="AB69" t="inlineStr">
        <is>
          <t>AW</t>
        </is>
      </c>
      <c r="AC69" t="inlineStr">
        <is>
          <t>15.88-0-1-ERW 1-PE</t>
        </is>
      </c>
      <c r="AD69" t="inlineStr">
        <is>
          <t>LL</t>
        </is>
      </c>
      <c r="AE69" t="inlineStr">
        <is>
          <t>15.88-0-1-ERW 1-PE-1</t>
        </is>
      </c>
      <c r="AF69" t="n">
        <v>0.36677712</v>
      </c>
    </row>
    <row r="70">
      <c r="A70" s="56" t="n">
        <v>1940236</v>
      </c>
      <c r="B70" s="56" t="inlineStr">
        <is>
          <t>TUB-O-O-AUT-AW-PE-19.05X1.600X0.3900</t>
        </is>
      </c>
      <c r="C70" s="56" t="inlineStr">
        <is>
          <t>PV24030040</t>
        </is>
      </c>
      <c r="D70" s="57" t="n">
        <v>1797.502</v>
      </c>
      <c r="E70" s="57" t="n">
        <v>483.528</v>
      </c>
      <c r="F70" s="57" t="n">
        <v>0.483528</v>
      </c>
      <c r="G70" s="56" t="inlineStr">
        <is>
          <t>KG</t>
        </is>
      </c>
      <c r="H70" s="56" t="inlineStr">
        <is>
          <t>R001</t>
        </is>
      </c>
      <c r="I70" s="56" t="inlineStr">
        <is>
          <t>0789</t>
        </is>
      </c>
      <c r="J70" s="56" t="inlineStr"/>
      <c r="K70" s="57" t="n">
        <v>701.986</v>
      </c>
      <c r="L70" s="56" t="inlineStr"/>
      <c r="M70" s="56" t="inlineStr">
        <is>
          <t>0</t>
        </is>
      </c>
      <c r="N70" s="56" t="inlineStr">
        <is>
          <t>FREE STOCK</t>
        </is>
      </c>
      <c r="O70" s="58" t="n">
        <v>262</v>
      </c>
      <c r="P70" s="59" t="inlineStr">
        <is>
          <t>ABOVE 90</t>
        </is>
      </c>
      <c r="Q70" s="56" t="inlineStr">
        <is>
          <t>Free Stock</t>
        </is>
      </c>
      <c r="U70" s="586" t="n">
        <v>111106835</v>
      </c>
      <c r="V70" t="n">
        <v>15.88</v>
      </c>
      <c r="W70" t="n">
        <v>0</v>
      </c>
      <c r="X70" t="n">
        <v>1</v>
      </c>
      <c r="Y70" t="n">
        <v>5.45</v>
      </c>
      <c r="Z70" t="inlineStr">
        <is>
          <t>WG</t>
        </is>
      </c>
      <c r="AA70" t="inlineStr">
        <is>
          <t>PE</t>
        </is>
      </c>
      <c r="AB70" t="inlineStr">
        <is>
          <t>AW</t>
        </is>
      </c>
      <c r="AC70" t="inlineStr">
        <is>
          <t>15.88-0-1-ERW 1-PE</t>
        </is>
      </c>
      <c r="AD70" t="inlineStr">
        <is>
          <t>LL</t>
        </is>
      </c>
      <c r="AE70" t="inlineStr">
        <is>
          <t>15.88-0-1-ERW 1-PE-1</t>
        </is>
      </c>
      <c r="AF70" t="n">
        <v>0.36677712</v>
      </c>
    </row>
    <row r="71">
      <c r="A71" s="56" t="n">
        <v>1940241</v>
      </c>
      <c r="B71" s="56" t="inlineStr">
        <is>
          <t>TUB-O-O-AUT-AW-PE-19.05X1.600X0.4350</t>
        </is>
      </c>
      <c r="C71" s="56" t="inlineStr">
        <is>
          <t>PV24030103</t>
        </is>
      </c>
      <c r="D71" s="57" t="n">
        <v>599.2430000000001</v>
      </c>
      <c r="E71" s="57" t="n">
        <v>179.773</v>
      </c>
      <c r="F71" s="57" t="n">
        <v>0.179773</v>
      </c>
      <c r="G71" s="56" t="inlineStr">
        <is>
          <t>KG</t>
        </is>
      </c>
      <c r="H71" s="56" t="inlineStr">
        <is>
          <t>R001</t>
        </is>
      </c>
      <c r="I71" s="56" t="inlineStr">
        <is>
          <t>0789</t>
        </is>
      </c>
      <c r="J71" s="56" t="inlineStr"/>
      <c r="K71" s="57" t="n">
        <v>260.994</v>
      </c>
      <c r="L71" s="56" t="inlineStr"/>
      <c r="M71" s="56" t="inlineStr">
        <is>
          <t>0</t>
        </is>
      </c>
      <c r="N71" s="56" t="inlineStr">
        <is>
          <t>FREE STOCK</t>
        </is>
      </c>
      <c r="O71" s="58" t="n">
        <v>262</v>
      </c>
      <c r="P71" s="59" t="inlineStr">
        <is>
          <t>ABOVE 90</t>
        </is>
      </c>
      <c r="Q71" s="56" t="inlineStr">
        <is>
          <t>Free Stock</t>
        </is>
      </c>
      <c r="U71" s="586" t="n">
        <v>111116480</v>
      </c>
      <c r="V71" t="n">
        <v>15.88</v>
      </c>
      <c r="W71" t="n">
        <v>0</v>
      </c>
      <c r="X71" t="n">
        <v>1</v>
      </c>
      <c r="Y71" t="n">
        <v>5.87</v>
      </c>
      <c r="Z71" t="inlineStr">
        <is>
          <t>WG</t>
        </is>
      </c>
      <c r="AA71" t="inlineStr">
        <is>
          <t>PE</t>
        </is>
      </c>
      <c r="AB71" t="inlineStr">
        <is>
          <t>AW</t>
        </is>
      </c>
      <c r="AC71" t="inlineStr">
        <is>
          <t>15.88-0-1-ERW 1-PE</t>
        </is>
      </c>
      <c r="AD71" t="inlineStr">
        <is>
          <t>LL</t>
        </is>
      </c>
      <c r="AE71" t="inlineStr">
        <is>
          <t>15.88-0-1-ERW 1-PE-1</t>
        </is>
      </c>
      <c r="AF71" t="n">
        <v>0.36677712</v>
      </c>
    </row>
    <row r="72">
      <c r="A72" s="56" t="n">
        <v>1940247</v>
      </c>
      <c r="B72" s="56" t="inlineStr">
        <is>
          <t>TUB-O-O-AUT-AW-PE-19.05X1.600X0.5950</t>
        </is>
      </c>
      <c r="C72" s="56" t="inlineStr">
        <is>
          <t>4C31H40838</t>
        </is>
      </c>
      <c r="D72" s="57" t="n">
        <v>2226.78</v>
      </c>
      <c r="E72" s="57" t="n">
        <v>912.98</v>
      </c>
      <c r="F72" s="57" t="n">
        <v>0.91298</v>
      </c>
      <c r="G72" s="56" t="inlineStr">
        <is>
          <t>KG</t>
        </is>
      </c>
      <c r="H72" s="56" t="inlineStr">
        <is>
          <t>R001</t>
        </is>
      </c>
      <c r="I72" s="56" t="inlineStr">
        <is>
          <t>0789</t>
        </is>
      </c>
      <c r="J72" s="56" t="inlineStr">
        <is>
          <t>5050</t>
        </is>
      </c>
      <c r="K72" s="57" t="n">
        <v>1325.465</v>
      </c>
      <c r="L72" s="56" t="inlineStr">
        <is>
          <t>9518314387/ 5</t>
        </is>
      </c>
      <c r="M72" s="56" t="inlineStr">
        <is>
          <t>5</t>
        </is>
      </c>
      <c r="N72" s="56" t="inlineStr">
        <is>
          <t>SANDHAR ENGINEERING PVT LTD.(KA) -U</t>
        </is>
      </c>
      <c r="O72" s="58" t="n">
        <v>13</v>
      </c>
      <c r="P72" s="59" t="inlineStr">
        <is>
          <t>0-30</t>
        </is>
      </c>
      <c r="Q72" s="56" t="inlineStr">
        <is>
          <t>Jitendra Kumar Sharma</t>
        </is>
      </c>
      <c r="U72" s="585" t="n">
        <v>1931385</v>
      </c>
      <c r="V72" t="n">
        <v>15.88</v>
      </c>
      <c r="W72" t="n">
        <v>0</v>
      </c>
      <c r="X72" t="n">
        <v>1</v>
      </c>
      <c r="Y72" t="n">
        <v>6</v>
      </c>
      <c r="Z72" t="inlineStr">
        <is>
          <t>D</t>
        </is>
      </c>
      <c r="AA72" t="inlineStr">
        <is>
          <t>PE</t>
        </is>
      </c>
      <c r="AB72" t="inlineStr">
        <is>
          <t>AW</t>
        </is>
      </c>
      <c r="AC72" t="inlineStr">
        <is>
          <t>15.88-0-1-ERW 1-PE</t>
        </is>
      </c>
      <c r="AD72" t="inlineStr">
        <is>
          <t>LL</t>
        </is>
      </c>
      <c r="AE72" t="inlineStr">
        <is>
          <t>15.88-0-1-ERW 1-PE-1</t>
        </is>
      </c>
      <c r="AF72" t="n">
        <v>0.36677712</v>
      </c>
    </row>
    <row r="73">
      <c r="A73" s="56" t="n">
        <v>1940262</v>
      </c>
      <c r="B73" s="56" t="inlineStr">
        <is>
          <t>TUB-O-O-AUT-AW-PE-19.05X2.000X0.1040</t>
        </is>
      </c>
      <c r="C73" s="56" t="inlineStr">
        <is>
          <t>4C31H40832</t>
        </is>
      </c>
      <c r="D73" s="57" t="n">
        <v>3942.529</v>
      </c>
      <c r="E73" s="58" t="n">
        <v>343</v>
      </c>
      <c r="F73" s="57" t="n">
        <v>0.343</v>
      </c>
      <c r="G73" s="56" t="inlineStr">
        <is>
          <t>KG</t>
        </is>
      </c>
      <c r="H73" s="56" t="inlineStr">
        <is>
          <t>R001</t>
        </is>
      </c>
      <c r="I73" s="56" t="inlineStr">
        <is>
          <t>0789</t>
        </is>
      </c>
      <c r="J73" s="56" t="inlineStr">
        <is>
          <t>3930</t>
        </is>
      </c>
      <c r="K73" s="57" t="n">
        <v>407.751</v>
      </c>
      <c r="L73" s="56" t="inlineStr">
        <is>
          <t>9518315138/ 1</t>
        </is>
      </c>
      <c r="M73" s="56" t="inlineStr">
        <is>
          <t>1</t>
        </is>
      </c>
      <c r="N73" s="56" t="inlineStr">
        <is>
          <t>SRIKAM HITECH ENGINEERING PRIVATE L</t>
        </is>
      </c>
      <c r="O73" s="58" t="n">
        <v>5</v>
      </c>
      <c r="P73" s="59" t="inlineStr">
        <is>
          <t>0-30</t>
        </is>
      </c>
      <c r="Q73" s="56" t="inlineStr">
        <is>
          <t>Apoorv</t>
        </is>
      </c>
      <c r="U73" s="585" t="n">
        <v>1940026</v>
      </c>
      <c r="V73" t="n">
        <v>15.88</v>
      </c>
      <c r="W73" t="n">
        <v>0</v>
      </c>
      <c r="X73" t="n">
        <v>1</v>
      </c>
      <c r="Y73" t="n">
        <v>6</v>
      </c>
      <c r="Z73" t="inlineStr">
        <is>
          <t>WG</t>
        </is>
      </c>
      <c r="AA73" t="inlineStr">
        <is>
          <t>PE</t>
        </is>
      </c>
      <c r="AB73" t="inlineStr">
        <is>
          <t>AW</t>
        </is>
      </c>
      <c r="AC73" t="inlineStr">
        <is>
          <t>15.88-0-1-ERW 1-PE</t>
        </is>
      </c>
      <c r="AD73" t="inlineStr">
        <is>
          <t>LL</t>
        </is>
      </c>
      <c r="AE73" t="inlineStr">
        <is>
          <t>15.88-0-1-ERW 1-PE-1</t>
        </is>
      </c>
      <c r="AF73" t="n">
        <v>0.36677712</v>
      </c>
    </row>
    <row r="74">
      <c r="A74" s="56" t="n">
        <v>1940262</v>
      </c>
      <c r="B74" s="56" t="inlineStr">
        <is>
          <t>TUB-O-O-AUT-AW-PE-19.05X2.000X0.1040</t>
        </is>
      </c>
      <c r="C74" s="56" t="inlineStr">
        <is>
          <t>4C30H40801</t>
        </is>
      </c>
      <c r="D74" s="57" t="n">
        <v>2607.839</v>
      </c>
      <c r="E74" s="57" t="n">
        <v>226.882</v>
      </c>
      <c r="F74" s="57" t="n">
        <v>0.226882</v>
      </c>
      <c r="G74" s="56" t="inlineStr">
        <is>
          <t>KG</t>
        </is>
      </c>
      <c r="H74" s="56" t="inlineStr">
        <is>
          <t>R001</t>
        </is>
      </c>
      <c r="I74" s="56" t="inlineStr">
        <is>
          <t>0789</t>
        </is>
      </c>
      <c r="J74" s="56" t="inlineStr">
        <is>
          <t>6284</t>
        </is>
      </c>
      <c r="K74" s="57" t="n">
        <v>269.712</v>
      </c>
      <c r="L74" s="56" t="inlineStr">
        <is>
          <t>9518390450/ 14</t>
        </is>
      </c>
      <c r="M74" s="56" t="inlineStr">
        <is>
          <t>14</t>
        </is>
      </c>
      <c r="N74" s="56" t="inlineStr">
        <is>
          <t>SRIKAM HITECH ENGINEERING PRIVATE L</t>
        </is>
      </c>
      <c r="O74" s="58" t="n">
        <v>14</v>
      </c>
      <c r="P74" s="59" t="inlineStr">
        <is>
          <t>0-30</t>
        </is>
      </c>
      <c r="Q74" s="56" t="inlineStr">
        <is>
          <t>Apoorv</t>
        </is>
      </c>
      <c r="U74" t="n">
        <v>3701633</v>
      </c>
      <c r="V74" t="n">
        <v>15.88</v>
      </c>
      <c r="W74" t="n">
        <v>0</v>
      </c>
      <c r="X74" t="n">
        <v>1</v>
      </c>
      <c r="Y74" t="n">
        <v>6</v>
      </c>
      <c r="Z74" t="inlineStr">
        <is>
          <t>WG</t>
        </is>
      </c>
      <c r="AA74" t="inlineStr">
        <is>
          <t>PE</t>
        </is>
      </c>
      <c r="AB74" t="inlineStr">
        <is>
          <t>AW</t>
        </is>
      </c>
      <c r="AC74" t="inlineStr">
        <is>
          <t>15.88-0-1-ERW 1-PE</t>
        </is>
      </c>
      <c r="AD74" t="inlineStr">
        <is>
          <t>LL</t>
        </is>
      </c>
      <c r="AE74" t="inlineStr">
        <is>
          <t>15.88-0-1-ERW 1-PE-1</t>
        </is>
      </c>
      <c r="AF74" t="n">
        <v>0.36677712</v>
      </c>
    </row>
    <row r="75">
      <c r="A75" s="56" t="n">
        <v>1940273</v>
      </c>
      <c r="B75" s="56" t="inlineStr">
        <is>
          <t>TUB-O-O-AUT-AW-PE-19.05X2.000X0.3190</t>
        </is>
      </c>
      <c r="C75" s="56" t="inlineStr">
        <is>
          <t>PV24030037</t>
        </is>
      </c>
      <c r="D75" s="57" t="n">
        <v>801.067</v>
      </c>
      <c r="E75" s="57" t="n">
        <v>214.686</v>
      </c>
      <c r="F75" s="57" t="n">
        <v>0.214686</v>
      </c>
      <c r="G75" s="56" t="inlineStr">
        <is>
          <t>KG</t>
        </is>
      </c>
      <c r="H75" s="56" t="inlineStr">
        <is>
          <t>R001</t>
        </is>
      </c>
      <c r="I75" s="56" t="inlineStr">
        <is>
          <t>0789</t>
        </is>
      </c>
      <c r="J75" s="56" t="inlineStr"/>
      <c r="K75" s="57" t="n">
        <v>255.214</v>
      </c>
      <c r="L75" s="56" t="inlineStr"/>
      <c r="M75" s="56" t="inlineStr">
        <is>
          <t>0</t>
        </is>
      </c>
      <c r="N75" s="56" t="inlineStr">
        <is>
          <t>FREE STOCK</t>
        </is>
      </c>
      <c r="O75" s="58" t="n">
        <v>262</v>
      </c>
      <c r="P75" s="59" t="inlineStr">
        <is>
          <t>ABOVE 90</t>
        </is>
      </c>
      <c r="Q75" s="56" t="inlineStr">
        <is>
          <t>Free Stock</t>
        </is>
      </c>
      <c r="U75" s="585" t="n">
        <v>1940027</v>
      </c>
      <c r="V75" t="n">
        <v>15.88</v>
      </c>
      <c r="W75" t="n">
        <v>0</v>
      </c>
      <c r="X75" t="n">
        <v>1</v>
      </c>
      <c r="Y75" t="n">
        <v>6.19</v>
      </c>
      <c r="Z75" t="inlineStr">
        <is>
          <t>WG</t>
        </is>
      </c>
      <c r="AA75" t="inlineStr">
        <is>
          <t>PE</t>
        </is>
      </c>
      <c r="AB75" t="inlineStr">
        <is>
          <t>AW</t>
        </is>
      </c>
      <c r="AC75" t="inlineStr">
        <is>
          <t>15.88-0-1-ERW 1-PE</t>
        </is>
      </c>
      <c r="AD75" t="inlineStr">
        <is>
          <t>LL</t>
        </is>
      </c>
      <c r="AE75" t="inlineStr">
        <is>
          <t>15.88-0-1-ERW 1-PE-1</t>
        </is>
      </c>
      <c r="AF75" t="n">
        <v>0.36677712</v>
      </c>
    </row>
    <row r="76">
      <c r="A76" s="56" t="n">
        <v>1940292</v>
      </c>
      <c r="B76" s="56" t="inlineStr">
        <is>
          <t>TUB-O-O-AUT-AW-PE-19.05X2.000X5.8000</t>
        </is>
      </c>
      <c r="C76" s="56" t="inlineStr">
        <is>
          <t>4A15H35393</t>
        </is>
      </c>
      <c r="D76" s="57" t="n">
        <v>92.84699999999999</v>
      </c>
      <c r="E76" s="58" t="n">
        <v>453</v>
      </c>
      <c r="F76" s="57" t="n">
        <v>0.453</v>
      </c>
      <c r="G76" s="56" t="inlineStr">
        <is>
          <t>KG</t>
        </is>
      </c>
      <c r="H76" s="56" t="inlineStr">
        <is>
          <t>R001</t>
        </is>
      </c>
      <c r="I76" s="56" t="inlineStr">
        <is>
          <t>0789</t>
        </is>
      </c>
      <c r="J76" s="56" t="inlineStr">
        <is>
          <t>93</t>
        </is>
      </c>
      <c r="K76" s="57" t="n">
        <v>538.516</v>
      </c>
      <c r="L76" s="56" t="inlineStr"/>
      <c r="M76" s="56" t="inlineStr">
        <is>
          <t>0</t>
        </is>
      </c>
      <c r="N76" s="56" t="inlineStr">
        <is>
          <t>SRIKAM HITECH ENGINEERING PRIVATE L</t>
        </is>
      </c>
      <c r="O76" s="58" t="n">
        <v>40</v>
      </c>
      <c r="P76" s="59" t="inlineStr">
        <is>
          <t>31-60</t>
        </is>
      </c>
      <c r="Q76" s="56" t="inlineStr">
        <is>
          <t>Apoorv</t>
        </is>
      </c>
      <c r="U76" s="586" t="n">
        <v>111106836</v>
      </c>
      <c r="V76" t="n">
        <v>15.88</v>
      </c>
      <c r="W76" t="n">
        <v>0</v>
      </c>
      <c r="X76" t="n">
        <v>1</v>
      </c>
      <c r="Y76" t="n">
        <v>6.5</v>
      </c>
      <c r="Z76" t="inlineStr">
        <is>
          <t>WG</t>
        </is>
      </c>
      <c r="AA76" t="inlineStr">
        <is>
          <t>PE</t>
        </is>
      </c>
      <c r="AB76" t="inlineStr">
        <is>
          <t>AW</t>
        </is>
      </c>
      <c r="AC76" t="inlineStr">
        <is>
          <t>15.88-0-1-ERW 1-PE</t>
        </is>
      </c>
      <c r="AD76" t="inlineStr">
        <is>
          <t>LL</t>
        </is>
      </c>
      <c r="AE76" t="inlineStr">
        <is>
          <t>15.88-0-1-ERW 1-PE-1</t>
        </is>
      </c>
      <c r="AF76" t="n">
        <v>0.36677712</v>
      </c>
    </row>
    <row r="77">
      <c r="A77" s="56" t="n">
        <v>1940292</v>
      </c>
      <c r="B77" s="56" t="inlineStr">
        <is>
          <t>TUB-O-O-AUT-AW-PE-19.05X2.000X5.8000</t>
        </is>
      </c>
      <c r="C77" s="56" t="inlineStr">
        <is>
          <t>4A30H36682</t>
        </is>
      </c>
      <c r="D77" s="57" t="n">
        <v>41.607</v>
      </c>
      <c r="E77" s="58" t="n">
        <v>203</v>
      </c>
      <c r="F77" s="57" t="n">
        <v>0.203</v>
      </c>
      <c r="G77" s="56" t="inlineStr">
        <is>
          <t>KG</t>
        </is>
      </c>
      <c r="H77" s="56" t="inlineStr">
        <is>
          <t>R001</t>
        </is>
      </c>
      <c r="I77" s="56" t="inlineStr">
        <is>
          <t>0789</t>
        </is>
      </c>
      <c r="J77" s="56" t="inlineStr">
        <is>
          <t>260</t>
        </is>
      </c>
      <c r="K77" s="57" t="n">
        <v>241.322</v>
      </c>
      <c r="L77" s="56" t="inlineStr"/>
      <c r="M77" s="56" t="inlineStr">
        <is>
          <t>0</t>
        </is>
      </c>
      <c r="N77" s="56" t="inlineStr">
        <is>
          <t>SRIKAM HITECH ENGINEERING PRIVATE L</t>
        </is>
      </c>
      <c r="O77" s="58" t="n">
        <v>40</v>
      </c>
      <c r="P77" s="59" t="inlineStr">
        <is>
          <t>31-60</t>
        </is>
      </c>
      <c r="Q77" s="56" t="inlineStr">
        <is>
          <t>Apoorv</t>
        </is>
      </c>
      <c r="U77" s="585" t="n">
        <v>1940034</v>
      </c>
      <c r="V77" t="n">
        <v>15.88</v>
      </c>
      <c r="W77" t="n">
        <v>0</v>
      </c>
      <c r="X77" t="n">
        <v>1.2</v>
      </c>
      <c r="Y77" t="n">
        <v>0.54</v>
      </c>
      <c r="Z77" t="inlineStr">
        <is>
          <t>WG</t>
        </is>
      </c>
      <c r="AA77" t="inlineStr">
        <is>
          <t>PE</t>
        </is>
      </c>
      <c r="AB77" t="inlineStr">
        <is>
          <t>AW</t>
        </is>
      </c>
      <c r="AC77" t="inlineStr">
        <is>
          <t>15.88-0-1.2-ERW 1-PE</t>
        </is>
      </c>
      <c r="AD77" t="inlineStr">
        <is>
          <t>CTL</t>
        </is>
      </c>
      <c r="AE77" t="inlineStr">
        <is>
          <t>15.88-0-1.2-ERW 1-PE-0.54</t>
        </is>
      </c>
      <c r="AF77" t="n">
        <v>0.23447706336</v>
      </c>
    </row>
    <row r="78">
      <c r="A78" s="56" t="n">
        <v>1940299</v>
      </c>
      <c r="B78" s="56" t="inlineStr">
        <is>
          <t>TUB-O-O-AUT-AW-PE-19.05X2.000X6.2000</t>
        </is>
      </c>
      <c r="C78" s="56" t="inlineStr">
        <is>
          <t>4B30H38947</t>
        </is>
      </c>
      <c r="D78" s="57" t="n">
        <v>49.271</v>
      </c>
      <c r="E78" s="58" t="n">
        <v>257</v>
      </c>
      <c r="F78" s="57" t="n">
        <v>0.257</v>
      </c>
      <c r="G78" s="56" t="inlineStr">
        <is>
          <t>KG</t>
        </is>
      </c>
      <c r="H78" s="56" t="inlineStr">
        <is>
          <t>R001</t>
        </is>
      </c>
      <c r="I78" s="56" t="inlineStr">
        <is>
          <t>0789</t>
        </is>
      </c>
      <c r="J78" s="56" t="inlineStr">
        <is>
          <t>300</t>
        </is>
      </c>
      <c r="K78" s="57" t="n">
        <v>305.516</v>
      </c>
      <c r="L78" s="56" t="inlineStr"/>
      <c r="M78" s="56" t="inlineStr">
        <is>
          <t>0</t>
        </is>
      </c>
      <c r="N78" s="56" t="inlineStr">
        <is>
          <t>SRIKAM HITECH ENGINEERING PRIVATE L</t>
        </is>
      </c>
      <c r="O78" s="58" t="n">
        <v>40</v>
      </c>
      <c r="P78" s="59" t="inlineStr">
        <is>
          <t>31-60</t>
        </is>
      </c>
      <c r="Q78" s="56" t="inlineStr">
        <is>
          <t>Apoorv</t>
        </is>
      </c>
      <c r="U78" s="585" t="n">
        <v>1940038</v>
      </c>
      <c r="V78" t="n">
        <v>15.88</v>
      </c>
      <c r="W78" t="n">
        <v>0</v>
      </c>
      <c r="X78" t="n">
        <v>1.2</v>
      </c>
      <c r="Y78" t="n">
        <v>0.68</v>
      </c>
      <c r="Z78" t="inlineStr">
        <is>
          <t>WG</t>
        </is>
      </c>
      <c r="AA78" t="inlineStr">
        <is>
          <t>PE</t>
        </is>
      </c>
      <c r="AB78" t="inlineStr">
        <is>
          <t>AW</t>
        </is>
      </c>
      <c r="AC78" t="inlineStr">
        <is>
          <t>15.88-0-1.2-ERW 1-PE</t>
        </is>
      </c>
      <c r="AD78" t="inlineStr">
        <is>
          <t>CTL</t>
        </is>
      </c>
      <c r="AE78" t="inlineStr">
        <is>
          <t>15.88-0-1.2-ERW 1-PE-0.68</t>
        </is>
      </c>
      <c r="AF78" t="n">
        <v>0.29526741312</v>
      </c>
    </row>
    <row r="79">
      <c r="A79" s="56" t="n">
        <v>1940306</v>
      </c>
      <c r="B79" s="56" t="inlineStr">
        <is>
          <t>TUB-O-O-AUT-AW-PE-19.05X2.300X0.2360</t>
        </is>
      </c>
      <c r="C79" s="56" t="inlineStr">
        <is>
          <t>4B30H38933</t>
        </is>
      </c>
      <c r="D79" s="57" t="n">
        <v>6209.821</v>
      </c>
      <c r="E79" s="58" t="n">
        <v>1391</v>
      </c>
      <c r="F79" s="57" t="n">
        <v>1.391</v>
      </c>
      <c r="G79" s="56" t="inlineStr">
        <is>
          <t>KG</t>
        </is>
      </c>
      <c r="H79" s="56" t="inlineStr">
        <is>
          <t>R001</t>
        </is>
      </c>
      <c r="I79" s="56" t="inlineStr">
        <is>
          <t>0789</t>
        </is>
      </c>
      <c r="J79" s="56" t="inlineStr">
        <is>
          <t>6200</t>
        </is>
      </c>
      <c r="K79" s="57" t="n">
        <v>1463.594</v>
      </c>
      <c r="L79" s="56" t="inlineStr">
        <is>
          <t>9518390450/ 16</t>
        </is>
      </c>
      <c r="M79" s="56" t="inlineStr">
        <is>
          <t>16</t>
        </is>
      </c>
      <c r="N79" s="56" t="inlineStr">
        <is>
          <t>SRIKAM HITECH ENGINEERING PRIVATE L</t>
        </is>
      </c>
      <c r="O79" s="58" t="n">
        <v>26</v>
      </c>
      <c r="P79" s="59" t="inlineStr">
        <is>
          <t>0-30</t>
        </is>
      </c>
      <c r="Q79" s="56" t="inlineStr">
        <is>
          <t>Apoorv</t>
        </is>
      </c>
      <c r="U79" s="585" t="n">
        <v>4241099</v>
      </c>
      <c r="V79" t="n">
        <v>15.88</v>
      </c>
      <c r="W79" t="n">
        <v>0</v>
      </c>
      <c r="X79" t="n">
        <v>1.2</v>
      </c>
      <c r="Y79" t="n">
        <v>0.73</v>
      </c>
      <c r="Z79" t="inlineStr">
        <is>
          <t>GR1</t>
        </is>
      </c>
      <c r="AA79" t="inlineStr">
        <is>
          <t>PE</t>
        </is>
      </c>
      <c r="AB79" t="inlineStr">
        <is>
          <t>AW</t>
        </is>
      </c>
      <c r="AC79" t="inlineStr">
        <is>
          <t>15.88-0-1.2-ERW 1-PE</t>
        </is>
      </c>
      <c r="AD79" t="inlineStr">
        <is>
          <t>CTL</t>
        </is>
      </c>
      <c r="AF79" t="n">
        <v>0.31697825232</v>
      </c>
    </row>
    <row r="80">
      <c r="A80" s="56" t="n">
        <v>1940309</v>
      </c>
      <c r="B80" s="56" t="inlineStr">
        <is>
          <t>TUB-O-O-AUT-AW-PE-19.05X2.300X0.2650</t>
        </is>
      </c>
      <c r="C80" s="56" t="inlineStr">
        <is>
          <t>4C25H40427</t>
        </is>
      </c>
      <c r="D80" s="57" t="n">
        <v>2511.254</v>
      </c>
      <c r="E80" s="57" t="n">
        <v>632.836</v>
      </c>
      <c r="F80" s="57" t="n">
        <v>0.6328360000000001</v>
      </c>
      <c r="G80" s="56" t="inlineStr">
        <is>
          <t>KG</t>
        </is>
      </c>
      <c r="H80" s="56" t="inlineStr">
        <is>
          <t>R001</t>
        </is>
      </c>
      <c r="I80" s="56" t="inlineStr">
        <is>
          <t>0789</t>
        </is>
      </c>
      <c r="J80" s="56" t="inlineStr">
        <is>
          <t>3720</t>
        </is>
      </c>
      <c r="K80" s="57" t="n">
        <v>665.8630000000001</v>
      </c>
      <c r="L80" s="56" t="inlineStr">
        <is>
          <t>9518390450/ 18</t>
        </is>
      </c>
      <c r="M80" s="56" t="inlineStr">
        <is>
          <t>18</t>
        </is>
      </c>
      <c r="N80" s="56" t="inlineStr">
        <is>
          <t>SRIKAM HITECH ENGINEERING PRIVATE L</t>
        </is>
      </c>
      <c r="O80" s="58" t="n">
        <v>19</v>
      </c>
      <c r="P80" s="59" t="inlineStr">
        <is>
          <t>0-30</t>
        </is>
      </c>
      <c r="Q80" s="56" t="inlineStr">
        <is>
          <t>Apoorv</t>
        </is>
      </c>
      <c r="U80" s="585" t="n">
        <v>3715199</v>
      </c>
      <c r="V80" t="n">
        <v>15.88</v>
      </c>
      <c r="W80" t="n">
        <v>0</v>
      </c>
      <c r="X80" t="n">
        <v>1.2</v>
      </c>
      <c r="Y80" t="n">
        <v>0.755</v>
      </c>
      <c r="Z80" t="inlineStr">
        <is>
          <t>WG</t>
        </is>
      </c>
      <c r="AA80" t="inlineStr">
        <is>
          <t>PE</t>
        </is>
      </c>
      <c r="AB80" t="inlineStr">
        <is>
          <t>AW</t>
        </is>
      </c>
      <c r="AC80" t="inlineStr">
        <is>
          <t>15.88-0-1.2-ERW 1-PE</t>
        </is>
      </c>
      <c r="AD80" t="inlineStr">
        <is>
          <t>CTL</t>
        </is>
      </c>
      <c r="AE80" t="inlineStr">
        <is>
          <t>15.88-0-1.2-ERW 1-PE-0.755</t>
        </is>
      </c>
      <c r="AF80" t="n">
        <v>0.32783367192</v>
      </c>
    </row>
    <row r="81">
      <c r="A81" s="56" t="n">
        <v>1940309</v>
      </c>
      <c r="B81" s="56" t="inlineStr">
        <is>
          <t>TUB-O-O-AUT-AW-PE-19.05X2.300X0.2650</t>
        </is>
      </c>
      <c r="C81" s="56" t="inlineStr">
        <is>
          <t>4C26H40486</t>
        </is>
      </c>
      <c r="D81" s="57" t="n">
        <v>2349.206</v>
      </c>
      <c r="E81" s="58" t="n">
        <v>592</v>
      </c>
      <c r="F81" s="57" t="n">
        <v>0.592</v>
      </c>
      <c r="G81" s="56" t="inlineStr">
        <is>
          <t>KG</t>
        </is>
      </c>
      <c r="H81" s="56" t="inlineStr">
        <is>
          <t>R001</t>
        </is>
      </c>
      <c r="I81" s="56" t="inlineStr">
        <is>
          <t>0789</t>
        </is>
      </c>
      <c r="J81" s="56" t="inlineStr">
        <is>
          <t>2350</t>
        </is>
      </c>
      <c r="K81" s="57" t="n">
        <v>622.896</v>
      </c>
      <c r="L81" s="56" t="inlineStr">
        <is>
          <t>9518390450/ 18</t>
        </is>
      </c>
      <c r="M81" s="56" t="inlineStr">
        <is>
          <t>18</t>
        </is>
      </c>
      <c r="N81" s="56" t="inlineStr">
        <is>
          <t>SRIKAM HITECH ENGINEERING PRIVATE L</t>
        </is>
      </c>
      <c r="O81" s="58" t="n">
        <v>18</v>
      </c>
      <c r="P81" s="59" t="inlineStr">
        <is>
          <t>0-30</t>
        </is>
      </c>
      <c r="Q81" s="56" t="inlineStr">
        <is>
          <t>Apoorv</t>
        </is>
      </c>
      <c r="U81" s="585" t="n">
        <v>2409610</v>
      </c>
      <c r="V81" t="n">
        <v>15.88</v>
      </c>
      <c r="W81" t="n">
        <v>0</v>
      </c>
      <c r="X81" t="n">
        <v>1.2</v>
      </c>
      <c r="Y81" t="n">
        <v>0.755</v>
      </c>
      <c r="Z81" t="inlineStr">
        <is>
          <t>WG</t>
        </is>
      </c>
      <c r="AA81" t="inlineStr">
        <is>
          <t>PE</t>
        </is>
      </c>
      <c r="AB81" t="inlineStr">
        <is>
          <t>AW</t>
        </is>
      </c>
      <c r="AC81" t="inlineStr">
        <is>
          <t>15.88-0-1.2-ERW 1-PE</t>
        </is>
      </c>
      <c r="AD81" t="inlineStr">
        <is>
          <t>CTL</t>
        </is>
      </c>
      <c r="AE81" t="inlineStr">
        <is>
          <t>15.88-0-1.2-ERW 1-PE-0.755</t>
        </is>
      </c>
      <c r="AF81" t="n">
        <v>0.32783367192</v>
      </c>
    </row>
    <row r="82">
      <c r="A82" s="56" t="n">
        <v>1940312</v>
      </c>
      <c r="B82" s="56" t="inlineStr">
        <is>
          <t>TUB-O-O-AUT-AW-PE-19.05X2.300X0.2950</t>
        </is>
      </c>
      <c r="C82" s="56" t="inlineStr">
        <is>
          <t>4A30H36678</t>
        </is>
      </c>
      <c r="D82" s="57" t="n">
        <v>982.143</v>
      </c>
      <c r="E82" s="58" t="n">
        <v>275</v>
      </c>
      <c r="F82" s="57" t="n">
        <v>0.275</v>
      </c>
      <c r="G82" s="56" t="inlineStr">
        <is>
          <t>KG</t>
        </is>
      </c>
      <c r="H82" s="56" t="inlineStr">
        <is>
          <t>R001</t>
        </is>
      </c>
      <c r="I82" s="56" t="inlineStr">
        <is>
          <t>0789</t>
        </is>
      </c>
      <c r="J82" s="56" t="inlineStr">
        <is>
          <t>980</t>
        </is>
      </c>
      <c r="K82" s="57" t="n">
        <v>289.352</v>
      </c>
      <c r="L82" s="56" t="inlineStr">
        <is>
          <t>9518390450/ 19</t>
        </is>
      </c>
      <c r="M82" s="56" t="inlineStr">
        <is>
          <t>19</t>
        </is>
      </c>
      <c r="N82" s="56" t="inlineStr">
        <is>
          <t>SRIKAM HITECH ENGINEERING PRIVATE L</t>
        </is>
      </c>
      <c r="O82" s="58" t="n">
        <v>16</v>
      </c>
      <c r="P82" s="59" t="inlineStr">
        <is>
          <t>0-30</t>
        </is>
      </c>
      <c r="Q82" s="56" t="inlineStr">
        <is>
          <t>Apoorv</t>
        </is>
      </c>
      <c r="U82" s="585" t="n">
        <v>1940043</v>
      </c>
      <c r="V82" t="n">
        <v>15.88</v>
      </c>
      <c r="W82" t="n">
        <v>0</v>
      </c>
      <c r="X82" t="n">
        <v>1.2</v>
      </c>
      <c r="Y82" t="n">
        <v>0.888</v>
      </c>
      <c r="Z82" t="inlineStr">
        <is>
          <t>WG</t>
        </is>
      </c>
      <c r="AA82" t="inlineStr">
        <is>
          <t>PE</t>
        </is>
      </c>
      <c r="AB82" t="inlineStr">
        <is>
          <t>AW</t>
        </is>
      </c>
      <c r="AC82" t="inlineStr">
        <is>
          <t>15.88-0-1.2-ERW 1-PE</t>
        </is>
      </c>
      <c r="AD82" t="inlineStr">
        <is>
          <t>CTL</t>
        </is>
      </c>
      <c r="AE82" t="inlineStr">
        <is>
          <t>15.88-0-1.2-ERW 1-PE-0.888</t>
        </is>
      </c>
      <c r="AF82" t="n">
        <v>0.385584504192</v>
      </c>
    </row>
    <row r="83">
      <c r="A83" s="56" t="n">
        <v>1940312</v>
      </c>
      <c r="B83" s="56" t="inlineStr">
        <is>
          <t>TUB-O-O-AUT-AW-PE-19.05X2.300X0.2950</t>
        </is>
      </c>
      <c r="C83" s="56" t="inlineStr">
        <is>
          <t>4C28H40708</t>
        </is>
      </c>
      <c r="D83" s="57" t="n">
        <v>653.571</v>
      </c>
      <c r="E83" s="58" t="n">
        <v>183</v>
      </c>
      <c r="F83" s="57" t="n">
        <v>0.183</v>
      </c>
      <c r="G83" s="56" t="inlineStr">
        <is>
          <t>KG</t>
        </is>
      </c>
      <c r="H83" s="56" t="inlineStr">
        <is>
          <t>R001</t>
        </is>
      </c>
      <c r="I83" s="56" t="inlineStr">
        <is>
          <t>0789</t>
        </is>
      </c>
      <c r="J83" s="56" t="inlineStr">
        <is>
          <t>2650</t>
        </is>
      </c>
      <c r="K83" s="57" t="n">
        <v>192.551</v>
      </c>
      <c r="L83" s="56" t="inlineStr">
        <is>
          <t>9518390450/ 19</t>
        </is>
      </c>
      <c r="M83" s="56" t="inlineStr">
        <is>
          <t>19</t>
        </is>
      </c>
      <c r="N83" s="56" t="inlineStr">
        <is>
          <t>SRIKAM HITECH ENGINEERING PRIVATE L</t>
        </is>
      </c>
      <c r="O83" s="58" t="n">
        <v>16</v>
      </c>
      <c r="P83" s="59" t="inlineStr">
        <is>
          <t>0-30</t>
        </is>
      </c>
      <c r="Q83" s="56" t="inlineStr">
        <is>
          <t>Apoorv</t>
        </is>
      </c>
      <c r="U83" s="585" t="n">
        <v>1940045</v>
      </c>
      <c r="V83" t="n">
        <v>15.88</v>
      </c>
      <c r="W83" t="n">
        <v>0</v>
      </c>
      <c r="X83" t="n">
        <v>1.2</v>
      </c>
      <c r="Y83" t="n">
        <v>1.13</v>
      </c>
      <c r="Z83" t="inlineStr">
        <is>
          <t>WG</t>
        </is>
      </c>
      <c r="AA83" t="inlineStr">
        <is>
          <t>PE</t>
        </is>
      </c>
      <c r="AB83" t="inlineStr">
        <is>
          <t>AW</t>
        </is>
      </c>
      <c r="AC83" t="inlineStr">
        <is>
          <t>15.88-0-1.2-ERW 1-PE</t>
        </is>
      </c>
      <c r="AD83" t="inlineStr">
        <is>
          <t>CTL</t>
        </is>
      </c>
      <c r="AE83" t="inlineStr">
        <is>
          <t>15.88-0-1.2-ERW 1-PE-1.13</t>
        </is>
      </c>
      <c r="AF83" t="n">
        <v>0.49066496592</v>
      </c>
    </row>
    <row r="84">
      <c r="A84" s="56" t="n">
        <v>1940312</v>
      </c>
      <c r="B84" s="56" t="inlineStr">
        <is>
          <t>TUB-O-O-AUT-AW-PE-19.05X2.300X0.2950</t>
        </is>
      </c>
      <c r="C84" s="56" t="inlineStr">
        <is>
          <t>4C28H40708</t>
        </is>
      </c>
      <c r="D84" s="57" t="n">
        <v>2000</v>
      </c>
      <c r="E84" s="58" t="n">
        <v>560</v>
      </c>
      <c r="F84" s="57" t="n">
        <v>0.5600000000000001</v>
      </c>
      <c r="G84" s="56" t="inlineStr">
        <is>
          <t>KG</t>
        </is>
      </c>
      <c r="H84" s="56" t="inlineStr">
        <is>
          <t>R001</t>
        </is>
      </c>
      <c r="I84" s="56" t="inlineStr">
        <is>
          <t>0789</t>
        </is>
      </c>
      <c r="J84" s="56" t="inlineStr">
        <is>
          <t>2650</t>
        </is>
      </c>
      <c r="K84" s="57" t="n">
        <v>589.226</v>
      </c>
      <c r="L84" s="56" t="inlineStr">
        <is>
          <t>9518418795/ 6</t>
        </is>
      </c>
      <c r="M84" s="56" t="inlineStr">
        <is>
          <t>6</t>
        </is>
      </c>
      <c r="N84" s="56" t="inlineStr">
        <is>
          <t>Rucha Engineers Pvt Ltd.</t>
        </is>
      </c>
      <c r="O84" s="58" t="n">
        <v>16</v>
      </c>
      <c r="P84" s="59" t="inlineStr">
        <is>
          <t>0-30</t>
        </is>
      </c>
      <c r="Q84" s="56" t="inlineStr">
        <is>
          <t>Apoorv</t>
        </is>
      </c>
      <c r="U84" s="585" t="n">
        <v>1940046</v>
      </c>
      <c r="V84" t="n">
        <v>15.88</v>
      </c>
      <c r="W84" t="n">
        <v>0</v>
      </c>
      <c r="X84" t="n">
        <v>1.2</v>
      </c>
      <c r="Y84" t="n">
        <v>1.31</v>
      </c>
      <c r="Z84" t="inlineStr">
        <is>
          <t>WG</t>
        </is>
      </c>
      <c r="AA84" t="inlineStr">
        <is>
          <t>PE</t>
        </is>
      </c>
      <c r="AB84" t="inlineStr">
        <is>
          <t>AW</t>
        </is>
      </c>
      <c r="AC84" t="inlineStr">
        <is>
          <t>15.88-0-1.2-ERW 1-PE</t>
        </is>
      </c>
      <c r="AD84" t="inlineStr">
        <is>
          <t>CTL</t>
        </is>
      </c>
      <c r="AE84" t="inlineStr">
        <is>
          <t>15.88-0-1.2-ERW 1-PE-1.31</t>
        </is>
      </c>
      <c r="AF84" t="n">
        <v>0.56882398704</v>
      </c>
    </row>
    <row r="85">
      <c r="A85" s="56" t="n">
        <v>1940313</v>
      </c>
      <c r="B85" s="56" t="inlineStr">
        <is>
          <t>TUB-O-O-AUT-AW-PE-19.05X2.300X0.3030</t>
        </is>
      </c>
      <c r="C85" s="56" t="inlineStr">
        <is>
          <t>4715BH2110</t>
        </is>
      </c>
      <c r="D85" s="57" t="n">
        <v>277</v>
      </c>
      <c r="E85" s="57" t="n">
        <v>79.776</v>
      </c>
      <c r="F85" s="57" t="n">
        <v>0.079776</v>
      </c>
      <c r="G85" s="56" t="inlineStr">
        <is>
          <t>KG</t>
        </is>
      </c>
      <c r="H85" s="56" t="inlineStr">
        <is>
          <t>R001</t>
        </is>
      </c>
      <c r="I85" s="56" t="inlineStr">
        <is>
          <t>0789</t>
        </is>
      </c>
      <c r="J85" s="56" t="inlineStr">
        <is>
          <t>5430</t>
        </is>
      </c>
      <c r="K85" s="57" t="n">
        <v>83.93899999999999</v>
      </c>
      <c r="L85" s="56" t="inlineStr">
        <is>
          <t>621291266 / 5</t>
        </is>
      </c>
      <c r="M85" s="56" t="inlineStr">
        <is>
          <t>5</t>
        </is>
      </c>
      <c r="N85" s="56" t="inlineStr">
        <is>
          <t>ELKAYEM AUTO ANCILLARIES (PVT) LTD.</t>
        </is>
      </c>
      <c r="O85" s="58" t="n">
        <v>179</v>
      </c>
      <c r="P85" s="59" t="inlineStr">
        <is>
          <t>ABOVE 90</t>
        </is>
      </c>
      <c r="Q85" s="56" t="inlineStr">
        <is>
          <t>Diwakar</t>
        </is>
      </c>
      <c r="U85" s="586" t="n">
        <v>111114034</v>
      </c>
      <c r="V85" t="n">
        <v>15.88</v>
      </c>
      <c r="W85" t="n">
        <v>0</v>
      </c>
      <c r="X85" t="n">
        <v>1.2</v>
      </c>
      <c r="Y85" t="n">
        <v>4.63</v>
      </c>
      <c r="Z85" t="inlineStr">
        <is>
          <t>WG</t>
        </is>
      </c>
      <c r="AA85" t="inlineStr">
        <is>
          <t>PE</t>
        </is>
      </c>
      <c r="AB85" t="inlineStr">
        <is>
          <t>AW</t>
        </is>
      </c>
      <c r="AC85" t="inlineStr">
        <is>
          <t>15.88-0-1.2-ERW 1-PE</t>
        </is>
      </c>
      <c r="AD85" t="inlineStr">
        <is>
          <t>LL</t>
        </is>
      </c>
      <c r="AE85" t="inlineStr">
        <is>
          <t>15.88-0-1.2-ERW 1-PE-1</t>
        </is>
      </c>
      <c r="AF85" t="n">
        <v>0.434216784</v>
      </c>
    </row>
    <row r="86">
      <c r="A86" s="56" t="n">
        <v>1940318</v>
      </c>
      <c r="B86" s="56" t="inlineStr">
        <is>
          <t>TUB-O-O-AUT-AW-PE-19.05X2.300X0.3940</t>
        </is>
      </c>
      <c r="C86" s="56" t="inlineStr">
        <is>
          <t>4B28BH2020</t>
        </is>
      </c>
      <c r="D86" s="57" t="n">
        <v>312.834</v>
      </c>
      <c r="E86" s="58" t="n">
        <v>117</v>
      </c>
      <c r="F86" s="57" t="n">
        <v>0.117</v>
      </c>
      <c r="G86" s="56" t="inlineStr">
        <is>
          <t>KG</t>
        </is>
      </c>
      <c r="H86" s="56" t="inlineStr">
        <is>
          <t>R001</t>
        </is>
      </c>
      <c r="I86" s="56" t="inlineStr">
        <is>
          <t>0789</t>
        </is>
      </c>
      <c r="J86" s="56" t="inlineStr">
        <is>
          <t>5305</t>
        </is>
      </c>
      <c r="K86" s="57" t="n">
        <v>123.106</v>
      </c>
      <c r="L86" s="56" t="inlineStr">
        <is>
          <t>9518314382/ 16</t>
        </is>
      </c>
      <c r="M86" s="56" t="inlineStr">
        <is>
          <t>16</t>
        </is>
      </c>
      <c r="N86" s="56" t="inlineStr">
        <is>
          <t>Neel Metal Products Limited</t>
        </is>
      </c>
      <c r="O86" s="58" t="n">
        <v>6</v>
      </c>
      <c r="P86" s="59" t="inlineStr">
        <is>
          <t>0-30</t>
        </is>
      </c>
      <c r="Q86" s="56" t="inlineStr">
        <is>
          <t>Apoorv</t>
        </is>
      </c>
      <c r="U86" s="586" t="n">
        <v>110102205</v>
      </c>
      <c r="V86" t="n">
        <v>15.88</v>
      </c>
      <c r="W86" t="n">
        <v>0</v>
      </c>
      <c r="X86" t="n">
        <v>1.2</v>
      </c>
      <c r="Y86" t="n">
        <v>5.32</v>
      </c>
      <c r="Z86" t="inlineStr">
        <is>
          <t>WG</t>
        </is>
      </c>
      <c r="AA86" t="inlineStr">
        <is>
          <t>PE</t>
        </is>
      </c>
      <c r="AB86" t="inlineStr">
        <is>
          <t>AW</t>
        </is>
      </c>
      <c r="AC86" t="inlineStr">
        <is>
          <t>15.88-0-1.2-ERW 1-PE</t>
        </is>
      </c>
      <c r="AD86" t="inlineStr">
        <is>
          <t>LL</t>
        </is>
      </c>
      <c r="AE86" t="inlineStr">
        <is>
          <t>15.88-0-1.2-ERW 1-PE-1</t>
        </is>
      </c>
      <c r="AF86" t="n">
        <v>0.434216784</v>
      </c>
    </row>
    <row r="87">
      <c r="A87" s="56" t="n">
        <v>1940322</v>
      </c>
      <c r="B87" s="56" t="inlineStr">
        <is>
          <t>TUB-O-O-AUT-AW-PE-19.05X2.300X0.4750</t>
        </is>
      </c>
      <c r="C87" s="56" t="inlineStr">
        <is>
          <t>PV24030112</t>
        </is>
      </c>
      <c r="D87" s="57" t="n">
        <v>1201.774</v>
      </c>
      <c r="E87" s="58" t="n">
        <v>542</v>
      </c>
      <c r="F87" s="57" t="n">
        <v>0.542</v>
      </c>
      <c r="G87" s="56" t="inlineStr">
        <is>
          <t>KG</t>
        </is>
      </c>
      <c r="H87" s="56" t="inlineStr">
        <is>
          <t>R001</t>
        </is>
      </c>
      <c r="I87" s="56" t="inlineStr">
        <is>
          <t>0789</t>
        </is>
      </c>
      <c r="J87" s="56" t="inlineStr"/>
      <c r="K87" s="57" t="n">
        <v>570.2859999999999</v>
      </c>
      <c r="L87" s="56" t="inlineStr"/>
      <c r="M87" s="56" t="inlineStr">
        <is>
          <t>0</t>
        </is>
      </c>
      <c r="N87" s="56" t="inlineStr">
        <is>
          <t>FREE STOCK</t>
        </is>
      </c>
      <c r="O87" s="58" t="n">
        <v>262</v>
      </c>
      <c r="P87" s="59" t="inlineStr">
        <is>
          <t>ABOVE 90</t>
        </is>
      </c>
      <c r="Q87" s="56" t="inlineStr">
        <is>
          <t>Free Stock</t>
        </is>
      </c>
      <c r="U87" s="586" t="n">
        <v>111106837</v>
      </c>
      <c r="V87" t="n">
        <v>15.88</v>
      </c>
      <c r="W87" t="n">
        <v>0</v>
      </c>
      <c r="X87" t="n">
        <v>1.2</v>
      </c>
      <c r="Y87" t="n">
        <v>5.42</v>
      </c>
      <c r="Z87" t="inlineStr">
        <is>
          <t>WG</t>
        </is>
      </c>
      <c r="AA87" t="inlineStr">
        <is>
          <t>PE</t>
        </is>
      </c>
      <c r="AB87" t="inlineStr">
        <is>
          <t>AW</t>
        </is>
      </c>
      <c r="AC87" t="inlineStr">
        <is>
          <t>15.88-0-1.2-ERW 1-PE</t>
        </is>
      </c>
      <c r="AD87" t="inlineStr">
        <is>
          <t>LL</t>
        </is>
      </c>
      <c r="AE87" t="inlineStr">
        <is>
          <t>15.88-0-1.2-ERW 1-PE-1</t>
        </is>
      </c>
      <c r="AF87" t="n">
        <v>0.434216784</v>
      </c>
    </row>
    <row r="88">
      <c r="A88" s="56" t="n">
        <v>1940325</v>
      </c>
      <c r="B88" s="56" t="inlineStr">
        <is>
          <t>TUB-O-O-AUT-AW-PE-19.05X2.300X0.5700</t>
        </is>
      </c>
      <c r="C88" s="56" t="inlineStr">
        <is>
          <t>4C12BH2030</t>
        </is>
      </c>
      <c r="D88" s="57" t="n">
        <v>630.524</v>
      </c>
      <c r="E88" s="57" t="n">
        <v>341.744</v>
      </c>
      <c r="F88" s="57" t="n">
        <v>0.341744</v>
      </c>
      <c r="G88" s="56" t="inlineStr">
        <is>
          <t>KG</t>
        </is>
      </c>
      <c r="H88" s="56" t="inlineStr">
        <is>
          <t>R001</t>
        </is>
      </c>
      <c r="I88" s="56" t="inlineStr">
        <is>
          <t>0789</t>
        </is>
      </c>
      <c r="J88" s="56" t="inlineStr">
        <is>
          <t>1900</t>
        </is>
      </c>
      <c r="K88" s="57" t="n">
        <v>359.579</v>
      </c>
      <c r="L88" s="56" t="inlineStr">
        <is>
          <t>9518390450/ 20</t>
        </is>
      </c>
      <c r="M88" s="56" t="inlineStr">
        <is>
          <t>20</t>
        </is>
      </c>
      <c r="N88" s="56" t="inlineStr">
        <is>
          <t>SRIKAM HITECH ENGINEERING PRIVATE L</t>
        </is>
      </c>
      <c r="O88" s="58" t="n">
        <v>28</v>
      </c>
      <c r="P88" s="59" t="inlineStr">
        <is>
          <t>0-30</t>
        </is>
      </c>
      <c r="Q88" s="56" t="inlineStr">
        <is>
          <t>Apoorv</t>
        </is>
      </c>
      <c r="U88" s="585" t="n">
        <v>2288948</v>
      </c>
      <c r="V88" t="n">
        <v>15.88</v>
      </c>
      <c r="W88" t="n">
        <v>0</v>
      </c>
      <c r="X88" t="n">
        <v>1.2</v>
      </c>
      <c r="Y88" t="n">
        <v>5.456</v>
      </c>
      <c r="Z88" t="inlineStr">
        <is>
          <t>SAE1020</t>
        </is>
      </c>
      <c r="AA88" t="inlineStr">
        <is>
          <t>PE</t>
        </is>
      </c>
      <c r="AB88" t="inlineStr">
        <is>
          <t>AW</t>
        </is>
      </c>
      <c r="AC88" t="inlineStr">
        <is>
          <t>15.88-0-1.2-ERW 1-PE</t>
        </is>
      </c>
      <c r="AD88" t="inlineStr">
        <is>
          <t>LL</t>
        </is>
      </c>
      <c r="AE88" t="inlineStr">
        <is>
          <t>15.88-0-1.2-ERW 1-PE-1</t>
        </is>
      </c>
      <c r="AF88" t="n">
        <v>0.434216784</v>
      </c>
    </row>
    <row r="89">
      <c r="A89" s="56" t="n">
        <v>1940329</v>
      </c>
      <c r="B89" s="56" t="inlineStr">
        <is>
          <t>TUB-O-O-AUT-AW-PE-19.05X2.300X0.6100</t>
        </is>
      </c>
      <c r="C89" s="56" t="inlineStr">
        <is>
          <t>4C12BH2050</t>
        </is>
      </c>
      <c r="D89" s="57" t="n">
        <v>148.276</v>
      </c>
      <c r="E89" s="58" t="n">
        <v>86</v>
      </c>
      <c r="F89" s="57" t="n">
        <v>0.08599999999999999</v>
      </c>
      <c r="G89" s="56" t="inlineStr">
        <is>
          <t>KG</t>
        </is>
      </c>
      <c r="H89" s="56" t="inlineStr">
        <is>
          <t>R001</t>
        </is>
      </c>
      <c r="I89" s="56" t="inlineStr">
        <is>
          <t>0789</t>
        </is>
      </c>
      <c r="J89" s="56" t="inlineStr">
        <is>
          <t>4500</t>
        </is>
      </c>
      <c r="K89" s="57" t="n">
        <v>90.488</v>
      </c>
      <c r="L89" s="56" t="inlineStr">
        <is>
          <t>9518390450/ 21</t>
        </is>
      </c>
      <c r="M89" s="56" t="inlineStr">
        <is>
          <t>21</t>
        </is>
      </c>
      <c r="N89" s="56" t="inlineStr">
        <is>
          <t>SRIKAM HITECH ENGINEERING PRIVATE L</t>
        </is>
      </c>
      <c r="O89" s="58" t="n">
        <v>28</v>
      </c>
      <c r="P89" s="59" t="inlineStr">
        <is>
          <t>0-30</t>
        </is>
      </c>
      <c r="Q89" s="56" t="inlineStr">
        <is>
          <t>Apoorv</t>
        </is>
      </c>
      <c r="U89" s="586" t="n">
        <v>111116475</v>
      </c>
      <c r="V89" t="n">
        <v>15.88</v>
      </c>
      <c r="W89" t="n">
        <v>0</v>
      </c>
      <c r="X89" t="n">
        <v>1.2</v>
      </c>
      <c r="Y89" t="n">
        <v>5.52</v>
      </c>
      <c r="Z89" t="inlineStr">
        <is>
          <t>WG</t>
        </is>
      </c>
      <c r="AA89" t="inlineStr">
        <is>
          <t>PE</t>
        </is>
      </c>
      <c r="AB89" t="inlineStr">
        <is>
          <t>AW</t>
        </is>
      </c>
      <c r="AC89" t="inlineStr">
        <is>
          <t>15.88-0-1.2-ERW 1-PE</t>
        </is>
      </c>
      <c r="AD89" t="inlineStr">
        <is>
          <t>LL</t>
        </is>
      </c>
      <c r="AE89" t="inlineStr">
        <is>
          <t>15.88-0-1.2-ERW 1-PE-1</t>
        </is>
      </c>
      <c r="AF89" t="n">
        <v>0.434216784</v>
      </c>
    </row>
    <row r="90">
      <c r="A90" s="56" t="n">
        <v>1940329</v>
      </c>
      <c r="B90" s="56" t="inlineStr">
        <is>
          <t>TUB-O-O-AUT-AW-PE-19.05X2.300X0.6100</t>
        </is>
      </c>
      <c r="C90" s="56" t="inlineStr">
        <is>
          <t>4C17H39891</t>
        </is>
      </c>
      <c r="D90" s="57" t="n">
        <v>812.069</v>
      </c>
      <c r="E90" s="58" t="n">
        <v>471</v>
      </c>
      <c r="F90" s="57" t="n">
        <v>0.471</v>
      </c>
      <c r="G90" s="56" t="inlineStr">
        <is>
          <t>KG</t>
        </is>
      </c>
      <c r="H90" s="56" t="inlineStr">
        <is>
          <t>R001</t>
        </is>
      </c>
      <c r="I90" s="56" t="inlineStr">
        <is>
          <t>0789</t>
        </is>
      </c>
      <c r="J90" s="56" t="inlineStr">
        <is>
          <t>1</t>
        </is>
      </c>
      <c r="K90" s="57" t="n">
        <v>495.581</v>
      </c>
      <c r="L90" s="56" t="inlineStr">
        <is>
          <t>9518390450/ 21</t>
        </is>
      </c>
      <c r="M90" s="56" t="inlineStr">
        <is>
          <t>21</t>
        </is>
      </c>
      <c r="N90" s="56" t="inlineStr">
        <is>
          <t>SRIKAM HITECH ENGINEERING PRIVATE L</t>
        </is>
      </c>
      <c r="O90" s="58" t="n">
        <v>27</v>
      </c>
      <c r="P90" s="59" t="inlineStr">
        <is>
          <t>0-30</t>
        </is>
      </c>
      <c r="Q90" s="56" t="inlineStr">
        <is>
          <t>Apoorv</t>
        </is>
      </c>
      <c r="U90" s="586" t="n">
        <v>111120664</v>
      </c>
      <c r="V90" t="n">
        <v>15.88</v>
      </c>
      <c r="W90" t="n">
        <v>0</v>
      </c>
      <c r="X90" t="n">
        <v>1.2</v>
      </c>
      <c r="Y90" t="n">
        <v>5.73</v>
      </c>
      <c r="Z90" t="inlineStr">
        <is>
          <t>WG</t>
        </is>
      </c>
      <c r="AA90" t="inlineStr">
        <is>
          <t>PE</t>
        </is>
      </c>
      <c r="AB90" t="inlineStr">
        <is>
          <t>AW</t>
        </is>
      </c>
      <c r="AC90" t="inlineStr">
        <is>
          <t>15.88-0-1.2-ERW 1-PE</t>
        </is>
      </c>
      <c r="AD90" t="inlineStr">
        <is>
          <t>LL</t>
        </is>
      </c>
      <c r="AE90" t="inlineStr">
        <is>
          <t>15.88-0-1.2-ERW 1-PE-1</t>
        </is>
      </c>
      <c r="AF90" t="n">
        <v>0.434216784</v>
      </c>
    </row>
    <row r="91">
      <c r="A91" s="56" t="n">
        <v>1940333</v>
      </c>
      <c r="B91" s="56" t="inlineStr">
        <is>
          <t>TUB-O-O-AUT-AW-PE-19.05X2.300X6.0000</t>
        </is>
      </c>
      <c r="C91" s="56" t="inlineStr">
        <is>
          <t>4C12AH2050</t>
        </is>
      </c>
      <c r="D91" s="57" t="n">
        <v>98.387</v>
      </c>
      <c r="E91" s="58" t="n">
        <v>561</v>
      </c>
      <c r="F91" s="57" t="n">
        <v>0.5610000000000001</v>
      </c>
      <c r="G91" s="56" t="inlineStr">
        <is>
          <t>KG</t>
        </is>
      </c>
      <c r="H91" s="56" t="inlineStr">
        <is>
          <t>R001</t>
        </is>
      </c>
      <c r="I91" s="56" t="inlineStr">
        <is>
          <t>0789</t>
        </is>
      </c>
      <c r="J91" s="56" t="inlineStr">
        <is>
          <t>244</t>
        </is>
      </c>
      <c r="K91" s="57" t="n">
        <v>590.278</v>
      </c>
      <c r="L91" s="56" t="inlineStr"/>
      <c r="M91" s="56" t="inlineStr">
        <is>
          <t>0</t>
        </is>
      </c>
      <c r="N91" s="56" t="inlineStr">
        <is>
          <t>Rajsriya Automotive Ind Pvt Ltd.</t>
        </is>
      </c>
      <c r="O91" s="58" t="n">
        <v>3</v>
      </c>
      <c r="P91" s="59" t="inlineStr">
        <is>
          <t>0-30</t>
        </is>
      </c>
      <c r="Q91" s="56" t="inlineStr">
        <is>
          <t>Apoorv</t>
        </is>
      </c>
      <c r="U91" s="585" t="n">
        <v>1940054</v>
      </c>
      <c r="V91" t="n">
        <v>15.88</v>
      </c>
      <c r="W91" t="n">
        <v>0</v>
      </c>
      <c r="X91" t="n">
        <v>1.2</v>
      </c>
      <c r="Y91" t="n">
        <v>6</v>
      </c>
      <c r="Z91" t="inlineStr">
        <is>
          <t>WG</t>
        </is>
      </c>
      <c r="AA91" t="inlineStr">
        <is>
          <t>PE</t>
        </is>
      </c>
      <c r="AB91" t="inlineStr">
        <is>
          <t>AW</t>
        </is>
      </c>
      <c r="AC91" t="inlineStr">
        <is>
          <t>15.88-0-1.2-ERW 1-PE</t>
        </is>
      </c>
      <c r="AD91" t="inlineStr">
        <is>
          <t>LL</t>
        </is>
      </c>
      <c r="AE91" t="inlineStr">
        <is>
          <t>15.88-0-1.2-ERW 1-PE-1</t>
        </is>
      </c>
      <c r="AF91" t="n">
        <v>0.434216784</v>
      </c>
    </row>
    <row r="92">
      <c r="A92" s="56" t="n">
        <v>1940335</v>
      </c>
      <c r="B92" s="56" t="inlineStr">
        <is>
          <t>TUB-O-O-AUT-AW-PE-19.05X2.300X6.0500</t>
        </is>
      </c>
      <c r="C92" s="56" t="inlineStr">
        <is>
          <t>4715BH2070</t>
        </is>
      </c>
      <c r="D92" s="57" t="n">
        <v>92.52200000000001</v>
      </c>
      <c r="E92" s="58" t="n">
        <v>532</v>
      </c>
      <c r="F92" s="57" t="n">
        <v>0.532</v>
      </c>
      <c r="G92" s="56" t="inlineStr">
        <is>
          <t>KG</t>
        </is>
      </c>
      <c r="H92" s="56" t="inlineStr">
        <is>
          <t>R001</t>
        </is>
      </c>
      <c r="I92" s="56" t="inlineStr">
        <is>
          <t>0789</t>
        </is>
      </c>
      <c r="J92" s="56" t="inlineStr">
        <is>
          <t>285</t>
        </is>
      </c>
      <c r="K92" s="57" t="n">
        <v>559.764</v>
      </c>
      <c r="L92" s="56" t="inlineStr">
        <is>
          <t>9518134245/ 15</t>
        </is>
      </c>
      <c r="M92" s="56" t="inlineStr">
        <is>
          <t>15</t>
        </is>
      </c>
      <c r="N92" s="56" t="inlineStr">
        <is>
          <t>MEGH STEELS PRIVATE LIMITED - TVS A</t>
        </is>
      </c>
      <c r="O92" s="58" t="n">
        <v>175</v>
      </c>
      <c r="P92" s="59" t="inlineStr">
        <is>
          <t>ABOVE 90</t>
        </is>
      </c>
      <c r="Q92" s="56" t="inlineStr">
        <is>
          <t>Apoorv</t>
        </is>
      </c>
      <c r="U92" s="585" t="n">
        <v>1931425</v>
      </c>
      <c r="V92" t="n">
        <v>15.88</v>
      </c>
      <c r="W92" t="n">
        <v>0</v>
      </c>
      <c r="X92" t="n">
        <v>1.2</v>
      </c>
      <c r="Y92" t="n">
        <v>6</v>
      </c>
      <c r="Z92" t="inlineStr">
        <is>
          <t>D</t>
        </is>
      </c>
      <c r="AA92" t="inlineStr">
        <is>
          <t>PE</t>
        </is>
      </c>
      <c r="AB92" t="inlineStr">
        <is>
          <t>AW</t>
        </is>
      </c>
      <c r="AC92" t="inlineStr">
        <is>
          <t>15.88-0-1.2-ERW 1-PE</t>
        </is>
      </c>
      <c r="AD92" t="inlineStr">
        <is>
          <t>LL</t>
        </is>
      </c>
      <c r="AE92" t="inlineStr">
        <is>
          <t>15.88-0-1.2-ERW 1-PE-1</t>
        </is>
      </c>
      <c r="AF92" t="n">
        <v>0.434216784</v>
      </c>
    </row>
    <row r="93">
      <c r="A93" s="56" t="n">
        <v>1940363</v>
      </c>
      <c r="B93" s="56" t="inlineStr">
        <is>
          <t>TUB-O-O-AUT-AW-PE-22.23X1.200X1.1620</t>
        </is>
      </c>
      <c r="C93" s="56" t="inlineStr">
        <is>
          <t>4B18AH2050</t>
        </is>
      </c>
      <c r="D93" s="57" t="n">
        <v>100.134</v>
      </c>
      <c r="E93" s="57" t="n">
        <v>72.39700000000001</v>
      </c>
      <c r="F93" s="57" t="n">
        <v>0.072397</v>
      </c>
      <c r="G93" s="56" t="inlineStr">
        <is>
          <t>KG</t>
        </is>
      </c>
      <c r="H93" s="56" t="inlineStr">
        <is>
          <t>R001</t>
        </is>
      </c>
      <c r="I93" s="56" t="inlineStr">
        <is>
          <t>0789</t>
        </is>
      </c>
      <c r="J93" s="56" t="inlineStr">
        <is>
          <t>661</t>
        </is>
      </c>
      <c r="K93" s="57" t="n">
        <v>116.282</v>
      </c>
      <c r="L93" s="56" t="inlineStr">
        <is>
          <t>9518315125/ 20</t>
        </is>
      </c>
      <c r="M93" s="56" t="inlineStr">
        <is>
          <t>20</t>
        </is>
      </c>
      <c r="N93" s="56" t="inlineStr">
        <is>
          <t>ELKAYEM AUTO ANCILLARIES (PVT) LTD.</t>
        </is>
      </c>
      <c r="O93" s="58" t="n">
        <v>36</v>
      </c>
      <c r="P93" s="59" t="inlineStr">
        <is>
          <t>31-60</t>
        </is>
      </c>
      <c r="Q93" s="56" t="inlineStr">
        <is>
          <t>Diwakar</t>
        </is>
      </c>
      <c r="U93" s="585" t="n">
        <v>1940055</v>
      </c>
      <c r="V93" t="n">
        <v>15.88</v>
      </c>
      <c r="W93" t="n">
        <v>0</v>
      </c>
      <c r="X93" t="n">
        <v>1.2</v>
      </c>
      <c r="Y93" t="n">
        <v>6</v>
      </c>
      <c r="Z93" t="inlineStr">
        <is>
          <t>WG</t>
        </is>
      </c>
      <c r="AA93" t="inlineStr">
        <is>
          <t>PE</t>
        </is>
      </c>
      <c r="AB93" t="inlineStr">
        <is>
          <t>AW</t>
        </is>
      </c>
      <c r="AC93" t="inlineStr">
        <is>
          <t>15.88-0-1.2-ERW 1-PE</t>
        </is>
      </c>
      <c r="AD93" t="inlineStr">
        <is>
          <t>LL</t>
        </is>
      </c>
      <c r="AE93" t="inlineStr">
        <is>
          <t>15.88-0-1.2-ERW 1-PE-1</t>
        </is>
      </c>
      <c r="AF93" t="n">
        <v>0.434216784</v>
      </c>
    </row>
    <row r="94">
      <c r="A94" s="56" t="n">
        <v>1940364</v>
      </c>
      <c r="B94" s="56" t="inlineStr">
        <is>
          <t>TUB-O-O-AUT-AW-PE-22.23X1.200X1.2600</t>
        </is>
      </c>
      <c r="C94" s="56" t="inlineStr">
        <is>
          <t>PV24030079</t>
        </is>
      </c>
      <c r="D94" s="57" t="n">
        <v>425.577</v>
      </c>
      <c r="E94" s="57" t="n">
        <v>333.652</v>
      </c>
      <c r="F94" s="57" t="n">
        <v>0.333652</v>
      </c>
      <c r="G94" s="56" t="inlineStr">
        <is>
          <t>KG</t>
        </is>
      </c>
      <c r="H94" s="56" t="inlineStr">
        <is>
          <t>R001</t>
        </is>
      </c>
      <c r="I94" s="56" t="inlineStr">
        <is>
          <t>0789</t>
        </is>
      </c>
      <c r="J94" s="56" t="inlineStr"/>
      <c r="K94" s="57" t="n">
        <v>535.901</v>
      </c>
      <c r="L94" s="56" t="inlineStr"/>
      <c r="M94" s="56" t="inlineStr">
        <is>
          <t>0</t>
        </is>
      </c>
      <c r="N94" s="56" t="inlineStr">
        <is>
          <t>FREE STOCK</t>
        </is>
      </c>
      <c r="O94" s="58" t="n">
        <v>262</v>
      </c>
      <c r="P94" s="59" t="inlineStr">
        <is>
          <t>ABOVE 90</t>
        </is>
      </c>
      <c r="Q94" s="56" t="inlineStr">
        <is>
          <t>Free Stock</t>
        </is>
      </c>
      <c r="U94" s="586" t="n">
        <v>110102196</v>
      </c>
      <c r="V94" t="n">
        <v>15.88</v>
      </c>
      <c r="W94" t="n">
        <v>0</v>
      </c>
      <c r="X94" t="n">
        <v>1.2</v>
      </c>
      <c r="Y94" t="n">
        <v>6.035</v>
      </c>
      <c r="Z94" t="inlineStr">
        <is>
          <t>WG</t>
        </is>
      </c>
      <c r="AA94" t="inlineStr">
        <is>
          <t>PE</t>
        </is>
      </c>
      <c r="AB94" t="inlineStr">
        <is>
          <t>AW</t>
        </is>
      </c>
      <c r="AC94" t="inlineStr">
        <is>
          <t>15.88-0-1.2-ERW 1-PE</t>
        </is>
      </c>
      <c r="AD94" t="inlineStr">
        <is>
          <t>LL</t>
        </is>
      </c>
      <c r="AE94" t="inlineStr">
        <is>
          <t>15.88-0-1.2-ERW 1-PE-1</t>
        </is>
      </c>
      <c r="AF94" t="n">
        <v>0.434216784</v>
      </c>
    </row>
    <row r="95">
      <c r="A95" s="56" t="n">
        <v>1940369</v>
      </c>
      <c r="B95" s="56" t="inlineStr">
        <is>
          <t>TUB-O-O-AUT-AW-PE-22.23X1.200X6.0000</t>
        </is>
      </c>
      <c r="C95" s="56" t="inlineStr">
        <is>
          <t>4513BH1020</t>
        </is>
      </c>
      <c r="D95" s="57" t="n">
        <v>22.758</v>
      </c>
      <c r="E95" s="58" t="n">
        <v>85</v>
      </c>
      <c r="F95" s="57" t="n">
        <v>0.08500000000000001</v>
      </c>
      <c r="G95" s="56" t="inlineStr">
        <is>
          <t>KG</t>
        </is>
      </c>
      <c r="H95" s="56" t="inlineStr">
        <is>
          <t>R001</t>
        </is>
      </c>
      <c r="I95" s="56" t="inlineStr">
        <is>
          <t>0789</t>
        </is>
      </c>
      <c r="J95" s="56" t="inlineStr">
        <is>
          <t>398</t>
        </is>
      </c>
      <c r="K95" s="57" t="n">
        <v>136.524</v>
      </c>
      <c r="L95" s="56" t="inlineStr"/>
      <c r="M95" s="56" t="inlineStr">
        <is>
          <t>0</t>
        </is>
      </c>
      <c r="N95" s="56" t="inlineStr">
        <is>
          <t>MEGH STEELS PRIVATE LIMITED - TVS A</t>
        </is>
      </c>
      <c r="O95" s="58" t="n">
        <v>231</v>
      </c>
      <c r="P95" s="59" t="inlineStr">
        <is>
          <t>ABOVE 90</t>
        </is>
      </c>
      <c r="Q95" s="56" t="inlineStr">
        <is>
          <t>Apoorv</t>
        </is>
      </c>
      <c r="U95" s="510" t="n">
        <v>3935312</v>
      </c>
      <c r="V95" t="n">
        <v>15.88</v>
      </c>
      <c r="W95" t="n">
        <v>0</v>
      </c>
      <c r="X95" t="n">
        <v>1.22</v>
      </c>
      <c r="Y95" t="n">
        <v>0.1</v>
      </c>
      <c r="Z95" t="inlineStr">
        <is>
          <t>NORMAL</t>
        </is>
      </c>
      <c r="AA95" t="inlineStr">
        <is>
          <t>PE</t>
        </is>
      </c>
      <c r="AB95" t="inlineStr">
        <is>
          <t>AW</t>
        </is>
      </c>
      <c r="AC95" t="inlineStr">
        <is>
          <t>15.88-0-1.2-ERW 1-PE</t>
        </is>
      </c>
      <c r="AD95" t="inlineStr">
        <is>
          <t>CTL</t>
        </is>
      </c>
      <c r="AE95" t="inlineStr">
        <is>
          <t>15.88-0-1.2-ERW 1-PE-0.1</t>
        </is>
      </c>
      <c r="AF95" t="n">
        <v>0.04408522948000001</v>
      </c>
    </row>
    <row r="96">
      <c r="A96" s="56" t="n">
        <v>1940390</v>
      </c>
      <c r="B96" s="56" t="inlineStr">
        <is>
          <t>TUB-O-O-AUT-AW-PE-22.23X1.600X0.2830</t>
        </is>
      </c>
      <c r="C96" s="56" t="inlineStr">
        <is>
          <t>5106H41162</t>
        </is>
      </c>
      <c r="D96" s="57" t="n">
        <v>2004.348</v>
      </c>
      <c r="E96" s="58" t="n">
        <v>461</v>
      </c>
      <c r="F96" s="57" t="n">
        <v>0.461</v>
      </c>
      <c r="G96" s="56" t="inlineStr">
        <is>
          <t>KG</t>
        </is>
      </c>
      <c r="H96" s="56" t="inlineStr">
        <is>
          <t>R001</t>
        </is>
      </c>
      <c r="I96" s="56" t="inlineStr">
        <is>
          <t>0789</t>
        </is>
      </c>
      <c r="J96" s="56" t="inlineStr">
        <is>
          <t>2000</t>
        </is>
      </c>
      <c r="K96" s="57" t="n">
        <v>566.13</v>
      </c>
      <c r="L96" s="56" t="inlineStr">
        <is>
          <t>9518390450/ 23</t>
        </is>
      </c>
      <c r="M96" s="56" t="inlineStr">
        <is>
          <t>23</t>
        </is>
      </c>
      <c r="N96" s="56" t="inlineStr">
        <is>
          <t>SRIKAM HITECH ENGINEERING PRIVATE L</t>
        </is>
      </c>
      <c r="O96" s="58" t="n">
        <v>7</v>
      </c>
      <c r="P96" s="59" t="inlineStr">
        <is>
          <t>0-30</t>
        </is>
      </c>
      <c r="Q96" s="56" t="inlineStr">
        <is>
          <t>Apoorv</t>
        </is>
      </c>
      <c r="U96" t="n">
        <v>4104140</v>
      </c>
      <c r="V96" t="n">
        <v>15.88</v>
      </c>
      <c r="W96" t="n">
        <v>0</v>
      </c>
      <c r="X96" t="n">
        <v>1.22</v>
      </c>
      <c r="Y96" t="n">
        <v>0.15</v>
      </c>
      <c r="Z96" t="inlineStr">
        <is>
          <t>NORMAL</t>
        </is>
      </c>
      <c r="AA96" t="inlineStr">
        <is>
          <t>AW</t>
        </is>
      </c>
      <c r="AB96" t="inlineStr">
        <is>
          <t>PE</t>
        </is>
      </c>
      <c r="AC96" t="inlineStr">
        <is>
          <t>15.88-0-1.2-ERW 1-PE</t>
        </is>
      </c>
      <c r="AD96" t="inlineStr">
        <is>
          <t>CTL</t>
        </is>
      </c>
      <c r="AE96" t="inlineStr">
        <is>
          <t>15.88-0-1.2-ERW 1-PE-0.15</t>
        </is>
      </c>
      <c r="AF96" t="n">
        <v>0.06612784422000001</v>
      </c>
    </row>
    <row r="97">
      <c r="A97" s="56" t="n">
        <v>1940390</v>
      </c>
      <c r="B97" s="56" t="inlineStr">
        <is>
          <t>TUB-O-O-AUT-AW-PE-22.23X1.600X0.2830</t>
        </is>
      </c>
      <c r="C97" s="56" t="inlineStr">
        <is>
          <t>5111H41406</t>
        </is>
      </c>
      <c r="D97" s="57" t="n">
        <v>2356.522</v>
      </c>
      <c r="E97" s="58" t="n">
        <v>542</v>
      </c>
      <c r="F97" s="57" t="n">
        <v>0.542</v>
      </c>
      <c r="G97" s="56" t="inlineStr">
        <is>
          <t>KG</t>
        </is>
      </c>
      <c r="H97" s="56" t="inlineStr">
        <is>
          <t>R001</t>
        </is>
      </c>
      <c r="I97" s="56" t="inlineStr">
        <is>
          <t>0789</t>
        </is>
      </c>
      <c r="J97" s="56" t="inlineStr">
        <is>
          <t>2350</t>
        </is>
      </c>
      <c r="K97" s="57" t="n">
        <v>665.602</v>
      </c>
      <c r="L97" s="56" t="inlineStr">
        <is>
          <t>9518390450/ 23</t>
        </is>
      </c>
      <c r="M97" s="56" t="inlineStr">
        <is>
          <t>23</t>
        </is>
      </c>
      <c r="N97" s="56" t="inlineStr">
        <is>
          <t>SRIKAM HITECH ENGINEERING PRIVATE L</t>
        </is>
      </c>
      <c r="O97" s="58" t="n">
        <v>2</v>
      </c>
      <c r="P97" s="59" t="inlineStr">
        <is>
          <t>0-30</t>
        </is>
      </c>
      <c r="Q97" s="56" t="inlineStr">
        <is>
          <t>Apoorv</t>
        </is>
      </c>
      <c r="U97" s="585" t="n">
        <v>1931276</v>
      </c>
      <c r="V97" t="n">
        <v>15.88</v>
      </c>
      <c r="W97" t="n">
        <v>0</v>
      </c>
      <c r="X97" t="n">
        <v>1.22</v>
      </c>
      <c r="Y97" t="n">
        <v>5.53</v>
      </c>
      <c r="Z97" t="inlineStr">
        <is>
          <t>D</t>
        </is>
      </c>
      <c r="AA97" t="inlineStr">
        <is>
          <t>PE</t>
        </is>
      </c>
      <c r="AB97" t="inlineStr">
        <is>
          <t>AW</t>
        </is>
      </c>
      <c r="AC97" t="inlineStr">
        <is>
          <t>15.88-0-1.2-ERW 1-PE</t>
        </is>
      </c>
      <c r="AD97" t="inlineStr">
        <is>
          <t>LL</t>
        </is>
      </c>
      <c r="AE97" t="inlineStr">
        <is>
          <t>15.88-0-1.2-ERW 1-PE-1</t>
        </is>
      </c>
      <c r="AF97" t="n">
        <v>0.4408522948</v>
      </c>
    </row>
    <row r="98">
      <c r="A98" s="56" t="n">
        <v>1940393</v>
      </c>
      <c r="B98" s="56" t="inlineStr">
        <is>
          <t>TUB-O-O-AUT-AW-PE-22.23X1.600X0.2930</t>
        </is>
      </c>
      <c r="C98" s="56" t="inlineStr">
        <is>
          <t>EXC2405050</t>
        </is>
      </c>
      <c r="D98" s="57" t="n">
        <v>898.4640000000001</v>
      </c>
      <c r="E98" s="57" t="n">
        <v>214.733</v>
      </c>
      <c r="F98" s="57" t="n">
        <v>0.214733</v>
      </c>
      <c r="G98" s="56" t="inlineStr">
        <is>
          <t>KG</t>
        </is>
      </c>
      <c r="H98" s="56" t="inlineStr">
        <is>
          <t>R001</t>
        </is>
      </c>
      <c r="I98" s="56" t="inlineStr">
        <is>
          <t>0789</t>
        </is>
      </c>
      <c r="J98" s="56" t="inlineStr"/>
      <c r="K98" s="57" t="n">
        <v>263.703</v>
      </c>
      <c r="L98" s="56" t="inlineStr"/>
      <c r="M98" s="56" t="inlineStr">
        <is>
          <t>0</t>
        </is>
      </c>
      <c r="N98" s="56" t="inlineStr">
        <is>
          <t>FREE STOCK</t>
        </is>
      </c>
      <c r="O98" s="58" t="n">
        <v>229</v>
      </c>
      <c r="P98" s="59" t="inlineStr">
        <is>
          <t>ABOVE 90</t>
        </is>
      </c>
      <c r="Q98" s="56" t="inlineStr">
        <is>
          <t>Free Stock</t>
        </is>
      </c>
      <c r="U98" s="28" t="n">
        <v>3701579</v>
      </c>
      <c r="V98" t="n">
        <v>15.88</v>
      </c>
      <c r="W98" t="n">
        <v>0</v>
      </c>
      <c r="X98" t="n">
        <v>1.22</v>
      </c>
      <c r="Y98" t="n">
        <v>6</v>
      </c>
      <c r="Z98" t="inlineStr">
        <is>
          <t>WG</t>
        </is>
      </c>
      <c r="AA98" t="inlineStr">
        <is>
          <t>PE</t>
        </is>
      </c>
      <c r="AB98" t="inlineStr">
        <is>
          <t>AW</t>
        </is>
      </c>
      <c r="AC98" t="inlineStr">
        <is>
          <t>15.88-0-1.2-ERW 1-PE</t>
        </is>
      </c>
      <c r="AD98" t="inlineStr">
        <is>
          <t>LL</t>
        </is>
      </c>
      <c r="AE98" t="inlineStr">
        <is>
          <t>15.88-0-1.2-ERW 1-PE-1</t>
        </is>
      </c>
      <c r="AF98" t="n">
        <v>0.4408522948</v>
      </c>
    </row>
    <row r="99">
      <c r="A99" s="56" t="n">
        <v>1940393</v>
      </c>
      <c r="B99" s="56" t="inlineStr">
        <is>
          <t>TUB-O-O-AUT-AW-PE-22.23X1.600X0.2930</t>
        </is>
      </c>
      <c r="C99" s="56" t="inlineStr">
        <is>
          <t>PV24030034</t>
        </is>
      </c>
      <c r="D99" s="57" t="n">
        <v>499.146</v>
      </c>
      <c r="E99" s="57" t="n">
        <v>119.296</v>
      </c>
      <c r="F99" s="57" t="n">
        <v>0.119296</v>
      </c>
      <c r="G99" s="56" t="inlineStr">
        <is>
          <t>KG</t>
        </is>
      </c>
      <c r="H99" s="56" t="inlineStr">
        <is>
          <t>R001</t>
        </is>
      </c>
      <c r="I99" s="56" t="inlineStr">
        <is>
          <t>0789</t>
        </is>
      </c>
      <c r="J99" s="56" t="inlineStr"/>
      <c r="K99" s="57" t="n">
        <v>146.501</v>
      </c>
      <c r="L99" s="56" t="inlineStr"/>
      <c r="M99" s="56" t="inlineStr">
        <is>
          <t>0</t>
        </is>
      </c>
      <c r="N99" s="56" t="inlineStr">
        <is>
          <t>FREE STOCK</t>
        </is>
      </c>
      <c r="O99" s="58" t="n">
        <v>262</v>
      </c>
      <c r="P99" s="59" t="inlineStr">
        <is>
          <t>ABOVE 90</t>
        </is>
      </c>
      <c r="Q99" s="56" t="inlineStr">
        <is>
          <t>Free Stock</t>
        </is>
      </c>
      <c r="U99" t="n">
        <v>4096696</v>
      </c>
      <c r="V99" t="n">
        <v>15.88</v>
      </c>
      <c r="W99" t="n">
        <v>0</v>
      </c>
      <c r="X99" t="n">
        <v>1.6</v>
      </c>
      <c r="Y99" t="n">
        <v>0.15</v>
      </c>
      <c r="Z99" t="inlineStr">
        <is>
          <t>GR1</t>
        </is>
      </c>
      <c r="AA99" t="inlineStr">
        <is>
          <t>AW</t>
        </is>
      </c>
      <c r="AB99" t="inlineStr">
        <is>
          <t>PE</t>
        </is>
      </c>
      <c r="AC99" t="inlineStr">
        <is>
          <t>15.88-0-1.6-ERW 1-PE</t>
        </is>
      </c>
      <c r="AD99" t="inlineStr">
        <is>
          <t>CTL</t>
        </is>
      </c>
      <c r="AE99" t="inlineStr">
        <is>
          <t>15.88-0-1.6-ERW 1-PE-0.15</t>
        </is>
      </c>
      <c r="AF99" t="n">
        <v>0.08447705280000001</v>
      </c>
    </row>
    <row r="100">
      <c r="A100" s="56" t="n">
        <v>1940403</v>
      </c>
      <c r="B100" s="56" t="inlineStr">
        <is>
          <t>TUB-O-O-AUT-AW-PE-22.23X1.60X0.570-MAHS</t>
        </is>
      </c>
      <c r="C100" s="56" t="inlineStr">
        <is>
          <t>EXC2405030</t>
        </is>
      </c>
      <c r="D100" s="57" t="n">
        <v>249.998</v>
      </c>
      <c r="E100" s="57" t="n">
        <v>115.999</v>
      </c>
      <c r="F100" s="57" t="n">
        <v>0.115999</v>
      </c>
      <c r="G100" s="56" t="inlineStr">
        <is>
          <t>KG</t>
        </is>
      </c>
      <c r="H100" s="56" t="inlineStr">
        <is>
          <t>R001</t>
        </is>
      </c>
      <c r="I100" s="56" t="inlineStr">
        <is>
          <t>0789</t>
        </is>
      </c>
      <c r="J100" s="56" t="inlineStr"/>
      <c r="K100" s="57" t="n">
        <v>142.452</v>
      </c>
      <c r="L100" s="56" t="inlineStr">
        <is>
          <t>9517691504/ 1</t>
        </is>
      </c>
      <c r="M100" s="56" t="inlineStr">
        <is>
          <t>1</t>
        </is>
      </c>
      <c r="N100" s="56" t="inlineStr">
        <is>
          <t>Neel Metal Products Limited</t>
        </is>
      </c>
      <c r="O100" s="58" t="n">
        <v>230</v>
      </c>
      <c r="P100" s="59" t="inlineStr">
        <is>
          <t>ABOVE 90</t>
        </is>
      </c>
      <c r="Q100" s="56" t="inlineStr">
        <is>
          <t>Apoorv</t>
        </is>
      </c>
      <c r="U100" t="n">
        <v>4096695</v>
      </c>
      <c r="V100" t="n">
        <v>15.88</v>
      </c>
      <c r="W100" t="n">
        <v>0</v>
      </c>
      <c r="X100" t="n">
        <v>1.6</v>
      </c>
      <c r="Y100" t="n">
        <v>0.154</v>
      </c>
      <c r="Z100" t="inlineStr">
        <is>
          <t>GR1</t>
        </is>
      </c>
      <c r="AA100" t="inlineStr">
        <is>
          <t>AW</t>
        </is>
      </c>
      <c r="AB100" t="inlineStr">
        <is>
          <t>PE</t>
        </is>
      </c>
      <c r="AC100" t="inlineStr">
        <is>
          <t>15.88-0-1.6-ERW 1-PE</t>
        </is>
      </c>
      <c r="AD100" t="inlineStr">
        <is>
          <t>CTL</t>
        </is>
      </c>
      <c r="AE100" t="inlineStr">
        <is>
          <t>15.88-0-1.6-ERW 1-PE-0.154</t>
        </is>
      </c>
      <c r="AF100" t="n">
        <v>0.086729774208</v>
      </c>
    </row>
    <row r="101">
      <c r="A101" s="56" t="n">
        <v>1940404</v>
      </c>
      <c r="B101" s="56" t="inlineStr">
        <is>
          <t>TUB-O-O-AUT-AW-PE-22.23X1.600X0.6540</t>
        </is>
      </c>
      <c r="C101" s="56" t="inlineStr">
        <is>
          <t>PV24030061</t>
        </is>
      </c>
      <c r="D101" s="57" t="n">
        <v>499.585</v>
      </c>
      <c r="E101" s="57" t="n">
        <v>266.279</v>
      </c>
      <c r="F101" s="57" t="n">
        <v>0.266279</v>
      </c>
      <c r="G101" s="56" t="inlineStr">
        <is>
          <t>KG</t>
        </is>
      </c>
      <c r="H101" s="56" t="inlineStr">
        <is>
          <t>R001</t>
        </is>
      </c>
      <c r="I101" s="56" t="inlineStr">
        <is>
          <t>0789</t>
        </is>
      </c>
      <c r="J101" s="56" t="inlineStr"/>
      <c r="K101" s="57" t="n">
        <v>327.004</v>
      </c>
      <c r="L101" s="56" t="inlineStr"/>
      <c r="M101" s="56" t="inlineStr">
        <is>
          <t>0</t>
        </is>
      </c>
      <c r="N101" s="56" t="inlineStr">
        <is>
          <t>FREE STOCK</t>
        </is>
      </c>
      <c r="O101" s="58" t="n">
        <v>262</v>
      </c>
      <c r="P101" s="59" t="inlineStr">
        <is>
          <t>ABOVE 90</t>
        </is>
      </c>
      <c r="Q101" s="56" t="inlineStr">
        <is>
          <t>Free Stock</t>
        </is>
      </c>
      <c r="U101" s="585" t="n">
        <v>3620428</v>
      </c>
      <c r="V101" t="n">
        <v>15.88</v>
      </c>
      <c r="W101" t="n">
        <v>0</v>
      </c>
      <c r="X101" t="n">
        <v>1.6</v>
      </c>
      <c r="Y101" t="n">
        <v>0.435</v>
      </c>
      <c r="Z101" t="inlineStr">
        <is>
          <t>WG</t>
        </is>
      </c>
      <c r="AA101" t="inlineStr">
        <is>
          <t>PE</t>
        </is>
      </c>
      <c r="AB101" t="inlineStr">
        <is>
          <t>AW</t>
        </is>
      </c>
      <c r="AC101" t="inlineStr">
        <is>
          <t>15.88-0-1.6-ERW 1-PE</t>
        </is>
      </c>
      <c r="AD101" t="inlineStr">
        <is>
          <t>CTL</t>
        </is>
      </c>
      <c r="AE101" t="inlineStr">
        <is>
          <t>15.88-0-1.6-ERW 1-PE-0.435</t>
        </is>
      </c>
      <c r="AF101" t="n">
        <v>0.24498345312</v>
      </c>
    </row>
    <row r="102">
      <c r="A102" s="56" t="n">
        <v>1940407</v>
      </c>
      <c r="B102" s="56" t="inlineStr">
        <is>
          <t>TUB-O-O-AUT-AW-PE-22.23X1.600X0.7400</t>
        </is>
      </c>
      <c r="C102" s="56" t="inlineStr">
        <is>
          <t>5111H41412</t>
        </is>
      </c>
      <c r="D102" s="57" t="n">
        <v>762.852</v>
      </c>
      <c r="E102" s="58" t="n">
        <v>460</v>
      </c>
      <c r="F102" s="57" t="n">
        <v>0.46</v>
      </c>
      <c r="G102" s="56" t="inlineStr">
        <is>
          <t>KG</t>
        </is>
      </c>
      <c r="H102" s="56" t="inlineStr">
        <is>
          <t>R001</t>
        </is>
      </c>
      <c r="I102" s="56" t="inlineStr">
        <is>
          <t>0789</t>
        </is>
      </c>
      <c r="J102" s="56" t="inlineStr">
        <is>
          <t>763</t>
        </is>
      </c>
      <c r="K102" s="57" t="n">
        <v>564.902</v>
      </c>
      <c r="L102" s="56" t="inlineStr">
        <is>
          <t>9518314246/ 4</t>
        </is>
      </c>
      <c r="M102" s="56" t="inlineStr">
        <is>
          <t>4</t>
        </is>
      </c>
      <c r="N102" s="56" t="inlineStr">
        <is>
          <t>Metalman Auto Private Limited</t>
        </is>
      </c>
      <c r="O102" s="58" t="n">
        <v>2</v>
      </c>
      <c r="P102" s="59" t="inlineStr">
        <is>
          <t>0-30</t>
        </is>
      </c>
      <c r="Q102" s="56" t="inlineStr">
        <is>
          <t>Jitendra Kumar Sharma</t>
        </is>
      </c>
      <c r="U102" s="585" t="n">
        <v>3217233</v>
      </c>
      <c r="V102" t="n">
        <v>15.88</v>
      </c>
      <c r="W102" t="n">
        <v>0</v>
      </c>
      <c r="X102" t="n">
        <v>1.6</v>
      </c>
      <c r="Y102" t="n">
        <v>0.435</v>
      </c>
      <c r="Z102" t="inlineStr">
        <is>
          <t>HROP</t>
        </is>
      </c>
      <c r="AA102" t="inlineStr">
        <is>
          <t>PE</t>
        </is>
      </c>
      <c r="AB102" t="inlineStr">
        <is>
          <t>AW</t>
        </is>
      </c>
      <c r="AC102" t="inlineStr">
        <is>
          <t>15.88-0-1.6-ERW 1-PE</t>
        </is>
      </c>
      <c r="AD102" t="inlineStr">
        <is>
          <t>CTL</t>
        </is>
      </c>
      <c r="AE102" t="inlineStr">
        <is>
          <t>15.88-0-1.6-ERW 1-PE-0.435</t>
        </is>
      </c>
      <c r="AF102" t="n">
        <v>0.24498345312</v>
      </c>
    </row>
    <row r="103">
      <c r="A103" s="56" t="n">
        <v>1940407</v>
      </c>
      <c r="B103" s="56" t="inlineStr">
        <is>
          <t>TUB-O-O-AUT-AW-PE-22.23X1.600X0.7400</t>
        </is>
      </c>
      <c r="C103" s="56" t="inlineStr">
        <is>
          <t>4C11AH1100</t>
        </is>
      </c>
      <c r="D103" s="57" t="n">
        <v>1225.844</v>
      </c>
      <c r="E103" s="57" t="n">
        <v>739.184</v>
      </c>
      <c r="F103" s="57" t="n">
        <v>0.739184</v>
      </c>
      <c r="G103" s="56" t="inlineStr">
        <is>
          <t>KG</t>
        </is>
      </c>
      <c r="H103" s="56" t="inlineStr">
        <is>
          <t>R001</t>
        </is>
      </c>
      <c r="I103" s="56" t="inlineStr">
        <is>
          <t>0789</t>
        </is>
      </c>
      <c r="J103" s="56" t="inlineStr">
        <is>
          <t>3100</t>
        </is>
      </c>
      <c r="K103" s="57" t="n">
        <v>907.754</v>
      </c>
      <c r="L103" s="56" t="inlineStr">
        <is>
          <t>9518397670/ 4</t>
        </is>
      </c>
      <c r="M103" s="56" t="inlineStr">
        <is>
          <t>4</t>
        </is>
      </c>
      <c r="N103" s="56" t="inlineStr">
        <is>
          <t>Metalman Auto Private Limited</t>
        </is>
      </c>
      <c r="O103" s="58" t="n">
        <v>3</v>
      </c>
      <c r="P103" s="59" t="inlineStr">
        <is>
          <t>0-30</t>
        </is>
      </c>
      <c r="Q103" s="56" t="inlineStr">
        <is>
          <t>Jitendra Kumar Sharma</t>
        </is>
      </c>
      <c r="U103" s="585" t="n">
        <v>2387804</v>
      </c>
      <c r="V103" t="n">
        <v>15.88</v>
      </c>
      <c r="W103" t="n">
        <v>0</v>
      </c>
      <c r="X103" t="n">
        <v>1.6</v>
      </c>
      <c r="Y103" t="n">
        <v>0.442</v>
      </c>
      <c r="Z103" t="inlineStr">
        <is>
          <t>HROP</t>
        </is>
      </c>
      <c r="AA103" t="inlineStr">
        <is>
          <t>PE</t>
        </is>
      </c>
      <c r="AB103" t="inlineStr">
        <is>
          <t>AW</t>
        </is>
      </c>
      <c r="AC103" t="inlineStr">
        <is>
          <t>15.88-0-1.6-ERW 1-PE</t>
        </is>
      </c>
      <c r="AD103" t="inlineStr">
        <is>
          <t>CTL</t>
        </is>
      </c>
      <c r="AE103" t="inlineStr">
        <is>
          <t>15.88-0-1.6-ERW 1-PE-0.442</t>
        </is>
      </c>
      <c r="AF103" t="n">
        <v>0.248925715584</v>
      </c>
    </row>
    <row r="104">
      <c r="A104" s="56" t="n">
        <v>1940408</v>
      </c>
      <c r="B104" s="56" t="inlineStr">
        <is>
          <t>TUB-O-O-AUT-AW-PE-22.23X1.600X0.8090</t>
        </is>
      </c>
      <c r="C104" s="56" t="inlineStr">
        <is>
          <t>4C11AH1120</t>
        </is>
      </c>
      <c r="D104" s="57" t="n">
        <v>975.721</v>
      </c>
      <c r="E104" s="58" t="n">
        <v>643</v>
      </c>
      <c r="F104" s="57" t="n">
        <v>0.643</v>
      </c>
      <c r="G104" s="56" t="inlineStr">
        <is>
          <t>KG</t>
        </is>
      </c>
      <c r="H104" s="56" t="inlineStr">
        <is>
          <t>R001</t>
        </is>
      </c>
      <c r="I104" s="56" t="inlineStr">
        <is>
          <t>0789</t>
        </is>
      </c>
      <c r="J104" s="56" t="inlineStr">
        <is>
          <t>1100</t>
        </is>
      </c>
      <c r="K104" s="57" t="n">
        <v>789.635</v>
      </c>
      <c r="L104" s="56" t="inlineStr">
        <is>
          <t>9518314443/ 3</t>
        </is>
      </c>
      <c r="M104" s="56" t="inlineStr">
        <is>
          <t>3</t>
        </is>
      </c>
      <c r="N104" s="56" t="inlineStr">
        <is>
          <t>Neel Metal Products Limited</t>
        </is>
      </c>
      <c r="O104" s="58" t="n">
        <v>9</v>
      </c>
      <c r="P104" s="59" t="inlineStr">
        <is>
          <t>0-30</t>
        </is>
      </c>
      <c r="Q104" s="56" t="inlineStr">
        <is>
          <t>Apoorv</t>
        </is>
      </c>
      <c r="U104" s="586" t="n">
        <v>111106839</v>
      </c>
      <c r="V104" t="n">
        <v>15.88</v>
      </c>
      <c r="W104" t="n">
        <v>0</v>
      </c>
      <c r="X104" t="n">
        <v>1.6</v>
      </c>
      <c r="Y104" t="n">
        <v>5.76</v>
      </c>
      <c r="Z104" t="inlineStr">
        <is>
          <t>WG</t>
        </is>
      </c>
      <c r="AA104" t="inlineStr">
        <is>
          <t>PE</t>
        </is>
      </c>
      <c r="AB104" t="inlineStr">
        <is>
          <t>AW</t>
        </is>
      </c>
      <c r="AC104" t="inlineStr">
        <is>
          <t>15.88-0-1.6-ERW 1-PE</t>
        </is>
      </c>
      <c r="AD104" t="inlineStr">
        <is>
          <t>LL</t>
        </is>
      </c>
      <c r="AE104" t="inlineStr">
        <is>
          <t>15.88-0-1.6-ERW 1-PE-1</t>
        </is>
      </c>
      <c r="AF104" t="n">
        <v>0.5631803520000001</v>
      </c>
    </row>
    <row r="105">
      <c r="A105" s="56" t="n">
        <v>1940408</v>
      </c>
      <c r="B105" s="56" t="inlineStr">
        <is>
          <t>TUB-O-O-AUT-AW-PE-22.23X1.600X0.8090</t>
        </is>
      </c>
      <c r="C105" s="56" t="inlineStr">
        <is>
          <t>4C11CH1020</t>
        </is>
      </c>
      <c r="D105" s="57" t="n">
        <v>2649.469</v>
      </c>
      <c r="E105" s="58" t="n">
        <v>1746</v>
      </c>
      <c r="F105" s="57" t="n">
        <v>1.746</v>
      </c>
      <c r="G105" s="56" t="inlineStr">
        <is>
          <t>KG</t>
        </is>
      </c>
      <c r="H105" s="56" t="inlineStr">
        <is>
          <t>R001</t>
        </is>
      </c>
      <c r="I105" s="56" t="inlineStr">
        <is>
          <t>0789</t>
        </is>
      </c>
      <c r="J105" s="56" t="inlineStr">
        <is>
          <t>2650</t>
        </is>
      </c>
      <c r="K105" s="57" t="n">
        <v>2144.173</v>
      </c>
      <c r="L105" s="56" t="inlineStr">
        <is>
          <t>9518314443/ 3</t>
        </is>
      </c>
      <c r="M105" s="56" t="inlineStr">
        <is>
          <t>3</t>
        </is>
      </c>
      <c r="N105" s="56" t="inlineStr">
        <is>
          <t>Neel Metal Products Limited</t>
        </is>
      </c>
      <c r="O105" s="58" t="n">
        <v>9</v>
      </c>
      <c r="P105" s="59" t="inlineStr">
        <is>
          <t>0-30</t>
        </is>
      </c>
      <c r="Q105" s="56" t="inlineStr">
        <is>
          <t>Apoorv</t>
        </is>
      </c>
      <c r="U105" s="585" t="n">
        <v>3478135</v>
      </c>
      <c r="V105" t="n">
        <v>15.88</v>
      </c>
      <c r="W105" t="n">
        <v>0</v>
      </c>
      <c r="X105" t="n">
        <v>1.6</v>
      </c>
      <c r="Y105" t="n">
        <v>5.925</v>
      </c>
      <c r="Z105" t="inlineStr">
        <is>
          <t>HROP</t>
        </is>
      </c>
      <c r="AA105" t="inlineStr">
        <is>
          <t>PE</t>
        </is>
      </c>
      <c r="AB105" t="inlineStr">
        <is>
          <t>AW</t>
        </is>
      </c>
      <c r="AC105" t="inlineStr">
        <is>
          <t>15.88-0-1.6-ERW 1-PE</t>
        </is>
      </c>
      <c r="AD105" t="inlineStr">
        <is>
          <t>LL</t>
        </is>
      </c>
      <c r="AE105" t="inlineStr">
        <is>
          <t>15.88-0-1.6-ERW 1-PE-1</t>
        </is>
      </c>
      <c r="AF105" t="n">
        <v>0.5631803520000001</v>
      </c>
    </row>
    <row r="106">
      <c r="A106" s="56" t="n">
        <v>1940416</v>
      </c>
      <c r="B106" s="56" t="inlineStr">
        <is>
          <t>TUB-O-O-AUT-AW-PE-22.23X1.60X0.935-MAHS</t>
        </is>
      </c>
      <c r="C106" s="56" t="inlineStr">
        <is>
          <t>4C06BH2050</t>
        </is>
      </c>
      <c r="D106" s="57" t="n">
        <v>1746.102</v>
      </c>
      <c r="E106" s="57" t="n">
        <v>1328.784</v>
      </c>
      <c r="F106" s="57" t="n">
        <v>1.328784</v>
      </c>
      <c r="G106" s="56" t="inlineStr">
        <is>
          <t>KG</t>
        </is>
      </c>
      <c r="H106" s="56" t="inlineStr">
        <is>
          <t>R001</t>
        </is>
      </c>
      <c r="I106" s="56" t="inlineStr">
        <is>
          <t>0789</t>
        </is>
      </c>
      <c r="J106" s="56" t="inlineStr">
        <is>
          <t>3400</t>
        </is>
      </c>
      <c r="K106" s="57" t="n">
        <v>1631.811</v>
      </c>
      <c r="L106" s="56" t="inlineStr">
        <is>
          <t>9518395413/ 1</t>
        </is>
      </c>
      <c r="M106" s="56" t="inlineStr">
        <is>
          <t>1</t>
        </is>
      </c>
      <c r="N106" s="56" t="inlineStr">
        <is>
          <t>Sandhar Technologies (KA)–Unit-III</t>
        </is>
      </c>
      <c r="O106" s="58" t="n">
        <v>14</v>
      </c>
      <c r="P106" s="59" t="inlineStr">
        <is>
          <t>0-30</t>
        </is>
      </c>
      <c r="Q106" s="56" t="inlineStr">
        <is>
          <t>Jitendra Kumar Sharma</t>
        </is>
      </c>
      <c r="U106" s="585" t="n">
        <v>1900224</v>
      </c>
      <c r="V106" t="n">
        <v>15.88</v>
      </c>
      <c r="W106" t="n">
        <v>0</v>
      </c>
      <c r="X106" t="n">
        <v>1.6</v>
      </c>
      <c r="Y106" t="n">
        <v>6</v>
      </c>
      <c r="Z106" t="inlineStr">
        <is>
          <t>HROP</t>
        </is>
      </c>
      <c r="AA106" t="inlineStr">
        <is>
          <t>PE</t>
        </is>
      </c>
      <c r="AB106" t="inlineStr">
        <is>
          <t>AP</t>
        </is>
      </c>
      <c r="AC106" t="inlineStr">
        <is>
          <t>15.88-0-1.6-ERW 1-PE</t>
        </is>
      </c>
      <c r="AD106" t="inlineStr">
        <is>
          <t>LL</t>
        </is>
      </c>
      <c r="AE106" t="inlineStr">
        <is>
          <t>15.88-0-1.6-ERW 1-PE-1</t>
        </is>
      </c>
      <c r="AF106" t="n">
        <v>0.5631803520000001</v>
      </c>
    </row>
    <row r="107">
      <c r="A107" s="56" t="n">
        <v>1940418</v>
      </c>
      <c r="B107" s="56" t="inlineStr">
        <is>
          <t>TUB-O-O-AUT-AW-PE-22.23X1.600X0.9670</t>
        </is>
      </c>
      <c r="C107" s="56" t="inlineStr">
        <is>
          <t>4820H30740</t>
        </is>
      </c>
      <c r="D107" s="57" t="n">
        <v>311</v>
      </c>
      <c r="E107" s="57" t="n">
        <v>244.757</v>
      </c>
      <c r="F107" s="57" t="n">
        <v>0.244757</v>
      </c>
      <c r="G107" s="56" t="inlineStr">
        <is>
          <t>KG</t>
        </is>
      </c>
      <c r="H107" s="56" t="inlineStr">
        <is>
          <t>R001</t>
        </is>
      </c>
      <c r="I107" s="56" t="inlineStr">
        <is>
          <t>0789</t>
        </is>
      </c>
      <c r="J107" s="56" t="inlineStr">
        <is>
          <t>311</t>
        </is>
      </c>
      <c r="K107" s="57" t="n">
        <v>300.573</v>
      </c>
      <c r="L107" s="56" t="inlineStr">
        <is>
          <t>9518390450/ 26</t>
        </is>
      </c>
      <c r="M107" s="56" t="inlineStr">
        <is>
          <t>26</t>
        </is>
      </c>
      <c r="N107" s="56" t="inlineStr">
        <is>
          <t>SRIKAM HITECH ENGINEERING PRIVATE L</t>
        </is>
      </c>
      <c r="O107" s="58" t="n">
        <v>129</v>
      </c>
      <c r="P107" s="59" t="inlineStr">
        <is>
          <t>ABOVE 90</t>
        </is>
      </c>
      <c r="Q107" s="56" t="inlineStr">
        <is>
          <t>Apoorv</t>
        </is>
      </c>
      <c r="U107" s="585" t="n">
        <v>1940078</v>
      </c>
      <c r="V107" t="n">
        <v>15.88</v>
      </c>
      <c r="W107" t="n">
        <v>0</v>
      </c>
      <c r="X107" t="n">
        <v>1.6</v>
      </c>
      <c r="Y107" t="n">
        <v>6</v>
      </c>
      <c r="Z107" t="inlineStr">
        <is>
          <t>GR1</t>
        </is>
      </c>
      <c r="AA107" t="inlineStr">
        <is>
          <t>PE</t>
        </is>
      </c>
      <c r="AB107" t="inlineStr">
        <is>
          <t>AW</t>
        </is>
      </c>
      <c r="AC107" t="inlineStr">
        <is>
          <t>15.88-0-1.6-ERW 1-PE</t>
        </is>
      </c>
      <c r="AD107" t="inlineStr">
        <is>
          <t>LL</t>
        </is>
      </c>
      <c r="AE107" t="inlineStr">
        <is>
          <t>15.88-0-1.6-ERW 1-PE-1</t>
        </is>
      </c>
      <c r="AF107" t="n">
        <v>0.5631803520000001</v>
      </c>
    </row>
    <row r="108">
      <c r="A108" s="56" t="n">
        <v>1940420</v>
      </c>
      <c r="B108" s="56" t="inlineStr">
        <is>
          <t>TUB-O-O-AUT-AW-PE-22.23X1.600X1.1750</t>
        </is>
      </c>
      <c r="C108" s="56" t="inlineStr">
        <is>
          <t>4729AH2080</t>
        </is>
      </c>
      <c r="D108" s="57" t="n">
        <v>201.672</v>
      </c>
      <c r="E108" s="58" t="n">
        <v>193</v>
      </c>
      <c r="F108" s="57" t="n">
        <v>0.193</v>
      </c>
      <c r="G108" s="56" t="inlineStr">
        <is>
          <t>KG</t>
        </is>
      </c>
      <c r="H108" s="56" t="inlineStr">
        <is>
          <t>R001</t>
        </is>
      </c>
      <c r="I108" s="56" t="inlineStr">
        <is>
          <t>0789</t>
        </is>
      </c>
      <c r="J108" s="56" t="inlineStr">
        <is>
          <t>202</t>
        </is>
      </c>
      <c r="K108" s="57" t="n">
        <v>237.013</v>
      </c>
      <c r="L108" s="56" t="inlineStr">
        <is>
          <t>9517917936/ 2</t>
        </is>
      </c>
      <c r="M108" s="56" t="inlineStr">
        <is>
          <t>2</t>
        </is>
      </c>
      <c r="N108" s="56" t="inlineStr">
        <is>
          <t>RAJSRIYA AUTOMOTIVE IND. P LTD</t>
        </is>
      </c>
      <c r="O108" s="58" t="n">
        <v>31</v>
      </c>
      <c r="P108" s="59" t="inlineStr">
        <is>
          <t>31-60</t>
        </is>
      </c>
      <c r="Q108" s="56" t="inlineStr">
        <is>
          <t>Apoorv</t>
        </is>
      </c>
      <c r="U108" s="585" t="n">
        <v>1940075</v>
      </c>
      <c r="V108" t="n">
        <v>15.88</v>
      </c>
      <c r="W108" t="n">
        <v>0</v>
      </c>
      <c r="X108" t="n">
        <v>1.6</v>
      </c>
      <c r="Y108" t="n">
        <v>6</v>
      </c>
      <c r="Z108" t="inlineStr">
        <is>
          <t>WG</t>
        </is>
      </c>
      <c r="AA108" t="inlineStr">
        <is>
          <t>PE</t>
        </is>
      </c>
      <c r="AB108" t="inlineStr">
        <is>
          <t>AW</t>
        </is>
      </c>
      <c r="AC108" t="inlineStr">
        <is>
          <t>15.88-0-1.6-ERW 1-PE</t>
        </is>
      </c>
      <c r="AD108" t="inlineStr">
        <is>
          <t>LL</t>
        </is>
      </c>
      <c r="AE108" t="inlineStr">
        <is>
          <t>15.88-0-1.6-ERW 1-PE-1</t>
        </is>
      </c>
      <c r="AF108" t="n">
        <v>0.5631803520000001</v>
      </c>
    </row>
    <row r="109">
      <c r="A109" s="56" t="n">
        <v>1940420</v>
      </c>
      <c r="B109" s="56" t="inlineStr">
        <is>
          <t>TUB-O-O-AUT-AW-PE-22.23X1.600X1.1750</t>
        </is>
      </c>
      <c r="C109" s="56" t="inlineStr">
        <is>
          <t>4C08BH2050</t>
        </is>
      </c>
      <c r="D109" s="57" t="n">
        <v>1256.687</v>
      </c>
      <c r="E109" s="57" t="n">
        <v>1202.649</v>
      </c>
      <c r="F109" s="57" t="n">
        <v>1.202649</v>
      </c>
      <c r="G109" s="56" t="inlineStr">
        <is>
          <t>KG</t>
        </is>
      </c>
      <c r="H109" s="56" t="inlineStr">
        <is>
          <t>R001</t>
        </is>
      </c>
      <c r="I109" s="56" t="inlineStr">
        <is>
          <t>0789</t>
        </is>
      </c>
      <c r="J109" s="56" t="inlineStr">
        <is>
          <t>1900</t>
        </is>
      </c>
      <c r="K109" s="57" t="n">
        <v>1476.911</v>
      </c>
      <c r="L109" s="56" t="inlineStr">
        <is>
          <t>9518080410/ 9</t>
        </is>
      </c>
      <c r="M109" s="56" t="inlineStr">
        <is>
          <t>9</t>
        </is>
      </c>
      <c r="N109" s="56" t="inlineStr">
        <is>
          <t>Rajsriya Automotive Ind.P.Ltd Unit-</t>
        </is>
      </c>
      <c r="O109" s="58" t="n">
        <v>31</v>
      </c>
      <c r="P109" s="59" t="inlineStr">
        <is>
          <t>31-60</t>
        </is>
      </c>
      <c r="Q109" s="56" t="inlineStr">
        <is>
          <t>Apoorv</t>
        </is>
      </c>
      <c r="U109" s="585" t="n">
        <v>1940077</v>
      </c>
      <c r="V109" t="n">
        <v>15.88</v>
      </c>
      <c r="W109" t="n">
        <v>0</v>
      </c>
      <c r="X109" t="n">
        <v>1.6</v>
      </c>
      <c r="Y109" t="n">
        <v>6</v>
      </c>
      <c r="Z109" t="inlineStr">
        <is>
          <t>GR1</t>
        </is>
      </c>
      <c r="AA109" t="inlineStr">
        <is>
          <t>PE</t>
        </is>
      </c>
      <c r="AB109" t="inlineStr">
        <is>
          <t>AW</t>
        </is>
      </c>
      <c r="AC109" t="inlineStr">
        <is>
          <t>15.88-0-1.6-ERW 1-PE</t>
        </is>
      </c>
      <c r="AD109" t="inlineStr">
        <is>
          <t>LL</t>
        </is>
      </c>
      <c r="AE109" t="inlineStr">
        <is>
          <t>15.88-0-1.6-ERW 1-PE-1</t>
        </is>
      </c>
      <c r="AF109" t="n">
        <v>0.5631803520000001</v>
      </c>
    </row>
    <row r="110">
      <c r="A110" s="56" t="n">
        <v>1940420</v>
      </c>
      <c r="B110" s="56" t="inlineStr">
        <is>
          <t>TUB-O-O-AUT-AW-PE-22.23X1.600X1.1750</t>
        </is>
      </c>
      <c r="C110" s="56" t="inlineStr">
        <is>
          <t>4C08BH2080</t>
        </is>
      </c>
      <c r="D110" s="57" t="n">
        <v>1149.425</v>
      </c>
      <c r="E110" s="58" t="n">
        <v>1100</v>
      </c>
      <c r="F110" s="57" t="n">
        <v>1.1</v>
      </c>
      <c r="G110" s="56" t="inlineStr">
        <is>
          <t>KG</t>
        </is>
      </c>
      <c r="H110" s="56" t="inlineStr">
        <is>
          <t>R001</t>
        </is>
      </c>
      <c r="I110" s="56" t="inlineStr">
        <is>
          <t>0789</t>
        </is>
      </c>
      <c r="J110" s="56" t="inlineStr">
        <is>
          <t>1150</t>
        </is>
      </c>
      <c r="K110" s="57" t="n">
        <v>1350.853</v>
      </c>
      <c r="L110" s="56" t="inlineStr">
        <is>
          <t>9518314496/ 23</t>
        </is>
      </c>
      <c r="M110" s="56" t="inlineStr">
        <is>
          <t>23</t>
        </is>
      </c>
      <c r="N110" s="56" t="inlineStr">
        <is>
          <t>RAJSRIYA AUTOMOTIVE IND. P LTD</t>
        </is>
      </c>
      <c r="O110" s="58" t="n">
        <v>31</v>
      </c>
      <c r="P110" s="59" t="inlineStr">
        <is>
          <t>31-60</t>
        </is>
      </c>
      <c r="Q110" s="56" t="inlineStr">
        <is>
          <t>Apoorv</t>
        </is>
      </c>
      <c r="U110" s="586" t="n">
        <v>110102230</v>
      </c>
      <c r="V110" t="n">
        <v>15.88</v>
      </c>
      <c r="W110" t="n">
        <v>0</v>
      </c>
      <c r="X110" t="n">
        <v>1.6</v>
      </c>
      <c r="Y110" t="n">
        <v>6</v>
      </c>
      <c r="Z110" t="inlineStr">
        <is>
          <t>WG</t>
        </is>
      </c>
      <c r="AA110" t="inlineStr">
        <is>
          <t>PE</t>
        </is>
      </c>
      <c r="AB110" t="inlineStr">
        <is>
          <t>AW</t>
        </is>
      </c>
      <c r="AC110" t="inlineStr">
        <is>
          <t>15.88-0-1.6-ERW 1-PE</t>
        </is>
      </c>
      <c r="AD110" t="inlineStr">
        <is>
          <t>LL</t>
        </is>
      </c>
      <c r="AE110" t="inlineStr">
        <is>
          <t>15.88-0-1.6-ERW 1-PE-1</t>
        </is>
      </c>
      <c r="AF110" t="n">
        <v>0.5631803520000001</v>
      </c>
    </row>
    <row r="111">
      <c r="A111" s="56" t="n">
        <v>1940420</v>
      </c>
      <c r="B111" s="56" t="inlineStr">
        <is>
          <t>TUB-O-O-AUT-AW-PE-22.23X1.600X1.1750</t>
        </is>
      </c>
      <c r="C111" s="56" t="inlineStr">
        <is>
          <t>4C08CH2020</t>
        </is>
      </c>
      <c r="D111" s="57" t="n">
        <v>1149.425</v>
      </c>
      <c r="E111" s="58" t="n">
        <v>1100</v>
      </c>
      <c r="F111" s="57" t="n">
        <v>1.1</v>
      </c>
      <c r="G111" s="56" t="inlineStr">
        <is>
          <t>KG</t>
        </is>
      </c>
      <c r="H111" s="56" t="inlineStr">
        <is>
          <t>R001</t>
        </is>
      </c>
      <c r="I111" s="56" t="inlineStr">
        <is>
          <t>0789</t>
        </is>
      </c>
      <c r="J111" s="56" t="inlineStr">
        <is>
          <t>1150</t>
        </is>
      </c>
      <c r="K111" s="57" t="n">
        <v>1350.853</v>
      </c>
      <c r="L111" s="56" t="inlineStr">
        <is>
          <t>9518314496/ 23</t>
        </is>
      </c>
      <c r="M111" s="56" t="inlineStr">
        <is>
          <t>23</t>
        </is>
      </c>
      <c r="N111" s="56" t="inlineStr">
        <is>
          <t>RAJSRIYA AUTOMOTIVE IND. P LTD</t>
        </is>
      </c>
      <c r="O111" s="58" t="n">
        <v>31</v>
      </c>
      <c r="P111" s="59" t="inlineStr">
        <is>
          <t>31-60</t>
        </is>
      </c>
      <c r="Q111" s="56" t="inlineStr">
        <is>
          <t>Apoorv</t>
        </is>
      </c>
      <c r="U111" s="586" t="n">
        <v>110102232</v>
      </c>
      <c r="V111" t="n">
        <v>15.88</v>
      </c>
      <c r="W111" t="n">
        <v>0</v>
      </c>
      <c r="X111" t="n">
        <v>1.6</v>
      </c>
      <c r="Y111" t="n">
        <v>6</v>
      </c>
      <c r="Z111" t="inlineStr">
        <is>
          <t>GR1</t>
        </is>
      </c>
      <c r="AA111" t="inlineStr">
        <is>
          <t>PE</t>
        </is>
      </c>
      <c r="AB111" t="inlineStr">
        <is>
          <t>AW</t>
        </is>
      </c>
      <c r="AC111" t="inlineStr">
        <is>
          <t>15.88-0-1.6-ERW 1-PE</t>
        </is>
      </c>
      <c r="AD111" t="inlineStr">
        <is>
          <t>LL</t>
        </is>
      </c>
      <c r="AE111" t="inlineStr">
        <is>
          <t>15.88-0-1.6-ERW 1-PE-1</t>
        </is>
      </c>
      <c r="AF111" t="n">
        <v>0.5631803520000001</v>
      </c>
    </row>
    <row r="112">
      <c r="A112" s="56" t="n">
        <v>1940420</v>
      </c>
      <c r="B112" s="56" t="inlineStr">
        <is>
          <t>TUB-O-O-AUT-AW-PE-22.23X1.600X1.1750</t>
        </is>
      </c>
      <c r="C112" s="56" t="inlineStr">
        <is>
          <t>4C12H39550</t>
        </is>
      </c>
      <c r="D112" s="57" t="n">
        <v>1533.96</v>
      </c>
      <c r="E112" s="58" t="n">
        <v>1468</v>
      </c>
      <c r="F112" s="57" t="n">
        <v>1.468</v>
      </c>
      <c r="G112" s="56" t="inlineStr">
        <is>
          <t>KG</t>
        </is>
      </c>
      <c r="H112" s="56" t="inlineStr">
        <is>
          <t>R001</t>
        </is>
      </c>
      <c r="I112" s="56" t="inlineStr">
        <is>
          <t>0789</t>
        </is>
      </c>
      <c r="J112" s="56" t="inlineStr">
        <is>
          <t>1534</t>
        </is>
      </c>
      <c r="K112" s="57" t="n">
        <v>1802.775</v>
      </c>
      <c r="L112" s="56" t="inlineStr">
        <is>
          <t>9518314496/ 23</t>
        </is>
      </c>
      <c r="M112" s="56" t="inlineStr">
        <is>
          <t>23</t>
        </is>
      </c>
      <c r="N112" s="56" t="inlineStr">
        <is>
          <t>RAJSRIYA AUTOMOTIVE IND. P LTD</t>
        </is>
      </c>
      <c r="O112" s="58" t="n">
        <v>32</v>
      </c>
      <c r="P112" s="59" t="inlineStr">
        <is>
          <t>31-60</t>
        </is>
      </c>
      <c r="Q112" s="56" t="inlineStr">
        <is>
          <t>Apoorv</t>
        </is>
      </c>
      <c r="U112" s="585" t="n">
        <v>2420205</v>
      </c>
      <c r="V112" t="n">
        <v>15.88</v>
      </c>
      <c r="W112" t="n">
        <v>0</v>
      </c>
      <c r="X112" t="n">
        <v>2</v>
      </c>
      <c r="Y112" t="n">
        <v>0.155</v>
      </c>
      <c r="Z112" t="inlineStr">
        <is>
          <t>NORMAL</t>
        </is>
      </c>
      <c r="AA112" t="inlineStr">
        <is>
          <t>PE</t>
        </is>
      </c>
      <c r="AB112" t="inlineStr">
        <is>
          <t>AW</t>
        </is>
      </c>
      <c r="AC112" t="inlineStr">
        <is>
          <t>15.88-0-2-ERW 1-PE</t>
        </is>
      </c>
      <c r="AD112" t="inlineStr">
        <is>
          <t>CTL</t>
        </is>
      </c>
      <c r="AE112" t="inlineStr">
        <is>
          <t>15.88-0-2-ERW 1-PE-0.155</t>
        </is>
      </c>
      <c r="AF112" t="n">
        <v>0.1060597172</v>
      </c>
    </row>
    <row r="113">
      <c r="A113" s="56" t="n">
        <v>1940430</v>
      </c>
      <c r="B113" s="56" t="inlineStr">
        <is>
          <t>TUB-O-O-AUT-AW-PE-22.23X2.000X0.2200</t>
        </is>
      </c>
      <c r="C113" s="56" t="inlineStr">
        <is>
          <t>4B12BH2140</t>
        </is>
      </c>
      <c r="D113" s="57" t="n">
        <v>781.818</v>
      </c>
      <c r="E113" s="58" t="n">
        <v>172</v>
      </c>
      <c r="F113" s="57" t="n">
        <v>0.172</v>
      </c>
      <c r="G113" s="56" t="inlineStr">
        <is>
          <t>KG</t>
        </is>
      </c>
      <c r="H113" s="56" t="inlineStr">
        <is>
          <t>R001</t>
        </is>
      </c>
      <c r="I113" s="56" t="inlineStr">
        <is>
          <t>0789</t>
        </is>
      </c>
      <c r="J113" s="56" t="inlineStr">
        <is>
          <t>9800</t>
        </is>
      </c>
      <c r="K113" s="57" t="n">
        <v>172.327</v>
      </c>
      <c r="L113" s="56" t="inlineStr">
        <is>
          <t>9518390450/ 29</t>
        </is>
      </c>
      <c r="M113" s="56" t="inlineStr">
        <is>
          <t>29</t>
        </is>
      </c>
      <c r="N113" s="56" t="inlineStr">
        <is>
          <t>SRIKAM HITECH ENGINEERING PRIVATE L</t>
        </is>
      </c>
      <c r="O113" s="58" t="n">
        <v>28</v>
      </c>
      <c r="P113" s="59" t="inlineStr">
        <is>
          <t>0-30</t>
        </is>
      </c>
      <c r="Q113" s="56" t="inlineStr">
        <is>
          <t>Apoorv</t>
        </is>
      </c>
      <c r="U113" s="585" t="n">
        <v>3706751</v>
      </c>
      <c r="V113" t="n">
        <v>15.88</v>
      </c>
      <c r="W113" t="n">
        <v>0</v>
      </c>
      <c r="X113" t="n">
        <v>2</v>
      </c>
      <c r="Y113" t="n">
        <v>0.16</v>
      </c>
      <c r="Z113" t="inlineStr">
        <is>
          <t>NORMAL</t>
        </is>
      </c>
      <c r="AA113" t="inlineStr">
        <is>
          <t>PE</t>
        </is>
      </c>
      <c r="AB113" t="inlineStr">
        <is>
          <t>AW</t>
        </is>
      </c>
      <c r="AC113" t="inlineStr">
        <is>
          <t>15.88-0-2-ERW 1-PE</t>
        </is>
      </c>
      <c r="AD113" t="inlineStr">
        <is>
          <t>CTL</t>
        </is>
      </c>
      <c r="AE113" t="inlineStr">
        <is>
          <t>15.88-0-2-ERW 1-PE-0.16</t>
        </is>
      </c>
      <c r="AF113" t="n">
        <v>0.1094809984</v>
      </c>
    </row>
    <row r="114">
      <c r="A114" s="56" t="n">
        <v>1940433</v>
      </c>
      <c r="B114" s="56" t="inlineStr">
        <is>
          <t>TUB-O-O-AUT-AW-PE-22.23X2.000X0.2700</t>
        </is>
      </c>
      <c r="C114" s="56" t="inlineStr">
        <is>
          <t>PV24030031</t>
        </is>
      </c>
      <c r="D114" s="57" t="n">
        <v>1048.056</v>
      </c>
      <c r="E114" s="57" t="n">
        <v>282.975</v>
      </c>
      <c r="F114" s="57" t="n">
        <v>0.282975</v>
      </c>
      <c r="G114" s="56" t="inlineStr">
        <is>
          <t>KG</t>
        </is>
      </c>
      <c r="H114" s="56" t="inlineStr">
        <is>
          <t>R001</t>
        </is>
      </c>
      <c r="I114" s="56" t="inlineStr">
        <is>
          <t>0789</t>
        </is>
      </c>
      <c r="J114" s="56" t="inlineStr"/>
      <c r="K114" s="57" t="n">
        <v>283.514</v>
      </c>
      <c r="L114" s="56" t="inlineStr"/>
      <c r="M114" s="56" t="inlineStr">
        <is>
          <t>0</t>
        </is>
      </c>
      <c r="N114" s="56" t="inlineStr">
        <is>
          <t>FREE STOCK</t>
        </is>
      </c>
      <c r="O114" s="58" t="n">
        <v>262</v>
      </c>
      <c r="P114" s="59" t="inlineStr">
        <is>
          <t>ABOVE 90</t>
        </is>
      </c>
      <c r="Q114" s="56" t="inlineStr">
        <is>
          <t>Free Stock</t>
        </is>
      </c>
      <c r="U114" s="585" t="n">
        <v>468311</v>
      </c>
      <c r="V114" t="n">
        <v>15.88</v>
      </c>
      <c r="W114" t="n">
        <v>0</v>
      </c>
      <c r="X114" t="n">
        <v>2</v>
      </c>
      <c r="Y114" t="n">
        <v>0.291</v>
      </c>
      <c r="Z114" t="inlineStr">
        <is>
          <t>TPT</t>
        </is>
      </c>
      <c r="AA114" t="inlineStr">
        <is>
          <t>PE</t>
        </is>
      </c>
      <c r="AB114" t="inlineStr">
        <is>
          <t>AW</t>
        </is>
      </c>
      <c r="AC114" t="inlineStr">
        <is>
          <t>15.88-0-2-ERW 1-PE</t>
        </is>
      </c>
      <c r="AD114" t="inlineStr">
        <is>
          <t>CTL</t>
        </is>
      </c>
      <c r="AE114" t="inlineStr">
        <is>
          <t>15.88-0-2-ERW 1-PE-0.291</t>
        </is>
      </c>
      <c r="AF114" t="n">
        <v>0.19911856584</v>
      </c>
    </row>
    <row r="115">
      <c r="A115" s="56" t="n">
        <v>1940437</v>
      </c>
      <c r="B115" s="56" t="inlineStr">
        <is>
          <t>TUB-O-O-AUT-AW-PE-22.23X2.000X0.3940</t>
        </is>
      </c>
      <c r="C115" s="56" t="inlineStr">
        <is>
          <t>4B14H37491</t>
        </is>
      </c>
      <c r="D115" s="57" t="n">
        <v>1126.453</v>
      </c>
      <c r="E115" s="57" t="n">
        <v>442.696</v>
      </c>
      <c r="F115" s="57" t="n">
        <v>0.442696</v>
      </c>
      <c r="G115" s="56" t="inlineStr">
        <is>
          <t>KG</t>
        </is>
      </c>
      <c r="H115" s="56" t="inlineStr">
        <is>
          <t>R001</t>
        </is>
      </c>
      <c r="I115" s="56" t="inlineStr">
        <is>
          <t>0789</t>
        </is>
      </c>
      <c r="J115" s="56" t="inlineStr">
        <is>
          <t>6250</t>
        </is>
      </c>
      <c r="K115" s="57" t="n">
        <v>443.539</v>
      </c>
      <c r="L115" s="56" t="inlineStr">
        <is>
          <t>9518314443/ 1</t>
        </is>
      </c>
      <c r="M115" s="56" t="inlineStr">
        <is>
          <t>1</t>
        </is>
      </c>
      <c r="N115" s="56" t="inlineStr">
        <is>
          <t>Neel Metal Products Limited</t>
        </is>
      </c>
      <c r="O115" s="58" t="n">
        <v>60</v>
      </c>
      <c r="P115" s="59" t="inlineStr">
        <is>
          <t>31-60</t>
        </is>
      </c>
      <c r="Q115" s="56" t="inlineStr">
        <is>
          <t>Apoorv</t>
        </is>
      </c>
      <c r="U115" s="585" t="n">
        <v>1940090</v>
      </c>
      <c r="V115" t="n">
        <v>15.88</v>
      </c>
      <c r="W115" t="n">
        <v>0</v>
      </c>
      <c r="X115" t="n">
        <v>2</v>
      </c>
      <c r="Y115" t="n">
        <v>0.291</v>
      </c>
      <c r="Z115" t="inlineStr">
        <is>
          <t>GR1</t>
        </is>
      </c>
      <c r="AA115" t="inlineStr">
        <is>
          <t>PE</t>
        </is>
      </c>
      <c r="AB115" t="inlineStr">
        <is>
          <t>AW</t>
        </is>
      </c>
      <c r="AC115" t="inlineStr">
        <is>
          <t>15.88-0-2-ERW 1-PE</t>
        </is>
      </c>
      <c r="AD115" t="inlineStr">
        <is>
          <t>CTL</t>
        </is>
      </c>
      <c r="AE115" t="inlineStr">
        <is>
          <t>15.88-0-2-ERW 1-PE-0.291</t>
        </is>
      </c>
      <c r="AF115" t="n">
        <v>0.19911856584</v>
      </c>
    </row>
    <row r="116">
      <c r="A116" s="56" t="n">
        <v>1940437</v>
      </c>
      <c r="B116" s="56" t="inlineStr">
        <is>
          <t>TUB-O-O-AUT-AW-PE-22.23X2.000X0.3940</t>
        </is>
      </c>
      <c r="C116" s="56" t="inlineStr">
        <is>
          <t>4B14H37492</t>
        </is>
      </c>
      <c r="D116" s="57" t="n">
        <v>849.873</v>
      </c>
      <c r="E116" s="58" t="n">
        <v>334</v>
      </c>
      <c r="F116" s="57" t="n">
        <v>0.334</v>
      </c>
      <c r="G116" s="56" t="inlineStr">
        <is>
          <t>KG</t>
        </is>
      </c>
      <c r="H116" s="56" t="inlineStr">
        <is>
          <t>R001</t>
        </is>
      </c>
      <c r="I116" s="56" t="inlineStr">
        <is>
          <t>0789</t>
        </is>
      </c>
      <c r="J116" s="56" t="inlineStr">
        <is>
          <t>850</t>
        </is>
      </c>
      <c r="K116" s="57" t="n">
        <v>334.636</v>
      </c>
      <c r="L116" s="56" t="inlineStr">
        <is>
          <t>9518314443/ 1</t>
        </is>
      </c>
      <c r="M116" s="56" t="inlineStr">
        <is>
          <t>1</t>
        </is>
      </c>
      <c r="N116" s="56" t="inlineStr">
        <is>
          <t>Neel Metal Products Limited</t>
        </is>
      </c>
      <c r="O116" s="58" t="n">
        <v>59</v>
      </c>
      <c r="P116" s="59" t="inlineStr">
        <is>
          <t>31-60</t>
        </is>
      </c>
      <c r="Q116" s="56" t="inlineStr">
        <is>
          <t>Apoorv</t>
        </is>
      </c>
      <c r="U116" s="585" t="n">
        <v>3506797</v>
      </c>
      <c r="V116" t="n">
        <v>15.88</v>
      </c>
      <c r="W116" t="n">
        <v>0</v>
      </c>
      <c r="X116" t="n">
        <v>2</v>
      </c>
      <c r="Y116" t="n">
        <v>0.291</v>
      </c>
      <c r="Z116" t="inlineStr"/>
      <c r="AA116" t="inlineStr">
        <is>
          <t>PE</t>
        </is>
      </c>
      <c r="AB116" t="inlineStr">
        <is>
          <t>AW</t>
        </is>
      </c>
      <c r="AC116" t="inlineStr">
        <is>
          <t>15.88-0-2-ERW 1-PE</t>
        </is>
      </c>
      <c r="AD116" t="inlineStr">
        <is>
          <t>CTL</t>
        </is>
      </c>
      <c r="AE116" t="inlineStr">
        <is>
          <t>15.88-0-2-ERW 1-PE-0.291</t>
        </is>
      </c>
      <c r="AF116" t="n">
        <v>0.19911856584</v>
      </c>
    </row>
    <row r="117">
      <c r="A117" s="56" t="n">
        <v>1940445</v>
      </c>
      <c r="B117" s="56" t="inlineStr">
        <is>
          <t>TUB-O-O-AUT-AW-PE-22.23X2.000X0.5050</t>
        </is>
      </c>
      <c r="C117" s="56" t="inlineStr">
        <is>
          <t>AKN2410R13</t>
        </is>
      </c>
      <c r="D117" s="57" t="n">
        <v>640</v>
      </c>
      <c r="E117" s="57" t="n">
        <v>322.56</v>
      </c>
      <c r="F117" s="57" t="n">
        <v>0.32256</v>
      </c>
      <c r="G117" s="56" t="inlineStr">
        <is>
          <t>KG</t>
        </is>
      </c>
      <c r="H117" s="56" t="inlineStr">
        <is>
          <t>R001</t>
        </is>
      </c>
      <c r="I117" s="56" t="inlineStr">
        <is>
          <t>0789</t>
        </is>
      </c>
      <c r="J117" s="56" t="inlineStr"/>
      <c r="K117" s="57" t="n">
        <v>323.174</v>
      </c>
      <c r="L117" s="56" t="inlineStr">
        <is>
          <t>9518229392/ 9</t>
        </is>
      </c>
      <c r="M117" s="56" t="inlineStr">
        <is>
          <t>9</t>
        </is>
      </c>
      <c r="N117" s="56" t="inlineStr">
        <is>
          <t>Rajsriya Automotive Industries</t>
        </is>
      </c>
      <c r="O117" s="58" t="n">
        <v>94</v>
      </c>
      <c r="P117" s="59" t="inlineStr">
        <is>
          <t>ABOVE 90</t>
        </is>
      </c>
      <c r="Q117" s="56" t="inlineStr">
        <is>
          <t>Apoorv</t>
        </is>
      </c>
      <c r="U117" s="585" t="n">
        <v>2243845</v>
      </c>
      <c r="V117" t="n">
        <v>15.88</v>
      </c>
      <c r="W117" t="n">
        <v>0</v>
      </c>
      <c r="X117" t="n">
        <v>2</v>
      </c>
      <c r="Y117" t="n">
        <v>0.442</v>
      </c>
      <c r="Z117" t="inlineStr">
        <is>
          <t>GR1</t>
        </is>
      </c>
      <c r="AA117" t="inlineStr">
        <is>
          <t>PE</t>
        </is>
      </c>
      <c r="AB117" t="inlineStr">
        <is>
          <t>HR</t>
        </is>
      </c>
      <c r="AC117" t="inlineStr">
        <is>
          <t>15.88-0-2-ERW 1-PE</t>
        </is>
      </c>
      <c r="AD117" t="inlineStr">
        <is>
          <t>CTL</t>
        </is>
      </c>
      <c r="AE117" t="inlineStr">
        <is>
          <t>15.88-0-2-ERW 1-PE-0.442</t>
        </is>
      </c>
      <c r="AF117" t="n">
        <v>0.3024412580800001</v>
      </c>
    </row>
    <row r="118">
      <c r="A118" s="56" t="n">
        <v>1940466</v>
      </c>
      <c r="B118" s="56" t="inlineStr">
        <is>
          <t>TUB-O-O-AUT-AW-PE-22.23X2.000X0.8090</t>
        </is>
      </c>
      <c r="C118" s="56" t="inlineStr">
        <is>
          <t>4B12AH2100</t>
        </is>
      </c>
      <c r="D118" s="57" t="n">
        <v>190.317</v>
      </c>
      <c r="E118" s="57" t="n">
        <v>153.776</v>
      </c>
      <c r="F118" s="57" t="n">
        <v>0.153776</v>
      </c>
      <c r="G118" s="56" t="inlineStr">
        <is>
          <t>KG</t>
        </is>
      </c>
      <c r="H118" s="56" t="inlineStr">
        <is>
          <t>R001</t>
        </is>
      </c>
      <c r="I118" s="56" t="inlineStr">
        <is>
          <t>0789</t>
        </is>
      </c>
      <c r="J118" s="56" t="inlineStr">
        <is>
          <t>3170</t>
        </is>
      </c>
      <c r="K118" s="57" t="n">
        <v>154.069</v>
      </c>
      <c r="L118" s="56" t="inlineStr">
        <is>
          <t>9518314443/ 2</t>
        </is>
      </c>
      <c r="M118" s="56" t="inlineStr">
        <is>
          <t>2</t>
        </is>
      </c>
      <c r="N118" s="56" t="inlineStr">
        <is>
          <t>Neel Metal Products Limited</t>
        </is>
      </c>
      <c r="O118" s="58" t="n">
        <v>59</v>
      </c>
      <c r="P118" s="59" t="inlineStr">
        <is>
          <t>31-60</t>
        </is>
      </c>
      <c r="Q118" s="56" t="inlineStr">
        <is>
          <t>Apoorv</t>
        </is>
      </c>
      <c r="U118" s="585" t="n">
        <v>1941353</v>
      </c>
      <c r="V118" t="n">
        <v>15.88</v>
      </c>
      <c r="W118" t="n">
        <v>0</v>
      </c>
      <c r="X118" t="n">
        <v>2</v>
      </c>
      <c r="Y118" t="n">
        <v>0.515</v>
      </c>
      <c r="Z118" t="inlineStr">
        <is>
          <t>D</t>
        </is>
      </c>
      <c r="AA118" t="inlineStr">
        <is>
          <t>PE</t>
        </is>
      </c>
      <c r="AB118" t="inlineStr">
        <is>
          <t>AW</t>
        </is>
      </c>
      <c r="AC118" t="inlineStr">
        <is>
          <t>15.88-0-2-ERW 1-PE</t>
        </is>
      </c>
      <c r="AD118" t="inlineStr">
        <is>
          <t>CTL</t>
        </is>
      </c>
      <c r="AE118" t="inlineStr">
        <is>
          <t>15.88-0-2-ERW 1-PE-0.515</t>
        </is>
      </c>
      <c r="AF118" t="n">
        <v>0.3523919636</v>
      </c>
    </row>
    <row r="119">
      <c r="A119" s="56" t="n">
        <v>1940466</v>
      </c>
      <c r="B119" s="56" t="inlineStr">
        <is>
          <t>TUB-O-O-AUT-AW-PE-22.23X2.000X0.8090</t>
        </is>
      </c>
      <c r="C119" s="56" t="inlineStr">
        <is>
          <t>4B12BH2060</t>
        </is>
      </c>
      <c r="D119" s="57" t="n">
        <v>398.515</v>
      </c>
      <c r="E119" s="58" t="n">
        <v>322</v>
      </c>
      <c r="F119" s="57" t="n">
        <v>0.322</v>
      </c>
      <c r="G119" s="56" t="inlineStr">
        <is>
          <t>KG</t>
        </is>
      </c>
      <c r="H119" s="56" t="inlineStr">
        <is>
          <t>R001</t>
        </is>
      </c>
      <c r="I119" s="56" t="inlineStr">
        <is>
          <t>0789</t>
        </is>
      </c>
      <c r="J119" s="56" t="inlineStr">
        <is>
          <t>3400</t>
        </is>
      </c>
      <c r="K119" s="57" t="n">
        <v>322.613</v>
      </c>
      <c r="L119" s="56" t="inlineStr">
        <is>
          <t>9518314443/ 2</t>
        </is>
      </c>
      <c r="M119" s="56" t="inlineStr">
        <is>
          <t>2</t>
        </is>
      </c>
      <c r="N119" s="56" t="inlineStr">
        <is>
          <t>Neel Metal Products Limited</t>
        </is>
      </c>
      <c r="O119" s="58" t="n">
        <v>30</v>
      </c>
      <c r="P119" s="59" t="inlineStr">
        <is>
          <t>0-30</t>
        </is>
      </c>
      <c r="Q119" s="56" t="inlineStr">
        <is>
          <t>Apoorv</t>
        </is>
      </c>
      <c r="U119" s="585" t="n">
        <v>2384087</v>
      </c>
      <c r="V119" t="n">
        <v>15.88</v>
      </c>
      <c r="W119" t="n">
        <v>0</v>
      </c>
      <c r="X119" t="n">
        <v>2</v>
      </c>
      <c r="Y119" t="n">
        <v>5.9</v>
      </c>
      <c r="Z119" t="inlineStr">
        <is>
          <t>HROP</t>
        </is>
      </c>
      <c r="AA119" t="inlineStr">
        <is>
          <t>PE</t>
        </is>
      </c>
      <c r="AB119" t="inlineStr">
        <is>
          <t>AW</t>
        </is>
      </c>
      <c r="AC119" t="inlineStr">
        <is>
          <t>15.88-0-2-ERW 1-PE</t>
        </is>
      </c>
      <c r="AD119" t="inlineStr">
        <is>
          <t>LL</t>
        </is>
      </c>
      <c r="AE119" t="inlineStr">
        <is>
          <t>15.88-0-2-ERW 1-PE-1</t>
        </is>
      </c>
      <c r="AF119" t="n">
        <v>0.6842562400000001</v>
      </c>
    </row>
    <row r="120">
      <c r="A120" s="56" t="n">
        <v>1940470</v>
      </c>
      <c r="B120" s="56" t="inlineStr">
        <is>
          <t>TUB-O-O-AUT-AW-PE-22.23X2.000X0.8510</t>
        </is>
      </c>
      <c r="C120" s="56" t="inlineStr">
        <is>
          <t>4A15AH2050</t>
        </is>
      </c>
      <c r="D120" s="57" t="n">
        <v>1818.61</v>
      </c>
      <c r="E120" s="58" t="n">
        <v>1544</v>
      </c>
      <c r="F120" s="57" t="n">
        <v>1.544</v>
      </c>
      <c r="G120" s="56" t="inlineStr">
        <is>
          <t>KG</t>
        </is>
      </c>
      <c r="H120" s="56" t="inlineStr">
        <is>
          <t>R001</t>
        </is>
      </c>
      <c r="I120" s="56" t="inlineStr">
        <is>
          <t>0789</t>
        </is>
      </c>
      <c r="J120" s="56" t="inlineStr">
        <is>
          <t>1818</t>
        </is>
      </c>
      <c r="K120" s="57" t="n">
        <v>1546.939</v>
      </c>
      <c r="L120" s="56" t="inlineStr">
        <is>
          <t>9518135820/ 26</t>
        </is>
      </c>
      <c r="M120" s="56" t="inlineStr">
        <is>
          <t>26</t>
        </is>
      </c>
      <c r="N120" s="56" t="inlineStr">
        <is>
          <t>RAJSRIYA AUTOMOTIVE IND. P LTD</t>
        </is>
      </c>
      <c r="O120" s="58" t="n">
        <v>86</v>
      </c>
      <c r="P120" s="59" t="inlineStr">
        <is>
          <t>61-90</t>
        </is>
      </c>
      <c r="Q120" s="56" t="inlineStr">
        <is>
          <t>Apoorv</t>
        </is>
      </c>
      <c r="U120" s="586" t="n">
        <v>111120691</v>
      </c>
      <c r="V120" t="n">
        <v>15.88</v>
      </c>
      <c r="W120" t="n">
        <v>0</v>
      </c>
      <c r="X120" t="n">
        <v>2</v>
      </c>
      <c r="Y120" t="n">
        <v>5.95</v>
      </c>
      <c r="Z120" t="inlineStr">
        <is>
          <t>GR1</t>
        </is>
      </c>
      <c r="AA120" t="inlineStr">
        <is>
          <t>PE</t>
        </is>
      </c>
      <c r="AB120" t="inlineStr">
        <is>
          <t>AW</t>
        </is>
      </c>
      <c r="AC120" t="inlineStr">
        <is>
          <t>15.88-0-2-ERW 1-PE</t>
        </is>
      </c>
      <c r="AD120" t="inlineStr">
        <is>
          <t>LL</t>
        </is>
      </c>
      <c r="AE120" t="inlineStr">
        <is>
          <t>15.88-0-2-ERW 1-PE-1</t>
        </is>
      </c>
      <c r="AF120" t="n">
        <v>0.6842562400000001</v>
      </c>
    </row>
    <row r="121">
      <c r="A121" s="56" t="n">
        <v>1940470</v>
      </c>
      <c r="B121" s="56" t="inlineStr">
        <is>
          <t>TUB-O-O-AUT-AW-PE-22.23X2.000X0.8510</t>
        </is>
      </c>
      <c r="C121" s="56" t="inlineStr">
        <is>
          <t>4A15AH2060</t>
        </is>
      </c>
      <c r="D121" s="57" t="n">
        <v>2001.178</v>
      </c>
      <c r="E121" s="58" t="n">
        <v>1699</v>
      </c>
      <c r="F121" s="57" t="n">
        <v>1.699</v>
      </c>
      <c r="G121" s="56" t="inlineStr">
        <is>
          <t>KG</t>
        </is>
      </c>
      <c r="H121" s="56" t="inlineStr">
        <is>
          <t>R001</t>
        </is>
      </c>
      <c r="I121" s="56" t="inlineStr">
        <is>
          <t>0789</t>
        </is>
      </c>
      <c r="J121" s="56" t="inlineStr">
        <is>
          <t>2000</t>
        </is>
      </c>
      <c r="K121" s="57" t="n">
        <v>1702.234</v>
      </c>
      <c r="L121" s="56" t="inlineStr">
        <is>
          <t>9518135820/ 26</t>
        </is>
      </c>
      <c r="M121" s="56" t="inlineStr">
        <is>
          <t>26</t>
        </is>
      </c>
      <c r="N121" s="56" t="inlineStr">
        <is>
          <t>RAJSRIYA AUTOMOTIVE IND. P LTD</t>
        </is>
      </c>
      <c r="O121" s="58" t="n">
        <v>86</v>
      </c>
      <c r="P121" s="59" t="inlineStr">
        <is>
          <t>61-90</t>
        </is>
      </c>
      <c r="Q121" s="56" t="inlineStr">
        <is>
          <t>Apoorv</t>
        </is>
      </c>
      <c r="U121" s="585" t="n">
        <v>1940120</v>
      </c>
      <c r="V121" t="n">
        <v>15.88</v>
      </c>
      <c r="W121" t="n">
        <v>0</v>
      </c>
      <c r="X121" t="n">
        <v>2</v>
      </c>
      <c r="Y121" t="n">
        <v>6</v>
      </c>
      <c r="Z121" t="inlineStr">
        <is>
          <t>GR1</t>
        </is>
      </c>
      <c r="AA121" t="inlineStr">
        <is>
          <t>PE</t>
        </is>
      </c>
      <c r="AB121" t="inlineStr">
        <is>
          <t>AW</t>
        </is>
      </c>
      <c r="AC121" t="inlineStr">
        <is>
          <t>15.88-0-2-ERW 1-PE</t>
        </is>
      </c>
      <c r="AD121" t="inlineStr">
        <is>
          <t>LL</t>
        </is>
      </c>
      <c r="AE121" t="inlineStr">
        <is>
          <t>15.88-0-2-ERW 1-PE-1</t>
        </is>
      </c>
      <c r="AF121" t="n">
        <v>0.6842562400000001</v>
      </c>
    </row>
    <row r="122">
      <c r="A122" s="56" t="n">
        <v>1940470</v>
      </c>
      <c r="B122" s="56" t="inlineStr">
        <is>
          <t>TUB-O-O-AUT-AW-PE-22.23X2.000X0.8510</t>
        </is>
      </c>
      <c r="C122" s="56" t="inlineStr">
        <is>
          <t>4B12BH2090</t>
        </is>
      </c>
      <c r="D122" s="57" t="n">
        <v>670.2</v>
      </c>
      <c r="E122" s="58" t="n">
        <v>569</v>
      </c>
      <c r="F122" s="57" t="n">
        <v>0.569</v>
      </c>
      <c r="G122" s="56" t="inlineStr">
        <is>
          <t>KG</t>
        </is>
      </c>
      <c r="H122" s="56" t="inlineStr">
        <is>
          <t>R001</t>
        </is>
      </c>
      <c r="I122" s="56" t="inlineStr">
        <is>
          <t>0789</t>
        </is>
      </c>
      <c r="J122" s="56" t="inlineStr">
        <is>
          <t>670</t>
        </is>
      </c>
      <c r="K122" s="57" t="n">
        <v>570.083</v>
      </c>
      <c r="L122" s="56" t="inlineStr">
        <is>
          <t>9518220218/ 21</t>
        </is>
      </c>
      <c r="M122" s="56" t="inlineStr">
        <is>
          <t>21</t>
        </is>
      </c>
      <c r="N122" s="56" t="inlineStr">
        <is>
          <t>RAJSRIYA AUTOMOTIVE IND. P LTD</t>
        </is>
      </c>
      <c r="O122" s="58" t="n">
        <v>47</v>
      </c>
      <c r="P122" s="59" t="inlineStr">
        <is>
          <t>31-60</t>
        </is>
      </c>
      <c r="Q122" s="56" t="inlineStr">
        <is>
          <t>Apoorv</t>
        </is>
      </c>
      <c r="U122" s="585" t="n">
        <v>1940124</v>
      </c>
      <c r="V122" t="n">
        <v>15.88</v>
      </c>
      <c r="W122" t="n">
        <v>0</v>
      </c>
      <c r="X122" t="n">
        <v>2</v>
      </c>
      <c r="Y122" t="n">
        <v>6.1</v>
      </c>
      <c r="Z122" t="inlineStr">
        <is>
          <t>GR1</t>
        </is>
      </c>
      <c r="AA122" t="inlineStr">
        <is>
          <t>PE</t>
        </is>
      </c>
      <c r="AB122" t="inlineStr">
        <is>
          <t>AW</t>
        </is>
      </c>
      <c r="AC122" t="inlineStr">
        <is>
          <t>15.88-0-2-ERW 1-PE</t>
        </is>
      </c>
      <c r="AD122" t="inlineStr">
        <is>
          <t>LL</t>
        </is>
      </c>
      <c r="AE122" t="inlineStr">
        <is>
          <t>15.88-0-2-ERW 1-PE-1</t>
        </is>
      </c>
      <c r="AF122" t="n">
        <v>0.6842562400000001</v>
      </c>
    </row>
    <row r="123">
      <c r="A123" s="56" t="n">
        <v>1940470</v>
      </c>
      <c r="B123" s="56" t="inlineStr">
        <is>
          <t>TUB-O-O-AUT-AW-PE-22.23X2.000X0.8510</t>
        </is>
      </c>
      <c r="C123" s="56" t="inlineStr">
        <is>
          <t>4B28H38644</t>
        </is>
      </c>
      <c r="D123" s="57" t="n">
        <v>1755.006</v>
      </c>
      <c r="E123" s="58" t="n">
        <v>1490</v>
      </c>
      <c r="F123" s="57" t="n">
        <v>1.49</v>
      </c>
      <c r="G123" s="56" t="inlineStr">
        <is>
          <t>KG</t>
        </is>
      </c>
      <c r="H123" s="56" t="inlineStr">
        <is>
          <t>R001</t>
        </is>
      </c>
      <c r="I123" s="56" t="inlineStr">
        <is>
          <t>0789</t>
        </is>
      </c>
      <c r="J123" s="56" t="inlineStr">
        <is>
          <t>1</t>
        </is>
      </c>
      <c r="K123" s="57" t="n">
        <v>1492.836</v>
      </c>
      <c r="L123" s="56" t="inlineStr">
        <is>
          <t>9518220218/ 21</t>
        </is>
      </c>
      <c r="M123" s="56" t="inlineStr">
        <is>
          <t>21</t>
        </is>
      </c>
      <c r="N123" s="56" t="inlineStr">
        <is>
          <t>RAJSRIYA AUTOMOTIVE IND. P LTD</t>
        </is>
      </c>
      <c r="O123" s="58" t="n">
        <v>46</v>
      </c>
      <c r="P123" s="59" t="inlineStr">
        <is>
          <t>31-60</t>
        </is>
      </c>
      <c r="Q123" s="56" t="inlineStr">
        <is>
          <t>Apoorv</t>
        </is>
      </c>
      <c r="U123" t="n">
        <v>3586630</v>
      </c>
      <c r="V123" t="n">
        <v>15.88</v>
      </c>
      <c r="W123" t="n">
        <v>0</v>
      </c>
      <c r="X123" t="n">
        <v>2</v>
      </c>
      <c r="Y123" t="n">
        <v>6.1</v>
      </c>
      <c r="Z123" t="inlineStr">
        <is>
          <t>WG</t>
        </is>
      </c>
      <c r="AA123" t="inlineStr">
        <is>
          <t>PE</t>
        </is>
      </c>
      <c r="AB123" t="inlineStr">
        <is>
          <t>AW</t>
        </is>
      </c>
      <c r="AC123" t="inlineStr">
        <is>
          <t>15.88-0-2-ERW 1-PE</t>
        </is>
      </c>
      <c r="AD123" t="inlineStr">
        <is>
          <t>LL</t>
        </is>
      </c>
      <c r="AE123" t="inlineStr">
        <is>
          <t>15.88-0-2-ERW 1-PE-1</t>
        </is>
      </c>
      <c r="AF123" t="n">
        <v>0.6842562400000001</v>
      </c>
    </row>
    <row r="124">
      <c r="A124" s="56" t="n">
        <v>1940472</v>
      </c>
      <c r="B124" s="56" t="inlineStr">
        <is>
          <t>TUB-O-O-AUT-AW-PE-22.23X2.000X0.8620</t>
        </is>
      </c>
      <c r="C124" s="56" t="inlineStr">
        <is>
          <t>4927H34004</t>
        </is>
      </c>
      <c r="D124" s="57" t="n">
        <v>1875.581</v>
      </c>
      <c r="E124" s="58" t="n">
        <v>1613</v>
      </c>
      <c r="F124" s="57" t="n">
        <v>1.613</v>
      </c>
      <c r="G124" s="56" t="inlineStr">
        <is>
          <t>KG</t>
        </is>
      </c>
      <c r="H124" s="56" t="inlineStr">
        <is>
          <t>R001</t>
        </is>
      </c>
      <c r="I124" s="56" t="inlineStr">
        <is>
          <t>0789</t>
        </is>
      </c>
      <c r="J124" s="56" t="inlineStr">
        <is>
          <t>1875</t>
        </is>
      </c>
      <c r="K124" s="57" t="n">
        <v>1616.071</v>
      </c>
      <c r="L124" s="56" t="inlineStr">
        <is>
          <t>9517917936/ 18</t>
        </is>
      </c>
      <c r="M124" s="56" t="inlineStr">
        <is>
          <t>18</t>
        </is>
      </c>
      <c r="N124" s="56" t="inlineStr">
        <is>
          <t>RAJSRIYA AUTOMOTIVE IND. P LTD</t>
        </is>
      </c>
      <c r="O124" s="58" t="n">
        <v>86</v>
      </c>
      <c r="P124" s="59" t="inlineStr">
        <is>
          <t>61-90</t>
        </is>
      </c>
      <c r="Q124" s="56" t="inlineStr">
        <is>
          <t>Apoorv</t>
        </is>
      </c>
      <c r="U124" s="586" t="n">
        <v>110102276</v>
      </c>
      <c r="V124" t="n">
        <v>15.88</v>
      </c>
      <c r="W124" t="n">
        <v>0</v>
      </c>
      <c r="X124" t="n">
        <v>2</v>
      </c>
      <c r="Y124" t="n">
        <v>6.1</v>
      </c>
      <c r="Z124" t="inlineStr">
        <is>
          <t>GR1</t>
        </is>
      </c>
      <c r="AA124" t="inlineStr">
        <is>
          <t>PE</t>
        </is>
      </c>
      <c r="AB124" t="inlineStr">
        <is>
          <t>AW</t>
        </is>
      </c>
      <c r="AC124" t="inlineStr">
        <is>
          <t>15.88-0-2-ERW 1-PE</t>
        </is>
      </c>
      <c r="AD124" t="inlineStr">
        <is>
          <t>LL</t>
        </is>
      </c>
      <c r="AE124" t="inlineStr">
        <is>
          <t>15.88-0-2-ERW 1-PE-1</t>
        </is>
      </c>
      <c r="AF124" t="n">
        <v>0.6842562400000001</v>
      </c>
    </row>
    <row r="125">
      <c r="A125" s="56" t="n">
        <v>1940472</v>
      </c>
      <c r="B125" s="56" t="inlineStr">
        <is>
          <t>TUB-O-O-AUT-AW-PE-22.23X2.000X0.8620</t>
        </is>
      </c>
      <c r="C125" s="56" t="inlineStr">
        <is>
          <t>4918AH2030</t>
        </is>
      </c>
      <c r="D125" s="57" t="n">
        <v>1225.581</v>
      </c>
      <c r="E125" s="58" t="n">
        <v>1054</v>
      </c>
      <c r="F125" s="57" t="n">
        <v>1.054</v>
      </c>
      <c r="G125" s="56" t="inlineStr">
        <is>
          <t>KG</t>
        </is>
      </c>
      <c r="H125" s="56" t="inlineStr">
        <is>
          <t>R001</t>
        </is>
      </c>
      <c r="I125" s="56" t="inlineStr">
        <is>
          <t>0789</t>
        </is>
      </c>
      <c r="J125" s="56" t="inlineStr">
        <is>
          <t>1225</t>
        </is>
      </c>
      <c r="K125" s="57" t="n">
        <v>1056.006</v>
      </c>
      <c r="L125" s="56" t="inlineStr">
        <is>
          <t>9518073975/ 23</t>
        </is>
      </c>
      <c r="M125" s="56" t="inlineStr">
        <is>
          <t>23</t>
        </is>
      </c>
      <c r="N125" s="56" t="inlineStr">
        <is>
          <t>RAJSRIYA AUTOMOTIVE IND. P LTD</t>
        </is>
      </c>
      <c r="O125" s="58" t="n">
        <v>84</v>
      </c>
      <c r="P125" s="59" t="inlineStr">
        <is>
          <t>61-90</t>
        </is>
      </c>
      <c r="Q125" s="56" t="inlineStr">
        <is>
          <t>Apoorv</t>
        </is>
      </c>
      <c r="U125" s="585" t="n">
        <v>3188792</v>
      </c>
      <c r="V125" t="n">
        <v>16</v>
      </c>
      <c r="W125" t="n">
        <v>10.4</v>
      </c>
      <c r="X125" t="n">
        <v>2.8</v>
      </c>
      <c r="Y125" t="n">
        <v>6</v>
      </c>
      <c r="Z125" t="inlineStr">
        <is>
          <t>KGR2</t>
        </is>
      </c>
      <c r="AA125" t="inlineStr">
        <is>
          <t>FC</t>
        </is>
      </c>
      <c r="AB125" t="inlineStr">
        <is>
          <t>AD</t>
        </is>
      </c>
      <c r="AC125" t="inlineStr">
        <is>
          <t>16.1-0-2.8-CEW-CEW</t>
        </is>
      </c>
      <c r="AD125" t="inlineStr">
        <is>
          <t>LL</t>
        </is>
      </c>
      <c r="AE125" t="inlineStr">
        <is>
          <t>16.1-0-2.8-CEW-CEW-1</t>
        </is>
      </c>
      <c r="AF125" t="n">
        <v>0.9110270399999999</v>
      </c>
    </row>
    <row r="126">
      <c r="A126" s="56" t="n">
        <v>1940481</v>
      </c>
      <c r="B126" s="56" t="inlineStr">
        <is>
          <t>TUB-O-O-AUT-AW-PE-22.23X2.000X1.0120</t>
        </is>
      </c>
      <c r="C126" s="56" t="inlineStr">
        <is>
          <t>PV24030078</t>
        </is>
      </c>
      <c r="D126" s="57" t="n">
        <v>375.047</v>
      </c>
      <c r="E126" s="57" t="n">
        <v>378.797</v>
      </c>
      <c r="F126" s="57" t="n">
        <v>0.3787970000000001</v>
      </c>
      <c r="G126" s="56" t="inlineStr">
        <is>
          <t>KG</t>
        </is>
      </c>
      <c r="H126" s="56" t="inlineStr">
        <is>
          <t>R001</t>
        </is>
      </c>
      <c r="I126" s="56" t="inlineStr">
        <is>
          <t>0789</t>
        </is>
      </c>
      <c r="J126" s="56" t="inlineStr"/>
      <c r="K126" s="57" t="n">
        <v>379.518</v>
      </c>
      <c r="L126" s="56" t="inlineStr"/>
      <c r="M126" s="56" t="inlineStr">
        <is>
          <t>0</t>
        </is>
      </c>
      <c r="N126" s="56" t="inlineStr">
        <is>
          <t>Rajsriya Automotive Ind Pvt Ltd.</t>
        </is>
      </c>
      <c r="O126" s="58" t="n">
        <v>262</v>
      </c>
      <c r="P126" s="59" t="inlineStr">
        <is>
          <t>ABOVE 90</t>
        </is>
      </c>
      <c r="Q126" s="56" t="inlineStr">
        <is>
          <t>Apoorv</t>
        </is>
      </c>
      <c r="U126" s="585" t="n">
        <v>2410995</v>
      </c>
      <c r="V126" t="n">
        <v>16.1</v>
      </c>
      <c r="W126" t="n">
        <v>10.2</v>
      </c>
      <c r="X126" t="n">
        <v>2.95</v>
      </c>
      <c r="Y126" t="n">
        <v>6</v>
      </c>
      <c r="Z126" t="inlineStr">
        <is>
          <t>KGR2</t>
        </is>
      </c>
      <c r="AA126" t="inlineStr">
        <is>
          <t>FC</t>
        </is>
      </c>
      <c r="AB126" t="inlineStr">
        <is>
          <t>AD</t>
        </is>
      </c>
      <c r="AC126" t="inlineStr">
        <is>
          <t>16.1-10.7-2.95-CEW-CEW</t>
        </is>
      </c>
      <c r="AD126" t="inlineStr">
        <is>
          <t>LL</t>
        </is>
      </c>
      <c r="AE126" t="inlineStr">
        <is>
          <t>16.1-10.7-2.95-CEW-CEW-1</t>
        </is>
      </c>
      <c r="AF126" t="n">
        <v>0.9561963325000004</v>
      </c>
    </row>
    <row r="127">
      <c r="A127" s="56" t="n">
        <v>1940493</v>
      </c>
      <c r="B127" s="56" t="inlineStr">
        <is>
          <t>TUB-O-O-AUT-AW-PE-22.23X2.000X6.0000</t>
        </is>
      </c>
      <c r="C127" s="56" t="inlineStr">
        <is>
          <t>PV24040043</t>
        </is>
      </c>
      <c r="D127" s="57" t="n">
        <v>127.182</v>
      </c>
      <c r="E127" s="57" t="n">
        <v>761.6950000000001</v>
      </c>
      <c r="F127" s="57" t="n">
        <v>0.761695</v>
      </c>
      <c r="G127" s="56" t="inlineStr">
        <is>
          <t>KG</t>
        </is>
      </c>
      <c r="H127" s="56" t="inlineStr">
        <is>
          <t>R001</t>
        </is>
      </c>
      <c r="I127" s="56" t="inlineStr">
        <is>
          <t>0789</t>
        </is>
      </c>
      <c r="J127" s="56" t="inlineStr"/>
      <c r="K127" s="57" t="n">
        <v>763.145</v>
      </c>
      <c r="L127" s="56" t="inlineStr">
        <is>
          <t>9518077971/ 2</t>
        </is>
      </c>
      <c r="M127" s="56" t="inlineStr">
        <is>
          <t>2</t>
        </is>
      </c>
      <c r="N127" s="56" t="inlineStr">
        <is>
          <t>MEGH STEELS PRIVATE LIMITED - TVS A</t>
        </is>
      </c>
      <c r="O127" s="58" t="n">
        <v>262</v>
      </c>
      <c r="P127" s="59" t="inlineStr">
        <is>
          <t>ABOVE 90</t>
        </is>
      </c>
      <c r="Q127" s="56" t="inlineStr">
        <is>
          <t>Apoorv</t>
        </is>
      </c>
      <c r="U127" s="585" t="n">
        <v>2410996</v>
      </c>
      <c r="V127" t="n">
        <v>16.1</v>
      </c>
      <c r="W127" t="n">
        <v>10.7</v>
      </c>
      <c r="X127" t="n">
        <v>2.7</v>
      </c>
      <c r="Y127" t="n">
        <v>6</v>
      </c>
      <c r="Z127" t="inlineStr">
        <is>
          <t>KGR2</t>
        </is>
      </c>
      <c r="AA127" t="inlineStr">
        <is>
          <t>FC</t>
        </is>
      </c>
      <c r="AB127" t="inlineStr">
        <is>
          <t>AD</t>
        </is>
      </c>
      <c r="AC127" t="inlineStr">
        <is>
          <t>16.1-10.4-2.7-CEW-CEW</t>
        </is>
      </c>
      <c r="AD127" t="inlineStr">
        <is>
          <t>LL</t>
        </is>
      </c>
      <c r="AE127" t="inlineStr">
        <is>
          <t>16.1-10.4-2.7-CEW-CEW-1</t>
        </is>
      </c>
      <c r="AF127" t="n">
        <v>0.8918008200000002</v>
      </c>
    </row>
    <row r="128">
      <c r="A128" s="56" t="n">
        <v>1940494</v>
      </c>
      <c r="B128" s="56" t="inlineStr">
        <is>
          <t>TUB-O-O-AUT-AW-PE-22.23X2.000X6.0000</t>
        </is>
      </c>
      <c r="C128" s="56" t="inlineStr">
        <is>
          <t>5107CH2060</t>
        </is>
      </c>
      <c r="D128" s="57" t="n">
        <v>434.129</v>
      </c>
      <c r="E128" s="58" t="n">
        <v>2600</v>
      </c>
      <c r="F128" s="57" t="n">
        <v>2.6</v>
      </c>
      <c r="G128" s="56" t="inlineStr">
        <is>
          <t>KG</t>
        </is>
      </c>
      <c r="H128" s="56" t="inlineStr">
        <is>
          <t>R001</t>
        </is>
      </c>
      <c r="I128" s="56" t="inlineStr">
        <is>
          <t>0789</t>
        </is>
      </c>
      <c r="J128" s="56" t="inlineStr">
        <is>
          <t>452</t>
        </is>
      </c>
      <c r="K128" s="57" t="n">
        <v>2604.949</v>
      </c>
      <c r="L128" s="56" t="inlineStr"/>
      <c r="M128" s="56" t="inlineStr">
        <is>
          <t>0</t>
        </is>
      </c>
      <c r="N128" s="56" t="inlineStr">
        <is>
          <t>FREE STOCK</t>
        </is>
      </c>
      <c r="O128" s="58" t="n">
        <v>3</v>
      </c>
      <c r="P128" s="59" t="inlineStr">
        <is>
          <t>0-30</t>
        </is>
      </c>
      <c r="Q128" s="56" t="inlineStr">
        <is>
          <t>Free Stock</t>
        </is>
      </c>
      <c r="U128" s="585" t="n">
        <v>1938195</v>
      </c>
      <c r="V128" t="n">
        <v>17.3</v>
      </c>
      <c r="W128" t="n">
        <v>0</v>
      </c>
      <c r="X128" t="n">
        <v>1.2</v>
      </c>
      <c r="Y128" t="n">
        <v>0.15</v>
      </c>
      <c r="Z128" t="inlineStr">
        <is>
          <t>D</t>
        </is>
      </c>
      <c r="AA128" t="inlineStr">
        <is>
          <t>PE</t>
        </is>
      </c>
      <c r="AB128" t="inlineStr">
        <is>
          <t>AW</t>
        </is>
      </c>
      <c r="AC128" t="inlineStr">
        <is>
          <t>17.3-0-1.2-ERW 1-PE</t>
        </is>
      </c>
      <c r="AD128" t="inlineStr">
        <is>
          <t>CTL</t>
        </is>
      </c>
      <c r="AE128" t="inlineStr">
        <is>
          <t>17.3-0-1.2-ERW 1-PE-0.15</t>
        </is>
      </c>
      <c r="AF128" t="n">
        <v>0.071432802</v>
      </c>
    </row>
    <row r="129">
      <c r="A129" s="56" t="n">
        <v>1940494</v>
      </c>
      <c r="B129" s="56" t="inlineStr">
        <is>
          <t>TUB-O-O-AUT-AW-PE-22.23X2.000X6.0000</t>
        </is>
      </c>
      <c r="C129" s="56" t="inlineStr">
        <is>
          <t>5107CH2070</t>
        </is>
      </c>
      <c r="D129" s="57" t="n">
        <v>432.46</v>
      </c>
      <c r="E129" s="58" t="n">
        <v>2590</v>
      </c>
      <c r="F129" s="57" t="n">
        <v>2.59</v>
      </c>
      <c r="G129" s="56" t="inlineStr">
        <is>
          <t>KG</t>
        </is>
      </c>
      <c r="H129" s="56" t="inlineStr">
        <is>
          <t>R001</t>
        </is>
      </c>
      <c r="I129" s="56" t="inlineStr">
        <is>
          <t>0789</t>
        </is>
      </c>
      <c r="J129" s="56" t="inlineStr">
        <is>
          <t>451</t>
        </is>
      </c>
      <c r="K129" s="57" t="n">
        <v>2594.93</v>
      </c>
      <c r="L129" s="56" t="inlineStr"/>
      <c r="M129" s="56" t="inlineStr">
        <is>
          <t>0</t>
        </is>
      </c>
      <c r="N129" s="56" t="inlineStr">
        <is>
          <t>FREE STOCK</t>
        </is>
      </c>
      <c r="O129" s="58" t="n">
        <v>3</v>
      </c>
      <c r="P129" s="59" t="inlineStr">
        <is>
          <t>0-30</t>
        </is>
      </c>
      <c r="Q129" s="56" t="inlineStr">
        <is>
          <t>Free Stock</t>
        </is>
      </c>
      <c r="U129" s="585" t="n">
        <v>1225244</v>
      </c>
      <c r="V129" t="n">
        <v>17.3</v>
      </c>
      <c r="W129" t="n">
        <v>0</v>
      </c>
      <c r="X129" t="n">
        <v>1.2</v>
      </c>
      <c r="Y129" t="n">
        <v>0.15</v>
      </c>
      <c r="Z129" t="inlineStr"/>
      <c r="AA129" t="inlineStr">
        <is>
          <t>PE</t>
        </is>
      </c>
      <c r="AB129" t="inlineStr">
        <is>
          <t>AW</t>
        </is>
      </c>
      <c r="AC129" t="inlineStr">
        <is>
          <t>17.3-0-1.2-ERW 1-PE</t>
        </is>
      </c>
      <c r="AD129" t="inlineStr">
        <is>
          <t>CTL</t>
        </is>
      </c>
      <c r="AE129" t="inlineStr">
        <is>
          <t>17.3-0-1.2-ERW 1-PE-0.15</t>
        </is>
      </c>
      <c r="AF129" t="n">
        <v>0.071432802</v>
      </c>
    </row>
    <row r="130">
      <c r="A130" s="56" t="n">
        <v>1940494</v>
      </c>
      <c r="B130" s="56" t="inlineStr">
        <is>
          <t>TUB-O-O-AUT-AW-PE-22.23X2.000X6.0000</t>
        </is>
      </c>
      <c r="C130" s="56" t="inlineStr">
        <is>
          <t>MAR2426004</t>
        </is>
      </c>
      <c r="D130" s="57" t="n">
        <v>59.759</v>
      </c>
      <c r="E130" s="57" t="n">
        <v>357.897</v>
      </c>
      <c r="F130" s="57" t="n">
        <v>0.357897</v>
      </c>
      <c r="G130" s="56" t="inlineStr">
        <is>
          <t>KG</t>
        </is>
      </c>
      <c r="H130" s="56" t="inlineStr">
        <is>
          <t>R001</t>
        </is>
      </c>
      <c r="I130" s="56" t="inlineStr">
        <is>
          <t>0789</t>
        </is>
      </c>
      <c r="J130" s="56" t="inlineStr"/>
      <c r="K130" s="57" t="n">
        <v>358.578</v>
      </c>
      <c r="L130" s="56" t="inlineStr"/>
      <c r="M130" s="56" t="inlineStr">
        <is>
          <t>0</t>
        </is>
      </c>
      <c r="N130" s="56" t="inlineStr">
        <is>
          <t>FREE STOCK</t>
        </is>
      </c>
      <c r="O130" s="58" t="n">
        <v>293</v>
      </c>
      <c r="P130" s="59" t="inlineStr">
        <is>
          <t>ABOVE 90</t>
        </is>
      </c>
      <c r="Q130" s="56" t="inlineStr">
        <is>
          <t>Free Stock</t>
        </is>
      </c>
      <c r="U130" s="585" t="n">
        <v>1931824</v>
      </c>
      <c r="V130" t="n">
        <v>17.3</v>
      </c>
      <c r="W130" t="n">
        <v>0</v>
      </c>
      <c r="X130" t="n">
        <v>1.2</v>
      </c>
      <c r="Y130" t="n">
        <v>6</v>
      </c>
      <c r="Z130" t="inlineStr">
        <is>
          <t>D</t>
        </is>
      </c>
      <c r="AA130" t="inlineStr">
        <is>
          <t>PE</t>
        </is>
      </c>
      <c r="AB130" t="inlineStr">
        <is>
          <t>AW</t>
        </is>
      </c>
      <c r="AC130" t="inlineStr">
        <is>
          <t>17.3-0-1.2-ERW 1-PE</t>
        </is>
      </c>
      <c r="AD130" t="inlineStr">
        <is>
          <t>LL</t>
        </is>
      </c>
      <c r="AE130" t="inlineStr">
        <is>
          <t>17.3-0-1.2-ERW 1-PE-1</t>
        </is>
      </c>
      <c r="AF130" t="n">
        <v>0.47621868</v>
      </c>
    </row>
    <row r="131">
      <c r="A131" s="56" t="n">
        <v>1940497</v>
      </c>
      <c r="B131" s="56" t="inlineStr">
        <is>
          <t>TUB-O-O-AUT-AW-PE-22.23X2.300X0.2450</t>
        </is>
      </c>
      <c r="C131" s="56" t="inlineStr">
        <is>
          <t>PV24030028</t>
        </is>
      </c>
      <c r="D131" s="57" t="n">
        <v>2200.458</v>
      </c>
      <c r="E131" s="57" t="n">
        <v>609.527</v>
      </c>
      <c r="F131" s="57" t="n">
        <v>0.609527</v>
      </c>
      <c r="G131" s="56" t="inlineStr">
        <is>
          <t>KG</t>
        </is>
      </c>
      <c r="H131" s="56" t="inlineStr">
        <is>
          <t>R001</t>
        </is>
      </c>
      <c r="I131" s="56" t="inlineStr">
        <is>
          <t>0789</t>
        </is>
      </c>
      <c r="J131" s="56" t="inlineStr"/>
      <c r="K131" s="57" t="n">
        <v>539.023</v>
      </c>
      <c r="L131" s="56" t="inlineStr"/>
      <c r="M131" s="56" t="inlineStr">
        <is>
          <t>0</t>
        </is>
      </c>
      <c r="N131" s="56" t="inlineStr">
        <is>
          <t>FREE STOCK</t>
        </is>
      </c>
      <c r="O131" s="58" t="n">
        <v>262</v>
      </c>
      <c r="P131" s="59" t="inlineStr">
        <is>
          <t>ABOVE 90</t>
        </is>
      </c>
      <c r="Q131" s="56" t="inlineStr">
        <is>
          <t>Free Stock</t>
        </is>
      </c>
      <c r="U131" s="585" t="n">
        <v>3702201</v>
      </c>
      <c r="V131" t="n">
        <v>17.3</v>
      </c>
      <c r="W131" t="n">
        <v>0</v>
      </c>
      <c r="X131" t="n">
        <v>1.2</v>
      </c>
      <c r="Y131" t="n">
        <v>6</v>
      </c>
      <c r="Z131" t="inlineStr">
        <is>
          <t>WG</t>
        </is>
      </c>
      <c r="AA131" t="inlineStr">
        <is>
          <t>PE</t>
        </is>
      </c>
      <c r="AB131" t="inlineStr">
        <is>
          <t>AW</t>
        </is>
      </c>
      <c r="AC131" t="inlineStr">
        <is>
          <t>17.3-0-1.2-ERW 1-PE</t>
        </is>
      </c>
      <c r="AD131" t="inlineStr">
        <is>
          <t>LL</t>
        </is>
      </c>
      <c r="AE131" t="inlineStr">
        <is>
          <t>17.3-0-1.2-ERW 1-PE-1</t>
        </is>
      </c>
      <c r="AF131" t="n">
        <v>0.47621868</v>
      </c>
    </row>
    <row r="132">
      <c r="A132" s="56" t="n">
        <v>1940498</v>
      </c>
      <c r="B132" s="56" t="inlineStr">
        <is>
          <t>TUB-O-O-AUT-AW-PE-22.23X2.300X0.2810</t>
        </is>
      </c>
      <c r="C132" s="56" t="inlineStr">
        <is>
          <t>5107CH2110</t>
        </is>
      </c>
      <c r="D132" s="57" t="n">
        <v>4597.484</v>
      </c>
      <c r="E132" s="58" t="n">
        <v>1462</v>
      </c>
      <c r="F132" s="57" t="n">
        <v>1.462</v>
      </c>
      <c r="G132" s="56" t="inlineStr">
        <is>
          <t>KG</t>
        </is>
      </c>
      <c r="H132" s="56" t="inlineStr">
        <is>
          <t>R001</t>
        </is>
      </c>
      <c r="I132" s="56" t="inlineStr">
        <is>
          <t>0789</t>
        </is>
      </c>
      <c r="J132" s="56" t="inlineStr">
        <is>
          <t>4600</t>
        </is>
      </c>
      <c r="K132" s="57" t="n">
        <v>1292.89</v>
      </c>
      <c r="L132" s="56" t="inlineStr">
        <is>
          <t>9518390450/ 30</t>
        </is>
      </c>
      <c r="M132" s="56" t="inlineStr">
        <is>
          <t>30</t>
        </is>
      </c>
      <c r="N132" s="56" t="inlineStr">
        <is>
          <t>SRIKAM HITECH ENGINEERING PRIVATE L</t>
        </is>
      </c>
      <c r="O132" s="58" t="n">
        <v>2</v>
      </c>
      <c r="P132" s="59" t="inlineStr">
        <is>
          <t>0-30</t>
        </is>
      </c>
      <c r="Q132" s="56" t="inlineStr">
        <is>
          <t>Apoorv</t>
        </is>
      </c>
      <c r="U132" s="585" t="n">
        <v>1938118</v>
      </c>
      <c r="V132" t="n">
        <v>17.3</v>
      </c>
      <c r="W132" t="n">
        <v>0</v>
      </c>
      <c r="X132" t="n">
        <v>1.6</v>
      </c>
      <c r="Y132" t="n">
        <v>0.355</v>
      </c>
      <c r="Z132" t="inlineStr">
        <is>
          <t>D</t>
        </is>
      </c>
      <c r="AA132" t="inlineStr">
        <is>
          <t>PE</t>
        </is>
      </c>
      <c r="AB132" t="inlineStr">
        <is>
          <t>AW</t>
        </is>
      </c>
      <c r="AC132" t="inlineStr">
        <is>
          <t>17.3-0-1.6-ERW 1-PE</t>
        </is>
      </c>
      <c r="AD132" t="inlineStr">
        <is>
          <t>CTL</t>
        </is>
      </c>
      <c r="AE132" t="inlineStr">
        <is>
          <t>17.3-0-1.6-ERW 1-PE-0.355</t>
        </is>
      </c>
      <c r="AF132" t="n">
        <v>0.2198099224</v>
      </c>
    </row>
    <row r="133">
      <c r="A133" s="56" t="n">
        <v>1940498</v>
      </c>
      <c r="B133" s="56" t="inlineStr">
        <is>
          <t>TUB-O-O-AUT-AW-PE-22.23X2.300X0.2810</t>
        </is>
      </c>
      <c r="C133" s="56" t="inlineStr">
        <is>
          <t>5107CH2120</t>
        </is>
      </c>
      <c r="D133" s="57" t="n">
        <v>5547.17</v>
      </c>
      <c r="E133" s="58" t="n">
        <v>1764</v>
      </c>
      <c r="F133" s="57" t="n">
        <v>1.764</v>
      </c>
      <c r="G133" s="56" t="inlineStr">
        <is>
          <t>KG</t>
        </is>
      </c>
      <c r="H133" s="56" t="inlineStr">
        <is>
          <t>R001</t>
        </is>
      </c>
      <c r="I133" s="56" t="inlineStr">
        <is>
          <t>0789</t>
        </is>
      </c>
      <c r="J133" s="56" t="inlineStr">
        <is>
          <t>5550</t>
        </is>
      </c>
      <c r="K133" s="57" t="n">
        <v>1559.958</v>
      </c>
      <c r="L133" s="56" t="inlineStr">
        <is>
          <t>9518390450/ 30</t>
        </is>
      </c>
      <c r="M133" s="56" t="inlineStr">
        <is>
          <t>30</t>
        </is>
      </c>
      <c r="N133" s="56" t="inlineStr">
        <is>
          <t>SRIKAM HITECH ENGINEERING PRIVATE L</t>
        </is>
      </c>
      <c r="O133" s="58" t="n">
        <v>2</v>
      </c>
      <c r="P133" s="59" t="inlineStr">
        <is>
          <t>0-30</t>
        </is>
      </c>
      <c r="Q133" s="56" t="inlineStr">
        <is>
          <t>Apoorv</t>
        </is>
      </c>
      <c r="U133" s="585" t="n">
        <v>1938382</v>
      </c>
      <c r="V133" t="n">
        <v>17.3</v>
      </c>
      <c r="W133" t="n">
        <v>0</v>
      </c>
      <c r="X133" t="n">
        <v>1.6</v>
      </c>
      <c r="Y133" t="n">
        <v>0.387</v>
      </c>
      <c r="Z133" t="inlineStr">
        <is>
          <t>D</t>
        </is>
      </c>
      <c r="AA133" t="inlineStr">
        <is>
          <t>PE</t>
        </is>
      </c>
      <c r="AB133" t="inlineStr">
        <is>
          <t>AW</t>
        </is>
      </c>
      <c r="AC133" t="inlineStr">
        <is>
          <t>17.3-0-1.6-ERW 1-PE</t>
        </is>
      </c>
      <c r="AD133" t="inlineStr">
        <is>
          <t>CTL</t>
        </is>
      </c>
      <c r="AE133" t="inlineStr">
        <is>
          <t>17.3-0-1.6-ERW 1-PE-0.387</t>
        </is>
      </c>
      <c r="AF133" t="n">
        <v>0.2396237745600001</v>
      </c>
    </row>
    <row r="134">
      <c r="A134" s="56" t="n">
        <v>1940504</v>
      </c>
      <c r="B134" s="56" t="inlineStr">
        <is>
          <t>TUB-O-O-AUT-AW-PE-22.23X2.300X0.4990</t>
        </is>
      </c>
      <c r="C134" s="56" t="inlineStr">
        <is>
          <t>PV24030054</t>
        </is>
      </c>
      <c r="D134" s="57" t="n">
        <v>450.234</v>
      </c>
      <c r="E134" s="57" t="n">
        <v>253.932</v>
      </c>
      <c r="F134" s="57" t="n">
        <v>0.253932</v>
      </c>
      <c r="G134" s="56" t="inlineStr">
        <is>
          <t>KG</t>
        </is>
      </c>
      <c r="H134" s="56" t="inlineStr">
        <is>
          <t>R001</t>
        </is>
      </c>
      <c r="I134" s="56" t="inlineStr">
        <is>
          <t>0789</t>
        </is>
      </c>
      <c r="J134" s="56" t="inlineStr"/>
      <c r="K134" s="57" t="n">
        <v>224.56</v>
      </c>
      <c r="L134" s="56" t="inlineStr"/>
      <c r="M134" s="56" t="inlineStr">
        <is>
          <t>0</t>
        </is>
      </c>
      <c r="N134" s="56" t="inlineStr">
        <is>
          <t>Rajsriya Automotive Ind.P.Ltd Unit-</t>
        </is>
      </c>
      <c r="O134" s="58" t="n">
        <v>262</v>
      </c>
      <c r="P134" s="59" t="inlineStr">
        <is>
          <t>ABOVE 90</t>
        </is>
      </c>
      <c r="Q134" s="56" t="inlineStr">
        <is>
          <t>Apoorv</t>
        </is>
      </c>
      <c r="U134" s="585" t="n">
        <v>1938119</v>
      </c>
      <c r="V134" t="n">
        <v>17.3</v>
      </c>
      <c r="W134" t="n">
        <v>0</v>
      </c>
      <c r="X134" t="n">
        <v>1.6</v>
      </c>
      <c r="Y134" t="n">
        <v>0.4</v>
      </c>
      <c r="Z134" t="inlineStr">
        <is>
          <t>D</t>
        </is>
      </c>
      <c r="AA134" t="inlineStr">
        <is>
          <t>PE</t>
        </is>
      </c>
      <c r="AB134" t="inlineStr">
        <is>
          <t>AW</t>
        </is>
      </c>
      <c r="AC134" t="inlineStr">
        <is>
          <t>17.3-0-1.6-ERW 1-PE</t>
        </is>
      </c>
      <c r="AD134" t="inlineStr">
        <is>
          <t>CTL</t>
        </is>
      </c>
      <c r="AE134" t="inlineStr">
        <is>
          <t>17.3-0-1.6-ERW 1-PE-0.4</t>
        </is>
      </c>
      <c r="AF134" t="n">
        <v>0.2476731520000001</v>
      </c>
    </row>
    <row r="135">
      <c r="A135" s="56" t="n">
        <v>1940510</v>
      </c>
      <c r="B135" s="56" t="inlineStr">
        <is>
          <t>TUB-O-O-AUT-AW-PE-22.23X2.300X6.0000</t>
        </is>
      </c>
      <c r="C135" s="56" t="inlineStr">
        <is>
          <t>5107CH2080</t>
        </is>
      </c>
      <c r="D135" s="57" t="n">
        <v>219.897</v>
      </c>
      <c r="E135" s="58" t="n">
        <v>1492</v>
      </c>
      <c r="F135" s="57" t="n">
        <v>1.492</v>
      </c>
      <c r="G135" s="56" t="inlineStr">
        <is>
          <t>KG</t>
        </is>
      </c>
      <c r="H135" s="56" t="inlineStr">
        <is>
          <t>R001</t>
        </is>
      </c>
      <c r="I135" s="56" t="inlineStr">
        <is>
          <t>0789</t>
        </is>
      </c>
      <c r="J135" s="56" t="inlineStr">
        <is>
          <t>220</t>
        </is>
      </c>
      <c r="K135" s="57" t="n">
        <v>1319.42</v>
      </c>
      <c r="L135" s="56" t="inlineStr"/>
      <c r="M135" s="56" t="inlineStr">
        <is>
          <t>0</t>
        </is>
      </c>
      <c r="N135" s="56" t="inlineStr">
        <is>
          <t>Rajsriya Automotive Industries</t>
        </is>
      </c>
      <c r="O135" s="58" t="n">
        <v>3</v>
      </c>
      <c r="P135" s="59" t="inlineStr">
        <is>
          <t>0-30</t>
        </is>
      </c>
      <c r="Q135" s="56" t="inlineStr">
        <is>
          <t>Apoorv</t>
        </is>
      </c>
      <c r="U135" s="585" t="n">
        <v>1938163</v>
      </c>
      <c r="V135" t="n">
        <v>17.3</v>
      </c>
      <c r="W135" t="n">
        <v>0</v>
      </c>
      <c r="X135" t="n">
        <v>1.6</v>
      </c>
      <c r="Y135" t="n">
        <v>0.64</v>
      </c>
      <c r="Z135" t="inlineStr">
        <is>
          <t>D</t>
        </is>
      </c>
      <c r="AA135" t="inlineStr">
        <is>
          <t>PE</t>
        </is>
      </c>
      <c r="AB135" t="inlineStr">
        <is>
          <t>AW</t>
        </is>
      </c>
      <c r="AC135" t="inlineStr">
        <is>
          <t>17.3-0-1.6-ERW 1-PE</t>
        </is>
      </c>
      <c r="AD135" t="inlineStr">
        <is>
          <t>CTL</t>
        </is>
      </c>
      <c r="AE135" t="inlineStr">
        <is>
          <t>17.3-0-1.6-ERW 1-PE-0.64</t>
        </is>
      </c>
      <c r="AF135" t="n">
        <v>0.3962770432000001</v>
      </c>
    </row>
    <row r="136">
      <c r="A136" s="56" t="n">
        <v>1940510</v>
      </c>
      <c r="B136" s="56" t="inlineStr">
        <is>
          <t>TUB-O-O-AUT-AW-PE-22.23X2.300X6.0000</t>
        </is>
      </c>
      <c r="C136" s="56" t="inlineStr">
        <is>
          <t>5107CH2090</t>
        </is>
      </c>
      <c r="D136" s="57" t="n">
        <v>46.643</v>
      </c>
      <c r="E136" s="57" t="n">
        <v>316.471</v>
      </c>
      <c r="F136" s="57" t="n">
        <v>0.316471</v>
      </c>
      <c r="G136" s="56" t="inlineStr">
        <is>
          <t>KG</t>
        </is>
      </c>
      <c r="H136" s="56" t="inlineStr">
        <is>
          <t>R001</t>
        </is>
      </c>
      <c r="I136" s="56" t="inlineStr">
        <is>
          <t>0789</t>
        </is>
      </c>
      <c r="J136" s="56" t="inlineStr">
        <is>
          <t>155</t>
        </is>
      </c>
      <c r="K136" s="57" t="n">
        <v>279.865</v>
      </c>
      <c r="L136" s="56" t="inlineStr"/>
      <c r="M136" s="56" t="inlineStr">
        <is>
          <t>0</t>
        </is>
      </c>
      <c r="N136" s="56" t="inlineStr">
        <is>
          <t>Rajsriya Automotive Industries</t>
        </is>
      </c>
      <c r="O136" s="58" t="n">
        <v>3</v>
      </c>
      <c r="P136" s="59" t="inlineStr">
        <is>
          <t>0-30</t>
        </is>
      </c>
      <c r="Q136" s="56" t="inlineStr">
        <is>
          <t>Apoorv</t>
        </is>
      </c>
      <c r="U136" s="585" t="n">
        <v>1931823</v>
      </c>
      <c r="V136" t="n">
        <v>17.3</v>
      </c>
      <c r="W136" t="n">
        <v>0</v>
      </c>
      <c r="X136" t="n">
        <v>1.6</v>
      </c>
      <c r="Y136" t="n">
        <v>6</v>
      </c>
      <c r="Z136" t="inlineStr">
        <is>
          <t>D</t>
        </is>
      </c>
      <c r="AA136" t="inlineStr">
        <is>
          <t>PE</t>
        </is>
      </c>
      <c r="AB136" t="inlineStr">
        <is>
          <t>AW</t>
        </is>
      </c>
      <c r="AC136" t="inlineStr">
        <is>
          <t>17.3-0-1.6-ERW 1-PE</t>
        </is>
      </c>
      <c r="AD136" t="inlineStr">
        <is>
          <t>LL</t>
        </is>
      </c>
      <c r="AE136" t="inlineStr">
        <is>
          <t>17.3-0-1.6-ERW 1-PE-1</t>
        </is>
      </c>
      <c r="AF136" t="n">
        <v>0.6191828800000001</v>
      </c>
    </row>
    <row r="137">
      <c r="A137" s="56" t="n">
        <v>1940538</v>
      </c>
      <c r="B137" s="56" t="inlineStr">
        <is>
          <t>TUB-O-O-AUT-AW-PE-25.40X1.200X0.8450</t>
        </is>
      </c>
      <c r="C137" s="56" t="inlineStr">
        <is>
          <t>4A01H34598</t>
        </is>
      </c>
      <c r="D137" s="57" t="n">
        <v>491.24</v>
      </c>
      <c r="E137" s="57" t="n">
        <v>297.2</v>
      </c>
      <c r="F137" s="57" t="n">
        <v>0.2972</v>
      </c>
      <c r="G137" s="56" t="inlineStr">
        <is>
          <t>KG</t>
        </is>
      </c>
      <c r="H137" s="56" t="inlineStr">
        <is>
          <t>R001</t>
        </is>
      </c>
      <c r="I137" s="56" t="inlineStr">
        <is>
          <t>0789</t>
        </is>
      </c>
      <c r="J137" s="56" t="inlineStr">
        <is>
          <t>1850</t>
        </is>
      </c>
      <c r="K137" s="57" t="n">
        <v>414.852</v>
      </c>
      <c r="L137" s="56" t="inlineStr">
        <is>
          <t>9517876417/ 1</t>
        </is>
      </c>
      <c r="M137" s="56" t="inlineStr">
        <is>
          <t>1</t>
        </is>
      </c>
      <c r="N137" s="56" t="inlineStr">
        <is>
          <t>Neel Metal Products Limited</t>
        </is>
      </c>
      <c r="O137" s="58" t="n">
        <v>96</v>
      </c>
      <c r="P137" s="59" t="inlineStr">
        <is>
          <t>ABOVE 90</t>
        </is>
      </c>
      <c r="Q137" s="56" t="inlineStr">
        <is>
          <t>Apoorv</t>
        </is>
      </c>
      <c r="U137" s="585" t="n">
        <v>3702200</v>
      </c>
      <c r="V137" t="n">
        <v>17.3</v>
      </c>
      <c r="W137" t="n">
        <v>0</v>
      </c>
      <c r="X137" t="n">
        <v>1.6</v>
      </c>
      <c r="Y137" t="n">
        <v>6</v>
      </c>
      <c r="Z137" t="inlineStr">
        <is>
          <t>WG</t>
        </is>
      </c>
      <c r="AA137" t="inlineStr">
        <is>
          <t>PE</t>
        </is>
      </c>
      <c r="AB137" t="inlineStr">
        <is>
          <t>AW</t>
        </is>
      </c>
      <c r="AC137" t="inlineStr">
        <is>
          <t>17.3-0-1.6-ERW 1-PE</t>
        </is>
      </c>
      <c r="AD137" t="inlineStr">
        <is>
          <t>LL</t>
        </is>
      </c>
      <c r="AE137" t="inlineStr">
        <is>
          <t>17.3-0-1.6-ERW 1-PE-1</t>
        </is>
      </c>
      <c r="AF137" t="n">
        <v>0.6191828800000001</v>
      </c>
    </row>
    <row r="138">
      <c r="A138" s="56" t="n">
        <v>1940538</v>
      </c>
      <c r="B138" s="56" t="inlineStr">
        <is>
          <t>TUB-O-O-AUT-AW-PE-25.40X1.200X0.8450</t>
        </is>
      </c>
      <c r="C138" s="56" t="inlineStr">
        <is>
          <t>4A11H35133</t>
        </is>
      </c>
      <c r="D138" s="57" t="n">
        <v>280.992</v>
      </c>
      <c r="E138" s="58" t="n">
        <v>170</v>
      </c>
      <c r="F138" s="57" t="n">
        <v>0.17</v>
      </c>
      <c r="G138" s="56" t="inlineStr">
        <is>
          <t>KG</t>
        </is>
      </c>
      <c r="H138" s="56" t="inlineStr">
        <is>
          <t>R001</t>
        </is>
      </c>
      <c r="I138" s="56" t="inlineStr">
        <is>
          <t>0789</t>
        </is>
      </c>
      <c r="J138" s="56" t="inlineStr">
        <is>
          <t>280</t>
        </is>
      </c>
      <c r="K138" s="57" t="n">
        <v>237.298</v>
      </c>
      <c r="L138" s="56" t="inlineStr">
        <is>
          <t>9517989541/ 7</t>
        </is>
      </c>
      <c r="M138" s="56" t="inlineStr">
        <is>
          <t>7</t>
        </is>
      </c>
      <c r="N138" s="56" t="inlineStr">
        <is>
          <t>Neel Metal Products Limited</t>
        </is>
      </c>
      <c r="O138" s="58" t="n">
        <v>94</v>
      </c>
      <c r="P138" s="59" t="inlineStr">
        <is>
          <t>ABOVE 90</t>
        </is>
      </c>
      <c r="Q138" s="56" t="inlineStr">
        <is>
          <t>Apoorv</t>
        </is>
      </c>
      <c r="U138" s="585" t="n">
        <v>2410642</v>
      </c>
      <c r="V138" t="n">
        <v>18</v>
      </c>
      <c r="W138" t="n">
        <v>10.8</v>
      </c>
      <c r="X138" t="n">
        <v>3.6</v>
      </c>
      <c r="Y138" t="n">
        <v>6</v>
      </c>
      <c r="Z138" t="inlineStr">
        <is>
          <t>KGR2</t>
        </is>
      </c>
      <c r="AA138" t="inlineStr">
        <is>
          <t>FC</t>
        </is>
      </c>
      <c r="AB138" t="inlineStr">
        <is>
          <t>AD</t>
        </is>
      </c>
      <c r="AC138" t="inlineStr">
        <is>
          <t>18-10.8-3.6-CEW-CEW</t>
        </is>
      </c>
      <c r="AD138" t="inlineStr">
        <is>
          <t>LL</t>
        </is>
      </c>
      <c r="AE138" t="inlineStr">
        <is>
          <t>18-10.8-3.6-CEW-CEW-1</t>
        </is>
      </c>
      <c r="AF138" t="n">
        <v>1.27780416</v>
      </c>
    </row>
    <row r="139">
      <c r="A139" s="56" t="n">
        <v>1940538</v>
      </c>
      <c r="B139" s="56" t="inlineStr">
        <is>
          <t>TUB-O-O-AUT-AW-PE-25.40X1.200X0.8450</t>
        </is>
      </c>
      <c r="C139" s="56" t="inlineStr">
        <is>
          <t>4A15H35362</t>
        </is>
      </c>
      <c r="D139" s="57" t="n">
        <v>175.207</v>
      </c>
      <c r="E139" s="58" t="n">
        <v>106</v>
      </c>
      <c r="F139" s="57" t="n">
        <v>0.106</v>
      </c>
      <c r="G139" s="56" t="inlineStr">
        <is>
          <t>KG</t>
        </is>
      </c>
      <c r="H139" s="56" t="inlineStr">
        <is>
          <t>R001</t>
        </is>
      </c>
      <c r="I139" s="56" t="inlineStr">
        <is>
          <t>0789</t>
        </is>
      </c>
      <c r="J139" s="56" t="inlineStr">
        <is>
          <t>175</t>
        </is>
      </c>
      <c r="K139" s="57" t="n">
        <v>147.962</v>
      </c>
      <c r="L139" s="56" t="inlineStr">
        <is>
          <t>9517989541/ 7</t>
        </is>
      </c>
      <c r="M139" s="56" t="inlineStr">
        <is>
          <t>7</t>
        </is>
      </c>
      <c r="N139" s="56" t="inlineStr">
        <is>
          <t>Neel Metal Products Limited</t>
        </is>
      </c>
      <c r="O139" s="58" t="n">
        <v>90</v>
      </c>
      <c r="P139" s="59" t="inlineStr">
        <is>
          <t>61-90</t>
        </is>
      </c>
      <c r="Q139" s="56" t="inlineStr">
        <is>
          <t>Apoorv</t>
        </is>
      </c>
      <c r="U139" s="585" t="n">
        <v>1938116</v>
      </c>
      <c r="V139" t="n">
        <v>18.2</v>
      </c>
      <c r="W139" t="n">
        <v>0</v>
      </c>
      <c r="X139" t="n">
        <v>1</v>
      </c>
      <c r="Y139" t="n">
        <v>0.11</v>
      </c>
      <c r="Z139" t="inlineStr">
        <is>
          <t>D</t>
        </is>
      </c>
      <c r="AA139" t="inlineStr">
        <is>
          <t>PE</t>
        </is>
      </c>
      <c r="AB139" t="inlineStr">
        <is>
          <t>AW</t>
        </is>
      </c>
      <c r="AC139" t="inlineStr">
        <is>
          <t>18.2-0-1-ERW 1-PE</t>
        </is>
      </c>
      <c r="AD139" t="inlineStr">
        <is>
          <t>CTL</t>
        </is>
      </c>
      <c r="AE139" t="inlineStr">
        <is>
          <t>18.2-0-1-ERW 1-PE-0.11</t>
        </is>
      </c>
      <c r="AF139" t="n">
        <v>0.046635908</v>
      </c>
    </row>
    <row r="140">
      <c r="A140" s="56" t="n">
        <v>1940538</v>
      </c>
      <c r="B140" s="56" t="inlineStr">
        <is>
          <t>TUB-O-O-AUT-AW-PE-25.40X1.200X0.8450</t>
        </is>
      </c>
      <c r="C140" s="56" t="inlineStr">
        <is>
          <t>4A10H35076</t>
        </is>
      </c>
      <c r="D140" s="57" t="n">
        <v>2363.636</v>
      </c>
      <c r="E140" s="58" t="n">
        <v>1430</v>
      </c>
      <c r="F140" s="57" t="n">
        <v>1.43</v>
      </c>
      <c r="G140" s="56" t="inlineStr">
        <is>
          <t>KG</t>
        </is>
      </c>
      <c r="H140" s="56" t="inlineStr">
        <is>
          <t>R001</t>
        </is>
      </c>
      <c r="I140" s="56" t="inlineStr">
        <is>
          <t>0789</t>
        </is>
      </c>
      <c r="J140" s="56" t="inlineStr">
        <is>
          <t>2362</t>
        </is>
      </c>
      <c r="K140" s="57" t="n">
        <v>1996.092</v>
      </c>
      <c r="L140" s="56" t="inlineStr">
        <is>
          <t>9518133298/ 15</t>
        </is>
      </c>
      <c r="M140" s="56" t="inlineStr">
        <is>
          <t>15</t>
        </is>
      </c>
      <c r="N140" s="56" t="inlineStr">
        <is>
          <t>Neel Metal Products Limited</t>
        </is>
      </c>
      <c r="O140" s="58" t="n">
        <v>95</v>
      </c>
      <c r="P140" s="59" t="inlineStr">
        <is>
          <t>ABOVE 90</t>
        </is>
      </c>
      <c r="Q140" s="56" t="inlineStr">
        <is>
          <t>Apoorv</t>
        </is>
      </c>
      <c r="U140" s="585" t="n">
        <v>1938117</v>
      </c>
      <c r="V140" t="n">
        <v>18.2</v>
      </c>
      <c r="W140" t="n">
        <v>0</v>
      </c>
      <c r="X140" t="n">
        <v>1</v>
      </c>
      <c r="Y140" t="n">
        <v>0.145</v>
      </c>
      <c r="Z140" t="inlineStr">
        <is>
          <t>D</t>
        </is>
      </c>
      <c r="AA140" t="inlineStr">
        <is>
          <t>PE</t>
        </is>
      </c>
      <c r="AB140" t="inlineStr">
        <is>
          <t>AW</t>
        </is>
      </c>
      <c r="AC140" t="inlineStr">
        <is>
          <t>18.2-0-1-ERW 1-PE</t>
        </is>
      </c>
      <c r="AD140" t="inlineStr">
        <is>
          <t>CTL</t>
        </is>
      </c>
      <c r="AE140" t="inlineStr">
        <is>
          <t>18.2-0-1-ERW 1-PE-0.145</t>
        </is>
      </c>
      <c r="AF140" t="n">
        <v>0.06147460599999999</v>
      </c>
    </row>
    <row r="141">
      <c r="A141" s="56" t="n">
        <v>1940538</v>
      </c>
      <c r="B141" s="56" t="inlineStr">
        <is>
          <t>TUB-O-O-AUT-AW-PE-25.40X1.200X0.8450</t>
        </is>
      </c>
      <c r="C141" s="56" t="inlineStr">
        <is>
          <t>4A10H35077</t>
        </is>
      </c>
      <c r="D141" s="57" t="n">
        <v>1971.901</v>
      </c>
      <c r="E141" s="58" t="n">
        <v>1193</v>
      </c>
      <c r="F141" s="57" t="n">
        <v>1.193</v>
      </c>
      <c r="G141" s="56" t="inlineStr">
        <is>
          <t>KG</t>
        </is>
      </c>
      <c r="H141" s="56" t="inlineStr">
        <is>
          <t>R001</t>
        </is>
      </c>
      <c r="I141" s="56" t="inlineStr">
        <is>
          <t>0789</t>
        </is>
      </c>
      <c r="J141" s="56" t="inlineStr"/>
      <c r="K141" s="57" t="n">
        <v>1665.271</v>
      </c>
      <c r="L141" s="56" t="inlineStr">
        <is>
          <t>9518133298/ 15</t>
        </is>
      </c>
      <c r="M141" s="56" t="inlineStr">
        <is>
          <t>15</t>
        </is>
      </c>
      <c r="N141" s="56" t="inlineStr">
        <is>
          <t>Neel Metal Products Limited</t>
        </is>
      </c>
      <c r="O141" s="58" t="n">
        <v>94</v>
      </c>
      <c r="P141" s="59" t="inlineStr">
        <is>
          <t>ABOVE 90</t>
        </is>
      </c>
      <c r="Q141" s="56" t="inlineStr">
        <is>
          <t>Apoorv</t>
        </is>
      </c>
      <c r="U141" s="585" t="n">
        <v>2288945</v>
      </c>
      <c r="V141" t="n">
        <v>18.2</v>
      </c>
      <c r="W141" t="n">
        <v>0</v>
      </c>
      <c r="X141" t="n">
        <v>1</v>
      </c>
      <c r="Y141" t="n">
        <v>6.145</v>
      </c>
      <c r="Z141" t="inlineStr">
        <is>
          <t>WG</t>
        </is>
      </c>
      <c r="AA141" t="inlineStr">
        <is>
          <t>PE</t>
        </is>
      </c>
      <c r="AB141" t="inlineStr">
        <is>
          <t>AW</t>
        </is>
      </c>
      <c r="AC141" t="inlineStr">
        <is>
          <t>18.2-0-1-ERW 1-PE</t>
        </is>
      </c>
      <c r="AD141" t="inlineStr">
        <is>
          <t>LL</t>
        </is>
      </c>
      <c r="AE141" t="inlineStr">
        <is>
          <t>18.2-0-1-ERW 1-PE-1</t>
        </is>
      </c>
      <c r="AF141" t="n">
        <v>0.4239628</v>
      </c>
    </row>
    <row r="142">
      <c r="A142" s="56" t="n">
        <v>1940584</v>
      </c>
      <c r="B142" s="56" t="inlineStr">
        <is>
          <t>TUB-O-O-AUT-AW-FC-25.40X2.000X0.2810</t>
        </is>
      </c>
      <c r="C142" s="56" t="inlineStr">
        <is>
          <t>SEN25010R2</t>
        </is>
      </c>
      <c r="D142" s="57" t="n">
        <v>267</v>
      </c>
      <c r="E142" s="57" t="n">
        <v>86.508</v>
      </c>
      <c r="F142" s="57" t="n">
        <v>0.086508</v>
      </c>
      <c r="G142" s="56" t="inlineStr">
        <is>
          <t>KG</t>
        </is>
      </c>
      <c r="H142" s="56" t="inlineStr">
        <is>
          <t>R001</t>
        </is>
      </c>
      <c r="I142" s="56" t="inlineStr">
        <is>
          <t>0789</t>
        </is>
      </c>
      <c r="J142" s="56" t="inlineStr">
        <is>
          <t>267</t>
        </is>
      </c>
      <c r="K142" s="57" t="n">
        <v>74.925</v>
      </c>
      <c r="L142" s="56" t="inlineStr">
        <is>
          <t>9518390450/ 31</t>
        </is>
      </c>
      <c r="M142" s="56" t="inlineStr">
        <is>
          <t>31</t>
        </is>
      </c>
      <c r="N142" s="56" t="inlineStr">
        <is>
          <t>SRIKAM HITECH ENGINEERING PRIVATE L</t>
        </is>
      </c>
      <c r="O142" s="58" t="n">
        <v>6</v>
      </c>
      <c r="P142" s="59" t="inlineStr">
        <is>
          <t>0-30</t>
        </is>
      </c>
      <c r="Q142" s="56" t="inlineStr">
        <is>
          <t>Apoorv</t>
        </is>
      </c>
      <c r="U142" t="n">
        <v>3702439</v>
      </c>
      <c r="V142" t="n">
        <v>18.2</v>
      </c>
      <c r="W142" t="n">
        <v>0</v>
      </c>
      <c r="X142" t="n">
        <v>1</v>
      </c>
      <c r="Y142" t="n">
        <v>6.145</v>
      </c>
      <c r="Z142" t="inlineStr">
        <is>
          <t>WG</t>
        </is>
      </c>
      <c r="AA142" t="inlineStr">
        <is>
          <t>PE</t>
        </is>
      </c>
      <c r="AB142" t="inlineStr">
        <is>
          <t>AW</t>
        </is>
      </c>
      <c r="AC142" t="inlineStr">
        <is>
          <t>18.2-12.3-2.95-CEW-CEW</t>
        </is>
      </c>
      <c r="AD142" t="inlineStr">
        <is>
          <t>LL</t>
        </is>
      </c>
      <c r="AE142" t="inlineStr">
        <is>
          <t>18.2-12.3-2.95-CEW-CEW-1</t>
        </is>
      </c>
      <c r="AF142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43">
      <c r="A143" s="56" t="n">
        <v>1940588</v>
      </c>
      <c r="B143" s="56" t="inlineStr">
        <is>
          <t>TUB-O-O-AUT-AW-FC-25.40X2.000X0.3550</t>
        </is>
      </c>
      <c r="C143" s="56" t="inlineStr">
        <is>
          <t>4C30H40787</t>
        </is>
      </c>
      <c r="D143" s="57" t="n">
        <v>2042.366</v>
      </c>
      <c r="E143" s="57" t="n">
        <v>837.37</v>
      </c>
      <c r="F143" s="57" t="n">
        <v>0.8373700000000001</v>
      </c>
      <c r="G143" s="56" t="inlineStr">
        <is>
          <t>KG</t>
        </is>
      </c>
      <c r="H143" s="56" t="inlineStr">
        <is>
          <t>R001</t>
        </is>
      </c>
      <c r="I143" s="56" t="inlineStr">
        <is>
          <t>0789</t>
        </is>
      </c>
      <c r="J143" s="56" t="inlineStr">
        <is>
          <t>2585</t>
        </is>
      </c>
      <c r="K143" s="57" t="n">
        <v>725.247</v>
      </c>
      <c r="L143" s="56" t="inlineStr">
        <is>
          <t>9518314387/ 2</t>
        </is>
      </c>
      <c r="M143" s="56" t="inlineStr">
        <is>
          <t>2</t>
        </is>
      </c>
      <c r="N143" s="56" t="inlineStr">
        <is>
          <t>SANDHAR ENGINEERING PVT LTD.(KA) -U</t>
        </is>
      </c>
      <c r="O143" s="58" t="n">
        <v>14</v>
      </c>
      <c r="P143" s="59" t="inlineStr">
        <is>
          <t>0-30</t>
        </is>
      </c>
      <c r="Q143" s="56" t="inlineStr">
        <is>
          <t>Jitendra Kumar Sharma</t>
        </is>
      </c>
      <c r="U143" s="585" t="n">
        <v>2410998</v>
      </c>
      <c r="V143" t="n">
        <v>18.2</v>
      </c>
      <c r="W143" t="n">
        <v>0</v>
      </c>
      <c r="X143" t="n">
        <v>2.95</v>
      </c>
      <c r="Y143" t="n">
        <v>6</v>
      </c>
      <c r="Z143" t="inlineStr">
        <is>
          <t>KGR2</t>
        </is>
      </c>
      <c r="AA143" t="inlineStr">
        <is>
          <t>FC</t>
        </is>
      </c>
      <c r="AB143" t="inlineStr">
        <is>
          <t>AD</t>
        </is>
      </c>
      <c r="AC143" t="inlineStr">
        <is>
          <t>18.2-12.3-2.95-CEW-CEW</t>
        </is>
      </c>
      <c r="AD143" t="inlineStr">
        <is>
          <t>LL</t>
        </is>
      </c>
      <c r="AE143" t="inlineStr">
        <is>
          <t>18.2-12.3-2.95-CEW-CEW-1</t>
        </is>
      </c>
      <c r="AF143" t="n">
        <v>1.1088968875</v>
      </c>
    </row>
    <row r="144">
      <c r="A144" s="56" t="n">
        <v>1940626</v>
      </c>
      <c r="B144" s="56" t="inlineStr">
        <is>
          <t>TUB-O-O-AUT-AW-FC-28.58X2.000X0.4750</t>
        </is>
      </c>
      <c r="C144" s="56" t="inlineStr">
        <is>
          <t>4C14AH2050</t>
        </is>
      </c>
      <c r="D144" s="57" t="n">
        <v>398.518</v>
      </c>
      <c r="E144" s="57" t="n">
        <v>248.277</v>
      </c>
      <c r="F144" s="57" t="n">
        <v>0.248277</v>
      </c>
      <c r="G144" s="56" t="inlineStr">
        <is>
          <t>KG</t>
        </is>
      </c>
      <c r="H144" s="56" t="inlineStr">
        <is>
          <t>R001</t>
        </is>
      </c>
      <c r="I144" s="56" t="inlineStr">
        <is>
          <t>0789</t>
        </is>
      </c>
      <c r="J144" s="56" t="inlineStr"/>
      <c r="K144" s="57" t="n">
        <v>189.308</v>
      </c>
      <c r="L144" s="56" t="inlineStr">
        <is>
          <t>9518395341/ 13</t>
        </is>
      </c>
      <c r="M144" s="56" t="inlineStr">
        <is>
          <t>13</t>
        </is>
      </c>
      <c r="N144" s="56" t="inlineStr">
        <is>
          <t>ELKAYEM AUTO ANCILLARIES (PVT) LTD.</t>
        </is>
      </c>
      <c r="O144" s="58" t="n">
        <v>2</v>
      </c>
      <c r="P144" s="59" t="inlineStr">
        <is>
          <t>0-30</t>
        </is>
      </c>
      <c r="Q144" s="56" t="inlineStr">
        <is>
          <t>Diwakar</t>
        </is>
      </c>
      <c r="U144" s="28" t="n">
        <v>4032064</v>
      </c>
      <c r="V144" t="n">
        <v>18.2</v>
      </c>
      <c r="W144" t="n">
        <v>12.1</v>
      </c>
      <c r="X144" t="n">
        <v>2.95</v>
      </c>
      <c r="Y144" t="n">
        <v>4.5</v>
      </c>
      <c r="Z144" t="inlineStr">
        <is>
          <t>KGR2</t>
        </is>
      </c>
      <c r="AA144" t="inlineStr">
        <is>
          <t>AD</t>
        </is>
      </c>
      <c r="AB144" t="inlineStr">
        <is>
          <t>FC</t>
        </is>
      </c>
      <c r="AC144" t="inlineStr">
        <is>
          <t>18.2-12.3-2.95-CEW-CEW</t>
        </is>
      </c>
      <c r="AD144" t="inlineStr">
        <is>
          <t>LL</t>
        </is>
      </c>
      <c r="AE144" t="inlineStr">
        <is>
          <t>18.2-12.3-2.95-CEW-CEW-1</t>
        </is>
      </c>
      <c r="AF144" t="n">
        <v>1.1088968875</v>
      </c>
    </row>
    <row r="145">
      <c r="A145" s="56" t="n">
        <v>1940627</v>
      </c>
      <c r="B145" s="56" t="inlineStr">
        <is>
          <t>TUB-O-O-AUT-AW-FC-28.58X3.200X6.0000</t>
        </is>
      </c>
      <c r="C145" s="56" t="inlineStr">
        <is>
          <t>4C14CH2110</t>
        </is>
      </c>
      <c r="D145" s="57" t="n">
        <v>18.3</v>
      </c>
      <c r="E145" s="58" t="n">
        <v>220</v>
      </c>
      <c r="F145" s="57" t="n">
        <v>0.22</v>
      </c>
      <c r="G145" s="56" t="inlineStr">
        <is>
          <t>KG</t>
        </is>
      </c>
      <c r="H145" s="56" t="inlineStr">
        <is>
          <t>R001</t>
        </is>
      </c>
      <c r="I145" s="56" t="inlineStr">
        <is>
          <t>0789</t>
        </is>
      </c>
      <c r="J145" s="56" t="inlineStr">
        <is>
          <t>18</t>
        </is>
      </c>
      <c r="K145" s="57" t="n">
        <v>109.802</v>
      </c>
      <c r="L145" s="56" t="inlineStr">
        <is>
          <t>9518313350/ 1</t>
        </is>
      </c>
      <c r="M145" s="56" t="inlineStr">
        <is>
          <t>1</t>
        </is>
      </c>
      <c r="N145" s="56" t="inlineStr">
        <is>
          <t>Metalman Auto Private Limited</t>
        </is>
      </c>
      <c r="O145" s="58" t="n">
        <v>6</v>
      </c>
      <c r="P145" s="59" t="inlineStr">
        <is>
          <t>0-30</t>
        </is>
      </c>
      <c r="Q145" s="56" t="inlineStr">
        <is>
          <t>Jitendra Kumar Sharma</t>
        </is>
      </c>
      <c r="U145" s="585" t="n">
        <v>3842023</v>
      </c>
      <c r="V145" t="n">
        <v>19</v>
      </c>
      <c r="W145" t="n">
        <v>12.5</v>
      </c>
      <c r="X145" t="n">
        <v>3.25</v>
      </c>
      <c r="Y145" t="n">
        <v>0.18</v>
      </c>
      <c r="Z145" t="inlineStr">
        <is>
          <t>KGR2</t>
        </is>
      </c>
      <c r="AA145" t="inlineStr">
        <is>
          <t>FC</t>
        </is>
      </c>
      <c r="AB145" t="inlineStr">
        <is>
          <t>AD</t>
        </is>
      </c>
      <c r="AC145" t="inlineStr">
        <is>
          <t>19-12.5-3.25-CEW-CEW</t>
        </is>
      </c>
      <c r="AD145" t="inlineStr">
        <is>
          <t>CTL</t>
        </is>
      </c>
      <c r="AE145" t="inlineStr">
        <is>
          <t>19-12.5-3.25-CEW-CEW-0.18</t>
        </is>
      </c>
      <c r="AF145" t="n">
        <v>0.22710972375</v>
      </c>
    </row>
    <row r="146">
      <c r="A146" s="56" t="n">
        <v>1940653</v>
      </c>
      <c r="B146" s="56" t="inlineStr">
        <is>
          <t>TUB-O-O-AUT-AW-PE-31.75X1.200X0.6700</t>
        </is>
      </c>
      <c r="C146" s="56" t="inlineStr">
        <is>
          <t>5110H41357</t>
        </is>
      </c>
      <c r="D146" s="57" t="n">
        <v>1029.505</v>
      </c>
      <c r="E146" s="57" t="n">
        <v>623.88</v>
      </c>
      <c r="F146" s="57" t="n">
        <v>0.62388</v>
      </c>
      <c r="G146" s="56" t="inlineStr">
        <is>
          <t>KG</t>
        </is>
      </c>
      <c r="H146" s="56" t="inlineStr">
        <is>
          <t>R001</t>
        </is>
      </c>
      <c r="I146" s="56" t="inlineStr">
        <is>
          <t>0789</t>
        </is>
      </c>
      <c r="J146" s="56" t="inlineStr">
        <is>
          <t>1550</t>
        </is>
      </c>
      <c r="K146" s="57" t="n">
        <v>689.828</v>
      </c>
      <c r="L146" s="56" t="inlineStr">
        <is>
          <t>9518314382/ 4</t>
        </is>
      </c>
      <c r="M146" s="56" t="inlineStr">
        <is>
          <t>4</t>
        </is>
      </c>
      <c r="N146" s="56" t="inlineStr">
        <is>
          <t>Neel Metal Products Limited</t>
        </is>
      </c>
      <c r="O146" s="58" t="n">
        <v>3</v>
      </c>
      <c r="P146" s="59" t="inlineStr">
        <is>
          <t>0-30</t>
        </is>
      </c>
      <c r="Q146" s="56" t="inlineStr">
        <is>
          <t>Apoorv</t>
        </is>
      </c>
      <c r="U146" s="585" t="n">
        <v>3545493</v>
      </c>
      <c r="V146" t="n">
        <v>19</v>
      </c>
      <c r="W146" t="n">
        <v>12.5</v>
      </c>
      <c r="X146" t="n">
        <v>3.25</v>
      </c>
      <c r="Y146" t="n">
        <v>0.18</v>
      </c>
      <c r="Z146" t="inlineStr">
        <is>
          <t>KGR2</t>
        </is>
      </c>
      <c r="AA146" t="inlineStr">
        <is>
          <t>FC</t>
        </is>
      </c>
      <c r="AB146" t="inlineStr">
        <is>
          <t>AD</t>
        </is>
      </c>
      <c r="AC146" t="inlineStr">
        <is>
          <t>19-12.5-3.25-CEW-CEW</t>
        </is>
      </c>
      <c r="AD146" t="inlineStr">
        <is>
          <t>CTL</t>
        </is>
      </c>
      <c r="AE146" t="inlineStr">
        <is>
          <t>19-12.5-3.25-CEW-CEW-0.18</t>
        </is>
      </c>
      <c r="AF146" t="n">
        <v>0.22710972375</v>
      </c>
    </row>
    <row r="147">
      <c r="A147" s="56" t="n">
        <v>1940716</v>
      </c>
      <c r="B147" s="56" t="inlineStr">
        <is>
          <t>TUB-O-O-AUT-AW-FC-34.93X2.500X6.0000</t>
        </is>
      </c>
      <c r="C147" s="56" t="inlineStr">
        <is>
          <t>4B06CH2030</t>
        </is>
      </c>
      <c r="D147" s="57" t="n">
        <v>8.333</v>
      </c>
      <c r="E147" s="58" t="n">
        <v>100</v>
      </c>
      <c r="F147" s="57" t="n">
        <v>0.1</v>
      </c>
      <c r="G147" s="56" t="inlineStr">
        <is>
          <t>KG</t>
        </is>
      </c>
      <c r="H147" s="56" t="inlineStr">
        <is>
          <t>R001</t>
        </is>
      </c>
      <c r="I147" s="56" t="inlineStr">
        <is>
          <t>0789</t>
        </is>
      </c>
      <c r="J147" s="56" t="inlineStr">
        <is>
          <t>10</t>
        </is>
      </c>
      <c r="K147" s="57" t="n">
        <v>49.998</v>
      </c>
      <c r="L147" s="56" t="inlineStr">
        <is>
          <t>9518224413/ 2</t>
        </is>
      </c>
      <c r="M147" s="56" t="inlineStr">
        <is>
          <t>2</t>
        </is>
      </c>
      <c r="N147" s="56" t="inlineStr">
        <is>
          <t>MEGH STEELS PRIVATE LIMITED - TVS A</t>
        </is>
      </c>
      <c r="O147" s="58" t="n">
        <v>6</v>
      </c>
      <c r="P147" s="59" t="inlineStr">
        <is>
          <t>0-30</t>
        </is>
      </c>
      <c r="Q147" s="56" t="inlineStr">
        <is>
          <t>Apoorv</t>
        </is>
      </c>
      <c r="U147" s="585" t="n">
        <v>3842024</v>
      </c>
      <c r="V147" t="n">
        <v>19</v>
      </c>
      <c r="W147" t="n">
        <v>12.5</v>
      </c>
      <c r="X147" t="n">
        <v>3.25</v>
      </c>
      <c r="Y147" t="n">
        <v>0.195</v>
      </c>
      <c r="Z147" t="inlineStr">
        <is>
          <t>KGR2</t>
        </is>
      </c>
      <c r="AA147" t="inlineStr">
        <is>
          <t>FC</t>
        </is>
      </c>
      <c r="AB147" t="inlineStr">
        <is>
          <t>AD</t>
        </is>
      </c>
      <c r="AC147" t="inlineStr">
        <is>
          <t>19-12.5-3.25-CEW-CEW</t>
        </is>
      </c>
      <c r="AD147" t="inlineStr">
        <is>
          <t>CTL</t>
        </is>
      </c>
      <c r="AE147" t="inlineStr">
        <is>
          <t>19-12.5-3.25-CEW-CEW-0.195</t>
        </is>
      </c>
      <c r="AF147" t="n">
        <v>0.2460355340625</v>
      </c>
    </row>
    <row r="148">
      <c r="A148" s="56" t="n">
        <v>1940730</v>
      </c>
      <c r="B148" s="56" t="inlineStr">
        <is>
          <t>TUB-O-O-AUT-AW-FC-38.10X1.600X0.4880</t>
        </is>
      </c>
      <c r="C148" s="56" t="inlineStr">
        <is>
          <t>4A23CH2250</t>
        </is>
      </c>
      <c r="D148" s="57" t="n">
        <v>619.242</v>
      </c>
      <c r="E148" s="57" t="n">
        <v>435.327</v>
      </c>
      <c r="F148" s="57" t="n">
        <v>0.435327</v>
      </c>
      <c r="G148" s="56" t="inlineStr">
        <is>
          <t>KG</t>
        </is>
      </c>
      <c r="H148" s="56" t="inlineStr">
        <is>
          <t>R001</t>
        </is>
      </c>
      <c r="I148" s="56" t="inlineStr">
        <is>
          <t>0789</t>
        </is>
      </c>
      <c r="J148" s="56" t="inlineStr">
        <is>
          <t>1610</t>
        </is>
      </c>
      <c r="K148" s="57" t="n">
        <v>302.164</v>
      </c>
      <c r="L148" s="56" t="inlineStr">
        <is>
          <t>9517607720/ 5</t>
        </is>
      </c>
      <c r="M148" s="56" t="inlineStr">
        <is>
          <t>5</t>
        </is>
      </c>
      <c r="N148" s="56" t="inlineStr">
        <is>
          <t>Neel Metal Products Limited</t>
        </is>
      </c>
      <c r="O148" s="58" t="n">
        <v>79</v>
      </c>
      <c r="P148" s="59" t="inlineStr">
        <is>
          <t>61-90</t>
        </is>
      </c>
      <c r="Q148" s="56" t="inlineStr">
        <is>
          <t>Apoorv</t>
        </is>
      </c>
      <c r="U148" s="585" t="n">
        <v>3545492</v>
      </c>
      <c r="V148" t="n">
        <v>19</v>
      </c>
      <c r="W148" t="n">
        <v>12.5</v>
      </c>
      <c r="X148" t="n">
        <v>3.25</v>
      </c>
      <c r="Y148" t="n">
        <v>0.195</v>
      </c>
      <c r="Z148" t="inlineStr">
        <is>
          <t>KGR2</t>
        </is>
      </c>
      <c r="AA148" t="inlineStr">
        <is>
          <t>FC</t>
        </is>
      </c>
      <c r="AB148" t="inlineStr">
        <is>
          <t>AD</t>
        </is>
      </c>
      <c r="AC148" t="inlineStr">
        <is>
          <t>19-12.5-3.25-CEW-CEW</t>
        </is>
      </c>
      <c r="AD148" t="inlineStr">
        <is>
          <t>CTL</t>
        </is>
      </c>
      <c r="AE148" t="inlineStr">
        <is>
          <t>19-12.5-3.25-CEW-CEW-0.195</t>
        </is>
      </c>
      <c r="AF148" t="n">
        <v>0.2460355340625</v>
      </c>
    </row>
    <row r="149">
      <c r="A149" s="56" t="n">
        <v>1940732</v>
      </c>
      <c r="B149" s="56" t="inlineStr">
        <is>
          <t>TUB-O-O-AUT-AW-FC-38.10X1.600X0.8210</t>
        </is>
      </c>
      <c r="C149" s="56" t="inlineStr">
        <is>
          <t>4527H16184</t>
        </is>
      </c>
      <c r="D149" s="57" t="n">
        <v>68.01900000000001</v>
      </c>
      <c r="E149" s="57" t="n">
        <v>80.467</v>
      </c>
      <c r="F149" s="57" t="n">
        <v>0.080467</v>
      </c>
      <c r="G149" s="56" t="inlineStr">
        <is>
          <t>KG</t>
        </is>
      </c>
      <c r="H149" s="56" t="inlineStr">
        <is>
          <t>R001</t>
        </is>
      </c>
      <c r="I149" s="56" t="inlineStr">
        <is>
          <t>0789</t>
        </is>
      </c>
      <c r="J149" s="56" t="inlineStr">
        <is>
          <t>243</t>
        </is>
      </c>
      <c r="K149" s="57" t="n">
        <v>55.853</v>
      </c>
      <c r="L149" s="56" t="inlineStr">
        <is>
          <t>9518314246/ 5</t>
        </is>
      </c>
      <c r="M149" s="56" t="inlineStr">
        <is>
          <t>5</t>
        </is>
      </c>
      <c r="N149" s="56" t="inlineStr">
        <is>
          <t>Metalman Auto Private Limited</t>
        </is>
      </c>
      <c r="O149" s="58" t="n">
        <v>24</v>
      </c>
      <c r="P149" s="59" t="inlineStr">
        <is>
          <t>0-30</t>
        </is>
      </c>
      <c r="Q149" s="56" t="inlineStr">
        <is>
          <t>Jitendra Kumar Sharma</t>
        </is>
      </c>
      <c r="U149" s="585" t="n">
        <v>1939459</v>
      </c>
      <c r="V149" t="n">
        <v>19</v>
      </c>
      <c r="W149" t="n">
        <v>12.5</v>
      </c>
      <c r="X149" t="n">
        <v>3.25</v>
      </c>
      <c r="Y149" t="n">
        <v>0.215</v>
      </c>
      <c r="Z149" t="inlineStr">
        <is>
          <t>KGR2</t>
        </is>
      </c>
      <c r="AA149" t="inlineStr">
        <is>
          <t>FC</t>
        </is>
      </c>
      <c r="AB149" t="inlineStr">
        <is>
          <t>AD</t>
        </is>
      </c>
      <c r="AC149" t="inlineStr">
        <is>
          <t>19-12.5-3.25-CEW-CEW</t>
        </is>
      </c>
      <c r="AD149" t="inlineStr">
        <is>
          <t>CTL</t>
        </is>
      </c>
      <c r="AE149" t="inlineStr">
        <is>
          <t>19-12.5-3.25-CEW-CEW-0.215</t>
        </is>
      </c>
      <c r="AF149" t="n">
        <v>0.2712699478125</v>
      </c>
    </row>
    <row r="150">
      <c r="A150" s="56" t="n">
        <v>1940739</v>
      </c>
      <c r="B150" s="56" t="inlineStr">
        <is>
          <t>TUB-O-O-AUT-AW-FC-38.10X2.000X0.4880</t>
        </is>
      </c>
      <c r="C150" s="56" t="inlineStr">
        <is>
          <t>4628AH2150</t>
        </is>
      </c>
      <c r="D150" s="57" t="n">
        <v>144.754</v>
      </c>
      <c r="E150" s="57" t="n">
        <v>125.791</v>
      </c>
      <c r="F150" s="57" t="n">
        <v>0.125791</v>
      </c>
      <c r="G150" s="56" t="inlineStr">
        <is>
          <t>KG</t>
        </is>
      </c>
      <c r="H150" s="56" t="inlineStr">
        <is>
          <t>R001</t>
        </is>
      </c>
      <c r="I150" s="56" t="inlineStr">
        <is>
          <t>0789</t>
        </is>
      </c>
      <c r="J150" s="56" t="inlineStr">
        <is>
          <t>2005</t>
        </is>
      </c>
      <c r="K150" s="57" t="n">
        <v>70.621</v>
      </c>
      <c r="L150" s="56" t="inlineStr">
        <is>
          <t>9517607720/ 3</t>
        </is>
      </c>
      <c r="M150" s="56" t="inlineStr">
        <is>
          <t>3</t>
        </is>
      </c>
      <c r="N150" s="56" t="inlineStr">
        <is>
          <t>Neel Metal Products Limited</t>
        </is>
      </c>
      <c r="O150" s="58" t="n">
        <v>121</v>
      </c>
      <c r="P150" s="59" t="inlineStr">
        <is>
          <t>ABOVE 90</t>
        </is>
      </c>
      <c r="Q150" s="56" t="inlineStr">
        <is>
          <t>Apoorv</t>
        </is>
      </c>
      <c r="U150" s="585" t="n">
        <v>3545491</v>
      </c>
      <c r="V150" t="n">
        <v>19</v>
      </c>
      <c r="W150" t="n">
        <v>12.5</v>
      </c>
      <c r="X150" t="n">
        <v>3.25</v>
      </c>
      <c r="Y150" t="n">
        <v>0.319</v>
      </c>
      <c r="Z150" t="inlineStr">
        <is>
          <t>KGR2</t>
        </is>
      </c>
      <c r="AA150" t="inlineStr">
        <is>
          <t>FC</t>
        </is>
      </c>
      <c r="AB150" t="inlineStr">
        <is>
          <t>AD</t>
        </is>
      </c>
      <c r="AC150" t="inlineStr">
        <is>
          <t>19-12.5-3.25-CEW-CEW</t>
        </is>
      </c>
      <c r="AD150" t="inlineStr">
        <is>
          <t>CTL</t>
        </is>
      </c>
      <c r="AE150" t="inlineStr">
        <is>
          <t>19-12.5-3.25-CEW-CEW-0.319</t>
        </is>
      </c>
      <c r="AF150" t="n">
        <v>0.4024888993125</v>
      </c>
    </row>
    <row r="151">
      <c r="A151" s="56" t="n">
        <v>1940743</v>
      </c>
      <c r="B151" s="56" t="inlineStr">
        <is>
          <t>TUB-O-O-AUT-AW-FC-38.10X2.000X0.8120</t>
        </is>
      </c>
      <c r="C151" s="56" t="inlineStr">
        <is>
          <t>5111H41410</t>
        </is>
      </c>
      <c r="D151" s="57" t="n">
        <v>403.873</v>
      </c>
      <c r="E151" s="58" t="n">
        <v>584</v>
      </c>
      <c r="F151" s="57" t="n">
        <v>0.584</v>
      </c>
      <c r="G151" s="56" t="inlineStr">
        <is>
          <t>KG</t>
        </is>
      </c>
      <c r="H151" s="56" t="inlineStr">
        <is>
          <t>R001</t>
        </is>
      </c>
      <c r="I151" s="56" t="inlineStr">
        <is>
          <t>0789</t>
        </is>
      </c>
      <c r="J151" s="56" t="inlineStr">
        <is>
          <t>404</t>
        </is>
      </c>
      <c r="K151" s="57" t="n">
        <v>327.869</v>
      </c>
      <c r="L151" s="56" t="inlineStr">
        <is>
          <t>9518219636/ 12</t>
        </is>
      </c>
      <c r="M151" s="56" t="inlineStr">
        <is>
          <t>12</t>
        </is>
      </c>
      <c r="N151" s="56" t="inlineStr">
        <is>
          <t>SANDHAR ENGINEERING PVT LTD.(KA) -U</t>
        </is>
      </c>
      <c r="O151" s="58" t="n">
        <v>2</v>
      </c>
      <c r="P151" s="59" t="inlineStr">
        <is>
          <t>0-30</t>
        </is>
      </c>
      <c r="Q151" s="56" t="inlineStr">
        <is>
          <t>Jitendra Kumar Sharma</t>
        </is>
      </c>
      <c r="U151" s="585" t="n">
        <v>1938191</v>
      </c>
      <c r="V151" t="n">
        <v>19</v>
      </c>
      <c r="W151" t="n">
        <v>12.5</v>
      </c>
      <c r="X151" t="n">
        <v>3.25</v>
      </c>
      <c r="Y151" t="n">
        <v>0.588</v>
      </c>
      <c r="Z151" t="inlineStr">
        <is>
          <t>KGR2</t>
        </is>
      </c>
      <c r="AA151" t="inlineStr">
        <is>
          <t>FC</t>
        </is>
      </c>
      <c r="AB151" t="inlineStr">
        <is>
          <t>AD</t>
        </is>
      </c>
      <c r="AC151" t="inlineStr">
        <is>
          <t>19-12.5-3.25-CEW-CEW</t>
        </is>
      </c>
      <c r="AD151" t="inlineStr">
        <is>
          <t>CTL</t>
        </is>
      </c>
      <c r="AE151" t="inlineStr">
        <is>
          <t>19-12.5-3.25-CEW-CEW-0.588</t>
        </is>
      </c>
      <c r="AF151" t="n">
        <v>0.7418917642499999</v>
      </c>
    </row>
    <row r="152">
      <c r="A152" s="56" t="n">
        <v>1940743</v>
      </c>
      <c r="B152" s="56" t="inlineStr">
        <is>
          <t>TUB-O-O-AUT-AW-FC-38.10X2.000X0.8120</t>
        </is>
      </c>
      <c r="C152" s="56" t="inlineStr">
        <is>
          <t>4B26H38499</t>
        </is>
      </c>
      <c r="D152" s="57" t="n">
        <v>439.834</v>
      </c>
      <c r="E152" s="58" t="n">
        <v>636</v>
      </c>
      <c r="F152" s="57" t="n">
        <v>0.636</v>
      </c>
      <c r="G152" s="56" t="inlineStr">
        <is>
          <t>KG</t>
        </is>
      </c>
      <c r="H152" s="56" t="inlineStr">
        <is>
          <t>R001</t>
        </is>
      </c>
      <c r="I152" s="56" t="inlineStr">
        <is>
          <t>0789</t>
        </is>
      </c>
      <c r="J152" s="56" t="inlineStr">
        <is>
          <t>440</t>
        </is>
      </c>
      <c r="K152" s="57" t="n">
        <v>357.063</v>
      </c>
      <c r="L152" s="56" t="inlineStr">
        <is>
          <t>9518219998/ 2</t>
        </is>
      </c>
      <c r="M152" s="56" t="inlineStr">
        <is>
          <t>2</t>
        </is>
      </c>
      <c r="N152" s="56" t="inlineStr">
        <is>
          <t>Neel Metal Products Limited</t>
        </is>
      </c>
      <c r="O152" s="58" t="n">
        <v>3</v>
      </c>
      <c r="P152" s="59" t="inlineStr">
        <is>
          <t>0-30</t>
        </is>
      </c>
      <c r="Q152" s="56" t="inlineStr">
        <is>
          <t>Apoorv</t>
        </is>
      </c>
      <c r="U152" s="585" t="n">
        <v>2419066</v>
      </c>
      <c r="V152" t="n">
        <v>19</v>
      </c>
      <c r="W152" t="n">
        <v>12.5</v>
      </c>
      <c r="X152" t="n">
        <v>3.25</v>
      </c>
      <c r="Y152" t="n">
        <v>4.8</v>
      </c>
      <c r="Z152" t="inlineStr">
        <is>
          <t>KGR2</t>
        </is>
      </c>
      <c r="AA152" t="inlineStr">
        <is>
          <t>FC</t>
        </is>
      </c>
      <c r="AB152" t="inlineStr">
        <is>
          <t>AD</t>
        </is>
      </c>
      <c r="AC152" t="inlineStr">
        <is>
          <t>19-12.5-3.25-CEW-CEW</t>
        </is>
      </c>
      <c r="AD152" t="inlineStr">
        <is>
          <t>LL</t>
        </is>
      </c>
      <c r="AE152" t="inlineStr">
        <is>
          <t>19-12.5-3.25-CEW-CEW-1</t>
        </is>
      </c>
      <c r="AF152" t="n">
        <v>1.2617206875</v>
      </c>
    </row>
    <row r="153">
      <c r="A153" s="56" t="n">
        <v>1940794</v>
      </c>
      <c r="B153" s="56" t="inlineStr">
        <is>
          <t>TUB-R-AW-RHS-40.00X20.00X1.210X0.3300</t>
        </is>
      </c>
      <c r="C153" s="56" t="inlineStr">
        <is>
          <t>AKN2307389</t>
        </is>
      </c>
      <c r="D153" s="57" t="n">
        <v>266.926</v>
      </c>
      <c r="E153" s="57" t="n">
        <v>96.89400000000001</v>
      </c>
      <c r="F153" s="57" t="n">
        <v>0.09689400000000001</v>
      </c>
      <c r="G153" s="56" t="inlineStr">
        <is>
          <t>KG</t>
        </is>
      </c>
      <c r="H153" s="56" t="inlineStr">
        <is>
          <t>R001</t>
        </is>
      </c>
      <c r="I153" s="56" t="inlineStr">
        <is>
          <t>0789</t>
        </is>
      </c>
      <c r="J153" s="56" t="inlineStr"/>
      <c r="K153" s="57" t="n">
        <v>87.989</v>
      </c>
      <c r="L153" s="56" t="inlineStr"/>
      <c r="M153" s="56" t="inlineStr">
        <is>
          <t>0</t>
        </is>
      </c>
      <c r="N153" s="56" t="inlineStr">
        <is>
          <t>Sri Balaji Gears</t>
        </is>
      </c>
      <c r="O153" s="58" t="n">
        <v>542</v>
      </c>
      <c r="P153" s="59" t="inlineStr">
        <is>
          <t>ABOVE 90</t>
        </is>
      </c>
      <c r="Q153" s="56" t="inlineStr">
        <is>
          <t>Diwakar</t>
        </is>
      </c>
      <c r="U153" s="585" t="n">
        <v>3775569</v>
      </c>
      <c r="V153" t="n">
        <v>19</v>
      </c>
      <c r="W153" t="n">
        <v>12.5</v>
      </c>
      <c r="X153" t="n">
        <v>3.25</v>
      </c>
      <c r="Y153" t="n">
        <v>6.2</v>
      </c>
      <c r="Z153" t="inlineStr">
        <is>
          <t>KGR2</t>
        </is>
      </c>
      <c r="AA153" t="inlineStr">
        <is>
          <t>FC</t>
        </is>
      </c>
      <c r="AB153" t="inlineStr">
        <is>
          <t>AD</t>
        </is>
      </c>
      <c r="AC153" t="inlineStr">
        <is>
          <t>19-12.5-3.25-CEW-CEW</t>
        </is>
      </c>
      <c r="AD153" t="inlineStr">
        <is>
          <t>LL</t>
        </is>
      </c>
      <c r="AE153" t="inlineStr">
        <is>
          <t>19-12.5-3.25-CEW-CEW-1</t>
        </is>
      </c>
      <c r="AF153" t="n">
        <v>1.2617206875</v>
      </c>
    </row>
    <row r="154">
      <c r="A154" s="56" t="n">
        <v>1940795</v>
      </c>
      <c r="B154" s="56" t="inlineStr">
        <is>
          <t>TUB-R-AW-RHS-40.00X20.00X1.210X0.8270</t>
        </is>
      </c>
      <c r="C154" s="56" t="inlineStr">
        <is>
          <t>AKN2307388</t>
        </is>
      </c>
      <c r="D154" s="57" t="n">
        <v>736.64</v>
      </c>
      <c r="E154" s="57" t="n">
        <v>671.079</v>
      </c>
      <c r="F154" s="57" t="n">
        <v>0.671079</v>
      </c>
      <c r="G154" s="56" t="inlineStr">
        <is>
          <t>KG</t>
        </is>
      </c>
      <c r="H154" s="56" t="inlineStr">
        <is>
          <t>R001</t>
        </is>
      </c>
      <c r="I154" s="56" t="inlineStr">
        <is>
          <t>0789</t>
        </is>
      </c>
      <c r="J154" s="56" t="inlineStr"/>
      <c r="K154" s="57" t="n">
        <v>609.407</v>
      </c>
      <c r="L154" s="56" t="inlineStr"/>
      <c r="M154" s="56" t="inlineStr">
        <is>
          <t>0</t>
        </is>
      </c>
      <c r="N154" s="56" t="inlineStr">
        <is>
          <t>Sri Balaji Gears</t>
        </is>
      </c>
      <c r="O154" s="58" t="n">
        <v>542</v>
      </c>
      <c r="P154" s="59" t="inlineStr">
        <is>
          <t>ABOVE 90</t>
        </is>
      </c>
      <c r="Q154" s="56" t="inlineStr">
        <is>
          <t>Diwakar</t>
        </is>
      </c>
      <c r="U154" t="n">
        <v>3931834</v>
      </c>
      <c r="V154" t="n">
        <v>19</v>
      </c>
      <c r="W154" t="n">
        <v>19</v>
      </c>
      <c r="X154" t="n">
        <v>1</v>
      </c>
      <c r="Y154" t="n">
        <v>0.1</v>
      </c>
      <c r="Z154" t="inlineStr">
        <is>
          <t>CRFH</t>
        </is>
      </c>
      <c r="AA154" t="inlineStr">
        <is>
          <t>PE</t>
        </is>
      </c>
      <c r="AB154" t="inlineStr">
        <is>
          <t>AW</t>
        </is>
      </c>
      <c r="AC154" t="inlineStr">
        <is>
          <t>19-19-1-CRFH-PE</t>
        </is>
      </c>
      <c r="AD154" t="inlineStr">
        <is>
          <t>CTL</t>
        </is>
      </c>
      <c r="AE154" t="inlineStr">
        <is>
          <t>19-19-1-CRFH-PE-0.1</t>
        </is>
      </c>
      <c r="AF154" t="n">
        <v>0.05716485492253635</v>
      </c>
    </row>
    <row r="155">
      <c r="A155" s="56" t="n">
        <v>1940796</v>
      </c>
      <c r="B155" s="56" t="inlineStr">
        <is>
          <t>TUB-R-AW-RHS-40.00X20.00X1.210X0.8500</t>
        </is>
      </c>
      <c r="C155" s="56" t="inlineStr">
        <is>
          <t>PV24030018</t>
        </is>
      </c>
      <c r="D155" s="57" t="n">
        <v>300.004</v>
      </c>
      <c r="E155" s="57" t="n">
        <v>280.804</v>
      </c>
      <c r="F155" s="57" t="n">
        <v>0.280804</v>
      </c>
      <c r="G155" s="56" t="inlineStr">
        <is>
          <t>KG</t>
        </is>
      </c>
      <c r="H155" s="56" t="inlineStr">
        <is>
          <t>R001</t>
        </is>
      </c>
      <c r="I155" s="56" t="inlineStr">
        <is>
          <t>0789</t>
        </is>
      </c>
      <c r="J155" s="56" t="inlineStr"/>
      <c r="K155" s="57" t="n">
        <v>254.998</v>
      </c>
      <c r="L155" s="56" t="inlineStr"/>
      <c r="M155" s="56" t="inlineStr">
        <is>
          <t>0</t>
        </is>
      </c>
      <c r="N155" s="56" t="inlineStr">
        <is>
          <t>Sri Balaji Gears</t>
        </is>
      </c>
      <c r="O155" s="58" t="n">
        <v>262</v>
      </c>
      <c r="P155" s="59" t="inlineStr">
        <is>
          <t>ABOVE 90</t>
        </is>
      </c>
      <c r="Q155" s="56" t="inlineStr">
        <is>
          <t>Diwakar</t>
        </is>
      </c>
      <c r="U155" t="n">
        <v>3931835</v>
      </c>
      <c r="V155" t="n">
        <v>19</v>
      </c>
      <c r="W155" t="n">
        <v>19</v>
      </c>
      <c r="X155" t="n">
        <v>1</v>
      </c>
      <c r="Y155" t="n">
        <v>0.11</v>
      </c>
      <c r="Z155" t="inlineStr">
        <is>
          <t>CRFH</t>
        </is>
      </c>
      <c r="AA155" t="inlineStr">
        <is>
          <t>PE</t>
        </is>
      </c>
      <c r="AB155" t="inlineStr">
        <is>
          <t>AW</t>
        </is>
      </c>
      <c r="AC155" t="inlineStr">
        <is>
          <t>19-19-1-CRFH-PE</t>
        </is>
      </c>
      <c r="AD155" t="inlineStr">
        <is>
          <t>CTL</t>
        </is>
      </c>
      <c r="AE155" t="inlineStr">
        <is>
          <t>19-19-1-CRFH-PE-0.11</t>
        </is>
      </c>
      <c r="AF155" t="n">
        <v>0.06288134041478997</v>
      </c>
    </row>
    <row r="156">
      <c r="A156" s="56" t="n">
        <v>1940801</v>
      </c>
      <c r="B156" s="56" t="inlineStr">
        <is>
          <t>TUB-R-AW-RHS-40.00X20.00X1.210X1.3100</t>
        </is>
      </c>
      <c r="C156" s="56" t="inlineStr">
        <is>
          <t>4923AH1050</t>
        </is>
      </c>
      <c r="D156" s="57" t="n">
        <v>249.134</v>
      </c>
      <c r="E156" s="57" t="n">
        <v>359.5</v>
      </c>
      <c r="F156" s="57" t="n">
        <v>0.3595</v>
      </c>
      <c r="G156" s="56" t="inlineStr">
        <is>
          <t>KG</t>
        </is>
      </c>
      <c r="H156" s="56" t="inlineStr">
        <is>
          <t>R001</t>
        </is>
      </c>
      <c r="I156" s="56" t="inlineStr">
        <is>
          <t>0789</t>
        </is>
      </c>
      <c r="J156" s="56" t="inlineStr">
        <is>
          <t>1750</t>
        </is>
      </c>
      <c r="K156" s="57" t="n">
        <v>326.462</v>
      </c>
      <c r="L156" s="56" t="inlineStr">
        <is>
          <t>9518315452/ 1</t>
        </is>
      </c>
      <c r="M156" s="56" t="inlineStr">
        <is>
          <t>1</t>
        </is>
      </c>
      <c r="N156" s="56" t="inlineStr">
        <is>
          <t>Marathwada Auto Compo Pvt. Ltd.</t>
        </is>
      </c>
      <c r="O156" s="58" t="n">
        <v>13</v>
      </c>
      <c r="P156" s="59" t="inlineStr">
        <is>
          <t>0-30</t>
        </is>
      </c>
      <c r="Q156" s="56" t="inlineStr">
        <is>
          <t>Apoorv</t>
        </is>
      </c>
      <c r="U156" t="n">
        <v>4151428</v>
      </c>
      <c r="V156" t="n">
        <v>19</v>
      </c>
      <c r="W156" t="n">
        <v>19</v>
      </c>
      <c r="X156" t="n">
        <v>1</v>
      </c>
      <c r="Y156" t="n">
        <v>0.115</v>
      </c>
      <c r="Z156" t="inlineStr">
        <is>
          <t>CRFH</t>
        </is>
      </c>
      <c r="AA156" t="inlineStr">
        <is>
          <t>PE</t>
        </is>
      </c>
      <c r="AB156" t="inlineStr">
        <is>
          <t>AW</t>
        </is>
      </c>
      <c r="AC156" t="inlineStr">
        <is>
          <t>19-19-1-CRFH-PE</t>
        </is>
      </c>
      <c r="AD156" t="inlineStr">
        <is>
          <t>CTL</t>
        </is>
      </c>
      <c r="AE156" t="inlineStr">
        <is>
          <t>19-19-1-CRFH-PE-0.115</t>
        </is>
      </c>
      <c r="AF156" t="n">
        <v>0.0657395831609168</v>
      </c>
    </row>
    <row r="157">
      <c r="A157" s="56" t="n">
        <v>1940801</v>
      </c>
      <c r="B157" s="56" t="inlineStr">
        <is>
          <t>TUB-R-AW-RHS-40.00X20.00X1.210X1.3100</t>
        </is>
      </c>
      <c r="C157" s="56" t="inlineStr">
        <is>
          <t>5101BH1030</t>
        </is>
      </c>
      <c r="D157" s="57" t="n">
        <v>869.716</v>
      </c>
      <c r="E157" s="58" t="n">
        <v>1255</v>
      </c>
      <c r="F157" s="57" t="n">
        <v>1.255</v>
      </c>
      <c r="G157" s="56" t="inlineStr">
        <is>
          <t>KG</t>
        </is>
      </c>
      <c r="H157" s="56" t="inlineStr">
        <is>
          <t>R001</t>
        </is>
      </c>
      <c r="I157" s="56" t="inlineStr">
        <is>
          <t>0789</t>
        </is>
      </c>
      <c r="J157" s="56" t="inlineStr"/>
      <c r="K157" s="57" t="n">
        <v>1139.666</v>
      </c>
      <c r="L157" s="56" t="inlineStr">
        <is>
          <t>9518395829/ 1</t>
        </is>
      </c>
      <c r="M157" s="56" t="inlineStr">
        <is>
          <t>1</t>
        </is>
      </c>
      <c r="N157" s="56" t="inlineStr">
        <is>
          <t>Marathwada Auto Compo Pvt. Ltd.</t>
        </is>
      </c>
      <c r="O157" s="58" t="n">
        <v>7</v>
      </c>
      <c r="P157" s="59" t="inlineStr">
        <is>
          <t>0-30</t>
        </is>
      </c>
      <c r="Q157" s="56" t="inlineStr">
        <is>
          <t>Apoorv</t>
        </is>
      </c>
      <c r="U157" s="507" t="n">
        <v>3938687</v>
      </c>
      <c r="V157" t="n">
        <v>19</v>
      </c>
      <c r="W157" t="n">
        <v>19</v>
      </c>
      <c r="X157" t="n">
        <v>1</v>
      </c>
      <c r="Y157" t="n">
        <v>0.129</v>
      </c>
      <c r="Z157" t="inlineStr">
        <is>
          <t>CRFH</t>
        </is>
      </c>
      <c r="AA157" t="inlineStr">
        <is>
          <t>PE</t>
        </is>
      </c>
      <c r="AB157" t="inlineStr">
        <is>
          <t>AW</t>
        </is>
      </c>
      <c r="AC157" t="inlineStr">
        <is>
          <t>19-19-1-CRFH-PE</t>
        </is>
      </c>
      <c r="AD157" t="inlineStr">
        <is>
          <t>CTL</t>
        </is>
      </c>
      <c r="AE157" t="inlineStr">
        <is>
          <t>19-19-1-CRFH-PE-0.129</t>
        </is>
      </c>
      <c r="AF157" t="n">
        <v>0.07374266285007189</v>
      </c>
    </row>
    <row r="158">
      <c r="A158" s="56" t="n">
        <v>1940801</v>
      </c>
      <c r="B158" s="56" t="inlineStr">
        <is>
          <t>TUB-R-AW-RHS-40.00X20.00X1.210X1.3100</t>
        </is>
      </c>
      <c r="C158" s="56" t="inlineStr">
        <is>
          <t>5101BH1040</t>
        </is>
      </c>
      <c r="D158" s="57" t="n">
        <v>879.418</v>
      </c>
      <c r="E158" s="58" t="n">
        <v>1269</v>
      </c>
      <c r="F158" s="57" t="n">
        <v>1.269</v>
      </c>
      <c r="G158" s="56" t="inlineStr">
        <is>
          <t>KG</t>
        </is>
      </c>
      <c r="H158" s="56" t="inlineStr">
        <is>
          <t>R001</t>
        </is>
      </c>
      <c r="I158" s="56" t="inlineStr">
        <is>
          <t>0789</t>
        </is>
      </c>
      <c r="J158" s="56" t="inlineStr"/>
      <c r="K158" s="57" t="n">
        <v>1152.379</v>
      </c>
      <c r="L158" s="56" t="inlineStr">
        <is>
          <t>9518395829/ 1</t>
        </is>
      </c>
      <c r="M158" s="56" t="inlineStr">
        <is>
          <t>1</t>
        </is>
      </c>
      <c r="N158" s="56" t="inlineStr">
        <is>
          <t>Marathwada Auto Compo Pvt. Ltd.</t>
        </is>
      </c>
      <c r="O158" s="58" t="n">
        <v>7</v>
      </c>
      <c r="P158" s="59" t="inlineStr">
        <is>
          <t>0-30</t>
        </is>
      </c>
      <c r="Q158" s="56" t="inlineStr">
        <is>
          <t>Apoorv</t>
        </is>
      </c>
      <c r="U158" s="585" t="n">
        <v>3230486</v>
      </c>
      <c r="V158" t="n">
        <v>19</v>
      </c>
      <c r="W158" t="n">
        <v>19</v>
      </c>
      <c r="X158" t="n">
        <v>1</v>
      </c>
      <c r="Y158" t="n">
        <v>0.15</v>
      </c>
      <c r="Z158" t="inlineStr">
        <is>
          <t>CRFH</t>
        </is>
      </c>
      <c r="AA158" t="inlineStr">
        <is>
          <t>PE</t>
        </is>
      </c>
      <c r="AB158" t="inlineStr">
        <is>
          <t>AW</t>
        </is>
      </c>
      <c r="AC158" t="inlineStr">
        <is>
          <t>19-19-1-CRFH-PE</t>
        </is>
      </c>
      <c r="AD158" t="inlineStr">
        <is>
          <t>CTL</t>
        </is>
      </c>
      <c r="AE158" t="inlineStr">
        <is>
          <t>19-19-1-CRFH-PE-0.15</t>
        </is>
      </c>
      <c r="AF158" t="n">
        <v>0.08574728238380451</v>
      </c>
    </row>
    <row r="159">
      <c r="A159" s="56" t="n">
        <v>1940807</v>
      </c>
      <c r="B159" s="56" t="inlineStr">
        <is>
          <t>TUB-R-AW-RHS-40.00X20.00X1.210X6.0000</t>
        </is>
      </c>
      <c r="C159" s="56" t="inlineStr">
        <is>
          <t>4925AH1010</t>
        </is>
      </c>
      <c r="D159" s="57" t="n">
        <v>373.846</v>
      </c>
      <c r="E159" s="58" t="n">
        <v>2470</v>
      </c>
      <c r="F159" s="57" t="n">
        <v>2.47</v>
      </c>
      <c r="G159" s="56" t="inlineStr">
        <is>
          <t>KG</t>
        </is>
      </c>
      <c r="H159" s="56" t="inlineStr">
        <is>
          <t>R001</t>
        </is>
      </c>
      <c r="I159" s="56" t="inlineStr">
        <is>
          <t>0789</t>
        </is>
      </c>
      <c r="J159" s="56" t="inlineStr">
        <is>
          <t>377</t>
        </is>
      </c>
      <c r="K159" s="57" t="n">
        <v>2243.008</v>
      </c>
      <c r="L159" s="56" t="inlineStr">
        <is>
          <t>9518070258/ 3</t>
        </is>
      </c>
      <c r="M159" s="56" t="inlineStr">
        <is>
          <t>3</t>
        </is>
      </c>
      <c r="N159" s="56" t="inlineStr">
        <is>
          <t>Marathwada Auto Compo Pvt. Ltd.</t>
        </is>
      </c>
      <c r="O159" s="58" t="n">
        <v>109</v>
      </c>
      <c r="P159" s="59" t="inlineStr">
        <is>
          <t>ABOVE 90</t>
        </is>
      </c>
      <c r="Q159" s="56" t="inlineStr">
        <is>
          <t>Apoorv</t>
        </is>
      </c>
      <c r="U159" s="585" t="n">
        <v>3571862</v>
      </c>
      <c r="V159" t="n">
        <v>19</v>
      </c>
      <c r="W159" t="n">
        <v>19</v>
      </c>
      <c r="X159" t="n">
        <v>1</v>
      </c>
      <c r="Y159" t="n">
        <v>0.164</v>
      </c>
      <c r="Z159" t="inlineStr">
        <is>
          <t>CRFH</t>
        </is>
      </c>
      <c r="AA159" t="inlineStr">
        <is>
          <t>PE</t>
        </is>
      </c>
      <c r="AB159" t="inlineStr">
        <is>
          <t>AW</t>
        </is>
      </c>
      <c r="AC159" t="inlineStr">
        <is>
          <t>19-19-1-CRFH-PE</t>
        </is>
      </c>
      <c r="AD159" t="inlineStr">
        <is>
          <t>CTL</t>
        </is>
      </c>
      <c r="AE159" t="inlineStr">
        <is>
          <t>19-19-1-CRFH-PE-0.164</t>
        </is>
      </c>
      <c r="AF159" t="n">
        <v>0.09375036207295961</v>
      </c>
    </row>
    <row r="160">
      <c r="A160" s="56" t="n">
        <v>1940807</v>
      </c>
      <c r="B160" s="56" t="inlineStr">
        <is>
          <t>TUB-R-AW-RHS-40.00X20.00X1.210X6.0000</t>
        </is>
      </c>
      <c r="C160" s="56" t="inlineStr">
        <is>
          <t>4925AH1020</t>
        </is>
      </c>
      <c r="D160" s="57" t="n">
        <v>390.344</v>
      </c>
      <c r="E160" s="58" t="n">
        <v>2579</v>
      </c>
      <c r="F160" s="57" t="n">
        <v>2.579</v>
      </c>
      <c r="G160" s="56" t="inlineStr">
        <is>
          <t>KG</t>
        </is>
      </c>
      <c r="H160" s="56" t="inlineStr">
        <is>
          <t>R001</t>
        </is>
      </c>
      <c r="I160" s="56" t="inlineStr">
        <is>
          <t>0789</t>
        </is>
      </c>
      <c r="J160" s="56" t="inlineStr"/>
      <c r="K160" s="57" t="n">
        <v>2341.991</v>
      </c>
      <c r="L160" s="56" t="inlineStr">
        <is>
          <t>9518070258/ 3</t>
        </is>
      </c>
      <c r="M160" s="56" t="inlineStr">
        <is>
          <t>3</t>
        </is>
      </c>
      <c r="N160" s="56" t="inlineStr">
        <is>
          <t>Marathwada Auto Compo Pvt. Ltd.</t>
        </is>
      </c>
      <c r="O160" s="58" t="n">
        <v>109</v>
      </c>
      <c r="P160" s="59" t="inlineStr">
        <is>
          <t>ABOVE 90</t>
        </is>
      </c>
      <c r="Q160" s="56" t="inlineStr">
        <is>
          <t>Apoorv</t>
        </is>
      </c>
      <c r="U160" s="585" t="n">
        <v>3584173</v>
      </c>
      <c r="V160" t="n">
        <v>19</v>
      </c>
      <c r="W160" t="n">
        <v>19</v>
      </c>
      <c r="X160" t="n">
        <v>1</v>
      </c>
      <c r="Y160" t="n">
        <v>0.2</v>
      </c>
      <c r="Z160" t="inlineStr">
        <is>
          <t>CRFH</t>
        </is>
      </c>
      <c r="AA160" t="inlineStr">
        <is>
          <t>PE</t>
        </is>
      </c>
      <c r="AB160" t="inlineStr">
        <is>
          <t>AW</t>
        </is>
      </c>
      <c r="AC160" t="inlineStr">
        <is>
          <t>19-19-1-CRFH-PE</t>
        </is>
      </c>
      <c r="AD160" t="inlineStr">
        <is>
          <t>CTL</t>
        </is>
      </c>
      <c r="AE160" t="inlineStr">
        <is>
          <t>19-19-1-CRFH-PE-0.2</t>
        </is>
      </c>
      <c r="AF160" t="n">
        <v>0.1143297098450727</v>
      </c>
    </row>
    <row r="161">
      <c r="A161" s="56" t="n">
        <v>1940807</v>
      </c>
      <c r="B161" s="56" t="inlineStr">
        <is>
          <t>TUB-R-AW-RHS-40.00X20.00X1.210X6.0000</t>
        </is>
      </c>
      <c r="C161" s="56" t="inlineStr">
        <is>
          <t>4821CH2120</t>
        </is>
      </c>
      <c r="D161" s="57" t="n">
        <v>76.05</v>
      </c>
      <c r="E161" s="57" t="n">
        <v>502.461</v>
      </c>
      <c r="F161" s="57" t="n">
        <v>0.502461</v>
      </c>
      <c r="G161" s="56" t="inlineStr">
        <is>
          <t>KG</t>
        </is>
      </c>
      <c r="H161" s="56" t="inlineStr">
        <is>
          <t>R001</t>
        </is>
      </c>
      <c r="I161" s="56" t="inlineStr">
        <is>
          <t>0789</t>
        </is>
      </c>
      <c r="J161" s="56" t="inlineStr">
        <is>
          <t>384</t>
        </is>
      </c>
      <c r="K161" s="57" t="n">
        <v>456.285</v>
      </c>
      <c r="L161" s="56" t="inlineStr">
        <is>
          <t>9518133047/ 3</t>
        </is>
      </c>
      <c r="M161" s="56" t="inlineStr">
        <is>
          <t>3</t>
        </is>
      </c>
      <c r="N161" s="56" t="inlineStr">
        <is>
          <t>Marathwada Auto Compo Pvt. Ltd.</t>
        </is>
      </c>
      <c r="O161" s="58" t="n">
        <v>139</v>
      </c>
      <c r="P161" s="59" t="inlineStr">
        <is>
          <t>ABOVE 90</t>
        </is>
      </c>
      <c r="Q161" s="56" t="inlineStr">
        <is>
          <t>Apoorv</t>
        </is>
      </c>
      <c r="U161" s="585" t="n">
        <v>3571863</v>
      </c>
      <c r="V161" t="n">
        <v>19</v>
      </c>
      <c r="W161" t="n">
        <v>19</v>
      </c>
      <c r="X161" t="n">
        <v>1</v>
      </c>
      <c r="Y161" t="n">
        <v>0.22</v>
      </c>
      <c r="Z161" t="inlineStr">
        <is>
          <t>CRFH</t>
        </is>
      </c>
      <c r="AA161" t="inlineStr">
        <is>
          <t>PE</t>
        </is>
      </c>
      <c r="AB161" t="inlineStr">
        <is>
          <t>AW</t>
        </is>
      </c>
      <c r="AC161" t="inlineStr">
        <is>
          <t>19-19-1-CRFH-PE</t>
        </is>
      </c>
      <c r="AD161" t="inlineStr">
        <is>
          <t>CTL</t>
        </is>
      </c>
      <c r="AE161" t="inlineStr">
        <is>
          <t>19-19-1-CRFH-PE-0.22</t>
        </is>
      </c>
      <c r="AF161" t="n">
        <v>0.1257626808295799</v>
      </c>
    </row>
    <row r="162">
      <c r="A162" s="56" t="n">
        <v>1940807</v>
      </c>
      <c r="B162" s="56" t="inlineStr">
        <is>
          <t>TUB-R-AW-RHS-40.00X20.00X1.210X6.0000</t>
        </is>
      </c>
      <c r="C162" s="56" t="inlineStr">
        <is>
          <t>4821CH2140</t>
        </is>
      </c>
      <c r="D162" s="57" t="n">
        <v>31.034</v>
      </c>
      <c r="E162" s="57" t="n">
        <v>205.04</v>
      </c>
      <c r="F162" s="57" t="n">
        <v>0.20504</v>
      </c>
      <c r="G162" s="56" t="inlineStr">
        <is>
          <t>KG</t>
        </is>
      </c>
      <c r="H162" s="56" t="inlineStr">
        <is>
          <t>R001</t>
        </is>
      </c>
      <c r="I162" s="56" t="inlineStr">
        <is>
          <t>0789</t>
        </is>
      </c>
      <c r="J162" s="56" t="inlineStr">
        <is>
          <t>396</t>
        </is>
      </c>
      <c r="K162" s="57" t="n">
        <v>186.197</v>
      </c>
      <c r="L162" s="56" t="inlineStr">
        <is>
          <t>9518133047/ 3</t>
        </is>
      </c>
      <c r="M162" s="56" t="inlineStr">
        <is>
          <t>3</t>
        </is>
      </c>
      <c r="N162" s="56" t="inlineStr">
        <is>
          <t>Marathwada Auto Compo Pvt. Ltd.</t>
        </is>
      </c>
      <c r="O162" s="58" t="n">
        <v>139</v>
      </c>
      <c r="P162" s="59" t="inlineStr">
        <is>
          <t>ABOVE 90</t>
        </is>
      </c>
      <c r="Q162" s="56" t="inlineStr">
        <is>
          <t>Apoorv</t>
        </is>
      </c>
      <c r="U162" s="585" t="n">
        <v>3571864</v>
      </c>
      <c r="V162" t="n">
        <v>19</v>
      </c>
      <c r="W162" t="n">
        <v>19</v>
      </c>
      <c r="X162" t="n">
        <v>1</v>
      </c>
      <c r="Y162" t="n">
        <v>0.29</v>
      </c>
      <c r="Z162" t="inlineStr">
        <is>
          <t>CRFH</t>
        </is>
      </c>
      <c r="AA162" t="inlineStr">
        <is>
          <t>PE</t>
        </is>
      </c>
      <c r="AB162" t="inlineStr">
        <is>
          <t>AW</t>
        </is>
      </c>
      <c r="AC162" t="inlineStr">
        <is>
          <t>19-19-1-CRFH-PE</t>
        </is>
      </c>
      <c r="AD162" t="inlineStr">
        <is>
          <t>CTL</t>
        </is>
      </c>
      <c r="AE162" t="inlineStr">
        <is>
          <t>19-19-1-CRFH-PE-0.29</t>
        </is>
      </c>
      <c r="AF162" t="n">
        <v>0.1657780792753554</v>
      </c>
    </row>
    <row r="163">
      <c r="A163" s="56" t="n">
        <v>1940807</v>
      </c>
      <c r="B163" s="56" t="inlineStr">
        <is>
          <t>TUB-R-AW-RHS-40.00X20.00X1.210X6.0000</t>
        </is>
      </c>
      <c r="C163" s="56" t="inlineStr">
        <is>
          <t>4A24BH1030</t>
        </is>
      </c>
      <c r="D163" s="57" t="n">
        <v>388.981</v>
      </c>
      <c r="E163" s="58" t="n">
        <v>2570</v>
      </c>
      <c r="F163" s="57" t="n">
        <v>2.57</v>
      </c>
      <c r="G163" s="56" t="inlineStr">
        <is>
          <t>KG</t>
        </is>
      </c>
      <c r="H163" s="56" t="inlineStr">
        <is>
          <t>R001</t>
        </is>
      </c>
      <c r="I163" s="56" t="inlineStr">
        <is>
          <t>0789</t>
        </is>
      </c>
      <c r="J163" s="56" t="inlineStr">
        <is>
          <t>393</t>
        </is>
      </c>
      <c r="K163" s="57" t="n">
        <v>2333.818</v>
      </c>
      <c r="L163" s="56" t="inlineStr">
        <is>
          <t>9518133047/ 3</t>
        </is>
      </c>
      <c r="M163" s="56" t="inlineStr">
        <is>
          <t>3</t>
        </is>
      </c>
      <c r="N163" s="56" t="inlineStr">
        <is>
          <t>Marathwada Auto Compo Pvt. Ltd.</t>
        </is>
      </c>
      <c r="O163" s="58" t="n">
        <v>80</v>
      </c>
      <c r="P163" s="59" t="inlineStr">
        <is>
          <t>61-90</t>
        </is>
      </c>
      <c r="Q163" s="56" t="inlineStr">
        <is>
          <t>Apoorv</t>
        </is>
      </c>
      <c r="U163" t="n">
        <v>3571865</v>
      </c>
      <c r="V163" t="n">
        <v>19</v>
      </c>
      <c r="W163" t="n">
        <v>19</v>
      </c>
      <c r="X163" t="n">
        <v>1</v>
      </c>
      <c r="Y163" t="n">
        <v>0.3</v>
      </c>
      <c r="Z163" t="inlineStr">
        <is>
          <t>CRFH</t>
        </is>
      </c>
      <c r="AA163" t="inlineStr">
        <is>
          <t>PE</t>
        </is>
      </c>
      <c r="AB163" t="inlineStr">
        <is>
          <t>AW</t>
        </is>
      </c>
      <c r="AC163" t="inlineStr">
        <is>
          <t>19-19-1-CRFH-PE</t>
        </is>
      </c>
      <c r="AD163" t="inlineStr">
        <is>
          <t>CTL</t>
        </is>
      </c>
      <c r="AE163" t="inlineStr">
        <is>
          <t>19-19-1-CRFH-PE-0.3</t>
        </is>
      </c>
      <c r="AF163" t="n">
        <v>0.171494564767609</v>
      </c>
    </row>
    <row r="164">
      <c r="A164" s="56" t="n">
        <v>1940807</v>
      </c>
      <c r="B164" s="56" t="inlineStr">
        <is>
          <t>TUB-R-AW-RHS-40.00X20.00X1.210X6.0000</t>
        </is>
      </c>
      <c r="C164" s="56" t="inlineStr">
        <is>
          <t>4A24BH1040</t>
        </is>
      </c>
      <c r="D164" s="57" t="n">
        <v>388.981</v>
      </c>
      <c r="E164" s="58" t="n">
        <v>2570</v>
      </c>
      <c r="F164" s="57" t="n">
        <v>2.57</v>
      </c>
      <c r="G164" s="56" t="inlineStr">
        <is>
          <t>KG</t>
        </is>
      </c>
      <c r="H164" s="56" t="inlineStr">
        <is>
          <t>R001</t>
        </is>
      </c>
      <c r="I164" s="56" t="inlineStr">
        <is>
          <t>0789</t>
        </is>
      </c>
      <c r="J164" s="56" t="inlineStr">
        <is>
          <t>393</t>
        </is>
      </c>
      <c r="K164" s="57" t="n">
        <v>2333.818</v>
      </c>
      <c r="L164" s="56" t="inlineStr">
        <is>
          <t>9518133047/ 3</t>
        </is>
      </c>
      <c r="M164" s="56" t="inlineStr">
        <is>
          <t>3</t>
        </is>
      </c>
      <c r="N164" s="56" t="inlineStr">
        <is>
          <t>Marathwada Auto Compo Pvt. Ltd.</t>
        </is>
      </c>
      <c r="O164" s="58" t="n">
        <v>80</v>
      </c>
      <c r="P164" s="59" t="inlineStr">
        <is>
          <t>61-90</t>
        </is>
      </c>
      <c r="Q164" s="56" t="inlineStr">
        <is>
          <t>Apoorv</t>
        </is>
      </c>
      <c r="U164" s="585" t="n">
        <v>3571866</v>
      </c>
      <c r="V164" t="n">
        <v>19</v>
      </c>
      <c r="W164" t="n">
        <v>19</v>
      </c>
      <c r="X164" t="n">
        <v>1</v>
      </c>
      <c r="Y164" t="n">
        <v>0.32</v>
      </c>
      <c r="Z164" t="inlineStr">
        <is>
          <t>CRFH</t>
        </is>
      </c>
      <c r="AA164" t="inlineStr">
        <is>
          <t>PE</t>
        </is>
      </c>
      <c r="AB164" t="inlineStr">
        <is>
          <t>AW</t>
        </is>
      </c>
      <c r="AC164" t="inlineStr">
        <is>
          <t>19-19-1-CRFH-PE</t>
        </is>
      </c>
      <c r="AD164" t="inlineStr">
        <is>
          <t>CTL</t>
        </is>
      </c>
      <c r="AE164" t="inlineStr">
        <is>
          <t>19-19-1-CRFH-PE-0.32</t>
        </is>
      </c>
      <c r="AF164" t="n">
        <v>0.1829275357521163</v>
      </c>
    </row>
    <row r="165">
      <c r="A165" s="56" t="n">
        <v>1940807</v>
      </c>
      <c r="B165" s="56" t="inlineStr">
        <is>
          <t>TUB-R-AW-RHS-40.00X20.00X1.210X6.0000</t>
        </is>
      </c>
      <c r="C165" s="56" t="inlineStr">
        <is>
          <t>4A24BH1050</t>
        </is>
      </c>
      <c r="D165" s="57" t="n">
        <v>387.468</v>
      </c>
      <c r="E165" s="58" t="n">
        <v>2560</v>
      </c>
      <c r="F165" s="57" t="n">
        <v>2.56</v>
      </c>
      <c r="G165" s="56" t="inlineStr">
        <is>
          <t>KG</t>
        </is>
      </c>
      <c r="H165" s="56" t="inlineStr">
        <is>
          <t>R001</t>
        </is>
      </c>
      <c r="I165" s="56" t="inlineStr">
        <is>
          <t>0789</t>
        </is>
      </c>
      <c r="J165" s="56" t="inlineStr">
        <is>
          <t>392</t>
        </is>
      </c>
      <c r="K165" s="57" t="n">
        <v>2324.737</v>
      </c>
      <c r="L165" s="56" t="inlineStr">
        <is>
          <t>9518133047/ 3</t>
        </is>
      </c>
      <c r="M165" s="56" t="inlineStr">
        <is>
          <t>3</t>
        </is>
      </c>
      <c r="N165" s="56" t="inlineStr">
        <is>
          <t>Marathwada Auto Compo Pvt. Ltd.</t>
        </is>
      </c>
      <c r="O165" s="58" t="n">
        <v>80</v>
      </c>
      <c r="P165" s="59" t="inlineStr">
        <is>
          <t>61-90</t>
        </is>
      </c>
      <c r="Q165" s="56" t="inlineStr">
        <is>
          <t>Apoorv</t>
        </is>
      </c>
      <c r="U165" s="585" t="n">
        <v>3838020</v>
      </c>
      <c r="V165" t="n">
        <v>19</v>
      </c>
      <c r="W165" t="n">
        <v>19</v>
      </c>
      <c r="X165" t="n">
        <v>1</v>
      </c>
      <c r="Y165" t="n">
        <v>0.33</v>
      </c>
      <c r="Z165" t="inlineStr">
        <is>
          <t>CRFH</t>
        </is>
      </c>
      <c r="AA165" t="inlineStr">
        <is>
          <t>PE</t>
        </is>
      </c>
      <c r="AB165" t="inlineStr">
        <is>
          <t>AW</t>
        </is>
      </c>
      <c r="AC165" t="inlineStr">
        <is>
          <t>19-19-1-CRFH-PE</t>
        </is>
      </c>
      <c r="AD165" t="inlineStr">
        <is>
          <t>CTL</t>
        </is>
      </c>
      <c r="AE165" t="inlineStr">
        <is>
          <t>19-19-1-CRFH-PE-0.33</t>
        </is>
      </c>
      <c r="AF165" t="n">
        <v>0.1886440212443699</v>
      </c>
    </row>
    <row r="166">
      <c r="A166" s="56" t="n">
        <v>1940807</v>
      </c>
      <c r="B166" s="56" t="inlineStr">
        <is>
          <t>TUB-R-AW-RHS-40.00X20.00X1.210X6.0000</t>
        </is>
      </c>
      <c r="C166" s="56" t="inlineStr">
        <is>
          <t>4A24BH1060</t>
        </is>
      </c>
      <c r="D166" s="57" t="n">
        <v>388.981</v>
      </c>
      <c r="E166" s="58" t="n">
        <v>2570</v>
      </c>
      <c r="F166" s="57" t="n">
        <v>2.57</v>
      </c>
      <c r="G166" s="56" t="inlineStr">
        <is>
          <t>KG</t>
        </is>
      </c>
      <c r="H166" s="56" t="inlineStr">
        <is>
          <t>R001</t>
        </is>
      </c>
      <c r="I166" s="56" t="inlineStr">
        <is>
          <t>0789</t>
        </is>
      </c>
      <c r="J166" s="56" t="inlineStr">
        <is>
          <t>392</t>
        </is>
      </c>
      <c r="K166" s="57" t="n">
        <v>2333.818</v>
      </c>
      <c r="L166" s="56" t="inlineStr">
        <is>
          <t>9518133082/ 4</t>
        </is>
      </c>
      <c r="M166" s="56" t="inlineStr">
        <is>
          <t>4</t>
        </is>
      </c>
      <c r="N166" s="56" t="inlineStr">
        <is>
          <t>Sri Balaji Gears</t>
        </is>
      </c>
      <c r="O166" s="58" t="n">
        <v>45</v>
      </c>
      <c r="P166" s="59" t="inlineStr">
        <is>
          <t>31-60</t>
        </is>
      </c>
      <c r="Q166" s="56" t="inlineStr">
        <is>
          <t>Diwakar</t>
        </is>
      </c>
      <c r="U166" s="585" t="n">
        <v>3230490</v>
      </c>
      <c r="V166" t="n">
        <v>19</v>
      </c>
      <c r="W166" t="n">
        <v>19</v>
      </c>
      <c r="X166" t="n">
        <v>1</v>
      </c>
      <c r="Y166" t="n">
        <v>0.355</v>
      </c>
      <c r="Z166" t="inlineStr">
        <is>
          <t>CRFH</t>
        </is>
      </c>
      <c r="AA166" t="inlineStr">
        <is>
          <t>PE</t>
        </is>
      </c>
      <c r="AB166" t="inlineStr">
        <is>
          <t>AW</t>
        </is>
      </c>
      <c r="AC166" t="inlineStr">
        <is>
          <t>19-19-1-CRFH-PE</t>
        </is>
      </c>
      <c r="AD166" t="inlineStr">
        <is>
          <t>CTL</t>
        </is>
      </c>
      <c r="AE166" t="inlineStr">
        <is>
          <t>19-19-1-CRFH-PE-0.355</t>
        </is>
      </c>
      <c r="AF166" t="n">
        <v>0.202935234975004</v>
      </c>
    </row>
    <row r="167">
      <c r="A167" s="56" t="n">
        <v>1940807</v>
      </c>
      <c r="B167" s="56" t="inlineStr">
        <is>
          <t>TUB-R-AW-RHS-40.00X20.00X1.210X6.0000</t>
        </is>
      </c>
      <c r="C167" s="56" t="inlineStr">
        <is>
          <t>4A24BH1070</t>
        </is>
      </c>
      <c r="D167" s="57" t="n">
        <v>388.981</v>
      </c>
      <c r="E167" s="58" t="n">
        <v>2570</v>
      </c>
      <c r="F167" s="57" t="n">
        <v>2.57</v>
      </c>
      <c r="G167" s="56" t="inlineStr">
        <is>
          <t>KG</t>
        </is>
      </c>
      <c r="H167" s="56" t="inlineStr">
        <is>
          <t>R001</t>
        </is>
      </c>
      <c r="I167" s="56" t="inlineStr">
        <is>
          <t>0789</t>
        </is>
      </c>
      <c r="J167" s="56" t="inlineStr">
        <is>
          <t>392</t>
        </is>
      </c>
      <c r="K167" s="57" t="n">
        <v>2333.818</v>
      </c>
      <c r="L167" s="56" t="inlineStr">
        <is>
          <t>9518133082/ 4</t>
        </is>
      </c>
      <c r="M167" s="56" t="inlineStr">
        <is>
          <t>4</t>
        </is>
      </c>
      <c r="N167" s="56" t="inlineStr">
        <is>
          <t>Sri Balaji Gears</t>
        </is>
      </c>
      <c r="O167" s="58" t="n">
        <v>80</v>
      </c>
      <c r="P167" s="59" t="inlineStr">
        <is>
          <t>61-90</t>
        </is>
      </c>
      <c r="Q167" s="56" t="inlineStr">
        <is>
          <t>Diwakar</t>
        </is>
      </c>
      <c r="U167" s="585" t="n">
        <v>3571867</v>
      </c>
      <c r="V167" t="n">
        <v>19</v>
      </c>
      <c r="W167" t="n">
        <v>19</v>
      </c>
      <c r="X167" t="n">
        <v>1</v>
      </c>
      <c r="Y167" t="n">
        <v>0.377</v>
      </c>
      <c r="Z167" t="inlineStr">
        <is>
          <t>CRFH</t>
        </is>
      </c>
      <c r="AA167" t="inlineStr">
        <is>
          <t>PE</t>
        </is>
      </c>
      <c r="AB167" t="inlineStr">
        <is>
          <t>AW</t>
        </is>
      </c>
      <c r="AC167" t="inlineStr">
        <is>
          <t>19-19-1-CRFH-PE</t>
        </is>
      </c>
      <c r="AD167" t="inlineStr">
        <is>
          <t>CTL</t>
        </is>
      </c>
      <c r="AE167" t="inlineStr">
        <is>
          <t>19-19-1-CRFH-PE-0.377</t>
        </is>
      </c>
      <c r="AF167" t="n">
        <v>0.215511503057962</v>
      </c>
    </row>
    <row r="168">
      <c r="A168" s="56" t="n">
        <v>1940807</v>
      </c>
      <c r="B168" s="56" t="inlineStr">
        <is>
          <t>TUB-R-AW-RHS-40.00X20.00X1.210X6.0000</t>
        </is>
      </c>
      <c r="C168" s="56" t="inlineStr">
        <is>
          <t>4B22BH2170</t>
        </is>
      </c>
      <c r="D168" s="57" t="n">
        <v>390.495</v>
      </c>
      <c r="E168" s="58" t="n">
        <v>2580</v>
      </c>
      <c r="F168" s="57" t="n">
        <v>2.58</v>
      </c>
      <c r="G168" s="56" t="inlineStr">
        <is>
          <t>KG</t>
        </is>
      </c>
      <c r="H168" s="56" t="inlineStr">
        <is>
          <t>R001</t>
        </is>
      </c>
      <c r="I168" s="56" t="inlineStr">
        <is>
          <t>0789</t>
        </is>
      </c>
      <c r="J168" s="56" t="inlineStr">
        <is>
          <t>394</t>
        </is>
      </c>
      <c r="K168" s="57" t="n">
        <v>2342.899</v>
      </c>
      <c r="L168" s="56" t="inlineStr">
        <is>
          <t>9518224307/ 5</t>
        </is>
      </c>
      <c r="M168" s="56" t="inlineStr">
        <is>
          <t>5</t>
        </is>
      </c>
      <c r="N168" s="56" t="inlineStr">
        <is>
          <t>Sri Balaji Gears</t>
        </is>
      </c>
      <c r="O168" s="58" t="n">
        <v>49</v>
      </c>
      <c r="P168" s="59" t="inlineStr">
        <is>
          <t>31-60</t>
        </is>
      </c>
      <c r="Q168" s="56" t="inlineStr">
        <is>
          <t>Diwakar</t>
        </is>
      </c>
      <c r="U168" s="585" t="n">
        <v>3571868</v>
      </c>
      <c r="V168" t="n">
        <v>19</v>
      </c>
      <c r="W168" t="n">
        <v>19</v>
      </c>
      <c r="X168" t="n">
        <v>1</v>
      </c>
      <c r="Y168" t="n">
        <v>0.392</v>
      </c>
      <c r="Z168" t="inlineStr">
        <is>
          <t>CRFH</t>
        </is>
      </c>
      <c r="AA168" t="inlineStr">
        <is>
          <t>PE</t>
        </is>
      </c>
      <c r="AB168" t="inlineStr">
        <is>
          <t>AW</t>
        </is>
      </c>
      <c r="AC168" t="inlineStr">
        <is>
          <t>19-19-1-CRFH-PE</t>
        </is>
      </c>
      <c r="AD168" t="inlineStr">
        <is>
          <t>CTL</t>
        </is>
      </c>
      <c r="AE168" t="inlineStr">
        <is>
          <t>19-19-1-CRFH-PE-0.392</t>
        </is>
      </c>
      <c r="AF168" t="n">
        <v>0.2240862312963425</v>
      </c>
    </row>
    <row r="169">
      <c r="A169" s="56" t="n">
        <v>1940807</v>
      </c>
      <c r="B169" s="56" t="inlineStr">
        <is>
          <t>TUB-R-AW-RHS-40.00X20.00X1.210X6.0000</t>
        </is>
      </c>
      <c r="C169" s="56" t="inlineStr">
        <is>
          <t>4B22AH2080</t>
        </is>
      </c>
      <c r="D169" s="57" t="n">
        <v>128.837</v>
      </c>
      <c r="E169" s="57" t="n">
        <v>851.224</v>
      </c>
      <c r="F169" s="57" t="n">
        <v>0.8512240000000001</v>
      </c>
      <c r="G169" s="56" t="inlineStr">
        <is>
          <t>KG</t>
        </is>
      </c>
      <c r="H169" s="56" t="inlineStr">
        <is>
          <t>R001</t>
        </is>
      </c>
      <c r="I169" s="56" t="inlineStr">
        <is>
          <t>0789</t>
        </is>
      </c>
      <c r="J169" s="56" t="inlineStr">
        <is>
          <t>189</t>
        </is>
      </c>
      <c r="K169" s="57" t="n">
        <v>772.997</v>
      </c>
      <c r="L169" s="56" t="inlineStr">
        <is>
          <t>9518232457/ 3</t>
        </is>
      </c>
      <c r="M169" s="56" t="inlineStr">
        <is>
          <t>3</t>
        </is>
      </c>
      <c r="N169" s="56" t="inlineStr">
        <is>
          <t>Marathwada Auto Compo Pvt. Ltd.</t>
        </is>
      </c>
      <c r="O169" s="58" t="n">
        <v>49</v>
      </c>
      <c r="P169" s="59" t="inlineStr">
        <is>
          <t>31-60</t>
        </is>
      </c>
      <c r="Q169" s="56" t="inlineStr">
        <is>
          <t>Apoorv</t>
        </is>
      </c>
      <c r="U169" s="585" t="n">
        <v>3230487</v>
      </c>
      <c r="V169" t="n">
        <v>19</v>
      </c>
      <c r="W169" t="n">
        <v>19</v>
      </c>
      <c r="X169" t="n">
        <v>1</v>
      </c>
      <c r="Y169" t="n">
        <v>0.4</v>
      </c>
      <c r="Z169" t="inlineStr">
        <is>
          <t>CRFH</t>
        </is>
      </c>
      <c r="AA169" t="inlineStr">
        <is>
          <t>PE</t>
        </is>
      </c>
      <c r="AB169" t="inlineStr">
        <is>
          <t>AW</t>
        </is>
      </c>
      <c r="AC169" t="inlineStr">
        <is>
          <t>19-19-1-CRFH-PE</t>
        </is>
      </c>
      <c r="AD169" t="inlineStr">
        <is>
          <t>CTL</t>
        </is>
      </c>
      <c r="AE169" t="inlineStr">
        <is>
          <t>19-19-1-CRFH-PE-0.4</t>
        </is>
      </c>
      <c r="AF169" t="n">
        <v>0.2286594196901454</v>
      </c>
    </row>
    <row r="170">
      <c r="A170" s="56" t="n">
        <v>1940816</v>
      </c>
      <c r="B170" s="56" t="inlineStr">
        <is>
          <t>TUB-R-AW-RHS-40.00X20.00X1.600X0.5450</t>
        </is>
      </c>
      <c r="C170" s="56" t="inlineStr">
        <is>
          <t>AKN2309241</t>
        </is>
      </c>
      <c r="D170" s="57" t="n">
        <v>448.964</v>
      </c>
      <c r="E170" s="57" t="n">
        <v>352.437</v>
      </c>
      <c r="F170" s="57" t="n">
        <v>0.352437</v>
      </c>
      <c r="G170" s="56" t="inlineStr">
        <is>
          <t>KG</t>
        </is>
      </c>
      <c r="H170" s="56" t="inlineStr">
        <is>
          <t>R001</t>
        </is>
      </c>
      <c r="I170" s="56" t="inlineStr">
        <is>
          <t>0789</t>
        </is>
      </c>
      <c r="J170" s="56" t="inlineStr"/>
      <c r="K170" s="57" t="n">
        <v>244.629</v>
      </c>
      <c r="L170" s="56" t="inlineStr"/>
      <c r="M170" s="56" t="inlineStr">
        <is>
          <t>0</t>
        </is>
      </c>
      <c r="N170" s="56" t="inlineStr">
        <is>
          <t>Neel Metal Products Limited</t>
        </is>
      </c>
      <c r="O170" s="58" t="n">
        <v>488</v>
      </c>
      <c r="P170" s="59" t="inlineStr">
        <is>
          <t>ABOVE 90</t>
        </is>
      </c>
      <c r="Q170" s="56" t="inlineStr">
        <is>
          <t>Apoorv</t>
        </is>
      </c>
      <c r="U170" s="585" t="n">
        <v>3234371</v>
      </c>
      <c r="V170" t="n">
        <v>19</v>
      </c>
      <c r="W170" t="n">
        <v>19</v>
      </c>
      <c r="X170" t="n">
        <v>1</v>
      </c>
      <c r="Y170" t="n">
        <v>0.462</v>
      </c>
      <c r="Z170" t="inlineStr">
        <is>
          <t>CRFH</t>
        </is>
      </c>
      <c r="AA170" t="inlineStr">
        <is>
          <t>PE</t>
        </is>
      </c>
      <c r="AB170" t="inlineStr">
        <is>
          <t>AW</t>
        </is>
      </c>
      <c r="AC170" t="inlineStr">
        <is>
          <t>19-19-1-CRFH-PE</t>
        </is>
      </c>
      <c r="AD170" t="inlineStr">
        <is>
          <t>CTL</t>
        </is>
      </c>
      <c r="AE170" t="inlineStr">
        <is>
          <t>19-19-1-CRFH-PE-0.462</t>
        </is>
      </c>
      <c r="AF170" t="n">
        <v>0.2641016297421179</v>
      </c>
    </row>
    <row r="171">
      <c r="A171" s="56" t="n">
        <v>1940816</v>
      </c>
      <c r="B171" s="56" t="inlineStr">
        <is>
          <t>TUB-R-AW-RHS-40.00X20.00X1.600X0.5450</t>
        </is>
      </c>
      <c r="C171" s="56" t="inlineStr">
        <is>
          <t>EXC2405134</t>
        </is>
      </c>
      <c r="D171" s="57" t="n">
        <v>716.625</v>
      </c>
      <c r="E171" s="57" t="n">
        <v>562.551</v>
      </c>
      <c r="F171" s="57" t="n">
        <v>0.562551</v>
      </c>
      <c r="G171" s="56" t="inlineStr">
        <is>
          <t>KG</t>
        </is>
      </c>
      <c r="H171" s="56" t="inlineStr">
        <is>
          <t>R001</t>
        </is>
      </c>
      <c r="I171" s="56" t="inlineStr">
        <is>
          <t>0789</t>
        </is>
      </c>
      <c r="J171" s="56" t="inlineStr"/>
      <c r="K171" s="57" t="n">
        <v>390.471</v>
      </c>
      <c r="L171" s="56" t="inlineStr">
        <is>
          <t>9517445820/ 2</t>
        </is>
      </c>
      <c r="M171" s="56" t="inlineStr">
        <is>
          <t>2</t>
        </is>
      </c>
      <c r="N171" s="56" t="inlineStr">
        <is>
          <t>Neel Metal Products Limited</t>
        </is>
      </c>
      <c r="O171" s="58" t="n">
        <v>230</v>
      </c>
      <c r="P171" s="59" t="inlineStr">
        <is>
          <t>ABOVE 90</t>
        </is>
      </c>
      <c r="Q171" s="56" t="inlineStr">
        <is>
          <t>Apoorv</t>
        </is>
      </c>
      <c r="U171" t="n">
        <v>3952059</v>
      </c>
      <c r="V171" t="n">
        <v>19</v>
      </c>
      <c r="W171" t="n">
        <v>19</v>
      </c>
      <c r="X171" t="n">
        <v>1</v>
      </c>
      <c r="Y171" t="n">
        <v>0.463</v>
      </c>
      <c r="Z171" t="inlineStr">
        <is>
          <t>CRFH</t>
        </is>
      </c>
      <c r="AA171" t="inlineStr">
        <is>
          <t>PE</t>
        </is>
      </c>
      <c r="AB171" t="inlineStr">
        <is>
          <t>AW</t>
        </is>
      </c>
      <c r="AC171" t="inlineStr">
        <is>
          <t>19-19-1-CRFH-PE</t>
        </is>
      </c>
      <c r="AD171" t="inlineStr">
        <is>
          <t>CTL</t>
        </is>
      </c>
      <c r="AE171" t="inlineStr">
        <is>
          <t>19-19-1-CRFH-PE-0.463</t>
        </is>
      </c>
      <c r="AF171" t="n">
        <v>0.2646732782913433</v>
      </c>
    </row>
    <row r="172">
      <c r="A172" s="56" t="n">
        <v>1940820</v>
      </c>
      <c r="B172" s="56" t="inlineStr">
        <is>
          <t>TUB-R-AW-RHS-40.00X20.00X1.600X0.6070</t>
        </is>
      </c>
      <c r="C172" s="56" t="inlineStr">
        <is>
          <t>PV24030062</t>
        </is>
      </c>
      <c r="D172" s="57" t="n">
        <v>893.758</v>
      </c>
      <c r="E172" s="57" t="n">
        <v>782.038</v>
      </c>
      <c r="F172" s="57" t="n">
        <v>0.782038</v>
      </c>
      <c r="G172" s="56" t="inlineStr">
        <is>
          <t>KG</t>
        </is>
      </c>
      <c r="H172" s="56" t="inlineStr">
        <is>
          <t>R001</t>
        </is>
      </c>
      <c r="I172" s="56" t="inlineStr">
        <is>
          <t>0789</t>
        </is>
      </c>
      <c r="J172" s="56" t="inlineStr"/>
      <c r="K172" s="57" t="n">
        <v>542.818</v>
      </c>
      <c r="L172" s="56" t="inlineStr"/>
      <c r="M172" s="56" t="inlineStr">
        <is>
          <t>0</t>
        </is>
      </c>
      <c r="N172" s="56" t="inlineStr">
        <is>
          <t>Sri Balaji Gears</t>
        </is>
      </c>
      <c r="O172" s="58" t="n">
        <v>262</v>
      </c>
      <c r="P172" s="59" t="inlineStr">
        <is>
          <t>ABOVE 90</t>
        </is>
      </c>
      <c r="Q172" s="56" t="inlineStr">
        <is>
          <t>Diwakar</t>
        </is>
      </c>
      <c r="U172" s="585" t="n">
        <v>3230488</v>
      </c>
      <c r="V172" t="n">
        <v>19</v>
      </c>
      <c r="W172" t="n">
        <v>19</v>
      </c>
      <c r="X172" t="n">
        <v>1</v>
      </c>
      <c r="Y172" t="n">
        <v>0.47</v>
      </c>
      <c r="Z172" t="inlineStr">
        <is>
          <t>CRFH</t>
        </is>
      </c>
      <c r="AA172" t="inlineStr">
        <is>
          <t>PE</t>
        </is>
      </c>
      <c r="AB172" t="inlineStr">
        <is>
          <t>AW</t>
        </is>
      </c>
      <c r="AC172" t="inlineStr">
        <is>
          <t>19-19-1-CRFH-PE</t>
        </is>
      </c>
      <c r="AD172" t="inlineStr">
        <is>
          <t>CTL</t>
        </is>
      </c>
      <c r="AE172" t="inlineStr">
        <is>
          <t>19-19-1-CRFH-PE-0.47</t>
        </is>
      </c>
      <c r="AF172" t="n">
        <v>0.2686748181359208</v>
      </c>
    </row>
    <row r="173">
      <c r="A173" s="56" t="n">
        <v>1940821</v>
      </c>
      <c r="B173" s="56" t="inlineStr">
        <is>
          <t>TUB-R-AW-RHS-40.00X25.00X1.600X0.5130</t>
        </is>
      </c>
      <c r="C173" s="56" t="inlineStr">
        <is>
          <t>4A05H34721</t>
        </is>
      </c>
      <c r="D173" s="57" t="n">
        <v>358</v>
      </c>
      <c r="E173" s="57" t="n">
        <v>287.474</v>
      </c>
      <c r="F173" s="57" t="n">
        <v>0.287474</v>
      </c>
      <c r="G173" s="56" t="inlineStr">
        <is>
          <t>KG</t>
        </is>
      </c>
      <c r="H173" s="56" t="inlineStr">
        <is>
          <t>R001</t>
        </is>
      </c>
      <c r="I173" s="56" t="inlineStr">
        <is>
          <t>0789</t>
        </is>
      </c>
      <c r="J173" s="56" t="inlineStr">
        <is>
          <t>880</t>
        </is>
      </c>
      <c r="K173" s="57" t="n">
        <v>183.549</v>
      </c>
      <c r="L173" s="56" t="inlineStr">
        <is>
          <t>621291846 / 1</t>
        </is>
      </c>
      <c r="M173" s="56" t="inlineStr">
        <is>
          <t>1</t>
        </is>
      </c>
      <c r="N173" s="56" t="inlineStr">
        <is>
          <t>ELKAYEM AUTO ANCILLARIES (PVT) LTD.</t>
        </is>
      </c>
      <c r="O173" s="58" t="n">
        <v>98</v>
      </c>
      <c r="P173" s="59" t="inlineStr">
        <is>
          <t>ABOVE 90</t>
        </is>
      </c>
      <c r="Q173" s="56" t="inlineStr">
        <is>
          <t>Diwakar</t>
        </is>
      </c>
      <c r="U173" s="585" t="n">
        <v>3571869</v>
      </c>
      <c r="V173" t="n">
        <v>19</v>
      </c>
      <c r="W173" t="n">
        <v>19</v>
      </c>
      <c r="X173" t="n">
        <v>1</v>
      </c>
      <c r="Y173" t="n">
        <v>0.486</v>
      </c>
      <c r="Z173" t="inlineStr">
        <is>
          <t>CRFH</t>
        </is>
      </c>
      <c r="AA173" t="inlineStr">
        <is>
          <t>PE</t>
        </is>
      </c>
      <c r="AB173" t="inlineStr">
        <is>
          <t>AW</t>
        </is>
      </c>
      <c r="AC173" t="inlineStr">
        <is>
          <t>19-19-1-CRFH-PE</t>
        </is>
      </c>
      <c r="AD173" t="inlineStr">
        <is>
          <t>CTL</t>
        </is>
      </c>
      <c r="AE173" t="inlineStr">
        <is>
          <t>19-19-1-CRFH-PE-0.486</t>
        </is>
      </c>
      <c r="AF173" t="n">
        <v>0.2778211949235266</v>
      </c>
    </row>
    <row r="174">
      <c r="A174" s="56" t="n">
        <v>1940821</v>
      </c>
      <c r="B174" s="56" t="inlineStr">
        <is>
          <t>TUB-R-AW-RHS-40.00X25.00X1.600X0.5130</t>
        </is>
      </c>
      <c r="C174" s="56" t="inlineStr">
        <is>
          <t>4A05H34720</t>
        </is>
      </c>
      <c r="D174" s="57" t="n">
        <v>640</v>
      </c>
      <c r="E174" s="57" t="n">
        <v>513.92</v>
      </c>
      <c r="F174" s="57" t="n">
        <v>0.5139199999999999</v>
      </c>
      <c r="G174" s="56" t="inlineStr">
        <is>
          <t>KG</t>
        </is>
      </c>
      <c r="H174" s="56" t="inlineStr">
        <is>
          <t>R001</t>
        </is>
      </c>
      <c r="I174" s="56" t="inlineStr">
        <is>
          <t>0789</t>
        </is>
      </c>
      <c r="J174" s="56" t="inlineStr">
        <is>
          <t>640</t>
        </is>
      </c>
      <c r="K174" s="57" t="n">
        <v>328.132</v>
      </c>
      <c r="L174" s="56" t="inlineStr">
        <is>
          <t>621291846 / 2</t>
        </is>
      </c>
      <c r="M174" s="56" t="inlineStr">
        <is>
          <t>2</t>
        </is>
      </c>
      <c r="N174" s="56" t="inlineStr">
        <is>
          <t>ELKAYEM AUTO ANCILLARIES (PVT) LTD.</t>
        </is>
      </c>
      <c r="O174" s="58" t="n">
        <v>100</v>
      </c>
      <c r="P174" s="59" t="inlineStr">
        <is>
          <t>ABOVE 90</t>
        </is>
      </c>
      <c r="Q174" s="56" t="inlineStr">
        <is>
          <t>Diwakar</t>
        </is>
      </c>
      <c r="U174" s="585" t="n">
        <v>3571870</v>
      </c>
      <c r="V174" t="n">
        <v>19</v>
      </c>
      <c r="W174" t="n">
        <v>19</v>
      </c>
      <c r="X174" t="n">
        <v>1</v>
      </c>
      <c r="Y174" t="n">
        <v>0.54</v>
      </c>
      <c r="Z174" t="inlineStr">
        <is>
          <t>CRFH</t>
        </is>
      </c>
      <c r="AA174" t="inlineStr">
        <is>
          <t>PE</t>
        </is>
      </c>
      <c r="AB174" t="inlineStr">
        <is>
          <t>AW</t>
        </is>
      </c>
      <c r="AC174" t="inlineStr">
        <is>
          <t>19-19-1-CRFH-PE</t>
        </is>
      </c>
      <c r="AD174" t="inlineStr">
        <is>
          <t>CTL</t>
        </is>
      </c>
      <c r="AE174" t="inlineStr">
        <is>
          <t>19-19-1-CRFH-PE-0.54</t>
        </is>
      </c>
      <c r="AF174" t="n">
        <v>0.3086902165816963</v>
      </c>
    </row>
    <row r="175">
      <c r="A175" s="56" t="n">
        <v>1940821</v>
      </c>
      <c r="B175" s="56" t="inlineStr">
        <is>
          <t>TUB-R-AW-RHS-40.00X25.00X1.600X0.5130</t>
        </is>
      </c>
      <c r="C175" s="56" t="inlineStr">
        <is>
          <t>4A20AH2120</t>
        </is>
      </c>
      <c r="D175" s="57" t="n">
        <v>201.743</v>
      </c>
      <c r="E175" s="58" t="n">
        <v>162</v>
      </c>
      <c r="F175" s="57" t="n">
        <v>0.162</v>
      </c>
      <c r="G175" s="56" t="inlineStr">
        <is>
          <t>KG</t>
        </is>
      </c>
      <c r="H175" s="56" t="inlineStr">
        <is>
          <t>R001</t>
        </is>
      </c>
      <c r="I175" s="56" t="inlineStr">
        <is>
          <t>0789</t>
        </is>
      </c>
      <c r="J175" s="56" t="inlineStr">
        <is>
          <t>3200</t>
        </is>
      </c>
      <c r="K175" s="57" t="n">
        <v>103.435</v>
      </c>
      <c r="L175" s="56" t="inlineStr">
        <is>
          <t>9518314387/ 13</t>
        </is>
      </c>
      <c r="M175" s="56" t="inlineStr">
        <is>
          <t>13</t>
        </is>
      </c>
      <c r="N175" s="56" t="inlineStr">
        <is>
          <t>SANDHAR ENGINEERING PVT LTD.(KA) -U</t>
        </is>
      </c>
      <c r="O175" s="58" t="n">
        <v>84</v>
      </c>
      <c r="P175" s="59" t="inlineStr">
        <is>
          <t>61-90</t>
        </is>
      </c>
      <c r="Q175" s="56" t="inlineStr">
        <is>
          <t>Jitendra Kumar Sharma</t>
        </is>
      </c>
      <c r="U175" s="585" t="n">
        <v>3230491</v>
      </c>
      <c r="V175" t="n">
        <v>19</v>
      </c>
      <c r="W175" t="n">
        <v>19</v>
      </c>
      <c r="X175" t="n">
        <v>1</v>
      </c>
      <c r="Y175" t="n">
        <v>0.6820000000000001</v>
      </c>
      <c r="Z175" t="inlineStr">
        <is>
          <t>CRFH</t>
        </is>
      </c>
      <c r="AA175" t="inlineStr">
        <is>
          <t>PE</t>
        </is>
      </c>
      <c r="AB175" t="inlineStr">
        <is>
          <t>AW</t>
        </is>
      </c>
      <c r="AC175" t="inlineStr">
        <is>
          <t>19-19-1-CRFH-PE</t>
        </is>
      </c>
      <c r="AD175" t="inlineStr">
        <is>
          <t>CTL</t>
        </is>
      </c>
      <c r="AE175" t="inlineStr">
        <is>
          <t>19-19-1-CRFH-PE-0.682</t>
        </is>
      </c>
      <c r="AF175" t="n">
        <v>0.3898643105716979</v>
      </c>
    </row>
    <row r="176">
      <c r="A176" s="56" t="n">
        <v>1940821</v>
      </c>
      <c r="B176" s="56" t="inlineStr">
        <is>
          <t>TUB-R-AW-RHS-40.00X25.00X1.600X0.5130</t>
        </is>
      </c>
      <c r="C176" s="56" t="inlineStr">
        <is>
          <t>4A31AH2110</t>
        </is>
      </c>
      <c r="D176" s="57" t="n">
        <v>644.847</v>
      </c>
      <c r="E176" s="57" t="n">
        <v>517.812</v>
      </c>
      <c r="F176" s="57" t="n">
        <v>0.5178120000000001</v>
      </c>
      <c r="G176" s="56" t="inlineStr">
        <is>
          <t>KG</t>
        </is>
      </c>
      <c r="H176" s="56" t="inlineStr">
        <is>
          <t>R001</t>
        </is>
      </c>
      <c r="I176" s="56" t="inlineStr">
        <is>
          <t>0789</t>
        </is>
      </c>
      <c r="J176" s="56" t="inlineStr">
        <is>
          <t>1440</t>
        </is>
      </c>
      <c r="K176" s="57" t="n">
        <v>330.617</v>
      </c>
      <c r="L176" s="56" t="inlineStr">
        <is>
          <t>9518395341/ 16</t>
        </is>
      </c>
      <c r="M176" s="56" t="inlineStr">
        <is>
          <t>16</t>
        </is>
      </c>
      <c r="N176" s="56" t="inlineStr">
        <is>
          <t>ELKAYEM AUTO ANCILLARIES (PVT) LTD.</t>
        </is>
      </c>
      <c r="O176" s="58" t="n">
        <v>70</v>
      </c>
      <c r="P176" s="59" t="inlineStr">
        <is>
          <t>61-90</t>
        </is>
      </c>
      <c r="Q176" s="56" t="inlineStr">
        <is>
          <t>Diwakar</t>
        </is>
      </c>
      <c r="U176" s="585" t="n">
        <v>3572031</v>
      </c>
      <c r="V176" t="n">
        <v>19</v>
      </c>
      <c r="W176" t="n">
        <v>19</v>
      </c>
      <c r="X176" t="n">
        <v>1</v>
      </c>
      <c r="Y176" t="n">
        <v>0.71</v>
      </c>
      <c r="Z176" t="inlineStr">
        <is>
          <t>CRFH</t>
        </is>
      </c>
      <c r="AA176" t="inlineStr">
        <is>
          <t>PE</t>
        </is>
      </c>
      <c r="AB176" t="inlineStr">
        <is>
          <t>AW</t>
        </is>
      </c>
      <c r="AC176" t="inlineStr">
        <is>
          <t>19-19-1-CRFH-PE</t>
        </is>
      </c>
      <c r="AD176" t="inlineStr">
        <is>
          <t>CTL</t>
        </is>
      </c>
      <c r="AE176" t="inlineStr">
        <is>
          <t>19-19-1-CRFH-PE-0.71</t>
        </is>
      </c>
      <c r="AF176" t="n">
        <v>0.405870469950008</v>
      </c>
    </row>
    <row r="177">
      <c r="A177" s="56" t="n">
        <v>1940822</v>
      </c>
      <c r="B177" s="56" t="inlineStr">
        <is>
          <t>TUB-R-AW-RHS-40.00X25.00X1.600X0.5360</t>
        </is>
      </c>
      <c r="C177" s="56" t="inlineStr">
        <is>
          <t>4C22H40272</t>
        </is>
      </c>
      <c r="D177" s="57" t="n">
        <v>1689.286</v>
      </c>
      <c r="E177" s="58" t="n">
        <v>1419</v>
      </c>
      <c r="F177" s="57" t="n">
        <v>1.419</v>
      </c>
      <c r="G177" s="56" t="inlineStr">
        <is>
          <t>KG</t>
        </is>
      </c>
      <c r="H177" s="56" t="inlineStr">
        <is>
          <t>R001</t>
        </is>
      </c>
      <c r="I177" s="56" t="inlineStr">
        <is>
          <t>0789</t>
        </is>
      </c>
      <c r="J177" s="56" t="inlineStr">
        <is>
          <t>1690</t>
        </is>
      </c>
      <c r="K177" s="57" t="n">
        <v>906.015</v>
      </c>
      <c r="L177" s="56" t="inlineStr">
        <is>
          <t>9518395341/ 17</t>
        </is>
      </c>
      <c r="M177" s="56" t="inlineStr">
        <is>
          <t>17</t>
        </is>
      </c>
      <c r="N177" s="56" t="inlineStr">
        <is>
          <t>ELKAYEM AUTO ANCILLARIES (PVT) LTD.</t>
        </is>
      </c>
      <c r="O177" s="58" t="n">
        <v>5</v>
      </c>
      <c r="P177" s="59" t="inlineStr">
        <is>
          <t>0-30</t>
        </is>
      </c>
      <c r="Q177" s="56" t="inlineStr">
        <is>
          <t>Diwakar</t>
        </is>
      </c>
      <c r="U177" s="585" t="n">
        <v>3572032</v>
      </c>
      <c r="V177" t="n">
        <v>19</v>
      </c>
      <c r="W177" t="n">
        <v>19</v>
      </c>
      <c r="X177" t="n">
        <v>1</v>
      </c>
      <c r="Y177" t="n">
        <v>0.75</v>
      </c>
      <c r="Z177" t="inlineStr">
        <is>
          <t>CRFH</t>
        </is>
      </c>
      <c r="AA177" t="inlineStr">
        <is>
          <t>PE</t>
        </is>
      </c>
      <c r="AB177" t="inlineStr">
        <is>
          <t>AW</t>
        </is>
      </c>
      <c r="AC177" t="inlineStr">
        <is>
          <t>19-19-1-CRFH-PE</t>
        </is>
      </c>
      <c r="AD177" t="inlineStr">
        <is>
          <t>CTL</t>
        </is>
      </c>
      <c r="AE177" t="inlineStr">
        <is>
          <t>19-19-1-CRFH-PE-0.75</t>
        </is>
      </c>
      <c r="AF177" t="n">
        <v>0.4287364119190226</v>
      </c>
    </row>
    <row r="178">
      <c r="A178" s="56" t="n">
        <v>1940822</v>
      </c>
      <c r="B178" s="56" t="inlineStr">
        <is>
          <t>TUB-R-AW-RHS-40.00X25.00X1.600X0.5360</t>
        </is>
      </c>
      <c r="C178" s="56" t="inlineStr">
        <is>
          <t>4C28H40681</t>
        </is>
      </c>
      <c r="D178" s="57" t="n">
        <v>354.667</v>
      </c>
      <c r="E178" s="57" t="n">
        <v>297.92</v>
      </c>
      <c r="F178" s="57" t="n">
        <v>0.29792</v>
      </c>
      <c r="G178" s="56" t="inlineStr">
        <is>
          <t>KG</t>
        </is>
      </c>
      <c r="H178" s="56" t="inlineStr">
        <is>
          <t>R001</t>
        </is>
      </c>
      <c r="I178" s="56" t="inlineStr">
        <is>
          <t>0789</t>
        </is>
      </c>
      <c r="J178" s="56" t="inlineStr">
        <is>
          <t>1718</t>
        </is>
      </c>
      <c r="K178" s="57" t="n">
        <v>190.218</v>
      </c>
      <c r="L178" s="56" t="inlineStr">
        <is>
          <t>9518395341/ 17</t>
        </is>
      </c>
      <c r="M178" s="56" t="inlineStr">
        <is>
          <t>17</t>
        </is>
      </c>
      <c r="N178" s="56" t="inlineStr">
        <is>
          <t>ELKAYEM AUTO ANCILLARIES (PVT) LTD.</t>
        </is>
      </c>
      <c r="O178" s="58" t="n">
        <v>5</v>
      </c>
      <c r="P178" s="59" t="inlineStr">
        <is>
          <t>0-30</t>
        </is>
      </c>
      <c r="Q178" s="56" t="inlineStr">
        <is>
          <t>Diwakar</t>
        </is>
      </c>
      <c r="U178" t="n">
        <v>4151426</v>
      </c>
      <c r="V178" t="n">
        <v>19</v>
      </c>
      <c r="W178" t="n">
        <v>19</v>
      </c>
      <c r="X178" t="n">
        <v>1</v>
      </c>
      <c r="Y178" t="n">
        <v>0.755</v>
      </c>
      <c r="Z178" t="inlineStr">
        <is>
          <t>CRFH</t>
        </is>
      </c>
      <c r="AA178" t="inlineStr">
        <is>
          <t>PE</t>
        </is>
      </c>
      <c r="AB178" t="inlineStr">
        <is>
          <t>AW</t>
        </is>
      </c>
      <c r="AC178" t="inlineStr">
        <is>
          <t>19-19-1-CRFH-PE</t>
        </is>
      </c>
      <c r="AD178" t="inlineStr">
        <is>
          <t>CTL</t>
        </is>
      </c>
      <c r="AE178" t="inlineStr">
        <is>
          <t>19-19-1-CRFH-PE-0.755</t>
        </is>
      </c>
      <c r="AF178" t="n">
        <v>0.4315946546651494</v>
      </c>
    </row>
    <row r="179">
      <c r="A179" s="56" t="n">
        <v>1940822</v>
      </c>
      <c r="B179" s="56" t="inlineStr">
        <is>
          <t>TUB-R-AW-RHS-40.00X25.00X1.600X0.5360</t>
        </is>
      </c>
      <c r="C179" s="56" t="inlineStr">
        <is>
          <t>5108CH2030</t>
        </is>
      </c>
      <c r="D179" s="57" t="n">
        <v>2878.571</v>
      </c>
      <c r="E179" s="58" t="n">
        <v>2418</v>
      </c>
      <c r="F179" s="57" t="n">
        <v>2.418</v>
      </c>
      <c r="G179" s="56" t="inlineStr">
        <is>
          <t>KG</t>
        </is>
      </c>
      <c r="H179" s="56" t="inlineStr">
        <is>
          <t>R001</t>
        </is>
      </c>
      <c r="I179" s="56" t="inlineStr">
        <is>
          <t>0789</t>
        </is>
      </c>
      <c r="J179" s="56" t="inlineStr">
        <is>
          <t>2880</t>
        </is>
      </c>
      <c r="K179" s="57" t="n">
        <v>1543.864</v>
      </c>
      <c r="L179" s="56" t="inlineStr">
        <is>
          <t>9518395341/ 17</t>
        </is>
      </c>
      <c r="M179" s="56" t="inlineStr">
        <is>
          <t>17</t>
        </is>
      </c>
      <c r="N179" s="56" t="inlineStr">
        <is>
          <t>ELKAYEM AUTO ANCILLARIES (PVT) LTD.</t>
        </is>
      </c>
      <c r="O179" s="58" t="n">
        <v>2</v>
      </c>
      <c r="P179" s="59" t="inlineStr">
        <is>
          <t>0-30</t>
        </is>
      </c>
      <c r="Q179" s="56" t="inlineStr">
        <is>
          <t>Diwakar</t>
        </is>
      </c>
      <c r="U179" s="585" t="n">
        <v>3572033</v>
      </c>
      <c r="V179" t="n">
        <v>19</v>
      </c>
      <c r="W179" t="n">
        <v>19</v>
      </c>
      <c r="X179" t="n">
        <v>1</v>
      </c>
      <c r="Y179" t="n">
        <v>0.79</v>
      </c>
      <c r="Z179" t="inlineStr">
        <is>
          <t>CRFH</t>
        </is>
      </c>
      <c r="AA179" t="inlineStr">
        <is>
          <t>PE</t>
        </is>
      </c>
      <c r="AB179" t="inlineStr">
        <is>
          <t>AW</t>
        </is>
      </c>
      <c r="AC179" t="inlineStr">
        <is>
          <t>19-19-1-CRFH-PE</t>
        </is>
      </c>
      <c r="AD179" t="inlineStr">
        <is>
          <t>CTL</t>
        </is>
      </c>
      <c r="AE179" t="inlineStr">
        <is>
          <t>19-19-1-CRFH-PE-0.79</t>
        </is>
      </c>
      <c r="AF179" t="n">
        <v>0.4516023538880372</v>
      </c>
    </row>
    <row r="180">
      <c r="A180" s="56" t="n">
        <v>1940822</v>
      </c>
      <c r="B180" s="56" t="inlineStr">
        <is>
          <t>TUB-R-AW-RHS-40.00X25.00X1.600X0.5360</t>
        </is>
      </c>
      <c r="C180" s="56" t="inlineStr">
        <is>
          <t>5110H41315</t>
        </is>
      </c>
      <c r="D180" s="57" t="n">
        <v>320.238</v>
      </c>
      <c r="E180" s="58" t="n">
        <v>269</v>
      </c>
      <c r="F180" s="57" t="n">
        <v>0.269</v>
      </c>
      <c r="G180" s="56" t="inlineStr">
        <is>
          <t>KG</t>
        </is>
      </c>
      <c r="H180" s="56" t="inlineStr">
        <is>
          <t>R001</t>
        </is>
      </c>
      <c r="I180" s="56" t="inlineStr">
        <is>
          <t>0789</t>
        </is>
      </c>
      <c r="J180" s="56" t="inlineStr">
        <is>
          <t>320</t>
        </is>
      </c>
      <c r="K180" s="57" t="n">
        <v>171.753</v>
      </c>
      <c r="L180" s="56" t="inlineStr">
        <is>
          <t>9518395341/ 17</t>
        </is>
      </c>
      <c r="M180" s="56" t="inlineStr">
        <is>
          <t>17</t>
        </is>
      </c>
      <c r="N180" s="56" t="inlineStr">
        <is>
          <t>ELKAYEM AUTO ANCILLARIES (PVT) LTD.</t>
        </is>
      </c>
      <c r="O180" s="58" t="n">
        <v>3</v>
      </c>
      <c r="P180" s="59" t="inlineStr">
        <is>
          <t>0-30</t>
        </is>
      </c>
      <c r="Q180" s="56" t="inlineStr">
        <is>
          <t>Diwakar</t>
        </is>
      </c>
      <c r="U180" t="n">
        <v>4151429</v>
      </c>
      <c r="V180" t="n">
        <v>19</v>
      </c>
      <c r="W180" t="n">
        <v>19</v>
      </c>
      <c r="X180" t="n">
        <v>1</v>
      </c>
      <c r="Y180" t="n">
        <v>0.795</v>
      </c>
      <c r="Z180" t="inlineStr">
        <is>
          <t>CRFH</t>
        </is>
      </c>
      <c r="AA180" t="inlineStr">
        <is>
          <t>PE</t>
        </is>
      </c>
      <c r="AB180" t="inlineStr">
        <is>
          <t>AW</t>
        </is>
      </c>
      <c r="AC180" t="inlineStr">
        <is>
          <t>19-19-1-CRFH-PE</t>
        </is>
      </c>
      <c r="AD180" t="inlineStr">
        <is>
          <t>CTL</t>
        </is>
      </c>
      <c r="AE180" t="inlineStr">
        <is>
          <t>19-19-1-CRFH-PE-0.795</t>
        </is>
      </c>
      <c r="AF180" t="n">
        <v>0.454460596634164</v>
      </c>
    </row>
    <row r="181">
      <c r="A181" s="56" t="n">
        <v>1940822</v>
      </c>
      <c r="B181" s="56" t="inlineStr">
        <is>
          <t>TUB-R-AW-RHS-40.00X25.00X1.600X0.5360</t>
        </is>
      </c>
      <c r="C181" s="56" t="inlineStr">
        <is>
          <t>5110H41316</t>
        </is>
      </c>
      <c r="D181" s="57" t="n">
        <v>2638.095</v>
      </c>
      <c r="E181" s="58" t="n">
        <v>2216</v>
      </c>
      <c r="F181" s="57" t="n">
        <v>2.216</v>
      </c>
      <c r="G181" s="56" t="inlineStr">
        <is>
          <t>KG</t>
        </is>
      </c>
      <c r="H181" s="56" t="inlineStr">
        <is>
          <t>R001</t>
        </is>
      </c>
      <c r="I181" s="56" t="inlineStr">
        <is>
          <t>0789</t>
        </is>
      </c>
      <c r="J181" s="56" t="inlineStr">
        <is>
          <t>2640</t>
        </is>
      </c>
      <c r="K181" s="57" t="n">
        <v>1414.89</v>
      </c>
      <c r="L181" s="56" t="inlineStr">
        <is>
          <t>9518395341/ 17</t>
        </is>
      </c>
      <c r="M181" s="56" t="inlineStr">
        <is>
          <t>17</t>
        </is>
      </c>
      <c r="N181" s="56" t="inlineStr">
        <is>
          <t>ELKAYEM AUTO ANCILLARIES (PVT) LTD.</t>
        </is>
      </c>
      <c r="O181" s="58" t="n">
        <v>2</v>
      </c>
      <c r="P181" s="59" t="inlineStr">
        <is>
          <t>0-30</t>
        </is>
      </c>
      <c r="Q181" s="56" t="inlineStr">
        <is>
          <t>Diwakar</t>
        </is>
      </c>
      <c r="U181" t="n">
        <v>3931836</v>
      </c>
      <c r="V181" t="n">
        <v>19</v>
      </c>
      <c r="W181" t="n">
        <v>19</v>
      </c>
      <c r="X181" t="n">
        <v>1</v>
      </c>
      <c r="Y181" t="n">
        <v>0.8</v>
      </c>
      <c r="Z181" t="inlineStr">
        <is>
          <t>CRFH</t>
        </is>
      </c>
      <c r="AA181" t="inlineStr">
        <is>
          <t>PE</t>
        </is>
      </c>
      <c r="AB181" t="inlineStr">
        <is>
          <t>AW</t>
        </is>
      </c>
      <c r="AC181" t="inlineStr">
        <is>
          <t>19-19-1-CRFH-PE</t>
        </is>
      </c>
      <c r="AD181" t="inlineStr">
        <is>
          <t>CTL</t>
        </is>
      </c>
      <c r="AE181" t="inlineStr">
        <is>
          <t>19-19-1-CRFH-PE-0.8</t>
        </is>
      </c>
      <c r="AF181" t="n">
        <v>0.4573188393802908</v>
      </c>
    </row>
    <row r="182">
      <c r="A182" s="56" t="n">
        <v>1940823</v>
      </c>
      <c r="B182" s="56" t="inlineStr">
        <is>
          <t>TUB-R-AW-RHS-40.00X25.00X1.600X0.5600</t>
        </is>
      </c>
      <c r="C182" s="56" t="inlineStr">
        <is>
          <t>5110H41309</t>
        </is>
      </c>
      <c r="D182" s="57" t="n">
        <v>578.909</v>
      </c>
      <c r="E182" s="57" t="n">
        <v>507.703</v>
      </c>
      <c r="F182" s="57" t="n">
        <v>0.507703</v>
      </c>
      <c r="G182" s="56" t="inlineStr">
        <is>
          <t>KG</t>
        </is>
      </c>
      <c r="H182" s="56" t="inlineStr">
        <is>
          <t>R001</t>
        </is>
      </c>
      <c r="I182" s="56" t="inlineStr">
        <is>
          <t>0789</t>
        </is>
      </c>
      <c r="J182" s="56" t="inlineStr">
        <is>
          <t>1</t>
        </is>
      </c>
      <c r="K182" s="57" t="n">
        <v>324.162</v>
      </c>
      <c r="L182" s="56" t="inlineStr">
        <is>
          <t>9518395341/ 18</t>
        </is>
      </c>
      <c r="M182" s="56" t="inlineStr">
        <is>
          <t>18</t>
        </is>
      </c>
      <c r="N182" s="56" t="inlineStr">
        <is>
          <t>ELKAYEM AUTO ANCILLARIES (PVT) LTD.</t>
        </is>
      </c>
      <c r="O182" s="58" t="n">
        <v>3</v>
      </c>
      <c r="P182" s="59" t="inlineStr">
        <is>
          <t>0-30</t>
        </is>
      </c>
      <c r="Q182" s="56" t="inlineStr">
        <is>
          <t>Diwakar</t>
        </is>
      </c>
      <c r="U182" t="n">
        <v>4151425</v>
      </c>
      <c r="V182" t="n">
        <v>19</v>
      </c>
      <c r="W182" t="n">
        <v>19</v>
      </c>
      <c r="X182" t="n">
        <v>1</v>
      </c>
      <c r="Y182" t="n">
        <v>0.835</v>
      </c>
      <c r="Z182" t="inlineStr">
        <is>
          <t>CRFH</t>
        </is>
      </c>
      <c r="AA182" t="inlineStr">
        <is>
          <t>PE</t>
        </is>
      </c>
      <c r="AB182" t="inlineStr">
        <is>
          <t>AW</t>
        </is>
      </c>
      <c r="AC182" t="inlineStr">
        <is>
          <t>19-19-1-CRFH-PE</t>
        </is>
      </c>
      <c r="AD182" t="inlineStr">
        <is>
          <t>CTL</t>
        </is>
      </c>
      <c r="AE182" t="inlineStr">
        <is>
          <t>19-19-1-CRFH-PE-0.835</t>
        </is>
      </c>
      <c r="AF182" t="n">
        <v>0.4773265386031785</v>
      </c>
    </row>
    <row r="183">
      <c r="A183" s="56" t="n">
        <v>1940825</v>
      </c>
      <c r="B183" s="56" t="inlineStr">
        <is>
          <t>TUB-R-AW-RHS-40.00X25.00X1.600X0.5850</t>
        </is>
      </c>
      <c r="C183" s="56" t="inlineStr">
        <is>
          <t>5108CH2150</t>
        </is>
      </c>
      <c r="D183" s="57" t="n">
        <v>2830.786</v>
      </c>
      <c r="E183" s="58" t="n">
        <v>2593</v>
      </c>
      <c r="F183" s="57" t="n">
        <v>2.593</v>
      </c>
      <c r="G183" s="56" t="inlineStr">
        <is>
          <t>KG</t>
        </is>
      </c>
      <c r="H183" s="56" t="inlineStr">
        <is>
          <t>R001</t>
        </is>
      </c>
      <c r="I183" s="56" t="inlineStr">
        <is>
          <t>0789</t>
        </is>
      </c>
      <c r="J183" s="56" t="inlineStr">
        <is>
          <t>2830</t>
        </is>
      </c>
      <c r="K183" s="57" t="n">
        <v>1655.6</v>
      </c>
      <c r="L183" s="56" t="inlineStr">
        <is>
          <t>9518395341/ 19</t>
        </is>
      </c>
      <c r="M183" s="56" t="inlineStr">
        <is>
          <t>19</t>
        </is>
      </c>
      <c r="N183" s="56" t="inlineStr">
        <is>
          <t>ELKAYEM AUTO ANCILLARIES (PVT) LTD.</t>
        </is>
      </c>
      <c r="O183" s="58" t="n">
        <v>2</v>
      </c>
      <c r="P183" s="59" t="inlineStr">
        <is>
          <t>0-30</t>
        </is>
      </c>
      <c r="Q183" s="56" t="inlineStr">
        <is>
          <t>Diwakar</t>
        </is>
      </c>
      <c r="U183" s="585" t="n">
        <v>3230485</v>
      </c>
      <c r="V183" t="n">
        <v>19</v>
      </c>
      <c r="W183" t="n">
        <v>19</v>
      </c>
      <c r="X183" t="n">
        <v>1</v>
      </c>
      <c r="Y183" t="n">
        <v>0.84</v>
      </c>
      <c r="Z183" t="inlineStr">
        <is>
          <t>CRFH</t>
        </is>
      </c>
      <c r="AA183" t="inlineStr">
        <is>
          <t>PE</t>
        </is>
      </c>
      <c r="AB183" t="inlineStr">
        <is>
          <t>AW</t>
        </is>
      </c>
      <c r="AC183" t="inlineStr">
        <is>
          <t>19-19-1-CRFH-PE</t>
        </is>
      </c>
      <c r="AD183" t="inlineStr">
        <is>
          <t>CTL</t>
        </is>
      </c>
      <c r="AE183" t="inlineStr">
        <is>
          <t>19-19-1-CRFH-PE-0.84</t>
        </is>
      </c>
      <c r="AF183" t="n">
        <v>0.4801847813493053</v>
      </c>
    </row>
    <row r="184">
      <c r="A184" s="56" t="n">
        <v>1940825</v>
      </c>
      <c r="B184" s="56" t="inlineStr">
        <is>
          <t>TUB-R-AW-RHS-40.00X25.00X1.600X0.5850</t>
        </is>
      </c>
      <c r="C184" s="56" t="inlineStr">
        <is>
          <t>5108CH2160</t>
        </is>
      </c>
      <c r="D184" s="57" t="n">
        <v>2681.223</v>
      </c>
      <c r="E184" s="58" t="n">
        <v>2456</v>
      </c>
      <c r="F184" s="57" t="n">
        <v>2.456</v>
      </c>
      <c r="G184" s="56" t="inlineStr">
        <is>
          <t>KG</t>
        </is>
      </c>
      <c r="H184" s="56" t="inlineStr">
        <is>
          <t>R001</t>
        </is>
      </c>
      <c r="I184" s="56" t="inlineStr">
        <is>
          <t>0789</t>
        </is>
      </c>
      <c r="J184" s="56" t="inlineStr">
        <is>
          <t>2680</t>
        </is>
      </c>
      <c r="K184" s="57" t="n">
        <v>1568.127</v>
      </c>
      <c r="L184" s="56" t="inlineStr">
        <is>
          <t>9518395341/ 19</t>
        </is>
      </c>
      <c r="M184" s="56" t="inlineStr">
        <is>
          <t>19</t>
        </is>
      </c>
      <c r="N184" s="56" t="inlineStr">
        <is>
          <t>ELKAYEM AUTO ANCILLARIES (PVT) LTD.</t>
        </is>
      </c>
      <c r="O184" s="58" t="n">
        <v>0</v>
      </c>
      <c r="P184" s="59" t="inlineStr">
        <is>
          <t>0-30</t>
        </is>
      </c>
      <c r="Q184" s="56" t="inlineStr">
        <is>
          <t>Diwakar</t>
        </is>
      </c>
      <c r="U184" s="585" t="n">
        <v>3233560</v>
      </c>
      <c r="V184" t="n">
        <v>19</v>
      </c>
      <c r="W184" t="n">
        <v>19</v>
      </c>
      <c r="X184" t="n">
        <v>1</v>
      </c>
      <c r="Y184" t="n">
        <v>0.875</v>
      </c>
      <c r="Z184" t="inlineStr">
        <is>
          <t>CRFH</t>
        </is>
      </c>
      <c r="AA184" t="inlineStr">
        <is>
          <t>PE</t>
        </is>
      </c>
      <c r="AB184" t="inlineStr">
        <is>
          <t>AW</t>
        </is>
      </c>
      <c r="AC184" t="inlineStr">
        <is>
          <t>19-19-1-CRFH-PE</t>
        </is>
      </c>
      <c r="AD184" t="inlineStr">
        <is>
          <t>CTL</t>
        </is>
      </c>
      <c r="AE184" t="inlineStr">
        <is>
          <t>19-19-1-CRFH-PE-0.875</t>
        </is>
      </c>
      <c r="AF184" t="n">
        <v>0.500192480572193</v>
      </c>
    </row>
    <row r="185">
      <c r="A185" s="56" t="n">
        <v>1940825</v>
      </c>
      <c r="B185" s="56" t="inlineStr">
        <is>
          <t>TUB-R-AW-RHS-40.00X25.00X1.600X0.5850</t>
        </is>
      </c>
      <c r="C185" s="56" t="inlineStr">
        <is>
          <t>5108CH2170</t>
        </is>
      </c>
      <c r="D185" s="57" t="n">
        <v>2700.873</v>
      </c>
      <c r="E185" s="58" t="n">
        <v>2474</v>
      </c>
      <c r="F185" s="57" t="n">
        <v>2.474</v>
      </c>
      <c r="G185" s="56" t="inlineStr">
        <is>
          <t>KG</t>
        </is>
      </c>
      <c r="H185" s="56" t="inlineStr">
        <is>
          <t>R001</t>
        </is>
      </c>
      <c r="I185" s="56" t="inlineStr">
        <is>
          <t>0789</t>
        </is>
      </c>
      <c r="J185" s="56" t="inlineStr">
        <is>
          <t>2700</t>
        </is>
      </c>
      <c r="K185" s="57" t="n">
        <v>1579.619</v>
      </c>
      <c r="L185" s="56" t="inlineStr">
        <is>
          <t>9518395341/ 19</t>
        </is>
      </c>
      <c r="M185" s="56" t="inlineStr">
        <is>
          <t>19</t>
        </is>
      </c>
      <c r="N185" s="56" t="inlineStr">
        <is>
          <t>ELKAYEM AUTO ANCILLARIES (PVT) LTD.</t>
        </is>
      </c>
      <c r="O185" s="58" t="n">
        <v>0</v>
      </c>
      <c r="P185" s="59" t="inlineStr">
        <is>
          <t>0-30</t>
        </is>
      </c>
      <c r="Q185" s="56" t="inlineStr">
        <is>
          <t>Diwakar</t>
        </is>
      </c>
      <c r="U185" s="585" t="n">
        <v>3230492</v>
      </c>
      <c r="V185" t="n">
        <v>19</v>
      </c>
      <c r="W185" t="n">
        <v>19</v>
      </c>
      <c r="X185" t="n">
        <v>1</v>
      </c>
      <c r="Y185" t="n">
        <v>0.88</v>
      </c>
      <c r="Z185" t="inlineStr">
        <is>
          <t>CRFH</t>
        </is>
      </c>
      <c r="AA185" t="inlineStr">
        <is>
          <t>PE</t>
        </is>
      </c>
      <c r="AB185" t="inlineStr">
        <is>
          <t>AW</t>
        </is>
      </c>
      <c r="AC185" t="inlineStr">
        <is>
          <t>19-19-1-CRFH-PE</t>
        </is>
      </c>
      <c r="AD185" t="inlineStr">
        <is>
          <t>CTL</t>
        </is>
      </c>
      <c r="AE185" t="inlineStr">
        <is>
          <t>19-19-1-CRFH-PE-0.88</t>
        </is>
      </c>
      <c r="AF185" t="n">
        <v>0.5030507233183198</v>
      </c>
    </row>
    <row r="186">
      <c r="A186" s="56" t="n">
        <v>1940825</v>
      </c>
      <c r="B186" s="56" t="inlineStr">
        <is>
          <t>TUB-R-AW-RHS-40.00X25.00X1.600X0.5850</t>
        </is>
      </c>
      <c r="C186" s="56" t="inlineStr">
        <is>
          <t>5109AH2010</t>
        </is>
      </c>
      <c r="D186" s="57" t="n">
        <v>2650.655</v>
      </c>
      <c r="E186" s="58" t="n">
        <v>2428</v>
      </c>
      <c r="F186" s="57" t="n">
        <v>2.428</v>
      </c>
      <c r="G186" s="56" t="inlineStr">
        <is>
          <t>KG</t>
        </is>
      </c>
      <c r="H186" s="56" t="inlineStr">
        <is>
          <t>R001</t>
        </is>
      </c>
      <c r="I186" s="56" t="inlineStr">
        <is>
          <t>0789</t>
        </is>
      </c>
      <c r="J186" s="56" t="inlineStr">
        <is>
          <t>2650</t>
        </is>
      </c>
      <c r="K186" s="57" t="n">
        <v>1550.249</v>
      </c>
      <c r="L186" s="56" t="inlineStr">
        <is>
          <t>9518395341/ 19</t>
        </is>
      </c>
      <c r="M186" s="56" t="inlineStr">
        <is>
          <t>19</t>
        </is>
      </c>
      <c r="N186" s="56" t="inlineStr">
        <is>
          <t>ELKAYEM AUTO ANCILLARIES (PVT) LTD.</t>
        </is>
      </c>
      <c r="O186" s="58" t="n">
        <v>0</v>
      </c>
      <c r="P186" s="59" t="inlineStr">
        <is>
          <t>0-30</t>
        </is>
      </c>
      <c r="Q186" s="56" t="inlineStr">
        <is>
          <t>Diwakar</t>
        </is>
      </c>
      <c r="U186" s="585" t="n">
        <v>3572034</v>
      </c>
      <c r="V186" t="n">
        <v>19</v>
      </c>
      <c r="W186" t="n">
        <v>19</v>
      </c>
      <c r="X186" t="n">
        <v>1</v>
      </c>
      <c r="Y186" t="n">
        <v>0.888</v>
      </c>
      <c r="Z186" t="inlineStr">
        <is>
          <t>CRFH</t>
        </is>
      </c>
      <c r="AA186" t="inlineStr">
        <is>
          <t>PE</t>
        </is>
      </c>
      <c r="AB186" t="inlineStr">
        <is>
          <t>AW</t>
        </is>
      </c>
      <c r="AC186" t="inlineStr">
        <is>
          <t>19-19-1-CRFH-PE</t>
        </is>
      </c>
      <c r="AD186" t="inlineStr">
        <is>
          <t>CTL</t>
        </is>
      </c>
      <c r="AE186" t="inlineStr">
        <is>
          <t>19-19-1-CRFH-PE-0.888</t>
        </is>
      </c>
      <c r="AF186" t="n">
        <v>0.5076239117121227</v>
      </c>
    </row>
    <row r="187">
      <c r="A187" s="56" t="n">
        <v>1940825</v>
      </c>
      <c r="B187" s="56" t="inlineStr">
        <is>
          <t>TUB-R-AW-RHS-40.00X25.00X1.600X0.5850</t>
        </is>
      </c>
      <c r="C187" s="56" t="inlineStr">
        <is>
          <t>5109AH2020</t>
        </is>
      </c>
      <c r="D187" s="57" t="n">
        <v>1280.568</v>
      </c>
      <c r="E187" s="58" t="n">
        <v>1173</v>
      </c>
      <c r="F187" s="57" t="n">
        <v>1.173</v>
      </c>
      <c r="G187" s="56" t="inlineStr">
        <is>
          <t>KG</t>
        </is>
      </c>
      <c r="H187" s="56" t="inlineStr">
        <is>
          <t>R001</t>
        </is>
      </c>
      <c r="I187" s="56" t="inlineStr">
        <is>
          <t>0789</t>
        </is>
      </c>
      <c r="J187" s="56" t="inlineStr">
        <is>
          <t>1280</t>
        </is>
      </c>
      <c r="K187" s="57" t="n">
        <v>748.946</v>
      </c>
      <c r="L187" s="56" t="inlineStr">
        <is>
          <t>9518395341/ 19</t>
        </is>
      </c>
      <c r="M187" s="56" t="inlineStr">
        <is>
          <t>19</t>
        </is>
      </c>
      <c r="N187" s="56" t="inlineStr">
        <is>
          <t>ELKAYEM AUTO ANCILLARIES (PVT) LTD.</t>
        </is>
      </c>
      <c r="O187" s="58" t="n">
        <v>0</v>
      </c>
      <c r="P187" s="59" t="inlineStr">
        <is>
          <t>0-30</t>
        </is>
      </c>
      <c r="Q187" s="56" t="inlineStr">
        <is>
          <t>Diwakar</t>
        </is>
      </c>
      <c r="U187" s="585" t="n">
        <v>3572035</v>
      </c>
      <c r="V187" t="n">
        <v>19</v>
      </c>
      <c r="W187" t="n">
        <v>19</v>
      </c>
      <c r="X187" t="n">
        <v>1</v>
      </c>
      <c r="Y187" t="n">
        <v>0.89</v>
      </c>
      <c r="Z187" t="inlineStr">
        <is>
          <t>CRFH</t>
        </is>
      </c>
      <c r="AA187" t="inlineStr">
        <is>
          <t>PE</t>
        </is>
      </c>
      <c r="AB187" t="inlineStr">
        <is>
          <t>AW</t>
        </is>
      </c>
      <c r="AC187" t="inlineStr">
        <is>
          <t>19-19-1-CRFH-PE</t>
        </is>
      </c>
      <c r="AD187" t="inlineStr">
        <is>
          <t>CTL</t>
        </is>
      </c>
      <c r="AE187" t="inlineStr">
        <is>
          <t>19-19-1-CRFH-PE-0.89</t>
        </is>
      </c>
      <c r="AF187" t="n">
        <v>0.5087672088105735</v>
      </c>
    </row>
    <row r="188">
      <c r="A188" s="56" t="n">
        <v>1940825</v>
      </c>
      <c r="B188" s="56" t="inlineStr">
        <is>
          <t>TUB-R-AW-RHS-40.00X25.00X1.600X0.5850</t>
        </is>
      </c>
      <c r="C188" s="56" t="inlineStr">
        <is>
          <t>5109AH2030</t>
        </is>
      </c>
      <c r="D188" s="57" t="n">
        <v>2480.349</v>
      </c>
      <c r="E188" s="58" t="n">
        <v>2272</v>
      </c>
      <c r="F188" s="57" t="n">
        <v>2.272</v>
      </c>
      <c r="G188" s="56" t="inlineStr">
        <is>
          <t>KG</t>
        </is>
      </c>
      <c r="H188" s="56" t="inlineStr">
        <is>
          <t>R001</t>
        </is>
      </c>
      <c r="I188" s="56" t="inlineStr">
        <is>
          <t>0789</t>
        </is>
      </c>
      <c r="J188" s="56" t="inlineStr">
        <is>
          <t>2480</t>
        </is>
      </c>
      <c r="K188" s="57" t="n">
        <v>1450.645</v>
      </c>
      <c r="L188" s="56" t="inlineStr">
        <is>
          <t>9518395341/ 19</t>
        </is>
      </c>
      <c r="M188" s="56" t="inlineStr">
        <is>
          <t>19</t>
        </is>
      </c>
      <c r="N188" s="56" t="inlineStr">
        <is>
          <t>ELKAYEM AUTO ANCILLARIES (PVT) LTD.</t>
        </is>
      </c>
      <c r="O188" s="58" t="n">
        <v>0</v>
      </c>
      <c r="P188" s="59" t="inlineStr">
        <is>
          <t>0-30</t>
        </is>
      </c>
      <c r="Q188" s="56" t="inlineStr">
        <is>
          <t>Diwakar</t>
        </is>
      </c>
      <c r="U188" t="n">
        <v>4075254</v>
      </c>
      <c r="V188" t="n">
        <v>19</v>
      </c>
      <c r="W188" t="n">
        <v>19</v>
      </c>
      <c r="X188" t="n">
        <v>1</v>
      </c>
      <c r="Y188" t="n">
        <v>0.925</v>
      </c>
      <c r="Z188" t="inlineStr">
        <is>
          <t>CRFH</t>
        </is>
      </c>
      <c r="AA188" t="inlineStr">
        <is>
          <t>AW</t>
        </is>
      </c>
      <c r="AB188" t="inlineStr">
        <is>
          <t>PE</t>
        </is>
      </c>
      <c r="AC188" t="inlineStr">
        <is>
          <t>19-19-1-CRFH-PE</t>
        </is>
      </c>
      <c r="AD188" t="inlineStr">
        <is>
          <t>CTL</t>
        </is>
      </c>
      <c r="AE188" t="inlineStr">
        <is>
          <t>19-19-1-CRFH-PE-0.925</t>
        </is>
      </c>
      <c r="AF188" t="n">
        <v>0.5287749080334613</v>
      </c>
    </row>
    <row r="189">
      <c r="A189" s="56" t="n">
        <v>1940825</v>
      </c>
      <c r="B189" s="56" t="inlineStr">
        <is>
          <t>TUB-R-AW-RHS-40.00X25.00X1.600X0.5850</t>
        </is>
      </c>
      <c r="C189" s="56" t="inlineStr">
        <is>
          <t>5109AH2040</t>
        </is>
      </c>
      <c r="D189" s="57" t="n">
        <v>2450.873</v>
      </c>
      <c r="E189" s="58" t="n">
        <v>2245</v>
      </c>
      <c r="F189" s="57" t="n">
        <v>2.245</v>
      </c>
      <c r="G189" s="56" t="inlineStr">
        <is>
          <t>KG</t>
        </is>
      </c>
      <c r="H189" s="56" t="inlineStr">
        <is>
          <t>R001</t>
        </is>
      </c>
      <c r="I189" s="56" t="inlineStr">
        <is>
          <t>0789</t>
        </is>
      </c>
      <c r="J189" s="56" t="inlineStr">
        <is>
          <t>2450</t>
        </is>
      </c>
      <c r="K189" s="57" t="n">
        <v>1433.406</v>
      </c>
      <c r="L189" s="56" t="inlineStr">
        <is>
          <t>9518395341/ 19</t>
        </is>
      </c>
      <c r="M189" s="56" t="inlineStr">
        <is>
          <t>19</t>
        </is>
      </c>
      <c r="N189" s="56" t="inlineStr">
        <is>
          <t>ELKAYEM AUTO ANCILLARIES (PVT) LTD.</t>
        </is>
      </c>
      <c r="O189" s="58" t="n">
        <v>2</v>
      </c>
      <c r="P189" s="59" t="inlineStr">
        <is>
          <t>0-30</t>
        </is>
      </c>
      <c r="Q189" s="56" t="inlineStr">
        <is>
          <t>Diwakar</t>
        </is>
      </c>
      <c r="U189" s="585" t="n">
        <v>3572036</v>
      </c>
      <c r="V189" t="n">
        <v>19</v>
      </c>
      <c r="W189" t="n">
        <v>19</v>
      </c>
      <c r="X189" t="n">
        <v>1</v>
      </c>
      <c r="Y189" t="n">
        <v>0.96</v>
      </c>
      <c r="Z189" t="inlineStr">
        <is>
          <t>CRFH</t>
        </is>
      </c>
      <c r="AA189" t="inlineStr">
        <is>
          <t>PE</t>
        </is>
      </c>
      <c r="AB189" t="inlineStr">
        <is>
          <t>AW</t>
        </is>
      </c>
      <c r="AC189" t="inlineStr">
        <is>
          <t>19-19-1-CRFH-PE</t>
        </is>
      </c>
      <c r="AD189" t="inlineStr">
        <is>
          <t>CTL</t>
        </is>
      </c>
      <c r="AE189" t="inlineStr">
        <is>
          <t>19-19-1-CRFH-PE-0.96</t>
        </is>
      </c>
      <c r="AF189" t="n">
        <v>0.5487826072563489</v>
      </c>
    </row>
    <row r="190">
      <c r="A190" s="56" t="n">
        <v>1940829</v>
      </c>
      <c r="B190" s="56" t="inlineStr">
        <is>
          <t>TUB-R-AW-RHS-40.00X30.00X1.600X0.3140</t>
        </is>
      </c>
      <c r="C190" s="56" t="inlineStr">
        <is>
          <t>4626AH2060</t>
        </is>
      </c>
      <c r="D190" s="57" t="n">
        <v>951.977</v>
      </c>
      <c r="E190" s="57" t="n">
        <v>505.5</v>
      </c>
      <c r="F190" s="57" t="n">
        <v>0.5054999999999999</v>
      </c>
      <c r="G190" s="56" t="inlineStr">
        <is>
          <t>KG</t>
        </is>
      </c>
      <c r="H190" s="56" t="inlineStr">
        <is>
          <t>R001</t>
        </is>
      </c>
      <c r="I190" s="56" t="inlineStr">
        <is>
          <t>0789</t>
        </is>
      </c>
      <c r="J190" s="56" t="inlineStr">
        <is>
          <t>1</t>
        </is>
      </c>
      <c r="K190" s="57" t="n">
        <v>298.865</v>
      </c>
      <c r="L190" s="56" t="inlineStr">
        <is>
          <t>9517814608/ 9</t>
        </is>
      </c>
      <c r="M190" s="56" t="inlineStr">
        <is>
          <t>9</t>
        </is>
      </c>
      <c r="N190" s="56" t="inlineStr">
        <is>
          <t>Metalman Auto Private Limited</t>
        </is>
      </c>
      <c r="O190" s="58" t="n">
        <v>194</v>
      </c>
      <c r="P190" s="59" t="inlineStr">
        <is>
          <t>ABOVE 90</t>
        </is>
      </c>
      <c r="Q190" s="56" t="inlineStr">
        <is>
          <t>Jitendra Kumar Sharma</t>
        </is>
      </c>
      <c r="U190" s="507" t="n">
        <v>3938684</v>
      </c>
      <c r="V190" t="n">
        <v>19</v>
      </c>
      <c r="W190" t="n">
        <v>19</v>
      </c>
      <c r="X190" t="n">
        <v>1</v>
      </c>
      <c r="Y190" t="n">
        <v>0.962</v>
      </c>
      <c r="Z190" t="inlineStr">
        <is>
          <t>CRFH</t>
        </is>
      </c>
      <c r="AA190" t="inlineStr">
        <is>
          <t>PE</t>
        </is>
      </c>
      <c r="AB190" t="inlineStr">
        <is>
          <t>AW</t>
        </is>
      </c>
      <c r="AC190" t="inlineStr">
        <is>
          <t>19-19-1-CRFH-PE</t>
        </is>
      </c>
      <c r="AD190" t="inlineStr">
        <is>
          <t>CTL</t>
        </is>
      </c>
      <c r="AE190" t="inlineStr">
        <is>
          <t>19-19-1-CRFH-PE-0.962</t>
        </is>
      </c>
      <c r="AF190" t="n">
        <v>0.5499259043547996</v>
      </c>
    </row>
    <row r="191">
      <c r="A191" s="56" t="n">
        <v>1940830</v>
      </c>
      <c r="B191" s="56" t="inlineStr">
        <is>
          <t>TUB-R-AW-RHS-40.00X30.00X1.600X0.8600</t>
        </is>
      </c>
      <c r="C191" s="56" t="inlineStr">
        <is>
          <t>4B24AH2050</t>
        </is>
      </c>
      <c r="D191" s="57" t="n">
        <v>1929.21</v>
      </c>
      <c r="E191" s="58" t="n">
        <v>2807</v>
      </c>
      <c r="F191" s="57" t="n">
        <v>2.807</v>
      </c>
      <c r="G191" s="56" t="inlineStr">
        <is>
          <t>KG</t>
        </is>
      </c>
      <c r="H191" s="56" t="inlineStr">
        <is>
          <t>R001</t>
        </is>
      </c>
      <c r="I191" s="56" t="inlineStr">
        <is>
          <t>0789</t>
        </is>
      </c>
      <c r="J191" s="56" t="inlineStr">
        <is>
          <t>1930</t>
        </is>
      </c>
      <c r="K191" s="57" t="n">
        <v>1659.572</v>
      </c>
      <c r="L191" s="56" t="inlineStr">
        <is>
          <t>9518198323/ 3</t>
        </is>
      </c>
      <c r="M191" s="56" t="inlineStr">
        <is>
          <t>3</t>
        </is>
      </c>
      <c r="N191" s="56" t="inlineStr">
        <is>
          <t>Rajsriya Automotive Industries(P)</t>
        </is>
      </c>
      <c r="O191" s="58" t="n">
        <v>6</v>
      </c>
      <c r="P191" s="59" t="inlineStr">
        <is>
          <t>0-30</t>
        </is>
      </c>
      <c r="Q191" s="56" t="inlineStr">
        <is>
          <t>Apoorv</t>
        </is>
      </c>
      <c r="U191" t="n">
        <v>4151427</v>
      </c>
      <c r="V191" t="n">
        <v>19</v>
      </c>
      <c r="W191" t="n">
        <v>19</v>
      </c>
      <c r="X191" t="n">
        <v>1</v>
      </c>
      <c r="Y191" t="n">
        <v>0.963</v>
      </c>
      <c r="Z191" t="inlineStr">
        <is>
          <t>CRFH</t>
        </is>
      </c>
      <c r="AA191" t="inlineStr">
        <is>
          <t>PE</t>
        </is>
      </c>
      <c r="AB191" t="inlineStr">
        <is>
          <t>AW</t>
        </is>
      </c>
      <c r="AC191" t="inlineStr">
        <is>
          <t>19-19-1-CRFH-PE</t>
        </is>
      </c>
      <c r="AD191" t="inlineStr">
        <is>
          <t>CTL</t>
        </is>
      </c>
      <c r="AE191" t="inlineStr">
        <is>
          <t>19-19-1-CRFH-PE-0.963</t>
        </is>
      </c>
      <c r="AF191" t="n">
        <v>0.550497552904025</v>
      </c>
    </row>
    <row r="192">
      <c r="A192" s="56" t="n">
        <v>1940830</v>
      </c>
      <c r="B192" s="56" t="inlineStr">
        <is>
          <t>TUB-R-AW-RHS-40.00X30.00X1.600X0.8600</t>
        </is>
      </c>
      <c r="C192" s="56" t="inlineStr">
        <is>
          <t>4B24BH2160</t>
        </is>
      </c>
      <c r="D192" s="57" t="n">
        <v>949.828</v>
      </c>
      <c r="E192" s="58" t="n">
        <v>1382</v>
      </c>
      <c r="F192" s="57" t="n">
        <v>1.382</v>
      </c>
      <c r="G192" s="56" t="inlineStr">
        <is>
          <t>KG</t>
        </is>
      </c>
      <c r="H192" s="56" t="inlineStr">
        <is>
          <t>R001</t>
        </is>
      </c>
      <c r="I192" s="56" t="inlineStr">
        <is>
          <t>0789</t>
        </is>
      </c>
      <c r="J192" s="56" t="inlineStr">
        <is>
          <t>950</t>
        </is>
      </c>
      <c r="K192" s="57" t="n">
        <v>817.075</v>
      </c>
      <c r="L192" s="56" t="inlineStr">
        <is>
          <t>9518198323/ 3</t>
        </is>
      </c>
      <c r="M192" s="56" t="inlineStr">
        <is>
          <t>3</t>
        </is>
      </c>
      <c r="N192" s="56" t="inlineStr">
        <is>
          <t>Rajsriya Automotive Industries(P)</t>
        </is>
      </c>
      <c r="O192" s="58" t="n">
        <v>5</v>
      </c>
      <c r="P192" s="59" t="inlineStr">
        <is>
          <t>0-30</t>
        </is>
      </c>
      <c r="Q192" s="56" t="inlineStr">
        <is>
          <t>Apoorv</t>
        </is>
      </c>
      <c r="U192" t="n">
        <v>4100796</v>
      </c>
      <c r="V192" t="n">
        <v>19</v>
      </c>
      <c r="W192" t="n">
        <v>19</v>
      </c>
      <c r="X192" t="n">
        <v>1</v>
      </c>
      <c r="Y192" t="n">
        <v>1.007</v>
      </c>
      <c r="Z192" t="inlineStr">
        <is>
          <t>CRFH</t>
        </is>
      </c>
      <c r="AA192" t="inlineStr">
        <is>
          <t>AW</t>
        </is>
      </c>
      <c r="AB192" t="inlineStr">
        <is>
          <t>PE</t>
        </is>
      </c>
      <c r="AC192" t="inlineStr">
        <is>
          <t>19-19-1-CRFH-PE</t>
        </is>
      </c>
      <c r="AD192" t="inlineStr">
        <is>
          <t>CTL</t>
        </is>
      </c>
      <c r="AE192" t="inlineStr">
        <is>
          <t>19-19-1-CRFH-PE-1.007</t>
        </is>
      </c>
      <c r="AF192" t="n">
        <v>0.575650089069941</v>
      </c>
    </row>
    <row r="193">
      <c r="A193" s="56" t="n">
        <v>1940830</v>
      </c>
      <c r="B193" s="56" t="inlineStr">
        <is>
          <t>TUB-R-AW-RHS-40.00X30.00X1.600X0.8600</t>
        </is>
      </c>
      <c r="C193" s="56" t="inlineStr">
        <is>
          <t>4C20BH2090</t>
        </is>
      </c>
      <c r="D193" s="57" t="n">
        <v>639.8630000000001</v>
      </c>
      <c r="E193" s="58" t="n">
        <v>931</v>
      </c>
      <c r="F193" s="57" t="n">
        <v>0.931</v>
      </c>
      <c r="G193" s="56" t="inlineStr">
        <is>
          <t>KG</t>
        </is>
      </c>
      <c r="H193" s="56" t="inlineStr">
        <is>
          <t>R001</t>
        </is>
      </c>
      <c r="I193" s="56" t="inlineStr">
        <is>
          <t>0789</t>
        </is>
      </c>
      <c r="J193" s="56" t="inlineStr">
        <is>
          <t>640</t>
        </is>
      </c>
      <c r="K193" s="57" t="n">
        <v>550.432</v>
      </c>
      <c r="L193" s="56" t="inlineStr">
        <is>
          <t>9518198323/ 3</t>
        </is>
      </c>
      <c r="M193" s="56" t="inlineStr">
        <is>
          <t>3</t>
        </is>
      </c>
      <c r="N193" s="56" t="inlineStr">
        <is>
          <t>Rajsriya Automotive Industries(P)</t>
        </is>
      </c>
      <c r="O193" s="58" t="n">
        <v>5</v>
      </c>
      <c r="P193" s="59" t="inlineStr">
        <is>
          <t>0-30</t>
        </is>
      </c>
      <c r="Q193" s="56" t="inlineStr">
        <is>
          <t>Apoorv</t>
        </is>
      </c>
      <c r="U193" s="585" t="n">
        <v>3572037</v>
      </c>
      <c r="V193" t="n">
        <v>19</v>
      </c>
      <c r="W193" t="n">
        <v>19</v>
      </c>
      <c r="X193" t="n">
        <v>1</v>
      </c>
      <c r="Y193" t="n">
        <v>1.1</v>
      </c>
      <c r="Z193" t="inlineStr">
        <is>
          <t>CRFH</t>
        </is>
      </c>
      <c r="AA193" t="inlineStr">
        <is>
          <t>PE</t>
        </is>
      </c>
      <c r="AB193" t="inlineStr">
        <is>
          <t>AW</t>
        </is>
      </c>
      <c r="AC193" t="inlineStr">
        <is>
          <t>19-19-1-CRFH-PE</t>
        </is>
      </c>
      <c r="AD193" t="inlineStr">
        <is>
          <t>CTL</t>
        </is>
      </c>
      <c r="AE193" t="inlineStr">
        <is>
          <t>19-19-1-CRFH-PE-1.1</t>
        </is>
      </c>
      <c r="AF193" t="n">
        <v>0.6288134041478999</v>
      </c>
    </row>
    <row r="194">
      <c r="A194" s="56" t="n">
        <v>1940834</v>
      </c>
      <c r="B194" s="56" t="inlineStr">
        <is>
          <t>TUB-R-AW-RHS-40.00X30.00X2.000X0.2540</t>
        </is>
      </c>
      <c r="C194" s="56" t="inlineStr">
        <is>
          <t>PV24030030</t>
        </is>
      </c>
      <c r="D194" s="57" t="n">
        <v>1056.299</v>
      </c>
      <c r="E194" s="57" t="n">
        <v>561.951</v>
      </c>
      <c r="F194" s="57" t="n">
        <v>0.561951</v>
      </c>
      <c r="G194" s="56" t="inlineStr">
        <is>
          <t>KG</t>
        </is>
      </c>
      <c r="H194" s="56" t="inlineStr">
        <is>
          <t>R001</t>
        </is>
      </c>
      <c r="I194" s="56" t="inlineStr">
        <is>
          <t>0789</t>
        </is>
      </c>
      <c r="J194" s="56" t="inlineStr"/>
      <c r="K194" s="57" t="n">
        <v>268.298</v>
      </c>
      <c r="L194" s="56" t="inlineStr"/>
      <c r="M194" s="56" t="inlineStr">
        <is>
          <t>0</t>
        </is>
      </c>
      <c r="N194" s="56" t="inlineStr">
        <is>
          <t>ELKAYEM AUTO ANCILLARIES PVT LTD</t>
        </is>
      </c>
      <c r="O194" s="58" t="n">
        <v>262</v>
      </c>
      <c r="P194" s="59" t="inlineStr">
        <is>
          <t>ABOVE 90</t>
        </is>
      </c>
      <c r="Q194" s="56" t="inlineStr">
        <is>
          <t>Diwakar</t>
        </is>
      </c>
      <c r="U194" t="n">
        <v>3931837</v>
      </c>
      <c r="V194" t="n">
        <v>19</v>
      </c>
      <c r="W194" t="n">
        <v>19</v>
      </c>
      <c r="X194" t="n">
        <v>1</v>
      </c>
      <c r="Y194" t="n">
        <v>1.15</v>
      </c>
      <c r="Z194" t="inlineStr">
        <is>
          <t>CRFH</t>
        </is>
      </c>
      <c r="AA194" t="inlineStr">
        <is>
          <t>PE</t>
        </is>
      </c>
      <c r="AB194" t="inlineStr">
        <is>
          <t>AW</t>
        </is>
      </c>
      <c r="AC194" t="inlineStr">
        <is>
          <t>19-19-1-CRFH-PE</t>
        </is>
      </c>
      <c r="AD194" t="inlineStr">
        <is>
          <t>CTL</t>
        </is>
      </c>
      <c r="AE194" t="inlineStr">
        <is>
          <t>19-19-1-CRFH-PE-1.15</t>
        </is>
      </c>
      <c r="AF194" t="n">
        <v>0.6573958316091679</v>
      </c>
    </row>
    <row r="195">
      <c r="A195" s="56" t="n">
        <v>1940848</v>
      </c>
      <c r="B195" s="56" t="inlineStr">
        <is>
          <t>TUB-S-AW-SHS-40.00X40.00X1.200X0.1200</t>
        </is>
      </c>
      <c r="C195" s="56" t="inlineStr">
        <is>
          <t>3B25H00985</t>
        </is>
      </c>
      <c r="D195" s="57" t="n">
        <v>313.261</v>
      </c>
      <c r="E195" s="57" t="n">
        <v>55.134</v>
      </c>
      <c r="F195" s="57" t="n">
        <v>0.055134</v>
      </c>
      <c r="G195" s="56" t="inlineStr">
        <is>
          <t>KG</t>
        </is>
      </c>
      <c r="H195" s="56" t="inlineStr">
        <is>
          <t>R001</t>
        </is>
      </c>
      <c r="I195" s="56" t="inlineStr">
        <is>
          <t>0789</t>
        </is>
      </c>
      <c r="J195" s="56" t="inlineStr">
        <is>
          <t>1000</t>
        </is>
      </c>
      <c r="K195" s="57" t="n">
        <v>37.547</v>
      </c>
      <c r="L195" s="56" t="inlineStr">
        <is>
          <t>9517304002/ 11</t>
        </is>
      </c>
      <c r="M195" s="56" t="inlineStr">
        <is>
          <t>11</t>
        </is>
      </c>
      <c r="N195" s="56" t="inlineStr">
        <is>
          <t>Sri Balaji Gears</t>
        </is>
      </c>
      <c r="O195" s="58" t="n">
        <v>412</v>
      </c>
      <c r="P195" s="59" t="inlineStr">
        <is>
          <t>ABOVE 90</t>
        </is>
      </c>
      <c r="Q195" s="56" t="inlineStr">
        <is>
          <t>Diwakar</t>
        </is>
      </c>
      <c r="U195" s="585" t="n">
        <v>3572038</v>
      </c>
      <c r="V195" t="n">
        <v>19</v>
      </c>
      <c r="W195" t="n">
        <v>19</v>
      </c>
      <c r="X195" t="n">
        <v>1</v>
      </c>
      <c r="Y195" t="n">
        <v>1.246</v>
      </c>
      <c r="Z195" t="inlineStr">
        <is>
          <t>CRFH</t>
        </is>
      </c>
      <c r="AA195" t="inlineStr">
        <is>
          <t>PE</t>
        </is>
      </c>
      <c r="AB195" t="inlineStr">
        <is>
          <t>AW</t>
        </is>
      </c>
      <c r="AC195" t="inlineStr">
        <is>
          <t>19-19-1-CRFH-PE</t>
        </is>
      </c>
      <c r="AD195" t="inlineStr">
        <is>
          <t>CTL</t>
        </is>
      </c>
      <c r="AE195" t="inlineStr">
        <is>
          <t>19-19-1-CRFH-PE-1.246</t>
        </is>
      </c>
      <c r="AF195" t="n">
        <v>0.7122740923348029</v>
      </c>
    </row>
    <row r="196">
      <c r="A196" s="56" t="n">
        <v>1940849</v>
      </c>
      <c r="B196" s="56" t="inlineStr">
        <is>
          <t>TUB-S-AW-SHS-40.00X40.00X1.200X0.1250</t>
        </is>
      </c>
      <c r="C196" s="56" t="inlineStr">
        <is>
          <t>4B16H37691</t>
        </is>
      </c>
      <c r="D196" s="57" t="n">
        <v>2071.13</v>
      </c>
      <c r="E196" s="57" t="n">
        <v>381.088</v>
      </c>
      <c r="F196" s="57" t="n">
        <v>0.381088</v>
      </c>
      <c r="G196" s="56" t="inlineStr">
        <is>
          <t>KG</t>
        </is>
      </c>
      <c r="H196" s="56" t="inlineStr">
        <is>
          <t>R001</t>
        </is>
      </c>
      <c r="I196" s="56" t="inlineStr">
        <is>
          <t>0789</t>
        </is>
      </c>
      <c r="J196" s="56" t="inlineStr">
        <is>
          <t>4000</t>
        </is>
      </c>
      <c r="K196" s="57" t="n">
        <v>259.526</v>
      </c>
      <c r="L196" s="56" t="inlineStr">
        <is>
          <t>9518315613/ 27</t>
        </is>
      </c>
      <c r="M196" s="56" t="inlineStr">
        <is>
          <t>27</t>
        </is>
      </c>
      <c r="N196" s="56" t="inlineStr">
        <is>
          <t>Sri Balaji Gears</t>
        </is>
      </c>
      <c r="O196" s="58" t="n">
        <v>25</v>
      </c>
      <c r="P196" s="59" t="inlineStr">
        <is>
          <t>0-30</t>
        </is>
      </c>
      <c r="Q196" s="56" t="inlineStr">
        <is>
          <t>Diwakar</t>
        </is>
      </c>
      <c r="U196" s="585" t="n">
        <v>3230494</v>
      </c>
      <c r="V196" t="n">
        <v>19</v>
      </c>
      <c r="W196" t="n">
        <v>19</v>
      </c>
      <c r="X196" t="n">
        <v>1</v>
      </c>
      <c r="Y196" t="n">
        <v>1.3</v>
      </c>
      <c r="Z196" t="inlineStr">
        <is>
          <t>CRFH</t>
        </is>
      </c>
      <c r="AA196" t="inlineStr">
        <is>
          <t>PE</t>
        </is>
      </c>
      <c r="AB196" t="inlineStr">
        <is>
          <t>AW</t>
        </is>
      </c>
      <c r="AC196" t="inlineStr">
        <is>
          <t>19-19-1-CRFH-PE</t>
        </is>
      </c>
      <c r="AD196" t="inlineStr">
        <is>
          <t>CTL</t>
        </is>
      </c>
      <c r="AE196" t="inlineStr">
        <is>
          <t>19-19-1-CRFH-PE-1.3</t>
        </is>
      </c>
      <c r="AF196" t="n">
        <v>0.7431431139929725</v>
      </c>
    </row>
    <row r="197">
      <c r="A197" s="56" t="n">
        <v>1940850</v>
      </c>
      <c r="B197" s="56" t="inlineStr">
        <is>
          <t>TUB-S-AW-SHS-40.00X40.00X1.200X0.1400</t>
        </is>
      </c>
      <c r="C197" s="56" t="inlineStr">
        <is>
          <t>4B22H38144</t>
        </is>
      </c>
      <c r="D197" s="57" t="n">
        <v>1173.291</v>
      </c>
      <c r="E197" s="57" t="n">
        <v>241.698</v>
      </c>
      <c r="F197" s="57" t="n">
        <v>0.241698</v>
      </c>
      <c r="G197" s="56" t="inlineStr">
        <is>
          <t>KG</t>
        </is>
      </c>
      <c r="H197" s="56" t="inlineStr">
        <is>
          <t>R001</t>
        </is>
      </c>
      <c r="I197" s="56" t="inlineStr">
        <is>
          <t>0789</t>
        </is>
      </c>
      <c r="J197" s="56" t="inlineStr">
        <is>
          <t>5000</t>
        </is>
      </c>
      <c r="K197" s="57" t="n">
        <v>164.6</v>
      </c>
      <c r="L197" s="56" t="inlineStr">
        <is>
          <t>9518315613/ 25</t>
        </is>
      </c>
      <c r="M197" s="56" t="inlineStr">
        <is>
          <t>25</t>
        </is>
      </c>
      <c r="N197" s="56" t="inlineStr">
        <is>
          <t>Sri Balaji Gears</t>
        </is>
      </c>
      <c r="O197" s="58" t="n">
        <v>44</v>
      </c>
      <c r="P197" s="59" t="inlineStr">
        <is>
          <t>31-60</t>
        </is>
      </c>
      <c r="Q197" s="56" t="inlineStr">
        <is>
          <t>Diwakar</t>
        </is>
      </c>
      <c r="U197" s="585" t="n">
        <v>3572039</v>
      </c>
      <c r="V197" t="n">
        <v>19</v>
      </c>
      <c r="W197" t="n">
        <v>19</v>
      </c>
      <c r="X197" t="n">
        <v>1</v>
      </c>
      <c r="Y197" t="n">
        <v>1.304</v>
      </c>
      <c r="Z197" t="inlineStr">
        <is>
          <t>CRFH</t>
        </is>
      </c>
      <c r="AA197" t="inlineStr">
        <is>
          <t>PE</t>
        </is>
      </c>
      <c r="AB197" t="inlineStr">
        <is>
          <t>AW</t>
        </is>
      </c>
      <c r="AC197" t="inlineStr">
        <is>
          <t>19-19-1-CRFH-PE</t>
        </is>
      </c>
      <c r="AD197" t="inlineStr">
        <is>
          <t>CTL</t>
        </is>
      </c>
      <c r="AE197" t="inlineStr">
        <is>
          <t>19-19-1-CRFH-PE-1.304</t>
        </is>
      </c>
      <c r="AF197" t="n">
        <v>0.745429708189874</v>
      </c>
    </row>
    <row r="198">
      <c r="A198" s="56" t="n">
        <v>1940852</v>
      </c>
      <c r="B198" s="56" t="inlineStr">
        <is>
          <t>TUB-S-AW-SHS-40.00X40.00X1.200X6.0000</t>
        </is>
      </c>
      <c r="C198" s="56" t="inlineStr">
        <is>
          <t>4B04BH2020</t>
        </is>
      </c>
      <c r="D198" s="57" t="n">
        <v>167.991</v>
      </c>
      <c r="E198" s="58" t="n">
        <v>1480</v>
      </c>
      <c r="F198" s="57" t="n">
        <v>1.48</v>
      </c>
      <c r="G198" s="56" t="inlineStr">
        <is>
          <t>KG</t>
        </is>
      </c>
      <c r="H198" s="56" t="inlineStr">
        <is>
          <t>R001</t>
        </is>
      </c>
      <c r="I198" s="56" t="inlineStr">
        <is>
          <t>0789</t>
        </is>
      </c>
      <c r="J198" s="56" t="inlineStr">
        <is>
          <t>170</t>
        </is>
      </c>
      <c r="K198" s="57" t="n">
        <v>1007.9</v>
      </c>
      <c r="L198" s="56" t="inlineStr">
        <is>
          <t>9518224307/ 4</t>
        </is>
      </c>
      <c r="M198" s="56" t="inlineStr">
        <is>
          <t>4</t>
        </is>
      </c>
      <c r="N198" s="56" t="inlineStr">
        <is>
          <t>Sri Balaji Gears</t>
        </is>
      </c>
      <c r="O198" s="58" t="n">
        <v>6</v>
      </c>
      <c r="P198" s="59" t="inlineStr">
        <is>
          <t>0-30</t>
        </is>
      </c>
      <c r="Q198" s="56" t="inlineStr">
        <is>
          <t>Diwakar</t>
        </is>
      </c>
      <c r="U198" s="585" t="n">
        <v>3572040</v>
      </c>
      <c r="V198" t="n">
        <v>19</v>
      </c>
      <c r="W198" t="n">
        <v>19</v>
      </c>
      <c r="X198" t="n">
        <v>1</v>
      </c>
      <c r="Y198" t="n">
        <v>1.31</v>
      </c>
      <c r="Z198" t="inlineStr">
        <is>
          <t>CRFH</t>
        </is>
      </c>
      <c r="AA198" t="inlineStr">
        <is>
          <t>PE</t>
        </is>
      </c>
      <c r="AB198" t="inlineStr">
        <is>
          <t>AW</t>
        </is>
      </c>
      <c r="AC198" t="inlineStr">
        <is>
          <t>19-19-1-CRFH-PE</t>
        </is>
      </c>
      <c r="AD198" t="inlineStr">
        <is>
          <t>CTL</t>
        </is>
      </c>
      <c r="AE198" t="inlineStr">
        <is>
          <t>19-19-1-CRFH-PE-1.31</t>
        </is>
      </c>
      <c r="AF198" t="n">
        <v>0.7488595994852262</v>
      </c>
    </row>
    <row r="199">
      <c r="A199" s="56" t="n">
        <v>1940852</v>
      </c>
      <c r="B199" s="56" t="inlineStr">
        <is>
          <t>TUB-S-AW-SHS-40.00X40.00X1.200X6.0000</t>
        </is>
      </c>
      <c r="C199" s="56" t="inlineStr">
        <is>
          <t>4B04BH2010</t>
        </is>
      </c>
      <c r="D199" s="57" t="n">
        <v>117.505</v>
      </c>
      <c r="E199" s="57" t="n">
        <v>1035.218</v>
      </c>
      <c r="F199" s="57" t="n">
        <v>1.035218</v>
      </c>
      <c r="G199" s="56" t="inlineStr">
        <is>
          <t>KG</t>
        </is>
      </c>
      <c r="H199" s="56" t="inlineStr">
        <is>
          <t>R001</t>
        </is>
      </c>
      <c r="I199" s="56" t="inlineStr">
        <is>
          <t>0789</t>
        </is>
      </c>
      <c r="J199" s="56" t="inlineStr">
        <is>
          <t>155</t>
        </is>
      </c>
      <c r="K199" s="57" t="n">
        <v>704.997</v>
      </c>
      <c r="L199" s="56" t="inlineStr">
        <is>
          <t>9518232457/ 2</t>
        </is>
      </c>
      <c r="M199" s="56" t="inlineStr">
        <is>
          <t>2</t>
        </is>
      </c>
      <c r="N199" s="56" t="inlineStr">
        <is>
          <t>Marathwada Auto Compo Pvt. Ltd.</t>
        </is>
      </c>
      <c r="O199" s="58" t="n">
        <v>49</v>
      </c>
      <c r="P199" s="59" t="inlineStr">
        <is>
          <t>31-60</t>
        </is>
      </c>
      <c r="Q199" s="56" t="inlineStr">
        <is>
          <t>Apoorv</t>
        </is>
      </c>
      <c r="U199" s="585" t="n">
        <v>3576132</v>
      </c>
      <c r="V199" t="n">
        <v>19</v>
      </c>
      <c r="W199" t="n">
        <v>19</v>
      </c>
      <c r="X199" t="n">
        <v>1</v>
      </c>
      <c r="Y199" t="n">
        <v>5.27</v>
      </c>
      <c r="Z199" t="inlineStr">
        <is>
          <t>CRFH</t>
        </is>
      </c>
      <c r="AA199" t="inlineStr">
        <is>
          <t>PE</t>
        </is>
      </c>
      <c r="AB199" t="inlineStr">
        <is>
          <t>AW</t>
        </is>
      </c>
      <c r="AC199" t="inlineStr">
        <is>
          <t>19-19-1-CRFH-PE</t>
        </is>
      </c>
      <c r="AD199" t="inlineStr">
        <is>
          <t>LL</t>
        </is>
      </c>
      <c r="AE199" t="inlineStr">
        <is>
          <t>19-19-1-CRFH-PE-1</t>
        </is>
      </c>
      <c r="AF199" t="n">
        <v>0.5716485492253635</v>
      </c>
    </row>
    <row r="200">
      <c r="A200" s="56" t="n">
        <v>1940852</v>
      </c>
      <c r="B200" s="56" t="inlineStr">
        <is>
          <t>TUB-S-AW-SHS-40.00X40.00X1.200X6.0000</t>
        </is>
      </c>
      <c r="C200" s="56" t="inlineStr">
        <is>
          <t>4B04BH2030</t>
        </is>
      </c>
      <c r="D200" s="57" t="n">
        <v>182.747</v>
      </c>
      <c r="E200" s="58" t="n">
        <v>1610</v>
      </c>
      <c r="F200" s="57" t="n">
        <v>1.61</v>
      </c>
      <c r="G200" s="56" t="inlineStr">
        <is>
          <t>KG</t>
        </is>
      </c>
      <c r="H200" s="56" t="inlineStr">
        <is>
          <t>R001</t>
        </is>
      </c>
      <c r="I200" s="56" t="inlineStr">
        <is>
          <t>0789</t>
        </is>
      </c>
      <c r="J200" s="56" t="inlineStr">
        <is>
          <t>184</t>
        </is>
      </c>
      <c r="K200" s="57" t="n">
        <v>1096.431</v>
      </c>
      <c r="L200" s="56" t="inlineStr">
        <is>
          <t>9518232457/ 2</t>
        </is>
      </c>
      <c r="M200" s="56" t="inlineStr">
        <is>
          <t>2</t>
        </is>
      </c>
      <c r="N200" s="56" t="inlineStr">
        <is>
          <t>Marathwada Auto Compo Pvt. Ltd.</t>
        </is>
      </c>
      <c r="O200" s="58" t="n">
        <v>49</v>
      </c>
      <c r="P200" s="59" t="inlineStr">
        <is>
          <t>31-60</t>
        </is>
      </c>
      <c r="Q200" s="56" t="inlineStr">
        <is>
          <t>Apoorv</t>
        </is>
      </c>
      <c r="U200" s="586" t="n">
        <v>111102401</v>
      </c>
      <c r="V200" t="n">
        <v>19</v>
      </c>
      <c r="W200" t="n">
        <v>19</v>
      </c>
      <c r="X200" t="n">
        <v>1</v>
      </c>
      <c r="Y200" t="n">
        <v>5.27</v>
      </c>
      <c r="Z200" t="inlineStr">
        <is>
          <t>CRFH</t>
        </is>
      </c>
      <c r="AA200" t="inlineStr">
        <is>
          <t>PE</t>
        </is>
      </c>
      <c r="AB200" t="inlineStr">
        <is>
          <t>AW</t>
        </is>
      </c>
      <c r="AC200" t="inlineStr">
        <is>
          <t>19-19-1-CRFH-PE</t>
        </is>
      </c>
      <c r="AD200" t="inlineStr">
        <is>
          <t>LL</t>
        </is>
      </c>
      <c r="AE200" t="inlineStr">
        <is>
          <t>19-19-1-CRFH-PE-1</t>
        </is>
      </c>
      <c r="AF200" t="n">
        <v>0.5716485492253635</v>
      </c>
    </row>
    <row r="201">
      <c r="A201" s="56" t="n">
        <v>1940879</v>
      </c>
      <c r="B201" s="56" t="inlineStr">
        <is>
          <t>TUB-R-AW-RHS-50.00X30.00X1.600X0.6360</t>
        </is>
      </c>
      <c r="C201" s="56" t="inlineStr">
        <is>
          <t>4C13CH2210</t>
        </is>
      </c>
      <c r="D201" s="57" t="n">
        <v>350.405</v>
      </c>
      <c r="E201" s="57" t="n">
        <v>432.75</v>
      </c>
      <c r="F201" s="57" t="n">
        <v>0.43275</v>
      </c>
      <c r="G201" s="56" t="inlineStr">
        <is>
          <t>KG</t>
        </is>
      </c>
      <c r="H201" s="56" t="inlineStr">
        <is>
          <t>R001</t>
        </is>
      </c>
      <c r="I201" s="56" t="inlineStr">
        <is>
          <t>0789</t>
        </is>
      </c>
      <c r="J201" s="56" t="inlineStr">
        <is>
          <t>900</t>
        </is>
      </c>
      <c r="K201" s="57" t="n">
        <v>222.837</v>
      </c>
      <c r="L201" s="56" t="inlineStr">
        <is>
          <t>9518315392/ 6</t>
        </is>
      </c>
      <c r="M201" s="56" t="inlineStr">
        <is>
          <t>6</t>
        </is>
      </c>
      <c r="N201" s="56" t="inlineStr">
        <is>
          <t>ELKAYEM AUTO ANCILLARIES PVT LTD -U</t>
        </is>
      </c>
      <c r="O201" s="58" t="n">
        <v>25</v>
      </c>
      <c r="P201" s="59" t="inlineStr">
        <is>
          <t>0-30</t>
        </is>
      </c>
      <c r="Q201" s="56" t="inlineStr">
        <is>
          <t>Diwakar</t>
        </is>
      </c>
      <c r="U201" s="586" t="n">
        <v>111116358</v>
      </c>
      <c r="V201" t="n">
        <v>19</v>
      </c>
      <c r="W201" t="n">
        <v>19</v>
      </c>
      <c r="X201" t="n">
        <v>1</v>
      </c>
      <c r="Y201" t="n">
        <v>5.32</v>
      </c>
      <c r="Z201" t="inlineStr">
        <is>
          <t>CRFH</t>
        </is>
      </c>
      <c r="AA201" t="inlineStr">
        <is>
          <t>PE</t>
        </is>
      </c>
      <c r="AB201" t="inlineStr">
        <is>
          <t>AW</t>
        </is>
      </c>
      <c r="AC201" t="inlineStr">
        <is>
          <t>19-19-1-CRFH-PE</t>
        </is>
      </c>
      <c r="AD201" t="inlineStr">
        <is>
          <t>LL</t>
        </is>
      </c>
      <c r="AE201" t="inlineStr">
        <is>
          <t>19-19-1-CRFH-PE-1</t>
        </is>
      </c>
      <c r="AF201" t="n">
        <v>0.5716485492253635</v>
      </c>
    </row>
    <row r="202">
      <c r="A202" s="56" t="n">
        <v>1940879</v>
      </c>
      <c r="B202" s="56" t="inlineStr">
        <is>
          <t>TUB-R-AW-RHS-50.00X30.00X1.600X0.6360</t>
        </is>
      </c>
      <c r="C202" s="56" t="inlineStr">
        <is>
          <t>4C18H39967</t>
        </is>
      </c>
      <c r="D202" s="57" t="n">
        <v>200</v>
      </c>
      <c r="E202" s="58" t="n">
        <v>247</v>
      </c>
      <c r="F202" s="57" t="n">
        <v>0.247</v>
      </c>
      <c r="G202" s="56" t="inlineStr">
        <is>
          <t>KG</t>
        </is>
      </c>
      <c r="H202" s="56" t="inlineStr">
        <is>
          <t>R001</t>
        </is>
      </c>
      <c r="I202" s="56" t="inlineStr">
        <is>
          <t>0789</t>
        </is>
      </c>
      <c r="J202" s="56" t="inlineStr">
        <is>
          <t>200</t>
        </is>
      </c>
      <c r="K202" s="57" t="n">
        <v>127.188</v>
      </c>
      <c r="L202" s="56" t="inlineStr">
        <is>
          <t>9518315392/ 6</t>
        </is>
      </c>
      <c r="M202" s="56" t="inlineStr">
        <is>
          <t>6</t>
        </is>
      </c>
      <c r="N202" s="56" t="inlineStr">
        <is>
          <t>ELKAYEM AUTO ANCILLARIES PVT LTD -U</t>
        </is>
      </c>
      <c r="O202" s="58" t="n">
        <v>26</v>
      </c>
      <c r="P202" s="59" t="inlineStr">
        <is>
          <t>0-30</t>
        </is>
      </c>
      <c r="Q202" s="56" t="inlineStr">
        <is>
          <t>Diwakar</t>
        </is>
      </c>
      <c r="U202" s="586" t="n">
        <v>111102395</v>
      </c>
      <c r="V202" t="n">
        <v>19</v>
      </c>
      <c r="W202" t="n">
        <v>19</v>
      </c>
      <c r="X202" t="n">
        <v>1</v>
      </c>
      <c r="Y202" t="n">
        <v>5.74</v>
      </c>
      <c r="Z202" t="inlineStr">
        <is>
          <t>CRFH</t>
        </is>
      </c>
      <c r="AA202" t="inlineStr">
        <is>
          <t>PE</t>
        </is>
      </c>
      <c r="AB202" t="inlineStr">
        <is>
          <t>AW</t>
        </is>
      </c>
      <c r="AC202" t="inlineStr">
        <is>
          <t>19-19-1-CRFH-PE</t>
        </is>
      </c>
      <c r="AD202" t="inlineStr">
        <is>
          <t>LL</t>
        </is>
      </c>
      <c r="AE202" t="inlineStr">
        <is>
          <t>19-19-1-CRFH-PE-1</t>
        </is>
      </c>
      <c r="AF202" t="n">
        <v>0.5716485492253635</v>
      </c>
    </row>
    <row r="203">
      <c r="A203" s="56" t="n">
        <v>1940879</v>
      </c>
      <c r="B203" s="56" t="inlineStr">
        <is>
          <t>TUB-R-AW-RHS-50.00X30.00X1.600X0.6360</t>
        </is>
      </c>
      <c r="C203" s="56" t="inlineStr">
        <is>
          <t>4C18H39968</t>
        </is>
      </c>
      <c r="D203" s="57" t="n">
        <v>639.676</v>
      </c>
      <c r="E203" s="58" t="n">
        <v>790</v>
      </c>
      <c r="F203" s="57" t="n">
        <v>0.79</v>
      </c>
      <c r="G203" s="56" t="inlineStr">
        <is>
          <t>KG</t>
        </is>
      </c>
      <c r="H203" s="56" t="inlineStr">
        <is>
          <t>R001</t>
        </is>
      </c>
      <c r="I203" s="56" t="inlineStr">
        <is>
          <t>0789</t>
        </is>
      </c>
      <c r="J203" s="56" t="inlineStr">
        <is>
          <t>640</t>
        </is>
      </c>
      <c r="K203" s="57" t="n">
        <v>406.797</v>
      </c>
      <c r="L203" s="56" t="inlineStr">
        <is>
          <t>9518315392/ 6</t>
        </is>
      </c>
      <c r="M203" s="56" t="inlineStr">
        <is>
          <t>6</t>
        </is>
      </c>
      <c r="N203" s="56" t="inlineStr">
        <is>
          <t>ELKAYEM AUTO ANCILLARIES PVT LTD -U</t>
        </is>
      </c>
      <c r="O203" s="58" t="n">
        <v>25</v>
      </c>
      <c r="P203" s="59" t="inlineStr">
        <is>
          <t>0-30</t>
        </is>
      </c>
      <c r="Q203" s="56" t="inlineStr">
        <is>
          <t>Diwakar</t>
        </is>
      </c>
      <c r="U203" s="586" t="n">
        <v>111117592</v>
      </c>
      <c r="V203" t="n">
        <v>19</v>
      </c>
      <c r="W203" t="n">
        <v>19</v>
      </c>
      <c r="X203" t="n">
        <v>1</v>
      </c>
      <c r="Y203" t="n">
        <v>5.77</v>
      </c>
      <c r="Z203" t="inlineStr">
        <is>
          <t>CRFH</t>
        </is>
      </c>
      <c r="AA203" t="inlineStr">
        <is>
          <t>PE</t>
        </is>
      </c>
      <c r="AB203" t="inlineStr">
        <is>
          <t>AW</t>
        </is>
      </c>
      <c r="AC203" t="inlineStr">
        <is>
          <t>19-19-1-CRFH-PE</t>
        </is>
      </c>
      <c r="AD203" t="inlineStr">
        <is>
          <t>LL</t>
        </is>
      </c>
      <c r="AE203" t="inlineStr">
        <is>
          <t>19-19-1-CRFH-PE-1</t>
        </is>
      </c>
      <c r="AF203" t="n">
        <v>0.5716485492253635</v>
      </c>
    </row>
    <row r="204">
      <c r="A204" s="56" t="n">
        <v>1940879</v>
      </c>
      <c r="B204" s="56" t="inlineStr">
        <is>
          <t>TUB-R-AW-RHS-50.00X30.00X1.600X0.6360</t>
        </is>
      </c>
      <c r="C204" s="56" t="inlineStr">
        <is>
          <t>EXC2405027</t>
        </is>
      </c>
      <c r="D204" s="57" t="n">
        <v>179.818</v>
      </c>
      <c r="E204" s="57" t="n">
        <v>222.075</v>
      </c>
      <c r="F204" s="57" t="n">
        <v>0.222075</v>
      </c>
      <c r="G204" s="56" t="inlineStr">
        <is>
          <t>KG</t>
        </is>
      </c>
      <c r="H204" s="56" t="inlineStr">
        <is>
          <t>R001</t>
        </is>
      </c>
      <c r="I204" s="56" t="inlineStr">
        <is>
          <t>0789</t>
        </is>
      </c>
      <c r="J204" s="56" t="inlineStr"/>
      <c r="K204" s="57" t="n">
        <v>114.354</v>
      </c>
      <c r="L204" s="56" t="inlineStr">
        <is>
          <t>9518315392/ 6</t>
        </is>
      </c>
      <c r="M204" s="56" t="inlineStr">
        <is>
          <t>6</t>
        </is>
      </c>
      <c r="N204" s="56" t="inlineStr">
        <is>
          <t>ELKAYEM AUTO ANCILLARIES PVT LTD -U</t>
        </is>
      </c>
      <c r="O204" s="58" t="n">
        <v>230</v>
      </c>
      <c r="P204" s="59" t="inlineStr">
        <is>
          <t>ABOVE 90</t>
        </is>
      </c>
      <c r="Q204" s="56" t="inlineStr">
        <is>
          <t>Diwakar</t>
        </is>
      </c>
      <c r="U204" s="586" t="n">
        <v>111117608</v>
      </c>
      <c r="V204" t="n">
        <v>19</v>
      </c>
      <c r="W204" t="n">
        <v>19</v>
      </c>
      <c r="X204" t="n">
        <v>1</v>
      </c>
      <c r="Y204" t="n">
        <v>5.84</v>
      </c>
      <c r="Z204" t="inlineStr">
        <is>
          <t>CRFH</t>
        </is>
      </c>
      <c r="AA204" t="inlineStr">
        <is>
          <t>PE</t>
        </is>
      </c>
      <c r="AB204" t="inlineStr">
        <is>
          <t>AW</t>
        </is>
      </c>
      <c r="AC204" t="inlineStr">
        <is>
          <t>19-19-1-CRFH-PE</t>
        </is>
      </c>
      <c r="AD204" t="inlineStr">
        <is>
          <t>LL</t>
        </is>
      </c>
      <c r="AE204" t="inlineStr">
        <is>
          <t>19-19-1-CRFH-PE-1</t>
        </is>
      </c>
      <c r="AF204" t="n">
        <v>0.5716485492253635</v>
      </c>
    </row>
    <row r="205">
      <c r="A205" s="56" t="n">
        <v>1940911</v>
      </c>
      <c r="B205" s="56" t="inlineStr">
        <is>
          <t>TUB-O-O-AUT-AW-AG-57.15X2.500X0.7720</t>
        </is>
      </c>
      <c r="C205" s="56" t="inlineStr">
        <is>
          <t>4C21H40213</t>
        </is>
      </c>
      <c r="D205" s="57" t="n">
        <v>360.108</v>
      </c>
      <c r="E205" s="58" t="n">
        <v>937</v>
      </c>
      <c r="F205" s="57" t="n">
        <v>0.9370000000000001</v>
      </c>
      <c r="G205" s="56" t="inlineStr">
        <is>
          <t>KG</t>
        </is>
      </c>
      <c r="H205" s="56" t="inlineStr">
        <is>
          <t>R001</t>
        </is>
      </c>
      <c r="I205" s="56" t="inlineStr">
        <is>
          <t>0789</t>
        </is>
      </c>
      <c r="J205" s="56" t="inlineStr">
        <is>
          <t>360</t>
        </is>
      </c>
      <c r="K205" s="57" t="n">
        <v>278</v>
      </c>
      <c r="L205" s="56" t="inlineStr">
        <is>
          <t>9518314496/ 35</t>
        </is>
      </c>
      <c r="M205" s="56" t="inlineStr">
        <is>
          <t>35</t>
        </is>
      </c>
      <c r="N205" s="56" t="inlineStr">
        <is>
          <t>RAJSRIYA AUTOMOTIVE IND. P LTD</t>
        </is>
      </c>
      <c r="O205" s="58" t="n">
        <v>23</v>
      </c>
      <c r="P205" s="59" t="inlineStr">
        <is>
          <t>0-30</t>
        </is>
      </c>
      <c r="Q205" s="56" t="inlineStr">
        <is>
          <t>Apoorv</t>
        </is>
      </c>
      <c r="U205" s="585" t="n">
        <v>1940146</v>
      </c>
      <c r="V205" t="n">
        <v>19</v>
      </c>
      <c r="W205" t="n">
        <v>19</v>
      </c>
      <c r="X205" t="n">
        <v>1</v>
      </c>
      <c r="Y205" t="n">
        <v>6</v>
      </c>
      <c r="Z205" t="inlineStr">
        <is>
          <t>CRFH</t>
        </is>
      </c>
      <c r="AA205" t="inlineStr">
        <is>
          <t>PE</t>
        </is>
      </c>
      <c r="AB205" t="inlineStr">
        <is>
          <t>AW</t>
        </is>
      </c>
      <c r="AC205" t="inlineStr">
        <is>
          <t>19-19-1-CRFH-PE</t>
        </is>
      </c>
      <c r="AD205" t="inlineStr">
        <is>
          <t>LL</t>
        </is>
      </c>
      <c r="AE205" t="inlineStr">
        <is>
          <t>19-19-1-CRFH-PE-1</t>
        </is>
      </c>
      <c r="AF205" t="n">
        <v>0.5716485492253635</v>
      </c>
    </row>
    <row r="206">
      <c r="A206" s="56" t="n">
        <v>1941353</v>
      </c>
      <c r="B206" s="56" t="inlineStr">
        <is>
          <t>TUB-O-N-AUT-AW-PE-15.88X2.000X0.5150</t>
        </is>
      </c>
      <c r="C206" s="56" t="inlineStr">
        <is>
          <t>PV24030056</t>
        </is>
      </c>
      <c r="D206" s="57" t="n">
        <v>849.258</v>
      </c>
      <c r="E206" s="57" t="n">
        <v>299.788</v>
      </c>
      <c r="F206" s="57" t="n">
        <v>0.299788</v>
      </c>
      <c r="G206" s="56" t="inlineStr">
        <is>
          <t>KG</t>
        </is>
      </c>
      <c r="H206" s="56" t="inlineStr">
        <is>
          <t>R001</t>
        </is>
      </c>
      <c r="I206" s="56" t="inlineStr">
        <is>
          <t>0789</t>
        </is>
      </c>
      <c r="J206" s="56" t="inlineStr"/>
      <c r="K206" s="57" t="n">
        <v>437.775</v>
      </c>
      <c r="L206" s="56" t="inlineStr"/>
      <c r="M206" s="56" t="inlineStr">
        <is>
          <t>0</t>
        </is>
      </c>
      <c r="N206" s="56" t="inlineStr">
        <is>
          <t>FREE STOCK</t>
        </is>
      </c>
      <c r="O206" s="58" t="n">
        <v>262</v>
      </c>
      <c r="P206" s="59" t="inlineStr">
        <is>
          <t>ABOVE 90</t>
        </is>
      </c>
      <c r="Q206" s="56" t="inlineStr">
        <is>
          <t>Free Stock</t>
        </is>
      </c>
      <c r="U206" s="586" t="n">
        <v>110102297</v>
      </c>
      <c r="V206" t="n">
        <v>19</v>
      </c>
      <c r="W206" t="n">
        <v>19</v>
      </c>
      <c r="X206" t="n">
        <v>1</v>
      </c>
      <c r="Y206" t="n">
        <v>6</v>
      </c>
      <c r="Z206" t="inlineStr">
        <is>
          <t>CRFH</t>
        </is>
      </c>
      <c r="AA206" t="inlineStr">
        <is>
          <t>PE</t>
        </is>
      </c>
      <c r="AB206" t="inlineStr">
        <is>
          <t>AW</t>
        </is>
      </c>
      <c r="AC206" t="inlineStr">
        <is>
          <t>19-19-1-CRFH-PE</t>
        </is>
      </c>
      <c r="AD206" t="inlineStr">
        <is>
          <t>LL</t>
        </is>
      </c>
      <c r="AE206" t="inlineStr">
        <is>
          <t>19-19-1-CRFH-PE-1</t>
        </is>
      </c>
      <c r="AF206" t="n">
        <v>0.5716485492253635</v>
      </c>
    </row>
    <row r="207">
      <c r="A207" s="56" t="n">
        <v>1941847</v>
      </c>
      <c r="B207" s="56" t="inlineStr">
        <is>
          <t>TUB-E-O-AUT-AW-FC-15.88X1.000X2.1850</t>
        </is>
      </c>
      <c r="C207" s="56" t="inlineStr">
        <is>
          <t>4A14BH1110</t>
        </is>
      </c>
      <c r="D207" s="57" t="n">
        <v>1124.688</v>
      </c>
      <c r="E207" s="58" t="n">
        <v>902</v>
      </c>
      <c r="F207" s="57" t="n">
        <v>0.902</v>
      </c>
      <c r="G207" s="56" t="inlineStr">
        <is>
          <t>KG</t>
        </is>
      </c>
      <c r="H207" s="56" t="inlineStr">
        <is>
          <t>R001</t>
        </is>
      </c>
      <c r="I207" s="56" t="inlineStr">
        <is>
          <t>0789</t>
        </is>
      </c>
      <c r="J207" s="56" t="inlineStr">
        <is>
          <t>1125</t>
        </is>
      </c>
      <c r="K207" s="57" t="n">
        <v>2457.096</v>
      </c>
      <c r="L207" s="56" t="inlineStr">
        <is>
          <t>9518133298/ 17</t>
        </is>
      </c>
      <c r="M207" s="56" t="inlineStr">
        <is>
          <t>17</t>
        </is>
      </c>
      <c r="N207" s="56" t="inlineStr">
        <is>
          <t>Neel Metal Products Limited</t>
        </is>
      </c>
      <c r="O207" s="58" t="n">
        <v>59</v>
      </c>
      <c r="P207" s="59" t="inlineStr">
        <is>
          <t>31-60</t>
        </is>
      </c>
      <c r="Q207" s="56" t="inlineStr">
        <is>
          <t>Apoorv</t>
        </is>
      </c>
      <c r="U207" s="585" t="n">
        <v>1901306</v>
      </c>
      <c r="V207" t="n">
        <v>19</v>
      </c>
      <c r="W207" t="n">
        <v>19</v>
      </c>
      <c r="X207" t="n">
        <v>1</v>
      </c>
      <c r="Y207" t="n">
        <v>6</v>
      </c>
      <c r="Z207" t="inlineStr">
        <is>
          <t>CRFH</t>
        </is>
      </c>
      <c r="AA207" t="inlineStr">
        <is>
          <t>PE</t>
        </is>
      </c>
      <c r="AB207" t="inlineStr">
        <is>
          <t>FH</t>
        </is>
      </c>
      <c r="AC207" t="inlineStr">
        <is>
          <t>19-19-1-CRFH-PE</t>
        </is>
      </c>
      <c r="AD207" t="inlineStr">
        <is>
          <t>LL</t>
        </is>
      </c>
      <c r="AF207" t="n">
        <v>0.5716485492253635</v>
      </c>
    </row>
    <row r="208">
      <c r="A208" s="56" t="n">
        <v>1941847</v>
      </c>
      <c r="B208" s="56" t="inlineStr">
        <is>
          <t>TUB-E-O-AUT-AW-FC-15.88X1.000X2.1850</t>
        </is>
      </c>
      <c r="C208" s="56" t="inlineStr">
        <is>
          <t>4B09AH1020</t>
        </is>
      </c>
      <c r="D208" s="57" t="n">
        <v>1026.185</v>
      </c>
      <c r="E208" s="58" t="n">
        <v>823</v>
      </c>
      <c r="F208" s="57" t="n">
        <v>0.823</v>
      </c>
      <c r="G208" s="56" t="inlineStr">
        <is>
          <t>KG</t>
        </is>
      </c>
      <c r="H208" s="56" t="inlineStr">
        <is>
          <t>R001</t>
        </is>
      </c>
      <c r="I208" s="56" t="inlineStr">
        <is>
          <t>0789</t>
        </is>
      </c>
      <c r="J208" s="56" t="inlineStr">
        <is>
          <t>1026</t>
        </is>
      </c>
      <c r="K208" s="57" t="n">
        <v>2241.896</v>
      </c>
      <c r="L208" s="56" t="inlineStr">
        <is>
          <t>9518219998/ 11</t>
        </is>
      </c>
      <c r="M208" s="56" t="inlineStr">
        <is>
          <t>11</t>
        </is>
      </c>
      <c r="N208" s="56" t="inlineStr">
        <is>
          <t>Neel Metal Products Limited</t>
        </is>
      </c>
      <c r="O208" s="58" t="n">
        <v>13</v>
      </c>
      <c r="P208" s="59" t="inlineStr">
        <is>
          <t>0-30</t>
        </is>
      </c>
      <c r="Q208" s="56" t="inlineStr">
        <is>
          <t>Apoorv</t>
        </is>
      </c>
      <c r="U208" s="585" t="n">
        <v>3597679</v>
      </c>
      <c r="V208" t="n">
        <v>19</v>
      </c>
      <c r="W208" t="n">
        <v>19</v>
      </c>
      <c r="X208" t="n">
        <v>1</v>
      </c>
      <c r="Y208" t="n">
        <v>6.14</v>
      </c>
      <c r="Z208" t="inlineStr">
        <is>
          <t>CRFH</t>
        </is>
      </c>
      <c r="AA208" t="inlineStr">
        <is>
          <t>PE</t>
        </is>
      </c>
      <c r="AB208" t="inlineStr">
        <is>
          <t>AW</t>
        </is>
      </c>
      <c r="AC208" t="inlineStr">
        <is>
          <t>19-19-1-CRFH-PE</t>
        </is>
      </c>
      <c r="AD208" t="inlineStr">
        <is>
          <t>LL</t>
        </is>
      </c>
      <c r="AE208" t="inlineStr">
        <is>
          <t>19-19-1-CRFH-PE-1</t>
        </is>
      </c>
      <c r="AF208" t="n">
        <v>0.5716485492253635</v>
      </c>
    </row>
    <row r="209">
      <c r="A209" s="56" t="n">
        <v>1941860</v>
      </c>
      <c r="B209" s="56" t="inlineStr">
        <is>
          <t>TUB-R-AW-RHS-40.00X30.00X1.600X0.4000</t>
        </is>
      </c>
      <c r="C209" s="56" t="inlineStr">
        <is>
          <t>4B24BH2040</t>
        </is>
      </c>
      <c r="D209" s="57" t="n">
        <v>493.08</v>
      </c>
      <c r="E209" s="57" t="n">
        <v>333.815</v>
      </c>
      <c r="F209" s="57" t="n">
        <v>0.333815</v>
      </c>
      <c r="G209" s="56" t="inlineStr">
        <is>
          <t>KG</t>
        </is>
      </c>
      <c r="H209" s="56" t="inlineStr">
        <is>
          <t>R001</t>
        </is>
      </c>
      <c r="I209" s="56" t="inlineStr">
        <is>
          <t>0789</t>
        </is>
      </c>
      <c r="J209" s="56" t="inlineStr">
        <is>
          <t>3900</t>
        </is>
      </c>
      <c r="K209" s="57" t="n">
        <v>197.36</v>
      </c>
      <c r="L209" s="56" t="inlineStr">
        <is>
          <t>9517990343/ 1</t>
        </is>
      </c>
      <c r="M209" s="56" t="inlineStr">
        <is>
          <t>1</t>
        </is>
      </c>
      <c r="N209" s="56" t="inlineStr">
        <is>
          <t>TVS MOTOR COMPANY LIMITED</t>
        </is>
      </c>
      <c r="O209" s="58" t="n">
        <v>6</v>
      </c>
      <c r="P209" s="59" t="inlineStr">
        <is>
          <t>0-30</t>
        </is>
      </c>
      <c r="Q209" s="56" t="inlineStr">
        <is>
          <t>Apoorv</t>
        </is>
      </c>
      <c r="U209" s="585" t="n">
        <v>3695242</v>
      </c>
      <c r="V209" t="n">
        <v>19</v>
      </c>
      <c r="W209" t="n">
        <v>19</v>
      </c>
      <c r="X209" t="n">
        <v>1</v>
      </c>
      <c r="Y209" t="n">
        <v>6.14</v>
      </c>
      <c r="Z209" t="inlineStr">
        <is>
          <t>CRFH</t>
        </is>
      </c>
      <c r="AA209" t="inlineStr">
        <is>
          <t>PE</t>
        </is>
      </c>
      <c r="AB209" t="inlineStr">
        <is>
          <t>AW</t>
        </is>
      </c>
      <c r="AC209" t="inlineStr">
        <is>
          <t>19-19-1-CRFH-PE</t>
        </is>
      </c>
      <c r="AD209" t="inlineStr">
        <is>
          <t>LL</t>
        </is>
      </c>
      <c r="AE209" t="inlineStr">
        <is>
          <t>19-19-1-CRFH-PE-1</t>
        </is>
      </c>
      <c r="AF209" t="n">
        <v>0.5716485492253635</v>
      </c>
    </row>
    <row r="210">
      <c r="A210" s="56" t="n">
        <v>2243845</v>
      </c>
      <c r="B210" s="56" t="inlineStr">
        <is>
          <t>TUB-O-N-AUT-HR-PE-15.88X2.000X0.4420</t>
        </is>
      </c>
      <c r="C210" s="56" t="inlineStr">
        <is>
          <t>4728H28737</t>
        </is>
      </c>
      <c r="D210" s="57" t="n">
        <v>2249.967</v>
      </c>
      <c r="E210" s="57" t="n">
        <v>679.49</v>
      </c>
      <c r="F210" s="57" t="n">
        <v>0.67949</v>
      </c>
      <c r="G210" s="56" t="inlineStr">
        <is>
          <t>KG</t>
        </is>
      </c>
      <c r="H210" s="56" t="inlineStr">
        <is>
          <t>R001</t>
        </is>
      </c>
      <c r="I210" s="56" t="inlineStr">
        <is>
          <t>0789</t>
        </is>
      </c>
      <c r="J210" s="56" t="inlineStr">
        <is>
          <t>2750</t>
        </is>
      </c>
      <c r="K210" s="57" t="n">
        <v>992.246</v>
      </c>
      <c r="L210" s="56" t="inlineStr">
        <is>
          <t>9518080410/ 12</t>
        </is>
      </c>
      <c r="M210" s="56" t="inlineStr">
        <is>
          <t>12</t>
        </is>
      </c>
      <c r="N210" s="56" t="inlineStr">
        <is>
          <t>Rajsriya Automotive Ind.P.Ltd Unit-</t>
        </is>
      </c>
      <c r="O210" s="58" t="n">
        <v>98</v>
      </c>
      <c r="P210" s="59" t="inlineStr">
        <is>
          <t>ABOVE 90</t>
        </is>
      </c>
      <c r="Q210" s="56" t="inlineStr">
        <is>
          <t>Apoorv</t>
        </is>
      </c>
      <c r="U210" s="586" t="n">
        <v>111117591</v>
      </c>
      <c r="V210" t="n">
        <v>19</v>
      </c>
      <c r="W210" t="n">
        <v>19</v>
      </c>
      <c r="X210" t="n">
        <v>1</v>
      </c>
      <c r="Y210" t="n">
        <v>6.14</v>
      </c>
      <c r="Z210" t="inlineStr">
        <is>
          <t>CRFH</t>
        </is>
      </c>
      <c r="AA210" t="inlineStr">
        <is>
          <t>PE</t>
        </is>
      </c>
      <c r="AB210" t="inlineStr">
        <is>
          <t>AW</t>
        </is>
      </c>
      <c r="AC210" t="inlineStr">
        <is>
          <t>19-19-1-CRFH-PE</t>
        </is>
      </c>
      <c r="AD210" t="inlineStr">
        <is>
          <t>LL</t>
        </is>
      </c>
      <c r="AE210" t="inlineStr">
        <is>
          <t>19-19-1-CRFH-PE-1</t>
        </is>
      </c>
      <c r="AF210" t="n">
        <v>0.5716485492253635</v>
      </c>
    </row>
    <row r="211">
      <c r="A211" s="56" t="n">
        <v>2243845</v>
      </c>
      <c r="B211" s="56" t="inlineStr">
        <is>
          <t>TUB-O-N-AUT-HR-PE-15.88X2.000X0.4420</t>
        </is>
      </c>
      <c r="C211" s="56" t="inlineStr">
        <is>
          <t>4927H33984</t>
        </is>
      </c>
      <c r="D211" s="57" t="n">
        <v>1143.026</v>
      </c>
      <c r="E211" s="57" t="n">
        <v>345.194</v>
      </c>
      <c r="F211" s="57" t="n">
        <v>0.345194</v>
      </c>
      <c r="G211" s="56" t="inlineStr">
        <is>
          <t>KG</t>
        </is>
      </c>
      <c r="H211" s="56" t="inlineStr">
        <is>
          <t>R001</t>
        </is>
      </c>
      <c r="I211" s="56" t="inlineStr">
        <is>
          <t>0789</t>
        </is>
      </c>
      <c r="J211" s="56" t="inlineStr">
        <is>
          <t>4086</t>
        </is>
      </c>
      <c r="K211" s="57" t="n">
        <v>504.08</v>
      </c>
      <c r="L211" s="56" t="inlineStr">
        <is>
          <t>9518080410/ 12</t>
        </is>
      </c>
      <c r="M211" s="56" t="inlineStr">
        <is>
          <t>12</t>
        </is>
      </c>
      <c r="N211" s="56" t="inlineStr">
        <is>
          <t>Rajsriya Automotive Ind.P.Ltd Unit-</t>
        </is>
      </c>
      <c r="O211" s="58" t="n">
        <v>108</v>
      </c>
      <c r="P211" s="59" t="inlineStr">
        <is>
          <t>ABOVE 90</t>
        </is>
      </c>
      <c r="Q211" s="56" t="inlineStr">
        <is>
          <t>Apoorv</t>
        </is>
      </c>
      <c r="U211" s="586" t="n">
        <v>111102399</v>
      </c>
      <c r="V211" t="n">
        <v>19</v>
      </c>
      <c r="W211" t="n">
        <v>19</v>
      </c>
      <c r="X211" t="n">
        <v>1</v>
      </c>
      <c r="Y211" t="n">
        <v>6.245</v>
      </c>
      <c r="Z211" t="inlineStr">
        <is>
          <t>CRFH</t>
        </is>
      </c>
      <c r="AA211" t="inlineStr">
        <is>
          <t>PE</t>
        </is>
      </c>
      <c r="AB211" t="inlineStr">
        <is>
          <t>AW</t>
        </is>
      </c>
      <c r="AC211" t="inlineStr">
        <is>
          <t>19-19-1-CRFH-PE</t>
        </is>
      </c>
      <c r="AD211" t="inlineStr">
        <is>
          <t>LL</t>
        </is>
      </c>
      <c r="AE211" t="inlineStr">
        <is>
          <t>19-19-1-CRFH-PE-1</t>
        </is>
      </c>
      <c r="AF211" t="n">
        <v>0.5716485492253635</v>
      </c>
    </row>
    <row r="212">
      <c r="A212" s="56" t="n">
        <v>2243845</v>
      </c>
      <c r="B212" s="56" t="inlineStr">
        <is>
          <t>TUB-O-N-AUT-HR-PE-15.88X2.000X0.4420</t>
        </is>
      </c>
      <c r="C212" s="56" t="inlineStr">
        <is>
          <t>AKN2410R12</t>
        </is>
      </c>
      <c r="D212" s="57" t="n">
        <v>1900</v>
      </c>
      <c r="E212" s="57" t="n">
        <v>573.8</v>
      </c>
      <c r="F212" s="57" t="n">
        <v>0.5738</v>
      </c>
      <c r="G212" s="56" t="inlineStr">
        <is>
          <t>KG</t>
        </is>
      </c>
      <c r="H212" s="56" t="inlineStr">
        <is>
          <t>R001</t>
        </is>
      </c>
      <c r="I212" s="56" t="inlineStr">
        <is>
          <t>0789</t>
        </is>
      </c>
      <c r="J212" s="56" t="inlineStr"/>
      <c r="K212" s="57" t="n">
        <v>837.909</v>
      </c>
      <c r="L212" s="56" t="inlineStr">
        <is>
          <t>9518080410/ 12</t>
        </is>
      </c>
      <c r="M212" s="56" t="inlineStr">
        <is>
          <t>12</t>
        </is>
      </c>
      <c r="N212" s="56" t="inlineStr">
        <is>
          <t>Rajsriya Automotive Ind.P.Ltd Unit-</t>
        </is>
      </c>
      <c r="O212" s="58" t="n">
        <v>94</v>
      </c>
      <c r="P212" s="59" t="inlineStr">
        <is>
          <t>ABOVE 90</t>
        </is>
      </c>
      <c r="Q212" s="56" t="inlineStr">
        <is>
          <t>Apoorv</t>
        </is>
      </c>
      <c r="U212" s="585" t="n">
        <v>3576133</v>
      </c>
      <c r="V212" t="n">
        <v>19</v>
      </c>
      <c r="W212" t="n">
        <v>19</v>
      </c>
      <c r="X212" t="n">
        <v>1</v>
      </c>
      <c r="Y212" t="n">
        <v>6.25</v>
      </c>
      <c r="Z212" t="inlineStr">
        <is>
          <t>CRFH</t>
        </is>
      </c>
      <c r="AA212" t="inlineStr">
        <is>
          <t>PE</t>
        </is>
      </c>
      <c r="AB212" t="inlineStr">
        <is>
          <t>AW</t>
        </is>
      </c>
      <c r="AC212" t="inlineStr">
        <is>
          <t>19-19-1-CRFH-PE</t>
        </is>
      </c>
      <c r="AD212" t="inlineStr">
        <is>
          <t>LL</t>
        </is>
      </c>
      <c r="AE212" t="inlineStr">
        <is>
          <t>19-19-1-CRFH-PE-1</t>
        </is>
      </c>
      <c r="AF212" t="n">
        <v>0.5716485492253635</v>
      </c>
    </row>
    <row r="213">
      <c r="A213" s="56" t="n">
        <v>2244449</v>
      </c>
      <c r="B213" s="56" t="inlineStr">
        <is>
          <t>TUB-O-N-AUT-AW-PE-15.88X1.000X0.2900</t>
        </is>
      </c>
      <c r="C213" s="56" t="inlineStr">
        <is>
          <t>PV24030032</t>
        </is>
      </c>
      <c r="D213" s="57" t="n">
        <v>1004.302</v>
      </c>
      <c r="E213" s="57" t="n">
        <v>106.456</v>
      </c>
      <c r="F213" s="57" t="n">
        <v>0.106456</v>
      </c>
      <c r="G213" s="56" t="inlineStr">
        <is>
          <t>KG</t>
        </is>
      </c>
      <c r="H213" s="56" t="inlineStr">
        <is>
          <t>R001</t>
        </is>
      </c>
      <c r="I213" s="56" t="inlineStr">
        <is>
          <t>0789</t>
        </is>
      </c>
      <c r="J213" s="56" t="inlineStr"/>
      <c r="K213" s="57" t="n">
        <v>290.071</v>
      </c>
      <c r="L213" s="56" t="inlineStr"/>
      <c r="M213" s="56" t="inlineStr">
        <is>
          <t>0</t>
        </is>
      </c>
      <c r="N213" s="56" t="inlineStr">
        <is>
          <t>FREE STOCK</t>
        </is>
      </c>
      <c r="O213" s="58" t="n">
        <v>262</v>
      </c>
      <c r="P213" s="59" t="inlineStr">
        <is>
          <t>ABOVE 90</t>
        </is>
      </c>
      <c r="Q213" s="56" t="inlineStr">
        <is>
          <t>Free Stock</t>
        </is>
      </c>
      <c r="U213" s="585" t="n">
        <v>3695241</v>
      </c>
      <c r="V213" t="n">
        <v>19</v>
      </c>
      <c r="W213" t="n">
        <v>19</v>
      </c>
      <c r="X213" t="n">
        <v>1</v>
      </c>
      <c r="Y213" t="n">
        <v>6.25</v>
      </c>
      <c r="Z213" t="inlineStr">
        <is>
          <t>CRFH</t>
        </is>
      </c>
      <c r="AA213" t="inlineStr">
        <is>
          <t>PE</t>
        </is>
      </c>
      <c r="AB213" t="inlineStr">
        <is>
          <t>AW</t>
        </is>
      </c>
      <c r="AC213" t="inlineStr">
        <is>
          <t>19-19-1-CRFH-PE</t>
        </is>
      </c>
      <c r="AD213" t="inlineStr">
        <is>
          <t>LL</t>
        </is>
      </c>
      <c r="AE213" t="inlineStr">
        <is>
          <t>19-19-1-CRFH-PE-1</t>
        </is>
      </c>
      <c r="AF213" t="n">
        <v>0.5716485492253635</v>
      </c>
    </row>
    <row r="214">
      <c r="A214" s="56" t="n">
        <v>2256593</v>
      </c>
      <c r="B214" s="56" t="inlineStr">
        <is>
          <t>TUB-O-N-AUT-AW-FC-31.75X1.200X0.2100</t>
        </is>
      </c>
      <c r="C214" s="56" t="inlineStr">
        <is>
          <t>4530H16581</t>
        </is>
      </c>
      <c r="D214" s="57" t="n">
        <v>547</v>
      </c>
      <c r="E214" s="57" t="n">
        <v>103.93</v>
      </c>
      <c r="F214" s="57" t="n">
        <v>0.10393</v>
      </c>
      <c r="G214" s="56" t="inlineStr">
        <is>
          <t>KG</t>
        </is>
      </c>
      <c r="H214" s="56" t="inlineStr">
        <is>
          <t>R001</t>
        </is>
      </c>
      <c r="I214" s="56" t="inlineStr">
        <is>
          <t>0789</t>
        </is>
      </c>
      <c r="J214" s="56" t="inlineStr">
        <is>
          <t>2400</t>
        </is>
      </c>
      <c r="K214" s="57" t="n">
        <v>114.916</v>
      </c>
      <c r="L214" s="56" t="inlineStr">
        <is>
          <t>9518397864/ 3</t>
        </is>
      </c>
      <c r="M214" s="56" t="inlineStr">
        <is>
          <t>3</t>
        </is>
      </c>
      <c r="N214" s="56" t="inlineStr">
        <is>
          <t>SANDHAR ENGINEERING PVT LTD.(KA) -U</t>
        </is>
      </c>
      <c r="O214" s="58" t="n">
        <v>4</v>
      </c>
      <c r="P214" s="59" t="inlineStr">
        <is>
          <t>0-30</t>
        </is>
      </c>
      <c r="Q214" s="56" t="inlineStr">
        <is>
          <t>Jitendra Kumar Sharma</t>
        </is>
      </c>
      <c r="U214" s="586" t="n">
        <v>111116486</v>
      </c>
      <c r="V214" t="n">
        <v>19</v>
      </c>
      <c r="W214" t="n">
        <v>19</v>
      </c>
      <c r="X214" t="n">
        <v>1</v>
      </c>
      <c r="Y214" t="n">
        <v>6.3</v>
      </c>
      <c r="Z214" t="inlineStr">
        <is>
          <t>CRFH</t>
        </is>
      </c>
      <c r="AA214" t="inlineStr">
        <is>
          <t>PE</t>
        </is>
      </c>
      <c r="AB214" t="inlineStr">
        <is>
          <t>AW</t>
        </is>
      </c>
      <c r="AC214" t="inlineStr">
        <is>
          <t>19-19-1-CRFH-PE</t>
        </is>
      </c>
      <c r="AD214" t="inlineStr">
        <is>
          <t>LL</t>
        </is>
      </c>
      <c r="AE214" t="inlineStr">
        <is>
          <t>19-19-1-CRFH-PE-1</t>
        </is>
      </c>
      <c r="AF214" t="n">
        <v>0.5716485492253635</v>
      </c>
    </row>
    <row r="215">
      <c r="A215" s="56" t="n">
        <v>2320560</v>
      </c>
      <c r="B215" s="56" t="inlineStr">
        <is>
          <t>TUB-O-N-AUT-AW-PE-22.23X1.600X0.2100</t>
        </is>
      </c>
      <c r="C215" s="56" t="inlineStr">
        <is>
          <t>SEN2308257</t>
        </is>
      </c>
      <c r="D215" s="57" t="n">
        <v>5000</v>
      </c>
      <c r="E215" s="58" t="n">
        <v>860</v>
      </c>
      <c r="F215" s="57" t="n">
        <v>0.86</v>
      </c>
      <c r="G215" s="56" t="inlineStr">
        <is>
          <t>KG</t>
        </is>
      </c>
      <c r="H215" s="56" t="inlineStr">
        <is>
          <t>R001</t>
        </is>
      </c>
      <c r="I215" s="56" t="inlineStr">
        <is>
          <t>0789</t>
        </is>
      </c>
      <c r="J215" s="56" t="inlineStr"/>
      <c r="K215" s="57" t="n">
        <v>1055.992</v>
      </c>
      <c r="L215" s="56" t="inlineStr">
        <is>
          <t>9517078856/ 4</t>
        </is>
      </c>
      <c r="M215" s="56" t="inlineStr">
        <is>
          <t>4</t>
        </is>
      </c>
      <c r="N215" s="56" t="inlineStr">
        <is>
          <t>HI-TECH INDUSTRIES</t>
        </is>
      </c>
      <c r="O215" s="58" t="n">
        <v>508</v>
      </c>
      <c r="P215" s="59" t="inlineStr">
        <is>
          <t>ABOVE 90</t>
        </is>
      </c>
      <c r="Q215" s="56" t="inlineStr">
        <is>
          <t>Apoorv</t>
        </is>
      </c>
      <c r="U215" s="586" t="n">
        <v>111116485</v>
      </c>
      <c r="V215" t="n">
        <v>19</v>
      </c>
      <c r="W215" t="n">
        <v>19</v>
      </c>
      <c r="X215" t="n">
        <v>1</v>
      </c>
      <c r="Y215" t="n">
        <v>6.4</v>
      </c>
      <c r="Z215" t="inlineStr">
        <is>
          <t>CRFH</t>
        </is>
      </c>
      <c r="AA215" t="inlineStr">
        <is>
          <t>PE</t>
        </is>
      </c>
      <c r="AB215" t="inlineStr">
        <is>
          <t>AW</t>
        </is>
      </c>
      <c r="AC215" t="inlineStr">
        <is>
          <t>19-19-1-CRFH-PE</t>
        </is>
      </c>
      <c r="AD215" t="inlineStr">
        <is>
          <t>LL</t>
        </is>
      </c>
      <c r="AE215" t="inlineStr">
        <is>
          <t>19-19-1-CRFH-PE-1</t>
        </is>
      </c>
      <c r="AF215" t="n">
        <v>0.5716485492253635</v>
      </c>
    </row>
    <row r="216">
      <c r="A216" s="56" t="n">
        <v>2320560</v>
      </c>
      <c r="B216" s="56" t="inlineStr">
        <is>
          <t>TUB-O-N-AUT-AW-PE-22.23X1.600X0.2100</t>
        </is>
      </c>
      <c r="C216" s="56" t="inlineStr">
        <is>
          <t>EXC2405009</t>
        </is>
      </c>
      <c r="D216" s="57" t="n">
        <v>3381.994</v>
      </c>
      <c r="E216" s="57" t="n">
        <v>581.703</v>
      </c>
      <c r="F216" s="57" t="n">
        <v>0.581703</v>
      </c>
      <c r="G216" s="56" t="inlineStr">
        <is>
          <t>KG</t>
        </is>
      </c>
      <c r="H216" s="56" t="inlineStr">
        <is>
          <t>R001</t>
        </is>
      </c>
      <c r="I216" s="56" t="inlineStr">
        <is>
          <t>0789</t>
        </is>
      </c>
      <c r="J216" s="56" t="inlineStr"/>
      <c r="K216" s="57" t="n">
        <v>714.272</v>
      </c>
      <c r="L216" s="56" t="inlineStr">
        <is>
          <t>9517303409/ 3</t>
        </is>
      </c>
      <c r="M216" s="56" t="inlineStr">
        <is>
          <t>3</t>
        </is>
      </c>
      <c r="N216" s="56" t="inlineStr">
        <is>
          <t>SRIKAM HITECH ENGINEERING PRIVATE L</t>
        </is>
      </c>
      <c r="O216" s="58" t="n">
        <v>230</v>
      </c>
      <c r="P216" s="59" t="inlineStr">
        <is>
          <t>ABOVE 90</t>
        </is>
      </c>
      <c r="Q216" s="56" t="inlineStr">
        <is>
          <t>Apoorv</t>
        </is>
      </c>
      <c r="U216" s="585" t="n">
        <v>3605740</v>
      </c>
      <c r="V216" t="n">
        <v>19</v>
      </c>
      <c r="W216" t="n">
        <v>19</v>
      </c>
      <c r="X216" t="n">
        <v>1.01</v>
      </c>
      <c r="Y216" t="n">
        <v>0.675</v>
      </c>
      <c r="Z216" t="inlineStr">
        <is>
          <t>CRFH</t>
        </is>
      </c>
      <c r="AA216" t="inlineStr">
        <is>
          <t>PE</t>
        </is>
      </c>
      <c r="AB216" t="inlineStr">
        <is>
          <t>AW</t>
        </is>
      </c>
      <c r="AC216" t="inlineStr">
        <is>
          <t>19-19-1-CRFH-PE</t>
        </is>
      </c>
      <c r="AD216" t="inlineStr">
        <is>
          <t>CTL</t>
        </is>
      </c>
      <c r="AE216" t="inlineStr">
        <is>
          <t>19-19-1-CRFH-PE-0.675</t>
        </is>
      </c>
      <c r="AF216" t="n">
        <v>0.3895533538768916</v>
      </c>
    </row>
    <row r="217">
      <c r="A217" s="56" t="n">
        <v>2320560</v>
      </c>
      <c r="B217" s="56" t="inlineStr">
        <is>
          <t>TUB-O-N-AUT-AW-PE-22.23X1.600X0.2100</t>
        </is>
      </c>
      <c r="C217" s="56" t="inlineStr">
        <is>
          <t>SEN2311119</t>
        </is>
      </c>
      <c r="D217" s="57" t="n">
        <v>3300</v>
      </c>
      <c r="E217" s="57" t="n">
        <v>567.6</v>
      </c>
      <c r="F217" s="57" t="n">
        <v>0.5676</v>
      </c>
      <c r="G217" s="56" t="inlineStr">
        <is>
          <t>KG</t>
        </is>
      </c>
      <c r="H217" s="56" t="inlineStr">
        <is>
          <t>R001</t>
        </is>
      </c>
      <c r="I217" s="56" t="inlineStr">
        <is>
          <t>0789</t>
        </is>
      </c>
      <c r="J217" s="56" t="inlineStr"/>
      <c r="K217" s="57" t="n">
        <v>696.955</v>
      </c>
      <c r="L217" s="56" t="inlineStr">
        <is>
          <t>9517303409/ 3</t>
        </is>
      </c>
      <c r="M217" s="56" t="inlineStr">
        <is>
          <t>3</t>
        </is>
      </c>
      <c r="N217" s="56" t="inlineStr">
        <is>
          <t>SRIKAM HITECH ENGINEERING PRIVATE L</t>
        </is>
      </c>
      <c r="O217" s="58" t="n">
        <v>427</v>
      </c>
      <c r="P217" s="59" t="inlineStr">
        <is>
          <t>ABOVE 90</t>
        </is>
      </c>
      <c r="Q217" s="56" t="inlineStr">
        <is>
          <t>Apoorv</t>
        </is>
      </c>
      <c r="U217" s="585" t="n">
        <v>3605739</v>
      </c>
      <c r="V217" t="n">
        <v>19</v>
      </c>
      <c r="W217" t="n">
        <v>19</v>
      </c>
      <c r="X217" t="n">
        <v>1.01</v>
      </c>
      <c r="Y217" t="n">
        <v>0.871</v>
      </c>
      <c r="Z217" t="inlineStr">
        <is>
          <t>CRFH</t>
        </is>
      </c>
      <c r="AA217" t="inlineStr">
        <is>
          <t>PE</t>
        </is>
      </c>
      <c r="AB217" t="inlineStr">
        <is>
          <t>AW</t>
        </is>
      </c>
      <c r="AC217" t="inlineStr">
        <is>
          <t>19-19-1-CRFH-PE</t>
        </is>
      </c>
      <c r="AD217" t="inlineStr">
        <is>
          <t>CTL</t>
        </is>
      </c>
      <c r="AE217" t="inlineStr">
        <is>
          <t>19-19-1-CRFH-PE-0.871</t>
        </is>
      </c>
      <c r="AF217" t="n">
        <v>0.5026681055211444</v>
      </c>
    </row>
    <row r="218">
      <c r="A218" s="56" t="n">
        <v>2320566</v>
      </c>
      <c r="B218" s="56" t="inlineStr">
        <is>
          <t>TUB-O-N-AUT-AW-FC-57.15X2.500X0.3790</t>
        </is>
      </c>
      <c r="C218" s="56" t="inlineStr">
        <is>
          <t>AKN2306257</t>
        </is>
      </c>
      <c r="D218" s="57" t="n">
        <v>1744.228</v>
      </c>
      <c r="E218" s="57" t="n">
        <v>2229.123</v>
      </c>
      <c r="F218" s="57" t="n">
        <v>2.229123</v>
      </c>
      <c r="G218" s="56" t="inlineStr">
        <is>
          <t>KG</t>
        </is>
      </c>
      <c r="H218" s="56" t="inlineStr">
        <is>
          <t>R001</t>
        </is>
      </c>
      <c r="I218" s="56" t="inlineStr">
        <is>
          <t>0789</t>
        </is>
      </c>
      <c r="J218" s="56" t="inlineStr"/>
      <c r="K218" s="57" t="n">
        <v>661.343</v>
      </c>
      <c r="L218" s="56" t="inlineStr">
        <is>
          <t>9516935690/ 9</t>
        </is>
      </c>
      <c r="M218" s="56" t="inlineStr">
        <is>
          <t>9</t>
        </is>
      </c>
      <c r="N218" s="56" t="inlineStr">
        <is>
          <t>Metalman Auto Private Limited</t>
        </is>
      </c>
      <c r="O218" s="58" t="n">
        <v>574</v>
      </c>
      <c r="P218" s="59" t="inlineStr">
        <is>
          <t>ABOVE 90</t>
        </is>
      </c>
      <c r="Q218" s="56" t="inlineStr">
        <is>
          <t>Jitendra Kumar Sharma</t>
        </is>
      </c>
      <c r="U218" s="586" t="n">
        <v>111116487</v>
      </c>
      <c r="V218" t="n">
        <v>19</v>
      </c>
      <c r="W218" t="n">
        <v>19</v>
      </c>
      <c r="X218" t="n">
        <v>1.01</v>
      </c>
      <c r="Y218" t="n">
        <v>5.5</v>
      </c>
      <c r="Z218" t="inlineStr">
        <is>
          <t>CRFH</t>
        </is>
      </c>
      <c r="AA218" t="inlineStr">
        <is>
          <t>PE</t>
        </is>
      </c>
      <c r="AB218" t="inlineStr">
        <is>
          <t>AW</t>
        </is>
      </c>
      <c r="AC218" t="inlineStr">
        <is>
          <t>19-19-1-CRFH-PE</t>
        </is>
      </c>
      <c r="AD218" t="inlineStr">
        <is>
          <t>LL</t>
        </is>
      </c>
      <c r="AE218" t="inlineStr">
        <is>
          <t>19-19-1-CRFH-PE-1</t>
        </is>
      </c>
      <c r="AF218" t="n">
        <v>0.577116079817617</v>
      </c>
    </row>
    <row r="219">
      <c r="A219" s="56" t="n">
        <v>2325421</v>
      </c>
      <c r="B219" s="56" t="inlineStr">
        <is>
          <t>TUB-O-N-AUT-AW-FC-48.60X1.200X0.3360</t>
        </is>
      </c>
      <c r="C219" s="56" t="inlineStr">
        <is>
          <t>4C13H39661</t>
        </is>
      </c>
      <c r="D219" s="57" t="n">
        <v>2497.881</v>
      </c>
      <c r="E219" s="58" t="n">
        <v>1179</v>
      </c>
      <c r="F219" s="57" t="n">
        <v>1.179</v>
      </c>
      <c r="G219" s="56" t="inlineStr">
        <is>
          <t>KG</t>
        </is>
      </c>
      <c r="H219" s="56" t="inlineStr">
        <is>
          <t>R001</t>
        </is>
      </c>
      <c r="I219" s="56" t="inlineStr">
        <is>
          <t>0789</t>
        </is>
      </c>
      <c r="J219" s="56" t="inlineStr">
        <is>
          <t>2500</t>
        </is>
      </c>
      <c r="K219" s="57" t="n">
        <v>840.162</v>
      </c>
      <c r="L219" s="56" t="inlineStr">
        <is>
          <t>9518219636/ 8</t>
        </is>
      </c>
      <c r="M219" s="56" t="inlineStr">
        <is>
          <t>8</t>
        </is>
      </c>
      <c r="N219" s="56" t="inlineStr">
        <is>
          <t>SANDHAR ENGINEERING PVT LTD.(KA) -U</t>
        </is>
      </c>
      <c r="O219" s="58" t="n">
        <v>2</v>
      </c>
      <c r="P219" s="59" t="inlineStr">
        <is>
          <t>0-30</t>
        </is>
      </c>
      <c r="Q219" s="56" t="inlineStr">
        <is>
          <t>Jitendra Kumar Sharma</t>
        </is>
      </c>
      <c r="U219" s="585" t="n">
        <v>3234372</v>
      </c>
      <c r="V219" t="n">
        <v>19</v>
      </c>
      <c r="W219" t="n">
        <v>19</v>
      </c>
      <c r="X219" t="n">
        <v>1.2</v>
      </c>
      <c r="Y219" t="n">
        <v>0.129</v>
      </c>
      <c r="Z219" t="inlineStr">
        <is>
          <t>CRFH</t>
        </is>
      </c>
      <c r="AA219" t="inlineStr">
        <is>
          <t>PE</t>
        </is>
      </c>
      <c r="AB219" t="inlineStr">
        <is>
          <t>AW</t>
        </is>
      </c>
      <c r="AC219" t="inlineStr">
        <is>
          <t>19-19-1.2-CRFH-PE</t>
        </is>
      </c>
      <c r="AD219" t="inlineStr">
        <is>
          <t>CTL</t>
        </is>
      </c>
      <c r="AE219" t="inlineStr">
        <is>
          <t>19-19-1.2-CRFH-PE-0.129</t>
        </is>
      </c>
      <c r="AF219" t="n">
        <v>0.08772806238008626</v>
      </c>
    </row>
    <row r="220">
      <c r="A220" s="56" t="n">
        <v>2325421</v>
      </c>
      <c r="B220" s="56" t="inlineStr">
        <is>
          <t>TUB-O-N-AUT-AW-FC-48.60X1.200X0.3360</t>
        </is>
      </c>
      <c r="C220" s="56" t="inlineStr">
        <is>
          <t>4C20H40120</t>
        </is>
      </c>
      <c r="D220" s="57" t="n">
        <v>1858.051</v>
      </c>
      <c r="E220" s="58" t="n">
        <v>877</v>
      </c>
      <c r="F220" s="57" t="n">
        <v>0.877</v>
      </c>
      <c r="G220" s="56" t="inlineStr">
        <is>
          <t>KG</t>
        </is>
      </c>
      <c r="H220" s="56" t="inlineStr">
        <is>
          <t>R001</t>
        </is>
      </c>
      <c r="I220" s="56" t="inlineStr">
        <is>
          <t>0789</t>
        </is>
      </c>
      <c r="J220" s="56" t="inlineStr">
        <is>
          <t>1860</t>
        </is>
      </c>
      <c r="K220" s="57" t="n">
        <v>624.955</v>
      </c>
      <c r="L220" s="56" t="inlineStr">
        <is>
          <t>9518219789/ 1</t>
        </is>
      </c>
      <c r="M220" s="56" t="inlineStr">
        <is>
          <t>1</t>
        </is>
      </c>
      <c r="N220" s="56" t="inlineStr">
        <is>
          <t>Metalman Auto Private Limited</t>
        </is>
      </c>
      <c r="O220" s="58" t="n">
        <v>3</v>
      </c>
      <c r="P220" s="59" t="inlineStr">
        <is>
          <t>0-30</t>
        </is>
      </c>
      <c r="Q220" s="56" t="inlineStr">
        <is>
          <t>Jitendra Kumar Sharma</t>
        </is>
      </c>
      <c r="U220" s="585" t="n">
        <v>1940151</v>
      </c>
      <c r="V220" t="n">
        <v>19</v>
      </c>
      <c r="W220" t="n">
        <v>19</v>
      </c>
      <c r="X220" t="n">
        <v>1.2</v>
      </c>
      <c r="Y220" t="n">
        <v>0.15</v>
      </c>
      <c r="Z220" t="inlineStr">
        <is>
          <t>CRFH</t>
        </is>
      </c>
      <c r="AA220" t="inlineStr">
        <is>
          <t>PE</t>
        </is>
      </c>
      <c r="AB220" t="inlineStr">
        <is>
          <t>AW</t>
        </is>
      </c>
      <c r="AC220" t="inlineStr">
        <is>
          <t>19-19-1.2-CRFH-PE</t>
        </is>
      </c>
      <c r="AD220" t="inlineStr">
        <is>
          <t>CTL</t>
        </is>
      </c>
      <c r="AE220" t="inlineStr">
        <is>
          <t>19-19-1.2-CRFH-PE-0.15</t>
        </is>
      </c>
      <c r="AF220" t="n">
        <v>0.1020093748605654</v>
      </c>
    </row>
    <row r="221">
      <c r="A221" s="56" t="n">
        <v>2331952</v>
      </c>
      <c r="B221" s="56" t="inlineStr">
        <is>
          <t>TUB-O-N-AUT-AW-PE-28.58X1.200X0.6100</t>
        </is>
      </c>
      <c r="C221" s="56" t="inlineStr">
        <is>
          <t>4A30H36692</t>
        </is>
      </c>
      <c r="D221" s="57" t="n">
        <v>2318.202</v>
      </c>
      <c r="E221" s="57" t="n">
        <v>1147.51</v>
      </c>
      <c r="F221" s="57" t="n">
        <v>1.14751</v>
      </c>
      <c r="G221" s="56" t="inlineStr">
        <is>
          <t>KG</t>
        </is>
      </c>
      <c r="H221" s="56" t="inlineStr">
        <is>
          <t>R001</t>
        </is>
      </c>
      <c r="I221" s="56" t="inlineStr">
        <is>
          <t>0789</t>
        </is>
      </c>
      <c r="J221" s="56" t="inlineStr">
        <is>
          <t>3825</t>
        </is>
      </c>
      <c r="K221" s="57" t="n">
        <v>1415.63</v>
      </c>
      <c r="L221" s="56" t="inlineStr">
        <is>
          <t>9518314382/ 7</t>
        </is>
      </c>
      <c r="M221" s="56" t="inlineStr">
        <is>
          <t>7</t>
        </is>
      </c>
      <c r="N221" s="56" t="inlineStr">
        <is>
          <t>Neel Metal Products Limited</t>
        </is>
      </c>
      <c r="O221" s="58" t="n">
        <v>74</v>
      </c>
      <c r="P221" s="59" t="inlineStr">
        <is>
          <t>61-90</t>
        </is>
      </c>
      <c r="Q221" s="56" t="inlineStr">
        <is>
          <t>Apoorv</t>
        </is>
      </c>
      <c r="U221" s="585" t="n">
        <v>3676019</v>
      </c>
      <c r="V221" t="n">
        <v>19</v>
      </c>
      <c r="W221" t="n">
        <v>19</v>
      </c>
      <c r="X221" t="n">
        <v>1.2</v>
      </c>
      <c r="Y221" t="n">
        <v>0.22</v>
      </c>
      <c r="Z221" t="inlineStr">
        <is>
          <t>TE13</t>
        </is>
      </c>
      <c r="AA221" t="inlineStr">
        <is>
          <t>PE</t>
        </is>
      </c>
      <c r="AB221" t="inlineStr">
        <is>
          <t>AW</t>
        </is>
      </c>
      <c r="AC221" t="inlineStr">
        <is>
          <t>check for ALF</t>
        </is>
      </c>
      <c r="AD221" t="inlineStr">
        <is>
          <t>CTL</t>
        </is>
      </c>
      <c r="AE221" t="inlineStr">
        <is>
          <t>check for ALF-0.22</t>
        </is>
      </c>
      <c r="AF221" t="n">
        <v>0.149613749795496</v>
      </c>
    </row>
    <row r="222">
      <c r="A222" s="56" t="n">
        <v>2331953</v>
      </c>
      <c r="B222" s="56" t="inlineStr">
        <is>
          <t>TUB-O-N-AUT-AW-PE-19.05X1.600X0.6100</t>
        </is>
      </c>
      <c r="C222" s="56" t="inlineStr">
        <is>
          <t>4A08BH1070</t>
        </is>
      </c>
      <c r="D222" s="57" t="n">
        <v>1346.793</v>
      </c>
      <c r="E222" s="58" t="n">
        <v>567</v>
      </c>
      <c r="F222" s="57" t="n">
        <v>0.5669999999999999</v>
      </c>
      <c r="G222" s="56" t="inlineStr">
        <is>
          <t>KG</t>
        </is>
      </c>
      <c r="H222" s="56" t="inlineStr">
        <is>
          <t>R001</t>
        </is>
      </c>
      <c r="I222" s="56" t="inlineStr">
        <is>
          <t>0789</t>
        </is>
      </c>
      <c r="J222" s="56" t="inlineStr">
        <is>
          <t>1350</t>
        </is>
      </c>
      <c r="K222" s="57" t="n">
        <v>823.171</v>
      </c>
      <c r="L222" s="56" t="inlineStr">
        <is>
          <t>9518133298/ 13</t>
        </is>
      </c>
      <c r="M222" s="56" t="inlineStr">
        <is>
          <t>13</t>
        </is>
      </c>
      <c r="N222" s="56" t="inlineStr">
        <is>
          <t>Neel Metal Products Limited</t>
        </is>
      </c>
      <c r="O222" s="58" t="n">
        <v>92</v>
      </c>
      <c r="P222" s="59" t="inlineStr">
        <is>
          <t>ABOVE 90</t>
        </is>
      </c>
      <c r="Q222" s="56" t="inlineStr">
        <is>
          <t>Apoorv</t>
        </is>
      </c>
      <c r="U222" s="585" t="n">
        <v>3676020</v>
      </c>
      <c r="V222" t="n">
        <v>19</v>
      </c>
      <c r="W222" t="n">
        <v>19</v>
      </c>
      <c r="X222" t="n">
        <v>1.2</v>
      </c>
      <c r="Y222" t="n">
        <v>0.253</v>
      </c>
      <c r="Z222" t="inlineStr">
        <is>
          <t>TE13</t>
        </is>
      </c>
      <c r="AA222" t="inlineStr">
        <is>
          <t>PE</t>
        </is>
      </c>
      <c r="AB222" t="inlineStr">
        <is>
          <t>AW</t>
        </is>
      </c>
      <c r="AC222" t="inlineStr">
        <is>
          <t>check for ALF</t>
        </is>
      </c>
      <c r="AD222" t="inlineStr">
        <is>
          <t>CTL</t>
        </is>
      </c>
      <c r="AE222" t="inlineStr">
        <is>
          <t>check for ALF-0.253</t>
        </is>
      </c>
      <c r="AF222" t="n">
        <v>0.1720558122648203</v>
      </c>
    </row>
    <row r="223">
      <c r="A223" s="56" t="n">
        <v>2349249</v>
      </c>
      <c r="B223" s="56" t="inlineStr">
        <is>
          <t>TUB-O-N-AUT-AW--22.23X1.600X1.3380</t>
        </is>
      </c>
      <c r="C223" s="56" t="inlineStr">
        <is>
          <t>4A16H35460</t>
        </is>
      </c>
      <c r="D223" s="57" t="n">
        <v>339.083</v>
      </c>
      <c r="E223" s="57" t="n">
        <v>369.6</v>
      </c>
      <c r="F223" s="57" t="n">
        <v>0.3696</v>
      </c>
      <c r="G223" s="56" t="inlineStr">
        <is>
          <t>KG</t>
        </is>
      </c>
      <c r="H223" s="56" t="inlineStr">
        <is>
          <t>R001</t>
        </is>
      </c>
      <c r="I223" s="56" t="inlineStr">
        <is>
          <t>0789</t>
        </is>
      </c>
      <c r="J223" s="56" t="inlineStr">
        <is>
          <t>1300</t>
        </is>
      </c>
      <c r="K223" s="57" t="n">
        <v>453.831</v>
      </c>
      <c r="L223" s="56" t="inlineStr">
        <is>
          <t>9518390450/ 28</t>
        </is>
      </c>
      <c r="M223" s="56" t="inlineStr">
        <is>
          <t>28</t>
        </is>
      </c>
      <c r="N223" s="56" t="inlineStr">
        <is>
          <t>SRIKAM HITECH ENGINEERING PRIVATE L</t>
        </is>
      </c>
      <c r="O223" s="58" t="n">
        <v>88</v>
      </c>
      <c r="P223" s="59" t="inlineStr">
        <is>
          <t>61-90</t>
        </is>
      </c>
      <c r="Q223" s="56" t="inlineStr">
        <is>
          <t>Apoorv</t>
        </is>
      </c>
      <c r="U223" s="585" t="n">
        <v>1940152</v>
      </c>
      <c r="V223" t="n">
        <v>19</v>
      </c>
      <c r="W223" t="n">
        <v>19</v>
      </c>
      <c r="X223" t="n">
        <v>1.2</v>
      </c>
      <c r="Y223" t="n">
        <v>0.261</v>
      </c>
      <c r="Z223" t="inlineStr">
        <is>
          <t>CRFH</t>
        </is>
      </c>
      <c r="AA223" t="inlineStr">
        <is>
          <t>PE</t>
        </is>
      </c>
      <c r="AB223" t="inlineStr">
        <is>
          <t>AW</t>
        </is>
      </c>
      <c r="AC223" t="inlineStr">
        <is>
          <t>19-19-1.2-CRFH-PE</t>
        </is>
      </c>
      <c r="AD223" t="inlineStr">
        <is>
          <t>CTL</t>
        </is>
      </c>
      <c r="AE223" t="inlineStr">
        <is>
          <t>19-19-1.2-CRFH-PE-0.261</t>
        </is>
      </c>
      <c r="AF223" t="n">
        <v>0.1774963122573839</v>
      </c>
    </row>
    <row r="224">
      <c r="A224" s="56" t="n">
        <v>2349249</v>
      </c>
      <c r="B224" s="56" t="inlineStr">
        <is>
          <t>TUB-O-N-AUT-AW--22.23X1.600X1.3380</t>
        </is>
      </c>
      <c r="C224" s="56" t="inlineStr">
        <is>
          <t>4C11AH1030</t>
        </is>
      </c>
      <c r="D224" s="57" t="n">
        <v>2099.083</v>
      </c>
      <c r="E224" s="58" t="n">
        <v>2288</v>
      </c>
      <c r="F224" s="57" t="n">
        <v>2.288</v>
      </c>
      <c r="G224" s="56" t="inlineStr">
        <is>
          <t>KG</t>
        </is>
      </c>
      <c r="H224" s="56" t="inlineStr">
        <is>
          <t>R001</t>
        </is>
      </c>
      <c r="I224" s="56" t="inlineStr">
        <is>
          <t>0789</t>
        </is>
      </c>
      <c r="J224" s="56" t="inlineStr">
        <is>
          <t>2100</t>
        </is>
      </c>
      <c r="K224" s="57" t="n">
        <v>2809.43</v>
      </c>
      <c r="L224" s="56" t="inlineStr">
        <is>
          <t>9518390450/ 28</t>
        </is>
      </c>
      <c r="M224" s="56" t="inlineStr">
        <is>
          <t>28</t>
        </is>
      </c>
      <c r="N224" s="56" t="inlineStr">
        <is>
          <t>SRIKAM HITECH ENGINEERING PRIVATE L</t>
        </is>
      </c>
      <c r="O224" s="58" t="n">
        <v>23</v>
      </c>
      <c r="P224" s="59" t="inlineStr">
        <is>
          <t>0-30</t>
        </is>
      </c>
      <c r="Q224" s="56" t="inlineStr">
        <is>
          <t>Apoorv</t>
        </is>
      </c>
      <c r="U224" s="585" t="n">
        <v>3676021</v>
      </c>
      <c r="V224" t="n">
        <v>19</v>
      </c>
      <c r="W224" t="n">
        <v>19</v>
      </c>
      <c r="X224" t="n">
        <v>1.2</v>
      </c>
      <c r="Y224" t="n">
        <v>0.296</v>
      </c>
      <c r="Z224" t="inlineStr">
        <is>
          <t>TE13</t>
        </is>
      </c>
      <c r="AA224" t="inlineStr">
        <is>
          <t>PE</t>
        </is>
      </c>
      <c r="AB224" t="inlineStr">
        <is>
          <t>AW</t>
        </is>
      </c>
      <c r="AC224" t="inlineStr">
        <is>
          <t>check for ALF</t>
        </is>
      </c>
      <c r="AD224" t="inlineStr">
        <is>
          <t>CTL</t>
        </is>
      </c>
      <c r="AE224" t="inlineStr">
        <is>
          <t>check for ALF-0.296</t>
        </is>
      </c>
      <c r="AF224" t="n">
        <v>0.2012984997248491</v>
      </c>
    </row>
    <row r="225">
      <c r="A225" s="56" t="n">
        <v>2349249</v>
      </c>
      <c r="B225" s="56" t="inlineStr">
        <is>
          <t>TUB-O-N-AUT-AW--22.23X1.600X1.3380</t>
        </is>
      </c>
      <c r="C225" s="56" t="inlineStr">
        <is>
          <t>4C11AH1050</t>
        </is>
      </c>
      <c r="D225" s="57" t="n">
        <v>2149.541</v>
      </c>
      <c r="E225" s="58" t="n">
        <v>2343</v>
      </c>
      <c r="F225" s="57" t="n">
        <v>2.343</v>
      </c>
      <c r="G225" s="56" t="inlineStr">
        <is>
          <t>KG</t>
        </is>
      </c>
      <c r="H225" s="56" t="inlineStr">
        <is>
          <t>R001</t>
        </is>
      </c>
      <c r="I225" s="56" t="inlineStr">
        <is>
          <t>0789</t>
        </is>
      </c>
      <c r="J225" s="56" t="inlineStr">
        <is>
          <t>2150</t>
        </is>
      </c>
      <c r="K225" s="57" t="n">
        <v>2876.965</v>
      </c>
      <c r="L225" s="56" t="inlineStr">
        <is>
          <t>9518390450/ 28</t>
        </is>
      </c>
      <c r="M225" s="56" t="inlineStr">
        <is>
          <t>28</t>
        </is>
      </c>
      <c r="N225" s="56" t="inlineStr">
        <is>
          <t>SRIKAM HITECH ENGINEERING PRIVATE L</t>
        </is>
      </c>
      <c r="O225" s="58" t="n">
        <v>30</v>
      </c>
      <c r="P225" s="59" t="inlineStr">
        <is>
          <t>0-30</t>
        </is>
      </c>
      <c r="Q225" s="56" t="inlineStr">
        <is>
          <t>Apoorv</t>
        </is>
      </c>
      <c r="U225" s="585" t="n">
        <v>3676022</v>
      </c>
      <c r="V225" t="n">
        <v>19</v>
      </c>
      <c r="W225" t="n">
        <v>19</v>
      </c>
      <c r="X225" t="n">
        <v>1.2</v>
      </c>
      <c r="Y225" t="n">
        <v>0.3</v>
      </c>
      <c r="Z225" t="inlineStr">
        <is>
          <t>TE13</t>
        </is>
      </c>
      <c r="AA225" t="inlineStr">
        <is>
          <t>PE</t>
        </is>
      </c>
      <c r="AB225" t="inlineStr">
        <is>
          <t>AW</t>
        </is>
      </c>
      <c r="AC225" t="inlineStr">
        <is>
          <t>check for ALF</t>
        </is>
      </c>
      <c r="AD225" t="inlineStr">
        <is>
          <t>CTL</t>
        </is>
      </c>
      <c r="AE225" t="inlineStr">
        <is>
          <t>check for ALF-0.3</t>
        </is>
      </c>
      <c r="AF225" t="n">
        <v>0.2040187497211308</v>
      </c>
    </row>
    <row r="226">
      <c r="A226" s="56" t="n">
        <v>2356405</v>
      </c>
      <c r="B226" s="56" t="inlineStr">
        <is>
          <t>TUB-O-N-AUT-AW-PE-57.15X2.500X5.7500</t>
        </is>
      </c>
      <c r="C226" s="56" t="inlineStr">
        <is>
          <t>4C25CH2200</t>
        </is>
      </c>
      <c r="D226" s="57" t="n">
        <v>15.257</v>
      </c>
      <c r="E226" s="57" t="n">
        <v>295.687</v>
      </c>
      <c r="F226" s="57" t="n">
        <v>0.295687</v>
      </c>
      <c r="G226" s="56" t="inlineStr">
        <is>
          <t>KG</t>
        </is>
      </c>
      <c r="H226" s="56" t="inlineStr">
        <is>
          <t>R001</t>
        </is>
      </c>
      <c r="I226" s="56" t="inlineStr">
        <is>
          <t>0789</t>
        </is>
      </c>
      <c r="J226" s="56" t="inlineStr">
        <is>
          <t>70</t>
        </is>
      </c>
      <c r="K226" s="57" t="n">
        <v>87.72499999999999</v>
      </c>
      <c r="L226" s="56" t="inlineStr">
        <is>
          <t>9518359453/ 1</t>
        </is>
      </c>
      <c r="M226" s="56" t="inlineStr">
        <is>
          <t>1</t>
        </is>
      </c>
      <c r="N226" s="56" t="inlineStr">
        <is>
          <t>MEGH STEELS PRIVATE LIMITED - TVS A</t>
        </is>
      </c>
      <c r="O226" s="58" t="n">
        <v>16</v>
      </c>
      <c r="P226" s="59" t="inlineStr">
        <is>
          <t>0-30</t>
        </is>
      </c>
      <c r="Q226" s="56" t="inlineStr">
        <is>
          <t>Apoorv</t>
        </is>
      </c>
      <c r="U226" s="585" t="n">
        <v>3676023</v>
      </c>
      <c r="V226" t="n">
        <v>19</v>
      </c>
      <c r="W226" t="n">
        <v>19</v>
      </c>
      <c r="X226" t="n">
        <v>1.2</v>
      </c>
      <c r="Y226" t="n">
        <v>0.305</v>
      </c>
      <c r="Z226" t="inlineStr">
        <is>
          <t>TE13</t>
        </is>
      </c>
      <c r="AA226" t="inlineStr">
        <is>
          <t>PE</t>
        </is>
      </c>
      <c r="AB226" t="inlineStr">
        <is>
          <t>AW</t>
        </is>
      </c>
      <c r="AC226" t="inlineStr">
        <is>
          <t>check for ALF</t>
        </is>
      </c>
      <c r="AD226" t="inlineStr">
        <is>
          <t>CTL</t>
        </is>
      </c>
      <c r="AE226" t="inlineStr">
        <is>
          <t>check for ALF-0.305</t>
        </is>
      </c>
      <c r="AF226" t="n">
        <v>0.207419062216483</v>
      </c>
    </row>
    <row r="227">
      <c r="A227" s="56" t="n">
        <v>2356405</v>
      </c>
      <c r="B227" s="56" t="inlineStr">
        <is>
          <t>TUB-O-N-AUT-AW-PE-57.15X2.500X5.7500</t>
        </is>
      </c>
      <c r="C227" s="56" t="inlineStr">
        <is>
          <t>4C25CH2210</t>
        </is>
      </c>
      <c r="D227" s="57" t="n">
        <v>44.888</v>
      </c>
      <c r="E227" s="57" t="n">
        <v>869.973</v>
      </c>
      <c r="F227" s="57" t="n">
        <v>0.869973</v>
      </c>
      <c r="G227" s="56" t="inlineStr">
        <is>
          <t>KG</t>
        </is>
      </c>
      <c r="H227" s="56" t="inlineStr">
        <is>
          <t>R001</t>
        </is>
      </c>
      <c r="I227" s="56" t="inlineStr">
        <is>
          <t>0789</t>
        </is>
      </c>
      <c r="J227" s="56" t="inlineStr">
        <is>
          <t>134</t>
        </is>
      </c>
      <c r="K227" s="57" t="n">
        <v>258.106</v>
      </c>
      <c r="L227" s="56" t="inlineStr">
        <is>
          <t>9518359453/ 1</t>
        </is>
      </c>
      <c r="M227" s="56" t="inlineStr">
        <is>
          <t>1</t>
        </is>
      </c>
      <c r="N227" s="56" t="inlineStr">
        <is>
          <t>MEGH STEELS PRIVATE LIMITED - TVS A</t>
        </is>
      </c>
      <c r="O227" s="58" t="n">
        <v>18</v>
      </c>
      <c r="P227" s="59" t="inlineStr">
        <is>
          <t>0-30</t>
        </is>
      </c>
      <c r="Q227" s="56" t="inlineStr">
        <is>
          <t>Apoorv</t>
        </is>
      </c>
      <c r="U227" s="585" t="n">
        <v>3676024</v>
      </c>
      <c r="V227" t="n">
        <v>19</v>
      </c>
      <c r="W227" t="n">
        <v>19</v>
      </c>
      <c r="X227" t="n">
        <v>1.2</v>
      </c>
      <c r="Y227" t="n">
        <v>0.319</v>
      </c>
      <c r="Z227" t="inlineStr">
        <is>
          <t>TE13</t>
        </is>
      </c>
      <c r="AA227" t="inlineStr">
        <is>
          <t>PE</t>
        </is>
      </c>
      <c r="AB227" t="inlineStr">
        <is>
          <t>AW</t>
        </is>
      </c>
      <c r="AC227" t="inlineStr">
        <is>
          <t>check for ALF</t>
        </is>
      </c>
      <c r="AD227" t="inlineStr">
        <is>
          <t>CTL</t>
        </is>
      </c>
      <c r="AE227" t="inlineStr">
        <is>
          <t>check for ALF-0.319</t>
        </is>
      </c>
      <c r="AF227" t="n">
        <v>0.2169399372034691</v>
      </c>
    </row>
    <row r="228">
      <c r="A228" s="56" t="n">
        <v>2356445</v>
      </c>
      <c r="B228" s="56" t="inlineStr">
        <is>
          <t>TUB-O-N-AUT-AW-PE-48.60X3.400X6.0500</t>
        </is>
      </c>
      <c r="C228" s="56" t="inlineStr">
        <is>
          <t>4510CH2070</t>
        </is>
      </c>
      <c r="D228" s="57" t="n">
        <v>7.716</v>
      </c>
      <c r="E228" s="58" t="n">
        <v>177</v>
      </c>
      <c r="F228" s="57" t="n">
        <v>0.177</v>
      </c>
      <c r="G228" s="56" t="inlineStr">
        <is>
          <t>KG</t>
        </is>
      </c>
      <c r="H228" s="56" t="inlineStr">
        <is>
          <t>R001</t>
        </is>
      </c>
      <c r="I228" s="56" t="inlineStr">
        <is>
          <t>0789</t>
        </is>
      </c>
      <c r="J228" s="56" t="inlineStr">
        <is>
          <t>113</t>
        </is>
      </c>
      <c r="K228" s="57" t="n">
        <v>46.686</v>
      </c>
      <c r="L228" s="56" t="inlineStr"/>
      <c r="M228" s="56" t="inlineStr">
        <is>
          <t>0</t>
        </is>
      </c>
      <c r="N228" s="56" t="inlineStr">
        <is>
          <t>MEGH STEELS PRIVATE LIMITED - TVS A</t>
        </is>
      </c>
      <c r="O228" s="58" t="n">
        <v>241</v>
      </c>
      <c r="P228" s="59" t="inlineStr">
        <is>
          <t>ABOVE 90</t>
        </is>
      </c>
      <c r="Q228" s="56" t="inlineStr">
        <is>
          <t>Apoorv</t>
        </is>
      </c>
      <c r="U228" s="585" t="n">
        <v>3676025</v>
      </c>
      <c r="V228" t="n">
        <v>19</v>
      </c>
      <c r="W228" t="n">
        <v>19</v>
      </c>
      <c r="X228" t="n">
        <v>1.2</v>
      </c>
      <c r="Y228" t="n">
        <v>0.392</v>
      </c>
      <c r="Z228" t="inlineStr">
        <is>
          <t>TE13</t>
        </is>
      </c>
      <c r="AA228" t="inlineStr">
        <is>
          <t>PE</t>
        </is>
      </c>
      <c r="AB228" t="inlineStr">
        <is>
          <t>AW</t>
        </is>
      </c>
      <c r="AC228" t="inlineStr">
        <is>
          <t>check for ALF</t>
        </is>
      </c>
      <c r="AD228" t="inlineStr">
        <is>
          <t>CTL</t>
        </is>
      </c>
      <c r="AE228" t="inlineStr">
        <is>
          <t>check for ALF-0.392</t>
        </is>
      </c>
      <c r="AF228" t="n">
        <v>0.266584499635611</v>
      </c>
    </row>
    <row r="229">
      <c r="A229" s="56" t="n">
        <v>2385290</v>
      </c>
      <c r="B229" s="56" t="inlineStr">
        <is>
          <t>TUB-O-N-AUT-AW-FC-25.40X2.000X6.0000</t>
        </is>
      </c>
      <c r="C229" s="56" t="inlineStr">
        <is>
          <t>4A04CH2170</t>
        </is>
      </c>
      <c r="D229" s="57" t="n">
        <v>122.258</v>
      </c>
      <c r="E229" s="58" t="n">
        <v>847</v>
      </c>
      <c r="F229" s="57" t="n">
        <v>0.847</v>
      </c>
      <c r="G229" s="56" t="inlineStr">
        <is>
          <t>KG</t>
        </is>
      </c>
      <c r="H229" s="56" t="inlineStr">
        <is>
          <t>R001</t>
        </is>
      </c>
      <c r="I229" s="56" t="inlineStr">
        <is>
          <t>0789</t>
        </is>
      </c>
      <c r="J229" s="56" t="inlineStr">
        <is>
          <t>277</t>
        </is>
      </c>
      <c r="K229" s="57" t="n">
        <v>733.587</v>
      </c>
      <c r="L229" s="56" t="inlineStr"/>
      <c r="M229" s="56" t="inlineStr">
        <is>
          <t>0</t>
        </is>
      </c>
      <c r="N229" s="56" t="inlineStr">
        <is>
          <t>KNITVEL NEEDLES P LTD</t>
        </is>
      </c>
      <c r="O229" s="58" t="n">
        <v>100</v>
      </c>
      <c r="P229" s="59" t="inlineStr">
        <is>
          <t>ABOVE 90</t>
        </is>
      </c>
      <c r="Q229" s="56" t="inlineStr">
        <is>
          <t>Diwakar</t>
        </is>
      </c>
      <c r="U229" s="585" t="n">
        <v>3676026</v>
      </c>
      <c r="V229" t="n">
        <v>19</v>
      </c>
      <c r="W229" t="n">
        <v>19</v>
      </c>
      <c r="X229" t="n">
        <v>1.2</v>
      </c>
      <c r="Y229" t="n">
        <v>0.415</v>
      </c>
      <c r="Z229" t="inlineStr">
        <is>
          <t>TE13</t>
        </is>
      </c>
      <c r="AA229" t="inlineStr">
        <is>
          <t>PE</t>
        </is>
      </c>
      <c r="AB229" t="inlineStr">
        <is>
          <t>AW</t>
        </is>
      </c>
      <c r="AC229" t="inlineStr">
        <is>
          <t>check for ALF</t>
        </is>
      </c>
      <c r="AD229" t="inlineStr">
        <is>
          <t>CTL</t>
        </is>
      </c>
      <c r="AE229" t="inlineStr">
        <is>
          <t>check for ALF-0.415</t>
        </is>
      </c>
      <c r="AF229" t="n">
        <v>0.282225937114231</v>
      </c>
    </row>
    <row r="230">
      <c r="A230" s="56" t="n">
        <v>2386074</v>
      </c>
      <c r="B230" s="56" t="inlineStr">
        <is>
          <t>TUB-O-N-AUT-AW-PE-12.70X1.200X0.6000</t>
        </is>
      </c>
      <c r="C230" s="56" t="inlineStr">
        <is>
          <t>PV24030089</t>
        </is>
      </c>
      <c r="D230" s="57" t="n">
        <v>1989.283</v>
      </c>
      <c r="E230" s="57" t="n">
        <v>407.803</v>
      </c>
      <c r="F230" s="57" t="n">
        <v>0.407803</v>
      </c>
      <c r="G230" s="56" t="inlineStr">
        <is>
          <t>KG</t>
        </is>
      </c>
      <c r="H230" s="56" t="inlineStr">
        <is>
          <t>R001</t>
        </is>
      </c>
      <c r="I230" s="56" t="inlineStr">
        <is>
          <t>0789</t>
        </is>
      </c>
      <c r="J230" s="56" t="inlineStr"/>
      <c r="K230" s="57" t="n">
        <v>1197.659</v>
      </c>
      <c r="L230" s="56" t="inlineStr">
        <is>
          <t>9517814672/ 4</t>
        </is>
      </c>
      <c r="M230" s="56" t="inlineStr">
        <is>
          <t>4</t>
        </is>
      </c>
      <c r="N230" s="56" t="inlineStr">
        <is>
          <t>Sandhar Technologies (KA)–Unit-III</t>
        </is>
      </c>
      <c r="O230" s="58" t="n">
        <v>262</v>
      </c>
      <c r="P230" s="59" t="inlineStr">
        <is>
          <t>ABOVE 90</t>
        </is>
      </c>
      <c r="Q230" s="56" t="inlineStr">
        <is>
          <t>Jitendra Kumar Sharma</t>
        </is>
      </c>
      <c r="U230" s="585" t="n">
        <v>3676027</v>
      </c>
      <c r="V230" t="n">
        <v>19</v>
      </c>
      <c r="W230" t="n">
        <v>19</v>
      </c>
      <c r="X230" t="n">
        <v>1.2</v>
      </c>
      <c r="Y230" t="n">
        <v>0.46</v>
      </c>
      <c r="Z230" t="inlineStr">
        <is>
          <t>TE13</t>
        </is>
      </c>
      <c r="AA230" t="inlineStr">
        <is>
          <t>PE</t>
        </is>
      </c>
      <c r="AB230" t="inlineStr">
        <is>
          <t>AW</t>
        </is>
      </c>
      <c r="AC230" t="inlineStr">
        <is>
          <t>check for ALF</t>
        </is>
      </c>
      <c r="AD230" t="inlineStr">
        <is>
          <t>CTL</t>
        </is>
      </c>
      <c r="AE230" t="inlineStr">
        <is>
          <t>check for ALF-0.46</t>
        </is>
      </c>
      <c r="AF230" t="n">
        <v>0.3128287495724006</v>
      </c>
    </row>
    <row r="231">
      <c r="A231" s="56" t="n">
        <v>2402914</v>
      </c>
      <c r="B231" s="56" t="inlineStr">
        <is>
          <t>TUB-O-N-AUT-AW-FC-22.23X2.000X6.2250</t>
        </is>
      </c>
      <c r="C231" s="56" t="inlineStr">
        <is>
          <t>4918BH2070</t>
        </is>
      </c>
      <c r="D231" s="57" t="n">
        <v>84.004</v>
      </c>
      <c r="E231" s="58" t="n">
        <v>522</v>
      </c>
      <c r="F231" s="57" t="n">
        <v>0.522</v>
      </c>
      <c r="G231" s="56" t="inlineStr">
        <is>
          <t>KG</t>
        </is>
      </c>
      <c r="H231" s="56" t="inlineStr">
        <is>
          <t>R001</t>
        </is>
      </c>
      <c r="I231" s="56" t="inlineStr">
        <is>
          <t>0789</t>
        </is>
      </c>
      <c r="J231" s="56" t="inlineStr">
        <is>
          <t>193</t>
        </is>
      </c>
      <c r="K231" s="57" t="n">
        <v>522.941</v>
      </c>
      <c r="L231" s="56" t="inlineStr"/>
      <c r="M231" s="56" t="inlineStr">
        <is>
          <t>0</t>
        </is>
      </c>
      <c r="N231" s="56" t="inlineStr">
        <is>
          <t>MEGH STEELS PRIVATE LIMITED - TVS A</t>
        </is>
      </c>
      <c r="O231" s="58" t="n">
        <v>116</v>
      </c>
      <c r="P231" s="59" t="inlineStr">
        <is>
          <t>ABOVE 90</t>
        </is>
      </c>
      <c r="Q231" s="56" t="inlineStr">
        <is>
          <t>Apoorv</t>
        </is>
      </c>
      <c r="U231" s="585" t="n">
        <v>3676028</v>
      </c>
      <c r="V231" t="n">
        <v>19</v>
      </c>
      <c r="W231" t="n">
        <v>19</v>
      </c>
      <c r="X231" t="n">
        <v>1.2</v>
      </c>
      <c r="Y231" t="n">
        <v>0.503</v>
      </c>
      <c r="Z231" t="inlineStr">
        <is>
          <t>TE13</t>
        </is>
      </c>
      <c r="AA231" t="inlineStr">
        <is>
          <t>PE</t>
        </is>
      </c>
      <c r="AB231" t="inlineStr">
        <is>
          <t>AW</t>
        </is>
      </c>
      <c r="AC231" t="inlineStr">
        <is>
          <t>check for ALF</t>
        </is>
      </c>
      <c r="AD231" t="inlineStr">
        <is>
          <t>CTL</t>
        </is>
      </c>
      <c r="AE231" t="inlineStr">
        <is>
          <t>check for ALF-0.503</t>
        </is>
      </c>
      <c r="AF231" t="n">
        <v>0.3420714370324294</v>
      </c>
    </row>
    <row r="232">
      <c r="A232" s="56" t="n">
        <v>2403383</v>
      </c>
      <c r="B232" s="56" t="inlineStr">
        <is>
          <t>TUB-O-N-AUT-AW-PE-19.05X2.000X0.4750</t>
        </is>
      </c>
      <c r="C232" s="56" t="inlineStr">
        <is>
          <t>4A26CH2100</t>
        </is>
      </c>
      <c r="D232" s="57" t="n">
        <v>676.5</v>
      </c>
      <c r="E232" s="57" t="n">
        <v>270.6</v>
      </c>
      <c r="F232" s="57" t="n">
        <v>0.2706</v>
      </c>
      <c r="G232" s="56" t="inlineStr">
        <is>
          <t>KG</t>
        </is>
      </c>
      <c r="H232" s="56" t="inlineStr">
        <is>
          <t>R001</t>
        </is>
      </c>
      <c r="I232" s="56" t="inlineStr">
        <is>
          <t>0789</t>
        </is>
      </c>
      <c r="J232" s="56" t="inlineStr">
        <is>
          <t>7500</t>
        </is>
      </c>
      <c r="K232" s="57" t="n">
        <v>321.645</v>
      </c>
      <c r="L232" s="56" t="inlineStr">
        <is>
          <t>9518080410/ 2</t>
        </is>
      </c>
      <c r="M232" s="56" t="inlineStr">
        <is>
          <t>2</t>
        </is>
      </c>
      <c r="N232" s="56" t="inlineStr">
        <is>
          <t>Rajsriya Automotive Ind.P.Ltd Unit-</t>
        </is>
      </c>
      <c r="O232" s="58" t="n">
        <v>69</v>
      </c>
      <c r="P232" s="59" t="inlineStr">
        <is>
          <t>61-90</t>
        </is>
      </c>
      <c r="Q232" s="56" t="inlineStr">
        <is>
          <t>Apoorv</t>
        </is>
      </c>
      <c r="U232" s="585" t="n">
        <v>3676029</v>
      </c>
      <c r="V232" t="n">
        <v>19</v>
      </c>
      <c r="W232" t="n">
        <v>19</v>
      </c>
      <c r="X232" t="n">
        <v>1.2</v>
      </c>
      <c r="Y232" t="n">
        <v>0.507</v>
      </c>
      <c r="Z232" t="inlineStr">
        <is>
          <t>TE13</t>
        </is>
      </c>
      <c r="AA232" t="inlineStr">
        <is>
          <t>PE</t>
        </is>
      </c>
      <c r="AB232" t="inlineStr">
        <is>
          <t>AW</t>
        </is>
      </c>
      <c r="AC232" t="inlineStr">
        <is>
          <t>check for ALF</t>
        </is>
      </c>
      <c r="AD232" t="inlineStr">
        <is>
          <t>CTL</t>
        </is>
      </c>
      <c r="AE232" t="inlineStr">
        <is>
          <t>check for ALF-0.507</t>
        </is>
      </c>
      <c r="AF232" t="n">
        <v>0.3447916870287111</v>
      </c>
    </row>
    <row r="233">
      <c r="A233" s="56" t="n">
        <v>2403383</v>
      </c>
      <c r="B233" s="56" t="inlineStr">
        <is>
          <t>TUB-O-N-AUT-AW-PE-19.05X2.000X0.4750</t>
        </is>
      </c>
      <c r="C233" s="56" t="inlineStr">
        <is>
          <t>4C18H39963</t>
        </is>
      </c>
      <c r="D233" s="57" t="n">
        <v>235</v>
      </c>
      <c r="E233" s="58" t="n">
        <v>94</v>
      </c>
      <c r="F233" s="57" t="n">
        <v>0.094</v>
      </c>
      <c r="G233" s="56" t="inlineStr">
        <is>
          <t>KG</t>
        </is>
      </c>
      <c r="H233" s="56" t="inlineStr">
        <is>
          <t>R001</t>
        </is>
      </c>
      <c r="I233" s="56" t="inlineStr">
        <is>
          <t>0789</t>
        </is>
      </c>
      <c r="J233" s="56" t="inlineStr">
        <is>
          <t>235</t>
        </is>
      </c>
      <c r="K233" s="57" t="n">
        <v>111.732</v>
      </c>
      <c r="L233" s="56" t="inlineStr">
        <is>
          <t>9518314496/ 14</t>
        </is>
      </c>
      <c r="M233" s="56" t="inlineStr">
        <is>
          <t>14</t>
        </is>
      </c>
      <c r="N233" s="56" t="inlineStr">
        <is>
          <t>RAJSRIYA AUTOMOTIVE IND. P LTD</t>
        </is>
      </c>
      <c r="O233" s="58" t="n">
        <v>26</v>
      </c>
      <c r="P233" s="59" t="inlineStr">
        <is>
          <t>0-30</t>
        </is>
      </c>
      <c r="Q233" s="56" t="inlineStr">
        <is>
          <t>Apoorv</t>
        </is>
      </c>
      <c r="U233" s="585" t="n">
        <v>3676030</v>
      </c>
      <c r="V233" t="n">
        <v>19</v>
      </c>
      <c r="W233" t="n">
        <v>19</v>
      </c>
      <c r="X233" t="n">
        <v>1.2</v>
      </c>
      <c r="Y233" t="n">
        <v>0.545</v>
      </c>
      <c r="Z233" t="inlineStr">
        <is>
          <t>TE13</t>
        </is>
      </c>
      <c r="AA233" t="inlineStr">
        <is>
          <t>PE</t>
        </is>
      </c>
      <c r="AB233" t="inlineStr">
        <is>
          <t>AW</t>
        </is>
      </c>
      <c r="AC233" t="inlineStr">
        <is>
          <t>check for ALF</t>
        </is>
      </c>
      <c r="AD233" t="inlineStr">
        <is>
          <t>CTL</t>
        </is>
      </c>
      <c r="AE233" t="inlineStr">
        <is>
          <t>check for ALF-0.545</t>
        </is>
      </c>
      <c r="AF233" t="n">
        <v>0.3706340619933877</v>
      </c>
    </row>
    <row r="234">
      <c r="A234" s="56" t="n">
        <v>2403386</v>
      </c>
      <c r="B234" s="56" t="inlineStr">
        <is>
          <t>TUB-O-N-AUT-AW-PE-19.05X2.000X0.3580</t>
        </is>
      </c>
      <c r="C234" s="56" t="inlineStr">
        <is>
          <t>4825CH2090</t>
        </is>
      </c>
      <c r="D234" s="57" t="n">
        <v>707.172</v>
      </c>
      <c r="E234" s="57" t="n">
        <v>213.566</v>
      </c>
      <c r="F234" s="57" t="n">
        <v>0.213566</v>
      </c>
      <c r="G234" s="56" t="inlineStr">
        <is>
          <t>KG</t>
        </is>
      </c>
      <c r="H234" s="56" t="inlineStr">
        <is>
          <t>R001</t>
        </is>
      </c>
      <c r="I234" s="56" t="inlineStr">
        <is>
          <t>0789</t>
        </is>
      </c>
      <c r="J234" s="56" t="inlineStr">
        <is>
          <t>9900</t>
        </is>
      </c>
      <c r="K234" s="57" t="n">
        <v>253.852</v>
      </c>
      <c r="L234" s="56" t="inlineStr">
        <is>
          <t>9518229392/ 13</t>
        </is>
      </c>
      <c r="M234" s="56" t="inlineStr">
        <is>
          <t>13</t>
        </is>
      </c>
      <c r="N234" s="56" t="inlineStr">
        <is>
          <t>Rajsriya Automotive Industries</t>
        </is>
      </c>
      <c r="O234" s="58" t="n">
        <v>136</v>
      </c>
      <c r="P234" s="59" t="inlineStr">
        <is>
          <t>ABOVE 90</t>
        </is>
      </c>
      <c r="Q234" s="56" t="inlineStr">
        <is>
          <t>Apoorv</t>
        </is>
      </c>
      <c r="U234" s="585" t="n">
        <v>3676031</v>
      </c>
      <c r="V234" t="n">
        <v>19</v>
      </c>
      <c r="W234" t="n">
        <v>19</v>
      </c>
      <c r="X234" t="n">
        <v>1.2</v>
      </c>
      <c r="Y234" t="n">
        <v>0.59</v>
      </c>
      <c r="Z234" t="inlineStr">
        <is>
          <t>TE13</t>
        </is>
      </c>
      <c r="AA234" t="inlineStr">
        <is>
          <t>PE</t>
        </is>
      </c>
      <c r="AB234" t="inlineStr">
        <is>
          <t>AW</t>
        </is>
      </c>
      <c r="AC234" t="inlineStr">
        <is>
          <t>check for ALF</t>
        </is>
      </c>
      <c r="AD234" t="inlineStr">
        <is>
          <t>CTL</t>
        </is>
      </c>
      <c r="AE234" t="inlineStr">
        <is>
          <t>check for ALF-0.59</t>
        </is>
      </c>
      <c r="AF234" t="n">
        <v>0.4012368744515573</v>
      </c>
    </row>
    <row r="235">
      <c r="A235" s="56" t="n">
        <v>2403386</v>
      </c>
      <c r="B235" s="56" t="inlineStr">
        <is>
          <t>TUB-O-N-AUT-AW-PE-19.05X2.000X0.3580</t>
        </is>
      </c>
      <c r="C235" s="56" t="inlineStr">
        <is>
          <t>4928AH2100</t>
        </is>
      </c>
      <c r="D235" s="57" t="n">
        <v>1178.735</v>
      </c>
      <c r="E235" s="57" t="n">
        <v>355.978</v>
      </c>
      <c r="F235" s="57" t="n">
        <v>0.355978</v>
      </c>
      <c r="G235" s="56" t="inlineStr">
        <is>
          <t>KG</t>
        </is>
      </c>
      <c r="H235" s="56" t="inlineStr">
        <is>
          <t>R001</t>
        </is>
      </c>
      <c r="I235" s="56" t="inlineStr">
        <is>
          <t>0789</t>
        </is>
      </c>
      <c r="J235" s="56" t="inlineStr">
        <is>
          <t>4050</t>
        </is>
      </c>
      <c r="K235" s="57" t="n">
        <v>423.128</v>
      </c>
      <c r="L235" s="56" t="inlineStr">
        <is>
          <t>9518229392/ 13</t>
        </is>
      </c>
      <c r="M235" s="56" t="inlineStr">
        <is>
          <t>13</t>
        </is>
      </c>
      <c r="N235" s="56" t="inlineStr">
        <is>
          <t>Rajsriya Automotive Industries</t>
        </is>
      </c>
      <c r="O235" s="58" t="n">
        <v>86</v>
      </c>
      <c r="P235" s="59" t="inlineStr">
        <is>
          <t>61-90</t>
        </is>
      </c>
      <c r="Q235" s="56" t="inlineStr">
        <is>
          <t>Apoorv</t>
        </is>
      </c>
      <c r="U235" s="585" t="n">
        <v>3676032</v>
      </c>
      <c r="V235" t="n">
        <v>19</v>
      </c>
      <c r="W235" t="n">
        <v>19</v>
      </c>
      <c r="X235" t="n">
        <v>1.2</v>
      </c>
      <c r="Y235" t="n">
        <v>0.6</v>
      </c>
      <c r="Z235" t="inlineStr">
        <is>
          <t>TE13</t>
        </is>
      </c>
      <c r="AA235" t="inlineStr">
        <is>
          <t>PE</t>
        </is>
      </c>
      <c r="AB235" t="inlineStr">
        <is>
          <t>AW</t>
        </is>
      </c>
      <c r="AC235" t="inlineStr">
        <is>
          <t>check for ALF</t>
        </is>
      </c>
      <c r="AD235" t="inlineStr">
        <is>
          <t>CTL</t>
        </is>
      </c>
      <c r="AE235" t="inlineStr">
        <is>
          <t>check for ALF-0.6</t>
        </is>
      </c>
      <c r="AF235" t="n">
        <v>0.4080374994422617</v>
      </c>
    </row>
    <row r="236">
      <c r="A236" s="56" t="n">
        <v>2403386</v>
      </c>
      <c r="B236" s="56" t="inlineStr">
        <is>
          <t>TUB-O-N-AUT-AW-PE-19.05X2.000X0.3580</t>
        </is>
      </c>
      <c r="C236" s="56" t="inlineStr">
        <is>
          <t>4A14H35320</t>
        </is>
      </c>
      <c r="D236" s="57" t="n">
        <v>2493.377</v>
      </c>
      <c r="E236" s="58" t="n">
        <v>753</v>
      </c>
      <c r="F236" s="57" t="n">
        <v>0.753</v>
      </c>
      <c r="G236" s="56" t="inlineStr">
        <is>
          <t>KG</t>
        </is>
      </c>
      <c r="H236" s="56" t="inlineStr">
        <is>
          <t>R001</t>
        </is>
      </c>
      <c r="I236" s="56" t="inlineStr">
        <is>
          <t>0789</t>
        </is>
      </c>
      <c r="J236" s="56" t="inlineStr">
        <is>
          <t>2500</t>
        </is>
      </c>
      <c r="K236" s="57" t="n">
        <v>895.043</v>
      </c>
      <c r="L236" s="56" t="inlineStr">
        <is>
          <t>9518229392/ 13</t>
        </is>
      </c>
      <c r="M236" s="56" t="inlineStr">
        <is>
          <t>13</t>
        </is>
      </c>
      <c r="N236" s="56" t="inlineStr">
        <is>
          <t>Rajsriya Automotive Industries</t>
        </is>
      </c>
      <c r="O236" s="58" t="n">
        <v>86</v>
      </c>
      <c r="P236" s="59" t="inlineStr">
        <is>
          <t>61-90</t>
        </is>
      </c>
      <c r="Q236" s="56" t="inlineStr">
        <is>
          <t>Apoorv</t>
        </is>
      </c>
      <c r="U236" s="585" t="n">
        <v>3676033</v>
      </c>
      <c r="V236" t="n">
        <v>19</v>
      </c>
      <c r="W236" t="n">
        <v>19</v>
      </c>
      <c r="X236" t="n">
        <v>1.2</v>
      </c>
      <c r="Y236" t="n">
        <v>0.858</v>
      </c>
      <c r="Z236" t="inlineStr">
        <is>
          <t>TE13</t>
        </is>
      </c>
      <c r="AA236" t="inlineStr">
        <is>
          <t>PE</t>
        </is>
      </c>
      <c r="AB236" t="inlineStr">
        <is>
          <t>AW</t>
        </is>
      </c>
      <c r="AC236" t="inlineStr">
        <is>
          <t>check for ALF</t>
        </is>
      </c>
      <c r="AD236" t="inlineStr">
        <is>
          <t>CTL</t>
        </is>
      </c>
      <c r="AE236" t="inlineStr">
        <is>
          <t>check for ALF-0.858</t>
        </is>
      </c>
      <c r="AF236" t="n">
        <v>0.5834936242024342</v>
      </c>
    </row>
    <row r="237">
      <c r="A237" s="56" t="n">
        <v>2403386</v>
      </c>
      <c r="B237" s="56" t="inlineStr">
        <is>
          <t>TUB-O-N-AUT-AW-PE-19.05X2.000X0.3580</t>
        </is>
      </c>
      <c r="C237" s="56" t="inlineStr">
        <is>
          <t>4B30H38946</t>
        </is>
      </c>
      <c r="D237" s="57" t="n">
        <v>1496.689</v>
      </c>
      <c r="E237" s="58" t="n">
        <v>452</v>
      </c>
      <c r="F237" s="57" t="n">
        <v>0.452</v>
      </c>
      <c r="G237" s="56" t="inlineStr">
        <is>
          <t>KG</t>
        </is>
      </c>
      <c r="H237" s="56" t="inlineStr">
        <is>
          <t>R001</t>
        </is>
      </c>
      <c r="I237" s="56" t="inlineStr">
        <is>
          <t>0789</t>
        </is>
      </c>
      <c r="J237" s="56" t="inlineStr"/>
      <c r="K237" s="57" t="n">
        <v>537.264</v>
      </c>
      <c r="L237" s="56" t="inlineStr">
        <is>
          <t>9518229392/ 13</t>
        </is>
      </c>
      <c r="M237" s="56" t="inlineStr">
        <is>
          <t>13</t>
        </is>
      </c>
      <c r="N237" s="56" t="inlineStr">
        <is>
          <t>Rajsriya Automotive Industries</t>
        </is>
      </c>
      <c r="O237" s="58" t="n">
        <v>44</v>
      </c>
      <c r="P237" s="59" t="inlineStr">
        <is>
          <t>31-60</t>
        </is>
      </c>
      <c r="Q237" s="56" t="inlineStr">
        <is>
          <t>Apoorv</t>
        </is>
      </c>
      <c r="U237" s="585" t="n">
        <v>3676034</v>
      </c>
      <c r="V237" t="n">
        <v>19</v>
      </c>
      <c r="W237" t="n">
        <v>19</v>
      </c>
      <c r="X237" t="n">
        <v>1.2</v>
      </c>
      <c r="Y237" t="n">
        <v>1.058</v>
      </c>
      <c r="Z237" t="inlineStr">
        <is>
          <t>TE13</t>
        </is>
      </c>
      <c r="AA237" t="inlineStr">
        <is>
          <t>PE</t>
        </is>
      </c>
      <c r="AB237" t="inlineStr">
        <is>
          <t>AW</t>
        </is>
      </c>
      <c r="AC237" t="inlineStr">
        <is>
          <t>check for ALF</t>
        </is>
      </c>
      <c r="AD237" t="inlineStr">
        <is>
          <t>CTL</t>
        </is>
      </c>
      <c r="AE237" t="inlineStr">
        <is>
          <t>check for ALF-1.058</t>
        </is>
      </c>
      <c r="AF237" t="n">
        <v>0.7195061240165215</v>
      </c>
    </row>
    <row r="238">
      <c r="A238" s="56" t="n">
        <v>2403386</v>
      </c>
      <c r="B238" s="56" t="inlineStr">
        <is>
          <t>TUB-O-N-AUT-AW-PE-19.05X2.000X0.3580</t>
        </is>
      </c>
      <c r="C238" s="56" t="inlineStr">
        <is>
          <t>4B25H38374</t>
        </is>
      </c>
      <c r="D238" s="57" t="n">
        <v>2741.722</v>
      </c>
      <c r="E238" s="58" t="n">
        <v>828</v>
      </c>
      <c r="F238" s="57" t="n">
        <v>0.828</v>
      </c>
      <c r="G238" s="56" t="inlineStr">
        <is>
          <t>KG</t>
        </is>
      </c>
      <c r="H238" s="56" t="inlineStr">
        <is>
          <t>R001</t>
        </is>
      </c>
      <c r="I238" s="56" t="inlineStr">
        <is>
          <t>0789</t>
        </is>
      </c>
      <c r="J238" s="56" t="inlineStr">
        <is>
          <t>2750</t>
        </is>
      </c>
      <c r="K238" s="57" t="n">
        <v>984.191</v>
      </c>
      <c r="L238" s="56" t="inlineStr">
        <is>
          <t>9518314496/ 13</t>
        </is>
      </c>
      <c r="M238" s="56" t="inlineStr">
        <is>
          <t>13</t>
        </is>
      </c>
      <c r="N238" s="56" t="inlineStr">
        <is>
          <t>RAJSRIYA AUTOMOTIVE IND. P LTD</t>
        </is>
      </c>
      <c r="O238" s="58" t="n">
        <v>26</v>
      </c>
      <c r="P238" s="59" t="inlineStr">
        <is>
          <t>0-30</t>
        </is>
      </c>
      <c r="Q238" s="56" t="inlineStr">
        <is>
          <t>Apoorv</t>
        </is>
      </c>
      <c r="U238" s="585" t="n">
        <v>3676035</v>
      </c>
      <c r="V238" t="n">
        <v>19</v>
      </c>
      <c r="W238" t="n">
        <v>19</v>
      </c>
      <c r="X238" t="n">
        <v>1.2</v>
      </c>
      <c r="Y238" t="n">
        <v>1.52</v>
      </c>
      <c r="Z238" t="inlineStr">
        <is>
          <t>TE13</t>
        </is>
      </c>
      <c r="AA238" t="inlineStr">
        <is>
          <t>PE</t>
        </is>
      </c>
      <c r="AB238" t="inlineStr">
        <is>
          <t>AW</t>
        </is>
      </c>
      <c r="AC238" t="inlineStr">
        <is>
          <t>check for ALF</t>
        </is>
      </c>
      <c r="AD238" t="inlineStr">
        <is>
          <t>CTL</t>
        </is>
      </c>
      <c r="AE238" t="inlineStr">
        <is>
          <t>check for ALF-1.52</t>
        </is>
      </c>
      <c r="AF238" t="n">
        <v>1.033694998587063</v>
      </c>
    </row>
    <row r="239">
      <c r="A239" s="56" t="n">
        <v>2403386</v>
      </c>
      <c r="B239" s="56" t="inlineStr">
        <is>
          <t>TUB-O-N-AUT-AW-PE-19.05X2.000X0.3580</t>
        </is>
      </c>
      <c r="C239" s="56" t="inlineStr">
        <is>
          <t>4C17H39900</t>
        </is>
      </c>
      <c r="D239" s="57" t="n">
        <v>798.013</v>
      </c>
      <c r="E239" s="58" t="n">
        <v>241</v>
      </c>
      <c r="F239" s="57" t="n">
        <v>0.241</v>
      </c>
      <c r="G239" s="56" t="inlineStr">
        <is>
          <t>KG</t>
        </is>
      </c>
      <c r="H239" s="56" t="inlineStr">
        <is>
          <t>R001</t>
        </is>
      </c>
      <c r="I239" s="56" t="inlineStr">
        <is>
          <t>0789</t>
        </is>
      </c>
      <c r="J239" s="56" t="inlineStr">
        <is>
          <t>800</t>
        </is>
      </c>
      <c r="K239" s="57" t="n">
        <v>286.461</v>
      </c>
      <c r="L239" s="56" t="inlineStr">
        <is>
          <t>9518314496/ 13</t>
        </is>
      </c>
      <c r="M239" s="56" t="inlineStr">
        <is>
          <t>13</t>
        </is>
      </c>
      <c r="N239" s="56" t="inlineStr">
        <is>
          <t>RAJSRIYA AUTOMOTIVE IND. P LTD</t>
        </is>
      </c>
      <c r="O239" s="58" t="n">
        <v>26</v>
      </c>
      <c r="P239" s="59" t="inlineStr">
        <is>
          <t>0-30</t>
        </is>
      </c>
      <c r="Q239" s="56" t="inlineStr">
        <is>
          <t>Apoorv</t>
        </is>
      </c>
      <c r="U239" s="585" t="n">
        <v>3676036</v>
      </c>
      <c r="V239" t="n">
        <v>19</v>
      </c>
      <c r="W239" t="n">
        <v>19</v>
      </c>
      <c r="X239" t="n">
        <v>1.2</v>
      </c>
      <c r="Y239" t="n">
        <v>1.73</v>
      </c>
      <c r="Z239" t="inlineStr">
        <is>
          <t>TE13</t>
        </is>
      </c>
      <c r="AA239" t="inlineStr">
        <is>
          <t>PE</t>
        </is>
      </c>
      <c r="AB239" t="inlineStr">
        <is>
          <t>AW</t>
        </is>
      </c>
      <c r="AC239" t="inlineStr">
        <is>
          <t>check for ALF</t>
        </is>
      </c>
      <c r="AD239" t="inlineStr">
        <is>
          <t>CTL</t>
        </is>
      </c>
      <c r="AE239" t="inlineStr">
        <is>
          <t>check for ALF-1.73</t>
        </is>
      </c>
      <c r="AF239" t="n">
        <v>1.176508123391855</v>
      </c>
    </row>
    <row r="240">
      <c r="A240" s="56" t="n">
        <v>2409618</v>
      </c>
      <c r="B240" s="56" t="inlineStr">
        <is>
          <t>TUB-O-N-AUT-AW-PE-25.40X1.600X2.5900</t>
        </is>
      </c>
      <c r="C240" s="56" t="inlineStr">
        <is>
          <t>SEN25010R1</t>
        </is>
      </c>
      <c r="D240" s="57" t="n">
        <v>29</v>
      </c>
      <c r="E240" s="57" t="n">
        <v>70.586</v>
      </c>
      <c r="F240" s="57" t="n">
        <v>0.070586</v>
      </c>
      <c r="G240" s="56" t="inlineStr">
        <is>
          <t>KG</t>
        </is>
      </c>
      <c r="H240" s="56" t="inlineStr">
        <is>
          <t>R001</t>
        </is>
      </c>
      <c r="I240" s="56" t="inlineStr">
        <is>
          <t>0789</t>
        </is>
      </c>
      <c r="J240" s="56" t="inlineStr"/>
      <c r="K240" s="57" t="n">
        <v>75.131</v>
      </c>
      <c r="L240" s="56" t="inlineStr">
        <is>
          <t>9518397519/ 11</t>
        </is>
      </c>
      <c r="M240" s="56" t="inlineStr">
        <is>
          <t>11</t>
        </is>
      </c>
      <c r="N240" s="56" t="inlineStr">
        <is>
          <t>BALAJI PRESS PRODUCTS INDIA</t>
        </is>
      </c>
      <c r="O240" s="58" t="n">
        <v>6</v>
      </c>
      <c r="P240" s="59" t="inlineStr">
        <is>
          <t>0-30</t>
        </is>
      </c>
      <c r="Q240" s="56" t="inlineStr">
        <is>
          <t>Jitendra Kumar Sharma</t>
        </is>
      </c>
      <c r="U240" s="585" t="n">
        <v>3576136</v>
      </c>
      <c r="V240" t="n">
        <v>19</v>
      </c>
      <c r="W240" t="n">
        <v>19</v>
      </c>
      <c r="X240" t="n">
        <v>1.2</v>
      </c>
      <c r="Y240" t="n">
        <v>5.66</v>
      </c>
      <c r="Z240" t="inlineStr">
        <is>
          <t>CRFH</t>
        </is>
      </c>
      <c r="AA240" t="inlineStr">
        <is>
          <t>PE</t>
        </is>
      </c>
      <c r="AB240" t="inlineStr">
        <is>
          <t>AW</t>
        </is>
      </c>
      <c r="AC240" t="inlineStr">
        <is>
          <t>19-19-1.2-CRFH-PE</t>
        </is>
      </c>
      <c r="AD240" t="inlineStr">
        <is>
          <t>LL</t>
        </is>
      </c>
      <c r="AE240" t="inlineStr">
        <is>
          <t>19-19-1.2-CRFH-PE-1</t>
        </is>
      </c>
      <c r="AF240" t="n">
        <v>0.6800624990704361</v>
      </c>
    </row>
    <row r="241">
      <c r="A241" s="56" t="n">
        <v>2413708</v>
      </c>
      <c r="B241" s="56" t="inlineStr">
        <is>
          <t>TUB-O-N-AUT-AW-PE-22.23X2.000X0.8150</t>
        </is>
      </c>
      <c r="C241" s="56" t="inlineStr">
        <is>
          <t>4B12CH2110</t>
        </is>
      </c>
      <c r="D241" s="57" t="n">
        <v>290.666</v>
      </c>
      <c r="E241" s="57" t="n">
        <v>236.602</v>
      </c>
      <c r="F241" s="57" t="n">
        <v>0.236602</v>
      </c>
      <c r="G241" s="56" t="inlineStr">
        <is>
          <t>KG</t>
        </is>
      </c>
      <c r="H241" s="56" t="inlineStr">
        <is>
          <t>R001</t>
        </is>
      </c>
      <c r="I241" s="56" t="inlineStr">
        <is>
          <t>0789</t>
        </is>
      </c>
      <c r="J241" s="56" t="inlineStr">
        <is>
          <t>2850</t>
        </is>
      </c>
      <c r="K241" s="57" t="n">
        <v>237.029</v>
      </c>
      <c r="L241" s="56" t="inlineStr">
        <is>
          <t>9518314382/ 17</t>
        </is>
      </c>
      <c r="M241" s="56" t="inlineStr">
        <is>
          <t>17</t>
        </is>
      </c>
      <c r="N241" s="56" t="inlineStr">
        <is>
          <t>Neel Metal Products Limited</t>
        </is>
      </c>
      <c r="O241" s="58" t="n">
        <v>16</v>
      </c>
      <c r="P241" s="59" t="inlineStr">
        <is>
          <t>0-30</t>
        </is>
      </c>
      <c r="Q241" s="56" t="inlineStr">
        <is>
          <t>Apoorv</t>
        </is>
      </c>
      <c r="U241" s="585" t="n">
        <v>3432217</v>
      </c>
      <c r="V241" t="n">
        <v>19</v>
      </c>
      <c r="W241" t="n">
        <v>19</v>
      </c>
      <c r="X241" t="n">
        <v>1.21</v>
      </c>
      <c r="Y241" t="n">
        <v>0.33</v>
      </c>
      <c r="Z241" t="inlineStr">
        <is>
          <t>CRFH</t>
        </is>
      </c>
      <c r="AA241" t="inlineStr">
        <is>
          <t>PE</t>
        </is>
      </c>
      <c r="AB241" t="inlineStr">
        <is>
          <t>AW</t>
        </is>
      </c>
      <c r="AC241" t="inlineStr">
        <is>
          <t>19-19-1.2-CRFH-PE</t>
        </is>
      </c>
      <c r="AD241" t="inlineStr">
        <is>
          <t>CTL</t>
        </is>
      </c>
      <c r="AE241" t="inlineStr">
        <is>
          <t>19-19-1.2-CRFH-PE-0.33</t>
        </is>
      </c>
      <c r="AF241" t="n">
        <v>0.2261923731086876</v>
      </c>
    </row>
    <row r="242">
      <c r="A242" s="56" t="n">
        <v>2418687</v>
      </c>
      <c r="B242" s="56" t="inlineStr">
        <is>
          <t>TUB-O-N-AUT-AW-PE-22.23X1.600X0.8800</t>
        </is>
      </c>
      <c r="C242" s="56" t="inlineStr">
        <is>
          <t>5111H41404</t>
        </is>
      </c>
      <c r="D242" s="57" t="n">
        <v>1422.594</v>
      </c>
      <c r="E242" s="58" t="n">
        <v>1020</v>
      </c>
      <c r="F242" s="57" t="n">
        <v>1.02</v>
      </c>
      <c r="G242" s="56" t="inlineStr">
        <is>
          <t>KG</t>
        </is>
      </c>
      <c r="H242" s="56" t="inlineStr">
        <is>
          <t>R001</t>
        </is>
      </c>
      <c r="I242" s="56" t="inlineStr">
        <is>
          <t>0789</t>
        </is>
      </c>
      <c r="J242" s="56" t="inlineStr">
        <is>
          <t>1424</t>
        </is>
      </c>
      <c r="K242" s="57" t="n">
        <v>1252.456</v>
      </c>
      <c r="L242" s="56" t="inlineStr">
        <is>
          <t>9518314246/ 3</t>
        </is>
      </c>
      <c r="M242" s="56" t="inlineStr">
        <is>
          <t>3</t>
        </is>
      </c>
      <c r="N242" s="56" t="inlineStr">
        <is>
          <t>Metalman Auto Private Limited</t>
        </is>
      </c>
      <c r="O242" s="58" t="n">
        <v>2</v>
      </c>
      <c r="P242" s="59" t="inlineStr">
        <is>
          <t>0-30</t>
        </is>
      </c>
      <c r="Q242" s="56" t="inlineStr">
        <is>
          <t>Jitendra Kumar Sharma</t>
        </is>
      </c>
      <c r="U242" s="585" t="n">
        <v>2426140</v>
      </c>
      <c r="V242" t="n">
        <v>19.05</v>
      </c>
      <c r="W242" t="n">
        <v>0</v>
      </c>
      <c r="X242" t="n">
        <v>1</v>
      </c>
      <c r="Y242" t="n">
        <v>1.1</v>
      </c>
      <c r="Z242" t="inlineStr">
        <is>
          <t>WG</t>
        </is>
      </c>
      <c r="AA242" t="inlineStr">
        <is>
          <t>PE</t>
        </is>
      </c>
      <c r="AB242" t="inlineStr">
        <is>
          <t>AW</t>
        </is>
      </c>
      <c r="AC242" t="inlineStr">
        <is>
          <t>19.05-0-1-ERW 1-PE</t>
        </is>
      </c>
      <c r="AD242" t="inlineStr">
        <is>
          <t>CTL</t>
        </is>
      </c>
      <c r="AE242" t="inlineStr">
        <is>
          <t>19.05-0-1-ERW 1-PE-1.1</t>
        </is>
      </c>
      <c r="AF242" t="n">
        <v>0.489405895</v>
      </c>
    </row>
    <row r="243">
      <c r="A243" s="56" t="n">
        <v>2418687</v>
      </c>
      <c r="B243" s="56" t="inlineStr">
        <is>
          <t>TUB-O-N-AUT-AW-PE-22.23X1.600X0.8800</t>
        </is>
      </c>
      <c r="C243" s="56" t="inlineStr">
        <is>
          <t>4C12AH1010</t>
        </is>
      </c>
      <c r="D243" s="57" t="n">
        <v>1198.047</v>
      </c>
      <c r="E243" s="58" t="n">
        <v>859</v>
      </c>
      <c r="F243" s="57" t="n">
        <v>0.859</v>
      </c>
      <c r="G243" s="56" t="inlineStr">
        <is>
          <t>KG</t>
        </is>
      </c>
      <c r="H243" s="56" t="inlineStr">
        <is>
          <t>R001</t>
        </is>
      </c>
      <c r="I243" s="56" t="inlineStr">
        <is>
          <t>0789</t>
        </is>
      </c>
      <c r="J243" s="56" t="inlineStr">
        <is>
          <t>3200</t>
        </is>
      </c>
      <c r="K243" s="57" t="n">
        <v>1054.764</v>
      </c>
      <c r="L243" s="56" t="inlineStr">
        <is>
          <t>9518397670/ 3</t>
        </is>
      </c>
      <c r="M243" s="56" t="inlineStr">
        <is>
          <t>3</t>
        </is>
      </c>
      <c r="N243" s="56" t="inlineStr">
        <is>
          <t>Metalman Auto Private Limited</t>
        </is>
      </c>
      <c r="O243" s="58" t="n">
        <v>3</v>
      </c>
      <c r="P243" s="59" t="inlineStr">
        <is>
          <t>0-30</t>
        </is>
      </c>
      <c r="Q243" s="56" t="inlineStr">
        <is>
          <t>Jitendra Kumar Sharma</t>
        </is>
      </c>
      <c r="U243" s="585" t="n">
        <v>3635694</v>
      </c>
      <c r="V243" t="n">
        <v>19.05</v>
      </c>
      <c r="W243" t="n">
        <v>0</v>
      </c>
      <c r="X243" t="n">
        <v>1</v>
      </c>
      <c r="Y243" t="n">
        <v>1.2</v>
      </c>
      <c r="Z243" t="inlineStr">
        <is>
          <t>WG</t>
        </is>
      </c>
      <c r="AA243" t="inlineStr">
        <is>
          <t>PE</t>
        </is>
      </c>
      <c r="AB243" t="inlineStr">
        <is>
          <t>AW</t>
        </is>
      </c>
      <c r="AC243" t="inlineStr">
        <is>
          <t>19.05-0-1-ERW 1-PE</t>
        </is>
      </c>
      <c r="AD243" t="inlineStr">
        <is>
          <t>CTL</t>
        </is>
      </c>
      <c r="AE243" t="inlineStr">
        <is>
          <t>19.05-0-1-ERW 1-PE-1.2</t>
        </is>
      </c>
      <c r="AF243" t="n">
        <v>0.53389734</v>
      </c>
    </row>
    <row r="244">
      <c r="A244" s="56" t="n">
        <v>2420106</v>
      </c>
      <c r="B244" s="56" t="inlineStr">
        <is>
          <t>TUB-O-N-AUT-AW-PE-22.23X2.000X1.3250</t>
        </is>
      </c>
      <c r="C244" s="56" t="inlineStr">
        <is>
          <t>EXC2405013</t>
        </is>
      </c>
      <c r="D244" s="57" t="n">
        <v>145.215</v>
      </c>
      <c r="E244" s="57" t="n">
        <v>192.119</v>
      </c>
      <c r="F244" s="57" t="n">
        <v>0.192119</v>
      </c>
      <c r="G244" s="56" t="inlineStr">
        <is>
          <t>KG</t>
        </is>
      </c>
      <c r="H244" s="56" t="inlineStr">
        <is>
          <t>R001</t>
        </is>
      </c>
      <c r="I244" s="56" t="inlineStr">
        <is>
          <t>0789</t>
        </is>
      </c>
      <c r="J244" s="56" t="inlineStr"/>
      <c r="K244" s="57" t="n">
        <v>192.465</v>
      </c>
      <c r="L244" s="56" t="inlineStr">
        <is>
          <t>9518080369/ 4</t>
        </is>
      </c>
      <c r="M244" s="56" t="inlineStr">
        <is>
          <t>4</t>
        </is>
      </c>
      <c r="N244" s="56" t="inlineStr">
        <is>
          <t>Rajsriya Automotive Ind. Pvt Ltd</t>
        </is>
      </c>
      <c r="O244" s="58" t="n">
        <v>230</v>
      </c>
      <c r="P244" s="59" t="inlineStr">
        <is>
          <t>ABOVE 90</t>
        </is>
      </c>
      <c r="Q244" s="56" t="inlineStr">
        <is>
          <t>Apoorv</t>
        </is>
      </c>
      <c r="U244" t="n">
        <v>3672609</v>
      </c>
      <c r="V244" t="n">
        <v>19.05</v>
      </c>
      <c r="W244" t="n">
        <v>0</v>
      </c>
      <c r="X244" t="n">
        <v>1</v>
      </c>
      <c r="Y244" t="n">
        <v>1.2</v>
      </c>
      <c r="Z244" t="inlineStr">
        <is>
          <t>WG</t>
        </is>
      </c>
      <c r="AA244" t="inlineStr">
        <is>
          <t>PE</t>
        </is>
      </c>
      <c r="AB244" t="inlineStr">
        <is>
          <t>AW</t>
        </is>
      </c>
      <c r="AC244" t="inlineStr">
        <is>
          <t>19.05-0-1-ERW 1-PE</t>
        </is>
      </c>
      <c r="AD244" t="inlineStr">
        <is>
          <t>CTL</t>
        </is>
      </c>
      <c r="AE244" t="inlineStr">
        <is>
          <t>19.05-0-1-ERW 1-PE-1.2</t>
        </is>
      </c>
      <c r="AF244" t="n">
        <v>0.53389734</v>
      </c>
    </row>
    <row r="245">
      <c r="A245" s="56" t="n">
        <v>2420106</v>
      </c>
      <c r="B245" s="56" t="inlineStr">
        <is>
          <t>TUB-O-N-AUT-AW-PE-22.23X2.000X1.3250</t>
        </is>
      </c>
      <c r="C245" s="56" t="inlineStr">
        <is>
          <t>4C10H39392</t>
        </is>
      </c>
      <c r="D245" s="57" t="n">
        <v>1624.339</v>
      </c>
      <c r="E245" s="58" t="n">
        <v>2149</v>
      </c>
      <c r="F245" s="57" t="n">
        <v>2.149</v>
      </c>
      <c r="G245" s="56" t="inlineStr">
        <is>
          <t>KG</t>
        </is>
      </c>
      <c r="H245" s="56" t="inlineStr">
        <is>
          <t>R001</t>
        </is>
      </c>
      <c r="I245" s="56" t="inlineStr">
        <is>
          <t>0789</t>
        </is>
      </c>
      <c r="J245" s="56" t="inlineStr">
        <is>
          <t>1625</t>
        </is>
      </c>
      <c r="K245" s="57" t="n">
        <v>2152.875</v>
      </c>
      <c r="L245" s="56" t="inlineStr">
        <is>
          <t>9518135820/ 28</t>
        </is>
      </c>
      <c r="M245" s="56" t="inlineStr">
        <is>
          <t>28</t>
        </is>
      </c>
      <c r="N245" s="56" t="inlineStr">
        <is>
          <t>RAJSRIYA AUTOMOTIVE IND. P LTD</t>
        </is>
      </c>
      <c r="O245" s="58" t="n">
        <v>34</v>
      </c>
      <c r="P245" s="59" t="inlineStr">
        <is>
          <t>31-60</t>
        </is>
      </c>
      <c r="Q245" s="56" t="inlineStr">
        <is>
          <t>Apoorv</t>
        </is>
      </c>
      <c r="U245" s="585" t="n">
        <v>3573227</v>
      </c>
      <c r="V245" t="n">
        <v>19.05</v>
      </c>
      <c r="W245" t="n">
        <v>0</v>
      </c>
      <c r="X245" t="n">
        <v>1</v>
      </c>
      <c r="Y245" t="n">
        <v>5.575</v>
      </c>
      <c r="Z245" t="inlineStr">
        <is>
          <t>WG</t>
        </is>
      </c>
      <c r="AA245" t="inlineStr">
        <is>
          <t>PE</t>
        </is>
      </c>
      <c r="AB245" t="inlineStr">
        <is>
          <t>AW</t>
        </is>
      </c>
      <c r="AC245" t="inlineStr">
        <is>
          <t>19.05-0-1-ERW 1-PE</t>
        </is>
      </c>
      <c r="AD245" t="inlineStr">
        <is>
          <t>LL</t>
        </is>
      </c>
      <c r="AE245" t="inlineStr">
        <is>
          <t>19.05-0-1-ERW 1-PE-1</t>
        </is>
      </c>
      <c r="AF245" t="n">
        <v>0.44491445</v>
      </c>
    </row>
    <row r="246">
      <c r="A246" s="56" t="n">
        <v>2420107</v>
      </c>
      <c r="B246" s="56" t="inlineStr">
        <is>
          <t>TUB-O-N-AUT-AW-PE-22.23X2.000X0.6400</t>
        </is>
      </c>
      <c r="C246" s="56" t="inlineStr">
        <is>
          <t>AKN2305325</t>
        </is>
      </c>
      <c r="D246" s="57" t="n">
        <v>1926.321</v>
      </c>
      <c r="E246" s="57" t="n">
        <v>1230.919</v>
      </c>
      <c r="F246" s="57" t="n">
        <v>1.230919</v>
      </c>
      <c r="G246" s="56" t="inlineStr">
        <is>
          <t>KG</t>
        </is>
      </c>
      <c r="H246" s="56" t="inlineStr">
        <is>
          <t>R001</t>
        </is>
      </c>
      <c r="I246" s="56" t="inlineStr">
        <is>
          <t>0789</t>
        </is>
      </c>
      <c r="J246" s="56" t="inlineStr"/>
      <c r="K246" s="57" t="n">
        <v>1233.139</v>
      </c>
      <c r="L246" s="56" t="inlineStr">
        <is>
          <t>9516883001/ 2</t>
        </is>
      </c>
      <c r="M246" s="56" t="inlineStr">
        <is>
          <t>2</t>
        </is>
      </c>
      <c r="N246" s="56" t="inlineStr">
        <is>
          <t>Rajsriya Automotive Ind. Pvt Ltd</t>
        </is>
      </c>
      <c r="O246" s="58" t="n">
        <v>594</v>
      </c>
      <c r="P246" s="59" t="inlineStr">
        <is>
          <t>ABOVE 90</t>
        </is>
      </c>
      <c r="Q246" s="56" t="inlineStr">
        <is>
          <t>Apoorv</t>
        </is>
      </c>
      <c r="U246" s="586" t="n">
        <v>111002371</v>
      </c>
      <c r="V246" t="n">
        <v>19.05</v>
      </c>
      <c r="W246" t="n">
        <v>0</v>
      </c>
      <c r="X246" t="n">
        <v>1</v>
      </c>
      <c r="Y246" t="n">
        <v>5.575</v>
      </c>
      <c r="Z246" t="inlineStr">
        <is>
          <t>WG</t>
        </is>
      </c>
      <c r="AA246" t="inlineStr">
        <is>
          <t>PE</t>
        </is>
      </c>
      <c r="AB246" t="inlineStr">
        <is>
          <t>AW</t>
        </is>
      </c>
      <c r="AC246" t="inlineStr">
        <is>
          <t>19.05-0-1-ERW 1-PE</t>
        </is>
      </c>
      <c r="AD246" t="inlineStr">
        <is>
          <t>LL</t>
        </is>
      </c>
      <c r="AE246" t="inlineStr">
        <is>
          <t>19.05-0-1-ERW 1-PE-1</t>
        </is>
      </c>
      <c r="AF246" t="n">
        <v>0.44491445</v>
      </c>
    </row>
    <row r="247">
      <c r="A247" s="56" t="n">
        <v>2423535</v>
      </c>
      <c r="B247" s="56" t="inlineStr">
        <is>
          <t>TUB-O-N-AUT-AW-PE-22.23X1.200X1.3280</t>
        </is>
      </c>
      <c r="C247" s="56" t="inlineStr">
        <is>
          <t>4C14H39724</t>
        </is>
      </c>
      <c r="D247" s="57" t="n">
        <v>117.121</v>
      </c>
      <c r="E247" s="57" t="n">
        <v>96.85899999999999</v>
      </c>
      <c r="F247" s="57" t="n">
        <v>0.096859</v>
      </c>
      <c r="G247" s="56" t="inlineStr">
        <is>
          <t>KG</t>
        </is>
      </c>
      <c r="H247" s="56" t="inlineStr">
        <is>
          <t>R001</t>
        </is>
      </c>
      <c r="I247" s="56" t="inlineStr">
        <is>
          <t>0789</t>
        </is>
      </c>
      <c r="J247" s="56" t="inlineStr">
        <is>
          <t>1700</t>
        </is>
      </c>
      <c r="K247" s="57" t="n">
        <v>155.572</v>
      </c>
      <c r="L247" s="56" t="inlineStr">
        <is>
          <t>9518314259/ 2</t>
        </is>
      </c>
      <c r="M247" s="56" t="inlineStr">
        <is>
          <t>2</t>
        </is>
      </c>
      <c r="N247" s="56" t="inlineStr">
        <is>
          <t>Sandhar Technologies (KA)–Unit-III</t>
        </is>
      </c>
      <c r="O247" s="58" t="n">
        <v>30</v>
      </c>
      <c r="P247" s="59" t="inlineStr">
        <is>
          <t>0-30</t>
        </is>
      </c>
      <c r="Q247" s="56" t="inlineStr">
        <is>
          <t>Jitendra Kumar Sharma</t>
        </is>
      </c>
      <c r="U247" s="585" t="n">
        <v>1940181</v>
      </c>
      <c r="V247" t="n">
        <v>19.05</v>
      </c>
      <c r="W247" t="n">
        <v>0</v>
      </c>
      <c r="X247" t="n">
        <v>1</v>
      </c>
      <c r="Y247" t="n">
        <v>6</v>
      </c>
      <c r="Z247" t="inlineStr">
        <is>
          <t>WG</t>
        </is>
      </c>
      <c r="AA247" t="inlineStr">
        <is>
          <t>PE</t>
        </is>
      </c>
      <c r="AB247" t="inlineStr">
        <is>
          <t>AW</t>
        </is>
      </c>
      <c r="AC247" t="inlineStr">
        <is>
          <t>19.05-0-1-ERW 1-PE</t>
        </is>
      </c>
      <c r="AD247" t="inlineStr">
        <is>
          <t>LL</t>
        </is>
      </c>
      <c r="AE247" t="inlineStr">
        <is>
          <t>19.05-0-1-ERW 1-PE-1</t>
        </is>
      </c>
      <c r="AF247" t="n">
        <v>0.44491445</v>
      </c>
    </row>
    <row r="248">
      <c r="A248" s="56" t="n">
        <v>2427158</v>
      </c>
      <c r="B248" s="56" t="inlineStr">
        <is>
          <t>TUB-R-AW-AUT-50.00X30.00X1.600X0.6040</t>
        </is>
      </c>
      <c r="C248" s="56" t="inlineStr">
        <is>
          <t>4C13CH2120</t>
        </is>
      </c>
      <c r="D248" s="57" t="n">
        <v>1479.401</v>
      </c>
      <c r="E248" s="57" t="n">
        <v>1735.337</v>
      </c>
      <c r="F248" s="57" t="n">
        <v>1.735337</v>
      </c>
      <c r="G248" s="56" t="inlineStr">
        <is>
          <t>KG</t>
        </is>
      </c>
      <c r="H248" s="56" t="inlineStr">
        <is>
          <t>R001</t>
        </is>
      </c>
      <c r="I248" s="56" t="inlineStr">
        <is>
          <t>0789</t>
        </is>
      </c>
      <c r="J248" s="56" t="inlineStr">
        <is>
          <t>1610</t>
        </is>
      </c>
      <c r="K248" s="57" t="n">
        <v>893.5359999999999</v>
      </c>
      <c r="L248" s="56" t="inlineStr">
        <is>
          <t>9518395341/ 21</t>
        </is>
      </c>
      <c r="M248" s="56" t="inlineStr">
        <is>
          <t>21</t>
        </is>
      </c>
      <c r="N248" s="56" t="inlineStr">
        <is>
          <t>ELKAYEM AUTO ANCILLARIES (PVT) LTD.</t>
        </is>
      </c>
      <c r="O248" s="58" t="n">
        <v>23</v>
      </c>
      <c r="P248" s="59" t="inlineStr">
        <is>
          <t>0-30</t>
        </is>
      </c>
      <c r="Q248" s="56" t="inlineStr">
        <is>
          <t>Diwakar</t>
        </is>
      </c>
      <c r="U248" s="585" t="n">
        <v>3518158</v>
      </c>
      <c r="V248" t="n">
        <v>19.05</v>
      </c>
      <c r="W248" t="n">
        <v>0</v>
      </c>
      <c r="X248" t="n">
        <v>1.02</v>
      </c>
      <c r="Y248" t="n">
        <v>1.095</v>
      </c>
      <c r="Z248" t="inlineStr">
        <is>
          <t>WG</t>
        </is>
      </c>
      <c r="AA248" t="inlineStr">
        <is>
          <t>PE</t>
        </is>
      </c>
      <c r="AB248" t="inlineStr">
        <is>
          <t>AW</t>
        </is>
      </c>
      <c r="AC248" t="inlineStr">
        <is>
          <t>19.05-0-1-ERW 1-PE</t>
        </is>
      </c>
      <c r="AD248" t="inlineStr">
        <is>
          <t>CTL</t>
        </is>
      </c>
      <c r="AE248" t="inlineStr">
        <is>
          <t>19.05-0-1-ERW 1-PE-1.095</t>
        </is>
      </c>
      <c r="AF248" t="n">
        <v>0.4963743398430001</v>
      </c>
    </row>
    <row r="249">
      <c r="A249" s="56" t="n">
        <v>2427712</v>
      </c>
      <c r="B249" s="56" t="inlineStr">
        <is>
          <t>TUB-O-N-AUT-AW-PE-19.05X2.300X0.2550</t>
        </is>
      </c>
      <c r="C249" s="56" t="inlineStr">
        <is>
          <t>4C12AH2060</t>
        </is>
      </c>
      <c r="D249" s="57" t="n">
        <v>1140.152</v>
      </c>
      <c r="E249" s="57" t="n">
        <v>277.057</v>
      </c>
      <c r="F249" s="57" t="n">
        <v>0.277057</v>
      </c>
      <c r="G249" s="56" t="inlineStr">
        <is>
          <t>KG</t>
        </is>
      </c>
      <c r="H249" s="56" t="inlineStr">
        <is>
          <t>R001</t>
        </is>
      </c>
      <c r="I249" s="56" t="inlineStr">
        <is>
          <t>0789</t>
        </is>
      </c>
      <c r="J249" s="56" t="inlineStr">
        <is>
          <t>3050</t>
        </is>
      </c>
      <c r="K249" s="57" t="n">
        <v>291.486</v>
      </c>
      <c r="L249" s="56" t="inlineStr">
        <is>
          <t>9518395341/ 6</t>
        </is>
      </c>
      <c r="M249" s="56" t="inlineStr">
        <is>
          <t>6</t>
        </is>
      </c>
      <c r="N249" s="56" t="inlineStr">
        <is>
          <t>ELKAYEM AUTO ANCILLARIES (PVT) LTD.</t>
        </is>
      </c>
      <c r="O249" s="58" t="n">
        <v>27</v>
      </c>
      <c r="P249" s="59" t="inlineStr">
        <is>
          <t>0-30</t>
        </is>
      </c>
      <c r="Q249" s="56" t="inlineStr">
        <is>
          <t>Diwakar</t>
        </is>
      </c>
      <c r="U249" s="586" t="n">
        <v>111116350</v>
      </c>
      <c r="V249" t="n">
        <v>19.05</v>
      </c>
      <c r="W249" t="n">
        <v>0</v>
      </c>
      <c r="X249" t="n">
        <v>1.02</v>
      </c>
      <c r="Y249" t="n">
        <v>6.08</v>
      </c>
      <c r="Z249" t="inlineStr">
        <is>
          <t>WG</t>
        </is>
      </c>
      <c r="AA249" t="inlineStr">
        <is>
          <t>PE</t>
        </is>
      </c>
      <c r="AB249" t="inlineStr">
        <is>
          <t>AW</t>
        </is>
      </c>
      <c r="AC249" t="inlineStr">
        <is>
          <t>19.05-0-1-ERW 1-PE</t>
        </is>
      </c>
      <c r="AD249" t="inlineStr">
        <is>
          <t>LL</t>
        </is>
      </c>
      <c r="AE249" t="inlineStr">
        <is>
          <t>19.05-0-1-ERW 1-PE-1</t>
        </is>
      </c>
      <c r="AF249" t="n">
        <v>0.4533098994000001</v>
      </c>
    </row>
    <row r="250">
      <c r="A250" s="56" t="n">
        <v>2428449</v>
      </c>
      <c r="B250" s="56" t="inlineStr">
        <is>
          <t>TUB-O-N-AUT-AW-PE-22.23X1.600X5.9500</t>
        </is>
      </c>
      <c r="C250" s="56" t="inlineStr">
        <is>
          <t>4B15CH2050</t>
        </is>
      </c>
      <c r="D250" s="57" t="n">
        <v>252.838</v>
      </c>
      <c r="E250" s="58" t="n">
        <v>1225</v>
      </c>
      <c r="F250" s="57" t="n">
        <v>1.225</v>
      </c>
      <c r="G250" s="56" t="inlineStr">
        <is>
          <t>KG</t>
        </is>
      </c>
      <c r="H250" s="56" t="inlineStr">
        <is>
          <t>R001</t>
        </is>
      </c>
      <c r="I250" s="56" t="inlineStr">
        <is>
          <t>0789</t>
        </is>
      </c>
      <c r="J250" s="56" t="inlineStr">
        <is>
          <t>251</t>
        </is>
      </c>
      <c r="K250" s="57" t="n">
        <v>1504.36</v>
      </c>
      <c r="L250" s="56" t="inlineStr"/>
      <c r="M250" s="56" t="inlineStr">
        <is>
          <t>0</t>
        </is>
      </c>
      <c r="N250" s="56" t="inlineStr">
        <is>
          <t>MEGH STEELS PRIVATE LIMITED - TVS A</t>
        </is>
      </c>
      <c r="O250" s="58" t="n">
        <v>47</v>
      </c>
      <c r="P250" s="59" t="inlineStr">
        <is>
          <t>31-60</t>
        </is>
      </c>
      <c r="Q250" s="56" t="inlineStr">
        <is>
          <t>Apoorv</t>
        </is>
      </c>
      <c r="U250" s="585" t="n">
        <v>3929628</v>
      </c>
      <c r="V250" t="n">
        <v>19.05</v>
      </c>
      <c r="W250" t="n">
        <v>0</v>
      </c>
      <c r="X250" t="n">
        <v>1.02</v>
      </c>
      <c r="Y250" t="n">
        <v>6.08</v>
      </c>
      <c r="Z250" t="inlineStr">
        <is>
          <t>WG</t>
        </is>
      </c>
      <c r="AA250" t="inlineStr">
        <is>
          <t>PE</t>
        </is>
      </c>
      <c r="AB250" t="inlineStr">
        <is>
          <t>AW</t>
        </is>
      </c>
      <c r="AC250" t="inlineStr">
        <is>
          <t>19.05-0-1-ERW 1-PE</t>
        </is>
      </c>
      <c r="AD250" t="inlineStr">
        <is>
          <t>LL</t>
        </is>
      </c>
      <c r="AF250" t="n">
        <v>0.4533098994000001</v>
      </c>
    </row>
    <row r="251">
      <c r="A251" s="56" t="n">
        <v>2428449</v>
      </c>
      <c r="B251" s="56" t="inlineStr">
        <is>
          <t>TUB-O-N-AUT-AW-PE-22.23X1.600X5.9500</t>
        </is>
      </c>
      <c r="C251" s="56" t="inlineStr">
        <is>
          <t>4B15CH2090</t>
        </is>
      </c>
      <c r="D251" s="57" t="n">
        <v>87.51300000000001</v>
      </c>
      <c r="E251" s="58" t="n">
        <v>424</v>
      </c>
      <c r="F251" s="57" t="n">
        <v>0.424</v>
      </c>
      <c r="G251" s="56" t="inlineStr">
        <is>
          <t>KG</t>
        </is>
      </c>
      <c r="H251" s="56" t="inlineStr">
        <is>
          <t>R001</t>
        </is>
      </c>
      <c r="I251" s="56" t="inlineStr">
        <is>
          <t>0789</t>
        </is>
      </c>
      <c r="J251" s="56" t="inlineStr">
        <is>
          <t>314</t>
        </is>
      </c>
      <c r="K251" s="57" t="n">
        <v>520.693</v>
      </c>
      <c r="L251" s="56" t="inlineStr"/>
      <c r="M251" s="56" t="inlineStr">
        <is>
          <t>0</t>
        </is>
      </c>
      <c r="N251" s="56" t="inlineStr">
        <is>
          <t>MEGH STEELS PRIVATE LIMITED - TVS A</t>
        </is>
      </c>
      <c r="O251" s="58" t="n">
        <v>47</v>
      </c>
      <c r="P251" s="59" t="inlineStr">
        <is>
          <t>31-60</t>
        </is>
      </c>
      <c r="Q251" s="56" t="inlineStr">
        <is>
          <t>Apoorv</t>
        </is>
      </c>
      <c r="U251" s="585" t="n">
        <v>3409366</v>
      </c>
      <c r="V251" t="n">
        <v>19.05</v>
      </c>
      <c r="W251" t="n">
        <v>0</v>
      </c>
      <c r="X251" t="n">
        <v>1.2</v>
      </c>
      <c r="Y251" t="n">
        <v>0.109</v>
      </c>
      <c r="Z251" t="inlineStr">
        <is>
          <t>WG</t>
        </is>
      </c>
      <c r="AA251" t="inlineStr">
        <is>
          <t>PE</t>
        </is>
      </c>
      <c r="AB251" t="inlineStr">
        <is>
          <t>AW</t>
        </is>
      </c>
      <c r="AC251" t="inlineStr">
        <is>
          <t>19.05-0-1.2-ERW 1-PE</t>
        </is>
      </c>
      <c r="AD251" t="inlineStr">
        <is>
          <t>CTL</t>
        </is>
      </c>
      <c r="AE251" t="inlineStr">
        <is>
          <t>19.05-0-1.2-ERW 1-PE-0.109</t>
        </is>
      </c>
      <c r="AF251" t="n">
        <v>0.05754999222000001</v>
      </c>
    </row>
    <row r="252">
      <c r="A252" s="56" t="n">
        <v>2430125</v>
      </c>
      <c r="B252" s="56" t="inlineStr">
        <is>
          <t>TUB-R-AW-AUT-40.00X25.00X1.600X5.7500</t>
        </is>
      </c>
      <c r="C252" s="56" t="inlineStr">
        <is>
          <t>4808CH2030</t>
        </is>
      </c>
      <c r="D252" s="57" t="n">
        <v>13.324</v>
      </c>
      <c r="E252" s="58" t="n">
        <v>120</v>
      </c>
      <c r="F252" s="57" t="n">
        <v>0.12</v>
      </c>
      <c r="G252" s="56" t="inlineStr">
        <is>
          <t>KG</t>
        </is>
      </c>
      <c r="H252" s="56" t="inlineStr">
        <is>
          <t>R001</t>
        </is>
      </c>
      <c r="I252" s="56" t="inlineStr">
        <is>
          <t>0789</t>
        </is>
      </c>
      <c r="J252" s="56" t="inlineStr">
        <is>
          <t>139</t>
        </is>
      </c>
      <c r="K252" s="57" t="n">
        <v>76.614</v>
      </c>
      <c r="L252" s="56" t="inlineStr"/>
      <c r="M252" s="56" t="inlineStr">
        <is>
          <t>0</t>
        </is>
      </c>
      <c r="N252" s="56" t="inlineStr">
        <is>
          <t>MEGH STEELS PRIVATE LIMITED - TVS A</t>
        </is>
      </c>
      <c r="O252" s="58" t="n">
        <v>154</v>
      </c>
      <c r="P252" s="59" t="inlineStr">
        <is>
          <t>ABOVE 90</t>
        </is>
      </c>
      <c r="Q252" s="56" t="inlineStr">
        <is>
          <t>Apoorv</t>
        </is>
      </c>
      <c r="U252" s="507" t="n">
        <v>3929691</v>
      </c>
      <c r="V252" t="n">
        <v>19.05</v>
      </c>
      <c r="W252" t="n">
        <v>0</v>
      </c>
      <c r="X252" t="n">
        <v>1.2</v>
      </c>
      <c r="Y252" t="n">
        <v>0.2</v>
      </c>
      <c r="Z252" t="inlineStr">
        <is>
          <t>CRFH</t>
        </is>
      </c>
      <c r="AA252" t="inlineStr">
        <is>
          <t>PE</t>
        </is>
      </c>
      <c r="AB252" t="inlineStr">
        <is>
          <t>AW</t>
        </is>
      </c>
      <c r="AC252" t="inlineStr">
        <is>
          <t>19.05-0-1.2-CRFH-PE</t>
        </is>
      </c>
      <c r="AD252" t="inlineStr">
        <is>
          <t>CTL</t>
        </is>
      </c>
      <c r="AE252" t="inlineStr">
        <is>
          <t>19.05-0-1.2-CRFH-PE-0.2</t>
        </is>
      </c>
      <c r="AF252" t="n">
        <v>0.105596316</v>
      </c>
    </row>
    <row r="253">
      <c r="A253" s="56" t="n">
        <v>2430125</v>
      </c>
      <c r="B253" s="56" t="inlineStr">
        <is>
          <t>TUB-R-AW-AUT-40.00X25.00X1.600X5.7500</t>
        </is>
      </c>
      <c r="C253" s="56" t="inlineStr">
        <is>
          <t>4B27AH2170</t>
        </is>
      </c>
      <c r="D253" s="57" t="n">
        <v>32.645</v>
      </c>
      <c r="E253" s="58" t="n">
        <v>294</v>
      </c>
      <c r="F253" s="57" t="n">
        <v>0.294</v>
      </c>
      <c r="G253" s="56" t="inlineStr">
        <is>
          <t>KG</t>
        </is>
      </c>
      <c r="H253" s="56" t="inlineStr">
        <is>
          <t>R001</t>
        </is>
      </c>
      <c r="I253" s="56" t="inlineStr">
        <is>
          <t>0789</t>
        </is>
      </c>
      <c r="J253" s="56" t="inlineStr">
        <is>
          <t>132</t>
        </is>
      </c>
      <c r="K253" s="57" t="n">
        <v>187.704</v>
      </c>
      <c r="L253" s="56" t="inlineStr"/>
      <c r="M253" s="56" t="inlineStr">
        <is>
          <t>0</t>
        </is>
      </c>
      <c r="N253" s="56" t="inlineStr">
        <is>
          <t>MEGH STEELS PRIVATE LIMITED - TVS A</t>
        </is>
      </c>
      <c r="O253" s="58" t="n">
        <v>44</v>
      </c>
      <c r="P253" s="59" t="inlineStr">
        <is>
          <t>31-60</t>
        </is>
      </c>
      <c r="Q253" s="56" t="inlineStr">
        <is>
          <t>Apoorv</t>
        </is>
      </c>
      <c r="U253" s="507" t="n">
        <v>3938681</v>
      </c>
      <c r="V253" t="n">
        <v>19.05</v>
      </c>
      <c r="W253" t="n">
        <v>0</v>
      </c>
      <c r="X253" t="n">
        <v>1.2</v>
      </c>
      <c r="Y253" t="n">
        <v>0.22</v>
      </c>
      <c r="Z253" t="inlineStr">
        <is>
          <t>CRFH</t>
        </is>
      </c>
      <c r="AA253" t="inlineStr">
        <is>
          <t>PE</t>
        </is>
      </c>
      <c r="AB253" t="inlineStr">
        <is>
          <t>AW</t>
        </is>
      </c>
      <c r="AC253" t="inlineStr">
        <is>
          <t>19.05-0-1.2-CRFH-PE</t>
        </is>
      </c>
      <c r="AD253" t="inlineStr">
        <is>
          <t>CTL</t>
        </is>
      </c>
      <c r="AE253" t="inlineStr">
        <is>
          <t>19.05-0-1.2-CRFH-PE-0.22</t>
        </is>
      </c>
      <c r="AF253" t="n">
        <v>0.1161559476</v>
      </c>
    </row>
    <row r="254">
      <c r="A254" s="56" t="n">
        <v>2430128</v>
      </c>
      <c r="B254" s="56" t="inlineStr">
        <is>
          <t>TUB-R-AW-AUT-50.00X30.00X1.600X1.1000</t>
        </is>
      </c>
      <c r="C254" s="56" t="inlineStr">
        <is>
          <t>4C30H40797</t>
        </is>
      </c>
      <c r="D254" s="57" t="n">
        <v>182.967</v>
      </c>
      <c r="E254" s="58" t="n">
        <v>391</v>
      </c>
      <c r="F254" s="57" t="n">
        <v>0.391</v>
      </c>
      <c r="G254" s="56" t="inlineStr">
        <is>
          <t>KG</t>
        </is>
      </c>
      <c r="H254" s="56" t="inlineStr">
        <is>
          <t>R001</t>
        </is>
      </c>
      <c r="I254" s="56" t="inlineStr">
        <is>
          <t>0789</t>
        </is>
      </c>
      <c r="J254" s="56" t="inlineStr">
        <is>
          <t>183</t>
        </is>
      </c>
      <c r="K254" s="57" t="n">
        <v>201.328</v>
      </c>
      <c r="L254" s="56" t="inlineStr">
        <is>
          <t>9518065308/ 12</t>
        </is>
      </c>
      <c r="M254" s="56" t="inlineStr">
        <is>
          <t>12</t>
        </is>
      </c>
      <c r="N254" s="56" t="inlineStr">
        <is>
          <t>BALAJI PRESS PRODUCTS INDIA</t>
        </is>
      </c>
      <c r="O254" s="58" t="n">
        <v>14</v>
      </c>
      <c r="P254" s="59" t="inlineStr">
        <is>
          <t>0-30</t>
        </is>
      </c>
      <c r="Q254" s="56" t="inlineStr">
        <is>
          <t>Jitendra Kumar Sharma</t>
        </is>
      </c>
      <c r="U254" s="507" t="n">
        <v>3938682</v>
      </c>
      <c r="V254" t="n">
        <v>19.05</v>
      </c>
      <c r="W254" t="n">
        <v>0</v>
      </c>
      <c r="X254" t="n">
        <v>1.2</v>
      </c>
      <c r="Y254" t="n">
        <v>0.32</v>
      </c>
      <c r="Z254" t="inlineStr">
        <is>
          <t>CRFH</t>
        </is>
      </c>
      <c r="AA254" t="inlineStr">
        <is>
          <t>PE</t>
        </is>
      </c>
      <c r="AB254" t="inlineStr">
        <is>
          <t>AW</t>
        </is>
      </c>
      <c r="AC254" t="inlineStr">
        <is>
          <t>19.05-0-1.2-CRFH-PE</t>
        </is>
      </c>
      <c r="AD254" t="inlineStr">
        <is>
          <t>CTL</t>
        </is>
      </c>
      <c r="AE254" t="inlineStr">
        <is>
          <t>19.05-0-1.2-CRFH-PE-0.32</t>
        </is>
      </c>
      <c r="AF254" t="n">
        <v>0.1689541056</v>
      </c>
    </row>
    <row r="255">
      <c r="A255" s="56" t="n">
        <v>2430128</v>
      </c>
      <c r="B255" s="56" t="inlineStr">
        <is>
          <t>TUB-R-AW-AUT-50.00X30.00X1.600X1.1000</t>
        </is>
      </c>
      <c r="C255" s="56" t="inlineStr">
        <is>
          <t>4B02BH2210</t>
        </is>
      </c>
      <c r="D255" s="57" t="n">
        <v>739.822</v>
      </c>
      <c r="E255" s="58" t="n">
        <v>1581</v>
      </c>
      <c r="F255" s="57" t="n">
        <v>1.581</v>
      </c>
      <c r="G255" s="56" t="inlineStr">
        <is>
          <t>KG</t>
        </is>
      </c>
      <c r="H255" s="56" t="inlineStr">
        <is>
          <t>R001</t>
        </is>
      </c>
      <c r="I255" s="56" t="inlineStr">
        <is>
          <t>0789</t>
        </is>
      </c>
      <c r="J255" s="56" t="inlineStr">
        <is>
          <t>740</t>
        </is>
      </c>
      <c r="K255" s="57" t="n">
        <v>814.067</v>
      </c>
      <c r="L255" s="56" t="inlineStr">
        <is>
          <t>9518219863/ 12</t>
        </is>
      </c>
      <c r="M255" s="56" t="inlineStr">
        <is>
          <t>12</t>
        </is>
      </c>
      <c r="N255" s="56" t="inlineStr">
        <is>
          <t>BALAJI PRESS PRODUCTS INDIA</t>
        </is>
      </c>
      <c r="O255" s="58" t="n">
        <v>14</v>
      </c>
      <c r="P255" s="59" t="inlineStr">
        <is>
          <t>0-30</t>
        </is>
      </c>
      <c r="Q255" s="56" t="inlineStr">
        <is>
          <t>Jitendra Kumar Sharma</t>
        </is>
      </c>
      <c r="U255" s="585" t="n">
        <v>3239890</v>
      </c>
      <c r="V255" t="n">
        <v>19.05</v>
      </c>
      <c r="W255" t="n">
        <v>0</v>
      </c>
      <c r="X255" t="n">
        <v>1.2</v>
      </c>
      <c r="Y255" t="n">
        <v>0.33</v>
      </c>
      <c r="Z255" t="inlineStr">
        <is>
          <t>WG</t>
        </is>
      </c>
      <c r="AA255" t="inlineStr">
        <is>
          <t>PE</t>
        </is>
      </c>
      <c r="AB255" t="inlineStr">
        <is>
          <t>AW</t>
        </is>
      </c>
      <c r="AC255" t="inlineStr">
        <is>
          <t>19.05-0-1.2-ERW 1-PE</t>
        </is>
      </c>
      <c r="AD255" t="inlineStr">
        <is>
          <t>CTL</t>
        </is>
      </c>
      <c r="AE255" t="inlineStr">
        <is>
          <t>19.05-0-1.2-ERW 1-PE-0.33</t>
        </is>
      </c>
      <c r="AF255" t="n">
        <v>0.1742339214</v>
      </c>
    </row>
    <row r="256">
      <c r="A256" s="56" t="n">
        <v>2440970</v>
      </c>
      <c r="B256" s="56" t="inlineStr">
        <is>
          <t>TUB-O-N-AUT-AW-FC-57.15X2.500X0.5120</t>
        </is>
      </c>
      <c r="C256" s="56" t="inlineStr">
        <is>
          <t>PV24030057</t>
        </is>
      </c>
      <c r="D256" s="57" t="n">
        <v>299.951</v>
      </c>
      <c r="E256" s="57" t="n">
        <v>517.715</v>
      </c>
      <c r="F256" s="57" t="n">
        <v>0.517715</v>
      </c>
      <c r="G256" s="56" t="inlineStr">
        <is>
          <t>KG</t>
        </is>
      </c>
      <c r="H256" s="56" t="inlineStr">
        <is>
          <t>R001</t>
        </is>
      </c>
      <c r="I256" s="56" t="inlineStr">
        <is>
          <t>0789</t>
        </is>
      </c>
      <c r="J256" s="56" t="inlineStr"/>
      <c r="K256" s="57" t="n">
        <v>153.597</v>
      </c>
      <c r="L256" s="56" t="inlineStr"/>
      <c r="M256" s="56" t="inlineStr">
        <is>
          <t>0</t>
        </is>
      </c>
      <c r="N256" s="56" t="inlineStr">
        <is>
          <t>FREE STOCK</t>
        </is>
      </c>
      <c r="O256" s="58" t="n">
        <v>262</v>
      </c>
      <c r="P256" s="59" t="inlineStr">
        <is>
          <t>ABOVE 90</t>
        </is>
      </c>
      <c r="Q256" s="56" t="inlineStr">
        <is>
          <t>Free Stock</t>
        </is>
      </c>
      <c r="U256" s="585" t="n">
        <v>1936576</v>
      </c>
      <c r="V256" t="n">
        <v>19.05</v>
      </c>
      <c r="W256" t="n">
        <v>0</v>
      </c>
      <c r="X256" t="n">
        <v>1.2</v>
      </c>
      <c r="Y256" t="n">
        <v>0.33</v>
      </c>
      <c r="Z256" t="inlineStr">
        <is>
          <t>D</t>
        </is>
      </c>
      <c r="AA256" t="inlineStr">
        <is>
          <t>PE</t>
        </is>
      </c>
      <c r="AB256" t="inlineStr">
        <is>
          <t>AW</t>
        </is>
      </c>
      <c r="AC256" t="inlineStr">
        <is>
          <t>19.05-0-1.2-ERW 1-PE</t>
        </is>
      </c>
      <c r="AD256" t="inlineStr">
        <is>
          <t>CTL</t>
        </is>
      </c>
      <c r="AE256" t="inlineStr">
        <is>
          <t>19.05-0-1.2-ERW 1-PE-0.33</t>
        </is>
      </c>
      <c r="AF256" t="n">
        <v>0.1742339214</v>
      </c>
    </row>
    <row r="257" ht="15.75" customHeight="1" s="584">
      <c r="A257" s="56" t="n">
        <v>2440971</v>
      </c>
      <c r="B257" s="56" t="inlineStr">
        <is>
          <t>TUB-R-AW-AUT-40.00X25.00X1.600X0.3180</t>
        </is>
      </c>
      <c r="C257" s="56" t="inlineStr">
        <is>
          <t>5108BH2120</t>
        </is>
      </c>
      <c r="D257" s="57" t="n">
        <v>2474.95</v>
      </c>
      <c r="E257" s="58" t="n">
        <v>1235</v>
      </c>
      <c r="F257" s="57" t="n">
        <v>1.235</v>
      </c>
      <c r="G257" s="56" t="inlineStr">
        <is>
          <t>KG</t>
        </is>
      </c>
      <c r="H257" s="56" t="inlineStr">
        <is>
          <t>R001</t>
        </is>
      </c>
      <c r="I257" s="56" t="inlineStr">
        <is>
          <t>0789</t>
        </is>
      </c>
      <c r="J257" s="56" t="inlineStr">
        <is>
          <t>2480</t>
        </is>
      </c>
      <c r="K257" s="57" t="n">
        <v>788.482</v>
      </c>
      <c r="L257" s="56" t="inlineStr">
        <is>
          <t>9518397264/ 2</t>
        </is>
      </c>
      <c r="M257" s="56" t="inlineStr">
        <is>
          <t>2</t>
        </is>
      </c>
      <c r="N257" s="56" t="inlineStr">
        <is>
          <t>MEGH STEELS PRIVATE LIMITED - TVS A</t>
        </is>
      </c>
      <c r="O257" s="58" t="n">
        <v>2</v>
      </c>
      <c r="P257" s="59" t="inlineStr">
        <is>
          <t>0-30</t>
        </is>
      </c>
      <c r="Q257" s="56" t="inlineStr">
        <is>
          <t>Apoorv</t>
        </is>
      </c>
      <c r="U257" s="509" t="n">
        <v>3935313</v>
      </c>
      <c r="V257" t="n">
        <v>19.05</v>
      </c>
      <c r="W257" t="n">
        <v>0</v>
      </c>
      <c r="X257" t="n">
        <v>1.2</v>
      </c>
      <c r="Y257" t="n">
        <v>0.33</v>
      </c>
      <c r="Z257" t="inlineStr">
        <is>
          <t>CRFH</t>
        </is>
      </c>
      <c r="AA257" t="inlineStr">
        <is>
          <t>PE</t>
        </is>
      </c>
      <c r="AB257" t="inlineStr">
        <is>
          <t>AW</t>
        </is>
      </c>
      <c r="AC257" t="inlineStr">
        <is>
          <t>19.05-0-1.2-CRFH-PE</t>
        </is>
      </c>
      <c r="AD257" t="inlineStr">
        <is>
          <t>CTL</t>
        </is>
      </c>
      <c r="AE257" t="inlineStr">
        <is>
          <t>19.05-0-1.2-CRFH-PE-0.33</t>
        </is>
      </c>
      <c r="AF257" t="n">
        <v>0.1742339214</v>
      </c>
    </row>
    <row r="258">
      <c r="A258" s="56" t="n">
        <v>2440972</v>
      </c>
      <c r="B258" s="56" t="inlineStr">
        <is>
          <t>TUB-O-N-AUT-AW-FC-57.15X2.500X0.3750</t>
        </is>
      </c>
      <c r="C258" s="56" t="inlineStr">
        <is>
          <t>4C26AH2100</t>
        </is>
      </c>
      <c r="D258" s="57" t="n">
        <v>1650.316</v>
      </c>
      <c r="E258" s="58" t="n">
        <v>2086</v>
      </c>
      <c r="F258" s="57" t="n">
        <v>2.086</v>
      </c>
      <c r="G258" s="56" t="inlineStr">
        <is>
          <t>KG</t>
        </is>
      </c>
      <c r="H258" s="56" t="inlineStr">
        <is>
          <t>R001</t>
        </is>
      </c>
      <c r="I258" s="56" t="inlineStr">
        <is>
          <t>0789</t>
        </is>
      </c>
      <c r="J258" s="56" t="inlineStr">
        <is>
          <t>1650</t>
        </is>
      </c>
      <c r="K258" s="57" t="n">
        <v>618.881</v>
      </c>
      <c r="L258" s="56" t="inlineStr">
        <is>
          <t>9518314246/ 10</t>
        </is>
      </c>
      <c r="M258" s="56" t="inlineStr">
        <is>
          <t>10</t>
        </is>
      </c>
      <c r="N258" s="56" t="inlineStr">
        <is>
          <t>Metalman Auto Private Limited</t>
        </is>
      </c>
      <c r="O258" s="58" t="n">
        <v>2</v>
      </c>
      <c r="P258" s="59" t="inlineStr">
        <is>
          <t>0-30</t>
        </is>
      </c>
      <c r="Q258" s="56" t="inlineStr">
        <is>
          <t>Jitendra Kumar Sharma</t>
        </is>
      </c>
      <c r="U258" s="507" t="n">
        <v>3938683</v>
      </c>
      <c r="V258" t="n">
        <v>19.05</v>
      </c>
      <c r="W258" t="n">
        <v>0</v>
      </c>
      <c r="X258" t="n">
        <v>1.2</v>
      </c>
      <c r="Y258" t="n">
        <v>0.377</v>
      </c>
      <c r="Z258" t="inlineStr">
        <is>
          <t>CRFH</t>
        </is>
      </c>
      <c r="AA258" t="inlineStr">
        <is>
          <t>PE</t>
        </is>
      </c>
      <c r="AB258" t="inlineStr">
        <is>
          <t>AW</t>
        </is>
      </c>
      <c r="AC258" t="inlineStr">
        <is>
          <t>19.05-0-1.2-CRFH-PE</t>
        </is>
      </c>
      <c r="AD258" t="inlineStr">
        <is>
          <t>CTL</t>
        </is>
      </c>
      <c r="AE258" t="inlineStr">
        <is>
          <t>19.05-0-1.2-CRFH-PE-0.377</t>
        </is>
      </c>
      <c r="AF258" t="n">
        <v>0.19904905566</v>
      </c>
    </row>
    <row r="259">
      <c r="A259" s="56" t="n">
        <v>2440972</v>
      </c>
      <c r="B259" s="56" t="inlineStr">
        <is>
          <t>TUB-O-N-AUT-AW-FC-57.15X2.500X0.3750</t>
        </is>
      </c>
      <c r="C259" s="56" t="inlineStr">
        <is>
          <t>4C26AH2120</t>
        </is>
      </c>
      <c r="D259" s="57" t="n">
        <v>549.842</v>
      </c>
      <c r="E259" s="58" t="n">
        <v>695</v>
      </c>
      <c r="F259" s="57" t="n">
        <v>0.695</v>
      </c>
      <c r="G259" s="56" t="inlineStr">
        <is>
          <t>KG</t>
        </is>
      </c>
      <c r="H259" s="56" t="inlineStr">
        <is>
          <t>R001</t>
        </is>
      </c>
      <c r="I259" s="56" t="inlineStr">
        <is>
          <t>0789</t>
        </is>
      </c>
      <c r="J259" s="56" t="inlineStr">
        <is>
          <t>550</t>
        </is>
      </c>
      <c r="K259" s="57" t="n">
        <v>206.195</v>
      </c>
      <c r="L259" s="56" t="inlineStr">
        <is>
          <t>9518314246/ 10</t>
        </is>
      </c>
      <c r="M259" s="56" t="inlineStr">
        <is>
          <t>10</t>
        </is>
      </c>
      <c r="N259" s="56" t="inlineStr">
        <is>
          <t>Metalman Auto Private Limited</t>
        </is>
      </c>
      <c r="O259" s="58" t="n">
        <v>2</v>
      </c>
      <c r="P259" s="59" t="inlineStr">
        <is>
          <t>0-30</t>
        </is>
      </c>
      <c r="Q259" s="56" t="inlineStr">
        <is>
          <t>Jitendra Kumar Sharma</t>
        </is>
      </c>
      <c r="U259" s="585" t="n">
        <v>3675612</v>
      </c>
      <c r="V259" t="n">
        <v>19.05</v>
      </c>
      <c r="W259" t="n">
        <v>0</v>
      </c>
      <c r="X259" t="n">
        <v>1.2</v>
      </c>
      <c r="Y259" t="n">
        <v>0.392</v>
      </c>
      <c r="Z259" t="inlineStr">
        <is>
          <t>TE13</t>
        </is>
      </c>
      <c r="AA259" t="inlineStr">
        <is>
          <t>PE</t>
        </is>
      </c>
      <c r="AB259" t="inlineStr">
        <is>
          <t>AW</t>
        </is>
      </c>
      <c r="AC259" t="inlineStr">
        <is>
          <t>check for ALF</t>
        </is>
      </c>
      <c r="AD259" t="inlineStr">
        <is>
          <t>CTL</t>
        </is>
      </c>
      <c r="AE259" t="inlineStr">
        <is>
          <t>check for ALF-0.392</t>
        </is>
      </c>
      <c r="AF259" t="n">
        <v>0.20696877936</v>
      </c>
    </row>
    <row r="260">
      <c r="A260" s="56" t="n">
        <v>3171772</v>
      </c>
      <c r="B260" s="56" t="inlineStr">
        <is>
          <t>TUB-O-N-AUT-AW-PE-31.75X1.200X6.0000</t>
        </is>
      </c>
      <c r="C260" s="56" t="inlineStr">
        <is>
          <t>4A25BH2020</t>
        </is>
      </c>
      <c r="D260" s="57" t="n">
        <v>40.914</v>
      </c>
      <c r="E260" s="57" t="n">
        <v>222.04</v>
      </c>
      <c r="F260" s="57" t="n">
        <v>0.22204</v>
      </c>
      <c r="G260" s="56" t="inlineStr">
        <is>
          <t>KG</t>
        </is>
      </c>
      <c r="H260" s="56" t="inlineStr">
        <is>
          <t>R001</t>
        </is>
      </c>
      <c r="I260" s="56" t="inlineStr">
        <is>
          <t>0789</t>
        </is>
      </c>
      <c r="J260" s="56" t="inlineStr">
        <is>
          <t>355</t>
        </is>
      </c>
      <c r="K260" s="57" t="n">
        <v>245.484</v>
      </c>
      <c r="L260" s="56" t="inlineStr"/>
      <c r="M260" s="56" t="inlineStr">
        <is>
          <t>0</t>
        </is>
      </c>
      <c r="N260" s="56" t="inlineStr">
        <is>
          <t>Rajsriya Automotive Ind. Pvt Ltd</t>
        </is>
      </c>
      <c r="O260" s="58" t="n">
        <v>49</v>
      </c>
      <c r="P260" s="59" t="inlineStr">
        <is>
          <t>31-60</t>
        </is>
      </c>
      <c r="Q260" s="56" t="inlineStr">
        <is>
          <t>Apoorv</t>
        </is>
      </c>
      <c r="U260" t="n">
        <v>3929662</v>
      </c>
      <c r="V260" t="n">
        <v>19.05</v>
      </c>
      <c r="W260" t="n">
        <v>0</v>
      </c>
      <c r="X260" t="n">
        <v>1.2</v>
      </c>
      <c r="Y260" t="n">
        <v>0.403</v>
      </c>
      <c r="Z260" t="inlineStr">
        <is>
          <t>WG</t>
        </is>
      </c>
      <c r="AA260" t="inlineStr">
        <is>
          <t>PE</t>
        </is>
      </c>
      <c r="AB260" t="inlineStr">
        <is>
          <t>AW</t>
        </is>
      </c>
      <c r="AC260" t="inlineStr">
        <is>
          <t>19.05-0-1.2-ERW 1-PE</t>
        </is>
      </c>
      <c r="AD260" t="inlineStr">
        <is>
          <t>CTL</t>
        </is>
      </c>
      <c r="AE260" t="inlineStr">
        <is>
          <t>19.05-0-1.2-ERW 1-PE-0.403</t>
        </is>
      </c>
      <c r="AF260" t="n">
        <v>0.21277657674</v>
      </c>
    </row>
    <row r="261">
      <c r="A261" s="56" t="n">
        <v>3171772</v>
      </c>
      <c r="B261" s="56" t="inlineStr">
        <is>
          <t>TUB-O-N-AUT-AW-PE-31.75X1.200X6.0000</t>
        </is>
      </c>
      <c r="C261" s="56" t="inlineStr">
        <is>
          <t>4A25BH2010</t>
        </is>
      </c>
      <c r="D261" s="57" t="n">
        <v>350.101</v>
      </c>
      <c r="E261" s="58" t="n">
        <v>1900</v>
      </c>
      <c r="F261" s="57" t="n">
        <v>1.9</v>
      </c>
      <c r="G261" s="56" t="inlineStr">
        <is>
          <t>KG</t>
        </is>
      </c>
      <c r="H261" s="56" t="inlineStr">
        <is>
          <t>R001</t>
        </is>
      </c>
      <c r="I261" s="56" t="inlineStr">
        <is>
          <t>0789</t>
        </is>
      </c>
      <c r="J261" s="56" t="inlineStr">
        <is>
          <t>350</t>
        </is>
      </c>
      <c r="K261" s="57" t="n">
        <v>2100.608</v>
      </c>
      <c r="L261" s="56" t="inlineStr">
        <is>
          <t>9518134245/ 4</t>
        </is>
      </c>
      <c r="M261" s="56" t="inlineStr">
        <is>
          <t>4</t>
        </is>
      </c>
      <c r="N261" s="56" t="inlineStr">
        <is>
          <t>MEGH STEELS PRIVATE LIMITED - TVS A</t>
        </is>
      </c>
      <c r="O261" s="58" t="n">
        <v>10</v>
      </c>
      <c r="P261" s="59" t="inlineStr">
        <is>
          <t>0-30</t>
        </is>
      </c>
      <c r="Q261" s="56" t="inlineStr">
        <is>
          <t>Apoorv</t>
        </is>
      </c>
      <c r="U261" s="585" t="n">
        <v>2409616</v>
      </c>
      <c r="V261" t="n">
        <v>19.05</v>
      </c>
      <c r="W261" t="n">
        <v>0</v>
      </c>
      <c r="X261" t="n">
        <v>1.2</v>
      </c>
      <c r="Y261" t="n">
        <v>0.513</v>
      </c>
      <c r="Z261" t="inlineStr">
        <is>
          <t>WG</t>
        </is>
      </c>
      <c r="AA261" t="inlineStr">
        <is>
          <t>PE</t>
        </is>
      </c>
      <c r="AB261" t="inlineStr">
        <is>
          <t>AW</t>
        </is>
      </c>
      <c r="AC261" t="inlineStr">
        <is>
          <t>19.05-0-1.2-ERW 1-PE</t>
        </is>
      </c>
      <c r="AD261" t="inlineStr">
        <is>
          <t>CTL</t>
        </is>
      </c>
      <c r="AE261" t="inlineStr">
        <is>
          <t>19.05-0-1.2-ERW 1-PE-0.513</t>
        </is>
      </c>
      <c r="AF261" t="n">
        <v>0.27085455054</v>
      </c>
    </row>
    <row r="262">
      <c r="A262" s="56" t="n">
        <v>3191747</v>
      </c>
      <c r="B262" s="56" t="inlineStr">
        <is>
          <t>TUB-O-N-AUT-AW-FC-38.10X1.600X0.9300</t>
        </is>
      </c>
      <c r="C262" s="56" t="inlineStr">
        <is>
          <t>4619H24099</t>
        </is>
      </c>
      <c r="D262" s="57" t="n">
        <v>318.851</v>
      </c>
      <c r="E262" s="57" t="n">
        <v>427.26</v>
      </c>
      <c r="F262" s="57" t="n">
        <v>0.42726</v>
      </c>
      <c r="G262" s="56" t="inlineStr">
        <is>
          <t>KG</t>
        </is>
      </c>
      <c r="H262" s="56" t="inlineStr">
        <is>
          <t>R001</t>
        </is>
      </c>
      <c r="I262" s="56" t="inlineStr">
        <is>
          <t>0789</t>
        </is>
      </c>
      <c r="J262" s="56" t="inlineStr">
        <is>
          <t>680</t>
        </is>
      </c>
      <c r="K262" s="57" t="n">
        <v>296.544</v>
      </c>
      <c r="L262" s="56" t="inlineStr">
        <is>
          <t>9517814608/ 5</t>
        </is>
      </c>
      <c r="M262" s="56" t="inlineStr">
        <is>
          <t>5</t>
        </is>
      </c>
      <c r="N262" s="56" t="inlineStr">
        <is>
          <t>Metalman Auto Private Limited</t>
        </is>
      </c>
      <c r="O262" s="58" t="n">
        <v>185</v>
      </c>
      <c r="P262" s="59" t="inlineStr">
        <is>
          <t>ABOVE 90</t>
        </is>
      </c>
      <c r="Q262" s="56" t="inlineStr">
        <is>
          <t>Jitendra Kumar Sharma</t>
        </is>
      </c>
      <c r="U262" s="585" t="n">
        <v>3506438</v>
      </c>
      <c r="V262" t="n">
        <v>19.05</v>
      </c>
      <c r="W262" t="n">
        <v>0</v>
      </c>
      <c r="X262" t="n">
        <v>1.2</v>
      </c>
      <c r="Y262" t="n">
        <v>0.631</v>
      </c>
      <c r="Z262" t="inlineStr"/>
      <c r="AA262" t="inlineStr">
        <is>
          <t>PE</t>
        </is>
      </c>
      <c r="AB262" t="inlineStr">
        <is>
          <t>AW</t>
        </is>
      </c>
      <c r="AC262" t="inlineStr">
        <is>
          <t>19.05-0-1.2-ERW 1-PE</t>
        </is>
      </c>
      <c r="AD262" t="inlineStr">
        <is>
          <t>CTL</t>
        </is>
      </c>
      <c r="AE262" t="inlineStr">
        <is>
          <t>19.05-0-1.2-ERW 1-PE-0.631</t>
        </is>
      </c>
      <c r="AF262" t="n">
        <v>0.3331563769800001</v>
      </c>
    </row>
    <row r="263">
      <c r="A263" s="56" t="n">
        <v>3216121</v>
      </c>
      <c r="B263" s="56" t="inlineStr">
        <is>
          <t>TUB-O-N-AUT-AW-FC-25.40X2.000X0.2280</t>
        </is>
      </c>
      <c r="C263" s="56" t="inlineStr">
        <is>
          <t>PV24030102</t>
        </is>
      </c>
      <c r="D263" s="57" t="n">
        <v>922.333</v>
      </c>
      <c r="E263" s="57" t="n">
        <v>243.496</v>
      </c>
      <c r="F263" s="57" t="n">
        <v>0.243496</v>
      </c>
      <c r="G263" s="56" t="inlineStr">
        <is>
          <t>KG</t>
        </is>
      </c>
      <c r="H263" s="56" t="inlineStr">
        <is>
          <t>R001</t>
        </is>
      </c>
      <c r="I263" s="56" t="inlineStr">
        <is>
          <t>0789</t>
        </is>
      </c>
      <c r="J263" s="56" t="inlineStr"/>
      <c r="K263" s="57" t="n">
        <v>210.892</v>
      </c>
      <c r="L263" s="56" t="inlineStr"/>
      <c r="M263" s="56" t="inlineStr">
        <is>
          <t>0</t>
        </is>
      </c>
      <c r="N263" s="56" t="inlineStr">
        <is>
          <t>FREE STOCK</t>
        </is>
      </c>
      <c r="O263" s="58" t="n">
        <v>262</v>
      </c>
      <c r="P263" s="59" t="inlineStr">
        <is>
          <t>ABOVE 90</t>
        </is>
      </c>
      <c r="Q263" s="56" t="inlineStr">
        <is>
          <t>Free Stock</t>
        </is>
      </c>
      <c r="U263" s="585" t="n">
        <v>1940188</v>
      </c>
      <c r="V263" t="n">
        <v>19.05</v>
      </c>
      <c r="W263" t="n">
        <v>0</v>
      </c>
      <c r="X263" t="n">
        <v>1.2</v>
      </c>
      <c r="Y263" t="n">
        <v>0.631</v>
      </c>
      <c r="Z263" t="inlineStr">
        <is>
          <t>WG</t>
        </is>
      </c>
      <c r="AA263" t="inlineStr">
        <is>
          <t>PE</t>
        </is>
      </c>
      <c r="AB263" t="inlineStr">
        <is>
          <t>AW</t>
        </is>
      </c>
      <c r="AC263" t="inlineStr">
        <is>
          <t>19.05-0-1.2-ERW 1-PE</t>
        </is>
      </c>
      <c r="AD263" t="inlineStr">
        <is>
          <t>CTL</t>
        </is>
      </c>
      <c r="AE263" t="inlineStr">
        <is>
          <t>19.05-0-1.2-ERW 1-PE-0.631</t>
        </is>
      </c>
      <c r="AF263" t="n">
        <v>0.3331563769800001</v>
      </c>
    </row>
    <row r="264">
      <c r="A264" s="56" t="n">
        <v>3219710</v>
      </c>
      <c r="B264" s="56" t="inlineStr">
        <is>
          <t>TUB-O-N-AUT-AW-PE-21.40X1.600X6.0000</t>
        </is>
      </c>
      <c r="C264" s="56" t="inlineStr">
        <is>
          <t>4B18CH2010</t>
        </is>
      </c>
      <c r="D264" s="57" t="n">
        <v>399.787</v>
      </c>
      <c r="E264" s="58" t="n">
        <v>1875</v>
      </c>
      <c r="F264" s="57" t="n">
        <v>1.875</v>
      </c>
      <c r="G264" s="56" t="inlineStr">
        <is>
          <t>KG</t>
        </is>
      </c>
      <c r="H264" s="56" t="inlineStr">
        <is>
          <t>R001</t>
        </is>
      </c>
      <c r="I264" s="56" t="inlineStr">
        <is>
          <t>0789</t>
        </is>
      </c>
      <c r="J264" s="56" t="inlineStr">
        <is>
          <t>400</t>
        </is>
      </c>
      <c r="K264" s="57" t="n">
        <v>2398.925</v>
      </c>
      <c r="L264" s="56" t="inlineStr">
        <is>
          <t>9518209855/ 1</t>
        </is>
      </c>
      <c r="M264" s="56" t="inlineStr">
        <is>
          <t>1</t>
        </is>
      </c>
      <c r="N264" s="56" t="inlineStr">
        <is>
          <t>MEGH STEELS PRIVATE LIMITED - TVS A</t>
        </is>
      </c>
      <c r="O264" s="58" t="n">
        <v>10</v>
      </c>
      <c r="P264" s="59" t="inlineStr">
        <is>
          <t>0-30</t>
        </is>
      </c>
      <c r="Q264" s="56" t="inlineStr">
        <is>
          <t>Apoorv</t>
        </is>
      </c>
      <c r="U264" s="585" t="n">
        <v>3675616</v>
      </c>
      <c r="V264" t="n">
        <v>19.05</v>
      </c>
      <c r="W264" t="n">
        <v>0</v>
      </c>
      <c r="X264" t="n">
        <v>1.2</v>
      </c>
      <c r="Y264" t="n">
        <v>0.633</v>
      </c>
      <c r="Z264" t="inlineStr">
        <is>
          <t>TE13</t>
        </is>
      </c>
      <c r="AA264" t="inlineStr">
        <is>
          <t>PE</t>
        </is>
      </c>
      <c r="AB264" t="inlineStr">
        <is>
          <t>AW</t>
        </is>
      </c>
      <c r="AC264" t="inlineStr">
        <is>
          <t>check for ALF</t>
        </is>
      </c>
      <c r="AD264" t="inlineStr">
        <is>
          <t>CTL</t>
        </is>
      </c>
      <c r="AE264" t="inlineStr">
        <is>
          <t>check for ALF-0.633</t>
        </is>
      </c>
      <c r="AF264" t="n">
        <v>0.3342123401400001</v>
      </c>
    </row>
    <row r="265">
      <c r="A265" s="56" t="n">
        <v>3219710</v>
      </c>
      <c r="B265" s="56" t="inlineStr">
        <is>
          <t>TUB-O-N-AUT-AW-PE-21.40X1.600X6.0000</t>
        </is>
      </c>
      <c r="C265" s="56" t="inlineStr">
        <is>
          <t>4B18CH2020</t>
        </is>
      </c>
      <c r="D265" s="57" t="n">
        <v>474.84</v>
      </c>
      <c r="E265" s="58" t="n">
        <v>2227</v>
      </c>
      <c r="F265" s="57" t="n">
        <v>2.227</v>
      </c>
      <c r="G265" s="56" t="inlineStr">
        <is>
          <t>KG</t>
        </is>
      </c>
      <c r="H265" s="56" t="inlineStr">
        <is>
          <t>R001</t>
        </is>
      </c>
      <c r="I265" s="56" t="inlineStr">
        <is>
          <t>0789</t>
        </is>
      </c>
      <c r="J265" s="56" t="inlineStr">
        <is>
          <t>475</t>
        </is>
      </c>
      <c r="K265" s="57" t="n">
        <v>2849.284</v>
      </c>
      <c r="L265" s="56" t="inlineStr">
        <is>
          <t>9518209855/ 1</t>
        </is>
      </c>
      <c r="M265" s="56" t="inlineStr">
        <is>
          <t>1</t>
        </is>
      </c>
      <c r="N265" s="56" t="inlineStr">
        <is>
          <t>MEGH STEELS PRIVATE LIMITED - TVS A</t>
        </is>
      </c>
      <c r="O265" s="58" t="n">
        <v>49</v>
      </c>
      <c r="P265" s="59" t="inlineStr">
        <is>
          <t>31-60</t>
        </is>
      </c>
      <c r="Q265" s="56" t="inlineStr">
        <is>
          <t>Apoorv</t>
        </is>
      </c>
      <c r="U265" s="585" t="n">
        <v>1937022</v>
      </c>
      <c r="V265" t="n">
        <v>19.05</v>
      </c>
      <c r="W265" t="n">
        <v>0</v>
      </c>
      <c r="X265" t="n">
        <v>1.2</v>
      </c>
      <c r="Y265" t="n">
        <v>0.65</v>
      </c>
      <c r="Z265" t="inlineStr">
        <is>
          <t>D</t>
        </is>
      </c>
      <c r="AA265" t="inlineStr">
        <is>
          <t>PE</t>
        </is>
      </c>
      <c r="AB265" t="inlineStr">
        <is>
          <t>AW</t>
        </is>
      </c>
      <c r="AC265" t="inlineStr">
        <is>
          <t>19.05-0-1.2-ERW 1-PE</t>
        </is>
      </c>
      <c r="AD265" t="inlineStr">
        <is>
          <t>CTL</t>
        </is>
      </c>
      <c r="AE265" t="inlineStr">
        <is>
          <t>19.05-0-1.2-ERW 1-PE-0.65</t>
        </is>
      </c>
      <c r="AF265" t="n">
        <v>0.3431880270000001</v>
      </c>
    </row>
    <row r="266">
      <c r="A266" s="56" t="n">
        <v>3230465</v>
      </c>
      <c r="B266" s="56" t="inlineStr">
        <is>
          <t>TUB-R-AW-AUT-40.00X20.00X1.200X1.1200</t>
        </is>
      </c>
      <c r="C266" s="56" t="inlineStr">
        <is>
          <t>4B22BH2130</t>
        </is>
      </c>
      <c r="D266" s="57" t="n">
        <v>508.856</v>
      </c>
      <c r="E266" s="57" t="n">
        <v>622.84</v>
      </c>
      <c r="F266" s="57" t="n">
        <v>0.6228400000000001</v>
      </c>
      <c r="G266" s="56" t="inlineStr">
        <is>
          <t>KG</t>
        </is>
      </c>
      <c r="H266" s="56" t="inlineStr">
        <is>
          <t>R001</t>
        </is>
      </c>
      <c r="I266" s="56" t="inlineStr">
        <is>
          <t>0789</t>
        </is>
      </c>
      <c r="J266" s="56" t="inlineStr">
        <is>
          <t>2100</t>
        </is>
      </c>
      <c r="K266" s="57" t="n">
        <v>570.157</v>
      </c>
      <c r="L266" s="56" t="inlineStr">
        <is>
          <t>9518224278/ 7</t>
        </is>
      </c>
      <c r="M266" s="56" t="inlineStr">
        <is>
          <t>7</t>
        </is>
      </c>
      <c r="N266" s="56" t="inlineStr">
        <is>
          <t>Sri Balaji Gears</t>
        </is>
      </c>
      <c r="O266" s="58" t="n">
        <v>44</v>
      </c>
      <c r="P266" s="59" t="inlineStr">
        <is>
          <t>31-60</t>
        </is>
      </c>
      <c r="Q266" s="56" t="inlineStr">
        <is>
          <t>Diwakar</t>
        </is>
      </c>
      <c r="U266" s="585" t="n">
        <v>3781600</v>
      </c>
      <c r="V266" t="n">
        <v>19.05</v>
      </c>
      <c r="W266" t="n">
        <v>0</v>
      </c>
      <c r="X266" t="n">
        <v>1.2</v>
      </c>
      <c r="Y266" t="n">
        <v>0.68</v>
      </c>
      <c r="Z266" t="inlineStr">
        <is>
          <t>TPT</t>
        </is>
      </c>
      <c r="AA266" t="inlineStr">
        <is>
          <t>PE</t>
        </is>
      </c>
      <c r="AB266" t="inlineStr">
        <is>
          <t>AW</t>
        </is>
      </c>
      <c r="AC266" t="inlineStr">
        <is>
          <t>19.05-0-1.2-ERW 1-PE</t>
        </is>
      </c>
      <c r="AD266" t="inlineStr">
        <is>
          <t>CTL</t>
        </is>
      </c>
      <c r="AE266" t="inlineStr">
        <is>
          <t>19.05-0-1.2-ERW 1-PE-0.68</t>
        </is>
      </c>
      <c r="AF266" t="n">
        <v>0.3590274744</v>
      </c>
    </row>
    <row r="267">
      <c r="A267" s="56" t="n">
        <v>3230470</v>
      </c>
      <c r="B267" s="56" t="inlineStr">
        <is>
          <t>TUB-R-AW-AUT-40.00X20.00X1.200X1.2460</t>
        </is>
      </c>
      <c r="C267" s="56" t="inlineStr">
        <is>
          <t>4924BH1110</t>
        </is>
      </c>
      <c r="D267" s="57" t="n">
        <v>1113.031</v>
      </c>
      <c r="E267" s="57" t="n">
        <v>1515.948</v>
      </c>
      <c r="F267" s="57" t="n">
        <v>1.515948</v>
      </c>
      <c r="G267" s="56" t="inlineStr">
        <is>
          <t>KG</t>
        </is>
      </c>
      <c r="H267" s="56" t="inlineStr">
        <is>
          <t>R001</t>
        </is>
      </c>
      <c r="I267" s="56" t="inlineStr">
        <is>
          <t>0789</t>
        </is>
      </c>
      <c r="J267" s="56" t="inlineStr">
        <is>
          <t>1860</t>
        </is>
      </c>
      <c r="K267" s="57" t="n">
        <v>1387.722</v>
      </c>
      <c r="L267" s="56" t="inlineStr">
        <is>
          <t>9518224278/ 6</t>
        </is>
      </c>
      <c r="M267" s="56" t="inlineStr">
        <is>
          <t>6</t>
        </is>
      </c>
      <c r="N267" s="56" t="inlineStr">
        <is>
          <t>Sri Balaji Gears</t>
        </is>
      </c>
      <c r="O267" s="58" t="n">
        <v>89</v>
      </c>
      <c r="P267" s="59" t="inlineStr">
        <is>
          <t>61-90</t>
        </is>
      </c>
      <c r="Q267" s="56" t="inlineStr">
        <is>
          <t>Diwakar</t>
        </is>
      </c>
      <c r="U267" s="585" t="n">
        <v>1940189</v>
      </c>
      <c r="V267" t="n">
        <v>19.05</v>
      </c>
      <c r="W267" t="n">
        <v>0</v>
      </c>
      <c r="X267" t="n">
        <v>1.2</v>
      </c>
      <c r="Y267" t="n">
        <v>0.68</v>
      </c>
      <c r="Z267" t="inlineStr">
        <is>
          <t>WG</t>
        </is>
      </c>
      <c r="AA267" t="inlineStr">
        <is>
          <t>PE</t>
        </is>
      </c>
      <c r="AB267" t="inlineStr">
        <is>
          <t>AW</t>
        </is>
      </c>
      <c r="AC267" t="inlineStr">
        <is>
          <t>19.05-0-1.2-ERW 1-PE</t>
        </is>
      </c>
      <c r="AD267" t="inlineStr">
        <is>
          <t>CTL</t>
        </is>
      </c>
      <c r="AE267" t="inlineStr">
        <is>
          <t>19.05-0-1.2-ERW 1-PE-0.68</t>
        </is>
      </c>
      <c r="AF267" t="n">
        <v>0.3590274744</v>
      </c>
    </row>
    <row r="268">
      <c r="A268" s="56" t="n">
        <v>3230470</v>
      </c>
      <c r="B268" s="56" t="inlineStr">
        <is>
          <t>TUB-R-AW-AUT-40.00X20.00X1.200X1.2460</t>
        </is>
      </c>
      <c r="C268" s="56" t="inlineStr">
        <is>
          <t>4A25BH1060</t>
        </is>
      </c>
      <c r="D268" s="57" t="n">
        <v>898.678</v>
      </c>
      <c r="E268" s="58" t="n">
        <v>1224</v>
      </c>
      <c r="F268" s="57" t="n">
        <v>1.224</v>
      </c>
      <c r="G268" s="56" t="inlineStr">
        <is>
          <t>KG</t>
        </is>
      </c>
      <c r="H268" s="56" t="inlineStr">
        <is>
          <t>R001</t>
        </is>
      </c>
      <c r="I268" s="56" t="inlineStr">
        <is>
          <t>0789</t>
        </is>
      </c>
      <c r="J268" s="56" t="inlineStr">
        <is>
          <t>1900</t>
        </is>
      </c>
      <c r="K268" s="57" t="n">
        <v>1120.469</v>
      </c>
      <c r="L268" s="56" t="inlineStr">
        <is>
          <t>9518224278/ 6</t>
        </is>
      </c>
      <c r="M268" s="56" t="inlineStr">
        <is>
          <t>6</t>
        </is>
      </c>
      <c r="N268" s="56" t="inlineStr">
        <is>
          <t>Sri Balaji Gears</t>
        </is>
      </c>
      <c r="O268" s="58" t="n">
        <v>79</v>
      </c>
      <c r="P268" s="59" t="inlineStr">
        <is>
          <t>61-90</t>
        </is>
      </c>
      <c r="Q268" s="56" t="inlineStr">
        <is>
          <t>Diwakar</t>
        </is>
      </c>
      <c r="U268" s="585" t="n">
        <v>296369</v>
      </c>
      <c r="V268" t="n">
        <v>19.05</v>
      </c>
      <c r="W268" t="n">
        <v>0</v>
      </c>
      <c r="X268" t="n">
        <v>1.2</v>
      </c>
      <c r="Y268" t="n">
        <v>0.68</v>
      </c>
      <c r="Z268" t="inlineStr">
        <is>
          <t>TPT</t>
        </is>
      </c>
      <c r="AA268" t="inlineStr">
        <is>
          <t>PE</t>
        </is>
      </c>
      <c r="AB268" t="inlineStr">
        <is>
          <t>AW</t>
        </is>
      </c>
      <c r="AC268" t="inlineStr">
        <is>
          <t>19.05-0-1.2-ERW 1-PE</t>
        </is>
      </c>
      <c r="AD268" t="inlineStr">
        <is>
          <t>CTL</t>
        </is>
      </c>
      <c r="AE268" t="inlineStr">
        <is>
          <t>19.05-0-1.2-ERW 1-PE-0.68</t>
        </is>
      </c>
      <c r="AF268" t="n">
        <v>0.3590274744</v>
      </c>
    </row>
    <row r="269">
      <c r="A269" s="56" t="n">
        <v>3230470</v>
      </c>
      <c r="B269" s="56" t="inlineStr">
        <is>
          <t>TUB-R-AW-AUT-40.00X20.00X1.200X1.2460</t>
        </is>
      </c>
      <c r="C269" s="56" t="inlineStr">
        <is>
          <t>4B22BH2120</t>
        </is>
      </c>
      <c r="D269" s="57" t="n">
        <v>899.413</v>
      </c>
      <c r="E269" s="58" t="n">
        <v>1225</v>
      </c>
      <c r="F269" s="57" t="n">
        <v>1.225</v>
      </c>
      <c r="G269" s="56" t="inlineStr">
        <is>
          <t>KG</t>
        </is>
      </c>
      <c r="H269" s="56" t="inlineStr">
        <is>
          <t>R001</t>
        </is>
      </c>
      <c r="I269" s="56" t="inlineStr">
        <is>
          <t>0789</t>
        </is>
      </c>
      <c r="J269" s="56" t="inlineStr">
        <is>
          <t>900</t>
        </is>
      </c>
      <c r="K269" s="57" t="n">
        <v>1121.384</v>
      </c>
      <c r="L269" s="56" t="inlineStr">
        <is>
          <t>9518224278/ 6</t>
        </is>
      </c>
      <c r="M269" s="56" t="inlineStr">
        <is>
          <t>6</t>
        </is>
      </c>
      <c r="N269" s="56" t="inlineStr">
        <is>
          <t>Sri Balaji Gears</t>
        </is>
      </c>
      <c r="O269" s="58" t="n">
        <v>27</v>
      </c>
      <c r="P269" s="59" t="inlineStr">
        <is>
          <t>0-30</t>
        </is>
      </c>
      <c r="Q269" s="56" t="inlineStr">
        <is>
          <t>Diwakar</t>
        </is>
      </c>
      <c r="U269" s="507" t="n">
        <v>3929540</v>
      </c>
      <c r="V269" t="n">
        <v>19.05</v>
      </c>
      <c r="W269" t="n">
        <v>0</v>
      </c>
      <c r="X269" t="n">
        <v>1.2</v>
      </c>
      <c r="Y269" t="n">
        <v>0.6820000000000001</v>
      </c>
      <c r="Z269" t="inlineStr">
        <is>
          <t>CRFH</t>
        </is>
      </c>
      <c r="AA269" t="inlineStr">
        <is>
          <t>PE</t>
        </is>
      </c>
      <c r="AB269" t="inlineStr">
        <is>
          <t>AW</t>
        </is>
      </c>
      <c r="AC269" t="inlineStr">
        <is>
          <t>19-19-1.2-CRFH-PE</t>
        </is>
      </c>
      <c r="AD269" t="inlineStr">
        <is>
          <t>CTL</t>
        </is>
      </c>
      <c r="AE269" t="inlineStr">
        <is>
          <t>19-19-1.2-CRFH-PE-0.682</t>
        </is>
      </c>
      <c r="AF269" t="n">
        <v>0.3600834375600001</v>
      </c>
    </row>
    <row r="270">
      <c r="A270" s="56" t="n">
        <v>3230483</v>
      </c>
      <c r="B270" s="56" t="inlineStr">
        <is>
          <t>TUB-S-AW-AUT-25.00X25.00X1.200X0.3300</t>
        </is>
      </c>
      <c r="C270" s="56" t="inlineStr">
        <is>
          <t>4B28BH1050</t>
        </is>
      </c>
      <c r="D270" s="57" t="n">
        <v>1785.314</v>
      </c>
      <c r="E270" s="57" t="n">
        <v>533.809</v>
      </c>
      <c r="F270" s="57" t="n">
        <v>0.533809</v>
      </c>
      <c r="G270" s="56" t="inlineStr">
        <is>
          <t>KG</t>
        </is>
      </c>
      <c r="H270" s="56" t="inlineStr">
        <is>
          <t>R001</t>
        </is>
      </c>
      <c r="I270" s="56" t="inlineStr">
        <is>
          <t>0789</t>
        </is>
      </c>
      <c r="J270" s="56" t="inlineStr">
        <is>
          <t>3300</t>
        </is>
      </c>
      <c r="K270" s="57" t="n">
        <v>590.17</v>
      </c>
      <c r="L270" s="56" t="inlineStr">
        <is>
          <t>9518315452/ 18</t>
        </is>
      </c>
      <c r="M270" s="56" t="inlineStr">
        <is>
          <t>18</t>
        </is>
      </c>
      <c r="N270" s="56" t="inlineStr">
        <is>
          <t>Marathwada Auto Compo Pvt. Ltd.</t>
        </is>
      </c>
      <c r="O270" s="58" t="n">
        <v>35</v>
      </c>
      <c r="P270" s="59" t="inlineStr">
        <is>
          <t>31-60</t>
        </is>
      </c>
      <c r="Q270" s="56" t="inlineStr">
        <is>
          <t>Apoorv</t>
        </is>
      </c>
      <c r="U270" s="585" t="n">
        <v>3675617</v>
      </c>
      <c r="V270" t="n">
        <v>19.05</v>
      </c>
      <c r="W270" t="n">
        <v>0</v>
      </c>
      <c r="X270" t="n">
        <v>1.2</v>
      </c>
      <c r="Y270" t="n">
        <v>0.7</v>
      </c>
      <c r="Z270" t="inlineStr">
        <is>
          <t>TE13</t>
        </is>
      </c>
      <c r="AA270" t="inlineStr">
        <is>
          <t>PE</t>
        </is>
      </c>
      <c r="AB270" t="inlineStr">
        <is>
          <t>AW</t>
        </is>
      </c>
      <c r="AC270" t="inlineStr">
        <is>
          <t>check for ALF</t>
        </is>
      </c>
      <c r="AD270" t="inlineStr">
        <is>
          <t>CTL</t>
        </is>
      </c>
      <c r="AE270" t="inlineStr">
        <is>
          <t>check for ALF-0.7</t>
        </is>
      </c>
      <c r="AF270" t="n">
        <v>0.369587106</v>
      </c>
    </row>
    <row r="271">
      <c r="A271" s="56" t="n">
        <v>3230485</v>
      </c>
      <c r="B271" s="56" t="inlineStr">
        <is>
          <t>TUB-S-AW-AUT-19.00X19.00X1.000X0.8400</t>
        </is>
      </c>
      <c r="C271" s="56" t="inlineStr">
        <is>
          <t>5106H41158</t>
        </is>
      </c>
      <c r="D271" s="57" t="n">
        <v>1997.849</v>
      </c>
      <c r="E271" s="58" t="n">
        <v>929</v>
      </c>
      <c r="F271" s="57" t="n">
        <v>0.929</v>
      </c>
      <c r="G271" s="56" t="inlineStr">
        <is>
          <t>KG</t>
        </is>
      </c>
      <c r="H271" s="56" t="inlineStr">
        <is>
          <t>R001</t>
        </is>
      </c>
      <c r="I271" s="56" t="inlineStr">
        <is>
          <t>0789</t>
        </is>
      </c>
      <c r="J271" s="56" t="inlineStr">
        <is>
          <t>2000</t>
        </is>
      </c>
      <c r="K271" s="57" t="n">
        <v>1679.32</v>
      </c>
      <c r="L271" s="56" t="inlineStr">
        <is>
          <t>9518133078/ 13</t>
        </is>
      </c>
      <c r="M271" s="56" t="inlineStr">
        <is>
          <t>13</t>
        </is>
      </c>
      <c r="N271" s="56" t="inlineStr">
        <is>
          <t>Sri Balaji Gears</t>
        </is>
      </c>
      <c r="O271" s="58" t="n">
        <v>7</v>
      </c>
      <c r="P271" s="59" t="inlineStr">
        <is>
          <t>0-30</t>
        </is>
      </c>
      <c r="Q271" s="56" t="inlineStr">
        <is>
          <t>Diwakar</t>
        </is>
      </c>
      <c r="U271" s="585" t="n">
        <v>3675618</v>
      </c>
      <c r="V271" t="n">
        <v>19.05</v>
      </c>
      <c r="W271" t="n">
        <v>0</v>
      </c>
      <c r="X271" t="n">
        <v>1.2</v>
      </c>
      <c r="Y271" t="n">
        <v>0.787</v>
      </c>
      <c r="Z271" t="inlineStr">
        <is>
          <t>TE13</t>
        </is>
      </c>
      <c r="AA271" t="inlineStr">
        <is>
          <t>PE</t>
        </is>
      </c>
      <c r="AB271" t="inlineStr">
        <is>
          <t>AW</t>
        </is>
      </c>
      <c r="AC271" t="inlineStr">
        <is>
          <t>check for ALF</t>
        </is>
      </c>
      <c r="AD271" t="inlineStr">
        <is>
          <t>CTL</t>
        </is>
      </c>
      <c r="AE271" t="inlineStr">
        <is>
          <t>check for ALF-0.787</t>
        </is>
      </c>
      <c r="AF271" t="n">
        <v>0.4155215034600001</v>
      </c>
    </row>
    <row r="272">
      <c r="A272" s="56" t="n">
        <v>3230486</v>
      </c>
      <c r="B272" s="56" t="inlineStr">
        <is>
          <t>TUB-S-AW-AUT-19.00X19.00X1.000X0.1500</t>
        </is>
      </c>
      <c r="C272" s="56" t="inlineStr">
        <is>
          <t>4B27BH1050</t>
        </is>
      </c>
      <c r="D272" s="57" t="n">
        <v>4413</v>
      </c>
      <c r="E272" s="57" t="n">
        <v>366.279</v>
      </c>
      <c r="F272" s="57" t="n">
        <v>0.366279</v>
      </c>
      <c r="G272" s="56" t="inlineStr">
        <is>
          <t>KG</t>
        </is>
      </c>
      <c r="H272" s="56" t="inlineStr">
        <is>
          <t>R001</t>
        </is>
      </c>
      <c r="I272" s="56" t="inlineStr">
        <is>
          <t>0789</t>
        </is>
      </c>
      <c r="J272" s="56" t="inlineStr">
        <is>
          <t>9000</t>
        </is>
      </c>
      <c r="K272" s="57" t="n">
        <v>662.11</v>
      </c>
      <c r="L272" s="56" t="inlineStr">
        <is>
          <t>9518315613/ 20</t>
        </is>
      </c>
      <c r="M272" s="56" t="inlineStr">
        <is>
          <t>20</t>
        </is>
      </c>
      <c r="N272" s="56" t="inlineStr">
        <is>
          <t>Sri Balaji Gears</t>
        </is>
      </c>
      <c r="O272" s="58" t="n">
        <v>32</v>
      </c>
      <c r="P272" s="59" t="inlineStr">
        <is>
          <t>31-60</t>
        </is>
      </c>
      <c r="Q272" s="56" t="inlineStr">
        <is>
          <t>Diwakar</t>
        </is>
      </c>
      <c r="U272" s="585" t="n">
        <v>3675619</v>
      </c>
      <c r="V272" t="n">
        <v>19.05</v>
      </c>
      <c r="W272" t="n">
        <v>0</v>
      </c>
      <c r="X272" t="n">
        <v>1.2</v>
      </c>
      <c r="Y272" t="n">
        <v>0.8</v>
      </c>
      <c r="Z272" t="inlineStr">
        <is>
          <t>TE13</t>
        </is>
      </c>
      <c r="AA272" t="inlineStr">
        <is>
          <t>PE</t>
        </is>
      </c>
      <c r="AB272" t="inlineStr">
        <is>
          <t>AW</t>
        </is>
      </c>
      <c r="AC272" t="inlineStr">
        <is>
          <t>check for ALF</t>
        </is>
      </c>
      <c r="AD272" t="inlineStr">
        <is>
          <t>CTL</t>
        </is>
      </c>
      <c r="AE272" t="inlineStr">
        <is>
          <t>check for ALF-0.8</t>
        </is>
      </c>
      <c r="AF272" t="n">
        <v>0.4223852640000001</v>
      </c>
    </row>
    <row r="273">
      <c r="A273" s="56" t="n">
        <v>3230487</v>
      </c>
      <c r="B273" s="56" t="inlineStr">
        <is>
          <t>TUB-S-AW-AUT-19.00X19.00X1.000X0.4000</t>
        </is>
      </c>
      <c r="C273" s="56" t="inlineStr">
        <is>
          <t>4C25H40446</t>
        </is>
      </c>
      <c r="D273" s="57" t="n">
        <v>3977.477</v>
      </c>
      <c r="E273" s="58" t="n">
        <v>883</v>
      </c>
      <c r="F273" s="57" t="n">
        <v>0.883</v>
      </c>
      <c r="G273" s="56" t="inlineStr">
        <is>
          <t>KG</t>
        </is>
      </c>
      <c r="H273" s="56" t="inlineStr">
        <is>
          <t>R001</t>
        </is>
      </c>
      <c r="I273" s="56" t="inlineStr">
        <is>
          <t>0789</t>
        </is>
      </c>
      <c r="J273" s="56" t="inlineStr">
        <is>
          <t>7000</t>
        </is>
      </c>
      <c r="K273" s="57" t="n">
        <v>1596.168</v>
      </c>
      <c r="L273" s="56" t="inlineStr">
        <is>
          <t>9518315452/ 14</t>
        </is>
      </c>
      <c r="M273" s="56" t="inlineStr">
        <is>
          <t>14</t>
        </is>
      </c>
      <c r="N273" s="56" t="inlineStr">
        <is>
          <t>Marathwada Auto Compo Pvt. Ltd.</t>
        </is>
      </c>
      <c r="O273" s="58" t="n">
        <v>13</v>
      </c>
      <c r="P273" s="59" t="inlineStr">
        <is>
          <t>0-30</t>
        </is>
      </c>
      <c r="Q273" s="56" t="inlineStr">
        <is>
          <t>Apoorv</t>
        </is>
      </c>
      <c r="U273" s="585" t="n">
        <v>3675620</v>
      </c>
      <c r="V273" t="n">
        <v>19.05</v>
      </c>
      <c r="W273" t="n">
        <v>0</v>
      </c>
      <c r="X273" t="n">
        <v>1.2</v>
      </c>
      <c r="Y273" t="n">
        <v>0.93</v>
      </c>
      <c r="Z273" t="inlineStr">
        <is>
          <t>TE13</t>
        </is>
      </c>
      <c r="AA273" t="inlineStr">
        <is>
          <t>PE</t>
        </is>
      </c>
      <c r="AB273" t="inlineStr">
        <is>
          <t>AW</t>
        </is>
      </c>
      <c r="AC273" t="inlineStr">
        <is>
          <t>check for ALF</t>
        </is>
      </c>
      <c r="AD273" t="inlineStr">
        <is>
          <t>CTL</t>
        </is>
      </c>
      <c r="AE273" t="inlineStr">
        <is>
          <t>check for ALF-0.93</t>
        </is>
      </c>
      <c r="AF273" t="n">
        <v>0.4910228694000001</v>
      </c>
    </row>
    <row r="274">
      <c r="A274" s="56" t="n">
        <v>3230488</v>
      </c>
      <c r="B274" s="56" t="inlineStr">
        <is>
          <t>TUB-S-AW-AUT-19.00X19.00X1.000X0.4700</t>
        </is>
      </c>
      <c r="C274" s="56" t="inlineStr">
        <is>
          <t>4B27AH1030</t>
        </is>
      </c>
      <c r="D274" s="57" t="n">
        <v>2657</v>
      </c>
      <c r="E274" s="57" t="n">
        <v>690.8200000000001</v>
      </c>
      <c r="F274" s="57" t="n">
        <v>0.6908200000000001</v>
      </c>
      <c r="G274" s="56" t="inlineStr">
        <is>
          <t>KG</t>
        </is>
      </c>
      <c r="H274" s="56" t="inlineStr">
        <is>
          <t>R001</t>
        </is>
      </c>
      <c r="I274" s="56" t="inlineStr">
        <is>
          <t>0789</t>
        </is>
      </c>
      <c r="J274" s="56" t="inlineStr"/>
      <c r="K274" s="57" t="n">
        <v>1248.771</v>
      </c>
      <c r="L274" s="56" t="inlineStr">
        <is>
          <t>9518315452/ 12</t>
        </is>
      </c>
      <c r="M274" s="56" t="inlineStr">
        <is>
          <t>12</t>
        </is>
      </c>
      <c r="N274" s="56" t="inlineStr">
        <is>
          <t>Marathwada Auto Compo Pvt. Ltd.</t>
        </is>
      </c>
      <c r="O274" s="58" t="n">
        <v>25</v>
      </c>
      <c r="P274" s="59" t="inlineStr">
        <is>
          <t>0-30</t>
        </is>
      </c>
      <c r="Q274" s="56" t="inlineStr">
        <is>
          <t>Apoorv</t>
        </is>
      </c>
      <c r="U274" s="585" t="n">
        <v>3675641</v>
      </c>
      <c r="V274" t="n">
        <v>19.05</v>
      </c>
      <c r="W274" t="n">
        <v>0</v>
      </c>
      <c r="X274" t="n">
        <v>1.2</v>
      </c>
      <c r="Y274" t="n">
        <v>1.005</v>
      </c>
      <c r="Z274" t="inlineStr">
        <is>
          <t>TE13</t>
        </is>
      </c>
      <c r="AA274" t="inlineStr">
        <is>
          <t>PE</t>
        </is>
      </c>
      <c r="AB274" t="inlineStr">
        <is>
          <t>AW</t>
        </is>
      </c>
      <c r="AC274" t="inlineStr">
        <is>
          <t>check for ALF</t>
        </is>
      </c>
      <c r="AD274" t="inlineStr">
        <is>
          <t>CTL</t>
        </is>
      </c>
      <c r="AE274" t="inlineStr">
        <is>
          <t>check for ALF-1.005</t>
        </is>
      </c>
      <c r="AF274" t="n">
        <v>0.5306214879</v>
      </c>
    </row>
    <row r="275">
      <c r="A275" s="56" t="n">
        <v>3230490</v>
      </c>
      <c r="B275" s="56" t="inlineStr">
        <is>
          <t>TUB-S-AW-AUT-19.00X19.00X1.000X0.3550</t>
        </is>
      </c>
      <c r="C275" s="56" t="inlineStr">
        <is>
          <t>4B21H38086</t>
        </is>
      </c>
      <c r="D275" s="57" t="n">
        <v>2839.817</v>
      </c>
      <c r="E275" s="57" t="n">
        <v>559.444</v>
      </c>
      <c r="F275" s="57" t="n">
        <v>0.5594439999999999</v>
      </c>
      <c r="G275" s="56" t="inlineStr">
        <is>
          <t>KG</t>
        </is>
      </c>
      <c r="H275" s="56" t="inlineStr">
        <is>
          <t>R001</t>
        </is>
      </c>
      <c r="I275" s="56" t="inlineStr">
        <is>
          <t>0789</t>
        </is>
      </c>
      <c r="J275" s="56" t="inlineStr">
        <is>
          <t>4200</t>
        </is>
      </c>
      <c r="K275" s="57" t="n">
        <v>1011.287</v>
      </c>
      <c r="L275" s="56" t="inlineStr">
        <is>
          <t>9518315452/ 15</t>
        </is>
      </c>
      <c r="M275" s="56" t="inlineStr">
        <is>
          <t>15</t>
        </is>
      </c>
      <c r="N275" s="56" t="inlineStr">
        <is>
          <t>Marathwada Auto Compo Pvt. Ltd.</t>
        </is>
      </c>
      <c r="O275" s="58" t="n">
        <v>19</v>
      </c>
      <c r="P275" s="59" t="inlineStr">
        <is>
          <t>0-30</t>
        </is>
      </c>
      <c r="Q275" s="56" t="inlineStr">
        <is>
          <t>Apoorv</t>
        </is>
      </c>
      <c r="U275" s="585" t="n">
        <v>3675642</v>
      </c>
      <c r="V275" t="n">
        <v>19.05</v>
      </c>
      <c r="W275" t="n">
        <v>0</v>
      </c>
      <c r="X275" t="n">
        <v>1.2</v>
      </c>
      <c r="Y275" t="n">
        <v>1.011</v>
      </c>
      <c r="Z275" t="inlineStr">
        <is>
          <t>TE13</t>
        </is>
      </c>
      <c r="AA275" t="inlineStr">
        <is>
          <t>PE</t>
        </is>
      </c>
      <c r="AB275" t="inlineStr">
        <is>
          <t>AW</t>
        </is>
      </c>
      <c r="AC275" t="inlineStr">
        <is>
          <t>check for ALF</t>
        </is>
      </c>
      <c r="AD275" t="inlineStr">
        <is>
          <t>CTL</t>
        </is>
      </c>
      <c r="AE275" t="inlineStr">
        <is>
          <t>check for ALF-1.011</t>
        </is>
      </c>
      <c r="AF275" t="n">
        <v>0.53378937738</v>
      </c>
    </row>
    <row r="276">
      <c r="A276" s="56" t="n">
        <v>3230491</v>
      </c>
      <c r="B276" s="56" t="inlineStr">
        <is>
          <t>TUB-S-AW-AUT-19.00X19.00X1.000X0.6820</t>
        </is>
      </c>
      <c r="C276" s="56" t="inlineStr">
        <is>
          <t>4A19BH1060</t>
        </is>
      </c>
      <c r="D276" s="57" t="n">
        <v>2739.005</v>
      </c>
      <c r="E276" s="57" t="n">
        <v>1035.344</v>
      </c>
      <c r="F276" s="57" t="n">
        <v>1.035344</v>
      </c>
      <c r="G276" s="56" t="inlineStr">
        <is>
          <t>KG</t>
        </is>
      </c>
      <c r="H276" s="56" t="inlineStr">
        <is>
          <t>R001</t>
        </is>
      </c>
      <c r="I276" s="56" t="inlineStr">
        <is>
          <t>0789</t>
        </is>
      </c>
      <c r="J276" s="56" t="inlineStr"/>
      <c r="K276" s="57" t="n">
        <v>1871.555</v>
      </c>
      <c r="L276" s="56" t="inlineStr">
        <is>
          <t>9518315613/ 14</t>
        </is>
      </c>
      <c r="M276" s="56" t="inlineStr">
        <is>
          <t>14</t>
        </is>
      </c>
      <c r="N276" s="56" t="inlineStr">
        <is>
          <t>Sri Balaji Gears</t>
        </is>
      </c>
      <c r="O276" s="58" t="n">
        <v>25</v>
      </c>
      <c r="P276" s="59" t="inlineStr">
        <is>
          <t>0-30</t>
        </is>
      </c>
      <c r="Q276" s="56" t="inlineStr">
        <is>
          <t>Diwakar</t>
        </is>
      </c>
      <c r="U276" s="585" t="n">
        <v>3675643</v>
      </c>
      <c r="V276" t="n">
        <v>19.05</v>
      </c>
      <c r="W276" t="n">
        <v>0</v>
      </c>
      <c r="X276" t="n">
        <v>1.2</v>
      </c>
      <c r="Y276" t="n">
        <v>1.04</v>
      </c>
      <c r="Z276" t="inlineStr">
        <is>
          <t>TE13</t>
        </is>
      </c>
      <c r="AA276" t="inlineStr">
        <is>
          <t>PE</t>
        </is>
      </c>
      <c r="AB276" t="inlineStr">
        <is>
          <t>AW</t>
        </is>
      </c>
      <c r="AC276" t="inlineStr">
        <is>
          <t>check for ALF</t>
        </is>
      </c>
      <c r="AD276" t="inlineStr">
        <is>
          <t>CTL</t>
        </is>
      </c>
      <c r="AE276" t="inlineStr">
        <is>
          <t>check for ALF-1.04</t>
        </is>
      </c>
      <c r="AF276" t="n">
        <v>0.5491008432000001</v>
      </c>
    </row>
    <row r="277">
      <c r="A277" s="56" t="n">
        <v>3230492</v>
      </c>
      <c r="B277" s="56" t="inlineStr">
        <is>
          <t>TUB-S-AW-AUT-19.00X19.00X1.000X0.8800</t>
        </is>
      </c>
      <c r="C277" s="56" t="inlineStr">
        <is>
          <t>4B26BH1070</t>
        </is>
      </c>
      <c r="D277" s="57" t="n">
        <v>1191.715</v>
      </c>
      <c r="E277" s="57" t="n">
        <v>580.365</v>
      </c>
      <c r="F277" s="57" t="n">
        <v>0.580365</v>
      </c>
      <c r="G277" s="56" t="inlineStr">
        <is>
          <t>KG</t>
        </is>
      </c>
      <c r="H277" s="56" t="inlineStr">
        <is>
          <t>R001</t>
        </is>
      </c>
      <c r="I277" s="56" t="inlineStr">
        <is>
          <t>0789</t>
        </is>
      </c>
      <c r="J277" s="56" t="inlineStr"/>
      <c r="K277" s="57" t="n">
        <v>1049.105</v>
      </c>
      <c r="L277" s="56" t="inlineStr">
        <is>
          <t>9518315452/ 8</t>
        </is>
      </c>
      <c r="M277" s="56" t="inlineStr">
        <is>
          <t>8</t>
        </is>
      </c>
      <c r="N277" s="56" t="inlineStr">
        <is>
          <t>Marathwada Auto Compo Pvt. Ltd.</t>
        </is>
      </c>
      <c r="O277" s="58" t="n">
        <v>25</v>
      </c>
      <c r="P277" s="59" t="inlineStr">
        <is>
          <t>0-30</t>
        </is>
      </c>
      <c r="Q277" s="56" t="inlineStr">
        <is>
          <t>Apoorv</t>
        </is>
      </c>
      <c r="U277" s="585" t="n">
        <v>3675644</v>
      </c>
      <c r="V277" t="n">
        <v>19.05</v>
      </c>
      <c r="W277" t="n">
        <v>0</v>
      </c>
      <c r="X277" t="n">
        <v>1.2</v>
      </c>
      <c r="Y277" t="n">
        <v>1.05</v>
      </c>
      <c r="Z277" t="inlineStr">
        <is>
          <t>TE13</t>
        </is>
      </c>
      <c r="AA277" t="inlineStr">
        <is>
          <t>PE</t>
        </is>
      </c>
      <c r="AB277" t="inlineStr">
        <is>
          <t>AW</t>
        </is>
      </c>
      <c r="AC277" t="inlineStr">
        <is>
          <t>check for ALF</t>
        </is>
      </c>
      <c r="AD277" t="inlineStr">
        <is>
          <t>CTL</t>
        </is>
      </c>
      <c r="AE277" t="inlineStr">
        <is>
          <t>check for ALF-1.05</t>
        </is>
      </c>
      <c r="AF277" t="n">
        <v>0.5543806590000001</v>
      </c>
    </row>
    <row r="278">
      <c r="A278" s="56" t="n">
        <v>3230494</v>
      </c>
      <c r="B278" s="56" t="inlineStr">
        <is>
          <t>TUB-S-AW-AUT-19.00X19.00X1.000X1.3000</t>
        </is>
      </c>
      <c r="C278" s="56" t="inlineStr">
        <is>
          <t>5106H41152</t>
        </is>
      </c>
      <c r="D278" s="57" t="n">
        <v>598.611</v>
      </c>
      <c r="E278" s="58" t="n">
        <v>431</v>
      </c>
      <c r="F278" s="57" t="n">
        <v>0.431</v>
      </c>
      <c r="G278" s="56" t="inlineStr">
        <is>
          <t>KG</t>
        </is>
      </c>
      <c r="H278" s="56" t="inlineStr">
        <is>
          <t>R001</t>
        </is>
      </c>
      <c r="I278" s="56" t="inlineStr">
        <is>
          <t>0789</t>
        </is>
      </c>
      <c r="J278" s="56" t="inlineStr">
        <is>
          <t>600</t>
        </is>
      </c>
      <c r="K278" s="57" t="n">
        <v>779.103</v>
      </c>
      <c r="L278" s="56" t="inlineStr">
        <is>
          <t>9518232440/ 7</t>
        </is>
      </c>
      <c r="M278" s="56" t="inlineStr">
        <is>
          <t>7</t>
        </is>
      </c>
      <c r="N278" s="56" t="inlineStr">
        <is>
          <t>Marathwada Auto Compo Pvt. Ltd.</t>
        </is>
      </c>
      <c r="O278" s="58" t="n">
        <v>7</v>
      </c>
      <c r="P278" s="59" t="inlineStr">
        <is>
          <t>0-30</t>
        </is>
      </c>
      <c r="Q278" s="56" t="inlineStr">
        <is>
          <t>Apoorv</t>
        </is>
      </c>
      <c r="U278" s="585" t="n">
        <v>3229740</v>
      </c>
      <c r="V278" t="n">
        <v>19.05</v>
      </c>
      <c r="W278" t="n">
        <v>0</v>
      </c>
      <c r="X278" t="n">
        <v>1.2</v>
      </c>
      <c r="Y278" t="n">
        <v>1.075</v>
      </c>
      <c r="Z278" t="inlineStr">
        <is>
          <t>WG</t>
        </is>
      </c>
      <c r="AA278" t="inlineStr">
        <is>
          <t>PE</t>
        </is>
      </c>
      <c r="AB278" t="inlineStr">
        <is>
          <t>AW</t>
        </is>
      </c>
      <c r="AC278" t="inlineStr">
        <is>
          <t>19.05-0-1.2-ERW 1-PE</t>
        </is>
      </c>
      <c r="AD278" t="inlineStr">
        <is>
          <t>CTL</t>
        </is>
      </c>
      <c r="AE278" t="inlineStr">
        <is>
          <t>19.05-0-1.2-ERW 1-PE-1.075</t>
        </is>
      </c>
      <c r="AF278" t="n">
        <v>0.5675801985000001</v>
      </c>
    </row>
    <row r="279">
      <c r="A279" s="56" t="n">
        <v>3230494</v>
      </c>
      <c r="B279" s="56" t="inlineStr">
        <is>
          <t>TUB-S-AW-AUT-19.00X19.00X1.000X1.3000</t>
        </is>
      </c>
      <c r="C279" s="56" t="inlineStr">
        <is>
          <t>4A18BH1030</t>
        </is>
      </c>
      <c r="D279" s="57" t="n">
        <v>494.222</v>
      </c>
      <c r="E279" s="57" t="n">
        <v>355.84</v>
      </c>
      <c r="F279" s="57" t="n">
        <v>0.35584</v>
      </c>
      <c r="G279" s="56" t="inlineStr">
        <is>
          <t>KG</t>
        </is>
      </c>
      <c r="H279" s="56" t="inlineStr">
        <is>
          <t>R001</t>
        </is>
      </c>
      <c r="I279" s="56" t="inlineStr">
        <is>
          <t>0789</t>
        </is>
      </c>
      <c r="J279" s="56" t="inlineStr"/>
      <c r="K279" s="57" t="n">
        <v>643.239</v>
      </c>
      <c r="L279" s="56" t="inlineStr">
        <is>
          <t>9518315452/ 7</t>
        </is>
      </c>
      <c r="M279" s="56" t="inlineStr">
        <is>
          <t>7</t>
        </is>
      </c>
      <c r="N279" s="56" t="inlineStr">
        <is>
          <t>Marathwada Auto Compo Pvt. Ltd.</t>
        </is>
      </c>
      <c r="O279" s="58" t="n">
        <v>25</v>
      </c>
      <c r="P279" s="59" t="inlineStr">
        <is>
          <t>0-30</t>
        </is>
      </c>
      <c r="Q279" s="56" t="inlineStr">
        <is>
          <t>Apoorv</t>
        </is>
      </c>
      <c r="U279" s="585" t="n">
        <v>3675645</v>
      </c>
      <c r="V279" t="n">
        <v>19.05</v>
      </c>
      <c r="W279" t="n">
        <v>0</v>
      </c>
      <c r="X279" t="n">
        <v>1.2</v>
      </c>
      <c r="Y279" t="n">
        <v>1.083</v>
      </c>
      <c r="Z279" t="inlineStr">
        <is>
          <t>TE13</t>
        </is>
      </c>
      <c r="AA279" t="inlineStr">
        <is>
          <t>PE</t>
        </is>
      </c>
      <c r="AB279" t="inlineStr">
        <is>
          <t>AW</t>
        </is>
      </c>
      <c r="AC279" t="inlineStr">
        <is>
          <t>check for ALF</t>
        </is>
      </c>
      <c r="AD279" t="inlineStr">
        <is>
          <t>CTL</t>
        </is>
      </c>
      <c r="AE279" t="inlineStr">
        <is>
          <t>check for ALF-1.083</t>
        </is>
      </c>
      <c r="AF279" t="n">
        <v>0.57180405114</v>
      </c>
    </row>
    <row r="280">
      <c r="A280" s="56" t="n">
        <v>3230495</v>
      </c>
      <c r="B280" s="56" t="inlineStr">
        <is>
          <t>TUB-S-AW-AUT-30.00X30.00X1.200X0.2200</t>
        </is>
      </c>
      <c r="C280" s="56" t="inlineStr">
        <is>
          <t>4B30H38881</t>
        </is>
      </c>
      <c r="D280" s="57" t="n">
        <v>404.095</v>
      </c>
      <c r="E280" s="57" t="n">
        <v>97.387</v>
      </c>
      <c r="F280" s="57" t="n">
        <v>0.097387</v>
      </c>
      <c r="G280" s="56" t="inlineStr">
        <is>
          <t>KG</t>
        </is>
      </c>
      <c r="H280" s="56" t="inlineStr">
        <is>
          <t>R001</t>
        </is>
      </c>
      <c r="I280" s="56" t="inlineStr">
        <is>
          <t>0789</t>
        </is>
      </c>
      <c r="J280" s="56" t="inlineStr">
        <is>
          <t>700</t>
        </is>
      </c>
      <c r="K280" s="57" t="n">
        <v>89.15000000000001</v>
      </c>
      <c r="L280" s="56" t="inlineStr">
        <is>
          <t>9518315452/ 19</t>
        </is>
      </c>
      <c r="M280" s="56" t="inlineStr">
        <is>
          <t>19</t>
        </is>
      </c>
      <c r="N280" s="56" t="inlineStr">
        <is>
          <t>Marathwada Auto Compo Pvt. Ltd.</t>
        </is>
      </c>
      <c r="O280" s="58" t="n">
        <v>35</v>
      </c>
      <c r="P280" s="59" t="inlineStr">
        <is>
          <t>31-60</t>
        </is>
      </c>
      <c r="Q280" s="56" t="inlineStr">
        <is>
          <t>Apoorv</t>
        </is>
      </c>
      <c r="U280" s="585" t="n">
        <v>3675646</v>
      </c>
      <c r="V280" t="n">
        <v>19.05</v>
      </c>
      <c r="W280" t="n">
        <v>0</v>
      </c>
      <c r="X280" t="n">
        <v>1.2</v>
      </c>
      <c r="Y280" t="n">
        <v>1.1</v>
      </c>
      <c r="Z280" t="inlineStr">
        <is>
          <t>TE13</t>
        </is>
      </c>
      <c r="AA280" t="inlineStr">
        <is>
          <t>PE</t>
        </is>
      </c>
      <c r="AB280" t="inlineStr">
        <is>
          <t>AW</t>
        </is>
      </c>
      <c r="AC280" t="inlineStr">
        <is>
          <t>check for ALF</t>
        </is>
      </c>
      <c r="AD280" t="inlineStr">
        <is>
          <t>CTL</t>
        </is>
      </c>
      <c r="AE280" t="inlineStr">
        <is>
          <t>check for ALF-1.1</t>
        </is>
      </c>
      <c r="AF280" t="n">
        <v>0.5807797380000002</v>
      </c>
    </row>
    <row r="281">
      <c r="A281" s="56" t="n">
        <v>3230495</v>
      </c>
      <c r="B281" s="56" t="inlineStr">
        <is>
          <t>TUB-S-AW-AUT-30.00X30.00X1.200X0.2200</t>
        </is>
      </c>
      <c r="C281" s="56" t="inlineStr">
        <is>
          <t>5105CH1030</t>
        </is>
      </c>
      <c r="D281" s="57" t="n">
        <v>4286.307</v>
      </c>
      <c r="E281" s="58" t="n">
        <v>1033</v>
      </c>
      <c r="F281" s="57" t="n">
        <v>1.033</v>
      </c>
      <c r="G281" s="56" t="inlineStr">
        <is>
          <t>KG</t>
        </is>
      </c>
      <c r="H281" s="56" t="inlineStr">
        <is>
          <t>R001</t>
        </is>
      </c>
      <c r="I281" s="56" t="inlineStr">
        <is>
          <t>0789</t>
        </is>
      </c>
      <c r="J281" s="56" t="inlineStr">
        <is>
          <t>5300</t>
        </is>
      </c>
      <c r="K281" s="57" t="n">
        <v>945.624</v>
      </c>
      <c r="L281" s="56" t="inlineStr">
        <is>
          <t>9518395829/ 18</t>
        </is>
      </c>
      <c r="M281" s="56" t="inlineStr">
        <is>
          <t>18</t>
        </is>
      </c>
      <c r="N281" s="56" t="inlineStr">
        <is>
          <t>Marathwada Auto Compo Pvt. Ltd.</t>
        </is>
      </c>
      <c r="O281" s="58" t="n">
        <v>7</v>
      </c>
      <c r="P281" s="59" t="inlineStr">
        <is>
          <t>0-30</t>
        </is>
      </c>
      <c r="Q281" s="56" t="inlineStr">
        <is>
          <t>Apoorv</t>
        </is>
      </c>
      <c r="U281" s="585" t="n">
        <v>3675647</v>
      </c>
      <c r="V281" t="n">
        <v>19.05</v>
      </c>
      <c r="W281" t="n">
        <v>0</v>
      </c>
      <c r="X281" t="n">
        <v>1.2</v>
      </c>
      <c r="Y281" t="n">
        <v>1.12</v>
      </c>
      <c r="Z281" t="inlineStr">
        <is>
          <t>TE13</t>
        </is>
      </c>
      <c r="AA281" t="inlineStr">
        <is>
          <t>PE</t>
        </is>
      </c>
      <c r="AB281" t="inlineStr">
        <is>
          <t>AW</t>
        </is>
      </c>
      <c r="AC281" t="inlineStr">
        <is>
          <t>check for ALF</t>
        </is>
      </c>
      <c r="AD281" t="inlineStr">
        <is>
          <t>CTL</t>
        </is>
      </c>
      <c r="AE281" t="inlineStr">
        <is>
          <t>check for ALF-1.12</t>
        </is>
      </c>
      <c r="AF281" t="n">
        <v>0.5913393696000001</v>
      </c>
    </row>
    <row r="282">
      <c r="A282" s="56" t="n">
        <v>3233553</v>
      </c>
      <c r="B282" s="56" t="inlineStr">
        <is>
          <t>TUB-R-AW-AUT-40.00X20.00X1.210X1.2980</t>
        </is>
      </c>
      <c r="C282" s="56" t="inlineStr">
        <is>
          <t>4924BH1130</t>
        </is>
      </c>
      <c r="D282" s="57" t="n">
        <v>1272.951</v>
      </c>
      <c r="E282" s="57" t="n">
        <v>1820.32</v>
      </c>
      <c r="F282" s="57" t="n">
        <v>1.82032</v>
      </c>
      <c r="G282" s="56" t="inlineStr">
        <is>
          <t>KG</t>
        </is>
      </c>
      <c r="H282" s="56" t="inlineStr">
        <is>
          <t>R001</t>
        </is>
      </c>
      <c r="I282" s="56" t="inlineStr">
        <is>
          <t>0789</t>
        </is>
      </c>
      <c r="J282" s="56" t="inlineStr">
        <is>
          <t>1750</t>
        </is>
      </c>
      <c r="K282" s="57" t="n">
        <v>1653.033</v>
      </c>
      <c r="L282" s="56" t="inlineStr">
        <is>
          <t>9518315452/ 2</t>
        </is>
      </c>
      <c r="M282" s="56" t="inlineStr">
        <is>
          <t>2</t>
        </is>
      </c>
      <c r="N282" s="56" t="inlineStr">
        <is>
          <t>Marathwada Auto Compo Pvt. Ltd.</t>
        </is>
      </c>
      <c r="O282" s="58" t="n">
        <v>13</v>
      </c>
      <c r="P282" s="59" t="inlineStr">
        <is>
          <t>0-30</t>
        </is>
      </c>
      <c r="Q282" s="56" t="inlineStr">
        <is>
          <t>Apoorv</t>
        </is>
      </c>
      <c r="U282" s="585" t="n">
        <v>3229739</v>
      </c>
      <c r="V282" t="n">
        <v>19.05</v>
      </c>
      <c r="W282" t="n">
        <v>0</v>
      </c>
      <c r="X282" t="n">
        <v>1.2</v>
      </c>
      <c r="Y282" t="n">
        <v>1.13</v>
      </c>
      <c r="Z282" t="inlineStr">
        <is>
          <t>WG</t>
        </is>
      </c>
      <c r="AA282" t="inlineStr">
        <is>
          <t>PE</t>
        </is>
      </c>
      <c r="AB282" t="inlineStr">
        <is>
          <t>AW</t>
        </is>
      </c>
      <c r="AC282" t="inlineStr">
        <is>
          <t>19.05-0-1.2-ERW 1-PE</t>
        </is>
      </c>
      <c r="AD282" t="inlineStr">
        <is>
          <t>CTL</t>
        </is>
      </c>
      <c r="AE282" t="inlineStr">
        <is>
          <t>19.05-0-1.2-ERW 1-PE-1.13</t>
        </is>
      </c>
      <c r="AF282" t="n">
        <v>0.5966191854</v>
      </c>
    </row>
    <row r="283">
      <c r="A283" s="56" t="n">
        <v>3233554</v>
      </c>
      <c r="B283" s="56" t="inlineStr">
        <is>
          <t>TUB-R-AW-AUT-40.00X20.00X1.210X1.2460</t>
        </is>
      </c>
      <c r="C283" s="56" t="inlineStr">
        <is>
          <t>2412310002</t>
        </is>
      </c>
      <c r="D283" s="57" t="n">
        <v>98</v>
      </c>
      <c r="E283" s="57" t="n">
        <v>134.554</v>
      </c>
      <c r="F283" s="57" t="n">
        <v>0.134554</v>
      </c>
      <c r="G283" s="56" t="inlineStr">
        <is>
          <t>KG</t>
        </is>
      </c>
      <c r="H283" s="56" t="inlineStr">
        <is>
          <t>R001</t>
        </is>
      </c>
      <c r="I283" s="56" t="inlineStr">
        <is>
          <t>0789</t>
        </is>
      </c>
      <c r="J283" s="56" t="inlineStr"/>
      <c r="K283" s="57" t="n">
        <v>122.189</v>
      </c>
      <c r="L283" s="56" t="inlineStr">
        <is>
          <t>9518315452/ 3</t>
        </is>
      </c>
      <c r="M283" s="56" t="inlineStr">
        <is>
          <t>3</t>
        </is>
      </c>
      <c r="N283" s="56" t="inlineStr">
        <is>
          <t>Marathwada Auto Compo Pvt. Ltd.</t>
        </is>
      </c>
      <c r="O283" s="58" t="n">
        <v>13</v>
      </c>
      <c r="P283" s="59" t="inlineStr">
        <is>
          <t>0-30</t>
        </is>
      </c>
      <c r="Q283" s="56" t="inlineStr">
        <is>
          <t>Apoorv</t>
        </is>
      </c>
      <c r="U283" s="585" t="n">
        <v>3509884</v>
      </c>
      <c r="V283" t="n">
        <v>19.05</v>
      </c>
      <c r="W283" t="n">
        <v>0</v>
      </c>
      <c r="X283" t="n">
        <v>1.2</v>
      </c>
      <c r="Y283" t="n">
        <v>1.13</v>
      </c>
      <c r="Z283" t="inlineStr"/>
      <c r="AA283" t="inlineStr">
        <is>
          <t>PE</t>
        </is>
      </c>
      <c r="AB283" t="inlineStr">
        <is>
          <t>AW</t>
        </is>
      </c>
      <c r="AC283" t="inlineStr">
        <is>
          <t>19.05-0-1.2-ERW 1-PE</t>
        </is>
      </c>
      <c r="AD283" t="inlineStr">
        <is>
          <t>CTL</t>
        </is>
      </c>
      <c r="AE283" t="inlineStr">
        <is>
          <t>19.05-0-1.2-ERW 1-PE-1.13</t>
        </is>
      </c>
      <c r="AF283" t="n">
        <v>0.5966191854</v>
      </c>
    </row>
    <row r="284">
      <c r="A284" s="56" t="n">
        <v>3233554</v>
      </c>
      <c r="B284" s="56" t="inlineStr">
        <is>
          <t>TUB-R-AW-AUT-40.00X20.00X1.210X1.2460</t>
        </is>
      </c>
      <c r="C284" s="56" t="inlineStr">
        <is>
          <t>5101BH1070</t>
        </is>
      </c>
      <c r="D284" s="57" t="n">
        <v>909.687</v>
      </c>
      <c r="E284" s="58" t="n">
        <v>1249</v>
      </c>
      <c r="F284" s="57" t="n">
        <v>1.249</v>
      </c>
      <c r="G284" s="56" t="inlineStr">
        <is>
          <t>KG</t>
        </is>
      </c>
      <c r="H284" s="56" t="inlineStr">
        <is>
          <t>R001</t>
        </is>
      </c>
      <c r="I284" s="56" t="inlineStr">
        <is>
          <t>0789</t>
        </is>
      </c>
      <c r="J284" s="56" t="inlineStr">
        <is>
          <t>910</t>
        </is>
      </c>
      <c r="K284" s="57" t="n">
        <v>1134.217</v>
      </c>
      <c r="L284" s="56" t="inlineStr">
        <is>
          <t>9518395829/ 3</t>
        </is>
      </c>
      <c r="M284" s="56" t="inlineStr">
        <is>
          <t>3</t>
        </is>
      </c>
      <c r="N284" s="56" t="inlineStr">
        <is>
          <t>Marathwada Auto Compo Pvt. Ltd.</t>
        </is>
      </c>
      <c r="O284" s="58" t="n">
        <v>7</v>
      </c>
      <c r="P284" s="59" t="inlineStr">
        <is>
          <t>0-30</t>
        </is>
      </c>
      <c r="Q284" s="56" t="inlineStr">
        <is>
          <t>Apoorv</t>
        </is>
      </c>
      <c r="U284" s="585" t="n">
        <v>4110464</v>
      </c>
      <c r="V284" t="n">
        <v>19.05</v>
      </c>
      <c r="W284" t="n">
        <v>0</v>
      </c>
      <c r="X284" t="n">
        <v>1.2</v>
      </c>
      <c r="Y284" t="n">
        <v>1.145</v>
      </c>
      <c r="Z284" t="inlineStr">
        <is>
          <t>GR1</t>
        </is>
      </c>
      <c r="AA284" t="inlineStr">
        <is>
          <t>PE</t>
        </is>
      </c>
      <c r="AB284" t="inlineStr">
        <is>
          <t>AW</t>
        </is>
      </c>
      <c r="AC284" t="inlineStr">
        <is>
          <t>19.05-0-1.2-ERW 1-PE</t>
        </is>
      </c>
      <c r="AD284" t="inlineStr">
        <is>
          <t>CTL</t>
        </is>
      </c>
      <c r="AF284" t="n">
        <v>0.6045389091000001</v>
      </c>
    </row>
    <row r="285">
      <c r="A285" s="56" t="n">
        <v>3233555</v>
      </c>
      <c r="B285" s="56" t="inlineStr">
        <is>
          <t>TUB-R-AW-AUT-40.00X20.00X1.210X1.1200</t>
        </is>
      </c>
      <c r="C285" s="56" t="inlineStr">
        <is>
          <t>4923AH1060</t>
        </is>
      </c>
      <c r="D285" s="57" t="n">
        <v>48.622</v>
      </c>
      <c r="E285" s="58" t="n">
        <v>60</v>
      </c>
      <c r="F285" s="57" t="n">
        <v>0.06</v>
      </c>
      <c r="G285" s="56" t="inlineStr">
        <is>
          <t>KG</t>
        </is>
      </c>
      <c r="H285" s="56" t="inlineStr">
        <is>
          <t>R001</t>
        </is>
      </c>
      <c r="I285" s="56" t="inlineStr">
        <is>
          <t>0789</t>
        </is>
      </c>
      <c r="J285" s="56" t="inlineStr">
        <is>
          <t>2050</t>
        </is>
      </c>
      <c r="K285" s="57" t="n">
        <v>54.486</v>
      </c>
      <c r="L285" s="56" t="inlineStr">
        <is>
          <t>9518315452/ 4</t>
        </is>
      </c>
      <c r="M285" s="56" t="inlineStr">
        <is>
          <t>4</t>
        </is>
      </c>
      <c r="N285" s="56" t="inlineStr">
        <is>
          <t>Marathwada Auto Compo Pvt. Ltd.</t>
        </is>
      </c>
      <c r="O285" s="58" t="n">
        <v>13</v>
      </c>
      <c r="P285" s="59" t="inlineStr">
        <is>
          <t>0-30</t>
        </is>
      </c>
      <c r="Q285" s="56" t="inlineStr">
        <is>
          <t>Apoorv</t>
        </is>
      </c>
      <c r="U285" s="585" t="n">
        <v>2409617</v>
      </c>
      <c r="V285" t="n">
        <v>19.05</v>
      </c>
      <c r="W285" t="n">
        <v>0</v>
      </c>
      <c r="X285" t="n">
        <v>1.2</v>
      </c>
      <c r="Y285" t="n">
        <v>1.2</v>
      </c>
      <c r="Z285" t="inlineStr">
        <is>
          <t>WG</t>
        </is>
      </c>
      <c r="AA285" t="inlineStr">
        <is>
          <t>PE</t>
        </is>
      </c>
      <c r="AB285" t="inlineStr">
        <is>
          <t>AW</t>
        </is>
      </c>
      <c r="AC285" t="inlineStr">
        <is>
          <t>19.05-0-1.2-ERW 1-PE</t>
        </is>
      </c>
      <c r="AD285" t="inlineStr">
        <is>
          <t>CTL</t>
        </is>
      </c>
      <c r="AE285" t="inlineStr">
        <is>
          <t>19.05-0-1.2-ERW 1-PE-1.2</t>
        </is>
      </c>
      <c r="AF285" t="n">
        <v>0.633577896</v>
      </c>
    </row>
    <row r="286">
      <c r="A286" s="56" t="n">
        <v>3233555</v>
      </c>
      <c r="B286" s="56" t="inlineStr">
        <is>
          <t>TUB-R-AW-AUT-40.00X20.00X1.210X1.1200</t>
        </is>
      </c>
      <c r="C286" s="56" t="inlineStr">
        <is>
          <t>4C25H40450</t>
        </is>
      </c>
      <c r="D286" s="57" t="n">
        <v>157.498</v>
      </c>
      <c r="E286" s="57" t="n">
        <v>194.352</v>
      </c>
      <c r="F286" s="57" t="n">
        <v>0.194352</v>
      </c>
      <c r="G286" s="56" t="inlineStr">
        <is>
          <t>KG</t>
        </is>
      </c>
      <c r="H286" s="56" t="inlineStr">
        <is>
          <t>R001</t>
        </is>
      </c>
      <c r="I286" s="56" t="inlineStr">
        <is>
          <t>0789</t>
        </is>
      </c>
      <c r="J286" s="56" t="inlineStr">
        <is>
          <t>930</t>
        </is>
      </c>
      <c r="K286" s="57" t="n">
        <v>176.491</v>
      </c>
      <c r="L286" s="56" t="inlineStr">
        <is>
          <t>9518315452/ 4</t>
        </is>
      </c>
      <c r="M286" s="56" t="inlineStr">
        <is>
          <t>4</t>
        </is>
      </c>
      <c r="N286" s="56" t="inlineStr">
        <is>
          <t>Marathwada Auto Compo Pvt. Ltd.</t>
        </is>
      </c>
      <c r="O286" s="58" t="n">
        <v>19</v>
      </c>
      <c r="P286" s="59" t="inlineStr">
        <is>
          <t>0-30</t>
        </is>
      </c>
      <c r="Q286" s="56" t="inlineStr">
        <is>
          <t>Apoorv</t>
        </is>
      </c>
      <c r="U286" s="507" t="n">
        <v>3929692</v>
      </c>
      <c r="V286" t="n">
        <v>19.05</v>
      </c>
      <c r="W286" t="n">
        <v>0</v>
      </c>
      <c r="X286" t="n">
        <v>1.2</v>
      </c>
      <c r="Y286" t="n">
        <v>1.23</v>
      </c>
      <c r="Z286" t="inlineStr">
        <is>
          <t>CRFH</t>
        </is>
      </c>
      <c r="AA286" t="inlineStr">
        <is>
          <t>PE</t>
        </is>
      </c>
      <c r="AB286" t="inlineStr">
        <is>
          <t>AW</t>
        </is>
      </c>
      <c r="AC286" t="inlineStr">
        <is>
          <t>19.05-0-1.2-CRFH-PE</t>
        </is>
      </c>
      <c r="AD286" t="inlineStr">
        <is>
          <t>CTL</t>
        </is>
      </c>
      <c r="AE286" t="inlineStr">
        <is>
          <t>19.05-0-1.2-CRFH-PE-1.23</t>
        </is>
      </c>
      <c r="AF286" t="n">
        <v>0.6494173434</v>
      </c>
    </row>
    <row r="287">
      <c r="A287" s="56" t="n">
        <v>3233555</v>
      </c>
      <c r="B287" s="56" t="inlineStr">
        <is>
          <t>TUB-R-AW-AUT-40.00X20.00X1.210X1.1200</t>
        </is>
      </c>
      <c r="C287" s="56" t="inlineStr">
        <is>
          <t>5101CH1030</t>
        </is>
      </c>
      <c r="D287" s="57" t="n">
        <v>2078.606</v>
      </c>
      <c r="E287" s="58" t="n">
        <v>2565</v>
      </c>
      <c r="F287" s="57" t="n">
        <v>2.565</v>
      </c>
      <c r="G287" s="56" t="inlineStr">
        <is>
          <t>KG</t>
        </is>
      </c>
      <c r="H287" s="56" t="inlineStr">
        <is>
          <t>R001</t>
        </is>
      </c>
      <c r="I287" s="56" t="inlineStr">
        <is>
          <t>0789</t>
        </is>
      </c>
      <c r="J287" s="56" t="inlineStr">
        <is>
          <t>2080</t>
        </is>
      </c>
      <c r="K287" s="57" t="n">
        <v>2329.277</v>
      </c>
      <c r="L287" s="56" t="inlineStr">
        <is>
          <t>9518395829/ 4</t>
        </is>
      </c>
      <c r="M287" s="56" t="inlineStr">
        <is>
          <t>4</t>
        </is>
      </c>
      <c r="N287" s="56" t="inlineStr">
        <is>
          <t>Marathwada Auto Compo Pvt. Ltd.</t>
        </is>
      </c>
      <c r="O287" s="58" t="n">
        <v>7</v>
      </c>
      <c r="P287" s="59" t="inlineStr">
        <is>
          <t>0-30</t>
        </is>
      </c>
      <c r="Q287" s="56" t="inlineStr">
        <is>
          <t>Apoorv</t>
        </is>
      </c>
      <c r="U287" s="585" t="n">
        <v>3675648</v>
      </c>
      <c r="V287" t="n">
        <v>19.05</v>
      </c>
      <c r="W287" t="n">
        <v>0</v>
      </c>
      <c r="X287" t="n">
        <v>1.2</v>
      </c>
      <c r="Y287" t="n">
        <v>1.235</v>
      </c>
      <c r="Z287" t="inlineStr">
        <is>
          <t>TE13</t>
        </is>
      </c>
      <c r="AA287" t="inlineStr">
        <is>
          <t>PE</t>
        </is>
      </c>
      <c r="AB287" t="inlineStr">
        <is>
          <t>AW</t>
        </is>
      </c>
      <c r="AC287" t="inlineStr">
        <is>
          <t>check for ALF</t>
        </is>
      </c>
      <c r="AD287" t="inlineStr">
        <is>
          <t>CTL</t>
        </is>
      </c>
      <c r="AE287" t="inlineStr">
        <is>
          <t>check for ALF-1.235</t>
        </is>
      </c>
      <c r="AF287" t="n">
        <v>0.6520572513000001</v>
      </c>
    </row>
    <row r="288">
      <c r="A288" s="56" t="n">
        <v>3233556</v>
      </c>
      <c r="B288" s="56" t="inlineStr">
        <is>
          <t>TUB-R-AW-AUT-40.00X20.00X1.210X0.9400</t>
        </is>
      </c>
      <c r="C288" s="56" t="inlineStr">
        <is>
          <t>4C31H40865</t>
        </is>
      </c>
      <c r="D288" s="57" t="n">
        <v>148.649</v>
      </c>
      <c r="E288" s="58" t="n">
        <v>154</v>
      </c>
      <c r="F288" s="57" t="n">
        <v>0.154</v>
      </c>
      <c r="G288" s="56" t="inlineStr">
        <is>
          <t>KG</t>
        </is>
      </c>
      <c r="H288" s="56" t="inlineStr">
        <is>
          <t>R001</t>
        </is>
      </c>
      <c r="I288" s="56" t="inlineStr">
        <is>
          <t>0789</t>
        </is>
      </c>
      <c r="J288" s="56" t="inlineStr">
        <is>
          <t>2150</t>
        </is>
      </c>
      <c r="K288" s="57" t="n">
        <v>139.847</v>
      </c>
      <c r="L288" s="56" t="inlineStr">
        <is>
          <t>9518315452/ 5</t>
        </is>
      </c>
      <c r="M288" s="56" t="inlineStr">
        <is>
          <t>5</t>
        </is>
      </c>
      <c r="N288" s="56" t="inlineStr">
        <is>
          <t>Marathwada Auto Compo Pvt. Ltd.</t>
        </is>
      </c>
      <c r="O288" s="58" t="n">
        <v>13</v>
      </c>
      <c r="P288" s="59" t="inlineStr">
        <is>
          <t>0-30</t>
        </is>
      </c>
      <c r="Q288" s="56" t="inlineStr">
        <is>
          <t>Apoorv</t>
        </is>
      </c>
      <c r="U288" s="585" t="n">
        <v>3409367</v>
      </c>
      <c r="V288" t="n">
        <v>19.05</v>
      </c>
      <c r="W288" t="n">
        <v>0</v>
      </c>
      <c r="X288" t="n">
        <v>1.2</v>
      </c>
      <c r="Y288" t="n">
        <v>1.275</v>
      </c>
      <c r="Z288" t="inlineStr">
        <is>
          <t>WG</t>
        </is>
      </c>
      <c r="AA288" t="inlineStr">
        <is>
          <t>PE</t>
        </is>
      </c>
      <c r="AB288" t="inlineStr">
        <is>
          <t>AW</t>
        </is>
      </c>
      <c r="AC288" t="inlineStr">
        <is>
          <t>19.05-0-1.2-ERW 1-PE</t>
        </is>
      </c>
      <c r="AD288" t="inlineStr">
        <is>
          <t>CTL</t>
        </is>
      </c>
      <c r="AE288" t="inlineStr">
        <is>
          <t>19.05-0-1.2-ERW 1-PE-1.275</t>
        </is>
      </c>
      <c r="AF288" t="n">
        <v>0.6731765145</v>
      </c>
    </row>
    <row r="289">
      <c r="A289" s="56" t="n">
        <v>3233556</v>
      </c>
      <c r="B289" s="56" t="inlineStr">
        <is>
          <t>TUB-R-AW-AUT-40.00X20.00X1.210X0.9400</t>
        </is>
      </c>
      <c r="C289" s="56" t="inlineStr">
        <is>
          <t>5101CH1020</t>
        </is>
      </c>
      <c r="D289" s="57" t="n">
        <v>2447.876</v>
      </c>
      <c r="E289" s="58" t="n">
        <v>2536</v>
      </c>
      <c r="F289" s="57" t="n">
        <v>2.536</v>
      </c>
      <c r="G289" s="56" t="inlineStr">
        <is>
          <t>KG</t>
        </is>
      </c>
      <c r="H289" s="56" t="inlineStr">
        <is>
          <t>R001</t>
        </is>
      </c>
      <c r="I289" s="56" t="inlineStr">
        <is>
          <t>0789</t>
        </is>
      </c>
      <c r="J289" s="56" t="inlineStr">
        <is>
          <t>2450</t>
        </is>
      </c>
      <c r="K289" s="57" t="n">
        <v>2302.942</v>
      </c>
      <c r="L289" s="56" t="inlineStr">
        <is>
          <t>9518395829/ 5</t>
        </is>
      </c>
      <c r="M289" s="56" t="inlineStr">
        <is>
          <t>5</t>
        </is>
      </c>
      <c r="N289" s="56" t="inlineStr">
        <is>
          <t>Marathwada Auto Compo Pvt. Ltd.</t>
        </is>
      </c>
      <c r="O289" s="58" t="n">
        <v>7</v>
      </c>
      <c r="P289" s="59" t="inlineStr">
        <is>
          <t>0-30</t>
        </is>
      </c>
      <c r="Q289" s="56" t="inlineStr">
        <is>
          <t>Apoorv</t>
        </is>
      </c>
      <c r="U289" s="585" t="n">
        <v>3675649</v>
      </c>
      <c r="V289" t="n">
        <v>19.05</v>
      </c>
      <c r="W289" t="n">
        <v>0</v>
      </c>
      <c r="X289" t="n">
        <v>1.2</v>
      </c>
      <c r="Y289" t="n">
        <v>1.283</v>
      </c>
      <c r="Z289" t="inlineStr">
        <is>
          <t>TE13</t>
        </is>
      </c>
      <c r="AA289" t="inlineStr">
        <is>
          <t>PE</t>
        </is>
      </c>
      <c r="AB289" t="inlineStr">
        <is>
          <t>AW</t>
        </is>
      </c>
      <c r="AC289" t="inlineStr">
        <is>
          <t>check for ALF</t>
        </is>
      </c>
      <c r="AD289" t="inlineStr">
        <is>
          <t>CTL</t>
        </is>
      </c>
      <c r="AE289" t="inlineStr">
        <is>
          <t>check for ALF-1.283</t>
        </is>
      </c>
      <c r="AF289" t="n">
        <v>0.6774003671400001</v>
      </c>
    </row>
    <row r="290">
      <c r="A290" s="56" t="n">
        <v>3233557</v>
      </c>
      <c r="B290" s="56" t="inlineStr">
        <is>
          <t>TUB-R-AW-AUT-40.00X20.00X1.210X0.8000</t>
        </is>
      </c>
      <c r="C290" s="56" t="inlineStr">
        <is>
          <t>4A18AH1090</t>
        </is>
      </c>
      <c r="D290" s="57" t="n">
        <v>380.136</v>
      </c>
      <c r="E290" s="57" t="n">
        <v>334.9</v>
      </c>
      <c r="F290" s="57" t="n">
        <v>0.3349</v>
      </c>
      <c r="G290" s="56" t="inlineStr">
        <is>
          <t>KG</t>
        </is>
      </c>
      <c r="H290" s="56" t="inlineStr">
        <is>
          <t>R001</t>
        </is>
      </c>
      <c r="I290" s="56" t="inlineStr">
        <is>
          <t>0789</t>
        </is>
      </c>
      <c r="J290" s="56" t="inlineStr">
        <is>
          <t>1480</t>
        </is>
      </c>
      <c r="K290" s="57" t="n">
        <v>304.123</v>
      </c>
      <c r="L290" s="56" t="inlineStr">
        <is>
          <t>9518315452/ 6</t>
        </is>
      </c>
      <c r="M290" s="56" t="inlineStr">
        <is>
          <t>6</t>
        </is>
      </c>
      <c r="N290" s="56" t="inlineStr">
        <is>
          <t>Marathwada Auto Compo Pvt. Ltd.</t>
        </is>
      </c>
      <c r="O290" s="58" t="n">
        <v>19</v>
      </c>
      <c r="P290" s="59" t="inlineStr">
        <is>
          <t>0-30</t>
        </is>
      </c>
      <c r="Q290" s="56" t="inlineStr">
        <is>
          <t>Apoorv</t>
        </is>
      </c>
      <c r="U290" s="585" t="n">
        <v>3675650</v>
      </c>
      <c r="V290" t="n">
        <v>19.05</v>
      </c>
      <c r="W290" t="n">
        <v>0</v>
      </c>
      <c r="X290" t="n">
        <v>1.2</v>
      </c>
      <c r="Y290" t="n">
        <v>1.29</v>
      </c>
      <c r="Z290" t="inlineStr">
        <is>
          <t>TE13</t>
        </is>
      </c>
      <c r="AA290" t="inlineStr">
        <is>
          <t>PE</t>
        </is>
      </c>
      <c r="AB290" t="inlineStr">
        <is>
          <t>AW</t>
        </is>
      </c>
      <c r="AC290" t="inlineStr">
        <is>
          <t>check for ALF</t>
        </is>
      </c>
      <c r="AD290" t="inlineStr">
        <is>
          <t>CTL</t>
        </is>
      </c>
      <c r="AE290" t="inlineStr">
        <is>
          <t>check for ALF-1.29</t>
        </is>
      </c>
      <c r="AF290" t="n">
        <v>0.6810962382000001</v>
      </c>
    </row>
    <row r="291">
      <c r="A291" s="56" t="n">
        <v>3233557</v>
      </c>
      <c r="B291" s="56" t="inlineStr">
        <is>
          <t>TUB-R-AW-AUT-40.00X20.00X1.210X0.8000</t>
        </is>
      </c>
      <c r="C291" s="56" t="inlineStr">
        <is>
          <t>5101CH1160</t>
        </is>
      </c>
      <c r="D291" s="57" t="n">
        <v>2900.114</v>
      </c>
      <c r="E291" s="58" t="n">
        <v>2555</v>
      </c>
      <c r="F291" s="57" t="n">
        <v>2.555</v>
      </c>
      <c r="G291" s="56" t="inlineStr">
        <is>
          <t>KG</t>
        </is>
      </c>
      <c r="H291" s="56" t="inlineStr">
        <is>
          <t>R001</t>
        </is>
      </c>
      <c r="I291" s="56" t="inlineStr">
        <is>
          <t>0789</t>
        </is>
      </c>
      <c r="J291" s="56" t="inlineStr">
        <is>
          <t>2900</t>
        </is>
      </c>
      <c r="K291" s="57" t="n">
        <v>2320.196</v>
      </c>
      <c r="L291" s="56" t="inlineStr">
        <is>
          <t>9518395829/ 6</t>
        </is>
      </c>
      <c r="M291" s="56" t="inlineStr">
        <is>
          <t>6</t>
        </is>
      </c>
      <c r="N291" s="56" t="inlineStr">
        <is>
          <t>Marathwada Auto Compo Pvt. Ltd.</t>
        </is>
      </c>
      <c r="O291" s="58" t="n">
        <v>7</v>
      </c>
      <c r="P291" s="59" t="inlineStr">
        <is>
          <t>0-30</t>
        </is>
      </c>
      <c r="Q291" s="56" t="inlineStr">
        <is>
          <t>Apoorv</t>
        </is>
      </c>
      <c r="U291" s="586" t="n">
        <v>111116351</v>
      </c>
      <c r="V291" t="n">
        <v>19.05</v>
      </c>
      <c r="W291" t="n">
        <v>0</v>
      </c>
      <c r="X291" t="n">
        <v>1.2</v>
      </c>
      <c r="Y291" t="n">
        <v>5.45</v>
      </c>
      <c r="Z291" t="inlineStr">
        <is>
          <t>WG</t>
        </is>
      </c>
      <c r="AA291" t="inlineStr">
        <is>
          <t>PE</t>
        </is>
      </c>
      <c r="AB291" t="inlineStr">
        <is>
          <t>AW</t>
        </is>
      </c>
      <c r="AC291" t="inlineStr">
        <is>
          <t>19.05-0-1.2-ERW 1-PE</t>
        </is>
      </c>
      <c r="AD291" t="inlineStr">
        <is>
          <t>LL</t>
        </is>
      </c>
      <c r="AE291" t="inlineStr">
        <is>
          <t>19.05-0-1.2-ERW 1-PE-1</t>
        </is>
      </c>
      <c r="AF291" t="n">
        <v>0.5279815800000001</v>
      </c>
    </row>
    <row r="292">
      <c r="A292" s="56" t="n">
        <v>3233558</v>
      </c>
      <c r="B292" s="56" t="inlineStr">
        <is>
          <t>TUB-R-AW-AUT-40.00X20.00X1.210X0.1680</t>
        </is>
      </c>
      <c r="C292" s="56" t="inlineStr">
        <is>
          <t>AKN2306480</t>
        </is>
      </c>
      <c r="D292" s="57" t="n">
        <v>522.925</v>
      </c>
      <c r="E292" s="57" t="n">
        <v>97.264</v>
      </c>
      <c r="F292" s="57" t="n">
        <v>0.09726399999999999</v>
      </c>
      <c r="G292" s="56" t="inlineStr">
        <is>
          <t>KG</t>
        </is>
      </c>
      <c r="H292" s="56" t="inlineStr">
        <is>
          <t>R001</t>
        </is>
      </c>
      <c r="I292" s="56" t="inlineStr">
        <is>
          <t>0789</t>
        </is>
      </c>
      <c r="J292" s="56" t="inlineStr"/>
      <c r="K292" s="57" t="n">
        <v>88.325</v>
      </c>
      <c r="L292" s="56" t="inlineStr">
        <is>
          <t>9516935670/ 21</t>
        </is>
      </c>
      <c r="M292" s="56" t="inlineStr">
        <is>
          <t>21</t>
        </is>
      </c>
      <c r="N292" s="56" t="inlineStr">
        <is>
          <t>Sri Balaji Gears</t>
        </is>
      </c>
      <c r="O292" s="58" t="n">
        <v>563</v>
      </c>
      <c r="P292" s="59" t="inlineStr">
        <is>
          <t>ABOVE 90</t>
        </is>
      </c>
      <c r="Q292" s="56" t="inlineStr">
        <is>
          <t>Diwakar</t>
        </is>
      </c>
      <c r="U292" s="586" t="n">
        <v>111002144</v>
      </c>
      <c r="V292" t="n">
        <v>19.05</v>
      </c>
      <c r="W292" t="n">
        <v>0</v>
      </c>
      <c r="X292" t="n">
        <v>1.2</v>
      </c>
      <c r="Y292" t="n">
        <v>5.74</v>
      </c>
      <c r="Z292" t="inlineStr">
        <is>
          <t>WG</t>
        </is>
      </c>
      <c r="AA292" t="inlineStr">
        <is>
          <t>PE</t>
        </is>
      </c>
      <c r="AB292" t="inlineStr">
        <is>
          <t>AW</t>
        </is>
      </c>
      <c r="AC292" t="inlineStr">
        <is>
          <t>19.05-0-1.2-ERW 1-PE</t>
        </is>
      </c>
      <c r="AD292" t="inlineStr">
        <is>
          <t>LL</t>
        </is>
      </c>
      <c r="AE292" t="inlineStr">
        <is>
          <t>19.05-0-1.2-ERW 1-PE-1</t>
        </is>
      </c>
      <c r="AF292" t="n">
        <v>0.5279815800000001</v>
      </c>
    </row>
    <row r="293">
      <c r="A293" s="56" t="n">
        <v>3233559</v>
      </c>
      <c r="B293" s="56" t="inlineStr">
        <is>
          <t>TUB-R-AW-AUT-40.00X20.00X1.210X0.1200</t>
        </is>
      </c>
      <c r="C293" s="56" t="inlineStr">
        <is>
          <t>4B22H38148</t>
        </is>
      </c>
      <c r="D293" s="57" t="n">
        <v>6645.85</v>
      </c>
      <c r="E293" s="57" t="n">
        <v>883.898</v>
      </c>
      <c r="F293" s="57" t="n">
        <v>0.8838980000000001</v>
      </c>
      <c r="G293" s="56" t="inlineStr">
        <is>
          <t>KG</t>
        </is>
      </c>
      <c r="H293" s="56" t="inlineStr">
        <is>
          <t>R001</t>
        </is>
      </c>
      <c r="I293" s="56" t="inlineStr">
        <is>
          <t>0789</t>
        </is>
      </c>
      <c r="J293" s="56" t="inlineStr">
        <is>
          <t>9000</t>
        </is>
      </c>
      <c r="K293" s="57" t="n">
        <v>802.668</v>
      </c>
      <c r="L293" s="56" t="inlineStr">
        <is>
          <t>9518315613/ 9</t>
        </is>
      </c>
      <c r="M293" s="56" t="inlineStr">
        <is>
          <t>9</t>
        </is>
      </c>
      <c r="N293" s="56" t="inlineStr">
        <is>
          <t>Sri Balaji Gears</t>
        </is>
      </c>
      <c r="O293" s="58" t="n">
        <v>44</v>
      </c>
      <c r="P293" s="59" t="inlineStr">
        <is>
          <t>31-60</t>
        </is>
      </c>
      <c r="Q293" s="56" t="inlineStr">
        <is>
          <t>Diwakar</t>
        </is>
      </c>
      <c r="U293" s="586" t="n">
        <v>111121736</v>
      </c>
      <c r="V293" t="n">
        <v>19.05</v>
      </c>
      <c r="W293" t="n">
        <v>0</v>
      </c>
      <c r="X293" t="n">
        <v>1.2</v>
      </c>
      <c r="Y293" t="n">
        <v>5.74</v>
      </c>
      <c r="Z293" t="inlineStr">
        <is>
          <t>CRFH</t>
        </is>
      </c>
      <c r="AA293" t="inlineStr">
        <is>
          <t>PE</t>
        </is>
      </c>
      <c r="AB293" t="inlineStr">
        <is>
          <t>AW</t>
        </is>
      </c>
      <c r="AC293" t="inlineStr">
        <is>
          <t>19.05-0-1.2-CRFH-PE</t>
        </is>
      </c>
      <c r="AD293" t="inlineStr">
        <is>
          <t>LL</t>
        </is>
      </c>
      <c r="AE293" t="inlineStr">
        <is>
          <t>19.05-0-1.2-CRFH-PE-1</t>
        </is>
      </c>
      <c r="AF293" t="n">
        <v>0.5279815800000001</v>
      </c>
    </row>
    <row r="294">
      <c r="A294" s="56" t="n">
        <v>3233559</v>
      </c>
      <c r="B294" s="56" t="inlineStr">
        <is>
          <t>TUB-R-AW-AUT-40.00X20.00X1.210X0.1200</t>
        </is>
      </c>
      <c r="C294" s="56" t="inlineStr">
        <is>
          <t>4B30H38856</t>
        </is>
      </c>
      <c r="D294" s="57" t="n">
        <v>1984.962</v>
      </c>
      <c r="E294" s="58" t="n">
        <v>264</v>
      </c>
      <c r="F294" s="57" t="n">
        <v>0.264</v>
      </c>
      <c r="G294" s="56" t="inlineStr">
        <is>
          <t>KG</t>
        </is>
      </c>
      <c r="H294" s="56" t="inlineStr">
        <is>
          <t>R001</t>
        </is>
      </c>
      <c r="I294" s="56" t="inlineStr">
        <is>
          <t>0789</t>
        </is>
      </c>
      <c r="J294" s="56" t="inlineStr">
        <is>
          <t>2000</t>
        </is>
      </c>
      <c r="K294" s="57" t="n">
        <v>239.738</v>
      </c>
      <c r="L294" s="56" t="inlineStr">
        <is>
          <t>9518315613/ 9</t>
        </is>
      </c>
      <c r="M294" s="56" t="inlineStr">
        <is>
          <t>9</t>
        </is>
      </c>
      <c r="N294" s="56" t="inlineStr">
        <is>
          <t>Sri Balaji Gears</t>
        </is>
      </c>
      <c r="O294" s="58" t="n">
        <v>32</v>
      </c>
      <c r="P294" s="59" t="inlineStr">
        <is>
          <t>31-60</t>
        </is>
      </c>
      <c r="Q294" s="56" t="inlineStr">
        <is>
          <t>Diwakar</t>
        </is>
      </c>
      <c r="U294" s="586" t="n">
        <v>111120702</v>
      </c>
      <c r="V294" t="n">
        <v>19.05</v>
      </c>
      <c r="W294" t="n">
        <v>0</v>
      </c>
      <c r="X294" t="n">
        <v>1.2</v>
      </c>
      <c r="Y294" t="n">
        <v>5.77</v>
      </c>
      <c r="Z294" t="inlineStr">
        <is>
          <t>WG</t>
        </is>
      </c>
      <c r="AA294" t="inlineStr">
        <is>
          <t>PE</t>
        </is>
      </c>
      <c r="AB294" t="inlineStr">
        <is>
          <t>AW</t>
        </is>
      </c>
      <c r="AC294" t="inlineStr">
        <is>
          <t>19.05-0-1.2-ERW 1-PE</t>
        </is>
      </c>
      <c r="AD294" t="inlineStr">
        <is>
          <t>LL</t>
        </is>
      </c>
      <c r="AE294" t="inlineStr">
        <is>
          <t>19.05-0-1.2-ERW 1-PE-1</t>
        </is>
      </c>
      <c r="AF294" t="n">
        <v>0.5279815800000001</v>
      </c>
    </row>
    <row r="295">
      <c r="A295" s="56" t="n">
        <v>3234371</v>
      </c>
      <c r="B295" s="56" t="inlineStr">
        <is>
          <t>TUB-S-AW-AUT-19.00X19.00X1.000X0.4620</t>
        </is>
      </c>
      <c r="C295" s="56" t="inlineStr">
        <is>
          <t>5106H41154</t>
        </is>
      </c>
      <c r="D295" s="57" t="n">
        <v>1257.813</v>
      </c>
      <c r="E295" s="58" t="n">
        <v>322</v>
      </c>
      <c r="F295" s="57" t="n">
        <v>0.322</v>
      </c>
      <c r="G295" s="56" t="inlineStr">
        <is>
          <t>KG</t>
        </is>
      </c>
      <c r="H295" s="56" t="inlineStr">
        <is>
          <t>R001</t>
        </is>
      </c>
      <c r="I295" s="56" t="inlineStr">
        <is>
          <t>0789</t>
        </is>
      </c>
      <c r="J295" s="56" t="inlineStr">
        <is>
          <t>1260</t>
        </is>
      </c>
      <c r="K295" s="57" t="n">
        <v>582.068</v>
      </c>
      <c r="L295" s="56" t="inlineStr">
        <is>
          <t>9518224230/ 16</t>
        </is>
      </c>
      <c r="M295" s="56" t="inlineStr">
        <is>
          <t>16</t>
        </is>
      </c>
      <c r="N295" s="56" t="inlineStr">
        <is>
          <t>Sri Balaji Gears</t>
        </is>
      </c>
      <c r="O295" s="58" t="n">
        <v>7</v>
      </c>
      <c r="P295" s="59" t="inlineStr">
        <is>
          <t>0-30</t>
        </is>
      </c>
      <c r="Q295" s="56" t="inlineStr">
        <is>
          <t>Diwakar</t>
        </is>
      </c>
      <c r="U295" s="585" t="n">
        <v>3573229</v>
      </c>
      <c r="V295" t="n">
        <v>19.05</v>
      </c>
      <c r="W295" t="n">
        <v>0</v>
      </c>
      <c r="X295" t="n">
        <v>1.2</v>
      </c>
      <c r="Y295" t="n">
        <v>5.774</v>
      </c>
      <c r="Z295" t="inlineStr">
        <is>
          <t>WG</t>
        </is>
      </c>
      <c r="AA295" t="inlineStr">
        <is>
          <t>PE</t>
        </is>
      </c>
      <c r="AB295" t="inlineStr">
        <is>
          <t>AW</t>
        </is>
      </c>
      <c r="AC295" t="inlineStr">
        <is>
          <t>19.05-0-1.2-ERW 1-PE</t>
        </is>
      </c>
      <c r="AD295" t="inlineStr">
        <is>
          <t>LL</t>
        </is>
      </c>
      <c r="AE295" t="inlineStr">
        <is>
          <t>19.05-0-1.2-ERW 1-PE-1</t>
        </is>
      </c>
      <c r="AF295" t="n">
        <v>0.5279815800000001</v>
      </c>
    </row>
    <row r="296">
      <c r="A296" s="56" t="n">
        <v>3234371</v>
      </c>
      <c r="B296" s="56" t="inlineStr">
        <is>
          <t>TUB-S-AW-AUT-19.00X19.00X1.000X0.4620</t>
        </is>
      </c>
      <c r="C296" s="56" t="inlineStr">
        <is>
          <t>4C21H40193</t>
        </is>
      </c>
      <c r="D296" s="57" t="n">
        <v>792.9690000000001</v>
      </c>
      <c r="E296" s="58" t="n">
        <v>203</v>
      </c>
      <c r="F296" s="57" t="n">
        <v>0.203</v>
      </c>
      <c r="G296" s="56" t="inlineStr">
        <is>
          <t>KG</t>
        </is>
      </c>
      <c r="H296" s="56" t="inlineStr">
        <is>
          <t>R001</t>
        </is>
      </c>
      <c r="I296" s="56" t="inlineStr">
        <is>
          <t>0789</t>
        </is>
      </c>
      <c r="J296" s="56" t="inlineStr">
        <is>
          <t>2800</t>
        </is>
      </c>
      <c r="K296" s="57" t="n">
        <v>366.956</v>
      </c>
      <c r="L296" s="56" t="inlineStr">
        <is>
          <t>9518315452/ 13</t>
        </is>
      </c>
      <c r="M296" s="56" t="inlineStr">
        <is>
          <t>13</t>
        </is>
      </c>
      <c r="N296" s="56" t="inlineStr">
        <is>
          <t>Marathwada Auto Compo Pvt. Ltd.</t>
        </is>
      </c>
      <c r="O296" s="58" t="n">
        <v>19</v>
      </c>
      <c r="P296" s="59" t="inlineStr">
        <is>
          <t>0-30</t>
        </is>
      </c>
      <c r="Q296" s="56" t="inlineStr">
        <is>
          <t>Apoorv</t>
        </is>
      </c>
      <c r="U296" s="586" t="n">
        <v>111103611</v>
      </c>
      <c r="V296" t="n">
        <v>19.05</v>
      </c>
      <c r="W296" t="n">
        <v>0</v>
      </c>
      <c r="X296" t="n">
        <v>1.2</v>
      </c>
      <c r="Y296" t="n">
        <v>5.85</v>
      </c>
      <c r="Z296" t="inlineStr">
        <is>
          <t>CRFH</t>
        </is>
      </c>
      <c r="AA296" t="inlineStr">
        <is>
          <t>PE</t>
        </is>
      </c>
      <c r="AB296" t="inlineStr">
        <is>
          <t>AW</t>
        </is>
      </c>
      <c r="AC296" t="inlineStr">
        <is>
          <t>19.05-0-1.2-CRFH-PE</t>
        </is>
      </c>
      <c r="AD296" t="inlineStr">
        <is>
          <t>LL</t>
        </is>
      </c>
      <c r="AE296" t="inlineStr">
        <is>
          <t>19.05-0-1.2-CRFH-PE-1</t>
        </is>
      </c>
      <c r="AF296" t="n">
        <v>0.5279815800000001</v>
      </c>
    </row>
    <row r="297">
      <c r="A297" s="56" t="n">
        <v>3234372</v>
      </c>
      <c r="B297" s="56" t="inlineStr">
        <is>
          <t>TUB-S-AW-AUT-19.00X19.00X1.200X0.1290</t>
        </is>
      </c>
      <c r="C297" s="56" t="inlineStr">
        <is>
          <t>RECOV0511F</t>
        </is>
      </c>
      <c r="D297" s="57" t="n">
        <v>5928</v>
      </c>
      <c r="E297" s="57" t="n">
        <v>503.88</v>
      </c>
      <c r="F297" s="57" t="n">
        <v>0.50388</v>
      </c>
      <c r="G297" s="56" t="inlineStr">
        <is>
          <t>KG</t>
        </is>
      </c>
      <c r="H297" s="56" t="inlineStr">
        <is>
          <t>R001</t>
        </is>
      </c>
      <c r="I297" s="56" t="inlineStr">
        <is>
          <t>0789</t>
        </is>
      </c>
      <c r="J297" s="56" t="inlineStr"/>
      <c r="K297" s="57" t="n">
        <v>765.891</v>
      </c>
      <c r="L297" s="56" t="inlineStr">
        <is>
          <t>9518315613/ 24</t>
        </is>
      </c>
      <c r="M297" s="56" t="inlineStr">
        <is>
          <t>24</t>
        </is>
      </c>
      <c r="N297" s="56" t="inlineStr">
        <is>
          <t>Sri Balaji Gears</t>
        </is>
      </c>
      <c r="O297" s="58" t="n">
        <v>69</v>
      </c>
      <c r="P297" s="59" t="inlineStr">
        <is>
          <t>61-90</t>
        </is>
      </c>
      <c r="Q297" s="56" t="inlineStr">
        <is>
          <t>Diwakar</t>
        </is>
      </c>
      <c r="U297" s="586" t="n">
        <v>111103613</v>
      </c>
      <c r="V297" t="n">
        <v>19.05</v>
      </c>
      <c r="W297" t="n">
        <v>0</v>
      </c>
      <c r="X297" t="n">
        <v>1.2</v>
      </c>
      <c r="Y297" t="n">
        <v>5.89</v>
      </c>
      <c r="Z297" t="inlineStr">
        <is>
          <t>CRFH</t>
        </is>
      </c>
      <c r="AA297" t="inlineStr">
        <is>
          <t>PE</t>
        </is>
      </c>
      <c r="AB297" t="inlineStr">
        <is>
          <t>AW</t>
        </is>
      </c>
      <c r="AC297" t="inlineStr">
        <is>
          <t>19.05-0-1.2-CRFH-PE</t>
        </is>
      </c>
      <c r="AD297" t="inlineStr">
        <is>
          <t>LL</t>
        </is>
      </c>
      <c r="AE297" t="inlineStr">
        <is>
          <t>19.05-0-1.2-CRFH-PE-1</t>
        </is>
      </c>
      <c r="AF297" t="n">
        <v>0.5279815800000001</v>
      </c>
    </row>
    <row r="298">
      <c r="A298" s="56" t="n">
        <v>3409366</v>
      </c>
      <c r="B298" s="56" t="inlineStr">
        <is>
          <t>TUB-O-N-AUT-AW-PE-19.05X1.200X0.1090</t>
        </is>
      </c>
      <c r="C298" s="56" t="inlineStr">
        <is>
          <t>5109H41260</t>
        </is>
      </c>
      <c r="D298" s="57" t="n">
        <v>3172.414</v>
      </c>
      <c r="E298" s="58" t="n">
        <v>184</v>
      </c>
      <c r="F298" s="57" t="n">
        <v>0.184</v>
      </c>
      <c r="G298" s="56" t="inlineStr">
        <is>
          <t>KG</t>
        </is>
      </c>
      <c r="H298" s="56" t="inlineStr">
        <is>
          <t>R001</t>
        </is>
      </c>
      <c r="I298" s="56" t="inlineStr">
        <is>
          <t>0789</t>
        </is>
      </c>
      <c r="J298" s="56" t="inlineStr">
        <is>
          <t>3200</t>
        </is>
      </c>
      <c r="K298" s="57" t="n">
        <v>348.155</v>
      </c>
      <c r="L298" s="56" t="inlineStr">
        <is>
          <t>9518314181/ 3</t>
        </is>
      </c>
      <c r="M298" s="56" t="inlineStr">
        <is>
          <t>3</t>
        </is>
      </c>
      <c r="N298" s="56" t="inlineStr">
        <is>
          <t>BALAJI PRESS PRODUCTS INDIA</t>
        </is>
      </c>
      <c r="O298" s="58" t="n">
        <v>4</v>
      </c>
      <c r="P298" s="59" t="inlineStr">
        <is>
          <t>0-30</t>
        </is>
      </c>
      <c r="Q298" s="56" t="inlineStr">
        <is>
          <t>Jitendra Kumar Sharma</t>
        </is>
      </c>
      <c r="U298" s="586" t="n">
        <v>111120703</v>
      </c>
      <c r="V298" t="n">
        <v>19.05</v>
      </c>
      <c r="W298" t="n">
        <v>0</v>
      </c>
      <c r="X298" t="n">
        <v>1.2</v>
      </c>
      <c r="Y298" t="n">
        <v>5.95</v>
      </c>
      <c r="Z298" t="inlineStr">
        <is>
          <t>WG</t>
        </is>
      </c>
      <c r="AA298" t="inlineStr">
        <is>
          <t>PE</t>
        </is>
      </c>
      <c r="AB298" t="inlineStr">
        <is>
          <t>AW</t>
        </is>
      </c>
      <c r="AC298" t="inlineStr">
        <is>
          <t>19.05-0-1.2-ERW 1-PE</t>
        </is>
      </c>
      <c r="AD298" t="inlineStr">
        <is>
          <t>LL</t>
        </is>
      </c>
      <c r="AE298" t="inlineStr">
        <is>
          <t>19.05-0-1.2-ERW 1-PE-1</t>
        </is>
      </c>
      <c r="AF298" t="n">
        <v>0.5279815800000001</v>
      </c>
    </row>
    <row r="299">
      <c r="A299" s="56" t="n">
        <v>3409367</v>
      </c>
      <c r="B299" s="56" t="inlineStr">
        <is>
          <t>TUB-O-N-AUT-AW-PE-19.05X1.200X1.2750</t>
        </is>
      </c>
      <c r="C299" s="56" t="inlineStr">
        <is>
          <t>4921AH1080</t>
        </is>
      </c>
      <c r="D299" s="57" t="n">
        <v>85.813</v>
      </c>
      <c r="E299" s="57" t="n">
        <v>57.838</v>
      </c>
      <c r="F299" s="57" t="n">
        <v>0.057838</v>
      </c>
      <c r="G299" s="56" t="inlineStr">
        <is>
          <t>KG</t>
        </is>
      </c>
      <c r="H299" s="56" t="inlineStr">
        <is>
          <t>R001</t>
        </is>
      </c>
      <c r="I299" s="56" t="inlineStr">
        <is>
          <t>0789</t>
        </is>
      </c>
      <c r="J299" s="56" t="inlineStr">
        <is>
          <t>1700</t>
        </is>
      </c>
      <c r="K299" s="57" t="n">
        <v>109.438</v>
      </c>
      <c r="L299" s="56" t="inlineStr">
        <is>
          <t>9518397519/ 6</t>
        </is>
      </c>
      <c r="M299" s="56" t="inlineStr">
        <is>
          <t>6</t>
        </is>
      </c>
      <c r="N299" s="56" t="inlineStr">
        <is>
          <t>BALAJI PRESS PRODUCTS INDIA</t>
        </is>
      </c>
      <c r="O299" s="58" t="n">
        <v>55</v>
      </c>
      <c r="P299" s="59" t="inlineStr">
        <is>
          <t>31-60</t>
        </is>
      </c>
      <c r="Q299" s="56" t="inlineStr">
        <is>
          <t>Jitendra Kumar Sharma</t>
        </is>
      </c>
      <c r="U299" s="585" t="n">
        <v>1940191</v>
      </c>
      <c r="V299" t="n">
        <v>19.05</v>
      </c>
      <c r="W299" t="n">
        <v>0</v>
      </c>
      <c r="X299" t="n">
        <v>1.2</v>
      </c>
      <c r="Y299" t="n">
        <v>6</v>
      </c>
      <c r="Z299" t="inlineStr">
        <is>
          <t>WG</t>
        </is>
      </c>
      <c r="AA299" t="inlineStr">
        <is>
          <t>PE</t>
        </is>
      </c>
      <c r="AB299" t="inlineStr">
        <is>
          <t>AW</t>
        </is>
      </c>
      <c r="AC299" t="inlineStr">
        <is>
          <t>19.05-0-1.2-ERW 1-PE</t>
        </is>
      </c>
      <c r="AD299" t="inlineStr">
        <is>
          <t>LL</t>
        </is>
      </c>
      <c r="AE299" t="inlineStr">
        <is>
          <t>19.05-0-1.2-ERW 1-PE-1</t>
        </is>
      </c>
      <c r="AF299" t="n">
        <v>0.5279815800000001</v>
      </c>
    </row>
    <row r="300">
      <c r="A300" s="56" t="n">
        <v>3441727</v>
      </c>
      <c r="B300" s="56" t="inlineStr">
        <is>
          <t>TUB-R-AW-AUT-40.00X30.00X1.600X6.0000</t>
        </is>
      </c>
      <c r="C300" s="56" t="inlineStr">
        <is>
          <t>4B24BH2170</t>
        </is>
      </c>
      <c r="D300" s="57" t="n">
        <v>129.5</v>
      </c>
      <c r="E300" s="57" t="n">
        <v>1314.298</v>
      </c>
      <c r="F300" s="57" t="n">
        <v>1.314298</v>
      </c>
      <c r="G300" s="56" t="inlineStr">
        <is>
          <t>KG</t>
        </is>
      </c>
      <c r="H300" s="56" t="inlineStr">
        <is>
          <t>R001</t>
        </is>
      </c>
      <c r="I300" s="56" t="inlineStr">
        <is>
          <t>0789</t>
        </is>
      </c>
      <c r="J300" s="56" t="inlineStr">
        <is>
          <t>269</t>
        </is>
      </c>
      <c r="K300" s="57" t="n">
        <v>777.047</v>
      </c>
      <c r="L300" s="56" t="inlineStr"/>
      <c r="M300" s="56" t="inlineStr">
        <is>
          <t>0</t>
        </is>
      </c>
      <c r="N300" s="56" t="inlineStr">
        <is>
          <t>ELKAYEM AUTO ANCILLARIES (PVT) LTD.</t>
        </is>
      </c>
      <c r="O300" s="58" t="n">
        <v>49</v>
      </c>
      <c r="P300" s="59" t="inlineStr">
        <is>
          <t>31-60</t>
        </is>
      </c>
      <c r="Q300" s="56" t="inlineStr">
        <is>
          <t>Diwakar</t>
        </is>
      </c>
      <c r="U300" s="28" t="n">
        <v>3702088</v>
      </c>
      <c r="V300" t="n">
        <v>19.05</v>
      </c>
      <c r="W300" t="n">
        <v>0</v>
      </c>
      <c r="X300" t="n">
        <v>1.2</v>
      </c>
      <c r="Y300" t="n">
        <v>6</v>
      </c>
      <c r="Z300" t="inlineStr">
        <is>
          <t>WG</t>
        </is>
      </c>
      <c r="AA300" t="inlineStr">
        <is>
          <t>PE</t>
        </is>
      </c>
      <c r="AB300" t="inlineStr">
        <is>
          <t>AW</t>
        </is>
      </c>
      <c r="AC300" t="inlineStr">
        <is>
          <t>19.05-0-1.2-ERW 1-PE</t>
        </is>
      </c>
      <c r="AD300" t="inlineStr">
        <is>
          <t>LL</t>
        </is>
      </c>
      <c r="AE300" t="inlineStr">
        <is>
          <t>19.05-0-1.2-ERW 1-PE-1</t>
        </is>
      </c>
      <c r="AF300" t="n">
        <v>0.5279815800000001</v>
      </c>
    </row>
    <row r="301">
      <c r="A301" s="56" t="n">
        <v>3441727</v>
      </c>
      <c r="B301" s="56" t="inlineStr">
        <is>
          <t>TUB-R-AW-AUT-40.00X30.00X1.600X6.0000</t>
        </is>
      </c>
      <c r="C301" s="56" t="inlineStr">
        <is>
          <t>4B24CH2030</t>
        </is>
      </c>
      <c r="D301" s="57" t="n">
        <v>268.992</v>
      </c>
      <c r="E301" s="58" t="n">
        <v>2730</v>
      </c>
      <c r="F301" s="57" t="n">
        <v>2.73</v>
      </c>
      <c r="G301" s="56" t="inlineStr">
        <is>
          <t>KG</t>
        </is>
      </c>
      <c r="H301" s="56" t="inlineStr">
        <is>
          <t>R001</t>
        </is>
      </c>
      <c r="I301" s="56" t="inlineStr">
        <is>
          <t>0789</t>
        </is>
      </c>
      <c r="J301" s="56" t="inlineStr">
        <is>
          <t>273</t>
        </is>
      </c>
      <c r="K301" s="57" t="n">
        <v>1614.048</v>
      </c>
      <c r="L301" s="56" t="inlineStr">
        <is>
          <t>9518209855/ 6</t>
        </is>
      </c>
      <c r="M301" s="56" t="inlineStr">
        <is>
          <t>6</t>
        </is>
      </c>
      <c r="N301" s="56" t="inlineStr">
        <is>
          <t>MEGH STEELS PRIVATE LIMITED - TVS A</t>
        </is>
      </c>
      <c r="O301" s="58" t="n">
        <v>24</v>
      </c>
      <c r="P301" s="59" t="inlineStr">
        <is>
          <t>0-30</t>
        </is>
      </c>
      <c r="Q301" s="56" t="inlineStr">
        <is>
          <t>Apoorv</t>
        </is>
      </c>
      <c r="U301" s="586" t="n">
        <v>111002146</v>
      </c>
      <c r="V301" t="n">
        <v>19.05</v>
      </c>
      <c r="W301" t="n">
        <v>0</v>
      </c>
      <c r="X301" t="n">
        <v>1.2</v>
      </c>
      <c r="Y301" t="n">
        <v>6.075</v>
      </c>
      <c r="Z301" t="inlineStr">
        <is>
          <t>WG</t>
        </is>
      </c>
      <c r="AA301" t="inlineStr">
        <is>
          <t>PE</t>
        </is>
      </c>
      <c r="AB301" t="inlineStr">
        <is>
          <t>AW</t>
        </is>
      </c>
      <c r="AC301" t="inlineStr">
        <is>
          <t>19.05-0-1.2-ERW 1-PE</t>
        </is>
      </c>
      <c r="AD301" t="inlineStr">
        <is>
          <t>LL</t>
        </is>
      </c>
      <c r="AE301" t="inlineStr">
        <is>
          <t>19.05-0-1.2-ERW 1-PE-1</t>
        </is>
      </c>
      <c r="AF301" t="n">
        <v>0.5279815800000001</v>
      </c>
    </row>
    <row r="302">
      <c r="A302" s="56" t="n">
        <v>3500352</v>
      </c>
      <c r="B302" s="56" t="inlineStr">
        <is>
          <t>TUB-O-N-AUT-AW-FC-31.75X2.50X6.000-ERW 1</t>
        </is>
      </c>
      <c r="C302" s="56" t="inlineStr">
        <is>
          <t>4B25CH2070</t>
        </is>
      </c>
      <c r="D302" s="57" t="n">
        <v>13.1</v>
      </c>
      <c r="E302" s="57" t="n">
        <v>136.537</v>
      </c>
      <c r="F302" s="57" t="n">
        <v>0.136537</v>
      </c>
      <c r="G302" s="56" t="inlineStr">
        <is>
          <t>KG</t>
        </is>
      </c>
      <c r="H302" s="56" t="inlineStr">
        <is>
          <t>R001</t>
        </is>
      </c>
      <c r="I302" s="56" t="inlineStr">
        <is>
          <t>0789</t>
        </is>
      </c>
      <c r="J302" s="56" t="inlineStr">
        <is>
          <t>220</t>
        </is>
      </c>
      <c r="K302" s="57" t="n">
        <v>78.596</v>
      </c>
      <c r="L302" s="56" t="inlineStr">
        <is>
          <t>9518080410/ 5</t>
        </is>
      </c>
      <c r="M302" s="56" t="inlineStr">
        <is>
          <t>5</t>
        </is>
      </c>
      <c r="N302" s="56" t="inlineStr">
        <is>
          <t>Rajsriya Automotive Ind.P.Ltd Unit-</t>
        </is>
      </c>
      <c r="O302" s="58" t="n">
        <v>41</v>
      </c>
      <c r="P302" s="59" t="inlineStr">
        <is>
          <t>31-60</t>
        </is>
      </c>
      <c r="Q302" s="56" t="inlineStr">
        <is>
          <t>Apoorv</t>
        </is>
      </c>
      <c r="U302" s="586" t="n">
        <v>111002143</v>
      </c>
      <c r="V302" t="n">
        <v>19.05</v>
      </c>
      <c r="W302" t="n">
        <v>0</v>
      </c>
      <c r="X302" t="n">
        <v>1.2</v>
      </c>
      <c r="Y302" t="n">
        <v>6.16</v>
      </c>
      <c r="Z302" t="inlineStr">
        <is>
          <t>WG</t>
        </is>
      </c>
      <c r="AA302" t="inlineStr">
        <is>
          <t>PE</t>
        </is>
      </c>
      <c r="AB302" t="inlineStr">
        <is>
          <t>AW</t>
        </is>
      </c>
      <c r="AC302" t="inlineStr">
        <is>
          <t>19.05-0-1.2-ERW 1-PE</t>
        </is>
      </c>
      <c r="AD302" t="inlineStr">
        <is>
          <t>LL</t>
        </is>
      </c>
      <c r="AE302" t="inlineStr">
        <is>
          <t>19.05-0-1.2-ERW 1-PE-1</t>
        </is>
      </c>
      <c r="AF302" t="n">
        <v>0.5279815800000001</v>
      </c>
    </row>
    <row r="303">
      <c r="A303" s="56" t="n">
        <v>3500352</v>
      </c>
      <c r="B303" s="56" t="inlineStr">
        <is>
          <t>TUB-O-N-AUT-AW-FC-31.75X2.50X6.000-ERW 1</t>
        </is>
      </c>
      <c r="C303" s="56" t="inlineStr">
        <is>
          <t>4B25CH2090</t>
        </is>
      </c>
      <c r="D303" s="57" t="n">
        <v>15.362</v>
      </c>
      <c r="E303" s="57" t="n">
        <v>160.12</v>
      </c>
      <c r="F303" s="57" t="n">
        <v>0.16012</v>
      </c>
      <c r="G303" s="56" t="inlineStr">
        <is>
          <t>KG</t>
        </is>
      </c>
      <c r="H303" s="56" t="inlineStr">
        <is>
          <t>R001</t>
        </is>
      </c>
      <c r="I303" s="56" t="inlineStr">
        <is>
          <t>0789</t>
        </is>
      </c>
      <c r="J303" s="56" t="inlineStr">
        <is>
          <t>79</t>
        </is>
      </c>
      <c r="K303" s="57" t="n">
        <v>92.17100000000001</v>
      </c>
      <c r="L303" s="56" t="inlineStr">
        <is>
          <t>9518229392/ 10</t>
        </is>
      </c>
      <c r="M303" s="56" t="inlineStr">
        <is>
          <t>10</t>
        </is>
      </c>
      <c r="N303" s="56" t="inlineStr">
        <is>
          <t>Rajsriya Automotive Industries</t>
        </is>
      </c>
      <c r="O303" s="58" t="n">
        <v>41</v>
      </c>
      <c r="P303" s="59" t="inlineStr">
        <is>
          <t>31-60</t>
        </is>
      </c>
      <c r="Q303" s="56" t="inlineStr">
        <is>
          <t>Apoorv</t>
        </is>
      </c>
      <c r="U303" s="586" t="n">
        <v>110102339</v>
      </c>
      <c r="V303" t="n">
        <v>19.05</v>
      </c>
      <c r="W303" t="n">
        <v>0</v>
      </c>
      <c r="X303" t="n">
        <v>1.2</v>
      </c>
      <c r="Y303" t="n">
        <v>6.215</v>
      </c>
      <c r="Z303" t="inlineStr">
        <is>
          <t>WG</t>
        </is>
      </c>
      <c r="AA303" t="inlineStr">
        <is>
          <t>PE</t>
        </is>
      </c>
      <c r="AB303" t="inlineStr">
        <is>
          <t>AW</t>
        </is>
      </c>
      <c r="AC303" t="inlineStr">
        <is>
          <t>19.05-0-1.2-ERW 1-PE</t>
        </is>
      </c>
      <c r="AD303" t="inlineStr">
        <is>
          <t>LL</t>
        </is>
      </c>
      <c r="AE303" t="inlineStr">
        <is>
          <t>19.05-0-1.2-ERW 1-PE-1</t>
        </is>
      </c>
      <c r="AF303" t="n">
        <v>0.5279815800000001</v>
      </c>
    </row>
    <row r="304">
      <c r="A304" s="56" t="n">
        <v>3502422</v>
      </c>
      <c r="B304" s="56" t="inlineStr">
        <is>
          <t>TUB-O-N-AUT-AW-FC-48.60X3.500X6.0500</t>
        </is>
      </c>
      <c r="C304" s="56" t="inlineStr">
        <is>
          <t>4B11AH2040</t>
        </is>
      </c>
      <c r="D304" s="57" t="n">
        <v>110.012</v>
      </c>
      <c r="E304" s="58" t="n">
        <v>2591</v>
      </c>
      <c r="F304" s="57" t="n">
        <v>2.591</v>
      </c>
      <c r="G304" s="56" t="inlineStr">
        <is>
          <t>KG</t>
        </is>
      </c>
      <c r="H304" s="56" t="inlineStr">
        <is>
          <t>R001</t>
        </is>
      </c>
      <c r="I304" s="56" t="inlineStr">
        <is>
          <t>0789</t>
        </is>
      </c>
      <c r="J304" s="56" t="inlineStr">
        <is>
          <t>114</t>
        </is>
      </c>
      <c r="K304" s="57" t="n">
        <v>665.588</v>
      </c>
      <c r="L304" s="56" t="inlineStr"/>
      <c r="M304" s="56" t="inlineStr">
        <is>
          <t>0</t>
        </is>
      </c>
      <c r="N304" s="56" t="inlineStr">
        <is>
          <t>Metalman Auto Private Limited</t>
        </is>
      </c>
      <c r="O304" s="58" t="n">
        <v>49</v>
      </c>
      <c r="P304" s="59" t="inlineStr">
        <is>
          <t>31-60</t>
        </is>
      </c>
      <c r="Q304" s="56" t="inlineStr">
        <is>
          <t>Jitendra Kumar Sharma</t>
        </is>
      </c>
      <c r="U304" s="585" t="n">
        <v>4189326</v>
      </c>
      <c r="V304" t="n">
        <v>19.05</v>
      </c>
      <c r="W304" t="n">
        <v>0</v>
      </c>
      <c r="X304" t="n">
        <v>1.2</v>
      </c>
      <c r="Y304" t="n">
        <v>6.215</v>
      </c>
      <c r="Z304" t="inlineStr">
        <is>
          <t>WG</t>
        </is>
      </c>
      <c r="AA304" t="inlineStr">
        <is>
          <t>PE</t>
        </is>
      </c>
      <c r="AB304" t="inlineStr">
        <is>
          <t>AW</t>
        </is>
      </c>
      <c r="AC304" t="inlineStr">
        <is>
          <t>19.05-0-1.2-ERW 1-PE</t>
        </is>
      </c>
      <c r="AD304" t="inlineStr">
        <is>
          <t>LL</t>
        </is>
      </c>
      <c r="AF304" t="n">
        <v>0.5279815800000001</v>
      </c>
    </row>
    <row r="305">
      <c r="A305" s="56" t="n">
        <v>3502422</v>
      </c>
      <c r="B305" s="56" t="inlineStr">
        <is>
          <t>TUB-O-N-AUT-AW-FC-48.60X3.500X6.0500</t>
        </is>
      </c>
      <c r="C305" s="56" t="inlineStr">
        <is>
          <t>4B11AH2050</t>
        </is>
      </c>
      <c r="D305" s="57" t="n">
        <v>37.407</v>
      </c>
      <c r="E305" s="58" t="n">
        <v>881</v>
      </c>
      <c r="F305" s="57" t="n">
        <v>0.881</v>
      </c>
      <c r="G305" s="56" t="inlineStr">
        <is>
          <t>KG</t>
        </is>
      </c>
      <c r="H305" s="56" t="inlineStr">
        <is>
          <t>R001</t>
        </is>
      </c>
      <c r="I305" s="56" t="inlineStr">
        <is>
          <t>0789</t>
        </is>
      </c>
      <c r="J305" s="56" t="inlineStr">
        <is>
          <t>117</t>
        </is>
      </c>
      <c r="K305" s="57" t="n">
        <v>226.315</v>
      </c>
      <c r="L305" s="56" t="inlineStr"/>
      <c r="M305" s="56" t="inlineStr">
        <is>
          <t>0</t>
        </is>
      </c>
      <c r="N305" s="56" t="inlineStr">
        <is>
          <t>Metalman Auto Private Limited</t>
        </is>
      </c>
      <c r="O305" s="58" t="n">
        <v>61</v>
      </c>
      <c r="P305" s="59" t="inlineStr">
        <is>
          <t>61-90</t>
        </is>
      </c>
      <c r="Q305" s="56" t="inlineStr">
        <is>
          <t>Jitendra Kumar Sharma</t>
        </is>
      </c>
      <c r="U305" s="586" t="n">
        <v>111121701</v>
      </c>
      <c r="V305" t="n">
        <v>19.05</v>
      </c>
      <c r="W305" t="n">
        <v>0</v>
      </c>
      <c r="X305" t="n">
        <v>1.2</v>
      </c>
      <c r="Y305" t="n">
        <v>6.225</v>
      </c>
      <c r="Z305" t="inlineStr">
        <is>
          <t>CRFH</t>
        </is>
      </c>
      <c r="AA305" t="inlineStr">
        <is>
          <t>PE</t>
        </is>
      </c>
      <c r="AB305" t="inlineStr">
        <is>
          <t>AW</t>
        </is>
      </c>
      <c r="AC305" t="inlineStr">
        <is>
          <t>19-19-1.2-CRFH-PE</t>
        </is>
      </c>
      <c r="AD305" t="inlineStr">
        <is>
          <t>LL</t>
        </is>
      </c>
      <c r="AE305" t="inlineStr">
        <is>
          <t>19-19-1.2-CRFH-PE-1</t>
        </is>
      </c>
      <c r="AF305" t="n">
        <v>0.5279815800000001</v>
      </c>
    </row>
    <row r="306">
      <c r="A306" s="56" t="n">
        <v>3502422</v>
      </c>
      <c r="B306" s="56" t="inlineStr">
        <is>
          <t>TUB-O-N-AUT-AW-FC-48.60X3.500X6.0500</t>
        </is>
      </c>
      <c r="C306" s="56" t="inlineStr">
        <is>
          <t>4B11AH2070</t>
        </is>
      </c>
      <c r="D306" s="57" t="n">
        <v>10.827</v>
      </c>
      <c r="E306" s="58" t="n">
        <v>255</v>
      </c>
      <c r="F306" s="57" t="n">
        <v>0.255</v>
      </c>
      <c r="G306" s="56" t="inlineStr">
        <is>
          <t>KG</t>
        </is>
      </c>
      <c r="H306" s="56" t="inlineStr">
        <is>
          <t>R001</t>
        </is>
      </c>
      <c r="I306" s="56" t="inlineStr">
        <is>
          <t>0789</t>
        </is>
      </c>
      <c r="J306" s="56" t="inlineStr"/>
      <c r="K306" s="57" t="n">
        <v>65.506</v>
      </c>
      <c r="L306" s="56" t="inlineStr"/>
      <c r="M306" s="56" t="inlineStr">
        <is>
          <t>0</t>
        </is>
      </c>
      <c r="N306" s="56" t="inlineStr">
        <is>
          <t>Metalman Auto Private Limited</t>
        </is>
      </c>
      <c r="O306" s="58" t="n">
        <v>49</v>
      </c>
      <c r="P306" s="59" t="inlineStr">
        <is>
          <t>31-60</t>
        </is>
      </c>
      <c r="Q306" s="56" t="inlineStr">
        <is>
          <t>Jitendra Kumar Sharma</t>
        </is>
      </c>
      <c r="U306" s="586" t="n">
        <v>111116483</v>
      </c>
      <c r="V306" t="n">
        <v>19.05</v>
      </c>
      <c r="W306" t="n">
        <v>0</v>
      </c>
      <c r="X306" t="n">
        <v>1.2</v>
      </c>
      <c r="Y306" t="n">
        <v>6.45</v>
      </c>
      <c r="Z306" t="inlineStr">
        <is>
          <t>WG</t>
        </is>
      </c>
      <c r="AA306" t="inlineStr">
        <is>
          <t>PE</t>
        </is>
      </c>
      <c r="AB306" t="inlineStr">
        <is>
          <t>AW</t>
        </is>
      </c>
      <c r="AC306" t="inlineStr">
        <is>
          <t>19.05-0-1.2-ERW 1-PE</t>
        </is>
      </c>
      <c r="AD306" t="inlineStr">
        <is>
          <t>LL</t>
        </is>
      </c>
      <c r="AE306" t="inlineStr">
        <is>
          <t>19.05-0-1.2-ERW 1-PE-1</t>
        </is>
      </c>
      <c r="AF306" t="n">
        <v>0.5279815800000001</v>
      </c>
    </row>
    <row r="307">
      <c r="A307" s="56" t="n">
        <v>3502422</v>
      </c>
      <c r="B307" s="56" t="inlineStr">
        <is>
          <t>TUB-O-N-AUT-AW-FC-48.60X3.500X6.0500</t>
        </is>
      </c>
      <c r="C307" s="56" t="inlineStr">
        <is>
          <t>4B11AH2080</t>
        </is>
      </c>
      <c r="D307" s="57" t="n">
        <v>112.687</v>
      </c>
      <c r="E307" s="58" t="n">
        <v>2654</v>
      </c>
      <c r="F307" s="57" t="n">
        <v>2.654</v>
      </c>
      <c r="G307" s="56" t="inlineStr">
        <is>
          <t>KG</t>
        </is>
      </c>
      <c r="H307" s="56" t="inlineStr">
        <is>
          <t>R001</t>
        </is>
      </c>
      <c r="I307" s="56" t="inlineStr">
        <is>
          <t>0789</t>
        </is>
      </c>
      <c r="J307" s="56" t="inlineStr"/>
      <c r="K307" s="57" t="n">
        <v>681.771</v>
      </c>
      <c r="L307" s="56" t="inlineStr"/>
      <c r="M307" s="56" t="inlineStr">
        <is>
          <t>0</t>
        </is>
      </c>
      <c r="N307" s="56" t="inlineStr">
        <is>
          <t>Metalman Auto Private Limited</t>
        </is>
      </c>
      <c r="O307" s="58" t="n">
        <v>49</v>
      </c>
      <c r="P307" s="59" t="inlineStr">
        <is>
          <t>31-60</t>
        </is>
      </c>
      <c r="Q307" s="56" t="inlineStr">
        <is>
          <t>Jitendra Kumar Sharma</t>
        </is>
      </c>
      <c r="U307" s="585" t="n">
        <v>2405724</v>
      </c>
      <c r="V307" t="n">
        <v>19.05</v>
      </c>
      <c r="W307" t="n">
        <v>0</v>
      </c>
      <c r="X307" t="n">
        <v>1.4</v>
      </c>
      <c r="Y307" t="n">
        <v>0.222</v>
      </c>
      <c r="Z307" t="inlineStr">
        <is>
          <t>ST52AL</t>
        </is>
      </c>
      <c r="AA307" t="inlineStr">
        <is>
          <t>PE</t>
        </is>
      </c>
      <c r="AB307" t="inlineStr">
        <is>
          <t>AW</t>
        </is>
      </c>
      <c r="AC307" t="inlineStr">
        <is>
          <t>not mine</t>
        </is>
      </c>
      <c r="AD307" t="inlineStr">
        <is>
          <t>CTL</t>
        </is>
      </c>
      <c r="AE307" t="inlineStr">
        <is>
          <t>not mine-0.222</t>
        </is>
      </c>
      <c r="AF307" t="n">
        <v>0.13521504738</v>
      </c>
    </row>
    <row r="308">
      <c r="A308" s="56" t="n">
        <v>3502422</v>
      </c>
      <c r="B308" s="56" t="inlineStr">
        <is>
          <t>TUB-O-N-AUT-AW-FC-48.60X3.500X6.0500</t>
        </is>
      </c>
      <c r="C308" s="56" t="inlineStr">
        <is>
          <t>4B11AH2090</t>
        </is>
      </c>
      <c r="D308" s="57" t="n">
        <v>109.63</v>
      </c>
      <c r="E308" s="58" t="n">
        <v>2582</v>
      </c>
      <c r="F308" s="57" t="n">
        <v>2.582</v>
      </c>
      <c r="G308" s="56" t="inlineStr">
        <is>
          <t>KG</t>
        </is>
      </c>
      <c r="H308" s="56" t="inlineStr">
        <is>
          <t>R001</t>
        </is>
      </c>
      <c r="I308" s="56" t="inlineStr">
        <is>
          <t>0789</t>
        </is>
      </c>
      <c r="J308" s="56" t="inlineStr"/>
      <c r="K308" s="57" t="n">
        <v>663.276</v>
      </c>
      <c r="L308" s="56" t="inlineStr"/>
      <c r="M308" s="56" t="inlineStr">
        <is>
          <t>0</t>
        </is>
      </c>
      <c r="N308" s="56" t="inlineStr">
        <is>
          <t>Metalman Auto Private Limited</t>
        </is>
      </c>
      <c r="O308" s="58" t="n">
        <v>49</v>
      </c>
      <c r="P308" s="59" t="inlineStr">
        <is>
          <t>31-60</t>
        </is>
      </c>
      <c r="Q308" s="56" t="inlineStr">
        <is>
          <t>Jitendra Kumar Sharma</t>
        </is>
      </c>
      <c r="U308" s="585" t="n">
        <v>2404748</v>
      </c>
      <c r="V308" t="n">
        <v>19.05</v>
      </c>
      <c r="W308" t="n">
        <v>0</v>
      </c>
      <c r="X308" t="n">
        <v>1.4</v>
      </c>
      <c r="Y308" t="n">
        <v>0.31</v>
      </c>
      <c r="Z308" t="inlineStr">
        <is>
          <t>ST52AL</t>
        </is>
      </c>
      <c r="AA308" t="inlineStr">
        <is>
          <t>PE</t>
        </is>
      </c>
      <c r="AB308" t="inlineStr">
        <is>
          <t>AW</t>
        </is>
      </c>
      <c r="AC308" t="inlineStr">
        <is>
          <t>not mine</t>
        </is>
      </c>
      <c r="AD308" t="inlineStr">
        <is>
          <t>CTL</t>
        </is>
      </c>
      <c r="AE308" t="inlineStr">
        <is>
          <t>not mine-0.31</t>
        </is>
      </c>
      <c r="AF308" t="n">
        <v>0.1888138049</v>
      </c>
    </row>
    <row r="309">
      <c r="A309" s="56" t="n">
        <v>3502422</v>
      </c>
      <c r="B309" s="56" t="inlineStr">
        <is>
          <t>TUB-O-N-AUT-AW-FC-48.60X3.500X6.0500</t>
        </is>
      </c>
      <c r="C309" s="56" t="inlineStr">
        <is>
          <t>4B11AH2100</t>
        </is>
      </c>
      <c r="D309" s="57" t="n">
        <v>104.025</v>
      </c>
      <c r="E309" s="58" t="n">
        <v>2450</v>
      </c>
      <c r="F309" s="57" t="n">
        <v>2.45</v>
      </c>
      <c r="G309" s="56" t="inlineStr">
        <is>
          <t>KG</t>
        </is>
      </c>
      <c r="H309" s="56" t="inlineStr">
        <is>
          <t>R001</t>
        </is>
      </c>
      <c r="I309" s="56" t="inlineStr">
        <is>
          <t>0789</t>
        </is>
      </c>
      <c r="J309" s="56" t="inlineStr">
        <is>
          <t>104</t>
        </is>
      </c>
      <c r="K309" s="57" t="n">
        <v>629.367</v>
      </c>
      <c r="L309" s="56" t="inlineStr">
        <is>
          <t>9518220060/ 11</t>
        </is>
      </c>
      <c r="M309" s="56" t="inlineStr">
        <is>
          <t>11</t>
        </is>
      </c>
      <c r="N309" s="56" t="inlineStr">
        <is>
          <t>Neel Metal Products Limited</t>
        </is>
      </c>
      <c r="O309" s="58" t="n">
        <v>6</v>
      </c>
      <c r="P309" s="59" t="inlineStr">
        <is>
          <t>0-30</t>
        </is>
      </c>
      <c r="Q309" s="56" t="inlineStr">
        <is>
          <t>Apoorv</t>
        </is>
      </c>
      <c r="U309" s="585" t="n">
        <v>3498996</v>
      </c>
      <c r="V309" t="n">
        <v>19.05</v>
      </c>
      <c r="W309" t="n">
        <v>0</v>
      </c>
      <c r="X309" t="n">
        <v>1.4</v>
      </c>
      <c r="Y309" t="n">
        <v>6</v>
      </c>
      <c r="Z309" t="inlineStr"/>
      <c r="AA309" t="inlineStr">
        <is>
          <t>PE</t>
        </is>
      </c>
      <c r="AB309" t="inlineStr">
        <is>
          <t>AW</t>
        </is>
      </c>
      <c r="AC309" t="inlineStr">
        <is>
          <t>not mine</t>
        </is>
      </c>
      <c r="AD309" t="inlineStr">
        <is>
          <t>LL</t>
        </is>
      </c>
      <c r="AE309" t="inlineStr">
        <is>
          <t>not mine-1</t>
        </is>
      </c>
      <c r="AF309" t="n">
        <v>0.60907679</v>
      </c>
    </row>
    <row r="310">
      <c r="A310" s="56" t="n">
        <v>3506173</v>
      </c>
      <c r="B310" s="56" t="inlineStr">
        <is>
          <t>CUT-O-N-AUT-AW-PE-22.20X2.000X0.715</t>
        </is>
      </c>
      <c r="C310" s="56" t="inlineStr">
        <is>
          <t>SEN2310020</t>
        </is>
      </c>
      <c r="D310" s="57" t="n">
        <v>357.964</v>
      </c>
      <c r="E310" s="57" t="n">
        <v>243.451</v>
      </c>
      <c r="F310" s="57" t="n">
        <v>0.243451</v>
      </c>
      <c r="G310" s="56" t="inlineStr">
        <is>
          <t>KG</t>
        </is>
      </c>
      <c r="H310" s="56" t="inlineStr">
        <is>
          <t>R001</t>
        </is>
      </c>
      <c r="I310" s="56" t="inlineStr">
        <is>
          <t>0789</t>
        </is>
      </c>
      <c r="J310" s="56" t="inlineStr"/>
      <c r="K310" s="57" t="n">
        <v>255.944</v>
      </c>
      <c r="L310" s="56" t="inlineStr">
        <is>
          <t>9517579132/ 4</t>
        </is>
      </c>
      <c r="M310" s="56" t="inlineStr">
        <is>
          <t>4</t>
        </is>
      </c>
      <c r="N310" s="56" t="inlineStr">
        <is>
          <t>ELKAYEM AUTO ANCILLARIES PVT LTD -U</t>
        </is>
      </c>
      <c r="O310" s="58" t="n">
        <v>462</v>
      </c>
      <c r="P310" s="59" t="inlineStr">
        <is>
          <t>ABOVE 90</t>
        </is>
      </c>
      <c r="Q310" s="56" t="inlineStr">
        <is>
          <t>Diwakar</t>
        </is>
      </c>
      <c r="U310" s="585" t="n">
        <v>1931848</v>
      </c>
      <c r="V310" t="n">
        <v>19.05</v>
      </c>
      <c r="W310" t="n">
        <v>0</v>
      </c>
      <c r="X310" t="n">
        <v>1.4</v>
      </c>
      <c r="Y310" t="n">
        <v>6</v>
      </c>
      <c r="Z310" t="inlineStr">
        <is>
          <t>D</t>
        </is>
      </c>
      <c r="AA310" t="inlineStr">
        <is>
          <t>PE</t>
        </is>
      </c>
      <c r="AB310" t="inlineStr">
        <is>
          <t>AW</t>
        </is>
      </c>
      <c r="AC310" t="inlineStr">
        <is>
          <t>not mine</t>
        </is>
      </c>
      <c r="AD310" t="inlineStr">
        <is>
          <t>LL</t>
        </is>
      </c>
      <c r="AE310" t="inlineStr">
        <is>
          <t>not mine-1</t>
        </is>
      </c>
      <c r="AF310" t="n">
        <v>0.60907679</v>
      </c>
    </row>
    <row r="311">
      <c r="A311" s="56" t="n">
        <v>3507336</v>
      </c>
      <c r="B311" s="56" t="inlineStr">
        <is>
          <t>CUT-O-N-AUT-AW-FC-38.10X1.600X0.970</t>
        </is>
      </c>
      <c r="C311" s="56" t="inlineStr">
        <is>
          <t>4A26H36392</t>
        </is>
      </c>
      <c r="D311" s="57" t="n">
        <v>411.999</v>
      </c>
      <c r="E311" s="58" t="n">
        <v>548</v>
      </c>
      <c r="F311" s="57" t="n">
        <v>0.548</v>
      </c>
      <c r="G311" s="56" t="inlineStr">
        <is>
          <t>KG</t>
        </is>
      </c>
      <c r="H311" s="56" t="inlineStr">
        <is>
          <t>R001</t>
        </is>
      </c>
      <c r="I311" s="56" t="inlineStr">
        <is>
          <t>0789</t>
        </is>
      </c>
      <c r="J311" s="56" t="inlineStr">
        <is>
          <t>392</t>
        </is>
      </c>
      <c r="K311" s="57" t="n">
        <v>399.65</v>
      </c>
      <c r="L311" s="56" t="inlineStr">
        <is>
          <t>9518133298/ 20</t>
        </is>
      </c>
      <c r="M311" s="56" t="inlineStr">
        <is>
          <t>20</t>
        </is>
      </c>
      <c r="N311" s="56" t="inlineStr">
        <is>
          <t>Neel Metal Products Limited</t>
        </is>
      </c>
      <c r="O311" s="58" t="n">
        <v>79</v>
      </c>
      <c r="P311" s="59" t="inlineStr">
        <is>
          <t>61-90</t>
        </is>
      </c>
      <c r="Q311" s="56" t="inlineStr">
        <is>
          <t>Apoorv</t>
        </is>
      </c>
      <c r="U311" s="585" t="n">
        <v>2288879</v>
      </c>
      <c r="V311" t="n">
        <v>19.05</v>
      </c>
      <c r="W311" t="n">
        <v>0</v>
      </c>
      <c r="X311" t="n">
        <v>1.42</v>
      </c>
      <c r="Y311" t="n">
        <v>6</v>
      </c>
      <c r="Z311" t="inlineStr">
        <is>
          <t>ST52AL</t>
        </is>
      </c>
      <c r="AA311" t="inlineStr">
        <is>
          <t>PE</t>
        </is>
      </c>
      <c r="AB311" t="inlineStr">
        <is>
          <t>AW</t>
        </is>
      </c>
      <c r="AC311" t="inlineStr">
        <is>
          <t>not mine</t>
        </is>
      </c>
      <c r="AD311" t="inlineStr">
        <is>
          <t>LL</t>
        </is>
      </c>
      <c r="AE311" t="inlineStr">
        <is>
          <t>not mine-1</t>
        </is>
      </c>
      <c r="AF311" t="n">
        <v>0.6170778554</v>
      </c>
    </row>
    <row r="312">
      <c r="A312" s="56" t="n">
        <v>3508742</v>
      </c>
      <c r="B312" s="56" t="inlineStr">
        <is>
          <t>CUT-O-N-AUT-AW-FC-38.10X2.000X0.4100</t>
        </is>
      </c>
      <c r="C312" s="56" t="inlineStr">
        <is>
          <t>4B21AH2040</t>
        </is>
      </c>
      <c r="D312" s="57" t="n">
        <v>991.114</v>
      </c>
      <c r="E312" s="57" t="n">
        <v>706.444</v>
      </c>
      <c r="F312" s="57" t="n">
        <v>0.706444</v>
      </c>
      <c r="G312" s="56" t="inlineStr">
        <is>
          <t>KG</t>
        </is>
      </c>
      <c r="H312" s="56" t="inlineStr">
        <is>
          <t>R001</t>
        </is>
      </c>
      <c r="I312" s="56" t="inlineStr">
        <is>
          <t>0789</t>
        </is>
      </c>
      <c r="J312" s="56" t="inlineStr">
        <is>
          <t>2920</t>
        </is>
      </c>
      <c r="K312" s="57" t="n">
        <v>406.353</v>
      </c>
      <c r="L312" s="56" t="inlineStr">
        <is>
          <t>9518397914/ 1</t>
        </is>
      </c>
      <c r="M312" s="56" t="inlineStr">
        <is>
          <t>1</t>
        </is>
      </c>
      <c r="N312" s="56" t="inlineStr">
        <is>
          <t>Sandhar EngineeringPvt.Ltd.(KA)-Uni</t>
        </is>
      </c>
      <c r="O312" s="58" t="n">
        <v>48</v>
      </c>
      <c r="P312" s="59" t="inlineStr">
        <is>
          <t>31-60</t>
        </is>
      </c>
      <c r="Q312" s="56" t="inlineStr">
        <is>
          <t>Jitendra Kumar Sharma</t>
        </is>
      </c>
      <c r="U312" s="585" t="n">
        <v>1940213</v>
      </c>
      <c r="V312" t="n">
        <v>19.05</v>
      </c>
      <c r="W312" t="n">
        <v>0</v>
      </c>
      <c r="X312" t="n">
        <v>1.5</v>
      </c>
      <c r="Y312" t="n">
        <v>6</v>
      </c>
      <c r="Z312" t="inlineStr">
        <is>
          <t>WG</t>
        </is>
      </c>
      <c r="AA312" t="inlineStr">
        <is>
          <t>PE</t>
        </is>
      </c>
      <c r="AB312" t="inlineStr">
        <is>
          <t>AW</t>
        </is>
      </c>
      <c r="AC312" t="inlineStr">
        <is>
          <t>check grade tdc</t>
        </is>
      </c>
      <c r="AD312" t="inlineStr">
        <is>
          <t>LL</t>
        </is>
      </c>
      <c r="AE312" t="inlineStr">
        <is>
          <t>check grade tdc-1</t>
        </is>
      </c>
      <c r="AF312" t="n">
        <v>0.6488849250000001</v>
      </c>
    </row>
    <row r="313">
      <c r="A313" s="56" t="n">
        <v>3508742</v>
      </c>
      <c r="B313" s="56" t="inlineStr">
        <is>
          <t>CUT-O-N-AUT-AW-FC-38.10X2.000X0.4100</t>
        </is>
      </c>
      <c r="C313" s="56" t="inlineStr">
        <is>
          <t>4B23H38170</t>
        </is>
      </c>
      <c r="D313" s="57" t="n">
        <v>644.509</v>
      </c>
      <c r="E313" s="57" t="n">
        <v>459.392</v>
      </c>
      <c r="F313" s="57" t="n">
        <v>0.459392</v>
      </c>
      <c r="G313" s="56" t="inlineStr">
        <is>
          <t>KG</t>
        </is>
      </c>
      <c r="H313" s="56" t="inlineStr">
        <is>
          <t>R001</t>
        </is>
      </c>
      <c r="I313" s="56" t="inlineStr">
        <is>
          <t>0789</t>
        </is>
      </c>
      <c r="J313" s="56" t="inlineStr">
        <is>
          <t>790</t>
        </is>
      </c>
      <c r="K313" s="57" t="n">
        <v>264.246</v>
      </c>
      <c r="L313" s="56" t="inlineStr">
        <is>
          <t>9518397914/ 1</t>
        </is>
      </c>
      <c r="M313" s="56" t="inlineStr">
        <is>
          <t>1</t>
        </is>
      </c>
      <c r="N313" s="56" t="inlineStr">
        <is>
          <t>Sandhar EngineeringPvt.Ltd.(KA)-Uni</t>
        </is>
      </c>
      <c r="O313" s="58" t="n">
        <v>51</v>
      </c>
      <c r="P313" s="59" t="inlineStr">
        <is>
          <t>31-60</t>
        </is>
      </c>
      <c r="Q313" s="56" t="inlineStr">
        <is>
          <t>Jitendra Kumar Sharma</t>
        </is>
      </c>
      <c r="U313" s="585" t="n">
        <v>1940220</v>
      </c>
      <c r="V313" t="n">
        <v>19.05</v>
      </c>
      <c r="W313" t="n">
        <v>0</v>
      </c>
      <c r="X313" t="n">
        <v>1.6</v>
      </c>
      <c r="Y313" t="n">
        <v>0.18</v>
      </c>
      <c r="Z313" t="inlineStr">
        <is>
          <t>WG</t>
        </is>
      </c>
      <c r="AA313" t="inlineStr">
        <is>
          <t>PE</t>
        </is>
      </c>
      <c r="AB313" t="inlineStr">
        <is>
          <t>AW</t>
        </is>
      </c>
      <c r="AC313" t="inlineStr">
        <is>
          <t>19.05-0-1.6-ERW 1-PE</t>
        </is>
      </c>
      <c r="AD313" t="inlineStr">
        <is>
          <t>CTL</t>
        </is>
      </c>
      <c r="AE313" t="inlineStr">
        <is>
          <t>19.05-0-1.6-ERW 1-PE-0.18</t>
        </is>
      </c>
      <c r="AF313" t="n">
        <v>0.1238760144</v>
      </c>
    </row>
    <row r="314">
      <c r="A314" s="56" t="n">
        <v>3508742</v>
      </c>
      <c r="B314" s="56" t="inlineStr">
        <is>
          <t>CUT-O-N-AUT-AW-FC-38.10X2.000X0.4100</t>
        </is>
      </c>
      <c r="C314" s="56" t="inlineStr">
        <is>
          <t>4B24H38285</t>
        </is>
      </c>
      <c r="D314" s="57" t="n">
        <v>512.081</v>
      </c>
      <c r="E314" s="58" t="n">
        <v>365</v>
      </c>
      <c r="F314" s="57" t="n">
        <v>0.365</v>
      </c>
      <c r="G314" s="56" t="inlineStr">
        <is>
          <t>KG</t>
        </is>
      </c>
      <c r="H314" s="56" t="inlineStr">
        <is>
          <t>R001</t>
        </is>
      </c>
      <c r="I314" s="56" t="inlineStr">
        <is>
          <t>0789</t>
        </is>
      </c>
      <c r="J314" s="56" t="inlineStr">
        <is>
          <t>500</t>
        </is>
      </c>
      <c r="K314" s="57" t="n">
        <v>209.951</v>
      </c>
      <c r="L314" s="56" t="inlineStr">
        <is>
          <t>9518397914/ 1</t>
        </is>
      </c>
      <c r="M314" s="56" t="inlineStr">
        <is>
          <t>1</t>
        </is>
      </c>
      <c r="N314" s="56" t="inlineStr">
        <is>
          <t>Sandhar EngineeringPvt.Ltd.(KA)-Uni</t>
        </is>
      </c>
      <c r="O314" s="58" t="n">
        <v>50</v>
      </c>
      <c r="P314" s="59" t="inlineStr">
        <is>
          <t>31-60</t>
        </is>
      </c>
      <c r="Q314" s="56" t="inlineStr">
        <is>
          <t>Jitendra Kumar Sharma</t>
        </is>
      </c>
      <c r="U314" s="585" t="n">
        <v>3510169</v>
      </c>
      <c r="V314" t="n">
        <v>19.05</v>
      </c>
      <c r="W314" t="n">
        <v>0</v>
      </c>
      <c r="X314" t="n">
        <v>1.6</v>
      </c>
      <c r="Y314" t="n">
        <v>0.238</v>
      </c>
      <c r="Z314" t="inlineStr"/>
      <c r="AA314" t="inlineStr">
        <is>
          <t>FC</t>
        </is>
      </c>
      <c r="AB314" t="inlineStr">
        <is>
          <t>AW</t>
        </is>
      </c>
      <c r="AC314" t="inlineStr">
        <is>
          <t>check TDC for FC</t>
        </is>
      </c>
      <c r="AD314" t="inlineStr">
        <is>
          <t>CTL</t>
        </is>
      </c>
      <c r="AE314" t="inlineStr">
        <is>
          <t>check TDC for FC-0.238</t>
        </is>
      </c>
      <c r="AF314" t="n">
        <v>0.16379161904</v>
      </c>
    </row>
    <row r="315">
      <c r="A315" s="56" t="n">
        <v>3508742</v>
      </c>
      <c r="B315" s="56" t="inlineStr">
        <is>
          <t>CUT-O-N-AUT-AW-FC-38.10X2.000X0.4100</t>
        </is>
      </c>
      <c r="C315" s="56" t="inlineStr">
        <is>
          <t>4B26H38465</t>
        </is>
      </c>
      <c r="D315" s="57" t="n">
        <v>1035.386</v>
      </c>
      <c r="E315" s="58" t="n">
        <v>738</v>
      </c>
      <c r="F315" s="57" t="n">
        <v>0.738</v>
      </c>
      <c r="G315" s="56" t="inlineStr">
        <is>
          <t>KG</t>
        </is>
      </c>
      <c r="H315" s="56" t="inlineStr">
        <is>
          <t>R001</t>
        </is>
      </c>
      <c r="I315" s="56" t="inlineStr">
        <is>
          <t>0789</t>
        </is>
      </c>
      <c r="J315" s="56" t="inlineStr">
        <is>
          <t>1010</t>
        </is>
      </c>
      <c r="K315" s="57" t="n">
        <v>424.504</v>
      </c>
      <c r="L315" s="56" t="inlineStr">
        <is>
          <t>9518397914/ 1</t>
        </is>
      </c>
      <c r="M315" s="56" t="inlineStr">
        <is>
          <t>1</t>
        </is>
      </c>
      <c r="N315" s="56" t="inlineStr">
        <is>
          <t>Sandhar EngineeringPvt.Ltd.(KA)-Uni</t>
        </is>
      </c>
      <c r="O315" s="58" t="n">
        <v>47</v>
      </c>
      <c r="P315" s="59" t="inlineStr">
        <is>
          <t>31-60</t>
        </is>
      </c>
      <c r="Q315" s="56" t="inlineStr">
        <is>
          <t>Jitendra Kumar Sharma</t>
        </is>
      </c>
      <c r="U315" s="585" t="n">
        <v>3209979</v>
      </c>
      <c r="V315" t="n">
        <v>19.05</v>
      </c>
      <c r="W315" t="n">
        <v>0</v>
      </c>
      <c r="X315" t="n">
        <v>1.6</v>
      </c>
      <c r="Y315" t="n">
        <v>0.238</v>
      </c>
      <c r="Z315" t="inlineStr"/>
      <c r="AA315" t="inlineStr">
        <is>
          <t>PE</t>
        </is>
      </c>
      <c r="AB315" t="inlineStr">
        <is>
          <t>AW</t>
        </is>
      </c>
      <c r="AC315" t="inlineStr">
        <is>
          <t>19.05-0-1.6-ERW 1-PE</t>
        </is>
      </c>
      <c r="AD315" t="inlineStr">
        <is>
          <t>CTL</t>
        </is>
      </c>
      <c r="AE315" t="inlineStr">
        <is>
          <t>19.05-0-1.6-ERW 1-PE-0.238</t>
        </is>
      </c>
      <c r="AF315" t="n">
        <v>0.16379161904</v>
      </c>
    </row>
    <row r="316">
      <c r="A316" s="56" t="n">
        <v>3508742</v>
      </c>
      <c r="B316" s="56" t="inlineStr">
        <is>
          <t>CUT-O-N-AUT-AW-FC-38.10X2.000X0.4100</t>
        </is>
      </c>
      <c r="C316" s="56" t="inlineStr">
        <is>
          <t>4C10H39422</t>
        </is>
      </c>
      <c r="D316" s="57" t="n">
        <v>2049.727</v>
      </c>
      <c r="E316" s="58" t="n">
        <v>1461</v>
      </c>
      <c r="F316" s="57" t="n">
        <v>1.461</v>
      </c>
      <c r="G316" s="56" t="inlineStr">
        <is>
          <t>KG</t>
        </is>
      </c>
      <c r="H316" s="56" t="inlineStr">
        <is>
          <t>R001</t>
        </is>
      </c>
      <c r="I316" s="56" t="inlineStr">
        <is>
          <t>0789</t>
        </is>
      </c>
      <c r="J316" s="56" t="inlineStr">
        <is>
          <t>2000</t>
        </is>
      </c>
      <c r="K316" s="57" t="n">
        <v>840.38</v>
      </c>
      <c r="L316" s="56" t="inlineStr">
        <is>
          <t>9518397914/ 1</t>
        </is>
      </c>
      <c r="M316" s="56" t="inlineStr">
        <is>
          <t>1</t>
        </is>
      </c>
      <c r="N316" s="56" t="inlineStr">
        <is>
          <t>Sandhar EngineeringPvt.Ltd.(KA)-Uni</t>
        </is>
      </c>
      <c r="O316" s="58" t="n">
        <v>34</v>
      </c>
      <c r="P316" s="59" t="inlineStr">
        <is>
          <t>31-60</t>
        </is>
      </c>
      <c r="Q316" s="56" t="inlineStr">
        <is>
          <t>Jitendra Kumar Sharma</t>
        </is>
      </c>
      <c r="U316" s="585" t="n">
        <v>3838038</v>
      </c>
      <c r="V316" t="n">
        <v>19.05</v>
      </c>
      <c r="W316" t="n">
        <v>0</v>
      </c>
      <c r="X316" t="n">
        <v>1.6</v>
      </c>
      <c r="Y316" t="n">
        <v>0.258</v>
      </c>
      <c r="Z316" t="inlineStr">
        <is>
          <t>NORMAL</t>
        </is>
      </c>
      <c r="AA316" t="inlineStr">
        <is>
          <t>PE</t>
        </is>
      </c>
      <c r="AB316" t="inlineStr">
        <is>
          <t>AW</t>
        </is>
      </c>
      <c r="AC316" t="inlineStr">
        <is>
          <t>19.05-0-1.6-ERW 1-PE</t>
        </is>
      </c>
      <c r="AD316" t="inlineStr">
        <is>
          <t>CTL</t>
        </is>
      </c>
      <c r="AE316" t="inlineStr">
        <is>
          <t>19.05-0-1.6-ERW 1-PE-0.258</t>
        </is>
      </c>
      <c r="AF316" t="n">
        <v>0.17755562064</v>
      </c>
    </row>
    <row r="317">
      <c r="A317" s="56" t="n">
        <v>3508992</v>
      </c>
      <c r="B317" s="56" t="inlineStr">
        <is>
          <t>CUT-O-N-AUT-AW-PE-19.05X2.300X0.2750</t>
        </is>
      </c>
      <c r="C317" s="56" t="inlineStr">
        <is>
          <t>EXC2405006</t>
        </is>
      </c>
      <c r="D317" s="57" t="n">
        <v>592.313</v>
      </c>
      <c r="E317" s="57" t="n">
        <v>148.914</v>
      </c>
      <c r="F317" s="57" t="n">
        <v>0.148914</v>
      </c>
      <c r="G317" s="56" t="inlineStr">
        <is>
          <t>KG</t>
        </is>
      </c>
      <c r="H317" s="56" t="inlineStr">
        <is>
          <t>R001</t>
        </is>
      </c>
      <c r="I317" s="56" t="inlineStr">
        <is>
          <t>0789</t>
        </is>
      </c>
      <c r="J317" s="56" t="inlineStr"/>
      <c r="K317" s="57" t="n">
        <v>162.89</v>
      </c>
      <c r="L317" s="56" t="inlineStr">
        <is>
          <t>9517232325/ 9</t>
        </is>
      </c>
      <c r="M317" s="56" t="inlineStr">
        <is>
          <t>9</t>
        </is>
      </c>
      <c r="N317" s="56" t="inlineStr">
        <is>
          <t>SRIKAM HITECH ENGINEERING PRIVATE L</t>
        </is>
      </c>
      <c r="O317" s="58" t="n">
        <v>230</v>
      </c>
      <c r="P317" s="59" t="inlineStr">
        <is>
          <t>ABOVE 90</t>
        </is>
      </c>
      <c r="Q317" s="56" t="inlineStr">
        <is>
          <t>Apoorv</t>
        </is>
      </c>
      <c r="U317" s="585" t="n">
        <v>3850310</v>
      </c>
      <c r="V317" t="n">
        <v>19.05</v>
      </c>
      <c r="W317" t="n">
        <v>0</v>
      </c>
      <c r="X317" t="n">
        <v>1.6</v>
      </c>
      <c r="Y317" t="n">
        <v>0.268</v>
      </c>
      <c r="Z317" t="inlineStr">
        <is>
          <t>WG</t>
        </is>
      </c>
      <c r="AA317" t="inlineStr">
        <is>
          <t>PE</t>
        </is>
      </c>
      <c r="AB317" t="inlineStr">
        <is>
          <t>AW</t>
        </is>
      </c>
      <c r="AC317" t="inlineStr">
        <is>
          <t>19.05-0-1.6-ERW 1-PE</t>
        </is>
      </c>
      <c r="AD317" t="inlineStr">
        <is>
          <t>CTL</t>
        </is>
      </c>
      <c r="AE317" t="inlineStr">
        <is>
          <t>19.05-0-1.6-ERW 1-PE-0.268</t>
        </is>
      </c>
      <c r="AF317" t="n">
        <v>0.18443762144</v>
      </c>
    </row>
    <row r="318">
      <c r="A318" s="56" t="n">
        <v>3508992</v>
      </c>
      <c r="B318" s="56" t="inlineStr">
        <is>
          <t>CUT-O-N-AUT-AW-PE-19.05X2.300X0.2750</t>
        </is>
      </c>
      <c r="C318" s="56" t="inlineStr">
        <is>
          <t>SEN2308212</t>
        </is>
      </c>
      <c r="D318" s="57" t="n">
        <v>1433.055</v>
      </c>
      <c r="E318" s="57" t="n">
        <v>360.286</v>
      </c>
      <c r="F318" s="57" t="n">
        <v>0.360286</v>
      </c>
      <c r="G318" s="56" t="inlineStr">
        <is>
          <t>KG</t>
        </is>
      </c>
      <c r="H318" s="56" t="inlineStr">
        <is>
          <t>R001</t>
        </is>
      </c>
      <c r="I318" s="56" t="inlineStr">
        <is>
          <t>0789</t>
        </is>
      </c>
      <c r="J318" s="56" t="inlineStr"/>
      <c r="K318" s="57" t="n">
        <v>394.1</v>
      </c>
      <c r="L318" s="56" t="inlineStr">
        <is>
          <t>9517232325/ 9</t>
        </is>
      </c>
      <c r="M318" s="56" t="inlineStr">
        <is>
          <t>9</t>
        </is>
      </c>
      <c r="N318" s="56" t="inlineStr">
        <is>
          <t>SRIKAM HITECH ENGINEERING PRIVATE L</t>
        </is>
      </c>
      <c r="O318" s="58" t="n">
        <v>441</v>
      </c>
      <c r="P318" s="59" t="inlineStr">
        <is>
          <t>ABOVE 90</t>
        </is>
      </c>
      <c r="Q318" s="56" t="inlineStr">
        <is>
          <t>Apoorv</t>
        </is>
      </c>
      <c r="U318" s="585" t="n">
        <v>3484653</v>
      </c>
      <c r="V318" t="n">
        <v>19.05</v>
      </c>
      <c r="W318" t="n">
        <v>0</v>
      </c>
      <c r="X318" t="n">
        <v>1.6</v>
      </c>
      <c r="Y318" t="n">
        <v>0.268</v>
      </c>
      <c r="Z318" t="inlineStr">
        <is>
          <t>WG</t>
        </is>
      </c>
      <c r="AA318" t="inlineStr">
        <is>
          <t>PE</t>
        </is>
      </c>
      <c r="AB318" t="inlineStr">
        <is>
          <t>AW</t>
        </is>
      </c>
      <c r="AC318" t="inlineStr">
        <is>
          <t>19.05-0-1.6-ERW 1-PE</t>
        </is>
      </c>
      <c r="AD318" t="inlineStr">
        <is>
          <t>CTL</t>
        </is>
      </c>
      <c r="AE318" t="inlineStr">
        <is>
          <t>19.05-0-1.6-ERW 1-PE-0.268</t>
        </is>
      </c>
      <c r="AF318" t="n">
        <v>0.18443762144</v>
      </c>
    </row>
    <row r="319">
      <c r="A319" s="56" t="n">
        <v>3509030</v>
      </c>
      <c r="B319" s="56" t="inlineStr">
        <is>
          <t>CUT-O-N-AUT-AW-PE-38.10X2.000X0.4060</t>
        </is>
      </c>
      <c r="C319" s="56" t="inlineStr">
        <is>
          <t>2412280003</t>
        </is>
      </c>
      <c r="D319" s="57" t="n">
        <v>850</v>
      </c>
      <c r="E319" s="57" t="n">
        <v>585.357</v>
      </c>
      <c r="F319" s="57" t="n">
        <v>0.585357</v>
      </c>
      <c r="G319" s="56" t="inlineStr">
        <is>
          <t>KG</t>
        </is>
      </c>
      <c r="H319" s="56" t="inlineStr">
        <is>
          <t>R001</t>
        </is>
      </c>
      <c r="I319" s="56" t="inlineStr">
        <is>
          <t>0789</t>
        </is>
      </c>
      <c r="J319" s="56" t="inlineStr"/>
      <c r="K319" s="57" t="n">
        <v>345.099</v>
      </c>
      <c r="L319" s="56" t="inlineStr">
        <is>
          <t>9518314443/ 9</t>
        </is>
      </c>
      <c r="M319" s="56" t="inlineStr">
        <is>
          <t>9</t>
        </is>
      </c>
      <c r="N319" s="56" t="inlineStr">
        <is>
          <t>Neel Metal Products Limited</t>
        </is>
      </c>
      <c r="O319" s="58" t="n">
        <v>16</v>
      </c>
      <c r="P319" s="59" t="inlineStr">
        <is>
          <t>0-30</t>
        </is>
      </c>
      <c r="Q319" s="56" t="inlineStr">
        <is>
          <t>Apoorv</t>
        </is>
      </c>
      <c r="U319" s="585" t="n">
        <v>3217232</v>
      </c>
      <c r="V319" t="n">
        <v>19.05</v>
      </c>
      <c r="W319" t="n">
        <v>0</v>
      </c>
      <c r="X319" t="n">
        <v>1.6</v>
      </c>
      <c r="Y319" t="n">
        <v>0.275</v>
      </c>
      <c r="Z319" t="inlineStr">
        <is>
          <t>HROP</t>
        </is>
      </c>
      <c r="AA319" t="inlineStr">
        <is>
          <t>PE</t>
        </is>
      </c>
      <c r="AB319" t="inlineStr">
        <is>
          <t>AW</t>
        </is>
      </c>
      <c r="AC319" t="inlineStr">
        <is>
          <t>19.05-0-1.6-ERW 1-PE</t>
        </is>
      </c>
      <c r="AD319" t="inlineStr">
        <is>
          <t>CTL</t>
        </is>
      </c>
      <c r="AE319" t="inlineStr">
        <is>
          <t>19.05-0-1.6-ERW 1-PE-0.275</t>
        </is>
      </c>
      <c r="AF319" t="n">
        <v>0.1892550220000001</v>
      </c>
    </row>
    <row r="320">
      <c r="A320" s="56" t="n">
        <v>3509633</v>
      </c>
      <c r="B320" s="56" t="inlineStr">
        <is>
          <t>CUT-O-N-AUT-AW-PE-19.05X2.000X0.4520</t>
        </is>
      </c>
      <c r="C320" s="56" t="inlineStr">
        <is>
          <t>EXC2405045</t>
        </is>
      </c>
      <c r="D320" s="57" t="n">
        <v>858.049</v>
      </c>
      <c r="E320" s="57" t="n">
        <v>311.672</v>
      </c>
      <c r="F320" s="57" t="n">
        <v>0.311672</v>
      </c>
      <c r="G320" s="56" t="inlineStr">
        <is>
          <t>KG</t>
        </is>
      </c>
      <c r="H320" s="56" t="inlineStr">
        <is>
          <t>R001</t>
        </is>
      </c>
      <c r="I320" s="56" t="inlineStr">
        <is>
          <t>0789</t>
        </is>
      </c>
      <c r="J320" s="56" t="inlineStr"/>
      <c r="K320" s="57" t="n">
        <v>387.845</v>
      </c>
      <c r="L320" s="56" t="inlineStr"/>
      <c r="M320" s="56" t="inlineStr">
        <is>
          <t>0</t>
        </is>
      </c>
      <c r="N320" s="56" t="inlineStr">
        <is>
          <t>FREE STOCK</t>
        </is>
      </c>
      <c r="O320" s="58" t="n">
        <v>230</v>
      </c>
      <c r="P320" s="59" t="inlineStr">
        <is>
          <t>ABOVE 90</t>
        </is>
      </c>
      <c r="Q320" s="56" t="inlineStr">
        <is>
          <t>Free Stock</t>
        </is>
      </c>
      <c r="U320" s="585" t="n">
        <v>1529261</v>
      </c>
      <c r="V320" t="n">
        <v>19.05</v>
      </c>
      <c r="W320" t="n">
        <v>0</v>
      </c>
      <c r="X320" t="n">
        <v>1.6</v>
      </c>
      <c r="Y320" t="n">
        <v>0.289</v>
      </c>
      <c r="Z320" t="inlineStr"/>
      <c r="AA320" t="inlineStr">
        <is>
          <t>PE</t>
        </is>
      </c>
      <c r="AB320" t="inlineStr">
        <is>
          <t>AW</t>
        </is>
      </c>
      <c r="AC320" t="inlineStr">
        <is>
          <t>19.05-0-1.6-ERW 1-PE</t>
        </is>
      </c>
      <c r="AD320" t="inlineStr">
        <is>
          <t>CTL</t>
        </is>
      </c>
      <c r="AE320" t="inlineStr">
        <is>
          <t>19.05-0-1.6-ERW 1-PE-0.289</t>
        </is>
      </c>
      <c r="AF320" t="n">
        <v>0.19888982312</v>
      </c>
    </row>
    <row r="321">
      <c r="A321" s="56" t="n">
        <v>3509633</v>
      </c>
      <c r="B321" s="56" t="inlineStr">
        <is>
          <t>CUT-O-N-AUT-AW-PE-19.05X2.000X0.4520</t>
        </is>
      </c>
      <c r="C321" s="56" t="inlineStr">
        <is>
          <t>PV24030108</t>
        </is>
      </c>
      <c r="D321" s="57" t="n">
        <v>4201.867</v>
      </c>
      <c r="E321" s="57" t="n">
        <v>1526.258</v>
      </c>
      <c r="F321" s="57" t="n">
        <v>1.526258</v>
      </c>
      <c r="G321" s="56" t="inlineStr">
        <is>
          <t>KG</t>
        </is>
      </c>
      <c r="H321" s="56" t="inlineStr">
        <is>
          <t>R001</t>
        </is>
      </c>
      <c r="I321" s="56" t="inlineStr">
        <is>
          <t>0789</t>
        </is>
      </c>
      <c r="J321" s="56" t="inlineStr"/>
      <c r="K321" s="57" t="n">
        <v>1899.276</v>
      </c>
      <c r="L321" s="56" t="inlineStr"/>
      <c r="M321" s="56" t="inlineStr">
        <is>
          <t>0</t>
        </is>
      </c>
      <c r="N321" s="56" t="inlineStr">
        <is>
          <t>FREE STOCK</t>
        </is>
      </c>
      <c r="O321" s="58" t="n">
        <v>262</v>
      </c>
      <c r="P321" s="59" t="inlineStr">
        <is>
          <t>ABOVE 90</t>
        </is>
      </c>
      <c r="Q321" s="56" t="inlineStr">
        <is>
          <t>Free Stock</t>
        </is>
      </c>
      <c r="U321" s="585" t="n">
        <v>1529260</v>
      </c>
      <c r="V321" t="n">
        <v>19.05</v>
      </c>
      <c r="W321" t="n">
        <v>0</v>
      </c>
      <c r="X321" t="n">
        <v>1.6</v>
      </c>
      <c r="Y321" t="n">
        <v>0.299</v>
      </c>
      <c r="Z321" t="inlineStr"/>
      <c r="AA321" t="inlineStr">
        <is>
          <t>PE</t>
        </is>
      </c>
      <c r="AB321" t="inlineStr">
        <is>
          <t>AW</t>
        </is>
      </c>
      <c r="AC321" t="inlineStr">
        <is>
          <t>19.05-0-1.6-ERW 1-PE</t>
        </is>
      </c>
      <c r="AD321" t="inlineStr">
        <is>
          <t>CTL</t>
        </is>
      </c>
      <c r="AE321" t="inlineStr">
        <is>
          <t>19.05-0-1.6-ERW 1-PE-0.299</t>
        </is>
      </c>
      <c r="AF321" t="n">
        <v>0.20577182392</v>
      </c>
    </row>
    <row r="322">
      <c r="A322" s="56" t="n">
        <v>3509640</v>
      </c>
      <c r="B322" s="56" t="inlineStr">
        <is>
          <t>CUT-O-N-AUT-AW-PE-22.20X2.300X0.4250</t>
        </is>
      </c>
      <c r="C322" s="56" t="inlineStr">
        <is>
          <t>4A18BH2080</t>
        </is>
      </c>
      <c r="D322" s="57" t="n">
        <v>4801.502</v>
      </c>
      <c r="E322" s="58" t="n">
        <v>2259</v>
      </c>
      <c r="F322" s="57" t="n">
        <v>2.259</v>
      </c>
      <c r="G322" s="56" t="inlineStr">
        <is>
          <t>KG</t>
        </is>
      </c>
      <c r="H322" s="56" t="inlineStr">
        <is>
          <t>R001</t>
        </is>
      </c>
      <c r="I322" s="56" t="inlineStr">
        <is>
          <t>0789</t>
        </is>
      </c>
      <c r="J322" s="56" t="inlineStr">
        <is>
          <t>4700</t>
        </is>
      </c>
      <c r="K322" s="57" t="n">
        <v>2040.65</v>
      </c>
      <c r="L322" s="56" t="inlineStr">
        <is>
          <t>9518135820/ 30</t>
        </is>
      </c>
      <c r="M322" s="56" t="inlineStr">
        <is>
          <t>30</t>
        </is>
      </c>
      <c r="N322" s="56" t="inlineStr">
        <is>
          <t>RAJSRIYA AUTOMOTIVE IND. P LTD</t>
        </is>
      </c>
      <c r="O322" s="58" t="n">
        <v>33</v>
      </c>
      <c r="P322" s="59" t="inlineStr">
        <is>
          <t>31-60</t>
        </is>
      </c>
      <c r="Q322" s="56" t="inlineStr">
        <is>
          <t>Apoorv</t>
        </is>
      </c>
      <c r="U322" s="585" t="n">
        <v>1174861</v>
      </c>
      <c r="V322" t="n">
        <v>19.05</v>
      </c>
      <c r="W322" t="n">
        <v>0</v>
      </c>
      <c r="X322" t="n">
        <v>1.6</v>
      </c>
      <c r="Y322" t="n">
        <v>0.3</v>
      </c>
      <c r="Z322" t="inlineStr"/>
      <c r="AA322" t="inlineStr">
        <is>
          <t>PE</t>
        </is>
      </c>
      <c r="AB322" t="inlineStr">
        <is>
          <t>AW</t>
        </is>
      </c>
      <c r="AC322" t="inlineStr">
        <is>
          <t>19.05-0-1.6-ERW 1-PE</t>
        </is>
      </c>
      <c r="AD322" t="inlineStr">
        <is>
          <t>CTL</t>
        </is>
      </c>
      <c r="AE322" t="inlineStr">
        <is>
          <t>19.05-0-1.6-ERW 1-PE-0.3</t>
        </is>
      </c>
      <c r="AF322" t="n">
        <v>0.206460024</v>
      </c>
    </row>
    <row r="323">
      <c r="A323" s="56" t="n">
        <v>3509640</v>
      </c>
      <c r="B323" s="56" t="inlineStr">
        <is>
          <t>CUT-O-N-AUT-AW-PE-22.20X2.300X0.4250</t>
        </is>
      </c>
      <c r="C323" s="56" t="inlineStr">
        <is>
          <t>4A18BH2130</t>
        </is>
      </c>
      <c r="D323" s="57" t="n">
        <v>510.12</v>
      </c>
      <c r="E323" s="58" t="n">
        <v>240</v>
      </c>
      <c r="F323" s="57" t="n">
        <v>0.24</v>
      </c>
      <c r="G323" s="56" t="inlineStr">
        <is>
          <t>KG</t>
        </is>
      </c>
      <c r="H323" s="56" t="inlineStr">
        <is>
          <t>R001</t>
        </is>
      </c>
      <c r="I323" s="56" t="inlineStr">
        <is>
          <t>0789</t>
        </is>
      </c>
      <c r="J323" s="56" t="inlineStr">
        <is>
          <t>500</t>
        </is>
      </c>
      <c r="K323" s="57" t="n">
        <v>216.802</v>
      </c>
      <c r="L323" s="56" t="inlineStr">
        <is>
          <t>9518135820/ 30</t>
        </is>
      </c>
      <c r="M323" s="56" t="inlineStr">
        <is>
          <t>30</t>
        </is>
      </c>
      <c r="N323" s="56" t="inlineStr">
        <is>
          <t>RAJSRIYA AUTOMOTIVE IND. P LTD</t>
        </is>
      </c>
      <c r="O323" s="58" t="n">
        <v>32</v>
      </c>
      <c r="P323" s="59" t="inlineStr">
        <is>
          <t>31-60</t>
        </is>
      </c>
      <c r="Q323" s="56" t="inlineStr">
        <is>
          <t>Apoorv</t>
        </is>
      </c>
      <c r="U323" t="n">
        <v>3784367</v>
      </c>
      <c r="V323" t="n">
        <v>19.05</v>
      </c>
      <c r="W323" t="n">
        <v>0</v>
      </c>
      <c r="X323" t="n">
        <v>1.6</v>
      </c>
      <c r="Y323" t="n">
        <v>0.3</v>
      </c>
      <c r="Z323" t="inlineStr">
        <is>
          <t>NORMAL</t>
        </is>
      </c>
      <c r="AA323" t="inlineStr">
        <is>
          <t>PE</t>
        </is>
      </c>
      <c r="AB323" t="inlineStr">
        <is>
          <t>AW</t>
        </is>
      </c>
      <c r="AC323" s="45" t="inlineStr">
        <is>
          <t>19.05-0-1.6-ERW 1-PE</t>
        </is>
      </c>
      <c r="AD323" t="inlineStr">
        <is>
          <t>CTL</t>
        </is>
      </c>
      <c r="AE323" t="inlineStr">
        <is>
          <t>19.05-0-1.6-ERW 1-PE-0.3</t>
        </is>
      </c>
      <c r="AF323" t="n">
        <v>0.206460024</v>
      </c>
    </row>
    <row r="324">
      <c r="A324" s="56" t="n">
        <v>3509640</v>
      </c>
      <c r="B324" s="56" t="inlineStr">
        <is>
          <t>CUT-O-N-AUT-AW-PE-22.20X2.300X0.4250</t>
        </is>
      </c>
      <c r="C324" s="56" t="inlineStr">
        <is>
          <t>4B15BH2110</t>
        </is>
      </c>
      <c r="D324" s="57" t="n">
        <v>4240.37</v>
      </c>
      <c r="E324" s="58" t="n">
        <v>1995</v>
      </c>
      <c r="F324" s="57" t="n">
        <v>1.995</v>
      </c>
      <c r="G324" s="56" t="inlineStr">
        <is>
          <t>KG</t>
        </is>
      </c>
      <c r="H324" s="56" t="inlineStr">
        <is>
          <t>R001</t>
        </is>
      </c>
      <c r="I324" s="56" t="inlineStr">
        <is>
          <t>0789</t>
        </is>
      </c>
      <c r="J324" s="56" t="inlineStr">
        <is>
          <t>4150</t>
        </is>
      </c>
      <c r="K324" s="57" t="n">
        <v>1802.168</v>
      </c>
      <c r="L324" s="56" t="inlineStr">
        <is>
          <t>9518220218/ 25</t>
        </is>
      </c>
      <c r="M324" s="56" t="inlineStr">
        <is>
          <t>25</t>
        </is>
      </c>
      <c r="N324" s="56" t="inlineStr">
        <is>
          <t>RAJSRIYA AUTOMOTIVE IND. P LTD</t>
        </is>
      </c>
      <c r="O324" s="58" t="n">
        <v>31</v>
      </c>
      <c r="P324" s="59" t="inlineStr">
        <is>
          <t>31-60</t>
        </is>
      </c>
      <c r="Q324" s="56" t="inlineStr">
        <is>
          <t>Apoorv</t>
        </is>
      </c>
      <c r="U324" s="585" t="n">
        <v>464578</v>
      </c>
      <c r="V324" t="n">
        <v>19.05</v>
      </c>
      <c r="W324" t="n">
        <v>0</v>
      </c>
      <c r="X324" t="n">
        <v>1.6</v>
      </c>
      <c r="Y324" t="n">
        <v>0.31</v>
      </c>
      <c r="Z324" t="inlineStr">
        <is>
          <t>TPT</t>
        </is>
      </c>
      <c r="AA324" t="inlineStr">
        <is>
          <t>PE</t>
        </is>
      </c>
      <c r="AB324" t="inlineStr">
        <is>
          <t>AW</t>
        </is>
      </c>
      <c r="AC324" t="inlineStr">
        <is>
          <t>19.05-0-1.6-ERW 1-PE</t>
        </is>
      </c>
      <c r="AD324" t="inlineStr">
        <is>
          <t>CTL</t>
        </is>
      </c>
      <c r="AE324" t="inlineStr">
        <is>
          <t>19.05-0-1.6-ERW 1-PE-0.31</t>
        </is>
      </c>
      <c r="AF324" t="n">
        <v>0.2133420248</v>
      </c>
    </row>
    <row r="325">
      <c r="A325" s="56" t="n">
        <v>3509640</v>
      </c>
      <c r="B325" s="56" t="inlineStr">
        <is>
          <t>CUT-O-N-AUT-AW-PE-22.20X2.300X0.4250</t>
        </is>
      </c>
      <c r="C325" s="56" t="inlineStr">
        <is>
          <t>4C08CH2050</t>
        </is>
      </c>
      <c r="D325" s="57" t="n">
        <v>2554.85</v>
      </c>
      <c r="E325" s="58" t="n">
        <v>1202</v>
      </c>
      <c r="F325" s="57" t="n">
        <v>1.202</v>
      </c>
      <c r="G325" s="56" t="inlineStr">
        <is>
          <t>KG</t>
        </is>
      </c>
      <c r="H325" s="56" t="inlineStr">
        <is>
          <t>R001</t>
        </is>
      </c>
      <c r="I325" s="56" t="inlineStr">
        <is>
          <t>0789</t>
        </is>
      </c>
      <c r="J325" s="56" t="inlineStr">
        <is>
          <t>2500</t>
        </is>
      </c>
      <c r="K325" s="57" t="n">
        <v>1085.818</v>
      </c>
      <c r="L325" s="56" t="inlineStr">
        <is>
          <t>9518314496/ 29</t>
        </is>
      </c>
      <c r="M325" s="56" t="inlineStr">
        <is>
          <t>29</t>
        </is>
      </c>
      <c r="N325" s="56" t="inlineStr">
        <is>
          <t>RAJSRIYA AUTOMOTIVE IND. P LTD</t>
        </is>
      </c>
      <c r="O325" s="58" t="n">
        <v>32</v>
      </c>
      <c r="P325" s="59" t="inlineStr">
        <is>
          <t>31-60</t>
        </is>
      </c>
      <c r="Q325" s="56" t="inlineStr">
        <is>
          <t>Apoorv</t>
        </is>
      </c>
      <c r="U325" s="585" t="n">
        <v>3187716</v>
      </c>
      <c r="V325" t="n">
        <v>19.05</v>
      </c>
      <c r="W325" t="n">
        <v>0</v>
      </c>
      <c r="X325" t="n">
        <v>1.6</v>
      </c>
      <c r="Y325" t="n">
        <v>0.311</v>
      </c>
      <c r="Z325" t="inlineStr"/>
      <c r="AA325" t="inlineStr">
        <is>
          <t>PE</t>
        </is>
      </c>
      <c r="AB325" t="inlineStr">
        <is>
          <t>AW</t>
        </is>
      </c>
      <c r="AC325" t="inlineStr">
        <is>
          <t>19.05-0-1.6-ERW 1-PE</t>
        </is>
      </c>
      <c r="AD325" t="inlineStr">
        <is>
          <t>CTL</t>
        </is>
      </c>
      <c r="AE325" t="inlineStr">
        <is>
          <t>19.05-0-1.6-ERW 1-PE-0.311</t>
        </is>
      </c>
      <c r="AF325" t="n">
        <v>0.21403022488</v>
      </c>
    </row>
    <row r="326">
      <c r="A326" s="56" t="n">
        <v>3514376</v>
      </c>
      <c r="B326" s="56" t="inlineStr">
        <is>
          <t>TUB-O-N-AUT-AW-FC-38.10X1.600X5.6300</t>
        </is>
      </c>
      <c r="C326" s="56" t="inlineStr">
        <is>
          <t>4627CH2030</t>
        </is>
      </c>
      <c r="D326" s="57" t="n">
        <v>64.226</v>
      </c>
      <c r="E326" s="58" t="n">
        <v>521</v>
      </c>
      <c r="F326" s="57" t="n">
        <v>0.521</v>
      </c>
      <c r="G326" s="56" t="inlineStr">
        <is>
          <t>KG</t>
        </is>
      </c>
      <c r="H326" s="56" t="inlineStr">
        <is>
          <t>R001</t>
        </is>
      </c>
      <c r="I326" s="56" t="inlineStr">
        <is>
          <t>0789</t>
        </is>
      </c>
      <c r="J326" s="56" t="inlineStr">
        <is>
          <t>238</t>
        </is>
      </c>
      <c r="K326" s="57" t="n">
        <v>361.605</v>
      </c>
      <c r="L326" s="56" t="inlineStr"/>
      <c r="M326" s="56" t="inlineStr">
        <is>
          <t>0</t>
        </is>
      </c>
      <c r="N326" s="56" t="inlineStr">
        <is>
          <t>MEGH STEELS PRIVATE LIMITED - TVS A</t>
        </is>
      </c>
      <c r="O326" s="58" t="n">
        <v>195</v>
      </c>
      <c r="P326" s="59" t="inlineStr">
        <is>
          <t>ABOVE 90</t>
        </is>
      </c>
      <c r="Q326" s="56" t="inlineStr">
        <is>
          <t>Apoorv</t>
        </is>
      </c>
      <c r="U326" s="585" t="n">
        <v>3063589</v>
      </c>
      <c r="V326" t="n">
        <v>19.05</v>
      </c>
      <c r="W326" t="n">
        <v>0</v>
      </c>
      <c r="X326" t="n">
        <v>1.6</v>
      </c>
      <c r="Y326" t="n">
        <v>0.33</v>
      </c>
      <c r="Z326" t="inlineStr"/>
      <c r="AA326" t="inlineStr">
        <is>
          <t>PE</t>
        </is>
      </c>
      <c r="AB326" t="inlineStr">
        <is>
          <t>AW</t>
        </is>
      </c>
      <c r="AC326" t="inlineStr">
        <is>
          <t>19.05-0-1.6-ERW 1-PE</t>
        </is>
      </c>
      <c r="AD326" t="inlineStr">
        <is>
          <t>CTL</t>
        </is>
      </c>
      <c r="AE326" t="inlineStr">
        <is>
          <t>19.05-0-1.6-ERW 1-PE-0.33</t>
        </is>
      </c>
      <c r="AF326" t="n">
        <v>0.2271060264</v>
      </c>
    </row>
    <row r="327">
      <c r="A327" s="56" t="n">
        <v>3514376</v>
      </c>
      <c r="B327" s="56" t="inlineStr">
        <is>
          <t>TUB-O-N-AUT-AW-FC-38.10X1.600X5.6300</t>
        </is>
      </c>
      <c r="C327" s="56" t="inlineStr">
        <is>
          <t>4627CH2060</t>
        </is>
      </c>
      <c r="D327" s="57" t="n">
        <v>159.147</v>
      </c>
      <c r="E327" s="58" t="n">
        <v>1291</v>
      </c>
      <c r="F327" s="57" t="n">
        <v>1.291</v>
      </c>
      <c r="G327" s="56" t="inlineStr">
        <is>
          <t>KG</t>
        </is>
      </c>
      <c r="H327" s="56" t="inlineStr">
        <is>
          <t>R001</t>
        </is>
      </c>
      <c r="I327" s="56" t="inlineStr">
        <is>
          <t>0789</t>
        </is>
      </c>
      <c r="J327" s="56" t="inlineStr">
        <is>
          <t>238</t>
        </is>
      </c>
      <c r="K327" s="57" t="n">
        <v>896.03</v>
      </c>
      <c r="L327" s="56" t="inlineStr"/>
      <c r="M327" s="56" t="inlineStr">
        <is>
          <t>0</t>
        </is>
      </c>
      <c r="N327" s="56" t="inlineStr">
        <is>
          <t>MEGH STEELS PRIVATE LIMITED - TVS A</t>
        </is>
      </c>
      <c r="O327" s="58" t="n">
        <v>195</v>
      </c>
      <c r="P327" s="59" t="inlineStr">
        <is>
          <t>ABOVE 90</t>
        </is>
      </c>
      <c r="Q327" s="56" t="inlineStr">
        <is>
          <t>Apoorv</t>
        </is>
      </c>
      <c r="U327" s="585" t="n">
        <v>3453631</v>
      </c>
      <c r="V327" t="n">
        <v>19.05</v>
      </c>
      <c r="W327" t="n">
        <v>0</v>
      </c>
      <c r="X327" t="n">
        <v>1.6</v>
      </c>
      <c r="Y327" t="n">
        <v>0.35</v>
      </c>
      <c r="Z327" t="inlineStr"/>
      <c r="AA327" t="inlineStr">
        <is>
          <t>FC</t>
        </is>
      </c>
      <c r="AB327" t="inlineStr">
        <is>
          <t>AW</t>
        </is>
      </c>
      <c r="AC327" t="inlineStr">
        <is>
          <t>check TDC for FC</t>
        </is>
      </c>
      <c r="AD327" t="inlineStr">
        <is>
          <t>CTL</t>
        </is>
      </c>
      <c r="AE327" t="inlineStr">
        <is>
          <t>check TDC for FC-0.35</t>
        </is>
      </c>
      <c r="AF327" t="n">
        <v>0.240870028</v>
      </c>
    </row>
    <row r="328">
      <c r="A328" s="56" t="n">
        <v>3514376</v>
      </c>
      <c r="B328" s="56" t="inlineStr">
        <is>
          <t>TUB-O-N-AUT-AW-FC-38.10X1.600X5.6300</t>
        </is>
      </c>
      <c r="C328" s="56" t="inlineStr">
        <is>
          <t>4627CH2070</t>
        </is>
      </c>
      <c r="D328" s="57" t="n">
        <v>214.99</v>
      </c>
      <c r="E328" s="58" t="n">
        <v>1744</v>
      </c>
      <c r="F328" s="57" t="n">
        <v>1.744</v>
      </c>
      <c r="G328" s="56" t="inlineStr">
        <is>
          <t>KG</t>
        </is>
      </c>
      <c r="H328" s="56" t="inlineStr">
        <is>
          <t>R001</t>
        </is>
      </c>
      <c r="I328" s="56" t="inlineStr">
        <is>
          <t>0789</t>
        </is>
      </c>
      <c r="J328" s="56" t="inlineStr">
        <is>
          <t>215</t>
        </is>
      </c>
      <c r="K328" s="57" t="n">
        <v>1210.439</v>
      </c>
      <c r="L328" s="56" t="inlineStr"/>
      <c r="M328" s="56" t="inlineStr">
        <is>
          <t>0</t>
        </is>
      </c>
      <c r="N328" s="56" t="inlineStr">
        <is>
          <t>MEGH STEELS PRIVATE LIMITED - TVS A</t>
        </is>
      </c>
      <c r="O328" s="58" t="n">
        <v>195</v>
      </c>
      <c r="P328" s="59" t="inlineStr">
        <is>
          <t>ABOVE 90</t>
        </is>
      </c>
      <c r="Q328" s="56" t="inlineStr">
        <is>
          <t>Apoorv</t>
        </is>
      </c>
      <c r="U328" s="585" t="n">
        <v>2384088</v>
      </c>
      <c r="V328" t="n">
        <v>19.05</v>
      </c>
      <c r="W328" t="n">
        <v>0</v>
      </c>
      <c r="X328" t="n">
        <v>1.6</v>
      </c>
      <c r="Y328" t="n">
        <v>0.355</v>
      </c>
      <c r="Z328" t="inlineStr">
        <is>
          <t>HROP</t>
        </is>
      </c>
      <c r="AA328" t="inlineStr">
        <is>
          <t>PE</t>
        </is>
      </c>
      <c r="AB328" t="inlineStr">
        <is>
          <t>AW</t>
        </is>
      </c>
      <c r="AC328" t="inlineStr">
        <is>
          <t>19.05-0-1.6-ERW 1-PE</t>
        </is>
      </c>
      <c r="AD328" t="inlineStr">
        <is>
          <t>CTL</t>
        </is>
      </c>
      <c r="AE328" t="inlineStr">
        <is>
          <t>19.05-0-1.6-ERW 1-PE-0.355</t>
        </is>
      </c>
      <c r="AF328" t="n">
        <v>0.2443110284</v>
      </c>
    </row>
    <row r="329">
      <c r="A329" s="56" t="n">
        <v>3515489</v>
      </c>
      <c r="B329" s="56" t="inlineStr">
        <is>
          <t>TUB-O-N-AUT-AP-FC-57.15X2.500X6.0000</t>
        </is>
      </c>
      <c r="C329" s="56" t="inlineStr">
        <is>
          <t>4920H33306</t>
        </is>
      </c>
      <c r="D329" s="57" t="n">
        <v>50.487</v>
      </c>
      <c r="E329" s="58" t="n">
        <v>1021</v>
      </c>
      <c r="F329" s="57" t="n">
        <v>1.021</v>
      </c>
      <c r="G329" s="56" t="inlineStr">
        <is>
          <t>KG</t>
        </is>
      </c>
      <c r="H329" s="56" t="inlineStr">
        <is>
          <t>R001</t>
        </is>
      </c>
      <c r="I329" s="56" t="inlineStr">
        <is>
          <t>0789</t>
        </is>
      </c>
      <c r="J329" s="56" t="inlineStr">
        <is>
          <t>76</t>
        </is>
      </c>
      <c r="K329" s="57" t="n">
        <v>302.922</v>
      </c>
      <c r="L329" s="56" t="inlineStr">
        <is>
          <t>9518343705/ 4</t>
        </is>
      </c>
      <c r="M329" s="56" t="inlineStr">
        <is>
          <t>4</t>
        </is>
      </c>
      <c r="N329" s="56" t="inlineStr">
        <is>
          <t>MEGH STEELS PRIVATE LIMITED - TVS A</t>
        </is>
      </c>
      <c r="O329" s="58" t="n">
        <v>24</v>
      </c>
      <c r="P329" s="59" t="inlineStr">
        <is>
          <t>0-30</t>
        </is>
      </c>
      <c r="Q329" s="56" t="inlineStr">
        <is>
          <t>Apoorv</t>
        </is>
      </c>
      <c r="U329" s="585" t="n">
        <v>1531612</v>
      </c>
      <c r="V329" t="n">
        <v>19.05</v>
      </c>
      <c r="W329" t="n">
        <v>0</v>
      </c>
      <c r="X329" t="n">
        <v>1.6</v>
      </c>
      <c r="Y329" t="n">
        <v>0.38</v>
      </c>
      <c r="Z329" t="inlineStr"/>
      <c r="AA329" t="inlineStr">
        <is>
          <t>PE</t>
        </is>
      </c>
      <c r="AB329" t="inlineStr">
        <is>
          <t>AW</t>
        </is>
      </c>
      <c r="AC329" t="inlineStr">
        <is>
          <t>19.05-0-1.6-ERW 1-PE</t>
        </is>
      </c>
      <c r="AD329" t="inlineStr">
        <is>
          <t>CTL</t>
        </is>
      </c>
      <c r="AE329" t="inlineStr">
        <is>
          <t>19.05-0-1.6-ERW 1-PE-0.38</t>
        </is>
      </c>
      <c r="AF329" t="n">
        <v>0.2615160304</v>
      </c>
    </row>
    <row r="330">
      <c r="A330" s="56" t="n">
        <v>3515521</v>
      </c>
      <c r="B330" s="56" t="inlineStr">
        <is>
          <t>TUB-O-N-AUT-AW-FC-38.10X2.000X5.6300</t>
        </is>
      </c>
      <c r="C330" s="56" t="inlineStr">
        <is>
          <t>4628BH2060</t>
        </is>
      </c>
      <c r="D330" s="57" t="n">
        <v>5.986</v>
      </c>
      <c r="E330" s="57" t="n">
        <v>60.032</v>
      </c>
      <c r="F330" s="57" t="n">
        <v>0.060032</v>
      </c>
      <c r="G330" s="56" t="inlineStr">
        <is>
          <t>KG</t>
        </is>
      </c>
      <c r="H330" s="56" t="inlineStr">
        <is>
          <t>R001</t>
        </is>
      </c>
      <c r="I330" s="56" t="inlineStr">
        <is>
          <t>0789</t>
        </is>
      </c>
      <c r="J330" s="56" t="inlineStr">
        <is>
          <t>177</t>
        </is>
      </c>
      <c r="K330" s="57" t="n">
        <v>33.703</v>
      </c>
      <c r="L330" s="56" t="inlineStr">
        <is>
          <t>9518057430/ 8</t>
        </is>
      </c>
      <c r="M330" s="56" t="inlineStr">
        <is>
          <t>8</t>
        </is>
      </c>
      <c r="N330" s="56" t="inlineStr">
        <is>
          <t>MEGH STEELS PRIVATE LIMITED - TVS A</t>
        </is>
      </c>
      <c r="O330" s="58" t="n">
        <v>195</v>
      </c>
      <c r="P330" s="59" t="inlineStr">
        <is>
          <t>ABOVE 90</t>
        </is>
      </c>
      <c r="Q330" s="56" t="inlineStr">
        <is>
          <t>Apoorv</t>
        </is>
      </c>
      <c r="U330" s="585" t="n">
        <v>1940236</v>
      </c>
      <c r="V330" t="n">
        <v>19.05</v>
      </c>
      <c r="W330" t="n">
        <v>0</v>
      </c>
      <c r="X330" t="n">
        <v>1.6</v>
      </c>
      <c r="Y330" t="n">
        <v>0.39</v>
      </c>
      <c r="Z330" t="inlineStr">
        <is>
          <t>WG</t>
        </is>
      </c>
      <c r="AA330" t="inlineStr">
        <is>
          <t>PE</t>
        </is>
      </c>
      <c r="AB330" t="inlineStr">
        <is>
          <t>AW</t>
        </is>
      </c>
      <c r="AC330" t="inlineStr">
        <is>
          <t>19.05-0-1.6-ERW 1-PE</t>
        </is>
      </c>
      <c r="AD330" t="inlineStr">
        <is>
          <t>CTL</t>
        </is>
      </c>
      <c r="AE330" t="inlineStr">
        <is>
          <t>19.05-0-1.6-ERW 1-PE-0.39</t>
        </is>
      </c>
      <c r="AF330" t="n">
        <v>0.2683980312000001</v>
      </c>
    </row>
    <row r="331">
      <c r="A331" s="56" t="n">
        <v>3517682</v>
      </c>
      <c r="B331" s="56" t="inlineStr">
        <is>
          <t>TUB-O-N-AUT-AW-PE-22.23X1.600X5.7700</t>
        </is>
      </c>
      <c r="C331" s="56" t="inlineStr">
        <is>
          <t>4A09BH1090</t>
        </is>
      </c>
      <c r="D331" s="57" t="n">
        <v>218.77</v>
      </c>
      <c r="E331" s="58" t="n">
        <v>1028</v>
      </c>
      <c r="F331" s="57" t="n">
        <v>1.028</v>
      </c>
      <c r="G331" s="56" t="inlineStr">
        <is>
          <t>KG</t>
        </is>
      </c>
      <c r="H331" s="56" t="inlineStr">
        <is>
          <t>R001</t>
        </is>
      </c>
      <c r="I331" s="56" t="inlineStr">
        <is>
          <t>0789</t>
        </is>
      </c>
      <c r="J331" s="56" t="inlineStr">
        <is>
          <t>592</t>
        </is>
      </c>
      <c r="K331" s="57" t="n">
        <v>1262.279</v>
      </c>
      <c r="L331" s="56" t="inlineStr"/>
      <c r="M331" s="56" t="inlineStr">
        <is>
          <t>0</t>
        </is>
      </c>
      <c r="N331" s="56" t="inlineStr">
        <is>
          <t>MEGH STEELS PRIVATE LIMITED - TVS A</t>
        </is>
      </c>
      <c r="O331" s="58" t="n">
        <v>47</v>
      </c>
      <c r="P331" s="59" t="inlineStr">
        <is>
          <t>31-60</t>
        </is>
      </c>
      <c r="Q331" s="56" t="inlineStr">
        <is>
          <t>Apoorv</t>
        </is>
      </c>
      <c r="U331" s="585" t="n">
        <v>3122347</v>
      </c>
      <c r="V331" t="n">
        <v>19.05</v>
      </c>
      <c r="W331" t="n">
        <v>0</v>
      </c>
      <c r="X331" t="n">
        <v>1.6</v>
      </c>
      <c r="Y331" t="n">
        <v>0.394</v>
      </c>
      <c r="Z331" t="inlineStr">
        <is>
          <t>ST52AL</t>
        </is>
      </c>
      <c r="AA331" t="inlineStr">
        <is>
          <t>PE</t>
        </is>
      </c>
      <c r="AB331" t="inlineStr">
        <is>
          <t>AW</t>
        </is>
      </c>
      <c r="AC331" t="inlineStr">
        <is>
          <t>19.05-0-1.6-ERW 2 MAHS-PE</t>
        </is>
      </c>
      <c r="AD331" t="inlineStr">
        <is>
          <t>CTL</t>
        </is>
      </c>
      <c r="AE331" t="inlineStr">
        <is>
          <t>19.05-0-1.6-ERW 2 MAHS-PE-0.394</t>
        </is>
      </c>
      <c r="AF331" t="n">
        <v>0.2711508315200001</v>
      </c>
    </row>
    <row r="332">
      <c r="A332" s="56" t="n">
        <v>3517682</v>
      </c>
      <c r="B332" s="56" t="inlineStr">
        <is>
          <t>TUB-O-N-AUT-AW-PE-22.23X1.600X5.7700</t>
        </is>
      </c>
      <c r="C332" s="56" t="inlineStr">
        <is>
          <t>4B13H37442</t>
        </is>
      </c>
      <c r="D332" s="57" t="n">
        <v>339.86</v>
      </c>
      <c r="E332" s="58" t="n">
        <v>1597</v>
      </c>
      <c r="F332" s="57" t="n">
        <v>1.597</v>
      </c>
      <c r="G332" s="56" t="inlineStr">
        <is>
          <t>KG</t>
        </is>
      </c>
      <c r="H332" s="56" t="inlineStr">
        <is>
          <t>R001</t>
        </is>
      </c>
      <c r="I332" s="56" t="inlineStr">
        <is>
          <t>0789</t>
        </is>
      </c>
      <c r="J332" s="56" t="inlineStr">
        <is>
          <t>340</t>
        </is>
      </c>
      <c r="K332" s="57" t="n">
        <v>1960.953</v>
      </c>
      <c r="L332" s="56" t="inlineStr"/>
      <c r="M332" s="56" t="inlineStr">
        <is>
          <t>0</t>
        </is>
      </c>
      <c r="N332" s="56" t="inlineStr">
        <is>
          <t>MEGH STEELS PRIVATE LIMITED - TVS A</t>
        </is>
      </c>
      <c r="O332" s="58" t="n">
        <v>47</v>
      </c>
      <c r="P332" s="59" t="inlineStr">
        <is>
          <t>31-60</t>
        </is>
      </c>
      <c r="Q332" s="56" t="inlineStr">
        <is>
          <t>Apoorv</t>
        </is>
      </c>
      <c r="U332" s="585" t="n">
        <v>1940241</v>
      </c>
      <c r="V332" t="n">
        <v>19.05</v>
      </c>
      <c r="W332" t="n">
        <v>0</v>
      </c>
      <c r="X332" t="n">
        <v>1.6</v>
      </c>
      <c r="Y332" t="n">
        <v>0.435</v>
      </c>
      <c r="Z332" t="inlineStr">
        <is>
          <t>WG</t>
        </is>
      </c>
      <c r="AA332" t="inlineStr">
        <is>
          <t>PE</t>
        </is>
      </c>
      <c r="AB332" t="inlineStr">
        <is>
          <t>AW</t>
        </is>
      </c>
      <c r="AC332" t="inlineStr">
        <is>
          <t>19.05-0-1.6-ERW 1-PE</t>
        </is>
      </c>
      <c r="AD332" t="inlineStr">
        <is>
          <t>CTL</t>
        </is>
      </c>
      <c r="AE332" t="inlineStr">
        <is>
          <t>19.05-0-1.6-ERW 1-PE-0.435</t>
        </is>
      </c>
      <c r="AF332" t="n">
        <v>0.2993670348</v>
      </c>
    </row>
    <row r="333">
      <c r="A333" s="56" t="n">
        <v>3517682</v>
      </c>
      <c r="B333" s="56" t="inlineStr">
        <is>
          <t>TUB-O-N-AUT-AW-PE-22.23X1.600X5.7700</t>
        </is>
      </c>
      <c r="C333" s="56" t="inlineStr">
        <is>
          <t>4B21H38099</t>
        </is>
      </c>
      <c r="D333" s="57" t="n">
        <v>45.116</v>
      </c>
      <c r="E333" s="58" t="n">
        <v>212</v>
      </c>
      <c r="F333" s="57" t="n">
        <v>0.212</v>
      </c>
      <c r="G333" s="56" t="inlineStr">
        <is>
          <t>KG</t>
        </is>
      </c>
      <c r="H333" s="56" t="inlineStr">
        <is>
          <t>R001</t>
        </is>
      </c>
      <c r="I333" s="56" t="inlineStr">
        <is>
          <t>0789</t>
        </is>
      </c>
      <c r="J333" s="56" t="inlineStr">
        <is>
          <t>45</t>
        </is>
      </c>
      <c r="K333" s="57" t="n">
        <v>260.314</v>
      </c>
      <c r="L333" s="56" t="inlineStr"/>
      <c r="M333" s="56" t="inlineStr">
        <is>
          <t>0</t>
        </is>
      </c>
      <c r="N333" s="56" t="inlineStr">
        <is>
          <t>MEGH STEELS PRIVATE LIMITED - TVS A</t>
        </is>
      </c>
      <c r="O333" s="58" t="n">
        <v>47</v>
      </c>
      <c r="P333" s="59" t="inlineStr">
        <is>
          <t>31-60</t>
        </is>
      </c>
      <c r="Q333" s="56" t="inlineStr">
        <is>
          <t>Apoorv</t>
        </is>
      </c>
      <c r="U333" s="585" t="n">
        <v>3510171</v>
      </c>
      <c r="V333" t="n">
        <v>19.05</v>
      </c>
      <c r="W333" t="n">
        <v>0</v>
      </c>
      <c r="X333" t="n">
        <v>1.6</v>
      </c>
      <c r="Y333" t="n">
        <v>0.469</v>
      </c>
      <c r="Z333" t="inlineStr"/>
      <c r="AA333" t="inlineStr">
        <is>
          <t>FC</t>
        </is>
      </c>
      <c r="AB333" t="inlineStr">
        <is>
          <t>AW</t>
        </is>
      </c>
      <c r="AC333" t="inlineStr">
        <is>
          <t>check TDC for FC</t>
        </is>
      </c>
      <c r="AD333" t="inlineStr">
        <is>
          <t>CTL</t>
        </is>
      </c>
      <c r="AE333" t="inlineStr">
        <is>
          <t>check TDC for FC-0.469</t>
        </is>
      </c>
      <c r="AF333" t="n">
        <v>0.32276583752</v>
      </c>
    </row>
    <row r="334">
      <c r="A334" s="56" t="n">
        <v>3517684</v>
      </c>
      <c r="B334" s="56" t="inlineStr">
        <is>
          <t>TUB-O-N-AUT-AW-FC-34.93X2.000X6.2000</t>
        </is>
      </c>
      <c r="C334" s="56" t="inlineStr">
        <is>
          <t>4B07AH2030</t>
        </is>
      </c>
      <c r="D334" s="57" t="n">
        <v>176.196</v>
      </c>
      <c r="E334" s="58" t="n">
        <v>1775</v>
      </c>
      <c r="F334" s="57" t="n">
        <v>1.775</v>
      </c>
      <c r="G334" s="56" t="inlineStr">
        <is>
          <t>KG</t>
        </is>
      </c>
      <c r="H334" s="56" t="inlineStr">
        <is>
          <t>R001</t>
        </is>
      </c>
      <c r="I334" s="56" t="inlineStr">
        <is>
          <t>0789</t>
        </is>
      </c>
      <c r="J334" s="56" t="inlineStr">
        <is>
          <t>177</t>
        </is>
      </c>
      <c r="K334" s="57" t="n">
        <v>1092.442</v>
      </c>
      <c r="L334" s="56" t="inlineStr">
        <is>
          <t>9518224413/ 1</t>
        </is>
      </c>
      <c r="M334" s="56" t="inlineStr">
        <is>
          <t>1</t>
        </is>
      </c>
      <c r="N334" s="56" t="inlineStr">
        <is>
          <t>MEGH STEELS PRIVATE LIMITED - TVS A</t>
        </is>
      </c>
      <c r="O334" s="58" t="n">
        <v>49</v>
      </c>
      <c r="P334" s="59" t="inlineStr">
        <is>
          <t>31-60</t>
        </is>
      </c>
      <c r="Q334" s="56" t="inlineStr">
        <is>
          <t>Apoorv</t>
        </is>
      </c>
      <c r="U334" s="585" t="n">
        <v>3210052</v>
      </c>
      <c r="V334" t="n">
        <v>19.05</v>
      </c>
      <c r="W334" t="n">
        <v>0</v>
      </c>
      <c r="X334" t="n">
        <v>1.6</v>
      </c>
      <c r="Y334" t="n">
        <v>0.469</v>
      </c>
      <c r="Z334" t="inlineStr"/>
      <c r="AA334" t="inlineStr">
        <is>
          <t>PE</t>
        </is>
      </c>
      <c r="AB334" t="inlineStr">
        <is>
          <t>AW</t>
        </is>
      </c>
      <c r="AC334" t="inlineStr">
        <is>
          <t>19.05-0-1.6-ERW 1-PE</t>
        </is>
      </c>
      <c r="AD334" t="inlineStr">
        <is>
          <t>CTL</t>
        </is>
      </c>
      <c r="AE334" t="inlineStr">
        <is>
          <t>19.05-0-1.6-ERW 1-PE-0.469</t>
        </is>
      </c>
      <c r="AF334" t="n">
        <v>0.32276583752</v>
      </c>
    </row>
    <row r="335">
      <c r="A335" s="56" t="n">
        <v>3517684</v>
      </c>
      <c r="B335" s="56" t="inlineStr">
        <is>
          <t>TUB-O-N-AUT-AW-FC-34.93X2.000X6.2000</t>
        </is>
      </c>
      <c r="C335" s="56" t="inlineStr">
        <is>
          <t>4B07AH2040</t>
        </is>
      </c>
      <c r="D335" s="57" t="n">
        <v>193.568</v>
      </c>
      <c r="E335" s="58" t="n">
        <v>1950</v>
      </c>
      <c r="F335" s="57" t="n">
        <v>1.95</v>
      </c>
      <c r="G335" s="56" t="inlineStr">
        <is>
          <t>KG</t>
        </is>
      </c>
      <c r="H335" s="56" t="inlineStr">
        <is>
          <t>R001</t>
        </is>
      </c>
      <c r="I335" s="56" t="inlineStr">
        <is>
          <t>0789</t>
        </is>
      </c>
      <c r="J335" s="56" t="inlineStr">
        <is>
          <t>195</t>
        </is>
      </c>
      <c r="K335" s="57" t="n">
        <v>1200.148</v>
      </c>
      <c r="L335" s="56" t="inlineStr">
        <is>
          <t>9518224413/ 1</t>
        </is>
      </c>
      <c r="M335" s="56" t="inlineStr">
        <is>
          <t>1</t>
        </is>
      </c>
      <c r="N335" s="56" t="inlineStr">
        <is>
          <t>MEGH STEELS PRIVATE LIMITED - TVS A</t>
        </is>
      </c>
      <c r="O335" s="58" t="n">
        <v>49</v>
      </c>
      <c r="P335" s="59" t="inlineStr">
        <is>
          <t>31-60</t>
        </is>
      </c>
      <c r="Q335" s="56" t="inlineStr">
        <is>
          <t>Apoorv</t>
        </is>
      </c>
      <c r="U335" s="585" t="n">
        <v>3213875</v>
      </c>
      <c r="V335" t="n">
        <v>19.05</v>
      </c>
      <c r="W335" t="n">
        <v>0</v>
      </c>
      <c r="X335" t="n">
        <v>1.6</v>
      </c>
      <c r="Y335" t="n">
        <v>0.485</v>
      </c>
      <c r="Z335" t="inlineStr">
        <is>
          <t>ST52AL</t>
        </is>
      </c>
      <c r="AA335" t="inlineStr">
        <is>
          <t>PE</t>
        </is>
      </c>
      <c r="AB335" t="inlineStr">
        <is>
          <t>AW</t>
        </is>
      </c>
      <c r="AC335" t="inlineStr">
        <is>
          <t>19.05-0-1.6-ERW 2 MAHS-PE</t>
        </is>
      </c>
      <c r="AD335" t="inlineStr">
        <is>
          <t>CTL</t>
        </is>
      </c>
      <c r="AE335" t="inlineStr">
        <is>
          <t>19.05-0-1.6-ERW 2 MAHS-PE-0.485</t>
        </is>
      </c>
      <c r="AF335" t="n">
        <v>0.3337770388</v>
      </c>
    </row>
    <row r="336">
      <c r="A336" s="56" t="n">
        <v>3517684</v>
      </c>
      <c r="B336" s="56" t="inlineStr">
        <is>
          <t>TUB-O-N-AUT-AW-FC-34.93X2.000X6.2000</t>
        </is>
      </c>
      <c r="C336" s="56" t="inlineStr">
        <is>
          <t>4B07AH2050</t>
        </is>
      </c>
      <c r="D336" s="57" t="n">
        <v>193.071</v>
      </c>
      <c r="E336" s="58" t="n">
        <v>1945</v>
      </c>
      <c r="F336" s="57" t="n">
        <v>1.945</v>
      </c>
      <c r="G336" s="56" t="inlineStr">
        <is>
          <t>KG</t>
        </is>
      </c>
      <c r="H336" s="56" t="inlineStr">
        <is>
          <t>R001</t>
        </is>
      </c>
      <c r="I336" s="56" t="inlineStr">
        <is>
          <t>0789</t>
        </is>
      </c>
      <c r="J336" s="56" t="inlineStr">
        <is>
          <t>195</t>
        </is>
      </c>
      <c r="K336" s="57" t="n">
        <v>1197.07</v>
      </c>
      <c r="L336" s="56" t="inlineStr">
        <is>
          <t>9518224413/ 1</t>
        </is>
      </c>
      <c r="M336" s="56" t="inlineStr">
        <is>
          <t>1</t>
        </is>
      </c>
      <c r="N336" s="56" t="inlineStr">
        <is>
          <t>MEGH STEELS PRIVATE LIMITED - TVS A</t>
        </is>
      </c>
      <c r="O336" s="58" t="n">
        <v>49</v>
      </c>
      <c r="P336" s="59" t="inlineStr">
        <is>
          <t>31-60</t>
        </is>
      </c>
      <c r="Q336" s="56" t="inlineStr">
        <is>
          <t>Apoorv</t>
        </is>
      </c>
      <c r="U336" s="585" t="n">
        <v>1940247</v>
      </c>
      <c r="V336" t="n">
        <v>19.05</v>
      </c>
      <c r="W336" t="n">
        <v>0</v>
      </c>
      <c r="X336" t="n">
        <v>1.6</v>
      </c>
      <c r="Y336" t="n">
        <v>0.595</v>
      </c>
      <c r="Z336" t="inlineStr">
        <is>
          <t>GR1</t>
        </is>
      </c>
      <c r="AA336" t="inlineStr">
        <is>
          <t>PE</t>
        </is>
      </c>
      <c r="AB336" t="inlineStr">
        <is>
          <t>AW</t>
        </is>
      </c>
      <c r="AC336" t="inlineStr">
        <is>
          <t>19.05-0-1.6-ERW 1-PE</t>
        </is>
      </c>
      <c r="AD336" t="inlineStr">
        <is>
          <t>CTL</t>
        </is>
      </c>
      <c r="AE336" t="inlineStr">
        <is>
          <t>19.05-0-1.6-ERW 1-PE-0.595</t>
        </is>
      </c>
      <c r="AF336" t="n">
        <v>0.4094790476</v>
      </c>
    </row>
    <row r="337">
      <c r="A337" s="56" t="n">
        <v>3517684</v>
      </c>
      <c r="B337" s="56" t="inlineStr">
        <is>
          <t>TUB-O-N-AUT-AW-FC-34.93X2.000X6.2000</t>
        </is>
      </c>
      <c r="C337" s="56" t="inlineStr">
        <is>
          <t>4B07AH2060</t>
        </is>
      </c>
      <c r="D337" s="57" t="n">
        <v>149.99</v>
      </c>
      <c r="E337" s="58" t="n">
        <v>1511</v>
      </c>
      <c r="F337" s="57" t="n">
        <v>1.511</v>
      </c>
      <c r="G337" s="56" t="inlineStr">
        <is>
          <t>KG</t>
        </is>
      </c>
      <c r="H337" s="56" t="inlineStr">
        <is>
          <t>R001</t>
        </is>
      </c>
      <c r="I337" s="56" t="inlineStr">
        <is>
          <t>0789</t>
        </is>
      </c>
      <c r="J337" s="56" t="inlineStr">
        <is>
          <t>150</t>
        </is>
      </c>
      <c r="K337" s="57" t="n">
        <v>929.961</v>
      </c>
      <c r="L337" s="56" t="inlineStr">
        <is>
          <t>9518224413/ 1</t>
        </is>
      </c>
      <c r="M337" s="56" t="inlineStr">
        <is>
          <t>1</t>
        </is>
      </c>
      <c r="N337" s="56" t="inlineStr">
        <is>
          <t>MEGH STEELS PRIVATE LIMITED - TVS A</t>
        </is>
      </c>
      <c r="O337" s="58" t="n">
        <v>6</v>
      </c>
      <c r="P337" s="59" t="inlineStr">
        <is>
          <t>0-30</t>
        </is>
      </c>
      <c r="Q337" s="56" t="inlineStr">
        <is>
          <t>Apoorv</t>
        </is>
      </c>
      <c r="U337" s="585" t="n">
        <v>236341</v>
      </c>
      <c r="V337" t="n">
        <v>19.05</v>
      </c>
      <c r="W337" t="n">
        <v>0</v>
      </c>
      <c r="X337" t="n">
        <v>1.6</v>
      </c>
      <c r="Y337" t="n">
        <v>0.61</v>
      </c>
      <c r="Z337" t="inlineStr">
        <is>
          <t>TPT</t>
        </is>
      </c>
      <c r="AA337" t="inlineStr">
        <is>
          <t>PE</t>
        </is>
      </c>
      <c r="AB337" t="inlineStr">
        <is>
          <t>AW</t>
        </is>
      </c>
      <c r="AC337" t="inlineStr">
        <is>
          <t>19.05-0-1.6-ERW 1-PE</t>
        </is>
      </c>
      <c r="AD337" t="inlineStr">
        <is>
          <t>CTL</t>
        </is>
      </c>
      <c r="AE337" t="inlineStr">
        <is>
          <t>19.05-0-1.6-ERW 1-PE-0.61</t>
        </is>
      </c>
      <c r="AF337" t="n">
        <v>0.4198020488</v>
      </c>
    </row>
    <row r="338">
      <c r="A338" s="56" t="n">
        <v>3517684</v>
      </c>
      <c r="B338" s="56" t="inlineStr">
        <is>
          <t>TUB-O-N-AUT-AW-FC-34.93X2.000X6.2000</t>
        </is>
      </c>
      <c r="C338" s="56" t="inlineStr">
        <is>
          <t>4B07AH2070</t>
        </is>
      </c>
      <c r="D338" s="57" t="n">
        <v>190.093</v>
      </c>
      <c r="E338" s="58" t="n">
        <v>1915</v>
      </c>
      <c r="F338" s="57" t="n">
        <v>1.915</v>
      </c>
      <c r="G338" s="56" t="inlineStr">
        <is>
          <t>KG</t>
        </is>
      </c>
      <c r="H338" s="56" t="inlineStr">
        <is>
          <t>R001</t>
        </is>
      </c>
      <c r="I338" s="56" t="inlineStr">
        <is>
          <t>0789</t>
        </is>
      </c>
      <c r="J338" s="56" t="inlineStr">
        <is>
          <t>191</t>
        </is>
      </c>
      <c r="K338" s="57" t="n">
        <v>1178.607</v>
      </c>
      <c r="L338" s="56" t="inlineStr">
        <is>
          <t>9518224413/ 1</t>
        </is>
      </c>
      <c r="M338" s="56" t="inlineStr">
        <is>
          <t>1</t>
        </is>
      </c>
      <c r="N338" s="56" t="inlineStr">
        <is>
          <t>MEGH STEELS PRIVATE LIMITED - TVS A</t>
        </is>
      </c>
      <c r="O338" s="58" t="n">
        <v>49</v>
      </c>
      <c r="P338" s="59" t="inlineStr">
        <is>
          <t>31-60</t>
        </is>
      </c>
      <c r="Q338" s="56" t="inlineStr">
        <is>
          <t>Apoorv</t>
        </is>
      </c>
      <c r="U338" s="585" t="n">
        <v>2331953</v>
      </c>
      <c r="V338" t="n">
        <v>19.05</v>
      </c>
      <c r="W338" t="n">
        <v>0</v>
      </c>
      <c r="X338" t="n">
        <v>1.6</v>
      </c>
      <c r="Y338" t="n">
        <v>0.61</v>
      </c>
      <c r="Z338" t="inlineStr">
        <is>
          <t>WG</t>
        </is>
      </c>
      <c r="AA338" t="inlineStr">
        <is>
          <t>PE</t>
        </is>
      </c>
      <c r="AB338" t="inlineStr">
        <is>
          <t>AW</t>
        </is>
      </c>
      <c r="AC338" t="inlineStr">
        <is>
          <t>19.05-0-1.6-ERW 1-PE</t>
        </is>
      </c>
      <c r="AD338" t="inlineStr">
        <is>
          <t>CTL</t>
        </is>
      </c>
      <c r="AE338" t="inlineStr">
        <is>
          <t>19.05-0-1.6-ERW 1-PE-0.61</t>
        </is>
      </c>
      <c r="AF338" t="n">
        <v>0.4198020488</v>
      </c>
    </row>
    <row r="339">
      <c r="A339" s="56" t="n">
        <v>3517684</v>
      </c>
      <c r="B339" s="56" t="inlineStr">
        <is>
          <t>TUB-O-N-AUT-AW-FC-34.93X2.000X6.2000</t>
        </is>
      </c>
      <c r="C339" s="56" t="inlineStr">
        <is>
          <t>4B07AH2080</t>
        </is>
      </c>
      <c r="D339" s="57" t="n">
        <v>191.086</v>
      </c>
      <c r="E339" s="58" t="n">
        <v>1925</v>
      </c>
      <c r="F339" s="57" t="n">
        <v>1.925</v>
      </c>
      <c r="G339" s="56" t="inlineStr">
        <is>
          <t>KG</t>
        </is>
      </c>
      <c r="H339" s="56" t="inlineStr">
        <is>
          <t>R001</t>
        </is>
      </c>
      <c r="I339" s="56" t="inlineStr">
        <is>
          <t>0789</t>
        </is>
      </c>
      <c r="J339" s="56" t="inlineStr">
        <is>
          <t>189</t>
        </is>
      </c>
      <c r="K339" s="57" t="n">
        <v>1184.761</v>
      </c>
      <c r="L339" s="56" t="inlineStr">
        <is>
          <t>9518224413/ 1</t>
        </is>
      </c>
      <c r="M339" s="56" t="inlineStr">
        <is>
          <t>1</t>
        </is>
      </c>
      <c r="N339" s="56" t="inlineStr">
        <is>
          <t>MEGH STEELS PRIVATE LIMITED - TVS A</t>
        </is>
      </c>
      <c r="O339" s="58" t="n">
        <v>49</v>
      </c>
      <c r="P339" s="59" t="inlineStr">
        <is>
          <t>31-60</t>
        </is>
      </c>
      <c r="Q339" s="56" t="inlineStr">
        <is>
          <t>Apoorv</t>
        </is>
      </c>
      <c r="U339" s="585" t="n">
        <v>2425969</v>
      </c>
      <c r="V339" t="n">
        <v>19.05</v>
      </c>
      <c r="W339" t="n">
        <v>0</v>
      </c>
      <c r="X339" t="n">
        <v>1.6</v>
      </c>
      <c r="Y339" t="n">
        <v>0.775</v>
      </c>
      <c r="Z339" t="inlineStr">
        <is>
          <t>ST52AL</t>
        </is>
      </c>
      <c r="AA339" t="inlineStr">
        <is>
          <t>FC</t>
        </is>
      </c>
      <c r="AB339" t="inlineStr">
        <is>
          <t>AW</t>
        </is>
      </c>
      <c r="AC339" t="inlineStr">
        <is>
          <t>19.05-0-1.6-ERW 2 MAHS-PE</t>
        </is>
      </c>
      <c r="AD339" t="inlineStr">
        <is>
          <t>CTL</t>
        </is>
      </c>
      <c r="AE339" t="inlineStr">
        <is>
          <t>19.05-0-1.6-ERW 2 MAHS-PE-0.775</t>
        </is>
      </c>
      <c r="AF339" t="n">
        <v>0.533355062</v>
      </c>
    </row>
    <row r="340">
      <c r="A340" s="56" t="n">
        <v>3517684</v>
      </c>
      <c r="B340" s="56" t="inlineStr">
        <is>
          <t>TUB-O-N-AUT-AW-FC-34.93X2.000X6.2000</t>
        </is>
      </c>
      <c r="C340" s="56" t="inlineStr">
        <is>
          <t>4B07AH2090</t>
        </is>
      </c>
      <c r="D340" s="57" t="n">
        <v>197.538</v>
      </c>
      <c r="E340" s="58" t="n">
        <v>1990</v>
      </c>
      <c r="F340" s="57" t="n">
        <v>1.99</v>
      </c>
      <c r="G340" s="56" t="inlineStr">
        <is>
          <t>KG</t>
        </is>
      </c>
      <c r="H340" s="56" t="inlineStr">
        <is>
          <t>R001</t>
        </is>
      </c>
      <c r="I340" s="56" t="inlineStr">
        <is>
          <t>0789</t>
        </is>
      </c>
      <c r="J340" s="56" t="inlineStr">
        <is>
          <t>195</t>
        </is>
      </c>
      <c r="K340" s="57" t="n">
        <v>1224.766</v>
      </c>
      <c r="L340" s="56" t="inlineStr">
        <is>
          <t>9518224413/ 1</t>
        </is>
      </c>
      <c r="M340" s="56" t="inlineStr">
        <is>
          <t>1</t>
        </is>
      </c>
      <c r="N340" s="56" t="inlineStr">
        <is>
          <t>MEGH STEELS PRIVATE LIMITED - TVS A</t>
        </is>
      </c>
      <c r="O340" s="58" t="n">
        <v>49</v>
      </c>
      <c r="P340" s="59" t="inlineStr">
        <is>
          <t>31-60</t>
        </is>
      </c>
      <c r="Q340" s="56" t="inlineStr">
        <is>
          <t>Apoorv</t>
        </is>
      </c>
      <c r="U340" s="585" t="n">
        <v>1908799</v>
      </c>
      <c r="V340" t="n">
        <v>19.05</v>
      </c>
      <c r="W340" t="n">
        <v>0</v>
      </c>
      <c r="X340" t="n">
        <v>1.6</v>
      </c>
      <c r="Y340" t="n">
        <v>0.775</v>
      </c>
      <c r="Z340" t="inlineStr">
        <is>
          <t>NORMAL</t>
        </is>
      </c>
      <c r="AA340" t="inlineStr">
        <is>
          <t>PE</t>
        </is>
      </c>
      <c r="AB340" t="inlineStr">
        <is>
          <t>AW</t>
        </is>
      </c>
      <c r="AC340" t="inlineStr">
        <is>
          <t>19.05-0-1.6-ERW 1-PE</t>
        </is>
      </c>
      <c r="AD340" t="inlineStr">
        <is>
          <t>CTL</t>
        </is>
      </c>
      <c r="AE340" t="inlineStr">
        <is>
          <t>19.05-0-1.6-ERW 1-PE-0.775</t>
        </is>
      </c>
      <c r="AF340" t="n">
        <v>0.533355062</v>
      </c>
    </row>
    <row r="341">
      <c r="A341" s="56" t="n">
        <v>3517684</v>
      </c>
      <c r="B341" s="56" t="inlineStr">
        <is>
          <t>TUB-O-N-AUT-AW-FC-34.93X2.000X6.2000</t>
        </is>
      </c>
      <c r="C341" s="56" t="inlineStr">
        <is>
          <t>4B07AH2100</t>
        </is>
      </c>
      <c r="D341" s="57" t="n">
        <v>193.071</v>
      </c>
      <c r="E341" s="58" t="n">
        <v>1945</v>
      </c>
      <c r="F341" s="57" t="n">
        <v>1.945</v>
      </c>
      <c r="G341" s="56" t="inlineStr">
        <is>
          <t>KG</t>
        </is>
      </c>
      <c r="H341" s="56" t="inlineStr">
        <is>
          <t>R001</t>
        </is>
      </c>
      <c r="I341" s="56" t="inlineStr">
        <is>
          <t>0789</t>
        </is>
      </c>
      <c r="J341" s="56" t="inlineStr">
        <is>
          <t>192</t>
        </is>
      </c>
      <c r="K341" s="57" t="n">
        <v>1197.07</v>
      </c>
      <c r="L341" s="56" t="inlineStr">
        <is>
          <t>9518224413/ 1</t>
        </is>
      </c>
      <c r="M341" s="56" t="inlineStr">
        <is>
          <t>1</t>
        </is>
      </c>
      <c r="N341" s="56" t="inlineStr">
        <is>
          <t>MEGH STEELS PRIVATE LIMITED - TVS A</t>
        </is>
      </c>
      <c r="O341" s="58" t="n">
        <v>49</v>
      </c>
      <c r="P341" s="59" t="inlineStr">
        <is>
          <t>31-60</t>
        </is>
      </c>
      <c r="Q341" s="56" t="inlineStr">
        <is>
          <t>Apoorv</t>
        </is>
      </c>
      <c r="U341" t="n">
        <v>3841883</v>
      </c>
      <c r="V341" t="n">
        <v>19.05</v>
      </c>
      <c r="W341" t="n">
        <v>0</v>
      </c>
      <c r="X341" t="n">
        <v>1.6</v>
      </c>
      <c r="Y341" t="n">
        <v>0.775</v>
      </c>
      <c r="Z341" t="inlineStr">
        <is>
          <t>ST52AL</t>
        </is>
      </c>
      <c r="AA341" t="inlineStr">
        <is>
          <t>PE</t>
        </is>
      </c>
      <c r="AB341" t="inlineStr">
        <is>
          <t>AW</t>
        </is>
      </c>
      <c r="AC341" t="inlineStr">
        <is>
          <t>19.05-0-1.6-ERW 2 MAHS-PE</t>
        </is>
      </c>
      <c r="AD341" t="inlineStr">
        <is>
          <t>CTL</t>
        </is>
      </c>
      <c r="AE341" t="inlineStr">
        <is>
          <t>19.05-0-1.6-ERW 2 MAHS-PE-0.775</t>
        </is>
      </c>
      <c r="AF341" t="n">
        <v>0.533355062</v>
      </c>
    </row>
    <row r="342">
      <c r="A342" s="56" t="n">
        <v>3517684</v>
      </c>
      <c r="B342" s="56" t="inlineStr">
        <is>
          <t>TUB-O-N-AUT-AW-FC-34.93X2.000X6.2000</t>
        </is>
      </c>
      <c r="C342" s="56" t="inlineStr">
        <is>
          <t>4B07AH2110</t>
        </is>
      </c>
      <c r="D342" s="57" t="n">
        <v>198.035</v>
      </c>
      <c r="E342" s="58" t="n">
        <v>1995</v>
      </c>
      <c r="F342" s="57" t="n">
        <v>1.995</v>
      </c>
      <c r="G342" s="56" t="inlineStr">
        <is>
          <t>KG</t>
        </is>
      </c>
      <c r="H342" s="56" t="inlineStr">
        <is>
          <t>R001</t>
        </is>
      </c>
      <c r="I342" s="56" t="inlineStr">
        <is>
          <t>0789</t>
        </is>
      </c>
      <c r="J342" s="56" t="inlineStr">
        <is>
          <t>196</t>
        </is>
      </c>
      <c r="K342" s="57" t="n">
        <v>1227.843</v>
      </c>
      <c r="L342" s="56" t="inlineStr">
        <is>
          <t>9518224413/ 1</t>
        </is>
      </c>
      <c r="M342" s="56" t="inlineStr">
        <is>
          <t>1</t>
        </is>
      </c>
      <c r="N342" s="56" t="inlineStr">
        <is>
          <t>MEGH STEELS PRIVATE LIMITED - TVS A</t>
        </is>
      </c>
      <c r="O342" s="58" t="n">
        <v>49</v>
      </c>
      <c r="P342" s="59" t="inlineStr">
        <is>
          <t>31-60</t>
        </is>
      </c>
      <c r="Q342" s="56" t="inlineStr">
        <is>
          <t>Apoorv</t>
        </is>
      </c>
      <c r="U342" t="n">
        <v>4109613</v>
      </c>
      <c r="V342" t="n">
        <v>19.05</v>
      </c>
      <c r="W342" t="n">
        <v>0</v>
      </c>
      <c r="X342" t="n">
        <v>1.6</v>
      </c>
      <c r="Y342" t="n">
        <v>0.775</v>
      </c>
      <c r="Z342" t="inlineStr">
        <is>
          <t>ST52AL</t>
        </is>
      </c>
      <c r="AA342" t="inlineStr">
        <is>
          <t>PE</t>
        </is>
      </c>
      <c r="AB342" t="inlineStr">
        <is>
          <t>AW</t>
        </is>
      </c>
      <c r="AC342" t="inlineStr">
        <is>
          <t>19.05-0-1.2-ERW 1-PE</t>
        </is>
      </c>
      <c r="AD342" t="inlineStr">
        <is>
          <t>CTL</t>
        </is>
      </c>
      <c r="AE342" t="inlineStr">
        <is>
          <t>19.05-0-1.2-ERW 1-PE-0.775</t>
        </is>
      </c>
      <c r="AF342" t="n">
        <v>0.533355062</v>
      </c>
    </row>
    <row r="343">
      <c r="A343" s="56" t="n">
        <v>3517684</v>
      </c>
      <c r="B343" s="56" t="inlineStr">
        <is>
          <t>TUB-O-N-AUT-AW-FC-34.93X2.000X6.2000</t>
        </is>
      </c>
      <c r="C343" s="56" t="inlineStr">
        <is>
          <t>4B07AH2120</t>
        </is>
      </c>
      <c r="D343" s="57" t="n">
        <v>192.575</v>
      </c>
      <c r="E343" s="58" t="n">
        <v>1940</v>
      </c>
      <c r="F343" s="57" t="n">
        <v>1.94</v>
      </c>
      <c r="G343" s="56" t="inlineStr">
        <is>
          <t>KG</t>
        </is>
      </c>
      <c r="H343" s="56" t="inlineStr">
        <is>
          <t>R001</t>
        </is>
      </c>
      <c r="I343" s="56" t="inlineStr">
        <is>
          <t>0789</t>
        </is>
      </c>
      <c r="J343" s="56" t="inlineStr">
        <is>
          <t>191</t>
        </is>
      </c>
      <c r="K343" s="57" t="n">
        <v>1193.993</v>
      </c>
      <c r="L343" s="56" t="inlineStr">
        <is>
          <t>9518224413/ 1</t>
        </is>
      </c>
      <c r="M343" s="56" t="inlineStr">
        <is>
          <t>1</t>
        </is>
      </c>
      <c r="N343" s="56" t="inlineStr">
        <is>
          <t>MEGH STEELS PRIVATE LIMITED - TVS A</t>
        </is>
      </c>
      <c r="O343" s="58" t="n">
        <v>49</v>
      </c>
      <c r="P343" s="59" t="inlineStr">
        <is>
          <t>31-60</t>
        </is>
      </c>
      <c r="Q343" s="56" t="inlineStr">
        <is>
          <t>Apoorv</t>
        </is>
      </c>
      <c r="U343" s="585" t="n">
        <v>2418569</v>
      </c>
      <c r="V343" t="n">
        <v>19.05</v>
      </c>
      <c r="W343" t="n">
        <v>0</v>
      </c>
      <c r="X343" t="n">
        <v>1.6</v>
      </c>
      <c r="Y343" t="n">
        <v>1.405</v>
      </c>
      <c r="Z343" t="inlineStr">
        <is>
          <t>WG</t>
        </is>
      </c>
      <c r="AA343" t="inlineStr">
        <is>
          <t>PE</t>
        </is>
      </c>
      <c r="AB343" t="inlineStr">
        <is>
          <t>AW</t>
        </is>
      </c>
      <c r="AC343" t="inlineStr">
        <is>
          <t>19.05-0-1.6-ERW 1-PE</t>
        </is>
      </c>
      <c r="AD343" t="inlineStr">
        <is>
          <t>CTL</t>
        </is>
      </c>
      <c r="AE343" t="inlineStr">
        <is>
          <t>19.05-0-1.6-ERW 1-PE-1.405</t>
        </is>
      </c>
      <c r="AF343" t="n">
        <v>0.9669211124000001</v>
      </c>
    </row>
    <row r="344">
      <c r="A344" s="56" t="n">
        <v>3518158</v>
      </c>
      <c r="B344" s="56" t="inlineStr">
        <is>
          <t>TUB-O-N-AUT-AW-PE-19.05X1.020X1.0950</t>
        </is>
      </c>
      <c r="C344" s="56" t="inlineStr">
        <is>
          <t>4B25AH1060</t>
        </is>
      </c>
      <c r="D344" s="57" t="n">
        <v>1735.211</v>
      </c>
      <c r="E344" s="57" t="n">
        <v>862.4</v>
      </c>
      <c r="F344" s="57" t="n">
        <v>0.8623999999999999</v>
      </c>
      <c r="G344" s="56" t="inlineStr">
        <is>
          <t>KG</t>
        </is>
      </c>
      <c r="H344" s="56" t="inlineStr">
        <is>
          <t>R001</t>
        </is>
      </c>
      <c r="I344" s="56" t="inlineStr">
        <is>
          <t>0789</t>
        </is>
      </c>
      <c r="J344" s="56" t="inlineStr">
        <is>
          <t>4538</t>
        </is>
      </c>
      <c r="K344" s="57" t="n">
        <v>1900.816</v>
      </c>
      <c r="L344" s="56" t="inlineStr">
        <is>
          <t>9518219998/ 9</t>
        </is>
      </c>
      <c r="M344" s="56" t="inlineStr">
        <is>
          <t>9</t>
        </is>
      </c>
      <c r="N344" s="56" t="inlineStr">
        <is>
          <t>Neel Metal Products Limited</t>
        </is>
      </c>
      <c r="O344" s="58" t="n">
        <v>44</v>
      </c>
      <c r="P344" s="59" t="inlineStr">
        <is>
          <t>31-60</t>
        </is>
      </c>
      <c r="Q344" s="56" t="inlineStr">
        <is>
          <t>Apoorv</t>
        </is>
      </c>
      <c r="U344" s="585" t="n">
        <v>235953</v>
      </c>
      <c r="V344" t="n">
        <v>19.05</v>
      </c>
      <c r="W344" t="n">
        <v>0</v>
      </c>
      <c r="X344" t="n">
        <v>1.6</v>
      </c>
      <c r="Y344" t="n">
        <v>5.475</v>
      </c>
      <c r="Z344" t="inlineStr">
        <is>
          <t>AU27</t>
        </is>
      </c>
      <c r="AA344" t="inlineStr">
        <is>
          <t>PE</t>
        </is>
      </c>
      <c r="AB344" t="inlineStr">
        <is>
          <t>AW</t>
        </is>
      </c>
      <c r="AC344" t="inlineStr">
        <is>
          <t>19.05-0-1.6-ERW 1-PE</t>
        </is>
      </c>
      <c r="AD344" t="inlineStr">
        <is>
          <t>LL</t>
        </is>
      </c>
      <c r="AE344" t="inlineStr">
        <is>
          <t>19.05-0-1.6-ERW 1-PE-1</t>
        </is>
      </c>
      <c r="AF344" t="n">
        <v>0.6882000800000001</v>
      </c>
    </row>
    <row r="345">
      <c r="A345" s="56" t="n">
        <v>3518158</v>
      </c>
      <c r="B345" s="56" t="inlineStr">
        <is>
          <t>TUB-O-N-AUT-AW-PE-19.05X1.020X1.0950</t>
        </is>
      </c>
      <c r="C345" s="56" t="inlineStr">
        <is>
          <t>4C02H39042</t>
        </is>
      </c>
      <c r="D345" s="57" t="n">
        <v>283.702</v>
      </c>
      <c r="E345" s="58" t="n">
        <v>141</v>
      </c>
      <c r="F345" s="57" t="n">
        <v>0.141</v>
      </c>
      <c r="G345" s="56" t="inlineStr">
        <is>
          <t>KG</t>
        </is>
      </c>
      <c r="H345" s="56" t="inlineStr">
        <is>
          <t>R001</t>
        </is>
      </c>
      <c r="I345" s="56" t="inlineStr">
        <is>
          <t>0789</t>
        </is>
      </c>
      <c r="J345" s="56" t="inlineStr">
        <is>
          <t>284</t>
        </is>
      </c>
      <c r="K345" s="57" t="n">
        <v>310.778</v>
      </c>
      <c r="L345" s="56" t="inlineStr">
        <is>
          <t>9518219998/ 9</t>
        </is>
      </c>
      <c r="M345" s="56" t="inlineStr">
        <is>
          <t>9</t>
        </is>
      </c>
      <c r="N345" s="56" t="inlineStr">
        <is>
          <t>Neel Metal Products Limited</t>
        </is>
      </c>
      <c r="O345" s="58" t="n">
        <v>42</v>
      </c>
      <c r="P345" s="59" t="inlineStr">
        <is>
          <t>31-60</t>
        </is>
      </c>
      <c r="Q345" s="56" t="inlineStr">
        <is>
          <t>Apoorv</t>
        </is>
      </c>
      <c r="U345" s="585" t="n">
        <v>3498997</v>
      </c>
      <c r="V345" t="n">
        <v>19.05</v>
      </c>
      <c r="W345" t="n">
        <v>0</v>
      </c>
      <c r="X345" t="n">
        <v>1.6</v>
      </c>
      <c r="Y345" t="n">
        <v>6</v>
      </c>
      <c r="Z345" t="inlineStr"/>
      <c r="AA345" t="inlineStr">
        <is>
          <t>PE</t>
        </is>
      </c>
      <c r="AB345" t="inlineStr">
        <is>
          <t>AW</t>
        </is>
      </c>
      <c r="AC345" t="inlineStr">
        <is>
          <t>19.05-0-1.6-ERW 1-PE</t>
        </is>
      </c>
      <c r="AD345" t="inlineStr">
        <is>
          <t>LL</t>
        </is>
      </c>
      <c r="AE345" t="inlineStr">
        <is>
          <t>19.05-0-1.6-ERW 1-PE-1</t>
        </is>
      </c>
      <c r="AF345" t="n">
        <v>0.6882000800000001</v>
      </c>
    </row>
    <row r="346">
      <c r="A346" s="56" t="n">
        <v>3531648</v>
      </c>
      <c r="B346" s="56" t="inlineStr">
        <is>
          <t>TUB-O-N-AUT-AW-FC-50.80X1.400X0.7390</t>
        </is>
      </c>
      <c r="C346" s="56" t="inlineStr">
        <is>
          <t>4C07H39256</t>
        </is>
      </c>
      <c r="D346" s="57" t="n">
        <v>950.04</v>
      </c>
      <c r="E346" s="58" t="n">
        <v>1198</v>
      </c>
      <c r="F346" s="57" t="n">
        <v>1.198</v>
      </c>
      <c r="G346" s="56" t="inlineStr">
        <is>
          <t>KG</t>
        </is>
      </c>
      <c r="H346" s="56" t="inlineStr">
        <is>
          <t>R001</t>
        </is>
      </c>
      <c r="I346" s="56" t="inlineStr">
        <is>
          <t>0789</t>
        </is>
      </c>
      <c r="J346" s="56" t="inlineStr">
        <is>
          <t>950</t>
        </is>
      </c>
      <c r="K346" s="57" t="n">
        <v>702.145</v>
      </c>
      <c r="L346" s="56" t="inlineStr">
        <is>
          <t>9518151600/ 4</t>
        </is>
      </c>
      <c r="M346" s="56" t="inlineStr">
        <is>
          <t>4</t>
        </is>
      </c>
      <c r="N346" s="56" t="inlineStr">
        <is>
          <t>Metalman Auto Private Limited</t>
        </is>
      </c>
      <c r="O346" s="58" t="n">
        <v>14</v>
      </c>
      <c r="P346" s="59" t="inlineStr">
        <is>
          <t>0-30</t>
        </is>
      </c>
      <c r="Q346" s="56" t="inlineStr">
        <is>
          <t>Jitendra Kumar Sharma</t>
        </is>
      </c>
      <c r="U346" s="585" t="n">
        <v>1940256</v>
      </c>
      <c r="V346" t="n">
        <v>19.05</v>
      </c>
      <c r="W346" t="n">
        <v>0</v>
      </c>
      <c r="X346" t="n">
        <v>1.6</v>
      </c>
      <c r="Y346" t="n">
        <v>6</v>
      </c>
      <c r="Z346" t="inlineStr">
        <is>
          <t>GR1</t>
        </is>
      </c>
      <c r="AA346" t="inlineStr">
        <is>
          <t>PE</t>
        </is>
      </c>
      <c r="AB346" t="inlineStr">
        <is>
          <t>AW</t>
        </is>
      </c>
      <c r="AC346" t="inlineStr">
        <is>
          <t>19.05-0-1.6-ERW 1-PE</t>
        </is>
      </c>
      <c r="AD346" t="inlineStr">
        <is>
          <t>LL</t>
        </is>
      </c>
      <c r="AE346" t="inlineStr">
        <is>
          <t>19.05-0-1.6-ERW 1-PE-1</t>
        </is>
      </c>
      <c r="AF346" t="n">
        <v>0.6882000800000001</v>
      </c>
    </row>
    <row r="347">
      <c r="A347" s="56" t="n">
        <v>3531648</v>
      </c>
      <c r="B347" s="56" t="inlineStr">
        <is>
          <t>TUB-O-N-AUT-AW-FC-50.80X1.400X0.7390</t>
        </is>
      </c>
      <c r="C347" s="56" t="inlineStr">
        <is>
          <t>4C13AH2180</t>
        </is>
      </c>
      <c r="D347" s="57" t="n">
        <v>930.2140000000001</v>
      </c>
      <c r="E347" s="58" t="n">
        <v>1173</v>
      </c>
      <c r="F347" s="57" t="n">
        <v>1.173</v>
      </c>
      <c r="G347" s="56" t="inlineStr">
        <is>
          <t>KG</t>
        </is>
      </c>
      <c r="H347" s="56" t="inlineStr">
        <is>
          <t>R001</t>
        </is>
      </c>
      <c r="I347" s="56" t="inlineStr">
        <is>
          <t>0789</t>
        </is>
      </c>
      <c r="J347" s="56" t="inlineStr">
        <is>
          <t>930</t>
        </is>
      </c>
      <c r="K347" s="57" t="n">
        <v>687.4930000000001</v>
      </c>
      <c r="L347" s="56" t="inlineStr">
        <is>
          <t>9518314455/ 1</t>
        </is>
      </c>
      <c r="M347" s="56" t="inlineStr">
        <is>
          <t>1</t>
        </is>
      </c>
      <c r="N347" s="56" t="inlineStr">
        <is>
          <t>Metalman Auto Private Limited</t>
        </is>
      </c>
      <c r="O347" s="58" t="n">
        <v>14</v>
      </c>
      <c r="P347" s="59" t="inlineStr">
        <is>
          <t>0-30</t>
        </is>
      </c>
      <c r="Q347" s="56" t="inlineStr">
        <is>
          <t>Jitendra Kumar Sharma</t>
        </is>
      </c>
      <c r="U347" s="508" t="n">
        <v>3410965</v>
      </c>
      <c r="V347" t="n">
        <v>19.05</v>
      </c>
      <c r="W347" t="n">
        <v>0</v>
      </c>
      <c r="X347" t="n">
        <v>1.6</v>
      </c>
      <c r="Y347" t="n">
        <v>6</v>
      </c>
      <c r="Z347" t="inlineStr">
        <is>
          <t>ST52AL</t>
        </is>
      </c>
      <c r="AA347" t="inlineStr">
        <is>
          <t>PE</t>
        </is>
      </c>
      <c r="AB347" t="inlineStr">
        <is>
          <t>AW</t>
        </is>
      </c>
      <c r="AC347" t="inlineStr">
        <is>
          <t>19.05-0-1.6-ERW 2 MAHS-PE</t>
        </is>
      </c>
      <c r="AD347" t="inlineStr">
        <is>
          <t>LL</t>
        </is>
      </c>
      <c r="AE347" t="inlineStr">
        <is>
          <t>19.05-0-1.6-ERW 2 MAHS-PE-1</t>
        </is>
      </c>
      <c r="AF347" t="n">
        <v>0.6882000800000001</v>
      </c>
    </row>
    <row r="348">
      <c r="A348" s="56" t="n">
        <v>3531648</v>
      </c>
      <c r="B348" s="56" t="inlineStr">
        <is>
          <t>TUB-O-N-AUT-AW-FC-50.80X1.400X0.7390</t>
        </is>
      </c>
      <c r="C348" s="56" t="inlineStr">
        <is>
          <t>4C13BH2010</t>
        </is>
      </c>
      <c r="D348" s="57" t="n">
        <v>800.159</v>
      </c>
      <c r="E348" s="58" t="n">
        <v>1009</v>
      </c>
      <c r="F348" s="57" t="n">
        <v>1.009</v>
      </c>
      <c r="G348" s="56" t="inlineStr">
        <is>
          <t>KG</t>
        </is>
      </c>
      <c r="H348" s="56" t="inlineStr">
        <is>
          <t>R001</t>
        </is>
      </c>
      <c r="I348" s="56" t="inlineStr">
        <is>
          <t>0789</t>
        </is>
      </c>
      <c r="J348" s="56" t="inlineStr">
        <is>
          <t>800</t>
        </is>
      </c>
      <c r="K348" s="57" t="n">
        <v>591.373</v>
      </c>
      <c r="L348" s="56" t="inlineStr">
        <is>
          <t>9518314455/ 1</t>
        </is>
      </c>
      <c r="M348" s="56" t="inlineStr">
        <is>
          <t>1</t>
        </is>
      </c>
      <c r="N348" s="56" t="inlineStr">
        <is>
          <t>Metalman Auto Private Limited</t>
        </is>
      </c>
      <c r="O348" s="58" t="n">
        <v>14</v>
      </c>
      <c r="P348" s="59" t="inlineStr">
        <is>
          <t>0-30</t>
        </is>
      </c>
      <c r="Q348" s="56" t="inlineStr">
        <is>
          <t>Jitendra Kumar Sharma</t>
        </is>
      </c>
      <c r="U348" s="585" t="n">
        <v>3502496</v>
      </c>
      <c r="V348" t="n">
        <v>19.05</v>
      </c>
      <c r="W348" t="n">
        <v>0</v>
      </c>
      <c r="X348" t="n">
        <v>1.6</v>
      </c>
      <c r="Y348" t="n">
        <v>6.001</v>
      </c>
      <c r="Z348" t="inlineStr"/>
      <c r="AA348" t="inlineStr">
        <is>
          <t>FC</t>
        </is>
      </c>
      <c r="AB348" t="inlineStr">
        <is>
          <t>AW</t>
        </is>
      </c>
      <c r="AC348" t="inlineStr">
        <is>
          <t>check TDC for FC</t>
        </is>
      </c>
      <c r="AD348" t="inlineStr">
        <is>
          <t>LL</t>
        </is>
      </c>
      <c r="AE348" t="inlineStr">
        <is>
          <t>check TDC for FC-1</t>
        </is>
      </c>
      <c r="AF348" t="n">
        <v>0.6882000800000001</v>
      </c>
    </row>
    <row r="349">
      <c r="A349" s="56" t="n">
        <v>3531648</v>
      </c>
      <c r="B349" s="56" t="inlineStr">
        <is>
          <t>TUB-O-N-AUT-AW-FC-50.80X1.400X0.7390</t>
        </is>
      </c>
      <c r="C349" s="56" t="inlineStr">
        <is>
          <t>4C13BH2020</t>
        </is>
      </c>
      <c r="D349" s="57" t="n">
        <v>900.079</v>
      </c>
      <c r="E349" s="58" t="n">
        <v>1135</v>
      </c>
      <c r="F349" s="57" t="n">
        <v>1.135</v>
      </c>
      <c r="G349" s="56" t="inlineStr">
        <is>
          <t>KG</t>
        </is>
      </c>
      <c r="H349" s="56" t="inlineStr">
        <is>
          <t>R001</t>
        </is>
      </c>
      <c r="I349" s="56" t="inlineStr">
        <is>
          <t>0789</t>
        </is>
      </c>
      <c r="J349" s="56" t="inlineStr">
        <is>
          <t>900</t>
        </is>
      </c>
      <c r="K349" s="57" t="n">
        <v>665.221</v>
      </c>
      <c r="L349" s="56" t="inlineStr">
        <is>
          <t>9518314455/ 1</t>
        </is>
      </c>
      <c r="M349" s="56" t="inlineStr">
        <is>
          <t>1</t>
        </is>
      </c>
      <c r="N349" s="56" t="inlineStr">
        <is>
          <t>Metalman Auto Private Limited</t>
        </is>
      </c>
      <c r="O349" s="58" t="n">
        <v>14</v>
      </c>
      <c r="P349" s="59" t="inlineStr">
        <is>
          <t>0-30</t>
        </is>
      </c>
      <c r="Q349" s="56" t="inlineStr">
        <is>
          <t>Jitendra Kumar Sharma</t>
        </is>
      </c>
      <c r="U349" s="585" t="n">
        <v>111120700</v>
      </c>
      <c r="V349" t="n">
        <v>19.05</v>
      </c>
      <c r="W349" t="n">
        <v>0</v>
      </c>
      <c r="X349" t="n">
        <v>1.6</v>
      </c>
      <c r="Y349" t="n">
        <v>6.001</v>
      </c>
      <c r="Z349" t="inlineStr"/>
      <c r="AA349" t="inlineStr">
        <is>
          <t>PE</t>
        </is>
      </c>
      <c r="AB349" t="inlineStr">
        <is>
          <t>AW</t>
        </is>
      </c>
      <c r="AC349" t="inlineStr">
        <is>
          <t>19.05-0-1.6-ERW 1-PE</t>
        </is>
      </c>
      <c r="AD349" t="inlineStr">
        <is>
          <t>LL</t>
        </is>
      </c>
      <c r="AE349" t="inlineStr">
        <is>
          <t>19.05-0-1.6-ERW 1-PE-1</t>
        </is>
      </c>
      <c r="AF349" t="n">
        <v>0.6882000800000001</v>
      </c>
    </row>
    <row r="350">
      <c r="A350" s="56" t="n">
        <v>3531649</v>
      </c>
      <c r="B350" s="56" t="inlineStr">
        <is>
          <t>TUB-O-N-AUT-AW-FC-42.70X1.600X0.4170</t>
        </is>
      </c>
      <c r="C350" s="56" t="inlineStr">
        <is>
          <t>4B27BH2060</t>
        </is>
      </c>
      <c r="D350" s="57" t="n">
        <v>148.449</v>
      </c>
      <c r="E350" s="57" t="n">
        <v>100.5</v>
      </c>
      <c r="F350" s="57" t="n">
        <v>0.1005</v>
      </c>
      <c r="G350" s="56" t="inlineStr">
        <is>
          <t>KG</t>
        </is>
      </c>
      <c r="H350" s="56" t="inlineStr">
        <is>
          <t>R001</t>
        </is>
      </c>
      <c r="I350" s="56" t="inlineStr">
        <is>
          <t>0789</t>
        </is>
      </c>
      <c r="J350" s="56" t="inlineStr">
        <is>
          <t>1650</t>
        </is>
      </c>
      <c r="K350" s="57" t="n">
        <v>61.949</v>
      </c>
      <c r="L350" s="56" t="inlineStr">
        <is>
          <t>9518314455/ 2</t>
        </is>
      </c>
      <c r="M350" s="56" t="inlineStr">
        <is>
          <t>2</t>
        </is>
      </c>
      <c r="N350" s="56" t="inlineStr">
        <is>
          <t>Metalman Auto Private Limited</t>
        </is>
      </c>
      <c r="O350" s="58" t="n">
        <v>37</v>
      </c>
      <c r="P350" s="59" t="inlineStr">
        <is>
          <t>31-60</t>
        </is>
      </c>
      <c r="Q350" s="56" t="inlineStr">
        <is>
          <t>Jitendra Kumar Sharma</t>
        </is>
      </c>
      <c r="U350" s="586" t="n">
        <v>111001724</v>
      </c>
      <c r="V350" t="n">
        <v>19.05</v>
      </c>
      <c r="W350" t="n">
        <v>0</v>
      </c>
      <c r="X350" t="n">
        <v>1.6</v>
      </c>
      <c r="Y350" t="n">
        <v>6.19</v>
      </c>
      <c r="Z350" t="inlineStr">
        <is>
          <t>GR1</t>
        </is>
      </c>
      <c r="AA350" t="inlineStr">
        <is>
          <t>PE</t>
        </is>
      </c>
      <c r="AB350" t="inlineStr">
        <is>
          <t>AW</t>
        </is>
      </c>
      <c r="AC350" t="inlineStr">
        <is>
          <t>19.05-0-1.6-ERW 1-PE</t>
        </is>
      </c>
      <c r="AD350" t="inlineStr">
        <is>
          <t>LL</t>
        </is>
      </c>
      <c r="AE350" t="inlineStr">
        <is>
          <t>19.05-0-1.6-ERW 1-PE-1</t>
        </is>
      </c>
      <c r="AF350" t="n">
        <v>0.6882000800000001</v>
      </c>
    </row>
    <row r="351">
      <c r="A351" s="56" t="n">
        <v>3531649</v>
      </c>
      <c r="B351" s="56" t="inlineStr">
        <is>
          <t>TUB-O-N-AUT-AW-FC-42.70X1.600X0.4170</t>
        </is>
      </c>
      <c r="C351" s="56" t="inlineStr">
        <is>
          <t>4C07H39237</t>
        </is>
      </c>
      <c r="D351" s="57" t="n">
        <v>998.523</v>
      </c>
      <c r="E351" s="58" t="n">
        <v>676</v>
      </c>
      <c r="F351" s="57" t="n">
        <v>0.676</v>
      </c>
      <c r="G351" s="56" t="inlineStr">
        <is>
          <t>KG</t>
        </is>
      </c>
      <c r="H351" s="56" t="inlineStr">
        <is>
          <t>R001</t>
        </is>
      </c>
      <c r="I351" s="56" t="inlineStr">
        <is>
          <t>0789</t>
        </is>
      </c>
      <c r="J351" s="56" t="inlineStr">
        <is>
          <t>1000</t>
        </is>
      </c>
      <c r="K351" s="57" t="n">
        <v>416.692</v>
      </c>
      <c r="L351" s="56" t="inlineStr">
        <is>
          <t>9518314455/ 2</t>
        </is>
      </c>
      <c r="M351" s="56" t="inlineStr">
        <is>
          <t>2</t>
        </is>
      </c>
      <c r="N351" s="56" t="inlineStr">
        <is>
          <t>Metalman Auto Private Limited</t>
        </is>
      </c>
      <c r="O351" s="58" t="n">
        <v>37</v>
      </c>
      <c r="P351" s="59" t="inlineStr">
        <is>
          <t>31-60</t>
        </is>
      </c>
      <c r="Q351" s="56" t="inlineStr">
        <is>
          <t>Jitendra Kumar Sharma</t>
        </is>
      </c>
      <c r="U351" s="585" t="n">
        <v>3586633</v>
      </c>
      <c r="V351" t="n">
        <v>19.05</v>
      </c>
      <c r="W351" t="n">
        <v>0</v>
      </c>
      <c r="X351" t="n">
        <v>1.6</v>
      </c>
      <c r="Y351" t="n">
        <v>6.2</v>
      </c>
      <c r="Z351" t="inlineStr">
        <is>
          <t>HROP</t>
        </is>
      </c>
      <c r="AA351" t="inlineStr">
        <is>
          <t>PE</t>
        </is>
      </c>
      <c r="AB351" t="inlineStr">
        <is>
          <t>AW</t>
        </is>
      </c>
      <c r="AC351" t="inlineStr">
        <is>
          <t>19.05-0-1.6-ERW 1-PE</t>
        </is>
      </c>
      <c r="AD351" t="inlineStr">
        <is>
          <t>LL</t>
        </is>
      </c>
      <c r="AF351" t="n">
        <v>0.6882000800000001</v>
      </c>
    </row>
    <row r="352">
      <c r="A352" s="56" t="n">
        <v>3533164</v>
      </c>
      <c r="B352" s="56" t="inlineStr">
        <is>
          <t>TUB-O-N-AUT-AW-FC-38.10X2.000X5.8500</t>
        </is>
      </c>
      <c r="C352" s="56" t="inlineStr">
        <is>
          <t>5109BH2070</t>
        </is>
      </c>
      <c r="D352" s="57" t="n">
        <v>208.637</v>
      </c>
      <c r="E352" s="58" t="n">
        <v>2174</v>
      </c>
      <c r="F352" s="57" t="n">
        <v>2.174</v>
      </c>
      <c r="G352" s="56" t="inlineStr">
        <is>
          <t>KG</t>
        </is>
      </c>
      <c r="H352" s="56" t="inlineStr">
        <is>
          <t>R001</t>
        </is>
      </c>
      <c r="I352" s="56" t="inlineStr">
        <is>
          <t>0789</t>
        </is>
      </c>
      <c r="J352" s="56" t="inlineStr">
        <is>
          <t>219</t>
        </is>
      </c>
      <c r="K352" s="57" t="n">
        <v>1220.525</v>
      </c>
      <c r="L352" s="56" t="inlineStr"/>
      <c r="M352" s="56" t="inlineStr">
        <is>
          <t>0</t>
        </is>
      </c>
      <c r="N352" s="56" t="inlineStr">
        <is>
          <t>MEGH STEELS PRIVATE LIMITED - TVS A</t>
        </is>
      </c>
      <c r="O352" s="58" t="n">
        <v>1</v>
      </c>
      <c r="P352" s="59" t="inlineStr">
        <is>
          <t>0-30</t>
        </is>
      </c>
      <c r="Q352" s="56" t="inlineStr">
        <is>
          <t>Apoorv</t>
        </is>
      </c>
      <c r="U352" s="585" t="n">
        <v>3929603</v>
      </c>
      <c r="V352" t="n">
        <v>19.05</v>
      </c>
      <c r="W352" t="n">
        <v>0</v>
      </c>
      <c r="X352" t="n">
        <v>1.6</v>
      </c>
      <c r="Y352" t="n">
        <v>6.41</v>
      </c>
      <c r="Z352" t="inlineStr">
        <is>
          <t>ST52AL</t>
        </is>
      </c>
      <c r="AA352" t="inlineStr">
        <is>
          <t>PE</t>
        </is>
      </c>
      <c r="AB352" t="inlineStr">
        <is>
          <t>AW</t>
        </is>
      </c>
      <c r="AC352" t="inlineStr">
        <is>
          <t>19.05-0-1.6-ERW 2 MAHS-PE</t>
        </is>
      </c>
      <c r="AD352" t="inlineStr">
        <is>
          <t>LL</t>
        </is>
      </c>
      <c r="AE352" t="inlineStr">
        <is>
          <t>19.05-0-1.6-ERW 2 MAHS-PE-1</t>
        </is>
      </c>
      <c r="AF352" t="n">
        <v>0.6882000800000001</v>
      </c>
    </row>
    <row r="353">
      <c r="A353" s="56" t="n">
        <v>3533164</v>
      </c>
      <c r="B353" s="56" t="inlineStr">
        <is>
          <t>TUB-O-N-AUT-AW-FC-38.10X2.000X5.8500</t>
        </is>
      </c>
      <c r="C353" s="56" t="inlineStr">
        <is>
          <t>5109BH2110</t>
        </is>
      </c>
      <c r="D353" s="57" t="n">
        <v>206.718</v>
      </c>
      <c r="E353" s="58" t="n">
        <v>2154</v>
      </c>
      <c r="F353" s="57" t="n">
        <v>2.154</v>
      </c>
      <c r="G353" s="56" t="inlineStr">
        <is>
          <t>KG</t>
        </is>
      </c>
      <c r="H353" s="56" t="inlineStr">
        <is>
          <t>R001</t>
        </is>
      </c>
      <c r="I353" s="56" t="inlineStr">
        <is>
          <t>0789</t>
        </is>
      </c>
      <c r="J353" s="56" t="inlineStr">
        <is>
          <t>217</t>
        </is>
      </c>
      <c r="K353" s="57" t="n">
        <v>1209.297</v>
      </c>
      <c r="L353" s="56" t="inlineStr"/>
      <c r="M353" s="56" t="inlineStr">
        <is>
          <t>0</t>
        </is>
      </c>
      <c r="N353" s="56" t="inlineStr">
        <is>
          <t>MEGH STEELS PRIVATE LIMITED - TVS A</t>
        </is>
      </c>
      <c r="O353" s="58" t="n">
        <v>1</v>
      </c>
      <c r="P353" s="59" t="inlineStr">
        <is>
          <t>0-30</t>
        </is>
      </c>
      <c r="Q353" s="56" t="inlineStr">
        <is>
          <t>Apoorv</t>
        </is>
      </c>
      <c r="U353" s="585" t="n">
        <v>319456</v>
      </c>
      <c r="V353" t="n">
        <v>19.05</v>
      </c>
      <c r="W353" t="n">
        <v>0</v>
      </c>
      <c r="X353" t="n">
        <v>1.63</v>
      </c>
      <c r="Y353" t="n">
        <v>0.336</v>
      </c>
      <c r="Z353" t="inlineStr">
        <is>
          <t>TPT</t>
        </is>
      </c>
      <c r="AA353" t="inlineStr">
        <is>
          <t>PE</t>
        </is>
      </c>
      <c r="AB353" t="inlineStr">
        <is>
          <t>AW</t>
        </is>
      </c>
      <c r="AC353" t="inlineStr">
        <is>
          <t>19.05-0-1.6-ERW 1-PE</t>
        </is>
      </c>
      <c r="AD353" t="inlineStr">
        <is>
          <t>CTL</t>
        </is>
      </c>
      <c r="AE353" t="inlineStr">
        <is>
          <t>19.05-0-1.6-ERW 1-PE-0.336</t>
        </is>
      </c>
      <c r="AF353" t="n">
        <v>0.2351658944544</v>
      </c>
    </row>
    <row r="354">
      <c r="A354" s="56" t="n">
        <v>3533164</v>
      </c>
      <c r="B354" s="56" t="inlineStr">
        <is>
          <t>TUB-O-N-AUT-AW-FC-38.10X2.000X5.8500</t>
        </is>
      </c>
      <c r="C354" s="56" t="inlineStr">
        <is>
          <t>5109BH2150</t>
        </is>
      </c>
      <c r="D354" s="57" t="n">
        <v>201.919</v>
      </c>
      <c r="E354" s="58" t="n">
        <v>2104</v>
      </c>
      <c r="F354" s="57" t="n">
        <v>2.104</v>
      </c>
      <c r="G354" s="56" t="inlineStr">
        <is>
          <t>KG</t>
        </is>
      </c>
      <c r="H354" s="56" t="inlineStr">
        <is>
          <t>R001</t>
        </is>
      </c>
      <c r="I354" s="56" t="inlineStr">
        <is>
          <t>0789</t>
        </is>
      </c>
      <c r="J354" s="56" t="inlineStr">
        <is>
          <t>212</t>
        </is>
      </c>
      <c r="K354" s="57" t="n">
        <v>1181.226</v>
      </c>
      <c r="L354" s="56" t="inlineStr"/>
      <c r="M354" s="56" t="inlineStr">
        <is>
          <t>0</t>
        </is>
      </c>
      <c r="N354" s="56" t="inlineStr">
        <is>
          <t>MEGH STEELS PRIVATE LIMITED - TVS A</t>
        </is>
      </c>
      <c r="O354" s="58" t="n">
        <v>1</v>
      </c>
      <c r="P354" s="59" t="inlineStr">
        <is>
          <t>0-30</t>
        </is>
      </c>
      <c r="Q354" s="56" t="inlineStr">
        <is>
          <t>Apoorv</t>
        </is>
      </c>
      <c r="U354" s="585" t="n">
        <v>3781674</v>
      </c>
      <c r="V354" t="n">
        <v>19.05</v>
      </c>
      <c r="W354" t="n">
        <v>0</v>
      </c>
      <c r="X354" t="n">
        <v>2</v>
      </c>
      <c r="Y354" t="n">
        <v>0.104</v>
      </c>
      <c r="Z354" t="inlineStr">
        <is>
          <t>TPT</t>
        </is>
      </c>
      <c r="AA354" t="inlineStr">
        <is>
          <t>PE</t>
        </is>
      </c>
      <c r="AB354" t="inlineStr">
        <is>
          <t>AW</t>
        </is>
      </c>
      <c r="AC354" t="inlineStr">
        <is>
          <t>19.05-0-2-ERW 1-PE</t>
        </is>
      </c>
      <c r="AD354" t="inlineStr">
        <is>
          <t>CTL</t>
        </is>
      </c>
      <c r="AE354" t="inlineStr">
        <is>
          <t>19.05-0-2-ERW 1-PE-0.104</t>
        </is>
      </c>
      <c r="AF354" t="n">
        <v>0.0874152136</v>
      </c>
    </row>
    <row r="355">
      <c r="A355" s="56" t="n">
        <v>3533164</v>
      </c>
      <c r="B355" s="56" t="inlineStr">
        <is>
          <t>TUB-O-N-AUT-AW-FC-38.10X2.000X5.8500</t>
        </is>
      </c>
      <c r="C355" s="56" t="inlineStr">
        <is>
          <t>5109CH2030</t>
        </is>
      </c>
      <c r="D355" s="57" t="n">
        <v>218.33</v>
      </c>
      <c r="E355" s="58" t="n">
        <v>2275</v>
      </c>
      <c r="F355" s="57" t="n">
        <v>2.275</v>
      </c>
      <c r="G355" s="56" t="inlineStr">
        <is>
          <t>KG</t>
        </is>
      </c>
      <c r="H355" s="56" t="inlineStr">
        <is>
          <t>R001</t>
        </is>
      </c>
      <c r="I355" s="56" t="inlineStr">
        <is>
          <t>0789</t>
        </is>
      </c>
      <c r="J355" s="56" t="inlineStr">
        <is>
          <t>226</t>
        </is>
      </c>
      <c r="K355" s="57" t="n">
        <v>1277.229</v>
      </c>
      <c r="L355" s="56" t="inlineStr"/>
      <c r="M355" s="56" t="inlineStr">
        <is>
          <t>0</t>
        </is>
      </c>
      <c r="N355" s="56" t="inlineStr">
        <is>
          <t>MEGH STEELS PRIVATE LIMITED - TVS A</t>
        </is>
      </c>
      <c r="O355" s="58" t="n">
        <v>1</v>
      </c>
      <c r="P355" s="59" t="inlineStr">
        <is>
          <t>0-30</t>
        </is>
      </c>
      <c r="Q355" s="56" t="inlineStr">
        <is>
          <t>Apoorv</t>
        </is>
      </c>
      <c r="U355" s="585" t="n">
        <v>1940262</v>
      </c>
      <c r="V355" t="n">
        <v>19.05</v>
      </c>
      <c r="W355" t="n">
        <v>0</v>
      </c>
      <c r="X355" t="n">
        <v>2</v>
      </c>
      <c r="Y355" t="n">
        <v>0.104</v>
      </c>
      <c r="Z355" t="inlineStr">
        <is>
          <t>GR1</t>
        </is>
      </c>
      <c r="AA355" t="inlineStr">
        <is>
          <t>PE</t>
        </is>
      </c>
      <c r="AB355" t="inlineStr">
        <is>
          <t>AW</t>
        </is>
      </c>
      <c r="AC355" t="inlineStr">
        <is>
          <t>19.05-0-2-ERW 1-PE</t>
        </is>
      </c>
      <c r="AD355" t="inlineStr">
        <is>
          <t>CTL</t>
        </is>
      </c>
      <c r="AE355" t="inlineStr">
        <is>
          <t>19.05-0-2-ERW 1-PE-0.104</t>
        </is>
      </c>
      <c r="AF355" t="n">
        <v>0.0874152136</v>
      </c>
    </row>
    <row r="356">
      <c r="A356" s="56" t="n">
        <v>3533164</v>
      </c>
      <c r="B356" s="56" t="inlineStr">
        <is>
          <t>TUB-O-N-AUT-AW-FC-38.10X2.000X5.8500</t>
        </is>
      </c>
      <c r="C356" s="56" t="inlineStr">
        <is>
          <t>5109CH2050</t>
        </is>
      </c>
      <c r="D356" s="57" t="n">
        <v>219.29</v>
      </c>
      <c r="E356" s="58" t="n">
        <v>2285</v>
      </c>
      <c r="F356" s="57" t="n">
        <v>2.285</v>
      </c>
      <c r="G356" s="56" t="inlineStr">
        <is>
          <t>KG</t>
        </is>
      </c>
      <c r="H356" s="56" t="inlineStr">
        <is>
          <t>R001</t>
        </is>
      </c>
      <c r="I356" s="56" t="inlineStr">
        <is>
          <t>0789</t>
        </is>
      </c>
      <c r="J356" s="56" t="inlineStr">
        <is>
          <t>228</t>
        </is>
      </c>
      <c r="K356" s="57" t="n">
        <v>1282.843</v>
      </c>
      <c r="L356" s="56" t="inlineStr"/>
      <c r="M356" s="56" t="inlineStr">
        <is>
          <t>0</t>
        </is>
      </c>
      <c r="N356" s="56" t="inlineStr">
        <is>
          <t>MEGH STEELS PRIVATE LIMITED - TVS A</t>
        </is>
      </c>
      <c r="O356" s="58" t="n">
        <v>1</v>
      </c>
      <c r="P356" s="59" t="inlineStr">
        <is>
          <t>0-30</t>
        </is>
      </c>
      <c r="Q356" s="56" t="inlineStr">
        <is>
          <t>Apoorv</t>
        </is>
      </c>
      <c r="U356" s="585" t="n">
        <v>511882</v>
      </c>
      <c r="V356" t="n">
        <v>19.05</v>
      </c>
      <c r="W356" t="n">
        <v>0</v>
      </c>
      <c r="X356" t="n">
        <v>2</v>
      </c>
      <c r="Y356" t="n">
        <v>0.104</v>
      </c>
      <c r="Z356" t="inlineStr"/>
      <c r="AA356" t="inlineStr">
        <is>
          <t>PE</t>
        </is>
      </c>
      <c r="AB356" t="inlineStr">
        <is>
          <t>AW</t>
        </is>
      </c>
      <c r="AC356" t="inlineStr">
        <is>
          <t>19.05-0-2-ERW 1-PE</t>
        </is>
      </c>
      <c r="AD356" t="inlineStr">
        <is>
          <t>CTL</t>
        </is>
      </c>
      <c r="AE356" t="inlineStr">
        <is>
          <t>19.05-0-2-ERW 1-PE-0.104</t>
        </is>
      </c>
      <c r="AF356" t="n">
        <v>0.0874152136</v>
      </c>
    </row>
    <row r="357">
      <c r="A357" s="56" t="n">
        <v>3533164</v>
      </c>
      <c r="B357" s="56" t="inlineStr">
        <is>
          <t>TUB-O-N-AUT-AW-FC-38.10X2.000X5.8500</t>
        </is>
      </c>
      <c r="C357" s="56" t="inlineStr">
        <is>
          <t>4323BH2270</t>
        </is>
      </c>
      <c r="D357" s="57" t="n">
        <v>10.618</v>
      </c>
      <c r="E357" s="57" t="n">
        <v>110.638</v>
      </c>
      <c r="F357" s="57" t="n">
        <v>0.110638</v>
      </c>
      <c r="G357" s="56" t="inlineStr">
        <is>
          <t>KG</t>
        </is>
      </c>
      <c r="H357" s="56" t="inlineStr">
        <is>
          <t>R001</t>
        </is>
      </c>
      <c r="I357" s="56" t="inlineStr">
        <is>
          <t>0789</t>
        </is>
      </c>
      <c r="J357" s="56" t="inlineStr">
        <is>
          <t>215</t>
        </is>
      </c>
      <c r="K357" s="57" t="n">
        <v>62.114</v>
      </c>
      <c r="L357" s="56" t="inlineStr">
        <is>
          <t>9518057430/ 9</t>
        </is>
      </c>
      <c r="M357" s="56" t="inlineStr">
        <is>
          <t>9</t>
        </is>
      </c>
      <c r="N357" s="56" t="inlineStr">
        <is>
          <t>MEGH STEELS PRIVATE LIMITED - TVS A</t>
        </is>
      </c>
      <c r="O357" s="58" t="n">
        <v>293</v>
      </c>
      <c r="P357" s="59" t="inlineStr">
        <is>
          <t>ABOVE 90</t>
        </is>
      </c>
      <c r="Q357" s="56" t="inlineStr">
        <is>
          <t>Apoorv</t>
        </is>
      </c>
      <c r="U357" s="585" t="n">
        <v>1940266</v>
      </c>
      <c r="V357" t="n">
        <v>19.05</v>
      </c>
      <c r="W357" t="n">
        <v>0</v>
      </c>
      <c r="X357" t="n">
        <v>2</v>
      </c>
      <c r="Y357" t="n">
        <v>0.213</v>
      </c>
      <c r="Z357" t="inlineStr">
        <is>
          <t>WG</t>
        </is>
      </c>
      <c r="AA357" t="inlineStr">
        <is>
          <t>PE</t>
        </is>
      </c>
      <c r="AB357" t="inlineStr">
        <is>
          <t>AW</t>
        </is>
      </c>
      <c r="AC357" t="inlineStr">
        <is>
          <t>19.05-0-2-ERW 1-PE</t>
        </is>
      </c>
      <c r="AD357" t="inlineStr">
        <is>
          <t>CTL</t>
        </is>
      </c>
      <c r="AE357" t="inlineStr">
        <is>
          <t>19.05-0-2-ERW 1-PE-0.213</t>
        </is>
      </c>
      <c r="AF357" t="n">
        <v>0.1790330817</v>
      </c>
    </row>
    <row r="358">
      <c r="A358" s="56" t="n">
        <v>3535743</v>
      </c>
      <c r="B358" s="56" t="inlineStr">
        <is>
          <t>TUB-O-N-AUT-AW-PE-19.05X2.300X0.6000</t>
        </is>
      </c>
      <c r="C358" s="56" t="inlineStr">
        <is>
          <t>3C06H01390</t>
        </is>
      </c>
      <c r="D358" s="57" t="n">
        <v>1973.429</v>
      </c>
      <c r="E358" s="57" t="n">
        <v>1126.828</v>
      </c>
      <c r="F358" s="57" t="n">
        <v>1.126828</v>
      </c>
      <c r="G358" s="56" t="inlineStr">
        <is>
          <t>KG</t>
        </is>
      </c>
      <c r="H358" s="56" t="inlineStr">
        <is>
          <t>R001</t>
        </is>
      </c>
      <c r="I358" s="56" t="inlineStr">
        <is>
          <t>0789</t>
        </is>
      </c>
      <c r="J358" s="56" t="inlineStr">
        <is>
          <t>3850</t>
        </is>
      </c>
      <c r="K358" s="57" t="n">
        <v>1185.511</v>
      </c>
      <c r="L358" s="56" t="inlineStr">
        <is>
          <t>9517701140/ 1</t>
        </is>
      </c>
      <c r="M358" s="56" t="inlineStr">
        <is>
          <t>1</t>
        </is>
      </c>
      <c r="N358" s="56" t="inlineStr">
        <is>
          <t>Rajsriya Automotive Ind. Pvt Ltd</t>
        </is>
      </c>
      <c r="O358" s="58" t="n">
        <v>403</v>
      </c>
      <c r="P358" s="59" t="inlineStr">
        <is>
          <t>ABOVE 90</t>
        </is>
      </c>
      <c r="Q358" s="56" t="inlineStr">
        <is>
          <t>Apoorv</t>
        </is>
      </c>
      <c r="U358" s="585" t="n">
        <v>521117</v>
      </c>
      <c r="V358" t="n">
        <v>19.05</v>
      </c>
      <c r="W358" t="n">
        <v>0</v>
      </c>
      <c r="X358" t="n">
        <v>2</v>
      </c>
      <c r="Y358" t="n">
        <v>0.215</v>
      </c>
      <c r="Z358" t="inlineStr"/>
      <c r="AA358" t="inlineStr">
        <is>
          <t>PE</t>
        </is>
      </c>
      <c r="AB358" t="inlineStr">
        <is>
          <t>AW</t>
        </is>
      </c>
      <c r="AC358" t="inlineStr">
        <is>
          <t>19.05-0-2-ERW 1-PE</t>
        </is>
      </c>
      <c r="AD358" t="inlineStr">
        <is>
          <t>CTL</t>
        </is>
      </c>
      <c r="AE358" t="inlineStr">
        <is>
          <t>19.05-0-2-ERW 1-PE-0.215</t>
        </is>
      </c>
      <c r="AF358" t="n">
        <v>0.1807141435</v>
      </c>
    </row>
    <row r="359">
      <c r="A359" s="56" t="n">
        <v>3535743</v>
      </c>
      <c r="B359" s="56" t="inlineStr">
        <is>
          <t>TUB-O-N-AUT-AW-PE-19.05X2.300X0.6000</t>
        </is>
      </c>
      <c r="C359" s="56" t="inlineStr">
        <is>
          <t>4715BH2080</t>
        </is>
      </c>
      <c r="D359" s="57" t="n">
        <v>444.834</v>
      </c>
      <c r="E359" s="58" t="n">
        <v>254</v>
      </c>
      <c r="F359" s="57" t="n">
        <v>0.254</v>
      </c>
      <c r="G359" s="56" t="inlineStr">
        <is>
          <t>KG</t>
        </is>
      </c>
      <c r="H359" s="56" t="inlineStr">
        <is>
          <t>R001</t>
        </is>
      </c>
      <c r="I359" s="56" t="inlineStr">
        <is>
          <t>0789</t>
        </is>
      </c>
      <c r="J359" s="56" t="inlineStr">
        <is>
          <t>445</t>
        </is>
      </c>
      <c r="K359" s="57" t="n">
        <v>267.228</v>
      </c>
      <c r="L359" s="56" t="inlineStr">
        <is>
          <t>9517917936/ 12</t>
        </is>
      </c>
      <c r="M359" s="56" t="inlineStr">
        <is>
          <t>12</t>
        </is>
      </c>
      <c r="N359" s="56" t="inlineStr">
        <is>
          <t>RAJSRIYA AUTOMOTIVE IND. P LTD</t>
        </is>
      </c>
      <c r="O359" s="58" t="n">
        <v>130</v>
      </c>
      <c r="P359" s="59" t="inlineStr">
        <is>
          <t>ABOVE 90</t>
        </is>
      </c>
      <c r="Q359" s="56" t="inlineStr">
        <is>
          <t>Apoorv</t>
        </is>
      </c>
      <c r="U359" s="585" t="n">
        <v>3122348</v>
      </c>
      <c r="V359" t="n">
        <v>19.05</v>
      </c>
      <c r="W359" t="n">
        <v>0</v>
      </c>
      <c r="X359" t="n">
        <v>2</v>
      </c>
      <c r="Y359" t="n">
        <v>0.2385</v>
      </c>
      <c r="Z359" t="inlineStr">
        <is>
          <t>HROP</t>
        </is>
      </c>
      <c r="AA359" t="inlineStr">
        <is>
          <t>PE</t>
        </is>
      </c>
      <c r="AB359" t="inlineStr">
        <is>
          <t>AW</t>
        </is>
      </c>
      <c r="AC359" t="inlineStr">
        <is>
          <t>19.05-0-2-ERW 1-PE</t>
        </is>
      </c>
      <c r="AD359" t="inlineStr">
        <is>
          <t>CTL</t>
        </is>
      </c>
      <c r="AE359" t="inlineStr">
        <is>
          <t>19.05-0-2-ERW 1-PE-0.2385</t>
        </is>
      </c>
      <c r="AF359" t="n">
        <v>0.20046661965</v>
      </c>
    </row>
    <row r="360">
      <c r="A360" s="56" t="n">
        <v>3535743</v>
      </c>
      <c r="B360" s="56" t="inlineStr">
        <is>
          <t>TUB-O-N-AUT-AW-PE-19.05X2.300X0.6000</t>
        </is>
      </c>
      <c r="C360" s="56" t="inlineStr">
        <is>
          <t>4825BH2090</t>
        </is>
      </c>
      <c r="D360" s="57" t="n">
        <v>2796.848</v>
      </c>
      <c r="E360" s="58" t="n">
        <v>1597</v>
      </c>
      <c r="F360" s="57" t="n">
        <v>1.597</v>
      </c>
      <c r="G360" s="56" t="inlineStr">
        <is>
          <t>KG</t>
        </is>
      </c>
      <c r="H360" s="56" t="inlineStr">
        <is>
          <t>R001</t>
        </is>
      </c>
      <c r="I360" s="56" t="inlineStr">
        <is>
          <t>0789</t>
        </is>
      </c>
      <c r="J360" s="56" t="inlineStr">
        <is>
          <t>2800</t>
        </is>
      </c>
      <c r="K360" s="57" t="n">
        <v>1680.168</v>
      </c>
      <c r="L360" s="56" t="inlineStr">
        <is>
          <t>9517989845/ 27</t>
        </is>
      </c>
      <c r="M360" s="56" t="inlineStr">
        <is>
          <t>27</t>
        </is>
      </c>
      <c r="N360" s="56" t="inlineStr">
        <is>
          <t>RAJSRIYA AUTOMOTIVE IND. P LTD</t>
        </is>
      </c>
      <c r="O360" s="58" t="n">
        <v>135</v>
      </c>
      <c r="P360" s="59" t="inlineStr">
        <is>
          <t>ABOVE 90</t>
        </is>
      </c>
      <c r="Q360" s="56" t="inlineStr">
        <is>
          <t>Apoorv</t>
        </is>
      </c>
      <c r="U360" s="585" t="n">
        <v>1940269</v>
      </c>
      <c r="V360" t="n">
        <v>19.05</v>
      </c>
      <c r="W360" t="n">
        <v>0</v>
      </c>
      <c r="X360" t="n">
        <v>2</v>
      </c>
      <c r="Y360" t="n">
        <v>0.24</v>
      </c>
      <c r="Z360" t="inlineStr">
        <is>
          <t>WG</t>
        </is>
      </c>
      <c r="AA360" t="inlineStr">
        <is>
          <t>PE</t>
        </is>
      </c>
      <c r="AB360" t="inlineStr">
        <is>
          <t>AW</t>
        </is>
      </c>
      <c r="AC360" t="inlineStr">
        <is>
          <t>19.05-0-2-ERW 1-PE</t>
        </is>
      </c>
      <c r="AD360" t="inlineStr">
        <is>
          <t>CTL</t>
        </is>
      </c>
      <c r="AE360" t="inlineStr">
        <is>
          <t>19.05-0-2-ERW 1-PE-0.24</t>
        </is>
      </c>
      <c r="AF360" t="n">
        <v>0.201727416</v>
      </c>
    </row>
    <row r="361">
      <c r="A361" s="56" t="n">
        <v>3541434</v>
      </c>
      <c r="B361" s="56" t="inlineStr">
        <is>
          <t>TUB-O-N-AUT-AW-PE-15.88X1.000X2.9050</t>
        </is>
      </c>
      <c r="C361" s="56" t="inlineStr">
        <is>
          <t>4506CH1010</t>
        </is>
      </c>
      <c r="D361" s="57" t="n">
        <v>78.93899999999999</v>
      </c>
      <c r="E361" s="57" t="n">
        <v>84.22799999999999</v>
      </c>
      <c r="F361" s="57" t="n">
        <v>0.084228</v>
      </c>
      <c r="G361" s="56" t="inlineStr">
        <is>
          <t>KG</t>
        </is>
      </c>
      <c r="H361" s="56" t="inlineStr">
        <is>
          <t>R001</t>
        </is>
      </c>
      <c r="I361" s="56" t="inlineStr">
        <is>
          <t>0789</t>
        </is>
      </c>
      <c r="J361" s="56" t="inlineStr">
        <is>
          <t>195</t>
        </is>
      </c>
      <c r="K361" s="57" t="n">
        <v>229.442</v>
      </c>
      <c r="L361" s="56" t="inlineStr">
        <is>
          <t>9517622286/ 3</t>
        </is>
      </c>
      <c r="M361" s="56" t="inlineStr">
        <is>
          <t>3</t>
        </is>
      </c>
      <c r="N361" s="56" t="inlineStr">
        <is>
          <t>Neel Metal Products Limited</t>
        </is>
      </c>
      <c r="O361" s="58" t="n">
        <v>138</v>
      </c>
      <c r="P361" s="59" t="inlineStr">
        <is>
          <t>ABOVE 90</t>
        </is>
      </c>
      <c r="Q361" s="56" t="inlineStr">
        <is>
          <t>Apoorv</t>
        </is>
      </c>
      <c r="U361" s="585" t="n">
        <v>1180079</v>
      </c>
      <c r="V361" t="n">
        <v>19.05</v>
      </c>
      <c r="W361" t="n">
        <v>0</v>
      </c>
      <c r="X361" t="n">
        <v>2</v>
      </c>
      <c r="Y361" t="n">
        <v>0.24</v>
      </c>
      <c r="Z361" t="inlineStr"/>
      <c r="AA361" t="inlineStr">
        <is>
          <t>PE</t>
        </is>
      </c>
      <c r="AB361" t="inlineStr">
        <is>
          <t>AW</t>
        </is>
      </c>
      <c r="AC361" t="inlineStr">
        <is>
          <t>19.05-0-2-ERW 1-PE</t>
        </is>
      </c>
      <c r="AD361" t="inlineStr">
        <is>
          <t>CTL</t>
        </is>
      </c>
      <c r="AE361" t="inlineStr">
        <is>
          <t>19.05-0-2-ERW 1-PE-0.24</t>
        </is>
      </c>
      <c r="AF361" t="n">
        <v>0.201727416</v>
      </c>
    </row>
    <row r="362">
      <c r="A362" s="56" t="n">
        <v>3541434</v>
      </c>
      <c r="B362" s="56" t="inlineStr">
        <is>
          <t>TUB-O-N-AUT-AW-PE-15.88X1.000X2.9050</t>
        </is>
      </c>
      <c r="C362" s="56" t="inlineStr">
        <is>
          <t>4A14BH1120</t>
        </is>
      </c>
      <c r="D362" s="57" t="n">
        <v>699.157</v>
      </c>
      <c r="E362" s="58" t="n">
        <v>746</v>
      </c>
      <c r="F362" s="57" t="n">
        <v>0.746</v>
      </c>
      <c r="G362" s="56" t="inlineStr">
        <is>
          <t>KG</t>
        </is>
      </c>
      <c r="H362" s="56" t="inlineStr">
        <is>
          <t>R001</t>
        </is>
      </c>
      <c r="I362" s="56" t="inlineStr">
        <is>
          <t>0789</t>
        </is>
      </c>
      <c r="J362" s="56" t="inlineStr">
        <is>
          <t>700</t>
        </is>
      </c>
      <c r="K362" s="57" t="n">
        <v>2032.144</v>
      </c>
      <c r="L362" s="56" t="inlineStr">
        <is>
          <t>9517622286/ 3</t>
        </is>
      </c>
      <c r="M362" s="56" t="inlineStr">
        <is>
          <t>3</t>
        </is>
      </c>
      <c r="N362" s="56" t="inlineStr">
        <is>
          <t>Neel Metal Products Limited</t>
        </is>
      </c>
      <c r="O362" s="58" t="n">
        <v>58</v>
      </c>
      <c r="P362" s="59" t="inlineStr">
        <is>
          <t>31-60</t>
        </is>
      </c>
      <c r="Q362" s="56" t="inlineStr">
        <is>
          <t>Apoorv</t>
        </is>
      </c>
      <c r="U362" s="585" t="n">
        <v>3507270</v>
      </c>
      <c r="V362" t="n">
        <v>19.05</v>
      </c>
      <c r="W362" t="n">
        <v>0</v>
      </c>
      <c r="X362" t="n">
        <v>2</v>
      </c>
      <c r="Y362" t="n">
        <v>0.24</v>
      </c>
      <c r="Z362" t="inlineStr"/>
      <c r="AA362" t="inlineStr">
        <is>
          <t>PE</t>
        </is>
      </c>
      <c r="AB362" t="inlineStr">
        <is>
          <t>AW</t>
        </is>
      </c>
      <c r="AC362" t="inlineStr">
        <is>
          <t>19.05-0-2-ERW 1-PE</t>
        </is>
      </c>
      <c r="AD362" t="inlineStr">
        <is>
          <t>CTL</t>
        </is>
      </c>
      <c r="AE362" t="inlineStr">
        <is>
          <t>19.05-0-2-ERW 1-PE-0.24</t>
        </is>
      </c>
      <c r="AF362" t="n">
        <v>0.201727416</v>
      </c>
    </row>
    <row r="363">
      <c r="A363" s="56" t="n">
        <v>3541434</v>
      </c>
      <c r="B363" s="56" t="inlineStr">
        <is>
          <t>TUB-O-N-AUT-AW-PE-15.88X1.000X2.9050</t>
        </is>
      </c>
      <c r="C363" s="56" t="inlineStr">
        <is>
          <t>4B09AH1050</t>
        </is>
      </c>
      <c r="D363" s="57" t="n">
        <v>118.578</v>
      </c>
      <c r="E363" s="57" t="n">
        <v>126.523</v>
      </c>
      <c r="F363" s="57" t="n">
        <v>0.126523</v>
      </c>
      <c r="G363" s="56" t="inlineStr">
        <is>
          <t>KG</t>
        </is>
      </c>
      <c r="H363" s="56" t="inlineStr">
        <is>
          <t>R001</t>
        </is>
      </c>
      <c r="I363" s="56" t="inlineStr">
        <is>
          <t>0789</t>
        </is>
      </c>
      <c r="J363" s="56" t="inlineStr">
        <is>
          <t>1350</t>
        </is>
      </c>
      <c r="K363" s="57" t="n">
        <v>344.655</v>
      </c>
      <c r="L363" s="56" t="inlineStr">
        <is>
          <t>9517622286/ 3</t>
        </is>
      </c>
      <c r="M363" s="56" t="inlineStr">
        <is>
          <t>3</t>
        </is>
      </c>
      <c r="N363" s="56" t="inlineStr">
        <is>
          <t>Neel Metal Products Limited</t>
        </is>
      </c>
      <c r="O363" s="58" t="n">
        <v>59</v>
      </c>
      <c r="P363" s="59" t="inlineStr">
        <is>
          <t>31-60</t>
        </is>
      </c>
      <c r="Q363" s="56" t="inlineStr">
        <is>
          <t>Apoorv</t>
        </is>
      </c>
      <c r="U363" s="585" t="n">
        <v>3507090</v>
      </c>
      <c r="V363" t="n">
        <v>19.05</v>
      </c>
      <c r="W363" t="n">
        <v>0</v>
      </c>
      <c r="X363" t="n">
        <v>2</v>
      </c>
      <c r="Y363" t="n">
        <v>0.245</v>
      </c>
      <c r="Z363" t="inlineStr"/>
      <c r="AA363" t="inlineStr">
        <is>
          <t>PE</t>
        </is>
      </c>
      <c r="AB363" t="inlineStr">
        <is>
          <t>AW</t>
        </is>
      </c>
      <c r="AC363" t="inlineStr">
        <is>
          <t>19.05-0-2-ERW 1-PE</t>
        </is>
      </c>
      <c r="AD363" t="inlineStr">
        <is>
          <t>CTL</t>
        </is>
      </c>
      <c r="AE363" t="inlineStr">
        <is>
          <t>19.05-0-2-ERW 1-PE-0.245</t>
        </is>
      </c>
      <c r="AF363" t="n">
        <v>0.2059300705</v>
      </c>
    </row>
    <row r="364">
      <c r="A364" s="56" t="n">
        <v>3556680</v>
      </c>
      <c r="B364" s="56" t="inlineStr">
        <is>
          <t>TUB-O-N-AUT-AW-PE-22.20X1.600X0.6400</t>
        </is>
      </c>
      <c r="C364" s="56" t="inlineStr">
        <is>
          <t>5107H41197</t>
        </is>
      </c>
      <c r="D364" s="57" t="n">
        <v>659.144</v>
      </c>
      <c r="E364" s="58" t="n">
        <v>331</v>
      </c>
      <c r="F364" s="57" t="n">
        <v>0.331</v>
      </c>
      <c r="G364" s="56" t="inlineStr">
        <is>
          <t>KG</t>
        </is>
      </c>
      <c r="H364" s="56" t="inlineStr">
        <is>
          <t>R001</t>
        </is>
      </c>
      <c r="I364" s="56" t="inlineStr">
        <is>
          <t>0789</t>
        </is>
      </c>
      <c r="J364" s="56" t="inlineStr">
        <is>
          <t>635</t>
        </is>
      </c>
      <c r="K364" s="57" t="n">
        <v>421.847</v>
      </c>
      <c r="L364" s="56" t="inlineStr">
        <is>
          <t>9518314496/ 21</t>
        </is>
      </c>
      <c r="M364" s="56" t="inlineStr">
        <is>
          <t>21</t>
        </is>
      </c>
      <c r="N364" s="56" t="inlineStr">
        <is>
          <t>RAJSRIYA AUTOMOTIVE IND. P LTD</t>
        </is>
      </c>
      <c r="O364" s="58" t="n">
        <v>5</v>
      </c>
      <c r="P364" s="59" t="inlineStr">
        <is>
          <t>0-30</t>
        </is>
      </c>
      <c r="Q364" s="56" t="inlineStr">
        <is>
          <t>Apoorv</t>
        </is>
      </c>
      <c r="U364" s="585" t="n">
        <v>3507089</v>
      </c>
      <c r="V364" t="n">
        <v>19.05</v>
      </c>
      <c r="W364" t="n">
        <v>0</v>
      </c>
      <c r="X364" t="n">
        <v>2</v>
      </c>
      <c r="Y364" t="n">
        <v>0.258</v>
      </c>
      <c r="Z364" t="inlineStr"/>
      <c r="AA364" t="inlineStr">
        <is>
          <t>PE</t>
        </is>
      </c>
      <c r="AB364" t="inlineStr">
        <is>
          <t>AW</t>
        </is>
      </c>
      <c r="AC364" t="inlineStr">
        <is>
          <t>19.05-0-2-ERW 1-PE</t>
        </is>
      </c>
      <c r="AD364" t="inlineStr">
        <is>
          <t>CTL</t>
        </is>
      </c>
      <c r="AE364" t="inlineStr">
        <is>
          <t>19.05-0-2-ERW 1-PE-0.258</t>
        </is>
      </c>
      <c r="AF364" t="n">
        <v>0.2168569722</v>
      </c>
    </row>
    <row r="365">
      <c r="A365" s="56" t="n">
        <v>3557791</v>
      </c>
      <c r="B365" s="56" t="inlineStr">
        <is>
          <t>TUB-O-N-AUT-AW-FC-22.23X2.000X5.3700</t>
        </is>
      </c>
      <c r="C365" s="56" t="inlineStr">
        <is>
          <t>4B16BH2100</t>
        </is>
      </c>
      <c r="D365" s="57" t="n">
        <v>345.085</v>
      </c>
      <c r="E365" s="58" t="n">
        <v>1850</v>
      </c>
      <c r="F365" s="57" t="n">
        <v>1.85</v>
      </c>
      <c r="G365" s="56" t="inlineStr">
        <is>
          <t>KG</t>
        </is>
      </c>
      <c r="H365" s="56" t="inlineStr">
        <is>
          <t>R001</t>
        </is>
      </c>
      <c r="I365" s="56" t="inlineStr">
        <is>
          <t>0789</t>
        </is>
      </c>
      <c r="J365" s="56" t="inlineStr">
        <is>
          <t>336</t>
        </is>
      </c>
      <c r="K365" s="57" t="n">
        <v>1853.336</v>
      </c>
      <c r="L365" s="56" t="inlineStr">
        <is>
          <t>9518222458/ 1</t>
        </is>
      </c>
      <c r="M365" s="56" t="inlineStr">
        <is>
          <t>1</t>
        </is>
      </c>
      <c r="N365" s="56" t="inlineStr">
        <is>
          <t>MEGH STEELS PRIVATE LIMITED - TVS A</t>
        </is>
      </c>
      <c r="O365" s="58" t="n">
        <v>10</v>
      </c>
      <c r="P365" s="59" t="inlineStr">
        <is>
          <t>0-30</t>
        </is>
      </c>
      <c r="Q365" s="56" t="inlineStr">
        <is>
          <t>Apoorv</t>
        </is>
      </c>
      <c r="U365" s="585" t="n">
        <v>521115</v>
      </c>
      <c r="V365" t="n">
        <v>19.05</v>
      </c>
      <c r="W365" t="n">
        <v>0</v>
      </c>
      <c r="X365" t="n">
        <v>2</v>
      </c>
      <c r="Y365" t="n">
        <v>0.258</v>
      </c>
      <c r="Z365" t="inlineStr"/>
      <c r="AA365" t="inlineStr">
        <is>
          <t>PE</t>
        </is>
      </c>
      <c r="AB365" t="inlineStr">
        <is>
          <t>AW</t>
        </is>
      </c>
      <c r="AC365" t="inlineStr">
        <is>
          <t>19.05-0-2-ERW 1-PE</t>
        </is>
      </c>
      <c r="AD365" t="inlineStr">
        <is>
          <t>CTL</t>
        </is>
      </c>
      <c r="AE365" t="inlineStr">
        <is>
          <t>19.05-0-2-ERW 1-PE-0.258</t>
        </is>
      </c>
      <c r="AF365" t="n">
        <v>0.2168569722</v>
      </c>
    </row>
    <row r="366">
      <c r="A366" s="56" t="n">
        <v>3569429</v>
      </c>
      <c r="B366" s="56" t="inlineStr">
        <is>
          <t>TUB-R-AW-RHS-50.00X30.00X1.600X5.8200</t>
        </is>
      </c>
      <c r="C366" s="56" t="inlineStr">
        <is>
          <t>4B23BH2100</t>
        </is>
      </c>
      <c r="D366" s="57" t="n">
        <v>196.266</v>
      </c>
      <c r="E366" s="58" t="n">
        <v>2218</v>
      </c>
      <c r="F366" s="57" t="n">
        <v>2.218</v>
      </c>
      <c r="G366" s="56" t="inlineStr">
        <is>
          <t>KG</t>
        </is>
      </c>
      <c r="H366" s="56" t="inlineStr">
        <is>
          <t>R001</t>
        </is>
      </c>
      <c r="I366" s="56" t="inlineStr">
        <is>
          <t>0789</t>
        </is>
      </c>
      <c r="J366" s="56" t="inlineStr">
        <is>
          <t>1</t>
        </is>
      </c>
      <c r="K366" s="57" t="n">
        <v>1142.063</v>
      </c>
      <c r="L366" s="56" t="inlineStr"/>
      <c r="M366" s="56" t="inlineStr">
        <is>
          <t>0</t>
        </is>
      </c>
      <c r="N366" s="56" t="inlineStr">
        <is>
          <t>ELKAYEM AUTO ANCILLARIES (PVT) LTD.</t>
        </is>
      </c>
      <c r="O366" s="58" t="n">
        <v>38</v>
      </c>
      <c r="P366" s="59" t="inlineStr">
        <is>
          <t>31-60</t>
        </is>
      </c>
      <c r="Q366" s="56" t="inlineStr">
        <is>
          <t>Diwakar</t>
        </is>
      </c>
      <c r="U366" s="585" t="n">
        <v>1940272</v>
      </c>
      <c r="V366" t="n">
        <v>19.05</v>
      </c>
      <c r="W366" t="n">
        <v>0</v>
      </c>
      <c r="X366" t="n">
        <v>2</v>
      </c>
      <c r="Y366" t="n">
        <v>0.259</v>
      </c>
      <c r="Z366" t="inlineStr">
        <is>
          <t>WG</t>
        </is>
      </c>
      <c r="AA366" t="inlineStr">
        <is>
          <t>PE</t>
        </is>
      </c>
      <c r="AB366" t="inlineStr">
        <is>
          <t>AW</t>
        </is>
      </c>
      <c r="AC366" t="inlineStr">
        <is>
          <t>19.05-0-2-ERW 1-PE</t>
        </is>
      </c>
      <c r="AD366" t="inlineStr">
        <is>
          <t>CTL</t>
        </is>
      </c>
      <c r="AE366" t="inlineStr">
        <is>
          <t>19.05-0-2-ERW 1-PE-0.259</t>
        </is>
      </c>
      <c r="AF366" t="n">
        <v>0.2176975031</v>
      </c>
    </row>
    <row r="367">
      <c r="A367" s="56" t="n">
        <v>3571864</v>
      </c>
      <c r="B367" s="56" t="inlineStr">
        <is>
          <t>TUB-S-AW-AUT-19.00X19.00X1.000X0.2900</t>
        </is>
      </c>
      <c r="C367" s="56" t="inlineStr">
        <is>
          <t>4A22BH1110</t>
        </is>
      </c>
      <c r="D367" s="57" t="n">
        <v>3383.578</v>
      </c>
      <c r="E367" s="57" t="n">
        <v>544.756</v>
      </c>
      <c r="F367" s="57" t="n">
        <v>0.544756</v>
      </c>
      <c r="G367" s="56" t="inlineStr">
        <is>
          <t>KG</t>
        </is>
      </c>
      <c r="H367" s="56" t="inlineStr">
        <is>
          <t>R001</t>
        </is>
      </c>
      <c r="I367" s="56" t="inlineStr">
        <is>
          <t>0789</t>
        </is>
      </c>
      <c r="J367" s="56" t="inlineStr">
        <is>
          <t>4000</t>
        </is>
      </c>
      <c r="K367" s="57" t="n">
        <v>984.736</v>
      </c>
      <c r="L367" s="56" t="inlineStr">
        <is>
          <t>9518224278/ 29</t>
        </is>
      </c>
      <c r="M367" s="56" t="inlineStr">
        <is>
          <t>29</t>
        </is>
      </c>
      <c r="N367" s="56" t="inlineStr">
        <is>
          <t>Sri Balaji Gears</t>
        </is>
      </c>
      <c r="O367" s="58" t="n">
        <v>44</v>
      </c>
      <c r="P367" s="59" t="inlineStr">
        <is>
          <t>31-60</t>
        </is>
      </c>
      <c r="Q367" s="56" t="inlineStr">
        <is>
          <t>Diwakar</t>
        </is>
      </c>
      <c r="U367" s="585" t="n">
        <v>3509248</v>
      </c>
      <c r="V367" t="n">
        <v>19.05</v>
      </c>
      <c r="W367" t="n">
        <v>0</v>
      </c>
      <c r="X367" t="n">
        <v>2</v>
      </c>
      <c r="Y367" t="n">
        <v>0.26</v>
      </c>
      <c r="Z367" t="inlineStr"/>
      <c r="AA367" t="inlineStr">
        <is>
          <t>PE</t>
        </is>
      </c>
      <c r="AB367" t="inlineStr">
        <is>
          <t>AW</t>
        </is>
      </c>
      <c r="AC367" t="inlineStr">
        <is>
          <t>19.05-0-2-ERW 1-PE</t>
        </is>
      </c>
      <c r="AD367" t="inlineStr">
        <is>
          <t>CTL</t>
        </is>
      </c>
      <c r="AF367" t="n">
        <v>0.218538034</v>
      </c>
    </row>
    <row r="368">
      <c r="A368" s="56" t="n">
        <v>3571866</v>
      </c>
      <c r="B368" s="56" t="inlineStr">
        <is>
          <t>TUB-S-AW-AUT-19.00X19.00X1.000X0.3200</t>
        </is>
      </c>
      <c r="C368" s="56" t="inlineStr">
        <is>
          <t>4A22BH1100</t>
        </is>
      </c>
      <c r="D368" s="57" t="n">
        <v>2505.87</v>
      </c>
      <c r="E368" s="57" t="n">
        <v>443.539</v>
      </c>
      <c r="F368" s="57" t="n">
        <v>0.443539</v>
      </c>
      <c r="G368" s="56" t="inlineStr">
        <is>
          <t>KG</t>
        </is>
      </c>
      <c r="H368" s="56" t="inlineStr">
        <is>
          <t>R001</t>
        </is>
      </c>
      <c r="I368" s="56" t="inlineStr">
        <is>
          <t>0789</t>
        </is>
      </c>
      <c r="J368" s="56" t="inlineStr">
        <is>
          <t>3600</t>
        </is>
      </c>
      <c r="K368" s="57" t="n">
        <v>801.77</v>
      </c>
      <c r="L368" s="56" t="inlineStr">
        <is>
          <t>9518224278/ 28</t>
        </is>
      </c>
      <c r="M368" s="56" t="inlineStr">
        <is>
          <t>28</t>
        </is>
      </c>
      <c r="N368" s="56" t="inlineStr">
        <is>
          <t>Sri Balaji Gears</t>
        </is>
      </c>
      <c r="O368" s="58" t="n">
        <v>80</v>
      </c>
      <c r="P368" s="59" t="inlineStr">
        <is>
          <t>61-90</t>
        </is>
      </c>
      <c r="Q368" s="56" t="inlineStr">
        <is>
          <t>Diwakar</t>
        </is>
      </c>
      <c r="U368" s="585" t="n">
        <v>2422190</v>
      </c>
      <c r="V368" t="n">
        <v>19.05</v>
      </c>
      <c r="W368" t="n">
        <v>0</v>
      </c>
      <c r="X368" t="n">
        <v>2</v>
      </c>
      <c r="Y368" t="n">
        <v>0.265</v>
      </c>
      <c r="Z368" t="inlineStr">
        <is>
          <t>WG</t>
        </is>
      </c>
      <c r="AA368" t="inlineStr">
        <is>
          <t>PE</t>
        </is>
      </c>
      <c r="AB368" t="inlineStr">
        <is>
          <t>AW</t>
        </is>
      </c>
      <c r="AC368" t="inlineStr">
        <is>
          <t>19.05-0-2-ERW 1-PE</t>
        </is>
      </c>
      <c r="AD368" t="inlineStr">
        <is>
          <t>CTL</t>
        </is>
      </c>
      <c r="AE368" t="inlineStr">
        <is>
          <t>19.05-0-2-ERW 1-PE-0.265</t>
        </is>
      </c>
      <c r="AF368" t="n">
        <v>0.2227406885</v>
      </c>
    </row>
    <row r="369">
      <c r="A369" s="56" t="n">
        <v>3571867</v>
      </c>
      <c r="B369" s="56" t="inlineStr">
        <is>
          <t>TUB-S-AW-AUT-19.00X19.00X1.000X0.3770</t>
        </is>
      </c>
      <c r="C369" s="56" t="inlineStr">
        <is>
          <t>4914AH1120</t>
        </is>
      </c>
      <c r="D369" s="57" t="n">
        <v>2291.866</v>
      </c>
      <c r="E369" s="58" t="n">
        <v>479</v>
      </c>
      <c r="F369" s="57" t="n">
        <v>0.479</v>
      </c>
      <c r="G369" s="56" t="inlineStr">
        <is>
          <t>KG</t>
        </is>
      </c>
      <c r="H369" s="56" t="inlineStr">
        <is>
          <t>R001</t>
        </is>
      </c>
      <c r="I369" s="56" t="inlineStr">
        <is>
          <t>0789</t>
        </is>
      </c>
      <c r="J369" s="56" t="inlineStr">
        <is>
          <t>3300</t>
        </is>
      </c>
      <c r="K369" s="57" t="n">
        <v>865.871</v>
      </c>
      <c r="L369" s="56" t="inlineStr">
        <is>
          <t>9518224278/ 27</t>
        </is>
      </c>
      <c r="M369" s="56" t="inlineStr">
        <is>
          <t>27</t>
        </is>
      </c>
      <c r="N369" s="56" t="inlineStr">
        <is>
          <t>Sri Balaji Gears</t>
        </is>
      </c>
      <c r="O369" s="58" t="n">
        <v>44</v>
      </c>
      <c r="P369" s="59" t="inlineStr">
        <is>
          <t>31-60</t>
        </is>
      </c>
      <c r="Q369" s="56" t="inlineStr">
        <is>
          <t>Diwakar</t>
        </is>
      </c>
      <c r="U369" s="585" t="n">
        <v>3677042</v>
      </c>
      <c r="V369" t="n">
        <v>19.05</v>
      </c>
      <c r="W369" t="n">
        <v>0</v>
      </c>
      <c r="X369" t="n">
        <v>2</v>
      </c>
      <c r="Y369" t="n">
        <v>0.271</v>
      </c>
      <c r="Z369" t="inlineStr">
        <is>
          <t>GR1</t>
        </is>
      </c>
      <c r="AA369" t="inlineStr">
        <is>
          <t>PE</t>
        </is>
      </c>
      <c r="AB369" t="inlineStr">
        <is>
          <t>AW</t>
        </is>
      </c>
      <c r="AC369" t="inlineStr">
        <is>
          <t>19.05-0-2-ERW 1-PE</t>
        </is>
      </c>
      <c r="AD369" t="inlineStr">
        <is>
          <t>CTL</t>
        </is>
      </c>
      <c r="AE369" t="inlineStr">
        <is>
          <t>19.05-0-2-ERW 1-PE-0.271</t>
        </is>
      </c>
      <c r="AF369" t="n">
        <v>0.2277838739</v>
      </c>
    </row>
    <row r="370">
      <c r="A370" s="56" t="n">
        <v>3571868</v>
      </c>
      <c r="B370" s="56" t="inlineStr">
        <is>
          <t>TUB-S-AW-AUT-19.00X19.00X1.000X0.3920</t>
        </is>
      </c>
      <c r="C370" s="56" t="inlineStr">
        <is>
          <t>4B19H37880</t>
        </is>
      </c>
      <c r="D370" s="57" t="n">
        <v>1497.696</v>
      </c>
      <c r="E370" s="58" t="n">
        <v>325</v>
      </c>
      <c r="F370" s="57" t="n">
        <v>0.325</v>
      </c>
      <c r="G370" s="56" t="inlineStr">
        <is>
          <t>KG</t>
        </is>
      </c>
      <c r="H370" s="56" t="inlineStr">
        <is>
          <t>R001</t>
        </is>
      </c>
      <c r="I370" s="56" t="inlineStr">
        <is>
          <t>0789</t>
        </is>
      </c>
      <c r="J370" s="56" t="inlineStr">
        <is>
          <t>2500</t>
        </is>
      </c>
      <c r="K370" s="57" t="n">
        <v>587.491</v>
      </c>
      <c r="L370" s="56" t="inlineStr">
        <is>
          <t>9518224278/ 26</t>
        </is>
      </c>
      <c r="M370" s="56" t="inlineStr">
        <is>
          <t>26</t>
        </is>
      </c>
      <c r="N370" s="56" t="inlineStr">
        <is>
          <t>Sri Balaji Gears</t>
        </is>
      </c>
      <c r="O370" s="58" t="n">
        <v>44</v>
      </c>
      <c r="P370" s="59" t="inlineStr">
        <is>
          <t>31-60</t>
        </is>
      </c>
      <c r="Q370" s="56" t="inlineStr">
        <is>
          <t>Diwakar</t>
        </is>
      </c>
      <c r="U370" s="585" t="n">
        <v>1940273</v>
      </c>
      <c r="V370" t="n">
        <v>19.05</v>
      </c>
      <c r="W370" t="n">
        <v>0</v>
      </c>
      <c r="X370" t="n">
        <v>2</v>
      </c>
      <c r="Y370" t="n">
        <v>0.319</v>
      </c>
      <c r="Z370" t="inlineStr">
        <is>
          <t>WG</t>
        </is>
      </c>
      <c r="AA370" t="inlineStr">
        <is>
          <t>PE</t>
        </is>
      </c>
      <c r="AB370" t="inlineStr">
        <is>
          <t>AW</t>
        </is>
      </c>
      <c r="AC370" t="inlineStr">
        <is>
          <t>19.05-0-2-ERW 1-PE</t>
        </is>
      </c>
      <c r="AD370" t="inlineStr">
        <is>
          <t>CTL</t>
        </is>
      </c>
      <c r="AE370" t="inlineStr">
        <is>
          <t>19.05-0-2-ERW 1-PE-0.319</t>
        </is>
      </c>
      <c r="AF370" t="n">
        <v>0.2681293571</v>
      </c>
    </row>
    <row r="371">
      <c r="A371" s="56" t="n">
        <v>3571869</v>
      </c>
      <c r="B371" s="56" t="inlineStr">
        <is>
          <t>TUB-S-AW-AUT-19.00X19.00X1.000X0.4860</t>
        </is>
      </c>
      <c r="C371" s="56" t="inlineStr">
        <is>
          <t>4724H28251</t>
        </is>
      </c>
      <c r="D371" s="57" t="n">
        <v>3524.487</v>
      </c>
      <c r="E371" s="57" t="n">
        <v>948.087</v>
      </c>
      <c r="F371" s="57" t="n">
        <v>0.948087</v>
      </c>
      <c r="G371" s="56" t="inlineStr">
        <is>
          <t>KG</t>
        </is>
      </c>
      <c r="H371" s="56" t="inlineStr">
        <is>
          <t>R001</t>
        </is>
      </c>
      <c r="I371" s="56" t="inlineStr">
        <is>
          <t>0789</t>
        </is>
      </c>
      <c r="J371" s="56" t="inlineStr"/>
      <c r="K371" s="57" t="n">
        <v>1713.823</v>
      </c>
      <c r="L371" s="56" t="inlineStr">
        <is>
          <t>9518224278/ 25</t>
        </is>
      </c>
      <c r="M371" s="56" t="inlineStr">
        <is>
          <t>25</t>
        </is>
      </c>
      <c r="N371" s="56" t="inlineStr">
        <is>
          <t>Sri Balaji Gears</t>
        </is>
      </c>
      <c r="O371" s="58" t="n">
        <v>167</v>
      </c>
      <c r="P371" s="59" t="inlineStr">
        <is>
          <t>ABOVE 90</t>
        </is>
      </c>
      <c r="Q371" s="56" t="inlineStr">
        <is>
          <t>Diwakar</t>
        </is>
      </c>
      <c r="U371" s="585" t="n">
        <v>2403386</v>
      </c>
      <c r="V371" t="n">
        <v>19.05</v>
      </c>
      <c r="W371" t="n">
        <v>0</v>
      </c>
      <c r="X371" t="n">
        <v>2</v>
      </c>
      <c r="Y371" t="n">
        <v>0.358</v>
      </c>
      <c r="Z371" t="inlineStr">
        <is>
          <t>HROP</t>
        </is>
      </c>
      <c r="AA371" t="inlineStr">
        <is>
          <t>PE</t>
        </is>
      </c>
      <c r="AB371" t="inlineStr">
        <is>
          <t>AW</t>
        </is>
      </c>
      <c r="AC371" t="inlineStr">
        <is>
          <t>19.05-0-2-ERW 1-PE</t>
        </is>
      </c>
      <c r="AD371" t="inlineStr">
        <is>
          <t>CTL</t>
        </is>
      </c>
      <c r="AE371" t="inlineStr">
        <is>
          <t>19.05-0-2-ERW 1-PE-0.358</t>
        </is>
      </c>
      <c r="AF371" t="n">
        <v>0.3009100622</v>
      </c>
    </row>
    <row r="372">
      <c r="A372" s="56" t="n">
        <v>3571870</v>
      </c>
      <c r="B372" s="56" t="inlineStr">
        <is>
          <t>TUB-S-AW-AUT-19.00X19.00X1.000X0.5400</t>
        </is>
      </c>
      <c r="C372" s="56" t="inlineStr">
        <is>
          <t>4A19BH1100</t>
        </is>
      </c>
      <c r="D372" s="57" t="n">
        <v>2347.328</v>
      </c>
      <c r="E372" s="57" t="n">
        <v>701.851</v>
      </c>
      <c r="F372" s="57" t="n">
        <v>0.701851</v>
      </c>
      <c r="G372" s="56" t="inlineStr">
        <is>
          <t>KG</t>
        </is>
      </c>
      <c r="H372" s="56" t="inlineStr">
        <is>
          <t>R001</t>
        </is>
      </c>
      <c r="I372" s="56" t="inlineStr">
        <is>
          <t>0789</t>
        </is>
      </c>
      <c r="J372" s="56" t="inlineStr">
        <is>
          <t>2500</t>
        </is>
      </c>
      <c r="K372" s="57" t="n">
        <v>1268.711</v>
      </c>
      <c r="L372" s="56" t="inlineStr">
        <is>
          <t>9518224278/ 24</t>
        </is>
      </c>
      <c r="M372" s="56" t="inlineStr">
        <is>
          <t>24</t>
        </is>
      </c>
      <c r="N372" s="56" t="inlineStr">
        <is>
          <t>Sri Balaji Gears</t>
        </is>
      </c>
      <c r="O372" s="58" t="n">
        <v>44</v>
      </c>
      <c r="P372" s="59" t="inlineStr">
        <is>
          <t>31-60</t>
        </is>
      </c>
      <c r="Q372" s="56" t="inlineStr">
        <is>
          <t>Diwakar</t>
        </is>
      </c>
      <c r="U372" s="585" t="n">
        <v>1432171</v>
      </c>
      <c r="V372" t="n">
        <v>19.05</v>
      </c>
      <c r="W372" t="n">
        <v>0</v>
      </c>
      <c r="X372" t="n">
        <v>2</v>
      </c>
      <c r="Y372" t="n">
        <v>0.358</v>
      </c>
      <c r="Z372" t="inlineStr"/>
      <c r="AA372" t="inlineStr">
        <is>
          <t>PE</t>
        </is>
      </c>
      <c r="AB372" t="inlineStr">
        <is>
          <t>AW</t>
        </is>
      </c>
      <c r="AC372" t="inlineStr">
        <is>
          <t>19.05-0-2-ERW 1-PE</t>
        </is>
      </c>
      <c r="AD372" t="inlineStr">
        <is>
          <t>CTL</t>
        </is>
      </c>
      <c r="AE372" t="inlineStr">
        <is>
          <t>19.05-0-2-ERW 1-PE-0.358</t>
        </is>
      </c>
      <c r="AF372" t="n">
        <v>0.3009100622</v>
      </c>
    </row>
    <row r="373">
      <c r="A373" s="56" t="n">
        <v>3572031</v>
      </c>
      <c r="B373" s="56" t="inlineStr">
        <is>
          <t>TUB-S-AW-AUT-19.00X19.00X1.000X0.7100</t>
        </is>
      </c>
      <c r="C373" s="56" t="inlineStr">
        <is>
          <t>4B27BH1120</t>
        </is>
      </c>
      <c r="D373" s="57" t="n">
        <v>1009.455</v>
      </c>
      <c r="E373" s="57" t="n">
        <v>396.716</v>
      </c>
      <c r="F373" s="57" t="n">
        <v>0.396716</v>
      </c>
      <c r="G373" s="56" t="inlineStr">
        <is>
          <t>KG</t>
        </is>
      </c>
      <c r="H373" s="56" t="inlineStr">
        <is>
          <t>R001</t>
        </is>
      </c>
      <c r="I373" s="56" t="inlineStr">
        <is>
          <t>0789</t>
        </is>
      </c>
      <c r="J373" s="56" t="inlineStr">
        <is>
          <t>2000</t>
        </is>
      </c>
      <c r="K373" s="57" t="n">
        <v>717.129</v>
      </c>
      <c r="L373" s="56" t="inlineStr">
        <is>
          <t>9518224278/ 23</t>
        </is>
      </c>
      <c r="M373" s="56" t="inlineStr">
        <is>
          <t>23</t>
        </is>
      </c>
      <c r="N373" s="56" t="inlineStr">
        <is>
          <t>Sri Balaji Gears</t>
        </is>
      </c>
      <c r="O373" s="58" t="n">
        <v>44</v>
      </c>
      <c r="P373" s="59" t="inlineStr">
        <is>
          <t>31-60</t>
        </is>
      </c>
      <c r="Q373" s="56" t="inlineStr">
        <is>
          <t>Diwakar</t>
        </is>
      </c>
      <c r="U373" t="n">
        <v>3620714</v>
      </c>
      <c r="V373" t="n">
        <v>19.05</v>
      </c>
      <c r="W373" t="n">
        <v>0</v>
      </c>
      <c r="X373" t="n">
        <v>2</v>
      </c>
      <c r="Y373" t="n">
        <v>0.358</v>
      </c>
      <c r="Z373" t="inlineStr">
        <is>
          <t>WG</t>
        </is>
      </c>
      <c r="AA373" t="inlineStr">
        <is>
          <t>PE</t>
        </is>
      </c>
      <c r="AB373" t="inlineStr">
        <is>
          <t>AW</t>
        </is>
      </c>
      <c r="AC373" t="inlineStr">
        <is>
          <t>19.05-0-2-ERW 1-PE</t>
        </is>
      </c>
      <c r="AD373" t="inlineStr">
        <is>
          <t>CTL</t>
        </is>
      </c>
      <c r="AE373" t="inlineStr">
        <is>
          <t>19.05-0-2-ERW 1-PE-0.358</t>
        </is>
      </c>
      <c r="AF373" t="n">
        <v>0.3009100622</v>
      </c>
    </row>
    <row r="374">
      <c r="A374" s="56" t="n">
        <v>3572032</v>
      </c>
      <c r="B374" s="56" t="inlineStr">
        <is>
          <t>TUB-S-AW-AUT-19.00X19.00X1.000X0.7500</t>
        </is>
      </c>
      <c r="C374" s="56" t="inlineStr">
        <is>
          <t>4B27BH1100</t>
        </is>
      </c>
      <c r="D374" s="57" t="n">
        <v>1186</v>
      </c>
      <c r="E374" s="57" t="n">
        <v>492.19</v>
      </c>
      <c r="F374" s="57" t="n">
        <v>0.49219</v>
      </c>
      <c r="G374" s="56" t="inlineStr">
        <is>
          <t>KG</t>
        </is>
      </c>
      <c r="H374" s="56" t="inlineStr">
        <is>
          <t>R001</t>
        </is>
      </c>
      <c r="I374" s="56" t="inlineStr">
        <is>
          <t>0789</t>
        </is>
      </c>
      <c r="J374" s="56" t="inlineStr">
        <is>
          <t>1800</t>
        </is>
      </c>
      <c r="K374" s="57" t="n">
        <v>889.7140000000001</v>
      </c>
      <c r="L374" s="56" t="inlineStr">
        <is>
          <t>9518224278/ 21</t>
        </is>
      </c>
      <c r="M374" s="56" t="inlineStr">
        <is>
          <t>21</t>
        </is>
      </c>
      <c r="N374" s="56" t="inlineStr">
        <is>
          <t>Sri Balaji Gears</t>
        </is>
      </c>
      <c r="O374" s="58" t="n">
        <v>44</v>
      </c>
      <c r="P374" s="59" t="inlineStr">
        <is>
          <t>31-60</t>
        </is>
      </c>
      <c r="Q374" s="56" t="inlineStr">
        <is>
          <t>Diwakar</t>
        </is>
      </c>
      <c r="U374" t="n">
        <v>4159768</v>
      </c>
      <c r="V374" t="n">
        <v>19.05</v>
      </c>
      <c r="W374" t="n">
        <v>0</v>
      </c>
      <c r="X374" t="n">
        <v>2</v>
      </c>
      <c r="Y374" t="n">
        <v>0.394</v>
      </c>
      <c r="Z374" t="inlineStr">
        <is>
          <t>GR1</t>
        </is>
      </c>
      <c r="AA374" t="inlineStr">
        <is>
          <t>PE</t>
        </is>
      </c>
      <c r="AB374" t="inlineStr">
        <is>
          <t>AW</t>
        </is>
      </c>
      <c r="AC374" t="inlineStr">
        <is>
          <t>19.05-0-2-ERW 1-PE</t>
        </is>
      </c>
      <c r="AD374" t="inlineStr">
        <is>
          <t>CTL</t>
        </is>
      </c>
      <c r="AE374" t="inlineStr">
        <is>
          <t>19.05-0-2-ERW 1-PE-0.394</t>
        </is>
      </c>
      <c r="AF374" t="n">
        <v>0.3311691746000001</v>
      </c>
    </row>
    <row r="375">
      <c r="A375" s="56" t="n">
        <v>3572033</v>
      </c>
      <c r="B375" s="56" t="inlineStr">
        <is>
          <t>TUB-S-AW-AUT-19.00X19.00X1.000X0.7900</t>
        </is>
      </c>
      <c r="C375" s="56" t="inlineStr">
        <is>
          <t>4A19BH1020</t>
        </is>
      </c>
      <c r="D375" s="57" t="n">
        <v>572.458</v>
      </c>
      <c r="E375" s="57" t="n">
        <v>250.164</v>
      </c>
      <c r="F375" s="57" t="n">
        <v>0.250164</v>
      </c>
      <c r="G375" s="56" t="inlineStr">
        <is>
          <t>KG</t>
        </is>
      </c>
      <c r="H375" s="56" t="inlineStr">
        <is>
          <t>R001</t>
        </is>
      </c>
      <c r="I375" s="56" t="inlineStr">
        <is>
          <t>0789</t>
        </is>
      </c>
      <c r="J375" s="56" t="inlineStr">
        <is>
          <t>3400</t>
        </is>
      </c>
      <c r="K375" s="57" t="n">
        <v>452.213</v>
      </c>
      <c r="L375" s="56" t="inlineStr">
        <is>
          <t>9518224278/ 22</t>
        </is>
      </c>
      <c r="M375" s="56" t="inlineStr">
        <is>
          <t>22</t>
        </is>
      </c>
      <c r="N375" s="56" t="inlineStr">
        <is>
          <t>Sri Balaji Gears</t>
        </is>
      </c>
      <c r="O375" s="58" t="n">
        <v>80</v>
      </c>
      <c r="P375" s="59" t="inlineStr">
        <is>
          <t>61-90</t>
        </is>
      </c>
      <c r="Q375" s="56" t="inlineStr">
        <is>
          <t>Diwakar</t>
        </is>
      </c>
      <c r="U375" s="585" t="n">
        <v>1432169</v>
      </c>
      <c r="V375" t="n">
        <v>19.05</v>
      </c>
      <c r="W375" t="n">
        <v>0</v>
      </c>
      <c r="X375" t="n">
        <v>2</v>
      </c>
      <c r="Y375" t="n">
        <v>0.43</v>
      </c>
      <c r="Z375" t="inlineStr"/>
      <c r="AA375" t="inlineStr">
        <is>
          <t>PE</t>
        </is>
      </c>
      <c r="AB375" t="inlineStr">
        <is>
          <t>AW</t>
        </is>
      </c>
      <c r="AC375" t="inlineStr">
        <is>
          <t>19.05-0-2-ERW 1-PE</t>
        </is>
      </c>
      <c r="AD375" t="inlineStr">
        <is>
          <t>CTL</t>
        </is>
      </c>
      <c r="AE375" t="inlineStr">
        <is>
          <t>19.05-0-2-ERW 1-PE-0.43</t>
        </is>
      </c>
      <c r="AF375" t="n">
        <v>0.361428287</v>
      </c>
    </row>
    <row r="376">
      <c r="A376" s="56" t="n">
        <v>3572034</v>
      </c>
      <c r="B376" s="56" t="inlineStr">
        <is>
          <t>TUB-S-AW-AUT-19.00X19.00X1.000X0.8880</t>
        </is>
      </c>
      <c r="C376" s="56" t="inlineStr">
        <is>
          <t>4A18BH1110</t>
        </is>
      </c>
      <c r="D376" s="57" t="n">
        <v>1035.967</v>
      </c>
      <c r="E376" s="57" t="n">
        <v>509.696</v>
      </c>
      <c r="F376" s="57" t="n">
        <v>0.509696</v>
      </c>
      <c r="G376" s="56" t="inlineStr">
        <is>
          <t>KG</t>
        </is>
      </c>
      <c r="H376" s="56" t="inlineStr">
        <is>
          <t>R001</t>
        </is>
      </c>
      <c r="I376" s="56" t="inlineStr">
        <is>
          <t>0789</t>
        </is>
      </c>
      <c r="J376" s="56" t="inlineStr">
        <is>
          <t>1500</t>
        </is>
      </c>
      <c r="K376" s="57" t="n">
        <v>921.359</v>
      </c>
      <c r="L376" s="56" t="inlineStr">
        <is>
          <t>9518224278/ 20</t>
        </is>
      </c>
      <c r="M376" s="56" t="inlineStr">
        <is>
          <t>20</t>
        </is>
      </c>
      <c r="N376" s="56" t="inlineStr">
        <is>
          <t>Sri Balaji Gears</t>
        </is>
      </c>
      <c r="O376" s="58" t="n">
        <v>44</v>
      </c>
      <c r="P376" s="59" t="inlineStr">
        <is>
          <t>31-60</t>
        </is>
      </c>
      <c r="Q376" s="56" t="inlineStr">
        <is>
          <t>Diwakar</t>
        </is>
      </c>
      <c r="U376" s="585" t="n">
        <v>3508947</v>
      </c>
      <c r="V376" t="n">
        <v>19.05</v>
      </c>
      <c r="W376" t="n">
        <v>0</v>
      </c>
      <c r="X376" t="n">
        <v>2</v>
      </c>
      <c r="Y376" t="n">
        <v>0.43</v>
      </c>
      <c r="Z376" t="inlineStr"/>
      <c r="AA376" t="inlineStr">
        <is>
          <t>PE</t>
        </is>
      </c>
      <c r="AB376" t="inlineStr">
        <is>
          <t>AW</t>
        </is>
      </c>
      <c r="AC376" t="inlineStr">
        <is>
          <t>19.05-0-2-ERW 1-PE</t>
        </is>
      </c>
      <c r="AD376" t="inlineStr">
        <is>
          <t>CTL</t>
        </is>
      </c>
      <c r="AE376" t="inlineStr">
        <is>
          <t>19.05-0-2-ERW 1-PE-0.43</t>
        </is>
      </c>
      <c r="AF376" t="n">
        <v>0.361428287</v>
      </c>
    </row>
    <row r="377">
      <c r="A377" s="56" t="n">
        <v>3572035</v>
      </c>
      <c r="B377" s="56" t="inlineStr">
        <is>
          <t>TUB-S-AW-AUT-19.00X19.00X1.000X0.8900</t>
        </is>
      </c>
      <c r="C377" s="56" t="inlineStr">
        <is>
          <t>4A18BH1100</t>
        </is>
      </c>
      <c r="D377" s="57" t="n">
        <v>778.667</v>
      </c>
      <c r="E377" s="57" t="n">
        <v>383.883</v>
      </c>
      <c r="F377" s="57" t="n">
        <v>0.383883</v>
      </c>
      <c r="G377" s="56" t="inlineStr">
        <is>
          <t>KG</t>
        </is>
      </c>
      <c r="H377" s="56" t="inlineStr">
        <is>
          <t>R001</t>
        </is>
      </c>
      <c r="I377" s="56" t="inlineStr">
        <is>
          <t>0789</t>
        </is>
      </c>
      <c r="J377" s="56" t="inlineStr">
        <is>
          <t>1550</t>
        </is>
      </c>
      <c r="K377" s="57" t="n">
        <v>693.932</v>
      </c>
      <c r="L377" s="56" t="inlineStr">
        <is>
          <t>9518224278/ 19</t>
        </is>
      </c>
      <c r="M377" s="56" t="inlineStr">
        <is>
          <t>19</t>
        </is>
      </c>
      <c r="N377" s="56" t="inlineStr">
        <is>
          <t>Sri Balaji Gears</t>
        </is>
      </c>
      <c r="O377" s="58" t="n">
        <v>80</v>
      </c>
      <c r="P377" s="59" t="inlineStr">
        <is>
          <t>61-90</t>
        </is>
      </c>
      <c r="Q377" s="56" t="inlineStr">
        <is>
          <t>Diwakar</t>
        </is>
      </c>
      <c r="U377" s="585" t="n">
        <v>1432170</v>
      </c>
      <c r="V377" t="n">
        <v>19.05</v>
      </c>
      <c r="W377" t="n">
        <v>0</v>
      </c>
      <c r="X377" t="n">
        <v>2</v>
      </c>
      <c r="Y377" t="n">
        <v>0.449</v>
      </c>
      <c r="Z377" t="inlineStr"/>
      <c r="AA377" t="inlineStr">
        <is>
          <t>PE</t>
        </is>
      </c>
      <c r="AB377" t="inlineStr">
        <is>
          <t>AW</t>
        </is>
      </c>
      <c r="AC377" t="inlineStr">
        <is>
          <t>19.05-0-2-ERW 1-PE</t>
        </is>
      </c>
      <c r="AD377" t="inlineStr">
        <is>
          <t>CTL</t>
        </is>
      </c>
      <c r="AE377" t="inlineStr">
        <is>
          <t>19.05-0-2-ERW 1-PE-0.449</t>
        </is>
      </c>
      <c r="AF377" t="n">
        <v>0.3773983741</v>
      </c>
    </row>
    <row r="378">
      <c r="A378" s="56" t="n">
        <v>3572036</v>
      </c>
      <c r="B378" s="56" t="inlineStr">
        <is>
          <t>TUB-S-AW-AUT-19.00X19.00X1.000X0.9600</t>
        </is>
      </c>
      <c r="C378" s="56" t="inlineStr">
        <is>
          <t>4B27BH1090</t>
        </is>
      </c>
      <c r="D378" s="57" t="n">
        <v>1101.058</v>
      </c>
      <c r="E378" s="57" t="n">
        <v>584.662</v>
      </c>
      <c r="F378" s="57" t="n">
        <v>0.584662</v>
      </c>
      <c r="G378" s="56" t="inlineStr">
        <is>
          <t>KG</t>
        </is>
      </c>
      <c r="H378" s="56" t="inlineStr">
        <is>
          <t>R001</t>
        </is>
      </c>
      <c r="I378" s="56" t="inlineStr">
        <is>
          <t>0789</t>
        </is>
      </c>
      <c r="J378" s="56" t="inlineStr">
        <is>
          <t>1500</t>
        </is>
      </c>
      <c r="K378" s="57" t="n">
        <v>1056.873</v>
      </c>
      <c r="L378" s="56" t="inlineStr">
        <is>
          <t>9518224278/ 18</t>
        </is>
      </c>
      <c r="M378" s="56" t="inlineStr">
        <is>
          <t>18</t>
        </is>
      </c>
      <c r="N378" s="56" t="inlineStr">
        <is>
          <t>Sri Balaji Gears</t>
        </is>
      </c>
      <c r="O378" s="58" t="n">
        <v>44</v>
      </c>
      <c r="P378" s="59" t="inlineStr">
        <is>
          <t>31-60</t>
        </is>
      </c>
      <c r="Q378" s="56" t="inlineStr">
        <is>
          <t>Diwakar</t>
        </is>
      </c>
      <c r="U378" s="585" t="n">
        <v>2403384</v>
      </c>
      <c r="V378" t="n">
        <v>19.05</v>
      </c>
      <c r="W378" t="n">
        <v>0</v>
      </c>
      <c r="X378" t="n">
        <v>2</v>
      </c>
      <c r="Y378" t="n">
        <v>0.449</v>
      </c>
      <c r="Z378" t="inlineStr">
        <is>
          <t>HROP</t>
        </is>
      </c>
      <c r="AA378" t="inlineStr">
        <is>
          <t>PE</t>
        </is>
      </c>
      <c r="AB378" t="inlineStr">
        <is>
          <t>AW</t>
        </is>
      </c>
      <c r="AC378" t="inlineStr">
        <is>
          <t>19.05-0-2-ERW 1-PE</t>
        </is>
      </c>
      <c r="AD378" t="inlineStr">
        <is>
          <t>CTL</t>
        </is>
      </c>
      <c r="AE378" t="inlineStr">
        <is>
          <t>19.05-0-2-ERW 1-PE-0.449</t>
        </is>
      </c>
      <c r="AF378" t="n">
        <v>0.3773983741</v>
      </c>
    </row>
    <row r="379">
      <c r="A379" s="56" t="n">
        <v>3572037</v>
      </c>
      <c r="B379" s="56" t="inlineStr">
        <is>
          <t>TUB-S-AW-AUT-19.00X19.00X1.000X1.1000</t>
        </is>
      </c>
      <c r="C379" s="56" t="inlineStr">
        <is>
          <t>4618AH1020</t>
        </is>
      </c>
      <c r="D379" s="57" t="n">
        <v>444.437</v>
      </c>
      <c r="E379" s="57" t="n">
        <v>270.662</v>
      </c>
      <c r="F379" s="57" t="n">
        <v>0.270662</v>
      </c>
      <c r="G379" s="56" t="inlineStr">
        <is>
          <t>KG</t>
        </is>
      </c>
      <c r="H379" s="56" t="inlineStr">
        <is>
          <t>R001</t>
        </is>
      </c>
      <c r="I379" s="56" t="inlineStr">
        <is>
          <t>0789</t>
        </is>
      </c>
      <c r="J379" s="56" t="inlineStr"/>
      <c r="K379" s="57" t="n">
        <v>489.266</v>
      </c>
      <c r="L379" s="56" t="inlineStr">
        <is>
          <t>9518224278/ 17</t>
        </is>
      </c>
      <c r="M379" s="56" t="inlineStr">
        <is>
          <t>17</t>
        </is>
      </c>
      <c r="N379" s="56" t="inlineStr">
        <is>
          <t>Sri Balaji Gears</t>
        </is>
      </c>
      <c r="O379" s="58" t="n">
        <v>198</v>
      </c>
      <c r="P379" s="59" t="inlineStr">
        <is>
          <t>ABOVE 90</t>
        </is>
      </c>
      <c r="Q379" s="56" t="inlineStr">
        <is>
          <t>Diwakar</t>
        </is>
      </c>
      <c r="U379" s="585" t="n">
        <v>3509633</v>
      </c>
      <c r="V379" t="n">
        <v>19.05</v>
      </c>
      <c r="W379" t="n">
        <v>0</v>
      </c>
      <c r="X379" t="n">
        <v>2</v>
      </c>
      <c r="Y379" t="n">
        <v>0.452</v>
      </c>
      <c r="Z379" t="inlineStr"/>
      <c r="AA379" t="inlineStr">
        <is>
          <t>PE</t>
        </is>
      </c>
      <c r="AB379" t="inlineStr">
        <is>
          <t>AW</t>
        </is>
      </c>
      <c r="AC379" t="inlineStr">
        <is>
          <t>19.05-0-2-ERW 1-PE</t>
        </is>
      </c>
      <c r="AD379" t="inlineStr">
        <is>
          <t>CTL</t>
        </is>
      </c>
      <c r="AE379" t="inlineStr">
        <is>
          <t>19.05-0-2-ERW 1-PE-0.452</t>
        </is>
      </c>
      <c r="AF379" t="n">
        <v>0.3799199668000001</v>
      </c>
    </row>
    <row r="380">
      <c r="A380" s="56" t="n">
        <v>3572038</v>
      </c>
      <c r="B380" s="56" t="inlineStr">
        <is>
          <t>TUB-S-AW-AUT-19.00X19.00X1.000X1.2460</t>
        </is>
      </c>
      <c r="C380" s="56" t="inlineStr">
        <is>
          <t>4B27BH1080</t>
        </is>
      </c>
      <c r="D380" s="57" t="n">
        <v>1098.551</v>
      </c>
      <c r="E380" s="58" t="n">
        <v>758</v>
      </c>
      <c r="F380" s="57" t="n">
        <v>0.758</v>
      </c>
      <c r="G380" s="56" t="inlineStr">
        <is>
          <t>KG</t>
        </is>
      </c>
      <c r="H380" s="56" t="inlineStr">
        <is>
          <t>R001</t>
        </is>
      </c>
      <c r="I380" s="56" t="inlineStr">
        <is>
          <t>0789</t>
        </is>
      </c>
      <c r="J380" s="56" t="inlineStr">
        <is>
          <t>1100</t>
        </is>
      </c>
      <c r="K380" s="57" t="n">
        <v>1370.21</v>
      </c>
      <c r="L380" s="56" t="inlineStr">
        <is>
          <t>9518224278/ 16</t>
        </is>
      </c>
      <c r="M380" s="56" t="inlineStr">
        <is>
          <t>16</t>
        </is>
      </c>
      <c r="N380" s="56" t="inlineStr">
        <is>
          <t>Sri Balaji Gears</t>
        </is>
      </c>
      <c r="O380" s="58" t="n">
        <v>44</v>
      </c>
      <c r="P380" s="59" t="inlineStr">
        <is>
          <t>31-60</t>
        </is>
      </c>
      <c r="Q380" s="56" t="inlineStr">
        <is>
          <t>Diwakar</t>
        </is>
      </c>
      <c r="U380" s="585" t="n">
        <v>1637759</v>
      </c>
      <c r="V380" t="n">
        <v>19.05</v>
      </c>
      <c r="W380" t="n">
        <v>0</v>
      </c>
      <c r="X380" t="n">
        <v>2</v>
      </c>
      <c r="Y380" t="n">
        <v>0.452</v>
      </c>
      <c r="Z380" t="inlineStr"/>
      <c r="AA380" t="inlineStr">
        <is>
          <t>PE</t>
        </is>
      </c>
      <c r="AB380" t="inlineStr">
        <is>
          <t>AW</t>
        </is>
      </c>
      <c r="AC380" t="inlineStr">
        <is>
          <t>19.05-0-2-ERW 1-PE</t>
        </is>
      </c>
      <c r="AD380" t="inlineStr">
        <is>
          <t>CTL</t>
        </is>
      </c>
      <c r="AE380" t="inlineStr">
        <is>
          <t>19.05-0-2-ERW 1-PE-0.452</t>
        </is>
      </c>
      <c r="AF380" t="n">
        <v>0.3799199668000001</v>
      </c>
    </row>
    <row r="381">
      <c r="A381" s="56" t="n">
        <v>3572039</v>
      </c>
      <c r="B381" s="56" t="inlineStr">
        <is>
          <t>TUB-S-AW-AUT-19.00X19.00X1.000X1.3040</t>
        </is>
      </c>
      <c r="C381" s="56" t="inlineStr">
        <is>
          <t>4B27BH1070</t>
        </is>
      </c>
      <c r="D381" s="57" t="n">
        <v>657.615</v>
      </c>
      <c r="E381" s="57" t="n">
        <v>474.798</v>
      </c>
      <c r="F381" s="57" t="n">
        <v>0.474798</v>
      </c>
      <c r="G381" s="56" t="inlineStr">
        <is>
          <t>KG</t>
        </is>
      </c>
      <c r="H381" s="56" t="inlineStr">
        <is>
          <t>R001</t>
        </is>
      </c>
      <c r="I381" s="56" t="inlineStr">
        <is>
          <t>0789</t>
        </is>
      </c>
      <c r="J381" s="56" t="inlineStr">
        <is>
          <t>1000</t>
        </is>
      </c>
      <c r="K381" s="57" t="n">
        <v>858.275</v>
      </c>
      <c r="L381" s="56" t="inlineStr">
        <is>
          <t>9518224278/ 15</t>
        </is>
      </c>
      <c r="M381" s="56" t="inlineStr">
        <is>
          <t>15</t>
        </is>
      </c>
      <c r="N381" s="56" t="inlineStr">
        <is>
          <t>Sri Balaji Gears</t>
        </is>
      </c>
      <c r="O381" s="58" t="n">
        <v>44</v>
      </c>
      <c r="P381" s="59" t="inlineStr">
        <is>
          <t>31-60</t>
        </is>
      </c>
      <c r="Q381" s="56" t="inlineStr">
        <is>
          <t>Diwakar</t>
        </is>
      </c>
      <c r="U381" s="585" t="n">
        <v>2403383</v>
      </c>
      <c r="V381" t="n">
        <v>19.05</v>
      </c>
      <c r="W381" t="n">
        <v>0</v>
      </c>
      <c r="X381" t="n">
        <v>2</v>
      </c>
      <c r="Y381" t="n">
        <v>0.475</v>
      </c>
      <c r="Z381" t="inlineStr">
        <is>
          <t>HROP</t>
        </is>
      </c>
      <c r="AA381" t="inlineStr">
        <is>
          <t>PE</t>
        </is>
      </c>
      <c r="AB381" t="inlineStr">
        <is>
          <t>AW</t>
        </is>
      </c>
      <c r="AC381" t="inlineStr">
        <is>
          <t>19.05-0-2-ERW 1-PE</t>
        </is>
      </c>
      <c r="AD381" t="inlineStr">
        <is>
          <t>CTL</t>
        </is>
      </c>
      <c r="AE381" t="inlineStr">
        <is>
          <t>19.05-0-2-ERW 1-PE-0.475</t>
        </is>
      </c>
      <c r="AF381" t="n">
        <v>0.3992521775</v>
      </c>
    </row>
    <row r="382">
      <c r="A382" s="56" t="n">
        <v>3572040</v>
      </c>
      <c r="B382" s="56" t="inlineStr">
        <is>
          <t>TUB-S-AW-AUT-19.00X19.00X1.000X1.3100</t>
        </is>
      </c>
      <c r="C382" s="56" t="inlineStr">
        <is>
          <t>4B19H37874</t>
        </is>
      </c>
      <c r="D382" s="57" t="n">
        <v>1699.31</v>
      </c>
      <c r="E382" s="58" t="n">
        <v>1232</v>
      </c>
      <c r="F382" s="57" t="n">
        <v>1.232</v>
      </c>
      <c r="G382" s="56" t="inlineStr">
        <is>
          <t>KG</t>
        </is>
      </c>
      <c r="H382" s="56" t="inlineStr">
        <is>
          <t>R001</t>
        </is>
      </c>
      <c r="I382" s="56" t="inlineStr">
        <is>
          <t>0789</t>
        </is>
      </c>
      <c r="J382" s="56" t="inlineStr">
        <is>
          <t>1700</t>
        </is>
      </c>
      <c r="K382" s="57" t="n">
        <v>2227.043</v>
      </c>
      <c r="L382" s="56" t="inlineStr">
        <is>
          <t>9518133124/ 14</t>
        </is>
      </c>
      <c r="M382" s="56" t="inlineStr">
        <is>
          <t>14</t>
        </is>
      </c>
      <c r="N382" s="56" t="inlineStr">
        <is>
          <t>Sri Balaji Gears</t>
        </is>
      </c>
      <c r="O382" s="58" t="n">
        <v>25</v>
      </c>
      <c r="P382" s="59" t="inlineStr">
        <is>
          <t>0-30</t>
        </is>
      </c>
      <c r="Q382" s="56" t="inlineStr">
        <is>
          <t>Diwakar</t>
        </is>
      </c>
      <c r="U382" s="585" t="n">
        <v>1432172</v>
      </c>
      <c r="V382" t="n">
        <v>19.05</v>
      </c>
      <c r="W382" t="n">
        <v>0</v>
      </c>
      <c r="X382" t="n">
        <v>2</v>
      </c>
      <c r="Y382" t="n">
        <v>0.475</v>
      </c>
      <c r="Z382" t="inlineStr"/>
      <c r="AA382" t="inlineStr">
        <is>
          <t>PE</t>
        </is>
      </c>
      <c r="AB382" t="inlineStr">
        <is>
          <t>AW</t>
        </is>
      </c>
      <c r="AC382" t="inlineStr">
        <is>
          <t>19.05-0-2-ERW 1-PE</t>
        </is>
      </c>
      <c r="AD382" t="inlineStr">
        <is>
          <t>CTL</t>
        </is>
      </c>
      <c r="AE382" t="inlineStr">
        <is>
          <t>19.05-0-2-ERW 1-PE-0.475</t>
        </is>
      </c>
      <c r="AF382" t="n">
        <v>0.3992521775</v>
      </c>
    </row>
    <row r="383">
      <c r="A383" s="56" t="n">
        <v>3572040</v>
      </c>
      <c r="B383" s="56" t="inlineStr">
        <is>
          <t>TUB-S-AW-AUT-19.00X19.00X1.000X1.3100</t>
        </is>
      </c>
      <c r="C383" s="56" t="inlineStr">
        <is>
          <t>4B27BH1060</t>
        </is>
      </c>
      <c r="D383" s="57" t="n">
        <v>511</v>
      </c>
      <c r="E383" s="57" t="n">
        <v>370.475</v>
      </c>
      <c r="F383" s="57" t="n">
        <v>0.370475</v>
      </c>
      <c r="G383" s="56" t="inlineStr">
        <is>
          <t>KG</t>
        </is>
      </c>
      <c r="H383" s="56" t="inlineStr">
        <is>
          <t>R001</t>
        </is>
      </c>
      <c r="I383" s="56" t="inlineStr">
        <is>
          <t>0789</t>
        </is>
      </c>
      <c r="J383" s="56" t="inlineStr">
        <is>
          <t>1000</t>
        </is>
      </c>
      <c r="K383" s="57" t="n">
        <v>669.6950000000001</v>
      </c>
      <c r="L383" s="56" t="inlineStr">
        <is>
          <t>9518224278/ 14</t>
        </is>
      </c>
      <c r="M383" s="56" t="inlineStr">
        <is>
          <t>14</t>
        </is>
      </c>
      <c r="N383" s="56" t="inlineStr">
        <is>
          <t>Sri Balaji Gears</t>
        </is>
      </c>
      <c r="O383" s="58" t="n">
        <v>44</v>
      </c>
      <c r="P383" s="59" t="inlineStr">
        <is>
          <t>31-60</t>
        </is>
      </c>
      <c r="Q383" s="56" t="inlineStr">
        <is>
          <t>Diwakar</t>
        </is>
      </c>
      <c r="U383" t="n">
        <v>3508950</v>
      </c>
      <c r="V383" t="n">
        <v>19.05</v>
      </c>
      <c r="W383" t="n">
        <v>0</v>
      </c>
      <c r="X383" t="n">
        <v>2</v>
      </c>
      <c r="Y383" t="n">
        <v>0.475</v>
      </c>
      <c r="Z383" t="inlineStr"/>
      <c r="AA383" t="inlineStr">
        <is>
          <t>PE</t>
        </is>
      </c>
      <c r="AB383" t="inlineStr">
        <is>
          <t>AW</t>
        </is>
      </c>
      <c r="AC383" t="inlineStr">
        <is>
          <t>19.05-0-2-ERW 1-PE</t>
        </is>
      </c>
      <c r="AD383" t="inlineStr">
        <is>
          <t>CTL</t>
        </is>
      </c>
      <c r="AE383" t="inlineStr">
        <is>
          <t>19.05-0-2-ERW 1-PE-0.475</t>
        </is>
      </c>
      <c r="AF383" t="n">
        <v>0.3992521775</v>
      </c>
    </row>
    <row r="384">
      <c r="A384" s="56" t="n">
        <v>3572043</v>
      </c>
      <c r="B384" s="56" t="inlineStr">
        <is>
          <t>TUB-S-AW-AUT-25.00X25.00X1.200X0.6420</t>
        </is>
      </c>
      <c r="C384" s="56" t="inlineStr">
        <is>
          <t>4B28BH1060</t>
        </is>
      </c>
      <c r="D384" s="57" t="n">
        <v>1585.623</v>
      </c>
      <c r="E384" s="57" t="n">
        <v>921.247</v>
      </c>
      <c r="F384" s="57" t="n">
        <v>0.9212469999999999</v>
      </c>
      <c r="G384" s="56" t="inlineStr">
        <is>
          <t>KG</t>
        </is>
      </c>
      <c r="H384" s="56" t="inlineStr">
        <is>
          <t>R001</t>
        </is>
      </c>
      <c r="I384" s="56" t="inlineStr">
        <is>
          <t>0789</t>
        </is>
      </c>
      <c r="J384" s="56" t="inlineStr">
        <is>
          <t>1800</t>
        </is>
      </c>
      <c r="K384" s="57" t="n">
        <v>1018.515</v>
      </c>
      <c r="L384" s="56" t="inlineStr">
        <is>
          <t>9518224278/ 33</t>
        </is>
      </c>
      <c r="M384" s="56" t="inlineStr">
        <is>
          <t>33</t>
        </is>
      </c>
      <c r="N384" s="56" t="inlineStr">
        <is>
          <t>Sri Balaji Gears</t>
        </is>
      </c>
      <c r="O384" s="58" t="n">
        <v>44</v>
      </c>
      <c r="P384" s="59" t="inlineStr">
        <is>
          <t>31-60</t>
        </is>
      </c>
      <c r="Q384" s="56" t="inlineStr">
        <is>
          <t>Diwakar</t>
        </is>
      </c>
      <c r="U384" s="585" t="n">
        <v>3236719</v>
      </c>
      <c r="V384" t="n">
        <v>19.05</v>
      </c>
      <c r="W384" t="n">
        <v>0</v>
      </c>
      <c r="X384" t="n">
        <v>2</v>
      </c>
      <c r="Y384" t="n">
        <v>0.548</v>
      </c>
      <c r="Z384" t="inlineStr">
        <is>
          <t>SAE1020</t>
        </is>
      </c>
      <c r="AA384" t="inlineStr">
        <is>
          <t>PE</t>
        </is>
      </c>
      <c r="AB384" t="inlineStr">
        <is>
          <t>AW</t>
        </is>
      </c>
      <c r="AC384" t="inlineStr">
        <is>
          <t>19.05-0-2-ERW 2-PE</t>
        </is>
      </c>
      <c r="AD384" t="inlineStr">
        <is>
          <t>CTL</t>
        </is>
      </c>
      <c r="AE384" t="inlineStr">
        <is>
          <t>19.05-0-2-ERW 2-PE-0.548</t>
        </is>
      </c>
      <c r="AF384" t="n">
        <v>0.4606109332000001</v>
      </c>
    </row>
    <row r="385">
      <c r="A385" s="56" t="n">
        <v>3572044</v>
      </c>
      <c r="B385" s="56" t="inlineStr">
        <is>
          <t>TUB-S-AW-AUT-25.00X25.00X1.200X6.0000</t>
        </is>
      </c>
      <c r="C385" s="56" t="inlineStr">
        <is>
          <t>4B28BH1070</t>
        </is>
      </c>
      <c r="D385" s="57" t="n">
        <v>404.459</v>
      </c>
      <c r="E385" s="58" t="n">
        <v>2195</v>
      </c>
      <c r="F385" s="57" t="n">
        <v>2.195</v>
      </c>
      <c r="G385" s="56" t="inlineStr">
        <is>
          <t>KG</t>
        </is>
      </c>
      <c r="H385" s="56" t="inlineStr">
        <is>
          <t>R001</t>
        </is>
      </c>
      <c r="I385" s="56" t="inlineStr">
        <is>
          <t>0789</t>
        </is>
      </c>
      <c r="J385" s="56" t="inlineStr">
        <is>
          <t>404</t>
        </is>
      </c>
      <c r="K385" s="57" t="n">
        <v>2426.755</v>
      </c>
      <c r="L385" s="56" t="inlineStr">
        <is>
          <t>9518224307/ 3</t>
        </is>
      </c>
      <c r="M385" s="56" t="inlineStr">
        <is>
          <t>3</t>
        </is>
      </c>
      <c r="N385" s="56" t="inlineStr">
        <is>
          <t>Sri Balaji Gears</t>
        </is>
      </c>
      <c r="O385" s="58" t="n">
        <v>44</v>
      </c>
      <c r="P385" s="59" t="inlineStr">
        <is>
          <t>31-60</t>
        </is>
      </c>
      <c r="Q385" s="56" t="inlineStr">
        <is>
          <t>Diwakar</t>
        </is>
      </c>
      <c r="U385" s="585" t="n">
        <v>1249097</v>
      </c>
      <c r="V385" t="n">
        <v>19.05</v>
      </c>
      <c r="W385" t="n">
        <v>0</v>
      </c>
      <c r="X385" t="n">
        <v>2</v>
      </c>
      <c r="Y385" t="n">
        <v>0.775</v>
      </c>
      <c r="Z385" t="inlineStr"/>
      <c r="AA385" t="inlineStr">
        <is>
          <t>PE</t>
        </is>
      </c>
      <c r="AB385" t="inlineStr">
        <is>
          <t>AW</t>
        </is>
      </c>
      <c r="AC385" t="inlineStr">
        <is>
          <t>19.05-0-2-ERW 1-PE</t>
        </is>
      </c>
      <c r="AD385" t="inlineStr">
        <is>
          <t>CTL</t>
        </is>
      </c>
      <c r="AE385" t="inlineStr">
        <is>
          <t>19.05-0-2-ERW 1-PE-0.775</t>
        </is>
      </c>
      <c r="AF385" t="n">
        <v>0.6514114475000001</v>
      </c>
    </row>
    <row r="386">
      <c r="A386" s="56" t="n">
        <v>3572046</v>
      </c>
      <c r="B386" s="56" t="inlineStr">
        <is>
          <t>TUB-R-AW-AUT-40.00X20.00X1.200X0.1050</t>
        </is>
      </c>
      <c r="C386" s="56" t="inlineStr">
        <is>
          <t>4B30H38854</t>
        </is>
      </c>
      <c r="D386" s="57" t="n">
        <v>1792.304</v>
      </c>
      <c r="E386" s="57" t="n">
        <v>206.115</v>
      </c>
      <c r="F386" s="57" t="n">
        <v>0.206115</v>
      </c>
      <c r="G386" s="56" t="inlineStr">
        <is>
          <t>KG</t>
        </is>
      </c>
      <c r="H386" s="56" t="inlineStr">
        <is>
          <t>R001</t>
        </is>
      </c>
      <c r="I386" s="56" t="inlineStr">
        <is>
          <t>0789</t>
        </is>
      </c>
      <c r="J386" s="56" t="inlineStr">
        <is>
          <t>2000</t>
        </is>
      </c>
      <c r="K386" s="57" t="n">
        <v>188.681</v>
      </c>
      <c r="L386" s="56" t="inlineStr">
        <is>
          <t>9518224278/ 13</t>
        </is>
      </c>
      <c r="M386" s="56" t="inlineStr">
        <is>
          <t>13</t>
        </is>
      </c>
      <c r="N386" s="56" t="inlineStr">
        <is>
          <t>Sri Balaji Gears</t>
        </is>
      </c>
      <c r="O386" s="58" t="n">
        <v>44</v>
      </c>
      <c r="P386" s="59" t="inlineStr">
        <is>
          <t>31-60</t>
        </is>
      </c>
      <c r="Q386" s="56" t="inlineStr">
        <is>
          <t>Diwakar</t>
        </is>
      </c>
      <c r="U386" s="585" t="n">
        <v>3507464</v>
      </c>
      <c r="V386" t="n">
        <v>19.05</v>
      </c>
      <c r="W386" t="n">
        <v>0</v>
      </c>
      <c r="X386" t="n">
        <v>2</v>
      </c>
      <c r="Y386" t="n">
        <v>0.775</v>
      </c>
      <c r="Z386" t="inlineStr"/>
      <c r="AA386" t="inlineStr">
        <is>
          <t>PE</t>
        </is>
      </c>
      <c r="AB386" t="inlineStr">
        <is>
          <t>AW</t>
        </is>
      </c>
      <c r="AC386" t="inlineStr">
        <is>
          <t>19.05-0-2-ERW 1-PE</t>
        </is>
      </c>
      <c r="AD386" t="inlineStr">
        <is>
          <t>CTL</t>
        </is>
      </c>
      <c r="AE386" t="inlineStr">
        <is>
          <t>19.05-0-2-ERW 1-PE-0.775</t>
        </is>
      </c>
      <c r="AF386" t="n">
        <v>0.6514114475000001</v>
      </c>
    </row>
    <row r="387">
      <c r="A387" s="56" t="n">
        <v>3572047</v>
      </c>
      <c r="B387" s="56" t="inlineStr">
        <is>
          <t>TUB-R-AW-AUT-40.00X20.00X1.200X0.1100</t>
        </is>
      </c>
      <c r="C387" s="56" t="inlineStr">
        <is>
          <t>4A16H35494</t>
        </is>
      </c>
      <c r="D387" s="57" t="n">
        <v>5950.413</v>
      </c>
      <c r="E387" s="58" t="n">
        <v>720</v>
      </c>
      <c r="F387" s="57" t="n">
        <v>0.72</v>
      </c>
      <c r="G387" s="56" t="inlineStr">
        <is>
          <t>KG</t>
        </is>
      </c>
      <c r="H387" s="56" t="inlineStr">
        <is>
          <t>R001</t>
        </is>
      </c>
      <c r="I387" s="56" t="inlineStr">
        <is>
          <t>0789</t>
        </is>
      </c>
      <c r="J387" s="56" t="inlineStr">
        <is>
          <t>7000</t>
        </is>
      </c>
      <c r="K387" s="57" t="n">
        <v>659.099</v>
      </c>
      <c r="L387" s="56" t="inlineStr">
        <is>
          <t>9518224278/ 12</t>
        </is>
      </c>
      <c r="M387" s="56" t="inlineStr">
        <is>
          <t>12</t>
        </is>
      </c>
      <c r="N387" s="56" t="inlineStr">
        <is>
          <t>Sri Balaji Gears</t>
        </is>
      </c>
      <c r="O387" s="58" t="n">
        <v>44</v>
      </c>
      <c r="P387" s="59" t="inlineStr">
        <is>
          <t>31-60</t>
        </is>
      </c>
      <c r="Q387" s="56" t="inlineStr">
        <is>
          <t>Diwakar</t>
        </is>
      </c>
      <c r="U387" s="585" t="n">
        <v>1940284</v>
      </c>
      <c r="V387" t="n">
        <v>19.05</v>
      </c>
      <c r="W387" t="n">
        <v>0</v>
      </c>
      <c r="X387" t="n">
        <v>2</v>
      </c>
      <c r="Y387" t="n">
        <v>0.785</v>
      </c>
      <c r="Z387" t="inlineStr">
        <is>
          <t>WG</t>
        </is>
      </c>
      <c r="AA387" t="inlineStr">
        <is>
          <t>PE</t>
        </is>
      </c>
      <c r="AB387" t="inlineStr">
        <is>
          <t>AW</t>
        </is>
      </c>
      <c r="AC387" t="inlineStr">
        <is>
          <t>19.05-0-2-ERW 1-PE</t>
        </is>
      </c>
      <c r="AD387" t="inlineStr">
        <is>
          <t>CTL</t>
        </is>
      </c>
      <c r="AE387" t="inlineStr">
        <is>
          <t>19.05-0-2-ERW 1-PE-0.785</t>
        </is>
      </c>
      <c r="AF387" t="n">
        <v>0.6598167565</v>
      </c>
    </row>
    <row r="388">
      <c r="A388" s="56" t="n">
        <v>3572048</v>
      </c>
      <c r="B388" s="56" t="inlineStr">
        <is>
          <t>TUB-R-AW-AUT-40.00X20.00X1.200X0.1400</t>
        </is>
      </c>
      <c r="C388" s="56" t="inlineStr">
        <is>
          <t>4923AH1010</t>
        </is>
      </c>
      <c r="D388" s="57" t="n">
        <v>3820</v>
      </c>
      <c r="E388" s="57" t="n">
        <v>584.46</v>
      </c>
      <c r="F388" s="57" t="n">
        <v>0.5844600000000001</v>
      </c>
      <c r="G388" s="56" t="inlineStr">
        <is>
          <t>KG</t>
        </is>
      </c>
      <c r="H388" s="56" t="inlineStr">
        <is>
          <t>R001</t>
        </is>
      </c>
      <c r="I388" s="56" t="inlineStr">
        <is>
          <t>0789</t>
        </is>
      </c>
      <c r="J388" s="56" t="inlineStr">
        <is>
          <t>7000</t>
        </is>
      </c>
      <c r="K388" s="57" t="n">
        <v>535.024</v>
      </c>
      <c r="L388" s="56" t="inlineStr">
        <is>
          <t>9518224278/ 10</t>
        </is>
      </c>
      <c r="M388" s="56" t="inlineStr">
        <is>
          <t>10</t>
        </is>
      </c>
      <c r="N388" s="56" t="inlineStr">
        <is>
          <t>Sri Balaji Gears</t>
        </is>
      </c>
      <c r="O388" s="58" t="n">
        <v>89</v>
      </c>
      <c r="P388" s="59" t="inlineStr">
        <is>
          <t>61-90</t>
        </is>
      </c>
      <c r="Q388" s="56" t="inlineStr">
        <is>
          <t>Diwakar</t>
        </is>
      </c>
      <c r="U388" s="585" t="n">
        <v>1188598</v>
      </c>
      <c r="V388" t="n">
        <v>19.05</v>
      </c>
      <c r="W388" t="n">
        <v>0</v>
      </c>
      <c r="X388" t="n">
        <v>2</v>
      </c>
      <c r="Y388" t="n">
        <v>0.785</v>
      </c>
      <c r="Z388" t="inlineStr"/>
      <c r="AA388" t="inlineStr">
        <is>
          <t>PE</t>
        </is>
      </c>
      <c r="AB388" t="inlineStr">
        <is>
          <t>AW</t>
        </is>
      </c>
      <c r="AC388" t="inlineStr">
        <is>
          <t>19.05-0-2-ERW 1-PE</t>
        </is>
      </c>
      <c r="AD388" t="inlineStr">
        <is>
          <t>CTL</t>
        </is>
      </c>
      <c r="AE388" t="inlineStr">
        <is>
          <t>19.05-0-2-ERW 1-PE-0.785</t>
        </is>
      </c>
      <c r="AF388" t="n">
        <v>0.6598167565</v>
      </c>
    </row>
    <row r="389">
      <c r="A389" s="56" t="n">
        <v>3572048</v>
      </c>
      <c r="B389" s="56" t="inlineStr">
        <is>
          <t>TUB-R-AW-AUT-40.00X20.00X1.200X0.1400</t>
        </is>
      </c>
      <c r="C389" s="56" t="inlineStr">
        <is>
          <t>4B11H37321</t>
        </is>
      </c>
      <c r="D389" s="57" t="n">
        <v>1496.732</v>
      </c>
      <c r="E389" s="58" t="n">
        <v>229</v>
      </c>
      <c r="F389" s="57" t="n">
        <v>0.229</v>
      </c>
      <c r="G389" s="56" t="inlineStr">
        <is>
          <t>KG</t>
        </is>
      </c>
      <c r="H389" s="56" t="inlineStr">
        <is>
          <t>R001</t>
        </is>
      </c>
      <c r="I389" s="56" t="inlineStr">
        <is>
          <t>0789</t>
        </is>
      </c>
      <c r="J389" s="56" t="inlineStr">
        <is>
          <t>1500</t>
        </is>
      </c>
      <c r="K389" s="57" t="n">
        <v>209.63</v>
      </c>
      <c r="L389" s="56" t="inlineStr">
        <is>
          <t>9518224278/ 10</t>
        </is>
      </c>
      <c r="M389" s="56" t="inlineStr">
        <is>
          <t>10</t>
        </is>
      </c>
      <c r="N389" s="56" t="inlineStr">
        <is>
          <t>Sri Balaji Gears</t>
        </is>
      </c>
      <c r="O389" s="58" t="n">
        <v>63</v>
      </c>
      <c r="P389" s="59" t="inlineStr">
        <is>
          <t>61-90</t>
        </is>
      </c>
      <c r="Q389" s="56" t="inlineStr">
        <is>
          <t>Diwakar</t>
        </is>
      </c>
      <c r="U389" s="585" t="n">
        <v>3784368</v>
      </c>
      <c r="V389" t="n">
        <v>19.05</v>
      </c>
      <c r="W389" t="n">
        <v>0</v>
      </c>
      <c r="X389" t="n">
        <v>2</v>
      </c>
      <c r="Y389" t="n">
        <v>0.785</v>
      </c>
      <c r="Z389" t="inlineStr">
        <is>
          <t>NORMAL</t>
        </is>
      </c>
      <c r="AA389" t="inlineStr">
        <is>
          <t>PE</t>
        </is>
      </c>
      <c r="AB389" t="inlineStr">
        <is>
          <t>AW</t>
        </is>
      </c>
      <c r="AC389" t="inlineStr">
        <is>
          <t>19.05-0-2-ERW 1-PE</t>
        </is>
      </c>
      <c r="AD389" t="inlineStr">
        <is>
          <t>CTL</t>
        </is>
      </c>
      <c r="AE389" t="inlineStr">
        <is>
          <t>19.05-0-2-ERW 1-PE-0.785</t>
        </is>
      </c>
      <c r="AF389" t="n">
        <v>0.6598167565</v>
      </c>
    </row>
    <row r="390">
      <c r="A390" s="56" t="n">
        <v>3572048</v>
      </c>
      <c r="B390" s="56" t="inlineStr">
        <is>
          <t>TUB-R-AW-AUT-40.00X20.00X1.200X0.1400</t>
        </is>
      </c>
      <c r="C390" s="56" t="inlineStr">
        <is>
          <t>4B16H37688</t>
        </is>
      </c>
      <c r="D390" s="57" t="n">
        <v>2000</v>
      </c>
      <c r="E390" s="58" t="n">
        <v>306</v>
      </c>
      <c r="F390" s="57" t="n">
        <v>0.306</v>
      </c>
      <c r="G390" s="56" t="inlineStr">
        <is>
          <t>KG</t>
        </is>
      </c>
      <c r="H390" s="56" t="inlineStr">
        <is>
          <t>R001</t>
        </is>
      </c>
      <c r="I390" s="56" t="inlineStr">
        <is>
          <t>0789</t>
        </is>
      </c>
      <c r="J390" s="56" t="inlineStr">
        <is>
          <t>2000</t>
        </is>
      </c>
      <c r="K390" s="57" t="n">
        <v>280.117</v>
      </c>
      <c r="L390" s="56" t="inlineStr">
        <is>
          <t>9518224278/ 10</t>
        </is>
      </c>
      <c r="M390" s="56" t="inlineStr">
        <is>
          <t>10</t>
        </is>
      </c>
      <c r="N390" s="56" t="inlineStr">
        <is>
          <t>Sri Balaji Gears</t>
        </is>
      </c>
      <c r="O390" s="58" t="n">
        <v>58</v>
      </c>
      <c r="P390" s="59" t="inlineStr">
        <is>
          <t>31-60</t>
        </is>
      </c>
      <c r="Q390" s="56" t="inlineStr">
        <is>
          <t>Diwakar</t>
        </is>
      </c>
      <c r="U390" s="585" t="n">
        <v>1284065</v>
      </c>
      <c r="V390" t="n">
        <v>19.05</v>
      </c>
      <c r="W390" t="n">
        <v>0</v>
      </c>
      <c r="X390" t="n">
        <v>2</v>
      </c>
      <c r="Y390" t="n">
        <v>0.8149999999999999</v>
      </c>
      <c r="Z390" t="inlineStr"/>
      <c r="AA390" t="inlineStr">
        <is>
          <t>PE</t>
        </is>
      </c>
      <c r="AB390" t="inlineStr">
        <is>
          <t>AW</t>
        </is>
      </c>
      <c r="AC390" t="inlineStr">
        <is>
          <t>19.05-0-2-ERW 1-PE</t>
        </is>
      </c>
      <c r="AD390" t="inlineStr">
        <is>
          <t>CTL</t>
        </is>
      </c>
      <c r="AE390" t="inlineStr">
        <is>
          <t>19.05-0-2-ERW 1-PE-0.815</t>
        </is>
      </c>
      <c r="AF390" t="n">
        <v>0.6850326835</v>
      </c>
    </row>
    <row r="391">
      <c r="A391" s="56" t="n">
        <v>3572048</v>
      </c>
      <c r="B391" s="56" t="inlineStr">
        <is>
          <t>TUB-R-AW-AUT-40.00X20.00X1.200X0.1400</t>
        </is>
      </c>
      <c r="C391" s="56" t="inlineStr">
        <is>
          <t>RECOV0511J</t>
        </is>
      </c>
      <c r="D391" s="57" t="n">
        <v>600</v>
      </c>
      <c r="E391" s="57" t="n">
        <v>91.8</v>
      </c>
      <c r="F391" s="57" t="n">
        <v>0.09179999999999999</v>
      </c>
      <c r="G391" s="56" t="inlineStr">
        <is>
          <t>KG</t>
        </is>
      </c>
      <c r="H391" s="56" t="inlineStr">
        <is>
          <t>R001</t>
        </is>
      </c>
      <c r="I391" s="56" t="inlineStr">
        <is>
          <t>0789</t>
        </is>
      </c>
      <c r="J391" s="56" t="inlineStr"/>
      <c r="K391" s="57" t="n">
        <v>84.035</v>
      </c>
      <c r="L391" s="56" t="inlineStr">
        <is>
          <t>9518224278/ 10</t>
        </is>
      </c>
      <c r="M391" s="56" t="inlineStr">
        <is>
          <t>10</t>
        </is>
      </c>
      <c r="N391" s="56" t="inlineStr">
        <is>
          <t>Sri Balaji Gears</t>
        </is>
      </c>
      <c r="O391" s="58" t="n">
        <v>69</v>
      </c>
      <c r="P391" s="59" t="inlineStr">
        <is>
          <t>61-90</t>
        </is>
      </c>
      <c r="Q391" s="56" t="inlineStr">
        <is>
          <t>Diwakar</t>
        </is>
      </c>
      <c r="U391" s="585" t="n">
        <v>1940287</v>
      </c>
      <c r="V391" t="n">
        <v>19.05</v>
      </c>
      <c r="W391" t="n">
        <v>0</v>
      </c>
      <c r="X391" t="n">
        <v>2</v>
      </c>
      <c r="Y391" t="n">
        <v>0.8149999999999999</v>
      </c>
      <c r="Z391" t="inlineStr">
        <is>
          <t>GR1</t>
        </is>
      </c>
      <c r="AA391" t="inlineStr">
        <is>
          <t>PE</t>
        </is>
      </c>
      <c r="AB391" t="inlineStr">
        <is>
          <t>AW</t>
        </is>
      </c>
      <c r="AC391" t="inlineStr">
        <is>
          <t>19.05-0-2-ERW 1-PE</t>
        </is>
      </c>
      <c r="AD391" t="inlineStr">
        <is>
          <t>CTL</t>
        </is>
      </c>
      <c r="AE391" t="inlineStr">
        <is>
          <t>19.05-0-2-ERW 1-PE-0.815</t>
        </is>
      </c>
      <c r="AF391" t="n">
        <v>0.6850326835</v>
      </c>
    </row>
    <row r="392">
      <c r="A392" s="56" t="n">
        <v>3572049</v>
      </c>
      <c r="B392" s="56" t="inlineStr">
        <is>
          <t>TUB-R-AW-AUT-40.00X20.00X1.200X0.6500</t>
        </is>
      </c>
      <c r="C392" s="56" t="inlineStr">
        <is>
          <t>4A25BH1080</t>
        </is>
      </c>
      <c r="D392" s="57" t="n">
        <v>1321.468</v>
      </c>
      <c r="E392" s="57" t="n">
        <v>939.564</v>
      </c>
      <c r="F392" s="57" t="n">
        <v>0.939564</v>
      </c>
      <c r="G392" s="56" t="inlineStr">
        <is>
          <t>KG</t>
        </is>
      </c>
      <c r="H392" s="56" t="inlineStr">
        <is>
          <t>R001</t>
        </is>
      </c>
      <c r="I392" s="56" t="inlineStr">
        <is>
          <t>0789</t>
        </is>
      </c>
      <c r="J392" s="56" t="inlineStr">
        <is>
          <t>1800</t>
        </is>
      </c>
      <c r="K392" s="57" t="n">
        <v>860.092</v>
      </c>
      <c r="L392" s="56" t="inlineStr">
        <is>
          <t>9518224278/ 5</t>
        </is>
      </c>
      <c r="M392" s="56" t="inlineStr">
        <is>
          <t>5</t>
        </is>
      </c>
      <c r="N392" s="56" t="inlineStr">
        <is>
          <t>Sri Balaji Gears</t>
        </is>
      </c>
      <c r="O392" s="58" t="n">
        <v>44</v>
      </c>
      <c r="P392" s="59" t="inlineStr">
        <is>
          <t>31-60</t>
        </is>
      </c>
      <c r="Q392" s="56" t="inlineStr">
        <is>
          <t>Diwakar</t>
        </is>
      </c>
      <c r="U392" s="585" t="n">
        <v>3509196</v>
      </c>
      <c r="V392" t="n">
        <v>19.05</v>
      </c>
      <c r="W392" t="n">
        <v>0</v>
      </c>
      <c r="X392" t="n">
        <v>2</v>
      </c>
      <c r="Y392" t="n">
        <v>0.82</v>
      </c>
      <c r="Z392" t="inlineStr"/>
      <c r="AA392" t="inlineStr">
        <is>
          <t>PE</t>
        </is>
      </c>
      <c r="AB392" t="inlineStr">
        <is>
          <t>AW</t>
        </is>
      </c>
      <c r="AC392" t="inlineStr">
        <is>
          <t>19.05-0-2-ERW 1-PE</t>
        </is>
      </c>
      <c r="AD392" t="inlineStr">
        <is>
          <t>CTL</t>
        </is>
      </c>
      <c r="AE392" t="inlineStr">
        <is>
          <t>19.05-0-2-ERW 1-PE-0.82</t>
        </is>
      </c>
      <c r="AF392" t="n">
        <v>0.689235338</v>
      </c>
    </row>
    <row r="393">
      <c r="A393" s="56" t="n">
        <v>3572050</v>
      </c>
      <c r="B393" s="56" t="inlineStr">
        <is>
          <t>TUB-R-AW-AUT-40.00X20.00X1.200X0.7100</t>
        </is>
      </c>
      <c r="C393" s="56" t="inlineStr">
        <is>
          <t>4A18AH1020</t>
        </is>
      </c>
      <c r="D393" s="57" t="n">
        <v>325.711</v>
      </c>
      <c r="E393" s="57" t="n">
        <v>252.752</v>
      </c>
      <c r="F393" s="57" t="n">
        <v>0.252752</v>
      </c>
      <c r="G393" s="56" t="inlineStr">
        <is>
          <t>KG</t>
        </is>
      </c>
      <c r="H393" s="56" t="inlineStr">
        <is>
          <t>R001</t>
        </is>
      </c>
      <c r="I393" s="56" t="inlineStr">
        <is>
          <t>0789</t>
        </is>
      </c>
      <c r="J393" s="56" t="inlineStr">
        <is>
          <t>3250</t>
        </is>
      </c>
      <c r="K393" s="57" t="n">
        <v>231.373</v>
      </c>
      <c r="L393" s="56" t="inlineStr">
        <is>
          <t>9518224278/ 9</t>
        </is>
      </c>
      <c r="M393" s="56" t="inlineStr">
        <is>
          <t>9</t>
        </is>
      </c>
      <c r="N393" s="56" t="inlineStr">
        <is>
          <t>Sri Balaji Gears</t>
        </is>
      </c>
      <c r="O393" s="58" t="n">
        <v>80</v>
      </c>
      <c r="P393" s="59" t="inlineStr">
        <is>
          <t>61-90</t>
        </is>
      </c>
      <c r="Q393" s="56" t="inlineStr">
        <is>
          <t>Diwakar</t>
        </is>
      </c>
      <c r="U393" s="585" t="n">
        <v>3732182</v>
      </c>
      <c r="V393" t="n">
        <v>19.05</v>
      </c>
      <c r="W393" t="n">
        <v>0</v>
      </c>
      <c r="X393" t="n">
        <v>2</v>
      </c>
      <c r="Y393" t="n">
        <v>0.82</v>
      </c>
      <c r="Z393" t="inlineStr">
        <is>
          <t>NORMAL</t>
        </is>
      </c>
      <c r="AA393" t="inlineStr">
        <is>
          <t>PE</t>
        </is>
      </c>
      <c r="AB393" t="inlineStr">
        <is>
          <t>AW</t>
        </is>
      </c>
      <c r="AC393" t="inlineStr">
        <is>
          <t>19.05-0-2-ERW 1-PE</t>
        </is>
      </c>
      <c r="AD393" t="inlineStr">
        <is>
          <t>CTL</t>
        </is>
      </c>
      <c r="AE393" t="inlineStr">
        <is>
          <t>19.05-0-2-ERW 1-PE-0.82</t>
        </is>
      </c>
      <c r="AF393" t="n">
        <v>0.689235338</v>
      </c>
    </row>
    <row r="394">
      <c r="A394" s="56" t="n">
        <v>3572051</v>
      </c>
      <c r="B394" s="56" t="inlineStr">
        <is>
          <t>TUB-R-AW-AUT-40.00X20.00X1.200X0.8600</t>
        </is>
      </c>
      <c r="C394" s="56" t="inlineStr">
        <is>
          <t>4911AH1060</t>
        </is>
      </c>
      <c r="D394" s="57" t="n">
        <v>56.723</v>
      </c>
      <c r="E394" s="57" t="n">
        <v>53.32</v>
      </c>
      <c r="F394" s="57" t="n">
        <v>0.05332</v>
      </c>
      <c r="G394" s="56" t="inlineStr">
        <is>
          <t>KG</t>
        </is>
      </c>
      <c r="H394" s="56" t="inlineStr">
        <is>
          <t>R001</t>
        </is>
      </c>
      <c r="I394" s="56" t="inlineStr">
        <is>
          <t>0789</t>
        </is>
      </c>
      <c r="J394" s="56" t="inlineStr">
        <is>
          <t>1330</t>
        </is>
      </c>
      <c r="K394" s="57" t="n">
        <v>48.81</v>
      </c>
      <c r="L394" s="56" t="inlineStr">
        <is>
          <t>9518224278/ 8</t>
        </is>
      </c>
      <c r="M394" s="56" t="inlineStr">
        <is>
          <t>8</t>
        </is>
      </c>
      <c r="N394" s="56" t="inlineStr">
        <is>
          <t>Sri Balaji Gears</t>
        </is>
      </c>
      <c r="O394" s="58" t="n">
        <v>89</v>
      </c>
      <c r="P394" s="59" t="inlineStr">
        <is>
          <t>61-90</t>
        </is>
      </c>
      <c r="Q394" s="56" t="inlineStr">
        <is>
          <t>Diwakar</t>
        </is>
      </c>
      <c r="U394" s="585" t="n">
        <v>1479701</v>
      </c>
      <c r="V394" t="n">
        <v>19.05</v>
      </c>
      <c r="W394" t="n">
        <v>0</v>
      </c>
      <c r="X394" t="n">
        <v>2</v>
      </c>
      <c r="Y394" t="n">
        <v>0.82</v>
      </c>
      <c r="Z394" t="inlineStr"/>
      <c r="AA394" t="inlineStr">
        <is>
          <t>PE</t>
        </is>
      </c>
      <c r="AB394" t="inlineStr">
        <is>
          <t>AW</t>
        </is>
      </c>
      <c r="AC394" t="inlineStr">
        <is>
          <t>19.05-0-2-ERW 1-PE</t>
        </is>
      </c>
      <c r="AD394" t="inlineStr">
        <is>
          <t>CTL</t>
        </is>
      </c>
      <c r="AE394" t="inlineStr">
        <is>
          <t>19.05-0-2-ERW 1-PE-0.82</t>
        </is>
      </c>
      <c r="AF394" t="n">
        <v>0.689235338</v>
      </c>
    </row>
    <row r="395">
      <c r="A395" s="56" t="n">
        <v>3572052</v>
      </c>
      <c r="B395" s="56" t="inlineStr">
        <is>
          <t>TUB-R-AW-AUT-40.00X20.00X1.200X0.8900</t>
        </is>
      </c>
      <c r="C395" s="56" t="inlineStr">
        <is>
          <t>4926AH1010</t>
        </is>
      </c>
      <c r="D395" s="57" t="n">
        <v>695.075</v>
      </c>
      <c r="E395" s="57" t="n">
        <v>676.308</v>
      </c>
      <c r="F395" s="57" t="n">
        <v>0.676308</v>
      </c>
      <c r="G395" s="56" t="inlineStr">
        <is>
          <t>KG</t>
        </is>
      </c>
      <c r="H395" s="56" t="inlineStr">
        <is>
          <t>R001</t>
        </is>
      </c>
      <c r="I395" s="56" t="inlineStr">
        <is>
          <t>0789</t>
        </is>
      </c>
      <c r="J395" s="56" t="inlineStr">
        <is>
          <t>1300</t>
        </is>
      </c>
      <c r="K395" s="57" t="n">
        <v>619.103</v>
      </c>
      <c r="L395" s="56" t="inlineStr">
        <is>
          <t>9518224278/ 3</t>
        </is>
      </c>
      <c r="M395" s="56" t="inlineStr">
        <is>
          <t>3</t>
        </is>
      </c>
      <c r="N395" s="56" t="inlineStr">
        <is>
          <t>Sri Balaji Gears</t>
        </is>
      </c>
      <c r="O395" s="58" t="n">
        <v>44</v>
      </c>
      <c r="P395" s="59" t="inlineStr">
        <is>
          <t>31-60</t>
        </is>
      </c>
      <c r="Q395" s="56" t="inlineStr">
        <is>
          <t>Diwakar</t>
        </is>
      </c>
      <c r="U395" s="585" t="n">
        <v>1399341</v>
      </c>
      <c r="V395" t="n">
        <v>19.05</v>
      </c>
      <c r="W395" t="n">
        <v>0</v>
      </c>
      <c r="X395" t="n">
        <v>2</v>
      </c>
      <c r="Y395" t="n">
        <v>0.83</v>
      </c>
      <c r="Z395" t="inlineStr"/>
      <c r="AA395" t="inlineStr">
        <is>
          <t>PE</t>
        </is>
      </c>
      <c r="AB395" t="inlineStr">
        <is>
          <t>AW</t>
        </is>
      </c>
      <c r="AC395" t="inlineStr">
        <is>
          <t>19.05-0-2-ERW 1-PE</t>
        </is>
      </c>
      <c r="AD395" t="inlineStr">
        <is>
          <t>CTL</t>
        </is>
      </c>
      <c r="AE395" t="inlineStr">
        <is>
          <t>19.05-0-2-ERW 1-PE-0.83</t>
        </is>
      </c>
      <c r="AF395" t="n">
        <v>0.6976406470000001</v>
      </c>
    </row>
    <row r="396">
      <c r="A396" s="56" t="n">
        <v>3572053</v>
      </c>
      <c r="B396" s="56" t="inlineStr">
        <is>
          <t>TUB-R-AW-AUT-40.00X20.00X1.200X0.9300</t>
        </is>
      </c>
      <c r="C396" s="56" t="inlineStr">
        <is>
          <t>4A25AH1100</t>
        </is>
      </c>
      <c r="D396" s="57" t="n">
        <v>1077</v>
      </c>
      <c r="E396" s="57" t="n">
        <v>1094.232</v>
      </c>
      <c r="F396" s="57" t="n">
        <v>1.094232</v>
      </c>
      <c r="G396" s="56" t="inlineStr">
        <is>
          <t>KG</t>
        </is>
      </c>
      <c r="H396" s="56" t="inlineStr">
        <is>
          <t>R001</t>
        </is>
      </c>
      <c r="I396" s="56" t="inlineStr">
        <is>
          <t>0789</t>
        </is>
      </c>
      <c r="J396" s="56" t="inlineStr">
        <is>
          <t>1250</t>
        </is>
      </c>
      <c r="K396" s="57" t="n">
        <v>1001.677</v>
      </c>
      <c r="L396" s="56" t="inlineStr">
        <is>
          <t>9518224278/ 4</t>
        </is>
      </c>
      <c r="M396" s="56" t="inlineStr">
        <is>
          <t>4</t>
        </is>
      </c>
      <c r="N396" s="56" t="inlineStr">
        <is>
          <t>Sri Balaji Gears</t>
        </is>
      </c>
      <c r="O396" s="58" t="n">
        <v>44</v>
      </c>
      <c r="P396" s="59" t="inlineStr">
        <is>
          <t>31-60</t>
        </is>
      </c>
      <c r="Q396" s="56" t="inlineStr">
        <is>
          <t>Diwakar</t>
        </is>
      </c>
      <c r="U396" t="n">
        <v>3508741</v>
      </c>
      <c r="V396" t="n">
        <v>19.05</v>
      </c>
      <c r="W396" t="n">
        <v>0</v>
      </c>
      <c r="X396" t="n">
        <v>2</v>
      </c>
      <c r="Y396" t="n">
        <v>0.83</v>
      </c>
      <c r="Z396" t="inlineStr"/>
      <c r="AA396" t="inlineStr">
        <is>
          <t>PE</t>
        </is>
      </c>
      <c r="AB396" t="inlineStr">
        <is>
          <t>AW</t>
        </is>
      </c>
      <c r="AC396" t="inlineStr">
        <is>
          <t>19.05-0-2-ERW 1-PE</t>
        </is>
      </c>
      <c r="AD396" t="inlineStr">
        <is>
          <t>CTL</t>
        </is>
      </c>
      <c r="AE396" t="inlineStr">
        <is>
          <t>19.05-0-2-ERW 1-PE-0.83</t>
        </is>
      </c>
      <c r="AF396" t="n">
        <v>0.6976406470000001</v>
      </c>
    </row>
    <row r="397">
      <c r="A397" s="56" t="n">
        <v>3572054</v>
      </c>
      <c r="B397" s="56" t="inlineStr">
        <is>
          <t>TUB-R-AW-AUT-40.00X20.00X1.200X1.0600</t>
        </is>
      </c>
      <c r="C397" s="56" t="inlineStr">
        <is>
          <t>4A17AH1030</t>
        </is>
      </c>
      <c r="D397" s="57" t="n">
        <v>1100.173</v>
      </c>
      <c r="E397" s="58" t="n">
        <v>1274</v>
      </c>
      <c r="F397" s="57" t="n">
        <v>1.274</v>
      </c>
      <c r="G397" s="56" t="inlineStr">
        <is>
          <t>KG</t>
        </is>
      </c>
      <c r="H397" s="56" t="inlineStr">
        <is>
          <t>R001</t>
        </is>
      </c>
      <c r="I397" s="56" t="inlineStr">
        <is>
          <t>0789</t>
        </is>
      </c>
      <c r="J397" s="56" t="inlineStr">
        <is>
          <t>1100</t>
        </is>
      </c>
      <c r="K397" s="57" t="n">
        <v>1166.239</v>
      </c>
      <c r="L397" s="56" t="inlineStr">
        <is>
          <t>9518224278/ 2</t>
        </is>
      </c>
      <c r="M397" s="56" t="inlineStr">
        <is>
          <t>2</t>
        </is>
      </c>
      <c r="N397" s="56" t="inlineStr">
        <is>
          <t>Sri Balaji Gears</t>
        </is>
      </c>
      <c r="O397" s="58" t="n">
        <v>44</v>
      </c>
      <c r="P397" s="59" t="inlineStr">
        <is>
          <t>31-60</t>
        </is>
      </c>
      <c r="Q397" s="56" t="inlineStr">
        <is>
          <t>Diwakar</t>
        </is>
      </c>
      <c r="U397" s="585" t="n">
        <v>451367</v>
      </c>
      <c r="V397" t="n">
        <v>19.05</v>
      </c>
      <c r="W397" t="n">
        <v>0</v>
      </c>
      <c r="X397" t="n">
        <v>2</v>
      </c>
      <c r="Y397" t="n">
        <v>0.925</v>
      </c>
      <c r="Z397" t="inlineStr">
        <is>
          <t>TPT</t>
        </is>
      </c>
      <c r="AA397" t="inlineStr">
        <is>
          <t>PE</t>
        </is>
      </c>
      <c r="AB397" t="inlineStr">
        <is>
          <t>AW</t>
        </is>
      </c>
      <c r="AC397" t="inlineStr">
        <is>
          <t>19.05-0-2-ERW 1-PE</t>
        </is>
      </c>
      <c r="AD397" t="inlineStr">
        <is>
          <t>CTL</t>
        </is>
      </c>
      <c r="AE397" t="inlineStr">
        <is>
          <t>19.05-0-2-ERW 1-PE-0.925</t>
        </is>
      </c>
      <c r="AF397" t="n">
        <v>0.7774910825000001</v>
      </c>
    </row>
    <row r="398">
      <c r="A398" s="56" t="n">
        <v>3572054</v>
      </c>
      <c r="B398" s="56" t="inlineStr">
        <is>
          <t>TUB-R-AW-AUT-40.00X20.00X1.200X1.0600</t>
        </is>
      </c>
      <c r="C398" s="56" t="inlineStr">
        <is>
          <t>4A26AH1030</t>
        </is>
      </c>
      <c r="D398" s="57" t="n">
        <v>92</v>
      </c>
      <c r="E398" s="57" t="n">
        <v>106.536</v>
      </c>
      <c r="F398" s="57" t="n">
        <v>0.106536</v>
      </c>
      <c r="G398" s="56" t="inlineStr">
        <is>
          <t>KG</t>
        </is>
      </c>
      <c r="H398" s="56" t="inlineStr">
        <is>
          <t>R001</t>
        </is>
      </c>
      <c r="I398" s="56" t="inlineStr">
        <is>
          <t>0789</t>
        </is>
      </c>
      <c r="J398" s="56" t="inlineStr">
        <is>
          <t>1000</t>
        </is>
      </c>
      <c r="K398" s="57" t="n">
        <v>97.52500000000001</v>
      </c>
      <c r="L398" s="56" t="inlineStr">
        <is>
          <t>9518224278/ 2</t>
        </is>
      </c>
      <c r="M398" s="56" t="inlineStr">
        <is>
          <t>2</t>
        </is>
      </c>
      <c r="N398" s="56" t="inlineStr">
        <is>
          <t>Sri Balaji Gears</t>
        </is>
      </c>
      <c r="O398" s="58" t="n">
        <v>55</v>
      </c>
      <c r="P398" s="59" t="inlineStr">
        <is>
          <t>31-60</t>
        </is>
      </c>
      <c r="Q398" s="56" t="inlineStr">
        <is>
          <t>Diwakar</t>
        </is>
      </c>
      <c r="U398" s="585" t="n">
        <v>440216</v>
      </c>
      <c r="V398" t="n">
        <v>19.05</v>
      </c>
      <c r="W398" t="n">
        <v>0</v>
      </c>
      <c r="X398" t="n">
        <v>2</v>
      </c>
      <c r="Y398" t="n">
        <v>1</v>
      </c>
      <c r="Z398" t="inlineStr">
        <is>
          <t>TPT</t>
        </is>
      </c>
      <c r="AA398" t="inlineStr">
        <is>
          <t>PE</t>
        </is>
      </c>
      <c r="AB398" t="inlineStr">
        <is>
          <t>AW</t>
        </is>
      </c>
      <c r="AC398" t="inlineStr">
        <is>
          <t>19.05-0-2-ERW 1-PE</t>
        </is>
      </c>
      <c r="AD398" t="inlineStr">
        <is>
          <t>CTL</t>
        </is>
      </c>
      <c r="AE398" t="inlineStr">
        <is>
          <t>19.05-0-2-ERW 1-PE-1</t>
        </is>
      </c>
      <c r="AF398" t="n">
        <v>0.8405309000000001</v>
      </c>
    </row>
    <row r="399">
      <c r="A399" s="56" t="n">
        <v>3572055</v>
      </c>
      <c r="B399" s="56" t="inlineStr">
        <is>
          <t>TUB-S-AW-AUT-40.00X40.00X1.200X0.1580</t>
        </is>
      </c>
      <c r="C399" s="56" t="inlineStr">
        <is>
          <t>4B19H37884</t>
        </is>
      </c>
      <c r="D399" s="57" t="n">
        <v>3476.395</v>
      </c>
      <c r="E399" s="58" t="n">
        <v>810</v>
      </c>
      <c r="F399" s="57" t="n">
        <v>0.8100000000000001</v>
      </c>
      <c r="G399" s="56" t="inlineStr">
        <is>
          <t>KG</t>
        </is>
      </c>
      <c r="H399" s="56" t="inlineStr">
        <is>
          <t>R001</t>
        </is>
      </c>
      <c r="I399" s="56" t="inlineStr">
        <is>
          <t>0789</t>
        </is>
      </c>
      <c r="J399" s="56" t="inlineStr">
        <is>
          <t>5500</t>
        </is>
      </c>
      <c r="K399" s="57" t="n">
        <v>551.621</v>
      </c>
      <c r="L399" s="56" t="inlineStr">
        <is>
          <t>9518224278/ 35</t>
        </is>
      </c>
      <c r="M399" s="56" t="inlineStr">
        <is>
          <t>35</t>
        </is>
      </c>
      <c r="N399" s="56" t="inlineStr">
        <is>
          <t>Sri Balaji Gears</t>
        </is>
      </c>
      <c r="O399" s="58" t="n">
        <v>44</v>
      </c>
      <c r="P399" s="59" t="inlineStr">
        <is>
          <t>31-60</t>
        </is>
      </c>
      <c r="Q399" s="56" t="inlineStr">
        <is>
          <t>Diwakar</t>
        </is>
      </c>
      <c r="U399" s="585" t="n">
        <v>3682071</v>
      </c>
      <c r="V399" t="n">
        <v>19.05</v>
      </c>
      <c r="W399" t="n">
        <v>0</v>
      </c>
      <c r="X399" t="n">
        <v>2</v>
      </c>
      <c r="Y399" t="n">
        <v>5.001</v>
      </c>
      <c r="Z399" t="inlineStr"/>
      <c r="AA399" t="inlineStr">
        <is>
          <t>PE</t>
        </is>
      </c>
      <c r="AB399" t="inlineStr">
        <is>
          <t>AW</t>
        </is>
      </c>
      <c r="AC399" t="inlineStr">
        <is>
          <t>19.05-0-2-ERW 1-PE</t>
        </is>
      </c>
      <c r="AD399" t="inlineStr">
        <is>
          <t>LL</t>
        </is>
      </c>
      <c r="AE399" t="inlineStr">
        <is>
          <t>19.05-0-2-ERW 1-PE-1</t>
        </is>
      </c>
      <c r="AF399" t="n">
        <v>0.8405309000000001</v>
      </c>
    </row>
    <row r="400">
      <c r="A400" s="56" t="n">
        <v>3573306</v>
      </c>
      <c r="B400" s="56" t="inlineStr">
        <is>
          <t>TUB-O-N-AUT-AW-PE-19.05X2.000X6.1400</t>
        </is>
      </c>
      <c r="C400" s="56" t="inlineStr">
        <is>
          <t>4B28AH2090</t>
        </is>
      </c>
      <c r="D400" s="57" t="n">
        <v>97.755</v>
      </c>
      <c r="E400" s="58" t="n">
        <v>505</v>
      </c>
      <c r="F400" s="57" t="n">
        <v>0.505</v>
      </c>
      <c r="G400" s="56" t="inlineStr">
        <is>
          <t>KG</t>
        </is>
      </c>
      <c r="H400" s="56" t="inlineStr">
        <is>
          <t>R001</t>
        </is>
      </c>
      <c r="I400" s="56" t="inlineStr">
        <is>
          <t>0789</t>
        </is>
      </c>
      <c r="J400" s="56" t="inlineStr">
        <is>
          <t>100</t>
        </is>
      </c>
      <c r="K400" s="57" t="n">
        <v>600.2619999999999</v>
      </c>
      <c r="L400" s="56" t="inlineStr"/>
      <c r="M400" s="56" t="inlineStr">
        <is>
          <t>0</t>
        </is>
      </c>
      <c r="N400" s="56" t="inlineStr">
        <is>
          <t>SRIKAM HITECH ENGINEERING PRIVATE L</t>
        </is>
      </c>
      <c r="O400" s="58" t="n">
        <v>40</v>
      </c>
      <c r="P400" s="59" t="inlineStr">
        <is>
          <t>31-60</t>
        </is>
      </c>
      <c r="Q400" s="56" t="inlineStr">
        <is>
          <t>Apoorv</t>
        </is>
      </c>
      <c r="U400" s="586" t="n">
        <v>110102428</v>
      </c>
      <c r="V400" t="n">
        <v>19.05</v>
      </c>
      <c r="W400" t="n">
        <v>0</v>
      </c>
      <c r="X400" t="n">
        <v>2</v>
      </c>
      <c r="Y400" t="n">
        <v>5.58</v>
      </c>
      <c r="Z400" t="inlineStr">
        <is>
          <t>WG</t>
        </is>
      </c>
      <c r="AA400" t="inlineStr">
        <is>
          <t>PE</t>
        </is>
      </c>
      <c r="AB400" t="inlineStr">
        <is>
          <t>AW</t>
        </is>
      </c>
      <c r="AC400" t="inlineStr">
        <is>
          <t>19.05-0-2-ERW 1-PE</t>
        </is>
      </c>
      <c r="AD400" t="inlineStr">
        <is>
          <t>LL</t>
        </is>
      </c>
      <c r="AE400" t="inlineStr">
        <is>
          <t>19.05-0-2-ERW 1-PE-1</t>
        </is>
      </c>
      <c r="AF400" t="n">
        <v>0.8405309000000001</v>
      </c>
    </row>
    <row r="401">
      <c r="A401" s="56" t="n">
        <v>3575897</v>
      </c>
      <c r="B401" s="56" t="inlineStr">
        <is>
          <t>TUB-O-N-AUT-AW-PE-22.23X1.600X6.0100</t>
        </is>
      </c>
      <c r="C401" s="56" t="inlineStr">
        <is>
          <t>4B16AH2170</t>
        </is>
      </c>
      <c r="D401" s="57" t="n">
        <v>25.541</v>
      </c>
      <c r="E401" s="58" t="n">
        <v>125</v>
      </c>
      <c r="F401" s="57" t="n">
        <v>0.125</v>
      </c>
      <c r="G401" s="56" t="inlineStr">
        <is>
          <t>KG</t>
        </is>
      </c>
      <c r="H401" s="56" t="inlineStr">
        <is>
          <t>R001</t>
        </is>
      </c>
      <c r="I401" s="56" t="inlineStr">
        <is>
          <t>0789</t>
        </is>
      </c>
      <c r="J401" s="56" t="inlineStr">
        <is>
          <t>132</t>
        </is>
      </c>
      <c r="K401" s="57" t="n">
        <v>153.487</v>
      </c>
      <c r="L401" s="56" t="inlineStr"/>
      <c r="M401" s="56" t="inlineStr">
        <is>
          <t>0</t>
        </is>
      </c>
      <c r="N401" s="56" t="inlineStr">
        <is>
          <t>MEGH STEELS PRIVATE LIMITED - TVS A</t>
        </is>
      </c>
      <c r="O401" s="58" t="n">
        <v>52</v>
      </c>
      <c r="P401" s="59" t="inlineStr">
        <is>
          <t>31-60</t>
        </is>
      </c>
      <c r="Q401" s="56" t="inlineStr">
        <is>
          <t>Apoorv</t>
        </is>
      </c>
      <c r="U401" s="585" t="n">
        <v>1940292</v>
      </c>
      <c r="V401" t="n">
        <v>19.05</v>
      </c>
      <c r="W401" t="n">
        <v>0</v>
      </c>
      <c r="X401" t="n">
        <v>2</v>
      </c>
      <c r="Y401" t="n">
        <v>5.8</v>
      </c>
      <c r="Z401" t="inlineStr">
        <is>
          <t>GR1</t>
        </is>
      </c>
      <c r="AA401" t="inlineStr">
        <is>
          <t>PE</t>
        </is>
      </c>
      <c r="AB401" t="inlineStr">
        <is>
          <t>AW</t>
        </is>
      </c>
      <c r="AC401" t="inlineStr">
        <is>
          <t>19.05-0-2-ERW 1-PE</t>
        </is>
      </c>
      <c r="AD401" t="inlineStr">
        <is>
          <t>LL</t>
        </is>
      </c>
      <c r="AE401" t="inlineStr">
        <is>
          <t>19.05-0-2-ERW 1-PE-1</t>
        </is>
      </c>
      <c r="AF401" t="n">
        <v>0.8405309000000001</v>
      </c>
    </row>
    <row r="402">
      <c r="A402" s="56" t="n">
        <v>3575897</v>
      </c>
      <c r="B402" s="56" t="inlineStr">
        <is>
          <t>TUB-O-N-AUT-AW-PE-22.23X1.600X6.0100</t>
        </is>
      </c>
      <c r="C402" s="56" t="inlineStr">
        <is>
          <t>4B20H38014</t>
        </is>
      </c>
      <c r="D402" s="57" t="n">
        <v>43.931</v>
      </c>
      <c r="E402" s="58" t="n">
        <v>215</v>
      </c>
      <c r="F402" s="57" t="n">
        <v>0.215</v>
      </c>
      <c r="G402" s="56" t="inlineStr">
        <is>
          <t>KG</t>
        </is>
      </c>
      <c r="H402" s="56" t="inlineStr">
        <is>
          <t>R001</t>
        </is>
      </c>
      <c r="I402" s="56" t="inlineStr">
        <is>
          <t>0789</t>
        </is>
      </c>
      <c r="J402" s="56" t="inlineStr">
        <is>
          <t>48</t>
        </is>
      </c>
      <c r="K402" s="57" t="n">
        <v>263.998</v>
      </c>
      <c r="L402" s="56" t="inlineStr"/>
      <c r="M402" s="56" t="inlineStr">
        <is>
          <t>0</t>
        </is>
      </c>
      <c r="N402" s="56" t="inlineStr">
        <is>
          <t>MEGH STEELS PRIVATE LIMITED - TVS A</t>
        </is>
      </c>
      <c r="O402" s="58" t="n">
        <v>52</v>
      </c>
      <c r="P402" s="59" t="inlineStr">
        <is>
          <t>31-60</t>
        </is>
      </c>
      <c r="Q402" s="56" t="inlineStr">
        <is>
          <t>Apoorv</t>
        </is>
      </c>
      <c r="U402" s="586" t="n">
        <v>110102436</v>
      </c>
      <c r="V402" t="n">
        <v>19.05</v>
      </c>
      <c r="W402" t="n">
        <v>0</v>
      </c>
      <c r="X402" t="n">
        <v>2</v>
      </c>
      <c r="Y402" t="n">
        <v>5.8</v>
      </c>
      <c r="Z402" t="inlineStr">
        <is>
          <t>GR1</t>
        </is>
      </c>
      <c r="AA402" t="inlineStr">
        <is>
          <t>PE</t>
        </is>
      </c>
      <c r="AB402" t="inlineStr">
        <is>
          <t>AW</t>
        </is>
      </c>
      <c r="AC402" t="inlineStr">
        <is>
          <t>19.05-0-2-ERW 1-PE</t>
        </is>
      </c>
      <c r="AD402" t="inlineStr">
        <is>
          <t>LL</t>
        </is>
      </c>
      <c r="AE402" t="inlineStr">
        <is>
          <t>19.05-0-2-ERW 1-PE-1</t>
        </is>
      </c>
      <c r="AF402" t="n">
        <v>0.8405309000000001</v>
      </c>
    </row>
    <row r="403">
      <c r="A403" s="56" t="n">
        <v>3576136</v>
      </c>
      <c r="B403" s="56" t="inlineStr">
        <is>
          <t>TUB-S-AW-SHS-19.00X19.00X1.200X5.6600</t>
        </is>
      </c>
      <c r="C403" s="56" t="inlineStr">
        <is>
          <t>A240229008</t>
        </is>
      </c>
      <c r="D403" s="57" t="n">
        <v>23.604</v>
      </c>
      <c r="E403" s="57" t="n">
        <v>87.902</v>
      </c>
      <c r="F403" s="57" t="n">
        <v>0.08790200000000001</v>
      </c>
      <c r="G403" s="56" t="inlineStr">
        <is>
          <t>KG</t>
        </is>
      </c>
      <c r="H403" s="56" t="inlineStr">
        <is>
          <t>R001</t>
        </is>
      </c>
      <c r="I403" s="56" t="inlineStr">
        <is>
          <t>0789</t>
        </is>
      </c>
      <c r="J403" s="56" t="inlineStr"/>
      <c r="K403" s="57" t="n">
        <v>133.61</v>
      </c>
      <c r="L403" s="56" t="inlineStr">
        <is>
          <t>9518133082/ 5</t>
        </is>
      </c>
      <c r="M403" s="56" t="inlineStr">
        <is>
          <t>5</t>
        </is>
      </c>
      <c r="N403" s="56" t="inlineStr">
        <is>
          <t>Sri Balaji Gears</t>
        </is>
      </c>
      <c r="O403" s="58" t="n">
        <v>319</v>
      </c>
      <c r="P403" s="59" t="inlineStr">
        <is>
          <t>ABOVE 90</t>
        </is>
      </c>
      <c r="Q403" s="56" t="inlineStr">
        <is>
          <t>Diwakar</t>
        </is>
      </c>
      <c r="U403" t="n">
        <v>4067800</v>
      </c>
      <c r="V403" t="n">
        <v>19.05</v>
      </c>
      <c r="W403" t="n">
        <v>0</v>
      </c>
      <c r="X403" t="n">
        <v>2</v>
      </c>
      <c r="Y403" t="n">
        <v>5.802</v>
      </c>
      <c r="Z403" t="inlineStr">
        <is>
          <t>WG</t>
        </is>
      </c>
      <c r="AA403" t="inlineStr">
        <is>
          <t>PE</t>
        </is>
      </c>
      <c r="AB403" t="inlineStr">
        <is>
          <t>AW</t>
        </is>
      </c>
      <c r="AC403" t="inlineStr">
        <is>
          <t>19.05-0-2-ERW 1-PE</t>
        </is>
      </c>
      <c r="AD403" t="inlineStr">
        <is>
          <t>LL</t>
        </is>
      </c>
      <c r="AE403" t="inlineStr">
        <is>
          <t>19.05-0-2-ERW 1-PE-1</t>
        </is>
      </c>
      <c r="AF403" t="n">
        <v>0.8405309000000001</v>
      </c>
    </row>
    <row r="404">
      <c r="A404" s="56" t="n">
        <v>3576136</v>
      </c>
      <c r="B404" s="56" t="inlineStr">
        <is>
          <t>TUB-S-AW-SHS-19.00X19.00X1.200X5.6600</t>
        </is>
      </c>
      <c r="C404" s="56" t="inlineStr">
        <is>
          <t>4B27BH1140</t>
        </is>
      </c>
      <c r="D404" s="57" t="n">
        <v>408.163</v>
      </c>
      <c r="E404" s="58" t="n">
        <v>1520</v>
      </c>
      <c r="F404" s="57" t="n">
        <v>1.52</v>
      </c>
      <c r="G404" s="56" t="inlineStr">
        <is>
          <t>KG</t>
        </is>
      </c>
      <c r="H404" s="56" t="inlineStr">
        <is>
          <t>R001</t>
        </is>
      </c>
      <c r="I404" s="56" t="inlineStr">
        <is>
          <t>0789</t>
        </is>
      </c>
      <c r="J404" s="56" t="inlineStr">
        <is>
          <t>407</t>
        </is>
      </c>
      <c r="K404" s="57" t="n">
        <v>2310.382</v>
      </c>
      <c r="L404" s="56" t="inlineStr">
        <is>
          <t>9518224307/ 2</t>
        </is>
      </c>
      <c r="M404" s="56" t="inlineStr">
        <is>
          <t>2</t>
        </is>
      </c>
      <c r="N404" s="56" t="inlineStr">
        <is>
          <t>Sri Balaji Gears</t>
        </is>
      </c>
      <c r="O404" s="58" t="n">
        <v>10</v>
      </c>
      <c r="P404" s="59" t="inlineStr">
        <is>
          <t>0-30</t>
        </is>
      </c>
      <c r="Q404" s="56" t="inlineStr">
        <is>
          <t>Diwakar</t>
        </is>
      </c>
      <c r="U404" s="585" t="n">
        <v>3673888</v>
      </c>
      <c r="V404" t="n">
        <v>19.05</v>
      </c>
      <c r="W404" t="n">
        <v>0</v>
      </c>
      <c r="X404" t="n">
        <v>2</v>
      </c>
      <c r="Y404" t="n">
        <v>5.841</v>
      </c>
      <c r="Z404" t="inlineStr"/>
      <c r="AA404" t="inlineStr">
        <is>
          <t>PE</t>
        </is>
      </c>
      <c r="AB404" t="inlineStr">
        <is>
          <t>AW</t>
        </is>
      </c>
      <c r="AC404" t="inlineStr">
        <is>
          <t>19.05-0-2-ERW 1-PE</t>
        </is>
      </c>
      <c r="AD404" t="inlineStr">
        <is>
          <t>LL</t>
        </is>
      </c>
      <c r="AE404" t="inlineStr">
        <is>
          <t>19.05-0-2-ERW 1-PE-1</t>
        </is>
      </c>
      <c r="AF404" t="n">
        <v>0.8405309000000001</v>
      </c>
    </row>
    <row r="405">
      <c r="A405" s="56" t="n">
        <v>3576136</v>
      </c>
      <c r="B405" s="56" t="inlineStr">
        <is>
          <t>TUB-S-AW-SHS-19.00X19.00X1.200X5.6600</t>
        </is>
      </c>
      <c r="C405" s="56" t="inlineStr">
        <is>
          <t>4B27BH1150</t>
        </is>
      </c>
      <c r="D405" s="57" t="n">
        <v>426.96</v>
      </c>
      <c r="E405" s="58" t="n">
        <v>1590</v>
      </c>
      <c r="F405" s="57" t="n">
        <v>1.59</v>
      </c>
      <c r="G405" s="56" t="inlineStr">
        <is>
          <t>KG</t>
        </is>
      </c>
      <c r="H405" s="56" t="inlineStr">
        <is>
          <t>R001</t>
        </is>
      </c>
      <c r="I405" s="56" t="inlineStr">
        <is>
          <t>0789</t>
        </is>
      </c>
      <c r="J405" s="56" t="inlineStr">
        <is>
          <t>424</t>
        </is>
      </c>
      <c r="K405" s="57" t="n">
        <v>2416.781</v>
      </c>
      <c r="L405" s="56" t="inlineStr">
        <is>
          <t>9518224307/ 2</t>
        </is>
      </c>
      <c r="M405" s="56" t="inlineStr">
        <is>
          <t>2</t>
        </is>
      </c>
      <c r="N405" s="56" t="inlineStr">
        <is>
          <t>Sri Balaji Gears</t>
        </is>
      </c>
      <c r="O405" s="58" t="n">
        <v>10</v>
      </c>
      <c r="P405" s="59" t="inlineStr">
        <is>
          <t>0-30</t>
        </is>
      </c>
      <c r="Q405" s="56" t="inlineStr">
        <is>
          <t>Diwakar</t>
        </is>
      </c>
      <c r="U405" s="586" t="n">
        <v>111120704</v>
      </c>
      <c r="V405" t="n">
        <v>19.05</v>
      </c>
      <c r="W405" t="n">
        <v>0</v>
      </c>
      <c r="X405" t="n">
        <v>2</v>
      </c>
      <c r="Y405" t="n">
        <v>5.89</v>
      </c>
      <c r="Z405" t="inlineStr">
        <is>
          <t>WG</t>
        </is>
      </c>
      <c r="AA405" t="inlineStr">
        <is>
          <t>PE</t>
        </is>
      </c>
      <c r="AB405" t="inlineStr">
        <is>
          <t>AW</t>
        </is>
      </c>
      <c r="AC405" t="inlineStr">
        <is>
          <t>19.05-0-2-ERW 1-PE</t>
        </is>
      </c>
      <c r="AD405" t="inlineStr">
        <is>
          <t>LL</t>
        </is>
      </c>
      <c r="AE405" t="inlineStr">
        <is>
          <t>19.05-0-2-ERW 1-PE-1</t>
        </is>
      </c>
      <c r="AF405" t="n">
        <v>0.8405309000000001</v>
      </c>
    </row>
    <row r="406">
      <c r="A406" s="56" t="n">
        <v>3577684</v>
      </c>
      <c r="B406" s="56" t="inlineStr">
        <is>
          <t>TUB-R-AW-AUT-40.00X20.00X1.200X6.0000</t>
        </is>
      </c>
      <c r="C406" s="56" t="inlineStr">
        <is>
          <t>G230924002</t>
        </is>
      </c>
      <c r="D406" s="57" t="n">
        <v>221.958</v>
      </c>
      <c r="E406" s="57" t="n">
        <v>1454.934</v>
      </c>
      <c r="F406" s="57" t="n">
        <v>1.454934</v>
      </c>
      <c r="G406" s="56" t="inlineStr">
        <is>
          <t>KG</t>
        </is>
      </c>
      <c r="H406" s="56" t="inlineStr">
        <is>
          <t>R001</t>
        </is>
      </c>
      <c r="I406" s="56" t="inlineStr">
        <is>
          <t>0789</t>
        </is>
      </c>
      <c r="J406" s="56" t="inlineStr"/>
      <c r="K406" s="57" t="n">
        <v>1331.869</v>
      </c>
      <c r="L406" s="56" t="inlineStr"/>
      <c r="M406" s="56" t="inlineStr">
        <is>
          <t>0</t>
        </is>
      </c>
      <c r="N406" s="56" t="inlineStr">
        <is>
          <t>ALF ENGINEERING PRIVATE LIMITED</t>
        </is>
      </c>
      <c r="O406" s="58" t="n">
        <v>474</v>
      </c>
      <c r="P406" s="59" t="inlineStr">
        <is>
          <t>ABOVE 90</t>
        </is>
      </c>
      <c r="Q406" s="56" t="inlineStr">
        <is>
          <t>Apoorv</t>
        </is>
      </c>
      <c r="U406" s="586" t="n">
        <v>111002199</v>
      </c>
      <c r="V406" t="n">
        <v>19.05</v>
      </c>
      <c r="W406" t="n">
        <v>0</v>
      </c>
      <c r="X406" t="n">
        <v>2</v>
      </c>
      <c r="Y406" t="n">
        <v>5.955</v>
      </c>
      <c r="Z406" t="inlineStr">
        <is>
          <t>WG</t>
        </is>
      </c>
      <c r="AA406" t="inlineStr">
        <is>
          <t>PE</t>
        </is>
      </c>
      <c r="AB406" t="inlineStr">
        <is>
          <t>AW</t>
        </is>
      </c>
      <c r="AC406" t="inlineStr">
        <is>
          <t>19.05-0-2-ERW 1-PE</t>
        </is>
      </c>
      <c r="AD406" t="inlineStr">
        <is>
          <t>LL</t>
        </is>
      </c>
      <c r="AE406" t="inlineStr">
        <is>
          <t>19.05-0-2-ERW 1-PE-1</t>
        </is>
      </c>
      <c r="AF406" t="n">
        <v>0.8405309000000001</v>
      </c>
    </row>
    <row r="407">
      <c r="A407" s="56" t="n">
        <v>3584171</v>
      </c>
      <c r="B407" s="56" t="inlineStr">
        <is>
          <t>TUB-R-AW-RHS-40.00X20.00X1.200X0.1300</t>
        </is>
      </c>
      <c r="C407" s="56" t="inlineStr">
        <is>
          <t>4B16H37683</t>
        </is>
      </c>
      <c r="D407" s="57" t="n">
        <v>4714.042</v>
      </c>
      <c r="E407" s="57" t="n">
        <v>674.1079999999999</v>
      </c>
      <c r="F407" s="57" t="n">
        <v>0.6741079999999999</v>
      </c>
      <c r="G407" s="56" t="inlineStr">
        <is>
          <t>KG</t>
        </is>
      </c>
      <c r="H407" s="56" t="inlineStr">
        <is>
          <t>R001</t>
        </is>
      </c>
      <c r="I407" s="56" t="inlineStr">
        <is>
          <t>0789</t>
        </is>
      </c>
      <c r="J407" s="56" t="inlineStr"/>
      <c r="K407" s="57" t="n">
        <v>617.0890000000001</v>
      </c>
      <c r="L407" s="56" t="inlineStr">
        <is>
          <t>9518315613/ 7</t>
        </is>
      </c>
      <c r="M407" s="56" t="inlineStr">
        <is>
          <t>7</t>
        </is>
      </c>
      <c r="N407" s="56" t="inlineStr">
        <is>
          <t>Sri Balaji Gears</t>
        </is>
      </c>
      <c r="O407" s="58" t="n">
        <v>25</v>
      </c>
      <c r="P407" s="59" t="inlineStr">
        <is>
          <t>0-30</t>
        </is>
      </c>
      <c r="Q407" s="56" t="inlineStr">
        <is>
          <t>Diwakar</t>
        </is>
      </c>
      <c r="U407" s="585" t="n">
        <v>1940293</v>
      </c>
      <c r="V407" t="n">
        <v>19.05</v>
      </c>
      <c r="W407" t="n">
        <v>0</v>
      </c>
      <c r="X407" t="n">
        <v>2</v>
      </c>
      <c r="Y407" t="n">
        <v>6</v>
      </c>
      <c r="Z407" t="inlineStr">
        <is>
          <t>WG</t>
        </is>
      </c>
      <c r="AA407" t="inlineStr">
        <is>
          <t>PE</t>
        </is>
      </c>
      <c r="AB407" t="inlineStr">
        <is>
          <t>AW</t>
        </is>
      </c>
      <c r="AC407" t="inlineStr">
        <is>
          <t>19.05-0-2-ERW 1-PE</t>
        </is>
      </c>
      <c r="AD407" t="inlineStr">
        <is>
          <t>LL</t>
        </is>
      </c>
      <c r="AE407" t="inlineStr">
        <is>
          <t>19.05-0-2-ERW 1-PE-1</t>
        </is>
      </c>
      <c r="AF407" t="n">
        <v>0.8405309000000001</v>
      </c>
    </row>
    <row r="408">
      <c r="A408" s="56" t="n">
        <v>3584172</v>
      </c>
      <c r="B408" s="56" t="inlineStr">
        <is>
          <t>TUB-S-AW-SHS-40.00X40.00X1.200X0.1550</t>
        </is>
      </c>
      <c r="C408" s="56" t="inlineStr">
        <is>
          <t>4722H28022</t>
        </is>
      </c>
      <c r="D408" s="57" t="n">
        <v>293.86</v>
      </c>
      <c r="E408" s="58" t="n">
        <v>67</v>
      </c>
      <c r="F408" s="57" t="n">
        <v>0.067</v>
      </c>
      <c r="G408" s="56" t="inlineStr">
        <is>
          <t>KG</t>
        </is>
      </c>
      <c r="H408" s="56" t="inlineStr">
        <is>
          <t>R001</t>
        </is>
      </c>
      <c r="I408" s="56" t="inlineStr">
        <is>
          <t>0789</t>
        </is>
      </c>
      <c r="J408" s="56" t="inlineStr">
        <is>
          <t>2800</t>
        </is>
      </c>
      <c r="K408" s="57" t="n">
        <v>45.628</v>
      </c>
      <c r="L408" s="56" t="inlineStr">
        <is>
          <t>9518315613/ 26</t>
        </is>
      </c>
      <c r="M408" s="56" t="inlineStr">
        <is>
          <t>26</t>
        </is>
      </c>
      <c r="N408" s="56" t="inlineStr">
        <is>
          <t>Sri Balaji Gears</t>
        </is>
      </c>
      <c r="O408" s="58" t="n">
        <v>170</v>
      </c>
      <c r="P408" s="59" t="inlineStr">
        <is>
          <t>ABOVE 90</t>
        </is>
      </c>
      <c r="Q408" s="56" t="inlineStr">
        <is>
          <t>Diwakar</t>
        </is>
      </c>
      <c r="U408" s="585" t="n">
        <v>235292</v>
      </c>
      <c r="V408" t="n">
        <v>19.05</v>
      </c>
      <c r="W408" t="n">
        <v>0</v>
      </c>
      <c r="X408" t="n">
        <v>2</v>
      </c>
      <c r="Y408" t="n">
        <v>6</v>
      </c>
      <c r="Z408" t="inlineStr">
        <is>
          <t>TPT</t>
        </is>
      </c>
      <c r="AA408" t="inlineStr">
        <is>
          <t>PE</t>
        </is>
      </c>
      <c r="AB408" t="inlineStr">
        <is>
          <t>AW</t>
        </is>
      </c>
      <c r="AC408" t="inlineStr">
        <is>
          <t>19.05-0-2-ERW 1-PE</t>
        </is>
      </c>
      <c r="AD408" t="inlineStr">
        <is>
          <t>LL</t>
        </is>
      </c>
      <c r="AE408" t="inlineStr">
        <is>
          <t>19.05-0-2-ERW 1-PE-1</t>
        </is>
      </c>
      <c r="AF408" t="n">
        <v>0.8405309000000001</v>
      </c>
    </row>
    <row r="409">
      <c r="A409" s="56" t="n">
        <v>3584172</v>
      </c>
      <c r="B409" s="56" t="inlineStr">
        <is>
          <t>TUB-S-AW-SHS-40.00X40.00X1.200X0.1550</t>
        </is>
      </c>
      <c r="C409" s="56" t="inlineStr">
        <is>
          <t>4829H31490</t>
        </is>
      </c>
      <c r="D409" s="57" t="n">
        <v>1530.702</v>
      </c>
      <c r="E409" s="58" t="n">
        <v>349</v>
      </c>
      <c r="F409" s="57" t="n">
        <v>0.349</v>
      </c>
      <c r="G409" s="56" t="inlineStr">
        <is>
          <t>KG</t>
        </is>
      </c>
      <c r="H409" s="56" t="inlineStr">
        <is>
          <t>R001</t>
        </is>
      </c>
      <c r="I409" s="56" t="inlineStr">
        <is>
          <t>0789</t>
        </is>
      </c>
      <c r="J409" s="56" t="inlineStr">
        <is>
          <t>2035</t>
        </is>
      </c>
      <c r="K409" s="57" t="n">
        <v>237.674</v>
      </c>
      <c r="L409" s="56" t="inlineStr">
        <is>
          <t>9518315613/ 26</t>
        </is>
      </c>
      <c r="M409" s="56" t="inlineStr">
        <is>
          <t>26</t>
        </is>
      </c>
      <c r="N409" s="56" t="inlineStr">
        <is>
          <t>Sri Balaji Gears</t>
        </is>
      </c>
      <c r="O409" s="58" t="n">
        <v>137</v>
      </c>
      <c r="P409" s="59" t="inlineStr">
        <is>
          <t>ABOVE 90</t>
        </is>
      </c>
      <c r="Q409" s="56" t="inlineStr">
        <is>
          <t>Diwakar</t>
        </is>
      </c>
      <c r="U409" s="585" t="n">
        <v>3499307</v>
      </c>
      <c r="V409" t="n">
        <v>19.05</v>
      </c>
      <c r="W409" t="n">
        <v>0</v>
      </c>
      <c r="X409" t="n">
        <v>2</v>
      </c>
      <c r="Y409" t="n">
        <v>6</v>
      </c>
      <c r="Z409" t="inlineStr"/>
      <c r="AA409" t="inlineStr">
        <is>
          <t>PE</t>
        </is>
      </c>
      <c r="AB409" t="inlineStr">
        <is>
          <t>AW</t>
        </is>
      </c>
      <c r="AC409" t="inlineStr">
        <is>
          <t>19.05-0-2-ERW 1-PE</t>
        </is>
      </c>
      <c r="AD409" t="inlineStr">
        <is>
          <t>LL</t>
        </is>
      </c>
      <c r="AE409" t="inlineStr">
        <is>
          <t>19.05-0-2-ERW 1-PE-1</t>
        </is>
      </c>
      <c r="AF409" t="n">
        <v>0.8405309000000001</v>
      </c>
    </row>
    <row r="410">
      <c r="A410" s="56" t="n">
        <v>3584172</v>
      </c>
      <c r="B410" s="56" t="inlineStr">
        <is>
          <t>TUB-S-AW-SHS-40.00X40.00X1.200X0.1550</t>
        </is>
      </c>
      <c r="C410" s="56" t="inlineStr">
        <is>
          <t>AKN2410R37</t>
        </is>
      </c>
      <c r="D410" s="57" t="n">
        <v>1000</v>
      </c>
      <c r="E410" s="58" t="n">
        <v>228</v>
      </c>
      <c r="F410" s="57" t="n">
        <v>0.228</v>
      </c>
      <c r="G410" s="56" t="inlineStr">
        <is>
          <t>KG</t>
        </is>
      </c>
      <c r="H410" s="56" t="inlineStr">
        <is>
          <t>R001</t>
        </is>
      </c>
      <c r="I410" s="56" t="inlineStr">
        <is>
          <t>0789</t>
        </is>
      </c>
      <c r="J410" s="56" t="inlineStr"/>
      <c r="K410" s="57" t="n">
        <v>155.271</v>
      </c>
      <c r="L410" s="56" t="inlineStr">
        <is>
          <t>9518315613/ 26</t>
        </is>
      </c>
      <c r="M410" s="56" t="inlineStr">
        <is>
          <t>26</t>
        </is>
      </c>
      <c r="N410" s="56" t="inlineStr">
        <is>
          <t>Sri Balaji Gears</t>
        </is>
      </c>
      <c r="O410" s="58" t="n">
        <v>75</v>
      </c>
      <c r="P410" s="59" t="inlineStr">
        <is>
          <t>61-90</t>
        </is>
      </c>
      <c r="Q410" s="56" t="inlineStr">
        <is>
          <t>Diwakar</t>
        </is>
      </c>
      <c r="U410" s="585" t="n">
        <v>1932568</v>
      </c>
      <c r="V410" t="n">
        <v>19.05</v>
      </c>
      <c r="W410" t="n">
        <v>0</v>
      </c>
      <c r="X410" t="n">
        <v>2</v>
      </c>
      <c r="Y410" t="n">
        <v>6</v>
      </c>
      <c r="Z410" t="inlineStr">
        <is>
          <t>D</t>
        </is>
      </c>
      <c r="AA410" t="inlineStr">
        <is>
          <t>PE</t>
        </is>
      </c>
      <c r="AB410" t="inlineStr">
        <is>
          <t>AW</t>
        </is>
      </c>
      <c r="AC410" t="inlineStr">
        <is>
          <t>19.05-0-2-ERW 1-PE</t>
        </is>
      </c>
      <c r="AD410" t="inlineStr">
        <is>
          <t>LL</t>
        </is>
      </c>
      <c r="AE410" t="inlineStr">
        <is>
          <t>19.05-0-2-ERW 1-PE-1</t>
        </is>
      </c>
      <c r="AF410" t="n">
        <v>0.8405309000000001</v>
      </c>
    </row>
    <row r="411">
      <c r="A411" s="56" t="n">
        <v>3584174</v>
      </c>
      <c r="B411" s="56" t="inlineStr">
        <is>
          <t>TUB-R-AW-RHS-40.00X20.00X1.200X0.1130</t>
        </is>
      </c>
      <c r="C411" s="56" t="inlineStr">
        <is>
          <t>4C19H40094</t>
        </is>
      </c>
      <c r="D411" s="57" t="n">
        <v>904.548</v>
      </c>
      <c r="E411" s="57" t="n">
        <v>112.164</v>
      </c>
      <c r="F411" s="57" t="n">
        <v>0.112164</v>
      </c>
      <c r="G411" s="56" t="inlineStr">
        <is>
          <t>KG</t>
        </is>
      </c>
      <c r="H411" s="56" t="inlineStr">
        <is>
          <t>R001</t>
        </is>
      </c>
      <c r="I411" s="56" t="inlineStr">
        <is>
          <t>0789</t>
        </is>
      </c>
      <c r="J411" s="56" t="inlineStr">
        <is>
          <t>1200</t>
        </is>
      </c>
      <c r="K411" s="57" t="n">
        <v>102.677</v>
      </c>
      <c r="L411" s="56" t="inlineStr">
        <is>
          <t>9518315613/ 8</t>
        </is>
      </c>
      <c r="M411" s="56" t="inlineStr">
        <is>
          <t>8</t>
        </is>
      </c>
      <c r="N411" s="56" t="inlineStr">
        <is>
          <t>Sri Balaji Gears</t>
        </is>
      </c>
      <c r="O411" s="58" t="n">
        <v>25</v>
      </c>
      <c r="P411" s="59" t="inlineStr">
        <is>
          <t>0-30</t>
        </is>
      </c>
      <c r="Q411" s="56" t="inlineStr">
        <is>
          <t>Diwakar</t>
        </is>
      </c>
      <c r="U411" s="508" t="n">
        <v>3618119</v>
      </c>
      <c r="V411" t="n">
        <v>19.05</v>
      </c>
      <c r="W411" t="n">
        <v>0</v>
      </c>
      <c r="X411" t="n">
        <v>2</v>
      </c>
      <c r="Y411" t="n">
        <v>6</v>
      </c>
      <c r="Z411" t="inlineStr">
        <is>
          <t>HROP</t>
        </is>
      </c>
      <c r="AA411" t="inlineStr">
        <is>
          <t>PE</t>
        </is>
      </c>
      <c r="AB411" t="inlineStr">
        <is>
          <t>AW</t>
        </is>
      </c>
      <c r="AC411" t="inlineStr">
        <is>
          <t>19.05-0-2-ERW 1-PE</t>
        </is>
      </c>
      <c r="AD411" t="inlineStr">
        <is>
          <t>LL</t>
        </is>
      </c>
      <c r="AE411" t="inlineStr">
        <is>
          <t>19.05-0-2-ERW 1-PE-1</t>
        </is>
      </c>
      <c r="AF411" t="n">
        <v>0.8405309000000001</v>
      </c>
    </row>
    <row r="412">
      <c r="A412" s="56" t="n">
        <v>3586640</v>
      </c>
      <c r="B412" s="56" t="inlineStr">
        <is>
          <t>TUB-O-N-AUT-AW-PE-22.23X2.000X5.7500</t>
        </is>
      </c>
      <c r="C412" s="56" t="inlineStr">
        <is>
          <t>4B12BH2040</t>
        </is>
      </c>
      <c r="D412" s="57" t="n">
        <v>14.983</v>
      </c>
      <c r="E412" s="58" t="n">
        <v>86</v>
      </c>
      <c r="F412" s="57" t="n">
        <v>0.08599999999999999</v>
      </c>
      <c r="G412" s="56" t="inlineStr">
        <is>
          <t>KG</t>
        </is>
      </c>
      <c r="H412" s="56" t="inlineStr">
        <is>
          <t>R001</t>
        </is>
      </c>
      <c r="I412" s="56" t="inlineStr">
        <is>
          <t>0789</t>
        </is>
      </c>
      <c r="J412" s="56" t="inlineStr">
        <is>
          <t>302</t>
        </is>
      </c>
      <c r="K412" s="57" t="n">
        <v>86.155</v>
      </c>
      <c r="L412" s="56" t="inlineStr"/>
      <c r="M412" s="56" t="inlineStr">
        <is>
          <t>0</t>
        </is>
      </c>
      <c r="N412" s="60" t="inlineStr">
        <is>
          <t>Neel Metal Products Limited</t>
        </is>
      </c>
      <c r="O412" s="58" t="n">
        <v>3</v>
      </c>
      <c r="P412" s="59" t="inlineStr">
        <is>
          <t>0-30</t>
        </is>
      </c>
      <c r="Q412" s="56" t="inlineStr">
        <is>
          <t>Apoorv</t>
        </is>
      </c>
      <c r="U412" s="585" t="n">
        <v>3573306</v>
      </c>
      <c r="V412" t="n">
        <v>19.05</v>
      </c>
      <c r="W412" t="n">
        <v>0</v>
      </c>
      <c r="X412" t="n">
        <v>2</v>
      </c>
      <c r="Y412" t="n">
        <v>6.14</v>
      </c>
      <c r="Z412" t="inlineStr">
        <is>
          <t>WG</t>
        </is>
      </c>
      <c r="AA412" t="inlineStr">
        <is>
          <t>PE</t>
        </is>
      </c>
      <c r="AB412" t="inlineStr">
        <is>
          <t>AW</t>
        </is>
      </c>
      <c r="AC412" t="inlineStr">
        <is>
          <t>19.05-0-2-ERW 1-PE</t>
        </is>
      </c>
      <c r="AD412" t="inlineStr">
        <is>
          <t>LL</t>
        </is>
      </c>
      <c r="AE412" t="inlineStr">
        <is>
          <t>19.05-0-2-ERW 1-PE-1</t>
        </is>
      </c>
      <c r="AF412" t="n">
        <v>0.8405309000000001</v>
      </c>
    </row>
    <row r="413">
      <c r="A413" s="56" t="n">
        <v>3586640</v>
      </c>
      <c r="B413" s="56" t="inlineStr">
        <is>
          <t>TUB-O-N-AUT-AW-PE-22.23X2.000X5.7500</t>
        </is>
      </c>
      <c r="C413" s="56" t="inlineStr">
        <is>
          <t>4B12CH2070</t>
        </is>
      </c>
      <c r="D413" s="57" t="n">
        <v>105.923</v>
      </c>
      <c r="E413" s="58" t="n">
        <v>608</v>
      </c>
      <c r="F413" s="57" t="n">
        <v>0.608</v>
      </c>
      <c r="G413" s="56" t="inlineStr">
        <is>
          <t>KG</t>
        </is>
      </c>
      <c r="H413" s="56" t="inlineStr">
        <is>
          <t>R001</t>
        </is>
      </c>
      <c r="I413" s="56" t="inlineStr">
        <is>
          <t>0789</t>
        </is>
      </c>
      <c r="J413" s="56" t="inlineStr">
        <is>
          <t>106</t>
        </is>
      </c>
      <c r="K413" s="57" t="n">
        <v>609.096</v>
      </c>
      <c r="L413" s="56" t="inlineStr"/>
      <c r="M413" s="56" t="inlineStr">
        <is>
          <t>0</t>
        </is>
      </c>
      <c r="N413" s="60" t="inlineStr">
        <is>
          <t>Neel Metal Products Limited</t>
        </is>
      </c>
      <c r="O413" s="58" t="n">
        <v>3</v>
      </c>
      <c r="P413" s="59" t="inlineStr">
        <is>
          <t>0-30</t>
        </is>
      </c>
      <c r="Q413" s="56" t="inlineStr">
        <is>
          <t>Apoorv</t>
        </is>
      </c>
      <c r="U413" s="586" t="n">
        <v>110102404</v>
      </c>
      <c r="V413" t="n">
        <v>19.05</v>
      </c>
      <c r="W413" t="n">
        <v>0</v>
      </c>
      <c r="X413" t="n">
        <v>2</v>
      </c>
      <c r="Y413" t="n">
        <v>6.14</v>
      </c>
      <c r="Z413" t="inlineStr">
        <is>
          <t>WG</t>
        </is>
      </c>
      <c r="AA413" t="inlineStr">
        <is>
          <t>PE</t>
        </is>
      </c>
      <c r="AB413" t="inlineStr">
        <is>
          <t>AW</t>
        </is>
      </c>
      <c r="AC413" t="inlineStr">
        <is>
          <t>19.05-0-2-ERW 1-PE</t>
        </is>
      </c>
      <c r="AD413" t="inlineStr">
        <is>
          <t>LL</t>
        </is>
      </c>
      <c r="AE413" t="inlineStr">
        <is>
          <t>19.05-0-2-ERW 1-PE-1</t>
        </is>
      </c>
      <c r="AF413" t="n">
        <v>0.8405309000000001</v>
      </c>
    </row>
    <row r="414">
      <c r="A414" s="56" t="n">
        <v>3586641</v>
      </c>
      <c r="B414" s="56" t="inlineStr">
        <is>
          <t>TUB-O-N-AUT-AW-PE-22.23X2.000X5.8000</t>
        </is>
      </c>
      <c r="C414" s="56" t="inlineStr">
        <is>
          <t>4C05CH2020</t>
        </is>
      </c>
      <c r="D414" s="57" t="n">
        <v>365.803</v>
      </c>
      <c r="E414" s="58" t="n">
        <v>2118</v>
      </c>
      <c r="F414" s="57" t="n">
        <v>2.118</v>
      </c>
      <c r="G414" s="56" t="inlineStr">
        <is>
          <t>KG</t>
        </is>
      </c>
      <c r="H414" s="56" t="inlineStr">
        <is>
          <t>R001</t>
        </is>
      </c>
      <c r="I414" s="56" t="inlineStr">
        <is>
          <t>0789</t>
        </is>
      </c>
      <c r="J414" s="56" t="inlineStr">
        <is>
          <t>502</t>
        </is>
      </c>
      <c r="K414" s="57" t="n">
        <v>2121.819</v>
      </c>
      <c r="L414" s="56" t="inlineStr"/>
      <c r="M414" s="56" t="inlineStr">
        <is>
          <t>0</t>
        </is>
      </c>
      <c r="N414" s="56" t="inlineStr">
        <is>
          <t>FREE STOCK</t>
        </is>
      </c>
      <c r="O414" s="58" t="n">
        <v>17</v>
      </c>
      <c r="P414" s="59" t="inlineStr">
        <is>
          <t>0-30</t>
        </is>
      </c>
      <c r="Q414" s="56" t="inlineStr">
        <is>
          <t>Free Stock</t>
        </is>
      </c>
      <c r="U414" s="585" t="n">
        <v>1940299</v>
      </c>
      <c r="V414" t="n">
        <v>19.05</v>
      </c>
      <c r="W414" t="n">
        <v>0</v>
      </c>
      <c r="X414" t="n">
        <v>2</v>
      </c>
      <c r="Y414" t="n">
        <v>6.2</v>
      </c>
      <c r="Z414" t="inlineStr">
        <is>
          <t>GR1</t>
        </is>
      </c>
      <c r="AA414" t="inlineStr">
        <is>
          <t>PE</t>
        </is>
      </c>
      <c r="AB414" t="inlineStr">
        <is>
          <t>AW</t>
        </is>
      </c>
      <c r="AC414" t="inlineStr">
        <is>
          <t>19.05-0-2-ERW 1-PE</t>
        </is>
      </c>
      <c r="AD414" t="inlineStr">
        <is>
          <t>LL</t>
        </is>
      </c>
      <c r="AE414" t="inlineStr">
        <is>
          <t>19.05-0-2-ERW 1-PE-1</t>
        </is>
      </c>
      <c r="AF414" t="n">
        <v>0.8405309000000001</v>
      </c>
    </row>
    <row r="415">
      <c r="A415" s="56" t="n">
        <v>3586641</v>
      </c>
      <c r="B415" s="56" t="inlineStr">
        <is>
          <t>TUB-O-N-AUT-AW-PE-22.23X2.000X5.8000</t>
        </is>
      </c>
      <c r="C415" s="56" t="inlineStr">
        <is>
          <t>4C06H39204</t>
        </is>
      </c>
      <c r="D415" s="57" t="n">
        <v>30.052</v>
      </c>
      <c r="E415" s="58" t="n">
        <v>174</v>
      </c>
      <c r="F415" s="57" t="n">
        <v>0.174</v>
      </c>
      <c r="G415" s="56" t="inlineStr">
        <is>
          <t>KG</t>
        </is>
      </c>
      <c r="H415" s="56" t="inlineStr">
        <is>
          <t>R001</t>
        </is>
      </c>
      <c r="I415" s="56" t="inlineStr">
        <is>
          <t>0789</t>
        </is>
      </c>
      <c r="J415" s="56" t="inlineStr">
        <is>
          <t>30</t>
        </is>
      </c>
      <c r="K415" s="57" t="n">
        <v>174.314</v>
      </c>
      <c r="L415" s="56" t="inlineStr"/>
      <c r="M415" s="56" t="inlineStr">
        <is>
          <t>0</t>
        </is>
      </c>
      <c r="N415" s="56" t="inlineStr">
        <is>
          <t>FREE STOCK</t>
        </is>
      </c>
      <c r="O415" s="58" t="n">
        <v>17</v>
      </c>
      <c r="P415" s="59" t="inlineStr">
        <is>
          <t>0-30</t>
        </is>
      </c>
      <c r="Q415" s="56" t="inlineStr">
        <is>
          <t>Free Stock</t>
        </is>
      </c>
      <c r="U415" s="586" t="n">
        <v>110102443</v>
      </c>
      <c r="V415" t="n">
        <v>19.05</v>
      </c>
      <c r="W415" t="n">
        <v>0</v>
      </c>
      <c r="X415" t="n">
        <v>2</v>
      </c>
      <c r="Y415" t="n">
        <v>6.2</v>
      </c>
      <c r="Z415" t="inlineStr">
        <is>
          <t>GR1</t>
        </is>
      </c>
      <c r="AA415" t="inlineStr">
        <is>
          <t>PE</t>
        </is>
      </c>
      <c r="AB415" t="inlineStr">
        <is>
          <t>AW</t>
        </is>
      </c>
      <c r="AC415" t="inlineStr">
        <is>
          <t>19.05-0-2-ERW 1-PE</t>
        </is>
      </c>
      <c r="AD415" t="inlineStr">
        <is>
          <t>LL</t>
        </is>
      </c>
      <c r="AE415" t="inlineStr">
        <is>
          <t>19.05-0-2-ERW 1-PE-1</t>
        </is>
      </c>
      <c r="AF415" t="n">
        <v>0.8405309000000001</v>
      </c>
    </row>
    <row r="416">
      <c r="A416" s="56" t="n">
        <v>3586644</v>
      </c>
      <c r="B416" s="56" t="inlineStr">
        <is>
          <t>TUB-O-N-AUT-AW-PE-22.23X2.000X6.3250</t>
        </is>
      </c>
      <c r="C416" s="56" t="inlineStr">
        <is>
          <t>4410CH2080</t>
        </is>
      </c>
      <c r="D416" s="57" t="n">
        <v>51.315</v>
      </c>
      <c r="E416" s="58" t="n">
        <v>324</v>
      </c>
      <c r="F416" s="57" t="n">
        <v>0.324</v>
      </c>
      <c r="G416" s="56" t="inlineStr">
        <is>
          <t>KG</t>
        </is>
      </c>
      <c r="H416" s="56" t="inlineStr">
        <is>
          <t>R001</t>
        </is>
      </c>
      <c r="I416" s="56" t="inlineStr">
        <is>
          <t>0789</t>
        </is>
      </c>
      <c r="J416" s="56" t="inlineStr">
        <is>
          <t>417</t>
        </is>
      </c>
      <c r="K416" s="57" t="n">
        <v>324.584</v>
      </c>
      <c r="L416" s="56" t="inlineStr"/>
      <c r="M416" s="56" t="inlineStr">
        <is>
          <t>0</t>
        </is>
      </c>
      <c r="N416" s="56" t="inlineStr">
        <is>
          <t>MEGH STEELS PRIVATE LIMITED - TVS A</t>
        </is>
      </c>
      <c r="O416" s="58" t="n">
        <v>275</v>
      </c>
      <c r="P416" s="59" t="inlineStr">
        <is>
          <t>ABOVE 90</t>
        </is>
      </c>
      <c r="Q416" s="56" t="inlineStr">
        <is>
          <t>Apoorv</t>
        </is>
      </c>
      <c r="U416" s="586" t="n">
        <v>110102444</v>
      </c>
      <c r="V416" t="n">
        <v>19.05</v>
      </c>
      <c r="W416" t="n">
        <v>0</v>
      </c>
      <c r="X416" t="n">
        <v>2</v>
      </c>
      <c r="Y416" t="n">
        <v>6.3</v>
      </c>
      <c r="Z416" t="inlineStr">
        <is>
          <t>GR1</t>
        </is>
      </c>
      <c r="AA416" t="inlineStr">
        <is>
          <t>PE</t>
        </is>
      </c>
      <c r="AB416" t="inlineStr">
        <is>
          <t>AW</t>
        </is>
      </c>
      <c r="AC416" t="inlineStr">
        <is>
          <t>19.05-0-2-ERW 1-PE</t>
        </is>
      </c>
      <c r="AD416" t="inlineStr">
        <is>
          <t>LL</t>
        </is>
      </c>
      <c r="AE416" t="inlineStr">
        <is>
          <t>19.05-0-2-ERW 1-PE-1</t>
        </is>
      </c>
      <c r="AF416" t="n">
        <v>0.8405309000000001</v>
      </c>
    </row>
    <row r="417">
      <c r="A417" s="56" t="n">
        <v>3586644</v>
      </c>
      <c r="B417" s="56" t="inlineStr">
        <is>
          <t>TUB-O-N-AUT-AW-PE-22.23X2.000X6.3250</t>
        </is>
      </c>
      <c r="C417" s="56" t="inlineStr">
        <is>
          <t>4411AH2030</t>
        </is>
      </c>
      <c r="D417" s="57" t="n">
        <v>40.545</v>
      </c>
      <c r="E417" s="58" t="n">
        <v>256</v>
      </c>
      <c r="F417" s="57" t="n">
        <v>0.256</v>
      </c>
      <c r="G417" s="56" t="inlineStr">
        <is>
          <t>KG</t>
        </is>
      </c>
      <c r="H417" s="56" t="inlineStr">
        <is>
          <t>R001</t>
        </is>
      </c>
      <c r="I417" s="56" t="inlineStr">
        <is>
          <t>0789</t>
        </is>
      </c>
      <c r="J417" s="56" t="inlineStr">
        <is>
          <t>98</t>
        </is>
      </c>
      <c r="K417" s="57" t="n">
        <v>256.462</v>
      </c>
      <c r="L417" s="56" t="inlineStr"/>
      <c r="M417" s="56" t="inlineStr">
        <is>
          <t>0</t>
        </is>
      </c>
      <c r="N417" s="56" t="inlineStr">
        <is>
          <t>MEGH STEELS PRIVATE LIMITED - TVS A</t>
        </is>
      </c>
      <c r="O417" s="58" t="n">
        <v>275</v>
      </c>
      <c r="P417" s="59" t="inlineStr">
        <is>
          <t>ABOVE 90</t>
        </is>
      </c>
      <c r="Q417" s="56" t="inlineStr">
        <is>
          <t>Apoorv</t>
        </is>
      </c>
      <c r="U417" s="585" t="n">
        <v>1937438</v>
      </c>
      <c r="V417" t="n">
        <v>19.05</v>
      </c>
      <c r="W417" t="n">
        <v>0</v>
      </c>
      <c r="X417" t="n">
        <v>2.03</v>
      </c>
      <c r="Y417" t="n">
        <v>0.83</v>
      </c>
      <c r="Z417" t="inlineStr">
        <is>
          <t>D</t>
        </is>
      </c>
      <c r="AA417" t="inlineStr">
        <is>
          <t>PE</t>
        </is>
      </c>
      <c r="AB417" t="inlineStr">
        <is>
          <t>AW</t>
        </is>
      </c>
      <c r="AC417" t="inlineStr">
        <is>
          <t>19.05-0-2-ERW 1-PE</t>
        </is>
      </c>
      <c r="AD417" t="inlineStr">
        <is>
          <t>CTL</t>
        </is>
      </c>
      <c r="AE417" t="inlineStr">
        <is>
          <t>19.05-0-2-ERW 1-PE-0.83</t>
        </is>
      </c>
      <c r="AF417" t="n">
        <v>0.7068593237019999</v>
      </c>
    </row>
    <row r="418">
      <c r="A418" s="56" t="n">
        <v>3586645</v>
      </c>
      <c r="B418" s="56" t="inlineStr">
        <is>
          <t>TUB-O-N-AUT-AW-PE-25.40X2.500X5.9000</t>
        </is>
      </c>
      <c r="C418" s="56" t="inlineStr">
        <is>
          <t>4527H16208</t>
        </is>
      </c>
      <c r="D418" s="57" t="n">
        <v>21.361</v>
      </c>
      <c r="E418" s="58" t="n">
        <v>178</v>
      </c>
      <c r="F418" s="57" t="n">
        <v>0.178</v>
      </c>
      <c r="G418" s="56" t="inlineStr">
        <is>
          <t>KG</t>
        </is>
      </c>
      <c r="H418" s="56" t="inlineStr">
        <is>
          <t>R001</t>
        </is>
      </c>
      <c r="I418" s="56" t="inlineStr">
        <is>
          <t>0789</t>
        </is>
      </c>
      <c r="J418" s="56" t="inlineStr">
        <is>
          <t>21</t>
        </is>
      </c>
      <c r="K418" s="57" t="n">
        <v>126.027</v>
      </c>
      <c r="L418" s="56" t="inlineStr">
        <is>
          <t>9518254961/ 1</t>
        </is>
      </c>
      <c r="M418" s="56" t="inlineStr">
        <is>
          <t>1</t>
        </is>
      </c>
      <c r="N418" s="56" t="inlineStr">
        <is>
          <t>MEGH STEELS PRIVATE LIMITED - TVS A</t>
        </is>
      </c>
      <c r="O418" s="58" t="n">
        <v>60</v>
      </c>
      <c r="P418" s="59" t="inlineStr">
        <is>
          <t>31-60</t>
        </is>
      </c>
      <c r="Q418" s="56" t="inlineStr">
        <is>
          <t>Apoorv</t>
        </is>
      </c>
      <c r="U418" s="585" t="n">
        <v>1333189</v>
      </c>
      <c r="V418" t="n">
        <v>19.05</v>
      </c>
      <c r="W418" t="n">
        <v>0</v>
      </c>
      <c r="X418" t="n">
        <v>2.3</v>
      </c>
      <c r="Y418" t="n">
        <v>0.195</v>
      </c>
      <c r="Z418" t="inlineStr"/>
      <c r="AA418" t="inlineStr">
        <is>
          <t>PE</t>
        </is>
      </c>
      <c r="AB418" t="inlineStr">
        <is>
          <t>AW</t>
        </is>
      </c>
      <c r="AC418" t="inlineStr">
        <is>
          <t>19.05-0-2.3-ERW 1-PE</t>
        </is>
      </c>
      <c r="AD418" t="inlineStr">
        <is>
          <t>CTL</t>
        </is>
      </c>
      <c r="AE418" t="inlineStr">
        <is>
          <t>19.05-0-2.3-ERW 1-PE-0.195</t>
        </is>
      </c>
      <c r="AF418" t="n">
        <v>0.185172531375</v>
      </c>
    </row>
    <row r="419">
      <c r="A419" s="56" t="n">
        <v>3586645</v>
      </c>
      <c r="B419" s="56" t="inlineStr">
        <is>
          <t>TUB-O-N-AUT-AW-PE-25.40X2.500X5.9000</t>
        </is>
      </c>
      <c r="C419" s="56" t="inlineStr">
        <is>
          <t>4527H16211</t>
        </is>
      </c>
      <c r="D419" s="57" t="n">
        <v>7.2</v>
      </c>
      <c r="E419" s="58" t="n">
        <v>60</v>
      </c>
      <c r="F419" s="57" t="n">
        <v>0.06</v>
      </c>
      <c r="G419" s="56" t="inlineStr">
        <is>
          <t>KG</t>
        </is>
      </c>
      <c r="H419" s="56" t="inlineStr">
        <is>
          <t>R001</t>
        </is>
      </c>
      <c r="I419" s="56" t="inlineStr">
        <is>
          <t>0789</t>
        </is>
      </c>
      <c r="J419" s="56" t="inlineStr">
        <is>
          <t>10</t>
        </is>
      </c>
      <c r="K419" s="57" t="n">
        <v>42.481</v>
      </c>
      <c r="L419" s="56" t="inlineStr">
        <is>
          <t>9518254961/ 1</t>
        </is>
      </c>
      <c r="M419" s="56" t="inlineStr">
        <is>
          <t>1</t>
        </is>
      </c>
      <c r="N419" s="56" t="inlineStr">
        <is>
          <t>MEGH STEELS PRIVATE LIMITED - TVS A</t>
        </is>
      </c>
      <c r="O419" s="58" t="n">
        <v>59</v>
      </c>
      <c r="P419" s="59" t="inlineStr">
        <is>
          <t>31-60</t>
        </is>
      </c>
      <c r="Q419" s="56" t="inlineStr">
        <is>
          <t>Apoorv</t>
        </is>
      </c>
      <c r="U419" s="585" t="n">
        <v>1940302</v>
      </c>
      <c r="V419" t="n">
        <v>19.05</v>
      </c>
      <c r="W419" t="n">
        <v>0</v>
      </c>
      <c r="X419" t="n">
        <v>2.3</v>
      </c>
      <c r="Y419" t="n">
        <v>0.195</v>
      </c>
      <c r="Z419" t="inlineStr">
        <is>
          <t>GR1</t>
        </is>
      </c>
      <c r="AA419" t="inlineStr">
        <is>
          <t>PE</t>
        </is>
      </c>
      <c r="AB419" t="inlineStr">
        <is>
          <t>AW</t>
        </is>
      </c>
      <c r="AC419" t="inlineStr">
        <is>
          <t>19.05-0-2.3-ERW 1-PE</t>
        </is>
      </c>
      <c r="AD419" t="inlineStr">
        <is>
          <t>CTL</t>
        </is>
      </c>
      <c r="AE419" t="inlineStr">
        <is>
          <t>19.05-0-2.3-ERW 1-PE-0.195</t>
        </is>
      </c>
      <c r="AF419" t="n">
        <v>0.185172531375</v>
      </c>
    </row>
    <row r="420">
      <c r="A420" s="56" t="n">
        <v>3586645</v>
      </c>
      <c r="B420" s="56" t="inlineStr">
        <is>
          <t>TUB-O-N-AUT-AW-PE-25.40X2.500X5.9000</t>
        </is>
      </c>
      <c r="C420" s="56" t="inlineStr">
        <is>
          <t>4527H16216</t>
        </is>
      </c>
      <c r="D420" s="57" t="n">
        <v>12</v>
      </c>
      <c r="E420" s="58" t="n">
        <v>100</v>
      </c>
      <c r="F420" s="57" t="n">
        <v>0.1</v>
      </c>
      <c r="G420" s="56" t="inlineStr">
        <is>
          <t>KG</t>
        </is>
      </c>
      <c r="H420" s="56" t="inlineStr">
        <is>
          <t>R001</t>
        </is>
      </c>
      <c r="I420" s="56" t="inlineStr">
        <is>
          <t>0789</t>
        </is>
      </c>
      <c r="J420" s="56" t="inlineStr">
        <is>
          <t>10</t>
        </is>
      </c>
      <c r="K420" s="57" t="n">
        <v>70.801</v>
      </c>
      <c r="L420" s="56" t="inlineStr">
        <is>
          <t>9518254961/ 1</t>
        </is>
      </c>
      <c r="M420" s="56" t="inlineStr">
        <is>
          <t>1</t>
        </is>
      </c>
      <c r="N420" s="56" t="inlineStr">
        <is>
          <t>MEGH STEELS PRIVATE LIMITED - TVS A</t>
        </is>
      </c>
      <c r="O420" s="58" t="n">
        <v>59</v>
      </c>
      <c r="P420" s="59" t="inlineStr">
        <is>
          <t>31-60</t>
        </is>
      </c>
      <c r="Q420" s="56" t="inlineStr">
        <is>
          <t>Apoorv</t>
        </is>
      </c>
      <c r="U420" s="585" t="n">
        <v>1259405</v>
      </c>
      <c r="V420" t="n">
        <v>19.05</v>
      </c>
      <c r="W420" t="n">
        <v>0</v>
      </c>
      <c r="X420" t="n">
        <v>2.3</v>
      </c>
      <c r="Y420" t="n">
        <v>0.21</v>
      </c>
      <c r="Z420" t="inlineStr"/>
      <c r="AA420" t="inlineStr">
        <is>
          <t>PE</t>
        </is>
      </c>
      <c r="AB420" t="inlineStr">
        <is>
          <t>AW</t>
        </is>
      </c>
      <c r="AC420" t="inlineStr">
        <is>
          <t>19.05-0-2.3-ERW 1-PE</t>
        </is>
      </c>
      <c r="AD420" t="inlineStr">
        <is>
          <t>CTL</t>
        </is>
      </c>
      <c r="AE420" t="inlineStr">
        <is>
          <t>19.05-0-2.3-ERW 1-PE-0.21</t>
        </is>
      </c>
      <c r="AF420" t="n">
        <v>0.19941657225</v>
      </c>
    </row>
    <row r="421">
      <c r="A421" s="56" t="n">
        <v>3586645</v>
      </c>
      <c r="B421" s="56" t="inlineStr">
        <is>
          <t>TUB-O-N-AUT-AW-PE-25.40X2.500X5.9000</t>
        </is>
      </c>
      <c r="C421" s="56" t="inlineStr">
        <is>
          <t>4A05AH2070</t>
        </is>
      </c>
      <c r="D421" s="57" t="n">
        <v>39.962</v>
      </c>
      <c r="E421" s="58" t="n">
        <v>333</v>
      </c>
      <c r="F421" s="57" t="n">
        <v>0.333</v>
      </c>
      <c r="G421" s="56" t="inlineStr">
        <is>
          <t>KG</t>
        </is>
      </c>
      <c r="H421" s="56" t="inlineStr">
        <is>
          <t>R001</t>
        </is>
      </c>
      <c r="I421" s="56" t="inlineStr">
        <is>
          <t>0789</t>
        </is>
      </c>
      <c r="J421" s="56" t="inlineStr">
        <is>
          <t>40</t>
        </is>
      </c>
      <c r="K421" s="57" t="n">
        <v>235.769</v>
      </c>
      <c r="L421" s="56" t="inlineStr">
        <is>
          <t>9518254961/ 1</t>
        </is>
      </c>
      <c r="M421" s="56" t="inlineStr">
        <is>
          <t>1</t>
        </is>
      </c>
      <c r="N421" s="56" t="inlineStr">
        <is>
          <t>MEGH STEELS PRIVATE LIMITED - TVS A</t>
        </is>
      </c>
      <c r="O421" s="58" t="n">
        <v>6</v>
      </c>
      <c r="P421" s="59" t="inlineStr">
        <is>
          <t>0-30</t>
        </is>
      </c>
      <c r="Q421" s="56" t="inlineStr">
        <is>
          <t>Apoorv</t>
        </is>
      </c>
      <c r="U421" t="n">
        <v>3507523</v>
      </c>
      <c r="V421" t="n">
        <v>19.05</v>
      </c>
      <c r="W421" t="n">
        <v>0</v>
      </c>
      <c r="X421" t="n">
        <v>2.3</v>
      </c>
      <c r="Y421" t="n">
        <v>0.21</v>
      </c>
      <c r="Z421" t="inlineStr"/>
      <c r="AA421" t="inlineStr">
        <is>
          <t>PE</t>
        </is>
      </c>
      <c r="AB421" t="inlineStr">
        <is>
          <t>AW</t>
        </is>
      </c>
      <c r="AC421" t="inlineStr">
        <is>
          <t>19.05-0-2.3-ERW 1-PE</t>
        </is>
      </c>
      <c r="AD421" t="inlineStr">
        <is>
          <t>CTL</t>
        </is>
      </c>
      <c r="AE421" t="inlineStr">
        <is>
          <t>19.05-0-2.3-ERW 1-PE-0.21</t>
        </is>
      </c>
      <c r="AF421" t="n">
        <v>0.19941657225</v>
      </c>
    </row>
    <row r="422">
      <c r="A422" s="56" t="n">
        <v>3605739</v>
      </c>
      <c r="B422" s="56" t="inlineStr">
        <is>
          <t>TUB-S-AW-AUT-19.00X19.00X1.010X0.8710</t>
        </is>
      </c>
      <c r="C422" s="56" t="inlineStr">
        <is>
          <t>4B26AH1010</t>
        </is>
      </c>
      <c r="D422" s="57" t="n">
        <v>1503.08</v>
      </c>
      <c r="E422" s="58" t="n">
        <v>732</v>
      </c>
      <c r="F422" s="57" t="n">
        <v>0.732</v>
      </c>
      <c r="G422" s="56" t="inlineStr">
        <is>
          <t>KG</t>
        </is>
      </c>
      <c r="H422" s="56" t="inlineStr">
        <is>
          <t>R001</t>
        </is>
      </c>
      <c r="I422" s="56" t="inlineStr">
        <is>
          <t>0789</t>
        </is>
      </c>
      <c r="J422" s="56" t="inlineStr">
        <is>
          <t>1506</t>
        </is>
      </c>
      <c r="K422" s="57" t="n">
        <v>1310.888</v>
      </c>
      <c r="L422" s="56" t="inlineStr">
        <is>
          <t>9518232440/ 9</t>
        </is>
      </c>
      <c r="M422" s="56" t="inlineStr">
        <is>
          <t>9</t>
        </is>
      </c>
      <c r="N422" s="56" t="inlineStr">
        <is>
          <t>Marathwada Auto Compo Pvt. Ltd.</t>
        </is>
      </c>
      <c r="O422" s="58" t="n">
        <v>7</v>
      </c>
      <c r="P422" s="59" t="inlineStr">
        <is>
          <t>0-30</t>
        </is>
      </c>
      <c r="Q422" s="56" t="inlineStr">
        <is>
          <t>Apoorv</t>
        </is>
      </c>
      <c r="U422" s="585" t="n">
        <v>3781673</v>
      </c>
      <c r="V422" t="n">
        <v>19.05</v>
      </c>
      <c r="W422" t="n">
        <v>0</v>
      </c>
      <c r="X422" t="n">
        <v>2.3</v>
      </c>
      <c r="Y422" t="n">
        <v>0.236</v>
      </c>
      <c r="Z422" t="inlineStr">
        <is>
          <t>TPT</t>
        </is>
      </c>
      <c r="AA422" t="inlineStr">
        <is>
          <t>PE</t>
        </is>
      </c>
      <c r="AB422" t="inlineStr">
        <is>
          <t>AW</t>
        </is>
      </c>
      <c r="AC422" t="inlineStr">
        <is>
          <t>19.05-0-2.3-ERW 1-PE</t>
        </is>
      </c>
      <c r="AD422" t="inlineStr">
        <is>
          <t>CTL</t>
        </is>
      </c>
      <c r="AE422" t="inlineStr">
        <is>
          <t>19.05-0-2.3-ERW 1-PE-0.236</t>
        </is>
      </c>
      <c r="AF422" t="n">
        <v>0.2241062431</v>
      </c>
    </row>
    <row r="423">
      <c r="A423" s="56" t="n">
        <v>3605739</v>
      </c>
      <c r="B423" s="56" t="inlineStr">
        <is>
          <t>TUB-S-AW-AUT-19.00X19.00X1.010X0.8710</t>
        </is>
      </c>
      <c r="C423" s="56" t="inlineStr">
        <is>
          <t>4C21H40195</t>
        </is>
      </c>
      <c r="D423" s="57" t="n">
        <v>534.152</v>
      </c>
      <c r="E423" s="57" t="n">
        <v>260.132</v>
      </c>
      <c r="F423" s="57" t="n">
        <v>0.260132</v>
      </c>
      <c r="G423" s="56" t="inlineStr">
        <is>
          <t>KG</t>
        </is>
      </c>
      <c r="H423" s="56" t="inlineStr">
        <is>
          <t>R001</t>
        </is>
      </c>
      <c r="I423" s="56" t="inlineStr">
        <is>
          <t>0789</t>
        </is>
      </c>
      <c r="J423" s="56" t="inlineStr">
        <is>
          <t>700</t>
        </is>
      </c>
      <c r="K423" s="57" t="n">
        <v>465.852</v>
      </c>
      <c r="L423" s="56" t="inlineStr">
        <is>
          <t>9518315452/ 9</t>
        </is>
      </c>
      <c r="M423" s="56" t="inlineStr">
        <is>
          <t>9</t>
        </is>
      </c>
      <c r="N423" s="56" t="inlineStr">
        <is>
          <t>Marathwada Auto Compo Pvt. Ltd.</t>
        </is>
      </c>
      <c r="O423" s="58" t="n">
        <v>13</v>
      </c>
      <c r="P423" s="59" t="inlineStr">
        <is>
          <t>0-30</t>
        </is>
      </c>
      <c r="Q423" s="56" t="inlineStr">
        <is>
          <t>Apoorv</t>
        </is>
      </c>
      <c r="U423" s="585" t="n">
        <v>1940306</v>
      </c>
      <c r="V423" t="n">
        <v>19.05</v>
      </c>
      <c r="W423" t="n">
        <v>0</v>
      </c>
      <c r="X423" t="n">
        <v>2.3</v>
      </c>
      <c r="Y423" t="n">
        <v>0.236</v>
      </c>
      <c r="Z423" t="inlineStr">
        <is>
          <t>GR1</t>
        </is>
      </c>
      <c r="AA423" t="inlineStr">
        <is>
          <t>PE</t>
        </is>
      </c>
      <c r="AB423" t="inlineStr">
        <is>
          <t>AW</t>
        </is>
      </c>
      <c r="AC423" t="inlineStr">
        <is>
          <t>19.05-0-2.3-ERW 1-PE</t>
        </is>
      </c>
      <c r="AD423" t="inlineStr">
        <is>
          <t>CTL</t>
        </is>
      </c>
      <c r="AE423" t="inlineStr">
        <is>
          <t>19.05-0-2.3-ERW 1-PE-0.236</t>
        </is>
      </c>
      <c r="AF423" t="n">
        <v>0.2241062431</v>
      </c>
    </row>
    <row r="424">
      <c r="A424" s="56" t="n">
        <v>3605740</v>
      </c>
      <c r="B424" s="56" t="inlineStr">
        <is>
          <t>TUB-S-AW-AUT-19.00X19.00X1.010X0.6750</t>
        </is>
      </c>
      <c r="C424" s="56" t="inlineStr">
        <is>
          <t>4A19BH1080</t>
        </is>
      </c>
      <c r="D424" s="57" t="n">
        <v>1479.939</v>
      </c>
      <c r="E424" s="57" t="n">
        <v>557.937</v>
      </c>
      <c r="F424" s="57" t="n">
        <v>0.557937</v>
      </c>
      <c r="G424" s="56" t="inlineStr">
        <is>
          <t>KG</t>
        </is>
      </c>
      <c r="H424" s="56" t="inlineStr">
        <is>
          <t>R001</t>
        </is>
      </c>
      <c r="I424" s="56" t="inlineStr">
        <is>
          <t>0789</t>
        </is>
      </c>
      <c r="J424" s="56" t="inlineStr">
        <is>
          <t>4200</t>
        </is>
      </c>
      <c r="K424" s="57" t="n">
        <v>999.171</v>
      </c>
      <c r="L424" s="56" t="inlineStr">
        <is>
          <t>9518315452/ 11</t>
        </is>
      </c>
      <c r="M424" s="56" t="inlineStr">
        <is>
          <t>11</t>
        </is>
      </c>
      <c r="N424" s="56" t="inlineStr">
        <is>
          <t>Marathwada Auto Compo Pvt. Ltd.</t>
        </is>
      </c>
      <c r="O424" s="58" t="n">
        <v>60</v>
      </c>
      <c r="P424" s="59" t="inlineStr">
        <is>
          <t>31-60</t>
        </is>
      </c>
      <c r="Q424" s="56" t="inlineStr">
        <is>
          <t>Apoorv</t>
        </is>
      </c>
      <c r="U424" s="585" t="n">
        <v>511879</v>
      </c>
      <c r="V424" t="n">
        <v>19.05</v>
      </c>
      <c r="W424" t="n">
        <v>0</v>
      </c>
      <c r="X424" t="n">
        <v>2.3</v>
      </c>
      <c r="Y424" t="n">
        <v>0.236</v>
      </c>
      <c r="Z424" t="inlineStr"/>
      <c r="AA424" t="inlineStr">
        <is>
          <t>PE</t>
        </is>
      </c>
      <c r="AB424" t="inlineStr">
        <is>
          <t>AW</t>
        </is>
      </c>
      <c r="AC424" t="inlineStr">
        <is>
          <t>19.05-0-2.3-ERW 1-PE</t>
        </is>
      </c>
      <c r="AD424" t="inlineStr">
        <is>
          <t>CTL</t>
        </is>
      </c>
      <c r="AE424" t="inlineStr">
        <is>
          <t>19.05-0-2.3-ERW 1-PE-0.236</t>
        </is>
      </c>
      <c r="AF424" t="n">
        <v>0.2241062431</v>
      </c>
    </row>
    <row r="425">
      <c r="A425" s="56" t="n">
        <v>3605740</v>
      </c>
      <c r="B425" s="56" t="inlineStr">
        <is>
          <t>TUB-S-AW-AUT-19.00X19.00X1.010X0.6750</t>
        </is>
      </c>
      <c r="C425" s="56" t="inlineStr">
        <is>
          <t>4B26AH1030</t>
        </is>
      </c>
      <c r="D425" s="57" t="n">
        <v>1000</v>
      </c>
      <c r="E425" s="58" t="n">
        <v>377</v>
      </c>
      <c r="F425" s="57" t="n">
        <v>0.377</v>
      </c>
      <c r="G425" s="56" t="inlineStr">
        <is>
          <t>KG</t>
        </is>
      </c>
      <c r="H425" s="56" t="inlineStr">
        <is>
          <t>R001</t>
        </is>
      </c>
      <c r="I425" s="56" t="inlineStr">
        <is>
          <t>0789</t>
        </is>
      </c>
      <c r="J425" s="56" t="inlineStr"/>
      <c r="K425" s="57" t="n">
        <v>675.143</v>
      </c>
      <c r="L425" s="56" t="inlineStr">
        <is>
          <t>9518315452/ 11</t>
        </is>
      </c>
      <c r="M425" s="56" t="inlineStr">
        <is>
          <t>11</t>
        </is>
      </c>
      <c r="N425" s="56" t="inlineStr">
        <is>
          <t>Marathwada Auto Compo Pvt. Ltd.</t>
        </is>
      </c>
      <c r="O425" s="58" t="n">
        <v>35</v>
      </c>
      <c r="P425" s="59" t="inlineStr">
        <is>
          <t>31-60</t>
        </is>
      </c>
      <c r="Q425" s="56" t="inlineStr">
        <is>
          <t>Apoorv</t>
        </is>
      </c>
      <c r="U425" s="585" t="n">
        <v>437147</v>
      </c>
      <c r="V425" t="n">
        <v>19.05</v>
      </c>
      <c r="W425" t="n">
        <v>0</v>
      </c>
      <c r="X425" t="n">
        <v>2.3</v>
      </c>
      <c r="Y425" t="n">
        <v>0.252</v>
      </c>
      <c r="Z425" t="inlineStr">
        <is>
          <t>TPT</t>
        </is>
      </c>
      <c r="AA425" t="inlineStr">
        <is>
          <t>PE</t>
        </is>
      </c>
      <c r="AB425" t="inlineStr">
        <is>
          <t>AW</t>
        </is>
      </c>
      <c r="AC425" t="inlineStr">
        <is>
          <t>19.05-0-2.3-ERW 1-PE</t>
        </is>
      </c>
      <c r="AD425" t="inlineStr">
        <is>
          <t>CTL</t>
        </is>
      </c>
      <c r="AE425" t="inlineStr">
        <is>
          <t>19.05-0-2.3-ERW 1-PE-0.252</t>
        </is>
      </c>
      <c r="AF425" t="n">
        <v>0.2392998867</v>
      </c>
    </row>
    <row r="426">
      <c r="A426" s="56" t="n">
        <v>3616912</v>
      </c>
      <c r="B426" s="56" t="inlineStr">
        <is>
          <t>TUB-R-AW-AUT-40.00X30.00X1.600X0.8520</t>
        </is>
      </c>
      <c r="C426" s="56" t="inlineStr">
        <is>
          <t>PV24030070</t>
        </is>
      </c>
      <c r="D426" s="57" t="n">
        <v>92.24299999999999</v>
      </c>
      <c r="E426" s="57" t="n">
        <v>133.014</v>
      </c>
      <c r="F426" s="57" t="n">
        <v>0.133014</v>
      </c>
      <c r="G426" s="56" t="inlineStr">
        <is>
          <t>KG</t>
        </is>
      </c>
      <c r="H426" s="56" t="inlineStr">
        <is>
          <t>R001</t>
        </is>
      </c>
      <c r="I426" s="56" t="inlineStr">
        <is>
          <t>0789</t>
        </is>
      </c>
      <c r="J426" s="56" t="inlineStr"/>
      <c r="K426" s="57" t="n">
        <v>78.64100000000001</v>
      </c>
      <c r="L426" s="56" t="inlineStr"/>
      <c r="M426" s="56" t="inlineStr">
        <is>
          <t>0</t>
        </is>
      </c>
      <c r="N426" s="56" t="inlineStr">
        <is>
          <t>Rajsriya Automotive Industries(P)</t>
        </is>
      </c>
      <c r="O426" s="58" t="n">
        <v>262</v>
      </c>
      <c r="P426" s="59" t="inlineStr">
        <is>
          <t>ABOVE 90</t>
        </is>
      </c>
      <c r="Q426" s="56" t="inlineStr">
        <is>
          <t>Apoorv</t>
        </is>
      </c>
      <c r="U426" s="585" t="n">
        <v>1940307</v>
      </c>
      <c r="V426" t="n">
        <v>19.05</v>
      </c>
      <c r="W426" t="n">
        <v>0</v>
      </c>
      <c r="X426" t="n">
        <v>2.3</v>
      </c>
      <c r="Y426" t="n">
        <v>0.252</v>
      </c>
      <c r="Z426" t="inlineStr">
        <is>
          <t>GR1</t>
        </is>
      </c>
      <c r="AA426" t="inlineStr">
        <is>
          <t>PE</t>
        </is>
      </c>
      <c r="AB426" t="inlineStr">
        <is>
          <t>AW</t>
        </is>
      </c>
      <c r="AC426" t="inlineStr">
        <is>
          <t>19.05-0-2.3-ERW 1-PE</t>
        </is>
      </c>
      <c r="AD426" t="inlineStr">
        <is>
          <t>CTL</t>
        </is>
      </c>
      <c r="AE426" t="inlineStr">
        <is>
          <t>19.05-0-2.3-ERW 1-PE-0.252</t>
        </is>
      </c>
      <c r="AF426" t="n">
        <v>0.2392998867</v>
      </c>
    </row>
    <row r="427">
      <c r="A427" s="56" t="n">
        <v>3673011</v>
      </c>
      <c r="B427" s="56" t="inlineStr">
        <is>
          <t>TUB-O-N-AUT-AW-PE-22.23X1.600X1.3040</t>
        </is>
      </c>
      <c r="C427" s="56" t="inlineStr">
        <is>
          <t>5108H41201</t>
        </is>
      </c>
      <c r="D427" s="57" t="n">
        <v>1488.701</v>
      </c>
      <c r="E427" s="58" t="n">
        <v>1581</v>
      </c>
      <c r="F427" s="57" t="n">
        <v>1.581</v>
      </c>
      <c r="G427" s="56" t="inlineStr">
        <is>
          <t>KG</t>
        </is>
      </c>
      <c r="H427" s="56" t="inlineStr">
        <is>
          <t>R001</t>
        </is>
      </c>
      <c r="I427" s="56" t="inlineStr">
        <is>
          <t>0789</t>
        </is>
      </c>
      <c r="J427" s="56" t="inlineStr">
        <is>
          <t>1489</t>
        </is>
      </c>
      <c r="K427" s="57" t="n">
        <v>1941.306</v>
      </c>
      <c r="L427" s="56" t="inlineStr">
        <is>
          <t>9518137189/ 24</t>
        </is>
      </c>
      <c r="M427" s="56" t="inlineStr">
        <is>
          <t>24</t>
        </is>
      </c>
      <c r="N427" s="56" t="inlineStr">
        <is>
          <t>SRIKAM HITECH ENGINEERING PRIVATE L</t>
        </is>
      </c>
      <c r="O427" s="58" t="n">
        <v>5</v>
      </c>
      <c r="P427" s="59" t="inlineStr">
        <is>
          <t>0-30</t>
        </is>
      </c>
      <c r="Q427" s="56" t="inlineStr">
        <is>
          <t>Apoorv</t>
        </is>
      </c>
      <c r="U427" t="n">
        <v>3783914</v>
      </c>
      <c r="V427" t="n">
        <v>19.05</v>
      </c>
      <c r="W427" t="n">
        <v>0</v>
      </c>
      <c r="X427" t="n">
        <v>2.3</v>
      </c>
      <c r="Y427" t="n">
        <v>0.252</v>
      </c>
      <c r="Z427" t="inlineStr">
        <is>
          <t>NORMAL</t>
        </is>
      </c>
      <c r="AA427" t="inlineStr">
        <is>
          <t>PE</t>
        </is>
      </c>
      <c r="AB427" t="inlineStr">
        <is>
          <t>AW</t>
        </is>
      </c>
      <c r="AC427" t="inlineStr">
        <is>
          <t>19.05-0-2.3-ERW 1-PE</t>
        </is>
      </c>
      <c r="AD427" t="inlineStr">
        <is>
          <t>CTL</t>
        </is>
      </c>
      <c r="AE427" t="inlineStr">
        <is>
          <t>19.05-0-2.3-ERW 1-PE-0.252</t>
        </is>
      </c>
      <c r="AF427" t="n">
        <v>0.2392998867</v>
      </c>
    </row>
    <row r="428">
      <c r="A428" s="56" t="n">
        <v>3677047</v>
      </c>
      <c r="B428" s="56" t="inlineStr">
        <is>
          <t>PT2-O-N-AUT-AW-PE-25.40X1.600X0.4120</t>
        </is>
      </c>
      <c r="C428" s="56" t="inlineStr">
        <is>
          <t>4616AH1010</t>
        </is>
      </c>
      <c r="D428" s="57" t="n">
        <v>5598.048</v>
      </c>
      <c r="E428" s="58" t="n">
        <v>2090</v>
      </c>
      <c r="F428" s="57" t="n">
        <v>2.09</v>
      </c>
      <c r="G428" s="56" t="inlineStr">
        <is>
          <t>KG</t>
        </is>
      </c>
      <c r="H428" s="56" t="inlineStr">
        <is>
          <t>R001</t>
        </is>
      </c>
      <c r="I428" s="56" t="inlineStr">
        <is>
          <t>0789</t>
        </is>
      </c>
      <c r="J428" s="56" t="inlineStr">
        <is>
          <t>5400</t>
        </is>
      </c>
      <c r="K428" s="57" t="n">
        <v>2306.419</v>
      </c>
      <c r="L428" s="56" t="inlineStr">
        <is>
          <t>9517814654/ 11</t>
        </is>
      </c>
      <c r="M428" s="56" t="inlineStr">
        <is>
          <t>11</t>
        </is>
      </c>
      <c r="N428" s="56" t="inlineStr">
        <is>
          <t>Neel Metal Products Limited</t>
        </is>
      </c>
      <c r="O428" s="58" t="n">
        <v>202</v>
      </c>
      <c r="P428" s="59" t="inlineStr">
        <is>
          <t>ABOVE 90</t>
        </is>
      </c>
      <c r="Q428" s="56" t="inlineStr">
        <is>
          <t>Apoorv</t>
        </is>
      </c>
      <c r="U428" s="585" t="n">
        <v>2427712</v>
      </c>
      <c r="V428" t="n">
        <v>19.05</v>
      </c>
      <c r="W428" t="n">
        <v>0</v>
      </c>
      <c r="X428" t="n">
        <v>2.3</v>
      </c>
      <c r="Y428" t="n">
        <v>0.255</v>
      </c>
      <c r="Z428" t="inlineStr">
        <is>
          <t>HROP</t>
        </is>
      </c>
      <c r="AA428" t="inlineStr">
        <is>
          <t>PE</t>
        </is>
      </c>
      <c r="AB428" t="inlineStr">
        <is>
          <t>AW</t>
        </is>
      </c>
      <c r="AC428" t="inlineStr">
        <is>
          <t>19.05-0-2.3-ERW 1-PE</t>
        </is>
      </c>
      <c r="AD428" t="inlineStr">
        <is>
          <t>CTL</t>
        </is>
      </c>
      <c r="AE428" t="inlineStr">
        <is>
          <t>19.05-0-2.3-ERW 1-PE-0.255</t>
        </is>
      </c>
      <c r="AF428" t="n">
        <v>0.242148694875</v>
      </c>
    </row>
    <row r="429">
      <c r="A429" s="56" t="n">
        <v>3677047</v>
      </c>
      <c r="B429" s="56" t="inlineStr">
        <is>
          <t>PT2-O-N-AUT-AW-PE-25.40X1.600X0.4120</t>
        </is>
      </c>
      <c r="C429" s="56" t="inlineStr">
        <is>
          <t>4616AH1020</t>
        </is>
      </c>
      <c r="D429" s="57" t="n">
        <v>3990.953</v>
      </c>
      <c r="E429" s="58" t="n">
        <v>1490</v>
      </c>
      <c r="F429" s="57" t="n">
        <v>1.49</v>
      </c>
      <c r="G429" s="56" t="inlineStr">
        <is>
          <t>KG</t>
        </is>
      </c>
      <c r="H429" s="56" t="inlineStr">
        <is>
          <t>R001</t>
        </is>
      </c>
      <c r="I429" s="56" t="inlineStr">
        <is>
          <t>0789</t>
        </is>
      </c>
      <c r="J429" s="56" t="inlineStr">
        <is>
          <t>3850</t>
        </is>
      </c>
      <c r="K429" s="57" t="n">
        <v>1644.289</v>
      </c>
      <c r="L429" s="56" t="inlineStr">
        <is>
          <t>9517814654/ 11</t>
        </is>
      </c>
      <c r="M429" s="56" t="inlineStr">
        <is>
          <t>11</t>
        </is>
      </c>
      <c r="N429" s="56" t="inlineStr">
        <is>
          <t>Neel Metal Products Limited</t>
        </is>
      </c>
      <c r="O429" s="58" t="n">
        <v>202</v>
      </c>
      <c r="P429" s="59" t="inlineStr">
        <is>
          <t>ABOVE 90</t>
        </is>
      </c>
      <c r="Q429" s="56" t="inlineStr">
        <is>
          <t>Apoorv</t>
        </is>
      </c>
      <c r="U429" s="585" t="n">
        <v>1442308</v>
      </c>
      <c r="V429" t="n">
        <v>19.05</v>
      </c>
      <c r="W429" t="n">
        <v>0</v>
      </c>
      <c r="X429" t="n">
        <v>2.3</v>
      </c>
      <c r="Y429" t="n">
        <v>0.255</v>
      </c>
      <c r="Z429" t="inlineStr"/>
      <c r="AA429" t="inlineStr">
        <is>
          <t>PE</t>
        </is>
      </c>
      <c r="AB429" t="inlineStr">
        <is>
          <t>AW</t>
        </is>
      </c>
      <c r="AC429" t="inlineStr">
        <is>
          <t>19.05-0-2.3-ERW 1-PE</t>
        </is>
      </c>
      <c r="AD429" t="inlineStr">
        <is>
          <t>CTL</t>
        </is>
      </c>
      <c r="AE429" t="inlineStr">
        <is>
          <t>19.05-0-2.3-ERW 1-PE-0.255</t>
        </is>
      </c>
      <c r="AF429" t="n">
        <v>0.242148694875</v>
      </c>
    </row>
    <row r="430">
      <c r="A430" s="56" t="n">
        <v>3677047</v>
      </c>
      <c r="B430" s="56" t="inlineStr">
        <is>
          <t>PT2-O-N-AUT-AW-PE-25.40X1.600X0.4120</t>
        </is>
      </c>
      <c r="C430" s="56" t="inlineStr">
        <is>
          <t>4711AH1120</t>
        </is>
      </c>
      <c r="D430" s="57" t="n">
        <v>5758.757</v>
      </c>
      <c r="E430" s="58" t="n">
        <v>2150</v>
      </c>
      <c r="F430" s="57" t="n">
        <v>2.15</v>
      </c>
      <c r="G430" s="56" t="inlineStr">
        <is>
          <t>KG</t>
        </is>
      </c>
      <c r="H430" s="56" t="inlineStr">
        <is>
          <t>R001</t>
        </is>
      </c>
      <c r="I430" s="56" t="inlineStr">
        <is>
          <t>0789</t>
        </is>
      </c>
      <c r="J430" s="56" t="inlineStr">
        <is>
          <t>5556</t>
        </is>
      </c>
      <c r="K430" s="57" t="n">
        <v>2372.632</v>
      </c>
      <c r="L430" s="56" t="inlineStr">
        <is>
          <t>9517917886/ 13</t>
        </is>
      </c>
      <c r="M430" s="56" t="inlineStr">
        <is>
          <t>13</t>
        </is>
      </c>
      <c r="N430" s="56" t="inlineStr">
        <is>
          <t>Neel Metal Products Limited</t>
        </is>
      </c>
      <c r="O430" s="58" t="n">
        <v>182</v>
      </c>
      <c r="P430" s="59" t="inlineStr">
        <is>
          <t>ABOVE 90</t>
        </is>
      </c>
      <c r="Q430" s="56" t="inlineStr">
        <is>
          <t>Apoorv</t>
        </is>
      </c>
      <c r="U430" s="585" t="n">
        <v>3508993</v>
      </c>
      <c r="V430" t="n">
        <v>19.05</v>
      </c>
      <c r="W430" t="n">
        <v>0</v>
      </c>
      <c r="X430" t="n">
        <v>2.3</v>
      </c>
      <c r="Y430" t="n">
        <v>0.255</v>
      </c>
      <c r="Z430" t="inlineStr"/>
      <c r="AA430" t="inlineStr">
        <is>
          <t>PE</t>
        </is>
      </c>
      <c r="AB430" t="inlineStr">
        <is>
          <t>AW</t>
        </is>
      </c>
      <c r="AC430" t="inlineStr">
        <is>
          <t>19.05-0-2.3-ERW 1-PE</t>
        </is>
      </c>
      <c r="AD430" t="inlineStr">
        <is>
          <t>CTL</t>
        </is>
      </c>
      <c r="AE430" t="inlineStr">
        <is>
          <t>19.05-0-2.3-ERW 1-PE-0.255</t>
        </is>
      </c>
      <c r="AF430" t="n">
        <v>0.242148694875</v>
      </c>
    </row>
    <row r="431">
      <c r="A431" s="56" t="n">
        <v>3677047</v>
      </c>
      <c r="B431" s="56" t="inlineStr">
        <is>
          <t>PT2-O-N-AUT-AW-PE-25.40X1.600X0.4120</t>
        </is>
      </c>
      <c r="C431" s="56" t="inlineStr">
        <is>
          <t>4816CH2030</t>
        </is>
      </c>
      <c r="D431" s="57" t="n">
        <v>5956.966</v>
      </c>
      <c r="E431" s="58" t="n">
        <v>2224</v>
      </c>
      <c r="F431" s="57" t="n">
        <v>2.224</v>
      </c>
      <c r="G431" s="56" t="inlineStr">
        <is>
          <t>KG</t>
        </is>
      </c>
      <c r="H431" s="56" t="inlineStr">
        <is>
          <t>R001</t>
        </is>
      </c>
      <c r="I431" s="56" t="inlineStr">
        <is>
          <t>0789</t>
        </is>
      </c>
      <c r="J431" s="56" t="inlineStr">
        <is>
          <t>5746</t>
        </is>
      </c>
      <c r="K431" s="57" t="n">
        <v>2454.295</v>
      </c>
      <c r="L431" s="56" t="inlineStr">
        <is>
          <t>9517989672/ 10</t>
        </is>
      </c>
      <c r="M431" s="56" t="inlineStr">
        <is>
          <t>10</t>
        </is>
      </c>
      <c r="N431" s="56" t="inlineStr">
        <is>
          <t>Neel Metal Products Limited</t>
        </is>
      </c>
      <c r="O431" s="58" t="n">
        <v>142</v>
      </c>
      <c r="P431" s="59" t="inlineStr">
        <is>
          <t>ABOVE 90</t>
        </is>
      </c>
      <c r="Q431" s="56" t="inlineStr">
        <is>
          <t>Apoorv</t>
        </is>
      </c>
      <c r="U431" s="585" t="n">
        <v>1300148</v>
      </c>
      <c r="V431" t="n">
        <v>19.05</v>
      </c>
      <c r="W431" t="n">
        <v>0</v>
      </c>
      <c r="X431" t="n">
        <v>2.3</v>
      </c>
      <c r="Y431" t="n">
        <v>0.265</v>
      </c>
      <c r="Z431" t="inlineStr"/>
      <c r="AA431" t="inlineStr">
        <is>
          <t>PE</t>
        </is>
      </c>
      <c r="AB431" t="inlineStr">
        <is>
          <t>AW</t>
        </is>
      </c>
      <c r="AC431" t="inlineStr">
        <is>
          <t>19.05-0-2.3-ERW 1-PE</t>
        </is>
      </c>
      <c r="AD431" t="inlineStr">
        <is>
          <t>CTL</t>
        </is>
      </c>
      <c r="AE431" t="inlineStr">
        <is>
          <t>19.05-0-2.3-ERW 1-PE-0.265</t>
        </is>
      </c>
      <c r="AF431" t="n">
        <v>0.251644722125</v>
      </c>
    </row>
    <row r="432">
      <c r="A432" s="56" t="n">
        <v>3677064</v>
      </c>
      <c r="B432" s="56" t="inlineStr">
        <is>
          <t>CUT-O-N-AUT-AW-PE-34.93X2.000X1.2800</t>
        </is>
      </c>
      <c r="C432" s="56" t="inlineStr">
        <is>
          <t>4511AH2010</t>
        </is>
      </c>
      <c r="D432" s="57" t="n">
        <v>28.717</v>
      </c>
      <c r="E432" s="57" t="n">
        <v>58.298</v>
      </c>
      <c r="F432" s="57" t="n">
        <v>0.058298</v>
      </c>
      <c r="G432" s="56" t="inlineStr">
        <is>
          <t>KG</t>
        </is>
      </c>
      <c r="H432" s="56" t="inlineStr">
        <is>
          <t>R001</t>
        </is>
      </c>
      <c r="I432" s="56" t="inlineStr">
        <is>
          <t>0789</t>
        </is>
      </c>
      <c r="J432" s="56" t="inlineStr">
        <is>
          <t>732</t>
        </is>
      </c>
      <c r="K432" s="57" t="n">
        <v>36.758</v>
      </c>
      <c r="L432" s="56" t="inlineStr">
        <is>
          <t>9517773733/ 2</t>
        </is>
      </c>
      <c r="M432" s="56" t="inlineStr">
        <is>
          <t>2</t>
        </is>
      </c>
      <c r="N432" s="56" t="inlineStr">
        <is>
          <t>KNITVEL NEEDLES P LTD</t>
        </is>
      </c>
      <c r="O432" s="58" t="n">
        <v>245</v>
      </c>
      <c r="P432" s="59" t="inlineStr">
        <is>
          <t>ABOVE 90</t>
        </is>
      </c>
      <c r="Q432" s="56" t="inlineStr">
        <is>
          <t>Diwakar</t>
        </is>
      </c>
      <c r="U432" s="585" t="n">
        <v>1940309</v>
      </c>
      <c r="V432" t="n">
        <v>19.05</v>
      </c>
      <c r="W432" t="n">
        <v>0</v>
      </c>
      <c r="X432" t="n">
        <v>2.3</v>
      </c>
      <c r="Y432" t="n">
        <v>0.265</v>
      </c>
      <c r="Z432" t="inlineStr">
        <is>
          <t>GR1</t>
        </is>
      </c>
      <c r="AA432" t="inlineStr">
        <is>
          <t>PE</t>
        </is>
      </c>
      <c r="AB432" t="inlineStr">
        <is>
          <t>AW</t>
        </is>
      </c>
      <c r="AC432" t="inlineStr">
        <is>
          <t>19.05-0-2.3-ERW 1-PE</t>
        </is>
      </c>
      <c r="AD432" t="inlineStr">
        <is>
          <t>CTL</t>
        </is>
      </c>
      <c r="AE432" t="inlineStr">
        <is>
          <t>19.05-0-2.3-ERW 1-PE-0.265</t>
        </is>
      </c>
      <c r="AF432" t="n">
        <v>0.251644722125</v>
      </c>
    </row>
    <row r="433">
      <c r="A433" s="56" t="n">
        <v>3677064</v>
      </c>
      <c r="B433" s="56" t="inlineStr">
        <is>
          <t>CUT-O-N-AUT-AW-PE-34.93X2.000X1.2800</t>
        </is>
      </c>
      <c r="C433" s="56" t="inlineStr">
        <is>
          <t>4616BH2090</t>
        </is>
      </c>
      <c r="D433" s="57" t="n">
        <v>108.007</v>
      </c>
      <c r="E433" s="57" t="n">
        <v>219.264</v>
      </c>
      <c r="F433" s="57" t="n">
        <v>0.219264</v>
      </c>
      <c r="G433" s="56" t="inlineStr">
        <is>
          <t>KG</t>
        </is>
      </c>
      <c r="H433" s="56" t="inlineStr">
        <is>
          <t>R001</t>
        </is>
      </c>
      <c r="I433" s="56" t="inlineStr">
        <is>
          <t>0789</t>
        </is>
      </c>
      <c r="J433" s="56" t="inlineStr">
        <is>
          <t>940</t>
        </is>
      </c>
      <c r="K433" s="57" t="n">
        <v>138.25</v>
      </c>
      <c r="L433" s="56" t="inlineStr">
        <is>
          <t>9517862455/ 1</t>
        </is>
      </c>
      <c r="M433" s="56" t="inlineStr">
        <is>
          <t>1</t>
        </is>
      </c>
      <c r="N433" s="56" t="inlineStr">
        <is>
          <t>KNITVEL NEEDLES P LTD</t>
        </is>
      </c>
      <c r="O433" s="58" t="n">
        <v>209</v>
      </c>
      <c r="P433" s="59" t="inlineStr">
        <is>
          <t>ABOVE 90</t>
        </is>
      </c>
      <c r="Q433" s="56" t="inlineStr">
        <is>
          <t>Diwakar</t>
        </is>
      </c>
      <c r="U433" t="n">
        <v>3507718</v>
      </c>
      <c r="V433" t="n">
        <v>19.05</v>
      </c>
      <c r="W433" t="n">
        <v>0</v>
      </c>
      <c r="X433" t="n">
        <v>2.3</v>
      </c>
      <c r="Y433" t="n">
        <v>0.265</v>
      </c>
      <c r="Z433" t="inlineStr"/>
      <c r="AA433" t="inlineStr">
        <is>
          <t>PE</t>
        </is>
      </c>
      <c r="AB433" t="inlineStr">
        <is>
          <t>AW</t>
        </is>
      </c>
      <c r="AC433" t="inlineStr">
        <is>
          <t>19.05-0-2.3-ERW 1-PE</t>
        </is>
      </c>
      <c r="AD433" t="inlineStr">
        <is>
          <t>CTL</t>
        </is>
      </c>
      <c r="AE433" t="inlineStr">
        <is>
          <t>19.05-0-2.3-ERW 1-PE-0.265</t>
        </is>
      </c>
      <c r="AF433" t="n">
        <v>0.251644722125</v>
      </c>
    </row>
    <row r="434">
      <c r="A434" s="56" t="n">
        <v>3706751</v>
      </c>
      <c r="B434" s="56" t="inlineStr">
        <is>
          <t>CUT-O-N-AUT-AW-PE-15.88X2.000X0.1600</t>
        </is>
      </c>
      <c r="C434" s="56" t="inlineStr">
        <is>
          <t>4C26H40494</t>
        </is>
      </c>
      <c r="D434" s="57" t="n">
        <v>1609.257</v>
      </c>
      <c r="E434" s="57" t="n">
        <v>168.668</v>
      </c>
      <c r="F434" s="57" t="n">
        <v>0.168668</v>
      </c>
      <c r="G434" s="56" t="inlineStr">
        <is>
          <t>KG</t>
        </is>
      </c>
      <c r="H434" s="56" t="inlineStr">
        <is>
          <t>R001</t>
        </is>
      </c>
      <c r="I434" s="56" t="inlineStr">
        <is>
          <t>0789</t>
        </is>
      </c>
      <c r="J434" s="56" t="inlineStr">
        <is>
          <t>15200</t>
        </is>
      </c>
      <c r="K434" s="57" t="n">
        <v>257.487</v>
      </c>
      <c r="L434" s="56" t="inlineStr">
        <is>
          <t>9518390450/ 10</t>
        </is>
      </c>
      <c r="M434" s="56" t="inlineStr">
        <is>
          <t>10</t>
        </is>
      </c>
      <c r="N434" s="56" t="inlineStr">
        <is>
          <t>SRIKAM HITECH ENGINEERING PRIVATE L</t>
        </is>
      </c>
      <c r="O434" s="58" t="n">
        <v>18</v>
      </c>
      <c r="P434" s="59" t="inlineStr">
        <is>
          <t>0-30</t>
        </is>
      </c>
      <c r="Q434" s="56" t="inlineStr">
        <is>
          <t>Apoorv</t>
        </is>
      </c>
      <c r="U434" s="585" t="n">
        <v>3508992</v>
      </c>
      <c r="V434" t="n">
        <v>19.05</v>
      </c>
      <c r="W434" t="n">
        <v>0</v>
      </c>
      <c r="X434" t="n">
        <v>2.3</v>
      </c>
      <c r="Y434" t="n">
        <v>0.275</v>
      </c>
      <c r="Z434" t="inlineStr"/>
      <c r="AA434" t="inlineStr">
        <is>
          <t>PE</t>
        </is>
      </c>
      <c r="AB434" t="inlineStr">
        <is>
          <t>AW</t>
        </is>
      </c>
      <c r="AC434" t="inlineStr">
        <is>
          <t>19.05-0-2.3-ERW 1-PE</t>
        </is>
      </c>
      <c r="AD434" t="inlineStr">
        <is>
          <t>CTL</t>
        </is>
      </c>
      <c r="AE434" t="inlineStr">
        <is>
          <t>19.05-0-2.3-ERW 1-PE-0.275</t>
        </is>
      </c>
      <c r="AF434" t="n">
        <v>0.261140749375</v>
      </c>
    </row>
    <row r="435">
      <c r="A435" s="56" t="n">
        <v>3712521</v>
      </c>
      <c r="B435" s="56" t="inlineStr">
        <is>
          <t>CUT-R-AW-RHS-40.00X30.00X1.600X0.8350</t>
        </is>
      </c>
      <c r="C435" s="56" t="inlineStr">
        <is>
          <t>4B24BH2100</t>
        </is>
      </c>
      <c r="D435" s="57" t="n">
        <v>50</v>
      </c>
      <c r="E435" s="57" t="n">
        <v>70.61499999999999</v>
      </c>
      <c r="F435" s="57" t="n">
        <v>0.070615</v>
      </c>
      <c r="G435" s="56" t="inlineStr">
        <is>
          <t>KG</t>
        </is>
      </c>
      <c r="H435" s="56" t="inlineStr">
        <is>
          <t>R001</t>
        </is>
      </c>
      <c r="I435" s="56" t="inlineStr">
        <is>
          <t>0789</t>
        </is>
      </c>
      <c r="J435" s="56" t="inlineStr"/>
      <c r="K435" s="57" t="n">
        <v>41.749</v>
      </c>
      <c r="L435" s="56" t="inlineStr">
        <is>
          <t>9518198323/ 3</t>
        </is>
      </c>
      <c r="M435" s="56" t="inlineStr">
        <is>
          <t>3</t>
        </is>
      </c>
      <c r="N435" s="56" t="inlineStr">
        <is>
          <t>Rajsriya Automotive Industries(P)</t>
        </is>
      </c>
      <c r="O435" s="58" t="n">
        <v>2</v>
      </c>
      <c r="P435" s="59" t="inlineStr">
        <is>
          <t>0-30</t>
        </is>
      </c>
      <c r="Q435" s="56" t="inlineStr">
        <is>
          <t>Apoorv</t>
        </is>
      </c>
      <c r="U435" s="585" t="n">
        <v>437156</v>
      </c>
      <c r="V435" t="n">
        <v>19.05</v>
      </c>
      <c r="W435" t="n">
        <v>0</v>
      </c>
      <c r="X435" t="n">
        <v>2.3</v>
      </c>
      <c r="Y435" t="n">
        <v>0.279</v>
      </c>
      <c r="Z435" t="inlineStr">
        <is>
          <t>TPT</t>
        </is>
      </c>
      <c r="AA435" t="inlineStr">
        <is>
          <t>PE</t>
        </is>
      </c>
      <c r="AB435" t="inlineStr">
        <is>
          <t>AW</t>
        </is>
      </c>
      <c r="AC435" t="inlineStr">
        <is>
          <t>19.05-0-2.3-ERW 1-PE</t>
        </is>
      </c>
      <c r="AD435" t="inlineStr">
        <is>
          <t>CTL</t>
        </is>
      </c>
      <c r="AE435" t="inlineStr">
        <is>
          <t>19.05-0-2.3-ERW 1-PE-0.279</t>
        </is>
      </c>
      <c r="AF435" t="n">
        <v>0.264939160275</v>
      </c>
    </row>
    <row r="436">
      <c r="A436" s="56" t="n">
        <v>3712521</v>
      </c>
      <c r="B436" s="56" t="inlineStr">
        <is>
          <t>CUT-R-AW-RHS-40.00X30.00X1.600X0.8350</t>
        </is>
      </c>
      <c r="C436" s="56" t="inlineStr">
        <is>
          <t>4B24BH2110</t>
        </is>
      </c>
      <c r="D436" s="57" t="n">
        <v>112.837</v>
      </c>
      <c r="E436" s="57" t="n">
        <v>159.359</v>
      </c>
      <c r="F436" s="57" t="n">
        <v>0.159359</v>
      </c>
      <c r="G436" s="56" t="inlineStr">
        <is>
          <t>KG</t>
        </is>
      </c>
      <c r="H436" s="56" t="inlineStr">
        <is>
          <t>R001</t>
        </is>
      </c>
      <c r="I436" s="56" t="inlineStr">
        <is>
          <t>0789</t>
        </is>
      </c>
      <c r="J436" s="56" t="inlineStr">
        <is>
          <t>1970</t>
        </is>
      </c>
      <c r="K436" s="57" t="n">
        <v>94.217</v>
      </c>
      <c r="L436" s="56" t="inlineStr">
        <is>
          <t>9518198323/ 3</t>
        </is>
      </c>
      <c r="M436" s="56" t="inlineStr">
        <is>
          <t>3</t>
        </is>
      </c>
      <c r="N436" s="56" t="inlineStr">
        <is>
          <t>Rajsriya Automotive Industries(P)</t>
        </is>
      </c>
      <c r="O436" s="58" t="n">
        <v>38</v>
      </c>
      <c r="P436" s="59" t="inlineStr">
        <is>
          <t>31-60</t>
        </is>
      </c>
      <c r="Q436" s="56" t="inlineStr">
        <is>
          <t>Apoorv</t>
        </is>
      </c>
      <c r="U436" s="585" t="n">
        <v>477004</v>
      </c>
      <c r="V436" t="n">
        <v>19.05</v>
      </c>
      <c r="W436" t="n">
        <v>0</v>
      </c>
      <c r="X436" t="n">
        <v>2.3</v>
      </c>
      <c r="Y436" t="n">
        <v>0.281</v>
      </c>
      <c r="Z436" t="inlineStr"/>
      <c r="AA436" t="inlineStr">
        <is>
          <t>PE</t>
        </is>
      </c>
      <c r="AB436" t="inlineStr">
        <is>
          <t>AW</t>
        </is>
      </c>
      <c r="AC436" t="inlineStr">
        <is>
          <t>19.05-0-2.3-ERW 1-PE</t>
        </is>
      </c>
      <c r="AD436" t="inlineStr">
        <is>
          <t>CTL</t>
        </is>
      </c>
      <c r="AE436" t="inlineStr">
        <is>
          <t>19.05-0-2.3-ERW 1-PE-0.281</t>
        </is>
      </c>
      <c r="AF436" t="n">
        <v>0.266838365725</v>
      </c>
    </row>
    <row r="437">
      <c r="A437" s="56" t="n">
        <v>3712521</v>
      </c>
      <c r="B437" s="56" t="inlineStr">
        <is>
          <t>CUT-R-AW-RHS-40.00X30.00X1.600X0.8350</t>
        </is>
      </c>
      <c r="C437" s="56" t="inlineStr">
        <is>
          <t>4B30H38953</t>
        </is>
      </c>
      <c r="D437" s="57" t="n">
        <v>240.034</v>
      </c>
      <c r="E437" s="58" t="n">
        <v>339</v>
      </c>
      <c r="F437" s="57" t="n">
        <v>0.339</v>
      </c>
      <c r="G437" s="56" t="inlineStr">
        <is>
          <t>KG</t>
        </is>
      </c>
      <c r="H437" s="56" t="inlineStr">
        <is>
          <t>R001</t>
        </is>
      </c>
      <c r="I437" s="56" t="inlineStr">
        <is>
          <t>0789</t>
        </is>
      </c>
      <c r="J437" s="56" t="inlineStr">
        <is>
          <t>240</t>
        </is>
      </c>
      <c r="K437" s="57" t="n">
        <v>200.426</v>
      </c>
      <c r="L437" s="56" t="inlineStr">
        <is>
          <t>9518198323/ 3</t>
        </is>
      </c>
      <c r="M437" s="56" t="inlineStr">
        <is>
          <t>3</t>
        </is>
      </c>
      <c r="N437" s="56" t="inlineStr">
        <is>
          <t>Rajsriya Automotive Industries(P)</t>
        </is>
      </c>
      <c r="O437" s="58" t="n">
        <v>37</v>
      </c>
      <c r="P437" s="59" t="inlineStr">
        <is>
          <t>31-60</t>
        </is>
      </c>
      <c r="Q437" s="56" t="inlineStr">
        <is>
          <t>Apoorv</t>
        </is>
      </c>
      <c r="U437" s="585" t="n">
        <v>1940310</v>
      </c>
      <c r="V437" t="n">
        <v>19.05</v>
      </c>
      <c r="W437" t="n">
        <v>0</v>
      </c>
      <c r="X437" t="n">
        <v>2.3</v>
      </c>
      <c r="Y437" t="n">
        <v>0.281</v>
      </c>
      <c r="Z437" t="inlineStr">
        <is>
          <t>GR1</t>
        </is>
      </c>
      <c r="AA437" t="inlineStr">
        <is>
          <t>PE</t>
        </is>
      </c>
      <c r="AB437" t="inlineStr">
        <is>
          <t>AW</t>
        </is>
      </c>
      <c r="AC437" t="inlineStr">
        <is>
          <t>19.05-0-2.3-ERW 1-PE</t>
        </is>
      </c>
      <c r="AD437" t="inlineStr">
        <is>
          <t>CTL</t>
        </is>
      </c>
      <c r="AE437" t="inlineStr">
        <is>
          <t>19.05-0-2.3-ERW 1-PE-0.281</t>
        </is>
      </c>
      <c r="AF437" t="n">
        <v>0.266838365725</v>
      </c>
    </row>
    <row r="438">
      <c r="A438" s="56" t="n">
        <v>3712521</v>
      </c>
      <c r="B438" s="56" t="inlineStr">
        <is>
          <t>CUT-R-AW-RHS-40.00X30.00X1.600X0.8350</t>
        </is>
      </c>
      <c r="C438" s="56" t="inlineStr">
        <is>
          <t>4C20BH2050</t>
        </is>
      </c>
      <c r="D438" s="57" t="n">
        <v>890.038</v>
      </c>
      <c r="E438" s="58" t="n">
        <v>1257</v>
      </c>
      <c r="F438" s="57" t="n">
        <v>1.257</v>
      </c>
      <c r="G438" s="56" t="inlineStr">
        <is>
          <t>KG</t>
        </is>
      </c>
      <c r="H438" s="56" t="inlineStr">
        <is>
          <t>R001</t>
        </is>
      </c>
      <c r="I438" s="56" t="inlineStr">
        <is>
          <t>0789</t>
        </is>
      </c>
      <c r="J438" s="56" t="inlineStr"/>
      <c r="K438" s="57" t="n">
        <v>743.171</v>
      </c>
      <c r="L438" s="56" t="inlineStr">
        <is>
          <t>9518198323/ 3</t>
        </is>
      </c>
      <c r="M438" s="56" t="inlineStr">
        <is>
          <t>3</t>
        </is>
      </c>
      <c r="N438" s="56" t="inlineStr">
        <is>
          <t>Rajsriya Automotive Industries(P)</t>
        </is>
      </c>
      <c r="O438" s="58" t="n">
        <v>7</v>
      </c>
      <c r="P438" s="59" t="inlineStr">
        <is>
          <t>0-30</t>
        </is>
      </c>
      <c r="Q438" s="56" t="inlineStr">
        <is>
          <t>Apoorv</t>
        </is>
      </c>
      <c r="U438" t="n">
        <v>3781667</v>
      </c>
      <c r="V438" t="n">
        <v>19.05</v>
      </c>
      <c r="W438" t="n">
        <v>0</v>
      </c>
      <c r="X438" t="n">
        <v>2.3</v>
      </c>
      <c r="Y438" t="n">
        <v>0.281</v>
      </c>
      <c r="Z438" t="inlineStr">
        <is>
          <t>TPT</t>
        </is>
      </c>
      <c r="AA438" t="inlineStr">
        <is>
          <t>PE</t>
        </is>
      </c>
      <c r="AB438" t="inlineStr">
        <is>
          <t>AW</t>
        </is>
      </c>
      <c r="AC438" t="inlineStr">
        <is>
          <t>19.05-0-2.3-ERW 1-PE</t>
        </is>
      </c>
      <c r="AD438" t="inlineStr">
        <is>
          <t>CTL</t>
        </is>
      </c>
      <c r="AE438" t="inlineStr">
        <is>
          <t>19.05-0-2.3-ERW 1-PE-0.281</t>
        </is>
      </c>
      <c r="AF438" t="n">
        <v>0.266838365725</v>
      </c>
    </row>
    <row r="439">
      <c r="A439" s="56" t="n">
        <v>3712521</v>
      </c>
      <c r="B439" s="56" t="inlineStr">
        <is>
          <t>CUT-R-AW-RHS-40.00X30.00X1.600X0.8350</t>
        </is>
      </c>
      <c r="C439" s="56" t="inlineStr">
        <is>
          <t>4C20BH2080</t>
        </is>
      </c>
      <c r="D439" s="57" t="n">
        <v>720.102</v>
      </c>
      <c r="E439" s="58" t="n">
        <v>1017</v>
      </c>
      <c r="F439" s="57" t="n">
        <v>1.017</v>
      </c>
      <c r="G439" s="56" t="inlineStr">
        <is>
          <t>KG</t>
        </is>
      </c>
      <c r="H439" s="56" t="inlineStr">
        <is>
          <t>R001</t>
        </is>
      </c>
      <c r="I439" s="56" t="inlineStr">
        <is>
          <t>0789</t>
        </is>
      </c>
      <c r="J439" s="56" t="inlineStr">
        <is>
          <t>720</t>
        </is>
      </c>
      <c r="K439" s="57" t="n">
        <v>601.277</v>
      </c>
      <c r="L439" s="56" t="inlineStr">
        <is>
          <t>9518198323/ 3</t>
        </is>
      </c>
      <c r="M439" s="56" t="inlineStr">
        <is>
          <t>3</t>
        </is>
      </c>
      <c r="N439" s="56" t="inlineStr">
        <is>
          <t>Rajsriya Automotive Industries(P)</t>
        </is>
      </c>
      <c r="O439" s="58" t="n">
        <v>6</v>
      </c>
      <c r="P439" s="59" t="inlineStr">
        <is>
          <t>0-30</t>
        </is>
      </c>
      <c r="Q439" s="56" t="inlineStr">
        <is>
          <t>Apoorv</t>
        </is>
      </c>
      <c r="U439" s="585" t="n">
        <v>2427711</v>
      </c>
      <c r="V439" t="n">
        <v>19.05</v>
      </c>
      <c r="W439" t="n">
        <v>0</v>
      </c>
      <c r="X439" t="n">
        <v>2.3</v>
      </c>
      <c r="Y439" t="n">
        <v>0.285</v>
      </c>
      <c r="Z439" t="inlineStr">
        <is>
          <t>HROP</t>
        </is>
      </c>
      <c r="AA439" t="inlineStr">
        <is>
          <t>PE</t>
        </is>
      </c>
      <c r="AB439" t="inlineStr">
        <is>
          <t>AW</t>
        </is>
      </c>
      <c r="AC439" t="inlineStr">
        <is>
          <t>19.05-0-2.3-ERW 1-PE</t>
        </is>
      </c>
      <c r="AD439" t="inlineStr">
        <is>
          <t>CTL</t>
        </is>
      </c>
      <c r="AE439" t="inlineStr">
        <is>
          <t>19.05-0-2.3-ERW 1-PE-0.285</t>
        </is>
      </c>
      <c r="AF439" t="n">
        <v>0.270636776625</v>
      </c>
    </row>
    <row r="440">
      <c r="A440" s="56" t="n">
        <v>3712521</v>
      </c>
      <c r="B440" s="56" t="inlineStr">
        <is>
          <t>CUT-R-AW-RHS-40.00X30.00X1.600X0.8350</t>
        </is>
      </c>
      <c r="C440" s="56" t="inlineStr">
        <is>
          <t>4B24BH2100</t>
        </is>
      </c>
      <c r="D440" s="57" t="n">
        <v>900.223</v>
      </c>
      <c r="E440" s="57" t="n">
        <v>1271.385</v>
      </c>
      <c r="F440" s="57" t="n">
        <v>1.271385</v>
      </c>
      <c r="G440" s="56" t="inlineStr">
        <is>
          <t>KG</t>
        </is>
      </c>
      <c r="H440" s="56" t="inlineStr">
        <is>
          <t>R001</t>
        </is>
      </c>
      <c r="I440" s="56" t="inlineStr">
        <is>
          <t>0789</t>
        </is>
      </c>
      <c r="J440" s="56" t="inlineStr"/>
      <c r="K440" s="57" t="n">
        <v>751.676</v>
      </c>
      <c r="L440" s="56" t="inlineStr">
        <is>
          <t>9518219789/ 7</t>
        </is>
      </c>
      <c r="M440" s="56" t="inlineStr">
        <is>
          <t>7</t>
        </is>
      </c>
      <c r="N440" s="56" t="inlineStr">
        <is>
          <t>Metalman Auto Private Limited</t>
        </is>
      </c>
      <c r="O440" s="58" t="n">
        <v>2</v>
      </c>
      <c r="P440" s="59" t="inlineStr">
        <is>
          <t>0-30</t>
        </is>
      </c>
      <c r="Q440" s="56" t="inlineStr">
        <is>
          <t>Jitendra Kumar Sharma</t>
        </is>
      </c>
      <c r="U440" s="585" t="n">
        <v>3781637</v>
      </c>
      <c r="V440" t="n">
        <v>19.05</v>
      </c>
      <c r="W440" t="n">
        <v>0</v>
      </c>
      <c r="X440" t="n">
        <v>2.3</v>
      </c>
      <c r="Y440" t="n">
        <v>0.295</v>
      </c>
      <c r="Z440" t="inlineStr">
        <is>
          <t>TPT</t>
        </is>
      </c>
      <c r="AA440" t="inlineStr">
        <is>
          <t>PE</t>
        </is>
      </c>
      <c r="AB440" t="inlineStr">
        <is>
          <t>AW</t>
        </is>
      </c>
      <c r="AC440" t="inlineStr">
        <is>
          <t>19.05-0-2.3-ERW 1-PE</t>
        </is>
      </c>
      <c r="AD440" t="inlineStr">
        <is>
          <t>CTL</t>
        </is>
      </c>
      <c r="AE440" t="inlineStr">
        <is>
          <t>19.05-0-2.3-ERW 1-PE-0.295</t>
        </is>
      </c>
      <c r="AF440" t="n">
        <v>0.280132803875</v>
      </c>
    </row>
    <row r="441">
      <c r="A441" s="56" t="n">
        <v>3715133</v>
      </c>
      <c r="B441" s="56" t="inlineStr">
        <is>
          <t>TUB-O-O-AUT-AW-FC-31.75X1.600X0.6580</t>
        </is>
      </c>
      <c r="C441" s="56" t="inlineStr">
        <is>
          <t>4705H26371</t>
        </is>
      </c>
      <c r="D441" s="57" t="n">
        <v>156.548</v>
      </c>
      <c r="E441" s="57" t="n">
        <v>122.591</v>
      </c>
      <c r="F441" s="57" t="n">
        <v>0.122591</v>
      </c>
      <c r="G441" s="56" t="inlineStr">
        <is>
          <t>KG</t>
        </is>
      </c>
      <c r="H441" s="56" t="inlineStr">
        <is>
          <t>R001</t>
        </is>
      </c>
      <c r="I441" s="56" t="inlineStr">
        <is>
          <t>0789</t>
        </is>
      </c>
      <c r="J441" s="56" t="inlineStr"/>
      <c r="K441" s="57" t="n">
        <v>103.009</v>
      </c>
      <c r="L441" s="56" t="inlineStr">
        <is>
          <t>9518314387/ 1</t>
        </is>
      </c>
      <c r="M441" s="56" t="inlineStr">
        <is>
          <t>1</t>
        </is>
      </c>
      <c r="N441" s="56" t="inlineStr">
        <is>
          <t>SANDHAR ENGINEERING PVT LTD.(KA) -U</t>
        </is>
      </c>
      <c r="O441" s="58" t="n">
        <v>191</v>
      </c>
      <c r="P441" s="59" t="inlineStr">
        <is>
          <t>ABOVE 90</t>
        </is>
      </c>
      <c r="Q441" s="56" t="inlineStr">
        <is>
          <t>Jitendra Kumar Sharma</t>
        </is>
      </c>
      <c r="U441" s="585" t="n">
        <v>1940312</v>
      </c>
      <c r="V441" t="n">
        <v>19.05</v>
      </c>
      <c r="W441" t="n">
        <v>0</v>
      </c>
      <c r="X441" t="n">
        <v>2.3</v>
      </c>
      <c r="Y441" t="n">
        <v>0.295</v>
      </c>
      <c r="Z441" t="inlineStr">
        <is>
          <t>GR1</t>
        </is>
      </c>
      <c r="AA441" t="inlineStr">
        <is>
          <t>PE</t>
        </is>
      </c>
      <c r="AB441" t="inlineStr">
        <is>
          <t>AW</t>
        </is>
      </c>
      <c r="AC441" t="inlineStr">
        <is>
          <t>19.05-0-2.3-ERW 1-PE</t>
        </is>
      </c>
      <c r="AD441" t="inlineStr">
        <is>
          <t>CTL</t>
        </is>
      </c>
      <c r="AE441" t="inlineStr">
        <is>
          <t>19.05-0-2.3-ERW 1-PE-0.295</t>
        </is>
      </c>
      <c r="AF441" t="n">
        <v>0.280132803875</v>
      </c>
    </row>
    <row r="442">
      <c r="A442" s="56" t="n">
        <v>3731697</v>
      </c>
      <c r="B442" s="56" t="inlineStr">
        <is>
          <t>CUT-O-N-AUT-AW-AG-57.15X2.500X0.5260</t>
        </is>
      </c>
      <c r="C442" s="56" t="inlineStr">
        <is>
          <t>4C25AH2040</t>
        </is>
      </c>
      <c r="D442" s="57" t="n">
        <v>895.144</v>
      </c>
      <c r="E442" s="58" t="n">
        <v>1587</v>
      </c>
      <c r="F442" s="57" t="n">
        <v>1.587</v>
      </c>
      <c r="G442" s="56" t="inlineStr">
        <is>
          <t>KG</t>
        </is>
      </c>
      <c r="H442" s="56" t="inlineStr">
        <is>
          <t>R001</t>
        </is>
      </c>
      <c r="I442" s="56" t="inlineStr">
        <is>
          <t>0789</t>
        </is>
      </c>
      <c r="J442" s="56" t="inlineStr">
        <is>
          <t>895</t>
        </is>
      </c>
      <c r="K442" s="57" t="n">
        <v>470.836</v>
      </c>
      <c r="L442" s="56" t="inlineStr">
        <is>
          <t>9518418795/ 4</t>
        </is>
      </c>
      <c r="M442" s="56" t="inlineStr">
        <is>
          <t>4</t>
        </is>
      </c>
      <c r="N442" s="56" t="inlineStr">
        <is>
          <t>Rucha Engineers Pvt Ltd.</t>
        </is>
      </c>
      <c r="O442" s="58" t="n">
        <v>2</v>
      </c>
      <c r="P442" s="59" t="inlineStr">
        <is>
          <t>0-30</t>
        </is>
      </c>
      <c r="Q442" s="56" t="inlineStr">
        <is>
          <t>Apoorv</t>
        </is>
      </c>
      <c r="U442" s="585" t="n">
        <v>437154</v>
      </c>
      <c r="V442" t="n">
        <v>19.05</v>
      </c>
      <c r="W442" t="n">
        <v>0</v>
      </c>
      <c r="X442" t="n">
        <v>2.3</v>
      </c>
      <c r="Y442" t="n">
        <v>0.295</v>
      </c>
      <c r="Z442" t="inlineStr">
        <is>
          <t>TPT</t>
        </is>
      </c>
      <c r="AA442" t="inlineStr">
        <is>
          <t>PE</t>
        </is>
      </c>
      <c r="AB442" t="inlineStr">
        <is>
          <t>AW</t>
        </is>
      </c>
      <c r="AC442" t="inlineStr">
        <is>
          <t>19.05-0-2.3-ERW 1-PE</t>
        </is>
      </c>
      <c r="AD442" t="inlineStr">
        <is>
          <t>CTL</t>
        </is>
      </c>
      <c r="AE442" t="inlineStr">
        <is>
          <t>19.05-0-2.3-ERW 1-PE-0.295</t>
        </is>
      </c>
      <c r="AF442" t="n">
        <v>0.280132803875</v>
      </c>
    </row>
    <row r="443">
      <c r="A443" s="56" t="n">
        <v>3731697</v>
      </c>
      <c r="B443" s="56" t="inlineStr">
        <is>
          <t>CUT-O-N-AUT-AW-AG-57.15X2.500X0.5260</t>
        </is>
      </c>
      <c r="C443" s="56" t="inlineStr">
        <is>
          <t>4C25AH2050</t>
        </is>
      </c>
      <c r="D443" s="57" t="n">
        <v>895.144</v>
      </c>
      <c r="E443" s="58" t="n">
        <v>1587</v>
      </c>
      <c r="F443" s="57" t="n">
        <v>1.587</v>
      </c>
      <c r="G443" s="56" t="inlineStr">
        <is>
          <t>KG</t>
        </is>
      </c>
      <c r="H443" s="56" t="inlineStr">
        <is>
          <t>R001</t>
        </is>
      </c>
      <c r="I443" s="56" t="inlineStr">
        <is>
          <t>0789</t>
        </is>
      </c>
      <c r="J443" s="56" t="inlineStr">
        <is>
          <t>895</t>
        </is>
      </c>
      <c r="K443" s="57" t="n">
        <v>470.836</v>
      </c>
      <c r="L443" s="56" t="inlineStr">
        <is>
          <t>9518418795/ 4</t>
        </is>
      </c>
      <c r="M443" s="56" t="inlineStr">
        <is>
          <t>4</t>
        </is>
      </c>
      <c r="N443" s="56" t="inlineStr">
        <is>
          <t>Rucha Engineers Pvt Ltd.</t>
        </is>
      </c>
      <c r="O443" s="58" t="n">
        <v>2</v>
      </c>
      <c r="P443" s="59" t="inlineStr">
        <is>
          <t>0-30</t>
        </is>
      </c>
      <c r="Q443" s="56" t="inlineStr">
        <is>
          <t>Apoorv</t>
        </is>
      </c>
      <c r="U443" t="n">
        <v>3783916</v>
      </c>
      <c r="V443" t="n">
        <v>19.05</v>
      </c>
      <c r="W443" t="n">
        <v>0</v>
      </c>
      <c r="X443" t="n">
        <v>2.3</v>
      </c>
      <c r="Y443" t="n">
        <v>0.295</v>
      </c>
      <c r="Z443" t="inlineStr">
        <is>
          <t>NORMAL</t>
        </is>
      </c>
      <c r="AA443" t="inlineStr">
        <is>
          <t>PE</t>
        </is>
      </c>
      <c r="AB443" t="inlineStr">
        <is>
          <t>AW</t>
        </is>
      </c>
      <c r="AC443" t="inlineStr">
        <is>
          <t>19.05-0-2.3-ERW 1-PE</t>
        </is>
      </c>
      <c r="AD443" t="inlineStr">
        <is>
          <t>CTL</t>
        </is>
      </c>
      <c r="AE443" t="inlineStr">
        <is>
          <t>19.05-0-2.3-ERW 1-PE-0.295</t>
        </is>
      </c>
      <c r="AF443" t="n">
        <v>0.280132803875</v>
      </c>
    </row>
    <row r="444">
      <c r="A444" s="56" t="n">
        <v>3732177</v>
      </c>
      <c r="B444" s="56" t="inlineStr">
        <is>
          <t>TUB-O-N-AUT-AW-AG-57.15X2.500X0.3260</t>
        </is>
      </c>
      <c r="C444" s="56" t="inlineStr">
        <is>
          <t>4C26AH2080</t>
        </is>
      </c>
      <c r="D444" s="57" t="n">
        <v>1389.698</v>
      </c>
      <c r="E444" s="58" t="n">
        <v>1527</v>
      </c>
      <c r="F444" s="57" t="n">
        <v>1.527</v>
      </c>
      <c r="G444" s="56" t="inlineStr">
        <is>
          <t>KG</t>
        </is>
      </c>
      <c r="H444" s="56" t="inlineStr">
        <is>
          <t>R001</t>
        </is>
      </c>
      <c r="I444" s="56" t="inlineStr">
        <is>
          <t>0789</t>
        </is>
      </c>
      <c r="J444" s="56" t="inlineStr">
        <is>
          <t>1390</t>
        </is>
      </c>
      <c r="K444" s="57" t="n">
        <v>453.035</v>
      </c>
      <c r="L444" s="56" t="inlineStr">
        <is>
          <t>9518317045/ 2</t>
        </is>
      </c>
      <c r="M444" s="56" t="inlineStr">
        <is>
          <t>2</t>
        </is>
      </c>
      <c r="N444" s="56" t="inlineStr">
        <is>
          <t>Rucha Engineers Pvt Ltd.</t>
        </is>
      </c>
      <c r="O444" s="58" t="n">
        <v>3</v>
      </c>
      <c r="P444" s="59" t="inlineStr">
        <is>
          <t>0-30</t>
        </is>
      </c>
      <c r="Q444" s="56" t="inlineStr">
        <is>
          <t>Apoorv</t>
        </is>
      </c>
      <c r="U444" s="585" t="n">
        <v>1940313</v>
      </c>
      <c r="V444" t="n">
        <v>19.05</v>
      </c>
      <c r="W444" t="n">
        <v>0</v>
      </c>
      <c r="X444" t="n">
        <v>2.3</v>
      </c>
      <c r="Y444" t="n">
        <v>0.303</v>
      </c>
      <c r="Z444" t="inlineStr">
        <is>
          <t>GR1</t>
        </is>
      </c>
      <c r="AA444" t="inlineStr">
        <is>
          <t>PE</t>
        </is>
      </c>
      <c r="AB444" t="inlineStr">
        <is>
          <t>AW</t>
        </is>
      </c>
      <c r="AC444" t="inlineStr">
        <is>
          <t>19.05-0-2.3-ERW 1-PE</t>
        </is>
      </c>
      <c r="AD444" t="inlineStr">
        <is>
          <t>CTL</t>
        </is>
      </c>
      <c r="AE444" t="inlineStr">
        <is>
          <t>19.05-0-2.3-ERW 1-PE-0.303</t>
        </is>
      </c>
      <c r="AF444" t="n">
        <v>0.287729625675</v>
      </c>
    </row>
    <row r="445">
      <c r="A445" s="56" t="n">
        <v>3732177</v>
      </c>
      <c r="B445" s="56" t="inlineStr">
        <is>
          <t>TUB-O-N-AUT-AW-AG-57.15X2.500X0.3260</t>
        </is>
      </c>
      <c r="C445" s="56" t="inlineStr">
        <is>
          <t>5111H41414</t>
        </is>
      </c>
      <c r="D445" s="57" t="n">
        <v>702.585</v>
      </c>
      <c r="E445" s="58" t="n">
        <v>772</v>
      </c>
      <c r="F445" s="57" t="n">
        <v>0.772</v>
      </c>
      <c r="G445" s="56" t="inlineStr">
        <is>
          <t>KG</t>
        </is>
      </c>
      <c r="H445" s="56" t="inlineStr">
        <is>
          <t>R001</t>
        </is>
      </c>
      <c r="I445" s="56" t="inlineStr">
        <is>
          <t>0789</t>
        </is>
      </c>
      <c r="J445" s="56" t="inlineStr">
        <is>
          <t>703</t>
        </is>
      </c>
      <c r="K445" s="57" t="n">
        <v>229.039</v>
      </c>
      <c r="L445" s="56" t="inlineStr">
        <is>
          <t>9518317045/ 2</t>
        </is>
      </c>
      <c r="M445" s="56" t="inlineStr">
        <is>
          <t>2</t>
        </is>
      </c>
      <c r="N445" s="56" t="inlineStr">
        <is>
          <t>Rucha Engineers Pvt Ltd.</t>
        </is>
      </c>
      <c r="O445" s="58" t="n">
        <v>2</v>
      </c>
      <c r="P445" s="59" t="inlineStr">
        <is>
          <t>0-30</t>
        </is>
      </c>
      <c r="Q445" s="56" t="inlineStr">
        <is>
          <t>Apoorv</t>
        </is>
      </c>
      <c r="U445" s="585" t="n">
        <v>508988</v>
      </c>
      <c r="V445" t="n">
        <v>19.05</v>
      </c>
      <c r="W445" t="n">
        <v>0</v>
      </c>
      <c r="X445" t="n">
        <v>2.3</v>
      </c>
      <c r="Y445" t="n">
        <v>0.303</v>
      </c>
      <c r="Z445" t="inlineStr"/>
      <c r="AA445" t="inlineStr">
        <is>
          <t>PE</t>
        </is>
      </c>
      <c r="AB445" t="inlineStr">
        <is>
          <t>AW</t>
        </is>
      </c>
      <c r="AC445" t="inlineStr">
        <is>
          <t>19.05-0-2.3-ERW 1-PE</t>
        </is>
      </c>
      <c r="AD445" t="inlineStr">
        <is>
          <t>CTL</t>
        </is>
      </c>
      <c r="AE445" t="inlineStr">
        <is>
          <t>19.05-0-2.3-ERW 1-PE-0.303</t>
        </is>
      </c>
      <c r="AF445" t="n">
        <v>0.287729625675</v>
      </c>
    </row>
    <row r="446">
      <c r="A446" s="56" t="n">
        <v>3738265</v>
      </c>
      <c r="B446" s="56" t="inlineStr">
        <is>
          <t>TUB-N-AUT-AW-FC-22.23X2.000X6.2800</t>
        </is>
      </c>
      <c r="C446" s="56" t="inlineStr">
        <is>
          <t>4410CH2030</t>
        </is>
      </c>
      <c r="D446" s="57" t="n">
        <v>95.88200000000001</v>
      </c>
      <c r="E446" s="58" t="n">
        <v>601</v>
      </c>
      <c r="F446" s="57" t="n">
        <v>0.601</v>
      </c>
      <c r="G446" s="56" t="inlineStr">
        <is>
          <t>KG</t>
        </is>
      </c>
      <c r="H446" s="56" t="inlineStr">
        <is>
          <t>R001</t>
        </is>
      </c>
      <c r="I446" s="56" t="inlineStr">
        <is>
          <t>0789</t>
        </is>
      </c>
      <c r="J446" s="56" t="inlineStr">
        <is>
          <t>423</t>
        </is>
      </c>
      <c r="K446" s="57" t="n">
        <v>602.144</v>
      </c>
      <c r="L446" s="56" t="inlineStr">
        <is>
          <t>9518134245/ 17</t>
        </is>
      </c>
      <c r="M446" s="56" t="inlineStr">
        <is>
          <t>17</t>
        </is>
      </c>
      <c r="N446" s="56" t="inlineStr">
        <is>
          <t>MEGH STEELS PRIVATE LIMITED - TVS A</t>
        </is>
      </c>
      <c r="O446" s="58" t="n">
        <v>275</v>
      </c>
      <c r="P446" s="59" t="inlineStr">
        <is>
          <t>ABOVE 90</t>
        </is>
      </c>
      <c r="Q446" s="56" t="inlineStr">
        <is>
          <t>Apoorv</t>
        </is>
      </c>
      <c r="U446" t="n">
        <v>3781671</v>
      </c>
      <c r="V446" t="n">
        <v>19.05</v>
      </c>
      <c r="W446" t="n">
        <v>0</v>
      </c>
      <c r="X446" t="n">
        <v>2.3</v>
      </c>
      <c r="Y446" t="n">
        <v>0.303</v>
      </c>
      <c r="Z446" t="inlineStr">
        <is>
          <t>TPT</t>
        </is>
      </c>
      <c r="AA446" t="inlineStr">
        <is>
          <t>PE</t>
        </is>
      </c>
      <c r="AB446" t="inlineStr">
        <is>
          <t>AW</t>
        </is>
      </c>
      <c r="AC446" t="inlineStr">
        <is>
          <t>19.05-0-2.3-ERW 1-PE</t>
        </is>
      </c>
      <c r="AD446" t="inlineStr">
        <is>
          <t>CTL</t>
        </is>
      </c>
      <c r="AE446" t="inlineStr">
        <is>
          <t>19.05-0-2.3-ERW 1-PE-0.303</t>
        </is>
      </c>
      <c r="AF446" t="n">
        <v>0.287729625675</v>
      </c>
    </row>
    <row r="447">
      <c r="A447" s="56" t="n">
        <v>3747393</v>
      </c>
      <c r="B447" s="56" t="inlineStr">
        <is>
          <t>CUT-O-N-AUT-AW-PE-22.23X1.200X1.3080</t>
        </is>
      </c>
      <c r="C447" s="56" t="inlineStr">
        <is>
          <t>4C13AH1010</t>
        </is>
      </c>
      <c r="D447" s="57" t="n">
        <v>1187.442</v>
      </c>
      <c r="E447" s="58" t="n">
        <v>967</v>
      </c>
      <c r="F447" s="57" t="n">
        <v>0.967</v>
      </c>
      <c r="G447" s="56" t="inlineStr">
        <is>
          <t>KG</t>
        </is>
      </c>
      <c r="H447" s="56" t="inlineStr">
        <is>
          <t>R001</t>
        </is>
      </c>
      <c r="I447" s="56" t="inlineStr">
        <is>
          <t>0789</t>
        </is>
      </c>
      <c r="J447" s="56" t="inlineStr">
        <is>
          <t>1188</t>
        </is>
      </c>
      <c r="K447" s="57" t="n">
        <v>1553.164</v>
      </c>
      <c r="L447" s="56" t="inlineStr">
        <is>
          <t>9518315138/ 27</t>
        </is>
      </c>
      <c r="M447" s="56" t="inlineStr">
        <is>
          <t>27</t>
        </is>
      </c>
      <c r="N447" s="56" t="inlineStr">
        <is>
          <t>SRIKAM HITECH ENGINEERING PRIVATE L</t>
        </is>
      </c>
      <c r="O447" s="58" t="n">
        <v>5</v>
      </c>
      <c r="P447" s="59" t="inlineStr">
        <is>
          <t>0-30</t>
        </is>
      </c>
      <c r="Q447" s="56" t="inlineStr">
        <is>
          <t>Apoorv</t>
        </is>
      </c>
      <c r="U447" s="585" t="n">
        <v>1940318</v>
      </c>
      <c r="V447" t="n">
        <v>19.05</v>
      </c>
      <c r="W447" t="n">
        <v>0</v>
      </c>
      <c r="X447" t="n">
        <v>2.3</v>
      </c>
      <c r="Y447" t="n">
        <v>0.394</v>
      </c>
      <c r="Z447" t="inlineStr">
        <is>
          <t>GR1</t>
        </is>
      </c>
      <c r="AA447" t="inlineStr">
        <is>
          <t>PE</t>
        </is>
      </c>
      <c r="AB447" t="inlineStr">
        <is>
          <t>AW</t>
        </is>
      </c>
      <c r="AC447" t="inlineStr">
        <is>
          <t>19.05-0-2.3-ERW 1-PE</t>
        </is>
      </c>
      <c r="AD447" t="inlineStr">
        <is>
          <t>CTL</t>
        </is>
      </c>
      <c r="AE447" t="inlineStr">
        <is>
          <t>19.05-0-2.3-ERW 1-PE-0.394</t>
        </is>
      </c>
      <c r="AF447" t="n">
        <v>0.37414347365</v>
      </c>
    </row>
    <row r="448">
      <c r="A448" s="56" t="n">
        <v>3752128</v>
      </c>
      <c r="B448" s="56" t="inlineStr">
        <is>
          <t>TUB-S-AW-AUT-25.00X25.00X1.200X6.4000</t>
        </is>
      </c>
      <c r="C448" s="56" t="inlineStr">
        <is>
          <t>4530H16568</t>
        </is>
      </c>
      <c r="D448" s="57" t="n">
        <v>91.038</v>
      </c>
      <c r="E448" s="58" t="n">
        <v>527</v>
      </c>
      <c r="F448" s="57" t="n">
        <v>0.527</v>
      </c>
      <c r="G448" s="56" t="inlineStr">
        <is>
          <t>KG</t>
        </is>
      </c>
      <c r="H448" s="56" t="inlineStr">
        <is>
          <t>R001</t>
        </is>
      </c>
      <c r="I448" s="56" t="inlineStr">
        <is>
          <t>0789</t>
        </is>
      </c>
      <c r="J448" s="56" t="inlineStr">
        <is>
          <t>91</t>
        </is>
      </c>
      <c r="K448" s="57" t="n">
        <v>582.6420000000001</v>
      </c>
      <c r="L448" s="56" t="inlineStr">
        <is>
          <t>9517860314/ 4</t>
        </is>
      </c>
      <c r="M448" s="56" t="inlineStr">
        <is>
          <t>4</t>
        </is>
      </c>
      <c r="N448" s="56" t="inlineStr">
        <is>
          <t>Sri Balaji Gears</t>
        </is>
      </c>
      <c r="O448" s="58" t="n">
        <v>214</v>
      </c>
      <c r="P448" s="59" t="inlineStr">
        <is>
          <t>ABOVE 90</t>
        </is>
      </c>
      <c r="Q448" s="56" t="inlineStr">
        <is>
          <t>Diwakar</t>
        </is>
      </c>
      <c r="U448" s="585" t="n">
        <v>437148</v>
      </c>
      <c r="V448" t="n">
        <v>19.05</v>
      </c>
      <c r="W448" t="n">
        <v>0</v>
      </c>
      <c r="X448" t="n">
        <v>2.3</v>
      </c>
      <c r="Y448" t="n">
        <v>0.394</v>
      </c>
      <c r="Z448" t="inlineStr">
        <is>
          <t>TPT</t>
        </is>
      </c>
      <c r="AA448" t="inlineStr">
        <is>
          <t>PE</t>
        </is>
      </c>
      <c r="AB448" t="inlineStr">
        <is>
          <t>AW</t>
        </is>
      </c>
      <c r="AC448" t="inlineStr">
        <is>
          <t>19.05-0-2.3-ERW 1-PE</t>
        </is>
      </c>
      <c r="AD448" t="inlineStr">
        <is>
          <t>CTL</t>
        </is>
      </c>
      <c r="AE448" t="inlineStr">
        <is>
          <t>19.05-0-2.3-ERW 1-PE-0.394</t>
        </is>
      </c>
      <c r="AF448" t="n">
        <v>0.37414347365</v>
      </c>
    </row>
    <row r="449">
      <c r="A449" s="56" t="n">
        <v>3768905</v>
      </c>
      <c r="B449" s="56" t="inlineStr">
        <is>
          <t>CUT-R-AW-AUT-40.00X25.00X1.600X0.3220</t>
        </is>
      </c>
      <c r="C449" s="56" t="inlineStr">
        <is>
          <t>5108H41211</t>
        </is>
      </c>
      <c r="D449" s="57" t="n">
        <v>499.648</v>
      </c>
      <c r="E449" s="58" t="n">
        <v>252</v>
      </c>
      <c r="F449" s="57" t="n">
        <v>0.252</v>
      </c>
      <c r="G449" s="56" t="inlineStr">
        <is>
          <t>KG</t>
        </is>
      </c>
      <c r="H449" s="56" t="inlineStr">
        <is>
          <t>R001</t>
        </is>
      </c>
      <c r="I449" s="56" t="inlineStr">
        <is>
          <t>0789</t>
        </is>
      </c>
      <c r="J449" s="56" t="inlineStr">
        <is>
          <t>500</t>
        </is>
      </c>
      <c r="K449" s="57" t="n">
        <v>160.889</v>
      </c>
      <c r="L449" s="56" t="inlineStr">
        <is>
          <t>9518219789/ 12</t>
        </is>
      </c>
      <c r="M449" s="56" t="inlineStr">
        <is>
          <t>12</t>
        </is>
      </c>
      <c r="N449" s="56" t="inlineStr">
        <is>
          <t>Metalman Auto Private Limited</t>
        </is>
      </c>
      <c r="O449" s="58" t="n">
        <v>5</v>
      </c>
      <c r="P449" s="59" t="inlineStr">
        <is>
          <t>0-30</t>
        </is>
      </c>
      <c r="Q449" s="56" t="inlineStr">
        <is>
          <t>Jitendra Kumar Sharma</t>
        </is>
      </c>
      <c r="U449" s="585" t="n">
        <v>2320564</v>
      </c>
      <c r="V449" t="n">
        <v>19.05</v>
      </c>
      <c r="W449" t="n">
        <v>0</v>
      </c>
      <c r="X449" t="n">
        <v>2.3</v>
      </c>
      <c r="Y449" t="n">
        <v>0.4</v>
      </c>
      <c r="Z449" t="inlineStr">
        <is>
          <t>HROP</t>
        </is>
      </c>
      <c r="AA449" t="inlineStr">
        <is>
          <t>PE</t>
        </is>
      </c>
      <c r="AB449" t="inlineStr">
        <is>
          <t>AW</t>
        </is>
      </c>
      <c r="AC449" t="inlineStr">
        <is>
          <t>19.05-0-2.3-ERW 1-PE</t>
        </is>
      </c>
      <c r="AD449" t="inlineStr">
        <is>
          <t>CTL</t>
        </is>
      </c>
      <c r="AE449" t="inlineStr">
        <is>
          <t>19.05-0-2.3-ERW 1-PE-0.4</t>
        </is>
      </c>
      <c r="AF449" t="n">
        <v>0.37984109</v>
      </c>
    </row>
    <row r="450">
      <c r="A450" s="56" t="n">
        <v>3768907</v>
      </c>
      <c r="B450" s="56" t="inlineStr">
        <is>
          <t>CUT-O-N-AUT-AW-FC-41.28X3.200X0.2460</t>
        </is>
      </c>
      <c r="C450" s="56" t="inlineStr">
        <is>
          <t>4B26CH2070</t>
        </is>
      </c>
      <c r="D450" s="57" t="n">
        <v>1621.293</v>
      </c>
      <c r="E450" s="58" t="n">
        <v>1199</v>
      </c>
      <c r="F450" s="57" t="n">
        <v>1.199</v>
      </c>
      <c r="G450" s="56" t="inlineStr">
        <is>
          <t>KG</t>
        </is>
      </c>
      <c r="H450" s="56" t="inlineStr">
        <is>
          <t>R001</t>
        </is>
      </c>
      <c r="I450" s="56" t="inlineStr">
        <is>
          <t>0789</t>
        </is>
      </c>
      <c r="J450" s="56" t="inlineStr">
        <is>
          <t>1630</t>
        </is>
      </c>
      <c r="K450" s="57" t="n">
        <v>398.842</v>
      </c>
      <c r="L450" s="56" t="inlineStr">
        <is>
          <t>9518397670/ 8</t>
        </is>
      </c>
      <c r="M450" s="56" t="inlineStr">
        <is>
          <t>8</t>
        </is>
      </c>
      <c r="N450" s="56" t="inlineStr">
        <is>
          <t>Metalman Auto Private Limited</t>
        </is>
      </c>
      <c r="O450" s="58" t="n">
        <v>4</v>
      </c>
      <c r="P450" s="59" t="inlineStr">
        <is>
          <t>0-30</t>
        </is>
      </c>
      <c r="Q450" s="56" t="inlineStr">
        <is>
          <t>Jitendra Kumar Sharma</t>
        </is>
      </c>
      <c r="U450" s="585" t="n">
        <v>1940319</v>
      </c>
      <c r="V450" t="n">
        <v>19.05</v>
      </c>
      <c r="W450" t="n">
        <v>0</v>
      </c>
      <c r="X450" t="n">
        <v>2.3</v>
      </c>
      <c r="Y450" t="n">
        <v>0.43</v>
      </c>
      <c r="Z450" t="inlineStr">
        <is>
          <t>GR1</t>
        </is>
      </c>
      <c r="AA450" t="inlineStr">
        <is>
          <t>PE</t>
        </is>
      </c>
      <c r="AB450" t="inlineStr">
        <is>
          <t>AW</t>
        </is>
      </c>
      <c r="AC450" t="inlineStr">
        <is>
          <t>19.05-0-2.3-ERW 1-PE</t>
        </is>
      </c>
      <c r="AD450" t="inlineStr">
        <is>
          <t>CTL</t>
        </is>
      </c>
      <c r="AF450" t="n">
        <v>0.40832917175</v>
      </c>
    </row>
    <row r="451">
      <c r="A451" s="56" t="n">
        <v>3770753</v>
      </c>
      <c r="B451" s="56" t="inlineStr">
        <is>
          <t>TUB-O-N-AUT-AW-FC-48.60X3.400X3.0350</t>
        </is>
      </c>
      <c r="C451" s="56" t="inlineStr">
        <is>
          <t>4510CH2050</t>
        </is>
      </c>
      <c r="D451" s="57" t="n">
        <v>59.877</v>
      </c>
      <c r="E451" s="58" t="n">
        <v>689</v>
      </c>
      <c r="F451" s="57" t="n">
        <v>0.6889999999999999</v>
      </c>
      <c r="G451" s="56" t="inlineStr">
        <is>
          <t>KG</t>
        </is>
      </c>
      <c r="H451" s="56" t="inlineStr">
        <is>
          <t>R001</t>
        </is>
      </c>
      <c r="I451" s="56" t="inlineStr">
        <is>
          <t>0789</t>
        </is>
      </c>
      <c r="J451" s="56" t="inlineStr">
        <is>
          <t>100</t>
        </is>
      </c>
      <c r="K451" s="57" t="n">
        <v>181.732</v>
      </c>
      <c r="L451" s="56" t="inlineStr"/>
      <c r="M451" s="56" t="inlineStr">
        <is>
          <t>0</t>
        </is>
      </c>
      <c r="N451" s="56" t="inlineStr">
        <is>
          <t>Metalman Auto Private Limited</t>
        </is>
      </c>
      <c r="O451" s="58" t="n">
        <v>227</v>
      </c>
      <c r="P451" s="59" t="inlineStr">
        <is>
          <t>ABOVE 90</t>
        </is>
      </c>
      <c r="Q451" s="56" t="inlineStr">
        <is>
          <t>Jitendra Kumar Sharma</t>
        </is>
      </c>
      <c r="U451" s="585" t="n">
        <v>508992</v>
      </c>
      <c r="V451" t="n">
        <v>19.05</v>
      </c>
      <c r="W451" t="n">
        <v>0</v>
      </c>
      <c r="X451" t="n">
        <v>2.3</v>
      </c>
      <c r="Y451" t="n">
        <v>0.459</v>
      </c>
      <c r="Z451" t="inlineStr"/>
      <c r="AA451" t="inlineStr">
        <is>
          <t>PE</t>
        </is>
      </c>
      <c r="AB451" t="inlineStr">
        <is>
          <t>AW</t>
        </is>
      </c>
      <c r="AC451" t="inlineStr">
        <is>
          <t>19.05-0-2.3-ERW 1-PE</t>
        </is>
      </c>
      <c r="AD451" t="inlineStr">
        <is>
          <t>CTL</t>
        </is>
      </c>
      <c r="AE451" t="inlineStr">
        <is>
          <t>19.05-0-2.3-ERW 1-PE-0.459</t>
        </is>
      </c>
      <c r="AF451" t="n">
        <v>0.435867650775</v>
      </c>
    </row>
    <row r="452">
      <c r="A452" s="56" t="n">
        <v>3780005</v>
      </c>
      <c r="B452" s="56" t="inlineStr">
        <is>
          <t>TUB-R-AW-AUT-50.00X30.00X1.600X0.6380</t>
        </is>
      </c>
      <c r="C452" s="56" t="inlineStr">
        <is>
          <t>4718CH2100</t>
        </is>
      </c>
      <c r="D452" s="57" t="n">
        <v>124.532</v>
      </c>
      <c r="E452" s="57" t="n">
        <v>149.165</v>
      </c>
      <c r="F452" s="57" t="n">
        <v>0.149165</v>
      </c>
      <c r="G452" s="56" t="inlineStr">
        <is>
          <t>KG</t>
        </is>
      </c>
      <c r="H452" s="56" t="inlineStr">
        <is>
          <t>R001</t>
        </is>
      </c>
      <c r="I452" s="56" t="inlineStr">
        <is>
          <t>0789</t>
        </is>
      </c>
      <c r="J452" s="56" t="inlineStr">
        <is>
          <t>1340</t>
        </is>
      </c>
      <c r="K452" s="57" t="n">
        <v>79.449</v>
      </c>
      <c r="L452" s="56" t="inlineStr">
        <is>
          <t>9518122585/ 2</t>
        </is>
      </c>
      <c r="M452" s="56" t="inlineStr">
        <is>
          <t>2</t>
        </is>
      </c>
      <c r="N452" s="56" t="inlineStr">
        <is>
          <t>Sandhar EngineeringPvt.Ltd.(KA)-Uni</t>
        </is>
      </c>
      <c r="O452" s="58" t="n">
        <v>176</v>
      </c>
      <c r="P452" s="59" t="inlineStr">
        <is>
          <t>ABOVE 90</t>
        </is>
      </c>
      <c r="Q452" s="56" t="inlineStr">
        <is>
          <t>Jitendra Kumar Sharma</t>
        </is>
      </c>
      <c r="U452" s="585" t="n">
        <v>1940322</v>
      </c>
      <c r="V452" t="n">
        <v>19.05</v>
      </c>
      <c r="W452" t="n">
        <v>0</v>
      </c>
      <c r="X452" t="n">
        <v>2.3</v>
      </c>
      <c r="Y452" t="n">
        <v>0.475</v>
      </c>
      <c r="Z452" t="inlineStr">
        <is>
          <t>GR1</t>
        </is>
      </c>
      <c r="AA452" t="inlineStr">
        <is>
          <t>PE</t>
        </is>
      </c>
      <c r="AB452" t="inlineStr">
        <is>
          <t>AW</t>
        </is>
      </c>
      <c r="AC452" t="inlineStr">
        <is>
          <t>19.05-0-2.3-ERW 1-PE</t>
        </is>
      </c>
      <c r="AD452" t="inlineStr">
        <is>
          <t>CTL</t>
        </is>
      </c>
      <c r="AE452" t="inlineStr">
        <is>
          <t>19.05-0-2.3-ERW 1-PE-0.475</t>
        </is>
      </c>
      <c r="AF452" t="n">
        <v>0.451061294375</v>
      </c>
    </row>
    <row r="453">
      <c r="A453" s="56" t="n">
        <v>3786201</v>
      </c>
      <c r="B453" s="56" t="inlineStr">
        <is>
          <t>TUB-R-AW-RHS-40.00X25.00X1.600X0.5380</t>
        </is>
      </c>
      <c r="C453" s="56" t="inlineStr">
        <is>
          <t>4C28H40679</t>
        </is>
      </c>
      <c r="D453" s="57" t="n">
        <v>420.117</v>
      </c>
      <c r="E453" s="58" t="n">
        <v>354</v>
      </c>
      <c r="F453" s="57" t="n">
        <v>0.354</v>
      </c>
      <c r="G453" s="56" t="inlineStr">
        <is>
          <t>KG</t>
        </is>
      </c>
      <c r="H453" s="56" t="inlineStr">
        <is>
          <t>R001</t>
        </is>
      </c>
      <c r="I453" s="56" t="inlineStr">
        <is>
          <t>0789</t>
        </is>
      </c>
      <c r="J453" s="56" t="inlineStr">
        <is>
          <t>420</t>
        </is>
      </c>
      <c r="K453" s="57" t="n">
        <v>226.025</v>
      </c>
      <c r="L453" s="56" t="inlineStr">
        <is>
          <t>9518216595/ 2</t>
        </is>
      </c>
      <c r="M453" s="56" t="inlineStr">
        <is>
          <t>2</t>
        </is>
      </c>
      <c r="N453" s="56" t="inlineStr">
        <is>
          <t>Marathwada Auto Compo Pvt. Ltd.</t>
        </is>
      </c>
      <c r="O453" s="58" t="n">
        <v>13</v>
      </c>
      <c r="P453" s="59" t="inlineStr">
        <is>
          <t>0-30</t>
        </is>
      </c>
      <c r="Q453" s="56" t="inlineStr">
        <is>
          <t>Apoorv</t>
        </is>
      </c>
      <c r="U453" s="585" t="n">
        <v>513789</v>
      </c>
      <c r="V453" t="n">
        <v>19.05</v>
      </c>
      <c r="W453" t="n">
        <v>0</v>
      </c>
      <c r="X453" t="n">
        <v>2.3</v>
      </c>
      <c r="Y453" t="n">
        <v>0.55</v>
      </c>
      <c r="Z453" t="inlineStr"/>
      <c r="AA453" t="inlineStr">
        <is>
          <t>PE</t>
        </is>
      </c>
      <c r="AB453" t="inlineStr">
        <is>
          <t>AW</t>
        </is>
      </c>
      <c r="AC453" t="inlineStr">
        <is>
          <t>19.05-0-2.3-ERW 1-PE</t>
        </is>
      </c>
      <c r="AD453" t="inlineStr">
        <is>
          <t>CTL</t>
        </is>
      </c>
      <c r="AE453" t="inlineStr">
        <is>
          <t>19.05-0-2.3-ERW 1-PE-0.55</t>
        </is>
      </c>
      <c r="AF453" t="n">
        <v>0.5222814987500001</v>
      </c>
    </row>
    <row r="454">
      <c r="A454" s="56" t="n">
        <v>3786202</v>
      </c>
      <c r="B454" s="56" t="inlineStr">
        <is>
          <t>TUB-R-AW-RHS-40.00X25.00X1.600X0.5870</t>
        </is>
      </c>
      <c r="C454" s="56" t="inlineStr">
        <is>
          <t>5111H41430</t>
        </is>
      </c>
      <c r="D454" s="57" t="n">
        <v>660.245</v>
      </c>
      <c r="E454" s="58" t="n">
        <v>607</v>
      </c>
      <c r="F454" s="57" t="n">
        <v>0.607</v>
      </c>
      <c r="G454" s="56" t="inlineStr">
        <is>
          <t>KG</t>
        </is>
      </c>
      <c r="H454" s="56" t="inlineStr">
        <is>
          <t>R001</t>
        </is>
      </c>
      <c r="I454" s="56" t="inlineStr">
        <is>
          <t>0789</t>
        </is>
      </c>
      <c r="J454" s="56" t="inlineStr">
        <is>
          <t>660</t>
        </is>
      </c>
      <c r="K454" s="57" t="n">
        <v>387.562</v>
      </c>
      <c r="L454" s="56" t="inlineStr">
        <is>
          <t>9518395851/ 2</t>
        </is>
      </c>
      <c r="M454" s="56" t="inlineStr">
        <is>
          <t>2</t>
        </is>
      </c>
      <c r="N454" s="56" t="inlineStr">
        <is>
          <t>Marathwada Auto Compo Pvt. Ltd.</t>
        </is>
      </c>
      <c r="O454" s="58" t="n">
        <v>2</v>
      </c>
      <c r="P454" s="59" t="inlineStr">
        <is>
          <t>0-30</t>
        </is>
      </c>
      <c r="Q454" s="56" t="inlineStr">
        <is>
          <t>Apoorv</t>
        </is>
      </c>
      <c r="U454" s="585" t="n">
        <v>2332783</v>
      </c>
      <c r="V454" t="n">
        <v>19.05</v>
      </c>
      <c r="W454" t="n">
        <v>0</v>
      </c>
      <c r="X454" t="n">
        <v>2.3</v>
      </c>
      <c r="Y454" t="n">
        <v>0.55</v>
      </c>
      <c r="Z454" t="inlineStr">
        <is>
          <t>HROP</t>
        </is>
      </c>
      <c r="AA454" t="inlineStr">
        <is>
          <t>PE</t>
        </is>
      </c>
      <c r="AB454" t="inlineStr">
        <is>
          <t>AW</t>
        </is>
      </c>
      <c r="AC454" t="inlineStr">
        <is>
          <t>19.05-0-2.3-ERW 1-PE</t>
        </is>
      </c>
      <c r="AD454" t="inlineStr">
        <is>
          <t>CTL</t>
        </is>
      </c>
      <c r="AF454" t="n">
        <v>0.5222814987500001</v>
      </c>
    </row>
    <row r="455">
      <c r="A455" s="56" t="n">
        <v>3819143</v>
      </c>
      <c r="B455" s="56" t="inlineStr">
        <is>
          <t>CUT-O-N-AUT-AW-PE-31.75X1.200X0.6800</t>
        </is>
      </c>
      <c r="C455" s="56" t="inlineStr">
        <is>
          <t>4C18H39957</t>
        </is>
      </c>
      <c r="D455" s="57" t="n">
        <v>1976.262</v>
      </c>
      <c r="E455" s="57" t="n">
        <v>1215.379</v>
      </c>
      <c r="F455" s="57" t="n">
        <v>1.215379</v>
      </c>
      <c r="G455" s="56" t="inlineStr">
        <is>
          <t>KG</t>
        </is>
      </c>
      <c r="H455" s="56" t="inlineStr">
        <is>
          <t>R001</t>
        </is>
      </c>
      <c r="I455" s="56" t="inlineStr">
        <is>
          <t>0789</t>
        </is>
      </c>
      <c r="J455" s="56" t="inlineStr">
        <is>
          <t>2738</t>
        </is>
      </c>
      <c r="K455" s="57" t="n">
        <v>1343.851</v>
      </c>
      <c r="L455" s="56" t="inlineStr">
        <is>
          <t>9518314387/ 16</t>
        </is>
      </c>
      <c r="M455" s="56" t="inlineStr">
        <is>
          <t>16</t>
        </is>
      </c>
      <c r="N455" s="56" t="inlineStr">
        <is>
          <t>SANDHAR ENGINEERING PVT LTD.(KA) -U</t>
        </is>
      </c>
      <c r="O455" s="58" t="n">
        <v>26</v>
      </c>
      <c r="P455" s="59" t="inlineStr">
        <is>
          <t>0-30</t>
        </is>
      </c>
      <c r="Q455" s="56" t="inlineStr">
        <is>
          <t>Jitendra Kumar Sharma</t>
        </is>
      </c>
      <c r="U455" s="585" t="n">
        <v>1940324</v>
      </c>
      <c r="V455" t="n">
        <v>19.05</v>
      </c>
      <c r="W455" t="n">
        <v>0</v>
      </c>
      <c r="X455" t="n">
        <v>2.3</v>
      </c>
      <c r="Y455" t="n">
        <v>0.554</v>
      </c>
      <c r="Z455" t="inlineStr">
        <is>
          <t>GR1</t>
        </is>
      </c>
      <c r="AA455" t="inlineStr">
        <is>
          <t>PE</t>
        </is>
      </c>
      <c r="AB455" t="inlineStr">
        <is>
          <t>AW</t>
        </is>
      </c>
      <c r="AC455" t="inlineStr">
        <is>
          <t>19.05-0-2.3-ERW 1-PE</t>
        </is>
      </c>
      <c r="AD455" t="inlineStr">
        <is>
          <t>CTL</t>
        </is>
      </c>
      <c r="AE455" t="inlineStr">
        <is>
          <t>19.05-0-2.3-ERW 1-PE-0.554</t>
        </is>
      </c>
      <c r="AF455" t="n">
        <v>0.5260799096500001</v>
      </c>
    </row>
    <row r="456">
      <c r="A456" s="56" t="n">
        <v>3838020</v>
      </c>
      <c r="B456" s="56" t="inlineStr">
        <is>
          <t>CUT-S-AW-AUT-19.00X19.00X1.000X0.3300</t>
        </is>
      </c>
      <c r="C456" s="56" t="inlineStr">
        <is>
          <t>4A21AH1020</t>
        </is>
      </c>
      <c r="D456" s="57" t="n">
        <v>3998.783</v>
      </c>
      <c r="E456" s="58" t="n">
        <v>730</v>
      </c>
      <c r="F456" s="57" t="n">
        <v>0.73</v>
      </c>
      <c r="G456" s="56" t="inlineStr">
        <is>
          <t>KG</t>
        </is>
      </c>
      <c r="H456" s="56" t="inlineStr">
        <is>
          <t>R001</t>
        </is>
      </c>
      <c r="I456" s="56" t="inlineStr">
        <is>
          <t>0789</t>
        </is>
      </c>
      <c r="J456" s="56" t="inlineStr">
        <is>
          <t>4000</t>
        </is>
      </c>
      <c r="K456" s="57" t="n">
        <v>1319.595</v>
      </c>
      <c r="L456" s="56" t="inlineStr">
        <is>
          <t>9518315613/ 21</t>
        </is>
      </c>
      <c r="M456" s="56" t="inlineStr">
        <is>
          <t>21</t>
        </is>
      </c>
      <c r="N456" s="56" t="inlineStr">
        <is>
          <t>Sri Balaji Gears</t>
        </is>
      </c>
      <c r="O456" s="58" t="n">
        <v>13</v>
      </c>
      <c r="P456" s="59" t="inlineStr">
        <is>
          <t>0-30</t>
        </is>
      </c>
      <c r="Q456" s="56" t="inlineStr">
        <is>
          <t>Diwakar</t>
        </is>
      </c>
      <c r="U456" s="585" t="n">
        <v>437150</v>
      </c>
      <c r="V456" t="n">
        <v>19.05</v>
      </c>
      <c r="W456" t="n">
        <v>0</v>
      </c>
      <c r="X456" t="n">
        <v>2.3</v>
      </c>
      <c r="Y456" t="n">
        <v>0.555</v>
      </c>
      <c r="Z456" t="inlineStr">
        <is>
          <t>TPT</t>
        </is>
      </c>
      <c r="AA456" t="inlineStr">
        <is>
          <t>PE</t>
        </is>
      </c>
      <c r="AB456" t="inlineStr">
        <is>
          <t>AW</t>
        </is>
      </c>
      <c r="AC456" t="inlineStr">
        <is>
          <t>19.05-0-2.3-ERW 1-PE</t>
        </is>
      </c>
      <c r="AD456" t="inlineStr">
        <is>
          <t>CTL</t>
        </is>
      </c>
      <c r="AE456" t="inlineStr">
        <is>
          <t>19.05-0-2.3-ERW 1-PE-0.555</t>
        </is>
      </c>
      <c r="AF456" t="n">
        <v>0.5270295123750001</v>
      </c>
    </row>
    <row r="457">
      <c r="A457" s="56" t="n">
        <v>3838038</v>
      </c>
      <c r="B457" s="56" t="inlineStr">
        <is>
          <t>CUT-O-N-AUT-AW-PE-19.05X1.600X0.2580</t>
        </is>
      </c>
      <c r="C457" s="56" t="inlineStr">
        <is>
          <t>4A08AH1050</t>
        </is>
      </c>
      <c r="D457" s="57" t="n">
        <v>850.2</v>
      </c>
      <c r="E457" s="57" t="n">
        <v>145.866</v>
      </c>
      <c r="F457" s="57" t="n">
        <v>0.145866</v>
      </c>
      <c r="G457" s="56" t="inlineStr">
        <is>
          <t>KG</t>
        </is>
      </c>
      <c r="H457" s="56" t="inlineStr">
        <is>
          <t>R001</t>
        </is>
      </c>
      <c r="I457" s="56" t="inlineStr">
        <is>
          <t>0789</t>
        </is>
      </c>
      <c r="J457" s="56" t="inlineStr">
        <is>
          <t>9550</t>
        </is>
      </c>
      <c r="K457" s="57" t="n">
        <v>219.344</v>
      </c>
      <c r="L457" s="56" t="inlineStr">
        <is>
          <t>9518390450/ 11</t>
        </is>
      </c>
      <c r="M457" s="56" t="inlineStr">
        <is>
          <t>11</t>
        </is>
      </c>
      <c r="N457" s="56" t="inlineStr">
        <is>
          <t>SRIKAM HITECH ENGINEERING PRIVATE L</t>
        </is>
      </c>
      <c r="O457" s="58" t="n">
        <v>87</v>
      </c>
      <c r="P457" s="59" t="inlineStr">
        <is>
          <t>61-90</t>
        </is>
      </c>
      <c r="Q457" s="56" t="inlineStr">
        <is>
          <t>Apoorv</t>
        </is>
      </c>
      <c r="U457" s="585" t="n">
        <v>511878</v>
      </c>
      <c r="V457" t="n">
        <v>19.05</v>
      </c>
      <c r="W457" t="n">
        <v>0</v>
      </c>
      <c r="X457" t="n">
        <v>2.3</v>
      </c>
      <c r="Y457" t="n">
        <v>0.57</v>
      </c>
      <c r="Z457" t="inlineStr"/>
      <c r="AA457" t="inlineStr">
        <is>
          <t>PE</t>
        </is>
      </c>
      <c r="AB457" t="inlineStr">
        <is>
          <t>AW</t>
        </is>
      </c>
      <c r="AC457" t="inlineStr">
        <is>
          <t>19.05-0-2.3-ERW 1-PE</t>
        </is>
      </c>
      <c r="AD457" t="inlineStr">
        <is>
          <t>CTL</t>
        </is>
      </c>
      <c r="AE457" t="inlineStr">
        <is>
          <t>19.05-0-2.3-ERW 1-PE-0.57</t>
        </is>
      </c>
      <c r="AF457" t="n">
        <v>0.5412735532499999</v>
      </c>
    </row>
    <row r="458">
      <c r="A458" s="56" t="n">
        <v>3838038</v>
      </c>
      <c r="B458" s="56" t="inlineStr">
        <is>
          <t>CUT-O-N-AUT-AW-PE-19.05X1.600X0.2580</t>
        </is>
      </c>
      <c r="C458" s="56" t="inlineStr">
        <is>
          <t>4A26H36386</t>
        </is>
      </c>
      <c r="D458" s="57" t="n">
        <v>452.011</v>
      </c>
      <c r="E458" s="57" t="n">
        <v>77.55</v>
      </c>
      <c r="F458" s="57" t="n">
        <v>0.07754999999999999</v>
      </c>
      <c r="G458" s="56" t="inlineStr">
        <is>
          <t>KG</t>
        </is>
      </c>
      <c r="H458" s="56" t="inlineStr">
        <is>
          <t>R001</t>
        </is>
      </c>
      <c r="I458" s="56" t="inlineStr">
        <is>
          <t>0789</t>
        </is>
      </c>
      <c r="J458" s="56" t="inlineStr">
        <is>
          <t>5780</t>
        </is>
      </c>
      <c r="K458" s="57" t="n">
        <v>116.615</v>
      </c>
      <c r="L458" s="56" t="inlineStr">
        <is>
          <t>9518390450/ 11</t>
        </is>
      </c>
      <c r="M458" s="56" t="inlineStr">
        <is>
          <t>11</t>
        </is>
      </c>
      <c r="N458" s="56" t="inlineStr">
        <is>
          <t>SRIKAM HITECH ENGINEERING PRIVATE L</t>
        </is>
      </c>
      <c r="O458" s="58" t="n">
        <v>79</v>
      </c>
      <c r="P458" s="59" t="inlineStr">
        <is>
          <t>61-90</t>
        </is>
      </c>
      <c r="Q458" s="56" t="inlineStr">
        <is>
          <t>Apoorv</t>
        </is>
      </c>
      <c r="U458" s="585" t="n">
        <v>1940325</v>
      </c>
      <c r="V458" t="n">
        <v>19.05</v>
      </c>
      <c r="W458" t="n">
        <v>0</v>
      </c>
      <c r="X458" t="n">
        <v>2.3</v>
      </c>
      <c r="Y458" t="n">
        <v>0.57</v>
      </c>
      <c r="Z458" t="inlineStr">
        <is>
          <t>GR1</t>
        </is>
      </c>
      <c r="AA458" t="inlineStr">
        <is>
          <t>PE</t>
        </is>
      </c>
      <c r="AB458" t="inlineStr">
        <is>
          <t>AW</t>
        </is>
      </c>
      <c r="AC458" t="inlineStr">
        <is>
          <t>19.05-0-2.3-ERW 1-PE</t>
        </is>
      </c>
      <c r="AD458" t="inlineStr">
        <is>
          <t>CTL</t>
        </is>
      </c>
      <c r="AE458" t="inlineStr">
        <is>
          <t>19.05-0-2.3-ERW 1-PE-0.57</t>
        </is>
      </c>
      <c r="AF458" t="n">
        <v>0.5412735532499999</v>
      </c>
    </row>
    <row r="459">
      <c r="A459" s="56" t="n">
        <v>3838038</v>
      </c>
      <c r="B459" s="56" t="inlineStr">
        <is>
          <t>CUT-O-N-AUT-AW-PE-19.05X1.600X0.2580</t>
        </is>
      </c>
      <c r="C459" s="56" t="inlineStr">
        <is>
          <t>4A26H36387</t>
        </is>
      </c>
      <c r="D459" s="57" t="n">
        <v>2483</v>
      </c>
      <c r="E459" s="58" t="n">
        <v>426</v>
      </c>
      <c r="F459" s="57" t="n">
        <v>0.426</v>
      </c>
      <c r="G459" s="56" t="inlineStr">
        <is>
          <t>KG</t>
        </is>
      </c>
      <c r="H459" s="56" t="inlineStr">
        <is>
          <t>R001</t>
        </is>
      </c>
      <c r="I459" s="56" t="inlineStr">
        <is>
          <t>0789</t>
        </is>
      </c>
      <c r="J459" s="56" t="inlineStr">
        <is>
          <t>2400</t>
        </is>
      </c>
      <c r="K459" s="57" t="n">
        <v>640.591</v>
      </c>
      <c r="L459" s="56" t="inlineStr">
        <is>
          <t>9518390450/ 11</t>
        </is>
      </c>
      <c r="M459" s="56" t="inlineStr">
        <is>
          <t>11</t>
        </is>
      </c>
      <c r="N459" s="56" t="inlineStr">
        <is>
          <t>SRIKAM HITECH ENGINEERING PRIVATE L</t>
        </is>
      </c>
      <c r="O459" s="58" t="n">
        <v>78</v>
      </c>
      <c r="P459" s="59" t="inlineStr">
        <is>
          <t>61-90</t>
        </is>
      </c>
      <c r="Q459" s="56" t="inlineStr">
        <is>
          <t>Apoorv</t>
        </is>
      </c>
      <c r="U459" s="585" t="n">
        <v>3507077</v>
      </c>
      <c r="V459" t="n">
        <v>19.05</v>
      </c>
      <c r="W459" t="n">
        <v>0</v>
      </c>
      <c r="X459" t="n">
        <v>2.3</v>
      </c>
      <c r="Y459" t="n">
        <v>0.57</v>
      </c>
      <c r="Z459" t="inlineStr"/>
      <c r="AA459" t="inlineStr">
        <is>
          <t>PE</t>
        </is>
      </c>
      <c r="AB459" t="inlineStr">
        <is>
          <t>AW</t>
        </is>
      </c>
      <c r="AC459" t="inlineStr">
        <is>
          <t>19.05-0-2.3-ERW 1-PE</t>
        </is>
      </c>
      <c r="AD459" t="inlineStr">
        <is>
          <t>CTL</t>
        </is>
      </c>
      <c r="AE459" t="inlineStr">
        <is>
          <t>19.05-0-2.3-ERW 1-PE-0.57</t>
        </is>
      </c>
      <c r="AF459" t="n">
        <v>0.5412735532499999</v>
      </c>
    </row>
    <row r="460">
      <c r="A460" s="56" t="n">
        <v>3838038</v>
      </c>
      <c r="B460" s="56" t="inlineStr">
        <is>
          <t>CUT-O-N-AUT-AW-PE-19.05X1.600X0.2580</t>
        </is>
      </c>
      <c r="C460" s="56" t="inlineStr">
        <is>
          <t>4C27H40595</t>
        </is>
      </c>
      <c r="D460" s="57" t="n">
        <v>10357.49</v>
      </c>
      <c r="E460" s="58" t="n">
        <v>1777</v>
      </c>
      <c r="F460" s="57" t="n">
        <v>1.777</v>
      </c>
      <c r="G460" s="56" t="inlineStr">
        <is>
          <t>KG</t>
        </is>
      </c>
      <c r="H460" s="56" t="inlineStr">
        <is>
          <t>R001</t>
        </is>
      </c>
      <c r="I460" s="56" t="inlineStr">
        <is>
          <t>0789</t>
        </is>
      </c>
      <c r="J460" s="56" t="inlineStr">
        <is>
          <t>10000</t>
        </is>
      </c>
      <c r="K460" s="57" t="n">
        <v>2672.136</v>
      </c>
      <c r="L460" s="56" t="inlineStr">
        <is>
          <t>9518390450/ 11</t>
        </is>
      </c>
      <c r="M460" s="56" t="inlineStr">
        <is>
          <t>11</t>
        </is>
      </c>
      <c r="N460" s="56" t="inlineStr">
        <is>
          <t>SRIKAM HITECH ENGINEERING PRIVATE L</t>
        </is>
      </c>
      <c r="O460" s="58" t="n">
        <v>17</v>
      </c>
      <c r="P460" s="59" t="inlineStr">
        <is>
          <t>0-30</t>
        </is>
      </c>
      <c r="Q460" s="56" t="inlineStr">
        <is>
          <t>Apoorv</t>
        </is>
      </c>
      <c r="U460" t="n">
        <v>3781672</v>
      </c>
      <c r="V460" t="n">
        <v>19.05</v>
      </c>
      <c r="W460" t="n">
        <v>0</v>
      </c>
      <c r="X460" t="n">
        <v>2.3</v>
      </c>
      <c r="Y460" t="n">
        <v>0.57</v>
      </c>
      <c r="Z460" t="inlineStr">
        <is>
          <t>TPT</t>
        </is>
      </c>
      <c r="AA460" t="inlineStr">
        <is>
          <t>PE</t>
        </is>
      </c>
      <c r="AB460" t="inlineStr">
        <is>
          <t>AW</t>
        </is>
      </c>
      <c r="AC460" t="inlineStr">
        <is>
          <t>19.05-0-2.3-ERW 1-PE</t>
        </is>
      </c>
      <c r="AD460" t="inlineStr">
        <is>
          <t>CTL</t>
        </is>
      </c>
      <c r="AE460" t="inlineStr">
        <is>
          <t>19.05-0-2.3-ERW 1-PE-0.57</t>
        </is>
      </c>
      <c r="AF460" t="n">
        <v>0.5412735532499999</v>
      </c>
    </row>
    <row r="461">
      <c r="A461" s="56" t="n">
        <v>3841884</v>
      </c>
      <c r="B461" s="56" t="inlineStr">
        <is>
          <t>TUB-O-N-AUT-AW-FC-38.10X1.600X0.8750</t>
        </is>
      </c>
      <c r="C461" s="56" t="inlineStr">
        <is>
          <t>241227006A</t>
        </is>
      </c>
      <c r="D461" s="57" t="n">
        <v>230</v>
      </c>
      <c r="E461" s="57" t="n">
        <v>289.846</v>
      </c>
      <c r="F461" s="57" t="n">
        <v>0.289846</v>
      </c>
      <c r="G461" s="56" t="inlineStr">
        <is>
          <t>KG</t>
        </is>
      </c>
      <c r="H461" s="56" t="inlineStr">
        <is>
          <t>R001</t>
        </is>
      </c>
      <c r="I461" s="56" t="inlineStr">
        <is>
          <t>0789</t>
        </is>
      </c>
      <c r="J461" s="56" t="inlineStr"/>
      <c r="K461" s="57" t="n">
        <v>201.254</v>
      </c>
      <c r="L461" s="56" t="inlineStr">
        <is>
          <t>9518397264/ 7</t>
        </is>
      </c>
      <c r="M461" s="56" t="inlineStr">
        <is>
          <t>7</t>
        </is>
      </c>
      <c r="N461" s="56" t="inlineStr">
        <is>
          <t>MEGH STEELS PRIVATE LIMITED - TVS A</t>
        </is>
      </c>
      <c r="O461" s="58" t="n">
        <v>14</v>
      </c>
      <c r="P461" s="59" t="inlineStr">
        <is>
          <t>0-30</t>
        </is>
      </c>
      <c r="Q461" s="56" t="inlineStr">
        <is>
          <t>Apoorv</t>
        </is>
      </c>
      <c r="U461" s="585" t="n">
        <v>437144</v>
      </c>
      <c r="V461" t="n">
        <v>19.05</v>
      </c>
      <c r="W461" t="n">
        <v>0</v>
      </c>
      <c r="X461" t="n">
        <v>2.3</v>
      </c>
      <c r="Y461" t="n">
        <v>0.585</v>
      </c>
      <c r="Z461" t="inlineStr">
        <is>
          <t>TPT</t>
        </is>
      </c>
      <c r="AA461" t="inlineStr">
        <is>
          <t>PE</t>
        </is>
      </c>
      <c r="AB461" t="inlineStr">
        <is>
          <t>AW</t>
        </is>
      </c>
      <c r="AC461" t="inlineStr">
        <is>
          <t>19.05-0-2.3-ERW 1-PE</t>
        </is>
      </c>
      <c r="AD461" t="inlineStr">
        <is>
          <t>CTL</t>
        </is>
      </c>
      <c r="AE461" t="inlineStr">
        <is>
          <t>19.05-0-2.3-ERW 1-PE-0.585</t>
        </is>
      </c>
      <c r="AF461" t="n">
        <v>0.5555175941249999</v>
      </c>
    </row>
    <row r="462">
      <c r="A462" s="56" t="n">
        <v>3841884</v>
      </c>
      <c r="B462" s="56" t="inlineStr">
        <is>
          <t>TUB-O-N-AUT-AW-FC-38.10X1.600X0.8750</t>
        </is>
      </c>
      <c r="C462" s="56" t="inlineStr">
        <is>
          <t>5110AH2020</t>
        </is>
      </c>
      <c r="D462" s="57" t="n">
        <v>1820.346</v>
      </c>
      <c r="E462" s="58" t="n">
        <v>2294</v>
      </c>
      <c r="F462" s="57" t="n">
        <v>2.294</v>
      </c>
      <c r="G462" s="56" t="inlineStr">
        <is>
          <t>KG</t>
        </is>
      </c>
      <c r="H462" s="56" t="inlineStr">
        <is>
          <t>R001</t>
        </is>
      </c>
      <c r="I462" s="56" t="inlineStr">
        <is>
          <t>0789</t>
        </is>
      </c>
      <c r="J462" s="56" t="inlineStr">
        <is>
          <t>1820</t>
        </is>
      </c>
      <c r="K462" s="57" t="n">
        <v>1592.834</v>
      </c>
      <c r="L462" s="56" t="inlineStr">
        <is>
          <t>9518397264/ 7</t>
        </is>
      </c>
      <c r="M462" s="56" t="inlineStr">
        <is>
          <t>7</t>
        </is>
      </c>
      <c r="N462" s="56" t="inlineStr">
        <is>
          <t>MEGH STEELS PRIVATE LIMITED - TVS A</t>
        </is>
      </c>
      <c r="O462" s="58" t="n">
        <v>2</v>
      </c>
      <c r="P462" s="59" t="inlineStr">
        <is>
          <t>0-30</t>
        </is>
      </c>
      <c r="Q462" s="56" t="inlineStr">
        <is>
          <t>Apoorv</t>
        </is>
      </c>
      <c r="U462" s="585" t="n">
        <v>1940327</v>
      </c>
      <c r="V462" t="n">
        <v>19.05</v>
      </c>
      <c r="W462" t="n">
        <v>0</v>
      </c>
      <c r="X462" t="n">
        <v>2.3</v>
      </c>
      <c r="Y462" t="n">
        <v>0.585</v>
      </c>
      <c r="Z462" t="inlineStr">
        <is>
          <t>GR1</t>
        </is>
      </c>
      <c r="AA462" t="inlineStr">
        <is>
          <t>PE</t>
        </is>
      </c>
      <c r="AB462" t="inlineStr">
        <is>
          <t>AW</t>
        </is>
      </c>
      <c r="AC462" t="inlineStr">
        <is>
          <t>19.05-0-2.3-ERW 1-PE</t>
        </is>
      </c>
      <c r="AD462" t="inlineStr">
        <is>
          <t>CTL</t>
        </is>
      </c>
      <c r="AE462" t="inlineStr">
        <is>
          <t>19.05-0-2.3-ERW 1-PE-0.585</t>
        </is>
      </c>
      <c r="AF462" t="n">
        <v>0.5555175941249999</v>
      </c>
    </row>
    <row r="463">
      <c r="A463" s="56" t="n">
        <v>3850310</v>
      </c>
      <c r="B463" s="56" t="inlineStr">
        <is>
          <t>CUT-O-N-AUT-AW-PE-19.05X1.600X0.2680</t>
        </is>
      </c>
      <c r="C463" s="56" t="inlineStr">
        <is>
          <t>4A11H35136</t>
        </is>
      </c>
      <c r="D463" s="57" t="n">
        <v>1251.999</v>
      </c>
      <c r="E463" s="57" t="n">
        <v>223.134</v>
      </c>
      <c r="F463" s="57" t="n">
        <v>0.223134</v>
      </c>
      <c r="G463" s="56" t="inlineStr">
        <is>
          <t>KG</t>
        </is>
      </c>
      <c r="H463" s="56" t="inlineStr">
        <is>
          <t>R001</t>
        </is>
      </c>
      <c r="I463" s="56" t="inlineStr">
        <is>
          <t>0789</t>
        </is>
      </c>
      <c r="J463" s="56" t="inlineStr">
        <is>
          <t>1780</t>
        </is>
      </c>
      <c r="K463" s="57" t="n">
        <v>335.534</v>
      </c>
      <c r="L463" s="56" t="inlineStr">
        <is>
          <t>9518390450/ 12</t>
        </is>
      </c>
      <c r="M463" s="56" t="inlineStr">
        <is>
          <t>12</t>
        </is>
      </c>
      <c r="N463" s="56" t="inlineStr">
        <is>
          <t>SRIKAM HITECH ENGINEERING PRIVATE L</t>
        </is>
      </c>
      <c r="O463" s="58" t="n">
        <v>88</v>
      </c>
      <c r="P463" s="59" t="inlineStr">
        <is>
          <t>61-90</t>
        </is>
      </c>
      <c r="Q463" s="56" t="inlineStr">
        <is>
          <t>Apoorv</t>
        </is>
      </c>
      <c r="U463" s="585" t="n">
        <v>3535743</v>
      </c>
      <c r="V463" t="n">
        <v>19.05</v>
      </c>
      <c r="W463" t="n">
        <v>0</v>
      </c>
      <c r="X463" t="n">
        <v>2.3</v>
      </c>
      <c r="Y463" t="n">
        <v>0.6</v>
      </c>
      <c r="Z463" t="inlineStr">
        <is>
          <t>HROP</t>
        </is>
      </c>
      <c r="AA463" t="inlineStr">
        <is>
          <t>PE</t>
        </is>
      </c>
      <c r="AB463" t="inlineStr">
        <is>
          <t>AW</t>
        </is>
      </c>
      <c r="AC463" t="inlineStr">
        <is>
          <t>19.05-0-2.3-ERW 1-PE</t>
        </is>
      </c>
      <c r="AD463" t="inlineStr">
        <is>
          <t>CTL</t>
        </is>
      </c>
      <c r="AE463" t="inlineStr">
        <is>
          <t>19.05-0-2.3-ERW 1-PE-0.6</t>
        </is>
      </c>
      <c r="AF463" t="n">
        <v>0.569761635</v>
      </c>
    </row>
    <row r="464">
      <c r="A464" s="56" t="n">
        <v>3850310</v>
      </c>
      <c r="B464" s="56" t="inlineStr">
        <is>
          <t>CUT-O-N-AUT-AW-PE-19.05X1.600X0.2680</t>
        </is>
      </c>
      <c r="C464" s="56" t="inlineStr">
        <is>
          <t>4A27H36478</t>
        </is>
      </c>
      <c r="D464" s="57" t="n">
        <v>440.069</v>
      </c>
      <c r="E464" s="57" t="n">
        <v>78.43000000000001</v>
      </c>
      <c r="F464" s="57" t="n">
        <v>0.07843000000000001</v>
      </c>
      <c r="G464" s="56" t="inlineStr">
        <is>
          <t>KG</t>
        </is>
      </c>
      <c r="H464" s="56" t="inlineStr">
        <is>
          <t>R001</t>
        </is>
      </c>
      <c r="I464" s="56" t="inlineStr">
        <is>
          <t>0789</t>
        </is>
      </c>
      <c r="J464" s="56" t="inlineStr">
        <is>
          <t>2000</t>
        </is>
      </c>
      <c r="K464" s="57" t="n">
        <v>117.938</v>
      </c>
      <c r="L464" s="56" t="inlineStr">
        <is>
          <t>9518390450/ 12</t>
        </is>
      </c>
      <c r="M464" s="56" t="inlineStr">
        <is>
          <t>12</t>
        </is>
      </c>
      <c r="N464" s="56" t="inlineStr">
        <is>
          <t>SRIKAM HITECH ENGINEERING PRIVATE L</t>
        </is>
      </c>
      <c r="O464" s="58" t="n">
        <v>78</v>
      </c>
      <c r="P464" s="59" t="inlineStr">
        <is>
          <t>61-90</t>
        </is>
      </c>
      <c r="Q464" s="56" t="inlineStr">
        <is>
          <t>Apoorv</t>
        </is>
      </c>
      <c r="U464" s="585" t="n">
        <v>1940328</v>
      </c>
      <c r="V464" t="n">
        <v>19.05</v>
      </c>
      <c r="W464" t="n">
        <v>0</v>
      </c>
      <c r="X464" t="n">
        <v>2.3</v>
      </c>
      <c r="Y464" t="n">
        <v>0.6</v>
      </c>
      <c r="Z464" t="inlineStr">
        <is>
          <t>GR1</t>
        </is>
      </c>
      <c r="AA464" t="inlineStr">
        <is>
          <t>PE</t>
        </is>
      </c>
      <c r="AB464" t="inlineStr">
        <is>
          <t>AW</t>
        </is>
      </c>
      <c r="AC464" t="inlineStr">
        <is>
          <t>19.05-0-2.3-ERW 1-PE</t>
        </is>
      </c>
      <c r="AD464" t="inlineStr">
        <is>
          <t>CTL</t>
        </is>
      </c>
      <c r="AF464" t="n">
        <v>0.569761635</v>
      </c>
    </row>
    <row r="465">
      <c r="A465" s="56" t="n">
        <v>3850310</v>
      </c>
      <c r="B465" s="56" t="inlineStr">
        <is>
          <t>CUT-O-N-AUT-AW-PE-19.05X1.600X0.2680</t>
        </is>
      </c>
      <c r="C465" s="56" t="inlineStr">
        <is>
          <t>4C27H40593</t>
        </is>
      </c>
      <c r="D465" s="57" t="n">
        <v>10514.963</v>
      </c>
      <c r="E465" s="58" t="n">
        <v>1874</v>
      </c>
      <c r="F465" s="57" t="n">
        <v>1.874</v>
      </c>
      <c r="G465" s="56" t="inlineStr">
        <is>
          <t>KG</t>
        </is>
      </c>
      <c r="H465" s="56" t="inlineStr">
        <is>
          <t>R001</t>
        </is>
      </c>
      <c r="I465" s="56" t="inlineStr">
        <is>
          <t>0789</t>
        </is>
      </c>
      <c r="J465" s="56" t="inlineStr">
        <is>
          <t>10150</t>
        </is>
      </c>
      <c r="K465" s="57" t="n">
        <v>2817.998</v>
      </c>
      <c r="L465" s="56" t="inlineStr">
        <is>
          <t>9518390450/ 12</t>
        </is>
      </c>
      <c r="M465" s="56" t="inlineStr">
        <is>
          <t>12</t>
        </is>
      </c>
      <c r="N465" s="56" t="inlineStr">
        <is>
          <t>SRIKAM HITECH ENGINEERING PRIVATE L</t>
        </is>
      </c>
      <c r="O465" s="58" t="n">
        <v>17</v>
      </c>
      <c r="P465" s="59" t="inlineStr">
        <is>
          <t>0-30</t>
        </is>
      </c>
      <c r="Q465" s="56" t="inlineStr">
        <is>
          <t>Apoorv</t>
        </is>
      </c>
      <c r="U465" s="585" t="n">
        <v>3508521</v>
      </c>
      <c r="V465" t="n">
        <v>19.05</v>
      </c>
      <c r="W465" t="n">
        <v>0</v>
      </c>
      <c r="X465" t="n">
        <v>2.3</v>
      </c>
      <c r="Y465" t="n">
        <v>0.61</v>
      </c>
      <c r="Z465" t="inlineStr"/>
      <c r="AA465" t="inlineStr">
        <is>
          <t>PE</t>
        </is>
      </c>
      <c r="AB465" t="inlineStr">
        <is>
          <t>AW</t>
        </is>
      </c>
      <c r="AC465" t="inlineStr">
        <is>
          <t>19.05-0-2.3-ERW 1-PE</t>
        </is>
      </c>
      <c r="AD465" t="inlineStr">
        <is>
          <t>CTL</t>
        </is>
      </c>
      <c r="AE465" t="inlineStr">
        <is>
          <t>19.05-0-2.3-ERW 1-PE-0.61</t>
        </is>
      </c>
      <c r="AF465" t="n">
        <v>0.57925766225</v>
      </c>
    </row>
    <row r="466">
      <c r="A466" s="56" t="n">
        <v>3850310</v>
      </c>
      <c r="B466" s="56" t="inlineStr">
        <is>
          <t>CUT-O-N-AUT-AW-PE-19.05X1.600X0.2680</t>
        </is>
      </c>
      <c r="C466" s="56" t="inlineStr">
        <is>
          <t>4C27H40594</t>
        </is>
      </c>
      <c r="D466" s="57" t="n">
        <v>1189.526</v>
      </c>
      <c r="E466" s="58" t="n">
        <v>212</v>
      </c>
      <c r="F466" s="57" t="n">
        <v>0.212</v>
      </c>
      <c r="G466" s="56" t="inlineStr">
        <is>
          <t>KG</t>
        </is>
      </c>
      <c r="H466" s="56" t="inlineStr">
        <is>
          <t>R001</t>
        </is>
      </c>
      <c r="I466" s="56" t="inlineStr">
        <is>
          <t>0789</t>
        </is>
      </c>
      <c r="J466" s="56" t="inlineStr"/>
      <c r="K466" s="57" t="n">
        <v>318.792</v>
      </c>
      <c r="L466" s="56" t="inlineStr">
        <is>
          <t>9518390450/ 12</t>
        </is>
      </c>
      <c r="M466" s="56" t="inlineStr">
        <is>
          <t>12</t>
        </is>
      </c>
      <c r="N466" s="56" t="inlineStr">
        <is>
          <t>SRIKAM HITECH ENGINEERING PRIVATE L</t>
        </is>
      </c>
      <c r="O466" s="58" t="n">
        <v>16</v>
      </c>
      <c r="P466" s="59" t="inlineStr">
        <is>
          <t>0-30</t>
        </is>
      </c>
      <c r="Q466" s="56" t="inlineStr">
        <is>
          <t>Apoorv</t>
        </is>
      </c>
      <c r="U466" s="585" t="n">
        <v>1940329</v>
      </c>
      <c r="V466" t="n">
        <v>19.05</v>
      </c>
      <c r="W466" t="n">
        <v>0</v>
      </c>
      <c r="X466" t="n">
        <v>2.3</v>
      </c>
      <c r="Y466" t="n">
        <v>0.61</v>
      </c>
      <c r="Z466" t="inlineStr">
        <is>
          <t>GR1</t>
        </is>
      </c>
      <c r="AA466" t="inlineStr">
        <is>
          <t>PE</t>
        </is>
      </c>
      <c r="AB466" t="inlineStr">
        <is>
          <t>AW</t>
        </is>
      </c>
      <c r="AC466" t="inlineStr">
        <is>
          <t>19.05-0-2.3-ERW 1-PE</t>
        </is>
      </c>
      <c r="AD466" t="inlineStr">
        <is>
          <t>CTL</t>
        </is>
      </c>
      <c r="AE466" t="inlineStr">
        <is>
          <t>19.05-0-2.3-ERW 1-PE-0.61</t>
        </is>
      </c>
      <c r="AF466" t="n">
        <v>0.57925766225</v>
      </c>
    </row>
    <row r="467">
      <c r="A467" s="56" t="n">
        <v>3893101</v>
      </c>
      <c r="B467" s="56" t="inlineStr">
        <is>
          <t>TUB-O-N-AUT-AW-FC-57.15X2.500X6.5000</t>
        </is>
      </c>
      <c r="C467" s="56" t="inlineStr">
        <is>
          <t>4817H30466</t>
        </is>
      </c>
      <c r="D467" s="57" t="n">
        <v>5.206</v>
      </c>
      <c r="E467" s="57" t="n">
        <v>114.015</v>
      </c>
      <c r="F467" s="57" t="n">
        <v>0.114015</v>
      </c>
      <c r="G467" s="56" t="inlineStr">
        <is>
          <t>KG</t>
        </is>
      </c>
      <c r="H467" s="56" t="inlineStr">
        <is>
          <t>R001</t>
        </is>
      </c>
      <c r="I467" s="56" t="inlineStr">
        <is>
          <t>0789</t>
        </is>
      </c>
      <c r="J467" s="56" t="inlineStr">
        <is>
          <t>58</t>
        </is>
      </c>
      <c r="K467" s="57" t="n">
        <v>33.838</v>
      </c>
      <c r="L467" s="56" t="inlineStr">
        <is>
          <t>9518254961/ 2</t>
        </is>
      </c>
      <c r="M467" s="56" t="inlineStr">
        <is>
          <t>2</t>
        </is>
      </c>
      <c r="N467" s="56" t="inlineStr">
        <is>
          <t>MEGH STEELS PRIVATE LIMITED - TVS A</t>
        </is>
      </c>
      <c r="O467" s="58" t="n">
        <v>59</v>
      </c>
      <c r="P467" s="59" t="inlineStr">
        <is>
          <t>31-60</t>
        </is>
      </c>
      <c r="Q467" s="56" t="inlineStr">
        <is>
          <t>Apoorv</t>
        </is>
      </c>
      <c r="U467" s="585" t="n">
        <v>1372704</v>
      </c>
      <c r="V467" t="n">
        <v>19.05</v>
      </c>
      <c r="W467" t="n">
        <v>0</v>
      </c>
      <c r="X467" t="n">
        <v>2.3</v>
      </c>
      <c r="Y467" t="n">
        <v>0.61</v>
      </c>
      <c r="Z467" t="inlineStr"/>
      <c r="AA467" t="inlineStr">
        <is>
          <t>PE</t>
        </is>
      </c>
      <c r="AB467" t="inlineStr">
        <is>
          <t>AW</t>
        </is>
      </c>
      <c r="AC467" t="inlineStr">
        <is>
          <t>19.05-0-2.3-ERW 1-PE</t>
        </is>
      </c>
      <c r="AD467" t="inlineStr">
        <is>
          <t>CTL</t>
        </is>
      </c>
      <c r="AE467" t="inlineStr">
        <is>
          <t>19.05-0-2.3-ERW 1-PE-0.61</t>
        </is>
      </c>
      <c r="AF467" t="n">
        <v>0.57925766225</v>
      </c>
    </row>
    <row r="468">
      <c r="A468" s="56" t="n">
        <v>3893101</v>
      </c>
      <c r="B468" s="56" t="inlineStr">
        <is>
          <t>TUB-O-N-AUT-AW-FC-57.15X2.500X6.5000</t>
        </is>
      </c>
      <c r="C468" s="56" t="inlineStr">
        <is>
          <t>4B08H37143</t>
        </is>
      </c>
      <c r="D468" s="57" t="n">
        <v>14.246</v>
      </c>
      <c r="E468" s="58" t="n">
        <v>312</v>
      </c>
      <c r="F468" s="57" t="n">
        <v>0.312</v>
      </c>
      <c r="G468" s="56" t="inlineStr">
        <is>
          <t>KG</t>
        </is>
      </c>
      <c r="H468" s="56" t="inlineStr">
        <is>
          <t>R001</t>
        </is>
      </c>
      <c r="I468" s="56" t="inlineStr">
        <is>
          <t>0789</t>
        </is>
      </c>
      <c r="J468" s="56" t="inlineStr">
        <is>
          <t>15</t>
        </is>
      </c>
      <c r="K468" s="57" t="n">
        <v>92.598</v>
      </c>
      <c r="L468" s="56" t="inlineStr">
        <is>
          <t>9518254961/ 2</t>
        </is>
      </c>
      <c r="M468" s="56" t="inlineStr">
        <is>
          <t>2</t>
        </is>
      </c>
      <c r="N468" s="56" t="inlineStr">
        <is>
          <t>MEGH STEELS PRIVATE LIMITED - TVS A</t>
        </is>
      </c>
      <c r="O468" s="58" t="n">
        <v>28</v>
      </c>
      <c r="P468" s="59" t="inlineStr">
        <is>
          <t>0-30</t>
        </is>
      </c>
      <c r="Q468" s="56" t="inlineStr">
        <is>
          <t>Apoorv</t>
        </is>
      </c>
      <c r="U468" t="n">
        <v>3984123</v>
      </c>
      <c r="V468" t="n">
        <v>19.05</v>
      </c>
      <c r="W468" t="n">
        <v>0</v>
      </c>
      <c r="X468" t="n">
        <v>2.3</v>
      </c>
      <c r="Y468" t="n">
        <v>0.739</v>
      </c>
      <c r="Z468" t="inlineStr">
        <is>
          <t>GR1</t>
        </is>
      </c>
      <c r="AA468" t="inlineStr">
        <is>
          <t>054</t>
        </is>
      </c>
      <c r="AB468" t="inlineStr">
        <is>
          <t>AW</t>
        </is>
      </c>
      <c r="AC468" t="inlineStr">
        <is>
          <t>19.05-0-2.3-ERW 1-PE</t>
        </is>
      </c>
      <c r="AD468" t="inlineStr">
        <is>
          <t>CTL</t>
        </is>
      </c>
      <c r="AE468" t="inlineStr">
        <is>
          <t>19.05-0-2.3-ERW 1-PE-0.739</t>
        </is>
      </c>
      <c r="AF468" t="n">
        <v>0.701756413775</v>
      </c>
    </row>
    <row r="469">
      <c r="A469" s="56" t="n">
        <v>3909479</v>
      </c>
      <c r="B469" s="56" t="inlineStr">
        <is>
          <t>TUB-O-N-AUT-AW-FC-48.60X3.500X4.6500</t>
        </is>
      </c>
      <c r="C469" s="56" t="inlineStr">
        <is>
          <t>4C18CH2130</t>
        </is>
      </c>
      <c r="D469" s="57" t="n">
        <v>71.815</v>
      </c>
      <c r="E469" s="58" t="n">
        <v>1300</v>
      </c>
      <c r="F469" s="57" t="n">
        <v>1.3</v>
      </c>
      <c r="G469" s="56" t="inlineStr">
        <is>
          <t>KG</t>
        </is>
      </c>
      <c r="H469" s="56" t="inlineStr">
        <is>
          <t>R001</t>
        </is>
      </c>
      <c r="I469" s="56" t="inlineStr">
        <is>
          <t>0789</t>
        </is>
      </c>
      <c r="J469" s="56" t="inlineStr">
        <is>
          <t>75</t>
        </is>
      </c>
      <c r="K469" s="57" t="n">
        <v>333.95</v>
      </c>
      <c r="L469" s="56" t="inlineStr"/>
      <c r="M469" s="56" t="inlineStr">
        <is>
          <t>0</t>
        </is>
      </c>
      <c r="N469" s="56" t="inlineStr">
        <is>
          <t>Metalman Auto Private Limited</t>
        </is>
      </c>
      <c r="O469" s="58" t="n">
        <v>6</v>
      </c>
      <c r="P469" s="59" t="inlineStr">
        <is>
          <t>0-30</t>
        </is>
      </c>
      <c r="Q469" s="56" t="inlineStr">
        <is>
          <t>Jitendra Kumar Sharma</t>
        </is>
      </c>
      <c r="U469" t="n">
        <v>3984124</v>
      </c>
      <c r="V469" t="n">
        <v>19.05</v>
      </c>
      <c r="W469" t="n">
        <v>0</v>
      </c>
      <c r="X469" t="n">
        <v>2.3</v>
      </c>
      <c r="Y469" t="n">
        <v>0.887</v>
      </c>
      <c r="Z469" t="inlineStr">
        <is>
          <t>GR1</t>
        </is>
      </c>
      <c r="AA469" t="inlineStr">
        <is>
          <t>054</t>
        </is>
      </c>
      <c r="AB469" t="inlineStr">
        <is>
          <t>AW</t>
        </is>
      </c>
      <c r="AC469" t="inlineStr">
        <is>
          <t>19.05-0-2.3-ERW 1-PE</t>
        </is>
      </c>
      <c r="AD469" t="inlineStr">
        <is>
          <t>CTL</t>
        </is>
      </c>
      <c r="AE469" t="inlineStr">
        <is>
          <t>19.05-0-2.3-ERW 1-PE-0.887</t>
        </is>
      </c>
      <c r="AF469" t="n">
        <v>0.8422976170749999</v>
      </c>
    </row>
    <row r="470">
      <c r="A470" s="56" t="n">
        <v>3909479</v>
      </c>
      <c r="B470" s="56" t="inlineStr">
        <is>
          <t>TUB-O-N-AUT-AW-FC-48.60X3.500X4.6500</t>
        </is>
      </c>
      <c r="C470" s="56" t="inlineStr">
        <is>
          <t>4C19AH2040</t>
        </is>
      </c>
      <c r="D470" s="57" t="n">
        <v>20.384</v>
      </c>
      <c r="E470" s="58" t="n">
        <v>369</v>
      </c>
      <c r="F470" s="57" t="n">
        <v>0.369</v>
      </c>
      <c r="G470" s="56" t="inlineStr">
        <is>
          <t>KG</t>
        </is>
      </c>
      <c r="H470" s="56" t="inlineStr">
        <is>
          <t>R001</t>
        </is>
      </c>
      <c r="I470" s="56" t="inlineStr">
        <is>
          <t>0789</t>
        </is>
      </c>
      <c r="J470" s="56" t="inlineStr">
        <is>
          <t>74</t>
        </is>
      </c>
      <c r="K470" s="57" t="n">
        <v>94.79000000000001</v>
      </c>
      <c r="L470" s="56" t="inlineStr"/>
      <c r="M470" s="56" t="inlineStr">
        <is>
          <t>0</t>
        </is>
      </c>
      <c r="N470" s="56" t="inlineStr">
        <is>
          <t>Metalman Auto Private Limited</t>
        </is>
      </c>
      <c r="O470" s="58" t="n">
        <v>18</v>
      </c>
      <c r="P470" s="59" t="inlineStr">
        <is>
          <t>0-30</t>
        </is>
      </c>
      <c r="Q470" s="56" t="inlineStr">
        <is>
          <t>Jitendra Kumar Sharma</t>
        </is>
      </c>
      <c r="U470" s="586" t="n">
        <v>111002664</v>
      </c>
      <c r="V470" t="n">
        <v>19.05</v>
      </c>
      <c r="W470" t="n">
        <v>0</v>
      </c>
      <c r="X470" t="n">
        <v>2.3</v>
      </c>
      <c r="Y470" t="n">
        <v>5.58</v>
      </c>
      <c r="Z470" t="inlineStr">
        <is>
          <t>HROP</t>
        </is>
      </c>
      <c r="AA470" t="inlineStr">
        <is>
          <t>PE</t>
        </is>
      </c>
      <c r="AB470" t="inlineStr">
        <is>
          <t>AW</t>
        </is>
      </c>
      <c r="AC470" t="inlineStr">
        <is>
          <t>19.05-0-2.3-ERW 1-PE</t>
        </is>
      </c>
      <c r="AD470" t="inlineStr">
        <is>
          <t>LL</t>
        </is>
      </c>
      <c r="AE470" t="inlineStr">
        <is>
          <t>19.05-0-2.3-ERW 1-PE-1</t>
        </is>
      </c>
      <c r="AF470" t="n">
        <v>0.949602725</v>
      </c>
    </row>
    <row r="471">
      <c r="A471" s="56" t="n">
        <v>3910648</v>
      </c>
      <c r="B471" s="56" t="inlineStr">
        <is>
          <t>CUT-O-N-AUT-AW-FC-41.28X2.600X0.8500</t>
        </is>
      </c>
      <c r="C471" s="56" t="inlineStr">
        <is>
          <t>SEN25010R3</t>
        </is>
      </c>
      <c r="D471" s="57" t="n">
        <v>410</v>
      </c>
      <c r="E471" s="57" t="n">
        <v>833.2430000000001</v>
      </c>
      <c r="F471" s="57" t="n">
        <v>0.8332430000000001</v>
      </c>
      <c r="G471" s="56" t="inlineStr">
        <is>
          <t>KG</t>
        </is>
      </c>
      <c r="H471" s="56" t="inlineStr">
        <is>
          <t>R001</t>
        </is>
      </c>
      <c r="I471" s="56" t="inlineStr">
        <is>
          <t>0789</t>
        </is>
      </c>
      <c r="J471" s="56" t="inlineStr"/>
      <c r="K471" s="57" t="n">
        <v>348.506</v>
      </c>
      <c r="L471" s="56" t="inlineStr">
        <is>
          <t>9518397914/ 8</t>
        </is>
      </c>
      <c r="M471" s="56" t="inlineStr">
        <is>
          <t>8</t>
        </is>
      </c>
      <c r="N471" s="56" t="inlineStr">
        <is>
          <t>Sandhar EngineeringPvt.Ltd.(KA)-Uni</t>
        </is>
      </c>
      <c r="O471" s="58" t="n">
        <v>6</v>
      </c>
      <c r="P471" s="59" t="inlineStr">
        <is>
          <t>0-30</t>
        </is>
      </c>
      <c r="Q471" s="56" t="inlineStr">
        <is>
          <t>Jitendra Kumar Sharma</t>
        </is>
      </c>
      <c r="U471" s="586" t="n">
        <v>111106948</v>
      </c>
      <c r="V471" t="n">
        <v>19.05</v>
      </c>
      <c r="W471" t="n">
        <v>0</v>
      </c>
      <c r="X471" t="n">
        <v>2.3</v>
      </c>
      <c r="Y471" t="n">
        <v>5.63</v>
      </c>
      <c r="Z471" t="inlineStr">
        <is>
          <t>HROP</t>
        </is>
      </c>
      <c r="AA471" t="inlineStr">
        <is>
          <t>PE</t>
        </is>
      </c>
      <c r="AB471" t="inlineStr">
        <is>
          <t>AW</t>
        </is>
      </c>
      <c r="AC471" t="inlineStr">
        <is>
          <t>19.05-0-2.3-ERW 1-PE</t>
        </is>
      </c>
      <c r="AD471" t="inlineStr">
        <is>
          <t>LL</t>
        </is>
      </c>
      <c r="AE471" t="inlineStr">
        <is>
          <t>19.05-0-2.3-ERW 1-PE-1</t>
        </is>
      </c>
      <c r="AF471" t="n">
        <v>0.949602725</v>
      </c>
    </row>
    <row r="472">
      <c r="A472" s="56" t="n">
        <v>3911992</v>
      </c>
      <c r="B472" s="56" t="inlineStr">
        <is>
          <t>CUT-O-N-AUT-AW-FC-34.93X2.300X0.3340</t>
        </is>
      </c>
      <c r="C472" s="56" t="inlineStr">
        <is>
          <t>4C09AH2020</t>
        </is>
      </c>
      <c r="D472" s="57" t="n">
        <v>341.482</v>
      </c>
      <c r="E472" s="57" t="n">
        <v>211.093</v>
      </c>
      <c r="F472" s="57" t="n">
        <v>0.211093</v>
      </c>
      <c r="G472" s="56" t="inlineStr">
        <is>
          <t>KG</t>
        </is>
      </c>
      <c r="H472" s="56" t="inlineStr">
        <is>
          <t>R001</t>
        </is>
      </c>
      <c r="I472" s="56" t="inlineStr">
        <is>
          <t>0789</t>
        </is>
      </c>
      <c r="J472" s="56" t="inlineStr">
        <is>
          <t>1690</t>
        </is>
      </c>
      <c r="K472" s="57" t="n">
        <v>114.055</v>
      </c>
      <c r="L472" s="56" t="inlineStr">
        <is>
          <t>9518350424/ 4</t>
        </is>
      </c>
      <c r="M472" s="56" t="inlineStr">
        <is>
          <t>4</t>
        </is>
      </c>
      <c r="N472" s="56" t="inlineStr">
        <is>
          <t>ELKAYEM AUTO ANCILLARIES PRIVATE LI</t>
        </is>
      </c>
      <c r="O472" s="58" t="n">
        <v>23</v>
      </c>
      <c r="P472" s="59" t="inlineStr">
        <is>
          <t>0-30</t>
        </is>
      </c>
      <c r="Q472" s="56" t="inlineStr">
        <is>
          <t>Diwakar</t>
        </is>
      </c>
      <c r="U472" s="586" t="n">
        <v>111001373</v>
      </c>
      <c r="V472" t="n">
        <v>19.05</v>
      </c>
      <c r="W472" t="n">
        <v>0</v>
      </c>
      <c r="X472" t="n">
        <v>2.3</v>
      </c>
      <c r="Y472" t="n">
        <v>5.8</v>
      </c>
      <c r="Z472" t="inlineStr">
        <is>
          <t>HROP</t>
        </is>
      </c>
      <c r="AA472" t="inlineStr">
        <is>
          <t>PE</t>
        </is>
      </c>
      <c r="AB472" t="inlineStr">
        <is>
          <t>AW</t>
        </is>
      </c>
      <c r="AC472" t="inlineStr">
        <is>
          <t>19.05-0-2.3-ERW 1-PE</t>
        </is>
      </c>
      <c r="AD472" t="inlineStr">
        <is>
          <t>LL</t>
        </is>
      </c>
      <c r="AE472" t="inlineStr">
        <is>
          <t>19.05-0-2.3-ERW 1-PE-1</t>
        </is>
      </c>
      <c r="AF472" t="n">
        <v>0.949602725</v>
      </c>
    </row>
    <row r="473">
      <c r="A473" s="56" t="n">
        <v>3911992</v>
      </c>
      <c r="B473" s="56" t="inlineStr">
        <is>
          <t>CUT-O-N-AUT-AW-FC-34.93X2.300X0.3340</t>
        </is>
      </c>
      <c r="C473" s="56" t="inlineStr">
        <is>
          <t>4C17H39938</t>
        </is>
      </c>
      <c r="D473" s="57" t="n">
        <v>758.6950000000001</v>
      </c>
      <c r="E473" s="58" t="n">
        <v>469</v>
      </c>
      <c r="F473" s="57" t="n">
        <v>0.469</v>
      </c>
      <c r="G473" s="56" t="inlineStr">
        <is>
          <t>KG</t>
        </is>
      </c>
      <c r="H473" s="56" t="inlineStr">
        <is>
          <t>R001</t>
        </is>
      </c>
      <c r="I473" s="56" t="inlineStr">
        <is>
          <t>0789</t>
        </is>
      </c>
      <c r="J473" s="56" t="inlineStr">
        <is>
          <t>759</t>
        </is>
      </c>
      <c r="K473" s="57" t="n">
        <v>253.404</v>
      </c>
      <c r="L473" s="56" t="inlineStr">
        <is>
          <t>9518350424/ 4</t>
        </is>
      </c>
      <c r="M473" s="56" t="inlineStr">
        <is>
          <t>4</t>
        </is>
      </c>
      <c r="N473" s="56" t="inlineStr">
        <is>
          <t>ELKAYEM AUTO ANCILLARIES PRIVATE LI</t>
        </is>
      </c>
      <c r="O473" s="58" t="n">
        <v>23</v>
      </c>
      <c r="P473" s="59" t="inlineStr">
        <is>
          <t>0-30</t>
        </is>
      </c>
      <c r="Q473" s="56" t="inlineStr">
        <is>
          <t>Diwakar</t>
        </is>
      </c>
      <c r="U473" s="586" t="n">
        <v>110102449</v>
      </c>
      <c r="V473" t="n">
        <v>19.05</v>
      </c>
      <c r="W473" t="n">
        <v>0</v>
      </c>
      <c r="X473" t="n">
        <v>2.3</v>
      </c>
      <c r="Y473" t="n">
        <v>5.925</v>
      </c>
      <c r="Z473" t="inlineStr">
        <is>
          <t>GR1</t>
        </is>
      </c>
      <c r="AA473" t="inlineStr">
        <is>
          <t>PE</t>
        </is>
      </c>
      <c r="AB473" t="inlineStr">
        <is>
          <t>AW</t>
        </is>
      </c>
      <c r="AC473" t="inlineStr">
        <is>
          <t>19.05-0-2.3-ERW 1-PE</t>
        </is>
      </c>
      <c r="AD473" t="inlineStr">
        <is>
          <t>LL</t>
        </is>
      </c>
      <c r="AE473" t="inlineStr">
        <is>
          <t>19.05-0-2.3-ERW 1-PE-1</t>
        </is>
      </c>
      <c r="AF473" t="n">
        <v>0.949602725</v>
      </c>
    </row>
    <row r="474">
      <c r="A474" s="56" t="n">
        <v>3911993</v>
      </c>
      <c r="B474" s="56" t="inlineStr">
        <is>
          <t>CUT-O-N-AUT-AW-FC-34.93X2.300X1.5010</t>
        </is>
      </c>
      <c r="C474" s="56" t="inlineStr">
        <is>
          <t>SEN2501007</t>
        </is>
      </c>
      <c r="D474" s="57" t="n">
        <v>60</v>
      </c>
      <c r="E474" s="57" t="n">
        <v>166.686</v>
      </c>
      <c r="F474" s="57" t="n">
        <v>0.166686</v>
      </c>
      <c r="G474" s="56" t="inlineStr">
        <is>
          <t>KG</t>
        </is>
      </c>
      <c r="H474" s="56" t="inlineStr">
        <is>
          <t>R001</t>
        </is>
      </c>
      <c r="I474" s="56" t="inlineStr">
        <is>
          <t>0789</t>
        </is>
      </c>
      <c r="J474" s="56" t="inlineStr"/>
      <c r="K474" s="57" t="n">
        <v>90.062</v>
      </c>
      <c r="L474" s="56" t="inlineStr">
        <is>
          <t>9518350424/ 5</t>
        </is>
      </c>
      <c r="M474" s="56" t="inlineStr">
        <is>
          <t>5</t>
        </is>
      </c>
      <c r="N474" s="56" t="inlineStr">
        <is>
          <t>ELKAYEM AUTO ANCILLARIES PRIVATE LI</t>
        </is>
      </c>
      <c r="O474" s="58" t="n">
        <v>9</v>
      </c>
      <c r="P474" s="59" t="inlineStr">
        <is>
          <t>0-30</t>
        </is>
      </c>
      <c r="Q474" s="56" t="inlineStr">
        <is>
          <t>Diwakar</t>
        </is>
      </c>
      <c r="U474" s="585" t="n">
        <v>1940333</v>
      </c>
      <c r="V474" t="n">
        <v>19.05</v>
      </c>
      <c r="W474" t="n">
        <v>0</v>
      </c>
      <c r="X474" t="n">
        <v>2.3</v>
      </c>
      <c r="Y474" t="n">
        <v>6</v>
      </c>
      <c r="Z474" t="inlineStr">
        <is>
          <t>GR1</t>
        </is>
      </c>
      <c r="AA474" t="inlineStr">
        <is>
          <t>PE</t>
        </is>
      </c>
      <c r="AB474" t="inlineStr">
        <is>
          <t>AW</t>
        </is>
      </c>
      <c r="AC474" t="inlineStr">
        <is>
          <t>19.05-0-2.3-ERW 1-PE</t>
        </is>
      </c>
      <c r="AD474" t="inlineStr">
        <is>
          <t>LL</t>
        </is>
      </c>
      <c r="AE474" t="inlineStr">
        <is>
          <t>19.05-0-2.3-ERW 1-PE-1</t>
        </is>
      </c>
      <c r="AF474" t="n">
        <v>0.949602725</v>
      </c>
    </row>
    <row r="475">
      <c r="A475" s="56" t="n">
        <v>3924502</v>
      </c>
      <c r="B475" s="56" t="inlineStr">
        <is>
          <t>TUB-O-N-AUT-AW-FC-25.40X2.000X0.4700</t>
        </is>
      </c>
      <c r="C475" s="56" t="inlineStr">
        <is>
          <t>5111H41522</t>
        </is>
      </c>
      <c r="D475" s="57" t="n">
        <v>2058.404</v>
      </c>
      <c r="E475" s="58" t="n">
        <v>1091</v>
      </c>
      <c r="F475" s="57" t="n">
        <v>1.091</v>
      </c>
      <c r="G475" s="56" t="inlineStr">
        <is>
          <t>KG</t>
        </is>
      </c>
      <c r="H475" s="56" t="inlineStr">
        <is>
          <t>R001</t>
        </is>
      </c>
      <c r="I475" s="56" t="inlineStr">
        <is>
          <t>0789</t>
        </is>
      </c>
      <c r="J475" s="56" t="inlineStr"/>
      <c r="K475" s="57" t="n">
        <v>967.456</v>
      </c>
      <c r="L475" s="56" t="inlineStr">
        <is>
          <t>9518397914/ 9</t>
        </is>
      </c>
      <c r="M475" s="56" t="inlineStr">
        <is>
          <t>9</t>
        </is>
      </c>
      <c r="N475" s="56" t="inlineStr">
        <is>
          <t>Sandhar EngineeringPvt.Ltd.(KA)-Uni</t>
        </is>
      </c>
      <c r="O475" s="58" t="n">
        <v>2</v>
      </c>
      <c r="P475" s="59" t="inlineStr">
        <is>
          <t>0-30</t>
        </is>
      </c>
      <c r="Q475" s="56" t="inlineStr">
        <is>
          <t>Jitendra Kumar Sharma</t>
        </is>
      </c>
      <c r="U475" s="586" t="n">
        <v>110102474</v>
      </c>
      <c r="V475" t="n">
        <v>19.05</v>
      </c>
      <c r="W475" t="n">
        <v>0</v>
      </c>
      <c r="X475" t="n">
        <v>2.3</v>
      </c>
      <c r="Y475" t="n">
        <v>6</v>
      </c>
      <c r="Z475" t="inlineStr">
        <is>
          <t>GR1</t>
        </is>
      </c>
      <c r="AA475" t="inlineStr">
        <is>
          <t>PE</t>
        </is>
      </c>
      <c r="AB475" t="inlineStr">
        <is>
          <t>AW</t>
        </is>
      </c>
      <c r="AC475" t="inlineStr">
        <is>
          <t>19.05-0-2.3-ERW 1-PE</t>
        </is>
      </c>
      <c r="AD475" t="inlineStr">
        <is>
          <t>LL</t>
        </is>
      </c>
      <c r="AE475" t="inlineStr">
        <is>
          <t>19.05-0-2.3-ERW 1-PE-1</t>
        </is>
      </c>
      <c r="AF475" t="n">
        <v>0.949602725</v>
      </c>
    </row>
    <row r="476">
      <c r="A476" s="56" t="n">
        <v>1930110</v>
      </c>
      <c r="B476" s="56" t="inlineStr">
        <is>
          <t>TUB-O-C-CEW-AD-FC-29.40X4.500X5.2000</t>
        </is>
      </c>
      <c r="C476" s="56" t="inlineStr">
        <is>
          <t>4530AK3090</t>
        </is>
      </c>
      <c r="D476" s="57" t="n">
        <v>125.922</v>
      </c>
      <c r="E476" s="58" t="n">
        <v>1810</v>
      </c>
      <c r="F476" s="57" t="n">
        <v>1.81</v>
      </c>
      <c r="G476" s="56" t="inlineStr">
        <is>
          <t>KG</t>
        </is>
      </c>
      <c r="H476" s="56" t="inlineStr">
        <is>
          <t>R001</t>
        </is>
      </c>
      <c r="I476" s="56" t="inlineStr">
        <is>
          <t>0788</t>
        </is>
      </c>
      <c r="J476" s="56" t="inlineStr">
        <is>
          <t>126</t>
        </is>
      </c>
      <c r="K476" s="57" t="n">
        <v>654.777</v>
      </c>
      <c r="L476" s="56" t="inlineStr">
        <is>
          <t>9517656078/ 1</t>
        </is>
      </c>
      <c r="M476" s="56" t="inlineStr">
        <is>
          <t>1</t>
        </is>
      </c>
      <c r="N476" s="56" t="inlineStr">
        <is>
          <t>Kay Jay Forgings Pvt Ltd Unit Vi</t>
        </is>
      </c>
      <c r="O476" s="58" t="n">
        <v>2</v>
      </c>
      <c r="P476" s="59" t="inlineStr">
        <is>
          <t>0-30</t>
        </is>
      </c>
      <c r="Q476" s="56" t="inlineStr">
        <is>
          <t>Jitendra Kumar Sharma</t>
        </is>
      </c>
      <c r="U476" s="585" t="n">
        <v>1940335</v>
      </c>
      <c r="V476" t="n">
        <v>19.05</v>
      </c>
      <c r="W476" t="n">
        <v>0</v>
      </c>
      <c r="X476" t="n">
        <v>2.3</v>
      </c>
      <c r="Y476" t="n">
        <v>6.05</v>
      </c>
      <c r="Z476" t="inlineStr">
        <is>
          <t>GR1</t>
        </is>
      </c>
      <c r="AA476" t="inlineStr">
        <is>
          <t>PE</t>
        </is>
      </c>
      <c r="AB476" t="inlineStr">
        <is>
          <t>AW</t>
        </is>
      </c>
      <c r="AC476" t="inlineStr">
        <is>
          <t>19.05-0-2.3-ERW 1-PE</t>
        </is>
      </c>
      <c r="AD476" t="inlineStr">
        <is>
          <t>LL</t>
        </is>
      </c>
      <c r="AE476" t="inlineStr">
        <is>
          <t>19.05-0-2.3-ERW 1-PE-1</t>
        </is>
      </c>
      <c r="AF476" t="n">
        <v>0.949602725</v>
      </c>
    </row>
    <row r="477">
      <c r="A477" s="56" t="n">
        <v>1942166</v>
      </c>
      <c r="B477" s="56" t="inlineStr">
        <is>
          <t>TUB-O-C-AUT-AD-FC-30.00X2.250X5.9300</t>
        </is>
      </c>
      <c r="C477" s="56" t="inlineStr">
        <is>
          <t>4413AK3100</t>
        </is>
      </c>
      <c r="D477" s="57" t="n">
        <v>200.788</v>
      </c>
      <c r="E477" s="58" t="n">
        <v>1834</v>
      </c>
      <c r="F477" s="57" t="n">
        <v>1.834</v>
      </c>
      <c r="G477" s="56" t="inlineStr">
        <is>
          <t>KG</t>
        </is>
      </c>
      <c r="H477" s="56" t="inlineStr">
        <is>
          <t>R001</t>
        </is>
      </c>
      <c r="I477" s="56" t="inlineStr">
        <is>
          <t>0788</t>
        </is>
      </c>
      <c r="J477" s="56" t="inlineStr">
        <is>
          <t>201</t>
        </is>
      </c>
      <c r="K477" s="57" t="n">
        <v>1190.677</v>
      </c>
      <c r="L477" s="56" t="inlineStr">
        <is>
          <t>9517450413/ 1</t>
        </is>
      </c>
      <c r="M477" s="56" t="inlineStr">
        <is>
          <t>1</t>
        </is>
      </c>
      <c r="N477" s="56" t="inlineStr">
        <is>
          <t>Rajsriya Automotive Industries(P)</t>
        </is>
      </c>
      <c r="O477" s="58" t="n">
        <v>262</v>
      </c>
      <c r="P477" s="59" t="inlineStr">
        <is>
          <t>ABOVE 90</t>
        </is>
      </c>
      <c r="Q477" s="56" t="inlineStr">
        <is>
          <t>Apoorv</t>
        </is>
      </c>
      <c r="U477" s="585" t="n">
        <v>3682070</v>
      </c>
      <c r="V477" t="n">
        <v>19.05</v>
      </c>
      <c r="W477" t="n">
        <v>0</v>
      </c>
      <c r="X477" t="n">
        <v>2.3</v>
      </c>
      <c r="Y477" t="n">
        <v>6.05</v>
      </c>
      <c r="Z477" t="inlineStr"/>
      <c r="AA477" t="inlineStr">
        <is>
          <t>PE</t>
        </is>
      </c>
      <c r="AB477" t="inlineStr">
        <is>
          <t>AW</t>
        </is>
      </c>
      <c r="AC477" t="inlineStr">
        <is>
          <t>19.05-0-2.3-ERW 1-PE</t>
        </is>
      </c>
      <c r="AD477" t="inlineStr">
        <is>
          <t>LL</t>
        </is>
      </c>
      <c r="AE477" t="inlineStr">
        <is>
          <t>19.05-0-2.3-ERW 1-PE-1</t>
        </is>
      </c>
      <c r="AF477" t="n">
        <v>0.949602725</v>
      </c>
    </row>
    <row r="478">
      <c r="A478" s="56" t="n">
        <v>2410388</v>
      </c>
      <c r="B478" s="56" t="inlineStr">
        <is>
          <t>TUB-O-C-AUT-AD-FC-28.60X2.650X04-05</t>
        </is>
      </c>
      <c r="C478" s="56" t="inlineStr">
        <is>
          <t>4B2064660A</t>
        </is>
      </c>
      <c r="D478" s="57" t="n">
        <v>85.8</v>
      </c>
      <c r="E478" s="58" t="n">
        <v>655</v>
      </c>
      <c r="F478" s="57" t="n">
        <v>0.655</v>
      </c>
      <c r="G478" s="56" t="inlineStr">
        <is>
          <t>KG</t>
        </is>
      </c>
      <c r="H478" s="56" t="inlineStr">
        <is>
          <t>R001</t>
        </is>
      </c>
      <c r="I478" s="56" t="inlineStr">
        <is>
          <t>0788</t>
        </is>
      </c>
      <c r="J478" s="56" t="inlineStr">
        <is>
          <t>84</t>
        </is>
      </c>
      <c r="K478" s="57" t="n">
        <v>386.089</v>
      </c>
      <c r="L478" s="56" t="inlineStr">
        <is>
          <t>9518209794/ 2</t>
        </is>
      </c>
      <c r="M478" s="56" t="inlineStr">
        <is>
          <t>2</t>
        </is>
      </c>
      <c r="N478" s="56" t="inlineStr">
        <is>
          <t>MEGH STEELS PRIVATE LIMITED - TVS A</t>
        </is>
      </c>
      <c r="O478" s="58" t="n">
        <v>54</v>
      </c>
      <c r="P478" s="59" t="inlineStr">
        <is>
          <t>31-60</t>
        </is>
      </c>
      <c r="Q478" s="56" t="inlineStr">
        <is>
          <t>Apoorv</t>
        </is>
      </c>
      <c r="U478" s="586" t="n">
        <v>110102470</v>
      </c>
      <c r="V478" t="n">
        <v>19.05</v>
      </c>
      <c r="W478" t="n">
        <v>0</v>
      </c>
      <c r="X478" t="n">
        <v>2.3</v>
      </c>
      <c r="Y478" t="n">
        <v>6.1</v>
      </c>
      <c r="Z478" t="inlineStr">
        <is>
          <t>GR1</t>
        </is>
      </c>
      <c r="AA478" t="inlineStr">
        <is>
          <t>PE</t>
        </is>
      </c>
      <c r="AB478" t="inlineStr">
        <is>
          <t>AW</t>
        </is>
      </c>
      <c r="AC478" t="inlineStr">
        <is>
          <t>19.05-0-2.3-ERW 1-PE</t>
        </is>
      </c>
      <c r="AD478" t="inlineStr">
        <is>
          <t>LL</t>
        </is>
      </c>
      <c r="AE478" t="inlineStr">
        <is>
          <t>19.05-0-2.3-ERW 1-PE-1</t>
        </is>
      </c>
      <c r="AF478" t="n">
        <v>0.949602725</v>
      </c>
    </row>
    <row r="479">
      <c r="A479" s="56" t="n">
        <v>2410388</v>
      </c>
      <c r="B479" s="56" t="inlineStr">
        <is>
          <t>TUB-O-C-AUT-AD-FC-28.60X2.650X04-05</t>
        </is>
      </c>
      <c r="C479" s="56" t="inlineStr">
        <is>
          <t>4B2064660B</t>
        </is>
      </c>
      <c r="D479" s="57" t="n">
        <v>95.887</v>
      </c>
      <c r="E479" s="58" t="n">
        <v>732</v>
      </c>
      <c r="F479" s="57" t="n">
        <v>0.732</v>
      </c>
      <c r="G479" s="56" t="inlineStr">
        <is>
          <t>KG</t>
        </is>
      </c>
      <c r="H479" s="56" t="inlineStr">
        <is>
          <t>R001</t>
        </is>
      </c>
      <c r="I479" s="56" t="inlineStr">
        <is>
          <t>0788</t>
        </is>
      </c>
      <c r="J479" s="56" t="inlineStr">
        <is>
          <t>96</t>
        </is>
      </c>
      <c r="K479" s="57" t="n">
        <v>431.477</v>
      </c>
      <c r="L479" s="56" t="inlineStr">
        <is>
          <t>9518209794/ 2</t>
        </is>
      </c>
      <c r="M479" s="56" t="inlineStr">
        <is>
          <t>2</t>
        </is>
      </c>
      <c r="N479" s="56" t="inlineStr">
        <is>
          <t>MEGH STEELS PRIVATE LIMITED - TVS A</t>
        </is>
      </c>
      <c r="O479" s="58" t="n">
        <v>54</v>
      </c>
      <c r="P479" s="59" t="inlineStr">
        <is>
          <t>31-60</t>
        </is>
      </c>
      <c r="Q479" s="56" t="inlineStr">
        <is>
          <t>Apoorv</t>
        </is>
      </c>
      <c r="U479" s="585" t="n">
        <v>1940337</v>
      </c>
      <c r="V479" t="n">
        <v>19.05</v>
      </c>
      <c r="W479" t="n">
        <v>0</v>
      </c>
      <c r="X479" t="n">
        <v>2.3</v>
      </c>
      <c r="Y479" t="n">
        <v>6.32</v>
      </c>
      <c r="Z479" t="inlineStr">
        <is>
          <t>GR1</t>
        </is>
      </c>
      <c r="AA479" t="inlineStr">
        <is>
          <t>PE</t>
        </is>
      </c>
      <c r="AB479" t="inlineStr">
        <is>
          <t>AW</t>
        </is>
      </c>
      <c r="AC479" t="inlineStr">
        <is>
          <t>19.05-0-2.3-ERW 1-PE</t>
        </is>
      </c>
      <c r="AD479" t="inlineStr">
        <is>
          <t>LL</t>
        </is>
      </c>
      <c r="AE479" t="inlineStr">
        <is>
          <t>19.05-0-2.3-ERW 1-PE-1</t>
        </is>
      </c>
      <c r="AF479" t="n">
        <v>0.949602725</v>
      </c>
    </row>
    <row r="480">
      <c r="A480" s="56" t="n">
        <v>2410388</v>
      </c>
      <c r="B480" s="56" t="inlineStr">
        <is>
          <t>TUB-O-C-AUT-AD-FC-28.60X2.650X04-05</t>
        </is>
      </c>
      <c r="C480" s="56" t="inlineStr">
        <is>
          <t>4B2064660C</t>
        </is>
      </c>
      <c r="D480" s="57" t="n">
        <v>8.122</v>
      </c>
      <c r="E480" s="58" t="n">
        <v>62</v>
      </c>
      <c r="F480" s="57" t="n">
        <v>0.062</v>
      </c>
      <c r="G480" s="56" t="inlineStr">
        <is>
          <t>KG</t>
        </is>
      </c>
      <c r="H480" s="56" t="inlineStr">
        <is>
          <t>R001</t>
        </is>
      </c>
      <c r="I480" s="56" t="inlineStr">
        <is>
          <t>0788</t>
        </is>
      </c>
      <c r="J480" s="56" t="inlineStr">
        <is>
          <t>8</t>
        </is>
      </c>
      <c r="K480" s="57" t="n">
        <v>36.546</v>
      </c>
      <c r="L480" s="56" t="inlineStr">
        <is>
          <t>9518209794/ 2</t>
        </is>
      </c>
      <c r="M480" s="56" t="inlineStr">
        <is>
          <t>2</t>
        </is>
      </c>
      <c r="N480" s="56" t="inlineStr">
        <is>
          <t>MEGH STEELS PRIVATE LIMITED - TVS A</t>
        </is>
      </c>
      <c r="O480" s="58" t="n">
        <v>54</v>
      </c>
      <c r="P480" s="59" t="inlineStr">
        <is>
          <t>31-60</t>
        </is>
      </c>
      <c r="Q480" s="56" t="inlineStr">
        <is>
          <t>Apoorv</t>
        </is>
      </c>
      <c r="U480" s="586" t="n">
        <v>110102477</v>
      </c>
      <c r="V480" t="n">
        <v>19.05</v>
      </c>
      <c r="W480" t="n">
        <v>0</v>
      </c>
      <c r="X480" t="n">
        <v>2.3</v>
      </c>
      <c r="Y480" t="n">
        <v>6.32</v>
      </c>
      <c r="Z480" t="inlineStr">
        <is>
          <t>GR1</t>
        </is>
      </c>
      <c r="AA480" t="inlineStr">
        <is>
          <t>PE</t>
        </is>
      </c>
      <c r="AB480" t="inlineStr">
        <is>
          <t>AW</t>
        </is>
      </c>
      <c r="AC480" t="inlineStr">
        <is>
          <t>19.05-0-2.3-ERW 1-PE</t>
        </is>
      </c>
      <c r="AD480" t="inlineStr">
        <is>
          <t>LL</t>
        </is>
      </c>
      <c r="AE480" t="inlineStr">
        <is>
          <t>19.05-0-2.3-ERW 1-PE-1</t>
        </is>
      </c>
      <c r="AF480" t="n">
        <v>0.949602725</v>
      </c>
    </row>
    <row r="481">
      <c r="A481" s="56" t="n">
        <v>2410388</v>
      </c>
      <c r="B481" s="56" t="inlineStr">
        <is>
          <t>TUB-O-C-AUT-AD-FC-28.60X2.650X04-05</t>
        </is>
      </c>
      <c r="C481" s="56" t="inlineStr">
        <is>
          <t>4510CK2130</t>
        </is>
      </c>
      <c r="D481" s="57" t="n">
        <v>24.365</v>
      </c>
      <c r="E481" s="58" t="n">
        <v>186</v>
      </c>
      <c r="F481" s="57" t="n">
        <v>0.186</v>
      </c>
      <c r="G481" s="56" t="inlineStr">
        <is>
          <t>KG</t>
        </is>
      </c>
      <c r="H481" s="56" t="inlineStr">
        <is>
          <t>R001</t>
        </is>
      </c>
      <c r="I481" s="56" t="inlineStr">
        <is>
          <t>0788</t>
        </is>
      </c>
      <c r="J481" s="56" t="inlineStr">
        <is>
          <t>23</t>
        </is>
      </c>
      <c r="K481" s="57" t="n">
        <v>109.637</v>
      </c>
      <c r="L481" s="56" t="inlineStr">
        <is>
          <t>9518271483/ 3</t>
        </is>
      </c>
      <c r="M481" s="56" t="inlineStr">
        <is>
          <t>3</t>
        </is>
      </c>
      <c r="N481" s="56" t="inlineStr">
        <is>
          <t>MEGH STEELS PRIVATE LIMITED - TVS A</t>
        </is>
      </c>
      <c r="O481" s="58" t="n">
        <v>143</v>
      </c>
      <c r="P481" s="59" t="inlineStr">
        <is>
          <t>ABOVE 90</t>
        </is>
      </c>
      <c r="Q481" s="56" t="inlineStr">
        <is>
          <t>Apoorv</t>
        </is>
      </c>
      <c r="U481" s="585" t="n">
        <v>3500582</v>
      </c>
      <c r="V481" t="n">
        <v>19.05</v>
      </c>
      <c r="W481" t="n">
        <v>0</v>
      </c>
      <c r="X481" t="n">
        <v>2.3</v>
      </c>
      <c r="Y481" t="n">
        <v>7</v>
      </c>
      <c r="Z481" t="inlineStr"/>
      <c r="AA481" t="inlineStr">
        <is>
          <t>PE</t>
        </is>
      </c>
      <c r="AB481" t="inlineStr">
        <is>
          <t>AW</t>
        </is>
      </c>
      <c r="AC481" t="inlineStr">
        <is>
          <t>19.05-0-2.3-ERW 1-PE</t>
        </is>
      </c>
      <c r="AD481" t="inlineStr">
        <is>
          <t>LL</t>
        </is>
      </c>
      <c r="AE481" t="inlineStr">
        <is>
          <t>19.05-0-2.3-ERW 1-PE-1</t>
        </is>
      </c>
      <c r="AF481" t="n">
        <v>0.949602725</v>
      </c>
    </row>
    <row r="482">
      <c r="A482" s="56" t="n">
        <v>2410388</v>
      </c>
      <c r="B482" s="56" t="inlineStr">
        <is>
          <t>TUB-O-C-AUT-AD-FC-28.60X2.650X04-05</t>
        </is>
      </c>
      <c r="C482" s="56" t="inlineStr">
        <is>
          <t>4C04AK2010</t>
        </is>
      </c>
      <c r="D482" s="57" t="n">
        <v>216.531</v>
      </c>
      <c r="E482" s="58" t="n">
        <v>1653</v>
      </c>
      <c r="F482" s="57" t="n">
        <v>1.653</v>
      </c>
      <c r="G482" s="56" t="inlineStr">
        <is>
          <t>KG</t>
        </is>
      </c>
      <c r="H482" s="56" t="inlineStr">
        <is>
          <t>R001</t>
        </is>
      </c>
      <c r="I482" s="56" t="inlineStr">
        <is>
          <t>0788</t>
        </is>
      </c>
      <c r="J482" s="56" t="inlineStr">
        <is>
          <t>212</t>
        </is>
      </c>
      <c r="K482" s="57" t="n">
        <v>974.359</v>
      </c>
      <c r="L482" s="56" t="inlineStr">
        <is>
          <t>9518316619/ 1</t>
        </is>
      </c>
      <c r="M482" s="56" t="inlineStr">
        <is>
          <t>1</t>
        </is>
      </c>
      <c r="N482" s="56" t="inlineStr">
        <is>
          <t>MEGH STEELS PRIVATE LIMITED - TVS A</t>
        </is>
      </c>
      <c r="O482" s="58" t="n">
        <v>32</v>
      </c>
      <c r="P482" s="59" t="inlineStr">
        <is>
          <t>31-60</t>
        </is>
      </c>
      <c r="Q482" s="56" t="inlineStr">
        <is>
          <t>Apoorv</t>
        </is>
      </c>
      <c r="U482" s="585" t="n">
        <v>1268694</v>
      </c>
      <c r="V482" t="n">
        <v>19.05</v>
      </c>
      <c r="W482" t="n">
        <v>0</v>
      </c>
      <c r="X482" t="n">
        <v>2.3</v>
      </c>
      <c r="Y482" t="n">
        <v>7</v>
      </c>
      <c r="Z482" t="inlineStr"/>
      <c r="AA482" t="inlineStr">
        <is>
          <t>PE</t>
        </is>
      </c>
      <c r="AB482" t="inlineStr">
        <is>
          <t>AW</t>
        </is>
      </c>
      <c r="AC482" t="inlineStr">
        <is>
          <t>19.05-0-2.3-ERW 1-PE</t>
        </is>
      </c>
      <c r="AD482" t="inlineStr">
        <is>
          <t>LL</t>
        </is>
      </c>
      <c r="AE482" t="inlineStr">
        <is>
          <t>19.05-0-2.3-ERW 1-PE-1</t>
        </is>
      </c>
      <c r="AF482" t="n">
        <v>0.949602725</v>
      </c>
    </row>
    <row r="483">
      <c r="A483" s="56" t="n">
        <v>2410388</v>
      </c>
      <c r="B483" s="56" t="inlineStr">
        <is>
          <t>TUB-O-C-AUT-AD-FC-28.60X2.650X04-05</t>
        </is>
      </c>
      <c r="C483" s="56" t="inlineStr">
        <is>
          <t>4C04AK2020</t>
        </is>
      </c>
      <c r="D483" s="57" t="n">
        <v>205.266</v>
      </c>
      <c r="E483" s="58" t="n">
        <v>1567</v>
      </c>
      <c r="F483" s="57" t="n">
        <v>1.567</v>
      </c>
      <c r="G483" s="56" t="inlineStr">
        <is>
          <t>KG</t>
        </is>
      </c>
      <c r="H483" s="56" t="inlineStr">
        <is>
          <t>R001</t>
        </is>
      </c>
      <c r="I483" s="56" t="inlineStr">
        <is>
          <t>0788</t>
        </is>
      </c>
      <c r="J483" s="56" t="inlineStr">
        <is>
          <t>201</t>
        </is>
      </c>
      <c r="K483" s="57" t="n">
        <v>923.6660000000001</v>
      </c>
      <c r="L483" s="56" t="inlineStr">
        <is>
          <t>9518316619/ 1</t>
        </is>
      </c>
      <c r="M483" s="56" t="inlineStr">
        <is>
          <t>1</t>
        </is>
      </c>
      <c r="N483" s="56" t="inlineStr">
        <is>
          <t>MEGH STEELS PRIVATE LIMITED - TVS A</t>
        </is>
      </c>
      <c r="O483" s="58" t="n">
        <v>32</v>
      </c>
      <c r="P483" s="59" t="inlineStr">
        <is>
          <t>31-60</t>
        </is>
      </c>
      <c r="Q483" s="56" t="inlineStr">
        <is>
          <t>Apoorv</t>
        </is>
      </c>
      <c r="U483" s="585" t="n">
        <v>238726</v>
      </c>
      <c r="V483" t="n">
        <v>19.05</v>
      </c>
      <c r="W483" t="n">
        <v>0</v>
      </c>
      <c r="X483" t="n">
        <v>2.34</v>
      </c>
      <c r="Y483" t="n">
        <v>0.25</v>
      </c>
      <c r="Z483" t="inlineStr">
        <is>
          <t>TPT</t>
        </is>
      </c>
      <c r="AA483" t="inlineStr">
        <is>
          <t>PE</t>
        </is>
      </c>
      <c r="AB483" t="inlineStr">
        <is>
          <t>AW</t>
        </is>
      </c>
      <c r="AC483" t="inlineStr">
        <is>
          <t>19.05-0-2.3-ERW 1-PE</t>
        </is>
      </c>
      <c r="AD483" t="inlineStr">
        <is>
          <t>CTL</t>
        </is>
      </c>
      <c r="AE483" t="inlineStr">
        <is>
          <t>19.05-0-2.3-ERW 1-PE-0.25</t>
        </is>
      </c>
      <c r="AF483" t="n">
        <v>0.24095260215</v>
      </c>
    </row>
    <row r="484">
      <c r="A484" s="56" t="n">
        <v>2410388</v>
      </c>
      <c r="B484" s="56" t="inlineStr">
        <is>
          <t>TUB-O-C-AUT-AD-FC-28.60X2.650X04-05</t>
        </is>
      </c>
      <c r="C484" s="56" t="inlineStr">
        <is>
          <t>4C04AK2030</t>
        </is>
      </c>
      <c r="D484" s="57" t="n">
        <v>214.435</v>
      </c>
      <c r="E484" s="58" t="n">
        <v>1637</v>
      </c>
      <c r="F484" s="57" t="n">
        <v>1.637</v>
      </c>
      <c r="G484" s="56" t="inlineStr">
        <is>
          <t>KG</t>
        </is>
      </c>
      <c r="H484" s="56" t="inlineStr">
        <is>
          <t>R001</t>
        </is>
      </c>
      <c r="I484" s="56" t="inlineStr">
        <is>
          <t>0788</t>
        </is>
      </c>
      <c r="J484" s="56" t="inlineStr">
        <is>
          <t>210</t>
        </is>
      </c>
      <c r="K484" s="57" t="n">
        <v>964.928</v>
      </c>
      <c r="L484" s="56" t="inlineStr">
        <is>
          <t>9518316619/ 1</t>
        </is>
      </c>
      <c r="M484" s="56" t="inlineStr">
        <is>
          <t>1</t>
        </is>
      </c>
      <c r="N484" s="56" t="inlineStr">
        <is>
          <t>MEGH STEELS PRIVATE LIMITED - TVS A</t>
        </is>
      </c>
      <c r="O484" s="58" t="n">
        <v>32</v>
      </c>
      <c r="P484" s="59" t="inlineStr">
        <is>
          <t>31-60</t>
        </is>
      </c>
      <c r="Q484" s="56" t="inlineStr">
        <is>
          <t>Apoorv</t>
        </is>
      </c>
      <c r="U484" s="585" t="n">
        <v>3718926</v>
      </c>
      <c r="V484" t="n">
        <v>19.05</v>
      </c>
      <c r="W484" t="n">
        <v>0</v>
      </c>
      <c r="X484" t="n">
        <v>2.34</v>
      </c>
      <c r="Y484" t="n">
        <v>0.402</v>
      </c>
      <c r="Z484" t="inlineStr">
        <is>
          <t>NORMAL</t>
        </is>
      </c>
      <c r="AA484" t="inlineStr">
        <is>
          <t>PE</t>
        </is>
      </c>
      <c r="AB484" t="inlineStr">
        <is>
          <t>AW</t>
        </is>
      </c>
      <c r="AC484" t="inlineStr">
        <is>
          <t>19.05-0-2.3-ERW 1-PE</t>
        </is>
      </c>
      <c r="AD484" t="inlineStr">
        <is>
          <t>CTL</t>
        </is>
      </c>
      <c r="AE484" t="inlineStr">
        <is>
          <t>19.05-0-2.3-ERW 1-PE-0.402</t>
        </is>
      </c>
      <c r="AF484" t="n">
        <v>0.3874517842572</v>
      </c>
    </row>
    <row r="485">
      <c r="A485" s="56" t="n">
        <v>2410388</v>
      </c>
      <c r="B485" s="56" t="inlineStr">
        <is>
          <t>TUB-O-C-AUT-AD-FC-28.60X2.650X04-05</t>
        </is>
      </c>
      <c r="C485" s="56" t="inlineStr">
        <is>
          <t>4C0765500A</t>
        </is>
      </c>
      <c r="D485" s="57" t="n">
        <v>122.609</v>
      </c>
      <c r="E485" s="58" t="n">
        <v>936</v>
      </c>
      <c r="F485" s="57" t="n">
        <v>0.9360000000000001</v>
      </c>
      <c r="G485" s="56" t="inlineStr">
        <is>
          <t>KG</t>
        </is>
      </c>
      <c r="H485" s="56" t="inlineStr">
        <is>
          <t>R001</t>
        </is>
      </c>
      <c r="I485" s="56" t="inlineStr">
        <is>
          <t>0788</t>
        </is>
      </c>
      <c r="J485" s="56" t="inlineStr">
        <is>
          <t>120</t>
        </is>
      </c>
      <c r="K485" s="57" t="n">
        <v>551.724</v>
      </c>
      <c r="L485" s="56" t="inlineStr">
        <is>
          <t>9518316619/ 1</t>
        </is>
      </c>
      <c r="M485" s="56" t="inlineStr">
        <is>
          <t>1</t>
        </is>
      </c>
      <c r="N485" s="56" t="inlineStr">
        <is>
          <t>MEGH STEELS PRIVATE LIMITED - TVS A</t>
        </is>
      </c>
      <c r="O485" s="58" t="n">
        <v>37</v>
      </c>
      <c r="P485" s="59" t="inlineStr">
        <is>
          <t>31-60</t>
        </is>
      </c>
      <c r="Q485" s="56" t="inlineStr">
        <is>
          <t>Apoorv</t>
        </is>
      </c>
      <c r="U485" s="585" t="n">
        <v>238539</v>
      </c>
      <c r="V485" t="n">
        <v>19.05</v>
      </c>
      <c r="W485" t="n">
        <v>0</v>
      </c>
      <c r="X485" t="n">
        <v>2.34</v>
      </c>
      <c r="Y485" t="n">
        <v>0.6</v>
      </c>
      <c r="Z485" t="inlineStr">
        <is>
          <t>TPT</t>
        </is>
      </c>
      <c r="AA485" t="inlineStr">
        <is>
          <t>PE</t>
        </is>
      </c>
      <c r="AB485" t="inlineStr">
        <is>
          <t>AW</t>
        </is>
      </c>
      <c r="AC485" t="inlineStr">
        <is>
          <t>19.05-0-2.3-ERW 1-PE</t>
        </is>
      </c>
      <c r="AD485" t="inlineStr">
        <is>
          <t>CTL</t>
        </is>
      </c>
      <c r="AE485" t="inlineStr">
        <is>
          <t>19.05-0-2.3-ERW 1-PE-0.6</t>
        </is>
      </c>
      <c r="AF485" t="n">
        <v>0.5782862451599999</v>
      </c>
    </row>
    <row r="486">
      <c r="A486" s="56" t="n">
        <v>2410388</v>
      </c>
      <c r="B486" s="56" t="inlineStr">
        <is>
          <t>TUB-O-C-AUT-AD-FC-28.60X2.650X04-05</t>
        </is>
      </c>
      <c r="C486" s="56" t="inlineStr">
        <is>
          <t>4C0765500C</t>
        </is>
      </c>
      <c r="D486" s="57" t="n">
        <v>9.17</v>
      </c>
      <c r="E486" s="58" t="n">
        <v>70</v>
      </c>
      <c r="F486" s="57" t="n">
        <v>0.07000000000000001</v>
      </c>
      <c r="G486" s="56" t="inlineStr">
        <is>
          <t>KG</t>
        </is>
      </c>
      <c r="H486" s="56" t="inlineStr">
        <is>
          <t>R001</t>
        </is>
      </c>
      <c r="I486" s="56" t="inlineStr">
        <is>
          <t>0788</t>
        </is>
      </c>
      <c r="J486" s="56" t="inlineStr">
        <is>
          <t>9</t>
        </is>
      </c>
      <c r="K486" s="57" t="n">
        <v>41.261</v>
      </c>
      <c r="L486" s="56" t="inlineStr">
        <is>
          <t>9518316619/ 1</t>
        </is>
      </c>
      <c r="M486" s="56" t="inlineStr">
        <is>
          <t>1</t>
        </is>
      </c>
      <c r="N486" s="56" t="inlineStr">
        <is>
          <t>MEGH STEELS PRIVATE LIMITED - TVS A</t>
        </is>
      </c>
      <c r="O486" s="58" t="n">
        <v>37</v>
      </c>
      <c r="P486" s="59" t="inlineStr">
        <is>
          <t>31-60</t>
        </is>
      </c>
      <c r="Q486" s="56" t="inlineStr">
        <is>
          <t>Apoorv</t>
        </is>
      </c>
      <c r="U486" s="585" t="n">
        <v>2410643</v>
      </c>
      <c r="V486" t="n">
        <v>19.1</v>
      </c>
      <c r="W486" t="n">
        <v>16.1</v>
      </c>
      <c r="X486" t="n">
        <v>1.5</v>
      </c>
      <c r="Y486" t="n">
        <v>6</v>
      </c>
      <c r="Z486" t="inlineStr">
        <is>
          <t>KGR2</t>
        </is>
      </c>
      <c r="AA486" t="inlineStr">
        <is>
          <t>FC</t>
        </is>
      </c>
      <c r="AB486" t="inlineStr">
        <is>
          <t>AD</t>
        </is>
      </c>
      <c r="AC486" t="inlineStr">
        <is>
          <t>19.1-16.1-1.5-CEW-FIN CUT</t>
        </is>
      </c>
      <c r="AD486" t="inlineStr">
        <is>
          <t>LL</t>
        </is>
      </c>
      <c r="AE486" t="inlineStr">
        <is>
          <t>19.1-16.1-1.5-CEW-FIN CUT-1</t>
        </is>
      </c>
      <c r="AF486" t="n">
        <v>0.6507336</v>
      </c>
    </row>
    <row r="487">
      <c r="A487" s="56" t="n">
        <v>2410388</v>
      </c>
      <c r="B487" s="56" t="inlineStr">
        <is>
          <t>TUB-O-C-AUT-AD-FC-28.60X2.650X04-05</t>
        </is>
      </c>
      <c r="C487" s="56" t="inlineStr">
        <is>
          <t>4C07K39264</t>
        </is>
      </c>
      <c r="D487" s="57" t="n">
        <v>196.096</v>
      </c>
      <c r="E487" s="58" t="n">
        <v>1497</v>
      </c>
      <c r="F487" s="57" t="n">
        <v>1.497</v>
      </c>
      <c r="G487" s="56" t="inlineStr">
        <is>
          <t>KG</t>
        </is>
      </c>
      <c r="H487" s="56" t="inlineStr">
        <is>
          <t>R001</t>
        </is>
      </c>
      <c r="I487" s="56" t="inlineStr">
        <is>
          <t>0788</t>
        </is>
      </c>
      <c r="J487" s="56" t="inlineStr">
        <is>
          <t>192</t>
        </is>
      </c>
      <c r="K487" s="57" t="n">
        <v>882.405</v>
      </c>
      <c r="L487" s="56" t="inlineStr">
        <is>
          <t>9518316619/ 1</t>
        </is>
      </c>
      <c r="M487" s="56" t="inlineStr">
        <is>
          <t>1</t>
        </is>
      </c>
      <c r="N487" s="56" t="inlineStr">
        <is>
          <t>MEGH STEELS PRIVATE LIMITED - TVS A</t>
        </is>
      </c>
      <c r="O487" s="58" t="n">
        <v>33</v>
      </c>
      <c r="P487" s="59" t="inlineStr">
        <is>
          <t>31-60</t>
        </is>
      </c>
      <c r="Q487" s="56" t="inlineStr">
        <is>
          <t>Apoorv</t>
        </is>
      </c>
      <c r="U487" s="585" t="n">
        <v>3228788</v>
      </c>
      <c r="V487" t="n">
        <v>20</v>
      </c>
      <c r="W487" t="n">
        <v>0</v>
      </c>
      <c r="X487" t="n">
        <v>1.42</v>
      </c>
      <c r="Y487" t="n">
        <v>0.273</v>
      </c>
      <c r="Z487" t="inlineStr">
        <is>
          <t>KGR2</t>
        </is>
      </c>
      <c r="AA487" t="inlineStr">
        <is>
          <t>FC</t>
        </is>
      </c>
      <c r="AB487" t="inlineStr">
        <is>
          <t>AD</t>
        </is>
      </c>
      <c r="AC487" t="inlineStr">
        <is>
          <t>20-17.16-1.42-CEW-CEW</t>
        </is>
      </c>
      <c r="AD487" t="inlineStr">
        <is>
          <t>CTL</t>
        </is>
      </c>
      <c r="AE487" t="inlineStr">
        <is>
          <t>20-17.16-1.42-CEW-CEW-0.273</t>
        </is>
      </c>
      <c r="AF487" t="n">
        <v>0.1775399142972</v>
      </c>
    </row>
    <row r="488">
      <c r="A488" s="56" t="n">
        <v>2410388</v>
      </c>
      <c r="B488" s="56" t="inlineStr">
        <is>
          <t>TUB-O-C-AUT-AD-FC-28.60X2.650X04-05</t>
        </is>
      </c>
      <c r="C488" s="56" t="inlineStr">
        <is>
          <t>4C1265780A</t>
        </is>
      </c>
      <c r="D488" s="57" t="n">
        <v>109.903</v>
      </c>
      <c r="E488" s="58" t="n">
        <v>839</v>
      </c>
      <c r="F488" s="57" t="n">
        <v>0.839</v>
      </c>
      <c r="G488" s="56" t="inlineStr">
        <is>
          <t>KG</t>
        </is>
      </c>
      <c r="H488" s="56" t="inlineStr">
        <is>
          <t>R001</t>
        </is>
      </c>
      <c r="I488" s="56" t="inlineStr">
        <is>
          <t>0788</t>
        </is>
      </c>
      <c r="J488" s="56" t="inlineStr">
        <is>
          <t>110</t>
        </is>
      </c>
      <c r="K488" s="57" t="n">
        <v>494.548</v>
      </c>
      <c r="L488" s="56" t="inlineStr">
        <is>
          <t>9518316619/ 1</t>
        </is>
      </c>
      <c r="M488" s="56" t="inlineStr">
        <is>
          <t>1</t>
        </is>
      </c>
      <c r="N488" s="56" t="inlineStr">
        <is>
          <t>MEGH STEELS PRIVATE LIMITED - TVS A</t>
        </is>
      </c>
      <c r="O488" s="58" t="n">
        <v>32</v>
      </c>
      <c r="P488" s="59" t="inlineStr">
        <is>
          <t>31-60</t>
        </is>
      </c>
      <c r="Q488" s="56" t="inlineStr">
        <is>
          <t>Apoorv</t>
        </is>
      </c>
      <c r="U488" s="585" t="n">
        <v>3769066</v>
      </c>
      <c r="V488" t="n">
        <v>20</v>
      </c>
      <c r="W488" t="n">
        <v>0</v>
      </c>
      <c r="X488" t="n">
        <v>1.42</v>
      </c>
      <c r="Y488" t="n">
        <v>5.85</v>
      </c>
      <c r="Z488" t="inlineStr">
        <is>
          <t>KGR2</t>
        </is>
      </c>
      <c r="AA488" t="inlineStr">
        <is>
          <t>FC</t>
        </is>
      </c>
      <c r="AB488" t="inlineStr">
        <is>
          <t>AD</t>
        </is>
      </c>
      <c r="AC488" t="inlineStr">
        <is>
          <t>20-17.16-1.42-CEW-CEW</t>
        </is>
      </c>
      <c r="AD488" t="inlineStr">
        <is>
          <t>LL</t>
        </is>
      </c>
      <c r="AE488" t="inlineStr">
        <is>
          <t>20-17.16-1.42-CEW-CEW-1</t>
        </is>
      </c>
      <c r="AF488" t="n">
        <v>0.6503293564</v>
      </c>
    </row>
    <row r="489">
      <c r="A489" s="56" t="n">
        <v>2410388</v>
      </c>
      <c r="B489" s="56" t="inlineStr">
        <is>
          <t>TUB-O-C-AUT-AD-FC-28.60X2.650X04-05</t>
        </is>
      </c>
      <c r="C489" s="56" t="inlineStr">
        <is>
          <t>4C1265780B</t>
        </is>
      </c>
      <c r="D489" s="57" t="n">
        <v>112.392</v>
      </c>
      <c r="E489" s="58" t="n">
        <v>858</v>
      </c>
      <c r="F489" s="57" t="n">
        <v>0.858</v>
      </c>
      <c r="G489" s="56" t="inlineStr">
        <is>
          <t>KG</t>
        </is>
      </c>
      <c r="H489" s="56" t="inlineStr">
        <is>
          <t>R001</t>
        </is>
      </c>
      <c r="I489" s="56" t="inlineStr">
        <is>
          <t>0788</t>
        </is>
      </c>
      <c r="J489" s="56" t="inlineStr">
        <is>
          <t>110</t>
        </is>
      </c>
      <c r="K489" s="57" t="n">
        <v>505.747</v>
      </c>
      <c r="L489" s="56" t="inlineStr">
        <is>
          <t>9518316619/ 1</t>
        </is>
      </c>
      <c r="M489" s="56" t="inlineStr">
        <is>
          <t>1</t>
        </is>
      </c>
      <c r="N489" s="56" t="inlineStr">
        <is>
          <t>MEGH STEELS PRIVATE LIMITED - TVS A</t>
        </is>
      </c>
      <c r="O489" s="58" t="n">
        <v>32</v>
      </c>
      <c r="P489" s="59" t="inlineStr">
        <is>
          <t>31-60</t>
        </is>
      </c>
      <c r="Q489" s="56" t="inlineStr">
        <is>
          <t>Apoorv</t>
        </is>
      </c>
      <c r="U489" s="585" t="n">
        <v>2439536</v>
      </c>
      <c r="V489" t="n">
        <v>20</v>
      </c>
      <c r="W489" t="n">
        <v>0</v>
      </c>
      <c r="X489" t="n">
        <v>3.8</v>
      </c>
      <c r="Y489" t="n">
        <v>6</v>
      </c>
      <c r="Z489" t="inlineStr">
        <is>
          <t>KGR2</t>
        </is>
      </c>
      <c r="AA489" t="inlineStr">
        <is>
          <t>FC</t>
        </is>
      </c>
      <c r="AB489" t="inlineStr">
        <is>
          <t>AD</t>
        </is>
      </c>
      <c r="AC489" t="inlineStr">
        <is>
          <t>20-12.4-3.8-CEW-CEW</t>
        </is>
      </c>
      <c r="AD489" t="inlineStr">
        <is>
          <t>LL</t>
        </is>
      </c>
      <c r="AE489" t="inlineStr">
        <is>
          <t>20-12.4-3.8-CEW-CEW-1</t>
        </is>
      </c>
      <c r="AF489" t="n">
        <v>1.51739244</v>
      </c>
    </row>
    <row r="490">
      <c r="A490" s="56" t="n">
        <v>2410388</v>
      </c>
      <c r="B490" s="56" t="inlineStr">
        <is>
          <t>TUB-O-C-AUT-AD-FC-28.60X2.650X04-05</t>
        </is>
      </c>
      <c r="C490" s="56" t="inlineStr">
        <is>
          <t>4C1465850A</t>
        </is>
      </c>
      <c r="D490" s="57" t="n">
        <v>85.8</v>
      </c>
      <c r="E490" s="58" t="n">
        <v>655</v>
      </c>
      <c r="F490" s="57" t="n">
        <v>0.655</v>
      </c>
      <c r="G490" s="56" t="inlineStr">
        <is>
          <t>KG</t>
        </is>
      </c>
      <c r="H490" s="56" t="inlineStr">
        <is>
          <t>R001</t>
        </is>
      </c>
      <c r="I490" s="56" t="inlineStr">
        <is>
          <t>0788</t>
        </is>
      </c>
      <c r="J490" s="56" t="inlineStr">
        <is>
          <t>84</t>
        </is>
      </c>
      <c r="K490" s="57" t="n">
        <v>386.089</v>
      </c>
      <c r="L490" s="56" t="inlineStr">
        <is>
          <t>9518316619/ 1</t>
        </is>
      </c>
      <c r="M490" s="56" t="inlineStr">
        <is>
          <t>1</t>
        </is>
      </c>
      <c r="N490" s="56" t="inlineStr">
        <is>
          <t>MEGH STEELS PRIVATE LIMITED - TVS A</t>
        </is>
      </c>
      <c r="O490" s="58" t="n">
        <v>30</v>
      </c>
      <c r="P490" s="59" t="inlineStr">
        <is>
          <t>0-30</t>
        </is>
      </c>
      <c r="Q490" s="56" t="inlineStr">
        <is>
          <t>Apoorv</t>
        </is>
      </c>
      <c r="U490" s="585" t="n">
        <v>2439535</v>
      </c>
      <c r="V490" t="n">
        <v>20</v>
      </c>
      <c r="W490" t="n">
        <v>0</v>
      </c>
      <c r="X490" t="n">
        <v>4.5</v>
      </c>
      <c r="Y490" t="n">
        <v>6</v>
      </c>
      <c r="Z490" t="inlineStr">
        <is>
          <t>KGR2</t>
        </is>
      </c>
      <c r="AA490" t="inlineStr">
        <is>
          <t>FC</t>
        </is>
      </c>
      <c r="AB490" t="inlineStr">
        <is>
          <t>AD</t>
        </is>
      </c>
      <c r="AC490" t="inlineStr">
        <is>
          <t>20-12.4-4.5-CEW-CEW</t>
        </is>
      </c>
      <c r="AD490" t="inlineStr">
        <is>
          <t>LL</t>
        </is>
      </c>
      <c r="AE490" t="inlineStr">
        <is>
          <t>20-12.4-4.5-CEW-CEW-1</t>
        </is>
      </c>
      <c r="AF490" t="n">
        <v>1.71926775</v>
      </c>
    </row>
    <row r="491">
      <c r="A491" s="56" t="n">
        <v>2410388</v>
      </c>
      <c r="B491" s="56" t="inlineStr">
        <is>
          <t>TUB-O-C-AUT-AD-FC-28.60X2.650X04-05</t>
        </is>
      </c>
      <c r="C491" s="56" t="inlineStr">
        <is>
          <t>4C1465850B</t>
        </is>
      </c>
      <c r="D491" s="57" t="n">
        <v>83.96599999999999</v>
      </c>
      <c r="E491" s="58" t="n">
        <v>641</v>
      </c>
      <c r="F491" s="57" t="n">
        <v>0.641</v>
      </c>
      <c r="G491" s="56" t="inlineStr">
        <is>
          <t>KG</t>
        </is>
      </c>
      <c r="H491" s="56" t="inlineStr">
        <is>
          <t>R001</t>
        </is>
      </c>
      <c r="I491" s="56" t="inlineStr">
        <is>
          <t>0788</t>
        </is>
      </c>
      <c r="J491" s="56" t="inlineStr">
        <is>
          <t>84</t>
        </is>
      </c>
      <c r="K491" s="57" t="n">
        <v>377.837</v>
      </c>
      <c r="L491" s="56" t="inlineStr">
        <is>
          <t>9518316619/ 1</t>
        </is>
      </c>
      <c r="M491" s="56" t="inlineStr">
        <is>
          <t>1</t>
        </is>
      </c>
      <c r="N491" s="56" t="inlineStr">
        <is>
          <t>MEGH STEELS PRIVATE LIMITED - TVS A</t>
        </is>
      </c>
      <c r="O491" s="58" t="n">
        <v>30</v>
      </c>
      <c r="P491" s="59" t="inlineStr">
        <is>
          <t>0-30</t>
        </is>
      </c>
      <c r="Q491" s="56" t="inlineStr">
        <is>
          <t>Apoorv</t>
        </is>
      </c>
      <c r="U491" s="585" t="n">
        <v>2411624</v>
      </c>
      <c r="V491" t="n">
        <v>21.2</v>
      </c>
      <c r="W491" t="n">
        <v>15.7</v>
      </c>
      <c r="X491" t="n">
        <v>2.75</v>
      </c>
      <c r="Y491" t="n">
        <v>6</v>
      </c>
      <c r="Z491" t="inlineStr">
        <is>
          <t>KGR2</t>
        </is>
      </c>
      <c r="AA491" t="inlineStr">
        <is>
          <t>FC</t>
        </is>
      </c>
      <c r="AB491" t="inlineStr">
        <is>
          <t>AD</t>
        </is>
      </c>
      <c r="AC491" t="inlineStr">
        <is>
          <t>check grade tdc</t>
        </is>
      </c>
      <c r="AD491" t="inlineStr">
        <is>
          <t>LL</t>
        </is>
      </c>
      <c r="AE491" t="inlineStr">
        <is>
          <t>check grade tdc-1</t>
        </is>
      </c>
      <c r="AF491" t="n">
        <v>1.2506286375</v>
      </c>
    </row>
    <row r="492">
      <c r="A492" s="56" t="n">
        <v>2410388</v>
      </c>
      <c r="B492" s="56" t="inlineStr">
        <is>
          <t>TUB-O-C-AUT-AD-FC-28.60X2.650X04-05</t>
        </is>
      </c>
      <c r="C492" s="56" t="inlineStr">
        <is>
          <t>4C1465850C</t>
        </is>
      </c>
      <c r="D492" s="57" t="n">
        <v>10.217</v>
      </c>
      <c r="E492" s="58" t="n">
        <v>78</v>
      </c>
      <c r="F492" s="57" t="n">
        <v>0.078</v>
      </c>
      <c r="G492" s="56" t="inlineStr">
        <is>
          <t>KG</t>
        </is>
      </c>
      <c r="H492" s="56" t="inlineStr">
        <is>
          <t>R001</t>
        </is>
      </c>
      <c r="I492" s="56" t="inlineStr">
        <is>
          <t>0788</t>
        </is>
      </c>
      <c r="J492" s="56" t="inlineStr">
        <is>
          <t>10</t>
        </is>
      </c>
      <c r="K492" s="57" t="n">
        <v>45.977</v>
      </c>
      <c r="L492" s="56" t="inlineStr">
        <is>
          <t>9518316619/ 1</t>
        </is>
      </c>
      <c r="M492" s="56" t="inlineStr">
        <is>
          <t>1</t>
        </is>
      </c>
      <c r="N492" s="56" t="inlineStr">
        <is>
          <t>MEGH STEELS PRIVATE LIMITED - TVS A</t>
        </is>
      </c>
      <c r="O492" s="58" t="n">
        <v>30</v>
      </c>
      <c r="P492" s="59" t="inlineStr">
        <is>
          <t>0-30</t>
        </is>
      </c>
      <c r="Q492" s="56" t="inlineStr">
        <is>
          <t>Apoorv</t>
        </is>
      </c>
      <c r="U492" s="585" t="n">
        <v>3219710</v>
      </c>
      <c r="V492" t="n">
        <v>21.4</v>
      </c>
      <c r="W492" t="n">
        <v>0</v>
      </c>
      <c r="X492" t="n">
        <v>1.6</v>
      </c>
      <c r="Y492" t="n">
        <v>6</v>
      </c>
      <c r="Z492" t="inlineStr">
        <is>
          <t>HROP</t>
        </is>
      </c>
      <c r="AA492" t="inlineStr">
        <is>
          <t>PE</t>
        </is>
      </c>
      <c r="AB492" t="inlineStr">
        <is>
          <t>AW</t>
        </is>
      </c>
      <c r="AC492" t="inlineStr">
        <is>
          <t>21.4--1.6-ERW 1-PE</t>
        </is>
      </c>
      <c r="AD492" t="inlineStr">
        <is>
          <t>LL</t>
        </is>
      </c>
      <c r="AE492" t="inlineStr">
        <is>
          <t>21.4--1.6-ERW 1-PE-1</t>
        </is>
      </c>
      <c r="AF492" t="n">
        <v>0.78088032</v>
      </c>
    </row>
    <row r="493">
      <c r="A493" s="56" t="n">
        <v>2410388</v>
      </c>
      <c r="B493" s="56" t="inlineStr">
        <is>
          <t>TUB-O-C-AUT-AD-FC-28.60X2.650X04-05</t>
        </is>
      </c>
      <c r="C493" s="56" t="inlineStr">
        <is>
          <t>4C04CK2010</t>
        </is>
      </c>
      <c r="D493" s="57" t="n">
        <v>177.757</v>
      </c>
      <c r="E493" s="58" t="n">
        <v>1357</v>
      </c>
      <c r="F493" s="57" t="n">
        <v>1.357</v>
      </c>
      <c r="G493" s="56" t="inlineStr">
        <is>
          <t>KG</t>
        </is>
      </c>
      <c r="H493" s="56" t="inlineStr">
        <is>
          <t>R001</t>
        </is>
      </c>
      <c r="I493" s="56" t="inlineStr">
        <is>
          <t>0788</t>
        </is>
      </c>
      <c r="J493" s="56" t="inlineStr">
        <is>
          <t>174</t>
        </is>
      </c>
      <c r="K493" s="57" t="n">
        <v>799.8819999999999</v>
      </c>
      <c r="L493" s="56" t="inlineStr">
        <is>
          <t>9518316715/ 1</t>
        </is>
      </c>
      <c r="M493" s="56" t="inlineStr">
        <is>
          <t>1</t>
        </is>
      </c>
      <c r="N493" s="56" t="inlineStr">
        <is>
          <t>MEGH STEELS PRIVATE LIMITED - TVS A</t>
        </is>
      </c>
      <c r="O493" s="58" t="n">
        <v>33</v>
      </c>
      <c r="P493" s="59" t="inlineStr">
        <is>
          <t>31-60</t>
        </is>
      </c>
      <c r="Q493" s="56" t="inlineStr">
        <is>
          <t>Apoorv</t>
        </is>
      </c>
      <c r="U493" s="585" t="n">
        <v>3482551</v>
      </c>
      <c r="V493" t="n">
        <v>21.4</v>
      </c>
      <c r="W493" t="n">
        <v>0</v>
      </c>
      <c r="X493" t="n">
        <v>2</v>
      </c>
      <c r="Y493" t="n">
        <v>0.462</v>
      </c>
      <c r="Z493" t="inlineStr">
        <is>
          <t>HROP</t>
        </is>
      </c>
      <c r="AA493" t="inlineStr">
        <is>
          <t>PE</t>
        </is>
      </c>
      <c r="AB493" t="inlineStr">
        <is>
          <t>AW</t>
        </is>
      </c>
      <c r="AC493" t="inlineStr">
        <is>
          <t>21.4-0-1.6- ERW 1-PE</t>
        </is>
      </c>
      <c r="AD493" t="inlineStr">
        <is>
          <t>CTL</t>
        </is>
      </c>
      <c r="AE493" t="inlineStr">
        <is>
          <t>21.4-0-1.6- ERW 1-PE-1</t>
        </is>
      </c>
      <c r="AF493" t="n">
        <v>0.4418481144</v>
      </c>
    </row>
    <row r="494">
      <c r="A494" s="56" t="n">
        <v>2410388</v>
      </c>
      <c r="B494" s="56" t="inlineStr">
        <is>
          <t>TUB-O-C-AUT-AD-FC-28.60X2.650X04-05</t>
        </is>
      </c>
      <c r="C494" s="56" t="inlineStr">
        <is>
          <t>4C1165640A</t>
        </is>
      </c>
      <c r="D494" s="57" t="n">
        <v>122.609</v>
      </c>
      <c r="E494" s="58" t="n">
        <v>936</v>
      </c>
      <c r="F494" s="57" t="n">
        <v>0.9360000000000001</v>
      </c>
      <c r="G494" s="56" t="inlineStr">
        <is>
          <t>KG</t>
        </is>
      </c>
      <c r="H494" s="56" t="inlineStr">
        <is>
          <t>R001</t>
        </is>
      </c>
      <c r="I494" s="56" t="inlineStr">
        <is>
          <t>0788</t>
        </is>
      </c>
      <c r="J494" s="56" t="inlineStr">
        <is>
          <t>120</t>
        </is>
      </c>
      <c r="K494" s="57" t="n">
        <v>551.724</v>
      </c>
      <c r="L494" s="56" t="inlineStr">
        <is>
          <t>9518316715/ 1</t>
        </is>
      </c>
      <c r="M494" s="56" t="inlineStr">
        <is>
          <t>1</t>
        </is>
      </c>
      <c r="N494" s="56" t="inlineStr">
        <is>
          <t>MEGH STEELS PRIVATE LIMITED - TVS A</t>
        </is>
      </c>
      <c r="O494" s="58" t="n">
        <v>33</v>
      </c>
      <c r="P494" s="59" t="inlineStr">
        <is>
          <t>31-60</t>
        </is>
      </c>
      <c r="Q494" s="56" t="inlineStr">
        <is>
          <t>Apoorv</t>
        </is>
      </c>
      <c r="U494" s="585" t="n">
        <v>1940348</v>
      </c>
      <c r="V494" t="n">
        <v>21.4</v>
      </c>
      <c r="W494" t="n">
        <v>0</v>
      </c>
      <c r="X494" t="n">
        <v>2</v>
      </c>
      <c r="Y494" t="n">
        <v>0.93</v>
      </c>
      <c r="Z494" t="inlineStr">
        <is>
          <t>WG</t>
        </is>
      </c>
      <c r="AA494" t="inlineStr">
        <is>
          <t>PE</t>
        </is>
      </c>
      <c r="AB494" t="inlineStr">
        <is>
          <t>AW</t>
        </is>
      </c>
      <c r="AC494" t="inlineStr">
        <is>
          <t>check grade tdc</t>
        </is>
      </c>
      <c r="AD494" t="inlineStr">
        <is>
          <t>CTL</t>
        </is>
      </c>
      <c r="AE494" t="inlineStr">
        <is>
          <t>check grade tdc-0.93</t>
        </is>
      </c>
      <c r="AF494" t="n">
        <v>0.889434516</v>
      </c>
    </row>
    <row r="495">
      <c r="A495" s="56" t="n">
        <v>2410388</v>
      </c>
      <c r="B495" s="56" t="inlineStr">
        <is>
          <t>TUB-O-C-AUT-AD-FC-28.60X2.650X04-05</t>
        </is>
      </c>
      <c r="C495" s="56" t="inlineStr">
        <is>
          <t>4C1165640B</t>
        </is>
      </c>
      <c r="D495" s="57" t="n">
        <v>82.657</v>
      </c>
      <c r="E495" s="58" t="n">
        <v>631</v>
      </c>
      <c r="F495" s="57" t="n">
        <v>0.631</v>
      </c>
      <c r="G495" s="56" t="inlineStr">
        <is>
          <t>KG</t>
        </is>
      </c>
      <c r="H495" s="56" t="inlineStr">
        <is>
          <t>R001</t>
        </is>
      </c>
      <c r="I495" s="56" t="inlineStr">
        <is>
          <t>0788</t>
        </is>
      </c>
      <c r="J495" s="56" t="inlineStr">
        <is>
          <t>80</t>
        </is>
      </c>
      <c r="K495" s="57" t="n">
        <v>371.942</v>
      </c>
      <c r="L495" s="56" t="inlineStr">
        <is>
          <t>9518316715/ 1</t>
        </is>
      </c>
      <c r="M495" s="56" t="inlineStr">
        <is>
          <t>1</t>
        </is>
      </c>
      <c r="N495" s="56" t="inlineStr">
        <is>
          <t>MEGH STEELS PRIVATE LIMITED - TVS A</t>
        </is>
      </c>
      <c r="O495" s="58" t="n">
        <v>33</v>
      </c>
      <c r="P495" s="59" t="inlineStr">
        <is>
          <t>31-60</t>
        </is>
      </c>
      <c r="Q495" s="56" t="inlineStr">
        <is>
          <t>Apoorv</t>
        </is>
      </c>
      <c r="U495" s="585" t="n">
        <v>2410999</v>
      </c>
      <c r="V495" t="n">
        <v>21.7</v>
      </c>
      <c r="W495" t="n">
        <v>16.2</v>
      </c>
      <c r="X495" t="n">
        <v>2.75</v>
      </c>
      <c r="Y495" t="n">
        <v>6</v>
      </c>
      <c r="Z495" t="inlineStr">
        <is>
          <t>KGR2</t>
        </is>
      </c>
      <c r="AA495" t="inlineStr">
        <is>
          <t>FC</t>
        </is>
      </c>
      <c r="AB495" t="inlineStr">
        <is>
          <t>AD</t>
        </is>
      </c>
      <c r="AC495" t="inlineStr">
        <is>
          <t>21.7-16.2-2.75-CEW-CEW</t>
        </is>
      </c>
      <c r="AD495" t="inlineStr">
        <is>
          <t>LL</t>
        </is>
      </c>
      <c r="AE495" t="inlineStr">
        <is>
          <t>21.7-16.2-2.75-CEW-CEW-1</t>
        </is>
      </c>
      <c r="AF495" t="n">
        <v>1.2845210125</v>
      </c>
    </row>
    <row r="496">
      <c r="A496" s="56" t="n">
        <v>2410388</v>
      </c>
      <c r="B496" s="56" t="inlineStr">
        <is>
          <t>TUB-O-C-AUT-AD-FC-28.60X2.650X04-05</t>
        </is>
      </c>
      <c r="C496" s="56" t="inlineStr">
        <is>
          <t>4C1165640C</t>
        </is>
      </c>
      <c r="D496" s="57" t="n">
        <v>9.17</v>
      </c>
      <c r="E496" s="58" t="n">
        <v>70</v>
      </c>
      <c r="F496" s="57" t="n">
        <v>0.07000000000000001</v>
      </c>
      <c r="G496" s="56" t="inlineStr">
        <is>
          <t>KG</t>
        </is>
      </c>
      <c r="H496" s="56" t="inlineStr">
        <is>
          <t>R001</t>
        </is>
      </c>
      <c r="I496" s="56" t="inlineStr">
        <is>
          <t>0788</t>
        </is>
      </c>
      <c r="J496" s="56" t="inlineStr">
        <is>
          <t>9</t>
        </is>
      </c>
      <c r="K496" s="57" t="n">
        <v>41.261</v>
      </c>
      <c r="L496" s="56" t="inlineStr">
        <is>
          <t>9518316715/ 1</t>
        </is>
      </c>
      <c r="M496" s="56" t="inlineStr">
        <is>
          <t>1</t>
        </is>
      </c>
      <c r="N496" s="56" t="inlineStr">
        <is>
          <t>MEGH STEELS PRIVATE LIMITED - TVS A</t>
        </is>
      </c>
      <c r="O496" s="58" t="n">
        <v>33</v>
      </c>
      <c r="P496" s="59" t="inlineStr">
        <is>
          <t>31-60</t>
        </is>
      </c>
      <c r="Q496" s="56" t="inlineStr">
        <is>
          <t>Apoorv</t>
        </is>
      </c>
      <c r="U496" s="585" t="n">
        <v>2410994</v>
      </c>
      <c r="V496" t="n">
        <v>21.75</v>
      </c>
      <c r="W496" t="n">
        <v>0</v>
      </c>
      <c r="X496" t="n">
        <v>3.5</v>
      </c>
      <c r="Y496" t="n">
        <v>6</v>
      </c>
      <c r="Z496" t="inlineStr">
        <is>
          <t>KGR2</t>
        </is>
      </c>
      <c r="AA496" t="inlineStr">
        <is>
          <t>FC</t>
        </is>
      </c>
      <c r="AB496" t="inlineStr">
        <is>
          <t>AD</t>
        </is>
      </c>
      <c r="AC496" t="inlineStr">
        <is>
          <t>21.75-0-3.5-CEW-CEW</t>
        </is>
      </c>
      <c r="AD496" t="inlineStr">
        <is>
          <t>LL</t>
        </is>
      </c>
      <c r="AE496" t="inlineStr">
        <is>
          <t>21.75-0-3.5-CEW-CEW-1</t>
        </is>
      </c>
      <c r="AF496" t="n">
        <v>1.574454875</v>
      </c>
    </row>
    <row r="497">
      <c r="A497" s="56" t="n">
        <v>2410388</v>
      </c>
      <c r="B497" s="56" t="inlineStr">
        <is>
          <t>TUB-O-C-AUT-AD-FC-28.60X2.650X04-05</t>
        </is>
      </c>
      <c r="C497" s="56" t="inlineStr">
        <is>
          <t>4C1165650A</t>
        </is>
      </c>
      <c r="D497" s="57" t="n">
        <v>81.73999999999999</v>
      </c>
      <c r="E497" s="58" t="n">
        <v>624</v>
      </c>
      <c r="F497" s="57" t="n">
        <v>0.624</v>
      </c>
      <c r="G497" s="56" t="inlineStr">
        <is>
          <t>KG</t>
        </is>
      </c>
      <c r="H497" s="56" t="inlineStr">
        <is>
          <t>R001</t>
        </is>
      </c>
      <c r="I497" s="56" t="inlineStr">
        <is>
          <t>0788</t>
        </is>
      </c>
      <c r="J497" s="56" t="inlineStr">
        <is>
          <t>80</t>
        </is>
      </c>
      <c r="K497" s="57" t="n">
        <v>367.816</v>
      </c>
      <c r="L497" s="56" t="inlineStr">
        <is>
          <t>9518316715/ 1</t>
        </is>
      </c>
      <c r="M497" s="56" t="inlineStr">
        <is>
          <t>1</t>
        </is>
      </c>
      <c r="N497" s="56" t="inlineStr">
        <is>
          <t>MEGH STEELS PRIVATE LIMITED - TVS A</t>
        </is>
      </c>
      <c r="O497" s="58" t="n">
        <v>33</v>
      </c>
      <c r="P497" s="59" t="inlineStr">
        <is>
          <t>31-60</t>
        </is>
      </c>
      <c r="Q497" s="56" t="inlineStr">
        <is>
          <t>Apoorv</t>
        </is>
      </c>
      <c r="U497" s="585" t="n">
        <v>314118</v>
      </c>
      <c r="V497" t="n">
        <v>22.2</v>
      </c>
      <c r="W497" t="n">
        <v>0</v>
      </c>
      <c r="X497" t="n">
        <v>1.2</v>
      </c>
      <c r="Y497" t="n">
        <v>0.3</v>
      </c>
      <c r="Z497" t="inlineStr">
        <is>
          <t>TPT</t>
        </is>
      </c>
      <c r="AA497" t="inlineStr">
        <is>
          <t>PE</t>
        </is>
      </c>
      <c r="AB497" t="inlineStr">
        <is>
          <t>AW</t>
        </is>
      </c>
      <c r="AC497" t="inlineStr">
        <is>
          <t>22.23-0-1.2-ERW 1-PE</t>
        </is>
      </c>
      <c r="AD497" t="inlineStr">
        <is>
          <t>CTL</t>
        </is>
      </c>
      <c r="AE497" t="inlineStr">
        <is>
          <t>22.23-0-2-ERW 1-PE-0.3</t>
        </is>
      </c>
      <c r="AF497" t="n">
        <v>0.18634644</v>
      </c>
    </row>
    <row r="498">
      <c r="A498" s="56" t="n">
        <v>2410388</v>
      </c>
      <c r="B498" s="56" t="inlineStr">
        <is>
          <t>TUB-O-C-AUT-AD-FC-28.60X2.650X04-05</t>
        </is>
      </c>
      <c r="C498" s="56" t="inlineStr">
        <is>
          <t>4C1165650B</t>
        </is>
      </c>
      <c r="D498" s="57" t="n">
        <v>82.657</v>
      </c>
      <c r="E498" s="58" t="n">
        <v>631</v>
      </c>
      <c r="F498" s="57" t="n">
        <v>0.631</v>
      </c>
      <c r="G498" s="56" t="inlineStr">
        <is>
          <t>KG</t>
        </is>
      </c>
      <c r="H498" s="56" t="inlineStr">
        <is>
          <t>R001</t>
        </is>
      </c>
      <c r="I498" s="56" t="inlineStr">
        <is>
          <t>0788</t>
        </is>
      </c>
      <c r="J498" s="56" t="inlineStr">
        <is>
          <t>80</t>
        </is>
      </c>
      <c r="K498" s="57" t="n">
        <v>371.942</v>
      </c>
      <c r="L498" s="56" t="inlineStr">
        <is>
          <t>9518316715/ 1</t>
        </is>
      </c>
      <c r="M498" s="56" t="inlineStr">
        <is>
          <t>1</t>
        </is>
      </c>
      <c r="N498" s="56" t="inlineStr">
        <is>
          <t>MEGH STEELS PRIVATE LIMITED - TVS A</t>
        </is>
      </c>
      <c r="O498" s="58" t="n">
        <v>33</v>
      </c>
      <c r="P498" s="59" t="inlineStr">
        <is>
          <t>31-60</t>
        </is>
      </c>
      <c r="Q498" s="56" t="inlineStr">
        <is>
          <t>Apoorv</t>
        </is>
      </c>
      <c r="U498" s="585" t="n">
        <v>420489</v>
      </c>
      <c r="V498" t="n">
        <v>22.2</v>
      </c>
      <c r="W498" t="n">
        <v>0</v>
      </c>
      <c r="X498" t="n">
        <v>1.2</v>
      </c>
      <c r="Y498" t="n">
        <v>0.6</v>
      </c>
      <c r="Z498" t="inlineStr">
        <is>
          <t>TPT</t>
        </is>
      </c>
      <c r="AA498" t="inlineStr">
        <is>
          <t>PE</t>
        </is>
      </c>
      <c r="AB498" t="inlineStr">
        <is>
          <t>AW</t>
        </is>
      </c>
      <c r="AC498" t="inlineStr">
        <is>
          <t>22.23-0-1.2-ERW 1-PE</t>
        </is>
      </c>
      <c r="AD498" t="inlineStr">
        <is>
          <t>CTL</t>
        </is>
      </c>
      <c r="AE498" t="inlineStr">
        <is>
          <t>22.23-0-2-ERW 1-PE-0.6</t>
        </is>
      </c>
      <c r="AF498" t="n">
        <v>0.37269288</v>
      </c>
    </row>
    <row r="499">
      <c r="A499" s="56" t="n">
        <v>2410388</v>
      </c>
      <c r="B499" s="56" t="inlineStr">
        <is>
          <t>TUB-O-C-AUT-AD-FC-28.60X2.650X04-05</t>
        </is>
      </c>
      <c r="C499" s="56" t="inlineStr">
        <is>
          <t>4C1165650C</t>
        </is>
      </c>
      <c r="D499" s="57" t="n">
        <v>8.122</v>
      </c>
      <c r="E499" s="58" t="n">
        <v>62</v>
      </c>
      <c r="F499" s="57" t="n">
        <v>0.062</v>
      </c>
      <c r="G499" s="56" t="inlineStr">
        <is>
          <t>KG</t>
        </is>
      </c>
      <c r="H499" s="56" t="inlineStr">
        <is>
          <t>R001</t>
        </is>
      </c>
      <c r="I499" s="56" t="inlineStr">
        <is>
          <t>0788</t>
        </is>
      </c>
      <c r="J499" s="56" t="inlineStr">
        <is>
          <t>8</t>
        </is>
      </c>
      <c r="K499" s="57" t="n">
        <v>36.546</v>
      </c>
      <c r="L499" s="56" t="inlineStr">
        <is>
          <t>9518316715/ 1</t>
        </is>
      </c>
      <c r="M499" s="56" t="inlineStr">
        <is>
          <t>1</t>
        </is>
      </c>
      <c r="N499" s="56" t="inlineStr">
        <is>
          <t>MEGH STEELS PRIVATE LIMITED - TVS A</t>
        </is>
      </c>
      <c r="O499" s="58" t="n">
        <v>33</v>
      </c>
      <c r="P499" s="59" t="inlineStr">
        <is>
          <t>31-60</t>
        </is>
      </c>
      <c r="Q499" s="56" t="inlineStr">
        <is>
          <t>Apoorv</t>
        </is>
      </c>
      <c r="U499" s="585" t="n">
        <v>3506510</v>
      </c>
      <c r="V499" t="n">
        <v>22.2</v>
      </c>
      <c r="W499" t="n">
        <v>0</v>
      </c>
      <c r="X499" t="n">
        <v>1.2</v>
      </c>
      <c r="Y499" t="n">
        <v>0.6</v>
      </c>
      <c r="Z499" t="inlineStr"/>
      <c r="AA499" t="inlineStr">
        <is>
          <t>PE</t>
        </is>
      </c>
      <c r="AB499" t="inlineStr">
        <is>
          <t>AW</t>
        </is>
      </c>
      <c r="AC499" t="inlineStr">
        <is>
          <t>22.23-0-1.2-ERW 1-PE</t>
        </is>
      </c>
      <c r="AD499" t="inlineStr">
        <is>
          <t>CTL</t>
        </is>
      </c>
      <c r="AF499" t="n">
        <v>0.37269288</v>
      </c>
    </row>
    <row r="500">
      <c r="A500" s="56" t="n">
        <v>2410388</v>
      </c>
      <c r="B500" s="56" t="inlineStr">
        <is>
          <t>TUB-O-C-AUT-AD-FC-28.60X2.650X04-05</t>
        </is>
      </c>
      <c r="C500" s="56" t="inlineStr">
        <is>
          <t>4C1165720A</t>
        </is>
      </c>
      <c r="D500" s="57" t="n">
        <v>115.929</v>
      </c>
      <c r="E500" s="58" t="n">
        <v>885</v>
      </c>
      <c r="F500" s="57" t="n">
        <v>0.885</v>
      </c>
      <c r="G500" s="56" t="inlineStr">
        <is>
          <t>KG</t>
        </is>
      </c>
      <c r="H500" s="56" t="inlineStr">
        <is>
          <t>R001</t>
        </is>
      </c>
      <c r="I500" s="56" t="inlineStr">
        <is>
          <t>0788</t>
        </is>
      </c>
      <c r="J500" s="56" t="inlineStr">
        <is>
          <t>120</t>
        </is>
      </c>
      <c r="K500" s="57" t="n">
        <v>521.662</v>
      </c>
      <c r="L500" s="56" t="inlineStr">
        <is>
          <t>9518316715/ 1</t>
        </is>
      </c>
      <c r="M500" s="56" t="inlineStr">
        <is>
          <t>1</t>
        </is>
      </c>
      <c r="N500" s="56" t="inlineStr">
        <is>
          <t>MEGH STEELS PRIVATE LIMITED - TVS A</t>
        </is>
      </c>
      <c r="O500" s="58" t="n">
        <v>33</v>
      </c>
      <c r="P500" s="59" t="inlineStr">
        <is>
          <t>31-60</t>
        </is>
      </c>
      <c r="Q500" s="56" t="inlineStr">
        <is>
          <t>Apoorv</t>
        </is>
      </c>
      <c r="U500" s="585" t="n">
        <v>3180928</v>
      </c>
      <c r="V500" t="n">
        <v>22.2</v>
      </c>
      <c r="W500" t="n">
        <v>0</v>
      </c>
      <c r="X500" t="n">
        <v>1.2</v>
      </c>
      <c r="Y500" t="n">
        <v>0.63</v>
      </c>
      <c r="Z500" t="inlineStr"/>
      <c r="AA500" t="inlineStr">
        <is>
          <t>PE</t>
        </is>
      </c>
      <c r="AB500" t="inlineStr">
        <is>
          <t>AW</t>
        </is>
      </c>
      <c r="AC500" t="inlineStr">
        <is>
          <t>22.23-0-1.2-ERW 1-PE</t>
        </is>
      </c>
      <c r="AD500" t="inlineStr">
        <is>
          <t>CTL</t>
        </is>
      </c>
      <c r="AE500" t="inlineStr">
        <is>
          <t>22.23-0-2-ERW 1-PE-0.63</t>
        </is>
      </c>
      <c r="AF500" t="n">
        <v>0.391327524</v>
      </c>
    </row>
    <row r="501">
      <c r="A501" s="56" t="n">
        <v>2410388</v>
      </c>
      <c r="B501" s="56" t="inlineStr">
        <is>
          <t>TUB-O-C-AUT-AD-FC-28.60X2.650X04-05</t>
        </is>
      </c>
      <c r="C501" s="56" t="inlineStr">
        <is>
          <t>4C1165720B</t>
        </is>
      </c>
      <c r="D501" s="57" t="n">
        <v>92.874</v>
      </c>
      <c r="E501" s="58" t="n">
        <v>709</v>
      </c>
      <c r="F501" s="57" t="n">
        <v>0.709</v>
      </c>
      <c r="G501" s="56" t="inlineStr">
        <is>
          <t>KG</t>
        </is>
      </c>
      <c r="H501" s="56" t="inlineStr">
        <is>
          <t>R001</t>
        </is>
      </c>
      <c r="I501" s="56" t="inlineStr">
        <is>
          <t>0788</t>
        </is>
      </c>
      <c r="J501" s="56" t="inlineStr">
        <is>
          <t>90</t>
        </is>
      </c>
      <c r="K501" s="57" t="n">
        <v>417.919</v>
      </c>
      <c r="L501" s="56" t="inlineStr">
        <is>
          <t>9518316715/ 1</t>
        </is>
      </c>
      <c r="M501" s="56" t="inlineStr">
        <is>
          <t>1</t>
        </is>
      </c>
      <c r="N501" s="56" t="inlineStr">
        <is>
          <t>MEGH STEELS PRIVATE LIMITED - TVS A</t>
        </is>
      </c>
      <c r="O501" s="58" t="n">
        <v>33</v>
      </c>
      <c r="P501" s="59" t="inlineStr">
        <is>
          <t>31-60</t>
        </is>
      </c>
      <c r="Q501" s="56" t="inlineStr">
        <is>
          <t>Apoorv</t>
        </is>
      </c>
      <c r="U501" s="585" t="n">
        <v>3667938</v>
      </c>
      <c r="V501" t="n">
        <v>22.2</v>
      </c>
      <c r="W501" t="n">
        <v>0</v>
      </c>
      <c r="X501" t="n">
        <v>1.2</v>
      </c>
      <c r="Y501" t="n">
        <v>0.673</v>
      </c>
      <c r="Z501" t="inlineStr"/>
      <c r="AA501" t="inlineStr">
        <is>
          <t>PE</t>
        </is>
      </c>
      <c r="AB501" t="inlineStr">
        <is>
          <t>AW</t>
        </is>
      </c>
      <c r="AC501" t="inlineStr">
        <is>
          <t>22.23-0-1.2-ERW 1-PE</t>
        </is>
      </c>
      <c r="AD501" t="inlineStr">
        <is>
          <t>CTL</t>
        </is>
      </c>
      <c r="AE501" t="inlineStr">
        <is>
          <t>22.23-0-1.2-ERW 1-PE-0.673</t>
        </is>
      </c>
      <c r="AF501" t="n">
        <v>0.4180371804</v>
      </c>
    </row>
    <row r="502">
      <c r="A502" s="56" t="n">
        <v>2410388</v>
      </c>
      <c r="B502" s="56" t="inlineStr">
        <is>
          <t>TUB-O-C-AUT-AD-FC-28.60X2.650X04-05</t>
        </is>
      </c>
      <c r="C502" s="56" t="inlineStr">
        <is>
          <t>4C1165720C</t>
        </is>
      </c>
      <c r="D502" s="57" t="n">
        <v>13.23</v>
      </c>
      <c r="E502" s="58" t="n">
        <v>101</v>
      </c>
      <c r="F502" s="57" t="n">
        <v>0.101</v>
      </c>
      <c r="G502" s="56" t="inlineStr">
        <is>
          <t>KG</t>
        </is>
      </c>
      <c r="H502" s="56" t="inlineStr">
        <is>
          <t>R001</t>
        </is>
      </c>
      <c r="I502" s="56" t="inlineStr">
        <is>
          <t>0788</t>
        </is>
      </c>
      <c r="J502" s="56" t="inlineStr">
        <is>
          <t>13</t>
        </is>
      </c>
      <c r="K502" s="57" t="n">
        <v>59.534</v>
      </c>
      <c r="L502" s="56" t="inlineStr">
        <is>
          <t>9518316715/ 1</t>
        </is>
      </c>
      <c r="M502" s="56" t="inlineStr">
        <is>
          <t>1</t>
        </is>
      </c>
      <c r="N502" s="56" t="inlineStr">
        <is>
          <t>MEGH STEELS PRIVATE LIMITED - TVS A</t>
        </is>
      </c>
      <c r="O502" s="58" t="n">
        <v>33</v>
      </c>
      <c r="P502" s="59" t="inlineStr">
        <is>
          <t>31-60</t>
        </is>
      </c>
      <c r="Q502" s="56" t="inlineStr">
        <is>
          <t>Apoorv</t>
        </is>
      </c>
      <c r="U502" s="585" t="n">
        <v>281749</v>
      </c>
      <c r="V502" t="n">
        <v>22.2</v>
      </c>
      <c r="W502" t="n">
        <v>0</v>
      </c>
      <c r="X502" t="n">
        <v>1.2</v>
      </c>
      <c r="Y502" t="n">
        <v>0.673</v>
      </c>
      <c r="Z502" t="inlineStr">
        <is>
          <t>TPT</t>
        </is>
      </c>
      <c r="AA502" t="inlineStr">
        <is>
          <t>PE</t>
        </is>
      </c>
      <c r="AB502" t="inlineStr">
        <is>
          <t>AW</t>
        </is>
      </c>
      <c r="AC502" t="inlineStr">
        <is>
          <t>22.23-0-1.2-ERW 1-PE</t>
        </is>
      </c>
      <c r="AD502" t="inlineStr">
        <is>
          <t>CTL</t>
        </is>
      </c>
      <c r="AE502" t="inlineStr">
        <is>
          <t>22.23-0-1.2-ERW 1-PE-0.673</t>
        </is>
      </c>
      <c r="AF502" t="n">
        <v>0.4180371804</v>
      </c>
    </row>
    <row r="503">
      <c r="A503" s="56" t="n">
        <v>3500714</v>
      </c>
      <c r="B503" s="56" t="inlineStr">
        <is>
          <t>TUB-O-N-AUT-BH-FC-42.70X4.000X5.50-ERW 1</t>
        </is>
      </c>
      <c r="C503" s="56" t="inlineStr">
        <is>
          <t>4707BK3090</t>
        </is>
      </c>
      <c r="D503" s="57" t="n">
        <v>99.967</v>
      </c>
      <c r="E503" s="58" t="n">
        <v>2099</v>
      </c>
      <c r="F503" s="57" t="n">
        <v>2.099</v>
      </c>
      <c r="G503" s="56" t="inlineStr">
        <is>
          <t>KG</t>
        </is>
      </c>
      <c r="H503" s="56" t="inlineStr">
        <is>
          <t>R001</t>
        </is>
      </c>
      <c r="I503" s="56" t="inlineStr">
        <is>
          <t>0788</t>
        </is>
      </c>
      <c r="J503" s="56" t="inlineStr">
        <is>
          <t>100</t>
        </is>
      </c>
      <c r="K503" s="57" t="n">
        <v>549.822</v>
      </c>
      <c r="L503" s="56" t="inlineStr">
        <is>
          <t>9518298429/ 4</t>
        </is>
      </c>
      <c r="M503" s="56" t="inlineStr">
        <is>
          <t>4</t>
        </is>
      </c>
      <c r="N503" s="56" t="inlineStr">
        <is>
          <t>MEGH STEELS PRIVATE LIMITED - TVS A</t>
        </is>
      </c>
      <c r="O503" s="58" t="n">
        <v>105</v>
      </c>
      <c r="P503" s="59" t="inlineStr">
        <is>
          <t>ABOVE 90</t>
        </is>
      </c>
      <c r="Q503" s="56" t="inlineStr">
        <is>
          <t>Apoorv</t>
        </is>
      </c>
      <c r="U503" s="585" t="n">
        <v>3507568</v>
      </c>
      <c r="V503" t="n">
        <v>22.2</v>
      </c>
      <c r="W503" t="n">
        <v>0</v>
      </c>
      <c r="X503" t="n">
        <v>1.2</v>
      </c>
      <c r="Y503" t="n">
        <v>0.681</v>
      </c>
      <c r="Z503" t="inlineStr"/>
      <c r="AA503" t="inlineStr">
        <is>
          <t>PE</t>
        </is>
      </c>
      <c r="AB503" t="inlineStr">
        <is>
          <t>AW</t>
        </is>
      </c>
      <c r="AC503" t="inlineStr">
        <is>
          <t>22.23-0-1.2-ERW 1-PE</t>
        </is>
      </c>
      <c r="AD503" t="inlineStr">
        <is>
          <t>CTL</t>
        </is>
      </c>
      <c r="AE503" t="inlineStr">
        <is>
          <t>22.23-0-1.2-ERW 1-PE-0.681</t>
        </is>
      </c>
      <c r="AF503" t="n">
        <v>0.4230064188000001</v>
      </c>
    </row>
    <row r="504">
      <c r="A504" s="56" t="n">
        <v>3770393</v>
      </c>
      <c r="B504" s="56" t="inlineStr">
        <is>
          <t>TUB-I-C-AUT-AD-FC-23.30X2.650X6.0700</t>
        </is>
      </c>
      <c r="C504" s="56" t="inlineStr">
        <is>
          <t>4B19K37919</t>
        </is>
      </c>
      <c r="D504" s="57" t="n">
        <v>144.883</v>
      </c>
      <c r="E504" s="58" t="n">
        <v>1492</v>
      </c>
      <c r="F504" s="57" t="n">
        <v>1.492</v>
      </c>
      <c r="G504" s="56" t="inlineStr">
        <is>
          <t>KG</t>
        </is>
      </c>
      <c r="H504" s="56" t="inlineStr">
        <is>
          <t>R001</t>
        </is>
      </c>
      <c r="I504" s="56" t="inlineStr">
        <is>
          <t>0788</t>
        </is>
      </c>
      <c r="J504" s="56" t="inlineStr">
        <is>
          <t>145</t>
        </is>
      </c>
      <c r="K504" s="57" t="n">
        <v>879.458</v>
      </c>
      <c r="L504" s="56" t="inlineStr">
        <is>
          <t>9518132963/ 1</t>
        </is>
      </c>
      <c r="M504" s="56" t="inlineStr">
        <is>
          <t>1</t>
        </is>
      </c>
      <c r="N504" s="56" t="inlineStr">
        <is>
          <t>MEGH STEELS PRIVATE LIMITED - TVS A</t>
        </is>
      </c>
      <c r="O504" s="58" t="n">
        <v>53</v>
      </c>
      <c r="P504" s="59" t="inlineStr">
        <is>
          <t>31-60</t>
        </is>
      </c>
      <c r="Q504" s="56" t="inlineStr">
        <is>
          <t>Apoorv</t>
        </is>
      </c>
      <c r="U504" s="585" t="n">
        <v>1270328</v>
      </c>
      <c r="V504" t="n">
        <v>22.2</v>
      </c>
      <c r="W504" t="n">
        <v>0</v>
      </c>
      <c r="X504" t="n">
        <v>1.2</v>
      </c>
      <c r="Y504" t="n">
        <v>0.681</v>
      </c>
      <c r="Z504" t="inlineStr"/>
      <c r="AA504" t="inlineStr">
        <is>
          <t>PE</t>
        </is>
      </c>
      <c r="AB504" t="inlineStr">
        <is>
          <t>AW</t>
        </is>
      </c>
      <c r="AC504" t="inlineStr">
        <is>
          <t>22.23-0-1.2-ERW 1-PE</t>
        </is>
      </c>
      <c r="AD504" t="inlineStr">
        <is>
          <t>CTL</t>
        </is>
      </c>
      <c r="AE504" t="inlineStr">
        <is>
          <t>22.23-0-1.2-ERW 1-PE-0.681</t>
        </is>
      </c>
      <c r="AF504" t="n">
        <v>0.4230064188000001</v>
      </c>
    </row>
    <row r="505">
      <c r="A505" s="56" t="n">
        <v>3770393</v>
      </c>
      <c r="B505" s="56" t="inlineStr">
        <is>
          <t>TUB-I-C-AUT-AD-FC-23.30X2.650X6.0700</t>
        </is>
      </c>
      <c r="C505" s="56" t="inlineStr">
        <is>
          <t>4B19K37920</t>
        </is>
      </c>
      <c r="D505" s="57" t="n">
        <v>149.835</v>
      </c>
      <c r="E505" s="58" t="n">
        <v>1543</v>
      </c>
      <c r="F505" s="57" t="n">
        <v>1.543</v>
      </c>
      <c r="G505" s="56" t="inlineStr">
        <is>
          <t>KG</t>
        </is>
      </c>
      <c r="H505" s="56" t="inlineStr">
        <is>
          <t>R001</t>
        </is>
      </c>
      <c r="I505" s="56" t="inlineStr">
        <is>
          <t>0788</t>
        </is>
      </c>
      <c r="J505" s="56" t="inlineStr">
        <is>
          <t>150</t>
        </is>
      </c>
      <c r="K505" s="57" t="n">
        <v>909.52</v>
      </c>
      <c r="L505" s="56" t="inlineStr">
        <is>
          <t>9518132963/ 1</t>
        </is>
      </c>
      <c r="M505" s="56" t="inlineStr">
        <is>
          <t>1</t>
        </is>
      </c>
      <c r="N505" s="56" t="inlineStr">
        <is>
          <t>MEGH STEELS PRIVATE LIMITED - TVS A</t>
        </is>
      </c>
      <c r="O505" s="58" t="n">
        <v>53</v>
      </c>
      <c r="P505" s="59" t="inlineStr">
        <is>
          <t>31-60</t>
        </is>
      </c>
      <c r="Q505" s="56" t="inlineStr">
        <is>
          <t>Apoorv</t>
        </is>
      </c>
      <c r="U505" s="585" t="n">
        <v>521118</v>
      </c>
      <c r="V505" t="n">
        <v>22.2</v>
      </c>
      <c r="W505" t="n">
        <v>0</v>
      </c>
      <c r="X505" t="n">
        <v>1.2</v>
      </c>
      <c r="Y505" t="n">
        <v>1.162</v>
      </c>
      <c r="Z505" t="inlineStr"/>
      <c r="AA505" t="inlineStr">
        <is>
          <t>PE</t>
        </is>
      </c>
      <c r="AB505" t="inlineStr">
        <is>
          <t>AW</t>
        </is>
      </c>
      <c r="AC505" t="inlineStr">
        <is>
          <t>22.23-0-1.2-ERW 1-PE</t>
        </is>
      </c>
      <c r="AD505" t="inlineStr">
        <is>
          <t>CTL</t>
        </is>
      </c>
      <c r="AE505" t="inlineStr">
        <is>
          <t>22.23-0-2-ERW 1-PE-1.162</t>
        </is>
      </c>
      <c r="AF505" t="n">
        <v>0.7217818776</v>
      </c>
    </row>
    <row r="506">
      <c r="A506" s="56" t="n">
        <v>1930110</v>
      </c>
      <c r="B506" s="56" t="inlineStr">
        <is>
          <t>TUB-O-C-CEW-AD-FC-29.40X4.500X5.2000</t>
        </is>
      </c>
      <c r="C506" s="56" t="inlineStr">
        <is>
          <t>4509K13788</t>
        </is>
      </c>
      <c r="D506" s="57" t="n">
        <v>98.929</v>
      </c>
      <c r="E506" s="58" t="n">
        <v>1422</v>
      </c>
      <c r="F506" s="57" t="n">
        <v>1.422</v>
      </c>
      <c r="G506" s="56" t="inlineStr">
        <is>
          <t>KG</t>
        </is>
      </c>
      <c r="H506" s="56" t="inlineStr">
        <is>
          <t>R001</t>
        </is>
      </c>
      <c r="I506" s="56" t="inlineStr">
        <is>
          <t>0788</t>
        </is>
      </c>
      <c r="J506" s="56" t="inlineStr">
        <is>
          <t>99</t>
        </is>
      </c>
      <c r="K506" s="57" t="n">
        <v>514.4160000000001</v>
      </c>
      <c r="L506" s="56" t="inlineStr"/>
      <c r="M506" s="56" t="inlineStr">
        <is>
          <t>0</t>
        </is>
      </c>
      <c r="N506" s="56" t="inlineStr">
        <is>
          <t>Kay Jay Forgings Pvt Ltd Unit Vi</t>
        </is>
      </c>
      <c r="O506" s="58" t="n">
        <v>249</v>
      </c>
      <c r="P506" s="59" t="inlineStr">
        <is>
          <t>ABOVE 90</t>
        </is>
      </c>
      <c r="Q506" s="56" t="inlineStr">
        <is>
          <t>Jitendra Kumar Sharma</t>
        </is>
      </c>
      <c r="U506" s="585" t="n">
        <v>3781676</v>
      </c>
      <c r="V506" t="n">
        <v>22.2</v>
      </c>
      <c r="W506" t="n">
        <v>0</v>
      </c>
      <c r="X506" t="n">
        <v>1.2</v>
      </c>
      <c r="Y506" t="n">
        <v>1.162</v>
      </c>
      <c r="Z506" t="inlineStr">
        <is>
          <t>TPT</t>
        </is>
      </c>
      <c r="AA506" t="inlineStr">
        <is>
          <t>PE</t>
        </is>
      </c>
      <c r="AB506" t="inlineStr">
        <is>
          <t>AW</t>
        </is>
      </c>
      <c r="AC506" t="inlineStr">
        <is>
          <t>22.23-0-1.2-ERW 1-PE</t>
        </is>
      </c>
      <c r="AD506" t="inlineStr">
        <is>
          <t>CTL</t>
        </is>
      </c>
      <c r="AE506" t="inlineStr">
        <is>
          <t>22.23-0-1.2-ERW 1-PE-1.162</t>
        </is>
      </c>
      <c r="AF506" t="n">
        <v>0.7217818776</v>
      </c>
    </row>
    <row r="507">
      <c r="A507" s="56" t="n">
        <v>1930110</v>
      </c>
      <c r="B507" s="56" t="inlineStr">
        <is>
          <t>TUB-O-C-CEW-AD-FC-29.40X4.500X5.2000</t>
        </is>
      </c>
      <c r="C507" s="56" t="inlineStr">
        <is>
          <t>4606K17586</t>
        </is>
      </c>
      <c r="D507" s="57" t="n">
        <v>8.975</v>
      </c>
      <c r="E507" s="58" t="n">
        <v>129</v>
      </c>
      <c r="F507" s="57" t="n">
        <v>0.129</v>
      </c>
      <c r="G507" s="56" t="inlineStr">
        <is>
          <t>KG</t>
        </is>
      </c>
      <c r="H507" s="56" t="inlineStr">
        <is>
          <t>R001</t>
        </is>
      </c>
      <c r="I507" s="56" t="inlineStr">
        <is>
          <t>0788</t>
        </is>
      </c>
      <c r="J507" s="56" t="inlineStr">
        <is>
          <t>9</t>
        </is>
      </c>
      <c r="K507" s="57" t="n">
        <v>46.666</v>
      </c>
      <c r="L507" s="56" t="inlineStr"/>
      <c r="M507" s="56" t="inlineStr">
        <is>
          <t>0</t>
        </is>
      </c>
      <c r="N507" s="56" t="inlineStr">
        <is>
          <t>Kay Jay Forgings Pvt Ltd Unit Vi</t>
        </is>
      </c>
      <c r="O507" s="58" t="n">
        <v>152</v>
      </c>
      <c r="P507" s="59" t="inlineStr">
        <is>
          <t>ABOVE 90</t>
        </is>
      </c>
      <c r="Q507" s="56" t="inlineStr">
        <is>
          <t>Jitendra Kumar Sharma</t>
        </is>
      </c>
      <c r="U507" s="585" t="n">
        <v>3669081</v>
      </c>
      <c r="V507" t="n">
        <v>22.2</v>
      </c>
      <c r="W507" t="n">
        <v>0</v>
      </c>
      <c r="X507" t="n">
        <v>1.2</v>
      </c>
      <c r="Y507" t="n">
        <v>1.3</v>
      </c>
      <c r="Z507" t="inlineStr">
        <is>
          <t>GR1</t>
        </is>
      </c>
      <c r="AA507" t="inlineStr">
        <is>
          <t>PE</t>
        </is>
      </c>
      <c r="AB507" t="inlineStr">
        <is>
          <t>AW</t>
        </is>
      </c>
      <c r="AC507" t="inlineStr">
        <is>
          <t>22.23-0-1.2-ERW 1-PE</t>
        </is>
      </c>
      <c r="AD507" t="inlineStr">
        <is>
          <t>CTL</t>
        </is>
      </c>
      <c r="AE507" t="inlineStr">
        <is>
          <t>22.23-0-2-ERW 1-PE-1.3</t>
        </is>
      </c>
      <c r="AF507" t="n">
        <v>0.80750124</v>
      </c>
    </row>
    <row r="508">
      <c r="A508" s="56" t="n">
        <v>1930110</v>
      </c>
      <c r="B508" s="56" t="inlineStr">
        <is>
          <t>TUB-O-C-CEW-AD-FC-29.40X4.500X5.2000</t>
        </is>
      </c>
      <c r="C508" s="56" t="inlineStr">
        <is>
          <t>4B20AK3180</t>
        </is>
      </c>
      <c r="D508" s="57" t="n">
        <v>135.87</v>
      </c>
      <c r="E508" s="58" t="n">
        <v>1953</v>
      </c>
      <c r="F508" s="57" t="n">
        <v>1.953</v>
      </c>
      <c r="G508" s="56" t="inlineStr">
        <is>
          <t>KG</t>
        </is>
      </c>
      <c r="H508" s="56" t="inlineStr">
        <is>
          <t>R001</t>
        </is>
      </c>
      <c r="I508" s="56" t="inlineStr">
        <is>
          <t>0788</t>
        </is>
      </c>
      <c r="J508" s="56" t="inlineStr">
        <is>
          <t>136</t>
        </is>
      </c>
      <c r="K508" s="57" t="n">
        <v>706.508</v>
      </c>
      <c r="L508" s="56" t="inlineStr"/>
      <c r="M508" s="56" t="inlineStr">
        <is>
          <t>0</t>
        </is>
      </c>
      <c r="N508" s="56" t="inlineStr">
        <is>
          <t>Kay Jay Forgings Pvt Ltd Unit Vi</t>
        </is>
      </c>
      <c r="O508" s="58" t="n">
        <v>20</v>
      </c>
      <c r="P508" s="59" t="inlineStr">
        <is>
          <t>0-30</t>
        </is>
      </c>
      <c r="Q508" s="56" t="inlineStr">
        <is>
          <t>Jitendra Kumar Sharma</t>
        </is>
      </c>
      <c r="U508" s="585" t="n">
        <v>3882110</v>
      </c>
      <c r="V508" t="n">
        <v>22.2</v>
      </c>
      <c r="W508" t="n">
        <v>0</v>
      </c>
      <c r="X508" t="n">
        <v>1.2</v>
      </c>
      <c r="Y508" t="n">
        <v>5.87</v>
      </c>
      <c r="Z508" t="inlineStr"/>
      <c r="AA508" t="inlineStr">
        <is>
          <t>PE</t>
        </is>
      </c>
      <c r="AB508" t="inlineStr">
        <is>
          <t>AW</t>
        </is>
      </c>
      <c r="AC508" t="inlineStr">
        <is>
          <t>22.23-0-1.2-ERW 1-PE</t>
        </is>
      </c>
      <c r="AD508" t="inlineStr">
        <is>
          <t>LL</t>
        </is>
      </c>
      <c r="AE508" t="inlineStr">
        <is>
          <t>22.23-0-1.2-ERW 1-PE-1</t>
        </is>
      </c>
      <c r="AF508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509">
      <c r="A509" s="56" t="n">
        <v>1931823</v>
      </c>
      <c r="B509" s="56" t="inlineStr">
        <is>
          <t>TUB-O-N-AUT-AW-PE-17.30X1.600X6.0000</t>
        </is>
      </c>
      <c r="C509" s="56" t="inlineStr">
        <is>
          <t>A2306029</t>
        </is>
      </c>
      <c r="D509" s="57" t="n">
        <v>203</v>
      </c>
      <c r="E509" s="57" t="n">
        <v>754.754</v>
      </c>
      <c r="F509" s="57" t="n">
        <v>0.754754</v>
      </c>
      <c r="G509" s="56" t="inlineStr">
        <is>
          <t>KG</t>
        </is>
      </c>
      <c r="H509" s="56" t="inlineStr">
        <is>
          <t>R001</t>
        </is>
      </c>
      <c r="I509" s="56" t="inlineStr">
        <is>
          <t>0788</t>
        </is>
      </c>
      <c r="J509" s="56" t="inlineStr">
        <is>
          <t>203</t>
        </is>
      </c>
      <c r="K509" s="57" t="n">
        <v>1217.934</v>
      </c>
      <c r="L509" s="56" t="inlineStr"/>
      <c r="M509" s="56" t="inlineStr">
        <is>
          <t>0</t>
        </is>
      </c>
      <c r="N509" s="56" t="inlineStr">
        <is>
          <t>ELKAYEM AUTO ANCILLARIES (PVT) LTD.</t>
        </is>
      </c>
      <c r="O509" s="58" t="n">
        <v>549</v>
      </c>
      <c r="P509" s="59" t="inlineStr">
        <is>
          <t>ABOVE 90</t>
        </is>
      </c>
      <c r="Q509" s="56" t="inlineStr">
        <is>
          <t>Diwakar</t>
        </is>
      </c>
      <c r="U509" s="585" t="n">
        <v>3498972</v>
      </c>
      <c r="V509" t="n">
        <v>22.2</v>
      </c>
      <c r="W509" t="n">
        <v>0</v>
      </c>
      <c r="X509" t="n">
        <v>1.2</v>
      </c>
      <c r="Y509" t="n">
        <v>6</v>
      </c>
      <c r="Z509" t="inlineStr"/>
      <c r="AA509" t="inlineStr">
        <is>
          <t>PE</t>
        </is>
      </c>
      <c r="AB509" t="inlineStr">
        <is>
          <t>AW</t>
        </is>
      </c>
      <c r="AC509" t="inlineStr">
        <is>
          <t>22.23-0-1.2-ERW 1-PE</t>
        </is>
      </c>
      <c r="AD509" t="inlineStr">
        <is>
          <t>LL</t>
        </is>
      </c>
      <c r="AE509" t="inlineStr">
        <is>
          <t>22.23-0-1.2-ERW 1-PE-1</t>
        </is>
      </c>
      <c r="AF509" t="n">
        <v>0.6211548</v>
      </c>
    </row>
    <row r="510">
      <c r="A510" s="56" t="n">
        <v>2288945</v>
      </c>
      <c r="B510" s="56" t="inlineStr">
        <is>
          <t>TUB-O-N-AUT-AW-PE-18.20X1.000X6.1450</t>
        </is>
      </c>
      <c r="C510" s="56" t="inlineStr">
        <is>
          <t>4A09AK1110</t>
        </is>
      </c>
      <c r="D510" s="57" t="n">
        <v>280.015</v>
      </c>
      <c r="E510" s="58" t="n">
        <v>730</v>
      </c>
      <c r="F510" s="57" t="n">
        <v>0.73</v>
      </c>
      <c r="G510" s="56" t="inlineStr">
        <is>
          <t>KG</t>
        </is>
      </c>
      <c r="H510" s="56" t="inlineStr">
        <is>
          <t>R001</t>
        </is>
      </c>
      <c r="I510" s="56" t="inlineStr">
        <is>
          <t>0788</t>
        </is>
      </c>
      <c r="J510" s="56" t="inlineStr">
        <is>
          <t>280</t>
        </is>
      </c>
      <c r="K510" s="57" t="n">
        <v>1720.481</v>
      </c>
      <c r="L510" s="56" t="inlineStr"/>
      <c r="M510" s="56" t="inlineStr">
        <is>
          <t>0</t>
        </is>
      </c>
      <c r="N510" s="56" t="inlineStr">
        <is>
          <t>Neel Metal Products Limited</t>
        </is>
      </c>
      <c r="O510" s="58" t="n">
        <v>57</v>
      </c>
      <c r="P510" s="59" t="inlineStr">
        <is>
          <t>31-60</t>
        </is>
      </c>
      <c r="Q510" s="56" t="inlineStr">
        <is>
          <t>Apoorv</t>
        </is>
      </c>
      <c r="U510" s="585" t="n">
        <v>3500906</v>
      </c>
      <c r="V510" t="n">
        <v>22.2</v>
      </c>
      <c r="W510" t="n">
        <v>0</v>
      </c>
      <c r="X510" t="n">
        <v>1.4</v>
      </c>
      <c r="Y510" t="n">
        <v>5.2</v>
      </c>
      <c r="Z510" t="inlineStr"/>
      <c r="AA510" t="inlineStr">
        <is>
          <t>PE</t>
        </is>
      </c>
      <c r="AB510" t="inlineStr">
        <is>
          <t>AW</t>
        </is>
      </c>
      <c r="AC510" t="inlineStr">
        <is>
          <t>22.2--1.4-ERW 2-NON FIN</t>
        </is>
      </c>
      <c r="AD510" t="inlineStr">
        <is>
          <t>LL</t>
        </is>
      </c>
      <c r="AE510" t="inlineStr">
        <is>
          <t>22.2--1.4-ERW 2-NON FIN-1</t>
        </is>
      </c>
      <c r="AF510" t="n">
        <v>0.71777888</v>
      </c>
    </row>
    <row r="511">
      <c r="A511" s="56" t="n">
        <v>2288945</v>
      </c>
      <c r="B511" s="56" t="inlineStr">
        <is>
          <t>TUB-O-N-AUT-AW-PE-18.20X1.000X6.1450</t>
        </is>
      </c>
      <c r="C511" s="56" t="inlineStr">
        <is>
          <t>5101AK1010</t>
        </is>
      </c>
      <c r="D511" s="57" t="n">
        <v>303.797</v>
      </c>
      <c r="E511" s="58" t="n">
        <v>792</v>
      </c>
      <c r="F511" s="57" t="n">
        <v>0.792</v>
      </c>
      <c r="G511" s="56" t="inlineStr">
        <is>
          <t>KG</t>
        </is>
      </c>
      <c r="H511" s="56" t="inlineStr">
        <is>
          <t>R001</t>
        </is>
      </c>
      <c r="I511" s="56" t="inlineStr">
        <is>
          <t>0788</t>
        </is>
      </c>
      <c r="J511" s="56" t="inlineStr">
        <is>
          <t>304</t>
        </is>
      </c>
      <c r="K511" s="57" t="n">
        <v>1866.604</v>
      </c>
      <c r="L511" s="56" t="inlineStr"/>
      <c r="M511" s="56" t="inlineStr">
        <is>
          <t>0</t>
        </is>
      </c>
      <c r="N511" s="56" t="inlineStr">
        <is>
          <t>Neel Metal Products Limited</t>
        </is>
      </c>
      <c r="O511" s="58" t="n">
        <v>5</v>
      </c>
      <c r="P511" s="59" t="inlineStr">
        <is>
          <t>0-30</t>
        </is>
      </c>
      <c r="Q511" s="56" t="inlineStr">
        <is>
          <t>Apoorv</t>
        </is>
      </c>
      <c r="U511" s="585" t="n">
        <v>3499662</v>
      </c>
      <c r="V511" t="n">
        <v>22.2</v>
      </c>
      <c r="W511" t="n">
        <v>0</v>
      </c>
      <c r="X511" t="n">
        <v>1.4</v>
      </c>
      <c r="Y511" t="n">
        <v>5.83</v>
      </c>
      <c r="Z511" t="inlineStr"/>
      <c r="AA511" t="inlineStr">
        <is>
          <t>PE</t>
        </is>
      </c>
      <c r="AB511" t="inlineStr">
        <is>
          <t>AW</t>
        </is>
      </c>
      <c r="AC511" t="inlineStr">
        <is>
          <t>check thickness tdc</t>
        </is>
      </c>
      <c r="AD511" t="inlineStr">
        <is>
          <t>LL</t>
        </is>
      </c>
      <c r="AE511" t="inlineStr">
        <is>
          <t>check thickness tdc-1</t>
        </is>
      </c>
      <c r="AF511" t="n">
        <v>0.71777888</v>
      </c>
    </row>
    <row r="512">
      <c r="A512" s="56" t="n">
        <v>2288945</v>
      </c>
      <c r="B512" s="56" t="inlineStr">
        <is>
          <t>TUB-O-N-AUT-AW-PE-18.20X1.000X6.1450</t>
        </is>
      </c>
      <c r="C512" s="56" t="inlineStr">
        <is>
          <t>5101AK1020</t>
        </is>
      </c>
      <c r="D512" s="57" t="n">
        <v>634.446</v>
      </c>
      <c r="E512" s="58" t="n">
        <v>1654</v>
      </c>
      <c r="F512" s="57" t="n">
        <v>1.654</v>
      </c>
      <c r="G512" s="56" t="inlineStr">
        <is>
          <t>KG</t>
        </is>
      </c>
      <c r="H512" s="56" t="inlineStr">
        <is>
          <t>R001</t>
        </is>
      </c>
      <c r="I512" s="56" t="inlineStr">
        <is>
          <t>0788</t>
        </is>
      </c>
      <c r="J512" s="56" t="inlineStr">
        <is>
          <t>635</t>
        </is>
      </c>
      <c r="K512" s="57" t="n">
        <v>3898.185</v>
      </c>
      <c r="L512" s="56" t="inlineStr"/>
      <c r="M512" s="56" t="inlineStr">
        <is>
          <t>0</t>
        </is>
      </c>
      <c r="N512" s="56" t="inlineStr">
        <is>
          <t>Neel Metal Products Limited</t>
        </is>
      </c>
      <c r="O512" s="58" t="n">
        <v>12</v>
      </c>
      <c r="P512" s="59" t="inlineStr">
        <is>
          <t>0-30</t>
        </is>
      </c>
      <c r="Q512" s="56" t="inlineStr">
        <is>
          <t>Apoorv</t>
        </is>
      </c>
      <c r="U512" s="585" t="n">
        <v>3829175</v>
      </c>
      <c r="V512" t="n">
        <v>22.2</v>
      </c>
      <c r="W512" t="n">
        <v>0</v>
      </c>
      <c r="X512" t="n">
        <v>1.4</v>
      </c>
      <c r="Y512" t="n">
        <v>6</v>
      </c>
      <c r="Z512" t="inlineStr"/>
      <c r="AA512" t="inlineStr">
        <is>
          <t>PE</t>
        </is>
      </c>
      <c r="AB512" t="inlineStr">
        <is>
          <t>AW</t>
        </is>
      </c>
      <c r="AC512" t="inlineStr">
        <is>
          <t>22.2--1.4-ERW 2-NON FIN</t>
        </is>
      </c>
      <c r="AD512" t="inlineStr">
        <is>
          <t>LL</t>
        </is>
      </c>
      <c r="AE512" t="inlineStr">
        <is>
          <t>22.2--1.4-ERW 2-NON FIN-1</t>
        </is>
      </c>
      <c r="AF512" t="n">
        <v>0.71777888</v>
      </c>
    </row>
    <row r="513">
      <c r="A513" s="56" t="n">
        <v>2288945</v>
      </c>
      <c r="B513" s="56" t="inlineStr">
        <is>
          <t>TUB-O-N-AUT-AW-PE-18.20X1.000X6.1450</t>
        </is>
      </c>
      <c r="C513" s="56" t="inlineStr">
        <is>
          <t>5101AK1030</t>
        </is>
      </c>
      <c r="D513" s="57" t="n">
        <v>555.811</v>
      </c>
      <c r="E513" s="58" t="n">
        <v>1449</v>
      </c>
      <c r="F513" s="57" t="n">
        <v>1.449</v>
      </c>
      <c r="G513" s="56" t="inlineStr">
        <is>
          <t>KG</t>
        </is>
      </c>
      <c r="H513" s="56" t="inlineStr">
        <is>
          <t>R001</t>
        </is>
      </c>
      <c r="I513" s="56" t="inlineStr">
        <is>
          <t>0788</t>
        </is>
      </c>
      <c r="J513" s="56" t="inlineStr">
        <is>
          <t>556</t>
        </is>
      </c>
      <c r="K513" s="57" t="n">
        <v>3415.037</v>
      </c>
      <c r="L513" s="56" t="inlineStr"/>
      <c r="M513" s="56" t="inlineStr">
        <is>
          <t>0</t>
        </is>
      </c>
      <c r="N513" s="56" t="inlineStr">
        <is>
          <t>Neel Metal Products Limited</t>
        </is>
      </c>
      <c r="O513" s="58" t="n">
        <v>12</v>
      </c>
      <c r="P513" s="59" t="inlineStr">
        <is>
          <t>0-30</t>
        </is>
      </c>
      <c r="Q513" s="56" t="inlineStr">
        <is>
          <t>Apoorv</t>
        </is>
      </c>
      <c r="U513" s="585" t="n">
        <v>355991</v>
      </c>
      <c r="V513" t="n">
        <v>22.2</v>
      </c>
      <c r="W513" t="n">
        <v>0</v>
      </c>
      <c r="X513" t="n">
        <v>1.6</v>
      </c>
      <c r="Y513" t="n">
        <v>0.283</v>
      </c>
      <c r="Z513" t="inlineStr">
        <is>
          <t>TPT</t>
        </is>
      </c>
      <c r="AA513" t="inlineStr">
        <is>
          <t>PE</t>
        </is>
      </c>
      <c r="AB513" t="inlineStr">
        <is>
          <t>AW</t>
        </is>
      </c>
      <c r="AC513" t="inlineStr">
        <is>
          <t>22.23-0-1.6-ERW 1-PE</t>
        </is>
      </c>
      <c r="AD513" t="inlineStr">
        <is>
          <t>CTL</t>
        </is>
      </c>
      <c r="AE513" t="inlineStr">
        <is>
          <t>22.23-0-1.6-ERW 1-PE-0.283</t>
        </is>
      </c>
      <c r="AF513" t="n">
        <v>0.22991798432</v>
      </c>
    </row>
    <row r="514">
      <c r="A514" s="56" t="n">
        <v>2288945</v>
      </c>
      <c r="B514" s="56" t="inlineStr">
        <is>
          <t>TUB-O-N-AUT-AW-PE-18.20X1.000X6.1450</t>
        </is>
      </c>
      <c r="C514" s="56" t="inlineStr">
        <is>
          <t>5101AK1040</t>
        </is>
      </c>
      <c r="D514" s="57" t="n">
        <v>522.823</v>
      </c>
      <c r="E514" s="58" t="n">
        <v>1363</v>
      </c>
      <c r="F514" s="57" t="n">
        <v>1.363</v>
      </c>
      <c r="G514" s="56" t="inlineStr">
        <is>
          <t>KG</t>
        </is>
      </c>
      <c r="H514" s="56" t="inlineStr">
        <is>
          <t>R001</t>
        </is>
      </c>
      <c r="I514" s="56" t="inlineStr">
        <is>
          <t>0788</t>
        </is>
      </c>
      <c r="J514" s="56" t="inlineStr">
        <is>
          <t>523</t>
        </is>
      </c>
      <c r="K514" s="57" t="n">
        <v>3212.35</v>
      </c>
      <c r="L514" s="56" t="inlineStr"/>
      <c r="M514" s="56" t="inlineStr">
        <is>
          <t>0</t>
        </is>
      </c>
      <c r="N514" s="56" t="inlineStr">
        <is>
          <t>Neel Metal Products Limited</t>
        </is>
      </c>
      <c r="O514" s="58" t="n">
        <v>11</v>
      </c>
      <c r="P514" s="59" t="inlineStr">
        <is>
          <t>0-30</t>
        </is>
      </c>
      <c r="Q514" s="56" t="inlineStr">
        <is>
          <t>Apoorv</t>
        </is>
      </c>
      <c r="U514" s="585" t="n">
        <v>237644</v>
      </c>
      <c r="V514" t="n">
        <v>22.2</v>
      </c>
      <c r="W514" t="n">
        <v>0</v>
      </c>
      <c r="X514" t="n">
        <v>1.6</v>
      </c>
      <c r="Y514" t="n">
        <v>0.285</v>
      </c>
      <c r="Z514" t="inlineStr">
        <is>
          <t>TPT</t>
        </is>
      </c>
      <c r="AA514" t="inlineStr">
        <is>
          <t>PE</t>
        </is>
      </c>
      <c r="AB514" t="inlineStr">
        <is>
          <t>AW</t>
        </is>
      </c>
      <c r="AC514" t="inlineStr">
        <is>
          <t>22.23-0-1.6-ERW 1-PE</t>
        </is>
      </c>
      <c r="AD514" t="inlineStr">
        <is>
          <t>CTL</t>
        </is>
      </c>
      <c r="AE514" t="inlineStr">
        <is>
          <t>22.23-0-1.6-ERW 1-PE-0.285</t>
        </is>
      </c>
      <c r="AF514" t="n">
        <v>0.2315428464</v>
      </c>
    </row>
    <row r="515">
      <c r="A515" s="56" t="n">
        <v>2288945</v>
      </c>
      <c r="B515" s="56" t="inlineStr">
        <is>
          <t>TUB-O-N-AUT-AW-PE-18.20X1.000X6.1450</t>
        </is>
      </c>
      <c r="C515" s="56" t="inlineStr">
        <is>
          <t>5101AK1050</t>
        </is>
      </c>
      <c r="D515" s="57" t="n">
        <v>336.786</v>
      </c>
      <c r="E515" s="58" t="n">
        <v>878</v>
      </c>
      <c r="F515" s="57" t="n">
        <v>0.878</v>
      </c>
      <c r="G515" s="56" t="inlineStr">
        <is>
          <t>KG</t>
        </is>
      </c>
      <c r="H515" s="56" t="inlineStr">
        <is>
          <t>R001</t>
        </is>
      </c>
      <c r="I515" s="56" t="inlineStr">
        <is>
          <t>0788</t>
        </is>
      </c>
      <c r="J515" s="56" t="inlineStr">
        <is>
          <t>337</t>
        </is>
      </c>
      <c r="K515" s="57" t="n">
        <v>2069.291</v>
      </c>
      <c r="L515" s="56" t="inlineStr"/>
      <c r="M515" s="56" t="inlineStr">
        <is>
          <t>0</t>
        </is>
      </c>
      <c r="N515" s="56" t="inlineStr">
        <is>
          <t>Neel Metal Products Limited</t>
        </is>
      </c>
      <c r="O515" s="58" t="n">
        <v>12</v>
      </c>
      <c r="P515" s="59" t="inlineStr">
        <is>
          <t>0-30</t>
        </is>
      </c>
      <c r="Q515" s="56" t="inlineStr">
        <is>
          <t>Apoorv</t>
        </is>
      </c>
      <c r="U515" t="n">
        <v>3781147</v>
      </c>
      <c r="V515" t="n">
        <v>22.2</v>
      </c>
      <c r="W515" t="n">
        <v>0</v>
      </c>
      <c r="X515" t="n">
        <v>1.6</v>
      </c>
      <c r="Y515" t="n">
        <v>0.285</v>
      </c>
      <c r="Z515" t="inlineStr">
        <is>
          <t>TPT</t>
        </is>
      </c>
      <c r="AA515" t="inlineStr">
        <is>
          <t>PE</t>
        </is>
      </c>
      <c r="AB515" t="inlineStr">
        <is>
          <t>AW</t>
        </is>
      </c>
      <c r="AC515" t="inlineStr">
        <is>
          <t>22.23-0-1.6-ERW 1-PE</t>
        </is>
      </c>
      <c r="AD515" t="inlineStr">
        <is>
          <t>CTL</t>
        </is>
      </c>
      <c r="AE515" t="inlineStr">
        <is>
          <t>22.23-0-1.6-ERW 1-PE-0.285</t>
        </is>
      </c>
      <c r="AF515" t="n">
        <v>0.2315428464</v>
      </c>
    </row>
    <row r="516">
      <c r="A516" s="56" t="n">
        <v>2410960</v>
      </c>
      <c r="B516" s="56" t="inlineStr">
        <is>
          <t>TUB-O-C-AUT-AD-FC-31.75X3.375X04-05</t>
        </is>
      </c>
      <c r="C516" s="56" t="inlineStr">
        <is>
          <t>4A21BK3020</t>
        </is>
      </c>
      <c r="D516" s="57" t="n">
        <v>66.41</v>
      </c>
      <c r="E516" s="58" t="n">
        <v>706</v>
      </c>
      <c r="F516" s="57" t="n">
        <v>0.706</v>
      </c>
      <c r="G516" s="56" t="inlineStr">
        <is>
          <t>KG</t>
        </is>
      </c>
      <c r="H516" s="56" t="inlineStr">
        <is>
          <t>R001</t>
        </is>
      </c>
      <c r="I516" s="56" t="inlineStr">
        <is>
          <t>0788</t>
        </is>
      </c>
      <c r="J516" s="56" t="inlineStr">
        <is>
          <t>68</t>
        </is>
      </c>
      <c r="K516" s="57" t="n">
        <v>298.836</v>
      </c>
      <c r="L516" s="56" t="inlineStr"/>
      <c r="M516" s="56" t="inlineStr">
        <is>
          <t>0</t>
        </is>
      </c>
      <c r="N516" s="56" t="inlineStr">
        <is>
          <t>ELKAYEM AUTO ANCILLARIES (PVT) LTD.</t>
        </is>
      </c>
      <c r="O516" s="58" t="n">
        <v>77</v>
      </c>
      <c r="P516" s="59" t="inlineStr">
        <is>
          <t>61-90</t>
        </is>
      </c>
      <c r="Q516" s="56" t="inlineStr">
        <is>
          <t>Diwakar</t>
        </is>
      </c>
      <c r="U516" t="n">
        <v>3506067</v>
      </c>
      <c r="V516" t="n">
        <v>22.2</v>
      </c>
      <c r="W516" t="n">
        <v>0</v>
      </c>
      <c r="X516" t="n">
        <v>1.6</v>
      </c>
      <c r="Y516" t="n">
        <v>0.285</v>
      </c>
      <c r="Z516" t="inlineStr"/>
      <c r="AA516" t="inlineStr">
        <is>
          <t>PE</t>
        </is>
      </c>
      <c r="AB516" t="inlineStr">
        <is>
          <t>AW</t>
        </is>
      </c>
      <c r="AC516" t="inlineStr">
        <is>
          <t>22.23-0-1.6-ERW 1-PE</t>
        </is>
      </c>
      <c r="AD516" t="inlineStr">
        <is>
          <t>CTL</t>
        </is>
      </c>
      <c r="AE516" t="inlineStr">
        <is>
          <t>22.23-0-1.6-ERW 1-PE-0.285</t>
        </is>
      </c>
      <c r="AF516" t="n">
        <v>0.2315428464</v>
      </c>
    </row>
    <row r="517">
      <c r="A517" s="56" t="n">
        <v>2410994</v>
      </c>
      <c r="B517" s="56" t="inlineStr">
        <is>
          <t>TUB-O-C-AUT-AD-FC-21.75X3.500X04-05</t>
        </is>
      </c>
      <c r="C517" s="56" t="inlineStr">
        <is>
          <t>4B26BK3050</t>
        </is>
      </c>
      <c r="D517" s="57" t="n">
        <v>159.78</v>
      </c>
      <c r="E517" s="58" t="n">
        <v>1133</v>
      </c>
      <c r="F517" s="57" t="n">
        <v>1.133</v>
      </c>
      <c r="G517" s="56" t="inlineStr">
        <is>
          <t>KG</t>
        </is>
      </c>
      <c r="H517" s="56" t="inlineStr">
        <is>
          <t>R001</t>
        </is>
      </c>
      <c r="I517" s="56" t="inlineStr">
        <is>
          <t>0788</t>
        </is>
      </c>
      <c r="J517" s="56" t="inlineStr">
        <is>
          <t>165</t>
        </is>
      </c>
      <c r="K517" s="57" t="n">
        <v>719</v>
      </c>
      <c r="L517" s="56" t="inlineStr"/>
      <c r="M517" s="56" t="inlineStr">
        <is>
          <t>0</t>
        </is>
      </c>
      <c r="N517" s="56" t="inlineStr">
        <is>
          <t>Neel Metal Products Limited</t>
        </is>
      </c>
      <c r="O517" s="58" t="n">
        <v>32</v>
      </c>
      <c r="P517" s="59" t="inlineStr">
        <is>
          <t>31-60</t>
        </is>
      </c>
      <c r="Q517" s="56" t="inlineStr">
        <is>
          <t>Apoorv</t>
        </is>
      </c>
      <c r="U517" s="585" t="n">
        <v>256860</v>
      </c>
      <c r="V517" t="n">
        <v>22.2</v>
      </c>
      <c r="W517" t="n">
        <v>0</v>
      </c>
      <c r="X517" t="n">
        <v>1.6</v>
      </c>
      <c r="Y517" t="n">
        <v>0.361</v>
      </c>
      <c r="Z517" t="inlineStr">
        <is>
          <t>TPT</t>
        </is>
      </c>
      <c r="AA517" t="inlineStr">
        <is>
          <t>PE</t>
        </is>
      </c>
      <c r="AB517" t="inlineStr">
        <is>
          <t>AW</t>
        </is>
      </c>
      <c r="AC517" t="inlineStr">
        <is>
          <t>22.23-0-1.6-ERW 1-PE</t>
        </is>
      </c>
      <c r="AD517" t="inlineStr">
        <is>
          <t>CTL</t>
        </is>
      </c>
      <c r="AE517" t="inlineStr">
        <is>
          <t>22.23-0-1.6-ERW 1-PE-0.361</t>
        </is>
      </c>
      <c r="AF517" t="n">
        <v>0.29328760544</v>
      </c>
    </row>
    <row r="518">
      <c r="A518" s="56" t="n">
        <v>2410994</v>
      </c>
      <c r="B518" s="56" t="inlineStr">
        <is>
          <t>TUB-O-C-AUT-AD-FC-21.75X3.500X04-05</t>
        </is>
      </c>
      <c r="C518" s="56" t="inlineStr">
        <is>
          <t>510867010A</t>
        </is>
      </c>
      <c r="D518" s="57" t="n">
        <v>73.33199999999999</v>
      </c>
      <c r="E518" s="58" t="n">
        <v>520</v>
      </c>
      <c r="F518" s="57" t="n">
        <v>0.52</v>
      </c>
      <c r="G518" s="56" t="inlineStr">
        <is>
          <t>KG</t>
        </is>
      </c>
      <c r="H518" s="56" t="inlineStr">
        <is>
          <t>R001</t>
        </is>
      </c>
      <c r="I518" s="56" t="inlineStr">
        <is>
          <t>0788</t>
        </is>
      </c>
      <c r="J518" s="56" t="inlineStr">
        <is>
          <t>75</t>
        </is>
      </c>
      <c r="K518" s="57" t="n">
        <v>329.991</v>
      </c>
      <c r="L518" s="56" t="inlineStr"/>
      <c r="M518" s="56" t="inlineStr">
        <is>
          <t>0</t>
        </is>
      </c>
      <c r="N518" s="56" t="inlineStr">
        <is>
          <t>Neel Metal Products Limited</t>
        </is>
      </c>
      <c r="O518" s="58" t="n">
        <v>5</v>
      </c>
      <c r="P518" s="59" t="inlineStr">
        <is>
          <t>0-30</t>
        </is>
      </c>
      <c r="Q518" s="56" t="inlineStr">
        <is>
          <t>Apoorv</t>
        </is>
      </c>
      <c r="U518" s="585" t="n">
        <v>3747395</v>
      </c>
      <c r="V518" t="n">
        <v>22.2</v>
      </c>
      <c r="W518" t="n">
        <v>0</v>
      </c>
      <c r="X518" t="n">
        <v>1.6</v>
      </c>
      <c r="Y518" t="n">
        <v>0.361</v>
      </c>
      <c r="Z518" t="inlineStr">
        <is>
          <t>NORMAL</t>
        </is>
      </c>
      <c r="AA518" t="inlineStr">
        <is>
          <t>PE</t>
        </is>
      </c>
      <c r="AB518" t="inlineStr">
        <is>
          <t>AW</t>
        </is>
      </c>
      <c r="AC518" t="inlineStr">
        <is>
          <t>22.23-0-1.6-ERW 1-PE</t>
        </is>
      </c>
      <c r="AD518" t="inlineStr">
        <is>
          <t>CTL</t>
        </is>
      </c>
      <c r="AE518" t="inlineStr">
        <is>
          <t>22.23-0-1.6-ERW 1-PE-0.361</t>
        </is>
      </c>
      <c r="AF518" t="n">
        <v>0.29328760544</v>
      </c>
    </row>
    <row r="519">
      <c r="A519" s="56" t="n">
        <v>2410994</v>
      </c>
      <c r="B519" s="56" t="inlineStr">
        <is>
          <t>TUB-O-C-AUT-AD-FC-21.75X3.500X04-05</t>
        </is>
      </c>
      <c r="C519" s="56" t="inlineStr">
        <is>
          <t>510867010B</t>
        </is>
      </c>
      <c r="D519" s="57" t="n">
        <v>55.281</v>
      </c>
      <c r="E519" s="58" t="n">
        <v>392</v>
      </c>
      <c r="F519" s="57" t="n">
        <v>0.392</v>
      </c>
      <c r="G519" s="56" t="inlineStr">
        <is>
          <t>KG</t>
        </is>
      </c>
      <c r="H519" s="56" t="inlineStr">
        <is>
          <t>R001</t>
        </is>
      </c>
      <c r="I519" s="56" t="inlineStr">
        <is>
          <t>0788</t>
        </is>
      </c>
      <c r="J519" s="56" t="inlineStr">
        <is>
          <t>60</t>
        </is>
      </c>
      <c r="K519" s="57" t="n">
        <v>248.763</v>
      </c>
      <c r="L519" s="56" t="inlineStr"/>
      <c r="M519" s="56" t="inlineStr">
        <is>
          <t>0</t>
        </is>
      </c>
      <c r="N519" s="56" t="inlineStr">
        <is>
          <t>Neel Metal Products Limited</t>
        </is>
      </c>
      <c r="O519" s="58" t="n">
        <v>5</v>
      </c>
      <c r="P519" s="59" t="inlineStr">
        <is>
          <t>0-30</t>
        </is>
      </c>
      <c r="Q519" s="56" t="inlineStr">
        <is>
          <t>Apoorv</t>
        </is>
      </c>
      <c r="U519" s="585" t="n">
        <v>292334</v>
      </c>
      <c r="V519" t="n">
        <v>22.2</v>
      </c>
      <c r="W519" t="n">
        <v>0</v>
      </c>
      <c r="X519" t="n">
        <v>1.6</v>
      </c>
      <c r="Y519" t="n">
        <v>0.394</v>
      </c>
      <c r="Z519" t="inlineStr">
        <is>
          <t>AU27</t>
        </is>
      </c>
      <c r="AA519" t="inlineStr">
        <is>
          <t>PE</t>
        </is>
      </c>
      <c r="AB519" t="inlineStr">
        <is>
          <t>AW</t>
        </is>
      </c>
      <c r="AC519" t="inlineStr">
        <is>
          <t>22.23-0-1.6-ERW 1-PE</t>
        </is>
      </c>
      <c r="AD519" t="inlineStr">
        <is>
          <t>CTL</t>
        </is>
      </c>
      <c r="AE519" t="inlineStr">
        <is>
          <t>22.23-0-1.6-ERW 1-PE-0.394</t>
        </is>
      </c>
      <c r="AF519" t="n">
        <v>0.32009782976</v>
      </c>
    </row>
    <row r="520">
      <c r="A520" s="56" t="n">
        <v>2410994</v>
      </c>
      <c r="B520" s="56" t="inlineStr">
        <is>
          <t>TUB-O-C-AUT-AD-FC-21.75X3.500X04-05</t>
        </is>
      </c>
      <c r="C520" s="56" t="inlineStr">
        <is>
          <t>510867010C</t>
        </is>
      </c>
      <c r="D520" s="57" t="n">
        <v>7.756</v>
      </c>
      <c r="E520" s="58" t="n">
        <v>55</v>
      </c>
      <c r="F520" s="57" t="n">
        <v>0.055</v>
      </c>
      <c r="G520" s="56" t="inlineStr">
        <is>
          <t>KG</t>
        </is>
      </c>
      <c r="H520" s="56" t="inlineStr">
        <is>
          <t>R001</t>
        </is>
      </c>
      <c r="I520" s="56" t="inlineStr">
        <is>
          <t>0788</t>
        </is>
      </c>
      <c r="J520" s="56" t="inlineStr">
        <is>
          <t>8</t>
        </is>
      </c>
      <c r="K520" s="57" t="n">
        <v>34.903</v>
      </c>
      <c r="L520" s="56" t="inlineStr"/>
      <c r="M520" s="56" t="inlineStr">
        <is>
          <t>0</t>
        </is>
      </c>
      <c r="N520" s="56" t="inlineStr">
        <is>
          <t>Neel Metal Products Limited</t>
        </is>
      </c>
      <c r="O520" s="58" t="n">
        <v>5</v>
      </c>
      <c r="P520" s="59" t="inlineStr">
        <is>
          <t>0-30</t>
        </is>
      </c>
      <c r="Q520" s="56" t="inlineStr">
        <is>
          <t>Apoorv</t>
        </is>
      </c>
      <c r="U520" t="n">
        <v>3781598</v>
      </c>
      <c r="V520" t="n">
        <v>22.2</v>
      </c>
      <c r="W520" t="n">
        <v>0</v>
      </c>
      <c r="X520" t="n">
        <v>1.6</v>
      </c>
      <c r="Y520" t="n">
        <v>0.394</v>
      </c>
      <c r="Z520" t="inlineStr">
        <is>
          <t>AU27</t>
        </is>
      </c>
      <c r="AA520" t="inlineStr">
        <is>
          <t>PE</t>
        </is>
      </c>
      <c r="AB520" t="inlineStr">
        <is>
          <t>AW</t>
        </is>
      </c>
      <c r="AC520" t="inlineStr">
        <is>
          <t>22.23-0-1.6-ERW 1-PE</t>
        </is>
      </c>
      <c r="AD520" t="inlineStr">
        <is>
          <t>CTL</t>
        </is>
      </c>
      <c r="AE520" t="inlineStr">
        <is>
          <t>22.23-0-1.6-ERW 1-PE-0.394</t>
        </is>
      </c>
      <c r="AF520" t="n">
        <v>0.32009782976</v>
      </c>
    </row>
    <row r="521">
      <c r="A521" s="56" t="n">
        <v>2410996</v>
      </c>
      <c r="B521" s="56" t="inlineStr">
        <is>
          <t>TUB-O-C-AUT-AD-FC-16.10X2.700X04-05</t>
        </is>
      </c>
      <c r="C521" s="56" t="inlineStr">
        <is>
          <t>4B2764810A</t>
        </is>
      </c>
      <c r="D521" s="57" t="n">
        <v>76.444</v>
      </c>
      <c r="E521" s="58" t="n">
        <v>307</v>
      </c>
      <c r="F521" s="57" t="n">
        <v>0.307</v>
      </c>
      <c r="G521" s="56" t="inlineStr">
        <is>
          <t>KG</t>
        </is>
      </c>
      <c r="H521" s="56" t="inlineStr">
        <is>
          <t>R001</t>
        </is>
      </c>
      <c r="I521" s="56" t="inlineStr">
        <is>
          <t>0788</t>
        </is>
      </c>
      <c r="J521" s="56" t="inlineStr">
        <is>
          <t>80</t>
        </is>
      </c>
      <c r="K521" s="57" t="n">
        <v>343.939</v>
      </c>
      <c r="L521" s="56" t="inlineStr"/>
      <c r="M521" s="56" t="inlineStr">
        <is>
          <t>0</t>
        </is>
      </c>
      <c r="N521" s="56" t="inlineStr">
        <is>
          <t>Rajsriya Automotive Industries(P)</t>
        </is>
      </c>
      <c r="O521" s="58" t="n">
        <v>47</v>
      </c>
      <c r="P521" s="59" t="inlineStr">
        <is>
          <t>31-60</t>
        </is>
      </c>
      <c r="Q521" s="56" t="inlineStr">
        <is>
          <t>Apoorv</t>
        </is>
      </c>
      <c r="U521" s="585" t="n">
        <v>508985</v>
      </c>
      <c r="V521" t="n">
        <v>22.2</v>
      </c>
      <c r="W521" t="n">
        <v>0</v>
      </c>
      <c r="X521" t="n">
        <v>1.6</v>
      </c>
      <c r="Y521" t="n">
        <v>0.401</v>
      </c>
      <c r="Z521" t="inlineStr"/>
      <c r="AA521" t="inlineStr">
        <is>
          <t>PE</t>
        </is>
      </c>
      <c r="AB521" t="inlineStr">
        <is>
          <t>AW</t>
        </is>
      </c>
      <c r="AC521" t="inlineStr">
        <is>
          <t>22.23-0-1.6-ERW 1-PE</t>
        </is>
      </c>
      <c r="AD521" t="inlineStr">
        <is>
          <t>CTL</t>
        </is>
      </c>
      <c r="AE521" t="inlineStr">
        <is>
          <t>22.23-0-1.6-ERW 1-PE-0.401</t>
        </is>
      </c>
      <c r="AF521" t="n">
        <v>0.32578484704</v>
      </c>
    </row>
    <row r="522">
      <c r="A522" s="56" t="n">
        <v>2410996</v>
      </c>
      <c r="B522" s="56" t="inlineStr">
        <is>
          <t>TUB-O-C-AUT-AD-FC-16.10X2.700X04-05</t>
        </is>
      </c>
      <c r="C522" s="56" t="inlineStr">
        <is>
          <t>4B2764810B</t>
        </is>
      </c>
      <c r="D522" s="57" t="n">
        <v>58.516</v>
      </c>
      <c r="E522" s="58" t="n">
        <v>235</v>
      </c>
      <c r="F522" s="57" t="n">
        <v>0.235</v>
      </c>
      <c r="G522" s="56" t="inlineStr">
        <is>
          <t>KG</t>
        </is>
      </c>
      <c r="H522" s="56" t="inlineStr">
        <is>
          <t>R001</t>
        </is>
      </c>
      <c r="I522" s="56" t="inlineStr">
        <is>
          <t>0788</t>
        </is>
      </c>
      <c r="J522" s="56" t="inlineStr">
        <is>
          <t>60</t>
        </is>
      </c>
      <c r="K522" s="57" t="n">
        <v>263.276</v>
      </c>
      <c r="L522" s="56" t="inlineStr"/>
      <c r="M522" s="56" t="inlineStr">
        <is>
          <t>0</t>
        </is>
      </c>
      <c r="N522" s="56" t="inlineStr">
        <is>
          <t>Rajsriya Automotive Industries(P)</t>
        </is>
      </c>
      <c r="O522" s="58" t="n">
        <v>47</v>
      </c>
      <c r="P522" s="59" t="inlineStr">
        <is>
          <t>31-60</t>
        </is>
      </c>
      <c r="Q522" s="56" t="inlineStr">
        <is>
          <t>Apoorv</t>
        </is>
      </c>
      <c r="U522" t="n">
        <v>3781670</v>
      </c>
      <c r="V522" t="n">
        <v>22.2</v>
      </c>
      <c r="W522" t="n">
        <v>0</v>
      </c>
      <c r="X522" t="n">
        <v>1.6</v>
      </c>
      <c r="Y522" t="n">
        <v>0.401</v>
      </c>
      <c r="Z522" t="inlineStr">
        <is>
          <t>TPT</t>
        </is>
      </c>
      <c r="AA522" t="inlineStr">
        <is>
          <t>PE</t>
        </is>
      </c>
      <c r="AB522" t="inlineStr">
        <is>
          <t>AW</t>
        </is>
      </c>
      <c r="AC522" t="inlineStr">
        <is>
          <t>22.23-0-1.6-ERW 1-PE</t>
        </is>
      </c>
      <c r="AD522" t="inlineStr">
        <is>
          <t>CTL</t>
        </is>
      </c>
      <c r="AE522" t="inlineStr">
        <is>
          <t>22.23-0-1.6-ERW 1-PE-0.401</t>
        </is>
      </c>
      <c r="AF522" t="n">
        <v>0.32578484704</v>
      </c>
    </row>
    <row r="523">
      <c r="A523" s="56" t="n">
        <v>2410996</v>
      </c>
      <c r="B523" s="56" t="inlineStr">
        <is>
          <t>TUB-O-C-AUT-AD-FC-16.10X2.700X04-05</t>
        </is>
      </c>
      <c r="C523" s="56" t="inlineStr">
        <is>
          <t>4B2764810C</t>
        </is>
      </c>
      <c r="D523" s="57" t="n">
        <v>24.9</v>
      </c>
      <c r="E523" s="58" t="n">
        <v>100</v>
      </c>
      <c r="F523" s="57" t="n">
        <v>0.1</v>
      </c>
      <c r="G523" s="56" t="inlineStr">
        <is>
          <t>KG</t>
        </is>
      </c>
      <c r="H523" s="56" t="inlineStr">
        <is>
          <t>R001</t>
        </is>
      </c>
      <c r="I523" s="56" t="inlineStr">
        <is>
          <t>0788</t>
        </is>
      </c>
      <c r="J523" s="56" t="inlineStr">
        <is>
          <t>26</t>
        </is>
      </c>
      <c r="K523" s="57" t="n">
        <v>112.032</v>
      </c>
      <c r="L523" s="56" t="inlineStr"/>
      <c r="M523" s="56" t="inlineStr">
        <is>
          <t>0</t>
        </is>
      </c>
      <c r="N523" s="56" t="inlineStr">
        <is>
          <t>Rajsriya Automotive Industries(P)</t>
        </is>
      </c>
      <c r="O523" s="58" t="n">
        <v>47</v>
      </c>
      <c r="P523" s="59" t="inlineStr">
        <is>
          <t>31-60</t>
        </is>
      </c>
      <c r="Q523" s="56" t="inlineStr">
        <is>
          <t>Apoorv</t>
        </is>
      </c>
      <c r="U523" s="585" t="n">
        <v>3214089</v>
      </c>
      <c r="V523" t="n">
        <v>22.2</v>
      </c>
      <c r="W523" t="n">
        <v>0</v>
      </c>
      <c r="X523" t="n">
        <v>1.6</v>
      </c>
      <c r="Y523" t="n">
        <v>0.57</v>
      </c>
      <c r="Z523" t="inlineStr">
        <is>
          <t>NORMAL</t>
        </is>
      </c>
      <c r="AA523" t="inlineStr">
        <is>
          <t>PE</t>
        </is>
      </c>
      <c r="AB523" t="inlineStr">
        <is>
          <t>AW</t>
        </is>
      </c>
      <c r="AC523" t="inlineStr">
        <is>
          <t>22.23-0-1.6-ERW 1-PE</t>
        </is>
      </c>
      <c r="AD523" t="inlineStr">
        <is>
          <t>CTL</t>
        </is>
      </c>
      <c r="AE523" t="inlineStr">
        <is>
          <t>22.23-0-1.6-ERW 1-PE-0.57</t>
        </is>
      </c>
      <c r="AF523" t="n">
        <v>0.4630856927999999</v>
      </c>
    </row>
    <row r="524">
      <c r="A524" s="56" t="n">
        <v>2410996</v>
      </c>
      <c r="B524" s="56" t="inlineStr">
        <is>
          <t>TUB-O-C-AUT-AD-FC-16.10X2.700X04-05</t>
        </is>
      </c>
      <c r="C524" s="56" t="inlineStr">
        <is>
          <t>4B2965070A</t>
        </is>
      </c>
      <c r="D524" s="57" t="n">
        <v>152.888</v>
      </c>
      <c r="E524" s="58" t="n">
        <v>614</v>
      </c>
      <c r="F524" s="57" t="n">
        <v>0.614</v>
      </c>
      <c r="G524" s="56" t="inlineStr">
        <is>
          <t>KG</t>
        </is>
      </c>
      <c r="H524" s="56" t="inlineStr">
        <is>
          <t>R001</t>
        </is>
      </c>
      <c r="I524" s="56" t="inlineStr">
        <is>
          <t>0788</t>
        </is>
      </c>
      <c r="J524" s="56" t="inlineStr">
        <is>
          <t>160</t>
        </is>
      </c>
      <c r="K524" s="57" t="n">
        <v>687.878</v>
      </c>
      <c r="L524" s="56" t="inlineStr"/>
      <c r="M524" s="56" t="inlineStr">
        <is>
          <t>0</t>
        </is>
      </c>
      <c r="N524" s="56" t="inlineStr">
        <is>
          <t>Rajsriya Automotive Industries(P)</t>
        </is>
      </c>
      <c r="O524" s="58" t="n">
        <v>43</v>
      </c>
      <c r="P524" s="59" t="inlineStr">
        <is>
          <t>31-60</t>
        </is>
      </c>
      <c r="Q524" s="56" t="inlineStr">
        <is>
          <t>Apoorv</t>
        </is>
      </c>
      <c r="U524" s="585" t="n">
        <v>3556680</v>
      </c>
      <c r="V524" t="n">
        <v>22.2</v>
      </c>
      <c r="W524" t="n">
        <v>0</v>
      </c>
      <c r="X524" t="n">
        <v>1.6</v>
      </c>
      <c r="Y524" t="n">
        <v>0.64</v>
      </c>
      <c r="Z524" t="inlineStr">
        <is>
          <t>GR1</t>
        </is>
      </c>
      <c r="AA524" t="inlineStr">
        <is>
          <t>PE</t>
        </is>
      </c>
      <c r="AB524" t="inlineStr">
        <is>
          <t>AW</t>
        </is>
      </c>
      <c r="AC524" t="inlineStr">
        <is>
          <t>22.23-0-1.6-ERW 1-PE</t>
        </is>
      </c>
      <c r="AD524" t="inlineStr">
        <is>
          <t>CTL</t>
        </is>
      </c>
      <c r="AE524" t="inlineStr">
        <is>
          <t>22.23-0-1.6-ERW 1-PE-0.64</t>
        </is>
      </c>
      <c r="AF524" t="n">
        <v>0.5199558656</v>
      </c>
    </row>
    <row r="525">
      <c r="A525" s="56" t="n">
        <v>2410996</v>
      </c>
      <c r="B525" s="56" t="inlineStr">
        <is>
          <t>TUB-O-C-AUT-AD-FC-16.10X2.700X04-05</t>
        </is>
      </c>
      <c r="C525" s="56" t="inlineStr">
        <is>
          <t>4B2965070B</t>
        </is>
      </c>
      <c r="D525" s="57" t="n">
        <v>157.869</v>
      </c>
      <c r="E525" s="58" t="n">
        <v>634</v>
      </c>
      <c r="F525" s="57" t="n">
        <v>0.634</v>
      </c>
      <c r="G525" s="56" t="inlineStr">
        <is>
          <t>KG</t>
        </is>
      </c>
      <c r="H525" s="56" t="inlineStr">
        <is>
          <t>R001</t>
        </is>
      </c>
      <c r="I525" s="56" t="inlineStr">
        <is>
          <t>0788</t>
        </is>
      </c>
      <c r="J525" s="56" t="inlineStr">
        <is>
          <t>160</t>
        </is>
      </c>
      <c r="K525" s="57" t="n">
        <v>710.285</v>
      </c>
      <c r="L525" s="56" t="inlineStr"/>
      <c r="M525" s="56" t="inlineStr">
        <is>
          <t>0</t>
        </is>
      </c>
      <c r="N525" s="56" t="inlineStr">
        <is>
          <t>Rajsriya Automotive Industries(P)</t>
        </is>
      </c>
      <c r="O525" s="58" t="n">
        <v>43</v>
      </c>
      <c r="P525" s="59" t="inlineStr">
        <is>
          <t>31-60</t>
        </is>
      </c>
      <c r="Q525" s="56" t="inlineStr">
        <is>
          <t>Apoorv</t>
        </is>
      </c>
      <c r="U525" s="585" t="n">
        <v>1448372</v>
      </c>
      <c r="V525" t="n">
        <v>22.2</v>
      </c>
      <c r="W525" t="n">
        <v>0</v>
      </c>
      <c r="X525" t="n">
        <v>1.6</v>
      </c>
      <c r="Y525" t="n">
        <v>0.67</v>
      </c>
      <c r="Z525" t="inlineStr"/>
      <c r="AA525" t="inlineStr">
        <is>
          <t>PE</t>
        </is>
      </c>
      <c r="AB525" t="inlineStr">
        <is>
          <t>AW</t>
        </is>
      </c>
      <c r="AC525" t="inlineStr">
        <is>
          <t>22.23-0-1.6-ERW 1-PE</t>
        </is>
      </c>
      <c r="AD525" t="inlineStr">
        <is>
          <t>CTL</t>
        </is>
      </c>
      <c r="AE525" t="inlineStr">
        <is>
          <t>22.23-0-1.6-ERW 1-PE-0.67</t>
        </is>
      </c>
      <c r="AF525" t="n">
        <v>0.5443287968</v>
      </c>
    </row>
    <row r="526">
      <c r="A526" s="56" t="n">
        <v>2410996</v>
      </c>
      <c r="B526" s="56" t="inlineStr">
        <is>
          <t>TUB-O-C-AUT-AD-FC-16.10X2.700X04-05</t>
        </is>
      </c>
      <c r="C526" s="56" t="inlineStr">
        <is>
          <t>4B2965070C</t>
        </is>
      </c>
      <c r="D526" s="57" t="n">
        <v>22.908</v>
      </c>
      <c r="E526" s="58" t="n">
        <v>92</v>
      </c>
      <c r="F526" s="57" t="n">
        <v>0.092</v>
      </c>
      <c r="G526" s="56" t="inlineStr">
        <is>
          <t>KG</t>
        </is>
      </c>
      <c r="H526" s="56" t="inlineStr">
        <is>
          <t>R001</t>
        </is>
      </c>
      <c r="I526" s="56" t="inlineStr">
        <is>
          <t>0788</t>
        </is>
      </c>
      <c r="J526" s="56" t="inlineStr">
        <is>
          <t>24</t>
        </is>
      </c>
      <c r="K526" s="57" t="n">
        <v>103.07</v>
      </c>
      <c r="L526" s="56" t="inlineStr"/>
      <c r="M526" s="56" t="inlineStr">
        <is>
          <t>0</t>
        </is>
      </c>
      <c r="N526" s="56" t="inlineStr">
        <is>
          <t>Rajsriya Automotive Industries(P)</t>
        </is>
      </c>
      <c r="O526" s="58" t="n">
        <v>43</v>
      </c>
      <c r="P526" s="59" t="inlineStr">
        <is>
          <t>31-60</t>
        </is>
      </c>
      <c r="Q526" s="56" t="inlineStr">
        <is>
          <t>Apoorv</t>
        </is>
      </c>
      <c r="U526" s="585" t="n">
        <v>3509031</v>
      </c>
      <c r="V526" t="n">
        <v>22.2</v>
      </c>
      <c r="W526" t="n">
        <v>0</v>
      </c>
      <c r="X526" t="n">
        <v>1.6</v>
      </c>
      <c r="Y526" t="n">
        <v>0.67</v>
      </c>
      <c r="Z526" t="inlineStr"/>
      <c r="AA526" t="inlineStr">
        <is>
          <t>PE</t>
        </is>
      </c>
      <c r="AB526" t="inlineStr">
        <is>
          <t>AW</t>
        </is>
      </c>
      <c r="AC526" t="inlineStr">
        <is>
          <t>22.23-0-1.6-ERW 1-PE</t>
        </is>
      </c>
      <c r="AD526" t="inlineStr">
        <is>
          <t>CTL</t>
        </is>
      </c>
      <c r="AE526" t="inlineStr">
        <is>
          <t>22.23-0-1.6-ERW 1-PE-0.67</t>
        </is>
      </c>
      <c r="AF526" t="n">
        <v>0.5443287968</v>
      </c>
    </row>
    <row r="527">
      <c r="A527" s="56" t="n">
        <v>2410996</v>
      </c>
      <c r="B527" s="56" t="inlineStr">
        <is>
          <t>TUB-O-C-AUT-AD-FC-16.10X2.700X04-05</t>
        </is>
      </c>
      <c r="C527" s="56" t="inlineStr">
        <is>
          <t>4B2965120A</t>
        </is>
      </c>
      <c r="D527" s="57" t="n">
        <v>359.811</v>
      </c>
      <c r="E527" s="58" t="n">
        <v>1445</v>
      </c>
      <c r="F527" s="57" t="n">
        <v>1.445</v>
      </c>
      <c r="G527" s="56" t="inlineStr">
        <is>
          <t>KG</t>
        </is>
      </c>
      <c r="H527" s="56" t="inlineStr">
        <is>
          <t>R001</t>
        </is>
      </c>
      <c r="I527" s="56" t="inlineStr">
        <is>
          <t>0788</t>
        </is>
      </c>
      <c r="J527" s="56" t="inlineStr">
        <is>
          <t>360</t>
        </is>
      </c>
      <c r="K527" s="57" t="n">
        <v>1618.866</v>
      </c>
      <c r="L527" s="56" t="inlineStr"/>
      <c r="M527" s="56" t="inlineStr">
        <is>
          <t>0</t>
        </is>
      </c>
      <c r="N527" s="56" t="inlineStr">
        <is>
          <t>Rajsriya Automotive Industries(P)</t>
        </is>
      </c>
      <c r="O527" s="58" t="n">
        <v>45</v>
      </c>
      <c r="P527" s="59" t="inlineStr">
        <is>
          <t>31-60</t>
        </is>
      </c>
      <c r="Q527" s="56" t="inlineStr">
        <is>
          <t>Apoorv</t>
        </is>
      </c>
      <c r="U527" s="585" t="n">
        <v>1399344</v>
      </c>
      <c r="V527" t="n">
        <v>22.2</v>
      </c>
      <c r="W527" t="n">
        <v>0</v>
      </c>
      <c r="X527" t="n">
        <v>1.6</v>
      </c>
      <c r="Y527" t="n">
        <v>0.675</v>
      </c>
      <c r="Z527" t="inlineStr"/>
      <c r="AA527" t="inlineStr">
        <is>
          <t>PE</t>
        </is>
      </c>
      <c r="AB527" t="inlineStr">
        <is>
          <t>AW</t>
        </is>
      </c>
      <c r="AC527" t="inlineStr">
        <is>
          <t>22.23-0-1.6-ERW 1-PE</t>
        </is>
      </c>
      <c r="AD527" t="inlineStr">
        <is>
          <t>CTL</t>
        </is>
      </c>
      <c r="AE527" t="inlineStr">
        <is>
          <t>22.23-0-1.6-ERW 1-PE-0.675</t>
        </is>
      </c>
      <c r="AF527" t="n">
        <v>0.548390952</v>
      </c>
    </row>
    <row r="528">
      <c r="A528" s="56" t="n">
        <v>2410996</v>
      </c>
      <c r="B528" s="56" t="inlineStr">
        <is>
          <t>TUB-O-C-AUT-AD-FC-16.10X2.700X04-05</t>
        </is>
      </c>
      <c r="C528" s="56" t="inlineStr">
        <is>
          <t>4B3065220A</t>
        </is>
      </c>
      <c r="D528" s="57" t="n">
        <v>175.797</v>
      </c>
      <c r="E528" s="58" t="n">
        <v>706</v>
      </c>
      <c r="F528" s="57" t="n">
        <v>0.706</v>
      </c>
      <c r="G528" s="56" t="inlineStr">
        <is>
          <t>KG</t>
        </is>
      </c>
      <c r="H528" s="56" t="inlineStr">
        <is>
          <t>R001</t>
        </is>
      </c>
      <c r="I528" s="56" t="inlineStr">
        <is>
          <t>0788</t>
        </is>
      </c>
      <c r="J528" s="56" t="inlineStr">
        <is>
          <t>180</t>
        </is>
      </c>
      <c r="K528" s="57" t="n">
        <v>790.948</v>
      </c>
      <c r="L528" s="56" t="inlineStr"/>
      <c r="M528" s="56" t="inlineStr">
        <is>
          <t>0</t>
        </is>
      </c>
      <c r="N528" s="56" t="inlineStr">
        <is>
          <t>Rajsriya Automotive Industries(P)</t>
        </is>
      </c>
      <c r="O528" s="58" t="n">
        <v>44</v>
      </c>
      <c r="P528" s="59" t="inlineStr">
        <is>
          <t>31-60</t>
        </is>
      </c>
      <c r="Q528" s="56" t="inlineStr">
        <is>
          <t>Apoorv</t>
        </is>
      </c>
      <c r="U528" s="585" t="n">
        <v>292333</v>
      </c>
      <c r="V528" t="n">
        <v>22.2</v>
      </c>
      <c r="W528" t="n">
        <v>0</v>
      </c>
      <c r="X528" t="n">
        <v>1.6</v>
      </c>
      <c r="Y528" t="n">
        <v>0.8090000000000001</v>
      </c>
      <c r="Z528" t="inlineStr">
        <is>
          <t>AU27</t>
        </is>
      </c>
      <c r="AA528" t="inlineStr">
        <is>
          <t>PE</t>
        </is>
      </c>
      <c r="AB528" t="inlineStr">
        <is>
          <t>AW</t>
        </is>
      </c>
      <c r="AC528" t="inlineStr">
        <is>
          <t>22.23-0-1.6-ERW 1-PE</t>
        </is>
      </c>
      <c r="AD528" t="inlineStr">
        <is>
          <t>CTL</t>
        </is>
      </c>
      <c r="AE528" t="inlineStr">
        <is>
          <t>22.23-0-1.6-ERW 1-PE-0.809</t>
        </is>
      </c>
      <c r="AF528" t="n">
        <v>0.6572567113600001</v>
      </c>
    </row>
    <row r="529">
      <c r="A529" s="56" t="n">
        <v>2410996</v>
      </c>
      <c r="B529" s="56" t="inlineStr">
        <is>
          <t>TUB-O-C-AUT-AD-FC-16.10X2.700X04-05</t>
        </is>
      </c>
      <c r="C529" s="56" t="inlineStr">
        <is>
          <t>4B3065220B</t>
        </is>
      </c>
      <c r="D529" s="57" t="n">
        <v>159.861</v>
      </c>
      <c r="E529" s="58" t="n">
        <v>642</v>
      </c>
      <c r="F529" s="57" t="n">
        <v>0.642</v>
      </c>
      <c r="G529" s="56" t="inlineStr">
        <is>
          <t>KG</t>
        </is>
      </c>
      <c r="H529" s="56" t="inlineStr">
        <is>
          <t>R001</t>
        </is>
      </c>
      <c r="I529" s="56" t="inlineStr">
        <is>
          <t>0788</t>
        </is>
      </c>
      <c r="J529" s="56" t="inlineStr">
        <is>
          <t>160</t>
        </is>
      </c>
      <c r="K529" s="57" t="n">
        <v>719.247</v>
      </c>
      <c r="L529" s="56" t="inlineStr"/>
      <c r="M529" s="56" t="inlineStr">
        <is>
          <t>0</t>
        </is>
      </c>
      <c r="N529" s="56" t="inlineStr">
        <is>
          <t>Rajsriya Automotive Industries(P)</t>
        </is>
      </c>
      <c r="O529" s="58" t="n">
        <v>44</v>
      </c>
      <c r="P529" s="59" t="inlineStr">
        <is>
          <t>31-60</t>
        </is>
      </c>
      <c r="Q529" s="56" t="inlineStr">
        <is>
          <t>Apoorv</t>
        </is>
      </c>
      <c r="U529" s="585" t="n">
        <v>3781597</v>
      </c>
      <c r="V529" t="n">
        <v>22.2</v>
      </c>
      <c r="W529" t="n">
        <v>0</v>
      </c>
      <c r="X529" t="n">
        <v>1.6</v>
      </c>
      <c r="Y529" t="n">
        <v>0.8090000000000001</v>
      </c>
      <c r="Z529" t="inlineStr">
        <is>
          <t>AU27</t>
        </is>
      </c>
      <c r="AA529" t="inlineStr">
        <is>
          <t>PE</t>
        </is>
      </c>
      <c r="AB529" t="inlineStr">
        <is>
          <t>AW</t>
        </is>
      </c>
      <c r="AC529" t="inlineStr">
        <is>
          <t>22.23-0-1.6-ERW 1-PE</t>
        </is>
      </c>
      <c r="AD529" t="inlineStr">
        <is>
          <t>CTL</t>
        </is>
      </c>
      <c r="AE529" t="inlineStr">
        <is>
          <t>22.23-0-1.6-ERW 1-PE-0.809</t>
        </is>
      </c>
      <c r="AF529" t="n">
        <v>0.6572567113600001</v>
      </c>
    </row>
    <row r="530">
      <c r="A530" s="56" t="n">
        <v>2410996</v>
      </c>
      <c r="B530" s="56" t="inlineStr">
        <is>
          <t>TUB-O-C-AUT-AD-FC-16.10X2.700X04-05</t>
        </is>
      </c>
      <c r="C530" s="56" t="inlineStr">
        <is>
          <t>4B3065220C</t>
        </is>
      </c>
      <c r="D530" s="57" t="n">
        <v>16.683</v>
      </c>
      <c r="E530" s="58" t="n">
        <v>67</v>
      </c>
      <c r="F530" s="57" t="n">
        <v>0.067</v>
      </c>
      <c r="G530" s="56" t="inlineStr">
        <is>
          <t>KG</t>
        </is>
      </c>
      <c r="H530" s="56" t="inlineStr">
        <is>
          <t>R001</t>
        </is>
      </c>
      <c r="I530" s="56" t="inlineStr">
        <is>
          <t>0788</t>
        </is>
      </c>
      <c r="J530" s="56" t="inlineStr">
        <is>
          <t>17</t>
        </is>
      </c>
      <c r="K530" s="57" t="n">
        <v>75.062</v>
      </c>
      <c r="L530" s="56" t="inlineStr"/>
      <c r="M530" s="56" t="inlineStr">
        <is>
          <t>0</t>
        </is>
      </c>
      <c r="N530" s="56" t="inlineStr">
        <is>
          <t>Rajsriya Automotive Industries(P)</t>
        </is>
      </c>
      <c r="O530" s="58" t="n">
        <v>44</v>
      </c>
      <c r="P530" s="59" t="inlineStr">
        <is>
          <t>31-60</t>
        </is>
      </c>
      <c r="Q530" s="56" t="inlineStr">
        <is>
          <t>Apoorv</t>
        </is>
      </c>
      <c r="U530" s="585" t="n">
        <v>1254735</v>
      </c>
      <c r="V530" t="n">
        <v>22.2</v>
      </c>
      <c r="W530" t="n">
        <v>0</v>
      </c>
      <c r="X530" t="n">
        <v>1.6</v>
      </c>
      <c r="Y530" t="n">
        <v>0.967</v>
      </c>
      <c r="Z530" t="inlineStr"/>
      <c r="AA530" t="inlineStr">
        <is>
          <t>PE</t>
        </is>
      </c>
      <c r="AB530" t="inlineStr">
        <is>
          <t>AW</t>
        </is>
      </c>
      <c r="AC530" t="inlineStr">
        <is>
          <t>22.23-0-1.6-ERW 1-PE</t>
        </is>
      </c>
      <c r="AD530" t="inlineStr">
        <is>
          <t>CTL</t>
        </is>
      </c>
      <c r="AE530" t="inlineStr">
        <is>
          <t>22.23-0-1.6-ERW 1-PE-0.967</t>
        </is>
      </c>
      <c r="AF530" t="n">
        <v>0.78562081568</v>
      </c>
    </row>
    <row r="531">
      <c r="A531" s="56" t="n">
        <v>2410996</v>
      </c>
      <c r="B531" s="56" t="inlineStr">
        <is>
          <t>TUB-O-C-AUT-AD-FC-16.10X2.700X04-05</t>
        </is>
      </c>
      <c r="C531" s="56" t="inlineStr">
        <is>
          <t>4C0565370A</t>
        </is>
      </c>
      <c r="D531" s="57" t="n">
        <v>175.797</v>
      </c>
      <c r="E531" s="58" t="n">
        <v>706</v>
      </c>
      <c r="F531" s="57" t="n">
        <v>0.706</v>
      </c>
      <c r="G531" s="56" t="inlineStr">
        <is>
          <t>KG</t>
        </is>
      </c>
      <c r="H531" s="56" t="inlineStr">
        <is>
          <t>R001</t>
        </is>
      </c>
      <c r="I531" s="56" t="inlineStr">
        <is>
          <t>0788</t>
        </is>
      </c>
      <c r="J531" s="56" t="inlineStr">
        <is>
          <t>180</t>
        </is>
      </c>
      <c r="K531" s="57" t="n">
        <v>790.948</v>
      </c>
      <c r="L531" s="56" t="inlineStr"/>
      <c r="M531" s="56" t="inlineStr">
        <is>
          <t>0</t>
        </is>
      </c>
      <c r="N531" s="56" t="inlineStr">
        <is>
          <t>Rajsriya Automotive Industries(P)</t>
        </is>
      </c>
      <c r="O531" s="58" t="n">
        <v>39</v>
      </c>
      <c r="P531" s="59" t="inlineStr">
        <is>
          <t>31-60</t>
        </is>
      </c>
      <c r="Q531" s="56" t="inlineStr">
        <is>
          <t>Apoorv</t>
        </is>
      </c>
      <c r="U531" s="585" t="n">
        <v>3507486</v>
      </c>
      <c r="V531" t="n">
        <v>22.2</v>
      </c>
      <c r="W531" t="n">
        <v>0</v>
      </c>
      <c r="X531" t="n">
        <v>1.6</v>
      </c>
      <c r="Y531" t="n">
        <v>0.967</v>
      </c>
      <c r="Z531" t="inlineStr"/>
      <c r="AA531" t="inlineStr">
        <is>
          <t>PE</t>
        </is>
      </c>
      <c r="AB531" t="inlineStr">
        <is>
          <t>AW</t>
        </is>
      </c>
      <c r="AC531" t="inlineStr">
        <is>
          <t>22.23-0-1.6-ERW 1-PE</t>
        </is>
      </c>
      <c r="AD531" t="inlineStr">
        <is>
          <t>CTL</t>
        </is>
      </c>
      <c r="AE531" t="inlineStr">
        <is>
          <t>22.23-0-1.6-ERW 1-PE-0.967</t>
        </is>
      </c>
      <c r="AF531" t="n">
        <v>0.78562081568</v>
      </c>
    </row>
    <row r="532">
      <c r="A532" s="56" t="n">
        <v>2410996</v>
      </c>
      <c r="B532" s="56" t="inlineStr">
        <is>
          <t>TUB-O-C-AUT-AD-FC-16.10X2.700X04-05</t>
        </is>
      </c>
      <c r="C532" s="56" t="inlineStr">
        <is>
          <t>4C0565370B</t>
        </is>
      </c>
      <c r="D532" s="57" t="n">
        <v>159.114</v>
      </c>
      <c r="E532" s="58" t="n">
        <v>639</v>
      </c>
      <c r="F532" s="57" t="n">
        <v>0.639</v>
      </c>
      <c r="G532" s="56" t="inlineStr">
        <is>
          <t>KG</t>
        </is>
      </c>
      <c r="H532" s="56" t="inlineStr">
        <is>
          <t>R001</t>
        </is>
      </c>
      <c r="I532" s="56" t="inlineStr">
        <is>
          <t>0788</t>
        </is>
      </c>
      <c r="J532" s="56" t="inlineStr">
        <is>
          <t>160</t>
        </is>
      </c>
      <c r="K532" s="57" t="n">
        <v>715.886</v>
      </c>
      <c r="L532" s="56" t="inlineStr"/>
      <c r="M532" s="56" t="inlineStr">
        <is>
          <t>0</t>
        </is>
      </c>
      <c r="N532" s="56" t="inlineStr">
        <is>
          <t>Rajsriya Automotive Industries(P)</t>
        </is>
      </c>
      <c r="O532" s="58" t="n">
        <v>39</v>
      </c>
      <c r="P532" s="59" t="inlineStr">
        <is>
          <t>31-60</t>
        </is>
      </c>
      <c r="Q532" s="56" t="inlineStr">
        <is>
          <t>Apoorv</t>
        </is>
      </c>
      <c r="U532" s="585" t="n">
        <v>420528</v>
      </c>
      <c r="V532" t="n">
        <v>22.2</v>
      </c>
      <c r="W532" t="n">
        <v>0</v>
      </c>
      <c r="X532" t="n">
        <v>1.6</v>
      </c>
      <c r="Y532" t="n">
        <v>1.175</v>
      </c>
      <c r="Z532" t="inlineStr">
        <is>
          <t>AU27</t>
        </is>
      </c>
      <c r="AA532" t="inlineStr">
        <is>
          <t>PE</t>
        </is>
      </c>
      <c r="AB532" t="inlineStr">
        <is>
          <t>AW</t>
        </is>
      </c>
      <c r="AC532" t="inlineStr">
        <is>
          <t>22.23-0-1.6-ERW 1-PE</t>
        </is>
      </c>
      <c r="AD532" t="inlineStr">
        <is>
          <t>CTL</t>
        </is>
      </c>
      <c r="AE532" t="inlineStr">
        <is>
          <t>22.23-0-1.6-ERW 1-PE-1.175</t>
        </is>
      </c>
      <c r="AF532" t="n">
        <v>0.954606472</v>
      </c>
    </row>
    <row r="533">
      <c r="A533" s="56" t="n">
        <v>2410996</v>
      </c>
      <c r="B533" s="56" t="inlineStr">
        <is>
          <t>TUB-O-C-AUT-AD-FC-16.10X2.700X04-05</t>
        </is>
      </c>
      <c r="C533" s="56" t="inlineStr">
        <is>
          <t>4C0565370C</t>
        </is>
      </c>
      <c r="D533" s="57" t="n">
        <v>17.679</v>
      </c>
      <c r="E533" s="58" t="n">
        <v>71</v>
      </c>
      <c r="F533" s="57" t="n">
        <v>0.07099999999999999</v>
      </c>
      <c r="G533" s="56" t="inlineStr">
        <is>
          <t>KG</t>
        </is>
      </c>
      <c r="H533" s="56" t="inlineStr">
        <is>
          <t>R001</t>
        </is>
      </c>
      <c r="I533" s="56" t="inlineStr">
        <is>
          <t>0788</t>
        </is>
      </c>
      <c r="J533" s="56" t="inlineStr">
        <is>
          <t>18</t>
        </is>
      </c>
      <c r="K533" s="57" t="n">
        <v>79.54300000000001</v>
      </c>
      <c r="L533" s="56" t="inlineStr"/>
      <c r="M533" s="56" t="inlineStr">
        <is>
          <t>0</t>
        </is>
      </c>
      <c r="N533" s="56" t="inlineStr">
        <is>
          <t>Rajsriya Automotive Industries(P)</t>
        </is>
      </c>
      <c r="O533" s="58" t="n">
        <v>39</v>
      </c>
      <c r="P533" s="59" t="inlineStr">
        <is>
          <t>31-60</t>
        </is>
      </c>
      <c r="Q533" s="56" t="inlineStr">
        <is>
          <t>Apoorv</t>
        </is>
      </c>
      <c r="U533" t="n">
        <v>3781609</v>
      </c>
      <c r="V533" t="n">
        <v>22.2</v>
      </c>
      <c r="W533" t="n">
        <v>0</v>
      </c>
      <c r="X533" t="n">
        <v>1.6</v>
      </c>
      <c r="Y533" t="n">
        <v>1.175</v>
      </c>
      <c r="Z533" t="inlineStr">
        <is>
          <t>AU27</t>
        </is>
      </c>
      <c r="AA533" t="inlineStr">
        <is>
          <t>PE</t>
        </is>
      </c>
      <c r="AB533" t="inlineStr">
        <is>
          <t>AW</t>
        </is>
      </c>
      <c r="AC533" t="inlineStr">
        <is>
          <t>22.23-0-1.6-ERW 1-PE</t>
        </is>
      </c>
      <c r="AD533" t="inlineStr">
        <is>
          <t>CTL</t>
        </is>
      </c>
      <c r="AE533" t="inlineStr">
        <is>
          <t>22.23-0-1.6-ERW 1-PE-1.175</t>
        </is>
      </c>
      <c r="AF533" t="n">
        <v>0.954606472</v>
      </c>
    </row>
    <row r="534">
      <c r="A534" s="56" t="n">
        <v>2410996</v>
      </c>
      <c r="B534" s="56" t="inlineStr">
        <is>
          <t>TUB-O-C-AUT-AD-FC-16.10X2.700X04-05</t>
        </is>
      </c>
      <c r="C534" s="56" t="inlineStr">
        <is>
          <t>4C0665460A</t>
        </is>
      </c>
      <c r="D534" s="57" t="n">
        <v>167.082</v>
      </c>
      <c r="E534" s="58" t="n">
        <v>671</v>
      </c>
      <c r="F534" s="57" t="n">
        <v>0.671</v>
      </c>
      <c r="G534" s="56" t="inlineStr">
        <is>
          <t>KG</t>
        </is>
      </c>
      <c r="H534" s="56" t="inlineStr">
        <is>
          <t>R001</t>
        </is>
      </c>
      <c r="I534" s="56" t="inlineStr">
        <is>
          <t>0788</t>
        </is>
      </c>
      <c r="J534" s="56" t="inlineStr">
        <is>
          <t>175</t>
        </is>
      </c>
      <c r="K534" s="57" t="n">
        <v>751.737</v>
      </c>
      <c r="L534" s="56" t="inlineStr"/>
      <c r="M534" s="56" t="inlineStr">
        <is>
          <t>0</t>
        </is>
      </c>
      <c r="N534" s="56" t="inlineStr">
        <is>
          <t>Rajsriya Automotive Industries(P)</t>
        </is>
      </c>
      <c r="O534" s="58" t="n">
        <v>38</v>
      </c>
      <c r="P534" s="59" t="inlineStr">
        <is>
          <t>31-60</t>
        </is>
      </c>
      <c r="Q534" s="56" t="inlineStr">
        <is>
          <t>Apoorv</t>
        </is>
      </c>
      <c r="U534" s="585" t="n">
        <v>3509824</v>
      </c>
      <c r="V534" t="n">
        <v>22.2</v>
      </c>
      <c r="W534" t="n">
        <v>0</v>
      </c>
      <c r="X534" t="n">
        <v>1.6</v>
      </c>
      <c r="Y534" t="n">
        <v>1.21</v>
      </c>
      <c r="Z534" t="inlineStr"/>
      <c r="AA534" t="inlineStr">
        <is>
          <t>PE</t>
        </is>
      </c>
      <c r="AB534" t="inlineStr">
        <is>
          <t>AW</t>
        </is>
      </c>
      <c r="AC534" t="inlineStr">
        <is>
          <t>22.23-0-1.6-ERW 1-PE</t>
        </is>
      </c>
      <c r="AD534" t="inlineStr">
        <is>
          <t>CTL</t>
        </is>
      </c>
      <c r="AE534" t="inlineStr">
        <is>
          <t>22.23-0-1.6-ERW 1-PE-1.21</t>
        </is>
      </c>
      <c r="AF534" t="n">
        <v>0.9830415584</v>
      </c>
    </row>
    <row r="535">
      <c r="A535" s="56" t="n">
        <v>2410996</v>
      </c>
      <c r="B535" s="56" t="inlineStr">
        <is>
          <t>TUB-O-C-AUT-AD-FC-16.10X2.700X04-05</t>
        </is>
      </c>
      <c r="C535" s="56" t="inlineStr">
        <is>
          <t>4C0665460B</t>
        </is>
      </c>
      <c r="D535" s="57" t="n">
        <v>149.9</v>
      </c>
      <c r="E535" s="58" t="n">
        <v>602</v>
      </c>
      <c r="F535" s="57" t="n">
        <v>0.602</v>
      </c>
      <c r="G535" s="56" t="inlineStr">
        <is>
          <t>KG</t>
        </is>
      </c>
      <c r="H535" s="56" t="inlineStr">
        <is>
          <t>R001</t>
        </is>
      </c>
      <c r="I535" s="56" t="inlineStr">
        <is>
          <t>0788</t>
        </is>
      </c>
      <c r="J535" s="56" t="inlineStr">
        <is>
          <t>150</t>
        </is>
      </c>
      <c r="K535" s="57" t="n">
        <v>674.434</v>
      </c>
      <c r="L535" s="56" t="inlineStr"/>
      <c r="M535" s="56" t="inlineStr">
        <is>
          <t>0</t>
        </is>
      </c>
      <c r="N535" s="56" t="inlineStr">
        <is>
          <t>Rajsriya Automotive Industries(P)</t>
        </is>
      </c>
      <c r="O535" s="58" t="n">
        <v>38</v>
      </c>
      <c r="P535" s="59" t="inlineStr">
        <is>
          <t>31-60</t>
        </is>
      </c>
      <c r="Q535" s="56" t="inlineStr">
        <is>
          <t>Apoorv</t>
        </is>
      </c>
      <c r="U535" s="585" t="n">
        <v>3533249</v>
      </c>
      <c r="V535" t="n">
        <v>22.2</v>
      </c>
      <c r="W535" t="n">
        <v>0</v>
      </c>
      <c r="X535" t="n">
        <v>1.6</v>
      </c>
      <c r="Y535" t="n">
        <v>1.222</v>
      </c>
      <c r="Z535" t="inlineStr">
        <is>
          <t>GR1</t>
        </is>
      </c>
      <c r="AA535" t="inlineStr">
        <is>
          <t>PE</t>
        </is>
      </c>
      <c r="AB535" t="inlineStr">
        <is>
          <t>AW</t>
        </is>
      </c>
      <c r="AC535" t="inlineStr">
        <is>
          <t>22.23-0-1.6-ERW 1-PE</t>
        </is>
      </c>
      <c r="AD535" t="inlineStr">
        <is>
          <t>CTL</t>
        </is>
      </c>
      <c r="AE535" t="inlineStr">
        <is>
          <t>22.23-0-1.6-ERW 1-PE-1.222</t>
        </is>
      </c>
      <c r="AF535" t="n">
        <v>0.9927907308799999</v>
      </c>
    </row>
    <row r="536">
      <c r="A536" s="56" t="n">
        <v>2410996</v>
      </c>
      <c r="B536" s="56" t="inlineStr">
        <is>
          <t>TUB-O-C-AUT-AD-FC-16.10X2.700X04-05</t>
        </is>
      </c>
      <c r="C536" s="56" t="inlineStr">
        <is>
          <t>4C0665460C</t>
        </is>
      </c>
      <c r="D536" s="57" t="n">
        <v>14.442</v>
      </c>
      <c r="E536" s="58" t="n">
        <v>58</v>
      </c>
      <c r="F536" s="57" t="n">
        <v>0.058</v>
      </c>
      <c r="G536" s="56" t="inlineStr">
        <is>
          <t>KG</t>
        </is>
      </c>
      <c r="H536" s="56" t="inlineStr">
        <is>
          <t>R001</t>
        </is>
      </c>
      <c r="I536" s="56" t="inlineStr">
        <is>
          <t>0788</t>
        </is>
      </c>
      <c r="J536" s="56" t="inlineStr">
        <is>
          <t>15</t>
        </is>
      </c>
      <c r="K536" s="57" t="n">
        <v>64.979</v>
      </c>
      <c r="L536" s="56" t="inlineStr"/>
      <c r="M536" s="56" t="inlineStr">
        <is>
          <t>0</t>
        </is>
      </c>
      <c r="N536" s="56" t="inlineStr">
        <is>
          <t>Rajsriya Automotive Industries(P)</t>
        </is>
      </c>
      <c r="O536" s="58" t="n">
        <v>38</v>
      </c>
      <c r="P536" s="59" t="inlineStr">
        <is>
          <t>31-60</t>
        </is>
      </c>
      <c r="Q536" s="56" t="inlineStr">
        <is>
          <t>Apoorv</t>
        </is>
      </c>
      <c r="U536" s="585" t="n">
        <v>3533248</v>
      </c>
      <c r="V536" t="n">
        <v>22.2</v>
      </c>
      <c r="W536" t="n">
        <v>0</v>
      </c>
      <c r="X536" t="n">
        <v>1.6</v>
      </c>
      <c r="Y536" t="n">
        <v>1.29</v>
      </c>
      <c r="Z536" t="inlineStr">
        <is>
          <t>GR1</t>
        </is>
      </c>
      <c r="AA536" t="inlineStr">
        <is>
          <t>PE</t>
        </is>
      </c>
      <c r="AB536" t="inlineStr">
        <is>
          <t>AW</t>
        </is>
      </c>
      <c r="AC536" t="inlineStr">
        <is>
          <t>22.23-0-1.6-ERW 1-PE</t>
        </is>
      </c>
      <c r="AD536" t="inlineStr">
        <is>
          <t>CTL</t>
        </is>
      </c>
      <c r="AE536" t="inlineStr">
        <is>
          <t>22.23-0-1.6-ERW 1-PE-1.29</t>
        </is>
      </c>
      <c r="AF536" t="n">
        <v>1.0480360416</v>
      </c>
    </row>
    <row r="537">
      <c r="A537" s="56" t="n">
        <v>2410996</v>
      </c>
      <c r="B537" s="56" t="inlineStr">
        <is>
          <t>TUB-O-C-AUT-AD-FC-16.10X2.700X04-05</t>
        </is>
      </c>
      <c r="C537" s="56" t="inlineStr">
        <is>
          <t>4C0665490A</t>
        </is>
      </c>
      <c r="D537" s="57" t="n">
        <v>146.663</v>
      </c>
      <c r="E537" s="58" t="n">
        <v>589</v>
      </c>
      <c r="F537" s="57" t="n">
        <v>0.589</v>
      </c>
      <c r="G537" s="56" t="inlineStr">
        <is>
          <t>KG</t>
        </is>
      </c>
      <c r="H537" s="56" t="inlineStr">
        <is>
          <t>R001</t>
        </is>
      </c>
      <c r="I537" s="56" t="inlineStr">
        <is>
          <t>0788</t>
        </is>
      </c>
      <c r="J537" s="56" t="inlineStr">
        <is>
          <t>150</t>
        </is>
      </c>
      <c r="K537" s="57" t="n">
        <v>659.87</v>
      </c>
      <c r="L537" s="56" t="inlineStr"/>
      <c r="M537" s="56" t="inlineStr">
        <is>
          <t>0</t>
        </is>
      </c>
      <c r="N537" s="56" t="inlineStr">
        <is>
          <t>Rajsriya Automotive Industries(P)</t>
        </is>
      </c>
      <c r="O537" s="58" t="n">
        <v>38</v>
      </c>
      <c r="P537" s="59" t="inlineStr">
        <is>
          <t>31-60</t>
        </is>
      </c>
      <c r="Q537" s="56" t="inlineStr">
        <is>
          <t>Apoorv</t>
        </is>
      </c>
      <c r="U537" s="585" t="n">
        <v>267070</v>
      </c>
      <c r="V537" t="n">
        <v>22.2</v>
      </c>
      <c r="W537" t="n">
        <v>0</v>
      </c>
      <c r="X537" t="n">
        <v>1.6</v>
      </c>
      <c r="Y537" t="n">
        <v>1.3</v>
      </c>
      <c r="Z537" t="inlineStr">
        <is>
          <t>TPT</t>
        </is>
      </c>
      <c r="AA537" t="inlineStr">
        <is>
          <t>PE</t>
        </is>
      </c>
      <c r="AB537" t="inlineStr">
        <is>
          <t>AW</t>
        </is>
      </c>
      <c r="AC537" t="inlineStr">
        <is>
          <t>22.23-0-1.6-ERW 1-PE</t>
        </is>
      </c>
      <c r="AD537" t="inlineStr">
        <is>
          <t>CTL</t>
        </is>
      </c>
      <c r="AE537" t="inlineStr">
        <is>
          <t>22.23-0-1.6-ERW 1-PE-1.3</t>
        </is>
      </c>
      <c r="AF537" t="n">
        <v>1.056160352</v>
      </c>
    </row>
    <row r="538">
      <c r="A538" s="56" t="n">
        <v>2410996</v>
      </c>
      <c r="B538" s="56" t="inlineStr">
        <is>
          <t>TUB-O-C-AUT-AD-FC-16.10X2.700X04-05</t>
        </is>
      </c>
      <c r="C538" s="56" t="inlineStr">
        <is>
          <t>4C0665490B</t>
        </is>
      </c>
      <c r="D538" s="57" t="n">
        <v>149.9</v>
      </c>
      <c r="E538" s="58" t="n">
        <v>602</v>
      </c>
      <c r="F538" s="57" t="n">
        <v>0.602</v>
      </c>
      <c r="G538" s="56" t="inlineStr">
        <is>
          <t>KG</t>
        </is>
      </c>
      <c r="H538" s="56" t="inlineStr">
        <is>
          <t>R001</t>
        </is>
      </c>
      <c r="I538" s="56" t="inlineStr">
        <is>
          <t>0788</t>
        </is>
      </c>
      <c r="J538" s="56" t="inlineStr">
        <is>
          <t>150</t>
        </is>
      </c>
      <c r="K538" s="57" t="n">
        <v>674.434</v>
      </c>
      <c r="L538" s="56" t="inlineStr"/>
      <c r="M538" s="56" t="inlineStr">
        <is>
          <t>0</t>
        </is>
      </c>
      <c r="N538" s="56" t="inlineStr">
        <is>
          <t>Rajsriya Automotive Industries(P)</t>
        </is>
      </c>
      <c r="O538" s="58" t="n">
        <v>38</v>
      </c>
      <c r="P538" s="59" t="inlineStr">
        <is>
          <t>31-60</t>
        </is>
      </c>
      <c r="Q538" s="56" t="inlineStr">
        <is>
          <t>Apoorv</t>
        </is>
      </c>
      <c r="U538" s="585" t="n">
        <v>1385283</v>
      </c>
      <c r="V538" t="n">
        <v>22.2</v>
      </c>
      <c r="W538" t="n">
        <v>0</v>
      </c>
      <c r="X538" t="n">
        <v>1.6</v>
      </c>
      <c r="Y538" t="n">
        <v>1.337</v>
      </c>
      <c r="Z538" t="inlineStr"/>
      <c r="AA538" t="inlineStr">
        <is>
          <t>PE</t>
        </is>
      </c>
      <c r="AB538" t="inlineStr">
        <is>
          <t>AW</t>
        </is>
      </c>
      <c r="AC538" t="inlineStr">
        <is>
          <t>22.23-0-1.6-ERW 1-PE</t>
        </is>
      </c>
      <c r="AD538" t="inlineStr">
        <is>
          <t>CTL</t>
        </is>
      </c>
      <c r="AE538" t="inlineStr">
        <is>
          <t>22.23-0-1.6-ERW 1-PE-1.337</t>
        </is>
      </c>
      <c r="AF538" t="n">
        <v>1.08622030048</v>
      </c>
    </row>
    <row r="539">
      <c r="A539" s="56" t="n">
        <v>2410996</v>
      </c>
      <c r="B539" s="56" t="inlineStr">
        <is>
          <t>TUB-O-C-AUT-AD-FC-16.10X2.700X04-05</t>
        </is>
      </c>
      <c r="C539" s="56" t="inlineStr">
        <is>
          <t>4C0665490C</t>
        </is>
      </c>
      <c r="D539" s="57" t="n">
        <v>31.375</v>
      </c>
      <c r="E539" s="58" t="n">
        <v>126</v>
      </c>
      <c r="F539" s="57" t="n">
        <v>0.126</v>
      </c>
      <c r="G539" s="56" t="inlineStr">
        <is>
          <t>KG</t>
        </is>
      </c>
      <c r="H539" s="56" t="inlineStr">
        <is>
          <t>R001</t>
        </is>
      </c>
      <c r="I539" s="56" t="inlineStr">
        <is>
          <t>0788</t>
        </is>
      </c>
      <c r="J539" s="56" t="inlineStr">
        <is>
          <t>32</t>
        </is>
      </c>
      <c r="K539" s="57" t="n">
        <v>141.161</v>
      </c>
      <c r="L539" s="56" t="inlineStr"/>
      <c r="M539" s="56" t="inlineStr">
        <is>
          <t>0</t>
        </is>
      </c>
      <c r="N539" s="56" t="inlineStr">
        <is>
          <t>Rajsriya Automotive Industries(P)</t>
        </is>
      </c>
      <c r="O539" s="58" t="n">
        <v>38</v>
      </c>
      <c r="P539" s="59" t="inlineStr">
        <is>
          <t>31-60</t>
        </is>
      </c>
      <c r="Q539" s="56" t="inlineStr">
        <is>
          <t>Apoorv</t>
        </is>
      </c>
      <c r="U539" s="585" t="n">
        <v>3682123</v>
      </c>
      <c r="V539" t="n">
        <v>22.2</v>
      </c>
      <c r="W539" t="n">
        <v>0</v>
      </c>
      <c r="X539" t="n">
        <v>1.6</v>
      </c>
      <c r="Y539" t="n">
        <v>5.451</v>
      </c>
      <c r="Z539" t="inlineStr"/>
      <c r="AA539" t="inlineStr">
        <is>
          <t>PE</t>
        </is>
      </c>
      <c r="AB539" t="inlineStr">
        <is>
          <t>AW</t>
        </is>
      </c>
      <c r="AC539" t="inlineStr">
        <is>
          <t>22.23-0-1.6-ERW 1-PE</t>
        </is>
      </c>
      <c r="AD539" t="inlineStr">
        <is>
          <t>LL</t>
        </is>
      </c>
      <c r="AE539" t="inlineStr">
        <is>
          <t>22.23-0-1.6-ERW 1-PE-1</t>
        </is>
      </c>
      <c r="AF539" t="n">
        <v>0.81243104</v>
      </c>
    </row>
    <row r="540">
      <c r="A540" s="56" t="n">
        <v>2410996</v>
      </c>
      <c r="B540" s="56" t="inlineStr">
        <is>
          <t>TUB-O-C-AUT-AD-FC-16.10X2.700X04-05</t>
        </is>
      </c>
      <c r="C540" s="56" t="inlineStr">
        <is>
          <t>4C0765530A</t>
        </is>
      </c>
      <c r="D540" s="57" t="n">
        <v>163.347</v>
      </c>
      <c r="E540" s="58" t="n">
        <v>656</v>
      </c>
      <c r="F540" s="57" t="n">
        <v>0.656</v>
      </c>
      <c r="G540" s="56" t="inlineStr">
        <is>
          <t>KG</t>
        </is>
      </c>
      <c r="H540" s="56" t="inlineStr">
        <is>
          <t>R001</t>
        </is>
      </c>
      <c r="I540" s="56" t="inlineStr">
        <is>
          <t>0788</t>
        </is>
      </c>
      <c r="J540" s="56" t="inlineStr">
        <is>
          <t>175</t>
        </is>
      </c>
      <c r="K540" s="57" t="n">
        <v>734.932</v>
      </c>
      <c r="L540" s="56" t="inlineStr"/>
      <c r="M540" s="56" t="inlineStr">
        <is>
          <t>0</t>
        </is>
      </c>
      <c r="N540" s="56" t="inlineStr">
        <is>
          <t>Rajsriya Automotive Industries(P)</t>
        </is>
      </c>
      <c r="O540" s="58" t="n">
        <v>37</v>
      </c>
      <c r="P540" s="59" t="inlineStr">
        <is>
          <t>31-60</t>
        </is>
      </c>
      <c r="Q540" s="56" t="inlineStr">
        <is>
          <t>Apoorv</t>
        </is>
      </c>
      <c r="U540" s="585" t="n">
        <v>3502468</v>
      </c>
      <c r="V540" t="n">
        <v>22.2</v>
      </c>
      <c r="W540" t="n">
        <v>0</v>
      </c>
      <c r="X540" t="n">
        <v>1.6</v>
      </c>
      <c r="Y540" t="n">
        <v>5.78</v>
      </c>
      <c r="Z540" t="inlineStr"/>
      <c r="AA540" t="inlineStr">
        <is>
          <t>FC</t>
        </is>
      </c>
      <c r="AB540" t="inlineStr">
        <is>
          <t>AW</t>
        </is>
      </c>
      <c r="AC540" t="inlineStr">
        <is>
          <t>22.23-0-1.6-ERW 1-PE</t>
        </is>
      </c>
      <c r="AD540" t="inlineStr">
        <is>
          <t>LL</t>
        </is>
      </c>
      <c r="AE540" t="inlineStr">
        <is>
          <t>22.23-0-1.6-ERW 1-PE-1</t>
        </is>
      </c>
      <c r="AF540" t="n">
        <v>0.81243104</v>
      </c>
    </row>
    <row r="541">
      <c r="A541" s="56" t="n">
        <v>2410996</v>
      </c>
      <c r="B541" s="56" t="inlineStr">
        <is>
          <t>TUB-O-C-AUT-AD-FC-16.10X2.700X04-05</t>
        </is>
      </c>
      <c r="C541" s="56" t="inlineStr">
        <is>
          <t>4C0765530B</t>
        </is>
      </c>
      <c r="D541" s="57" t="n">
        <v>143.177</v>
      </c>
      <c r="E541" s="58" t="n">
        <v>575</v>
      </c>
      <c r="F541" s="57" t="n">
        <v>0.575</v>
      </c>
      <c r="G541" s="56" t="inlineStr">
        <is>
          <t>KG</t>
        </is>
      </c>
      <c r="H541" s="56" t="inlineStr">
        <is>
          <t>R001</t>
        </is>
      </c>
      <c r="I541" s="56" t="inlineStr">
        <is>
          <t>0788</t>
        </is>
      </c>
      <c r="J541" s="56" t="inlineStr">
        <is>
          <t>150</t>
        </is>
      </c>
      <c r="K541" s="57" t="n">
        <v>644.186</v>
      </c>
      <c r="L541" s="56" t="inlineStr"/>
      <c r="M541" s="56" t="inlineStr">
        <is>
          <t>0</t>
        </is>
      </c>
      <c r="N541" s="56" t="inlineStr">
        <is>
          <t>Rajsriya Automotive Industries(P)</t>
        </is>
      </c>
      <c r="O541" s="58" t="n">
        <v>37</v>
      </c>
      <c r="P541" s="59" t="inlineStr">
        <is>
          <t>31-60</t>
        </is>
      </c>
      <c r="Q541" s="56" t="inlineStr">
        <is>
          <t>Apoorv</t>
        </is>
      </c>
      <c r="U541" t="n">
        <v>3534935</v>
      </c>
      <c r="V541" t="n">
        <v>22.2</v>
      </c>
      <c r="W541" t="n">
        <v>0</v>
      </c>
      <c r="X541" t="n">
        <v>1.6</v>
      </c>
      <c r="Y541" t="n">
        <v>5.8</v>
      </c>
      <c r="Z541" t="inlineStr"/>
      <c r="AA541" t="inlineStr">
        <is>
          <t>PE</t>
        </is>
      </c>
      <c r="AB541" t="inlineStr">
        <is>
          <t>AW</t>
        </is>
      </c>
      <c r="AC541" t="inlineStr">
        <is>
          <t>22.23-0-1.6-ERW 1-PE</t>
        </is>
      </c>
      <c r="AD541" t="inlineStr">
        <is>
          <t>LL</t>
        </is>
      </c>
      <c r="AE541" t="inlineStr">
        <is>
          <t>22.23-0-1.6-ERW 1-PE-1</t>
        </is>
      </c>
      <c r="AF541" t="n">
        <v>0.81243104</v>
      </c>
    </row>
    <row r="542">
      <c r="A542" s="56" t="n">
        <v>2410996</v>
      </c>
      <c r="B542" s="56" t="inlineStr">
        <is>
          <t>TUB-O-C-AUT-AD-FC-16.10X2.700X04-05</t>
        </is>
      </c>
      <c r="C542" s="56" t="inlineStr">
        <is>
          <t>4C0765530C</t>
        </is>
      </c>
      <c r="D542" s="57" t="n">
        <v>28.884</v>
      </c>
      <c r="E542" s="58" t="n">
        <v>116</v>
      </c>
      <c r="F542" s="57" t="n">
        <v>0.116</v>
      </c>
      <c r="G542" s="56" t="inlineStr">
        <is>
          <t>KG</t>
        </is>
      </c>
      <c r="H542" s="56" t="inlineStr">
        <is>
          <t>R001</t>
        </is>
      </c>
      <c r="I542" s="56" t="inlineStr">
        <is>
          <t>0788</t>
        </is>
      </c>
      <c r="J542" s="56" t="inlineStr">
        <is>
          <t>31</t>
        </is>
      </c>
      <c r="K542" s="57" t="n">
        <v>129.957</v>
      </c>
      <c r="L542" s="56" t="inlineStr"/>
      <c r="M542" s="56" t="inlineStr">
        <is>
          <t>0</t>
        </is>
      </c>
      <c r="N542" s="56" t="inlineStr">
        <is>
          <t>Rajsriya Automotive Industries(P)</t>
        </is>
      </c>
      <c r="O542" s="58" t="n">
        <v>37</v>
      </c>
      <c r="P542" s="59" t="inlineStr">
        <is>
          <t>31-60</t>
        </is>
      </c>
      <c r="Q542" s="56" t="inlineStr">
        <is>
          <t>Apoorv</t>
        </is>
      </c>
      <c r="U542" s="585" t="n">
        <v>3499239</v>
      </c>
      <c r="V542" t="n">
        <v>22.2</v>
      </c>
      <c r="W542" t="n">
        <v>0</v>
      </c>
      <c r="X542" t="n">
        <v>1.6</v>
      </c>
      <c r="Y542" t="n">
        <v>6</v>
      </c>
      <c r="Z542" t="inlineStr"/>
      <c r="AA542" t="inlineStr">
        <is>
          <t>PE</t>
        </is>
      </c>
      <c r="AB542" t="inlineStr">
        <is>
          <t>AW</t>
        </is>
      </c>
      <c r="AC542" t="inlineStr">
        <is>
          <t>22.23-0-1.6-ERW 1-PE</t>
        </is>
      </c>
      <c r="AD542" t="inlineStr">
        <is>
          <t>LL</t>
        </is>
      </c>
      <c r="AE542" t="inlineStr">
        <is>
          <t>22.23-0-1.6-ERW 1-PE-1</t>
        </is>
      </c>
      <c r="AF542" t="n">
        <v>0.81243104</v>
      </c>
    </row>
    <row r="543">
      <c r="A543" s="56" t="n">
        <v>2410996</v>
      </c>
      <c r="B543" s="56" t="inlineStr">
        <is>
          <t>TUB-O-C-AUT-AD-FC-16.10X2.700X04-05</t>
        </is>
      </c>
      <c r="C543" s="56" t="inlineStr">
        <is>
          <t>4C0765560A</t>
        </is>
      </c>
      <c r="D543" s="57" t="n">
        <v>290.588</v>
      </c>
      <c r="E543" s="58" t="n">
        <v>1167</v>
      </c>
      <c r="F543" s="57" t="n">
        <v>1.167</v>
      </c>
      <c r="G543" s="56" t="inlineStr">
        <is>
          <t>KG</t>
        </is>
      </c>
      <c r="H543" s="56" t="inlineStr">
        <is>
          <t>R001</t>
        </is>
      </c>
      <c r="I543" s="56" t="inlineStr">
        <is>
          <t>0788</t>
        </is>
      </c>
      <c r="J543" s="56" t="inlineStr">
        <is>
          <t>300</t>
        </is>
      </c>
      <c r="K543" s="57" t="n">
        <v>1307.417</v>
      </c>
      <c r="L543" s="56" t="inlineStr"/>
      <c r="M543" s="56" t="inlineStr">
        <is>
          <t>0</t>
        </is>
      </c>
      <c r="N543" s="56" t="inlineStr">
        <is>
          <t>Rajsriya Automotive Industries(P)</t>
        </is>
      </c>
      <c r="O543" s="58" t="n">
        <v>37</v>
      </c>
      <c r="P543" s="59" t="inlineStr">
        <is>
          <t>31-60</t>
        </is>
      </c>
      <c r="Q543" s="56" t="inlineStr">
        <is>
          <t>Apoorv</t>
        </is>
      </c>
      <c r="U543" s="585" t="n">
        <v>235001</v>
      </c>
      <c r="V543" t="n">
        <v>22.2</v>
      </c>
      <c r="W543" t="n">
        <v>0</v>
      </c>
      <c r="X543" t="n">
        <v>1.6</v>
      </c>
      <c r="Y543" t="n">
        <v>6</v>
      </c>
      <c r="Z543" t="inlineStr">
        <is>
          <t>AU27</t>
        </is>
      </c>
      <c r="AA543" t="inlineStr">
        <is>
          <t>PE</t>
        </is>
      </c>
      <c r="AB543" t="inlineStr">
        <is>
          <t>AW</t>
        </is>
      </c>
      <c r="AC543" t="inlineStr">
        <is>
          <t>22.23-0-1.6-ERW 1-PE</t>
        </is>
      </c>
      <c r="AD543" t="inlineStr">
        <is>
          <t>LL</t>
        </is>
      </c>
      <c r="AE543" t="inlineStr">
        <is>
          <t>22.23-0-1.6-ERW 1-PE-1</t>
        </is>
      </c>
      <c r="AF543" t="n">
        <v>0.81243104</v>
      </c>
    </row>
    <row r="544">
      <c r="A544" s="56" t="n">
        <v>2410996</v>
      </c>
      <c r="B544" s="56" t="inlineStr">
        <is>
          <t>TUB-O-C-AUT-AD-FC-16.10X2.700X04-05</t>
        </is>
      </c>
      <c r="C544" s="56" t="inlineStr">
        <is>
          <t>4C0765560B</t>
        </is>
      </c>
      <c r="D544" s="57" t="n">
        <v>308.267</v>
      </c>
      <c r="E544" s="58" t="n">
        <v>1238</v>
      </c>
      <c r="F544" s="57" t="n">
        <v>1.238</v>
      </c>
      <c r="G544" s="56" t="inlineStr">
        <is>
          <t>KG</t>
        </is>
      </c>
      <c r="H544" s="56" t="inlineStr">
        <is>
          <t>R001</t>
        </is>
      </c>
      <c r="I544" s="56" t="inlineStr">
        <is>
          <t>0788</t>
        </is>
      </c>
      <c r="J544" s="56" t="inlineStr">
        <is>
          <t>325</t>
        </is>
      </c>
      <c r="K544" s="57" t="n">
        <v>1386.959</v>
      </c>
      <c r="L544" s="56" t="inlineStr"/>
      <c r="M544" s="56" t="inlineStr">
        <is>
          <t>0</t>
        </is>
      </c>
      <c r="N544" s="56" t="inlineStr">
        <is>
          <t>Rajsriya Automotive Industries(P)</t>
        </is>
      </c>
      <c r="O544" s="58" t="n">
        <v>37</v>
      </c>
      <c r="P544" s="59" t="inlineStr">
        <is>
          <t>31-60</t>
        </is>
      </c>
      <c r="Q544" s="56" t="inlineStr">
        <is>
          <t>Apoorv</t>
        </is>
      </c>
      <c r="U544" s="585" t="n">
        <v>3682124</v>
      </c>
      <c r="V544" t="n">
        <v>22.2</v>
      </c>
      <c r="W544" t="n">
        <v>0</v>
      </c>
      <c r="X544" t="n">
        <v>1.6</v>
      </c>
      <c r="Y544" t="n">
        <v>6.45</v>
      </c>
      <c r="Z544" t="inlineStr"/>
      <c r="AA544" t="inlineStr">
        <is>
          <t>PE</t>
        </is>
      </c>
      <c r="AB544" t="inlineStr">
        <is>
          <t>AW</t>
        </is>
      </c>
      <c r="AC544" t="inlineStr">
        <is>
          <t>22.23-0-1.6-ERW 1-PE</t>
        </is>
      </c>
      <c r="AD544" t="inlineStr">
        <is>
          <t>LL</t>
        </is>
      </c>
      <c r="AE544" t="inlineStr">
        <is>
          <t>22.23-0-1.6-ERW 1-PE-1</t>
        </is>
      </c>
      <c r="AF544" t="n">
        <v>0.81243104</v>
      </c>
    </row>
    <row r="545">
      <c r="A545" s="56" t="n">
        <v>2410996</v>
      </c>
      <c r="B545" s="56" t="inlineStr">
        <is>
          <t>TUB-O-C-AUT-AD-FC-16.10X2.700X04-05</t>
        </is>
      </c>
      <c r="C545" s="56" t="inlineStr">
        <is>
          <t>4C0765560C</t>
        </is>
      </c>
      <c r="D545" s="57" t="n">
        <v>32.869</v>
      </c>
      <c r="E545" s="58" t="n">
        <v>132</v>
      </c>
      <c r="F545" s="57" t="n">
        <v>0.132</v>
      </c>
      <c r="G545" s="56" t="inlineStr">
        <is>
          <t>KG</t>
        </is>
      </c>
      <c r="H545" s="56" t="inlineStr">
        <is>
          <t>R001</t>
        </is>
      </c>
      <c r="I545" s="56" t="inlineStr">
        <is>
          <t>0788</t>
        </is>
      </c>
      <c r="J545" s="56" t="inlineStr">
        <is>
          <t>34</t>
        </is>
      </c>
      <c r="K545" s="57" t="n">
        <v>147.883</v>
      </c>
      <c r="L545" s="56" t="inlineStr"/>
      <c r="M545" s="56" t="inlineStr">
        <is>
          <t>0</t>
        </is>
      </c>
      <c r="N545" s="56" t="inlineStr">
        <is>
          <t>Rajsriya Automotive Industries(P)</t>
        </is>
      </c>
      <c r="O545" s="58" t="n">
        <v>37</v>
      </c>
      <c r="P545" s="59" t="inlineStr">
        <is>
          <t>31-60</t>
        </is>
      </c>
      <c r="Q545" s="56" t="inlineStr">
        <is>
          <t>Apoorv</t>
        </is>
      </c>
      <c r="U545" s="585" t="n">
        <v>3506193</v>
      </c>
      <c r="V545" t="n">
        <v>22.2</v>
      </c>
      <c r="W545" t="n">
        <v>0</v>
      </c>
      <c r="X545" t="n">
        <v>1.63</v>
      </c>
      <c r="Y545" t="n">
        <v>0.7</v>
      </c>
      <c r="Z545" t="inlineStr"/>
      <c r="AA545" t="inlineStr">
        <is>
          <t>PE</t>
        </is>
      </c>
      <c r="AB545" t="inlineStr">
        <is>
          <t>AW</t>
        </is>
      </c>
      <c r="AC545" t="inlineStr">
        <is>
          <t>22.23-0-1.6-ERW 1-PE</t>
        </is>
      </c>
      <c r="AD545" t="inlineStr">
        <is>
          <t>CTL</t>
        </is>
      </c>
      <c r="AE545" t="inlineStr">
        <is>
          <t>22.23-0-1.6-ERW 1-PE-0.7</t>
        </is>
      </c>
      <c r="AF545" t="n">
        <v>0.5785211501299999</v>
      </c>
    </row>
    <row r="546">
      <c r="A546" s="56" t="n">
        <v>2410998</v>
      </c>
      <c r="B546" s="56" t="inlineStr">
        <is>
          <t>TUB-O-C-AUT-AD-FC-18.20X2.950X04-05</t>
        </is>
      </c>
      <c r="C546" s="56" t="inlineStr">
        <is>
          <t>4A28CK2040</t>
        </is>
      </c>
      <c r="D546" s="57" t="n">
        <v>274.93</v>
      </c>
      <c r="E546" s="58" t="n">
        <v>1373</v>
      </c>
      <c r="F546" s="57" t="n">
        <v>1.373</v>
      </c>
      <c r="G546" s="56" t="inlineStr">
        <is>
          <t>KG</t>
        </is>
      </c>
      <c r="H546" s="56" t="inlineStr">
        <is>
          <t>R001</t>
        </is>
      </c>
      <c r="I546" s="56" t="inlineStr">
        <is>
          <t>0788</t>
        </is>
      </c>
      <c r="J546" s="56" t="inlineStr">
        <is>
          <t>288</t>
        </is>
      </c>
      <c r="K546" s="57" t="n">
        <v>1237.16</v>
      </c>
      <c r="L546" s="56" t="inlineStr"/>
      <c r="M546" s="56" t="inlineStr">
        <is>
          <t>0</t>
        </is>
      </c>
      <c r="N546" s="56" t="inlineStr">
        <is>
          <t>Rajsriya Automotive Industries(P)</t>
        </is>
      </c>
      <c r="O546" s="58" t="n">
        <v>67</v>
      </c>
      <c r="P546" s="59" t="inlineStr">
        <is>
          <t>61-90</t>
        </is>
      </c>
      <c r="Q546" s="56" t="inlineStr">
        <is>
          <t>Apoorv</t>
        </is>
      </c>
      <c r="U546" s="585" t="n">
        <v>296754</v>
      </c>
      <c r="V546" t="n">
        <v>22.2</v>
      </c>
      <c r="W546" t="n">
        <v>0</v>
      </c>
      <c r="X546" t="n">
        <v>1.63</v>
      </c>
      <c r="Y546" t="n">
        <v>0.7</v>
      </c>
      <c r="Z546" t="inlineStr">
        <is>
          <t>TPT</t>
        </is>
      </c>
      <c r="AA546" t="inlineStr">
        <is>
          <t>PE</t>
        </is>
      </c>
      <c r="AB546" t="inlineStr">
        <is>
          <t>AW</t>
        </is>
      </c>
      <c r="AC546" t="inlineStr">
        <is>
          <t>22.23-0-1.6-ERW 1-PE</t>
        </is>
      </c>
      <c r="AD546" t="inlineStr">
        <is>
          <t>CTL</t>
        </is>
      </c>
      <c r="AE546" t="inlineStr">
        <is>
          <t>22.23-0-1.6-ERW 1-PE-0.7</t>
        </is>
      </c>
      <c r="AF546" t="n">
        <v>0.5785211501299999</v>
      </c>
    </row>
    <row r="547">
      <c r="A547" s="56" t="n">
        <v>2410998</v>
      </c>
      <c r="B547" s="56" t="inlineStr">
        <is>
          <t>TUB-O-C-AUT-AD-FC-18.20X2.950X04-05</t>
        </is>
      </c>
      <c r="C547" s="56" t="inlineStr">
        <is>
          <t>4B02AK2020</t>
        </is>
      </c>
      <c r="D547" s="57" t="n">
        <v>582.499</v>
      </c>
      <c r="E547" s="58" t="n">
        <v>2909</v>
      </c>
      <c r="F547" s="57" t="n">
        <v>2.909</v>
      </c>
      <c r="G547" s="56" t="inlineStr">
        <is>
          <t>KG</t>
        </is>
      </c>
      <c r="H547" s="56" t="inlineStr">
        <is>
          <t>R001</t>
        </is>
      </c>
      <c r="I547" s="56" t="inlineStr">
        <is>
          <t>0788</t>
        </is>
      </c>
      <c r="J547" s="56" t="inlineStr">
        <is>
          <t>610</t>
        </is>
      </c>
      <c r="K547" s="57" t="n">
        <v>2621.193</v>
      </c>
      <c r="L547" s="56" t="inlineStr"/>
      <c r="M547" s="56" t="inlineStr">
        <is>
          <t>0</t>
        </is>
      </c>
      <c r="N547" s="56" t="inlineStr">
        <is>
          <t>Rajsriya Automotive Industries(P)</t>
        </is>
      </c>
      <c r="O547" s="58" t="n">
        <v>40</v>
      </c>
      <c r="P547" s="59" t="inlineStr">
        <is>
          <t>31-60</t>
        </is>
      </c>
      <c r="Q547" s="56" t="inlineStr">
        <is>
          <t>Apoorv</t>
        </is>
      </c>
      <c r="U547" t="n">
        <v>4017017</v>
      </c>
      <c r="V547" t="n">
        <v>22.2</v>
      </c>
      <c r="W547" t="n">
        <v>0</v>
      </c>
      <c r="X547" t="n">
        <v>1.9</v>
      </c>
      <c r="Y547" t="n">
        <v>5.36</v>
      </c>
      <c r="Z547" t="inlineStr">
        <is>
          <t>NORMAL</t>
        </is>
      </c>
      <c r="AA547" t="inlineStr">
        <is>
          <t>PE</t>
        </is>
      </c>
      <c r="AB547" t="inlineStr">
        <is>
          <t>AW</t>
        </is>
      </c>
      <c r="AC547" t="inlineStr">
        <is>
          <t>22.23-0-2-ERW 1-PE</t>
        </is>
      </c>
      <c r="AD547" t="inlineStr">
        <is>
          <t>LL</t>
        </is>
      </c>
      <c r="AE547" t="inlineStr">
        <is>
          <t>22.23-0-2-ERW 1-PE-1</t>
        </is>
      </c>
      <c r="AF547" t="n">
        <v>0.95071193</v>
      </c>
    </row>
    <row r="548">
      <c r="A548" s="56" t="n">
        <v>2410998</v>
      </c>
      <c r="B548" s="56" t="inlineStr">
        <is>
          <t>TUB-O-C-AUT-AD-FC-18.20X2.950X04-05</t>
        </is>
      </c>
      <c r="C548" s="56" t="inlineStr">
        <is>
          <t>4B02CK2010</t>
        </is>
      </c>
      <c r="D548" s="57" t="n">
        <v>264.517</v>
      </c>
      <c r="E548" s="58" t="n">
        <v>1321</v>
      </c>
      <c r="F548" s="57" t="n">
        <v>1.321</v>
      </c>
      <c r="G548" s="56" t="inlineStr">
        <is>
          <t>KG</t>
        </is>
      </c>
      <c r="H548" s="56" t="inlineStr">
        <is>
          <t>R001</t>
        </is>
      </c>
      <c r="I548" s="56" t="inlineStr">
        <is>
          <t>0788</t>
        </is>
      </c>
      <c r="J548" s="56" t="inlineStr">
        <is>
          <t>277</t>
        </is>
      </c>
      <c r="K548" s="57" t="n">
        <v>1190.305</v>
      </c>
      <c r="L548" s="56" t="inlineStr"/>
      <c r="M548" s="56" t="inlineStr">
        <is>
          <t>0</t>
        </is>
      </c>
      <c r="N548" s="56" t="inlineStr">
        <is>
          <t>Rajsriya Automotive Industries(P)</t>
        </is>
      </c>
      <c r="O548" s="58" t="n">
        <v>38</v>
      </c>
      <c r="P548" s="59" t="inlineStr">
        <is>
          <t>31-60</t>
        </is>
      </c>
      <c r="Q548" s="56" t="inlineStr">
        <is>
          <t>Apoorv</t>
        </is>
      </c>
      <c r="U548" t="n">
        <v>4017018</v>
      </c>
      <c r="V548" t="n">
        <v>22.2</v>
      </c>
      <c r="W548" t="n">
        <v>0</v>
      </c>
      <c r="X548" t="n">
        <v>1.9</v>
      </c>
      <c r="Y548" t="n">
        <v>5.5</v>
      </c>
      <c r="Z548" t="inlineStr">
        <is>
          <t>NORMAL</t>
        </is>
      </c>
      <c r="AA548" t="inlineStr">
        <is>
          <t>PE</t>
        </is>
      </c>
      <c r="AB548" t="inlineStr">
        <is>
          <t>AW</t>
        </is>
      </c>
      <c r="AC548" t="inlineStr">
        <is>
          <t>22.23-0-2-ERW 1-PE</t>
        </is>
      </c>
      <c r="AD548" t="inlineStr">
        <is>
          <t>LL</t>
        </is>
      </c>
      <c r="AE548" t="inlineStr">
        <is>
          <t>22.23-0-2-ERW 1-PE-1</t>
        </is>
      </c>
      <c r="AF548" t="n">
        <v>0.95071193</v>
      </c>
    </row>
    <row r="549">
      <c r="A549" s="56" t="n">
        <v>2410998</v>
      </c>
      <c r="B549" s="56" t="inlineStr">
        <is>
          <t>TUB-O-C-AUT-AD-FC-18.20X2.950X04-05</t>
        </is>
      </c>
      <c r="C549" s="56" t="inlineStr">
        <is>
          <t>4B02CK2020</t>
        </is>
      </c>
      <c r="D549" s="57" t="n">
        <v>281.738</v>
      </c>
      <c r="E549" s="58" t="n">
        <v>1407</v>
      </c>
      <c r="F549" s="57" t="n">
        <v>1.407</v>
      </c>
      <c r="G549" s="56" t="inlineStr">
        <is>
          <t>KG</t>
        </is>
      </c>
      <c r="H549" s="56" t="inlineStr">
        <is>
          <t>R001</t>
        </is>
      </c>
      <c r="I549" s="56" t="inlineStr">
        <is>
          <t>0788</t>
        </is>
      </c>
      <c r="J549" s="56" t="inlineStr">
        <is>
          <t>295</t>
        </is>
      </c>
      <c r="K549" s="57" t="n">
        <v>1267.796</v>
      </c>
      <c r="L549" s="56" t="inlineStr"/>
      <c r="M549" s="56" t="inlineStr">
        <is>
          <t>0</t>
        </is>
      </c>
      <c r="N549" s="56" t="inlineStr">
        <is>
          <t>Rajsriya Automotive Industries(P)</t>
        </is>
      </c>
      <c r="O549" s="58" t="n">
        <v>38</v>
      </c>
      <c r="P549" s="59" t="inlineStr">
        <is>
          <t>31-60</t>
        </is>
      </c>
      <c r="Q549" s="56" t="inlineStr">
        <is>
          <t>Apoorv</t>
        </is>
      </c>
      <c r="U549" t="n">
        <v>3779315</v>
      </c>
      <c r="V549" t="n">
        <v>22.2</v>
      </c>
      <c r="W549" t="n">
        <v>0</v>
      </c>
      <c r="X549" t="n">
        <v>1.9</v>
      </c>
      <c r="Y549" t="n">
        <v>5.65</v>
      </c>
      <c r="Z549" t="inlineStr">
        <is>
          <t>NORMAL</t>
        </is>
      </c>
      <c r="AA549" t="inlineStr">
        <is>
          <t>PE</t>
        </is>
      </c>
      <c r="AB549" t="inlineStr">
        <is>
          <t>AW</t>
        </is>
      </c>
      <c r="AC549" t="inlineStr">
        <is>
          <t>22.23-0-2-ERW 1-PE</t>
        </is>
      </c>
      <c r="AD549" t="inlineStr">
        <is>
          <t>LL</t>
        </is>
      </c>
      <c r="AE549" t="inlineStr">
        <is>
          <t>22.23-0-2-ERW 1-PE-1</t>
        </is>
      </c>
      <c r="AF549" t="n">
        <v>0.95071193</v>
      </c>
    </row>
    <row r="550">
      <c r="A550" s="56" t="n">
        <v>2410998</v>
      </c>
      <c r="B550" s="56" t="inlineStr">
        <is>
          <t>TUB-O-C-AUT-AD-FC-18.20X2.950X04-05</t>
        </is>
      </c>
      <c r="C550" s="56" t="inlineStr">
        <is>
          <t>4B02CK2030</t>
        </is>
      </c>
      <c r="D550" s="57" t="n">
        <v>286.544</v>
      </c>
      <c r="E550" s="58" t="n">
        <v>1431</v>
      </c>
      <c r="F550" s="57" t="n">
        <v>1.431</v>
      </c>
      <c r="G550" s="56" t="inlineStr">
        <is>
          <t>KG</t>
        </is>
      </c>
      <c r="H550" s="56" t="inlineStr">
        <is>
          <t>R001</t>
        </is>
      </c>
      <c r="I550" s="56" t="inlineStr">
        <is>
          <t>0788</t>
        </is>
      </c>
      <c r="J550" s="56" t="inlineStr">
        <is>
          <t>300</t>
        </is>
      </c>
      <c r="K550" s="57" t="n">
        <v>1289.422</v>
      </c>
      <c r="L550" s="56" t="inlineStr"/>
      <c r="M550" s="56" t="inlineStr">
        <is>
          <t>0</t>
        </is>
      </c>
      <c r="N550" s="56" t="inlineStr">
        <is>
          <t>Rajsriya Automotive Industries(P)</t>
        </is>
      </c>
      <c r="O550" s="58" t="n">
        <v>38</v>
      </c>
      <c r="P550" s="59" t="inlineStr">
        <is>
          <t>31-60</t>
        </is>
      </c>
      <c r="Q550" s="56" t="inlineStr">
        <is>
          <t>Apoorv</t>
        </is>
      </c>
      <c r="U550" s="585" t="n">
        <v>1159568</v>
      </c>
      <c r="V550" t="n">
        <v>22.2</v>
      </c>
      <c r="W550" t="n">
        <v>0</v>
      </c>
      <c r="X550" t="n">
        <v>2</v>
      </c>
      <c r="Y550" t="n">
        <v>0.18</v>
      </c>
      <c r="Z550" t="inlineStr"/>
      <c r="AA550" t="inlineStr">
        <is>
          <t>PE</t>
        </is>
      </c>
      <c r="AB550" t="inlineStr">
        <is>
          <t>AW</t>
        </is>
      </c>
      <c r="AC550" t="inlineStr">
        <is>
          <t>22.23-0-2-ERW 1-PE</t>
        </is>
      </c>
      <c r="AD550" t="inlineStr">
        <is>
          <t>CTL</t>
        </is>
      </c>
      <c r="AE550" t="inlineStr">
        <is>
          <t>22.23-0-2-ERW 1-PE-0.18</t>
        </is>
      </c>
      <c r="AF550" t="n">
        <v>0.179247528</v>
      </c>
    </row>
    <row r="551">
      <c r="A551" s="56" t="n">
        <v>2410998</v>
      </c>
      <c r="B551" s="56" t="inlineStr">
        <is>
          <t>TUB-O-C-AUT-AD-FC-18.20X2.950X04-05</t>
        </is>
      </c>
      <c r="C551" s="56" t="inlineStr">
        <is>
          <t>4B02CK2050</t>
        </is>
      </c>
      <c r="D551" s="57" t="n">
        <v>292.151</v>
      </c>
      <c r="E551" s="58" t="n">
        <v>1459</v>
      </c>
      <c r="F551" s="57" t="n">
        <v>1.459</v>
      </c>
      <c r="G551" s="56" t="inlineStr">
        <is>
          <t>KG</t>
        </is>
      </c>
      <c r="H551" s="56" t="inlineStr">
        <is>
          <t>R001</t>
        </is>
      </c>
      <c r="I551" s="56" t="inlineStr">
        <is>
          <t>0788</t>
        </is>
      </c>
      <c r="J551" s="56" t="inlineStr">
        <is>
          <t>306</t>
        </is>
      </c>
      <c r="K551" s="57" t="n">
        <v>1314.651</v>
      </c>
      <c r="L551" s="56" t="inlineStr"/>
      <c r="M551" s="56" t="inlineStr">
        <is>
          <t>0</t>
        </is>
      </c>
      <c r="N551" s="56" t="inlineStr">
        <is>
          <t>Rajsriya Automotive Industries(P)</t>
        </is>
      </c>
      <c r="O551" s="58" t="n">
        <v>39</v>
      </c>
      <c r="P551" s="59" t="inlineStr">
        <is>
          <t>31-60</t>
        </is>
      </c>
      <c r="Q551" s="56" t="inlineStr">
        <is>
          <t>Apoorv</t>
        </is>
      </c>
      <c r="U551" s="585" t="n">
        <v>471489</v>
      </c>
      <c r="V551" t="n">
        <v>22.2</v>
      </c>
      <c r="W551" t="n">
        <v>0</v>
      </c>
      <c r="X551" t="n">
        <v>2</v>
      </c>
      <c r="Y551" t="n">
        <v>0.22</v>
      </c>
      <c r="Z551" t="inlineStr"/>
      <c r="AA551" t="inlineStr">
        <is>
          <t>PE</t>
        </is>
      </c>
      <c r="AB551" t="inlineStr">
        <is>
          <t>AW</t>
        </is>
      </c>
      <c r="AC551" t="inlineStr">
        <is>
          <t>22.23-0-2-ERW 1-PE</t>
        </is>
      </c>
      <c r="AD551" t="inlineStr">
        <is>
          <t>CTL</t>
        </is>
      </c>
      <c r="AE551" t="inlineStr">
        <is>
          <t>22.23-0-2-ERW 1-PE-0.22</t>
        </is>
      </c>
      <c r="AF551" t="n">
        <v>0.219080312</v>
      </c>
    </row>
    <row r="552">
      <c r="A552" s="56" t="n">
        <v>2410998</v>
      </c>
      <c r="B552" s="56" t="inlineStr">
        <is>
          <t>TUB-O-C-AUT-AD-FC-18.20X2.950X04-05</t>
        </is>
      </c>
      <c r="C552" s="56" t="inlineStr">
        <is>
          <t>4C0665450A</t>
        </is>
      </c>
      <c r="D552" s="57" t="n">
        <v>149.179</v>
      </c>
      <c r="E552" s="58" t="n">
        <v>745</v>
      </c>
      <c r="F552" s="57" t="n">
        <v>0.745</v>
      </c>
      <c r="G552" s="56" t="inlineStr">
        <is>
          <t>KG</t>
        </is>
      </c>
      <c r="H552" s="56" t="inlineStr">
        <is>
          <t>R001</t>
        </is>
      </c>
      <c r="I552" s="56" t="inlineStr">
        <is>
          <t>0788</t>
        </is>
      </c>
      <c r="J552" s="56" t="inlineStr">
        <is>
          <t>160</t>
        </is>
      </c>
      <c r="K552" s="57" t="n">
        <v>671.292</v>
      </c>
      <c r="L552" s="56" t="inlineStr"/>
      <c r="M552" s="56" t="inlineStr">
        <is>
          <t>0</t>
        </is>
      </c>
      <c r="N552" s="56" t="inlineStr">
        <is>
          <t>Rajsriya Automotive Industries(P)</t>
        </is>
      </c>
      <c r="O552" s="58" t="n">
        <v>38</v>
      </c>
      <c r="P552" s="59" t="inlineStr">
        <is>
          <t>31-60</t>
        </is>
      </c>
      <c r="Q552" s="56" t="inlineStr">
        <is>
          <t>Apoorv</t>
        </is>
      </c>
      <c r="U552" s="585" t="n">
        <v>3781669</v>
      </c>
      <c r="V552" t="n">
        <v>22.2</v>
      </c>
      <c r="W552" t="n">
        <v>0</v>
      </c>
      <c r="X552" t="n">
        <v>2</v>
      </c>
      <c r="Y552" t="n">
        <v>0.236</v>
      </c>
      <c r="Z552" t="inlineStr">
        <is>
          <t>TPT</t>
        </is>
      </c>
      <c r="AA552" t="inlineStr">
        <is>
          <t>PE</t>
        </is>
      </c>
      <c r="AB552" t="inlineStr">
        <is>
          <t>AW</t>
        </is>
      </c>
      <c r="AC552" t="inlineStr">
        <is>
          <t>22.23-0-2-ERW 1-PE</t>
        </is>
      </c>
      <c r="AD552" t="inlineStr">
        <is>
          <t>CTL</t>
        </is>
      </c>
      <c r="AE552" t="inlineStr">
        <is>
          <t>22.23-0-2-ERW 1-PE-0.236</t>
        </is>
      </c>
      <c r="AF552" t="n">
        <v>0.2350134256</v>
      </c>
    </row>
    <row r="553">
      <c r="A553" s="56" t="n">
        <v>2410998</v>
      </c>
      <c r="B553" s="56" t="inlineStr">
        <is>
          <t>TUB-O-C-AUT-AD-FC-18.20X2.950X04-05</t>
        </is>
      </c>
      <c r="C553" s="56" t="inlineStr">
        <is>
          <t>4C0665450B</t>
        </is>
      </c>
      <c r="D553" s="57" t="n">
        <v>133.761</v>
      </c>
      <c r="E553" s="58" t="n">
        <v>668</v>
      </c>
      <c r="F553" s="57" t="n">
        <v>0.668</v>
      </c>
      <c r="G553" s="56" t="inlineStr">
        <is>
          <t>KG</t>
        </is>
      </c>
      <c r="H553" s="56" t="inlineStr">
        <is>
          <t>R001</t>
        </is>
      </c>
      <c r="I553" s="56" t="inlineStr">
        <is>
          <t>0788</t>
        </is>
      </c>
      <c r="J553" s="56" t="inlineStr">
        <is>
          <t>140</t>
        </is>
      </c>
      <c r="K553" s="57" t="n">
        <v>601.91</v>
      </c>
      <c r="L553" s="56" t="inlineStr"/>
      <c r="M553" s="56" t="inlineStr">
        <is>
          <t>0</t>
        </is>
      </c>
      <c r="N553" s="56" t="inlineStr">
        <is>
          <t>Rajsriya Automotive Industries(P)</t>
        </is>
      </c>
      <c r="O553" s="58" t="n">
        <v>38</v>
      </c>
      <c r="P553" s="59" t="inlineStr">
        <is>
          <t>31-60</t>
        </is>
      </c>
      <c r="Q553" s="56" t="inlineStr">
        <is>
          <t>Apoorv</t>
        </is>
      </c>
      <c r="U553" s="585" t="n">
        <v>508984</v>
      </c>
      <c r="V553" t="n">
        <v>22.2</v>
      </c>
      <c r="W553" t="n">
        <v>0</v>
      </c>
      <c r="X553" t="n">
        <v>2</v>
      </c>
      <c r="Y553" t="n">
        <v>0.236</v>
      </c>
      <c r="Z553" t="inlineStr"/>
      <c r="AA553" t="inlineStr">
        <is>
          <t>PE</t>
        </is>
      </c>
      <c r="AB553" t="inlineStr">
        <is>
          <t>AW</t>
        </is>
      </c>
      <c r="AC553" t="inlineStr">
        <is>
          <t>22.23-0-2-ERW 1-PE</t>
        </is>
      </c>
      <c r="AD553" t="inlineStr">
        <is>
          <t>CTL</t>
        </is>
      </c>
      <c r="AE553" t="inlineStr">
        <is>
          <t>22.23-0-2-ERW 1-PE-0.236</t>
        </is>
      </c>
      <c r="AF553" t="n">
        <v>0.2350134256</v>
      </c>
    </row>
    <row r="554">
      <c r="A554" s="56" t="n">
        <v>2410998</v>
      </c>
      <c r="B554" s="56" t="inlineStr">
        <is>
          <t>TUB-O-C-AUT-AD-FC-18.20X2.950X04-05</t>
        </is>
      </c>
      <c r="C554" s="56" t="inlineStr">
        <is>
          <t>4C0665470A</t>
        </is>
      </c>
      <c r="D554" s="57" t="n">
        <v>286.544</v>
      </c>
      <c r="E554" s="58" t="n">
        <v>1431</v>
      </c>
      <c r="F554" s="57" t="n">
        <v>1.431</v>
      </c>
      <c r="G554" s="56" t="inlineStr">
        <is>
          <t>KG</t>
        </is>
      </c>
      <c r="H554" s="56" t="inlineStr">
        <is>
          <t>R001</t>
        </is>
      </c>
      <c r="I554" s="56" t="inlineStr">
        <is>
          <t>0788</t>
        </is>
      </c>
      <c r="J554" s="56" t="inlineStr">
        <is>
          <t>300</t>
        </is>
      </c>
      <c r="K554" s="57" t="n">
        <v>1289.422</v>
      </c>
      <c r="L554" s="56" t="inlineStr"/>
      <c r="M554" s="56" t="inlineStr">
        <is>
          <t>0</t>
        </is>
      </c>
      <c r="N554" s="56" t="inlineStr">
        <is>
          <t>Rajsriya Automotive Industries(P)</t>
        </is>
      </c>
      <c r="O554" s="58" t="n">
        <v>38</v>
      </c>
      <c r="P554" s="59" t="inlineStr">
        <is>
          <t>31-60</t>
        </is>
      </c>
      <c r="Q554" s="56" t="inlineStr">
        <is>
          <t>Apoorv</t>
        </is>
      </c>
      <c r="U554" s="585" t="n">
        <v>1154248</v>
      </c>
      <c r="V554" t="n">
        <v>22.2</v>
      </c>
      <c r="W554" t="n">
        <v>0</v>
      </c>
      <c r="X554" t="n">
        <v>2</v>
      </c>
      <c r="Y554" t="n">
        <v>0.394</v>
      </c>
      <c r="Z554" t="inlineStr"/>
      <c r="AA554" t="inlineStr">
        <is>
          <t>PE</t>
        </is>
      </c>
      <c r="AB554" t="inlineStr">
        <is>
          <t>AW</t>
        </is>
      </c>
      <c r="AC554" t="inlineStr">
        <is>
          <t>22.23-0-2-ERW 1-PE</t>
        </is>
      </c>
      <c r="AD554" t="inlineStr">
        <is>
          <t>CTL</t>
        </is>
      </c>
      <c r="AE554" t="inlineStr">
        <is>
          <t>22.23-0-2-ERW 1-PE-0.394</t>
        </is>
      </c>
      <c r="AF554" t="n">
        <v>0.3923529224</v>
      </c>
    </row>
    <row r="555">
      <c r="A555" s="56" t="n">
        <v>2410998</v>
      </c>
      <c r="B555" s="56" t="inlineStr">
        <is>
          <t>TUB-O-C-AUT-AD-FC-18.20X2.950X04-05</t>
        </is>
      </c>
      <c r="C555" s="56" t="inlineStr">
        <is>
          <t>4C0665470B</t>
        </is>
      </c>
      <c r="D555" s="57" t="n">
        <v>293.152</v>
      </c>
      <c r="E555" s="58" t="n">
        <v>1464</v>
      </c>
      <c r="F555" s="57" t="n">
        <v>1.464</v>
      </c>
      <c r="G555" s="56" t="inlineStr">
        <is>
          <t>KG</t>
        </is>
      </c>
      <c r="H555" s="56" t="inlineStr">
        <is>
          <t>R001</t>
        </is>
      </c>
      <c r="I555" s="56" t="inlineStr">
        <is>
          <t>0788</t>
        </is>
      </c>
      <c r="J555" s="56" t="inlineStr">
        <is>
          <t>300</t>
        </is>
      </c>
      <c r="K555" s="57" t="n">
        <v>1319.157</v>
      </c>
      <c r="L555" s="56" t="inlineStr"/>
      <c r="M555" s="56" t="inlineStr">
        <is>
          <t>0</t>
        </is>
      </c>
      <c r="N555" s="56" t="inlineStr">
        <is>
          <t>Rajsriya Automotive Industries(P)</t>
        </is>
      </c>
      <c r="O555" s="58" t="n">
        <v>38</v>
      </c>
      <c r="P555" s="59" t="inlineStr">
        <is>
          <t>31-60</t>
        </is>
      </c>
      <c r="Q555" s="56" t="inlineStr">
        <is>
          <t>Apoorv</t>
        </is>
      </c>
      <c r="U555" s="585" t="n">
        <v>1174856</v>
      </c>
      <c r="V555" t="n">
        <v>22.2</v>
      </c>
      <c r="W555" t="n">
        <v>0</v>
      </c>
      <c r="X555" t="n">
        <v>2</v>
      </c>
      <c r="Y555" t="n">
        <v>0.505</v>
      </c>
      <c r="Z555" t="inlineStr"/>
      <c r="AA555" t="inlineStr">
        <is>
          <t>FC</t>
        </is>
      </c>
      <c r="AB555" t="inlineStr">
        <is>
          <t>AW</t>
        </is>
      </c>
      <c r="AC555" t="inlineStr">
        <is>
          <t>22.23-0-2-ERW 1-FC</t>
        </is>
      </c>
      <c r="AD555" t="inlineStr">
        <is>
          <t>CTL</t>
        </is>
      </c>
      <c r="AE555" t="inlineStr">
        <is>
          <t>22.23-0-2-ERW 1-FC-0.505</t>
        </is>
      </c>
      <c r="AF555" t="n">
        <v>0.502888898</v>
      </c>
    </row>
    <row r="556">
      <c r="A556" s="56" t="n">
        <v>2410998</v>
      </c>
      <c r="B556" s="56" t="inlineStr">
        <is>
          <t>TUB-O-C-AUT-AD-FC-18.20X2.950X04-05</t>
        </is>
      </c>
      <c r="C556" s="56" t="inlineStr">
        <is>
          <t>4C0665470C</t>
        </is>
      </c>
      <c r="D556" s="57" t="n">
        <v>11.414</v>
      </c>
      <c r="E556" s="58" t="n">
        <v>57</v>
      </c>
      <c r="F556" s="57" t="n">
        <v>0.057</v>
      </c>
      <c r="G556" s="56" t="inlineStr">
        <is>
          <t>KG</t>
        </is>
      </c>
      <c r="H556" s="56" t="inlineStr">
        <is>
          <t>R001</t>
        </is>
      </c>
      <c r="I556" s="56" t="inlineStr">
        <is>
          <t>0788</t>
        </is>
      </c>
      <c r="J556" s="56" t="inlineStr">
        <is>
          <t>12</t>
        </is>
      </c>
      <c r="K556" s="57" t="n">
        <v>51.361</v>
      </c>
      <c r="L556" s="56" t="inlineStr"/>
      <c r="M556" s="56" t="inlineStr">
        <is>
          <t>0</t>
        </is>
      </c>
      <c r="N556" s="56" t="inlineStr">
        <is>
          <t>Rajsriya Automotive Industries(P)</t>
        </is>
      </c>
      <c r="O556" s="58" t="n">
        <v>38</v>
      </c>
      <c r="P556" s="59" t="inlineStr">
        <is>
          <t>31-60</t>
        </is>
      </c>
      <c r="Q556" s="56" t="inlineStr">
        <is>
          <t>Apoorv</t>
        </is>
      </c>
      <c r="U556" s="585" t="n">
        <v>475364</v>
      </c>
      <c r="V556" t="n">
        <v>22.2</v>
      </c>
      <c r="W556" t="n">
        <v>0</v>
      </c>
      <c r="X556" t="n">
        <v>2</v>
      </c>
      <c r="Y556" t="n">
        <v>0.574</v>
      </c>
      <c r="Z556" t="inlineStr"/>
      <c r="AA556" t="inlineStr">
        <is>
          <t>PE</t>
        </is>
      </c>
      <c r="AB556" t="inlineStr">
        <is>
          <t>AW</t>
        </is>
      </c>
      <c r="AC556" t="inlineStr">
        <is>
          <t>22.23-0-2-ERW 1-PE</t>
        </is>
      </c>
      <c r="AD556" t="inlineStr">
        <is>
          <t>CTL</t>
        </is>
      </c>
      <c r="AE556" t="inlineStr">
        <is>
          <t>22.23-0-2-ERW 1-PE-0.574</t>
        </is>
      </c>
      <c r="AF556" t="n">
        <v>0.5716004504</v>
      </c>
    </row>
    <row r="557">
      <c r="A557" s="56" t="n">
        <v>2410999</v>
      </c>
      <c r="B557" s="56" t="inlineStr">
        <is>
          <t>TUB-O-C-AUT-AD-FC-21.70X2.750X04-05</t>
        </is>
      </c>
      <c r="C557" s="56" t="inlineStr">
        <is>
          <t>4B09BK2070</t>
        </is>
      </c>
      <c r="D557" s="57" t="n">
        <v>269.836</v>
      </c>
      <c r="E557" s="58" t="n">
        <v>1561</v>
      </c>
      <c r="F557" s="57" t="n">
        <v>1.561</v>
      </c>
      <c r="G557" s="56" t="inlineStr">
        <is>
          <t>KG</t>
        </is>
      </c>
      <c r="H557" s="56" t="inlineStr">
        <is>
          <t>R001</t>
        </is>
      </c>
      <c r="I557" s="56" t="inlineStr">
        <is>
          <t>0788</t>
        </is>
      </c>
      <c r="J557" s="56" t="inlineStr">
        <is>
          <t>243</t>
        </is>
      </c>
      <c r="K557" s="57" t="n">
        <v>1214.219</v>
      </c>
      <c r="L557" s="56" t="inlineStr"/>
      <c r="M557" s="56" t="inlineStr">
        <is>
          <t>0</t>
        </is>
      </c>
      <c r="N557" s="56" t="inlineStr">
        <is>
          <t>Rajsriya Automotive Industries(P)</t>
        </is>
      </c>
      <c r="O557" s="58" t="n">
        <v>37</v>
      </c>
      <c r="P557" s="59" t="inlineStr">
        <is>
          <t>31-60</t>
        </is>
      </c>
      <c r="Q557" s="56" t="inlineStr">
        <is>
          <t>Apoorv</t>
        </is>
      </c>
      <c r="U557" s="585" t="n">
        <v>3781666</v>
      </c>
      <c r="V557" t="n">
        <v>22.2</v>
      </c>
      <c r="W557" t="n">
        <v>0</v>
      </c>
      <c r="X557" t="n">
        <v>2</v>
      </c>
      <c r="Y557" t="n">
        <v>0.574</v>
      </c>
      <c r="Z557" t="inlineStr">
        <is>
          <t>TPT</t>
        </is>
      </c>
      <c r="AA557" t="inlineStr">
        <is>
          <t>PE</t>
        </is>
      </c>
      <c r="AB557" t="inlineStr">
        <is>
          <t>AW</t>
        </is>
      </c>
      <c r="AC557" t="inlineStr">
        <is>
          <t>22.23-0-2-ERW 1-PE</t>
        </is>
      </c>
      <c r="AD557" t="inlineStr">
        <is>
          <t>CTL</t>
        </is>
      </c>
      <c r="AF557" t="n">
        <v>0.5716004504</v>
      </c>
    </row>
    <row r="558">
      <c r="A558" s="56" t="n">
        <v>2418610</v>
      </c>
      <c r="B558" s="56" t="inlineStr">
        <is>
          <t>TUB-O-C-AUT-AD-FC-25.40X3.500X04-05</t>
        </is>
      </c>
      <c r="C558" s="56" t="inlineStr">
        <is>
          <t>471565020A</t>
        </is>
      </c>
      <c r="D558" s="57" t="n">
        <v>89.905</v>
      </c>
      <c r="E558" s="58" t="n">
        <v>765</v>
      </c>
      <c r="F558" s="57" t="n">
        <v>0.765</v>
      </c>
      <c r="G558" s="56" t="inlineStr">
        <is>
          <t>KG</t>
        </is>
      </c>
      <c r="H558" s="56" t="inlineStr">
        <is>
          <t>R001</t>
        </is>
      </c>
      <c r="I558" s="56" t="inlineStr">
        <is>
          <t>0788</t>
        </is>
      </c>
      <c r="J558" s="56" t="inlineStr">
        <is>
          <t>90</t>
        </is>
      </c>
      <c r="K558" s="57" t="n">
        <v>404.548</v>
      </c>
      <c r="L558" s="56" t="inlineStr"/>
      <c r="M558" s="56" t="inlineStr">
        <is>
          <t>0</t>
        </is>
      </c>
      <c r="N558" s="56" t="inlineStr">
        <is>
          <t>Narasipur Auto Component(P)Ltd</t>
        </is>
      </c>
      <c r="O558" s="58" t="n">
        <v>181</v>
      </c>
      <c r="P558" s="59" t="inlineStr">
        <is>
          <t>ABOVE 90</t>
        </is>
      </c>
      <c r="Q558" s="56" t="inlineStr">
        <is>
          <t>Jitendra Kumar Sharma</t>
        </is>
      </c>
      <c r="U558" s="585" t="n">
        <v>1405728</v>
      </c>
      <c r="V558" t="n">
        <v>22.2</v>
      </c>
      <c r="W558" t="n">
        <v>0</v>
      </c>
      <c r="X558" t="n">
        <v>2</v>
      </c>
      <c r="Y558" t="n">
        <v>0.706</v>
      </c>
      <c r="Z558" t="inlineStr"/>
      <c r="AA558" t="inlineStr">
        <is>
          <t>PE</t>
        </is>
      </c>
      <c r="AB558" t="inlineStr">
        <is>
          <t>AW</t>
        </is>
      </c>
      <c r="AC558" t="inlineStr">
        <is>
          <t>22.23-0-2-ERW 1-PE</t>
        </is>
      </c>
      <c r="AD558" t="inlineStr">
        <is>
          <t>CTL</t>
        </is>
      </c>
      <c r="AE558" t="inlineStr">
        <is>
          <t>22.23-0-2-ERW 1-PE-0.706</t>
        </is>
      </c>
      <c r="AF558" t="n">
        <v>0.7030486376</v>
      </c>
    </row>
    <row r="559">
      <c r="A559" s="56" t="n">
        <v>2418610</v>
      </c>
      <c r="B559" s="56" t="inlineStr">
        <is>
          <t>TUB-O-C-AUT-AD-FC-25.40X3.500X04-05</t>
        </is>
      </c>
      <c r="C559" s="56" t="inlineStr">
        <is>
          <t>471565020B</t>
        </is>
      </c>
      <c r="D559" s="57" t="n">
        <v>91.90300000000001</v>
      </c>
      <c r="E559" s="58" t="n">
        <v>782</v>
      </c>
      <c r="F559" s="57" t="n">
        <v>0.782</v>
      </c>
      <c r="G559" s="56" t="inlineStr">
        <is>
          <t>KG</t>
        </is>
      </c>
      <c r="H559" s="56" t="inlineStr">
        <is>
          <t>R001</t>
        </is>
      </c>
      <c r="I559" s="56" t="inlineStr">
        <is>
          <t>0788</t>
        </is>
      </c>
      <c r="J559" s="56" t="inlineStr">
        <is>
          <t>90</t>
        </is>
      </c>
      <c r="K559" s="57" t="n">
        <v>413.538</v>
      </c>
      <c r="L559" s="56" t="inlineStr"/>
      <c r="M559" s="56" t="inlineStr">
        <is>
          <t>0</t>
        </is>
      </c>
      <c r="N559" s="56" t="inlineStr">
        <is>
          <t>Narasipur Auto Component(P)Ltd</t>
        </is>
      </c>
      <c r="O559" s="58" t="n">
        <v>181</v>
      </c>
      <c r="P559" s="59" t="inlineStr">
        <is>
          <t>ABOVE 90</t>
        </is>
      </c>
      <c r="Q559" s="56" t="inlineStr">
        <is>
          <t>Jitendra Kumar Sharma</t>
        </is>
      </c>
      <c r="U559" s="585" t="n">
        <v>1405729</v>
      </c>
      <c r="V559" t="n">
        <v>22.2</v>
      </c>
      <c r="W559" t="n">
        <v>0</v>
      </c>
      <c r="X559" t="n">
        <v>2</v>
      </c>
      <c r="Y559" t="n">
        <v>0.708</v>
      </c>
      <c r="Z559" t="inlineStr"/>
      <c r="AA559" t="inlineStr">
        <is>
          <t>PE</t>
        </is>
      </c>
      <c r="AB559" t="inlineStr">
        <is>
          <t>AW</t>
        </is>
      </c>
      <c r="AC559" t="inlineStr">
        <is>
          <t>22.23-0-2-ERW 1-PE</t>
        </is>
      </c>
      <c r="AD559" t="inlineStr">
        <is>
          <t>CTL</t>
        </is>
      </c>
      <c r="AE559" t="inlineStr">
        <is>
          <t>22.23-0-2-ERW 1-PE-0.708</t>
        </is>
      </c>
      <c r="AF559" t="n">
        <v>0.7050402768</v>
      </c>
    </row>
    <row r="560">
      <c r="A560" s="56" t="n">
        <v>2418610</v>
      </c>
      <c r="B560" s="56" t="inlineStr">
        <is>
          <t>TUB-O-C-AUT-AD-FC-25.40X3.500X04-05</t>
        </is>
      </c>
      <c r="C560" s="56" t="inlineStr">
        <is>
          <t>471565020C</t>
        </is>
      </c>
      <c r="D560" s="57" t="n">
        <v>8.227</v>
      </c>
      <c r="E560" s="58" t="n">
        <v>70</v>
      </c>
      <c r="F560" s="57" t="n">
        <v>0.07000000000000001</v>
      </c>
      <c r="G560" s="56" t="inlineStr">
        <is>
          <t>KG</t>
        </is>
      </c>
      <c r="H560" s="56" t="inlineStr">
        <is>
          <t>R001</t>
        </is>
      </c>
      <c r="I560" s="56" t="inlineStr">
        <is>
          <t>0788</t>
        </is>
      </c>
      <c r="J560" s="56" t="inlineStr">
        <is>
          <t>8</t>
        </is>
      </c>
      <c r="K560" s="57" t="n">
        <v>37.017</v>
      </c>
      <c r="L560" s="56" t="inlineStr"/>
      <c r="M560" s="56" t="inlineStr">
        <is>
          <t>0</t>
        </is>
      </c>
      <c r="N560" s="56" t="inlineStr">
        <is>
          <t>Narasipur Auto Component(P)Ltd</t>
        </is>
      </c>
      <c r="O560" s="58" t="n">
        <v>181</v>
      </c>
      <c r="P560" s="59" t="inlineStr">
        <is>
          <t>ABOVE 90</t>
        </is>
      </c>
      <c r="Q560" s="56" t="inlineStr">
        <is>
          <t>Jitendra Kumar Sharma</t>
        </is>
      </c>
      <c r="U560" s="585" t="n">
        <v>288719</v>
      </c>
      <c r="V560" t="n">
        <v>22.2</v>
      </c>
      <c r="W560" t="n">
        <v>0</v>
      </c>
      <c r="X560" t="n">
        <v>2</v>
      </c>
      <c r="Y560" t="n">
        <v>0.715</v>
      </c>
      <c r="Z560" t="inlineStr">
        <is>
          <t>TPT</t>
        </is>
      </c>
      <c r="AA560" t="inlineStr">
        <is>
          <t>PE</t>
        </is>
      </c>
      <c r="AB560" t="inlineStr">
        <is>
          <t>AW</t>
        </is>
      </c>
      <c r="AC560" t="inlineStr">
        <is>
          <t>22.23-0-2-ERW 1-PE</t>
        </is>
      </c>
      <c r="AD560" t="inlineStr">
        <is>
          <t>CTL</t>
        </is>
      </c>
      <c r="AE560" t="inlineStr">
        <is>
          <t>22.23-0-2-ERW 1-PE-0.715</t>
        </is>
      </c>
      <c r="AF560" t="n">
        <v>0.712011014</v>
      </c>
    </row>
    <row r="561">
      <c r="A561" s="56" t="n">
        <v>2418610</v>
      </c>
      <c r="B561" s="56" t="inlineStr">
        <is>
          <t>TUB-O-C-AUT-AD-FC-25.40X3.500X04-05</t>
        </is>
      </c>
      <c r="C561" s="56" t="inlineStr">
        <is>
          <t>4B07BK2080</t>
        </is>
      </c>
      <c r="D561" s="57" t="n">
        <v>207.545</v>
      </c>
      <c r="E561" s="58" t="n">
        <v>1766</v>
      </c>
      <c r="F561" s="57" t="n">
        <v>1.766</v>
      </c>
      <c r="G561" s="56" t="inlineStr">
        <is>
          <t>KG</t>
        </is>
      </c>
      <c r="H561" s="56" t="inlineStr">
        <is>
          <t>R001</t>
        </is>
      </c>
      <c r="I561" s="56" t="inlineStr">
        <is>
          <t>0788</t>
        </is>
      </c>
      <c r="J561" s="56" t="inlineStr">
        <is>
          <t>235</t>
        </is>
      </c>
      <c r="K561" s="57" t="n">
        <v>933.897</v>
      </c>
      <c r="L561" s="56" t="inlineStr"/>
      <c r="M561" s="56" t="inlineStr">
        <is>
          <t>0</t>
        </is>
      </c>
      <c r="N561" s="56" t="inlineStr">
        <is>
          <t>Narasipur Auto Component(P)Ltd</t>
        </is>
      </c>
      <c r="O561" s="58" t="n">
        <v>46</v>
      </c>
      <c r="P561" s="59" t="inlineStr">
        <is>
          <t>31-60</t>
        </is>
      </c>
      <c r="Q561" s="56" t="inlineStr">
        <is>
          <t>Jitendra Kumar Sharma</t>
        </is>
      </c>
      <c r="U561" s="585" t="n">
        <v>3506173</v>
      </c>
      <c r="V561" t="n">
        <v>22.2</v>
      </c>
      <c r="W561" t="n">
        <v>0</v>
      </c>
      <c r="X561" t="n">
        <v>2</v>
      </c>
      <c r="Y561" t="n">
        <v>0.715</v>
      </c>
      <c r="Z561" t="inlineStr"/>
      <c r="AA561" t="inlineStr">
        <is>
          <t>PE</t>
        </is>
      </c>
      <c r="AB561" t="inlineStr">
        <is>
          <t>AW</t>
        </is>
      </c>
      <c r="AC561" t="inlineStr">
        <is>
          <t>22.23-0-2-ERW 1-PE</t>
        </is>
      </c>
      <c r="AD561" t="inlineStr">
        <is>
          <t>CTL</t>
        </is>
      </c>
      <c r="AE561" t="inlineStr">
        <is>
          <t>22.23-0-2-ERW 1-PE-0.715</t>
        </is>
      </c>
      <c r="AF561" t="n">
        <v>0.712011014</v>
      </c>
    </row>
    <row r="562">
      <c r="A562" s="56" t="n">
        <v>2418610</v>
      </c>
      <c r="B562" s="56" t="inlineStr">
        <is>
          <t>TUB-O-C-AUT-AD-FC-25.40X3.500X04-05</t>
        </is>
      </c>
      <c r="C562" s="56" t="inlineStr">
        <is>
          <t>4B23CK2010</t>
        </is>
      </c>
      <c r="D562" s="57" t="n">
        <v>139.147</v>
      </c>
      <c r="E562" s="58" t="n">
        <v>1184</v>
      </c>
      <c r="F562" s="57" t="n">
        <v>1.184</v>
      </c>
      <c r="G562" s="56" t="inlineStr">
        <is>
          <t>KG</t>
        </is>
      </c>
      <c r="H562" s="56" t="inlineStr">
        <is>
          <t>R001</t>
        </is>
      </c>
      <c r="I562" s="56" t="inlineStr">
        <is>
          <t>0788</t>
        </is>
      </c>
      <c r="J562" s="56" t="inlineStr">
        <is>
          <t>158</t>
        </is>
      </c>
      <c r="K562" s="57" t="n">
        <v>626.124</v>
      </c>
      <c r="L562" s="56" t="inlineStr"/>
      <c r="M562" s="56" t="inlineStr">
        <is>
          <t>0</t>
        </is>
      </c>
      <c r="N562" s="56" t="inlineStr">
        <is>
          <t>Narasipur Auto Component(P)Ltd</t>
        </is>
      </c>
      <c r="O562" s="58" t="n">
        <v>27</v>
      </c>
      <c r="P562" s="59" t="inlineStr">
        <is>
          <t>0-30</t>
        </is>
      </c>
      <c r="Q562" s="56" t="inlineStr">
        <is>
          <t>Jitendra Kumar Sharma</t>
        </is>
      </c>
      <c r="U562" s="585" t="n">
        <v>3781596</v>
      </c>
      <c r="V562" t="n">
        <v>22.2</v>
      </c>
      <c r="W562" t="n">
        <v>0</v>
      </c>
      <c r="X562" t="n">
        <v>2</v>
      </c>
      <c r="Y562" t="n">
        <v>0.715</v>
      </c>
      <c r="Z562" t="inlineStr">
        <is>
          <t>TPT</t>
        </is>
      </c>
      <c r="AA562" t="inlineStr">
        <is>
          <t>PE</t>
        </is>
      </c>
      <c r="AB562" t="inlineStr">
        <is>
          <t>AW</t>
        </is>
      </c>
      <c r="AC562" t="inlineStr">
        <is>
          <t>22.23-0-2-ERW 1-PE</t>
        </is>
      </c>
      <c r="AD562" t="inlineStr">
        <is>
          <t>CTL</t>
        </is>
      </c>
      <c r="AF562" t="n">
        <v>0.712011014</v>
      </c>
    </row>
    <row r="563">
      <c r="A563" s="56" t="n">
        <v>2418610</v>
      </c>
      <c r="B563" s="56" t="inlineStr">
        <is>
          <t>TUB-O-C-AUT-AD-FC-25.40X3.500X04-05</t>
        </is>
      </c>
      <c r="C563" s="56" t="inlineStr">
        <is>
          <t>4B23CK2020</t>
        </is>
      </c>
      <c r="D563" s="57" t="n">
        <v>190.857</v>
      </c>
      <c r="E563" s="58" t="n">
        <v>1624</v>
      </c>
      <c r="F563" s="57" t="n">
        <v>1.624</v>
      </c>
      <c r="G563" s="56" t="inlineStr">
        <is>
          <t>KG</t>
        </is>
      </c>
      <c r="H563" s="56" t="inlineStr">
        <is>
          <t>R001</t>
        </is>
      </c>
      <c r="I563" s="56" t="inlineStr">
        <is>
          <t>0788</t>
        </is>
      </c>
      <c r="J563" s="56" t="inlineStr">
        <is>
          <t>173</t>
        </is>
      </c>
      <c r="K563" s="57" t="n">
        <v>858.8049999999999</v>
      </c>
      <c r="L563" s="56" t="inlineStr"/>
      <c r="M563" s="56" t="inlineStr">
        <is>
          <t>0</t>
        </is>
      </c>
      <c r="N563" s="56" t="inlineStr">
        <is>
          <t>Narasipur Auto Component(P)Ltd</t>
        </is>
      </c>
      <c r="O563" s="58" t="n">
        <v>39</v>
      </c>
      <c r="P563" s="59" t="inlineStr">
        <is>
          <t>31-60</t>
        </is>
      </c>
      <c r="Q563" s="56" t="inlineStr">
        <is>
          <t>Jitendra Kumar Sharma</t>
        </is>
      </c>
      <c r="U563" s="585" t="n">
        <v>3775108</v>
      </c>
      <c r="V563" t="n">
        <v>22.2</v>
      </c>
      <c r="W563" t="n">
        <v>0</v>
      </c>
      <c r="X563" t="n">
        <v>2</v>
      </c>
      <c r="Y563" t="n">
        <v>0.772</v>
      </c>
      <c r="Z563" t="inlineStr"/>
      <c r="AA563" t="inlineStr">
        <is>
          <t>PE</t>
        </is>
      </c>
      <c r="AB563" t="inlineStr">
        <is>
          <t>AW</t>
        </is>
      </c>
      <c r="AC563" t="inlineStr">
        <is>
          <t>22.23-0-2-ERW 1-PE</t>
        </is>
      </c>
      <c r="AD563" t="inlineStr">
        <is>
          <t>CTL</t>
        </is>
      </c>
      <c r="AE563" t="inlineStr">
        <is>
          <t>22.23-0-2-ERW 1-PE-0.772</t>
        </is>
      </c>
      <c r="AF563" t="n">
        <v>0.7687727312</v>
      </c>
    </row>
    <row r="564">
      <c r="A564" s="56" t="n">
        <v>2418610</v>
      </c>
      <c r="B564" s="56" t="inlineStr">
        <is>
          <t>TUB-O-C-AUT-AD-FC-25.40X3.500X04-05</t>
        </is>
      </c>
      <c r="C564" s="56" t="inlineStr">
        <is>
          <t>4B23CK2030</t>
        </is>
      </c>
      <c r="D564" s="57" t="n">
        <v>192.032</v>
      </c>
      <c r="E564" s="58" t="n">
        <v>1634</v>
      </c>
      <c r="F564" s="57" t="n">
        <v>1.634</v>
      </c>
      <c r="G564" s="56" t="inlineStr">
        <is>
          <t>KG</t>
        </is>
      </c>
      <c r="H564" s="56" t="inlineStr">
        <is>
          <t>R001</t>
        </is>
      </c>
      <c r="I564" s="56" t="inlineStr">
        <is>
          <t>0788</t>
        </is>
      </c>
      <c r="J564" s="56" t="inlineStr">
        <is>
          <t>174</t>
        </is>
      </c>
      <c r="K564" s="57" t="n">
        <v>864.093</v>
      </c>
      <c r="L564" s="56" t="inlineStr"/>
      <c r="M564" s="56" t="inlineStr">
        <is>
          <t>0</t>
        </is>
      </c>
      <c r="N564" s="56" t="inlineStr">
        <is>
          <t>Narasipur Auto Component(P)Ltd</t>
        </is>
      </c>
      <c r="O564" s="58" t="n">
        <v>40</v>
      </c>
      <c r="P564" s="59" t="inlineStr">
        <is>
          <t>31-60</t>
        </is>
      </c>
      <c r="Q564" s="56" t="inlineStr">
        <is>
          <t>Jitendra Kumar Sharma</t>
        </is>
      </c>
      <c r="U564" s="585" t="n">
        <v>1936862</v>
      </c>
      <c r="V564" t="n">
        <v>22.2</v>
      </c>
      <c r="W564" t="n">
        <v>0</v>
      </c>
      <c r="X564" t="n">
        <v>2</v>
      </c>
      <c r="Y564" t="n">
        <v>0.805</v>
      </c>
      <c r="Z564" t="inlineStr">
        <is>
          <t>D</t>
        </is>
      </c>
      <c r="AA564" t="inlineStr">
        <is>
          <t>PE</t>
        </is>
      </c>
      <c r="AB564" t="inlineStr">
        <is>
          <t>AW</t>
        </is>
      </c>
      <c r="AC564" t="inlineStr">
        <is>
          <t>22.23-0-2-ERW 1-PE</t>
        </is>
      </c>
      <c r="AD564" t="inlineStr">
        <is>
          <t>CTL</t>
        </is>
      </c>
      <c r="AE564" t="inlineStr">
        <is>
          <t>22.23-0-2-ERW 1-PE-0.805</t>
        </is>
      </c>
      <c r="AF564" t="n">
        <v>0.801634778</v>
      </c>
    </row>
    <row r="565">
      <c r="A565" s="56" t="n">
        <v>2418610</v>
      </c>
      <c r="B565" s="56" t="inlineStr">
        <is>
          <t>TUB-O-C-AUT-AD-FC-25.40X3.500X04-05</t>
        </is>
      </c>
      <c r="C565" s="56" t="inlineStr">
        <is>
          <t>4B23CK2040</t>
        </is>
      </c>
      <c r="D565" s="57" t="n">
        <v>189.799</v>
      </c>
      <c r="E565" s="58" t="n">
        <v>1615</v>
      </c>
      <c r="F565" s="57" t="n">
        <v>1.615</v>
      </c>
      <c r="G565" s="56" t="inlineStr">
        <is>
          <t>KG</t>
        </is>
      </c>
      <c r="H565" s="56" t="inlineStr">
        <is>
          <t>R001</t>
        </is>
      </c>
      <c r="I565" s="56" t="inlineStr">
        <is>
          <t>0788</t>
        </is>
      </c>
      <c r="J565" s="56" t="inlineStr">
        <is>
          <t>172</t>
        </is>
      </c>
      <c r="K565" s="57" t="n">
        <v>854.045</v>
      </c>
      <c r="L565" s="56" t="inlineStr"/>
      <c r="M565" s="56" t="inlineStr">
        <is>
          <t>0</t>
        </is>
      </c>
      <c r="N565" s="56" t="inlineStr">
        <is>
          <t>Narasipur Auto Component(P)Ltd</t>
        </is>
      </c>
      <c r="O565" s="58" t="n">
        <v>40</v>
      </c>
      <c r="P565" s="59" t="inlineStr">
        <is>
          <t>31-60</t>
        </is>
      </c>
      <c r="Q565" s="56" t="inlineStr">
        <is>
          <t>Jitendra Kumar Sharma</t>
        </is>
      </c>
      <c r="U565" s="585" t="n">
        <v>3694069</v>
      </c>
      <c r="V565" t="n">
        <v>22.2</v>
      </c>
      <c r="W565" t="n">
        <v>0</v>
      </c>
      <c r="X565" t="n">
        <v>2</v>
      </c>
      <c r="Y565" t="n">
        <v>0.805</v>
      </c>
      <c r="Z565" t="inlineStr">
        <is>
          <t>GR1</t>
        </is>
      </c>
      <c r="AA565" t="inlineStr">
        <is>
          <t>PE</t>
        </is>
      </c>
      <c r="AB565" t="inlineStr">
        <is>
          <t>AW</t>
        </is>
      </c>
      <c r="AC565" t="inlineStr">
        <is>
          <t>22.23-0-2-ERW 1-PE</t>
        </is>
      </c>
      <c r="AD565" t="inlineStr">
        <is>
          <t>CTL</t>
        </is>
      </c>
      <c r="AE565" t="inlineStr">
        <is>
          <t>22.23-0-2-ERW 1-PE-0.805</t>
        </is>
      </c>
      <c r="AF565" t="n">
        <v>0.801634778</v>
      </c>
    </row>
    <row r="566">
      <c r="A566" s="56" t="n">
        <v>2418610</v>
      </c>
      <c r="B566" s="56" t="inlineStr">
        <is>
          <t>TUB-O-C-AUT-AD-FC-25.40X3.500X04-05</t>
        </is>
      </c>
      <c r="C566" s="56" t="inlineStr">
        <is>
          <t>4B23CK2050</t>
        </is>
      </c>
      <c r="D566" s="57" t="n">
        <v>196.498</v>
      </c>
      <c r="E566" s="58" t="n">
        <v>1672</v>
      </c>
      <c r="F566" s="57" t="n">
        <v>1.672</v>
      </c>
      <c r="G566" s="56" t="inlineStr">
        <is>
          <t>KG</t>
        </is>
      </c>
      <c r="H566" s="56" t="inlineStr">
        <is>
          <t>R001</t>
        </is>
      </c>
      <c r="I566" s="56" t="inlineStr">
        <is>
          <t>0788</t>
        </is>
      </c>
      <c r="J566" s="56" t="inlineStr">
        <is>
          <t>177</t>
        </is>
      </c>
      <c r="K566" s="57" t="n">
        <v>884.188</v>
      </c>
      <c r="L566" s="56" t="inlineStr"/>
      <c r="M566" s="56" t="inlineStr">
        <is>
          <t>0</t>
        </is>
      </c>
      <c r="N566" s="56" t="inlineStr">
        <is>
          <t>Narasipur Auto Component(P)Ltd</t>
        </is>
      </c>
      <c r="O566" s="58" t="n">
        <v>40</v>
      </c>
      <c r="P566" s="59" t="inlineStr">
        <is>
          <t>31-60</t>
        </is>
      </c>
      <c r="Q566" s="56" t="inlineStr">
        <is>
          <t>Jitendra Kumar Sharma</t>
        </is>
      </c>
      <c r="U566" s="585" t="n">
        <v>437135</v>
      </c>
      <c r="V566" t="n">
        <v>22.2</v>
      </c>
      <c r="W566" t="n">
        <v>0</v>
      </c>
      <c r="X566" t="n">
        <v>2</v>
      </c>
      <c r="Y566" t="n">
        <v>0.8090000000000001</v>
      </c>
      <c r="Z566" t="inlineStr">
        <is>
          <t>TPT</t>
        </is>
      </c>
      <c r="AA566" t="inlineStr">
        <is>
          <t>PE</t>
        </is>
      </c>
      <c r="AB566" t="inlineStr">
        <is>
          <t>AW</t>
        </is>
      </c>
      <c r="AC566" t="inlineStr">
        <is>
          <t>22.23-0-2-ERW 1-PE</t>
        </is>
      </c>
      <c r="AD566" t="inlineStr">
        <is>
          <t>CTL</t>
        </is>
      </c>
      <c r="AE566" t="inlineStr">
        <is>
          <t>22.23-0-2-ERW 1-PE-0.809</t>
        </is>
      </c>
      <c r="AF566" t="n">
        <v>0.8056180564000001</v>
      </c>
    </row>
    <row r="567">
      <c r="A567" s="56" t="n">
        <v>2418610</v>
      </c>
      <c r="B567" s="56" t="inlineStr">
        <is>
          <t>TUB-O-C-AUT-AD-FC-25.40X3.500X04-05</t>
        </is>
      </c>
      <c r="C567" s="56" t="inlineStr">
        <is>
          <t>4B23CK2070</t>
        </is>
      </c>
      <c r="D567" s="57" t="n">
        <v>197.556</v>
      </c>
      <c r="E567" s="58" t="n">
        <v>1681</v>
      </c>
      <c r="F567" s="57" t="n">
        <v>1.681</v>
      </c>
      <c r="G567" s="56" t="inlineStr">
        <is>
          <t>KG</t>
        </is>
      </c>
      <c r="H567" s="56" t="inlineStr">
        <is>
          <t>R001</t>
        </is>
      </c>
      <c r="I567" s="56" t="inlineStr">
        <is>
          <t>0788</t>
        </is>
      </c>
      <c r="J567" s="56" t="inlineStr">
        <is>
          <t>179</t>
        </is>
      </c>
      <c r="K567" s="57" t="n">
        <v>888.948</v>
      </c>
      <c r="L567" s="56" t="inlineStr"/>
      <c r="M567" s="56" t="inlineStr">
        <is>
          <t>0</t>
        </is>
      </c>
      <c r="N567" s="56" t="inlineStr">
        <is>
          <t>Narasipur Auto Component(P)Ltd</t>
        </is>
      </c>
      <c r="O567" s="58" t="n">
        <v>40</v>
      </c>
      <c r="P567" s="59" t="inlineStr">
        <is>
          <t>31-60</t>
        </is>
      </c>
      <c r="Q567" s="56" t="inlineStr">
        <is>
          <t>Jitendra Kumar Sharma</t>
        </is>
      </c>
      <c r="U567" s="585" t="n">
        <v>319684</v>
      </c>
      <c r="V567" t="n">
        <v>22.2</v>
      </c>
      <c r="W567" t="n">
        <v>0</v>
      </c>
      <c r="X567" t="n">
        <v>2</v>
      </c>
      <c r="Y567" t="n">
        <v>0.8149999999999999</v>
      </c>
      <c r="Z567" t="inlineStr">
        <is>
          <t>TPT</t>
        </is>
      </c>
      <c r="AA567" t="inlineStr">
        <is>
          <t>PE</t>
        </is>
      </c>
      <c r="AB567" t="inlineStr">
        <is>
          <t>AW</t>
        </is>
      </c>
      <c r="AC567" t="inlineStr">
        <is>
          <t>22.23-0-2-ERW 1-PE</t>
        </is>
      </c>
      <c r="AD567" t="inlineStr">
        <is>
          <t>CTL</t>
        </is>
      </c>
      <c r="AE567" t="inlineStr">
        <is>
          <t>22.23-0-2-ERW 1-PE-0.815</t>
        </is>
      </c>
      <c r="AF567" t="n">
        <v>0.811592974</v>
      </c>
    </row>
    <row r="568">
      <c r="A568" s="56" t="n">
        <v>2418610</v>
      </c>
      <c r="B568" s="56" t="inlineStr">
        <is>
          <t>TUB-O-C-AUT-AD-FC-25.40X3.500X04-05</t>
        </is>
      </c>
      <c r="C568" s="56" t="inlineStr">
        <is>
          <t>4B23CK2080</t>
        </is>
      </c>
      <c r="D568" s="57" t="n">
        <v>190.857</v>
      </c>
      <c r="E568" s="58" t="n">
        <v>1624</v>
      </c>
      <c r="F568" s="57" t="n">
        <v>1.624</v>
      </c>
      <c r="G568" s="56" t="inlineStr">
        <is>
          <t>KG</t>
        </is>
      </c>
      <c r="H568" s="56" t="inlineStr">
        <is>
          <t>R001</t>
        </is>
      </c>
      <c r="I568" s="56" t="inlineStr">
        <is>
          <t>0788</t>
        </is>
      </c>
      <c r="J568" s="56" t="inlineStr">
        <is>
          <t>173</t>
        </is>
      </c>
      <c r="K568" s="57" t="n">
        <v>858.8049999999999</v>
      </c>
      <c r="L568" s="56" t="inlineStr"/>
      <c r="M568" s="56" t="inlineStr">
        <is>
          <t>0</t>
        </is>
      </c>
      <c r="N568" s="56" t="inlineStr">
        <is>
          <t>Narasipur Auto Component(P)Ltd</t>
        </is>
      </c>
      <c r="O568" s="58" t="n">
        <v>39</v>
      </c>
      <c r="P568" s="59" t="inlineStr">
        <is>
          <t>31-60</t>
        </is>
      </c>
      <c r="Q568" s="56" t="inlineStr">
        <is>
          <t>Jitendra Kumar Sharma</t>
        </is>
      </c>
      <c r="U568" s="585" t="n">
        <v>3781605</v>
      </c>
      <c r="V568" t="n">
        <v>22.2</v>
      </c>
      <c r="W568" t="n">
        <v>0</v>
      </c>
      <c r="X568" t="n">
        <v>2</v>
      </c>
      <c r="Y568" t="n">
        <v>0.8149999999999999</v>
      </c>
      <c r="Z568" t="inlineStr">
        <is>
          <t>TPT</t>
        </is>
      </c>
      <c r="AA568" t="inlineStr">
        <is>
          <t>PE</t>
        </is>
      </c>
      <c r="AB568" t="inlineStr">
        <is>
          <t>AW</t>
        </is>
      </c>
      <c r="AC568" t="inlineStr">
        <is>
          <t>22.23-0-2-ERW 1-PE</t>
        </is>
      </c>
      <c r="AD568" t="inlineStr">
        <is>
          <t>CTL</t>
        </is>
      </c>
      <c r="AE568" t="inlineStr">
        <is>
          <t>22.23-0-2-ERW 1-PE-0.815</t>
        </is>
      </c>
      <c r="AF568" t="n">
        <v>0.811592974</v>
      </c>
    </row>
    <row r="569">
      <c r="A569" s="56" t="n">
        <v>2418610</v>
      </c>
      <c r="B569" s="56" t="inlineStr">
        <is>
          <t>TUB-O-C-AUT-AD-FC-25.40X3.500X04-05</t>
        </is>
      </c>
      <c r="C569" s="56" t="inlineStr">
        <is>
          <t>4B23CK2090</t>
        </is>
      </c>
      <c r="D569" s="57" t="n">
        <v>184.275</v>
      </c>
      <c r="E569" s="58" t="n">
        <v>1568</v>
      </c>
      <c r="F569" s="57" t="n">
        <v>1.568</v>
      </c>
      <c r="G569" s="56" t="inlineStr">
        <is>
          <t>KG</t>
        </is>
      </c>
      <c r="H569" s="56" t="inlineStr">
        <is>
          <t>R001</t>
        </is>
      </c>
      <c r="I569" s="56" t="inlineStr">
        <is>
          <t>0788</t>
        </is>
      </c>
      <c r="J569" s="56" t="inlineStr">
        <is>
          <t>167</t>
        </is>
      </c>
      <c r="K569" s="57" t="n">
        <v>829.191</v>
      </c>
      <c r="L569" s="56" t="inlineStr"/>
      <c r="M569" s="56" t="inlineStr">
        <is>
          <t>0</t>
        </is>
      </c>
      <c r="N569" s="56" t="inlineStr">
        <is>
          <t>Narasipur Auto Component(P)Ltd</t>
        </is>
      </c>
      <c r="O569" s="58" t="n">
        <v>40</v>
      </c>
      <c r="P569" s="59" t="inlineStr">
        <is>
          <t>31-60</t>
        </is>
      </c>
      <c r="Q569" s="56" t="inlineStr">
        <is>
          <t>Jitendra Kumar Sharma</t>
        </is>
      </c>
      <c r="U569" s="585" t="n">
        <v>1140411</v>
      </c>
      <c r="V569" t="n">
        <v>22.2</v>
      </c>
      <c r="W569" t="n">
        <v>0</v>
      </c>
      <c r="X569" t="n">
        <v>2</v>
      </c>
      <c r="Y569" t="n">
        <v>0.851</v>
      </c>
      <c r="Z569" t="inlineStr"/>
      <c r="AA569" t="inlineStr">
        <is>
          <t>PE</t>
        </is>
      </c>
      <c r="AB569" t="inlineStr">
        <is>
          <t>AW</t>
        </is>
      </c>
      <c r="AC569" t="inlineStr">
        <is>
          <t>22.23-0-2-ERW 1-PE</t>
        </is>
      </c>
      <c r="AD569" t="inlineStr">
        <is>
          <t>CTL</t>
        </is>
      </c>
      <c r="AE569" t="inlineStr">
        <is>
          <t>22.23-0-2-ERW 1-PE-0.851</t>
        </is>
      </c>
      <c r="AF569" t="n">
        <v>0.8474424796</v>
      </c>
    </row>
    <row r="570">
      <c r="A570" s="56" t="n">
        <v>2418610</v>
      </c>
      <c r="B570" s="56" t="inlineStr">
        <is>
          <t>TUB-O-C-AUT-AD-FC-25.40X3.500X04-05</t>
        </is>
      </c>
      <c r="C570" s="56" t="inlineStr">
        <is>
          <t>4B2764960A</t>
        </is>
      </c>
      <c r="D570" s="57" t="n">
        <v>89.905</v>
      </c>
      <c r="E570" s="58" t="n">
        <v>765</v>
      </c>
      <c r="F570" s="57" t="n">
        <v>0.765</v>
      </c>
      <c r="G570" s="56" t="inlineStr">
        <is>
          <t>KG</t>
        </is>
      </c>
      <c r="H570" s="56" t="inlineStr">
        <is>
          <t>R001</t>
        </is>
      </c>
      <c r="I570" s="56" t="inlineStr">
        <is>
          <t>0788</t>
        </is>
      </c>
      <c r="J570" s="56" t="inlineStr">
        <is>
          <t>90</t>
        </is>
      </c>
      <c r="K570" s="57" t="n">
        <v>404.548</v>
      </c>
      <c r="L570" s="56" t="inlineStr"/>
      <c r="M570" s="56" t="inlineStr">
        <is>
          <t>0</t>
        </is>
      </c>
      <c r="N570" s="56" t="inlineStr">
        <is>
          <t>Narasipur Auto Component(P)Ltd</t>
        </is>
      </c>
      <c r="O570" s="58" t="n">
        <v>47</v>
      </c>
      <c r="P570" s="59" t="inlineStr">
        <is>
          <t>31-60</t>
        </is>
      </c>
      <c r="Q570" s="56" t="inlineStr">
        <is>
          <t>Jitendra Kumar Sharma</t>
        </is>
      </c>
      <c r="U570" s="585" t="n">
        <v>3673949</v>
      </c>
      <c r="V570" t="n">
        <v>22.2</v>
      </c>
      <c r="W570" t="n">
        <v>0</v>
      </c>
      <c r="X570" t="n">
        <v>2</v>
      </c>
      <c r="Y570" t="n">
        <v>0.851</v>
      </c>
      <c r="Z570" t="inlineStr">
        <is>
          <t>GR1</t>
        </is>
      </c>
      <c r="AA570" t="inlineStr">
        <is>
          <t>PE</t>
        </is>
      </c>
      <c r="AB570" t="inlineStr">
        <is>
          <t>AW</t>
        </is>
      </c>
      <c r="AC570" t="inlineStr">
        <is>
          <t>22.23-0-2-ERW 1-PE</t>
        </is>
      </c>
      <c r="AD570" t="inlineStr">
        <is>
          <t>CTL</t>
        </is>
      </c>
      <c r="AE570" t="inlineStr">
        <is>
          <t>22.23-0-2-ERW 1-PE-0.851</t>
        </is>
      </c>
      <c r="AF570" t="n">
        <v>0.8474424796</v>
      </c>
    </row>
    <row r="571">
      <c r="A571" s="56" t="n">
        <v>2418610</v>
      </c>
      <c r="B571" s="56" t="inlineStr">
        <is>
          <t>TUB-O-C-AUT-AD-FC-25.40X3.500X04-05</t>
        </is>
      </c>
      <c r="C571" s="56" t="inlineStr">
        <is>
          <t>4B2764960B</t>
        </is>
      </c>
      <c r="D571" s="57" t="n">
        <v>91.90300000000001</v>
      </c>
      <c r="E571" s="58" t="n">
        <v>782</v>
      </c>
      <c r="F571" s="57" t="n">
        <v>0.782</v>
      </c>
      <c r="G571" s="56" t="inlineStr">
        <is>
          <t>KG</t>
        </is>
      </c>
      <c r="H571" s="56" t="inlineStr">
        <is>
          <t>R001</t>
        </is>
      </c>
      <c r="I571" s="56" t="inlineStr">
        <is>
          <t>0788</t>
        </is>
      </c>
      <c r="J571" s="56" t="inlineStr">
        <is>
          <t>90</t>
        </is>
      </c>
      <c r="K571" s="57" t="n">
        <v>413.538</v>
      </c>
      <c r="L571" s="56" t="inlineStr"/>
      <c r="M571" s="56" t="inlineStr">
        <is>
          <t>0</t>
        </is>
      </c>
      <c r="N571" s="56" t="inlineStr">
        <is>
          <t>Narasipur Auto Component(P)Ltd</t>
        </is>
      </c>
      <c r="O571" s="58" t="n">
        <v>47</v>
      </c>
      <c r="P571" s="59" t="inlineStr">
        <is>
          <t>31-60</t>
        </is>
      </c>
      <c r="Q571" s="56" t="inlineStr">
        <is>
          <t>Jitendra Kumar Sharma</t>
        </is>
      </c>
      <c r="U571" s="585" t="n">
        <v>3508391</v>
      </c>
      <c r="V571" t="n">
        <v>22.2</v>
      </c>
      <c r="W571" t="n">
        <v>0</v>
      </c>
      <c r="X571" t="n">
        <v>2</v>
      </c>
      <c r="Y571" t="n">
        <v>0.862</v>
      </c>
      <c r="Z571" t="inlineStr"/>
      <c r="AA571" t="inlineStr">
        <is>
          <t>PE</t>
        </is>
      </c>
      <c r="AB571" t="inlineStr">
        <is>
          <t>AW</t>
        </is>
      </c>
      <c r="AC571" t="inlineStr">
        <is>
          <t>22.23-0-2-ERW 1-PE</t>
        </is>
      </c>
      <c r="AD571" t="inlineStr">
        <is>
          <t>CTL</t>
        </is>
      </c>
      <c r="AE571" t="inlineStr">
        <is>
          <t>22.23-0-2-ERW 1-PE-0.862</t>
        </is>
      </c>
      <c r="AF571" t="n">
        <v>0.8583964952000001</v>
      </c>
    </row>
    <row r="572">
      <c r="A572" s="56" t="n">
        <v>2418610</v>
      </c>
      <c r="B572" s="56" t="inlineStr">
        <is>
          <t>TUB-O-C-AUT-AD-FC-25.40X3.500X04-05</t>
        </is>
      </c>
      <c r="C572" s="56" t="inlineStr">
        <is>
          <t>4B2764960C</t>
        </is>
      </c>
      <c r="D572" s="57" t="n">
        <v>12.222</v>
      </c>
      <c r="E572" s="58" t="n">
        <v>104</v>
      </c>
      <c r="F572" s="57" t="n">
        <v>0.104</v>
      </c>
      <c r="G572" s="56" t="inlineStr">
        <is>
          <t>KG</t>
        </is>
      </c>
      <c r="H572" s="56" t="inlineStr">
        <is>
          <t>R001</t>
        </is>
      </c>
      <c r="I572" s="56" t="inlineStr">
        <is>
          <t>0788</t>
        </is>
      </c>
      <c r="J572" s="56" t="inlineStr">
        <is>
          <t>12</t>
        </is>
      </c>
      <c r="K572" s="57" t="n">
        <v>54.997</v>
      </c>
      <c r="L572" s="56" t="inlineStr"/>
      <c r="M572" s="56" t="inlineStr">
        <is>
          <t>0</t>
        </is>
      </c>
      <c r="N572" s="56" t="inlineStr">
        <is>
          <t>Narasipur Auto Component(P)Ltd</t>
        </is>
      </c>
      <c r="O572" s="58" t="n">
        <v>47</v>
      </c>
      <c r="P572" s="59" t="inlineStr">
        <is>
          <t>31-60</t>
        </is>
      </c>
      <c r="Q572" s="56" t="inlineStr">
        <is>
          <t>Jitendra Kumar Sharma</t>
        </is>
      </c>
      <c r="U572" s="585" t="n">
        <v>1361680</v>
      </c>
      <c r="V572" t="n">
        <v>22.2</v>
      </c>
      <c r="W572" t="n">
        <v>0</v>
      </c>
      <c r="X572" t="n">
        <v>2</v>
      </c>
      <c r="Y572" t="n">
        <v>0.862</v>
      </c>
      <c r="Z572" t="inlineStr"/>
      <c r="AA572" t="inlineStr">
        <is>
          <t>PE</t>
        </is>
      </c>
      <c r="AB572" t="inlineStr">
        <is>
          <t>AW</t>
        </is>
      </c>
      <c r="AC572" t="inlineStr">
        <is>
          <t>22.23-0-2-ERW 1-PE</t>
        </is>
      </c>
      <c r="AD572" t="inlineStr">
        <is>
          <t>CTL</t>
        </is>
      </c>
      <c r="AE572" t="inlineStr">
        <is>
          <t>22.23-0-2-ERW 1-PE-0.862</t>
        </is>
      </c>
      <c r="AF572" t="n">
        <v>0.8583964952000001</v>
      </c>
    </row>
    <row r="573">
      <c r="A573" s="56" t="n">
        <v>2418610</v>
      </c>
      <c r="B573" s="56" t="inlineStr">
        <is>
          <t>TUB-O-C-AUT-AD-FC-25.40X3.500X04-05</t>
        </is>
      </c>
      <c r="C573" s="56" t="inlineStr">
        <is>
          <t>4B27K38579</t>
        </is>
      </c>
      <c r="D573" s="57" t="n">
        <v>37.842</v>
      </c>
      <c r="E573" s="58" t="n">
        <v>322</v>
      </c>
      <c r="F573" s="57" t="n">
        <v>0.322</v>
      </c>
      <c r="G573" s="56" t="inlineStr">
        <is>
          <t>KG</t>
        </is>
      </c>
      <c r="H573" s="56" t="inlineStr">
        <is>
          <t>R001</t>
        </is>
      </c>
      <c r="I573" s="56" t="inlineStr">
        <is>
          <t>0788</t>
        </is>
      </c>
      <c r="J573" s="56" t="inlineStr">
        <is>
          <t>37</t>
        </is>
      </c>
      <c r="K573" s="57" t="n">
        <v>170.28</v>
      </c>
      <c r="L573" s="56" t="inlineStr"/>
      <c r="M573" s="56" t="inlineStr">
        <is>
          <t>0</t>
        </is>
      </c>
      <c r="N573" s="56" t="inlineStr">
        <is>
          <t>Narasipur Auto Component(P)Ltd</t>
        </is>
      </c>
      <c r="O573" s="58" t="n">
        <v>47</v>
      </c>
      <c r="P573" s="59" t="inlineStr">
        <is>
          <t>31-60</t>
        </is>
      </c>
      <c r="Q573" s="56" t="inlineStr">
        <is>
          <t>Jitendra Kumar Sharma</t>
        </is>
      </c>
      <c r="U573" s="585" t="n">
        <v>1455510</v>
      </c>
      <c r="V573" t="n">
        <v>22.2</v>
      </c>
      <c r="W573" t="n">
        <v>0</v>
      </c>
      <c r="X573" t="n">
        <v>2</v>
      </c>
      <c r="Y573" t="n">
        <v>1.325</v>
      </c>
      <c r="Z573" t="inlineStr"/>
      <c r="AA573" t="inlineStr">
        <is>
          <t>PE</t>
        </is>
      </c>
      <c r="AB573" t="inlineStr">
        <is>
          <t>AW</t>
        </is>
      </c>
      <c r="AC573" t="inlineStr">
        <is>
          <t>22.23-0-2-ERW 1-PE</t>
        </is>
      </c>
      <c r="AD573" t="inlineStr">
        <is>
          <t>CTL</t>
        </is>
      </c>
      <c r="AE573" t="inlineStr">
        <is>
          <t>22.23-0-2-ERW 1-PE-1.325</t>
        </is>
      </c>
      <c r="AF573" t="n">
        <v>1.31946097</v>
      </c>
    </row>
    <row r="574">
      <c r="A574" s="56" t="n">
        <v>2418610</v>
      </c>
      <c r="B574" s="56" t="inlineStr">
        <is>
          <t>TUB-O-C-AUT-AD-FC-25.40X3.500X04-05</t>
        </is>
      </c>
      <c r="C574" s="56" t="inlineStr">
        <is>
          <t>4B2865020A</t>
        </is>
      </c>
      <c r="D574" s="57" t="n">
        <v>96.839</v>
      </c>
      <c r="E574" s="58" t="n">
        <v>824</v>
      </c>
      <c r="F574" s="57" t="n">
        <v>0.824</v>
      </c>
      <c r="G574" s="56" t="inlineStr">
        <is>
          <t>KG</t>
        </is>
      </c>
      <c r="H574" s="56" t="inlineStr">
        <is>
          <t>R001</t>
        </is>
      </c>
      <c r="I574" s="56" t="inlineStr">
        <is>
          <t>0788</t>
        </is>
      </c>
      <c r="J574" s="56" t="inlineStr">
        <is>
          <t>96</t>
        </is>
      </c>
      <c r="K574" s="57" t="n">
        <v>435.748</v>
      </c>
      <c r="L574" s="56" t="inlineStr"/>
      <c r="M574" s="56" t="inlineStr">
        <is>
          <t>0</t>
        </is>
      </c>
      <c r="N574" s="56" t="inlineStr">
        <is>
          <t>Narasipur Auto Component(P)Ltd</t>
        </is>
      </c>
      <c r="O574" s="58" t="n">
        <v>46</v>
      </c>
      <c r="P574" s="59" t="inlineStr">
        <is>
          <t>31-60</t>
        </is>
      </c>
      <c r="Q574" s="56" t="inlineStr">
        <is>
          <t>Jitendra Kumar Sharma</t>
        </is>
      </c>
      <c r="U574" s="585" t="n">
        <v>3697417</v>
      </c>
      <c r="V574" t="n">
        <v>22.2</v>
      </c>
      <c r="W574" t="n">
        <v>0</v>
      </c>
      <c r="X574" t="n">
        <v>2</v>
      </c>
      <c r="Y574" t="n">
        <v>1.385</v>
      </c>
      <c r="Z574" t="inlineStr">
        <is>
          <t>TPT</t>
        </is>
      </c>
      <c r="AA574" t="inlineStr">
        <is>
          <t>PE</t>
        </is>
      </c>
      <c r="AB574" t="inlineStr">
        <is>
          <t>AW</t>
        </is>
      </c>
      <c r="AC574" t="inlineStr">
        <is>
          <t>22.23-0-2-ERW 1-PE</t>
        </is>
      </c>
      <c r="AD574" t="inlineStr">
        <is>
          <t>CTL</t>
        </is>
      </c>
      <c r="AE574" t="inlineStr">
        <is>
          <t>22.23-0-2-ERW 1-PE-1.385</t>
        </is>
      </c>
      <c r="AF574" t="n">
        <v>1.379210146</v>
      </c>
    </row>
    <row r="575">
      <c r="A575" s="56" t="n">
        <v>2418610</v>
      </c>
      <c r="B575" s="56" t="inlineStr">
        <is>
          <t>TUB-O-C-AUT-AD-FC-25.40X3.500X04-05</t>
        </is>
      </c>
      <c r="C575" s="56" t="inlineStr">
        <is>
          <t>4B2865020B</t>
        </is>
      </c>
      <c r="D575" s="57" t="n">
        <v>99.65900000000001</v>
      </c>
      <c r="E575" s="58" t="n">
        <v>848</v>
      </c>
      <c r="F575" s="57" t="n">
        <v>0.848</v>
      </c>
      <c r="G575" s="56" t="inlineStr">
        <is>
          <t>KG</t>
        </is>
      </c>
      <c r="H575" s="56" t="inlineStr">
        <is>
          <t>R001</t>
        </is>
      </c>
      <c r="I575" s="56" t="inlineStr">
        <is>
          <t>0788</t>
        </is>
      </c>
      <c r="J575" s="56" t="inlineStr">
        <is>
          <t>96</t>
        </is>
      </c>
      <c r="K575" s="57" t="n">
        <v>448.44</v>
      </c>
      <c r="L575" s="56" t="inlineStr"/>
      <c r="M575" s="56" t="inlineStr">
        <is>
          <t>0</t>
        </is>
      </c>
      <c r="N575" s="56" t="inlineStr">
        <is>
          <t>Narasipur Auto Component(P)Ltd</t>
        </is>
      </c>
      <c r="O575" s="58" t="n">
        <v>46</v>
      </c>
      <c r="P575" s="59" t="inlineStr">
        <is>
          <t>31-60</t>
        </is>
      </c>
      <c r="Q575" s="56" t="inlineStr">
        <is>
          <t>Jitendra Kumar Sharma</t>
        </is>
      </c>
      <c r="U575" s="585" t="n">
        <v>3500554</v>
      </c>
      <c r="V575" t="n">
        <v>22.2</v>
      </c>
      <c r="W575" t="n">
        <v>0</v>
      </c>
      <c r="X575" t="n">
        <v>2</v>
      </c>
      <c r="Y575" t="n">
        <v>5.1</v>
      </c>
      <c r="Z575" t="inlineStr"/>
      <c r="AA575" t="inlineStr">
        <is>
          <t>PE</t>
        </is>
      </c>
      <c r="AB575" t="inlineStr">
        <is>
          <t>AW</t>
        </is>
      </c>
      <c r="AC575" t="inlineStr">
        <is>
          <t>22.23-0-2-ERW 1-PE</t>
        </is>
      </c>
      <c r="AD575" t="inlineStr">
        <is>
          <t>LL</t>
        </is>
      </c>
      <c r="AE575" t="inlineStr">
        <is>
          <t>22.23-0-2-ERW 1-PE-1</t>
        </is>
      </c>
      <c r="AF575" t="n">
        <v>0.9958196</v>
      </c>
    </row>
    <row r="576">
      <c r="A576" s="56" t="n">
        <v>2418610</v>
      </c>
      <c r="B576" s="56" t="inlineStr">
        <is>
          <t>TUB-O-C-AUT-AD-FC-25.40X3.500X04-05</t>
        </is>
      </c>
      <c r="C576" s="56" t="inlineStr">
        <is>
          <t>4B28K38664</t>
        </is>
      </c>
      <c r="D576" s="57" t="n">
        <v>67.458</v>
      </c>
      <c r="E576" s="58" t="n">
        <v>574</v>
      </c>
      <c r="F576" s="57" t="n">
        <v>0.574</v>
      </c>
      <c r="G576" s="56" t="inlineStr">
        <is>
          <t>KG</t>
        </is>
      </c>
      <c r="H576" s="56" t="inlineStr">
        <is>
          <t>R001</t>
        </is>
      </c>
      <c r="I576" s="56" t="inlineStr">
        <is>
          <t>0788</t>
        </is>
      </c>
      <c r="J576" s="56" t="inlineStr">
        <is>
          <t>66</t>
        </is>
      </c>
      <c r="K576" s="57" t="n">
        <v>303.543</v>
      </c>
      <c r="L576" s="56" t="inlineStr"/>
      <c r="M576" s="56" t="inlineStr">
        <is>
          <t>0</t>
        </is>
      </c>
      <c r="N576" s="56" t="inlineStr">
        <is>
          <t>Narasipur Auto Component(P)Ltd</t>
        </is>
      </c>
      <c r="O576" s="58" t="n">
        <v>46</v>
      </c>
      <c r="P576" s="59" t="inlineStr">
        <is>
          <t>31-60</t>
        </is>
      </c>
      <c r="Q576" s="56" t="inlineStr">
        <is>
          <t>Jitendra Kumar Sharma</t>
        </is>
      </c>
      <c r="U576" s="585" t="n">
        <v>3568328</v>
      </c>
      <c r="V576" t="n">
        <v>22.2</v>
      </c>
      <c r="W576" t="n">
        <v>0</v>
      </c>
      <c r="X576" t="n">
        <v>2</v>
      </c>
      <c r="Y576" t="n">
        <v>5.39</v>
      </c>
      <c r="Z576" t="inlineStr"/>
      <c r="AA576" t="inlineStr">
        <is>
          <t>FC</t>
        </is>
      </c>
      <c r="AB576" t="inlineStr">
        <is>
          <t>AW</t>
        </is>
      </c>
      <c r="AC576" t="inlineStr">
        <is>
          <t>22.23-0-2-ERW 1-FC</t>
        </is>
      </c>
      <c r="AD576" t="inlineStr">
        <is>
          <t>LL</t>
        </is>
      </c>
      <c r="AE576" t="inlineStr">
        <is>
          <t>22.23-0-2-ERW 1-FC-1</t>
        </is>
      </c>
      <c r="AF576" t="n">
        <v>0.9958196</v>
      </c>
    </row>
    <row r="577">
      <c r="A577" s="56" t="n">
        <v>2418610</v>
      </c>
      <c r="B577" s="56" t="inlineStr">
        <is>
          <t>TUB-O-C-AUT-AD-FC-25.40X3.500X04-05</t>
        </is>
      </c>
      <c r="C577" s="56" t="inlineStr">
        <is>
          <t>4C0465320A</t>
        </is>
      </c>
      <c r="D577" s="57" t="n">
        <v>91.08</v>
      </c>
      <c r="E577" s="58" t="n">
        <v>775</v>
      </c>
      <c r="F577" s="57" t="n">
        <v>0.775</v>
      </c>
      <c r="G577" s="56" t="inlineStr">
        <is>
          <t>KG</t>
        </is>
      </c>
      <c r="H577" s="56" t="inlineStr">
        <is>
          <t>R001</t>
        </is>
      </c>
      <c r="I577" s="56" t="inlineStr">
        <is>
          <t>0788</t>
        </is>
      </c>
      <c r="J577" s="56" t="inlineStr">
        <is>
          <t>82</t>
        </is>
      </c>
      <c r="K577" s="57" t="n">
        <v>409.836</v>
      </c>
      <c r="L577" s="56" t="inlineStr"/>
      <c r="M577" s="56" t="inlineStr">
        <is>
          <t>0</t>
        </is>
      </c>
      <c r="N577" s="56" t="inlineStr">
        <is>
          <t>Narasipur Auto Component(P)Ltd</t>
        </is>
      </c>
      <c r="O577" s="58" t="n">
        <v>40</v>
      </c>
      <c r="P577" s="59" t="inlineStr">
        <is>
          <t>31-60</t>
        </is>
      </c>
      <c r="Q577" s="56" t="inlineStr">
        <is>
          <t>Jitendra Kumar Sharma</t>
        </is>
      </c>
      <c r="U577" s="585" t="n">
        <v>3500471</v>
      </c>
      <c r="V577" t="n">
        <v>22.2</v>
      </c>
      <c r="W577" t="n">
        <v>0</v>
      </c>
      <c r="X577" t="n">
        <v>2</v>
      </c>
      <c r="Y577" t="n">
        <v>5.4</v>
      </c>
      <c r="Z577" t="inlineStr"/>
      <c r="AA577" t="inlineStr">
        <is>
          <t>PE</t>
        </is>
      </c>
      <c r="AB577" t="inlineStr">
        <is>
          <t>AW</t>
        </is>
      </c>
      <c r="AC577" t="inlineStr">
        <is>
          <t>22.23-0-2-ERW 1-PE</t>
        </is>
      </c>
      <c r="AD577" t="inlineStr">
        <is>
          <t>LL</t>
        </is>
      </c>
      <c r="AE577" t="inlineStr">
        <is>
          <t>22.23-0-2-ERW 1-PE-1</t>
        </is>
      </c>
      <c r="AF577" t="n">
        <v>0.9958196</v>
      </c>
    </row>
    <row r="578">
      <c r="A578" s="56" t="n">
        <v>2418610</v>
      </c>
      <c r="B578" s="56" t="inlineStr">
        <is>
          <t>TUB-O-C-AUT-AD-FC-25.40X3.500X04-05</t>
        </is>
      </c>
      <c r="C578" s="56" t="inlineStr">
        <is>
          <t>4C0465320B</t>
        </is>
      </c>
      <c r="D578" s="57" t="n">
        <v>92.13800000000001</v>
      </c>
      <c r="E578" s="58" t="n">
        <v>784</v>
      </c>
      <c r="F578" s="57" t="n">
        <v>0.784</v>
      </c>
      <c r="G578" s="56" t="inlineStr">
        <is>
          <t>KG</t>
        </is>
      </c>
      <c r="H578" s="56" t="inlineStr">
        <is>
          <t>R001</t>
        </is>
      </c>
      <c r="I578" s="56" t="inlineStr">
        <is>
          <t>0788</t>
        </is>
      </c>
      <c r="J578" s="56" t="inlineStr">
        <is>
          <t>83</t>
        </is>
      </c>
      <c r="K578" s="57" t="n">
        <v>414.595</v>
      </c>
      <c r="L578" s="56" t="inlineStr"/>
      <c r="M578" s="56" t="inlineStr">
        <is>
          <t>0</t>
        </is>
      </c>
      <c r="N578" s="56" t="inlineStr">
        <is>
          <t>Narasipur Auto Component(P)Ltd</t>
        </is>
      </c>
      <c r="O578" s="58" t="n">
        <v>40</v>
      </c>
      <c r="P578" s="59" t="inlineStr">
        <is>
          <t>31-60</t>
        </is>
      </c>
      <c r="Q578" s="56" t="inlineStr">
        <is>
          <t>Jitendra Kumar Sharma</t>
        </is>
      </c>
      <c r="U578" s="585" t="n">
        <v>1196779</v>
      </c>
      <c r="V578" t="n">
        <v>22.2</v>
      </c>
      <c r="W578" t="n">
        <v>0</v>
      </c>
      <c r="X578" t="n">
        <v>2</v>
      </c>
      <c r="Y578" t="n">
        <v>5.4</v>
      </c>
      <c r="Z578" t="inlineStr"/>
      <c r="AA578" t="inlineStr">
        <is>
          <t>PE</t>
        </is>
      </c>
      <c r="AB578" t="inlineStr">
        <is>
          <t>AW</t>
        </is>
      </c>
      <c r="AC578" t="inlineStr">
        <is>
          <t>22.23-0-2-ERW 1-PE</t>
        </is>
      </c>
      <c r="AD578" t="inlineStr">
        <is>
          <t>LL</t>
        </is>
      </c>
      <c r="AE578" t="inlineStr">
        <is>
          <t>22.23-0-2-ERW 1-PE-1</t>
        </is>
      </c>
      <c r="AF578" t="n">
        <v>0.9958196</v>
      </c>
    </row>
    <row r="579">
      <c r="A579" s="56" t="n">
        <v>2418610</v>
      </c>
      <c r="B579" s="56" t="inlineStr">
        <is>
          <t>TUB-O-C-AUT-AD-FC-25.40X3.500X04-05</t>
        </is>
      </c>
      <c r="C579" s="56" t="inlineStr">
        <is>
          <t>4C0465320C</t>
        </is>
      </c>
      <c r="D579" s="57" t="n">
        <v>8.932</v>
      </c>
      <c r="E579" s="58" t="n">
        <v>76</v>
      </c>
      <c r="F579" s="57" t="n">
        <v>0.076</v>
      </c>
      <c r="G579" s="56" t="inlineStr">
        <is>
          <t>KG</t>
        </is>
      </c>
      <c r="H579" s="56" t="inlineStr">
        <is>
          <t>R001</t>
        </is>
      </c>
      <c r="I579" s="56" t="inlineStr">
        <is>
          <t>0788</t>
        </is>
      </c>
      <c r="J579" s="56" t="inlineStr">
        <is>
          <t>8</t>
        </is>
      </c>
      <c r="K579" s="57" t="n">
        <v>40.19</v>
      </c>
      <c r="L579" s="56" t="inlineStr"/>
      <c r="M579" s="56" t="inlineStr">
        <is>
          <t>0</t>
        </is>
      </c>
      <c r="N579" s="56" t="inlineStr">
        <is>
          <t>Narasipur Auto Component(P)Ltd</t>
        </is>
      </c>
      <c r="O579" s="58" t="n">
        <v>40</v>
      </c>
      <c r="P579" s="59" t="inlineStr">
        <is>
          <t>31-60</t>
        </is>
      </c>
      <c r="Q579" s="56" t="inlineStr">
        <is>
          <t>Jitendra Kumar Sharma</t>
        </is>
      </c>
      <c r="U579" s="585" t="n">
        <v>4272693</v>
      </c>
      <c r="V579" t="n">
        <v>22.2</v>
      </c>
      <c r="W579" t="n">
        <v>0</v>
      </c>
      <c r="X579" t="n">
        <v>2</v>
      </c>
      <c r="Y579" t="n">
        <v>5.95</v>
      </c>
      <c r="Z579" t="inlineStr">
        <is>
          <t>HROP</t>
        </is>
      </c>
      <c r="AA579" t="inlineStr">
        <is>
          <t>FC</t>
        </is>
      </c>
      <c r="AB579" t="inlineStr">
        <is>
          <t>AW</t>
        </is>
      </c>
      <c r="AC579" t="inlineStr">
        <is>
          <t>22.23-0-2-ERW 1-FC</t>
        </is>
      </c>
      <c r="AD579" t="inlineStr">
        <is>
          <t>LL</t>
        </is>
      </c>
      <c r="AE579" t="inlineStr">
        <is>
          <t>22.23-0-2-ERW 1-FC-1</t>
        </is>
      </c>
      <c r="AF579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580">
      <c r="A580" s="56" t="n">
        <v>3188792</v>
      </c>
      <c r="B580" s="56" t="inlineStr">
        <is>
          <t>TUB-O-C-AUT-AD-FC-16.00X2.800X04-06</t>
        </is>
      </c>
      <c r="C580" s="56" t="inlineStr">
        <is>
          <t>4C2166180A</t>
        </is>
      </c>
      <c r="D580" s="57" t="n">
        <v>241.72</v>
      </c>
      <c r="E580" s="58" t="n">
        <v>1102</v>
      </c>
      <c r="F580" s="57" t="n">
        <v>1.102</v>
      </c>
      <c r="G580" s="56" t="inlineStr">
        <is>
          <t>KG</t>
        </is>
      </c>
      <c r="H580" s="56" t="inlineStr">
        <is>
          <t>R001</t>
        </is>
      </c>
      <c r="I580" s="56" t="inlineStr">
        <is>
          <t>0788</t>
        </is>
      </c>
      <c r="J580" s="56" t="inlineStr">
        <is>
          <t>275</t>
        </is>
      </c>
      <c r="K580" s="57" t="n">
        <v>1208.598</v>
      </c>
      <c r="L580" s="56" t="inlineStr"/>
      <c r="M580" s="56" t="inlineStr">
        <is>
          <t>0</t>
        </is>
      </c>
      <c r="N580" s="56" t="inlineStr">
        <is>
          <t>Rajsriya Automotive Industries(P)</t>
        </is>
      </c>
      <c r="O580" s="58" t="n">
        <v>23</v>
      </c>
      <c r="P580" s="59" t="inlineStr">
        <is>
          <t>0-30</t>
        </is>
      </c>
      <c r="Q580" s="56" t="inlineStr">
        <is>
          <t>Apoorv</t>
        </is>
      </c>
      <c r="U580" t="n">
        <v>3905466</v>
      </c>
      <c r="V580" t="n">
        <v>22.2</v>
      </c>
      <c r="W580" t="n">
        <v>0</v>
      </c>
      <c r="X580" t="n">
        <v>2</v>
      </c>
      <c r="Y580" t="n">
        <v>5.951</v>
      </c>
      <c r="Z580" t="inlineStr"/>
      <c r="AA580" t="inlineStr">
        <is>
          <t>PE</t>
        </is>
      </c>
      <c r="AB580" t="inlineStr">
        <is>
          <t>AW</t>
        </is>
      </c>
      <c r="AC580" t="inlineStr">
        <is>
          <t>22.23-0-2-ERW 1-PE</t>
        </is>
      </c>
      <c r="AD580" t="inlineStr">
        <is>
          <t>LL</t>
        </is>
      </c>
      <c r="AE580" t="inlineStr">
        <is>
          <t>22.23-0-2-ERW 1-PE-1</t>
        </is>
      </c>
      <c r="AF580" t="n">
        <v>0.9958196</v>
      </c>
    </row>
    <row r="581">
      <c r="A581" s="56" t="n">
        <v>3188792</v>
      </c>
      <c r="B581" s="56" t="inlineStr">
        <is>
          <t>TUB-O-C-AUT-AD-FC-16.00X2.800X04-06</t>
        </is>
      </c>
      <c r="C581" s="56" t="inlineStr">
        <is>
          <t>4C2166180B</t>
        </is>
      </c>
      <c r="D581" s="57" t="n">
        <v>247.203</v>
      </c>
      <c r="E581" s="58" t="n">
        <v>1127</v>
      </c>
      <c r="F581" s="57" t="n">
        <v>1.127</v>
      </c>
      <c r="G581" s="56" t="inlineStr">
        <is>
          <t>KG</t>
        </is>
      </c>
      <c r="H581" s="56" t="inlineStr">
        <is>
          <t>R001</t>
        </is>
      </c>
      <c r="I581" s="56" t="inlineStr">
        <is>
          <t>0788</t>
        </is>
      </c>
      <c r="J581" s="56" t="inlineStr">
        <is>
          <t>275</t>
        </is>
      </c>
      <c r="K581" s="57" t="n">
        <v>1236.017</v>
      </c>
      <c r="L581" s="56" t="inlineStr"/>
      <c r="M581" s="56" t="inlineStr">
        <is>
          <t>0</t>
        </is>
      </c>
      <c r="N581" s="56" t="inlineStr">
        <is>
          <t>Rajsriya Automotive Industries(P)</t>
        </is>
      </c>
      <c r="O581" s="58" t="n">
        <v>23</v>
      </c>
      <c r="P581" s="59" t="inlineStr">
        <is>
          <t>0-30</t>
        </is>
      </c>
      <c r="Q581" s="56" t="inlineStr">
        <is>
          <t>Apoorv</t>
        </is>
      </c>
      <c r="U581" s="585" t="n">
        <v>3500134</v>
      </c>
      <c r="V581" t="n">
        <v>22.2</v>
      </c>
      <c r="W581" t="n">
        <v>0</v>
      </c>
      <c r="X581" t="n">
        <v>2</v>
      </c>
      <c r="Y581" t="n">
        <v>6</v>
      </c>
      <c r="Z581" t="inlineStr">
        <is>
          <t>TPT</t>
        </is>
      </c>
      <c r="AA581" t="inlineStr">
        <is>
          <t>PE</t>
        </is>
      </c>
      <c r="AB581" t="inlineStr">
        <is>
          <t>AW</t>
        </is>
      </c>
      <c r="AC581" t="inlineStr">
        <is>
          <t>22.23-0-2-ERW 1-PE</t>
        </is>
      </c>
      <c r="AD581" t="inlineStr">
        <is>
          <t>LL</t>
        </is>
      </c>
      <c r="AE581" t="inlineStr">
        <is>
          <t>22.23-0-2-ERW 1-PE-1</t>
        </is>
      </c>
      <c r="AF581" t="n">
        <v>0.9958196</v>
      </c>
    </row>
    <row r="582">
      <c r="A582" s="56" t="n">
        <v>3188792</v>
      </c>
      <c r="B582" s="56" t="inlineStr">
        <is>
          <t>TUB-O-C-AUT-AD-FC-16.00X2.800X04-06</t>
        </is>
      </c>
      <c r="C582" s="56" t="inlineStr">
        <is>
          <t>4C21K40242</t>
        </is>
      </c>
      <c r="D582" s="57" t="n">
        <v>38.605</v>
      </c>
      <c r="E582" s="58" t="n">
        <v>176</v>
      </c>
      <c r="F582" s="57" t="n">
        <v>0.176</v>
      </c>
      <c r="G582" s="56" t="inlineStr">
        <is>
          <t>KG</t>
        </is>
      </c>
      <c r="H582" s="56" t="inlineStr">
        <is>
          <t>R001</t>
        </is>
      </c>
      <c r="I582" s="56" t="inlineStr">
        <is>
          <t>0788</t>
        </is>
      </c>
      <c r="J582" s="56" t="inlineStr">
        <is>
          <t>43</t>
        </is>
      </c>
      <c r="K582" s="57" t="n">
        <v>193.025</v>
      </c>
      <c r="L582" s="56" t="inlineStr"/>
      <c r="M582" s="56" t="inlineStr">
        <is>
          <t>0</t>
        </is>
      </c>
      <c r="N582" s="56" t="inlineStr">
        <is>
          <t>Rajsriya Automotive Industries(P)</t>
        </is>
      </c>
      <c r="O582" s="58" t="n">
        <v>23</v>
      </c>
      <c r="P582" s="59" t="inlineStr">
        <is>
          <t>0-30</t>
        </is>
      </c>
      <c r="Q582" s="56" t="inlineStr">
        <is>
          <t>Apoorv</t>
        </is>
      </c>
      <c r="U582" s="585" t="n">
        <v>3499230</v>
      </c>
      <c r="V582" t="n">
        <v>22.2</v>
      </c>
      <c r="W582" t="n">
        <v>0</v>
      </c>
      <c r="X582" t="n">
        <v>2</v>
      </c>
      <c r="Y582" t="n">
        <v>6</v>
      </c>
      <c r="Z582" t="inlineStr"/>
      <c r="AA582" t="inlineStr">
        <is>
          <t>FC</t>
        </is>
      </c>
      <c r="AB582" t="inlineStr">
        <is>
          <t>AW</t>
        </is>
      </c>
      <c r="AC582" t="inlineStr">
        <is>
          <t>22.23-0-2-ERW 1-FC</t>
        </is>
      </c>
      <c r="AD582" t="inlineStr">
        <is>
          <t>LL</t>
        </is>
      </c>
      <c r="AE582" t="inlineStr">
        <is>
          <t>22.23-0-2-ERW 1-FC-1</t>
        </is>
      </c>
      <c r="AF582" t="n">
        <v>0.9958196</v>
      </c>
    </row>
    <row r="583">
      <c r="A583" s="56" t="n">
        <v>3188792</v>
      </c>
      <c r="B583" s="56" t="inlineStr">
        <is>
          <t>TUB-O-C-AUT-AD-FC-16.00X2.800X04-06</t>
        </is>
      </c>
      <c r="C583" s="56" t="inlineStr">
        <is>
          <t>4C2366290A</t>
        </is>
      </c>
      <c r="D583" s="57" t="n">
        <v>189.077</v>
      </c>
      <c r="E583" s="58" t="n">
        <v>862</v>
      </c>
      <c r="F583" s="57" t="n">
        <v>0.862</v>
      </c>
      <c r="G583" s="56" t="inlineStr">
        <is>
          <t>KG</t>
        </is>
      </c>
      <c r="H583" s="56" t="inlineStr">
        <is>
          <t>R001</t>
        </is>
      </c>
      <c r="I583" s="56" t="inlineStr">
        <is>
          <t>0788</t>
        </is>
      </c>
      <c r="J583" s="56" t="inlineStr">
        <is>
          <t>220</t>
        </is>
      </c>
      <c r="K583" s="57" t="n">
        <v>945.383</v>
      </c>
      <c r="L583" s="56" t="inlineStr"/>
      <c r="M583" s="56" t="inlineStr">
        <is>
          <t>0</t>
        </is>
      </c>
      <c r="N583" s="56" t="inlineStr">
        <is>
          <t>Rajsriya Automotive Industries(P)</t>
        </is>
      </c>
      <c r="O583" s="58" t="n">
        <v>21</v>
      </c>
      <c r="P583" s="59" t="inlineStr">
        <is>
          <t>0-30</t>
        </is>
      </c>
      <c r="Q583" s="56" t="inlineStr">
        <is>
          <t>Apoorv</t>
        </is>
      </c>
      <c r="U583" t="n">
        <v>3502494</v>
      </c>
      <c r="V583" t="n">
        <v>22.2</v>
      </c>
      <c r="W583" t="n">
        <v>0</v>
      </c>
      <c r="X583" t="n">
        <v>2</v>
      </c>
      <c r="Y583" t="n">
        <v>6.001</v>
      </c>
      <c r="Z583" t="inlineStr"/>
      <c r="AA583" t="inlineStr">
        <is>
          <t>FC</t>
        </is>
      </c>
      <c r="AB583" t="inlineStr">
        <is>
          <t>AW</t>
        </is>
      </c>
      <c r="AC583" t="inlineStr">
        <is>
          <t>22.23-0-2-ERW 2 MAHS-FC</t>
        </is>
      </c>
      <c r="AD583" t="inlineStr">
        <is>
          <t>LL</t>
        </is>
      </c>
      <c r="AE583" t="inlineStr">
        <is>
          <t>22.23-0-2-ERW 2 MAHS-FC-1</t>
        </is>
      </c>
      <c r="AF583" t="n">
        <v>0.9958196</v>
      </c>
    </row>
    <row r="584">
      <c r="A584" s="56" t="n">
        <v>3188792</v>
      </c>
      <c r="B584" s="56" t="inlineStr">
        <is>
          <t>TUB-O-C-AUT-AD-FC-16.00X2.800X04-06</t>
        </is>
      </c>
      <c r="C584" s="56" t="inlineStr">
        <is>
          <t>4C2366290B</t>
        </is>
      </c>
      <c r="D584" s="57" t="n">
        <v>175.916</v>
      </c>
      <c r="E584" s="58" t="n">
        <v>802</v>
      </c>
      <c r="F584" s="57" t="n">
        <v>0.802</v>
      </c>
      <c r="G584" s="56" t="inlineStr">
        <is>
          <t>KG</t>
        </is>
      </c>
      <c r="H584" s="56" t="inlineStr">
        <is>
          <t>R001</t>
        </is>
      </c>
      <c r="I584" s="56" t="inlineStr">
        <is>
          <t>0788</t>
        </is>
      </c>
      <c r="J584" s="56" t="inlineStr">
        <is>
          <t>200</t>
        </is>
      </c>
      <c r="K584" s="57" t="n">
        <v>879.579</v>
      </c>
      <c r="L584" s="56" t="inlineStr"/>
      <c r="M584" s="56" t="inlineStr">
        <is>
          <t>0</t>
        </is>
      </c>
      <c r="N584" s="56" t="inlineStr">
        <is>
          <t>Rajsriya Automotive Industries(P)</t>
        </is>
      </c>
      <c r="O584" s="58" t="n">
        <v>21</v>
      </c>
      <c r="P584" s="59" t="inlineStr">
        <is>
          <t>0-30</t>
        </is>
      </c>
      <c r="Q584" s="56" t="inlineStr">
        <is>
          <t>Apoorv</t>
        </is>
      </c>
      <c r="U584" s="585" t="n">
        <v>3502303</v>
      </c>
      <c r="V584" t="n">
        <v>22.2</v>
      </c>
      <c r="W584" t="n">
        <v>0</v>
      </c>
      <c r="X584" t="n">
        <v>2</v>
      </c>
      <c r="Y584" t="n">
        <v>6.15</v>
      </c>
      <c r="Z584" t="inlineStr"/>
      <c r="AA584" t="inlineStr">
        <is>
          <t>FC</t>
        </is>
      </c>
      <c r="AB584" t="inlineStr">
        <is>
          <t>AW</t>
        </is>
      </c>
      <c r="AC584" t="inlineStr">
        <is>
          <t>22.23-0-2-ERW 1-FC</t>
        </is>
      </c>
      <c r="AD584" t="inlineStr">
        <is>
          <t>LL</t>
        </is>
      </c>
      <c r="AE584" t="inlineStr">
        <is>
          <t>22.23-0-2-ERW 1-FC-1</t>
        </is>
      </c>
      <c r="AF584" t="n">
        <v>0.9958196</v>
      </c>
    </row>
    <row r="585">
      <c r="A585" s="56" t="n">
        <v>3188792</v>
      </c>
      <c r="B585" s="56" t="inlineStr">
        <is>
          <t>TUB-O-C-AUT-AD-FC-16.00X2.800X04-06</t>
        </is>
      </c>
      <c r="C585" s="56" t="inlineStr">
        <is>
          <t>4C2366290C</t>
        </is>
      </c>
      <c r="D585" s="57" t="n">
        <v>24.567</v>
      </c>
      <c r="E585" s="58" t="n">
        <v>112</v>
      </c>
      <c r="F585" s="57" t="n">
        <v>0.112</v>
      </c>
      <c r="G585" s="56" t="inlineStr">
        <is>
          <t>KG</t>
        </is>
      </c>
      <c r="H585" s="56" t="inlineStr">
        <is>
          <t>R001</t>
        </is>
      </c>
      <c r="I585" s="56" t="inlineStr">
        <is>
          <t>0788</t>
        </is>
      </c>
      <c r="J585" s="56" t="inlineStr">
        <is>
          <t>28</t>
        </is>
      </c>
      <c r="K585" s="57" t="n">
        <v>122.834</v>
      </c>
      <c r="L585" s="56" t="inlineStr"/>
      <c r="M585" s="56" t="inlineStr">
        <is>
          <t>0</t>
        </is>
      </c>
      <c r="N585" s="56" t="inlineStr">
        <is>
          <t>Rajsriya Automotive Industries(P)</t>
        </is>
      </c>
      <c r="O585" s="58" t="n">
        <v>21</v>
      </c>
      <c r="P585" s="59" t="inlineStr">
        <is>
          <t>0-30</t>
        </is>
      </c>
      <c r="Q585" s="56" t="inlineStr">
        <is>
          <t>Apoorv</t>
        </is>
      </c>
      <c r="U585" s="585" t="n">
        <v>3245308</v>
      </c>
      <c r="V585" t="n">
        <v>22.2</v>
      </c>
      <c r="W585" t="n">
        <v>0</v>
      </c>
      <c r="X585" t="n">
        <v>2</v>
      </c>
      <c r="Y585" t="n">
        <v>6.15</v>
      </c>
      <c r="Z585" t="inlineStr"/>
      <c r="AA585" t="inlineStr">
        <is>
          <t>FC</t>
        </is>
      </c>
      <c r="AB585" t="inlineStr">
        <is>
          <t>AW</t>
        </is>
      </c>
      <c r="AC585" t="inlineStr">
        <is>
          <t>22.23-0-2-ERW 1-FC</t>
        </is>
      </c>
      <c r="AD585" t="inlineStr">
        <is>
          <t>LL</t>
        </is>
      </c>
      <c r="AE585" t="inlineStr">
        <is>
          <t>22.23-0-2-ERW 1-FC-1</t>
        </is>
      </c>
      <c r="AF585" t="n">
        <v>0.9958196</v>
      </c>
    </row>
    <row r="586">
      <c r="A586" s="56" t="n">
        <v>3499608</v>
      </c>
      <c r="B586" s="56" t="inlineStr">
        <is>
          <t>TUB-O-N-AUT-AN-FC-70.00X3.200X6.00 HST</t>
        </is>
      </c>
      <c r="C586" s="56" t="inlineStr">
        <is>
          <t>4A24BK3030</t>
        </is>
      </c>
      <c r="D586" s="57" t="n">
        <v>61.966</v>
      </c>
      <c r="E586" s="58" t="n">
        <v>1960</v>
      </c>
      <c r="F586" s="57" t="n">
        <v>1.96</v>
      </c>
      <c r="G586" s="56" t="inlineStr">
        <is>
          <t>KG</t>
        </is>
      </c>
      <c r="H586" s="56" t="inlineStr">
        <is>
          <t>R001</t>
        </is>
      </c>
      <c r="I586" s="56" t="inlineStr">
        <is>
          <t>0788</t>
        </is>
      </c>
      <c r="J586" s="56" t="inlineStr">
        <is>
          <t>62</t>
        </is>
      </c>
      <c r="K586" s="57" t="n">
        <v>371.804</v>
      </c>
      <c r="L586" s="56" t="inlineStr"/>
      <c r="M586" s="56" t="inlineStr">
        <is>
          <t>0</t>
        </is>
      </c>
      <c r="N586" s="56" t="inlineStr">
        <is>
          <t>Neel Metal Products Limited</t>
        </is>
      </c>
      <c r="O586" s="58" t="n">
        <v>74</v>
      </c>
      <c r="P586" s="59" t="inlineStr">
        <is>
          <t>61-90</t>
        </is>
      </c>
      <c r="Q586" s="56" t="inlineStr">
        <is>
          <t>Apoorv</t>
        </is>
      </c>
      <c r="U586" s="585" t="n">
        <v>3686335</v>
      </c>
      <c r="V586" t="n">
        <v>22.2</v>
      </c>
      <c r="W586" t="n">
        <v>0</v>
      </c>
      <c r="X586" t="n">
        <v>2</v>
      </c>
      <c r="Y586" t="n">
        <v>6.151</v>
      </c>
      <c r="Z586" t="inlineStr"/>
      <c r="AA586" t="inlineStr">
        <is>
          <t>PE</t>
        </is>
      </c>
      <c r="AB586" t="inlineStr">
        <is>
          <t>AW</t>
        </is>
      </c>
      <c r="AC586" t="inlineStr">
        <is>
          <t>22.23-0-2-ERW 1-PE</t>
        </is>
      </c>
      <c r="AD586" t="inlineStr">
        <is>
          <t>LL</t>
        </is>
      </c>
      <c r="AE586" t="inlineStr">
        <is>
          <t>22.23-0-2-ERW 1-PE-1</t>
        </is>
      </c>
      <c r="AF586" t="n">
        <v>0.9958196</v>
      </c>
    </row>
    <row r="587">
      <c r="A587" s="56" t="n">
        <v>3499608</v>
      </c>
      <c r="B587" s="56" t="inlineStr">
        <is>
          <t>TUB-O-N-AUT-AN-FC-70.00X3.200X6.00 HST</t>
        </is>
      </c>
      <c r="C587" s="56" t="inlineStr">
        <is>
          <t>4A24BK3040</t>
        </is>
      </c>
      <c r="D587" s="57" t="n">
        <v>73.032</v>
      </c>
      <c r="E587" s="58" t="n">
        <v>2310</v>
      </c>
      <c r="F587" s="57" t="n">
        <v>2.31</v>
      </c>
      <c r="G587" s="56" t="inlineStr">
        <is>
          <t>KG</t>
        </is>
      </c>
      <c r="H587" s="56" t="inlineStr">
        <is>
          <t>R001</t>
        </is>
      </c>
      <c r="I587" s="56" t="inlineStr">
        <is>
          <t>0788</t>
        </is>
      </c>
      <c r="J587" s="56" t="inlineStr">
        <is>
          <t>72</t>
        </is>
      </c>
      <c r="K587" s="57" t="n">
        <v>438.197</v>
      </c>
      <c r="L587" s="56" t="inlineStr"/>
      <c r="M587" s="56" t="inlineStr">
        <is>
          <t>0</t>
        </is>
      </c>
      <c r="N587" s="56" t="inlineStr">
        <is>
          <t>Neel Metal Products Limited</t>
        </is>
      </c>
      <c r="O587" s="58" t="n">
        <v>74</v>
      </c>
      <c r="P587" s="59" t="inlineStr">
        <is>
          <t>61-90</t>
        </is>
      </c>
      <c r="Q587" s="56" t="inlineStr">
        <is>
          <t>Apoorv</t>
        </is>
      </c>
      <c r="U587" s="585" t="n">
        <v>3682068</v>
      </c>
      <c r="V587" t="n">
        <v>22.2</v>
      </c>
      <c r="W587" t="n">
        <v>0</v>
      </c>
      <c r="X587" t="n">
        <v>2</v>
      </c>
      <c r="Y587" t="n">
        <v>6.6</v>
      </c>
      <c r="Z587" t="inlineStr"/>
      <c r="AA587" t="inlineStr">
        <is>
          <t>PE</t>
        </is>
      </c>
      <c r="AB587" t="inlineStr">
        <is>
          <t>AW</t>
        </is>
      </c>
      <c r="AC587" t="inlineStr">
        <is>
          <t>22.23-0-2-ERW 1-PE</t>
        </is>
      </c>
      <c r="AD587" t="inlineStr">
        <is>
          <t>LL</t>
        </is>
      </c>
      <c r="AE587" t="inlineStr">
        <is>
          <t>22.23-0-2-ERW 1-PE-1</t>
        </is>
      </c>
      <c r="AF587" t="n">
        <v>0.9958196</v>
      </c>
    </row>
    <row r="588">
      <c r="A588" s="56" t="n">
        <v>3499608</v>
      </c>
      <c r="B588" s="56" t="inlineStr">
        <is>
          <t>TUB-O-N-AUT-AN-FC-70.00X3.200X6.00 HST</t>
        </is>
      </c>
      <c r="C588" s="56" t="inlineStr">
        <is>
          <t>4A24BK3050</t>
        </is>
      </c>
      <c r="D588" s="57" t="n">
        <v>68.985</v>
      </c>
      <c r="E588" s="58" t="n">
        <v>2182</v>
      </c>
      <c r="F588" s="57" t="n">
        <v>2.182</v>
      </c>
      <c r="G588" s="56" t="inlineStr">
        <is>
          <t>KG</t>
        </is>
      </c>
      <c r="H588" s="56" t="inlineStr">
        <is>
          <t>R001</t>
        </is>
      </c>
      <c r="I588" s="56" t="inlineStr">
        <is>
          <t>0788</t>
        </is>
      </c>
      <c r="J588" s="56" t="inlineStr">
        <is>
          <t>68</t>
        </is>
      </c>
      <c r="K588" s="57" t="n">
        <v>413.916</v>
      </c>
      <c r="L588" s="56" t="inlineStr"/>
      <c r="M588" s="56" t="inlineStr">
        <is>
          <t>0</t>
        </is>
      </c>
      <c r="N588" s="56" t="inlineStr">
        <is>
          <t>Neel Metal Products Limited</t>
        </is>
      </c>
      <c r="O588" s="58" t="n">
        <v>75</v>
      </c>
      <c r="P588" s="59" t="inlineStr">
        <is>
          <t>61-90</t>
        </is>
      </c>
      <c r="Q588" s="56" t="inlineStr">
        <is>
          <t>Apoorv</t>
        </is>
      </c>
      <c r="U588" s="585" t="n">
        <v>250198</v>
      </c>
      <c r="V588" t="n">
        <v>22.2</v>
      </c>
      <c r="W588" t="n">
        <v>0</v>
      </c>
      <c r="X588" t="n">
        <v>2.03</v>
      </c>
      <c r="Y588" t="n">
        <v>0.6</v>
      </c>
      <c r="Z588" t="inlineStr">
        <is>
          <t>TPT</t>
        </is>
      </c>
      <c r="AA588" t="inlineStr">
        <is>
          <t>PE</t>
        </is>
      </c>
      <c r="AB588" t="inlineStr">
        <is>
          <t>AW</t>
        </is>
      </c>
      <c r="AC588" t="inlineStr">
        <is>
          <t>22.23-0-2-ERW 1-PE</t>
        </is>
      </c>
      <c r="AD588" t="inlineStr">
        <is>
          <t>CTL</t>
        </is>
      </c>
      <c r="AE588" t="inlineStr">
        <is>
          <t>22.23-0-2-ERW 1-PE-0.6</t>
        </is>
      </c>
      <c r="AF588" t="n">
        <v>0.6055534619399998</v>
      </c>
    </row>
    <row r="589">
      <c r="A589" s="56" t="n">
        <v>3499608</v>
      </c>
      <c r="B589" s="56" t="inlineStr">
        <is>
          <t>TUB-O-N-AUT-AN-FC-70.00X3.200X6.00 HST</t>
        </is>
      </c>
      <c r="C589" s="56" t="inlineStr">
        <is>
          <t>4A24BK3060</t>
        </is>
      </c>
      <c r="D589" s="57" t="n">
        <v>68.985</v>
      </c>
      <c r="E589" s="58" t="n">
        <v>2182</v>
      </c>
      <c r="F589" s="57" t="n">
        <v>2.182</v>
      </c>
      <c r="G589" s="56" t="inlineStr">
        <is>
          <t>KG</t>
        </is>
      </c>
      <c r="H589" s="56" t="inlineStr">
        <is>
          <t>R001</t>
        </is>
      </c>
      <c r="I589" s="56" t="inlineStr">
        <is>
          <t>0788</t>
        </is>
      </c>
      <c r="J589" s="56" t="inlineStr">
        <is>
          <t>68</t>
        </is>
      </c>
      <c r="K589" s="57" t="n">
        <v>413.916</v>
      </c>
      <c r="L589" s="56" t="inlineStr"/>
      <c r="M589" s="56" t="inlineStr">
        <is>
          <t>0</t>
        </is>
      </c>
      <c r="N589" s="56" t="inlineStr">
        <is>
          <t>Neel Metal Products Limited</t>
        </is>
      </c>
      <c r="O589" s="58" t="n">
        <v>75</v>
      </c>
      <c r="P589" s="59" t="inlineStr">
        <is>
          <t>61-90</t>
        </is>
      </c>
      <c r="Q589" s="56" t="inlineStr">
        <is>
          <t>Apoorv</t>
        </is>
      </c>
      <c r="U589" s="585" t="n">
        <v>3484652</v>
      </c>
      <c r="V589" t="n">
        <v>22.2</v>
      </c>
      <c r="W589" t="n">
        <v>0</v>
      </c>
      <c r="X589" t="n">
        <v>2.3</v>
      </c>
      <c r="Y589" t="n">
        <v>0.225</v>
      </c>
      <c r="Z589" t="inlineStr"/>
      <c r="AA589" t="inlineStr">
        <is>
          <t>PE</t>
        </is>
      </c>
      <c r="AB589" t="inlineStr">
        <is>
          <t>AW</t>
        </is>
      </c>
      <c r="AC589" t="inlineStr">
        <is>
          <t>22.23-0-2.3-ERW 1-PE</t>
        </is>
      </c>
      <c r="AD589" t="inlineStr">
        <is>
          <t>CTL</t>
        </is>
      </c>
      <c r="AE589" t="inlineStr">
        <is>
          <t>22.23-0-2.3-ERW 1-PE-0.225</t>
        </is>
      </c>
      <c r="AF589" t="n">
        <v>0.25384156425</v>
      </c>
    </row>
    <row r="590">
      <c r="A590" s="56" t="n">
        <v>3499608</v>
      </c>
      <c r="B590" s="56" t="inlineStr">
        <is>
          <t>TUB-O-N-AUT-AN-FC-70.00X3.200X6.00 HST</t>
        </is>
      </c>
      <c r="C590" s="56" t="inlineStr">
        <is>
          <t>4A24BK3070</t>
        </is>
      </c>
      <c r="D590" s="57" t="n">
        <v>67.973</v>
      </c>
      <c r="E590" s="58" t="n">
        <v>2150</v>
      </c>
      <c r="F590" s="57" t="n">
        <v>2.15</v>
      </c>
      <c r="G590" s="56" t="inlineStr">
        <is>
          <t>KG</t>
        </is>
      </c>
      <c r="H590" s="56" t="inlineStr">
        <is>
          <t>R001</t>
        </is>
      </c>
      <c r="I590" s="56" t="inlineStr">
        <is>
          <t>0788</t>
        </is>
      </c>
      <c r="J590" s="56" t="inlineStr">
        <is>
          <t>67</t>
        </is>
      </c>
      <c r="K590" s="57" t="n">
        <v>407.846</v>
      </c>
      <c r="L590" s="56" t="inlineStr"/>
      <c r="M590" s="56" t="inlineStr">
        <is>
          <t>0</t>
        </is>
      </c>
      <c r="N590" s="56" t="inlineStr">
        <is>
          <t>Neel Metal Products Limited</t>
        </is>
      </c>
      <c r="O590" s="58" t="n">
        <v>16</v>
      </c>
      <c r="P590" s="59" t="inlineStr">
        <is>
          <t>0-30</t>
        </is>
      </c>
      <c r="Q590" s="56" t="inlineStr">
        <is>
          <t>Apoorv</t>
        </is>
      </c>
      <c r="U590" s="585" t="n">
        <v>3673948</v>
      </c>
      <c r="V590" t="n">
        <v>22.2</v>
      </c>
      <c r="W590" t="n">
        <v>0</v>
      </c>
      <c r="X590" t="n">
        <v>2.3</v>
      </c>
      <c r="Y590" t="n">
        <v>0.245</v>
      </c>
      <c r="Z590" t="inlineStr">
        <is>
          <t>GR1</t>
        </is>
      </c>
      <c r="AA590" t="inlineStr">
        <is>
          <t>PE</t>
        </is>
      </c>
      <c r="AB590" t="inlineStr">
        <is>
          <t>AW</t>
        </is>
      </c>
      <c r="AC590" t="inlineStr">
        <is>
          <t>22.23-0-2.3-ERW 1-PE</t>
        </is>
      </c>
      <c r="AD590" t="inlineStr">
        <is>
          <t>CTL</t>
        </is>
      </c>
      <c r="AE590" t="inlineStr">
        <is>
          <t>22.23-0-2.3-ERW 1-PE-0.245</t>
        </is>
      </c>
      <c r="AF590" t="n">
        <v>0.2764052588499999</v>
      </c>
    </row>
    <row r="591">
      <c r="A591" s="56" t="n">
        <v>3499608</v>
      </c>
      <c r="B591" s="56" t="inlineStr">
        <is>
          <t>TUB-O-N-AUT-AN-FC-70.00X3.200X6.00 HST</t>
        </is>
      </c>
      <c r="C591" s="56" t="inlineStr">
        <is>
          <t>4A24BK3080</t>
        </is>
      </c>
      <c r="D591" s="57" t="n">
        <v>69.997</v>
      </c>
      <c r="E591" s="58" t="n">
        <v>2214</v>
      </c>
      <c r="F591" s="57" t="n">
        <v>2.214</v>
      </c>
      <c r="G591" s="56" t="inlineStr">
        <is>
          <t>KG</t>
        </is>
      </c>
      <c r="H591" s="56" t="inlineStr">
        <is>
          <t>R001</t>
        </is>
      </c>
      <c r="I591" s="56" t="inlineStr">
        <is>
          <t>0788</t>
        </is>
      </c>
      <c r="J591" s="56" t="inlineStr">
        <is>
          <t>69</t>
        </is>
      </c>
      <c r="K591" s="57" t="n">
        <v>419.986</v>
      </c>
      <c r="L591" s="56" t="inlineStr"/>
      <c r="M591" s="56" t="inlineStr">
        <is>
          <t>0</t>
        </is>
      </c>
      <c r="N591" s="56" t="inlineStr">
        <is>
          <t>Neel Metal Products Limited</t>
        </is>
      </c>
      <c r="O591" s="58" t="n">
        <v>16</v>
      </c>
      <c r="P591" s="59" t="inlineStr">
        <is>
          <t>0-30</t>
        </is>
      </c>
      <c r="Q591" s="56" t="inlineStr">
        <is>
          <t>Apoorv</t>
        </is>
      </c>
      <c r="U591" s="585" t="n">
        <v>3508156</v>
      </c>
      <c r="V591" t="n">
        <v>22.2</v>
      </c>
      <c r="W591" t="n">
        <v>0</v>
      </c>
      <c r="X591" t="n">
        <v>2.3</v>
      </c>
      <c r="Y591" t="n">
        <v>0.281</v>
      </c>
      <c r="Z591" t="inlineStr"/>
      <c r="AA591" t="inlineStr">
        <is>
          <t>PE</t>
        </is>
      </c>
      <c r="AB591" t="inlineStr">
        <is>
          <t>AW</t>
        </is>
      </c>
      <c r="AC591" t="inlineStr">
        <is>
          <t>22.23-0-2.3-ERW 1-PE</t>
        </is>
      </c>
      <c r="AD591" t="inlineStr">
        <is>
          <t>CTL</t>
        </is>
      </c>
      <c r="AE591" t="inlineStr">
        <is>
          <t>22.23-0-2.3-ERW 1-PE-0.281</t>
        </is>
      </c>
      <c r="AF591" t="n">
        <v>0.31701990913</v>
      </c>
    </row>
    <row r="592">
      <c r="A592" s="56" t="n">
        <v>3499608</v>
      </c>
      <c r="B592" s="56" t="inlineStr">
        <is>
          <t>TUB-O-N-AUT-AN-FC-70.00X3.200X6.00 HST</t>
        </is>
      </c>
      <c r="C592" s="56" t="inlineStr">
        <is>
          <t>4A24BK3090</t>
        </is>
      </c>
      <c r="D592" s="57" t="n">
        <v>62.883</v>
      </c>
      <c r="E592" s="58" t="n">
        <v>1989</v>
      </c>
      <c r="F592" s="57" t="n">
        <v>1.989</v>
      </c>
      <c r="G592" s="56" t="inlineStr">
        <is>
          <t>KG</t>
        </is>
      </c>
      <c r="H592" s="56" t="inlineStr">
        <is>
          <t>R001</t>
        </is>
      </c>
      <c r="I592" s="56" t="inlineStr">
        <is>
          <t>0788</t>
        </is>
      </c>
      <c r="J592" s="56" t="inlineStr">
        <is>
          <t>62</t>
        </is>
      </c>
      <c r="K592" s="57" t="n">
        <v>377.305</v>
      </c>
      <c r="L592" s="56" t="inlineStr"/>
      <c r="M592" s="56" t="inlineStr">
        <is>
          <t>0</t>
        </is>
      </c>
      <c r="N592" s="56" t="inlineStr">
        <is>
          <t>Neel Metal Products Limited</t>
        </is>
      </c>
      <c r="O592" s="58" t="n">
        <v>16</v>
      </c>
      <c r="P592" s="59" t="inlineStr">
        <is>
          <t>0-30</t>
        </is>
      </c>
      <c r="Q592" s="56" t="inlineStr">
        <is>
          <t>Apoorv</t>
        </is>
      </c>
      <c r="U592" s="585" t="n">
        <v>1333188</v>
      </c>
      <c r="V592" t="n">
        <v>22.2</v>
      </c>
      <c r="W592" t="n">
        <v>0</v>
      </c>
      <c r="X592" t="n">
        <v>2.3</v>
      </c>
      <c r="Y592" t="n">
        <v>0.281</v>
      </c>
      <c r="Z592" t="inlineStr"/>
      <c r="AA592" t="inlineStr">
        <is>
          <t>PE</t>
        </is>
      </c>
      <c r="AB592" t="inlineStr">
        <is>
          <t>AW</t>
        </is>
      </c>
      <c r="AC592" t="inlineStr">
        <is>
          <t>22.23-0-2.3-ERW 1-PE</t>
        </is>
      </c>
      <c r="AD592" t="inlineStr">
        <is>
          <t>CTL</t>
        </is>
      </c>
      <c r="AE592" t="inlineStr">
        <is>
          <t>22.23-0-2.3-ERW 1-PE-0.281</t>
        </is>
      </c>
      <c r="AF592" t="n">
        <v>0.31701990913</v>
      </c>
    </row>
    <row r="593">
      <c r="A593" s="56" t="n">
        <v>3499608</v>
      </c>
      <c r="B593" s="56" t="inlineStr">
        <is>
          <t>TUB-O-N-AUT-AN-FC-70.00X3.200X6.00 HST</t>
        </is>
      </c>
      <c r="C593" s="56" t="inlineStr">
        <is>
          <t>4A24BK3100</t>
        </is>
      </c>
      <c r="D593" s="57" t="n">
        <v>74.044</v>
      </c>
      <c r="E593" s="58" t="n">
        <v>2342</v>
      </c>
      <c r="F593" s="57" t="n">
        <v>2.342</v>
      </c>
      <c r="G593" s="56" t="inlineStr">
        <is>
          <t>KG</t>
        </is>
      </c>
      <c r="H593" s="56" t="inlineStr">
        <is>
          <t>R001</t>
        </is>
      </c>
      <c r="I593" s="56" t="inlineStr">
        <is>
          <t>0788</t>
        </is>
      </c>
      <c r="J593" s="56" t="inlineStr">
        <is>
          <t>73</t>
        </is>
      </c>
      <c r="K593" s="57" t="n">
        <v>444.267</v>
      </c>
      <c r="L593" s="56" t="inlineStr"/>
      <c r="M593" s="56" t="inlineStr">
        <is>
          <t>0</t>
        </is>
      </c>
      <c r="N593" s="56" t="inlineStr">
        <is>
          <t>Neel Metal Products Limited</t>
        </is>
      </c>
      <c r="O593" s="58" t="n">
        <v>16</v>
      </c>
      <c r="P593" s="59" t="inlineStr">
        <is>
          <t>0-30</t>
        </is>
      </c>
      <c r="Q593" s="56" t="inlineStr">
        <is>
          <t>Apoorv</t>
        </is>
      </c>
      <c r="U593" s="585" t="n">
        <v>1364720</v>
      </c>
      <c r="V593" t="n">
        <v>22.2</v>
      </c>
      <c r="W593" t="n">
        <v>0</v>
      </c>
      <c r="X593" t="n">
        <v>2.3</v>
      </c>
      <c r="Y593" t="n">
        <v>0.35</v>
      </c>
      <c r="Z593" t="inlineStr"/>
      <c r="AA593" t="inlineStr">
        <is>
          <t>PE</t>
        </is>
      </c>
      <c r="AB593" t="inlineStr">
        <is>
          <t>AW</t>
        </is>
      </c>
      <c r="AC593" t="inlineStr">
        <is>
          <t>22.23-0-2.3-ERW 1-PE</t>
        </is>
      </c>
      <c r="AD593" t="inlineStr">
        <is>
          <t>CTL</t>
        </is>
      </c>
      <c r="AE593" t="inlineStr">
        <is>
          <t>22.23-0-2.3-ERW 1-PE-0.35</t>
        </is>
      </c>
      <c r="AF593" t="n">
        <v>0.3948646554999999</v>
      </c>
    </row>
    <row r="594">
      <c r="A594" s="56" t="n">
        <v>3499608</v>
      </c>
      <c r="B594" s="56" t="inlineStr">
        <is>
          <t>TUB-O-N-AUT-AN-FC-70.00X3.200X6.00 HST</t>
        </is>
      </c>
      <c r="C594" s="56" t="inlineStr">
        <is>
          <t>4B03AK4070</t>
        </is>
      </c>
      <c r="D594" s="57" t="n">
        <v>41.574</v>
      </c>
      <c r="E594" s="58" t="n">
        <v>1315</v>
      </c>
      <c r="F594" s="57" t="n">
        <v>1.315</v>
      </c>
      <c r="G594" s="56" t="inlineStr">
        <is>
          <t>KG</t>
        </is>
      </c>
      <c r="H594" s="56" t="inlineStr">
        <is>
          <t>R001</t>
        </is>
      </c>
      <c r="I594" s="56" t="inlineStr">
        <is>
          <t>0788</t>
        </is>
      </c>
      <c r="J594" s="56" t="inlineStr">
        <is>
          <t>41</t>
        </is>
      </c>
      <c r="K594" s="57" t="n">
        <v>249.45</v>
      </c>
      <c r="L594" s="56" t="inlineStr"/>
      <c r="M594" s="56" t="inlineStr">
        <is>
          <t>0</t>
        </is>
      </c>
      <c r="N594" s="56" t="inlineStr">
        <is>
          <t>Neel Metal Products Limited</t>
        </is>
      </c>
      <c r="O594" s="58" t="n">
        <v>64</v>
      </c>
      <c r="P594" s="59" t="inlineStr">
        <is>
          <t>61-90</t>
        </is>
      </c>
      <c r="Q594" s="56" t="inlineStr">
        <is>
          <t>Apoorv</t>
        </is>
      </c>
      <c r="U594" s="585" t="n">
        <v>1241174</v>
      </c>
      <c r="V594" t="n">
        <v>22.2</v>
      </c>
      <c r="W594" t="n">
        <v>0</v>
      </c>
      <c r="X594" t="n">
        <v>2.3</v>
      </c>
      <c r="Y594" t="n">
        <v>0.37</v>
      </c>
      <c r="Z594" t="inlineStr"/>
      <c r="AA594" t="inlineStr">
        <is>
          <t>PE</t>
        </is>
      </c>
      <c r="AB594" t="inlineStr">
        <is>
          <t>AW</t>
        </is>
      </c>
      <c r="AC594" t="inlineStr">
        <is>
          <t>22.23-0-2.3-ERW 1-PE</t>
        </is>
      </c>
      <c r="AD594" t="inlineStr">
        <is>
          <t>CTL</t>
        </is>
      </c>
      <c r="AE594" t="inlineStr">
        <is>
          <t>22.23-0-2.3-ERW 1-PE-0.37</t>
        </is>
      </c>
      <c r="AF594" t="n">
        <v>0.4174283501</v>
      </c>
    </row>
    <row r="595">
      <c r="A595" s="56" t="n">
        <v>3499608</v>
      </c>
      <c r="B595" s="56" t="inlineStr">
        <is>
          <t>TUB-O-N-AUT-AN-FC-70.00X3.200X6.00 HST</t>
        </is>
      </c>
      <c r="C595" s="56" t="inlineStr">
        <is>
          <t>4B03AK4080</t>
        </is>
      </c>
      <c r="D595" s="57" t="n">
        <v>60.86</v>
      </c>
      <c r="E595" s="58" t="n">
        <v>1925</v>
      </c>
      <c r="F595" s="57" t="n">
        <v>1.925</v>
      </c>
      <c r="G595" s="56" t="inlineStr">
        <is>
          <t>KG</t>
        </is>
      </c>
      <c r="H595" s="56" t="inlineStr">
        <is>
          <t>R001</t>
        </is>
      </c>
      <c r="I595" s="56" t="inlineStr">
        <is>
          <t>0788</t>
        </is>
      </c>
      <c r="J595" s="56" t="inlineStr">
        <is>
          <t>60</t>
        </is>
      </c>
      <c r="K595" s="57" t="n">
        <v>365.164</v>
      </c>
      <c r="L595" s="56" t="inlineStr"/>
      <c r="M595" s="56" t="inlineStr">
        <is>
          <t>0</t>
        </is>
      </c>
      <c r="N595" s="56" t="inlineStr">
        <is>
          <t>Neel Metal Products Limited</t>
        </is>
      </c>
      <c r="O595" s="58" t="n">
        <v>64</v>
      </c>
      <c r="P595" s="59" t="inlineStr">
        <is>
          <t>61-90</t>
        </is>
      </c>
      <c r="Q595" s="56" t="inlineStr">
        <is>
          <t>Apoorv</t>
        </is>
      </c>
      <c r="U595" s="585" t="n">
        <v>3781975</v>
      </c>
      <c r="V595" t="n">
        <v>22.2</v>
      </c>
      <c r="W595" t="n">
        <v>0</v>
      </c>
      <c r="X595" t="n">
        <v>2.3</v>
      </c>
      <c r="Y595" t="n">
        <v>0.405</v>
      </c>
      <c r="Z595" t="inlineStr">
        <is>
          <t>NORMAL</t>
        </is>
      </c>
      <c r="AA595" t="inlineStr">
        <is>
          <t>PE</t>
        </is>
      </c>
      <c r="AB595" t="inlineStr">
        <is>
          <t>AW</t>
        </is>
      </c>
      <c r="AC595" t="inlineStr">
        <is>
          <t>22.23-0-2.3-ERW 1-PE</t>
        </is>
      </c>
      <c r="AD595" t="inlineStr">
        <is>
          <t>CTL</t>
        </is>
      </c>
      <c r="AF595" t="n">
        <v>0.45691481565</v>
      </c>
    </row>
    <row r="596">
      <c r="A596" s="56" t="n">
        <v>3499608</v>
      </c>
      <c r="B596" s="56" t="inlineStr">
        <is>
          <t>TUB-O-N-AUT-AN-FC-70.00X3.200X6.00 HST</t>
        </is>
      </c>
      <c r="C596" s="56" t="inlineStr">
        <is>
          <t>4B03AK4090</t>
        </is>
      </c>
      <c r="D596" s="57" t="n">
        <v>44.989</v>
      </c>
      <c r="E596" s="58" t="n">
        <v>1423</v>
      </c>
      <c r="F596" s="57" t="n">
        <v>1.423</v>
      </c>
      <c r="G596" s="56" t="inlineStr">
        <is>
          <t>KG</t>
        </is>
      </c>
      <c r="H596" s="56" t="inlineStr">
        <is>
          <t>R001</t>
        </is>
      </c>
      <c r="I596" s="56" t="inlineStr">
        <is>
          <t>0788</t>
        </is>
      </c>
      <c r="J596" s="56" t="inlineStr">
        <is>
          <t>45</t>
        </is>
      </c>
      <c r="K596" s="57" t="n">
        <v>269.937</v>
      </c>
      <c r="L596" s="56" t="inlineStr"/>
      <c r="M596" s="56" t="inlineStr">
        <is>
          <t>0</t>
        </is>
      </c>
      <c r="N596" s="56" t="inlineStr">
        <is>
          <t>Neel Metal Products Limited</t>
        </is>
      </c>
      <c r="O596" s="58" t="n">
        <v>64</v>
      </c>
      <c r="P596" s="59" t="inlineStr">
        <is>
          <t>61-90</t>
        </is>
      </c>
      <c r="Q596" s="56" t="inlineStr">
        <is>
          <t>Apoorv</t>
        </is>
      </c>
      <c r="U596" s="585" t="n">
        <v>3087645</v>
      </c>
      <c r="V596" t="n">
        <v>22.2</v>
      </c>
      <c r="W596" t="n">
        <v>0</v>
      </c>
      <c r="X596" t="n">
        <v>2.3</v>
      </c>
      <c r="Y596" t="n">
        <v>0.425</v>
      </c>
      <c r="Z596" t="inlineStr"/>
      <c r="AA596" t="inlineStr">
        <is>
          <t>PE</t>
        </is>
      </c>
      <c r="AB596" t="inlineStr">
        <is>
          <t>AW</t>
        </is>
      </c>
      <c r="AC596" t="inlineStr">
        <is>
          <t>22.23-0-2.3-ERW 1-PE</t>
        </is>
      </c>
      <c r="AD596" t="inlineStr">
        <is>
          <t>CTL</t>
        </is>
      </c>
      <c r="AE596" t="inlineStr">
        <is>
          <t>22.23-0-2.3-ERW 1-PE-0.425</t>
        </is>
      </c>
      <c r="AF596" t="n">
        <v>0.4794785102499999</v>
      </c>
    </row>
    <row r="597">
      <c r="A597" s="56" t="n">
        <v>3500641</v>
      </c>
      <c r="B597" s="56" t="inlineStr">
        <is>
          <t>TUB-S-AW-SHS-50.0X50.0X1.6X6.1210BSVIHDP</t>
        </is>
      </c>
      <c r="C597" s="56" t="inlineStr">
        <is>
          <t>4C28AK4030</t>
        </is>
      </c>
      <c r="D597" s="57" t="n">
        <v>120.768</v>
      </c>
      <c r="E597" s="58" t="n">
        <v>1691</v>
      </c>
      <c r="F597" s="57" t="n">
        <v>1.691</v>
      </c>
      <c r="G597" s="56" t="inlineStr">
        <is>
          <t>KG</t>
        </is>
      </c>
      <c r="H597" s="56" t="inlineStr">
        <is>
          <t>R001</t>
        </is>
      </c>
      <c r="I597" s="56" t="inlineStr">
        <is>
          <t>0788</t>
        </is>
      </c>
      <c r="J597" s="56" t="inlineStr">
        <is>
          <t>114</t>
        </is>
      </c>
      <c r="K597" s="57" t="n">
        <v>736.691</v>
      </c>
      <c r="L597" s="56" t="inlineStr"/>
      <c r="M597" s="56" t="inlineStr">
        <is>
          <t>0</t>
        </is>
      </c>
      <c r="N597" s="56" t="inlineStr">
        <is>
          <t>Neel Metal Products Limited</t>
        </is>
      </c>
      <c r="O597" s="58" t="n">
        <v>13</v>
      </c>
      <c r="P597" s="59" t="inlineStr">
        <is>
          <t>0-30</t>
        </is>
      </c>
      <c r="Q597" s="56" t="inlineStr">
        <is>
          <t>Apoorv</t>
        </is>
      </c>
      <c r="U597" s="585" t="n">
        <v>3509640</v>
      </c>
      <c r="V597" t="n">
        <v>22.2</v>
      </c>
      <c r="W597" t="n">
        <v>0</v>
      </c>
      <c r="X597" t="n">
        <v>2.3</v>
      </c>
      <c r="Y597" t="n">
        <v>0.425</v>
      </c>
      <c r="Z597" t="inlineStr"/>
      <c r="AA597" t="inlineStr">
        <is>
          <t>PE</t>
        </is>
      </c>
      <c r="AB597" t="inlineStr">
        <is>
          <t>AW</t>
        </is>
      </c>
      <c r="AC597" t="inlineStr">
        <is>
          <t>22.23-0-2.3-ERW 1-PE</t>
        </is>
      </c>
      <c r="AD597" t="inlineStr">
        <is>
          <t>CTL</t>
        </is>
      </c>
      <c r="AE597" t="inlineStr">
        <is>
          <t>22.23-0-2.3-ERW 1-PE-0.425</t>
        </is>
      </c>
      <c r="AF597" t="n">
        <v>0.4794785102499999</v>
      </c>
    </row>
    <row r="598">
      <c r="A598" s="56" t="n">
        <v>3500641</v>
      </c>
      <c r="B598" s="56" t="inlineStr">
        <is>
          <t>TUB-S-AW-SHS-50.0X50.0X1.6X6.1210BSVIHDP</t>
        </is>
      </c>
      <c r="C598" s="56" t="inlineStr">
        <is>
          <t>4C28AK4040</t>
        </is>
      </c>
      <c r="D598" s="57" t="n">
        <v>126.053</v>
      </c>
      <c r="E598" s="58" t="n">
        <v>1765</v>
      </c>
      <c r="F598" s="57" t="n">
        <v>1.765</v>
      </c>
      <c r="G598" s="56" t="inlineStr">
        <is>
          <t>KG</t>
        </is>
      </c>
      <c r="H598" s="56" t="inlineStr">
        <is>
          <t>R001</t>
        </is>
      </c>
      <c r="I598" s="56" t="inlineStr">
        <is>
          <t>0788</t>
        </is>
      </c>
      <c r="J598" s="56" t="inlineStr">
        <is>
          <t>119</t>
        </is>
      </c>
      <c r="K598" s="57" t="n">
        <v>768.929</v>
      </c>
      <c r="L598" s="56" t="inlineStr"/>
      <c r="M598" s="56" t="inlineStr">
        <is>
          <t>0</t>
        </is>
      </c>
      <c r="N598" s="56" t="inlineStr">
        <is>
          <t>Neel Metal Products Limited</t>
        </is>
      </c>
      <c r="O598" s="58" t="n">
        <v>13</v>
      </c>
      <c r="P598" s="59" t="inlineStr">
        <is>
          <t>0-30</t>
        </is>
      </c>
      <c r="Q598" s="56" t="inlineStr">
        <is>
          <t>Apoorv</t>
        </is>
      </c>
      <c r="U598" t="n">
        <v>3629057</v>
      </c>
      <c r="V598" t="n">
        <v>22.2</v>
      </c>
      <c r="W598" t="n">
        <v>0</v>
      </c>
      <c r="X598" t="n">
        <v>2.3</v>
      </c>
      <c r="Y598" t="n">
        <v>0.427</v>
      </c>
      <c r="Z598" t="inlineStr">
        <is>
          <t>TPT</t>
        </is>
      </c>
      <c r="AA598" t="inlineStr">
        <is>
          <t>PE</t>
        </is>
      </c>
      <c r="AB598" t="inlineStr">
        <is>
          <t>NR</t>
        </is>
      </c>
      <c r="AC598" t="inlineStr">
        <is>
          <t>22.23-0-2.3-ERW 1-PE</t>
        </is>
      </c>
      <c r="AD598" t="inlineStr">
        <is>
          <t>CTL</t>
        </is>
      </c>
      <c r="AE598" t="inlineStr">
        <is>
          <t>22.23-0-2.3-ERW 1-PE-0.427</t>
        </is>
      </c>
      <c r="AF598" t="n">
        <v>0.48173487971</v>
      </c>
    </row>
    <row r="599">
      <c r="A599" s="56" t="n">
        <v>3500641</v>
      </c>
      <c r="B599" s="56" t="inlineStr">
        <is>
          <t>TUB-S-AW-SHS-50.0X50.0X1.6X6.1210BSVIHDP</t>
        </is>
      </c>
      <c r="C599" s="56" t="inlineStr">
        <is>
          <t>4C28AK4050</t>
        </is>
      </c>
      <c r="D599" s="57" t="n">
        <v>134.552</v>
      </c>
      <c r="E599" s="58" t="n">
        <v>1884</v>
      </c>
      <c r="F599" s="57" t="n">
        <v>1.884</v>
      </c>
      <c r="G599" s="56" t="inlineStr">
        <is>
          <t>KG</t>
        </is>
      </c>
      <c r="H599" s="56" t="inlineStr">
        <is>
          <t>R001</t>
        </is>
      </c>
      <c r="I599" s="56" t="inlineStr">
        <is>
          <t>0788</t>
        </is>
      </c>
      <c r="J599" s="56" t="inlineStr">
        <is>
          <t>127</t>
        </is>
      </c>
      <c r="K599" s="57" t="n">
        <v>820.772</v>
      </c>
      <c r="L599" s="56" t="inlineStr"/>
      <c r="M599" s="56" t="inlineStr">
        <is>
          <t>0</t>
        </is>
      </c>
      <c r="N599" s="56" t="inlineStr">
        <is>
          <t>Neel Metal Products Limited</t>
        </is>
      </c>
      <c r="O599" s="58" t="n">
        <v>13</v>
      </c>
      <c r="P599" s="59" t="inlineStr">
        <is>
          <t>0-30</t>
        </is>
      </c>
      <c r="Q599" s="56" t="inlineStr">
        <is>
          <t>Apoorv</t>
        </is>
      </c>
      <c r="U599" s="585" t="n">
        <v>3506579</v>
      </c>
      <c r="V599" t="n">
        <v>22.2</v>
      </c>
      <c r="W599" t="n">
        <v>0</v>
      </c>
      <c r="X599" t="n">
        <v>2.3</v>
      </c>
      <c r="Y599" t="n">
        <v>0.43</v>
      </c>
      <c r="Z599" t="inlineStr"/>
      <c r="AA599" t="inlineStr">
        <is>
          <t>PE</t>
        </is>
      </c>
      <c r="AB599" t="inlineStr">
        <is>
          <t>AW</t>
        </is>
      </c>
      <c r="AC599" t="inlineStr">
        <is>
          <t>22.23-0-2.3-ERW 1-PE</t>
        </is>
      </c>
      <c r="AD599" t="inlineStr">
        <is>
          <t>CTL</t>
        </is>
      </c>
      <c r="AE599" t="inlineStr">
        <is>
          <t>22.23-0-2.3-ERW 1-PE-0.43</t>
        </is>
      </c>
      <c r="AF599" t="n">
        <v>0.4851194339</v>
      </c>
    </row>
    <row r="600">
      <c r="A600" s="56" t="n">
        <v>3500641</v>
      </c>
      <c r="B600" s="56" t="inlineStr">
        <is>
          <t>TUB-S-AW-SHS-50.0X50.0X1.6X6.1210BSVIHDP</t>
        </is>
      </c>
      <c r="C600" s="56" t="inlineStr">
        <is>
          <t>4C28AK4060</t>
        </is>
      </c>
      <c r="D600" s="57" t="n">
        <v>134.552</v>
      </c>
      <c r="E600" s="58" t="n">
        <v>1884</v>
      </c>
      <c r="F600" s="57" t="n">
        <v>1.884</v>
      </c>
      <c r="G600" s="56" t="inlineStr">
        <is>
          <t>KG</t>
        </is>
      </c>
      <c r="H600" s="56" t="inlineStr">
        <is>
          <t>R001</t>
        </is>
      </c>
      <c r="I600" s="56" t="inlineStr">
        <is>
          <t>0788</t>
        </is>
      </c>
      <c r="J600" s="56" t="inlineStr">
        <is>
          <t>127</t>
        </is>
      </c>
      <c r="K600" s="57" t="n">
        <v>820.772</v>
      </c>
      <c r="L600" s="56" t="inlineStr"/>
      <c r="M600" s="56" t="inlineStr">
        <is>
          <t>0</t>
        </is>
      </c>
      <c r="N600" s="56" t="inlineStr">
        <is>
          <t>Neel Metal Products Limited</t>
        </is>
      </c>
      <c r="O600" s="58" t="n">
        <v>13</v>
      </c>
      <c r="P600" s="59" t="inlineStr">
        <is>
          <t>0-30</t>
        </is>
      </c>
      <c r="Q600" s="56" t="inlineStr">
        <is>
          <t>Apoorv</t>
        </is>
      </c>
      <c r="U600" s="585" t="n">
        <v>3501890</v>
      </c>
      <c r="V600" t="n">
        <v>22.2</v>
      </c>
      <c r="W600" t="n">
        <v>0</v>
      </c>
      <c r="X600" t="n">
        <v>2.3</v>
      </c>
      <c r="Y600" t="n">
        <v>5.76</v>
      </c>
      <c r="Z600" t="inlineStr"/>
      <c r="AA600" t="inlineStr">
        <is>
          <t>PE</t>
        </is>
      </c>
      <c r="AB600" t="inlineStr">
        <is>
          <t>AW</t>
        </is>
      </c>
      <c r="AC600" t="inlineStr">
        <is>
          <t>22.23-0-2.3-ERW 1-PE</t>
        </is>
      </c>
      <c r="AD600" t="inlineStr">
        <is>
          <t>LL</t>
        </is>
      </c>
      <c r="AE600" t="inlineStr">
        <is>
          <t>22.23-0-2.3-ERW 1-PE-1</t>
        </is>
      </c>
      <c r="AF600" t="n">
        <v>1.12818473</v>
      </c>
    </row>
    <row r="601">
      <c r="A601" s="56" t="n">
        <v>3500650</v>
      </c>
      <c r="B601" s="56" t="inlineStr">
        <is>
          <t>TUB-O-N-AUT-BH-FC-42.70X3.500X6.000</t>
        </is>
      </c>
      <c r="C601" s="56" t="inlineStr">
        <is>
          <t>4927CK3010</t>
        </is>
      </c>
      <c r="D601" s="57" t="n">
        <v>19.506</v>
      </c>
      <c r="E601" s="58" t="n">
        <v>396</v>
      </c>
      <c r="F601" s="57" t="n">
        <v>0.396</v>
      </c>
      <c r="G601" s="56" t="inlineStr">
        <is>
          <t>KG</t>
        </is>
      </c>
      <c r="H601" s="56" t="inlineStr">
        <is>
          <t>R001</t>
        </is>
      </c>
      <c r="I601" s="56" t="inlineStr">
        <is>
          <t>0788</t>
        </is>
      </c>
      <c r="J601" s="56" t="inlineStr">
        <is>
          <t>19</t>
        </is>
      </c>
      <c r="K601" s="57" t="n">
        <v>117.035</v>
      </c>
      <c r="L601" s="56" t="inlineStr"/>
      <c r="M601" s="56" t="inlineStr">
        <is>
          <t>0</t>
        </is>
      </c>
      <c r="N601" s="56" t="inlineStr">
        <is>
          <t>Neel Metal Products Limited</t>
        </is>
      </c>
      <c r="O601" s="58" t="n">
        <v>95</v>
      </c>
      <c r="P601" s="59" t="inlineStr">
        <is>
          <t>ABOVE 90</t>
        </is>
      </c>
      <c r="Q601" s="56" t="inlineStr">
        <is>
          <t>Apoorv</t>
        </is>
      </c>
      <c r="U601" s="585" t="n">
        <v>3502302</v>
      </c>
      <c r="V601" t="n">
        <v>22.2</v>
      </c>
      <c r="W601" t="n">
        <v>0</v>
      </c>
      <c r="X601" t="n">
        <v>2.3</v>
      </c>
      <c r="Y601" t="n">
        <v>5.98</v>
      </c>
      <c r="Z601" t="inlineStr"/>
      <c r="AA601" t="inlineStr">
        <is>
          <t>PE</t>
        </is>
      </c>
      <c r="AB601" t="inlineStr">
        <is>
          <t>AW</t>
        </is>
      </c>
      <c r="AC601" t="inlineStr">
        <is>
          <t>22.23-0-2.3-ERW 1-PE</t>
        </is>
      </c>
      <c r="AD601" t="inlineStr">
        <is>
          <t>LL</t>
        </is>
      </c>
      <c r="AE601" t="inlineStr">
        <is>
          <t>22.23-0-2.3-ERW 1-PE-1</t>
        </is>
      </c>
      <c r="AF601" t="n">
        <v>1.12818473</v>
      </c>
    </row>
    <row r="602">
      <c r="A602" s="56" t="n">
        <v>3500650</v>
      </c>
      <c r="B602" s="56" t="inlineStr">
        <is>
          <t>TUB-O-N-AUT-BH-FC-42.70X3.500X6.000</t>
        </is>
      </c>
      <c r="C602" s="56" t="inlineStr">
        <is>
          <t>4927CK3070</t>
        </is>
      </c>
      <c r="D602" s="57" t="n">
        <v>106.645</v>
      </c>
      <c r="E602" s="58" t="n">
        <v>2165</v>
      </c>
      <c r="F602" s="57" t="n">
        <v>2.165</v>
      </c>
      <c r="G602" s="56" t="inlineStr">
        <is>
          <t>KG</t>
        </is>
      </c>
      <c r="H602" s="56" t="inlineStr">
        <is>
          <t>R001</t>
        </is>
      </c>
      <c r="I602" s="56" t="inlineStr">
        <is>
          <t>0788</t>
        </is>
      </c>
      <c r="J602" s="56" t="inlineStr">
        <is>
          <t>104</t>
        </is>
      </c>
      <c r="K602" s="57" t="n">
        <v>639.851</v>
      </c>
      <c r="L602" s="56" t="inlineStr"/>
      <c r="M602" s="56" t="inlineStr">
        <is>
          <t>0</t>
        </is>
      </c>
      <c r="N602" s="56" t="inlineStr">
        <is>
          <t>Neel Metal Products Limited</t>
        </is>
      </c>
      <c r="O602" s="58" t="n">
        <v>72</v>
      </c>
      <c r="P602" s="59" t="inlineStr">
        <is>
          <t>61-90</t>
        </is>
      </c>
      <c r="Q602" s="56" t="inlineStr">
        <is>
          <t>Apoorv</t>
        </is>
      </c>
      <c r="U602" s="585" t="n">
        <v>235488</v>
      </c>
      <c r="V602" t="n">
        <v>22.2</v>
      </c>
      <c r="W602" t="n">
        <v>0</v>
      </c>
      <c r="X602" t="n">
        <v>2.3</v>
      </c>
      <c r="Y602" t="n">
        <v>6</v>
      </c>
      <c r="Z602" t="inlineStr">
        <is>
          <t>TPT</t>
        </is>
      </c>
      <c r="AA602" t="inlineStr">
        <is>
          <t>PE</t>
        </is>
      </c>
      <c r="AB602" t="inlineStr">
        <is>
          <t>AW</t>
        </is>
      </c>
      <c r="AC602" t="inlineStr">
        <is>
          <t>22.23-0-2.3-ERW 1-PE</t>
        </is>
      </c>
      <c r="AD602" t="inlineStr">
        <is>
          <t>LL</t>
        </is>
      </c>
      <c r="AE602" t="inlineStr">
        <is>
          <t>22.23-0-2.3-ERW 1-PE-1</t>
        </is>
      </c>
      <c r="AF602" t="n">
        <v>1.12818473</v>
      </c>
    </row>
    <row r="603">
      <c r="A603" s="56" t="n">
        <v>3500650</v>
      </c>
      <c r="B603" s="56" t="inlineStr">
        <is>
          <t>TUB-O-N-AUT-BH-FC-42.70X3.500X6.000</t>
        </is>
      </c>
      <c r="C603" s="56" t="inlineStr">
        <is>
          <t>4A11AK3030</t>
        </is>
      </c>
      <c r="D603" s="57" t="n">
        <v>119.994</v>
      </c>
      <c r="E603" s="58" t="n">
        <v>2436</v>
      </c>
      <c r="F603" s="57" t="n">
        <v>2.436</v>
      </c>
      <c r="G603" s="56" t="inlineStr">
        <is>
          <t>KG</t>
        </is>
      </c>
      <c r="H603" s="56" t="inlineStr">
        <is>
          <t>R001</t>
        </is>
      </c>
      <c r="I603" s="56" t="inlineStr">
        <is>
          <t>0788</t>
        </is>
      </c>
      <c r="J603" s="56" t="inlineStr">
        <is>
          <t>117</t>
        </is>
      </c>
      <c r="K603" s="57" t="n">
        <v>719.943</v>
      </c>
      <c r="L603" s="56" t="inlineStr"/>
      <c r="M603" s="56" t="inlineStr">
        <is>
          <t>0</t>
        </is>
      </c>
      <c r="N603" s="56" t="inlineStr">
        <is>
          <t>Neel Metal Products Limited</t>
        </is>
      </c>
      <c r="O603" s="58" t="n">
        <v>80</v>
      </c>
      <c r="P603" s="59" t="inlineStr">
        <is>
          <t>61-90</t>
        </is>
      </c>
      <c r="Q603" s="56" t="inlineStr">
        <is>
          <t>Apoorv</t>
        </is>
      </c>
      <c r="U603" s="585" t="n">
        <v>1144880</v>
      </c>
      <c r="V603" t="n">
        <v>22.2</v>
      </c>
      <c r="W603" t="n">
        <v>0</v>
      </c>
      <c r="X603" t="n">
        <v>2.3</v>
      </c>
      <c r="Y603" t="n">
        <v>6.22</v>
      </c>
      <c r="Z603" t="inlineStr"/>
      <c r="AA603" t="inlineStr">
        <is>
          <t>PE</t>
        </is>
      </c>
      <c r="AB603" t="inlineStr">
        <is>
          <t>AW</t>
        </is>
      </c>
      <c r="AC603" t="inlineStr">
        <is>
          <t>22.23-0-2.3-ERW 1-PE</t>
        </is>
      </c>
      <c r="AD603" t="inlineStr">
        <is>
          <t>LL</t>
        </is>
      </c>
      <c r="AE603" t="inlineStr">
        <is>
          <t>22.23-0-2.3-ERW 1-PE-1</t>
        </is>
      </c>
      <c r="AF603" t="n">
        <v>1.12818473</v>
      </c>
    </row>
    <row r="604">
      <c r="A604" s="56" t="n">
        <v>3500650</v>
      </c>
      <c r="B604" s="56" t="inlineStr">
        <is>
          <t>TUB-O-N-AUT-BH-FC-42.70X3.500X6.000</t>
        </is>
      </c>
      <c r="C604" s="56" t="inlineStr">
        <is>
          <t>4A11BK3010</t>
        </is>
      </c>
      <c r="D604" s="57" t="n">
        <v>33.988</v>
      </c>
      <c r="E604" s="58" t="n">
        <v>690</v>
      </c>
      <c r="F604" s="57" t="n">
        <v>0.6899999999999999</v>
      </c>
      <c r="G604" s="56" t="inlineStr">
        <is>
          <t>KG</t>
        </is>
      </c>
      <c r="H604" s="56" t="inlineStr">
        <is>
          <t>R001</t>
        </is>
      </c>
      <c r="I604" s="56" t="inlineStr">
        <is>
          <t>0788</t>
        </is>
      </c>
      <c r="J604" s="56" t="inlineStr">
        <is>
          <t>34</t>
        </is>
      </c>
      <c r="K604" s="57" t="n">
        <v>203.925</v>
      </c>
      <c r="L604" s="56" t="inlineStr"/>
      <c r="M604" s="56" t="inlineStr">
        <is>
          <t>0</t>
        </is>
      </c>
      <c r="N604" s="56" t="inlineStr">
        <is>
          <t>Neel Metal Products Limited</t>
        </is>
      </c>
      <c r="O604" s="58" t="n">
        <v>57</v>
      </c>
      <c r="P604" s="59" t="inlineStr">
        <is>
          <t>31-60</t>
        </is>
      </c>
      <c r="Q604" s="56" t="inlineStr">
        <is>
          <t>Apoorv</t>
        </is>
      </c>
      <c r="U604" t="n">
        <v>3500367</v>
      </c>
      <c r="V604" t="n">
        <v>22.2</v>
      </c>
      <c r="W604" t="n">
        <v>0</v>
      </c>
      <c r="X604" t="n">
        <v>2.3</v>
      </c>
      <c r="Y604" t="n">
        <v>6.22</v>
      </c>
      <c r="Z604" t="inlineStr"/>
      <c r="AA604" t="inlineStr">
        <is>
          <t>PE</t>
        </is>
      </c>
      <c r="AB604" t="inlineStr">
        <is>
          <t>AW</t>
        </is>
      </c>
      <c r="AC604" t="inlineStr">
        <is>
          <t>22.23-0-2.3-ERW 1-PE</t>
        </is>
      </c>
      <c r="AD604" t="inlineStr">
        <is>
          <t>LL</t>
        </is>
      </c>
      <c r="AE604" t="inlineStr">
        <is>
          <t>22.23-0-2.3-ERW 1-PE-1</t>
        </is>
      </c>
      <c r="AF604" t="n">
        <v>1.12818473</v>
      </c>
    </row>
    <row r="605">
      <c r="A605" s="56" t="n">
        <v>3500650</v>
      </c>
      <c r="B605" s="56" t="inlineStr">
        <is>
          <t>TUB-O-N-AUT-BH-FC-42.70X3.500X6.000</t>
        </is>
      </c>
      <c r="C605" s="56" t="inlineStr">
        <is>
          <t>4A28CK3010</t>
        </is>
      </c>
      <c r="D605" s="57" t="n">
        <v>100.931</v>
      </c>
      <c r="E605" s="58" t="n">
        <v>2049</v>
      </c>
      <c r="F605" s="57" t="n">
        <v>2.049</v>
      </c>
      <c r="G605" s="56" t="inlineStr">
        <is>
          <t>KG</t>
        </is>
      </c>
      <c r="H605" s="56" t="inlineStr">
        <is>
          <t>R001</t>
        </is>
      </c>
      <c r="I605" s="56" t="inlineStr">
        <is>
          <t>0788</t>
        </is>
      </c>
      <c r="J605" s="56" t="inlineStr">
        <is>
          <t>101</t>
        </is>
      </c>
      <c r="K605" s="57" t="n">
        <v>605.568</v>
      </c>
      <c r="L605" s="56" t="inlineStr"/>
      <c r="M605" s="56" t="inlineStr">
        <is>
          <t>0</t>
        </is>
      </c>
      <c r="N605" s="56" t="inlineStr">
        <is>
          <t>Neel Metal Products Limited</t>
        </is>
      </c>
      <c r="O605" s="58" t="n">
        <v>61</v>
      </c>
      <c r="P605" s="59" t="inlineStr">
        <is>
          <t>61-90</t>
        </is>
      </c>
      <c r="Q605" s="56" t="inlineStr">
        <is>
          <t>Apoorv</t>
        </is>
      </c>
      <c r="U605" s="585" t="n">
        <v>3702717</v>
      </c>
      <c r="V605" t="n">
        <v>22.2</v>
      </c>
      <c r="W605" t="n">
        <v>0</v>
      </c>
      <c r="X605" t="n">
        <v>2.6</v>
      </c>
      <c r="Y605" t="n">
        <v>5</v>
      </c>
      <c r="Z605" t="inlineStr">
        <is>
          <t>ST52AL</t>
        </is>
      </c>
      <c r="AA605" t="inlineStr">
        <is>
          <t>PE</t>
        </is>
      </c>
      <c r="AB605" t="inlineStr">
        <is>
          <t>AP</t>
        </is>
      </c>
      <c r="AC605" t="inlineStr">
        <is>
          <t>check thickness tdc</t>
        </is>
      </c>
      <c r="AD605" t="inlineStr">
        <is>
          <t>LL</t>
        </is>
      </c>
      <c r="AE605" t="inlineStr">
        <is>
          <t>check thickness tdc-1</t>
        </is>
      </c>
      <c r="AF605" t="n">
        <v>1.25611304</v>
      </c>
    </row>
    <row r="606">
      <c r="A606" s="56" t="n">
        <v>3500650</v>
      </c>
      <c r="B606" s="56" t="inlineStr">
        <is>
          <t>TUB-O-N-AUT-BH-FC-42.70X3.500X6.000</t>
        </is>
      </c>
      <c r="C606" s="56" t="inlineStr">
        <is>
          <t>4A28CK3090</t>
        </is>
      </c>
      <c r="D606" s="57" t="n">
        <v>112.95</v>
      </c>
      <c r="E606" s="58" t="n">
        <v>2293</v>
      </c>
      <c r="F606" s="57" t="n">
        <v>2.293</v>
      </c>
      <c r="G606" s="56" t="inlineStr">
        <is>
          <t>KG</t>
        </is>
      </c>
      <c r="H606" s="56" t="inlineStr">
        <is>
          <t>R001</t>
        </is>
      </c>
      <c r="I606" s="56" t="inlineStr">
        <is>
          <t>0788</t>
        </is>
      </c>
      <c r="J606" s="56" t="inlineStr">
        <is>
          <t>113</t>
        </is>
      </c>
      <c r="K606" s="57" t="n">
        <v>677.681</v>
      </c>
      <c r="L606" s="56" t="inlineStr"/>
      <c r="M606" s="56" t="inlineStr">
        <is>
          <t>0</t>
        </is>
      </c>
      <c r="N606" s="56" t="inlineStr">
        <is>
          <t>Neel Metal Products Limited</t>
        </is>
      </c>
      <c r="O606" s="58" t="n">
        <v>72</v>
      </c>
      <c r="P606" s="59" t="inlineStr">
        <is>
          <t>61-90</t>
        </is>
      </c>
      <c r="Q606" s="56" t="inlineStr">
        <is>
          <t>Apoorv</t>
        </is>
      </c>
      <c r="U606" s="585" t="n">
        <v>1940357</v>
      </c>
      <c r="V606" t="n">
        <v>22.23</v>
      </c>
      <c r="W606" t="n">
        <v>0</v>
      </c>
      <c r="X606" t="n">
        <v>1.2</v>
      </c>
      <c r="Y606" t="n">
        <v>0.14</v>
      </c>
      <c r="Z606" t="inlineStr">
        <is>
          <t>WG</t>
        </is>
      </c>
      <c r="AA606" t="inlineStr">
        <is>
          <t>PE</t>
        </is>
      </c>
      <c r="AB606" t="inlineStr">
        <is>
          <t>AW</t>
        </is>
      </c>
      <c r="AC606" t="inlineStr">
        <is>
          <t>22.23-0-1.2-ERW 1-PE</t>
        </is>
      </c>
      <c r="AD606" t="inlineStr">
        <is>
          <t>CTL</t>
        </is>
      </c>
      <c r="AE606" t="inlineStr">
        <is>
          <t>22.23-0-1.2-ERW 1-PE-0.14</t>
        </is>
      </c>
      <c r="AF606" t="n">
        <v>0.08708590296</v>
      </c>
    </row>
    <row r="607">
      <c r="A607" s="56" t="n">
        <v>3500650</v>
      </c>
      <c r="B607" s="56" t="inlineStr">
        <is>
          <t>TUB-O-N-AUT-BH-FC-42.70X3.500X6.000</t>
        </is>
      </c>
      <c r="C607" s="56" t="inlineStr">
        <is>
          <t>4A28CK3160</t>
        </is>
      </c>
      <c r="D607" s="57" t="n">
        <v>113.935</v>
      </c>
      <c r="E607" s="58" t="n">
        <v>2313</v>
      </c>
      <c r="F607" s="57" t="n">
        <v>2.313</v>
      </c>
      <c r="G607" s="56" t="inlineStr">
        <is>
          <t>KG</t>
        </is>
      </c>
      <c r="H607" s="56" t="inlineStr">
        <is>
          <t>R001</t>
        </is>
      </c>
      <c r="I607" s="56" t="inlineStr">
        <is>
          <t>0788</t>
        </is>
      </c>
      <c r="J607" s="56" t="inlineStr">
        <is>
          <t>114</t>
        </is>
      </c>
      <c r="K607" s="57" t="n">
        <v>683.591</v>
      </c>
      <c r="L607" s="56" t="inlineStr"/>
      <c r="M607" s="56" t="inlineStr">
        <is>
          <t>0</t>
        </is>
      </c>
      <c r="N607" s="56" t="inlineStr">
        <is>
          <t>Neel Metal Products Limited</t>
        </is>
      </c>
      <c r="O607" s="58" t="n">
        <v>74</v>
      </c>
      <c r="P607" s="59" t="inlineStr">
        <is>
          <t>61-90</t>
        </is>
      </c>
      <c r="Q607" s="56" t="inlineStr">
        <is>
          <t>Apoorv</t>
        </is>
      </c>
      <c r="U607" t="n">
        <v>4083986</v>
      </c>
      <c r="V607" t="n">
        <v>22.23</v>
      </c>
      <c r="W607" t="n">
        <v>0</v>
      </c>
      <c r="X607" t="n">
        <v>1.2</v>
      </c>
      <c r="Y607" t="n">
        <v>0.297</v>
      </c>
      <c r="Z607" t="inlineStr">
        <is>
          <t>NORMAL</t>
        </is>
      </c>
      <c r="AA607" t="inlineStr">
        <is>
          <t>PE</t>
        </is>
      </c>
      <c r="AB607" t="inlineStr">
        <is>
          <t>AW</t>
        </is>
      </c>
      <c r="AC607" t="inlineStr">
        <is>
          <t>22.23-0-1.2-ERW 1-PE</t>
        </is>
      </c>
      <c r="AD607" t="inlineStr">
        <is>
          <t>CTL</t>
        </is>
      </c>
      <c r="AE607" t="inlineStr">
        <is>
          <t>22.23-0-1.2-ERW 1-PE-0.297</t>
        </is>
      </c>
      <c r="AF607" t="n">
        <v>0.184746522708</v>
      </c>
    </row>
    <row r="608">
      <c r="A608" s="56" t="n">
        <v>3500650</v>
      </c>
      <c r="B608" s="56" t="inlineStr">
        <is>
          <t>TUB-O-N-AUT-BH-FC-42.70X3.500X6.000</t>
        </is>
      </c>
      <c r="C608" s="56" t="inlineStr">
        <is>
          <t>4A28CK3170</t>
        </is>
      </c>
      <c r="D608" s="57" t="n">
        <v>112.95</v>
      </c>
      <c r="E608" s="58" t="n">
        <v>2293</v>
      </c>
      <c r="F608" s="57" t="n">
        <v>2.293</v>
      </c>
      <c r="G608" s="56" t="inlineStr">
        <is>
          <t>KG</t>
        </is>
      </c>
      <c r="H608" s="56" t="inlineStr">
        <is>
          <t>R001</t>
        </is>
      </c>
      <c r="I608" s="56" t="inlineStr">
        <is>
          <t>0788</t>
        </is>
      </c>
      <c r="J608" s="56" t="inlineStr">
        <is>
          <t>113</t>
        </is>
      </c>
      <c r="K608" s="57" t="n">
        <v>677.681</v>
      </c>
      <c r="L608" s="56" t="inlineStr"/>
      <c r="M608" s="56" t="inlineStr">
        <is>
          <t>0</t>
        </is>
      </c>
      <c r="N608" s="56" t="inlineStr">
        <is>
          <t>Neel Metal Products Limited</t>
        </is>
      </c>
      <c r="O608" s="58" t="n">
        <v>72</v>
      </c>
      <c r="P608" s="59" t="inlineStr">
        <is>
          <t>61-90</t>
        </is>
      </c>
      <c r="Q608" s="56" t="inlineStr">
        <is>
          <t>Apoorv</t>
        </is>
      </c>
      <c r="U608" s="585" t="n">
        <v>1940360</v>
      </c>
      <c r="V608" t="n">
        <v>22.23</v>
      </c>
      <c r="W608" t="n">
        <v>0</v>
      </c>
      <c r="X608" t="n">
        <v>1.2</v>
      </c>
      <c r="Y608" t="n">
        <v>0.6</v>
      </c>
      <c r="Z608" t="inlineStr">
        <is>
          <t>WG</t>
        </is>
      </c>
      <c r="AA608" t="inlineStr">
        <is>
          <t>PE</t>
        </is>
      </c>
      <c r="AB608" t="inlineStr">
        <is>
          <t>AW</t>
        </is>
      </c>
      <c r="AC608" t="inlineStr">
        <is>
          <t>22.23-0-1.2-ERW 1-PE</t>
        </is>
      </c>
      <c r="AD608" t="inlineStr">
        <is>
          <t>CTL</t>
        </is>
      </c>
      <c r="AE608" t="inlineStr">
        <is>
          <t>22.23-0-1.2-ERW 1-PE-0.6</t>
        </is>
      </c>
      <c r="AF608" t="n">
        <v>0.3732252984</v>
      </c>
    </row>
    <row r="609">
      <c r="A609" s="56" t="n">
        <v>3500650</v>
      </c>
      <c r="B609" s="56" t="inlineStr">
        <is>
          <t>TUB-O-N-AUT-BH-FC-42.70X3.500X6.000</t>
        </is>
      </c>
      <c r="C609" s="56" t="inlineStr">
        <is>
          <t>4A28CK3180</t>
        </is>
      </c>
      <c r="D609" s="57" t="n">
        <v>117.925</v>
      </c>
      <c r="E609" s="58" t="n">
        <v>2394</v>
      </c>
      <c r="F609" s="57" t="n">
        <v>2.394</v>
      </c>
      <c r="G609" s="56" t="inlineStr">
        <is>
          <t>KG</t>
        </is>
      </c>
      <c r="H609" s="56" t="inlineStr">
        <is>
          <t>R001</t>
        </is>
      </c>
      <c r="I609" s="56" t="inlineStr">
        <is>
          <t>0788</t>
        </is>
      </c>
      <c r="J609" s="56" t="inlineStr">
        <is>
          <t>115</t>
        </is>
      </c>
      <c r="K609" s="57" t="n">
        <v>707.53</v>
      </c>
      <c r="L609" s="56" t="inlineStr"/>
      <c r="M609" s="56" t="inlineStr">
        <is>
          <t>0</t>
        </is>
      </c>
      <c r="N609" s="56" t="inlineStr">
        <is>
          <t>Neel Metal Products Limited</t>
        </is>
      </c>
      <c r="O609" s="58" t="n">
        <v>70</v>
      </c>
      <c r="P609" s="59" t="inlineStr">
        <is>
          <t>61-90</t>
        </is>
      </c>
      <c r="Q609" s="56" t="inlineStr">
        <is>
          <t>Apoorv</t>
        </is>
      </c>
      <c r="U609" s="585" t="n">
        <v>1900466</v>
      </c>
      <c r="V609" t="n">
        <v>22.23</v>
      </c>
      <c r="W609" t="n">
        <v>0</v>
      </c>
      <c r="X609" t="n">
        <v>1.2</v>
      </c>
      <c r="Y609" t="n">
        <v>0.673</v>
      </c>
      <c r="Z609" t="inlineStr">
        <is>
          <t>NORMAL</t>
        </is>
      </c>
      <c r="AA609" t="inlineStr">
        <is>
          <t>PE</t>
        </is>
      </c>
      <c r="AB609" t="inlineStr">
        <is>
          <t>AW</t>
        </is>
      </c>
      <c r="AC609" t="inlineStr">
        <is>
          <t>22.23-0-1.2-ERW 1-PE</t>
        </is>
      </c>
      <c r="AD609" t="inlineStr">
        <is>
          <t>CTL</t>
        </is>
      </c>
      <c r="AE609" t="inlineStr">
        <is>
          <t>22.23-0-1.2-ERW 1-PE-0.673</t>
        </is>
      </c>
      <c r="AF609" t="n">
        <v>0.418634376372</v>
      </c>
    </row>
    <row r="610">
      <c r="A610" s="56" t="n">
        <v>3500650</v>
      </c>
      <c r="B610" s="56" t="inlineStr">
        <is>
          <t>TUB-O-N-AUT-BH-FC-42.70X3.500X6.000</t>
        </is>
      </c>
      <c r="C610" s="56" t="inlineStr">
        <is>
          <t>4A29AK3020</t>
        </is>
      </c>
      <c r="D610" s="57" t="n">
        <v>118.96</v>
      </c>
      <c r="E610" s="58" t="n">
        <v>2415</v>
      </c>
      <c r="F610" s="57" t="n">
        <v>2.415</v>
      </c>
      <c r="G610" s="56" t="inlineStr">
        <is>
          <t>KG</t>
        </is>
      </c>
      <c r="H610" s="56" t="inlineStr">
        <is>
          <t>R001</t>
        </is>
      </c>
      <c r="I610" s="56" t="inlineStr">
        <is>
          <t>0788</t>
        </is>
      </c>
      <c r="J610" s="56" t="inlineStr">
        <is>
          <t>116</t>
        </is>
      </c>
      <c r="K610" s="57" t="n">
        <v>713.737</v>
      </c>
      <c r="L610" s="56" t="inlineStr"/>
      <c r="M610" s="56" t="inlineStr">
        <is>
          <t>0</t>
        </is>
      </c>
      <c r="N610" s="56" t="inlineStr">
        <is>
          <t>Neel Metal Products Limited</t>
        </is>
      </c>
      <c r="O610" s="58" t="n">
        <v>70</v>
      </c>
      <c r="P610" s="59" t="inlineStr">
        <is>
          <t>61-90</t>
        </is>
      </c>
      <c r="Q610" s="56" t="inlineStr">
        <is>
          <t>Apoorv</t>
        </is>
      </c>
      <c r="U610" s="585" t="n">
        <v>1940363</v>
      </c>
      <c r="V610" t="n">
        <v>22.23</v>
      </c>
      <c r="W610" t="n">
        <v>0</v>
      </c>
      <c r="X610" t="n">
        <v>1.2</v>
      </c>
      <c r="Y610" t="n">
        <v>1.162</v>
      </c>
      <c r="Z610" t="inlineStr">
        <is>
          <t>WG</t>
        </is>
      </c>
      <c r="AA610" t="inlineStr">
        <is>
          <t>PE</t>
        </is>
      </c>
      <c r="AB610" t="inlineStr">
        <is>
          <t>AW</t>
        </is>
      </c>
      <c r="AC610" t="inlineStr">
        <is>
          <t>22.23-0-1.2-ERW 1-PE</t>
        </is>
      </c>
      <c r="AD610" t="inlineStr">
        <is>
          <t>CTL</t>
        </is>
      </c>
      <c r="AE610" t="inlineStr">
        <is>
          <t>22.23-0-1.2-ERW 1-PE-1.162</t>
        </is>
      </c>
      <c r="AF610" t="n">
        <v>0.722812994568</v>
      </c>
    </row>
    <row r="611">
      <c r="A611" s="56" t="n">
        <v>3500650</v>
      </c>
      <c r="B611" s="56" t="inlineStr">
        <is>
          <t>TUB-O-N-AUT-BH-FC-42.70X3.500X6.000</t>
        </is>
      </c>
      <c r="C611" s="56" t="inlineStr">
        <is>
          <t>4A29AK3130</t>
        </is>
      </c>
      <c r="D611" s="57" t="n">
        <v>113.935</v>
      </c>
      <c r="E611" s="58" t="n">
        <v>2313</v>
      </c>
      <c r="F611" s="57" t="n">
        <v>2.313</v>
      </c>
      <c r="G611" s="56" t="inlineStr">
        <is>
          <t>KG</t>
        </is>
      </c>
      <c r="H611" s="56" t="inlineStr">
        <is>
          <t>R001</t>
        </is>
      </c>
      <c r="I611" s="56" t="inlineStr">
        <is>
          <t>0788</t>
        </is>
      </c>
      <c r="J611" s="56" t="inlineStr">
        <is>
          <t>114</t>
        </is>
      </c>
      <c r="K611" s="57" t="n">
        <v>683.591</v>
      </c>
      <c r="L611" s="56" t="inlineStr"/>
      <c r="M611" s="56" t="inlineStr">
        <is>
          <t>0</t>
        </is>
      </c>
      <c r="N611" s="56" t="inlineStr">
        <is>
          <t>Neel Metal Products Limited</t>
        </is>
      </c>
      <c r="O611" s="58" t="n">
        <v>73</v>
      </c>
      <c r="P611" s="59" t="inlineStr">
        <is>
          <t>61-90</t>
        </is>
      </c>
      <c r="Q611" s="56" t="inlineStr">
        <is>
          <t>Apoorv</t>
        </is>
      </c>
      <c r="U611" s="585" t="n">
        <v>1940364</v>
      </c>
      <c r="V611" t="n">
        <v>22.23</v>
      </c>
      <c r="W611" t="n">
        <v>0</v>
      </c>
      <c r="X611" t="n">
        <v>1.2</v>
      </c>
      <c r="Y611" t="n">
        <v>1.26</v>
      </c>
      <c r="Z611" t="inlineStr">
        <is>
          <t>WG</t>
        </is>
      </c>
      <c r="AA611" t="inlineStr">
        <is>
          <t>PE</t>
        </is>
      </c>
      <c r="AB611" t="inlineStr">
        <is>
          <t>AW</t>
        </is>
      </c>
      <c r="AC611" t="inlineStr">
        <is>
          <t>22.23-0-1.2-ERW 1-PE</t>
        </is>
      </c>
      <c r="AD611" t="inlineStr">
        <is>
          <t>CTL</t>
        </is>
      </c>
      <c r="AE611" t="inlineStr">
        <is>
          <t>22.23-0-1.2-ERW 1-PE-1.26</t>
        </is>
      </c>
      <c r="AF611" t="n">
        <v>0.78377312664</v>
      </c>
    </row>
    <row r="612">
      <c r="A612" s="56" t="n">
        <v>3500650</v>
      </c>
      <c r="B612" s="56" t="inlineStr">
        <is>
          <t>TUB-O-N-AUT-BH-FC-42.70X3.500X6.000</t>
        </is>
      </c>
      <c r="C612" s="56" t="inlineStr">
        <is>
          <t>4A29AK3160</t>
        </is>
      </c>
      <c r="D612" s="57" t="n">
        <v>117.925</v>
      </c>
      <c r="E612" s="58" t="n">
        <v>2394</v>
      </c>
      <c r="F612" s="57" t="n">
        <v>2.394</v>
      </c>
      <c r="G612" s="56" t="inlineStr">
        <is>
          <t>KG</t>
        </is>
      </c>
      <c r="H612" s="56" t="inlineStr">
        <is>
          <t>R001</t>
        </is>
      </c>
      <c r="I612" s="56" t="inlineStr">
        <is>
          <t>0788</t>
        </is>
      </c>
      <c r="J612" s="56" t="inlineStr">
        <is>
          <t>115</t>
        </is>
      </c>
      <c r="K612" s="57" t="n">
        <v>707.53</v>
      </c>
      <c r="L612" s="56" t="inlineStr"/>
      <c r="M612" s="56" t="inlineStr">
        <is>
          <t>0</t>
        </is>
      </c>
      <c r="N612" s="56" t="inlineStr">
        <is>
          <t>Neel Metal Products Limited</t>
        </is>
      </c>
      <c r="O612" s="58" t="n">
        <v>74</v>
      </c>
      <c r="P612" s="59" t="inlineStr">
        <is>
          <t>61-90</t>
        </is>
      </c>
      <c r="Q612" s="56" t="inlineStr">
        <is>
          <t>Apoorv</t>
        </is>
      </c>
      <c r="U612" s="585" t="n">
        <v>3747393</v>
      </c>
      <c r="V612" t="n">
        <v>22.23</v>
      </c>
      <c r="W612" t="n">
        <v>0</v>
      </c>
      <c r="X612" t="n">
        <v>1.2</v>
      </c>
      <c r="Y612" t="n">
        <v>1.308</v>
      </c>
      <c r="Z612" t="inlineStr">
        <is>
          <t>NORMAL</t>
        </is>
      </c>
      <c r="AA612" t="inlineStr">
        <is>
          <t>PE</t>
        </is>
      </c>
      <c r="AB612" t="inlineStr">
        <is>
          <t>AW</t>
        </is>
      </c>
      <c r="AC612" t="inlineStr">
        <is>
          <t>22.23-0-1.2-ERW 1-PE</t>
        </is>
      </c>
      <c r="AD612" t="inlineStr">
        <is>
          <t>CTL</t>
        </is>
      </c>
      <c r="AE612" t="inlineStr">
        <is>
          <t>22.23-0-1.2-ERW 1-PE-1.308</t>
        </is>
      </c>
      <c r="AF612" t="n">
        <v>0.8136311505120001</v>
      </c>
    </row>
    <row r="613">
      <c r="A613" s="56" t="n">
        <v>3500650</v>
      </c>
      <c r="B613" s="56" t="inlineStr">
        <is>
          <t>TUB-O-N-AUT-BH-FC-42.70X3.500X6.000</t>
        </is>
      </c>
      <c r="C613" s="56" t="inlineStr">
        <is>
          <t>4A29AK3170</t>
        </is>
      </c>
      <c r="D613" s="57" t="n">
        <v>114.871</v>
      </c>
      <c r="E613" s="58" t="n">
        <v>2332</v>
      </c>
      <c r="F613" s="57" t="n">
        <v>2.332</v>
      </c>
      <c r="G613" s="56" t="inlineStr">
        <is>
          <t>KG</t>
        </is>
      </c>
      <c r="H613" s="56" t="inlineStr">
        <is>
          <t>R001</t>
        </is>
      </c>
      <c r="I613" s="56" t="inlineStr">
        <is>
          <t>0788</t>
        </is>
      </c>
      <c r="J613" s="56" t="inlineStr">
        <is>
          <t>112</t>
        </is>
      </c>
      <c r="K613" s="57" t="n">
        <v>689.207</v>
      </c>
      <c r="L613" s="56" t="inlineStr"/>
      <c r="M613" s="56" t="inlineStr">
        <is>
          <t>0</t>
        </is>
      </c>
      <c r="N613" s="56" t="inlineStr">
        <is>
          <t>Neel Metal Products Limited</t>
        </is>
      </c>
      <c r="O613" s="58" t="n">
        <v>74</v>
      </c>
      <c r="P613" s="59" t="inlineStr">
        <is>
          <t>61-90</t>
        </is>
      </c>
      <c r="Q613" s="56" t="inlineStr">
        <is>
          <t>Apoorv</t>
        </is>
      </c>
      <c r="U613" s="585" t="n">
        <v>2423535</v>
      </c>
      <c r="V613" t="n">
        <v>22.23</v>
      </c>
      <c r="W613" t="n">
        <v>0</v>
      </c>
      <c r="X613" t="n">
        <v>1.2</v>
      </c>
      <c r="Y613" t="n">
        <v>1.328</v>
      </c>
      <c r="Z613" t="inlineStr">
        <is>
          <t>WG</t>
        </is>
      </c>
      <c r="AA613" t="inlineStr">
        <is>
          <t>PE</t>
        </is>
      </c>
      <c r="AB613" t="inlineStr">
        <is>
          <t>AW</t>
        </is>
      </c>
      <c r="AC613" t="inlineStr">
        <is>
          <t>22.23-0-1.2-ERW 1-PE</t>
        </is>
      </c>
      <c r="AD613" t="inlineStr">
        <is>
          <t>CTL</t>
        </is>
      </c>
      <c r="AE613" t="inlineStr">
        <is>
          <t>22.23-0-1.2-ERW 1-PE-1.328</t>
        </is>
      </c>
      <c r="AF613" t="n">
        <v>0.826071993792</v>
      </c>
    </row>
    <row r="614">
      <c r="A614" s="56" t="n">
        <v>3500650</v>
      </c>
      <c r="B614" s="56" t="inlineStr">
        <is>
          <t>TUB-O-N-AUT-BH-FC-42.70X3.500X6.000</t>
        </is>
      </c>
      <c r="C614" s="56" t="inlineStr">
        <is>
          <t>4A29AK3190</t>
        </is>
      </c>
      <c r="D614" s="57" t="n">
        <v>114.871</v>
      </c>
      <c r="E614" s="58" t="n">
        <v>2332</v>
      </c>
      <c r="F614" s="57" t="n">
        <v>2.332</v>
      </c>
      <c r="G614" s="56" t="inlineStr">
        <is>
          <t>KG</t>
        </is>
      </c>
      <c r="H614" s="56" t="inlineStr">
        <is>
          <t>R001</t>
        </is>
      </c>
      <c r="I614" s="56" t="inlineStr">
        <is>
          <t>0788</t>
        </is>
      </c>
      <c r="J614" s="56" t="inlineStr">
        <is>
          <t>112</t>
        </is>
      </c>
      <c r="K614" s="57" t="n">
        <v>689.207</v>
      </c>
      <c r="L614" s="56" t="inlineStr"/>
      <c r="M614" s="56" t="inlineStr">
        <is>
          <t>0</t>
        </is>
      </c>
      <c r="N614" s="56" t="inlineStr">
        <is>
          <t>Neel Metal Products Limited</t>
        </is>
      </c>
      <c r="O614" s="58" t="n">
        <v>74</v>
      </c>
      <c r="P614" s="59" t="inlineStr">
        <is>
          <t>61-90</t>
        </is>
      </c>
      <c r="Q614" s="56" t="inlineStr">
        <is>
          <t>Apoorv</t>
        </is>
      </c>
      <c r="U614" s="586" t="n">
        <v>111118011</v>
      </c>
      <c r="V614" t="n">
        <v>22.23</v>
      </c>
      <c r="W614" t="n">
        <v>0</v>
      </c>
      <c r="X614" t="n">
        <v>1.2</v>
      </c>
      <c r="Y614" t="n">
        <v>5.3</v>
      </c>
      <c r="Z614" t="inlineStr">
        <is>
          <t>WG</t>
        </is>
      </c>
      <c r="AA614" t="inlineStr">
        <is>
          <t>PE</t>
        </is>
      </c>
      <c r="AB614" t="inlineStr">
        <is>
          <t>AW</t>
        </is>
      </c>
      <c r="AC614" t="inlineStr">
        <is>
          <t>22.23-0-1.2-ERW 1-PE</t>
        </is>
      </c>
      <c r="AD614" t="inlineStr">
        <is>
          <t>LL</t>
        </is>
      </c>
      <c r="AE614" t="inlineStr">
        <is>
          <t>22.23-0-1.2-ERW 1-PE-1</t>
        </is>
      </c>
      <c r="AF614" t="n">
        <v>0.622042164</v>
      </c>
    </row>
    <row r="615">
      <c r="A615" s="56" t="n">
        <v>3500650</v>
      </c>
      <c r="B615" s="56" t="inlineStr">
        <is>
          <t>TUB-O-N-AUT-BH-FC-42.70X3.500X6.000</t>
        </is>
      </c>
      <c r="C615" s="56" t="inlineStr">
        <is>
          <t>4A29BK3010</t>
        </is>
      </c>
      <c r="D615" s="57" t="n">
        <v>116.891</v>
      </c>
      <c r="E615" s="58" t="n">
        <v>2373</v>
      </c>
      <c r="F615" s="57" t="n">
        <v>2.373</v>
      </c>
      <c r="G615" s="56" t="inlineStr">
        <is>
          <t>KG</t>
        </is>
      </c>
      <c r="H615" s="56" t="inlineStr">
        <is>
          <t>R001</t>
        </is>
      </c>
      <c r="I615" s="56" t="inlineStr">
        <is>
          <t>0788</t>
        </is>
      </c>
      <c r="J615" s="56" t="inlineStr">
        <is>
          <t>114</t>
        </is>
      </c>
      <c r="K615" s="57" t="n">
        <v>701.324</v>
      </c>
      <c r="L615" s="56" t="inlineStr"/>
      <c r="M615" s="56" t="inlineStr">
        <is>
          <t>0</t>
        </is>
      </c>
      <c r="N615" s="56" t="inlineStr">
        <is>
          <t>Neel Metal Products Limited</t>
        </is>
      </c>
      <c r="O615" s="58" t="n">
        <v>74</v>
      </c>
      <c r="P615" s="59" t="inlineStr">
        <is>
          <t>61-90</t>
        </is>
      </c>
      <c r="Q615" s="56" t="inlineStr">
        <is>
          <t>Apoorv</t>
        </is>
      </c>
      <c r="U615" s="585" t="n">
        <v>3929640</v>
      </c>
      <c r="V615" t="n">
        <v>22.23</v>
      </c>
      <c r="W615" t="n">
        <v>0</v>
      </c>
      <c r="X615" t="n">
        <v>1.2</v>
      </c>
      <c r="Y615" t="n">
        <v>5.3</v>
      </c>
      <c r="Z615" t="inlineStr">
        <is>
          <t>WG</t>
        </is>
      </c>
      <c r="AA615" t="inlineStr">
        <is>
          <t>PE</t>
        </is>
      </c>
      <c r="AB615" t="inlineStr">
        <is>
          <t>AW</t>
        </is>
      </c>
      <c r="AC615" t="inlineStr">
        <is>
          <t>22.23-0-1.2-ERW 1-PE</t>
        </is>
      </c>
      <c r="AD615" t="inlineStr">
        <is>
          <t>LL</t>
        </is>
      </c>
      <c r="AE615" t="inlineStr">
        <is>
          <t>22.23-0-1.2-ERW 1-PE-1</t>
        </is>
      </c>
      <c r="AF615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616">
      <c r="A616" s="56" t="n">
        <v>3500650</v>
      </c>
      <c r="B616" s="56" t="inlineStr">
        <is>
          <t>TUB-O-N-AUT-BH-FC-42.70X3.500X6.000</t>
        </is>
      </c>
      <c r="C616" s="56" t="inlineStr">
        <is>
          <t>4B10AK3010</t>
        </is>
      </c>
      <c r="D616" s="57" t="n">
        <v>94.971</v>
      </c>
      <c r="E616" s="58" t="n">
        <v>1928</v>
      </c>
      <c r="F616" s="57" t="n">
        <v>1.928</v>
      </c>
      <c r="G616" s="56" t="inlineStr">
        <is>
          <t>KG</t>
        </is>
      </c>
      <c r="H616" s="56" t="inlineStr">
        <is>
          <t>R001</t>
        </is>
      </c>
      <c r="I616" s="56" t="inlineStr">
        <is>
          <t>0788</t>
        </is>
      </c>
      <c r="J616" s="56" t="inlineStr">
        <is>
          <t>95</t>
        </is>
      </c>
      <c r="K616" s="57" t="n">
        <v>569.807</v>
      </c>
      <c r="L616" s="56" t="inlineStr"/>
      <c r="M616" s="56" t="inlineStr">
        <is>
          <t>0</t>
        </is>
      </c>
      <c r="N616" s="56" t="inlineStr">
        <is>
          <t>Neel Metal Products Limited</t>
        </is>
      </c>
      <c r="O616" s="58" t="n">
        <v>62</v>
      </c>
      <c r="P616" s="59" t="inlineStr">
        <is>
          <t>61-90</t>
        </is>
      </c>
      <c r="Q616" s="56" t="inlineStr">
        <is>
          <t>Apoorv</t>
        </is>
      </c>
      <c r="U616" s="586" t="n">
        <v>111002305</v>
      </c>
      <c r="V616" t="n">
        <v>22.23</v>
      </c>
      <c r="W616" t="n">
        <v>0</v>
      </c>
      <c r="X616" t="n">
        <v>1.2</v>
      </c>
      <c r="Y616" t="n">
        <v>5.384</v>
      </c>
      <c r="Z616" t="inlineStr">
        <is>
          <t>WG</t>
        </is>
      </c>
      <c r="AA616" t="inlineStr">
        <is>
          <t>PE</t>
        </is>
      </c>
      <c r="AB616" t="inlineStr">
        <is>
          <t>AW</t>
        </is>
      </c>
      <c r="AC616" t="inlineStr">
        <is>
          <t>22.23-0-1.2-ERW 1-PE</t>
        </is>
      </c>
      <c r="AD616" t="inlineStr">
        <is>
          <t>LL</t>
        </is>
      </c>
      <c r="AE616" t="inlineStr">
        <is>
          <t>22.23-0-1.2-ERW 1-PE-1</t>
        </is>
      </c>
      <c r="AF616" t="n">
        <v>0.622042164</v>
      </c>
    </row>
    <row r="617">
      <c r="A617" s="56" t="n">
        <v>3500650</v>
      </c>
      <c r="B617" s="56" t="inlineStr">
        <is>
          <t>TUB-O-N-AUT-BH-FC-42.70X3.500X6.000</t>
        </is>
      </c>
      <c r="C617" s="56" t="inlineStr">
        <is>
          <t>4B10AK3020</t>
        </is>
      </c>
      <c r="D617" s="57" t="n">
        <v>111.965</v>
      </c>
      <c r="E617" s="58" t="n">
        <v>2273</v>
      </c>
      <c r="F617" s="57" t="n">
        <v>2.273</v>
      </c>
      <c r="G617" s="56" t="inlineStr">
        <is>
          <t>KG</t>
        </is>
      </c>
      <c r="H617" s="56" t="inlineStr">
        <is>
          <t>R001</t>
        </is>
      </c>
      <c r="I617" s="56" t="inlineStr">
        <is>
          <t>0788</t>
        </is>
      </c>
      <c r="J617" s="56" t="inlineStr">
        <is>
          <t>112</t>
        </is>
      </c>
      <c r="K617" s="57" t="n">
        <v>671.77</v>
      </c>
      <c r="L617" s="56" t="inlineStr"/>
      <c r="M617" s="56" t="inlineStr">
        <is>
          <t>0</t>
        </is>
      </c>
      <c r="N617" s="56" t="inlineStr">
        <is>
          <t>Neel Metal Products Limited</t>
        </is>
      </c>
      <c r="O617" s="58" t="n">
        <v>59</v>
      </c>
      <c r="P617" s="59" t="inlineStr">
        <is>
          <t>31-60</t>
        </is>
      </c>
      <c r="Q617" s="56" t="inlineStr">
        <is>
          <t>Apoorv</t>
        </is>
      </c>
      <c r="U617" s="586" t="n">
        <v>111002204</v>
      </c>
      <c r="V617" t="n">
        <v>22.23</v>
      </c>
      <c r="W617" t="n">
        <v>0</v>
      </c>
      <c r="X617" t="n">
        <v>1.2</v>
      </c>
      <c r="Y617" t="n">
        <v>5.535</v>
      </c>
      <c r="Z617" t="inlineStr">
        <is>
          <t>WG</t>
        </is>
      </c>
      <c r="AA617" t="inlineStr">
        <is>
          <t>PE</t>
        </is>
      </c>
      <c r="AB617" t="inlineStr">
        <is>
          <t>AW</t>
        </is>
      </c>
      <c r="AC617" t="inlineStr">
        <is>
          <t>22.23-0-1.2-ERW 1-PE</t>
        </is>
      </c>
      <c r="AD617" t="inlineStr">
        <is>
          <t>LL</t>
        </is>
      </c>
      <c r="AE617" t="inlineStr">
        <is>
          <t>22.23-0-1.2-ERW 1-PE-1</t>
        </is>
      </c>
      <c r="AF617" t="n">
        <v>0.622042164</v>
      </c>
    </row>
    <row r="618">
      <c r="A618" s="56" t="n">
        <v>3500650</v>
      </c>
      <c r="B618" s="56" t="inlineStr">
        <is>
          <t>TUB-O-N-AUT-BH-FC-42.70X3.500X6.000</t>
        </is>
      </c>
      <c r="C618" s="56" t="inlineStr">
        <is>
          <t>4B10AK3030</t>
        </is>
      </c>
      <c r="D618" s="57" t="n">
        <v>111.965</v>
      </c>
      <c r="E618" s="58" t="n">
        <v>2273</v>
      </c>
      <c r="F618" s="57" t="n">
        <v>2.273</v>
      </c>
      <c r="G618" s="56" t="inlineStr">
        <is>
          <t>KG</t>
        </is>
      </c>
      <c r="H618" s="56" t="inlineStr">
        <is>
          <t>R001</t>
        </is>
      </c>
      <c r="I618" s="56" t="inlineStr">
        <is>
          <t>0788</t>
        </is>
      </c>
      <c r="J618" s="56" t="inlineStr">
        <is>
          <t>112</t>
        </is>
      </c>
      <c r="K618" s="57" t="n">
        <v>671.77</v>
      </c>
      <c r="L618" s="56" t="inlineStr"/>
      <c r="M618" s="56" t="inlineStr">
        <is>
          <t>0</t>
        </is>
      </c>
      <c r="N618" s="56" t="inlineStr">
        <is>
          <t>Neel Metal Products Limited</t>
        </is>
      </c>
      <c r="O618" s="58" t="n">
        <v>59</v>
      </c>
      <c r="P618" s="59" t="inlineStr">
        <is>
          <t>31-60</t>
        </is>
      </c>
      <c r="Q618" s="56" t="inlineStr">
        <is>
          <t>Apoorv</t>
        </is>
      </c>
      <c r="U618" s="508" t="n">
        <v>3569248</v>
      </c>
      <c r="V618" t="n">
        <v>22.23</v>
      </c>
      <c r="W618" t="n">
        <v>0</v>
      </c>
      <c r="X618" t="n">
        <v>1.2</v>
      </c>
      <c r="Y618" t="n">
        <v>5.65</v>
      </c>
      <c r="Z618" t="inlineStr">
        <is>
          <t>WG</t>
        </is>
      </c>
      <c r="AA618" t="inlineStr">
        <is>
          <t>PE</t>
        </is>
      </c>
      <c r="AB618" t="inlineStr">
        <is>
          <t>AW</t>
        </is>
      </c>
      <c r="AC618" t="inlineStr">
        <is>
          <t>22.23-0-1.2-ERW 1-PE</t>
        </is>
      </c>
      <c r="AD618" t="inlineStr">
        <is>
          <t>LL</t>
        </is>
      </c>
      <c r="AE618" t="inlineStr">
        <is>
          <t>22.23-0-1.2-ERW 1-PE-1</t>
        </is>
      </c>
      <c r="AF618" t="n">
        <v>0.622042164</v>
      </c>
    </row>
    <row r="619">
      <c r="A619" s="56" t="n">
        <v>3500650</v>
      </c>
      <c r="B619" s="56" t="inlineStr">
        <is>
          <t>TUB-O-N-AUT-BH-FC-42.70X3.500X6.000</t>
        </is>
      </c>
      <c r="C619" s="56" t="inlineStr">
        <is>
          <t>4B10AK3050</t>
        </is>
      </c>
      <c r="D619" s="57" t="n">
        <v>122.014</v>
      </c>
      <c r="E619" s="58" t="n">
        <v>2477</v>
      </c>
      <c r="F619" s="57" t="n">
        <v>2.477</v>
      </c>
      <c r="G619" s="56" t="inlineStr">
        <is>
          <t>KG</t>
        </is>
      </c>
      <c r="H619" s="56" t="inlineStr">
        <is>
          <t>R001</t>
        </is>
      </c>
      <c r="I619" s="56" t="inlineStr">
        <is>
          <t>0788</t>
        </is>
      </c>
      <c r="J619" s="56" t="inlineStr">
        <is>
          <t>119</t>
        </is>
      </c>
      <c r="K619" s="57" t="n">
        <v>732.061</v>
      </c>
      <c r="L619" s="56" t="inlineStr"/>
      <c r="M619" s="56" t="inlineStr">
        <is>
          <t>0</t>
        </is>
      </c>
      <c r="N619" s="56" t="inlineStr">
        <is>
          <t>Neel Metal Products Limited</t>
        </is>
      </c>
      <c r="O619" s="58" t="n">
        <v>61</v>
      </c>
      <c r="P619" s="59" t="inlineStr">
        <is>
          <t>61-90</t>
        </is>
      </c>
      <c r="Q619" s="56" t="inlineStr">
        <is>
          <t>Apoorv</t>
        </is>
      </c>
      <c r="U619" s="586" t="n">
        <v>110102502</v>
      </c>
      <c r="V619" t="n">
        <v>22.23</v>
      </c>
      <c r="W619" t="n">
        <v>0</v>
      </c>
      <c r="X619" t="n">
        <v>1.2</v>
      </c>
      <c r="Y619" t="n">
        <v>5.65</v>
      </c>
      <c r="Z619" t="inlineStr">
        <is>
          <t>WG</t>
        </is>
      </c>
      <c r="AA619" t="inlineStr">
        <is>
          <t>PE</t>
        </is>
      </c>
      <c r="AB619" t="inlineStr">
        <is>
          <t>AW</t>
        </is>
      </c>
      <c r="AC619" t="inlineStr">
        <is>
          <t>22.23-0-1.2-ERW 1-PE</t>
        </is>
      </c>
      <c r="AD619" t="inlineStr">
        <is>
          <t>LL</t>
        </is>
      </c>
      <c r="AE619" t="inlineStr">
        <is>
          <t>22.23-0-1.2-ERW 1-PE-1</t>
        </is>
      </c>
      <c r="AF619" t="n">
        <v>0.622042164</v>
      </c>
    </row>
    <row r="620">
      <c r="A620" s="56" t="n">
        <v>3500650</v>
      </c>
      <c r="B620" s="56" t="inlineStr">
        <is>
          <t>TUB-O-N-AUT-BH-FC-42.70X3.500X6.000</t>
        </is>
      </c>
      <c r="C620" s="56" t="inlineStr">
        <is>
          <t>4B10AK3070</t>
        </is>
      </c>
      <c r="D620" s="57" t="n">
        <v>126.151</v>
      </c>
      <c r="E620" s="58" t="n">
        <v>2561</v>
      </c>
      <c r="F620" s="57" t="n">
        <v>2.561</v>
      </c>
      <c r="G620" s="56" t="inlineStr">
        <is>
          <t>KG</t>
        </is>
      </c>
      <c r="H620" s="56" t="inlineStr">
        <is>
          <t>R001</t>
        </is>
      </c>
      <c r="I620" s="56" t="inlineStr">
        <is>
          <t>0788</t>
        </is>
      </c>
      <c r="J620" s="56" t="inlineStr">
        <is>
          <t>123</t>
        </is>
      </c>
      <c r="K620" s="57" t="n">
        <v>756.886</v>
      </c>
      <c r="L620" s="56" t="inlineStr"/>
      <c r="M620" s="56" t="inlineStr">
        <is>
          <t>0</t>
        </is>
      </c>
      <c r="N620" s="56" t="inlineStr">
        <is>
          <t>Neel Metal Products Limited</t>
        </is>
      </c>
      <c r="O620" s="58" t="n">
        <v>62</v>
      </c>
      <c r="P620" s="59" t="inlineStr">
        <is>
          <t>61-90</t>
        </is>
      </c>
      <c r="Q620" s="56" t="inlineStr">
        <is>
          <t>Apoorv</t>
        </is>
      </c>
      <c r="U620" s="585" t="n">
        <v>3183145</v>
      </c>
      <c r="V620" t="n">
        <v>22.23</v>
      </c>
      <c r="W620" t="n">
        <v>0</v>
      </c>
      <c r="X620" t="n">
        <v>1.2</v>
      </c>
      <c r="Y620" t="n">
        <v>5.85</v>
      </c>
      <c r="Z620" t="inlineStr">
        <is>
          <t>WG</t>
        </is>
      </c>
      <c r="AA620" t="inlineStr">
        <is>
          <t>PE</t>
        </is>
      </c>
      <c r="AB620" t="inlineStr">
        <is>
          <t>AW</t>
        </is>
      </c>
      <c r="AC620" t="inlineStr">
        <is>
          <t>22.23-0-1.2-ERW 1-PE</t>
        </is>
      </c>
      <c r="AD620" t="inlineStr">
        <is>
          <t>LL</t>
        </is>
      </c>
      <c r="AE620" t="inlineStr">
        <is>
          <t>22.23-0-1.2-ERW 1-PE-1</t>
        </is>
      </c>
      <c r="AF620" t="n">
        <v>0.622042164</v>
      </c>
    </row>
    <row r="621">
      <c r="A621" s="56" t="n">
        <v>3500650</v>
      </c>
      <c r="B621" s="56" t="inlineStr">
        <is>
          <t>TUB-O-N-AUT-BH-FC-42.70X3.500X6.000</t>
        </is>
      </c>
      <c r="C621" s="56" t="inlineStr">
        <is>
          <t>4B10AK3080</t>
        </is>
      </c>
      <c r="D621" s="57" t="n">
        <v>120.93</v>
      </c>
      <c r="E621" s="58" t="n">
        <v>2455</v>
      </c>
      <c r="F621" s="57" t="n">
        <v>2.455</v>
      </c>
      <c r="G621" s="56" t="inlineStr">
        <is>
          <t>KG</t>
        </is>
      </c>
      <c r="H621" s="56" t="inlineStr">
        <is>
          <t>R001</t>
        </is>
      </c>
      <c r="I621" s="56" t="inlineStr">
        <is>
          <t>0788</t>
        </is>
      </c>
      <c r="J621" s="56" t="inlineStr">
        <is>
          <t>121</t>
        </is>
      </c>
      <c r="K621" s="57" t="n">
        <v>725.559</v>
      </c>
      <c r="L621" s="56" t="inlineStr"/>
      <c r="M621" s="56" t="inlineStr">
        <is>
          <t>0</t>
        </is>
      </c>
      <c r="N621" s="56" t="inlineStr">
        <is>
          <t>Neel Metal Products Limited</t>
        </is>
      </c>
      <c r="O621" s="58" t="n">
        <v>61</v>
      </c>
      <c r="P621" s="59" t="inlineStr">
        <is>
          <t>61-90</t>
        </is>
      </c>
      <c r="Q621" s="56" t="inlineStr">
        <is>
          <t>Apoorv</t>
        </is>
      </c>
      <c r="U621" t="n">
        <v>3575893</v>
      </c>
      <c r="V621" t="n">
        <v>22.23</v>
      </c>
      <c r="W621" t="n">
        <v>0</v>
      </c>
      <c r="X621" t="n">
        <v>1.2</v>
      </c>
      <c r="Y621" t="n">
        <v>5.885</v>
      </c>
      <c r="Z621" t="inlineStr">
        <is>
          <t>WG</t>
        </is>
      </c>
      <c r="AA621" t="inlineStr">
        <is>
          <t>PE</t>
        </is>
      </c>
      <c r="AB621" t="inlineStr">
        <is>
          <t>AW</t>
        </is>
      </c>
      <c r="AC621" t="inlineStr">
        <is>
          <t>22.23-0-1.2-ERW 1-PE</t>
        </is>
      </c>
      <c r="AD621" t="inlineStr">
        <is>
          <t>LL</t>
        </is>
      </c>
      <c r="AE621" t="inlineStr">
        <is>
          <t>22.23-0-1.2-ERW 1-PE-1</t>
        </is>
      </c>
      <c r="AF621" t="n">
        <v>0.622042164</v>
      </c>
    </row>
    <row r="622">
      <c r="A622" s="56" t="n">
        <v>3500650</v>
      </c>
      <c r="B622" s="56" t="inlineStr">
        <is>
          <t>TUB-O-N-AUT-BH-FC-42.70X3.500X6.000</t>
        </is>
      </c>
      <c r="C622" s="56" t="inlineStr">
        <is>
          <t>4B10AK3100</t>
        </is>
      </c>
      <c r="D622" s="57" t="n">
        <v>121.964</v>
      </c>
      <c r="E622" s="58" t="n">
        <v>2476</v>
      </c>
      <c r="F622" s="57" t="n">
        <v>2.476</v>
      </c>
      <c r="G622" s="56" t="inlineStr">
        <is>
          <t>KG</t>
        </is>
      </c>
      <c r="H622" s="56" t="inlineStr">
        <is>
          <t>R001</t>
        </is>
      </c>
      <c r="I622" s="56" t="inlineStr">
        <is>
          <t>0788</t>
        </is>
      </c>
      <c r="J622" s="56" t="inlineStr">
        <is>
          <t>122</t>
        </is>
      </c>
      <c r="K622" s="57" t="n">
        <v>731.765</v>
      </c>
      <c r="L622" s="56" t="inlineStr"/>
      <c r="M622" s="56" t="inlineStr">
        <is>
          <t>0</t>
        </is>
      </c>
      <c r="N622" s="56" t="inlineStr">
        <is>
          <t>Neel Metal Products Limited</t>
        </is>
      </c>
      <c r="O622" s="58" t="n">
        <v>59</v>
      </c>
      <c r="P622" s="59" t="inlineStr">
        <is>
          <t>31-60</t>
        </is>
      </c>
      <c r="Q622" s="56" t="inlineStr">
        <is>
          <t>Apoorv</t>
        </is>
      </c>
      <c r="U622" s="586" t="n">
        <v>110102503</v>
      </c>
      <c r="V622" t="n">
        <v>22.23</v>
      </c>
      <c r="W622" t="n">
        <v>0</v>
      </c>
      <c r="X622" t="n">
        <v>1.2</v>
      </c>
      <c r="Y622" t="n">
        <v>5.885</v>
      </c>
      <c r="Z622" t="inlineStr">
        <is>
          <t>WG</t>
        </is>
      </c>
      <c r="AA622" t="inlineStr">
        <is>
          <t>PE</t>
        </is>
      </c>
      <c r="AB622" t="inlineStr">
        <is>
          <t>AW</t>
        </is>
      </c>
      <c r="AC622" t="inlineStr">
        <is>
          <t>22.23-0-1.2-ERW 1-PE</t>
        </is>
      </c>
      <c r="AD622" t="inlineStr">
        <is>
          <t>LL</t>
        </is>
      </c>
      <c r="AE622" t="inlineStr">
        <is>
          <t>22.23-0-1.2-ERW 1-PE-1</t>
        </is>
      </c>
      <c r="AF622" t="n">
        <v>0.622042164</v>
      </c>
    </row>
    <row r="623">
      <c r="A623" s="56" t="n">
        <v>3500650</v>
      </c>
      <c r="B623" s="56" t="inlineStr">
        <is>
          <t>TUB-O-N-AUT-BH-FC-42.70X3.500X6.000</t>
        </is>
      </c>
      <c r="C623" s="56" t="inlineStr">
        <is>
          <t>4B10AK3110</t>
        </is>
      </c>
      <c r="D623" s="57" t="n">
        <v>119.945</v>
      </c>
      <c r="E623" s="58" t="n">
        <v>2435</v>
      </c>
      <c r="F623" s="57" t="n">
        <v>2.435</v>
      </c>
      <c r="G623" s="56" t="inlineStr">
        <is>
          <t>KG</t>
        </is>
      </c>
      <c r="H623" s="56" t="inlineStr">
        <is>
          <t>R001</t>
        </is>
      </c>
      <c r="I623" s="56" t="inlineStr">
        <is>
          <t>0788</t>
        </is>
      </c>
      <c r="J623" s="56" t="inlineStr">
        <is>
          <t>120</t>
        </is>
      </c>
      <c r="K623" s="57" t="n">
        <v>719.648</v>
      </c>
      <c r="L623" s="56" t="inlineStr"/>
      <c r="M623" s="56" t="inlineStr">
        <is>
          <t>0</t>
        </is>
      </c>
      <c r="N623" s="56" t="inlineStr">
        <is>
          <t>Neel Metal Products Limited</t>
        </is>
      </c>
      <c r="O623" s="58" t="n">
        <v>62</v>
      </c>
      <c r="P623" s="59" t="inlineStr">
        <is>
          <t>61-90</t>
        </is>
      </c>
      <c r="Q623" s="56" t="inlineStr">
        <is>
          <t>Apoorv</t>
        </is>
      </c>
      <c r="U623" s="508" t="n">
        <v>3183146</v>
      </c>
      <c r="V623" t="n">
        <v>22.23</v>
      </c>
      <c r="W623" t="n">
        <v>0</v>
      </c>
      <c r="X623" t="n">
        <v>1.2</v>
      </c>
      <c r="Y623" t="n">
        <v>5.96</v>
      </c>
      <c r="Z623" t="inlineStr">
        <is>
          <t>WG</t>
        </is>
      </c>
      <c r="AA623" t="inlineStr">
        <is>
          <t>PE</t>
        </is>
      </c>
      <c r="AB623" t="inlineStr">
        <is>
          <t>AW</t>
        </is>
      </c>
      <c r="AC623" t="inlineStr">
        <is>
          <t>22.23-0-1.2-ERW 1-PE</t>
        </is>
      </c>
      <c r="AD623" t="inlineStr">
        <is>
          <t>LL</t>
        </is>
      </c>
      <c r="AE623" t="inlineStr">
        <is>
          <t>22.23-0-1.2-ERW 1-PE-1</t>
        </is>
      </c>
      <c r="AF623" t="n">
        <v>0.622042164</v>
      </c>
    </row>
    <row r="624">
      <c r="A624" s="56" t="n">
        <v>3500650</v>
      </c>
      <c r="B624" s="56" t="inlineStr">
        <is>
          <t>TUB-O-N-AUT-BH-FC-42.70X3.500X6.000</t>
        </is>
      </c>
      <c r="C624" s="56" t="inlineStr">
        <is>
          <t>4B10AK3130</t>
        </is>
      </c>
      <c r="D624" s="57" t="n">
        <v>127.137</v>
      </c>
      <c r="E624" s="58" t="n">
        <v>2581</v>
      </c>
      <c r="F624" s="57" t="n">
        <v>2.581</v>
      </c>
      <c r="G624" s="56" t="inlineStr">
        <is>
          <t>KG</t>
        </is>
      </c>
      <c r="H624" s="56" t="inlineStr">
        <is>
          <t>R001</t>
        </is>
      </c>
      <c r="I624" s="56" t="inlineStr">
        <is>
          <t>0788</t>
        </is>
      </c>
      <c r="J624" s="56" t="inlineStr">
        <is>
          <t>124</t>
        </is>
      </c>
      <c r="K624" s="57" t="n">
        <v>762.797</v>
      </c>
      <c r="L624" s="56" t="inlineStr"/>
      <c r="M624" s="56" t="inlineStr">
        <is>
          <t>0</t>
        </is>
      </c>
      <c r="N624" s="56" t="inlineStr">
        <is>
          <t>Neel Metal Products Limited</t>
        </is>
      </c>
      <c r="O624" s="58" t="n">
        <v>62</v>
      </c>
      <c r="P624" s="59" t="inlineStr">
        <is>
          <t>61-90</t>
        </is>
      </c>
      <c r="Q624" s="56" t="inlineStr">
        <is>
          <t>Apoorv</t>
        </is>
      </c>
      <c r="U624" s="585" t="n">
        <v>1940369</v>
      </c>
      <c r="V624" t="n">
        <v>22.23</v>
      </c>
      <c r="W624" t="n">
        <v>0</v>
      </c>
      <c r="X624" t="n">
        <v>1.2</v>
      </c>
      <c r="Y624" t="n">
        <v>6</v>
      </c>
      <c r="Z624" t="inlineStr">
        <is>
          <t>WG</t>
        </is>
      </c>
      <c r="AA624" t="inlineStr">
        <is>
          <t>PE</t>
        </is>
      </c>
      <c r="AB624" t="inlineStr">
        <is>
          <t>AW</t>
        </is>
      </c>
      <c r="AC624" t="inlineStr">
        <is>
          <t>22.23-0-1.2-ERW 1-PE</t>
        </is>
      </c>
      <c r="AD624" t="inlineStr">
        <is>
          <t>LL</t>
        </is>
      </c>
      <c r="AE624" t="inlineStr">
        <is>
          <t>22.23-0-1.2-ERW 1-PE-1</t>
        </is>
      </c>
      <c r="AF624" t="n">
        <v>0.622042164</v>
      </c>
    </row>
    <row r="625">
      <c r="A625" s="56" t="n">
        <v>3500650</v>
      </c>
      <c r="B625" s="56" t="inlineStr">
        <is>
          <t>TUB-O-N-AUT-BH-FC-42.70X3.500X6.000</t>
        </is>
      </c>
      <c r="C625" s="56" t="inlineStr">
        <is>
          <t>4B10AK3140</t>
        </is>
      </c>
      <c r="D625" s="57" t="n">
        <v>122.014</v>
      </c>
      <c r="E625" s="58" t="n">
        <v>2477</v>
      </c>
      <c r="F625" s="57" t="n">
        <v>2.477</v>
      </c>
      <c r="G625" s="56" t="inlineStr">
        <is>
          <t>KG</t>
        </is>
      </c>
      <c r="H625" s="56" t="inlineStr">
        <is>
          <t>R001</t>
        </is>
      </c>
      <c r="I625" s="56" t="inlineStr">
        <is>
          <t>0788</t>
        </is>
      </c>
      <c r="J625" s="56" t="inlineStr">
        <is>
          <t>119</t>
        </is>
      </c>
      <c r="K625" s="57" t="n">
        <v>732.061</v>
      </c>
      <c r="L625" s="56" t="inlineStr"/>
      <c r="M625" s="56" t="inlineStr">
        <is>
          <t>0</t>
        </is>
      </c>
      <c r="N625" s="56" t="inlineStr">
        <is>
          <t>Neel Metal Products Limited</t>
        </is>
      </c>
      <c r="O625" s="58" t="n">
        <v>61</v>
      </c>
      <c r="P625" s="59" t="inlineStr">
        <is>
          <t>61-90</t>
        </is>
      </c>
      <c r="Q625" s="56" t="inlineStr">
        <is>
          <t>Apoorv</t>
        </is>
      </c>
      <c r="U625" s="28" t="n">
        <v>3701572</v>
      </c>
      <c r="V625" t="n">
        <v>22.23</v>
      </c>
      <c r="W625" t="n">
        <v>0</v>
      </c>
      <c r="X625" t="n">
        <v>1.2</v>
      </c>
      <c r="Y625" t="n">
        <v>6</v>
      </c>
      <c r="Z625" t="inlineStr">
        <is>
          <t>WG</t>
        </is>
      </c>
      <c r="AA625" t="inlineStr">
        <is>
          <t>PE</t>
        </is>
      </c>
      <c r="AB625" t="inlineStr">
        <is>
          <t>AW</t>
        </is>
      </c>
      <c r="AC625" t="inlineStr">
        <is>
          <t>22.23-0-1.2-ERW 1-PE</t>
        </is>
      </c>
      <c r="AD625" t="inlineStr">
        <is>
          <t>LL</t>
        </is>
      </c>
      <c r="AE625" t="inlineStr">
        <is>
          <t>22.23-0-1.2-ERW 1-PE-1</t>
        </is>
      </c>
      <c r="AF625" t="n">
        <v>0.622042164</v>
      </c>
    </row>
    <row r="626">
      <c r="A626" s="56" t="n">
        <v>3500650</v>
      </c>
      <c r="B626" s="56" t="inlineStr">
        <is>
          <t>TUB-O-N-AUT-BH-FC-42.70X3.500X6.000</t>
        </is>
      </c>
      <c r="C626" s="56" t="inlineStr">
        <is>
          <t>4B10AK3160</t>
        </is>
      </c>
      <c r="D626" s="57" t="n">
        <v>113.935</v>
      </c>
      <c r="E626" s="58" t="n">
        <v>2313</v>
      </c>
      <c r="F626" s="57" t="n">
        <v>2.313</v>
      </c>
      <c r="G626" s="56" t="inlineStr">
        <is>
          <t>KG</t>
        </is>
      </c>
      <c r="H626" s="56" t="inlineStr">
        <is>
          <t>R001</t>
        </is>
      </c>
      <c r="I626" s="56" t="inlineStr">
        <is>
          <t>0788</t>
        </is>
      </c>
      <c r="J626" s="56" t="inlineStr">
        <is>
          <t>114</t>
        </is>
      </c>
      <c r="K626" s="57" t="n">
        <v>683.591</v>
      </c>
      <c r="L626" s="56" t="inlineStr"/>
      <c r="M626" s="56" t="inlineStr">
        <is>
          <t>0</t>
        </is>
      </c>
      <c r="N626" s="56" t="inlineStr">
        <is>
          <t>Neel Metal Products Limited</t>
        </is>
      </c>
      <c r="O626" s="58" t="n">
        <v>55</v>
      </c>
      <c r="P626" s="59" t="inlineStr">
        <is>
          <t>31-60</t>
        </is>
      </c>
      <c r="Q626" s="56" t="inlineStr">
        <is>
          <t>Apoorv</t>
        </is>
      </c>
      <c r="U626" s="586" t="n">
        <v>110102509</v>
      </c>
      <c r="V626" t="n">
        <v>22.23</v>
      </c>
      <c r="W626" t="n">
        <v>0</v>
      </c>
      <c r="X626" t="n">
        <v>1.2</v>
      </c>
      <c r="Y626" t="n">
        <v>6</v>
      </c>
      <c r="Z626" t="inlineStr">
        <is>
          <t>WG</t>
        </is>
      </c>
      <c r="AA626" t="inlineStr">
        <is>
          <t>PE</t>
        </is>
      </c>
      <c r="AB626" t="inlineStr">
        <is>
          <t>AW</t>
        </is>
      </c>
      <c r="AC626" t="inlineStr">
        <is>
          <t>22.23-0-1.2-ERW 1-PE</t>
        </is>
      </c>
      <c r="AD626" t="inlineStr">
        <is>
          <t>LL</t>
        </is>
      </c>
      <c r="AE626" t="inlineStr">
        <is>
          <t>22.23-0-1.2-ERW 1-PE-1</t>
        </is>
      </c>
      <c r="AF626" t="n">
        <v>0.622042164</v>
      </c>
    </row>
    <row r="627">
      <c r="A627" s="56" t="n">
        <v>3500650</v>
      </c>
      <c r="B627" s="56" t="inlineStr">
        <is>
          <t>TUB-O-N-AUT-BH-FC-42.70X3.500X6.000</t>
        </is>
      </c>
      <c r="C627" s="56" t="inlineStr">
        <is>
          <t>4B10BK3100</t>
        </is>
      </c>
      <c r="D627" s="57" t="n">
        <v>116.94</v>
      </c>
      <c r="E627" s="58" t="n">
        <v>2374</v>
      </c>
      <c r="F627" s="57" t="n">
        <v>2.374</v>
      </c>
      <c r="G627" s="56" t="inlineStr">
        <is>
          <t>KG</t>
        </is>
      </c>
      <c r="H627" s="56" t="inlineStr">
        <is>
          <t>R001</t>
        </is>
      </c>
      <c r="I627" s="56" t="inlineStr">
        <is>
          <t>0788</t>
        </is>
      </c>
      <c r="J627" s="56" t="inlineStr">
        <is>
          <t>117</t>
        </is>
      </c>
      <c r="K627" s="57" t="n">
        <v>701.62</v>
      </c>
      <c r="L627" s="56" t="inlineStr"/>
      <c r="M627" s="56" t="inlineStr">
        <is>
          <t>0</t>
        </is>
      </c>
      <c r="N627" s="56" t="inlineStr">
        <is>
          <t>Neel Metal Products Limited</t>
        </is>
      </c>
      <c r="O627" s="58" t="n">
        <v>59</v>
      </c>
      <c r="P627" s="59" t="inlineStr">
        <is>
          <t>31-60</t>
        </is>
      </c>
      <c r="Q627" s="56" t="inlineStr">
        <is>
          <t>Apoorv</t>
        </is>
      </c>
      <c r="U627" s="586" t="n">
        <v>110102496</v>
      </c>
      <c r="V627" t="n">
        <v>22.23</v>
      </c>
      <c r="W627" t="n">
        <v>0</v>
      </c>
      <c r="X627" t="n">
        <v>1.2</v>
      </c>
      <c r="Y627" t="n">
        <v>6.13</v>
      </c>
      <c r="Z627" t="inlineStr">
        <is>
          <t>WG</t>
        </is>
      </c>
      <c r="AA627" t="inlineStr">
        <is>
          <t>PE</t>
        </is>
      </c>
      <c r="AB627" t="inlineStr">
        <is>
          <t>AW</t>
        </is>
      </c>
      <c r="AC627" t="inlineStr">
        <is>
          <t>22.23-0-1.2-ERW 1-PE</t>
        </is>
      </c>
      <c r="AD627" t="inlineStr">
        <is>
          <t>LL</t>
        </is>
      </c>
      <c r="AE627" t="inlineStr">
        <is>
          <t>22.23-0-1.2-ERW 1-PE-1</t>
        </is>
      </c>
      <c r="AF627" t="n">
        <v>0.622042164</v>
      </c>
    </row>
    <row r="628">
      <c r="A628" s="56" t="n">
        <v>3500650</v>
      </c>
      <c r="B628" s="56" t="inlineStr">
        <is>
          <t>TUB-O-N-AUT-BH-FC-42.70X3.500X6.000</t>
        </is>
      </c>
      <c r="C628" s="56" t="inlineStr">
        <is>
          <t>4B10BK3110</t>
        </is>
      </c>
      <c r="D628" s="57" t="n">
        <v>114.97</v>
      </c>
      <c r="E628" s="58" t="n">
        <v>2334</v>
      </c>
      <c r="F628" s="57" t="n">
        <v>2.334</v>
      </c>
      <c r="G628" s="56" t="inlineStr">
        <is>
          <t>KG</t>
        </is>
      </c>
      <c r="H628" s="56" t="inlineStr">
        <is>
          <t>R001</t>
        </is>
      </c>
      <c r="I628" s="56" t="inlineStr">
        <is>
          <t>0788</t>
        </is>
      </c>
      <c r="J628" s="56" t="inlineStr">
        <is>
          <t>115</t>
        </is>
      </c>
      <c r="K628" s="57" t="n">
        <v>689.798</v>
      </c>
      <c r="L628" s="56" t="inlineStr"/>
      <c r="M628" s="56" t="inlineStr">
        <is>
          <t>0</t>
        </is>
      </c>
      <c r="N628" s="56" t="inlineStr">
        <is>
          <t>Neel Metal Products Limited</t>
        </is>
      </c>
      <c r="O628" s="58" t="n">
        <v>59</v>
      </c>
      <c r="P628" s="59" t="inlineStr">
        <is>
          <t>31-60</t>
        </is>
      </c>
      <c r="Q628" s="56" t="inlineStr">
        <is>
          <t>Apoorv</t>
        </is>
      </c>
      <c r="U628" s="585" t="n">
        <v>3929577</v>
      </c>
      <c r="V628" s="546" t="n">
        <v>22.23</v>
      </c>
      <c r="W628" s="546" t="n">
        <v>0</v>
      </c>
      <c r="X628" s="547" t="n">
        <v>1.2</v>
      </c>
      <c r="Y628" s="610" t="n">
        <v>6.13</v>
      </c>
      <c r="Z628" t="inlineStr">
        <is>
          <t>WG</t>
        </is>
      </c>
      <c r="AA628" t="inlineStr">
        <is>
          <t>PE</t>
        </is>
      </c>
      <c r="AB628" t="inlineStr">
        <is>
          <t>AW</t>
        </is>
      </c>
      <c r="AC628" t="inlineStr">
        <is>
          <t>22.23-0-1.2-ERW 1-PE</t>
        </is>
      </c>
      <c r="AD628" t="inlineStr">
        <is>
          <t>LL</t>
        </is>
      </c>
      <c r="AE628" t="inlineStr">
        <is>
          <t>22.23-0-1.2-ERW 1-PE-1</t>
        </is>
      </c>
      <c r="AF628" t="n">
        <v>0.622042164</v>
      </c>
    </row>
    <row r="629">
      <c r="A629" s="56" t="n">
        <v>3500650</v>
      </c>
      <c r="B629" s="56" t="inlineStr">
        <is>
          <t>TUB-O-N-AUT-BH-FC-42.70X3.500X6.000</t>
        </is>
      </c>
      <c r="C629" s="56" t="inlineStr">
        <is>
          <t>4B10BK3120</t>
        </is>
      </c>
      <c r="D629" s="57" t="n">
        <v>115.955</v>
      </c>
      <c r="E629" s="58" t="n">
        <v>2354</v>
      </c>
      <c r="F629" s="57" t="n">
        <v>2.354</v>
      </c>
      <c r="G629" s="56" t="inlineStr">
        <is>
          <t>KG</t>
        </is>
      </c>
      <c r="H629" s="56" t="inlineStr">
        <is>
          <t>R001</t>
        </is>
      </c>
      <c r="I629" s="56" t="inlineStr">
        <is>
          <t>0788</t>
        </is>
      </c>
      <c r="J629" s="56" t="inlineStr">
        <is>
          <t>116</t>
        </is>
      </c>
      <c r="K629" s="57" t="n">
        <v>695.7089999999999</v>
      </c>
      <c r="L629" s="56" t="inlineStr"/>
      <c r="M629" s="56" t="inlineStr">
        <is>
          <t>0</t>
        </is>
      </c>
      <c r="N629" s="56" t="inlineStr">
        <is>
          <t>Neel Metal Products Limited</t>
        </is>
      </c>
      <c r="O629" s="58" t="n">
        <v>62</v>
      </c>
      <c r="P629" s="59" t="inlineStr">
        <is>
          <t>61-90</t>
        </is>
      </c>
      <c r="Q629" s="56" t="inlineStr">
        <is>
          <t>Apoorv</t>
        </is>
      </c>
      <c r="U629" s="585" t="n">
        <v>2364549</v>
      </c>
      <c r="V629" t="n">
        <v>22.23</v>
      </c>
      <c r="W629" t="n">
        <v>0</v>
      </c>
      <c r="X629" t="n">
        <v>1.2</v>
      </c>
      <c r="Y629" t="n">
        <v>6.4</v>
      </c>
      <c r="Z629" t="inlineStr">
        <is>
          <t>HROP</t>
        </is>
      </c>
      <c r="AA629" t="inlineStr">
        <is>
          <t>PE</t>
        </is>
      </c>
      <c r="AB629" t="inlineStr">
        <is>
          <t>AW</t>
        </is>
      </c>
      <c r="AC629" t="inlineStr">
        <is>
          <t>22.23-0-1.2-ERW 1-PE</t>
        </is>
      </c>
      <c r="AD629" t="inlineStr">
        <is>
          <t>LL</t>
        </is>
      </c>
      <c r="AE629" t="inlineStr">
        <is>
          <t>22.23-0-1.2-ERW 1-PE-1</t>
        </is>
      </c>
      <c r="AF629" t="n">
        <v>0.622042164</v>
      </c>
    </row>
    <row r="630">
      <c r="A630" s="56" t="n">
        <v>3500650</v>
      </c>
      <c r="B630" s="56" t="inlineStr">
        <is>
          <t>TUB-O-N-AUT-BH-FC-42.70X3.500X6.000</t>
        </is>
      </c>
      <c r="C630" s="56" t="inlineStr">
        <is>
          <t>4B10BK3140</t>
        </is>
      </c>
      <c r="D630" s="57" t="n">
        <v>117.925</v>
      </c>
      <c r="E630" s="58" t="n">
        <v>2394</v>
      </c>
      <c r="F630" s="57" t="n">
        <v>2.394</v>
      </c>
      <c r="G630" s="56" t="inlineStr">
        <is>
          <t>KG</t>
        </is>
      </c>
      <c r="H630" s="56" t="inlineStr">
        <is>
          <t>R001</t>
        </is>
      </c>
      <c r="I630" s="56" t="inlineStr">
        <is>
          <t>0788</t>
        </is>
      </c>
      <c r="J630" s="56" t="inlineStr">
        <is>
          <t>115</t>
        </is>
      </c>
      <c r="K630" s="57" t="n">
        <v>707.53</v>
      </c>
      <c r="L630" s="56" t="inlineStr"/>
      <c r="M630" s="56" t="inlineStr">
        <is>
          <t>0</t>
        </is>
      </c>
      <c r="N630" s="56" t="inlineStr">
        <is>
          <t>Neel Metal Products Limited</t>
        </is>
      </c>
      <c r="O630" s="58" t="n">
        <v>62</v>
      </c>
      <c r="P630" s="59" t="inlineStr">
        <is>
          <t>61-90</t>
        </is>
      </c>
      <c r="Q630" s="56" t="inlineStr">
        <is>
          <t>Apoorv</t>
        </is>
      </c>
      <c r="U630" s="585" t="n">
        <v>2404870</v>
      </c>
      <c r="V630" t="n">
        <v>22.23</v>
      </c>
      <c r="W630" t="n">
        <v>0</v>
      </c>
      <c r="X630" t="n">
        <v>1.4</v>
      </c>
      <c r="Y630" t="n">
        <v>5.885</v>
      </c>
      <c r="Z630" t="inlineStr">
        <is>
          <t>SAE1020</t>
        </is>
      </c>
      <c r="AA630" t="inlineStr">
        <is>
          <t>PE</t>
        </is>
      </c>
      <c r="AB630" t="inlineStr">
        <is>
          <t>AW</t>
        </is>
      </c>
      <c r="AC630" t="inlineStr">
        <is>
          <t>check thickness usage</t>
        </is>
      </c>
      <c r="AD630" t="inlineStr">
        <is>
          <t>LL</t>
        </is>
      </c>
      <c r="AE630" t="inlineStr">
        <is>
          <t>check thickness usage-1</t>
        </is>
      </c>
      <c r="AF630" t="n">
        <v>0.718814138</v>
      </c>
    </row>
    <row r="631">
      <c r="A631" s="56" t="n">
        <v>3500650</v>
      </c>
      <c r="B631" s="56" t="inlineStr">
        <is>
          <t>TUB-O-N-AUT-BH-FC-42.70X3.500X6.000</t>
        </is>
      </c>
      <c r="C631" s="56" t="inlineStr">
        <is>
          <t>4B10BK3170</t>
        </is>
      </c>
      <c r="D631" s="57" t="n">
        <v>97.97499999999999</v>
      </c>
      <c r="E631" s="58" t="n">
        <v>1989</v>
      </c>
      <c r="F631" s="57" t="n">
        <v>1.989</v>
      </c>
      <c r="G631" s="56" t="inlineStr">
        <is>
          <t>KG</t>
        </is>
      </c>
      <c r="H631" s="56" t="inlineStr">
        <is>
          <t>R001</t>
        </is>
      </c>
      <c r="I631" s="56" t="inlineStr">
        <is>
          <t>0788</t>
        </is>
      </c>
      <c r="J631" s="56" t="inlineStr">
        <is>
          <t>98</t>
        </is>
      </c>
      <c r="K631" s="57" t="n">
        <v>587.835</v>
      </c>
      <c r="L631" s="56" t="inlineStr"/>
      <c r="M631" s="56" t="inlineStr">
        <is>
          <t>0</t>
        </is>
      </c>
      <c r="N631" s="56" t="inlineStr">
        <is>
          <t>Neel Metal Products Limited</t>
        </is>
      </c>
      <c r="O631" s="58" t="n">
        <v>59</v>
      </c>
      <c r="P631" s="59" t="inlineStr">
        <is>
          <t>31-60</t>
        </is>
      </c>
      <c r="Q631" s="56" t="inlineStr">
        <is>
          <t>Apoorv</t>
        </is>
      </c>
      <c r="U631" s="585" t="n">
        <v>3702143</v>
      </c>
      <c r="V631" t="n">
        <v>22.23</v>
      </c>
      <c r="W631" t="n">
        <v>0</v>
      </c>
      <c r="X631" t="n">
        <v>1.4</v>
      </c>
      <c r="Y631" t="n">
        <v>6</v>
      </c>
      <c r="Z631" t="inlineStr">
        <is>
          <t>WG</t>
        </is>
      </c>
      <c r="AA631" t="inlineStr">
        <is>
          <t>PE</t>
        </is>
      </c>
      <c r="AB631" t="inlineStr">
        <is>
          <t>AW</t>
        </is>
      </c>
      <c r="AC631" t="inlineStr">
        <is>
          <t>check thickness usage</t>
        </is>
      </c>
      <c r="AD631" t="inlineStr">
        <is>
          <t>LL</t>
        </is>
      </c>
      <c r="AE631" t="inlineStr">
        <is>
          <t>check thickness usage-1</t>
        </is>
      </c>
      <c r="AF631" t="n">
        <v>0.718814138</v>
      </c>
    </row>
    <row r="632">
      <c r="A632" s="56" t="n">
        <v>3500650</v>
      </c>
      <c r="B632" s="56" t="inlineStr">
        <is>
          <t>TUB-O-N-AUT-BH-FC-42.70X3.500X6.000</t>
        </is>
      </c>
      <c r="C632" s="56" t="inlineStr">
        <is>
          <t>4B10BK3190</t>
        </is>
      </c>
      <c r="D632" s="57" t="n">
        <v>116.94</v>
      </c>
      <c r="E632" s="58" t="n">
        <v>2374</v>
      </c>
      <c r="F632" s="57" t="n">
        <v>2.374</v>
      </c>
      <c r="G632" s="56" t="inlineStr">
        <is>
          <t>KG</t>
        </is>
      </c>
      <c r="H632" s="56" t="inlineStr">
        <is>
          <t>R001</t>
        </is>
      </c>
      <c r="I632" s="56" t="inlineStr">
        <is>
          <t>0788</t>
        </is>
      </c>
      <c r="J632" s="56" t="inlineStr">
        <is>
          <t>117</t>
        </is>
      </c>
      <c r="K632" s="57" t="n">
        <v>701.62</v>
      </c>
      <c r="L632" s="56" t="inlineStr"/>
      <c r="M632" s="56" t="inlineStr">
        <is>
          <t>0</t>
        </is>
      </c>
      <c r="N632" s="56" t="inlineStr">
        <is>
          <t>Neel Metal Products Limited</t>
        </is>
      </c>
      <c r="O632" s="58" t="n">
        <v>61</v>
      </c>
      <c r="P632" s="59" t="inlineStr">
        <is>
          <t>61-90</t>
        </is>
      </c>
      <c r="Q632" s="56" t="inlineStr">
        <is>
          <t>Apoorv</t>
        </is>
      </c>
      <c r="U632" s="585" t="n">
        <v>2320560</v>
      </c>
      <c r="V632" t="n">
        <v>22.23</v>
      </c>
      <c r="W632" t="n">
        <v>0</v>
      </c>
      <c r="X632" t="n">
        <v>1.6</v>
      </c>
      <c r="Y632" t="n">
        <v>0.21</v>
      </c>
      <c r="Z632" t="inlineStr">
        <is>
          <t>HROP</t>
        </is>
      </c>
      <c r="AA632" t="inlineStr">
        <is>
          <t>PE</t>
        </is>
      </c>
      <c r="AB632" t="inlineStr">
        <is>
          <t>AW</t>
        </is>
      </c>
      <c r="AC632" t="inlineStr">
        <is>
          <t>22.23-0-1.6-ERW 1-PE</t>
        </is>
      </c>
      <c r="AD632" t="inlineStr">
        <is>
          <t>CTL</t>
        </is>
      </c>
      <c r="AE632" t="inlineStr">
        <is>
          <t>22.23-0-1.6-ERW 1-PE-0.21</t>
        </is>
      </c>
      <c r="AF632" t="n">
        <v>0.17085898032</v>
      </c>
    </row>
    <row r="633">
      <c r="A633" s="56" t="n">
        <v>3500650</v>
      </c>
      <c r="B633" s="56" t="inlineStr">
        <is>
          <t>TUB-O-N-AUT-BH-FC-42.70X3.500X6.000</t>
        </is>
      </c>
      <c r="C633" s="56" t="inlineStr">
        <is>
          <t>4B10BK3200</t>
        </is>
      </c>
      <c r="D633" s="57" t="n">
        <v>95.956</v>
      </c>
      <c r="E633" s="58" t="n">
        <v>1948</v>
      </c>
      <c r="F633" s="57" t="n">
        <v>1.948</v>
      </c>
      <c r="G633" s="56" t="inlineStr">
        <is>
          <t>KG</t>
        </is>
      </c>
      <c r="H633" s="56" t="inlineStr">
        <is>
          <t>R001</t>
        </is>
      </c>
      <c r="I633" s="56" t="inlineStr">
        <is>
          <t>0788</t>
        </is>
      </c>
      <c r="J633" s="56" t="inlineStr">
        <is>
          <t>96</t>
        </is>
      </c>
      <c r="K633" s="57" t="n">
        <v>575.718</v>
      </c>
      <c r="L633" s="56" t="inlineStr"/>
      <c r="M633" s="56" t="inlineStr">
        <is>
          <t>0</t>
        </is>
      </c>
      <c r="N633" s="56" t="inlineStr">
        <is>
          <t>Neel Metal Products Limited</t>
        </is>
      </c>
      <c r="O633" s="58" t="n">
        <v>61</v>
      </c>
      <c r="P633" s="59" t="inlineStr">
        <is>
          <t>61-90</t>
        </is>
      </c>
      <c r="Q633" s="56" t="inlineStr">
        <is>
          <t>Apoorv</t>
        </is>
      </c>
      <c r="U633" s="585" t="n">
        <v>3553684</v>
      </c>
      <c r="V633" t="n">
        <v>22.23</v>
      </c>
      <c r="W633" t="n">
        <v>0</v>
      </c>
      <c r="X633" t="n">
        <v>1.6</v>
      </c>
      <c r="Y633" t="n">
        <v>0.274</v>
      </c>
      <c r="Z633" t="inlineStr">
        <is>
          <t>HROP</t>
        </is>
      </c>
      <c r="AA633" t="inlineStr">
        <is>
          <t>PE</t>
        </is>
      </c>
      <c r="AB633" t="inlineStr">
        <is>
          <t>AW</t>
        </is>
      </c>
      <c r="AC633" t="inlineStr">
        <is>
          <t>22.23-0-1.6-ERW 1-PE</t>
        </is>
      </c>
      <c r="AD633" t="inlineStr">
        <is>
          <t>CTL</t>
        </is>
      </c>
      <c r="AE633" t="inlineStr">
        <is>
          <t>22.23-0-1.6-ERW 1-PE-0.274</t>
        </is>
      </c>
      <c r="AF633" t="n">
        <v>0.222930288608</v>
      </c>
    </row>
    <row r="634">
      <c r="A634" s="56" t="n">
        <v>3500650</v>
      </c>
      <c r="B634" s="56" t="inlineStr">
        <is>
          <t>TUB-O-N-AUT-BH-FC-42.70X3.500X6.000</t>
        </is>
      </c>
      <c r="C634" s="56" t="inlineStr">
        <is>
          <t>4B10BK3210</t>
        </is>
      </c>
      <c r="D634" s="57" t="n">
        <v>118.96</v>
      </c>
      <c r="E634" s="58" t="n">
        <v>2415</v>
      </c>
      <c r="F634" s="57" t="n">
        <v>2.415</v>
      </c>
      <c r="G634" s="56" t="inlineStr">
        <is>
          <t>KG</t>
        </is>
      </c>
      <c r="H634" s="56" t="inlineStr">
        <is>
          <t>R001</t>
        </is>
      </c>
      <c r="I634" s="56" t="inlineStr">
        <is>
          <t>0788</t>
        </is>
      </c>
      <c r="J634" s="56" t="inlineStr">
        <is>
          <t>119</t>
        </is>
      </c>
      <c r="K634" s="57" t="n">
        <v>713.737</v>
      </c>
      <c r="L634" s="56" t="inlineStr"/>
      <c r="M634" s="56" t="inlineStr">
        <is>
          <t>0</t>
        </is>
      </c>
      <c r="N634" s="56" t="inlineStr">
        <is>
          <t>Neel Metal Products Limited</t>
        </is>
      </c>
      <c r="O634" s="58" t="n">
        <v>61</v>
      </c>
      <c r="P634" s="59" t="inlineStr">
        <is>
          <t>61-90</t>
        </is>
      </c>
      <c r="Q634" s="56" t="inlineStr">
        <is>
          <t>Apoorv</t>
        </is>
      </c>
      <c r="U634" s="585" t="n">
        <v>1940390</v>
      </c>
      <c r="V634" t="n">
        <v>22.23</v>
      </c>
      <c r="W634" t="n">
        <v>0</v>
      </c>
      <c r="X634" t="n">
        <v>1.6</v>
      </c>
      <c r="Y634" t="n">
        <v>0.283</v>
      </c>
      <c r="Z634" t="inlineStr">
        <is>
          <t>GR1</t>
        </is>
      </c>
      <c r="AA634" t="inlineStr">
        <is>
          <t>PE</t>
        </is>
      </c>
      <c r="AB634" t="inlineStr">
        <is>
          <t>AW</t>
        </is>
      </c>
      <c r="AC634" t="inlineStr">
        <is>
          <t>22.23-0-1.6-ERW 1-PE</t>
        </is>
      </c>
      <c r="AD634" t="inlineStr">
        <is>
          <t>CTL</t>
        </is>
      </c>
      <c r="AE634" t="inlineStr">
        <is>
          <t>22.23-0-1.6-ERW 1-PE-0.283</t>
        </is>
      </c>
      <c r="AF634" t="n">
        <v>0.230252816336</v>
      </c>
    </row>
    <row r="635">
      <c r="A635" s="56" t="n">
        <v>3500650</v>
      </c>
      <c r="B635" s="56" t="inlineStr">
        <is>
          <t>TUB-O-N-AUT-BH-FC-42.70X3.500X6.000</t>
        </is>
      </c>
      <c r="C635" s="56" t="inlineStr">
        <is>
          <t>4B10BK3230</t>
        </is>
      </c>
      <c r="D635" s="57" t="n">
        <v>107.975</v>
      </c>
      <c r="E635" s="58" t="n">
        <v>2192</v>
      </c>
      <c r="F635" s="57" t="n">
        <v>2.192</v>
      </c>
      <c r="G635" s="56" t="inlineStr">
        <is>
          <t>KG</t>
        </is>
      </c>
      <c r="H635" s="56" t="inlineStr">
        <is>
          <t>R001</t>
        </is>
      </c>
      <c r="I635" s="56" t="inlineStr">
        <is>
          <t>0788</t>
        </is>
      </c>
      <c r="J635" s="56" t="inlineStr">
        <is>
          <t>108</t>
        </is>
      </c>
      <c r="K635" s="57" t="n">
        <v>647.831</v>
      </c>
      <c r="L635" s="56" t="inlineStr"/>
      <c r="M635" s="56" t="inlineStr">
        <is>
          <t>0</t>
        </is>
      </c>
      <c r="N635" s="56" t="inlineStr">
        <is>
          <t>Neel Metal Products Limited</t>
        </is>
      </c>
      <c r="O635" s="58" t="n">
        <v>57</v>
      </c>
      <c r="P635" s="59" t="inlineStr">
        <is>
          <t>31-60</t>
        </is>
      </c>
      <c r="Q635" s="56" t="inlineStr">
        <is>
          <t>Apoorv</t>
        </is>
      </c>
      <c r="U635" s="585" t="n">
        <v>1940392</v>
      </c>
      <c r="V635" t="n">
        <v>22.23</v>
      </c>
      <c r="W635" t="n">
        <v>0</v>
      </c>
      <c r="X635" t="n">
        <v>1.6</v>
      </c>
      <c r="Y635" t="n">
        <v>0.285</v>
      </c>
      <c r="Z635" t="inlineStr">
        <is>
          <t>GR1</t>
        </is>
      </c>
      <c r="AA635" t="inlineStr">
        <is>
          <t>PE</t>
        </is>
      </c>
      <c r="AB635" t="inlineStr">
        <is>
          <t>AW</t>
        </is>
      </c>
      <c r="AC635" t="inlineStr">
        <is>
          <t>22.23-0-1.6-ERW 1-PE</t>
        </is>
      </c>
      <c r="AD635" t="inlineStr">
        <is>
          <t>CTL</t>
        </is>
      </c>
      <c r="AE635" t="inlineStr">
        <is>
          <t>22.23-0-1.6-ERW 1-PE-0.285</t>
        </is>
      </c>
      <c r="AF635" t="n">
        <v>0.23188004472</v>
      </c>
    </row>
    <row r="636">
      <c r="A636" s="56" t="n">
        <v>3500650</v>
      </c>
      <c r="B636" s="56" t="inlineStr">
        <is>
          <t>TUB-O-N-AUT-BH-FC-42.70X3.500X6.000</t>
        </is>
      </c>
      <c r="C636" s="56" t="inlineStr">
        <is>
          <t>4B10BK3240</t>
        </is>
      </c>
      <c r="D636" s="57" t="n">
        <v>103.936</v>
      </c>
      <c r="E636" s="58" t="n">
        <v>2110</v>
      </c>
      <c r="F636" s="57" t="n">
        <v>2.11</v>
      </c>
      <c r="G636" s="56" t="inlineStr">
        <is>
          <t>KG</t>
        </is>
      </c>
      <c r="H636" s="56" t="inlineStr">
        <is>
          <t>R001</t>
        </is>
      </c>
      <c r="I636" s="56" t="inlineStr">
        <is>
          <t>0788</t>
        </is>
      </c>
      <c r="J636" s="56" t="inlineStr">
        <is>
          <t>104</t>
        </is>
      </c>
      <c r="K636" s="57" t="n">
        <v>623.596</v>
      </c>
      <c r="L636" s="56" t="inlineStr"/>
      <c r="M636" s="56" t="inlineStr">
        <is>
          <t>0</t>
        </is>
      </c>
      <c r="N636" s="56" t="inlineStr">
        <is>
          <t>Neel Metal Products Limited</t>
        </is>
      </c>
      <c r="O636" s="58" t="n">
        <v>57</v>
      </c>
      <c r="P636" s="59" t="inlineStr">
        <is>
          <t>31-60</t>
        </is>
      </c>
      <c r="Q636" s="56" t="inlineStr">
        <is>
          <t>Apoorv</t>
        </is>
      </c>
      <c r="U636" s="585" t="n">
        <v>1940393</v>
      </c>
      <c r="V636" t="n">
        <v>22.23</v>
      </c>
      <c r="W636" t="n">
        <v>0</v>
      </c>
      <c r="X636" t="n">
        <v>1.6</v>
      </c>
      <c r="Y636" t="n">
        <v>0.293</v>
      </c>
      <c r="Z636" t="inlineStr">
        <is>
          <t>GR1</t>
        </is>
      </c>
      <c r="AA636" t="inlineStr">
        <is>
          <t>PE</t>
        </is>
      </c>
      <c r="AB636" t="inlineStr">
        <is>
          <t>AW</t>
        </is>
      </c>
      <c r="AC636" t="inlineStr">
        <is>
          <t>22.23-0-1.6-ERW 1-PE</t>
        </is>
      </c>
      <c r="AD636" t="inlineStr">
        <is>
          <t>CTL</t>
        </is>
      </c>
      <c r="AE636" t="inlineStr">
        <is>
          <t>22.23-0-1.6-ERW 1-PE-0.293</t>
        </is>
      </c>
      <c r="AF636" t="n">
        <v>0.238388958256</v>
      </c>
    </row>
    <row r="637">
      <c r="A637" s="56" t="n">
        <v>3500650</v>
      </c>
      <c r="B637" s="56" t="inlineStr">
        <is>
          <t>TUB-O-N-AUT-BH-FC-42.70X3.500X6.000</t>
        </is>
      </c>
      <c r="C637" s="56" t="inlineStr">
        <is>
          <t>4B10BK3250</t>
        </is>
      </c>
      <c r="D637" s="57" t="n">
        <v>105.955</v>
      </c>
      <c r="E637" s="58" t="n">
        <v>2151</v>
      </c>
      <c r="F637" s="57" t="n">
        <v>2.151</v>
      </c>
      <c r="G637" s="56" t="inlineStr">
        <is>
          <t>KG</t>
        </is>
      </c>
      <c r="H637" s="56" t="inlineStr">
        <is>
          <t>R001</t>
        </is>
      </c>
      <c r="I637" s="56" t="inlineStr">
        <is>
          <t>0788</t>
        </is>
      </c>
      <c r="J637" s="56" t="inlineStr">
        <is>
          <t>106</t>
        </is>
      </c>
      <c r="K637" s="57" t="n">
        <v>635.713</v>
      </c>
      <c r="L637" s="56" t="inlineStr"/>
      <c r="M637" s="56" t="inlineStr">
        <is>
          <t>0</t>
        </is>
      </c>
      <c r="N637" s="56" t="inlineStr">
        <is>
          <t>Neel Metal Products Limited</t>
        </is>
      </c>
      <c r="O637" s="58" t="n">
        <v>61</v>
      </c>
      <c r="P637" s="59" t="inlineStr">
        <is>
          <t>61-90</t>
        </is>
      </c>
      <c r="Q637" s="56" t="inlineStr">
        <is>
          <t>Apoorv</t>
        </is>
      </c>
      <c r="U637" s="585" t="n">
        <v>1938251</v>
      </c>
      <c r="V637" t="n">
        <v>22.23</v>
      </c>
      <c r="W637" t="n">
        <v>0</v>
      </c>
      <c r="X637" t="n">
        <v>1.6</v>
      </c>
      <c r="Y637" t="n">
        <v>0.394</v>
      </c>
      <c r="Z637" t="inlineStr">
        <is>
          <t>D</t>
        </is>
      </c>
      <c r="AA637" t="inlineStr">
        <is>
          <t>PE</t>
        </is>
      </c>
      <c r="AB637" t="inlineStr">
        <is>
          <t>AW</t>
        </is>
      </c>
      <c r="AC637" t="inlineStr">
        <is>
          <t>22.23-0-1.6-ERW 1-PE</t>
        </is>
      </c>
      <c r="AD637" t="inlineStr">
        <is>
          <t>CTL</t>
        </is>
      </c>
      <c r="AE637" t="inlineStr">
        <is>
          <t>22.23-0-1.6-ERW 1-PE-0.394</t>
        </is>
      </c>
      <c r="AF637" t="n">
        <v>0.320563991648</v>
      </c>
    </row>
    <row r="638">
      <c r="A638" s="56" t="n">
        <v>3500650</v>
      </c>
      <c r="B638" s="56" t="inlineStr">
        <is>
          <t>TUB-O-N-AUT-BH-FC-42.70X3.500X6.000</t>
        </is>
      </c>
      <c r="C638" s="56" t="inlineStr">
        <is>
          <t>4B10BK3260</t>
        </is>
      </c>
      <c r="D638" s="57" t="n">
        <v>112.802</v>
      </c>
      <c r="E638" s="58" t="n">
        <v>2290</v>
      </c>
      <c r="F638" s="57" t="n">
        <v>2.29</v>
      </c>
      <c r="G638" s="56" t="inlineStr">
        <is>
          <t>KG</t>
        </is>
      </c>
      <c r="H638" s="56" t="inlineStr">
        <is>
          <t>R001</t>
        </is>
      </c>
      <c r="I638" s="56" t="inlineStr">
        <is>
          <t>0788</t>
        </is>
      </c>
      <c r="J638" s="56" t="inlineStr">
        <is>
          <t>110</t>
        </is>
      </c>
      <c r="K638" s="57" t="n">
        <v>676.794</v>
      </c>
      <c r="L638" s="56" t="inlineStr"/>
      <c r="M638" s="56" t="inlineStr">
        <is>
          <t>0</t>
        </is>
      </c>
      <c r="N638" s="56" t="inlineStr">
        <is>
          <t>Neel Metal Products Limited</t>
        </is>
      </c>
      <c r="O638" s="58" t="n">
        <v>61</v>
      </c>
      <c r="P638" s="59" t="inlineStr">
        <is>
          <t>61-90</t>
        </is>
      </c>
      <c r="Q638" s="56" t="inlineStr">
        <is>
          <t>Apoorv</t>
        </is>
      </c>
      <c r="U638" s="585" t="n">
        <v>1940398</v>
      </c>
      <c r="V638" t="n">
        <v>22.23</v>
      </c>
      <c r="W638" t="n">
        <v>0</v>
      </c>
      <c r="X638" t="n">
        <v>1.6</v>
      </c>
      <c r="Y638" t="n">
        <v>0.394</v>
      </c>
      <c r="Z638" t="inlineStr">
        <is>
          <t>GR1</t>
        </is>
      </c>
      <c r="AA638" t="inlineStr">
        <is>
          <t>PE</t>
        </is>
      </c>
      <c r="AB638" t="inlineStr">
        <is>
          <t>AW</t>
        </is>
      </c>
      <c r="AC638" t="inlineStr">
        <is>
          <t>22.23-0-1.6-ERW 1-PE</t>
        </is>
      </c>
      <c r="AD638" t="inlineStr">
        <is>
          <t>CTL</t>
        </is>
      </c>
      <c r="AE638" t="inlineStr">
        <is>
          <t>22.23-0-1.6-ERW 1-PE-0.394</t>
        </is>
      </c>
      <c r="AF638" t="n">
        <v>0.320563991648</v>
      </c>
    </row>
    <row r="639">
      <c r="A639" s="56" t="n">
        <v>3500650</v>
      </c>
      <c r="B639" s="56" t="inlineStr">
        <is>
          <t>TUB-O-N-AUT-BH-FC-42.70X3.500X6.000</t>
        </is>
      </c>
      <c r="C639" s="56" t="inlineStr">
        <is>
          <t>4B10CK3030</t>
        </is>
      </c>
      <c r="D639" s="57" t="n">
        <v>95.956</v>
      </c>
      <c r="E639" s="58" t="n">
        <v>1948</v>
      </c>
      <c r="F639" s="57" t="n">
        <v>1.948</v>
      </c>
      <c r="G639" s="56" t="inlineStr">
        <is>
          <t>KG</t>
        </is>
      </c>
      <c r="H639" s="56" t="inlineStr">
        <is>
          <t>R001</t>
        </is>
      </c>
      <c r="I639" s="56" t="inlineStr">
        <is>
          <t>0788</t>
        </is>
      </c>
      <c r="J639" s="56" t="inlineStr">
        <is>
          <t>96</t>
        </is>
      </c>
      <c r="K639" s="57" t="n">
        <v>575.718</v>
      </c>
      <c r="L639" s="56" t="inlineStr"/>
      <c r="M639" s="56" t="inlineStr">
        <is>
          <t>0</t>
        </is>
      </c>
      <c r="N639" s="56" t="inlineStr">
        <is>
          <t>Neel Metal Products Limited</t>
        </is>
      </c>
      <c r="O639" s="58" t="n">
        <v>61</v>
      </c>
      <c r="P639" s="59" t="inlineStr">
        <is>
          <t>61-90</t>
        </is>
      </c>
      <c r="Q639" s="56" t="inlineStr">
        <is>
          <t>Apoorv</t>
        </is>
      </c>
      <c r="U639" s="585" t="n">
        <v>1940399</v>
      </c>
      <c r="V639" t="n">
        <v>22.23</v>
      </c>
      <c r="W639" t="n">
        <v>0</v>
      </c>
      <c r="X639" t="n">
        <v>1.6</v>
      </c>
      <c r="Y639" t="n">
        <v>0.401</v>
      </c>
      <c r="Z639" t="inlineStr">
        <is>
          <t>WG</t>
        </is>
      </c>
      <c r="AA639" t="inlineStr">
        <is>
          <t>PE</t>
        </is>
      </c>
      <c r="AB639" t="inlineStr">
        <is>
          <t>AW</t>
        </is>
      </c>
      <c r="AC639" t="inlineStr">
        <is>
          <t>22.23-0-1.6-ERW 1-PE</t>
        </is>
      </c>
      <c r="AD639" t="inlineStr">
        <is>
          <t>CTL</t>
        </is>
      </c>
      <c r="AE639" t="inlineStr">
        <is>
          <t>22.23-0-1.6-ERW 1-PE-0.401</t>
        </is>
      </c>
      <c r="AF639" t="n">
        <v>0.3262592909920001</v>
      </c>
    </row>
    <row r="640">
      <c r="A640" s="56" t="n">
        <v>3500650</v>
      </c>
      <c r="B640" s="56" t="inlineStr">
        <is>
          <t>TUB-O-N-AUT-BH-FC-42.70X3.500X6.000</t>
        </is>
      </c>
      <c r="C640" s="56" t="inlineStr">
        <is>
          <t>4B19K37956</t>
        </is>
      </c>
      <c r="D640" s="57" t="n">
        <v>153.786</v>
      </c>
      <c r="E640" s="58" t="n">
        <v>3122</v>
      </c>
      <c r="F640" s="57" t="n">
        <v>3.122</v>
      </c>
      <c r="G640" s="56" t="inlineStr">
        <is>
          <t>KG</t>
        </is>
      </c>
      <c r="H640" s="56" t="inlineStr">
        <is>
          <t>R001</t>
        </is>
      </c>
      <c r="I640" s="56" t="inlineStr">
        <is>
          <t>0788</t>
        </is>
      </c>
      <c r="J640" s="56" t="inlineStr">
        <is>
          <t>150</t>
        </is>
      </c>
      <c r="K640" s="57" t="n">
        <v>922.686</v>
      </c>
      <c r="L640" s="56" t="inlineStr"/>
      <c r="M640" s="56" t="inlineStr">
        <is>
          <t>0</t>
        </is>
      </c>
      <c r="N640" s="56" t="inlineStr">
        <is>
          <t>Neel Metal Products Limited</t>
        </is>
      </c>
      <c r="O640" s="58" t="n">
        <v>55</v>
      </c>
      <c r="P640" s="59" t="inlineStr">
        <is>
          <t>31-60</t>
        </is>
      </c>
      <c r="Q640" s="56" t="inlineStr">
        <is>
          <t>Apoorv</t>
        </is>
      </c>
      <c r="U640" s="585" t="n">
        <v>1940400</v>
      </c>
      <c r="V640" t="n">
        <v>22.23</v>
      </c>
      <c r="W640" t="n">
        <v>0</v>
      </c>
      <c r="X640" t="n">
        <v>1.6</v>
      </c>
      <c r="Y640" t="n">
        <v>0.401</v>
      </c>
      <c r="Z640" t="inlineStr">
        <is>
          <t>GR1</t>
        </is>
      </c>
      <c r="AA640" t="inlineStr">
        <is>
          <t>PE</t>
        </is>
      </c>
      <c r="AB640" t="inlineStr">
        <is>
          <t>AW</t>
        </is>
      </c>
      <c r="AC640" t="inlineStr">
        <is>
          <t>22.23-0-1.6-ERW 1-PE</t>
        </is>
      </c>
      <c r="AD640" t="inlineStr">
        <is>
          <t>CTL</t>
        </is>
      </c>
      <c r="AE640" t="inlineStr">
        <is>
          <t>22.23-0-1.6-ERW 1-PE-0.401</t>
        </is>
      </c>
      <c r="AF640" t="n">
        <v>0.3262592909920001</v>
      </c>
    </row>
    <row r="641">
      <c r="A641" s="56" t="n">
        <v>3500650</v>
      </c>
      <c r="B641" s="56" t="inlineStr">
        <is>
          <t>TUB-O-N-AUT-BH-FC-42.70X3.500X6.000</t>
        </is>
      </c>
      <c r="C641" s="56" t="inlineStr">
        <is>
          <t>4C19K40111</t>
        </is>
      </c>
      <c r="D641" s="57" t="n">
        <v>4.975</v>
      </c>
      <c r="E641" s="58" t="n">
        <v>101</v>
      </c>
      <c r="F641" s="57" t="n">
        <v>0.101</v>
      </c>
      <c r="G641" s="56" t="inlineStr">
        <is>
          <t>KG</t>
        </is>
      </c>
      <c r="H641" s="56" t="inlineStr">
        <is>
          <t>R001</t>
        </is>
      </c>
      <c r="I641" s="56" t="inlineStr">
        <is>
          <t>0788</t>
        </is>
      </c>
      <c r="J641" s="56" t="inlineStr">
        <is>
          <t>5</t>
        </is>
      </c>
      <c r="K641" s="57" t="n">
        <v>29.85</v>
      </c>
      <c r="L641" s="56" t="inlineStr"/>
      <c r="M641" s="56" t="inlineStr">
        <is>
          <t>0</t>
        </is>
      </c>
      <c r="N641" s="56" t="inlineStr">
        <is>
          <t>Neel Metal Products Limited</t>
        </is>
      </c>
      <c r="O641" s="58" t="n">
        <v>25</v>
      </c>
      <c r="P641" s="59" t="inlineStr">
        <is>
          <t>0-30</t>
        </is>
      </c>
      <c r="Q641" s="56" t="inlineStr">
        <is>
          <t>Apoorv</t>
        </is>
      </c>
      <c r="U641" t="n">
        <v>3217231</v>
      </c>
      <c r="V641" t="n">
        <v>22.23</v>
      </c>
      <c r="W641" t="n">
        <v>0</v>
      </c>
      <c r="X641" t="n">
        <v>1.6</v>
      </c>
      <c r="Y641" t="n">
        <v>0.427</v>
      </c>
      <c r="Z641" t="inlineStr">
        <is>
          <t>HROP</t>
        </is>
      </c>
      <c r="AA641" t="inlineStr">
        <is>
          <t>PE</t>
        </is>
      </c>
      <c r="AB641" t="inlineStr">
        <is>
          <t>AW</t>
        </is>
      </c>
      <c r="AC641" t="inlineStr">
        <is>
          <t>22.23-0-1.6-ERW 1-PE</t>
        </is>
      </c>
      <c r="AD641" t="inlineStr">
        <is>
          <t>CTL</t>
        </is>
      </c>
      <c r="AE641" t="inlineStr">
        <is>
          <t>22.23-0-1.6-ERW 1-PE-0.427</t>
        </is>
      </c>
      <c r="AF641" t="n">
        <v>0.347413259984</v>
      </c>
    </row>
    <row r="642">
      <c r="A642" s="56" t="n">
        <v>3500650</v>
      </c>
      <c r="B642" s="56" t="inlineStr">
        <is>
          <t>TUB-O-N-AUT-BH-FC-42.70X3.500X6.000</t>
        </is>
      </c>
      <c r="C642" s="56" t="inlineStr">
        <is>
          <t>4C19K40112</t>
        </is>
      </c>
      <c r="D642" s="57" t="n">
        <v>89.946</v>
      </c>
      <c r="E642" s="58" t="n">
        <v>1826</v>
      </c>
      <c r="F642" s="57" t="n">
        <v>1.826</v>
      </c>
      <c r="G642" s="56" t="inlineStr">
        <is>
          <t>KG</t>
        </is>
      </c>
      <c r="H642" s="56" t="inlineStr">
        <is>
          <t>R001</t>
        </is>
      </c>
      <c r="I642" s="56" t="inlineStr">
        <is>
          <t>0788</t>
        </is>
      </c>
      <c r="J642" s="56" t="inlineStr">
        <is>
          <t>90</t>
        </is>
      </c>
      <c r="K642" s="57" t="n">
        <v>539.662</v>
      </c>
      <c r="L642" s="56" t="inlineStr"/>
      <c r="M642" s="56" t="inlineStr">
        <is>
          <t>0</t>
        </is>
      </c>
      <c r="N642" s="56" t="inlineStr">
        <is>
          <t>Neel Metal Products Limited</t>
        </is>
      </c>
      <c r="O642" s="58" t="n">
        <v>17</v>
      </c>
      <c r="P642" s="59" t="inlineStr">
        <is>
          <t>0-30</t>
        </is>
      </c>
      <c r="Q642" s="56" t="inlineStr">
        <is>
          <t>Apoorv</t>
        </is>
      </c>
      <c r="U642" s="585" t="n">
        <v>1940403</v>
      </c>
      <c r="V642" t="n">
        <v>22.23</v>
      </c>
      <c r="W642" t="n">
        <v>0</v>
      </c>
      <c r="X642" t="n">
        <v>1.6</v>
      </c>
      <c r="Y642" t="n">
        <v>0.57</v>
      </c>
      <c r="Z642" t="inlineStr">
        <is>
          <t>ST52AL</t>
        </is>
      </c>
      <c r="AA642" t="inlineStr">
        <is>
          <t>PE</t>
        </is>
      </c>
      <c r="AB642" t="inlineStr">
        <is>
          <t>AW</t>
        </is>
      </c>
      <c r="AC642" t="inlineStr">
        <is>
          <t>22.23-0-1.6-ERW 2 MAHS-PE</t>
        </is>
      </c>
      <c r="AD642" t="inlineStr">
        <is>
          <t>CTL</t>
        </is>
      </c>
      <c r="AE642" t="inlineStr">
        <is>
          <t>22.23-0-1.6-ERW 2 MAHS-PE-0.57</t>
        </is>
      </c>
      <c r="AF642" t="n">
        <v>0.46376008944</v>
      </c>
    </row>
    <row r="643">
      <c r="A643" s="56" t="n">
        <v>3500714</v>
      </c>
      <c r="B643" s="56" t="inlineStr">
        <is>
          <t>TUB-O-N-AUT-BH-FC-42.70X4.000X5.50-ERW 1</t>
        </is>
      </c>
      <c r="C643" s="56" t="inlineStr">
        <is>
          <t>4C28CK3020</t>
        </is>
      </c>
      <c r="D643" s="57" t="n">
        <v>112.969</v>
      </c>
      <c r="E643" s="58" t="n">
        <v>2372</v>
      </c>
      <c r="F643" s="57" t="n">
        <v>2.372</v>
      </c>
      <c r="G643" s="56" t="inlineStr">
        <is>
          <t>KG</t>
        </is>
      </c>
      <c r="H643" s="56" t="inlineStr">
        <is>
          <t>R001</t>
        </is>
      </c>
      <c r="I643" s="56" t="inlineStr">
        <is>
          <t>0788</t>
        </is>
      </c>
      <c r="J643" s="56" t="inlineStr">
        <is>
          <t>113</t>
        </is>
      </c>
      <c r="K643" s="57" t="n">
        <v>621.333</v>
      </c>
      <c r="L643" s="56" t="inlineStr"/>
      <c r="M643" s="56" t="inlineStr">
        <is>
          <t>0</t>
        </is>
      </c>
      <c r="N643" s="56" t="inlineStr">
        <is>
          <t>Rajsriya Automotive Industries(P)</t>
        </is>
      </c>
      <c r="O643" s="58" t="n">
        <v>13</v>
      </c>
      <c r="P643" s="59" t="inlineStr">
        <is>
          <t>0-30</t>
        </is>
      </c>
      <c r="Q643" s="56" t="inlineStr">
        <is>
          <t>Apoorv</t>
        </is>
      </c>
      <c r="U643" s="585" t="n">
        <v>1940404</v>
      </c>
      <c r="V643" t="n">
        <v>22.23</v>
      </c>
      <c r="W643" t="n">
        <v>0</v>
      </c>
      <c r="X643" t="n">
        <v>1.6</v>
      </c>
      <c r="Y643" t="n">
        <v>0.654</v>
      </c>
      <c r="Z643" t="inlineStr">
        <is>
          <t>ST52AL</t>
        </is>
      </c>
      <c r="AA643" t="inlineStr">
        <is>
          <t>PE</t>
        </is>
      </c>
      <c r="AB643" t="inlineStr">
        <is>
          <t>AW</t>
        </is>
      </c>
      <c r="AC643" t="inlineStr">
        <is>
          <t>22.23-0-1.6-ERW 2 MAHS-PE</t>
        </is>
      </c>
      <c r="AD643" t="inlineStr">
        <is>
          <t>CTL</t>
        </is>
      </c>
      <c r="AE643" t="inlineStr">
        <is>
          <t>22.23-0-1.6-ERW 2 MAHS-PE-0.654</t>
        </is>
      </c>
      <c r="AF643" t="n">
        <v>0.532103681568</v>
      </c>
    </row>
    <row r="644">
      <c r="A644" s="56" t="n">
        <v>3500714</v>
      </c>
      <c r="B644" s="56" t="inlineStr">
        <is>
          <t>TUB-O-N-AUT-BH-FC-42.70X4.000X5.50-ERW 1</t>
        </is>
      </c>
      <c r="C644" s="56" t="inlineStr">
        <is>
          <t>4C28CK3030</t>
        </is>
      </c>
      <c r="D644" s="57" t="n">
        <v>110.968</v>
      </c>
      <c r="E644" s="58" t="n">
        <v>2330</v>
      </c>
      <c r="F644" s="57" t="n">
        <v>2.33</v>
      </c>
      <c r="G644" s="56" t="inlineStr">
        <is>
          <t>KG</t>
        </is>
      </c>
      <c r="H644" s="56" t="inlineStr">
        <is>
          <t>R001</t>
        </is>
      </c>
      <c r="I644" s="56" t="inlineStr">
        <is>
          <t>0788</t>
        </is>
      </c>
      <c r="J644" s="56" t="inlineStr">
        <is>
          <t>111</t>
        </is>
      </c>
      <c r="K644" s="57" t="n">
        <v>610.331</v>
      </c>
      <c r="L644" s="56" t="inlineStr"/>
      <c r="M644" s="56" t="inlineStr">
        <is>
          <t>0</t>
        </is>
      </c>
      <c r="N644" s="56" t="inlineStr">
        <is>
          <t>Rajsriya Automotive Industries(P)</t>
        </is>
      </c>
      <c r="O644" s="58" t="n">
        <v>14</v>
      </c>
      <c r="P644" s="59" t="inlineStr">
        <is>
          <t>0-30</t>
        </is>
      </c>
      <c r="Q644" s="56" t="inlineStr">
        <is>
          <t>Apoorv</t>
        </is>
      </c>
      <c r="U644" s="585" t="n">
        <v>2427960</v>
      </c>
      <c r="V644" t="n">
        <v>22.23</v>
      </c>
      <c r="W644" t="n">
        <v>0</v>
      </c>
      <c r="X644" t="n">
        <v>1.6</v>
      </c>
      <c r="Y644" t="n">
        <v>0.67</v>
      </c>
      <c r="Z644" t="inlineStr">
        <is>
          <t>HROP</t>
        </is>
      </c>
      <c r="AA644" t="inlineStr">
        <is>
          <t>PE</t>
        </is>
      </c>
      <c r="AB644" t="inlineStr">
        <is>
          <t>AW</t>
        </is>
      </c>
      <c r="AC644" t="inlineStr">
        <is>
          <t>22.23-0-1.6-ERW 1-PE</t>
        </is>
      </c>
      <c r="AD644" t="inlineStr">
        <is>
          <t>CTL</t>
        </is>
      </c>
      <c r="AE644" t="inlineStr">
        <is>
          <t>22.23-0-1.6-ERW 1-PE-0.67</t>
        </is>
      </c>
      <c r="AF644" t="n">
        <v>0.5451215086400001</v>
      </c>
    </row>
    <row r="645">
      <c r="A645" s="56" t="n">
        <v>3500714</v>
      </c>
      <c r="B645" s="56" t="inlineStr">
        <is>
          <t>TUB-O-N-AUT-BH-FC-42.70X4.000X5.50-ERW 1</t>
        </is>
      </c>
      <c r="C645" s="56" t="inlineStr">
        <is>
          <t>4C28CK3040</t>
        </is>
      </c>
      <c r="D645" s="57" t="n">
        <v>111.968</v>
      </c>
      <c r="E645" s="58" t="n">
        <v>2351</v>
      </c>
      <c r="F645" s="57" t="n">
        <v>2.351</v>
      </c>
      <c r="G645" s="56" t="inlineStr">
        <is>
          <t>KG</t>
        </is>
      </c>
      <c r="H645" s="56" t="inlineStr">
        <is>
          <t>R001</t>
        </is>
      </c>
      <c r="I645" s="56" t="inlineStr">
        <is>
          <t>0788</t>
        </is>
      </c>
      <c r="J645" s="56" t="inlineStr">
        <is>
          <t>112</t>
        </is>
      </c>
      <c r="K645" s="57" t="n">
        <v>615.832</v>
      </c>
      <c r="L645" s="56" t="inlineStr"/>
      <c r="M645" s="56" t="inlineStr">
        <is>
          <t>0</t>
        </is>
      </c>
      <c r="N645" s="56" t="inlineStr">
        <is>
          <t>Rajsriya Automotive Industries(P)</t>
        </is>
      </c>
      <c r="O645" s="58" t="n">
        <v>13</v>
      </c>
      <c r="P645" s="59" t="inlineStr">
        <is>
          <t>0-30</t>
        </is>
      </c>
      <c r="Q645" s="56" t="inlineStr">
        <is>
          <t>Apoorv</t>
        </is>
      </c>
      <c r="U645" s="585" t="n">
        <v>2427939</v>
      </c>
      <c r="V645" t="n">
        <v>22.23</v>
      </c>
      <c r="W645" t="n">
        <v>0</v>
      </c>
      <c r="X645" t="n">
        <v>1.6</v>
      </c>
      <c r="Y645" t="n">
        <v>0.675</v>
      </c>
      <c r="Z645" t="inlineStr">
        <is>
          <t>HROP</t>
        </is>
      </c>
      <c r="AA645" t="inlineStr">
        <is>
          <t>PE</t>
        </is>
      </c>
      <c r="AB645" t="inlineStr">
        <is>
          <t>AW</t>
        </is>
      </c>
      <c r="AC645" t="inlineStr">
        <is>
          <t>22.23-0-1.6-ERW 1-PE</t>
        </is>
      </c>
      <c r="AD645" t="inlineStr">
        <is>
          <t>CTL</t>
        </is>
      </c>
      <c r="AE645" t="inlineStr">
        <is>
          <t>22.23-0-1.6-ERW 1-PE-0.675</t>
        </is>
      </c>
      <c r="AF645" t="n">
        <v>0.5491895796</v>
      </c>
    </row>
    <row r="646">
      <c r="A646" s="56" t="n">
        <v>3500714</v>
      </c>
      <c r="B646" s="56" t="inlineStr">
        <is>
          <t>TUB-O-N-AUT-BH-FC-42.70X4.000X5.50-ERW 1</t>
        </is>
      </c>
      <c r="C646" s="56" t="inlineStr">
        <is>
          <t>4C28CK3100</t>
        </is>
      </c>
      <c r="D646" s="57" t="n">
        <v>111.968</v>
      </c>
      <c r="E646" s="58" t="n">
        <v>2351</v>
      </c>
      <c r="F646" s="57" t="n">
        <v>2.351</v>
      </c>
      <c r="G646" s="56" t="inlineStr">
        <is>
          <t>KG</t>
        </is>
      </c>
      <c r="H646" s="56" t="inlineStr">
        <is>
          <t>R001</t>
        </is>
      </c>
      <c r="I646" s="56" t="inlineStr">
        <is>
          <t>0788</t>
        </is>
      </c>
      <c r="J646" s="56" t="inlineStr">
        <is>
          <t>112</t>
        </is>
      </c>
      <c r="K646" s="57" t="n">
        <v>615.832</v>
      </c>
      <c r="L646" s="56" t="inlineStr"/>
      <c r="M646" s="56" t="inlineStr">
        <is>
          <t>0</t>
        </is>
      </c>
      <c r="N646" s="56" t="inlineStr">
        <is>
          <t>Rajsriya Automotive Industries(P)</t>
        </is>
      </c>
      <c r="O646" s="58" t="n">
        <v>13</v>
      </c>
      <c r="P646" s="59" t="inlineStr">
        <is>
          <t>0-30</t>
        </is>
      </c>
      <c r="Q646" s="56" t="inlineStr">
        <is>
          <t>Apoorv</t>
        </is>
      </c>
      <c r="U646" s="585" t="n">
        <v>3714733</v>
      </c>
      <c r="V646" t="n">
        <v>22.23</v>
      </c>
      <c r="W646" t="n">
        <v>0</v>
      </c>
      <c r="X646" t="n">
        <v>1.6</v>
      </c>
      <c r="Y646" t="n">
        <v>0.6899999999999999</v>
      </c>
      <c r="Z646" t="inlineStr">
        <is>
          <t>NORMAL</t>
        </is>
      </c>
      <c r="AA646" t="inlineStr">
        <is>
          <t>PE</t>
        </is>
      </c>
      <c r="AB646" t="inlineStr">
        <is>
          <t>AW</t>
        </is>
      </c>
      <c r="AC646" t="inlineStr">
        <is>
          <t>22.23-0-1.6-ERW 1-PE</t>
        </is>
      </c>
      <c r="AD646" t="inlineStr">
        <is>
          <t>CTL</t>
        </is>
      </c>
      <c r="AE646" t="inlineStr">
        <is>
          <t>22.23-0-1.6-ERW 1-PE-0.69</t>
        </is>
      </c>
      <c r="AF646" t="n">
        <v>0.56139379248</v>
      </c>
    </row>
    <row r="647">
      <c r="A647" s="56" t="n">
        <v>3500714</v>
      </c>
      <c r="B647" s="56" t="inlineStr">
        <is>
          <t>TUB-O-N-AUT-BH-FC-42.70X4.000X5.50-ERW 1</t>
        </is>
      </c>
      <c r="C647" s="56" t="inlineStr">
        <is>
          <t>4C28CK3110</t>
        </is>
      </c>
      <c r="D647" s="57" t="n">
        <v>112.969</v>
      </c>
      <c r="E647" s="58" t="n">
        <v>2372</v>
      </c>
      <c r="F647" s="57" t="n">
        <v>2.372</v>
      </c>
      <c r="G647" s="56" t="inlineStr">
        <is>
          <t>KG</t>
        </is>
      </c>
      <c r="H647" s="56" t="inlineStr">
        <is>
          <t>R001</t>
        </is>
      </c>
      <c r="I647" s="56" t="inlineStr">
        <is>
          <t>0788</t>
        </is>
      </c>
      <c r="J647" s="56" t="inlineStr">
        <is>
          <t>113</t>
        </is>
      </c>
      <c r="K647" s="57" t="n">
        <v>621.333</v>
      </c>
      <c r="L647" s="56" t="inlineStr"/>
      <c r="M647" s="56" t="inlineStr">
        <is>
          <t>0</t>
        </is>
      </c>
      <c r="N647" s="56" t="inlineStr">
        <is>
          <t>Rajsriya Automotive Industries(P)</t>
        </is>
      </c>
      <c r="O647" s="58" t="n">
        <v>14</v>
      </c>
      <c r="P647" s="59" t="inlineStr">
        <is>
          <t>0-30</t>
        </is>
      </c>
      <c r="Q647" s="56" t="inlineStr">
        <is>
          <t>Apoorv</t>
        </is>
      </c>
      <c r="U647" s="585" t="n">
        <v>2270133</v>
      </c>
      <c r="V647" t="n">
        <v>22.23</v>
      </c>
      <c r="W647" t="n">
        <v>0</v>
      </c>
      <c r="X647" t="n">
        <v>1.6</v>
      </c>
      <c r="Y647" t="n">
        <v>0.7</v>
      </c>
      <c r="Z647" t="inlineStr">
        <is>
          <t>GR1</t>
        </is>
      </c>
      <c r="AA647" t="inlineStr">
        <is>
          <t>PE</t>
        </is>
      </c>
      <c r="AB647" t="inlineStr">
        <is>
          <t>HR</t>
        </is>
      </c>
      <c r="AC647" t="inlineStr">
        <is>
          <t>22.23-0-1.6-ERW 1-PE</t>
        </is>
      </c>
      <c r="AD647" t="inlineStr">
        <is>
          <t>CTL</t>
        </is>
      </c>
      <c r="AE647" t="inlineStr">
        <is>
          <t>22.23-0-1.6-ERW 1-PE-0.7</t>
        </is>
      </c>
      <c r="AF647" t="n">
        <v>0.5695299344</v>
      </c>
    </row>
    <row r="648">
      <c r="A648" s="56" t="n">
        <v>3500714</v>
      </c>
      <c r="B648" s="56" t="inlineStr">
        <is>
          <t>TUB-O-N-AUT-BH-FC-42.70X4.000X5.50-ERW 1</t>
        </is>
      </c>
      <c r="C648" s="56" t="inlineStr">
        <is>
          <t>4C28CK3120</t>
        </is>
      </c>
      <c r="D648" s="57" t="n">
        <v>110.968</v>
      </c>
      <c r="E648" s="58" t="n">
        <v>2330</v>
      </c>
      <c r="F648" s="57" t="n">
        <v>2.33</v>
      </c>
      <c r="G648" s="56" t="inlineStr">
        <is>
          <t>KG</t>
        </is>
      </c>
      <c r="H648" s="56" t="inlineStr">
        <is>
          <t>R001</t>
        </is>
      </c>
      <c r="I648" s="56" t="inlineStr">
        <is>
          <t>0788</t>
        </is>
      </c>
      <c r="J648" s="56" t="inlineStr">
        <is>
          <t>111</t>
        </is>
      </c>
      <c r="K648" s="57" t="n">
        <v>610.331</v>
      </c>
      <c r="L648" s="56" t="inlineStr"/>
      <c r="M648" s="56" t="inlineStr">
        <is>
          <t>0</t>
        </is>
      </c>
      <c r="N648" s="56" t="inlineStr">
        <is>
          <t>Rajsriya Automotive Industries(P)</t>
        </is>
      </c>
      <c r="O648" s="58" t="n">
        <v>13</v>
      </c>
      <c r="P648" s="59" t="inlineStr">
        <is>
          <t>0-30</t>
        </is>
      </c>
      <c r="Q648" s="56" t="inlineStr">
        <is>
          <t>Apoorv</t>
        </is>
      </c>
      <c r="U648" s="585" t="n">
        <v>1940407</v>
      </c>
      <c r="V648" t="n">
        <v>22.23</v>
      </c>
      <c r="W648" t="n">
        <v>0</v>
      </c>
      <c r="X648" t="n">
        <v>1.6</v>
      </c>
      <c r="Y648" t="n">
        <v>0.74</v>
      </c>
      <c r="Z648" t="inlineStr">
        <is>
          <t>GR1</t>
        </is>
      </c>
      <c r="AA648" t="inlineStr">
        <is>
          <t>PE</t>
        </is>
      </c>
      <c r="AB648" t="inlineStr">
        <is>
          <t>AW</t>
        </is>
      </c>
      <c r="AC648" t="inlineStr">
        <is>
          <t>22.23-0-1.6-ERW 1-PE</t>
        </is>
      </c>
      <c r="AD648" t="inlineStr">
        <is>
          <t>CTL</t>
        </is>
      </c>
      <c r="AE648" t="inlineStr">
        <is>
          <t>22.23-0-1.6-ERW 1-PE-0.74</t>
        </is>
      </c>
      <c r="AF648" t="n">
        <v>0.60207450208</v>
      </c>
    </row>
    <row r="649">
      <c r="A649" s="56" t="n">
        <v>3500714</v>
      </c>
      <c r="B649" s="56" t="inlineStr">
        <is>
          <t>TUB-O-N-AUT-BH-FC-42.70X4.000X5.50-ERW 1</t>
        </is>
      </c>
      <c r="C649" s="56" t="inlineStr">
        <is>
          <t>4C28CK3130</t>
        </is>
      </c>
      <c r="D649" s="57" t="n">
        <v>107.968</v>
      </c>
      <c r="E649" s="58" t="n">
        <v>2267</v>
      </c>
      <c r="F649" s="57" t="n">
        <v>2.267</v>
      </c>
      <c r="G649" s="56" t="inlineStr">
        <is>
          <t>KG</t>
        </is>
      </c>
      <c r="H649" s="56" t="inlineStr">
        <is>
          <t>R001</t>
        </is>
      </c>
      <c r="I649" s="56" t="inlineStr">
        <is>
          <t>0788</t>
        </is>
      </c>
      <c r="J649" s="56" t="inlineStr">
        <is>
          <t>108</t>
        </is>
      </c>
      <c r="K649" s="57" t="n">
        <v>593.829</v>
      </c>
      <c r="L649" s="56" t="inlineStr"/>
      <c r="M649" s="56" t="inlineStr">
        <is>
          <t>0</t>
        </is>
      </c>
      <c r="N649" s="56" t="inlineStr">
        <is>
          <t>Rajsriya Automotive Industries(P)</t>
        </is>
      </c>
      <c r="O649" s="58" t="n">
        <v>13</v>
      </c>
      <c r="P649" s="59" t="inlineStr">
        <is>
          <t>0-30</t>
        </is>
      </c>
      <c r="Q649" s="56" t="inlineStr">
        <is>
          <t>Apoorv</t>
        </is>
      </c>
      <c r="U649" s="585" t="n">
        <v>1940408</v>
      </c>
      <c r="V649" t="n">
        <v>22.23</v>
      </c>
      <c r="W649" t="n">
        <v>0</v>
      </c>
      <c r="X649" t="n">
        <v>1.6</v>
      </c>
      <c r="Y649" t="n">
        <v>0.8090000000000001</v>
      </c>
      <c r="Z649" t="inlineStr">
        <is>
          <t>GR1</t>
        </is>
      </c>
      <c r="AA649" t="inlineStr">
        <is>
          <t>PE</t>
        </is>
      </c>
      <c r="AB649" t="inlineStr">
        <is>
          <t>AW</t>
        </is>
      </c>
      <c r="AC649" t="inlineStr">
        <is>
          <t>22.23-0-1.6-ERW 1-PE</t>
        </is>
      </c>
      <c r="AD649" t="inlineStr">
        <is>
          <t>CTL</t>
        </is>
      </c>
      <c r="AE649" t="inlineStr">
        <is>
          <t>22.23-0-1.6-ERW 1-PE-0.809</t>
        </is>
      </c>
      <c r="AF649" t="n">
        <v>0.6582138813280001</v>
      </c>
    </row>
    <row r="650">
      <c r="A650" s="56" t="n">
        <v>3500714</v>
      </c>
      <c r="B650" s="56" t="inlineStr">
        <is>
          <t>TUB-O-N-AUT-BH-FC-42.70X4.000X5.50-ERW 1</t>
        </is>
      </c>
      <c r="C650" s="56" t="inlineStr">
        <is>
          <t>4C28CK3140</t>
        </is>
      </c>
      <c r="D650" s="57" t="n">
        <v>111.968</v>
      </c>
      <c r="E650" s="58" t="n">
        <v>2351</v>
      </c>
      <c r="F650" s="57" t="n">
        <v>2.351</v>
      </c>
      <c r="G650" s="56" t="inlineStr">
        <is>
          <t>KG</t>
        </is>
      </c>
      <c r="H650" s="56" t="inlineStr">
        <is>
          <t>R001</t>
        </is>
      </c>
      <c r="I650" s="56" t="inlineStr">
        <is>
          <t>0788</t>
        </is>
      </c>
      <c r="J650" s="56" t="inlineStr">
        <is>
          <t>112</t>
        </is>
      </c>
      <c r="K650" s="57" t="n">
        <v>615.832</v>
      </c>
      <c r="L650" s="56" t="inlineStr"/>
      <c r="M650" s="56" t="inlineStr">
        <is>
          <t>0</t>
        </is>
      </c>
      <c r="N650" s="56" t="inlineStr">
        <is>
          <t>Rajsriya Automotive Industries(P)</t>
        </is>
      </c>
      <c r="O650" s="58" t="n">
        <v>13</v>
      </c>
      <c r="P650" s="59" t="inlineStr">
        <is>
          <t>0-30</t>
        </is>
      </c>
      <c r="Q650" s="56" t="inlineStr">
        <is>
          <t>Apoorv</t>
        </is>
      </c>
      <c r="U650" s="585" t="n">
        <v>3628242</v>
      </c>
      <c r="V650" t="n">
        <v>22.23</v>
      </c>
      <c r="W650" t="n">
        <v>0</v>
      </c>
      <c r="X650" t="n">
        <v>1.6</v>
      </c>
      <c r="Y650" t="n">
        <v>0.844</v>
      </c>
      <c r="Z650" t="inlineStr">
        <is>
          <t>ST52AL</t>
        </is>
      </c>
      <c r="AA650" t="inlineStr">
        <is>
          <t>PE</t>
        </is>
      </c>
      <c r="AB650" t="inlineStr">
        <is>
          <t>AW</t>
        </is>
      </c>
      <c r="AC650" t="inlineStr">
        <is>
          <t>22.23-0-1.6-ERW 2 MAHS-PE</t>
        </is>
      </c>
      <c r="AD650" t="inlineStr">
        <is>
          <t>CTL</t>
        </is>
      </c>
      <c r="AE650" t="inlineStr">
        <is>
          <t>22.23-0-1.6-ERW 2 MAHS-PE-0.844</t>
        </is>
      </c>
      <c r="AF650" t="n">
        <v>0.686690378048</v>
      </c>
    </row>
    <row r="651">
      <c r="A651" s="56" t="n">
        <v>3500714</v>
      </c>
      <c r="B651" s="56" t="inlineStr">
        <is>
          <t>TUB-O-N-AUT-BH-FC-42.70X4.000X5.50-ERW 1</t>
        </is>
      </c>
      <c r="C651" s="56" t="inlineStr">
        <is>
          <t>4C29AK3010</t>
        </is>
      </c>
      <c r="D651" s="57" t="n">
        <v>68.962</v>
      </c>
      <c r="E651" s="58" t="n">
        <v>1448</v>
      </c>
      <c r="F651" s="57" t="n">
        <v>1.448</v>
      </c>
      <c r="G651" s="56" t="inlineStr">
        <is>
          <t>KG</t>
        </is>
      </c>
      <c r="H651" s="56" t="inlineStr">
        <is>
          <t>R001</t>
        </is>
      </c>
      <c r="I651" s="56" t="inlineStr">
        <is>
          <t>0788</t>
        </is>
      </c>
      <c r="J651" s="56" t="inlineStr">
        <is>
          <t>69</t>
        </is>
      </c>
      <c r="K651" s="57" t="n">
        <v>379.296</v>
      </c>
      <c r="L651" s="56" t="inlineStr"/>
      <c r="M651" s="56" t="inlineStr">
        <is>
          <t>0</t>
        </is>
      </c>
      <c r="N651" s="56" t="inlineStr">
        <is>
          <t>Rajsriya Automotive Industries(P)</t>
        </is>
      </c>
      <c r="O651" s="58" t="n">
        <v>13</v>
      </c>
      <c r="P651" s="59" t="inlineStr">
        <is>
          <t>0-30</t>
        </is>
      </c>
      <c r="Q651" s="56" t="inlineStr">
        <is>
          <t>Apoorv</t>
        </is>
      </c>
      <c r="U651" s="585" t="n">
        <v>2418687</v>
      </c>
      <c r="V651" t="n">
        <v>22.23</v>
      </c>
      <c r="W651" t="n">
        <v>0</v>
      </c>
      <c r="X651" t="n">
        <v>1.6</v>
      </c>
      <c r="Y651" t="n">
        <v>0.88</v>
      </c>
      <c r="Z651" t="inlineStr">
        <is>
          <t>GR1</t>
        </is>
      </c>
      <c r="AA651" t="inlineStr">
        <is>
          <t>PE</t>
        </is>
      </c>
      <c r="AB651" t="inlineStr">
        <is>
          <t>AW</t>
        </is>
      </c>
      <c r="AC651" t="inlineStr">
        <is>
          <t>22.23-0-1.6-ERW 1-PE</t>
        </is>
      </c>
      <c r="AD651" t="inlineStr">
        <is>
          <t>CTL</t>
        </is>
      </c>
      <c r="AE651" t="inlineStr">
        <is>
          <t>22.23-0-1.6-ERW 1-PE-0.88</t>
        </is>
      </c>
      <c r="AF651" t="n">
        <v>0.7159804889600001</v>
      </c>
    </row>
    <row r="652">
      <c r="A652" s="56" t="n">
        <v>3500714</v>
      </c>
      <c r="B652" s="56" t="inlineStr">
        <is>
          <t>TUB-O-N-AUT-BH-FC-42.70X4.000X5.50-ERW 1</t>
        </is>
      </c>
      <c r="C652" s="56" t="inlineStr">
        <is>
          <t>4C29AK3020</t>
        </is>
      </c>
      <c r="D652" s="57" t="n">
        <v>39.958</v>
      </c>
      <c r="E652" s="58" t="n">
        <v>839</v>
      </c>
      <c r="F652" s="57" t="n">
        <v>0.839</v>
      </c>
      <c r="G652" s="56" t="inlineStr">
        <is>
          <t>KG</t>
        </is>
      </c>
      <c r="H652" s="56" t="inlineStr">
        <is>
          <t>R001</t>
        </is>
      </c>
      <c r="I652" s="56" t="inlineStr">
        <is>
          <t>0788</t>
        </is>
      </c>
      <c r="J652" s="56" t="inlineStr">
        <is>
          <t>40</t>
        </is>
      </c>
      <c r="K652" s="57" t="n">
        <v>219.772</v>
      </c>
      <c r="L652" s="56" t="inlineStr"/>
      <c r="M652" s="56" t="inlineStr">
        <is>
          <t>0</t>
        </is>
      </c>
      <c r="N652" s="56" t="inlineStr">
        <is>
          <t>Rajsriya Automotive Industries(P)</t>
        </is>
      </c>
      <c r="O652" s="58" t="n">
        <v>13</v>
      </c>
      <c r="P652" s="59" t="inlineStr">
        <is>
          <t>0-30</t>
        </is>
      </c>
      <c r="Q652" s="56" t="inlineStr">
        <is>
          <t>Apoorv</t>
        </is>
      </c>
      <c r="U652" s="585" t="n">
        <v>1940415</v>
      </c>
      <c r="V652" t="n">
        <v>22.23</v>
      </c>
      <c r="W652" t="n">
        <v>0</v>
      </c>
      <c r="X652" t="n">
        <v>1.6</v>
      </c>
      <c r="Y652" t="n">
        <v>0.925</v>
      </c>
      <c r="Z652" t="inlineStr">
        <is>
          <t>ST52AL</t>
        </is>
      </c>
      <c r="AA652" t="inlineStr">
        <is>
          <t>PE</t>
        </is>
      </c>
      <c r="AB652" t="inlineStr">
        <is>
          <t>AW</t>
        </is>
      </c>
      <c r="AC652" t="inlineStr">
        <is>
          <t>22.23-0-1.6-ERW 2 MAHS-PE</t>
        </is>
      </c>
      <c r="AD652" t="inlineStr">
        <is>
          <t>CTL</t>
        </is>
      </c>
      <c r="AE652" t="inlineStr">
        <is>
          <t>22.23-0-1.6-ERW 2 MAHS-PE-0.925</t>
        </is>
      </c>
      <c r="AF652" t="n">
        <v>0.7525931276000001</v>
      </c>
    </row>
    <row r="653">
      <c r="A653" s="56" t="n">
        <v>3500714</v>
      </c>
      <c r="B653" s="56" t="inlineStr">
        <is>
          <t>TUB-O-N-AUT-BH-FC-42.70X4.000X5.50-ERW 1</t>
        </is>
      </c>
      <c r="C653" s="56" t="inlineStr">
        <is>
          <t>4C29AK3030</t>
        </is>
      </c>
      <c r="D653" s="57" t="n">
        <v>108.968</v>
      </c>
      <c r="E653" s="58" t="n">
        <v>2288</v>
      </c>
      <c r="F653" s="57" t="n">
        <v>2.288</v>
      </c>
      <c r="G653" s="56" t="inlineStr">
        <is>
          <t>KG</t>
        </is>
      </c>
      <c r="H653" s="56" t="inlineStr">
        <is>
          <t>R001</t>
        </is>
      </c>
      <c r="I653" s="56" t="inlineStr">
        <is>
          <t>0788</t>
        </is>
      </c>
      <c r="J653" s="56" t="inlineStr">
        <is>
          <t>109</t>
        </is>
      </c>
      <c r="K653" s="57" t="n">
        <v>599.329</v>
      </c>
      <c r="L653" s="56" t="inlineStr"/>
      <c r="M653" s="56" t="inlineStr">
        <is>
          <t>0</t>
        </is>
      </c>
      <c r="N653" s="56" t="inlineStr">
        <is>
          <t>Rajsriya Automotive Industries(P)</t>
        </is>
      </c>
      <c r="O653" s="58" t="n">
        <v>13</v>
      </c>
      <c r="P653" s="59" t="inlineStr">
        <is>
          <t>0-30</t>
        </is>
      </c>
      <c r="Q653" s="56" t="inlineStr">
        <is>
          <t>Apoorv</t>
        </is>
      </c>
      <c r="U653" s="585" t="n">
        <v>1940416</v>
      </c>
      <c r="V653" t="n">
        <v>22.23</v>
      </c>
      <c r="W653" t="n">
        <v>0</v>
      </c>
      <c r="X653" t="n">
        <v>1.6</v>
      </c>
      <c r="Y653" t="n">
        <v>0.9350000000000001</v>
      </c>
      <c r="Z653" t="inlineStr">
        <is>
          <t>ST52AL</t>
        </is>
      </c>
      <c r="AA653" t="inlineStr">
        <is>
          <t>PE</t>
        </is>
      </c>
      <c r="AB653" t="inlineStr">
        <is>
          <t>AW</t>
        </is>
      </c>
      <c r="AC653" t="inlineStr">
        <is>
          <t>22.23-0-1.6-ERW 2 MAHS-PE</t>
        </is>
      </c>
      <c r="AD653" t="inlineStr">
        <is>
          <t>CTL</t>
        </is>
      </c>
      <c r="AE653" t="inlineStr">
        <is>
          <t>22.23-0-1.6-ERW 2 MAHS-PE-0.935</t>
        </is>
      </c>
      <c r="AF653" t="n">
        <v>0.7607292695200001</v>
      </c>
    </row>
    <row r="654">
      <c r="A654" s="56" t="n">
        <v>3500714</v>
      </c>
      <c r="B654" s="56" t="inlineStr">
        <is>
          <t>TUB-O-N-AUT-BH-FC-42.70X4.000X5.50-ERW 1</t>
        </is>
      </c>
      <c r="C654" s="56" t="inlineStr">
        <is>
          <t>4C30K40815</t>
        </is>
      </c>
      <c r="D654" s="57" t="n">
        <v>30.004</v>
      </c>
      <c r="E654" s="58" t="n">
        <v>630</v>
      </c>
      <c r="F654" s="57" t="n">
        <v>0.63</v>
      </c>
      <c r="G654" s="56" t="inlineStr">
        <is>
          <t>KG</t>
        </is>
      </c>
      <c r="H654" s="56" t="inlineStr">
        <is>
          <t>R001</t>
        </is>
      </c>
      <c r="I654" s="56" t="inlineStr">
        <is>
          <t>0788</t>
        </is>
      </c>
      <c r="J654" s="56" t="inlineStr">
        <is>
          <t>30</t>
        </is>
      </c>
      <c r="K654" s="57" t="n">
        <v>165.025</v>
      </c>
      <c r="L654" s="56" t="inlineStr"/>
      <c r="M654" s="56" t="inlineStr">
        <is>
          <t>0</t>
        </is>
      </c>
      <c r="N654" s="56" t="inlineStr">
        <is>
          <t>Rajsriya Automotive Industries(P)</t>
        </is>
      </c>
      <c r="O654" s="58" t="n">
        <v>14</v>
      </c>
      <c r="P654" s="59" t="inlineStr">
        <is>
          <t>0-30</t>
        </is>
      </c>
      <c r="Q654" s="56" t="inlineStr">
        <is>
          <t>Apoorv</t>
        </is>
      </c>
      <c r="U654" s="585" t="n">
        <v>3599863</v>
      </c>
      <c r="V654" t="n">
        <v>22.23</v>
      </c>
      <c r="W654" t="n">
        <v>0</v>
      </c>
      <c r="X654" t="n">
        <v>1.6</v>
      </c>
      <c r="Y654" t="n">
        <v>0.945</v>
      </c>
      <c r="Z654" t="inlineStr">
        <is>
          <t>HROP</t>
        </is>
      </c>
      <c r="AA654" t="inlineStr">
        <is>
          <t>PE</t>
        </is>
      </c>
      <c r="AB654" t="inlineStr">
        <is>
          <t>AW</t>
        </is>
      </c>
      <c r="AC654" t="inlineStr">
        <is>
          <t>22.23-0-1.6-ERW 1-PE</t>
        </is>
      </c>
      <c r="AD654" t="inlineStr">
        <is>
          <t>CTL</t>
        </is>
      </c>
      <c r="AE654" t="inlineStr">
        <is>
          <t>22.23-0-1.6-ERW 1-PE-0.945</t>
        </is>
      </c>
      <c r="AF654" t="n">
        <v>0.76886541144</v>
      </c>
    </row>
    <row r="655">
      <c r="A655" s="56" t="n">
        <v>3500714</v>
      </c>
      <c r="B655" s="56" t="inlineStr">
        <is>
          <t>TUB-O-N-AUT-BH-FC-42.70X4.000X5.50-ERW 1</t>
        </is>
      </c>
      <c r="C655" s="56" t="inlineStr">
        <is>
          <t>4C30K40816</t>
        </is>
      </c>
      <c r="D655" s="57" t="n">
        <v>30.004</v>
      </c>
      <c r="E655" s="58" t="n">
        <v>630</v>
      </c>
      <c r="F655" s="57" t="n">
        <v>0.63</v>
      </c>
      <c r="G655" s="56" t="inlineStr">
        <is>
          <t>KG</t>
        </is>
      </c>
      <c r="H655" s="56" t="inlineStr">
        <is>
          <t>R001</t>
        </is>
      </c>
      <c r="I655" s="56" t="inlineStr">
        <is>
          <t>0788</t>
        </is>
      </c>
      <c r="J655" s="56" t="inlineStr">
        <is>
          <t>30</t>
        </is>
      </c>
      <c r="K655" s="57" t="n">
        <v>165.025</v>
      </c>
      <c r="L655" s="56" t="inlineStr"/>
      <c r="M655" s="56" t="inlineStr">
        <is>
          <t>0</t>
        </is>
      </c>
      <c r="N655" s="56" t="inlineStr">
        <is>
          <t>Rajsriya Automotive Industries(P)</t>
        </is>
      </c>
      <c r="O655" s="58" t="n">
        <v>14</v>
      </c>
      <c r="P655" s="59" t="inlineStr">
        <is>
          <t>0-30</t>
        </is>
      </c>
      <c r="Q655" s="56" t="inlineStr">
        <is>
          <t>Apoorv</t>
        </is>
      </c>
      <c r="U655" s="585" t="n">
        <v>3599035</v>
      </c>
      <c r="V655" t="n">
        <v>22.23</v>
      </c>
      <c r="W655" t="n">
        <v>0</v>
      </c>
      <c r="X655" t="n">
        <v>1.6</v>
      </c>
      <c r="Y655" t="n">
        <v>0.945</v>
      </c>
      <c r="Z655" t="inlineStr">
        <is>
          <t>HROP</t>
        </is>
      </c>
      <c r="AA655" t="inlineStr">
        <is>
          <t>PE</t>
        </is>
      </c>
      <c r="AB655" t="inlineStr">
        <is>
          <t>AW</t>
        </is>
      </c>
      <c r="AC655" t="inlineStr">
        <is>
          <t>22.23-0-1.6-ERW 1-PE</t>
        </is>
      </c>
      <c r="AD655" t="inlineStr">
        <is>
          <t>CTL</t>
        </is>
      </c>
      <c r="AE655" t="inlineStr">
        <is>
          <t>22.23-0-1.6-ERW 1-PE-0.945</t>
        </is>
      </c>
      <c r="AF655" t="n">
        <v>0.76886541144</v>
      </c>
    </row>
    <row r="656">
      <c r="A656" s="56" t="n">
        <v>3500718</v>
      </c>
      <c r="B656" s="56" t="inlineStr">
        <is>
          <t>TUB-O-N-AUT-AW-FC-38.10X3.66X4.735-ERW 1</t>
        </is>
      </c>
      <c r="C656" s="56" t="inlineStr">
        <is>
          <t>5104BK3040</t>
        </is>
      </c>
      <c r="D656" s="57" t="n">
        <v>145.534</v>
      </c>
      <c r="E656" s="58" t="n">
        <v>2058</v>
      </c>
      <c r="F656" s="57" t="n">
        <v>2.058</v>
      </c>
      <c r="G656" s="56" t="inlineStr">
        <is>
          <t>KG</t>
        </is>
      </c>
      <c r="H656" s="56" t="inlineStr">
        <is>
          <t>R001</t>
        </is>
      </c>
      <c r="I656" s="56" t="inlineStr">
        <is>
          <t>0788</t>
        </is>
      </c>
      <c r="J656" s="56" t="inlineStr">
        <is>
          <t>142</t>
        </is>
      </c>
      <c r="K656" s="57" t="n">
        <v>689.101</v>
      </c>
      <c r="L656" s="56" t="inlineStr"/>
      <c r="M656" s="56" t="inlineStr">
        <is>
          <t>0</t>
        </is>
      </c>
      <c r="N656" s="56" t="inlineStr">
        <is>
          <t>FREE STOCK</t>
        </is>
      </c>
      <c r="O656" s="58" t="n">
        <v>8</v>
      </c>
      <c r="P656" s="59" t="inlineStr">
        <is>
          <t>0-30</t>
        </is>
      </c>
      <c r="Q656" s="56" t="inlineStr">
        <is>
          <t>Free Stock</t>
        </is>
      </c>
      <c r="U656" s="585" t="n">
        <v>3672992</v>
      </c>
      <c r="V656" t="n">
        <v>22.23</v>
      </c>
      <c r="W656" t="n">
        <v>0</v>
      </c>
      <c r="X656" t="n">
        <v>1.6</v>
      </c>
      <c r="Y656" t="n">
        <v>0.949</v>
      </c>
      <c r="Z656" t="inlineStr">
        <is>
          <t>GR1</t>
        </is>
      </c>
      <c r="AA656" t="inlineStr">
        <is>
          <t>PE</t>
        </is>
      </c>
      <c r="AB656" t="inlineStr">
        <is>
          <t>AW</t>
        </is>
      </c>
      <c r="AC656" t="inlineStr">
        <is>
          <t>22.23-0-1.6-ERW 1-PE</t>
        </is>
      </c>
      <c r="AD656" t="inlineStr">
        <is>
          <t>CTL</t>
        </is>
      </c>
      <c r="AE656" t="inlineStr">
        <is>
          <t>22.23-0-1.6-ERW 1-PE-0.949</t>
        </is>
      </c>
      <c r="AF656" t="n">
        <v>0.772119868208</v>
      </c>
    </row>
    <row r="657">
      <c r="A657" s="56" t="n">
        <v>3500718</v>
      </c>
      <c r="B657" s="56" t="inlineStr">
        <is>
          <t>TUB-O-N-AUT-AW-FC-38.10X3.66X4.735-ERW 1</t>
        </is>
      </c>
      <c r="C657" s="56" t="inlineStr">
        <is>
          <t>5104BK3050</t>
        </is>
      </c>
      <c r="D657" s="57" t="n">
        <v>147.726</v>
      </c>
      <c r="E657" s="58" t="n">
        <v>2089</v>
      </c>
      <c r="F657" s="57" t="n">
        <v>2.089</v>
      </c>
      <c r="G657" s="56" t="inlineStr">
        <is>
          <t>KG</t>
        </is>
      </c>
      <c r="H657" s="56" t="inlineStr">
        <is>
          <t>R001</t>
        </is>
      </c>
      <c r="I657" s="56" t="inlineStr">
        <is>
          <t>0788</t>
        </is>
      </c>
      <c r="J657" s="56" t="inlineStr">
        <is>
          <t>142</t>
        </is>
      </c>
      <c r="K657" s="57" t="n">
        <v>699.481</v>
      </c>
      <c r="L657" s="56" t="inlineStr"/>
      <c r="M657" s="56" t="inlineStr">
        <is>
          <t>0</t>
        </is>
      </c>
      <c r="N657" s="56" t="inlineStr">
        <is>
          <t>FREE STOCK</t>
        </is>
      </c>
      <c r="O657" s="58" t="n">
        <v>8</v>
      </c>
      <c r="P657" s="59" t="inlineStr">
        <is>
          <t>0-30</t>
        </is>
      </c>
      <c r="Q657" s="56" t="inlineStr">
        <is>
          <t>Free Stock</t>
        </is>
      </c>
      <c r="U657" s="585" t="n">
        <v>3673012</v>
      </c>
      <c r="V657" t="n">
        <v>22.23</v>
      </c>
      <c r="W657" t="n">
        <v>0</v>
      </c>
      <c r="X657" t="n">
        <v>1.6</v>
      </c>
      <c r="Y657" t="n">
        <v>0.949</v>
      </c>
      <c r="Z657" t="inlineStr">
        <is>
          <t>HROP</t>
        </is>
      </c>
      <c r="AA657" t="inlineStr">
        <is>
          <t>PE</t>
        </is>
      </c>
      <c r="AB657" t="inlineStr">
        <is>
          <t>AW</t>
        </is>
      </c>
      <c r="AC657" t="inlineStr">
        <is>
          <t>22.23-0-1.6-ERW 1-PE</t>
        </is>
      </c>
      <c r="AD657" t="inlineStr">
        <is>
          <t>CTL</t>
        </is>
      </c>
      <c r="AE657" t="inlineStr">
        <is>
          <t>22.23-0-1.6-ERW 1-PE-0.949</t>
        </is>
      </c>
      <c r="AF657" t="n">
        <v>0.772119868208</v>
      </c>
    </row>
    <row r="658">
      <c r="A658" s="56" t="n">
        <v>3500718</v>
      </c>
      <c r="B658" s="56" t="inlineStr">
        <is>
          <t>TUB-O-N-AUT-AW-FC-38.10X3.66X4.735-ERW 1</t>
        </is>
      </c>
      <c r="C658" s="56" t="inlineStr">
        <is>
          <t>5104BK3060</t>
        </is>
      </c>
      <c r="D658" s="57" t="n">
        <v>149.636</v>
      </c>
      <c r="E658" s="58" t="n">
        <v>2116</v>
      </c>
      <c r="F658" s="57" t="n">
        <v>2.116</v>
      </c>
      <c r="G658" s="56" t="inlineStr">
        <is>
          <t>KG</t>
        </is>
      </c>
      <c r="H658" s="56" t="inlineStr">
        <is>
          <t>R001</t>
        </is>
      </c>
      <c r="I658" s="56" t="inlineStr">
        <is>
          <t>0788</t>
        </is>
      </c>
      <c r="J658" s="56" t="inlineStr">
        <is>
          <t>146</t>
        </is>
      </c>
      <c r="K658" s="57" t="n">
        <v>708.522</v>
      </c>
      <c r="L658" s="56" t="inlineStr"/>
      <c r="M658" s="56" t="inlineStr">
        <is>
          <t>0</t>
        </is>
      </c>
      <c r="N658" s="56" t="inlineStr">
        <is>
          <t>FREE STOCK</t>
        </is>
      </c>
      <c r="O658" s="58" t="n">
        <v>8</v>
      </c>
      <c r="P658" s="59" t="inlineStr">
        <is>
          <t>0-30</t>
        </is>
      </c>
      <c r="Q658" s="56" t="inlineStr">
        <is>
          <t>Free Stock</t>
        </is>
      </c>
      <c r="U658" s="585" t="n">
        <v>1940418</v>
      </c>
      <c r="V658" t="n">
        <v>22.23</v>
      </c>
      <c r="W658" t="n">
        <v>0</v>
      </c>
      <c r="X658" t="n">
        <v>1.6</v>
      </c>
      <c r="Y658" t="n">
        <v>0.967</v>
      </c>
      <c r="Z658" t="inlineStr">
        <is>
          <t>GR1</t>
        </is>
      </c>
      <c r="AA658" t="inlineStr">
        <is>
          <t>PE</t>
        </is>
      </c>
      <c r="AB658" t="inlineStr">
        <is>
          <t>AW</t>
        </is>
      </c>
      <c r="AC658" t="inlineStr">
        <is>
          <t>22.23-0-1.6-ERW 1-PE</t>
        </is>
      </c>
      <c r="AD658" t="inlineStr">
        <is>
          <t>CTL</t>
        </is>
      </c>
      <c r="AE658" t="inlineStr">
        <is>
          <t>22.23-0-1.6-ERW 1-PE-0.967</t>
        </is>
      </c>
      <c r="AF658" t="n">
        <v>0.7867649236640001</v>
      </c>
    </row>
    <row r="659">
      <c r="A659" s="56" t="n">
        <v>3500718</v>
      </c>
      <c r="B659" s="56" t="inlineStr">
        <is>
          <t>TUB-O-N-AUT-AW-FC-38.10X3.66X4.735-ERW 1</t>
        </is>
      </c>
      <c r="C659" s="56" t="inlineStr">
        <is>
          <t>5104BK3070</t>
        </is>
      </c>
      <c r="D659" s="57" t="n">
        <v>148.646</v>
      </c>
      <c r="E659" s="58" t="n">
        <v>2102</v>
      </c>
      <c r="F659" s="57" t="n">
        <v>2.102</v>
      </c>
      <c r="G659" s="56" t="inlineStr">
        <is>
          <t>KG</t>
        </is>
      </c>
      <c r="H659" s="56" t="inlineStr">
        <is>
          <t>R001</t>
        </is>
      </c>
      <c r="I659" s="56" t="inlineStr">
        <is>
          <t>0788</t>
        </is>
      </c>
      <c r="J659" s="56" t="inlineStr">
        <is>
          <t>145</t>
        </is>
      </c>
      <c r="K659" s="57" t="n">
        <v>703.8339999999999</v>
      </c>
      <c r="L659" s="56" t="inlineStr"/>
      <c r="M659" s="56" t="inlineStr">
        <is>
          <t>0</t>
        </is>
      </c>
      <c r="N659" s="56" t="inlineStr">
        <is>
          <t>FREE STOCK</t>
        </is>
      </c>
      <c r="O659" s="58" t="n">
        <v>7</v>
      </c>
      <c r="P659" s="59" t="inlineStr">
        <is>
          <t>0-30</t>
        </is>
      </c>
      <c r="Q659" s="56" t="inlineStr">
        <is>
          <t>Free Stock</t>
        </is>
      </c>
      <c r="U659" s="585" t="n">
        <v>1940420</v>
      </c>
      <c r="V659" t="n">
        <v>22.23</v>
      </c>
      <c r="W659" t="n">
        <v>0</v>
      </c>
      <c r="X659" t="n">
        <v>1.6</v>
      </c>
      <c r="Y659" t="n">
        <v>1.175</v>
      </c>
      <c r="Z659" t="inlineStr">
        <is>
          <t>GR1</t>
        </is>
      </c>
      <c r="AA659" t="inlineStr">
        <is>
          <t>PE</t>
        </is>
      </c>
      <c r="AB659" t="inlineStr">
        <is>
          <t>AW</t>
        </is>
      </c>
      <c r="AC659" t="inlineStr">
        <is>
          <t>22.23-0-1.6-ERW 1-PE</t>
        </is>
      </c>
      <c r="AD659" t="inlineStr">
        <is>
          <t>CTL</t>
        </is>
      </c>
      <c r="AE659" t="inlineStr">
        <is>
          <t>22.23-0-1.6-ERW 1-PE-1.175</t>
        </is>
      </c>
      <c r="AF659" t="n">
        <v>0.9559966756000001</v>
      </c>
    </row>
    <row r="660">
      <c r="A660" s="56" t="n">
        <v>3500816</v>
      </c>
      <c r="B660" s="56" t="inlineStr">
        <is>
          <t>TUB-O-N-AUT-BH-FC-63.50X4.000X6.0000</t>
        </is>
      </c>
      <c r="C660" s="56" t="inlineStr">
        <is>
          <t>4623BK3080</t>
        </is>
      </c>
      <c r="D660" s="57" t="n">
        <v>14.334</v>
      </c>
      <c r="E660" s="58" t="n">
        <v>493</v>
      </c>
      <c r="F660" s="57" t="n">
        <v>0.493</v>
      </c>
      <c r="G660" s="56" t="inlineStr">
        <is>
          <t>KG</t>
        </is>
      </c>
      <c r="H660" s="56" t="inlineStr">
        <is>
          <t>R001</t>
        </is>
      </c>
      <c r="I660" s="56" t="inlineStr">
        <is>
          <t>0788</t>
        </is>
      </c>
      <c r="J660" s="56" t="inlineStr">
        <is>
          <t>14</t>
        </is>
      </c>
      <c r="K660" s="57" t="n">
        <v>86.004</v>
      </c>
      <c r="L660" s="56" t="inlineStr"/>
      <c r="M660" s="56" t="inlineStr">
        <is>
          <t>0</t>
        </is>
      </c>
      <c r="N660" s="56" t="inlineStr">
        <is>
          <t>Neel Metal Products Limited</t>
        </is>
      </c>
      <c r="O660" s="58" t="n">
        <v>187</v>
      </c>
      <c r="P660" s="59" t="inlineStr">
        <is>
          <t>ABOVE 90</t>
        </is>
      </c>
      <c r="Q660" s="56" t="inlineStr">
        <is>
          <t>Apoorv</t>
        </is>
      </c>
      <c r="U660" s="585" t="n">
        <v>3673011</v>
      </c>
      <c r="V660" t="n">
        <v>22.23</v>
      </c>
      <c r="W660" t="n">
        <v>0</v>
      </c>
      <c r="X660" t="n">
        <v>1.6</v>
      </c>
      <c r="Y660" t="n">
        <v>1.304</v>
      </c>
      <c r="Z660" t="inlineStr">
        <is>
          <t>HROP</t>
        </is>
      </c>
      <c r="AA660" t="inlineStr">
        <is>
          <t>PE</t>
        </is>
      </c>
      <c r="AB660" t="inlineStr">
        <is>
          <t>AW</t>
        </is>
      </c>
      <c r="AC660" t="inlineStr">
        <is>
          <t>22.23-0-1.6-ERW 1-PE</t>
        </is>
      </c>
      <c r="AD660" t="inlineStr">
        <is>
          <t>CTL</t>
        </is>
      </c>
      <c r="AE660" t="inlineStr">
        <is>
          <t>22.23-0-1.6-ERW 1-PE-1.304</t>
        </is>
      </c>
      <c r="AF660" t="n">
        <v>1.060952906368</v>
      </c>
    </row>
    <row r="661">
      <c r="A661" s="56" t="n">
        <v>3500816</v>
      </c>
      <c r="B661" s="56" t="inlineStr">
        <is>
          <t>TUB-O-N-AUT-BH-FC-63.50X4.000X6.0000</t>
        </is>
      </c>
      <c r="C661" s="56" t="inlineStr">
        <is>
          <t>4724AK4110</t>
        </is>
      </c>
      <c r="D661" s="57" t="n">
        <v>53.207</v>
      </c>
      <c r="E661" s="58" t="n">
        <v>1830</v>
      </c>
      <c r="F661" s="57" t="n">
        <v>1.83</v>
      </c>
      <c r="G661" s="56" t="inlineStr">
        <is>
          <t>KG</t>
        </is>
      </c>
      <c r="H661" s="56" t="inlineStr">
        <is>
          <t>R001</t>
        </is>
      </c>
      <c r="I661" s="56" t="inlineStr">
        <is>
          <t>0788</t>
        </is>
      </c>
      <c r="J661" s="56" t="inlineStr">
        <is>
          <t>52</t>
        </is>
      </c>
      <c r="K661" s="57" t="n">
        <v>319.244</v>
      </c>
      <c r="L661" s="56" t="inlineStr"/>
      <c r="M661" s="56" t="inlineStr">
        <is>
          <t>0</t>
        </is>
      </c>
      <c r="N661" s="56" t="inlineStr">
        <is>
          <t>Neel Metal Products Limited</t>
        </is>
      </c>
      <c r="O661" s="58" t="n">
        <v>170</v>
      </c>
      <c r="P661" s="59" t="inlineStr">
        <is>
          <t>ABOVE 90</t>
        </is>
      </c>
      <c r="Q661" s="56" t="inlineStr">
        <is>
          <t>Apoorv</t>
        </is>
      </c>
      <c r="U661" s="585" t="n">
        <v>2349249</v>
      </c>
      <c r="V661" t="n">
        <v>22.23</v>
      </c>
      <c r="W661" t="n">
        <v>0</v>
      </c>
      <c r="X661" t="n">
        <v>1.6</v>
      </c>
      <c r="Y661" t="n">
        <v>1.338</v>
      </c>
      <c r="Z661" t="inlineStr">
        <is>
          <t>HROP</t>
        </is>
      </c>
      <c r="AA661" t="inlineStr"/>
      <c r="AB661" t="inlineStr">
        <is>
          <t>AW</t>
        </is>
      </c>
      <c r="AC661" t="inlineStr">
        <is>
          <t>22.23-0-1.6-ERW 1-PE</t>
        </is>
      </c>
      <c r="AD661" t="inlineStr">
        <is>
          <t>CTL</t>
        </is>
      </c>
      <c r="AE661" t="inlineStr">
        <is>
          <t>22.23-0-1.6-ERW 1-PE-1.338</t>
        </is>
      </c>
      <c r="AF661" t="n">
        <v>1.088615788896</v>
      </c>
    </row>
    <row r="662">
      <c r="A662" s="56" t="n">
        <v>3500816</v>
      </c>
      <c r="B662" s="56" t="inlineStr">
        <is>
          <t>TUB-O-N-AUT-BH-FC-63.50X4.000X6.0000</t>
        </is>
      </c>
      <c r="C662" s="56" t="inlineStr">
        <is>
          <t>4727AK4010</t>
        </is>
      </c>
      <c r="D662" s="57" t="n">
        <v>53.207</v>
      </c>
      <c r="E662" s="58" t="n">
        <v>1830</v>
      </c>
      <c r="F662" s="57" t="n">
        <v>1.83</v>
      </c>
      <c r="G662" s="56" t="inlineStr">
        <is>
          <t>KG</t>
        </is>
      </c>
      <c r="H662" s="56" t="inlineStr">
        <is>
          <t>R001</t>
        </is>
      </c>
      <c r="I662" s="56" t="inlineStr">
        <is>
          <t>0788</t>
        </is>
      </c>
      <c r="J662" s="56" t="inlineStr">
        <is>
          <t>52</t>
        </is>
      </c>
      <c r="K662" s="57" t="n">
        <v>319.244</v>
      </c>
      <c r="L662" s="56" t="inlineStr"/>
      <c r="M662" s="56" t="inlineStr">
        <is>
          <t>0</t>
        </is>
      </c>
      <c r="N662" s="56" t="inlineStr">
        <is>
          <t>Neel Metal Products Limited</t>
        </is>
      </c>
      <c r="O662" s="58" t="n">
        <v>57</v>
      </c>
      <c r="P662" s="59" t="inlineStr">
        <is>
          <t>31-60</t>
        </is>
      </c>
      <c r="Q662" s="56" t="inlineStr">
        <is>
          <t>Apoorv</t>
        </is>
      </c>
      <c r="U662" t="n">
        <v>3575894</v>
      </c>
      <c r="V662" t="n">
        <v>22.23</v>
      </c>
      <c r="W662" t="n">
        <v>0</v>
      </c>
      <c r="X662" t="n">
        <v>1.6</v>
      </c>
      <c r="Y662" t="n">
        <v>5.27</v>
      </c>
      <c r="Z662" t="inlineStr">
        <is>
          <t>HROP</t>
        </is>
      </c>
      <c r="AA662" t="inlineStr">
        <is>
          <t>PE</t>
        </is>
      </c>
      <c r="AB662" t="inlineStr">
        <is>
          <t>AW</t>
        </is>
      </c>
      <c r="AC662" t="inlineStr">
        <is>
          <t>22.23-0-1.6-ERW 1-PE</t>
        </is>
      </c>
      <c r="AD662" t="inlineStr">
        <is>
          <t>LL</t>
        </is>
      </c>
      <c r="AE662" t="inlineStr">
        <is>
          <t>22.23-0-1.6-ERW 1-PE-1</t>
        </is>
      </c>
      <c r="AF662" t="n">
        <v>0.8136141920000001</v>
      </c>
    </row>
    <row r="663">
      <c r="A663" s="56" t="n">
        <v>3500816</v>
      </c>
      <c r="B663" s="56" t="inlineStr">
        <is>
          <t>TUB-O-N-AUT-BH-FC-63.50X4.000X6.0000</t>
        </is>
      </c>
      <c r="C663" s="56" t="inlineStr">
        <is>
          <t>4727AK4030</t>
        </is>
      </c>
      <c r="D663" s="57" t="n">
        <v>4.1</v>
      </c>
      <c r="E663" s="58" t="n">
        <v>141</v>
      </c>
      <c r="F663" s="57" t="n">
        <v>0.141</v>
      </c>
      <c r="G663" s="56" t="inlineStr">
        <is>
          <t>KG</t>
        </is>
      </c>
      <c r="H663" s="56" t="inlineStr">
        <is>
          <t>R001</t>
        </is>
      </c>
      <c r="I663" s="56" t="inlineStr">
        <is>
          <t>0788</t>
        </is>
      </c>
      <c r="J663" s="56" t="inlineStr">
        <is>
          <t>4</t>
        </is>
      </c>
      <c r="K663" s="57" t="n">
        <v>24.597</v>
      </c>
      <c r="L663" s="56" t="inlineStr"/>
      <c r="M663" s="56" t="inlineStr">
        <is>
          <t>0</t>
        </is>
      </c>
      <c r="N663" s="56" t="inlineStr">
        <is>
          <t>Neel Metal Products Limited</t>
        </is>
      </c>
      <c r="O663" s="58" t="n">
        <v>153</v>
      </c>
      <c r="P663" s="59" t="inlineStr">
        <is>
          <t>ABOVE 90</t>
        </is>
      </c>
      <c r="Q663" s="56" t="inlineStr">
        <is>
          <t>Apoorv</t>
        </is>
      </c>
      <c r="U663" s="586" t="n">
        <v>111002410</v>
      </c>
      <c r="V663" t="n">
        <v>22.23</v>
      </c>
      <c r="W663" t="n">
        <v>0</v>
      </c>
      <c r="X663" t="n">
        <v>1.6</v>
      </c>
      <c r="Y663" t="n">
        <v>5.27</v>
      </c>
      <c r="Z663" t="inlineStr">
        <is>
          <t>WG</t>
        </is>
      </c>
      <c r="AA663" t="inlineStr">
        <is>
          <t>PE</t>
        </is>
      </c>
      <c r="AB663" t="inlineStr">
        <is>
          <t>AW</t>
        </is>
      </c>
      <c r="AC663" t="inlineStr">
        <is>
          <t>22.23-0-1.6-ERW 1-PE</t>
        </is>
      </c>
      <c r="AD663" t="inlineStr">
        <is>
          <t>LL</t>
        </is>
      </c>
      <c r="AE663" t="inlineStr">
        <is>
          <t>22.23-0-1.6-ERW 1-PE-1</t>
        </is>
      </c>
      <c r="AF663" t="n">
        <v>0.8136141920000001</v>
      </c>
    </row>
    <row r="664">
      <c r="A664" s="56" t="n">
        <v>3500816</v>
      </c>
      <c r="B664" s="56" t="inlineStr">
        <is>
          <t>TUB-O-N-AUT-BH-FC-63.50X4.000X6.0000</t>
        </is>
      </c>
      <c r="C664" s="56" t="inlineStr">
        <is>
          <t>4A07CK3020</t>
        </is>
      </c>
      <c r="D664" s="57" t="n">
        <v>7.152</v>
      </c>
      <c r="E664" s="58" t="n">
        <v>246</v>
      </c>
      <c r="F664" s="57" t="n">
        <v>0.246</v>
      </c>
      <c r="G664" s="56" t="inlineStr">
        <is>
          <t>KG</t>
        </is>
      </c>
      <c r="H664" s="56" t="inlineStr">
        <is>
          <t>R001</t>
        </is>
      </c>
      <c r="I664" s="56" t="inlineStr">
        <is>
          <t>0788</t>
        </is>
      </c>
      <c r="J664" s="56" t="inlineStr">
        <is>
          <t>7</t>
        </is>
      </c>
      <c r="K664" s="57" t="n">
        <v>42.915</v>
      </c>
      <c r="L664" s="56" t="inlineStr"/>
      <c r="M664" s="56" t="inlineStr">
        <is>
          <t>0</t>
        </is>
      </c>
      <c r="N664" s="56" t="inlineStr">
        <is>
          <t>Neel Metal Products Limited</t>
        </is>
      </c>
      <c r="O664" s="58" t="n">
        <v>77</v>
      </c>
      <c r="P664" s="59" t="inlineStr">
        <is>
          <t>61-90</t>
        </is>
      </c>
      <c r="Q664" s="56" t="inlineStr">
        <is>
          <t>Apoorv</t>
        </is>
      </c>
      <c r="U664" s="586" t="n">
        <v>111002209</v>
      </c>
      <c r="V664" t="n">
        <v>22.23</v>
      </c>
      <c r="W664" t="n">
        <v>0</v>
      </c>
      <c r="X664" t="n">
        <v>1.6</v>
      </c>
      <c r="Y664" t="n">
        <v>5.285</v>
      </c>
      <c r="Z664" t="inlineStr">
        <is>
          <t>HROP</t>
        </is>
      </c>
      <c r="AA664" t="inlineStr">
        <is>
          <t>PE</t>
        </is>
      </c>
      <c r="AB664" t="inlineStr">
        <is>
          <t>AW</t>
        </is>
      </c>
      <c r="AC664" t="inlineStr">
        <is>
          <t>22.23-0-1.6-ERW 1-PE</t>
        </is>
      </c>
      <c r="AD664" t="inlineStr">
        <is>
          <t>LL</t>
        </is>
      </c>
      <c r="AE664" t="inlineStr">
        <is>
          <t>22.23-0-1.6-ERW 1-PE-1</t>
        </is>
      </c>
      <c r="AF664" t="n">
        <v>0.8136141920000001</v>
      </c>
    </row>
    <row r="665">
      <c r="A665" s="56" t="n">
        <v>3500816</v>
      </c>
      <c r="B665" s="56" t="inlineStr">
        <is>
          <t>TUB-O-N-AUT-BH-FC-63.50X4.000X6.0000</t>
        </is>
      </c>
      <c r="C665" s="56" t="inlineStr">
        <is>
          <t>4A07K34852</t>
        </is>
      </c>
      <c r="D665" s="57" t="n">
        <v>10.234</v>
      </c>
      <c r="E665" s="58" t="n">
        <v>352</v>
      </c>
      <c r="F665" s="57" t="n">
        <v>0.352</v>
      </c>
      <c r="G665" s="56" t="inlineStr">
        <is>
          <t>KG</t>
        </is>
      </c>
      <c r="H665" s="56" t="inlineStr">
        <is>
          <t>R001</t>
        </is>
      </c>
      <c r="I665" s="56" t="inlineStr">
        <is>
          <t>0788</t>
        </is>
      </c>
      <c r="J665" s="56" t="inlineStr">
        <is>
          <t>10</t>
        </is>
      </c>
      <c r="K665" s="57" t="n">
        <v>61.406</v>
      </c>
      <c r="L665" s="56" t="inlineStr"/>
      <c r="M665" s="56" t="inlineStr">
        <is>
          <t>0</t>
        </is>
      </c>
      <c r="N665" s="56" t="inlineStr">
        <is>
          <t>Neel Metal Products Limited</t>
        </is>
      </c>
      <c r="O665" s="58" t="n">
        <v>55</v>
      </c>
      <c r="P665" s="59" t="inlineStr">
        <is>
          <t>31-60</t>
        </is>
      </c>
      <c r="Q665" s="56" t="inlineStr">
        <is>
          <t>Apoorv</t>
        </is>
      </c>
      <c r="U665" s="585" t="n">
        <v>3517683</v>
      </c>
      <c r="V665" t="n">
        <v>22.23</v>
      </c>
      <c r="W665" t="n">
        <v>0</v>
      </c>
      <c r="X665" t="n">
        <v>1.6</v>
      </c>
      <c r="Y665" t="n">
        <v>5.48</v>
      </c>
      <c r="Z665" t="inlineStr">
        <is>
          <t>HROP</t>
        </is>
      </c>
      <c r="AA665" t="inlineStr">
        <is>
          <t>PE</t>
        </is>
      </c>
      <c r="AB665" t="inlineStr">
        <is>
          <t>AW</t>
        </is>
      </c>
      <c r="AC665" t="inlineStr">
        <is>
          <t>22.23-0-1.6-ERW 1-PE</t>
        </is>
      </c>
      <c r="AD665" t="inlineStr">
        <is>
          <t>LL</t>
        </is>
      </c>
      <c r="AE665" t="inlineStr">
        <is>
          <t>22.23-0-1.6-ERW 1-PE-1</t>
        </is>
      </c>
      <c r="AF665" t="n">
        <v>0.8136141920000001</v>
      </c>
    </row>
    <row r="666">
      <c r="A666" s="56" t="n">
        <v>3500816</v>
      </c>
      <c r="B666" s="56" t="inlineStr">
        <is>
          <t>TUB-O-N-AUT-BH-FC-63.50X4.000X6.0000</t>
        </is>
      </c>
      <c r="C666" s="56" t="inlineStr">
        <is>
          <t>4A07K34856</t>
        </is>
      </c>
      <c r="D666" s="57" t="n">
        <v>68.55800000000001</v>
      </c>
      <c r="E666" s="58" t="n">
        <v>2358</v>
      </c>
      <c r="F666" s="57" t="n">
        <v>2.358</v>
      </c>
      <c r="G666" s="56" t="inlineStr">
        <is>
          <t>KG</t>
        </is>
      </c>
      <c r="H666" s="56" t="inlineStr">
        <is>
          <t>R001</t>
        </is>
      </c>
      <c r="I666" s="56" t="inlineStr">
        <is>
          <t>0788</t>
        </is>
      </c>
      <c r="J666" s="56" t="inlineStr">
        <is>
          <t>67</t>
        </is>
      </c>
      <c r="K666" s="57" t="n">
        <v>411.353</v>
      </c>
      <c r="L666" s="56" t="inlineStr"/>
      <c r="M666" s="56" t="inlineStr">
        <is>
          <t>0</t>
        </is>
      </c>
      <c r="N666" s="56" t="inlineStr">
        <is>
          <t>Neel Metal Products Limited</t>
        </is>
      </c>
      <c r="O666" s="58" t="n">
        <v>56</v>
      </c>
      <c r="P666" s="59" t="inlineStr">
        <is>
          <t>31-60</t>
        </is>
      </c>
      <c r="Q666" s="56" t="inlineStr">
        <is>
          <t>Apoorv</t>
        </is>
      </c>
      <c r="U666" s="586" t="n">
        <v>111116355</v>
      </c>
      <c r="V666" t="n">
        <v>22.23</v>
      </c>
      <c r="W666" t="n">
        <v>0</v>
      </c>
      <c r="X666" t="n">
        <v>1.6</v>
      </c>
      <c r="Y666" t="n">
        <v>5.48</v>
      </c>
      <c r="Z666" t="inlineStr">
        <is>
          <t>HROP</t>
        </is>
      </c>
      <c r="AA666" t="inlineStr">
        <is>
          <t>PE</t>
        </is>
      </c>
      <c r="AB666" t="inlineStr">
        <is>
          <t>AW</t>
        </is>
      </c>
      <c r="AC666" t="inlineStr">
        <is>
          <t>22.23-0-1.6-ERW 1-PE</t>
        </is>
      </c>
      <c r="AD666" t="inlineStr">
        <is>
          <t>LL</t>
        </is>
      </c>
      <c r="AE666" t="inlineStr">
        <is>
          <t>22.23-0-1.6-ERW 1-PE-1</t>
        </is>
      </c>
      <c r="AF666" t="n">
        <v>0.8136141920000001</v>
      </c>
    </row>
    <row r="667">
      <c r="A667" s="56" t="n">
        <v>3500816</v>
      </c>
      <c r="B667" s="56" t="inlineStr">
        <is>
          <t>TUB-O-N-AUT-BH-FC-63.50X4.000X6.0000</t>
        </is>
      </c>
      <c r="C667" s="56" t="inlineStr">
        <is>
          <t>4A16AK4070</t>
        </is>
      </c>
      <c r="D667" s="57" t="n">
        <v>35.82</v>
      </c>
      <c r="E667" s="58" t="n">
        <v>1232</v>
      </c>
      <c r="F667" s="57" t="n">
        <v>1.232</v>
      </c>
      <c r="G667" s="56" t="inlineStr">
        <is>
          <t>KG</t>
        </is>
      </c>
      <c r="H667" s="56" t="inlineStr">
        <is>
          <t>R001</t>
        </is>
      </c>
      <c r="I667" s="56" t="inlineStr">
        <is>
          <t>0788</t>
        </is>
      </c>
      <c r="J667" s="56" t="inlineStr">
        <is>
          <t>35</t>
        </is>
      </c>
      <c r="K667" s="57" t="n">
        <v>214.922</v>
      </c>
      <c r="L667" s="56" t="inlineStr"/>
      <c r="M667" s="56" t="inlineStr">
        <is>
          <t>0</t>
        </is>
      </c>
      <c r="N667" s="56" t="inlineStr">
        <is>
          <t>Neel Metal Products Limited</t>
        </is>
      </c>
      <c r="O667" s="58" t="n">
        <v>14</v>
      </c>
      <c r="P667" s="59" t="inlineStr">
        <is>
          <t>0-30</t>
        </is>
      </c>
      <c r="Q667" s="56" t="inlineStr">
        <is>
          <t>Apoorv</t>
        </is>
      </c>
      <c r="U667" s="586" t="n">
        <v>111118077</v>
      </c>
      <c r="V667" t="n">
        <v>22.23</v>
      </c>
      <c r="W667" t="n">
        <v>0</v>
      </c>
      <c r="X667" t="n">
        <v>1.6</v>
      </c>
      <c r="Y667" t="n">
        <v>5.6</v>
      </c>
      <c r="Z667" t="inlineStr">
        <is>
          <t>WG</t>
        </is>
      </c>
      <c r="AA667" t="inlineStr">
        <is>
          <t>PE</t>
        </is>
      </c>
      <c r="AB667" t="inlineStr">
        <is>
          <t>AW</t>
        </is>
      </c>
      <c r="AC667" t="inlineStr">
        <is>
          <t>22.23-0-1.6-ERW 1-PE</t>
        </is>
      </c>
      <c r="AD667" t="inlineStr">
        <is>
          <t>LL</t>
        </is>
      </c>
      <c r="AE667" t="inlineStr">
        <is>
          <t>22.23-0-1.6-ERW 1-PE-1</t>
        </is>
      </c>
      <c r="AF667" t="n">
        <v>0.8136141920000001</v>
      </c>
    </row>
    <row r="668">
      <c r="A668" s="56" t="n">
        <v>3500816</v>
      </c>
      <c r="B668" s="56" t="inlineStr">
        <is>
          <t>TUB-O-N-AUT-BH-FC-63.50X4.000X6.0000</t>
        </is>
      </c>
      <c r="C668" s="56" t="inlineStr">
        <is>
          <t>4A16AK4090</t>
        </is>
      </c>
      <c r="D668" s="57" t="n">
        <v>61.406</v>
      </c>
      <c r="E668" s="58" t="n">
        <v>2112</v>
      </c>
      <c r="F668" s="57" t="n">
        <v>2.112</v>
      </c>
      <c r="G668" s="56" t="inlineStr">
        <is>
          <t>KG</t>
        </is>
      </c>
      <c r="H668" s="56" t="inlineStr">
        <is>
          <t>R001</t>
        </is>
      </c>
      <c r="I668" s="56" t="inlineStr">
        <is>
          <t>0788</t>
        </is>
      </c>
      <c r="J668" s="56" t="inlineStr">
        <is>
          <t>60</t>
        </is>
      </c>
      <c r="K668" s="57" t="n">
        <v>368.438</v>
      </c>
      <c r="L668" s="56" t="inlineStr"/>
      <c r="M668" s="56" t="inlineStr">
        <is>
          <t>0</t>
        </is>
      </c>
      <c r="N668" s="56" t="inlineStr">
        <is>
          <t>Neel Metal Products Limited</t>
        </is>
      </c>
      <c r="O668" s="58" t="n">
        <v>74</v>
      </c>
      <c r="P668" s="59" t="inlineStr">
        <is>
          <t>61-90</t>
        </is>
      </c>
      <c r="Q668" s="56" t="inlineStr">
        <is>
          <t>Apoorv</t>
        </is>
      </c>
      <c r="U668" s="585" t="n">
        <v>4055022</v>
      </c>
      <c r="V668" t="n">
        <v>22.23</v>
      </c>
      <c r="W668" t="n">
        <v>0</v>
      </c>
      <c r="X668" t="n">
        <v>1.6</v>
      </c>
      <c r="Y668" t="n">
        <v>5.67</v>
      </c>
      <c r="Z668" t="inlineStr">
        <is>
          <t>NORMAL</t>
        </is>
      </c>
      <c r="AA668" t="inlineStr">
        <is>
          <t>AW</t>
        </is>
      </c>
      <c r="AB668" t="inlineStr">
        <is>
          <t>PE</t>
        </is>
      </c>
      <c r="AC668" t="inlineStr">
        <is>
          <t>22.23-0-1.6-ERW 1-PE</t>
        </is>
      </c>
      <c r="AD668" t="inlineStr">
        <is>
          <t>LL</t>
        </is>
      </c>
      <c r="AE668" t="inlineStr">
        <is>
          <t>22.23-0-1.6-ERW 1-PE-1</t>
        </is>
      </c>
      <c r="AF668" t="n">
        <v>0.8136141920000001</v>
      </c>
    </row>
    <row r="669">
      <c r="A669" s="56" t="n">
        <v>3500816</v>
      </c>
      <c r="B669" s="56" t="inlineStr">
        <is>
          <t>TUB-O-N-AUT-BH-FC-63.50X4.000X6.0000</t>
        </is>
      </c>
      <c r="C669" s="56" t="inlineStr">
        <is>
          <t>4A16AK4120</t>
        </is>
      </c>
      <c r="D669" s="57" t="n">
        <v>55.271</v>
      </c>
      <c r="E669" s="58" t="n">
        <v>1901</v>
      </c>
      <c r="F669" s="57" t="n">
        <v>1.901</v>
      </c>
      <c r="G669" s="56" t="inlineStr">
        <is>
          <t>KG</t>
        </is>
      </c>
      <c r="H669" s="56" t="inlineStr">
        <is>
          <t>R001</t>
        </is>
      </c>
      <c r="I669" s="56" t="inlineStr">
        <is>
          <t>0788</t>
        </is>
      </c>
      <c r="J669" s="56" t="inlineStr">
        <is>
          <t>54</t>
        </is>
      </c>
      <c r="K669" s="57" t="n">
        <v>331.63</v>
      </c>
      <c r="L669" s="56" t="inlineStr"/>
      <c r="M669" s="56" t="inlineStr">
        <is>
          <t>0</t>
        </is>
      </c>
      <c r="N669" s="56" t="inlineStr">
        <is>
          <t>Neel Metal Products Limited</t>
        </is>
      </c>
      <c r="O669" s="58" t="n">
        <v>75</v>
      </c>
      <c r="P669" s="59" t="inlineStr">
        <is>
          <t>61-90</t>
        </is>
      </c>
      <c r="Q669" s="56" t="inlineStr">
        <is>
          <t>Apoorv</t>
        </is>
      </c>
      <c r="U669" s="585" t="n">
        <v>3570690</v>
      </c>
      <c r="V669" t="n">
        <v>22.23</v>
      </c>
      <c r="W669" t="n">
        <v>0</v>
      </c>
      <c r="X669" t="n">
        <v>1.6</v>
      </c>
      <c r="Y669" t="n">
        <v>5.685</v>
      </c>
      <c r="Z669" t="inlineStr">
        <is>
          <t>WG</t>
        </is>
      </c>
      <c r="AA669" t="inlineStr">
        <is>
          <t>FC</t>
        </is>
      </c>
      <c r="AB669" t="inlineStr">
        <is>
          <t>AW</t>
        </is>
      </c>
      <c r="AC669" t="inlineStr">
        <is>
          <t>22.23-0-1.6-ERW 1-PE</t>
        </is>
      </c>
      <c r="AD669" t="inlineStr">
        <is>
          <t>LL</t>
        </is>
      </c>
      <c r="AE669" t="inlineStr">
        <is>
          <t>22.23-0-1.6-ERW 1-PE-1</t>
        </is>
      </c>
      <c r="AF669" t="n">
        <v>0.8136141920000001</v>
      </c>
    </row>
    <row r="670">
      <c r="A670" s="56" t="n">
        <v>3500816</v>
      </c>
      <c r="B670" s="56" t="inlineStr">
        <is>
          <t>TUB-O-N-AUT-BH-FC-63.50X4.000X6.0000</t>
        </is>
      </c>
      <c r="C670" s="56" t="inlineStr">
        <is>
          <t>4A16AK4140</t>
        </is>
      </c>
      <c r="D670" s="57" t="n">
        <v>45.037</v>
      </c>
      <c r="E670" s="58" t="n">
        <v>1549</v>
      </c>
      <c r="F670" s="57" t="n">
        <v>1.549</v>
      </c>
      <c r="G670" s="56" t="inlineStr">
        <is>
          <t>KG</t>
        </is>
      </c>
      <c r="H670" s="56" t="inlineStr">
        <is>
          <t>R001</t>
        </is>
      </c>
      <c r="I670" s="56" t="inlineStr">
        <is>
          <t>0788</t>
        </is>
      </c>
      <c r="J670" s="56" t="inlineStr">
        <is>
          <t>44</t>
        </is>
      </c>
      <c r="K670" s="57" t="n">
        <v>270.223</v>
      </c>
      <c r="L670" s="56" t="inlineStr"/>
      <c r="M670" s="56" t="inlineStr">
        <is>
          <t>0</t>
        </is>
      </c>
      <c r="N670" s="56" t="inlineStr">
        <is>
          <t>Neel Metal Products Limited</t>
        </is>
      </c>
      <c r="O670" s="58" t="n">
        <v>75</v>
      </c>
      <c r="P670" s="59" t="inlineStr">
        <is>
          <t>61-90</t>
        </is>
      </c>
      <c r="Q670" s="56" t="inlineStr">
        <is>
          <t>Apoorv</t>
        </is>
      </c>
      <c r="U670" s="586" t="n">
        <v>111002232</v>
      </c>
      <c r="V670" t="n">
        <v>22.23</v>
      </c>
      <c r="W670" t="n">
        <v>0</v>
      </c>
      <c r="X670" t="n">
        <v>1.6</v>
      </c>
      <c r="Y670" t="n">
        <v>5.685</v>
      </c>
      <c r="Z670" t="inlineStr">
        <is>
          <t>WG</t>
        </is>
      </c>
      <c r="AA670" t="inlineStr">
        <is>
          <t>FC</t>
        </is>
      </c>
      <c r="AB670" t="inlineStr">
        <is>
          <t>AW</t>
        </is>
      </c>
      <c r="AC670" t="inlineStr">
        <is>
          <t>22.23-0-1.6-ERW 1-PE</t>
        </is>
      </c>
      <c r="AD670" t="inlineStr">
        <is>
          <t>LL</t>
        </is>
      </c>
      <c r="AE670" t="inlineStr">
        <is>
          <t>22.23-0-1.6-ERW 1-PE-1</t>
        </is>
      </c>
      <c r="AF670" t="n">
        <v>0.8136141920000001</v>
      </c>
    </row>
    <row r="671">
      <c r="A671" s="56" t="n">
        <v>3500816</v>
      </c>
      <c r="B671" s="56" t="inlineStr">
        <is>
          <t>TUB-O-N-AUT-BH-FC-63.50X4.000X6.0000</t>
        </is>
      </c>
      <c r="C671" s="56" t="inlineStr">
        <is>
          <t>4A16AK4150</t>
        </is>
      </c>
      <c r="D671" s="57" t="n">
        <v>40.937</v>
      </c>
      <c r="E671" s="58" t="n">
        <v>1408</v>
      </c>
      <c r="F671" s="57" t="n">
        <v>1.408</v>
      </c>
      <c r="G671" s="56" t="inlineStr">
        <is>
          <t>KG</t>
        </is>
      </c>
      <c r="H671" s="56" t="inlineStr">
        <is>
          <t>R001</t>
        </is>
      </c>
      <c r="I671" s="56" t="inlineStr">
        <is>
          <t>0788</t>
        </is>
      </c>
      <c r="J671" s="56" t="inlineStr">
        <is>
          <t>40</t>
        </is>
      </c>
      <c r="K671" s="57" t="n">
        <v>245.626</v>
      </c>
      <c r="L671" s="56" t="inlineStr"/>
      <c r="M671" s="56" t="inlineStr">
        <is>
          <t>0</t>
        </is>
      </c>
      <c r="N671" s="56" t="inlineStr">
        <is>
          <t>Neel Metal Products Limited</t>
        </is>
      </c>
      <c r="O671" s="58" t="n">
        <v>74</v>
      </c>
      <c r="P671" s="59" t="inlineStr">
        <is>
          <t>61-90</t>
        </is>
      </c>
      <c r="Q671" s="56" t="inlineStr">
        <is>
          <t>Apoorv</t>
        </is>
      </c>
      <c r="U671" s="586" t="n">
        <v>110102553</v>
      </c>
      <c r="V671" t="n">
        <v>22.23</v>
      </c>
      <c r="W671" t="n">
        <v>0</v>
      </c>
      <c r="X671" t="n">
        <v>1.6</v>
      </c>
      <c r="Y671" t="n">
        <v>5.69</v>
      </c>
      <c r="Z671" t="inlineStr">
        <is>
          <t>ST52AL</t>
        </is>
      </c>
      <c r="AA671" t="inlineStr">
        <is>
          <t>PE</t>
        </is>
      </c>
      <c r="AB671" t="inlineStr">
        <is>
          <t>AW</t>
        </is>
      </c>
      <c r="AC671" t="inlineStr">
        <is>
          <t>22.23-0-1.6-ERW 2 MAHS-PE</t>
        </is>
      </c>
      <c r="AD671" t="inlineStr">
        <is>
          <t>LL</t>
        </is>
      </c>
      <c r="AE671" t="inlineStr">
        <is>
          <t>22.23-0-1.6-ERW 2 MAHS-PE-1</t>
        </is>
      </c>
      <c r="AF671" t="n">
        <v>0.8136141920000001</v>
      </c>
    </row>
    <row r="672">
      <c r="A672" s="56" t="n">
        <v>3500816</v>
      </c>
      <c r="B672" s="56" t="inlineStr">
        <is>
          <t>TUB-O-N-AUT-BH-FC-63.50X4.000X6.0000</t>
        </is>
      </c>
      <c r="C672" s="56" t="inlineStr">
        <is>
          <t>4B18BK4020</t>
        </is>
      </c>
      <c r="D672" s="57" t="n">
        <v>44.019</v>
      </c>
      <c r="E672" s="58" t="n">
        <v>1514</v>
      </c>
      <c r="F672" s="57" t="n">
        <v>1.514</v>
      </c>
      <c r="G672" s="56" t="inlineStr">
        <is>
          <t>KG</t>
        </is>
      </c>
      <c r="H672" s="56" t="inlineStr">
        <is>
          <t>R001</t>
        </is>
      </c>
      <c r="I672" s="56" t="inlineStr">
        <is>
          <t>0788</t>
        </is>
      </c>
      <c r="J672" s="56" t="inlineStr">
        <is>
          <t>43</t>
        </is>
      </c>
      <c r="K672" s="57" t="n">
        <v>264.117</v>
      </c>
      <c r="L672" s="56" t="inlineStr"/>
      <c r="M672" s="56" t="inlineStr">
        <is>
          <t>0</t>
        </is>
      </c>
      <c r="N672" s="56" t="inlineStr">
        <is>
          <t>Neel Metal Products Limited</t>
        </is>
      </c>
      <c r="O672" s="58" t="n">
        <v>52</v>
      </c>
      <c r="P672" s="59" t="inlineStr">
        <is>
          <t>31-60</t>
        </is>
      </c>
      <c r="Q672" s="56" t="inlineStr">
        <is>
          <t>Apoorv</t>
        </is>
      </c>
      <c r="U672" s="585" t="n">
        <v>3575895</v>
      </c>
      <c r="V672" t="n">
        <v>22.23</v>
      </c>
      <c r="W672" t="n">
        <v>0</v>
      </c>
      <c r="X672" t="n">
        <v>1.6</v>
      </c>
      <c r="Y672" t="n">
        <v>5.75</v>
      </c>
      <c r="Z672" t="inlineStr">
        <is>
          <t>HROP</t>
        </is>
      </c>
      <c r="AA672" t="inlineStr">
        <is>
          <t>PE</t>
        </is>
      </c>
      <c r="AB672" t="inlineStr">
        <is>
          <t>AW</t>
        </is>
      </c>
      <c r="AC672" t="inlineStr">
        <is>
          <t>22.23-0-1.6-ERW 1-PE</t>
        </is>
      </c>
      <c r="AD672" t="inlineStr">
        <is>
          <t>LL</t>
        </is>
      </c>
      <c r="AE672" t="inlineStr">
        <is>
          <t>22.23-0-1.6-ERW 1-PE-1</t>
        </is>
      </c>
      <c r="AF672" t="n">
        <v>0.8136141920000001</v>
      </c>
    </row>
    <row r="673">
      <c r="A673" s="56" t="n">
        <v>3500816</v>
      </c>
      <c r="B673" s="56" t="inlineStr">
        <is>
          <t>TUB-O-N-AUT-BH-FC-63.50X4.000X6.0000</t>
        </is>
      </c>
      <c r="C673" s="56" t="inlineStr">
        <is>
          <t>4B18BK4030</t>
        </is>
      </c>
      <c r="D673" s="57" t="n">
        <v>30.703</v>
      </c>
      <c r="E673" s="58" t="n">
        <v>1056</v>
      </c>
      <c r="F673" s="57" t="n">
        <v>1.056</v>
      </c>
      <c r="G673" s="56" t="inlineStr">
        <is>
          <t>KG</t>
        </is>
      </c>
      <c r="H673" s="56" t="inlineStr">
        <is>
          <t>R001</t>
        </is>
      </c>
      <c r="I673" s="56" t="inlineStr">
        <is>
          <t>0788</t>
        </is>
      </c>
      <c r="J673" s="56" t="inlineStr">
        <is>
          <t>30</t>
        </is>
      </c>
      <c r="K673" s="57" t="n">
        <v>184.219</v>
      </c>
      <c r="L673" s="56" t="inlineStr"/>
      <c r="M673" s="56" t="inlineStr">
        <is>
          <t>0</t>
        </is>
      </c>
      <c r="N673" s="56" t="inlineStr">
        <is>
          <t>Neel Metal Products Limited</t>
        </is>
      </c>
      <c r="O673" s="58" t="n">
        <v>51</v>
      </c>
      <c r="P673" s="59" t="inlineStr">
        <is>
          <t>31-60</t>
        </is>
      </c>
      <c r="Q673" s="56" t="inlineStr">
        <is>
          <t>Apoorv</t>
        </is>
      </c>
      <c r="U673" s="585" t="n">
        <v>3517682</v>
      </c>
      <c r="V673" t="n">
        <v>22.23</v>
      </c>
      <c r="W673" t="n">
        <v>0</v>
      </c>
      <c r="X673" t="n">
        <v>1.6</v>
      </c>
      <c r="Y673" t="n">
        <v>5.77</v>
      </c>
      <c r="Z673" t="inlineStr">
        <is>
          <t>HROP</t>
        </is>
      </c>
      <c r="AA673" t="inlineStr">
        <is>
          <t>PE</t>
        </is>
      </c>
      <c r="AB673" t="inlineStr">
        <is>
          <t>AW</t>
        </is>
      </c>
      <c r="AC673" t="inlineStr">
        <is>
          <t>22.23-0-1.6-ERW 1-PE</t>
        </is>
      </c>
      <c r="AD673" t="inlineStr">
        <is>
          <t>LL</t>
        </is>
      </c>
      <c r="AE673" t="inlineStr">
        <is>
          <t>22.23-0-1.6-ERW 1-PE-1</t>
        </is>
      </c>
      <c r="AF673" t="n">
        <v>0.8136141920000001</v>
      </c>
    </row>
    <row r="674">
      <c r="A674" s="56" t="n">
        <v>3500816</v>
      </c>
      <c r="B674" s="56" t="inlineStr">
        <is>
          <t>TUB-O-N-AUT-BH-FC-63.50X4.000X6.0000</t>
        </is>
      </c>
      <c r="C674" s="56" t="inlineStr">
        <is>
          <t>4B18BK4080</t>
        </is>
      </c>
      <c r="D674" s="57" t="n">
        <v>103.361</v>
      </c>
      <c r="E674" s="58" t="n">
        <v>3555</v>
      </c>
      <c r="F674" s="57" t="n">
        <v>3.555</v>
      </c>
      <c r="G674" s="56" t="inlineStr">
        <is>
          <t>KG</t>
        </is>
      </c>
      <c r="H674" s="56" t="inlineStr">
        <is>
          <t>R001</t>
        </is>
      </c>
      <c r="I674" s="56" t="inlineStr">
        <is>
          <t>0788</t>
        </is>
      </c>
      <c r="J674" s="56" t="inlineStr">
        <is>
          <t>101</t>
        </is>
      </c>
      <c r="K674" s="57" t="n">
        <v>620.17</v>
      </c>
      <c r="L674" s="56" t="inlineStr"/>
      <c r="M674" s="56" t="inlineStr">
        <is>
          <t>0</t>
        </is>
      </c>
      <c r="N674" s="56" t="inlineStr">
        <is>
          <t>Neel Metal Products Limited</t>
        </is>
      </c>
      <c r="O674" s="58" t="n">
        <v>52</v>
      </c>
      <c r="P674" s="59" t="inlineStr">
        <is>
          <t>31-60</t>
        </is>
      </c>
      <c r="Q674" s="56" t="inlineStr">
        <is>
          <t>Apoorv</t>
        </is>
      </c>
      <c r="U674" s="586" t="n">
        <v>111116484</v>
      </c>
      <c r="V674" t="n">
        <v>22.23</v>
      </c>
      <c r="W674" t="n">
        <v>0</v>
      </c>
      <c r="X674" t="n">
        <v>1.6</v>
      </c>
      <c r="Y674" t="n">
        <v>5.77</v>
      </c>
      <c r="Z674" t="inlineStr">
        <is>
          <t>GR1</t>
        </is>
      </c>
      <c r="AA674" t="inlineStr">
        <is>
          <t>PE</t>
        </is>
      </c>
      <c r="AB674" t="inlineStr">
        <is>
          <t>AW</t>
        </is>
      </c>
      <c r="AC674" t="inlineStr">
        <is>
          <t>22.23-0-1.6-ERW 1-PE</t>
        </is>
      </c>
      <c r="AD674" t="inlineStr">
        <is>
          <t>LL</t>
        </is>
      </c>
      <c r="AE674" t="inlineStr">
        <is>
          <t>22.23-0-1.6-ERW 1-PE-1</t>
        </is>
      </c>
      <c r="AF674" t="n">
        <v>0.8136141920000001</v>
      </c>
    </row>
    <row r="675">
      <c r="A675" s="56" t="n">
        <v>3500816</v>
      </c>
      <c r="B675" s="56" t="inlineStr">
        <is>
          <t>TUB-O-N-AUT-BH-FC-63.50X4.000X6.0000</t>
        </is>
      </c>
      <c r="C675" s="56" t="inlineStr">
        <is>
          <t>4B18CK4010</t>
        </is>
      </c>
      <c r="D675" s="57" t="n">
        <v>69.605</v>
      </c>
      <c r="E675" s="58" t="n">
        <v>2394</v>
      </c>
      <c r="F675" s="57" t="n">
        <v>2.394</v>
      </c>
      <c r="G675" s="56" t="inlineStr">
        <is>
          <t>KG</t>
        </is>
      </c>
      <c r="H675" s="56" t="inlineStr">
        <is>
          <t>R001</t>
        </is>
      </c>
      <c r="I675" s="56" t="inlineStr">
        <is>
          <t>0788</t>
        </is>
      </c>
      <c r="J675" s="56" t="inlineStr">
        <is>
          <t>68</t>
        </is>
      </c>
      <c r="K675" s="57" t="n">
        <v>417.633</v>
      </c>
      <c r="L675" s="56" t="inlineStr"/>
      <c r="M675" s="56" t="inlineStr">
        <is>
          <t>0</t>
        </is>
      </c>
      <c r="N675" s="56" t="inlineStr">
        <is>
          <t>Neel Metal Products Limited</t>
        </is>
      </c>
      <c r="O675" s="58" t="n">
        <v>52</v>
      </c>
      <c r="P675" s="59" t="inlineStr">
        <is>
          <t>31-60</t>
        </is>
      </c>
      <c r="Q675" s="56" t="inlineStr">
        <is>
          <t>Apoorv</t>
        </is>
      </c>
      <c r="U675" s="586" t="n">
        <v>111002648</v>
      </c>
      <c r="V675" t="n">
        <v>22.23</v>
      </c>
      <c r="W675" t="n">
        <v>0</v>
      </c>
      <c r="X675" t="n">
        <v>1.6</v>
      </c>
      <c r="Y675" t="n">
        <v>5.88</v>
      </c>
      <c r="Z675" t="inlineStr">
        <is>
          <t>HROP</t>
        </is>
      </c>
      <c r="AA675" t="inlineStr">
        <is>
          <t>PE</t>
        </is>
      </c>
      <c r="AB675" t="inlineStr">
        <is>
          <t>AW</t>
        </is>
      </c>
      <c r="AC675" t="inlineStr">
        <is>
          <t>22.23-0-1.6-ERW 1-PE</t>
        </is>
      </c>
      <c r="AD675" t="inlineStr">
        <is>
          <t>LL</t>
        </is>
      </c>
      <c r="AE675" t="inlineStr">
        <is>
          <t>22.23-0-1.6-ERW 1-PE-1</t>
        </is>
      </c>
      <c r="AF675" t="n">
        <v>0.8136141920000001</v>
      </c>
    </row>
    <row r="676">
      <c r="A676" s="56" t="n">
        <v>3500816</v>
      </c>
      <c r="B676" s="56" t="inlineStr">
        <is>
          <t>TUB-O-N-AUT-BH-FC-63.50X4.000X6.0000</t>
        </is>
      </c>
      <c r="C676" s="56" t="inlineStr">
        <is>
          <t>4B18CK4020</t>
        </is>
      </c>
      <c r="D676" s="57" t="n">
        <v>22.504</v>
      </c>
      <c r="E676" s="58" t="n">
        <v>774</v>
      </c>
      <c r="F676" s="57" t="n">
        <v>0.774</v>
      </c>
      <c r="G676" s="56" t="inlineStr">
        <is>
          <t>KG</t>
        </is>
      </c>
      <c r="H676" s="56" t="inlineStr">
        <is>
          <t>R001</t>
        </is>
      </c>
      <c r="I676" s="56" t="inlineStr">
        <is>
          <t>0788</t>
        </is>
      </c>
      <c r="J676" s="56" t="inlineStr">
        <is>
          <t>22</t>
        </is>
      </c>
      <c r="K676" s="57" t="n">
        <v>135.024</v>
      </c>
      <c r="L676" s="56" t="inlineStr"/>
      <c r="M676" s="56" t="inlineStr">
        <is>
          <t>0</t>
        </is>
      </c>
      <c r="N676" s="56" t="inlineStr">
        <is>
          <t>Neel Metal Products Limited</t>
        </is>
      </c>
      <c r="O676" s="58" t="n">
        <v>51</v>
      </c>
      <c r="P676" s="59" t="inlineStr">
        <is>
          <t>31-60</t>
        </is>
      </c>
      <c r="Q676" s="56" t="inlineStr">
        <is>
          <t>Apoorv</t>
        </is>
      </c>
      <c r="U676" s="585" t="n">
        <v>2428449</v>
      </c>
      <c r="V676" t="n">
        <v>22.23</v>
      </c>
      <c r="W676" t="n">
        <v>0</v>
      </c>
      <c r="X676" t="n">
        <v>1.6</v>
      </c>
      <c r="Y676" t="n">
        <v>5.95</v>
      </c>
      <c r="Z676" t="inlineStr">
        <is>
          <t>HROP</t>
        </is>
      </c>
      <c r="AA676" t="inlineStr">
        <is>
          <t>PE</t>
        </is>
      </c>
      <c r="AB676" t="inlineStr">
        <is>
          <t>AW</t>
        </is>
      </c>
      <c r="AC676" t="inlineStr">
        <is>
          <t>22.23-0-1.6-ERW 1-PE</t>
        </is>
      </c>
      <c r="AD676" t="inlineStr">
        <is>
          <t>LL</t>
        </is>
      </c>
      <c r="AE676" t="inlineStr">
        <is>
          <t>22.23-0-1.6-ERW 1-PE-1</t>
        </is>
      </c>
      <c r="AF676" t="n">
        <v>0.8136141920000001</v>
      </c>
    </row>
    <row r="677">
      <c r="A677" s="56" t="n">
        <v>3500816</v>
      </c>
      <c r="B677" s="56" t="inlineStr">
        <is>
          <t>TUB-O-N-AUT-BH-FC-63.50X4.000X6.0000</t>
        </is>
      </c>
      <c r="C677" s="56" t="inlineStr">
        <is>
          <t>MG19B2405</t>
        </is>
      </c>
      <c r="D677" s="57" t="n">
        <v>8.199</v>
      </c>
      <c r="E677" s="58" t="n">
        <v>282</v>
      </c>
      <c r="F677" s="57" t="n">
        <v>0.282</v>
      </c>
      <c r="G677" s="56" t="inlineStr">
        <is>
          <t>KG</t>
        </is>
      </c>
      <c r="H677" s="56" t="inlineStr">
        <is>
          <t>R001</t>
        </is>
      </c>
      <c r="I677" s="56" t="inlineStr">
        <is>
          <t>0788</t>
        </is>
      </c>
      <c r="J677" s="56" t="inlineStr">
        <is>
          <t>8</t>
        </is>
      </c>
      <c r="K677" s="57" t="n">
        <v>49.195</v>
      </c>
      <c r="L677" s="56" t="inlineStr"/>
      <c r="M677" s="56" t="inlineStr">
        <is>
          <t>0</t>
        </is>
      </c>
      <c r="N677" s="56" t="inlineStr">
        <is>
          <t>Neel Metal Products Limited</t>
        </is>
      </c>
      <c r="O677" s="58" t="n">
        <v>55</v>
      </c>
      <c r="P677" s="59" t="inlineStr">
        <is>
          <t>31-60</t>
        </is>
      </c>
      <c r="Q677" s="56" t="inlineStr">
        <is>
          <t>Apoorv</t>
        </is>
      </c>
      <c r="U677" s="586" t="n">
        <v>110102557</v>
      </c>
      <c r="V677" t="n">
        <v>22.23</v>
      </c>
      <c r="W677" t="n">
        <v>0</v>
      </c>
      <c r="X677" t="n">
        <v>1.6</v>
      </c>
      <c r="Y677" t="n">
        <v>5.95</v>
      </c>
      <c r="Z677" t="inlineStr">
        <is>
          <t>GR1</t>
        </is>
      </c>
      <c r="AA677" t="inlineStr">
        <is>
          <t>PE</t>
        </is>
      </c>
      <c r="AB677" t="inlineStr">
        <is>
          <t>AW</t>
        </is>
      </c>
      <c r="AC677" t="inlineStr">
        <is>
          <t>22.23-0-1.6-ERW 1-PE</t>
        </is>
      </c>
      <c r="AD677" t="inlineStr">
        <is>
          <t>LL</t>
        </is>
      </c>
      <c r="AE677" t="inlineStr">
        <is>
          <t>22.23-0-1.6-ERW 1-PE-1</t>
        </is>
      </c>
      <c r="AF677" t="n">
        <v>0.8136141920000001</v>
      </c>
    </row>
    <row r="678">
      <c r="A678" s="56" t="n">
        <v>3502422</v>
      </c>
      <c r="B678" s="56" t="inlineStr">
        <is>
          <t>TUB-O-N-AUT-AW-FC-48.60X3.500X6.0500</t>
        </is>
      </c>
      <c r="C678" s="56" t="inlineStr">
        <is>
          <t>4B14CK3030</t>
        </is>
      </c>
      <c r="D678" s="57" t="n">
        <v>105.936</v>
      </c>
      <c r="E678" s="58" t="n">
        <v>2495</v>
      </c>
      <c r="F678" s="57" t="n">
        <v>2.495</v>
      </c>
      <c r="G678" s="56" t="inlineStr">
        <is>
          <t>KG</t>
        </is>
      </c>
      <c r="H678" s="56" t="inlineStr">
        <is>
          <t>R001</t>
        </is>
      </c>
      <c r="I678" s="56" t="inlineStr">
        <is>
          <t>0788</t>
        </is>
      </c>
      <c r="J678" s="56" t="inlineStr">
        <is>
          <t>106</t>
        </is>
      </c>
      <c r="K678" s="57" t="n">
        <v>640.927</v>
      </c>
      <c r="L678" s="56" t="inlineStr"/>
      <c r="M678" s="56" t="inlineStr">
        <is>
          <t>0</t>
        </is>
      </c>
      <c r="N678" s="56" t="inlineStr">
        <is>
          <t>Neel Metal Products Limited</t>
        </is>
      </c>
      <c r="O678" s="58" t="n">
        <v>59</v>
      </c>
      <c r="P678" s="59" t="inlineStr">
        <is>
          <t>31-60</t>
        </is>
      </c>
      <c r="Q678" s="56" t="inlineStr">
        <is>
          <t>Apoorv</t>
        </is>
      </c>
      <c r="U678" s="585" t="n">
        <v>1931050</v>
      </c>
      <c r="V678" t="n">
        <v>22.23</v>
      </c>
      <c r="W678" t="n">
        <v>0</v>
      </c>
      <c r="X678" t="n">
        <v>1.6</v>
      </c>
      <c r="Y678" t="n">
        <v>6</v>
      </c>
      <c r="Z678" t="inlineStr">
        <is>
          <t>D</t>
        </is>
      </c>
      <c r="AA678" t="inlineStr">
        <is>
          <t>PE</t>
        </is>
      </c>
      <c r="AB678" t="inlineStr">
        <is>
          <t>AW</t>
        </is>
      </c>
      <c r="AC678" t="inlineStr">
        <is>
          <t>22.23-0-1.6-ERW 1-PE</t>
        </is>
      </c>
      <c r="AD678" t="inlineStr">
        <is>
          <t>LL</t>
        </is>
      </c>
      <c r="AE678" t="inlineStr">
        <is>
          <t>22.23-0-1.6-ERW 1-PE-1</t>
        </is>
      </c>
      <c r="AF678" t="n">
        <v>0.8136141920000001</v>
      </c>
    </row>
    <row r="679">
      <c r="A679" s="56" t="n">
        <v>3594528</v>
      </c>
      <c r="B679" s="56" t="inlineStr">
        <is>
          <t>TUB-O-N-AUT-AW-FC-60.30X2.000X6.0000</t>
        </is>
      </c>
      <c r="C679" s="56" t="inlineStr">
        <is>
          <t>D2402016</t>
        </is>
      </c>
      <c r="D679" s="57" t="n">
        <v>4</v>
      </c>
      <c r="E679" s="57" t="n">
        <v>69.036</v>
      </c>
      <c r="F679" s="57" t="n">
        <v>0.069036</v>
      </c>
      <c r="G679" s="56" t="inlineStr">
        <is>
          <t>KG</t>
        </is>
      </c>
      <c r="H679" s="56" t="inlineStr">
        <is>
          <t>R001</t>
        </is>
      </c>
      <c r="I679" s="56" t="inlineStr">
        <is>
          <t>0788</t>
        </is>
      </c>
      <c r="J679" s="56" t="inlineStr">
        <is>
          <t>4</t>
        </is>
      </c>
      <c r="K679" s="57" t="n">
        <v>24</v>
      </c>
      <c r="L679" s="56" t="inlineStr"/>
      <c r="M679" s="56" t="inlineStr">
        <is>
          <t>0</t>
        </is>
      </c>
      <c r="N679" s="56" t="inlineStr">
        <is>
          <t>Neel Metal Products Limited</t>
        </is>
      </c>
      <c r="O679" s="58" t="n">
        <v>333</v>
      </c>
      <c r="P679" s="59" t="inlineStr">
        <is>
          <t>ABOVE 90</t>
        </is>
      </c>
      <c r="Q679" s="56" t="inlineStr">
        <is>
          <t>Apoorv</t>
        </is>
      </c>
      <c r="U679" s="585" t="n">
        <v>3575897</v>
      </c>
      <c r="V679" t="n">
        <v>22.23</v>
      </c>
      <c r="W679" t="n">
        <v>0</v>
      </c>
      <c r="X679" t="n">
        <v>1.6</v>
      </c>
      <c r="Y679" t="n">
        <v>6.01</v>
      </c>
      <c r="Z679" t="inlineStr">
        <is>
          <t>HROP</t>
        </is>
      </c>
      <c r="AA679" t="inlineStr">
        <is>
          <t>PE</t>
        </is>
      </c>
      <c r="AB679" t="inlineStr">
        <is>
          <t>AW</t>
        </is>
      </c>
      <c r="AC679" t="inlineStr">
        <is>
          <t>22.23-0-1.6-ERW 1-PE</t>
        </is>
      </c>
      <c r="AD679" t="inlineStr">
        <is>
          <t>LL</t>
        </is>
      </c>
      <c r="AE679" t="inlineStr">
        <is>
          <t>22.23-0-1.6-ERW 1-PE-1</t>
        </is>
      </c>
      <c r="AF679" t="n">
        <v>0.8136141920000001</v>
      </c>
    </row>
    <row r="680">
      <c r="A680" s="56" t="n">
        <v>3594528</v>
      </c>
      <c r="B680" s="56" t="inlineStr">
        <is>
          <t>TUB-O-N-AUT-AW-FC-60.30X2.000X6.0000</t>
        </is>
      </c>
      <c r="C680" s="56" t="inlineStr">
        <is>
          <t>D2402132</t>
        </is>
      </c>
      <c r="D680" s="57" t="n">
        <v>33</v>
      </c>
      <c r="E680" s="57" t="n">
        <v>569.547</v>
      </c>
      <c r="F680" s="57" t="n">
        <v>0.569547</v>
      </c>
      <c r="G680" s="56" t="inlineStr">
        <is>
          <t>KG</t>
        </is>
      </c>
      <c r="H680" s="56" t="inlineStr">
        <is>
          <t>R001</t>
        </is>
      </c>
      <c r="I680" s="56" t="inlineStr">
        <is>
          <t>0788</t>
        </is>
      </c>
      <c r="J680" s="56" t="inlineStr">
        <is>
          <t>33</t>
        </is>
      </c>
      <c r="K680" s="57" t="n">
        <v>198</v>
      </c>
      <c r="L680" s="56" t="inlineStr"/>
      <c r="M680" s="56" t="inlineStr">
        <is>
          <t>0</t>
        </is>
      </c>
      <c r="N680" s="56" t="inlineStr">
        <is>
          <t>Neel Metal Products Limited</t>
        </is>
      </c>
      <c r="O680" s="58" t="n">
        <v>228</v>
      </c>
      <c r="P680" s="59" t="inlineStr">
        <is>
          <t>ABOVE 90</t>
        </is>
      </c>
      <c r="Q680" s="56" t="inlineStr">
        <is>
          <t>Apoorv</t>
        </is>
      </c>
      <c r="U680" s="586" t="n">
        <v>110102532</v>
      </c>
      <c r="V680" t="n">
        <v>22.23</v>
      </c>
      <c r="W680" t="n">
        <v>0</v>
      </c>
      <c r="X680" t="n">
        <v>1.6</v>
      </c>
      <c r="Y680" t="n">
        <v>6.01</v>
      </c>
      <c r="Z680" t="inlineStr">
        <is>
          <t>GR1</t>
        </is>
      </c>
      <c r="AA680" t="inlineStr">
        <is>
          <t>PE</t>
        </is>
      </c>
      <c r="AB680" t="inlineStr">
        <is>
          <t>AW</t>
        </is>
      </c>
      <c r="AC680" t="inlineStr">
        <is>
          <t>22.23-0-1.6-ERW 1-PE</t>
        </is>
      </c>
      <c r="AD680" t="inlineStr">
        <is>
          <t>LL</t>
        </is>
      </c>
      <c r="AE680" t="inlineStr">
        <is>
          <t>22.23-0-1.6-ERW 1-PE-1</t>
        </is>
      </c>
      <c r="AF680" t="n">
        <v>0.8136141920000001</v>
      </c>
    </row>
    <row r="681">
      <c r="A681" s="56" t="n">
        <v>3702200</v>
      </c>
      <c r="B681" s="56" t="inlineStr">
        <is>
          <t>TUB-O-N-AUT-AW-PE-17.30X1.600X6.0000</t>
        </is>
      </c>
      <c r="C681" s="56" t="inlineStr">
        <is>
          <t>4609BK1080</t>
        </is>
      </c>
      <c r="D681" s="57" t="n">
        <v>131.824</v>
      </c>
      <c r="E681" s="58" t="n">
        <v>468</v>
      </c>
      <c r="F681" s="57" t="n">
        <v>0.468</v>
      </c>
      <c r="G681" s="56" t="inlineStr">
        <is>
          <t>KG</t>
        </is>
      </c>
      <c r="H681" s="56" t="inlineStr">
        <is>
          <t>R001</t>
        </is>
      </c>
      <c r="I681" s="56" t="inlineStr">
        <is>
          <t>0788</t>
        </is>
      </c>
      <c r="J681" s="56" t="inlineStr">
        <is>
          <t>126</t>
        </is>
      </c>
      <c r="K681" s="57" t="n">
        <v>790.941</v>
      </c>
      <c r="L681" s="56" t="inlineStr"/>
      <c r="M681" s="56" t="inlineStr">
        <is>
          <t>0</t>
        </is>
      </c>
      <c r="N681" s="56" t="inlineStr">
        <is>
          <t>ELKAYEM AUTO ANCILLARIES (PVT) LTD.</t>
        </is>
      </c>
      <c r="O681" s="58" t="n">
        <v>212</v>
      </c>
      <c r="P681" s="59" t="inlineStr">
        <is>
          <t>ABOVE 90</t>
        </is>
      </c>
      <c r="Q681" s="56" t="inlineStr">
        <is>
          <t>Diwakar</t>
        </is>
      </c>
      <c r="U681" s="585" t="n">
        <v>3575898</v>
      </c>
      <c r="V681" t="n">
        <v>22.23</v>
      </c>
      <c r="W681" t="n">
        <v>0</v>
      </c>
      <c r="X681" t="n">
        <v>1.6</v>
      </c>
      <c r="Y681" t="n">
        <v>6.12</v>
      </c>
      <c r="Z681" t="inlineStr">
        <is>
          <t>HROP</t>
        </is>
      </c>
      <c r="AA681" t="inlineStr">
        <is>
          <t>PE</t>
        </is>
      </c>
      <c r="AB681" t="inlineStr">
        <is>
          <t>AW</t>
        </is>
      </c>
      <c r="AC681" t="inlineStr">
        <is>
          <t>22.23-0-1.6-ERW 1-PE</t>
        </is>
      </c>
      <c r="AD681" t="inlineStr">
        <is>
          <t>LL</t>
        </is>
      </c>
      <c r="AE681" t="inlineStr">
        <is>
          <t>22.23-0-1.6-ERW 1-PE-1</t>
        </is>
      </c>
      <c r="AF681" t="n">
        <v>0.8136141920000001</v>
      </c>
    </row>
    <row r="682">
      <c r="A682" s="56" t="n">
        <v>3702200</v>
      </c>
      <c r="B682" s="56" t="inlineStr">
        <is>
          <t>TUB-O-N-AUT-AW-PE-17.30X1.600X6.0000</t>
        </is>
      </c>
      <c r="C682" s="56" t="inlineStr">
        <is>
          <t>4905AK1030</t>
        </is>
      </c>
      <c r="D682" s="57" t="n">
        <v>391.527</v>
      </c>
      <c r="E682" s="58" t="n">
        <v>1390</v>
      </c>
      <c r="F682" s="57" t="n">
        <v>1.39</v>
      </c>
      <c r="G682" s="56" t="inlineStr">
        <is>
          <t>KG</t>
        </is>
      </c>
      <c r="H682" s="56" t="inlineStr">
        <is>
          <t>R001</t>
        </is>
      </c>
      <c r="I682" s="56" t="inlineStr">
        <is>
          <t>0788</t>
        </is>
      </c>
      <c r="J682" s="56" t="inlineStr">
        <is>
          <t>374</t>
        </is>
      </c>
      <c r="K682" s="57" t="n">
        <v>2349.163</v>
      </c>
      <c r="L682" s="56" t="inlineStr"/>
      <c r="M682" s="56" t="inlineStr">
        <is>
          <t>0</t>
        </is>
      </c>
      <c r="N682" s="56" t="inlineStr">
        <is>
          <t>ELKAYEM AUTO ANCILLARIES (PVT) LTD.</t>
        </is>
      </c>
      <c r="O682" s="58" t="n">
        <v>71</v>
      </c>
      <c r="P682" s="59" t="inlineStr">
        <is>
          <t>61-90</t>
        </is>
      </c>
      <c r="Q682" s="56" t="inlineStr">
        <is>
          <t>Diwakar</t>
        </is>
      </c>
      <c r="U682" s="586" t="n">
        <v>111002450</v>
      </c>
      <c r="V682" t="n">
        <v>22.23</v>
      </c>
      <c r="W682" t="n">
        <v>0</v>
      </c>
      <c r="X682" t="n">
        <v>1.6</v>
      </c>
      <c r="Y682" t="n">
        <v>6.12</v>
      </c>
      <c r="Z682" t="inlineStr">
        <is>
          <t>HROP</t>
        </is>
      </c>
      <c r="AA682" t="inlineStr">
        <is>
          <t>PE</t>
        </is>
      </c>
      <c r="AB682" t="inlineStr">
        <is>
          <t>AW</t>
        </is>
      </c>
      <c r="AC682" t="inlineStr">
        <is>
          <t>22.23-0-1.6-ERW 1-PE</t>
        </is>
      </c>
      <c r="AD682" t="inlineStr">
        <is>
          <t>LL</t>
        </is>
      </c>
      <c r="AE682" t="inlineStr">
        <is>
          <t>22.23-0-1.6-ERW 1-PE-1</t>
        </is>
      </c>
      <c r="AF682" t="n">
        <v>0.8136141920000001</v>
      </c>
    </row>
    <row r="683">
      <c r="A683" s="56" t="n">
        <v>3702200</v>
      </c>
      <c r="B683" s="56" t="inlineStr">
        <is>
          <t>TUB-O-N-AUT-AW-PE-17.30X1.600X6.0000</t>
        </is>
      </c>
      <c r="C683" s="56" t="inlineStr">
        <is>
          <t>4906CK1010</t>
        </is>
      </c>
      <c r="D683" s="57" t="n">
        <v>120.275</v>
      </c>
      <c r="E683" s="58" t="n">
        <v>427</v>
      </c>
      <c r="F683" s="57" t="n">
        <v>0.427</v>
      </c>
      <c r="G683" s="56" t="inlineStr">
        <is>
          <t>KG</t>
        </is>
      </c>
      <c r="H683" s="56" t="inlineStr">
        <is>
          <t>R001</t>
        </is>
      </c>
      <c r="I683" s="56" t="inlineStr">
        <is>
          <t>0788</t>
        </is>
      </c>
      <c r="J683" s="56" t="inlineStr">
        <is>
          <t>115</t>
        </is>
      </c>
      <c r="K683" s="57" t="n">
        <v>721.649</v>
      </c>
      <c r="L683" s="56" t="inlineStr"/>
      <c r="M683" s="56" t="inlineStr">
        <is>
          <t>0</t>
        </is>
      </c>
      <c r="N683" s="56" t="inlineStr">
        <is>
          <t>ELKAYEM AUTO ANCILLARIES (PVT) LTD.</t>
        </is>
      </c>
      <c r="O683" s="58" t="n">
        <v>71</v>
      </c>
      <c r="P683" s="59" t="inlineStr">
        <is>
          <t>61-90</t>
        </is>
      </c>
      <c r="Q683" s="56" t="inlineStr">
        <is>
          <t>Diwakar</t>
        </is>
      </c>
      <c r="U683" s="586" t="n">
        <v>111116356</v>
      </c>
      <c r="V683" t="n">
        <v>22.23</v>
      </c>
      <c r="W683" t="n">
        <v>0</v>
      </c>
      <c r="X683" t="n">
        <v>1.6</v>
      </c>
      <c r="Y683" t="n">
        <v>6.12</v>
      </c>
      <c r="Z683" t="inlineStr">
        <is>
          <t>WG</t>
        </is>
      </c>
      <c r="AA683" t="inlineStr">
        <is>
          <t>PE</t>
        </is>
      </c>
      <c r="AB683" t="inlineStr">
        <is>
          <t>AW</t>
        </is>
      </c>
      <c r="AC683" t="inlineStr">
        <is>
          <t>22.23-0-1.6-ERW 1-PE</t>
        </is>
      </c>
      <c r="AD683" t="inlineStr">
        <is>
          <t>LL</t>
        </is>
      </c>
      <c r="AE683" t="inlineStr">
        <is>
          <t>22.23-0-1.6-ERW 1-PE-1</t>
        </is>
      </c>
      <c r="AF683" t="n">
        <v>0.8136141920000001</v>
      </c>
    </row>
    <row r="684">
      <c r="A684" s="56" t="n">
        <v>3702200</v>
      </c>
      <c r="B684" s="56" t="inlineStr">
        <is>
          <t>TUB-O-N-AUT-AW-PE-17.30X1.600X6.0000</t>
        </is>
      </c>
      <c r="C684" s="56" t="inlineStr">
        <is>
          <t>4A27CK1020</t>
        </is>
      </c>
      <c r="D684" s="57" t="n">
        <v>139.147</v>
      </c>
      <c r="E684" s="58" t="n">
        <v>494</v>
      </c>
      <c r="F684" s="57" t="n">
        <v>0.494</v>
      </c>
      <c r="G684" s="56" t="inlineStr">
        <is>
          <t>KG</t>
        </is>
      </c>
      <c r="H684" s="56" t="inlineStr">
        <is>
          <t>R001</t>
        </is>
      </c>
      <c r="I684" s="56" t="inlineStr">
        <is>
          <t>0788</t>
        </is>
      </c>
      <c r="J684" s="56" t="inlineStr">
        <is>
          <t>133</t>
        </is>
      </c>
      <c r="K684" s="57" t="n">
        <v>834.883</v>
      </c>
      <c r="L684" s="56" t="inlineStr"/>
      <c r="M684" s="56" t="inlineStr">
        <is>
          <t>0</t>
        </is>
      </c>
      <c r="N684" s="56" t="inlineStr">
        <is>
          <t>ELKAYEM AUTO ANCILLARIES (PVT) LTD.</t>
        </is>
      </c>
      <c r="O684" s="58" t="n">
        <v>77</v>
      </c>
      <c r="P684" s="59" t="inlineStr">
        <is>
          <t>61-90</t>
        </is>
      </c>
      <c r="Q684" s="56" t="inlineStr">
        <is>
          <t>Diwakar</t>
        </is>
      </c>
      <c r="U684" s="586" t="n">
        <v>111106952</v>
      </c>
      <c r="V684" t="n">
        <v>22.23</v>
      </c>
      <c r="W684" t="n">
        <v>0</v>
      </c>
      <c r="X684" t="n">
        <v>1.6</v>
      </c>
      <c r="Y684" t="n">
        <v>6.245</v>
      </c>
      <c r="Z684" t="inlineStr">
        <is>
          <t>HROP</t>
        </is>
      </c>
      <c r="AA684" t="inlineStr">
        <is>
          <t>PE</t>
        </is>
      </c>
      <c r="AB684" t="inlineStr">
        <is>
          <t>AW</t>
        </is>
      </c>
      <c r="AC684" t="inlineStr">
        <is>
          <t>22.23-0-1.6-ERW 1-PE</t>
        </is>
      </c>
      <c r="AD684" t="inlineStr">
        <is>
          <t>LL</t>
        </is>
      </c>
      <c r="AE684" t="inlineStr">
        <is>
          <t>22.23-0-1.6-ERW 1-PE-1</t>
        </is>
      </c>
      <c r="AF684" t="n">
        <v>0.8136141920000001</v>
      </c>
    </row>
    <row r="685">
      <c r="A685" s="56" t="n">
        <v>3702200</v>
      </c>
      <c r="B685" s="56" t="inlineStr">
        <is>
          <t>TUB-O-N-AUT-AW-PE-17.30X1.600X6.0000</t>
        </is>
      </c>
      <c r="C685" s="56" t="inlineStr">
        <is>
          <t>4A27CK1040</t>
        </is>
      </c>
      <c r="D685" s="57" t="n">
        <v>278.294</v>
      </c>
      <c r="E685" s="58" t="n">
        <v>988</v>
      </c>
      <c r="F685" s="57" t="n">
        <v>0.988</v>
      </c>
      <c r="G685" s="56" t="inlineStr">
        <is>
          <t>KG</t>
        </is>
      </c>
      <c r="H685" s="56" t="inlineStr">
        <is>
          <t>R001</t>
        </is>
      </c>
      <c r="I685" s="56" t="inlineStr">
        <is>
          <t>0788</t>
        </is>
      </c>
      <c r="J685" s="56" t="inlineStr">
        <is>
          <t>266</t>
        </is>
      </c>
      <c r="K685" s="57" t="n">
        <v>1669.765</v>
      </c>
      <c r="L685" s="56" t="inlineStr"/>
      <c r="M685" s="56" t="inlineStr">
        <is>
          <t>0</t>
        </is>
      </c>
      <c r="N685" s="56" t="inlineStr">
        <is>
          <t>ELKAYEM AUTO ANCILLARIES (PVT) LTD.</t>
        </is>
      </c>
      <c r="O685" s="58" t="n">
        <v>77</v>
      </c>
      <c r="P685" s="59" t="inlineStr">
        <is>
          <t>61-90</t>
        </is>
      </c>
      <c r="Q685" s="56" t="inlineStr">
        <is>
          <t>Diwakar</t>
        </is>
      </c>
      <c r="U685" s="585" t="n">
        <v>1940430</v>
      </c>
      <c r="V685" t="n">
        <v>22.23</v>
      </c>
      <c r="W685" t="n">
        <v>0</v>
      </c>
      <c r="X685" t="n">
        <v>2</v>
      </c>
      <c r="Y685" t="n">
        <v>0.22</v>
      </c>
      <c r="Z685" t="inlineStr">
        <is>
          <t>GR1</t>
        </is>
      </c>
      <c r="AA685" t="inlineStr">
        <is>
          <t>PE</t>
        </is>
      </c>
      <c r="AB685" t="inlineStr">
        <is>
          <t>AW</t>
        </is>
      </c>
      <c r="AC685" t="inlineStr">
        <is>
          <t>22.23-0-2-ERW 1-PE</t>
        </is>
      </c>
      <c r="AD685" t="inlineStr">
        <is>
          <t>CTL</t>
        </is>
      </c>
      <c r="AE685" t="inlineStr">
        <is>
          <t>22.23-0-2-ERW 1-PE-0.22</t>
        </is>
      </c>
      <c r="AF685" t="n">
        <v>0.2194056788</v>
      </c>
    </row>
    <row r="686">
      <c r="A686" s="56" t="n">
        <v>3702200</v>
      </c>
      <c r="B686" s="56" t="inlineStr">
        <is>
          <t>TUB-O-N-AUT-AW-PE-17.30X1.600X6.0000</t>
        </is>
      </c>
      <c r="C686" s="56" t="inlineStr">
        <is>
          <t>A2407761</t>
        </is>
      </c>
      <c r="D686" s="57" t="n">
        <v>99.994</v>
      </c>
      <c r="E686" s="58" t="n">
        <v>355</v>
      </c>
      <c r="F686" s="57" t="n">
        <v>0.355</v>
      </c>
      <c r="G686" s="56" t="inlineStr">
        <is>
          <t>KG</t>
        </is>
      </c>
      <c r="H686" s="56" t="inlineStr">
        <is>
          <t>R001</t>
        </is>
      </c>
      <c r="I686" s="56" t="inlineStr">
        <is>
          <t>0788</t>
        </is>
      </c>
      <c r="J686" s="56" t="inlineStr">
        <is>
          <t>100</t>
        </is>
      </c>
      <c r="K686" s="57" t="n">
        <v>599.966</v>
      </c>
      <c r="L686" s="56" t="inlineStr"/>
      <c r="M686" s="56" t="inlineStr">
        <is>
          <t>0</t>
        </is>
      </c>
      <c r="N686" s="56" t="inlineStr">
        <is>
          <t>ELKAYEM AUTO ANCILLARIES (PVT) LTD.</t>
        </is>
      </c>
      <c r="O686" s="58" t="n">
        <v>136</v>
      </c>
      <c r="P686" s="59" t="inlineStr">
        <is>
          <t>ABOVE 90</t>
        </is>
      </c>
      <c r="Q686" s="56" t="inlineStr">
        <is>
          <t>Diwakar</t>
        </is>
      </c>
      <c r="U686" s="585" t="n">
        <v>1905990</v>
      </c>
      <c r="V686" t="n">
        <v>22.23</v>
      </c>
      <c r="W686" t="n">
        <v>0</v>
      </c>
      <c r="X686" t="n">
        <v>2</v>
      </c>
      <c r="Y686" t="n">
        <v>0.236</v>
      </c>
      <c r="Z686" t="inlineStr">
        <is>
          <t>NORMAL</t>
        </is>
      </c>
      <c r="AA686" t="inlineStr">
        <is>
          <t>PE</t>
        </is>
      </c>
      <c r="AB686" t="inlineStr">
        <is>
          <t>AW</t>
        </is>
      </c>
      <c r="AC686" t="inlineStr">
        <is>
          <t>22.23-0-2-ERW 1-PE</t>
        </is>
      </c>
      <c r="AD686" t="inlineStr">
        <is>
          <t>CTL</t>
        </is>
      </c>
      <c r="AE686" t="inlineStr">
        <is>
          <t>22.23-0-2-ERW 1-PE-0.236</t>
        </is>
      </c>
      <c r="AF686" t="n">
        <v>0.23536245544</v>
      </c>
    </row>
    <row r="687">
      <c r="A687" s="56" t="n">
        <v>3702201</v>
      </c>
      <c r="B687" s="56" t="inlineStr">
        <is>
          <t>TUB-O-N-AUT-AW-PE-17.30X1.200X6.0000</t>
        </is>
      </c>
      <c r="C687" s="56" t="inlineStr">
        <is>
          <t>4A27CK1050</t>
        </is>
      </c>
      <c r="D687" s="57" t="n">
        <v>785.952</v>
      </c>
      <c r="E687" s="58" t="n">
        <v>2126</v>
      </c>
      <c r="F687" s="57" t="n">
        <v>2.126</v>
      </c>
      <c r="G687" s="56" t="inlineStr">
        <is>
          <t>KG</t>
        </is>
      </c>
      <c r="H687" s="56" t="inlineStr">
        <is>
          <t>R001</t>
        </is>
      </c>
      <c r="I687" s="56" t="inlineStr">
        <is>
          <t>0788</t>
        </is>
      </c>
      <c r="J687" s="56" t="inlineStr">
        <is>
          <t>744</t>
        </is>
      </c>
      <c r="K687" s="57" t="n">
        <v>4716.06</v>
      </c>
      <c r="L687" s="56" t="inlineStr"/>
      <c r="M687" s="56" t="inlineStr">
        <is>
          <t>0</t>
        </is>
      </c>
      <c r="N687" s="56" t="inlineStr">
        <is>
          <t>ELKAYEM AUTO ANCILLARIES (PVT) LTD.</t>
        </is>
      </c>
      <c r="O687" s="58" t="n">
        <v>52</v>
      </c>
      <c r="P687" s="59" t="inlineStr">
        <is>
          <t>31-60</t>
        </is>
      </c>
      <c r="Q687" s="56" t="inlineStr">
        <is>
          <t>Diwakar</t>
        </is>
      </c>
      <c r="U687" s="585" t="n">
        <v>1902334</v>
      </c>
      <c r="V687" t="n">
        <v>22.23</v>
      </c>
      <c r="W687" t="n">
        <v>0</v>
      </c>
      <c r="X687" t="n">
        <v>2</v>
      </c>
      <c r="Y687" t="n">
        <v>0.263</v>
      </c>
      <c r="Z687" t="inlineStr">
        <is>
          <t>NORMAL</t>
        </is>
      </c>
      <c r="AA687" t="inlineStr">
        <is>
          <t>PE</t>
        </is>
      </c>
      <c r="AB687" t="inlineStr">
        <is>
          <t>AW</t>
        </is>
      </c>
      <c r="AC687" t="inlineStr">
        <is>
          <t>22.23-0-2-ERW 1-PE</t>
        </is>
      </c>
      <c r="AD687" t="inlineStr">
        <is>
          <t>CTL</t>
        </is>
      </c>
      <c r="AE687" t="inlineStr">
        <is>
          <t>22.23-0-2-ERW 1-PE-0.263</t>
        </is>
      </c>
      <c r="AF687" t="n">
        <v>0.26228951602</v>
      </c>
    </row>
    <row r="688">
      <c r="A688" s="56" t="n">
        <v>3702201</v>
      </c>
      <c r="B688" s="56" t="inlineStr">
        <is>
          <t>TUB-O-N-AUT-AW-PE-17.30X1.200X6.0000</t>
        </is>
      </c>
      <c r="C688" s="56" t="inlineStr">
        <is>
          <t>4A27CK1060</t>
        </is>
      </c>
      <c r="D688" s="57" t="n">
        <v>575.601</v>
      </c>
      <c r="E688" s="58" t="n">
        <v>1557</v>
      </c>
      <c r="F688" s="57" t="n">
        <v>1.557</v>
      </c>
      <c r="G688" s="56" t="inlineStr">
        <is>
          <t>KG</t>
        </is>
      </c>
      <c r="H688" s="56" t="inlineStr">
        <is>
          <t>R001</t>
        </is>
      </c>
      <c r="I688" s="56" t="inlineStr">
        <is>
          <t>0788</t>
        </is>
      </c>
      <c r="J688" s="56" t="inlineStr">
        <is>
          <t>545</t>
        </is>
      </c>
      <c r="K688" s="57" t="n">
        <v>3453.86</v>
      </c>
      <c r="L688" s="56" t="inlineStr"/>
      <c r="M688" s="56" t="inlineStr">
        <is>
          <t>0</t>
        </is>
      </c>
      <c r="N688" s="56" t="inlineStr">
        <is>
          <t>ELKAYEM AUTO ANCILLARIES (PVT) LTD.</t>
        </is>
      </c>
      <c r="O688" s="58" t="n">
        <v>76</v>
      </c>
      <c r="P688" s="59" t="inlineStr">
        <is>
          <t>61-90</t>
        </is>
      </c>
      <c r="Q688" s="56" t="inlineStr">
        <is>
          <t>Diwakar</t>
        </is>
      </c>
      <c r="U688" s="585" t="n">
        <v>1940433</v>
      </c>
      <c r="V688" t="n">
        <v>22.23</v>
      </c>
      <c r="W688" t="n">
        <v>0</v>
      </c>
      <c r="X688" t="n">
        <v>2</v>
      </c>
      <c r="Y688" t="n">
        <v>0.27</v>
      </c>
      <c r="Z688" t="inlineStr">
        <is>
          <t>GR1</t>
        </is>
      </c>
      <c r="AA688" t="inlineStr">
        <is>
          <t>PE</t>
        </is>
      </c>
      <c r="AB688" t="inlineStr">
        <is>
          <t>AW</t>
        </is>
      </c>
      <c r="AC688" t="inlineStr">
        <is>
          <t>22.23-0-2-ERW 1-PE</t>
        </is>
      </c>
      <c r="AD688" t="inlineStr">
        <is>
          <t>CTL</t>
        </is>
      </c>
      <c r="AE688" t="inlineStr">
        <is>
          <t>22.23-0-2-ERW 1-PE-0.27</t>
        </is>
      </c>
      <c r="AF688" t="n">
        <v>0.2692706058000001</v>
      </c>
    </row>
    <row r="689">
      <c r="A689" s="56" t="n">
        <v>3702201</v>
      </c>
      <c r="B689" s="56" t="inlineStr">
        <is>
          <t>TUB-O-N-AUT-AW-PE-17.30X1.200X6.0000</t>
        </is>
      </c>
      <c r="C689" s="56" t="inlineStr">
        <is>
          <t>4A27CK1070</t>
        </is>
      </c>
      <c r="D689" s="57" t="n">
        <v>577.819</v>
      </c>
      <c r="E689" s="58" t="n">
        <v>1563</v>
      </c>
      <c r="F689" s="57" t="n">
        <v>1.563</v>
      </c>
      <c r="G689" s="56" t="inlineStr">
        <is>
          <t>KG</t>
        </is>
      </c>
      <c r="H689" s="56" t="inlineStr">
        <is>
          <t>R001</t>
        </is>
      </c>
      <c r="I689" s="56" t="inlineStr">
        <is>
          <t>0788</t>
        </is>
      </c>
      <c r="J689" s="56" t="inlineStr">
        <is>
          <t>547</t>
        </is>
      </c>
      <c r="K689" s="57" t="n">
        <v>3467.169</v>
      </c>
      <c r="L689" s="56" t="inlineStr"/>
      <c r="M689" s="56" t="inlineStr">
        <is>
          <t>0</t>
        </is>
      </c>
      <c r="N689" s="56" t="inlineStr">
        <is>
          <t>ELKAYEM AUTO ANCILLARIES (PVT) LTD.</t>
        </is>
      </c>
      <c r="O689" s="58" t="n">
        <v>77</v>
      </c>
      <c r="P689" s="59" t="inlineStr">
        <is>
          <t>61-90</t>
        </is>
      </c>
      <c r="Q689" s="56" t="inlineStr">
        <is>
          <t>Diwakar</t>
        </is>
      </c>
      <c r="U689" s="585" t="n">
        <v>1940437</v>
      </c>
      <c r="V689" t="n">
        <v>22.23</v>
      </c>
      <c r="W689" t="n">
        <v>0</v>
      </c>
      <c r="X689" t="n">
        <v>2</v>
      </c>
      <c r="Y689" t="n">
        <v>0.394</v>
      </c>
      <c r="Z689" t="inlineStr">
        <is>
          <t>GR1</t>
        </is>
      </c>
      <c r="AA689" t="inlineStr">
        <is>
          <t>PE</t>
        </is>
      </c>
      <c r="AB689" t="inlineStr">
        <is>
          <t>AW</t>
        </is>
      </c>
      <c r="AC689" t="inlineStr">
        <is>
          <t>22.23-0-2-ERW 1-PE</t>
        </is>
      </c>
      <c r="AD689" t="inlineStr">
        <is>
          <t>CTL</t>
        </is>
      </c>
      <c r="AE689" t="inlineStr">
        <is>
          <t>22.23-0-2-ERW 1-PE-0.394</t>
        </is>
      </c>
      <c r="AF689" t="n">
        <v>0.39293562476</v>
      </c>
    </row>
    <row r="690">
      <c r="A690" s="56" t="n">
        <v>3702201</v>
      </c>
      <c r="B690" s="56" t="inlineStr">
        <is>
          <t>TUB-O-N-AUT-AW-PE-17.30X1.200X6.0000</t>
        </is>
      </c>
      <c r="C690" s="56" t="inlineStr">
        <is>
          <t>4A28AK1030</t>
        </is>
      </c>
      <c r="D690" s="57" t="n">
        <v>576.71</v>
      </c>
      <c r="E690" s="58" t="n">
        <v>1560</v>
      </c>
      <c r="F690" s="57" t="n">
        <v>1.56</v>
      </c>
      <c r="G690" s="56" t="inlineStr">
        <is>
          <t>KG</t>
        </is>
      </c>
      <c r="H690" s="56" t="inlineStr">
        <is>
          <t>R001</t>
        </is>
      </c>
      <c r="I690" s="56" t="inlineStr">
        <is>
          <t>0788</t>
        </is>
      </c>
      <c r="J690" s="56" t="inlineStr">
        <is>
          <t>546</t>
        </is>
      </c>
      <c r="K690" s="57" t="n">
        <v>3460.515</v>
      </c>
      <c r="L690" s="56" t="inlineStr"/>
      <c r="M690" s="56" t="inlineStr">
        <is>
          <t>0</t>
        </is>
      </c>
      <c r="N690" s="56" t="inlineStr">
        <is>
          <t>ELKAYEM AUTO ANCILLARIES (PVT) LTD.</t>
        </is>
      </c>
      <c r="O690" s="58" t="n">
        <v>76</v>
      </c>
      <c r="P690" s="59" t="inlineStr">
        <is>
          <t>61-90</t>
        </is>
      </c>
      <c r="Q690" s="56" t="inlineStr">
        <is>
          <t>Diwakar</t>
        </is>
      </c>
      <c r="U690" s="585" t="n">
        <v>1940445</v>
      </c>
      <c r="V690" t="n">
        <v>22.23</v>
      </c>
      <c r="W690" t="n">
        <v>0</v>
      </c>
      <c r="X690" t="n">
        <v>2</v>
      </c>
      <c r="Y690" t="n">
        <v>0.505</v>
      </c>
      <c r="Z690" t="inlineStr">
        <is>
          <t>GR1</t>
        </is>
      </c>
      <c r="AA690" t="inlineStr">
        <is>
          <t>PE</t>
        </is>
      </c>
      <c r="AB690" t="inlineStr">
        <is>
          <t>AW</t>
        </is>
      </c>
      <c r="AC690" t="inlineStr">
        <is>
          <t>22.23-0-2-ERW 1-PE</t>
        </is>
      </c>
      <c r="AD690" t="inlineStr">
        <is>
          <t>CTL</t>
        </is>
      </c>
      <c r="AE690" t="inlineStr">
        <is>
          <t>22.23-0-2-ERW 1-PE-0.505</t>
        </is>
      </c>
      <c r="AF690" t="n">
        <v>0.5036357627</v>
      </c>
    </row>
    <row r="691">
      <c r="A691" s="56" t="n">
        <v>3702201</v>
      </c>
      <c r="B691" s="56" t="inlineStr">
        <is>
          <t>TUB-O-N-AUT-AW-PE-17.30X1.200X6.0000</t>
        </is>
      </c>
      <c r="C691" s="56" t="inlineStr">
        <is>
          <t>4A28AK1050</t>
        </is>
      </c>
      <c r="D691" s="57" t="n">
        <v>581.146</v>
      </c>
      <c r="E691" s="58" t="n">
        <v>1572</v>
      </c>
      <c r="F691" s="57" t="n">
        <v>1.572</v>
      </c>
      <c r="G691" s="56" t="inlineStr">
        <is>
          <t>KG</t>
        </is>
      </c>
      <c r="H691" s="56" t="inlineStr">
        <is>
          <t>R001</t>
        </is>
      </c>
      <c r="I691" s="56" t="inlineStr">
        <is>
          <t>0788</t>
        </is>
      </c>
      <c r="J691" s="56" t="inlineStr">
        <is>
          <t>550</t>
        </is>
      </c>
      <c r="K691" s="57" t="n">
        <v>3487.134</v>
      </c>
      <c r="L691" s="56" t="inlineStr"/>
      <c r="M691" s="56" t="inlineStr">
        <is>
          <t>0</t>
        </is>
      </c>
      <c r="N691" s="56" t="inlineStr">
        <is>
          <t>ELKAYEM AUTO ANCILLARIES (PVT) LTD.</t>
        </is>
      </c>
      <c r="O691" s="58" t="n">
        <v>76</v>
      </c>
      <c r="P691" s="59" t="inlineStr">
        <is>
          <t>61-90</t>
        </is>
      </c>
      <c r="Q691" s="56" t="inlineStr">
        <is>
          <t>Diwakar</t>
        </is>
      </c>
      <c r="U691" s="585" t="n">
        <v>1940449</v>
      </c>
      <c r="V691" t="n">
        <v>22.23</v>
      </c>
      <c r="W691" t="n">
        <v>0</v>
      </c>
      <c r="X691" t="n">
        <v>2</v>
      </c>
      <c r="Y691" t="n">
        <v>0.574</v>
      </c>
      <c r="Z691" t="inlineStr">
        <is>
          <t>GR1</t>
        </is>
      </c>
      <c r="AA691" t="inlineStr">
        <is>
          <t>PE</t>
        </is>
      </c>
      <c r="AB691" t="inlineStr">
        <is>
          <t>AW</t>
        </is>
      </c>
      <c r="AC691" t="inlineStr">
        <is>
          <t>22.23-0-2-ERW 1-PE</t>
        </is>
      </c>
      <c r="AD691" t="inlineStr">
        <is>
          <t>CTL</t>
        </is>
      </c>
      <c r="AE691" t="inlineStr">
        <is>
          <t>22.23-0-2-ERW 1-PE-0.574</t>
        </is>
      </c>
      <c r="AF691" t="n">
        <v>0.57244936196</v>
      </c>
    </row>
    <row r="692">
      <c r="A692" s="56" t="n">
        <v>3702201</v>
      </c>
      <c r="B692" s="56" t="inlineStr">
        <is>
          <t>TUB-O-N-AUT-AW-PE-17.30X1.200X6.0000</t>
        </is>
      </c>
      <c r="C692" s="56" t="inlineStr">
        <is>
          <t>4A28BK1040</t>
        </is>
      </c>
      <c r="D692" s="57" t="n">
        <v>174.122</v>
      </c>
      <c r="E692" s="58" t="n">
        <v>471</v>
      </c>
      <c r="F692" s="57" t="n">
        <v>0.471</v>
      </c>
      <c r="G692" s="56" t="inlineStr">
        <is>
          <t>KG</t>
        </is>
      </c>
      <c r="H692" s="56" t="inlineStr">
        <is>
          <t>R001</t>
        </is>
      </c>
      <c r="I692" s="56" t="inlineStr">
        <is>
          <t>0788</t>
        </is>
      </c>
      <c r="J692" s="56" t="inlineStr">
        <is>
          <t>165</t>
        </is>
      </c>
      <c r="K692" s="57" t="n">
        <v>1044.809</v>
      </c>
      <c r="L692" s="56" t="inlineStr"/>
      <c r="M692" s="56" t="inlineStr">
        <is>
          <t>0</t>
        </is>
      </c>
      <c r="N692" s="56" t="inlineStr">
        <is>
          <t>ELKAYEM AUTO ANCILLARIES (PVT) LTD.</t>
        </is>
      </c>
      <c r="O692" s="58" t="n">
        <v>76</v>
      </c>
      <c r="P692" s="59" t="inlineStr">
        <is>
          <t>61-90</t>
        </is>
      </c>
      <c r="Q692" s="56" t="inlineStr">
        <is>
          <t>Diwakar</t>
        </is>
      </c>
      <c r="U692" t="n">
        <v>4036237</v>
      </c>
      <c r="V692" t="n">
        <v>22.23</v>
      </c>
      <c r="W692" t="n">
        <v>0</v>
      </c>
      <c r="X692" t="n">
        <v>2</v>
      </c>
      <c r="Y692" t="n">
        <v>0.604</v>
      </c>
      <c r="Z692" t="inlineStr">
        <is>
          <t>ST52AL</t>
        </is>
      </c>
      <c r="AA692" t="inlineStr">
        <is>
          <t>263</t>
        </is>
      </c>
      <c r="AB692" t="inlineStr">
        <is>
          <t>AW</t>
        </is>
      </c>
      <c r="AC692" t="inlineStr">
        <is>
          <t>22.23-0-2-ERW 2 MAHS-FC</t>
        </is>
      </c>
      <c r="AD692" t="inlineStr">
        <is>
          <t>CTL</t>
        </is>
      </c>
      <c r="AE692" t="inlineStr">
        <is>
          <t>22.23-0-2-ERW 2 MAHS-FC-0.604</t>
        </is>
      </c>
      <c r="AF692" t="n">
        <v>0.60236831816</v>
      </c>
    </row>
    <row r="693">
      <c r="A693" s="56" t="n">
        <v>3769066</v>
      </c>
      <c r="B693" s="56" t="inlineStr">
        <is>
          <t>TUB-O-C-CEW-AD-FC-20.00X1.420X5.8500</t>
        </is>
      </c>
      <c r="C693" s="56" t="inlineStr">
        <is>
          <t>4C0465340C</t>
        </is>
      </c>
      <c r="D693" s="57" t="n">
        <v>18.908</v>
      </c>
      <c r="E693" s="58" t="n">
        <v>72</v>
      </c>
      <c r="F693" s="57" t="n">
        <v>0.07199999999999999</v>
      </c>
      <c r="G693" s="56" t="inlineStr">
        <is>
          <t>KG</t>
        </is>
      </c>
      <c r="H693" s="56" t="inlineStr">
        <is>
          <t>R001</t>
        </is>
      </c>
      <c r="I693" s="56" t="inlineStr">
        <is>
          <t>0788</t>
        </is>
      </c>
      <c r="J693" s="56" t="inlineStr">
        <is>
          <t>19</t>
        </is>
      </c>
      <c r="K693" s="57" t="n">
        <v>110.616</v>
      </c>
      <c r="L693" s="56" t="inlineStr"/>
      <c r="M693" s="56" t="inlineStr">
        <is>
          <t>0</t>
        </is>
      </c>
      <c r="N693" s="56" t="inlineStr">
        <is>
          <t>Neel Metal Products Limited</t>
        </is>
      </c>
      <c r="O693" s="58" t="n">
        <v>40</v>
      </c>
      <c r="P693" s="59" t="inlineStr">
        <is>
          <t>31-60</t>
        </is>
      </c>
      <c r="Q693" s="56" t="inlineStr">
        <is>
          <t>Apoorv</t>
        </is>
      </c>
      <c r="U693" s="585" t="n">
        <v>2420107</v>
      </c>
      <c r="V693" t="n">
        <v>22.23</v>
      </c>
      <c r="W693" t="n">
        <v>0</v>
      </c>
      <c r="X693" t="n">
        <v>2</v>
      </c>
      <c r="Y693" t="n">
        <v>0.64</v>
      </c>
      <c r="Z693" t="inlineStr">
        <is>
          <t>HROP</t>
        </is>
      </c>
      <c r="AA693" t="inlineStr">
        <is>
          <t>PE</t>
        </is>
      </c>
      <c r="AB693" t="inlineStr">
        <is>
          <t>AW</t>
        </is>
      </c>
      <c r="AC693" t="inlineStr">
        <is>
          <t>22.23-0-2-ERW 1-PE</t>
        </is>
      </c>
      <c r="AD693" t="inlineStr">
        <is>
          <t>CTL</t>
        </is>
      </c>
      <c r="AE693" t="inlineStr">
        <is>
          <t>22.23-0-2-ERW 1-PE-0.64</t>
        </is>
      </c>
      <c r="AF693" t="n">
        <v>0.6382710656</v>
      </c>
    </row>
    <row r="694">
      <c r="A694" s="56" t="n">
        <v>3770391</v>
      </c>
      <c r="B694" s="56" t="inlineStr">
        <is>
          <t>TUB-O-C-AUT-AD-FC-25.40X2.500X6.0500</t>
        </is>
      </c>
      <c r="C694" s="56" t="inlineStr">
        <is>
          <t>4908K32472</t>
        </is>
      </c>
      <c r="D694" s="57" t="n">
        <v>9.010999999999999</v>
      </c>
      <c r="E694" s="58" t="n">
        <v>77</v>
      </c>
      <c r="F694" s="57" t="n">
        <v>0.077</v>
      </c>
      <c r="G694" s="56" t="inlineStr">
        <is>
          <t>KG</t>
        </is>
      </c>
      <c r="H694" s="56" t="inlineStr">
        <is>
          <t>R001</t>
        </is>
      </c>
      <c r="I694" s="56" t="inlineStr">
        <is>
          <t>0788</t>
        </is>
      </c>
      <c r="J694" s="56" t="inlineStr">
        <is>
          <t>9</t>
        </is>
      </c>
      <c r="K694" s="57" t="n">
        <v>54.517</v>
      </c>
      <c r="L694" s="56" t="inlineStr"/>
      <c r="M694" s="56" t="inlineStr">
        <is>
          <t>0</t>
        </is>
      </c>
      <c r="N694" s="56" t="inlineStr">
        <is>
          <t>Marathwada Auto Compo Pvt. Ltd.</t>
        </is>
      </c>
      <c r="O694" s="58" t="n">
        <v>49</v>
      </c>
      <c r="P694" s="59" t="inlineStr">
        <is>
          <t>31-60</t>
        </is>
      </c>
      <c r="Q694" s="56" t="inlineStr">
        <is>
          <t>Apoorv</t>
        </is>
      </c>
      <c r="U694" s="585" t="n">
        <v>1940454</v>
      </c>
      <c r="V694" t="n">
        <v>22.23</v>
      </c>
      <c r="W694" t="n">
        <v>0</v>
      </c>
      <c r="X694" t="n">
        <v>2</v>
      </c>
      <c r="Y694" t="n">
        <v>0.705</v>
      </c>
      <c r="Z694" t="inlineStr">
        <is>
          <t>GR1</t>
        </is>
      </c>
      <c r="AA694" t="inlineStr">
        <is>
          <t>PE</t>
        </is>
      </c>
      <c r="AB694" t="inlineStr">
        <is>
          <t>AW</t>
        </is>
      </c>
      <c r="AC694" t="inlineStr">
        <is>
          <t>22.23-0-2-ERW 1-PE</t>
        </is>
      </c>
      <c r="AD694" t="inlineStr">
        <is>
          <t>CTL</t>
        </is>
      </c>
      <c r="AE694" t="inlineStr">
        <is>
          <t>22.23-0-2-ERW 1-PE-0.705</t>
        </is>
      </c>
      <c r="AF694" t="n">
        <v>0.7030954707</v>
      </c>
    </row>
    <row r="695">
      <c r="A695" s="56" t="n">
        <v>3770391</v>
      </c>
      <c r="B695" s="56" t="inlineStr">
        <is>
          <t>TUB-O-C-AUT-AD-FC-25.40X2.500X6.0500</t>
        </is>
      </c>
      <c r="C695" s="56" t="inlineStr">
        <is>
          <t>4910K32586</t>
        </is>
      </c>
      <c r="D695" s="57" t="n">
        <v>40.96</v>
      </c>
      <c r="E695" s="58" t="n">
        <v>350</v>
      </c>
      <c r="F695" s="57" t="n">
        <v>0.35</v>
      </c>
      <c r="G695" s="56" t="inlineStr">
        <is>
          <t>KG</t>
        </is>
      </c>
      <c r="H695" s="56" t="inlineStr">
        <is>
          <t>R001</t>
        </is>
      </c>
      <c r="I695" s="56" t="inlineStr">
        <is>
          <t>0788</t>
        </is>
      </c>
      <c r="J695" s="56" t="inlineStr">
        <is>
          <t>41</t>
        </is>
      </c>
      <c r="K695" s="57" t="n">
        <v>247.805</v>
      </c>
      <c r="L695" s="56" t="inlineStr"/>
      <c r="M695" s="56" t="inlineStr">
        <is>
          <t>0</t>
        </is>
      </c>
      <c r="N695" s="56" t="inlineStr">
        <is>
          <t>Marathwada Auto Compo Pvt. Ltd.</t>
        </is>
      </c>
      <c r="O695" s="58" t="n">
        <v>49</v>
      </c>
      <c r="P695" s="59" t="inlineStr">
        <is>
          <t>31-60</t>
        </is>
      </c>
      <c r="Q695" s="56" t="inlineStr">
        <is>
          <t>Apoorv</t>
        </is>
      </c>
      <c r="U695" s="585" t="n">
        <v>3910020</v>
      </c>
      <c r="V695" t="n">
        <v>22.23</v>
      </c>
      <c r="W695" t="n">
        <v>0</v>
      </c>
      <c r="X695" t="n">
        <v>2</v>
      </c>
      <c r="Y695" t="n">
        <v>0.715</v>
      </c>
      <c r="Z695" t="inlineStr">
        <is>
          <t>NORMAL</t>
        </is>
      </c>
      <c r="AA695" t="inlineStr">
        <is>
          <t>FC</t>
        </is>
      </c>
      <c r="AB695" t="inlineStr">
        <is>
          <t>AW</t>
        </is>
      </c>
      <c r="AC695" t="inlineStr">
        <is>
          <t>22.23-0-2-ERW 1-FC</t>
        </is>
      </c>
      <c r="AD695" t="inlineStr">
        <is>
          <t>CTL</t>
        </is>
      </c>
      <c r="AE695" t="inlineStr">
        <is>
          <t>22.23-0-2-ERW 1-FC-0.715</t>
        </is>
      </c>
      <c r="AF695" t="n">
        <v>0.7130684561</v>
      </c>
    </row>
    <row r="696">
      <c r="A696" s="56" t="n">
        <v>3770391</v>
      </c>
      <c r="B696" s="56" t="inlineStr">
        <is>
          <t>TUB-O-C-AUT-AD-FC-25.40X2.500X6.0500</t>
        </is>
      </c>
      <c r="C696" s="56" t="inlineStr">
        <is>
          <t>4C11K39472</t>
        </is>
      </c>
      <c r="D696" s="57" t="n">
        <v>186.893</v>
      </c>
      <c r="E696" s="58" t="n">
        <v>1597</v>
      </c>
      <c r="F696" s="57" t="n">
        <v>1.597</v>
      </c>
      <c r="G696" s="56" t="inlineStr">
        <is>
          <t>KG</t>
        </is>
      </c>
      <c r="H696" s="56" t="inlineStr">
        <is>
          <t>R001</t>
        </is>
      </c>
      <c r="I696" s="56" t="inlineStr">
        <is>
          <t>0788</t>
        </is>
      </c>
      <c r="J696" s="56" t="inlineStr">
        <is>
          <t>187</t>
        </is>
      </c>
      <c r="K696" s="57" t="n">
        <v>1130.7</v>
      </c>
      <c r="L696" s="56" t="inlineStr"/>
      <c r="M696" s="56" t="inlineStr">
        <is>
          <t>0</t>
        </is>
      </c>
      <c r="N696" s="56" t="inlineStr">
        <is>
          <t>Marathwada Auto Compo Pvt. Ltd.</t>
        </is>
      </c>
      <c r="O696" s="58" t="n">
        <v>33</v>
      </c>
      <c r="P696" s="59" t="inlineStr">
        <is>
          <t>31-60</t>
        </is>
      </c>
      <c r="Q696" s="56" t="inlineStr">
        <is>
          <t>Apoorv</t>
        </is>
      </c>
      <c r="U696" s="585" t="n">
        <v>4267147</v>
      </c>
      <c r="V696" t="n">
        <v>22.23</v>
      </c>
      <c r="W696" t="n">
        <v>0</v>
      </c>
      <c r="X696" t="n">
        <v>2</v>
      </c>
      <c r="Y696" t="n">
        <v>0.738</v>
      </c>
      <c r="Z696" t="inlineStr">
        <is>
          <t>TPT</t>
        </is>
      </c>
      <c r="AA696" t="inlineStr">
        <is>
          <t>FC</t>
        </is>
      </c>
      <c r="AB696" t="inlineStr">
        <is>
          <t>AW</t>
        </is>
      </c>
      <c r="AC696" t="inlineStr">
        <is>
          <t>22.23-0-2-ERW 1-FC</t>
        </is>
      </c>
      <c r="AD696" t="inlineStr">
        <is>
          <t>CTL</t>
        </is>
      </c>
      <c r="AE696" t="inlineStr">
        <is>
          <t>22.23-0-2-ERW 1-FC-0.738</t>
        </is>
      </c>
      <c r="AF696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697">
      <c r="A697" s="56" t="n">
        <v>3770391</v>
      </c>
      <c r="B697" s="56" t="inlineStr">
        <is>
          <t>TUB-O-C-AUT-AD-FC-25.40X2.500X6.0500</t>
        </is>
      </c>
      <c r="C697" s="56" t="inlineStr">
        <is>
          <t>4C12K39639</t>
        </is>
      </c>
      <c r="D697" s="57" t="n">
        <v>100.878</v>
      </c>
      <c r="E697" s="58" t="n">
        <v>862</v>
      </c>
      <c r="F697" s="57" t="n">
        <v>0.862</v>
      </c>
      <c r="G697" s="56" t="inlineStr">
        <is>
          <t>KG</t>
        </is>
      </c>
      <c r="H697" s="56" t="inlineStr">
        <is>
          <t>R001</t>
        </is>
      </c>
      <c r="I697" s="56" t="inlineStr">
        <is>
          <t>0788</t>
        </is>
      </c>
      <c r="J697" s="56" t="inlineStr">
        <is>
          <t>101</t>
        </is>
      </c>
      <c r="K697" s="57" t="n">
        <v>610.309</v>
      </c>
      <c r="L697" s="56" t="inlineStr"/>
      <c r="M697" s="56" t="inlineStr">
        <is>
          <t>0</t>
        </is>
      </c>
      <c r="N697" s="56" t="inlineStr">
        <is>
          <t>Marathwada Auto Compo Pvt. Ltd.</t>
        </is>
      </c>
      <c r="O697" s="58" t="n">
        <v>32</v>
      </c>
      <c r="P697" s="59" t="inlineStr">
        <is>
          <t>31-60</t>
        </is>
      </c>
      <c r="Q697" s="56" t="inlineStr">
        <is>
          <t>Apoorv</t>
        </is>
      </c>
      <c r="U697" s="585" t="n">
        <v>1940458</v>
      </c>
      <c r="V697" t="n">
        <v>22.23</v>
      </c>
      <c r="W697" t="n">
        <v>0</v>
      </c>
      <c r="X697" t="n">
        <v>2</v>
      </c>
      <c r="Y697" t="n">
        <v>0.739</v>
      </c>
      <c r="Z697" t="inlineStr">
        <is>
          <t>GR1</t>
        </is>
      </c>
      <c r="AA697" t="inlineStr">
        <is>
          <t>PE</t>
        </is>
      </c>
      <c r="AB697" t="inlineStr">
        <is>
          <t>AW</t>
        </is>
      </c>
      <c r="AC697" t="inlineStr">
        <is>
          <t>22.23-0-2-ERW 1-FC</t>
        </is>
      </c>
      <c r="AD697" t="inlineStr">
        <is>
          <t>CTL</t>
        </is>
      </c>
      <c r="AE697" t="inlineStr">
        <is>
          <t>22.23-0-2-ERW 1-FC-0.739</t>
        </is>
      </c>
      <c r="AF697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698">
      <c r="A698" s="56" t="n">
        <v>3770392</v>
      </c>
      <c r="B698" s="56" t="inlineStr">
        <is>
          <t>TUB-O-C-AUT-AD-FC-25.40X3.500X5.6000</t>
        </is>
      </c>
      <c r="C698" s="56" t="inlineStr">
        <is>
          <t>4808K29789</t>
        </is>
      </c>
      <c r="D698" s="57" t="n">
        <v>36.925</v>
      </c>
      <c r="E698" s="58" t="n">
        <v>391</v>
      </c>
      <c r="F698" s="57" t="n">
        <v>0.391</v>
      </c>
      <c r="G698" s="56" t="inlineStr">
        <is>
          <t>KG</t>
        </is>
      </c>
      <c r="H698" s="56" t="inlineStr">
        <is>
          <t>R001</t>
        </is>
      </c>
      <c r="I698" s="56" t="inlineStr">
        <is>
          <t>0788</t>
        </is>
      </c>
      <c r="J698" s="56" t="inlineStr">
        <is>
          <t>37</t>
        </is>
      </c>
      <c r="K698" s="57" t="n">
        <v>206.769</v>
      </c>
      <c r="L698" s="56" t="inlineStr"/>
      <c r="M698" s="56" t="inlineStr">
        <is>
          <t>0</t>
        </is>
      </c>
      <c r="N698" s="56" t="inlineStr">
        <is>
          <t>Narasipur Auto Component(P)Ltd</t>
        </is>
      </c>
      <c r="O698" s="58" t="n">
        <v>151</v>
      </c>
      <c r="P698" s="59" t="inlineStr">
        <is>
          <t>ABOVE 90</t>
        </is>
      </c>
      <c r="Q698" s="56" t="inlineStr">
        <is>
          <t>Jitendra Kumar Sharma</t>
        </is>
      </c>
      <c r="U698" s="585" t="n">
        <v>2422186</v>
      </c>
      <c r="V698" t="n">
        <v>22.23</v>
      </c>
      <c r="W698" t="n">
        <v>0</v>
      </c>
      <c r="X698" t="n">
        <v>2</v>
      </c>
      <c r="Y698" t="n">
        <v>0.775</v>
      </c>
      <c r="Z698" t="inlineStr">
        <is>
          <t>WG</t>
        </is>
      </c>
      <c r="AA698" t="inlineStr">
        <is>
          <t>PE</t>
        </is>
      </c>
      <c r="AB698" t="inlineStr">
        <is>
          <t>AW</t>
        </is>
      </c>
      <c r="AC698" t="inlineStr">
        <is>
          <t>22.23-0-2-ERW 1-PE</t>
        </is>
      </c>
      <c r="AD698" t="inlineStr">
        <is>
          <t>CTL</t>
        </is>
      </c>
      <c r="AE698" t="inlineStr">
        <is>
          <t>22.23-0-2-ERW 1-PE-0.775</t>
        </is>
      </c>
      <c r="AF698" t="n">
        <v>0.7729063685000001</v>
      </c>
    </row>
    <row r="699">
      <c r="A699" s="56" t="n">
        <v>3770394</v>
      </c>
      <c r="B699" s="56" t="inlineStr">
        <is>
          <t>TUB-O-C-AUT-AD-FC-29.40X4.500X5.5500</t>
        </is>
      </c>
      <c r="C699" s="56" t="inlineStr">
        <is>
          <t>4A04CK3010</t>
        </is>
      </c>
      <c r="D699" s="57" t="n">
        <v>76.913</v>
      </c>
      <c r="E699" s="58" t="n">
        <v>1180</v>
      </c>
      <c r="F699" s="57" t="n">
        <v>1.18</v>
      </c>
      <c r="G699" s="56" t="inlineStr">
        <is>
          <t>KG</t>
        </is>
      </c>
      <c r="H699" s="56" t="inlineStr">
        <is>
          <t>R001</t>
        </is>
      </c>
      <c r="I699" s="56" t="inlineStr">
        <is>
          <t>0788</t>
        </is>
      </c>
      <c r="J699" s="56" t="inlineStr">
        <is>
          <t>77</t>
        </is>
      </c>
      <c r="K699" s="57" t="n">
        <v>426.871</v>
      </c>
      <c r="L699" s="56" t="inlineStr"/>
      <c r="M699" s="56" t="inlineStr">
        <is>
          <t>0</t>
        </is>
      </c>
      <c r="N699" s="56" t="inlineStr">
        <is>
          <t>Kay Jay Forgings Pvt Ltd Unit Vi</t>
        </is>
      </c>
      <c r="O699" s="58" t="n">
        <v>2</v>
      </c>
      <c r="P699" s="59" t="inlineStr">
        <is>
          <t>0-30</t>
        </is>
      </c>
      <c r="Q699" s="56" t="inlineStr">
        <is>
          <t>Jitendra Kumar Sharma</t>
        </is>
      </c>
      <c r="U699" s="585" t="n">
        <v>1940464</v>
      </c>
      <c r="V699" t="n">
        <v>22.23</v>
      </c>
      <c r="W699" t="n">
        <v>0</v>
      </c>
      <c r="X699" t="n">
        <v>2</v>
      </c>
      <c r="Y699" t="n">
        <v>0.775</v>
      </c>
      <c r="Z699" t="inlineStr">
        <is>
          <t>ST52AL</t>
        </is>
      </c>
      <c r="AA699" t="inlineStr">
        <is>
          <t>CH</t>
        </is>
      </c>
      <c r="AB699" t="inlineStr">
        <is>
          <t>AW</t>
        </is>
      </c>
      <c r="AC699" t="inlineStr">
        <is>
          <t>22.23-0-2-ERW 2 MAHS-PE</t>
        </is>
      </c>
      <c r="AD699" t="inlineStr">
        <is>
          <t>CTL</t>
        </is>
      </c>
      <c r="AE699" t="inlineStr">
        <is>
          <t>22.23-0-2-ERW 2 MAHS-PE-0.775</t>
        </is>
      </c>
      <c r="AF699" t="n">
        <v>0.7729063685000001</v>
      </c>
    </row>
    <row r="700">
      <c r="A700" s="56" t="n">
        <v>3770394</v>
      </c>
      <c r="B700" s="56" t="inlineStr">
        <is>
          <t>TUB-O-C-AUT-AD-FC-29.40X4.500X5.5500</t>
        </is>
      </c>
      <c r="C700" s="56" t="inlineStr">
        <is>
          <t>4A25K36287</t>
        </is>
      </c>
      <c r="D700" s="57" t="n">
        <v>9.973000000000001</v>
      </c>
      <c r="E700" s="58" t="n">
        <v>153</v>
      </c>
      <c r="F700" s="57" t="n">
        <v>0.153</v>
      </c>
      <c r="G700" s="56" t="inlineStr">
        <is>
          <t>KG</t>
        </is>
      </c>
      <c r="H700" s="56" t="inlineStr">
        <is>
          <t>R001</t>
        </is>
      </c>
      <c r="I700" s="56" t="inlineStr">
        <is>
          <t>0788</t>
        </is>
      </c>
      <c r="J700" s="56" t="inlineStr">
        <is>
          <t>10</t>
        </is>
      </c>
      <c r="K700" s="57" t="n">
        <v>55.349</v>
      </c>
      <c r="L700" s="56" t="inlineStr"/>
      <c r="M700" s="56" t="inlineStr">
        <is>
          <t>0</t>
        </is>
      </c>
      <c r="N700" s="56" t="inlineStr">
        <is>
          <t>Kay Jay Forgings Pvt Ltd Unit Vi</t>
        </is>
      </c>
      <c r="O700" s="58" t="n">
        <v>49</v>
      </c>
      <c r="P700" s="59" t="inlineStr">
        <is>
          <t>31-60</t>
        </is>
      </c>
      <c r="Q700" s="56" t="inlineStr">
        <is>
          <t>Jitendra Kumar Sharma</t>
        </is>
      </c>
      <c r="U700" s="585" t="n">
        <v>1940466</v>
      </c>
      <c r="V700" t="n">
        <v>22.23</v>
      </c>
      <c r="W700" t="n">
        <v>0</v>
      </c>
      <c r="X700" t="n">
        <v>2</v>
      </c>
      <c r="Y700" t="n">
        <v>0.8090000000000001</v>
      </c>
      <c r="Z700" t="inlineStr">
        <is>
          <t>GR1</t>
        </is>
      </c>
      <c r="AA700" t="inlineStr">
        <is>
          <t>PE</t>
        </is>
      </c>
      <c r="AB700" t="inlineStr">
        <is>
          <t>AW</t>
        </is>
      </c>
      <c r="AC700" t="inlineStr">
        <is>
          <t>22.23-0-2-ERW 1-PE</t>
        </is>
      </c>
      <c r="AD700" t="inlineStr">
        <is>
          <t>CTL</t>
        </is>
      </c>
      <c r="AE700" t="inlineStr">
        <is>
          <t>22.23-0-2-ERW 1-PE-0.809</t>
        </is>
      </c>
      <c r="AF700" t="n">
        <v>0.8068145188600001</v>
      </c>
    </row>
    <row r="701">
      <c r="A701" s="56" t="n">
        <v>3770394</v>
      </c>
      <c r="B701" s="56" t="inlineStr">
        <is>
          <t>TUB-O-C-AUT-AD-FC-29.40X4.500X5.5500</t>
        </is>
      </c>
      <c r="C701" s="56" t="inlineStr">
        <is>
          <t>4B20BK3030</t>
        </is>
      </c>
      <c r="D701" s="57" t="n">
        <v>96.923</v>
      </c>
      <c r="E701" s="58" t="n">
        <v>1487</v>
      </c>
      <c r="F701" s="57" t="n">
        <v>1.487</v>
      </c>
      <c r="G701" s="56" t="inlineStr">
        <is>
          <t>KG</t>
        </is>
      </c>
      <c r="H701" s="56" t="inlineStr">
        <is>
          <t>R001</t>
        </is>
      </c>
      <c r="I701" s="56" t="inlineStr">
        <is>
          <t>0788</t>
        </is>
      </c>
      <c r="J701" s="56" t="inlineStr">
        <is>
          <t>97</t>
        </is>
      </c>
      <c r="K701" s="57" t="n">
        <v>537.9299999999999</v>
      </c>
      <c r="L701" s="56" t="inlineStr"/>
      <c r="M701" s="56" t="inlineStr">
        <is>
          <t>0</t>
        </is>
      </c>
      <c r="N701" s="56" t="inlineStr">
        <is>
          <t>Kay Jay Forgings Pvt Ltd Unit Vi</t>
        </is>
      </c>
      <c r="O701" s="58" t="n">
        <v>2</v>
      </c>
      <c r="P701" s="59" t="inlineStr">
        <is>
          <t>0-30</t>
        </is>
      </c>
      <c r="Q701" s="56" t="inlineStr">
        <is>
          <t>Jitendra Kumar Sharma</t>
        </is>
      </c>
      <c r="U701" s="585" t="n">
        <v>1940467</v>
      </c>
      <c r="V701" t="n">
        <v>22.23</v>
      </c>
      <c r="W701" t="n">
        <v>0</v>
      </c>
      <c r="X701" t="n">
        <v>2</v>
      </c>
      <c r="Y701" t="n">
        <v>0.8120000000000001</v>
      </c>
      <c r="Z701" t="inlineStr">
        <is>
          <t>ST52AL</t>
        </is>
      </c>
      <c r="AA701" t="inlineStr">
        <is>
          <t>PE</t>
        </is>
      </c>
      <c r="AB701" t="inlineStr">
        <is>
          <t>AW</t>
        </is>
      </c>
      <c r="AC701" t="inlineStr">
        <is>
          <t>22.23-0-2-ERW 2 MAHS-PE</t>
        </is>
      </c>
      <c r="AD701" t="inlineStr">
        <is>
          <t>CTL</t>
        </is>
      </c>
      <c r="AE701" t="inlineStr">
        <is>
          <t>22.23-0-2-ERW 2 MAHS-PE-0.812</t>
        </is>
      </c>
      <c r="AF701" t="n">
        <v>0.8098064144800001</v>
      </c>
    </row>
    <row r="702">
      <c r="A702" s="56" t="n">
        <v>3770398</v>
      </c>
      <c r="B702" s="56" t="inlineStr">
        <is>
          <t>TUB-I-C-AUT-AD-FC-25.50X2.250X5.9500</t>
        </is>
      </c>
      <c r="C702" s="56" t="inlineStr">
        <is>
          <t>4A26K36453</t>
        </is>
      </c>
      <c r="D702" s="57" t="n">
        <v>98.96599999999999</v>
      </c>
      <c r="E702" s="58" t="n">
        <v>907</v>
      </c>
      <c r="F702" s="57" t="n">
        <v>0.907</v>
      </c>
      <c r="G702" s="56" t="inlineStr">
        <is>
          <t>KG</t>
        </is>
      </c>
      <c r="H702" s="56" t="inlineStr">
        <is>
          <t>R001</t>
        </is>
      </c>
      <c r="I702" s="56" t="inlineStr">
        <is>
          <t>0788</t>
        </is>
      </c>
      <c r="J702" s="56" t="inlineStr">
        <is>
          <t>99</t>
        </is>
      </c>
      <c r="K702" s="57" t="n">
        <v>588.846</v>
      </c>
      <c r="L702" s="56" t="inlineStr"/>
      <c r="M702" s="56" t="inlineStr">
        <is>
          <t>0</t>
        </is>
      </c>
      <c r="N702" s="56" t="inlineStr">
        <is>
          <t>Marathwada Auto Compo Pvt. Ltd.</t>
        </is>
      </c>
      <c r="O702" s="58" t="n">
        <v>79</v>
      </c>
      <c r="P702" s="59" t="inlineStr">
        <is>
          <t>61-90</t>
        </is>
      </c>
      <c r="Q702" s="56" t="inlineStr">
        <is>
          <t>Apoorv</t>
        </is>
      </c>
      <c r="U702" s="585" t="n">
        <v>2413708</v>
      </c>
      <c r="V702" t="n">
        <v>22.23</v>
      </c>
      <c r="W702" t="n">
        <v>0</v>
      </c>
      <c r="X702" t="n">
        <v>2</v>
      </c>
      <c r="Y702" t="n">
        <v>0.8149999999999999</v>
      </c>
      <c r="Z702" t="inlineStr">
        <is>
          <t>HROP</t>
        </is>
      </c>
      <c r="AA702" t="inlineStr">
        <is>
          <t>PE</t>
        </is>
      </c>
      <c r="AB702" t="inlineStr">
        <is>
          <t>AW</t>
        </is>
      </c>
      <c r="AC702" t="inlineStr">
        <is>
          <t>22.23-0-2-ERW 1-PE</t>
        </is>
      </c>
      <c r="AD702" t="inlineStr">
        <is>
          <t>CTL</t>
        </is>
      </c>
      <c r="AE702" t="inlineStr">
        <is>
          <t>22.23-0-2-ERW 1-PE-0.815</t>
        </is>
      </c>
      <c r="AF702" t="n">
        <v>0.8127983101</v>
      </c>
    </row>
    <row r="703">
      <c r="A703" s="56" t="n">
        <v>3770398</v>
      </c>
      <c r="B703" s="56" t="inlineStr">
        <is>
          <t>TUB-I-C-AUT-AD-FC-25.50X2.250X5.9500</t>
        </is>
      </c>
      <c r="C703" s="56" t="inlineStr">
        <is>
          <t>4B10CK2040</t>
        </is>
      </c>
      <c r="D703" s="57" t="n">
        <v>185.82</v>
      </c>
      <c r="E703" s="58" t="n">
        <v>1703</v>
      </c>
      <c r="F703" s="57" t="n">
        <v>1.703</v>
      </c>
      <c r="G703" s="56" t="inlineStr">
        <is>
          <t>KG</t>
        </is>
      </c>
      <c r="H703" s="56" t="inlineStr">
        <is>
          <t>R001</t>
        </is>
      </c>
      <c r="I703" s="56" t="inlineStr">
        <is>
          <t>0788</t>
        </is>
      </c>
      <c r="J703" s="56" t="inlineStr">
        <is>
          <t>186</t>
        </is>
      </c>
      <c r="K703" s="57" t="n">
        <v>1105.629</v>
      </c>
      <c r="L703" s="56" t="inlineStr"/>
      <c r="M703" s="56" t="inlineStr">
        <is>
          <t>0</t>
        </is>
      </c>
      <c r="N703" s="56" t="inlineStr">
        <is>
          <t>Marathwada Auto Compo Pvt. Ltd.</t>
        </is>
      </c>
      <c r="O703" s="58" t="n">
        <v>56</v>
      </c>
      <c r="P703" s="59" t="inlineStr">
        <is>
          <t>31-60</t>
        </is>
      </c>
      <c r="Q703" s="56" t="inlineStr">
        <is>
          <t>Apoorv</t>
        </is>
      </c>
      <c r="U703" s="585" t="n">
        <v>3915667</v>
      </c>
      <c r="V703" t="n">
        <v>22.23</v>
      </c>
      <c r="W703" t="n">
        <v>0</v>
      </c>
      <c r="X703" t="n">
        <v>2</v>
      </c>
      <c r="Y703" t="n">
        <v>0.827</v>
      </c>
      <c r="Z703" t="inlineStr">
        <is>
          <t>ST52AL</t>
        </is>
      </c>
      <c r="AA703" t="inlineStr">
        <is>
          <t>CH</t>
        </is>
      </c>
      <c r="AB703" t="inlineStr">
        <is>
          <t>AW</t>
        </is>
      </c>
      <c r="AC703" t="inlineStr">
        <is>
          <t>22.23-0-2-ERW 2 MAHS-PE</t>
        </is>
      </c>
      <c r="AD703" t="inlineStr">
        <is>
          <t>CTL</t>
        </is>
      </c>
      <c r="AE703" t="inlineStr">
        <is>
          <t>22.23-0-2-ERW 2 MAHS-PE-0.827</t>
        </is>
      </c>
      <c r="AF703" t="n">
        <v>0.82476589258</v>
      </c>
    </row>
    <row r="704">
      <c r="A704" s="56" t="n">
        <v>3770398</v>
      </c>
      <c r="B704" s="56" t="inlineStr">
        <is>
          <t>TUB-I-C-AUT-AD-FC-25.50X2.250X5.9500</t>
        </is>
      </c>
      <c r="C704" s="56" t="inlineStr">
        <is>
          <t>4B10CK2140</t>
        </is>
      </c>
      <c r="D704" s="57" t="n">
        <v>205.787</v>
      </c>
      <c r="E704" s="58" t="n">
        <v>1886</v>
      </c>
      <c r="F704" s="57" t="n">
        <v>1.886</v>
      </c>
      <c r="G704" s="56" t="inlineStr">
        <is>
          <t>KG</t>
        </is>
      </c>
      <c r="H704" s="56" t="inlineStr">
        <is>
          <t>R001</t>
        </is>
      </c>
      <c r="I704" s="56" t="inlineStr">
        <is>
          <t>0788</t>
        </is>
      </c>
      <c r="J704" s="56" t="inlineStr">
        <is>
          <t>206</t>
        </is>
      </c>
      <c r="K704" s="57" t="n">
        <v>1224.437</v>
      </c>
      <c r="L704" s="56" t="inlineStr"/>
      <c r="M704" s="56" t="inlineStr">
        <is>
          <t>0</t>
        </is>
      </c>
      <c r="N704" s="56" t="inlineStr">
        <is>
          <t>Marathwada Auto Compo Pvt. Ltd.</t>
        </is>
      </c>
      <c r="O704" s="58" t="n">
        <v>59</v>
      </c>
      <c r="P704" s="59" t="inlineStr">
        <is>
          <t>31-60</t>
        </is>
      </c>
      <c r="Q704" s="56" t="inlineStr">
        <is>
          <t>Apoorv</t>
        </is>
      </c>
      <c r="U704" t="n">
        <v>3943202</v>
      </c>
      <c r="V704" t="n">
        <v>22.23</v>
      </c>
      <c r="W704" t="n">
        <v>0</v>
      </c>
      <c r="X704" t="n">
        <v>2</v>
      </c>
      <c r="Y704" s="43" t="n">
        <v>0.84</v>
      </c>
      <c r="Z704" t="inlineStr">
        <is>
          <t>ST52AL</t>
        </is>
      </c>
      <c r="AA704" t="inlineStr">
        <is>
          <t>FC</t>
        </is>
      </c>
      <c r="AB704" t="inlineStr">
        <is>
          <t>AW</t>
        </is>
      </c>
      <c r="AC704" t="inlineStr">
        <is>
          <t>22.23-0-2-ERW 2 MAHS-FC</t>
        </is>
      </c>
      <c r="AD704" t="inlineStr">
        <is>
          <t>CTL</t>
        </is>
      </c>
      <c r="AE704" t="inlineStr">
        <is>
          <t>22.23-0-2-ERW 2 MAHS-FC-0.84</t>
        </is>
      </c>
      <c r="AF704" t="n">
        <v>0.8377307736</v>
      </c>
    </row>
    <row r="705">
      <c r="A705" s="56" t="n">
        <v>3770398</v>
      </c>
      <c r="B705" s="56" t="inlineStr">
        <is>
          <t>TUB-I-C-AUT-AD-FC-25.50X2.250X5.9500</t>
        </is>
      </c>
      <c r="C705" s="56" t="inlineStr">
        <is>
          <t>4B10CK2150</t>
        </is>
      </c>
      <c r="D705" s="57" t="n">
        <v>219.863</v>
      </c>
      <c r="E705" s="58" t="n">
        <v>2015</v>
      </c>
      <c r="F705" s="57" t="n">
        <v>2.015</v>
      </c>
      <c r="G705" s="56" t="inlineStr">
        <is>
          <t>KG</t>
        </is>
      </c>
      <c r="H705" s="56" t="inlineStr">
        <is>
          <t>R001</t>
        </is>
      </c>
      <c r="I705" s="56" t="inlineStr">
        <is>
          <t>0788</t>
        </is>
      </c>
      <c r="J705" s="56" t="inlineStr">
        <is>
          <t>220</t>
        </is>
      </c>
      <c r="K705" s="57" t="n">
        <v>1308.187</v>
      </c>
      <c r="L705" s="56" t="inlineStr"/>
      <c r="M705" s="56" t="inlineStr">
        <is>
          <t>0</t>
        </is>
      </c>
      <c r="N705" s="56" t="inlineStr">
        <is>
          <t>Marathwada Auto Compo Pvt. Ltd.</t>
        </is>
      </c>
      <c r="O705" s="58" t="n">
        <v>60</v>
      </c>
      <c r="P705" s="59" t="inlineStr">
        <is>
          <t>31-60</t>
        </is>
      </c>
      <c r="Q705" s="56" t="inlineStr">
        <is>
          <t>Apoorv</t>
        </is>
      </c>
      <c r="U705" s="585" t="n">
        <v>1940470</v>
      </c>
      <c r="V705" t="n">
        <v>22.23</v>
      </c>
      <c r="W705" t="n">
        <v>0</v>
      </c>
      <c r="X705" t="n">
        <v>2</v>
      </c>
      <c r="Y705" t="n">
        <v>0.851</v>
      </c>
      <c r="Z705" t="inlineStr">
        <is>
          <t>GR1</t>
        </is>
      </c>
      <c r="AA705" t="inlineStr">
        <is>
          <t>PE</t>
        </is>
      </c>
      <c r="AB705" t="inlineStr">
        <is>
          <t>AW</t>
        </is>
      </c>
      <c r="AC705" t="inlineStr">
        <is>
          <t>22.23-0-2-ERW 1-PE</t>
        </is>
      </c>
      <c r="AD705" t="inlineStr">
        <is>
          <t>CTL</t>
        </is>
      </c>
      <c r="AE705" t="inlineStr">
        <is>
          <t>22.23-0-2-ERW 1-PE-0.851</t>
        </is>
      </c>
      <c r="AF705" t="n">
        <v>0.84870105754</v>
      </c>
    </row>
    <row r="706">
      <c r="A706" s="56" t="n">
        <v>3770398</v>
      </c>
      <c r="B706" s="56" t="inlineStr">
        <is>
          <t>TUB-I-C-AUT-AD-FC-25.50X2.250X5.9500</t>
        </is>
      </c>
      <c r="C706" s="56" t="inlineStr">
        <is>
          <t>4B10CK2160</t>
        </is>
      </c>
      <c r="D706" s="57" t="n">
        <v>208.843</v>
      </c>
      <c r="E706" s="58" t="n">
        <v>1914</v>
      </c>
      <c r="F706" s="57" t="n">
        <v>1.914</v>
      </c>
      <c r="G706" s="56" t="inlineStr">
        <is>
          <t>KG</t>
        </is>
      </c>
      <c r="H706" s="56" t="inlineStr">
        <is>
          <t>R001</t>
        </is>
      </c>
      <c r="I706" s="56" t="inlineStr">
        <is>
          <t>0788</t>
        </is>
      </c>
      <c r="J706" s="56" t="inlineStr">
        <is>
          <t>209</t>
        </is>
      </c>
      <c r="K706" s="57" t="n">
        <v>1242.615</v>
      </c>
      <c r="L706" s="56" t="inlineStr"/>
      <c r="M706" s="56" t="inlineStr">
        <is>
          <t>0</t>
        </is>
      </c>
      <c r="N706" s="56" t="inlineStr">
        <is>
          <t>Marathwada Auto Compo Pvt. Ltd.</t>
        </is>
      </c>
      <c r="O706" s="58" t="n">
        <v>60</v>
      </c>
      <c r="P706" s="59" t="inlineStr">
        <is>
          <t>31-60</t>
        </is>
      </c>
      <c r="Q706" s="56" t="inlineStr">
        <is>
          <t>Apoorv</t>
        </is>
      </c>
      <c r="U706" s="585" t="n">
        <v>3910650</v>
      </c>
      <c r="V706" t="n">
        <v>22.23</v>
      </c>
      <c r="W706" t="n">
        <v>0</v>
      </c>
      <c r="X706" t="n">
        <v>2</v>
      </c>
      <c r="Y706" t="n">
        <v>0.855</v>
      </c>
      <c r="Z706" t="inlineStr">
        <is>
          <t>WG</t>
        </is>
      </c>
      <c r="AA706" t="inlineStr">
        <is>
          <t>FC</t>
        </is>
      </c>
      <c r="AB706" t="inlineStr">
        <is>
          <t>AS</t>
        </is>
      </c>
      <c r="AC706" t="inlineStr">
        <is>
          <t>22.23-0-2-ERW 2-FC</t>
        </is>
      </c>
      <c r="AD706" t="inlineStr">
        <is>
          <t>CTL</t>
        </is>
      </c>
      <c r="AE706" t="inlineStr">
        <is>
          <t>22.23-0-2-ERW 2-FC-0.855</t>
        </is>
      </c>
      <c r="AF706" t="n">
        <v>0.8526902517</v>
      </c>
    </row>
    <row r="707">
      <c r="A707" s="56" t="n">
        <v>3770398</v>
      </c>
      <c r="B707" s="56" t="inlineStr">
        <is>
          <t>TUB-I-C-AUT-AD-FC-25.50X2.250X5.9500</t>
        </is>
      </c>
      <c r="C707" s="56" t="inlineStr">
        <is>
          <t>4B11AK2060</t>
        </is>
      </c>
      <c r="D707" s="57" t="n">
        <v>207.861</v>
      </c>
      <c r="E707" s="58" t="n">
        <v>1905</v>
      </c>
      <c r="F707" s="57" t="n">
        <v>1.905</v>
      </c>
      <c r="G707" s="56" t="inlineStr">
        <is>
          <t>KG</t>
        </is>
      </c>
      <c r="H707" s="56" t="inlineStr">
        <is>
          <t>R001</t>
        </is>
      </c>
      <c r="I707" s="56" t="inlineStr">
        <is>
          <t>0788</t>
        </is>
      </c>
      <c r="J707" s="56" t="inlineStr">
        <is>
          <t>208</t>
        </is>
      </c>
      <c r="K707" s="57" t="n">
        <v>1236.772</v>
      </c>
      <c r="L707" s="56" t="inlineStr"/>
      <c r="M707" s="56" t="inlineStr">
        <is>
          <t>0</t>
        </is>
      </c>
      <c r="N707" s="56" t="inlineStr">
        <is>
          <t>Marathwada Auto Compo Pvt. Ltd.</t>
        </is>
      </c>
      <c r="O707" s="58" t="n">
        <v>60</v>
      </c>
      <c r="P707" s="59" t="inlineStr">
        <is>
          <t>31-60</t>
        </is>
      </c>
      <c r="Q707" s="56" t="inlineStr">
        <is>
          <t>Apoorv</t>
        </is>
      </c>
      <c r="U707" t="n">
        <v>3943203</v>
      </c>
      <c r="V707" t="n">
        <v>22.23</v>
      </c>
      <c r="W707" t="n">
        <v>0</v>
      </c>
      <c r="X707" t="n">
        <v>2</v>
      </c>
      <c r="Y707" s="43" t="n">
        <v>0.855</v>
      </c>
      <c r="Z707" t="inlineStr">
        <is>
          <t>ST52AL</t>
        </is>
      </c>
      <c r="AA707" t="inlineStr">
        <is>
          <t>FC</t>
        </is>
      </c>
      <c r="AB707" t="inlineStr">
        <is>
          <t>AW</t>
        </is>
      </c>
      <c r="AC707" t="inlineStr">
        <is>
          <t>22.23-0-2-ERW 2 MAHS-FC</t>
        </is>
      </c>
      <c r="AD707" t="inlineStr">
        <is>
          <t>CTL</t>
        </is>
      </c>
      <c r="AE707" t="inlineStr">
        <is>
          <t>22.23-0-2-ERW 2 MAHS-FC-0.855</t>
        </is>
      </c>
      <c r="AF707" t="n">
        <v>0.8526902517</v>
      </c>
    </row>
    <row r="708">
      <c r="A708" s="56" t="n">
        <v>3770398</v>
      </c>
      <c r="B708" s="56" t="inlineStr">
        <is>
          <t>TUB-I-C-AUT-AD-FC-25.50X2.250X5.9500</t>
        </is>
      </c>
      <c r="C708" s="56" t="inlineStr">
        <is>
          <t>4B11AK2070</t>
        </is>
      </c>
      <c r="D708" s="57" t="n">
        <v>194.876</v>
      </c>
      <c r="E708" s="58" t="n">
        <v>1786</v>
      </c>
      <c r="F708" s="57" t="n">
        <v>1.786</v>
      </c>
      <c r="G708" s="56" t="inlineStr">
        <is>
          <t>KG</t>
        </is>
      </c>
      <c r="H708" s="56" t="inlineStr">
        <is>
          <t>R001</t>
        </is>
      </c>
      <c r="I708" s="56" t="inlineStr">
        <is>
          <t>0788</t>
        </is>
      </c>
      <c r="J708" s="56" t="inlineStr">
        <is>
          <t>195</t>
        </is>
      </c>
      <c r="K708" s="57" t="n">
        <v>1159.514</v>
      </c>
      <c r="L708" s="56" t="inlineStr"/>
      <c r="M708" s="56" t="inlineStr">
        <is>
          <t>0</t>
        </is>
      </c>
      <c r="N708" s="56" t="inlineStr">
        <is>
          <t>Marathwada Auto Compo Pvt. Ltd.</t>
        </is>
      </c>
      <c r="O708" s="58" t="n">
        <v>48</v>
      </c>
      <c r="P708" s="59" t="inlineStr">
        <is>
          <t>31-60</t>
        </is>
      </c>
      <c r="Q708" s="56" t="inlineStr">
        <is>
          <t>Apoorv</t>
        </is>
      </c>
      <c r="U708" s="585" t="n">
        <v>1940472</v>
      </c>
      <c r="V708" t="n">
        <v>22.23</v>
      </c>
      <c r="W708" t="n">
        <v>0</v>
      </c>
      <c r="X708" t="n">
        <v>2</v>
      </c>
      <c r="Y708" t="n">
        <v>0.862</v>
      </c>
      <c r="Z708" t="inlineStr">
        <is>
          <t>GR1</t>
        </is>
      </c>
      <c r="AA708" t="inlineStr">
        <is>
          <t>PE</t>
        </is>
      </c>
      <c r="AB708" t="inlineStr">
        <is>
          <t>AW</t>
        </is>
      </c>
      <c r="AC708" t="inlineStr">
        <is>
          <t>22.23-0-2-ERW 1-PE</t>
        </is>
      </c>
      <c r="AD708" t="inlineStr">
        <is>
          <t>CTL</t>
        </is>
      </c>
      <c r="AE708" t="inlineStr">
        <is>
          <t>22.23-0-2-ERW 1-PE-0.862</t>
        </is>
      </c>
      <c r="AF708" t="n">
        <v>0.85967134148</v>
      </c>
    </row>
    <row r="709">
      <c r="A709" s="56" t="n">
        <v>3770398</v>
      </c>
      <c r="B709" s="56" t="inlineStr">
        <is>
          <t>TUB-I-C-AUT-AD-FC-25.50X2.250X5.9500</t>
        </is>
      </c>
      <c r="C709" s="56" t="inlineStr">
        <is>
          <t>4B11AK2140</t>
        </is>
      </c>
      <c r="D709" s="57" t="n">
        <v>195.858</v>
      </c>
      <c r="E709" s="58" t="n">
        <v>1795</v>
      </c>
      <c r="F709" s="57" t="n">
        <v>1.795</v>
      </c>
      <c r="G709" s="56" t="inlineStr">
        <is>
          <t>KG</t>
        </is>
      </c>
      <c r="H709" s="56" t="inlineStr">
        <is>
          <t>R001</t>
        </is>
      </c>
      <c r="I709" s="56" t="inlineStr">
        <is>
          <t>0788</t>
        </is>
      </c>
      <c r="J709" s="56" t="inlineStr">
        <is>
          <t>196</t>
        </is>
      </c>
      <c r="K709" s="57" t="n">
        <v>1165.357</v>
      </c>
      <c r="L709" s="56" t="inlineStr"/>
      <c r="M709" s="56" t="inlineStr">
        <is>
          <t>0</t>
        </is>
      </c>
      <c r="N709" s="56" t="inlineStr">
        <is>
          <t>Marathwada Auto Compo Pvt. Ltd.</t>
        </is>
      </c>
      <c r="O709" s="58" t="n">
        <v>60</v>
      </c>
      <c r="P709" s="59" t="inlineStr">
        <is>
          <t>31-60</t>
        </is>
      </c>
      <c r="Q709" s="56" t="inlineStr">
        <is>
          <t>Apoorv</t>
        </is>
      </c>
      <c r="U709" s="585" t="n">
        <v>3910649</v>
      </c>
      <c r="V709" t="n">
        <v>22.23</v>
      </c>
      <c r="W709" t="n">
        <v>0</v>
      </c>
      <c r="X709" t="n">
        <v>2</v>
      </c>
      <c r="Y709" t="n">
        <v>0.863</v>
      </c>
      <c r="Z709" t="inlineStr">
        <is>
          <t>WG</t>
        </is>
      </c>
      <c r="AA709" t="inlineStr">
        <is>
          <t>FC</t>
        </is>
      </c>
      <c r="AB709" t="inlineStr">
        <is>
          <t>AW</t>
        </is>
      </c>
      <c r="AC709" t="inlineStr">
        <is>
          <t>22.23-0-2-ERW 2-FC</t>
        </is>
      </c>
      <c r="AD709" t="inlineStr">
        <is>
          <t>CTL</t>
        </is>
      </c>
      <c r="AE709" t="inlineStr">
        <is>
          <t>22.23-0-2-ERW 2-FC-0.863</t>
        </is>
      </c>
      <c r="AF709" t="n">
        <v>0.8606686400200001</v>
      </c>
    </row>
    <row r="710">
      <c r="A710" s="56" t="n">
        <v>3770398</v>
      </c>
      <c r="B710" s="56" t="inlineStr">
        <is>
          <t>TUB-I-C-AUT-AD-FC-25.50X2.250X5.9500</t>
        </is>
      </c>
      <c r="C710" s="56" t="inlineStr">
        <is>
          <t>4B14K37536</t>
        </is>
      </c>
      <c r="D710" s="57" t="n">
        <v>167.816</v>
      </c>
      <c r="E710" s="58" t="n">
        <v>1538</v>
      </c>
      <c r="F710" s="57" t="n">
        <v>1.538</v>
      </c>
      <c r="G710" s="56" t="inlineStr">
        <is>
          <t>KG</t>
        </is>
      </c>
      <c r="H710" s="56" t="inlineStr">
        <is>
          <t>R001</t>
        </is>
      </c>
      <c r="I710" s="56" t="inlineStr">
        <is>
          <t>0788</t>
        </is>
      </c>
      <c r="J710" s="56" t="inlineStr">
        <is>
          <t>168</t>
        </is>
      </c>
      <c r="K710" s="57" t="n">
        <v>998.5069999999999</v>
      </c>
      <c r="L710" s="56" t="inlineStr"/>
      <c r="M710" s="56" t="inlineStr">
        <is>
          <t>0</t>
        </is>
      </c>
      <c r="N710" s="56" t="inlineStr">
        <is>
          <t>Marathwada Auto Compo Pvt. Ltd.</t>
        </is>
      </c>
      <c r="O710" s="58" t="n">
        <v>60</v>
      </c>
      <c r="P710" s="59" t="inlineStr">
        <is>
          <t>31-60</t>
        </is>
      </c>
      <c r="Q710" s="56" t="inlineStr">
        <is>
          <t>Apoorv</t>
        </is>
      </c>
      <c r="U710" s="585" t="n">
        <v>1940474</v>
      </c>
      <c r="V710" t="n">
        <v>22.23</v>
      </c>
      <c r="W710" t="n">
        <v>0</v>
      </c>
      <c r="X710" t="n">
        <v>2</v>
      </c>
      <c r="Y710" t="n">
        <v>0.865</v>
      </c>
      <c r="Z710" t="inlineStr">
        <is>
          <t>ST52AL</t>
        </is>
      </c>
      <c r="AA710" t="inlineStr">
        <is>
          <t>PE</t>
        </is>
      </c>
      <c r="AB710" t="inlineStr">
        <is>
          <t>AW</t>
        </is>
      </c>
      <c r="AC710" t="inlineStr">
        <is>
          <t>22.23-0-2-ERW 2 MAHS-PE</t>
        </is>
      </c>
      <c r="AD710" t="inlineStr">
        <is>
          <t>CTL</t>
        </is>
      </c>
      <c r="AE710" t="inlineStr">
        <is>
          <t>22.23-0-2-ERW 2 MAHS-PE-0.865</t>
        </is>
      </c>
      <c r="AF710" t="n">
        <v>0.8626632371</v>
      </c>
    </row>
    <row r="711">
      <c r="A711" s="56" t="n">
        <v>3770398</v>
      </c>
      <c r="B711" s="56" t="inlineStr">
        <is>
          <t>TUB-I-C-AUT-AD-FC-25.50X2.250X5.9500</t>
        </is>
      </c>
      <c r="C711" s="56" t="inlineStr">
        <is>
          <t>4B19K37970</t>
        </is>
      </c>
      <c r="D711" s="57" t="n">
        <v>142.938</v>
      </c>
      <c r="E711" s="58" t="n">
        <v>1310</v>
      </c>
      <c r="F711" s="57" t="n">
        <v>1.31</v>
      </c>
      <c r="G711" s="56" t="inlineStr">
        <is>
          <t>KG</t>
        </is>
      </c>
      <c r="H711" s="56" t="inlineStr">
        <is>
          <t>R001</t>
        </is>
      </c>
      <c r="I711" s="56" t="inlineStr">
        <is>
          <t>0788</t>
        </is>
      </c>
      <c r="J711" s="56" t="inlineStr">
        <is>
          <t>143</t>
        </is>
      </c>
      <c r="K711" s="57" t="n">
        <v>850.484</v>
      </c>
      <c r="L711" s="56" t="inlineStr"/>
      <c r="M711" s="56" t="inlineStr">
        <is>
          <t>0</t>
        </is>
      </c>
      <c r="N711" s="56" t="inlineStr">
        <is>
          <t>Marathwada Auto Compo Pvt. Ltd.</t>
        </is>
      </c>
      <c r="O711" s="58" t="n">
        <v>55</v>
      </c>
      <c r="P711" s="59" t="inlineStr">
        <is>
          <t>31-60</t>
        </is>
      </c>
      <c r="Q711" s="56" t="inlineStr">
        <is>
          <t>Apoorv</t>
        </is>
      </c>
      <c r="U711" s="585" t="n">
        <v>4228296</v>
      </c>
      <c r="V711" t="n">
        <v>22.23</v>
      </c>
      <c r="W711" t="n">
        <v>0</v>
      </c>
      <c r="X711" t="n">
        <v>2</v>
      </c>
      <c r="Y711" t="n">
        <v>0.865</v>
      </c>
      <c r="Z711" t="inlineStr">
        <is>
          <t>SAE1020</t>
        </is>
      </c>
      <c r="AA711" t="inlineStr">
        <is>
          <t>PE</t>
        </is>
      </c>
      <c r="AB711" t="inlineStr">
        <is>
          <t>AW</t>
        </is>
      </c>
      <c r="AC711" t="inlineStr">
        <is>
          <t>22.23-0-2-ERW 2-PE</t>
        </is>
      </c>
      <c r="AD711" t="inlineStr">
        <is>
          <t>CTL</t>
        </is>
      </c>
      <c r="AE711" t="inlineStr">
        <is>
          <t>22.23-0-2-ERW 2-PE-0.865</t>
        </is>
      </c>
      <c r="AF711" t="n">
        <v>0.8626632371</v>
      </c>
    </row>
    <row r="712">
      <c r="A712" s="56" t="n">
        <v>3770398</v>
      </c>
      <c r="B712" s="56" t="inlineStr">
        <is>
          <t>TUB-I-C-AUT-AD-FC-25.50X2.250X5.9500</t>
        </is>
      </c>
      <c r="C712" s="56" t="inlineStr">
        <is>
          <t>4B20K38021</t>
        </is>
      </c>
      <c r="D712" s="57" t="n">
        <v>177.854</v>
      </c>
      <c r="E712" s="58" t="n">
        <v>1630</v>
      </c>
      <c r="F712" s="57" t="n">
        <v>1.63</v>
      </c>
      <c r="G712" s="56" t="inlineStr">
        <is>
          <t>KG</t>
        </is>
      </c>
      <c r="H712" s="56" t="inlineStr">
        <is>
          <t>R001</t>
        </is>
      </c>
      <c r="I712" s="56" t="inlineStr">
        <is>
          <t>0788</t>
        </is>
      </c>
      <c r="J712" s="56" t="inlineStr">
        <is>
          <t>178</t>
        </is>
      </c>
      <c r="K712" s="57" t="n">
        <v>1058.235</v>
      </c>
      <c r="L712" s="56" t="inlineStr"/>
      <c r="M712" s="56" t="inlineStr">
        <is>
          <t>0</t>
        </is>
      </c>
      <c r="N712" s="56" t="inlineStr">
        <is>
          <t>Marathwada Auto Compo Pvt. Ltd.</t>
        </is>
      </c>
      <c r="O712" s="58" t="n">
        <v>54</v>
      </c>
      <c r="P712" s="59" t="inlineStr">
        <is>
          <t>31-60</t>
        </is>
      </c>
      <c r="Q712" s="56" t="inlineStr">
        <is>
          <t>Apoorv</t>
        </is>
      </c>
      <c r="U712" s="585" t="n">
        <v>1940478</v>
      </c>
      <c r="V712" t="n">
        <v>22.23</v>
      </c>
      <c r="W712" t="n">
        <v>0</v>
      </c>
      <c r="X712" t="n">
        <v>2</v>
      </c>
      <c r="Y712" t="n">
        <v>0.905</v>
      </c>
      <c r="Z712" t="inlineStr">
        <is>
          <t>ST52AL</t>
        </is>
      </c>
      <c r="AA712" t="inlineStr">
        <is>
          <t>PE</t>
        </is>
      </c>
      <c r="AB712" t="inlineStr">
        <is>
          <t>AW</t>
        </is>
      </c>
      <c r="AC712" t="inlineStr">
        <is>
          <t>22.23-0-2-ERW 2 MAHS-PE</t>
        </is>
      </c>
      <c r="AD712" t="inlineStr">
        <is>
          <t>CTL</t>
        </is>
      </c>
      <c r="AE712" t="inlineStr">
        <is>
          <t>22.23-0-2-ERW 2 MAHS-PE-0.905</t>
        </is>
      </c>
      <c r="AF712" t="n">
        <v>0.9025551787000001</v>
      </c>
    </row>
    <row r="713">
      <c r="A713" s="56" t="n">
        <v>3770398</v>
      </c>
      <c r="B713" s="56" t="inlineStr">
        <is>
          <t>TUB-I-C-AUT-AD-FC-25.50X2.250X5.9500</t>
        </is>
      </c>
      <c r="C713" s="56" t="inlineStr">
        <is>
          <t>4B20K38023</t>
        </is>
      </c>
      <c r="D713" s="57" t="n">
        <v>201.859</v>
      </c>
      <c r="E713" s="58" t="n">
        <v>1850</v>
      </c>
      <c r="F713" s="57" t="n">
        <v>1.85</v>
      </c>
      <c r="G713" s="56" t="inlineStr">
        <is>
          <t>KG</t>
        </is>
      </c>
      <c r="H713" s="56" t="inlineStr">
        <is>
          <t>R001</t>
        </is>
      </c>
      <c r="I713" s="56" t="inlineStr">
        <is>
          <t>0788</t>
        </is>
      </c>
      <c r="J713" s="56" t="inlineStr">
        <is>
          <t>202</t>
        </is>
      </c>
      <c r="K713" s="57" t="n">
        <v>1201.065</v>
      </c>
      <c r="L713" s="56" t="inlineStr"/>
      <c r="M713" s="56" t="inlineStr">
        <is>
          <t>0</t>
        </is>
      </c>
      <c r="N713" s="56" t="inlineStr">
        <is>
          <t>Marathwada Auto Compo Pvt. Ltd.</t>
        </is>
      </c>
      <c r="O713" s="58" t="n">
        <v>54</v>
      </c>
      <c r="P713" s="59" t="inlineStr">
        <is>
          <t>31-60</t>
        </is>
      </c>
      <c r="Q713" s="56" t="inlineStr">
        <is>
          <t>Apoorv</t>
        </is>
      </c>
      <c r="U713" t="n">
        <v>1940479</v>
      </c>
      <c r="V713" t="n">
        <v>22.23</v>
      </c>
      <c r="W713" t="n">
        <v>0</v>
      </c>
      <c r="X713" t="n">
        <v>2</v>
      </c>
      <c r="Y713" t="n">
        <v>0.93</v>
      </c>
      <c r="Z713" t="inlineStr">
        <is>
          <t>ST52AL</t>
        </is>
      </c>
      <c r="AA713" t="inlineStr">
        <is>
          <t>PE</t>
        </is>
      </c>
      <c r="AB713" t="inlineStr">
        <is>
          <t>AW</t>
        </is>
      </c>
      <c r="AC713" t="inlineStr">
        <is>
          <t>22.23-0-2-ERW 2 MAHS-PE</t>
        </is>
      </c>
      <c r="AD713" t="inlineStr">
        <is>
          <t>CTL</t>
        </is>
      </c>
      <c r="AE713" t="inlineStr">
        <is>
          <t>22.23-0-2-ERW 2 MAHS-PE-0.93</t>
        </is>
      </c>
      <c r="AF713" t="n">
        <v>0.9274876422000001</v>
      </c>
    </row>
    <row r="714">
      <c r="A714" s="56" t="n">
        <v>3770398</v>
      </c>
      <c r="B714" s="56" t="inlineStr">
        <is>
          <t>TUB-I-C-AUT-AD-FC-25.50X2.250X5.9500</t>
        </is>
      </c>
      <c r="C714" s="56" t="inlineStr">
        <is>
          <t>4B20K38029</t>
        </is>
      </c>
      <c r="D714" s="57" t="n">
        <v>196.84</v>
      </c>
      <c r="E714" s="58" t="n">
        <v>1804</v>
      </c>
      <c r="F714" s="57" t="n">
        <v>1.804</v>
      </c>
      <c r="G714" s="56" t="inlineStr">
        <is>
          <t>KG</t>
        </is>
      </c>
      <c r="H714" s="56" t="inlineStr">
        <is>
          <t>R001</t>
        </is>
      </c>
      <c r="I714" s="56" t="inlineStr">
        <is>
          <t>0788</t>
        </is>
      </c>
      <c r="J714" s="56" t="inlineStr">
        <is>
          <t>197</t>
        </is>
      </c>
      <c r="K714" s="57" t="n">
        <v>1171.2</v>
      </c>
      <c r="L714" s="56" t="inlineStr"/>
      <c r="M714" s="56" t="inlineStr">
        <is>
          <t>0</t>
        </is>
      </c>
      <c r="N714" s="56" t="inlineStr">
        <is>
          <t>Marathwada Auto Compo Pvt. Ltd.</t>
        </is>
      </c>
      <c r="O714" s="58" t="n">
        <v>54</v>
      </c>
      <c r="P714" s="59" t="inlineStr">
        <is>
          <t>31-60</t>
        </is>
      </c>
      <c r="Q714" s="56" t="inlineStr">
        <is>
          <t>Apoorv</t>
        </is>
      </c>
      <c r="U714" t="n">
        <v>4184749</v>
      </c>
      <c r="V714" t="n">
        <v>22.23</v>
      </c>
      <c r="W714" t="n">
        <v>0</v>
      </c>
      <c r="X714" t="n">
        <v>2</v>
      </c>
      <c r="Y714" t="n">
        <v>0.9340000000000001</v>
      </c>
      <c r="Z714" t="inlineStr">
        <is>
          <t>BR45</t>
        </is>
      </c>
      <c r="AA714" t="inlineStr">
        <is>
          <t>FC</t>
        </is>
      </c>
      <c r="AB714" t="inlineStr">
        <is>
          <t>AW</t>
        </is>
      </c>
      <c r="AC714" t="inlineStr">
        <is>
          <t>22.23-0-2-ERW 2 MAHS-PE</t>
        </is>
      </c>
      <c r="AD714" t="inlineStr">
        <is>
          <t>CTL</t>
        </is>
      </c>
      <c r="AE714" t="inlineStr">
        <is>
          <t>22.23-0-2-ERW 2 MAHS-PE-0.934</t>
        </is>
      </c>
      <c r="AF714" t="n">
        <v>0.9314768363600001</v>
      </c>
    </row>
    <row r="715">
      <c r="A715" s="56" t="n">
        <v>3770398</v>
      </c>
      <c r="B715" s="56" t="inlineStr">
        <is>
          <t>TUB-I-C-AUT-AD-FC-25.50X2.250X5.9500</t>
        </is>
      </c>
      <c r="C715" s="56" t="inlineStr">
        <is>
          <t>4B20K38031</t>
        </is>
      </c>
      <c r="D715" s="57" t="n">
        <v>163.888</v>
      </c>
      <c r="E715" s="58" t="n">
        <v>1502</v>
      </c>
      <c r="F715" s="57" t="n">
        <v>1.502</v>
      </c>
      <c r="G715" s="56" t="inlineStr">
        <is>
          <t>KG</t>
        </is>
      </c>
      <c r="H715" s="56" t="inlineStr">
        <is>
          <t>R001</t>
        </is>
      </c>
      <c r="I715" s="56" t="inlineStr">
        <is>
          <t>0788</t>
        </is>
      </c>
      <c r="J715" s="56" t="inlineStr">
        <is>
          <t>164</t>
        </is>
      </c>
      <c r="K715" s="57" t="n">
        <v>975.135</v>
      </c>
      <c r="L715" s="56" t="inlineStr"/>
      <c r="M715" s="56" t="inlineStr">
        <is>
          <t>0</t>
        </is>
      </c>
      <c r="N715" s="56" t="inlineStr">
        <is>
          <t>Marathwada Auto Compo Pvt. Ltd.</t>
        </is>
      </c>
      <c r="O715" s="58" t="n">
        <v>54</v>
      </c>
      <c r="P715" s="59" t="inlineStr">
        <is>
          <t>31-60</t>
        </is>
      </c>
      <c r="Q715" s="56" t="inlineStr">
        <is>
          <t>Apoorv</t>
        </is>
      </c>
      <c r="U715" t="n">
        <v>4124433</v>
      </c>
      <c r="V715" t="n">
        <v>22.23</v>
      </c>
      <c r="W715" t="n">
        <v>0</v>
      </c>
      <c r="X715" t="n">
        <v>2</v>
      </c>
      <c r="Y715" t="n">
        <v>0.9350000000000001</v>
      </c>
      <c r="Z715" t="inlineStr">
        <is>
          <t>ST52AL</t>
        </is>
      </c>
      <c r="AA715" t="inlineStr">
        <is>
          <t>FC</t>
        </is>
      </c>
      <c r="AB715" t="inlineStr">
        <is>
          <t>AW</t>
        </is>
      </c>
      <c r="AC715" t="inlineStr">
        <is>
          <t>22.23-0-2-ERW 2 MAHS-PE</t>
        </is>
      </c>
      <c r="AD715" t="inlineStr">
        <is>
          <t>CTL</t>
        </is>
      </c>
      <c r="AE715" t="inlineStr">
        <is>
          <t>22.23-0-2-ERW 2 MAHS-PE-0.935</t>
        </is>
      </c>
      <c r="AF715" t="n">
        <v>0.9324741349000001</v>
      </c>
    </row>
    <row r="716">
      <c r="A716" s="56" t="n">
        <v>3770398</v>
      </c>
      <c r="B716" s="56" t="inlineStr">
        <is>
          <t>TUB-I-C-AUT-AD-FC-25.50X2.250X5.9500</t>
        </is>
      </c>
      <c r="C716" s="56" t="inlineStr">
        <is>
          <t>4B21K38053</t>
        </is>
      </c>
      <c r="D716" s="57" t="n">
        <v>78.889</v>
      </c>
      <c r="E716" s="58" t="n">
        <v>723</v>
      </c>
      <c r="F716" s="57" t="n">
        <v>0.723</v>
      </c>
      <c r="G716" s="56" t="inlineStr">
        <is>
          <t>KG</t>
        </is>
      </c>
      <c r="H716" s="56" t="inlineStr">
        <is>
          <t>R001</t>
        </is>
      </c>
      <c r="I716" s="56" t="inlineStr">
        <is>
          <t>0788</t>
        </is>
      </c>
      <c r="J716" s="56" t="inlineStr">
        <is>
          <t>79</t>
        </is>
      </c>
      <c r="K716" s="57" t="n">
        <v>469.389</v>
      </c>
      <c r="L716" s="56" t="inlineStr"/>
      <c r="M716" s="56" t="inlineStr">
        <is>
          <t>0</t>
        </is>
      </c>
      <c r="N716" s="56" t="inlineStr">
        <is>
          <t>Marathwada Auto Compo Pvt. Ltd.</t>
        </is>
      </c>
      <c r="O716" s="58" t="n">
        <v>53</v>
      </c>
      <c r="P716" s="59" t="inlineStr">
        <is>
          <t>31-60</t>
        </is>
      </c>
      <c r="Q716" s="56" t="inlineStr">
        <is>
          <t>Apoorv</t>
        </is>
      </c>
      <c r="U716" s="585" t="n">
        <v>1940481</v>
      </c>
      <c r="V716" t="n">
        <v>22.23</v>
      </c>
      <c r="W716" t="n">
        <v>0</v>
      </c>
      <c r="X716" t="n">
        <v>2</v>
      </c>
      <c r="Y716" t="n">
        <v>1.012</v>
      </c>
      <c r="Z716" t="inlineStr">
        <is>
          <t>GR1</t>
        </is>
      </c>
      <c r="AA716" t="inlineStr">
        <is>
          <t>PE</t>
        </is>
      </c>
      <c r="AB716" t="inlineStr">
        <is>
          <t>AW</t>
        </is>
      </c>
      <c r="AC716" t="inlineStr">
        <is>
          <t>22.23-0-2-ERW 1-PE</t>
        </is>
      </c>
      <c r="AD716" t="inlineStr">
        <is>
          <t>CTL</t>
        </is>
      </c>
      <c r="AE716" t="inlineStr">
        <is>
          <t>22.23-0-2-ERW 1-PE-1.012</t>
        </is>
      </c>
      <c r="AF716" t="n">
        <v>1.00926612248</v>
      </c>
    </row>
    <row r="717">
      <c r="A717" s="56" t="n">
        <v>3770398</v>
      </c>
      <c r="B717" s="56" t="inlineStr">
        <is>
          <t>TUB-I-C-AUT-AD-FC-25.50X2.250X5.9500</t>
        </is>
      </c>
      <c r="C717" s="56" t="inlineStr">
        <is>
          <t>4B21K38059</t>
        </is>
      </c>
      <c r="D717" s="57" t="n">
        <v>91.873</v>
      </c>
      <c r="E717" s="58" t="n">
        <v>842</v>
      </c>
      <c r="F717" s="57" t="n">
        <v>0.842</v>
      </c>
      <c r="G717" s="56" t="inlineStr">
        <is>
          <t>KG</t>
        </is>
      </c>
      <c r="H717" s="56" t="inlineStr">
        <is>
          <t>R001</t>
        </is>
      </c>
      <c r="I717" s="56" t="inlineStr">
        <is>
          <t>0788</t>
        </is>
      </c>
      <c r="J717" s="56" t="inlineStr">
        <is>
          <t>92</t>
        </is>
      </c>
      <c r="K717" s="57" t="n">
        <v>546.647</v>
      </c>
      <c r="L717" s="56" t="inlineStr"/>
      <c r="M717" s="56" t="inlineStr">
        <is>
          <t>0</t>
        </is>
      </c>
      <c r="N717" s="56" t="inlineStr">
        <is>
          <t>Marathwada Auto Compo Pvt. Ltd.</t>
        </is>
      </c>
      <c r="O717" s="58" t="n">
        <v>53</v>
      </c>
      <c r="P717" s="59" t="inlineStr">
        <is>
          <t>31-60</t>
        </is>
      </c>
      <c r="Q717" s="56" t="inlineStr">
        <is>
          <t>Apoorv</t>
        </is>
      </c>
      <c r="U717" s="585" t="n">
        <v>2420106</v>
      </c>
      <c r="V717" t="n">
        <v>22.23</v>
      </c>
      <c r="W717" t="n">
        <v>0</v>
      </c>
      <c r="X717" t="n">
        <v>2</v>
      </c>
      <c r="Y717" t="n">
        <v>1.325</v>
      </c>
      <c r="Z717" t="inlineStr">
        <is>
          <t>HROP</t>
        </is>
      </c>
      <c r="AA717" t="inlineStr">
        <is>
          <t>PE</t>
        </is>
      </c>
      <c r="AB717" t="inlineStr">
        <is>
          <t>AW</t>
        </is>
      </c>
      <c r="AC717" t="inlineStr">
        <is>
          <t>22.23-0-2-ERW 1-PE</t>
        </is>
      </c>
      <c r="AD717" t="inlineStr">
        <is>
          <t>CTL</t>
        </is>
      </c>
      <c r="AE717" t="inlineStr">
        <is>
          <t>22.23-0-2-ERW 1-PE-1.325</t>
        </is>
      </c>
      <c r="AF717" t="n">
        <v>1.3214205655</v>
      </c>
    </row>
    <row r="718">
      <c r="A718" s="56" t="n">
        <v>3770398</v>
      </c>
      <c r="B718" s="56" t="inlineStr">
        <is>
          <t>TUB-I-C-AUT-AD-FC-25.50X2.250X5.9500</t>
        </is>
      </c>
      <c r="C718" s="56" t="inlineStr">
        <is>
          <t>4B21K38061</t>
        </is>
      </c>
      <c r="D718" s="57" t="n">
        <v>167.816</v>
      </c>
      <c r="E718" s="58" t="n">
        <v>1538</v>
      </c>
      <c r="F718" s="57" t="n">
        <v>1.538</v>
      </c>
      <c r="G718" s="56" t="inlineStr">
        <is>
          <t>KG</t>
        </is>
      </c>
      <c r="H718" s="56" t="inlineStr">
        <is>
          <t>R001</t>
        </is>
      </c>
      <c r="I718" s="56" t="inlineStr">
        <is>
          <t>0788</t>
        </is>
      </c>
      <c r="J718" s="56" t="inlineStr">
        <is>
          <t>168</t>
        </is>
      </c>
      <c r="K718" s="57" t="n">
        <v>998.5069999999999</v>
      </c>
      <c r="L718" s="56" t="inlineStr"/>
      <c r="M718" s="56" t="inlineStr">
        <is>
          <t>0</t>
        </is>
      </c>
      <c r="N718" s="56" t="inlineStr">
        <is>
          <t>Marathwada Auto Compo Pvt. Ltd.</t>
        </is>
      </c>
      <c r="O718" s="58" t="n">
        <v>53</v>
      </c>
      <c r="P718" s="59" t="inlineStr">
        <is>
          <t>31-60</t>
        </is>
      </c>
      <c r="Q718" s="56" t="inlineStr">
        <is>
          <t>Apoorv</t>
        </is>
      </c>
      <c r="U718" s="585" t="n">
        <v>1940490</v>
      </c>
      <c r="V718" t="n">
        <v>22.23</v>
      </c>
      <c r="W718" t="n">
        <v>0</v>
      </c>
      <c r="X718" t="n">
        <v>2</v>
      </c>
      <c r="Y718" t="n">
        <v>1.385</v>
      </c>
      <c r="Z718" t="inlineStr">
        <is>
          <t>GR1</t>
        </is>
      </c>
      <c r="AA718" t="inlineStr">
        <is>
          <t>PE</t>
        </is>
      </c>
      <c r="AB718" t="inlineStr">
        <is>
          <t>AW</t>
        </is>
      </c>
      <c r="AC718" t="inlineStr">
        <is>
          <t>22.23-0-2-ERW 1-PE</t>
        </is>
      </c>
      <c r="AD718" t="inlineStr">
        <is>
          <t>CTL</t>
        </is>
      </c>
      <c r="AE718" t="inlineStr">
        <is>
          <t>22.23-0-2-ERW 1-PE-1.385</t>
        </is>
      </c>
      <c r="AF718" t="n">
        <v>1.3812584779</v>
      </c>
    </row>
    <row r="719">
      <c r="A719" s="56" t="n">
        <v>3770398</v>
      </c>
      <c r="B719" s="56" t="inlineStr">
        <is>
          <t>TUB-I-C-AUT-AD-FC-25.50X2.250X5.9500</t>
        </is>
      </c>
      <c r="C719" s="56" t="inlineStr">
        <is>
          <t>4B21K38062</t>
        </is>
      </c>
      <c r="D719" s="57" t="n">
        <v>155.923</v>
      </c>
      <c r="E719" s="58" t="n">
        <v>1429</v>
      </c>
      <c r="F719" s="57" t="n">
        <v>1.429</v>
      </c>
      <c r="G719" s="56" t="inlineStr">
        <is>
          <t>KG</t>
        </is>
      </c>
      <c r="H719" s="56" t="inlineStr">
        <is>
          <t>R001</t>
        </is>
      </c>
      <c r="I719" s="56" t="inlineStr">
        <is>
          <t>0788</t>
        </is>
      </c>
      <c r="J719" s="56" t="inlineStr">
        <is>
          <t>156</t>
        </is>
      </c>
      <c r="K719" s="57" t="n">
        <v>927.741</v>
      </c>
      <c r="L719" s="56" t="inlineStr"/>
      <c r="M719" s="56" t="inlineStr">
        <is>
          <t>0</t>
        </is>
      </c>
      <c r="N719" s="56" t="inlineStr">
        <is>
          <t>Marathwada Auto Compo Pvt. Ltd.</t>
        </is>
      </c>
      <c r="O719" s="58" t="n">
        <v>48</v>
      </c>
      <c r="P719" s="59" t="inlineStr">
        <is>
          <t>31-60</t>
        </is>
      </c>
      <c r="Q719" s="56" t="inlineStr">
        <is>
          <t>Apoorv</t>
        </is>
      </c>
      <c r="U719" s="585" t="n">
        <v>1940489</v>
      </c>
      <c r="V719" t="n">
        <v>22.23</v>
      </c>
      <c r="W719" t="n">
        <v>0</v>
      </c>
      <c r="X719" t="n">
        <v>2</v>
      </c>
      <c r="Y719" t="n">
        <v>1.385</v>
      </c>
      <c r="Z719" t="inlineStr">
        <is>
          <t>ST52AL</t>
        </is>
      </c>
      <c r="AA719" t="inlineStr">
        <is>
          <t>PE</t>
        </is>
      </c>
      <c r="AB719" t="inlineStr">
        <is>
          <t>AW</t>
        </is>
      </c>
      <c r="AC719" t="inlineStr">
        <is>
          <t>22.23-0-2-ERW 2 MAHS-PE</t>
        </is>
      </c>
      <c r="AD719" t="inlineStr">
        <is>
          <t>CTL</t>
        </is>
      </c>
      <c r="AE719" t="inlineStr">
        <is>
          <t>22.23-0-2-ERW 2 MAHS-PE-1.385</t>
        </is>
      </c>
      <c r="AF719" t="n">
        <v>1.3812584779</v>
      </c>
    </row>
    <row r="720">
      <c r="A720" s="56" t="n">
        <v>3770398</v>
      </c>
      <c r="B720" s="56" t="inlineStr">
        <is>
          <t>TUB-I-C-AUT-AD-FC-25.50X2.250X5.9500</t>
        </is>
      </c>
      <c r="C720" s="56" t="inlineStr">
        <is>
          <t>4C07K39261</t>
        </is>
      </c>
      <c r="D720" s="57" t="n">
        <v>159.851</v>
      </c>
      <c r="E720" s="58" t="n">
        <v>1465</v>
      </c>
      <c r="F720" s="57" t="n">
        <v>1.465</v>
      </c>
      <c r="G720" s="56" t="inlineStr">
        <is>
          <t>KG</t>
        </is>
      </c>
      <c r="H720" s="56" t="inlineStr">
        <is>
          <t>R001</t>
        </is>
      </c>
      <c r="I720" s="56" t="inlineStr">
        <is>
          <t>0788</t>
        </is>
      </c>
      <c r="J720" s="56" t="inlineStr">
        <is>
          <t>160</t>
        </is>
      </c>
      <c r="K720" s="57" t="n">
        <v>951.1130000000001</v>
      </c>
      <c r="L720" s="56" t="inlineStr"/>
      <c r="M720" s="56" t="inlineStr">
        <is>
          <t>0</t>
        </is>
      </c>
      <c r="N720" s="56" t="inlineStr">
        <is>
          <t>Marathwada Auto Compo Pvt. Ltd.</t>
        </is>
      </c>
      <c r="O720" s="58" t="n">
        <v>37</v>
      </c>
      <c r="P720" s="59" t="inlineStr">
        <is>
          <t>31-60</t>
        </is>
      </c>
      <c r="Q720" s="56" t="inlineStr">
        <is>
          <t>Apoorv</t>
        </is>
      </c>
      <c r="U720" s="585" t="n">
        <v>2349840</v>
      </c>
      <c r="V720" t="n">
        <v>22.23</v>
      </c>
      <c r="W720" t="n">
        <v>0</v>
      </c>
      <c r="X720" t="n">
        <v>2</v>
      </c>
      <c r="Y720" t="n">
        <v>5.1</v>
      </c>
      <c r="Z720" t="inlineStr">
        <is>
          <t>HROP</t>
        </is>
      </c>
      <c r="AA720" t="inlineStr"/>
      <c r="AB720" t="inlineStr">
        <is>
          <t>AW</t>
        </is>
      </c>
      <c r="AC720" t="inlineStr">
        <is>
          <t>check grade tdc</t>
        </is>
      </c>
      <c r="AD720" t="inlineStr">
        <is>
          <t>LL</t>
        </is>
      </c>
      <c r="AE720" t="inlineStr">
        <is>
          <t>check grade tdc-1</t>
        </is>
      </c>
      <c r="AF720" t="n">
        <v>0.9972985400000001</v>
      </c>
    </row>
    <row r="721">
      <c r="A721" s="56" t="n">
        <v>3770398</v>
      </c>
      <c r="B721" s="56" t="inlineStr">
        <is>
          <t>TUB-I-C-AUT-AD-FC-25.50X2.250X5.9500</t>
        </is>
      </c>
      <c r="C721" s="56" t="inlineStr">
        <is>
          <t>4C16K39819</t>
        </is>
      </c>
      <c r="D721" s="57" t="n">
        <v>149.921</v>
      </c>
      <c r="E721" s="58" t="n">
        <v>1374</v>
      </c>
      <c r="F721" s="57" t="n">
        <v>1.374</v>
      </c>
      <c r="G721" s="56" t="inlineStr">
        <is>
          <t>KG</t>
        </is>
      </c>
      <c r="H721" s="56" t="inlineStr">
        <is>
          <t>R001</t>
        </is>
      </c>
      <c r="I721" s="56" t="inlineStr">
        <is>
          <t>0788</t>
        </is>
      </c>
      <c r="J721" s="56" t="inlineStr">
        <is>
          <t>150</t>
        </is>
      </c>
      <c r="K721" s="57" t="n">
        <v>892.034</v>
      </c>
      <c r="L721" s="56" t="inlineStr"/>
      <c r="M721" s="56" t="inlineStr">
        <is>
          <t>0</t>
        </is>
      </c>
      <c r="N721" s="56" t="inlineStr">
        <is>
          <t>Marathwada Auto Compo Pvt. Ltd.</t>
        </is>
      </c>
      <c r="O721" s="58" t="n">
        <v>28</v>
      </c>
      <c r="P721" s="59" t="inlineStr">
        <is>
          <t>0-30</t>
        </is>
      </c>
      <c r="Q721" s="56" t="inlineStr">
        <is>
          <t>Apoorv</t>
        </is>
      </c>
      <c r="U721" s="585" t="n">
        <v>3557791</v>
      </c>
      <c r="V721" t="n">
        <v>22.23</v>
      </c>
      <c r="W721" t="n">
        <v>0</v>
      </c>
      <c r="X721" t="n">
        <v>2</v>
      </c>
      <c r="Y721" t="n">
        <v>5.37</v>
      </c>
      <c r="Z721" t="inlineStr">
        <is>
          <t>HROP</t>
        </is>
      </c>
      <c r="AA721" t="inlineStr">
        <is>
          <t>FC</t>
        </is>
      </c>
      <c r="AB721" t="inlineStr">
        <is>
          <t>AW</t>
        </is>
      </c>
      <c r="AC721" t="inlineStr">
        <is>
          <t>22.23-0-2-ERW 1-FC</t>
        </is>
      </c>
      <c r="AD721" t="inlineStr">
        <is>
          <t>LL</t>
        </is>
      </c>
      <c r="AE721" t="inlineStr">
        <is>
          <t>22.23-0-2-ERW 1-FC-1</t>
        </is>
      </c>
      <c r="AF721" t="n">
        <v>0.9972985400000001</v>
      </c>
    </row>
    <row r="722">
      <c r="A722" s="56" t="n">
        <v>3770398</v>
      </c>
      <c r="B722" s="56" t="inlineStr">
        <is>
          <t>TUB-I-C-AUT-AD-FC-25.50X2.250X5.9500</t>
        </is>
      </c>
      <c r="C722" s="56" t="inlineStr">
        <is>
          <t>MG0312502</t>
        </is>
      </c>
      <c r="D722" s="57" t="n">
        <v>85.98099999999999</v>
      </c>
      <c r="E722" s="58" t="n">
        <v>788</v>
      </c>
      <c r="F722" s="57" t="n">
        <v>0.788</v>
      </c>
      <c r="G722" s="56" t="inlineStr">
        <is>
          <t>KG</t>
        </is>
      </c>
      <c r="H722" s="56" t="inlineStr">
        <is>
          <t>R001</t>
        </is>
      </c>
      <c r="I722" s="56" t="inlineStr">
        <is>
          <t>0788</t>
        </is>
      </c>
      <c r="J722" s="56" t="inlineStr">
        <is>
          <t>86</t>
        </is>
      </c>
      <c r="K722" s="57" t="n">
        <v>511.589</v>
      </c>
      <c r="L722" s="56" t="inlineStr"/>
      <c r="M722" s="56" t="inlineStr">
        <is>
          <t>0</t>
        </is>
      </c>
      <c r="N722" s="56" t="inlineStr">
        <is>
          <t>Marathwada Auto Compo Pvt. Ltd.</t>
        </is>
      </c>
      <c r="O722" s="58" t="n">
        <v>10</v>
      </c>
      <c r="P722" s="59" t="inlineStr">
        <is>
          <t>0-30</t>
        </is>
      </c>
      <c r="Q722" s="56" t="inlineStr">
        <is>
          <t>Apoorv</t>
        </is>
      </c>
      <c r="U722" t="n">
        <v>3929574</v>
      </c>
      <c r="V722" t="n">
        <v>22.23</v>
      </c>
      <c r="W722" t="n">
        <v>0</v>
      </c>
      <c r="X722" t="n">
        <v>2</v>
      </c>
      <c r="Y722" t="n">
        <v>5.375</v>
      </c>
      <c r="Z722" t="inlineStr">
        <is>
          <t>GR1</t>
        </is>
      </c>
      <c r="AA722" t="inlineStr">
        <is>
          <t>PE</t>
        </is>
      </c>
      <c r="AB722" t="inlineStr">
        <is>
          <t>AW</t>
        </is>
      </c>
      <c r="AC722" t="inlineStr">
        <is>
          <t>22.23-0-2-ERW 1-PE</t>
        </is>
      </c>
      <c r="AD722" t="inlineStr">
        <is>
          <t>LL</t>
        </is>
      </c>
      <c r="AE722" t="inlineStr">
        <is>
          <t>22.23-0-2-ERW 1-PE-1</t>
        </is>
      </c>
      <c r="AF722" t="n">
        <v>0.9972985400000001</v>
      </c>
    </row>
    <row r="723">
      <c r="A723" s="56" t="n">
        <v>3775569</v>
      </c>
      <c r="B723" s="56" t="inlineStr">
        <is>
          <t>TUB-I-C-AUT-AD-FC-12.50X3.250X6.2000</t>
        </is>
      </c>
      <c r="C723" s="56" t="inlineStr">
        <is>
          <t>4B08CK2080</t>
        </is>
      </c>
      <c r="D723" s="57" t="n">
        <v>203.857</v>
      </c>
      <c r="E723" s="58" t="n">
        <v>1596</v>
      </c>
      <c r="F723" s="57" t="n">
        <v>1.596</v>
      </c>
      <c r="G723" s="56" t="inlineStr">
        <is>
          <t>KG</t>
        </is>
      </c>
      <c r="H723" s="56" t="inlineStr">
        <is>
          <t>R001</t>
        </is>
      </c>
      <c r="I723" s="56" t="inlineStr">
        <is>
          <t>0788</t>
        </is>
      </c>
      <c r="J723" s="56" t="inlineStr">
        <is>
          <t>204</t>
        </is>
      </c>
      <c r="K723" s="57" t="n">
        <v>1263.858</v>
      </c>
      <c r="L723" s="56" t="inlineStr"/>
      <c r="M723" s="56" t="inlineStr">
        <is>
          <t>0</t>
        </is>
      </c>
      <c r="N723" s="56" t="inlineStr">
        <is>
          <t>Rajsriya Automotive Industries(P)</t>
        </is>
      </c>
      <c r="O723" s="58" t="n">
        <v>50</v>
      </c>
      <c r="P723" s="59" t="inlineStr">
        <is>
          <t>31-60</t>
        </is>
      </c>
      <c r="Q723" s="56" t="inlineStr">
        <is>
          <t>Apoorv</t>
        </is>
      </c>
      <c r="U723" s="586" t="n">
        <v>110102621</v>
      </c>
      <c r="V723" t="n">
        <v>22.23</v>
      </c>
      <c r="W723" t="n">
        <v>0</v>
      </c>
      <c r="X723" t="n">
        <v>2</v>
      </c>
      <c r="Y723" t="n">
        <v>5.375</v>
      </c>
      <c r="Z723" t="inlineStr">
        <is>
          <t>GR1</t>
        </is>
      </c>
      <c r="AA723" t="inlineStr">
        <is>
          <t>PE</t>
        </is>
      </c>
      <c r="AB723" t="inlineStr">
        <is>
          <t>AW</t>
        </is>
      </c>
      <c r="AC723" t="inlineStr">
        <is>
          <t>22.23-0-2-ERW 1-PE</t>
        </is>
      </c>
      <c r="AD723" t="inlineStr">
        <is>
          <t>LL</t>
        </is>
      </c>
      <c r="AE723" t="inlineStr">
        <is>
          <t>22.23-0-2-ERW 1-PE-1</t>
        </is>
      </c>
      <c r="AF723" t="n">
        <v>0.9972985400000001</v>
      </c>
    </row>
    <row r="724">
      <c r="A724" s="56" t="n">
        <v>3775569</v>
      </c>
      <c r="B724" s="56" t="inlineStr">
        <is>
          <t>TUB-I-C-AUT-AD-FC-12.50X3.250X6.2000</t>
        </is>
      </c>
      <c r="C724" s="56" t="inlineStr">
        <is>
          <t>4B09AK2010</t>
        </is>
      </c>
      <c r="D724" s="57" t="n">
        <v>181.888</v>
      </c>
      <c r="E724" s="58" t="n">
        <v>1424</v>
      </c>
      <c r="F724" s="57" t="n">
        <v>1.424</v>
      </c>
      <c r="G724" s="56" t="inlineStr">
        <is>
          <t>KG</t>
        </is>
      </c>
      <c r="H724" s="56" t="inlineStr">
        <is>
          <t>R001</t>
        </is>
      </c>
      <c r="I724" s="56" t="inlineStr">
        <is>
          <t>0788</t>
        </is>
      </c>
      <c r="J724" s="56" t="inlineStr">
        <is>
          <t>182</t>
        </is>
      </c>
      <c r="K724" s="57" t="n">
        <v>1127.653</v>
      </c>
      <c r="L724" s="56" t="inlineStr"/>
      <c r="M724" s="56" t="inlineStr">
        <is>
          <t>0</t>
        </is>
      </c>
      <c r="N724" s="56" t="inlineStr">
        <is>
          <t>Rajsriya Automotive Industries(P)</t>
        </is>
      </c>
      <c r="O724" s="58" t="n">
        <v>41</v>
      </c>
      <c r="P724" s="59" t="inlineStr">
        <is>
          <t>31-60</t>
        </is>
      </c>
      <c r="Q724" s="56" t="inlineStr">
        <is>
          <t>Apoorv</t>
        </is>
      </c>
      <c r="U724" s="585" t="n">
        <v>2431251</v>
      </c>
      <c r="V724" t="n">
        <v>22.23</v>
      </c>
      <c r="W724" t="n">
        <v>0</v>
      </c>
      <c r="X724" t="n">
        <v>2</v>
      </c>
      <c r="Y724" t="n">
        <v>5.4</v>
      </c>
      <c r="Z724" t="inlineStr">
        <is>
          <t>WG</t>
        </is>
      </c>
      <c r="AA724" t="inlineStr">
        <is>
          <t>PE</t>
        </is>
      </c>
      <c r="AB724" t="inlineStr">
        <is>
          <t>AW</t>
        </is>
      </c>
      <c r="AC724" t="inlineStr">
        <is>
          <t>22.23-0-2-ERW 1-PE</t>
        </is>
      </c>
      <c r="AD724" t="inlineStr">
        <is>
          <t>LL</t>
        </is>
      </c>
      <c r="AE724" t="inlineStr">
        <is>
          <t>22.23-0-2-ERW 1-PE-1</t>
        </is>
      </c>
      <c r="AF724" t="n">
        <v>0.9972985400000001</v>
      </c>
    </row>
    <row r="725">
      <c r="A725" s="56" t="n">
        <v>3775569</v>
      </c>
      <c r="B725" s="56" t="inlineStr">
        <is>
          <t>TUB-I-C-AUT-AD-FC-12.50X3.250X6.2000</t>
        </is>
      </c>
      <c r="C725" s="56" t="inlineStr">
        <is>
          <t>4B09AK2020</t>
        </is>
      </c>
      <c r="D725" s="57" t="n">
        <v>192.873</v>
      </c>
      <c r="E725" s="58" t="n">
        <v>1510</v>
      </c>
      <c r="F725" s="57" t="n">
        <v>1.51</v>
      </c>
      <c r="G725" s="56" t="inlineStr">
        <is>
          <t>KG</t>
        </is>
      </c>
      <c r="H725" s="56" t="inlineStr">
        <is>
          <t>R001</t>
        </is>
      </c>
      <c r="I725" s="56" t="inlineStr">
        <is>
          <t>0788</t>
        </is>
      </c>
      <c r="J725" s="56" t="inlineStr">
        <is>
          <t>193</t>
        </is>
      </c>
      <c r="K725" s="57" t="n">
        <v>1195.755</v>
      </c>
      <c r="L725" s="56" t="inlineStr"/>
      <c r="M725" s="56" t="inlineStr">
        <is>
          <t>0</t>
        </is>
      </c>
      <c r="N725" s="56" t="inlineStr">
        <is>
          <t>Rajsriya Automotive Industries(P)</t>
        </is>
      </c>
      <c r="O725" s="58" t="n">
        <v>50</v>
      </c>
      <c r="P725" s="59" t="inlineStr">
        <is>
          <t>31-60</t>
        </is>
      </c>
      <c r="Q725" s="56" t="inlineStr">
        <is>
          <t>Apoorv</t>
        </is>
      </c>
      <c r="U725" s="585" t="n">
        <v>2426429</v>
      </c>
      <c r="V725" t="n">
        <v>22.23</v>
      </c>
      <c r="W725" t="n">
        <v>0</v>
      </c>
      <c r="X725" t="n">
        <v>2</v>
      </c>
      <c r="Y725" t="n">
        <v>5.51</v>
      </c>
      <c r="Z725" t="inlineStr">
        <is>
          <t>ST52AL</t>
        </is>
      </c>
      <c r="AA725" t="inlineStr">
        <is>
          <t>PE</t>
        </is>
      </c>
      <c r="AB725" t="inlineStr">
        <is>
          <t>AW</t>
        </is>
      </c>
      <c r="AC725" t="inlineStr">
        <is>
          <t>22.23-0-2-ERW 2 MAHS-PE</t>
        </is>
      </c>
      <c r="AD725" t="inlineStr">
        <is>
          <t>LL</t>
        </is>
      </c>
      <c r="AE725" t="inlineStr">
        <is>
          <t>22.23-0-2-ERW 2 MAHS-PE-1</t>
        </is>
      </c>
      <c r="AF725" t="n">
        <v>0.9972985400000001</v>
      </c>
    </row>
    <row r="726">
      <c r="A726" s="56" t="n">
        <v>3775569</v>
      </c>
      <c r="B726" s="56" t="inlineStr">
        <is>
          <t>TUB-I-C-AUT-AD-FC-12.50X3.250X6.2000</t>
        </is>
      </c>
      <c r="C726" s="56" t="inlineStr">
        <is>
          <t>4B09AK2050</t>
        </is>
      </c>
      <c r="D726" s="57" t="n">
        <v>199.898</v>
      </c>
      <c r="E726" s="58" t="n">
        <v>1565</v>
      </c>
      <c r="F726" s="57" t="n">
        <v>1.565</v>
      </c>
      <c r="G726" s="56" t="inlineStr">
        <is>
          <t>KG</t>
        </is>
      </c>
      <c r="H726" s="56" t="inlineStr">
        <is>
          <t>R001</t>
        </is>
      </c>
      <c r="I726" s="56" t="inlineStr">
        <is>
          <t>0788</t>
        </is>
      </c>
      <c r="J726" s="56" t="inlineStr">
        <is>
          <t>200</t>
        </is>
      </c>
      <c r="K726" s="57" t="n">
        <v>1239.309</v>
      </c>
      <c r="L726" s="56" t="inlineStr"/>
      <c r="M726" s="56" t="inlineStr">
        <is>
          <t>0</t>
        </is>
      </c>
      <c r="N726" s="56" t="inlineStr">
        <is>
          <t>Rajsriya Automotive Industries(P)</t>
        </is>
      </c>
      <c r="O726" s="58" t="n">
        <v>46</v>
      </c>
      <c r="P726" s="59" t="inlineStr">
        <is>
          <t>31-60</t>
        </is>
      </c>
      <c r="Q726" s="56" t="inlineStr">
        <is>
          <t>Apoorv</t>
        </is>
      </c>
      <c r="U726" s="586" t="n">
        <v>110102614</v>
      </c>
      <c r="V726" t="n">
        <v>22.23</v>
      </c>
      <c r="W726" t="n">
        <v>0</v>
      </c>
      <c r="X726" t="n">
        <v>2</v>
      </c>
      <c r="Y726" t="n">
        <v>5.51</v>
      </c>
      <c r="Z726" t="inlineStr">
        <is>
          <t>ST52AL</t>
        </is>
      </c>
      <c r="AA726" t="inlineStr">
        <is>
          <t>PE</t>
        </is>
      </c>
      <c r="AB726" t="inlineStr">
        <is>
          <t>AW</t>
        </is>
      </c>
      <c r="AC726" t="inlineStr">
        <is>
          <t>22.23-0-2-ERW 2 MAHS-PE</t>
        </is>
      </c>
      <c r="AD726" t="inlineStr">
        <is>
          <t>LL</t>
        </is>
      </c>
      <c r="AE726" t="inlineStr">
        <is>
          <t>22.23-0-2-ERW 2 MAHS-PE-1</t>
        </is>
      </c>
      <c r="AF726" t="n">
        <v>0.9972985400000001</v>
      </c>
    </row>
    <row r="727">
      <c r="A727" s="56" t="n">
        <v>3775569</v>
      </c>
      <c r="B727" s="56" t="inlineStr">
        <is>
          <t>TUB-I-C-AUT-AD-FC-12.50X3.250X6.2000</t>
        </is>
      </c>
      <c r="C727" s="56" t="inlineStr">
        <is>
          <t>4B09AK2060</t>
        </is>
      </c>
      <c r="D727" s="57" t="n">
        <v>192.873</v>
      </c>
      <c r="E727" s="58" t="n">
        <v>1510</v>
      </c>
      <c r="F727" s="57" t="n">
        <v>1.51</v>
      </c>
      <c r="G727" s="56" t="inlineStr">
        <is>
          <t>KG</t>
        </is>
      </c>
      <c r="H727" s="56" t="inlineStr">
        <is>
          <t>R001</t>
        </is>
      </c>
      <c r="I727" s="56" t="inlineStr">
        <is>
          <t>0788</t>
        </is>
      </c>
      <c r="J727" s="56" t="inlineStr">
        <is>
          <t>193</t>
        </is>
      </c>
      <c r="K727" s="57" t="n">
        <v>1195.755</v>
      </c>
      <c r="L727" s="56" t="inlineStr"/>
      <c r="M727" s="56" t="inlineStr">
        <is>
          <t>0</t>
        </is>
      </c>
      <c r="N727" s="56" t="inlineStr">
        <is>
          <t>Rajsriya Automotive Industries(P)</t>
        </is>
      </c>
      <c r="O727" s="58" t="n">
        <v>57</v>
      </c>
      <c r="P727" s="59" t="inlineStr">
        <is>
          <t>31-60</t>
        </is>
      </c>
      <c r="Q727" s="56" t="inlineStr">
        <is>
          <t>Apoorv</t>
        </is>
      </c>
      <c r="U727" s="585" t="n">
        <v>3908348</v>
      </c>
      <c r="V727" t="n">
        <v>22.23</v>
      </c>
      <c r="W727" t="n">
        <v>0</v>
      </c>
      <c r="X727" t="n">
        <v>2</v>
      </c>
      <c r="Y727" t="n">
        <v>5.51</v>
      </c>
      <c r="Z727" t="inlineStr">
        <is>
          <t>ST52AL</t>
        </is>
      </c>
      <c r="AA727" t="inlineStr">
        <is>
          <t>PE</t>
        </is>
      </c>
      <c r="AB727" t="inlineStr">
        <is>
          <t>AW</t>
        </is>
      </c>
      <c r="AC727" t="inlineStr">
        <is>
          <t>22.23-0-2-ERW 2 MAHS-PE</t>
        </is>
      </c>
      <c r="AD727" t="inlineStr">
        <is>
          <t>LL</t>
        </is>
      </c>
      <c r="AE727" t="inlineStr">
        <is>
          <t>22.23-0-2-ERW 2 MAHS-PE-1</t>
        </is>
      </c>
      <c r="AF727" t="n">
        <v>0.9972985400000001</v>
      </c>
    </row>
    <row r="728">
      <c r="A728" s="56" t="n">
        <v>3775569</v>
      </c>
      <c r="B728" s="56" t="inlineStr">
        <is>
          <t>TUB-I-C-AUT-AD-FC-12.50X3.250X6.2000</t>
        </is>
      </c>
      <c r="C728" s="56" t="inlineStr">
        <is>
          <t>4B24K38315</t>
        </is>
      </c>
      <c r="D728" s="57" t="n">
        <v>179.844</v>
      </c>
      <c r="E728" s="58" t="n">
        <v>1408</v>
      </c>
      <c r="F728" s="57" t="n">
        <v>1.408</v>
      </c>
      <c r="G728" s="56" t="inlineStr">
        <is>
          <t>KG</t>
        </is>
      </c>
      <c r="H728" s="56" t="inlineStr">
        <is>
          <t>R001</t>
        </is>
      </c>
      <c r="I728" s="56" t="inlineStr">
        <is>
          <t>0788</t>
        </is>
      </c>
      <c r="J728" s="56" t="inlineStr">
        <is>
          <t>180</t>
        </is>
      </c>
      <c r="K728" s="57" t="n">
        <v>1114.983</v>
      </c>
      <c r="L728" s="56" t="inlineStr"/>
      <c r="M728" s="56" t="inlineStr">
        <is>
          <t>0</t>
        </is>
      </c>
      <c r="N728" s="56" t="inlineStr">
        <is>
          <t>Rajsriya Automotive Industries(P)</t>
        </is>
      </c>
      <c r="O728" s="58" t="n">
        <v>50</v>
      </c>
      <c r="P728" s="59" t="inlineStr">
        <is>
          <t>31-60</t>
        </is>
      </c>
      <c r="Q728" s="56" t="inlineStr">
        <is>
          <t>Apoorv</t>
        </is>
      </c>
      <c r="U728" s="586" t="n">
        <v>110102626</v>
      </c>
      <c r="V728" t="n">
        <v>22.23</v>
      </c>
      <c r="W728" t="n">
        <v>0</v>
      </c>
      <c r="X728" t="n">
        <v>2</v>
      </c>
      <c r="Y728" t="n">
        <v>5.61</v>
      </c>
      <c r="Z728" t="inlineStr">
        <is>
          <t>GR1</t>
        </is>
      </c>
      <c r="AA728" t="inlineStr">
        <is>
          <t>PE</t>
        </is>
      </c>
      <c r="AB728" t="inlineStr">
        <is>
          <t>AW</t>
        </is>
      </c>
      <c r="AC728" t="inlineStr">
        <is>
          <t>22.23-0-2-ERW 1-PE</t>
        </is>
      </c>
      <c r="AD728" t="inlineStr">
        <is>
          <t>LL</t>
        </is>
      </c>
      <c r="AE728" t="inlineStr">
        <is>
          <t>22.23-0-2-ERW 1-PE-1</t>
        </is>
      </c>
      <c r="AF728" t="n">
        <v>0.9972985400000001</v>
      </c>
    </row>
    <row r="729">
      <c r="A729" s="56" t="n">
        <v>3775569</v>
      </c>
      <c r="B729" s="56" t="inlineStr">
        <is>
          <t>TUB-I-C-AUT-AD-FC-12.50X3.250X6.2000</t>
        </is>
      </c>
      <c r="C729" s="56" t="inlineStr">
        <is>
          <t>4B24K38316</t>
        </is>
      </c>
      <c r="D729" s="57" t="n">
        <v>185.847</v>
      </c>
      <c r="E729" s="58" t="n">
        <v>1455</v>
      </c>
      <c r="F729" s="57" t="n">
        <v>1.455</v>
      </c>
      <c r="G729" s="56" t="inlineStr">
        <is>
          <t>KG</t>
        </is>
      </c>
      <c r="H729" s="56" t="inlineStr">
        <is>
          <t>R001</t>
        </is>
      </c>
      <c r="I729" s="56" t="inlineStr">
        <is>
          <t>0788</t>
        </is>
      </c>
      <c r="J729" s="56" t="inlineStr">
        <is>
          <t>186</t>
        </is>
      </c>
      <c r="K729" s="57" t="n">
        <v>1152.201</v>
      </c>
      <c r="L729" s="56" t="inlineStr"/>
      <c r="M729" s="56" t="inlineStr">
        <is>
          <t>0</t>
        </is>
      </c>
      <c r="N729" s="56" t="inlineStr">
        <is>
          <t>Rajsriya Automotive Industries(P)</t>
        </is>
      </c>
      <c r="O729" s="58" t="n">
        <v>50</v>
      </c>
      <c r="P729" s="59" t="inlineStr">
        <is>
          <t>31-60</t>
        </is>
      </c>
      <c r="Q729" s="56" t="inlineStr">
        <is>
          <t>Apoorv</t>
        </is>
      </c>
      <c r="U729" s="585" t="n">
        <v>110102615</v>
      </c>
      <c r="V729" t="n">
        <v>22.23</v>
      </c>
      <c r="W729" t="n">
        <v>0</v>
      </c>
      <c r="X729" t="n">
        <v>2</v>
      </c>
      <c r="Y729" t="n">
        <v>5.66</v>
      </c>
      <c r="Z729" t="inlineStr">
        <is>
          <t>ST52AL</t>
        </is>
      </c>
      <c r="AA729" t="inlineStr">
        <is>
          <t>PE</t>
        </is>
      </c>
      <c r="AB729" t="inlineStr">
        <is>
          <t>AW</t>
        </is>
      </c>
      <c r="AC729" t="inlineStr">
        <is>
          <t>22.23-0-2-ERW 1-PE</t>
        </is>
      </c>
      <c r="AD729" t="inlineStr">
        <is>
          <t>LL</t>
        </is>
      </c>
      <c r="AE729" t="inlineStr">
        <is>
          <t>22.23-0-2-ERW 1-PE-1</t>
        </is>
      </c>
      <c r="AF729" t="n">
        <v>0.9972985400000001</v>
      </c>
    </row>
    <row r="730">
      <c r="A730" s="56" t="n">
        <v>3775569</v>
      </c>
      <c r="B730" s="56" t="inlineStr">
        <is>
          <t>TUB-I-C-AUT-AD-FC-12.50X3.250X6.2000</t>
        </is>
      </c>
      <c r="C730" s="56" t="inlineStr">
        <is>
          <t>4B24K38317</t>
        </is>
      </c>
      <c r="D730" s="57" t="n">
        <v>203.857</v>
      </c>
      <c r="E730" s="58" t="n">
        <v>1596</v>
      </c>
      <c r="F730" s="57" t="n">
        <v>1.596</v>
      </c>
      <c r="G730" s="56" t="inlineStr">
        <is>
          <t>KG</t>
        </is>
      </c>
      <c r="H730" s="56" t="inlineStr">
        <is>
          <t>R001</t>
        </is>
      </c>
      <c r="I730" s="56" t="inlineStr">
        <is>
          <t>0788</t>
        </is>
      </c>
      <c r="J730" s="56" t="inlineStr">
        <is>
          <t>204</t>
        </is>
      </c>
      <c r="K730" s="57" t="n">
        <v>1263.858</v>
      </c>
      <c r="L730" s="56" t="inlineStr"/>
      <c r="M730" s="56" t="inlineStr">
        <is>
          <t>0</t>
        </is>
      </c>
      <c r="N730" s="56" t="inlineStr">
        <is>
          <t>Rajsriya Automotive Industries(P)</t>
        </is>
      </c>
      <c r="O730" s="58" t="n">
        <v>50</v>
      </c>
      <c r="P730" s="59" t="inlineStr">
        <is>
          <t>31-60</t>
        </is>
      </c>
      <c r="Q730" s="56" t="inlineStr">
        <is>
          <t>Apoorv</t>
        </is>
      </c>
      <c r="U730" s="585" t="n">
        <v>3586640</v>
      </c>
      <c r="V730" t="n">
        <v>22.23</v>
      </c>
      <c r="W730" t="n">
        <v>0</v>
      </c>
      <c r="X730" t="n">
        <v>2</v>
      </c>
      <c r="Y730" t="n">
        <v>5.75</v>
      </c>
      <c r="Z730" t="inlineStr">
        <is>
          <t>HROP</t>
        </is>
      </c>
      <c r="AA730" t="inlineStr">
        <is>
          <t>PE</t>
        </is>
      </c>
      <c r="AB730" t="inlineStr">
        <is>
          <t>AW</t>
        </is>
      </c>
      <c r="AC730" t="inlineStr">
        <is>
          <t>22.23-0-2-ERW 1-PE</t>
        </is>
      </c>
      <c r="AD730" t="inlineStr">
        <is>
          <t>LL</t>
        </is>
      </c>
      <c r="AE730" t="inlineStr">
        <is>
          <t>22.23-0-2-ERW 1-PE-1</t>
        </is>
      </c>
      <c r="AF730" t="n">
        <v>0.9972985400000001</v>
      </c>
    </row>
    <row r="731">
      <c r="A731" s="56" t="n">
        <v>3775569</v>
      </c>
      <c r="B731" s="56" t="inlineStr">
        <is>
          <t>TUB-I-C-AUT-AD-FC-12.50X3.250X6.2000</t>
        </is>
      </c>
      <c r="C731" s="56" t="inlineStr">
        <is>
          <t>4B24K38318</t>
        </is>
      </c>
      <c r="D731" s="57" t="n">
        <v>203.857</v>
      </c>
      <c r="E731" s="58" t="n">
        <v>1596</v>
      </c>
      <c r="F731" s="57" t="n">
        <v>1.596</v>
      </c>
      <c r="G731" s="56" t="inlineStr">
        <is>
          <t>KG</t>
        </is>
      </c>
      <c r="H731" s="56" t="inlineStr">
        <is>
          <t>R001</t>
        </is>
      </c>
      <c r="I731" s="56" t="inlineStr">
        <is>
          <t>0788</t>
        </is>
      </c>
      <c r="J731" s="56" t="inlineStr">
        <is>
          <t>204</t>
        </is>
      </c>
      <c r="K731" s="57" t="n">
        <v>1263.858</v>
      </c>
      <c r="L731" s="56" t="inlineStr"/>
      <c r="M731" s="56" t="inlineStr">
        <is>
          <t>0</t>
        </is>
      </c>
      <c r="N731" s="56" t="inlineStr">
        <is>
          <t>Rajsriya Automotive Industries(P)</t>
        </is>
      </c>
      <c r="O731" s="58" t="n">
        <v>50</v>
      </c>
      <c r="P731" s="59" t="inlineStr">
        <is>
          <t>31-60</t>
        </is>
      </c>
      <c r="Q731" s="56" t="inlineStr">
        <is>
          <t>Apoorv</t>
        </is>
      </c>
      <c r="U731" s="586" t="n">
        <v>111106953</v>
      </c>
      <c r="V731" t="n">
        <v>22.23</v>
      </c>
      <c r="W731" t="n">
        <v>0</v>
      </c>
      <c r="X731" t="n">
        <v>2</v>
      </c>
      <c r="Y731" t="n">
        <v>5.75</v>
      </c>
      <c r="Z731" t="inlineStr">
        <is>
          <t>HROP</t>
        </is>
      </c>
      <c r="AA731" t="inlineStr">
        <is>
          <t>PE</t>
        </is>
      </c>
      <c r="AB731" t="inlineStr">
        <is>
          <t>AW</t>
        </is>
      </c>
      <c r="AC731" t="inlineStr">
        <is>
          <t>22.23-0-2-ERW 1-PE</t>
        </is>
      </c>
      <c r="AD731" t="inlineStr">
        <is>
          <t>LL</t>
        </is>
      </c>
      <c r="AE731" t="inlineStr">
        <is>
          <t>22.23-0-2-ERW 1-PE-1</t>
        </is>
      </c>
      <c r="AF731" t="n">
        <v>0.9972985400000001</v>
      </c>
    </row>
    <row r="732">
      <c r="A732" s="56" t="n">
        <v>3775569</v>
      </c>
      <c r="B732" s="56" t="inlineStr">
        <is>
          <t>TUB-I-C-AUT-AD-FC-12.50X3.250X6.2000</t>
        </is>
      </c>
      <c r="C732" s="56" t="inlineStr">
        <is>
          <t>4B24K38319</t>
        </is>
      </c>
      <c r="D732" s="57" t="n">
        <v>203.857</v>
      </c>
      <c r="E732" s="58" t="n">
        <v>1596</v>
      </c>
      <c r="F732" s="57" t="n">
        <v>1.596</v>
      </c>
      <c r="G732" s="56" t="inlineStr">
        <is>
          <t>KG</t>
        </is>
      </c>
      <c r="H732" s="56" t="inlineStr">
        <is>
          <t>R001</t>
        </is>
      </c>
      <c r="I732" s="56" t="inlineStr">
        <is>
          <t>0788</t>
        </is>
      </c>
      <c r="J732" s="56" t="inlineStr">
        <is>
          <t>204</t>
        </is>
      </c>
      <c r="K732" s="57" t="n">
        <v>1263.858</v>
      </c>
      <c r="L732" s="56" t="inlineStr"/>
      <c r="M732" s="56" t="inlineStr">
        <is>
          <t>0</t>
        </is>
      </c>
      <c r="N732" s="56" t="inlineStr">
        <is>
          <t>Rajsriya Automotive Industries(P)</t>
        </is>
      </c>
      <c r="O732" s="58" t="n">
        <v>50</v>
      </c>
      <c r="P732" s="59" t="inlineStr">
        <is>
          <t>31-60</t>
        </is>
      </c>
      <c r="Q732" s="56" t="inlineStr">
        <is>
          <t>Apoorv</t>
        </is>
      </c>
      <c r="U732" s="586" t="n">
        <v>111002027</v>
      </c>
      <c r="V732" t="n">
        <v>22.23</v>
      </c>
      <c r="W732" t="n">
        <v>0</v>
      </c>
      <c r="X732" t="n">
        <v>2</v>
      </c>
      <c r="Y732" t="n">
        <v>5.79</v>
      </c>
      <c r="Z732" t="inlineStr">
        <is>
          <t>GR1</t>
        </is>
      </c>
      <c r="AA732" t="inlineStr">
        <is>
          <t>PE</t>
        </is>
      </c>
      <c r="AB732" t="inlineStr">
        <is>
          <t>AW</t>
        </is>
      </c>
      <c r="AC732" t="inlineStr">
        <is>
          <t>22.23-0-2-ERW 1-PE</t>
        </is>
      </c>
      <c r="AD732" t="inlineStr">
        <is>
          <t>LL</t>
        </is>
      </c>
      <c r="AE732" t="inlineStr">
        <is>
          <t>22.23-0-2-ERW 1-PE-1</t>
        </is>
      </c>
      <c r="AF732" t="n">
        <v>0.9972985400000001</v>
      </c>
    </row>
    <row r="733">
      <c r="A733" s="56" t="n">
        <v>3777563</v>
      </c>
      <c r="B733" s="56" t="inlineStr">
        <is>
          <t>TUB-O-N-AUT-AW-FC-54.00X3.00X5.790 HST</t>
        </is>
      </c>
      <c r="C733" s="56" t="inlineStr">
        <is>
          <t>4A31BK3010</t>
        </is>
      </c>
      <c r="D733" s="57" t="n">
        <v>68.03400000000001</v>
      </c>
      <c r="E733" s="58" t="n">
        <v>1463</v>
      </c>
      <c r="F733" s="57" t="n">
        <v>1.463</v>
      </c>
      <c r="G733" s="56" t="inlineStr">
        <is>
          <t>KG</t>
        </is>
      </c>
      <c r="H733" s="56" t="inlineStr">
        <is>
          <t>R001</t>
        </is>
      </c>
      <c r="I733" s="56" t="inlineStr">
        <is>
          <t>0788</t>
        </is>
      </c>
      <c r="J733" s="56" t="inlineStr">
        <is>
          <t>67</t>
        </is>
      </c>
      <c r="K733" s="57" t="n">
        <v>393.915</v>
      </c>
      <c r="L733" s="56" t="inlineStr"/>
      <c r="M733" s="56" t="inlineStr">
        <is>
          <t>0</t>
        </is>
      </c>
      <c r="N733" s="56" t="inlineStr">
        <is>
          <t>Neel Metal Products Limited</t>
        </is>
      </c>
      <c r="O733" s="58" t="n">
        <v>74</v>
      </c>
      <c r="P733" s="59" t="inlineStr">
        <is>
          <t>61-90</t>
        </is>
      </c>
      <c r="Q733" s="56" t="inlineStr">
        <is>
          <t>Apoorv</t>
        </is>
      </c>
      <c r="U733" s="585" t="n">
        <v>3586641</v>
      </c>
      <c r="V733" t="n">
        <v>22.23</v>
      </c>
      <c r="W733" t="n">
        <v>0</v>
      </c>
      <c r="X733" t="n">
        <v>2</v>
      </c>
      <c r="Y733" t="n">
        <v>5.8</v>
      </c>
      <c r="Z733" t="inlineStr">
        <is>
          <t>ST52AL</t>
        </is>
      </c>
      <c r="AA733" t="inlineStr">
        <is>
          <t>PE</t>
        </is>
      </c>
      <c r="AB733" t="inlineStr">
        <is>
          <t>AW</t>
        </is>
      </c>
      <c r="AC733" t="inlineStr">
        <is>
          <t>22.23-0-2-ERW 2 MAHS-PE</t>
        </is>
      </c>
      <c r="AD733" t="inlineStr">
        <is>
          <t>LL</t>
        </is>
      </c>
      <c r="AE733" t="inlineStr">
        <is>
          <t>22.23-0-2-ERW 2 MAHS-PE-1</t>
        </is>
      </c>
      <c r="AF733" t="n">
        <v>0.9972985400000001</v>
      </c>
    </row>
    <row r="734">
      <c r="A734" s="56" t="n">
        <v>3777563</v>
      </c>
      <c r="B734" s="56" t="inlineStr">
        <is>
          <t>TUB-O-N-AUT-AW-FC-54.00X3.00X5.790 HST</t>
        </is>
      </c>
      <c r="C734" s="56" t="inlineStr">
        <is>
          <t>4C29BK3010</t>
        </is>
      </c>
      <c r="D734" s="57" t="n">
        <v>52.827</v>
      </c>
      <c r="E734" s="58" t="n">
        <v>1136</v>
      </c>
      <c r="F734" s="57" t="n">
        <v>1.136</v>
      </c>
      <c r="G734" s="56" t="inlineStr">
        <is>
          <t>KG</t>
        </is>
      </c>
      <c r="H734" s="56" t="inlineStr">
        <is>
          <t>R001</t>
        </is>
      </c>
      <c r="I734" s="56" t="inlineStr">
        <is>
          <t>0788</t>
        </is>
      </c>
      <c r="J734" s="56" t="inlineStr">
        <is>
          <t>52</t>
        </is>
      </c>
      <c r="K734" s="57" t="n">
        <v>305.87</v>
      </c>
      <c r="L734" s="56" t="inlineStr"/>
      <c r="M734" s="56" t="inlineStr">
        <is>
          <t>0</t>
        </is>
      </c>
      <c r="N734" s="56" t="inlineStr">
        <is>
          <t>Neel Metal Products Limited</t>
        </is>
      </c>
      <c r="O734" s="58" t="n">
        <v>13</v>
      </c>
      <c r="P734" s="59" t="inlineStr">
        <is>
          <t>0-30</t>
        </is>
      </c>
      <c r="Q734" s="56" t="inlineStr">
        <is>
          <t>Apoorv</t>
        </is>
      </c>
      <c r="U734" s="586" t="n">
        <v>110102570</v>
      </c>
      <c r="V734" t="n">
        <v>22.23</v>
      </c>
      <c r="W734" t="n">
        <v>0</v>
      </c>
      <c r="X734" t="n">
        <v>2</v>
      </c>
      <c r="Y734" t="n">
        <v>5.825</v>
      </c>
      <c r="Z734" t="inlineStr">
        <is>
          <t>GR1</t>
        </is>
      </c>
      <c r="AA734" t="inlineStr">
        <is>
          <t>PE</t>
        </is>
      </c>
      <c r="AB734" t="inlineStr">
        <is>
          <t>AW</t>
        </is>
      </c>
      <c r="AC734" t="inlineStr">
        <is>
          <t>22.23-0-2-ERW 1-FC</t>
        </is>
      </c>
      <c r="AD734" t="inlineStr">
        <is>
          <t>LL</t>
        </is>
      </c>
      <c r="AE734" t="inlineStr">
        <is>
          <t>22.23-0-2-ERW 1-FC-1</t>
        </is>
      </c>
      <c r="AF734" t="n">
        <v>0.9972985400000001</v>
      </c>
    </row>
    <row r="735">
      <c r="A735" s="56" t="n">
        <v>3777563</v>
      </c>
      <c r="B735" s="56" t="inlineStr">
        <is>
          <t>TUB-O-N-AUT-AW-FC-54.00X3.00X5.790 HST</t>
        </is>
      </c>
      <c r="C735" s="56" t="inlineStr">
        <is>
          <t>4C29BK3020</t>
        </is>
      </c>
      <c r="D735" s="57" t="n">
        <v>76.962</v>
      </c>
      <c r="E735" s="58" t="n">
        <v>1655</v>
      </c>
      <c r="F735" s="57" t="n">
        <v>1.655</v>
      </c>
      <c r="G735" s="56" t="inlineStr">
        <is>
          <t>KG</t>
        </is>
      </c>
      <c r="H735" s="56" t="inlineStr">
        <is>
          <t>R001</t>
        </is>
      </c>
      <c r="I735" s="56" t="inlineStr">
        <is>
          <t>0788</t>
        </is>
      </c>
      <c r="J735" s="56" t="inlineStr">
        <is>
          <t>77</t>
        </is>
      </c>
      <c r="K735" s="57" t="n">
        <v>445.611</v>
      </c>
      <c r="L735" s="56" t="inlineStr"/>
      <c r="M735" s="56" t="inlineStr">
        <is>
          <t>0</t>
        </is>
      </c>
      <c r="N735" s="56" t="inlineStr">
        <is>
          <t>Neel Metal Products Limited</t>
        </is>
      </c>
      <c r="O735" s="58" t="n">
        <v>14</v>
      </c>
      <c r="P735" s="59" t="inlineStr">
        <is>
          <t>0-30</t>
        </is>
      </c>
      <c r="Q735" s="56" t="inlineStr">
        <is>
          <t>Apoorv</t>
        </is>
      </c>
      <c r="U735" s="585" t="n">
        <v>3575899</v>
      </c>
      <c r="V735" t="n">
        <v>22.23</v>
      </c>
      <c r="W735" t="n">
        <v>0</v>
      </c>
      <c r="X735" t="n">
        <v>2</v>
      </c>
      <c r="Y735" t="n">
        <v>5.85</v>
      </c>
      <c r="Z735" t="inlineStr">
        <is>
          <t>HROP</t>
        </is>
      </c>
      <c r="AA735" t="inlineStr">
        <is>
          <t>PE</t>
        </is>
      </c>
      <c r="AB735" t="inlineStr">
        <is>
          <t>AW</t>
        </is>
      </c>
      <c r="AC735" t="inlineStr">
        <is>
          <t>22.23-0-2-ERW 1-PE</t>
        </is>
      </c>
      <c r="AD735" t="inlineStr">
        <is>
          <t>LL</t>
        </is>
      </c>
      <c r="AE735" t="inlineStr">
        <is>
          <t>22.23-0-2-ERW 1-PE-1</t>
        </is>
      </c>
      <c r="AF735" t="n">
        <v>0.9972985400000001</v>
      </c>
    </row>
    <row r="736">
      <c r="A736" s="56" t="n">
        <v>3777563</v>
      </c>
      <c r="B736" s="56" t="inlineStr">
        <is>
          <t>TUB-O-N-AUT-AW-FC-54.00X3.00X5.790 HST</t>
        </is>
      </c>
      <c r="C736" s="56" t="inlineStr">
        <is>
          <t>4C29BK3030</t>
        </is>
      </c>
      <c r="D736" s="57" t="n">
        <v>35.993</v>
      </c>
      <c r="E736" s="58" t="n">
        <v>774</v>
      </c>
      <c r="F736" s="57" t="n">
        <v>0.774</v>
      </c>
      <c r="G736" s="56" t="inlineStr">
        <is>
          <t>KG</t>
        </is>
      </c>
      <c r="H736" s="56" t="inlineStr">
        <is>
          <t>R001</t>
        </is>
      </c>
      <c r="I736" s="56" t="inlineStr">
        <is>
          <t>0788</t>
        </is>
      </c>
      <c r="J736" s="56" t="inlineStr">
        <is>
          <t>36</t>
        </is>
      </c>
      <c r="K736" s="57" t="n">
        <v>208.401</v>
      </c>
      <c r="L736" s="56" t="inlineStr"/>
      <c r="M736" s="56" t="inlineStr">
        <is>
          <t>0</t>
        </is>
      </c>
      <c r="N736" s="56" t="inlineStr">
        <is>
          <t>Neel Metal Products Limited</t>
        </is>
      </c>
      <c r="O736" s="58" t="n">
        <v>11</v>
      </c>
      <c r="P736" s="59" t="inlineStr">
        <is>
          <t>0-30</t>
        </is>
      </c>
      <c r="Q736" s="56" t="inlineStr">
        <is>
          <t>Apoorv</t>
        </is>
      </c>
      <c r="U736" s="585" t="n">
        <v>1940493</v>
      </c>
      <c r="V736" t="n">
        <v>22.23</v>
      </c>
      <c r="W736" t="n">
        <v>0</v>
      </c>
      <c r="X736" t="n">
        <v>2</v>
      </c>
      <c r="Y736" t="n">
        <v>6</v>
      </c>
      <c r="Z736" t="inlineStr">
        <is>
          <t>WG</t>
        </is>
      </c>
      <c r="AA736" t="inlineStr">
        <is>
          <t>PE</t>
        </is>
      </c>
      <c r="AB736" t="inlineStr">
        <is>
          <t>AW</t>
        </is>
      </c>
      <c r="AC736" t="inlineStr">
        <is>
          <t>22.23-0-2-ERW 1-PE</t>
        </is>
      </c>
      <c r="AD736" t="inlineStr">
        <is>
          <t>LL</t>
        </is>
      </c>
      <c r="AE736" t="inlineStr">
        <is>
          <t>22.23-0-2-ERW 1-PE-1</t>
        </is>
      </c>
      <c r="AF736" t="n">
        <v>0.9972985400000001</v>
      </c>
    </row>
    <row r="737">
      <c r="A737" s="56" t="n">
        <v>3777563</v>
      </c>
      <c r="B737" s="56" t="inlineStr">
        <is>
          <t>TUB-O-N-AUT-AW-FC-54.00X3.00X5.790 HST</t>
        </is>
      </c>
      <c r="C737" s="56" t="inlineStr">
        <is>
          <t>4C29BK3040</t>
        </is>
      </c>
      <c r="D737" s="57" t="n">
        <v>34.97</v>
      </c>
      <c r="E737" s="58" t="n">
        <v>752</v>
      </c>
      <c r="F737" s="57" t="n">
        <v>0.752</v>
      </c>
      <c r="G737" s="56" t="inlineStr">
        <is>
          <t>KG</t>
        </is>
      </c>
      <c r="H737" s="56" t="inlineStr">
        <is>
          <t>R001</t>
        </is>
      </c>
      <c r="I737" s="56" t="inlineStr">
        <is>
          <t>0788</t>
        </is>
      </c>
      <c r="J737" s="56" t="inlineStr">
        <is>
          <t>35</t>
        </is>
      </c>
      <c r="K737" s="57" t="n">
        <v>202.477</v>
      </c>
      <c r="L737" s="56" t="inlineStr"/>
      <c r="M737" s="56" t="inlineStr">
        <is>
          <t>0</t>
        </is>
      </c>
      <c r="N737" s="56" t="inlineStr">
        <is>
          <t>Neel Metal Products Limited</t>
        </is>
      </c>
      <c r="O737" s="58" t="n">
        <v>14</v>
      </c>
      <c r="P737" s="59" t="inlineStr">
        <is>
          <t>0-30</t>
        </is>
      </c>
      <c r="Q737" s="56" t="inlineStr">
        <is>
          <t>Apoorv</t>
        </is>
      </c>
      <c r="U737" s="585" t="n">
        <v>1940494</v>
      </c>
      <c r="V737" t="n">
        <v>22.23</v>
      </c>
      <c r="W737" t="n">
        <v>0</v>
      </c>
      <c r="X737" t="n">
        <v>2</v>
      </c>
      <c r="Y737" t="n">
        <v>6</v>
      </c>
      <c r="Z737" t="inlineStr">
        <is>
          <t>GR1</t>
        </is>
      </c>
      <c r="AA737" t="inlineStr">
        <is>
          <t>PE</t>
        </is>
      </c>
      <c r="AB737" t="inlineStr">
        <is>
          <t>AW</t>
        </is>
      </c>
      <c r="AC737" t="inlineStr">
        <is>
          <t>22.23-0-2-ERW 1-PE</t>
        </is>
      </c>
      <c r="AD737" t="inlineStr">
        <is>
          <t>LL</t>
        </is>
      </c>
      <c r="AE737" t="inlineStr">
        <is>
          <t>22.23-0-2-ERW 1-PE-1</t>
        </is>
      </c>
      <c r="AF737" t="n">
        <v>0.9972985400000001</v>
      </c>
    </row>
    <row r="738">
      <c r="A738" s="56" t="n">
        <v>3777563</v>
      </c>
      <c r="B738" s="56" t="inlineStr">
        <is>
          <t>TUB-O-N-AUT-AW-FC-54.00X3.00X5.790 HST</t>
        </is>
      </c>
      <c r="C738" s="56" t="inlineStr">
        <is>
          <t>4C29BK3050</t>
        </is>
      </c>
      <c r="D738" s="57" t="n">
        <v>69.98699999999999</v>
      </c>
      <c r="E738" s="58" t="n">
        <v>1505</v>
      </c>
      <c r="F738" s="57" t="n">
        <v>1.505</v>
      </c>
      <c r="G738" s="56" t="inlineStr">
        <is>
          <t>KG</t>
        </is>
      </c>
      <c r="H738" s="56" t="inlineStr">
        <is>
          <t>R001</t>
        </is>
      </c>
      <c r="I738" s="56" t="inlineStr">
        <is>
          <t>0788</t>
        </is>
      </c>
      <c r="J738" s="56" t="inlineStr">
        <is>
          <t>70</t>
        </is>
      </c>
      <c r="K738" s="57" t="n">
        <v>405.223</v>
      </c>
      <c r="L738" s="56" t="inlineStr"/>
      <c r="M738" s="56" t="inlineStr">
        <is>
          <t>0</t>
        </is>
      </c>
      <c r="N738" s="56" t="inlineStr">
        <is>
          <t>Neel Metal Products Limited</t>
        </is>
      </c>
      <c r="O738" s="58" t="n">
        <v>11</v>
      </c>
      <c r="P738" s="59" t="inlineStr">
        <is>
          <t>0-30</t>
        </is>
      </c>
      <c r="Q738" s="56" t="inlineStr">
        <is>
          <t>Apoorv</t>
        </is>
      </c>
      <c r="U738" s="585" t="n">
        <v>2427582</v>
      </c>
      <c r="V738" t="n">
        <v>22.23</v>
      </c>
      <c r="W738" t="n">
        <v>0</v>
      </c>
      <c r="X738" t="n">
        <v>2</v>
      </c>
      <c r="Y738" t="n">
        <v>6</v>
      </c>
      <c r="Z738" t="inlineStr">
        <is>
          <t>ST52AL</t>
        </is>
      </c>
      <c r="AA738" t="inlineStr">
        <is>
          <t>PE</t>
        </is>
      </c>
      <c r="AB738" t="inlineStr">
        <is>
          <t>AW</t>
        </is>
      </c>
      <c r="AC738" t="inlineStr">
        <is>
          <t>22.23-0-2-ERW 2 MAHS-PE</t>
        </is>
      </c>
      <c r="AD738" t="inlineStr">
        <is>
          <t>LL</t>
        </is>
      </c>
      <c r="AE738" t="inlineStr">
        <is>
          <t>22.23-0-2-ERW 2 MAHS-PE-1</t>
        </is>
      </c>
      <c r="AF738" t="n">
        <v>0.9972985400000001</v>
      </c>
    </row>
    <row r="739">
      <c r="A739" s="56" t="n">
        <v>3777563</v>
      </c>
      <c r="B739" s="56" t="inlineStr">
        <is>
          <t>TUB-O-N-AUT-AW-FC-54.00X3.00X5.790 HST</t>
        </is>
      </c>
      <c r="C739" s="56" t="inlineStr">
        <is>
          <t>4C29CK3010</t>
        </is>
      </c>
      <c r="D739" s="57" t="n">
        <v>59.896</v>
      </c>
      <c r="E739" s="58" t="n">
        <v>1288</v>
      </c>
      <c r="F739" s="57" t="n">
        <v>1.288</v>
      </c>
      <c r="G739" s="56" t="inlineStr">
        <is>
          <t>KG</t>
        </is>
      </c>
      <c r="H739" s="56" t="inlineStr">
        <is>
          <t>R001</t>
        </is>
      </c>
      <c r="I739" s="56" t="inlineStr">
        <is>
          <t>0788</t>
        </is>
      </c>
      <c r="J739" s="56" t="inlineStr">
        <is>
          <t>59</t>
        </is>
      </c>
      <c r="K739" s="57" t="n">
        <v>346.796</v>
      </c>
      <c r="L739" s="56" t="inlineStr"/>
      <c r="M739" s="56" t="inlineStr">
        <is>
          <t>0</t>
        </is>
      </c>
      <c r="N739" s="56" t="inlineStr">
        <is>
          <t>Neel Metal Products Limited</t>
        </is>
      </c>
      <c r="O739" s="58" t="n">
        <v>14</v>
      </c>
      <c r="P739" s="59" t="inlineStr">
        <is>
          <t>0-30</t>
        </is>
      </c>
      <c r="Q739" s="56" t="inlineStr">
        <is>
          <t>Apoorv</t>
        </is>
      </c>
      <c r="U739" s="586" t="n">
        <v>111002657</v>
      </c>
      <c r="V739" t="n">
        <v>22.23</v>
      </c>
      <c r="W739" t="n">
        <v>0</v>
      </c>
      <c r="X739" t="n">
        <v>2</v>
      </c>
      <c r="Y739" t="n">
        <v>6</v>
      </c>
      <c r="Z739" t="inlineStr">
        <is>
          <t>ST52AL</t>
        </is>
      </c>
      <c r="AA739" t="inlineStr">
        <is>
          <t>PE</t>
        </is>
      </c>
      <c r="AB739" t="inlineStr">
        <is>
          <t>AW</t>
        </is>
      </c>
      <c r="AC739" t="inlineStr">
        <is>
          <t>22.23-0-2-ERW 2 MAHS-FC</t>
        </is>
      </c>
      <c r="AD739" t="inlineStr">
        <is>
          <t>LL</t>
        </is>
      </c>
      <c r="AE739" t="inlineStr">
        <is>
          <t>22.23-0-2-ERW 2 MAHS-FC-1</t>
        </is>
      </c>
      <c r="AF739" t="n">
        <v>0.9972985400000001</v>
      </c>
    </row>
    <row r="740">
      <c r="A740" s="56" t="n">
        <v>3777563</v>
      </c>
      <c r="B740" s="56" t="inlineStr">
        <is>
          <t>TUB-O-N-AUT-AW-FC-54.00X3.00X5.790 HST</t>
        </is>
      </c>
      <c r="C740" s="56" t="inlineStr">
        <is>
          <t>4C29CK3020</t>
        </is>
      </c>
      <c r="D740" s="57" t="n">
        <v>81.938</v>
      </c>
      <c r="E740" s="58" t="n">
        <v>1762</v>
      </c>
      <c r="F740" s="57" t="n">
        <v>1.762</v>
      </c>
      <c r="G740" s="56" t="inlineStr">
        <is>
          <t>KG</t>
        </is>
      </c>
      <c r="H740" s="56" t="inlineStr">
        <is>
          <t>R001</t>
        </is>
      </c>
      <c r="I740" s="56" t="inlineStr">
        <is>
          <t>0788</t>
        </is>
      </c>
      <c r="J740" s="56" t="inlineStr">
        <is>
          <t>82</t>
        </is>
      </c>
      <c r="K740" s="57" t="n">
        <v>474.421</v>
      </c>
      <c r="L740" s="56" t="inlineStr"/>
      <c r="M740" s="56" t="inlineStr">
        <is>
          <t>0</t>
        </is>
      </c>
      <c r="N740" s="56" t="inlineStr">
        <is>
          <t>Neel Metal Products Limited</t>
        </is>
      </c>
      <c r="O740" s="58" t="n">
        <v>14</v>
      </c>
      <c r="P740" s="59" t="inlineStr">
        <is>
          <t>0-30</t>
        </is>
      </c>
      <c r="Q740" s="56" t="inlineStr">
        <is>
          <t>Apoorv</t>
        </is>
      </c>
      <c r="U740" s="585" t="n">
        <v>1931535</v>
      </c>
      <c r="V740" t="n">
        <v>22.23</v>
      </c>
      <c r="W740" t="n">
        <v>0</v>
      </c>
      <c r="X740" t="n">
        <v>2</v>
      </c>
      <c r="Y740" t="n">
        <v>6</v>
      </c>
      <c r="Z740" t="inlineStr">
        <is>
          <t>D</t>
        </is>
      </c>
      <c r="AA740" t="inlineStr">
        <is>
          <t>PE</t>
        </is>
      </c>
      <c r="AB740" t="inlineStr">
        <is>
          <t>AW</t>
        </is>
      </c>
      <c r="AC740" t="inlineStr">
        <is>
          <t>22.23-0-2-ERW 1-PE</t>
        </is>
      </c>
      <c r="AD740" t="inlineStr">
        <is>
          <t>LL</t>
        </is>
      </c>
      <c r="AE740" t="inlineStr">
        <is>
          <t>22.23-0-2-ERW 1-PE-1</t>
        </is>
      </c>
      <c r="AF740" t="n">
        <v>0.9972985400000001</v>
      </c>
    </row>
    <row r="741">
      <c r="A741" s="56" t="n">
        <v>3777563</v>
      </c>
      <c r="B741" s="56" t="inlineStr">
        <is>
          <t>TUB-O-N-AUT-AW-FC-54.00X3.00X5.790 HST</t>
        </is>
      </c>
      <c r="C741" s="56" t="inlineStr">
        <is>
          <t>4C29CK3030</t>
        </is>
      </c>
      <c r="D741" s="57" t="n">
        <v>77.985</v>
      </c>
      <c r="E741" s="58" t="n">
        <v>1677</v>
      </c>
      <c r="F741" s="57" t="n">
        <v>1.677</v>
      </c>
      <c r="G741" s="56" t="inlineStr">
        <is>
          <t>KG</t>
        </is>
      </c>
      <c r="H741" s="56" t="inlineStr">
        <is>
          <t>R001</t>
        </is>
      </c>
      <c r="I741" s="56" t="inlineStr">
        <is>
          <t>0788</t>
        </is>
      </c>
      <c r="J741" s="56" t="inlineStr">
        <is>
          <t>78</t>
        </is>
      </c>
      <c r="K741" s="57" t="n">
        <v>451.535</v>
      </c>
      <c r="L741" s="56" t="inlineStr"/>
      <c r="M741" s="56" t="inlineStr">
        <is>
          <t>0</t>
        </is>
      </c>
      <c r="N741" s="56" t="inlineStr">
        <is>
          <t>Neel Metal Products Limited</t>
        </is>
      </c>
      <c r="O741" s="58" t="n">
        <v>9</v>
      </c>
      <c r="P741" s="59" t="inlineStr">
        <is>
          <t>0-30</t>
        </is>
      </c>
      <c r="Q741" s="56" t="inlineStr">
        <is>
          <t>Apoorv</t>
        </is>
      </c>
      <c r="U741" s="585" t="n">
        <v>3410966</v>
      </c>
      <c r="V741" t="n">
        <v>22.23</v>
      </c>
      <c r="W741" t="n">
        <v>0</v>
      </c>
      <c r="X741" t="n">
        <v>2</v>
      </c>
      <c r="Y741" t="n">
        <v>6</v>
      </c>
      <c r="Z741" t="inlineStr">
        <is>
          <t>SAE1020</t>
        </is>
      </c>
      <c r="AA741" t="inlineStr">
        <is>
          <t>FC</t>
        </is>
      </c>
      <c r="AB741" t="inlineStr">
        <is>
          <t>AW</t>
        </is>
      </c>
      <c r="AC741" t="inlineStr">
        <is>
          <t>22.23-0-2-ERW 2-FC</t>
        </is>
      </c>
      <c r="AD741" t="inlineStr">
        <is>
          <t>LL</t>
        </is>
      </c>
      <c r="AE741" t="inlineStr">
        <is>
          <t>22.23-0-2-ERW 2-FC-1</t>
        </is>
      </c>
      <c r="AF741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742">
      <c r="A742" s="56" t="n">
        <v>3777563</v>
      </c>
      <c r="B742" s="56" t="inlineStr">
        <is>
          <t>TUB-O-N-AUT-AW-FC-54.00X3.00X5.790 HST</t>
        </is>
      </c>
      <c r="C742" s="56" t="inlineStr">
        <is>
          <t>4C29CK3040</t>
        </is>
      </c>
      <c r="D742" s="57" t="n">
        <v>75.986</v>
      </c>
      <c r="E742" s="58" t="n">
        <v>1634</v>
      </c>
      <c r="F742" s="57" t="n">
        <v>1.634</v>
      </c>
      <c r="G742" s="56" t="inlineStr">
        <is>
          <t>KG</t>
        </is>
      </c>
      <c r="H742" s="56" t="inlineStr">
        <is>
          <t>R001</t>
        </is>
      </c>
      <c r="I742" s="56" t="inlineStr">
        <is>
          <t>0788</t>
        </is>
      </c>
      <c r="J742" s="56" t="inlineStr">
        <is>
          <t>76</t>
        </is>
      </c>
      <c r="K742" s="57" t="n">
        <v>439.957</v>
      </c>
      <c r="L742" s="56" t="inlineStr"/>
      <c r="M742" s="56" t="inlineStr">
        <is>
          <t>0</t>
        </is>
      </c>
      <c r="N742" s="56" t="inlineStr">
        <is>
          <t>Neel Metal Products Limited</t>
        </is>
      </c>
      <c r="O742" s="58" t="n">
        <v>13</v>
      </c>
      <c r="P742" s="59" t="inlineStr">
        <is>
          <t>0-30</t>
        </is>
      </c>
      <c r="Q742" s="56" t="inlineStr">
        <is>
          <t>Apoorv</t>
        </is>
      </c>
      <c r="U742" s="585" t="n">
        <v>3576131</v>
      </c>
      <c r="V742" t="n">
        <v>22.23</v>
      </c>
      <c r="W742" t="n">
        <v>0</v>
      </c>
      <c r="X742" t="n">
        <v>2</v>
      </c>
      <c r="Y742" t="n">
        <v>6.035</v>
      </c>
      <c r="Z742" t="inlineStr">
        <is>
          <t>HROP</t>
        </is>
      </c>
      <c r="AA742" t="inlineStr">
        <is>
          <t>PE</t>
        </is>
      </c>
      <c r="AB742" t="inlineStr">
        <is>
          <t>AW</t>
        </is>
      </c>
      <c r="AC742" t="inlineStr">
        <is>
          <t>22.23-0-2-ERW 1-PE</t>
        </is>
      </c>
      <c r="AD742" t="inlineStr">
        <is>
          <t>LL</t>
        </is>
      </c>
      <c r="AE742" t="inlineStr">
        <is>
          <t>22.23-0-2-ERW 1-PE-1</t>
        </is>
      </c>
      <c r="AF742" t="n">
        <v>0.9972985400000001</v>
      </c>
    </row>
    <row r="743">
      <c r="A743" s="56" t="n">
        <v>3777563</v>
      </c>
      <c r="B743" s="56" t="inlineStr">
        <is>
          <t>TUB-O-N-AUT-AW-FC-54.00X3.00X5.790 HST</t>
        </is>
      </c>
      <c r="C743" s="56" t="inlineStr">
        <is>
          <t>4C29CK3050</t>
        </is>
      </c>
      <c r="D743" s="57" t="n">
        <v>77.985</v>
      </c>
      <c r="E743" s="58" t="n">
        <v>1677</v>
      </c>
      <c r="F743" s="57" t="n">
        <v>1.677</v>
      </c>
      <c r="G743" s="56" t="inlineStr">
        <is>
          <t>KG</t>
        </is>
      </c>
      <c r="H743" s="56" t="inlineStr">
        <is>
          <t>R001</t>
        </is>
      </c>
      <c r="I743" s="56" t="inlineStr">
        <is>
          <t>0788</t>
        </is>
      </c>
      <c r="J743" s="56" t="inlineStr">
        <is>
          <t>78</t>
        </is>
      </c>
      <c r="K743" s="57" t="n">
        <v>451.535</v>
      </c>
      <c r="L743" s="56" t="inlineStr"/>
      <c r="M743" s="56" t="inlineStr">
        <is>
          <t>0</t>
        </is>
      </c>
      <c r="N743" s="56" t="inlineStr">
        <is>
          <t>Neel Metal Products Limited</t>
        </is>
      </c>
      <c r="O743" s="58" t="n">
        <v>14</v>
      </c>
      <c r="P743" s="59" t="inlineStr">
        <is>
          <t>0-30</t>
        </is>
      </c>
      <c r="Q743" s="56" t="inlineStr">
        <is>
          <t>Apoorv</t>
        </is>
      </c>
      <c r="U743" s="586" t="n">
        <v>110102574</v>
      </c>
      <c r="V743" t="n">
        <v>22.23</v>
      </c>
      <c r="W743" t="n">
        <v>0</v>
      </c>
      <c r="X743" t="n">
        <v>2</v>
      </c>
      <c r="Y743" t="n">
        <v>6.035</v>
      </c>
      <c r="Z743" t="inlineStr">
        <is>
          <t>GR1</t>
        </is>
      </c>
      <c r="AA743" t="inlineStr">
        <is>
          <t>PE</t>
        </is>
      </c>
      <c r="AB743" t="inlineStr">
        <is>
          <t>AW</t>
        </is>
      </c>
      <c r="AC743" t="inlineStr">
        <is>
          <t>22.23-0-2-ERW 1-PE</t>
        </is>
      </c>
      <c r="AD743" t="inlineStr">
        <is>
          <t>LL</t>
        </is>
      </c>
      <c r="AE743" t="inlineStr">
        <is>
          <t>22.23-0-2-ERW 1-PE-1</t>
        </is>
      </c>
      <c r="AF743" t="n">
        <v>0.9972985400000001</v>
      </c>
    </row>
    <row r="744">
      <c r="A744" s="56" t="n">
        <v>3777563</v>
      </c>
      <c r="B744" s="56" t="inlineStr">
        <is>
          <t>TUB-O-N-AUT-AW-FC-54.00X3.00X5.790 HST</t>
        </is>
      </c>
      <c r="C744" s="56" t="inlineStr">
        <is>
          <t>4C29CK3060</t>
        </is>
      </c>
      <c r="D744" s="57" t="n">
        <v>76.962</v>
      </c>
      <c r="E744" s="58" t="n">
        <v>1655</v>
      </c>
      <c r="F744" s="57" t="n">
        <v>1.655</v>
      </c>
      <c r="G744" s="56" t="inlineStr">
        <is>
          <t>KG</t>
        </is>
      </c>
      <c r="H744" s="56" t="inlineStr">
        <is>
          <t>R001</t>
        </is>
      </c>
      <c r="I744" s="56" t="inlineStr">
        <is>
          <t>0788</t>
        </is>
      </c>
      <c r="J744" s="56" t="inlineStr">
        <is>
          <t>77</t>
        </is>
      </c>
      <c r="K744" s="57" t="n">
        <v>445.611</v>
      </c>
      <c r="L744" s="56" t="inlineStr"/>
      <c r="M744" s="56" t="inlineStr">
        <is>
          <t>0</t>
        </is>
      </c>
      <c r="N744" s="56" t="inlineStr">
        <is>
          <t>Neel Metal Products Limited</t>
        </is>
      </c>
      <c r="O744" s="58" t="n">
        <v>14</v>
      </c>
      <c r="P744" s="59" t="inlineStr">
        <is>
          <t>0-30</t>
        </is>
      </c>
      <c r="Q744" s="56" t="inlineStr">
        <is>
          <t>Apoorv</t>
        </is>
      </c>
      <c r="U744" s="586" t="n">
        <v>111002695</v>
      </c>
      <c r="V744" t="n">
        <v>22.23</v>
      </c>
      <c r="W744" t="n">
        <v>0</v>
      </c>
      <c r="X744" t="n">
        <v>2</v>
      </c>
      <c r="Y744" t="n">
        <v>6.075</v>
      </c>
      <c r="Z744" t="inlineStr">
        <is>
          <t>SAE1020</t>
        </is>
      </c>
      <c r="AA744" t="inlineStr">
        <is>
          <t>PE</t>
        </is>
      </c>
      <c r="AB744" t="inlineStr">
        <is>
          <t>AW</t>
        </is>
      </c>
      <c r="AC744" t="inlineStr">
        <is>
          <t>22.23-0-2-ERW 2-FC</t>
        </is>
      </c>
      <c r="AD744" t="inlineStr">
        <is>
          <t>LL</t>
        </is>
      </c>
      <c r="AE744" t="inlineStr">
        <is>
          <t>22.23-0-2-ERW 2-FC-1</t>
        </is>
      </c>
      <c r="AF744" t="n">
        <v>0.9972985400000001</v>
      </c>
    </row>
    <row r="745">
      <c r="A745" s="56" t="n">
        <v>3777563</v>
      </c>
      <c r="B745" s="56" t="inlineStr">
        <is>
          <t>TUB-O-N-AUT-AW-FC-54.00X3.00X5.790 HST</t>
        </is>
      </c>
      <c r="C745" s="56" t="inlineStr">
        <is>
          <t>4C29CK3070</t>
        </is>
      </c>
      <c r="D745" s="57" t="n">
        <v>77.985</v>
      </c>
      <c r="E745" s="58" t="n">
        <v>1677</v>
      </c>
      <c r="F745" s="57" t="n">
        <v>1.677</v>
      </c>
      <c r="G745" s="56" t="inlineStr">
        <is>
          <t>KG</t>
        </is>
      </c>
      <c r="H745" s="56" t="inlineStr">
        <is>
          <t>R001</t>
        </is>
      </c>
      <c r="I745" s="56" t="inlineStr">
        <is>
          <t>0788</t>
        </is>
      </c>
      <c r="J745" s="56" t="inlineStr">
        <is>
          <t>78</t>
        </is>
      </c>
      <c r="K745" s="57" t="n">
        <v>451.535</v>
      </c>
      <c r="L745" s="56" t="inlineStr"/>
      <c r="M745" s="56" t="inlineStr">
        <is>
          <t>0</t>
        </is>
      </c>
      <c r="N745" s="56" t="inlineStr">
        <is>
          <t>Neel Metal Products Limited</t>
        </is>
      </c>
      <c r="O745" s="58" t="n">
        <v>14</v>
      </c>
      <c r="P745" s="59" t="inlineStr">
        <is>
          <t>0-30</t>
        </is>
      </c>
      <c r="Q745" s="56" t="inlineStr">
        <is>
          <t>Apoorv</t>
        </is>
      </c>
      <c r="U745" s="586" t="n">
        <v>110102595</v>
      </c>
      <c r="V745" t="n">
        <v>22.23</v>
      </c>
      <c r="W745" t="n">
        <v>0</v>
      </c>
      <c r="X745" t="n">
        <v>2</v>
      </c>
      <c r="Y745" t="n">
        <v>6.114</v>
      </c>
      <c r="Z745" t="inlineStr">
        <is>
          <t>GR1</t>
        </is>
      </c>
      <c r="AA745" t="inlineStr">
        <is>
          <t>PE</t>
        </is>
      </c>
      <c r="AB745" t="inlineStr">
        <is>
          <t>AW</t>
        </is>
      </c>
      <c r="AC745" t="inlineStr">
        <is>
          <t>22.23-0-2-ERW 1-PE</t>
        </is>
      </c>
      <c r="AD745" t="inlineStr">
        <is>
          <t>LL</t>
        </is>
      </c>
      <c r="AE745" t="inlineStr">
        <is>
          <t>22.23-0-2-ERW 1-PE-1</t>
        </is>
      </c>
      <c r="AF745" t="n">
        <v>0.9972985400000001</v>
      </c>
    </row>
    <row r="746">
      <c r="A746" s="56" t="n">
        <v>3777563</v>
      </c>
      <c r="B746" s="56" t="inlineStr">
        <is>
          <t>TUB-O-N-AUT-AW-FC-54.00X3.00X5.790 HST</t>
        </is>
      </c>
      <c r="C746" s="56" t="inlineStr">
        <is>
          <t>4C29CK3080</t>
        </is>
      </c>
      <c r="D746" s="57" t="n">
        <v>78.962</v>
      </c>
      <c r="E746" s="58" t="n">
        <v>1698</v>
      </c>
      <c r="F746" s="57" t="n">
        <v>1.698</v>
      </c>
      <c r="G746" s="56" t="inlineStr">
        <is>
          <t>KG</t>
        </is>
      </c>
      <c r="H746" s="56" t="inlineStr">
        <is>
          <t>R001</t>
        </is>
      </c>
      <c r="I746" s="56" t="inlineStr">
        <is>
          <t>0788</t>
        </is>
      </c>
      <c r="J746" s="56" t="inlineStr">
        <is>
          <t>79</t>
        </is>
      </c>
      <c r="K746" s="57" t="n">
        <v>457.189</v>
      </c>
      <c r="L746" s="56" t="inlineStr"/>
      <c r="M746" s="56" t="inlineStr">
        <is>
          <t>0</t>
        </is>
      </c>
      <c r="N746" s="56" t="inlineStr">
        <is>
          <t>Neel Metal Products Limited</t>
        </is>
      </c>
      <c r="O746" s="58" t="n">
        <v>14</v>
      </c>
      <c r="P746" s="59" t="inlineStr">
        <is>
          <t>0-30</t>
        </is>
      </c>
      <c r="Q746" s="56" t="inlineStr">
        <is>
          <t>Apoorv</t>
        </is>
      </c>
      <c r="U746" s="585" t="n">
        <v>3804796</v>
      </c>
      <c r="V746" t="n">
        <v>22.23</v>
      </c>
      <c r="W746" t="n">
        <v>0</v>
      </c>
      <c r="X746" t="n">
        <v>2</v>
      </c>
      <c r="Y746" t="n">
        <v>6.133</v>
      </c>
      <c r="Z746" t="inlineStr">
        <is>
          <t>ST52AL</t>
        </is>
      </c>
      <c r="AA746" t="inlineStr">
        <is>
          <t>PE</t>
        </is>
      </c>
      <c r="AB746" t="inlineStr">
        <is>
          <t>AW</t>
        </is>
      </c>
      <c r="AC746" t="inlineStr">
        <is>
          <t>22.23-0-2-ERW 2 MAHS-PE</t>
        </is>
      </c>
      <c r="AD746" t="inlineStr">
        <is>
          <t>LL</t>
        </is>
      </c>
      <c r="AE746" t="inlineStr">
        <is>
          <t>22.23-0-2-ERW 2 MAHS-PE-1</t>
        </is>
      </c>
      <c r="AF746" t="n">
        <v>0.9972985400000001</v>
      </c>
    </row>
    <row r="747">
      <c r="A747" s="56" t="n">
        <v>3777563</v>
      </c>
      <c r="B747" s="56" t="inlineStr">
        <is>
          <t>TUB-O-N-AUT-AW-FC-54.00X3.00X5.790 HST</t>
        </is>
      </c>
      <c r="C747" s="56" t="inlineStr">
        <is>
          <t>4C29CK3090</t>
        </is>
      </c>
      <c r="D747" s="57" t="n">
        <v>64.965</v>
      </c>
      <c r="E747" s="58" t="n">
        <v>1397</v>
      </c>
      <c r="F747" s="57" t="n">
        <v>1.397</v>
      </c>
      <c r="G747" s="56" t="inlineStr">
        <is>
          <t>KG</t>
        </is>
      </c>
      <c r="H747" s="56" t="inlineStr">
        <is>
          <t>R001</t>
        </is>
      </c>
      <c r="I747" s="56" t="inlineStr">
        <is>
          <t>0788</t>
        </is>
      </c>
      <c r="J747" s="56" t="inlineStr">
        <is>
          <t>65</t>
        </is>
      </c>
      <c r="K747" s="57" t="n">
        <v>376.144</v>
      </c>
      <c r="L747" s="56" t="inlineStr"/>
      <c r="M747" s="56" t="inlineStr">
        <is>
          <t>0</t>
        </is>
      </c>
      <c r="N747" s="56" t="inlineStr">
        <is>
          <t>Neel Metal Products Limited</t>
        </is>
      </c>
      <c r="O747" s="58" t="n">
        <v>14</v>
      </c>
      <c r="P747" s="59" t="inlineStr">
        <is>
          <t>0-30</t>
        </is>
      </c>
      <c r="Q747" s="56" t="inlineStr">
        <is>
          <t>Apoorv</t>
        </is>
      </c>
      <c r="U747" s="585" t="n">
        <v>3230499</v>
      </c>
      <c r="V747" t="n">
        <v>22.23</v>
      </c>
      <c r="W747" t="n">
        <v>0</v>
      </c>
      <c r="X747" t="n">
        <v>2</v>
      </c>
      <c r="Y747" t="n">
        <v>6.16</v>
      </c>
      <c r="Z747" t="inlineStr">
        <is>
          <t>SAE1020</t>
        </is>
      </c>
      <c r="AA747" t="inlineStr">
        <is>
          <t>FC</t>
        </is>
      </c>
      <c r="AB747" t="inlineStr">
        <is>
          <t>AW</t>
        </is>
      </c>
      <c r="AC747" t="inlineStr">
        <is>
          <t>22.23-0-2-ERW 2-FC</t>
        </is>
      </c>
      <c r="AD747" t="inlineStr">
        <is>
          <t>LL</t>
        </is>
      </c>
      <c r="AE747" t="inlineStr">
        <is>
          <t>22.23-0-2-ERW 2-FC-1</t>
        </is>
      </c>
      <c r="AF747" t="n">
        <v>0.9972985400000001</v>
      </c>
    </row>
    <row r="748">
      <c r="A748" s="56" t="n">
        <v>3777563</v>
      </c>
      <c r="B748" s="56" t="inlineStr">
        <is>
          <t>TUB-O-N-AUT-AW-FC-54.00X3.00X5.790 HST</t>
        </is>
      </c>
      <c r="C748" s="56" t="inlineStr">
        <is>
          <t>4C29CK3100</t>
        </is>
      </c>
      <c r="D748" s="57" t="n">
        <v>64.965</v>
      </c>
      <c r="E748" s="58" t="n">
        <v>1397</v>
      </c>
      <c r="F748" s="57" t="n">
        <v>1.397</v>
      </c>
      <c r="G748" s="56" t="inlineStr">
        <is>
          <t>KG</t>
        </is>
      </c>
      <c r="H748" s="56" t="inlineStr">
        <is>
          <t>R001</t>
        </is>
      </c>
      <c r="I748" s="56" t="inlineStr">
        <is>
          <t>0788</t>
        </is>
      </c>
      <c r="J748" s="56" t="inlineStr">
        <is>
          <t>65</t>
        </is>
      </c>
      <c r="K748" s="57" t="n">
        <v>376.144</v>
      </c>
      <c r="L748" s="56" t="inlineStr"/>
      <c r="M748" s="56" t="inlineStr">
        <is>
          <t>0</t>
        </is>
      </c>
      <c r="N748" s="56" t="inlineStr">
        <is>
          <t>Neel Metal Products Limited</t>
        </is>
      </c>
      <c r="O748" s="58" t="n">
        <v>14</v>
      </c>
      <c r="P748" s="59" t="inlineStr">
        <is>
          <t>0-30</t>
        </is>
      </c>
      <c r="Q748" s="56" t="inlineStr">
        <is>
          <t>Apoorv</t>
        </is>
      </c>
      <c r="U748" s="585" t="n">
        <v>3586643</v>
      </c>
      <c r="V748" t="n">
        <v>22.23</v>
      </c>
      <c r="W748" t="n">
        <v>0</v>
      </c>
      <c r="X748" t="n">
        <v>2</v>
      </c>
      <c r="Y748" t="n">
        <v>6.2</v>
      </c>
      <c r="Z748" t="inlineStr">
        <is>
          <t>WG</t>
        </is>
      </c>
      <c r="AA748" t="inlineStr">
        <is>
          <t>PE</t>
        </is>
      </c>
      <c r="AB748" t="inlineStr">
        <is>
          <t>AW</t>
        </is>
      </c>
      <c r="AC748" t="inlineStr">
        <is>
          <t>22.23-0-2-ERW 1-PE</t>
        </is>
      </c>
      <c r="AD748" t="inlineStr">
        <is>
          <t>LL</t>
        </is>
      </c>
      <c r="AE748" t="inlineStr">
        <is>
          <t>22.23-0-2-ERW 1-PE-1</t>
        </is>
      </c>
      <c r="AF748" t="n">
        <v>0.9972985400000001</v>
      </c>
    </row>
    <row r="749">
      <c r="A749" s="56" t="n">
        <v>3777563</v>
      </c>
      <c r="B749" s="56" t="inlineStr">
        <is>
          <t>TUB-O-N-AUT-AW-FC-54.00X3.00X5.790 HST</t>
        </is>
      </c>
      <c r="C749" s="56" t="inlineStr">
        <is>
          <t>4C29CK3110</t>
        </is>
      </c>
      <c r="D749" s="57" t="n">
        <v>84.961</v>
      </c>
      <c r="E749" s="58" t="n">
        <v>1827</v>
      </c>
      <c r="F749" s="57" t="n">
        <v>1.827</v>
      </c>
      <c r="G749" s="56" t="inlineStr">
        <is>
          <t>KG</t>
        </is>
      </c>
      <c r="H749" s="56" t="inlineStr">
        <is>
          <t>R001</t>
        </is>
      </c>
      <c r="I749" s="56" t="inlineStr">
        <is>
          <t>0788</t>
        </is>
      </c>
      <c r="J749" s="56" t="inlineStr">
        <is>
          <t>85</t>
        </is>
      </c>
      <c r="K749" s="57" t="n">
        <v>491.922</v>
      </c>
      <c r="L749" s="56" t="inlineStr"/>
      <c r="M749" s="56" t="inlineStr">
        <is>
          <t>0</t>
        </is>
      </c>
      <c r="N749" s="56" t="inlineStr">
        <is>
          <t>Neel Metal Products Limited</t>
        </is>
      </c>
      <c r="O749" s="58" t="n">
        <v>14</v>
      </c>
      <c r="P749" s="59" t="inlineStr">
        <is>
          <t>0-30</t>
        </is>
      </c>
      <c r="Q749" s="56" t="inlineStr">
        <is>
          <t>Apoorv</t>
        </is>
      </c>
      <c r="U749" s="585" t="n">
        <v>2402914</v>
      </c>
      <c r="V749" t="n">
        <v>22.23</v>
      </c>
      <c r="W749" t="n">
        <v>0</v>
      </c>
      <c r="X749" t="n">
        <v>2</v>
      </c>
      <c r="Y749" t="n">
        <v>6.225</v>
      </c>
      <c r="Z749" t="inlineStr">
        <is>
          <t>HROP</t>
        </is>
      </c>
      <c r="AA749" t="inlineStr">
        <is>
          <t>FC</t>
        </is>
      </c>
      <c r="AB749" t="inlineStr">
        <is>
          <t>AW</t>
        </is>
      </c>
      <c r="AC749" t="inlineStr">
        <is>
          <t>22.23-0-2-ERW 1-FC</t>
        </is>
      </c>
      <c r="AD749" t="inlineStr">
        <is>
          <t>LL</t>
        </is>
      </c>
      <c r="AE749" t="inlineStr">
        <is>
          <t>22.23-0-2-ERW 1-FC-1</t>
        </is>
      </c>
      <c r="AF749" t="n">
        <v>0.9972985400000001</v>
      </c>
    </row>
    <row r="750">
      <c r="A750" s="56" t="n">
        <v>3777563</v>
      </c>
      <c r="B750" s="56" t="inlineStr">
        <is>
          <t>TUB-O-N-AUT-AW-FC-54.00X3.00X5.790 HST</t>
        </is>
      </c>
      <c r="C750" s="56" t="inlineStr">
        <is>
          <t>4C29CK3120</t>
        </is>
      </c>
      <c r="D750" s="57" t="n">
        <v>70.964</v>
      </c>
      <c r="E750" s="58" t="n">
        <v>1526</v>
      </c>
      <c r="F750" s="57" t="n">
        <v>1.526</v>
      </c>
      <c r="G750" s="56" t="inlineStr">
        <is>
          <t>KG</t>
        </is>
      </c>
      <c r="H750" s="56" t="inlineStr">
        <is>
          <t>R001</t>
        </is>
      </c>
      <c r="I750" s="56" t="inlineStr">
        <is>
          <t>0788</t>
        </is>
      </c>
      <c r="J750" s="56" t="inlineStr">
        <is>
          <t>71</t>
        </is>
      </c>
      <c r="K750" s="57" t="n">
        <v>410.878</v>
      </c>
      <c r="L750" s="56" t="inlineStr"/>
      <c r="M750" s="56" t="inlineStr">
        <is>
          <t>0</t>
        </is>
      </c>
      <c r="N750" s="56" t="inlineStr">
        <is>
          <t>Neel Metal Products Limited</t>
        </is>
      </c>
      <c r="O750" s="58" t="n">
        <v>14</v>
      </c>
      <c r="P750" s="59" t="inlineStr">
        <is>
          <t>0-30</t>
        </is>
      </c>
      <c r="Q750" s="56" t="inlineStr">
        <is>
          <t>Apoorv</t>
        </is>
      </c>
      <c r="U750" s="585" t="n">
        <v>3702820</v>
      </c>
      <c r="V750" t="n">
        <v>22.23</v>
      </c>
      <c r="W750" t="n">
        <v>0</v>
      </c>
      <c r="X750" t="n">
        <v>2</v>
      </c>
      <c r="Y750" t="n">
        <v>6.25</v>
      </c>
      <c r="Z750" t="inlineStr">
        <is>
          <t>WG</t>
        </is>
      </c>
      <c r="AA750" t="inlineStr">
        <is>
          <t>PE</t>
        </is>
      </c>
      <c r="AB750" t="inlineStr">
        <is>
          <t>AN</t>
        </is>
      </c>
      <c r="AC750" t="inlineStr">
        <is>
          <t>22.23-0-2-ERW 1-PE</t>
        </is>
      </c>
      <c r="AD750" t="inlineStr">
        <is>
          <t>LL</t>
        </is>
      </c>
      <c r="AE750" t="inlineStr">
        <is>
          <t>22.23-0-2-ERW 1-PE-1</t>
        </is>
      </c>
      <c r="AF750" t="n">
        <v>0.9972985400000001</v>
      </c>
    </row>
    <row r="751">
      <c r="A751" s="56" t="n">
        <v>3777563</v>
      </c>
      <c r="B751" s="56" t="inlineStr">
        <is>
          <t>TUB-O-N-AUT-AW-FC-54.00X3.00X5.790 HST</t>
        </is>
      </c>
      <c r="C751" s="56" t="inlineStr">
        <is>
          <t>4C29CK3130</t>
        </is>
      </c>
      <c r="D751" s="57" t="n">
        <v>75.986</v>
      </c>
      <c r="E751" s="58" t="n">
        <v>1634</v>
      </c>
      <c r="F751" s="57" t="n">
        <v>1.634</v>
      </c>
      <c r="G751" s="56" t="inlineStr">
        <is>
          <t>KG</t>
        </is>
      </c>
      <c r="H751" s="56" t="inlineStr">
        <is>
          <t>R001</t>
        </is>
      </c>
      <c r="I751" s="56" t="inlineStr">
        <is>
          <t>0788</t>
        </is>
      </c>
      <c r="J751" s="56" t="inlineStr">
        <is>
          <t>76</t>
        </is>
      </c>
      <c r="K751" s="57" t="n">
        <v>439.957</v>
      </c>
      <c r="L751" s="56" t="inlineStr"/>
      <c r="M751" s="56" t="inlineStr">
        <is>
          <t>0</t>
        </is>
      </c>
      <c r="N751" s="56" t="inlineStr">
        <is>
          <t>Neel Metal Products Limited</t>
        </is>
      </c>
      <c r="O751" s="58" t="n">
        <v>14</v>
      </c>
      <c r="P751" s="59" t="inlineStr">
        <is>
          <t>0-30</t>
        </is>
      </c>
      <c r="Q751" s="56" t="inlineStr">
        <is>
          <t>Apoorv</t>
        </is>
      </c>
      <c r="U751" s="585" t="n">
        <v>3738265</v>
      </c>
      <c r="V751" t="n">
        <v>22.23</v>
      </c>
      <c r="W751" t="n">
        <v>0</v>
      </c>
      <c r="X751" t="n">
        <v>2</v>
      </c>
      <c r="Y751" t="n">
        <v>6.28</v>
      </c>
      <c r="Z751" t="inlineStr">
        <is>
          <t>WG</t>
        </is>
      </c>
      <c r="AA751" t="inlineStr">
        <is>
          <t>FC</t>
        </is>
      </c>
      <c r="AB751" t="inlineStr">
        <is>
          <t>AW</t>
        </is>
      </c>
      <c r="AC751" t="inlineStr">
        <is>
          <t>22.23-0-2-ERW 1-FC</t>
        </is>
      </c>
      <c r="AD751" t="inlineStr">
        <is>
          <t>LL</t>
        </is>
      </c>
      <c r="AE751" t="inlineStr">
        <is>
          <t>22.23-0-2-ERW 1-FC-1</t>
        </is>
      </c>
      <c r="AF751" t="n">
        <v>0.9972985400000001</v>
      </c>
    </row>
    <row r="752">
      <c r="A752" s="56" t="n">
        <v>3777563</v>
      </c>
      <c r="B752" s="56" t="inlineStr">
        <is>
          <t>TUB-O-N-AUT-AW-FC-54.00X3.00X5.790 HST</t>
        </is>
      </c>
      <c r="C752" s="56" t="inlineStr">
        <is>
          <t>4C29CK3140</t>
        </is>
      </c>
      <c r="D752" s="57" t="n">
        <v>75.986</v>
      </c>
      <c r="E752" s="58" t="n">
        <v>1634</v>
      </c>
      <c r="F752" s="57" t="n">
        <v>1.634</v>
      </c>
      <c r="G752" s="56" t="inlineStr">
        <is>
          <t>KG</t>
        </is>
      </c>
      <c r="H752" s="56" t="inlineStr">
        <is>
          <t>R001</t>
        </is>
      </c>
      <c r="I752" s="56" t="inlineStr">
        <is>
          <t>0788</t>
        </is>
      </c>
      <c r="J752" s="56" t="inlineStr">
        <is>
          <t>76</t>
        </is>
      </c>
      <c r="K752" s="57" t="n">
        <v>439.957</v>
      </c>
      <c r="L752" s="56" t="inlineStr"/>
      <c r="M752" s="56" t="inlineStr">
        <is>
          <t>0</t>
        </is>
      </c>
      <c r="N752" s="56" t="inlineStr">
        <is>
          <t>Neel Metal Products Limited</t>
        </is>
      </c>
      <c r="O752" s="58" t="n">
        <v>14</v>
      </c>
      <c r="P752" s="59" t="inlineStr">
        <is>
          <t>0-30</t>
        </is>
      </c>
      <c r="Q752" s="56" t="inlineStr">
        <is>
          <t>Apoorv</t>
        </is>
      </c>
      <c r="U752" s="586" t="n">
        <v>111113835</v>
      </c>
      <c r="V752" t="n">
        <v>22.23</v>
      </c>
      <c r="W752" t="n">
        <v>0</v>
      </c>
      <c r="X752" t="n">
        <v>2</v>
      </c>
      <c r="Y752" t="n">
        <v>6.28</v>
      </c>
      <c r="Z752" t="inlineStr">
        <is>
          <t>WG</t>
        </is>
      </c>
      <c r="AA752" t="inlineStr">
        <is>
          <t>PE</t>
        </is>
      </c>
      <c r="AB752" t="inlineStr">
        <is>
          <t>AW</t>
        </is>
      </c>
      <c r="AC752" t="inlineStr">
        <is>
          <t>22.23-0-2-ERW 1-PE</t>
        </is>
      </c>
      <c r="AD752" t="inlineStr">
        <is>
          <t>LL</t>
        </is>
      </c>
      <c r="AE752" t="inlineStr">
        <is>
          <t>22.23-0-2-ERW 1-PE-1</t>
        </is>
      </c>
      <c r="AF752" t="n">
        <v>0.9972985400000001</v>
      </c>
    </row>
    <row r="753">
      <c r="A753" s="56" t="n">
        <v>3777563</v>
      </c>
      <c r="B753" s="56" t="inlineStr">
        <is>
          <t>TUB-O-N-AUT-AW-FC-54.00X3.00X5.790 HST</t>
        </is>
      </c>
      <c r="C753" s="56" t="inlineStr">
        <is>
          <t>4C29CK3150</t>
        </is>
      </c>
      <c r="D753" s="57" t="n">
        <v>76.962</v>
      </c>
      <c r="E753" s="58" t="n">
        <v>1655</v>
      </c>
      <c r="F753" s="57" t="n">
        <v>1.655</v>
      </c>
      <c r="G753" s="56" t="inlineStr">
        <is>
          <t>KG</t>
        </is>
      </c>
      <c r="H753" s="56" t="inlineStr">
        <is>
          <t>R001</t>
        </is>
      </c>
      <c r="I753" s="56" t="inlineStr">
        <is>
          <t>0788</t>
        </is>
      </c>
      <c r="J753" s="56" t="inlineStr">
        <is>
          <t>77</t>
        </is>
      </c>
      <c r="K753" s="57" t="n">
        <v>445.611</v>
      </c>
      <c r="L753" s="56" t="inlineStr"/>
      <c r="M753" s="56" t="inlineStr">
        <is>
          <t>0</t>
        </is>
      </c>
      <c r="N753" s="56" t="inlineStr">
        <is>
          <t>Neel Metal Products Limited</t>
        </is>
      </c>
      <c r="O753" s="58" t="n">
        <v>14</v>
      </c>
      <c r="P753" s="59" t="inlineStr">
        <is>
          <t>0-30</t>
        </is>
      </c>
      <c r="Q753" s="56" t="inlineStr">
        <is>
          <t>Apoorv</t>
        </is>
      </c>
      <c r="U753" s="585" t="n">
        <v>3586644</v>
      </c>
      <c r="V753" t="n">
        <v>22.23</v>
      </c>
      <c r="W753" t="n">
        <v>0</v>
      </c>
      <c r="X753" t="n">
        <v>2</v>
      </c>
      <c r="Y753" t="n">
        <v>6.325</v>
      </c>
      <c r="Z753" t="inlineStr">
        <is>
          <t>WG</t>
        </is>
      </c>
      <c r="AA753" t="inlineStr">
        <is>
          <t>PE</t>
        </is>
      </c>
      <c r="AB753" t="inlineStr">
        <is>
          <t>AW</t>
        </is>
      </c>
      <c r="AC753" t="inlineStr">
        <is>
          <t>22.23-0-2-ERW 1-PE</t>
        </is>
      </c>
      <c r="AD753" t="inlineStr">
        <is>
          <t>LL</t>
        </is>
      </c>
      <c r="AE753" t="inlineStr">
        <is>
          <t>22.23-0-2-ERW 1-PE-1</t>
        </is>
      </c>
      <c r="AF753" t="n">
        <v>0.9972985400000001</v>
      </c>
    </row>
    <row r="754">
      <c r="A754" s="56" t="n">
        <v>3777563</v>
      </c>
      <c r="B754" s="56" t="inlineStr">
        <is>
          <t>TUB-O-N-AUT-AW-FC-54.00X3.00X5.790 HST</t>
        </is>
      </c>
      <c r="C754" s="56" t="inlineStr">
        <is>
          <t>5101AK3010</t>
        </is>
      </c>
      <c r="D754" s="57" t="n">
        <v>70.964</v>
      </c>
      <c r="E754" s="58" t="n">
        <v>1526</v>
      </c>
      <c r="F754" s="57" t="n">
        <v>1.526</v>
      </c>
      <c r="G754" s="56" t="inlineStr">
        <is>
          <t>KG</t>
        </is>
      </c>
      <c r="H754" s="56" t="inlineStr">
        <is>
          <t>R001</t>
        </is>
      </c>
      <c r="I754" s="56" t="inlineStr">
        <is>
          <t>0788</t>
        </is>
      </c>
      <c r="J754" s="56" t="inlineStr">
        <is>
          <t>71</t>
        </is>
      </c>
      <c r="K754" s="57" t="n">
        <v>410.878</v>
      </c>
      <c r="L754" s="56" t="inlineStr"/>
      <c r="M754" s="56" t="inlineStr">
        <is>
          <t>0</t>
        </is>
      </c>
      <c r="N754" s="56" t="inlineStr">
        <is>
          <t>Neel Metal Products Limited</t>
        </is>
      </c>
      <c r="O754" s="58" t="n">
        <v>9</v>
      </c>
      <c r="P754" s="59" t="inlineStr">
        <is>
          <t>0-30</t>
        </is>
      </c>
      <c r="Q754" s="56" t="inlineStr">
        <is>
          <t>Apoorv</t>
        </is>
      </c>
      <c r="U754" s="585" t="n">
        <v>3442057</v>
      </c>
      <c r="V754" t="n">
        <v>22.23</v>
      </c>
      <c r="W754" t="n">
        <v>0</v>
      </c>
      <c r="X754" t="n">
        <v>2.03</v>
      </c>
      <c r="Y754" t="n">
        <v>0.924</v>
      </c>
      <c r="Z754" t="inlineStr">
        <is>
          <t>ST52AL</t>
        </is>
      </c>
      <c r="AA754" t="inlineStr">
        <is>
          <t>PE</t>
        </is>
      </c>
      <c r="AB754" t="inlineStr">
        <is>
          <t>AN</t>
        </is>
      </c>
      <c r="AC754" t="inlineStr">
        <is>
          <t>22.23-0-2-ERW 2 MAHS-PE</t>
        </is>
      </c>
      <c r="AD754" t="inlineStr">
        <is>
          <t>CTL</t>
        </is>
      </c>
      <c r="AE754" t="inlineStr">
        <is>
          <t>22.23-0-2-ERW 2 MAHS-PE-0.924</t>
        </is>
      </c>
      <c r="AF754" t="n">
        <v>0.9339393700559998</v>
      </c>
    </row>
    <row r="755">
      <c r="A755" s="56" t="n">
        <v>1568170</v>
      </c>
      <c r="B755" s="56" t="inlineStr">
        <is>
          <t>TUB-O-N-AUT-BH-FC-48.60X3.500X0.1960</t>
        </is>
      </c>
      <c r="C755" s="56" t="inlineStr">
        <is>
          <t>4A25C40110</t>
        </is>
      </c>
      <c r="D755" s="57" t="n"/>
      <c r="E755" s="57" t="n">
        <v>189.609</v>
      </c>
      <c r="F755" s="57" t="n">
        <v>0.189609</v>
      </c>
      <c r="G755" s="56" t="inlineStr">
        <is>
          <t>KG</t>
        </is>
      </c>
      <c r="H755" s="56" t="inlineStr">
        <is>
          <t>R001</t>
        </is>
      </c>
      <c r="I755" s="56" t="inlineStr">
        <is>
          <t>8406</t>
        </is>
      </c>
      <c r="J755" s="56" t="inlineStr"/>
      <c r="K755" s="57" t="n">
        <v>48.708</v>
      </c>
      <c r="L755" s="56" t="inlineStr"/>
      <c r="M755" s="56" t="inlineStr">
        <is>
          <t>0</t>
        </is>
      </c>
      <c r="N755" s="56" t="inlineStr">
        <is>
          <t>Neel Metal Products Limited</t>
        </is>
      </c>
      <c r="O755" s="58" t="n">
        <v>33</v>
      </c>
      <c r="P755" s="59" t="inlineStr">
        <is>
          <t>31-60</t>
        </is>
      </c>
      <c r="Q755" s="56" t="inlineStr">
        <is>
          <t>Apoorv</t>
        </is>
      </c>
      <c r="U755" t="n">
        <v>4098594</v>
      </c>
      <c r="V755" t="n">
        <v>22.23</v>
      </c>
      <c r="W755" t="n">
        <v>0</v>
      </c>
      <c r="X755" t="n">
        <v>2.3</v>
      </c>
      <c r="Y755" t="n">
        <v>0.23</v>
      </c>
      <c r="Z755" t="inlineStr">
        <is>
          <t>GR1</t>
        </is>
      </c>
      <c r="AA755" t="inlineStr">
        <is>
          <t>AW</t>
        </is>
      </c>
      <c r="AB755" t="inlineStr">
        <is>
          <t>PE</t>
        </is>
      </c>
      <c r="AC755" t="inlineStr">
        <is>
          <t>22.23-0-2.3-ERW 1-PE</t>
        </is>
      </c>
      <c r="AD755" t="inlineStr">
        <is>
          <t>CTL</t>
        </is>
      </c>
      <c r="AE755" t="inlineStr">
        <is>
          <t>22.23-0-2.3-ERW 1-PE-0.23</t>
        </is>
      </c>
      <c r="AF755" t="n">
        <v>0.25987366753</v>
      </c>
    </row>
    <row r="756">
      <c r="A756" s="56" t="n">
        <v>1931824</v>
      </c>
      <c r="B756" s="56" t="inlineStr">
        <is>
          <t>TUB-O-N-AUT-AW-PE-17.30X1.200X6.0000</t>
        </is>
      </c>
      <c r="C756" s="56" t="inlineStr">
        <is>
          <t>4722BK1030</t>
        </is>
      </c>
      <c r="D756" s="57" t="n"/>
      <c r="E756" s="58" t="n">
        <v>911</v>
      </c>
      <c r="F756" s="57" t="n">
        <v>0.911</v>
      </c>
      <c r="G756" s="56" t="inlineStr">
        <is>
          <t>KG</t>
        </is>
      </c>
      <c r="H756" s="56" t="inlineStr">
        <is>
          <t>R001</t>
        </is>
      </c>
      <c r="I756" s="56" t="inlineStr">
        <is>
          <t>8406</t>
        </is>
      </c>
      <c r="J756" s="56" t="inlineStr">
        <is>
          <t>313</t>
        </is>
      </c>
      <c r="K756" s="57" t="n">
        <v>1911.456</v>
      </c>
      <c r="L756" s="56" t="inlineStr"/>
      <c r="M756" s="56" t="inlineStr">
        <is>
          <t>0</t>
        </is>
      </c>
      <c r="N756" s="56" t="inlineStr">
        <is>
          <t>Rajsriya Automotive Industries(P)</t>
        </is>
      </c>
      <c r="O756" s="58" t="n">
        <v>76</v>
      </c>
      <c r="P756" s="59" t="inlineStr">
        <is>
          <t>61-90</t>
        </is>
      </c>
      <c r="Q756" s="56" t="inlineStr">
        <is>
          <t>Apoorv</t>
        </is>
      </c>
      <c r="U756" s="585" t="n">
        <v>1940497</v>
      </c>
      <c r="V756" t="n">
        <v>22.23</v>
      </c>
      <c r="W756" t="n">
        <v>0</v>
      </c>
      <c r="X756" t="n">
        <v>2.3</v>
      </c>
      <c r="Y756" t="n">
        <v>0.245</v>
      </c>
      <c r="Z756" t="inlineStr">
        <is>
          <t>GR1</t>
        </is>
      </c>
      <c r="AA756" t="inlineStr">
        <is>
          <t>PE</t>
        </is>
      </c>
      <c r="AB756" t="inlineStr">
        <is>
          <t>AW</t>
        </is>
      </c>
      <c r="AC756" t="inlineStr">
        <is>
          <t>22.23-0-2.3-ERW 1-PE</t>
        </is>
      </c>
      <c r="AD756" t="inlineStr">
        <is>
          <t>CTL</t>
        </is>
      </c>
      <c r="AE756" t="inlineStr">
        <is>
          <t>22.23-0-2.3-ERW 1-PE-0.245</t>
        </is>
      </c>
      <c r="AF756" t="n">
        <v>0.2768219501949999</v>
      </c>
    </row>
    <row r="757">
      <c r="A757" s="56" t="n">
        <v>1931824</v>
      </c>
      <c r="B757" s="56" t="inlineStr">
        <is>
          <t>TUB-O-N-AUT-AW-PE-17.30X1.200X6.0000</t>
        </is>
      </c>
      <c r="C757" s="56" t="inlineStr">
        <is>
          <t>4722BK1090</t>
        </is>
      </c>
      <c r="D757" s="57" t="n"/>
      <c r="E757" s="57" t="n">
        <v>509.56</v>
      </c>
      <c r="F757" s="57" t="n">
        <v>0.50956</v>
      </c>
      <c r="G757" s="56" t="inlineStr">
        <is>
          <t>KG</t>
        </is>
      </c>
      <c r="H757" s="56" t="inlineStr">
        <is>
          <t>R001</t>
        </is>
      </c>
      <c r="I757" s="56" t="inlineStr">
        <is>
          <t>8406</t>
        </is>
      </c>
      <c r="J757" s="56" t="inlineStr">
        <is>
          <t>476</t>
        </is>
      </c>
      <c r="K757" s="57" t="n">
        <v>1069.157</v>
      </c>
      <c r="L757" s="56" t="inlineStr"/>
      <c r="M757" s="56" t="inlineStr">
        <is>
          <t>0</t>
        </is>
      </c>
      <c r="N757" s="56" t="inlineStr">
        <is>
          <t>Rajsriya Automotive Industries(P)</t>
        </is>
      </c>
      <c r="O757" s="58" t="n">
        <v>76</v>
      </c>
      <c r="P757" s="59" t="inlineStr">
        <is>
          <t>61-90</t>
        </is>
      </c>
      <c r="Q757" s="56" t="inlineStr">
        <is>
          <t>Apoorv</t>
        </is>
      </c>
      <c r="U757" s="585" t="n">
        <v>1940498</v>
      </c>
      <c r="V757" t="n">
        <v>22.23</v>
      </c>
      <c r="W757" t="n">
        <v>0</v>
      </c>
      <c r="X757" t="n">
        <v>2.3</v>
      </c>
      <c r="Y757" t="n">
        <v>0.281</v>
      </c>
      <c r="Z757" t="inlineStr">
        <is>
          <t>GR1</t>
        </is>
      </c>
      <c r="AA757" t="inlineStr">
        <is>
          <t>PE</t>
        </is>
      </c>
      <c r="AB757" t="inlineStr">
        <is>
          <t>AW</t>
        </is>
      </c>
      <c r="AC757" t="inlineStr">
        <is>
          <t>22.23-0-2.3-ERW 1-PE</t>
        </is>
      </c>
      <c r="AD757" t="inlineStr">
        <is>
          <t>CTL</t>
        </is>
      </c>
      <c r="AE757" t="inlineStr">
        <is>
          <t>22.23-0-2.3-ERW 1-PE-0.281</t>
        </is>
      </c>
      <c r="AF757" t="n">
        <v>0.317497828591</v>
      </c>
    </row>
    <row r="758">
      <c r="A758" s="56" t="n">
        <v>1931843</v>
      </c>
      <c r="B758" s="56" t="inlineStr">
        <is>
          <t>TUB-R-AW-RHS-60.00X30.00X1.600X6.0000</t>
        </is>
      </c>
      <c r="C758" s="56" t="inlineStr">
        <is>
          <t>D2308058</t>
        </is>
      </c>
      <c r="D758" s="57" t="n"/>
      <c r="E758" s="57" t="n">
        <v>2636.738</v>
      </c>
      <c r="F758" s="57" t="n">
        <v>2.636738</v>
      </c>
      <c r="G758" s="56" t="inlineStr">
        <is>
          <t>KG</t>
        </is>
      </c>
      <c r="H758" s="56" t="inlineStr">
        <is>
          <t>R001</t>
        </is>
      </c>
      <c r="I758" s="56" t="inlineStr">
        <is>
          <t>8406</t>
        </is>
      </c>
      <c r="J758" s="56" t="inlineStr">
        <is>
          <t>230</t>
        </is>
      </c>
      <c r="K758" s="57" t="n">
        <v>1202.507</v>
      </c>
      <c r="L758" s="56" t="inlineStr"/>
      <c r="M758" s="56" t="inlineStr">
        <is>
          <t>0</t>
        </is>
      </c>
      <c r="N758" s="56" t="inlineStr">
        <is>
          <t>BALAJI INDUSTRIES</t>
        </is>
      </c>
      <c r="O758" s="58" t="n">
        <v>482</v>
      </c>
      <c r="P758" s="59" t="inlineStr">
        <is>
          <t>ABOVE 90</t>
        </is>
      </c>
      <c r="Q758" s="56" t="inlineStr">
        <is>
          <t>Jitendra Kumar Sharma</t>
        </is>
      </c>
      <c r="U758" s="585" t="n">
        <v>3926424</v>
      </c>
      <c r="V758" t="n">
        <v>22.23</v>
      </c>
      <c r="W758" t="n">
        <v>0</v>
      </c>
      <c r="X758" t="n">
        <v>2.3</v>
      </c>
      <c r="Y758" t="n">
        <v>0.37</v>
      </c>
      <c r="Z758" t="inlineStr">
        <is>
          <t>SAE1020</t>
        </is>
      </c>
      <c r="AA758" t="inlineStr">
        <is>
          <t>PE</t>
        </is>
      </c>
      <c r="AB758" t="inlineStr">
        <is>
          <t>AW</t>
        </is>
      </c>
      <c r="AC758" t="inlineStr">
        <is>
          <t>22.23-0-2-ERW 2-PE</t>
        </is>
      </c>
      <c r="AD758" t="inlineStr">
        <is>
          <t>CTL</t>
        </is>
      </c>
      <c r="AE758" t="inlineStr">
        <is>
          <t>22.23-0-2-ERW 2-PE-0.37</t>
        </is>
      </c>
      <c r="AF758" t="n">
        <v>0.4180576390699999</v>
      </c>
    </row>
    <row r="759">
      <c r="A759" s="56" t="n">
        <v>1932290</v>
      </c>
      <c r="B759" s="56" t="inlineStr">
        <is>
          <t>TUB-O-N-GEN-AW-PE-25.40X1.400X6.0000</t>
        </is>
      </c>
      <c r="C759" s="56" t="inlineStr">
        <is>
          <t>A2306462</t>
        </is>
      </c>
      <c r="D759" s="57" t="n"/>
      <c r="E759" s="57" t="n">
        <v>536.92</v>
      </c>
      <c r="F759" s="57" t="n">
        <v>0.53692</v>
      </c>
      <c r="G759" s="56" t="inlineStr">
        <is>
          <t>KG</t>
        </is>
      </c>
      <c r="H759" s="56" t="inlineStr">
        <is>
          <t>R001</t>
        </is>
      </c>
      <c r="I759" s="56" t="inlineStr">
        <is>
          <t>8406</t>
        </is>
      </c>
      <c r="J759" s="56" t="inlineStr">
        <is>
          <t>331</t>
        </is>
      </c>
      <c r="K759" s="57" t="n">
        <v>647.75</v>
      </c>
      <c r="L759" s="56" t="inlineStr"/>
      <c r="M759" s="56" t="inlineStr">
        <is>
          <t>0</t>
        </is>
      </c>
      <c r="N759" s="56" t="inlineStr">
        <is>
          <t>FREE STOCK</t>
        </is>
      </c>
      <c r="O759" s="58" t="n">
        <v>543</v>
      </c>
      <c r="P759" s="59" t="inlineStr">
        <is>
          <t>ABOVE 90</t>
        </is>
      </c>
      <c r="Q759" s="56" t="inlineStr">
        <is>
          <t>Free Stock</t>
        </is>
      </c>
      <c r="U759" s="585" t="n">
        <v>1940504</v>
      </c>
      <c r="V759" t="n">
        <v>22.23</v>
      </c>
      <c r="W759" t="n">
        <v>0</v>
      </c>
      <c r="X759" t="n">
        <v>2.3</v>
      </c>
      <c r="Y759" t="n">
        <v>0.499</v>
      </c>
      <c r="Z759" t="inlineStr">
        <is>
          <t>GR1</t>
        </is>
      </c>
      <c r="AA759" t="inlineStr">
        <is>
          <t>PE</t>
        </is>
      </c>
      <c r="AB759" t="inlineStr">
        <is>
          <t>AW</t>
        </is>
      </c>
      <c r="AC759" t="inlineStr">
        <is>
          <t>22.23-0-2.3-ERW 1-PE</t>
        </is>
      </c>
      <c r="AD759" t="inlineStr">
        <is>
          <t>CTL</t>
        </is>
      </c>
      <c r="AE759" t="inlineStr">
        <is>
          <t>22.23-0-2.3-ERW 1-PE-0.499</t>
        </is>
      </c>
      <c r="AF759" t="n">
        <v>0.5638128699889999</v>
      </c>
    </row>
    <row r="760">
      <c r="A760" s="56" t="n">
        <v>1938118</v>
      </c>
      <c r="B760" s="56" t="inlineStr">
        <is>
          <t>TUB-O-N-AUT-AW-PE-17.30X1.600X0.3550</t>
        </is>
      </c>
      <c r="C760" s="56" t="inlineStr">
        <is>
          <t>4330CK1090</t>
        </is>
      </c>
      <c r="D760" s="57" t="n"/>
      <c r="E760" s="57" t="n">
        <v>242.4</v>
      </c>
      <c r="F760" s="57" t="n">
        <v>0.2424</v>
      </c>
      <c r="G760" s="56" t="inlineStr">
        <is>
          <t>KG</t>
        </is>
      </c>
      <c r="H760" s="56" t="inlineStr">
        <is>
          <t>R001</t>
        </is>
      </c>
      <c r="I760" s="56" t="inlineStr">
        <is>
          <t>8406</t>
        </is>
      </c>
      <c r="J760" s="56" t="inlineStr">
        <is>
          <t>245</t>
        </is>
      </c>
      <c r="K760" s="57" t="n">
        <v>409.667</v>
      </c>
      <c r="L760" s="56" t="inlineStr"/>
      <c r="M760" s="56" t="inlineStr">
        <is>
          <t>0</t>
        </is>
      </c>
      <c r="N760" s="56" t="inlineStr">
        <is>
          <t>Elkayem Auto Ancillaries ( P ) LTD</t>
        </is>
      </c>
      <c r="O760" s="58" t="n">
        <v>229</v>
      </c>
      <c r="P760" s="59" t="inlineStr">
        <is>
          <t>ABOVE 90</t>
        </is>
      </c>
      <c r="Q760" s="56" t="inlineStr">
        <is>
          <t>Diwakar</t>
        </is>
      </c>
      <c r="U760" s="586" t="n">
        <v>110102643</v>
      </c>
      <c r="V760" t="n">
        <v>22.23</v>
      </c>
      <c r="W760" t="n">
        <v>0</v>
      </c>
      <c r="X760" t="n">
        <v>2.3</v>
      </c>
      <c r="Y760" t="n">
        <v>5.8</v>
      </c>
      <c r="Z760" t="inlineStr">
        <is>
          <t>GR1</t>
        </is>
      </c>
      <c r="AA760" t="inlineStr">
        <is>
          <t>PE</t>
        </is>
      </c>
      <c r="AB760" t="inlineStr">
        <is>
          <t>AW</t>
        </is>
      </c>
      <c r="AC760" t="inlineStr">
        <is>
          <t>22.23-0-2.3-ERW 1-PE</t>
        </is>
      </c>
      <c r="AD760" t="inlineStr">
        <is>
          <t>LL</t>
        </is>
      </c>
      <c r="AE760" t="inlineStr">
        <is>
          <t>22.23-0-2.3-ERW 1-PE-1</t>
        </is>
      </c>
      <c r="AF760" t="n">
        <v>1.129885511</v>
      </c>
    </row>
    <row r="761">
      <c r="A761" s="56" t="n">
        <v>1938118</v>
      </c>
      <c r="B761" s="56" t="inlineStr">
        <is>
          <t>TUB-O-N-AUT-AW-PE-17.30X1.600X0.3550</t>
        </is>
      </c>
      <c r="C761" s="56" t="inlineStr">
        <is>
          <t>A2406203</t>
        </is>
      </c>
      <c r="D761" s="57" t="n"/>
      <c r="E761" s="58" t="n">
        <v>70</v>
      </c>
      <c r="F761" s="57" t="n">
        <v>0.07000000000000001</v>
      </c>
      <c r="G761" s="56" t="inlineStr">
        <is>
          <t>KG</t>
        </is>
      </c>
      <c r="H761" s="56" t="inlineStr">
        <is>
          <t>R001</t>
        </is>
      </c>
      <c r="I761" s="56" t="inlineStr">
        <is>
          <t>8406</t>
        </is>
      </c>
      <c r="J761" s="56" t="inlineStr">
        <is>
          <t>437</t>
        </is>
      </c>
      <c r="K761" s="57" t="n">
        <v>118.303</v>
      </c>
      <c r="L761" s="56" t="inlineStr"/>
      <c r="M761" s="56" t="inlineStr">
        <is>
          <t>0</t>
        </is>
      </c>
      <c r="N761" s="56" t="inlineStr">
        <is>
          <t>Elkayem Auto Ancillaries ( P ) LTD</t>
        </is>
      </c>
      <c r="O761" s="58" t="n">
        <v>69</v>
      </c>
      <c r="P761" s="59" t="inlineStr">
        <is>
          <t>61-90</t>
        </is>
      </c>
      <c r="Q761" s="56" t="inlineStr">
        <is>
          <t>Diwakar</t>
        </is>
      </c>
      <c r="U761" s="585" t="n">
        <v>1940510</v>
      </c>
      <c r="V761" t="n">
        <v>22.23</v>
      </c>
      <c r="W761" t="n">
        <v>0</v>
      </c>
      <c r="X761" t="n">
        <v>2.3</v>
      </c>
      <c r="Y761" t="n">
        <v>6</v>
      </c>
      <c r="Z761" t="inlineStr">
        <is>
          <t>GR1</t>
        </is>
      </c>
      <c r="AA761" t="inlineStr">
        <is>
          <t>PE</t>
        </is>
      </c>
      <c r="AB761" t="inlineStr">
        <is>
          <t>AW</t>
        </is>
      </c>
      <c r="AC761" t="inlineStr">
        <is>
          <t>22.23-0-2.3-ERW 1-PE</t>
        </is>
      </c>
      <c r="AD761" t="inlineStr">
        <is>
          <t>LL</t>
        </is>
      </c>
      <c r="AE761" t="inlineStr">
        <is>
          <t>22.23-0-2.3-ERW 1-PE-1</t>
        </is>
      </c>
      <c r="AF761" t="n">
        <v>1.129885511</v>
      </c>
    </row>
    <row r="762">
      <c r="A762" s="56" t="n">
        <v>1938121</v>
      </c>
      <c r="B762" s="56" t="inlineStr">
        <is>
          <t>TUB-I-C-AUT-AD-FC-30.00X25.50X0.4850</t>
        </is>
      </c>
      <c r="C762" s="56" t="inlineStr">
        <is>
          <t>SH62307032</t>
        </is>
      </c>
      <c r="D762" s="57" t="n"/>
      <c r="E762" s="57" t="n">
        <v>373.5</v>
      </c>
      <c r="F762" s="57" t="n">
        <v>0.3735</v>
      </c>
      <c r="G762" s="56" t="inlineStr">
        <is>
          <t>KG</t>
        </is>
      </c>
      <c r="H762" s="56" t="inlineStr">
        <is>
          <t>R001</t>
        </is>
      </c>
      <c r="I762" s="56" t="inlineStr">
        <is>
          <t>8406</t>
        </is>
      </c>
      <c r="J762" s="56" t="inlineStr">
        <is>
          <t>219</t>
        </is>
      </c>
      <c r="K762" s="57" t="n">
        <v>242.485</v>
      </c>
      <c r="L762" s="56" t="inlineStr"/>
      <c r="M762" s="56" t="inlineStr">
        <is>
          <t>0</t>
        </is>
      </c>
      <c r="N762" s="56" t="inlineStr">
        <is>
          <t>Rajsriya Automotive Ind Pvt Ltd.</t>
        </is>
      </c>
      <c r="O762" s="58" t="n">
        <v>521</v>
      </c>
      <c r="P762" s="59" t="inlineStr">
        <is>
          <t>ABOVE 90</t>
        </is>
      </c>
      <c r="Q762" s="56" t="inlineStr">
        <is>
          <t>Apoorv</t>
        </is>
      </c>
      <c r="U762" s="586" t="n">
        <v>110102646</v>
      </c>
      <c r="V762" t="n">
        <v>22.23</v>
      </c>
      <c r="W762" t="n">
        <v>0</v>
      </c>
      <c r="X762" t="n">
        <v>2.3</v>
      </c>
      <c r="Y762" t="n">
        <v>6</v>
      </c>
      <c r="Z762" t="inlineStr">
        <is>
          <t>GR1</t>
        </is>
      </c>
      <c r="AA762" t="inlineStr">
        <is>
          <t>PE</t>
        </is>
      </c>
      <c r="AB762" t="inlineStr">
        <is>
          <t>AW</t>
        </is>
      </c>
      <c r="AC762" t="inlineStr">
        <is>
          <t>22.23-0-2.3-ERW 1-PE</t>
        </is>
      </c>
      <c r="AD762" t="inlineStr">
        <is>
          <t>LL</t>
        </is>
      </c>
      <c r="AE762" t="inlineStr">
        <is>
          <t>22.23-0-2.3-ERW 1-PE-1</t>
        </is>
      </c>
      <c r="AF762" t="n">
        <v>1.129885511</v>
      </c>
    </row>
    <row r="763">
      <c r="A763" s="56" t="n">
        <v>1938125</v>
      </c>
      <c r="B763" s="56" t="inlineStr">
        <is>
          <t>TUB-I-C-AUT-AN-FC-39.00X34.00X0.2720</t>
        </is>
      </c>
      <c r="C763" s="56" t="inlineStr">
        <is>
          <t>4C09BK3040</t>
        </is>
      </c>
      <c r="D763" s="57" t="n"/>
      <c r="E763" s="57" t="n">
        <v>163.944</v>
      </c>
      <c r="F763" s="57" t="n">
        <v>0.163944</v>
      </c>
      <c r="G763" s="56" t="inlineStr">
        <is>
          <t>KG</t>
        </is>
      </c>
      <c r="H763" s="56" t="inlineStr">
        <is>
          <t>R001</t>
        </is>
      </c>
      <c r="I763" s="56" t="inlineStr">
        <is>
          <t>8406</t>
        </is>
      </c>
      <c r="J763" s="56" t="inlineStr">
        <is>
          <t>98</t>
        </is>
      </c>
      <c r="K763" s="57" t="n">
        <v>72.828</v>
      </c>
      <c r="L763" s="56" t="inlineStr"/>
      <c r="M763" s="56" t="inlineStr">
        <is>
          <t>0</t>
        </is>
      </c>
      <c r="N763" s="56" t="inlineStr">
        <is>
          <t>Marathwada Auto Compo Pvt. Ltd.</t>
        </is>
      </c>
      <c r="O763" s="58" t="n">
        <v>7</v>
      </c>
      <c r="P763" s="59" t="inlineStr">
        <is>
          <t>0-30</t>
        </is>
      </c>
      <c r="Q763" s="56" t="inlineStr">
        <is>
          <t>Apoorv</t>
        </is>
      </c>
      <c r="U763" t="n">
        <v>4134873</v>
      </c>
      <c r="V763" t="n">
        <v>22.23</v>
      </c>
      <c r="W763" t="n">
        <v>0</v>
      </c>
      <c r="X763" t="n">
        <v>2.3</v>
      </c>
      <c r="Y763" t="n">
        <v>6.05</v>
      </c>
      <c r="Z763" t="inlineStr">
        <is>
          <t>SAE1020</t>
        </is>
      </c>
      <c r="AA763" t="inlineStr">
        <is>
          <t>PE</t>
        </is>
      </c>
      <c r="AB763" t="inlineStr">
        <is>
          <t>AW</t>
        </is>
      </c>
      <c r="AC763" t="inlineStr">
        <is>
          <t>22.23-0-2.3-ERW 2-PE</t>
        </is>
      </c>
      <c r="AD763" t="inlineStr">
        <is>
          <t>LL</t>
        </is>
      </c>
      <c r="AE763" t="inlineStr">
        <is>
          <t>22.23-0-2.3-ERW 2-PE-1</t>
        </is>
      </c>
      <c r="AF763" t="n">
        <v>1.129885511</v>
      </c>
    </row>
    <row r="764">
      <c r="A764" s="56" t="n">
        <v>1938125</v>
      </c>
      <c r="B764" s="56" t="inlineStr">
        <is>
          <t>TUB-I-C-AUT-AN-FC-39.00X34.00X0.2720</t>
        </is>
      </c>
      <c r="C764" s="56" t="inlineStr">
        <is>
          <t>4C16K39876</t>
        </is>
      </c>
      <c r="D764" s="57" t="n"/>
      <c r="E764" s="57" t="n">
        <v>206.944</v>
      </c>
      <c r="F764" s="57" t="n">
        <v>0.206944</v>
      </c>
      <c r="G764" s="56" t="inlineStr">
        <is>
          <t>KG</t>
        </is>
      </c>
      <c r="H764" s="56" t="inlineStr">
        <is>
          <t>R001</t>
        </is>
      </c>
      <c r="I764" s="56" t="inlineStr">
        <is>
          <t>8406</t>
        </is>
      </c>
      <c r="J764" s="56" t="inlineStr">
        <is>
          <t>79</t>
        </is>
      </c>
      <c r="K764" s="57" t="n">
        <v>91.93000000000001</v>
      </c>
      <c r="L764" s="56" t="inlineStr"/>
      <c r="M764" s="56" t="inlineStr">
        <is>
          <t>0</t>
        </is>
      </c>
      <c r="N764" s="56" t="inlineStr">
        <is>
          <t>Marathwada Auto Compo Pvt. Ltd.</t>
        </is>
      </c>
      <c r="O764" s="58" t="n">
        <v>13</v>
      </c>
      <c r="P764" s="59" t="inlineStr">
        <is>
          <t>0-30</t>
        </is>
      </c>
      <c r="Q764" s="56" t="inlineStr">
        <is>
          <t>Apoorv</t>
        </is>
      </c>
      <c r="U764" s="586" t="n">
        <v>111120345</v>
      </c>
      <c r="V764" t="n">
        <v>22.23</v>
      </c>
      <c r="W764" t="n">
        <v>0</v>
      </c>
      <c r="X764" t="n">
        <v>2.3</v>
      </c>
      <c r="Y764" t="n">
        <v>6.05</v>
      </c>
      <c r="Z764" t="inlineStr">
        <is>
          <t>HROP</t>
        </is>
      </c>
      <c r="AA764" t="inlineStr">
        <is>
          <t>PE</t>
        </is>
      </c>
      <c r="AB764" t="inlineStr">
        <is>
          <t>AW</t>
        </is>
      </c>
      <c r="AC764" t="inlineStr">
        <is>
          <t>22.23-0-2.3-ERW 1-PE</t>
        </is>
      </c>
      <c r="AD764" t="inlineStr">
        <is>
          <t>LL</t>
        </is>
      </c>
      <c r="AE764" t="inlineStr">
        <is>
          <t>22.23-0-2.3-ERW 1-PE-1</t>
        </is>
      </c>
      <c r="AF764" t="n">
        <v>1.129885511</v>
      </c>
    </row>
    <row r="765">
      <c r="A765" s="56" t="n">
        <v>1938127</v>
      </c>
      <c r="B765" s="56" t="inlineStr">
        <is>
          <t>TUB-S-AW-SHS-50.00X50.00X1.600X0.8470</t>
        </is>
      </c>
      <c r="C765" s="56" t="inlineStr">
        <is>
          <t>4A25BK4040</t>
        </is>
      </c>
      <c r="D765" s="57" t="n"/>
      <c r="E765" s="57" t="n">
        <v>446.6</v>
      </c>
      <c r="F765" s="57" t="n">
        <v>0.4466</v>
      </c>
      <c r="G765" s="56" t="inlineStr">
        <is>
          <t>KG</t>
        </is>
      </c>
      <c r="H765" s="56" t="inlineStr">
        <is>
          <t>R001</t>
        </is>
      </c>
      <c r="I765" s="56" t="inlineStr">
        <is>
          <t>8406</t>
        </is>
      </c>
      <c r="J765" s="56" t="inlineStr">
        <is>
          <t>117</t>
        </is>
      </c>
      <c r="K765" s="57" t="n">
        <v>194.563</v>
      </c>
      <c r="L765" s="56" t="inlineStr"/>
      <c r="M765" s="56" t="inlineStr">
        <is>
          <t>0</t>
        </is>
      </c>
      <c r="N765" s="56" t="inlineStr">
        <is>
          <t>Neel Metal Products Limited</t>
        </is>
      </c>
      <c r="O765" s="58" t="n">
        <v>13</v>
      </c>
      <c r="P765" s="59" t="inlineStr">
        <is>
          <t>0-30</t>
        </is>
      </c>
      <c r="Q765" s="56" t="inlineStr">
        <is>
          <t>Apoorv</t>
        </is>
      </c>
      <c r="U765" t="n">
        <v>4095224</v>
      </c>
      <c r="V765" t="n">
        <v>22.23</v>
      </c>
      <c r="W765" t="n">
        <v>0</v>
      </c>
      <c r="X765" t="n">
        <v>2.31</v>
      </c>
      <c r="Y765" t="n">
        <v>0.295</v>
      </c>
      <c r="Z765" t="inlineStr">
        <is>
          <t>GR1</t>
        </is>
      </c>
      <c r="AA765" t="inlineStr">
        <is>
          <t>PE</t>
        </is>
      </c>
      <c r="AB765" t="inlineStr">
        <is>
          <t>AW</t>
        </is>
      </c>
      <c r="AC765" t="inlineStr">
        <is>
          <t>22.23-0-2.3-ERW 1-PE</t>
        </is>
      </c>
      <c r="AD765" t="inlineStr">
        <is>
          <t>CTL</t>
        </is>
      </c>
      <c r="AE765" t="inlineStr">
        <is>
          <t>22.23-0-2.3-ERW 1-PE-0.295</t>
        </is>
      </c>
      <c r="AF765" t="n">
        <v>0.3345974561160001</v>
      </c>
    </row>
    <row r="766">
      <c r="A766" s="56" t="n">
        <v>1938127</v>
      </c>
      <c r="B766" s="56" t="inlineStr">
        <is>
          <t>TUB-S-AW-SHS-50.00X50.00X1.600X0.8470</t>
        </is>
      </c>
      <c r="C766" s="56" t="inlineStr">
        <is>
          <t>4B06CK4090</t>
        </is>
      </c>
      <c r="D766" s="57" t="n"/>
      <c r="E766" s="57" t="n">
        <v>152.9</v>
      </c>
      <c r="F766" s="57" t="n">
        <v>0.1529</v>
      </c>
      <c r="G766" s="56" t="inlineStr">
        <is>
          <t>KG</t>
        </is>
      </c>
      <c r="H766" s="56" t="inlineStr">
        <is>
          <t>R001</t>
        </is>
      </c>
      <c r="I766" s="56" t="inlineStr">
        <is>
          <t>8406</t>
        </is>
      </c>
      <c r="J766" s="56" t="inlineStr">
        <is>
          <t>139</t>
        </is>
      </c>
      <c r="K766" s="57" t="n">
        <v>66.611</v>
      </c>
      <c r="L766" s="56" t="inlineStr"/>
      <c r="M766" s="56" t="inlineStr">
        <is>
          <t>0</t>
        </is>
      </c>
      <c r="N766" s="56" t="inlineStr">
        <is>
          <t>Neel Metal Products Limited</t>
        </is>
      </c>
      <c r="O766" s="58" t="n">
        <v>13</v>
      </c>
      <c r="P766" s="59" t="inlineStr">
        <is>
          <t>0-30</t>
        </is>
      </c>
      <c r="Q766" s="56" t="inlineStr">
        <is>
          <t>Apoorv</t>
        </is>
      </c>
      <c r="U766" s="585" t="n">
        <v>3557584</v>
      </c>
      <c r="V766" t="n">
        <v>22.23</v>
      </c>
      <c r="W766" t="n">
        <v>0</v>
      </c>
      <c r="X766" t="n">
        <v>2.5</v>
      </c>
      <c r="Y766" t="n">
        <v>5.08</v>
      </c>
      <c r="Z766" t="inlineStr">
        <is>
          <t>D</t>
        </is>
      </c>
      <c r="AA766" t="inlineStr">
        <is>
          <t>PE</t>
        </is>
      </c>
      <c r="AB766" t="inlineStr">
        <is>
          <t>AP</t>
        </is>
      </c>
      <c r="AC766" t="inlineStr">
        <is>
          <t>checkness thickness tdc</t>
        </is>
      </c>
      <c r="AD766" t="inlineStr">
        <is>
          <t>LL</t>
        </is>
      </c>
      <c r="AE766" t="inlineStr">
        <is>
          <t>checkness thickness tdc-1</t>
        </is>
      </c>
      <c r="AF766" t="n">
        <v>1.215811925</v>
      </c>
    </row>
    <row r="767">
      <c r="A767" s="56" t="n">
        <v>1938191</v>
      </c>
      <c r="B767" s="56" t="inlineStr">
        <is>
          <t>TUB-I-C-AUT-AD-FC-12.50X3.250X0.5880</t>
        </is>
      </c>
      <c r="C767" s="56" t="inlineStr">
        <is>
          <t>4B24K38323</t>
        </is>
      </c>
      <c r="D767" s="57" t="n"/>
      <c r="E767" s="57" t="n">
        <v>169.04</v>
      </c>
      <c r="F767" s="57" t="n">
        <v>0.16904</v>
      </c>
      <c r="G767" s="56" t="inlineStr">
        <is>
          <t>KG</t>
        </is>
      </c>
      <c r="H767" s="56" t="inlineStr">
        <is>
          <t>R001</t>
        </is>
      </c>
      <c r="I767" s="56" t="inlineStr">
        <is>
          <t>8406</t>
        </is>
      </c>
      <c r="J767" s="56" t="inlineStr">
        <is>
          <t>90</t>
        </is>
      </c>
      <c r="K767" s="57" t="n">
        <v>133.861</v>
      </c>
      <c r="L767" s="56" t="inlineStr"/>
      <c r="M767" s="56" t="inlineStr">
        <is>
          <t>0</t>
        </is>
      </c>
      <c r="N767" s="56" t="inlineStr">
        <is>
          <t>SRIKAM HITECH ENGINEERING PRIVATE L</t>
        </is>
      </c>
      <c r="O767" s="58" t="n">
        <v>10</v>
      </c>
      <c r="P767" s="59" t="inlineStr">
        <is>
          <t>0-30</t>
        </is>
      </c>
      <c r="Q767" s="56" t="inlineStr">
        <is>
          <t>Apoorv</t>
        </is>
      </c>
      <c r="U767" s="585" t="n">
        <v>3515987</v>
      </c>
      <c r="V767" t="n">
        <v>22.23</v>
      </c>
      <c r="W767" t="n">
        <v>0</v>
      </c>
      <c r="X767" t="n">
        <v>2.6</v>
      </c>
      <c r="Y767" t="n">
        <v>0.27</v>
      </c>
      <c r="Z767" t="inlineStr">
        <is>
          <t>E34</t>
        </is>
      </c>
      <c r="AA767" t="inlineStr">
        <is>
          <t>PE</t>
        </is>
      </c>
      <c r="AB767" t="inlineStr">
        <is>
          <t>AW</t>
        </is>
      </c>
      <c r="AC767" t="inlineStr">
        <is>
          <t>22.23-0-2-ERW 2 MAHS-PE</t>
        </is>
      </c>
      <c r="AD767" t="inlineStr">
        <is>
          <t>CTL</t>
        </is>
      </c>
      <c r="AE767" t="inlineStr">
        <is>
          <t>22.23-0-2-ERW 2 MAHS-PE-0.27</t>
        </is>
      </c>
      <c r="AF767" t="n">
        <v>0.33966962874</v>
      </c>
    </row>
    <row r="768">
      <c r="A768" s="56" t="n">
        <v>1938195</v>
      </c>
      <c r="B768" s="56" t="inlineStr">
        <is>
          <t>TUB-O-N-AUT-AW-PE-17.30X1.200X0.1500</t>
        </is>
      </c>
      <c r="C768" s="56" t="inlineStr">
        <is>
          <t>4722BK1080</t>
        </is>
      </c>
      <c r="D768" s="57" t="n"/>
      <c r="E768" s="57" t="n">
        <v>300.883</v>
      </c>
      <c r="F768" s="57" t="n">
        <v>0.300883</v>
      </c>
      <c r="G768" s="56" t="inlineStr">
        <is>
          <t>KG</t>
        </is>
      </c>
      <c r="H768" s="56" t="inlineStr">
        <is>
          <t>R001</t>
        </is>
      </c>
      <c r="I768" s="56" t="inlineStr">
        <is>
          <t>8406</t>
        </is>
      </c>
      <c r="J768" s="56" t="inlineStr">
        <is>
          <t>477</t>
        </is>
      </c>
      <c r="K768" s="57" t="n">
        <v>631.311</v>
      </c>
      <c r="L768" s="56" t="inlineStr"/>
      <c r="M768" s="56" t="inlineStr">
        <is>
          <t>0</t>
        </is>
      </c>
      <c r="N768" s="56" t="inlineStr">
        <is>
          <t>Neel Metal Products Limited</t>
        </is>
      </c>
      <c r="O768" s="58" t="n">
        <v>38</v>
      </c>
      <c r="P768" s="59" t="inlineStr">
        <is>
          <t>31-60</t>
        </is>
      </c>
      <c r="Q768" s="56" t="inlineStr">
        <is>
          <t>Apoorv</t>
        </is>
      </c>
      <c r="U768" t="n">
        <v>3515988</v>
      </c>
      <c r="V768" t="n">
        <v>22.23</v>
      </c>
      <c r="W768" t="n">
        <v>0</v>
      </c>
      <c r="X768" t="n">
        <v>2.6</v>
      </c>
      <c r="Y768" t="n">
        <v>0.872</v>
      </c>
      <c r="Z768" t="inlineStr">
        <is>
          <t>E34</t>
        </is>
      </c>
      <c r="AA768" t="inlineStr">
        <is>
          <t>PE</t>
        </is>
      </c>
      <c r="AB768" t="inlineStr">
        <is>
          <t>AW</t>
        </is>
      </c>
      <c r="AC768" t="inlineStr">
        <is>
          <t>25-25-1.2-CRFH-PE</t>
        </is>
      </c>
      <c r="AD768" t="inlineStr">
        <is>
          <t>CTL</t>
        </is>
      </c>
      <c r="AE768" t="inlineStr">
        <is>
          <t>25-25-1.2-CRFH-PE-0.872</t>
        </is>
      </c>
      <c r="AF768" t="n">
        <v>1.097007097264</v>
      </c>
    </row>
    <row r="769">
      <c r="A769" s="56" t="n">
        <v>1939479</v>
      </c>
      <c r="B769" s="56" t="inlineStr">
        <is>
          <t>TUB-O-C-CEW-AD-FC-38.10X3.200X0.3190</t>
        </is>
      </c>
      <c r="C769" s="56" t="inlineStr">
        <is>
          <t>4B16CK3150</t>
        </is>
      </c>
      <c r="D769" s="57" t="n"/>
      <c r="E769" s="57" t="n">
        <v>148.4</v>
      </c>
      <c r="F769" s="57" t="n">
        <v>0.1484</v>
      </c>
      <c r="G769" s="56" t="inlineStr">
        <is>
          <t>KG</t>
        </is>
      </c>
      <c r="H769" s="56" t="inlineStr">
        <is>
          <t>R001</t>
        </is>
      </c>
      <c r="I769" s="56" t="inlineStr">
        <is>
          <t>8406</t>
        </is>
      </c>
      <c r="J769" s="56" t="inlineStr">
        <is>
          <t>112</t>
        </is>
      </c>
      <c r="K769" s="57" t="n">
        <v>53.864</v>
      </c>
      <c r="L769" s="56" t="inlineStr"/>
      <c r="M769" s="56" t="inlineStr">
        <is>
          <t>0</t>
        </is>
      </c>
      <c r="N769" s="56" t="inlineStr">
        <is>
          <t>FREE STOCK</t>
        </is>
      </c>
      <c r="O769" s="58" t="n">
        <v>6</v>
      </c>
      <c r="P769" s="59" t="inlineStr">
        <is>
          <t>0-30</t>
        </is>
      </c>
      <c r="Q769" s="56" t="inlineStr">
        <is>
          <t>Free Stock</t>
        </is>
      </c>
      <c r="U769" s="585" t="n">
        <v>3230483</v>
      </c>
      <c r="V769" t="n">
        <v>25</v>
      </c>
      <c r="W769" t="n">
        <v>25</v>
      </c>
      <c r="X769" t="n">
        <v>1.2</v>
      </c>
      <c r="Y769" t="n">
        <v>0.33</v>
      </c>
      <c r="Z769" t="inlineStr">
        <is>
          <t>CRFH</t>
        </is>
      </c>
      <c r="AA769" t="inlineStr">
        <is>
          <t>PE</t>
        </is>
      </c>
      <c r="AB769" t="inlineStr">
        <is>
          <t>AW</t>
        </is>
      </c>
      <c r="AC769" t="inlineStr">
        <is>
          <t>25-25-1.2-CRFH-PE</t>
        </is>
      </c>
      <c r="AD769" t="inlineStr">
        <is>
          <t>CTL</t>
        </is>
      </c>
      <c r="AE769" t="inlineStr">
        <is>
          <t>25-25-1.2-CRFH-PE-0.33</t>
        </is>
      </c>
      <c r="AF769" t="n">
        <v>0.2323118952</v>
      </c>
    </row>
    <row r="770">
      <c r="A770" s="56" t="n">
        <v>1939479</v>
      </c>
      <c r="B770" s="56" t="inlineStr">
        <is>
          <t>TUB-O-C-CEW-AD-FC-38.10X3.200X0.3190</t>
        </is>
      </c>
      <c r="C770" s="56" t="inlineStr">
        <is>
          <t>4C05CK3010</t>
        </is>
      </c>
      <c r="D770" s="57" t="n"/>
      <c r="E770" s="57" t="n">
        <v>241.38</v>
      </c>
      <c r="F770" s="57" t="n">
        <v>0.24138</v>
      </c>
      <c r="G770" s="56" t="inlineStr">
        <is>
          <t>KG</t>
        </is>
      </c>
      <c r="H770" s="56" t="inlineStr">
        <is>
          <t>R001</t>
        </is>
      </c>
      <c r="I770" s="56" t="inlineStr">
        <is>
          <t>8406</t>
        </is>
      </c>
      <c r="J770" s="56" t="inlineStr">
        <is>
          <t>55</t>
        </is>
      </c>
      <c r="K770" s="57" t="n">
        <v>87.61199999999999</v>
      </c>
      <c r="L770" s="56" t="inlineStr"/>
      <c r="M770" s="56" t="inlineStr">
        <is>
          <t>0</t>
        </is>
      </c>
      <c r="N770" s="56" t="inlineStr">
        <is>
          <t>FREE STOCK</t>
        </is>
      </c>
      <c r="O770" s="58" t="n">
        <v>14</v>
      </c>
      <c r="P770" s="59" t="inlineStr">
        <is>
          <t>0-30</t>
        </is>
      </c>
      <c r="Q770" s="56" t="inlineStr">
        <is>
          <t>Free Stock</t>
        </is>
      </c>
      <c r="U770" t="n">
        <v>4151430</v>
      </c>
      <c r="V770" t="n">
        <v>25</v>
      </c>
      <c r="W770" t="n">
        <v>25</v>
      </c>
      <c r="X770" t="n">
        <v>1.2</v>
      </c>
      <c r="Y770" t="n">
        <v>0.64</v>
      </c>
      <c r="Z770" t="inlineStr">
        <is>
          <t>CRFH</t>
        </is>
      </c>
      <c r="AA770" t="inlineStr">
        <is>
          <t>PE</t>
        </is>
      </c>
      <c r="AB770" t="inlineStr">
        <is>
          <t>AW</t>
        </is>
      </c>
      <c r="AC770" t="inlineStr">
        <is>
          <t>25-25-1.2-CRFH-PE</t>
        </is>
      </c>
      <c r="AD770" t="inlineStr">
        <is>
          <t>CTL</t>
        </is>
      </c>
      <c r="AE770" t="inlineStr">
        <is>
          <t>25-25-1.2-CRFH-PE-0.64</t>
        </is>
      </c>
      <c r="AF770" t="n">
        <v>0.4505442816</v>
      </c>
    </row>
    <row r="771">
      <c r="A771" s="56" t="n">
        <v>1939479</v>
      </c>
      <c r="B771" s="56" t="inlineStr">
        <is>
          <t>TUB-O-C-CEW-AD-FC-38.10X3.200X0.3190</t>
        </is>
      </c>
      <c r="C771" s="56" t="inlineStr">
        <is>
          <t>4C05CK3030</t>
        </is>
      </c>
      <c r="D771" s="57" t="n"/>
      <c r="E771" s="57" t="n">
        <v>51.5</v>
      </c>
      <c r="F771" s="57" t="n">
        <v>0.0515</v>
      </c>
      <c r="G771" s="56" t="inlineStr">
        <is>
          <t>KG</t>
        </is>
      </c>
      <c r="H771" s="56" t="inlineStr">
        <is>
          <t>R001</t>
        </is>
      </c>
      <c r="I771" s="56" t="inlineStr">
        <is>
          <t>8406</t>
        </is>
      </c>
      <c r="J771" s="56" t="inlineStr">
        <is>
          <t>135</t>
        </is>
      </c>
      <c r="K771" s="57" t="n">
        <v>18.693</v>
      </c>
      <c r="L771" s="56" t="inlineStr"/>
      <c r="M771" s="56" t="inlineStr">
        <is>
          <t>0</t>
        </is>
      </c>
      <c r="N771" s="56" t="inlineStr">
        <is>
          <t>FREE STOCK</t>
        </is>
      </c>
      <c r="O771" s="58" t="n">
        <v>13</v>
      </c>
      <c r="P771" s="59" t="inlineStr">
        <is>
          <t>0-30</t>
        </is>
      </c>
      <c r="Q771" s="56" t="inlineStr">
        <is>
          <t>Free Stock</t>
        </is>
      </c>
      <c r="U771" s="585" t="n">
        <v>3572043</v>
      </c>
      <c r="V771" t="n">
        <v>25</v>
      </c>
      <c r="W771" t="n">
        <v>25</v>
      </c>
      <c r="X771" t="n">
        <v>1.2</v>
      </c>
      <c r="Y771" t="n">
        <v>0.642</v>
      </c>
      <c r="Z771" t="inlineStr">
        <is>
          <t>CRFH</t>
        </is>
      </c>
      <c r="AA771" t="inlineStr">
        <is>
          <t>PE</t>
        </is>
      </c>
      <c r="AB771" t="inlineStr">
        <is>
          <t>AW</t>
        </is>
      </c>
      <c r="AC771" t="inlineStr">
        <is>
          <t>25-25-1.2-CRFH-PE</t>
        </is>
      </c>
      <c r="AD771" t="inlineStr">
        <is>
          <t>CTL</t>
        </is>
      </c>
      <c r="AE771" t="inlineStr">
        <is>
          <t>25-25-1.2-CRFH-PE-0.642</t>
        </is>
      </c>
      <c r="AF771" t="n">
        <v>0.45195223248</v>
      </c>
    </row>
    <row r="772">
      <c r="A772" s="56" t="n">
        <v>1940614</v>
      </c>
      <c r="B772" s="56" t="inlineStr">
        <is>
          <t>TUB-O-O-AUT-AW-PE-28.58X1.200X0.5950</t>
        </is>
      </c>
      <c r="C772" s="56" t="inlineStr">
        <is>
          <t>4528CK2050</t>
        </is>
      </c>
      <c r="D772" s="57" t="n"/>
      <c r="E772" s="57" t="n">
        <v>570.1130000000001</v>
      </c>
      <c r="F772" s="57" t="n">
        <v>0.5701130000000001</v>
      </c>
      <c r="G772" s="56" t="inlineStr">
        <is>
          <t>KG</t>
        </is>
      </c>
      <c r="H772" s="56" t="inlineStr">
        <is>
          <t>R001</t>
        </is>
      </c>
      <c r="I772" s="56" t="inlineStr">
        <is>
          <t>8406</t>
        </is>
      </c>
      <c r="J772" s="56" t="inlineStr">
        <is>
          <t>322</t>
        </is>
      </c>
      <c r="K772" s="57" t="n">
        <v>703.322</v>
      </c>
      <c r="L772" s="56" t="inlineStr"/>
      <c r="M772" s="56" t="inlineStr">
        <is>
          <t>0</t>
        </is>
      </c>
      <c r="N772" s="56" t="inlineStr">
        <is>
          <t>Elkayem Auto Ancillaries ( P ) LTD</t>
        </is>
      </c>
      <c r="O772" s="58" t="n">
        <v>69</v>
      </c>
      <c r="P772" s="59" t="inlineStr">
        <is>
          <t>61-90</t>
        </is>
      </c>
      <c r="Q772" s="56" t="inlineStr">
        <is>
          <t>Diwakar</t>
        </is>
      </c>
      <c r="U772" s="585" t="n">
        <v>3230482</v>
      </c>
      <c r="V772" t="n">
        <v>25</v>
      </c>
      <c r="W772" t="n">
        <v>25</v>
      </c>
      <c r="X772" t="n">
        <v>1.2</v>
      </c>
      <c r="Y772" t="n">
        <v>0.787</v>
      </c>
      <c r="Z772" t="inlineStr">
        <is>
          <t>CRFH</t>
        </is>
      </c>
      <c r="AA772" t="inlineStr">
        <is>
          <t>PE</t>
        </is>
      </c>
      <c r="AB772" t="inlineStr">
        <is>
          <t>AW</t>
        </is>
      </c>
      <c r="AC772" t="inlineStr">
        <is>
          <t>25-25-1.2-CRFH-PE</t>
        </is>
      </c>
      <c r="AD772" t="inlineStr">
        <is>
          <t>CTL</t>
        </is>
      </c>
      <c r="AE772" t="inlineStr">
        <is>
          <t>25-25-1.2-CRFH-PE-0.787</t>
        </is>
      </c>
      <c r="AF772" t="n">
        <v>0.55402867128</v>
      </c>
    </row>
    <row r="773">
      <c r="A773" s="56" t="n">
        <v>1941303</v>
      </c>
      <c r="B773" s="56" t="inlineStr">
        <is>
          <t>TUB-O-C-AUT-AD-FC-29.40X4.500X0.3610</t>
        </is>
      </c>
      <c r="C773" s="56" t="inlineStr">
        <is>
          <t>4A04CK3020</t>
        </is>
      </c>
      <c r="D773" s="57" t="n"/>
      <c r="E773" s="57" t="n">
        <v>53.674</v>
      </c>
      <c r="F773" s="57" t="n">
        <v>0.053674</v>
      </c>
      <c r="G773" s="56" t="inlineStr">
        <is>
          <t>KG</t>
        </is>
      </c>
      <c r="H773" s="56" t="inlineStr">
        <is>
          <t>R001</t>
        </is>
      </c>
      <c r="I773" s="56" t="inlineStr">
        <is>
          <t>8406</t>
        </is>
      </c>
      <c r="J773" s="56" t="inlineStr">
        <is>
          <t>114</t>
        </is>
      </c>
      <c r="K773" s="57" t="n">
        <v>19.417</v>
      </c>
      <c r="L773" s="56" t="inlineStr"/>
      <c r="M773" s="56" t="inlineStr">
        <is>
          <t>0</t>
        </is>
      </c>
      <c r="N773" s="56" t="inlineStr">
        <is>
          <t>Kay Jay Forgings Pvt Ltd Unit Vi</t>
        </is>
      </c>
      <c r="O773" s="58" t="n">
        <v>18</v>
      </c>
      <c r="P773" s="59" t="inlineStr">
        <is>
          <t>0-30</t>
        </is>
      </c>
      <c r="Q773" s="56" t="inlineStr">
        <is>
          <t>Jitendra Kumar Sharma</t>
        </is>
      </c>
      <c r="U773" s="585" t="n">
        <v>3230484</v>
      </c>
      <c r="V773" t="n">
        <v>25</v>
      </c>
      <c r="W773" t="n">
        <v>25</v>
      </c>
      <c r="X773" t="n">
        <v>1.2</v>
      </c>
      <c r="Y773" t="n">
        <v>1.246</v>
      </c>
      <c r="Z773" t="inlineStr">
        <is>
          <t>CRFH</t>
        </is>
      </c>
      <c r="AA773" t="inlineStr">
        <is>
          <t>PE</t>
        </is>
      </c>
      <c r="AB773" t="inlineStr">
        <is>
          <t>AW</t>
        </is>
      </c>
      <c r="AC773" t="inlineStr">
        <is>
          <t>25-25-1.2-CRFH-PE</t>
        </is>
      </c>
      <c r="AD773" t="inlineStr">
        <is>
          <t>CTL</t>
        </is>
      </c>
      <c r="AE773" t="inlineStr">
        <is>
          <t>25-25-1.2-CRFH-PE-1.246</t>
        </is>
      </c>
      <c r="AF773" t="n">
        <v>0.87715339824</v>
      </c>
    </row>
    <row r="774">
      <c r="A774" s="56" t="n">
        <v>1941303</v>
      </c>
      <c r="B774" s="56" t="inlineStr">
        <is>
          <t>TUB-O-C-AUT-AD-FC-29.40X4.500X0.3610</t>
        </is>
      </c>
      <c r="C774" s="56" t="inlineStr">
        <is>
          <t>4A25K36284</t>
        </is>
      </c>
      <c r="D774" s="57" t="n"/>
      <c r="E774" s="57" t="n">
        <v>135.2</v>
      </c>
      <c r="F774" s="57" t="n">
        <v>0.1352</v>
      </c>
      <c r="G774" s="56" t="inlineStr">
        <is>
          <t>KG</t>
        </is>
      </c>
      <c r="H774" s="56" t="inlineStr">
        <is>
          <t>R001</t>
        </is>
      </c>
      <c r="I774" s="56" t="inlineStr">
        <is>
          <t>8406</t>
        </is>
      </c>
      <c r="J774" s="56" t="inlineStr">
        <is>
          <t>112</t>
        </is>
      </c>
      <c r="K774" s="57" t="n">
        <v>48.909</v>
      </c>
      <c r="L774" s="56" t="inlineStr"/>
      <c r="M774" s="56" t="inlineStr">
        <is>
          <t>0</t>
        </is>
      </c>
      <c r="N774" s="56" t="inlineStr">
        <is>
          <t>Kay Jay Forgings Pvt Ltd Unit Vi</t>
        </is>
      </c>
      <c r="O774" s="58" t="n">
        <v>31</v>
      </c>
      <c r="P774" s="59" t="inlineStr">
        <is>
          <t>31-60</t>
        </is>
      </c>
      <c r="Q774" s="56" t="inlineStr">
        <is>
          <t>Jitendra Kumar Sharma</t>
        </is>
      </c>
      <c r="U774" t="n">
        <v>3935311</v>
      </c>
      <c r="V774" t="n">
        <v>25</v>
      </c>
      <c r="W774" t="n">
        <v>25</v>
      </c>
      <c r="X774" t="n">
        <v>1.2</v>
      </c>
      <c r="Y774" t="n">
        <v>1.298</v>
      </c>
      <c r="Z774" t="inlineStr">
        <is>
          <t>CRFH</t>
        </is>
      </c>
      <c r="AA774" t="inlineStr">
        <is>
          <t>PE</t>
        </is>
      </c>
      <c r="AB774" t="inlineStr">
        <is>
          <t>AW</t>
        </is>
      </c>
      <c r="AC774" t="inlineStr">
        <is>
          <t>25-25-1.2-CRFH-PE</t>
        </is>
      </c>
      <c r="AD774" t="inlineStr">
        <is>
          <t>CTL</t>
        </is>
      </c>
      <c r="AE774" t="inlineStr">
        <is>
          <t>25-25-1.2-CRFH-PE-1.298</t>
        </is>
      </c>
      <c r="AF774" t="n">
        <v>0.91376012112</v>
      </c>
    </row>
    <row r="775">
      <c r="A775" s="56" t="n">
        <v>1941303</v>
      </c>
      <c r="B775" s="56" t="inlineStr">
        <is>
          <t>TUB-O-C-AUT-AD-FC-29.40X4.500X0.3610</t>
        </is>
      </c>
      <c r="C775" s="56" t="inlineStr">
        <is>
          <t>4A25K36348</t>
        </is>
      </c>
      <c r="D775" s="57" t="n"/>
      <c r="E775" s="57" t="n">
        <v>57.8</v>
      </c>
      <c r="F775" s="57" t="n">
        <v>0.0578</v>
      </c>
      <c r="G775" s="56" t="inlineStr">
        <is>
          <t>KG</t>
        </is>
      </c>
      <c r="H775" s="56" t="inlineStr">
        <is>
          <t>R001</t>
        </is>
      </c>
      <c r="I775" s="56" t="inlineStr">
        <is>
          <t>8406</t>
        </is>
      </c>
      <c r="J775" s="56" t="inlineStr">
        <is>
          <t>158</t>
        </is>
      </c>
      <c r="K775" s="57" t="n">
        <v>20.909</v>
      </c>
      <c r="L775" s="56" t="inlineStr"/>
      <c r="M775" s="56" t="inlineStr">
        <is>
          <t>0</t>
        </is>
      </c>
      <c r="N775" s="56" t="inlineStr">
        <is>
          <t>Kay Jay Forgings Pvt Ltd Unit Vi</t>
        </is>
      </c>
      <c r="O775" s="58" t="n">
        <v>18</v>
      </c>
      <c r="P775" s="59" t="inlineStr">
        <is>
          <t>0-30</t>
        </is>
      </c>
      <c r="Q775" s="56" t="inlineStr">
        <is>
          <t>Jitendra Kumar Sharma</t>
        </is>
      </c>
      <c r="U775" s="586" t="n">
        <v>111121738</v>
      </c>
      <c r="V775" t="n">
        <v>25</v>
      </c>
      <c r="W775" t="n">
        <v>25</v>
      </c>
      <c r="X775" t="n">
        <v>1.2</v>
      </c>
      <c r="Y775" t="n">
        <v>5.27</v>
      </c>
      <c r="Z775" t="inlineStr">
        <is>
          <t>CRFH</t>
        </is>
      </c>
      <c r="AA775" t="inlineStr">
        <is>
          <t>PE</t>
        </is>
      </c>
      <c r="AB775" t="inlineStr">
        <is>
          <t>AW</t>
        </is>
      </c>
      <c r="AC775" t="inlineStr">
        <is>
          <t>25-25-1.2-CRFH-PE</t>
        </is>
      </c>
      <c r="AD775" t="inlineStr">
        <is>
          <t>LL</t>
        </is>
      </c>
      <c r="AE775" t="inlineStr">
        <is>
          <t>25-25-1.2-CRFH-PE-1</t>
        </is>
      </c>
      <c r="AF775" t="n">
        <v>0.70397544</v>
      </c>
    </row>
    <row r="776">
      <c r="A776" s="56" t="n">
        <v>2288945</v>
      </c>
      <c r="B776" s="56" t="inlineStr">
        <is>
          <t>TUB-O-N-AUT-AW-PE-18.20X1.000X6.1450</t>
        </is>
      </c>
      <c r="C776" s="56" t="inlineStr">
        <is>
          <t>4927CK1010</t>
        </is>
      </c>
      <c r="D776" s="57" t="n"/>
      <c r="E776" s="58" t="n">
        <v>1571</v>
      </c>
      <c r="F776" s="57" t="n">
        <v>1.571</v>
      </c>
      <c r="G776" s="56" t="inlineStr">
        <is>
          <t>KG</t>
        </is>
      </c>
      <c r="H776" s="56" t="inlineStr">
        <is>
          <t>R001</t>
        </is>
      </c>
      <c r="I776" s="56" t="inlineStr">
        <is>
          <t>8406</t>
        </is>
      </c>
      <c r="J776" s="56" t="inlineStr">
        <is>
          <t>603</t>
        </is>
      </c>
      <c r="K776" s="57" t="n">
        <v>3702.569</v>
      </c>
      <c r="L776" s="56" t="inlineStr"/>
      <c r="M776" s="56" t="inlineStr">
        <is>
          <t>0</t>
        </is>
      </c>
      <c r="N776" s="56" t="inlineStr">
        <is>
          <t>Neel Metal Products Limited</t>
        </is>
      </c>
      <c r="O776" s="58" t="n">
        <v>23</v>
      </c>
      <c r="P776" s="59" t="inlineStr">
        <is>
          <t>0-30</t>
        </is>
      </c>
      <c r="Q776" s="56" t="inlineStr">
        <is>
          <t>Apoorv</t>
        </is>
      </c>
      <c r="U776" s="586" t="n">
        <v>111116364</v>
      </c>
      <c r="V776" t="n">
        <v>25</v>
      </c>
      <c r="W776" t="n">
        <v>25</v>
      </c>
      <c r="X776" t="n">
        <v>1.2</v>
      </c>
      <c r="Y776" t="n">
        <v>5.86</v>
      </c>
      <c r="Z776" t="inlineStr">
        <is>
          <t>CRFH</t>
        </is>
      </c>
      <c r="AA776" t="inlineStr">
        <is>
          <t>PE</t>
        </is>
      </c>
      <c r="AB776" t="inlineStr">
        <is>
          <t>AW</t>
        </is>
      </c>
      <c r="AC776" t="inlineStr">
        <is>
          <t>25-25-1.2-CRFH-PE</t>
        </is>
      </c>
      <c r="AD776" t="inlineStr">
        <is>
          <t>LL</t>
        </is>
      </c>
      <c r="AE776" t="inlineStr">
        <is>
          <t>25-25-1.2-CRFH-PE-1</t>
        </is>
      </c>
      <c r="AF776" t="n">
        <v>0.70397544</v>
      </c>
    </row>
    <row r="777">
      <c r="A777" s="56" t="n">
        <v>2288945</v>
      </c>
      <c r="B777" s="56" t="inlineStr">
        <is>
          <t>TUB-O-N-AUT-AW-PE-18.20X1.000X6.1450</t>
        </is>
      </c>
      <c r="C777" s="56" t="inlineStr">
        <is>
          <t>4927CK1020</t>
        </is>
      </c>
      <c r="D777" s="57" t="n"/>
      <c r="E777" s="58" t="n">
        <v>1157</v>
      </c>
      <c r="F777" s="57" t="n">
        <v>1.157</v>
      </c>
      <c r="G777" s="56" t="inlineStr">
        <is>
          <t>KG</t>
        </is>
      </c>
      <c r="H777" s="56" t="inlineStr">
        <is>
          <t>R001</t>
        </is>
      </c>
      <c r="I777" s="56" t="inlineStr">
        <is>
          <t>8406</t>
        </is>
      </c>
      <c r="J777" s="56" t="inlineStr">
        <is>
          <t>444</t>
        </is>
      </c>
      <c r="K777" s="57" t="n">
        <v>2726.844</v>
      </c>
      <c r="L777" s="56" t="inlineStr"/>
      <c r="M777" s="56" t="inlineStr">
        <is>
          <t>0</t>
        </is>
      </c>
      <c r="N777" s="56" t="inlineStr">
        <is>
          <t>Neel Metal Products Limited</t>
        </is>
      </c>
      <c r="O777" s="58" t="n">
        <v>23</v>
      </c>
      <c r="P777" s="59" t="inlineStr">
        <is>
          <t>0-30</t>
        </is>
      </c>
      <c r="Q777" s="56" t="inlineStr">
        <is>
          <t>Apoorv</t>
        </is>
      </c>
      <c r="U777" s="585" t="n">
        <v>3572044</v>
      </c>
      <c r="V777" t="n">
        <v>25</v>
      </c>
      <c r="W777" t="n">
        <v>25</v>
      </c>
      <c r="X777" t="n">
        <v>1.2</v>
      </c>
      <c r="Y777" t="n">
        <v>6</v>
      </c>
      <c r="Z777" t="inlineStr">
        <is>
          <t>CRFH</t>
        </is>
      </c>
      <c r="AA777" t="inlineStr">
        <is>
          <t>PE</t>
        </is>
      </c>
      <c r="AB777" t="inlineStr">
        <is>
          <t>AW</t>
        </is>
      </c>
      <c r="AC777" t="inlineStr">
        <is>
          <t>25-25-1.2-CRFH-PE</t>
        </is>
      </c>
      <c r="AD777" t="inlineStr">
        <is>
          <t>LL</t>
        </is>
      </c>
      <c r="AE777" t="inlineStr">
        <is>
          <t>25-25-1.2-CRFH-PE-1</t>
        </is>
      </c>
      <c r="AF777" t="n">
        <v>0.70397544</v>
      </c>
    </row>
    <row r="778">
      <c r="A778" s="56" t="n">
        <v>2288945</v>
      </c>
      <c r="B778" s="56" t="inlineStr">
        <is>
          <t>TUB-O-N-AUT-AW-PE-18.20X1.000X6.1450</t>
        </is>
      </c>
      <c r="C778" s="56" t="inlineStr">
        <is>
          <t>4927CK1040</t>
        </is>
      </c>
      <c r="D778" s="57" t="n"/>
      <c r="E778" s="57" t="n">
        <v>1203.3</v>
      </c>
      <c r="F778" s="57" t="n">
        <v>1.2033</v>
      </c>
      <c r="G778" s="56" t="inlineStr">
        <is>
          <t>KG</t>
        </is>
      </c>
      <c r="H778" s="56" t="inlineStr">
        <is>
          <t>R001</t>
        </is>
      </c>
      <c r="I778" s="56" t="inlineStr">
        <is>
          <t>8406</t>
        </is>
      </c>
      <c r="J778" s="56" t="inlineStr">
        <is>
          <t>476</t>
        </is>
      </c>
      <c r="K778" s="57" t="n">
        <v>2835.965</v>
      </c>
      <c r="L778" s="56" t="inlineStr"/>
      <c r="M778" s="56" t="inlineStr">
        <is>
          <t>0</t>
        </is>
      </c>
      <c r="N778" s="56" t="inlineStr">
        <is>
          <t>Neel Metal Products Limited</t>
        </is>
      </c>
      <c r="O778" s="58" t="n">
        <v>23</v>
      </c>
      <c r="P778" s="59" t="inlineStr">
        <is>
          <t>0-30</t>
        </is>
      </c>
      <c r="Q778" s="56" t="inlineStr">
        <is>
          <t>Apoorv</t>
        </is>
      </c>
      <c r="U778" s="585" t="n">
        <v>3752128</v>
      </c>
      <c r="V778" t="n">
        <v>25</v>
      </c>
      <c r="W778" t="n">
        <v>25</v>
      </c>
      <c r="X778" t="n">
        <v>1.2</v>
      </c>
      <c r="Y778" t="n">
        <v>6.4</v>
      </c>
      <c r="Z778" t="inlineStr">
        <is>
          <t>CRFH</t>
        </is>
      </c>
      <c r="AA778" t="inlineStr">
        <is>
          <t>PE</t>
        </is>
      </c>
      <c r="AB778" t="inlineStr">
        <is>
          <t>AW</t>
        </is>
      </c>
      <c r="AC778" t="inlineStr">
        <is>
          <t>25-25-1.2-CRFH-PE</t>
        </is>
      </c>
      <c r="AD778" t="inlineStr">
        <is>
          <t>LL</t>
        </is>
      </c>
      <c r="AE778" t="inlineStr">
        <is>
          <t>25-25-1.2-CRFH-PE-1</t>
        </is>
      </c>
      <c r="AF778" t="n">
        <v>0.70397544</v>
      </c>
    </row>
    <row r="779">
      <c r="A779" s="56" t="n">
        <v>2288945</v>
      </c>
      <c r="B779" s="56" t="inlineStr">
        <is>
          <t>TUB-O-N-AUT-AW-PE-18.20X1.000X6.1450</t>
        </is>
      </c>
      <c r="C779" s="56" t="inlineStr">
        <is>
          <t>4928AK1020</t>
        </is>
      </c>
      <c r="D779" s="57" t="n"/>
      <c r="E779" s="57" t="n">
        <v>836.3</v>
      </c>
      <c r="F779" s="57" t="n">
        <v>0.8362999999999999</v>
      </c>
      <c r="G779" s="56" t="inlineStr">
        <is>
          <t>KG</t>
        </is>
      </c>
      <c r="H779" s="56" t="inlineStr">
        <is>
          <t>R001</t>
        </is>
      </c>
      <c r="I779" s="56" t="inlineStr">
        <is>
          <t>8406</t>
        </is>
      </c>
      <c r="J779" s="56" t="inlineStr">
        <is>
          <t>464</t>
        </is>
      </c>
      <c r="K779" s="57" t="n">
        <v>1971.011</v>
      </c>
      <c r="L779" s="56" t="inlineStr"/>
      <c r="M779" s="56" t="inlineStr">
        <is>
          <t>0</t>
        </is>
      </c>
      <c r="N779" s="56" t="inlineStr">
        <is>
          <t>Neel Metal Products Limited</t>
        </is>
      </c>
      <c r="O779" s="58" t="n">
        <v>23</v>
      </c>
      <c r="P779" s="59" t="inlineStr">
        <is>
          <t>0-30</t>
        </is>
      </c>
      <c r="Q779" s="56" t="inlineStr">
        <is>
          <t>Apoorv</t>
        </is>
      </c>
      <c r="U779" s="586" t="n">
        <v>111116491</v>
      </c>
      <c r="V779" t="n">
        <v>25</v>
      </c>
      <c r="W779" t="n">
        <v>25</v>
      </c>
      <c r="X779" t="n">
        <v>1.2</v>
      </c>
      <c r="Y779" t="n">
        <v>6.4</v>
      </c>
      <c r="Z779" t="inlineStr">
        <is>
          <t>CRFH</t>
        </is>
      </c>
      <c r="AA779" t="inlineStr">
        <is>
          <t>PE</t>
        </is>
      </c>
      <c r="AB779" t="inlineStr">
        <is>
          <t>AW</t>
        </is>
      </c>
      <c r="AC779" t="inlineStr">
        <is>
          <t>25-25-1.2-CRFH-PE</t>
        </is>
      </c>
      <c r="AD779" t="inlineStr">
        <is>
          <t>LL</t>
        </is>
      </c>
      <c r="AE779" t="inlineStr">
        <is>
          <t>25-25-1.2-CRFH-PE-1</t>
        </is>
      </c>
      <c r="AF779" t="n">
        <v>0.70397544</v>
      </c>
    </row>
    <row r="780">
      <c r="A780" s="56" t="n">
        <v>2359912</v>
      </c>
      <c r="B780" s="56" t="inlineStr">
        <is>
          <t>TUB-O-C-CEW-AD-FC-29.40X4.500X0.3760</t>
        </is>
      </c>
      <c r="C780" s="56" t="inlineStr">
        <is>
          <t>4B29BK3020</t>
        </is>
      </c>
      <c r="D780" s="57" t="n"/>
      <c r="E780" s="57" t="n">
        <v>195.873</v>
      </c>
      <c r="F780" s="57" t="n">
        <v>0.195873</v>
      </c>
      <c r="G780" s="56" t="inlineStr">
        <is>
          <t>KG</t>
        </is>
      </c>
      <c r="H780" s="56" t="inlineStr">
        <is>
          <t>R001</t>
        </is>
      </c>
      <c r="I780" s="56" t="inlineStr">
        <is>
          <t>8406</t>
        </is>
      </c>
      <c r="J780" s="56" t="inlineStr">
        <is>
          <t>154</t>
        </is>
      </c>
      <c r="K780" s="57" t="n">
        <v>70.907</v>
      </c>
      <c r="L780" s="56" t="inlineStr"/>
      <c r="M780" s="56" t="inlineStr">
        <is>
          <t>0</t>
        </is>
      </c>
      <c r="N780" s="56" t="inlineStr">
        <is>
          <t>Kay Jay Forgings Pvt Ltd Unit Vi</t>
        </is>
      </c>
      <c r="O780" s="58" t="n">
        <v>28</v>
      </c>
      <c r="P780" s="59" t="inlineStr">
        <is>
          <t>0-30</t>
        </is>
      </c>
      <c r="Q780" s="56" t="inlineStr">
        <is>
          <t>Jitendra Kumar Sharma</t>
        </is>
      </c>
      <c r="U780" s="585" t="n">
        <v>1940538</v>
      </c>
      <c r="V780" t="n">
        <v>25.4</v>
      </c>
      <c r="W780" t="n">
        <v>0</v>
      </c>
      <c r="X780" t="n">
        <v>1.2</v>
      </c>
      <c r="Y780" t="n">
        <v>0.845</v>
      </c>
      <c r="Z780" t="inlineStr">
        <is>
          <t>WG</t>
        </is>
      </c>
      <c r="AA780" t="inlineStr">
        <is>
          <t>PE</t>
        </is>
      </c>
      <c r="AB780" t="inlineStr">
        <is>
          <t>AW</t>
        </is>
      </c>
      <c r="AC780" t="inlineStr">
        <is>
          <t>25.4-0-1.2-ERW 1-PE</t>
        </is>
      </c>
      <c r="AD780" t="inlineStr">
        <is>
          <t>CTL</t>
        </is>
      </c>
      <c r="AE780" t="inlineStr">
        <is>
          <t>25.4-0-1.2-ERW 1-PE-0.845</t>
        </is>
      </c>
      <c r="AF780" t="n">
        <v>0.6048568812</v>
      </c>
    </row>
    <row r="781">
      <c r="A781" s="56" t="n">
        <v>2396465</v>
      </c>
      <c r="B781" s="56" t="inlineStr">
        <is>
          <t>TUB-O-N-AUT-AN-FC-42.70X3.500X6.0000</t>
        </is>
      </c>
      <c r="C781" s="56" t="inlineStr">
        <is>
          <t>NS20242</t>
        </is>
      </c>
      <c r="D781" s="57" t="n"/>
      <c r="E781" s="57" t="n">
        <v>793.044</v>
      </c>
      <c r="F781" s="57" t="n">
        <v>0.793044</v>
      </c>
      <c r="G781" s="56" t="inlineStr">
        <is>
          <t>KG</t>
        </is>
      </c>
      <c r="H781" s="56" t="inlineStr">
        <is>
          <t>R001</t>
        </is>
      </c>
      <c r="I781" s="56" t="inlineStr">
        <is>
          <t>8406</t>
        </is>
      </c>
      <c r="J781" s="56" t="inlineStr"/>
      <c r="K781" s="57" t="n">
        <v>234.303</v>
      </c>
      <c r="L781" s="56" t="inlineStr"/>
      <c r="M781" s="56" t="inlineStr">
        <is>
          <t>0</t>
        </is>
      </c>
      <c r="N781" s="56" t="inlineStr">
        <is>
          <t>MEGH STEELS PRIVATE LIMITED - TVS A</t>
        </is>
      </c>
      <c r="O781" s="58" t="n">
        <v>24</v>
      </c>
      <c r="P781" s="59" t="inlineStr">
        <is>
          <t>0-30</t>
        </is>
      </c>
      <c r="Q781" s="56" t="inlineStr">
        <is>
          <t>Apoorv</t>
        </is>
      </c>
      <c r="U781" s="585" t="n">
        <v>435963</v>
      </c>
      <c r="V781" t="n">
        <v>25.4</v>
      </c>
      <c r="W781" t="n">
        <v>0</v>
      </c>
      <c r="X781" t="n">
        <v>1.2</v>
      </c>
      <c r="Y781" t="n">
        <v>0.845</v>
      </c>
      <c r="Z781" t="inlineStr">
        <is>
          <t>AU27</t>
        </is>
      </c>
      <c r="AA781" t="inlineStr">
        <is>
          <t>PE</t>
        </is>
      </c>
      <c r="AB781" t="inlineStr">
        <is>
          <t>AW</t>
        </is>
      </c>
      <c r="AC781" t="inlineStr">
        <is>
          <t>25.4-0-1.2-ERW 1-PE</t>
        </is>
      </c>
      <c r="AD781" t="inlineStr">
        <is>
          <t>CTL</t>
        </is>
      </c>
      <c r="AE781" t="inlineStr">
        <is>
          <t>25.4-0-1.2-ERW 1-PE-0.845</t>
        </is>
      </c>
      <c r="AF781" t="n">
        <v>0.6048568812</v>
      </c>
    </row>
    <row r="782">
      <c r="A782" s="56" t="n">
        <v>2410388</v>
      </c>
      <c r="B782" s="56" t="inlineStr">
        <is>
          <t>TUB-O-C-AUT-AD-FC-28.60X2.650X04-05</t>
        </is>
      </c>
      <c r="C782" s="56" t="inlineStr">
        <is>
          <t>4606K17516</t>
        </is>
      </c>
      <c r="D782" s="57" t="n"/>
      <c r="E782" s="57" t="n">
        <v>632.025</v>
      </c>
      <c r="F782" s="57" t="n">
        <v>0.6320249999999999</v>
      </c>
      <c r="G782" s="56" t="inlineStr">
        <is>
          <t>KG</t>
        </is>
      </c>
      <c r="H782" s="56" t="inlineStr">
        <is>
          <t>R001</t>
        </is>
      </c>
      <c r="I782" s="56" t="inlineStr">
        <is>
          <t>8406</t>
        </is>
      </c>
      <c r="J782" s="56" t="inlineStr">
        <is>
          <t>182</t>
        </is>
      </c>
      <c r="K782" s="57" t="n">
        <v>372.546</v>
      </c>
      <c r="L782" s="56" t="inlineStr"/>
      <c r="M782" s="56" t="inlineStr">
        <is>
          <t>0</t>
        </is>
      </c>
      <c r="N782" s="56" t="inlineStr">
        <is>
          <t>ELKAYEM AUTO ANCILLARIES (PVT) LTD.</t>
        </is>
      </c>
      <c r="O782" s="58" t="n">
        <v>113</v>
      </c>
      <c r="P782" s="59" t="inlineStr">
        <is>
          <t>ABOVE 90</t>
        </is>
      </c>
      <c r="Q782" s="56" t="inlineStr">
        <is>
          <t>Diwakar</t>
        </is>
      </c>
      <c r="U782" s="585" t="n">
        <v>3675671</v>
      </c>
      <c r="V782" t="n">
        <v>25.4</v>
      </c>
      <c r="W782" t="n">
        <v>0</v>
      </c>
      <c r="X782" t="n">
        <v>1.2</v>
      </c>
      <c r="Y782" t="n">
        <v>1</v>
      </c>
      <c r="Z782" t="inlineStr">
        <is>
          <t>TE13</t>
        </is>
      </c>
      <c r="AA782" t="inlineStr">
        <is>
          <t>PE</t>
        </is>
      </c>
      <c r="AB782" t="inlineStr">
        <is>
          <t>AW</t>
        </is>
      </c>
      <c r="AC782" t="inlineStr">
        <is>
          <t>25.4-0-1.2-ERW 1-PE</t>
        </is>
      </c>
      <c r="AD782" t="inlineStr">
        <is>
          <t>CTL</t>
        </is>
      </c>
      <c r="AE782" t="inlineStr">
        <is>
          <t>25.4-0-1.2-ERW 1-PE-1</t>
        </is>
      </c>
      <c r="AF782" t="n">
        <v>0.71580696</v>
      </c>
    </row>
    <row r="783">
      <c r="A783" s="56" t="n">
        <v>2410389</v>
      </c>
      <c r="B783" s="56" t="inlineStr">
        <is>
          <t>TUB-O-C-AUT-AN-FC-14.00X1.600X04-05</t>
        </is>
      </c>
      <c r="C783" s="56" t="inlineStr">
        <is>
          <t>4530K16594</t>
        </is>
      </c>
      <c r="D783" s="57" t="n"/>
      <c r="E783" s="57" t="n">
        <v>235.05</v>
      </c>
      <c r="F783" s="57" t="n">
        <v>0.23505</v>
      </c>
      <c r="G783" s="56" t="inlineStr">
        <is>
          <t>KG</t>
        </is>
      </c>
      <c r="H783" s="56" t="inlineStr">
        <is>
          <t>R001</t>
        </is>
      </c>
      <c r="I783" s="56" t="inlineStr">
        <is>
          <t>8406</t>
        </is>
      </c>
      <c r="J783" s="56" t="inlineStr">
        <is>
          <t>574</t>
        </is>
      </c>
      <c r="K783" s="57" t="n">
        <v>480.184</v>
      </c>
      <c r="L783" s="56" t="inlineStr"/>
      <c r="M783" s="56" t="inlineStr">
        <is>
          <t>0</t>
        </is>
      </c>
      <c r="N783" s="56" t="inlineStr">
        <is>
          <t>ELKAYEM AUTO ANCILLARIES (PVT) LTD.</t>
        </is>
      </c>
      <c r="O783" s="58" t="n">
        <v>28</v>
      </c>
      <c r="P783" s="59" t="inlineStr">
        <is>
          <t>0-30</t>
        </is>
      </c>
      <c r="Q783" s="56" t="inlineStr">
        <is>
          <t>Diwakar</t>
        </is>
      </c>
      <c r="U783" s="585" t="n">
        <v>3675672</v>
      </c>
      <c r="V783" t="n">
        <v>25.4</v>
      </c>
      <c r="W783" t="n">
        <v>0</v>
      </c>
      <c r="X783" t="n">
        <v>1.2</v>
      </c>
      <c r="Y783" t="n">
        <v>1.33</v>
      </c>
      <c r="Z783" t="inlineStr">
        <is>
          <t>TE13</t>
        </is>
      </c>
      <c r="AA783" t="inlineStr">
        <is>
          <t>PE</t>
        </is>
      </c>
      <c r="AB783" t="inlineStr">
        <is>
          <t>AW</t>
        </is>
      </c>
      <c r="AC783" t="inlineStr">
        <is>
          <t>25.4-0-1.2-ERW 1-PE</t>
        </is>
      </c>
      <c r="AD783" t="inlineStr">
        <is>
          <t>CTL</t>
        </is>
      </c>
      <c r="AE783" t="inlineStr">
        <is>
          <t>25.4-0-1.2-ERW 1-PE-1.33</t>
        </is>
      </c>
      <c r="AF783" t="n">
        <v>0.9520232568</v>
      </c>
    </row>
    <row r="784">
      <c r="A784" s="56" t="n">
        <v>2410995</v>
      </c>
      <c r="B784" s="56" t="inlineStr">
        <is>
          <t>TUB-O-C-AUT-AD-FC-16.10X2.950X04-05</t>
        </is>
      </c>
      <c r="C784" s="56" t="inlineStr">
        <is>
          <t>S62401383</t>
        </is>
      </c>
      <c r="D784" s="57" t="n"/>
      <c r="E784" s="57" t="n">
        <v>851.981</v>
      </c>
      <c r="F784" s="57" t="n">
        <v>0.851981</v>
      </c>
      <c r="G784" s="56" t="inlineStr">
        <is>
          <t>KG</t>
        </is>
      </c>
      <c r="H784" s="56" t="inlineStr">
        <is>
          <t>R001</t>
        </is>
      </c>
      <c r="I784" s="56" t="inlineStr">
        <is>
          <t>8406</t>
        </is>
      </c>
      <c r="J784" s="56" t="inlineStr">
        <is>
          <t>374</t>
        </is>
      </c>
      <c r="K784" s="57" t="n">
        <v>890.2619999999999</v>
      </c>
      <c r="L784" s="56" t="inlineStr"/>
      <c r="M784" s="56" t="inlineStr">
        <is>
          <t>0</t>
        </is>
      </c>
      <c r="N784" s="56" t="inlineStr">
        <is>
          <t>FREE STOCK</t>
        </is>
      </c>
      <c r="O784" s="58" t="n">
        <v>301</v>
      </c>
      <c r="P784" s="59" t="inlineStr">
        <is>
          <t>ABOVE 90</t>
        </is>
      </c>
      <c r="Q784" s="56" t="inlineStr">
        <is>
          <t>Free Stock</t>
        </is>
      </c>
      <c r="U784" t="n">
        <v>2426142</v>
      </c>
      <c r="V784" t="n">
        <v>25.4</v>
      </c>
      <c r="W784" t="n">
        <v>0</v>
      </c>
      <c r="X784" t="n">
        <v>1.2</v>
      </c>
      <c r="Y784" t="n">
        <v>2.55</v>
      </c>
      <c r="Z784" t="inlineStr">
        <is>
          <t>WG</t>
        </is>
      </c>
      <c r="AA784" t="inlineStr">
        <is>
          <t>PE</t>
        </is>
      </c>
      <c r="AB784" t="inlineStr">
        <is>
          <t>AW</t>
        </is>
      </c>
      <c r="AC784" t="inlineStr">
        <is>
          <t>25.4-0-1.2-ERW 1-PE</t>
        </is>
      </c>
      <c r="AD784" t="inlineStr">
        <is>
          <t>CTL</t>
        </is>
      </c>
      <c r="AE784" t="inlineStr">
        <is>
          <t>25.4-0-1.2-ERW 1-PE-2.55</t>
        </is>
      </c>
      <c r="AF784" t="n">
        <v>1.825307748</v>
      </c>
    </row>
    <row r="785">
      <c r="A785" s="56" t="n">
        <v>2410997</v>
      </c>
      <c r="B785" s="56" t="inlineStr">
        <is>
          <t>TUB-O-C-AUT-AD-FC-25.40X3.200X04-05</t>
        </is>
      </c>
      <c r="C785" s="56" t="inlineStr">
        <is>
          <t>431362440A</t>
        </is>
      </c>
      <c r="D785" s="57" t="n"/>
      <c r="E785" s="57" t="n">
        <v>117.497</v>
      </c>
      <c r="F785" s="57" t="n">
        <v>0.117497</v>
      </c>
      <c r="G785" s="56" t="inlineStr">
        <is>
          <t>KG</t>
        </is>
      </c>
      <c r="H785" s="56" t="inlineStr">
        <is>
          <t>R001</t>
        </is>
      </c>
      <c r="I785" s="56" t="inlineStr">
        <is>
          <t>8406</t>
        </is>
      </c>
      <c r="J785" s="56" t="inlineStr">
        <is>
          <t>90</t>
        </is>
      </c>
      <c r="K785" s="57" t="n">
        <v>67.042</v>
      </c>
      <c r="L785" s="56" t="inlineStr"/>
      <c r="M785" s="56" t="inlineStr">
        <is>
          <t>0</t>
        </is>
      </c>
      <c r="N785" s="56" t="inlineStr">
        <is>
          <t>Neel Metal Products Limited</t>
        </is>
      </c>
      <c r="O785" s="58" t="n">
        <v>146</v>
      </c>
      <c r="P785" s="59" t="inlineStr">
        <is>
          <t>ABOVE 90</t>
        </is>
      </c>
      <c r="Q785" s="56" t="inlineStr">
        <is>
          <t>Apoorv</t>
        </is>
      </c>
      <c r="U785" t="n">
        <v>3672610</v>
      </c>
      <c r="V785" t="n">
        <v>25.4</v>
      </c>
      <c r="W785" t="n">
        <v>0</v>
      </c>
      <c r="X785" t="n">
        <v>1.2</v>
      </c>
      <c r="Y785" t="n">
        <v>2.585</v>
      </c>
      <c r="Z785" t="inlineStr">
        <is>
          <t>WG</t>
        </is>
      </c>
      <c r="AA785" t="inlineStr">
        <is>
          <t>PE</t>
        </is>
      </c>
      <c r="AB785" t="inlineStr">
        <is>
          <t>AW</t>
        </is>
      </c>
      <c r="AC785" t="inlineStr">
        <is>
          <t>25.4-0-1.2-ERW 1-PE</t>
        </is>
      </c>
      <c r="AD785" t="inlineStr">
        <is>
          <t>CTL</t>
        </is>
      </c>
      <c r="AE785" t="inlineStr">
        <is>
          <t>25.4-0-1.2-ERW 1-PE-2.585</t>
        </is>
      </c>
      <c r="AF785" t="n">
        <v>1.8503609916</v>
      </c>
    </row>
    <row r="786">
      <c r="A786" s="56" t="n">
        <v>2410997</v>
      </c>
      <c r="B786" s="56" t="inlineStr">
        <is>
          <t>TUB-O-C-AUT-AD-FC-25.40X3.200X04-05</t>
        </is>
      </c>
      <c r="C786" s="56" t="inlineStr">
        <is>
          <t>431362440B</t>
        </is>
      </c>
      <c r="D786" s="57" t="n"/>
      <c r="E786" s="57" t="n">
        <v>101.497</v>
      </c>
      <c r="F786" s="57" t="n">
        <v>0.101497</v>
      </c>
      <c r="G786" s="56" t="inlineStr">
        <is>
          <t>KG</t>
        </is>
      </c>
      <c r="H786" s="56" t="inlineStr">
        <is>
          <t>R001</t>
        </is>
      </c>
      <c r="I786" s="56" t="inlineStr">
        <is>
          <t>8406</t>
        </is>
      </c>
      <c r="J786" s="56" t="inlineStr">
        <is>
          <t>90</t>
        </is>
      </c>
      <c r="K786" s="57" t="n">
        <v>57.912</v>
      </c>
      <c r="L786" s="56" t="inlineStr"/>
      <c r="M786" s="56" t="inlineStr">
        <is>
          <t>0</t>
        </is>
      </c>
      <c r="N786" s="56" t="inlineStr">
        <is>
          <t>Neel Metal Products Limited</t>
        </is>
      </c>
      <c r="O786" s="58" t="n">
        <v>146</v>
      </c>
      <c r="P786" s="59" t="inlineStr">
        <is>
          <t>ABOVE 90</t>
        </is>
      </c>
      <c r="Q786" s="56" t="inlineStr">
        <is>
          <t>Apoorv</t>
        </is>
      </c>
      <c r="U786" t="n">
        <v>3571602</v>
      </c>
      <c r="V786" t="n">
        <v>25.4</v>
      </c>
      <c r="W786" t="n">
        <v>0</v>
      </c>
      <c r="X786" t="n">
        <v>1.2</v>
      </c>
      <c r="Y786" t="n">
        <v>5.12</v>
      </c>
      <c r="Z786" t="inlineStr">
        <is>
          <t>WG</t>
        </is>
      </c>
      <c r="AA786" t="inlineStr">
        <is>
          <t>PE</t>
        </is>
      </c>
      <c r="AB786" t="inlineStr">
        <is>
          <t>AW</t>
        </is>
      </c>
      <c r="AC786" t="inlineStr">
        <is>
          <t>25.4-0-1.2-ERW 1-PE</t>
        </is>
      </c>
      <c r="AD786" t="inlineStr">
        <is>
          <t>LL</t>
        </is>
      </c>
      <c r="AE786" t="inlineStr">
        <is>
          <t>25.4-0-1.2-ERW 1-PE-1</t>
        </is>
      </c>
      <c r="AF786" t="n">
        <v>0.71580696</v>
      </c>
    </row>
    <row r="787">
      <c r="A787" s="56" t="n">
        <v>2410997</v>
      </c>
      <c r="B787" s="56" t="inlineStr">
        <is>
          <t>TUB-O-C-AUT-AD-FC-25.40X3.200X04-05</t>
        </is>
      </c>
      <c r="C787" s="56" t="inlineStr">
        <is>
          <t>461262790A</t>
        </is>
      </c>
      <c r="D787" s="57" t="n"/>
      <c r="E787" s="58" t="n">
        <v>788</v>
      </c>
      <c r="F787" s="57" t="n">
        <v>0.788</v>
      </c>
      <c r="G787" s="56" t="inlineStr">
        <is>
          <t>KG</t>
        </is>
      </c>
      <c r="H787" s="56" t="inlineStr">
        <is>
          <t>R001</t>
        </is>
      </c>
      <c r="I787" s="56" t="inlineStr">
        <is>
          <t>8406</t>
        </is>
      </c>
      <c r="J787" s="56" t="inlineStr">
        <is>
          <t>100</t>
        </is>
      </c>
      <c r="K787" s="57" t="n">
        <v>449.618</v>
      </c>
      <c r="L787" s="56" t="inlineStr"/>
      <c r="M787" s="56" t="inlineStr">
        <is>
          <t>0</t>
        </is>
      </c>
      <c r="N787" s="56" t="inlineStr">
        <is>
          <t>Neel Metal Products Limited</t>
        </is>
      </c>
      <c r="O787" s="58" t="n">
        <v>114</v>
      </c>
      <c r="P787" s="59" t="inlineStr">
        <is>
          <t>ABOVE 90</t>
        </is>
      </c>
      <c r="Q787" s="56" t="inlineStr">
        <is>
          <t>Apoorv</t>
        </is>
      </c>
      <c r="U787" s="586" t="n">
        <v>111002373</v>
      </c>
      <c r="V787" t="n">
        <v>25.4</v>
      </c>
      <c r="W787" t="n">
        <v>0</v>
      </c>
      <c r="X787" t="n">
        <v>1.2</v>
      </c>
      <c r="Y787" t="n">
        <v>5.17</v>
      </c>
      <c r="Z787" t="inlineStr">
        <is>
          <t>WG</t>
        </is>
      </c>
      <c r="AA787" t="inlineStr">
        <is>
          <t>PE</t>
        </is>
      </c>
      <c r="AB787" t="inlineStr">
        <is>
          <t>AW</t>
        </is>
      </c>
      <c r="AC787" t="inlineStr">
        <is>
          <t>25.4-0-1.2-ERW 1-PE</t>
        </is>
      </c>
      <c r="AD787" t="inlineStr">
        <is>
          <t>LL</t>
        </is>
      </c>
      <c r="AE787" t="inlineStr">
        <is>
          <t>25.4-0-1.2-ERW 1-PE-1</t>
        </is>
      </c>
      <c r="AF787" t="n">
        <v>0.71580696</v>
      </c>
    </row>
    <row r="788">
      <c r="A788" s="56" t="n">
        <v>2410997</v>
      </c>
      <c r="B788" s="56" t="inlineStr">
        <is>
          <t>TUB-O-C-AUT-AD-FC-25.40X3.200X04-05</t>
        </is>
      </c>
      <c r="C788" s="56" t="inlineStr">
        <is>
          <t>461262790B</t>
        </is>
      </c>
      <c r="D788" s="57" t="n"/>
      <c r="E788" s="57" t="n">
        <v>512.965</v>
      </c>
      <c r="F788" s="57" t="n">
        <v>0.512965</v>
      </c>
      <c r="G788" s="56" t="inlineStr">
        <is>
          <t>KG</t>
        </is>
      </c>
      <c r="H788" s="56" t="inlineStr">
        <is>
          <t>R001</t>
        </is>
      </c>
      <c r="I788" s="56" t="inlineStr">
        <is>
          <t>8406</t>
        </is>
      </c>
      <c r="J788" s="56" t="inlineStr">
        <is>
          <t>100</t>
        </is>
      </c>
      <c r="K788" s="57" t="n">
        <v>292.688</v>
      </c>
      <c r="L788" s="56" t="inlineStr"/>
      <c r="M788" s="56" t="inlineStr">
        <is>
          <t>0</t>
        </is>
      </c>
      <c r="N788" s="56" t="inlineStr">
        <is>
          <t>Neel Metal Products Limited</t>
        </is>
      </c>
      <c r="O788" s="58" t="n">
        <v>114</v>
      </c>
      <c r="P788" s="59" t="inlineStr">
        <is>
          <t>ABOVE 90</t>
        </is>
      </c>
      <c r="Q788" s="56" t="inlineStr">
        <is>
          <t>Apoorv</t>
        </is>
      </c>
      <c r="U788" s="585" t="n">
        <v>3571603</v>
      </c>
      <c r="V788" t="n">
        <v>25.4</v>
      </c>
      <c r="W788" t="n">
        <v>0</v>
      </c>
      <c r="X788" t="n">
        <v>1.2</v>
      </c>
      <c r="Y788" t="n">
        <v>5.17</v>
      </c>
      <c r="Z788" t="inlineStr">
        <is>
          <t>WG</t>
        </is>
      </c>
      <c r="AA788" t="inlineStr">
        <is>
          <t>PE</t>
        </is>
      </c>
      <c r="AB788" t="inlineStr">
        <is>
          <t>AW</t>
        </is>
      </c>
      <c r="AC788" t="inlineStr">
        <is>
          <t>25.4-0-1.2-ERW 1-PE</t>
        </is>
      </c>
      <c r="AD788" t="inlineStr">
        <is>
          <t>LL</t>
        </is>
      </c>
      <c r="AE788" t="inlineStr">
        <is>
          <t>25.4-0-1.2-ERW 1-PE-1</t>
        </is>
      </c>
      <c r="AF788" t="n">
        <v>0.71580696</v>
      </c>
    </row>
    <row r="789">
      <c r="A789" s="56" t="n">
        <v>2410997</v>
      </c>
      <c r="B789" s="56" t="inlineStr">
        <is>
          <t>TUB-O-C-AUT-AD-FC-25.40X3.200X04-05</t>
        </is>
      </c>
      <c r="C789" s="56" t="inlineStr">
        <is>
          <t>461262790C</t>
        </is>
      </c>
      <c r="D789" s="57" t="n"/>
      <c r="E789" s="58" t="n">
        <v>113</v>
      </c>
      <c r="F789" s="57" t="n">
        <v>0.113</v>
      </c>
      <c r="G789" s="56" t="inlineStr">
        <is>
          <t>KG</t>
        </is>
      </c>
      <c r="H789" s="56" t="inlineStr">
        <is>
          <t>R001</t>
        </is>
      </c>
      <c r="I789" s="56" t="inlineStr">
        <is>
          <t>8406</t>
        </is>
      </c>
      <c r="J789" s="56" t="inlineStr">
        <is>
          <t>14</t>
        </is>
      </c>
      <c r="K789" s="57" t="n">
        <v>64.476</v>
      </c>
      <c r="L789" s="56" t="inlineStr"/>
      <c r="M789" s="56" t="inlineStr">
        <is>
          <t>0</t>
        </is>
      </c>
      <c r="N789" s="56" t="inlineStr">
        <is>
          <t>Neel Metal Products Limited</t>
        </is>
      </c>
      <c r="O789" s="58" t="n">
        <v>114</v>
      </c>
      <c r="P789" s="59" t="inlineStr">
        <is>
          <t>ABOVE 90</t>
        </is>
      </c>
      <c r="Q789" s="56" t="inlineStr">
        <is>
          <t>Apoorv</t>
        </is>
      </c>
      <c r="U789" s="585" t="n">
        <v>111002372</v>
      </c>
      <c r="V789" t="n">
        <v>25.4</v>
      </c>
      <c r="W789" t="n">
        <v>0</v>
      </c>
      <c r="X789" t="n">
        <v>1.2</v>
      </c>
      <c r="Y789" t="n">
        <v>5.27</v>
      </c>
      <c r="Z789" t="inlineStr">
        <is>
          <t>WG</t>
        </is>
      </c>
      <c r="AA789" t="inlineStr">
        <is>
          <t>PE</t>
        </is>
      </c>
      <c r="AB789" t="inlineStr">
        <is>
          <t>AW</t>
        </is>
      </c>
      <c r="AC789" t="inlineStr">
        <is>
          <t>25.4-0-1.2-ERW 1-PE</t>
        </is>
      </c>
      <c r="AD789" t="inlineStr">
        <is>
          <t>LL</t>
        </is>
      </c>
      <c r="AE789" t="inlineStr">
        <is>
          <t>25.4-0-1.2-ERW 1-PE-1</t>
        </is>
      </c>
      <c r="AF789" t="n">
        <v>0.71580696</v>
      </c>
    </row>
    <row r="790">
      <c r="A790" s="56" t="n">
        <v>2410997</v>
      </c>
      <c r="B790" s="56" t="inlineStr">
        <is>
          <t>TUB-O-C-AUT-AD-FC-25.40X3.200X04-05</t>
        </is>
      </c>
      <c r="C790" s="56" t="inlineStr">
        <is>
          <t>461563010B</t>
        </is>
      </c>
      <c r="D790" s="57" t="n"/>
      <c r="E790" s="57" t="n">
        <v>69.85599999999999</v>
      </c>
      <c r="F790" s="57" t="n">
        <v>0.069856</v>
      </c>
      <c r="G790" s="56" t="inlineStr">
        <is>
          <t>KG</t>
        </is>
      </c>
      <c r="H790" s="56" t="inlineStr">
        <is>
          <t>R001</t>
        </is>
      </c>
      <c r="I790" s="56" t="inlineStr">
        <is>
          <t>8406</t>
        </is>
      </c>
      <c r="J790" s="56" t="inlineStr">
        <is>
          <t>120</t>
        </is>
      </c>
      <c r="K790" s="57" t="n">
        <v>39.858</v>
      </c>
      <c r="L790" s="56" t="inlineStr"/>
      <c r="M790" s="56" t="inlineStr">
        <is>
          <t>0</t>
        </is>
      </c>
      <c r="N790" s="56" t="inlineStr">
        <is>
          <t>Neel Metal Products Limited</t>
        </is>
      </c>
      <c r="O790" s="58" t="n">
        <v>146</v>
      </c>
      <c r="P790" s="59" t="inlineStr">
        <is>
          <t>ABOVE 90</t>
        </is>
      </c>
      <c r="Q790" s="56" t="inlineStr">
        <is>
          <t>Apoorv</t>
        </is>
      </c>
      <c r="U790" s="585" t="n">
        <v>3677732</v>
      </c>
      <c r="V790" t="n">
        <v>25.4</v>
      </c>
      <c r="W790" t="n">
        <v>0</v>
      </c>
      <c r="X790" t="n">
        <v>1.2</v>
      </c>
      <c r="Y790" t="n">
        <v>5.85</v>
      </c>
      <c r="Z790" t="inlineStr">
        <is>
          <t>WG</t>
        </is>
      </c>
      <c r="AA790" t="inlineStr">
        <is>
          <t>PE</t>
        </is>
      </c>
      <c r="AB790" t="inlineStr">
        <is>
          <t>AW</t>
        </is>
      </c>
      <c r="AC790" t="inlineStr">
        <is>
          <t>25.4-0-1.2-ERW 1-PE</t>
        </is>
      </c>
      <c r="AD790" t="inlineStr">
        <is>
          <t>LL</t>
        </is>
      </c>
      <c r="AE790" t="inlineStr">
        <is>
          <t>25.4-0-1.2-ERW 1-PE-1</t>
        </is>
      </c>
      <c r="AF790" t="n">
        <v>0.71580696</v>
      </c>
    </row>
    <row r="791">
      <c r="A791" s="56" t="n">
        <v>2410997</v>
      </c>
      <c r="B791" s="56" t="inlineStr">
        <is>
          <t>TUB-O-C-AUT-AD-FC-25.40X3.200X04-05</t>
        </is>
      </c>
      <c r="C791" s="56" t="inlineStr">
        <is>
          <t>461563010C</t>
        </is>
      </c>
      <c r="D791" s="57" t="n"/>
      <c r="E791" s="58" t="n">
        <v>63</v>
      </c>
      <c r="F791" s="57" t="n">
        <v>0.063</v>
      </c>
      <c r="G791" s="56" t="inlineStr">
        <is>
          <t>KG</t>
        </is>
      </c>
      <c r="H791" s="56" t="inlineStr">
        <is>
          <t>R001</t>
        </is>
      </c>
      <c r="I791" s="56" t="inlineStr">
        <is>
          <t>8406</t>
        </is>
      </c>
      <c r="J791" s="56" t="inlineStr">
        <is>
          <t>9</t>
        </is>
      </c>
      <c r="K791" s="57" t="n">
        <v>35.947</v>
      </c>
      <c r="L791" s="56" t="inlineStr"/>
      <c r="M791" s="56" t="inlineStr">
        <is>
          <t>0</t>
        </is>
      </c>
      <c r="N791" s="56" t="inlineStr">
        <is>
          <t>Neel Metal Products Limited</t>
        </is>
      </c>
      <c r="O791" s="58" t="n">
        <v>146</v>
      </c>
      <c r="P791" s="59" t="inlineStr">
        <is>
          <t>ABOVE 90</t>
        </is>
      </c>
      <c r="Q791" s="56" t="inlineStr">
        <is>
          <t>Apoorv</t>
        </is>
      </c>
      <c r="U791" s="585" t="n">
        <v>3499231</v>
      </c>
      <c r="V791" t="n">
        <v>25.4</v>
      </c>
      <c r="W791" t="n">
        <v>0</v>
      </c>
      <c r="X791" t="n">
        <v>1.2</v>
      </c>
      <c r="Y791" t="n">
        <v>6</v>
      </c>
      <c r="Z791" t="inlineStr"/>
      <c r="AA791" t="inlineStr">
        <is>
          <t>PE</t>
        </is>
      </c>
      <c r="AB791" t="inlineStr">
        <is>
          <t>AW</t>
        </is>
      </c>
      <c r="AC791" t="inlineStr">
        <is>
          <t>25.4-0-1.2-ERW 1-PE</t>
        </is>
      </c>
      <c r="AD791" t="inlineStr">
        <is>
          <t>LL</t>
        </is>
      </c>
      <c r="AE791" t="inlineStr">
        <is>
          <t>25.4-0-1.2-ERW 1-PE-1</t>
        </is>
      </c>
      <c r="AF791" t="n">
        <v>0.71580696</v>
      </c>
    </row>
    <row r="792">
      <c r="A792" s="56" t="n">
        <v>2410997</v>
      </c>
      <c r="B792" s="56" t="inlineStr">
        <is>
          <t>TUB-O-C-AUT-AD-FC-25.40X3.200X04-05</t>
        </is>
      </c>
      <c r="C792" s="56" t="inlineStr">
        <is>
          <t>4813BK3060</t>
        </is>
      </c>
      <c r="D792" s="57" t="n"/>
      <c r="E792" s="58" t="n">
        <v>1446</v>
      </c>
      <c r="F792" s="57" t="n">
        <v>1.446</v>
      </c>
      <c r="G792" s="56" t="inlineStr">
        <is>
          <t>KG</t>
        </is>
      </c>
      <c r="H792" s="56" t="inlineStr">
        <is>
          <t>R001</t>
        </is>
      </c>
      <c r="I792" s="56" t="inlineStr">
        <is>
          <t>8406</t>
        </is>
      </c>
      <c r="J792" s="56" t="inlineStr">
        <is>
          <t>192</t>
        </is>
      </c>
      <c r="K792" s="57" t="n">
        <v>825.0599999999999</v>
      </c>
      <c r="L792" s="56" t="inlineStr"/>
      <c r="M792" s="56" t="inlineStr">
        <is>
          <t>0</t>
        </is>
      </c>
      <c r="N792" s="56" t="inlineStr">
        <is>
          <t>Neel Metal Products Limited</t>
        </is>
      </c>
      <c r="O792" s="58" t="n">
        <v>114</v>
      </c>
      <c r="P792" s="59" t="inlineStr">
        <is>
          <t>ABOVE 90</t>
        </is>
      </c>
      <c r="Q792" s="56" t="inlineStr">
        <is>
          <t>Apoorv</t>
        </is>
      </c>
      <c r="U792" s="585" t="n">
        <v>2424802</v>
      </c>
      <c r="V792" t="n">
        <v>25.4</v>
      </c>
      <c r="W792" t="n">
        <v>0</v>
      </c>
      <c r="X792" t="n">
        <v>1.2</v>
      </c>
      <c r="Y792" t="n">
        <v>6</v>
      </c>
      <c r="Z792" t="inlineStr">
        <is>
          <t>WG</t>
        </is>
      </c>
      <c r="AA792" t="inlineStr">
        <is>
          <t>FC</t>
        </is>
      </c>
      <c r="AB792" t="inlineStr">
        <is>
          <t>AW</t>
        </is>
      </c>
      <c r="AC792" t="inlineStr">
        <is>
          <t>25.4-0-1.2-ERW 1-PE</t>
        </is>
      </c>
      <c r="AD792" t="inlineStr">
        <is>
          <t>LL</t>
        </is>
      </c>
      <c r="AE792" t="inlineStr">
        <is>
          <t>25.4-0-1.2-ERW 1-PE-1</t>
        </is>
      </c>
      <c r="AF792" t="n">
        <v>0.71580696</v>
      </c>
    </row>
    <row r="793">
      <c r="A793" s="56" t="n">
        <v>2410999</v>
      </c>
      <c r="B793" s="56" t="inlineStr">
        <is>
          <t>TUB-O-C-AUT-AD-FC-21.70X2.750X04-05</t>
        </is>
      </c>
      <c r="C793" s="56" t="inlineStr">
        <is>
          <t>441165530A</t>
        </is>
      </c>
      <c r="D793" s="57" t="n"/>
      <c r="E793" s="57" t="n">
        <v>344.056</v>
      </c>
      <c r="F793" s="57" t="n">
        <v>0.344056</v>
      </c>
      <c r="G793" s="56" t="inlineStr">
        <is>
          <t>KG</t>
        </is>
      </c>
      <c r="H793" s="56" t="inlineStr">
        <is>
          <t>R001</t>
        </is>
      </c>
      <c r="I793" s="56" t="inlineStr">
        <is>
          <t>8406</t>
        </is>
      </c>
      <c r="J793" s="56" t="inlineStr">
        <is>
          <t>255</t>
        </is>
      </c>
      <c r="K793" s="57" t="n">
        <v>267.623</v>
      </c>
      <c r="L793" s="56" t="inlineStr"/>
      <c r="M793" s="56" t="inlineStr">
        <is>
          <t>0</t>
        </is>
      </c>
      <c r="N793" s="56" t="inlineStr">
        <is>
          <t>SRIKAM HITECH ENGINEERING PRIVATE L</t>
        </is>
      </c>
      <c r="O793" s="58" t="n">
        <v>146</v>
      </c>
      <c r="P793" s="59" t="inlineStr">
        <is>
          <t>ABOVE 90</t>
        </is>
      </c>
      <c r="Q793" s="56" t="inlineStr">
        <is>
          <t>Apoorv</t>
        </is>
      </c>
      <c r="U793" s="28" t="n">
        <v>3701615</v>
      </c>
      <c r="V793" t="n">
        <v>25.4</v>
      </c>
      <c r="W793" t="n">
        <v>0</v>
      </c>
      <c r="X793" t="n">
        <v>1.2</v>
      </c>
      <c r="Y793" t="n">
        <v>6</v>
      </c>
      <c r="Z793" t="inlineStr">
        <is>
          <t>WG</t>
        </is>
      </c>
      <c r="AA793" t="inlineStr">
        <is>
          <t>PE</t>
        </is>
      </c>
      <c r="AB793" t="inlineStr">
        <is>
          <t>AW</t>
        </is>
      </c>
      <c r="AC793" t="inlineStr">
        <is>
          <t>25.4-0-1.2-ERW 1-PE</t>
        </is>
      </c>
      <c r="AD793" t="inlineStr">
        <is>
          <t>LL</t>
        </is>
      </c>
      <c r="AE793" t="inlineStr">
        <is>
          <t>25.4-0-1.2-ERW 1-PE-1</t>
        </is>
      </c>
      <c r="AF793" t="n">
        <v>0.71580696</v>
      </c>
    </row>
    <row r="794">
      <c r="A794" s="56" t="n">
        <v>2410999</v>
      </c>
      <c r="B794" s="56" t="inlineStr">
        <is>
          <t>TUB-O-C-AUT-AD-FC-21.70X2.750X04-05</t>
        </is>
      </c>
      <c r="C794" s="56" t="inlineStr">
        <is>
          <t>441165530B</t>
        </is>
      </c>
      <c r="D794" s="57" t="n"/>
      <c r="E794" s="58" t="n">
        <v>1347</v>
      </c>
      <c r="F794" s="57" t="n">
        <v>1.347</v>
      </c>
      <c r="G794" s="56" t="inlineStr">
        <is>
          <t>KG</t>
        </is>
      </c>
      <c r="H794" s="56" t="inlineStr">
        <is>
          <t>R001</t>
        </is>
      </c>
      <c r="I794" s="56" t="inlineStr">
        <is>
          <t>8406</t>
        </is>
      </c>
      <c r="J794" s="56" t="inlineStr">
        <is>
          <t>240</t>
        </is>
      </c>
      <c r="K794" s="57" t="n">
        <v>1047.76</v>
      </c>
      <c r="L794" s="56" t="inlineStr"/>
      <c r="M794" s="56" t="inlineStr">
        <is>
          <t>0</t>
        </is>
      </c>
      <c r="N794" s="56" t="inlineStr">
        <is>
          <t>SRIKAM HITECH ENGINEERING PRIVATE L</t>
        </is>
      </c>
      <c r="O794" s="58" t="n">
        <v>146</v>
      </c>
      <c r="P794" s="59" t="inlineStr">
        <is>
          <t>ABOVE 90</t>
        </is>
      </c>
      <c r="Q794" s="56" t="inlineStr">
        <is>
          <t>Apoorv</t>
        </is>
      </c>
      <c r="U794" s="585" t="n">
        <v>3605862</v>
      </c>
      <c r="V794" t="n">
        <v>25.4</v>
      </c>
      <c r="W794" t="n">
        <v>0</v>
      </c>
      <c r="X794" t="n">
        <v>1.22</v>
      </c>
      <c r="Y794" t="n">
        <v>2.585</v>
      </c>
      <c r="Z794" t="inlineStr">
        <is>
          <t>WG</t>
        </is>
      </c>
      <c r="AA794" t="inlineStr">
        <is>
          <t>PE</t>
        </is>
      </c>
      <c r="AB794" t="inlineStr">
        <is>
          <t>AW</t>
        </is>
      </c>
      <c r="AC794" t="inlineStr">
        <is>
          <t>25.4-0-1.2-ERW 1-PE</t>
        </is>
      </c>
      <c r="AD794" t="inlineStr">
        <is>
          <t>CTL</t>
        </is>
      </c>
      <c r="AE794" t="inlineStr">
        <is>
          <t>25.4-0-1.2-ERW 1-PE-2.585</t>
        </is>
      </c>
      <c r="AF794" t="n">
        <v>1.879645630434</v>
      </c>
    </row>
    <row r="795">
      <c r="A795" s="56" t="n">
        <v>2410999</v>
      </c>
      <c r="B795" s="56" t="inlineStr">
        <is>
          <t>TUB-O-C-AUT-AD-FC-21.70X2.750X04-05</t>
        </is>
      </c>
      <c r="C795" s="56" t="inlineStr">
        <is>
          <t>S6230Z113</t>
        </is>
      </c>
      <c r="D795" s="57" t="n"/>
      <c r="E795" s="57" t="n">
        <v>1210.711</v>
      </c>
      <c r="F795" s="57" t="n">
        <v>1.210711</v>
      </c>
      <c r="G795" s="56" t="inlineStr">
        <is>
          <t>KG</t>
        </is>
      </c>
      <c r="H795" s="56" t="inlineStr">
        <is>
          <t>R001</t>
        </is>
      </c>
      <c r="I795" s="56" t="inlineStr">
        <is>
          <t>8406</t>
        </is>
      </c>
      <c r="J795" s="56" t="inlineStr">
        <is>
          <t>340</t>
        </is>
      </c>
      <c r="K795" s="57" t="n">
        <v>941.748</v>
      </c>
      <c r="L795" s="56" t="inlineStr"/>
      <c r="M795" s="56" t="inlineStr">
        <is>
          <t>0</t>
        </is>
      </c>
      <c r="N795" s="56" t="inlineStr">
        <is>
          <t>SRIKAM HITECH ENGINEERING PRIVATE L</t>
        </is>
      </c>
      <c r="O795" s="58" t="n">
        <v>189</v>
      </c>
      <c r="P795" s="59" t="inlineStr">
        <is>
          <t>ABOVE 90</t>
        </is>
      </c>
      <c r="Q795" s="56" t="inlineStr">
        <is>
          <t>Apoorv</t>
        </is>
      </c>
      <c r="U795" s="585" t="n">
        <v>1940545</v>
      </c>
      <c r="V795" t="n">
        <v>25.4</v>
      </c>
      <c r="W795" t="n">
        <v>0</v>
      </c>
      <c r="X795" t="n">
        <v>1.4</v>
      </c>
      <c r="Y795" t="n">
        <v>0.459</v>
      </c>
      <c r="Z795" t="inlineStr">
        <is>
          <t>WG</t>
        </is>
      </c>
      <c r="AA795" t="inlineStr">
        <is>
          <t>PE</t>
        </is>
      </c>
      <c r="AB795" t="inlineStr">
        <is>
          <t>AW</t>
        </is>
      </c>
      <c r="AC795" t="inlineStr">
        <is>
          <t>check thickness tdc</t>
        </is>
      </c>
      <c r="AD795" t="inlineStr">
        <is>
          <t>CTL</t>
        </is>
      </c>
      <c r="AE795" t="inlineStr">
        <is>
          <t>check thickness tdc-0.459</t>
        </is>
      </c>
      <c r="AF795" t="n">
        <v>0.3801467376</v>
      </c>
    </row>
    <row r="796">
      <c r="A796" s="56" t="n">
        <v>2410999</v>
      </c>
      <c r="B796" s="56" t="inlineStr">
        <is>
          <t>TUB-O-C-AUT-AD-FC-21.70X2.750X04-05</t>
        </is>
      </c>
      <c r="C796" s="56" t="inlineStr">
        <is>
          <t>S6230Z115</t>
        </is>
      </c>
      <c r="D796" s="57" t="n"/>
      <c r="E796" s="57" t="n">
        <v>354.387</v>
      </c>
      <c r="F796" s="57" t="n">
        <v>0.354387</v>
      </c>
      <c r="G796" s="56" t="inlineStr">
        <is>
          <t>KG</t>
        </is>
      </c>
      <c r="H796" s="56" t="inlineStr">
        <is>
          <t>R001</t>
        </is>
      </c>
      <c r="I796" s="56" t="inlineStr">
        <is>
          <t>8406</t>
        </is>
      </c>
      <c r="J796" s="56" t="inlineStr">
        <is>
          <t>366</t>
        </is>
      </c>
      <c r="K796" s="57" t="n">
        <v>275.659</v>
      </c>
      <c r="L796" s="56" t="inlineStr"/>
      <c r="M796" s="56" t="inlineStr">
        <is>
          <t>0</t>
        </is>
      </c>
      <c r="N796" s="56" t="inlineStr">
        <is>
          <t>SRIKAM HITECH ENGINEERING PRIVATE L</t>
        </is>
      </c>
      <c r="O796" s="58" t="n">
        <v>188</v>
      </c>
      <c r="P796" s="59" t="inlineStr">
        <is>
          <t>ABOVE 90</t>
        </is>
      </c>
      <c r="Q796" s="56" t="inlineStr">
        <is>
          <t>Apoorv</t>
        </is>
      </c>
      <c r="U796" s="585" t="n">
        <v>2371410</v>
      </c>
      <c r="V796" t="n">
        <v>25.4</v>
      </c>
      <c r="W796" t="n">
        <v>0</v>
      </c>
      <c r="X796" t="n">
        <v>1.4</v>
      </c>
      <c r="Y796" t="n">
        <v>0.783</v>
      </c>
      <c r="Z796" t="inlineStr">
        <is>
          <t>SAE1020</t>
        </is>
      </c>
      <c r="AA796" t="inlineStr">
        <is>
          <t>PE</t>
        </is>
      </c>
      <c r="AB796" t="inlineStr">
        <is>
          <t>AP</t>
        </is>
      </c>
      <c r="AC796" t="inlineStr">
        <is>
          <t>25.4-0-1.4-ERW 2-PE</t>
        </is>
      </c>
      <c r="AD796" t="inlineStr">
        <is>
          <t>CTL</t>
        </is>
      </c>
      <c r="AE796" t="inlineStr">
        <is>
          <t>25.4-0-1.4-ERW 2-PE-0.783</t>
        </is>
      </c>
      <c r="AF796" t="n">
        <v>0.6484856111999999</v>
      </c>
    </row>
    <row r="797">
      <c r="A797" s="56" t="n">
        <v>2417648</v>
      </c>
      <c r="B797" s="56" t="inlineStr">
        <is>
          <t>TUB-O-N-AUT-AN-FC-42.70X3.500X0.2100</t>
        </is>
      </c>
      <c r="C797" s="56" t="inlineStr">
        <is>
          <t>4A29AK3150</t>
        </is>
      </c>
      <c r="D797" s="57" t="n"/>
      <c r="E797" s="58" t="n">
        <v>119</v>
      </c>
      <c r="F797" s="57" t="n">
        <v>0.119</v>
      </c>
      <c r="G797" s="56" t="inlineStr">
        <is>
          <t>KG</t>
        </is>
      </c>
      <c r="H797" s="56" t="inlineStr">
        <is>
          <t>R001</t>
        </is>
      </c>
      <c r="I797" s="56" t="inlineStr">
        <is>
          <t>8406</t>
        </is>
      </c>
      <c r="J797" s="56" t="inlineStr">
        <is>
          <t>113</t>
        </is>
      </c>
      <c r="K797" s="57" t="n">
        <v>35.158</v>
      </c>
      <c r="L797" s="56" t="inlineStr"/>
      <c r="M797" s="56" t="inlineStr">
        <is>
          <t>0</t>
        </is>
      </c>
      <c r="N797" s="56" t="inlineStr">
        <is>
          <t>Neel Metal Products Limited</t>
        </is>
      </c>
      <c r="O797" s="58" t="n">
        <v>13</v>
      </c>
      <c r="P797" s="59" t="inlineStr">
        <is>
          <t>0-30</t>
        </is>
      </c>
      <c r="Q797" s="56" t="inlineStr">
        <is>
          <t>Apoorv</t>
        </is>
      </c>
      <c r="U797" s="585" t="n">
        <v>3501900</v>
      </c>
      <c r="V797" t="n">
        <v>25.4</v>
      </c>
      <c r="W797" t="n">
        <v>0</v>
      </c>
      <c r="X797" t="n">
        <v>1.4</v>
      </c>
      <c r="Y797" t="n">
        <v>5.531</v>
      </c>
      <c r="Z797" t="inlineStr"/>
      <c r="AA797" t="inlineStr">
        <is>
          <t>FC</t>
        </is>
      </c>
      <c r="AB797" t="inlineStr">
        <is>
          <t>AW</t>
        </is>
      </c>
      <c r="AC797" t="inlineStr">
        <is>
          <t>25.4-0-1.4-ERW 2-PE</t>
        </is>
      </c>
      <c r="AD797" t="inlineStr">
        <is>
          <t>LL</t>
        </is>
      </c>
      <c r="AE797" t="inlineStr">
        <is>
          <t>25.4-0-1.4-ERW 2-PE-1</t>
        </is>
      </c>
      <c r="AF797" t="n">
        <v>0.8282063999999999</v>
      </c>
    </row>
    <row r="798">
      <c r="A798" s="56" t="n">
        <v>2432009</v>
      </c>
      <c r="B798" s="56" t="inlineStr">
        <is>
          <t>TUB-O-C-AUT-AD-FC-25.40X4.000X04-05</t>
        </is>
      </c>
      <c r="C798" s="56" t="inlineStr">
        <is>
          <t>S62303077</t>
        </is>
      </c>
      <c r="D798" s="57" t="n"/>
      <c r="E798" s="57" t="n">
        <v>1089.595</v>
      </c>
      <c r="F798" s="57" t="n">
        <v>1.089595</v>
      </c>
      <c r="G798" s="56" t="inlineStr">
        <is>
          <t>KG</t>
        </is>
      </c>
      <c r="H798" s="56" t="inlineStr">
        <is>
          <t>R001</t>
        </is>
      </c>
      <c r="I798" s="56" t="inlineStr">
        <is>
          <t>8406</t>
        </is>
      </c>
      <c r="J798" s="56" t="inlineStr">
        <is>
          <t>240</t>
        </is>
      </c>
      <c r="K798" s="57" t="n">
        <v>515.956</v>
      </c>
      <c r="L798" s="56" t="inlineStr"/>
      <c r="M798" s="56" t="inlineStr">
        <is>
          <t>0</t>
        </is>
      </c>
      <c r="N798" s="56" t="inlineStr">
        <is>
          <t>FREE STOCK</t>
        </is>
      </c>
      <c r="O798" s="58" t="n">
        <v>644</v>
      </c>
      <c r="P798" s="59" t="inlineStr">
        <is>
          <t>ABOVE 90</t>
        </is>
      </c>
      <c r="Q798" s="56" t="inlineStr">
        <is>
          <t>Free Stock</t>
        </is>
      </c>
      <c r="U798" s="585" t="n">
        <v>1932290</v>
      </c>
      <c r="V798" t="n">
        <v>25.4</v>
      </c>
      <c r="W798" t="n">
        <v>0</v>
      </c>
      <c r="X798" t="n">
        <v>1.4</v>
      </c>
      <c r="Y798" t="n">
        <v>6</v>
      </c>
      <c r="Z798" t="inlineStr">
        <is>
          <t>D</t>
        </is>
      </c>
      <c r="AA798" t="inlineStr">
        <is>
          <t>PE</t>
        </is>
      </c>
      <c r="AB798" t="inlineStr">
        <is>
          <t>AW</t>
        </is>
      </c>
      <c r="AC798" t="inlineStr">
        <is>
          <t>check thickness tdc</t>
        </is>
      </c>
      <c r="AD798" t="inlineStr">
        <is>
          <t>LL</t>
        </is>
      </c>
      <c r="AE798" t="inlineStr">
        <is>
          <t>check thickness tdc-1</t>
        </is>
      </c>
      <c r="AF798" t="n">
        <v>0.8282063999999999</v>
      </c>
    </row>
    <row r="799">
      <c r="A799" s="56" t="n">
        <v>2432009</v>
      </c>
      <c r="B799" s="56" t="inlineStr">
        <is>
          <t>TUB-O-C-AUT-AD-FC-25.40X4.000X04-05</t>
        </is>
      </c>
      <c r="C799" s="56" t="inlineStr">
        <is>
          <t>S62303450</t>
        </is>
      </c>
      <c r="D799" s="57" t="n"/>
      <c r="E799" s="58" t="n">
        <v>270</v>
      </c>
      <c r="F799" s="57" t="n">
        <v>0.27</v>
      </c>
      <c r="G799" s="56" t="inlineStr">
        <is>
          <t>KG</t>
        </is>
      </c>
      <c r="H799" s="56" t="inlineStr">
        <is>
          <t>R001</t>
        </is>
      </c>
      <c r="I799" s="56" t="inlineStr">
        <is>
          <t>8406</t>
        </is>
      </c>
      <c r="J799" s="56" t="inlineStr">
        <is>
          <t>67</t>
        </is>
      </c>
      <c r="K799" s="57" t="n">
        <v>127.853</v>
      </c>
      <c r="L799" s="56" t="inlineStr"/>
      <c r="M799" s="56" t="inlineStr">
        <is>
          <t>0</t>
        </is>
      </c>
      <c r="N799" s="56" t="inlineStr">
        <is>
          <t>FREE STOCK</t>
        </is>
      </c>
      <c r="O799" s="58" t="n">
        <v>636</v>
      </c>
      <c r="P799" s="59" t="inlineStr">
        <is>
          <t>ABOVE 90</t>
        </is>
      </c>
      <c r="Q799" s="56" t="inlineStr">
        <is>
          <t>Free Stock</t>
        </is>
      </c>
      <c r="U799" s="585" t="n">
        <v>3556885</v>
      </c>
      <c r="V799" t="n">
        <v>25.4</v>
      </c>
      <c r="W799" t="n">
        <v>0</v>
      </c>
      <c r="X799" t="n">
        <v>1.4</v>
      </c>
      <c r="Y799" t="n">
        <v>6.001</v>
      </c>
      <c r="Z799" t="inlineStr"/>
      <c r="AA799" t="inlineStr">
        <is>
          <t>FC</t>
        </is>
      </c>
      <c r="AB799" t="inlineStr">
        <is>
          <t>AW</t>
        </is>
      </c>
      <c r="AC799" t="inlineStr">
        <is>
          <t>25.4--1.4-ERW 1-FIN CUT</t>
        </is>
      </c>
      <c r="AD799" t="inlineStr">
        <is>
          <t>LL</t>
        </is>
      </c>
      <c r="AE799" t="inlineStr">
        <is>
          <t>25.4--1.4-ERW 1-FIN CUT-1</t>
        </is>
      </c>
      <c r="AF799" t="n">
        <v>0.8282063999999999</v>
      </c>
    </row>
    <row r="800">
      <c r="A800" s="56" t="n">
        <v>2439535</v>
      </c>
      <c r="B800" s="56" t="inlineStr">
        <is>
          <t>TUB-O-C-AUT-AD-FC-20.00X4.500X04-05</t>
        </is>
      </c>
      <c r="C800" s="56" t="inlineStr">
        <is>
          <t>4B06CK3080</t>
        </is>
      </c>
      <c r="D800" s="57" t="n"/>
      <c r="E800" s="58" t="n">
        <v>1040</v>
      </c>
      <c r="F800" s="57" t="n">
        <v>1.04</v>
      </c>
      <c r="G800" s="56" t="inlineStr">
        <is>
          <t>KG</t>
        </is>
      </c>
      <c r="H800" s="56" t="inlineStr">
        <is>
          <t>R001</t>
        </is>
      </c>
      <c r="I800" s="56" t="inlineStr">
        <is>
          <t>8406</t>
        </is>
      </c>
      <c r="J800" s="56" t="inlineStr">
        <is>
          <t>144</t>
        </is>
      </c>
      <c r="K800" s="57" t="n">
        <v>604.405</v>
      </c>
      <c r="L800" s="56" t="inlineStr"/>
      <c r="M800" s="56" t="inlineStr">
        <is>
          <t>0</t>
        </is>
      </c>
      <c r="N800" s="56" t="inlineStr">
        <is>
          <t>Neel Metal Products Limited</t>
        </is>
      </c>
      <c r="O800" s="58" t="n">
        <v>52</v>
      </c>
      <c r="P800" s="59" t="inlineStr">
        <is>
          <t>31-60</t>
        </is>
      </c>
      <c r="Q800" s="56" t="inlineStr">
        <is>
          <t>Apoorv</t>
        </is>
      </c>
      <c r="U800" s="585" t="n">
        <v>3557792</v>
      </c>
      <c r="V800" t="n">
        <v>25.4</v>
      </c>
      <c r="W800" t="n">
        <v>0</v>
      </c>
      <c r="X800" t="n">
        <v>1.4</v>
      </c>
      <c r="Y800" t="n">
        <v>6.06</v>
      </c>
      <c r="Z800" t="inlineStr">
        <is>
          <t>WG</t>
        </is>
      </c>
      <c r="AA800" t="inlineStr">
        <is>
          <t>FC</t>
        </is>
      </c>
      <c r="AB800" t="inlineStr">
        <is>
          <t>AW</t>
        </is>
      </c>
      <c r="AC800" t="inlineStr">
        <is>
          <t>check thickness tdc</t>
        </is>
      </c>
      <c r="AD800" t="inlineStr">
        <is>
          <t>LL</t>
        </is>
      </c>
      <c r="AE800" t="inlineStr">
        <is>
          <t>check thickness tdc-1</t>
        </is>
      </c>
      <c r="AF800" t="n">
        <v>0.8282063999999999</v>
      </c>
    </row>
    <row r="801">
      <c r="A801" s="56" t="n">
        <v>2439535</v>
      </c>
      <c r="B801" s="56" t="inlineStr">
        <is>
          <t>TUB-O-C-AUT-AD-FC-20.00X4.500X04-05</t>
        </is>
      </c>
      <c r="C801" s="56" t="inlineStr">
        <is>
          <t>4B06CK3120</t>
        </is>
      </c>
      <c r="D801" s="57" t="n"/>
      <c r="E801" s="58" t="n">
        <v>2070</v>
      </c>
      <c r="F801" s="57" t="n">
        <v>2.07</v>
      </c>
      <c r="G801" s="56" t="inlineStr">
        <is>
          <t>KG</t>
        </is>
      </c>
      <c r="H801" s="56" t="inlineStr">
        <is>
          <t>R001</t>
        </is>
      </c>
      <c r="I801" s="56" t="inlineStr">
        <is>
          <t>8406</t>
        </is>
      </c>
      <c r="J801" s="56" t="inlineStr">
        <is>
          <t>280</t>
        </is>
      </c>
      <c r="K801" s="57" t="n">
        <v>1202.999</v>
      </c>
      <c r="L801" s="56" t="inlineStr"/>
      <c r="M801" s="56" t="inlineStr">
        <is>
          <t>0</t>
        </is>
      </c>
      <c r="N801" s="56" t="inlineStr">
        <is>
          <t>Neel Metal Products Limited</t>
        </is>
      </c>
      <c r="O801" s="58" t="n">
        <v>52</v>
      </c>
      <c r="P801" s="59" t="inlineStr">
        <is>
          <t>31-60</t>
        </is>
      </c>
      <c r="Q801" s="56" t="inlineStr">
        <is>
          <t>Apoorv</t>
        </is>
      </c>
      <c r="U801" s="585" t="n">
        <v>1931310</v>
      </c>
      <c r="V801" t="n">
        <v>25.4</v>
      </c>
      <c r="W801" t="n">
        <v>0</v>
      </c>
      <c r="X801" t="n">
        <v>1.5</v>
      </c>
      <c r="Y801" t="n">
        <v>6</v>
      </c>
      <c r="Z801" t="inlineStr">
        <is>
          <t>D</t>
        </is>
      </c>
      <c r="AA801" t="inlineStr">
        <is>
          <t>PE</t>
        </is>
      </c>
      <c r="AB801" t="inlineStr">
        <is>
          <t>AW</t>
        </is>
      </c>
      <c r="AC801" t="inlineStr">
        <is>
          <t>25.4-0-1.6-ERW 1-PE</t>
        </is>
      </c>
      <c r="AD801" t="inlineStr">
        <is>
          <t>LL</t>
        </is>
      </c>
      <c r="AE801" t="inlineStr">
        <is>
          <t>25.4-0-1.6-ERW 1-PE-1</t>
        </is>
      </c>
      <c r="AF801" t="n">
        <v>0.8836666499999999</v>
      </c>
    </row>
    <row r="802">
      <c r="A802" s="56" t="n">
        <v>2439535</v>
      </c>
      <c r="B802" s="56" t="inlineStr">
        <is>
          <t>TUB-O-C-AUT-AD-FC-20.00X4.500X04-05</t>
        </is>
      </c>
      <c r="C802" s="56" t="inlineStr">
        <is>
          <t>4B15K37589</t>
        </is>
      </c>
      <c r="D802" s="57" t="n"/>
      <c r="E802" s="58" t="n">
        <v>1774</v>
      </c>
      <c r="F802" s="57" t="n">
        <v>1.774</v>
      </c>
      <c r="G802" s="56" t="inlineStr">
        <is>
          <t>KG</t>
        </is>
      </c>
      <c r="H802" s="56" t="inlineStr">
        <is>
          <t>R001</t>
        </is>
      </c>
      <c r="I802" s="56" t="inlineStr">
        <is>
          <t>8406</t>
        </is>
      </c>
      <c r="J802" s="56" t="inlineStr">
        <is>
          <t>240</t>
        </is>
      </c>
      <c r="K802" s="57" t="n">
        <v>1030.976</v>
      </c>
      <c r="L802" s="56" t="inlineStr"/>
      <c r="M802" s="56" t="inlineStr">
        <is>
          <t>0</t>
        </is>
      </c>
      <c r="N802" s="56" t="inlineStr">
        <is>
          <t>Neel Metal Products Limited</t>
        </is>
      </c>
      <c r="O802" s="58" t="n">
        <v>52</v>
      </c>
      <c r="P802" s="59" t="inlineStr">
        <is>
          <t>31-60</t>
        </is>
      </c>
      <c r="Q802" s="56" t="inlineStr">
        <is>
          <t>Apoorv</t>
        </is>
      </c>
      <c r="U802" s="585" t="n">
        <v>438186</v>
      </c>
      <c r="V802" t="n">
        <v>25.4</v>
      </c>
      <c r="W802" t="n">
        <v>0</v>
      </c>
      <c r="X802" t="n">
        <v>1.6</v>
      </c>
      <c r="Y802" t="n">
        <v>0.126</v>
      </c>
      <c r="Z802" t="inlineStr">
        <is>
          <t>TPT</t>
        </is>
      </c>
      <c r="AA802" t="inlineStr">
        <is>
          <t>PE</t>
        </is>
      </c>
      <c r="AB802" t="inlineStr">
        <is>
          <t>AW</t>
        </is>
      </c>
      <c r="AC802" t="inlineStr">
        <is>
          <t>25.4-0-1.6-ERW 1-PE</t>
        </is>
      </c>
      <c r="AD802" t="inlineStr">
        <is>
          <t>CTL</t>
        </is>
      </c>
      <c r="AE802" t="inlineStr">
        <is>
          <t>25.4-0-1.6-ERW 1-PE-0.126</t>
        </is>
      </c>
      <c r="AF802" t="n">
        <v>0.11826787392</v>
      </c>
    </row>
    <row r="803">
      <c r="A803" s="56" t="n">
        <v>3190072</v>
      </c>
      <c r="B803" s="56" t="inlineStr">
        <is>
          <t>TUB-O-C-AUT-AD-FC-29.40X4.500X0.3570</t>
        </is>
      </c>
      <c r="C803" s="56" t="inlineStr">
        <is>
          <t>4A09CK3040</t>
        </is>
      </c>
      <c r="D803" s="57" t="n"/>
      <c r="E803" s="57" t="n">
        <v>77.59999999999999</v>
      </c>
      <c r="F803" s="57" t="n">
        <v>0.07759999999999999</v>
      </c>
      <c r="G803" s="56" t="inlineStr">
        <is>
          <t>KG</t>
        </is>
      </c>
      <c r="H803" s="56" t="inlineStr">
        <is>
          <t>R001</t>
        </is>
      </c>
      <c r="I803" s="56" t="inlineStr">
        <is>
          <t>8406</t>
        </is>
      </c>
      <c r="J803" s="56" t="inlineStr">
        <is>
          <t>126</t>
        </is>
      </c>
      <c r="K803" s="57" t="n">
        <v>28.072</v>
      </c>
      <c r="L803" s="56" t="inlineStr"/>
      <c r="M803" s="56" t="inlineStr">
        <is>
          <t>0</t>
        </is>
      </c>
      <c r="N803" s="56" t="inlineStr">
        <is>
          <t>Kay Jay Forgings Pvt Ltd Unit Vi</t>
        </is>
      </c>
      <c r="O803" s="58" t="n">
        <v>18</v>
      </c>
      <c r="P803" s="59" t="inlineStr">
        <is>
          <t>0-30</t>
        </is>
      </c>
      <c r="Q803" s="56" t="inlineStr">
        <is>
          <t>Jitendra Kumar Sharma</t>
        </is>
      </c>
      <c r="U803" s="585" t="n">
        <v>1903091</v>
      </c>
      <c r="V803" t="n">
        <v>25.4</v>
      </c>
      <c r="W803" t="n">
        <v>0</v>
      </c>
      <c r="X803" t="n">
        <v>1.6</v>
      </c>
      <c r="Y803" t="n">
        <v>0.208</v>
      </c>
      <c r="Z803" t="inlineStr">
        <is>
          <t>NORMAL</t>
        </is>
      </c>
      <c r="AA803" t="inlineStr">
        <is>
          <t>PE</t>
        </is>
      </c>
      <c r="AB803" t="inlineStr">
        <is>
          <t>AW</t>
        </is>
      </c>
      <c r="AC803" t="inlineStr">
        <is>
          <t>25.4-0-1.6-ERW 1-PE</t>
        </is>
      </c>
      <c r="AD803" t="inlineStr">
        <is>
          <t>CTL</t>
        </is>
      </c>
      <c r="AE803" t="inlineStr">
        <is>
          <t>25.4-0-1.6-ERW 1-PE-0.208</t>
        </is>
      </c>
      <c r="AF803" t="n">
        <v>0.19523585536</v>
      </c>
    </row>
    <row r="804">
      <c r="A804" s="56" t="n">
        <v>3190072</v>
      </c>
      <c r="B804" s="56" t="inlineStr">
        <is>
          <t>TUB-O-C-AUT-AD-FC-29.40X4.500X0.3570</t>
        </is>
      </c>
      <c r="C804" s="56" t="inlineStr">
        <is>
          <t>MG25A2415</t>
        </is>
      </c>
      <c r="D804" s="57" t="n"/>
      <c r="E804" s="57" t="n">
        <v>75.2</v>
      </c>
      <c r="F804" s="57" t="n">
        <v>0.0752</v>
      </c>
      <c r="G804" s="56" t="inlineStr">
        <is>
          <t>KG</t>
        </is>
      </c>
      <c r="H804" s="56" t="inlineStr">
        <is>
          <t>R001</t>
        </is>
      </c>
      <c r="I804" s="56" t="inlineStr">
        <is>
          <t>8406</t>
        </is>
      </c>
      <c r="J804" s="56" t="inlineStr">
        <is>
          <t>140</t>
        </is>
      </c>
      <c r="K804" s="57" t="n">
        <v>27.204</v>
      </c>
      <c r="L804" s="56" t="inlineStr"/>
      <c r="M804" s="56" t="inlineStr">
        <is>
          <t>0</t>
        </is>
      </c>
      <c r="N804" s="56" t="inlineStr">
        <is>
          <t>Kay Jay Forgings Pvt Ltd Unit Vi</t>
        </is>
      </c>
      <c r="O804" s="58" t="n">
        <v>46</v>
      </c>
      <c r="P804" s="59" t="inlineStr">
        <is>
          <t>31-60</t>
        </is>
      </c>
      <c r="Q804" s="56" t="inlineStr">
        <is>
          <t>Jitendra Kumar Sharma</t>
        </is>
      </c>
      <c r="U804" s="585" t="n">
        <v>3732180</v>
      </c>
      <c r="V804" t="n">
        <v>25.4</v>
      </c>
      <c r="W804" t="n">
        <v>0</v>
      </c>
      <c r="X804" t="n">
        <v>1.6</v>
      </c>
      <c r="Y804" t="n">
        <v>0.208</v>
      </c>
      <c r="Z804" t="inlineStr">
        <is>
          <t>NORMAL</t>
        </is>
      </c>
      <c r="AA804" t="inlineStr">
        <is>
          <t>FC</t>
        </is>
      </c>
      <c r="AB804" t="inlineStr">
        <is>
          <t>AW</t>
        </is>
      </c>
      <c r="AC804" t="inlineStr">
        <is>
          <t>25.4-0-1.6-ERW 1-FC</t>
        </is>
      </c>
      <c r="AD804" t="inlineStr">
        <is>
          <t>CTL</t>
        </is>
      </c>
      <c r="AE804" t="inlineStr">
        <is>
          <t>25.4-0-1.6-ERW 1-FC-0.208</t>
        </is>
      </c>
      <c r="AF804" t="n">
        <v>0.19523585536</v>
      </c>
    </row>
    <row r="805">
      <c r="A805" s="56" t="n">
        <v>3191790</v>
      </c>
      <c r="B805" s="56" t="inlineStr">
        <is>
          <t>TUB-S-AW-AUT-50.00X50.00X1.600X0.5420</t>
        </is>
      </c>
      <c r="C805" s="56" t="inlineStr">
        <is>
          <t>4831K31714</t>
        </is>
      </c>
      <c r="D805" s="57" t="n"/>
      <c r="E805" s="57" t="n">
        <v>84.84</v>
      </c>
      <c r="F805" s="57" t="n">
        <v>0.08484</v>
      </c>
      <c r="G805" s="56" t="inlineStr">
        <is>
          <t>KG</t>
        </is>
      </c>
      <c r="H805" s="56" t="inlineStr">
        <is>
          <t>R001</t>
        </is>
      </c>
      <c r="I805" s="56" t="inlineStr">
        <is>
          <t>8406</t>
        </is>
      </c>
      <c r="J805" s="56" t="inlineStr">
        <is>
          <t>44</t>
        </is>
      </c>
      <c r="K805" s="57" t="n">
        <v>35.65</v>
      </c>
      <c r="L805" s="56" t="inlineStr"/>
      <c r="M805" s="56" t="inlineStr">
        <is>
          <t>0</t>
        </is>
      </c>
      <c r="N805" s="56" t="inlineStr">
        <is>
          <t>Neel Metal Products Limited</t>
        </is>
      </c>
      <c r="O805" s="58" t="n">
        <v>6</v>
      </c>
      <c r="P805" s="59" t="inlineStr">
        <is>
          <t>0-30</t>
        </is>
      </c>
      <c r="Q805" s="56" t="inlineStr">
        <is>
          <t>Apoorv</t>
        </is>
      </c>
      <c r="U805" s="585" t="n">
        <v>1119129</v>
      </c>
      <c r="V805" t="n">
        <v>25.4</v>
      </c>
      <c r="W805" t="n">
        <v>0</v>
      </c>
      <c r="X805" t="n">
        <v>1.6</v>
      </c>
      <c r="Y805" t="n">
        <v>0.36</v>
      </c>
      <c r="Z805" t="inlineStr"/>
      <c r="AA805" t="inlineStr">
        <is>
          <t>PE</t>
        </is>
      </c>
      <c r="AB805" t="inlineStr">
        <is>
          <t>AW</t>
        </is>
      </c>
      <c r="AC805" t="inlineStr">
        <is>
          <t>25.4-0-1.6-ERW 1-PE</t>
        </is>
      </c>
      <c r="AD805" t="inlineStr">
        <is>
          <t>CTL</t>
        </is>
      </c>
      <c r="AE805" t="inlineStr">
        <is>
          <t>25.4-0-1.6-ERW 1-PE-0.36</t>
        </is>
      </c>
      <c r="AF805" t="n">
        <v>0.3379082112</v>
      </c>
    </row>
    <row r="806">
      <c r="A806" s="56" t="n">
        <v>3191790</v>
      </c>
      <c r="B806" s="56" t="inlineStr">
        <is>
          <t>TUB-S-AW-AUT-50.00X50.00X1.600X0.5420</t>
        </is>
      </c>
      <c r="C806" s="56" t="inlineStr">
        <is>
          <t>4A25BK4040</t>
        </is>
      </c>
      <c r="D806" s="57" t="n"/>
      <c r="E806" s="57" t="n">
        <v>67.2</v>
      </c>
      <c r="F806" s="57" t="n">
        <v>0.06720000000000001</v>
      </c>
      <c r="G806" s="56" t="inlineStr">
        <is>
          <t>KG</t>
        </is>
      </c>
      <c r="H806" s="56" t="inlineStr">
        <is>
          <t>R001</t>
        </is>
      </c>
      <c r="I806" s="56" t="inlineStr">
        <is>
          <t>8406</t>
        </is>
      </c>
      <c r="J806" s="56" t="inlineStr">
        <is>
          <t>112</t>
        </is>
      </c>
      <c r="K806" s="57" t="n">
        <v>28.238</v>
      </c>
      <c r="L806" s="56" t="inlineStr"/>
      <c r="M806" s="56" t="inlineStr">
        <is>
          <t>0</t>
        </is>
      </c>
      <c r="N806" s="56" t="inlineStr">
        <is>
          <t>Neel Metal Products Limited</t>
        </is>
      </c>
      <c r="O806" s="58" t="n">
        <v>13</v>
      </c>
      <c r="P806" s="59" t="inlineStr">
        <is>
          <t>0-30</t>
        </is>
      </c>
      <c r="Q806" s="56" t="inlineStr">
        <is>
          <t>Apoorv</t>
        </is>
      </c>
      <c r="U806" s="585" t="n">
        <v>1940562</v>
      </c>
      <c r="V806" t="n">
        <v>25.4</v>
      </c>
      <c r="W806" t="n">
        <v>0</v>
      </c>
      <c r="X806" t="n">
        <v>1.6</v>
      </c>
      <c r="Y806" t="n">
        <v>0.36</v>
      </c>
      <c r="Z806" t="inlineStr">
        <is>
          <t>GR1</t>
        </is>
      </c>
      <c r="AA806" t="inlineStr">
        <is>
          <t>FC</t>
        </is>
      </c>
      <c r="AB806" t="inlineStr">
        <is>
          <t>AW</t>
        </is>
      </c>
      <c r="AC806" t="inlineStr">
        <is>
          <t>25.4-0-1.6-ERW 1-FC</t>
        </is>
      </c>
      <c r="AD806" t="inlineStr">
        <is>
          <t>CTL</t>
        </is>
      </c>
      <c r="AE806" t="inlineStr">
        <is>
          <t>25.4-0-1.6-ERW 1-FC-0.36</t>
        </is>
      </c>
      <c r="AF806" t="n">
        <v>0.3379082112</v>
      </c>
    </row>
    <row r="807">
      <c r="A807" s="56" t="n">
        <v>3191790</v>
      </c>
      <c r="B807" s="56" t="inlineStr">
        <is>
          <t>TUB-S-AW-AUT-50.00X50.00X1.600X0.5420</t>
        </is>
      </c>
      <c r="C807" s="56" t="inlineStr">
        <is>
          <t>4A25CK4050</t>
        </is>
      </c>
      <c r="D807" s="57" t="n"/>
      <c r="E807" s="57" t="n">
        <v>156.2</v>
      </c>
      <c r="F807" s="57" t="n">
        <v>0.1562</v>
      </c>
      <c r="G807" s="56" t="inlineStr">
        <is>
          <t>KG</t>
        </is>
      </c>
      <c r="H807" s="56" t="inlineStr">
        <is>
          <t>R001</t>
        </is>
      </c>
      <c r="I807" s="56" t="inlineStr">
        <is>
          <t>8406</t>
        </is>
      </c>
      <c r="J807" s="56" t="inlineStr">
        <is>
          <t>118</t>
        </is>
      </c>
      <c r="K807" s="57" t="n">
        <v>65.636</v>
      </c>
      <c r="L807" s="56" t="inlineStr"/>
      <c r="M807" s="56" t="inlineStr">
        <is>
          <t>0</t>
        </is>
      </c>
      <c r="N807" s="56" t="inlineStr">
        <is>
          <t>Neel Metal Products Limited</t>
        </is>
      </c>
      <c r="O807" s="58" t="n">
        <v>13</v>
      </c>
      <c r="P807" s="59" t="inlineStr">
        <is>
          <t>0-30</t>
        </is>
      </c>
      <c r="Q807" s="56" t="inlineStr">
        <is>
          <t>Apoorv</t>
        </is>
      </c>
      <c r="U807" s="585" t="n">
        <v>249132</v>
      </c>
      <c r="V807" t="n">
        <v>25.4</v>
      </c>
      <c r="W807" t="n">
        <v>0</v>
      </c>
      <c r="X807" t="n">
        <v>1.6</v>
      </c>
      <c r="Y807" t="n">
        <v>0.412</v>
      </c>
      <c r="Z807" t="inlineStr">
        <is>
          <t>AU27</t>
        </is>
      </c>
      <c r="AA807" t="inlineStr">
        <is>
          <t>PE</t>
        </is>
      </c>
      <c r="AB807" t="inlineStr">
        <is>
          <t>AW</t>
        </is>
      </c>
      <c r="AC807" t="inlineStr">
        <is>
          <t>25.4-0-1.6-ERW 1-PE</t>
        </is>
      </c>
      <c r="AD807" t="inlineStr">
        <is>
          <t>CTL</t>
        </is>
      </c>
      <c r="AE807" t="inlineStr">
        <is>
          <t>25.4-0-1.6-ERW 1-PE-0.412</t>
        </is>
      </c>
      <c r="AF807" t="n">
        <v>0.38671717504</v>
      </c>
    </row>
    <row r="808">
      <c r="A808" s="56" t="n">
        <v>3191790</v>
      </c>
      <c r="B808" s="56" t="inlineStr">
        <is>
          <t>TUB-S-AW-AUT-50.00X50.00X1.600X0.5420</t>
        </is>
      </c>
      <c r="C808" s="56" t="inlineStr">
        <is>
          <t>4B06CK4110</t>
        </is>
      </c>
      <c r="D808" s="57" t="n"/>
      <c r="E808" s="57" t="n">
        <v>81.5</v>
      </c>
      <c r="F808" s="57" t="n">
        <v>0.0815</v>
      </c>
      <c r="G808" s="56" t="inlineStr">
        <is>
          <t>KG</t>
        </is>
      </c>
      <c r="H808" s="56" t="inlineStr">
        <is>
          <t>R001</t>
        </is>
      </c>
      <c r="I808" s="56" t="inlineStr">
        <is>
          <t>8406</t>
        </is>
      </c>
      <c r="J808" s="56" t="inlineStr">
        <is>
          <t>139</t>
        </is>
      </c>
      <c r="K808" s="57" t="n">
        <v>34.247</v>
      </c>
      <c r="L808" s="56" t="inlineStr"/>
      <c r="M808" s="56" t="inlineStr">
        <is>
          <t>0</t>
        </is>
      </c>
      <c r="N808" s="56" t="inlineStr">
        <is>
          <t>Neel Metal Products Limited</t>
        </is>
      </c>
      <c r="O808" s="58" t="n">
        <v>6</v>
      </c>
      <c r="P808" s="59" t="inlineStr">
        <is>
          <t>0-30</t>
        </is>
      </c>
      <c r="Q808" s="56" t="inlineStr">
        <is>
          <t>Apoorv</t>
        </is>
      </c>
      <c r="U808" s="585" t="n">
        <v>3677047</v>
      </c>
      <c r="V808" t="n">
        <v>25.4</v>
      </c>
      <c r="W808" t="n">
        <v>0</v>
      </c>
      <c r="X808" t="n">
        <v>1.6</v>
      </c>
      <c r="Y808" t="n">
        <v>0.412</v>
      </c>
      <c r="Z808" t="inlineStr">
        <is>
          <t>GR1</t>
        </is>
      </c>
      <c r="AA808" t="inlineStr">
        <is>
          <t>PE</t>
        </is>
      </c>
      <c r="AB808" t="inlineStr">
        <is>
          <t>AW</t>
        </is>
      </c>
      <c r="AC808" t="inlineStr">
        <is>
          <t>25.4-0-1.6-ERW 1-PE</t>
        </is>
      </c>
      <c r="AD808" t="inlineStr">
        <is>
          <t>CTL</t>
        </is>
      </c>
      <c r="AE808" t="inlineStr">
        <is>
          <t>25.4-0-1.6-ERW 1-PE-0.412</t>
        </is>
      </c>
      <c r="AF808" t="n">
        <v>0.38671717504</v>
      </c>
    </row>
    <row r="809">
      <c r="A809" s="56" t="n">
        <v>3191790</v>
      </c>
      <c r="B809" s="56" t="inlineStr">
        <is>
          <t>TUB-S-AW-AUT-50.00X50.00X1.600X0.5420</t>
        </is>
      </c>
      <c r="C809" s="56" t="inlineStr">
        <is>
          <t>4B06CK4120</t>
        </is>
      </c>
      <c r="D809" s="57" t="n"/>
      <c r="E809" s="57" t="n">
        <v>97.5</v>
      </c>
      <c r="F809" s="57" t="n">
        <v>0.0975</v>
      </c>
      <c r="G809" s="56" t="inlineStr">
        <is>
          <t>KG</t>
        </is>
      </c>
      <c r="H809" s="56" t="inlineStr">
        <is>
          <t>R001</t>
        </is>
      </c>
      <c r="I809" s="56" t="inlineStr">
        <is>
          <t>8406</t>
        </is>
      </c>
      <c r="J809" s="56" t="inlineStr">
        <is>
          <t>139</t>
        </is>
      </c>
      <c r="K809" s="57" t="n">
        <v>40.97</v>
      </c>
      <c r="L809" s="56" t="inlineStr"/>
      <c r="M809" s="56" t="inlineStr">
        <is>
          <t>0</t>
        </is>
      </c>
      <c r="N809" s="56" t="inlineStr">
        <is>
          <t>Neel Metal Products Limited</t>
        </is>
      </c>
      <c r="O809" s="58" t="n">
        <v>6</v>
      </c>
      <c r="P809" s="59" t="inlineStr">
        <is>
          <t>0-30</t>
        </is>
      </c>
      <c r="Q809" s="56" t="inlineStr">
        <is>
          <t>Apoorv</t>
        </is>
      </c>
      <c r="U809" s="585" t="n">
        <v>1448370</v>
      </c>
      <c r="V809" t="n">
        <v>25.4</v>
      </c>
      <c r="W809" t="n">
        <v>0</v>
      </c>
      <c r="X809" t="n">
        <v>1.6</v>
      </c>
      <c r="Y809" t="n">
        <v>0.412</v>
      </c>
      <c r="Z809" t="inlineStr"/>
      <c r="AA809" t="inlineStr">
        <is>
          <t>PE</t>
        </is>
      </c>
      <c r="AB809" t="inlineStr">
        <is>
          <t>AW</t>
        </is>
      </c>
      <c r="AC809" t="inlineStr">
        <is>
          <t>25.4-0-1.6-ERW 1-PE</t>
        </is>
      </c>
      <c r="AD809" t="inlineStr">
        <is>
          <t>CTL</t>
        </is>
      </c>
      <c r="AE809" t="inlineStr">
        <is>
          <t>25.4-0-1.6-ERW 1-PE-0.412</t>
        </is>
      </c>
      <c r="AF809" t="n">
        <v>0.38671717504</v>
      </c>
    </row>
    <row r="810">
      <c r="A810" s="56" t="n">
        <v>3219709</v>
      </c>
      <c r="B810" s="56" t="inlineStr">
        <is>
          <t>TUB-R-AW-AUT-50.00X30.00X2.000X0.5650</t>
        </is>
      </c>
      <c r="C810" s="56" t="inlineStr">
        <is>
          <t>A2311346</t>
        </is>
      </c>
      <c r="D810" s="57" t="n"/>
      <c r="E810" s="57" t="n">
        <v>323.4</v>
      </c>
      <c r="F810" s="57" t="n">
        <v>0.3234</v>
      </c>
      <c r="G810" s="56" t="inlineStr">
        <is>
          <t>KG</t>
        </is>
      </c>
      <c r="H810" s="56" t="inlineStr">
        <is>
          <t>R001</t>
        </is>
      </c>
      <c r="I810" s="56" t="inlineStr">
        <is>
          <t>8406</t>
        </is>
      </c>
      <c r="J810" s="56" t="inlineStr">
        <is>
          <t>126</t>
        </is>
      </c>
      <c r="K810" s="57" t="n">
        <v>134.313</v>
      </c>
      <c r="L810" s="56" t="inlineStr"/>
      <c r="M810" s="56" t="inlineStr">
        <is>
          <t>0</t>
        </is>
      </c>
      <c r="N810" s="56" t="inlineStr">
        <is>
          <t>Metalman Auto Private Limited</t>
        </is>
      </c>
      <c r="O810" s="58" t="n">
        <v>107</v>
      </c>
      <c r="P810" s="59" t="inlineStr">
        <is>
          <t>ABOVE 90</t>
        </is>
      </c>
      <c r="Q810" s="56" t="inlineStr">
        <is>
          <t>Jitendra Kumar Sharma</t>
        </is>
      </c>
      <c r="U810" s="585" t="n">
        <v>3551623</v>
      </c>
      <c r="V810" t="n">
        <v>25.4</v>
      </c>
      <c r="W810" t="n">
        <v>0</v>
      </c>
      <c r="X810" t="n">
        <v>1.6</v>
      </c>
      <c r="Y810" t="n">
        <v>0.415</v>
      </c>
      <c r="Z810" t="inlineStr">
        <is>
          <t>HROP</t>
        </is>
      </c>
      <c r="AA810" t="inlineStr">
        <is>
          <t>FC</t>
        </is>
      </c>
      <c r="AB810" t="inlineStr">
        <is>
          <t>AW</t>
        </is>
      </c>
      <c r="AC810" t="inlineStr">
        <is>
          <t>25.4-0-1.6-ERW 1-FC</t>
        </is>
      </c>
      <c r="AD810" t="inlineStr">
        <is>
          <t>CTL</t>
        </is>
      </c>
      <c r="AE810" t="inlineStr">
        <is>
          <t>25.4-0-1.6-ERW 1-FC-0.415</t>
        </is>
      </c>
      <c r="AF810" t="n">
        <v>0.3895330768</v>
      </c>
    </row>
    <row r="811">
      <c r="A811" s="56" t="n">
        <v>3487459</v>
      </c>
      <c r="B811" s="56" t="inlineStr">
        <is>
          <t>TUB-O-C-AUT-AN-FC-37.50X3.400X4.1000</t>
        </is>
      </c>
      <c r="C811" s="56" t="inlineStr">
        <is>
          <t>4708BK3080</t>
        </is>
      </c>
      <c r="D811" s="57" t="n"/>
      <c r="E811" s="57" t="n">
        <v>1651.11</v>
      </c>
      <c r="F811" s="57" t="n">
        <v>1.65111</v>
      </c>
      <c r="G811" s="56" t="inlineStr">
        <is>
          <t>KG</t>
        </is>
      </c>
      <c r="H811" s="56" t="inlineStr">
        <is>
          <t>R001</t>
        </is>
      </c>
      <c r="I811" s="56" t="inlineStr">
        <is>
          <t>8406</t>
        </is>
      </c>
      <c r="J811" s="56" t="inlineStr">
        <is>
          <t>211</t>
        </is>
      </c>
      <c r="K811" s="57" t="n">
        <v>577.271</v>
      </c>
      <c r="L811" s="56" t="inlineStr"/>
      <c r="M811" s="56" t="inlineStr">
        <is>
          <t>0</t>
        </is>
      </c>
      <c r="N811" s="56" t="inlineStr">
        <is>
          <t>OWERE PRECISION</t>
        </is>
      </c>
      <c r="O811" s="58" t="n">
        <v>171</v>
      </c>
      <c r="P811" s="59" t="inlineStr">
        <is>
          <t>ABOVE 90</t>
        </is>
      </c>
      <c r="Q811" s="56" t="inlineStr">
        <is>
          <t>Apoorv</t>
        </is>
      </c>
      <c r="U811" s="585" t="n">
        <v>2400891</v>
      </c>
      <c r="V811" t="n">
        <v>25.4</v>
      </c>
      <c r="W811" t="n">
        <v>0</v>
      </c>
      <c r="X811" t="n">
        <v>1.6</v>
      </c>
      <c r="Y811" t="n">
        <v>0.47</v>
      </c>
      <c r="Z811" t="inlineStr">
        <is>
          <t>NORMAL</t>
        </is>
      </c>
      <c r="AA811" t="inlineStr">
        <is>
          <t>PE</t>
        </is>
      </c>
      <c r="AB811" t="inlineStr">
        <is>
          <t>AW</t>
        </is>
      </c>
      <c r="AC811" t="inlineStr">
        <is>
          <t>25.4-0-1.6-ERW 1-PE</t>
        </is>
      </c>
      <c r="AD811" t="inlineStr">
        <is>
          <t>CTL</t>
        </is>
      </c>
      <c r="AE811" t="inlineStr">
        <is>
          <t>25.4-0-1.6-ERW 1-PE-0.47</t>
        </is>
      </c>
      <c r="AF811" t="n">
        <v>0.4411579424</v>
      </c>
    </row>
    <row r="812">
      <c r="A812" s="56" t="n">
        <v>3487459</v>
      </c>
      <c r="B812" s="56" t="inlineStr">
        <is>
          <t>TUB-O-C-AUT-AN-FC-37.50X3.400X4.1000</t>
        </is>
      </c>
      <c r="C812" s="56" t="inlineStr">
        <is>
          <t>4814K30342</t>
        </is>
      </c>
      <c r="D812" s="57" t="n"/>
      <c r="E812" s="58" t="n">
        <v>2343</v>
      </c>
      <c r="F812" s="57" t="n">
        <v>2.343</v>
      </c>
      <c r="G812" s="56" t="inlineStr">
        <is>
          <t>KG</t>
        </is>
      </c>
      <c r="H812" s="56" t="inlineStr">
        <is>
          <t>R001</t>
        </is>
      </c>
      <c r="I812" s="56" t="inlineStr">
        <is>
          <t>8406</t>
        </is>
      </c>
      <c r="J812" s="56" t="inlineStr">
        <is>
          <t>200</t>
        </is>
      </c>
      <c r="K812" s="57" t="n">
        <v>819.173</v>
      </c>
      <c r="L812" s="56" t="inlineStr"/>
      <c r="M812" s="56" t="inlineStr">
        <is>
          <t>0</t>
        </is>
      </c>
      <c r="N812" s="56" t="inlineStr">
        <is>
          <t>OWERE PRECISION</t>
        </is>
      </c>
      <c r="O812" s="58" t="n">
        <v>76</v>
      </c>
      <c r="P812" s="59" t="inlineStr">
        <is>
          <t>61-90</t>
        </is>
      </c>
      <c r="Q812" s="56" t="inlineStr">
        <is>
          <t>Apoorv</t>
        </is>
      </c>
      <c r="U812" s="585" t="n">
        <v>3727130</v>
      </c>
      <c r="V812" t="n">
        <v>25.4</v>
      </c>
      <c r="W812" t="n">
        <v>0</v>
      </c>
      <c r="X812" t="n">
        <v>1.6</v>
      </c>
      <c r="Y812" t="n">
        <v>0.512</v>
      </c>
      <c r="Z812" t="inlineStr">
        <is>
          <t>TPT</t>
        </is>
      </c>
      <c r="AA812" t="inlineStr">
        <is>
          <t>PE</t>
        </is>
      </c>
      <c r="AB812" t="inlineStr">
        <is>
          <t>AW</t>
        </is>
      </c>
      <c r="AC812" t="inlineStr">
        <is>
          <t>25.4-0-1.6-ERW 1-PE</t>
        </is>
      </c>
      <c r="AD812" t="inlineStr">
        <is>
          <t>CTL</t>
        </is>
      </c>
      <c r="AE812" t="inlineStr">
        <is>
          <t>25.4-0-1.6-ERW 1-PE-0.512</t>
        </is>
      </c>
      <c r="AF812" t="n">
        <v>0.48058056704</v>
      </c>
    </row>
    <row r="813">
      <c r="A813" s="56" t="n">
        <v>3499828</v>
      </c>
      <c r="B813" s="56" t="inlineStr">
        <is>
          <t>TUB-O-N-AUT-AW-FC-41.28X3.150X5.05-ERW 1</t>
        </is>
      </c>
      <c r="C813" s="56" t="inlineStr">
        <is>
          <t>4611B40060</t>
        </is>
      </c>
      <c r="D813" s="57" t="n"/>
      <c r="E813" s="57" t="n">
        <v>932.623</v>
      </c>
      <c r="F813" s="57" t="n">
        <v>0.9326230000000001</v>
      </c>
      <c r="G813" s="56" t="inlineStr">
        <is>
          <t>KG</t>
        </is>
      </c>
      <c r="H813" s="56" t="inlineStr">
        <is>
          <t>R001</t>
        </is>
      </c>
      <c r="I813" s="56" t="inlineStr">
        <is>
          <t>8406</t>
        </is>
      </c>
      <c r="J813" s="56" t="inlineStr"/>
      <c r="K813" s="57" t="n">
        <v>319.512</v>
      </c>
      <c r="L813" s="56" t="inlineStr"/>
      <c r="M813" s="56" t="inlineStr">
        <is>
          <t>0</t>
        </is>
      </c>
      <c r="N813" s="56" t="inlineStr">
        <is>
          <t>FREE STOCK</t>
        </is>
      </c>
      <c r="O813" s="58" t="n">
        <v>84</v>
      </c>
      <c r="P813" s="59" t="inlineStr">
        <is>
          <t>61-90</t>
        </is>
      </c>
      <c r="Q813" s="56" t="inlineStr">
        <is>
          <t>Free Stock</t>
        </is>
      </c>
      <c r="U813" s="585" t="n">
        <v>2409618</v>
      </c>
      <c r="V813" t="n">
        <v>25.4</v>
      </c>
      <c r="W813" t="n">
        <v>0</v>
      </c>
      <c r="X813" t="n">
        <v>1.6</v>
      </c>
      <c r="Y813" t="n">
        <v>2.59</v>
      </c>
      <c r="Z813" t="inlineStr">
        <is>
          <t>HROP</t>
        </is>
      </c>
      <c r="AA813" t="inlineStr">
        <is>
          <t>PE</t>
        </is>
      </c>
      <c r="AB813" t="inlineStr">
        <is>
          <t>AW</t>
        </is>
      </c>
      <c r="AC813" t="inlineStr">
        <is>
          <t>25.4-0-1.6-ERW 1-PE</t>
        </is>
      </c>
      <c r="AD813" t="inlineStr">
        <is>
          <t>CTL</t>
        </is>
      </c>
      <c r="AE813" t="inlineStr">
        <is>
          <t>25.4-0-1.6-ERW 1-PE-2.59</t>
        </is>
      </c>
      <c r="AF813" t="n">
        <v>2.4310618528</v>
      </c>
    </row>
    <row r="814">
      <c r="A814" s="56" t="n">
        <v>3499828</v>
      </c>
      <c r="B814" s="56" t="inlineStr">
        <is>
          <t>TUB-O-N-AUT-AW-FC-41.28X3.150X5.05-ERW 1</t>
        </is>
      </c>
      <c r="C814" s="56" t="inlineStr">
        <is>
          <t>4A20C40080</t>
        </is>
      </c>
      <c r="D814" s="57" t="n"/>
      <c r="E814" s="57" t="n">
        <v>876.3200000000001</v>
      </c>
      <c r="F814" s="57" t="n">
        <v>0.8763200000000001</v>
      </c>
      <c r="G814" s="56" t="inlineStr">
        <is>
          <t>KG</t>
        </is>
      </c>
      <c r="H814" s="56" t="inlineStr">
        <is>
          <t>R001</t>
        </is>
      </c>
      <c r="I814" s="56" t="inlineStr">
        <is>
          <t>8406</t>
        </is>
      </c>
      <c r="J814" s="56" t="inlineStr"/>
      <c r="K814" s="57" t="n">
        <v>300.223</v>
      </c>
      <c r="L814" s="56" t="inlineStr"/>
      <c r="M814" s="56" t="inlineStr">
        <is>
          <t>0</t>
        </is>
      </c>
      <c r="N814" s="56" t="inlineStr">
        <is>
          <t>FREE STOCK</t>
        </is>
      </c>
      <c r="O814" s="58" t="n">
        <v>34</v>
      </c>
      <c r="P814" s="59" t="inlineStr">
        <is>
          <t>31-60</t>
        </is>
      </c>
      <c r="Q814" s="56" t="inlineStr">
        <is>
          <t>Free Stock</t>
        </is>
      </c>
      <c r="U814" s="586" t="n">
        <v>111001994</v>
      </c>
      <c r="V814" t="n">
        <v>25.4</v>
      </c>
      <c r="W814" t="n">
        <v>0</v>
      </c>
      <c r="X814" t="n">
        <v>1.6</v>
      </c>
      <c r="Y814" t="n">
        <v>5.27</v>
      </c>
      <c r="Z814" t="inlineStr">
        <is>
          <t>GR1</t>
        </is>
      </c>
      <c r="AA814" t="inlineStr">
        <is>
          <t>PE</t>
        </is>
      </c>
      <c r="AB814" t="inlineStr">
        <is>
          <t>AW</t>
        </is>
      </c>
      <c r="AC814" t="inlineStr">
        <is>
          <t>25.4-0-1.6-ERW 1-PE</t>
        </is>
      </c>
      <c r="AD814" t="inlineStr">
        <is>
          <t>LL</t>
        </is>
      </c>
      <c r="AE814" t="inlineStr">
        <is>
          <t>25.4-0-1.6-ERW 1-PE-1</t>
        </is>
      </c>
      <c r="AF814" t="n">
        <v>0.93863392</v>
      </c>
    </row>
    <row r="815">
      <c r="A815" s="56" t="n">
        <v>3499828</v>
      </c>
      <c r="B815" s="56" t="inlineStr">
        <is>
          <t>TUB-O-N-AUT-AW-FC-41.28X3.150X5.05-ERW 1</t>
        </is>
      </c>
      <c r="C815" s="56" t="inlineStr">
        <is>
          <t>4A20C40110</t>
        </is>
      </c>
      <c r="D815" s="57" t="n"/>
      <c r="E815" s="57" t="n">
        <v>943.36</v>
      </c>
      <c r="F815" s="57" t="n">
        <v>0.94336</v>
      </c>
      <c r="G815" s="56" t="inlineStr">
        <is>
          <t>KG</t>
        </is>
      </c>
      <c r="H815" s="56" t="inlineStr">
        <is>
          <t>R001</t>
        </is>
      </c>
      <c r="I815" s="56" t="inlineStr">
        <is>
          <t>8406</t>
        </is>
      </c>
      <c r="J815" s="56" t="inlineStr"/>
      <c r="K815" s="57" t="n">
        <v>323.19</v>
      </c>
      <c r="L815" s="56" t="inlineStr"/>
      <c r="M815" s="56" t="inlineStr">
        <is>
          <t>0</t>
        </is>
      </c>
      <c r="N815" s="56" t="inlineStr">
        <is>
          <t>FREE STOCK</t>
        </is>
      </c>
      <c r="O815" s="58" t="n">
        <v>34</v>
      </c>
      <c r="P815" s="59" t="inlineStr">
        <is>
          <t>31-60</t>
        </is>
      </c>
      <c r="Q815" s="56" t="inlineStr">
        <is>
          <t>Free Stock</t>
        </is>
      </c>
      <c r="U815" s="585" t="n">
        <v>4187875</v>
      </c>
      <c r="V815" t="n">
        <v>25.4</v>
      </c>
      <c r="W815" t="n">
        <v>0</v>
      </c>
      <c r="X815" t="n">
        <v>1.6</v>
      </c>
      <c r="Y815" t="n">
        <v>5.27</v>
      </c>
      <c r="Z815" t="inlineStr">
        <is>
          <t>HROP</t>
        </is>
      </c>
      <c r="AA815" t="inlineStr">
        <is>
          <t>PE</t>
        </is>
      </c>
      <c r="AB815" t="inlineStr">
        <is>
          <t>AW</t>
        </is>
      </c>
      <c r="AC815" t="inlineStr">
        <is>
          <t>25.4-0-1.6-ERW 1-PE</t>
        </is>
      </c>
      <c r="AD815" t="inlineStr">
        <is>
          <t>LL</t>
        </is>
      </c>
      <c r="AE815" t="inlineStr">
        <is>
          <t>25.4-0-1.6-ERW 1-PE-1</t>
        </is>
      </c>
      <c r="AF815" t="n">
        <v>0.93863392</v>
      </c>
    </row>
    <row r="816">
      <c r="A816" s="56" t="n">
        <v>3500641</v>
      </c>
      <c r="B816" s="56" t="inlineStr">
        <is>
          <t>TUB-S-AW-SHS-50.0X50.0X1.6X6.1210BSVIHDP</t>
        </is>
      </c>
      <c r="C816" s="56" t="inlineStr">
        <is>
          <t>4830K31577</t>
        </is>
      </c>
      <c r="D816" s="57" t="n"/>
      <c r="E816" s="58" t="n">
        <v>711</v>
      </c>
      <c r="F816" s="57" t="n">
        <v>0.711</v>
      </c>
      <c r="G816" s="56" t="inlineStr">
        <is>
          <t>KG</t>
        </is>
      </c>
      <c r="H816" s="56" t="inlineStr">
        <is>
          <t>R001</t>
        </is>
      </c>
      <c r="I816" s="56" t="inlineStr">
        <is>
          <t>8406</t>
        </is>
      </c>
      <c r="J816" s="56" t="inlineStr">
        <is>
          <t>48</t>
        </is>
      </c>
      <c r="K816" s="57" t="n">
        <v>309.75</v>
      </c>
      <c r="L816" s="56" t="inlineStr"/>
      <c r="M816" s="56" t="inlineStr">
        <is>
          <t>0</t>
        </is>
      </c>
      <c r="N816" s="56" t="inlineStr">
        <is>
          <t>Neel Metal Products Limited</t>
        </is>
      </c>
      <c r="O816" s="58" t="n">
        <v>16</v>
      </c>
      <c r="P816" s="59" t="inlineStr">
        <is>
          <t>0-30</t>
        </is>
      </c>
      <c r="Q816" s="56" t="inlineStr">
        <is>
          <t>Apoorv</t>
        </is>
      </c>
      <c r="U816" s="585" t="n">
        <v>1940571</v>
      </c>
      <c r="V816" t="n">
        <v>25.4</v>
      </c>
      <c r="W816" t="n">
        <v>0</v>
      </c>
      <c r="X816" t="n">
        <v>1.6</v>
      </c>
      <c r="Y816" t="n">
        <v>5.9</v>
      </c>
      <c r="Z816" t="inlineStr">
        <is>
          <t>WG</t>
        </is>
      </c>
      <c r="AA816" t="inlineStr">
        <is>
          <t>PE</t>
        </is>
      </c>
      <c r="AB816" t="inlineStr">
        <is>
          <t>AW</t>
        </is>
      </c>
      <c r="AC816" t="inlineStr">
        <is>
          <t>25.4-0-1.6-ERW 1-PE</t>
        </is>
      </c>
      <c r="AD816" t="inlineStr">
        <is>
          <t>LL</t>
        </is>
      </c>
      <c r="AE816" t="inlineStr">
        <is>
          <t>25.4-0-1.6-ERW 1-PE-1</t>
        </is>
      </c>
      <c r="AF816" t="n">
        <v>0.93863392</v>
      </c>
    </row>
    <row r="817">
      <c r="A817" s="56" t="n">
        <v>3500650</v>
      </c>
      <c r="B817" s="56" t="inlineStr">
        <is>
          <t>TUB-O-N-AUT-BH-FC-42.70X3.500X6.000</t>
        </is>
      </c>
      <c r="C817" s="56" t="inlineStr">
        <is>
          <t>4A29AK3030</t>
        </is>
      </c>
      <c r="D817" s="57" t="n"/>
      <c r="E817" s="58" t="n">
        <v>2353</v>
      </c>
      <c r="F817" s="57" t="n">
        <v>2.353</v>
      </c>
      <c r="G817" s="56" t="inlineStr">
        <is>
          <t>KG</t>
        </is>
      </c>
      <c r="H817" s="56" t="inlineStr">
        <is>
          <t>R001</t>
        </is>
      </c>
      <c r="I817" s="56" t="inlineStr">
        <is>
          <t>8406</t>
        </is>
      </c>
      <c r="J817" s="56" t="inlineStr">
        <is>
          <t>113</t>
        </is>
      </c>
      <c r="K817" s="57" t="n">
        <v>695.413</v>
      </c>
      <c r="L817" s="56" t="inlineStr"/>
      <c r="M817" s="56" t="inlineStr">
        <is>
          <t>0</t>
        </is>
      </c>
      <c r="N817" s="56" t="inlineStr">
        <is>
          <t>Neel Metal Products Limited</t>
        </is>
      </c>
      <c r="O817" s="58" t="n">
        <v>11</v>
      </c>
      <c r="P817" s="59" t="inlineStr">
        <is>
          <t>0-30</t>
        </is>
      </c>
      <c r="Q817" s="56" t="inlineStr">
        <is>
          <t>Apoorv</t>
        </is>
      </c>
      <c r="U817" s="585" t="n">
        <v>3929632</v>
      </c>
      <c r="V817" t="n">
        <v>25.4</v>
      </c>
      <c r="W817" t="n">
        <v>0</v>
      </c>
      <c r="X817" t="n">
        <v>1.6</v>
      </c>
      <c r="Y817" t="n">
        <v>5.91</v>
      </c>
      <c r="Z817" t="inlineStr">
        <is>
          <t>HROP</t>
        </is>
      </c>
      <c r="AA817" t="inlineStr">
        <is>
          <t>PE</t>
        </is>
      </c>
      <c r="AB817" t="inlineStr">
        <is>
          <t>AW</t>
        </is>
      </c>
      <c r="AC817" t="inlineStr">
        <is>
          <t>25.4-0-1.6-ERW 1-PE</t>
        </is>
      </c>
      <c r="AD817" t="inlineStr">
        <is>
          <t>LL</t>
        </is>
      </c>
      <c r="AE817" t="inlineStr">
        <is>
          <t>25.4-0-1.6-ERW 1-PE-1</t>
        </is>
      </c>
      <c r="AF817" t="n">
        <v>0.93863392</v>
      </c>
    </row>
    <row r="818">
      <c r="A818" s="56" t="n">
        <v>3500650</v>
      </c>
      <c r="B818" s="56" t="inlineStr">
        <is>
          <t>TUB-O-N-AUT-BH-FC-42.70X3.500X6.000</t>
        </is>
      </c>
      <c r="C818" s="56" t="inlineStr">
        <is>
          <t>4B10AK3060</t>
        </is>
      </c>
      <c r="D818" s="57" t="n"/>
      <c r="E818" s="58" t="n">
        <v>2299</v>
      </c>
      <c r="F818" s="57" t="n">
        <v>2.299</v>
      </c>
      <c r="G818" s="56" t="inlineStr">
        <is>
          <t>KG</t>
        </is>
      </c>
      <c r="H818" s="56" t="inlineStr">
        <is>
          <t>R001</t>
        </is>
      </c>
      <c r="I818" s="56" t="inlineStr">
        <is>
          <t>8406</t>
        </is>
      </c>
      <c r="J818" s="56" t="inlineStr">
        <is>
          <t>113</t>
        </is>
      </c>
      <c r="K818" s="57" t="n">
        <v>679.454</v>
      </c>
      <c r="L818" s="56" t="inlineStr"/>
      <c r="M818" s="56" t="inlineStr">
        <is>
          <t>0</t>
        </is>
      </c>
      <c r="N818" s="56" t="inlineStr">
        <is>
          <t>Neel Metal Products Limited</t>
        </is>
      </c>
      <c r="O818" s="58" t="n">
        <v>11</v>
      </c>
      <c r="P818" s="59" t="inlineStr">
        <is>
          <t>0-30</t>
        </is>
      </c>
      <c r="Q818" s="56" t="inlineStr">
        <is>
          <t>Apoorv</t>
        </is>
      </c>
      <c r="U818" s="585" t="n">
        <v>3500097</v>
      </c>
      <c r="V818" t="n">
        <v>25.4</v>
      </c>
      <c r="W818" t="n">
        <v>0</v>
      </c>
      <c r="X818" t="n">
        <v>1.6</v>
      </c>
      <c r="Y818" t="n">
        <v>6</v>
      </c>
      <c r="Z818" t="inlineStr">
        <is>
          <t>AU27</t>
        </is>
      </c>
      <c r="AA818" t="inlineStr">
        <is>
          <t>PE</t>
        </is>
      </c>
      <c r="AB818" t="inlineStr">
        <is>
          <t>AW</t>
        </is>
      </c>
      <c r="AC818" t="inlineStr">
        <is>
          <t>25.4-0-1.6-ERW 1-PE</t>
        </is>
      </c>
      <c r="AD818" t="inlineStr">
        <is>
          <t>LL</t>
        </is>
      </c>
      <c r="AE818" t="inlineStr">
        <is>
          <t>25.4-0-1.6-ERW 1-PE-1</t>
        </is>
      </c>
      <c r="AF818" t="n">
        <v>0.93863392</v>
      </c>
    </row>
    <row r="819">
      <c r="A819" s="56" t="n">
        <v>3500650</v>
      </c>
      <c r="B819" s="56" t="inlineStr">
        <is>
          <t>TUB-O-N-AUT-BH-FC-42.70X3.500X6.000</t>
        </is>
      </c>
      <c r="C819" s="56" t="inlineStr">
        <is>
          <t>4B10BK3130</t>
        </is>
      </c>
      <c r="D819" s="57" t="n"/>
      <c r="E819" s="58" t="n">
        <v>2258</v>
      </c>
      <c r="F819" s="57" t="n">
        <v>2.258</v>
      </c>
      <c r="G819" s="56" t="inlineStr">
        <is>
          <t>KG</t>
        </is>
      </c>
      <c r="H819" s="56" t="inlineStr">
        <is>
          <t>R001</t>
        </is>
      </c>
      <c r="I819" s="56" t="inlineStr">
        <is>
          <t>8406</t>
        </is>
      </c>
      <c r="J819" s="56" t="inlineStr">
        <is>
          <t>111</t>
        </is>
      </c>
      <c r="K819" s="57" t="n">
        <v>667.337</v>
      </c>
      <c r="L819" s="56" t="inlineStr"/>
      <c r="M819" s="56" t="inlineStr">
        <is>
          <t>0</t>
        </is>
      </c>
      <c r="N819" s="56" t="inlineStr">
        <is>
          <t>Neel Metal Products Limited</t>
        </is>
      </c>
      <c r="O819" s="58" t="n">
        <v>11</v>
      </c>
      <c r="P819" s="59" t="inlineStr">
        <is>
          <t>0-30</t>
        </is>
      </c>
      <c r="Q819" s="56" t="inlineStr">
        <is>
          <t>Apoorv</t>
        </is>
      </c>
      <c r="U819" s="585" t="n">
        <v>1940574</v>
      </c>
      <c r="V819" t="n">
        <v>25.4</v>
      </c>
      <c r="W819" t="n">
        <v>0</v>
      </c>
      <c r="X819" t="n">
        <v>1.6</v>
      </c>
      <c r="Y819" t="n">
        <v>6</v>
      </c>
      <c r="Z819" t="inlineStr">
        <is>
          <t>GR1</t>
        </is>
      </c>
      <c r="AA819" t="inlineStr">
        <is>
          <t>PE</t>
        </is>
      </c>
      <c r="AB819" t="inlineStr">
        <is>
          <t>AW</t>
        </is>
      </c>
      <c r="AC819" t="inlineStr">
        <is>
          <t>25.4-0-1.6-ERW 1-PE</t>
        </is>
      </c>
      <c r="AD819" t="inlineStr">
        <is>
          <t>LL</t>
        </is>
      </c>
      <c r="AE819" t="inlineStr">
        <is>
          <t>25.4-0-1.6-ERW 1-PE-1</t>
        </is>
      </c>
      <c r="AF819" t="n">
        <v>0.93863392</v>
      </c>
    </row>
    <row r="820">
      <c r="A820" s="56" t="n">
        <v>3500650</v>
      </c>
      <c r="B820" s="56" t="inlineStr">
        <is>
          <t>TUB-O-N-AUT-BH-FC-42.70X3.500X6.000</t>
        </is>
      </c>
      <c r="C820" s="56" t="inlineStr">
        <is>
          <t>4B10CK3040</t>
        </is>
      </c>
      <c r="D820" s="57" t="n"/>
      <c r="E820" s="58" t="n">
        <v>1995</v>
      </c>
      <c r="F820" s="57" t="n">
        <v>1.995</v>
      </c>
      <c r="G820" s="56" t="inlineStr">
        <is>
          <t>KG</t>
        </is>
      </c>
      <c r="H820" s="56" t="inlineStr">
        <is>
          <t>R001</t>
        </is>
      </c>
      <c r="I820" s="56" t="inlineStr">
        <is>
          <t>8406</t>
        </is>
      </c>
      <c r="J820" s="56" t="inlineStr">
        <is>
          <t>98</t>
        </is>
      </c>
      <c r="K820" s="57" t="n">
        <v>589.609</v>
      </c>
      <c r="L820" s="56" t="inlineStr"/>
      <c r="M820" s="56" t="inlineStr">
        <is>
          <t>0</t>
        </is>
      </c>
      <c r="N820" s="56" t="inlineStr">
        <is>
          <t>Neel Metal Products Limited</t>
        </is>
      </c>
      <c r="O820" s="58" t="n">
        <v>11</v>
      </c>
      <c r="P820" s="59" t="inlineStr">
        <is>
          <t>0-30</t>
        </is>
      </c>
      <c r="Q820" s="56" t="inlineStr">
        <is>
          <t>Apoorv</t>
        </is>
      </c>
      <c r="U820" s="585" t="n">
        <v>1940572</v>
      </c>
      <c r="V820" t="n">
        <v>25.4</v>
      </c>
      <c r="W820" t="n">
        <v>0</v>
      </c>
      <c r="X820" t="n">
        <v>1.6</v>
      </c>
      <c r="Y820" t="n">
        <v>6</v>
      </c>
      <c r="Z820" t="inlineStr">
        <is>
          <t>GR1</t>
        </is>
      </c>
      <c r="AA820" t="inlineStr">
        <is>
          <t>FC</t>
        </is>
      </c>
      <c r="AB820" t="inlineStr">
        <is>
          <t>AW</t>
        </is>
      </c>
      <c r="AC820" t="inlineStr">
        <is>
          <t>25.4-0-1.6-ERW 1-FC</t>
        </is>
      </c>
      <c r="AD820" t="inlineStr">
        <is>
          <t>LL</t>
        </is>
      </c>
      <c r="AE820" t="inlineStr">
        <is>
          <t>25.4-0-1.6-ERW 1-FC-1</t>
        </is>
      </c>
      <c r="AF820" t="n">
        <v>0.93863392</v>
      </c>
    </row>
    <row r="821">
      <c r="A821" s="56" t="n">
        <v>3500714</v>
      </c>
      <c r="B821" s="56" t="inlineStr">
        <is>
          <t>TUB-O-N-AUT-BH-FC-42.70X4.000X5.50-ERW 1</t>
        </is>
      </c>
      <c r="C821" s="56" t="inlineStr">
        <is>
          <t>4830BK3130</t>
        </is>
      </c>
      <c r="D821" s="57" t="n"/>
      <c r="E821" s="57" t="n">
        <v>116.293</v>
      </c>
      <c r="F821" s="57" t="n">
        <v>0.116293</v>
      </c>
      <c r="G821" s="56" t="inlineStr">
        <is>
          <t>KG</t>
        </is>
      </c>
      <c r="H821" s="56" t="inlineStr">
        <is>
          <t>R001</t>
        </is>
      </c>
      <c r="I821" s="56" t="inlineStr">
        <is>
          <t>8406</t>
        </is>
      </c>
      <c r="J821" s="56" t="inlineStr">
        <is>
          <t>110</t>
        </is>
      </c>
      <c r="K821" s="57" t="n">
        <v>30.462</v>
      </c>
      <c r="L821" s="56" t="inlineStr"/>
      <c r="M821" s="56" t="inlineStr">
        <is>
          <t>0</t>
        </is>
      </c>
      <c r="N821" s="56" t="inlineStr">
        <is>
          <t>Rajsriya Automotive Ind Pvt Ltd.</t>
        </is>
      </c>
      <c r="O821" s="58" t="n">
        <v>24</v>
      </c>
      <c r="P821" s="59" t="inlineStr">
        <is>
          <t>0-30</t>
        </is>
      </c>
      <c r="Q821" s="56" t="inlineStr">
        <is>
          <t>Apoorv</t>
        </is>
      </c>
      <c r="U821" t="n">
        <v>1900760</v>
      </c>
      <c r="V821" t="n">
        <v>25.4</v>
      </c>
      <c r="W821" t="n">
        <v>0</v>
      </c>
      <c r="X821" t="n">
        <v>1.6</v>
      </c>
      <c r="Y821" t="n">
        <v>6</v>
      </c>
      <c r="Z821" t="inlineStr">
        <is>
          <t>NORMAL</t>
        </is>
      </c>
      <c r="AA821" t="inlineStr">
        <is>
          <t>PE</t>
        </is>
      </c>
      <c r="AB821" t="inlineStr">
        <is>
          <t>AW</t>
        </is>
      </c>
      <c r="AC821" t="inlineStr">
        <is>
          <t>25.4-0-1.6-ERW 1-FC</t>
        </is>
      </c>
      <c r="AD821" t="inlineStr">
        <is>
          <t>LL</t>
        </is>
      </c>
      <c r="AE821" t="inlineStr">
        <is>
          <t>25.4-0-1.6-ERW 1-FC-1</t>
        </is>
      </c>
      <c r="AF821" t="n">
        <v>0.93863392</v>
      </c>
    </row>
    <row r="822">
      <c r="A822" s="56" t="n">
        <v>3500714</v>
      </c>
      <c r="B822" s="56" t="inlineStr">
        <is>
          <t>TUB-O-N-AUT-BH-FC-42.70X4.000X5.50-ERW 1</t>
        </is>
      </c>
      <c r="C822" s="56" t="inlineStr">
        <is>
          <t>4830BK3140</t>
        </is>
      </c>
      <c r="D822" s="57" t="n"/>
      <c r="E822" s="58" t="n">
        <v>2309</v>
      </c>
      <c r="F822" s="57" t="n">
        <v>2.309</v>
      </c>
      <c r="G822" s="56" t="inlineStr">
        <is>
          <t>KG</t>
        </is>
      </c>
      <c r="H822" s="56" t="inlineStr">
        <is>
          <t>R001</t>
        </is>
      </c>
      <c r="I822" s="56" t="inlineStr">
        <is>
          <t>8406</t>
        </is>
      </c>
      <c r="J822" s="56" t="inlineStr">
        <is>
          <t>110</t>
        </is>
      </c>
      <c r="K822" s="57" t="n">
        <v>604.83</v>
      </c>
      <c r="L822" s="56" t="inlineStr"/>
      <c r="M822" s="56" t="inlineStr">
        <is>
          <t>0</t>
        </is>
      </c>
      <c r="N822" s="56" t="inlineStr">
        <is>
          <t>Rajsriya Automotive Ind Pvt Ltd.</t>
        </is>
      </c>
      <c r="O822" s="58" t="n">
        <v>24</v>
      </c>
      <c r="P822" s="59" t="inlineStr">
        <is>
          <t>0-30</t>
        </is>
      </c>
      <c r="Q822" s="56" t="inlineStr">
        <is>
          <t>Apoorv</t>
        </is>
      </c>
      <c r="U822" s="586" t="n">
        <v>111116489</v>
      </c>
      <c r="V822" t="n">
        <v>25.4</v>
      </c>
      <c r="W822" t="n">
        <v>0</v>
      </c>
      <c r="X822" t="n">
        <v>1.6</v>
      </c>
      <c r="Y822" t="n">
        <v>6.2</v>
      </c>
      <c r="Z822" t="inlineStr">
        <is>
          <t>GR1</t>
        </is>
      </c>
      <c r="AA822" t="inlineStr">
        <is>
          <t>PE</t>
        </is>
      </c>
      <c r="AB822" t="inlineStr">
        <is>
          <t>AW</t>
        </is>
      </c>
      <c r="AC822" t="inlineStr">
        <is>
          <t>25.4-0-1.6-ERW 1-FC</t>
        </is>
      </c>
      <c r="AD822" t="inlineStr">
        <is>
          <t>LL</t>
        </is>
      </c>
      <c r="AE822" t="inlineStr">
        <is>
          <t>25.4-0-1.6-ERW 1-FC-1</t>
        </is>
      </c>
      <c r="AF822" t="n">
        <v>0.93863392</v>
      </c>
    </row>
    <row r="823">
      <c r="A823" s="56" t="n">
        <v>3500714</v>
      </c>
      <c r="B823" s="56" t="inlineStr">
        <is>
          <t>TUB-O-N-AUT-BH-FC-42.70X4.000X5.50-ERW 1</t>
        </is>
      </c>
      <c r="C823" s="56" t="inlineStr">
        <is>
          <t>4830BK3160</t>
        </is>
      </c>
      <c r="D823" s="57" t="n"/>
      <c r="E823" s="57" t="n">
        <v>673.244</v>
      </c>
      <c r="F823" s="57" t="n">
        <v>0.6732440000000001</v>
      </c>
      <c r="G823" s="56" t="inlineStr">
        <is>
          <t>KG</t>
        </is>
      </c>
      <c r="H823" s="56" t="inlineStr">
        <is>
          <t>R001</t>
        </is>
      </c>
      <c r="I823" s="56" t="inlineStr">
        <is>
          <t>8406</t>
        </is>
      </c>
      <c r="J823" s="56" t="inlineStr">
        <is>
          <t>111</t>
        </is>
      </c>
      <c r="K823" s="57" t="n">
        <v>176.353</v>
      </c>
      <c r="L823" s="56" t="inlineStr"/>
      <c r="M823" s="56" t="inlineStr">
        <is>
          <t>0</t>
        </is>
      </c>
      <c r="N823" s="56" t="inlineStr">
        <is>
          <t>Rajsriya Automotive Ind Pvt Ltd.</t>
        </is>
      </c>
      <c r="O823" s="58" t="n">
        <v>24</v>
      </c>
      <c r="P823" s="59" t="inlineStr">
        <is>
          <t>0-30</t>
        </is>
      </c>
      <c r="Q823" s="56" t="inlineStr">
        <is>
          <t>Apoorv</t>
        </is>
      </c>
      <c r="U823" t="n">
        <v>3673031</v>
      </c>
      <c r="V823" t="n">
        <v>25.4</v>
      </c>
      <c r="W823" t="n">
        <v>0</v>
      </c>
      <c r="X823" t="n">
        <v>1.63</v>
      </c>
      <c r="Y823" s="43" t="n">
        <v>2.58</v>
      </c>
      <c r="Z823" t="inlineStr">
        <is>
          <t>HROP</t>
        </is>
      </c>
      <c r="AA823" t="inlineStr">
        <is>
          <t>PE</t>
        </is>
      </c>
      <c r="AB823" t="inlineStr">
        <is>
          <t>AW</t>
        </is>
      </c>
      <c r="AC823" t="inlineStr">
        <is>
          <t>25.4-0-1.6-ERW 1-PE</t>
        </is>
      </c>
      <c r="AD823" t="inlineStr">
        <is>
          <t>CTL</t>
        </is>
      </c>
      <c r="AE823" t="inlineStr">
        <is>
          <t>25.4-0-1.6-ERW 1-PE-2.58</t>
        </is>
      </c>
      <c r="AF823" t="n">
        <v>2.463972162341999</v>
      </c>
    </row>
    <row r="824">
      <c r="A824" s="56" t="n">
        <v>3500714</v>
      </c>
      <c r="B824" s="56" t="inlineStr">
        <is>
          <t>TUB-O-N-AUT-BH-FC-42.70X4.000X5.50-ERW 1</t>
        </is>
      </c>
      <c r="C824" s="56" t="inlineStr">
        <is>
          <t>4C28CK3050</t>
        </is>
      </c>
      <c r="D824" s="57" t="n"/>
      <c r="E824" s="58" t="n">
        <v>2331</v>
      </c>
      <c r="F824" s="57" t="n">
        <v>2.331</v>
      </c>
      <c r="G824" s="56" t="inlineStr">
        <is>
          <t>KG</t>
        </is>
      </c>
      <c r="H824" s="56" t="inlineStr">
        <is>
          <t>R001</t>
        </is>
      </c>
      <c r="I824" s="56" t="inlineStr">
        <is>
          <t>8406</t>
        </is>
      </c>
      <c r="J824" s="56" t="inlineStr">
        <is>
          <t>111</t>
        </is>
      </c>
      <c r="K824" s="57" t="n">
        <v>610.593</v>
      </c>
      <c r="L824" s="56" t="inlineStr"/>
      <c r="M824" s="56" t="inlineStr">
        <is>
          <t>0</t>
        </is>
      </c>
      <c r="N824" s="56" t="inlineStr">
        <is>
          <t>Rajsriya Automotive Ind Pvt Ltd.</t>
        </is>
      </c>
      <c r="O824" s="58" t="n">
        <v>3</v>
      </c>
      <c r="P824" s="59" t="inlineStr">
        <is>
          <t>0-30</t>
        </is>
      </c>
      <c r="Q824" s="56" t="inlineStr">
        <is>
          <t>Apoorv</t>
        </is>
      </c>
      <c r="U824" t="n">
        <v>3605861</v>
      </c>
      <c r="V824" t="n">
        <v>25.4</v>
      </c>
      <c r="W824" t="n">
        <v>0</v>
      </c>
      <c r="X824" t="n">
        <v>1.63</v>
      </c>
      <c r="Y824" t="n">
        <v>2.58</v>
      </c>
      <c r="Z824" t="inlineStr">
        <is>
          <t>HROP</t>
        </is>
      </c>
      <c r="AA824" t="inlineStr">
        <is>
          <t>PE</t>
        </is>
      </c>
      <c r="AB824" t="inlineStr">
        <is>
          <t>AW</t>
        </is>
      </c>
      <c r="AC824" t="inlineStr">
        <is>
          <t>25.4-0-1.6-ERW 1-PE</t>
        </is>
      </c>
      <c r="AD824" t="inlineStr">
        <is>
          <t>CTL</t>
        </is>
      </c>
      <c r="AE824" t="inlineStr">
        <is>
          <t>25.4-0-1.6-ERW 1-PE-2.58</t>
        </is>
      </c>
      <c r="AF824" t="n">
        <v>2.463972162341999</v>
      </c>
    </row>
    <row r="825">
      <c r="A825" s="56" t="n">
        <v>3500714</v>
      </c>
      <c r="B825" s="56" t="inlineStr">
        <is>
          <t>TUB-O-N-AUT-BH-FC-42.70X4.000X5.50-ERW 1</t>
        </is>
      </c>
      <c r="C825" s="56" t="inlineStr">
        <is>
          <t>4C28CK3060</t>
        </is>
      </c>
      <c r="D825" s="57" t="n"/>
      <c r="E825" s="58" t="n">
        <v>2330</v>
      </c>
      <c r="F825" s="57" t="n">
        <v>2.33</v>
      </c>
      <c r="G825" s="56" t="inlineStr">
        <is>
          <t>KG</t>
        </is>
      </c>
      <c r="H825" s="56" t="inlineStr">
        <is>
          <t>R001</t>
        </is>
      </c>
      <c r="I825" s="56" t="inlineStr">
        <is>
          <t>8406</t>
        </is>
      </c>
      <c r="J825" s="56" t="inlineStr">
        <is>
          <t>111</t>
        </is>
      </c>
      <c r="K825" s="57" t="n">
        <v>610.331</v>
      </c>
      <c r="L825" s="56" t="inlineStr"/>
      <c r="M825" s="56" t="inlineStr">
        <is>
          <t>0</t>
        </is>
      </c>
      <c r="N825" s="56" t="inlineStr">
        <is>
          <t>Rajsriya Automotive Ind Pvt Ltd.</t>
        </is>
      </c>
      <c r="O825" s="58" t="n">
        <v>3</v>
      </c>
      <c r="P825" s="59" t="inlineStr">
        <is>
          <t>0-30</t>
        </is>
      </c>
      <c r="Q825" s="56" t="inlineStr">
        <is>
          <t>Apoorv</t>
        </is>
      </c>
      <c r="U825" s="585" t="n">
        <v>4229656</v>
      </c>
      <c r="V825" t="n">
        <v>25.4</v>
      </c>
      <c r="W825" t="n">
        <v>0</v>
      </c>
      <c r="X825" t="n">
        <v>2</v>
      </c>
      <c r="Y825" t="n">
        <v>0.213</v>
      </c>
      <c r="Z825" t="inlineStr">
        <is>
          <t>GR1</t>
        </is>
      </c>
      <c r="AA825" t="inlineStr">
        <is>
          <t>FC</t>
        </is>
      </c>
      <c r="AB825" t="inlineStr">
        <is>
          <t>AW</t>
        </is>
      </c>
      <c r="AC825" t="inlineStr">
        <is>
          <t>25.4-0-2-ERW 1-FC</t>
        </is>
      </c>
      <c r="AD825" t="inlineStr">
        <is>
          <t>CTL</t>
        </is>
      </c>
      <c r="AE825" t="inlineStr">
        <is>
          <t>25.4-0-2-ERW 1-FC-0.213</t>
        </is>
      </c>
      <c r="AF825" t="n">
        <v>0.2457110916</v>
      </c>
    </row>
    <row r="826">
      <c r="A826" s="56" t="n">
        <v>3500714</v>
      </c>
      <c r="B826" s="56" t="inlineStr">
        <is>
          <t>TUB-O-N-AUT-BH-FC-42.70X4.000X5.50-ERW 1</t>
        </is>
      </c>
      <c r="C826" s="56" t="inlineStr">
        <is>
          <t>4C28CK3070</t>
        </is>
      </c>
      <c r="D826" s="57" t="n"/>
      <c r="E826" s="58" t="n">
        <v>2330</v>
      </c>
      <c r="F826" s="57" t="n">
        <v>2.33</v>
      </c>
      <c r="G826" s="56" t="inlineStr">
        <is>
          <t>KG</t>
        </is>
      </c>
      <c r="H826" s="56" t="inlineStr">
        <is>
          <t>R001</t>
        </is>
      </c>
      <c r="I826" s="56" t="inlineStr">
        <is>
          <t>8406</t>
        </is>
      </c>
      <c r="J826" s="56" t="inlineStr">
        <is>
          <t>111</t>
        </is>
      </c>
      <c r="K826" s="57" t="n">
        <v>610.331</v>
      </c>
      <c r="L826" s="56" t="inlineStr"/>
      <c r="M826" s="56" t="inlineStr">
        <is>
          <t>0</t>
        </is>
      </c>
      <c r="N826" s="56" t="inlineStr">
        <is>
          <t>Rajsriya Automotive Ind Pvt Ltd.</t>
        </is>
      </c>
      <c r="O826" s="58" t="n">
        <v>3</v>
      </c>
      <c r="P826" s="59" t="inlineStr">
        <is>
          <t>0-30</t>
        </is>
      </c>
      <c r="Q826" s="56" t="inlineStr">
        <is>
          <t>Apoorv</t>
        </is>
      </c>
      <c r="U826" s="585" t="n">
        <v>3216121</v>
      </c>
      <c r="V826" t="n">
        <v>25.4</v>
      </c>
      <c r="W826" t="n">
        <v>0</v>
      </c>
      <c r="X826" t="n">
        <v>2</v>
      </c>
      <c r="Y826" t="n">
        <v>0.228</v>
      </c>
      <c r="Z826" t="inlineStr">
        <is>
          <t>WG</t>
        </is>
      </c>
      <c r="AA826" t="inlineStr">
        <is>
          <t>FC</t>
        </is>
      </c>
      <c r="AB826" t="inlineStr">
        <is>
          <t>AW</t>
        </is>
      </c>
      <c r="AC826" t="inlineStr">
        <is>
          <t>25.4-0-2-ERW 1-FC</t>
        </is>
      </c>
      <c r="AD826" t="inlineStr">
        <is>
          <t>CTL</t>
        </is>
      </c>
      <c r="AE826" t="inlineStr">
        <is>
          <t>25.4-0-2-ERW 1-FC-0.228</t>
        </is>
      </c>
      <c r="AF826" t="n">
        <v>0.2630146896</v>
      </c>
    </row>
    <row r="827">
      <c r="A827" s="56" t="n">
        <v>3500714</v>
      </c>
      <c r="B827" s="56" t="inlineStr">
        <is>
          <t>TUB-O-N-AUT-BH-FC-42.70X4.000X5.50-ERW 1</t>
        </is>
      </c>
      <c r="C827" s="56" t="inlineStr">
        <is>
          <t>4C28CK3080</t>
        </is>
      </c>
      <c r="D827" s="57" t="n"/>
      <c r="E827" s="58" t="n">
        <v>2288</v>
      </c>
      <c r="F827" s="57" t="n">
        <v>2.288</v>
      </c>
      <c r="G827" s="56" t="inlineStr">
        <is>
          <t>KG</t>
        </is>
      </c>
      <c r="H827" s="56" t="inlineStr">
        <is>
          <t>R001</t>
        </is>
      </c>
      <c r="I827" s="56" t="inlineStr">
        <is>
          <t>8406</t>
        </is>
      </c>
      <c r="J827" s="56" t="inlineStr">
        <is>
          <t>109</t>
        </is>
      </c>
      <c r="K827" s="57" t="n">
        <v>599.329</v>
      </c>
      <c r="L827" s="56" t="inlineStr"/>
      <c r="M827" s="56" t="inlineStr">
        <is>
          <t>0</t>
        </is>
      </c>
      <c r="N827" s="56" t="inlineStr">
        <is>
          <t>Rajsriya Automotive Ind Pvt Ltd.</t>
        </is>
      </c>
      <c r="O827" s="58" t="n">
        <v>3</v>
      </c>
      <c r="P827" s="59" t="inlineStr">
        <is>
          <t>0-30</t>
        </is>
      </c>
      <c r="Q827" s="56" t="inlineStr">
        <is>
          <t>Apoorv</t>
        </is>
      </c>
      <c r="U827" s="585" t="n">
        <v>1940584</v>
      </c>
      <c r="V827" t="n">
        <v>25.4</v>
      </c>
      <c r="W827" t="n">
        <v>0</v>
      </c>
      <c r="X827" t="n">
        <v>2</v>
      </c>
      <c r="Y827" t="n">
        <v>0.281</v>
      </c>
      <c r="Z827" t="inlineStr">
        <is>
          <t>GR1</t>
        </is>
      </c>
      <c r="AA827" t="inlineStr">
        <is>
          <t>FC</t>
        </is>
      </c>
      <c r="AB827" t="inlineStr">
        <is>
          <t>AW</t>
        </is>
      </c>
      <c r="AC827" t="inlineStr">
        <is>
          <t>25.4-0-2-ERW 1-FC</t>
        </is>
      </c>
      <c r="AD827" t="inlineStr">
        <is>
          <t>CTL</t>
        </is>
      </c>
      <c r="AE827" t="inlineStr">
        <is>
          <t>25.4-0-2-ERW 1-FC-0.281</t>
        </is>
      </c>
      <c r="AF827" t="n">
        <v>0.3241540692000001</v>
      </c>
    </row>
    <row r="828">
      <c r="A828" s="56" t="n">
        <v>3500714</v>
      </c>
      <c r="B828" s="56" t="inlineStr">
        <is>
          <t>TUB-O-N-AUT-BH-FC-42.70X4.000X5.50-ERW 1</t>
        </is>
      </c>
      <c r="C828" s="56" t="inlineStr">
        <is>
          <t>4C28CK3090</t>
        </is>
      </c>
      <c r="D828" s="57" t="n"/>
      <c r="E828" s="58" t="n">
        <v>2351</v>
      </c>
      <c r="F828" s="57" t="n">
        <v>2.351</v>
      </c>
      <c r="G828" s="56" t="inlineStr">
        <is>
          <t>KG</t>
        </is>
      </c>
      <c r="H828" s="56" t="inlineStr">
        <is>
          <t>R001</t>
        </is>
      </c>
      <c r="I828" s="56" t="inlineStr">
        <is>
          <t>8406</t>
        </is>
      </c>
      <c r="J828" s="56" t="inlineStr">
        <is>
          <t>112</t>
        </is>
      </c>
      <c r="K828" s="57" t="n">
        <v>615.832</v>
      </c>
      <c r="L828" s="56" t="inlineStr"/>
      <c r="M828" s="56" t="inlineStr">
        <is>
          <t>0</t>
        </is>
      </c>
      <c r="N828" s="56" t="inlineStr">
        <is>
          <t>Rajsriya Automotive Ind Pvt Ltd.</t>
        </is>
      </c>
      <c r="O828" s="58" t="n">
        <v>3</v>
      </c>
      <c r="P828" s="59" t="inlineStr">
        <is>
          <t>0-30</t>
        </is>
      </c>
      <c r="Q828" s="56" t="inlineStr">
        <is>
          <t>Apoorv</t>
        </is>
      </c>
      <c r="U828" s="585" t="n">
        <v>299981</v>
      </c>
      <c r="V828" t="n">
        <v>25.4</v>
      </c>
      <c r="W828" t="n">
        <v>0</v>
      </c>
      <c r="X828" t="n">
        <v>2</v>
      </c>
      <c r="Y828" t="n">
        <v>0.281</v>
      </c>
      <c r="Z828" t="inlineStr">
        <is>
          <t>TPT</t>
        </is>
      </c>
      <c r="AA828" t="inlineStr">
        <is>
          <t>PE</t>
        </is>
      </c>
      <c r="AB828" t="inlineStr">
        <is>
          <t>AW</t>
        </is>
      </c>
      <c r="AC828" t="inlineStr">
        <is>
          <t>25.4-0-2-ERW 1-PE</t>
        </is>
      </c>
      <c r="AD828" t="inlineStr">
        <is>
          <t>CTL</t>
        </is>
      </c>
      <c r="AE828" t="inlineStr">
        <is>
          <t>25.4-0-2-ERW 1-PE-0.281</t>
        </is>
      </c>
      <c r="AF828" t="n">
        <v>0.3241540692000001</v>
      </c>
    </row>
    <row r="829">
      <c r="A829" s="56" t="n">
        <v>3500714</v>
      </c>
      <c r="B829" s="56" t="inlineStr">
        <is>
          <t>TUB-O-N-AUT-BH-FC-42.70X4.000X5.50-ERW 1</t>
        </is>
      </c>
      <c r="C829" s="56" t="inlineStr">
        <is>
          <t>NS20242</t>
        </is>
      </c>
      <c r="D829" s="57" t="n"/>
      <c r="E829" s="57" t="n">
        <v>1636.292</v>
      </c>
      <c r="F829" s="57" t="n">
        <v>1.636292</v>
      </c>
      <c r="G829" s="56" t="inlineStr">
        <is>
          <t>KG</t>
        </is>
      </c>
      <c r="H829" s="56" t="inlineStr">
        <is>
          <t>R001</t>
        </is>
      </c>
      <c r="I829" s="56" t="inlineStr">
        <is>
          <t>8406</t>
        </is>
      </c>
      <c r="J829" s="56" t="inlineStr"/>
      <c r="K829" s="57" t="n">
        <v>428.618</v>
      </c>
      <c r="L829" s="56" t="inlineStr"/>
      <c r="M829" s="56" t="inlineStr">
        <is>
          <t>0</t>
        </is>
      </c>
      <c r="N829" s="56" t="inlineStr">
        <is>
          <t>Rajsriya Automotive Ind Pvt Ltd.</t>
        </is>
      </c>
      <c r="O829" s="58" t="n">
        <v>24</v>
      </c>
      <c r="P829" s="59" t="inlineStr">
        <is>
          <t>0-30</t>
        </is>
      </c>
      <c r="Q829" s="56" t="inlineStr">
        <is>
          <t>Apoorv</t>
        </is>
      </c>
      <c r="U829" s="585" t="n">
        <v>3506206</v>
      </c>
      <c r="V829" t="n">
        <v>25.4</v>
      </c>
      <c r="W829" t="n">
        <v>0</v>
      </c>
      <c r="X829" t="n">
        <v>2</v>
      </c>
      <c r="Y829" t="n">
        <v>0.281</v>
      </c>
      <c r="Z829" t="inlineStr"/>
      <c r="AA829" t="inlineStr">
        <is>
          <t>PE</t>
        </is>
      </c>
      <c r="AB829" t="inlineStr">
        <is>
          <t>AW</t>
        </is>
      </c>
      <c r="AC829" t="inlineStr">
        <is>
          <t>25.4-0-2-ERW 1-PE</t>
        </is>
      </c>
      <c r="AD829" t="inlineStr">
        <is>
          <t>CTL</t>
        </is>
      </c>
      <c r="AE829" t="inlineStr">
        <is>
          <t>25.4-0-2-ERW 1-PE-0.281</t>
        </is>
      </c>
      <c r="AF829" t="n">
        <v>0.3241540692000001</v>
      </c>
    </row>
    <row r="830">
      <c r="A830" s="56" t="n">
        <v>3500718</v>
      </c>
      <c r="B830" s="56" t="inlineStr">
        <is>
          <t>TUB-O-N-AUT-AW-FC-38.10X3.66X4.735-ERW 1</t>
        </is>
      </c>
      <c r="C830" s="56" t="inlineStr">
        <is>
          <t>4B29CK3110</t>
        </is>
      </c>
      <c r="D830" s="57" t="n"/>
      <c r="E830" s="58" t="n">
        <v>1852</v>
      </c>
      <c r="F830" s="57" t="n">
        <v>1.852</v>
      </c>
      <c r="G830" s="56" t="inlineStr">
        <is>
          <t>KG</t>
        </is>
      </c>
      <c r="H830" s="56" t="inlineStr">
        <is>
          <t>R001</t>
        </is>
      </c>
      <c r="I830" s="56" t="inlineStr">
        <is>
          <t>8406</t>
        </is>
      </c>
      <c r="J830" s="56" t="inlineStr">
        <is>
          <t>131</t>
        </is>
      </c>
      <c r="K830" s="57" t="n">
        <v>620.124</v>
      </c>
      <c r="L830" s="56" t="inlineStr"/>
      <c r="M830" s="56" t="inlineStr">
        <is>
          <t>0</t>
        </is>
      </c>
      <c r="N830" s="56" t="inlineStr">
        <is>
          <t>FREE STOCK</t>
        </is>
      </c>
      <c r="O830" s="58" t="n">
        <v>16</v>
      </c>
      <c r="P830" s="59" t="inlineStr">
        <is>
          <t>0-30</t>
        </is>
      </c>
      <c r="Q830" s="56" t="inlineStr">
        <is>
          <t>Free Stock</t>
        </is>
      </c>
      <c r="U830" t="n">
        <v>4095223</v>
      </c>
      <c r="V830" t="n">
        <v>25.4</v>
      </c>
      <c r="W830" t="n">
        <v>0</v>
      </c>
      <c r="X830" t="n">
        <v>2</v>
      </c>
      <c r="Y830" t="n">
        <v>0.29</v>
      </c>
      <c r="Z830" t="inlineStr">
        <is>
          <t>GR1</t>
        </is>
      </c>
      <c r="AA830" t="inlineStr">
        <is>
          <t>PE</t>
        </is>
      </c>
      <c r="AB830" t="inlineStr">
        <is>
          <t>AW</t>
        </is>
      </c>
      <c r="AC830" t="inlineStr">
        <is>
          <t>25.4-0-2-ERW 1-PE</t>
        </is>
      </c>
      <c r="AD830" t="inlineStr">
        <is>
          <t>CTL</t>
        </is>
      </c>
      <c r="AE830" t="inlineStr">
        <is>
          <t>25.4-0-2-ERW 1-PE-0.29</t>
        </is>
      </c>
      <c r="AF830" t="n">
        <v>0.334536228</v>
      </c>
    </row>
    <row r="831">
      <c r="A831" s="56" t="n">
        <v>3500718</v>
      </c>
      <c r="B831" s="56" t="inlineStr">
        <is>
          <t>TUB-O-N-AUT-AW-FC-38.10X3.66X4.735-ERW 1</t>
        </is>
      </c>
      <c r="C831" s="56" t="inlineStr">
        <is>
          <t>4B29CK3160</t>
        </is>
      </c>
      <c r="D831" s="57" t="n"/>
      <c r="E831" s="58" t="n">
        <v>1953</v>
      </c>
      <c r="F831" s="57" t="n">
        <v>1.953</v>
      </c>
      <c r="G831" s="56" t="inlineStr">
        <is>
          <t>KG</t>
        </is>
      </c>
      <c r="H831" s="56" t="inlineStr">
        <is>
          <t>R001</t>
        </is>
      </c>
      <c r="I831" s="56" t="inlineStr">
        <is>
          <t>8406</t>
        </is>
      </c>
      <c r="J831" s="56" t="inlineStr">
        <is>
          <t>138</t>
        </is>
      </c>
      <c r="K831" s="57" t="n">
        <v>653.943</v>
      </c>
      <c r="L831" s="56" t="inlineStr"/>
      <c r="M831" s="56" t="inlineStr">
        <is>
          <t>0</t>
        </is>
      </c>
      <c r="N831" s="56" t="inlineStr">
        <is>
          <t>FREE STOCK</t>
        </is>
      </c>
      <c r="O831" s="58" t="n">
        <v>16</v>
      </c>
      <c r="P831" s="59" t="inlineStr">
        <is>
          <t>0-30</t>
        </is>
      </c>
      <c r="Q831" s="56" t="inlineStr">
        <is>
          <t>Free Stock</t>
        </is>
      </c>
      <c r="U831" s="585" t="n">
        <v>4229655</v>
      </c>
      <c r="V831" t="n">
        <v>25.4</v>
      </c>
      <c r="W831" t="n">
        <v>0</v>
      </c>
      <c r="X831" t="n">
        <v>2</v>
      </c>
      <c r="Y831" t="n">
        <v>0.31</v>
      </c>
      <c r="Z831" t="inlineStr">
        <is>
          <t>GR1</t>
        </is>
      </c>
      <c r="AA831" t="inlineStr">
        <is>
          <t>FC</t>
        </is>
      </c>
      <c r="AB831" t="inlineStr">
        <is>
          <t>AW</t>
        </is>
      </c>
      <c r="AC831" t="inlineStr">
        <is>
          <t>25.4-0-2-ERW 1-PE</t>
        </is>
      </c>
      <c r="AD831" t="inlineStr">
        <is>
          <t>CTL</t>
        </is>
      </c>
      <c r="AE831" t="inlineStr">
        <is>
          <t>25.4-0-2-ERW 1-PE-0.31</t>
        </is>
      </c>
      <c r="AF831" t="n">
        <v>0.357607692</v>
      </c>
    </row>
    <row r="832">
      <c r="A832" s="56" t="n">
        <v>3500816</v>
      </c>
      <c r="B832" s="56" t="inlineStr">
        <is>
          <t>TUB-O-N-AUT-BH-FC-63.50X4.000X6.0000</t>
        </is>
      </c>
      <c r="C832" s="56" t="inlineStr">
        <is>
          <t>4724BK4110</t>
        </is>
      </c>
      <c r="D832" s="57" t="n"/>
      <c r="E832" s="58" t="n">
        <v>556</v>
      </c>
      <c r="F832" s="57" t="n">
        <v>0.556</v>
      </c>
      <c r="G832" s="56" t="inlineStr">
        <is>
          <t>KG</t>
        </is>
      </c>
      <c r="H832" s="56" t="inlineStr">
        <is>
          <t>R001</t>
        </is>
      </c>
      <c r="I832" s="56" t="inlineStr">
        <is>
          <t>8406</t>
        </is>
      </c>
      <c r="J832" s="56" t="inlineStr">
        <is>
          <t>55</t>
        </is>
      </c>
      <c r="K832" s="57" t="n">
        <v>96.994</v>
      </c>
      <c r="L832" s="56" t="inlineStr"/>
      <c r="M832" s="56" t="inlineStr">
        <is>
          <t>0</t>
        </is>
      </c>
      <c r="N832" s="56" t="inlineStr">
        <is>
          <t>Neel Metal Products Limited</t>
        </is>
      </c>
      <c r="O832" s="58" t="n">
        <v>11</v>
      </c>
      <c r="P832" s="59" t="inlineStr">
        <is>
          <t>0-30</t>
        </is>
      </c>
      <c r="Q832" s="56" t="inlineStr">
        <is>
          <t>Apoorv</t>
        </is>
      </c>
      <c r="U832" s="585" t="n">
        <v>1413976</v>
      </c>
      <c r="V832" t="n">
        <v>25.4</v>
      </c>
      <c r="W832" t="n">
        <v>0</v>
      </c>
      <c r="X832" t="n">
        <v>2</v>
      </c>
      <c r="Y832" t="n">
        <v>0.315</v>
      </c>
      <c r="Z832" t="inlineStr"/>
      <c r="AA832" t="inlineStr">
        <is>
          <t>PE</t>
        </is>
      </c>
      <c r="AB832" t="inlineStr">
        <is>
          <t>AH</t>
        </is>
      </c>
      <c r="AC832" t="inlineStr">
        <is>
          <t>25.4-0-2-ERW 1-PE</t>
        </is>
      </c>
      <c r="AD832" t="inlineStr">
        <is>
          <t>CTL</t>
        </is>
      </c>
      <c r="AE832" t="inlineStr">
        <is>
          <t>25.4-0-2-ERW 1-PE-0.315</t>
        </is>
      </c>
      <c r="AF832" t="n">
        <v>0.363375558</v>
      </c>
    </row>
    <row r="833">
      <c r="A833" s="56" t="n">
        <v>3500816</v>
      </c>
      <c r="B833" s="56" t="inlineStr">
        <is>
          <t>TUB-O-N-AUT-BH-FC-63.50X4.000X6.0000</t>
        </is>
      </c>
      <c r="C833" s="56" t="inlineStr">
        <is>
          <t>4916BK4100</t>
        </is>
      </c>
      <c r="D833" s="57" t="n"/>
      <c r="E833" s="58" t="n">
        <v>1191</v>
      </c>
      <c r="F833" s="57" t="n">
        <v>1.191</v>
      </c>
      <c r="G833" s="56" t="inlineStr">
        <is>
          <t>KG</t>
        </is>
      </c>
      <c r="H833" s="56" t="inlineStr">
        <is>
          <t>R001</t>
        </is>
      </c>
      <c r="I833" s="56" t="inlineStr">
        <is>
          <t>8406</t>
        </is>
      </c>
      <c r="J833" s="56" t="inlineStr">
        <is>
          <t>46</t>
        </is>
      </c>
      <c r="K833" s="57" t="n">
        <v>207.77</v>
      </c>
      <c r="L833" s="56" t="inlineStr"/>
      <c r="M833" s="56" t="inlineStr">
        <is>
          <t>0</t>
        </is>
      </c>
      <c r="N833" s="56" t="inlineStr">
        <is>
          <t>Neel Metal Products Limited</t>
        </is>
      </c>
      <c r="O833" s="58" t="n">
        <v>25</v>
      </c>
      <c r="P833" s="59" t="inlineStr">
        <is>
          <t>0-30</t>
        </is>
      </c>
      <c r="Q833" s="56" t="inlineStr">
        <is>
          <t>Apoorv</t>
        </is>
      </c>
      <c r="U833" s="585" t="n">
        <v>3508859</v>
      </c>
      <c r="V833" t="n">
        <v>25.4</v>
      </c>
      <c r="W833" t="n">
        <v>0</v>
      </c>
      <c r="X833" t="n">
        <v>2</v>
      </c>
      <c r="Y833" t="n">
        <v>0.315</v>
      </c>
      <c r="Z833" t="inlineStr"/>
      <c r="AA833" t="inlineStr">
        <is>
          <t>PE</t>
        </is>
      </c>
      <c r="AB833" t="inlineStr">
        <is>
          <t>AH</t>
        </is>
      </c>
      <c r="AC833" t="inlineStr">
        <is>
          <t>25.4-0-2-ERW 1-PE</t>
        </is>
      </c>
      <c r="AD833" t="inlineStr">
        <is>
          <t>CTL</t>
        </is>
      </c>
      <c r="AE833" t="inlineStr">
        <is>
          <t>25.4-0-2-ERW 1-PE-0.315</t>
        </is>
      </c>
      <c r="AF833" t="n">
        <v>0.363375558</v>
      </c>
    </row>
    <row r="834">
      <c r="A834" s="56" t="n">
        <v>3500816</v>
      </c>
      <c r="B834" s="56" t="inlineStr">
        <is>
          <t>TUB-O-N-AUT-BH-FC-63.50X4.000X6.0000</t>
        </is>
      </c>
      <c r="C834" s="56" t="inlineStr">
        <is>
          <t>4A17BK4060</t>
        </is>
      </c>
      <c r="D834" s="57" t="n"/>
      <c r="E834" s="57" t="n">
        <v>185.566</v>
      </c>
      <c r="F834" s="57" t="n">
        <v>0.185566</v>
      </c>
      <c r="G834" s="56" t="inlineStr">
        <is>
          <t>KG</t>
        </is>
      </c>
      <c r="H834" s="56" t="inlineStr">
        <is>
          <t>R001</t>
        </is>
      </c>
      <c r="I834" s="56" t="inlineStr">
        <is>
          <t>8406</t>
        </is>
      </c>
      <c r="J834" s="56" t="inlineStr">
        <is>
          <t>52</t>
        </is>
      </c>
      <c r="K834" s="57" t="n">
        <v>32.372</v>
      </c>
      <c r="L834" s="56" t="inlineStr"/>
      <c r="M834" s="56" t="inlineStr">
        <is>
          <t>0</t>
        </is>
      </c>
      <c r="N834" s="56" t="inlineStr">
        <is>
          <t>Neel Metal Products Limited</t>
        </is>
      </c>
      <c r="O834" s="58" t="n">
        <v>76</v>
      </c>
      <c r="P834" s="59" t="inlineStr">
        <is>
          <t>61-90</t>
        </is>
      </c>
      <c r="Q834" s="56" t="inlineStr">
        <is>
          <t>Apoorv</t>
        </is>
      </c>
      <c r="U834" s="585" t="n">
        <v>3209978</v>
      </c>
      <c r="V834" t="n">
        <v>25.4</v>
      </c>
      <c r="W834" t="n">
        <v>0</v>
      </c>
      <c r="X834" t="n">
        <v>2</v>
      </c>
      <c r="Y834" t="n">
        <v>0.32</v>
      </c>
      <c r="Z834" t="inlineStr"/>
      <c r="AA834" t="inlineStr">
        <is>
          <t>FC</t>
        </is>
      </c>
      <c r="AB834" t="inlineStr">
        <is>
          <t>AW</t>
        </is>
      </c>
      <c r="AC834" t="inlineStr">
        <is>
          <t>25.4-0-2-ERW 1-FC</t>
        </is>
      </c>
      <c r="AD834" t="inlineStr">
        <is>
          <t>CTL</t>
        </is>
      </c>
      <c r="AE834" t="inlineStr">
        <is>
          <t>25.4-0-2-ERW 1-FC-0.32</t>
        </is>
      </c>
      <c r="AF834" t="n">
        <v>0.3691434240000001</v>
      </c>
    </row>
    <row r="835">
      <c r="A835" s="56" t="n">
        <v>3502422</v>
      </c>
      <c r="B835" s="56" t="inlineStr">
        <is>
          <t>TUB-O-N-AUT-AW-FC-48.60X3.500X6.0500</t>
        </is>
      </c>
      <c r="C835" s="56" t="inlineStr">
        <is>
          <t>4A25C40110</t>
        </is>
      </c>
      <c r="D835" s="57" t="n"/>
      <c r="E835" s="57" t="n">
        <v>310.448</v>
      </c>
      <c r="F835" s="57" t="n">
        <v>0.310448</v>
      </c>
      <c r="G835" s="56" t="inlineStr">
        <is>
          <t>KG</t>
        </is>
      </c>
      <c r="H835" s="56" t="inlineStr">
        <is>
          <t>R001</t>
        </is>
      </c>
      <c r="I835" s="56" t="inlineStr">
        <is>
          <t>8406</t>
        </is>
      </c>
      <c r="J835" s="56" t="inlineStr"/>
      <c r="K835" s="57" t="n">
        <v>79.749</v>
      </c>
      <c r="L835" s="56" t="inlineStr"/>
      <c r="M835" s="56" t="inlineStr">
        <is>
          <t>0</t>
        </is>
      </c>
      <c r="N835" s="56" t="inlineStr">
        <is>
          <t>Metalman Auto Private Limited</t>
        </is>
      </c>
      <c r="O835" s="58" t="n">
        <v>40</v>
      </c>
      <c r="P835" s="59" t="inlineStr">
        <is>
          <t>31-60</t>
        </is>
      </c>
      <c r="Q835" s="56" t="inlineStr">
        <is>
          <t>Jitendra Kumar Sharma</t>
        </is>
      </c>
      <c r="U835" s="585" t="n">
        <v>3616911</v>
      </c>
      <c r="V835" t="n">
        <v>25.4</v>
      </c>
      <c r="W835" t="n">
        <v>0</v>
      </c>
      <c r="X835" t="n">
        <v>2</v>
      </c>
      <c r="Y835" t="n">
        <v>0.35</v>
      </c>
      <c r="Z835" t="inlineStr">
        <is>
          <t>HROP</t>
        </is>
      </c>
      <c r="AA835" t="inlineStr">
        <is>
          <t>FC</t>
        </is>
      </c>
      <c r="AB835" t="inlineStr">
        <is>
          <t>AW</t>
        </is>
      </c>
      <c r="AC835" t="inlineStr">
        <is>
          <t>25.4-0-2-ERW 1-FC</t>
        </is>
      </c>
      <c r="AD835" t="inlineStr">
        <is>
          <t>CTL</t>
        </is>
      </c>
      <c r="AE835" t="inlineStr">
        <is>
          <t>25.4-0-2-ERW 1-FC-0.35</t>
        </is>
      </c>
      <c r="AF835" t="n">
        <v>0.40375062</v>
      </c>
    </row>
    <row r="836">
      <c r="A836" s="56" t="n">
        <v>3502422</v>
      </c>
      <c r="B836" s="56" t="inlineStr">
        <is>
          <t>TUB-O-N-AUT-AW-FC-48.60X3.500X6.0500</t>
        </is>
      </c>
      <c r="C836" s="56" t="inlineStr">
        <is>
          <t>4B11AH2060</t>
        </is>
      </c>
      <c r="D836" s="57" t="n"/>
      <c r="E836" s="58" t="n">
        <v>1514</v>
      </c>
      <c r="F836" s="57" t="n">
        <v>1.514</v>
      </c>
      <c r="G836" s="56" t="inlineStr">
        <is>
          <t>KG</t>
        </is>
      </c>
      <c r="H836" s="56" t="inlineStr">
        <is>
          <t>R001</t>
        </is>
      </c>
      <c r="I836" s="56" t="inlineStr">
        <is>
          <t>8406</t>
        </is>
      </c>
      <c r="J836" s="56" t="inlineStr">
        <is>
          <t>114</t>
        </is>
      </c>
      <c r="K836" s="57" t="n">
        <v>388.923</v>
      </c>
      <c r="L836" s="56" t="inlineStr"/>
      <c r="M836" s="56" t="inlineStr">
        <is>
          <t>0</t>
        </is>
      </c>
      <c r="N836" s="56" t="inlineStr">
        <is>
          <t>Metalman Auto Private Limited</t>
        </is>
      </c>
      <c r="O836" s="58" t="n">
        <v>38</v>
      </c>
      <c r="P836" s="59" t="inlineStr">
        <is>
          <t>31-60</t>
        </is>
      </c>
      <c r="Q836" s="56" t="inlineStr">
        <is>
          <t>Jitendra Kumar Sharma</t>
        </is>
      </c>
      <c r="U836" s="585" t="n">
        <v>1940588</v>
      </c>
      <c r="V836" t="n">
        <v>25.4</v>
      </c>
      <c r="W836" t="n">
        <v>0</v>
      </c>
      <c r="X836" t="n">
        <v>2</v>
      </c>
      <c r="Y836" t="n">
        <v>0.355</v>
      </c>
      <c r="Z836" t="inlineStr">
        <is>
          <t>GR1</t>
        </is>
      </c>
      <c r="AA836" t="inlineStr">
        <is>
          <t>FC</t>
        </is>
      </c>
      <c r="AB836" t="inlineStr">
        <is>
          <t>AW</t>
        </is>
      </c>
      <c r="AC836" t="inlineStr">
        <is>
          <t>25.4-0-2-ERW 1-FC</t>
        </is>
      </c>
      <c r="AD836" t="inlineStr">
        <is>
          <t>CTL</t>
        </is>
      </c>
      <c r="AE836" t="inlineStr">
        <is>
          <t>25.4-0-2-ERW 1-FC-0.355</t>
        </is>
      </c>
      <c r="AF836" t="n">
        <v>0.409518486</v>
      </c>
    </row>
    <row r="837">
      <c r="A837" s="56" t="n">
        <v>3531650</v>
      </c>
      <c r="B837" s="56" t="inlineStr">
        <is>
          <t>TUB-O-N-AUT-AW-CH-48.60X3.500X0.1850</t>
        </is>
      </c>
      <c r="C837" s="56" t="inlineStr">
        <is>
          <t>4B11AH2060</t>
        </is>
      </c>
      <c r="D837" s="57" t="n"/>
      <c r="E837" s="57" t="n">
        <v>54.55</v>
      </c>
      <c r="F837" s="57" t="n">
        <v>0.05454999999999999</v>
      </c>
      <c r="G837" s="56" t="inlineStr">
        <is>
          <t>KG</t>
        </is>
      </c>
      <c r="H837" s="56" t="inlineStr">
        <is>
          <t>R001</t>
        </is>
      </c>
      <c r="I837" s="56" t="inlineStr">
        <is>
          <t>8406</t>
        </is>
      </c>
      <c r="J837" s="56" t="inlineStr">
        <is>
          <t>114</t>
        </is>
      </c>
      <c r="K837" s="57" t="n">
        <v>14.008</v>
      </c>
      <c r="L837" s="56" t="inlineStr"/>
      <c r="M837" s="56" t="inlineStr">
        <is>
          <t>0</t>
        </is>
      </c>
      <c r="N837" s="56" t="inlineStr">
        <is>
          <t>Metalman Auto Private Limited</t>
        </is>
      </c>
      <c r="O837" s="58" t="n">
        <v>30</v>
      </c>
      <c r="P837" s="59" t="inlineStr">
        <is>
          <t>0-30</t>
        </is>
      </c>
      <c r="Q837" s="56" t="inlineStr">
        <is>
          <t>Jitendra Kumar Sharma</t>
        </is>
      </c>
      <c r="U837" s="585" t="n">
        <v>3122350</v>
      </c>
      <c r="V837" t="n">
        <v>25.4</v>
      </c>
      <c r="W837" t="n">
        <v>0</v>
      </c>
      <c r="X837" t="n">
        <v>2</v>
      </c>
      <c r="Y837" t="n">
        <v>0.405</v>
      </c>
      <c r="Z837" t="inlineStr">
        <is>
          <t>HROP</t>
        </is>
      </c>
      <c r="AA837" t="inlineStr">
        <is>
          <t>FC</t>
        </is>
      </c>
      <c r="AB837" t="inlineStr">
        <is>
          <t>AW</t>
        </is>
      </c>
      <c r="AC837" t="inlineStr">
        <is>
          <t>25.4-0-2-ERW 1-FC</t>
        </is>
      </c>
      <c r="AD837" t="inlineStr">
        <is>
          <t>CTL</t>
        </is>
      </c>
      <c r="AE837" t="inlineStr">
        <is>
          <t>25.4-0-2-ERW 1-FC-0.405</t>
        </is>
      </c>
      <c r="AF837" t="n">
        <v>0.4671971460000001</v>
      </c>
    </row>
    <row r="838">
      <c r="A838" s="56" t="n">
        <v>3531650</v>
      </c>
      <c r="B838" s="56" t="inlineStr">
        <is>
          <t>TUB-O-N-AUT-AW-CH-48.60X3.500X0.1850</t>
        </is>
      </c>
      <c r="C838" s="56" t="inlineStr">
        <is>
          <t>4C18CH2110</t>
        </is>
      </c>
      <c r="D838" s="57" t="n"/>
      <c r="E838" s="58" t="n">
        <v>720</v>
      </c>
      <c r="F838" s="57" t="n">
        <v>0.72</v>
      </c>
      <c r="G838" s="56" t="inlineStr">
        <is>
          <t>KG</t>
        </is>
      </c>
      <c r="H838" s="56" t="inlineStr">
        <is>
          <t>R001</t>
        </is>
      </c>
      <c r="I838" s="56" t="inlineStr">
        <is>
          <t>8406</t>
        </is>
      </c>
      <c r="J838" s="56" t="inlineStr">
        <is>
          <t>164</t>
        </is>
      </c>
      <c r="K838" s="57" t="n">
        <v>184.89</v>
      </c>
      <c r="L838" s="56" t="inlineStr"/>
      <c r="M838" s="56" t="inlineStr">
        <is>
          <t>0</t>
        </is>
      </c>
      <c r="N838" s="56" t="inlineStr">
        <is>
          <t>Metalman Auto Private Limited</t>
        </is>
      </c>
      <c r="O838" s="58" t="n">
        <v>3</v>
      </c>
      <c r="P838" s="59" t="inlineStr">
        <is>
          <t>0-30</t>
        </is>
      </c>
      <c r="Q838" s="56" t="inlineStr">
        <is>
          <t>Jitendra Kumar Sharma</t>
        </is>
      </c>
      <c r="U838" s="585" t="n">
        <v>3863819</v>
      </c>
      <c r="V838" t="n">
        <v>25.4</v>
      </c>
      <c r="W838" t="n">
        <v>0</v>
      </c>
      <c r="X838" t="n">
        <v>2</v>
      </c>
      <c r="Y838" t="n">
        <v>0.412</v>
      </c>
      <c r="Z838" t="inlineStr">
        <is>
          <t>NORMAL</t>
        </is>
      </c>
      <c r="AA838" t="inlineStr">
        <is>
          <t>FC</t>
        </is>
      </c>
      <c r="AB838" t="inlineStr">
        <is>
          <t>AW</t>
        </is>
      </c>
      <c r="AC838" t="inlineStr">
        <is>
          <t>25.4-0-2-ERW 1-FC</t>
        </is>
      </c>
      <c r="AD838" t="inlineStr">
        <is>
          <t>CTL</t>
        </is>
      </c>
      <c r="AE838" t="inlineStr">
        <is>
          <t>25.4-0-2-ERW 1-FC-0.412</t>
        </is>
      </c>
      <c r="AF838" t="n">
        <v>0.4752721584</v>
      </c>
    </row>
    <row r="839">
      <c r="A839" s="56" t="n">
        <v>3594528</v>
      </c>
      <c r="B839" s="56" t="inlineStr">
        <is>
          <t>TUB-O-N-AUT-AW-FC-60.30X2.000X6.0000</t>
        </is>
      </c>
      <c r="C839" s="56" t="inlineStr">
        <is>
          <t>4424BK3050</t>
        </is>
      </c>
      <c r="D839" s="57" t="n"/>
      <c r="E839" s="58" t="n">
        <v>591</v>
      </c>
      <c r="F839" s="57" t="n">
        <v>0.591</v>
      </c>
      <c r="G839" s="56" t="inlineStr">
        <is>
          <t>KG</t>
        </is>
      </c>
      <c r="H839" s="56" t="inlineStr">
        <is>
          <t>R001</t>
        </is>
      </c>
      <c r="I839" s="56" t="inlineStr">
        <is>
          <t>8406</t>
        </is>
      </c>
      <c r="J839" s="56" t="inlineStr">
        <is>
          <t>34</t>
        </is>
      </c>
      <c r="K839" s="57" t="n">
        <v>205.458</v>
      </c>
      <c r="L839" s="56" t="inlineStr"/>
      <c r="M839" s="56" t="inlineStr">
        <is>
          <t>0</t>
        </is>
      </c>
      <c r="N839" s="56" t="inlineStr">
        <is>
          <t>Neel Metal Products Limited</t>
        </is>
      </c>
      <c r="O839" s="58" t="n">
        <v>11</v>
      </c>
      <c r="P839" s="59" t="inlineStr">
        <is>
          <t>0-30</t>
        </is>
      </c>
      <c r="Q839" s="56" t="inlineStr">
        <is>
          <t>Apoorv</t>
        </is>
      </c>
      <c r="U839" s="585" t="n">
        <v>3863800</v>
      </c>
      <c r="V839" t="n">
        <v>25.4</v>
      </c>
      <c r="W839" t="n">
        <v>0</v>
      </c>
      <c r="X839" t="n">
        <v>2</v>
      </c>
      <c r="Y839" t="n">
        <v>0.412</v>
      </c>
      <c r="Z839" t="inlineStr">
        <is>
          <t>NORMAL</t>
        </is>
      </c>
      <c r="AA839" t="inlineStr">
        <is>
          <t>PE</t>
        </is>
      </c>
      <c r="AB839" t="inlineStr">
        <is>
          <t>AW</t>
        </is>
      </c>
      <c r="AC839" t="inlineStr">
        <is>
          <t>25.4-0-2-ERW 1-PE</t>
        </is>
      </c>
      <c r="AD839" t="inlineStr">
        <is>
          <t>CTL</t>
        </is>
      </c>
      <c r="AE839" t="inlineStr">
        <is>
          <t>25.4-0-2-ERW 1-PE-0.412</t>
        </is>
      </c>
      <c r="AF839" t="n">
        <v>0.4752721584</v>
      </c>
    </row>
    <row r="840">
      <c r="A840" s="56" t="n">
        <v>3702200</v>
      </c>
      <c r="B840" s="56" t="inlineStr">
        <is>
          <t>TUB-O-N-AUT-AW-PE-17.30X1.600X6.0000</t>
        </is>
      </c>
      <c r="C840" s="56" t="inlineStr">
        <is>
          <t>4A27BK1020</t>
        </is>
      </c>
      <c r="D840" s="57" t="n"/>
      <c r="E840" s="58" t="n">
        <v>1063</v>
      </c>
      <c r="F840" s="57" t="n">
        <v>1.063</v>
      </c>
      <c r="G840" s="56" t="inlineStr">
        <is>
          <t>KG</t>
        </is>
      </c>
      <c r="H840" s="56" t="inlineStr">
        <is>
          <t>R001</t>
        </is>
      </c>
      <c r="I840" s="56" t="inlineStr">
        <is>
          <t>8406</t>
        </is>
      </c>
      <c r="J840" s="56" t="inlineStr">
        <is>
          <t>335</t>
        </is>
      </c>
      <c r="K840" s="57" t="n">
        <v>1796.519</v>
      </c>
      <c r="L840" s="56" t="inlineStr"/>
      <c r="M840" s="56" t="inlineStr">
        <is>
          <t>0</t>
        </is>
      </c>
      <c r="N840" s="56" t="inlineStr">
        <is>
          <t>Elkayem Auto Ancillaries ( P ) LTD</t>
        </is>
      </c>
      <c r="O840" s="58" t="n">
        <v>53</v>
      </c>
      <c r="P840" s="59" t="inlineStr">
        <is>
          <t>31-60</t>
        </is>
      </c>
      <c r="Q840" s="56" t="inlineStr">
        <is>
          <t>Diwakar</t>
        </is>
      </c>
      <c r="U840" s="585" t="n">
        <v>3926270</v>
      </c>
      <c r="V840" t="n">
        <v>25.4</v>
      </c>
      <c r="W840" t="n">
        <v>0</v>
      </c>
      <c r="X840" t="n">
        <v>2</v>
      </c>
      <c r="Y840" t="n">
        <v>0.418</v>
      </c>
      <c r="Z840" t="inlineStr">
        <is>
          <t>HROP</t>
        </is>
      </c>
      <c r="AA840" t="inlineStr">
        <is>
          <t>FC</t>
        </is>
      </c>
      <c r="AB840" t="inlineStr">
        <is>
          <t>AW</t>
        </is>
      </c>
      <c r="AC840" t="inlineStr">
        <is>
          <t>25.4-0-2-ERW 1-FC</t>
        </is>
      </c>
      <c r="AD840" t="inlineStr">
        <is>
          <t>CTL</t>
        </is>
      </c>
      <c r="AE840" t="inlineStr">
        <is>
          <t>25.4-0-2-ERW 1-FC-0.418</t>
        </is>
      </c>
      <c r="AF840" t="n">
        <v>0.4821935976</v>
      </c>
    </row>
    <row r="841">
      <c r="A841" s="56" t="n">
        <v>3702200</v>
      </c>
      <c r="B841" s="56" t="inlineStr">
        <is>
          <t>TUB-O-N-AUT-AW-PE-17.30X1.600X6.0000</t>
        </is>
      </c>
      <c r="C841" s="56" t="inlineStr">
        <is>
          <t>4A27CK1030</t>
        </is>
      </c>
      <c r="D841" s="57" t="n"/>
      <c r="E841" s="58" t="n">
        <v>980</v>
      </c>
      <c r="F841" s="57" t="n">
        <v>0.98</v>
      </c>
      <c r="G841" s="56" t="inlineStr">
        <is>
          <t>KG</t>
        </is>
      </c>
      <c r="H841" s="56" t="inlineStr">
        <is>
          <t>R001</t>
        </is>
      </c>
      <c r="I841" s="56" t="inlineStr">
        <is>
          <t>8406</t>
        </is>
      </c>
      <c r="J841" s="56" t="inlineStr">
        <is>
          <t>266</t>
        </is>
      </c>
      <c r="K841" s="57" t="n">
        <v>1656.245</v>
      </c>
      <c r="L841" s="56" t="inlineStr"/>
      <c r="M841" s="56" t="inlineStr">
        <is>
          <t>0</t>
        </is>
      </c>
      <c r="N841" s="56" t="inlineStr">
        <is>
          <t>Elkayem Auto Ancillaries ( P ) LTD</t>
        </is>
      </c>
      <c r="O841" s="58" t="n">
        <v>53</v>
      </c>
      <c r="P841" s="59" t="inlineStr">
        <is>
          <t>31-60</t>
        </is>
      </c>
      <c r="Q841" s="56" t="inlineStr">
        <is>
          <t>Diwakar</t>
        </is>
      </c>
      <c r="U841" s="585" t="n">
        <v>2382577</v>
      </c>
      <c r="V841" t="n">
        <v>25.4</v>
      </c>
      <c r="W841" t="n">
        <v>0</v>
      </c>
      <c r="X841" t="n">
        <v>2</v>
      </c>
      <c r="Y841" t="n">
        <v>0.452</v>
      </c>
      <c r="Z841" t="inlineStr">
        <is>
          <t>HROP</t>
        </is>
      </c>
      <c r="AA841" t="inlineStr">
        <is>
          <t>FC</t>
        </is>
      </c>
      <c r="AB841" t="inlineStr">
        <is>
          <t>AW</t>
        </is>
      </c>
      <c r="AC841" t="inlineStr">
        <is>
          <t>25.4-0-2-ERW 1-FC</t>
        </is>
      </c>
      <c r="AD841" t="inlineStr">
        <is>
          <t>CTL</t>
        </is>
      </c>
      <c r="AE841" t="inlineStr">
        <is>
          <t>25.4-0-2-ERW 1-FC-0.452</t>
        </is>
      </c>
      <c r="AF841" t="n">
        <v>0.5214150864</v>
      </c>
    </row>
    <row r="842">
      <c r="A842" s="56" t="n">
        <v>3702201</v>
      </c>
      <c r="B842" s="56" t="inlineStr">
        <is>
          <t>TUB-O-N-AUT-AW-PE-17.30X1.200X6.0000</t>
        </is>
      </c>
      <c r="C842" s="56" t="inlineStr">
        <is>
          <t>4A28AK1010</t>
        </is>
      </c>
      <c r="D842" s="57" t="n"/>
      <c r="E842" s="58" t="n">
        <v>1390</v>
      </c>
      <c r="F842" s="57" t="n">
        <v>1.39</v>
      </c>
      <c r="G842" s="56" t="inlineStr">
        <is>
          <t>KG</t>
        </is>
      </c>
      <c r="H842" s="56" t="inlineStr">
        <is>
          <t>R001</t>
        </is>
      </c>
      <c r="I842" s="56" t="inlineStr">
        <is>
          <t>8406</t>
        </is>
      </c>
      <c r="J842" s="56" t="inlineStr">
        <is>
          <t>496</t>
        </is>
      </c>
      <c r="K842" s="57" t="n">
        <v>3083.407</v>
      </c>
      <c r="L842" s="56" t="inlineStr"/>
      <c r="M842" s="56" t="inlineStr">
        <is>
          <t>0</t>
        </is>
      </c>
      <c r="N842" s="56" t="inlineStr">
        <is>
          <t>Elkayem Auto Ancillaries ( P ) LTD</t>
        </is>
      </c>
      <c r="O842" s="58" t="n">
        <v>55</v>
      </c>
      <c r="P842" s="59" t="inlineStr">
        <is>
          <t>31-60</t>
        </is>
      </c>
      <c r="Q842" s="56" t="inlineStr">
        <is>
          <t>Diwakar</t>
        </is>
      </c>
      <c r="U842" s="585" t="n">
        <v>1386656</v>
      </c>
      <c r="V842" t="n">
        <v>25.4</v>
      </c>
      <c r="W842" t="n">
        <v>0</v>
      </c>
      <c r="X842" t="n">
        <v>2</v>
      </c>
      <c r="Y842" t="n">
        <v>0.47</v>
      </c>
      <c r="Z842" t="inlineStr"/>
      <c r="AA842" t="inlineStr">
        <is>
          <t>FC</t>
        </is>
      </c>
      <c r="AB842" t="inlineStr">
        <is>
          <t>AW</t>
        </is>
      </c>
      <c r="AC842" t="inlineStr">
        <is>
          <t>25.4-0-2-ERW 1-FC</t>
        </is>
      </c>
      <c r="AD842" t="inlineStr">
        <is>
          <t>CTL</t>
        </is>
      </c>
      <c r="AE842" t="inlineStr">
        <is>
          <t>25.4-0-2-ERW 1-FC-0.47</t>
        </is>
      </c>
      <c r="AF842" t="n">
        <v>0.542179404</v>
      </c>
    </row>
    <row r="843">
      <c r="A843" s="56" t="n">
        <v>3702201</v>
      </c>
      <c r="B843" s="56" t="inlineStr">
        <is>
          <t>TUB-O-N-AUT-AW-PE-17.30X1.200X6.0000</t>
        </is>
      </c>
      <c r="C843" s="56" t="inlineStr">
        <is>
          <t>4A28AK1020</t>
        </is>
      </c>
      <c r="D843" s="57" t="n"/>
      <c r="E843" s="58" t="n">
        <v>1459</v>
      </c>
      <c r="F843" s="57" t="n">
        <v>1.459</v>
      </c>
      <c r="G843" s="56" t="inlineStr">
        <is>
          <t>KG</t>
        </is>
      </c>
      <c r="H843" s="56" t="inlineStr">
        <is>
          <t>R001</t>
        </is>
      </c>
      <c r="I843" s="56" t="inlineStr">
        <is>
          <t>8406</t>
        </is>
      </c>
      <c r="J843" s="56" t="inlineStr">
        <is>
          <t>520</t>
        </is>
      </c>
      <c r="K843" s="57" t="n">
        <v>3236.469</v>
      </c>
      <c r="L843" s="56" t="inlineStr"/>
      <c r="M843" s="56" t="inlineStr">
        <is>
          <t>0</t>
        </is>
      </c>
      <c r="N843" s="56" t="inlineStr">
        <is>
          <t>Elkayem Auto Ancillaries ( P ) LTD</t>
        </is>
      </c>
      <c r="O843" s="58" t="n">
        <v>55</v>
      </c>
      <c r="P843" s="59" t="inlineStr">
        <is>
          <t>31-60</t>
        </is>
      </c>
      <c r="Q843" s="56" t="inlineStr">
        <is>
          <t>Diwakar</t>
        </is>
      </c>
      <c r="U843" s="585" t="n">
        <v>3924502</v>
      </c>
      <c r="V843" t="n">
        <v>25.4</v>
      </c>
      <c r="W843" t="n">
        <v>0</v>
      </c>
      <c r="X843" t="n">
        <v>2</v>
      </c>
      <c r="Y843" t="n">
        <v>0.47</v>
      </c>
      <c r="Z843" t="inlineStr">
        <is>
          <t>NORMAL</t>
        </is>
      </c>
      <c r="AA843" t="inlineStr">
        <is>
          <t>FC</t>
        </is>
      </c>
      <c r="AB843" t="inlineStr">
        <is>
          <t>AW</t>
        </is>
      </c>
      <c r="AC843" t="inlineStr">
        <is>
          <t>25.4-0-2-ERW 1-FC</t>
        </is>
      </c>
      <c r="AD843" t="inlineStr">
        <is>
          <t>CTL</t>
        </is>
      </c>
      <c r="AE843" t="inlineStr">
        <is>
          <t>25.4-0-2-ERW 1-FC-0.47</t>
        </is>
      </c>
      <c r="AF843" t="n">
        <v>0.542179404</v>
      </c>
    </row>
    <row r="844">
      <c r="A844" s="56" t="n">
        <v>3702201</v>
      </c>
      <c r="B844" s="56" t="inlineStr">
        <is>
          <t>TUB-O-N-AUT-AW-PE-17.30X1.200X6.0000</t>
        </is>
      </c>
      <c r="C844" s="56" t="inlineStr">
        <is>
          <t>4A28AK1040</t>
        </is>
      </c>
      <c r="D844" s="57" t="n"/>
      <c r="E844" s="58" t="n">
        <v>1459</v>
      </c>
      <c r="F844" s="57" t="n">
        <v>1.459</v>
      </c>
      <c r="G844" s="56" t="inlineStr">
        <is>
          <t>KG</t>
        </is>
      </c>
      <c r="H844" s="56" t="inlineStr">
        <is>
          <t>R001</t>
        </is>
      </c>
      <c r="I844" s="56" t="inlineStr">
        <is>
          <t>8406</t>
        </is>
      </c>
      <c r="J844" s="56" t="inlineStr">
        <is>
          <t>520</t>
        </is>
      </c>
      <c r="K844" s="57" t="n">
        <v>3236.469</v>
      </c>
      <c r="L844" s="56" t="inlineStr"/>
      <c r="M844" s="56" t="inlineStr">
        <is>
          <t>0</t>
        </is>
      </c>
      <c r="N844" s="56" t="inlineStr">
        <is>
          <t>Elkayem Auto Ancillaries ( P ) LTD</t>
        </is>
      </c>
      <c r="O844" s="58" t="n">
        <v>55</v>
      </c>
      <c r="P844" s="59" t="inlineStr">
        <is>
          <t>31-60</t>
        </is>
      </c>
      <c r="Q844" s="56" t="inlineStr">
        <is>
          <t>Diwakar</t>
        </is>
      </c>
      <c r="U844" s="585" t="n">
        <v>3509211</v>
      </c>
      <c r="V844" t="n">
        <v>25.4</v>
      </c>
      <c r="W844" t="n">
        <v>0</v>
      </c>
      <c r="X844" t="n">
        <v>2</v>
      </c>
      <c r="Y844" t="n">
        <v>0.478</v>
      </c>
      <c r="Z844" t="inlineStr"/>
      <c r="AA844" t="inlineStr">
        <is>
          <t>PE</t>
        </is>
      </c>
      <c r="AB844" t="inlineStr">
        <is>
          <t>AW</t>
        </is>
      </c>
      <c r="AC844" t="inlineStr">
        <is>
          <t>25.4-0-2-ERW 1-PE</t>
        </is>
      </c>
      <c r="AD844" t="inlineStr">
        <is>
          <t>CTL</t>
        </is>
      </c>
      <c r="AE844" t="inlineStr">
        <is>
          <t>25.4-0-2-ERW 1-PE-0.478</t>
        </is>
      </c>
      <c r="AF844" t="n">
        <v>0.5514079896</v>
      </c>
    </row>
    <row r="845">
      <c r="A845" s="56" t="n">
        <v>3702201</v>
      </c>
      <c r="B845" s="56" t="inlineStr">
        <is>
          <t>TUB-O-N-AUT-AW-PE-17.30X1.200X6.0000</t>
        </is>
      </c>
      <c r="C845" s="56" t="inlineStr">
        <is>
          <t>4A28AK1060</t>
        </is>
      </c>
      <c r="D845" s="57" t="n"/>
      <c r="E845" s="58" t="n">
        <v>519</v>
      </c>
      <c r="F845" s="57" t="n">
        <v>0.519</v>
      </c>
      <c r="G845" s="56" t="inlineStr">
        <is>
          <t>KG</t>
        </is>
      </c>
      <c r="H845" s="56" t="inlineStr">
        <is>
          <t>R001</t>
        </is>
      </c>
      <c r="I845" s="56" t="inlineStr">
        <is>
          <t>8406</t>
        </is>
      </c>
      <c r="J845" s="56" t="inlineStr">
        <is>
          <t>183</t>
        </is>
      </c>
      <c r="K845" s="57" t="n">
        <v>1151.287</v>
      </c>
      <c r="L845" s="56" t="inlineStr"/>
      <c r="M845" s="56" t="inlineStr">
        <is>
          <t>0</t>
        </is>
      </c>
      <c r="N845" s="56" t="inlineStr">
        <is>
          <t>Elkayem Auto Ancillaries ( P ) LTD</t>
        </is>
      </c>
      <c r="O845" s="58" t="n">
        <v>55</v>
      </c>
      <c r="P845" s="59" t="inlineStr">
        <is>
          <t>31-60</t>
        </is>
      </c>
      <c r="Q845" s="56" t="inlineStr">
        <is>
          <t>Diwakar</t>
        </is>
      </c>
      <c r="U845" s="585" t="n">
        <v>1482265</v>
      </c>
      <c r="V845" t="n">
        <v>25.4</v>
      </c>
      <c r="W845" t="n">
        <v>0</v>
      </c>
      <c r="X845" t="n">
        <v>2</v>
      </c>
      <c r="Y845" t="n">
        <v>0.478</v>
      </c>
      <c r="Z845" t="inlineStr"/>
      <c r="AA845" t="inlineStr">
        <is>
          <t>PE</t>
        </is>
      </c>
      <c r="AB845" t="inlineStr">
        <is>
          <t>AW</t>
        </is>
      </c>
      <c r="AC845" t="inlineStr">
        <is>
          <t>25.4-0-2-ERW 1-PE</t>
        </is>
      </c>
      <c r="AD845" t="inlineStr">
        <is>
          <t>CTL</t>
        </is>
      </c>
      <c r="AE845" t="inlineStr">
        <is>
          <t>25.4-0-2-ERW 1-PE-0.478</t>
        </is>
      </c>
      <c r="AF845" t="n">
        <v>0.5514079896</v>
      </c>
    </row>
    <row r="846">
      <c r="A846" s="56" t="n">
        <v>3702201</v>
      </c>
      <c r="B846" s="56" t="inlineStr">
        <is>
          <t>TUB-O-N-AUT-AW-PE-17.30X1.200X6.0000</t>
        </is>
      </c>
      <c r="C846" s="56" t="inlineStr">
        <is>
          <t>4A28BK1010</t>
        </is>
      </c>
      <c r="D846" s="57" t="n"/>
      <c r="E846" s="58" t="n">
        <v>1385</v>
      </c>
      <c r="F846" s="57" t="n">
        <v>1.385</v>
      </c>
      <c r="G846" s="56" t="inlineStr">
        <is>
          <t>KG</t>
        </is>
      </c>
      <c r="H846" s="56" t="inlineStr">
        <is>
          <t>R001</t>
        </is>
      </c>
      <c r="I846" s="56" t="inlineStr">
        <is>
          <t>8406</t>
        </is>
      </c>
      <c r="J846" s="56" t="inlineStr">
        <is>
          <t>494</t>
        </is>
      </c>
      <c r="K846" s="57" t="n">
        <v>3072.316</v>
      </c>
      <c r="L846" s="56" t="inlineStr"/>
      <c r="M846" s="56" t="inlineStr">
        <is>
          <t>0</t>
        </is>
      </c>
      <c r="N846" s="56" t="inlineStr">
        <is>
          <t>Elkayem Auto Ancillaries ( P ) LTD</t>
        </is>
      </c>
      <c r="O846" s="58" t="n">
        <v>55</v>
      </c>
      <c r="P846" s="59" t="inlineStr">
        <is>
          <t>31-60</t>
        </is>
      </c>
      <c r="Q846" s="56" t="inlineStr">
        <is>
          <t>Diwakar</t>
        </is>
      </c>
      <c r="U846" s="585" t="n">
        <v>3218520</v>
      </c>
      <c r="V846" t="n">
        <v>25.4</v>
      </c>
      <c r="W846" t="n">
        <v>0</v>
      </c>
      <c r="X846" t="n">
        <v>2</v>
      </c>
      <c r="Y846" t="n">
        <v>0.496</v>
      </c>
      <c r="Z846" t="inlineStr"/>
      <c r="AA846" t="inlineStr">
        <is>
          <t>PE</t>
        </is>
      </c>
      <c r="AB846" t="inlineStr">
        <is>
          <t>AW</t>
        </is>
      </c>
      <c r="AC846" t="inlineStr">
        <is>
          <t>25.4-0-2-ERW 1-PE</t>
        </is>
      </c>
      <c r="AD846" t="inlineStr">
        <is>
          <t>CTL</t>
        </is>
      </c>
      <c r="AE846" t="inlineStr">
        <is>
          <t>25.4-0-2-ERW 1-PE-0.496</t>
        </is>
      </c>
      <c r="AF846" t="n">
        <v>0.5721723072</v>
      </c>
    </row>
    <row r="847">
      <c r="A847" s="56" t="n">
        <v>3702201</v>
      </c>
      <c r="B847" s="56" t="inlineStr">
        <is>
          <t>TUB-O-N-AUT-AW-PE-17.30X1.200X6.0000</t>
        </is>
      </c>
      <c r="C847" s="56" t="inlineStr">
        <is>
          <t>4A28BK1030</t>
        </is>
      </c>
      <c r="D847" s="57" t="n"/>
      <c r="E847" s="58" t="n">
        <v>1316</v>
      </c>
      <c r="F847" s="57" t="n">
        <v>1.316</v>
      </c>
      <c r="G847" s="56" t="inlineStr">
        <is>
          <t>KG</t>
        </is>
      </c>
      <c r="H847" s="56" t="inlineStr">
        <is>
          <t>R001</t>
        </is>
      </c>
      <c r="I847" s="56" t="inlineStr">
        <is>
          <t>8406</t>
        </is>
      </c>
      <c r="J847" s="56" t="inlineStr">
        <is>
          <t>470</t>
        </is>
      </c>
      <c r="K847" s="57" t="n">
        <v>2919.255</v>
      </c>
      <c r="L847" s="56" t="inlineStr"/>
      <c r="M847" s="56" t="inlineStr">
        <is>
          <t>0</t>
        </is>
      </c>
      <c r="N847" s="56" t="inlineStr">
        <is>
          <t>Elkayem Auto Ancillaries ( P ) LTD</t>
        </is>
      </c>
      <c r="O847" s="58" t="n">
        <v>55</v>
      </c>
      <c r="P847" s="59" t="inlineStr">
        <is>
          <t>31-60</t>
        </is>
      </c>
      <c r="Q847" s="56" t="inlineStr">
        <is>
          <t>Diwakar</t>
        </is>
      </c>
      <c r="U847" s="585" t="n">
        <v>4220897</v>
      </c>
      <c r="V847" t="n">
        <v>25.4</v>
      </c>
      <c r="W847" t="n">
        <v>0</v>
      </c>
      <c r="X847" t="n">
        <v>2</v>
      </c>
      <c r="Y847" t="n">
        <v>0.5669999999999999</v>
      </c>
      <c r="Z847" t="inlineStr">
        <is>
          <t>NORMAL</t>
        </is>
      </c>
      <c r="AA847" t="inlineStr">
        <is>
          <t>FC</t>
        </is>
      </c>
      <c r="AB847" t="inlineStr">
        <is>
          <t>AW</t>
        </is>
      </c>
      <c r="AC847" t="inlineStr">
        <is>
          <t>25.4-0-2-ERW 1-FC</t>
        </is>
      </c>
      <c r="AD847" t="inlineStr">
        <is>
          <t>CTL</t>
        </is>
      </c>
      <c r="AE847" t="inlineStr">
        <is>
          <t>25.4-0-2-ERW 1-FC-0.567</t>
        </is>
      </c>
      <c r="AF847" t="n">
        <v>0.6540760044</v>
      </c>
    </row>
    <row r="848">
      <c r="A848" s="56" t="n">
        <v>3702679</v>
      </c>
      <c r="B848" s="56" t="inlineStr">
        <is>
          <t>TUB-O-N-AUT-AP-FC-48.60X3.500X6.0500</t>
        </is>
      </c>
      <c r="C848" s="56" t="inlineStr">
        <is>
          <t>4316CK3010</t>
        </is>
      </c>
      <c r="D848" s="57" t="n"/>
      <c r="E848" s="57" t="n">
        <v>2202.506</v>
      </c>
      <c r="F848" s="57" t="n">
        <v>2.202506</v>
      </c>
      <c r="G848" s="56" t="inlineStr">
        <is>
          <t>KG</t>
        </is>
      </c>
      <c r="H848" s="56" t="inlineStr">
        <is>
          <t>R001</t>
        </is>
      </c>
      <c r="I848" s="56" t="inlineStr">
        <is>
          <t>8406</t>
        </is>
      </c>
      <c r="J848" s="56" t="inlineStr">
        <is>
          <t>92</t>
        </is>
      </c>
      <c r="K848" s="57" t="n">
        <v>573.151</v>
      </c>
      <c r="L848" s="56" t="inlineStr"/>
      <c r="M848" s="56" t="inlineStr">
        <is>
          <t>0</t>
        </is>
      </c>
      <c r="N848" s="56" t="inlineStr">
        <is>
          <t>Neel Metal Products Limited</t>
        </is>
      </c>
      <c r="O848" s="58" t="n">
        <v>11</v>
      </c>
      <c r="P848" s="59" t="inlineStr">
        <is>
          <t>0-30</t>
        </is>
      </c>
      <c r="Q848" s="56" t="inlineStr">
        <is>
          <t>Apoorv</t>
        </is>
      </c>
      <c r="U848" s="585" t="n">
        <v>1531609</v>
      </c>
      <c r="V848" t="n">
        <v>25.4</v>
      </c>
      <c r="W848" t="n">
        <v>0</v>
      </c>
      <c r="X848" t="n">
        <v>2</v>
      </c>
      <c r="Y848" t="n">
        <v>0.6</v>
      </c>
      <c r="Z848" t="inlineStr"/>
      <c r="AA848" t="inlineStr">
        <is>
          <t>FC</t>
        </is>
      </c>
      <c r="AB848" t="inlineStr">
        <is>
          <t>AW</t>
        </is>
      </c>
      <c r="AC848" t="inlineStr">
        <is>
          <t>25.4-0-2-ERW 1-FC</t>
        </is>
      </c>
      <c r="AD848" t="inlineStr">
        <is>
          <t>CTL</t>
        </is>
      </c>
      <c r="AE848" t="inlineStr">
        <is>
          <t>25.4-0-2-ERW 1-FC-0.6</t>
        </is>
      </c>
      <c r="AF848" t="n">
        <v>0.69214392</v>
      </c>
    </row>
    <row r="849">
      <c r="A849" s="56" t="n">
        <v>3702679</v>
      </c>
      <c r="B849" s="56" t="inlineStr">
        <is>
          <t>TUB-O-N-AUT-AP-FC-48.60X3.500X6.0500</t>
        </is>
      </c>
      <c r="C849" s="56" t="inlineStr">
        <is>
          <t>4317AK3010</t>
        </is>
      </c>
      <c r="D849" s="57" t="n"/>
      <c r="E849" s="57" t="n">
        <v>354.494</v>
      </c>
      <c r="F849" s="57" t="n">
        <v>0.354494</v>
      </c>
      <c r="G849" s="56" t="inlineStr">
        <is>
          <t>KG</t>
        </is>
      </c>
      <c r="H849" s="56" t="inlineStr">
        <is>
          <t>R001</t>
        </is>
      </c>
      <c r="I849" s="56" t="inlineStr">
        <is>
          <t>8406</t>
        </is>
      </c>
      <c r="J849" s="56" t="inlineStr">
        <is>
          <t>15</t>
        </is>
      </c>
      <c r="K849" s="57" t="n">
        <v>92.249</v>
      </c>
      <c r="L849" s="56" t="inlineStr"/>
      <c r="M849" s="56" t="inlineStr">
        <is>
          <t>0</t>
        </is>
      </c>
      <c r="N849" s="56" t="inlineStr">
        <is>
          <t>Neel Metal Products Limited</t>
        </is>
      </c>
      <c r="O849" s="58" t="n">
        <v>11</v>
      </c>
      <c r="P849" s="59" t="inlineStr">
        <is>
          <t>0-30</t>
        </is>
      </c>
      <c r="Q849" s="56" t="inlineStr">
        <is>
          <t>Apoorv</t>
        </is>
      </c>
      <c r="U849" t="n">
        <v>3784370</v>
      </c>
      <c r="V849" t="n">
        <v>25.4</v>
      </c>
      <c r="W849" t="n">
        <v>0</v>
      </c>
      <c r="X849" t="n">
        <v>2</v>
      </c>
      <c r="Y849" t="n">
        <v>0.6</v>
      </c>
      <c r="Z849" t="inlineStr">
        <is>
          <t>NORMAL</t>
        </is>
      </c>
      <c r="AA849" t="inlineStr">
        <is>
          <t>FC</t>
        </is>
      </c>
      <c r="AB849" t="inlineStr">
        <is>
          <t>AW</t>
        </is>
      </c>
      <c r="AC849" t="inlineStr">
        <is>
          <t>25.4-0-2-ERW 1-FC</t>
        </is>
      </c>
      <c r="AD849" t="inlineStr">
        <is>
          <t>CTL</t>
        </is>
      </c>
      <c r="AE849" t="inlineStr">
        <is>
          <t>25.4-0-2-ERW 1-FC-0.6</t>
        </is>
      </c>
      <c r="AF849" t="n">
        <v>0.69214392</v>
      </c>
    </row>
    <row r="850">
      <c r="A850" s="56" t="n">
        <v>3702717</v>
      </c>
      <c r="B850" s="56" t="inlineStr">
        <is>
          <t>TUB-O-N-AUT-AP-PE-22.20X2.600X5.0000</t>
        </is>
      </c>
      <c r="C850" s="56" t="inlineStr">
        <is>
          <t>4B14BK1030</t>
        </is>
      </c>
      <c r="D850" s="57" t="n"/>
      <c r="E850" s="57" t="n">
        <v>347.852</v>
      </c>
      <c r="F850" s="57" t="n">
        <v>0.347852</v>
      </c>
      <c r="G850" s="56" t="inlineStr">
        <is>
          <t>KG</t>
        </is>
      </c>
      <c r="H850" s="56" t="inlineStr">
        <is>
          <t>R001</t>
        </is>
      </c>
      <c r="I850" s="56" t="inlineStr">
        <is>
          <t>8406</t>
        </is>
      </c>
      <c r="J850" s="56" t="inlineStr">
        <is>
          <t>463</t>
        </is>
      </c>
      <c r="K850" s="57" t="n">
        <v>276.688</v>
      </c>
      <c r="L850" s="56" t="inlineStr"/>
      <c r="M850" s="56" t="inlineStr">
        <is>
          <t>0</t>
        </is>
      </c>
      <c r="N850" s="56" t="inlineStr">
        <is>
          <t>FREE STOCK</t>
        </is>
      </c>
      <c r="O850" s="58" t="n">
        <v>11</v>
      </c>
      <c r="P850" s="59" t="inlineStr">
        <is>
          <t>0-30</t>
        </is>
      </c>
      <c r="Q850" s="56" t="inlineStr">
        <is>
          <t>Free Stock</t>
        </is>
      </c>
      <c r="U850" s="585" t="n">
        <v>1190412</v>
      </c>
      <c r="V850" t="n">
        <v>25.4</v>
      </c>
      <c r="W850" t="n">
        <v>0</v>
      </c>
      <c r="X850" t="n">
        <v>2</v>
      </c>
      <c r="Y850" t="n">
        <v>0.657</v>
      </c>
      <c r="Z850" t="inlineStr"/>
      <c r="AA850" t="inlineStr">
        <is>
          <t>PE</t>
        </is>
      </c>
      <c r="AB850" t="inlineStr">
        <is>
          <t>AW</t>
        </is>
      </c>
      <c r="AC850" t="inlineStr">
        <is>
          <t>25.4-0-2-ERW 1-PE</t>
        </is>
      </c>
      <c r="AD850" t="inlineStr">
        <is>
          <t>CTL</t>
        </is>
      </c>
      <c r="AE850" t="inlineStr">
        <is>
          <t>25.4-0-2-ERW 1-PE-0.657</t>
        </is>
      </c>
      <c r="AF850" t="n">
        <v>0.7578975924000001</v>
      </c>
    </row>
    <row r="851">
      <c r="A851" s="56" t="n">
        <v>3702820</v>
      </c>
      <c r="B851" s="56" t="inlineStr">
        <is>
          <t>TUB-O-N-AUT-AN-PE-22.23X2.000X6.2500</t>
        </is>
      </c>
      <c r="C851" s="56" t="inlineStr">
        <is>
          <t>4530H16531</t>
        </is>
      </c>
      <c r="D851" s="57" t="n"/>
      <c r="E851" s="58" t="n">
        <v>477</v>
      </c>
      <c r="F851" s="57" t="n">
        <v>0.477</v>
      </c>
      <c r="G851" s="56" t="inlineStr">
        <is>
          <t>KG</t>
        </is>
      </c>
      <c r="H851" s="56" t="inlineStr">
        <is>
          <t>R001</t>
        </is>
      </c>
      <c r="I851" s="56" t="inlineStr">
        <is>
          <t>8406</t>
        </is>
      </c>
      <c r="J851" s="56" t="inlineStr">
        <is>
          <t>76</t>
        </is>
      </c>
      <c r="K851" s="57" t="n">
        <v>488.93</v>
      </c>
      <c r="L851" s="56" t="inlineStr"/>
      <c r="M851" s="56" t="inlineStr">
        <is>
          <t>0</t>
        </is>
      </c>
      <c r="N851" s="56" t="inlineStr">
        <is>
          <t>SANDHAR ENGINEERING PVT LTD.(KA) -U</t>
        </is>
      </c>
      <c r="O851" s="58" t="n">
        <v>6</v>
      </c>
      <c r="P851" s="59" t="inlineStr">
        <is>
          <t>0-30</t>
        </is>
      </c>
      <c r="Q851" s="56" t="inlineStr">
        <is>
          <t>Jitendra Kumar Sharma</t>
        </is>
      </c>
      <c r="U851" s="585" t="n">
        <v>2420715</v>
      </c>
      <c r="V851" t="n">
        <v>25.4</v>
      </c>
      <c r="W851" t="n">
        <v>0</v>
      </c>
      <c r="X851" t="n">
        <v>2</v>
      </c>
      <c r="Y851" t="n">
        <v>0.825</v>
      </c>
      <c r="Z851" t="inlineStr">
        <is>
          <t>GR1</t>
        </is>
      </c>
      <c r="AA851" t="inlineStr">
        <is>
          <t>FC</t>
        </is>
      </c>
      <c r="AB851" t="inlineStr">
        <is>
          <t>AW</t>
        </is>
      </c>
      <c r="AC851" t="inlineStr">
        <is>
          <t>25.4-0-2-ERW 1-FC</t>
        </is>
      </c>
      <c r="AD851" t="inlineStr">
        <is>
          <t>CTL</t>
        </is>
      </c>
      <c r="AE851" t="inlineStr">
        <is>
          <t>25.4-0-2-ERW 1-FC-0.825</t>
        </is>
      </c>
      <c r="AF851" t="n">
        <v>0.95169789</v>
      </c>
    </row>
    <row r="852">
      <c r="A852" s="56" t="n">
        <v>3702820</v>
      </c>
      <c r="B852" s="56" t="inlineStr">
        <is>
          <t>TUB-O-N-AUT-AN-PE-22.23X2.000X6.2500</t>
        </is>
      </c>
      <c r="C852" s="56" t="inlineStr">
        <is>
          <t>4B02AK1030</t>
        </is>
      </c>
      <c r="D852" s="57" t="n"/>
      <c r="E852" s="58" t="n">
        <v>78</v>
      </c>
      <c r="F852" s="57" t="n">
        <v>0.078</v>
      </c>
      <c r="G852" s="56" t="inlineStr">
        <is>
          <t>KG</t>
        </is>
      </c>
      <c r="H852" s="56" t="inlineStr">
        <is>
          <t>R001</t>
        </is>
      </c>
      <c r="I852" s="56" t="inlineStr">
        <is>
          <t>8406</t>
        </is>
      </c>
      <c r="J852" s="56" t="inlineStr">
        <is>
          <t>192</t>
        </is>
      </c>
      <c r="K852" s="57" t="n">
        <v>79.95099999999999</v>
      </c>
      <c r="L852" s="56" t="inlineStr"/>
      <c r="M852" s="56" t="inlineStr">
        <is>
          <t>0</t>
        </is>
      </c>
      <c r="N852" s="56" t="inlineStr">
        <is>
          <t>SANDHAR ENGINEERING PVT LTD.(KA) -U</t>
        </is>
      </c>
      <c r="O852" s="58" t="n">
        <v>51</v>
      </c>
      <c r="P852" s="59" t="inlineStr">
        <is>
          <t>31-60</t>
        </is>
      </c>
      <c r="Q852" s="56" t="inlineStr">
        <is>
          <t>Jitendra Kumar Sharma</t>
        </is>
      </c>
      <c r="U852" t="n">
        <v>3500404</v>
      </c>
      <c r="V852" t="n">
        <v>25.4</v>
      </c>
      <c r="W852" t="n">
        <v>0</v>
      </c>
      <c r="X852" t="n">
        <v>2</v>
      </c>
      <c r="Y852" t="n">
        <v>5</v>
      </c>
      <c r="Z852" t="inlineStr"/>
      <c r="AA852" t="inlineStr">
        <is>
          <t>FC</t>
        </is>
      </c>
      <c r="AB852" t="inlineStr">
        <is>
          <t>AW</t>
        </is>
      </c>
      <c r="AC852" t="inlineStr">
        <is>
          <t>25.4-0-2-ERW 1-FC</t>
        </is>
      </c>
      <c r="AD852" t="inlineStr">
        <is>
          <t>LL</t>
        </is>
      </c>
      <c r="AE852" t="inlineStr">
        <is>
          <t>25.4-0-2-ERW 1-FC-1</t>
        </is>
      </c>
      <c r="AF852" t="n">
        <v>1.1535732</v>
      </c>
    </row>
    <row r="853">
      <c r="A853" s="56" t="n">
        <v>3702820</v>
      </c>
      <c r="B853" s="56" t="inlineStr">
        <is>
          <t>TUB-O-N-AUT-AN-PE-22.23X2.000X6.2500</t>
        </is>
      </c>
      <c r="C853" s="56" t="inlineStr">
        <is>
          <t>4B02AK1040</t>
        </is>
      </c>
      <c r="D853" s="57" t="n"/>
      <c r="E853" s="58" t="n">
        <v>651</v>
      </c>
      <c r="F853" s="57" t="n">
        <v>0.651</v>
      </c>
      <c r="G853" s="56" t="inlineStr">
        <is>
          <t>KG</t>
        </is>
      </c>
      <c r="H853" s="56" t="inlineStr">
        <is>
          <t>R001</t>
        </is>
      </c>
      <c r="I853" s="56" t="inlineStr">
        <is>
          <t>8406</t>
        </is>
      </c>
      <c r="J853" s="56" t="inlineStr">
        <is>
          <t>197</t>
        </is>
      </c>
      <c r="K853" s="57" t="n">
        <v>667.282</v>
      </c>
      <c r="L853" s="56" t="inlineStr"/>
      <c r="M853" s="56" t="inlineStr">
        <is>
          <t>0</t>
        </is>
      </c>
      <c r="N853" s="56" t="inlineStr">
        <is>
          <t>SANDHAR ENGINEERING PVT LTD.(KA) -U</t>
        </is>
      </c>
      <c r="O853" s="58" t="n">
        <v>51</v>
      </c>
      <c r="P853" s="59" t="inlineStr">
        <is>
          <t>31-60</t>
        </is>
      </c>
      <c r="Q853" s="56" t="inlineStr">
        <is>
          <t>Jitendra Kumar Sharma</t>
        </is>
      </c>
      <c r="U853" s="586" t="n">
        <v>111002135</v>
      </c>
      <c r="V853" t="n">
        <v>25.4</v>
      </c>
      <c r="W853" t="n">
        <v>0</v>
      </c>
      <c r="X853" t="n">
        <v>2</v>
      </c>
      <c r="Y853" t="n">
        <v>5.74</v>
      </c>
      <c r="Z853" t="inlineStr">
        <is>
          <t>HROP</t>
        </is>
      </c>
      <c r="AA853" t="inlineStr">
        <is>
          <t>FC</t>
        </is>
      </c>
      <c r="AB853" t="inlineStr">
        <is>
          <t>AW</t>
        </is>
      </c>
      <c r="AC853" t="inlineStr">
        <is>
          <t>25.4-0-2-ERW 1-FC</t>
        </is>
      </c>
      <c r="AD853" t="inlineStr">
        <is>
          <t>LL</t>
        </is>
      </c>
      <c r="AE853" t="inlineStr">
        <is>
          <t>25.4-0-2-ERW 1-FC-1</t>
        </is>
      </c>
      <c r="AF853" t="n">
        <v>1.1535732</v>
      </c>
    </row>
    <row r="854">
      <c r="A854" s="56" t="n">
        <v>3746291</v>
      </c>
      <c r="B854" s="56" t="inlineStr">
        <is>
          <t>CUT-O-N-AUT-BH-FC-63.50X4.000X0.2340</t>
        </is>
      </c>
      <c r="C854" s="56" t="inlineStr">
        <is>
          <t>4724BK4020</t>
        </is>
      </c>
      <c r="D854" s="57" t="n"/>
      <c r="E854" s="57" t="n">
        <v>389.58</v>
      </c>
      <c r="F854" s="57" t="n">
        <v>0.38958</v>
      </c>
      <c r="G854" s="56" t="inlineStr">
        <is>
          <t>KG</t>
        </is>
      </c>
      <c r="H854" s="56" t="inlineStr">
        <is>
          <t>R001</t>
        </is>
      </c>
      <c r="I854" s="56" t="inlineStr">
        <is>
          <t>8406</t>
        </is>
      </c>
      <c r="J854" s="56" t="inlineStr">
        <is>
          <t>23</t>
        </is>
      </c>
      <c r="K854" s="57" t="n">
        <v>67.962</v>
      </c>
      <c r="L854" s="56" t="inlineStr"/>
      <c r="M854" s="56" t="inlineStr">
        <is>
          <t>0</t>
        </is>
      </c>
      <c r="N854" s="56" t="inlineStr">
        <is>
          <t>Neel Metal Products Limited</t>
        </is>
      </c>
      <c r="O854" s="58" t="n">
        <v>13</v>
      </c>
      <c r="P854" s="59" t="inlineStr">
        <is>
          <t>0-30</t>
        </is>
      </c>
      <c r="Q854" s="56" t="inlineStr">
        <is>
          <t>Apoorv</t>
        </is>
      </c>
      <c r="U854" s="586" t="n">
        <v>111001243</v>
      </c>
      <c r="V854" t="n">
        <v>25.4</v>
      </c>
      <c r="W854" t="n">
        <v>0</v>
      </c>
      <c r="X854" t="n">
        <v>2</v>
      </c>
      <c r="Y854" t="n">
        <v>5.8</v>
      </c>
      <c r="Z854" t="inlineStr">
        <is>
          <t>HROP</t>
        </is>
      </c>
      <c r="AA854" t="inlineStr">
        <is>
          <t>FC</t>
        </is>
      </c>
      <c r="AB854" t="inlineStr">
        <is>
          <t>AW</t>
        </is>
      </c>
      <c r="AC854" t="inlineStr">
        <is>
          <t>25.4-0-2-ERW 1-FC</t>
        </is>
      </c>
      <c r="AD854" t="inlineStr">
        <is>
          <t>LL</t>
        </is>
      </c>
      <c r="AE854" t="inlineStr">
        <is>
          <t>25.4-0-2-ERW 1-FC-1</t>
        </is>
      </c>
      <c r="AF854" t="n">
        <v>1.1535732</v>
      </c>
    </row>
    <row r="855">
      <c r="A855" s="56" t="n">
        <v>3768907</v>
      </c>
      <c r="B855" s="56" t="inlineStr">
        <is>
          <t>CUT-O-N-AUT-AW-FC-41.28X3.200X0.2460</t>
        </is>
      </c>
      <c r="C855" s="56" t="inlineStr">
        <is>
          <t>4A20C40090</t>
        </is>
      </c>
      <c r="D855" s="57" t="n"/>
      <c r="E855" s="57" t="n">
        <v>204.474</v>
      </c>
      <c r="F855" s="57" t="n">
        <v>0.204474</v>
      </c>
      <c r="G855" s="56" t="inlineStr">
        <is>
          <t>KG</t>
        </is>
      </c>
      <c r="H855" s="56" t="inlineStr">
        <is>
          <t>R001</t>
        </is>
      </c>
      <c r="I855" s="56" t="inlineStr">
        <is>
          <t>8406</t>
        </is>
      </c>
      <c r="J855" s="56" t="inlineStr"/>
      <c r="K855" s="57" t="n">
        <v>68.017</v>
      </c>
      <c r="L855" s="56" t="inlineStr"/>
      <c r="M855" s="56" t="inlineStr">
        <is>
          <t>0</t>
        </is>
      </c>
      <c r="N855" s="56" t="inlineStr">
        <is>
          <t>Metalman Auto Private Limited</t>
        </is>
      </c>
      <c r="O855" s="58" t="n">
        <v>34</v>
      </c>
      <c r="P855" s="59" t="inlineStr">
        <is>
          <t>31-60</t>
        </is>
      </c>
      <c r="Q855" s="56" t="inlineStr">
        <is>
          <t>Jitendra Kumar Sharma</t>
        </is>
      </c>
      <c r="U855" s="585" t="n">
        <v>3667329</v>
      </c>
      <c r="V855" t="n">
        <v>25.4</v>
      </c>
      <c r="W855" t="n">
        <v>0</v>
      </c>
      <c r="X855" t="n">
        <v>2</v>
      </c>
      <c r="Y855" t="n">
        <v>5.84</v>
      </c>
      <c r="Z855" t="inlineStr"/>
      <c r="AA855" t="inlineStr">
        <is>
          <t>PE</t>
        </is>
      </c>
      <c r="AB855" t="inlineStr">
        <is>
          <t>AW</t>
        </is>
      </c>
      <c r="AC855" t="inlineStr">
        <is>
          <t>25.4-0-2-ERW 1-PE</t>
        </is>
      </c>
      <c r="AD855" t="inlineStr">
        <is>
          <t>LL</t>
        </is>
      </c>
      <c r="AE855" t="inlineStr">
        <is>
          <t>25.4-0-2-ERW 1-PE-1</t>
        </is>
      </c>
      <c r="AF855" t="n">
        <v>1.1535732</v>
      </c>
    </row>
    <row r="856">
      <c r="A856" s="56" t="n">
        <v>3770394</v>
      </c>
      <c r="B856" s="56" t="inlineStr">
        <is>
          <t>TUB-O-C-AUT-AD-FC-29.40X4.500X5.5500</t>
        </is>
      </c>
      <c r="C856" s="56" t="inlineStr">
        <is>
          <t>4818AK3020</t>
        </is>
      </c>
      <c r="D856" s="57" t="n"/>
      <c r="E856" s="57" t="n">
        <v>1892.613</v>
      </c>
      <c r="F856" s="57" t="n">
        <v>1.892613</v>
      </c>
      <c r="G856" s="56" t="inlineStr">
        <is>
          <t>KG</t>
        </is>
      </c>
      <c r="H856" s="56" t="inlineStr">
        <is>
          <t>R001</t>
        </is>
      </c>
      <c r="I856" s="56" t="inlineStr">
        <is>
          <t>8406</t>
        </is>
      </c>
      <c r="J856" s="56" t="inlineStr">
        <is>
          <t>123</t>
        </is>
      </c>
      <c r="K856" s="57" t="n">
        <v>684.663</v>
      </c>
      <c r="L856" s="56" t="inlineStr"/>
      <c r="M856" s="56" t="inlineStr">
        <is>
          <t>0</t>
        </is>
      </c>
      <c r="N856" s="56" t="inlineStr">
        <is>
          <t>Narasipur Auto Component(P)Ltd</t>
        </is>
      </c>
      <c r="O856" s="58" t="n">
        <v>28</v>
      </c>
      <c r="P856" s="59" t="inlineStr">
        <is>
          <t>0-30</t>
        </is>
      </c>
      <c r="Q856" s="56" t="inlineStr">
        <is>
          <t>Jitendra Kumar Sharma</t>
        </is>
      </c>
      <c r="U856" s="585" t="n">
        <v>3673890</v>
      </c>
      <c r="V856" t="n">
        <v>25.4</v>
      </c>
      <c r="W856" t="n">
        <v>0</v>
      </c>
      <c r="X856" t="n">
        <v>2</v>
      </c>
      <c r="Y856" t="n">
        <v>5.84</v>
      </c>
      <c r="Z856" t="inlineStr"/>
      <c r="AA856" t="inlineStr">
        <is>
          <t>PE</t>
        </is>
      </c>
      <c r="AB856" t="inlineStr">
        <is>
          <t>AW</t>
        </is>
      </c>
      <c r="AC856" t="inlineStr">
        <is>
          <t>25.4-0-2-ERW 1-PE</t>
        </is>
      </c>
      <c r="AD856" t="inlineStr">
        <is>
          <t>LL</t>
        </is>
      </c>
      <c r="AE856" t="inlineStr">
        <is>
          <t>25.4-0-2-ERW 1-PE-1</t>
        </is>
      </c>
      <c r="AF856" t="n">
        <v>1.1535732</v>
      </c>
    </row>
    <row r="857">
      <c r="A857" s="56" t="n">
        <v>3770394</v>
      </c>
      <c r="B857" s="56" t="inlineStr">
        <is>
          <t>TUB-O-C-AUT-AD-FC-29.40X4.500X5.5500</t>
        </is>
      </c>
      <c r="C857" s="56" t="inlineStr">
        <is>
          <t>4818AK3030</t>
        </is>
      </c>
      <c r="D857" s="57" t="n"/>
      <c r="E857" s="58" t="n">
        <v>200</v>
      </c>
      <c r="F857" s="57" t="n">
        <v>0.2</v>
      </c>
      <c r="G857" s="56" t="inlineStr">
        <is>
          <t>KG</t>
        </is>
      </c>
      <c r="H857" s="56" t="inlineStr">
        <is>
          <t>R001</t>
        </is>
      </c>
      <c r="I857" s="56" t="inlineStr">
        <is>
          <t>8406</t>
        </is>
      </c>
      <c r="J857" s="56" t="inlineStr">
        <is>
          <t>129</t>
        </is>
      </c>
      <c r="K857" s="57" t="n">
        <v>72.351</v>
      </c>
      <c r="L857" s="56" t="inlineStr"/>
      <c r="M857" s="56" t="inlineStr">
        <is>
          <t>0</t>
        </is>
      </c>
      <c r="N857" s="56" t="inlineStr">
        <is>
          <t>Narasipur Auto Component(P)Ltd</t>
        </is>
      </c>
      <c r="O857" s="58" t="n">
        <v>77</v>
      </c>
      <c r="P857" s="59" t="inlineStr">
        <is>
          <t>61-90</t>
        </is>
      </c>
      <c r="Q857" s="56" t="inlineStr">
        <is>
          <t>Jitendra Kumar Sharma</t>
        </is>
      </c>
      <c r="U857" s="585" t="n">
        <v>3230760</v>
      </c>
      <c r="V857" t="n">
        <v>25.4</v>
      </c>
      <c r="W857" t="n">
        <v>0</v>
      </c>
      <c r="X857" t="n">
        <v>2</v>
      </c>
      <c r="Y857" t="n">
        <v>5.84</v>
      </c>
      <c r="Z857" t="inlineStr">
        <is>
          <t>HROP</t>
        </is>
      </c>
      <c r="AA857" t="inlineStr">
        <is>
          <t>FC</t>
        </is>
      </c>
      <c r="AB857" t="inlineStr">
        <is>
          <t>AW</t>
        </is>
      </c>
      <c r="AC857" t="inlineStr">
        <is>
          <t>25.4-0-2-ERW 1-FC</t>
        </is>
      </c>
      <c r="AD857" t="inlineStr">
        <is>
          <t>LL</t>
        </is>
      </c>
      <c r="AE857" t="inlineStr">
        <is>
          <t>25.4-0-2-ERW 1-FC-1</t>
        </is>
      </c>
      <c r="AF857" t="n">
        <v>1.1535732</v>
      </c>
    </row>
    <row r="858">
      <c r="A858" s="56" t="n">
        <v>3770394</v>
      </c>
      <c r="B858" s="56" t="inlineStr">
        <is>
          <t>TUB-O-C-AUT-AD-FC-29.40X4.500X5.5500</t>
        </is>
      </c>
      <c r="C858" s="56" t="inlineStr">
        <is>
          <t>4A09BK3010</t>
        </is>
      </c>
      <c r="D858" s="57" t="n"/>
      <c r="E858" s="58" t="n">
        <v>100</v>
      </c>
      <c r="F858" s="57" t="n">
        <v>0.1</v>
      </c>
      <c r="G858" s="56" t="inlineStr">
        <is>
          <t>KG</t>
        </is>
      </c>
      <c r="H858" s="56" t="inlineStr">
        <is>
          <t>R001</t>
        </is>
      </c>
      <c r="I858" s="56" t="inlineStr">
        <is>
          <t>8406</t>
        </is>
      </c>
      <c r="J858" s="56" t="inlineStr">
        <is>
          <t>126</t>
        </is>
      </c>
      <c r="K858" s="57" t="n">
        <v>36.176</v>
      </c>
      <c r="L858" s="56" t="inlineStr"/>
      <c r="M858" s="56" t="inlineStr">
        <is>
          <t>0</t>
        </is>
      </c>
      <c r="N858" s="56" t="inlineStr">
        <is>
          <t>Narasipur Auto Component(P)Ltd</t>
        </is>
      </c>
      <c r="O858" s="58" t="n">
        <v>59</v>
      </c>
      <c r="P858" s="59" t="inlineStr">
        <is>
          <t>31-60</t>
        </is>
      </c>
      <c r="Q858" s="56" t="inlineStr">
        <is>
          <t>Jitendra Kumar Sharma</t>
        </is>
      </c>
      <c r="U858" s="585" t="n">
        <v>3230758</v>
      </c>
      <c r="V858" t="n">
        <v>25.4</v>
      </c>
      <c r="W858" t="n">
        <v>0</v>
      </c>
      <c r="X858" t="n">
        <v>2</v>
      </c>
      <c r="Y858" t="n">
        <v>5.86</v>
      </c>
      <c r="Z858" t="inlineStr">
        <is>
          <t>HROP</t>
        </is>
      </c>
      <c r="AA858" t="inlineStr">
        <is>
          <t>FC</t>
        </is>
      </c>
      <c r="AB858" t="inlineStr">
        <is>
          <t>AW</t>
        </is>
      </c>
      <c r="AC858" t="inlineStr">
        <is>
          <t>25.4-0-2-ERW 1-FC</t>
        </is>
      </c>
      <c r="AD858" t="inlineStr">
        <is>
          <t>LL</t>
        </is>
      </c>
      <c r="AE858" t="inlineStr">
        <is>
          <t>25.4-0-2-ERW 1-FC-1</t>
        </is>
      </c>
      <c r="AF858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859">
      <c r="A859" s="56" t="n">
        <v>3770394</v>
      </c>
      <c r="B859" s="56" t="inlineStr">
        <is>
          <t>TUB-O-C-AUT-AD-FC-29.40X4.500X5.5500</t>
        </is>
      </c>
      <c r="C859" s="56" t="inlineStr">
        <is>
          <t>4A09CK3030</t>
        </is>
      </c>
      <c r="D859" s="57" t="n"/>
      <c r="E859" s="58" t="n">
        <v>111</v>
      </c>
      <c r="F859" s="57" t="n">
        <v>0.111</v>
      </c>
      <c r="G859" s="56" t="inlineStr">
        <is>
          <t>KG</t>
        </is>
      </c>
      <c r="H859" s="56" t="inlineStr">
        <is>
          <t>R001</t>
        </is>
      </c>
      <c r="I859" s="56" t="inlineStr">
        <is>
          <t>8406</t>
        </is>
      </c>
      <c r="J859" s="56" t="inlineStr">
        <is>
          <t>153</t>
        </is>
      </c>
      <c r="K859" s="57" t="n">
        <v>40.155</v>
      </c>
      <c r="L859" s="56" t="inlineStr"/>
      <c r="M859" s="56" t="inlineStr">
        <is>
          <t>0</t>
        </is>
      </c>
      <c r="N859" s="56" t="inlineStr">
        <is>
          <t>Narasipur Auto Component(P)Ltd</t>
        </is>
      </c>
      <c r="O859" s="58" t="n">
        <v>59</v>
      </c>
      <c r="P859" s="59" t="inlineStr">
        <is>
          <t>31-60</t>
        </is>
      </c>
      <c r="Q859" s="56" t="inlineStr">
        <is>
          <t>Jitendra Kumar Sharma</t>
        </is>
      </c>
      <c r="U859" s="586" t="n">
        <v>111116361</v>
      </c>
      <c r="V859" t="n">
        <v>25.4</v>
      </c>
      <c r="W859" t="n">
        <v>0</v>
      </c>
      <c r="X859" t="n">
        <v>2</v>
      </c>
      <c r="Y859" t="n">
        <v>5.92</v>
      </c>
      <c r="Z859" t="inlineStr">
        <is>
          <t>HROP</t>
        </is>
      </c>
      <c r="AA859" t="inlineStr">
        <is>
          <t>FC</t>
        </is>
      </c>
      <c r="AB859" t="inlineStr">
        <is>
          <t>AW</t>
        </is>
      </c>
      <c r="AC859" t="inlineStr">
        <is>
          <t>25.4-0-2-ERW 1-FC</t>
        </is>
      </c>
      <c r="AD859" t="inlineStr">
        <is>
          <t>LL</t>
        </is>
      </c>
      <c r="AE859" t="inlineStr">
        <is>
          <t>25.4-0-2-ERW 1-FC-1</t>
        </is>
      </c>
      <c r="AF859" t="n">
        <v>1.1535732</v>
      </c>
    </row>
    <row r="860">
      <c r="A860" s="56" t="n">
        <v>3770398</v>
      </c>
      <c r="B860" s="56" t="inlineStr">
        <is>
          <t>TUB-I-C-AUT-AD-FC-25.50X2.250X5.9500</t>
        </is>
      </c>
      <c r="C860" s="56" t="inlineStr">
        <is>
          <t>4B10AK2050</t>
        </is>
      </c>
      <c r="D860" s="57" t="n"/>
      <c r="E860" s="58" t="n">
        <v>2051</v>
      </c>
      <c r="F860" s="57" t="n">
        <v>2.051</v>
      </c>
      <c r="G860" s="56" t="inlineStr">
        <is>
          <t>KG</t>
        </is>
      </c>
      <c r="H860" s="56" t="inlineStr">
        <is>
          <t>R001</t>
        </is>
      </c>
      <c r="I860" s="56" t="inlineStr">
        <is>
          <t>8406</t>
        </is>
      </c>
      <c r="J860" s="56" t="inlineStr">
        <is>
          <t>219</t>
        </is>
      </c>
      <c r="K860" s="57" t="n">
        <v>1331.559</v>
      </c>
      <c r="L860" s="56" t="inlineStr"/>
      <c r="M860" s="56" t="inlineStr">
        <is>
          <t>0</t>
        </is>
      </c>
      <c r="N860" s="56" t="inlineStr">
        <is>
          <t>Marathwada Auto Compo Pvt. Ltd.</t>
        </is>
      </c>
      <c r="O860" s="58" t="n">
        <v>3</v>
      </c>
      <c r="P860" s="59" t="inlineStr">
        <is>
          <t>0-30</t>
        </is>
      </c>
      <c r="Q860" s="56" t="inlineStr">
        <is>
          <t>Apoorv</t>
        </is>
      </c>
      <c r="U860" s="586" t="n">
        <v>111120564</v>
      </c>
      <c r="V860" t="n">
        <v>25.4</v>
      </c>
      <c r="W860" t="n">
        <v>0</v>
      </c>
      <c r="X860" t="n">
        <v>2</v>
      </c>
      <c r="Y860" t="n">
        <v>5.95</v>
      </c>
      <c r="Z860" t="inlineStr">
        <is>
          <t>NORMAL</t>
        </is>
      </c>
      <c r="AA860" t="inlineStr">
        <is>
          <t>FC</t>
        </is>
      </c>
      <c r="AB860" t="inlineStr">
        <is>
          <t>AW</t>
        </is>
      </c>
      <c r="AC860" t="inlineStr">
        <is>
          <t>25.4-0-2-ERW 1-FC</t>
        </is>
      </c>
      <c r="AD860" t="inlineStr">
        <is>
          <t>LL</t>
        </is>
      </c>
      <c r="AE860" t="inlineStr">
        <is>
          <t>25.4-0-2-ERW 1-FC-1</t>
        </is>
      </c>
      <c r="AF860" t="n">
        <v>1.1535732</v>
      </c>
    </row>
    <row r="861">
      <c r="A861" s="56" t="n">
        <v>3770398</v>
      </c>
      <c r="B861" s="56" t="inlineStr">
        <is>
          <t>TUB-I-C-AUT-AD-FC-25.50X2.250X5.9500</t>
        </is>
      </c>
      <c r="C861" s="56" t="inlineStr">
        <is>
          <t>4B10CK2050</t>
        </is>
      </c>
      <c r="D861" s="57" t="n"/>
      <c r="E861" s="58" t="n">
        <v>1968</v>
      </c>
      <c r="F861" s="57" t="n">
        <v>1.968</v>
      </c>
      <c r="G861" s="56" t="inlineStr">
        <is>
          <t>KG</t>
        </is>
      </c>
      <c r="H861" s="56" t="inlineStr">
        <is>
          <t>R001</t>
        </is>
      </c>
      <c r="I861" s="56" t="inlineStr">
        <is>
          <t>8406</t>
        </is>
      </c>
      <c r="J861" s="56" t="inlineStr">
        <is>
          <t>210</t>
        </is>
      </c>
      <c r="K861" s="57" t="n">
        <v>1277.673</v>
      </c>
      <c r="L861" s="56" t="inlineStr"/>
      <c r="M861" s="56" t="inlineStr">
        <is>
          <t>0</t>
        </is>
      </c>
      <c r="N861" s="56" t="inlineStr">
        <is>
          <t>Marathwada Auto Compo Pvt. Ltd.</t>
        </is>
      </c>
      <c r="O861" s="58" t="n">
        <v>3</v>
      </c>
      <c r="P861" s="59" t="inlineStr">
        <is>
          <t>0-30</t>
        </is>
      </c>
      <c r="Q861" s="56" t="inlineStr">
        <is>
          <t>Apoorv</t>
        </is>
      </c>
      <c r="U861" s="585" t="n">
        <v>3500096</v>
      </c>
      <c r="V861" t="n">
        <v>25.4</v>
      </c>
      <c r="W861" t="n">
        <v>0</v>
      </c>
      <c r="X861" t="n">
        <v>2</v>
      </c>
      <c r="Y861" t="n">
        <v>6</v>
      </c>
      <c r="Z861" t="inlineStr">
        <is>
          <t>TPT</t>
        </is>
      </c>
      <c r="AA861" t="inlineStr">
        <is>
          <t>PE</t>
        </is>
      </c>
      <c r="AB861" t="inlineStr">
        <is>
          <t>AW</t>
        </is>
      </c>
      <c r="AC861" t="inlineStr">
        <is>
          <t>25.4-0-2-ERW 1-PE</t>
        </is>
      </c>
      <c r="AD861" t="inlineStr">
        <is>
          <t>LL</t>
        </is>
      </c>
      <c r="AE861" t="inlineStr">
        <is>
          <t>25.4-0-2-ERW 1-PE-1</t>
        </is>
      </c>
      <c r="AF861" t="n">
        <v>1.1535732</v>
      </c>
    </row>
    <row r="862">
      <c r="A862" s="56" t="n">
        <v>3770398</v>
      </c>
      <c r="B862" s="56" t="inlineStr">
        <is>
          <t>TUB-I-C-AUT-AD-FC-25.50X2.250X5.9500</t>
        </is>
      </c>
      <c r="C862" s="56" t="inlineStr">
        <is>
          <t>4B10CK2060</t>
        </is>
      </c>
      <c r="D862" s="57" t="n"/>
      <c r="E862" s="58" t="n">
        <v>2014</v>
      </c>
      <c r="F862" s="57" t="n">
        <v>2.014</v>
      </c>
      <c r="G862" s="56" t="inlineStr">
        <is>
          <t>KG</t>
        </is>
      </c>
      <c r="H862" s="56" t="inlineStr">
        <is>
          <t>R001</t>
        </is>
      </c>
      <c r="I862" s="56" t="inlineStr">
        <is>
          <t>8406</t>
        </is>
      </c>
      <c r="J862" s="56" t="inlineStr">
        <is>
          <t>215</t>
        </is>
      </c>
      <c r="K862" s="57" t="n">
        <v>1307.537</v>
      </c>
      <c r="L862" s="56" t="inlineStr"/>
      <c r="M862" s="56" t="inlineStr">
        <is>
          <t>0</t>
        </is>
      </c>
      <c r="N862" s="56" t="inlineStr">
        <is>
          <t>Marathwada Auto Compo Pvt. Ltd.</t>
        </is>
      </c>
      <c r="O862" s="58" t="n">
        <v>3</v>
      </c>
      <c r="P862" s="59" t="inlineStr">
        <is>
          <t>0-30</t>
        </is>
      </c>
      <c r="Q862" s="56" t="inlineStr">
        <is>
          <t>Apoorv</t>
        </is>
      </c>
      <c r="U862" s="585" t="n">
        <v>2385290</v>
      </c>
      <c r="V862" t="n">
        <v>25.4</v>
      </c>
      <c r="W862" t="n">
        <v>0</v>
      </c>
      <c r="X862" t="n">
        <v>2</v>
      </c>
      <c r="Y862" t="n">
        <v>6</v>
      </c>
      <c r="Z862" t="inlineStr">
        <is>
          <t>HROP</t>
        </is>
      </c>
      <c r="AA862" t="inlineStr">
        <is>
          <t>FC</t>
        </is>
      </c>
      <c r="AB862" t="inlineStr">
        <is>
          <t>AW</t>
        </is>
      </c>
      <c r="AC862" t="inlineStr">
        <is>
          <t>25.4-0-2-ERW 1-FC</t>
        </is>
      </c>
      <c r="AD862" t="inlineStr">
        <is>
          <t>LL</t>
        </is>
      </c>
      <c r="AE862" t="inlineStr">
        <is>
          <t>25.4-0-2-ERW 1-FC-1</t>
        </is>
      </c>
      <c r="AF862" t="n">
        <v>1.1535732</v>
      </c>
    </row>
    <row r="863">
      <c r="A863" s="56" t="n">
        <v>3770398</v>
      </c>
      <c r="B863" s="56" t="inlineStr">
        <is>
          <t>TUB-I-C-AUT-AD-FC-25.50X2.250X5.9500</t>
        </is>
      </c>
      <c r="C863" s="56" t="inlineStr">
        <is>
          <t>4B10CK2070</t>
        </is>
      </c>
      <c r="D863" s="57" t="n"/>
      <c r="E863" s="58" t="n">
        <v>2083</v>
      </c>
      <c r="F863" s="57" t="n">
        <v>2.083</v>
      </c>
      <c r="G863" s="56" t="inlineStr">
        <is>
          <t>KG</t>
        </is>
      </c>
      <c r="H863" s="56" t="inlineStr">
        <is>
          <t>R001</t>
        </is>
      </c>
      <c r="I863" s="56" t="inlineStr">
        <is>
          <t>8406</t>
        </is>
      </c>
      <c r="J863" s="56" t="inlineStr">
        <is>
          <t>222</t>
        </is>
      </c>
      <c r="K863" s="57" t="n">
        <v>1352.334</v>
      </c>
      <c r="L863" s="56" t="inlineStr"/>
      <c r="M863" s="56" t="inlineStr">
        <is>
          <t>0</t>
        </is>
      </c>
      <c r="N863" s="56" t="inlineStr">
        <is>
          <t>Marathwada Auto Compo Pvt. Ltd.</t>
        </is>
      </c>
      <c r="O863" s="58" t="n">
        <v>3</v>
      </c>
      <c r="P863" s="59" t="inlineStr">
        <is>
          <t>0-30</t>
        </is>
      </c>
      <c r="Q863" s="56" t="inlineStr">
        <is>
          <t>Apoorv</t>
        </is>
      </c>
      <c r="U863" t="n">
        <v>3515482</v>
      </c>
      <c r="V863" t="n">
        <v>25.4</v>
      </c>
      <c r="W863" t="n">
        <v>0</v>
      </c>
      <c r="X863" t="n">
        <v>2</v>
      </c>
      <c r="Y863" t="n">
        <v>6</v>
      </c>
      <c r="Z863" t="inlineStr">
        <is>
          <t>HROP</t>
        </is>
      </c>
      <c r="AA863" t="inlineStr">
        <is>
          <t>FC</t>
        </is>
      </c>
      <c r="AB863" t="inlineStr">
        <is>
          <t>AP</t>
        </is>
      </c>
      <c r="AC863" t="inlineStr">
        <is>
          <t>25.4-0-2-ERW 1-FC</t>
        </is>
      </c>
      <c r="AD863" t="inlineStr">
        <is>
          <t>LL</t>
        </is>
      </c>
      <c r="AE863" t="inlineStr">
        <is>
          <t>25.4-0-2-ERW 1-FC-1</t>
        </is>
      </c>
      <c r="AF863" t="n">
        <v>1.1535732</v>
      </c>
    </row>
    <row r="864">
      <c r="A864" s="56" t="n">
        <v>3770398</v>
      </c>
      <c r="B864" s="56" t="inlineStr">
        <is>
          <t>TUB-I-C-AUT-AD-FC-25.50X2.250X5.9500</t>
        </is>
      </c>
      <c r="C864" s="56" t="inlineStr">
        <is>
          <t>4B10CK2090</t>
        </is>
      </c>
      <c r="D864" s="57" t="n"/>
      <c r="E864" s="58" t="n">
        <v>1968</v>
      </c>
      <c r="F864" s="57" t="n">
        <v>1.968</v>
      </c>
      <c r="G864" s="56" t="inlineStr">
        <is>
          <t>KG</t>
        </is>
      </c>
      <c r="H864" s="56" t="inlineStr">
        <is>
          <t>R001</t>
        </is>
      </c>
      <c r="I864" s="56" t="inlineStr">
        <is>
          <t>8406</t>
        </is>
      </c>
      <c r="J864" s="56" t="inlineStr">
        <is>
          <t>210</t>
        </is>
      </c>
      <c r="K864" s="57" t="n">
        <v>1277.673</v>
      </c>
      <c r="L864" s="56" t="inlineStr"/>
      <c r="M864" s="56" t="inlineStr">
        <is>
          <t>0</t>
        </is>
      </c>
      <c r="N864" s="56" t="inlineStr">
        <is>
          <t>Marathwada Auto Compo Pvt. Ltd.</t>
        </is>
      </c>
      <c r="O864" s="58" t="n">
        <v>3</v>
      </c>
      <c r="P864" s="59" t="inlineStr">
        <is>
          <t>0-30</t>
        </is>
      </c>
      <c r="Q864" s="56" t="inlineStr">
        <is>
          <t>Apoorv</t>
        </is>
      </c>
      <c r="U864" s="585" t="n">
        <v>3702196</v>
      </c>
      <c r="V864" t="n">
        <v>25.4</v>
      </c>
      <c r="W864" t="n">
        <v>0</v>
      </c>
      <c r="X864" t="n">
        <v>2</v>
      </c>
      <c r="Y864" t="n">
        <v>6</v>
      </c>
      <c r="Z864" t="inlineStr">
        <is>
          <t>WG</t>
        </is>
      </c>
      <c r="AA864" t="inlineStr">
        <is>
          <t>PE</t>
        </is>
      </c>
      <c r="AB864" t="inlineStr">
        <is>
          <t>AW</t>
        </is>
      </c>
      <c r="AC864" t="inlineStr">
        <is>
          <t>25.4-0-2-ERW 1-PE</t>
        </is>
      </c>
      <c r="AD864" t="inlineStr">
        <is>
          <t>LL</t>
        </is>
      </c>
      <c r="AE864" t="inlineStr">
        <is>
          <t>25.4-0-2-ERW 1-PE-1</t>
        </is>
      </c>
      <c r="AF864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865">
      <c r="A865" s="56" t="n">
        <v>3770398</v>
      </c>
      <c r="B865" s="56" t="inlineStr">
        <is>
          <t>TUB-I-C-AUT-AD-FC-25.50X2.250X5.9500</t>
        </is>
      </c>
      <c r="C865" s="56" t="inlineStr">
        <is>
          <t>4B10CK2100</t>
        </is>
      </c>
      <c r="D865" s="57" t="n"/>
      <c r="E865" s="58" t="n">
        <v>1986</v>
      </c>
      <c r="F865" s="57" t="n">
        <v>1.986</v>
      </c>
      <c r="G865" s="56" t="inlineStr">
        <is>
          <t>KG</t>
        </is>
      </c>
      <c r="H865" s="56" t="inlineStr">
        <is>
          <t>R001</t>
        </is>
      </c>
      <c r="I865" s="56" t="inlineStr">
        <is>
          <t>8406</t>
        </is>
      </c>
      <c r="J865" s="56" t="inlineStr">
        <is>
          <t>212</t>
        </is>
      </c>
      <c r="K865" s="57" t="n">
        <v>1289.359</v>
      </c>
      <c r="L865" s="56" t="inlineStr"/>
      <c r="M865" s="56" t="inlineStr">
        <is>
          <t>0</t>
        </is>
      </c>
      <c r="N865" s="56" t="inlineStr">
        <is>
          <t>Marathwada Auto Compo Pvt. Ltd.</t>
        </is>
      </c>
      <c r="O865" s="58" t="n">
        <v>3</v>
      </c>
      <c r="P865" s="59" t="inlineStr">
        <is>
          <t>0-30</t>
        </is>
      </c>
      <c r="Q865" s="56" t="inlineStr">
        <is>
          <t>Apoorv</t>
        </is>
      </c>
      <c r="U865" s="585" t="n">
        <v>3230755</v>
      </c>
      <c r="V865" t="n">
        <v>25.4</v>
      </c>
      <c r="W865" t="n">
        <v>0</v>
      </c>
      <c r="X865" t="n">
        <v>2</v>
      </c>
      <c r="Y865" t="n">
        <v>6.08</v>
      </c>
      <c r="Z865" t="inlineStr">
        <is>
          <t>HROP</t>
        </is>
      </c>
      <c r="AA865" t="inlineStr">
        <is>
          <t>FC</t>
        </is>
      </c>
      <c r="AB865" t="inlineStr">
        <is>
          <t>AW</t>
        </is>
      </c>
      <c r="AC865" t="inlineStr">
        <is>
          <t>25.4-0-2-ERW 1-FC</t>
        </is>
      </c>
      <c r="AD865" t="inlineStr">
        <is>
          <t>LL</t>
        </is>
      </c>
      <c r="AE865" t="inlineStr">
        <is>
          <t>25.4-0-2-ERW 1-FC-1</t>
        </is>
      </c>
      <c r="AF865" t="n">
        <v>1.1535732</v>
      </c>
    </row>
    <row r="866">
      <c r="A866" s="56" t="n">
        <v>3770398</v>
      </c>
      <c r="B866" s="56" t="inlineStr">
        <is>
          <t>TUB-I-C-AUT-AD-FC-25.50X2.250X5.9500</t>
        </is>
      </c>
      <c r="C866" s="56" t="inlineStr">
        <is>
          <t>4B10CK2110</t>
        </is>
      </c>
      <c r="D866" s="57" t="n"/>
      <c r="E866" s="58" t="n">
        <v>1959</v>
      </c>
      <c r="F866" s="57" t="n">
        <v>1.959</v>
      </c>
      <c r="G866" s="56" t="inlineStr">
        <is>
          <t>KG</t>
        </is>
      </c>
      <c r="H866" s="56" t="inlineStr">
        <is>
          <t>R001</t>
        </is>
      </c>
      <c r="I866" s="56" t="inlineStr">
        <is>
          <t>8406</t>
        </is>
      </c>
      <c r="J866" s="56" t="inlineStr">
        <is>
          <t>209</t>
        </is>
      </c>
      <c r="K866" s="57" t="n">
        <v>1271.83</v>
      </c>
      <c r="L866" s="56" t="inlineStr"/>
      <c r="M866" s="56" t="inlineStr">
        <is>
          <t>0</t>
        </is>
      </c>
      <c r="N866" s="56" t="inlineStr">
        <is>
          <t>Marathwada Auto Compo Pvt. Ltd.</t>
        </is>
      </c>
      <c r="O866" s="58" t="n">
        <v>3</v>
      </c>
      <c r="P866" s="59" t="inlineStr">
        <is>
          <t>0-30</t>
        </is>
      </c>
      <c r="Q866" s="56" t="inlineStr">
        <is>
          <t>Apoorv</t>
        </is>
      </c>
      <c r="U866" s="585" t="n">
        <v>1909397</v>
      </c>
      <c r="V866" t="n">
        <v>25.4</v>
      </c>
      <c r="W866" t="n">
        <v>0</v>
      </c>
      <c r="X866" t="n">
        <v>2</v>
      </c>
      <c r="Y866" t="n">
        <v>6.1</v>
      </c>
      <c r="Z866" t="inlineStr">
        <is>
          <t>NORMAL</t>
        </is>
      </c>
      <c r="AA866" t="inlineStr">
        <is>
          <t>PE</t>
        </is>
      </c>
      <c r="AB866" t="inlineStr">
        <is>
          <t>AW</t>
        </is>
      </c>
      <c r="AC866" t="inlineStr">
        <is>
          <t>25.4-0-2-ERW 1-PE</t>
        </is>
      </c>
      <c r="AD866" t="inlineStr">
        <is>
          <t>LL</t>
        </is>
      </c>
      <c r="AE866" t="inlineStr">
        <is>
          <t>25.4-0-2-ERW 1-PE-1</t>
        </is>
      </c>
      <c r="AF866" t="n">
        <v>1.1535732</v>
      </c>
    </row>
    <row r="867">
      <c r="A867" s="56" t="n">
        <v>3770398</v>
      </c>
      <c r="B867" s="56" t="inlineStr">
        <is>
          <t>TUB-I-C-AUT-AD-FC-25.50X2.250X5.9500</t>
        </is>
      </c>
      <c r="C867" s="56" t="inlineStr">
        <is>
          <t>4B10CK2120</t>
        </is>
      </c>
      <c r="D867" s="57" t="n"/>
      <c r="E867" s="58" t="n">
        <v>1898</v>
      </c>
      <c r="F867" s="57" t="n">
        <v>1.898</v>
      </c>
      <c r="G867" s="56" t="inlineStr">
        <is>
          <t>KG</t>
        </is>
      </c>
      <c r="H867" s="56" t="inlineStr">
        <is>
          <t>R001</t>
        </is>
      </c>
      <c r="I867" s="56" t="inlineStr">
        <is>
          <t>8406</t>
        </is>
      </c>
      <c r="J867" s="56" t="inlineStr">
        <is>
          <t>203</t>
        </is>
      </c>
      <c r="K867" s="57" t="n">
        <v>1232.227</v>
      </c>
      <c r="L867" s="56" t="inlineStr"/>
      <c r="M867" s="56" t="inlineStr">
        <is>
          <t>0</t>
        </is>
      </c>
      <c r="N867" s="56" t="inlineStr">
        <is>
          <t>Marathwada Auto Compo Pvt. Ltd.</t>
        </is>
      </c>
      <c r="O867" s="58" t="n">
        <v>3</v>
      </c>
      <c r="P867" s="59" t="inlineStr">
        <is>
          <t>0-30</t>
        </is>
      </c>
      <c r="Q867" s="56" t="inlineStr">
        <is>
          <t>Apoorv</t>
        </is>
      </c>
      <c r="U867" s="585" t="n">
        <v>3520755</v>
      </c>
      <c r="V867" t="n">
        <v>25.4</v>
      </c>
      <c r="W867" t="n">
        <v>0</v>
      </c>
      <c r="X867" t="n">
        <v>2.3</v>
      </c>
      <c r="Y867" t="n">
        <v>0.273</v>
      </c>
      <c r="Z867" t="inlineStr">
        <is>
          <t>GR1</t>
        </is>
      </c>
      <c r="AA867" t="inlineStr">
        <is>
          <t>PE</t>
        </is>
      </c>
      <c r="AB867" t="inlineStr">
        <is>
          <t>AW</t>
        </is>
      </c>
      <c r="AC867" t="inlineStr">
        <is>
          <t>25.4-0-2.3ERW 1-PE</t>
        </is>
      </c>
      <c r="AD867" t="inlineStr">
        <is>
          <t>CTL</t>
        </is>
      </c>
      <c r="AE867" t="inlineStr">
        <is>
          <t>25.4-0-2.3ERW 1-PE-.273</t>
        </is>
      </c>
      <c r="AF867" t="n">
        <v>0.3575211740099999</v>
      </c>
    </row>
    <row r="868">
      <c r="A868" s="56" t="n">
        <v>3770398</v>
      </c>
      <c r="B868" s="56" t="inlineStr">
        <is>
          <t>TUB-I-C-AUT-AD-FC-25.50X2.250X5.9500</t>
        </is>
      </c>
      <c r="C868" s="56" t="inlineStr">
        <is>
          <t>4B10CK2130</t>
        </is>
      </c>
      <c r="D868" s="57" t="n"/>
      <c r="E868" s="58" t="n">
        <v>2143</v>
      </c>
      <c r="F868" s="57" t="n">
        <v>2.143</v>
      </c>
      <c r="G868" s="56" t="inlineStr">
        <is>
          <t>KG</t>
        </is>
      </c>
      <c r="H868" s="56" t="inlineStr">
        <is>
          <t>R001</t>
        </is>
      </c>
      <c r="I868" s="56" t="inlineStr">
        <is>
          <t>8406</t>
        </is>
      </c>
      <c r="J868" s="56" t="inlineStr">
        <is>
          <t>228</t>
        </is>
      </c>
      <c r="K868" s="57" t="n">
        <v>1391.287</v>
      </c>
      <c r="L868" s="56" t="inlineStr"/>
      <c r="M868" s="56" t="inlineStr">
        <is>
          <t>0</t>
        </is>
      </c>
      <c r="N868" s="56" t="inlineStr">
        <is>
          <t>Marathwada Auto Compo Pvt. Ltd.</t>
        </is>
      </c>
      <c r="O868" s="58" t="n">
        <v>3</v>
      </c>
      <c r="P868" s="59" t="inlineStr">
        <is>
          <t>0-30</t>
        </is>
      </c>
      <c r="Q868" s="56" t="inlineStr">
        <is>
          <t>Apoorv</t>
        </is>
      </c>
      <c r="U868" s="585" t="n">
        <v>3410967</v>
      </c>
      <c r="V868" t="n">
        <v>25.4</v>
      </c>
      <c r="W868" t="n">
        <v>0</v>
      </c>
      <c r="X868" t="n">
        <v>2.3</v>
      </c>
      <c r="Y868" t="n">
        <v>6</v>
      </c>
      <c r="Z868" t="inlineStr">
        <is>
          <t>SAE1020</t>
        </is>
      </c>
      <c r="AA868" t="inlineStr">
        <is>
          <t>FC</t>
        </is>
      </c>
      <c r="AB868" t="inlineStr">
        <is>
          <t>AW</t>
        </is>
      </c>
      <c r="AC868" t="inlineStr">
        <is>
          <t>check grade tdc</t>
        </is>
      </c>
      <c r="AD868" t="inlineStr">
        <is>
          <t>LL</t>
        </is>
      </c>
      <c r="AE868" t="inlineStr">
        <is>
          <t>check grade tdc-1</t>
        </is>
      </c>
      <c r="AF868" t="n">
        <v>1.30960137</v>
      </c>
    </row>
    <row r="869">
      <c r="A869" s="56" t="n">
        <v>3775122</v>
      </c>
      <c r="B869" s="56" t="inlineStr">
        <is>
          <t>CUT-O-N-AUT-BH-FC-63.50X4.000X0.2650</t>
        </is>
      </c>
      <c r="C869" s="56" t="inlineStr">
        <is>
          <t>4724AK4140</t>
        </is>
      </c>
      <c r="D869" s="57" t="n"/>
      <c r="E869" s="58" t="n">
        <v>110</v>
      </c>
      <c r="F869" s="57" t="n">
        <v>0.11</v>
      </c>
      <c r="G869" s="56" t="inlineStr">
        <is>
          <t>KG</t>
        </is>
      </c>
      <c r="H869" s="56" t="inlineStr">
        <is>
          <t>R001</t>
        </is>
      </c>
      <c r="I869" s="56" t="inlineStr">
        <is>
          <t>8406</t>
        </is>
      </c>
      <c r="J869" s="56" t="inlineStr">
        <is>
          <t>50</t>
        </is>
      </c>
      <c r="K869" s="57" t="n">
        <v>19.19</v>
      </c>
      <c r="L869" s="56" t="inlineStr"/>
      <c r="M869" s="56" t="inlineStr">
        <is>
          <t>0</t>
        </is>
      </c>
      <c r="N869" s="56" t="inlineStr">
        <is>
          <t>Neel Metal Products Limited</t>
        </is>
      </c>
      <c r="O869" s="58" t="n">
        <v>80</v>
      </c>
      <c r="P869" s="59" t="inlineStr">
        <is>
          <t>61-90</t>
        </is>
      </c>
      <c r="Q869" s="56" t="inlineStr">
        <is>
          <t>Apoorv</t>
        </is>
      </c>
      <c r="U869" s="585" t="n">
        <v>1939544</v>
      </c>
      <c r="V869" t="n">
        <v>25.4</v>
      </c>
      <c r="W869" t="n">
        <v>0</v>
      </c>
      <c r="X869" t="n">
        <v>2.5</v>
      </c>
      <c r="Y869" t="n">
        <v>0.217</v>
      </c>
      <c r="Z869" t="inlineStr">
        <is>
          <t>KGR2</t>
        </is>
      </c>
      <c r="AA869" t="inlineStr">
        <is>
          <t>FC</t>
        </is>
      </c>
      <c r="AB869" t="inlineStr">
        <is>
          <t>AD</t>
        </is>
      </c>
      <c r="AC869" t="inlineStr">
        <is>
          <t>25.4-0-2.5-CEW-CEW</t>
        </is>
      </c>
      <c r="AD869" t="inlineStr">
        <is>
          <t>CTL</t>
        </is>
      </c>
      <c r="AE869" t="inlineStr">
        <is>
          <t>25.4-0-2.5-CEW-CEW-0.217</t>
        </is>
      </c>
      <c r="AF869" t="n">
        <v>0.30622068925</v>
      </c>
    </row>
    <row r="870">
      <c r="A870" s="56" t="n">
        <v>3775569</v>
      </c>
      <c r="B870" s="56" t="inlineStr">
        <is>
          <t>TUB-I-C-AUT-AD-FC-12.50X3.250X6.2000</t>
        </is>
      </c>
      <c r="C870" s="56" t="inlineStr">
        <is>
          <t>4B09AK2040</t>
        </is>
      </c>
      <c r="D870" s="57" t="n"/>
      <c r="E870" s="58" t="n">
        <v>1363</v>
      </c>
      <c r="F870" s="57" t="n">
        <v>1.363</v>
      </c>
      <c r="G870" s="56" t="inlineStr">
        <is>
          <t>KG</t>
        </is>
      </c>
      <c r="H870" s="56" t="inlineStr">
        <is>
          <t>R001</t>
        </is>
      </c>
      <c r="I870" s="56" t="inlineStr">
        <is>
          <t>8406</t>
        </is>
      </c>
      <c r="J870" s="56" t="inlineStr">
        <is>
          <t>175</t>
        </is>
      </c>
      <c r="K870" s="57" t="n">
        <v>1079.347</v>
      </c>
      <c r="L870" s="56" t="inlineStr"/>
      <c r="M870" s="56" t="inlineStr">
        <is>
          <t>0</t>
        </is>
      </c>
      <c r="N870" s="56" t="inlineStr">
        <is>
          <t>Rajsriya Automotive Ind Pvt Ltd.</t>
        </is>
      </c>
      <c r="O870" s="58" t="n">
        <v>16</v>
      </c>
      <c r="P870" s="59" t="inlineStr">
        <is>
          <t>0-30</t>
        </is>
      </c>
      <c r="Q870" s="56" t="inlineStr">
        <is>
          <t>Apoorv</t>
        </is>
      </c>
      <c r="U870" s="585" t="n">
        <v>1941293</v>
      </c>
      <c r="V870" t="n">
        <v>25.4</v>
      </c>
      <c r="W870" t="n">
        <v>0</v>
      </c>
      <c r="X870" t="n">
        <v>2.5</v>
      </c>
      <c r="Y870" t="n">
        <v>0.218</v>
      </c>
      <c r="Z870" t="inlineStr">
        <is>
          <t>KGR2</t>
        </is>
      </c>
      <c r="AA870" t="inlineStr">
        <is>
          <t>FC</t>
        </is>
      </c>
      <c r="AB870" t="inlineStr">
        <is>
          <t>AD</t>
        </is>
      </c>
      <c r="AC870" t="inlineStr">
        <is>
          <t>25.4-0-2.5-CEW-CEW</t>
        </is>
      </c>
      <c r="AD870" t="inlineStr">
        <is>
          <t>CTL</t>
        </is>
      </c>
      <c r="AE870" t="inlineStr">
        <is>
          <t>25.4-0-2.5-CEW-CEW-0.218</t>
        </is>
      </c>
      <c r="AF870" t="n">
        <v>0.3076318445</v>
      </c>
    </row>
    <row r="871">
      <c r="A871" s="56" t="n">
        <v>3775569</v>
      </c>
      <c r="B871" s="56" t="inlineStr">
        <is>
          <t>TUB-I-C-AUT-AD-FC-12.50X3.250X6.2000</t>
        </is>
      </c>
      <c r="C871" s="56" t="inlineStr">
        <is>
          <t>4B09AK2080</t>
        </is>
      </c>
      <c r="D871" s="57" t="n"/>
      <c r="E871" s="57" t="n">
        <v>1517.944</v>
      </c>
      <c r="F871" s="57" t="n">
        <v>1.517944</v>
      </c>
      <c r="G871" s="56" t="inlineStr">
        <is>
          <t>KG</t>
        </is>
      </c>
      <c r="H871" s="56" t="inlineStr">
        <is>
          <t>R001</t>
        </is>
      </c>
      <c r="I871" s="56" t="inlineStr">
        <is>
          <t>8406</t>
        </is>
      </c>
      <c r="J871" s="56" t="inlineStr">
        <is>
          <t>190</t>
        </is>
      </c>
      <c r="K871" s="57" t="n">
        <v>1202.046</v>
      </c>
      <c r="L871" s="56" t="inlineStr"/>
      <c r="M871" s="56" t="inlineStr">
        <is>
          <t>0</t>
        </is>
      </c>
      <c r="N871" s="56" t="inlineStr">
        <is>
          <t>Rajsriya Automotive Ind Pvt Ltd.</t>
        </is>
      </c>
      <c r="O871" s="58" t="n">
        <v>18</v>
      </c>
      <c r="P871" s="59" t="inlineStr">
        <is>
          <t>0-30</t>
        </is>
      </c>
      <c r="Q871" s="56" t="inlineStr">
        <is>
          <t>Apoorv</t>
        </is>
      </c>
      <c r="U871" t="n">
        <v>4095196</v>
      </c>
      <c r="V871" t="n">
        <v>25.4</v>
      </c>
      <c r="W871" t="n">
        <v>0</v>
      </c>
      <c r="X871" t="n">
        <v>2.5</v>
      </c>
      <c r="Y871" t="n">
        <v>0.273</v>
      </c>
      <c r="Z871" t="inlineStr">
        <is>
          <t>GR1</t>
        </is>
      </c>
      <c r="AA871" t="inlineStr">
        <is>
          <t>FC</t>
        </is>
      </c>
      <c r="AB871" t="inlineStr">
        <is>
          <t>AW</t>
        </is>
      </c>
      <c r="AC871" t="inlineStr">
        <is>
          <t>25.4-0-2.5-ERW 1-FC</t>
        </is>
      </c>
      <c r="AD871" t="inlineStr">
        <is>
          <t>CTL</t>
        </is>
      </c>
      <c r="AE871" t="inlineStr">
        <is>
          <t>25.4-0-2.5-ERW 1-FC-0.273</t>
        </is>
      </c>
      <c r="AF871" t="n">
        <v>0.38524538325</v>
      </c>
    </row>
    <row r="872">
      <c r="A872" s="56" t="n">
        <v>3775569</v>
      </c>
      <c r="B872" s="56" t="inlineStr">
        <is>
          <t>TUB-I-C-AUT-AD-FC-12.50X3.250X6.2000</t>
        </is>
      </c>
      <c r="C872" s="56" t="inlineStr">
        <is>
          <t>4B09AK2090</t>
        </is>
      </c>
      <c r="D872" s="57" t="n"/>
      <c r="E872" s="58" t="n">
        <v>1596</v>
      </c>
      <c r="F872" s="57" t="n">
        <v>1.596</v>
      </c>
      <c r="G872" s="56" t="inlineStr">
        <is>
          <t>KG</t>
        </is>
      </c>
      <c r="H872" s="56" t="inlineStr">
        <is>
          <t>R001</t>
        </is>
      </c>
      <c r="I872" s="56" t="inlineStr">
        <is>
          <t>8406</t>
        </is>
      </c>
      <c r="J872" s="56" t="inlineStr">
        <is>
          <t>204</t>
        </is>
      </c>
      <c r="K872" s="57" t="n">
        <v>1263.858</v>
      </c>
      <c r="L872" s="56" t="inlineStr"/>
      <c r="M872" s="56" t="inlineStr">
        <is>
          <t>0</t>
        </is>
      </c>
      <c r="N872" s="56" t="inlineStr">
        <is>
          <t>Rajsriya Automotive Ind Pvt Ltd.</t>
        </is>
      </c>
      <c r="O872" s="58" t="n">
        <v>16</v>
      </c>
      <c r="P872" s="59" t="inlineStr">
        <is>
          <t>0-30</t>
        </is>
      </c>
      <c r="Q872" s="56" t="inlineStr">
        <is>
          <t>Apoorv</t>
        </is>
      </c>
      <c r="U872" s="585" t="n">
        <v>1940595</v>
      </c>
      <c r="V872" t="n">
        <v>25.4</v>
      </c>
      <c r="W872" t="n">
        <v>0</v>
      </c>
      <c r="X872" t="n">
        <v>2.5</v>
      </c>
      <c r="Y872" t="n">
        <v>0.322</v>
      </c>
      <c r="Z872" t="inlineStr">
        <is>
          <t>WG</t>
        </is>
      </c>
      <c r="AA872" t="inlineStr">
        <is>
          <t>FC</t>
        </is>
      </c>
      <c r="AB872" t="inlineStr">
        <is>
          <t>AW</t>
        </is>
      </c>
      <c r="AC872" t="inlineStr">
        <is>
          <t>25.4-0-2.5-ERW 1-FC</t>
        </is>
      </c>
      <c r="AD872" t="inlineStr">
        <is>
          <t>CTL</t>
        </is>
      </c>
      <c r="AE872" t="inlineStr">
        <is>
          <t>25.4-0-2.5-ERW 1-FC-0.322</t>
        </is>
      </c>
      <c r="AF872" t="n">
        <v>0.4543919905</v>
      </c>
    </row>
    <row r="873">
      <c r="A873" s="56" t="n">
        <v>3775569</v>
      </c>
      <c r="B873" s="56" t="inlineStr">
        <is>
          <t>TUB-I-C-AUT-AD-FC-12.50X3.250X6.2000</t>
        </is>
      </c>
      <c r="C873" s="56" t="inlineStr">
        <is>
          <t>4B09AK2130</t>
        </is>
      </c>
      <c r="D873" s="57" t="n"/>
      <c r="E873" s="58" t="n">
        <v>1525</v>
      </c>
      <c r="F873" s="57" t="n">
        <v>1.525</v>
      </c>
      <c r="G873" s="56" t="inlineStr">
        <is>
          <t>KG</t>
        </is>
      </c>
      <c r="H873" s="56" t="inlineStr">
        <is>
          <t>R001</t>
        </is>
      </c>
      <c r="I873" s="56" t="inlineStr">
        <is>
          <t>8406</t>
        </is>
      </c>
      <c r="J873" s="56" t="inlineStr">
        <is>
          <t>195</t>
        </is>
      </c>
      <c r="K873" s="57" t="n">
        <v>1207.634</v>
      </c>
      <c r="L873" s="56" t="inlineStr"/>
      <c r="M873" s="56" t="inlineStr">
        <is>
          <t>0</t>
        </is>
      </c>
      <c r="N873" s="56" t="inlineStr">
        <is>
          <t>Rajsriya Automotive Ind Pvt Ltd.</t>
        </is>
      </c>
      <c r="O873" s="58" t="n">
        <v>16</v>
      </c>
      <c r="P873" s="59" t="inlineStr">
        <is>
          <t>0-30</t>
        </is>
      </c>
      <c r="Q873" s="56" t="inlineStr">
        <is>
          <t>Apoorv</t>
        </is>
      </c>
      <c r="U873" s="585" t="n">
        <v>3542856</v>
      </c>
      <c r="V873" t="n">
        <v>25.4</v>
      </c>
      <c r="W873" t="n">
        <v>0</v>
      </c>
      <c r="X873" t="n">
        <v>2.5</v>
      </c>
      <c r="Y873" t="n">
        <v>0.783</v>
      </c>
      <c r="Z873" t="inlineStr">
        <is>
          <t>HROP</t>
        </is>
      </c>
      <c r="AA873" t="inlineStr">
        <is>
          <t>FC</t>
        </is>
      </c>
      <c r="AB873" t="inlineStr">
        <is>
          <t>AW</t>
        </is>
      </c>
      <c r="AC873" t="inlineStr">
        <is>
          <t>25.4-0-2.5-ERW 1-FC</t>
        </is>
      </c>
      <c r="AD873" t="inlineStr">
        <is>
          <t>CTL</t>
        </is>
      </c>
      <c r="AE873" t="inlineStr">
        <is>
          <t>25.4-0-2.5-ERW 1-FC-0.783</t>
        </is>
      </c>
      <c r="AF873" t="n">
        <v>1.10493456075</v>
      </c>
    </row>
    <row r="874">
      <c r="A874" s="56" t="n">
        <v>3775569</v>
      </c>
      <c r="B874" s="56" t="inlineStr">
        <is>
          <t>TUB-I-C-AUT-AD-FC-12.50X3.250X6.2000</t>
        </is>
      </c>
      <c r="C874" s="56" t="inlineStr">
        <is>
          <t>4B24K38320</t>
        </is>
      </c>
      <c r="D874" s="57" t="n"/>
      <c r="E874" s="58" t="n">
        <v>1690</v>
      </c>
      <c r="F874" s="57" t="n">
        <v>1.69</v>
      </c>
      <c r="G874" s="56" t="inlineStr">
        <is>
          <t>KG</t>
        </is>
      </c>
      <c r="H874" s="56" t="inlineStr">
        <is>
          <t>R001</t>
        </is>
      </c>
      <c r="I874" s="56" t="inlineStr">
        <is>
          <t>8406</t>
        </is>
      </c>
      <c r="J874" s="56" t="inlineStr">
        <is>
          <t>216</t>
        </is>
      </c>
      <c r="K874" s="57" t="n">
        <v>1338.296</v>
      </c>
      <c r="L874" s="56" t="inlineStr"/>
      <c r="M874" s="56" t="inlineStr">
        <is>
          <t>0</t>
        </is>
      </c>
      <c r="N874" s="56" t="inlineStr">
        <is>
          <t>Rajsriya Automotive Ind Pvt Ltd.</t>
        </is>
      </c>
      <c r="O874" s="58" t="n">
        <v>16</v>
      </c>
      <c r="P874" s="59" t="inlineStr">
        <is>
          <t>0-30</t>
        </is>
      </c>
      <c r="Q874" s="56" t="inlineStr">
        <is>
          <t>Apoorv</t>
        </is>
      </c>
      <c r="U874" s="585" t="n">
        <v>3775636</v>
      </c>
      <c r="V874" t="n">
        <v>25.4</v>
      </c>
      <c r="W874" t="n">
        <v>0</v>
      </c>
      <c r="X874" t="n">
        <v>2.5</v>
      </c>
      <c r="Y874" t="n">
        <v>0.783</v>
      </c>
      <c r="Z874" t="inlineStr">
        <is>
          <t>WG</t>
        </is>
      </c>
      <c r="AA874" t="inlineStr">
        <is>
          <t>FC</t>
        </is>
      </c>
      <c r="AB874" t="inlineStr">
        <is>
          <t>AW</t>
        </is>
      </c>
      <c r="AC874" t="inlineStr">
        <is>
          <t>25.4-0-2.5-ERW 1-FC</t>
        </is>
      </c>
      <c r="AD874" t="inlineStr">
        <is>
          <t>CTL</t>
        </is>
      </c>
      <c r="AE874" t="inlineStr">
        <is>
          <t>25.4-0-2.5-ERW 1-FC-0.783</t>
        </is>
      </c>
      <c r="AF874" t="n">
        <v>1.10493456075</v>
      </c>
    </row>
    <row r="875">
      <c r="A875" s="56" t="n">
        <v>3775631</v>
      </c>
      <c r="B875" s="56" t="inlineStr">
        <is>
          <t>TUB-I-C-AUT-AN-FC-34.00X2.500X6.1500</t>
        </is>
      </c>
      <c r="C875" s="56" t="inlineStr">
        <is>
          <t>4C12K39643</t>
        </is>
      </c>
      <c r="D875" s="57" t="n"/>
      <c r="E875" s="57" t="n">
        <v>2590.944</v>
      </c>
      <c r="F875" s="57" t="n">
        <v>2.590944</v>
      </c>
      <c r="G875" s="56" t="inlineStr">
        <is>
          <t>KG</t>
        </is>
      </c>
      <c r="H875" s="56" t="inlineStr">
        <is>
          <t>R001</t>
        </is>
      </c>
      <c r="I875" s="56" t="inlineStr">
        <is>
          <t>8406</t>
        </is>
      </c>
      <c r="J875" s="56" t="inlineStr">
        <is>
          <t>185</t>
        </is>
      </c>
      <c r="K875" s="57" t="n">
        <v>1150.968</v>
      </c>
      <c r="L875" s="56" t="inlineStr"/>
      <c r="M875" s="56" t="inlineStr">
        <is>
          <t>0</t>
        </is>
      </c>
      <c r="N875" s="56" t="inlineStr">
        <is>
          <t>Kay Jay Forgings Pvt Ltd Unit Vi</t>
        </is>
      </c>
      <c r="O875" s="58" t="n">
        <v>20</v>
      </c>
      <c r="P875" s="59" t="inlineStr">
        <is>
          <t>0-30</t>
        </is>
      </c>
      <c r="Q875" s="56" t="inlineStr">
        <is>
          <t>Jitendra Kumar Sharma</t>
        </is>
      </c>
      <c r="U875" s="585" t="n">
        <v>2280506</v>
      </c>
      <c r="V875" t="n">
        <v>25.4</v>
      </c>
      <c r="W875" t="n">
        <v>0</v>
      </c>
      <c r="X875" t="n">
        <v>2.5</v>
      </c>
      <c r="Y875" t="n">
        <v>0.79</v>
      </c>
      <c r="Z875" t="inlineStr">
        <is>
          <t>HROP</t>
        </is>
      </c>
      <c r="AA875" t="inlineStr">
        <is>
          <t>FC</t>
        </is>
      </c>
      <c r="AB875" t="inlineStr">
        <is>
          <t>AW</t>
        </is>
      </c>
      <c r="AC875" t="inlineStr">
        <is>
          <t>25.4-0-2.5-ERW 1-FC</t>
        </is>
      </c>
      <c r="AD875" t="inlineStr">
        <is>
          <t>CTL</t>
        </is>
      </c>
      <c r="AE875" t="inlineStr">
        <is>
          <t>25.4-0-2.5-ERW 1-FC-0.79</t>
        </is>
      </c>
      <c r="AF875" t="n">
        <v>1.1148126475</v>
      </c>
    </row>
    <row r="876">
      <c r="A876" s="56" t="n">
        <v>3775631</v>
      </c>
      <c r="B876" s="56" t="inlineStr">
        <is>
          <t>TUB-I-C-AUT-AN-FC-34.00X2.500X6.1500</t>
        </is>
      </c>
      <c r="C876" s="56" t="inlineStr">
        <is>
          <t>4C12K39645</t>
        </is>
      </c>
      <c r="D876" s="57" t="n"/>
      <c r="E876" s="57" t="n">
        <v>2106.944</v>
      </c>
      <c r="F876" s="57" t="n">
        <v>2.106944</v>
      </c>
      <c r="G876" s="56" t="inlineStr">
        <is>
          <t>KG</t>
        </is>
      </c>
      <c r="H876" s="56" t="inlineStr">
        <is>
          <t>R001</t>
        </is>
      </c>
      <c r="I876" s="56" t="inlineStr">
        <is>
          <t>8406</t>
        </is>
      </c>
      <c r="J876" s="56" t="inlineStr">
        <is>
          <t>150</t>
        </is>
      </c>
      <c r="K876" s="57" t="n">
        <v>935.962</v>
      </c>
      <c r="L876" s="56" t="inlineStr"/>
      <c r="M876" s="56" t="inlineStr">
        <is>
          <t>0</t>
        </is>
      </c>
      <c r="N876" s="56" t="inlineStr">
        <is>
          <t>Kay Jay Forgings Pvt Ltd Unit Vi</t>
        </is>
      </c>
      <c r="O876" s="58" t="n">
        <v>20</v>
      </c>
      <c r="P876" s="59" t="inlineStr">
        <is>
          <t>0-30</t>
        </is>
      </c>
      <c r="Q876" s="56" t="inlineStr">
        <is>
          <t>Jitendra Kumar Sharma</t>
        </is>
      </c>
      <c r="U876" s="585" t="n">
        <v>3502256</v>
      </c>
      <c r="V876" t="n">
        <v>25.4</v>
      </c>
      <c r="W876" t="n">
        <v>0</v>
      </c>
      <c r="X876" t="n">
        <v>2.5</v>
      </c>
      <c r="Y876" t="n">
        <v>5.53</v>
      </c>
      <c r="Z876" t="inlineStr"/>
      <c r="AA876" t="inlineStr">
        <is>
          <t>PE</t>
        </is>
      </c>
      <c r="AB876" t="inlineStr">
        <is>
          <t>AW</t>
        </is>
      </c>
      <c r="AC876" t="inlineStr">
        <is>
          <t>25.4-0-2.5-ERW 1-PE</t>
        </is>
      </c>
      <c r="AD876" t="inlineStr">
        <is>
          <t>LL</t>
        </is>
      </c>
      <c r="AE876" t="inlineStr">
        <is>
          <t>25.4-0-2.5-ERW 1-PE-1</t>
        </is>
      </c>
      <c r="AF876" t="n">
        <v>1.41115525</v>
      </c>
    </row>
    <row r="877">
      <c r="A877" s="56" t="n">
        <v>3775631</v>
      </c>
      <c r="B877" s="56" t="inlineStr">
        <is>
          <t>TUB-I-C-AUT-AN-FC-34.00X2.500X6.1500</t>
        </is>
      </c>
      <c r="C877" s="56" t="inlineStr">
        <is>
          <t>4C12K39654</t>
        </is>
      </c>
      <c r="D877" s="57" t="n"/>
      <c r="E877" s="57" t="n">
        <v>2300.944</v>
      </c>
      <c r="F877" s="57" t="n">
        <v>2.300944</v>
      </c>
      <c r="G877" s="56" t="inlineStr">
        <is>
          <t>KG</t>
        </is>
      </c>
      <c r="H877" s="56" t="inlineStr">
        <is>
          <t>R001</t>
        </is>
      </c>
      <c r="I877" s="56" t="inlineStr">
        <is>
          <t>8406</t>
        </is>
      </c>
      <c r="J877" s="56" t="inlineStr">
        <is>
          <t>164</t>
        </is>
      </c>
      <c r="K877" s="57" t="n">
        <v>1022.142</v>
      </c>
      <c r="L877" s="56" t="inlineStr"/>
      <c r="M877" s="56" t="inlineStr">
        <is>
          <t>0</t>
        </is>
      </c>
      <c r="N877" s="56" t="inlineStr">
        <is>
          <t>Kay Jay Forgings Pvt Ltd Unit Vi</t>
        </is>
      </c>
      <c r="O877" s="58" t="n">
        <v>20</v>
      </c>
      <c r="P877" s="59" t="inlineStr">
        <is>
          <t>0-30</t>
        </is>
      </c>
      <c r="Q877" s="56" t="inlineStr">
        <is>
          <t>Jitendra Kumar Sharma</t>
        </is>
      </c>
      <c r="U877" s="586" t="n">
        <v>111002141</v>
      </c>
      <c r="V877" t="n">
        <v>25.4</v>
      </c>
      <c r="W877" t="n">
        <v>0</v>
      </c>
      <c r="X877" t="n">
        <v>2.5</v>
      </c>
      <c r="Y877" t="n">
        <v>5.56</v>
      </c>
      <c r="Z877" t="inlineStr">
        <is>
          <t>HROP</t>
        </is>
      </c>
      <c r="AA877" t="inlineStr">
        <is>
          <t>FC</t>
        </is>
      </c>
      <c r="AB877" t="inlineStr">
        <is>
          <t>AW</t>
        </is>
      </c>
      <c r="AC877" t="inlineStr">
        <is>
          <t>25.4-0-2.5-ERW 1-FC</t>
        </is>
      </c>
      <c r="AD877" t="inlineStr">
        <is>
          <t>LL</t>
        </is>
      </c>
      <c r="AE877" t="inlineStr">
        <is>
          <t>25.4-0-2.5-ERW 1-FC-1</t>
        </is>
      </c>
      <c r="AF877" t="n">
        <v>1.41115525</v>
      </c>
    </row>
    <row r="878">
      <c r="A878" s="56" t="n">
        <v>3855139</v>
      </c>
      <c r="B878" s="56" t="inlineStr">
        <is>
          <t>TUB-O-C-AUT-AD-FC-29.40X4.500X4.5000</t>
        </is>
      </c>
      <c r="C878" s="56" t="inlineStr">
        <is>
          <t>4B29AK3100</t>
        </is>
      </c>
      <c r="D878" s="57" t="n"/>
      <c r="E878" s="57" t="n">
        <v>573.27</v>
      </c>
      <c r="F878" s="57" t="n">
        <v>0.5732699999999999</v>
      </c>
      <c r="G878" s="56" t="inlineStr">
        <is>
          <t>KG</t>
        </is>
      </c>
      <c r="H878" s="56" t="inlineStr">
        <is>
          <t>R001</t>
        </is>
      </c>
      <c r="I878" s="56" t="inlineStr">
        <is>
          <t>8406</t>
        </is>
      </c>
      <c r="J878" s="56" t="inlineStr">
        <is>
          <t>120</t>
        </is>
      </c>
      <c r="K878" s="57" t="n">
        <v>190.537</v>
      </c>
      <c r="L878" s="56" t="inlineStr"/>
      <c r="M878" s="56" t="inlineStr">
        <is>
          <t>0</t>
        </is>
      </c>
      <c r="N878" s="56" t="inlineStr">
        <is>
          <t>Kay Jay Forgings Pvt Ltd Unit Vi</t>
        </is>
      </c>
      <c r="O878" s="58" t="n">
        <v>25</v>
      </c>
      <c r="P878" s="59" t="inlineStr">
        <is>
          <t>0-30</t>
        </is>
      </c>
      <c r="Q878" s="56" t="inlineStr">
        <is>
          <t>Jitendra Kumar Sharma</t>
        </is>
      </c>
      <c r="U878" s="585" t="n">
        <v>3537130</v>
      </c>
      <c r="V878" t="n">
        <v>25.4</v>
      </c>
      <c r="W878" t="n">
        <v>0</v>
      </c>
      <c r="X878" t="n">
        <v>2.5</v>
      </c>
      <c r="Y878" t="n">
        <v>5.87</v>
      </c>
      <c r="Z878" t="inlineStr">
        <is>
          <t>D</t>
        </is>
      </c>
      <c r="AA878" t="inlineStr">
        <is>
          <t>FC</t>
        </is>
      </c>
      <c r="AB878" t="inlineStr">
        <is>
          <t>AW</t>
        </is>
      </c>
      <c r="AC878" t="inlineStr">
        <is>
          <t>25.4-0-2.5-ERW 1-FC</t>
        </is>
      </c>
      <c r="AD878" t="inlineStr">
        <is>
          <t>LL</t>
        </is>
      </c>
      <c r="AE878" t="inlineStr">
        <is>
          <t>25.4-0-2.5-ERW 1-FC-1</t>
        </is>
      </c>
      <c r="AF878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879">
      <c r="A879" s="56" t="n">
        <v>3855139</v>
      </c>
      <c r="B879" s="56" t="inlineStr">
        <is>
          <t>TUB-O-C-AUT-AD-FC-29.40X4.500X4.5000</t>
        </is>
      </c>
      <c r="C879" s="56" t="inlineStr">
        <is>
          <t>4B29AK3110</t>
        </is>
      </c>
      <c r="D879" s="57" t="n"/>
      <c r="E879" s="58" t="n">
        <v>1534</v>
      </c>
      <c r="F879" s="57" t="n">
        <v>1.534</v>
      </c>
      <c r="G879" s="56" t="inlineStr">
        <is>
          <t>KG</t>
        </is>
      </c>
      <c r="H879" s="56" t="inlineStr">
        <is>
          <t>R001</t>
        </is>
      </c>
      <c r="I879" s="56" t="inlineStr">
        <is>
          <t>8406</t>
        </is>
      </c>
      <c r="J879" s="56" t="inlineStr">
        <is>
          <t>121</t>
        </is>
      </c>
      <c r="K879" s="57" t="n">
        <v>509.855</v>
      </c>
      <c r="L879" s="56" t="inlineStr"/>
      <c r="M879" s="56" t="inlineStr">
        <is>
          <t>0</t>
        </is>
      </c>
      <c r="N879" s="56" t="inlineStr">
        <is>
          <t>Kay Jay Forgings Pvt Ltd Unit Vi</t>
        </is>
      </c>
      <c r="O879" s="58" t="n">
        <v>25</v>
      </c>
      <c r="P879" s="59" t="inlineStr">
        <is>
          <t>0-30</t>
        </is>
      </c>
      <c r="Q879" s="56" t="inlineStr">
        <is>
          <t>Jitendra Kumar Sharma</t>
        </is>
      </c>
      <c r="U879" s="585" t="n">
        <v>3586645</v>
      </c>
      <c r="V879" t="n">
        <v>25.4</v>
      </c>
      <c r="W879" t="n">
        <v>0</v>
      </c>
      <c r="X879" t="n">
        <v>2.5</v>
      </c>
      <c r="Y879" t="n">
        <v>5.9</v>
      </c>
      <c r="Z879" t="inlineStr">
        <is>
          <t>HROP</t>
        </is>
      </c>
      <c r="AA879" t="inlineStr">
        <is>
          <t>PE</t>
        </is>
      </c>
      <c r="AB879" t="inlineStr">
        <is>
          <t>AW</t>
        </is>
      </c>
      <c r="AC879" t="inlineStr">
        <is>
          <t>25.4-0-2.5-ERW 1-PE</t>
        </is>
      </c>
      <c r="AD879" t="inlineStr">
        <is>
          <t>LL</t>
        </is>
      </c>
      <c r="AE879" t="inlineStr">
        <is>
          <t>25.4-0-2.5-ERW 1-PE-1</t>
        </is>
      </c>
      <c r="AF879" t="n">
        <v>1.41115525</v>
      </c>
    </row>
    <row r="880">
      <c r="A880" s="56" t="n">
        <v>3855139</v>
      </c>
      <c r="B880" s="56" t="inlineStr">
        <is>
          <t>TUB-O-C-AUT-AD-FC-29.40X4.500X4.5000</t>
        </is>
      </c>
      <c r="C880" s="56" t="inlineStr">
        <is>
          <t>4B29AK3120</t>
        </is>
      </c>
      <c r="D880" s="57" t="n"/>
      <c r="E880" s="58" t="n">
        <v>335</v>
      </c>
      <c r="F880" s="57" t="n">
        <v>0.335</v>
      </c>
      <c r="G880" s="56" t="inlineStr">
        <is>
          <t>KG</t>
        </is>
      </c>
      <c r="H880" s="56" t="inlineStr">
        <is>
          <t>R001</t>
        </is>
      </c>
      <c r="I880" s="56" t="inlineStr">
        <is>
          <t>8406</t>
        </is>
      </c>
      <c r="J880" s="56" t="inlineStr">
        <is>
          <t>115</t>
        </is>
      </c>
      <c r="K880" s="57" t="n">
        <v>111.344</v>
      </c>
      <c r="L880" s="56" t="inlineStr"/>
      <c r="M880" s="56" t="inlineStr">
        <is>
          <t>0</t>
        </is>
      </c>
      <c r="N880" s="56" t="inlineStr">
        <is>
          <t>Kay Jay Forgings Pvt Ltd Unit Vi</t>
        </is>
      </c>
      <c r="O880" s="58" t="n">
        <v>28</v>
      </c>
      <c r="P880" s="59" t="inlineStr">
        <is>
          <t>0-30</t>
        </is>
      </c>
      <c r="Q880" s="56" t="inlineStr">
        <is>
          <t>Jitendra Kumar Sharma</t>
        </is>
      </c>
      <c r="U880" t="n">
        <v>3682066</v>
      </c>
      <c r="V880" t="n">
        <v>25.4</v>
      </c>
      <c r="W880" t="n">
        <v>0</v>
      </c>
      <c r="X880" t="n">
        <v>2.5</v>
      </c>
      <c r="Y880" t="n">
        <v>5.95</v>
      </c>
      <c r="Z880" t="inlineStr"/>
      <c r="AA880" t="inlineStr">
        <is>
          <t>FC</t>
        </is>
      </c>
      <c r="AB880" t="inlineStr">
        <is>
          <t>AW</t>
        </is>
      </c>
      <c r="AC880" t="inlineStr">
        <is>
          <t>25.4-0-2.5-ERW 1-FC</t>
        </is>
      </c>
      <c r="AD880" t="inlineStr">
        <is>
          <t>LL</t>
        </is>
      </c>
      <c r="AE880" t="inlineStr">
        <is>
          <t>25.4-0-2.5-ERW 1-FC-1</t>
        </is>
      </c>
      <c r="AF880" t="n">
        <v>1.41115525</v>
      </c>
    </row>
    <row r="881">
      <c r="A881" s="56" t="n">
        <v>3855139</v>
      </c>
      <c r="B881" s="56" t="inlineStr">
        <is>
          <t>TUB-O-C-AUT-AD-FC-29.40X4.500X4.5000</t>
        </is>
      </c>
      <c r="C881" s="56" t="inlineStr">
        <is>
          <t>4B29BK3010</t>
        </is>
      </c>
      <c r="D881" s="57" t="n"/>
      <c r="E881" s="58" t="n">
        <v>1894</v>
      </c>
      <c r="F881" s="57" t="n">
        <v>1.894</v>
      </c>
      <c r="G881" s="56" t="inlineStr">
        <is>
          <t>KG</t>
        </is>
      </c>
      <c r="H881" s="56" t="inlineStr">
        <is>
          <t>R001</t>
        </is>
      </c>
      <c r="I881" s="56" t="inlineStr">
        <is>
          <t>8406</t>
        </is>
      </c>
      <c r="J881" s="56" t="inlineStr">
        <is>
          <t>150</t>
        </is>
      </c>
      <c r="K881" s="57" t="n">
        <v>629.508</v>
      </c>
      <c r="L881" s="56" t="inlineStr"/>
      <c r="M881" s="56" t="inlineStr">
        <is>
          <t>0</t>
        </is>
      </c>
      <c r="N881" s="56" t="inlineStr">
        <is>
          <t>Kay Jay Forgings Pvt Ltd Unit Vi</t>
        </is>
      </c>
      <c r="O881" s="58" t="n">
        <v>25</v>
      </c>
      <c r="P881" s="59" t="inlineStr">
        <is>
          <t>0-30</t>
        </is>
      </c>
      <c r="Q881" s="56" t="inlineStr">
        <is>
          <t>Jitendra Kumar Sharma</t>
        </is>
      </c>
      <c r="U881" s="585" t="n">
        <v>3677043</v>
      </c>
      <c r="V881" t="n">
        <v>25.4</v>
      </c>
      <c r="W881" t="n">
        <v>0</v>
      </c>
      <c r="X881" t="n">
        <v>2.5</v>
      </c>
      <c r="Y881" t="n">
        <v>5.96</v>
      </c>
      <c r="Z881" t="inlineStr">
        <is>
          <t>GR1</t>
        </is>
      </c>
      <c r="AA881" t="inlineStr">
        <is>
          <t>PE</t>
        </is>
      </c>
      <c r="AB881" t="inlineStr">
        <is>
          <t>AW</t>
        </is>
      </c>
      <c r="AC881" t="inlineStr">
        <is>
          <t>25.4-0-2.5-ERW 1-PE</t>
        </is>
      </c>
      <c r="AD881" t="inlineStr">
        <is>
          <t>LL</t>
        </is>
      </c>
      <c r="AE881" t="inlineStr">
        <is>
          <t>25.4-0-2.5-ERW 1-PE-1</t>
        </is>
      </c>
      <c r="AF881" t="n">
        <v>1.41115525</v>
      </c>
    </row>
    <row r="882">
      <c r="A882" s="56" t="n">
        <v>3855139</v>
      </c>
      <c r="B882" s="56" t="inlineStr">
        <is>
          <t>TUB-O-C-AUT-AD-FC-29.40X4.500X4.5000</t>
        </is>
      </c>
      <c r="C882" s="56" t="inlineStr">
        <is>
          <t>4B29CK3010</t>
        </is>
      </c>
      <c r="D882" s="57" t="n"/>
      <c r="E882" s="57" t="n">
        <v>854.73</v>
      </c>
      <c r="F882" s="57" t="n">
        <v>0.85473</v>
      </c>
      <c r="G882" s="56" t="inlineStr">
        <is>
          <t>KG</t>
        </is>
      </c>
      <c r="H882" s="56" t="inlineStr">
        <is>
          <t>R001</t>
        </is>
      </c>
      <c r="I882" s="56" t="inlineStr">
        <is>
          <t>8406</t>
        </is>
      </c>
      <c r="J882" s="56" t="inlineStr">
        <is>
          <t>159</t>
        </is>
      </c>
      <c r="K882" s="57" t="n">
        <v>284.086</v>
      </c>
      <c r="L882" s="56" t="inlineStr"/>
      <c r="M882" s="56" t="inlineStr">
        <is>
          <t>0</t>
        </is>
      </c>
      <c r="N882" s="56" t="inlineStr">
        <is>
          <t>Kay Jay Forgings Pvt Ltd Unit Vi</t>
        </is>
      </c>
      <c r="O882" s="58" t="n">
        <v>25</v>
      </c>
      <c r="P882" s="59" t="inlineStr">
        <is>
          <t>0-30</t>
        </is>
      </c>
      <c r="Q882" s="56" t="inlineStr">
        <is>
          <t>Jitendra Kumar Sharma</t>
        </is>
      </c>
      <c r="U882" s="585" t="n">
        <v>1931813</v>
      </c>
      <c r="V882" t="n">
        <v>25.4</v>
      </c>
      <c r="W882" t="n">
        <v>0</v>
      </c>
      <c r="X882" t="n">
        <v>2.5</v>
      </c>
      <c r="Y882" t="n">
        <v>6</v>
      </c>
      <c r="Z882" t="inlineStr">
        <is>
          <t>D</t>
        </is>
      </c>
      <c r="AA882" t="inlineStr">
        <is>
          <t>PE</t>
        </is>
      </c>
      <c r="AB882" t="inlineStr">
        <is>
          <t>AW</t>
        </is>
      </c>
      <c r="AC882" t="inlineStr">
        <is>
          <t>25.4-0-2.5-ERW 1-PE</t>
        </is>
      </c>
      <c r="AD882" t="inlineStr">
        <is>
          <t>LL</t>
        </is>
      </c>
      <c r="AE882" t="inlineStr">
        <is>
          <t>25.4-0-2.5-ERW 1-PE-1</t>
        </is>
      </c>
      <c r="AF882" t="n">
        <v>1.41115525</v>
      </c>
    </row>
    <row r="883">
      <c r="A883" s="56" t="n">
        <v>3870803</v>
      </c>
      <c r="B883" s="56" t="inlineStr">
        <is>
          <t>TUB-R-AW-AUT-50.00X30.00X1.600X6.1000</t>
        </is>
      </c>
      <c r="C883" s="56" t="inlineStr">
        <is>
          <t>4C26CK1060</t>
        </is>
      </c>
      <c r="D883" s="57" t="n"/>
      <c r="E883" s="58" t="n">
        <v>1552</v>
      </c>
      <c r="F883" s="57" t="n">
        <v>1.552</v>
      </c>
      <c r="G883" s="56" t="inlineStr">
        <is>
          <t>KG</t>
        </is>
      </c>
      <c r="H883" s="56" t="inlineStr">
        <is>
          <t>R001</t>
        </is>
      </c>
      <c r="I883" s="56" t="inlineStr">
        <is>
          <t>8406</t>
        </is>
      </c>
      <c r="J883" s="56" t="inlineStr">
        <is>
          <t>131</t>
        </is>
      </c>
      <c r="K883" s="57" t="n">
        <v>826.631</v>
      </c>
      <c r="L883" s="56" t="inlineStr"/>
      <c r="M883" s="56" t="inlineStr">
        <is>
          <t>0</t>
        </is>
      </c>
      <c r="N883" s="56" t="inlineStr">
        <is>
          <t>Neel Metal Products Limited</t>
        </is>
      </c>
      <c r="O883" s="58" t="n">
        <v>11</v>
      </c>
      <c r="P883" s="59" t="inlineStr">
        <is>
          <t>0-30</t>
        </is>
      </c>
      <c r="Q883" s="56" t="inlineStr">
        <is>
          <t>Apoorv</t>
        </is>
      </c>
      <c r="U883" s="585" t="n">
        <v>3770391</v>
      </c>
      <c r="V883" t="n">
        <v>25.4</v>
      </c>
      <c r="W883" t="n">
        <v>0</v>
      </c>
      <c r="X883" t="n">
        <v>2.5</v>
      </c>
      <c r="Y883" t="n">
        <v>6.05</v>
      </c>
      <c r="Z883" t="inlineStr">
        <is>
          <t>KGR2</t>
        </is>
      </c>
      <c r="AA883" t="inlineStr">
        <is>
          <t>FC</t>
        </is>
      </c>
      <c r="AB883" t="inlineStr">
        <is>
          <t>AD</t>
        </is>
      </c>
      <c r="AC883" t="inlineStr">
        <is>
          <t>25.4-0-2.5-CEW-CEW</t>
        </is>
      </c>
      <c r="AD883" t="inlineStr">
        <is>
          <t>LL</t>
        </is>
      </c>
      <c r="AE883" t="inlineStr">
        <is>
          <t>25.4-0-2.5-CEW-CEW-1</t>
        </is>
      </c>
      <c r="AF883" t="n">
        <v>1.41115525</v>
      </c>
    </row>
    <row r="884">
      <c r="A884" s="56" t="n">
        <v>3909479</v>
      </c>
      <c r="B884" s="56" t="inlineStr">
        <is>
          <t>TUB-O-N-AUT-AW-FC-48.60X3.500X4.6500</t>
        </is>
      </c>
      <c r="C884" s="56" t="inlineStr">
        <is>
          <t>4C18CH2110</t>
        </is>
      </c>
      <c r="D884" s="57" t="n"/>
      <c r="E884" s="58" t="n">
        <v>1452</v>
      </c>
      <c r="F884" s="57" t="n">
        <v>1.452</v>
      </c>
      <c r="G884" s="56" t="inlineStr">
        <is>
          <t>KG</t>
        </is>
      </c>
      <c r="H884" s="56" t="inlineStr">
        <is>
          <t>R001</t>
        </is>
      </c>
      <c r="I884" s="56" t="inlineStr">
        <is>
          <t>8406</t>
        </is>
      </c>
      <c r="J884" s="56" t="inlineStr">
        <is>
          <t>164</t>
        </is>
      </c>
      <c r="K884" s="57" t="n">
        <v>372.996</v>
      </c>
      <c r="L884" s="56" t="inlineStr"/>
      <c r="M884" s="56" t="inlineStr">
        <is>
          <t>0</t>
        </is>
      </c>
      <c r="N884" s="56" t="inlineStr">
        <is>
          <t>Metalman Auto Private Limited</t>
        </is>
      </c>
      <c r="O884" s="58" t="n">
        <v>6</v>
      </c>
      <c r="P884" s="59" t="inlineStr">
        <is>
          <t>0-30</t>
        </is>
      </c>
      <c r="Q884" s="56" t="inlineStr">
        <is>
          <t>Jitendra Kumar Sharma</t>
        </is>
      </c>
      <c r="U884" s="585" t="n">
        <v>1140302</v>
      </c>
      <c r="V884" t="n">
        <v>25.4</v>
      </c>
      <c r="W884" t="n">
        <v>0</v>
      </c>
      <c r="X884" t="n">
        <v>2.6</v>
      </c>
      <c r="Y884" t="n">
        <v>0.36</v>
      </c>
      <c r="Z884" t="inlineStr"/>
      <c r="AA884" t="inlineStr">
        <is>
          <t>PE</t>
        </is>
      </c>
      <c r="AB884" t="inlineStr">
        <is>
          <t>AW</t>
        </is>
      </c>
      <c r="AC884" t="inlineStr">
        <is>
          <t>check PE tdc</t>
        </is>
      </c>
      <c r="AD884" t="inlineStr">
        <is>
          <t>CTL</t>
        </is>
      </c>
      <c r="AE884" t="inlineStr">
        <is>
          <t>check PE tdc-0.36</t>
        </is>
      </c>
      <c r="AF884" t="n">
        <v>0.5260293791999999</v>
      </c>
    </row>
    <row r="885">
      <c r="A885" s="56" t="n">
        <v>3909479</v>
      </c>
      <c r="B885" s="56" t="inlineStr">
        <is>
          <t>TUB-O-N-AUT-AW-FC-48.60X3.500X4.6500</t>
        </is>
      </c>
      <c r="C885" s="56" t="inlineStr">
        <is>
          <t>4C18CH2120</t>
        </is>
      </c>
      <c r="D885" s="57" t="n"/>
      <c r="E885" s="58" t="n">
        <v>2890</v>
      </c>
      <c r="F885" s="57" t="n">
        <v>2.89</v>
      </c>
      <c r="G885" s="56" t="inlineStr">
        <is>
          <t>KG</t>
        </is>
      </c>
      <c r="H885" s="56" t="inlineStr">
        <is>
          <t>R001</t>
        </is>
      </c>
      <c r="I885" s="56" t="inlineStr">
        <is>
          <t>8406</t>
        </is>
      </c>
      <c r="J885" s="56" t="inlineStr">
        <is>
          <t>166</t>
        </is>
      </c>
      <c r="K885" s="57" t="n">
        <v>742.396</v>
      </c>
      <c r="L885" s="56" t="inlineStr"/>
      <c r="M885" s="56" t="inlineStr">
        <is>
          <t>0</t>
        </is>
      </c>
      <c r="N885" s="56" t="inlineStr">
        <is>
          <t>Metalman Auto Private Limited</t>
        </is>
      </c>
      <c r="O885" s="58" t="n">
        <v>6</v>
      </c>
      <c r="P885" s="59" t="inlineStr">
        <is>
          <t>0-30</t>
        </is>
      </c>
      <c r="Q885" s="56" t="inlineStr">
        <is>
          <t>Jitendra Kumar Sharma</t>
        </is>
      </c>
      <c r="U885" s="585" t="n">
        <v>1940603</v>
      </c>
      <c r="V885" t="n">
        <v>25.4</v>
      </c>
      <c r="W885" t="n">
        <v>0</v>
      </c>
      <c r="X885" t="n">
        <v>2.6</v>
      </c>
      <c r="Y885" t="n">
        <v>0.36</v>
      </c>
      <c r="Z885" t="inlineStr">
        <is>
          <t>GR2 SPL</t>
        </is>
      </c>
      <c r="AA885" t="inlineStr">
        <is>
          <t>FC</t>
        </is>
      </c>
      <c r="AB885" t="inlineStr">
        <is>
          <t>AW</t>
        </is>
      </c>
      <c r="AC885" t="inlineStr">
        <is>
          <t>25.4-0-2.5-ERW 1-FC</t>
        </is>
      </c>
      <c r="AD885" t="inlineStr">
        <is>
          <t>CTL</t>
        </is>
      </c>
      <c r="AE885" t="inlineStr">
        <is>
          <t>25.4-0-2.5-ERW 1-FC-0.36</t>
        </is>
      </c>
      <c r="AF885" t="n">
        <v>0.5260293791999999</v>
      </c>
    </row>
    <row r="886">
      <c r="A886" s="56" t="n">
        <v>3909479</v>
      </c>
      <c r="B886" s="56" t="inlineStr">
        <is>
          <t>TUB-O-N-AUT-AW-FC-48.60X3.500X4.6500</t>
        </is>
      </c>
      <c r="C886" s="56" t="inlineStr">
        <is>
          <t>4C19AH2010</t>
        </is>
      </c>
      <c r="D886" s="57" t="n"/>
      <c r="E886" s="58" t="n">
        <v>2499</v>
      </c>
      <c r="F886" s="57" t="n">
        <v>2.499</v>
      </c>
      <c r="G886" s="56" t="inlineStr">
        <is>
          <t>KG</t>
        </is>
      </c>
      <c r="H886" s="56" t="inlineStr">
        <is>
          <t>R001</t>
        </is>
      </c>
      <c r="I886" s="56" t="inlineStr">
        <is>
          <t>8406</t>
        </is>
      </c>
      <c r="J886" s="56" t="inlineStr">
        <is>
          <t>138</t>
        </is>
      </c>
      <c r="K886" s="57" t="n">
        <v>641.954</v>
      </c>
      <c r="L886" s="56" t="inlineStr"/>
      <c r="M886" s="56" t="inlineStr">
        <is>
          <t>0</t>
        </is>
      </c>
      <c r="N886" s="56" t="inlineStr">
        <is>
          <t>Metalman Auto Private Limited</t>
        </is>
      </c>
      <c r="O886" s="58" t="n">
        <v>6</v>
      </c>
      <c r="P886" s="59" t="inlineStr">
        <is>
          <t>0-30</t>
        </is>
      </c>
      <c r="Q886" s="56" t="inlineStr">
        <is>
          <t>Jitendra Kumar Sharma</t>
        </is>
      </c>
      <c r="U886" s="585" t="n">
        <v>3441355</v>
      </c>
      <c r="V886" t="n">
        <v>25.4</v>
      </c>
      <c r="W886" t="n">
        <v>0</v>
      </c>
      <c r="X886" t="n">
        <v>2.6</v>
      </c>
      <c r="Y886" t="n">
        <v>6</v>
      </c>
      <c r="Z886" t="inlineStr">
        <is>
          <t>KGR2</t>
        </is>
      </c>
      <c r="AA886" t="inlineStr">
        <is>
          <t>FC</t>
        </is>
      </c>
      <c r="AB886" t="inlineStr">
        <is>
          <t>AD</t>
        </is>
      </c>
      <c r="AC886" t="inlineStr">
        <is>
          <t>25.4-0-2.5-CEW-CEW</t>
        </is>
      </c>
      <c r="AD886" t="inlineStr">
        <is>
          <t>LL</t>
        </is>
      </c>
      <c r="AE886" t="inlineStr">
        <is>
          <t>25.4-0-2.5-CEW-CEW-1</t>
        </is>
      </c>
      <c r="AF886" t="n">
        <v>1.46119272</v>
      </c>
    </row>
    <row r="887">
      <c r="A887" s="56" t="n">
        <v>3909479</v>
      </c>
      <c r="B887" s="56" t="inlineStr">
        <is>
          <t>TUB-O-N-AUT-AW-FC-48.60X3.500X4.6500</t>
        </is>
      </c>
      <c r="C887" s="56" t="inlineStr">
        <is>
          <t>4C19AH2020</t>
        </is>
      </c>
      <c r="D887" s="57" t="n"/>
      <c r="E887" s="58" t="n">
        <v>2843</v>
      </c>
      <c r="F887" s="57" t="n">
        <v>2.843</v>
      </c>
      <c r="G887" s="56" t="inlineStr">
        <is>
          <t>KG</t>
        </is>
      </c>
      <c r="H887" s="56" t="inlineStr">
        <is>
          <t>R001</t>
        </is>
      </c>
      <c r="I887" s="56" t="inlineStr">
        <is>
          <t>8406</t>
        </is>
      </c>
      <c r="J887" s="56" t="inlineStr">
        <is>
          <t>157</t>
        </is>
      </c>
      <c r="K887" s="57" t="n">
        <v>730.323</v>
      </c>
      <c r="L887" s="56" t="inlineStr"/>
      <c r="M887" s="56" t="inlineStr">
        <is>
          <t>0</t>
        </is>
      </c>
      <c r="N887" s="56" t="inlineStr">
        <is>
          <t>Metalman Auto Private Limited</t>
        </is>
      </c>
      <c r="O887" s="58" t="n">
        <v>6</v>
      </c>
      <c r="P887" s="59" t="inlineStr">
        <is>
          <t>0-30</t>
        </is>
      </c>
      <c r="Q887" s="56" t="inlineStr">
        <is>
          <t>Jitendra Kumar Sharma</t>
        </is>
      </c>
      <c r="U887" s="585" t="n">
        <v>1931264</v>
      </c>
      <c r="V887" t="n">
        <v>25.4</v>
      </c>
      <c r="W887" t="n">
        <v>0</v>
      </c>
      <c r="X887" t="n">
        <v>2.6</v>
      </c>
      <c r="Y887" t="n">
        <v>6</v>
      </c>
      <c r="Z887" t="inlineStr">
        <is>
          <t>KGR2</t>
        </is>
      </c>
      <c r="AA887" t="inlineStr">
        <is>
          <t>PE</t>
        </is>
      </c>
      <c r="AB887" t="inlineStr">
        <is>
          <t>AW</t>
        </is>
      </c>
      <c r="AC887" t="inlineStr">
        <is>
          <t>check PE tdc</t>
        </is>
      </c>
      <c r="AD887" t="inlineStr">
        <is>
          <t>LL</t>
        </is>
      </c>
      <c r="AE887" t="inlineStr">
        <is>
          <t>check PE tdc-1</t>
        </is>
      </c>
      <c r="AF887" t="n">
        <v>1.46119272</v>
      </c>
    </row>
    <row r="888">
      <c r="A888" s="56" t="n">
        <v>3909479</v>
      </c>
      <c r="B888" s="56" t="inlineStr">
        <is>
          <t>TUB-O-N-AUT-AW-FC-48.60X3.500X4.6500</t>
        </is>
      </c>
      <c r="C888" s="56" t="inlineStr">
        <is>
          <t>4C19AH2030</t>
        </is>
      </c>
      <c r="D888" s="57" t="n"/>
      <c r="E888" s="58" t="n">
        <v>2850</v>
      </c>
      <c r="F888" s="57" t="n">
        <v>2.85</v>
      </c>
      <c r="G888" s="56" t="inlineStr">
        <is>
          <t>KG</t>
        </is>
      </c>
      <c r="H888" s="56" t="inlineStr">
        <is>
          <t>R001</t>
        </is>
      </c>
      <c r="I888" s="56" t="inlineStr">
        <is>
          <t>8406</t>
        </is>
      </c>
      <c r="J888" s="56" t="inlineStr">
        <is>
          <t>160</t>
        </is>
      </c>
      <c r="K888" s="57" t="n">
        <v>732.121</v>
      </c>
      <c r="L888" s="56" t="inlineStr"/>
      <c r="M888" s="56" t="inlineStr">
        <is>
          <t>0</t>
        </is>
      </c>
      <c r="N888" s="56" t="inlineStr">
        <is>
          <t>Metalman Auto Private Limited</t>
        </is>
      </c>
      <c r="O888" s="58" t="n">
        <v>6</v>
      </c>
      <c r="P888" s="59" t="inlineStr">
        <is>
          <t>0-30</t>
        </is>
      </c>
      <c r="Q888" s="56" t="inlineStr">
        <is>
          <t>Jitendra Kumar Sharma</t>
        </is>
      </c>
      <c r="U888" s="585" t="n">
        <v>2410997</v>
      </c>
      <c r="V888" t="n">
        <v>25.4</v>
      </c>
      <c r="W888" t="n">
        <v>0</v>
      </c>
      <c r="X888" t="n">
        <v>3.2</v>
      </c>
      <c r="Y888" t="n">
        <v>6</v>
      </c>
      <c r="Z888" t="inlineStr">
        <is>
          <t>KGR2</t>
        </is>
      </c>
      <c r="AA888" t="inlineStr">
        <is>
          <t>FC</t>
        </is>
      </c>
      <c r="AB888" t="inlineStr">
        <is>
          <t>AD</t>
        </is>
      </c>
      <c r="AC888" t="inlineStr">
        <is>
          <t>25.4-19-3.2-CEW-CEW</t>
        </is>
      </c>
      <c r="AD888" t="inlineStr">
        <is>
          <t>LL</t>
        </is>
      </c>
      <c r="AE888" t="inlineStr">
        <is>
          <t>25.4-19-3.2-CEW-CEW-1</t>
        </is>
      </c>
      <c r="AF888" t="n">
        <v>1.75106496</v>
      </c>
    </row>
    <row r="889">
      <c r="A889" s="56" t="n">
        <v>3909479</v>
      </c>
      <c r="B889" s="56" t="inlineStr">
        <is>
          <t>TUB-O-N-AUT-AW-FC-48.60X3.500X4.6500</t>
        </is>
      </c>
      <c r="C889" s="56" t="inlineStr">
        <is>
          <t>4C19AH2040</t>
        </is>
      </c>
      <c r="D889" s="57" t="n"/>
      <c r="E889" s="58" t="n">
        <v>971</v>
      </c>
      <c r="F889" s="57" t="n">
        <v>0.971</v>
      </c>
      <c r="G889" s="56" t="inlineStr">
        <is>
          <t>KG</t>
        </is>
      </c>
      <c r="H889" s="56" t="inlineStr">
        <is>
          <t>R001</t>
        </is>
      </c>
      <c r="I889" s="56" t="inlineStr">
        <is>
          <t>8406</t>
        </is>
      </c>
      <c r="J889" s="56" t="inlineStr">
        <is>
          <t>74</t>
        </is>
      </c>
      <c r="K889" s="57" t="n">
        <v>249.435</v>
      </c>
      <c r="L889" s="56" t="inlineStr"/>
      <c r="M889" s="56" t="inlineStr">
        <is>
          <t>0</t>
        </is>
      </c>
      <c r="N889" s="56" t="inlineStr">
        <is>
          <t>Metalman Auto Private Limited</t>
        </is>
      </c>
      <c r="O889" s="58" t="n">
        <v>6</v>
      </c>
      <c r="P889" s="59" t="inlineStr">
        <is>
          <t>0-30</t>
        </is>
      </c>
      <c r="Q889" s="56" t="inlineStr">
        <is>
          <t>Jitendra Kumar Sharma</t>
        </is>
      </c>
      <c r="U889" s="585" t="n">
        <v>4276615</v>
      </c>
      <c r="V889" t="n">
        <v>25.4</v>
      </c>
      <c r="W889" t="n">
        <v>0</v>
      </c>
      <c r="X889" t="n">
        <v>3.5</v>
      </c>
      <c r="Y889" t="n">
        <v>0.245</v>
      </c>
      <c r="Z889" t="inlineStr">
        <is>
          <t>KGR2</t>
        </is>
      </c>
      <c r="AA889" t="inlineStr">
        <is>
          <t>FC</t>
        </is>
      </c>
      <c r="AB889" t="inlineStr">
        <is>
          <t>AD</t>
        </is>
      </c>
      <c r="AC889" t="inlineStr">
        <is>
          <t>25.4-18.4-3.5-CEW-CEW</t>
        </is>
      </c>
      <c r="AD889" t="inlineStr">
        <is>
          <t>CTL</t>
        </is>
      </c>
      <c r="AE889" t="inlineStr">
        <is>
          <t>25.4-18.4-3.5-CEW-CEW-0.245</t>
        </is>
      </c>
      <c r="AF889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890">
      <c r="A890" s="56" t="n">
        <v>3915667</v>
      </c>
      <c r="B890" s="56" t="inlineStr">
        <is>
          <t>CUT-O-N-AUT-AW-CH-22.23X2.000X0.8270</t>
        </is>
      </c>
      <c r="C890" s="56" t="inlineStr">
        <is>
          <t>4C05AH2040</t>
        </is>
      </c>
      <c r="D890" s="57" t="n"/>
      <c r="E890" s="57" t="n">
        <v>693.978</v>
      </c>
      <c r="F890" s="57" t="n">
        <v>0.693978</v>
      </c>
      <c r="G890" s="56" t="inlineStr">
        <is>
          <t>KG</t>
        </is>
      </c>
      <c r="H890" s="56" t="inlineStr">
        <is>
          <t>R001</t>
        </is>
      </c>
      <c r="I890" s="56" t="inlineStr">
        <is>
          <t>8406</t>
        </is>
      </c>
      <c r="J890" s="56" t="inlineStr">
        <is>
          <t>415</t>
        </is>
      </c>
      <c r="K890" s="57" t="n">
        <v>695.229</v>
      </c>
      <c r="L890" s="56" t="inlineStr"/>
      <c r="M890" s="56" t="inlineStr">
        <is>
          <t>0</t>
        </is>
      </c>
      <c r="N890" s="56" t="inlineStr">
        <is>
          <t>FREE STOCK</t>
        </is>
      </c>
      <c r="O890" s="58" t="n">
        <v>13</v>
      </c>
      <c r="P890" s="59" t="inlineStr">
        <is>
          <t>0-30</t>
        </is>
      </c>
      <c r="Q890" s="56" t="inlineStr">
        <is>
          <t>Free Stock</t>
        </is>
      </c>
      <c r="U890" s="585" t="n">
        <v>1939284</v>
      </c>
      <c r="V890" t="n">
        <v>25.4</v>
      </c>
      <c r="W890" t="n">
        <v>0</v>
      </c>
      <c r="X890" t="n">
        <v>3.5</v>
      </c>
      <c r="Y890" t="n">
        <v>0.247</v>
      </c>
      <c r="Z890" t="inlineStr">
        <is>
          <t>KGR2</t>
        </is>
      </c>
      <c r="AA890" t="inlineStr">
        <is>
          <t>FC</t>
        </is>
      </c>
      <c r="AB890" t="inlineStr">
        <is>
          <t>AD</t>
        </is>
      </c>
      <c r="AC890" t="inlineStr">
        <is>
          <t>25.4-18.4-3.5-CEW-CEW</t>
        </is>
      </c>
      <c r="AD890" t="inlineStr">
        <is>
          <t>CTL</t>
        </is>
      </c>
      <c r="AE890" t="inlineStr">
        <is>
          <t>25.4-18.4-3.5-CEW-CEW-0.247</t>
        </is>
      </c>
      <c r="AF890" t="n">
        <v>0.4666684249499999</v>
      </c>
    </row>
    <row r="891">
      <c r="A891" s="56" t="n">
        <v>257093</v>
      </c>
      <c r="B891" s="56" t="inlineStr">
        <is>
          <t>TUB-O-N-AUT-AW-PE-38.10X2.030X0.812</t>
        </is>
      </c>
      <c r="C891" s="56" t="inlineStr">
        <is>
          <t>4B20C20110</t>
        </is>
      </c>
      <c r="D891" s="56" t="n"/>
      <c r="E891" s="57" t="n">
        <v>146.812</v>
      </c>
      <c r="F891" s="57" t="n">
        <v>0.146812</v>
      </c>
      <c r="G891" s="56" t="inlineStr">
        <is>
          <t>KG</t>
        </is>
      </c>
      <c r="H891" s="56" t="inlineStr">
        <is>
          <t>TF01</t>
        </is>
      </c>
      <c r="I891" s="56" t="inlineStr">
        <is>
          <t>4318</t>
        </is>
      </c>
      <c r="J891" s="56" t="n"/>
      <c r="K891" s="56" t="n"/>
      <c r="L891" s="56" t="n"/>
      <c r="M891" s="56" t="n"/>
      <c r="N891" s="56" t="inlineStr">
        <is>
          <t>Neel Metal Products Limited</t>
        </is>
      </c>
      <c r="O891" s="56" t="n">
        <v>34</v>
      </c>
      <c r="P891" s="59" t="inlineStr">
        <is>
          <t>31-60</t>
        </is>
      </c>
      <c r="Q891" s="56" t="inlineStr">
        <is>
          <t>Apoorv</t>
        </is>
      </c>
      <c r="U891" s="585" t="n">
        <v>1939283</v>
      </c>
      <c r="V891" t="n">
        <v>25.4</v>
      </c>
      <c r="W891" t="n">
        <v>0</v>
      </c>
      <c r="X891" t="n">
        <v>3.5</v>
      </c>
      <c r="Y891" t="n">
        <v>0.263</v>
      </c>
      <c r="Z891" t="inlineStr">
        <is>
          <t>KGR2</t>
        </is>
      </c>
      <c r="AA891" t="inlineStr">
        <is>
          <t>FC</t>
        </is>
      </c>
      <c r="AB891" t="inlineStr">
        <is>
          <t>AD</t>
        </is>
      </c>
      <c r="AC891" t="inlineStr">
        <is>
          <t>25.4-18.4-3.5-CEW-CEW</t>
        </is>
      </c>
      <c r="AD891" t="inlineStr">
        <is>
          <t>CTL</t>
        </is>
      </c>
      <c r="AE891" t="inlineStr">
        <is>
          <t>25.4-18.4-3.5-CEW-CEW-0.263</t>
        </is>
      </c>
      <c r="AF891" t="n">
        <v>0.49689795855</v>
      </c>
    </row>
    <row r="892">
      <c r="A892" s="56" t="n">
        <v>302897</v>
      </c>
      <c r="B892" s="56" t="inlineStr">
        <is>
          <t>TUB-O-N-AUT-AW-FC-38.10X1.600X0.812</t>
        </is>
      </c>
      <c r="C892" s="56" t="inlineStr">
        <is>
          <t>4C04B20020</t>
        </is>
      </c>
      <c r="D892" s="56" t="n"/>
      <c r="E892" s="57" t="n">
        <v>181.148</v>
      </c>
      <c r="F892" s="57" t="n">
        <v>0.181148</v>
      </c>
      <c r="G892" s="56" t="inlineStr">
        <is>
          <t>KG</t>
        </is>
      </c>
      <c r="H892" s="56" t="inlineStr">
        <is>
          <t>TF01</t>
        </is>
      </c>
      <c r="I892" s="56" t="inlineStr">
        <is>
          <t>4318</t>
        </is>
      </c>
      <c r="J892" s="56" t="n"/>
      <c r="K892" s="56" t="n"/>
      <c r="L892" s="56" t="n"/>
      <c r="M892" s="56" t="n"/>
      <c r="N892" s="56" t="inlineStr">
        <is>
          <t>Neel Metal Products Limited</t>
        </is>
      </c>
      <c r="O892" s="56" t="n">
        <v>26</v>
      </c>
      <c r="P892" s="59" t="inlineStr">
        <is>
          <t>0-30</t>
        </is>
      </c>
      <c r="Q892" s="56" t="inlineStr">
        <is>
          <t>Apoorv</t>
        </is>
      </c>
      <c r="U892" s="585" t="n">
        <v>3770392</v>
      </c>
      <c r="V892" t="n">
        <v>25.4</v>
      </c>
      <c r="W892" t="n">
        <v>0</v>
      </c>
      <c r="X892" t="n">
        <v>3.5</v>
      </c>
      <c r="Y892" t="n">
        <v>5.6</v>
      </c>
      <c r="Z892" t="inlineStr">
        <is>
          <t>KGR2</t>
        </is>
      </c>
      <c r="AA892" t="inlineStr">
        <is>
          <t>FC</t>
        </is>
      </c>
      <c r="AB892" t="inlineStr">
        <is>
          <t>AD</t>
        </is>
      </c>
      <c r="AC892" t="inlineStr">
        <is>
          <t>25.4-18.4-3.5-CEW-CEW</t>
        </is>
      </c>
      <c r="AD892" t="inlineStr">
        <is>
          <t>LL</t>
        </is>
      </c>
      <c r="AE892" t="inlineStr">
        <is>
          <t>25.4-18.4-3.5-CEW-CEW-1</t>
        </is>
      </c>
      <c r="AF892" t="n">
        <v>1.88934585</v>
      </c>
    </row>
    <row r="893">
      <c r="A893" s="56" t="n">
        <v>437147</v>
      </c>
      <c r="B893" s="56" t="inlineStr">
        <is>
          <t>PT2-O-N-AUT-AW-PE-19.05X2.300X0.252</t>
        </is>
      </c>
      <c r="C893" s="56" t="inlineStr">
        <is>
          <t>4919B20020</t>
        </is>
      </c>
      <c r="D893" s="56" t="n"/>
      <c r="E893" s="57" t="n">
        <v>131.424</v>
      </c>
      <c r="F893" s="57" t="n">
        <v>0.131424</v>
      </c>
      <c r="G893" s="56" t="inlineStr">
        <is>
          <t>KG</t>
        </is>
      </c>
      <c r="H893" s="56" t="inlineStr">
        <is>
          <t>TF01</t>
        </is>
      </c>
      <c r="I893" s="56" t="inlineStr">
        <is>
          <t>4731</t>
        </is>
      </c>
      <c r="J893" s="56" t="n"/>
      <c r="K893" s="56" t="n"/>
      <c r="L893" s="56" t="n"/>
      <c r="M893" s="56" t="n"/>
      <c r="N893" s="56" t="inlineStr">
        <is>
          <t>SRIKAM HITECH ENGINEERING PRIVATE L</t>
        </is>
      </c>
      <c r="O893" s="56" t="n">
        <v>59</v>
      </c>
      <c r="P893" s="59" t="inlineStr">
        <is>
          <t>31-60</t>
        </is>
      </c>
      <c r="Q893" s="56" t="inlineStr">
        <is>
          <t>Apoorv</t>
        </is>
      </c>
      <c r="U893" s="585" t="n">
        <v>2418610</v>
      </c>
      <c r="V893" t="n">
        <v>25.4</v>
      </c>
      <c r="W893" t="n">
        <v>0</v>
      </c>
      <c r="X893" t="n">
        <v>3.5</v>
      </c>
      <c r="Y893" t="n">
        <v>6</v>
      </c>
      <c r="Z893" t="inlineStr">
        <is>
          <t>KGR2</t>
        </is>
      </c>
      <c r="AA893" t="inlineStr">
        <is>
          <t>FC</t>
        </is>
      </c>
      <c r="AB893" t="inlineStr">
        <is>
          <t>AD</t>
        </is>
      </c>
      <c r="AC893" t="inlineStr">
        <is>
          <t>25.4-18.4-3.5-CEW-CEW</t>
        </is>
      </c>
      <c r="AD893" t="inlineStr">
        <is>
          <t>LL</t>
        </is>
      </c>
      <c r="AE893" t="inlineStr">
        <is>
          <t>25.4-18.4-3.5-CEW-CEW-1</t>
        </is>
      </c>
      <c r="AF893" t="n">
        <v>1.88934585</v>
      </c>
    </row>
    <row r="894">
      <c r="A894" s="56" t="n">
        <v>437159</v>
      </c>
      <c r="B894" s="56" t="inlineStr">
        <is>
          <t>PT3-O-N-AUT-AW-FC-38.10X2.000X0.488</t>
        </is>
      </c>
      <c r="C894" s="56" t="inlineStr">
        <is>
          <t>4A30B20040</t>
        </is>
      </c>
      <c r="D894" s="56" t="n"/>
      <c r="E894" s="57" t="n">
        <v>142.545</v>
      </c>
      <c r="F894" s="57" t="n">
        <v>0.142545</v>
      </c>
      <c r="G894" s="56" t="inlineStr">
        <is>
          <t>KG</t>
        </is>
      </c>
      <c r="H894" s="56" t="inlineStr">
        <is>
          <t>TF01</t>
        </is>
      </c>
      <c r="I894" s="56" t="inlineStr">
        <is>
          <t>4318</t>
        </is>
      </c>
      <c r="J894" s="56" t="n"/>
      <c r="K894" s="56" t="n"/>
      <c r="L894" s="56" t="n"/>
      <c r="M894" s="56" t="n"/>
      <c r="N894" s="56" t="inlineStr">
        <is>
          <t>Neel Metal Products Limited</t>
        </is>
      </c>
      <c r="O894" s="56" t="n">
        <v>61</v>
      </c>
      <c r="P894" s="59" t="inlineStr">
        <is>
          <t>61-90</t>
        </is>
      </c>
      <c r="Q894" s="56" t="inlineStr">
        <is>
          <t>Apoorv</t>
        </is>
      </c>
      <c r="U894" s="585" t="n">
        <v>2410992</v>
      </c>
      <c r="V894" t="n">
        <v>25.4</v>
      </c>
      <c r="W894" t="n">
        <v>16.4</v>
      </c>
      <c r="X894" t="n">
        <v>4.5</v>
      </c>
      <c r="Y894" t="n">
        <v>6</v>
      </c>
      <c r="Z894" t="inlineStr">
        <is>
          <t>KGR2</t>
        </is>
      </c>
      <c r="AA894" t="inlineStr">
        <is>
          <t>FC</t>
        </is>
      </c>
      <c r="AB894" t="inlineStr">
        <is>
          <t>AD</t>
        </is>
      </c>
      <c r="AC894" t="inlineStr">
        <is>
          <t>Check tdc for thickness</t>
        </is>
      </c>
      <c r="AD894" t="inlineStr">
        <is>
          <t>LL</t>
        </is>
      </c>
      <c r="AE894" t="inlineStr">
        <is>
          <t>Check tdc for thickness-1</t>
        </is>
      </c>
      <c r="AF894" t="n">
        <v>2.31823845</v>
      </c>
    </row>
    <row r="895">
      <c r="A895" s="56" t="n">
        <v>444029</v>
      </c>
      <c r="B895" s="56" t="inlineStr">
        <is>
          <t>PT2-O-N-AUT-AW-FC-38.10X2.000X0.425</t>
        </is>
      </c>
      <c r="C895" s="56" t="inlineStr">
        <is>
          <t>4A30B20060</t>
        </is>
      </c>
      <c r="D895" s="56" t="n"/>
      <c r="E895" s="57" t="n">
        <v>111.76</v>
      </c>
      <c r="F895" s="57" t="n">
        <v>0.11176</v>
      </c>
      <c r="G895" s="56" t="inlineStr">
        <is>
          <t>KG</t>
        </is>
      </c>
      <c r="H895" s="56" t="inlineStr">
        <is>
          <t>TF01</t>
        </is>
      </c>
      <c r="I895" s="56" t="inlineStr">
        <is>
          <t>4318</t>
        </is>
      </c>
      <c r="J895" s="56" t="n"/>
      <c r="K895" s="56" t="n"/>
      <c r="L895" s="56" t="n"/>
      <c r="M895" s="56" t="n"/>
      <c r="N895" s="56" t="inlineStr">
        <is>
          <t>Neel Metal Products Limited</t>
        </is>
      </c>
      <c r="O895" s="56" t="n">
        <v>61</v>
      </c>
      <c r="P895" s="59" t="inlineStr">
        <is>
          <t>61-90</t>
        </is>
      </c>
      <c r="Q895" s="56" t="inlineStr">
        <is>
          <t>Apoorv</t>
        </is>
      </c>
      <c r="U895" s="585" t="n">
        <v>2432009</v>
      </c>
      <c r="V895" t="n">
        <v>25.4</v>
      </c>
      <c r="W895" t="n">
        <v>17.4</v>
      </c>
      <c r="X895" t="n">
        <v>4</v>
      </c>
      <c r="Y895" t="n">
        <v>6</v>
      </c>
      <c r="Z895" t="inlineStr">
        <is>
          <t>KGR2</t>
        </is>
      </c>
      <c r="AA895" t="inlineStr">
        <is>
          <t>FC</t>
        </is>
      </c>
      <c r="AB895" t="inlineStr">
        <is>
          <t>AD</t>
        </is>
      </c>
      <c r="AC895" t="inlineStr">
        <is>
          <t>25.4--4-CEW-FIN CUT</t>
        </is>
      </c>
      <c r="AD895" t="inlineStr">
        <is>
          <t>LL</t>
        </is>
      </c>
      <c r="AE895" t="inlineStr">
        <is>
          <t>25.4--4-CEW-FIN CUT-1</t>
        </is>
      </c>
      <c r="AF895" t="n">
        <v>2.1099544</v>
      </c>
    </row>
    <row r="896">
      <c r="A896" s="56" t="n">
        <v>468843</v>
      </c>
      <c r="B896" s="56" t="inlineStr">
        <is>
          <t>PT3-S-AW-SHS-50.00X50.00X1.600X0.847</t>
        </is>
      </c>
      <c r="C896" s="56" t="inlineStr">
        <is>
          <t>4511C30020</t>
        </is>
      </c>
      <c r="D896" s="56" t="n"/>
      <c r="E896" s="57" t="n">
        <v>718</v>
      </c>
      <c r="F896" s="57" t="n">
        <v>0.718</v>
      </c>
      <c r="G896" s="56" t="inlineStr">
        <is>
          <t>KG</t>
        </is>
      </c>
      <c r="H896" s="56" t="inlineStr">
        <is>
          <t>R001</t>
        </is>
      </c>
      <c r="I896" s="56" t="inlineStr">
        <is>
          <t>4731</t>
        </is>
      </c>
      <c r="J896" s="56" t="n"/>
      <c r="K896" s="56" t="n"/>
      <c r="L896" s="56" t="n"/>
      <c r="M896" s="56" t="n"/>
      <c r="N896" s="56" t="inlineStr">
        <is>
          <t>Neel Metal Products Limited</t>
        </is>
      </c>
      <c r="O896" s="56" t="n">
        <v>168</v>
      </c>
      <c r="P896" s="59" t="inlineStr">
        <is>
          <t>ABOVE 90</t>
        </is>
      </c>
      <c r="Q896" s="56" t="inlineStr">
        <is>
          <t>Apoorv</t>
        </is>
      </c>
      <c r="U896" s="585" t="n">
        <v>2426241</v>
      </c>
      <c r="V896" t="n">
        <v>25.6</v>
      </c>
      <c r="W896" t="n">
        <v>0</v>
      </c>
      <c r="X896" t="n">
        <v>4.5</v>
      </c>
      <c r="Y896" t="n">
        <v>4.2</v>
      </c>
      <c r="Z896" t="inlineStr">
        <is>
          <t>SAE1020</t>
        </is>
      </c>
      <c r="AA896" t="inlineStr">
        <is>
          <t>FC</t>
        </is>
      </c>
      <c r="AB896" t="inlineStr">
        <is>
          <t>AD</t>
        </is>
      </c>
      <c r="AC896" t="inlineStr">
        <is>
          <t>check grade tdc</t>
        </is>
      </c>
      <c r="AD896" t="inlineStr">
        <is>
          <t>LL</t>
        </is>
      </c>
      <c r="AE896" t="inlineStr">
        <is>
          <t>check grade tdc-1</t>
        </is>
      </c>
      <c r="AF896" t="n">
        <v>2.34042255</v>
      </c>
    </row>
    <row r="897">
      <c r="A897" s="56" t="n">
        <v>468843</v>
      </c>
      <c r="B897" s="56" t="inlineStr">
        <is>
          <t>PT3-S-AW-SHS-50.00X50.00X1.600X0.847</t>
        </is>
      </c>
      <c r="C897" s="56" t="inlineStr">
        <is>
          <t>4511C3001</t>
        </is>
      </c>
      <c r="D897" s="56" t="n"/>
      <c r="E897" s="57" t="n">
        <v>384.971</v>
      </c>
      <c r="F897" s="57" t="n">
        <v>0.384971</v>
      </c>
      <c r="G897" s="56" t="inlineStr">
        <is>
          <t>KG</t>
        </is>
      </c>
      <c r="H897" s="56" t="inlineStr">
        <is>
          <t>R001</t>
        </is>
      </c>
      <c r="I897" s="56" t="inlineStr">
        <is>
          <t>4731</t>
        </is>
      </c>
      <c r="J897" s="56" t="n"/>
      <c r="K897" s="56" t="n"/>
      <c r="L897" s="56" t="n"/>
      <c r="M897" s="56" t="n"/>
      <c r="N897" s="56" t="inlineStr">
        <is>
          <t>Neel Metal Products Limited</t>
        </is>
      </c>
      <c r="O897" s="56" t="n">
        <v>168</v>
      </c>
      <c r="P897" s="59" t="inlineStr">
        <is>
          <t>ABOVE 90</t>
        </is>
      </c>
      <c r="Q897" s="56" t="inlineStr">
        <is>
          <t>Apoorv</t>
        </is>
      </c>
      <c r="U897" s="585" t="n">
        <v>1938483</v>
      </c>
      <c r="V897" t="n">
        <v>26</v>
      </c>
      <c r="W897" t="n">
        <v>18</v>
      </c>
      <c r="X897" t="n">
        <v>4</v>
      </c>
      <c r="Y897" t="n">
        <v>3.7</v>
      </c>
      <c r="Z897" t="inlineStr">
        <is>
          <t>KGR2</t>
        </is>
      </c>
      <c r="AA897" t="inlineStr">
        <is>
          <t>FC</t>
        </is>
      </c>
      <c r="AB897" t="inlineStr">
        <is>
          <t>AD</t>
        </is>
      </c>
      <c r="AC897" t="inlineStr">
        <is>
          <t>check grade tdc</t>
        </is>
      </c>
      <c r="AD897" t="inlineStr">
        <is>
          <t>LL</t>
        </is>
      </c>
      <c r="AE897" t="inlineStr">
        <is>
          <t>check grade tdc-1</t>
        </is>
      </c>
      <c r="AF897" t="n">
        <v>2.169112</v>
      </c>
    </row>
    <row r="898">
      <c r="A898" s="56" t="n">
        <v>1155165</v>
      </c>
      <c r="B898" s="56" t="inlineStr">
        <is>
          <t>TUB-O-N-AUT-AW-PE-34.93X1.600X1.726</t>
        </is>
      </c>
      <c r="C898" s="56" t="inlineStr">
        <is>
          <t>NS20242</t>
        </is>
      </c>
      <c r="D898" s="56" t="n"/>
      <c r="E898" s="57" t="n">
        <v>113.81</v>
      </c>
      <c r="F898" s="57" t="n">
        <v>0.11381</v>
      </c>
      <c r="G898" s="56" t="inlineStr">
        <is>
          <t>KG</t>
        </is>
      </c>
      <c r="H898" s="56" t="inlineStr">
        <is>
          <t>TF01</t>
        </is>
      </c>
      <c r="I898" s="56" t="inlineStr">
        <is>
          <t>4318</t>
        </is>
      </c>
      <c r="J898" s="56" t="n"/>
      <c r="K898" s="56" t="n"/>
      <c r="L898" s="56" t="n"/>
      <c r="M898" s="56" t="n"/>
      <c r="N898" s="56" t="inlineStr">
        <is>
          <t>KNITVEL NEEDLES P LTD</t>
        </is>
      </c>
      <c r="O898" s="56" t="n">
        <v>6</v>
      </c>
      <c r="P898" s="59" t="inlineStr">
        <is>
          <t>0-30</t>
        </is>
      </c>
      <c r="Q898" s="56" t="inlineStr">
        <is>
          <t>Diwakar</t>
        </is>
      </c>
      <c r="U898" s="585" t="n">
        <v>1940614</v>
      </c>
      <c r="V898" t="n">
        <v>28.58</v>
      </c>
      <c r="W898" t="n">
        <v>0</v>
      </c>
      <c r="X898" t="n">
        <v>1.2</v>
      </c>
      <c r="Y898" t="n">
        <v>0.595</v>
      </c>
      <c r="Z898" t="inlineStr">
        <is>
          <t>WG</t>
        </is>
      </c>
      <c r="AA898" t="inlineStr">
        <is>
          <t>PE</t>
        </is>
      </c>
      <c r="AB898" t="inlineStr">
        <is>
          <t>AW</t>
        </is>
      </c>
      <c r="AC898" t="inlineStr">
        <is>
          <t>28.58-0-1.2-ERW 1-PE</t>
        </is>
      </c>
      <c r="AD898" t="inlineStr">
        <is>
          <t>CTL</t>
        </is>
      </c>
      <c r="AE898" t="inlineStr">
        <is>
          <t>28.58-0-1.2-ERW 1-PE-0.595</t>
        </is>
      </c>
      <c r="AF898" t="n">
        <v>0.48187118868</v>
      </c>
    </row>
    <row r="899">
      <c r="A899" s="56" t="n">
        <v>1568170</v>
      </c>
      <c r="B899" s="56" t="inlineStr">
        <is>
          <t>TUB-O-N-AUT-BH-FC-48.60X3.500X0.1960</t>
        </is>
      </c>
      <c r="C899" s="56" t="inlineStr">
        <is>
          <t>4B11AH2070</t>
        </is>
      </c>
      <c r="D899" s="56" t="n"/>
      <c r="E899" s="57" t="n">
        <v>610.4</v>
      </c>
      <c r="F899" s="57" t="n">
        <v>0.6103999999999999</v>
      </c>
      <c r="G899" s="56" t="inlineStr">
        <is>
          <t>KG</t>
        </is>
      </c>
      <c r="H899" s="56" t="inlineStr">
        <is>
          <t>TF01</t>
        </is>
      </c>
      <c r="I899" s="56" t="inlineStr">
        <is>
          <t>4318</t>
        </is>
      </c>
      <c r="J899" s="56" t="n"/>
      <c r="K899" s="56" t="n"/>
      <c r="L899" s="56" t="n"/>
      <c r="M899" s="56" t="n"/>
      <c r="N899" s="56" t="inlineStr">
        <is>
          <t>Neel Metal Products Limited</t>
        </is>
      </c>
      <c r="O899" s="56" t="n">
        <v>26</v>
      </c>
      <c r="P899" s="59" t="inlineStr">
        <is>
          <t>0-30</t>
        </is>
      </c>
      <c r="Q899" s="56" t="inlineStr">
        <is>
          <t>Apoorv</t>
        </is>
      </c>
      <c r="U899" s="585" t="n">
        <v>237726</v>
      </c>
      <c r="V899" t="n">
        <v>28.58</v>
      </c>
      <c r="W899" t="n">
        <v>0</v>
      </c>
      <c r="X899" t="n">
        <v>1.2</v>
      </c>
      <c r="Y899" t="n">
        <v>0.61</v>
      </c>
      <c r="Z899" t="inlineStr">
        <is>
          <t>TPT</t>
        </is>
      </c>
      <c r="AA899" t="inlineStr">
        <is>
          <t>FC</t>
        </is>
      </c>
      <c r="AB899" t="inlineStr">
        <is>
          <t>AW</t>
        </is>
      </c>
      <c r="AC899" t="inlineStr">
        <is>
          <t>check FC tdc</t>
        </is>
      </c>
      <c r="AD899" t="inlineStr">
        <is>
          <t>CTL</t>
        </is>
      </c>
      <c r="AE899" t="inlineStr">
        <is>
          <t>check FC tdc-0.61</t>
        </is>
      </c>
      <c r="AF899" t="n">
        <v>0.49401920184</v>
      </c>
    </row>
    <row r="900">
      <c r="A900" s="56" t="n">
        <v>1568170</v>
      </c>
      <c r="B900" s="56" t="inlineStr">
        <is>
          <t>TUB-O-N-AUT-BH-FC-48.60X3.500X0.1960</t>
        </is>
      </c>
      <c r="C900" s="56" t="inlineStr">
        <is>
          <t>4A26A40040</t>
        </is>
      </c>
      <c r="D900" s="56" t="n"/>
      <c r="E900" s="57" t="n">
        <v>91.739</v>
      </c>
      <c r="F900" s="57" t="n">
        <v>0.091739</v>
      </c>
      <c r="G900" s="56" t="inlineStr">
        <is>
          <t>KG</t>
        </is>
      </c>
      <c r="H900" s="56" t="inlineStr">
        <is>
          <t>TF01</t>
        </is>
      </c>
      <c r="I900" s="56" t="inlineStr">
        <is>
          <t>4318</t>
        </is>
      </c>
      <c r="J900" s="56" t="n"/>
      <c r="K900" s="56" t="n"/>
      <c r="L900" s="56" t="n"/>
      <c r="M900" s="56" t="n"/>
      <c r="N900" s="56" t="inlineStr">
        <is>
          <t>Neel Metal Products Limited</t>
        </is>
      </c>
      <c r="O900" s="56" t="n">
        <v>28</v>
      </c>
      <c r="P900" s="59" t="inlineStr">
        <is>
          <t>0-30</t>
        </is>
      </c>
      <c r="Q900" s="56" t="inlineStr">
        <is>
          <t>Apoorv</t>
        </is>
      </c>
      <c r="U900" s="585" t="n">
        <v>2331952</v>
      </c>
      <c r="V900" t="n">
        <v>28.58</v>
      </c>
      <c r="W900" t="n">
        <v>0</v>
      </c>
      <c r="X900" t="n">
        <v>1.2</v>
      </c>
      <c r="Y900" t="n">
        <v>0.61</v>
      </c>
      <c r="Z900" t="inlineStr">
        <is>
          <t>WG</t>
        </is>
      </c>
      <c r="AA900" t="inlineStr">
        <is>
          <t>PE</t>
        </is>
      </c>
      <c r="AB900" t="inlineStr">
        <is>
          <t>AW</t>
        </is>
      </c>
      <c r="AC900" t="inlineStr">
        <is>
          <t>28.58-0-1.2-ERW 1-PE</t>
        </is>
      </c>
      <c r="AD900" t="inlineStr">
        <is>
          <t>CTL</t>
        </is>
      </c>
      <c r="AE900" t="inlineStr">
        <is>
          <t>28.58-0-1.2-ERW 1-PE-0.61</t>
        </is>
      </c>
      <c r="AF900" t="n">
        <v>0.49401920184</v>
      </c>
    </row>
    <row r="901">
      <c r="A901" s="56" t="n">
        <v>1568170</v>
      </c>
      <c r="B901" s="56" t="inlineStr">
        <is>
          <t>TUB-O-N-AUT-BH-FC-48.60X3.500X0.1960</t>
        </is>
      </c>
      <c r="C901" s="56" t="inlineStr">
        <is>
          <t>4921AK3060</t>
        </is>
      </c>
      <c r="D901" s="56" t="n"/>
      <c r="E901" s="57" t="n">
        <v>514.024</v>
      </c>
      <c r="F901" s="57" t="n">
        <v>0.514024</v>
      </c>
      <c r="G901" s="56" t="inlineStr">
        <is>
          <t>KG</t>
        </is>
      </c>
      <c r="H901" s="56" t="inlineStr">
        <is>
          <t>TF01</t>
        </is>
      </c>
      <c r="I901" s="56" t="inlineStr">
        <is>
          <t>4731</t>
        </is>
      </c>
      <c r="J901" s="56" t="n"/>
      <c r="K901" s="56" t="n"/>
      <c r="L901" s="56" t="n"/>
      <c r="M901" s="56" t="n"/>
      <c r="N901" s="56" t="inlineStr">
        <is>
          <t>Neel Metal Products Limited</t>
        </is>
      </c>
      <c r="O901" s="56" t="n">
        <v>10</v>
      </c>
      <c r="P901" s="59" t="inlineStr">
        <is>
          <t>0-30</t>
        </is>
      </c>
      <c r="Q901" s="56" t="inlineStr">
        <is>
          <t>Apoorv</t>
        </is>
      </c>
      <c r="U901" s="585" t="n">
        <v>3702101</v>
      </c>
      <c r="V901" t="n">
        <v>28.58</v>
      </c>
      <c r="W901" t="n">
        <v>0</v>
      </c>
      <c r="X901" t="n">
        <v>1.2</v>
      </c>
      <c r="Y901" t="n">
        <v>6</v>
      </c>
      <c r="Z901" t="inlineStr">
        <is>
          <t>WG</t>
        </is>
      </c>
      <c r="AA901" t="inlineStr">
        <is>
          <t>PE</t>
        </is>
      </c>
      <c r="AB901" t="inlineStr">
        <is>
          <t>AW</t>
        </is>
      </c>
      <c r="AC901" t="inlineStr">
        <is>
          <t>28.58-0-1.2-ERW 1-PE</t>
        </is>
      </c>
      <c r="AD901" t="inlineStr">
        <is>
          <t>LL</t>
        </is>
      </c>
      <c r="AE901" t="inlineStr">
        <is>
          <t>28.58-0-1.2-ERW 1-PE-1</t>
        </is>
      </c>
      <c r="AF901" t="n">
        <v>0.8098675439999999</v>
      </c>
    </row>
    <row r="902">
      <c r="A902" s="56" t="n">
        <v>1931310</v>
      </c>
      <c r="B902" s="56" t="inlineStr">
        <is>
          <t>TUB-O-N-GEN-AW-PE-25.40X1.500X6.0000</t>
        </is>
      </c>
      <c r="C902" s="56" t="inlineStr">
        <is>
          <t>4718CK2050</t>
        </is>
      </c>
      <c r="D902" s="56" t="n"/>
      <c r="E902" s="57" t="n">
        <v>106</v>
      </c>
      <c r="F902" s="57" t="n">
        <v>0.106</v>
      </c>
      <c r="G902" s="56" t="inlineStr">
        <is>
          <t>KG</t>
        </is>
      </c>
      <c r="H902" s="56" t="inlineStr">
        <is>
          <t>TF01</t>
        </is>
      </c>
      <c r="I902" s="56" t="inlineStr">
        <is>
          <t>4731</t>
        </is>
      </c>
      <c r="J902" s="56" t="n"/>
      <c r="K902" s="56" t="n"/>
      <c r="L902" s="56" t="n"/>
      <c r="M902" s="56" t="n"/>
      <c r="N902" s="56" t="inlineStr">
        <is>
          <t>FREE STOCK</t>
        </is>
      </c>
      <c r="O902" s="56" t="n">
        <v>149</v>
      </c>
      <c r="P902" s="59" t="inlineStr">
        <is>
          <t>ABOVE 90</t>
        </is>
      </c>
      <c r="Q902" s="56" t="inlineStr">
        <is>
          <t>Free Stock</t>
        </is>
      </c>
      <c r="U902" s="586" t="n">
        <v>110102749</v>
      </c>
      <c r="V902" t="n">
        <v>28.58</v>
      </c>
      <c r="W902" t="n">
        <v>0</v>
      </c>
      <c r="X902" t="n">
        <v>1.2</v>
      </c>
      <c r="Y902" t="n">
        <v>6.055</v>
      </c>
      <c r="Z902" t="inlineStr">
        <is>
          <t>WG</t>
        </is>
      </c>
      <c r="AA902" t="inlineStr">
        <is>
          <t>PE</t>
        </is>
      </c>
      <c r="AB902" t="inlineStr">
        <is>
          <t>AW</t>
        </is>
      </c>
      <c r="AC902" t="inlineStr">
        <is>
          <t>28.58-0-1.2-ERW 1-PE</t>
        </is>
      </c>
      <c r="AD902" t="inlineStr">
        <is>
          <t>LL</t>
        </is>
      </c>
      <c r="AE902" t="inlineStr">
        <is>
          <t>28.58-0-1.2-ERW 1-PE-1</t>
        </is>
      </c>
      <c r="AF902" t="n">
        <v>0.8098675439999999</v>
      </c>
    </row>
    <row r="903">
      <c r="A903" s="56" t="n">
        <v>1931310</v>
      </c>
      <c r="B903" s="56" t="inlineStr">
        <is>
          <t>TUB-O-N-GEN-AW-PE-25.40X1.500X6.0000</t>
        </is>
      </c>
      <c r="C903" s="56" t="inlineStr">
        <is>
          <t>4929AK1080</t>
        </is>
      </c>
      <c r="D903" s="56" t="n"/>
      <c r="E903" s="57" t="n">
        <v>1385.57</v>
      </c>
      <c r="F903" s="57" t="n">
        <v>1.38557</v>
      </c>
      <c r="G903" s="56" t="inlineStr">
        <is>
          <t>KG</t>
        </is>
      </c>
      <c r="H903" s="56" t="inlineStr">
        <is>
          <t>R001</t>
        </is>
      </c>
      <c r="I903" s="56" t="inlineStr">
        <is>
          <t>4731</t>
        </is>
      </c>
      <c r="J903" s="56" t="n"/>
      <c r="K903" s="56" t="n"/>
      <c r="L903" s="56" t="n"/>
      <c r="M903" s="56" t="n"/>
      <c r="N903" s="56" t="inlineStr">
        <is>
          <t>FREE STOCK</t>
        </is>
      </c>
      <c r="O903" s="56" t="n">
        <v>90</v>
      </c>
      <c r="P903" s="59" t="inlineStr">
        <is>
          <t>61-90</t>
        </is>
      </c>
      <c r="Q903" s="56" t="inlineStr">
        <is>
          <t>Free Stock</t>
        </is>
      </c>
      <c r="U903" s="586" t="n">
        <v>111002097</v>
      </c>
      <c r="V903" t="n">
        <v>28.58</v>
      </c>
      <c r="W903" t="n">
        <v>0</v>
      </c>
      <c r="X903" t="n">
        <v>1.2</v>
      </c>
      <c r="Y903" t="n">
        <v>6.2</v>
      </c>
      <c r="Z903" t="inlineStr">
        <is>
          <t>WG</t>
        </is>
      </c>
      <c r="AA903" t="inlineStr">
        <is>
          <t>PE</t>
        </is>
      </c>
      <c r="AB903" t="inlineStr">
        <is>
          <t>AW</t>
        </is>
      </c>
      <c r="AC903" t="inlineStr">
        <is>
          <t>28.58-0-1.2-ERW 1-PE</t>
        </is>
      </c>
      <c r="AD903" t="inlineStr">
        <is>
          <t>LL</t>
        </is>
      </c>
      <c r="AE903" t="inlineStr">
        <is>
          <t>28.58-0-1.2-ERW 1-PE-1</t>
        </is>
      </c>
      <c r="AF903" t="n">
        <v>0.8098675439999999</v>
      </c>
    </row>
    <row r="904">
      <c r="A904" s="56" t="n">
        <v>1931310</v>
      </c>
      <c r="B904" s="56" t="inlineStr">
        <is>
          <t>TUB-O-N-GEN-AW-PE-25.40X1.500X6.0000</t>
        </is>
      </c>
      <c r="C904" s="56" t="inlineStr">
        <is>
          <t>4808CK1070</t>
        </is>
      </c>
      <c r="D904" s="56" t="n"/>
      <c r="E904" s="57" t="n">
        <v>1517.57</v>
      </c>
      <c r="F904" s="57" t="n">
        <v>1.51757</v>
      </c>
      <c r="G904" s="56" t="inlineStr">
        <is>
          <t>KG</t>
        </is>
      </c>
      <c r="H904" s="56" t="inlineStr">
        <is>
          <t>R001</t>
        </is>
      </c>
      <c r="I904" s="56" t="inlineStr">
        <is>
          <t>4731</t>
        </is>
      </c>
      <c r="J904" s="56" t="n"/>
      <c r="K904" s="56" t="n"/>
      <c r="L904" s="56" t="n"/>
      <c r="M904" s="56" t="n"/>
      <c r="N904" s="56" t="inlineStr">
        <is>
          <t>FREE STOCK</t>
        </is>
      </c>
      <c r="O904" s="56" t="n">
        <v>90</v>
      </c>
      <c r="P904" s="59" t="inlineStr">
        <is>
          <t>61-90</t>
        </is>
      </c>
      <c r="Q904" s="56" t="inlineStr">
        <is>
          <t>Free Stock</t>
        </is>
      </c>
      <c r="U904" s="585" t="n">
        <v>3727212</v>
      </c>
      <c r="V904" t="n">
        <v>28.58</v>
      </c>
      <c r="W904" t="n">
        <v>0</v>
      </c>
      <c r="X904" t="n">
        <v>1.6</v>
      </c>
      <c r="Y904" t="n">
        <v>0.215</v>
      </c>
      <c r="Z904" t="inlineStr">
        <is>
          <t>HROP</t>
        </is>
      </c>
      <c r="AA904" t="inlineStr">
        <is>
          <t>FC</t>
        </is>
      </c>
      <c r="AB904" t="inlineStr">
        <is>
          <t>AW</t>
        </is>
      </c>
      <c r="AC904" t="inlineStr">
        <is>
          <t>28.58-0-1.6-ERW 1-FC</t>
        </is>
      </c>
      <c r="AD904" t="inlineStr">
        <is>
          <t>CTL</t>
        </is>
      </c>
      <c r="AE904" t="inlineStr">
        <is>
          <t>28.58-0-1.6-ERW 1-FC-0.215</t>
        </is>
      </c>
      <c r="AF904" t="n">
        <v>0.22877032688</v>
      </c>
    </row>
    <row r="905">
      <c r="A905" s="56" t="n">
        <v>1931310</v>
      </c>
      <c r="B905" s="56" t="inlineStr">
        <is>
          <t>TUB-O-N-GEN-AW-PE-25.40X1.500X6.0000</t>
        </is>
      </c>
      <c r="C905" s="56" t="inlineStr">
        <is>
          <t>4808CK1060</t>
        </is>
      </c>
      <c r="D905" s="56" t="n"/>
      <c r="E905" s="57" t="n">
        <v>1635.42</v>
      </c>
      <c r="F905" s="57" t="n">
        <v>1.63542</v>
      </c>
      <c r="G905" s="56" t="inlineStr">
        <is>
          <t>KG</t>
        </is>
      </c>
      <c r="H905" s="56" t="inlineStr">
        <is>
          <t>R001</t>
        </is>
      </c>
      <c r="I905" s="56" t="inlineStr">
        <is>
          <t>4731</t>
        </is>
      </c>
      <c r="J905" s="56" t="n"/>
      <c r="K905" s="56" t="n"/>
      <c r="L905" s="56" t="n"/>
      <c r="M905" s="56" t="n"/>
      <c r="N905" s="56" t="inlineStr">
        <is>
          <t>FREE STOCK</t>
        </is>
      </c>
      <c r="O905" s="56" t="n">
        <v>93</v>
      </c>
      <c r="P905" s="59" t="inlineStr">
        <is>
          <t>ABOVE 90</t>
        </is>
      </c>
      <c r="Q905" s="56" t="inlineStr">
        <is>
          <t>Free Stock</t>
        </is>
      </c>
      <c r="U905" s="585" t="n">
        <v>3598957</v>
      </c>
      <c r="V905" t="n">
        <v>28.58</v>
      </c>
      <c r="W905" t="n">
        <v>0</v>
      </c>
      <c r="X905" t="n">
        <v>1.6</v>
      </c>
      <c r="Y905" t="n">
        <v>0.414</v>
      </c>
      <c r="Z905" t="inlineStr">
        <is>
          <t>HROP</t>
        </is>
      </c>
      <c r="AA905" t="inlineStr">
        <is>
          <t>FC</t>
        </is>
      </c>
      <c r="AB905" t="inlineStr">
        <is>
          <t>AW</t>
        </is>
      </c>
      <c r="AC905" t="inlineStr">
        <is>
          <t>28.58-0-1.6-ERW 1-FC</t>
        </is>
      </c>
      <c r="AD905" t="inlineStr">
        <is>
          <t>CTL</t>
        </is>
      </c>
      <c r="AE905" t="inlineStr">
        <is>
          <t>28.58-0-1.6-ERW 1-FC-0.414</t>
        </is>
      </c>
      <c r="AF905" t="n">
        <v>0.440515885248</v>
      </c>
    </row>
    <row r="906">
      <c r="A906" s="56" t="n">
        <v>1931823</v>
      </c>
      <c r="B906" s="56" t="inlineStr">
        <is>
          <t>TUB-O-N-AUT-AW-PE-17.30X1.600X6.0000</t>
        </is>
      </c>
      <c r="C906" s="56" t="inlineStr">
        <is>
          <t>4905BK1010</t>
        </is>
      </c>
      <c r="D906" s="56" t="n"/>
      <c r="E906" s="57" t="n">
        <v>855</v>
      </c>
      <c r="F906" s="57" t="n">
        <v>0.855</v>
      </c>
      <c r="G906" s="56" t="inlineStr">
        <is>
          <t>KG</t>
        </is>
      </c>
      <c r="H906" s="56" t="inlineStr">
        <is>
          <t>TF01</t>
        </is>
      </c>
      <c r="I906" s="56" t="inlineStr">
        <is>
          <t>4731</t>
        </is>
      </c>
      <c r="J906" s="56" t="n"/>
      <c r="K906" s="56" t="n"/>
      <c r="L906" s="56" t="n"/>
      <c r="M906" s="56" t="n"/>
      <c r="N906" s="56" t="inlineStr">
        <is>
          <t>ELKAYEM AUTO ANCILLARIES (PVT) LTD.</t>
        </is>
      </c>
      <c r="O906" s="56" t="n">
        <v>86</v>
      </c>
      <c r="P906" s="59" t="inlineStr">
        <is>
          <t>61-90</t>
        </is>
      </c>
      <c r="Q906" s="56" t="inlineStr">
        <is>
          <t>Diwakar</t>
        </is>
      </c>
      <c r="U906" s="48" t="n">
        <v>1933557</v>
      </c>
      <c r="V906" t="n">
        <v>28.58</v>
      </c>
      <c r="W906" t="n">
        <v>0</v>
      </c>
      <c r="X906" t="n">
        <v>1.6</v>
      </c>
      <c r="Y906" t="n">
        <v>0.845</v>
      </c>
      <c r="Z906" t="inlineStr">
        <is>
          <t>ST52AL</t>
        </is>
      </c>
      <c r="AA906" t="inlineStr">
        <is>
          <t>PE</t>
        </is>
      </c>
      <c r="AB906" t="inlineStr">
        <is>
          <t>AW</t>
        </is>
      </c>
      <c r="AC906" t="inlineStr">
        <is>
          <t>28.58-0-1.6-ERW 2-PE</t>
        </is>
      </c>
      <c r="AD906" t="inlineStr">
        <is>
          <t>CTL</t>
        </is>
      </c>
      <c r="AE906" t="inlineStr">
        <is>
          <t>28.58-0-1.6-ERW 2-PE-0.845</t>
        </is>
      </c>
      <c r="AF906" t="n">
        <v>0.8991205870400001</v>
      </c>
    </row>
    <row r="907">
      <c r="A907" s="56" t="n">
        <v>1931824</v>
      </c>
      <c r="B907" s="56" t="inlineStr">
        <is>
          <t>TUB-O-N-AUT-AW-PE-17.30X1.200X6.0000</t>
        </is>
      </c>
      <c r="C907" s="56" t="inlineStr">
        <is>
          <t>4722CK1020</t>
        </is>
      </c>
      <c r="D907" s="56" t="n"/>
      <c r="E907" s="57" t="n">
        <v>78.12</v>
      </c>
      <c r="F907" s="57" t="n">
        <v>0.07812000000000001</v>
      </c>
      <c r="G907" s="56" t="inlineStr">
        <is>
          <t>KG</t>
        </is>
      </c>
      <c r="H907" s="56" t="inlineStr">
        <is>
          <t>TF01</t>
        </is>
      </c>
      <c r="I907" s="56" t="inlineStr">
        <is>
          <t>4731</t>
        </is>
      </c>
      <c r="J907" s="56" t="n"/>
      <c r="K907" s="56" t="n"/>
      <c r="L907" s="56" t="n"/>
      <c r="M907" s="56" t="n"/>
      <c r="N907" s="56" t="inlineStr">
        <is>
          <t>Rajsriya Automotive Industries(P)</t>
        </is>
      </c>
      <c r="O907" s="56" t="n">
        <v>27</v>
      </c>
      <c r="P907" s="59" t="inlineStr">
        <is>
          <t>0-30</t>
        </is>
      </c>
      <c r="Q907" s="56" t="inlineStr">
        <is>
          <t>Apoorv</t>
        </is>
      </c>
      <c r="U907" s="585" t="n">
        <v>3598958</v>
      </c>
      <c r="V907" t="n">
        <v>28.58</v>
      </c>
      <c r="W907" t="n">
        <v>0</v>
      </c>
      <c r="X907" t="n">
        <v>1.6</v>
      </c>
      <c r="Y907" t="n">
        <v>5.9</v>
      </c>
      <c r="Z907" t="inlineStr">
        <is>
          <t>HROP</t>
        </is>
      </c>
      <c r="AA907" t="inlineStr">
        <is>
          <t>FC</t>
        </is>
      </c>
      <c r="AB907" t="inlineStr">
        <is>
          <t>AW</t>
        </is>
      </c>
      <c r="AC907" t="inlineStr">
        <is>
          <t>28.58-0-1.6-ERW 1-FC</t>
        </is>
      </c>
      <c r="AD907" t="inlineStr">
        <is>
          <t>LL</t>
        </is>
      </c>
      <c r="AE907" t="inlineStr">
        <is>
          <t>28.58-0-1.6-ERW 1-FC-1</t>
        </is>
      </c>
      <c r="AF907" t="n">
        <v>1.064048032</v>
      </c>
    </row>
    <row r="908">
      <c r="A908" s="56" t="n">
        <v>1931824</v>
      </c>
      <c r="B908" s="56" t="inlineStr">
        <is>
          <t>TUB-O-N-AUT-AW-PE-17.30X1.200X6.0000</t>
        </is>
      </c>
      <c r="C908" s="56" t="inlineStr">
        <is>
          <t>4722BK1110</t>
        </is>
      </c>
      <c r="D908" s="56" t="n"/>
      <c r="E908" s="57" t="n">
        <v>1508</v>
      </c>
      <c r="F908" s="57" t="n">
        <v>1.508</v>
      </c>
      <c r="G908" s="56" t="inlineStr">
        <is>
          <t>KG</t>
        </is>
      </c>
      <c r="H908" s="56" t="inlineStr">
        <is>
          <t>TF01</t>
        </is>
      </c>
      <c r="I908" s="56" t="inlineStr">
        <is>
          <t>4731</t>
        </is>
      </c>
      <c r="J908" s="56" t="n"/>
      <c r="K908" s="56" t="n"/>
      <c r="L908" s="56" t="n"/>
      <c r="M908" s="56" t="n"/>
      <c r="N908" s="56" t="inlineStr">
        <is>
          <t>Rajsriya Automotive Industries(P)</t>
        </is>
      </c>
      <c r="O908" s="56" t="n">
        <v>86</v>
      </c>
      <c r="P908" s="59" t="inlineStr">
        <is>
          <t>61-90</t>
        </is>
      </c>
      <c r="Q908" s="56" t="inlineStr">
        <is>
          <t>Apoorv</t>
        </is>
      </c>
      <c r="U908" s="586" t="n">
        <v>111107137</v>
      </c>
      <c r="V908" t="n">
        <v>28.58</v>
      </c>
      <c r="W908" t="n">
        <v>0</v>
      </c>
      <c r="X908" t="n">
        <v>1.6</v>
      </c>
      <c r="Y908" t="n">
        <v>5.9</v>
      </c>
      <c r="Z908" t="inlineStr">
        <is>
          <t>HROP</t>
        </is>
      </c>
      <c r="AA908" t="inlineStr">
        <is>
          <t>FC</t>
        </is>
      </c>
      <c r="AB908" t="inlineStr">
        <is>
          <t>AW</t>
        </is>
      </c>
      <c r="AC908" t="inlineStr">
        <is>
          <t>28.58-0-1.6-ERW 1-FC</t>
        </is>
      </c>
      <c r="AD908" t="inlineStr">
        <is>
          <t>LL</t>
        </is>
      </c>
      <c r="AE908" t="inlineStr">
        <is>
          <t>28.58-0-1.6-ERW 1-FC-1</t>
        </is>
      </c>
      <c r="AF908" t="n">
        <v>1.064048032</v>
      </c>
    </row>
    <row r="909">
      <c r="A909" s="56" t="n">
        <v>1931824</v>
      </c>
      <c r="B909" s="56" t="inlineStr">
        <is>
          <t>TUB-O-N-AUT-AW-PE-17.30X1.200X6.0000</t>
        </is>
      </c>
      <c r="C909" s="56" t="inlineStr">
        <is>
          <t>4722BK1100</t>
        </is>
      </c>
      <c r="D909" s="56" t="n"/>
      <c r="E909" s="57" t="n">
        <v>1396</v>
      </c>
      <c r="F909" s="57" t="n">
        <v>1.396</v>
      </c>
      <c r="G909" s="56" t="inlineStr">
        <is>
          <t>KG</t>
        </is>
      </c>
      <c r="H909" s="56" t="inlineStr">
        <is>
          <t>TF01</t>
        </is>
      </c>
      <c r="I909" s="56" t="inlineStr">
        <is>
          <t>4731</t>
        </is>
      </c>
      <c r="J909" s="56" t="n"/>
      <c r="K909" s="56" t="n"/>
      <c r="L909" s="56" t="n"/>
      <c r="M909" s="56" t="n"/>
      <c r="N909" s="56" t="inlineStr">
        <is>
          <t>Rajsriya Automotive Industries(P)</t>
        </is>
      </c>
      <c r="O909" s="56" t="n">
        <v>86</v>
      </c>
      <c r="P909" s="59" t="inlineStr">
        <is>
          <t>61-90</t>
        </is>
      </c>
      <c r="Q909" s="56" t="inlineStr">
        <is>
          <t>Apoorv</t>
        </is>
      </c>
      <c r="U909" t="n">
        <v>3929642</v>
      </c>
      <c r="V909" t="n">
        <v>28.58</v>
      </c>
      <c r="W909" t="n">
        <v>0</v>
      </c>
      <c r="X909" t="n">
        <v>1.6</v>
      </c>
      <c r="Y909" t="n">
        <v>5.95</v>
      </c>
      <c r="Z909" t="inlineStr">
        <is>
          <t>WG</t>
        </is>
      </c>
      <c r="AA909" t="inlineStr">
        <is>
          <t>FC</t>
        </is>
      </c>
      <c r="AB909" t="inlineStr">
        <is>
          <t>AW</t>
        </is>
      </c>
      <c r="AC909" t="inlineStr">
        <is>
          <t>28.58-0-1.6-ERW 1-FC</t>
        </is>
      </c>
      <c r="AD909" t="inlineStr">
        <is>
          <t>LL</t>
        </is>
      </c>
      <c r="AE909" t="inlineStr">
        <is>
          <t>28.58-0-1.6-ERW 1-FC-1</t>
        </is>
      </c>
      <c r="AF909" t="n">
        <v>1.064048032</v>
      </c>
    </row>
    <row r="910">
      <c r="A910" s="56" t="n">
        <v>1931824</v>
      </c>
      <c r="B910" s="56" t="inlineStr">
        <is>
          <t>TUB-O-N-AUT-AW-PE-17.30X1.200X6.0000</t>
        </is>
      </c>
      <c r="C910" s="56" t="inlineStr">
        <is>
          <t>4722BK1060</t>
        </is>
      </c>
      <c r="D910" s="56" t="n"/>
      <c r="E910" s="57" t="n">
        <v>1457</v>
      </c>
      <c r="F910" s="57" t="n">
        <v>1.457</v>
      </c>
      <c r="G910" s="56" t="inlineStr">
        <is>
          <t>KG</t>
        </is>
      </c>
      <c r="H910" s="56" t="inlineStr">
        <is>
          <t>TF01</t>
        </is>
      </c>
      <c r="I910" s="56" t="inlineStr">
        <is>
          <t>4731</t>
        </is>
      </c>
      <c r="J910" s="56" t="n"/>
      <c r="K910" s="56" t="n"/>
      <c r="L910" s="56" t="n"/>
      <c r="M910" s="56" t="n"/>
      <c r="N910" s="56" t="inlineStr">
        <is>
          <t>Rajsriya Automotive Industries(P)</t>
        </is>
      </c>
      <c r="O910" s="56" t="n">
        <v>83</v>
      </c>
      <c r="P910" s="59" t="inlineStr">
        <is>
          <t>61-90</t>
        </is>
      </c>
      <c r="Q910" s="56" t="inlineStr">
        <is>
          <t>Apoorv</t>
        </is>
      </c>
      <c r="U910" s="586" t="n">
        <v>111118633</v>
      </c>
      <c r="V910" t="n">
        <v>28.58</v>
      </c>
      <c r="W910" t="n">
        <v>0</v>
      </c>
      <c r="X910" t="n">
        <v>1.6</v>
      </c>
      <c r="Y910" t="n">
        <v>5.95</v>
      </c>
      <c r="Z910" t="inlineStr">
        <is>
          <t>WG</t>
        </is>
      </c>
      <c r="AA910" t="inlineStr">
        <is>
          <t>FC</t>
        </is>
      </c>
      <c r="AB910" t="inlineStr">
        <is>
          <t>AW</t>
        </is>
      </c>
      <c r="AC910" t="inlineStr">
        <is>
          <t>28.58-0-1.6-ERW 1-FC</t>
        </is>
      </c>
      <c r="AD910" t="inlineStr">
        <is>
          <t>LL</t>
        </is>
      </c>
      <c r="AE910" t="inlineStr">
        <is>
          <t>28.58-0-1.6-ERW 1-FC-1</t>
        </is>
      </c>
      <c r="AF910" t="n">
        <v>1.064048032</v>
      </c>
    </row>
    <row r="911">
      <c r="A911" s="56" t="n">
        <v>1931824</v>
      </c>
      <c r="B911" s="56" t="inlineStr">
        <is>
          <t>TUB-O-N-AUT-AW-PE-17.30X1.200X6.0000</t>
        </is>
      </c>
      <c r="C911" s="56" t="inlineStr">
        <is>
          <t>4722BK1050</t>
        </is>
      </c>
      <c r="D911" s="56" t="n"/>
      <c r="E911" s="57" t="n">
        <v>1417</v>
      </c>
      <c r="F911" s="57" t="n">
        <v>1.417</v>
      </c>
      <c r="G911" s="56" t="inlineStr">
        <is>
          <t>KG</t>
        </is>
      </c>
      <c r="H911" s="56" t="inlineStr">
        <is>
          <t>TF01</t>
        </is>
      </c>
      <c r="I911" s="56" t="inlineStr">
        <is>
          <t>4731</t>
        </is>
      </c>
      <c r="J911" s="56" t="n"/>
      <c r="K911" s="56" t="n"/>
      <c r="L911" s="56" t="n"/>
      <c r="M911" s="56" t="n"/>
      <c r="N911" s="56" t="inlineStr">
        <is>
          <t>Rajsriya Automotive Industries(P)</t>
        </is>
      </c>
      <c r="O911" s="56" t="n">
        <v>83</v>
      </c>
      <c r="P911" s="59" t="inlineStr">
        <is>
          <t>61-90</t>
        </is>
      </c>
      <c r="Q911" s="56" t="inlineStr">
        <is>
          <t>Apoorv</t>
        </is>
      </c>
      <c r="U911" s="585" t="n">
        <v>1940621</v>
      </c>
      <c r="V911" t="n">
        <v>28.58</v>
      </c>
      <c r="W911" t="n">
        <v>0</v>
      </c>
      <c r="X911" t="n">
        <v>1.6</v>
      </c>
      <c r="Y911" t="n">
        <v>6</v>
      </c>
      <c r="Z911" t="inlineStr">
        <is>
          <t>GR1</t>
        </is>
      </c>
      <c r="AA911" t="inlineStr">
        <is>
          <t>PE</t>
        </is>
      </c>
      <c r="AB911" t="inlineStr">
        <is>
          <t>AW</t>
        </is>
      </c>
      <c r="AC911" t="inlineStr">
        <is>
          <t>28.58-0-1.6-ERW 1-PE</t>
        </is>
      </c>
      <c r="AD911" t="inlineStr">
        <is>
          <t>LL</t>
        </is>
      </c>
      <c r="AE911" t="inlineStr">
        <is>
          <t>28.58-0-1.6-ERW 1-PE-1</t>
        </is>
      </c>
      <c r="AF911" t="n">
        <v>1.064048032</v>
      </c>
    </row>
    <row r="912">
      <c r="A912" s="56" t="n">
        <v>1931824</v>
      </c>
      <c r="B912" s="56" t="inlineStr">
        <is>
          <t>TUB-O-N-AUT-AW-PE-17.30X1.200X6.0000</t>
        </is>
      </c>
      <c r="C912" s="56" t="inlineStr">
        <is>
          <t>4722BK1040</t>
        </is>
      </c>
      <c r="D912" s="56" t="n"/>
      <c r="E912" s="57" t="n">
        <v>1334</v>
      </c>
      <c r="F912" s="57" t="n">
        <v>1.334</v>
      </c>
      <c r="G912" s="56" t="inlineStr">
        <is>
          <t>KG</t>
        </is>
      </c>
      <c r="H912" s="56" t="inlineStr">
        <is>
          <t>TF01</t>
        </is>
      </c>
      <c r="I912" s="56" t="inlineStr">
        <is>
          <t>4731</t>
        </is>
      </c>
      <c r="J912" s="56" t="n"/>
      <c r="K912" s="56" t="n"/>
      <c r="L912" s="56" t="n"/>
      <c r="M912" s="56" t="n"/>
      <c r="N912" s="56" t="inlineStr">
        <is>
          <t>Rajsriya Automotive Industries(P)</t>
        </is>
      </c>
      <c r="O912" s="56" t="n">
        <v>83</v>
      </c>
      <c r="P912" s="59" t="inlineStr">
        <is>
          <t>61-90</t>
        </is>
      </c>
      <c r="Q912" s="56" t="inlineStr">
        <is>
          <t>Apoorv</t>
        </is>
      </c>
      <c r="U912" s="585" t="n">
        <v>2397074</v>
      </c>
      <c r="V912" t="n">
        <v>28.58</v>
      </c>
      <c r="W912" t="n">
        <v>0</v>
      </c>
      <c r="X912" t="n">
        <v>2</v>
      </c>
      <c r="Y912" t="n">
        <v>0.469</v>
      </c>
      <c r="Z912" t="inlineStr">
        <is>
          <t>HROP</t>
        </is>
      </c>
      <c r="AA912" t="inlineStr">
        <is>
          <t>FC</t>
        </is>
      </c>
      <c r="AB912" t="inlineStr">
        <is>
          <t>AW</t>
        </is>
      </c>
      <c r="AC912" t="inlineStr">
        <is>
          <t>28.58-0-2-ERW 1-FC</t>
        </is>
      </c>
      <c r="AD912" t="inlineStr">
        <is>
          <t>CTL</t>
        </is>
      </c>
      <c r="AE912" t="inlineStr">
        <is>
          <t>28.58-0-2-ERW 1-FC-0.469</t>
        </is>
      </c>
      <c r="AF912" t="n">
        <v>0.6145498539599999</v>
      </c>
    </row>
    <row r="913">
      <c r="A913" s="56" t="n">
        <v>1931824</v>
      </c>
      <c r="B913" s="56" t="inlineStr">
        <is>
          <t>TUB-O-N-AUT-AW-PE-17.30X1.200X6.0000</t>
        </is>
      </c>
      <c r="C913" s="56" t="inlineStr">
        <is>
          <t>4722BK1020</t>
        </is>
      </c>
      <c r="D913" s="56" t="n"/>
      <c r="E913" s="57" t="n">
        <v>302</v>
      </c>
      <c r="F913" s="57" t="n">
        <v>0.302</v>
      </c>
      <c r="G913" s="56" t="inlineStr">
        <is>
          <t>KG</t>
        </is>
      </c>
      <c r="H913" s="56" t="inlineStr">
        <is>
          <t>TF01</t>
        </is>
      </c>
      <c r="I913" s="56" t="inlineStr">
        <is>
          <t>4731</t>
        </is>
      </c>
      <c r="J913" s="56" t="n"/>
      <c r="K913" s="56" t="n"/>
      <c r="L913" s="56" t="n"/>
      <c r="M913" s="56" t="n"/>
      <c r="N913" s="56" t="inlineStr">
        <is>
          <t>Rajsriya Automotive Industries(P)</t>
        </is>
      </c>
      <c r="O913" s="56" t="n">
        <v>86</v>
      </c>
      <c r="P913" s="59" t="inlineStr">
        <is>
          <t>61-90</t>
        </is>
      </c>
      <c r="Q913" s="56" t="inlineStr">
        <is>
          <t>Apoorv</t>
        </is>
      </c>
      <c r="U913" s="585" t="n">
        <v>1940626</v>
      </c>
      <c r="V913" t="n">
        <v>28.58</v>
      </c>
      <c r="W913" t="n">
        <v>0</v>
      </c>
      <c r="X913" t="n">
        <v>2</v>
      </c>
      <c r="Y913" t="n">
        <v>0.475</v>
      </c>
      <c r="Z913" t="inlineStr">
        <is>
          <t>GR1</t>
        </is>
      </c>
      <c r="AA913" t="inlineStr">
        <is>
          <t>FC</t>
        </is>
      </c>
      <c r="AB913" t="inlineStr">
        <is>
          <t>AW</t>
        </is>
      </c>
      <c r="AC913" t="inlineStr">
        <is>
          <t>28.58-0-2-ERW 1-FC</t>
        </is>
      </c>
      <c r="AD913" t="inlineStr">
        <is>
          <t>CTL</t>
        </is>
      </c>
      <c r="AE913" t="inlineStr">
        <is>
          <t>28.58-0-2-ERW 1-FC-0.475</t>
        </is>
      </c>
      <c r="AF913" t="n">
        <v>0.622411899</v>
      </c>
    </row>
    <row r="914">
      <c r="A914" s="56" t="n">
        <v>1931824</v>
      </c>
      <c r="B914" s="56" t="inlineStr">
        <is>
          <t>TUB-O-N-AUT-AW-PE-17.30X1.200X6.0000</t>
        </is>
      </c>
      <c r="C914" s="56" t="inlineStr">
        <is>
          <t>4609CK1050</t>
        </is>
      </c>
      <c r="D914" s="56" t="n"/>
      <c r="E914" s="57" t="n">
        <v>890</v>
      </c>
      <c r="F914" s="57" t="n">
        <v>0.89</v>
      </c>
      <c r="G914" s="56" t="inlineStr">
        <is>
          <t>KG</t>
        </is>
      </c>
      <c r="H914" s="56" t="inlineStr">
        <is>
          <t>TF01</t>
        </is>
      </c>
      <c r="I914" s="56" t="inlineStr">
        <is>
          <t>4731</t>
        </is>
      </c>
      <c r="J914" s="56" t="n"/>
      <c r="K914" s="56" t="n"/>
      <c r="L914" s="56" t="n"/>
      <c r="M914" s="56" t="n"/>
      <c r="N914" s="56" t="inlineStr">
        <is>
          <t>Rajsriya Automotive Industries(P)</t>
        </is>
      </c>
      <c r="O914" s="56" t="n">
        <v>86</v>
      </c>
      <c r="P914" s="59" t="inlineStr">
        <is>
          <t>61-90</t>
        </is>
      </c>
      <c r="Q914" s="56" t="inlineStr">
        <is>
          <t>Apoorv</t>
        </is>
      </c>
      <c r="U914" s="586" t="n">
        <v>110102758</v>
      </c>
      <c r="V914" t="n">
        <v>28.58</v>
      </c>
      <c r="W914" t="n">
        <v>0</v>
      </c>
      <c r="X914" t="n">
        <v>2</v>
      </c>
      <c r="Y914" t="n">
        <v>5.81</v>
      </c>
      <c r="Z914" t="inlineStr">
        <is>
          <t>GR1</t>
        </is>
      </c>
      <c r="AA914" t="inlineStr">
        <is>
          <t>FC</t>
        </is>
      </c>
      <c r="AB914" t="inlineStr">
        <is>
          <t>AW</t>
        </is>
      </c>
      <c r="AC914" t="inlineStr">
        <is>
          <t>28.58-0-2-ERW 1-FC</t>
        </is>
      </c>
      <c r="AD914" t="inlineStr">
        <is>
          <t>LL</t>
        </is>
      </c>
      <c r="AE914" t="inlineStr">
        <is>
          <t>28.58-0-2-ERW 1-FC-1</t>
        </is>
      </c>
      <c r="AF914" t="n">
        <v>1.31034084</v>
      </c>
    </row>
    <row r="915">
      <c r="A915" s="56" t="n">
        <v>1931824</v>
      </c>
      <c r="B915" s="56" t="inlineStr">
        <is>
          <t>TUB-O-N-AUT-AW-PE-17.30X1.200X6.0000</t>
        </is>
      </c>
      <c r="C915" s="56" t="inlineStr">
        <is>
          <t>4722BK1070</t>
        </is>
      </c>
      <c r="D915" s="56" t="n"/>
      <c r="E915" s="57" t="n">
        <v>1438</v>
      </c>
      <c r="F915" s="57" t="n">
        <v>1.438</v>
      </c>
      <c r="G915" s="56" t="inlineStr">
        <is>
          <t>KG</t>
        </is>
      </c>
      <c r="H915" s="56" t="inlineStr">
        <is>
          <t>R001</t>
        </is>
      </c>
      <c r="I915" s="56" t="inlineStr">
        <is>
          <t>4731</t>
        </is>
      </c>
      <c r="J915" s="56" t="n"/>
      <c r="K915" s="56" t="n"/>
      <c r="L915" s="56" t="n"/>
      <c r="M915" s="56" t="n"/>
      <c r="N915" s="56" t="inlineStr">
        <is>
          <t>Rajsriya Automotive Industries(P)</t>
        </is>
      </c>
      <c r="O915" s="56" t="n">
        <v>90</v>
      </c>
      <c r="P915" s="59" t="inlineStr">
        <is>
          <t>61-90</t>
        </is>
      </c>
      <c r="Q915" s="56" t="inlineStr">
        <is>
          <t>Apoorv</t>
        </is>
      </c>
      <c r="U915" t="n">
        <v>3494440</v>
      </c>
      <c r="V915" t="n">
        <v>28.58</v>
      </c>
      <c r="W915" t="n">
        <v>0</v>
      </c>
      <c r="X915" t="n">
        <v>2</v>
      </c>
      <c r="Y915" t="n">
        <v>5.85</v>
      </c>
      <c r="Z915" t="inlineStr">
        <is>
          <t>GRADE2</t>
        </is>
      </c>
      <c r="AA915" t="inlineStr">
        <is>
          <t>FC</t>
        </is>
      </c>
      <c r="AB915" t="inlineStr">
        <is>
          <t>AH</t>
        </is>
      </c>
      <c r="AC915" t="inlineStr">
        <is>
          <t>28.58-0-2-ERW 1-FC</t>
        </is>
      </c>
      <c r="AD915" t="inlineStr">
        <is>
          <t>LL</t>
        </is>
      </c>
      <c r="AE915" t="inlineStr">
        <is>
          <t>28.58-0-2-ERW 1-FC-1</t>
        </is>
      </c>
      <c r="AF915" t="n">
        <v>1.31034084</v>
      </c>
    </row>
    <row r="916">
      <c r="A916" s="56" t="n">
        <v>1931824</v>
      </c>
      <c r="B916" s="56" t="inlineStr">
        <is>
          <t>TUB-O-N-AUT-AW-PE-17.30X1.200X6.0000</t>
        </is>
      </c>
      <c r="C916" s="56" t="inlineStr">
        <is>
          <t>4609CK1040</t>
        </is>
      </c>
      <c r="D916" s="56" t="n"/>
      <c r="E916" s="57" t="n">
        <v>626.84</v>
      </c>
      <c r="F916" s="57" t="n">
        <v>0.6268400000000001</v>
      </c>
      <c r="G916" s="56" t="inlineStr">
        <is>
          <t>KG</t>
        </is>
      </c>
      <c r="H916" s="56" t="inlineStr"/>
      <c r="I916" s="56" t="inlineStr">
        <is>
          <t>4731</t>
        </is>
      </c>
      <c r="J916" s="56" t="n"/>
      <c r="K916" s="56" t="n"/>
      <c r="L916" s="56" t="n"/>
      <c r="M916" s="56" t="n"/>
      <c r="N916" s="56" t="inlineStr">
        <is>
          <t>Rajsriya Automotive Industries(P)</t>
        </is>
      </c>
      <c r="O916" s="56" t="n">
        <v>52</v>
      </c>
      <c r="P916" s="59" t="inlineStr">
        <is>
          <t>31-60</t>
        </is>
      </c>
      <c r="Q916" s="56" t="inlineStr">
        <is>
          <t>Apoorv</t>
        </is>
      </c>
      <c r="U916" s="585" t="n">
        <v>3702095</v>
      </c>
      <c r="V916" t="n">
        <v>28.58</v>
      </c>
      <c r="W916" t="n">
        <v>0</v>
      </c>
      <c r="X916" t="n">
        <v>2</v>
      </c>
      <c r="Y916" t="n">
        <v>6</v>
      </c>
      <c r="Z916" t="inlineStr">
        <is>
          <t>WG</t>
        </is>
      </c>
      <c r="AA916" t="inlineStr">
        <is>
          <t>FC</t>
        </is>
      </c>
      <c r="AB916" t="inlineStr">
        <is>
          <t>AW</t>
        </is>
      </c>
      <c r="AC916" t="inlineStr">
        <is>
          <t>28.58-0-2-ERW 1-FC</t>
        </is>
      </c>
      <c r="AD916" t="inlineStr">
        <is>
          <t>LL</t>
        </is>
      </c>
      <c r="AE916" t="inlineStr">
        <is>
          <t>28.58-0-2-ERW 1-FC-1</t>
        </is>
      </c>
      <c r="AF916" t="n">
        <v>1.31034084</v>
      </c>
    </row>
    <row r="917">
      <c r="A917" s="56" t="n">
        <v>1938116</v>
      </c>
      <c r="B917" s="56" t="inlineStr">
        <is>
          <t>TUB-O-N-GEN-AW-PE-18.20X1.000X0.1100</t>
        </is>
      </c>
      <c r="C917" s="56" t="inlineStr">
        <is>
          <t>4928BK1020</t>
        </is>
      </c>
      <c r="D917" s="56" t="n"/>
      <c r="E917" s="57" t="n">
        <v>401.004</v>
      </c>
      <c r="F917" s="57" t="n">
        <v>0.401004</v>
      </c>
      <c r="G917" s="56" t="inlineStr">
        <is>
          <t>KG</t>
        </is>
      </c>
      <c r="H917" s="56" t="inlineStr">
        <is>
          <t>TF01</t>
        </is>
      </c>
      <c r="I917" s="56" t="inlineStr">
        <is>
          <t>4731</t>
        </is>
      </c>
      <c r="J917" s="56" t="n"/>
      <c r="K917" s="56" t="n"/>
      <c r="L917" s="56" t="n"/>
      <c r="M917" s="56" t="n"/>
      <c r="N917" s="56" t="inlineStr">
        <is>
          <t>Neel Metal Products Limited</t>
        </is>
      </c>
      <c r="O917" s="56" t="n">
        <v>6</v>
      </c>
      <c r="P917" s="59" t="inlineStr">
        <is>
          <t>0-30</t>
        </is>
      </c>
      <c r="Q917" s="56" t="inlineStr">
        <is>
          <t>Apoorv</t>
        </is>
      </c>
      <c r="U917" s="585" t="n">
        <v>1940627</v>
      </c>
      <c r="V917" t="n">
        <v>28.58</v>
      </c>
      <c r="W917" t="n">
        <v>0</v>
      </c>
      <c r="X917" t="n">
        <v>3.2</v>
      </c>
      <c r="Y917" t="n">
        <v>6</v>
      </c>
      <c r="Z917" t="inlineStr">
        <is>
          <t>GR1</t>
        </is>
      </c>
      <c r="AA917" t="inlineStr">
        <is>
          <t>FC</t>
        </is>
      </c>
      <c r="AB917" t="inlineStr">
        <is>
          <t>AW</t>
        </is>
      </c>
      <c r="AC917" t="inlineStr">
        <is>
          <t>28.58-0-3.2-ERW 1-FC</t>
        </is>
      </c>
      <c r="AD917" t="inlineStr">
        <is>
          <t>LL</t>
        </is>
      </c>
      <c r="AE917" t="inlineStr">
        <is>
          <t>28.58-0-3.2-ERW 1-FC-1</t>
        </is>
      </c>
      <c r="AF917" t="n">
        <v>2.001893184</v>
      </c>
    </row>
    <row r="918">
      <c r="A918" s="56" t="n">
        <v>1938116</v>
      </c>
      <c r="B918" s="56" t="inlineStr">
        <is>
          <t>TUB-O-N-GEN-AW-PE-18.20X1.000X0.1100</t>
        </is>
      </c>
      <c r="C918" s="56" t="inlineStr">
        <is>
          <t>4928BK1010</t>
        </is>
      </c>
      <c r="D918" s="56" t="n"/>
      <c r="E918" s="57" t="n">
        <v>71.06399999999999</v>
      </c>
      <c r="F918" s="57" t="n">
        <v>0.07106399999999999</v>
      </c>
      <c r="G918" s="56" t="inlineStr">
        <is>
          <t>KG</t>
        </is>
      </c>
      <c r="H918" s="56" t="inlineStr">
        <is>
          <t>TF01</t>
        </is>
      </c>
      <c r="I918" s="56" t="inlineStr">
        <is>
          <t>4731</t>
        </is>
      </c>
      <c r="J918" s="56" t="n"/>
      <c r="K918" s="56" t="n"/>
      <c r="L918" s="56" t="n"/>
      <c r="M918" s="56" t="n"/>
      <c r="N918" s="56" t="inlineStr">
        <is>
          <t>Neel Metal Products Limited</t>
        </is>
      </c>
      <c r="O918" s="56" t="n">
        <v>7</v>
      </c>
      <c r="P918" s="59" t="inlineStr">
        <is>
          <t>0-30</t>
        </is>
      </c>
      <c r="Q918" s="56" t="inlineStr">
        <is>
          <t>Apoorv</t>
        </is>
      </c>
      <c r="U918" s="585" t="n">
        <v>3617058</v>
      </c>
      <c r="V918" t="n">
        <v>28.6</v>
      </c>
      <c r="W918" t="n">
        <v>0</v>
      </c>
      <c r="X918" t="n">
        <v>2.65</v>
      </c>
      <c r="Y918" t="n">
        <v>0.209</v>
      </c>
      <c r="Z918" t="inlineStr">
        <is>
          <t>KGR2</t>
        </is>
      </c>
      <c r="AA918" t="inlineStr">
        <is>
          <t>FC</t>
        </is>
      </c>
      <c r="AB918" t="inlineStr">
        <is>
          <t>AD</t>
        </is>
      </c>
      <c r="AC918" t="inlineStr">
        <is>
          <t>28.6-0-2.65-CEW-CEW</t>
        </is>
      </c>
      <c r="AD918" t="inlineStr">
        <is>
          <t>CTL</t>
        </is>
      </c>
      <c r="AE918" t="inlineStr">
        <is>
          <t>28.6-0-2.65-CEW-CEW-0.209</t>
        </is>
      </c>
      <c r="AF918" t="n">
        <v>0.3542654724675</v>
      </c>
    </row>
    <row r="919">
      <c r="A919" s="56" t="n">
        <v>1938118</v>
      </c>
      <c r="B919" s="56" t="inlineStr">
        <is>
          <t>TUB-O-N-AUT-AW-PE-17.30X1.600X0.3550</t>
        </is>
      </c>
      <c r="C919" s="56" t="inlineStr">
        <is>
          <t>4927AK1040</t>
        </is>
      </c>
      <c r="D919" s="56" t="n"/>
      <c r="E919" s="57" t="n">
        <v>105.655</v>
      </c>
      <c r="F919" s="57" t="n">
        <v>0.105655</v>
      </c>
      <c r="G919" s="56" t="inlineStr">
        <is>
          <t>KG</t>
        </is>
      </c>
      <c r="H919" s="56" t="inlineStr">
        <is>
          <t>TF01</t>
        </is>
      </c>
      <c r="I919" s="56" t="inlineStr">
        <is>
          <t>4731</t>
        </is>
      </c>
      <c r="J919" s="56" t="n"/>
      <c r="K919" s="56" t="n"/>
      <c r="L919" s="56" t="n"/>
      <c r="M919" s="56" t="n"/>
      <c r="N919" s="56" t="inlineStr">
        <is>
          <t>Elkayem Auto Ancillaries ( P ) LTD</t>
        </is>
      </c>
      <c r="O919" s="56" t="n">
        <v>11</v>
      </c>
      <c r="P919" s="59" t="inlineStr">
        <is>
          <t>0-30</t>
        </is>
      </c>
      <c r="Q919" s="56" t="inlineStr">
        <is>
          <t>Diwakar</t>
        </is>
      </c>
      <c r="U919" s="585" t="n">
        <v>3472102</v>
      </c>
      <c r="V919" t="n">
        <v>28.6</v>
      </c>
      <c r="W919" t="n">
        <v>23.3</v>
      </c>
      <c r="X919" t="n">
        <v>2.65</v>
      </c>
      <c r="Y919" t="n">
        <v>0.444</v>
      </c>
      <c r="Z919" t="inlineStr"/>
      <c r="AA919" t="inlineStr">
        <is>
          <t>PE</t>
        </is>
      </c>
      <c r="AB919" t="inlineStr">
        <is>
          <t>AD</t>
        </is>
      </c>
      <c r="AC919" t="inlineStr">
        <is>
          <t>28.6-0-2.65-CEW-CEW</t>
        </is>
      </c>
      <c r="AD919" t="inlineStr">
        <is>
          <t>CTL</t>
        </is>
      </c>
      <c r="AE919" t="inlineStr">
        <is>
          <t>28.6-0-2.65-CEW-CEW-0.444</t>
        </is>
      </c>
      <c r="AF919" t="n">
        <v>0.75260224773</v>
      </c>
    </row>
    <row r="920">
      <c r="A920" s="56" t="n">
        <v>1938118</v>
      </c>
      <c r="B920" s="56" t="inlineStr">
        <is>
          <t>TUB-O-N-AUT-AW-PE-17.30X1.600X0.3550</t>
        </is>
      </c>
      <c r="C920" s="56" t="inlineStr">
        <is>
          <t>4927AK1010</t>
        </is>
      </c>
      <c r="D920" s="56" t="n"/>
      <c r="E920" s="57" t="n">
        <v>345.03</v>
      </c>
      <c r="F920" s="57" t="n">
        <v>0.3450299999999999</v>
      </c>
      <c r="G920" s="56" t="inlineStr">
        <is>
          <t>KG</t>
        </is>
      </c>
      <c r="H920" s="56" t="inlineStr">
        <is>
          <t>TF01</t>
        </is>
      </c>
      <c r="I920" s="56" t="inlineStr">
        <is>
          <t>4731</t>
        </is>
      </c>
      <c r="J920" s="56" t="n"/>
      <c r="K920" s="56" t="n"/>
      <c r="L920" s="56" t="n"/>
      <c r="M920" s="56" t="n"/>
      <c r="N920" s="56" t="inlineStr">
        <is>
          <t>Elkayem Auto Ancillaries ( P ) LTD</t>
        </is>
      </c>
      <c r="O920" s="56" t="n">
        <v>59</v>
      </c>
      <c r="P920" s="59" t="inlineStr">
        <is>
          <t>31-60</t>
        </is>
      </c>
      <c r="Q920" s="56" t="inlineStr">
        <is>
          <t>Diwakar</t>
        </is>
      </c>
      <c r="U920" s="585" t="n">
        <v>2410388</v>
      </c>
      <c r="V920" t="n">
        <v>28.6</v>
      </c>
      <c r="W920" t="n">
        <v>23.3</v>
      </c>
      <c r="X920" t="n">
        <v>2.65</v>
      </c>
      <c r="Y920" t="n">
        <v>6</v>
      </c>
      <c r="Z920" t="inlineStr">
        <is>
          <t>KGR2</t>
        </is>
      </c>
      <c r="AA920" t="inlineStr">
        <is>
          <t>FC</t>
        </is>
      </c>
      <c r="AB920" t="inlineStr">
        <is>
          <t>AD</t>
        </is>
      </c>
      <c r="AC920" t="inlineStr">
        <is>
          <t>28.6-0-2.65-CEW-CEW</t>
        </is>
      </c>
      <c r="AD920" t="inlineStr">
        <is>
          <t>LL</t>
        </is>
      </c>
      <c r="AE920" t="inlineStr">
        <is>
          <t>28.6-0-2.65-CEW-CEW-1</t>
        </is>
      </c>
      <c r="AF920" t="n">
        <v>1.6950501075</v>
      </c>
    </row>
    <row r="921">
      <c r="A921" s="56" t="n">
        <v>1938118</v>
      </c>
      <c r="B921" s="56" t="inlineStr">
        <is>
          <t>TUB-O-N-AUT-AW-PE-17.30X1.600X0.3550</t>
        </is>
      </c>
      <c r="C921" s="56" t="inlineStr">
        <is>
          <t>4926CK1070</t>
        </is>
      </c>
      <c r="D921" s="56" t="n"/>
      <c r="E921" s="57" t="n">
        <v>123.2</v>
      </c>
      <c r="F921" s="57" t="n">
        <v>0.1232</v>
      </c>
      <c r="G921" s="56" t="inlineStr">
        <is>
          <t>KG</t>
        </is>
      </c>
      <c r="H921" s="56" t="inlineStr">
        <is>
          <t>TF01</t>
        </is>
      </c>
      <c r="I921" s="56" t="inlineStr">
        <is>
          <t>4731</t>
        </is>
      </c>
      <c r="J921" s="56" t="n"/>
      <c r="K921" s="56" t="n"/>
      <c r="L921" s="56" t="n"/>
      <c r="M921" s="56" t="n"/>
      <c r="N921" s="56" t="inlineStr">
        <is>
          <t>Elkayem Auto Ancillaries ( P ) LTD</t>
        </is>
      </c>
      <c r="O921" s="56" t="n">
        <v>59</v>
      </c>
      <c r="P921" s="59" t="inlineStr">
        <is>
          <t>31-60</t>
        </is>
      </c>
      <c r="Q921" s="56" t="inlineStr">
        <is>
          <t>Diwakar</t>
        </is>
      </c>
      <c r="U921" s="585" t="n">
        <v>3770393</v>
      </c>
      <c r="V921" t="n">
        <v>28.6</v>
      </c>
      <c r="W921" t="n">
        <v>23.3</v>
      </c>
      <c r="X921" t="n">
        <v>2.65</v>
      </c>
      <c r="Y921" t="n">
        <v>6.07</v>
      </c>
      <c r="Z921" t="inlineStr">
        <is>
          <t>KGR2</t>
        </is>
      </c>
      <c r="AA921" t="inlineStr">
        <is>
          <t>FC</t>
        </is>
      </c>
      <c r="AB921" t="inlineStr">
        <is>
          <t>AD</t>
        </is>
      </c>
      <c r="AC921" t="inlineStr">
        <is>
          <t>28.6-0-2.65-CEW-CEW</t>
        </is>
      </c>
      <c r="AD921" t="inlineStr">
        <is>
          <t>LL</t>
        </is>
      </c>
      <c r="AE921" t="inlineStr">
        <is>
          <t>28.6-0-2.65-CEW-CEW-1</t>
        </is>
      </c>
      <c r="AF921" t="n">
        <v>1.6950501075</v>
      </c>
    </row>
    <row r="922">
      <c r="A922" s="56" t="n">
        <v>1938118</v>
      </c>
      <c r="B922" s="56" t="inlineStr">
        <is>
          <t>TUB-O-N-AUT-AW-PE-17.30X1.600X0.3550</t>
        </is>
      </c>
      <c r="C922" s="56" t="inlineStr">
        <is>
          <t>4905AK1060</t>
        </is>
      </c>
      <c r="D922" s="56" t="n"/>
      <c r="E922" s="57" t="n">
        <v>77.349</v>
      </c>
      <c r="F922" s="57" t="n">
        <v>0.077349</v>
      </c>
      <c r="G922" s="56" t="inlineStr">
        <is>
          <t>KG</t>
        </is>
      </c>
      <c r="H922" s="56" t="inlineStr">
        <is>
          <t>TF01</t>
        </is>
      </c>
      <c r="I922" s="56" t="inlineStr">
        <is>
          <t>4731</t>
        </is>
      </c>
      <c r="J922" s="56" t="n"/>
      <c r="K922" s="56" t="n"/>
      <c r="L922" s="56" t="n"/>
      <c r="M922" s="56" t="n"/>
      <c r="N922" s="56" t="inlineStr">
        <is>
          <t>Elkayem Auto Ancillaries ( P ) LTD</t>
        </is>
      </c>
      <c r="O922" s="56" t="n">
        <v>53</v>
      </c>
      <c r="P922" s="59" t="inlineStr">
        <is>
          <t>31-60</t>
        </is>
      </c>
      <c r="Q922" s="56" t="inlineStr">
        <is>
          <t>Diwakar</t>
        </is>
      </c>
      <c r="U922" s="585" t="n">
        <v>2426240</v>
      </c>
      <c r="V922" t="n">
        <v>29.28</v>
      </c>
      <c r="W922" t="n">
        <v>0</v>
      </c>
      <c r="X922" t="n">
        <v>3.4</v>
      </c>
      <c r="Y922" t="n">
        <v>3.5</v>
      </c>
      <c r="Z922" t="inlineStr">
        <is>
          <t>KGR2</t>
        </is>
      </c>
      <c r="AA922" t="inlineStr">
        <is>
          <t>FC</t>
        </is>
      </c>
      <c r="AB922" t="inlineStr">
        <is>
          <t>AD</t>
        </is>
      </c>
      <c r="AC922" t="inlineStr">
        <is>
          <t>29.28-0-3.4-CEW-CEW</t>
        </is>
      </c>
      <c r="AD922" t="inlineStr">
        <is>
          <t>LL</t>
        </is>
      </c>
      <c r="AE922" t="inlineStr">
        <is>
          <t>29.28-0-3.4-CEW-CEW-1</t>
        </is>
      </c>
      <c r="AF922" t="n">
        <v>2.168914808</v>
      </c>
    </row>
    <row r="923">
      <c r="A923" s="56" t="n">
        <v>1938119</v>
      </c>
      <c r="B923" s="56" t="inlineStr">
        <is>
          <t>TUB-O-N-AUT-AW-PE-17.30X1.600X0.4000</t>
        </is>
      </c>
      <c r="C923" s="56" t="inlineStr">
        <is>
          <t>4927AK1050</t>
        </is>
      </c>
      <c r="D923" s="56" t="n"/>
      <c r="E923" s="57" t="n">
        <v>149.107</v>
      </c>
      <c r="F923" s="57" t="n">
        <v>0.149107</v>
      </c>
      <c r="G923" s="56" t="inlineStr">
        <is>
          <t>KG</t>
        </is>
      </c>
      <c r="H923" s="56" t="inlineStr">
        <is>
          <t>TF01</t>
        </is>
      </c>
      <c r="I923" s="56" t="inlineStr">
        <is>
          <t>4731</t>
        </is>
      </c>
      <c r="J923" s="56" t="n"/>
      <c r="K923" s="56" t="n"/>
      <c r="L923" s="56" t="n"/>
      <c r="M923" s="56" t="n"/>
      <c r="N923" s="56" t="inlineStr">
        <is>
          <t>Elkayem Auto Ancillaries ( P ) LTD</t>
        </is>
      </c>
      <c r="O923" s="56" t="n">
        <v>55</v>
      </c>
      <c r="P923" s="59" t="inlineStr">
        <is>
          <t>31-60</t>
        </is>
      </c>
      <c r="Q923" s="56" t="inlineStr">
        <is>
          <t>Diwakar</t>
        </is>
      </c>
      <c r="U923" t="n">
        <v>3974533</v>
      </c>
      <c r="V923" t="n">
        <v>29.35</v>
      </c>
      <c r="W923" t="n">
        <v>0</v>
      </c>
      <c r="X923" t="n">
        <v>4.4</v>
      </c>
      <c r="Y923" t="n">
        <v>0.363</v>
      </c>
      <c r="Z923" t="inlineStr">
        <is>
          <t>SAE1020</t>
        </is>
      </c>
      <c r="AA923" t="inlineStr">
        <is>
          <t>FC</t>
        </is>
      </c>
      <c r="AB923" t="inlineStr">
        <is>
          <t>AD</t>
        </is>
      </c>
      <c r="AC923" t="inlineStr">
        <is>
          <t>29.4-20.4-4.5-CEW STKM 13C-CEW</t>
        </is>
      </c>
      <c r="AD923" t="inlineStr">
        <is>
          <t>CTL</t>
        </is>
      </c>
      <c r="AE923" t="inlineStr">
        <is>
          <t>29.4-20.4-4.5-CEW STKM 13C-CEW-0.363</t>
        </is>
      </c>
      <c r="AF923" t="n">
        <v>0.9822661008600002</v>
      </c>
    </row>
    <row r="924">
      <c r="A924" s="56" t="n">
        <v>1938119</v>
      </c>
      <c r="B924" s="56" t="inlineStr">
        <is>
          <t>TUB-O-N-AUT-AW-PE-17.30X1.600X0.4000</t>
        </is>
      </c>
      <c r="C924" s="56" t="inlineStr">
        <is>
          <t>4906AK1010</t>
        </is>
      </c>
      <c r="D924" s="56" t="n"/>
      <c r="E924" s="57" t="n">
        <v>410.664</v>
      </c>
      <c r="F924" s="57" t="n">
        <v>0.410664</v>
      </c>
      <c r="G924" s="56" t="inlineStr">
        <is>
          <t>KG</t>
        </is>
      </c>
      <c r="H924" s="56" t="inlineStr">
        <is>
          <t>TF01</t>
        </is>
      </c>
      <c r="I924" s="56" t="inlineStr">
        <is>
          <t>4731</t>
        </is>
      </c>
      <c r="J924" s="56" t="n"/>
      <c r="K924" s="56" t="n"/>
      <c r="L924" s="56" t="n"/>
      <c r="M924" s="56" t="n"/>
      <c r="N924" s="56" t="inlineStr">
        <is>
          <t>Elkayem Auto Ancillaries ( P ) LTD</t>
        </is>
      </c>
      <c r="O924" s="56" t="n">
        <v>55</v>
      </c>
      <c r="P924" s="59" t="inlineStr">
        <is>
          <t>31-60</t>
        </is>
      </c>
      <c r="Q924" s="56" t="inlineStr">
        <is>
          <t>Diwakar</t>
        </is>
      </c>
      <c r="U924" t="n">
        <v>3983443</v>
      </c>
      <c r="V924" t="n">
        <v>29.35</v>
      </c>
      <c r="W924" t="n">
        <v>0</v>
      </c>
      <c r="X924" t="n">
        <v>4.4</v>
      </c>
      <c r="Y924" t="n">
        <v>0.378</v>
      </c>
      <c r="Z924" t="inlineStr">
        <is>
          <t>SAE1020</t>
        </is>
      </c>
      <c r="AA924" t="inlineStr">
        <is>
          <t>FC</t>
        </is>
      </c>
      <c r="AB924" t="inlineStr">
        <is>
          <t>AD</t>
        </is>
      </c>
      <c r="AC924" t="inlineStr">
        <is>
          <t>CUT-O-C-AUT-AN-FC-29.35X4.400X0.3780</t>
        </is>
      </c>
      <c r="AD924" t="inlineStr">
        <is>
          <t>CTL</t>
        </is>
      </c>
      <c r="AE924" t="inlineStr">
        <is>
          <t>CUT-O-C-AUT-AN-FC-29.35X4.400X0.3780-0.378</t>
        </is>
      </c>
      <c r="AF924" t="n">
        <v>1.02285560916</v>
      </c>
    </row>
    <row r="925">
      <c r="A925" s="56" t="n">
        <v>1938119</v>
      </c>
      <c r="B925" s="56" t="inlineStr">
        <is>
          <t>TUB-O-N-AUT-AW-PE-17.30X1.600X0.4000</t>
        </is>
      </c>
      <c r="C925" s="56" t="inlineStr">
        <is>
          <t>4905CK1080</t>
        </is>
      </c>
      <c r="D925" s="56" t="n"/>
      <c r="E925" s="57" t="n">
        <v>174.536</v>
      </c>
      <c r="F925" s="57" t="n">
        <v>0.174536</v>
      </c>
      <c r="G925" s="56" t="inlineStr">
        <is>
          <t>KG</t>
        </is>
      </c>
      <c r="H925" s="56" t="inlineStr">
        <is>
          <t>TF01</t>
        </is>
      </c>
      <c r="I925" s="56" t="inlineStr">
        <is>
          <t>4731</t>
        </is>
      </c>
      <c r="J925" s="56" t="n"/>
      <c r="K925" s="56" t="n"/>
      <c r="L925" s="56" t="n"/>
      <c r="M925" s="56" t="n"/>
      <c r="N925" s="56" t="inlineStr">
        <is>
          <t>Elkayem Auto Ancillaries ( P ) LTD</t>
        </is>
      </c>
      <c r="O925" s="56" t="n">
        <v>2</v>
      </c>
      <c r="P925" s="59" t="inlineStr">
        <is>
          <t>0-30</t>
        </is>
      </c>
      <c r="Q925" s="56" t="inlineStr">
        <is>
          <t>Diwakar</t>
        </is>
      </c>
      <c r="U925" t="n">
        <v>3185923</v>
      </c>
      <c r="V925" t="n">
        <v>29.35</v>
      </c>
      <c r="W925" t="n">
        <v>0</v>
      </c>
      <c r="X925" t="n">
        <v>4.4</v>
      </c>
      <c r="Y925" t="n">
        <v>4.1</v>
      </c>
      <c r="Z925" t="inlineStr">
        <is>
          <t>SAE1020</t>
        </is>
      </c>
      <c r="AA925" t="inlineStr">
        <is>
          <t>FC</t>
        </is>
      </c>
      <c r="AB925" t="inlineStr">
        <is>
          <t>AD</t>
        </is>
      </c>
      <c r="AC925" t="inlineStr">
        <is>
          <t>TUB-O-C-AUT-AN-FC-29.35X4.400X4.1000</t>
        </is>
      </c>
      <c r="AD925" t="inlineStr">
        <is>
          <t>LL</t>
        </is>
      </c>
      <c r="AE925" t="inlineStr">
        <is>
          <t>TUB-O-C-AUT-AN-FC-29.35X4.400X4.1000-1</t>
        </is>
      </c>
      <c r="AF925" t="n">
        <v>2.705967220000001</v>
      </c>
    </row>
    <row r="926">
      <c r="A926" s="56" t="n">
        <v>1938119</v>
      </c>
      <c r="B926" s="56" t="inlineStr">
        <is>
          <t>TUB-O-N-AUT-AW-PE-17.30X1.600X0.4000</t>
        </is>
      </c>
      <c r="C926" s="56" t="inlineStr">
        <is>
          <t>4905CK1070</t>
        </is>
      </c>
      <c r="D926" s="56" t="n"/>
      <c r="E926" s="57" t="n">
        <v>423.162</v>
      </c>
      <c r="F926" s="57" t="n">
        <v>0.423162</v>
      </c>
      <c r="G926" s="56" t="inlineStr">
        <is>
          <t>KG</t>
        </is>
      </c>
      <c r="H926" s="56" t="inlineStr">
        <is>
          <t>TF01</t>
        </is>
      </c>
      <c r="I926" s="56" t="inlineStr">
        <is>
          <t>4731</t>
        </is>
      </c>
      <c r="J926" s="56" t="n"/>
      <c r="K926" s="56" t="n"/>
      <c r="L926" s="56" t="n"/>
      <c r="M926" s="56" t="n"/>
      <c r="N926" s="56" t="inlineStr">
        <is>
          <t>Elkayem Auto Ancillaries ( P ) LTD</t>
        </is>
      </c>
      <c r="O926" s="56" t="n">
        <v>5</v>
      </c>
      <c r="P926" s="59" t="inlineStr">
        <is>
          <t>0-30</t>
        </is>
      </c>
      <c r="Q926" s="56" t="inlineStr">
        <is>
          <t>Diwakar</t>
        </is>
      </c>
      <c r="U926" s="585" t="n">
        <v>3190072</v>
      </c>
      <c r="V926" t="n">
        <v>29.4</v>
      </c>
      <c r="W926" t="n">
        <v>0</v>
      </c>
      <c r="X926" t="n">
        <v>4.5</v>
      </c>
      <c r="Y926" t="n">
        <v>0.357</v>
      </c>
      <c r="Z926" t="inlineStr">
        <is>
          <t>SAE1020</t>
        </is>
      </c>
      <c r="AA926" t="inlineStr">
        <is>
          <t>FC</t>
        </is>
      </c>
      <c r="AB926" t="inlineStr">
        <is>
          <t>AD</t>
        </is>
      </c>
      <c r="AC926" t="inlineStr">
        <is>
          <t>29.4-20.4-4.5-CEW STKM 13C-CEW</t>
        </is>
      </c>
      <c r="AD926" t="inlineStr">
        <is>
          <t>CTL</t>
        </is>
      </c>
      <c r="AE926" t="inlineStr">
        <is>
          <t>29.4-20.4-4.5-CEW STKM 13C-CEW-0.357</t>
        </is>
      </c>
      <c r="AF926" t="n">
        <v>0.9860056006499999</v>
      </c>
    </row>
    <row r="927">
      <c r="A927" s="56" t="n">
        <v>1938125</v>
      </c>
      <c r="B927" s="56" t="inlineStr">
        <is>
          <t>TUB-I-C-AUT-AN-FC-39.00X34.00X0.2720</t>
        </is>
      </c>
      <c r="C927" s="56" t="inlineStr">
        <is>
          <t>4915CK3030</t>
        </is>
      </c>
      <c r="D927" s="56" t="n"/>
      <c r="E927" s="57" t="n">
        <v>661.225</v>
      </c>
      <c r="F927" s="57" t="n">
        <v>0.6612250000000001</v>
      </c>
      <c r="G927" s="56" t="inlineStr">
        <is>
          <t>KG</t>
        </is>
      </c>
      <c r="H927" s="56" t="inlineStr">
        <is>
          <t>TF01</t>
        </is>
      </c>
      <c r="I927" s="56" t="inlineStr">
        <is>
          <t>4731</t>
        </is>
      </c>
      <c r="J927" s="56" t="n"/>
      <c r="K927" s="56" t="n"/>
      <c r="L927" s="56" t="n"/>
      <c r="M927" s="56" t="n"/>
      <c r="N927" s="56" t="inlineStr">
        <is>
          <t>Marathwada Auto Compo Pvt. Ltd.</t>
        </is>
      </c>
      <c r="O927" s="56" t="n">
        <v>11</v>
      </c>
      <c r="P927" s="59" t="inlineStr">
        <is>
          <t>0-30</t>
        </is>
      </c>
      <c r="Q927" s="56" t="inlineStr">
        <is>
          <t>Apoorv</t>
        </is>
      </c>
      <c r="U927" s="585" t="n">
        <v>3909903</v>
      </c>
      <c r="V927" t="n">
        <v>29.4</v>
      </c>
      <c r="W927" t="n">
        <v>0</v>
      </c>
      <c r="X927" t="n">
        <v>4.5</v>
      </c>
      <c r="Y927" t="n">
        <v>0.357</v>
      </c>
      <c r="Z927" t="inlineStr">
        <is>
          <t>KGR2</t>
        </is>
      </c>
      <c r="AA927" t="inlineStr">
        <is>
          <t>FC</t>
        </is>
      </c>
      <c r="AB927" t="inlineStr">
        <is>
          <t>AD</t>
        </is>
      </c>
      <c r="AC927" t="inlineStr">
        <is>
          <t>29.4-20.4-4.5-CEW-CEW</t>
        </is>
      </c>
      <c r="AD927" t="inlineStr">
        <is>
          <t>CTL</t>
        </is>
      </c>
      <c r="AE927" t="inlineStr">
        <is>
          <t>29.4-20.4-4.5-CEW-CEW-0.357</t>
        </is>
      </c>
      <c r="AF927" t="n">
        <v>0.9860056006499999</v>
      </c>
    </row>
    <row r="928">
      <c r="A928" s="56" t="n">
        <v>1938163</v>
      </c>
      <c r="B928" s="56" t="inlineStr">
        <is>
          <t>TUB-O-N-AUT-AW-PE-17.30X1.600X0.6400</t>
        </is>
      </c>
      <c r="C928" s="56" t="inlineStr">
        <is>
          <t>4927AK1050</t>
        </is>
      </c>
      <c r="D928" s="56" t="n"/>
      <c r="E928" s="57" t="n">
        <v>309.277</v>
      </c>
      <c r="F928" s="57" t="n">
        <v>0.309277</v>
      </c>
      <c r="G928" s="56" t="inlineStr">
        <is>
          <t>KG</t>
        </is>
      </c>
      <c r="H928" s="56" t="inlineStr">
        <is>
          <t>TF01</t>
        </is>
      </c>
      <c r="I928" s="56" t="inlineStr">
        <is>
          <t>4731</t>
        </is>
      </c>
      <c r="J928" s="56" t="n"/>
      <c r="K928" s="56" t="n"/>
      <c r="L928" s="56" t="n"/>
      <c r="M928" s="56" t="n"/>
      <c r="N928" s="56" t="inlineStr">
        <is>
          <t>SRIKAM HITECH ENGINEERING PRIVATE L</t>
        </is>
      </c>
      <c r="O928" s="56" t="n">
        <v>18</v>
      </c>
      <c r="P928" s="59" t="inlineStr">
        <is>
          <t>0-30</t>
        </is>
      </c>
      <c r="Q928" s="56" t="inlineStr">
        <is>
          <t>Apoorv</t>
        </is>
      </c>
      <c r="U928" s="585" t="n">
        <v>3948187</v>
      </c>
      <c r="V928" t="n">
        <v>29.4</v>
      </c>
      <c r="W928" t="n">
        <v>0</v>
      </c>
      <c r="X928" t="n">
        <v>4.5</v>
      </c>
      <c r="Y928" t="n">
        <v>0.359</v>
      </c>
      <c r="Z928" t="inlineStr">
        <is>
          <t>KGR2</t>
        </is>
      </c>
      <c r="AA928" t="inlineStr">
        <is>
          <t>FC</t>
        </is>
      </c>
      <c r="AB928" t="inlineStr">
        <is>
          <t>AD</t>
        </is>
      </c>
      <c r="AC928" t="inlineStr">
        <is>
          <t>29.4-20.4-4.5-CEW-CEW</t>
        </is>
      </c>
      <c r="AD928" t="inlineStr">
        <is>
          <t>CTL</t>
        </is>
      </c>
      <c r="AE928" t="inlineStr">
        <is>
          <t>29.4-20.4-4.5-CEW-CEW-0.358</t>
        </is>
      </c>
      <c r="AF928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929">
      <c r="A929" s="56" t="n">
        <v>1938163</v>
      </c>
      <c r="B929" s="56" t="inlineStr">
        <is>
          <t>TUB-O-N-AUT-AW-PE-17.30X1.600X0.6400</t>
        </is>
      </c>
      <c r="C929" s="56" t="inlineStr">
        <is>
          <t>4907AK1040</t>
        </is>
      </c>
      <c r="D929" s="56" t="n"/>
      <c r="E929" s="57" t="n">
        <v>1985.67</v>
      </c>
      <c r="F929" s="57" t="n">
        <v>1.98567</v>
      </c>
      <c r="G929" s="56" t="inlineStr">
        <is>
          <t>KG</t>
        </is>
      </c>
      <c r="H929" s="56" t="inlineStr">
        <is>
          <t>TF01</t>
        </is>
      </c>
      <c r="I929" s="56" t="inlineStr">
        <is>
          <t>4731</t>
        </is>
      </c>
      <c r="J929" s="56" t="n"/>
      <c r="K929" s="56" t="n"/>
      <c r="L929" s="56" t="n"/>
      <c r="M929" s="56" t="n"/>
      <c r="N929" s="56" t="inlineStr">
        <is>
          <t>SRIKAM HITECH ENGINEERING PRIVATE L</t>
        </is>
      </c>
      <c r="O929" s="56" t="n">
        <v>17</v>
      </c>
      <c r="P929" s="59" t="inlineStr">
        <is>
          <t>0-30</t>
        </is>
      </c>
      <c r="Q929" s="56" t="inlineStr">
        <is>
          <t>Apoorv</t>
        </is>
      </c>
      <c r="U929" s="585" t="n">
        <v>3940551</v>
      </c>
      <c r="V929" t="n">
        <v>29.4</v>
      </c>
      <c r="W929" t="n">
        <v>0</v>
      </c>
      <c r="X929" t="n">
        <v>4.5</v>
      </c>
      <c r="Y929" t="n">
        <v>0.36</v>
      </c>
      <c r="Z929" t="inlineStr">
        <is>
          <t>KGR2</t>
        </is>
      </c>
      <c r="AA929" t="inlineStr">
        <is>
          <t>FC</t>
        </is>
      </c>
      <c r="AB929" t="inlineStr">
        <is>
          <t>AD</t>
        </is>
      </c>
      <c r="AC929" t="inlineStr">
        <is>
          <t>29.4-20.4-4.5-CEW-CEW</t>
        </is>
      </c>
      <c r="AD929" t="inlineStr">
        <is>
          <t>CTL</t>
        </is>
      </c>
      <c r="AE929" t="inlineStr">
        <is>
          <t>29.4-20.4-4.5-CEW-CEW-0.36</t>
        </is>
      </c>
      <c r="AF929" t="n">
        <v>0.9942913619999999</v>
      </c>
    </row>
    <row r="930">
      <c r="A930" s="56" t="n">
        <v>1938191</v>
      </c>
      <c r="B930" s="56" t="inlineStr">
        <is>
          <t>TUB-I-C-AUT-AD-FC-12.50X3.250X0.5880</t>
        </is>
      </c>
      <c r="C930" s="56" t="inlineStr">
        <is>
          <t>4A12K35176</t>
        </is>
      </c>
      <c r="D930" s="56" t="n"/>
      <c r="E930" s="57" t="n">
        <v>520.1</v>
      </c>
      <c r="F930" s="57" t="n">
        <v>0.5201</v>
      </c>
      <c r="G930" s="56" t="inlineStr">
        <is>
          <t>KG</t>
        </is>
      </c>
      <c r="H930" s="56" t="inlineStr">
        <is>
          <t>TF01</t>
        </is>
      </c>
      <c r="I930" s="56" t="inlineStr">
        <is>
          <t>4731</t>
        </is>
      </c>
      <c r="J930" s="56" t="n"/>
      <c r="K930" s="56" t="n"/>
      <c r="L930" s="56" t="n"/>
      <c r="M930" s="56" t="n"/>
      <c r="N930" s="56" t="inlineStr">
        <is>
          <t>SRIKAM HITECH ENGINEERING PRIVATE L</t>
        </is>
      </c>
      <c r="O930" s="56" t="n">
        <v>24</v>
      </c>
      <c r="P930" s="59" t="inlineStr">
        <is>
          <t>0-30</t>
        </is>
      </c>
      <c r="Q930" s="56" t="inlineStr">
        <is>
          <t>Apoorv</t>
        </is>
      </c>
      <c r="U930" s="585" t="n">
        <v>1939285</v>
      </c>
      <c r="V930" t="n">
        <v>29.4</v>
      </c>
      <c r="W930" t="n">
        <v>0</v>
      </c>
      <c r="X930" t="n">
        <v>4.5</v>
      </c>
      <c r="Y930" t="n">
        <v>0.361</v>
      </c>
      <c r="Z930" t="inlineStr">
        <is>
          <t>SAE1020</t>
        </is>
      </c>
      <c r="AA930" t="inlineStr">
        <is>
          <t>FC</t>
        </is>
      </c>
      <c r="AB930" t="inlineStr">
        <is>
          <t>AD</t>
        </is>
      </c>
      <c r="AC930" t="inlineStr">
        <is>
          <t>29.4-20.4-4.5-CEW STKM 13C-CEW</t>
        </is>
      </c>
      <c r="AD930" t="inlineStr">
        <is>
          <t>CTL</t>
        </is>
      </c>
      <c r="AE930" t="inlineStr">
        <is>
          <t>29.4-20.4-4.5-CEW STKM 13C-CEW-0.361</t>
        </is>
      </c>
      <c r="AF930" t="n">
        <v>0.9970532824499999</v>
      </c>
    </row>
    <row r="931">
      <c r="A931" s="56" t="n">
        <v>1938191</v>
      </c>
      <c r="B931" s="56" t="inlineStr">
        <is>
          <t>TUB-I-C-AUT-AD-FC-12.50X3.250X0.5880</t>
        </is>
      </c>
      <c r="C931" s="56" t="inlineStr">
        <is>
          <t>4A12K35175</t>
        </is>
      </c>
      <c r="D931" s="56" t="n"/>
      <c r="E931" s="57" t="n">
        <v>78.685</v>
      </c>
      <c r="F931" s="57" t="n">
        <v>0.078685</v>
      </c>
      <c r="G931" s="56" t="inlineStr">
        <is>
          <t>KG</t>
        </is>
      </c>
      <c r="H931" s="56" t="inlineStr">
        <is>
          <t>TF01</t>
        </is>
      </c>
      <c r="I931" s="56" t="inlineStr">
        <is>
          <t>4731</t>
        </is>
      </c>
      <c r="J931" s="56" t="n"/>
      <c r="K931" s="56" t="n"/>
      <c r="L931" s="56" t="n"/>
      <c r="M931" s="56" t="n"/>
      <c r="N931" s="56" t="inlineStr">
        <is>
          <t>SRIKAM HITECH ENGINEERING PRIVATE L</t>
        </is>
      </c>
      <c r="O931" s="56" t="n">
        <v>26</v>
      </c>
      <c r="P931" s="59" t="inlineStr">
        <is>
          <t>0-30</t>
        </is>
      </c>
      <c r="Q931" s="56" t="inlineStr">
        <is>
          <t>Apoorv</t>
        </is>
      </c>
      <c r="U931" s="585" t="n">
        <v>1941303</v>
      </c>
      <c r="V931" t="n">
        <v>29.4</v>
      </c>
      <c r="W931" t="n">
        <v>0</v>
      </c>
      <c r="X931" t="n">
        <v>4.5</v>
      </c>
      <c r="Y931" t="n">
        <v>0.361</v>
      </c>
      <c r="Z931" t="inlineStr">
        <is>
          <t>SAE1020</t>
        </is>
      </c>
      <c r="AA931" t="inlineStr">
        <is>
          <t>FC</t>
        </is>
      </c>
      <c r="AB931" t="inlineStr">
        <is>
          <t>AD</t>
        </is>
      </c>
      <c r="AC931" t="inlineStr">
        <is>
          <t>29.4-20.4-4.5-CEW STKM 13C-CEW</t>
        </is>
      </c>
      <c r="AD931" t="inlineStr">
        <is>
          <t>CTL</t>
        </is>
      </c>
      <c r="AE931" t="inlineStr">
        <is>
          <t>29.4-20.4-4.5-CEW STKM 13C-CEW-0.361</t>
        </is>
      </c>
      <c r="AF931" t="n">
        <v>0.9970532824499999</v>
      </c>
    </row>
    <row r="932">
      <c r="A932" s="56" t="n">
        <v>1938358</v>
      </c>
      <c r="B932" s="56" t="inlineStr">
        <is>
          <t>TUB-O-N-AUT-AN-FC-42.70X4.000X0.2540</t>
        </is>
      </c>
      <c r="C932" s="56" t="inlineStr">
        <is>
          <t>4928BK3200</t>
        </is>
      </c>
      <c r="D932" s="56" t="n"/>
      <c r="E932" s="57" t="n">
        <v>488.88</v>
      </c>
      <c r="F932" s="57" t="n">
        <v>0.48888</v>
      </c>
      <c r="G932" s="56" t="inlineStr">
        <is>
          <t>KG</t>
        </is>
      </c>
      <c r="H932" s="56" t="inlineStr">
        <is>
          <t>TF01</t>
        </is>
      </c>
      <c r="I932" s="56" t="inlineStr">
        <is>
          <t>4731</t>
        </is>
      </c>
      <c r="J932" s="56" t="n"/>
      <c r="K932" s="56" t="n"/>
      <c r="L932" s="56" t="n"/>
      <c r="M932" s="56" t="n"/>
      <c r="N932" s="56" t="inlineStr">
        <is>
          <t>Rajsriya Automotive Ind Pvt Ltd.</t>
        </is>
      </c>
      <c r="O932" s="56" t="n">
        <v>24</v>
      </c>
      <c r="P932" s="59" t="inlineStr">
        <is>
          <t>0-30</t>
        </is>
      </c>
      <c r="Q932" s="56" t="inlineStr">
        <is>
          <t>Apoorv</t>
        </is>
      </c>
      <c r="U932" t="n">
        <v>3909902</v>
      </c>
      <c r="V932" t="n">
        <v>29.4</v>
      </c>
      <c r="W932" t="n">
        <v>0</v>
      </c>
      <c r="X932" t="n">
        <v>4.5</v>
      </c>
      <c r="Y932" t="n">
        <v>0.361</v>
      </c>
      <c r="Z932" t="inlineStr">
        <is>
          <t>KGR2</t>
        </is>
      </c>
      <c r="AA932" t="inlineStr">
        <is>
          <t>FC</t>
        </is>
      </c>
      <c r="AB932" t="inlineStr">
        <is>
          <t>AD</t>
        </is>
      </c>
      <c r="AC932" t="inlineStr">
        <is>
          <t>29.4-20.4-4.5-CEW-CEW</t>
        </is>
      </c>
      <c r="AD932" t="inlineStr">
        <is>
          <t>CTL</t>
        </is>
      </c>
      <c r="AE932" t="inlineStr">
        <is>
          <t>29.4-20.4-4.5-CEW-CEW-0.361</t>
        </is>
      </c>
      <c r="AF932" t="n">
        <v>0.9970532824499999</v>
      </c>
    </row>
    <row r="933">
      <c r="A933" s="56" t="n">
        <v>1938358</v>
      </c>
      <c r="B933" s="56" t="inlineStr">
        <is>
          <t>TUB-O-N-AUT-AN-FC-42.70X4.000X0.2540</t>
        </is>
      </c>
      <c r="C933" s="56" t="inlineStr">
        <is>
          <t>4928BK3150</t>
        </is>
      </c>
      <c r="D933" s="56" t="n"/>
      <c r="E933" s="57" t="n">
        <v>729.936</v>
      </c>
      <c r="F933" s="57" t="n">
        <v>0.729936</v>
      </c>
      <c r="G933" s="56" t="inlineStr">
        <is>
          <t>KG</t>
        </is>
      </c>
      <c r="H933" s="56" t="inlineStr">
        <is>
          <t>TF01</t>
        </is>
      </c>
      <c r="I933" s="56" t="inlineStr">
        <is>
          <t>4731</t>
        </is>
      </c>
      <c r="J933" s="56" t="n"/>
      <c r="K933" s="56" t="n"/>
      <c r="L933" s="56" t="n"/>
      <c r="M933" s="56" t="n"/>
      <c r="N933" s="56" t="inlineStr">
        <is>
          <t>Rajsriya Automotive Ind Pvt Ltd.</t>
        </is>
      </c>
      <c r="O933" s="56" t="n">
        <v>27</v>
      </c>
      <c r="P933" s="59" t="inlineStr">
        <is>
          <t>0-30</t>
        </is>
      </c>
      <c r="Q933" s="56" t="inlineStr">
        <is>
          <t>Apoorv</t>
        </is>
      </c>
      <c r="U933" t="n">
        <v>4070862</v>
      </c>
      <c r="V933" t="n">
        <v>29.4</v>
      </c>
      <c r="W933" t="n">
        <v>0</v>
      </c>
      <c r="X933" t="n">
        <v>4.5</v>
      </c>
      <c r="Y933" t="n">
        <v>0.364</v>
      </c>
      <c r="Z933" t="inlineStr">
        <is>
          <t>KGR2</t>
        </is>
      </c>
      <c r="AA933" t="inlineStr">
        <is>
          <t>FC</t>
        </is>
      </c>
      <c r="AB933" t="inlineStr">
        <is>
          <t>AD</t>
        </is>
      </c>
      <c r="AC933" t="inlineStr">
        <is>
          <t>29.4-20.4-4.5-CEW-CEW</t>
        </is>
      </c>
      <c r="AD933" t="inlineStr">
        <is>
          <t>CTL</t>
        </is>
      </c>
      <c r="AE933" t="inlineStr">
        <is>
          <t>29.4-20.4-4.5-CEW-CEW-0.364</t>
        </is>
      </c>
      <c r="AF933" t="n">
        <v>1.0053390438</v>
      </c>
    </row>
    <row r="934">
      <c r="A934" s="56" t="n">
        <v>1938382</v>
      </c>
      <c r="B934" s="56" t="inlineStr">
        <is>
          <t>TUB-O-N-AUT-AW-PE-17.30X1.600X0.3870</t>
        </is>
      </c>
      <c r="C934" s="56" t="inlineStr">
        <is>
          <t>4906BK1010</t>
        </is>
      </c>
      <c r="D934" s="56" t="n"/>
      <c r="E934" s="57" t="n">
        <v>669.793</v>
      </c>
      <c r="F934" s="57" t="n">
        <v>0.669793</v>
      </c>
      <c r="G934" s="56" t="inlineStr">
        <is>
          <t>KG</t>
        </is>
      </c>
      <c r="H934" s="56" t="inlineStr">
        <is>
          <t>TF01</t>
        </is>
      </c>
      <c r="I934" s="56" t="inlineStr">
        <is>
          <t>4731</t>
        </is>
      </c>
      <c r="J934" s="56" t="n"/>
      <c r="K934" s="56" t="n"/>
      <c r="L934" s="56" t="n"/>
      <c r="M934" s="56" t="n"/>
      <c r="N934" s="56" t="inlineStr">
        <is>
          <t>Elkayem Auto Ancillaries ( P ) LTD</t>
        </is>
      </c>
      <c r="O934" s="56" t="n">
        <v>55</v>
      </c>
      <c r="P934" s="59" t="inlineStr">
        <is>
          <t>31-60</t>
        </is>
      </c>
      <c r="Q934" s="56" t="inlineStr">
        <is>
          <t>Diwakar</t>
        </is>
      </c>
      <c r="U934" s="585" t="n">
        <v>2359912</v>
      </c>
      <c r="V934" t="n">
        <v>29.4</v>
      </c>
      <c r="W934" t="n">
        <v>0</v>
      </c>
      <c r="X934" t="n">
        <v>4.5</v>
      </c>
      <c r="Y934" t="n">
        <v>0.376</v>
      </c>
      <c r="Z934" t="inlineStr">
        <is>
          <t>SAE1020</t>
        </is>
      </c>
      <c r="AA934" t="inlineStr">
        <is>
          <t>FC</t>
        </is>
      </c>
      <c r="AB934" t="inlineStr">
        <is>
          <t>AD</t>
        </is>
      </c>
      <c r="AC934" t="inlineStr">
        <is>
          <t>29.4-20.4-4.5-CEW STKM 13C-CEW</t>
        </is>
      </c>
      <c r="AD934" t="inlineStr">
        <is>
          <t>CTL</t>
        </is>
      </c>
      <c r="AE934" t="inlineStr">
        <is>
          <t>29.4-20.4-4.5-CEW STKM 13C-CEW-0.376</t>
        </is>
      </c>
      <c r="AF934" t="n">
        <v>1.0384820892</v>
      </c>
    </row>
    <row r="935">
      <c r="A935" s="56" t="n">
        <v>1938382</v>
      </c>
      <c r="B935" s="56" t="inlineStr">
        <is>
          <t>TUB-O-N-AUT-AW-PE-17.30X1.600X0.3870</t>
        </is>
      </c>
      <c r="C935" s="56" t="inlineStr">
        <is>
          <t>4906AK1040</t>
        </is>
      </c>
      <c r="D935" s="56" t="n"/>
      <c r="E935" s="57" t="n">
        <v>991.478</v>
      </c>
      <c r="F935" s="57" t="n">
        <v>0.991478</v>
      </c>
      <c r="G935" s="56" t="inlineStr">
        <is>
          <t>KG</t>
        </is>
      </c>
      <c r="H935" s="56" t="inlineStr">
        <is>
          <t>TF01</t>
        </is>
      </c>
      <c r="I935" s="56" t="inlineStr">
        <is>
          <t>4731</t>
        </is>
      </c>
      <c r="J935" s="56" t="n"/>
      <c r="K935" s="56" t="n"/>
      <c r="L935" s="56" t="n"/>
      <c r="M935" s="56" t="n"/>
      <c r="N935" s="56" t="inlineStr">
        <is>
          <t>Elkayem Auto Ancillaries ( P ) LTD</t>
        </is>
      </c>
      <c r="O935" s="56" t="n">
        <v>55</v>
      </c>
      <c r="P935" s="59" t="inlineStr">
        <is>
          <t>31-60</t>
        </is>
      </c>
      <c r="Q935" s="56" t="inlineStr">
        <is>
          <t>Diwakar</t>
        </is>
      </c>
      <c r="U935" t="n">
        <v>3909769</v>
      </c>
      <c r="V935" t="n">
        <v>29.4</v>
      </c>
      <c r="W935" t="n">
        <v>0</v>
      </c>
      <c r="X935" t="n">
        <v>4.5</v>
      </c>
      <c r="Y935" t="n">
        <v>0.376</v>
      </c>
      <c r="Z935" t="inlineStr">
        <is>
          <t>KGR2</t>
        </is>
      </c>
      <c r="AA935" t="inlineStr">
        <is>
          <t>FC</t>
        </is>
      </c>
      <c r="AB935" t="inlineStr">
        <is>
          <t>AD</t>
        </is>
      </c>
      <c r="AC935" t="inlineStr">
        <is>
          <t>29.4-20.4-4.5-CEW-CEW</t>
        </is>
      </c>
      <c r="AD935" t="inlineStr">
        <is>
          <t>CTL</t>
        </is>
      </c>
      <c r="AE935" t="inlineStr">
        <is>
          <t>29.4-20.4-4.5-CEW-CEW-0.376</t>
        </is>
      </c>
      <c r="AF935" t="n">
        <v>1.0384820892</v>
      </c>
    </row>
    <row r="936">
      <c r="A936" s="56" t="n">
        <v>1939283</v>
      </c>
      <c r="B936" s="56" t="inlineStr">
        <is>
          <t>TUB-O-C-CEW-AD-FC-25.40X3.500X0.2630</t>
        </is>
      </c>
      <c r="C936" s="56" t="inlineStr">
        <is>
          <t>MG12B2401</t>
        </is>
      </c>
      <c r="D936" s="56" t="n"/>
      <c r="E936" s="57" t="n">
        <v>1641.985</v>
      </c>
      <c r="F936" s="57" t="n">
        <v>1.641985</v>
      </c>
      <c r="G936" s="56" t="inlineStr">
        <is>
          <t>KG</t>
        </is>
      </c>
      <c r="H936" s="56" t="inlineStr">
        <is>
          <t>TF01</t>
        </is>
      </c>
      <c r="I936" s="56" t="inlineStr">
        <is>
          <t>4731</t>
        </is>
      </c>
      <c r="J936" s="56" t="n"/>
      <c r="K936" s="56" t="n"/>
      <c r="L936" s="56" t="n"/>
      <c r="M936" s="56" t="n"/>
      <c r="N936" s="60" t="inlineStr">
        <is>
          <t>Narasipur Auto Component(P)Ltd</t>
        </is>
      </c>
      <c r="O936" s="56" t="n">
        <v>2</v>
      </c>
      <c r="P936" s="59" t="inlineStr">
        <is>
          <t>0-30</t>
        </is>
      </c>
      <c r="Q936" s="56" t="inlineStr">
        <is>
          <t>Jitendra Kumar Sharma</t>
        </is>
      </c>
      <c r="U936" t="n">
        <v>4070861</v>
      </c>
      <c r="V936" t="n">
        <v>29.4</v>
      </c>
      <c r="W936" t="n">
        <v>0</v>
      </c>
      <c r="X936" t="n">
        <v>4.5</v>
      </c>
      <c r="Y936" t="n">
        <v>0.379</v>
      </c>
      <c r="Z936" t="inlineStr">
        <is>
          <t>KGR2</t>
        </is>
      </c>
      <c r="AA936" t="inlineStr">
        <is>
          <t>FC</t>
        </is>
      </c>
      <c r="AB936" t="inlineStr">
        <is>
          <t>AD</t>
        </is>
      </c>
      <c r="AC936" t="inlineStr">
        <is>
          <t>29.4-20.4-4.5-CEW-CEW</t>
        </is>
      </c>
      <c r="AD936" t="inlineStr">
        <is>
          <t>CTL</t>
        </is>
      </c>
      <c r="AE936" t="inlineStr">
        <is>
          <t>29.4-20.4-4.5-CEW-CEW-0.379</t>
        </is>
      </c>
      <c r="AF936" t="n">
        <v>1.04676785055</v>
      </c>
    </row>
    <row r="937">
      <c r="A937" s="56" t="n">
        <v>1939283</v>
      </c>
      <c r="B937" s="56" t="inlineStr">
        <is>
          <t>TUB-O-C-CEW-AD-FC-25.40X3.500X0.2630</t>
        </is>
      </c>
      <c r="C937" s="56" t="inlineStr">
        <is>
          <t>4B07BK2090</t>
        </is>
      </c>
      <c r="D937" s="56" t="n"/>
      <c r="E937" s="57" t="n">
        <v>222.656</v>
      </c>
      <c r="F937" s="57" t="n">
        <v>0.222656</v>
      </c>
      <c r="G937" s="56" t="inlineStr">
        <is>
          <t>KG</t>
        </is>
      </c>
      <c r="H937" s="56" t="inlineStr">
        <is>
          <t>TF01</t>
        </is>
      </c>
      <c r="I937" s="56" t="inlineStr">
        <is>
          <t>4731</t>
        </is>
      </c>
      <c r="J937" s="56" t="n"/>
      <c r="K937" s="56" t="n"/>
      <c r="L937" s="56" t="n"/>
      <c r="M937" s="56" t="n"/>
      <c r="N937" s="60" t="inlineStr">
        <is>
          <t>Narasipur Auto Component(P)Ltd</t>
        </is>
      </c>
      <c r="O937" s="56" t="n">
        <v>2</v>
      </c>
      <c r="P937" s="59" t="inlineStr">
        <is>
          <t>0-30</t>
        </is>
      </c>
      <c r="Q937" s="56" t="inlineStr">
        <is>
          <t>Jitendra Kumar Sharma</t>
        </is>
      </c>
      <c r="U937" s="585" t="n">
        <v>3190073</v>
      </c>
      <c r="V937" t="n">
        <v>29.4</v>
      </c>
      <c r="W937" t="n">
        <v>0</v>
      </c>
      <c r="X937" t="n">
        <v>4.5</v>
      </c>
      <c r="Y937" t="n">
        <v>0.385</v>
      </c>
      <c r="Z937" t="inlineStr">
        <is>
          <t>SAE1020</t>
        </is>
      </c>
      <c r="AA937" t="inlineStr">
        <is>
          <t>FC</t>
        </is>
      </c>
      <c r="AB937" t="inlineStr">
        <is>
          <t>AD</t>
        </is>
      </c>
      <c r="AC937" t="inlineStr">
        <is>
          <t>29.4-20.4-4.5-CEW STKM 13C-CEW</t>
        </is>
      </c>
      <c r="AD937" t="inlineStr">
        <is>
          <t>CTL</t>
        </is>
      </c>
      <c r="AE937" t="inlineStr">
        <is>
          <t>29.4-20.4-4.5-CEW STKM 13C-CEW-0.385</t>
        </is>
      </c>
      <c r="AF937" t="n">
        <v>1.06333937325</v>
      </c>
    </row>
    <row r="938">
      <c r="A938" s="56" t="n">
        <v>1939283</v>
      </c>
      <c r="B938" s="56" t="inlineStr">
        <is>
          <t>TUB-O-C-CEW-AD-FC-25.40X3.500X0.2630</t>
        </is>
      </c>
      <c r="C938" s="56" t="inlineStr">
        <is>
          <t>4A3063140A</t>
        </is>
      </c>
      <c r="D938" s="56" t="n"/>
      <c r="E938" s="57" t="n">
        <v>628.208</v>
      </c>
      <c r="F938" s="57" t="n">
        <v>0.628208</v>
      </c>
      <c r="G938" s="56" t="inlineStr">
        <is>
          <t>KG</t>
        </is>
      </c>
      <c r="H938" s="56" t="inlineStr">
        <is>
          <t>TF01</t>
        </is>
      </c>
      <c r="I938" s="56" t="inlineStr">
        <is>
          <t>4731</t>
        </is>
      </c>
      <c r="J938" s="56" t="n"/>
      <c r="K938" s="56" t="n"/>
      <c r="L938" s="56" t="n"/>
      <c r="M938" s="56" t="n"/>
      <c r="N938" s="60" t="inlineStr">
        <is>
          <t>Narasipur Auto Component(P)Ltd</t>
        </is>
      </c>
      <c r="O938" s="56" t="n">
        <v>0</v>
      </c>
      <c r="P938" s="59" t="inlineStr">
        <is>
          <t>0-30</t>
        </is>
      </c>
      <c r="Q938" s="56" t="inlineStr">
        <is>
          <t>Jitendra Kumar Sharma</t>
        </is>
      </c>
      <c r="U938" s="585" t="n">
        <v>1939282</v>
      </c>
      <c r="V938" t="n">
        <v>29.4</v>
      </c>
      <c r="W938" t="n">
        <v>0</v>
      </c>
      <c r="X938" t="n">
        <v>4.5</v>
      </c>
      <c r="Y938" t="n">
        <v>0.45</v>
      </c>
      <c r="Z938" t="inlineStr">
        <is>
          <t>SAE1020</t>
        </is>
      </c>
      <c r="AA938" t="inlineStr">
        <is>
          <t>FC</t>
        </is>
      </c>
      <c r="AB938" t="inlineStr">
        <is>
          <t>AD</t>
        </is>
      </c>
      <c r="AC938" t="inlineStr">
        <is>
          <t>29.4-20.4-4.5-CEW STKM 13C-CEW</t>
        </is>
      </c>
      <c r="AD938" t="inlineStr">
        <is>
          <t>CTL</t>
        </is>
      </c>
      <c r="AE938" t="inlineStr">
        <is>
          <t>29.4-20.4-4.5-CEW STKM 13C-CEW-0.45</t>
        </is>
      </c>
      <c r="AF938" t="n">
        <v>1.2428642025</v>
      </c>
    </row>
    <row r="939">
      <c r="A939" s="56" t="n">
        <v>1939479</v>
      </c>
      <c r="B939" s="56" t="inlineStr">
        <is>
          <t>TUB-O-C-CEW-AD-FC-38.10X3.200X0.3190</t>
        </is>
      </c>
      <c r="C939" s="56" t="inlineStr">
        <is>
          <t>4806AK3120</t>
        </is>
      </c>
      <c r="D939" s="56" t="n"/>
      <c r="E939" s="57" t="n">
        <v>559.895</v>
      </c>
      <c r="F939" s="57" t="n">
        <v>0.559895</v>
      </c>
      <c r="G939" s="56" t="inlineStr">
        <is>
          <t>KG</t>
        </is>
      </c>
      <c r="H939" s="56" t="inlineStr">
        <is>
          <t>TF01</t>
        </is>
      </c>
      <c r="I939" s="56" t="inlineStr">
        <is>
          <t>4318</t>
        </is>
      </c>
      <c r="J939" s="56" t="n"/>
      <c r="K939" s="56" t="n"/>
      <c r="L939" s="56" t="n"/>
      <c r="M939" s="56" t="n"/>
      <c r="N939" s="56" t="inlineStr">
        <is>
          <t>FREE STOCK</t>
        </is>
      </c>
      <c r="O939" s="56" t="n">
        <v>65</v>
      </c>
      <c r="P939" s="59" t="inlineStr">
        <is>
          <t>61-90</t>
        </is>
      </c>
      <c r="Q939" s="56" t="inlineStr">
        <is>
          <t>Free Stock</t>
        </is>
      </c>
      <c r="U939" t="n">
        <v>4123064</v>
      </c>
      <c r="V939" t="n">
        <v>29.4</v>
      </c>
      <c r="W939" t="n">
        <v>0</v>
      </c>
      <c r="X939" t="n">
        <v>4.5</v>
      </c>
      <c r="Y939" t="n">
        <v>0.453</v>
      </c>
      <c r="Z939" t="inlineStr">
        <is>
          <t>D012</t>
        </is>
      </c>
      <c r="AA939" t="inlineStr">
        <is>
          <t>FC</t>
        </is>
      </c>
      <c r="AB939" t="inlineStr">
        <is>
          <t>AD</t>
        </is>
      </c>
      <c r="AC939" t="inlineStr">
        <is>
          <t>29.4-20.4-4.5-CEW-CEW</t>
        </is>
      </c>
      <c r="AD939" t="inlineStr">
        <is>
          <t>CTL</t>
        </is>
      </c>
      <c r="AE939" t="inlineStr">
        <is>
          <t>29.4-20.4-4.5-CEW-CEW-0.453</t>
        </is>
      </c>
      <c r="AF939" t="n">
        <v>1.25114996385</v>
      </c>
    </row>
    <row r="940">
      <c r="A940" s="56" t="n">
        <v>1939479</v>
      </c>
      <c r="B940" s="56" t="inlineStr">
        <is>
          <t>TUB-O-C-CEW-AD-FC-38.10X3.200X0.3190</t>
        </is>
      </c>
      <c r="C940" s="56" t="inlineStr">
        <is>
          <t>MG24A2404</t>
        </is>
      </c>
      <c r="D940" s="56" t="n"/>
      <c r="E940" s="57" t="n">
        <v>105.516</v>
      </c>
      <c r="F940" s="57" t="n">
        <v>0.105516</v>
      </c>
      <c r="G940" s="56" t="inlineStr">
        <is>
          <t>KG</t>
        </is>
      </c>
      <c r="H940" s="56" t="inlineStr">
        <is>
          <t>TF01</t>
        </is>
      </c>
      <c r="I940" s="56" t="inlineStr">
        <is>
          <t>4731</t>
        </is>
      </c>
      <c r="J940" s="56" t="n"/>
      <c r="K940" s="56" t="n"/>
      <c r="L940" s="56" t="n"/>
      <c r="M940" s="56" t="n"/>
      <c r="N940" s="56" t="inlineStr">
        <is>
          <t>FREE STOCK</t>
        </is>
      </c>
      <c r="O940" s="56" t="n">
        <v>5</v>
      </c>
      <c r="P940" s="59" t="inlineStr">
        <is>
          <t>0-30</t>
        </is>
      </c>
      <c r="Q940" s="56" t="inlineStr">
        <is>
          <t>Free Stock</t>
        </is>
      </c>
      <c r="U940" s="28" t="n">
        <v>3995629</v>
      </c>
      <c r="V940" t="n">
        <v>29.4</v>
      </c>
      <c r="W940" t="n">
        <v>0</v>
      </c>
      <c r="X940" t="n">
        <v>4.5</v>
      </c>
      <c r="Y940" t="n">
        <v>4.44</v>
      </c>
      <c r="Z940" t="inlineStr">
        <is>
          <t>KGR2</t>
        </is>
      </c>
      <c r="AA940" t="inlineStr">
        <is>
          <t>AD</t>
        </is>
      </c>
      <c r="AB940" t="inlineStr">
        <is>
          <t>FC</t>
        </is>
      </c>
      <c r="AC940" t="inlineStr">
        <is>
          <t>29.4-20.4-4.5-CEW-CEW</t>
        </is>
      </c>
      <c r="AD940" t="inlineStr">
        <is>
          <t>LL</t>
        </is>
      </c>
      <c r="AE940" t="inlineStr">
        <is>
          <t>29.4-20.4-4.5-CEW-CEW-1</t>
        </is>
      </c>
      <c r="AF940" t="n">
        <v>2.76192045</v>
      </c>
    </row>
    <row r="941">
      <c r="A941" s="56" t="n">
        <v>1939479</v>
      </c>
      <c r="B941" s="56" t="inlineStr">
        <is>
          <t>TUB-O-C-CEW-AD-FC-38.10X3.200X0.3190</t>
        </is>
      </c>
      <c r="C941" s="56" t="inlineStr">
        <is>
          <t>4B10C40030</t>
        </is>
      </c>
      <c r="D941" s="56" t="n"/>
      <c r="E941" s="57" t="n">
        <v>290.07</v>
      </c>
      <c r="F941" s="57" t="n">
        <v>0.29007</v>
      </c>
      <c r="G941" s="56" t="inlineStr">
        <is>
          <t>KG</t>
        </is>
      </c>
      <c r="H941" s="56" t="inlineStr">
        <is>
          <t>TF01</t>
        </is>
      </c>
      <c r="I941" s="56" t="inlineStr">
        <is>
          <t>4731</t>
        </is>
      </c>
      <c r="J941" s="56" t="n"/>
      <c r="K941" s="56" t="n"/>
      <c r="L941" s="56" t="n"/>
      <c r="M941" s="56" t="n"/>
      <c r="N941" s="56" t="inlineStr">
        <is>
          <t>FREE STOCK</t>
        </is>
      </c>
      <c r="O941" s="56" t="n">
        <v>2</v>
      </c>
      <c r="P941" s="59" t="inlineStr">
        <is>
          <t>0-30</t>
        </is>
      </c>
      <c r="Q941" s="56" t="inlineStr">
        <is>
          <t>Free Stock</t>
        </is>
      </c>
      <c r="U941" s="585" t="n">
        <v>3855139</v>
      </c>
      <c r="V941" t="n">
        <v>29.4</v>
      </c>
      <c r="W941" t="n">
        <v>0</v>
      </c>
      <c r="X941" t="n">
        <v>4.5</v>
      </c>
      <c r="Y941" t="n">
        <v>4.5</v>
      </c>
      <c r="Z941" t="inlineStr">
        <is>
          <t>KGR2</t>
        </is>
      </c>
      <c r="AA941" t="inlineStr">
        <is>
          <t>FC</t>
        </is>
      </c>
      <c r="AB941" t="inlineStr">
        <is>
          <t>AD</t>
        </is>
      </c>
      <c r="AC941" t="inlineStr">
        <is>
          <t>29.4-20.4-4.5-CEW-CEW</t>
        </is>
      </c>
      <c r="AD941" t="inlineStr">
        <is>
          <t>LL</t>
        </is>
      </c>
      <c r="AE941" t="inlineStr">
        <is>
          <t>29.4-20.4-4.5-CEW-CEW-1</t>
        </is>
      </c>
      <c r="AF941" t="n">
        <v>2.76192045</v>
      </c>
    </row>
    <row r="942">
      <c r="A942" s="56" t="n">
        <v>1940213</v>
      </c>
      <c r="B942" s="56" t="inlineStr">
        <is>
          <t>TUB-O-O-GEN-AW-PE-19.05X1.500X6.0000</t>
        </is>
      </c>
      <c r="C942" s="56" t="inlineStr">
        <is>
          <t>4715BK7020</t>
        </is>
      </c>
      <c r="D942" s="56" t="n"/>
      <c r="E942" s="57" t="n">
        <v>58</v>
      </c>
      <c r="F942" s="57" t="n">
        <v>0.058</v>
      </c>
      <c r="G942" s="56" t="inlineStr">
        <is>
          <t>KG</t>
        </is>
      </c>
      <c r="H942" s="56" t="inlineStr">
        <is>
          <t>TF01</t>
        </is>
      </c>
      <c r="I942" s="56" t="inlineStr">
        <is>
          <t>4731</t>
        </is>
      </c>
      <c r="J942" s="56" t="n"/>
      <c r="K942" s="56" t="n"/>
      <c r="L942" s="56" t="n"/>
      <c r="M942" s="56" t="n"/>
      <c r="N942" s="56" t="inlineStr">
        <is>
          <t>FREE STOCK</t>
        </is>
      </c>
      <c r="O942" s="56" t="n">
        <v>149</v>
      </c>
      <c r="P942" s="59" t="inlineStr">
        <is>
          <t>ABOVE 90</t>
        </is>
      </c>
      <c r="Q942" s="56" t="inlineStr">
        <is>
          <t>Free Stock</t>
        </is>
      </c>
      <c r="U942" s="585" t="n">
        <v>1930110</v>
      </c>
      <c r="V942" t="n">
        <v>29.4</v>
      </c>
      <c r="W942" t="n">
        <v>0</v>
      </c>
      <c r="X942" t="n">
        <v>4.5</v>
      </c>
      <c r="Y942" t="n">
        <v>5.2</v>
      </c>
      <c r="Z942" t="inlineStr">
        <is>
          <t>SAE1020</t>
        </is>
      </c>
      <c r="AA942" t="inlineStr">
        <is>
          <t>FC</t>
        </is>
      </c>
      <c r="AB942" t="inlineStr">
        <is>
          <t>AD</t>
        </is>
      </c>
      <c r="AC942" t="inlineStr">
        <is>
          <t>29.4-20.4-4.5-CEW STKM 13C-CEW</t>
        </is>
      </c>
      <c r="AD942" t="inlineStr">
        <is>
          <t>LL</t>
        </is>
      </c>
      <c r="AE942" t="inlineStr">
        <is>
          <t>29.4-20.4-4.5-CEW STKM 13C-CEW-1</t>
        </is>
      </c>
      <c r="AF942" t="n">
        <v>2.76192045</v>
      </c>
    </row>
    <row r="943">
      <c r="A943" s="56" t="n">
        <v>1940430</v>
      </c>
      <c r="B943" s="56" t="inlineStr">
        <is>
          <t>TUB-O-O-AUT-AW-PE-22.23X2.000X0.2200</t>
        </is>
      </c>
      <c r="C943" s="56" t="inlineStr">
        <is>
          <t>4B13AH2010</t>
        </is>
      </c>
      <c r="D943" s="56" t="n"/>
      <c r="E943" s="57" t="n">
        <v>530.162</v>
      </c>
      <c r="F943" s="57" t="n">
        <v>0.530162</v>
      </c>
      <c r="G943" s="56" t="inlineStr">
        <is>
          <t>KG</t>
        </is>
      </c>
      <c r="H943" s="56" t="inlineStr">
        <is>
          <t>TF01</t>
        </is>
      </c>
      <c r="I943" s="56" t="inlineStr">
        <is>
          <t>4731</t>
        </is>
      </c>
      <c r="J943" s="56" t="n"/>
      <c r="K943" s="56" t="n"/>
      <c r="L943" s="56" t="n"/>
      <c r="M943" s="56" t="n"/>
      <c r="N943" s="56" t="inlineStr">
        <is>
          <t>SRIKAM HITECH ENGINEERING PRIVATE L</t>
        </is>
      </c>
      <c r="O943" s="56" t="n">
        <v>34</v>
      </c>
      <c r="P943" s="59" t="inlineStr">
        <is>
          <t>31-60</t>
        </is>
      </c>
      <c r="Q943" s="56" t="inlineStr">
        <is>
          <t>Apoorv</t>
        </is>
      </c>
      <c r="U943" s="585" t="n">
        <v>3770394</v>
      </c>
      <c r="V943" t="n">
        <v>29.4</v>
      </c>
      <c r="W943" t="n">
        <v>0</v>
      </c>
      <c r="X943" t="n">
        <v>4.5</v>
      </c>
      <c r="Y943" t="n">
        <v>5.55</v>
      </c>
      <c r="Z943" t="inlineStr">
        <is>
          <t>SAE1020</t>
        </is>
      </c>
      <c r="AA943" t="inlineStr">
        <is>
          <t>FC</t>
        </is>
      </c>
      <c r="AB943" t="inlineStr">
        <is>
          <t>AD</t>
        </is>
      </c>
      <c r="AC943" t="inlineStr">
        <is>
          <t>29.4-20.4-4.5-CEW STKM 13C-CEW</t>
        </is>
      </c>
      <c r="AD943" t="inlineStr">
        <is>
          <t>LL</t>
        </is>
      </c>
      <c r="AE943" t="inlineStr">
        <is>
          <t>29.4-20.4-4.5-CEW STKM 13C-CEW-1</t>
        </is>
      </c>
      <c r="AF943" t="n">
        <v>2.76192045</v>
      </c>
    </row>
    <row r="944">
      <c r="A944" s="56" t="n">
        <v>1940437</v>
      </c>
      <c r="B944" s="56" t="inlineStr">
        <is>
          <t>TUB-O-O-AUT-AW-PE-22.23X2.000X0.3940</t>
        </is>
      </c>
      <c r="C944" s="56" t="inlineStr">
        <is>
          <t>4909C20100</t>
        </is>
      </c>
      <c r="D944" s="56" t="n"/>
      <c r="E944" s="57" t="n">
        <v>638.625</v>
      </c>
      <c r="F944" s="57" t="n">
        <v>0.638625</v>
      </c>
      <c r="G944" s="56" t="inlineStr">
        <is>
          <t>KG</t>
        </is>
      </c>
      <c r="H944" s="56" t="inlineStr">
        <is>
          <t>TF01</t>
        </is>
      </c>
      <c r="I944" s="56" t="inlineStr">
        <is>
          <t>4731</t>
        </is>
      </c>
      <c r="J944" s="56" t="n"/>
      <c r="K944" s="56" t="n"/>
      <c r="L944" s="56" t="n"/>
      <c r="M944" s="56" t="n"/>
      <c r="N944" s="56" t="inlineStr">
        <is>
          <t>Neel Metal Products Limited</t>
        </is>
      </c>
      <c r="O944" s="56" t="n">
        <v>11</v>
      </c>
      <c r="P944" s="59" t="inlineStr">
        <is>
          <t>0-30</t>
        </is>
      </c>
      <c r="Q944" s="56" t="inlineStr">
        <is>
          <t>Apoorv</t>
        </is>
      </c>
      <c r="U944" s="585" t="n">
        <v>2359755</v>
      </c>
      <c r="V944" t="n">
        <v>30</v>
      </c>
      <c r="W944" t="n">
        <v>0</v>
      </c>
      <c r="X944" t="n">
        <v>2.25</v>
      </c>
      <c r="Y944" t="n">
        <v>0.485</v>
      </c>
      <c r="Z944" t="inlineStr">
        <is>
          <t>KGR2</t>
        </is>
      </c>
      <c r="AA944" t="inlineStr">
        <is>
          <t>FC</t>
        </is>
      </c>
      <c r="AB944" t="inlineStr">
        <is>
          <t>AD</t>
        </is>
      </c>
      <c r="AC944" t="inlineStr">
        <is>
          <t>30-25.5-2.25-CEW-CEW</t>
        </is>
      </c>
      <c r="AD944" t="inlineStr">
        <is>
          <t>CTL</t>
        </is>
      </c>
      <c r="AE944" t="inlineStr">
        <is>
          <t>30-25.5-2.25-CEW-CEW-0.485</t>
        </is>
      </c>
      <c r="AF944" t="n">
        <v>0.7464256396875</v>
      </c>
    </row>
    <row r="945">
      <c r="A945" s="56" t="n">
        <v>1940445</v>
      </c>
      <c r="B945" s="56" t="inlineStr">
        <is>
          <t>TUB-O-O-AUT-AW-PE-22.23X2.000X0.5050</t>
        </is>
      </c>
      <c r="C945" s="56" t="inlineStr">
        <is>
          <t>4921AK3060</t>
        </is>
      </c>
      <c r="D945" s="56" t="n"/>
      <c r="E945" s="57" t="n">
        <v>756.064</v>
      </c>
      <c r="F945" s="57" t="n">
        <v>0.756064</v>
      </c>
      <c r="G945" s="56" t="inlineStr">
        <is>
          <t>KG</t>
        </is>
      </c>
      <c r="H945" s="56" t="inlineStr">
        <is>
          <t>TF01</t>
        </is>
      </c>
      <c r="I945" s="56" t="inlineStr">
        <is>
          <t>4731</t>
        </is>
      </c>
      <c r="J945" s="56" t="n"/>
      <c r="K945" s="56" t="n"/>
      <c r="L945" s="56" t="n"/>
      <c r="M945" s="56" t="n"/>
      <c r="N945" s="56" t="inlineStr">
        <is>
          <t>Rajsriya Automotive Industries</t>
        </is>
      </c>
      <c r="O945" s="56" t="n">
        <v>9</v>
      </c>
      <c r="P945" s="59" t="inlineStr">
        <is>
          <t>0-30</t>
        </is>
      </c>
      <c r="Q945" s="56" t="inlineStr">
        <is>
          <t>Apoorv</t>
        </is>
      </c>
      <c r="U945" s="585" t="n">
        <v>2410991</v>
      </c>
      <c r="V945" t="n">
        <v>30</v>
      </c>
      <c r="W945" t="n">
        <v>0</v>
      </c>
      <c r="X945" t="n">
        <v>3.2</v>
      </c>
      <c r="Y945" t="n">
        <v>6</v>
      </c>
      <c r="Z945" t="inlineStr">
        <is>
          <t>KGR2</t>
        </is>
      </c>
      <c r="AA945" t="inlineStr">
        <is>
          <t>FC</t>
        </is>
      </c>
      <c r="AB945" t="inlineStr">
        <is>
          <t>AD</t>
        </is>
      </c>
      <c r="AC945" t="inlineStr">
        <is>
          <t>check tdc</t>
        </is>
      </c>
      <c r="AD945" t="inlineStr">
        <is>
          <t>LL</t>
        </is>
      </c>
      <c r="AE945" t="inlineStr">
        <is>
          <t>check tdc-1</t>
        </is>
      </c>
      <c r="AF945" t="n">
        <v>2.11389824</v>
      </c>
    </row>
    <row r="946">
      <c r="A946" s="56" t="n">
        <v>1940445</v>
      </c>
      <c r="B946" s="56" t="inlineStr">
        <is>
          <t>TUB-O-O-AUT-AW-PE-22.23X2.000X0.5050</t>
        </is>
      </c>
      <c r="C946" s="56" t="inlineStr">
        <is>
          <t>4B15BH2100</t>
        </is>
      </c>
      <c r="D946" s="56" t="n"/>
      <c r="E946" s="57" t="n">
        <v>1159.2</v>
      </c>
      <c r="F946" s="57" t="n">
        <v>1.1592</v>
      </c>
      <c r="G946" s="56" t="inlineStr">
        <is>
          <t>KG</t>
        </is>
      </c>
      <c r="H946" s="56" t="inlineStr">
        <is>
          <t>F001</t>
        </is>
      </c>
      <c r="I946" s="56" t="inlineStr">
        <is>
          <t>4731</t>
        </is>
      </c>
      <c r="J946" s="56" t="n"/>
      <c r="K946" s="56" t="n"/>
      <c r="L946" s="56" t="n"/>
      <c r="M946" s="56" t="n"/>
      <c r="N946" s="56" t="inlineStr">
        <is>
          <t>Rajsriya Automotive Industries</t>
        </is>
      </c>
      <c r="O946" s="56" t="n">
        <v>9</v>
      </c>
      <c r="P946" s="59" t="inlineStr">
        <is>
          <t>0-30</t>
        </is>
      </c>
      <c r="Q946" s="56" t="inlineStr">
        <is>
          <t>Apoorv</t>
        </is>
      </c>
      <c r="U946" s="585" t="n">
        <v>1938121</v>
      </c>
      <c r="V946" t="n">
        <v>30</v>
      </c>
      <c r="W946" t="n">
        <v>25.5</v>
      </c>
      <c r="X946" t="n">
        <v>2.25</v>
      </c>
      <c r="Y946" t="n">
        <v>0.485</v>
      </c>
      <c r="Z946" t="inlineStr">
        <is>
          <t>KGR2</t>
        </is>
      </c>
      <c r="AA946" t="inlineStr">
        <is>
          <t>FC</t>
        </is>
      </c>
      <c r="AB946" t="inlineStr">
        <is>
          <t>AD</t>
        </is>
      </c>
      <c r="AC946" t="inlineStr">
        <is>
          <t>30-25.5-2.25-CEW-CEW</t>
        </is>
      </c>
      <c r="AD946" t="inlineStr">
        <is>
          <t>CTL</t>
        </is>
      </c>
      <c r="AE946" t="inlineStr">
        <is>
          <t>30-25.5-2.25-CEW-CEW-0.485</t>
        </is>
      </c>
      <c r="AF946" t="n">
        <v>0.7464256396875</v>
      </c>
    </row>
    <row r="947">
      <c r="A947" s="56" t="n">
        <v>1940510</v>
      </c>
      <c r="B947" s="56" t="inlineStr">
        <is>
          <t>TUB-O-O-AUT-AW-PE-22.23X2.300X6.0000</t>
        </is>
      </c>
      <c r="C947" s="56" t="inlineStr">
        <is>
          <t>4B15CH2040</t>
        </is>
      </c>
      <c r="D947" s="56" t="n"/>
      <c r="E947" s="57" t="n">
        <v>1485</v>
      </c>
      <c r="F947" s="57" t="n">
        <v>1.485</v>
      </c>
      <c r="G947" s="56" t="inlineStr">
        <is>
          <t>KG</t>
        </is>
      </c>
      <c r="H947" s="56" t="inlineStr">
        <is>
          <t>R001</t>
        </is>
      </c>
      <c r="I947" s="56" t="inlineStr">
        <is>
          <t>4731</t>
        </is>
      </c>
      <c r="J947" s="56" t="n"/>
      <c r="K947" s="56" t="n"/>
      <c r="L947" s="56" t="n"/>
      <c r="M947" s="56" t="n"/>
      <c r="N947" s="56" t="inlineStr">
        <is>
          <t>Rajsriya Automotive Industries</t>
        </is>
      </c>
      <c r="O947" s="56" t="n">
        <v>52</v>
      </c>
      <c r="P947" s="59" t="inlineStr">
        <is>
          <t>31-60</t>
        </is>
      </c>
      <c r="Q947" s="56" t="inlineStr">
        <is>
          <t>Apoorv</t>
        </is>
      </c>
      <c r="U947" s="585" t="n">
        <v>1942166</v>
      </c>
      <c r="V947" t="n">
        <v>30</v>
      </c>
      <c r="W947" t="n">
        <v>25.5</v>
      </c>
      <c r="X947" t="n">
        <v>2.25</v>
      </c>
      <c r="Y947" t="n">
        <v>5.93</v>
      </c>
      <c r="Z947" t="inlineStr">
        <is>
          <t>KGR2</t>
        </is>
      </c>
      <c r="AA947" t="inlineStr">
        <is>
          <t>FC</t>
        </is>
      </c>
      <c r="AB947" t="inlineStr">
        <is>
          <t>AD</t>
        </is>
      </c>
      <c r="AC947" t="inlineStr">
        <is>
          <t>30-25.5-2.25-CEW-CEW</t>
        </is>
      </c>
      <c r="AD947" t="inlineStr">
        <is>
          <t>LL</t>
        </is>
      </c>
      <c r="AE947" t="inlineStr">
        <is>
          <t>30-25.5-2.25-CEW-CEW-1</t>
        </is>
      </c>
      <c r="AF947" t="n">
        <v>1.5390219375</v>
      </c>
    </row>
    <row r="948">
      <c r="A948" s="56" t="n">
        <v>1940510</v>
      </c>
      <c r="B948" s="56" t="inlineStr">
        <is>
          <t>TUB-O-O-AUT-AW-PE-22.23X2.300X6.0000</t>
        </is>
      </c>
      <c r="C948" s="56" t="inlineStr">
        <is>
          <t>4B15CH2030</t>
        </is>
      </c>
      <c r="D948" s="56" t="n"/>
      <c r="E948" s="57" t="n">
        <v>136.312</v>
      </c>
      <c r="F948" s="57" t="n">
        <v>0.136312</v>
      </c>
      <c r="G948" s="56" t="inlineStr">
        <is>
          <t>KG</t>
        </is>
      </c>
      <c r="H948" s="56" t="inlineStr">
        <is>
          <t>R001</t>
        </is>
      </c>
      <c r="I948" s="56" t="inlineStr">
        <is>
          <t>4731</t>
        </is>
      </c>
      <c r="J948" s="56" t="n"/>
      <c r="K948" s="56" t="n"/>
      <c r="L948" s="56" t="n"/>
      <c r="M948" s="56" t="n"/>
      <c r="N948" s="56" t="inlineStr">
        <is>
          <t>Rajsriya Automotive Industries</t>
        </is>
      </c>
      <c r="O948" s="56" t="n">
        <v>52</v>
      </c>
      <c r="P948" s="59" t="inlineStr">
        <is>
          <t>31-60</t>
        </is>
      </c>
      <c r="Q948" s="56" t="inlineStr">
        <is>
          <t>Apoorv</t>
        </is>
      </c>
      <c r="U948" s="585" t="n">
        <v>3770398</v>
      </c>
      <c r="V948" t="n">
        <v>30</v>
      </c>
      <c r="W948" t="n">
        <v>25.5</v>
      </c>
      <c r="X948" t="n">
        <v>2.25</v>
      </c>
      <c r="Y948" t="n">
        <v>5.95</v>
      </c>
      <c r="Z948" t="inlineStr">
        <is>
          <t>KGR2</t>
        </is>
      </c>
      <c r="AA948" t="inlineStr">
        <is>
          <t>FC</t>
        </is>
      </c>
      <c r="AB948" t="inlineStr">
        <is>
          <t>AD</t>
        </is>
      </c>
      <c r="AC948" t="inlineStr">
        <is>
          <t>30-25.5-2.25-CEW-CEW</t>
        </is>
      </c>
      <c r="AD948" t="inlineStr">
        <is>
          <t>LL</t>
        </is>
      </c>
      <c r="AE948" t="inlineStr">
        <is>
          <t>30-25.5-2.25-CEW-CEW-1</t>
        </is>
      </c>
      <c r="AF948" t="n">
        <v>1.5390219375</v>
      </c>
    </row>
    <row r="949">
      <c r="A949" s="56" t="n">
        <v>1940510</v>
      </c>
      <c r="B949" s="56" t="inlineStr">
        <is>
          <t>TUB-O-O-AUT-AW-PE-22.23X2.300X6.0000</t>
        </is>
      </c>
      <c r="C949" s="56" t="inlineStr">
        <is>
          <t>4B15BH2120</t>
        </is>
      </c>
      <c r="D949" s="56" t="n"/>
      <c r="E949" s="57" t="n">
        <v>2076</v>
      </c>
      <c r="F949" s="57" t="n">
        <v>2.076</v>
      </c>
      <c r="G949" s="56" t="inlineStr">
        <is>
          <t>KG</t>
        </is>
      </c>
      <c r="H949" s="56" t="inlineStr">
        <is>
          <t>R001</t>
        </is>
      </c>
      <c r="I949" s="56" t="inlineStr">
        <is>
          <t>4731</t>
        </is>
      </c>
      <c r="J949" s="56" t="n"/>
      <c r="K949" s="56" t="n"/>
      <c r="L949" s="56" t="n"/>
      <c r="M949" s="56" t="n"/>
      <c r="N949" s="56" t="inlineStr">
        <is>
          <t>Rajsriya Automotive Industries</t>
        </is>
      </c>
      <c r="O949" s="56" t="n">
        <v>52</v>
      </c>
      <c r="P949" s="59" t="inlineStr">
        <is>
          <t>31-60</t>
        </is>
      </c>
      <c r="Q949" s="56" t="inlineStr">
        <is>
          <t>Apoorv</t>
        </is>
      </c>
      <c r="U949" t="n">
        <v>1940629</v>
      </c>
      <c r="V949" t="n">
        <v>30</v>
      </c>
      <c r="W949" t="n">
        <v>30</v>
      </c>
      <c r="X949" t="n">
        <v>1.15</v>
      </c>
      <c r="Y949" t="n">
        <v>6</v>
      </c>
      <c r="Z949" t="inlineStr">
        <is>
          <t>CRFH</t>
        </is>
      </c>
      <c r="AA949" t="inlineStr">
        <is>
          <t>PE</t>
        </is>
      </c>
      <c r="AB949" t="inlineStr">
        <is>
          <t>AW</t>
        </is>
      </c>
      <c r="AC949" t="inlineStr">
        <is>
          <t>30-30-1.2-CRFH-PE</t>
        </is>
      </c>
      <c r="AD949" t="inlineStr">
        <is>
          <t>LL</t>
        </is>
      </c>
      <c r="AE949" t="inlineStr">
        <is>
          <t>30-30-1.2-CRFH-PE-1</t>
        </is>
      </c>
      <c r="AF949" t="n">
        <v>1.050152510567107</v>
      </c>
    </row>
    <row r="950">
      <c r="A950" s="56" t="n">
        <v>1940510</v>
      </c>
      <c r="B950" s="56" t="inlineStr">
        <is>
          <t>TUB-O-O-AUT-AW-PE-22.23X2.300X6.0000</t>
        </is>
      </c>
      <c r="C950" s="56" t="inlineStr">
        <is>
          <t>4917CH2010</t>
        </is>
      </c>
      <c r="D950" s="56" t="n"/>
      <c r="E950" s="57" t="n">
        <v>2107</v>
      </c>
      <c r="F950" s="57" t="n">
        <v>2.107</v>
      </c>
      <c r="G950" s="56" t="inlineStr">
        <is>
          <t>KG</t>
        </is>
      </c>
      <c r="H950" s="56" t="inlineStr">
        <is>
          <t>R001</t>
        </is>
      </c>
      <c r="I950" s="56" t="inlineStr">
        <is>
          <t>4731</t>
        </is>
      </c>
      <c r="J950" s="56" t="n"/>
      <c r="K950" s="56" t="n"/>
      <c r="L950" s="56" t="n"/>
      <c r="M950" s="56" t="n"/>
      <c r="N950" s="56" t="inlineStr">
        <is>
          <t>Rajsriya Automotive Industries</t>
        </is>
      </c>
      <c r="O950" s="56" t="n">
        <v>52</v>
      </c>
      <c r="P950" s="59" t="inlineStr">
        <is>
          <t>31-60</t>
        </is>
      </c>
      <c r="Q950" s="56" t="inlineStr">
        <is>
          <t>Apoorv</t>
        </is>
      </c>
      <c r="U950" s="585" t="n">
        <v>3572045</v>
      </c>
      <c r="V950" t="n">
        <v>30</v>
      </c>
      <c r="W950" t="n">
        <v>30</v>
      </c>
      <c r="X950" t="n">
        <v>1.2</v>
      </c>
      <c r="Y950" t="n">
        <v>0.14</v>
      </c>
      <c r="Z950" t="inlineStr">
        <is>
          <t>CRFH</t>
        </is>
      </c>
      <c r="AA950" t="inlineStr">
        <is>
          <t>PE</t>
        </is>
      </c>
      <c r="AB950" t="inlineStr">
        <is>
          <t>AW</t>
        </is>
      </c>
      <c r="AC950" t="inlineStr">
        <is>
          <t>30-30-1.2-CRFH-PE</t>
        </is>
      </c>
      <c r="AD950" t="inlineStr">
        <is>
          <t>CTL</t>
        </is>
      </c>
      <c r="AE950" t="inlineStr">
        <is>
          <t>30-30-1.2-CRFH-PE-0.14</t>
        </is>
      </c>
      <c r="AF950" t="n">
        <v>0.1532065325524122</v>
      </c>
    </row>
    <row r="951">
      <c r="A951" s="56" t="n">
        <v>1940510</v>
      </c>
      <c r="B951" s="56" t="inlineStr">
        <is>
          <t>TUB-O-O-AUT-AW-PE-22.23X2.300X6.0000</t>
        </is>
      </c>
      <c r="C951" s="56" t="inlineStr">
        <is>
          <t>4917BH2120</t>
        </is>
      </c>
      <c r="D951" s="56" t="n"/>
      <c r="E951" s="57" t="n">
        <v>146.722</v>
      </c>
      <c r="F951" s="57" t="n">
        <v>0.146722</v>
      </c>
      <c r="G951" s="56" t="inlineStr">
        <is>
          <t>KG</t>
        </is>
      </c>
      <c r="H951" s="56" t="inlineStr">
        <is>
          <t>R001</t>
        </is>
      </c>
      <c r="I951" s="56" t="inlineStr">
        <is>
          <t>4731</t>
        </is>
      </c>
      <c r="J951" s="56" t="n"/>
      <c r="K951" s="56" t="n"/>
      <c r="L951" s="56" t="n"/>
      <c r="M951" s="56" t="n"/>
      <c r="N951" s="56" t="inlineStr">
        <is>
          <t>Rajsriya Automotive Industries</t>
        </is>
      </c>
      <c r="O951" s="56" t="n">
        <v>52</v>
      </c>
      <c r="P951" s="59" t="inlineStr">
        <is>
          <t>31-60</t>
        </is>
      </c>
      <c r="Q951" s="56" t="inlineStr">
        <is>
          <t>Apoorv</t>
        </is>
      </c>
      <c r="U951" t="n">
        <v>4151424</v>
      </c>
      <c r="V951" t="n">
        <v>30</v>
      </c>
      <c r="W951" t="n">
        <v>30</v>
      </c>
      <c r="X951" t="n">
        <v>1.2</v>
      </c>
      <c r="Y951" t="n">
        <v>0.19</v>
      </c>
      <c r="Z951" t="inlineStr">
        <is>
          <t>CRFH</t>
        </is>
      </c>
      <c r="AA951" t="inlineStr">
        <is>
          <t>PE</t>
        </is>
      </c>
      <c r="AB951" t="inlineStr">
        <is>
          <t>AW</t>
        </is>
      </c>
      <c r="AC951" t="inlineStr">
        <is>
          <t>30-30-1.2-CRFH-PE</t>
        </is>
      </c>
      <c r="AD951" t="inlineStr">
        <is>
          <t>CTL</t>
        </is>
      </c>
      <c r="AE951" t="inlineStr">
        <is>
          <t>30-30-1.2-CRFH-PE-0.19</t>
        </is>
      </c>
      <c r="AF951" t="n">
        <v>0.2079231513211309</v>
      </c>
    </row>
    <row r="952">
      <c r="A952" s="56" t="n">
        <v>1940743</v>
      </c>
      <c r="B952" s="56" t="inlineStr">
        <is>
          <t>TUB-O-O-AUT-AW-FC-38.10X2.000X0.8120</t>
        </is>
      </c>
      <c r="C952" s="56" t="inlineStr">
        <is>
          <t>4A30B20060</t>
        </is>
      </c>
      <c r="D952" s="56" t="n"/>
      <c r="E952" s="57" t="n">
        <v>386.462</v>
      </c>
      <c r="F952" s="57" t="n">
        <v>0.386462</v>
      </c>
      <c r="G952" s="56" t="inlineStr">
        <is>
          <t>KG</t>
        </is>
      </c>
      <c r="H952" s="56" t="inlineStr">
        <is>
          <t>TF01</t>
        </is>
      </c>
      <c r="I952" s="56" t="inlineStr">
        <is>
          <t>4318</t>
        </is>
      </c>
      <c r="J952" s="56" t="n"/>
      <c r="K952" s="56" t="n"/>
      <c r="L952" s="56" t="n"/>
      <c r="M952" s="56" t="n"/>
      <c r="N952" s="56" t="inlineStr">
        <is>
          <t>Neel Metal Products Limited</t>
        </is>
      </c>
      <c r="O952" s="56" t="n">
        <v>58</v>
      </c>
      <c r="P952" s="59" t="inlineStr">
        <is>
          <t>31-60</t>
        </is>
      </c>
      <c r="Q952" s="56" t="inlineStr">
        <is>
          <t>Apoorv</t>
        </is>
      </c>
      <c r="U952" s="585" t="n">
        <v>3230495</v>
      </c>
      <c r="V952" t="n">
        <v>30</v>
      </c>
      <c r="W952" t="n">
        <v>30</v>
      </c>
      <c r="X952" t="n">
        <v>1.2</v>
      </c>
      <c r="Y952" t="n">
        <v>0.22</v>
      </c>
      <c r="Z952" t="inlineStr">
        <is>
          <t>CRFH</t>
        </is>
      </c>
      <c r="AA952" t="inlineStr">
        <is>
          <t>PE</t>
        </is>
      </c>
      <c r="AB952" t="inlineStr">
        <is>
          <t>AW</t>
        </is>
      </c>
      <c r="AC952" t="inlineStr">
        <is>
          <t>30-30-1.2-CRFH-PE</t>
        </is>
      </c>
      <c r="AD952" t="inlineStr">
        <is>
          <t>CTL</t>
        </is>
      </c>
      <c r="AE952" t="inlineStr">
        <is>
          <t>30-30-1.2-CRFH-PE-0.22</t>
        </is>
      </c>
      <c r="AF952" t="n">
        <v>0.2407531225823621</v>
      </c>
    </row>
    <row r="953">
      <c r="A953" s="56" t="n">
        <v>1941303</v>
      </c>
      <c r="B953" s="56" t="inlineStr">
        <is>
          <t>TUB-O-C-AUT-AD-FC-29.40X4.500X0.3610</t>
        </is>
      </c>
      <c r="C953" s="56" t="inlineStr">
        <is>
          <t>4928BK3050</t>
        </is>
      </c>
      <c r="D953" s="56" t="n"/>
      <c r="E953" s="57" t="n">
        <v>790</v>
      </c>
      <c r="F953" s="57" t="n">
        <v>0.79</v>
      </c>
      <c r="G953" s="56" t="inlineStr">
        <is>
          <t>KG</t>
        </is>
      </c>
      <c r="H953" s="56" t="inlineStr">
        <is>
          <t>TF01</t>
        </is>
      </c>
      <c r="I953" s="56" t="inlineStr">
        <is>
          <t>4731</t>
        </is>
      </c>
      <c r="J953" s="56" t="n"/>
      <c r="K953" s="56" t="n"/>
      <c r="L953" s="56" t="n"/>
      <c r="M953" s="56" t="n"/>
      <c r="N953" s="56" t="inlineStr">
        <is>
          <t>Kay Jay Forgings Pvt Ltd Unit Vi</t>
        </is>
      </c>
      <c r="O953" s="56" t="n">
        <v>0</v>
      </c>
      <c r="P953" s="59" t="inlineStr">
        <is>
          <t>0-30</t>
        </is>
      </c>
      <c r="Q953" s="56" t="inlineStr">
        <is>
          <t>Jitendra Kumar Sharma</t>
        </is>
      </c>
      <c r="U953" s="586" t="n">
        <v>111116368</v>
      </c>
      <c r="V953" t="n">
        <v>30</v>
      </c>
      <c r="W953" t="n">
        <v>30</v>
      </c>
      <c r="X953" t="n">
        <v>1.2</v>
      </c>
      <c r="Y953" t="n">
        <v>5.64</v>
      </c>
      <c r="Z953" t="inlineStr">
        <is>
          <t>CRFH</t>
        </is>
      </c>
      <c r="AA953" t="inlineStr">
        <is>
          <t>PE</t>
        </is>
      </c>
      <c r="AB953" t="inlineStr">
        <is>
          <t>AW</t>
        </is>
      </c>
      <c r="AC953" t="inlineStr">
        <is>
          <t>30-30-1.2-CRFH-PE</t>
        </is>
      </c>
      <c r="AD953" t="inlineStr">
        <is>
          <t>LL</t>
        </is>
      </c>
      <c r="AE953" t="inlineStr">
        <is>
          <t>30-30-1.2-CRFH-PE-1</t>
        </is>
      </c>
      <c r="AF953" t="n">
        <v>1.094332375374373</v>
      </c>
    </row>
    <row r="954">
      <c r="A954" s="56" t="n">
        <v>2288945</v>
      </c>
      <c r="B954" s="56" t="inlineStr">
        <is>
          <t>TUB-O-N-AUT-AW-PE-18.20X1.000X6.1450</t>
        </is>
      </c>
      <c r="C954" s="56" t="inlineStr">
        <is>
          <t>4928AK1090</t>
        </is>
      </c>
      <c r="D954" s="56" t="n"/>
      <c r="E954" s="57" t="n">
        <v>1169.333</v>
      </c>
      <c r="F954" s="57" t="n">
        <v>1.169333</v>
      </c>
      <c r="G954" s="56" t="inlineStr">
        <is>
          <t>KG</t>
        </is>
      </c>
      <c r="H954" s="56" t="inlineStr">
        <is>
          <t>TF01</t>
        </is>
      </c>
      <c r="I954" s="56" t="inlineStr">
        <is>
          <t>4731</t>
        </is>
      </c>
      <c r="J954" s="56" t="n"/>
      <c r="K954" s="56" t="n"/>
      <c r="L954" s="56" t="n"/>
      <c r="M954" s="56" t="n"/>
      <c r="N954" s="56" t="inlineStr">
        <is>
          <t>Neel Metal Products Limited</t>
        </is>
      </c>
      <c r="O954" s="56" t="n">
        <v>79</v>
      </c>
      <c r="P954" s="59" t="inlineStr">
        <is>
          <t>61-90</t>
        </is>
      </c>
      <c r="Q954" s="56" t="inlineStr">
        <is>
          <t>Apoorv</t>
        </is>
      </c>
      <c r="U954" s="585" t="n">
        <v>403040</v>
      </c>
      <c r="V954" t="n">
        <v>30.15</v>
      </c>
      <c r="W954" t="n">
        <v>25.5</v>
      </c>
      <c r="X954" t="n">
        <v>2.32</v>
      </c>
      <c r="Y954" t="n">
        <v>0.465</v>
      </c>
      <c r="Z954" t="inlineStr">
        <is>
          <t>TPT</t>
        </is>
      </c>
      <c r="AA954" t="inlineStr">
        <is>
          <t>CH</t>
        </is>
      </c>
      <c r="AB954" t="inlineStr">
        <is>
          <t>AD</t>
        </is>
      </c>
      <c r="AC954" t="inlineStr">
        <is>
          <t>30-25.5-2.25-CEW-CEW</t>
        </is>
      </c>
      <c r="AD954" t="inlineStr">
        <is>
          <t>CTL</t>
        </is>
      </c>
      <c r="AE954" t="inlineStr">
        <is>
          <t>30-25.5-2.25-CEW-CEW-0.465</t>
        </is>
      </c>
      <c r="AF954" t="n">
        <v>0.7400370255959999</v>
      </c>
    </row>
    <row r="955">
      <c r="A955" s="56" t="n">
        <v>2288945</v>
      </c>
      <c r="B955" s="56" t="inlineStr">
        <is>
          <t>TUB-O-N-AUT-AW-PE-18.20X1.000X6.1450</t>
        </is>
      </c>
      <c r="C955" s="56" t="inlineStr">
        <is>
          <t>4928AK1080</t>
        </is>
      </c>
      <c r="D955" s="56" t="n"/>
      <c r="E955" s="57" t="n">
        <v>1172.3</v>
      </c>
      <c r="F955" s="57" t="n">
        <v>1.1723</v>
      </c>
      <c r="G955" s="56" t="inlineStr">
        <is>
          <t>KG</t>
        </is>
      </c>
      <c r="H955" s="56" t="inlineStr">
        <is>
          <t>TF01</t>
        </is>
      </c>
      <c r="I955" s="56" t="inlineStr">
        <is>
          <t>4731</t>
        </is>
      </c>
      <c r="J955" s="56" t="n"/>
      <c r="K955" s="56" t="n"/>
      <c r="L955" s="56" t="n"/>
      <c r="M955" s="56" t="n"/>
      <c r="N955" s="56" t="inlineStr">
        <is>
          <t>Neel Metal Products Limited</t>
        </is>
      </c>
      <c r="O955" s="56" t="n">
        <v>79</v>
      </c>
      <c r="P955" s="59" t="inlineStr">
        <is>
          <t>61-90</t>
        </is>
      </c>
      <c r="Q955" s="56" t="inlineStr">
        <is>
          <t>Apoorv</t>
        </is>
      </c>
      <c r="U955" t="n">
        <v>3781608</v>
      </c>
      <c r="V955" t="n">
        <v>30.15</v>
      </c>
      <c r="W955" t="n">
        <v>25.5</v>
      </c>
      <c r="X955" t="n">
        <v>2.32</v>
      </c>
      <c r="Y955" t="n">
        <v>0.465</v>
      </c>
      <c r="Z955" t="inlineStr">
        <is>
          <t>TPT</t>
        </is>
      </c>
      <c r="AA955" t="inlineStr">
        <is>
          <t>CH</t>
        </is>
      </c>
      <c r="AB955" t="inlineStr">
        <is>
          <t>AD</t>
        </is>
      </c>
      <c r="AC955" t="inlineStr">
        <is>
          <t>30-25.5-2.25-CEW-CEW</t>
        </is>
      </c>
      <c r="AD955" t="inlineStr">
        <is>
          <t>CTL</t>
        </is>
      </c>
      <c r="AE955" t="inlineStr">
        <is>
          <t>30-25.5-2.25-CEW-CEW-0.465</t>
        </is>
      </c>
      <c r="AF955" t="n">
        <v>0.7400370255959999</v>
      </c>
    </row>
    <row r="956">
      <c r="A956" s="56" t="n">
        <v>2288945</v>
      </c>
      <c r="B956" s="56" t="inlineStr">
        <is>
          <t>TUB-O-N-AUT-AW-PE-18.20X1.000X6.1450</t>
        </is>
      </c>
      <c r="C956" s="56" t="inlineStr">
        <is>
          <t>4928AK1070</t>
        </is>
      </c>
      <c r="D956" s="56" t="n"/>
      <c r="E956" s="57" t="n">
        <v>1128.3</v>
      </c>
      <c r="F956" s="57" t="n">
        <v>1.1283</v>
      </c>
      <c r="G956" s="56" t="inlineStr">
        <is>
          <t>KG</t>
        </is>
      </c>
      <c r="H956" s="56" t="inlineStr">
        <is>
          <t>TF01</t>
        </is>
      </c>
      <c r="I956" s="56" t="inlineStr">
        <is>
          <t>4731</t>
        </is>
      </c>
      <c r="J956" s="56" t="n"/>
      <c r="K956" s="56" t="n"/>
      <c r="L956" s="56" t="n"/>
      <c r="M956" s="56" t="n"/>
      <c r="N956" s="56" t="inlineStr">
        <is>
          <t>Neel Metal Products Limited</t>
        </is>
      </c>
      <c r="O956" s="56" t="n">
        <v>79</v>
      </c>
      <c r="P956" s="59" t="inlineStr">
        <is>
          <t>61-90</t>
        </is>
      </c>
      <c r="Q956" s="56" t="inlineStr">
        <is>
          <t>Apoorv</t>
        </is>
      </c>
      <c r="U956" s="585" t="n">
        <v>503108</v>
      </c>
      <c r="V956" t="n">
        <v>30.15</v>
      </c>
      <c r="W956" t="n">
        <v>25.5</v>
      </c>
      <c r="X956" t="n">
        <v>2.32</v>
      </c>
      <c r="Y956" t="n">
        <v>0.485</v>
      </c>
      <c r="Z956" t="inlineStr"/>
      <c r="AA956" t="inlineStr">
        <is>
          <t>CH</t>
        </is>
      </c>
      <c r="AB956" t="inlineStr">
        <is>
          <t>AD</t>
        </is>
      </c>
      <c r="AC956" t="inlineStr">
        <is>
          <t>30-25.5-2.25-CEW-CEW</t>
        </is>
      </c>
      <c r="AD956" t="inlineStr">
        <is>
          <t>CTL</t>
        </is>
      </c>
      <c r="AE956" t="inlineStr">
        <is>
          <t>30-25.5-2.25-CEW-CEW-0.485</t>
        </is>
      </c>
      <c r="AF956" t="n">
        <v>0.7718665750839998</v>
      </c>
    </row>
    <row r="957">
      <c r="A957" s="56" t="n">
        <v>2288945</v>
      </c>
      <c r="B957" s="56" t="inlineStr">
        <is>
          <t>TUB-O-N-AUT-AW-PE-18.20X1.000X6.1450</t>
        </is>
      </c>
      <c r="C957" s="56" t="inlineStr">
        <is>
          <t>4928AK1060</t>
        </is>
      </c>
      <c r="D957" s="56" t="n"/>
      <c r="E957" s="57" t="n">
        <v>1138.3</v>
      </c>
      <c r="F957" s="57" t="n">
        <v>1.1383</v>
      </c>
      <c r="G957" s="56" t="inlineStr">
        <is>
          <t>KG</t>
        </is>
      </c>
      <c r="H957" s="56" t="inlineStr">
        <is>
          <t>TF01</t>
        </is>
      </c>
      <c r="I957" s="56" t="inlineStr">
        <is>
          <t>4731</t>
        </is>
      </c>
      <c r="J957" s="56" t="n"/>
      <c r="K957" s="56" t="n"/>
      <c r="L957" s="56" t="n"/>
      <c r="M957" s="56" t="n"/>
      <c r="N957" s="56" t="inlineStr">
        <is>
          <t>Neel Metal Products Limited</t>
        </is>
      </c>
      <c r="O957" s="56" t="n">
        <v>79</v>
      </c>
      <c r="P957" s="59" t="inlineStr">
        <is>
          <t>61-90</t>
        </is>
      </c>
      <c r="Q957" s="56" t="inlineStr">
        <is>
          <t>Apoorv</t>
        </is>
      </c>
      <c r="U957" s="585" t="n">
        <v>3774983</v>
      </c>
      <c r="V957" t="n">
        <v>31</v>
      </c>
      <c r="W957" t="n">
        <v>24.6</v>
      </c>
      <c r="X957" t="n">
        <v>3.2</v>
      </c>
      <c r="Y957" t="n">
        <v>6.001</v>
      </c>
      <c r="Z957" t="inlineStr">
        <is>
          <t>K3SPL</t>
        </is>
      </c>
      <c r="AA957" t="inlineStr">
        <is>
          <t>FC</t>
        </is>
      </c>
      <c r="AB957" t="inlineStr">
        <is>
          <t>AD</t>
        </is>
      </c>
      <c r="AC957" t="inlineStr">
        <is>
          <t>31-24.6-3.2-CEW-FIN CUT</t>
        </is>
      </c>
      <c r="AD957" t="inlineStr">
        <is>
          <t>LL</t>
        </is>
      </c>
      <c r="AE957" t="inlineStr">
        <is>
          <t>31-24.6-3.2-CEW-FIN CUT-1</t>
        </is>
      </c>
      <c r="AF957" t="n">
        <v>2.19277504</v>
      </c>
    </row>
    <row r="958">
      <c r="A958" s="56" t="n">
        <v>2288945</v>
      </c>
      <c r="B958" s="56" t="inlineStr">
        <is>
          <t>TUB-O-N-AUT-AW-PE-18.20X1.000X6.1450</t>
        </is>
      </c>
      <c r="C958" s="56" t="inlineStr">
        <is>
          <t>4928AK1050</t>
        </is>
      </c>
      <c r="D958" s="56" t="n"/>
      <c r="E958" s="57" t="n">
        <v>1122.3</v>
      </c>
      <c r="F958" s="57" t="n">
        <v>1.1223</v>
      </c>
      <c r="G958" s="56" t="inlineStr">
        <is>
          <t>KG</t>
        </is>
      </c>
      <c r="H958" s="56" t="inlineStr">
        <is>
          <t>TF01</t>
        </is>
      </c>
      <c r="I958" s="56" t="inlineStr">
        <is>
          <t>4731</t>
        </is>
      </c>
      <c r="J958" s="56" t="n"/>
      <c r="K958" s="56" t="n"/>
      <c r="L958" s="56" t="n"/>
      <c r="M958" s="56" t="n"/>
      <c r="N958" s="56" t="inlineStr">
        <is>
          <t>Neel Metal Products Limited</t>
        </is>
      </c>
      <c r="O958" s="56" t="n">
        <v>79</v>
      </c>
      <c r="P958" s="59" t="inlineStr">
        <is>
          <t>61-90</t>
        </is>
      </c>
      <c r="Q958" s="56" t="inlineStr">
        <is>
          <t>Apoorv</t>
        </is>
      </c>
      <c r="U958" s="585" t="n">
        <v>2256593</v>
      </c>
      <c r="V958" t="n">
        <v>31.75</v>
      </c>
      <c r="W958" t="n">
        <v>0</v>
      </c>
      <c r="X958" t="n">
        <v>1.2</v>
      </c>
      <c r="Y958" t="n">
        <v>0.21</v>
      </c>
      <c r="Z958" t="inlineStr">
        <is>
          <t>WG</t>
        </is>
      </c>
      <c r="AA958" t="inlineStr">
        <is>
          <t>FC</t>
        </is>
      </c>
      <c r="AB958" t="inlineStr">
        <is>
          <t>AW</t>
        </is>
      </c>
      <c r="AC958" t="inlineStr">
        <is>
          <t>31.75-0-1.2-ERW 1-FC</t>
        </is>
      </c>
      <c r="AD958" t="inlineStr">
        <is>
          <t>CTL</t>
        </is>
      </c>
      <c r="AE958" t="inlineStr">
        <is>
          <t>31.75-0-1.2-ERW 1-FC-0.21</t>
        </is>
      </c>
      <c r="AF958" t="n">
        <v>0.1897627914</v>
      </c>
    </row>
    <row r="959">
      <c r="A959" s="56" t="n">
        <v>2288945</v>
      </c>
      <c r="B959" s="56" t="inlineStr">
        <is>
          <t>TUB-O-N-AUT-AW-PE-18.20X1.000X6.1450</t>
        </is>
      </c>
      <c r="C959" s="56" t="inlineStr">
        <is>
          <t>4928AK1040</t>
        </is>
      </c>
      <c r="D959" s="56" t="n"/>
      <c r="E959" s="57" t="n">
        <v>1104.3</v>
      </c>
      <c r="F959" s="57" t="n">
        <v>1.1043</v>
      </c>
      <c r="G959" s="56" t="inlineStr">
        <is>
          <t>KG</t>
        </is>
      </c>
      <c r="H959" s="56" t="inlineStr">
        <is>
          <t>TF01</t>
        </is>
      </c>
      <c r="I959" s="56" t="inlineStr">
        <is>
          <t>4731</t>
        </is>
      </c>
      <c r="J959" s="56" t="n"/>
      <c r="K959" s="56" t="n"/>
      <c r="L959" s="56" t="n"/>
      <c r="M959" s="56" t="n"/>
      <c r="N959" s="56" t="inlineStr">
        <is>
          <t>Neel Metal Products Limited</t>
        </is>
      </c>
      <c r="O959" s="56" t="n">
        <v>79</v>
      </c>
      <c r="P959" s="59" t="inlineStr">
        <is>
          <t>61-90</t>
        </is>
      </c>
      <c r="Q959" s="56" t="inlineStr">
        <is>
          <t>Apoorv</t>
        </is>
      </c>
      <c r="U959" s="585" t="n">
        <v>3508456</v>
      </c>
      <c r="V959" t="n">
        <v>31.75</v>
      </c>
      <c r="W959" t="n">
        <v>0</v>
      </c>
      <c r="X959" t="n">
        <v>1.2</v>
      </c>
      <c r="Y959" t="n">
        <v>0.21</v>
      </c>
      <c r="Z959" t="inlineStr"/>
      <c r="AA959" t="inlineStr">
        <is>
          <t>PE</t>
        </is>
      </c>
      <c r="AB959" t="inlineStr">
        <is>
          <t>AW</t>
        </is>
      </c>
      <c r="AC959" t="inlineStr">
        <is>
          <t>31.75-0-1.2-ERW 1-PE</t>
        </is>
      </c>
      <c r="AD959" t="inlineStr">
        <is>
          <t>CTL</t>
        </is>
      </c>
      <c r="AE959" t="inlineStr">
        <is>
          <t>31.75-0-1.2-ERW 1-PE-0.21</t>
        </is>
      </c>
      <c r="AF959" t="n">
        <v>0.1897627914</v>
      </c>
    </row>
    <row r="960">
      <c r="A960" s="56" t="n">
        <v>2288945</v>
      </c>
      <c r="B960" s="56" t="inlineStr">
        <is>
          <t>TUB-O-N-AUT-AW-PE-18.20X1.000X6.1450</t>
        </is>
      </c>
      <c r="C960" s="56" t="inlineStr">
        <is>
          <t>4928AK1030</t>
        </is>
      </c>
      <c r="D960" s="56" t="n"/>
      <c r="E960" s="57" t="n">
        <v>549.9</v>
      </c>
      <c r="F960" s="57" t="n">
        <v>0.5498999999999999</v>
      </c>
      <c r="G960" s="56" t="inlineStr">
        <is>
          <t>KG</t>
        </is>
      </c>
      <c r="H960" s="56" t="inlineStr">
        <is>
          <t>TF01</t>
        </is>
      </c>
      <c r="I960" s="56" t="inlineStr">
        <is>
          <t>4731</t>
        </is>
      </c>
      <c r="J960" s="56" t="n"/>
      <c r="K960" s="56" t="n"/>
      <c r="L960" s="56" t="n"/>
      <c r="M960" s="56" t="n"/>
      <c r="N960" s="56" t="inlineStr">
        <is>
          <t>Neel Metal Products Limited</t>
        </is>
      </c>
      <c r="O960" s="56" t="n">
        <v>25</v>
      </c>
      <c r="P960" s="59" t="inlineStr">
        <is>
          <t>0-30</t>
        </is>
      </c>
      <c r="Q960" s="56" t="inlineStr">
        <is>
          <t>Apoorv</t>
        </is>
      </c>
      <c r="U960" t="n">
        <v>4082199</v>
      </c>
      <c r="V960" t="n">
        <v>31.75</v>
      </c>
      <c r="W960" t="n">
        <v>0</v>
      </c>
      <c r="X960" t="n">
        <v>1.2</v>
      </c>
      <c r="Y960" t="n">
        <v>0.598</v>
      </c>
      <c r="Z960" t="inlineStr">
        <is>
          <t>WG</t>
        </is>
      </c>
      <c r="AA960" t="inlineStr">
        <is>
          <t>FC</t>
        </is>
      </c>
      <c r="AB960" t="inlineStr">
        <is>
          <t>AW</t>
        </is>
      </c>
      <c r="AC960" t="inlineStr">
        <is>
          <t>31.75-0-1.2-ERW 1-FC</t>
        </is>
      </c>
      <c r="AD960" t="inlineStr">
        <is>
          <t>CTL</t>
        </is>
      </c>
      <c r="AE960" t="inlineStr">
        <is>
          <t>31.75-0-1.2-ERW 1-FC-0.598</t>
        </is>
      </c>
      <c r="AF960" t="n">
        <v>0.5403721393199999</v>
      </c>
    </row>
    <row r="961">
      <c r="A961" s="56" t="n">
        <v>2288945</v>
      </c>
      <c r="B961" s="56" t="inlineStr">
        <is>
          <t>TUB-O-N-AUT-AW-PE-18.20X1.000X6.1450</t>
        </is>
      </c>
      <c r="C961" s="56" t="inlineStr">
        <is>
          <t>4928AK1010</t>
        </is>
      </c>
      <c r="D961" s="56" t="n"/>
      <c r="E961" s="57" t="n">
        <v>1206</v>
      </c>
      <c r="F961" s="57" t="n">
        <v>1.206</v>
      </c>
      <c r="G961" s="56" t="inlineStr">
        <is>
          <t>KG</t>
        </is>
      </c>
      <c r="H961" s="56" t="inlineStr">
        <is>
          <t>R001</t>
        </is>
      </c>
      <c r="I961" s="56" t="inlineStr">
        <is>
          <t>4731</t>
        </is>
      </c>
      <c r="J961" s="56" t="n"/>
      <c r="K961" s="56" t="n"/>
      <c r="L961" s="56" t="n"/>
      <c r="M961" s="56" t="n"/>
      <c r="N961" s="56" t="inlineStr">
        <is>
          <t>Neel Metal Products Limited</t>
        </is>
      </c>
      <c r="O961" s="56" t="n">
        <v>79</v>
      </c>
      <c r="P961" s="59" t="inlineStr">
        <is>
          <t>61-90</t>
        </is>
      </c>
      <c r="Q961" s="56" t="inlineStr">
        <is>
          <t>Apoorv</t>
        </is>
      </c>
      <c r="U961" s="585" t="n">
        <v>444028</v>
      </c>
      <c r="V961" t="n">
        <v>31.75</v>
      </c>
      <c r="W961" t="n">
        <v>0</v>
      </c>
      <c r="X961" t="n">
        <v>1.2</v>
      </c>
      <c r="Y961" t="n">
        <v>0.6</v>
      </c>
      <c r="Z961" t="inlineStr">
        <is>
          <t>TPT</t>
        </is>
      </c>
      <c r="AA961" t="inlineStr">
        <is>
          <t>PE</t>
        </is>
      </c>
      <c r="AB961" t="inlineStr">
        <is>
          <t>AW</t>
        </is>
      </c>
      <c r="AC961" t="inlineStr">
        <is>
          <t>31.75-0-1.2-ERW 1-PE</t>
        </is>
      </c>
      <c r="AD961" t="inlineStr">
        <is>
          <t>CTL</t>
        </is>
      </c>
      <c r="AE961" t="inlineStr">
        <is>
          <t>31.75-0-1.2-ERW 1-PE-0.6</t>
        </is>
      </c>
      <c r="AF961" t="n">
        <v>0.542179404</v>
      </c>
    </row>
    <row r="962">
      <c r="A962" s="56" t="n">
        <v>2288945</v>
      </c>
      <c r="B962" s="56" t="inlineStr">
        <is>
          <t>TUB-O-N-AUT-AW-PE-18.20X1.000X6.1450</t>
        </is>
      </c>
      <c r="C962" s="56" t="inlineStr">
        <is>
          <t>4927CK1050</t>
        </is>
      </c>
      <c r="D962" s="56" t="n"/>
      <c r="E962" s="57" t="n">
        <v>1188</v>
      </c>
      <c r="F962" s="57" t="n">
        <v>1.188</v>
      </c>
      <c r="G962" s="56" t="inlineStr">
        <is>
          <t>KG</t>
        </is>
      </c>
      <c r="H962" s="56" t="inlineStr">
        <is>
          <t>R001</t>
        </is>
      </c>
      <c r="I962" s="56" t="inlineStr">
        <is>
          <t>4731</t>
        </is>
      </c>
      <c r="J962" s="56" t="n"/>
      <c r="K962" s="56" t="n"/>
      <c r="L962" s="56" t="n"/>
      <c r="M962" s="56" t="n"/>
      <c r="N962" s="56" t="inlineStr">
        <is>
          <t>Neel Metal Products Limited</t>
        </is>
      </c>
      <c r="O962" s="56" t="n">
        <v>79</v>
      </c>
      <c r="P962" s="59" t="inlineStr">
        <is>
          <t>61-90</t>
        </is>
      </c>
      <c r="Q962" s="56" t="inlineStr">
        <is>
          <t>Apoorv</t>
        </is>
      </c>
      <c r="U962" s="585" t="n">
        <v>3507795</v>
      </c>
      <c r="V962" t="n">
        <v>31.75</v>
      </c>
      <c r="W962" t="n">
        <v>0</v>
      </c>
      <c r="X962" t="n">
        <v>1.2</v>
      </c>
      <c r="Y962" t="n">
        <v>0.657</v>
      </c>
      <c r="Z962" t="inlineStr"/>
      <c r="AA962" t="inlineStr">
        <is>
          <t>PE</t>
        </is>
      </c>
      <c r="AB962" t="inlineStr">
        <is>
          <t>AW</t>
        </is>
      </c>
      <c r="AC962" t="inlineStr">
        <is>
          <t>31.75-0-1.2-ERW 1-PE</t>
        </is>
      </c>
      <c r="AD962" t="inlineStr">
        <is>
          <t>CTL</t>
        </is>
      </c>
      <c r="AE962" t="inlineStr">
        <is>
          <t>31.75-0-1.2-ERW 1-PE-0.657</t>
        </is>
      </c>
      <c r="AF962" t="n">
        <v>0.59368644738</v>
      </c>
    </row>
    <row r="963">
      <c r="A963" s="56" t="n">
        <v>2288945</v>
      </c>
      <c r="B963" s="56" t="inlineStr">
        <is>
          <t>TUB-O-N-AUT-AW-PE-18.20X1.000X6.1450</t>
        </is>
      </c>
      <c r="C963" s="56" t="inlineStr">
        <is>
          <t>4927CK1030</t>
        </is>
      </c>
      <c r="D963" s="56" t="n"/>
      <c r="E963" s="57" t="n">
        <v>1821</v>
      </c>
      <c r="F963" s="57" t="n">
        <v>1.821</v>
      </c>
      <c r="G963" s="56" t="inlineStr">
        <is>
          <t>KG</t>
        </is>
      </c>
      <c r="H963" s="56" t="inlineStr">
        <is>
          <t>R001</t>
        </is>
      </c>
      <c r="I963" s="56" t="inlineStr">
        <is>
          <t>4731</t>
        </is>
      </c>
      <c r="J963" s="56" t="n"/>
      <c r="K963" s="56" t="n"/>
      <c r="L963" s="56" t="n"/>
      <c r="M963" s="56" t="n"/>
      <c r="N963" s="56" t="inlineStr">
        <is>
          <t>Neel Metal Products Limited</t>
        </is>
      </c>
      <c r="O963" s="56" t="n">
        <v>79</v>
      </c>
      <c r="P963" s="59" t="inlineStr">
        <is>
          <t>61-90</t>
        </is>
      </c>
      <c r="Q963" s="56" t="inlineStr">
        <is>
          <t>Apoorv</t>
        </is>
      </c>
      <c r="U963" s="585" t="n">
        <v>373013</v>
      </c>
      <c r="V963" t="n">
        <v>31.75</v>
      </c>
      <c r="W963" t="n">
        <v>0</v>
      </c>
      <c r="X963" t="n">
        <v>1.2</v>
      </c>
      <c r="Y963" t="n">
        <v>0.67</v>
      </c>
      <c r="Z963" t="inlineStr">
        <is>
          <t>TPT</t>
        </is>
      </c>
      <c r="AA963" t="inlineStr">
        <is>
          <t>PE</t>
        </is>
      </c>
      <c r="AB963" t="inlineStr">
        <is>
          <t>AW</t>
        </is>
      </c>
      <c r="AC963" t="inlineStr">
        <is>
          <t>31.75-0-1.2-ERW 1-PE</t>
        </is>
      </c>
      <c r="AD963" t="inlineStr">
        <is>
          <t>CTL</t>
        </is>
      </c>
      <c r="AE963" t="inlineStr">
        <is>
          <t>31.75-0-1.2-ERW 1-PE-0.67</t>
        </is>
      </c>
      <c r="AF963" t="n">
        <v>0.6054336678</v>
      </c>
    </row>
    <row r="964">
      <c r="A964" s="56" t="n">
        <v>2288945</v>
      </c>
      <c r="B964" s="56" t="inlineStr">
        <is>
          <t>TUB-O-N-AUT-AW-PE-18.20X1.000X6.1450</t>
        </is>
      </c>
      <c r="C964" s="56" t="inlineStr">
        <is>
          <t>4928BK1020</t>
        </is>
      </c>
      <c r="D964" s="56" t="n"/>
      <c r="E964" s="57" t="n">
        <v>223.904</v>
      </c>
      <c r="F964" s="57" t="n">
        <v>0.223904</v>
      </c>
      <c r="G964" s="56" t="inlineStr">
        <is>
          <t>KG</t>
        </is>
      </c>
      <c r="H964" s="56" t="inlineStr"/>
      <c r="I964" s="56" t="inlineStr">
        <is>
          <t>4731</t>
        </is>
      </c>
      <c r="J964" s="56" t="n"/>
      <c r="K964" s="56" t="n"/>
      <c r="L964" s="56" t="n"/>
      <c r="M964" s="56" t="n"/>
      <c r="N964" s="56" t="inlineStr">
        <is>
          <t>Neel Metal Products Limited</t>
        </is>
      </c>
      <c r="O964" s="56" t="n">
        <v>6</v>
      </c>
      <c r="P964" s="59" t="inlineStr">
        <is>
          <t>0-30</t>
        </is>
      </c>
      <c r="Q964" s="56" t="inlineStr">
        <is>
          <t>Apoorv</t>
        </is>
      </c>
      <c r="U964" s="585" t="n">
        <v>1940653</v>
      </c>
      <c r="V964" t="n">
        <v>31.75</v>
      </c>
      <c r="W964" t="n">
        <v>0</v>
      </c>
      <c r="X964" t="n">
        <v>1.2</v>
      </c>
      <c r="Y964" t="n">
        <v>0.67</v>
      </c>
      <c r="Z964" t="inlineStr">
        <is>
          <t>WG</t>
        </is>
      </c>
      <c r="AA964" t="inlineStr">
        <is>
          <t>PE</t>
        </is>
      </c>
      <c r="AB964" t="inlineStr">
        <is>
          <t>AW</t>
        </is>
      </c>
      <c r="AC964" t="inlineStr">
        <is>
          <t>31.75-0-1.2-ERW 1-PE</t>
        </is>
      </c>
      <c r="AD964" t="inlineStr">
        <is>
          <t>CTL</t>
        </is>
      </c>
      <c r="AE964" t="inlineStr">
        <is>
          <t>31.75-0-1.2-ERW 1-PE-0.67</t>
        </is>
      </c>
      <c r="AF964" t="n">
        <v>0.6054336678</v>
      </c>
    </row>
    <row r="965">
      <c r="A965" s="56" t="n">
        <v>2288945</v>
      </c>
      <c r="B965" s="56" t="inlineStr">
        <is>
          <t>TUB-O-N-AUT-AW-PE-18.20X1.000X6.1450</t>
        </is>
      </c>
      <c r="C965" s="56" t="inlineStr">
        <is>
          <t>4928BK1010</t>
        </is>
      </c>
      <c r="D965" s="56" t="n"/>
      <c r="E965" s="57" t="n">
        <v>319.959</v>
      </c>
      <c r="F965" s="57" t="n">
        <v>0.319959</v>
      </c>
      <c r="G965" s="56" t="inlineStr">
        <is>
          <t>KG</t>
        </is>
      </c>
      <c r="H965" s="56" t="inlineStr"/>
      <c r="I965" s="56" t="inlineStr">
        <is>
          <t>4731</t>
        </is>
      </c>
      <c r="J965" s="56" t="n"/>
      <c r="K965" s="56" t="n"/>
      <c r="L965" s="56" t="n"/>
      <c r="M965" s="56" t="n"/>
      <c r="N965" s="56" t="inlineStr">
        <is>
          <t>Neel Metal Products Limited</t>
        </is>
      </c>
      <c r="O965" s="56" t="n">
        <v>7</v>
      </c>
      <c r="P965" s="59" t="inlineStr">
        <is>
          <t>0-30</t>
        </is>
      </c>
      <c r="Q965" s="56" t="inlineStr">
        <is>
          <t>Apoorv</t>
        </is>
      </c>
      <c r="U965" s="585" t="n">
        <v>3506437</v>
      </c>
      <c r="V965" t="n">
        <v>31.75</v>
      </c>
      <c r="W965" t="n">
        <v>0</v>
      </c>
      <c r="X965" t="n">
        <v>1.2</v>
      </c>
      <c r="Y965" t="n">
        <v>0.67</v>
      </c>
      <c r="Z965" t="inlineStr"/>
      <c r="AA965" t="inlineStr">
        <is>
          <t>PE</t>
        </is>
      </c>
      <c r="AB965" t="inlineStr">
        <is>
          <t>AW</t>
        </is>
      </c>
      <c r="AC965" t="inlineStr">
        <is>
          <t>31.75-0-1.2-ERW 1-PE</t>
        </is>
      </c>
      <c r="AD965" t="inlineStr">
        <is>
          <t>CTL</t>
        </is>
      </c>
      <c r="AE965" t="inlineStr">
        <is>
          <t>31.75-0-1.2-ERW 1-PE-0.67</t>
        </is>
      </c>
      <c r="AF965" t="n">
        <v>0.6054336678</v>
      </c>
    </row>
    <row r="966">
      <c r="A966" s="56" t="n">
        <v>2356445</v>
      </c>
      <c r="B966" s="56" t="inlineStr">
        <is>
          <t>TUB-O-N-AUT-AW-PE-48.60X3.400X6.0500</t>
        </is>
      </c>
      <c r="C966" s="56" t="inlineStr">
        <is>
          <t>4510CH2070</t>
        </is>
      </c>
      <c r="D966" s="56" t="n"/>
      <c r="E966" s="57" t="n">
        <v>1384</v>
      </c>
      <c r="F966" s="57" t="n">
        <v>1.384</v>
      </c>
      <c r="G966" s="56" t="inlineStr">
        <is>
          <t>KG</t>
        </is>
      </c>
      <c r="H966" s="56" t="inlineStr">
        <is>
          <t>R001</t>
        </is>
      </c>
      <c r="I966" s="56" t="inlineStr">
        <is>
          <t>4731</t>
        </is>
      </c>
      <c r="J966" s="56" t="n"/>
      <c r="K966" s="56" t="n"/>
      <c r="L966" s="56" t="n"/>
      <c r="M966" s="56" t="n"/>
      <c r="N966" s="56" t="inlineStr">
        <is>
          <t>MEGH STEELS PRIVATE LIMITED - TVS A</t>
        </is>
      </c>
      <c r="O966" s="56" t="n">
        <v>110</v>
      </c>
      <c r="P966" s="59" t="inlineStr">
        <is>
          <t>ABOVE 90</t>
        </is>
      </c>
      <c r="Q966" s="56" t="inlineStr">
        <is>
          <t>Apoorv</t>
        </is>
      </c>
      <c r="U966" s="585" t="n">
        <v>3819143</v>
      </c>
      <c r="V966" t="n">
        <v>31.75</v>
      </c>
      <c r="W966" t="n">
        <v>0</v>
      </c>
      <c r="X966" t="n">
        <v>1.2</v>
      </c>
      <c r="Y966" t="n">
        <v>0.68</v>
      </c>
      <c r="Z966" t="inlineStr">
        <is>
          <t>WG</t>
        </is>
      </c>
      <c r="AA966" t="inlineStr">
        <is>
          <t>PE</t>
        </is>
      </c>
      <c r="AB966" t="inlineStr">
        <is>
          <t>AW</t>
        </is>
      </c>
      <c r="AC966" t="inlineStr">
        <is>
          <t>31.75-0-1.2-ERW 1-PE</t>
        </is>
      </c>
      <c r="AD966" t="inlineStr">
        <is>
          <t>CTL</t>
        </is>
      </c>
      <c r="AE966" t="inlineStr">
        <is>
          <t>31.75-0-1.2-ERW 1-PE-0.68</t>
        </is>
      </c>
      <c r="AF966" t="n">
        <v>0.6144699912</v>
      </c>
    </row>
    <row r="967">
      <c r="A967" s="56" t="n">
        <v>2359755</v>
      </c>
      <c r="B967" s="56" t="inlineStr">
        <is>
          <t>TUB-O-C-AUT-AD-FC-30.00X2.250X0.4850</t>
        </is>
      </c>
      <c r="C967" s="56" t="inlineStr">
        <is>
          <t>4B10AK2040</t>
        </is>
      </c>
      <c r="D967" s="56" t="n"/>
      <c r="E967" s="57" t="n">
        <v>1219.104</v>
      </c>
      <c r="F967" s="57" t="n">
        <v>1.219104</v>
      </c>
      <c r="G967" s="56" t="inlineStr">
        <is>
          <t>KG</t>
        </is>
      </c>
      <c r="H967" s="56" t="inlineStr">
        <is>
          <t>TF01</t>
        </is>
      </c>
      <c r="I967" s="56" t="inlineStr">
        <is>
          <t>4731</t>
        </is>
      </c>
      <c r="J967" s="56" t="n"/>
      <c r="K967" s="56" t="n"/>
      <c r="L967" s="56" t="n"/>
      <c r="M967" s="56" t="n"/>
      <c r="N967" s="56" t="inlineStr">
        <is>
          <t>Marathwada Auto Compo Pvt. Ltd.</t>
        </is>
      </c>
      <c r="O967" s="56" t="n">
        <v>33</v>
      </c>
      <c r="P967" s="59" t="inlineStr">
        <is>
          <t>31-60</t>
        </is>
      </c>
      <c r="Q967" s="56" t="inlineStr">
        <is>
          <t>Apoorv</t>
        </is>
      </c>
      <c r="U967" s="585" t="n">
        <v>1904406</v>
      </c>
      <c r="V967" t="n">
        <v>31.75</v>
      </c>
      <c r="W967" t="n">
        <v>0</v>
      </c>
      <c r="X967" t="n">
        <v>1.2</v>
      </c>
      <c r="Y967" t="n">
        <v>0.6858</v>
      </c>
      <c r="Z967" t="inlineStr">
        <is>
          <t>NORMAL</t>
        </is>
      </c>
      <c r="AA967" t="inlineStr">
        <is>
          <t>PE</t>
        </is>
      </c>
      <c r="AB967" t="inlineStr">
        <is>
          <t>AW</t>
        </is>
      </c>
      <c r="AC967" t="inlineStr">
        <is>
          <t>31.75-0-1.2-ERW 1-PE</t>
        </is>
      </c>
      <c r="AD967" t="inlineStr">
        <is>
          <t>CTL</t>
        </is>
      </c>
      <c r="AE967" t="inlineStr">
        <is>
          <t>31.75-0-1.2-ERW 1-PE-0.6858</t>
        </is>
      </c>
      <c r="AF967" t="n">
        <v>0.6197110587719999</v>
      </c>
    </row>
    <row r="968">
      <c r="A968" s="56" t="n">
        <v>2359755</v>
      </c>
      <c r="B968" s="56" t="inlineStr">
        <is>
          <t>TUB-O-C-AUT-AD-FC-30.00X2.250X0.4850</t>
        </is>
      </c>
      <c r="C968" s="56" t="inlineStr">
        <is>
          <t>4B10AK2030</t>
        </is>
      </c>
      <c r="D968" s="56" t="n"/>
      <c r="E968" s="57" t="n">
        <v>1263.76</v>
      </c>
      <c r="F968" s="57" t="n">
        <v>1.26376</v>
      </c>
      <c r="G968" s="56" t="inlineStr">
        <is>
          <t>KG</t>
        </is>
      </c>
      <c r="H968" s="56" t="inlineStr">
        <is>
          <t>TF01</t>
        </is>
      </c>
      <c r="I968" s="56" t="inlineStr">
        <is>
          <t>4731</t>
        </is>
      </c>
      <c r="J968" s="56" t="n"/>
      <c r="K968" s="56" t="n"/>
      <c r="L968" s="56" t="n"/>
      <c r="M968" s="56" t="n"/>
      <c r="N968" s="56" t="inlineStr">
        <is>
          <t>Marathwada Auto Compo Pvt. Ltd.</t>
        </is>
      </c>
      <c r="O968" s="56" t="n">
        <v>31</v>
      </c>
      <c r="P968" s="59" t="inlineStr">
        <is>
          <t>31-60</t>
        </is>
      </c>
      <c r="Q968" s="56" t="inlineStr">
        <is>
          <t>Apoorv</t>
        </is>
      </c>
      <c r="U968" s="585" t="n">
        <v>3586648</v>
      </c>
      <c r="V968" t="n">
        <v>31.75</v>
      </c>
      <c r="W968" t="n">
        <v>0</v>
      </c>
      <c r="X968" t="n">
        <v>1.2</v>
      </c>
      <c r="Y968" t="n">
        <v>5.45</v>
      </c>
      <c r="Z968" t="inlineStr">
        <is>
          <t>WG</t>
        </is>
      </c>
      <c r="AA968" t="inlineStr">
        <is>
          <t>PE</t>
        </is>
      </c>
      <c r="AB968" t="inlineStr">
        <is>
          <t>AW</t>
        </is>
      </c>
      <c r="AC968" t="inlineStr">
        <is>
          <t>31.75-0-1.2-ERW 1-PE</t>
        </is>
      </c>
      <c r="AD968" t="inlineStr">
        <is>
          <t>LL</t>
        </is>
      </c>
      <c r="AE968" t="inlineStr">
        <is>
          <t>31.75-0-1.2-ERW 1-PE-1</t>
        </is>
      </c>
      <c r="AF968" t="n">
        <v>0.9036323399999999</v>
      </c>
    </row>
    <row r="969">
      <c r="A969" s="56" t="n">
        <v>2363145</v>
      </c>
      <c r="B969" s="56" t="inlineStr">
        <is>
          <t>TUB-O-C-AUT-AN-FC-14.00X2.450X5.0000</t>
        </is>
      </c>
      <c r="C969" s="56" t="inlineStr">
        <is>
          <t>4809AK2050</t>
        </is>
      </c>
      <c r="D969" s="56" t="n"/>
      <c r="E969" s="57" t="n">
        <v>2460</v>
      </c>
      <c r="F969" s="57" t="n">
        <v>2.46</v>
      </c>
      <c r="G969" s="56" t="inlineStr">
        <is>
          <t>KG</t>
        </is>
      </c>
      <c r="H969" s="56" t="inlineStr">
        <is>
          <t>TF01</t>
        </is>
      </c>
      <c r="I969" s="56" t="inlineStr">
        <is>
          <t>4731</t>
        </is>
      </c>
      <c r="J969" s="56" t="n"/>
      <c r="K969" s="56" t="n"/>
      <c r="L969" s="56" t="n"/>
      <c r="M969" s="56" t="n"/>
      <c r="N969" s="56" t="inlineStr">
        <is>
          <t>Neel Metal Products Limited</t>
        </is>
      </c>
      <c r="O969" s="56" t="n">
        <v>101</v>
      </c>
      <c r="P969" s="59" t="inlineStr">
        <is>
          <t>ABOVE 90</t>
        </is>
      </c>
      <c r="Q969" s="56" t="inlineStr">
        <is>
          <t>Apoorv</t>
        </is>
      </c>
      <c r="U969" s="586" t="n">
        <v>111001347</v>
      </c>
      <c r="V969" t="n">
        <v>31.75</v>
      </c>
      <c r="W969" t="n">
        <v>0</v>
      </c>
      <c r="X969" t="n">
        <v>1.2</v>
      </c>
      <c r="Y969" t="n">
        <v>5.55</v>
      </c>
      <c r="Z969" t="inlineStr">
        <is>
          <t>WG</t>
        </is>
      </c>
      <c r="AA969" t="inlineStr">
        <is>
          <t>PE</t>
        </is>
      </c>
      <c r="AB969" t="inlineStr">
        <is>
          <t>AW</t>
        </is>
      </c>
      <c r="AC969" t="inlineStr">
        <is>
          <t>31.75-0-1.2-ERW 1-PE</t>
        </is>
      </c>
      <c r="AD969" t="inlineStr">
        <is>
          <t>LL</t>
        </is>
      </c>
      <c r="AE969" t="inlineStr">
        <is>
          <t>31.75-0-1.2-ERW 1-PE-1</t>
        </is>
      </c>
      <c r="AF969" t="n">
        <v>0.9036323399999999</v>
      </c>
    </row>
    <row r="970">
      <c r="A970" s="56" t="n">
        <v>2396464</v>
      </c>
      <c r="B970" s="56" t="inlineStr">
        <is>
          <t>TUB-O-N-AUT-AN-FC-54.00X3.000X1.1400</t>
        </is>
      </c>
      <c r="C970" s="56" t="inlineStr">
        <is>
          <t>4820BK3040</t>
        </is>
      </c>
      <c r="D970" s="56" t="n"/>
      <c r="E970" s="57" t="n">
        <v>155.991</v>
      </c>
      <c r="F970" s="57" t="n">
        <v>0.155991</v>
      </c>
      <c r="G970" s="56" t="inlineStr">
        <is>
          <t>KG</t>
        </is>
      </c>
      <c r="H970" s="56" t="inlineStr">
        <is>
          <t>TF01</t>
        </is>
      </c>
      <c r="I970" s="56" t="inlineStr">
        <is>
          <t>4731</t>
        </is>
      </c>
      <c r="J970" s="56" t="n"/>
      <c r="K970" s="56" t="n"/>
      <c r="L970" s="56" t="n"/>
      <c r="M970" s="56" t="n"/>
      <c r="N970" s="56" t="inlineStr">
        <is>
          <t>Neel Metal Products Limited</t>
        </is>
      </c>
      <c r="O970" s="56" t="n">
        <v>13</v>
      </c>
      <c r="P970" s="59" t="inlineStr">
        <is>
          <t>0-30</t>
        </is>
      </c>
      <c r="Q970" s="56" t="inlineStr">
        <is>
          <t>Apoorv</t>
        </is>
      </c>
      <c r="U970" s="585" t="n">
        <v>331629</v>
      </c>
      <c r="V970" t="n">
        <v>31.75</v>
      </c>
      <c r="W970" t="n">
        <v>0</v>
      </c>
      <c r="X970" t="n">
        <v>1.2</v>
      </c>
      <c r="Y970" t="n">
        <v>5.6</v>
      </c>
      <c r="Z970" t="inlineStr">
        <is>
          <t>TPT</t>
        </is>
      </c>
      <c r="AA970" t="inlineStr">
        <is>
          <t>FC</t>
        </is>
      </c>
      <c r="AB970" t="inlineStr">
        <is>
          <t>AW</t>
        </is>
      </c>
      <c r="AC970" t="inlineStr">
        <is>
          <t>31.75-0-1.2-ERW 1-FC</t>
        </is>
      </c>
      <c r="AD970" t="inlineStr">
        <is>
          <t>LL</t>
        </is>
      </c>
      <c r="AE970" t="inlineStr">
        <is>
          <t>31.75-0-1.2-ERW 1-FC-1</t>
        </is>
      </c>
      <c r="AF970" t="n">
        <v>0.9036323399999999</v>
      </c>
    </row>
    <row r="971">
      <c r="A971" s="56" t="n">
        <v>2396464</v>
      </c>
      <c r="B971" s="56" t="inlineStr">
        <is>
          <t>TUB-O-N-AUT-AN-FC-54.00X3.000X1.1400</t>
        </is>
      </c>
      <c r="C971" s="56" t="inlineStr">
        <is>
          <t>4820BK3030</t>
        </is>
      </c>
      <c r="D971" s="56" t="n"/>
      <c r="E971" s="57" t="n">
        <v>3050.634</v>
      </c>
      <c r="F971" s="57" t="n">
        <v>3.050634</v>
      </c>
      <c r="G971" s="56" t="inlineStr">
        <is>
          <t>KG</t>
        </is>
      </c>
      <c r="H971" s="56" t="inlineStr">
        <is>
          <t>TF01</t>
        </is>
      </c>
      <c r="I971" s="56" t="inlineStr">
        <is>
          <t>4731</t>
        </is>
      </c>
      <c r="J971" s="56" t="n"/>
      <c r="K971" s="56" t="n"/>
      <c r="L971" s="56" t="n"/>
      <c r="M971" s="56" t="n"/>
      <c r="N971" s="56" t="inlineStr">
        <is>
          <t>Neel Metal Products Limited</t>
        </is>
      </c>
      <c r="O971" s="56" t="n">
        <v>46</v>
      </c>
      <c r="P971" s="59" t="inlineStr">
        <is>
          <t>31-60</t>
        </is>
      </c>
      <c r="Q971" s="56" t="inlineStr">
        <is>
          <t>Apoorv</t>
        </is>
      </c>
      <c r="U971" s="585" t="n">
        <v>3171772</v>
      </c>
      <c r="V971" t="n">
        <v>31.75</v>
      </c>
      <c r="W971" t="n">
        <v>0</v>
      </c>
      <c r="X971" t="n">
        <v>1.2</v>
      </c>
      <c r="Y971" t="n">
        <v>6</v>
      </c>
      <c r="Z971" t="inlineStr">
        <is>
          <t>WG</t>
        </is>
      </c>
      <c r="AA971" t="inlineStr">
        <is>
          <t>PE</t>
        </is>
      </c>
      <c r="AB971" t="inlineStr">
        <is>
          <t>AW</t>
        </is>
      </c>
      <c r="AC971" t="inlineStr">
        <is>
          <t>31.75-0-1.2-ERW 1-PE</t>
        </is>
      </c>
      <c r="AD971" t="inlineStr">
        <is>
          <t>LL</t>
        </is>
      </c>
      <c r="AE971" t="inlineStr">
        <is>
          <t>31.75-0-1.2-ERW 1-PE-1</t>
        </is>
      </c>
      <c r="AF971" t="n">
        <v>0.9036323399999999</v>
      </c>
    </row>
    <row r="972">
      <c r="A972" s="56" t="n">
        <v>2396464</v>
      </c>
      <c r="B972" s="56" t="inlineStr">
        <is>
          <t>TUB-O-N-AUT-AN-FC-54.00X3.000X1.1400</t>
        </is>
      </c>
      <c r="C972" s="56" t="inlineStr">
        <is>
          <t>4820BK3020</t>
        </is>
      </c>
      <c r="D972" s="56" t="n"/>
      <c r="E972" s="57" t="n">
        <v>779.006</v>
      </c>
      <c r="F972" s="57" t="n">
        <v>0.779006</v>
      </c>
      <c r="G972" s="56" t="inlineStr">
        <is>
          <t>KG</t>
        </is>
      </c>
      <c r="H972" s="56" t="inlineStr">
        <is>
          <t>TF01</t>
        </is>
      </c>
      <c r="I972" s="56" t="inlineStr">
        <is>
          <t>4731</t>
        </is>
      </c>
      <c r="J972" s="56" t="n"/>
      <c r="K972" s="56" t="n"/>
      <c r="L972" s="56" t="n"/>
      <c r="M972" s="56" t="n"/>
      <c r="N972" s="56" t="inlineStr">
        <is>
          <t>Neel Metal Products Limited</t>
        </is>
      </c>
      <c r="O972" s="56" t="n">
        <v>35</v>
      </c>
      <c r="P972" s="59" t="inlineStr">
        <is>
          <t>31-60</t>
        </is>
      </c>
      <c r="Q972" s="56" t="inlineStr">
        <is>
          <t>Apoorv</t>
        </is>
      </c>
      <c r="U972" s="585" t="n">
        <v>3500689</v>
      </c>
      <c r="V972" t="n">
        <v>31.75</v>
      </c>
      <c r="W972" t="n">
        <v>0</v>
      </c>
      <c r="X972" t="n">
        <v>1.2</v>
      </c>
      <c r="Y972" t="n">
        <v>6</v>
      </c>
      <c r="Z972" t="inlineStr"/>
      <c r="AA972" t="inlineStr">
        <is>
          <t>FC</t>
        </is>
      </c>
      <c r="AB972" t="inlineStr">
        <is>
          <t>NR</t>
        </is>
      </c>
      <c r="AC972" t="inlineStr">
        <is>
          <t>31.75-0-1.2-ERW 1-FC</t>
        </is>
      </c>
      <c r="AD972" t="inlineStr">
        <is>
          <t>LL</t>
        </is>
      </c>
      <c r="AE972" t="inlineStr">
        <is>
          <t>31.75-0-1.2-ERW 1-FC-1</t>
        </is>
      </c>
      <c r="AF972" t="n">
        <v>0.9036323399999999</v>
      </c>
    </row>
    <row r="973">
      <c r="A973" s="56" t="n">
        <v>2397139</v>
      </c>
      <c r="B973" s="56" t="inlineStr">
        <is>
          <t>TUB-O-N-AUT-AN-FC-54.00X3.000X5.7500</t>
        </is>
      </c>
      <c r="C973" s="56" t="inlineStr">
        <is>
          <t>4820BK3050</t>
        </is>
      </c>
      <c r="D973" s="56" t="n"/>
      <c r="E973" s="57" t="n">
        <v>3046</v>
      </c>
      <c r="F973" s="57" t="n">
        <v>3.046</v>
      </c>
      <c r="G973" s="56" t="inlineStr">
        <is>
          <t>KG</t>
        </is>
      </c>
      <c r="H973" s="56" t="inlineStr">
        <is>
          <t>TF01</t>
        </is>
      </c>
      <c r="I973" s="56" t="inlineStr">
        <is>
          <t>4731</t>
        </is>
      </c>
      <c r="J973" s="56" t="n"/>
      <c r="K973" s="56" t="n"/>
      <c r="L973" s="56" t="n"/>
      <c r="M973" s="56" t="n"/>
      <c r="N973" s="56" t="inlineStr">
        <is>
          <t>Neel Metal Products Limited</t>
        </is>
      </c>
      <c r="O973" s="56" t="n">
        <v>132</v>
      </c>
      <c r="P973" s="59" t="inlineStr">
        <is>
          <t>ABOVE 90</t>
        </is>
      </c>
      <c r="Q973" s="56" t="inlineStr">
        <is>
          <t>Apoorv</t>
        </is>
      </c>
      <c r="U973" s="586" t="n">
        <v>110102775</v>
      </c>
      <c r="V973" t="n">
        <v>31.75</v>
      </c>
      <c r="W973" t="n">
        <v>0</v>
      </c>
      <c r="X973" t="n">
        <v>1.2</v>
      </c>
      <c r="Y973" t="n">
        <v>6.035</v>
      </c>
      <c r="Z973" t="inlineStr">
        <is>
          <t>WG</t>
        </is>
      </c>
      <c r="AA973" t="inlineStr">
        <is>
          <t>PE</t>
        </is>
      </c>
      <c r="AB973" t="inlineStr">
        <is>
          <t>AW</t>
        </is>
      </c>
      <c r="AC973" t="inlineStr">
        <is>
          <t>31.75-0-1.2-ERW 1-FC</t>
        </is>
      </c>
      <c r="AD973" t="inlineStr">
        <is>
          <t>LL</t>
        </is>
      </c>
      <c r="AE973" t="inlineStr">
        <is>
          <t>31.75-0-1.2-ERW 1-FC-1</t>
        </is>
      </c>
      <c r="AF973" t="n">
        <v>0.9036323399999999</v>
      </c>
    </row>
    <row r="974">
      <c r="A974" s="56" t="n">
        <v>2397139</v>
      </c>
      <c r="B974" s="56" t="inlineStr">
        <is>
          <t>TUB-O-N-AUT-AN-FC-54.00X3.000X5.7500</t>
        </is>
      </c>
      <c r="C974" s="56" t="inlineStr">
        <is>
          <t>4820AK3070</t>
        </is>
      </c>
      <c r="D974" s="56" t="n"/>
      <c r="E974" s="57" t="n">
        <v>2969</v>
      </c>
      <c r="F974" s="57" t="n">
        <v>2.969</v>
      </c>
      <c r="G974" s="56" t="inlineStr">
        <is>
          <t>KG</t>
        </is>
      </c>
      <c r="H974" s="56" t="inlineStr">
        <is>
          <t>TF01</t>
        </is>
      </c>
      <c r="I974" s="56" t="inlineStr">
        <is>
          <t>4731</t>
        </is>
      </c>
      <c r="J974" s="56" t="n"/>
      <c r="K974" s="56" t="n"/>
      <c r="L974" s="56" t="n"/>
      <c r="M974" s="56" t="n"/>
      <c r="N974" s="56" t="inlineStr">
        <is>
          <t>Neel Metal Products Limited</t>
        </is>
      </c>
      <c r="O974" s="56" t="n">
        <v>132</v>
      </c>
      <c r="P974" s="59" t="inlineStr">
        <is>
          <t>ABOVE 90</t>
        </is>
      </c>
      <c r="Q974" s="56" t="inlineStr">
        <is>
          <t>Apoorv</t>
        </is>
      </c>
      <c r="U974" s="586" t="n">
        <v>110102778</v>
      </c>
      <c r="V974" t="n">
        <v>31.75</v>
      </c>
      <c r="W974" t="n">
        <v>0</v>
      </c>
      <c r="X974" t="n">
        <v>1.2</v>
      </c>
      <c r="Y974" t="n">
        <v>6.085</v>
      </c>
      <c r="Z974" t="inlineStr">
        <is>
          <t>WG</t>
        </is>
      </c>
      <c r="AA974" t="inlineStr">
        <is>
          <t>PE</t>
        </is>
      </c>
      <c r="AB974" t="inlineStr">
        <is>
          <t>AW</t>
        </is>
      </c>
      <c r="AC974" t="inlineStr">
        <is>
          <t>31.75-0-1.2-ERW 1-FC</t>
        </is>
      </c>
      <c r="AD974" t="inlineStr">
        <is>
          <t>LL</t>
        </is>
      </c>
      <c r="AE974" t="inlineStr">
        <is>
          <t>31.75-0-1.2-ERW 1-FC-1</t>
        </is>
      </c>
      <c r="AF974" t="n">
        <v>0.9036323399999999</v>
      </c>
    </row>
    <row r="975">
      <c r="A975" s="56" t="n">
        <v>2397139</v>
      </c>
      <c r="B975" s="56" t="inlineStr">
        <is>
          <t>TUB-O-N-AUT-AN-FC-54.00X3.000X5.7500</t>
        </is>
      </c>
      <c r="C975" s="56" t="inlineStr">
        <is>
          <t>B2401071</t>
        </is>
      </c>
      <c r="D975" s="56" t="n"/>
      <c r="E975" s="57" t="n">
        <v>1646.986</v>
      </c>
      <c r="F975" s="57" t="n">
        <v>1.646986</v>
      </c>
      <c r="G975" s="56" t="inlineStr">
        <is>
          <t>KG</t>
        </is>
      </c>
      <c r="H975" s="56" t="inlineStr">
        <is>
          <t>R001</t>
        </is>
      </c>
      <c r="I975" s="56" t="inlineStr">
        <is>
          <t>4731</t>
        </is>
      </c>
      <c r="J975" s="56" t="n"/>
      <c r="K975" s="56" t="n"/>
      <c r="L975" s="56" t="n"/>
      <c r="M975" s="56" t="n"/>
      <c r="N975" s="56" t="inlineStr">
        <is>
          <t>Neel Metal Products Limited</t>
        </is>
      </c>
      <c r="O975" s="56" t="n">
        <v>123</v>
      </c>
      <c r="P975" s="59" t="inlineStr">
        <is>
          <t>ABOVE 90</t>
        </is>
      </c>
      <c r="Q975" s="56" t="inlineStr">
        <is>
          <t>Apoorv</t>
        </is>
      </c>
      <c r="U975" s="586" t="n">
        <v>110102784</v>
      </c>
      <c r="V975" t="n">
        <v>31.75</v>
      </c>
      <c r="W975" t="n">
        <v>0</v>
      </c>
      <c r="X975" t="n">
        <v>1.2</v>
      </c>
      <c r="Y975" t="n">
        <v>6.125</v>
      </c>
      <c r="Z975" t="inlineStr">
        <is>
          <t>WG</t>
        </is>
      </c>
      <c r="AA975" t="inlineStr">
        <is>
          <t>PE</t>
        </is>
      </c>
      <c r="AB975" t="inlineStr">
        <is>
          <t>AW</t>
        </is>
      </c>
      <c r="AC975" t="inlineStr">
        <is>
          <t>31.75-0-1.2-ERW 1-PE</t>
        </is>
      </c>
      <c r="AD975" t="inlineStr">
        <is>
          <t>LL</t>
        </is>
      </c>
      <c r="AE975" t="inlineStr">
        <is>
          <t>31.75-0-1.2-ERW 1-PE-1</t>
        </is>
      </c>
      <c r="AF975" t="n">
        <v>0.9036323399999999</v>
      </c>
    </row>
    <row r="976">
      <c r="A976" s="56" t="n">
        <v>2410388</v>
      </c>
      <c r="B976" s="56" t="inlineStr">
        <is>
          <t>TUB-O-C-AUT-AD-FC-28.60X2.650X04-05</t>
        </is>
      </c>
      <c r="C976" s="56" t="inlineStr">
        <is>
          <t>4B0863690A</t>
        </is>
      </c>
      <c r="D976" s="56" t="n"/>
      <c r="E976" s="57" t="n">
        <v>873</v>
      </c>
      <c r="F976" s="57" t="n">
        <v>0.873</v>
      </c>
      <c r="G976" s="56" t="inlineStr">
        <is>
          <t>KG</t>
        </is>
      </c>
      <c r="H976" s="56" t="inlineStr">
        <is>
          <t>TF01</t>
        </is>
      </c>
      <c r="I976" s="56" t="inlineStr">
        <is>
          <t>4731</t>
        </is>
      </c>
      <c r="J976" s="56" t="n"/>
      <c r="K976" s="56" t="n"/>
      <c r="L976" s="56" t="n"/>
      <c r="M976" s="56" t="n"/>
      <c r="N976" s="56" t="inlineStr">
        <is>
          <t>ELKAYEM AUTO ANCILLARIES (PVT) LTD.</t>
        </is>
      </c>
      <c r="O976" s="56" t="n">
        <v>40</v>
      </c>
      <c r="P976" s="59" t="inlineStr">
        <is>
          <t>31-60</t>
        </is>
      </c>
      <c r="Q976" s="56" t="inlineStr">
        <is>
          <t>Diwakar</t>
        </is>
      </c>
      <c r="U976" s="585" t="n">
        <v>3553505</v>
      </c>
      <c r="V976" t="n">
        <v>31.75</v>
      </c>
      <c r="W976" t="n">
        <v>0</v>
      </c>
      <c r="X976" t="n">
        <v>1.2</v>
      </c>
      <c r="Y976" t="n">
        <v>6.125</v>
      </c>
      <c r="Z976" t="inlineStr">
        <is>
          <t>WG</t>
        </is>
      </c>
      <c r="AA976" t="inlineStr">
        <is>
          <t>PE</t>
        </is>
      </c>
      <c r="AB976" t="inlineStr">
        <is>
          <t>AW</t>
        </is>
      </c>
      <c r="AC976" t="inlineStr">
        <is>
          <t>31.75-0-1.2-ERW 1-PE</t>
        </is>
      </c>
      <c r="AD976" t="inlineStr">
        <is>
          <t>LL</t>
        </is>
      </c>
      <c r="AE976" t="inlineStr">
        <is>
          <t>31.75-0-1.2-ERW 1-PE-1</t>
        </is>
      </c>
      <c r="AF976" t="n">
        <v>0.9036323399999999</v>
      </c>
    </row>
    <row r="977">
      <c r="A977" s="56" t="n">
        <v>2410388</v>
      </c>
      <c r="B977" s="56" t="inlineStr">
        <is>
          <t>TUB-O-C-AUT-AD-FC-28.60X2.650X04-05</t>
        </is>
      </c>
      <c r="C977" s="56" t="inlineStr">
        <is>
          <t>4B0863680C</t>
        </is>
      </c>
      <c r="D977" s="56" t="n"/>
      <c r="E977" s="57" t="n">
        <v>55</v>
      </c>
      <c r="F977" s="57" t="n">
        <v>0.055</v>
      </c>
      <c r="G977" s="56" t="inlineStr">
        <is>
          <t>KG</t>
        </is>
      </c>
      <c r="H977" s="56" t="inlineStr">
        <is>
          <t>TF01</t>
        </is>
      </c>
      <c r="I977" s="56" t="inlineStr">
        <is>
          <t>4731</t>
        </is>
      </c>
      <c r="J977" s="56" t="n"/>
      <c r="K977" s="56" t="n"/>
      <c r="L977" s="56" t="n"/>
      <c r="M977" s="56" t="n"/>
      <c r="N977" s="56" t="inlineStr">
        <is>
          <t>ELKAYEM AUTO ANCILLARIES (PVT) LTD.</t>
        </is>
      </c>
      <c r="O977" s="56" t="n">
        <v>51</v>
      </c>
      <c r="P977" s="59" t="inlineStr">
        <is>
          <t>31-60</t>
        </is>
      </c>
      <c r="Q977" s="56" t="inlineStr">
        <is>
          <t>Diwakar</t>
        </is>
      </c>
      <c r="U977" s="585" t="n">
        <v>3682122</v>
      </c>
      <c r="V977" t="n">
        <v>31.75</v>
      </c>
      <c r="W977" t="n">
        <v>0</v>
      </c>
      <c r="X977" t="n">
        <v>1.2</v>
      </c>
      <c r="Y977" t="n">
        <v>6.15</v>
      </c>
      <c r="Z977" t="inlineStr"/>
      <c r="AA977" t="inlineStr">
        <is>
          <t>FC</t>
        </is>
      </c>
      <c r="AB977" t="inlineStr">
        <is>
          <t>AW</t>
        </is>
      </c>
      <c r="AC977" t="inlineStr">
        <is>
          <t>31.75-0-1.2-ERW 1-FC</t>
        </is>
      </c>
      <c r="AD977" t="inlineStr">
        <is>
          <t>LL</t>
        </is>
      </c>
      <c r="AE977" t="inlineStr">
        <is>
          <t>31.75-0-1.2-ERW 1-FC-1</t>
        </is>
      </c>
      <c r="AF977" t="n">
        <v>0.9036323399999999</v>
      </c>
    </row>
    <row r="978">
      <c r="A978" s="56" t="n">
        <v>2410388</v>
      </c>
      <c r="B978" s="56" t="inlineStr">
        <is>
          <t>TUB-O-C-AUT-AD-FC-28.60X2.650X04-05</t>
        </is>
      </c>
      <c r="C978" s="56" t="inlineStr">
        <is>
          <t>4B0863680B</t>
        </is>
      </c>
      <c r="D978" s="56" t="n"/>
      <c r="E978" s="57" t="n">
        <v>655</v>
      </c>
      <c r="F978" s="57" t="n">
        <v>0.655</v>
      </c>
      <c r="G978" s="56" t="inlineStr">
        <is>
          <t>KG</t>
        </is>
      </c>
      <c r="H978" s="56" t="inlineStr">
        <is>
          <t>TF01</t>
        </is>
      </c>
      <c r="I978" s="56" t="inlineStr">
        <is>
          <t>4731</t>
        </is>
      </c>
      <c r="J978" s="56" t="n"/>
      <c r="K978" s="56" t="n"/>
      <c r="L978" s="56" t="n"/>
      <c r="M978" s="56" t="n"/>
      <c r="N978" s="56" t="inlineStr">
        <is>
          <t>ELKAYEM AUTO ANCILLARIES (PVT) LTD.</t>
        </is>
      </c>
      <c r="O978" s="56" t="n">
        <v>51</v>
      </c>
      <c r="P978" s="59" t="inlineStr">
        <is>
          <t>31-60</t>
        </is>
      </c>
      <c r="Q978" s="56" t="inlineStr">
        <is>
          <t>Diwakar</t>
        </is>
      </c>
      <c r="U978" s="28" t="n">
        <v>3702310</v>
      </c>
      <c r="V978" t="n">
        <v>31.75</v>
      </c>
      <c r="W978" t="n">
        <v>0</v>
      </c>
      <c r="X978" t="n">
        <v>1.22</v>
      </c>
      <c r="Y978" t="n">
        <v>5.71</v>
      </c>
      <c r="Z978" t="inlineStr">
        <is>
          <t>WG</t>
        </is>
      </c>
      <c r="AA978" t="inlineStr">
        <is>
          <t>FC</t>
        </is>
      </c>
      <c r="AB978" t="inlineStr">
        <is>
          <t>AW</t>
        </is>
      </c>
      <c r="AC978" t="inlineStr">
        <is>
          <t>31.75-0-1.2-ERW 1-PE</t>
        </is>
      </c>
      <c r="AD978" t="inlineStr">
        <is>
          <t>LL</t>
        </is>
      </c>
      <c r="AE978" t="inlineStr">
        <is>
          <t>31.75-0-1.2-ERW 1-PE-1</t>
        </is>
      </c>
      <c r="AF978" t="n">
        <v>0.9180914434</v>
      </c>
    </row>
    <row r="979">
      <c r="A979" s="56" t="n">
        <v>2410388</v>
      </c>
      <c r="B979" s="56" t="inlineStr">
        <is>
          <t>TUB-O-C-AUT-AD-FC-28.60X2.650X04-05</t>
        </is>
      </c>
      <c r="C979" s="56" t="inlineStr">
        <is>
          <t>4B0863670C</t>
        </is>
      </c>
      <c r="D979" s="56" t="n"/>
      <c r="E979" s="57" t="n">
        <v>117</v>
      </c>
      <c r="F979" s="57" t="n">
        <v>0.117</v>
      </c>
      <c r="G979" s="56" t="inlineStr">
        <is>
          <t>KG</t>
        </is>
      </c>
      <c r="H979" s="56" t="inlineStr">
        <is>
          <t>TF01</t>
        </is>
      </c>
      <c r="I979" s="56" t="inlineStr">
        <is>
          <t>4731</t>
        </is>
      </c>
      <c r="J979" s="56" t="n"/>
      <c r="K979" s="56" t="n"/>
      <c r="L979" s="56" t="n"/>
      <c r="M979" s="56" t="n"/>
      <c r="N979" s="56" t="inlineStr">
        <is>
          <t>ELKAYEM AUTO ANCILLARIES (PVT) LTD.</t>
        </is>
      </c>
      <c r="O979" s="56" t="n">
        <v>51</v>
      </c>
      <c r="P979" s="59" t="inlineStr">
        <is>
          <t>31-60</t>
        </is>
      </c>
      <c r="Q979" s="56" t="inlineStr">
        <is>
          <t>Diwakar</t>
        </is>
      </c>
      <c r="U979" s="585" t="n">
        <v>3715133</v>
      </c>
      <c r="V979" t="n">
        <v>31.75</v>
      </c>
      <c r="W979" t="n">
        <v>0</v>
      </c>
      <c r="X979" t="n">
        <v>1.6</v>
      </c>
      <c r="Y979" t="n">
        <v>0.658</v>
      </c>
      <c r="Z979" t="inlineStr">
        <is>
          <t>WG</t>
        </is>
      </c>
      <c r="AA979" t="inlineStr">
        <is>
          <t>FC</t>
        </is>
      </c>
      <c r="AB979" t="inlineStr">
        <is>
          <t>AW</t>
        </is>
      </c>
      <c r="AC979" t="inlineStr">
        <is>
          <t>31.75-0-1.6-ERW 1-FC</t>
        </is>
      </c>
      <c r="AD979" t="inlineStr">
        <is>
          <t>CTL</t>
        </is>
      </c>
      <c r="AE979" t="inlineStr">
        <is>
          <t>31.75-0-1.6-ERW 1-FC-0.658</t>
        </is>
      </c>
      <c r="AF979" t="n">
        <v>0.7824065860800001</v>
      </c>
    </row>
    <row r="980">
      <c r="A980" s="56" t="n">
        <v>2410388</v>
      </c>
      <c r="B980" s="56" t="inlineStr">
        <is>
          <t>TUB-O-C-AUT-AD-FC-28.60X2.650X04-05</t>
        </is>
      </c>
      <c r="C980" s="56" t="inlineStr">
        <is>
          <t>4B0863670B</t>
        </is>
      </c>
      <c r="D980" s="56" t="n"/>
      <c r="E980" s="57" t="n">
        <v>824</v>
      </c>
      <c r="F980" s="57" t="n">
        <v>0.824</v>
      </c>
      <c r="G980" s="56" t="inlineStr">
        <is>
          <t>KG</t>
        </is>
      </c>
      <c r="H980" s="56" t="inlineStr">
        <is>
          <t>TF01</t>
        </is>
      </c>
      <c r="I980" s="56" t="inlineStr">
        <is>
          <t>4731</t>
        </is>
      </c>
      <c r="J980" s="56" t="n"/>
      <c r="K980" s="56" t="n"/>
      <c r="L980" s="56" t="n"/>
      <c r="M980" s="56" t="n"/>
      <c r="N980" s="56" t="inlineStr">
        <is>
          <t>ELKAYEM AUTO ANCILLARIES (PVT) LTD.</t>
        </is>
      </c>
      <c r="O980" s="56" t="n">
        <v>51</v>
      </c>
      <c r="P980" s="59" t="inlineStr">
        <is>
          <t>31-60</t>
        </is>
      </c>
      <c r="Q980" s="56" t="inlineStr">
        <is>
          <t>Diwakar</t>
        </is>
      </c>
      <c r="U980" s="585" t="n">
        <v>3447257</v>
      </c>
      <c r="V980" t="n">
        <v>31.75</v>
      </c>
      <c r="W980" t="n">
        <v>0</v>
      </c>
      <c r="X980" t="n">
        <v>1.6</v>
      </c>
      <c r="Y980" t="n">
        <v>0.78</v>
      </c>
      <c r="Z980" t="inlineStr">
        <is>
          <t>HROP</t>
        </is>
      </c>
      <c r="AA980" t="inlineStr">
        <is>
          <t>FC</t>
        </is>
      </c>
      <c r="AB980" t="inlineStr">
        <is>
          <t>AW</t>
        </is>
      </c>
      <c r="AC980" t="inlineStr">
        <is>
          <t>31.75-0-1.6-ERW 1-FC</t>
        </is>
      </c>
      <c r="AD980" t="inlineStr">
        <is>
          <t>CTL</t>
        </is>
      </c>
      <c r="AE980" t="inlineStr">
        <is>
          <t>31.75-0-1.6-ERW 1-FC-0.78</t>
        </is>
      </c>
      <c r="AF980" t="n">
        <v>0.9274728528000001</v>
      </c>
    </row>
    <row r="981">
      <c r="A981" s="56" t="n">
        <v>2410388</v>
      </c>
      <c r="B981" s="56" t="inlineStr">
        <is>
          <t>TUB-O-C-AUT-AD-FC-28.60X2.650X04-05</t>
        </is>
      </c>
      <c r="C981" s="56" t="inlineStr">
        <is>
          <t>4B0863670A</t>
        </is>
      </c>
      <c r="D981" s="56" t="n"/>
      <c r="E981" s="57" t="n">
        <v>521.16</v>
      </c>
      <c r="F981" s="57" t="n">
        <v>0.52116</v>
      </c>
      <c r="G981" s="56" t="inlineStr">
        <is>
          <t>KG</t>
        </is>
      </c>
      <c r="H981" s="56" t="inlineStr">
        <is>
          <t>TF01</t>
        </is>
      </c>
      <c r="I981" s="56" t="inlineStr">
        <is>
          <t>4731</t>
        </is>
      </c>
      <c r="J981" s="56" t="n"/>
      <c r="K981" s="56" t="n"/>
      <c r="L981" s="56" t="n"/>
      <c r="M981" s="56" t="n"/>
      <c r="N981" s="56" t="inlineStr">
        <is>
          <t>ELKAYEM AUTO ANCILLARIES (PVT) LTD.</t>
        </is>
      </c>
      <c r="O981" s="56" t="n">
        <v>6</v>
      </c>
      <c r="P981" s="59" t="inlineStr">
        <is>
          <t>0-30</t>
        </is>
      </c>
      <c r="Q981" s="56" t="inlineStr">
        <is>
          <t>Diwakar</t>
        </is>
      </c>
      <c r="U981" s="586" t="n">
        <v>110102787</v>
      </c>
      <c r="V981" t="n">
        <v>31.75</v>
      </c>
      <c r="W981" t="n">
        <v>0</v>
      </c>
      <c r="X981" t="n">
        <v>1.6</v>
      </c>
      <c r="Y981" t="n">
        <v>6.033</v>
      </c>
      <c r="Z981" t="inlineStr">
        <is>
          <t>WG</t>
        </is>
      </c>
      <c r="AA981" t="inlineStr">
        <is>
          <t>FC</t>
        </is>
      </c>
      <c r="AB981" t="inlineStr">
        <is>
          <t>AW</t>
        </is>
      </c>
      <c r="AC981" t="inlineStr">
        <is>
          <t>31.75-0-1.6-ERW 1-FC</t>
        </is>
      </c>
      <c r="AD981" t="inlineStr">
        <is>
          <t>LL</t>
        </is>
      </c>
      <c r="AE981" t="inlineStr">
        <is>
          <t>31.75-0-1.6-ERW 1-FC-1</t>
        </is>
      </c>
      <c r="AF981" t="n">
        <v>1.18906776</v>
      </c>
    </row>
    <row r="982">
      <c r="A982" s="56" t="n">
        <v>2410388</v>
      </c>
      <c r="B982" s="56" t="inlineStr">
        <is>
          <t>TUB-O-C-AUT-AD-FC-28.60X2.650X04-05</t>
        </is>
      </c>
      <c r="C982" s="56" t="inlineStr">
        <is>
          <t>4B0863660C</t>
        </is>
      </c>
      <c r="D982" s="56" t="n"/>
      <c r="E982" s="57" t="n">
        <v>114</v>
      </c>
      <c r="F982" s="57" t="n">
        <v>0.114</v>
      </c>
      <c r="G982" s="56" t="inlineStr">
        <is>
          <t>KG</t>
        </is>
      </c>
      <c r="H982" s="56" t="inlineStr">
        <is>
          <t>TF01</t>
        </is>
      </c>
      <c r="I982" s="56" t="inlineStr">
        <is>
          <t>4731</t>
        </is>
      </c>
      <c r="J982" s="56" t="n"/>
      <c r="K982" s="56" t="n"/>
      <c r="L982" s="56" t="n"/>
      <c r="M982" s="56" t="n"/>
      <c r="N982" s="56" t="inlineStr">
        <is>
          <t>ELKAYEM AUTO ANCILLARIES (PVT) LTD.</t>
        </is>
      </c>
      <c r="O982" s="56" t="n">
        <v>44</v>
      </c>
      <c r="P982" s="59" t="inlineStr">
        <is>
          <t>31-60</t>
        </is>
      </c>
      <c r="Q982" s="56" t="inlineStr">
        <is>
          <t>Diwakar</t>
        </is>
      </c>
      <c r="U982" s="585" t="n">
        <v>3502018</v>
      </c>
      <c r="V982" t="n">
        <v>31.75</v>
      </c>
      <c r="W982" t="n">
        <v>0</v>
      </c>
      <c r="X982" t="n">
        <v>2.3</v>
      </c>
      <c r="Y982" t="n">
        <v>5.89</v>
      </c>
      <c r="Z982" t="inlineStr"/>
      <c r="AA982" t="inlineStr">
        <is>
          <t>FC</t>
        </is>
      </c>
      <c r="AB982" t="inlineStr">
        <is>
          <t>AW</t>
        </is>
      </c>
      <c r="AC982" t="inlineStr">
        <is>
          <t>31.75-0-2.3-ERW 1-FC</t>
        </is>
      </c>
      <c r="AD982" t="inlineStr">
        <is>
          <t>LL</t>
        </is>
      </c>
      <c r="AE982" t="inlineStr">
        <is>
          <t>31.75--2.3-ERW 1-FIN CUT-1</t>
        </is>
      </c>
      <c r="AF982" t="n">
        <v>1.669600015</v>
      </c>
    </row>
    <row r="983">
      <c r="A983" s="56" t="n">
        <v>2410388</v>
      </c>
      <c r="B983" s="56" t="inlineStr">
        <is>
          <t>TUB-O-C-AUT-AD-FC-28.60X2.650X04-05</t>
        </is>
      </c>
      <c r="C983" s="56" t="inlineStr">
        <is>
          <t>4B0863660B</t>
        </is>
      </c>
      <c r="D983" s="56" t="n"/>
      <c r="E983" s="57" t="n">
        <v>749</v>
      </c>
      <c r="F983" s="57" t="n">
        <v>0.749</v>
      </c>
      <c r="G983" s="56" t="inlineStr">
        <is>
          <t>KG</t>
        </is>
      </c>
      <c r="H983" s="56" t="inlineStr">
        <is>
          <t>TF01</t>
        </is>
      </c>
      <c r="I983" s="56" t="inlineStr">
        <is>
          <t>4731</t>
        </is>
      </c>
      <c r="J983" s="56" t="n"/>
      <c r="K983" s="56" t="n"/>
      <c r="L983" s="56" t="n"/>
      <c r="M983" s="56" t="n"/>
      <c r="N983" s="56" t="inlineStr">
        <is>
          <t>ELKAYEM AUTO ANCILLARIES (PVT) LTD.</t>
        </is>
      </c>
      <c r="O983" s="56" t="n">
        <v>44</v>
      </c>
      <c r="P983" s="59" t="inlineStr">
        <is>
          <t>31-60</t>
        </is>
      </c>
      <c r="Q983" s="56" t="inlineStr">
        <is>
          <t>Diwakar</t>
        </is>
      </c>
      <c r="U983" s="585" t="n">
        <v>4072797</v>
      </c>
      <c r="V983" t="n">
        <v>31.75</v>
      </c>
      <c r="W983" t="n">
        <v>0</v>
      </c>
      <c r="X983" t="n">
        <v>2.3</v>
      </c>
      <c r="Y983" t="n">
        <v>5.92</v>
      </c>
      <c r="Z983" t="inlineStr">
        <is>
          <t>WG</t>
        </is>
      </c>
      <c r="AA983" t="inlineStr">
        <is>
          <t>FC</t>
        </is>
      </c>
      <c r="AB983" t="inlineStr">
        <is>
          <t>AW</t>
        </is>
      </c>
      <c r="AC983" t="inlineStr">
        <is>
          <t>31.75-0-2.3-ERW 1-FC</t>
        </is>
      </c>
      <c r="AD983" t="inlineStr">
        <is>
          <t>LL</t>
        </is>
      </c>
      <c r="AE983" t="inlineStr">
        <is>
          <t>31.75-0-2.3-ERW 1-FC-1</t>
        </is>
      </c>
      <c r="AF983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984">
      <c r="A984" s="56" t="n">
        <v>2410388</v>
      </c>
      <c r="B984" s="56" t="inlineStr">
        <is>
          <t>TUB-O-C-AUT-AD-FC-28.60X2.650X04-05</t>
        </is>
      </c>
      <c r="C984" s="56" t="inlineStr">
        <is>
          <t>4B0863660A</t>
        </is>
      </c>
      <c r="D984" s="56" t="n"/>
      <c r="E984" s="57" t="n">
        <v>824</v>
      </c>
      <c r="F984" s="57" t="n">
        <v>0.824</v>
      </c>
      <c r="G984" s="56" t="inlineStr">
        <is>
          <t>KG</t>
        </is>
      </c>
      <c r="H984" s="56" t="inlineStr">
        <is>
          <t>TF01</t>
        </is>
      </c>
      <c r="I984" s="56" t="inlineStr">
        <is>
          <t>4731</t>
        </is>
      </c>
      <c r="J984" s="56" t="n"/>
      <c r="K984" s="56" t="n"/>
      <c r="L984" s="56" t="n"/>
      <c r="M984" s="56" t="n"/>
      <c r="N984" s="56" t="inlineStr">
        <is>
          <t>ELKAYEM AUTO ANCILLARIES (PVT) LTD.</t>
        </is>
      </c>
      <c r="O984" s="56" t="n">
        <v>44</v>
      </c>
      <c r="P984" s="59" t="inlineStr">
        <is>
          <t>31-60</t>
        </is>
      </c>
      <c r="Q984" s="56" t="inlineStr">
        <is>
          <t>Diwakar</t>
        </is>
      </c>
      <c r="U984" s="585" t="n">
        <v>1940684</v>
      </c>
      <c r="V984" t="n">
        <v>31.75</v>
      </c>
      <c r="W984" t="n">
        <v>0</v>
      </c>
      <c r="X984" t="n">
        <v>2.3</v>
      </c>
      <c r="Y984" t="n">
        <v>6</v>
      </c>
      <c r="Z984" t="inlineStr">
        <is>
          <t>GR1</t>
        </is>
      </c>
      <c r="AA984" t="inlineStr">
        <is>
          <t>FC</t>
        </is>
      </c>
      <c r="AB984" t="inlineStr">
        <is>
          <t>AW</t>
        </is>
      </c>
      <c r="AC984" t="inlineStr">
        <is>
          <t>31.75-0-2.3-ERW 1-FC</t>
        </is>
      </c>
      <c r="AD984" t="inlineStr">
        <is>
          <t>LL</t>
        </is>
      </c>
      <c r="AE984" t="inlineStr">
        <is>
          <t>31.75-0-2.3-ERW 1-FC-1</t>
        </is>
      </c>
      <c r="AF984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985">
      <c r="A985" s="56" t="n">
        <v>2410388</v>
      </c>
      <c r="B985" s="56" t="inlineStr">
        <is>
          <t>TUB-O-C-AUT-AD-FC-28.60X2.650X04-05</t>
        </is>
      </c>
      <c r="C985" s="56" t="inlineStr">
        <is>
          <t>4B0763620C</t>
        </is>
      </c>
      <c r="D985" s="56" t="n"/>
      <c r="E985" s="57" t="n">
        <v>76</v>
      </c>
      <c r="F985" s="57" t="n">
        <v>0.076</v>
      </c>
      <c r="G985" s="56" t="inlineStr">
        <is>
          <t>KG</t>
        </is>
      </c>
      <c r="H985" s="56" t="inlineStr">
        <is>
          <t>TF01</t>
        </is>
      </c>
      <c r="I985" s="56" t="inlineStr">
        <is>
          <t>4731</t>
        </is>
      </c>
      <c r="J985" s="56" t="n"/>
      <c r="K985" s="56" t="n"/>
      <c r="L985" s="56" t="n"/>
      <c r="M985" s="56" t="n"/>
      <c r="N985" s="56" t="inlineStr">
        <is>
          <t>ELKAYEM AUTO ANCILLARIES (PVT) LTD.</t>
        </is>
      </c>
      <c r="O985" s="56" t="n">
        <v>51</v>
      </c>
      <c r="P985" s="59" t="inlineStr">
        <is>
          <t>31-60</t>
        </is>
      </c>
      <c r="Q985" s="56" t="inlineStr">
        <is>
          <t>Diwakar</t>
        </is>
      </c>
      <c r="U985" s="585" t="n">
        <v>3500081</v>
      </c>
      <c r="V985" t="n">
        <v>31.75</v>
      </c>
      <c r="W985" t="n">
        <v>0</v>
      </c>
      <c r="X985" t="n">
        <v>2.3</v>
      </c>
      <c r="Y985" t="n">
        <v>6</v>
      </c>
      <c r="Z985" t="inlineStr"/>
      <c r="AA985" t="inlineStr">
        <is>
          <t>FC</t>
        </is>
      </c>
      <c r="AB985" t="inlineStr">
        <is>
          <t>AW</t>
        </is>
      </c>
      <c r="AC985" t="inlineStr">
        <is>
          <t>31.75-0-2.3-ERW 1-FC</t>
        </is>
      </c>
      <c r="AD985" t="inlineStr">
        <is>
          <t>LL</t>
        </is>
      </c>
      <c r="AE985" t="inlineStr">
        <is>
          <t>31.75--2.3-ERW 1-FIN CUT-1</t>
        </is>
      </c>
      <c r="AF985" t="n">
        <v>1.669600015</v>
      </c>
    </row>
    <row r="986">
      <c r="A986" s="56" t="n">
        <v>2410388</v>
      </c>
      <c r="B986" s="56" t="inlineStr">
        <is>
          <t>TUB-O-C-AUT-AD-FC-28.60X2.650X04-05</t>
        </is>
      </c>
      <c r="C986" s="56" t="inlineStr">
        <is>
          <t>4B0763620B</t>
        </is>
      </c>
      <c r="D986" s="56" t="n"/>
      <c r="E986" s="57" t="n">
        <v>860</v>
      </c>
      <c r="F986" s="57" t="n">
        <v>0.86</v>
      </c>
      <c r="G986" s="56" t="inlineStr">
        <is>
          <t>KG</t>
        </is>
      </c>
      <c r="H986" s="56" t="inlineStr">
        <is>
          <t>TF01</t>
        </is>
      </c>
      <c r="I986" s="56" t="inlineStr">
        <is>
          <t>4731</t>
        </is>
      </c>
      <c r="J986" s="56" t="n"/>
      <c r="K986" s="56" t="n"/>
      <c r="L986" s="56" t="n"/>
      <c r="M986" s="56" t="n"/>
      <c r="N986" s="56" t="inlineStr">
        <is>
          <t>ELKAYEM AUTO ANCILLARIES (PVT) LTD.</t>
        </is>
      </c>
      <c r="O986" s="56" t="n">
        <v>51</v>
      </c>
      <c r="P986" s="59" t="inlineStr">
        <is>
          <t>31-60</t>
        </is>
      </c>
      <c r="Q986" s="56" t="inlineStr">
        <is>
          <t>Diwakar</t>
        </is>
      </c>
      <c r="U986" t="n">
        <v>3509016</v>
      </c>
      <c r="V986" t="n">
        <v>31.75</v>
      </c>
      <c r="W986" t="n">
        <v>0</v>
      </c>
      <c r="X986" t="n">
        <v>2.5</v>
      </c>
      <c r="Y986" t="n">
        <v>0.193</v>
      </c>
      <c r="Z986" t="inlineStr"/>
      <c r="AA986" t="inlineStr">
        <is>
          <t>PE</t>
        </is>
      </c>
      <c r="AB986" t="inlineStr">
        <is>
          <t>AW</t>
        </is>
      </c>
      <c r="AC986" t="inlineStr">
        <is>
          <t>31.75-0-2.5-ERW 1-FC</t>
        </is>
      </c>
      <c r="AD986" t="inlineStr">
        <is>
          <t>CTL</t>
        </is>
      </c>
      <c r="AE986" t="inlineStr">
        <is>
          <t>31.75-0-2.5-ERW 1-FC-0.193</t>
        </is>
      </c>
      <c r="AF986" t="n">
        <v>0.347874418125</v>
      </c>
    </row>
    <row r="987">
      <c r="A987" s="56" t="n">
        <v>2410388</v>
      </c>
      <c r="B987" s="56" t="inlineStr">
        <is>
          <t>TUB-O-C-AUT-AD-FC-28.60X2.650X04-05</t>
        </is>
      </c>
      <c r="C987" s="56" t="inlineStr">
        <is>
          <t>4B0763620A</t>
        </is>
      </c>
      <c r="D987" s="56" t="n"/>
      <c r="E987" s="57" t="n">
        <v>732</v>
      </c>
      <c r="F987" s="57" t="n">
        <v>0.732</v>
      </c>
      <c r="G987" s="56" t="inlineStr">
        <is>
          <t>KG</t>
        </is>
      </c>
      <c r="H987" s="56" t="inlineStr">
        <is>
          <t>TF01</t>
        </is>
      </c>
      <c r="I987" s="56" t="inlineStr">
        <is>
          <t>4731</t>
        </is>
      </c>
      <c r="J987" s="56" t="n"/>
      <c r="K987" s="56" t="n"/>
      <c r="L987" s="56" t="n"/>
      <c r="M987" s="56" t="n"/>
      <c r="N987" s="56" t="inlineStr">
        <is>
          <t>ELKAYEM AUTO ANCILLARIES (PVT) LTD.</t>
        </is>
      </c>
      <c r="O987" s="56" t="n">
        <v>51</v>
      </c>
      <c r="P987" s="59" t="inlineStr">
        <is>
          <t>31-60</t>
        </is>
      </c>
      <c r="Q987" s="56" t="inlineStr">
        <is>
          <t>Diwakar</t>
        </is>
      </c>
      <c r="U987" s="585" t="n">
        <v>3500352</v>
      </c>
      <c r="V987" t="n">
        <v>31.75</v>
      </c>
      <c r="W987" t="n">
        <v>0</v>
      </c>
      <c r="X987" t="n">
        <v>2.5</v>
      </c>
      <c r="Y987" t="n">
        <v>6</v>
      </c>
      <c r="Z987" t="inlineStr"/>
      <c r="AA987" t="inlineStr">
        <is>
          <t>FC</t>
        </is>
      </c>
      <c r="AB987" t="inlineStr">
        <is>
          <t>AW</t>
        </is>
      </c>
      <c r="AC987" t="inlineStr">
        <is>
          <t>31.75-0-2.5-ERW 1-FC</t>
        </is>
      </c>
      <c r="AD987" t="inlineStr">
        <is>
          <t>LL</t>
        </is>
      </c>
      <c r="AE987" t="inlineStr">
        <is>
          <t>31.75-0-2.5-ERW 1-FC-1</t>
        </is>
      </c>
      <c r="AF987" t="n">
        <v>1.802458125</v>
      </c>
    </row>
    <row r="988">
      <c r="A988" s="56" t="n">
        <v>2410388</v>
      </c>
      <c r="B988" s="56" t="inlineStr">
        <is>
          <t>TUB-O-C-AUT-AD-FC-28.60X2.650X04-05</t>
        </is>
      </c>
      <c r="C988" s="56" t="inlineStr">
        <is>
          <t>4B0763510C</t>
        </is>
      </c>
      <c r="D988" s="56" t="n"/>
      <c r="E988" s="57" t="n">
        <v>107</v>
      </c>
      <c r="F988" s="57" t="n">
        <v>0.107</v>
      </c>
      <c r="G988" s="56" t="inlineStr">
        <is>
          <t>KG</t>
        </is>
      </c>
      <c r="H988" s="56" t="inlineStr">
        <is>
          <t>TF01</t>
        </is>
      </c>
      <c r="I988" s="56" t="inlineStr">
        <is>
          <t>4731</t>
        </is>
      </c>
      <c r="J988" s="56" t="n"/>
      <c r="K988" s="56" t="n"/>
      <c r="L988" s="56" t="n"/>
      <c r="M988" s="56" t="n"/>
      <c r="N988" s="56" t="inlineStr">
        <is>
          <t>ELKAYEM AUTO ANCILLARIES (PVT) LTD.</t>
        </is>
      </c>
      <c r="O988" s="56" t="n">
        <v>38</v>
      </c>
      <c r="P988" s="59" t="inlineStr">
        <is>
          <t>31-60</t>
        </is>
      </c>
      <c r="Q988" s="56" t="inlineStr">
        <is>
          <t>Diwakar</t>
        </is>
      </c>
      <c r="U988" s="585" t="n">
        <v>1940686</v>
      </c>
      <c r="V988" t="n">
        <v>31.75</v>
      </c>
      <c r="W988" t="n">
        <v>0</v>
      </c>
      <c r="X988" t="n">
        <v>2.5</v>
      </c>
      <c r="Y988" t="n">
        <v>6</v>
      </c>
      <c r="Z988" t="inlineStr">
        <is>
          <t>WG</t>
        </is>
      </c>
      <c r="AA988" t="inlineStr">
        <is>
          <t>FC</t>
        </is>
      </c>
      <c r="AB988" t="inlineStr">
        <is>
          <t>AW</t>
        </is>
      </c>
      <c r="AC988" t="inlineStr">
        <is>
          <t>31.75-0-2.5-ERW 1-FC</t>
        </is>
      </c>
      <c r="AD988" t="inlineStr">
        <is>
          <t>LL</t>
        </is>
      </c>
      <c r="AE988" t="inlineStr">
        <is>
          <t>31.75-0-2.5-ERW 1-FC-1</t>
        </is>
      </c>
      <c r="AF988" t="n">
        <v>1.802458125</v>
      </c>
    </row>
    <row r="989">
      <c r="A989" s="56" t="n">
        <v>2410388</v>
      </c>
      <c r="B989" s="56" t="inlineStr">
        <is>
          <t>TUB-O-C-AUT-AD-FC-28.60X2.650X04-05</t>
        </is>
      </c>
      <c r="C989" s="56" t="inlineStr">
        <is>
          <t>4B0763510B</t>
        </is>
      </c>
      <c r="D989" s="56" t="n"/>
      <c r="E989" s="57" t="n">
        <v>822</v>
      </c>
      <c r="F989" s="57" t="n">
        <v>0.822</v>
      </c>
      <c r="G989" s="56" t="inlineStr">
        <is>
          <t>KG</t>
        </is>
      </c>
      <c r="H989" s="56" t="inlineStr">
        <is>
          <t>TF01</t>
        </is>
      </c>
      <c r="I989" s="56" t="inlineStr">
        <is>
          <t>4731</t>
        </is>
      </c>
      <c r="J989" s="56" t="n"/>
      <c r="K989" s="56" t="n"/>
      <c r="L989" s="56" t="n"/>
      <c r="M989" s="56" t="n"/>
      <c r="N989" s="56" t="inlineStr">
        <is>
          <t>ELKAYEM AUTO ANCILLARIES (PVT) LTD.</t>
        </is>
      </c>
      <c r="O989" s="56" t="n">
        <v>38</v>
      </c>
      <c r="P989" s="59" t="inlineStr">
        <is>
          <t>31-60</t>
        </is>
      </c>
      <c r="Q989" s="56" t="inlineStr">
        <is>
          <t>Diwakar</t>
        </is>
      </c>
      <c r="U989" s="585" t="n">
        <v>1138892</v>
      </c>
      <c r="V989" t="n">
        <v>31.75</v>
      </c>
      <c r="W989" t="n">
        <v>0</v>
      </c>
      <c r="X989" t="n">
        <v>2.5</v>
      </c>
      <c r="Y989" t="n">
        <v>6</v>
      </c>
      <c r="Z989" t="inlineStr"/>
      <c r="AA989" t="inlineStr">
        <is>
          <t>FC</t>
        </is>
      </c>
      <c r="AB989" t="inlineStr">
        <is>
          <t>AW</t>
        </is>
      </c>
      <c r="AC989" t="inlineStr">
        <is>
          <t>31.75-0-2.5-ERW 1-FC</t>
        </is>
      </c>
      <c r="AD989" t="inlineStr">
        <is>
          <t>LL</t>
        </is>
      </c>
      <c r="AE989" t="inlineStr">
        <is>
          <t>31.75-0-2.5-ERW 1-FC-1</t>
        </is>
      </c>
      <c r="AF989" t="n">
        <v>1.802458125</v>
      </c>
    </row>
    <row r="990">
      <c r="A990" s="56" t="n">
        <v>2410388</v>
      </c>
      <c r="B990" s="56" t="inlineStr">
        <is>
          <t>TUB-O-C-AUT-AD-FC-28.60X2.650X04-05</t>
        </is>
      </c>
      <c r="C990" s="56" t="inlineStr">
        <is>
          <t>4B0763510A</t>
        </is>
      </c>
      <c r="D990" s="56" t="n"/>
      <c r="E990" s="57" t="n">
        <v>805</v>
      </c>
      <c r="F990" s="57" t="n">
        <v>0.805</v>
      </c>
      <c r="G990" s="56" t="inlineStr">
        <is>
          <t>KG</t>
        </is>
      </c>
      <c r="H990" s="56" t="inlineStr">
        <is>
          <t>TF01</t>
        </is>
      </c>
      <c r="I990" s="56" t="inlineStr">
        <is>
          <t>4731</t>
        </is>
      </c>
      <c r="J990" s="56" t="n"/>
      <c r="K990" s="56" t="n"/>
      <c r="L990" s="56" t="n"/>
      <c r="M990" s="56" t="n"/>
      <c r="N990" s="56" t="inlineStr">
        <is>
          <t>ELKAYEM AUTO ANCILLARIES (PVT) LTD.</t>
        </is>
      </c>
      <c r="O990" s="56" t="n">
        <v>38</v>
      </c>
      <c r="P990" s="59" t="inlineStr">
        <is>
          <t>31-60</t>
        </is>
      </c>
      <c r="Q990" s="56" t="inlineStr">
        <is>
          <t>Diwakar</t>
        </is>
      </c>
      <c r="U990" s="585" t="n">
        <v>1941840</v>
      </c>
      <c r="V990" t="n">
        <v>31.75</v>
      </c>
      <c r="W990" t="n">
        <v>0</v>
      </c>
      <c r="X990" t="n">
        <v>2.5</v>
      </c>
      <c r="Y990" t="n">
        <v>6</v>
      </c>
      <c r="Z990" t="inlineStr">
        <is>
          <t>GR1</t>
        </is>
      </c>
      <c r="AA990" t="inlineStr">
        <is>
          <t>FC</t>
        </is>
      </c>
      <c r="AB990" t="inlineStr">
        <is>
          <t>AW</t>
        </is>
      </c>
      <c r="AC990" t="inlineStr">
        <is>
          <t>31.75-0-2.5-ERW 1-FC</t>
        </is>
      </c>
      <c r="AD990" t="inlineStr">
        <is>
          <t>LL</t>
        </is>
      </c>
      <c r="AE990" t="inlineStr">
        <is>
          <t>31.75-0-2.5-ERW 1-FC-1</t>
        </is>
      </c>
      <c r="AF990" t="n">
        <v>1.802458125</v>
      </c>
    </row>
    <row r="991">
      <c r="A991" s="56" t="n">
        <v>2410388</v>
      </c>
      <c r="B991" s="56" t="inlineStr">
        <is>
          <t>TUB-O-C-AUT-AD-FC-28.60X2.650X04-05</t>
        </is>
      </c>
      <c r="C991" s="56" t="inlineStr">
        <is>
          <t>4B05AK2010</t>
        </is>
      </c>
      <c r="D991" s="56" t="n"/>
      <c r="E991" s="57" t="n">
        <v>1571</v>
      </c>
      <c r="F991" s="57" t="n">
        <v>1.571</v>
      </c>
      <c r="G991" s="56" t="inlineStr">
        <is>
          <t>KG</t>
        </is>
      </c>
      <c r="H991" s="56" t="inlineStr">
        <is>
          <t>TF01</t>
        </is>
      </c>
      <c r="I991" s="56" t="inlineStr">
        <is>
          <t>4731</t>
        </is>
      </c>
      <c r="J991" s="56" t="n"/>
      <c r="K991" s="56" t="n"/>
      <c r="L991" s="56" t="n"/>
      <c r="M991" s="56" t="n"/>
      <c r="N991" s="56" t="inlineStr">
        <is>
          <t>ELKAYEM AUTO ANCILLARIES (PVT) LTD.</t>
        </is>
      </c>
      <c r="O991" s="56" t="n">
        <v>44</v>
      </c>
      <c r="P991" s="59" t="inlineStr">
        <is>
          <t>31-60</t>
        </is>
      </c>
      <c r="Q991" s="56" t="inlineStr">
        <is>
          <t>Diwakar</t>
        </is>
      </c>
      <c r="U991" s="585" t="n">
        <v>1940685</v>
      </c>
      <c r="V991" t="n">
        <v>31.75</v>
      </c>
      <c r="W991" t="n">
        <v>0</v>
      </c>
      <c r="X991" t="n">
        <v>2.5</v>
      </c>
      <c r="Y991" t="n">
        <v>6</v>
      </c>
      <c r="Z991" t="inlineStr">
        <is>
          <t>GR2 SPL</t>
        </is>
      </c>
      <c r="AA991" t="inlineStr">
        <is>
          <t>FC</t>
        </is>
      </c>
      <c r="AB991" t="inlineStr">
        <is>
          <t>AW</t>
        </is>
      </c>
      <c r="AC991" t="inlineStr">
        <is>
          <t>31.75-0-2.5-ERW 1-FC</t>
        </is>
      </c>
      <c r="AD991" t="inlineStr">
        <is>
          <t>LL</t>
        </is>
      </c>
      <c r="AE991" t="inlineStr">
        <is>
          <t>31.75-0-2.5-ERW 1-FC-1</t>
        </is>
      </c>
      <c r="AF991" t="n">
        <v>1.802458125</v>
      </c>
    </row>
    <row r="992">
      <c r="A992" s="56" t="n">
        <v>2410388</v>
      </c>
      <c r="B992" s="56" t="inlineStr">
        <is>
          <t>TUB-O-C-AUT-AD-FC-28.60X2.650X04-05</t>
        </is>
      </c>
      <c r="C992" s="56" t="inlineStr">
        <is>
          <t>4B03BK2080</t>
        </is>
      </c>
      <c r="D992" s="56" t="n"/>
      <c r="E992" s="57" t="n">
        <v>1709</v>
      </c>
      <c r="F992" s="57" t="n">
        <v>1.709</v>
      </c>
      <c r="G992" s="56" t="inlineStr">
        <is>
          <t>KG</t>
        </is>
      </c>
      <c r="H992" s="56" t="inlineStr">
        <is>
          <t>TF01</t>
        </is>
      </c>
      <c r="I992" s="56" t="inlineStr">
        <is>
          <t>4731</t>
        </is>
      </c>
      <c r="J992" s="56" t="n"/>
      <c r="K992" s="56" t="n"/>
      <c r="L992" s="56" t="n"/>
      <c r="M992" s="56" t="n"/>
      <c r="N992" s="56" t="inlineStr">
        <is>
          <t>ELKAYEM AUTO ANCILLARIES (PVT) LTD.</t>
        </is>
      </c>
      <c r="O992" s="56" t="n">
        <v>44</v>
      </c>
      <c r="P992" s="59" t="inlineStr">
        <is>
          <t>31-60</t>
        </is>
      </c>
      <c r="Q992" s="56" t="inlineStr">
        <is>
          <t>Diwakar</t>
        </is>
      </c>
      <c r="U992" t="n">
        <v>3702361</v>
      </c>
      <c r="V992" t="n">
        <v>31.75</v>
      </c>
      <c r="W992" t="n">
        <v>0</v>
      </c>
      <c r="X992" t="n">
        <v>2.5</v>
      </c>
      <c r="Y992" t="n">
        <v>6</v>
      </c>
      <c r="Z992" t="inlineStr">
        <is>
          <t>WG</t>
        </is>
      </c>
      <c r="AA992" t="inlineStr">
        <is>
          <t>FC</t>
        </is>
      </c>
      <c r="AB992" t="inlineStr">
        <is>
          <t>AW</t>
        </is>
      </c>
      <c r="AC992" t="inlineStr">
        <is>
          <t>31.75-0-2.5-ERW 1-FC</t>
        </is>
      </c>
      <c r="AD992" t="inlineStr">
        <is>
          <t>LL</t>
        </is>
      </c>
      <c r="AE992" t="inlineStr">
        <is>
          <t>31.75-0-2.5-ERW 1-FC-1</t>
        </is>
      </c>
      <c r="AF992" t="n">
        <v>1.802458125</v>
      </c>
    </row>
    <row r="993">
      <c r="A993" s="56" t="n">
        <v>2410388</v>
      </c>
      <c r="B993" s="56" t="inlineStr">
        <is>
          <t>TUB-O-C-AUT-AD-FC-28.60X2.650X04-05</t>
        </is>
      </c>
      <c r="C993" s="56" t="inlineStr">
        <is>
          <t>4A2963050C</t>
        </is>
      </c>
      <c r="D993" s="56" t="n"/>
      <c r="E993" s="57" t="n">
        <v>61</v>
      </c>
      <c r="F993" s="57" t="n">
        <v>0.061</v>
      </c>
      <c r="G993" s="56" t="inlineStr">
        <is>
          <t>KG</t>
        </is>
      </c>
      <c r="H993" s="56" t="inlineStr">
        <is>
          <t>TF01</t>
        </is>
      </c>
      <c r="I993" s="56" t="inlineStr">
        <is>
          <t>4731</t>
        </is>
      </c>
      <c r="J993" s="56" t="n"/>
      <c r="K993" s="56" t="n"/>
      <c r="L993" s="56" t="n"/>
      <c r="M993" s="56" t="n"/>
      <c r="N993" s="56" t="inlineStr">
        <is>
          <t>ELKAYEM AUTO ANCILLARIES (PVT) LTD.</t>
        </is>
      </c>
      <c r="O993" s="56" t="n">
        <v>38</v>
      </c>
      <c r="P993" s="59" t="inlineStr">
        <is>
          <t>31-60</t>
        </is>
      </c>
      <c r="Q993" s="56" t="inlineStr">
        <is>
          <t>Diwakar</t>
        </is>
      </c>
      <c r="U993" s="585" t="n">
        <v>2410960</v>
      </c>
      <c r="V993" t="n">
        <v>31.75</v>
      </c>
      <c r="W993" t="n">
        <v>25</v>
      </c>
      <c r="X993" t="n">
        <v>3.375</v>
      </c>
      <c r="Y993" t="n">
        <v>6</v>
      </c>
      <c r="Z993" t="inlineStr">
        <is>
          <t>KGR2</t>
        </is>
      </c>
      <c r="AA993" t="inlineStr">
        <is>
          <t>FC</t>
        </is>
      </c>
      <c r="AB993" t="inlineStr">
        <is>
          <t>AD</t>
        </is>
      </c>
      <c r="AC993" t="inlineStr">
        <is>
          <t>31.75-25-3.37-CEW-CEW</t>
        </is>
      </c>
      <c r="AD993" t="inlineStr">
        <is>
          <t>LL</t>
        </is>
      </c>
      <c r="AE993" t="inlineStr">
        <is>
          <t>31.75-25-3.37-CEW-CEW-1</t>
        </is>
      </c>
      <c r="AF993" t="n">
        <v>2.360526890625</v>
      </c>
    </row>
    <row r="994">
      <c r="A994" s="56" t="n">
        <v>2410388</v>
      </c>
      <c r="B994" s="56" t="inlineStr">
        <is>
          <t>TUB-O-C-AUT-AD-FC-28.60X2.650X04-05</t>
        </is>
      </c>
      <c r="C994" s="56" t="inlineStr">
        <is>
          <t>4A2963050B</t>
        </is>
      </c>
      <c r="D994" s="56" t="n"/>
      <c r="E994" s="57" t="n">
        <v>1018</v>
      </c>
      <c r="F994" s="57" t="n">
        <v>1.018</v>
      </c>
      <c r="G994" s="56" t="inlineStr">
        <is>
          <t>KG</t>
        </is>
      </c>
      <c r="H994" s="56" t="inlineStr">
        <is>
          <t>TF01</t>
        </is>
      </c>
      <c r="I994" s="56" t="inlineStr">
        <is>
          <t>4731</t>
        </is>
      </c>
      <c r="J994" s="56" t="n"/>
      <c r="K994" s="56" t="n"/>
      <c r="L994" s="56" t="n"/>
      <c r="M994" s="56" t="n"/>
      <c r="N994" s="56" t="inlineStr">
        <is>
          <t>ELKAYEM AUTO ANCILLARIES (PVT) LTD.</t>
        </is>
      </c>
      <c r="O994" s="56" t="n">
        <v>38</v>
      </c>
      <c r="P994" s="59" t="inlineStr">
        <is>
          <t>31-60</t>
        </is>
      </c>
      <c r="Q994" s="56" t="inlineStr">
        <is>
          <t>Diwakar</t>
        </is>
      </c>
      <c r="U994" s="585" t="n">
        <v>3673945</v>
      </c>
      <c r="V994" t="n">
        <v>32</v>
      </c>
      <c r="W994" t="n">
        <v>0</v>
      </c>
      <c r="X994" t="n">
        <v>4.5</v>
      </c>
      <c r="Y994" t="n">
        <v>1.27</v>
      </c>
      <c r="Z994" t="inlineStr">
        <is>
          <t>GR1</t>
        </is>
      </c>
      <c r="AA994" t="inlineStr">
        <is>
          <t>FC</t>
        </is>
      </c>
      <c r="AB994" t="inlineStr">
        <is>
          <t>DT</t>
        </is>
      </c>
      <c r="AC994" t="inlineStr">
        <is>
          <t>32-0-4.5-CEW-CEW</t>
        </is>
      </c>
      <c r="AD994" t="inlineStr">
        <is>
          <t>CTL</t>
        </is>
      </c>
      <c r="AE994" t="inlineStr">
        <is>
          <t>32-0-4.5-CEW-CEW-1.27</t>
        </is>
      </c>
      <c r="AF994" t="n">
        <v>3.8738984625</v>
      </c>
    </row>
    <row r="995">
      <c r="A995" s="56" t="n">
        <v>2410388</v>
      </c>
      <c r="B995" s="56" t="inlineStr">
        <is>
          <t>TUB-O-C-AUT-AD-FC-28.60X2.650X04-05</t>
        </is>
      </c>
      <c r="C995" s="56" t="inlineStr">
        <is>
          <t>4A2963050A</t>
        </is>
      </c>
      <c r="D995" s="56" t="n"/>
      <c r="E995" s="57" t="n">
        <v>1066</v>
      </c>
      <c r="F995" s="57" t="n">
        <v>1.066</v>
      </c>
      <c r="G995" s="56" t="inlineStr">
        <is>
          <t>KG</t>
        </is>
      </c>
      <c r="H995" s="56" t="inlineStr">
        <is>
          <t>TF01</t>
        </is>
      </c>
      <c r="I995" s="56" t="inlineStr">
        <is>
          <t>4731</t>
        </is>
      </c>
      <c r="J995" s="56" t="n"/>
      <c r="K995" s="56" t="n"/>
      <c r="L995" s="56" t="n"/>
      <c r="M995" s="56" t="n"/>
      <c r="N995" s="56" t="inlineStr">
        <is>
          <t>ELKAYEM AUTO ANCILLARIES (PVT) LTD.</t>
        </is>
      </c>
      <c r="O995" s="56" t="n">
        <v>38</v>
      </c>
      <c r="P995" s="59" t="inlineStr">
        <is>
          <t>31-60</t>
        </is>
      </c>
      <c r="Q995" s="56" t="inlineStr">
        <is>
          <t>Diwakar</t>
        </is>
      </c>
      <c r="U995" s="585" t="n">
        <v>3673942</v>
      </c>
      <c r="V995" t="n">
        <v>32</v>
      </c>
      <c r="W995" t="n">
        <v>0</v>
      </c>
      <c r="X995" t="n">
        <v>4.5</v>
      </c>
      <c r="Y995" t="n">
        <v>1.288</v>
      </c>
      <c r="Z995" t="inlineStr">
        <is>
          <t>GR1</t>
        </is>
      </c>
      <c r="AA995" t="inlineStr">
        <is>
          <t>FC</t>
        </is>
      </c>
      <c r="AB995" t="inlineStr">
        <is>
          <t>DT</t>
        </is>
      </c>
      <c r="AC995" t="inlineStr">
        <is>
          <t>32-0-4.5-CEW-CEW</t>
        </is>
      </c>
      <c r="AD995" t="inlineStr">
        <is>
          <t>CTL</t>
        </is>
      </c>
      <c r="AE995" t="inlineStr">
        <is>
          <t>32-0-4.5-CEW-CEW-1.288</t>
        </is>
      </c>
      <c r="AF995" t="n">
        <v>3.92880411</v>
      </c>
    </row>
    <row r="996">
      <c r="A996" s="56" t="n">
        <v>2410388</v>
      </c>
      <c r="B996" s="56" t="inlineStr">
        <is>
          <t>TUB-O-C-AUT-AD-FC-28.60X2.650X04-05</t>
        </is>
      </c>
      <c r="C996" s="56" t="inlineStr">
        <is>
          <t>492460280C</t>
        </is>
      </c>
      <c r="D996" s="56" t="n"/>
      <c r="E996" s="57" t="n">
        <v>117</v>
      </c>
      <c r="F996" s="57" t="n">
        <v>0.117</v>
      </c>
      <c r="G996" s="56" t="inlineStr">
        <is>
          <t>KG</t>
        </is>
      </c>
      <c r="H996" s="56" t="inlineStr">
        <is>
          <t>TF01</t>
        </is>
      </c>
      <c r="I996" s="56" t="inlineStr">
        <is>
          <t>4731</t>
        </is>
      </c>
      <c r="J996" s="56" t="n"/>
      <c r="K996" s="56" t="n"/>
      <c r="L996" s="56" t="n"/>
      <c r="M996" s="56" t="n"/>
      <c r="N996" s="56" t="inlineStr">
        <is>
          <t>ELKAYEM AUTO ANCILLARIES (PVT) LTD.</t>
        </is>
      </c>
      <c r="O996" s="56" t="n">
        <v>90</v>
      </c>
      <c r="P996" s="59" t="inlineStr">
        <is>
          <t>61-90</t>
        </is>
      </c>
      <c r="Q996" s="56" t="inlineStr">
        <is>
          <t>Diwakar</t>
        </is>
      </c>
      <c r="U996" s="585" t="n">
        <v>3673944</v>
      </c>
      <c r="V996" t="n">
        <v>32</v>
      </c>
      <c r="W996" t="n">
        <v>0</v>
      </c>
      <c r="X996" t="n">
        <v>4.5</v>
      </c>
      <c r="Y996" t="n">
        <v>1.591</v>
      </c>
      <c r="Z996" t="inlineStr">
        <is>
          <t>GR1</t>
        </is>
      </c>
      <c r="AA996" t="inlineStr">
        <is>
          <t>FC</t>
        </is>
      </c>
      <c r="AB996" t="inlineStr">
        <is>
          <t>DT</t>
        </is>
      </c>
      <c r="AC996" t="inlineStr">
        <is>
          <t>32-0-4.5-CEW-CEW</t>
        </is>
      </c>
      <c r="AD996" t="inlineStr">
        <is>
          <t>CTL</t>
        </is>
      </c>
      <c r="AE996" t="inlineStr">
        <is>
          <t>32-0-4.5-CEW-CEW-1.591</t>
        </is>
      </c>
      <c r="AF996" t="n">
        <v>4.85304917625</v>
      </c>
    </row>
    <row r="997">
      <c r="A997" s="56" t="n">
        <v>2410388</v>
      </c>
      <c r="B997" s="56" t="inlineStr">
        <is>
          <t>TUB-O-C-AUT-AD-FC-28.60X2.650X04-05</t>
        </is>
      </c>
      <c r="C997" s="56" t="inlineStr">
        <is>
          <t>492460280B</t>
        </is>
      </c>
      <c r="D997" s="56" t="n"/>
      <c r="E997" s="57" t="n">
        <v>732</v>
      </c>
      <c r="F997" s="57" t="n">
        <v>0.732</v>
      </c>
      <c r="G997" s="56" t="inlineStr">
        <is>
          <t>KG</t>
        </is>
      </c>
      <c r="H997" s="56" t="inlineStr">
        <is>
          <t>TF01</t>
        </is>
      </c>
      <c r="I997" s="56" t="inlineStr">
        <is>
          <t>4731</t>
        </is>
      </c>
      <c r="J997" s="56" t="n"/>
      <c r="K997" s="56" t="n"/>
      <c r="L997" s="56" t="n"/>
      <c r="M997" s="56" t="n"/>
      <c r="N997" s="56" t="inlineStr">
        <is>
          <t>ELKAYEM AUTO ANCILLARIES (PVT) LTD.</t>
        </is>
      </c>
      <c r="O997" s="56" t="n">
        <v>90</v>
      </c>
      <c r="P997" s="59" t="inlineStr">
        <is>
          <t>61-90</t>
        </is>
      </c>
      <c r="Q997" s="56" t="inlineStr">
        <is>
          <t>Diwakar</t>
        </is>
      </c>
      <c r="U997" s="585" t="n">
        <v>1939872</v>
      </c>
      <c r="V997" t="n">
        <v>32</v>
      </c>
      <c r="W997" t="n">
        <v>0</v>
      </c>
      <c r="X997" t="n">
        <v>4.5</v>
      </c>
      <c r="Y997" t="n">
        <v>3.3</v>
      </c>
      <c r="Z997" t="inlineStr">
        <is>
          <t>SAE1020</t>
        </is>
      </c>
      <c r="AA997" t="inlineStr">
        <is>
          <t>FC</t>
        </is>
      </c>
      <c r="AB997" t="inlineStr">
        <is>
          <t>AD</t>
        </is>
      </c>
      <c r="AC997" t="inlineStr">
        <is>
          <t>32-0-4.5-CEW-CEW</t>
        </is>
      </c>
      <c r="AD997" t="inlineStr">
        <is>
          <t>CTL</t>
        </is>
      </c>
      <c r="AE997" t="inlineStr">
        <is>
          <t>32-0-4.5-CEW-CEW-3.3</t>
        </is>
      </c>
      <c r="AF997" t="n">
        <v>10.066035375</v>
      </c>
    </row>
    <row r="998">
      <c r="A998" s="56" t="n">
        <v>2410388</v>
      </c>
      <c r="B998" s="56" t="inlineStr">
        <is>
          <t>TUB-O-C-AUT-AD-FC-28.60X2.650X04-05</t>
        </is>
      </c>
      <c r="C998" s="56" t="inlineStr">
        <is>
          <t>4B0763530C</t>
        </is>
      </c>
      <c r="D998" s="56" t="n"/>
      <c r="E998" s="57" t="n">
        <v>94</v>
      </c>
      <c r="F998" s="57" t="n">
        <v>0.094</v>
      </c>
      <c r="G998" s="56" t="inlineStr">
        <is>
          <t>KG</t>
        </is>
      </c>
      <c r="H998" s="56" t="inlineStr">
        <is>
          <t>R001</t>
        </is>
      </c>
      <c r="I998" s="56" t="inlineStr">
        <is>
          <t>4731</t>
        </is>
      </c>
      <c r="J998" s="56" t="n"/>
      <c r="K998" s="56" t="n"/>
      <c r="L998" s="56" t="n"/>
      <c r="M998" s="56" t="n"/>
      <c r="N998" s="56" t="inlineStr">
        <is>
          <t>ELKAYEM AUTO ANCILLARIES (PVT) LTD.</t>
        </is>
      </c>
      <c r="O998" s="56" t="n">
        <v>35</v>
      </c>
      <c r="P998" s="59" t="inlineStr">
        <is>
          <t>31-60</t>
        </is>
      </c>
      <c r="Q998" s="56" t="inlineStr">
        <is>
          <t>Diwakar</t>
        </is>
      </c>
      <c r="U998" s="585" t="n">
        <v>3694074</v>
      </c>
      <c r="V998" t="n">
        <v>32</v>
      </c>
      <c r="W998" t="n">
        <v>0</v>
      </c>
      <c r="X998" t="n">
        <v>4.5</v>
      </c>
      <c r="Y998" t="n">
        <v>6.4</v>
      </c>
      <c r="Z998" t="inlineStr"/>
      <c r="AA998" t="inlineStr">
        <is>
          <t>FC</t>
        </is>
      </c>
      <c r="AB998" t="inlineStr">
        <is>
          <t>DT</t>
        </is>
      </c>
      <c r="AC998" t="inlineStr">
        <is>
          <t>32-0-4.5-CEW-CEW</t>
        </is>
      </c>
      <c r="AD998" t="inlineStr">
        <is>
          <t>LL</t>
        </is>
      </c>
      <c r="AE998" t="inlineStr">
        <is>
          <t>32-0-4.5-CEW-CEW-1</t>
        </is>
      </c>
      <c r="AF998" t="n">
        <v>3.05031375</v>
      </c>
    </row>
    <row r="999">
      <c r="A999" s="56" t="n">
        <v>2410388</v>
      </c>
      <c r="B999" s="56" t="inlineStr">
        <is>
          <t>TUB-O-C-AUT-AD-FC-28.60X2.650X04-05</t>
        </is>
      </c>
      <c r="C999" s="56" t="inlineStr">
        <is>
          <t>4B03BK2130</t>
        </is>
      </c>
      <c r="D999" s="56" t="n"/>
      <c r="E999" s="57" t="n">
        <v>1556</v>
      </c>
      <c r="F999" s="57" t="n">
        <v>1.556</v>
      </c>
      <c r="G999" s="56" t="inlineStr">
        <is>
          <t>KG</t>
        </is>
      </c>
      <c r="H999" s="56" t="inlineStr">
        <is>
          <t>R001</t>
        </is>
      </c>
      <c r="I999" s="56" t="inlineStr">
        <is>
          <t>4731</t>
        </is>
      </c>
      <c r="J999" s="56" t="n"/>
      <c r="K999" s="56" t="n"/>
      <c r="L999" s="56" t="n"/>
      <c r="M999" s="56" t="n"/>
      <c r="N999" s="56" t="inlineStr">
        <is>
          <t>ELKAYEM AUTO ANCILLARIES (PVT) LTD.</t>
        </is>
      </c>
      <c r="O999" s="56" t="n">
        <v>31</v>
      </c>
      <c r="P999" s="59" t="inlineStr">
        <is>
          <t>31-60</t>
        </is>
      </c>
      <c r="Q999" s="56" t="inlineStr">
        <is>
          <t>Diwakar</t>
        </is>
      </c>
      <c r="U999" s="585" t="n">
        <v>3806599</v>
      </c>
      <c r="V999" t="n">
        <v>32.7</v>
      </c>
      <c r="W999" t="n">
        <v>26.3</v>
      </c>
      <c r="X999" t="n">
        <v>3.2</v>
      </c>
      <c r="Y999" t="n">
        <v>6</v>
      </c>
      <c r="Z999" t="inlineStr">
        <is>
          <t>KGR2</t>
        </is>
      </c>
      <c r="AA999" t="inlineStr">
        <is>
          <t>FC</t>
        </is>
      </c>
      <c r="AB999" t="inlineStr">
        <is>
          <t>AN</t>
        </is>
      </c>
      <c r="AC999" t="inlineStr">
        <is>
          <t>check tdc</t>
        </is>
      </c>
      <c r="AD999" t="inlineStr">
        <is>
          <t>LL</t>
        </is>
      </c>
      <c r="AE999" t="inlineStr">
        <is>
          <t>check tdc-1</t>
        </is>
      </c>
      <c r="AF999" t="n">
        <v>2.326865600000001</v>
      </c>
    </row>
    <row r="1000">
      <c r="A1000" s="56" t="n">
        <v>2410388</v>
      </c>
      <c r="B1000" s="56" t="inlineStr">
        <is>
          <t>TUB-O-C-AUT-AD-FC-28.60X2.650X04-05</t>
        </is>
      </c>
      <c r="C1000" s="56" t="inlineStr">
        <is>
          <t>4B0863690B</t>
        </is>
      </c>
      <c r="D1000" s="56" t="n"/>
      <c r="E1000" s="57" t="n">
        <v>91.59999999999999</v>
      </c>
      <c r="F1000" s="57" t="n">
        <v>0.0916</v>
      </c>
      <c r="G1000" s="56" t="inlineStr">
        <is>
          <t>KG</t>
        </is>
      </c>
      <c r="H1000" s="56" t="inlineStr"/>
      <c r="I1000" s="56" t="inlineStr">
        <is>
          <t>4731</t>
        </is>
      </c>
      <c r="J1000" s="56" t="n"/>
      <c r="K1000" s="56" t="n"/>
      <c r="L1000" s="56" t="n"/>
      <c r="M1000" s="56" t="n"/>
      <c r="N1000" s="56" t="inlineStr">
        <is>
          <t>ELKAYEM AUTO ANCILLARIES (PVT) LTD.</t>
        </is>
      </c>
      <c r="O1000" s="56" t="n">
        <v>2</v>
      </c>
      <c r="P1000" s="59" t="inlineStr">
        <is>
          <t>0-30</t>
        </is>
      </c>
      <c r="Q1000" s="56" t="inlineStr">
        <is>
          <t>Diwakar</t>
        </is>
      </c>
      <c r="U1000" s="585" t="n">
        <v>2412748</v>
      </c>
      <c r="V1000" t="n">
        <v>33.3</v>
      </c>
      <c r="W1000" t="n">
        <v>29.3</v>
      </c>
      <c r="X1000" t="n">
        <v>2</v>
      </c>
      <c r="Y1000" t="n">
        <v>4.3</v>
      </c>
      <c r="Z1000" t="inlineStr">
        <is>
          <t>KGR2</t>
        </is>
      </c>
      <c r="AA1000" t="inlineStr">
        <is>
          <t>FC</t>
        </is>
      </c>
      <c r="AB1000" t="inlineStr">
        <is>
          <t>AD</t>
        </is>
      </c>
      <c r="AC1000" t="inlineStr">
        <is>
          <t>33.3-29.3-2-CEW-CEW</t>
        </is>
      </c>
      <c r="AD1000" t="inlineStr">
        <is>
          <t>LL</t>
        </is>
      </c>
      <c r="AE1000" t="inlineStr">
        <is>
          <t>33.3-29.3-2-CEW-CEW-1</t>
        </is>
      </c>
      <c r="AF1000" t="n">
        <v>1.5430274</v>
      </c>
    </row>
    <row r="1001">
      <c r="A1001" s="56" t="n">
        <v>2410389</v>
      </c>
      <c r="B1001" s="56" t="inlineStr">
        <is>
          <t>TUB-O-C-AUT-AN-FC-14.00X1.600X04-05</t>
        </is>
      </c>
      <c r="C1001" s="56" t="inlineStr">
        <is>
          <t>460361790C</t>
        </is>
      </c>
      <c r="D1001" s="56" t="n"/>
      <c r="E1001" s="57" t="n">
        <v>57</v>
      </c>
      <c r="F1001" s="57" t="n">
        <v>0.057</v>
      </c>
      <c r="G1001" s="56" t="inlineStr">
        <is>
          <t>KG</t>
        </is>
      </c>
      <c r="H1001" s="56" t="inlineStr">
        <is>
          <t>TF01</t>
        </is>
      </c>
      <c r="I1001" s="56" t="inlineStr">
        <is>
          <t>4731</t>
        </is>
      </c>
      <c r="J1001" s="56" t="n"/>
      <c r="K1001" s="56" t="n"/>
      <c r="L1001" s="56" t="n"/>
      <c r="M1001" s="56" t="n"/>
      <c r="N1001" s="56" t="inlineStr">
        <is>
          <t>ELKAYEM AUTO ANCILLARIES (PVT) LTD.</t>
        </is>
      </c>
      <c r="O1001" s="56" t="n">
        <v>88</v>
      </c>
      <c r="P1001" s="59" t="inlineStr">
        <is>
          <t>61-90</t>
        </is>
      </c>
      <c r="Q1001" s="56" t="inlineStr">
        <is>
          <t>Diwakar</t>
        </is>
      </c>
      <c r="U1001" s="585" t="n">
        <v>2410993</v>
      </c>
      <c r="V1001" t="n">
        <v>33.3</v>
      </c>
      <c r="W1001" t="n">
        <v>29.3</v>
      </c>
      <c r="X1001" t="n">
        <v>2</v>
      </c>
      <c r="Y1001" t="n">
        <v>6</v>
      </c>
      <c r="Z1001" t="inlineStr">
        <is>
          <t>KGR2</t>
        </is>
      </c>
      <c r="AA1001" t="inlineStr">
        <is>
          <t>FC</t>
        </is>
      </c>
      <c r="AB1001" t="inlineStr">
        <is>
          <t>AD</t>
        </is>
      </c>
      <c r="AC1001" t="inlineStr">
        <is>
          <t>33.3-29.3-2-CEW-CEW</t>
        </is>
      </c>
      <c r="AD1001" t="inlineStr">
        <is>
          <t>LL</t>
        </is>
      </c>
      <c r="AE1001" t="inlineStr">
        <is>
          <t>33.3-29.3-2-CEW-CEW-1</t>
        </is>
      </c>
      <c r="AF1001" t="n">
        <v>1.5430274</v>
      </c>
    </row>
    <row r="1002">
      <c r="A1002" s="56" t="n">
        <v>2410389</v>
      </c>
      <c r="B1002" s="56" t="inlineStr">
        <is>
          <t>TUB-O-C-AUT-AN-FC-14.00X1.600X04-05</t>
        </is>
      </c>
      <c r="C1002" s="56" t="inlineStr">
        <is>
          <t>460361790B</t>
        </is>
      </c>
      <c r="D1002" s="56" t="n"/>
      <c r="E1002" s="57" t="n">
        <v>635.735</v>
      </c>
      <c r="F1002" s="57" t="n">
        <v>0.6357350000000001</v>
      </c>
      <c r="G1002" s="56" t="inlineStr">
        <is>
          <t>KG</t>
        </is>
      </c>
      <c r="H1002" s="56" t="inlineStr">
        <is>
          <t>TF01</t>
        </is>
      </c>
      <c r="I1002" s="56" t="inlineStr">
        <is>
          <t>4731</t>
        </is>
      </c>
      <c r="J1002" s="56" t="n"/>
      <c r="K1002" s="56" t="n"/>
      <c r="L1002" s="56" t="n"/>
      <c r="M1002" s="56" t="n"/>
      <c r="N1002" s="56" t="inlineStr">
        <is>
          <t>ELKAYEM AUTO ANCILLARIES (PVT) LTD.</t>
        </is>
      </c>
      <c r="O1002" s="56" t="n">
        <v>35</v>
      </c>
      <c r="P1002" s="59" t="inlineStr">
        <is>
          <t>31-60</t>
        </is>
      </c>
      <c r="Q1002" s="56" t="inlineStr">
        <is>
          <t>Diwakar</t>
        </is>
      </c>
      <c r="U1002" s="585" t="n">
        <v>3552194</v>
      </c>
      <c r="V1002" t="n">
        <v>34</v>
      </c>
      <c r="W1002" t="n">
        <v>0</v>
      </c>
      <c r="X1002" t="n">
        <v>1.4</v>
      </c>
      <c r="Y1002" t="n">
        <v>6.52</v>
      </c>
      <c r="Z1002" t="inlineStr">
        <is>
          <t>WG</t>
        </is>
      </c>
      <c r="AA1002" t="inlineStr">
        <is>
          <t>FC</t>
        </is>
      </c>
      <c r="AB1002" t="inlineStr">
        <is>
          <t>AW</t>
        </is>
      </c>
      <c r="AC1002" t="inlineStr">
        <is>
          <t>check tdc</t>
        </is>
      </c>
      <c r="AD1002" t="inlineStr">
        <is>
          <t>LL</t>
        </is>
      </c>
      <c r="AE1002" t="inlineStr">
        <is>
          <t>check tdc-1</t>
        </is>
      </c>
      <c r="AF1002" t="n">
        <v>1.12498036</v>
      </c>
    </row>
    <row r="1003">
      <c r="A1003" s="56" t="n">
        <v>2410960</v>
      </c>
      <c r="B1003" s="56" t="inlineStr">
        <is>
          <t>TUB-O-C-AUT-AD-FC-31.75X3.375X04-05</t>
        </is>
      </c>
      <c r="C1003" s="56" t="inlineStr">
        <is>
          <t>4A2762920B</t>
        </is>
      </c>
      <c r="D1003" s="56" t="n"/>
      <c r="E1003" s="57" t="n">
        <v>552</v>
      </c>
      <c r="F1003" s="57" t="n">
        <v>0.552</v>
      </c>
      <c r="G1003" s="56" t="inlineStr">
        <is>
          <t>KG</t>
        </is>
      </c>
      <c r="H1003" s="56" t="inlineStr">
        <is>
          <t>TF01</t>
        </is>
      </c>
      <c r="I1003" s="56" t="inlineStr">
        <is>
          <t>4731</t>
        </is>
      </c>
      <c r="J1003" s="56" t="n"/>
      <c r="K1003" s="56" t="n"/>
      <c r="L1003" s="56" t="n"/>
      <c r="M1003" s="56" t="n"/>
      <c r="N1003" s="56" t="inlineStr">
        <is>
          <t>ELKAYEM AUTO ANCILLARIES (PVT) LTD.</t>
        </is>
      </c>
      <c r="O1003" s="56" t="n">
        <v>38</v>
      </c>
      <c r="P1003" s="59" t="inlineStr">
        <is>
          <t>31-60</t>
        </is>
      </c>
      <c r="Q1003" s="56" t="inlineStr">
        <is>
          <t>Diwakar</t>
        </is>
      </c>
      <c r="U1003" s="585" t="n">
        <v>3702855</v>
      </c>
      <c r="V1003" t="n">
        <v>34</v>
      </c>
      <c r="W1003" t="n">
        <v>0</v>
      </c>
      <c r="X1003" t="n">
        <v>1.4</v>
      </c>
      <c r="Y1003" t="n">
        <v>6.52</v>
      </c>
      <c r="Z1003" t="inlineStr">
        <is>
          <t>WG</t>
        </is>
      </c>
      <c r="AA1003" t="inlineStr">
        <is>
          <t>FC</t>
        </is>
      </c>
      <c r="AB1003" t="inlineStr">
        <is>
          <t>AW</t>
        </is>
      </c>
      <c r="AC1003" t="inlineStr">
        <is>
          <t>check tdc</t>
        </is>
      </c>
      <c r="AD1003" t="inlineStr">
        <is>
          <t>LL</t>
        </is>
      </c>
      <c r="AE1003" t="inlineStr">
        <is>
          <t>check tdc-1</t>
        </is>
      </c>
      <c r="AF1003" t="n">
        <v>1.12498036</v>
      </c>
    </row>
    <row r="1004">
      <c r="A1004" s="56" t="n">
        <v>2410960</v>
      </c>
      <c r="B1004" s="56" t="inlineStr">
        <is>
          <t>TUB-O-C-AUT-AD-FC-31.75X3.375X04-05</t>
        </is>
      </c>
      <c r="C1004" s="56" t="inlineStr">
        <is>
          <t>4A2762920A</t>
        </is>
      </c>
      <c r="D1004" s="56" t="n"/>
      <c r="E1004" s="57" t="n">
        <v>457</v>
      </c>
      <c r="F1004" s="57" t="n">
        <v>0.457</v>
      </c>
      <c r="G1004" s="56" t="inlineStr">
        <is>
          <t>KG</t>
        </is>
      </c>
      <c r="H1004" s="56" t="inlineStr">
        <is>
          <t>TF01</t>
        </is>
      </c>
      <c r="I1004" s="56" t="inlineStr">
        <is>
          <t>4731</t>
        </is>
      </c>
      <c r="J1004" s="56" t="n"/>
      <c r="K1004" s="56" t="n"/>
      <c r="L1004" s="56" t="n"/>
      <c r="M1004" s="56" t="n"/>
      <c r="N1004" s="56" t="inlineStr">
        <is>
          <t>ELKAYEM AUTO ANCILLARIES (PVT) LTD.</t>
        </is>
      </c>
      <c r="O1004" s="56" t="n">
        <v>38</v>
      </c>
      <c r="P1004" s="59" t="inlineStr">
        <is>
          <t>31-60</t>
        </is>
      </c>
      <c r="Q1004" s="56" t="inlineStr">
        <is>
          <t>Diwakar</t>
        </is>
      </c>
      <c r="U1004" s="585" t="n">
        <v>3138219</v>
      </c>
      <c r="V1004" t="n">
        <v>34.93</v>
      </c>
      <c r="W1004" t="n">
        <v>0</v>
      </c>
      <c r="X1004" t="n">
        <v>1.2</v>
      </c>
      <c r="Y1004" t="n">
        <v>0.39</v>
      </c>
      <c r="Z1004" t="inlineStr"/>
      <c r="AA1004" t="inlineStr">
        <is>
          <t>FC</t>
        </is>
      </c>
      <c r="AB1004" t="inlineStr">
        <is>
          <t>AW</t>
        </is>
      </c>
      <c r="AC1004" t="inlineStr">
        <is>
          <t>34.93-0-1.2-ERW 1-FC</t>
        </is>
      </c>
      <c r="AD1004" t="inlineStr">
        <is>
          <t>CTL</t>
        </is>
      </c>
      <c r="AE1004" t="inlineStr">
        <is>
          <t>34.93-0-1.2-ERW 1-FC-0.39</t>
        </is>
      </c>
      <c r="AF1004" t="n">
        <v>0.38910024036</v>
      </c>
    </row>
    <row r="1005">
      <c r="A1005" s="56" t="n">
        <v>2410960</v>
      </c>
      <c r="B1005" s="56" t="inlineStr">
        <is>
          <t>TUB-O-C-AUT-AD-FC-31.75X3.375X04-05</t>
        </is>
      </c>
      <c r="C1005" s="56" t="inlineStr">
        <is>
          <t>4A2462730C</t>
        </is>
      </c>
      <c r="D1005" s="56" t="n"/>
      <c r="E1005" s="57" t="n">
        <v>52</v>
      </c>
      <c r="F1005" s="57" t="n">
        <v>0.052</v>
      </c>
      <c r="G1005" s="56" t="inlineStr">
        <is>
          <t>KG</t>
        </is>
      </c>
      <c r="H1005" s="56" t="inlineStr">
        <is>
          <t>TF01</t>
        </is>
      </c>
      <c r="I1005" s="56" t="inlineStr">
        <is>
          <t>4731</t>
        </is>
      </c>
      <c r="J1005" s="56" t="n"/>
      <c r="K1005" s="56" t="n"/>
      <c r="L1005" s="56" t="n"/>
      <c r="M1005" s="56" t="n"/>
      <c r="N1005" s="56" t="inlineStr">
        <is>
          <t>ELKAYEM AUTO ANCILLARIES (PVT) LTD.</t>
        </is>
      </c>
      <c r="O1005" s="56" t="n">
        <v>56</v>
      </c>
      <c r="P1005" s="59" t="inlineStr">
        <is>
          <t>31-60</t>
        </is>
      </c>
      <c r="Q1005" s="56" t="inlineStr">
        <is>
          <t>Diwakar</t>
        </is>
      </c>
      <c r="U1005" t="n">
        <v>3781678</v>
      </c>
      <c r="V1005" t="n">
        <v>34.93</v>
      </c>
      <c r="W1005" t="n">
        <v>0</v>
      </c>
      <c r="X1005" t="n">
        <v>1.2</v>
      </c>
      <c r="Y1005" t="n">
        <v>0.39</v>
      </c>
      <c r="Z1005" t="inlineStr">
        <is>
          <t>TPT</t>
        </is>
      </c>
      <c r="AA1005" t="inlineStr">
        <is>
          <t>FC</t>
        </is>
      </c>
      <c r="AB1005" t="inlineStr">
        <is>
          <t>AW</t>
        </is>
      </c>
      <c r="AC1005" t="inlineStr">
        <is>
          <t>34.93-0-1.2-ERW 1-FC</t>
        </is>
      </c>
      <c r="AD1005" t="inlineStr">
        <is>
          <t>CTL</t>
        </is>
      </c>
      <c r="AE1005" t="inlineStr">
        <is>
          <t>34.93-0-1.2-ERW 1-FC-0.39</t>
        </is>
      </c>
      <c r="AF1005" t="n">
        <v>0.38910024036</v>
      </c>
    </row>
    <row r="1006">
      <c r="A1006" s="56" t="n">
        <v>2410960</v>
      </c>
      <c r="B1006" s="56" t="inlineStr">
        <is>
          <t>TUB-O-C-AUT-AD-FC-31.75X3.375X04-05</t>
        </is>
      </c>
      <c r="C1006" s="56" t="inlineStr">
        <is>
          <t>4A2462730B</t>
        </is>
      </c>
      <c r="D1006" s="56" t="n"/>
      <c r="E1006" s="57" t="n">
        <v>1052</v>
      </c>
      <c r="F1006" s="57" t="n">
        <v>1.052</v>
      </c>
      <c r="G1006" s="56" t="inlineStr">
        <is>
          <t>KG</t>
        </is>
      </c>
      <c r="H1006" s="56" t="inlineStr">
        <is>
          <t>TF01</t>
        </is>
      </c>
      <c r="I1006" s="56" t="inlineStr">
        <is>
          <t>4731</t>
        </is>
      </c>
      <c r="J1006" s="56" t="n"/>
      <c r="K1006" s="56" t="n"/>
      <c r="L1006" s="56" t="n"/>
      <c r="M1006" s="56" t="n"/>
      <c r="N1006" s="56" t="inlineStr">
        <is>
          <t>ELKAYEM AUTO ANCILLARIES (PVT) LTD.</t>
        </is>
      </c>
      <c r="O1006" s="56" t="n">
        <v>56</v>
      </c>
      <c r="P1006" s="59" t="inlineStr">
        <is>
          <t>31-60</t>
        </is>
      </c>
      <c r="Q1006" s="56" t="inlineStr">
        <is>
          <t>Diwakar</t>
        </is>
      </c>
      <c r="U1006" s="585" t="n">
        <v>3210433</v>
      </c>
      <c r="V1006" t="n">
        <v>34.93</v>
      </c>
      <c r="W1006" t="n">
        <v>0</v>
      </c>
      <c r="X1006" t="n">
        <v>1.2</v>
      </c>
      <c r="Y1006" t="n">
        <v>0.394</v>
      </c>
      <c r="Z1006" t="inlineStr">
        <is>
          <t>NORMAL</t>
        </is>
      </c>
      <c r="AA1006" t="inlineStr">
        <is>
          <t>PE</t>
        </is>
      </c>
      <c r="AB1006" t="inlineStr">
        <is>
          <t>AW</t>
        </is>
      </c>
      <c r="AC1006" t="inlineStr">
        <is>
          <t>check tdc for PE</t>
        </is>
      </c>
      <c r="AD1006" t="inlineStr">
        <is>
          <t>CTL</t>
        </is>
      </c>
      <c r="AE1006" t="inlineStr">
        <is>
          <t>check tdc for PE-0.394</t>
        </is>
      </c>
      <c r="AF1006" t="n">
        <v>0.3930910120559999</v>
      </c>
    </row>
    <row r="1007">
      <c r="A1007" s="56" t="n">
        <v>2410960</v>
      </c>
      <c r="B1007" s="56" t="inlineStr">
        <is>
          <t>TUB-O-C-AUT-AD-FC-31.75X3.375X04-05</t>
        </is>
      </c>
      <c r="C1007" s="56" t="inlineStr">
        <is>
          <t>4A2462730A</t>
        </is>
      </c>
      <c r="D1007" s="56" t="n"/>
      <c r="E1007" s="57" t="n">
        <v>821</v>
      </c>
      <c r="F1007" s="57" t="n">
        <v>0.821</v>
      </c>
      <c r="G1007" s="56" t="inlineStr">
        <is>
          <t>KG</t>
        </is>
      </c>
      <c r="H1007" s="56" t="inlineStr">
        <is>
          <t>TF01</t>
        </is>
      </c>
      <c r="I1007" s="56" t="inlineStr">
        <is>
          <t>4731</t>
        </is>
      </c>
      <c r="J1007" s="56" t="n"/>
      <c r="K1007" s="56" t="n"/>
      <c r="L1007" s="56" t="n"/>
      <c r="M1007" s="56" t="n"/>
      <c r="N1007" s="56" t="inlineStr">
        <is>
          <t>ELKAYEM AUTO ANCILLARIES (PVT) LTD.</t>
        </is>
      </c>
      <c r="O1007" s="56" t="n">
        <v>56</v>
      </c>
      <c r="P1007" s="59" t="inlineStr">
        <is>
          <t>31-60</t>
        </is>
      </c>
      <c r="Q1007" s="56" t="inlineStr">
        <is>
          <t>Diwakar</t>
        </is>
      </c>
      <c r="U1007" s="585" t="n">
        <v>1438913</v>
      </c>
      <c r="V1007" t="n">
        <v>34.93</v>
      </c>
      <c r="W1007" t="n">
        <v>0</v>
      </c>
      <c r="X1007" t="n">
        <v>1.2</v>
      </c>
      <c r="Y1007" t="n">
        <v>0.45</v>
      </c>
      <c r="Z1007" t="inlineStr"/>
      <c r="AA1007" t="inlineStr">
        <is>
          <t>PE</t>
        </is>
      </c>
      <c r="AB1007" t="inlineStr">
        <is>
          <t>AW</t>
        </is>
      </c>
      <c r="AC1007" t="inlineStr">
        <is>
          <t>check tdc for PE</t>
        </is>
      </c>
      <c r="AD1007" t="inlineStr">
        <is>
          <t>CTL</t>
        </is>
      </c>
      <c r="AE1007" t="inlineStr">
        <is>
          <t>check tdc for PE-0.45</t>
        </is>
      </c>
      <c r="AF1007" t="n">
        <v>0.4489618157999999</v>
      </c>
    </row>
    <row r="1008">
      <c r="A1008" s="56" t="n">
        <v>2410960</v>
      </c>
      <c r="B1008" s="56" t="inlineStr">
        <is>
          <t>TUB-O-C-AUT-AD-FC-31.75X3.375X04-05</t>
        </is>
      </c>
      <c r="C1008" s="56" t="inlineStr">
        <is>
          <t>4A21AK3100</t>
        </is>
      </c>
      <c r="D1008" s="56" t="n"/>
      <c r="E1008" s="57" t="n">
        <v>1751</v>
      </c>
      <c r="F1008" s="57" t="n">
        <v>1.751</v>
      </c>
      <c r="G1008" s="56" t="inlineStr">
        <is>
          <t>KG</t>
        </is>
      </c>
      <c r="H1008" s="56" t="inlineStr">
        <is>
          <t>TF01</t>
        </is>
      </c>
      <c r="I1008" s="56" t="inlineStr">
        <is>
          <t>4731</t>
        </is>
      </c>
      <c r="J1008" s="56" t="n"/>
      <c r="K1008" s="56" t="n"/>
      <c r="L1008" s="56" t="n"/>
      <c r="M1008" s="56" t="n"/>
      <c r="N1008" s="56" t="inlineStr">
        <is>
          <t>ELKAYEM AUTO ANCILLARIES (PVT) LTD.</t>
        </is>
      </c>
      <c r="O1008" s="56" t="n">
        <v>56</v>
      </c>
      <c r="P1008" s="59" t="inlineStr">
        <is>
          <t>31-60</t>
        </is>
      </c>
      <c r="Q1008" s="56" t="inlineStr">
        <is>
          <t>Diwakar</t>
        </is>
      </c>
      <c r="U1008" s="585" t="n">
        <v>2397073</v>
      </c>
      <c r="V1008" t="n">
        <v>34.93</v>
      </c>
      <c r="W1008" t="n">
        <v>0</v>
      </c>
      <c r="X1008" t="n">
        <v>1.2</v>
      </c>
      <c r="Y1008" t="n">
        <v>0.62</v>
      </c>
      <c r="Z1008" t="inlineStr">
        <is>
          <t>WG</t>
        </is>
      </c>
      <c r="AA1008" t="inlineStr">
        <is>
          <t>FC</t>
        </is>
      </c>
      <c r="AB1008" t="inlineStr">
        <is>
          <t>AW</t>
        </is>
      </c>
      <c r="AC1008" t="inlineStr">
        <is>
          <t>34.93-0-1.2-ERW 1-FC</t>
        </is>
      </c>
      <c r="AD1008" t="inlineStr">
        <is>
          <t>CTL</t>
        </is>
      </c>
      <c r="AE1008" t="inlineStr">
        <is>
          <t>34.93-0-1.2-ERW 1-FC-0.62</t>
        </is>
      </c>
      <c r="AF1008" t="n">
        <v>0.6185696128799999</v>
      </c>
    </row>
    <row r="1009">
      <c r="A1009" s="56" t="n">
        <v>2410960</v>
      </c>
      <c r="B1009" s="56" t="inlineStr">
        <is>
          <t>TUB-O-C-AUT-AD-FC-31.75X3.375X04-05</t>
        </is>
      </c>
      <c r="C1009" s="56" t="inlineStr">
        <is>
          <t>4A19AK3090</t>
        </is>
      </c>
      <c r="D1009" s="56" t="n"/>
      <c r="E1009" s="57" t="n">
        <v>135.31</v>
      </c>
      <c r="F1009" s="57" t="n">
        <v>0.13531</v>
      </c>
      <c r="G1009" s="56" t="inlineStr">
        <is>
          <t>KG</t>
        </is>
      </c>
      <c r="H1009" s="56" t="inlineStr">
        <is>
          <t>TF01</t>
        </is>
      </c>
      <c r="I1009" s="56" t="inlineStr">
        <is>
          <t>4731</t>
        </is>
      </c>
      <c r="J1009" s="56" t="n"/>
      <c r="K1009" s="56" t="n"/>
      <c r="L1009" s="56" t="n"/>
      <c r="M1009" s="56" t="n"/>
      <c r="N1009" s="56" t="inlineStr">
        <is>
          <t>ELKAYEM AUTO ANCILLARIES (PVT) LTD.</t>
        </is>
      </c>
      <c r="O1009" s="56" t="n">
        <v>33</v>
      </c>
      <c r="P1009" s="59" t="inlineStr">
        <is>
          <t>31-60</t>
        </is>
      </c>
      <c r="Q1009" s="56" t="inlineStr">
        <is>
          <t>Diwakar</t>
        </is>
      </c>
      <c r="U1009" s="585" t="n">
        <v>3649699</v>
      </c>
      <c r="V1009" t="n">
        <v>34.93</v>
      </c>
      <c r="W1009" t="n">
        <v>0</v>
      </c>
      <c r="X1009" t="n">
        <v>1.2</v>
      </c>
      <c r="Y1009" t="n">
        <v>0.7</v>
      </c>
      <c r="Z1009" t="inlineStr">
        <is>
          <t>WG</t>
        </is>
      </c>
      <c r="AA1009" t="inlineStr">
        <is>
          <t>FC</t>
        </is>
      </c>
      <c r="AB1009" t="inlineStr">
        <is>
          <t>AW</t>
        </is>
      </c>
      <c r="AC1009" t="inlineStr">
        <is>
          <t>34.93-0-1.2-ERW 1-FC</t>
        </is>
      </c>
      <c r="AD1009" t="inlineStr">
        <is>
          <t>CTL</t>
        </is>
      </c>
      <c r="AE1009" t="inlineStr">
        <is>
          <t>34.93-0-1.2-ERW 1-FC-0.7</t>
        </is>
      </c>
      <c r="AF1009" t="n">
        <v>0.6983850467999999</v>
      </c>
    </row>
    <row r="1010">
      <c r="A1010" s="56" t="n">
        <v>2410960</v>
      </c>
      <c r="B1010" s="56" t="inlineStr">
        <is>
          <t>TUB-O-C-AUT-AD-FC-31.75X3.375X04-05</t>
        </is>
      </c>
      <c r="C1010" s="56" t="inlineStr">
        <is>
          <t>492160090C</t>
        </is>
      </c>
      <c r="D1010" s="56" t="n"/>
      <c r="E1010" s="57" t="n">
        <v>65</v>
      </c>
      <c r="F1010" s="57" t="n">
        <v>0.065</v>
      </c>
      <c r="G1010" s="56" t="inlineStr">
        <is>
          <t>KG</t>
        </is>
      </c>
      <c r="H1010" s="56" t="inlineStr">
        <is>
          <t>TF01</t>
        </is>
      </c>
      <c r="I1010" s="56" t="inlineStr">
        <is>
          <t>4731</t>
        </is>
      </c>
      <c r="J1010" s="56" t="n"/>
      <c r="K1010" s="56" t="n"/>
      <c r="L1010" s="56" t="n"/>
      <c r="M1010" s="56" t="n"/>
      <c r="N1010" s="56" t="inlineStr">
        <is>
          <t>ELKAYEM AUTO ANCILLARIES (PVT) LTD.</t>
        </is>
      </c>
      <c r="O1010" s="56" t="n">
        <v>83</v>
      </c>
      <c r="P1010" s="59" t="inlineStr">
        <is>
          <t>61-90</t>
        </is>
      </c>
      <c r="Q1010" s="56" t="inlineStr">
        <is>
          <t>Diwakar</t>
        </is>
      </c>
      <c r="U1010" s="585" t="n">
        <v>3447254</v>
      </c>
      <c r="V1010" t="n">
        <v>34.93</v>
      </c>
      <c r="W1010" t="n">
        <v>0</v>
      </c>
      <c r="X1010" t="n">
        <v>1.2</v>
      </c>
      <c r="Y1010" t="n">
        <v>5.67</v>
      </c>
      <c r="Z1010" t="inlineStr">
        <is>
          <t>WG</t>
        </is>
      </c>
      <c r="AA1010" t="inlineStr">
        <is>
          <t>FC</t>
        </is>
      </c>
      <c r="AB1010" t="inlineStr">
        <is>
          <t>AW</t>
        </is>
      </c>
      <c r="AC1010" t="inlineStr">
        <is>
          <t>34.93-0-1.2-ERW 1-FC</t>
        </is>
      </c>
      <c r="AD1010" t="inlineStr">
        <is>
          <t>LL</t>
        </is>
      </c>
      <c r="AE1010" t="inlineStr">
        <is>
          <t>34.93-0-1.2-ERW 1-FC-1</t>
        </is>
      </c>
      <c r="AF1010" t="n">
        <v>0.9976929239999999</v>
      </c>
    </row>
    <row r="1011">
      <c r="A1011" s="56" t="n">
        <v>2410960</v>
      </c>
      <c r="B1011" s="56" t="inlineStr">
        <is>
          <t>TUB-O-C-AUT-AD-FC-31.75X3.375X04-05</t>
        </is>
      </c>
      <c r="C1011" s="56" t="inlineStr">
        <is>
          <t>492160090B</t>
        </is>
      </c>
      <c r="D1011" s="56" t="n"/>
      <c r="E1011" s="57" t="n">
        <v>955</v>
      </c>
      <c r="F1011" s="57" t="n">
        <v>0.955</v>
      </c>
      <c r="G1011" s="56" t="inlineStr">
        <is>
          <t>KG</t>
        </is>
      </c>
      <c r="H1011" s="56" t="inlineStr">
        <is>
          <t>TF01</t>
        </is>
      </c>
      <c r="I1011" s="56" t="inlineStr">
        <is>
          <t>4731</t>
        </is>
      </c>
      <c r="J1011" s="56" t="n"/>
      <c r="K1011" s="56" t="n"/>
      <c r="L1011" s="56" t="n"/>
      <c r="M1011" s="56" t="n"/>
      <c r="N1011" s="56" t="inlineStr">
        <is>
          <t>ELKAYEM AUTO ANCILLARIES (PVT) LTD.</t>
        </is>
      </c>
      <c r="O1011" s="56" t="n">
        <v>83</v>
      </c>
      <c r="P1011" s="59" t="inlineStr">
        <is>
          <t>61-90</t>
        </is>
      </c>
      <c r="Q1011" s="56" t="inlineStr">
        <is>
          <t>Diwakar</t>
        </is>
      </c>
      <c r="U1011" s="585" t="n">
        <v>3499611</v>
      </c>
      <c r="V1011" t="n">
        <v>34.93</v>
      </c>
      <c r="W1011" t="n">
        <v>0</v>
      </c>
      <c r="X1011" t="n">
        <v>1.2</v>
      </c>
      <c r="Y1011" t="n">
        <v>6</v>
      </c>
      <c r="Z1011" t="inlineStr"/>
      <c r="AA1011" t="inlineStr">
        <is>
          <t>FC</t>
        </is>
      </c>
      <c r="AB1011" t="inlineStr">
        <is>
          <t>AW</t>
        </is>
      </c>
      <c r="AC1011" t="inlineStr">
        <is>
          <t>34.93-0-1.2-ERW 1-FC</t>
        </is>
      </c>
      <c r="AD1011" t="inlineStr">
        <is>
          <t>LL</t>
        </is>
      </c>
      <c r="AE1011" t="inlineStr">
        <is>
          <t>34.93-0-1.2-ERW 1-FC-1</t>
        </is>
      </c>
      <c r="AF1011" t="n">
        <v>0.9976929239999999</v>
      </c>
    </row>
    <row r="1012">
      <c r="A1012" s="56" t="n">
        <v>2410960</v>
      </c>
      <c r="B1012" s="56" t="inlineStr">
        <is>
          <t>TUB-O-C-AUT-AD-FC-31.75X3.375X04-05</t>
        </is>
      </c>
      <c r="C1012" s="56" t="inlineStr">
        <is>
          <t>492160090A</t>
        </is>
      </c>
      <c r="D1012" s="56" t="n"/>
      <c r="E1012" s="57" t="n">
        <v>976</v>
      </c>
      <c r="F1012" s="57" t="n">
        <v>0.976</v>
      </c>
      <c r="G1012" s="56" t="inlineStr">
        <is>
          <t>KG</t>
        </is>
      </c>
      <c r="H1012" s="56" t="inlineStr">
        <is>
          <t>TF01</t>
        </is>
      </c>
      <c r="I1012" s="56" t="inlineStr">
        <is>
          <t>4731</t>
        </is>
      </c>
      <c r="J1012" s="56" t="n"/>
      <c r="K1012" s="56" t="n"/>
      <c r="L1012" s="56" t="n"/>
      <c r="M1012" s="56" t="n"/>
      <c r="N1012" s="56" t="inlineStr">
        <is>
          <t>ELKAYEM AUTO ANCILLARIES (PVT) LTD.</t>
        </is>
      </c>
      <c r="O1012" s="56" t="n">
        <v>83</v>
      </c>
      <c r="P1012" s="59" t="inlineStr">
        <is>
          <t>61-90</t>
        </is>
      </c>
      <c r="Q1012" s="56" t="inlineStr">
        <is>
          <t>Diwakar</t>
        </is>
      </c>
      <c r="U1012" s="585" t="n">
        <v>1940701</v>
      </c>
      <c r="V1012" t="n">
        <v>34.93</v>
      </c>
      <c r="W1012" t="n">
        <v>0</v>
      </c>
      <c r="X1012" t="n">
        <v>1.2</v>
      </c>
      <c r="Y1012" t="n">
        <v>6</v>
      </c>
      <c r="Z1012" t="inlineStr">
        <is>
          <t>WG</t>
        </is>
      </c>
      <c r="AA1012" t="inlineStr">
        <is>
          <t>FC</t>
        </is>
      </c>
      <c r="AB1012" t="inlineStr">
        <is>
          <t>AW</t>
        </is>
      </c>
      <c r="AC1012" t="inlineStr">
        <is>
          <t>34.93-0-1.2-ERW 1-FC</t>
        </is>
      </c>
      <c r="AD1012" t="inlineStr">
        <is>
          <t>LL</t>
        </is>
      </c>
      <c r="AE1012" t="inlineStr">
        <is>
          <t>34.93-0-1.2-ERW 1-FC-1</t>
        </is>
      </c>
      <c r="AF1012" t="n">
        <v>0.9976929239999999</v>
      </c>
    </row>
    <row r="1013">
      <c r="A1013" s="56" t="n">
        <v>2410960</v>
      </c>
      <c r="B1013" s="56" t="inlineStr">
        <is>
          <t>TUB-O-C-AUT-AD-FC-31.75X3.375X04-05</t>
        </is>
      </c>
      <c r="C1013" s="56" t="inlineStr">
        <is>
          <t>492160080C</t>
        </is>
      </c>
      <c r="D1013" s="56" t="n"/>
      <c r="E1013" s="57" t="n">
        <v>74</v>
      </c>
      <c r="F1013" s="57" t="n">
        <v>0.074</v>
      </c>
      <c r="G1013" s="56" t="inlineStr">
        <is>
          <t>KG</t>
        </is>
      </c>
      <c r="H1013" s="56" t="inlineStr">
        <is>
          <t>TF01</t>
        </is>
      </c>
      <c r="I1013" s="56" t="inlineStr">
        <is>
          <t>4731</t>
        </is>
      </c>
      <c r="J1013" s="56" t="n"/>
      <c r="K1013" s="56" t="n"/>
      <c r="L1013" s="56" t="n"/>
      <c r="M1013" s="56" t="n"/>
      <c r="N1013" s="56" t="inlineStr">
        <is>
          <t>ELKAYEM AUTO ANCILLARIES (PVT) LTD.</t>
        </is>
      </c>
      <c r="O1013" s="56" t="n">
        <v>83</v>
      </c>
      <c r="P1013" s="59" t="inlineStr">
        <is>
          <t>61-90</t>
        </is>
      </c>
      <c r="Q1013" s="56" t="inlineStr">
        <is>
          <t>Diwakar</t>
        </is>
      </c>
      <c r="U1013" s="585" t="n">
        <v>3584140</v>
      </c>
      <c r="V1013" t="n">
        <v>34.93</v>
      </c>
      <c r="W1013" t="n">
        <v>0</v>
      </c>
      <c r="X1013" t="n">
        <v>1.2</v>
      </c>
      <c r="Y1013" t="n">
        <v>6.1</v>
      </c>
      <c r="Z1013" t="inlineStr">
        <is>
          <t>WG</t>
        </is>
      </c>
      <c r="AA1013" t="inlineStr">
        <is>
          <t>FC</t>
        </is>
      </c>
      <c r="AB1013" t="inlineStr">
        <is>
          <t>AW</t>
        </is>
      </c>
      <c r="AC1013" t="inlineStr">
        <is>
          <t>34.93-0-1.2-ERW 1-FC</t>
        </is>
      </c>
      <c r="AD1013" t="inlineStr">
        <is>
          <t>LL</t>
        </is>
      </c>
      <c r="AE1013" t="inlineStr">
        <is>
          <t>34.93-0-1.2-ERW 1-FC-1</t>
        </is>
      </c>
      <c r="AF1013" t="n">
        <v>0.9976929239999999</v>
      </c>
    </row>
    <row r="1014">
      <c r="A1014" s="56" t="n">
        <v>2410960</v>
      </c>
      <c r="B1014" s="56" t="inlineStr">
        <is>
          <t>TUB-O-C-AUT-AD-FC-31.75X3.375X04-05</t>
        </is>
      </c>
      <c r="C1014" s="56" t="inlineStr">
        <is>
          <t>492160080B</t>
        </is>
      </c>
      <c r="D1014" s="56" t="n"/>
      <c r="E1014" s="57" t="n">
        <v>874</v>
      </c>
      <c r="F1014" s="57" t="n">
        <v>0.874</v>
      </c>
      <c r="G1014" s="56" t="inlineStr">
        <is>
          <t>KG</t>
        </is>
      </c>
      <c r="H1014" s="56" t="inlineStr">
        <is>
          <t>TF01</t>
        </is>
      </c>
      <c r="I1014" s="56" t="inlineStr">
        <is>
          <t>4731</t>
        </is>
      </c>
      <c r="J1014" s="56" t="n"/>
      <c r="K1014" s="56" t="n"/>
      <c r="L1014" s="56" t="n"/>
      <c r="M1014" s="56" t="n"/>
      <c r="N1014" s="56" t="inlineStr">
        <is>
          <t>ELKAYEM AUTO ANCILLARIES (PVT) LTD.</t>
        </is>
      </c>
      <c r="O1014" s="56" t="n">
        <v>83</v>
      </c>
      <c r="P1014" s="59" t="inlineStr">
        <is>
          <t>61-90</t>
        </is>
      </c>
      <c r="Q1014" s="56" t="inlineStr">
        <is>
          <t>Diwakar</t>
        </is>
      </c>
      <c r="U1014" s="585" t="n">
        <v>1155165</v>
      </c>
      <c r="V1014" t="n">
        <v>34.93</v>
      </c>
      <c r="W1014" t="n">
        <v>0</v>
      </c>
      <c r="X1014" t="n">
        <v>1.6</v>
      </c>
      <c r="Y1014" t="n">
        <v>1.726</v>
      </c>
      <c r="Z1014" t="inlineStr"/>
      <c r="AA1014" t="inlineStr">
        <is>
          <t>PE</t>
        </is>
      </c>
      <c r="AB1014" t="inlineStr">
        <is>
          <t>AW</t>
        </is>
      </c>
      <c r="AC1014" t="inlineStr">
        <is>
          <t>34.93-0-1.6-ERW 1-FC</t>
        </is>
      </c>
      <c r="AD1014" t="inlineStr">
        <is>
          <t>CTL</t>
        </is>
      </c>
      <c r="AE1014" t="inlineStr">
        <is>
          <t>34.93-0-1.6-ERW 1-FC-1.726</t>
        </is>
      </c>
      <c r="AF1014" t="n">
        <v>2.268795711072</v>
      </c>
    </row>
    <row r="1015">
      <c r="A1015" s="56" t="n">
        <v>2410960</v>
      </c>
      <c r="B1015" s="56" t="inlineStr">
        <is>
          <t>TUB-O-C-AUT-AD-FC-31.75X3.375X04-05</t>
        </is>
      </c>
      <c r="C1015" s="56" t="inlineStr">
        <is>
          <t>492160080A</t>
        </is>
      </c>
      <c r="D1015" s="56" t="n"/>
      <c r="E1015" s="57" t="n">
        <v>846</v>
      </c>
      <c r="F1015" s="57" t="n">
        <v>0.846</v>
      </c>
      <c r="G1015" s="56" t="inlineStr">
        <is>
          <t>KG</t>
        </is>
      </c>
      <c r="H1015" s="56" t="inlineStr">
        <is>
          <t>TF01</t>
        </is>
      </c>
      <c r="I1015" s="56" t="inlineStr">
        <is>
          <t>4731</t>
        </is>
      </c>
      <c r="J1015" s="56" t="n"/>
      <c r="K1015" s="56" t="n"/>
      <c r="L1015" s="56" t="n"/>
      <c r="M1015" s="56" t="n"/>
      <c r="N1015" s="56" t="inlineStr">
        <is>
          <t>ELKAYEM AUTO ANCILLARIES (PVT) LTD.</t>
        </is>
      </c>
      <c r="O1015" s="56" t="n">
        <v>83</v>
      </c>
      <c r="P1015" s="59" t="inlineStr">
        <is>
          <t>61-90</t>
        </is>
      </c>
      <c r="Q1015" s="56" t="inlineStr">
        <is>
          <t>Diwakar</t>
        </is>
      </c>
      <c r="U1015" s="585" t="n">
        <v>1940711</v>
      </c>
      <c r="V1015" t="n">
        <v>34.93</v>
      </c>
      <c r="W1015" t="n">
        <v>0</v>
      </c>
      <c r="X1015" t="n">
        <v>1.6</v>
      </c>
      <c r="Y1015" t="n">
        <v>1.726</v>
      </c>
      <c r="Z1015" t="inlineStr">
        <is>
          <t>WG</t>
        </is>
      </c>
      <c r="AA1015" t="inlineStr">
        <is>
          <t>FC</t>
        </is>
      </c>
      <c r="AB1015" t="inlineStr">
        <is>
          <t>AW</t>
        </is>
      </c>
      <c r="AC1015" t="inlineStr">
        <is>
          <t>34.93-0-1.6-ERW 1-FC</t>
        </is>
      </c>
      <c r="AD1015" t="inlineStr">
        <is>
          <t>CTL</t>
        </is>
      </c>
      <c r="AE1015" t="inlineStr">
        <is>
          <t>34.93-0-1.6-ERW 1-FC-1.726</t>
        </is>
      </c>
      <c r="AF1015" t="n">
        <v>2.268795711072</v>
      </c>
    </row>
    <row r="1016">
      <c r="A1016" s="56" t="n">
        <v>2410960</v>
      </c>
      <c r="B1016" s="56" t="inlineStr">
        <is>
          <t>TUB-O-C-AUT-AD-FC-31.75X3.375X04-05</t>
        </is>
      </c>
      <c r="C1016" s="56" t="inlineStr">
        <is>
          <t>492160070C</t>
        </is>
      </c>
      <c r="D1016" s="56" t="n"/>
      <c r="E1016" s="57" t="n">
        <v>150</v>
      </c>
      <c r="F1016" s="57" t="n">
        <v>0.15</v>
      </c>
      <c r="G1016" s="56" t="inlineStr">
        <is>
          <t>KG</t>
        </is>
      </c>
      <c r="H1016" s="56" t="inlineStr">
        <is>
          <t>TF01</t>
        </is>
      </c>
      <c r="I1016" s="56" t="inlineStr">
        <is>
          <t>4731</t>
        </is>
      </c>
      <c r="J1016" s="56" t="n"/>
      <c r="K1016" s="56" t="n"/>
      <c r="L1016" s="56" t="n"/>
      <c r="M1016" s="56" t="n"/>
      <c r="N1016" s="56" t="inlineStr">
        <is>
          <t>ELKAYEM AUTO ANCILLARIES (PVT) LTD.</t>
        </is>
      </c>
      <c r="O1016" s="56" t="n">
        <v>83</v>
      </c>
      <c r="P1016" s="59" t="inlineStr">
        <is>
          <t>61-90</t>
        </is>
      </c>
      <c r="Q1016" s="56" t="inlineStr">
        <is>
          <t>Diwakar</t>
        </is>
      </c>
      <c r="U1016" s="585" t="n">
        <v>1940710</v>
      </c>
      <c r="V1016" t="n">
        <v>34.93</v>
      </c>
      <c r="W1016" t="n">
        <v>0</v>
      </c>
      <c r="X1016" t="n">
        <v>1.6</v>
      </c>
      <c r="Y1016" t="n">
        <v>1.726</v>
      </c>
      <c r="Z1016" t="inlineStr">
        <is>
          <t>GR1</t>
        </is>
      </c>
      <c r="AA1016" t="inlineStr">
        <is>
          <t>FC</t>
        </is>
      </c>
      <c r="AB1016" t="inlineStr">
        <is>
          <t>AW</t>
        </is>
      </c>
      <c r="AC1016" t="inlineStr">
        <is>
          <t>34.93-0-1.6-ERW 1-FC</t>
        </is>
      </c>
      <c r="AD1016" t="inlineStr">
        <is>
          <t>CTL</t>
        </is>
      </c>
      <c r="AE1016" t="inlineStr">
        <is>
          <t>34.93-0-1.6-ERW 1-FC-1.726</t>
        </is>
      </c>
      <c r="AF1016" t="n">
        <v>2.268795711072</v>
      </c>
    </row>
    <row r="1017">
      <c r="A1017" s="56" t="n">
        <v>2410960</v>
      </c>
      <c r="B1017" s="56" t="inlineStr">
        <is>
          <t>TUB-O-C-AUT-AD-FC-31.75X3.375X04-05</t>
        </is>
      </c>
      <c r="C1017" s="56" t="inlineStr">
        <is>
          <t>492160070B</t>
        </is>
      </c>
      <c r="D1017" s="56" t="n"/>
      <c r="E1017" s="57" t="n">
        <v>865</v>
      </c>
      <c r="F1017" s="57" t="n">
        <v>0.865</v>
      </c>
      <c r="G1017" s="56" t="inlineStr">
        <is>
          <t>KG</t>
        </is>
      </c>
      <c r="H1017" s="56" t="inlineStr">
        <is>
          <t>TF01</t>
        </is>
      </c>
      <c r="I1017" s="56" t="inlineStr">
        <is>
          <t>4731</t>
        </is>
      </c>
      <c r="J1017" s="56" t="n"/>
      <c r="K1017" s="56" t="n"/>
      <c r="L1017" s="56" t="n"/>
      <c r="M1017" s="56" t="n"/>
      <c r="N1017" s="56" t="inlineStr">
        <is>
          <t>ELKAYEM AUTO ANCILLARIES (PVT) LTD.</t>
        </is>
      </c>
      <c r="O1017" s="56" t="n">
        <v>83</v>
      </c>
      <c r="P1017" s="59" t="inlineStr">
        <is>
          <t>61-90</t>
        </is>
      </c>
      <c r="Q1017" s="56" t="inlineStr">
        <is>
          <t>Diwakar</t>
        </is>
      </c>
      <c r="U1017" s="586" t="n">
        <v>110102839</v>
      </c>
      <c r="V1017" t="n">
        <v>34.93</v>
      </c>
      <c r="W1017" t="n">
        <v>0</v>
      </c>
      <c r="X1017" t="n">
        <v>1.6</v>
      </c>
      <c r="Y1017" t="n">
        <v>5.243</v>
      </c>
      <c r="Z1017" t="inlineStr">
        <is>
          <t>WG</t>
        </is>
      </c>
      <c r="AA1017" t="inlineStr">
        <is>
          <t>FC</t>
        </is>
      </c>
      <c r="AB1017" t="inlineStr">
        <is>
          <t>AW</t>
        </is>
      </c>
      <c r="AC1017" t="inlineStr">
        <is>
          <t>34.93-0-1.6-ERW 1-FC</t>
        </is>
      </c>
      <c r="AD1017" t="inlineStr">
        <is>
          <t>LL</t>
        </is>
      </c>
      <c r="AE1017" t="inlineStr">
        <is>
          <t>34.93-0-1.6-ERW 1-FC-1</t>
        </is>
      </c>
      <c r="AF1017" t="n">
        <v>1.314481872</v>
      </c>
    </row>
    <row r="1018">
      <c r="A1018" s="56" t="n">
        <v>2410960</v>
      </c>
      <c r="B1018" s="56" t="inlineStr">
        <is>
          <t>TUB-O-C-AUT-AD-FC-31.75X3.375X04-05</t>
        </is>
      </c>
      <c r="C1018" s="56" t="inlineStr">
        <is>
          <t>492160070A</t>
        </is>
      </c>
      <c r="D1018" s="56" t="n"/>
      <c r="E1018" s="57" t="n">
        <v>955</v>
      </c>
      <c r="F1018" s="57" t="n">
        <v>0.955</v>
      </c>
      <c r="G1018" s="56" t="inlineStr">
        <is>
          <t>KG</t>
        </is>
      </c>
      <c r="H1018" s="56" t="inlineStr">
        <is>
          <t>TF01</t>
        </is>
      </c>
      <c r="I1018" s="56" t="inlineStr">
        <is>
          <t>4731</t>
        </is>
      </c>
      <c r="J1018" s="56" t="n"/>
      <c r="K1018" s="56" t="n"/>
      <c r="L1018" s="56" t="n"/>
      <c r="M1018" s="56" t="n"/>
      <c r="N1018" s="56" t="inlineStr">
        <is>
          <t>ELKAYEM AUTO ANCILLARIES (PVT) LTD.</t>
        </is>
      </c>
      <c r="O1018" s="56" t="n">
        <v>83</v>
      </c>
      <c r="P1018" s="59" t="inlineStr">
        <is>
          <t>61-90</t>
        </is>
      </c>
      <c r="Q1018" s="56" t="inlineStr">
        <is>
          <t>Diwakar</t>
        </is>
      </c>
      <c r="U1018" s="585" t="n">
        <v>3500308</v>
      </c>
      <c r="V1018" t="n">
        <v>34.93</v>
      </c>
      <c r="W1018" t="n">
        <v>0</v>
      </c>
      <c r="X1018" t="n">
        <v>1.6</v>
      </c>
      <c r="Y1018" t="n">
        <v>6</v>
      </c>
      <c r="Z1018" t="inlineStr"/>
      <c r="AA1018" t="inlineStr">
        <is>
          <t>FC</t>
        </is>
      </c>
      <c r="AB1018" t="inlineStr">
        <is>
          <t>AW</t>
        </is>
      </c>
      <c r="AC1018" t="inlineStr">
        <is>
          <t>34.93-0-1.6-ERW 1-FC</t>
        </is>
      </c>
      <c r="AD1018" t="inlineStr">
        <is>
          <t>LL</t>
        </is>
      </c>
      <c r="AE1018" t="inlineStr">
        <is>
          <t>34.93-0-1.6-ERW 1-FC-1</t>
        </is>
      </c>
      <c r="AF1018" t="n">
        <v>1.314481872</v>
      </c>
    </row>
    <row r="1019">
      <c r="A1019" s="56" t="n">
        <v>2410960</v>
      </c>
      <c r="B1019" s="56" t="inlineStr">
        <is>
          <t>TUB-O-C-AUT-AD-FC-31.75X3.375X04-05</t>
        </is>
      </c>
      <c r="C1019" s="56" t="inlineStr">
        <is>
          <t>4917BK3110</t>
        </is>
      </c>
      <c r="D1019" s="56" t="n"/>
      <c r="E1019" s="57" t="n">
        <v>1884</v>
      </c>
      <c r="F1019" s="57" t="n">
        <v>1.884</v>
      </c>
      <c r="G1019" s="56" t="inlineStr">
        <is>
          <t>KG</t>
        </is>
      </c>
      <c r="H1019" s="56" t="inlineStr">
        <is>
          <t>TF01</t>
        </is>
      </c>
      <c r="I1019" s="56" t="inlineStr">
        <is>
          <t>4731</t>
        </is>
      </c>
      <c r="J1019" s="56" t="n"/>
      <c r="K1019" s="56" t="n"/>
      <c r="L1019" s="56" t="n"/>
      <c r="M1019" s="56" t="n"/>
      <c r="N1019" s="56" t="inlineStr">
        <is>
          <t>ELKAYEM AUTO ANCILLARIES (PVT) LTD.</t>
        </is>
      </c>
      <c r="O1019" s="56" t="n">
        <v>83</v>
      </c>
      <c r="P1019" s="59" t="inlineStr">
        <is>
          <t>61-90</t>
        </is>
      </c>
      <c r="Q1019" s="56" t="inlineStr">
        <is>
          <t>Diwakar</t>
        </is>
      </c>
      <c r="U1019" s="585" t="n">
        <v>3210055</v>
      </c>
      <c r="V1019" t="n">
        <v>34.93</v>
      </c>
      <c r="W1019" t="n">
        <v>0</v>
      </c>
      <c r="X1019" t="n">
        <v>2</v>
      </c>
      <c r="Y1019" t="n">
        <v>0.248</v>
      </c>
      <c r="Z1019" t="inlineStr"/>
      <c r="AA1019" t="inlineStr">
        <is>
          <t>PE</t>
        </is>
      </c>
      <c r="AB1019" t="inlineStr">
        <is>
          <t>AW</t>
        </is>
      </c>
      <c r="AC1019" t="inlineStr">
        <is>
          <t>check tdc for PE</t>
        </is>
      </c>
      <c r="AD1019" t="inlineStr">
        <is>
          <t>CTL</t>
        </is>
      </c>
      <c r="AE1019" t="inlineStr">
        <is>
          <t>check tdc for PE-0.248</t>
        </is>
      </c>
      <c r="AF1019" t="n">
        <v>0.40259901872</v>
      </c>
    </row>
    <row r="1020">
      <c r="A1020" s="56" t="n">
        <v>2410960</v>
      </c>
      <c r="B1020" s="56" t="inlineStr">
        <is>
          <t>TUB-O-C-AUT-AD-FC-31.75X3.375X04-05</t>
        </is>
      </c>
      <c r="C1020" s="56" t="inlineStr">
        <is>
          <t>480766650C</t>
        </is>
      </c>
      <c r="D1020" s="56" t="n"/>
      <c r="E1020" s="57" t="n">
        <v>127</v>
      </c>
      <c r="F1020" s="57" t="n">
        <v>0.127</v>
      </c>
      <c r="G1020" s="56" t="inlineStr">
        <is>
          <t>KG</t>
        </is>
      </c>
      <c r="H1020" s="56" t="inlineStr">
        <is>
          <t>TF01</t>
        </is>
      </c>
      <c r="I1020" s="56" t="inlineStr">
        <is>
          <t>4731</t>
        </is>
      </c>
      <c r="J1020" s="56" t="n"/>
      <c r="K1020" s="56" t="n"/>
      <c r="L1020" s="56" t="n"/>
      <c r="M1020" s="56" t="n"/>
      <c r="N1020" s="56" t="inlineStr">
        <is>
          <t>ELKAYEM AUTO ANCILLARIES (PVT) LTD.</t>
        </is>
      </c>
      <c r="O1020" s="56" t="n">
        <v>83</v>
      </c>
      <c r="P1020" s="59" t="inlineStr">
        <is>
          <t>61-90</t>
        </is>
      </c>
      <c r="Q1020" s="56" t="inlineStr">
        <is>
          <t>Diwakar</t>
        </is>
      </c>
      <c r="U1020" s="585" t="n">
        <v>1551280</v>
      </c>
      <c r="V1020" t="n">
        <v>34.93</v>
      </c>
      <c r="W1020" t="n">
        <v>0</v>
      </c>
      <c r="X1020" t="n">
        <v>2</v>
      </c>
      <c r="Y1020" t="n">
        <v>0.284</v>
      </c>
      <c r="Z1020" t="inlineStr"/>
      <c r="AA1020" t="inlineStr">
        <is>
          <t>PE</t>
        </is>
      </c>
      <c r="AB1020" t="inlineStr">
        <is>
          <t>AW</t>
        </is>
      </c>
      <c r="AC1020" t="inlineStr">
        <is>
          <t>check tdc for PE</t>
        </is>
      </c>
      <c r="AD1020" t="inlineStr">
        <is>
          <t>CTL</t>
        </is>
      </c>
      <c r="AE1020" t="inlineStr">
        <is>
          <t>check tdc for PE-0.284</t>
        </is>
      </c>
      <c r="AF1020" t="n">
        <v>0.46104081176</v>
      </c>
    </row>
    <row r="1021">
      <c r="A1021" s="56" t="n">
        <v>2410960</v>
      </c>
      <c r="B1021" s="56" t="inlineStr">
        <is>
          <t>TUB-O-C-AUT-AD-FC-31.75X3.375X04-05</t>
        </is>
      </c>
      <c r="C1021" s="56" t="inlineStr">
        <is>
          <t>480766650B</t>
        </is>
      </c>
      <c r="D1021" s="56" t="n"/>
      <c r="E1021" s="57" t="n">
        <v>963</v>
      </c>
      <c r="F1021" s="57" t="n">
        <v>0.963</v>
      </c>
      <c r="G1021" s="56" t="inlineStr">
        <is>
          <t>KG</t>
        </is>
      </c>
      <c r="H1021" s="56" t="inlineStr">
        <is>
          <t>TF01</t>
        </is>
      </c>
      <c r="I1021" s="56" t="inlineStr">
        <is>
          <t>4731</t>
        </is>
      </c>
      <c r="J1021" s="56" t="n"/>
      <c r="K1021" s="56" t="n"/>
      <c r="L1021" s="56" t="n"/>
      <c r="M1021" s="56" t="n"/>
      <c r="N1021" s="56" t="inlineStr">
        <is>
          <t>ELKAYEM AUTO ANCILLARIES (PVT) LTD.</t>
        </is>
      </c>
      <c r="O1021" s="56" t="n">
        <v>83</v>
      </c>
      <c r="P1021" s="59" t="inlineStr">
        <is>
          <t>61-90</t>
        </is>
      </c>
      <c r="Q1021" s="56" t="inlineStr">
        <is>
          <t>Diwakar</t>
        </is>
      </c>
      <c r="U1021" s="585" t="n">
        <v>3210054</v>
      </c>
      <c r="V1021" t="n">
        <v>34.93</v>
      </c>
      <c r="W1021" t="n">
        <v>0</v>
      </c>
      <c r="X1021" t="n">
        <v>2</v>
      </c>
      <c r="Y1021" t="n">
        <v>0.284</v>
      </c>
      <c r="Z1021" t="inlineStr"/>
      <c r="AA1021" t="inlineStr">
        <is>
          <t>PE</t>
        </is>
      </c>
      <c r="AB1021" t="inlineStr">
        <is>
          <t>AW</t>
        </is>
      </c>
      <c r="AC1021" t="inlineStr">
        <is>
          <t>check tdc for PE</t>
        </is>
      </c>
      <c r="AD1021" t="inlineStr">
        <is>
          <t>CTL</t>
        </is>
      </c>
      <c r="AE1021" t="inlineStr">
        <is>
          <t>check tdc for PE-0.284</t>
        </is>
      </c>
      <c r="AF1021" t="n">
        <v>0.46104081176</v>
      </c>
    </row>
    <row r="1022">
      <c r="A1022" s="56" t="n">
        <v>2410960</v>
      </c>
      <c r="B1022" s="56" t="inlineStr">
        <is>
          <t>TUB-O-C-AUT-AD-FC-31.75X3.375X04-05</t>
        </is>
      </c>
      <c r="C1022" s="56" t="inlineStr">
        <is>
          <t>4714CK3110</t>
        </is>
      </c>
      <c r="D1022" s="56" t="n"/>
      <c r="E1022" s="57" t="n">
        <v>558.495</v>
      </c>
      <c r="F1022" s="57" t="n">
        <v>0.558495</v>
      </c>
      <c r="G1022" s="56" t="inlineStr">
        <is>
          <t>KG</t>
        </is>
      </c>
      <c r="H1022" s="56" t="inlineStr">
        <is>
          <t>TF01</t>
        </is>
      </c>
      <c r="I1022" s="56" t="inlineStr">
        <is>
          <t>4731</t>
        </is>
      </c>
      <c r="J1022" s="56" t="n"/>
      <c r="K1022" s="56" t="n"/>
      <c r="L1022" s="56" t="n"/>
      <c r="M1022" s="56" t="n"/>
      <c r="N1022" s="56" t="inlineStr">
        <is>
          <t>ELKAYEM AUTO ANCILLARIES (PVT) LTD.</t>
        </is>
      </c>
      <c r="O1022" s="56" t="n">
        <v>118</v>
      </c>
      <c r="P1022" s="59" t="inlineStr">
        <is>
          <t>ABOVE 90</t>
        </is>
      </c>
      <c r="Q1022" s="56" t="inlineStr">
        <is>
          <t>Diwakar</t>
        </is>
      </c>
      <c r="U1022" s="585" t="n">
        <v>1236370</v>
      </c>
      <c r="V1022" t="n">
        <v>34.93</v>
      </c>
      <c r="W1022" t="n">
        <v>0</v>
      </c>
      <c r="X1022" t="n">
        <v>2</v>
      </c>
      <c r="Y1022" t="n">
        <v>0.339</v>
      </c>
      <c r="Z1022" t="inlineStr"/>
      <c r="AA1022" t="inlineStr">
        <is>
          <t>FC</t>
        </is>
      </c>
      <c r="AB1022" t="inlineStr">
        <is>
          <t>AW</t>
        </is>
      </c>
      <c r="AC1022" t="inlineStr">
        <is>
          <t>check tdc for thickness</t>
        </is>
      </c>
      <c r="AD1022" t="inlineStr">
        <is>
          <t>CTL</t>
        </is>
      </c>
      <c r="AE1022" t="inlineStr">
        <is>
          <t>check tdc for thickness-0.339</t>
        </is>
      </c>
      <c r="AF1022" t="n">
        <v>0.5503268844600001</v>
      </c>
    </row>
    <row r="1023">
      <c r="A1023" s="56" t="n">
        <v>2410960</v>
      </c>
      <c r="B1023" s="56" t="inlineStr">
        <is>
          <t>TUB-O-C-AUT-AD-FC-31.75X3.375X04-05</t>
        </is>
      </c>
      <c r="C1023" s="56" t="inlineStr">
        <is>
          <t>480866720B</t>
        </is>
      </c>
      <c r="D1023" s="56" t="n"/>
      <c r="E1023" s="57" t="n">
        <v>966</v>
      </c>
      <c r="F1023" s="57" t="n">
        <v>0.966</v>
      </c>
      <c r="G1023" s="56" t="inlineStr">
        <is>
          <t>KG</t>
        </is>
      </c>
      <c r="H1023" s="56" t="inlineStr">
        <is>
          <t>R001</t>
        </is>
      </c>
      <c r="I1023" s="56" t="inlineStr">
        <is>
          <t>4731</t>
        </is>
      </c>
      <c r="J1023" s="56" t="n"/>
      <c r="K1023" s="56" t="n"/>
      <c r="L1023" s="56" t="n"/>
      <c r="M1023" s="56" t="n"/>
      <c r="N1023" s="56" t="inlineStr">
        <is>
          <t>ELKAYEM AUTO ANCILLARIES (PVT) LTD.</t>
        </is>
      </c>
      <c r="O1023" s="56" t="n">
        <v>129</v>
      </c>
      <c r="P1023" s="59" t="inlineStr">
        <is>
          <t>ABOVE 90</t>
        </is>
      </c>
      <c r="Q1023" s="56" t="inlineStr">
        <is>
          <t>Diwakar</t>
        </is>
      </c>
      <c r="U1023" s="585" t="n">
        <v>3210056</v>
      </c>
      <c r="V1023" t="n">
        <v>34.93</v>
      </c>
      <c r="W1023" t="n">
        <v>0</v>
      </c>
      <c r="X1023" t="n">
        <v>2</v>
      </c>
      <c r="Y1023" t="n">
        <v>1.175</v>
      </c>
      <c r="Z1023" t="inlineStr"/>
      <c r="AA1023" t="inlineStr">
        <is>
          <t>PE</t>
        </is>
      </c>
      <c r="AB1023" t="inlineStr">
        <is>
          <t>AW</t>
        </is>
      </c>
      <c r="AC1023" t="inlineStr">
        <is>
          <t>check tdc for PE</t>
        </is>
      </c>
      <c r="AD1023" t="inlineStr">
        <is>
          <t>CTL</t>
        </is>
      </c>
      <c r="AE1023" t="inlineStr">
        <is>
          <t>check tdc for PE-1.175</t>
        </is>
      </c>
      <c r="AF1023" t="n">
        <v>1.9074751895</v>
      </c>
    </row>
    <row r="1024">
      <c r="A1024" s="56" t="n">
        <v>2410960</v>
      </c>
      <c r="B1024" s="56" t="inlineStr">
        <is>
          <t>TUB-O-C-AUT-AD-FC-31.75X3.375X04-05</t>
        </is>
      </c>
      <c r="C1024" s="56" t="inlineStr">
        <is>
          <t>480866720A</t>
        </is>
      </c>
      <c r="D1024" s="56" t="n"/>
      <c r="E1024" s="57" t="n">
        <v>1040</v>
      </c>
      <c r="F1024" s="57" t="n">
        <v>1.04</v>
      </c>
      <c r="G1024" s="56" t="inlineStr">
        <is>
          <t>KG</t>
        </is>
      </c>
      <c r="H1024" s="56" t="inlineStr">
        <is>
          <t>R001</t>
        </is>
      </c>
      <c r="I1024" s="56" t="inlineStr">
        <is>
          <t>4731</t>
        </is>
      </c>
      <c r="J1024" s="56" t="n"/>
      <c r="K1024" s="56" t="n"/>
      <c r="L1024" s="56" t="n"/>
      <c r="M1024" s="56" t="n"/>
      <c r="N1024" s="56" t="inlineStr">
        <is>
          <t>ELKAYEM AUTO ANCILLARIES (PVT) LTD.</t>
        </is>
      </c>
      <c r="O1024" s="56" t="n">
        <v>129</v>
      </c>
      <c r="P1024" s="59" t="inlineStr">
        <is>
          <t>ABOVE 90</t>
        </is>
      </c>
      <c r="Q1024" s="56" t="inlineStr">
        <is>
          <t>Diwakar</t>
        </is>
      </c>
      <c r="U1024" s="585" t="n">
        <v>3484654</v>
      </c>
      <c r="V1024" t="n">
        <v>34.93</v>
      </c>
      <c r="W1024" t="n">
        <v>0</v>
      </c>
      <c r="X1024" t="n">
        <v>2</v>
      </c>
      <c r="Y1024" t="n">
        <v>1.28</v>
      </c>
      <c r="Z1024" t="inlineStr"/>
      <c r="AA1024" t="inlineStr">
        <is>
          <t>PE</t>
        </is>
      </c>
      <c r="AB1024" t="inlineStr">
        <is>
          <t>AW</t>
        </is>
      </c>
      <c r="AC1024" t="inlineStr">
        <is>
          <t>check tdc for PE</t>
        </is>
      </c>
      <c r="AD1024" t="inlineStr">
        <is>
          <t>CTL</t>
        </is>
      </c>
      <c r="AE1024" t="inlineStr">
        <is>
          <t>check tdc for PE-1.28</t>
        </is>
      </c>
      <c r="AF1024" t="n">
        <v>2.0779304192</v>
      </c>
    </row>
    <row r="1025">
      <c r="A1025" s="56" t="n">
        <v>2410960</v>
      </c>
      <c r="B1025" s="56" t="inlineStr">
        <is>
          <t>TUB-O-C-AUT-AD-FC-31.75X3.375X04-05</t>
        </is>
      </c>
      <c r="C1025" s="56" t="inlineStr">
        <is>
          <t>480866710C</t>
        </is>
      </c>
      <c r="D1025" s="56" t="n"/>
      <c r="E1025" s="57" t="n">
        <v>117</v>
      </c>
      <c r="F1025" s="57" t="n">
        <v>0.117</v>
      </c>
      <c r="G1025" s="56" t="inlineStr">
        <is>
          <t>KG</t>
        </is>
      </c>
      <c r="H1025" s="56" t="inlineStr">
        <is>
          <t>R001</t>
        </is>
      </c>
      <c r="I1025" s="56" t="inlineStr">
        <is>
          <t>4731</t>
        </is>
      </c>
      <c r="J1025" s="56" t="n"/>
      <c r="K1025" s="56" t="n"/>
      <c r="L1025" s="56" t="n"/>
      <c r="M1025" s="56" t="n"/>
      <c r="N1025" s="56" t="inlineStr">
        <is>
          <t>ELKAYEM AUTO ANCILLARIES (PVT) LTD.</t>
        </is>
      </c>
      <c r="O1025" s="56" t="n">
        <v>86</v>
      </c>
      <c r="P1025" s="59" t="inlineStr">
        <is>
          <t>61-90</t>
        </is>
      </c>
      <c r="Q1025" s="56" t="inlineStr">
        <is>
          <t>Diwakar</t>
        </is>
      </c>
      <c r="U1025" s="585" t="n">
        <v>3677064</v>
      </c>
      <c r="V1025" t="n">
        <v>34.93</v>
      </c>
      <c r="W1025" t="n">
        <v>0</v>
      </c>
      <c r="X1025" t="n">
        <v>2</v>
      </c>
      <c r="Y1025" t="n">
        <v>1.28</v>
      </c>
      <c r="Z1025" t="inlineStr">
        <is>
          <t>GR1</t>
        </is>
      </c>
      <c r="AA1025" t="inlineStr">
        <is>
          <t>PE</t>
        </is>
      </c>
      <c r="AB1025" t="inlineStr">
        <is>
          <t>AW</t>
        </is>
      </c>
      <c r="AC1025" t="inlineStr">
        <is>
          <t>check tdc for PE</t>
        </is>
      </c>
      <c r="AD1025" t="inlineStr">
        <is>
          <t>CTL</t>
        </is>
      </c>
      <c r="AE1025" t="inlineStr">
        <is>
          <t>check tdc for PE-1.28</t>
        </is>
      </c>
      <c r="AF1025" t="n">
        <v>2.0779304192</v>
      </c>
    </row>
    <row r="1026">
      <c r="A1026" s="56" t="n">
        <v>2410960</v>
      </c>
      <c r="B1026" s="56" t="inlineStr">
        <is>
          <t>TUB-O-C-AUT-AD-FC-31.75X3.375X04-05</t>
        </is>
      </c>
      <c r="C1026" s="56" t="inlineStr">
        <is>
          <t>480866710B</t>
        </is>
      </c>
      <c r="D1026" s="56" t="n"/>
      <c r="E1026" s="57" t="n">
        <v>156.337</v>
      </c>
      <c r="F1026" s="57" t="n">
        <v>0.156337</v>
      </c>
      <c r="G1026" s="56" t="inlineStr">
        <is>
          <t>KG</t>
        </is>
      </c>
      <c r="H1026" s="56" t="inlineStr">
        <is>
          <t>R001</t>
        </is>
      </c>
      <c r="I1026" s="56" t="inlineStr">
        <is>
          <t>4731</t>
        </is>
      </c>
      <c r="J1026" s="56" t="n"/>
      <c r="K1026" s="56" t="n"/>
      <c r="L1026" s="56" t="n"/>
      <c r="M1026" s="56" t="n"/>
      <c r="N1026" s="56" t="inlineStr">
        <is>
          <t>ELKAYEM AUTO ANCILLARIES (PVT) LTD.</t>
        </is>
      </c>
      <c r="O1026" s="56" t="n">
        <v>32</v>
      </c>
      <c r="P1026" s="59" t="inlineStr">
        <is>
          <t>31-60</t>
        </is>
      </c>
      <c r="Q1026" s="56" t="inlineStr">
        <is>
          <t>Diwakar</t>
        </is>
      </c>
      <c r="U1026" s="585" t="n">
        <v>3500083</v>
      </c>
      <c r="V1026" t="n">
        <v>34.93</v>
      </c>
      <c r="W1026" t="n">
        <v>0</v>
      </c>
      <c r="X1026" t="n">
        <v>2</v>
      </c>
      <c r="Y1026" t="n">
        <v>6</v>
      </c>
      <c r="Z1026" t="inlineStr">
        <is>
          <t>TPT</t>
        </is>
      </c>
      <c r="AA1026" t="inlineStr">
        <is>
          <t>PE</t>
        </is>
      </c>
      <c r="AB1026" t="inlineStr">
        <is>
          <t>AW</t>
        </is>
      </c>
      <c r="AC1026" t="inlineStr">
        <is>
          <t>check tdc for PE</t>
        </is>
      </c>
      <c r="AD1026" t="inlineStr">
        <is>
          <t>LL</t>
        </is>
      </c>
      <c r="AE1026" t="inlineStr">
        <is>
          <t>check tdc for PE-1</t>
        </is>
      </c>
      <c r="AF1026" t="n">
        <v>1.62338314</v>
      </c>
    </row>
    <row r="1027">
      <c r="A1027" s="56" t="n">
        <v>2410960</v>
      </c>
      <c r="B1027" s="56" t="inlineStr">
        <is>
          <t>TUB-O-C-AUT-AD-FC-31.75X3.375X04-05</t>
        </is>
      </c>
      <c r="C1027" s="56" t="inlineStr">
        <is>
          <t>480566490C</t>
        </is>
      </c>
      <c r="D1027" s="56" t="n"/>
      <c r="E1027" s="57" t="n">
        <v>87</v>
      </c>
      <c r="F1027" s="57" t="n">
        <v>0.08699999999999999</v>
      </c>
      <c r="G1027" s="56" t="inlineStr">
        <is>
          <t>KG</t>
        </is>
      </c>
      <c r="H1027" s="56" t="inlineStr">
        <is>
          <t>R001</t>
        </is>
      </c>
      <c r="I1027" s="56" t="inlineStr">
        <is>
          <t>4731</t>
        </is>
      </c>
      <c r="J1027" s="56" t="n"/>
      <c r="K1027" s="56" t="n"/>
      <c r="L1027" s="56" t="n"/>
      <c r="M1027" s="56" t="n"/>
      <c r="N1027" s="56" t="inlineStr">
        <is>
          <t>ELKAYEM AUTO ANCILLARIES (PVT) LTD.</t>
        </is>
      </c>
      <c r="O1027" s="56" t="n">
        <v>135</v>
      </c>
      <c r="P1027" s="59" t="inlineStr">
        <is>
          <t>ABOVE 90</t>
        </is>
      </c>
      <c r="Q1027" s="56" t="inlineStr">
        <is>
          <t>Diwakar</t>
        </is>
      </c>
      <c r="U1027" s="585" t="n">
        <v>3517684</v>
      </c>
      <c r="V1027" t="n">
        <v>34.93</v>
      </c>
      <c r="W1027" t="n">
        <v>0</v>
      </c>
      <c r="X1027" t="n">
        <v>2</v>
      </c>
      <c r="Y1027" t="n">
        <v>6.2</v>
      </c>
      <c r="Z1027" t="inlineStr">
        <is>
          <t>HROP</t>
        </is>
      </c>
      <c r="AA1027" t="inlineStr">
        <is>
          <t>FC</t>
        </is>
      </c>
      <c r="AB1027" t="inlineStr">
        <is>
          <t>AW</t>
        </is>
      </c>
      <c r="AC1027" t="inlineStr">
        <is>
          <t>check tdc for thickness</t>
        </is>
      </c>
      <c r="AD1027" t="inlineStr">
        <is>
          <t>LL</t>
        </is>
      </c>
      <c r="AE1027" t="inlineStr">
        <is>
          <t>check tdc for thickness-1</t>
        </is>
      </c>
      <c r="AF1027" t="n">
        <v>1.62338314</v>
      </c>
    </row>
    <row r="1028">
      <c r="A1028" s="56" t="n">
        <v>2410960</v>
      </c>
      <c r="B1028" s="56" t="inlineStr">
        <is>
          <t>TUB-O-C-AUT-AD-FC-31.75X3.375X04-05</t>
        </is>
      </c>
      <c r="C1028" s="56" t="inlineStr">
        <is>
          <t>472065350C</t>
        </is>
      </c>
      <c r="D1028" s="56" t="n"/>
      <c r="E1028" s="57" t="n">
        <v>118</v>
      </c>
      <c r="F1028" s="57" t="n">
        <v>0.118</v>
      </c>
      <c r="G1028" s="56" t="inlineStr">
        <is>
          <t>KG</t>
        </is>
      </c>
      <c r="H1028" s="56" t="inlineStr">
        <is>
          <t>R001</t>
        </is>
      </c>
      <c r="I1028" s="56" t="inlineStr">
        <is>
          <t>4731</t>
        </is>
      </c>
      <c r="J1028" s="56" t="n"/>
      <c r="K1028" s="56" t="n"/>
      <c r="L1028" s="56" t="n"/>
      <c r="M1028" s="56" t="n"/>
      <c r="N1028" s="56" t="inlineStr">
        <is>
          <t>ELKAYEM AUTO ANCILLARIES (PVT) LTD.</t>
        </is>
      </c>
      <c r="O1028" s="56" t="n">
        <v>173</v>
      </c>
      <c r="P1028" s="59" t="inlineStr">
        <is>
          <t>ABOVE 90</t>
        </is>
      </c>
      <c r="Q1028" s="56" t="inlineStr">
        <is>
          <t>Diwakar</t>
        </is>
      </c>
      <c r="U1028" s="585" t="n">
        <v>3910451</v>
      </c>
      <c r="V1028" t="n">
        <v>34.93</v>
      </c>
      <c r="W1028" t="n">
        <v>0</v>
      </c>
      <c r="X1028" t="n">
        <v>2.3</v>
      </c>
      <c r="Y1028" t="n">
        <v>0.298</v>
      </c>
      <c r="Z1028" t="inlineStr">
        <is>
          <t>SAE1020</t>
        </is>
      </c>
      <c r="AA1028" t="inlineStr">
        <is>
          <t>FC</t>
        </is>
      </c>
      <c r="AB1028" t="inlineStr">
        <is>
          <t>AW</t>
        </is>
      </c>
      <c r="AC1028" t="inlineStr">
        <is>
          <t>34.93-0-2.3-ERW 2-FC-Ampere</t>
        </is>
      </c>
      <c r="AD1028" t="inlineStr">
        <is>
          <t>CTL</t>
        </is>
      </c>
      <c r="AE1028" t="inlineStr">
        <is>
          <t>34.93-0-2.3-ERW 2-FC-Ampere-0.298</t>
        </is>
      </c>
      <c r="AF1028" t="n">
        <v>0.551265074698</v>
      </c>
    </row>
    <row r="1029">
      <c r="A1029" s="56" t="n">
        <v>2410960</v>
      </c>
      <c r="B1029" s="56" t="inlineStr">
        <is>
          <t>TUB-O-C-AUT-AD-FC-31.75X3.375X04-05</t>
        </is>
      </c>
      <c r="C1029" s="56" t="inlineStr">
        <is>
          <t>472065350B</t>
        </is>
      </c>
      <c r="D1029" s="56" t="n"/>
      <c r="E1029" s="57" t="n">
        <v>442.541</v>
      </c>
      <c r="F1029" s="57" t="n">
        <v>0.442541</v>
      </c>
      <c r="G1029" s="56" t="inlineStr">
        <is>
          <t>KG</t>
        </is>
      </c>
      <c r="H1029" s="56" t="inlineStr">
        <is>
          <t>R001</t>
        </is>
      </c>
      <c r="I1029" s="56" t="inlineStr">
        <is>
          <t>4731</t>
        </is>
      </c>
      <c r="J1029" s="56" t="n"/>
      <c r="K1029" s="56" t="n"/>
      <c r="L1029" s="56" t="n"/>
      <c r="M1029" s="56" t="n"/>
      <c r="N1029" s="56" t="inlineStr">
        <is>
          <t>ELKAYEM AUTO ANCILLARIES (PVT) LTD.</t>
        </is>
      </c>
      <c r="O1029" s="56" t="n">
        <v>168</v>
      </c>
      <c r="P1029" s="59" t="inlineStr">
        <is>
          <t>ABOVE 90</t>
        </is>
      </c>
      <c r="Q1029" s="56" t="inlineStr">
        <is>
          <t>Diwakar</t>
        </is>
      </c>
      <c r="U1029" s="585" t="n">
        <v>3453789</v>
      </c>
      <c r="V1029" t="n">
        <v>34.93</v>
      </c>
      <c r="W1029" t="n">
        <v>0</v>
      </c>
      <c r="X1029" t="n">
        <v>2.3</v>
      </c>
      <c r="Y1029" t="n">
        <v>0.333</v>
      </c>
      <c r="Z1029" t="inlineStr"/>
      <c r="AA1029" t="inlineStr">
        <is>
          <t>FC</t>
        </is>
      </c>
      <c r="AB1029" t="inlineStr">
        <is>
          <t>AW</t>
        </is>
      </c>
      <c r="AC1029" t="inlineStr">
        <is>
          <t>34.93-0-2.3-ERW 2-FC-Ampere</t>
        </is>
      </c>
      <c r="AD1029" t="inlineStr">
        <is>
          <t>CTL</t>
        </is>
      </c>
      <c r="AE1029" t="inlineStr">
        <is>
          <t>34.93-0-2.3-ERW 2-FC-Ampere-0.333</t>
        </is>
      </c>
      <c r="AF1029" t="n">
        <v>0.6160109727330001</v>
      </c>
    </row>
    <row r="1030">
      <c r="A1030" s="56" t="n">
        <v>2410960</v>
      </c>
      <c r="B1030" s="56" t="inlineStr">
        <is>
          <t>TUB-O-C-AUT-AD-FC-31.75X3.375X04-05</t>
        </is>
      </c>
      <c r="C1030" s="56" t="inlineStr">
        <is>
          <t>471865240C</t>
        </is>
      </c>
      <c r="D1030" s="56" t="n"/>
      <c r="E1030" s="57" t="n">
        <v>140</v>
      </c>
      <c r="F1030" s="57" t="n">
        <v>0.14</v>
      </c>
      <c r="G1030" s="56" t="inlineStr">
        <is>
          <t>KG</t>
        </is>
      </c>
      <c r="H1030" s="56" t="inlineStr">
        <is>
          <t>R001</t>
        </is>
      </c>
      <c r="I1030" s="56" t="inlineStr">
        <is>
          <t>4731</t>
        </is>
      </c>
      <c r="J1030" s="56" t="n"/>
      <c r="K1030" s="56" t="n"/>
      <c r="L1030" s="56" t="n"/>
      <c r="M1030" s="56" t="n"/>
      <c r="N1030" s="56" t="inlineStr">
        <is>
          <t>ELKAYEM AUTO ANCILLARIES (PVT) LTD.</t>
        </is>
      </c>
      <c r="O1030" s="56" t="n">
        <v>173</v>
      </c>
      <c r="P1030" s="59" t="inlineStr">
        <is>
          <t>ABOVE 90</t>
        </is>
      </c>
      <c r="Q1030" s="56" t="inlineStr">
        <is>
          <t>Diwakar</t>
        </is>
      </c>
      <c r="U1030" t="n">
        <v>3729146</v>
      </c>
      <c r="V1030" t="n">
        <v>34.93</v>
      </c>
      <c r="W1030" t="n">
        <v>0</v>
      </c>
      <c r="X1030" t="n">
        <v>2.3</v>
      </c>
      <c r="Y1030" t="n">
        <v>0.333</v>
      </c>
      <c r="Z1030" t="inlineStr">
        <is>
          <t>GR1</t>
        </is>
      </c>
      <c r="AA1030" t="inlineStr">
        <is>
          <t>FC</t>
        </is>
      </c>
      <c r="AB1030" t="inlineStr">
        <is>
          <t>AW</t>
        </is>
      </c>
      <c r="AC1030" s="45" t="inlineStr">
        <is>
          <t>34.93-0-2.3-ERW 2-FC-Ampere</t>
        </is>
      </c>
      <c r="AD1030" t="inlineStr">
        <is>
          <t>CTL</t>
        </is>
      </c>
      <c r="AE1030" t="inlineStr">
        <is>
          <t>34.93-0-2.3-ERW 2-FC-Ampere-0.333</t>
        </is>
      </c>
      <c r="AF1030" t="n">
        <v>0.6160109727330001</v>
      </c>
    </row>
    <row r="1031">
      <c r="A1031" s="56" t="n">
        <v>2410988</v>
      </c>
      <c r="B1031" s="56" t="inlineStr">
        <is>
          <t>TUB-O-C-AUT-AD-FC-15.00X2.300X04-05</t>
        </is>
      </c>
      <c r="C1031" s="56" t="inlineStr">
        <is>
          <t>480266340C</t>
        </is>
      </c>
      <c r="D1031" s="56" t="n"/>
      <c r="E1031" s="57" t="n">
        <v>60</v>
      </c>
      <c r="F1031" s="57" t="n">
        <v>0.06</v>
      </c>
      <c r="G1031" s="56" t="inlineStr">
        <is>
          <t>KG</t>
        </is>
      </c>
      <c r="H1031" s="56" t="inlineStr">
        <is>
          <t>TF01</t>
        </is>
      </c>
      <c r="I1031" s="56" t="inlineStr">
        <is>
          <t>4731</t>
        </is>
      </c>
      <c r="J1031" s="56" t="n"/>
      <c r="K1031" s="56" t="n"/>
      <c r="L1031" s="56" t="n"/>
      <c r="M1031" s="56" t="n"/>
      <c r="N1031" s="56" t="inlineStr">
        <is>
          <t>FREE STOCK</t>
        </is>
      </c>
      <c r="O1031" s="56" t="n">
        <v>153</v>
      </c>
      <c r="P1031" s="59" t="inlineStr">
        <is>
          <t>ABOVE 90</t>
        </is>
      </c>
      <c r="Q1031" s="56" t="inlineStr">
        <is>
          <t>Free Stock</t>
        </is>
      </c>
      <c r="U1031" s="585" t="n">
        <v>3911992</v>
      </c>
      <c r="V1031" t="n">
        <v>34.93</v>
      </c>
      <c r="W1031" t="n">
        <v>0</v>
      </c>
      <c r="X1031" t="n">
        <v>2.3</v>
      </c>
      <c r="Y1031" t="n">
        <v>0.334</v>
      </c>
      <c r="Z1031" t="inlineStr">
        <is>
          <t>SAE1020</t>
        </is>
      </c>
      <c r="AA1031" t="inlineStr">
        <is>
          <t>FC</t>
        </is>
      </c>
      <c r="AB1031" t="inlineStr">
        <is>
          <t>AW</t>
        </is>
      </c>
      <c r="AC1031" t="inlineStr">
        <is>
          <t>34.93-0-2.3-ERW 2-FC-Ampere</t>
        </is>
      </c>
      <c r="AD1031" t="inlineStr">
        <is>
          <t>CTL</t>
        </is>
      </c>
      <c r="AE1031" t="inlineStr">
        <is>
          <t>34.93-0-2.3-ERW 2-FC-Ampere-0.334</t>
        </is>
      </c>
      <c r="AF1031" t="n">
        <v>0.6178608555340001</v>
      </c>
    </row>
    <row r="1032">
      <c r="A1032" s="56" t="n">
        <v>2410988</v>
      </c>
      <c r="B1032" s="56" t="inlineStr">
        <is>
          <t>TUB-O-C-AUT-AD-FC-15.00X2.300X04-05</t>
        </is>
      </c>
      <c r="C1032" s="56" t="inlineStr">
        <is>
          <t>4717CK2030</t>
        </is>
      </c>
      <c r="D1032" s="56" t="n"/>
      <c r="E1032" s="57" t="n">
        <v>68.16</v>
      </c>
      <c r="F1032" s="57" t="n">
        <v>0.06816</v>
      </c>
      <c r="G1032" s="56" t="inlineStr">
        <is>
          <t>KG</t>
        </is>
      </c>
      <c r="H1032" s="56" t="inlineStr">
        <is>
          <t>TF01</t>
        </is>
      </c>
      <c r="I1032" s="56" t="inlineStr">
        <is>
          <t>4731</t>
        </is>
      </c>
      <c r="J1032" s="56" t="n"/>
      <c r="K1032" s="56" t="n"/>
      <c r="L1032" s="56" t="n"/>
      <c r="M1032" s="56" t="n"/>
      <c r="N1032" s="56" t="inlineStr">
        <is>
          <t>FREE STOCK</t>
        </is>
      </c>
      <c r="O1032" s="56" t="n">
        <v>130</v>
      </c>
      <c r="P1032" s="59" t="inlineStr">
        <is>
          <t>ABOVE 90</t>
        </is>
      </c>
      <c r="Q1032" s="56" t="inlineStr">
        <is>
          <t>Free Stock</t>
        </is>
      </c>
      <c r="U1032" t="n">
        <v>4183777</v>
      </c>
      <c r="V1032" t="n">
        <v>34.93</v>
      </c>
      <c r="W1032" t="n">
        <v>0</v>
      </c>
      <c r="X1032" t="n">
        <v>2.3</v>
      </c>
      <c r="Y1032" t="n">
        <v>0.856</v>
      </c>
      <c r="Z1032" t="inlineStr">
        <is>
          <t>SAE1020</t>
        </is>
      </c>
      <c r="AA1032" t="inlineStr">
        <is>
          <t>FC</t>
        </is>
      </c>
      <c r="AB1032" t="inlineStr">
        <is>
          <t>AW</t>
        </is>
      </c>
      <c r="AC1032" t="inlineStr">
        <is>
          <t>34.93-0-2.3-ERW 2-FC-Ampere</t>
        </is>
      </c>
      <c r="AD1032" t="inlineStr">
        <is>
          <t>CTL</t>
        </is>
      </c>
      <c r="AE1032" t="inlineStr">
        <is>
          <t>34.93-0-2.3-ERW 2-FC-Ampere-0.856</t>
        </is>
      </c>
      <c r="AF1032" t="n">
        <v>1.583499677656</v>
      </c>
    </row>
    <row r="1033">
      <c r="A1033" s="56" t="n">
        <v>2410988</v>
      </c>
      <c r="B1033" s="56" t="inlineStr">
        <is>
          <t>TUB-O-C-AUT-AD-FC-15.00X2.300X04-05</t>
        </is>
      </c>
      <c r="C1033" s="56" t="inlineStr">
        <is>
          <t>4717CK2020</t>
        </is>
      </c>
      <c r="D1033" s="56" t="n"/>
      <c r="E1033" s="57" t="n">
        <v>768.244</v>
      </c>
      <c r="F1033" s="57" t="n">
        <v>0.768244</v>
      </c>
      <c r="G1033" s="56" t="inlineStr">
        <is>
          <t>KG</t>
        </is>
      </c>
      <c r="H1033" s="56" t="inlineStr">
        <is>
          <t>TF01</t>
        </is>
      </c>
      <c r="I1033" s="56" t="inlineStr">
        <is>
          <t>4731</t>
        </is>
      </c>
      <c r="J1033" s="56" t="n"/>
      <c r="K1033" s="56" t="n"/>
      <c r="L1033" s="56" t="n"/>
      <c r="M1033" s="56" t="n"/>
      <c r="N1033" s="56" t="inlineStr">
        <is>
          <t>FREE STOCK</t>
        </is>
      </c>
      <c r="O1033" s="56" t="n">
        <v>119</v>
      </c>
      <c r="P1033" s="59" t="inlineStr">
        <is>
          <t>ABOVE 90</t>
        </is>
      </c>
      <c r="Q1033" s="56" t="inlineStr">
        <is>
          <t>Free Stock</t>
        </is>
      </c>
      <c r="U1033" t="n">
        <v>4071121</v>
      </c>
      <c r="V1033" t="n">
        <v>34.93</v>
      </c>
      <c r="W1033" t="n">
        <v>0</v>
      </c>
      <c r="X1033" t="n">
        <v>2.3</v>
      </c>
      <c r="Y1033" t="n">
        <v>0.865</v>
      </c>
      <c r="Z1033" t="inlineStr">
        <is>
          <t>SAE1020</t>
        </is>
      </c>
      <c r="AA1033" t="inlineStr">
        <is>
          <t>FC</t>
        </is>
      </c>
      <c r="AB1033" t="inlineStr">
        <is>
          <t>AW</t>
        </is>
      </c>
      <c r="AC1033" t="inlineStr">
        <is>
          <t>34.93-0-2.3-ERW 2-FC-Ampere</t>
        </is>
      </c>
      <c r="AD1033" t="inlineStr">
        <is>
          <t>CTL</t>
        </is>
      </c>
      <c r="AE1033" t="inlineStr">
        <is>
          <t>34.93-0-2.3-ERW 2-FC-Ampere-0.865</t>
        </is>
      </c>
      <c r="AF1033" t="n">
        <v>1.600148622865</v>
      </c>
    </row>
    <row r="1034">
      <c r="A1034" s="56" t="n">
        <v>2410988</v>
      </c>
      <c r="B1034" s="56" t="inlineStr">
        <is>
          <t>TUB-O-C-AUT-AD-FC-15.00X2.300X04-05</t>
        </is>
      </c>
      <c r="C1034" s="56" t="inlineStr">
        <is>
          <t>4717BK2050</t>
        </is>
      </c>
      <c r="D1034" s="56" t="n"/>
      <c r="E1034" s="57" t="n">
        <v>1575</v>
      </c>
      <c r="F1034" s="57" t="n">
        <v>1.575</v>
      </c>
      <c r="G1034" s="56" t="inlineStr">
        <is>
          <t>KG</t>
        </is>
      </c>
      <c r="H1034" s="56" t="inlineStr">
        <is>
          <t>TF01</t>
        </is>
      </c>
      <c r="I1034" s="56" t="inlineStr">
        <is>
          <t>4731</t>
        </is>
      </c>
      <c r="J1034" s="56" t="n"/>
      <c r="K1034" s="56" t="n"/>
      <c r="L1034" s="56" t="n"/>
      <c r="M1034" s="56" t="n"/>
      <c r="N1034" s="56" t="inlineStr">
        <is>
          <t>FREE STOCK</t>
        </is>
      </c>
      <c r="O1034" s="56" t="n">
        <v>147</v>
      </c>
      <c r="P1034" s="59" t="inlineStr">
        <is>
          <t>ABOVE 90</t>
        </is>
      </c>
      <c r="Q1034" s="56" t="inlineStr">
        <is>
          <t>Free Stock</t>
        </is>
      </c>
      <c r="U1034" t="n">
        <v>4010436</v>
      </c>
      <c r="V1034" t="n">
        <v>34.93</v>
      </c>
      <c r="W1034" t="n">
        <v>0</v>
      </c>
      <c r="X1034" t="n">
        <v>2.3</v>
      </c>
      <c r="Y1034" t="n">
        <v>1.1</v>
      </c>
      <c r="Z1034" t="inlineStr">
        <is>
          <t>SAE1020</t>
        </is>
      </c>
      <c r="AA1034" t="inlineStr">
        <is>
          <t>AW</t>
        </is>
      </c>
      <c r="AB1034" t="inlineStr">
        <is>
          <t>FC</t>
        </is>
      </c>
      <c r="AC1034" t="inlineStr">
        <is>
          <t>34.93-0-2.3-ERW 2-FC-Ampere</t>
        </is>
      </c>
      <c r="AD1034" t="inlineStr">
        <is>
          <t>CTL</t>
        </is>
      </c>
      <c r="AE1034" t="inlineStr">
        <is>
          <t>34.93-0-2.3-ERW 2-FC-Ampere-1.1</t>
        </is>
      </c>
      <c r="AF1034" t="n">
        <v>2.0348710811</v>
      </c>
    </row>
    <row r="1035">
      <c r="A1035" s="56" t="n">
        <v>2410995</v>
      </c>
      <c r="B1035" s="56" t="inlineStr">
        <is>
          <t>TUB-O-C-AUT-AD-FC-16.10X2.950X04-05</t>
        </is>
      </c>
      <c r="C1035" s="56" t="inlineStr">
        <is>
          <t>4A0761400D</t>
        </is>
      </c>
      <c r="D1035" s="56" t="n"/>
      <c r="E1035" s="57" t="n">
        <v>132</v>
      </c>
      <c r="F1035" s="57" t="n">
        <v>0.132</v>
      </c>
      <c r="G1035" s="56" t="inlineStr">
        <is>
          <t>KG</t>
        </is>
      </c>
      <c r="H1035" s="56" t="inlineStr">
        <is>
          <t>TF01</t>
        </is>
      </c>
      <c r="I1035" s="56" t="inlineStr">
        <is>
          <t>4731</t>
        </is>
      </c>
      <c r="J1035" s="56" t="n"/>
      <c r="K1035" s="56" t="n"/>
      <c r="L1035" s="56" t="n"/>
      <c r="M1035" s="56" t="n"/>
      <c r="N1035" s="56" t="inlineStr">
        <is>
          <t>FREE STOCK</t>
        </is>
      </c>
      <c r="O1035" s="56" t="n">
        <v>88</v>
      </c>
      <c r="P1035" s="59" t="inlineStr">
        <is>
          <t>61-90</t>
        </is>
      </c>
      <c r="Q1035" s="56" t="inlineStr">
        <is>
          <t>Free Stock</t>
        </is>
      </c>
      <c r="U1035" s="585" t="n">
        <v>3454801</v>
      </c>
      <c r="V1035" t="n">
        <v>34.93</v>
      </c>
      <c r="W1035" t="n">
        <v>0</v>
      </c>
      <c r="X1035" t="n">
        <v>2.3</v>
      </c>
      <c r="Y1035" t="n">
        <v>1.5</v>
      </c>
      <c r="Z1035" t="inlineStr">
        <is>
          <t>SAE1020</t>
        </is>
      </c>
      <c r="AA1035" t="inlineStr">
        <is>
          <t>FC</t>
        </is>
      </c>
      <c r="AB1035" t="inlineStr">
        <is>
          <t>AW</t>
        </is>
      </c>
      <c r="AC1035" t="inlineStr">
        <is>
          <t>34.93-0-2.3-ERW 2-FC-Ampere</t>
        </is>
      </c>
      <c r="AD1035" t="inlineStr">
        <is>
          <t>CTL</t>
        </is>
      </c>
      <c r="AE1035" t="inlineStr">
        <is>
          <t>34.93-0-2.3-ERW 2-FC-Ampere-1.5</t>
        </is>
      </c>
      <c r="AF1035" t="n">
        <v>2.7748242015</v>
      </c>
    </row>
    <row r="1036">
      <c r="A1036" s="56" t="n">
        <v>2410995</v>
      </c>
      <c r="B1036" s="56" t="inlineStr">
        <is>
          <t>TUB-O-C-AUT-AD-FC-16.10X2.950X04-05</t>
        </is>
      </c>
      <c r="C1036" s="56" t="inlineStr">
        <is>
          <t>4A0761400C</t>
        </is>
      </c>
      <c r="D1036" s="56" t="n"/>
      <c r="E1036" s="57" t="n">
        <v>116</v>
      </c>
      <c r="F1036" s="57" t="n">
        <v>0.116</v>
      </c>
      <c r="G1036" s="56" t="inlineStr">
        <is>
          <t>KG</t>
        </is>
      </c>
      <c r="H1036" s="56" t="inlineStr">
        <is>
          <t>TF01</t>
        </is>
      </c>
      <c r="I1036" s="56" t="inlineStr">
        <is>
          <t>4731</t>
        </is>
      </c>
      <c r="J1036" s="56" t="n"/>
      <c r="K1036" s="56" t="n"/>
      <c r="L1036" s="56" t="n"/>
      <c r="M1036" s="56" t="n"/>
      <c r="N1036" s="56" t="inlineStr">
        <is>
          <t>FREE STOCK</t>
        </is>
      </c>
      <c r="O1036" s="56" t="n">
        <v>88</v>
      </c>
      <c r="P1036" s="59" t="inlineStr">
        <is>
          <t>61-90</t>
        </is>
      </c>
      <c r="Q1036" s="56" t="inlineStr">
        <is>
          <t>Free Stock</t>
        </is>
      </c>
      <c r="U1036" s="585" t="n">
        <v>3911993</v>
      </c>
      <c r="V1036" t="n">
        <v>34.93</v>
      </c>
      <c r="W1036" t="n">
        <v>0</v>
      </c>
      <c r="X1036" t="n">
        <v>2.3</v>
      </c>
      <c r="Y1036" t="n">
        <v>1.501</v>
      </c>
      <c r="Z1036" t="inlineStr">
        <is>
          <t>SAE1020</t>
        </is>
      </c>
      <c r="AA1036" t="inlineStr">
        <is>
          <t>FC</t>
        </is>
      </c>
      <c r="AB1036" t="inlineStr">
        <is>
          <t>AW</t>
        </is>
      </c>
      <c r="AC1036" t="inlineStr">
        <is>
          <t>34.93-0-2.3-ERW 2-FC-Ampere</t>
        </is>
      </c>
      <c r="AD1036" t="inlineStr">
        <is>
          <t>CTL</t>
        </is>
      </c>
      <c r="AE1036" t="inlineStr">
        <is>
          <t>34.93-0-2.3-ERW 2-FC-Ampere-1.501</t>
        </is>
      </c>
      <c r="AF1036" t="n">
        <v>2.776674084301</v>
      </c>
    </row>
    <row r="1037">
      <c r="A1037" s="56" t="n">
        <v>2410995</v>
      </c>
      <c r="B1037" s="56" t="inlineStr">
        <is>
          <t>TUB-O-C-AUT-AD-FC-16.10X2.950X04-05</t>
        </is>
      </c>
      <c r="C1037" s="56" t="inlineStr">
        <is>
          <t>4A0761400B</t>
        </is>
      </c>
      <c r="D1037" s="56" t="n"/>
      <c r="E1037" s="57" t="n">
        <v>653</v>
      </c>
      <c r="F1037" s="57" t="n">
        <v>0.653</v>
      </c>
      <c r="G1037" s="56" t="inlineStr">
        <is>
          <t>KG</t>
        </is>
      </c>
      <c r="H1037" s="56" t="inlineStr">
        <is>
          <t>TF01</t>
        </is>
      </c>
      <c r="I1037" s="56" t="inlineStr">
        <is>
          <t>4731</t>
        </is>
      </c>
      <c r="J1037" s="56" t="n"/>
      <c r="K1037" s="56" t="n"/>
      <c r="L1037" s="56" t="n"/>
      <c r="M1037" s="56" t="n"/>
      <c r="N1037" s="56" t="inlineStr">
        <is>
          <t>FREE STOCK</t>
        </is>
      </c>
      <c r="O1037" s="56" t="n">
        <v>88</v>
      </c>
      <c r="P1037" s="59" t="inlineStr">
        <is>
          <t>61-90</t>
        </is>
      </c>
      <c r="Q1037" s="56" t="inlineStr">
        <is>
          <t>Free Stock</t>
        </is>
      </c>
      <c r="U1037" s="585" t="n">
        <v>3636656</v>
      </c>
      <c r="V1037" t="n">
        <v>34.93</v>
      </c>
      <c r="W1037" t="n">
        <v>0</v>
      </c>
      <c r="X1037" t="n">
        <v>2.3</v>
      </c>
      <c r="Y1037" t="n">
        <v>5.2</v>
      </c>
      <c r="Z1037" t="inlineStr"/>
      <c r="AA1037" t="inlineStr">
        <is>
          <t>FC</t>
        </is>
      </c>
      <c r="AB1037" t="inlineStr">
        <is>
          <t>AW</t>
        </is>
      </c>
      <c r="AC1037" t="inlineStr">
        <is>
          <t>34.93-0-2.3-ERW 2-FC-Ampere</t>
        </is>
      </c>
      <c r="AD1037" t="inlineStr">
        <is>
          <t>LL</t>
        </is>
      </c>
      <c r="AE1037" t="inlineStr">
        <is>
          <t>34.93-0-2.3-ERW 2-FC-Ampere-1</t>
        </is>
      </c>
      <c r="AF1037" t="n">
        <v>1.849882801</v>
      </c>
    </row>
    <row r="1038">
      <c r="A1038" s="56" t="n">
        <v>2410995</v>
      </c>
      <c r="B1038" s="56" t="inlineStr">
        <is>
          <t>TUB-O-C-AUT-AD-FC-16.10X2.950X04-05</t>
        </is>
      </c>
      <c r="C1038" s="56" t="inlineStr">
        <is>
          <t>4A0761400A</t>
        </is>
      </c>
      <c r="D1038" s="56" t="n"/>
      <c r="E1038" s="57" t="n">
        <v>780</v>
      </c>
      <c r="F1038" s="57" t="n">
        <v>0.78</v>
      </c>
      <c r="G1038" s="56" t="inlineStr">
        <is>
          <t>KG</t>
        </is>
      </c>
      <c r="H1038" s="56" t="inlineStr">
        <is>
          <t>TF01</t>
        </is>
      </c>
      <c r="I1038" s="56" t="inlineStr">
        <is>
          <t>4731</t>
        </is>
      </c>
      <c r="J1038" s="56" t="n"/>
      <c r="K1038" s="56" t="n"/>
      <c r="L1038" s="56" t="n"/>
      <c r="M1038" s="56" t="n"/>
      <c r="N1038" s="56" t="inlineStr">
        <is>
          <t>FREE STOCK</t>
        </is>
      </c>
      <c r="O1038" s="56" t="n">
        <v>88</v>
      </c>
      <c r="P1038" s="59" t="inlineStr">
        <is>
          <t>61-90</t>
        </is>
      </c>
      <c r="Q1038" s="56" t="inlineStr">
        <is>
          <t>Free Stock</t>
        </is>
      </c>
      <c r="U1038" s="585" t="n">
        <v>111121233</v>
      </c>
      <c r="V1038" t="n">
        <v>34.93</v>
      </c>
      <c r="W1038" t="n">
        <v>0</v>
      </c>
      <c r="X1038" t="n">
        <v>2.3</v>
      </c>
      <c r="Y1038" t="n">
        <v>6.1</v>
      </c>
      <c r="Z1038" t="inlineStr">
        <is>
          <t>SAE1020</t>
        </is>
      </c>
      <c r="AA1038" t="inlineStr">
        <is>
          <t>FC</t>
        </is>
      </c>
      <c r="AB1038" t="inlineStr">
        <is>
          <t>AW</t>
        </is>
      </c>
      <c r="AC1038" t="inlineStr">
        <is>
          <t>34.93-0-2.3-ERW 2-FC-Ampere</t>
        </is>
      </c>
      <c r="AD1038" t="inlineStr">
        <is>
          <t>LL</t>
        </is>
      </c>
      <c r="AE1038" t="inlineStr">
        <is>
          <t>34.93-0-2.3-ERW 2-FC-Ampere-1</t>
        </is>
      </c>
      <c r="AF1038" t="n">
        <v>1.849882801</v>
      </c>
    </row>
    <row r="1039">
      <c r="A1039" s="56" t="n">
        <v>2410995</v>
      </c>
      <c r="B1039" s="56" t="inlineStr">
        <is>
          <t>TUB-O-C-AUT-AD-FC-16.10X2.950X04-05</t>
        </is>
      </c>
      <c r="C1039" s="56" t="inlineStr">
        <is>
          <t>4A0761350B</t>
        </is>
      </c>
      <c r="D1039" s="56" t="n"/>
      <c r="E1039" s="57" t="n">
        <v>511.302</v>
      </c>
      <c r="F1039" s="57" t="n">
        <v>0.511302</v>
      </c>
      <c r="G1039" s="56" t="inlineStr">
        <is>
          <t>KG</t>
        </is>
      </c>
      <c r="H1039" s="56" t="inlineStr">
        <is>
          <t>TF01</t>
        </is>
      </c>
      <c r="I1039" s="56" t="inlineStr">
        <is>
          <t>4731</t>
        </is>
      </c>
      <c r="J1039" s="56" t="n"/>
      <c r="K1039" s="56" t="n"/>
      <c r="L1039" s="56" t="n"/>
      <c r="M1039" s="56" t="n"/>
      <c r="N1039" s="56" t="inlineStr">
        <is>
          <t>FREE STOCK</t>
        </is>
      </c>
      <c r="O1039" s="56" t="n">
        <v>82</v>
      </c>
      <c r="P1039" s="59" t="inlineStr">
        <is>
          <t>61-90</t>
        </is>
      </c>
      <c r="Q1039" s="56" t="inlineStr">
        <is>
          <t>Free Stock</t>
        </is>
      </c>
      <c r="U1039" s="585" t="n">
        <v>1940715</v>
      </c>
      <c r="V1039" t="n">
        <v>34.93</v>
      </c>
      <c r="W1039" t="n">
        <v>0</v>
      </c>
      <c r="X1039" t="n">
        <v>2.5</v>
      </c>
      <c r="Y1039" t="n">
        <v>1.721</v>
      </c>
      <c r="Z1039" t="inlineStr">
        <is>
          <t>GR2 SPL</t>
        </is>
      </c>
      <c r="AA1039" t="inlineStr">
        <is>
          <t>FC</t>
        </is>
      </c>
      <c r="AB1039" t="inlineStr">
        <is>
          <t>AW</t>
        </is>
      </c>
      <c r="AC1039" t="inlineStr">
        <is>
          <t>34.93-0-2.6-ERW 1-FC</t>
        </is>
      </c>
      <c r="AD1039" t="inlineStr">
        <is>
          <t>CTL</t>
        </is>
      </c>
      <c r="AE1039" t="inlineStr">
        <is>
          <t>34.93-0-2.6-ERW 1-FC-1.721</t>
        </is>
      </c>
      <c r="AF1039" t="n">
        <v>3.439276818675001</v>
      </c>
    </row>
    <row r="1040">
      <c r="A1040" s="56" t="n">
        <v>2410996</v>
      </c>
      <c r="B1040" s="56" t="inlineStr">
        <is>
          <t>TUB-O-C-AUT-AD-FC-16.10X2.700X04-05</t>
        </is>
      </c>
      <c r="C1040" s="56" t="inlineStr">
        <is>
          <t>4B3065190B</t>
        </is>
      </c>
      <c r="D1040" s="56" t="n"/>
      <c r="E1040" s="57" t="n">
        <v>732</v>
      </c>
      <c r="F1040" s="57" t="n">
        <v>0.732</v>
      </c>
      <c r="G1040" s="56" t="inlineStr">
        <is>
          <t>KG</t>
        </is>
      </c>
      <c r="H1040" s="56" t="inlineStr">
        <is>
          <t>TF01</t>
        </is>
      </c>
      <c r="I1040" s="56" t="inlineStr">
        <is>
          <t>4731</t>
        </is>
      </c>
      <c r="J1040" s="56" t="n"/>
      <c r="K1040" s="56" t="n"/>
      <c r="L1040" s="56" t="n"/>
      <c r="M1040" s="56" t="n"/>
      <c r="N1040" s="56" t="inlineStr">
        <is>
          <t>ELKAYEM AUTO ANCILLARIES (PVT) LTD.</t>
        </is>
      </c>
      <c r="O1040" s="56" t="n">
        <v>32</v>
      </c>
      <c r="P1040" s="59" t="inlineStr">
        <is>
          <t>31-60</t>
        </is>
      </c>
      <c r="Q1040" s="56" t="inlineStr">
        <is>
          <t>Diwakar</t>
        </is>
      </c>
      <c r="U1040" s="585" t="n">
        <v>1155164</v>
      </c>
      <c r="V1040" t="n">
        <v>34.93</v>
      </c>
      <c r="W1040" t="n">
        <v>0</v>
      </c>
      <c r="X1040" t="n">
        <v>2.5</v>
      </c>
      <c r="Y1040" t="n">
        <v>1.723</v>
      </c>
      <c r="Z1040" t="inlineStr"/>
      <c r="AA1040" t="inlineStr">
        <is>
          <t>PE</t>
        </is>
      </c>
      <c r="AB1040" t="inlineStr">
        <is>
          <t>NR</t>
        </is>
      </c>
      <c r="AC1040" t="inlineStr">
        <is>
          <t>34.93-0-2.6-ERW 1-FC</t>
        </is>
      </c>
      <c r="AD1040" t="inlineStr">
        <is>
          <t>CTL</t>
        </is>
      </c>
      <c r="AE1040" t="inlineStr">
        <is>
          <t>34.93-0-2.6-ERW 1-FC-1.723</t>
        </is>
      </c>
      <c r="AF1040" t="n">
        <v>3.443273654025</v>
      </c>
    </row>
    <row r="1041">
      <c r="A1041" s="56" t="n">
        <v>2410996</v>
      </c>
      <c r="B1041" s="56" t="inlineStr">
        <is>
          <t>TUB-O-C-AUT-AD-FC-16.10X2.700X04-05</t>
        </is>
      </c>
      <c r="C1041" s="56" t="inlineStr">
        <is>
          <t>4B3065190A</t>
        </is>
      </c>
      <c r="D1041" s="56" t="n"/>
      <c r="E1041" s="57" t="n">
        <v>716</v>
      </c>
      <c r="F1041" s="57" t="n">
        <v>0.716</v>
      </c>
      <c r="G1041" s="56" t="inlineStr">
        <is>
          <t>KG</t>
        </is>
      </c>
      <c r="H1041" s="56" t="inlineStr">
        <is>
          <t>TF01</t>
        </is>
      </c>
      <c r="I1041" s="56" t="inlineStr">
        <is>
          <t>4731</t>
        </is>
      </c>
      <c r="J1041" s="56" t="n"/>
      <c r="K1041" s="56" t="n"/>
      <c r="L1041" s="56" t="n"/>
      <c r="M1041" s="56" t="n"/>
      <c r="N1041" s="56" t="inlineStr">
        <is>
          <t>ELKAYEM AUTO ANCILLARIES (PVT) LTD.</t>
        </is>
      </c>
      <c r="O1041" s="56" t="n">
        <v>32</v>
      </c>
      <c r="P1041" s="59" t="inlineStr">
        <is>
          <t>31-60</t>
        </is>
      </c>
      <c r="Q1041" s="56" t="inlineStr">
        <is>
          <t>Diwakar</t>
        </is>
      </c>
      <c r="U1041" t="n">
        <v>3784465</v>
      </c>
      <c r="V1041" t="n">
        <v>34.93</v>
      </c>
      <c r="W1041" t="n">
        <v>0</v>
      </c>
      <c r="X1041" t="n">
        <v>2.5</v>
      </c>
      <c r="Y1041" t="n">
        <v>1.723</v>
      </c>
      <c r="Z1041" t="inlineStr">
        <is>
          <t>NORMAL</t>
        </is>
      </c>
      <c r="AA1041" t="inlineStr">
        <is>
          <t>PE</t>
        </is>
      </c>
      <c r="AB1041" t="inlineStr">
        <is>
          <t>NR</t>
        </is>
      </c>
      <c r="AC1041" t="inlineStr">
        <is>
          <t>34.93-0-2.6-ERW 1-FC</t>
        </is>
      </c>
      <c r="AD1041" t="inlineStr">
        <is>
          <t>CTL</t>
        </is>
      </c>
      <c r="AE1041" t="inlineStr">
        <is>
          <t>34.93-0-2.6-ERW 1-FC-1.723</t>
        </is>
      </c>
      <c r="AF1041" t="n">
        <v>3.443273654025</v>
      </c>
    </row>
    <row r="1042">
      <c r="A1042" s="56" t="n">
        <v>2410996</v>
      </c>
      <c r="B1042" s="56" t="inlineStr">
        <is>
          <t>TUB-O-C-AUT-AD-FC-16.10X2.700X04-05</t>
        </is>
      </c>
      <c r="C1042" s="56" t="inlineStr">
        <is>
          <t>4B0663500C</t>
        </is>
      </c>
      <c r="D1042" s="56" t="n"/>
      <c r="E1042" s="57" t="n">
        <v>88</v>
      </c>
      <c r="F1042" s="57" t="n">
        <v>0.08799999999999999</v>
      </c>
      <c r="G1042" s="56" t="inlineStr">
        <is>
          <t>KG</t>
        </is>
      </c>
      <c r="H1042" s="56" t="inlineStr">
        <is>
          <t>TF01</t>
        </is>
      </c>
      <c r="I1042" s="56" t="inlineStr">
        <is>
          <t>4731</t>
        </is>
      </c>
      <c r="J1042" s="56" t="n"/>
      <c r="K1042" s="56" t="n"/>
      <c r="L1042" s="56" t="n"/>
      <c r="M1042" s="56" t="n"/>
      <c r="N1042" s="56" t="inlineStr">
        <is>
          <t>ELKAYEM AUTO ANCILLARIES (PVT) LTD.</t>
        </is>
      </c>
      <c r="O1042" s="56" t="n">
        <v>44</v>
      </c>
      <c r="P1042" s="59" t="inlineStr">
        <is>
          <t>31-60</t>
        </is>
      </c>
      <c r="Q1042" s="56" t="inlineStr">
        <is>
          <t>Diwakar</t>
        </is>
      </c>
      <c r="U1042" s="586" t="n">
        <v>110102843</v>
      </c>
      <c r="V1042" t="n">
        <v>34.93</v>
      </c>
      <c r="W1042" t="n">
        <v>0</v>
      </c>
      <c r="X1042" t="n">
        <v>2.5</v>
      </c>
      <c r="Y1042" t="n">
        <v>5.228</v>
      </c>
      <c r="Z1042" t="inlineStr">
        <is>
          <t>GR2 SPL</t>
        </is>
      </c>
      <c r="AA1042" t="inlineStr">
        <is>
          <t>FC</t>
        </is>
      </c>
      <c r="AB1042" t="inlineStr">
        <is>
          <t>AW</t>
        </is>
      </c>
      <c r="AC1042" t="inlineStr">
        <is>
          <t>34.93-0-2.6-ERW 1-FC</t>
        </is>
      </c>
      <c r="AD1042" t="inlineStr">
        <is>
          <t>LL</t>
        </is>
      </c>
      <c r="AE1042" t="inlineStr">
        <is>
          <t>34.93-0-2.6-ERW 1-FC-1</t>
        </is>
      </c>
      <c r="AF1042" t="n">
        <v>1.998417675</v>
      </c>
    </row>
    <row r="1043">
      <c r="A1043" s="56" t="n">
        <v>2410996</v>
      </c>
      <c r="B1043" s="56" t="inlineStr">
        <is>
          <t>TUB-O-C-AUT-AD-FC-16.10X2.700X04-05</t>
        </is>
      </c>
      <c r="C1043" s="56" t="inlineStr">
        <is>
          <t>4B0663500B</t>
        </is>
      </c>
      <c r="D1043" s="56" t="n"/>
      <c r="E1043" s="57" t="n">
        <v>301</v>
      </c>
      <c r="F1043" s="57" t="n">
        <v>0.301</v>
      </c>
      <c r="G1043" s="56" t="inlineStr">
        <is>
          <t>KG</t>
        </is>
      </c>
      <c r="H1043" s="56" t="inlineStr">
        <is>
          <t>TF01</t>
        </is>
      </c>
      <c r="I1043" s="56" t="inlineStr">
        <is>
          <t>4731</t>
        </is>
      </c>
      <c r="J1043" s="56" t="n"/>
      <c r="K1043" s="56" t="n"/>
      <c r="L1043" s="56" t="n"/>
      <c r="M1043" s="56" t="n"/>
      <c r="N1043" s="56" t="inlineStr">
        <is>
          <t>ELKAYEM AUTO ANCILLARIES (PVT) LTD.</t>
        </is>
      </c>
      <c r="O1043" s="56" t="n">
        <v>44</v>
      </c>
      <c r="P1043" s="59" t="inlineStr">
        <is>
          <t>31-60</t>
        </is>
      </c>
      <c r="Q1043" s="56" t="inlineStr">
        <is>
          <t>Diwakar</t>
        </is>
      </c>
      <c r="U1043" s="585" t="n">
        <v>4140303</v>
      </c>
      <c r="V1043" t="n">
        <v>34.93</v>
      </c>
      <c r="W1043" t="n">
        <v>0</v>
      </c>
      <c r="X1043" t="n">
        <v>2.5</v>
      </c>
      <c r="Y1043" t="n">
        <v>5.23</v>
      </c>
      <c r="Z1043" t="inlineStr">
        <is>
          <t>GR1</t>
        </is>
      </c>
      <c r="AA1043" t="inlineStr">
        <is>
          <t>FC</t>
        </is>
      </c>
      <c r="AB1043" t="inlineStr">
        <is>
          <t>AW</t>
        </is>
      </c>
      <c r="AC1043" t="inlineStr">
        <is>
          <t>34.93-0-2.6-ERW 1-FC</t>
        </is>
      </c>
      <c r="AD1043" t="inlineStr">
        <is>
          <t>LL</t>
        </is>
      </c>
      <c r="AE1043" t="inlineStr">
        <is>
          <t>34.93-0-2.6-ERW 1-FC-1</t>
        </is>
      </c>
      <c r="AF1043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044">
      <c r="A1044" s="56" t="n">
        <v>2410996</v>
      </c>
      <c r="B1044" s="56" t="inlineStr">
        <is>
          <t>TUB-O-C-AUT-AD-FC-16.10X2.700X04-05</t>
        </is>
      </c>
      <c r="C1044" s="56" t="inlineStr">
        <is>
          <t>4B0663500A</t>
        </is>
      </c>
      <c r="D1044" s="56" t="n"/>
      <c r="E1044" s="57" t="n">
        <v>392</v>
      </c>
      <c r="F1044" s="57" t="n">
        <v>0.392</v>
      </c>
      <c r="G1044" s="56" t="inlineStr">
        <is>
          <t>KG</t>
        </is>
      </c>
      <c r="H1044" s="56" t="inlineStr">
        <is>
          <t>TF01</t>
        </is>
      </c>
      <c r="I1044" s="56" t="inlineStr">
        <is>
          <t>4731</t>
        </is>
      </c>
      <c r="J1044" s="56" t="n"/>
      <c r="K1044" s="56" t="n"/>
      <c r="L1044" s="56" t="n"/>
      <c r="M1044" s="56" t="n"/>
      <c r="N1044" s="56" t="inlineStr">
        <is>
          <t>ELKAYEM AUTO ANCILLARIES (PVT) LTD.</t>
        </is>
      </c>
      <c r="O1044" s="56" t="n">
        <v>44</v>
      </c>
      <c r="P1044" s="59" t="inlineStr">
        <is>
          <t>31-60</t>
        </is>
      </c>
      <c r="Q1044" s="56" t="inlineStr">
        <is>
          <t>Diwakar</t>
        </is>
      </c>
      <c r="U1044" s="585" t="n">
        <v>1940716</v>
      </c>
      <c r="V1044" t="n">
        <v>34.93</v>
      </c>
      <c r="W1044" t="n">
        <v>0</v>
      </c>
      <c r="X1044" t="n">
        <v>2.5</v>
      </c>
      <c r="Y1044" t="n">
        <v>6</v>
      </c>
      <c r="Z1044" t="inlineStr">
        <is>
          <t>GR2 SPL</t>
        </is>
      </c>
      <c r="AA1044" t="inlineStr">
        <is>
          <t>FC</t>
        </is>
      </c>
      <c r="AB1044" t="inlineStr">
        <is>
          <t>AW</t>
        </is>
      </c>
      <c r="AC1044" t="inlineStr">
        <is>
          <t>34.93-0-2.6-ERW 1-FC</t>
        </is>
      </c>
      <c r="AD1044" t="inlineStr">
        <is>
          <t>LL</t>
        </is>
      </c>
      <c r="AE1044" t="inlineStr">
        <is>
          <t>34.93-0-2.6-ERW 1-FC-1</t>
        </is>
      </c>
      <c r="AF1044" t="n">
        <v>1.998417675</v>
      </c>
    </row>
    <row r="1045">
      <c r="A1045" s="56" t="n">
        <v>2410996</v>
      </c>
      <c r="B1045" s="56" t="inlineStr">
        <is>
          <t>TUB-O-C-AUT-AD-FC-16.10X2.700X04-05</t>
        </is>
      </c>
      <c r="C1045" s="56" t="inlineStr">
        <is>
          <t>4B05K37033</t>
        </is>
      </c>
      <c r="D1045" s="56" t="n"/>
      <c r="E1045" s="57" t="n">
        <v>763</v>
      </c>
      <c r="F1045" s="57" t="n">
        <v>0.763</v>
      </c>
      <c r="G1045" s="56" t="inlineStr">
        <is>
          <t>KG</t>
        </is>
      </c>
      <c r="H1045" s="56" t="inlineStr">
        <is>
          <t>TF01</t>
        </is>
      </c>
      <c r="I1045" s="56" t="inlineStr">
        <is>
          <t>4731</t>
        </is>
      </c>
      <c r="J1045" s="56" t="n"/>
      <c r="K1045" s="56" t="n"/>
      <c r="L1045" s="56" t="n"/>
      <c r="M1045" s="56" t="n"/>
      <c r="N1045" s="56" t="inlineStr">
        <is>
          <t>ELKAYEM AUTO ANCILLARIES (PVT) LTD.</t>
        </is>
      </c>
      <c r="O1045" s="56" t="n">
        <v>44</v>
      </c>
      <c r="P1045" s="59" t="inlineStr">
        <is>
          <t>31-60</t>
        </is>
      </c>
      <c r="Q1045" s="56" t="inlineStr">
        <is>
          <t>Diwakar</t>
        </is>
      </c>
      <c r="U1045" s="585" t="n">
        <v>3500223</v>
      </c>
      <c r="V1045" t="n">
        <v>34.93</v>
      </c>
      <c r="W1045" t="n">
        <v>0</v>
      </c>
      <c r="X1045" t="n">
        <v>2.5</v>
      </c>
      <c r="Y1045" t="n">
        <v>6</v>
      </c>
      <c r="Z1045" t="inlineStr">
        <is>
          <t>TPT</t>
        </is>
      </c>
      <c r="AA1045" t="inlineStr">
        <is>
          <t>PE</t>
        </is>
      </c>
      <c r="AB1045" t="inlineStr">
        <is>
          <t>NR</t>
        </is>
      </c>
      <c r="AC1045" t="inlineStr">
        <is>
          <t>34.93-0-2.6-ERW 1-FC</t>
        </is>
      </c>
      <c r="AD1045" t="inlineStr">
        <is>
          <t>LL</t>
        </is>
      </c>
      <c r="AE1045" t="inlineStr">
        <is>
          <t>34.93-0-2.6-ERW 1-FC-1</t>
        </is>
      </c>
      <c r="AF1045" t="n">
        <v>1.998417675</v>
      </c>
    </row>
    <row r="1046">
      <c r="A1046" s="56" t="n">
        <v>2410996</v>
      </c>
      <c r="B1046" s="56" t="inlineStr">
        <is>
          <t>TUB-O-C-AUT-AD-FC-16.10X2.700X04-05</t>
        </is>
      </c>
      <c r="C1046" s="56" t="inlineStr">
        <is>
          <t>4B0563470B</t>
        </is>
      </c>
      <c r="D1046" s="56" t="n"/>
      <c r="E1046" s="57" t="n">
        <v>656</v>
      </c>
      <c r="F1046" s="57" t="n">
        <v>0.656</v>
      </c>
      <c r="G1046" s="56" t="inlineStr">
        <is>
          <t>KG</t>
        </is>
      </c>
      <c r="H1046" s="56" t="inlineStr">
        <is>
          <t>TF01</t>
        </is>
      </c>
      <c r="I1046" s="56" t="inlineStr">
        <is>
          <t>4731</t>
        </is>
      </c>
      <c r="J1046" s="56" t="n"/>
      <c r="K1046" s="56" t="n"/>
      <c r="L1046" s="56" t="n"/>
      <c r="M1046" s="56" t="n"/>
      <c r="N1046" s="56" t="inlineStr">
        <is>
          <t>ELKAYEM AUTO ANCILLARIES (PVT) LTD.</t>
        </is>
      </c>
      <c r="O1046" s="56" t="n">
        <v>44</v>
      </c>
      <c r="P1046" s="59" t="inlineStr">
        <is>
          <t>31-60</t>
        </is>
      </c>
      <c r="Q1046" s="56" t="inlineStr">
        <is>
          <t>Diwakar</t>
        </is>
      </c>
      <c r="U1046" s="585" t="n">
        <v>1940718</v>
      </c>
      <c r="V1046" t="n">
        <v>34.93</v>
      </c>
      <c r="W1046" t="n">
        <v>0</v>
      </c>
      <c r="X1046" t="n">
        <v>2.6</v>
      </c>
      <c r="Y1046" t="n">
        <v>1.721</v>
      </c>
      <c r="Z1046" t="inlineStr">
        <is>
          <t>GR2 SPL</t>
        </is>
      </c>
      <c r="AA1046" t="inlineStr">
        <is>
          <t>FC</t>
        </is>
      </c>
      <c r="AB1046" t="inlineStr">
        <is>
          <t>AW</t>
        </is>
      </c>
      <c r="AC1046" t="inlineStr">
        <is>
          <t>34.93-0-2.6-ERW 1-FC</t>
        </is>
      </c>
      <c r="AD1046" t="inlineStr">
        <is>
          <t>CTL</t>
        </is>
      </c>
      <c r="AE1046" t="inlineStr">
        <is>
          <t>34.93-0-2.6-ERW 1-FC-1.721</t>
        </is>
      </c>
      <c r="AF1046" t="n">
        <v>3.565818449882</v>
      </c>
    </row>
    <row r="1047">
      <c r="A1047" s="56" t="n">
        <v>2410996</v>
      </c>
      <c r="B1047" s="56" t="inlineStr">
        <is>
          <t>TUB-O-C-AUT-AD-FC-16.10X2.700X04-05</t>
        </is>
      </c>
      <c r="C1047" s="56" t="inlineStr">
        <is>
          <t>4B0563470A</t>
        </is>
      </c>
      <c r="D1047" s="56" t="n"/>
      <c r="E1047" s="57" t="n">
        <v>628</v>
      </c>
      <c r="F1047" s="57" t="n">
        <v>0.628</v>
      </c>
      <c r="G1047" s="56" t="inlineStr">
        <is>
          <t>KG</t>
        </is>
      </c>
      <c r="H1047" s="56" t="inlineStr">
        <is>
          <t>TF01</t>
        </is>
      </c>
      <c r="I1047" s="56" t="inlineStr">
        <is>
          <t>4731</t>
        </is>
      </c>
      <c r="J1047" s="56" t="n"/>
      <c r="K1047" s="56" t="n"/>
      <c r="L1047" s="56" t="n"/>
      <c r="M1047" s="56" t="n"/>
      <c r="N1047" s="56" t="inlineStr">
        <is>
          <t>ELKAYEM AUTO ANCILLARIES (PVT) LTD.</t>
        </is>
      </c>
      <c r="O1047" s="56" t="n">
        <v>44</v>
      </c>
      <c r="P1047" s="59" t="inlineStr">
        <is>
          <t>31-60</t>
        </is>
      </c>
      <c r="Q1047" s="56" t="inlineStr">
        <is>
          <t>Diwakar</t>
        </is>
      </c>
      <c r="U1047" s="585" t="n">
        <v>3547256</v>
      </c>
      <c r="V1047" t="n">
        <v>36</v>
      </c>
      <c r="W1047" t="n">
        <v>0</v>
      </c>
      <c r="X1047" t="n">
        <v>4</v>
      </c>
      <c r="Y1047" t="n">
        <v>1.41</v>
      </c>
      <c r="Z1047" t="inlineStr">
        <is>
          <t>GR1</t>
        </is>
      </c>
      <c r="AA1047" t="inlineStr">
        <is>
          <t>FC</t>
        </is>
      </c>
      <c r="AB1047" t="inlineStr">
        <is>
          <t>DT</t>
        </is>
      </c>
      <c r="AC1047" t="inlineStr">
        <is>
          <t>check tdc</t>
        </is>
      </c>
      <c r="AD1047" t="inlineStr">
        <is>
          <t>CTL</t>
        </is>
      </c>
      <c r="AE1047" t="inlineStr">
        <is>
          <t>check tdc-1.41</t>
        </is>
      </c>
      <c r="AF1047" t="n">
        <v>4.44865152</v>
      </c>
    </row>
    <row r="1048">
      <c r="A1048" s="56" t="n">
        <v>2410996</v>
      </c>
      <c r="B1048" s="56" t="inlineStr">
        <is>
          <t>TUB-O-C-AUT-AD-FC-16.10X2.700X04-05</t>
        </is>
      </c>
      <c r="C1048" s="56" t="inlineStr">
        <is>
          <t>4A28BK2050</t>
        </is>
      </c>
      <c r="D1048" s="56" t="n"/>
      <c r="E1048" s="57" t="n">
        <v>1490</v>
      </c>
      <c r="F1048" s="57" t="n">
        <v>1.49</v>
      </c>
      <c r="G1048" s="56" t="inlineStr">
        <is>
          <t>KG</t>
        </is>
      </c>
      <c r="H1048" s="56" t="inlineStr">
        <is>
          <t>TF01</t>
        </is>
      </c>
      <c r="I1048" s="56" t="inlineStr">
        <is>
          <t>4731</t>
        </is>
      </c>
      <c r="J1048" s="56" t="n"/>
      <c r="K1048" s="56" t="n"/>
      <c r="L1048" s="56" t="n"/>
      <c r="M1048" s="56" t="n"/>
      <c r="N1048" s="56" t="inlineStr">
        <is>
          <t>ELKAYEM AUTO ANCILLARIES (PVT) LTD.</t>
        </is>
      </c>
      <c r="O1048" s="56" t="n">
        <v>56</v>
      </c>
      <c r="P1048" s="59" t="inlineStr">
        <is>
          <t>31-60</t>
        </is>
      </c>
      <c r="Q1048" s="56" t="inlineStr">
        <is>
          <t>Diwakar</t>
        </is>
      </c>
      <c r="U1048" s="585" t="n">
        <v>3775788</v>
      </c>
      <c r="V1048" t="n">
        <v>36</v>
      </c>
      <c r="W1048" t="n">
        <v>0</v>
      </c>
      <c r="X1048" t="n">
        <v>4</v>
      </c>
      <c r="Y1048" t="n">
        <v>5.2</v>
      </c>
      <c r="Z1048" t="inlineStr"/>
      <c r="AA1048" t="inlineStr">
        <is>
          <t>FC</t>
        </is>
      </c>
      <c r="AB1048" t="inlineStr">
        <is>
          <t>DT</t>
        </is>
      </c>
      <c r="AC1048" t="inlineStr">
        <is>
          <t>check tdc</t>
        </is>
      </c>
      <c r="AD1048" t="inlineStr">
        <is>
          <t>LL</t>
        </is>
      </c>
      <c r="AE1048" t="inlineStr">
        <is>
          <t>check tdc-1</t>
        </is>
      </c>
      <c r="AF1048" t="n">
        <v>3.155072</v>
      </c>
    </row>
    <row r="1049">
      <c r="A1049" s="56" t="n">
        <v>2410996</v>
      </c>
      <c r="B1049" s="56" t="inlineStr">
        <is>
          <t>TUB-O-C-AUT-AD-FC-16.10X2.700X04-05</t>
        </is>
      </c>
      <c r="C1049" s="56" t="inlineStr">
        <is>
          <t>4A1261820C</t>
        </is>
      </c>
      <c r="D1049" s="56" t="n"/>
      <c r="E1049" s="57" t="n">
        <v>81</v>
      </c>
      <c r="F1049" s="57" t="n">
        <v>0.081</v>
      </c>
      <c r="G1049" s="56" t="inlineStr">
        <is>
          <t>KG</t>
        </is>
      </c>
      <c r="H1049" s="56" t="inlineStr">
        <is>
          <t>TF01</t>
        </is>
      </c>
      <c r="I1049" s="56" t="inlineStr">
        <is>
          <t>4731</t>
        </is>
      </c>
      <c r="J1049" s="56" t="n"/>
      <c r="K1049" s="56" t="n"/>
      <c r="L1049" s="56" t="n"/>
      <c r="M1049" s="56" t="n"/>
      <c r="N1049" s="56" t="inlineStr">
        <is>
          <t>ELKAYEM AUTO ANCILLARIES (PVT) LTD.</t>
        </is>
      </c>
      <c r="O1049" s="56" t="n">
        <v>81</v>
      </c>
      <c r="P1049" s="59" t="inlineStr">
        <is>
          <t>61-90</t>
        </is>
      </c>
      <c r="Q1049" s="56" t="inlineStr">
        <is>
          <t>Diwakar</t>
        </is>
      </c>
      <c r="U1049" s="585" t="n">
        <v>3578410</v>
      </c>
      <c r="V1049" t="n">
        <v>36</v>
      </c>
      <c r="W1049" t="n">
        <v>0</v>
      </c>
      <c r="X1049" t="n">
        <v>4</v>
      </c>
      <c r="Y1049" t="n">
        <v>5.7</v>
      </c>
      <c r="Z1049" t="inlineStr"/>
      <c r="AA1049" t="inlineStr">
        <is>
          <t>FC</t>
        </is>
      </c>
      <c r="AB1049" t="inlineStr">
        <is>
          <t>DT</t>
        </is>
      </c>
      <c r="AC1049" t="inlineStr">
        <is>
          <t>check tdc</t>
        </is>
      </c>
      <c r="AD1049" t="inlineStr">
        <is>
          <t>LL</t>
        </is>
      </c>
      <c r="AE1049" t="inlineStr">
        <is>
          <t>check tdc-1</t>
        </is>
      </c>
      <c r="AF1049" t="n">
        <v>3.155072</v>
      </c>
    </row>
    <row r="1050">
      <c r="A1050" s="56" t="n">
        <v>2410996</v>
      </c>
      <c r="B1050" s="56" t="inlineStr">
        <is>
          <t>TUB-O-C-AUT-AD-FC-16.10X2.700X04-05</t>
        </is>
      </c>
      <c r="C1050" s="56" t="inlineStr">
        <is>
          <t>4A1261820B</t>
        </is>
      </c>
      <c r="D1050" s="56" t="n"/>
      <c r="E1050" s="57" t="n">
        <v>639</v>
      </c>
      <c r="F1050" s="57" t="n">
        <v>0.639</v>
      </c>
      <c r="G1050" s="56" t="inlineStr">
        <is>
          <t>KG</t>
        </is>
      </c>
      <c r="H1050" s="56" t="inlineStr">
        <is>
          <t>TF01</t>
        </is>
      </c>
      <c r="I1050" s="56" t="inlineStr">
        <is>
          <t>4731</t>
        </is>
      </c>
      <c r="J1050" s="56" t="n"/>
      <c r="K1050" s="56" t="n"/>
      <c r="L1050" s="56" t="n"/>
      <c r="M1050" s="56" t="n"/>
      <c r="N1050" s="56" t="inlineStr">
        <is>
          <t>ELKAYEM AUTO ANCILLARIES (PVT) LTD.</t>
        </is>
      </c>
      <c r="O1050" s="56" t="n">
        <v>81</v>
      </c>
      <c r="P1050" s="59" t="inlineStr">
        <is>
          <t>61-90</t>
        </is>
      </c>
      <c r="Q1050" s="56" t="inlineStr">
        <is>
          <t>Diwakar</t>
        </is>
      </c>
      <c r="U1050" s="585" t="n">
        <v>3501132</v>
      </c>
      <c r="V1050" t="n">
        <v>36</v>
      </c>
      <c r="W1050" t="n">
        <v>0</v>
      </c>
      <c r="X1050" t="n">
        <v>4</v>
      </c>
      <c r="Y1050" t="n">
        <v>6</v>
      </c>
      <c r="Z1050" t="inlineStr"/>
      <c r="AA1050" t="inlineStr">
        <is>
          <t>FC</t>
        </is>
      </c>
      <c r="AB1050" t="inlineStr">
        <is>
          <t>DT</t>
        </is>
      </c>
      <c r="AC1050" t="inlineStr">
        <is>
          <t>check tdc</t>
        </is>
      </c>
      <c r="AD1050" t="inlineStr">
        <is>
          <t>LL</t>
        </is>
      </c>
      <c r="AE1050" t="inlineStr">
        <is>
          <t>check tdc-1</t>
        </is>
      </c>
      <c r="AF1050" t="n">
        <v>3.155072</v>
      </c>
    </row>
    <row r="1051">
      <c r="A1051" s="56" t="n">
        <v>2410996</v>
      </c>
      <c r="B1051" s="56" t="inlineStr">
        <is>
          <t>TUB-O-C-AUT-AD-FC-16.10X2.700X04-05</t>
        </is>
      </c>
      <c r="C1051" s="56" t="inlineStr">
        <is>
          <t>4A1261820A</t>
        </is>
      </c>
      <c r="D1051" s="56" t="n"/>
      <c r="E1051" s="57" t="n">
        <v>731</v>
      </c>
      <c r="F1051" s="57" t="n">
        <v>0.731</v>
      </c>
      <c r="G1051" s="56" t="inlineStr">
        <is>
          <t>KG</t>
        </is>
      </c>
      <c r="H1051" s="56" t="inlineStr">
        <is>
          <t>TF01</t>
        </is>
      </c>
      <c r="I1051" s="56" t="inlineStr">
        <is>
          <t>4731</t>
        </is>
      </c>
      <c r="J1051" s="56" t="n"/>
      <c r="K1051" s="56" t="n"/>
      <c r="L1051" s="56" t="n"/>
      <c r="M1051" s="56" t="n"/>
      <c r="N1051" s="56" t="inlineStr">
        <is>
          <t>ELKAYEM AUTO ANCILLARIES (PVT) LTD.</t>
        </is>
      </c>
      <c r="O1051" s="56" t="n">
        <v>81</v>
      </c>
      <c r="P1051" s="59" t="inlineStr">
        <is>
          <t>61-90</t>
        </is>
      </c>
      <c r="Q1051" s="56" t="inlineStr">
        <is>
          <t>Diwakar</t>
        </is>
      </c>
      <c r="U1051" s="585" t="n">
        <v>1374708</v>
      </c>
      <c r="V1051" t="n">
        <v>36</v>
      </c>
      <c r="W1051" t="n">
        <v>0</v>
      </c>
      <c r="X1051" t="n">
        <v>4</v>
      </c>
      <c r="Y1051" t="n">
        <v>6</v>
      </c>
      <c r="Z1051" t="inlineStr"/>
      <c r="AA1051" t="inlineStr">
        <is>
          <t>FC</t>
        </is>
      </c>
      <c r="AB1051" t="inlineStr">
        <is>
          <t>DT</t>
        </is>
      </c>
      <c r="AC1051" t="inlineStr">
        <is>
          <t>check tdc</t>
        </is>
      </c>
      <c r="AD1051" t="inlineStr">
        <is>
          <t>LL</t>
        </is>
      </c>
      <c r="AE1051" t="inlineStr">
        <is>
          <t>check tdc-1</t>
        </is>
      </c>
      <c r="AF1051" t="n">
        <v>3.155072</v>
      </c>
    </row>
    <row r="1052">
      <c r="A1052" s="56" t="n">
        <v>2410996</v>
      </c>
      <c r="B1052" s="56" t="inlineStr">
        <is>
          <t>TUB-O-C-AUT-AD-FC-16.10X2.700X04-05</t>
        </is>
      </c>
      <c r="C1052" s="56" t="inlineStr">
        <is>
          <t>4A08K34968</t>
        </is>
      </c>
      <c r="D1052" s="56" t="n"/>
      <c r="E1052" s="57" t="n">
        <v>147.274</v>
      </c>
      <c r="F1052" s="57" t="n">
        <v>0.147274</v>
      </c>
      <c r="G1052" s="56" t="inlineStr">
        <is>
          <t>KG</t>
        </is>
      </c>
      <c r="H1052" s="56" t="inlineStr">
        <is>
          <t>TF01</t>
        </is>
      </c>
      <c r="I1052" s="56" t="inlineStr">
        <is>
          <t>4731</t>
        </is>
      </c>
      <c r="J1052" s="56" t="n"/>
      <c r="K1052" s="56" t="n"/>
      <c r="L1052" s="56" t="n"/>
      <c r="M1052" s="56" t="n"/>
      <c r="N1052" s="56" t="inlineStr">
        <is>
          <t>ELKAYEM AUTO ANCILLARIES (PVT) LTD.</t>
        </is>
      </c>
      <c r="O1052" s="56" t="n">
        <v>7</v>
      </c>
      <c r="P1052" s="59" t="inlineStr">
        <is>
          <t>0-30</t>
        </is>
      </c>
      <c r="Q1052" s="56" t="inlineStr">
        <is>
          <t>Diwakar</t>
        </is>
      </c>
      <c r="U1052" s="585" t="n">
        <v>3487459</v>
      </c>
      <c r="V1052" t="n">
        <v>37.5</v>
      </c>
      <c r="W1052" t="n">
        <v>30.7</v>
      </c>
      <c r="X1052" t="n">
        <v>3.4</v>
      </c>
      <c r="Y1052" t="n">
        <v>4.1</v>
      </c>
      <c r="Z1052" t="inlineStr">
        <is>
          <t>KGR2</t>
        </is>
      </c>
      <c r="AA1052" t="inlineStr">
        <is>
          <t>FC</t>
        </is>
      </c>
      <c r="AB1052" t="inlineStr">
        <is>
          <t>AN</t>
        </is>
      </c>
      <c r="AC1052" t="inlineStr">
        <is>
          <t>check thickness tdc</t>
        </is>
      </c>
      <c r="AD1052" t="inlineStr">
        <is>
          <t>LL</t>
        </is>
      </c>
      <c r="AE1052" t="inlineStr">
        <is>
          <t>check thickness tdc-1</t>
        </is>
      </c>
      <c r="AF1052" t="n">
        <v>2.85780506</v>
      </c>
    </row>
    <row r="1053">
      <c r="A1053" s="56" t="n">
        <v>2410996</v>
      </c>
      <c r="B1053" s="56" t="inlineStr">
        <is>
          <t>TUB-O-C-AUT-AD-FC-16.10X2.700X04-05</t>
        </is>
      </c>
      <c r="C1053" s="56" t="inlineStr">
        <is>
          <t>4A08K34966</t>
        </is>
      </c>
      <c r="D1053" s="56" t="n"/>
      <c r="E1053" s="57" t="n">
        <v>1620</v>
      </c>
      <c r="F1053" s="57" t="n">
        <v>1.62</v>
      </c>
      <c r="G1053" s="56" t="inlineStr">
        <is>
          <t>KG</t>
        </is>
      </c>
      <c r="H1053" s="56" t="inlineStr">
        <is>
          <t>TF01</t>
        </is>
      </c>
      <c r="I1053" s="56" t="inlineStr">
        <is>
          <t>4731</t>
        </is>
      </c>
      <c r="J1053" s="56" t="n"/>
      <c r="K1053" s="56" t="n"/>
      <c r="L1053" s="56" t="n"/>
      <c r="M1053" s="56" t="n"/>
      <c r="N1053" s="56" t="inlineStr">
        <is>
          <t>ELKAYEM AUTO ANCILLARIES (PVT) LTD.</t>
        </is>
      </c>
      <c r="O1053" s="56" t="n">
        <v>83</v>
      </c>
      <c r="P1053" s="59" t="inlineStr">
        <is>
          <t>61-90</t>
        </is>
      </c>
      <c r="Q1053" s="56" t="inlineStr">
        <is>
          <t>Diwakar</t>
        </is>
      </c>
      <c r="U1053" s="585" t="n">
        <v>403039</v>
      </c>
      <c r="V1053" t="n">
        <v>37.6</v>
      </c>
      <c r="W1053" t="n">
        <v>31.2</v>
      </c>
      <c r="X1053" t="n">
        <v>3.2</v>
      </c>
      <c r="Y1053" t="n">
        <v>0.295</v>
      </c>
      <c r="Z1053" t="inlineStr">
        <is>
          <t>TPT</t>
        </is>
      </c>
      <c r="AA1053" t="inlineStr">
        <is>
          <t>CH</t>
        </is>
      </c>
      <c r="AB1053" t="inlineStr">
        <is>
          <t>AD</t>
        </is>
      </c>
      <c r="AC1053" t="inlineStr">
        <is>
          <t>37.6-31.2-3.2-CEW-CEW</t>
        </is>
      </c>
      <c r="AD1053" t="inlineStr">
        <is>
          <t>CTL</t>
        </is>
      </c>
      <c r="AE1053" t="inlineStr">
        <is>
          <t>37.6-31.2-3.2-CEW-CEW-0.295</t>
        </is>
      </c>
      <c r="AF1053" t="n">
        <v>0.8004417664</v>
      </c>
    </row>
    <row r="1054">
      <c r="A1054" s="56" t="n">
        <v>2410996</v>
      </c>
      <c r="B1054" s="56" t="inlineStr">
        <is>
          <t>TUB-O-C-AUT-AD-FC-16.10X2.700X04-05</t>
        </is>
      </c>
      <c r="C1054" s="56" t="inlineStr">
        <is>
          <t>4A0861460C</t>
        </is>
      </c>
      <c r="D1054" s="56" t="n"/>
      <c r="E1054" s="57" t="n">
        <v>70</v>
      </c>
      <c r="F1054" s="57" t="n">
        <v>0.07000000000000001</v>
      </c>
      <c r="G1054" s="56" t="inlineStr">
        <is>
          <t>KG</t>
        </is>
      </c>
      <c r="H1054" s="56" t="inlineStr">
        <is>
          <t>TF01</t>
        </is>
      </c>
      <c r="I1054" s="56" t="inlineStr">
        <is>
          <t>4731</t>
        </is>
      </c>
      <c r="J1054" s="56" t="n"/>
      <c r="K1054" s="56" t="n"/>
      <c r="L1054" s="56" t="n"/>
      <c r="M1054" s="56" t="n"/>
      <c r="N1054" s="56" t="inlineStr">
        <is>
          <t>ELKAYEM AUTO ANCILLARIES (PVT) LTD.</t>
        </is>
      </c>
      <c r="O1054" s="56" t="n">
        <v>83</v>
      </c>
      <c r="P1054" s="59" t="inlineStr">
        <is>
          <t>61-90</t>
        </is>
      </c>
      <c r="Q1054" s="56" t="inlineStr">
        <is>
          <t>Diwakar</t>
        </is>
      </c>
      <c r="U1054" t="n">
        <v>3781607</v>
      </c>
      <c r="V1054" t="n">
        <v>37.6</v>
      </c>
      <c r="W1054" t="n">
        <v>31.2</v>
      </c>
      <c r="X1054" t="n">
        <v>3.2</v>
      </c>
      <c r="Y1054" t="n">
        <v>0.295</v>
      </c>
      <c r="Z1054" t="inlineStr">
        <is>
          <t>TPT</t>
        </is>
      </c>
      <c r="AA1054" t="inlineStr">
        <is>
          <t>CH</t>
        </is>
      </c>
      <c r="AB1054" t="inlineStr">
        <is>
          <t>AD</t>
        </is>
      </c>
      <c r="AC1054" t="inlineStr">
        <is>
          <t>37.6-31.2-3.2-CEW-CEW</t>
        </is>
      </c>
      <c r="AD1054" t="inlineStr">
        <is>
          <t>CTL</t>
        </is>
      </c>
      <c r="AE1054" t="inlineStr">
        <is>
          <t>37.6-31.2-3.2-CEW-CEW-0.295</t>
        </is>
      </c>
      <c r="AF1054" t="n">
        <v>0.8004417664</v>
      </c>
    </row>
    <row r="1055">
      <c r="A1055" s="56" t="n">
        <v>2410996</v>
      </c>
      <c r="B1055" s="56" t="inlineStr">
        <is>
          <t>TUB-O-C-AUT-AD-FC-16.10X2.700X04-05</t>
        </is>
      </c>
      <c r="C1055" s="56" t="inlineStr">
        <is>
          <t>4A0861460B</t>
        </is>
      </c>
      <c r="D1055" s="56" t="n"/>
      <c r="E1055" s="57" t="n">
        <v>615</v>
      </c>
      <c r="F1055" s="57" t="n">
        <v>0.615</v>
      </c>
      <c r="G1055" s="56" t="inlineStr">
        <is>
          <t>KG</t>
        </is>
      </c>
      <c r="H1055" s="56" t="inlineStr">
        <is>
          <t>TF01</t>
        </is>
      </c>
      <c r="I1055" s="56" t="inlineStr">
        <is>
          <t>4731</t>
        </is>
      </c>
      <c r="J1055" s="56" t="n"/>
      <c r="K1055" s="56" t="n"/>
      <c r="L1055" s="56" t="n"/>
      <c r="M1055" s="56" t="n"/>
      <c r="N1055" s="56" t="inlineStr">
        <is>
          <t>ELKAYEM AUTO ANCILLARIES (PVT) LTD.</t>
        </is>
      </c>
      <c r="O1055" s="56" t="n">
        <v>83</v>
      </c>
      <c r="P1055" s="59" t="inlineStr">
        <is>
          <t>61-90</t>
        </is>
      </c>
      <c r="Q1055" s="56" t="inlineStr">
        <is>
          <t>Diwakar</t>
        </is>
      </c>
      <c r="U1055" s="585" t="n">
        <v>3499903</v>
      </c>
      <c r="V1055" t="n">
        <v>37.6</v>
      </c>
      <c r="W1055" t="n">
        <v>31.2</v>
      </c>
      <c r="X1055" t="n">
        <v>3.2</v>
      </c>
      <c r="Y1055" t="n">
        <v>5.13</v>
      </c>
      <c r="Z1055" t="inlineStr">
        <is>
          <t>TPT</t>
        </is>
      </c>
      <c r="AA1055" t="inlineStr">
        <is>
          <t>PE</t>
        </is>
      </c>
      <c r="AB1055" t="inlineStr">
        <is>
          <t>AD</t>
        </is>
      </c>
      <c r="AC1055" t="inlineStr">
        <is>
          <t>37.6-31.2-3.2-CEW-CEW</t>
        </is>
      </c>
      <c r="AD1055" t="inlineStr">
        <is>
          <t>LL</t>
        </is>
      </c>
      <c r="AE1055" t="inlineStr">
        <is>
          <t>37.6-31.2-3.2-CEW-CEW-1</t>
        </is>
      </c>
      <c r="AF1055" t="n">
        <v>2.71336192</v>
      </c>
    </row>
    <row r="1056">
      <c r="A1056" s="56" t="n">
        <v>2410996</v>
      </c>
      <c r="B1056" s="56" t="inlineStr">
        <is>
          <t>TUB-O-C-AUT-AD-FC-16.10X2.700X04-05</t>
        </is>
      </c>
      <c r="C1056" s="56" t="inlineStr">
        <is>
          <t>4A0861460A</t>
        </is>
      </c>
      <c r="D1056" s="56" t="n"/>
      <c r="E1056" s="57" t="n">
        <v>684</v>
      </c>
      <c r="F1056" s="57" t="n">
        <v>0.6840000000000001</v>
      </c>
      <c r="G1056" s="56" t="inlineStr">
        <is>
          <t>KG</t>
        </is>
      </c>
      <c r="H1056" s="56" t="inlineStr">
        <is>
          <t>TF01</t>
        </is>
      </c>
      <c r="I1056" s="56" t="inlineStr">
        <is>
          <t>4731</t>
        </is>
      </c>
      <c r="J1056" s="56" t="n"/>
      <c r="K1056" s="56" t="n"/>
      <c r="L1056" s="56" t="n"/>
      <c r="M1056" s="56" t="n"/>
      <c r="N1056" s="56" t="inlineStr">
        <is>
          <t>ELKAYEM AUTO ANCILLARIES (PVT) LTD.</t>
        </is>
      </c>
      <c r="O1056" s="56" t="n">
        <v>83</v>
      </c>
      <c r="P1056" s="59" t="inlineStr">
        <is>
          <t>61-90</t>
        </is>
      </c>
      <c r="Q1056" s="56" t="inlineStr">
        <is>
          <t>Diwakar</t>
        </is>
      </c>
      <c r="U1056" s="585" t="n">
        <v>3731917</v>
      </c>
      <c r="V1056" t="n">
        <v>37.9</v>
      </c>
      <c r="W1056" t="n">
        <v>32</v>
      </c>
      <c r="X1056" t="n">
        <v>2.95</v>
      </c>
      <c r="Y1056" t="n">
        <v>0.9399999999999999</v>
      </c>
      <c r="Z1056" t="inlineStr">
        <is>
          <t>TPT</t>
        </is>
      </c>
      <c r="AA1056" t="inlineStr">
        <is>
          <t>PE</t>
        </is>
      </c>
      <c r="AB1056" t="inlineStr">
        <is>
          <t>AD</t>
        </is>
      </c>
      <c r="AC1056" t="inlineStr">
        <is>
          <t>37.95-32-2.95-CEW-CEW</t>
        </is>
      </c>
      <c r="AD1056" t="inlineStr">
        <is>
          <t>CTL</t>
        </is>
      </c>
      <c r="AE1056" t="inlineStr">
        <is>
          <t>37.95-32-2.95-CEW-CEW-0.94</t>
        </is>
      </c>
      <c r="AF1056" t="n">
        <v>2.38889111115</v>
      </c>
    </row>
    <row r="1057">
      <c r="A1057" s="56" t="n">
        <v>2410996</v>
      </c>
      <c r="B1057" s="56" t="inlineStr">
        <is>
          <t>TUB-O-C-AUT-AD-FC-16.10X2.700X04-05</t>
        </is>
      </c>
      <c r="C1057" s="56" t="inlineStr">
        <is>
          <t>4930AK2070</t>
        </is>
      </c>
      <c r="D1057" s="56" t="n"/>
      <c r="E1057" s="57" t="n">
        <v>1526</v>
      </c>
      <c r="F1057" s="57" t="n">
        <v>1.526</v>
      </c>
      <c r="G1057" s="56" t="inlineStr">
        <is>
          <t>KG</t>
        </is>
      </c>
      <c r="H1057" s="56" t="inlineStr">
        <is>
          <t>TF01</t>
        </is>
      </c>
      <c r="I1057" s="56" t="inlineStr">
        <is>
          <t>4731</t>
        </is>
      </c>
      <c r="J1057" s="56" t="n"/>
      <c r="K1057" s="56" t="n"/>
      <c r="L1057" s="56" t="n"/>
      <c r="M1057" s="56" t="n"/>
      <c r="N1057" s="56" t="inlineStr">
        <is>
          <t>ELKAYEM AUTO ANCILLARIES (PVT) LTD.</t>
        </is>
      </c>
      <c r="O1057" s="56" t="n">
        <v>80</v>
      </c>
      <c r="P1057" s="59" t="inlineStr">
        <is>
          <t>61-90</t>
        </is>
      </c>
      <c r="Q1057" s="56" t="inlineStr">
        <is>
          <t>Diwakar</t>
        </is>
      </c>
      <c r="U1057" s="585" t="n">
        <v>238413</v>
      </c>
      <c r="V1057" t="n">
        <v>37.9</v>
      </c>
      <c r="W1057" t="n">
        <v>32</v>
      </c>
      <c r="X1057" t="n">
        <v>2.95</v>
      </c>
      <c r="Y1057" t="n">
        <v>0.9399999999999999</v>
      </c>
      <c r="Z1057" t="inlineStr">
        <is>
          <t>TPT</t>
        </is>
      </c>
      <c r="AA1057" t="inlineStr">
        <is>
          <t>PE</t>
        </is>
      </c>
      <c r="AB1057" t="inlineStr">
        <is>
          <t>AD</t>
        </is>
      </c>
      <c r="AC1057" t="inlineStr">
        <is>
          <t>37.95-32-2.95-CEW-CEW</t>
        </is>
      </c>
      <c r="AD1057" t="inlineStr">
        <is>
          <t>CTL</t>
        </is>
      </c>
      <c r="AE1057" t="inlineStr">
        <is>
          <t>37.95-32-2.95-CEW-CEW-0.94</t>
        </is>
      </c>
      <c r="AF1057" t="n">
        <v>2.38889111115</v>
      </c>
    </row>
    <row r="1058">
      <c r="A1058" s="56" t="n">
        <v>2410996</v>
      </c>
      <c r="B1058" s="56" t="inlineStr">
        <is>
          <t>TUB-O-C-AUT-AD-FC-16.10X2.700X04-05</t>
        </is>
      </c>
      <c r="C1058" s="56" t="inlineStr">
        <is>
          <t>4910CK2060</t>
        </is>
      </c>
      <c r="D1058" s="56" t="n"/>
      <c r="E1058" s="57" t="n">
        <v>1983</v>
      </c>
      <c r="F1058" s="57" t="n">
        <v>1.983</v>
      </c>
      <c r="G1058" s="56" t="inlineStr">
        <is>
          <t>KG</t>
        </is>
      </c>
      <c r="H1058" s="56" t="inlineStr">
        <is>
          <t>TF01</t>
        </is>
      </c>
      <c r="I1058" s="56" t="inlineStr">
        <is>
          <t>4731</t>
        </is>
      </c>
      <c r="J1058" s="56" t="n"/>
      <c r="K1058" s="56" t="n"/>
      <c r="L1058" s="56" t="n"/>
      <c r="M1058" s="56" t="n"/>
      <c r="N1058" s="56" t="inlineStr">
        <is>
          <t>ELKAYEM AUTO ANCILLARIES (PVT) LTD.</t>
        </is>
      </c>
      <c r="O1058" s="56" t="n">
        <v>83</v>
      </c>
      <c r="P1058" s="59" t="inlineStr">
        <is>
          <t>61-90</t>
        </is>
      </c>
      <c r="Q1058" s="56" t="inlineStr">
        <is>
          <t>Diwakar</t>
        </is>
      </c>
      <c r="U1058" s="585" t="n">
        <v>3136335</v>
      </c>
      <c r="V1058" t="n">
        <v>38</v>
      </c>
      <c r="W1058" t="n">
        <v>0</v>
      </c>
      <c r="X1058" t="n">
        <v>3</v>
      </c>
      <c r="Y1058" t="n">
        <v>0</v>
      </c>
      <c r="Z1058" t="inlineStr">
        <is>
          <t>KGR2</t>
        </is>
      </c>
      <c r="AA1058" t="inlineStr">
        <is>
          <t>FC</t>
        </is>
      </c>
      <c r="AB1058" t="inlineStr">
        <is>
          <t>AD</t>
        </is>
      </c>
      <c r="AC1058" t="inlineStr">
        <is>
          <t>37.95-32-2.95-CEW-CEW</t>
        </is>
      </c>
      <c r="AD1058" t="inlineStr">
        <is>
          <t>CTL</t>
        </is>
      </c>
      <c r="AE1058" t="inlineStr">
        <is>
          <t>37.95-32-2.95-CEW-CEW-1</t>
        </is>
      </c>
      <c r="AF1058" t="n">
        <v>0</v>
      </c>
    </row>
    <row r="1059">
      <c r="A1059" s="56" t="n">
        <v>2410996</v>
      </c>
      <c r="B1059" s="56" t="inlineStr">
        <is>
          <t>TUB-O-C-AUT-AD-FC-16.10X2.700X04-05</t>
        </is>
      </c>
      <c r="C1059" s="56" t="inlineStr">
        <is>
          <t>4B0563400C</t>
        </is>
      </c>
      <c r="D1059" s="56" t="n"/>
      <c r="E1059" s="57" t="n">
        <v>51.5</v>
      </c>
      <c r="F1059" s="57" t="n">
        <v>0.0515</v>
      </c>
      <c r="G1059" s="56" t="inlineStr">
        <is>
          <t>KG</t>
        </is>
      </c>
      <c r="H1059" s="56" t="inlineStr">
        <is>
          <t>R001</t>
        </is>
      </c>
      <c r="I1059" s="56" t="inlineStr">
        <is>
          <t>4731</t>
        </is>
      </c>
      <c r="J1059" s="56" t="n"/>
      <c r="K1059" s="56" t="n"/>
      <c r="L1059" s="56" t="n"/>
      <c r="M1059" s="56" t="n"/>
      <c r="N1059" s="56" t="inlineStr">
        <is>
          <t>ELKAYEM AUTO ANCILLARIES (PVT) LTD.</t>
        </is>
      </c>
      <c r="O1059" s="56" t="n">
        <v>41</v>
      </c>
      <c r="P1059" s="59" t="inlineStr">
        <is>
          <t>31-60</t>
        </is>
      </c>
      <c r="Q1059" s="56" t="inlineStr">
        <is>
          <t>Diwakar</t>
        </is>
      </c>
      <c r="U1059" t="n">
        <v>3557586</v>
      </c>
      <c r="V1059" t="n">
        <v>38</v>
      </c>
      <c r="W1059" t="n">
        <v>0</v>
      </c>
      <c r="X1059" t="n">
        <v>3</v>
      </c>
      <c r="Y1059" t="n">
        <v>4.4</v>
      </c>
      <c r="Z1059" t="inlineStr">
        <is>
          <t>SAE1020</t>
        </is>
      </c>
      <c r="AA1059" t="inlineStr">
        <is>
          <t>FC</t>
        </is>
      </c>
      <c r="AB1059" t="inlineStr">
        <is>
          <t>AD</t>
        </is>
      </c>
      <c r="AC1059" t="inlineStr">
        <is>
          <t>37.95-32-2.95-CEW-CEW</t>
        </is>
      </c>
      <c r="AD1059" t="inlineStr">
        <is>
          <t>LL</t>
        </is>
      </c>
      <c r="AE1059" t="inlineStr">
        <is>
          <t>37.95-32-2.95-CEW-CEW-1</t>
        </is>
      </c>
      <c r="AF1059" t="n">
        <v>2.588145</v>
      </c>
    </row>
    <row r="1060">
      <c r="A1060" s="56" t="n">
        <v>2410996</v>
      </c>
      <c r="B1060" s="56" t="inlineStr">
        <is>
          <t>TUB-O-C-AUT-AD-FC-16.10X2.700X04-05</t>
        </is>
      </c>
      <c r="C1060" s="56" t="inlineStr">
        <is>
          <t>4B0563400B</t>
        </is>
      </c>
      <c r="D1060" s="56" t="n"/>
      <c r="E1060" s="57" t="n">
        <v>730.5</v>
      </c>
      <c r="F1060" s="57" t="n">
        <v>0.7305</v>
      </c>
      <c r="G1060" s="56" t="inlineStr">
        <is>
          <t>KG</t>
        </is>
      </c>
      <c r="H1060" s="56" t="inlineStr">
        <is>
          <t>R001</t>
        </is>
      </c>
      <c r="I1060" s="56" t="inlineStr">
        <is>
          <t>4731</t>
        </is>
      </c>
      <c r="J1060" s="56" t="n"/>
      <c r="K1060" s="56" t="n"/>
      <c r="L1060" s="56" t="n"/>
      <c r="M1060" s="56" t="n"/>
      <c r="N1060" s="56" t="inlineStr">
        <is>
          <t>ELKAYEM AUTO ANCILLARIES (PVT) LTD.</t>
        </is>
      </c>
      <c r="O1060" s="56" t="n">
        <v>41</v>
      </c>
      <c r="P1060" s="59" t="inlineStr">
        <is>
          <t>31-60</t>
        </is>
      </c>
      <c r="Q1060" s="56" t="inlineStr">
        <is>
          <t>Diwakar</t>
        </is>
      </c>
      <c r="U1060" t="n">
        <v>3502026</v>
      </c>
      <c r="V1060" t="n">
        <v>38</v>
      </c>
      <c r="W1060" t="n">
        <v>0</v>
      </c>
      <c r="X1060" t="n">
        <v>3</v>
      </c>
      <c r="Y1060" t="n">
        <v>6</v>
      </c>
      <c r="Z1060" t="inlineStr">
        <is>
          <t>KGR2</t>
        </is>
      </c>
      <c r="AA1060" t="inlineStr">
        <is>
          <t>FC</t>
        </is>
      </c>
      <c r="AB1060" t="inlineStr">
        <is>
          <t>AD</t>
        </is>
      </c>
      <c r="AC1060" t="inlineStr">
        <is>
          <t>37.95-32-2.95-CEW-CEW</t>
        </is>
      </c>
      <c r="AD1060" t="inlineStr">
        <is>
          <t>LL</t>
        </is>
      </c>
      <c r="AE1060" t="inlineStr">
        <is>
          <t>37.95-32-2.95-CEW-CEW-1</t>
        </is>
      </c>
      <c r="AF1060" t="n">
        <v>2.588145</v>
      </c>
    </row>
    <row r="1061">
      <c r="A1061" s="56" t="n">
        <v>2410996</v>
      </c>
      <c r="B1061" s="56" t="inlineStr">
        <is>
          <t>TUB-O-C-AUT-AD-FC-16.10X2.700X04-05</t>
        </is>
      </c>
      <c r="C1061" s="56" t="inlineStr">
        <is>
          <t>4B0563400A</t>
        </is>
      </c>
      <c r="D1061" s="56" t="n"/>
      <c r="E1061" s="57" t="n">
        <v>601.5</v>
      </c>
      <c r="F1061" s="57" t="n">
        <v>0.6015</v>
      </c>
      <c r="G1061" s="56" t="inlineStr">
        <is>
          <t>KG</t>
        </is>
      </c>
      <c r="H1061" s="56" t="inlineStr">
        <is>
          <t>R001</t>
        </is>
      </c>
      <c r="I1061" s="56" t="inlineStr">
        <is>
          <t>4731</t>
        </is>
      </c>
      <c r="J1061" s="56" t="n"/>
      <c r="K1061" s="56" t="n"/>
      <c r="L1061" s="56" t="n"/>
      <c r="M1061" s="56" t="n"/>
      <c r="N1061" s="56" t="inlineStr">
        <is>
          <t>ELKAYEM AUTO ANCILLARIES (PVT) LTD.</t>
        </is>
      </c>
      <c r="O1061" s="56" t="n">
        <v>41</v>
      </c>
      <c r="P1061" s="59" t="inlineStr">
        <is>
          <t>31-60</t>
        </is>
      </c>
      <c r="Q1061" s="56" t="inlineStr">
        <is>
          <t>Diwakar</t>
        </is>
      </c>
      <c r="U1061" s="585" t="n">
        <v>293855</v>
      </c>
      <c r="V1061" t="n">
        <v>38.1</v>
      </c>
      <c r="W1061" t="n">
        <v>0</v>
      </c>
      <c r="X1061" t="n">
        <v>1.6</v>
      </c>
      <c r="Y1061" t="n">
        <v>0.488</v>
      </c>
      <c r="Z1061" t="inlineStr">
        <is>
          <t>TPT</t>
        </is>
      </c>
      <c r="AA1061" t="inlineStr">
        <is>
          <t>PE</t>
        </is>
      </c>
      <c r="AB1061" t="inlineStr">
        <is>
          <t>AW</t>
        </is>
      </c>
      <c r="AC1061" t="inlineStr">
        <is>
          <t>38.1-0-1.6-ERW 1-FC</t>
        </is>
      </c>
      <c r="AD1061" t="inlineStr">
        <is>
          <t>CTL</t>
        </is>
      </c>
      <c r="AE1061" t="inlineStr">
        <is>
          <t>38.1-0-1.6-ERW 1-FC-0.488</t>
        </is>
      </c>
      <c r="AF1061" t="n">
        <v>0.7024767808000001</v>
      </c>
    </row>
    <row r="1062">
      <c r="A1062" s="56" t="n">
        <v>2410996</v>
      </c>
      <c r="B1062" s="56" t="inlineStr">
        <is>
          <t>TUB-O-C-AUT-AD-FC-16.10X2.700X04-05</t>
        </is>
      </c>
      <c r="C1062" s="56" t="inlineStr">
        <is>
          <t>4A28BK2080</t>
        </is>
      </c>
      <c r="D1062" s="56" t="n"/>
      <c r="E1062" s="57" t="n">
        <v>1393.5</v>
      </c>
      <c r="F1062" s="57" t="n">
        <v>1.3935</v>
      </c>
      <c r="G1062" s="56" t="inlineStr">
        <is>
          <t>KG</t>
        </is>
      </c>
      <c r="H1062" s="56" t="inlineStr">
        <is>
          <t>R001</t>
        </is>
      </c>
      <c r="I1062" s="56" t="inlineStr">
        <is>
          <t>4731</t>
        </is>
      </c>
      <c r="J1062" s="56" t="n"/>
      <c r="K1062" s="56" t="n"/>
      <c r="L1062" s="56" t="n"/>
      <c r="M1062" s="56" t="n"/>
      <c r="N1062" s="56" t="inlineStr">
        <is>
          <t>ELKAYEM AUTO ANCILLARIES (PVT) LTD.</t>
        </is>
      </c>
      <c r="O1062" s="56" t="n">
        <v>41</v>
      </c>
      <c r="P1062" s="59" t="inlineStr">
        <is>
          <t>31-60</t>
        </is>
      </c>
      <c r="Q1062" s="56" t="inlineStr">
        <is>
          <t>Diwakar</t>
        </is>
      </c>
      <c r="U1062" s="585" t="n">
        <v>1940730</v>
      </c>
      <c r="V1062" t="n">
        <v>38.1</v>
      </c>
      <c r="W1062" t="n">
        <v>0</v>
      </c>
      <c r="X1062" t="n">
        <v>1.6</v>
      </c>
      <c r="Y1062" t="n">
        <v>0.488</v>
      </c>
      <c r="Z1062" t="inlineStr">
        <is>
          <t>GR1</t>
        </is>
      </c>
      <c r="AA1062" t="inlineStr">
        <is>
          <t>FC</t>
        </is>
      </c>
      <c r="AB1062" t="inlineStr">
        <is>
          <t>AW</t>
        </is>
      </c>
      <c r="AC1062" t="inlineStr">
        <is>
          <t>38.1-0-1.6-ERW 1-FC</t>
        </is>
      </c>
      <c r="AD1062" t="inlineStr">
        <is>
          <t>CTL</t>
        </is>
      </c>
      <c r="AE1062" t="inlineStr">
        <is>
          <t>38.1-0-1.6-ERW 1-FC-0.488</t>
        </is>
      </c>
      <c r="AF1062" t="n">
        <v>0.7024767808000001</v>
      </c>
    </row>
    <row r="1063">
      <c r="A1063" s="56" t="n">
        <v>2410996</v>
      </c>
      <c r="B1063" s="56" t="inlineStr">
        <is>
          <t>TUB-O-C-AUT-AD-FC-16.10X2.700X04-05</t>
        </is>
      </c>
      <c r="C1063" s="56" t="inlineStr">
        <is>
          <t>4A28BK2070</t>
        </is>
      </c>
      <c r="D1063" s="56" t="n"/>
      <c r="E1063" s="57" t="n">
        <v>1364.5</v>
      </c>
      <c r="F1063" s="57" t="n">
        <v>1.3645</v>
      </c>
      <c r="G1063" s="56" t="inlineStr">
        <is>
          <t>KG</t>
        </is>
      </c>
      <c r="H1063" s="56" t="inlineStr">
        <is>
          <t>R001</t>
        </is>
      </c>
      <c r="I1063" s="56" t="inlineStr">
        <is>
          <t>4731</t>
        </is>
      </c>
      <c r="J1063" s="56" t="n"/>
      <c r="K1063" s="56" t="n"/>
      <c r="L1063" s="56" t="n"/>
      <c r="M1063" s="56" t="n"/>
      <c r="N1063" s="56" t="inlineStr">
        <is>
          <t>ELKAYEM AUTO ANCILLARIES (PVT) LTD.</t>
        </is>
      </c>
      <c r="O1063" s="56" t="n">
        <v>41</v>
      </c>
      <c r="P1063" s="59" t="inlineStr">
        <is>
          <t>31-60</t>
        </is>
      </c>
      <c r="Q1063" s="56" t="inlineStr">
        <is>
          <t>Diwakar</t>
        </is>
      </c>
      <c r="U1063" s="585" t="n">
        <v>302897</v>
      </c>
      <c r="V1063" t="n">
        <v>38.1</v>
      </c>
      <c r="W1063" t="n">
        <v>0</v>
      </c>
      <c r="X1063" t="n">
        <v>1.6</v>
      </c>
      <c r="Y1063" t="n">
        <v>0.8120000000000001</v>
      </c>
      <c r="Z1063" t="inlineStr">
        <is>
          <t>AU27</t>
        </is>
      </c>
      <c r="AA1063" t="inlineStr">
        <is>
          <t>FC</t>
        </is>
      </c>
      <c r="AB1063" t="inlineStr">
        <is>
          <t>AW</t>
        </is>
      </c>
      <c r="AC1063" t="inlineStr">
        <is>
          <t>38.1-0-1.6-ERW 1-FC</t>
        </is>
      </c>
      <c r="AD1063" t="inlineStr">
        <is>
          <t>CTL</t>
        </is>
      </c>
      <c r="AE1063" t="inlineStr">
        <is>
          <t>38.1-0-1.6-ERW 1-FC-0.812</t>
        </is>
      </c>
      <c r="AF1063" t="n">
        <v>1.1688752992</v>
      </c>
    </row>
    <row r="1064">
      <c r="A1064" s="56" t="n">
        <v>2410997</v>
      </c>
      <c r="B1064" s="56" t="inlineStr">
        <is>
          <t>TUB-O-C-AUT-AD-FC-25.40X3.200X04-05</t>
        </is>
      </c>
      <c r="C1064" s="56" t="inlineStr">
        <is>
          <t>4C0465330B</t>
        </is>
      </c>
      <c r="D1064" s="56" t="n"/>
      <c r="E1064" s="57" t="n">
        <v>1257</v>
      </c>
      <c r="F1064" s="57" t="n">
        <v>1.257</v>
      </c>
      <c r="G1064" s="56" t="inlineStr">
        <is>
          <t>KG</t>
        </is>
      </c>
      <c r="H1064" s="56" t="inlineStr">
        <is>
          <t>TF01</t>
        </is>
      </c>
      <c r="I1064" s="56" t="inlineStr">
        <is>
          <t>4731</t>
        </is>
      </c>
      <c r="J1064" s="56" t="n"/>
      <c r="K1064" s="56" t="n"/>
      <c r="L1064" s="56" t="n"/>
      <c r="M1064" s="56" t="n"/>
      <c r="N1064" s="56" t="inlineStr">
        <is>
          <t>Neel Metal Products Limited</t>
        </is>
      </c>
      <c r="O1064" s="56" t="n">
        <v>32</v>
      </c>
      <c r="P1064" s="59" t="inlineStr">
        <is>
          <t>31-60</t>
        </is>
      </c>
      <c r="Q1064" s="56" t="inlineStr">
        <is>
          <t>Apoorv</t>
        </is>
      </c>
      <c r="U1064" s="585" t="n">
        <v>1940731</v>
      </c>
      <c r="V1064" t="n">
        <v>38.1</v>
      </c>
      <c r="W1064" t="n">
        <v>0</v>
      </c>
      <c r="X1064" t="n">
        <v>1.6</v>
      </c>
      <c r="Y1064" t="n">
        <v>0.8120000000000001</v>
      </c>
      <c r="Z1064" t="inlineStr">
        <is>
          <t>GR1</t>
        </is>
      </c>
      <c r="AA1064" t="inlineStr">
        <is>
          <t>FC</t>
        </is>
      </c>
      <c r="AB1064" t="inlineStr">
        <is>
          <t>AW</t>
        </is>
      </c>
      <c r="AC1064" t="inlineStr">
        <is>
          <t>38.1-0-1.6-ERW 1-FC</t>
        </is>
      </c>
      <c r="AD1064" t="inlineStr">
        <is>
          <t>CTL</t>
        </is>
      </c>
      <c r="AE1064" t="inlineStr">
        <is>
          <t>38.1-0-1.6-ERW 1-FC-0.812</t>
        </is>
      </c>
      <c r="AF1064" t="n">
        <v>1.1688752992</v>
      </c>
    </row>
    <row r="1065">
      <c r="A1065" s="56" t="n">
        <v>2410997</v>
      </c>
      <c r="B1065" s="56" t="inlineStr">
        <is>
          <t>TUB-O-C-AUT-AD-FC-25.40X3.200X04-05</t>
        </is>
      </c>
      <c r="C1065" s="56" t="inlineStr">
        <is>
          <t>482167790C</t>
        </is>
      </c>
      <c r="D1065" s="56" t="n"/>
      <c r="E1065" s="57" t="n">
        <v>100</v>
      </c>
      <c r="F1065" s="57" t="n">
        <v>0.1</v>
      </c>
      <c r="G1065" s="56" t="inlineStr">
        <is>
          <t>KG</t>
        </is>
      </c>
      <c r="H1065" s="56" t="inlineStr">
        <is>
          <t>TF01</t>
        </is>
      </c>
      <c r="I1065" s="56" t="inlineStr">
        <is>
          <t>4731</t>
        </is>
      </c>
      <c r="J1065" s="56" t="n"/>
      <c r="K1065" s="56" t="n"/>
      <c r="L1065" s="56" t="n"/>
      <c r="M1065" s="56" t="n"/>
      <c r="N1065" s="56" t="inlineStr">
        <is>
          <t>Neel Metal Products Limited</t>
        </is>
      </c>
      <c r="O1065" s="56" t="n">
        <v>83</v>
      </c>
      <c r="P1065" s="59" t="inlineStr">
        <is>
          <t>61-90</t>
        </is>
      </c>
      <c r="Q1065" s="56" t="inlineStr">
        <is>
          <t>Apoorv</t>
        </is>
      </c>
      <c r="U1065" s="585" t="n">
        <v>3507790</v>
      </c>
      <c r="V1065" t="n">
        <v>38.1</v>
      </c>
      <c r="W1065" t="n">
        <v>0</v>
      </c>
      <c r="X1065" t="n">
        <v>1.6</v>
      </c>
      <c r="Y1065" t="n">
        <v>0.8149999999999999</v>
      </c>
      <c r="Z1065" t="inlineStr"/>
      <c r="AA1065" t="inlineStr">
        <is>
          <t>FC</t>
        </is>
      </c>
      <c r="AB1065" t="inlineStr">
        <is>
          <t>AW</t>
        </is>
      </c>
      <c r="AC1065" t="inlineStr">
        <is>
          <t>38.1-0-1.6-ERW 1-FC</t>
        </is>
      </c>
      <c r="AD1065" t="inlineStr">
        <is>
          <t>CTL</t>
        </is>
      </c>
      <c r="AE1065" t="inlineStr">
        <is>
          <t>38.1-0-1.6-ERW 1-FC-0.815</t>
        </is>
      </c>
      <c r="AF1065" t="n">
        <v>1.173193804</v>
      </c>
    </row>
    <row r="1066">
      <c r="A1066" s="56" t="n">
        <v>2410997</v>
      </c>
      <c r="B1066" s="56" t="inlineStr">
        <is>
          <t>TUB-O-C-AUT-AD-FC-25.40X3.200X04-05</t>
        </is>
      </c>
      <c r="C1066" s="56" t="inlineStr">
        <is>
          <t>482167780A</t>
        </is>
      </c>
      <c r="D1066" s="56" t="n"/>
      <c r="E1066" s="57" t="n">
        <v>932</v>
      </c>
      <c r="F1066" s="57" t="n">
        <v>0.9320000000000001</v>
      </c>
      <c r="G1066" s="56" t="inlineStr">
        <is>
          <t>KG</t>
        </is>
      </c>
      <c r="H1066" s="56" t="inlineStr">
        <is>
          <t>TF01</t>
        </is>
      </c>
      <c r="I1066" s="56" t="inlineStr">
        <is>
          <t>4731</t>
        </is>
      </c>
      <c r="J1066" s="56" t="n"/>
      <c r="K1066" s="56" t="n"/>
      <c r="L1066" s="56" t="n"/>
      <c r="M1066" s="56" t="n"/>
      <c r="N1066" s="56" t="inlineStr">
        <is>
          <t>Neel Metal Products Limited</t>
        </is>
      </c>
      <c r="O1066" s="56" t="n">
        <v>83</v>
      </c>
      <c r="P1066" s="59" t="inlineStr">
        <is>
          <t>61-90</t>
        </is>
      </c>
      <c r="Q1066" s="56" t="inlineStr">
        <is>
          <t>Apoorv</t>
        </is>
      </c>
      <c r="U1066" s="585" t="n">
        <v>1940732</v>
      </c>
      <c r="V1066" t="n">
        <v>38.1</v>
      </c>
      <c r="W1066" t="n">
        <v>0</v>
      </c>
      <c r="X1066" t="n">
        <v>1.6</v>
      </c>
      <c r="Y1066" t="n">
        <v>0.821</v>
      </c>
      <c r="Z1066" t="inlineStr">
        <is>
          <t>GR1</t>
        </is>
      </c>
      <c r="AA1066" t="inlineStr">
        <is>
          <t>FC</t>
        </is>
      </c>
      <c r="AB1066" t="inlineStr">
        <is>
          <t>AW</t>
        </is>
      </c>
      <c r="AC1066" t="inlineStr">
        <is>
          <t>38.1-0-1.6-ERW 1-FC</t>
        </is>
      </c>
      <c r="AD1066" t="inlineStr">
        <is>
          <t>CTL</t>
        </is>
      </c>
      <c r="AE1066" t="inlineStr">
        <is>
          <t>38.1-0-1.6-ERW 1-FC-0.821</t>
        </is>
      </c>
      <c r="AF1066" t="n">
        <v>1.1818308136</v>
      </c>
    </row>
    <row r="1067">
      <c r="A1067" s="56" t="n">
        <v>2410997</v>
      </c>
      <c r="B1067" s="56" t="inlineStr">
        <is>
          <t>TUB-O-C-AUT-AD-FC-25.40X3.200X04-05</t>
        </is>
      </c>
      <c r="C1067" s="56" t="inlineStr">
        <is>
          <t>4B23CK2100</t>
        </is>
      </c>
      <c r="D1067" s="56" t="n"/>
      <c r="E1067" s="57" t="n">
        <v>1692</v>
      </c>
      <c r="F1067" s="57" t="n">
        <v>1.692</v>
      </c>
      <c r="G1067" s="56" t="inlineStr">
        <is>
          <t>KG</t>
        </is>
      </c>
      <c r="H1067" s="56" t="inlineStr">
        <is>
          <t>R001</t>
        </is>
      </c>
      <c r="I1067" s="56" t="inlineStr">
        <is>
          <t>4731</t>
        </is>
      </c>
      <c r="J1067" s="56" t="n"/>
      <c r="K1067" s="56" t="n"/>
      <c r="L1067" s="56" t="n"/>
      <c r="M1067" s="56" t="n"/>
      <c r="N1067" s="56" t="inlineStr">
        <is>
          <t>Neel Metal Products Limited</t>
        </is>
      </c>
      <c r="O1067" s="56" t="n">
        <v>31</v>
      </c>
      <c r="P1067" s="59" t="inlineStr">
        <is>
          <t>31-60</t>
        </is>
      </c>
      <c r="Q1067" s="56" t="inlineStr">
        <is>
          <t>Apoorv</t>
        </is>
      </c>
      <c r="U1067" s="585" t="n">
        <v>2436343</v>
      </c>
      <c r="V1067" t="n">
        <v>38.1</v>
      </c>
      <c r="W1067" t="n">
        <v>0</v>
      </c>
      <c r="X1067" t="n">
        <v>1.6</v>
      </c>
      <c r="Y1067" t="n">
        <v>0.875</v>
      </c>
      <c r="Z1067" t="inlineStr">
        <is>
          <t>ST52AL</t>
        </is>
      </c>
      <c r="AA1067" t="inlineStr">
        <is>
          <t>FC</t>
        </is>
      </c>
      <c r="AB1067" t="inlineStr">
        <is>
          <t>AW</t>
        </is>
      </c>
      <c r="AC1067" t="inlineStr">
        <is>
          <t>38.1-0-1.6-ERW 2 MAHS-FC</t>
        </is>
      </c>
      <c r="AD1067" t="inlineStr">
        <is>
          <t>CTL</t>
        </is>
      </c>
      <c r="AE1067" t="inlineStr">
        <is>
          <t>38.1-0-1.6-ERW 2 MAHS-FC-0.875</t>
        </is>
      </c>
      <c r="AF1067" t="n">
        <v>1.2595639</v>
      </c>
    </row>
    <row r="1068">
      <c r="A1068" s="56" t="n">
        <v>2410998</v>
      </c>
      <c r="B1068" s="56" t="inlineStr">
        <is>
          <t>TUB-O-C-AUT-AD-FC-18.20X2.950X04-05</t>
        </is>
      </c>
      <c r="C1068" s="56" t="inlineStr">
        <is>
          <t>4A1061590B</t>
        </is>
      </c>
      <c r="D1068" s="56" t="n"/>
      <c r="E1068" s="57" t="n">
        <v>678</v>
      </c>
      <c r="F1068" s="57" t="n">
        <v>0.678</v>
      </c>
      <c r="G1068" s="56" t="inlineStr">
        <is>
          <t>KG</t>
        </is>
      </c>
      <c r="H1068" s="56" t="inlineStr">
        <is>
          <t>TF01</t>
        </is>
      </c>
      <c r="I1068" s="56" t="inlineStr">
        <is>
          <t>4731</t>
        </is>
      </c>
      <c r="J1068" s="56" t="n"/>
      <c r="K1068" s="56" t="n"/>
      <c r="L1068" s="56" t="n"/>
      <c r="M1068" s="56" t="n"/>
      <c r="N1068" s="56" t="inlineStr">
        <is>
          <t>RAJSRIYA AUTOMOTIVE IND. P LTD</t>
        </is>
      </c>
      <c r="O1068" s="56" t="n">
        <v>81</v>
      </c>
      <c r="P1068" s="59" t="inlineStr">
        <is>
          <t>61-90</t>
        </is>
      </c>
      <c r="Q1068" s="56" t="inlineStr">
        <is>
          <t>Apoorv</t>
        </is>
      </c>
      <c r="U1068" s="585" t="n">
        <v>3841884</v>
      </c>
      <c r="V1068" t="n">
        <v>38.1</v>
      </c>
      <c r="W1068" t="n">
        <v>0</v>
      </c>
      <c r="X1068" t="n">
        <v>1.6</v>
      </c>
      <c r="Y1068" t="n">
        <v>0.875</v>
      </c>
      <c r="Z1068" t="inlineStr">
        <is>
          <t>ST52AL</t>
        </is>
      </c>
      <c r="AA1068" t="inlineStr">
        <is>
          <t>FC</t>
        </is>
      </c>
      <c r="AB1068" t="inlineStr">
        <is>
          <t>AW</t>
        </is>
      </c>
      <c r="AC1068" t="inlineStr">
        <is>
          <t>38.1-0-1.6-ERW 2 MAHS-FC</t>
        </is>
      </c>
      <c r="AD1068" t="inlineStr">
        <is>
          <t>CTL</t>
        </is>
      </c>
      <c r="AE1068" t="inlineStr">
        <is>
          <t>38.1-0-1.6-ERW 2 MAHS-FC-0.875</t>
        </is>
      </c>
      <c r="AF1068" t="n">
        <v>1.2595639</v>
      </c>
    </row>
    <row r="1069">
      <c r="A1069" s="56" t="n">
        <v>2410998</v>
      </c>
      <c r="B1069" s="56" t="inlineStr">
        <is>
          <t>TUB-O-C-AUT-AD-FC-18.20X2.950X04-05</t>
        </is>
      </c>
      <c r="C1069" s="56" t="inlineStr">
        <is>
          <t>4A1061590A</t>
        </is>
      </c>
      <c r="D1069" s="56" t="n"/>
      <c r="E1069" s="57" t="n">
        <v>662</v>
      </c>
      <c r="F1069" s="57" t="n">
        <v>0.662</v>
      </c>
      <c r="G1069" s="56" t="inlineStr">
        <is>
          <t>KG</t>
        </is>
      </c>
      <c r="H1069" s="56" t="inlineStr">
        <is>
          <t>TF01</t>
        </is>
      </c>
      <c r="I1069" s="56" t="inlineStr">
        <is>
          <t>4731</t>
        </is>
      </c>
      <c r="J1069" s="56" t="n"/>
      <c r="K1069" s="56" t="n"/>
      <c r="L1069" s="56" t="n"/>
      <c r="M1069" s="56" t="n"/>
      <c r="N1069" s="56" t="inlineStr">
        <is>
          <t>RAJSRIYA AUTOMOTIVE IND. P LTD</t>
        </is>
      </c>
      <c r="O1069" s="56" t="n">
        <v>81</v>
      </c>
      <c r="P1069" s="59" t="inlineStr">
        <is>
          <t>61-90</t>
        </is>
      </c>
      <c r="Q1069" s="56" t="inlineStr">
        <is>
          <t>Apoorv</t>
        </is>
      </c>
      <c r="U1069" s="585" t="n">
        <v>1523477</v>
      </c>
      <c r="V1069" t="n">
        <v>38.1</v>
      </c>
      <c r="W1069" t="n">
        <v>0</v>
      </c>
      <c r="X1069" t="n">
        <v>1.6</v>
      </c>
      <c r="Y1069" t="n">
        <v>0.875</v>
      </c>
      <c r="Z1069" t="inlineStr"/>
      <c r="AA1069" t="inlineStr">
        <is>
          <t>FC</t>
        </is>
      </c>
      <c r="AB1069" t="inlineStr">
        <is>
          <t>AW</t>
        </is>
      </c>
      <c r="AC1069" t="inlineStr">
        <is>
          <t>38.1-0-1.6-ERW 2 MAHS-FC</t>
        </is>
      </c>
      <c r="AD1069" t="inlineStr">
        <is>
          <t>CTL</t>
        </is>
      </c>
      <c r="AE1069" t="inlineStr">
        <is>
          <t>38.1-0-1.6-ERW 2 MAHS-FC-0.875</t>
        </is>
      </c>
      <c r="AF1069" t="n">
        <v>1.2595639</v>
      </c>
    </row>
    <row r="1070">
      <c r="A1070" s="56" t="n">
        <v>2410998</v>
      </c>
      <c r="B1070" s="56" t="inlineStr">
        <is>
          <t>TUB-O-C-AUT-AD-FC-18.20X2.950X04-05</t>
        </is>
      </c>
      <c r="C1070" s="56" t="inlineStr">
        <is>
          <t>4929BK2100</t>
        </is>
      </c>
      <c r="D1070" s="56" t="n"/>
      <c r="E1070" s="57" t="n">
        <v>1594.094</v>
      </c>
      <c r="F1070" s="57" t="n">
        <v>1.594094</v>
      </c>
      <c r="G1070" s="56" t="inlineStr">
        <is>
          <t>KG</t>
        </is>
      </c>
      <c r="H1070" s="56" t="inlineStr">
        <is>
          <t>TF01</t>
        </is>
      </c>
      <c r="I1070" s="56" t="inlineStr">
        <is>
          <t>4731</t>
        </is>
      </c>
      <c r="J1070" s="56" t="n"/>
      <c r="K1070" s="56" t="n"/>
      <c r="L1070" s="56" t="n"/>
      <c r="M1070" s="56" t="n"/>
      <c r="N1070" s="56" t="inlineStr">
        <is>
          <t>RAJSRIYA AUTOMOTIVE IND. P LTD</t>
        </is>
      </c>
      <c r="O1070" s="56" t="n">
        <v>88</v>
      </c>
      <c r="P1070" s="59" t="inlineStr">
        <is>
          <t>61-90</t>
        </is>
      </c>
      <c r="Q1070" s="56" t="inlineStr">
        <is>
          <t>Apoorv</t>
        </is>
      </c>
      <c r="U1070" s="585" t="n">
        <v>3768904</v>
      </c>
      <c r="V1070" t="n">
        <v>38.1</v>
      </c>
      <c r="W1070" t="n">
        <v>0</v>
      </c>
      <c r="X1070" t="n">
        <v>1.6</v>
      </c>
      <c r="Y1070" t="n">
        <v>0.878</v>
      </c>
      <c r="Z1070" t="inlineStr">
        <is>
          <t>ST52AL</t>
        </is>
      </c>
      <c r="AA1070" t="inlineStr">
        <is>
          <t>FC</t>
        </is>
      </c>
      <c r="AB1070" t="inlineStr">
        <is>
          <t>AW</t>
        </is>
      </c>
      <c r="AC1070" t="inlineStr">
        <is>
          <t>38.1-0-1.6-ERW 2 MAHS-FC</t>
        </is>
      </c>
      <c r="AD1070" t="inlineStr">
        <is>
          <t>CTL</t>
        </is>
      </c>
      <c r="AE1070" t="inlineStr">
        <is>
          <t>38.1-0-1.6-ERW 2 MAHS-FC-0.878</t>
        </is>
      </c>
      <c r="AF1070" t="n">
        <v>1.2638824048</v>
      </c>
    </row>
    <row r="1071">
      <c r="A1071" s="56" t="n">
        <v>2410998</v>
      </c>
      <c r="B1071" s="56" t="inlineStr">
        <is>
          <t>TUB-O-C-AUT-AD-FC-18.20X2.950X04-05</t>
        </is>
      </c>
      <c r="C1071" s="56" t="inlineStr">
        <is>
          <t>4B0463370C</t>
        </is>
      </c>
      <c r="D1071" s="56" t="n"/>
      <c r="E1071" s="57" t="n">
        <v>142.5</v>
      </c>
      <c r="F1071" s="57" t="n">
        <v>0.1425</v>
      </c>
      <c r="G1071" s="56" t="inlineStr">
        <is>
          <t>KG</t>
        </is>
      </c>
      <c r="H1071" s="56" t="inlineStr">
        <is>
          <t>R001</t>
        </is>
      </c>
      <c r="I1071" s="56" t="inlineStr">
        <is>
          <t>4731</t>
        </is>
      </c>
      <c r="J1071" s="56" t="n"/>
      <c r="K1071" s="56" t="n"/>
      <c r="L1071" s="56" t="n"/>
      <c r="M1071" s="56" t="n"/>
      <c r="N1071" s="56" t="inlineStr">
        <is>
          <t>RAJSRIYA AUTOMOTIVE IND. P LTD</t>
        </is>
      </c>
      <c r="O1071" s="56" t="n">
        <v>41</v>
      </c>
      <c r="P1071" s="59" t="inlineStr">
        <is>
          <t>31-60</t>
        </is>
      </c>
      <c r="Q1071" s="56" t="inlineStr">
        <is>
          <t>Apoorv</t>
        </is>
      </c>
      <c r="U1071" s="585" t="n">
        <v>3191747</v>
      </c>
      <c r="V1071" t="n">
        <v>38.1</v>
      </c>
      <c r="W1071" t="n">
        <v>0</v>
      </c>
      <c r="X1071" t="n">
        <v>1.6</v>
      </c>
      <c r="Y1071" t="n">
        <v>0.93</v>
      </c>
      <c r="Z1071" t="inlineStr">
        <is>
          <t>ST52AL</t>
        </is>
      </c>
      <c r="AA1071" t="inlineStr">
        <is>
          <t>FC</t>
        </is>
      </c>
      <c r="AB1071" t="inlineStr">
        <is>
          <t>AW</t>
        </is>
      </c>
      <c r="AC1071" t="inlineStr">
        <is>
          <t>38.1-0-1.6-ERW 2 MAHS-FC</t>
        </is>
      </c>
      <c r="AD1071" t="inlineStr">
        <is>
          <t>CTL</t>
        </is>
      </c>
      <c r="AE1071" t="inlineStr">
        <is>
          <t>38.1-0-1.6-ERW 2 MAHS-FC-0.93</t>
        </is>
      </c>
      <c r="AF1071" t="n">
        <v>1.338736488</v>
      </c>
    </row>
    <row r="1072">
      <c r="A1072" s="56" t="n">
        <v>2410998</v>
      </c>
      <c r="B1072" s="56" t="inlineStr">
        <is>
          <t>TUB-O-C-AUT-AD-FC-18.20X2.950X04-05</t>
        </is>
      </c>
      <c r="C1072" s="56" t="inlineStr">
        <is>
          <t>4B0463370B</t>
        </is>
      </c>
      <c r="D1072" s="56" t="n"/>
      <c r="E1072" s="57" t="n">
        <v>692.5</v>
      </c>
      <c r="F1072" s="57" t="n">
        <v>0.6925</v>
      </c>
      <c r="G1072" s="56" t="inlineStr">
        <is>
          <t>KG</t>
        </is>
      </c>
      <c r="H1072" s="56" t="inlineStr">
        <is>
          <t>R001</t>
        </is>
      </c>
      <c r="I1072" s="56" t="inlineStr">
        <is>
          <t>4731</t>
        </is>
      </c>
      <c r="J1072" s="56" t="n"/>
      <c r="K1072" s="56" t="n"/>
      <c r="L1072" s="56" t="n"/>
      <c r="M1072" s="56" t="n"/>
      <c r="N1072" s="56" t="inlineStr">
        <is>
          <t>RAJSRIYA AUTOMOTIVE IND. P LTD</t>
        </is>
      </c>
      <c r="O1072" s="56" t="n">
        <v>41</v>
      </c>
      <c r="P1072" s="59" t="inlineStr">
        <is>
          <t>31-60</t>
        </is>
      </c>
      <c r="Q1072" s="56" t="inlineStr">
        <is>
          <t>Apoorv</t>
        </is>
      </c>
      <c r="U1072" s="585" t="n">
        <v>1194658</v>
      </c>
      <c r="V1072" t="n">
        <v>38.1</v>
      </c>
      <c r="W1072" t="n">
        <v>0</v>
      </c>
      <c r="X1072" t="n">
        <v>1.6</v>
      </c>
      <c r="Y1072" t="n">
        <v>0.97</v>
      </c>
      <c r="Z1072" t="inlineStr"/>
      <c r="AA1072" t="inlineStr">
        <is>
          <t>FC</t>
        </is>
      </c>
      <c r="AB1072" t="inlineStr">
        <is>
          <t>AW</t>
        </is>
      </c>
      <c r="AC1072" t="inlineStr">
        <is>
          <t>38.1-0-1.6-ERW 1-FC</t>
        </is>
      </c>
      <c r="AD1072" t="inlineStr">
        <is>
          <t>CTL</t>
        </is>
      </c>
      <c r="AE1072" t="inlineStr">
        <is>
          <t>38.1-0-1.6-ERW 1-FC-0.97</t>
        </is>
      </c>
      <c r="AF1072" t="n">
        <v>1.396316552</v>
      </c>
    </row>
    <row r="1073">
      <c r="A1073" s="56" t="n">
        <v>2410998</v>
      </c>
      <c r="B1073" s="56" t="inlineStr">
        <is>
          <t>TUB-O-C-AUT-AD-FC-18.20X2.950X04-05</t>
        </is>
      </c>
      <c r="C1073" s="56" t="inlineStr">
        <is>
          <t>4B0463370A</t>
        </is>
      </c>
      <c r="D1073" s="56" t="n"/>
      <c r="E1073" s="57" t="n">
        <v>680.5</v>
      </c>
      <c r="F1073" s="57" t="n">
        <v>0.6805</v>
      </c>
      <c r="G1073" s="56" t="inlineStr">
        <is>
          <t>KG</t>
        </is>
      </c>
      <c r="H1073" s="56" t="inlineStr">
        <is>
          <t>R001</t>
        </is>
      </c>
      <c r="I1073" s="56" t="inlineStr">
        <is>
          <t>4731</t>
        </is>
      </c>
      <c r="J1073" s="56" t="n"/>
      <c r="K1073" s="56" t="n"/>
      <c r="L1073" s="56" t="n"/>
      <c r="M1073" s="56" t="n"/>
      <c r="N1073" s="56" t="inlineStr">
        <is>
          <t>RAJSRIYA AUTOMOTIVE IND. P LTD</t>
        </is>
      </c>
      <c r="O1073" s="56" t="n">
        <v>41</v>
      </c>
      <c r="P1073" s="59" t="inlineStr">
        <is>
          <t>31-60</t>
        </is>
      </c>
      <c r="Q1073" s="56" t="inlineStr">
        <is>
          <t>Apoorv</t>
        </is>
      </c>
      <c r="U1073" s="585" t="n">
        <v>3507336</v>
      </c>
      <c r="V1073" t="n">
        <v>38.1</v>
      </c>
      <c r="W1073" t="n">
        <v>0</v>
      </c>
      <c r="X1073" t="n">
        <v>1.6</v>
      </c>
      <c r="Y1073" t="n">
        <v>0.97</v>
      </c>
      <c r="Z1073" t="inlineStr">
        <is>
          <t>NORMAL</t>
        </is>
      </c>
      <c r="AA1073" t="inlineStr">
        <is>
          <t>FC</t>
        </is>
      </c>
      <c r="AB1073" t="inlineStr">
        <is>
          <t>AW</t>
        </is>
      </c>
      <c r="AC1073" t="inlineStr">
        <is>
          <t>38.1-0-1.6-ERW 1-FC</t>
        </is>
      </c>
      <c r="AD1073" t="inlineStr">
        <is>
          <t>CTL</t>
        </is>
      </c>
      <c r="AE1073" t="inlineStr">
        <is>
          <t>38.1-0-1.6-ERW 1-FC-0.97</t>
        </is>
      </c>
      <c r="AF1073" t="n">
        <v>1.396316552</v>
      </c>
    </row>
    <row r="1074">
      <c r="A1074" s="56" t="n">
        <v>2410998</v>
      </c>
      <c r="B1074" s="56" t="inlineStr">
        <is>
          <t>TUB-O-C-AUT-AD-FC-18.20X2.950X04-05</t>
        </is>
      </c>
      <c r="C1074" s="56" t="inlineStr">
        <is>
          <t>4B0463340C</t>
        </is>
      </c>
      <c r="D1074" s="56" t="n"/>
      <c r="E1074" s="57" t="n">
        <v>141.5</v>
      </c>
      <c r="F1074" s="57" t="n">
        <v>0.1415</v>
      </c>
      <c r="G1074" s="56" t="inlineStr">
        <is>
          <t>KG</t>
        </is>
      </c>
      <c r="H1074" s="56" t="inlineStr">
        <is>
          <t>R001</t>
        </is>
      </c>
      <c r="I1074" s="56" t="inlineStr">
        <is>
          <t>4731</t>
        </is>
      </c>
      <c r="J1074" s="56" t="n"/>
      <c r="K1074" s="56" t="n"/>
      <c r="L1074" s="56" t="n"/>
      <c r="M1074" s="56" t="n"/>
      <c r="N1074" s="56" t="inlineStr">
        <is>
          <t>RAJSRIYA AUTOMOTIVE IND. P LTD</t>
        </is>
      </c>
      <c r="O1074" s="56" t="n">
        <v>41</v>
      </c>
      <c r="P1074" s="59" t="inlineStr">
        <is>
          <t>31-60</t>
        </is>
      </c>
      <c r="Q1074" s="56" t="inlineStr">
        <is>
          <t>Apoorv</t>
        </is>
      </c>
      <c r="U1074" s="585" t="n">
        <v>3500233</v>
      </c>
      <c r="V1074" t="n">
        <v>38.1</v>
      </c>
      <c r="W1074" t="n">
        <v>0</v>
      </c>
      <c r="X1074" t="n">
        <v>1.6</v>
      </c>
      <c r="Y1074" t="n">
        <v>4.95</v>
      </c>
      <c r="Z1074" t="inlineStr">
        <is>
          <t>TPT</t>
        </is>
      </c>
      <c r="AA1074" t="inlineStr">
        <is>
          <t>FC</t>
        </is>
      </c>
      <c r="AB1074" t="inlineStr">
        <is>
          <t>AW</t>
        </is>
      </c>
      <c r="AC1074" t="inlineStr">
        <is>
          <t>38.1-0-1.6-ERW 1-FC</t>
        </is>
      </c>
      <c r="AD1074" t="inlineStr">
        <is>
          <t>LL</t>
        </is>
      </c>
      <c r="AE1074" t="inlineStr">
        <is>
          <t>38.1-0-1.6-ERW 1-FC-1</t>
        </is>
      </c>
      <c r="AF1074" t="n">
        <v>1.4395016</v>
      </c>
    </row>
    <row r="1075">
      <c r="A1075" s="56" t="n">
        <v>2410998</v>
      </c>
      <c r="B1075" s="56" t="inlineStr">
        <is>
          <t>TUB-O-C-AUT-AD-FC-18.20X2.950X04-05</t>
        </is>
      </c>
      <c r="C1075" s="56" t="inlineStr">
        <is>
          <t>4B0463340B</t>
        </is>
      </c>
      <c r="D1075" s="56" t="n"/>
      <c r="E1075" s="57" t="n">
        <v>695.5</v>
      </c>
      <c r="F1075" s="57" t="n">
        <v>0.6955</v>
      </c>
      <c r="G1075" s="56" t="inlineStr">
        <is>
          <t>KG</t>
        </is>
      </c>
      <c r="H1075" s="56" t="inlineStr">
        <is>
          <t>R001</t>
        </is>
      </c>
      <c r="I1075" s="56" t="inlineStr">
        <is>
          <t>4731</t>
        </is>
      </c>
      <c r="J1075" s="56" t="n"/>
      <c r="K1075" s="56" t="n"/>
      <c r="L1075" s="56" t="n"/>
      <c r="M1075" s="56" t="n"/>
      <c r="N1075" s="56" t="inlineStr">
        <is>
          <t>RAJSRIYA AUTOMOTIVE IND. P LTD</t>
        </is>
      </c>
      <c r="O1075" s="56" t="n">
        <v>41</v>
      </c>
      <c r="P1075" s="59" t="inlineStr">
        <is>
          <t>31-60</t>
        </is>
      </c>
      <c r="Q1075" s="56" t="inlineStr">
        <is>
          <t>Apoorv</t>
        </is>
      </c>
      <c r="U1075" s="586" t="n">
        <v>111116369</v>
      </c>
      <c r="V1075" t="n">
        <v>38.1</v>
      </c>
      <c r="W1075" t="n">
        <v>0</v>
      </c>
      <c r="X1075" t="n">
        <v>1.6</v>
      </c>
      <c r="Y1075" t="n">
        <v>5</v>
      </c>
      <c r="Z1075" t="inlineStr">
        <is>
          <t>GR1</t>
        </is>
      </c>
      <c r="AA1075" t="inlineStr">
        <is>
          <t>FC</t>
        </is>
      </c>
      <c r="AB1075" t="inlineStr">
        <is>
          <t>AW</t>
        </is>
      </c>
      <c r="AC1075" t="inlineStr">
        <is>
          <t>38.1-0-1.6-ERW 1-FC</t>
        </is>
      </c>
      <c r="AD1075" t="inlineStr">
        <is>
          <t>LL</t>
        </is>
      </c>
      <c r="AE1075" t="inlineStr">
        <is>
          <t>38.1-0-1.6-ERW 1-FC-1</t>
        </is>
      </c>
      <c r="AF1075" t="n">
        <v>1.4395016</v>
      </c>
    </row>
    <row r="1076">
      <c r="A1076" s="56" t="n">
        <v>2410998</v>
      </c>
      <c r="B1076" s="56" t="inlineStr">
        <is>
          <t>TUB-O-C-AUT-AD-FC-18.20X2.950X04-05</t>
        </is>
      </c>
      <c r="C1076" s="56" t="inlineStr">
        <is>
          <t>4B0163270B</t>
        </is>
      </c>
      <c r="D1076" s="56" t="n"/>
      <c r="E1076" s="57" t="n">
        <v>1348</v>
      </c>
      <c r="F1076" s="57" t="n">
        <v>1.348</v>
      </c>
      <c r="G1076" s="56" t="inlineStr">
        <is>
          <t>KG</t>
        </is>
      </c>
      <c r="H1076" s="56" t="inlineStr">
        <is>
          <t>R001</t>
        </is>
      </c>
      <c r="I1076" s="56" t="inlineStr">
        <is>
          <t>4731</t>
        </is>
      </c>
      <c r="J1076" s="56" t="n"/>
      <c r="K1076" s="56" t="n"/>
      <c r="L1076" s="56" t="n"/>
      <c r="M1076" s="56" t="n"/>
      <c r="N1076" s="56" t="inlineStr">
        <is>
          <t>RAJSRIYA AUTOMOTIVE IND. P LTD</t>
        </is>
      </c>
      <c r="O1076" s="56" t="n">
        <v>31</v>
      </c>
      <c r="P1076" s="59" t="inlineStr">
        <is>
          <t>31-60</t>
        </is>
      </c>
      <c r="Q1076" s="56" t="inlineStr">
        <is>
          <t>Apoorv</t>
        </is>
      </c>
      <c r="U1076" s="585" t="n">
        <v>3931304</v>
      </c>
      <c r="V1076" t="n">
        <v>38.1</v>
      </c>
      <c r="W1076" t="n">
        <v>0</v>
      </c>
      <c r="X1076" t="n">
        <v>1.6</v>
      </c>
      <c r="Y1076" t="n">
        <v>5.35</v>
      </c>
      <c r="Z1076" t="inlineStr">
        <is>
          <t>ST52AL</t>
        </is>
      </c>
      <c r="AA1076" t="inlineStr">
        <is>
          <t>FC</t>
        </is>
      </c>
      <c r="AB1076" t="inlineStr">
        <is>
          <t>AW</t>
        </is>
      </c>
      <c r="AC1076" t="inlineStr">
        <is>
          <t>38.1-0-1.6-ERW 2 MAHS-FC</t>
        </is>
      </c>
      <c r="AD1076" t="inlineStr">
        <is>
          <t>LL</t>
        </is>
      </c>
      <c r="AE1076" t="inlineStr">
        <is>
          <t>38.1-0-1.6-ERW 2 MAHS-FC-1</t>
        </is>
      </c>
      <c r="AF1076" t="n">
        <v>1.4395016</v>
      </c>
    </row>
    <row r="1077">
      <c r="A1077" s="56" t="n">
        <v>2410998</v>
      </c>
      <c r="B1077" s="56" t="inlineStr">
        <is>
          <t>TUB-O-C-AUT-AD-FC-18.20X2.950X04-05</t>
        </is>
      </c>
      <c r="C1077" s="56" t="inlineStr">
        <is>
          <t>4B0163270A</t>
        </is>
      </c>
      <c r="D1077" s="56" t="n"/>
      <c r="E1077" s="57" t="n">
        <v>1461</v>
      </c>
      <c r="F1077" s="57" t="n">
        <v>1.461</v>
      </c>
      <c r="G1077" s="56" t="inlineStr">
        <is>
          <t>KG</t>
        </is>
      </c>
      <c r="H1077" s="56" t="inlineStr">
        <is>
          <t>R001</t>
        </is>
      </c>
      <c r="I1077" s="56" t="inlineStr">
        <is>
          <t>4731</t>
        </is>
      </c>
      <c r="J1077" s="56" t="n"/>
      <c r="K1077" s="56" t="n"/>
      <c r="L1077" s="56" t="n"/>
      <c r="M1077" s="56" t="n"/>
      <c r="N1077" s="56" t="inlineStr">
        <is>
          <t>RAJSRIYA AUTOMOTIVE IND. P LTD</t>
        </is>
      </c>
      <c r="O1077" s="56" t="n">
        <v>31</v>
      </c>
      <c r="P1077" s="59" t="inlineStr">
        <is>
          <t>31-60</t>
        </is>
      </c>
      <c r="Q1077" s="56" t="inlineStr">
        <is>
          <t>Apoorv</t>
        </is>
      </c>
      <c r="U1077" s="586" t="n">
        <v>111120347</v>
      </c>
      <c r="V1077" t="n">
        <v>38.1</v>
      </c>
      <c r="W1077" t="n">
        <v>0</v>
      </c>
      <c r="X1077" t="n">
        <v>1.6</v>
      </c>
      <c r="Y1077" t="n">
        <v>5.35</v>
      </c>
      <c r="Z1077" t="inlineStr">
        <is>
          <t>ST52AL</t>
        </is>
      </c>
      <c r="AA1077" t="inlineStr">
        <is>
          <t>FC</t>
        </is>
      </c>
      <c r="AB1077" t="inlineStr">
        <is>
          <t>AW</t>
        </is>
      </c>
      <c r="AC1077" t="inlineStr">
        <is>
          <t>38.1-0-1.6-ERW 2 MAHS-FC</t>
        </is>
      </c>
      <c r="AD1077" t="inlineStr">
        <is>
          <t>LL</t>
        </is>
      </c>
      <c r="AE1077" t="inlineStr">
        <is>
          <t>38.1-0-1.6-ERW 2 MAHS-FC-1</t>
        </is>
      </c>
      <c r="AF1077" t="n">
        <v>1.4395016</v>
      </c>
    </row>
    <row r="1078">
      <c r="A1078" s="56" t="n">
        <v>2410998</v>
      </c>
      <c r="B1078" s="56" t="inlineStr">
        <is>
          <t>TUB-O-C-AUT-AD-FC-18.20X2.950X04-05</t>
        </is>
      </c>
      <c r="C1078" s="56" t="inlineStr">
        <is>
          <t>4A28CK2030</t>
        </is>
      </c>
      <c r="D1078" s="56" t="n"/>
      <c r="E1078" s="57" t="n">
        <v>1474.5</v>
      </c>
      <c r="F1078" s="57" t="n">
        <v>1.4745</v>
      </c>
      <c r="G1078" s="56" t="inlineStr">
        <is>
          <t>KG</t>
        </is>
      </c>
      <c r="H1078" s="56" t="inlineStr">
        <is>
          <t>R001</t>
        </is>
      </c>
      <c r="I1078" s="56" t="inlineStr">
        <is>
          <t>4731</t>
        </is>
      </c>
      <c r="J1078" s="56" t="n"/>
      <c r="K1078" s="56" t="n"/>
      <c r="L1078" s="56" t="n"/>
      <c r="M1078" s="56" t="n"/>
      <c r="N1078" s="56" t="inlineStr">
        <is>
          <t>RAJSRIYA AUTOMOTIVE IND. P LTD</t>
        </is>
      </c>
      <c r="O1078" s="56" t="n">
        <v>41</v>
      </c>
      <c r="P1078" s="59" t="inlineStr">
        <is>
          <t>31-60</t>
        </is>
      </c>
      <c r="Q1078" s="56" t="inlineStr">
        <is>
          <t>Apoorv</t>
        </is>
      </c>
      <c r="U1078" s="585" t="n">
        <v>3514376</v>
      </c>
      <c r="V1078" t="n">
        <v>38.1</v>
      </c>
      <c r="W1078" t="n">
        <v>0</v>
      </c>
      <c r="X1078" t="n">
        <v>1.6</v>
      </c>
      <c r="Y1078" t="n">
        <v>5.63</v>
      </c>
      <c r="Z1078" t="inlineStr">
        <is>
          <t>ST52AL</t>
        </is>
      </c>
      <c r="AA1078" t="inlineStr">
        <is>
          <t>FC</t>
        </is>
      </c>
      <c r="AB1078" t="inlineStr">
        <is>
          <t>AW</t>
        </is>
      </c>
      <c r="AC1078" t="inlineStr">
        <is>
          <t>38.1-0-1.6-ERW 2 MAHS-FC</t>
        </is>
      </c>
      <c r="AD1078" t="inlineStr">
        <is>
          <t>LL</t>
        </is>
      </c>
      <c r="AE1078" t="inlineStr">
        <is>
          <t>38.1-0-1.6-ERW 2 MAHS-FC-1</t>
        </is>
      </c>
      <c r="AF1078" t="n">
        <v>1.4395016</v>
      </c>
    </row>
    <row r="1079">
      <c r="A1079" s="56" t="n">
        <v>2410998</v>
      </c>
      <c r="B1079" s="56" t="inlineStr">
        <is>
          <t>TUB-O-C-AUT-AD-FC-18.20X2.950X04-05</t>
        </is>
      </c>
      <c r="C1079" s="56" t="inlineStr">
        <is>
          <t>4A28CK2020</t>
        </is>
      </c>
      <c r="D1079" s="56" t="n"/>
      <c r="E1079" s="57" t="n">
        <v>680.5</v>
      </c>
      <c r="F1079" s="57" t="n">
        <v>0.6805</v>
      </c>
      <c r="G1079" s="56" t="inlineStr">
        <is>
          <t>KG</t>
        </is>
      </c>
      <c r="H1079" s="56" t="inlineStr">
        <is>
          <t>R001</t>
        </is>
      </c>
      <c r="I1079" s="56" t="inlineStr">
        <is>
          <t>4731</t>
        </is>
      </c>
      <c r="J1079" s="56" t="n"/>
      <c r="K1079" s="56" t="n"/>
      <c r="L1079" s="56" t="n"/>
      <c r="M1079" s="56" t="n"/>
      <c r="N1079" s="56" t="inlineStr">
        <is>
          <t>RAJSRIYA AUTOMOTIVE IND. P LTD</t>
        </is>
      </c>
      <c r="O1079" s="56" t="n">
        <v>41</v>
      </c>
      <c r="P1079" s="59" t="inlineStr">
        <is>
          <t>31-60</t>
        </is>
      </c>
      <c r="Q1079" s="56" t="inlineStr">
        <is>
          <t>Apoorv</t>
        </is>
      </c>
      <c r="U1079" s="585" t="n">
        <v>3505953</v>
      </c>
      <c r="V1079" t="n">
        <v>38.1</v>
      </c>
      <c r="W1079" t="n">
        <v>0</v>
      </c>
      <c r="X1079" t="n">
        <v>1.6</v>
      </c>
      <c r="Y1079" t="n">
        <v>5.65</v>
      </c>
      <c r="Z1079" t="inlineStr"/>
      <c r="AA1079" t="inlineStr">
        <is>
          <t>FC</t>
        </is>
      </c>
      <c r="AB1079" t="inlineStr">
        <is>
          <t>AH</t>
        </is>
      </c>
      <c r="AC1079" t="inlineStr">
        <is>
          <t>38.1-0-1.6-ERW 1-FC</t>
        </is>
      </c>
      <c r="AD1079" t="inlineStr">
        <is>
          <t>LL</t>
        </is>
      </c>
      <c r="AE1079" t="inlineStr">
        <is>
          <t>38.1-0-1.6-ERW 1-FC-1</t>
        </is>
      </c>
      <c r="AF1079" t="n">
        <v>1.4395016</v>
      </c>
    </row>
    <row r="1080">
      <c r="A1080" s="56" t="n">
        <v>2410998</v>
      </c>
      <c r="B1080" s="56" t="inlineStr">
        <is>
          <t>TUB-O-C-AUT-AD-FC-18.20X2.950X04-05</t>
        </is>
      </c>
      <c r="C1080" s="56" t="inlineStr">
        <is>
          <t>4A28CK2010</t>
        </is>
      </c>
      <c r="D1080" s="56" t="n"/>
      <c r="E1080" s="57" t="n">
        <v>775.5</v>
      </c>
      <c r="F1080" s="57" t="n">
        <v>0.7755</v>
      </c>
      <c r="G1080" s="56" t="inlineStr">
        <is>
          <t>KG</t>
        </is>
      </c>
      <c r="H1080" s="56" t="inlineStr">
        <is>
          <t>R001</t>
        </is>
      </c>
      <c r="I1080" s="56" t="inlineStr">
        <is>
          <t>4731</t>
        </is>
      </c>
      <c r="J1080" s="56" t="n"/>
      <c r="K1080" s="56" t="n"/>
      <c r="L1080" s="56" t="n"/>
      <c r="M1080" s="56" t="n"/>
      <c r="N1080" s="56" t="inlineStr">
        <is>
          <t>RAJSRIYA AUTOMOTIVE IND. P LTD</t>
        </is>
      </c>
      <c r="O1080" s="56" t="n">
        <v>41</v>
      </c>
      <c r="P1080" s="59" t="inlineStr">
        <is>
          <t>31-60</t>
        </is>
      </c>
      <c r="Q1080" s="56" t="inlineStr">
        <is>
          <t>Apoorv</t>
        </is>
      </c>
      <c r="U1080" s="585" t="n">
        <v>3442533</v>
      </c>
      <c r="V1080" t="n">
        <v>38.1</v>
      </c>
      <c r="W1080" t="n">
        <v>0</v>
      </c>
      <c r="X1080" t="n">
        <v>1.6</v>
      </c>
      <c r="Y1080" t="n">
        <v>5.66</v>
      </c>
      <c r="Z1080" t="inlineStr">
        <is>
          <t>ST52AL</t>
        </is>
      </c>
      <c r="AA1080" t="inlineStr">
        <is>
          <t>FC</t>
        </is>
      </c>
      <c r="AB1080" t="inlineStr">
        <is>
          <t>AW</t>
        </is>
      </c>
      <c r="AC1080" t="inlineStr">
        <is>
          <t>38.1-0-1.6-ERW 2 MAHS-FC</t>
        </is>
      </c>
      <c r="AD1080" t="inlineStr">
        <is>
          <t>LL</t>
        </is>
      </c>
      <c r="AE1080" t="inlineStr">
        <is>
          <t>38.1-0-1.6-ERW 2 MAHS-FC-1</t>
        </is>
      </c>
      <c r="AF1080" t="n">
        <v>1.4395016</v>
      </c>
    </row>
    <row r="1081">
      <c r="A1081" s="56" t="n">
        <v>2410998</v>
      </c>
      <c r="B1081" s="56" t="inlineStr">
        <is>
          <t>TUB-O-C-AUT-AD-FC-18.20X2.950X04-05</t>
        </is>
      </c>
      <c r="C1081" s="56" t="inlineStr">
        <is>
          <t>4910CK2080</t>
        </is>
      </c>
      <c r="D1081" s="56" t="n"/>
      <c r="E1081" s="57" t="n">
        <v>60.47</v>
      </c>
      <c r="F1081" s="57" t="n">
        <v>0.06047</v>
      </c>
      <c r="G1081" s="56" t="inlineStr">
        <is>
          <t>KG</t>
        </is>
      </c>
      <c r="H1081" s="56" t="inlineStr">
        <is>
          <t>R001</t>
        </is>
      </c>
      <c r="I1081" s="56" t="inlineStr">
        <is>
          <t>4731</t>
        </is>
      </c>
      <c r="J1081" s="56" t="n"/>
      <c r="K1081" s="56" t="n"/>
      <c r="L1081" s="56" t="n"/>
      <c r="M1081" s="56" t="n"/>
      <c r="N1081" s="56" t="inlineStr">
        <is>
          <t>RAJSRIYA AUTOMOTIVE IND. P LTD</t>
        </is>
      </c>
      <c r="O1081" s="56" t="n">
        <v>65</v>
      </c>
      <c r="P1081" s="59" t="inlineStr">
        <is>
          <t>61-90</t>
        </is>
      </c>
      <c r="Q1081" s="56" t="inlineStr">
        <is>
          <t>Apoorv</t>
        </is>
      </c>
      <c r="U1081" s="586" t="n">
        <v>110102859</v>
      </c>
      <c r="V1081" t="n">
        <v>38.1</v>
      </c>
      <c r="W1081" t="n">
        <v>0</v>
      </c>
      <c r="X1081" t="n">
        <v>1.6</v>
      </c>
      <c r="Y1081" t="n">
        <v>5.769</v>
      </c>
      <c r="Z1081" t="inlineStr">
        <is>
          <t>GR1</t>
        </is>
      </c>
      <c r="AA1081" t="inlineStr">
        <is>
          <t>FC</t>
        </is>
      </c>
      <c r="AB1081" t="inlineStr">
        <is>
          <t>AW</t>
        </is>
      </c>
      <c r="AC1081" t="inlineStr">
        <is>
          <t>38.1-0-1.6-ERW 1-FC</t>
        </is>
      </c>
      <c r="AD1081" t="inlineStr">
        <is>
          <t>LL</t>
        </is>
      </c>
      <c r="AE1081" t="inlineStr">
        <is>
          <t>38.1-0-1.6-ERW 1-FC-1</t>
        </is>
      </c>
      <c r="AF1081" t="n">
        <v>1.4395016</v>
      </c>
    </row>
    <row r="1082">
      <c r="A1082" s="56" t="n">
        <v>2410999</v>
      </c>
      <c r="B1082" s="56" t="inlineStr">
        <is>
          <t>TUB-O-C-AUT-AD-FC-21.70X2.750X04-05</t>
        </is>
      </c>
      <c r="C1082" s="56" t="inlineStr">
        <is>
          <t>4A15K35390</t>
        </is>
      </c>
      <c r="D1082" s="56" t="n"/>
      <c r="E1082" s="57" t="n">
        <v>2565</v>
      </c>
      <c r="F1082" s="57" t="n">
        <v>2.565</v>
      </c>
      <c r="G1082" s="56" t="inlineStr">
        <is>
          <t>KG</t>
        </is>
      </c>
      <c r="H1082" s="56" t="inlineStr">
        <is>
          <t>TF01</t>
        </is>
      </c>
      <c r="I1082" s="56" t="inlineStr">
        <is>
          <t>4731</t>
        </is>
      </c>
      <c r="J1082" s="56" t="n"/>
      <c r="K1082" s="56" t="n"/>
      <c r="L1082" s="56" t="n"/>
      <c r="M1082" s="56" t="n"/>
      <c r="N1082" s="56" t="inlineStr">
        <is>
          <t>SRIKAM HITECH ENGINEERING PRIVATE L</t>
        </is>
      </c>
      <c r="O1082" s="56" t="n">
        <v>80</v>
      </c>
      <c r="P1082" s="59" t="inlineStr">
        <is>
          <t>61-90</t>
        </is>
      </c>
      <c r="Q1082" s="56" t="inlineStr">
        <is>
          <t>Apoorv</t>
        </is>
      </c>
      <c r="U1082" s="585" t="n">
        <v>3500470</v>
      </c>
      <c r="V1082" t="n">
        <v>38.1</v>
      </c>
      <c r="W1082" t="n">
        <v>0</v>
      </c>
      <c r="X1082" t="n">
        <v>1.6</v>
      </c>
      <c r="Y1082" t="n">
        <v>5.8</v>
      </c>
      <c r="Z1082" t="inlineStr"/>
      <c r="AA1082" t="inlineStr">
        <is>
          <t>FC</t>
        </is>
      </c>
      <c r="AB1082" t="inlineStr">
        <is>
          <t>AW</t>
        </is>
      </c>
      <c r="AC1082" t="inlineStr">
        <is>
          <t>38.1-0-1.6-ERW 1-FC</t>
        </is>
      </c>
      <c r="AD1082" t="inlineStr">
        <is>
          <t>LL</t>
        </is>
      </c>
      <c r="AE1082" t="inlineStr">
        <is>
          <t>38.1-0-1.6-ERW 1-FC-1</t>
        </is>
      </c>
      <c r="AF1082" t="n">
        <v>1.4395016</v>
      </c>
    </row>
    <row r="1083">
      <c r="A1083" s="56" t="n">
        <v>2410999</v>
      </c>
      <c r="B1083" s="56" t="inlineStr">
        <is>
          <t>TUB-O-C-AUT-AD-FC-21.70X2.750X04-05</t>
        </is>
      </c>
      <c r="C1083" s="56" t="inlineStr">
        <is>
          <t>4A1562120C</t>
        </is>
      </c>
      <c r="D1083" s="56" t="n"/>
      <c r="E1083" s="57" t="n">
        <v>79</v>
      </c>
      <c r="F1083" s="57" t="n">
        <v>0.079</v>
      </c>
      <c r="G1083" s="56" t="inlineStr">
        <is>
          <t>KG</t>
        </is>
      </c>
      <c r="H1083" s="56" t="inlineStr">
        <is>
          <t>TF01</t>
        </is>
      </c>
      <c r="I1083" s="56" t="inlineStr">
        <is>
          <t>4731</t>
        </is>
      </c>
      <c r="J1083" s="56" t="n"/>
      <c r="K1083" s="56" t="n"/>
      <c r="L1083" s="56" t="n"/>
      <c r="M1083" s="56" t="n"/>
      <c r="N1083" s="56" t="inlineStr">
        <is>
          <t>SRIKAM HITECH ENGINEERING PRIVATE L</t>
        </is>
      </c>
      <c r="O1083" s="56" t="n">
        <v>80</v>
      </c>
      <c r="P1083" s="59" t="inlineStr">
        <is>
          <t>61-90</t>
        </is>
      </c>
      <c r="Q1083" s="56" t="inlineStr">
        <is>
          <t>Apoorv</t>
        </is>
      </c>
      <c r="U1083" t="n">
        <v>2425723</v>
      </c>
      <c r="V1083" t="n">
        <v>38.1</v>
      </c>
      <c r="W1083" t="n">
        <v>0</v>
      </c>
      <c r="X1083" t="n">
        <v>1.6</v>
      </c>
      <c r="Y1083" t="n">
        <v>5.88</v>
      </c>
      <c r="Z1083" t="inlineStr">
        <is>
          <t>NORMAL</t>
        </is>
      </c>
      <c r="AA1083" t="inlineStr">
        <is>
          <t>FC</t>
        </is>
      </c>
      <c r="AB1083" t="inlineStr">
        <is>
          <t>AW</t>
        </is>
      </c>
      <c r="AC1083" t="inlineStr">
        <is>
          <t>38.1-0-1.6-ERW 1-FC</t>
        </is>
      </c>
      <c r="AD1083" t="inlineStr">
        <is>
          <t>LL</t>
        </is>
      </c>
      <c r="AE1083" t="inlineStr">
        <is>
          <t>38.1-0-1.6-ERW 1-FC-1</t>
        </is>
      </c>
      <c r="AF1083" t="n">
        <v>1.4395016</v>
      </c>
    </row>
    <row r="1084">
      <c r="A1084" s="56" t="n">
        <v>2410999</v>
      </c>
      <c r="B1084" s="56" t="inlineStr">
        <is>
          <t>TUB-O-C-AUT-AD-FC-21.70X2.750X04-05</t>
        </is>
      </c>
      <c r="C1084" s="56" t="inlineStr">
        <is>
          <t>4A1562110B</t>
        </is>
      </c>
      <c r="D1084" s="56" t="n"/>
      <c r="E1084" s="57" t="n">
        <v>1538</v>
      </c>
      <c r="F1084" s="57" t="n">
        <v>1.538</v>
      </c>
      <c r="G1084" s="56" t="inlineStr">
        <is>
          <t>KG</t>
        </is>
      </c>
      <c r="H1084" s="56" t="inlineStr">
        <is>
          <t>TF01</t>
        </is>
      </c>
      <c r="I1084" s="56" t="inlineStr">
        <is>
          <t>4731</t>
        </is>
      </c>
      <c r="J1084" s="56" t="n"/>
      <c r="K1084" s="56" t="n"/>
      <c r="L1084" s="56" t="n"/>
      <c r="M1084" s="56" t="n"/>
      <c r="N1084" s="56" t="inlineStr">
        <is>
          <t>SRIKAM HITECH ENGINEERING PRIVATE L</t>
        </is>
      </c>
      <c r="O1084" s="56" t="n">
        <v>80</v>
      </c>
      <c r="P1084" s="59" t="inlineStr">
        <is>
          <t>61-90</t>
        </is>
      </c>
      <c r="Q1084" s="56" t="inlineStr">
        <is>
          <t>Apoorv</t>
        </is>
      </c>
      <c r="U1084" s="537" t="n">
        <v>1931400</v>
      </c>
      <c r="V1084" t="n">
        <v>38.1</v>
      </c>
      <c r="W1084" t="n">
        <v>0</v>
      </c>
      <c r="X1084" t="n">
        <v>1.6</v>
      </c>
      <c r="Y1084" t="n">
        <v>6</v>
      </c>
      <c r="Z1084" t="inlineStr">
        <is>
          <t>D</t>
        </is>
      </c>
      <c r="AA1084" t="inlineStr">
        <is>
          <t>FC</t>
        </is>
      </c>
      <c r="AB1084" t="inlineStr">
        <is>
          <t>AW</t>
        </is>
      </c>
      <c r="AC1084" t="inlineStr">
        <is>
          <t>38.1-0-1.6-ERW 1-FC</t>
        </is>
      </c>
      <c r="AD1084" t="inlineStr">
        <is>
          <t>LL</t>
        </is>
      </c>
      <c r="AE1084" t="inlineStr">
        <is>
          <t>38.1-0-1.6-ERW 1-FC-1</t>
        </is>
      </c>
      <c r="AF1084" t="n">
        <v>1.4395016</v>
      </c>
    </row>
    <row r="1085">
      <c r="A1085" s="56" t="n">
        <v>2410999</v>
      </c>
      <c r="B1085" s="56" t="inlineStr">
        <is>
          <t>TUB-O-C-AUT-AD-FC-21.70X2.750X04-05</t>
        </is>
      </c>
      <c r="C1085" s="56" t="inlineStr">
        <is>
          <t>4A1562110A</t>
        </is>
      </c>
      <c r="D1085" s="56" t="n"/>
      <c r="E1085" s="57" t="n">
        <v>1522</v>
      </c>
      <c r="F1085" s="57" t="n">
        <v>1.522</v>
      </c>
      <c r="G1085" s="56" t="inlineStr">
        <is>
          <t>KG</t>
        </is>
      </c>
      <c r="H1085" s="56" t="inlineStr">
        <is>
          <t>TF01</t>
        </is>
      </c>
      <c r="I1085" s="56" t="inlineStr">
        <is>
          <t>4731</t>
        </is>
      </c>
      <c r="J1085" s="56" t="n"/>
      <c r="K1085" s="56" t="n"/>
      <c r="L1085" s="56" t="n"/>
      <c r="M1085" s="56" t="n"/>
      <c r="N1085" s="56" t="inlineStr">
        <is>
          <t>SRIKAM HITECH ENGINEERING PRIVATE L</t>
        </is>
      </c>
      <c r="O1085" s="56" t="n">
        <v>80</v>
      </c>
      <c r="P1085" s="59" t="inlineStr">
        <is>
          <t>61-90</t>
        </is>
      </c>
      <c r="Q1085" s="56" t="inlineStr">
        <is>
          <t>Apoorv</t>
        </is>
      </c>
      <c r="U1085" s="585" t="n">
        <v>3502254</v>
      </c>
      <c r="V1085" t="n">
        <v>38.1</v>
      </c>
      <c r="W1085" t="n">
        <v>0</v>
      </c>
      <c r="X1085" t="n">
        <v>1.6</v>
      </c>
      <c r="Y1085" t="n">
        <v>6.19</v>
      </c>
      <c r="Z1085" t="inlineStr"/>
      <c r="AA1085" t="inlineStr">
        <is>
          <t>FC</t>
        </is>
      </c>
      <c r="AB1085" t="inlineStr">
        <is>
          <t>AW</t>
        </is>
      </c>
      <c r="AC1085" t="inlineStr">
        <is>
          <t>38.1-0-1.6-ERW 1.6 MAHS-FC</t>
        </is>
      </c>
      <c r="AD1085" t="inlineStr">
        <is>
          <t>LL</t>
        </is>
      </c>
      <c r="AE1085" t="inlineStr">
        <is>
          <t>38.1-0-1.6-ERW 1.6 MAHS-FC-1</t>
        </is>
      </c>
      <c r="AF1085" t="n">
        <v>1.4395016</v>
      </c>
    </row>
    <row r="1086">
      <c r="A1086" s="56" t="n">
        <v>2410999</v>
      </c>
      <c r="B1086" s="56" t="inlineStr">
        <is>
          <t>TUB-O-C-AUT-AD-FC-21.70X2.750X04-05</t>
        </is>
      </c>
      <c r="C1086" s="56" t="inlineStr">
        <is>
          <t>4A1562100B</t>
        </is>
      </c>
      <c r="D1086" s="56" t="n"/>
      <c r="E1086" s="57" t="n">
        <v>1344</v>
      </c>
      <c r="F1086" s="57" t="n">
        <v>1.344</v>
      </c>
      <c r="G1086" s="56" t="inlineStr">
        <is>
          <t>KG</t>
        </is>
      </c>
      <c r="H1086" s="56" t="inlineStr">
        <is>
          <t>TF01</t>
        </is>
      </c>
      <c r="I1086" s="56" t="inlineStr">
        <is>
          <t>4731</t>
        </is>
      </c>
      <c r="J1086" s="56" t="n"/>
      <c r="K1086" s="56" t="n"/>
      <c r="L1086" s="56" t="n"/>
      <c r="M1086" s="56" t="n"/>
      <c r="N1086" s="56" t="inlineStr">
        <is>
          <t>SRIKAM HITECH ENGINEERING PRIVATE L</t>
        </is>
      </c>
      <c r="O1086" s="56" t="n">
        <v>80</v>
      </c>
      <c r="P1086" s="59" t="inlineStr">
        <is>
          <t>61-90</t>
        </is>
      </c>
      <c r="Q1086" s="56" t="inlineStr">
        <is>
          <t>Apoorv</t>
        </is>
      </c>
      <c r="U1086" s="585" t="n">
        <v>3502339</v>
      </c>
      <c r="V1086" t="n">
        <v>38.1</v>
      </c>
      <c r="W1086" t="n">
        <v>0</v>
      </c>
      <c r="X1086" t="n">
        <v>1.6</v>
      </c>
      <c r="Y1086" t="n">
        <v>6.19</v>
      </c>
      <c r="Z1086" t="inlineStr"/>
      <c r="AA1086" t="inlineStr">
        <is>
          <t>FC</t>
        </is>
      </c>
      <c r="AB1086" t="inlineStr">
        <is>
          <t>AW</t>
        </is>
      </c>
      <c r="AC1086" t="inlineStr">
        <is>
          <t>38.1-0-1.6-ERW 1.6 MAHS-FC</t>
        </is>
      </c>
      <c r="AD1086" t="inlineStr">
        <is>
          <t>LL</t>
        </is>
      </c>
      <c r="AE1086" t="inlineStr">
        <is>
          <t>38.1-0-1.6-ERW 1.6 MAHS-FC-1</t>
        </is>
      </c>
      <c r="AF1086" t="n">
        <v>1.4395016</v>
      </c>
    </row>
    <row r="1087">
      <c r="A1087" s="56" t="n">
        <v>2410999</v>
      </c>
      <c r="B1087" s="56" t="inlineStr">
        <is>
          <t>TUB-O-C-AUT-AD-FC-21.70X2.750X04-05</t>
        </is>
      </c>
      <c r="C1087" s="56" t="inlineStr">
        <is>
          <t>4A1562100A</t>
        </is>
      </c>
      <c r="D1087" s="56" t="n"/>
      <c r="E1087" s="57" t="n">
        <v>1330</v>
      </c>
      <c r="F1087" s="57" t="n">
        <v>1.33</v>
      </c>
      <c r="G1087" s="56" t="inlineStr">
        <is>
          <t>KG</t>
        </is>
      </c>
      <c r="H1087" s="56" t="inlineStr">
        <is>
          <t>TF01</t>
        </is>
      </c>
      <c r="I1087" s="56" t="inlineStr">
        <is>
          <t>4731</t>
        </is>
      </c>
      <c r="J1087" s="56" t="n"/>
      <c r="K1087" s="56" t="n"/>
      <c r="L1087" s="56" t="n"/>
      <c r="M1087" s="56" t="n"/>
      <c r="N1087" s="56" t="inlineStr">
        <is>
          <t>SRIKAM HITECH ENGINEERING PRIVATE L</t>
        </is>
      </c>
      <c r="O1087" s="56" t="n">
        <v>80</v>
      </c>
      <c r="P1087" s="59" t="inlineStr">
        <is>
          <t>61-90</t>
        </is>
      </c>
      <c r="Q1087" s="56" t="inlineStr">
        <is>
          <t>Apoorv</t>
        </is>
      </c>
      <c r="U1087" s="585" t="n">
        <v>3517681</v>
      </c>
      <c r="V1087" t="n">
        <v>38.1</v>
      </c>
      <c r="W1087" t="n">
        <v>0</v>
      </c>
      <c r="X1087" t="n">
        <v>1.6</v>
      </c>
      <c r="Y1087" t="n">
        <v>6.205</v>
      </c>
      <c r="Z1087" t="inlineStr">
        <is>
          <t>ST52AL</t>
        </is>
      </c>
      <c r="AA1087" t="inlineStr">
        <is>
          <t>FC</t>
        </is>
      </c>
      <c r="AB1087" t="inlineStr">
        <is>
          <t>AW</t>
        </is>
      </c>
      <c r="AC1087" t="inlineStr">
        <is>
          <t>38.1-0-1.6-ERW 2 MAHS-FC</t>
        </is>
      </c>
      <c r="AD1087" t="inlineStr">
        <is>
          <t>LL</t>
        </is>
      </c>
      <c r="AE1087" t="inlineStr">
        <is>
          <t>38.1-0-1.6-ERW 2 MAHS-FC-1</t>
        </is>
      </c>
      <c r="AF1087" t="n">
        <v>1.4395016</v>
      </c>
    </row>
    <row r="1088">
      <c r="A1088" s="56" t="n">
        <v>2410999</v>
      </c>
      <c r="B1088" s="56" t="inlineStr">
        <is>
          <t>TUB-O-C-AUT-AD-FC-21.70X2.750X04-05</t>
        </is>
      </c>
      <c r="C1088" s="56" t="inlineStr">
        <is>
          <t>4A11CK2010</t>
        </is>
      </c>
      <c r="D1088" s="56" t="n"/>
      <c r="E1088" s="57" t="n">
        <v>3014</v>
      </c>
      <c r="F1088" s="57" t="n">
        <v>3.014</v>
      </c>
      <c r="G1088" s="56" t="inlineStr">
        <is>
          <t>KG</t>
        </is>
      </c>
      <c r="H1088" s="56" t="inlineStr">
        <is>
          <t>TF01</t>
        </is>
      </c>
      <c r="I1088" s="56" t="inlineStr">
        <is>
          <t>4731</t>
        </is>
      </c>
      <c r="J1088" s="56" t="n"/>
      <c r="K1088" s="56" t="n"/>
      <c r="L1088" s="56" t="n"/>
      <c r="M1088" s="56" t="n"/>
      <c r="N1088" s="56" t="inlineStr">
        <is>
          <t>SRIKAM HITECH ENGINEERING PRIVATE L</t>
        </is>
      </c>
      <c r="O1088" s="56" t="n">
        <v>80</v>
      </c>
      <c r="P1088" s="59" t="inlineStr">
        <is>
          <t>61-90</t>
        </is>
      </c>
      <c r="Q1088" s="56" t="inlineStr">
        <is>
          <t>Apoorv</t>
        </is>
      </c>
      <c r="U1088" s="585" t="n">
        <v>3768902</v>
      </c>
      <c r="V1088" t="n">
        <v>38.1</v>
      </c>
      <c r="W1088" t="n">
        <v>0</v>
      </c>
      <c r="X1088" t="n">
        <v>2</v>
      </c>
      <c r="Y1088" t="n">
        <v>0.277</v>
      </c>
      <c r="Z1088" t="inlineStr">
        <is>
          <t>NORMAL</t>
        </is>
      </c>
      <c r="AA1088" t="inlineStr">
        <is>
          <t>FC</t>
        </is>
      </c>
      <c r="AB1088" t="inlineStr">
        <is>
          <t>AW</t>
        </is>
      </c>
      <c r="AC1088" t="inlineStr">
        <is>
          <t>38.1-0-2-ERW 1-FC</t>
        </is>
      </c>
      <c r="AD1088" t="inlineStr">
        <is>
          <t>CTL</t>
        </is>
      </c>
      <c r="AE1088" t="inlineStr">
        <is>
          <t>38.1-0-2-ERW 1-FC-0.277</t>
        </is>
      </c>
      <c r="AF1088" t="n">
        <v>0.4929652106</v>
      </c>
    </row>
    <row r="1089">
      <c r="A1089" s="56" t="n">
        <v>2410999</v>
      </c>
      <c r="B1089" s="56" t="inlineStr">
        <is>
          <t>TUB-O-C-AUT-AD-FC-21.70X2.750X04-05</t>
        </is>
      </c>
      <c r="C1089" s="56" t="inlineStr">
        <is>
          <t>4A11BK2070</t>
        </is>
      </c>
      <c r="D1089" s="56" t="n"/>
      <c r="E1089" s="57" t="n">
        <v>1542</v>
      </c>
      <c r="F1089" s="57" t="n">
        <v>1.542</v>
      </c>
      <c r="G1089" s="56" t="inlineStr">
        <is>
          <t>KG</t>
        </is>
      </c>
      <c r="H1089" s="56" t="inlineStr">
        <is>
          <t>TF01</t>
        </is>
      </c>
      <c r="I1089" s="56" t="inlineStr">
        <is>
          <t>4731</t>
        </is>
      </c>
      <c r="J1089" s="56" t="n"/>
      <c r="K1089" s="56" t="n"/>
      <c r="L1089" s="56" t="n"/>
      <c r="M1089" s="56" t="n"/>
      <c r="N1089" s="56" t="inlineStr">
        <is>
          <t>SRIKAM HITECH ENGINEERING PRIVATE L</t>
        </is>
      </c>
      <c r="O1089" s="56" t="n">
        <v>79</v>
      </c>
      <c r="P1089" s="59" t="inlineStr">
        <is>
          <t>61-90</t>
        </is>
      </c>
      <c r="Q1089" s="56" t="inlineStr">
        <is>
          <t>Apoorv</t>
        </is>
      </c>
      <c r="U1089" s="585" t="n">
        <v>1448371</v>
      </c>
      <c r="V1089" t="n">
        <v>38.1</v>
      </c>
      <c r="W1089" t="n">
        <v>0</v>
      </c>
      <c r="X1089" t="n">
        <v>2</v>
      </c>
      <c r="Y1089" t="n">
        <v>0.406</v>
      </c>
      <c r="Z1089" t="inlineStr"/>
      <c r="AA1089" t="inlineStr">
        <is>
          <t>PE</t>
        </is>
      </c>
      <c r="AB1089" t="inlineStr">
        <is>
          <t>AW</t>
        </is>
      </c>
      <c r="AC1089" t="inlineStr">
        <is>
          <t>38.1-0-2-ERW 1-PE</t>
        </is>
      </c>
      <c r="AD1089" t="inlineStr">
        <is>
          <t>CTL</t>
        </is>
      </c>
      <c r="AE1089" t="inlineStr">
        <is>
          <t>38.1-0-2-ERW 1-PE-0.406</t>
        </is>
      </c>
      <c r="AF1089" t="n">
        <v>0.7225410668000001</v>
      </c>
    </row>
    <row r="1090">
      <c r="A1090" s="56" t="n">
        <v>2410999</v>
      </c>
      <c r="B1090" s="56" t="inlineStr">
        <is>
          <t>TUB-O-C-AUT-AD-FC-21.70X2.750X04-05</t>
        </is>
      </c>
      <c r="C1090" s="56" t="inlineStr">
        <is>
          <t>4A11BK2030</t>
        </is>
      </c>
      <c r="D1090" s="56" t="n"/>
      <c r="E1090" s="57" t="n">
        <v>3052</v>
      </c>
      <c r="F1090" s="57" t="n">
        <v>3.052</v>
      </c>
      <c r="G1090" s="56" t="inlineStr">
        <is>
          <t>KG</t>
        </is>
      </c>
      <c r="H1090" s="56" t="inlineStr">
        <is>
          <t>TF01</t>
        </is>
      </c>
      <c r="I1090" s="56" t="inlineStr">
        <is>
          <t>4731</t>
        </is>
      </c>
      <c r="J1090" s="56" t="n"/>
      <c r="K1090" s="56" t="n"/>
      <c r="L1090" s="56" t="n"/>
      <c r="M1090" s="56" t="n"/>
      <c r="N1090" s="56" t="inlineStr">
        <is>
          <t>SRIKAM HITECH ENGINEERING PRIVATE L</t>
        </is>
      </c>
      <c r="O1090" s="56" t="n">
        <v>80</v>
      </c>
      <c r="P1090" s="59" t="inlineStr">
        <is>
          <t>61-90</t>
        </is>
      </c>
      <c r="Q1090" s="56" t="inlineStr">
        <is>
          <t>Apoorv</t>
        </is>
      </c>
      <c r="U1090" s="585" t="n">
        <v>3509030</v>
      </c>
      <c r="V1090" t="n">
        <v>38.1</v>
      </c>
      <c r="W1090" t="n">
        <v>0</v>
      </c>
      <c r="X1090" t="n">
        <v>2</v>
      </c>
      <c r="Y1090" t="n">
        <v>0.406</v>
      </c>
      <c r="Z1090" t="inlineStr"/>
      <c r="AA1090" t="inlineStr">
        <is>
          <t>FC</t>
        </is>
      </c>
      <c r="AB1090" t="inlineStr">
        <is>
          <t>AW</t>
        </is>
      </c>
      <c r="AC1090" t="inlineStr">
        <is>
          <t>38.1-0-2-ERW 1-FC</t>
        </is>
      </c>
      <c r="AD1090" t="inlineStr">
        <is>
          <t>CTL</t>
        </is>
      </c>
      <c r="AE1090" t="inlineStr">
        <is>
          <t>38.1-0-2-ERW 1-FC-0.406</t>
        </is>
      </c>
      <c r="AF1090" t="n">
        <v>0.7225410668000001</v>
      </c>
    </row>
    <row r="1091">
      <c r="A1091" s="56" t="n">
        <v>2410999</v>
      </c>
      <c r="B1091" s="56" t="inlineStr">
        <is>
          <t>TUB-O-C-AUT-AD-FC-21.70X2.750X04-05</t>
        </is>
      </c>
      <c r="C1091" s="56" t="inlineStr">
        <is>
          <t>4A11BK2020</t>
        </is>
      </c>
      <c r="D1091" s="56" t="n"/>
      <c r="E1091" s="57" t="n">
        <v>3072</v>
      </c>
      <c r="F1091" s="57" t="n">
        <v>3.072</v>
      </c>
      <c r="G1091" s="56" t="inlineStr">
        <is>
          <t>KG</t>
        </is>
      </c>
      <c r="H1091" s="56" t="inlineStr">
        <is>
          <t>TF01</t>
        </is>
      </c>
      <c r="I1091" s="56" t="inlineStr">
        <is>
          <t>4731</t>
        </is>
      </c>
      <c r="J1091" s="56" t="n"/>
      <c r="K1091" s="56" t="n"/>
      <c r="L1091" s="56" t="n"/>
      <c r="M1091" s="56" t="n"/>
      <c r="N1091" s="56" t="inlineStr">
        <is>
          <t>SRIKAM HITECH ENGINEERING PRIVATE L</t>
        </is>
      </c>
      <c r="O1091" s="56" t="n">
        <v>80</v>
      </c>
      <c r="P1091" s="59" t="inlineStr">
        <is>
          <t>61-90</t>
        </is>
      </c>
      <c r="Q1091" s="56" t="inlineStr">
        <is>
          <t>Apoorv</t>
        </is>
      </c>
      <c r="U1091" s="585" t="n">
        <v>2422183</v>
      </c>
      <c r="V1091" t="n">
        <v>38.1</v>
      </c>
      <c r="W1091" t="n">
        <v>0</v>
      </c>
      <c r="X1091" t="n">
        <v>2</v>
      </c>
      <c r="Y1091" t="n">
        <v>0.41</v>
      </c>
      <c r="Z1091" t="inlineStr">
        <is>
          <t>HROP</t>
        </is>
      </c>
      <c r="AA1091" t="inlineStr">
        <is>
          <t>FC</t>
        </is>
      </c>
      <c r="AB1091" t="inlineStr">
        <is>
          <t>AW</t>
        </is>
      </c>
      <c r="AC1091" t="inlineStr">
        <is>
          <t>38.1-0-2-ERW 1-FC</t>
        </is>
      </c>
      <c r="AD1091" t="inlineStr">
        <is>
          <t>CTL</t>
        </is>
      </c>
      <c r="AE1091" t="inlineStr">
        <is>
          <t>38.1-0-2-ERW 1-FC-0.41</t>
        </is>
      </c>
      <c r="AF1091" t="n">
        <v>0.729659698</v>
      </c>
    </row>
    <row r="1092">
      <c r="A1092" s="56" t="n">
        <v>2410999</v>
      </c>
      <c r="B1092" s="56" t="inlineStr">
        <is>
          <t>TUB-O-C-AUT-AD-FC-21.70X2.750X04-05</t>
        </is>
      </c>
      <c r="C1092" s="56" t="inlineStr">
        <is>
          <t>4825K31210</t>
        </is>
      </c>
      <c r="D1092" s="56" t="n"/>
      <c r="E1092" s="57" t="n">
        <v>1208</v>
      </c>
      <c r="F1092" s="57" t="n">
        <v>1.208</v>
      </c>
      <c r="G1092" s="56" t="inlineStr">
        <is>
          <t>KG</t>
        </is>
      </c>
      <c r="H1092" s="56" t="inlineStr">
        <is>
          <t>TF01</t>
        </is>
      </c>
      <c r="I1092" s="56" t="inlineStr">
        <is>
          <t>4731</t>
        </is>
      </c>
      <c r="J1092" s="56" t="n"/>
      <c r="K1092" s="56" t="n"/>
      <c r="L1092" s="56" t="n"/>
      <c r="M1092" s="56" t="n"/>
      <c r="N1092" s="56" t="inlineStr">
        <is>
          <t>SRIKAM HITECH ENGINEERING PRIVATE L</t>
        </is>
      </c>
      <c r="O1092" s="56" t="n">
        <v>90</v>
      </c>
      <c r="P1092" s="59" t="inlineStr">
        <is>
          <t>61-90</t>
        </is>
      </c>
      <c r="Q1092" s="56" t="inlineStr">
        <is>
          <t>Apoorv</t>
        </is>
      </c>
      <c r="U1092" s="585" t="n">
        <v>3508742</v>
      </c>
      <c r="V1092" t="n">
        <v>38.1</v>
      </c>
      <c r="W1092" t="n">
        <v>0</v>
      </c>
      <c r="X1092" t="n">
        <v>2</v>
      </c>
      <c r="Y1092" t="n">
        <v>0.41</v>
      </c>
      <c r="Z1092" t="inlineStr"/>
      <c r="AA1092" t="inlineStr">
        <is>
          <t>FC</t>
        </is>
      </c>
      <c r="AB1092" t="inlineStr">
        <is>
          <t>AW</t>
        </is>
      </c>
      <c r="AC1092" t="inlineStr">
        <is>
          <t>38.1-0-2-ERW 1-FC</t>
        </is>
      </c>
      <c r="AD1092" t="inlineStr">
        <is>
          <t>CTL</t>
        </is>
      </c>
      <c r="AE1092" t="inlineStr">
        <is>
          <t>38.1-0-2-ERW 1-FC-0.41</t>
        </is>
      </c>
      <c r="AF1092" t="n">
        <v>0.729659698</v>
      </c>
    </row>
    <row r="1093">
      <c r="A1093" s="56" t="n">
        <v>2410999</v>
      </c>
      <c r="B1093" s="56" t="inlineStr">
        <is>
          <t>TUB-O-C-AUT-AD-FC-21.70X2.750X04-05</t>
        </is>
      </c>
      <c r="C1093" s="56" t="inlineStr">
        <is>
          <t>481867580B</t>
        </is>
      </c>
      <c r="D1093" s="56" t="n"/>
      <c r="E1093" s="57" t="n">
        <v>849</v>
      </c>
      <c r="F1093" s="57" t="n">
        <v>0.849</v>
      </c>
      <c r="G1093" s="56" t="inlineStr">
        <is>
          <t>KG</t>
        </is>
      </c>
      <c r="H1093" s="56" t="inlineStr">
        <is>
          <t>TF01</t>
        </is>
      </c>
      <c r="I1093" s="56" t="inlineStr">
        <is>
          <t>4731</t>
        </is>
      </c>
      <c r="J1093" s="56" t="n"/>
      <c r="K1093" s="56" t="n"/>
      <c r="L1093" s="56" t="n"/>
      <c r="M1093" s="56" t="n"/>
      <c r="N1093" s="56" t="inlineStr">
        <is>
          <t>SRIKAM HITECH ENGINEERING PRIVATE L</t>
        </is>
      </c>
      <c r="O1093" s="56" t="n">
        <v>90</v>
      </c>
      <c r="P1093" s="59" t="inlineStr">
        <is>
          <t>61-90</t>
        </is>
      </c>
      <c r="Q1093" s="56" t="inlineStr">
        <is>
          <t>Apoorv</t>
        </is>
      </c>
      <c r="U1093" s="585" t="n">
        <v>1940738</v>
      </c>
      <c r="V1093" t="n">
        <v>38.1</v>
      </c>
      <c r="W1093" t="n">
        <v>0</v>
      </c>
      <c r="X1093" t="n">
        <v>2</v>
      </c>
      <c r="Y1093" t="n">
        <v>0.425</v>
      </c>
      <c r="Z1093" t="inlineStr">
        <is>
          <t>GR1</t>
        </is>
      </c>
      <c r="AA1093" t="inlineStr">
        <is>
          <t>FC</t>
        </is>
      </c>
      <c r="AB1093" t="inlineStr">
        <is>
          <t>AW</t>
        </is>
      </c>
      <c r="AC1093" t="inlineStr">
        <is>
          <t>38.1-0-2-ERW 1-FC</t>
        </is>
      </c>
      <c r="AD1093" t="inlineStr">
        <is>
          <t>CTL</t>
        </is>
      </c>
      <c r="AE1093" t="inlineStr">
        <is>
          <t>38.1-0-2-ERW 1-FC-0.425</t>
        </is>
      </c>
      <c r="AF1093" t="n">
        <v>0.756354565</v>
      </c>
    </row>
    <row r="1094">
      <c r="A1094" s="56" t="n">
        <v>2410999</v>
      </c>
      <c r="B1094" s="56" t="inlineStr">
        <is>
          <t>TUB-O-C-AUT-AD-FC-21.70X2.750X04-05</t>
        </is>
      </c>
      <c r="C1094" s="56" t="inlineStr">
        <is>
          <t>481867580A</t>
        </is>
      </c>
      <c r="D1094" s="56" t="n"/>
      <c r="E1094" s="57" t="n">
        <v>1800</v>
      </c>
      <c r="F1094" s="57" t="n">
        <v>1.8</v>
      </c>
      <c r="G1094" s="56" t="inlineStr">
        <is>
          <t>KG</t>
        </is>
      </c>
      <c r="H1094" s="56" t="inlineStr">
        <is>
          <t>TF01</t>
        </is>
      </c>
      <c r="I1094" s="56" t="inlineStr">
        <is>
          <t>4731</t>
        </is>
      </c>
      <c r="J1094" s="56" t="n"/>
      <c r="K1094" s="56" t="n"/>
      <c r="L1094" s="56" t="n"/>
      <c r="M1094" s="56" t="n"/>
      <c r="N1094" s="56" t="inlineStr">
        <is>
          <t>SRIKAM HITECH ENGINEERING PRIVATE L</t>
        </is>
      </c>
      <c r="O1094" s="56" t="n">
        <v>90</v>
      </c>
      <c r="P1094" s="59" t="inlineStr">
        <is>
          <t>61-90</t>
        </is>
      </c>
      <c r="Q1094" s="56" t="inlineStr">
        <is>
          <t>Apoorv</t>
        </is>
      </c>
      <c r="U1094" s="585" t="n">
        <v>444029</v>
      </c>
      <c r="V1094" t="n">
        <v>38.1</v>
      </c>
      <c r="W1094" t="n">
        <v>0</v>
      </c>
      <c r="X1094" t="n">
        <v>2</v>
      </c>
      <c r="Y1094" t="n">
        <v>0.425</v>
      </c>
      <c r="Z1094" t="inlineStr">
        <is>
          <t>TPT</t>
        </is>
      </c>
      <c r="AA1094" t="inlineStr">
        <is>
          <t>FC</t>
        </is>
      </c>
      <c r="AB1094" t="inlineStr">
        <is>
          <t>AW</t>
        </is>
      </c>
      <c r="AC1094" t="inlineStr">
        <is>
          <t>38.1-0-2-ERW 1-FC</t>
        </is>
      </c>
      <c r="AD1094" t="inlineStr">
        <is>
          <t>CTL</t>
        </is>
      </c>
      <c r="AE1094" t="inlineStr">
        <is>
          <t>38.1-0-2-ERW 1-FC-0.425</t>
        </is>
      </c>
      <c r="AF1094" t="n">
        <v>0.756354565</v>
      </c>
    </row>
    <row r="1095">
      <c r="A1095" s="56" t="n">
        <v>2410999</v>
      </c>
      <c r="B1095" s="56" t="inlineStr">
        <is>
          <t>TUB-O-C-AUT-AD-FC-21.70X2.750X04-05</t>
        </is>
      </c>
      <c r="C1095" s="56" t="inlineStr">
        <is>
          <t>4803BK2100</t>
        </is>
      </c>
      <c r="D1095" s="56" t="n"/>
      <c r="E1095" s="57" t="n">
        <v>975.3150000000001</v>
      </c>
      <c r="F1095" s="57" t="n">
        <v>0.975315</v>
      </c>
      <c r="G1095" s="56" t="inlineStr">
        <is>
          <t>KG</t>
        </is>
      </c>
      <c r="H1095" s="56" t="inlineStr">
        <is>
          <t>TF01</t>
        </is>
      </c>
      <c r="I1095" s="56" t="inlineStr">
        <is>
          <t>4731</t>
        </is>
      </c>
      <c r="J1095" s="56" t="n"/>
      <c r="K1095" s="56" t="n"/>
      <c r="L1095" s="56" t="n"/>
      <c r="M1095" s="56" t="n"/>
      <c r="N1095" s="56" t="inlineStr">
        <is>
          <t>SRIKAM HITECH ENGINEERING PRIVATE L</t>
        </is>
      </c>
      <c r="O1095" s="56" t="n">
        <v>54</v>
      </c>
      <c r="P1095" s="59" t="inlineStr">
        <is>
          <t>31-60</t>
        </is>
      </c>
      <c r="Q1095" s="56" t="inlineStr">
        <is>
          <t>Apoorv</t>
        </is>
      </c>
      <c r="U1095" s="585" t="n">
        <v>1903849</v>
      </c>
      <c r="V1095" t="n">
        <v>38.1</v>
      </c>
      <c r="W1095" t="n">
        <v>0</v>
      </c>
      <c r="X1095" t="n">
        <v>2</v>
      </c>
      <c r="Y1095" t="n">
        <v>0.432</v>
      </c>
      <c r="Z1095" t="inlineStr">
        <is>
          <t>NORMAL</t>
        </is>
      </c>
      <c r="AA1095" t="inlineStr">
        <is>
          <t>FC</t>
        </is>
      </c>
      <c r="AB1095" t="inlineStr">
        <is>
          <t>AW</t>
        </is>
      </c>
      <c r="AC1095" t="inlineStr">
        <is>
          <t>38.1-0-2-ERW 1-FC</t>
        </is>
      </c>
      <c r="AD1095" t="inlineStr">
        <is>
          <t>CTL</t>
        </is>
      </c>
      <c r="AE1095" t="inlineStr">
        <is>
          <t>38.1-0-2-ERW 1-FC-0.432</t>
        </is>
      </c>
      <c r="AF1095" t="n">
        <v>0.7688121696</v>
      </c>
    </row>
    <row r="1096">
      <c r="A1096" s="56" t="n">
        <v>2410999</v>
      </c>
      <c r="B1096" s="56" t="inlineStr">
        <is>
          <t>TUB-O-C-AUT-AD-FC-21.70X2.750X04-05</t>
        </is>
      </c>
      <c r="C1096" s="56" t="inlineStr">
        <is>
          <t>4421K12012</t>
        </is>
      </c>
      <c r="D1096" s="56" t="n"/>
      <c r="E1096" s="57" t="n">
        <v>1326</v>
      </c>
      <c r="F1096" s="57" t="n">
        <v>1.326</v>
      </c>
      <c r="G1096" s="56" t="inlineStr">
        <is>
          <t>KG</t>
        </is>
      </c>
      <c r="H1096" s="56" t="inlineStr">
        <is>
          <t>TF01</t>
        </is>
      </c>
      <c r="I1096" s="56" t="inlineStr">
        <is>
          <t>4731</t>
        </is>
      </c>
      <c r="J1096" s="56" t="n"/>
      <c r="K1096" s="56" t="n"/>
      <c r="L1096" s="56" t="n"/>
      <c r="M1096" s="56" t="n"/>
      <c r="N1096" s="56" t="inlineStr">
        <is>
          <t>SRIKAM HITECH ENGINEERING PRIVATE L</t>
        </is>
      </c>
      <c r="O1096" s="56" t="n">
        <v>90</v>
      </c>
      <c r="P1096" s="59" t="inlineStr">
        <is>
          <t>61-90</t>
        </is>
      </c>
      <c r="Q1096" s="56" t="inlineStr">
        <is>
          <t>Apoorv</t>
        </is>
      </c>
      <c r="U1096" s="585" t="n">
        <v>1438332</v>
      </c>
      <c r="V1096" t="n">
        <v>38.1</v>
      </c>
      <c r="W1096" t="n">
        <v>0</v>
      </c>
      <c r="X1096" t="n">
        <v>2</v>
      </c>
      <c r="Y1096" t="n">
        <v>0.435</v>
      </c>
      <c r="Z1096" t="inlineStr"/>
      <c r="AA1096" t="inlineStr">
        <is>
          <t>FC</t>
        </is>
      </c>
      <c r="AB1096" t="inlineStr">
        <is>
          <t>AW</t>
        </is>
      </c>
      <c r="AC1096" t="inlineStr">
        <is>
          <t>38.1-0-2-ERW 1-FC</t>
        </is>
      </c>
      <c r="AD1096" t="inlineStr">
        <is>
          <t>CTL</t>
        </is>
      </c>
      <c r="AE1096" t="inlineStr">
        <is>
          <t>38.1-0-2-ERW 1-FC-0.435</t>
        </is>
      </c>
      <c r="AF1096" t="n">
        <v>0.774151143</v>
      </c>
    </row>
    <row r="1097">
      <c r="A1097" s="56" t="n">
        <v>2410999</v>
      </c>
      <c r="B1097" s="56" t="inlineStr">
        <is>
          <t>TUB-O-C-AUT-AD-FC-21.70X2.750X04-05</t>
        </is>
      </c>
      <c r="C1097" s="56" t="inlineStr">
        <is>
          <t>481167070A</t>
        </is>
      </c>
      <c r="D1097" s="56" t="n"/>
      <c r="E1097" s="57" t="n">
        <v>380.199</v>
      </c>
      <c r="F1097" s="57" t="n">
        <v>0.380199</v>
      </c>
      <c r="G1097" s="56" t="inlineStr">
        <is>
          <t>KG</t>
        </is>
      </c>
      <c r="H1097" s="56" t="inlineStr">
        <is>
          <t>R001</t>
        </is>
      </c>
      <c r="I1097" s="56" t="inlineStr">
        <is>
          <t>4731</t>
        </is>
      </c>
      <c r="J1097" s="56" t="n"/>
      <c r="K1097" s="56" t="n"/>
      <c r="L1097" s="56" t="n"/>
      <c r="M1097" s="56" t="n"/>
      <c r="N1097" s="56" t="inlineStr">
        <is>
          <t>SRIKAM HITECH ENGINEERING PRIVATE L</t>
        </is>
      </c>
      <c r="O1097" s="56" t="n">
        <v>105</v>
      </c>
      <c r="P1097" s="59" t="inlineStr">
        <is>
          <t>ABOVE 90</t>
        </is>
      </c>
      <c r="Q1097" s="56" t="inlineStr">
        <is>
          <t>Apoorv</t>
        </is>
      </c>
      <c r="U1097" s="585" t="n">
        <v>3508985</v>
      </c>
      <c r="V1097" t="n">
        <v>38.1</v>
      </c>
      <c r="W1097" t="n">
        <v>0</v>
      </c>
      <c r="X1097" t="n">
        <v>2</v>
      </c>
      <c r="Y1097" t="n">
        <v>0.435</v>
      </c>
      <c r="Z1097" t="inlineStr"/>
      <c r="AA1097" t="inlineStr">
        <is>
          <t>FC</t>
        </is>
      </c>
      <c r="AB1097" t="inlineStr">
        <is>
          <t>AW</t>
        </is>
      </c>
      <c r="AC1097" t="inlineStr">
        <is>
          <t>38.1-0-2-ERW 1-FC</t>
        </is>
      </c>
      <c r="AD1097" t="inlineStr">
        <is>
          <t>CTL</t>
        </is>
      </c>
      <c r="AE1097" t="inlineStr">
        <is>
          <t>38.1-0-2-ERW 1-FC-0.435</t>
        </is>
      </c>
      <c r="AF1097" t="n">
        <v>0.774151143</v>
      </c>
    </row>
    <row r="1098">
      <c r="A1098" s="56" t="n">
        <v>2410999</v>
      </c>
      <c r="B1098" s="56" t="inlineStr">
        <is>
          <t>TUB-O-C-AUT-AD-FC-21.70X2.750X04-05</t>
        </is>
      </c>
      <c r="C1098" s="56" t="inlineStr">
        <is>
          <t>481167060C</t>
        </is>
      </c>
      <c r="D1098" s="56" t="n"/>
      <c r="E1098" s="57" t="n">
        <v>52</v>
      </c>
      <c r="F1098" s="57" t="n">
        <v>0.052</v>
      </c>
      <c r="G1098" s="56" t="inlineStr">
        <is>
          <t>KG</t>
        </is>
      </c>
      <c r="H1098" s="56" t="inlineStr">
        <is>
          <t>R001</t>
        </is>
      </c>
      <c r="I1098" s="56" t="inlineStr">
        <is>
          <t>4731</t>
        </is>
      </c>
      <c r="J1098" s="56" t="n"/>
      <c r="K1098" s="56" t="n"/>
      <c r="L1098" s="56" t="n"/>
      <c r="M1098" s="56" t="n"/>
      <c r="N1098" s="56" t="inlineStr">
        <is>
          <t>SRIKAM HITECH ENGINEERING PRIVATE L</t>
        </is>
      </c>
      <c r="O1098" s="56" t="n">
        <v>86</v>
      </c>
      <c r="P1098" s="59" t="inlineStr">
        <is>
          <t>61-90</t>
        </is>
      </c>
      <c r="Q1098" s="56" t="inlineStr">
        <is>
          <t>Apoorv</t>
        </is>
      </c>
      <c r="U1098" s="585" t="n">
        <v>1940739</v>
      </c>
      <c r="V1098" t="n">
        <v>38.1</v>
      </c>
      <c r="W1098" t="n">
        <v>0</v>
      </c>
      <c r="X1098" t="n">
        <v>2</v>
      </c>
      <c r="Y1098" t="n">
        <v>0.488</v>
      </c>
      <c r="Z1098" t="inlineStr">
        <is>
          <t>GR1</t>
        </is>
      </c>
      <c r="AA1098" t="inlineStr">
        <is>
          <t>FC</t>
        </is>
      </c>
      <c r="AB1098" t="inlineStr">
        <is>
          <t>AW</t>
        </is>
      </c>
      <c r="AC1098" t="inlineStr">
        <is>
          <t>38.1-0-2-ERW 1-FC</t>
        </is>
      </c>
      <c r="AD1098" t="inlineStr">
        <is>
          <t>CTL</t>
        </is>
      </c>
      <c r="AE1098" t="inlineStr">
        <is>
          <t>38.1-0-2-ERW 1-FC-0.488</t>
        </is>
      </c>
      <c r="AF1098" t="n">
        <v>0.8684730064</v>
      </c>
    </row>
    <row r="1099">
      <c r="A1099" s="56" t="n">
        <v>2410999</v>
      </c>
      <c r="B1099" s="56" t="inlineStr">
        <is>
          <t>TUB-O-C-AUT-AD-FC-21.70X2.750X04-05</t>
        </is>
      </c>
      <c r="C1099" s="56" t="inlineStr">
        <is>
          <t>481167060B</t>
        </is>
      </c>
      <c r="D1099" s="56" t="n"/>
      <c r="E1099" s="57" t="n">
        <v>749</v>
      </c>
      <c r="F1099" s="57" t="n">
        <v>0.749</v>
      </c>
      <c r="G1099" s="56" t="inlineStr">
        <is>
          <t>KG</t>
        </is>
      </c>
      <c r="H1099" s="56" t="inlineStr">
        <is>
          <t>R001</t>
        </is>
      </c>
      <c r="I1099" s="56" t="inlineStr">
        <is>
          <t>4731</t>
        </is>
      </c>
      <c r="J1099" s="56" t="n"/>
      <c r="K1099" s="56" t="n"/>
      <c r="L1099" s="56" t="n"/>
      <c r="M1099" s="56" t="n"/>
      <c r="N1099" s="56" t="inlineStr">
        <is>
          <t>SRIKAM HITECH ENGINEERING PRIVATE L</t>
        </is>
      </c>
      <c r="O1099" s="56" t="n">
        <v>86</v>
      </c>
      <c r="P1099" s="59" t="inlineStr">
        <is>
          <t>61-90</t>
        </is>
      </c>
      <c r="Q1099" s="56" t="inlineStr">
        <is>
          <t>Apoorv</t>
        </is>
      </c>
      <c r="U1099" s="585" t="n">
        <v>437159</v>
      </c>
      <c r="V1099" t="n">
        <v>38.1</v>
      </c>
      <c r="W1099" t="n">
        <v>0</v>
      </c>
      <c r="X1099" t="n">
        <v>2</v>
      </c>
      <c r="Y1099" t="n">
        <v>0.488</v>
      </c>
      <c r="Z1099" t="inlineStr">
        <is>
          <t>TPT</t>
        </is>
      </c>
      <c r="AA1099" t="inlineStr">
        <is>
          <t>FC</t>
        </is>
      </c>
      <c r="AB1099" t="inlineStr">
        <is>
          <t>AW</t>
        </is>
      </c>
      <c r="AC1099" t="inlineStr">
        <is>
          <t>38.1-0-2-ERW 1-FC</t>
        </is>
      </c>
      <c r="AD1099" t="inlineStr">
        <is>
          <t>CTL</t>
        </is>
      </c>
      <c r="AE1099" t="inlineStr">
        <is>
          <t>38.1-0-2-ERW 1-FC-0.488</t>
        </is>
      </c>
      <c r="AF1099" t="n">
        <v>0.8684730064</v>
      </c>
    </row>
    <row r="1100">
      <c r="A1100" s="56" t="n">
        <v>2410999</v>
      </c>
      <c r="B1100" s="56" t="inlineStr">
        <is>
          <t>TUB-O-C-AUT-AD-FC-21.70X2.750X04-05</t>
        </is>
      </c>
      <c r="C1100" s="56" t="inlineStr">
        <is>
          <t>481167060A</t>
        </is>
      </c>
      <c r="D1100" s="56" t="n"/>
      <c r="E1100" s="57" t="n">
        <v>737</v>
      </c>
      <c r="F1100" s="57" t="n">
        <v>0.737</v>
      </c>
      <c r="G1100" s="56" t="inlineStr">
        <is>
          <t>KG</t>
        </is>
      </c>
      <c r="H1100" s="56" t="inlineStr">
        <is>
          <t>R001</t>
        </is>
      </c>
      <c r="I1100" s="56" t="inlineStr">
        <is>
          <t>4731</t>
        </is>
      </c>
      <c r="J1100" s="56" t="n"/>
      <c r="K1100" s="56" t="n"/>
      <c r="L1100" s="56" t="n"/>
      <c r="M1100" s="56" t="n"/>
      <c r="N1100" s="56" t="inlineStr">
        <is>
          <t>SRIKAM HITECH ENGINEERING PRIVATE L</t>
        </is>
      </c>
      <c r="O1100" s="56" t="n">
        <v>86</v>
      </c>
      <c r="P1100" s="59" t="inlineStr">
        <is>
          <t>61-90</t>
        </is>
      </c>
      <c r="Q1100" s="56" t="inlineStr">
        <is>
          <t>Apoorv</t>
        </is>
      </c>
      <c r="U1100" s="585" t="n">
        <v>3774058</v>
      </c>
      <c r="V1100" t="n">
        <v>38.1</v>
      </c>
      <c r="W1100" t="n">
        <v>0</v>
      </c>
      <c r="X1100" t="n">
        <v>2</v>
      </c>
      <c r="Y1100" t="n">
        <v>0.488</v>
      </c>
      <c r="Z1100" t="inlineStr">
        <is>
          <t>NORMAL</t>
        </is>
      </c>
      <c r="AA1100" t="inlineStr">
        <is>
          <t>FC</t>
        </is>
      </c>
      <c r="AB1100" t="inlineStr">
        <is>
          <t>AW</t>
        </is>
      </c>
      <c r="AC1100" t="inlineStr">
        <is>
          <t>38.1-0-2-ERW 1-FC</t>
        </is>
      </c>
      <c r="AD1100" t="inlineStr">
        <is>
          <t>CTL</t>
        </is>
      </c>
      <c r="AE1100" t="inlineStr">
        <is>
          <t>38.1-0-2-ERW 1-FC-0.488</t>
        </is>
      </c>
      <c r="AF1100" t="n">
        <v>0.8684730064</v>
      </c>
    </row>
    <row r="1101">
      <c r="A1101" s="56" t="n">
        <v>2410999</v>
      </c>
      <c r="B1101" s="56" t="inlineStr">
        <is>
          <t>TUB-O-C-AUT-AD-FC-21.70X2.750X04-05</t>
        </is>
      </c>
      <c r="C1101" s="56" t="inlineStr">
        <is>
          <t>481166990B</t>
        </is>
      </c>
      <c r="D1101" s="56" t="n"/>
      <c r="E1101" s="57" t="n">
        <v>248.96</v>
      </c>
      <c r="F1101" s="57" t="n">
        <v>0.24896</v>
      </c>
      <c r="G1101" s="56" t="inlineStr">
        <is>
          <t>KG</t>
        </is>
      </c>
      <c r="H1101" s="56" t="inlineStr">
        <is>
          <t>R001</t>
        </is>
      </c>
      <c r="I1101" s="56" t="inlineStr">
        <is>
          <t>4731</t>
        </is>
      </c>
      <c r="J1101" s="56" t="n"/>
      <c r="K1101" s="56" t="n"/>
      <c r="L1101" s="56" t="n"/>
      <c r="M1101" s="56" t="n"/>
      <c r="N1101" s="56" t="inlineStr">
        <is>
          <t>SRIKAM HITECH ENGINEERING PRIVATE L</t>
        </is>
      </c>
      <c r="O1101" s="56" t="n">
        <v>117</v>
      </c>
      <c r="P1101" s="59" t="inlineStr">
        <is>
          <t>ABOVE 90</t>
        </is>
      </c>
      <c r="Q1101" s="56" t="inlineStr">
        <is>
          <t>Apoorv</t>
        </is>
      </c>
      <c r="U1101" s="585" t="n">
        <v>3516769</v>
      </c>
      <c r="V1101" t="n">
        <v>38.1</v>
      </c>
      <c r="W1101" t="n">
        <v>0</v>
      </c>
      <c r="X1101" t="n">
        <v>2</v>
      </c>
      <c r="Y1101" t="n">
        <v>0.494</v>
      </c>
      <c r="Z1101" t="inlineStr">
        <is>
          <t>HROP</t>
        </is>
      </c>
      <c r="AA1101" t="inlineStr">
        <is>
          <t>FC</t>
        </is>
      </c>
      <c r="AB1101" t="inlineStr">
        <is>
          <t>AW</t>
        </is>
      </c>
      <c r="AC1101" t="inlineStr">
        <is>
          <t>38.1-0-2-ERW 1-FC</t>
        </is>
      </c>
      <c r="AD1101" t="inlineStr">
        <is>
          <t>CTL</t>
        </is>
      </c>
      <c r="AE1101" t="inlineStr">
        <is>
          <t>38.1-0-2-ERW 1-FC-0.494</t>
        </is>
      </c>
      <c r="AF1101" t="n">
        <v>0.8791509532</v>
      </c>
    </row>
    <row r="1102">
      <c r="A1102" s="56" t="n">
        <v>2410999</v>
      </c>
      <c r="B1102" s="56" t="inlineStr">
        <is>
          <t>TUB-O-C-AUT-AD-FC-21.70X2.750X04-05</t>
        </is>
      </c>
      <c r="C1102" s="56" t="inlineStr">
        <is>
          <t>433164560B</t>
        </is>
      </c>
      <c r="D1102" s="56" t="n"/>
      <c r="E1102" s="57" t="n">
        <v>364.108</v>
      </c>
      <c r="F1102" s="57" t="n">
        <v>0.364108</v>
      </c>
      <c r="G1102" s="56" t="inlineStr">
        <is>
          <t>KG</t>
        </is>
      </c>
      <c r="H1102" s="56" t="inlineStr">
        <is>
          <t>R001</t>
        </is>
      </c>
      <c r="I1102" s="56" t="inlineStr">
        <is>
          <t>4731</t>
        </is>
      </c>
      <c r="J1102" s="56" t="n"/>
      <c r="K1102" s="56" t="n"/>
      <c r="L1102" s="56" t="n"/>
      <c r="M1102" s="56" t="n"/>
      <c r="N1102" s="56" t="inlineStr">
        <is>
          <t>SRIKAM HITECH ENGINEERING PRIVATE L</t>
        </is>
      </c>
      <c r="O1102" s="56" t="n">
        <v>83</v>
      </c>
      <c r="P1102" s="59" t="inlineStr">
        <is>
          <t>61-90</t>
        </is>
      </c>
      <c r="Q1102" s="56" t="inlineStr">
        <is>
          <t>Apoorv</t>
        </is>
      </c>
      <c r="U1102" s="585" t="n">
        <v>1940743</v>
      </c>
      <c r="V1102" t="n">
        <v>38.1</v>
      </c>
      <c r="W1102" t="n">
        <v>0</v>
      </c>
      <c r="X1102" t="n">
        <v>2</v>
      </c>
      <c r="Y1102" t="n">
        <v>0.8120000000000001</v>
      </c>
      <c r="Z1102" t="inlineStr">
        <is>
          <t>GR1</t>
        </is>
      </c>
      <c r="AA1102" t="inlineStr">
        <is>
          <t>FC</t>
        </is>
      </c>
      <c r="AB1102" t="inlineStr">
        <is>
          <t>AW</t>
        </is>
      </c>
      <c r="AC1102" t="inlineStr">
        <is>
          <t>38.1-0-2-ERW 1-FC</t>
        </is>
      </c>
      <c r="AD1102" t="inlineStr">
        <is>
          <t>CTL</t>
        </is>
      </c>
      <c r="AE1102" t="inlineStr">
        <is>
          <t>38.1-0-2-ERW 1-FC-0.812</t>
        </is>
      </c>
      <c r="AF1102" t="n">
        <v>1.4450821336</v>
      </c>
    </row>
    <row r="1103">
      <c r="A1103" s="56" t="n">
        <v>2410999</v>
      </c>
      <c r="B1103" s="56" t="inlineStr">
        <is>
          <t>TUB-O-C-AUT-AD-FC-21.70X2.750X04-05</t>
        </is>
      </c>
      <c r="C1103" s="56" t="inlineStr">
        <is>
          <t>431862870B</t>
        </is>
      </c>
      <c r="D1103" s="56" t="n"/>
      <c r="E1103" s="57" t="n">
        <v>592</v>
      </c>
      <c r="F1103" s="57" t="n">
        <v>0.592</v>
      </c>
      <c r="G1103" s="56" t="inlineStr">
        <is>
          <t>KG</t>
        </is>
      </c>
      <c r="H1103" s="56" t="inlineStr">
        <is>
          <t>R001</t>
        </is>
      </c>
      <c r="I1103" s="56" t="inlineStr">
        <is>
          <t>4731</t>
        </is>
      </c>
      <c r="J1103" s="56" t="n"/>
      <c r="K1103" s="56" t="n"/>
      <c r="L1103" s="56" t="n"/>
      <c r="M1103" s="56" t="n"/>
      <c r="N1103" s="56" t="inlineStr">
        <is>
          <t>SRIKAM HITECH ENGINEERING PRIVATE L</t>
        </is>
      </c>
      <c r="O1103" s="56" t="n">
        <v>147</v>
      </c>
      <c r="P1103" s="59" t="inlineStr">
        <is>
          <t>ABOVE 90</t>
        </is>
      </c>
      <c r="Q1103" s="56" t="inlineStr">
        <is>
          <t>Apoorv</t>
        </is>
      </c>
      <c r="U1103" s="585" t="n">
        <v>1940744</v>
      </c>
      <c r="V1103" t="n">
        <v>38.1</v>
      </c>
      <c r="W1103" t="n">
        <v>0</v>
      </c>
      <c r="X1103" t="n">
        <v>2</v>
      </c>
      <c r="Y1103" t="n">
        <v>0.8149999999999999</v>
      </c>
      <c r="Z1103" t="inlineStr">
        <is>
          <t>GR1</t>
        </is>
      </c>
      <c r="AA1103" t="inlineStr">
        <is>
          <t>FC</t>
        </is>
      </c>
      <c r="AB1103" t="inlineStr">
        <is>
          <t>AW</t>
        </is>
      </c>
      <c r="AC1103" t="inlineStr">
        <is>
          <t>38.1-0-2-ERW 1-FC</t>
        </is>
      </c>
      <c r="AD1103" t="inlineStr">
        <is>
          <t>CTL</t>
        </is>
      </c>
      <c r="AE1103" t="inlineStr">
        <is>
          <t>38.1-0-2-ERW 1-FC-0.815</t>
        </is>
      </c>
      <c r="AF1103" t="n">
        <v>1.450421107</v>
      </c>
    </row>
    <row r="1104">
      <c r="A1104" s="56" t="n">
        <v>2411624</v>
      </c>
      <c r="B1104" s="56" t="inlineStr">
        <is>
          <t>TUB-O-C-AUT-AD-FC-21.20X2.750X04-05</t>
        </is>
      </c>
      <c r="C1104" s="56" t="inlineStr">
        <is>
          <t>MG1132404</t>
        </is>
      </c>
      <c r="D1104" s="56" t="n"/>
      <c r="E1104" s="57" t="n">
        <v>202.752</v>
      </c>
      <c r="F1104" s="57" t="n">
        <v>0.202752</v>
      </c>
      <c r="G1104" s="56" t="inlineStr">
        <is>
          <t>KG</t>
        </is>
      </c>
      <c r="H1104" s="56" t="inlineStr">
        <is>
          <t>R001</t>
        </is>
      </c>
      <c r="I1104" s="56" t="inlineStr">
        <is>
          <t>4731</t>
        </is>
      </c>
      <c r="J1104" s="56" t="n"/>
      <c r="K1104" s="56" t="n"/>
      <c r="L1104" s="56" t="n"/>
      <c r="M1104" s="56" t="n"/>
      <c r="N1104" s="56" t="inlineStr">
        <is>
          <t>SRIKAM HITECH ENGINEERING PRIVATE L</t>
        </is>
      </c>
      <c r="O1104" s="56" t="n">
        <v>56</v>
      </c>
      <c r="P1104" s="59" t="inlineStr">
        <is>
          <t>31-60</t>
        </is>
      </c>
      <c r="Q1104" s="56" t="inlineStr">
        <is>
          <t>Apoorv</t>
        </is>
      </c>
      <c r="U1104" s="585" t="n">
        <v>1308858</v>
      </c>
      <c r="V1104" t="n">
        <v>38.1</v>
      </c>
      <c r="W1104" t="n">
        <v>0</v>
      </c>
      <c r="X1104" t="n">
        <v>2</v>
      </c>
      <c r="Y1104" t="n">
        <v>0.8149999999999999</v>
      </c>
      <c r="Z1104" t="inlineStr"/>
      <c r="AA1104" t="inlineStr">
        <is>
          <t>FC</t>
        </is>
      </c>
      <c r="AB1104" t="inlineStr">
        <is>
          <t>AW</t>
        </is>
      </c>
      <c r="AC1104" t="inlineStr">
        <is>
          <t>38.1-0-2-ERW 1-FC</t>
        </is>
      </c>
      <c r="AD1104" t="inlineStr">
        <is>
          <t>CTL</t>
        </is>
      </c>
      <c r="AE1104" t="inlineStr">
        <is>
          <t>38.1-0-2-ERW 1-FC-0.815</t>
        </is>
      </c>
      <c r="AF1104" t="n">
        <v>1.450421107</v>
      </c>
    </row>
    <row r="1105">
      <c r="A1105" s="56" t="n">
        <v>2411624</v>
      </c>
      <c r="B1105" s="56" t="inlineStr">
        <is>
          <t>TUB-O-C-AUT-AD-FC-21.20X2.750X04-05</t>
        </is>
      </c>
      <c r="C1105" s="56" t="inlineStr">
        <is>
          <t>4610K17949</t>
        </is>
      </c>
      <c r="D1105" s="56" t="n"/>
      <c r="E1105" s="57" t="n">
        <v>1238.08</v>
      </c>
      <c r="F1105" s="57" t="n">
        <v>1.23808</v>
      </c>
      <c r="G1105" s="56" t="inlineStr">
        <is>
          <t>KG</t>
        </is>
      </c>
      <c r="H1105" s="56" t="inlineStr">
        <is>
          <t>R001</t>
        </is>
      </c>
      <c r="I1105" s="56" t="inlineStr">
        <is>
          <t>4731</t>
        </is>
      </c>
      <c r="J1105" s="56" t="n"/>
      <c r="K1105" s="56" t="n"/>
      <c r="L1105" s="56" t="n"/>
      <c r="M1105" s="56" t="n"/>
      <c r="N1105" s="56" t="inlineStr">
        <is>
          <t>SRIKAM HITECH ENGINEERING PRIVATE L</t>
        </is>
      </c>
      <c r="O1105" s="56" t="n">
        <v>18</v>
      </c>
      <c r="P1105" s="59" t="inlineStr">
        <is>
          <t>0-30</t>
        </is>
      </c>
      <c r="Q1105" s="56" t="inlineStr">
        <is>
          <t>Apoorv</t>
        </is>
      </c>
      <c r="U1105" s="585" t="n">
        <v>1940745</v>
      </c>
      <c r="V1105" t="n">
        <v>38.1</v>
      </c>
      <c r="W1105" t="n">
        <v>0</v>
      </c>
      <c r="X1105" t="n">
        <v>2</v>
      </c>
      <c r="Y1105" t="n">
        <v>0.927</v>
      </c>
      <c r="Z1105" t="inlineStr">
        <is>
          <t>GR1</t>
        </is>
      </c>
      <c r="AA1105" t="inlineStr">
        <is>
          <t>FC</t>
        </is>
      </c>
      <c r="AB1105" t="inlineStr">
        <is>
          <t>AW</t>
        </is>
      </c>
      <c r="AC1105" t="inlineStr">
        <is>
          <t>38.1-0-2-ERW 1-FC</t>
        </is>
      </c>
      <c r="AD1105" t="inlineStr">
        <is>
          <t>CTL</t>
        </is>
      </c>
      <c r="AE1105" t="inlineStr">
        <is>
          <t>38.1-0-2-ERW 1-FC-0.927</t>
        </is>
      </c>
      <c r="AF1105" t="n">
        <v>1.6497427806</v>
      </c>
    </row>
    <row r="1106">
      <c r="A1106" s="56" t="n">
        <v>2418610</v>
      </c>
      <c r="B1106" s="56" t="inlineStr">
        <is>
          <t>TUB-O-C-AUT-AD-FC-25.40X3.500X04-05</t>
        </is>
      </c>
      <c r="C1106" s="56" t="inlineStr">
        <is>
          <t>4B19K37960</t>
        </is>
      </c>
      <c r="D1106" s="56" t="n"/>
      <c r="E1106" s="57" t="n">
        <v>1651</v>
      </c>
      <c r="F1106" s="57" t="n">
        <v>1.651</v>
      </c>
      <c r="G1106" s="56" t="inlineStr">
        <is>
          <t>KG</t>
        </is>
      </c>
      <c r="H1106" s="56" t="inlineStr">
        <is>
          <t>TF01</t>
        </is>
      </c>
      <c r="I1106" s="56" t="inlineStr">
        <is>
          <t>4731</t>
        </is>
      </c>
      <c r="J1106" s="56" t="n"/>
      <c r="K1106" s="56" t="n"/>
      <c r="L1106" s="56" t="n"/>
      <c r="M1106" s="56" t="n"/>
      <c r="N1106" s="56" t="inlineStr">
        <is>
          <t>Narasipur Auto Component(P)Ltd</t>
        </is>
      </c>
      <c r="O1106" s="56" t="n">
        <v>32</v>
      </c>
      <c r="P1106" s="59" t="inlineStr">
        <is>
          <t>31-60</t>
        </is>
      </c>
      <c r="Q1106" s="56" t="inlineStr">
        <is>
          <t>Jitendra Kumar Sharma</t>
        </is>
      </c>
      <c r="U1106" s="585" t="n">
        <v>3191748</v>
      </c>
      <c r="V1106" t="n">
        <v>38.1</v>
      </c>
      <c r="W1106" t="n">
        <v>0</v>
      </c>
      <c r="X1106" t="n">
        <v>2</v>
      </c>
      <c r="Y1106" t="n">
        <v>0.93</v>
      </c>
      <c r="Z1106" t="inlineStr">
        <is>
          <t>ST52AL</t>
        </is>
      </c>
      <c r="AA1106" t="inlineStr">
        <is>
          <t>FC</t>
        </is>
      </c>
      <c r="AB1106" t="inlineStr">
        <is>
          <t>AW</t>
        </is>
      </c>
      <c r="AC1106" t="inlineStr">
        <is>
          <t>check usage for grade</t>
        </is>
      </c>
      <c r="AD1106" t="inlineStr">
        <is>
          <t>CTL</t>
        </is>
      </c>
      <c r="AE1106" t="inlineStr">
        <is>
          <t>check usage for grade-0.93</t>
        </is>
      </c>
      <c r="AF1106" t="n">
        <v>1.655081754</v>
      </c>
    </row>
    <row r="1107">
      <c r="A1107" s="56" t="n">
        <v>2418610</v>
      </c>
      <c r="B1107" s="56" t="inlineStr">
        <is>
          <t>TUB-O-C-AUT-AD-FC-25.40X3.500X04-05</t>
        </is>
      </c>
      <c r="C1107" s="56" t="inlineStr">
        <is>
          <t>4B07CK2110</t>
        </is>
      </c>
      <c r="D1107" s="57" t="n"/>
      <c r="E1107" s="57" t="n">
        <v>1663</v>
      </c>
      <c r="F1107" s="57" t="n">
        <v>1.663</v>
      </c>
      <c r="G1107" s="56" t="inlineStr">
        <is>
          <t>KG</t>
        </is>
      </c>
      <c r="H1107" s="56" t="inlineStr">
        <is>
          <t>TF01</t>
        </is>
      </c>
      <c r="I1107" s="56" t="inlineStr">
        <is>
          <t>4731</t>
        </is>
      </c>
      <c r="J1107" s="56" t="n"/>
      <c r="K1107" s="56" t="n"/>
      <c r="L1107" s="56" t="n"/>
      <c r="M1107" s="56" t="n"/>
      <c r="N1107" s="56" t="inlineStr">
        <is>
          <t>Narasipur Auto Component(P)Ltd</t>
        </is>
      </c>
      <c r="O1107" s="56" t="n">
        <v>51</v>
      </c>
      <c r="P1107" s="59" t="inlineStr">
        <is>
          <t>31-60</t>
        </is>
      </c>
      <c r="Q1107" s="56" t="inlineStr">
        <is>
          <t>Jitendra Kumar Sharma</t>
        </is>
      </c>
      <c r="U1107" t="n">
        <v>3863198</v>
      </c>
      <c r="V1107" t="n">
        <v>38.1</v>
      </c>
      <c r="W1107" t="n">
        <v>0</v>
      </c>
      <c r="X1107" t="n">
        <v>2</v>
      </c>
      <c r="Y1107" t="n">
        <v>5.03</v>
      </c>
      <c r="Z1107" t="inlineStr">
        <is>
          <t>NORMAL</t>
        </is>
      </c>
      <c r="AA1107" t="inlineStr">
        <is>
          <t>FC</t>
        </is>
      </c>
      <c r="AB1107" t="inlineStr">
        <is>
          <t>AW</t>
        </is>
      </c>
      <c r="AC1107" t="inlineStr">
        <is>
          <t>38.1-0-2-ERW 1-FC</t>
        </is>
      </c>
      <c r="AD1107" t="inlineStr">
        <is>
          <t>LL</t>
        </is>
      </c>
      <c r="AE1107" t="inlineStr">
        <is>
          <t>38.1-0-2-ERW 1-FC-1</t>
        </is>
      </c>
      <c r="AF1107" t="n">
        <v>1.7796578</v>
      </c>
    </row>
    <row r="1108">
      <c r="A1108" s="56" t="n">
        <v>2418610</v>
      </c>
      <c r="B1108" s="56" t="inlineStr">
        <is>
          <t>TUB-O-C-AUT-AD-FC-25.40X3.500X04-05</t>
        </is>
      </c>
      <c r="C1108" s="56" t="inlineStr">
        <is>
          <t>4B07CK2090</t>
        </is>
      </c>
      <c r="D1108" s="57" t="n"/>
      <c r="E1108" s="57" t="n">
        <v>1672</v>
      </c>
      <c r="F1108" s="57" t="n">
        <v>1.672</v>
      </c>
      <c r="G1108" s="56" t="inlineStr">
        <is>
          <t>KG</t>
        </is>
      </c>
      <c r="H1108" s="56" t="inlineStr">
        <is>
          <t>TF01</t>
        </is>
      </c>
      <c r="I1108" s="56" t="inlineStr">
        <is>
          <t>4731</t>
        </is>
      </c>
      <c r="J1108" s="56" t="n"/>
      <c r="K1108" s="56" t="n"/>
      <c r="L1108" s="56" t="n"/>
      <c r="M1108" s="56" t="n"/>
      <c r="N1108" s="56" t="inlineStr">
        <is>
          <t>Narasipur Auto Component(P)Ltd</t>
        </is>
      </c>
      <c r="O1108" s="56" t="n">
        <v>38</v>
      </c>
      <c r="P1108" s="59" t="inlineStr">
        <is>
          <t>31-60</t>
        </is>
      </c>
      <c r="Q1108" s="56" t="inlineStr">
        <is>
          <t>Jitendra Kumar Sharma</t>
        </is>
      </c>
      <c r="U1108" s="586" t="n">
        <v>111116370</v>
      </c>
      <c r="V1108" t="n">
        <v>38.1</v>
      </c>
      <c r="W1108" t="n">
        <v>0</v>
      </c>
      <c r="X1108" t="n">
        <v>2</v>
      </c>
      <c r="Y1108" t="n">
        <v>5.03</v>
      </c>
      <c r="Z1108" t="inlineStr">
        <is>
          <t>HROP</t>
        </is>
      </c>
      <c r="AA1108" t="inlineStr">
        <is>
          <t>FC</t>
        </is>
      </c>
      <c r="AB1108" t="inlineStr">
        <is>
          <t>AW</t>
        </is>
      </c>
      <c r="AC1108" t="inlineStr">
        <is>
          <t>38.1-0-2-ERW 1-FC</t>
        </is>
      </c>
      <c r="AD1108" t="inlineStr">
        <is>
          <t>LL</t>
        </is>
      </c>
      <c r="AE1108" t="inlineStr">
        <is>
          <t>38.1-0-2-ERW 1-FC-1</t>
        </is>
      </c>
      <c r="AF1108" t="n">
        <v>1.7796578</v>
      </c>
    </row>
    <row r="1109">
      <c r="A1109" s="56" t="n">
        <v>2418610</v>
      </c>
      <c r="B1109" s="56" t="inlineStr">
        <is>
          <t>TUB-O-C-AUT-AD-FC-25.40X3.500X04-05</t>
        </is>
      </c>
      <c r="C1109" s="56" t="inlineStr">
        <is>
          <t>4B07CK2080</t>
        </is>
      </c>
      <c r="D1109" s="57" t="n"/>
      <c r="E1109" s="57" t="n">
        <v>1786</v>
      </c>
      <c r="F1109" s="57" t="n">
        <v>1.786</v>
      </c>
      <c r="G1109" s="56" t="inlineStr">
        <is>
          <t>KG</t>
        </is>
      </c>
      <c r="H1109" s="56" t="inlineStr">
        <is>
          <t>TF01</t>
        </is>
      </c>
      <c r="I1109" s="56" t="inlineStr">
        <is>
          <t>4731</t>
        </is>
      </c>
      <c r="J1109" s="56" t="n"/>
      <c r="K1109" s="56" t="n"/>
      <c r="L1109" s="56" t="n"/>
      <c r="M1109" s="56" t="n"/>
      <c r="N1109" s="56" t="inlineStr">
        <is>
          <t>Narasipur Auto Component(P)Ltd</t>
        </is>
      </c>
      <c r="O1109" s="56" t="n">
        <v>51</v>
      </c>
      <c r="P1109" s="59" t="inlineStr">
        <is>
          <t>31-60</t>
        </is>
      </c>
      <c r="Q1109" s="56" t="inlineStr">
        <is>
          <t>Jitendra Kumar Sharma</t>
        </is>
      </c>
      <c r="U1109" s="585" t="n">
        <v>3515521</v>
      </c>
      <c r="V1109" t="n">
        <v>38.1</v>
      </c>
      <c r="W1109" t="n">
        <v>0</v>
      </c>
      <c r="X1109" t="n">
        <v>2</v>
      </c>
      <c r="Y1109" t="n">
        <v>5.63</v>
      </c>
      <c r="Z1109" t="inlineStr">
        <is>
          <t>ST52AL</t>
        </is>
      </c>
      <c r="AA1109" t="inlineStr">
        <is>
          <t>FC</t>
        </is>
      </c>
      <c r="AB1109" t="inlineStr">
        <is>
          <t>AW</t>
        </is>
      </c>
      <c r="AC1109" t="inlineStr">
        <is>
          <t>check usage for grade</t>
        </is>
      </c>
      <c r="AD1109" t="inlineStr">
        <is>
          <t>LL</t>
        </is>
      </c>
      <c r="AE1109" t="inlineStr">
        <is>
          <t>check usage for grade-1</t>
        </is>
      </c>
      <c r="AF1109" t="n">
        <v>1.7796578</v>
      </c>
    </row>
    <row r="1110">
      <c r="A1110" s="56" t="n">
        <v>2418610</v>
      </c>
      <c r="B1110" s="56" t="inlineStr">
        <is>
          <t>TUB-O-C-AUT-AD-FC-25.40X3.500X04-05</t>
        </is>
      </c>
      <c r="C1110" s="56" t="inlineStr">
        <is>
          <t>4B07CK2070</t>
        </is>
      </c>
      <c r="D1110" s="57" t="n"/>
      <c r="E1110" s="57" t="n">
        <v>1795</v>
      </c>
      <c r="F1110" s="57" t="n">
        <v>1.795</v>
      </c>
      <c r="G1110" s="56" t="inlineStr">
        <is>
          <t>KG</t>
        </is>
      </c>
      <c r="H1110" s="56" t="inlineStr">
        <is>
          <t>TF01</t>
        </is>
      </c>
      <c r="I1110" s="56" t="inlineStr">
        <is>
          <t>4731</t>
        </is>
      </c>
      <c r="J1110" s="56" t="n"/>
      <c r="K1110" s="56" t="n"/>
      <c r="L1110" s="56" t="n"/>
      <c r="M1110" s="56" t="n"/>
      <c r="N1110" s="56" t="inlineStr">
        <is>
          <t>Narasipur Auto Component(P)Ltd</t>
        </is>
      </c>
      <c r="O1110" s="56" t="n">
        <v>38</v>
      </c>
      <c r="P1110" s="59" t="inlineStr">
        <is>
          <t>31-60</t>
        </is>
      </c>
      <c r="Q1110" s="56" t="inlineStr">
        <is>
          <t>Jitendra Kumar Sharma</t>
        </is>
      </c>
      <c r="U1110" s="586" t="n">
        <v>110102873</v>
      </c>
      <c r="V1110" t="n">
        <v>38.1</v>
      </c>
      <c r="W1110" t="n">
        <v>0</v>
      </c>
      <c r="X1110" t="n">
        <v>2</v>
      </c>
      <c r="Y1110" t="n">
        <v>5.642</v>
      </c>
      <c r="Z1110" t="inlineStr">
        <is>
          <t>GR1</t>
        </is>
      </c>
      <c r="AA1110" t="inlineStr">
        <is>
          <t>FC</t>
        </is>
      </c>
      <c r="AB1110" t="inlineStr">
        <is>
          <t>AW</t>
        </is>
      </c>
      <c r="AC1110" t="inlineStr">
        <is>
          <t>38.1-0-2-ERW 1-FC</t>
        </is>
      </c>
      <c r="AD1110" t="inlineStr">
        <is>
          <t>LL</t>
        </is>
      </c>
      <c r="AE1110" t="inlineStr">
        <is>
          <t>38.1-0-2-ERW 1-FC-1</t>
        </is>
      </c>
      <c r="AF1110" t="n">
        <v>1.7796578</v>
      </c>
    </row>
    <row r="1111">
      <c r="A1111" s="56" t="n">
        <v>2418610</v>
      </c>
      <c r="B1111" s="56" t="inlineStr">
        <is>
          <t>TUB-O-C-AUT-AD-FC-25.40X3.500X04-05</t>
        </is>
      </c>
      <c r="C1111" s="56" t="inlineStr">
        <is>
          <t>4B19K37964</t>
        </is>
      </c>
      <c r="D1111" s="57" t="n"/>
      <c r="E1111" s="57" t="n">
        <v>1686</v>
      </c>
      <c r="F1111" s="57" t="n">
        <v>1.686</v>
      </c>
      <c r="G1111" s="56" t="inlineStr">
        <is>
          <t>KG</t>
        </is>
      </c>
      <c r="H1111" s="56" t="inlineStr">
        <is>
          <t>R001</t>
        </is>
      </c>
      <c r="I1111" s="56" t="inlineStr">
        <is>
          <t>4731</t>
        </is>
      </c>
      <c r="J1111" s="56" t="n"/>
      <c r="K1111" s="56" t="n"/>
      <c r="L1111" s="56" t="n"/>
      <c r="M1111" s="56" t="n"/>
      <c r="N1111" s="56" t="inlineStr">
        <is>
          <t>Narasipur Auto Component(P)Ltd</t>
        </is>
      </c>
      <c r="O1111" s="56" t="n">
        <v>31</v>
      </c>
      <c r="P1111" s="59" t="inlineStr">
        <is>
          <t>31-60</t>
        </is>
      </c>
      <c r="Q1111" s="56" t="inlineStr">
        <is>
          <t>Jitendra Kumar Sharma</t>
        </is>
      </c>
      <c r="U1111" s="585" t="n">
        <v>3500959</v>
      </c>
      <c r="V1111" t="n">
        <v>38.1</v>
      </c>
      <c r="W1111" t="n">
        <v>0</v>
      </c>
      <c r="X1111" t="n">
        <v>2</v>
      </c>
      <c r="Y1111" t="n">
        <v>5.65</v>
      </c>
      <c r="Z1111" t="inlineStr"/>
      <c r="AA1111" t="inlineStr">
        <is>
          <t>FC</t>
        </is>
      </c>
      <c r="AB1111" t="inlineStr">
        <is>
          <t>AW</t>
        </is>
      </c>
      <c r="AC1111" t="inlineStr">
        <is>
          <t>38.1-0-2-ERW 1-FC</t>
        </is>
      </c>
      <c r="AD1111" t="inlineStr">
        <is>
          <t>LL</t>
        </is>
      </c>
      <c r="AE1111" t="inlineStr">
        <is>
          <t>38.1-0-2-ERW 1-FC-1</t>
        </is>
      </c>
      <c r="AF1111" t="n">
        <v>1.7796578</v>
      </c>
    </row>
    <row r="1112">
      <c r="A1112" s="56" t="n">
        <v>2418610</v>
      </c>
      <c r="B1112" s="56" t="inlineStr">
        <is>
          <t>TUB-O-C-AUT-AD-FC-25.40X3.500X04-05</t>
        </is>
      </c>
      <c r="C1112" s="56" t="inlineStr">
        <is>
          <t>4B19K37963</t>
        </is>
      </c>
      <c r="D1112" s="57" t="n"/>
      <c r="E1112" s="57" t="n">
        <v>1730</v>
      </c>
      <c r="F1112" s="57" t="n">
        <v>1.73</v>
      </c>
      <c r="G1112" s="56" t="inlineStr">
        <is>
          <t>KG</t>
        </is>
      </c>
      <c r="H1112" s="56" t="inlineStr">
        <is>
          <t>R001</t>
        </is>
      </c>
      <c r="I1112" s="56" t="inlineStr">
        <is>
          <t>4731</t>
        </is>
      </c>
      <c r="J1112" s="56" t="n"/>
      <c r="K1112" s="56" t="n"/>
      <c r="L1112" s="56" t="n"/>
      <c r="M1112" s="56" t="n"/>
      <c r="N1112" s="56" t="inlineStr">
        <is>
          <t>Narasipur Auto Component(P)Ltd</t>
        </is>
      </c>
      <c r="O1112" s="56" t="n">
        <v>31</v>
      </c>
      <c r="P1112" s="59" t="inlineStr">
        <is>
          <t>31-60</t>
        </is>
      </c>
      <c r="Q1112" s="56" t="inlineStr">
        <is>
          <t>Jitendra Kumar Sharma</t>
        </is>
      </c>
      <c r="U1112" s="585" t="n">
        <v>3502253</v>
      </c>
      <c r="V1112" t="n">
        <v>38.1</v>
      </c>
      <c r="W1112" t="n">
        <v>0</v>
      </c>
      <c r="X1112" t="n">
        <v>2</v>
      </c>
      <c r="Y1112" t="n">
        <v>5.65</v>
      </c>
      <c r="Z1112" t="inlineStr"/>
      <c r="AA1112" t="inlineStr">
        <is>
          <t>FC</t>
        </is>
      </c>
      <c r="AB1112" t="inlineStr">
        <is>
          <t>AW</t>
        </is>
      </c>
      <c r="AC1112" t="inlineStr">
        <is>
          <t>38.1-0-2-ERW 1-FC</t>
        </is>
      </c>
      <c r="AD1112" t="inlineStr">
        <is>
          <t>LL</t>
        </is>
      </c>
      <c r="AE1112" t="inlineStr">
        <is>
          <t>38.1-0-2-ERW 1-FC-1</t>
        </is>
      </c>
      <c r="AF1112" t="n">
        <v>1.7796578</v>
      </c>
    </row>
    <row r="1113">
      <c r="A1113" s="56" t="n">
        <v>2418610</v>
      </c>
      <c r="B1113" s="56" t="inlineStr">
        <is>
          <t>TUB-O-C-AUT-AD-FC-25.40X3.500X04-05</t>
        </is>
      </c>
      <c r="C1113" s="56" t="inlineStr">
        <is>
          <t>4B07BK2090</t>
        </is>
      </c>
      <c r="D1113" s="57" t="n"/>
      <c r="E1113" s="57" t="n">
        <v>465.794</v>
      </c>
      <c r="F1113" s="57" t="n">
        <v>0.465794</v>
      </c>
      <c r="G1113" s="56" t="inlineStr">
        <is>
          <t>KG</t>
        </is>
      </c>
      <c r="H1113" s="56" t="inlineStr"/>
      <c r="I1113" s="56" t="inlineStr">
        <is>
          <t>4731</t>
        </is>
      </c>
      <c r="J1113" s="56" t="n"/>
      <c r="K1113" s="56" t="n"/>
      <c r="L1113" s="56" t="n"/>
      <c r="M1113" s="56" t="n"/>
      <c r="N1113" s="56" t="inlineStr">
        <is>
          <t>Narasipur Auto Component(P)Ltd</t>
        </is>
      </c>
      <c r="O1113" s="56" t="n">
        <v>2</v>
      </c>
      <c r="P1113" s="59" t="inlineStr">
        <is>
          <t>0-30</t>
        </is>
      </c>
      <c r="Q1113" s="56" t="inlineStr">
        <is>
          <t>Jitendra Kumar Sharma</t>
        </is>
      </c>
      <c r="U1113" s="585" t="n">
        <v>3442534</v>
      </c>
      <c r="V1113" t="n">
        <v>38.1</v>
      </c>
      <c r="W1113" t="n">
        <v>0</v>
      </c>
      <c r="X1113" t="n">
        <v>2</v>
      </c>
      <c r="Y1113" t="n">
        <v>5.66</v>
      </c>
      <c r="Z1113" t="inlineStr">
        <is>
          <t>ST52AL</t>
        </is>
      </c>
      <c r="AA1113" t="inlineStr">
        <is>
          <t>FC</t>
        </is>
      </c>
      <c r="AB1113" t="inlineStr">
        <is>
          <t>AW</t>
        </is>
      </c>
      <c r="AC1113" t="inlineStr">
        <is>
          <t>check usage for grade</t>
        </is>
      </c>
      <c r="AD1113" t="inlineStr">
        <is>
          <t>LL</t>
        </is>
      </c>
      <c r="AE1113" t="inlineStr">
        <is>
          <t>check usage for grade-1</t>
        </is>
      </c>
      <c r="AF1113" t="n">
        <v>1.7796578</v>
      </c>
    </row>
    <row r="1114">
      <c r="A1114" s="56" t="n">
        <v>2418610</v>
      </c>
      <c r="B1114" s="56" t="inlineStr">
        <is>
          <t>TUB-O-C-AUT-AD-FC-25.40X3.500X04-05</t>
        </is>
      </c>
      <c r="C1114" s="56" t="inlineStr">
        <is>
          <t>4A3063140A</t>
        </is>
      </c>
      <c r="D1114" s="57" t="n"/>
      <c r="E1114" s="57" t="n">
        <v>574.789</v>
      </c>
      <c r="F1114" s="57" t="n">
        <v>0.574789</v>
      </c>
      <c r="G1114" s="56" t="inlineStr">
        <is>
          <t>KG</t>
        </is>
      </c>
      <c r="H1114" s="56" t="inlineStr"/>
      <c r="I1114" s="56" t="inlineStr">
        <is>
          <t>4731</t>
        </is>
      </c>
      <c r="J1114" s="56" t="n"/>
      <c r="K1114" s="56" t="n"/>
      <c r="L1114" s="56" t="n"/>
      <c r="M1114" s="56" t="n"/>
      <c r="N1114" s="56" t="inlineStr">
        <is>
          <t>Narasipur Auto Component(P)Ltd</t>
        </is>
      </c>
      <c r="O1114" s="56" t="n">
        <v>0</v>
      </c>
      <c r="P1114" s="59" t="inlineStr">
        <is>
          <t>0-30</t>
        </is>
      </c>
      <c r="Q1114" s="56" t="inlineStr">
        <is>
          <t>Jitendra Kumar Sharma</t>
        </is>
      </c>
      <c r="U1114" s="585" t="n">
        <v>1207051</v>
      </c>
      <c r="V1114" t="n">
        <v>38.1</v>
      </c>
      <c r="W1114" t="n">
        <v>0</v>
      </c>
      <c r="X1114" t="n">
        <v>2</v>
      </c>
      <c r="Y1114" t="n">
        <v>5.78</v>
      </c>
      <c r="Z1114" t="inlineStr"/>
      <c r="AA1114" t="inlineStr">
        <is>
          <t>FC</t>
        </is>
      </c>
      <c r="AB1114" t="inlineStr">
        <is>
          <t>AW</t>
        </is>
      </c>
      <c r="AC1114" t="inlineStr">
        <is>
          <t>38.1-0-2-ERW 1-FC</t>
        </is>
      </c>
      <c r="AD1114" t="inlineStr">
        <is>
          <t>LL</t>
        </is>
      </c>
      <c r="AE1114" t="inlineStr">
        <is>
          <t>38.1-0-2-ERW 1-FC-1</t>
        </is>
      </c>
      <c r="AF1114" t="n">
        <v>1.7796578</v>
      </c>
    </row>
    <row r="1115">
      <c r="A1115" s="56" t="n">
        <v>2426240</v>
      </c>
      <c r="B1115" s="56" t="inlineStr">
        <is>
          <t>TUB-O-C-AUT-AD-FC-29.28X3.400X3.5000</t>
        </is>
      </c>
      <c r="C1115" s="56" t="inlineStr">
        <is>
          <t>4830K31561</t>
        </is>
      </c>
      <c r="D1115" s="57" t="n"/>
      <c r="E1115" s="57" t="n">
        <v>908</v>
      </c>
      <c r="F1115" s="57" t="n">
        <v>0.908</v>
      </c>
      <c r="G1115" s="56" t="inlineStr">
        <is>
          <t>KG</t>
        </is>
      </c>
      <c r="H1115" s="56" t="inlineStr">
        <is>
          <t>TF01</t>
        </is>
      </c>
      <c r="I1115" s="56" t="inlineStr">
        <is>
          <t>4731</t>
        </is>
      </c>
      <c r="J1115" s="56" t="n"/>
      <c r="K1115" s="56" t="n"/>
      <c r="L1115" s="56" t="n"/>
      <c r="M1115" s="56" t="n"/>
      <c r="N1115" s="56" t="inlineStr">
        <is>
          <t>Narasipur Auto Component(P)Ltd</t>
        </is>
      </c>
      <c r="O1115" s="56" t="n">
        <v>80</v>
      </c>
      <c r="P1115" s="59" t="inlineStr">
        <is>
          <t>61-90</t>
        </is>
      </c>
      <c r="Q1115" s="56" t="inlineStr">
        <is>
          <t>Jitendra Kumar Sharma</t>
        </is>
      </c>
      <c r="U1115" s="585" t="n">
        <v>3929561</v>
      </c>
      <c r="V1115" t="n">
        <v>38.1</v>
      </c>
      <c r="W1115" t="n">
        <v>0</v>
      </c>
      <c r="X1115" t="n">
        <v>2</v>
      </c>
      <c r="Y1115" t="n">
        <v>5.78</v>
      </c>
      <c r="Z1115" t="inlineStr">
        <is>
          <t>GR1</t>
        </is>
      </c>
      <c r="AA1115" t="inlineStr">
        <is>
          <t>FC</t>
        </is>
      </c>
      <c r="AB1115" t="inlineStr">
        <is>
          <t>AW</t>
        </is>
      </c>
      <c r="AC1115" t="inlineStr">
        <is>
          <t>38.1-0-2-ERW 1-FC</t>
        </is>
      </c>
      <c r="AD1115" t="inlineStr">
        <is>
          <t>LL</t>
        </is>
      </c>
      <c r="AE1115" t="inlineStr">
        <is>
          <t>38.1-0-2-ERW 1-FC-1</t>
        </is>
      </c>
      <c r="AF1115" t="n">
        <v>1.7796578</v>
      </c>
    </row>
    <row r="1116">
      <c r="A1116" s="56" t="n">
        <v>2426240</v>
      </c>
      <c r="B1116" s="56" t="inlineStr">
        <is>
          <t>TUB-O-C-AUT-AD-FC-29.28X3.400X3.5000</t>
        </is>
      </c>
      <c r="C1116" s="56" t="inlineStr">
        <is>
          <t>4821K30853</t>
        </is>
      </c>
      <c r="D1116" s="57" t="n"/>
      <c r="E1116" s="57" t="n">
        <v>285</v>
      </c>
      <c r="F1116" s="57" t="n">
        <v>0.285</v>
      </c>
      <c r="G1116" s="56" t="inlineStr">
        <is>
          <t>KG</t>
        </is>
      </c>
      <c r="H1116" s="56" t="inlineStr">
        <is>
          <t>TF01</t>
        </is>
      </c>
      <c r="I1116" s="56" t="inlineStr">
        <is>
          <t>4731</t>
        </is>
      </c>
      <c r="J1116" s="56" t="n"/>
      <c r="K1116" s="56" t="n"/>
      <c r="L1116" s="56" t="n"/>
      <c r="M1116" s="56" t="n"/>
      <c r="N1116" s="56" t="inlineStr">
        <is>
          <t>Narasipur Auto Component(P)Ltd</t>
        </is>
      </c>
      <c r="O1116" s="56" t="n">
        <v>105</v>
      </c>
      <c r="P1116" s="59" t="inlineStr">
        <is>
          <t>ABOVE 90</t>
        </is>
      </c>
      <c r="Q1116" s="56" t="inlineStr">
        <is>
          <t>Jitendra Kumar Sharma</t>
        </is>
      </c>
      <c r="U1116" s="586" t="n">
        <v>110102875</v>
      </c>
      <c r="V1116" t="n">
        <v>38.1</v>
      </c>
      <c r="W1116" t="n">
        <v>0</v>
      </c>
      <c r="X1116" t="n">
        <v>2</v>
      </c>
      <c r="Y1116" t="n">
        <v>5.78</v>
      </c>
      <c r="Z1116" t="inlineStr">
        <is>
          <t>GR1</t>
        </is>
      </c>
      <c r="AA1116" t="inlineStr">
        <is>
          <t>FC</t>
        </is>
      </c>
      <c r="AB1116" t="inlineStr">
        <is>
          <t>AW</t>
        </is>
      </c>
      <c r="AC1116" t="inlineStr">
        <is>
          <t>38.1-0-2-ERW 1-FC</t>
        </is>
      </c>
      <c r="AD1116" t="inlineStr">
        <is>
          <t>LL</t>
        </is>
      </c>
      <c r="AE1116" t="inlineStr">
        <is>
          <t>38.1-0-2-ERW 1-FC-1</t>
        </is>
      </c>
      <c r="AF1116" t="n">
        <v>1.7796578</v>
      </c>
    </row>
    <row r="1117">
      <c r="A1117" s="56" t="n">
        <v>2426240</v>
      </c>
      <c r="B1117" s="56" t="inlineStr">
        <is>
          <t>TUB-O-C-AUT-AD-FC-29.28X3.400X3.5000</t>
        </is>
      </c>
      <c r="C1117" s="56" t="inlineStr">
        <is>
          <t>4813AK3030</t>
        </is>
      </c>
      <c r="D1117" s="57" t="n"/>
      <c r="E1117" s="57" t="n">
        <v>837</v>
      </c>
      <c r="F1117" s="57" t="n">
        <v>0.837</v>
      </c>
      <c r="G1117" s="56" t="inlineStr">
        <is>
          <t>KG</t>
        </is>
      </c>
      <c r="H1117" s="56" t="inlineStr">
        <is>
          <t>TF01</t>
        </is>
      </c>
      <c r="I1117" s="56" t="inlineStr">
        <is>
          <t>4731</t>
        </is>
      </c>
      <c r="J1117" s="56" t="n"/>
      <c r="K1117" s="56" t="n"/>
      <c r="L1117" s="56" t="n"/>
      <c r="M1117" s="56" t="n"/>
      <c r="N1117" s="56" t="inlineStr">
        <is>
          <t>Narasipur Auto Component(P)Ltd</t>
        </is>
      </c>
      <c r="O1117" s="56" t="n">
        <v>81</v>
      </c>
      <c r="P1117" s="59" t="inlineStr">
        <is>
          <t>61-90</t>
        </is>
      </c>
      <c r="Q1117" s="56" t="inlineStr">
        <is>
          <t>Jitendra Kumar Sharma</t>
        </is>
      </c>
      <c r="U1117" t="n">
        <v>1942159</v>
      </c>
      <c r="V1117" t="n">
        <v>38.1</v>
      </c>
      <c r="W1117" t="n">
        <v>0</v>
      </c>
      <c r="X1117" t="n">
        <v>2</v>
      </c>
      <c r="Y1117" t="n">
        <v>5.8</v>
      </c>
      <c r="Z1117" t="inlineStr">
        <is>
          <t>GR1</t>
        </is>
      </c>
      <c r="AA1117" t="inlineStr">
        <is>
          <t>PE</t>
        </is>
      </c>
      <c r="AB1117" t="inlineStr">
        <is>
          <t>AW</t>
        </is>
      </c>
      <c r="AC1117" t="inlineStr">
        <is>
          <t>38.1-0-2-ERW 1-FC</t>
        </is>
      </c>
      <c r="AD1117" t="inlineStr">
        <is>
          <t>LL</t>
        </is>
      </c>
      <c r="AE1117" t="inlineStr">
        <is>
          <t>38.1-0-2-ERW 1-FC-1</t>
        </is>
      </c>
      <c r="AF1117" t="n">
        <v>1.7796578</v>
      </c>
    </row>
    <row r="1118">
      <c r="A1118" s="56" t="n">
        <v>2426240</v>
      </c>
      <c r="B1118" s="56" t="inlineStr">
        <is>
          <t>TUB-O-C-AUT-AD-FC-29.28X3.400X3.5000</t>
        </is>
      </c>
      <c r="C1118" s="56" t="inlineStr">
        <is>
          <t>4813AK3020</t>
        </is>
      </c>
      <c r="D1118" s="57" t="n"/>
      <c r="E1118" s="57" t="n">
        <v>711</v>
      </c>
      <c r="F1118" s="57" t="n">
        <v>0.711</v>
      </c>
      <c r="G1118" s="56" t="inlineStr">
        <is>
          <t>KG</t>
        </is>
      </c>
      <c r="H1118" s="56" t="inlineStr">
        <is>
          <t>TF01</t>
        </is>
      </c>
      <c r="I1118" s="56" t="inlineStr">
        <is>
          <t>4731</t>
        </is>
      </c>
      <c r="J1118" s="56" t="n"/>
      <c r="K1118" s="56" t="n"/>
      <c r="L1118" s="56" t="n"/>
      <c r="M1118" s="56" t="n"/>
      <c r="N1118" s="56" t="inlineStr">
        <is>
          <t>Narasipur Auto Component(P)Ltd</t>
        </is>
      </c>
      <c r="O1118" s="56" t="n">
        <v>80</v>
      </c>
      <c r="P1118" s="59" t="inlineStr">
        <is>
          <t>61-90</t>
        </is>
      </c>
      <c r="Q1118" s="56" t="inlineStr">
        <is>
          <t>Jitendra Kumar Sharma</t>
        </is>
      </c>
      <c r="U1118" s="585" t="n">
        <v>3682063</v>
      </c>
      <c r="V1118" t="n">
        <v>38.1</v>
      </c>
      <c r="W1118" t="n">
        <v>0</v>
      </c>
      <c r="X1118" t="n">
        <v>2</v>
      </c>
      <c r="Y1118" t="n">
        <v>5.801</v>
      </c>
      <c r="Z1118" t="inlineStr"/>
      <c r="AA1118" t="inlineStr">
        <is>
          <t>FC</t>
        </is>
      </c>
      <c r="AB1118" t="inlineStr">
        <is>
          <t>AW</t>
        </is>
      </c>
      <c r="AC1118" t="inlineStr">
        <is>
          <t>38.1-0-2-ERW 1-FC</t>
        </is>
      </c>
      <c r="AD1118" t="inlineStr">
        <is>
          <t>LL</t>
        </is>
      </c>
      <c r="AE1118" t="inlineStr">
        <is>
          <t>38.1-0-2-ERW 1-FC-1</t>
        </is>
      </c>
      <c r="AF1118" t="n">
        <v>1.7796578</v>
      </c>
    </row>
    <row r="1119">
      <c r="A1119" s="56" t="n">
        <v>2426240</v>
      </c>
      <c r="B1119" s="56" t="inlineStr">
        <is>
          <t>TUB-O-C-AUT-AD-FC-29.28X3.400X3.5000</t>
        </is>
      </c>
      <c r="C1119" s="56" t="inlineStr">
        <is>
          <t>4813BK3040</t>
        </is>
      </c>
      <c r="D1119" s="57" t="n"/>
      <c r="E1119" s="57" t="n">
        <v>1756</v>
      </c>
      <c r="F1119" s="57" t="n">
        <v>1.756</v>
      </c>
      <c r="G1119" s="56" t="inlineStr">
        <is>
          <t>KG</t>
        </is>
      </c>
      <c r="H1119" s="56" t="inlineStr">
        <is>
          <t>R001</t>
        </is>
      </c>
      <c r="I1119" s="56" t="inlineStr">
        <is>
          <t>4731</t>
        </is>
      </c>
      <c r="J1119" s="56" t="n"/>
      <c r="K1119" s="56" t="n"/>
      <c r="L1119" s="56" t="n"/>
      <c r="M1119" s="56" t="n"/>
      <c r="N1119" s="56" t="inlineStr">
        <is>
          <t>Narasipur Auto Component(P)Ltd</t>
        </is>
      </c>
      <c r="O1119" s="56" t="n">
        <v>129</v>
      </c>
      <c r="P1119" s="59" t="inlineStr">
        <is>
          <t>ABOVE 90</t>
        </is>
      </c>
      <c r="Q1119" s="56" t="inlineStr">
        <is>
          <t>Jitendra Kumar Sharma</t>
        </is>
      </c>
      <c r="U1119" s="585" t="n">
        <v>3533164</v>
      </c>
      <c r="V1119" t="n">
        <v>38.1</v>
      </c>
      <c r="W1119" t="n">
        <v>0</v>
      </c>
      <c r="X1119" t="n">
        <v>2</v>
      </c>
      <c r="Y1119" t="n">
        <v>5.85</v>
      </c>
      <c r="Z1119" t="inlineStr">
        <is>
          <t>HROP</t>
        </is>
      </c>
      <c r="AA1119" t="inlineStr">
        <is>
          <t>FC</t>
        </is>
      </c>
      <c r="AB1119" t="inlineStr">
        <is>
          <t>AW</t>
        </is>
      </c>
      <c r="AC1119" t="inlineStr">
        <is>
          <t>38.1-0-2-ERW 1-FC</t>
        </is>
      </c>
      <c r="AD1119" t="inlineStr">
        <is>
          <t>LL</t>
        </is>
      </c>
      <c r="AE1119" t="inlineStr">
        <is>
          <t>38.1-0-2-ERW 1-FC-1</t>
        </is>
      </c>
      <c r="AF1119" t="n">
        <v>1.7796578</v>
      </c>
    </row>
    <row r="1120">
      <c r="A1120" s="56" t="n">
        <v>2426240</v>
      </c>
      <c r="B1120" s="56" t="inlineStr">
        <is>
          <t>TUB-O-C-AUT-AD-FC-29.28X3.400X3.5000</t>
        </is>
      </c>
      <c r="C1120" s="56" t="inlineStr">
        <is>
          <t>4813BK3020</t>
        </is>
      </c>
      <c r="D1120" s="57" t="n"/>
      <c r="E1120" s="57" t="n">
        <v>2027</v>
      </c>
      <c r="F1120" s="57" t="n">
        <v>2.027</v>
      </c>
      <c r="G1120" s="56" t="inlineStr">
        <is>
          <t>KG</t>
        </is>
      </c>
      <c r="H1120" s="56" t="inlineStr">
        <is>
          <t>R001</t>
        </is>
      </c>
      <c r="I1120" s="56" t="inlineStr">
        <is>
          <t>4731</t>
        </is>
      </c>
      <c r="J1120" s="56" t="n"/>
      <c r="K1120" s="56" t="n"/>
      <c r="L1120" s="56" t="n"/>
      <c r="M1120" s="56" t="n"/>
      <c r="N1120" s="56" t="inlineStr">
        <is>
          <t>Narasipur Auto Component(P)Ltd</t>
        </is>
      </c>
      <c r="O1120" s="56" t="n">
        <v>140</v>
      </c>
      <c r="P1120" s="59" t="inlineStr">
        <is>
          <t>ABOVE 90</t>
        </is>
      </c>
      <c r="Q1120" s="56" t="inlineStr">
        <is>
          <t>Jitendra Kumar Sharma</t>
        </is>
      </c>
      <c r="U1120" t="n">
        <v>4044737</v>
      </c>
      <c r="V1120" t="n">
        <v>38.1</v>
      </c>
      <c r="W1120" t="n">
        <v>0</v>
      </c>
      <c r="X1120" t="n">
        <v>2</v>
      </c>
      <c r="Y1120" t="n">
        <v>5.9</v>
      </c>
      <c r="Z1120" t="inlineStr">
        <is>
          <t>NORMAL</t>
        </is>
      </c>
      <c r="AA1120" t="inlineStr">
        <is>
          <t>PE</t>
        </is>
      </c>
      <c r="AB1120" t="inlineStr">
        <is>
          <t>AW</t>
        </is>
      </c>
      <c r="AC1120" t="inlineStr">
        <is>
          <t>38.1-0-2-ERW 1-FC</t>
        </is>
      </c>
      <c r="AD1120" t="inlineStr">
        <is>
          <t>LL</t>
        </is>
      </c>
      <c r="AE1120" t="inlineStr">
        <is>
          <t>38.1-0-2-ERW 1-FC-1</t>
        </is>
      </c>
      <c r="AF1120" t="n">
        <v>1.7796578</v>
      </c>
    </row>
    <row r="1121">
      <c r="A1121" s="56" t="n">
        <v>2428441</v>
      </c>
      <c r="B1121" s="56" t="inlineStr">
        <is>
          <t>TUB-O-N-AUT-AN-FC-42.70X4.000X0.2350</t>
        </is>
      </c>
      <c r="C1121" s="56" t="inlineStr">
        <is>
          <t>4928AK3030</t>
        </is>
      </c>
      <c r="D1121" s="57" t="n"/>
      <c r="E1121" s="57" t="n">
        <v>414.976</v>
      </c>
      <c r="F1121" s="57" t="n">
        <v>0.414976</v>
      </c>
      <c r="G1121" s="56" t="inlineStr">
        <is>
          <t>KG</t>
        </is>
      </c>
      <c r="H1121" s="56" t="inlineStr">
        <is>
          <t>TF01</t>
        </is>
      </c>
      <c r="I1121" s="56" t="inlineStr">
        <is>
          <t>4731</t>
        </is>
      </c>
      <c r="J1121" s="56" t="n"/>
      <c r="K1121" s="56" t="n"/>
      <c r="L1121" s="56" t="n"/>
      <c r="M1121" s="56" t="n"/>
      <c r="N1121" s="56" t="inlineStr">
        <is>
          <t>Metalman Auto Private Limited</t>
        </is>
      </c>
      <c r="O1121" s="56" t="n">
        <v>75</v>
      </c>
      <c r="P1121" s="59" t="inlineStr">
        <is>
          <t>61-90</t>
        </is>
      </c>
      <c r="Q1121" s="56" t="inlineStr">
        <is>
          <t>Jitendra Kumar Sharma</t>
        </is>
      </c>
      <c r="U1121" t="n">
        <v>1900941</v>
      </c>
      <c r="V1121" t="n">
        <v>38.1</v>
      </c>
      <c r="W1121" t="n">
        <v>0</v>
      </c>
      <c r="X1121" t="n">
        <v>2</v>
      </c>
      <c r="Y1121" t="n">
        <v>6</v>
      </c>
      <c r="Z1121" t="inlineStr">
        <is>
          <t>HROP</t>
        </is>
      </c>
      <c r="AA1121" t="inlineStr">
        <is>
          <t>FC</t>
        </is>
      </c>
      <c r="AB1121" t="inlineStr">
        <is>
          <t>AP</t>
        </is>
      </c>
      <c r="AC1121" t="inlineStr">
        <is>
          <t>38.1-0-2-ERW 1-FC</t>
        </is>
      </c>
      <c r="AD1121" t="inlineStr">
        <is>
          <t>LL</t>
        </is>
      </c>
      <c r="AE1121" t="inlineStr">
        <is>
          <t>38.1-0-2-ERW 1-FC-1</t>
        </is>
      </c>
      <c r="AF1121" t="n">
        <v>1.7796578</v>
      </c>
    </row>
    <row r="1122">
      <c r="A1122" s="56" t="n">
        <v>2428441</v>
      </c>
      <c r="B1122" s="56" t="inlineStr">
        <is>
          <t>TUB-O-N-AUT-AN-FC-42.70X4.000X0.2350</t>
        </is>
      </c>
      <c r="C1122" s="56" t="inlineStr">
        <is>
          <t>4919BK3140</t>
        </is>
      </c>
      <c r="D1122" s="57" t="n"/>
      <c r="E1122" s="57" t="n">
        <v>50.607</v>
      </c>
      <c r="F1122" s="57" t="n">
        <v>0.050607</v>
      </c>
      <c r="G1122" s="56" t="inlineStr">
        <is>
          <t>KG</t>
        </is>
      </c>
      <c r="H1122" s="56" t="inlineStr">
        <is>
          <t>TF01</t>
        </is>
      </c>
      <c r="I1122" s="56" t="inlineStr">
        <is>
          <t>4731</t>
        </is>
      </c>
      <c r="J1122" s="56" t="n"/>
      <c r="K1122" s="56" t="n"/>
      <c r="L1122" s="56" t="n"/>
      <c r="M1122" s="56" t="n"/>
      <c r="N1122" s="56" t="inlineStr">
        <is>
          <t>Metalman Auto Private Limited</t>
        </is>
      </c>
      <c r="O1122" s="56" t="n">
        <v>58</v>
      </c>
      <c r="P1122" s="59" t="inlineStr">
        <is>
          <t>31-60</t>
        </is>
      </c>
      <c r="Q1122" s="56" t="inlineStr">
        <is>
          <t>Jitendra Kumar Sharma</t>
        </is>
      </c>
      <c r="U1122" s="508" t="n">
        <v>3553658</v>
      </c>
      <c r="V1122" t="n">
        <v>38.1</v>
      </c>
      <c r="W1122" t="n">
        <v>0</v>
      </c>
      <c r="X1122" t="n">
        <v>2</v>
      </c>
      <c r="Y1122" t="n">
        <v>6.07</v>
      </c>
      <c r="Z1122" t="inlineStr">
        <is>
          <t>HROP</t>
        </is>
      </c>
      <c r="AA1122" t="inlineStr">
        <is>
          <t>FC</t>
        </is>
      </c>
      <c r="AB1122" t="inlineStr">
        <is>
          <t>AW</t>
        </is>
      </c>
      <c r="AC1122" t="inlineStr">
        <is>
          <t>38.1-0-2-ERW 1-FC</t>
        </is>
      </c>
      <c r="AD1122" t="inlineStr">
        <is>
          <t>LL</t>
        </is>
      </c>
      <c r="AE1122" t="inlineStr">
        <is>
          <t>38.1-0-2-ERW 1-FC-1</t>
        </is>
      </c>
      <c r="AF1122" t="n">
        <v>1.7796578</v>
      </c>
    </row>
    <row r="1123">
      <c r="A1123" s="56" t="n">
        <v>2436343</v>
      </c>
      <c r="B1123" s="56" t="inlineStr">
        <is>
          <t>TUB-O-N-AUT-AW-FC-38.10X1.600X0.8750</t>
        </is>
      </c>
      <c r="C1123" s="56" t="inlineStr">
        <is>
          <t>NS20242</t>
        </is>
      </c>
      <c r="D1123" s="57" t="n"/>
      <c r="E1123" s="57" t="n">
        <v>3959.248</v>
      </c>
      <c r="F1123" s="57" t="n">
        <v>3.959248</v>
      </c>
      <c r="G1123" s="56" t="inlineStr">
        <is>
          <t>KG</t>
        </is>
      </c>
      <c r="H1123" s="56" t="inlineStr">
        <is>
          <t>TF01</t>
        </is>
      </c>
      <c r="I1123" s="56" t="inlineStr">
        <is>
          <t>4731</t>
        </is>
      </c>
      <c r="J1123" s="56" t="n"/>
      <c r="K1123" s="56" t="n"/>
      <c r="L1123" s="56" t="n"/>
      <c r="M1123" s="56" t="n"/>
      <c r="N1123" s="56" t="inlineStr">
        <is>
          <t>Rucha Engineers Pvt Ltd.</t>
        </is>
      </c>
      <c r="O1123" s="56" t="n">
        <v>9</v>
      </c>
      <c r="P1123" s="59" t="inlineStr">
        <is>
          <t>0-30</t>
        </is>
      </c>
      <c r="Q1123" s="56" t="inlineStr">
        <is>
          <t>Apoorv</t>
        </is>
      </c>
      <c r="U1123" s="586" t="n">
        <v>111120693</v>
      </c>
      <c r="V1123" t="n">
        <v>38.1</v>
      </c>
      <c r="W1123" t="n">
        <v>0</v>
      </c>
      <c r="X1123" t="n">
        <v>2</v>
      </c>
      <c r="Y1123" t="n">
        <v>6.15</v>
      </c>
      <c r="Z1123" t="inlineStr">
        <is>
          <t>GR1</t>
        </is>
      </c>
      <c r="AA1123" t="inlineStr">
        <is>
          <t>FC</t>
        </is>
      </c>
      <c r="AB1123" t="inlineStr">
        <is>
          <t>AW</t>
        </is>
      </c>
      <c r="AC1123" t="inlineStr">
        <is>
          <t>38.1-0-2-ERW 1-FC</t>
        </is>
      </c>
      <c r="AD1123" t="inlineStr">
        <is>
          <t>LL</t>
        </is>
      </c>
      <c r="AE1123" t="inlineStr">
        <is>
          <t>38.1-0-2-ERW 1-FC-1</t>
        </is>
      </c>
      <c r="AF1123" t="n">
        <v>1.7796578</v>
      </c>
    </row>
    <row r="1124">
      <c r="A1124" s="56" t="n">
        <v>2439535</v>
      </c>
      <c r="B1124" s="56" t="inlineStr">
        <is>
          <t>TUB-O-C-AUT-AD-FC-20.00X4.500X04-05</t>
        </is>
      </c>
      <c r="C1124" s="56" t="inlineStr">
        <is>
          <t>492660560C</t>
        </is>
      </c>
      <c r="D1124" s="57" t="n"/>
      <c r="E1124" s="57" t="n">
        <v>72</v>
      </c>
      <c r="F1124" s="57" t="n">
        <v>0.07199999999999999</v>
      </c>
      <c r="G1124" s="56" t="inlineStr">
        <is>
          <t>KG</t>
        </is>
      </c>
      <c r="H1124" s="56" t="inlineStr">
        <is>
          <t>TF01</t>
        </is>
      </c>
      <c r="I1124" s="56" t="inlineStr">
        <is>
          <t>4731</t>
        </is>
      </c>
      <c r="J1124" s="56" t="n"/>
      <c r="K1124" s="56" t="n"/>
      <c r="L1124" s="56" t="n"/>
      <c r="M1124" s="56" t="n"/>
      <c r="N1124" s="56" t="inlineStr">
        <is>
          <t>Neel Metal Products Limited</t>
        </is>
      </c>
      <c r="O1124" s="56" t="n">
        <v>80</v>
      </c>
      <c r="P1124" s="59" t="inlineStr">
        <is>
          <t>61-90</t>
        </is>
      </c>
      <c r="Q1124" s="56" t="inlineStr">
        <is>
          <t>Apoorv</t>
        </is>
      </c>
      <c r="U1124" s="585" t="n">
        <v>257093</v>
      </c>
      <c r="V1124" t="n">
        <v>38.1</v>
      </c>
      <c r="W1124" t="n">
        <v>0</v>
      </c>
      <c r="X1124" t="n">
        <v>2.03</v>
      </c>
      <c r="Y1124" t="n">
        <v>0.8120000000000001</v>
      </c>
      <c r="Z1124" t="inlineStr">
        <is>
          <t>TPT</t>
        </is>
      </c>
      <c r="AA1124" t="inlineStr">
        <is>
          <t>PE</t>
        </is>
      </c>
      <c r="AB1124" t="inlineStr">
        <is>
          <t>AW</t>
        </is>
      </c>
      <c r="AC1124" t="inlineStr">
        <is>
          <t>38.1-0-2-ERW 1-FC</t>
        </is>
      </c>
      <c r="AD1124" t="inlineStr">
        <is>
          <t>CTL</t>
        </is>
      </c>
      <c r="AE1124" t="inlineStr">
        <is>
          <t>38.1-0-2-ERW 1-FC-0.812</t>
        </is>
      </c>
      <c r="AF1124" t="n">
        <v>1.4655394528348</v>
      </c>
    </row>
    <row r="1125">
      <c r="A1125" s="56" t="n">
        <v>2439535</v>
      </c>
      <c r="B1125" s="56" t="inlineStr">
        <is>
          <t>TUB-O-C-AUT-AD-FC-20.00X4.500X04-05</t>
        </is>
      </c>
      <c r="C1125" s="56" t="inlineStr">
        <is>
          <t>492660560B</t>
        </is>
      </c>
      <c r="D1125" s="57" t="n"/>
      <c r="E1125" s="57" t="n">
        <v>474</v>
      </c>
      <c r="F1125" s="57" t="n">
        <v>0.474</v>
      </c>
      <c r="G1125" s="56" t="inlineStr">
        <is>
          <t>KG</t>
        </is>
      </c>
      <c r="H1125" s="56" t="inlineStr">
        <is>
          <t>TF01</t>
        </is>
      </c>
      <c r="I1125" s="56" t="inlineStr">
        <is>
          <t>4731</t>
        </is>
      </c>
      <c r="J1125" s="56" t="n"/>
      <c r="K1125" s="56" t="n"/>
      <c r="L1125" s="56" t="n"/>
      <c r="M1125" s="56" t="n"/>
      <c r="N1125" s="56" t="inlineStr">
        <is>
          <t>Neel Metal Products Limited</t>
        </is>
      </c>
      <c r="O1125" s="56" t="n">
        <v>80</v>
      </c>
      <c r="P1125" s="59" t="inlineStr">
        <is>
          <t>61-90</t>
        </is>
      </c>
      <c r="Q1125" s="56" t="inlineStr">
        <is>
          <t>Apoorv</t>
        </is>
      </c>
      <c r="U1125" s="585" t="n">
        <v>3509424</v>
      </c>
      <c r="V1125" t="n">
        <v>38.1</v>
      </c>
      <c r="W1125" t="n">
        <v>0</v>
      </c>
      <c r="X1125" t="n">
        <v>2.5</v>
      </c>
      <c r="Y1125" t="n">
        <v>0.875</v>
      </c>
      <c r="Z1125" t="inlineStr"/>
      <c r="AA1125" t="inlineStr">
        <is>
          <t>FC</t>
        </is>
      </c>
      <c r="AB1125" t="inlineStr">
        <is>
          <t>AW</t>
        </is>
      </c>
      <c r="AC1125" t="inlineStr">
        <is>
          <t>38.1-0-2.5-ERW 2 MAHS-FC</t>
        </is>
      </c>
      <c r="AD1125" t="inlineStr">
        <is>
          <t>CTL</t>
        </is>
      </c>
      <c r="AE1125" t="inlineStr">
        <is>
          <t>38.1-0-2.5-ERW 2 MAHS-FC-0.875</t>
        </is>
      </c>
      <c r="AF1125" t="n">
        <v>1.919540875</v>
      </c>
    </row>
    <row r="1126">
      <c r="A1126" s="56" t="n">
        <v>2439535</v>
      </c>
      <c r="B1126" s="56" t="inlineStr">
        <is>
          <t>TUB-O-C-AUT-AD-FC-20.00X4.500X04-05</t>
        </is>
      </c>
      <c r="C1126" s="56" t="inlineStr">
        <is>
          <t>492660560A</t>
        </is>
      </c>
      <c r="D1126" s="57" t="n"/>
      <c r="E1126" s="57" t="n">
        <v>375</v>
      </c>
      <c r="F1126" s="57" t="n">
        <v>0.375</v>
      </c>
      <c r="G1126" s="56" t="inlineStr">
        <is>
          <t>KG</t>
        </is>
      </c>
      <c r="H1126" s="56" t="inlineStr">
        <is>
          <t>TF01</t>
        </is>
      </c>
      <c r="I1126" s="56" t="inlineStr">
        <is>
          <t>4731</t>
        </is>
      </c>
      <c r="J1126" s="56" t="n"/>
      <c r="K1126" s="56" t="n"/>
      <c r="L1126" s="56" t="n"/>
      <c r="M1126" s="56" t="n"/>
      <c r="N1126" s="56" t="inlineStr">
        <is>
          <t>Neel Metal Products Limited</t>
        </is>
      </c>
      <c r="O1126" s="56" t="n">
        <v>80</v>
      </c>
      <c r="P1126" s="59" t="inlineStr">
        <is>
          <t>61-90</t>
        </is>
      </c>
      <c r="Q1126" s="56" t="inlineStr">
        <is>
          <t>Apoorv</t>
        </is>
      </c>
      <c r="U1126" s="585" t="n">
        <v>1529742</v>
      </c>
      <c r="V1126" t="n">
        <v>38.1</v>
      </c>
      <c r="W1126" t="n">
        <v>0</v>
      </c>
      <c r="X1126" t="n">
        <v>2.5</v>
      </c>
      <c r="Y1126" t="n">
        <v>0.875</v>
      </c>
      <c r="Z1126" t="inlineStr"/>
      <c r="AA1126" t="inlineStr">
        <is>
          <t>FC</t>
        </is>
      </c>
      <c r="AB1126" t="inlineStr">
        <is>
          <t>AW</t>
        </is>
      </c>
      <c r="AC1126" t="inlineStr">
        <is>
          <t>38.1-0-2.5-ERW 2 MAHS-FC</t>
        </is>
      </c>
      <c r="AD1126" t="inlineStr">
        <is>
          <t>CTL</t>
        </is>
      </c>
      <c r="AE1126" t="inlineStr">
        <is>
          <t>38.1-0-2.5-ERW 2 MAHS-FC-0.875</t>
        </is>
      </c>
      <c r="AF1126" t="n">
        <v>1.919540875</v>
      </c>
    </row>
    <row r="1127">
      <c r="A1127" s="56" t="n">
        <v>2439535</v>
      </c>
      <c r="B1127" s="56" t="inlineStr">
        <is>
          <t>TUB-O-C-AUT-AD-FC-20.00X4.500X04-05</t>
        </is>
      </c>
      <c r="C1127" s="56" t="inlineStr">
        <is>
          <t>492660480C</t>
        </is>
      </c>
      <c r="D1127" s="57" t="n"/>
      <c r="E1127" s="57" t="n">
        <v>119.093</v>
      </c>
      <c r="F1127" s="57" t="n">
        <v>0.119093</v>
      </c>
      <c r="G1127" s="56" t="inlineStr">
        <is>
          <t>KG</t>
        </is>
      </c>
      <c r="H1127" s="56" t="inlineStr">
        <is>
          <t>TF01</t>
        </is>
      </c>
      <c r="I1127" s="56" t="inlineStr">
        <is>
          <t>4731</t>
        </is>
      </c>
      <c r="J1127" s="56" t="n"/>
      <c r="K1127" s="56" t="n"/>
      <c r="L1127" s="56" t="n"/>
      <c r="M1127" s="56" t="n"/>
      <c r="N1127" s="56" t="inlineStr">
        <is>
          <t>Neel Metal Products Limited</t>
        </is>
      </c>
      <c r="O1127" s="56" t="n">
        <v>62</v>
      </c>
      <c r="P1127" s="59" t="inlineStr">
        <is>
          <t>61-90</t>
        </is>
      </c>
      <c r="Q1127" s="56" t="inlineStr">
        <is>
          <t>Apoorv</t>
        </is>
      </c>
      <c r="U1127" s="585" t="n">
        <v>3788034</v>
      </c>
      <c r="V1127" t="n">
        <v>38.1</v>
      </c>
      <c r="W1127" t="n">
        <v>0</v>
      </c>
      <c r="X1127" t="n">
        <v>2.5</v>
      </c>
      <c r="Y1127" t="n">
        <v>0.878</v>
      </c>
      <c r="Z1127" t="inlineStr">
        <is>
          <t>NORMAL</t>
        </is>
      </c>
      <c r="AA1127" t="inlineStr">
        <is>
          <t>FC</t>
        </is>
      </c>
      <c r="AB1127" t="inlineStr">
        <is>
          <t>AW</t>
        </is>
      </c>
      <c r="AC1127" t="inlineStr">
        <is>
          <t>38.1-0-2.5-ERW 2 MAHS-FC</t>
        </is>
      </c>
      <c r="AD1127" t="inlineStr">
        <is>
          <t>CTL</t>
        </is>
      </c>
      <c r="AE1127" t="inlineStr">
        <is>
          <t>38.1-0-2.5-ERW 2 MAHS-FC-0.878</t>
        </is>
      </c>
      <c r="AF1127" t="n">
        <v>1.926122158</v>
      </c>
    </row>
    <row r="1128">
      <c r="A1128" s="56" t="n">
        <v>2439535</v>
      </c>
      <c r="B1128" s="56" t="inlineStr">
        <is>
          <t>TUB-O-C-AUT-AD-FC-20.00X4.500X04-05</t>
        </is>
      </c>
      <c r="C1128" s="56" t="inlineStr">
        <is>
          <t>492460220C</t>
        </is>
      </c>
      <c r="D1128" s="57" t="n"/>
      <c r="E1128" s="57" t="n">
        <v>120</v>
      </c>
      <c r="F1128" s="57" t="n">
        <v>0.12</v>
      </c>
      <c r="G1128" s="56" t="inlineStr">
        <is>
          <t>KG</t>
        </is>
      </c>
      <c r="H1128" s="56" t="inlineStr">
        <is>
          <t>TF01</t>
        </is>
      </c>
      <c r="I1128" s="56" t="inlineStr">
        <is>
          <t>4731</t>
        </is>
      </c>
      <c r="J1128" s="56" t="n"/>
      <c r="K1128" s="56" t="n"/>
      <c r="L1128" s="56" t="n"/>
      <c r="M1128" s="56" t="n"/>
      <c r="N1128" s="56" t="inlineStr">
        <is>
          <t>Neel Metal Products Limited</t>
        </is>
      </c>
      <c r="O1128" s="56" t="n">
        <v>88</v>
      </c>
      <c r="P1128" s="59" t="inlineStr">
        <is>
          <t>61-90</t>
        </is>
      </c>
      <c r="Q1128" s="56" t="inlineStr">
        <is>
          <t>Apoorv</t>
        </is>
      </c>
      <c r="U1128" s="586" t="n">
        <v>111120313</v>
      </c>
      <c r="V1128" t="n">
        <v>38.1</v>
      </c>
      <c r="W1128" t="n">
        <v>0</v>
      </c>
      <c r="X1128" t="n">
        <v>2.5</v>
      </c>
      <c r="Y1128" t="n">
        <v>5.35</v>
      </c>
      <c r="Z1128" t="inlineStr">
        <is>
          <t>HROP</t>
        </is>
      </c>
      <c r="AA1128" t="inlineStr">
        <is>
          <t>FC</t>
        </is>
      </c>
      <c r="AB1128" t="inlineStr">
        <is>
          <t>AW</t>
        </is>
      </c>
      <c r="AC1128" t="inlineStr">
        <is>
          <t>38.1-0-2.5-ERW 2 MAHS-FC</t>
        </is>
      </c>
      <c r="AD1128" t="inlineStr">
        <is>
          <t>LL</t>
        </is>
      </c>
      <c r="AE1128" t="inlineStr">
        <is>
          <t>38.1-0-2.5-ERW 2 MAHS-FC-1</t>
        </is>
      </c>
      <c r="AF1128" t="n">
        <v>2.193761</v>
      </c>
    </row>
    <row r="1129">
      <c r="A1129" s="56" t="n">
        <v>2439535</v>
      </c>
      <c r="B1129" s="56" t="inlineStr">
        <is>
          <t>TUB-O-C-AUT-AD-FC-20.00X4.500X04-05</t>
        </is>
      </c>
      <c r="C1129" s="56" t="inlineStr">
        <is>
          <t>492460220B</t>
        </is>
      </c>
      <c r="D1129" s="57" t="n"/>
      <c r="E1129" s="57" t="n">
        <v>1046</v>
      </c>
      <c r="F1129" s="57" t="n">
        <v>1.046</v>
      </c>
      <c r="G1129" s="56" t="inlineStr">
        <is>
          <t>KG</t>
        </is>
      </c>
      <c r="H1129" s="56" t="inlineStr">
        <is>
          <t>TF01</t>
        </is>
      </c>
      <c r="I1129" s="56" t="inlineStr">
        <is>
          <t>4731</t>
        </is>
      </c>
      <c r="J1129" s="56" t="n"/>
      <c r="K1129" s="56" t="n"/>
      <c r="L1129" s="56" t="n"/>
      <c r="M1129" s="56" t="n"/>
      <c r="N1129" s="56" t="inlineStr">
        <is>
          <t>Neel Metal Products Limited</t>
        </is>
      </c>
      <c r="O1129" s="56" t="n">
        <v>88</v>
      </c>
      <c r="P1129" s="59" t="inlineStr">
        <is>
          <t>61-90</t>
        </is>
      </c>
      <c r="Q1129" s="56" t="inlineStr">
        <is>
          <t>Apoorv</t>
        </is>
      </c>
      <c r="U1129" s="585" t="n">
        <v>3500240</v>
      </c>
      <c r="V1129" t="n">
        <v>38.1</v>
      </c>
      <c r="W1129" t="n">
        <v>0</v>
      </c>
      <c r="X1129" t="n">
        <v>2.5</v>
      </c>
      <c r="Y1129" t="n">
        <v>5.65</v>
      </c>
      <c r="Z1129" t="inlineStr">
        <is>
          <t>TE13</t>
        </is>
      </c>
      <c r="AA1129" t="inlineStr">
        <is>
          <t>FC</t>
        </is>
      </c>
      <c r="AB1129" t="inlineStr">
        <is>
          <t>AH</t>
        </is>
      </c>
      <c r="AC1129" t="inlineStr">
        <is>
          <t>38.1-0-2.5-ERW 2 MAHS-FC</t>
        </is>
      </c>
      <c r="AD1129" t="inlineStr">
        <is>
          <t>LL</t>
        </is>
      </c>
      <c r="AE1129" t="inlineStr">
        <is>
          <t>38.1-0-2.5-ERW 2 MAHS-FC-1</t>
        </is>
      </c>
      <c r="AF1129" t="n">
        <v>2.193761</v>
      </c>
    </row>
    <row r="1130">
      <c r="A1130" s="56" t="n">
        <v>3182342</v>
      </c>
      <c r="B1130" s="56" t="inlineStr">
        <is>
          <t>TUB-O-N-AUT-AW-FC-57.15X2.300X1.3650</t>
        </is>
      </c>
      <c r="C1130" s="56" t="inlineStr">
        <is>
          <t>4B08A40010</t>
        </is>
      </c>
      <c r="D1130" s="57" t="n"/>
      <c r="E1130" s="57" t="n">
        <v>427.298</v>
      </c>
      <c r="F1130" s="57" t="n">
        <v>0.427298</v>
      </c>
      <c r="G1130" s="56" t="inlineStr">
        <is>
          <t>KG</t>
        </is>
      </c>
      <c r="H1130" s="56" t="inlineStr">
        <is>
          <t>TF01</t>
        </is>
      </c>
      <c r="I1130" s="56" t="inlineStr">
        <is>
          <t>4318</t>
        </is>
      </c>
      <c r="J1130" s="56" t="n"/>
      <c r="K1130" s="56" t="n"/>
      <c r="L1130" s="56" t="n"/>
      <c r="M1130" s="56" t="n"/>
      <c r="N1130" s="56" t="inlineStr">
        <is>
          <t>Neel Metal Products Limited</t>
        </is>
      </c>
      <c r="O1130" s="56" t="n">
        <v>4</v>
      </c>
      <c r="P1130" s="59" t="inlineStr">
        <is>
          <t>0-30</t>
        </is>
      </c>
      <c r="Q1130" s="56" t="inlineStr">
        <is>
          <t>Apoorv</t>
        </is>
      </c>
      <c r="U1130" s="585" t="n">
        <v>3502007</v>
      </c>
      <c r="V1130" t="n">
        <v>38.1</v>
      </c>
      <c r="W1130" t="n">
        <v>0</v>
      </c>
      <c r="X1130" t="n">
        <v>2.5</v>
      </c>
      <c r="Y1130" t="n">
        <v>6.19</v>
      </c>
      <c r="Z1130" t="inlineStr"/>
      <c r="AA1130" t="inlineStr">
        <is>
          <t>FC</t>
        </is>
      </c>
      <c r="AB1130" t="inlineStr">
        <is>
          <t>AH</t>
        </is>
      </c>
      <c r="AC1130" t="inlineStr">
        <is>
          <t>38.1-0-2.5-ERW 2 MAHS-FC</t>
        </is>
      </c>
      <c r="AD1130" t="inlineStr">
        <is>
          <t>LL</t>
        </is>
      </c>
      <c r="AE1130" t="inlineStr">
        <is>
          <t>38.1-0-2.5-ERW 2 MAHS-FC-1</t>
        </is>
      </c>
      <c r="AF1130" t="n">
        <v>2.193761</v>
      </c>
    </row>
    <row r="1131">
      <c r="A1131" s="56" t="n">
        <v>3188792</v>
      </c>
      <c r="B1131" s="56" t="inlineStr">
        <is>
          <t>TUB-O-C-AUT-AD-FC-16.00X2.800X04-06</t>
        </is>
      </c>
      <c r="C1131" s="56" t="inlineStr">
        <is>
          <t>4A08K34984</t>
        </is>
      </c>
      <c r="D1131" s="57" t="n"/>
      <c r="E1131" s="57" t="n">
        <v>843</v>
      </c>
      <c r="F1131" s="57" t="n">
        <v>0.843</v>
      </c>
      <c r="G1131" s="56" t="inlineStr">
        <is>
          <t>KG</t>
        </is>
      </c>
      <c r="H1131" s="56" t="inlineStr">
        <is>
          <t>TF01</t>
        </is>
      </c>
      <c r="I1131" s="56" t="inlineStr">
        <is>
          <t>4731</t>
        </is>
      </c>
      <c r="J1131" s="56" t="n"/>
      <c r="K1131" s="56" t="n"/>
      <c r="L1131" s="56" t="n"/>
      <c r="M1131" s="56" t="n"/>
      <c r="N1131" s="56" t="inlineStr">
        <is>
          <t>Rajsriya Automotive Ind Pvt Ltd.</t>
        </is>
      </c>
      <c r="O1131" s="56" t="n">
        <v>52</v>
      </c>
      <c r="P1131" s="59" t="inlineStr">
        <is>
          <t>31-60</t>
        </is>
      </c>
      <c r="Q1131" s="56" t="inlineStr">
        <is>
          <t>Apoorv</t>
        </is>
      </c>
      <c r="U1131" s="585" t="n">
        <v>4096367</v>
      </c>
      <c r="V1131" t="n">
        <v>38.1</v>
      </c>
      <c r="W1131" t="n">
        <v>0</v>
      </c>
      <c r="X1131" t="n">
        <v>2.5</v>
      </c>
      <c r="Y1131" t="n">
        <v>6.19</v>
      </c>
      <c r="Z1131" t="inlineStr">
        <is>
          <t>ST52AL</t>
        </is>
      </c>
      <c r="AA1131" t="inlineStr">
        <is>
          <t>FC</t>
        </is>
      </c>
      <c r="AB1131" t="inlineStr">
        <is>
          <t>AW</t>
        </is>
      </c>
      <c r="AC1131" t="inlineStr">
        <is>
          <t>38.1-0-2.5-ERW 2 MAHS-FC</t>
        </is>
      </c>
      <c r="AD1131" t="inlineStr">
        <is>
          <t>LL</t>
        </is>
      </c>
      <c r="AE1131" t="inlineStr">
        <is>
          <t>38.1-0-2.5-ERW 2 MAHS-FC-1</t>
        </is>
      </c>
      <c r="AF1131" t="n">
        <v>2.193761</v>
      </c>
    </row>
    <row r="1132">
      <c r="A1132" s="56" t="n">
        <v>3188792</v>
      </c>
      <c r="B1132" s="56" t="inlineStr">
        <is>
          <t>TUB-O-C-AUT-AD-FC-16.00X2.800X04-06</t>
        </is>
      </c>
      <c r="C1132" s="56" t="inlineStr">
        <is>
          <t>4C0665410B</t>
        </is>
      </c>
      <c r="D1132" s="57" t="n"/>
      <c r="E1132" s="57" t="n">
        <v>938</v>
      </c>
      <c r="F1132" s="57" t="n">
        <v>0.9379999999999999</v>
      </c>
      <c r="G1132" s="56" t="inlineStr">
        <is>
          <t>KG</t>
        </is>
      </c>
      <c r="H1132" s="56" t="inlineStr">
        <is>
          <t>R001</t>
        </is>
      </c>
      <c r="I1132" s="56" t="inlineStr">
        <is>
          <t>4731</t>
        </is>
      </c>
      <c r="J1132" s="56" t="n"/>
      <c r="K1132" s="56" t="n"/>
      <c r="L1132" s="56" t="n"/>
      <c r="M1132" s="56" t="n"/>
      <c r="N1132" s="56" t="inlineStr">
        <is>
          <t>Rajsriya Automotive Ind Pvt Ltd.</t>
        </is>
      </c>
      <c r="O1132" s="56" t="n">
        <v>31</v>
      </c>
      <c r="P1132" s="59" t="inlineStr">
        <is>
          <t>31-60</t>
        </is>
      </c>
      <c r="Q1132" s="56" t="inlineStr">
        <is>
          <t>Apoorv</t>
        </is>
      </c>
      <c r="U1132" s="585" t="n">
        <v>3747392</v>
      </c>
      <c r="V1132" t="n">
        <v>38.1</v>
      </c>
      <c r="W1132" t="n">
        <v>0</v>
      </c>
      <c r="X1132" t="n">
        <v>2.6</v>
      </c>
      <c r="Y1132" t="n">
        <v>0.648</v>
      </c>
      <c r="Z1132" t="inlineStr">
        <is>
          <t>NORMAL</t>
        </is>
      </c>
      <c r="AA1132" t="inlineStr">
        <is>
          <t>FC</t>
        </is>
      </c>
      <c r="AB1132" t="inlineStr">
        <is>
          <t>AW</t>
        </is>
      </c>
      <c r="AC1132" t="inlineStr">
        <is>
          <t>38.1-0-2.5-ERW 2 MAHS-FC</t>
        </is>
      </c>
      <c r="AD1132" t="inlineStr">
        <is>
          <t>CTL</t>
        </is>
      </c>
      <c r="AE1132" t="inlineStr">
        <is>
          <t>38.1-0-2.5-ERW 2 MAHS-FC-0.648</t>
        </is>
      </c>
      <c r="AF1132" t="n">
        <v>1.4742665496</v>
      </c>
    </row>
    <row r="1133">
      <c r="A1133" s="56" t="n">
        <v>3228788</v>
      </c>
      <c r="B1133" s="56" t="inlineStr">
        <is>
          <t>TUB-O-C-AUT-AD-FC-20.00X1.420X0.2730</t>
        </is>
      </c>
      <c r="C1133" s="56" t="inlineStr">
        <is>
          <t>4B16K37676</t>
        </is>
      </c>
      <c r="D1133" s="57" t="n"/>
      <c r="E1133" s="57" t="n">
        <v>528.0700000000001</v>
      </c>
      <c r="F1133" s="57" t="n">
        <v>0.52807</v>
      </c>
      <c r="G1133" s="56" t="inlineStr">
        <is>
          <t>KG</t>
        </is>
      </c>
      <c r="H1133" s="56" t="inlineStr">
        <is>
          <t>TF01</t>
        </is>
      </c>
      <c r="I1133" s="56" t="inlineStr">
        <is>
          <t>4731</t>
        </is>
      </c>
      <c r="J1133" s="56" t="n"/>
      <c r="K1133" s="56" t="n"/>
      <c r="L1133" s="56" t="n"/>
      <c r="M1133" s="56" t="n"/>
      <c r="N1133" s="56" t="inlineStr">
        <is>
          <t>Neel Metal Products Limited</t>
        </is>
      </c>
      <c r="O1133" s="56" t="n">
        <v>9</v>
      </c>
      <c r="P1133" s="59" t="inlineStr">
        <is>
          <t>0-30</t>
        </is>
      </c>
      <c r="Q1133" s="56" t="inlineStr">
        <is>
          <t>Apoorv</t>
        </is>
      </c>
      <c r="U1133" s="585" t="n">
        <v>1940779</v>
      </c>
      <c r="V1133" t="n">
        <v>38.1</v>
      </c>
      <c r="W1133" t="n">
        <v>0</v>
      </c>
      <c r="X1133" t="n">
        <v>2.6</v>
      </c>
      <c r="Y1133" t="n">
        <v>0.927</v>
      </c>
      <c r="Z1133" t="inlineStr">
        <is>
          <t>GR2 SPL</t>
        </is>
      </c>
      <c r="AA1133" t="inlineStr">
        <is>
          <t>FC</t>
        </is>
      </c>
      <c r="AB1133" t="inlineStr">
        <is>
          <t>AW</t>
        </is>
      </c>
      <c r="AC1133" t="inlineStr">
        <is>
          <t>38.1-0-2.5-ERW 2 MAHS-FC</t>
        </is>
      </c>
      <c r="AD1133" t="inlineStr">
        <is>
          <t>CTL</t>
        </is>
      </c>
      <c r="AE1133" t="inlineStr">
        <is>
          <t>38.1-0-2.5-ERW 2 MAHS-FC-0.927</t>
        </is>
      </c>
      <c r="AF1133" t="n">
        <v>2.1090202029</v>
      </c>
    </row>
    <row r="1134">
      <c r="A1134" s="56" t="n">
        <v>3433148</v>
      </c>
      <c r="B1134" s="56" t="inlineStr">
        <is>
          <t>TUB-O-N-AUT-BH-FC-42.70X3.500X0.2470</t>
        </is>
      </c>
      <c r="C1134" s="56" t="inlineStr">
        <is>
          <t>4A11AK3020</t>
        </is>
      </c>
      <c r="D1134" s="57" t="n"/>
      <c r="E1134" s="57" t="n">
        <v>2076.017</v>
      </c>
      <c r="F1134" s="57" t="n">
        <v>2.076017</v>
      </c>
      <c r="G1134" s="56" t="inlineStr">
        <is>
          <t>KG</t>
        </is>
      </c>
      <c r="H1134" s="56" t="inlineStr">
        <is>
          <t>TF01</t>
        </is>
      </c>
      <c r="I1134" s="56" t="inlineStr">
        <is>
          <t>4731</t>
        </is>
      </c>
      <c r="J1134" s="56" t="n"/>
      <c r="K1134" s="56" t="n"/>
      <c r="L1134" s="56" t="n"/>
      <c r="M1134" s="56" t="n"/>
      <c r="N1134" s="56" t="inlineStr">
        <is>
          <t>Rucha Engineers Pvt Ltd.</t>
        </is>
      </c>
      <c r="O1134" s="56" t="n">
        <v>9</v>
      </c>
      <c r="P1134" s="59" t="inlineStr">
        <is>
          <t>0-30</t>
        </is>
      </c>
      <c r="Q1134" s="56" t="inlineStr">
        <is>
          <t>Apoorv</t>
        </is>
      </c>
      <c r="U1134" s="585" t="n">
        <v>1939479</v>
      </c>
      <c r="V1134" t="n">
        <v>38.1</v>
      </c>
      <c r="W1134" t="n">
        <v>0</v>
      </c>
      <c r="X1134" t="n">
        <v>3.2</v>
      </c>
      <c r="Y1134" t="n">
        <v>0.319</v>
      </c>
      <c r="Z1134" t="inlineStr">
        <is>
          <t>KGR2</t>
        </is>
      </c>
      <c r="AA1134" t="inlineStr">
        <is>
          <t>FC</t>
        </is>
      </c>
      <c r="AB1134" t="inlineStr">
        <is>
          <t>AD</t>
        </is>
      </c>
      <c r="AC1134" t="inlineStr">
        <is>
          <t>check thickness usage</t>
        </is>
      </c>
      <c r="AD1134" t="inlineStr">
        <is>
          <t>CTL</t>
        </is>
      </c>
      <c r="AE1134" t="inlineStr">
        <is>
          <t>check thickness usage-0.319</t>
        </is>
      </c>
      <c r="AF1134" t="n">
        <v>0.8781433020800001</v>
      </c>
    </row>
    <row r="1135">
      <c r="A1135" s="56" t="n">
        <v>3487459</v>
      </c>
      <c r="B1135" s="56" t="inlineStr">
        <is>
          <t>TUB-O-C-AUT-AN-FC-37.50X3.400X4.1000</t>
        </is>
      </c>
      <c r="C1135" s="56" t="inlineStr">
        <is>
          <t>4814K30341</t>
        </is>
      </c>
      <c r="D1135" s="57" t="n"/>
      <c r="E1135" s="57" t="n">
        <v>2121</v>
      </c>
      <c r="F1135" s="57" t="n">
        <v>2.121</v>
      </c>
      <c r="G1135" s="56" t="inlineStr">
        <is>
          <t>KG</t>
        </is>
      </c>
      <c r="H1135" s="56" t="inlineStr">
        <is>
          <t>R001</t>
        </is>
      </c>
      <c r="I1135" s="56" t="inlineStr">
        <is>
          <t>4731</t>
        </is>
      </c>
      <c r="J1135" s="56" t="n"/>
      <c r="K1135" s="56" t="n"/>
      <c r="L1135" s="56" t="n"/>
      <c r="M1135" s="56" t="n"/>
      <c r="N1135" s="56" t="inlineStr">
        <is>
          <t>OWERE PRECISION</t>
        </is>
      </c>
      <c r="O1135" s="56" t="n">
        <v>86</v>
      </c>
      <c r="P1135" s="59" t="inlineStr">
        <is>
          <t>61-90</t>
        </is>
      </c>
      <c r="Q1135" s="56" t="inlineStr">
        <is>
          <t>Apoorv</t>
        </is>
      </c>
      <c r="U1135" s="585" t="n">
        <v>3784540</v>
      </c>
      <c r="V1135" t="n">
        <v>38.1</v>
      </c>
      <c r="W1135" t="n">
        <v>0</v>
      </c>
      <c r="X1135" t="n">
        <v>3.66</v>
      </c>
      <c r="Y1135" t="n">
        <v>0.201</v>
      </c>
      <c r="Z1135" t="inlineStr">
        <is>
          <t>NORMAL</t>
        </is>
      </c>
      <c r="AA1135" t="inlineStr">
        <is>
          <t>FC</t>
        </is>
      </c>
      <c r="AB1135" t="inlineStr">
        <is>
          <t>AW</t>
        </is>
      </c>
      <c r="AC1135" t="inlineStr">
        <is>
          <t>38.1-0-3.66-ERW 1-FC</t>
        </is>
      </c>
      <c r="AD1135" t="inlineStr">
        <is>
          <t>CTL</t>
        </is>
      </c>
      <c r="AE1135" t="inlineStr">
        <is>
          <t>38.1-0-3.66-ERW 1-FC-0.201</t>
        </is>
      </c>
      <c r="AF1135" t="n">
        <v>0.6245102782296</v>
      </c>
    </row>
    <row r="1136">
      <c r="A1136" s="56" t="n">
        <v>3487459</v>
      </c>
      <c r="B1136" s="56" t="inlineStr">
        <is>
          <t>TUB-O-C-AUT-AN-FC-37.50X3.400X4.1000</t>
        </is>
      </c>
      <c r="C1136" s="56" t="inlineStr">
        <is>
          <t>4805CK3110</t>
        </is>
      </c>
      <c r="D1136" s="57" t="n"/>
      <c r="E1136" s="57" t="n">
        <v>1234</v>
      </c>
      <c r="F1136" s="57" t="n">
        <v>1.234</v>
      </c>
      <c r="G1136" s="56" t="inlineStr">
        <is>
          <t>KG</t>
        </is>
      </c>
      <c r="H1136" s="56" t="inlineStr">
        <is>
          <t>R001</t>
        </is>
      </c>
      <c r="I1136" s="56" t="inlineStr">
        <is>
          <t>4731</t>
        </is>
      </c>
      <c r="J1136" s="56" t="n"/>
      <c r="K1136" s="56" t="n"/>
      <c r="L1136" s="56" t="n"/>
      <c r="M1136" s="56" t="n"/>
      <c r="N1136" s="56" t="inlineStr">
        <is>
          <t>OWERE PRECISION</t>
        </is>
      </c>
      <c r="O1136" s="56" t="n">
        <v>86</v>
      </c>
      <c r="P1136" s="59" t="inlineStr">
        <is>
          <t>61-90</t>
        </is>
      </c>
      <c r="Q1136" s="56" t="inlineStr">
        <is>
          <t>Apoorv</t>
        </is>
      </c>
      <c r="U1136" s="585" t="n">
        <v>3500718</v>
      </c>
      <c r="V1136" t="n">
        <v>38.1</v>
      </c>
      <c r="W1136" t="n">
        <v>0</v>
      </c>
      <c r="X1136" t="n">
        <v>3.66</v>
      </c>
      <c r="Y1136" t="n">
        <v>4.735</v>
      </c>
      <c r="Z1136" t="inlineStr"/>
      <c r="AA1136" t="inlineStr">
        <is>
          <t>FC</t>
        </is>
      </c>
      <c r="AB1136" t="inlineStr">
        <is>
          <t>AW</t>
        </is>
      </c>
      <c r="AC1136" t="inlineStr">
        <is>
          <t>38.1-0-3.66-ERW 1-FC</t>
        </is>
      </c>
      <c r="AD1136" t="inlineStr">
        <is>
          <t>LL</t>
        </is>
      </c>
      <c r="AE1136" t="inlineStr">
        <is>
          <t>38.1-0-3.66-ERW 1-FC-1</t>
        </is>
      </c>
      <c r="AF1136" t="n">
        <v>3.1070163096</v>
      </c>
    </row>
    <row r="1137">
      <c r="A1137" s="56" t="n">
        <v>3498972</v>
      </c>
      <c r="B1137" s="56" t="inlineStr">
        <is>
          <t>TUB-O-N-AUT-AW-PE-22.20X1.20X6.000-ERW 1</t>
        </is>
      </c>
      <c r="C1137" s="56" t="inlineStr">
        <is>
          <t>4B30A20140</t>
        </is>
      </c>
      <c r="D1137" s="57" t="n"/>
      <c r="E1137" s="57" t="n">
        <v>1112.311</v>
      </c>
      <c r="F1137" s="57" t="n">
        <v>1.112311</v>
      </c>
      <c r="G1137" s="56" t="inlineStr">
        <is>
          <t>KG</t>
        </is>
      </c>
      <c r="H1137" s="56" t="inlineStr">
        <is>
          <t>TF01</t>
        </is>
      </c>
      <c r="I1137" s="56" t="inlineStr">
        <is>
          <t>4318</t>
        </is>
      </c>
      <c r="J1137" s="56" t="n"/>
      <c r="K1137" s="56" t="n"/>
      <c r="L1137" s="56" t="n"/>
      <c r="M1137" s="56" t="n"/>
      <c r="N1137" s="56" t="inlineStr">
        <is>
          <t>Elkayem Auto Ancillaries ( P ) LTD</t>
        </is>
      </c>
      <c r="O1137" s="56" t="n">
        <v>30</v>
      </c>
      <c r="P1137" s="59" t="inlineStr">
        <is>
          <t>0-30</t>
        </is>
      </c>
      <c r="Q1137" s="56" t="inlineStr">
        <is>
          <t>Diwakar</t>
        </is>
      </c>
      <c r="U1137" s="585" t="n">
        <v>1938125</v>
      </c>
      <c r="V1137" t="n">
        <v>39</v>
      </c>
      <c r="W1137" t="n">
        <v>34</v>
      </c>
      <c r="X1137" t="n">
        <v>2.5</v>
      </c>
      <c r="Y1137" t="n">
        <v>0.272</v>
      </c>
      <c r="Z1137" t="inlineStr">
        <is>
          <t>KGR2</t>
        </is>
      </c>
      <c r="AA1137" t="inlineStr">
        <is>
          <t>FC</t>
        </is>
      </c>
      <c r="AB1137" t="inlineStr">
        <is>
          <t>AN</t>
        </is>
      </c>
      <c r="AC1137" t="inlineStr">
        <is>
          <t>39-34-2.5-CEW-CEW</t>
        </is>
      </c>
      <c r="AD1137" t="inlineStr">
        <is>
          <t>CTL</t>
        </is>
      </c>
      <c r="AE1137" t="inlineStr">
        <is>
          <t>39-34-2.5-CEW-CEW-0.272</t>
        </is>
      </c>
      <c r="AF1137" t="n">
        <v>0.6117881800000001</v>
      </c>
    </row>
    <row r="1138">
      <c r="A1138" s="56" t="n">
        <v>3498972</v>
      </c>
      <c r="B1138" s="56" t="inlineStr">
        <is>
          <t>TUB-O-N-AUT-AW-PE-22.20X1.20X6.000-ERW 1</t>
        </is>
      </c>
      <c r="C1138" s="56" t="inlineStr">
        <is>
          <t>4B30A20130</t>
        </is>
      </c>
      <c r="D1138" s="57" t="n"/>
      <c r="E1138" s="57" t="n">
        <v>1513.177</v>
      </c>
      <c r="F1138" s="57" t="n">
        <v>1.513177</v>
      </c>
      <c r="G1138" s="56" t="inlineStr">
        <is>
          <t>KG</t>
        </is>
      </c>
      <c r="H1138" s="56" t="inlineStr">
        <is>
          <t>TF01</t>
        </is>
      </c>
      <c r="I1138" s="56" t="inlineStr">
        <is>
          <t>4318</t>
        </is>
      </c>
      <c r="J1138" s="56" t="n"/>
      <c r="K1138" s="56" t="n"/>
      <c r="L1138" s="56" t="n"/>
      <c r="M1138" s="56" t="n"/>
      <c r="N1138" s="56" t="inlineStr">
        <is>
          <t>Elkayem Auto Ancillaries ( P ) LTD</t>
        </is>
      </c>
      <c r="O1138" s="56" t="n">
        <v>24</v>
      </c>
      <c r="P1138" s="59" t="inlineStr">
        <is>
          <t>0-30</t>
        </is>
      </c>
      <c r="Q1138" s="56" t="inlineStr">
        <is>
          <t>Diwakar</t>
        </is>
      </c>
      <c r="U1138" s="585" t="n">
        <v>1130592</v>
      </c>
      <c r="V1138" t="n">
        <v>39</v>
      </c>
      <c r="W1138" t="n">
        <v>34</v>
      </c>
      <c r="X1138" t="n">
        <v>2.5</v>
      </c>
      <c r="Y1138" t="n">
        <v>0.272</v>
      </c>
      <c r="Z1138" t="inlineStr"/>
      <c r="AA1138" t="inlineStr">
        <is>
          <t>PE</t>
        </is>
      </c>
      <c r="AB1138" t="inlineStr">
        <is>
          <t>NR</t>
        </is>
      </c>
      <c r="AC1138" t="inlineStr">
        <is>
          <t>39-34-2.5-CEW-CEW</t>
        </is>
      </c>
      <c r="AD1138" t="inlineStr">
        <is>
          <t>CTL</t>
        </is>
      </c>
      <c r="AE1138" t="inlineStr">
        <is>
          <t>39-34-2.5-CEW-CEW-0.272</t>
        </is>
      </c>
      <c r="AF1138" t="n">
        <v>0.6117881800000001</v>
      </c>
    </row>
    <row r="1139">
      <c r="A1139" s="56" t="n">
        <v>3498972</v>
      </c>
      <c r="B1139" s="56" t="inlineStr">
        <is>
          <t>TUB-O-N-AUT-AW-PE-22.20X1.20X6.000-ERW 1</t>
        </is>
      </c>
      <c r="C1139" s="56" t="inlineStr">
        <is>
          <t>4B30A20120</t>
        </is>
      </c>
      <c r="D1139" s="57" t="n"/>
      <c r="E1139" s="57" t="n">
        <v>1516.788</v>
      </c>
      <c r="F1139" s="57" t="n">
        <v>1.516788</v>
      </c>
      <c r="G1139" s="56" t="inlineStr">
        <is>
          <t>KG</t>
        </is>
      </c>
      <c r="H1139" s="56" t="inlineStr">
        <is>
          <t>TF01</t>
        </is>
      </c>
      <c r="I1139" s="56" t="inlineStr">
        <is>
          <t>4318</t>
        </is>
      </c>
      <c r="J1139" s="56" t="n"/>
      <c r="K1139" s="56" t="n"/>
      <c r="L1139" s="56" t="n"/>
      <c r="M1139" s="56" t="n"/>
      <c r="N1139" s="56" t="inlineStr">
        <is>
          <t>Elkayem Auto Ancillaries ( P ) LTD</t>
        </is>
      </c>
      <c r="O1139" s="56" t="n">
        <v>24</v>
      </c>
      <c r="P1139" s="59" t="inlineStr">
        <is>
          <t>0-30</t>
        </is>
      </c>
      <c r="Q1139" s="56" t="inlineStr">
        <is>
          <t>Diwakar</t>
        </is>
      </c>
      <c r="U1139" s="585" t="n">
        <v>1930116</v>
      </c>
      <c r="V1139" t="n">
        <v>39</v>
      </c>
      <c r="W1139" t="n">
        <v>34</v>
      </c>
      <c r="X1139" t="n">
        <v>2.5</v>
      </c>
      <c r="Y1139" t="n">
        <v>4.5</v>
      </c>
      <c r="Z1139" t="inlineStr">
        <is>
          <t>KGR2</t>
        </is>
      </c>
      <c r="AA1139" t="inlineStr">
        <is>
          <t>FC</t>
        </is>
      </c>
      <c r="AB1139" t="inlineStr">
        <is>
          <t>AN</t>
        </is>
      </c>
      <c r="AC1139" t="inlineStr">
        <is>
          <t>39-34-2.5-CEW-CEW</t>
        </is>
      </c>
      <c r="AD1139" t="inlineStr">
        <is>
          <t>LL</t>
        </is>
      </c>
      <c r="AE1139" t="inlineStr">
        <is>
          <t>39-34-2.5-CEW-CEW-1</t>
        </is>
      </c>
      <c r="AF1139" t="n">
        <v>2.24922125</v>
      </c>
    </row>
    <row r="1140">
      <c r="A1140" s="56" t="n">
        <v>3498972</v>
      </c>
      <c r="B1140" s="56" t="inlineStr">
        <is>
          <t>TUB-O-N-AUT-AW-PE-22.20X1.20X6.000-ERW 1</t>
        </is>
      </c>
      <c r="C1140" s="56" t="inlineStr">
        <is>
          <t>4B30A20110</t>
        </is>
      </c>
      <c r="D1140" s="57" t="n"/>
      <c r="E1140" s="57" t="n">
        <v>1509.565</v>
      </c>
      <c r="F1140" s="57" t="n">
        <v>1.509565</v>
      </c>
      <c r="G1140" s="56" t="inlineStr">
        <is>
          <t>KG</t>
        </is>
      </c>
      <c r="H1140" s="56" t="inlineStr">
        <is>
          <t>TF01</t>
        </is>
      </c>
      <c r="I1140" s="56" t="inlineStr">
        <is>
          <t>4318</t>
        </is>
      </c>
      <c r="J1140" s="56" t="n"/>
      <c r="K1140" s="56" t="n"/>
      <c r="L1140" s="56" t="n"/>
      <c r="M1140" s="56" t="n"/>
      <c r="N1140" s="56" t="inlineStr">
        <is>
          <t>Elkayem Auto Ancillaries ( P ) LTD</t>
        </is>
      </c>
      <c r="O1140" s="56" t="n">
        <v>24</v>
      </c>
      <c r="P1140" s="59" t="inlineStr">
        <is>
          <t>0-30</t>
        </is>
      </c>
      <c r="Q1140" s="56" t="inlineStr">
        <is>
          <t>Diwakar</t>
        </is>
      </c>
      <c r="U1140" s="585" t="n">
        <v>3775631</v>
      </c>
      <c r="V1140" t="n">
        <v>39</v>
      </c>
      <c r="W1140" t="n">
        <v>34</v>
      </c>
      <c r="X1140" t="n">
        <v>2.5</v>
      </c>
      <c r="Y1140" t="n">
        <v>6.15</v>
      </c>
      <c r="Z1140" t="inlineStr">
        <is>
          <t>KGR2</t>
        </is>
      </c>
      <c r="AA1140" t="inlineStr">
        <is>
          <t>FC</t>
        </is>
      </c>
      <c r="AB1140" t="inlineStr">
        <is>
          <t>AN</t>
        </is>
      </c>
      <c r="AC1140" t="inlineStr">
        <is>
          <t>39-34-2.5-CEW-CEW</t>
        </is>
      </c>
      <c r="AD1140" t="inlineStr">
        <is>
          <t>LL</t>
        </is>
      </c>
      <c r="AE1140" t="inlineStr">
        <is>
          <t>39-34-2.5-CEW-CEW-1</t>
        </is>
      </c>
      <c r="AF1140" t="n">
        <v>2.24922125</v>
      </c>
    </row>
    <row r="1141">
      <c r="A1141" s="56" t="n">
        <v>3498972</v>
      </c>
      <c r="B1141" s="56" t="inlineStr">
        <is>
          <t>TUB-O-N-AUT-AW-PE-22.20X1.20X6.000-ERW 1</t>
        </is>
      </c>
      <c r="C1141" s="56" t="inlineStr">
        <is>
          <t>4B30A20100</t>
        </is>
      </c>
      <c r="D1141" s="57" t="n"/>
      <c r="E1141" s="57" t="n">
        <v>1516.788</v>
      </c>
      <c r="F1141" s="57" t="n">
        <v>1.516788</v>
      </c>
      <c r="G1141" s="56" t="inlineStr">
        <is>
          <t>KG</t>
        </is>
      </c>
      <c r="H1141" s="56" t="inlineStr">
        <is>
          <t>TF01</t>
        </is>
      </c>
      <c r="I1141" s="56" t="inlineStr">
        <is>
          <t>4318</t>
        </is>
      </c>
      <c r="J1141" s="56" t="n"/>
      <c r="K1141" s="56" t="n"/>
      <c r="L1141" s="56" t="n"/>
      <c r="M1141" s="56" t="n"/>
      <c r="N1141" s="56" t="inlineStr">
        <is>
          <t>Elkayem Auto Ancillaries ( P ) LTD</t>
        </is>
      </c>
      <c r="O1141" s="56" t="n">
        <v>24</v>
      </c>
      <c r="P1141" s="59" t="inlineStr">
        <is>
          <t>0-30</t>
        </is>
      </c>
      <c r="Q1141" s="56" t="inlineStr">
        <is>
          <t>Diwakar</t>
        </is>
      </c>
      <c r="U1141" s="585" t="n">
        <v>3644746</v>
      </c>
      <c r="V1141" t="n">
        <v>39.5</v>
      </c>
      <c r="W1141" t="n">
        <v>0</v>
      </c>
      <c r="X1141" t="n">
        <v>1</v>
      </c>
      <c r="Y1141" t="n">
        <v>0</v>
      </c>
      <c r="Z1141" t="inlineStr">
        <is>
          <t>TU98</t>
        </is>
      </c>
      <c r="AA1141" t="inlineStr">
        <is>
          <t>SL</t>
        </is>
      </c>
      <c r="AB1141" t="inlineStr">
        <is>
          <t>UP</t>
        </is>
      </c>
      <c r="AC1141" t="inlineStr">
        <is>
          <t>39-34-2.5-CEW-CEW</t>
        </is>
      </c>
      <c r="AD1141" t="inlineStr">
        <is>
          <t>CTL</t>
        </is>
      </c>
      <c r="AE1141" t="inlineStr">
        <is>
          <t>39-34-2.5-CEW-CEW-1</t>
        </is>
      </c>
      <c r="AF1141" t="n">
        <v>0</v>
      </c>
    </row>
    <row r="1142">
      <c r="A1142" s="56" t="n">
        <v>3498972</v>
      </c>
      <c r="B1142" s="56" t="inlineStr">
        <is>
          <t>TUB-O-N-AUT-AW-PE-22.20X1.20X6.000-ERW 1</t>
        </is>
      </c>
      <c r="C1142" s="56" t="inlineStr">
        <is>
          <t>4B30A20070</t>
        </is>
      </c>
      <c r="D1142" s="57" t="n"/>
      <c r="E1142" s="57" t="n">
        <v>1505.954</v>
      </c>
      <c r="F1142" s="57" t="n">
        <v>1.505954</v>
      </c>
      <c r="G1142" s="56" t="inlineStr">
        <is>
          <t>KG</t>
        </is>
      </c>
      <c r="H1142" s="56" t="inlineStr">
        <is>
          <t>TF01</t>
        </is>
      </c>
      <c r="I1142" s="56" t="inlineStr">
        <is>
          <t>4318</t>
        </is>
      </c>
      <c r="J1142" s="56" t="n"/>
      <c r="K1142" s="56" t="n"/>
      <c r="L1142" s="56" t="n"/>
      <c r="M1142" s="56" t="n"/>
      <c r="N1142" s="56" t="inlineStr">
        <is>
          <t>Elkayem Auto Ancillaries ( P ) LTD</t>
        </is>
      </c>
      <c r="O1142" s="56" t="n">
        <v>30</v>
      </c>
      <c r="P1142" s="59" t="inlineStr">
        <is>
          <t>0-30</t>
        </is>
      </c>
      <c r="Q1142" s="56" t="inlineStr">
        <is>
          <t>Diwakar</t>
        </is>
      </c>
      <c r="U1142" s="585" t="n">
        <v>329678</v>
      </c>
      <c r="V1142" t="n">
        <v>39.8</v>
      </c>
      <c r="W1142" t="n">
        <v>0</v>
      </c>
      <c r="X1142" t="n">
        <v>5.8</v>
      </c>
      <c r="Y1142" t="n">
        <v>0.78</v>
      </c>
      <c r="Z1142" t="inlineStr">
        <is>
          <t>ST52</t>
        </is>
      </c>
      <c r="AA1142" t="inlineStr">
        <is>
          <t>FC</t>
        </is>
      </c>
      <c r="AB1142" t="inlineStr">
        <is>
          <t>NR</t>
        </is>
      </c>
      <c r="AC1142" t="inlineStr">
        <is>
          <t>SLT-40-5.8-Rane-SLT</t>
        </is>
      </c>
      <c r="AD1142" t="inlineStr">
        <is>
          <t>CTL</t>
        </is>
      </c>
      <c r="AE1142" t="inlineStr">
        <is>
          <t>SLT-40-5.8-Rane-SLT-0.78</t>
        </is>
      </c>
      <c r="AF1142" t="n">
        <v>3.791410584</v>
      </c>
    </row>
    <row r="1143">
      <c r="A1143" s="56" t="n">
        <v>3498972</v>
      </c>
      <c r="B1143" s="56" t="inlineStr">
        <is>
          <t>TUB-O-N-AUT-AW-PE-22.20X1.20X6.000-ERW 1</t>
        </is>
      </c>
      <c r="C1143" s="56" t="inlineStr">
        <is>
          <t>4B30A20050</t>
        </is>
      </c>
      <c r="D1143" s="57" t="n"/>
      <c r="E1143" s="57" t="n">
        <v>1447.838</v>
      </c>
      <c r="F1143" s="57" t="n">
        <v>1.447838</v>
      </c>
      <c r="G1143" s="56" t="inlineStr">
        <is>
          <t>KG</t>
        </is>
      </c>
      <c r="H1143" s="56" t="inlineStr">
        <is>
          <t>TF01</t>
        </is>
      </c>
      <c r="I1143" s="56" t="inlineStr">
        <is>
          <t>4318</t>
        </is>
      </c>
      <c r="J1143" s="56" t="n"/>
      <c r="K1143" s="56" t="n"/>
      <c r="L1143" s="56" t="n"/>
      <c r="M1143" s="56" t="n"/>
      <c r="N1143" s="56" t="inlineStr">
        <is>
          <t>Elkayem Auto Ancillaries ( P ) LTD</t>
        </is>
      </c>
      <c r="O1143" s="56" t="n">
        <v>2</v>
      </c>
      <c r="P1143" s="59" t="inlineStr">
        <is>
          <t>0-30</t>
        </is>
      </c>
      <c r="Q1143" s="56" t="inlineStr">
        <is>
          <t>Diwakar</t>
        </is>
      </c>
      <c r="U1143" s="585" t="n">
        <v>1116276</v>
      </c>
      <c r="V1143" t="n">
        <v>39.8</v>
      </c>
      <c r="W1143" t="n">
        <v>0</v>
      </c>
      <c r="X1143" t="n">
        <v>5.8</v>
      </c>
      <c r="Y1143" t="n">
        <v>0.8</v>
      </c>
      <c r="Z1143" t="inlineStr"/>
      <c r="AA1143" t="inlineStr">
        <is>
          <t>FC</t>
        </is>
      </c>
      <c r="AB1143" t="inlineStr">
        <is>
          <t>NR</t>
        </is>
      </c>
      <c r="AC1143" t="inlineStr">
        <is>
          <t>SLT-40-5.8-Rane-SLT</t>
        </is>
      </c>
      <c r="AD1143" t="inlineStr">
        <is>
          <t>CTL</t>
        </is>
      </c>
      <c r="AE1143" t="inlineStr">
        <is>
          <t>SLT-40-5.8-Rane-SLT-0.8</t>
        </is>
      </c>
      <c r="AF1143" t="n">
        <v>3.88862624</v>
      </c>
    </row>
    <row r="1144">
      <c r="A1144" s="56" t="n">
        <v>3498972</v>
      </c>
      <c r="B1144" s="56" t="inlineStr">
        <is>
          <t>TUB-O-N-AUT-AW-PE-22.20X1.20X6.000-ERW 1</t>
        </is>
      </c>
      <c r="C1144" s="56" t="inlineStr">
        <is>
          <t>4B30A20020</t>
        </is>
      </c>
      <c r="D1144" s="57" t="n"/>
      <c r="E1144" s="57" t="n">
        <v>1191.762</v>
      </c>
      <c r="F1144" s="57" t="n">
        <v>1.191762</v>
      </c>
      <c r="G1144" s="56" t="inlineStr">
        <is>
          <t>KG</t>
        </is>
      </c>
      <c r="H1144" s="56" t="inlineStr">
        <is>
          <t>TF01</t>
        </is>
      </c>
      <c r="I1144" s="56" t="inlineStr">
        <is>
          <t>4318</t>
        </is>
      </c>
      <c r="J1144" s="56" t="n"/>
      <c r="K1144" s="56" t="n"/>
      <c r="L1144" s="56" t="n"/>
      <c r="M1144" s="56" t="n"/>
      <c r="N1144" s="56" t="inlineStr">
        <is>
          <t>Elkayem Auto Ancillaries ( P ) LTD</t>
        </is>
      </c>
      <c r="O1144" s="56" t="n">
        <v>27</v>
      </c>
      <c r="P1144" s="59" t="inlineStr">
        <is>
          <t>0-30</t>
        </is>
      </c>
      <c r="Q1144" s="56" t="inlineStr">
        <is>
          <t>Diwakar</t>
        </is>
      </c>
      <c r="U1144" s="585" t="n">
        <v>1116782</v>
      </c>
      <c r="V1144" t="n">
        <v>39.8</v>
      </c>
      <c r="W1144" t="n">
        <v>0</v>
      </c>
      <c r="X1144" t="n">
        <v>5.8</v>
      </c>
      <c r="Y1144" t="n">
        <v>0.82</v>
      </c>
      <c r="Z1144" t="inlineStr"/>
      <c r="AA1144" t="inlineStr">
        <is>
          <t>FC</t>
        </is>
      </c>
      <c r="AB1144" t="inlineStr">
        <is>
          <t>NR</t>
        </is>
      </c>
      <c r="AC1144" t="inlineStr">
        <is>
          <t>SLT-40-5.8-Rane-SLT</t>
        </is>
      </c>
      <c r="AD1144" t="inlineStr">
        <is>
          <t>CTL</t>
        </is>
      </c>
      <c r="AE1144" t="inlineStr">
        <is>
          <t>SLT-40-5.8-Rane-SLT-0.82</t>
        </is>
      </c>
      <c r="AF1144" t="n">
        <v>3.985841896</v>
      </c>
    </row>
    <row r="1145">
      <c r="A1145" s="56" t="n">
        <v>3498972</v>
      </c>
      <c r="B1145" s="56" t="inlineStr">
        <is>
          <t>TUB-O-N-AUT-AW-PE-22.20X1.20X6.000-ERW 1</t>
        </is>
      </c>
      <c r="C1145" s="56" t="inlineStr">
        <is>
          <t>4B29C20020</t>
        </is>
      </c>
      <c r="D1145" s="56" t="n"/>
      <c r="E1145" s="57" t="n">
        <v>364.751</v>
      </c>
      <c r="F1145" s="57" t="n">
        <v>0.364751</v>
      </c>
      <c r="G1145" s="56" t="inlineStr">
        <is>
          <t>KG</t>
        </is>
      </c>
      <c r="H1145" s="56" t="inlineStr">
        <is>
          <t>TF01</t>
        </is>
      </c>
      <c r="I1145" s="56" t="inlineStr">
        <is>
          <t>4318</t>
        </is>
      </c>
      <c r="J1145" s="56" t="n"/>
      <c r="K1145" s="56" t="n"/>
      <c r="L1145" s="56" t="n"/>
      <c r="M1145" s="56" t="n"/>
      <c r="N1145" s="56" t="inlineStr">
        <is>
          <t>Elkayem Auto Ancillaries ( P ) LTD</t>
        </is>
      </c>
      <c r="O1145" s="56" t="n">
        <v>4</v>
      </c>
      <c r="P1145" s="59" t="inlineStr">
        <is>
          <t>0-30</t>
        </is>
      </c>
      <c r="Q1145" s="56" t="inlineStr">
        <is>
          <t>Diwakar</t>
        </is>
      </c>
      <c r="U1145" s="585" t="n">
        <v>1116686</v>
      </c>
      <c r="V1145" t="n">
        <v>39.8</v>
      </c>
      <c r="W1145" t="n">
        <v>0</v>
      </c>
      <c r="X1145" t="n">
        <v>5.8</v>
      </c>
      <c r="Y1145" t="n">
        <v>0.84</v>
      </c>
      <c r="Z1145" t="inlineStr"/>
      <c r="AA1145" t="inlineStr">
        <is>
          <t>FC</t>
        </is>
      </c>
      <c r="AB1145" t="inlineStr">
        <is>
          <t>NR</t>
        </is>
      </c>
      <c r="AC1145" t="inlineStr">
        <is>
          <t>SLT-40-5.8-Rane-SLT</t>
        </is>
      </c>
      <c r="AD1145" t="inlineStr">
        <is>
          <t>CTL</t>
        </is>
      </c>
      <c r="AE1145" t="inlineStr">
        <is>
          <t>SLT-40-5.8-Rane-SLT-0.84</t>
        </is>
      </c>
      <c r="AF1145" t="n">
        <v>4.083057552</v>
      </c>
    </row>
    <row r="1146">
      <c r="A1146" s="56" t="n">
        <v>3499121</v>
      </c>
      <c r="B1146" s="56" t="inlineStr">
        <is>
          <t>TUB-N-AUT-BH-FC-42.70X4.000X0.2900</t>
        </is>
      </c>
      <c r="C1146" s="56" t="inlineStr">
        <is>
          <t>4928BK3050</t>
        </is>
      </c>
      <c r="D1146" s="56" t="n"/>
      <c r="E1146" s="57" t="n">
        <v>413.716</v>
      </c>
      <c r="F1146" s="57" t="n">
        <v>0.413716</v>
      </c>
      <c r="G1146" s="56" t="inlineStr">
        <is>
          <t>KG</t>
        </is>
      </c>
      <c r="H1146" s="56" t="inlineStr">
        <is>
          <t>TF01</t>
        </is>
      </c>
      <c r="I1146" s="56" t="inlineStr">
        <is>
          <t>4731</t>
        </is>
      </c>
      <c r="J1146" s="56" t="n"/>
      <c r="K1146" s="56" t="n"/>
      <c r="L1146" s="56" t="n"/>
      <c r="M1146" s="56" t="n"/>
      <c r="N1146" s="56" t="inlineStr">
        <is>
          <t>Elkayem Auto Ancillaries ( P ) LTD</t>
        </is>
      </c>
      <c r="O1146" s="56" t="n">
        <v>0</v>
      </c>
      <c r="P1146" s="59" t="inlineStr">
        <is>
          <t>0-30</t>
        </is>
      </c>
      <c r="Q1146" s="56" t="inlineStr">
        <is>
          <t>Diwakar</t>
        </is>
      </c>
      <c r="U1146" s="585" t="n">
        <v>431498</v>
      </c>
      <c r="V1146" t="n">
        <v>39.8</v>
      </c>
      <c r="W1146" t="n">
        <v>0</v>
      </c>
      <c r="X1146" t="n">
        <v>5.8</v>
      </c>
      <c r="Y1146" t="n">
        <v>1.45</v>
      </c>
      <c r="Z1146" t="inlineStr">
        <is>
          <t>ST52</t>
        </is>
      </c>
      <c r="AA1146" t="inlineStr">
        <is>
          <t>FC</t>
        </is>
      </c>
      <c r="AB1146" t="inlineStr">
        <is>
          <t>NR</t>
        </is>
      </c>
      <c r="AC1146" t="inlineStr">
        <is>
          <t>SLT-40-5.8-Rane-SLT</t>
        </is>
      </c>
      <c r="AD1146" t="inlineStr">
        <is>
          <t>CTL</t>
        </is>
      </c>
      <c r="AE1146" t="inlineStr">
        <is>
          <t>SLT-40-5.8-Rane-SLT-1.45</t>
        </is>
      </c>
      <c r="AF1146" t="n">
        <v>7.04813506</v>
      </c>
    </row>
    <row r="1147">
      <c r="A1147" s="56" t="n">
        <v>3499231</v>
      </c>
      <c r="B1147" s="56" t="inlineStr">
        <is>
          <t>TUB-O-N-AUT-AW-PE-25.40X1.20X6.000-ERW 1</t>
        </is>
      </c>
      <c r="C1147" s="56" t="inlineStr">
        <is>
          <t>4619B20010</t>
        </is>
      </c>
      <c r="D1147" s="56" t="n"/>
      <c r="E1147" s="57" t="n">
        <v>485.383</v>
      </c>
      <c r="F1147" s="57" t="n">
        <v>0.485383</v>
      </c>
      <c r="G1147" s="56" t="inlineStr">
        <is>
          <t>KG</t>
        </is>
      </c>
      <c r="H1147" s="56" t="inlineStr">
        <is>
          <t>TF01</t>
        </is>
      </c>
      <c r="I1147" s="56" t="inlineStr">
        <is>
          <t>4318</t>
        </is>
      </c>
      <c r="J1147" s="56" t="n"/>
      <c r="K1147" s="56" t="n"/>
      <c r="L1147" s="56" t="n"/>
      <c r="M1147" s="56" t="n"/>
      <c r="N1147" s="56" t="inlineStr">
        <is>
          <t>MEGH STEELS PRIVATE LIMITED - TVS A</t>
        </is>
      </c>
      <c r="O1147" s="56" t="n">
        <v>47</v>
      </c>
      <c r="P1147" s="59" t="inlineStr">
        <is>
          <t>31-60</t>
        </is>
      </c>
      <c r="Q1147" s="56" t="inlineStr">
        <is>
          <t>Apoorv</t>
        </is>
      </c>
      <c r="U1147" s="585" t="n">
        <v>3842022</v>
      </c>
      <c r="V1147" t="n">
        <v>39.8</v>
      </c>
      <c r="W1147" t="n">
        <v>0</v>
      </c>
      <c r="X1147" t="n">
        <v>5.8</v>
      </c>
      <c r="Y1147" t="n">
        <v>1.454</v>
      </c>
      <c r="Z1147" t="inlineStr">
        <is>
          <t>ST52AM</t>
        </is>
      </c>
      <c r="AA1147" t="inlineStr">
        <is>
          <t>FC</t>
        </is>
      </c>
      <c r="AB1147" t="inlineStr">
        <is>
          <t>NR</t>
        </is>
      </c>
      <c r="AC1147" t="inlineStr">
        <is>
          <t>SLT-40-5.8-Rane-SLT</t>
        </is>
      </c>
      <c r="AD1147" t="inlineStr">
        <is>
          <t>CTL</t>
        </is>
      </c>
      <c r="AE1147" t="inlineStr">
        <is>
          <t>SLT-40-5.8-Rane-SLT-1.454</t>
        </is>
      </c>
      <c r="AF1147" t="n">
        <v>7.0675781912</v>
      </c>
    </row>
    <row r="1148">
      <c r="A1148" s="56" t="n">
        <v>3499231</v>
      </c>
      <c r="B1148" s="56" t="inlineStr">
        <is>
          <t>TUB-O-N-AUT-AW-PE-25.40X1.20X6.000-ERW 1</t>
        </is>
      </c>
      <c r="C1148" s="56" t="inlineStr">
        <is>
          <t>4621A20040</t>
        </is>
      </c>
      <c r="D1148" s="56" t="n"/>
      <c r="E1148" s="57" t="n">
        <v>275</v>
      </c>
      <c r="F1148" s="57" t="n">
        <v>0.275</v>
      </c>
      <c r="G1148" s="56" t="inlineStr">
        <is>
          <t>KG</t>
        </is>
      </c>
      <c r="H1148" s="56" t="inlineStr">
        <is>
          <t>TF01</t>
        </is>
      </c>
      <c r="I1148" s="56" t="inlineStr">
        <is>
          <t>4731</t>
        </is>
      </c>
      <c r="J1148" s="56" t="n"/>
      <c r="K1148" s="56" t="n"/>
      <c r="L1148" s="56" t="n"/>
      <c r="M1148" s="56" t="n"/>
      <c r="N1148" s="56" t="inlineStr">
        <is>
          <t>MEGH STEELS PRIVATE LIMITED - TVS A</t>
        </is>
      </c>
      <c r="O1148" s="56" t="n">
        <v>144</v>
      </c>
      <c r="P1148" s="59" t="inlineStr">
        <is>
          <t>ABOVE 90</t>
        </is>
      </c>
      <c r="Q1148" s="56" t="inlineStr">
        <is>
          <t>Apoorv</t>
        </is>
      </c>
      <c r="U1148" s="585" t="n">
        <v>349227</v>
      </c>
      <c r="V1148" t="n">
        <v>39.8</v>
      </c>
      <c r="W1148" t="n">
        <v>0</v>
      </c>
      <c r="X1148" t="n">
        <v>5.8</v>
      </c>
      <c r="Y1148" t="n">
        <v>1.578</v>
      </c>
      <c r="Z1148" t="inlineStr">
        <is>
          <t>TPT</t>
        </is>
      </c>
      <c r="AA1148" t="inlineStr">
        <is>
          <t>FC</t>
        </is>
      </c>
      <c r="AB1148" t="inlineStr">
        <is>
          <t>NR</t>
        </is>
      </c>
      <c r="AC1148" t="inlineStr">
        <is>
          <t>SLT-40-5.8-Rane-SLT</t>
        </is>
      </c>
      <c r="AD1148" t="inlineStr">
        <is>
          <t>CTL</t>
        </is>
      </c>
      <c r="AE1148" t="inlineStr">
        <is>
          <t>SLT-40-5.8-Rane-SLT-1.578</t>
        </is>
      </c>
      <c r="AF1148" t="n">
        <v>7.670315258400001</v>
      </c>
    </row>
    <row r="1149">
      <c r="A1149" s="56" t="n">
        <v>3499307</v>
      </c>
      <c r="B1149" s="56" t="inlineStr">
        <is>
          <t>TUB-O-N-AUT-AW-PE-19.05X2.00X6.000-ERW 1</t>
        </is>
      </c>
      <c r="C1149" s="56" t="inlineStr">
        <is>
          <t>4918A20080</t>
        </is>
      </c>
      <c r="D1149" s="56" t="n"/>
      <c r="E1149" s="57" t="n">
        <v>3118.288</v>
      </c>
      <c r="F1149" s="57" t="n">
        <v>3.118288</v>
      </c>
      <c r="G1149" s="56" t="inlineStr">
        <is>
          <t>KG</t>
        </is>
      </c>
      <c r="H1149" s="56" t="inlineStr">
        <is>
          <t>TF01</t>
        </is>
      </c>
      <c r="I1149" s="56" t="inlineStr">
        <is>
          <t>4731</t>
        </is>
      </c>
      <c r="J1149" s="56" t="n"/>
      <c r="K1149" s="56" t="n"/>
      <c r="L1149" s="56" t="n"/>
      <c r="M1149" s="56" t="n"/>
      <c r="N1149" s="56" t="inlineStr">
        <is>
          <t>Rajsriya Automotive Ind Pvt Ltd.</t>
        </is>
      </c>
      <c r="O1149" s="56" t="n">
        <v>107</v>
      </c>
      <c r="P1149" s="59" t="inlineStr">
        <is>
          <t>ABOVE 90</t>
        </is>
      </c>
      <c r="Q1149" s="56" t="inlineStr">
        <is>
          <t>Apoorv</t>
        </is>
      </c>
      <c r="U1149" s="585" t="n">
        <v>3501038</v>
      </c>
      <c r="V1149" t="n">
        <v>39.8</v>
      </c>
      <c r="W1149" t="n">
        <v>0</v>
      </c>
      <c r="X1149" t="n">
        <v>5.8</v>
      </c>
      <c r="Y1149" t="n">
        <v>6.6</v>
      </c>
      <c r="Z1149" t="inlineStr"/>
      <c r="AA1149" t="inlineStr">
        <is>
          <t>FC</t>
        </is>
      </c>
      <c r="AB1149" t="inlineStr">
        <is>
          <t>NR</t>
        </is>
      </c>
      <c r="AC1149" t="inlineStr">
        <is>
          <t>SLT-40-5.8-Rane-SLT</t>
        </is>
      </c>
      <c r="AD1149" t="inlineStr">
        <is>
          <t>LL</t>
        </is>
      </c>
      <c r="AE1149" t="inlineStr">
        <is>
          <t>SLT-40-5.8-Rane-SLT-1</t>
        </is>
      </c>
      <c r="AF1149" t="n">
        <v>4.8607828</v>
      </c>
    </row>
    <row r="1150">
      <c r="A1150" s="56" t="n">
        <v>3499307</v>
      </c>
      <c r="B1150" s="56" t="inlineStr">
        <is>
          <t>TUB-O-N-AUT-AW-PE-19.05X2.00X6.000-ERW 1</t>
        </is>
      </c>
      <c r="C1150" s="56" t="inlineStr">
        <is>
          <t>4918A20060</t>
        </is>
      </c>
      <c r="D1150" s="56" t="n"/>
      <c r="E1150" s="57" t="n">
        <v>1445.662</v>
      </c>
      <c r="F1150" s="57" t="n">
        <v>1.445662</v>
      </c>
      <c r="G1150" s="56" t="inlineStr">
        <is>
          <t>KG</t>
        </is>
      </c>
      <c r="H1150" s="56" t="inlineStr">
        <is>
          <t>TF01</t>
        </is>
      </c>
      <c r="I1150" s="56" t="inlineStr">
        <is>
          <t>4731</t>
        </is>
      </c>
      <c r="J1150" s="56" t="n"/>
      <c r="K1150" s="56" t="n"/>
      <c r="L1150" s="56" t="n"/>
      <c r="M1150" s="56" t="n"/>
      <c r="N1150" s="56" t="inlineStr">
        <is>
          <t>Rajsriya Automotive Ind Pvt Ltd.</t>
        </is>
      </c>
      <c r="O1150" s="56" t="n">
        <v>79</v>
      </c>
      <c r="P1150" s="59" t="inlineStr">
        <is>
          <t>61-90</t>
        </is>
      </c>
      <c r="Q1150" s="56" t="inlineStr">
        <is>
          <t>Apoorv</t>
        </is>
      </c>
      <c r="U1150" s="585" t="n">
        <v>3501386</v>
      </c>
      <c r="V1150" t="n">
        <v>40</v>
      </c>
      <c r="W1150" t="n">
        <v>0</v>
      </c>
      <c r="X1150" t="n">
        <v>6</v>
      </c>
      <c r="Y1150" t="n">
        <v>5.196</v>
      </c>
      <c r="Z1150" t="inlineStr"/>
      <c r="AA1150" t="inlineStr">
        <is>
          <t>FC</t>
        </is>
      </c>
      <c r="AB1150" t="inlineStr">
        <is>
          <t>NR</t>
        </is>
      </c>
      <c r="AC1150" t="inlineStr">
        <is>
          <t>SLT-40-5.8-Rane-SLT</t>
        </is>
      </c>
      <c r="AD1150" t="inlineStr">
        <is>
          <t>LL</t>
        </is>
      </c>
      <c r="AE1150" t="inlineStr">
        <is>
          <t>SLT-40-5.8-Rane-SLT-1</t>
        </is>
      </c>
      <c r="AF1150" t="n">
        <v>5.028396</v>
      </c>
    </row>
    <row r="1151">
      <c r="A1151" s="56" t="n">
        <v>3499608</v>
      </c>
      <c r="B1151" s="56" t="inlineStr">
        <is>
          <t>TUB-O-N-AUT-AN-FC-70.00X3.200X6.00 HST</t>
        </is>
      </c>
      <c r="C1151" s="56" t="inlineStr">
        <is>
          <t>4A07C40120</t>
        </is>
      </c>
      <c r="D1151" s="56" t="n"/>
      <c r="E1151" s="57" t="n">
        <v>1135.51</v>
      </c>
      <c r="F1151" s="57" t="n">
        <v>1.13551</v>
      </c>
      <c r="G1151" s="56" t="inlineStr">
        <is>
          <t>KG</t>
        </is>
      </c>
      <c r="H1151" s="56" t="inlineStr">
        <is>
          <t>TF01</t>
        </is>
      </c>
      <c r="I1151" s="56" t="inlineStr">
        <is>
          <t>4318</t>
        </is>
      </c>
      <c r="J1151" s="56" t="n"/>
      <c r="K1151" s="56" t="n"/>
      <c r="L1151" s="56" t="n"/>
      <c r="M1151" s="56" t="n"/>
      <c r="N1151" s="56" t="inlineStr">
        <is>
          <t>Neel Metal Products Limited</t>
        </is>
      </c>
      <c r="O1151" s="56" t="n">
        <v>35</v>
      </c>
      <c r="P1151" s="59" t="inlineStr">
        <is>
          <t>31-60</t>
        </is>
      </c>
      <c r="Q1151" s="56" t="inlineStr">
        <is>
          <t>Apoorv</t>
        </is>
      </c>
      <c r="U1151" s="507" t="n">
        <v>3938688</v>
      </c>
      <c r="V1151" t="n">
        <v>40</v>
      </c>
      <c r="W1151" t="n">
        <v>20</v>
      </c>
      <c r="X1151" t="n">
        <v>1.2</v>
      </c>
      <c r="Y1151" t="n">
        <v>0.095</v>
      </c>
      <c r="Z1151" t="inlineStr">
        <is>
          <t>CRFH</t>
        </is>
      </c>
      <c r="AA1151" t="inlineStr">
        <is>
          <t>PE</t>
        </is>
      </c>
      <c r="AB1151" t="inlineStr">
        <is>
          <t>AW</t>
        </is>
      </c>
      <c r="AC1151" t="inlineStr">
        <is>
          <t>40-20-1.2-CRFH-PE</t>
        </is>
      </c>
      <c r="AD1151" t="inlineStr">
        <is>
          <t>CTL</t>
        </is>
      </c>
      <c r="AE1151" t="inlineStr">
        <is>
          <t>40-20-1.2-CRFH-PE-0.095</t>
        </is>
      </c>
      <c r="AF1151" t="n">
        <v>0.1039615756605654</v>
      </c>
    </row>
    <row r="1152">
      <c r="A1152" s="56" t="n">
        <v>3499608</v>
      </c>
      <c r="B1152" s="56" t="inlineStr">
        <is>
          <t>TUB-O-N-AUT-AN-FC-70.00X3.200X6.00 HST</t>
        </is>
      </c>
      <c r="C1152" s="56" t="inlineStr">
        <is>
          <t>4A07C40110</t>
        </is>
      </c>
      <c r="D1152" s="56" t="n"/>
      <c r="E1152" s="57" t="n">
        <v>885.64</v>
      </c>
      <c r="F1152" s="57" t="n">
        <v>0.88564</v>
      </c>
      <c r="G1152" s="56" t="inlineStr">
        <is>
          <t>KG</t>
        </is>
      </c>
      <c r="H1152" s="56" t="inlineStr">
        <is>
          <t>TF01</t>
        </is>
      </c>
      <c r="I1152" s="56" t="inlineStr">
        <is>
          <t>4318</t>
        </is>
      </c>
      <c r="J1152" s="56" t="n"/>
      <c r="K1152" s="56" t="n"/>
      <c r="L1152" s="56" t="n"/>
      <c r="M1152" s="56" t="n"/>
      <c r="N1152" s="56" t="inlineStr">
        <is>
          <t>Neel Metal Products Limited</t>
        </is>
      </c>
      <c r="O1152" s="56" t="n">
        <v>44</v>
      </c>
      <c r="P1152" s="59" t="inlineStr">
        <is>
          <t>31-60</t>
        </is>
      </c>
      <c r="Q1152" s="56" t="inlineStr">
        <is>
          <t>Apoorv</t>
        </is>
      </c>
      <c r="U1152" s="585" t="n">
        <v>3572046</v>
      </c>
      <c r="V1152" t="n">
        <v>40</v>
      </c>
      <c r="W1152" t="n">
        <v>20</v>
      </c>
      <c r="X1152" t="n">
        <v>1.2</v>
      </c>
      <c r="Y1152" t="n">
        <v>0.105</v>
      </c>
      <c r="Z1152" t="inlineStr">
        <is>
          <t>CRFH</t>
        </is>
      </c>
      <c r="AA1152" t="inlineStr">
        <is>
          <t>PE</t>
        </is>
      </c>
      <c r="AB1152" t="inlineStr">
        <is>
          <t>AW</t>
        </is>
      </c>
      <c r="AC1152" t="inlineStr">
        <is>
          <t>40-20-1.2-CRFH-PE</t>
        </is>
      </c>
      <c r="AD1152" t="inlineStr">
        <is>
          <t>CTL</t>
        </is>
      </c>
      <c r="AE1152" t="inlineStr">
        <is>
          <t>40-20-1.2-CRFH-PE-0.105</t>
        </is>
      </c>
      <c r="AF1152" t="n">
        <v>0.1149048994143092</v>
      </c>
    </row>
    <row r="1153">
      <c r="A1153" s="56" t="n">
        <v>3499608</v>
      </c>
      <c r="B1153" s="56" t="inlineStr">
        <is>
          <t>TUB-O-N-AUT-AN-FC-70.00X3.200X6.00 HST</t>
        </is>
      </c>
      <c r="C1153" s="56" t="inlineStr">
        <is>
          <t>4A07C40100</t>
        </is>
      </c>
      <c r="D1153" s="56" t="n"/>
      <c r="E1153" s="57" t="n">
        <v>2562.03</v>
      </c>
      <c r="F1153" s="57" t="n">
        <v>2.56203</v>
      </c>
      <c r="G1153" s="56" t="inlineStr">
        <is>
          <t>KG</t>
        </is>
      </c>
      <c r="H1153" s="56" t="inlineStr">
        <is>
          <t>TF01</t>
        </is>
      </c>
      <c r="I1153" s="56" t="inlineStr">
        <is>
          <t>4318</t>
        </is>
      </c>
      <c r="J1153" s="56" t="n"/>
      <c r="K1153" s="56" t="n"/>
      <c r="L1153" s="56" t="n"/>
      <c r="M1153" s="56" t="n"/>
      <c r="N1153" s="56" t="inlineStr">
        <is>
          <t>Neel Metal Products Limited</t>
        </is>
      </c>
      <c r="O1153" s="56" t="n">
        <v>86</v>
      </c>
      <c r="P1153" s="59" t="inlineStr">
        <is>
          <t>61-90</t>
        </is>
      </c>
      <c r="Q1153" s="56" t="inlineStr">
        <is>
          <t>Apoorv</t>
        </is>
      </c>
      <c r="U1153" s="585" t="n">
        <v>3572047</v>
      </c>
      <c r="V1153" t="n">
        <v>40</v>
      </c>
      <c r="W1153" t="n">
        <v>20</v>
      </c>
      <c r="X1153" t="n">
        <v>1.2</v>
      </c>
      <c r="Y1153" t="n">
        <v>0.11</v>
      </c>
      <c r="Z1153" t="inlineStr">
        <is>
          <t>CRFH</t>
        </is>
      </c>
      <c r="AA1153" t="inlineStr">
        <is>
          <t>PE</t>
        </is>
      </c>
      <c r="AB1153" t="inlineStr">
        <is>
          <t>AW</t>
        </is>
      </c>
      <c r="AC1153" t="inlineStr">
        <is>
          <t>40-20-1.2-CRFH-PE</t>
        </is>
      </c>
      <c r="AD1153" t="inlineStr">
        <is>
          <t>CTL</t>
        </is>
      </c>
      <c r="AE1153" t="inlineStr">
        <is>
          <t>40-20-1.2-CRFH-PE-0.11</t>
        </is>
      </c>
      <c r="AF1153" t="n">
        <v>0.120376561291181</v>
      </c>
    </row>
    <row r="1154">
      <c r="A1154" s="56" t="n">
        <v>3499608</v>
      </c>
      <c r="B1154" s="56" t="inlineStr">
        <is>
          <t>TUB-O-N-AUT-AN-FC-70.00X3.200X6.00 HST</t>
        </is>
      </c>
      <c r="C1154" s="56" t="inlineStr">
        <is>
          <t>4A07C40091</t>
        </is>
      </c>
      <c r="D1154" s="56" t="n"/>
      <c r="E1154" s="57" t="n">
        <v>2530.4</v>
      </c>
      <c r="F1154" s="57" t="n">
        <v>2.5304</v>
      </c>
      <c r="G1154" s="56" t="inlineStr">
        <is>
          <t>KG</t>
        </is>
      </c>
      <c r="H1154" s="56" t="inlineStr">
        <is>
          <t>TF01</t>
        </is>
      </c>
      <c r="I1154" s="56" t="inlineStr">
        <is>
          <t>4318</t>
        </is>
      </c>
      <c r="J1154" s="56" t="n"/>
      <c r="K1154" s="56" t="n"/>
      <c r="L1154" s="56" t="n"/>
      <c r="M1154" s="56" t="n"/>
      <c r="N1154" s="56" t="inlineStr">
        <is>
          <t>Neel Metal Products Limited</t>
        </is>
      </c>
      <c r="O1154" s="56" t="n">
        <v>86</v>
      </c>
      <c r="P1154" s="59" t="inlineStr">
        <is>
          <t>61-90</t>
        </is>
      </c>
      <c r="Q1154" s="56" t="inlineStr">
        <is>
          <t>Apoorv</t>
        </is>
      </c>
      <c r="U1154" s="585" t="n">
        <v>3584174</v>
      </c>
      <c r="V1154" t="n">
        <v>40</v>
      </c>
      <c r="W1154" t="n">
        <v>20</v>
      </c>
      <c r="X1154" t="n">
        <v>1.2</v>
      </c>
      <c r="Y1154" t="n">
        <v>0.113</v>
      </c>
      <c r="Z1154" t="inlineStr">
        <is>
          <t>CRFH</t>
        </is>
      </c>
      <c r="AA1154" t="inlineStr">
        <is>
          <t>PE</t>
        </is>
      </c>
      <c r="AB1154" t="inlineStr">
        <is>
          <t>AW</t>
        </is>
      </c>
      <c r="AC1154" t="inlineStr">
        <is>
          <t>40-20-1.2-CRFH-PE</t>
        </is>
      </c>
      <c r="AD1154" t="inlineStr">
        <is>
          <t>CTL</t>
        </is>
      </c>
      <c r="AE1154" t="inlineStr">
        <is>
          <t>40-20-1.2-CRFH-PE-0.113</t>
        </is>
      </c>
      <c r="AF1154" t="n">
        <v>0.1236595584173042</v>
      </c>
    </row>
    <row r="1155">
      <c r="A1155" s="56" t="n">
        <v>3499608</v>
      </c>
      <c r="B1155" s="56" t="inlineStr">
        <is>
          <t>TUB-O-N-AUT-AN-FC-70.00X3.200X6.00 HST</t>
        </is>
      </c>
      <c r="C1155" s="56" t="inlineStr">
        <is>
          <t>4A07C40090</t>
        </is>
      </c>
      <c r="D1155" s="56" t="n"/>
      <c r="E1155" s="57" t="n">
        <v>2245.73</v>
      </c>
      <c r="F1155" s="57" t="n">
        <v>2.24573</v>
      </c>
      <c r="G1155" s="56" t="inlineStr">
        <is>
          <t>KG</t>
        </is>
      </c>
      <c r="H1155" s="56" t="inlineStr">
        <is>
          <t>TF01</t>
        </is>
      </c>
      <c r="I1155" s="56" t="inlineStr">
        <is>
          <t>4318</t>
        </is>
      </c>
      <c r="J1155" s="56" t="n"/>
      <c r="K1155" s="56" t="n"/>
      <c r="L1155" s="56" t="n"/>
      <c r="M1155" s="56" t="n"/>
      <c r="N1155" s="56" t="inlineStr">
        <is>
          <t>Neel Metal Products Limited</t>
        </is>
      </c>
      <c r="O1155" s="56" t="n">
        <v>39</v>
      </c>
      <c r="P1155" s="59" t="inlineStr">
        <is>
          <t>31-60</t>
        </is>
      </c>
      <c r="Q1155" s="56" t="inlineStr">
        <is>
          <t>Apoorv</t>
        </is>
      </c>
      <c r="U1155" s="585" t="n">
        <v>3230467</v>
      </c>
      <c r="V1155" t="n">
        <v>40</v>
      </c>
      <c r="W1155" t="n">
        <v>20</v>
      </c>
      <c r="X1155" t="n">
        <v>1.2</v>
      </c>
      <c r="Y1155" t="n">
        <v>0.12</v>
      </c>
      <c r="Z1155" t="inlineStr">
        <is>
          <t>CRFH</t>
        </is>
      </c>
      <c r="AA1155" t="inlineStr">
        <is>
          <t>PE</t>
        </is>
      </c>
      <c r="AB1155" t="inlineStr">
        <is>
          <t>AW</t>
        </is>
      </c>
      <c r="AC1155" t="inlineStr">
        <is>
          <t>40-20-1.2-CRFH-PE</t>
        </is>
      </c>
      <c r="AD1155" t="inlineStr">
        <is>
          <t>CTL</t>
        </is>
      </c>
      <c r="AE1155" t="inlineStr">
        <is>
          <t>40-20-1.2-CRFH-PE-0.12</t>
        </is>
      </c>
      <c r="AF1155" t="n">
        <v>0.1313198850449248</v>
      </c>
    </row>
    <row r="1156">
      <c r="A1156" s="56" t="n">
        <v>3499608</v>
      </c>
      <c r="B1156" s="56" t="inlineStr">
        <is>
          <t>TUB-O-N-AUT-AN-FC-70.00X3.200X6.00 HST</t>
        </is>
      </c>
      <c r="C1156" s="56" t="inlineStr">
        <is>
          <t>4B03AK4060</t>
        </is>
      </c>
      <c r="D1156" s="56" t="n"/>
      <c r="E1156" s="57" t="n">
        <v>1422</v>
      </c>
      <c r="F1156" s="57" t="n">
        <v>1.422</v>
      </c>
      <c r="G1156" s="56" t="inlineStr">
        <is>
          <t>KG</t>
        </is>
      </c>
      <c r="H1156" s="56" t="inlineStr">
        <is>
          <t>TF01</t>
        </is>
      </c>
      <c r="I1156" s="56" t="inlineStr">
        <is>
          <t>4731</t>
        </is>
      </c>
      <c r="J1156" s="56" t="n"/>
      <c r="K1156" s="56" t="n"/>
      <c r="L1156" s="56" t="n"/>
      <c r="M1156" s="56" t="n"/>
      <c r="N1156" s="56" t="inlineStr">
        <is>
          <t>Neel Metal Products Limited</t>
        </is>
      </c>
      <c r="O1156" s="56" t="n">
        <v>27</v>
      </c>
      <c r="P1156" s="59" t="inlineStr">
        <is>
          <t>0-30</t>
        </is>
      </c>
      <c r="Q1156" s="56" t="inlineStr">
        <is>
          <t>Apoorv</t>
        </is>
      </c>
      <c r="U1156" s="585" t="n">
        <v>3584171</v>
      </c>
      <c r="V1156" t="n">
        <v>40</v>
      </c>
      <c r="W1156" t="n">
        <v>20</v>
      </c>
      <c r="X1156" t="n">
        <v>1.2</v>
      </c>
      <c r="Y1156" t="n">
        <v>0.13</v>
      </c>
      <c r="Z1156" t="inlineStr">
        <is>
          <t>CRFH</t>
        </is>
      </c>
      <c r="AA1156" t="inlineStr">
        <is>
          <t>PE</t>
        </is>
      </c>
      <c r="AB1156" t="inlineStr">
        <is>
          <t>AW</t>
        </is>
      </c>
      <c r="AC1156" t="inlineStr">
        <is>
          <t>40-20-1.2-CRFH-PE</t>
        </is>
      </c>
      <c r="AD1156" t="inlineStr">
        <is>
          <t>CTL</t>
        </is>
      </c>
      <c r="AE1156" t="inlineStr">
        <is>
          <t>40-20-1.2-CRFH-PE-0.13</t>
        </is>
      </c>
      <c r="AF1156" t="n">
        <v>0.1422632087986685</v>
      </c>
    </row>
    <row r="1157">
      <c r="A1157" s="56" t="n">
        <v>3499608</v>
      </c>
      <c r="B1157" s="56" t="inlineStr">
        <is>
          <t>TUB-O-N-AUT-AN-FC-70.00X3.200X6.00 HST</t>
        </is>
      </c>
      <c r="C1157" s="56" t="inlineStr">
        <is>
          <t>4B03AK4050</t>
        </is>
      </c>
      <c r="D1157" s="56" t="n"/>
      <c r="E1157" s="57" t="n">
        <v>2256</v>
      </c>
      <c r="F1157" s="57" t="n">
        <v>2.256</v>
      </c>
      <c r="G1157" s="56" t="inlineStr">
        <is>
          <t>KG</t>
        </is>
      </c>
      <c r="H1157" s="56" t="inlineStr">
        <is>
          <t>TF01</t>
        </is>
      </c>
      <c r="I1157" s="56" t="inlineStr">
        <is>
          <t>4731</t>
        </is>
      </c>
      <c r="J1157" s="56" t="n"/>
      <c r="K1157" s="56" t="n"/>
      <c r="L1157" s="56" t="n"/>
      <c r="M1157" s="56" t="n"/>
      <c r="N1157" s="56" t="inlineStr">
        <is>
          <t>Neel Metal Products Limited</t>
        </is>
      </c>
      <c r="O1157" s="56" t="n">
        <v>27</v>
      </c>
      <c r="P1157" s="59" t="inlineStr">
        <is>
          <t>0-30</t>
        </is>
      </c>
      <c r="Q1157" s="56" t="inlineStr">
        <is>
          <t>Apoorv</t>
        </is>
      </c>
      <c r="U1157" s="585" t="n">
        <v>3572048</v>
      </c>
      <c r="V1157" t="n">
        <v>40</v>
      </c>
      <c r="W1157" t="n">
        <v>20</v>
      </c>
      <c r="X1157" t="n">
        <v>1.2</v>
      </c>
      <c r="Y1157" t="n">
        <v>0.14</v>
      </c>
      <c r="Z1157" t="inlineStr">
        <is>
          <t>CRFH</t>
        </is>
      </c>
      <c r="AA1157" t="inlineStr">
        <is>
          <t>PE</t>
        </is>
      </c>
      <c r="AB1157" t="inlineStr">
        <is>
          <t>AW</t>
        </is>
      </c>
      <c r="AC1157" t="inlineStr">
        <is>
          <t>40-20-1.2-CRFH-PE</t>
        </is>
      </c>
      <c r="AD1157" t="inlineStr">
        <is>
          <t>CTL</t>
        </is>
      </c>
      <c r="AE1157" t="inlineStr">
        <is>
          <t>40-20-1.2-CRFH-PE-0.14</t>
        </is>
      </c>
      <c r="AF1157" t="n">
        <v>0.1532065325524122</v>
      </c>
    </row>
    <row r="1158">
      <c r="A1158" s="56" t="n">
        <v>3499608</v>
      </c>
      <c r="B1158" s="56" t="inlineStr">
        <is>
          <t>TUB-O-N-AUT-AN-FC-70.00X3.200X6.00 HST</t>
        </is>
      </c>
      <c r="C1158" s="56" t="inlineStr">
        <is>
          <t>4B03AK4040</t>
        </is>
      </c>
      <c r="D1158" s="56" t="n"/>
      <c r="E1158" s="57" t="n">
        <v>1390</v>
      </c>
      <c r="F1158" s="57" t="n">
        <v>1.39</v>
      </c>
      <c r="G1158" s="56" t="inlineStr">
        <is>
          <t>KG</t>
        </is>
      </c>
      <c r="H1158" s="56" t="inlineStr">
        <is>
          <t>TF01</t>
        </is>
      </c>
      <c r="I1158" s="56" t="inlineStr">
        <is>
          <t>4731</t>
        </is>
      </c>
      <c r="J1158" s="56" t="n"/>
      <c r="K1158" s="56" t="n"/>
      <c r="L1158" s="56" t="n"/>
      <c r="M1158" s="56" t="n"/>
      <c r="N1158" s="56" t="inlineStr">
        <is>
          <t>Neel Metal Products Limited</t>
        </is>
      </c>
      <c r="O1158" s="56" t="n">
        <v>27</v>
      </c>
      <c r="P1158" s="59" t="inlineStr">
        <is>
          <t>0-30</t>
        </is>
      </c>
      <c r="Q1158" s="56" t="inlineStr">
        <is>
          <t>Apoorv</t>
        </is>
      </c>
      <c r="U1158" s="585" t="n">
        <v>3675690</v>
      </c>
      <c r="V1158" t="n">
        <v>40</v>
      </c>
      <c r="W1158" t="n">
        <v>20</v>
      </c>
      <c r="X1158" t="n">
        <v>1.2</v>
      </c>
      <c r="Y1158" t="n">
        <v>0.243</v>
      </c>
      <c r="Z1158" t="inlineStr">
        <is>
          <t>TE13</t>
        </is>
      </c>
      <c r="AA1158" t="inlineStr">
        <is>
          <t>PE</t>
        </is>
      </c>
      <c r="AB1158" t="inlineStr">
        <is>
          <t>AW</t>
        </is>
      </c>
      <c r="AC1158" t="inlineStr">
        <is>
          <t>40-20-1.2-CRFH-PE</t>
        </is>
      </c>
      <c r="AD1158" t="inlineStr">
        <is>
          <t>CTL</t>
        </is>
      </c>
      <c r="AE1158" t="inlineStr">
        <is>
          <t>40-20-1.2-CRFH-PE-0.243</t>
        </is>
      </c>
      <c r="AF1158" t="n">
        <v>0.2659227672159726</v>
      </c>
    </row>
    <row r="1159">
      <c r="A1159" s="56" t="n">
        <v>3499608</v>
      </c>
      <c r="B1159" s="56" t="inlineStr">
        <is>
          <t>TUB-O-N-AUT-AN-FC-70.00X3.200X6.00 HST</t>
        </is>
      </c>
      <c r="C1159" s="56" t="inlineStr">
        <is>
          <t>4B03AK4030</t>
        </is>
      </c>
      <c r="D1159" s="56" t="n"/>
      <c r="E1159" s="57" t="n">
        <v>1871</v>
      </c>
      <c r="F1159" s="57" t="n">
        <v>1.871</v>
      </c>
      <c r="G1159" s="56" t="inlineStr">
        <is>
          <t>KG</t>
        </is>
      </c>
      <c r="H1159" s="56" t="inlineStr">
        <is>
          <t>TF01</t>
        </is>
      </c>
      <c r="I1159" s="56" t="inlineStr">
        <is>
          <t>4731</t>
        </is>
      </c>
      <c r="J1159" s="56" t="n"/>
      <c r="K1159" s="56" t="n"/>
      <c r="L1159" s="56" t="n"/>
      <c r="M1159" s="56" t="n"/>
      <c r="N1159" s="56" t="inlineStr">
        <is>
          <t>Neel Metal Products Limited</t>
        </is>
      </c>
      <c r="O1159" s="56" t="n">
        <v>27</v>
      </c>
      <c r="P1159" s="59" t="inlineStr">
        <is>
          <t>0-30</t>
        </is>
      </c>
      <c r="Q1159" s="56" t="inlineStr">
        <is>
          <t>Apoorv</t>
        </is>
      </c>
      <c r="U1159" s="585" t="n">
        <v>3676011</v>
      </c>
      <c r="V1159" t="n">
        <v>40</v>
      </c>
      <c r="W1159" t="n">
        <v>20</v>
      </c>
      <c r="X1159" t="n">
        <v>1.2</v>
      </c>
      <c r="Y1159" t="n">
        <v>0.4</v>
      </c>
      <c r="Z1159" t="inlineStr">
        <is>
          <t>TE13</t>
        </is>
      </c>
      <c r="AA1159" t="inlineStr">
        <is>
          <t>PE</t>
        </is>
      </c>
      <c r="AB1159" t="inlineStr">
        <is>
          <t>AW</t>
        </is>
      </c>
      <c r="AC1159" t="inlineStr">
        <is>
          <t>40-20-1.2-CRFH-PE</t>
        </is>
      </c>
      <c r="AD1159" t="inlineStr">
        <is>
          <t>CTL</t>
        </is>
      </c>
      <c r="AE1159" t="inlineStr">
        <is>
          <t>40-20-1.2-CRFH-PE-0.4</t>
        </is>
      </c>
      <c r="AF1159" t="n">
        <v>0.4377329501497492</v>
      </c>
    </row>
    <row r="1160">
      <c r="A1160" s="56" t="n">
        <v>3499608</v>
      </c>
      <c r="B1160" s="56" t="inlineStr">
        <is>
          <t>TUB-O-N-AUT-AN-FC-70.00X3.200X6.00 HST</t>
        </is>
      </c>
      <c r="C1160" s="56" t="inlineStr">
        <is>
          <t>4B03AK4020</t>
        </is>
      </c>
      <c r="D1160" s="56" t="n"/>
      <c r="E1160" s="57" t="n">
        <v>2256</v>
      </c>
      <c r="F1160" s="57" t="n">
        <v>2.256</v>
      </c>
      <c r="G1160" s="56" t="inlineStr">
        <is>
          <t>KG</t>
        </is>
      </c>
      <c r="H1160" s="56" t="inlineStr">
        <is>
          <t>TF01</t>
        </is>
      </c>
      <c r="I1160" s="56" t="inlineStr">
        <is>
          <t>4731</t>
        </is>
      </c>
      <c r="J1160" s="56" t="n"/>
      <c r="K1160" s="56" t="n"/>
      <c r="L1160" s="56" t="n"/>
      <c r="M1160" s="56" t="n"/>
      <c r="N1160" s="56" t="inlineStr">
        <is>
          <t>Neel Metal Products Limited</t>
        </is>
      </c>
      <c r="O1160" s="56" t="n">
        <v>27</v>
      </c>
      <c r="P1160" s="59" t="inlineStr">
        <is>
          <t>0-30</t>
        </is>
      </c>
      <c r="Q1160" s="56" t="inlineStr">
        <is>
          <t>Apoorv</t>
        </is>
      </c>
      <c r="U1160" s="585" t="n">
        <v>3676012</v>
      </c>
      <c r="V1160" t="n">
        <v>40</v>
      </c>
      <c r="W1160" t="n">
        <v>20</v>
      </c>
      <c r="X1160" t="n">
        <v>1.2</v>
      </c>
      <c r="Y1160" t="n">
        <v>0.62</v>
      </c>
      <c r="Z1160" t="inlineStr">
        <is>
          <t>TE13</t>
        </is>
      </c>
      <c r="AA1160" t="inlineStr">
        <is>
          <t>PE</t>
        </is>
      </c>
      <c r="AB1160" t="inlineStr">
        <is>
          <t>AW</t>
        </is>
      </c>
      <c r="AC1160" t="inlineStr">
        <is>
          <t>40-20-1.2-CRFH-PE</t>
        </is>
      </c>
      <c r="AD1160" t="inlineStr">
        <is>
          <t>CTL</t>
        </is>
      </c>
      <c r="AE1160" t="inlineStr">
        <is>
          <t>40-20-1.2-CRFH-PE-0.62</t>
        </is>
      </c>
      <c r="AF1160" t="n">
        <v>0.6784860727321113</v>
      </c>
    </row>
    <row r="1161">
      <c r="A1161" s="56" t="n">
        <v>3499608</v>
      </c>
      <c r="B1161" s="56" t="inlineStr">
        <is>
          <t>TUB-O-N-AUT-AN-FC-70.00X3.200X6.00 HST</t>
        </is>
      </c>
      <c r="C1161" s="56" t="inlineStr">
        <is>
          <t>4B03AK4010</t>
        </is>
      </c>
      <c r="D1161" s="56" t="n"/>
      <c r="E1161" s="57" t="n">
        <v>2096</v>
      </c>
      <c r="F1161" s="57" t="n">
        <v>2.096</v>
      </c>
      <c r="G1161" s="56" t="inlineStr">
        <is>
          <t>KG</t>
        </is>
      </c>
      <c r="H1161" s="56" t="inlineStr">
        <is>
          <t>TF01</t>
        </is>
      </c>
      <c r="I1161" s="56" t="inlineStr">
        <is>
          <t>4731</t>
        </is>
      </c>
      <c r="J1161" s="56" t="n"/>
      <c r="K1161" s="56" t="n"/>
      <c r="L1161" s="56" t="n"/>
      <c r="M1161" s="56" t="n"/>
      <c r="N1161" s="56" t="inlineStr">
        <is>
          <t>Neel Metal Products Limited</t>
        </is>
      </c>
      <c r="O1161" s="56" t="n">
        <v>27</v>
      </c>
      <c r="P1161" s="59" t="inlineStr">
        <is>
          <t>0-30</t>
        </is>
      </c>
      <c r="Q1161" s="56" t="inlineStr">
        <is>
          <t>Apoorv</t>
        </is>
      </c>
      <c r="U1161" s="585" t="n">
        <v>3572049</v>
      </c>
      <c r="V1161" t="n">
        <v>40</v>
      </c>
      <c r="W1161" t="n">
        <v>20</v>
      </c>
      <c r="X1161" t="n">
        <v>1.2</v>
      </c>
      <c r="Y1161" t="n">
        <v>0.65</v>
      </c>
      <c r="Z1161" t="inlineStr">
        <is>
          <t>CRFH</t>
        </is>
      </c>
      <c r="AA1161" t="inlineStr">
        <is>
          <t>PE</t>
        </is>
      </c>
      <c r="AB1161" t="inlineStr">
        <is>
          <t>AW</t>
        </is>
      </c>
      <c r="AC1161" t="inlineStr">
        <is>
          <t>40-20-1.2-CRFH-PE</t>
        </is>
      </c>
      <c r="AD1161" t="inlineStr">
        <is>
          <t>CTL</t>
        </is>
      </c>
      <c r="AE1161" t="inlineStr">
        <is>
          <t>40-20-1.2-CRFH-PE-0.65</t>
        </is>
      </c>
      <c r="AF1161" t="n">
        <v>0.7113160439933425</v>
      </c>
    </row>
    <row r="1162">
      <c r="A1162" s="56" t="n">
        <v>3499828</v>
      </c>
      <c r="B1162" s="56" t="inlineStr">
        <is>
          <t>TUB-O-N-AUT-AW-FC-41.28X3.150X5.05-ERW 1</t>
        </is>
      </c>
      <c r="C1162" s="56" t="inlineStr">
        <is>
          <t>4A21A40010</t>
        </is>
      </c>
      <c r="D1162" s="56" t="n"/>
      <c r="E1162" s="57" t="n">
        <v>2491.06</v>
      </c>
      <c r="F1162" s="57" t="n">
        <v>2.49106</v>
      </c>
      <c r="G1162" s="56" t="inlineStr">
        <is>
          <t>KG</t>
        </is>
      </c>
      <c r="H1162" s="56" t="inlineStr">
        <is>
          <t>TF01</t>
        </is>
      </c>
      <c r="I1162" s="56" t="inlineStr">
        <is>
          <t>4318</t>
        </is>
      </c>
      <c r="J1162" s="56" t="n"/>
      <c r="K1162" s="56" t="n"/>
      <c r="L1162" s="56" t="n"/>
      <c r="M1162" s="56" t="n"/>
      <c r="N1162" s="56" t="inlineStr">
        <is>
          <t>FREE STOCK</t>
        </is>
      </c>
      <c r="O1162" s="56" t="n">
        <v>77</v>
      </c>
      <c r="P1162" s="59" t="inlineStr">
        <is>
          <t>61-90</t>
        </is>
      </c>
      <c r="Q1162" s="56" t="inlineStr">
        <is>
          <t>Free Stock</t>
        </is>
      </c>
      <c r="U1162" s="585" t="n">
        <v>3572050</v>
      </c>
      <c r="V1162" t="n">
        <v>40</v>
      </c>
      <c r="W1162" t="n">
        <v>20</v>
      </c>
      <c r="X1162" t="n">
        <v>1.2</v>
      </c>
      <c r="Y1162" t="n">
        <v>0.71</v>
      </c>
      <c r="Z1162" t="inlineStr">
        <is>
          <t>CRFH</t>
        </is>
      </c>
      <c r="AA1162" t="inlineStr">
        <is>
          <t>PE</t>
        </is>
      </c>
      <c r="AB1162" t="inlineStr">
        <is>
          <t>AW</t>
        </is>
      </c>
      <c r="AC1162" t="inlineStr">
        <is>
          <t>40-20-1.2-CRFH-PE</t>
        </is>
      </c>
      <c r="AD1162" t="inlineStr">
        <is>
          <t>CTL</t>
        </is>
      </c>
      <c r="AE1162" t="inlineStr">
        <is>
          <t>40-20-1.2-CRFH-PE-0.71</t>
        </is>
      </c>
      <c r="AF1162" t="n">
        <v>0.7769759865158048</v>
      </c>
    </row>
    <row r="1163">
      <c r="A1163" s="56" t="n">
        <v>3499828</v>
      </c>
      <c r="B1163" s="56" t="inlineStr">
        <is>
          <t>TUB-O-N-AUT-AW-FC-41.28X3.150X5.05-ERW 1</t>
        </is>
      </c>
      <c r="C1163" s="56" t="inlineStr">
        <is>
          <t>4A20C40120</t>
        </is>
      </c>
      <c r="D1163" s="56" t="n"/>
      <c r="E1163" s="57" t="n">
        <v>2491.06</v>
      </c>
      <c r="F1163" s="57" t="n">
        <v>2.49106</v>
      </c>
      <c r="G1163" s="56" t="inlineStr">
        <is>
          <t>KG</t>
        </is>
      </c>
      <c r="H1163" s="56" t="inlineStr">
        <is>
          <t>TF01</t>
        </is>
      </c>
      <c r="I1163" s="56" t="inlineStr">
        <is>
          <t>4318</t>
        </is>
      </c>
      <c r="J1163" s="56" t="n"/>
      <c r="K1163" s="56" t="n"/>
      <c r="L1163" s="56" t="n"/>
      <c r="M1163" s="56" t="n"/>
      <c r="N1163" s="56" t="inlineStr">
        <is>
          <t>FREE STOCK</t>
        </is>
      </c>
      <c r="O1163" s="56" t="n">
        <v>77</v>
      </c>
      <c r="P1163" s="59" t="inlineStr">
        <is>
          <t>61-90</t>
        </is>
      </c>
      <c r="Q1163" s="56" t="inlineStr">
        <is>
          <t>Free Stock</t>
        </is>
      </c>
      <c r="U1163" t="n">
        <v>4151472</v>
      </c>
      <c r="V1163" t="n">
        <v>40</v>
      </c>
      <c r="W1163" t="n">
        <v>20</v>
      </c>
      <c r="X1163" t="n">
        <v>1.2</v>
      </c>
      <c r="Y1163" t="n">
        <v>0.755</v>
      </c>
      <c r="Z1163" t="inlineStr">
        <is>
          <t>CRFH</t>
        </is>
      </c>
      <c r="AA1163" t="inlineStr">
        <is>
          <t>PE</t>
        </is>
      </c>
      <c r="AB1163" t="inlineStr">
        <is>
          <t>AW</t>
        </is>
      </c>
      <c r="AC1163" t="inlineStr">
        <is>
          <t>40-20-1.2-CRFH-PE</t>
        </is>
      </c>
      <c r="AD1163" t="inlineStr">
        <is>
          <t>CTL</t>
        </is>
      </c>
      <c r="AE1163" t="inlineStr">
        <is>
          <t>40-20-1.2-CRFH-PE-0.755</t>
        </is>
      </c>
      <c r="AF1163" t="n">
        <v>0.8262209434076516</v>
      </c>
    </row>
    <row r="1164">
      <c r="A1164" s="56" t="n">
        <v>3499828</v>
      </c>
      <c r="B1164" s="56" t="inlineStr">
        <is>
          <t>TUB-O-N-AUT-AW-FC-41.28X3.150X5.05-ERW 1</t>
        </is>
      </c>
      <c r="C1164" s="56" t="inlineStr">
        <is>
          <t>4A20C40110</t>
        </is>
      </c>
      <c r="D1164" s="56" t="n"/>
      <c r="E1164" s="57" t="n">
        <v>1532.96</v>
      </c>
      <c r="F1164" s="57" t="n">
        <v>1.53296</v>
      </c>
      <c r="G1164" s="56" t="inlineStr">
        <is>
          <t>KG</t>
        </is>
      </c>
      <c r="H1164" s="56" t="inlineStr">
        <is>
          <t>TF01</t>
        </is>
      </c>
      <c r="I1164" s="56" t="inlineStr">
        <is>
          <t>4318</t>
        </is>
      </c>
      <c r="J1164" s="56" t="n"/>
      <c r="K1164" s="56" t="n"/>
      <c r="L1164" s="56" t="n"/>
      <c r="M1164" s="56" t="n"/>
      <c r="N1164" s="56" t="inlineStr">
        <is>
          <t>FREE STOCK</t>
        </is>
      </c>
      <c r="O1164" s="56" t="n">
        <v>35</v>
      </c>
      <c r="P1164" s="59" t="inlineStr">
        <is>
          <t>31-60</t>
        </is>
      </c>
      <c r="Q1164" s="56" t="inlineStr">
        <is>
          <t>Free Stock</t>
        </is>
      </c>
      <c r="U1164" s="585" t="n">
        <v>3676013</v>
      </c>
      <c r="V1164" t="n">
        <v>40</v>
      </c>
      <c r="W1164" t="n">
        <v>20</v>
      </c>
      <c r="X1164" t="n">
        <v>1.2</v>
      </c>
      <c r="Y1164" t="n">
        <v>0.858</v>
      </c>
      <c r="Z1164" t="inlineStr">
        <is>
          <t>TE13</t>
        </is>
      </c>
      <c r="AA1164" t="inlineStr">
        <is>
          <t>PE</t>
        </is>
      </c>
      <c r="AB1164" t="inlineStr">
        <is>
          <t>AW</t>
        </is>
      </c>
      <c r="AC1164" t="inlineStr">
        <is>
          <t>40-20-1.2-CRFH-PE</t>
        </is>
      </c>
      <c r="AD1164" t="inlineStr">
        <is>
          <t>CTL</t>
        </is>
      </c>
      <c r="AE1164" t="inlineStr">
        <is>
          <t>40-20-1.2-CRFH-PE-0.858</t>
        </is>
      </c>
      <c r="AF1164" t="n">
        <v>0.938937178071212</v>
      </c>
    </row>
    <row r="1165">
      <c r="A1165" s="56" t="n">
        <v>3499828</v>
      </c>
      <c r="B1165" s="56" t="inlineStr">
        <is>
          <t>TUB-O-N-AUT-AW-FC-41.28X3.150X5.05-ERW 1</t>
        </is>
      </c>
      <c r="C1165" s="56" t="inlineStr">
        <is>
          <t>4911B40090</t>
        </is>
      </c>
      <c r="D1165" s="56" t="n"/>
      <c r="E1165" s="57" t="n">
        <v>297.17</v>
      </c>
      <c r="F1165" s="57" t="n">
        <v>0.29717</v>
      </c>
      <c r="G1165" s="56" t="inlineStr">
        <is>
          <t>KG</t>
        </is>
      </c>
      <c r="H1165" s="56" t="inlineStr">
        <is>
          <t>TF01</t>
        </is>
      </c>
      <c r="I1165" s="56" t="inlineStr">
        <is>
          <t>4318</t>
        </is>
      </c>
      <c r="J1165" s="56" t="n"/>
      <c r="K1165" s="56" t="n"/>
      <c r="L1165" s="56" t="n"/>
      <c r="M1165" s="56" t="n"/>
      <c r="N1165" s="56" t="inlineStr">
        <is>
          <t>FREE STOCK</t>
        </is>
      </c>
      <c r="O1165" s="56" t="n">
        <v>66</v>
      </c>
      <c r="P1165" s="59" t="inlineStr">
        <is>
          <t>61-90</t>
        </is>
      </c>
      <c r="Q1165" s="56" t="inlineStr">
        <is>
          <t>Free Stock</t>
        </is>
      </c>
      <c r="U1165" s="585" t="n">
        <v>3572051</v>
      </c>
      <c r="V1165" t="n">
        <v>40</v>
      </c>
      <c r="W1165" t="n">
        <v>20</v>
      </c>
      <c r="X1165" t="n">
        <v>1.2</v>
      </c>
      <c r="Y1165" t="n">
        <v>0.86</v>
      </c>
      <c r="Z1165" t="inlineStr">
        <is>
          <t>CRFH</t>
        </is>
      </c>
      <c r="AA1165" t="inlineStr">
        <is>
          <t>PE</t>
        </is>
      </c>
      <c r="AB1165" t="inlineStr">
        <is>
          <t>AW</t>
        </is>
      </c>
      <c r="AC1165" t="inlineStr">
        <is>
          <t>40-20-1.2-CRFH-PE</t>
        </is>
      </c>
      <c r="AD1165" t="inlineStr">
        <is>
          <t>CTL</t>
        </is>
      </c>
      <c r="AE1165" t="inlineStr">
        <is>
          <t>40-20-1.2-CRFH-PE-0.86</t>
        </is>
      </c>
      <c r="AF1165" t="n">
        <v>0.9411258428219608</v>
      </c>
    </row>
    <row r="1166">
      <c r="A1166" s="56" t="n">
        <v>3499903</v>
      </c>
      <c r="B1166" s="56" t="inlineStr">
        <is>
          <t>TUB-I-C-AUT-AD-PE-31.20X3.200X5.130-CEW1</t>
        </is>
      </c>
      <c r="C1166" s="56" t="inlineStr">
        <is>
          <t>4B09B40140</t>
        </is>
      </c>
      <c r="D1166" s="56" t="n"/>
      <c r="E1166" s="57" t="n">
        <v>2172.612</v>
      </c>
      <c r="F1166" s="57" t="n">
        <v>2.172612</v>
      </c>
      <c r="G1166" s="56" t="inlineStr">
        <is>
          <t>KG</t>
        </is>
      </c>
      <c r="H1166" s="56" t="inlineStr">
        <is>
          <t>TF01</t>
        </is>
      </c>
      <c r="I1166" s="56" t="inlineStr">
        <is>
          <t>4318</t>
        </is>
      </c>
      <c r="J1166" s="56" t="n"/>
      <c r="K1166" s="56" t="n"/>
      <c r="L1166" s="56" t="n"/>
      <c r="M1166" s="56" t="n"/>
      <c r="N1166" s="56" t="inlineStr">
        <is>
          <t>FREE STOCK</t>
        </is>
      </c>
      <c r="O1166" s="56" t="n">
        <v>44</v>
      </c>
      <c r="P1166" s="59" t="inlineStr">
        <is>
          <t>31-60</t>
        </is>
      </c>
      <c r="Q1166" s="56" t="inlineStr">
        <is>
          <t>Free Stock</t>
        </is>
      </c>
      <c r="U1166" s="585" t="n">
        <v>3676014</v>
      </c>
      <c r="V1166" t="n">
        <v>40</v>
      </c>
      <c r="W1166" t="n">
        <v>20</v>
      </c>
      <c r="X1166" t="n">
        <v>1.2</v>
      </c>
      <c r="Y1166" t="n">
        <v>0.878</v>
      </c>
      <c r="Z1166" t="inlineStr">
        <is>
          <t>TE13</t>
        </is>
      </c>
      <c r="AA1166" t="inlineStr">
        <is>
          <t>PE</t>
        </is>
      </c>
      <c r="AB1166" t="inlineStr">
        <is>
          <t>AW</t>
        </is>
      </c>
      <c r="AC1166" t="inlineStr">
        <is>
          <t>40-20-1.2-CRFH-PE</t>
        </is>
      </c>
      <c r="AD1166" t="inlineStr">
        <is>
          <t>CTL</t>
        </is>
      </c>
      <c r="AE1166" t="inlineStr">
        <is>
          <t>40-20-1.2-CRFH-PE-0.878</t>
        </is>
      </c>
      <c r="AF1166" t="n">
        <v>0.9608238255786995</v>
      </c>
    </row>
    <row r="1167">
      <c r="A1167" s="56" t="n">
        <v>3499903</v>
      </c>
      <c r="B1167" s="56" t="inlineStr">
        <is>
          <t>TUB-I-C-AUT-AD-PE-31.20X3.200X5.130-CEW1</t>
        </is>
      </c>
      <c r="C1167" s="56" t="inlineStr">
        <is>
          <t>4B09B40130</t>
        </is>
      </c>
      <c r="D1167" s="56" t="n"/>
      <c r="E1167" s="57" t="n">
        <v>2158.685</v>
      </c>
      <c r="F1167" s="57" t="n">
        <v>2.158685</v>
      </c>
      <c r="G1167" s="56" t="inlineStr">
        <is>
          <t>KG</t>
        </is>
      </c>
      <c r="H1167" s="56" t="inlineStr">
        <is>
          <t>TF01</t>
        </is>
      </c>
      <c r="I1167" s="56" t="inlineStr">
        <is>
          <t>4318</t>
        </is>
      </c>
      <c r="J1167" s="56" t="n"/>
      <c r="K1167" s="56" t="n"/>
      <c r="L1167" s="56" t="n"/>
      <c r="M1167" s="56" t="n"/>
      <c r="N1167" s="56" t="inlineStr">
        <is>
          <t>FREE STOCK</t>
        </is>
      </c>
      <c r="O1167" s="56" t="n">
        <v>44</v>
      </c>
      <c r="P1167" s="59" t="inlineStr">
        <is>
          <t>31-60</t>
        </is>
      </c>
      <c r="Q1167" s="56" t="inlineStr">
        <is>
          <t>Free Stock</t>
        </is>
      </c>
      <c r="U1167" s="585" t="n">
        <v>3676015</v>
      </c>
      <c r="V1167" t="n">
        <v>40</v>
      </c>
      <c r="W1167" t="n">
        <v>20</v>
      </c>
      <c r="X1167" t="n">
        <v>1.2</v>
      </c>
      <c r="Y1167" t="n">
        <v>0.881</v>
      </c>
      <c r="Z1167" t="inlineStr">
        <is>
          <t>TE13</t>
        </is>
      </c>
      <c r="AA1167" t="inlineStr">
        <is>
          <t>PE</t>
        </is>
      </c>
      <c r="AB1167" t="inlineStr">
        <is>
          <t>AW</t>
        </is>
      </c>
      <c r="AC1167" t="inlineStr">
        <is>
          <t>40-20-1.2-CRFH-PE</t>
        </is>
      </c>
      <c r="AD1167" t="inlineStr">
        <is>
          <t>CTL</t>
        </is>
      </c>
      <c r="AE1167" t="inlineStr">
        <is>
          <t>40-20-1.2-CRFH-PE-0.881</t>
        </is>
      </c>
      <c r="AF1167" t="n">
        <v>0.9641068227048226</v>
      </c>
    </row>
    <row r="1168">
      <c r="A1168" s="56" t="n">
        <v>3499903</v>
      </c>
      <c r="B1168" s="56" t="inlineStr">
        <is>
          <t>TUB-I-C-AUT-AD-PE-31.20X3.200X5.130-CEW1</t>
        </is>
      </c>
      <c r="C1168" s="56" t="inlineStr">
        <is>
          <t>4B09A40080</t>
        </is>
      </c>
      <c r="D1168" s="56" t="n"/>
      <c r="E1168" s="57" t="n">
        <v>2172.612</v>
      </c>
      <c r="F1168" s="57" t="n">
        <v>2.172612</v>
      </c>
      <c r="G1168" s="56" t="inlineStr">
        <is>
          <t>KG</t>
        </is>
      </c>
      <c r="H1168" s="56" t="inlineStr">
        <is>
          <t>TF01</t>
        </is>
      </c>
      <c r="I1168" s="56" t="inlineStr">
        <is>
          <t>4318</t>
        </is>
      </c>
      <c r="J1168" s="56" t="n"/>
      <c r="K1168" s="56" t="n"/>
      <c r="L1168" s="56" t="n"/>
      <c r="M1168" s="56" t="n"/>
      <c r="N1168" s="56" t="inlineStr">
        <is>
          <t>FREE STOCK</t>
        </is>
      </c>
      <c r="O1168" s="56" t="n">
        <v>44</v>
      </c>
      <c r="P1168" s="59" t="inlineStr">
        <is>
          <t>31-60</t>
        </is>
      </c>
      <c r="Q1168" s="56" t="inlineStr">
        <is>
          <t>Free Stock</t>
        </is>
      </c>
      <c r="U1168" s="585" t="n">
        <v>3572052</v>
      </c>
      <c r="V1168" t="n">
        <v>40</v>
      </c>
      <c r="W1168" t="n">
        <v>20</v>
      </c>
      <c r="X1168" t="n">
        <v>1.2</v>
      </c>
      <c r="Y1168" t="n">
        <v>0.89</v>
      </c>
      <c r="Z1168" t="inlineStr">
        <is>
          <t>CRFH</t>
        </is>
      </c>
      <c r="AA1168" t="inlineStr">
        <is>
          <t>PE</t>
        </is>
      </c>
      <c r="AB1168" t="inlineStr">
        <is>
          <t>AW</t>
        </is>
      </c>
      <c r="AC1168" t="inlineStr">
        <is>
          <t>40-20-1.2-CRFH-PE</t>
        </is>
      </c>
      <c r="AD1168" t="inlineStr">
        <is>
          <t>CTL</t>
        </is>
      </c>
      <c r="AE1168" t="inlineStr">
        <is>
          <t>40-20-1.2-CRFH-PE-0.89</t>
        </is>
      </c>
      <c r="AF1168" t="n">
        <v>0.973955814083192</v>
      </c>
    </row>
    <row r="1169">
      <c r="A1169" s="56" t="n">
        <v>3499903</v>
      </c>
      <c r="B1169" s="56" t="inlineStr">
        <is>
          <t>TUB-I-C-AUT-AD-PE-31.20X3.200X5.130-CEW1</t>
        </is>
      </c>
      <c r="C1169" s="56" t="inlineStr">
        <is>
          <t>4B09A40070</t>
        </is>
      </c>
      <c r="D1169" s="56" t="n"/>
      <c r="E1169" s="57" t="n">
        <v>2172.612</v>
      </c>
      <c r="F1169" s="57" t="n">
        <v>2.172612</v>
      </c>
      <c r="G1169" s="56" t="inlineStr">
        <is>
          <t>KG</t>
        </is>
      </c>
      <c r="H1169" s="56" t="inlineStr">
        <is>
          <t>TF01</t>
        </is>
      </c>
      <c r="I1169" s="56" t="inlineStr">
        <is>
          <t>4318</t>
        </is>
      </c>
      <c r="J1169" s="56" t="n"/>
      <c r="K1169" s="56" t="n"/>
      <c r="L1169" s="56" t="n"/>
      <c r="M1169" s="56" t="n"/>
      <c r="N1169" s="56" t="inlineStr">
        <is>
          <t>FREE STOCK</t>
        </is>
      </c>
      <c r="O1169" s="56" t="n">
        <v>44</v>
      </c>
      <c r="P1169" s="59" t="inlineStr">
        <is>
          <t>31-60</t>
        </is>
      </c>
      <c r="Q1169" s="56" t="inlineStr">
        <is>
          <t>Free Stock</t>
        </is>
      </c>
      <c r="U1169" s="585" t="n">
        <v>3676016</v>
      </c>
      <c r="V1169" t="n">
        <v>40</v>
      </c>
      <c r="W1169" t="n">
        <v>20</v>
      </c>
      <c r="X1169" t="n">
        <v>1.2</v>
      </c>
      <c r="Y1169" t="n">
        <v>0.92</v>
      </c>
      <c r="Z1169" t="inlineStr">
        <is>
          <t>TE13</t>
        </is>
      </c>
      <c r="AA1169" t="inlineStr">
        <is>
          <t>PE</t>
        </is>
      </c>
      <c r="AB1169" t="inlineStr">
        <is>
          <t>AW</t>
        </is>
      </c>
      <c r="AC1169" t="inlineStr">
        <is>
          <t>40-20-1.2-CRFH-PE</t>
        </is>
      </c>
      <c r="AD1169" t="inlineStr">
        <is>
          <t>CTL</t>
        </is>
      </c>
      <c r="AE1169" t="inlineStr">
        <is>
          <t>40-20-1.2-CRFH-PE-0.92</t>
        </is>
      </c>
      <c r="AF1169" t="n">
        <v>1.006785785344423</v>
      </c>
    </row>
    <row r="1170">
      <c r="A1170" s="56" t="n">
        <v>3499903</v>
      </c>
      <c r="B1170" s="56" t="inlineStr">
        <is>
          <t>TUB-I-C-AUT-AD-PE-31.20X3.200X5.130-CEW1</t>
        </is>
      </c>
      <c r="C1170" s="56" t="inlineStr">
        <is>
          <t>4B09A40060</t>
        </is>
      </c>
      <c r="D1170" s="56" t="n"/>
      <c r="E1170" s="57" t="n">
        <v>2172.612</v>
      </c>
      <c r="F1170" s="57" t="n">
        <v>2.172612</v>
      </c>
      <c r="G1170" s="56" t="inlineStr">
        <is>
          <t>KG</t>
        </is>
      </c>
      <c r="H1170" s="56" t="inlineStr">
        <is>
          <t>TF01</t>
        </is>
      </c>
      <c r="I1170" s="56" t="inlineStr">
        <is>
          <t>4318</t>
        </is>
      </c>
      <c r="J1170" s="56" t="n"/>
      <c r="K1170" s="56" t="n"/>
      <c r="L1170" s="56" t="n"/>
      <c r="M1170" s="56" t="n"/>
      <c r="N1170" s="56" t="inlineStr">
        <is>
          <t>FREE STOCK</t>
        </is>
      </c>
      <c r="O1170" s="56" t="n">
        <v>44</v>
      </c>
      <c r="P1170" s="59" t="inlineStr">
        <is>
          <t>31-60</t>
        </is>
      </c>
      <c r="Q1170" s="56" t="inlineStr">
        <is>
          <t>Free Stock</t>
        </is>
      </c>
      <c r="U1170" s="585" t="n">
        <v>3676017</v>
      </c>
      <c r="V1170" t="n">
        <v>40</v>
      </c>
      <c r="W1170" t="n">
        <v>20</v>
      </c>
      <c r="X1170" t="n">
        <v>1.2</v>
      </c>
      <c r="Y1170" t="n">
        <v>0.928</v>
      </c>
      <c r="Z1170" t="inlineStr">
        <is>
          <t>TE13</t>
        </is>
      </c>
      <c r="AA1170" t="inlineStr">
        <is>
          <t>PE</t>
        </is>
      </c>
      <c r="AB1170" t="inlineStr">
        <is>
          <t>AW</t>
        </is>
      </c>
      <c r="AC1170" t="inlineStr">
        <is>
          <t>40-20-1.2-CRFH-PE</t>
        </is>
      </c>
      <c r="AD1170" t="inlineStr">
        <is>
          <t>CTL</t>
        </is>
      </c>
      <c r="AE1170" t="inlineStr">
        <is>
          <t>40-20-1.2-CRFH-PE-0.928</t>
        </is>
      </c>
      <c r="AF1170" t="n">
        <v>1.015540444347418</v>
      </c>
    </row>
    <row r="1171">
      <c r="A1171" s="56" t="n">
        <v>3499903</v>
      </c>
      <c r="B1171" s="56" t="inlineStr">
        <is>
          <t>TUB-I-C-AUT-AD-PE-31.20X3.200X5.130-CEW1</t>
        </is>
      </c>
      <c r="C1171" s="56" t="inlineStr">
        <is>
          <t>4B09A40050</t>
        </is>
      </c>
      <c r="D1171" s="56" t="n"/>
      <c r="E1171" s="57" t="n">
        <v>2172.612</v>
      </c>
      <c r="F1171" s="57" t="n">
        <v>2.172612</v>
      </c>
      <c r="G1171" s="56" t="inlineStr">
        <is>
          <t>KG</t>
        </is>
      </c>
      <c r="H1171" s="56" t="inlineStr">
        <is>
          <t>TF01</t>
        </is>
      </c>
      <c r="I1171" s="56" t="inlineStr">
        <is>
          <t>4318</t>
        </is>
      </c>
      <c r="J1171" s="56" t="n"/>
      <c r="K1171" s="56" t="n"/>
      <c r="L1171" s="56" t="n"/>
      <c r="M1171" s="56" t="n"/>
      <c r="N1171" s="56" t="inlineStr">
        <is>
          <t>FREE STOCK</t>
        </is>
      </c>
      <c r="O1171" s="56" t="n">
        <v>44</v>
      </c>
      <c r="P1171" s="59" t="inlineStr">
        <is>
          <t>31-60</t>
        </is>
      </c>
      <c r="Q1171" s="56" t="inlineStr">
        <is>
          <t>Free Stock</t>
        </is>
      </c>
      <c r="U1171" s="585" t="n">
        <v>3572053</v>
      </c>
      <c r="V1171" t="n">
        <v>40</v>
      </c>
      <c r="W1171" t="n">
        <v>20</v>
      </c>
      <c r="X1171" t="n">
        <v>1.2</v>
      </c>
      <c r="Y1171" t="n">
        <v>0.93</v>
      </c>
      <c r="Z1171" t="inlineStr">
        <is>
          <t>CRFH</t>
        </is>
      </c>
      <c r="AA1171" t="inlineStr">
        <is>
          <t>PE</t>
        </is>
      </c>
      <c r="AB1171" t="inlineStr">
        <is>
          <t>AW</t>
        </is>
      </c>
      <c r="AC1171" t="inlineStr">
        <is>
          <t>40-20-1.2-CRFH-PE</t>
        </is>
      </c>
      <c r="AD1171" t="inlineStr">
        <is>
          <t>CTL</t>
        </is>
      </c>
      <c r="AE1171" t="inlineStr">
        <is>
          <t>40-20-1.2-CRFH-PE-0.93</t>
        </is>
      </c>
      <c r="AF1171" t="n">
        <v>1.017729109098167</v>
      </c>
    </row>
    <row r="1172">
      <c r="A1172" s="56" t="n">
        <v>3499903</v>
      </c>
      <c r="B1172" s="56" t="inlineStr">
        <is>
          <t>TUB-I-C-AUT-AD-PE-31.20X3.200X5.130-CEW1</t>
        </is>
      </c>
      <c r="C1172" s="56" t="inlineStr">
        <is>
          <t>4B09A40040</t>
        </is>
      </c>
      <c r="D1172" s="56" t="n"/>
      <c r="E1172" s="57" t="n">
        <v>2172.612</v>
      </c>
      <c r="F1172" s="57" t="n">
        <v>2.172612</v>
      </c>
      <c r="G1172" s="56" t="inlineStr">
        <is>
          <t>KG</t>
        </is>
      </c>
      <c r="H1172" s="56" t="inlineStr">
        <is>
          <t>TF01</t>
        </is>
      </c>
      <c r="I1172" s="56" t="inlineStr">
        <is>
          <t>4318</t>
        </is>
      </c>
      <c r="J1172" s="56" t="n"/>
      <c r="K1172" s="56" t="n"/>
      <c r="L1172" s="56" t="n"/>
      <c r="M1172" s="56" t="n"/>
      <c r="N1172" s="56" t="inlineStr">
        <is>
          <t>FREE STOCK</t>
        </is>
      </c>
      <c r="O1172" s="56" t="n">
        <v>44</v>
      </c>
      <c r="P1172" s="59" t="inlineStr">
        <is>
          <t>31-60</t>
        </is>
      </c>
      <c r="Q1172" s="56" t="inlineStr">
        <is>
          <t>Free Stock</t>
        </is>
      </c>
      <c r="U1172" s="585" t="n">
        <v>3572054</v>
      </c>
      <c r="V1172" t="n">
        <v>40</v>
      </c>
      <c r="W1172" t="n">
        <v>20</v>
      </c>
      <c r="X1172" t="n">
        <v>1.2</v>
      </c>
      <c r="Y1172" t="n">
        <v>1.06</v>
      </c>
      <c r="Z1172" t="inlineStr">
        <is>
          <t>CRFH</t>
        </is>
      </c>
      <c r="AA1172" t="inlineStr">
        <is>
          <t>PE</t>
        </is>
      </c>
      <c r="AB1172" t="inlineStr">
        <is>
          <t>AW</t>
        </is>
      </c>
      <c r="AC1172" t="inlineStr">
        <is>
          <t>40-20-1.2-CRFH-PE</t>
        </is>
      </c>
      <c r="AD1172" t="inlineStr">
        <is>
          <t>CTL</t>
        </is>
      </c>
      <c r="AE1172" t="inlineStr">
        <is>
          <t>40-20-1.2-CRFH-PE-1.06</t>
        </is>
      </c>
      <c r="AF1172" t="n">
        <v>1.159992317896835</v>
      </c>
    </row>
    <row r="1173">
      <c r="A1173" s="56" t="n">
        <v>3499903</v>
      </c>
      <c r="B1173" s="56" t="inlineStr">
        <is>
          <t>TUB-I-C-AUT-AD-PE-31.20X3.200X5.130-CEW1</t>
        </is>
      </c>
      <c r="C1173" s="56" t="inlineStr">
        <is>
          <t>4B09A40030</t>
        </is>
      </c>
      <c r="D1173" s="56" t="n"/>
      <c r="E1173" s="57" t="n">
        <v>1860.988</v>
      </c>
      <c r="F1173" s="57" t="n">
        <v>1.860988</v>
      </c>
      <c r="G1173" s="56" t="inlineStr">
        <is>
          <t>KG</t>
        </is>
      </c>
      <c r="H1173" s="56" t="inlineStr">
        <is>
          <t>TF01</t>
        </is>
      </c>
      <c r="I1173" s="56" t="inlineStr">
        <is>
          <t>4318</t>
        </is>
      </c>
      <c r="J1173" s="56" t="n"/>
      <c r="K1173" s="56" t="n"/>
      <c r="L1173" s="56" t="n"/>
      <c r="M1173" s="56" t="n"/>
      <c r="N1173" s="56" t="inlineStr">
        <is>
          <t>FREE STOCK</t>
        </is>
      </c>
      <c r="O1173" s="56" t="n">
        <v>5</v>
      </c>
      <c r="P1173" s="59" t="inlineStr">
        <is>
          <t>0-30</t>
        </is>
      </c>
      <c r="Q1173" s="56" t="inlineStr">
        <is>
          <t>Free Stock</t>
        </is>
      </c>
      <c r="U1173" s="585" t="n">
        <v>3230465</v>
      </c>
      <c r="V1173" t="n">
        <v>40</v>
      </c>
      <c r="W1173" t="n">
        <v>20</v>
      </c>
      <c r="X1173" t="n">
        <v>1.2</v>
      </c>
      <c r="Y1173" t="n">
        <v>1.12</v>
      </c>
      <c r="Z1173" t="inlineStr">
        <is>
          <t>CRFH</t>
        </is>
      </c>
      <c r="AA1173" t="inlineStr">
        <is>
          <t>PE</t>
        </is>
      </c>
      <c r="AB1173" t="inlineStr">
        <is>
          <t>AW</t>
        </is>
      </c>
      <c r="AC1173" t="inlineStr">
        <is>
          <t>40-20-1.2-CRFH-PE</t>
        </is>
      </c>
      <c r="AD1173" t="inlineStr">
        <is>
          <t>CTL</t>
        </is>
      </c>
      <c r="AE1173" t="inlineStr">
        <is>
          <t>40-20-1.2-CRFH-PE-1.12</t>
        </is>
      </c>
      <c r="AF1173" t="n">
        <v>1.225652260419298</v>
      </c>
    </row>
    <row r="1174">
      <c r="A1174" s="56" t="n">
        <v>3500083</v>
      </c>
      <c r="B1174" s="56" t="inlineStr">
        <is>
          <t>TUB-O-N-AUT-AW-PE-34.93X2.00X6.000-ERW 1</t>
        </is>
      </c>
      <c r="C1174" s="56" t="inlineStr">
        <is>
          <t>4B05A20090</t>
        </is>
      </c>
      <c r="D1174" s="56" t="n"/>
      <c r="E1174" s="57" t="n">
        <v>637.572</v>
      </c>
      <c r="F1174" s="57" t="n">
        <v>0.637572</v>
      </c>
      <c r="G1174" s="56" t="inlineStr">
        <is>
          <t>KG</t>
        </is>
      </c>
      <c r="H1174" s="56" t="inlineStr">
        <is>
          <t>TF01</t>
        </is>
      </c>
      <c r="I1174" s="56" t="inlineStr">
        <is>
          <t>4318</t>
        </is>
      </c>
      <c r="J1174" s="56" t="n"/>
      <c r="K1174" s="56" t="n"/>
      <c r="L1174" s="56" t="n"/>
      <c r="M1174" s="56" t="n"/>
      <c r="N1174" s="56" t="inlineStr">
        <is>
          <t>Elkayem Auto Ancillaries ( P ) LTD</t>
        </is>
      </c>
      <c r="O1174" s="56" t="n">
        <v>59</v>
      </c>
      <c r="P1174" s="59" t="inlineStr">
        <is>
          <t>31-60</t>
        </is>
      </c>
      <c r="Q1174" s="56" t="inlineStr">
        <is>
          <t>Diwakar</t>
        </is>
      </c>
      <c r="U1174" s="585" t="n">
        <v>3230470</v>
      </c>
      <c r="V1174" t="n">
        <v>40</v>
      </c>
      <c r="W1174" t="n">
        <v>20</v>
      </c>
      <c r="X1174" t="n">
        <v>1.2</v>
      </c>
      <c r="Y1174" t="n">
        <v>1.246</v>
      </c>
      <c r="Z1174" t="inlineStr">
        <is>
          <t>CRFH</t>
        </is>
      </c>
      <c r="AA1174" t="inlineStr">
        <is>
          <t>PE</t>
        </is>
      </c>
      <c r="AB1174" t="inlineStr">
        <is>
          <t>AW</t>
        </is>
      </c>
      <c r="AC1174" t="inlineStr">
        <is>
          <t>40-20-1.2-CRFH-PE</t>
        </is>
      </c>
      <c r="AD1174" t="inlineStr">
        <is>
          <t>CTL</t>
        </is>
      </c>
      <c r="AE1174" t="inlineStr">
        <is>
          <t>40-20-1.2-CRFH-PE-1.246</t>
        </is>
      </c>
      <c r="AF1174" t="n">
        <v>1.363538139716469</v>
      </c>
    </row>
    <row r="1175">
      <c r="A1175" s="56" t="n">
        <v>3500083</v>
      </c>
      <c r="B1175" s="56" t="inlineStr">
        <is>
          <t>TUB-O-N-AUT-AW-PE-34.93X2.00X6.000-ERW 1</t>
        </is>
      </c>
      <c r="C1175" s="56" t="inlineStr">
        <is>
          <t>4B05A20070</t>
        </is>
      </c>
      <c r="D1175" s="56" t="n"/>
      <c r="E1175" s="57" t="n">
        <v>2064.972</v>
      </c>
      <c r="F1175" s="57" t="n">
        <v>2.064972</v>
      </c>
      <c r="G1175" s="56" t="inlineStr">
        <is>
          <t>KG</t>
        </is>
      </c>
      <c r="H1175" s="56" t="inlineStr">
        <is>
          <t>TF01</t>
        </is>
      </c>
      <c r="I1175" s="56" t="inlineStr">
        <is>
          <t>4318</t>
        </is>
      </c>
      <c r="J1175" s="56" t="n"/>
      <c r="K1175" s="56" t="n"/>
      <c r="L1175" s="56" t="n"/>
      <c r="M1175" s="56" t="n"/>
      <c r="N1175" s="56" t="inlineStr">
        <is>
          <t>Elkayem Auto Ancillaries ( P ) LTD</t>
        </is>
      </c>
      <c r="O1175" s="56" t="n">
        <v>59</v>
      </c>
      <c r="P1175" s="59" t="inlineStr">
        <is>
          <t>31-60</t>
        </is>
      </c>
      <c r="Q1175" s="56" t="inlineStr">
        <is>
          <t>Diwakar</t>
        </is>
      </c>
      <c r="U1175" s="585" t="n">
        <v>3676018</v>
      </c>
      <c r="V1175" t="n">
        <v>40</v>
      </c>
      <c r="W1175" t="n">
        <v>20</v>
      </c>
      <c r="X1175" t="n">
        <v>1.2</v>
      </c>
      <c r="Y1175" t="n">
        <v>1.249</v>
      </c>
      <c r="Z1175" t="inlineStr">
        <is>
          <t>TE13</t>
        </is>
      </c>
      <c r="AA1175" t="inlineStr">
        <is>
          <t>PE</t>
        </is>
      </c>
      <c r="AB1175" t="inlineStr">
        <is>
          <t>AW</t>
        </is>
      </c>
      <c r="AC1175" t="inlineStr">
        <is>
          <t>40-20-1.2-CRFH-PE</t>
        </is>
      </c>
      <c r="AD1175" t="inlineStr">
        <is>
          <t>CTL</t>
        </is>
      </c>
      <c r="AE1175" t="inlineStr">
        <is>
          <t>40-20-1.2-CRFH-PE-1.249</t>
        </is>
      </c>
      <c r="AF1175" t="n">
        <v>1.366821136842592</v>
      </c>
    </row>
    <row r="1176">
      <c r="A1176" s="56" t="n">
        <v>3500083</v>
      </c>
      <c r="B1176" s="56" t="inlineStr">
        <is>
          <t>TUB-O-N-AUT-AW-PE-34.93X2.00X6.000-ERW 1</t>
        </is>
      </c>
      <c r="C1176" s="56" t="inlineStr">
        <is>
          <t>4B05A20060</t>
        </is>
      </c>
      <c r="D1176" s="56" t="n"/>
      <c r="E1176" s="57" t="n">
        <v>2064.972</v>
      </c>
      <c r="F1176" s="57" t="n">
        <v>2.064972</v>
      </c>
      <c r="G1176" s="56" t="inlineStr">
        <is>
          <t>KG</t>
        </is>
      </c>
      <c r="H1176" s="56" t="inlineStr">
        <is>
          <t>TF01</t>
        </is>
      </c>
      <c r="I1176" s="56" t="inlineStr">
        <is>
          <t>4318</t>
        </is>
      </c>
      <c r="J1176" s="56" t="n"/>
      <c r="K1176" s="56" t="n"/>
      <c r="L1176" s="56" t="n"/>
      <c r="M1176" s="56" t="n"/>
      <c r="N1176" s="56" t="inlineStr">
        <is>
          <t>Elkayem Auto Ancillaries ( P ) LTD</t>
        </is>
      </c>
      <c r="O1176" s="56" t="n">
        <v>59</v>
      </c>
      <c r="P1176" s="59" t="inlineStr">
        <is>
          <t>31-60</t>
        </is>
      </c>
      <c r="Q1176" s="56" t="inlineStr">
        <is>
          <t>Diwakar</t>
        </is>
      </c>
      <c r="U1176" s="585" t="n">
        <v>3597713</v>
      </c>
      <c r="V1176" t="n">
        <v>40</v>
      </c>
      <c r="W1176" t="n">
        <v>20</v>
      </c>
      <c r="X1176" t="n">
        <v>1.2</v>
      </c>
      <c r="Y1176" t="n">
        <v>5.26</v>
      </c>
      <c r="Z1176" t="inlineStr">
        <is>
          <t>CRFH</t>
        </is>
      </c>
      <c r="AA1176" t="inlineStr">
        <is>
          <t>PE</t>
        </is>
      </c>
      <c r="AB1176" t="inlineStr">
        <is>
          <t>AW</t>
        </is>
      </c>
      <c r="AC1176" t="inlineStr">
        <is>
          <t>40-20-1.2-CRFH-PE</t>
        </is>
      </c>
      <c r="AD1176" t="inlineStr">
        <is>
          <t>LL</t>
        </is>
      </c>
      <c r="AE1176" t="inlineStr">
        <is>
          <t>40-20-1.2-CRFH-PE-1</t>
        </is>
      </c>
      <c r="AF1176" t="n">
        <v>1.094332375374373</v>
      </c>
    </row>
    <row r="1177">
      <c r="A1177" s="56" t="n">
        <v>3500083</v>
      </c>
      <c r="B1177" s="56" t="inlineStr">
        <is>
          <t>TUB-O-N-AUT-AW-PE-34.93X2.00X6.000-ERW 1</t>
        </is>
      </c>
      <c r="C1177" s="56" t="inlineStr">
        <is>
          <t>4B05A20050</t>
        </is>
      </c>
      <c r="D1177" s="56" t="n"/>
      <c r="E1177" s="57" t="n">
        <v>2064.972</v>
      </c>
      <c r="F1177" s="57" t="n">
        <v>2.064972</v>
      </c>
      <c r="G1177" s="56" t="inlineStr">
        <is>
          <t>KG</t>
        </is>
      </c>
      <c r="H1177" s="56" t="inlineStr">
        <is>
          <t>TF01</t>
        </is>
      </c>
      <c r="I1177" s="56" t="inlineStr">
        <is>
          <t>4318</t>
        </is>
      </c>
      <c r="J1177" s="56" t="n"/>
      <c r="K1177" s="56" t="n"/>
      <c r="L1177" s="56" t="n"/>
      <c r="M1177" s="56" t="n"/>
      <c r="N1177" s="56" t="inlineStr">
        <is>
          <t>Elkayem Auto Ancillaries ( P ) LTD</t>
        </is>
      </c>
      <c r="O1177" s="56" t="n">
        <v>59</v>
      </c>
      <c r="P1177" s="59" t="inlineStr">
        <is>
          <t>31-60</t>
        </is>
      </c>
      <c r="Q1177" s="56" t="inlineStr">
        <is>
          <t>Diwakar</t>
        </is>
      </c>
      <c r="U1177" s="585" t="n">
        <v>3597714</v>
      </c>
      <c r="V1177" t="n">
        <v>40</v>
      </c>
      <c r="W1177" t="n">
        <v>20</v>
      </c>
      <c r="X1177" t="n">
        <v>1.2</v>
      </c>
      <c r="Y1177" t="n">
        <v>5.68</v>
      </c>
      <c r="Z1177" t="inlineStr">
        <is>
          <t>CRFH</t>
        </is>
      </c>
      <c r="AA1177" t="inlineStr">
        <is>
          <t>PE</t>
        </is>
      </c>
      <c r="AB1177" t="inlineStr">
        <is>
          <t>AW</t>
        </is>
      </c>
      <c r="AC1177" t="inlineStr">
        <is>
          <t>40-20-1.2-CRFH-PE</t>
        </is>
      </c>
      <c r="AD1177" t="inlineStr">
        <is>
          <t>LL</t>
        </is>
      </c>
      <c r="AE1177" t="inlineStr">
        <is>
          <t>40-20-1.2-CRFH-PE-1</t>
        </is>
      </c>
      <c r="AF1177" t="n">
        <v>1.094332375374373</v>
      </c>
    </row>
    <row r="1178">
      <c r="A1178" s="56" t="n">
        <v>3500083</v>
      </c>
      <c r="B1178" s="56" t="inlineStr">
        <is>
          <t>TUB-O-N-AUT-AW-PE-34.93X2.00X6.000-ERW 1</t>
        </is>
      </c>
      <c r="C1178" s="56" t="inlineStr">
        <is>
          <t>4B05A20040</t>
        </is>
      </c>
      <c r="D1178" s="56" t="n"/>
      <c r="E1178" s="57" t="n">
        <v>2064.972</v>
      </c>
      <c r="F1178" s="57" t="n">
        <v>2.064972</v>
      </c>
      <c r="G1178" s="56" t="inlineStr">
        <is>
          <t>KG</t>
        </is>
      </c>
      <c r="H1178" s="56" t="inlineStr">
        <is>
          <t>TF01</t>
        </is>
      </c>
      <c r="I1178" s="56" t="inlineStr">
        <is>
          <t>4318</t>
        </is>
      </c>
      <c r="J1178" s="56" t="n"/>
      <c r="K1178" s="56" t="n"/>
      <c r="L1178" s="56" t="n"/>
      <c r="M1178" s="56" t="n"/>
      <c r="N1178" s="56" t="inlineStr">
        <is>
          <t>Elkayem Auto Ancillaries ( P ) LTD</t>
        </is>
      </c>
      <c r="O1178" s="56" t="n">
        <v>59</v>
      </c>
      <c r="P1178" s="59" t="inlineStr">
        <is>
          <t>31-60</t>
        </is>
      </c>
      <c r="Q1178" s="56" t="inlineStr">
        <is>
          <t>Diwakar</t>
        </is>
      </c>
      <c r="U1178" s="586" t="n">
        <v>111117590</v>
      </c>
      <c r="V1178" t="n">
        <v>40</v>
      </c>
      <c r="W1178" t="n">
        <v>20</v>
      </c>
      <c r="X1178" t="n">
        <v>1.2</v>
      </c>
      <c r="Y1178" t="n">
        <v>5.68</v>
      </c>
      <c r="Z1178" t="inlineStr">
        <is>
          <t>CRFH</t>
        </is>
      </c>
      <c r="AA1178" t="inlineStr">
        <is>
          <t>PE</t>
        </is>
      </c>
      <c r="AB1178" t="inlineStr">
        <is>
          <t>AW</t>
        </is>
      </c>
      <c r="AC1178" t="inlineStr">
        <is>
          <t>40-20-1.2-CRFH-PE</t>
        </is>
      </c>
      <c r="AD1178" t="inlineStr">
        <is>
          <t>LL</t>
        </is>
      </c>
      <c r="AE1178" t="inlineStr">
        <is>
          <t>40-20-1.2-CRFH-PE-1</t>
        </is>
      </c>
      <c r="AF1178" t="n">
        <v>1.094332375374373</v>
      </c>
    </row>
    <row r="1179">
      <c r="A1179" s="56" t="n">
        <v>3500083</v>
      </c>
      <c r="B1179" s="56" t="inlineStr">
        <is>
          <t>TUB-O-N-AUT-AW-PE-34.93X2.00X6.000-ERW 1</t>
        </is>
      </c>
      <c r="C1179" s="56" t="inlineStr">
        <is>
          <t>4B05A20030</t>
        </is>
      </c>
      <c r="D1179" s="56" t="n"/>
      <c r="E1179" s="57" t="n">
        <v>2064.972</v>
      </c>
      <c r="F1179" s="57" t="n">
        <v>2.064972</v>
      </c>
      <c r="G1179" s="56" t="inlineStr">
        <is>
          <t>KG</t>
        </is>
      </c>
      <c r="H1179" s="56" t="inlineStr">
        <is>
          <t>TF01</t>
        </is>
      </c>
      <c r="I1179" s="56" t="inlineStr">
        <is>
          <t>4318</t>
        </is>
      </c>
      <c r="J1179" s="56" t="n"/>
      <c r="K1179" s="56" t="n"/>
      <c r="L1179" s="56" t="n"/>
      <c r="M1179" s="56" t="n"/>
      <c r="N1179" s="56" t="inlineStr">
        <is>
          <t>Elkayem Auto Ancillaries ( P ) LTD</t>
        </is>
      </c>
      <c r="O1179" s="56" t="n">
        <v>59</v>
      </c>
      <c r="P1179" s="59" t="inlineStr">
        <is>
          <t>31-60</t>
        </is>
      </c>
      <c r="Q1179" s="56" t="inlineStr">
        <is>
          <t>Diwakar</t>
        </is>
      </c>
      <c r="U1179" s="585" t="n">
        <v>111106758</v>
      </c>
      <c r="V1179" t="n">
        <v>40</v>
      </c>
      <c r="W1179" t="n">
        <v>20</v>
      </c>
      <c r="X1179" t="n">
        <v>1.2</v>
      </c>
      <c r="Y1179" t="n">
        <v>5.68</v>
      </c>
      <c r="Z1179" t="inlineStr">
        <is>
          <t>CRFH</t>
        </is>
      </c>
      <c r="AA1179" t="inlineStr">
        <is>
          <t>PE</t>
        </is>
      </c>
      <c r="AB1179" t="inlineStr">
        <is>
          <t>AW</t>
        </is>
      </c>
      <c r="AC1179" t="inlineStr">
        <is>
          <t>40-20-1.2-CRFH-PE</t>
        </is>
      </c>
      <c r="AD1179" t="inlineStr">
        <is>
          <t>LL</t>
        </is>
      </c>
      <c r="AF1179" t="n">
        <v>1.094332375374373</v>
      </c>
    </row>
    <row r="1180">
      <c r="A1180" s="56" t="n">
        <v>3500083</v>
      </c>
      <c r="B1180" s="56" t="inlineStr">
        <is>
          <t>TUB-O-N-AUT-AW-PE-34.93X2.00X6.000-ERW 1</t>
        </is>
      </c>
      <c r="C1180" s="56" t="inlineStr">
        <is>
          <t>4B05A20020</t>
        </is>
      </c>
      <c r="D1180" s="56" t="n"/>
      <c r="E1180" s="57" t="n">
        <v>2064.972</v>
      </c>
      <c r="F1180" s="57" t="n">
        <v>2.064972</v>
      </c>
      <c r="G1180" s="56" t="inlineStr">
        <is>
          <t>KG</t>
        </is>
      </c>
      <c r="H1180" s="56" t="inlineStr">
        <is>
          <t>TF01</t>
        </is>
      </c>
      <c r="I1180" s="56" t="inlineStr">
        <is>
          <t>4318</t>
        </is>
      </c>
      <c r="J1180" s="56" t="n"/>
      <c r="K1180" s="56" t="n"/>
      <c r="L1180" s="56" t="n"/>
      <c r="M1180" s="56" t="n"/>
      <c r="N1180" s="56" t="inlineStr">
        <is>
          <t>Elkayem Auto Ancillaries ( P ) LTD</t>
        </is>
      </c>
      <c r="O1180" s="56" t="n">
        <v>59</v>
      </c>
      <c r="P1180" s="59" t="inlineStr">
        <is>
          <t>31-60</t>
        </is>
      </c>
      <c r="Q1180" s="56" t="inlineStr">
        <is>
          <t>Diwakar</t>
        </is>
      </c>
      <c r="U1180" s="585" t="n">
        <v>3577684</v>
      </c>
      <c r="V1180" t="n">
        <v>40</v>
      </c>
      <c r="W1180" t="n">
        <v>20</v>
      </c>
      <c r="X1180" t="n">
        <v>1.2</v>
      </c>
      <c r="Y1180" t="n">
        <v>6</v>
      </c>
      <c r="Z1180" t="inlineStr">
        <is>
          <t>TE13</t>
        </is>
      </c>
      <c r="AA1180" t="inlineStr">
        <is>
          <t>PE</t>
        </is>
      </c>
      <c r="AB1180" t="inlineStr">
        <is>
          <t>AW</t>
        </is>
      </c>
      <c r="AC1180" t="inlineStr">
        <is>
          <t>40-20-1.2-CRFH-PE</t>
        </is>
      </c>
      <c r="AD1180" t="inlineStr">
        <is>
          <t>LL</t>
        </is>
      </c>
      <c r="AE1180" t="inlineStr">
        <is>
          <t>40-20-1.2-CRFH-PE-1</t>
        </is>
      </c>
      <c r="AF1180" t="n">
        <v>1.094332375374373</v>
      </c>
    </row>
    <row r="1181">
      <c r="A1181" s="56" t="n">
        <v>3500083</v>
      </c>
      <c r="B1181" s="56" t="inlineStr">
        <is>
          <t>TUB-O-N-AUT-AW-PE-34.93X2.00X6.000-ERW 1</t>
        </is>
      </c>
      <c r="C1181" s="56" t="inlineStr">
        <is>
          <t>4B05A20010</t>
        </is>
      </c>
      <c r="D1181" s="56" t="n"/>
      <c r="E1181" s="57" t="n">
        <v>2055.456</v>
      </c>
      <c r="F1181" s="57" t="n">
        <v>2.055456</v>
      </c>
      <c r="G1181" s="56" t="inlineStr">
        <is>
          <t>KG</t>
        </is>
      </c>
      <c r="H1181" s="56" t="inlineStr">
        <is>
          <t>TF01</t>
        </is>
      </c>
      <c r="I1181" s="56" t="inlineStr">
        <is>
          <t>4318</t>
        </is>
      </c>
      <c r="J1181" s="56" t="n"/>
      <c r="K1181" s="56" t="n"/>
      <c r="L1181" s="56" t="n"/>
      <c r="M1181" s="56" t="n"/>
      <c r="N1181" s="56" t="inlineStr">
        <is>
          <t>Elkayem Auto Ancillaries ( P ) LTD</t>
        </is>
      </c>
      <c r="O1181" s="56" t="n">
        <v>59</v>
      </c>
      <c r="P1181" s="59" t="inlineStr">
        <is>
          <t>31-60</t>
        </is>
      </c>
      <c r="Q1181" s="56" t="inlineStr">
        <is>
          <t>Diwakar</t>
        </is>
      </c>
      <c r="U1181" s="585" t="n">
        <v>1901169</v>
      </c>
      <c r="V1181" t="n">
        <v>40</v>
      </c>
      <c r="W1181" t="n">
        <v>20</v>
      </c>
      <c r="X1181" t="n">
        <v>1.2</v>
      </c>
      <c r="Y1181" t="n">
        <v>6</v>
      </c>
      <c r="Z1181" t="inlineStr">
        <is>
          <t>CRFH</t>
        </is>
      </c>
      <c r="AA1181" t="inlineStr">
        <is>
          <t>PE</t>
        </is>
      </c>
      <c r="AB1181" t="inlineStr">
        <is>
          <t>FH</t>
        </is>
      </c>
      <c r="AC1181" t="inlineStr">
        <is>
          <t>40-20-1.2-CRFH-PE</t>
        </is>
      </c>
      <c r="AD1181" t="inlineStr">
        <is>
          <t>LL</t>
        </is>
      </c>
      <c r="AF1181" t="n">
        <v>1.094332375374373</v>
      </c>
    </row>
    <row r="1182">
      <c r="A1182" s="56" t="n">
        <v>3500083</v>
      </c>
      <c r="B1182" s="56" t="inlineStr">
        <is>
          <t>TUB-O-N-AUT-AW-PE-34.93X2.00X6.000-ERW 1</t>
        </is>
      </c>
      <c r="C1182" s="56" t="inlineStr">
        <is>
          <t>4A05C20150</t>
        </is>
      </c>
      <c r="D1182" s="56" t="n"/>
      <c r="E1182" s="57" t="n">
        <v>1779.492</v>
      </c>
      <c r="F1182" s="57" t="n">
        <v>1.779492</v>
      </c>
      <c r="G1182" s="56" t="inlineStr">
        <is>
          <t>KG</t>
        </is>
      </c>
      <c r="H1182" s="56" t="inlineStr">
        <is>
          <t>TF01</t>
        </is>
      </c>
      <c r="I1182" s="56" t="inlineStr">
        <is>
          <t>4318</t>
        </is>
      </c>
      <c r="J1182" s="56" t="n"/>
      <c r="K1182" s="56" t="n"/>
      <c r="L1182" s="56" t="n"/>
      <c r="M1182" s="56" t="n"/>
      <c r="N1182" s="56" t="inlineStr">
        <is>
          <t>Elkayem Auto Ancillaries ( P ) LTD</t>
        </is>
      </c>
      <c r="O1182" s="56" t="n">
        <v>88</v>
      </c>
      <c r="P1182" s="59" t="inlineStr">
        <is>
          <t>61-90</t>
        </is>
      </c>
      <c r="Q1182" s="56" t="inlineStr">
        <is>
          <t>Diwakar</t>
        </is>
      </c>
      <c r="U1182" s="586" t="n">
        <v>111116372</v>
      </c>
      <c r="V1182" t="n">
        <v>40</v>
      </c>
      <c r="W1182" t="n">
        <v>20</v>
      </c>
      <c r="X1182" t="n">
        <v>1.2</v>
      </c>
      <c r="Y1182" t="n">
        <v>6.31</v>
      </c>
      <c r="Z1182" t="inlineStr">
        <is>
          <t>CRFH</t>
        </is>
      </c>
      <c r="AA1182" t="inlineStr">
        <is>
          <t>PE</t>
        </is>
      </c>
      <c r="AB1182" t="inlineStr">
        <is>
          <t>AW</t>
        </is>
      </c>
      <c r="AC1182" t="inlineStr">
        <is>
          <t>40-20-1.2-CRFH-PE</t>
        </is>
      </c>
      <c r="AD1182" t="inlineStr">
        <is>
          <t>LL</t>
        </is>
      </c>
      <c r="AE1182" t="inlineStr">
        <is>
          <t>40-20-1.2-CRFH-PE-1</t>
        </is>
      </c>
      <c r="AF1182" t="n">
        <v>1.094332375374373</v>
      </c>
    </row>
    <row r="1183">
      <c r="A1183" s="56" t="n">
        <v>3500083</v>
      </c>
      <c r="B1183" s="56" t="inlineStr">
        <is>
          <t>TUB-O-N-AUT-AW-PE-34.93X2.00X6.000-ERW 1</t>
        </is>
      </c>
      <c r="C1183" s="56" t="inlineStr">
        <is>
          <t>4A05C20140</t>
        </is>
      </c>
      <c r="D1183" s="56" t="n"/>
      <c r="E1183" s="57" t="n">
        <v>2064.972</v>
      </c>
      <c r="F1183" s="57" t="n">
        <v>2.064972</v>
      </c>
      <c r="G1183" s="56" t="inlineStr">
        <is>
          <t>KG</t>
        </is>
      </c>
      <c r="H1183" s="56" t="inlineStr">
        <is>
          <t>TF01</t>
        </is>
      </c>
      <c r="I1183" s="56" t="inlineStr">
        <is>
          <t>4318</t>
        </is>
      </c>
      <c r="J1183" s="56" t="n"/>
      <c r="K1183" s="56" t="n"/>
      <c r="L1183" s="56" t="n"/>
      <c r="M1183" s="56" t="n"/>
      <c r="N1183" s="56" t="inlineStr">
        <is>
          <t>Elkayem Auto Ancillaries ( P ) LTD</t>
        </is>
      </c>
      <c r="O1183" s="56" t="n">
        <v>91</v>
      </c>
      <c r="P1183" s="59" t="inlineStr">
        <is>
          <t>ABOVE 90</t>
        </is>
      </c>
      <c r="Q1183" s="56" t="inlineStr">
        <is>
          <t>Diwakar</t>
        </is>
      </c>
      <c r="U1183" s="585" t="n">
        <v>3233559</v>
      </c>
      <c r="V1183" t="n">
        <v>40</v>
      </c>
      <c r="W1183" t="n">
        <v>20</v>
      </c>
      <c r="X1183" t="n">
        <v>1.21</v>
      </c>
      <c r="Y1183" t="n">
        <v>0.12</v>
      </c>
      <c r="Z1183" t="inlineStr">
        <is>
          <t>CRFH</t>
        </is>
      </c>
      <c r="AA1183" t="inlineStr">
        <is>
          <t>PE</t>
        </is>
      </c>
      <c r="AB1183" t="inlineStr">
        <is>
          <t>AW</t>
        </is>
      </c>
      <c r="AC1183" t="inlineStr">
        <is>
          <t>40-20-1.2-CRFH-PE</t>
        </is>
      </c>
      <c r="AD1183" t="inlineStr">
        <is>
          <t>CTL</t>
        </is>
      </c>
      <c r="AE1183" t="inlineStr">
        <is>
          <t>40-20-1.2-CRFH-PE-0.12</t>
        </is>
      </c>
      <c r="AF1183" t="n">
        <v>0.1323784270722991</v>
      </c>
    </row>
    <row r="1184">
      <c r="A1184" s="56" t="n">
        <v>3500083</v>
      </c>
      <c r="B1184" s="56" t="inlineStr">
        <is>
          <t>TUB-O-N-AUT-AW-PE-34.93X2.00X6.000-ERW 1</t>
        </is>
      </c>
      <c r="C1184" s="56" t="inlineStr">
        <is>
          <t>4A05C20130</t>
        </is>
      </c>
      <c r="D1184" s="56" t="n"/>
      <c r="E1184" s="57" t="n">
        <v>2064.972</v>
      </c>
      <c r="F1184" s="57" t="n">
        <v>2.064972</v>
      </c>
      <c r="G1184" s="56" t="inlineStr">
        <is>
          <t>KG</t>
        </is>
      </c>
      <c r="H1184" s="56" t="inlineStr">
        <is>
          <t>TF01</t>
        </is>
      </c>
      <c r="I1184" s="56" t="inlineStr">
        <is>
          <t>4318</t>
        </is>
      </c>
      <c r="J1184" s="56" t="n"/>
      <c r="K1184" s="56" t="n"/>
      <c r="L1184" s="56" t="n"/>
      <c r="M1184" s="56" t="n"/>
      <c r="N1184" s="56" t="inlineStr">
        <is>
          <t>Elkayem Auto Ancillaries ( P ) LTD</t>
        </is>
      </c>
      <c r="O1184" s="56" t="n">
        <v>91</v>
      </c>
      <c r="P1184" s="59" t="inlineStr">
        <is>
          <t>ABOVE 90</t>
        </is>
      </c>
      <c r="Q1184" s="56" t="inlineStr">
        <is>
          <t>Diwakar</t>
        </is>
      </c>
      <c r="U1184" s="585" t="n">
        <v>3233558</v>
      </c>
      <c r="V1184" t="n">
        <v>40</v>
      </c>
      <c r="W1184" t="n">
        <v>20</v>
      </c>
      <c r="X1184" t="n">
        <v>1.21</v>
      </c>
      <c r="Y1184" t="n">
        <v>0.168</v>
      </c>
      <c r="Z1184" t="inlineStr">
        <is>
          <t>CRFH</t>
        </is>
      </c>
      <c r="AA1184" t="inlineStr">
        <is>
          <t>PE</t>
        </is>
      </c>
      <c r="AB1184" t="inlineStr">
        <is>
          <t>AW</t>
        </is>
      </c>
      <c r="AC1184" t="inlineStr">
        <is>
          <t>40-20-1.2-CRFH-PE</t>
        </is>
      </c>
      <c r="AD1184" t="inlineStr">
        <is>
          <t>CTL</t>
        </is>
      </c>
      <c r="AE1184" t="inlineStr">
        <is>
          <t>40-20-1.2-CRFH-PE-0.168</t>
        </is>
      </c>
      <c r="AF1184" t="n">
        <v>0.1853297979012188</v>
      </c>
    </row>
    <row r="1185">
      <c r="A1185" s="56" t="n">
        <v>3500083</v>
      </c>
      <c r="B1185" s="56" t="inlineStr">
        <is>
          <t>TUB-O-N-AUT-AW-PE-34.93X2.00X6.000-ERW 1</t>
        </is>
      </c>
      <c r="C1185" s="56" t="inlineStr">
        <is>
          <t>4A05C20110</t>
        </is>
      </c>
      <c r="D1185" s="56" t="n"/>
      <c r="E1185" s="57" t="n">
        <v>2064.972</v>
      </c>
      <c r="F1185" s="57" t="n">
        <v>2.064972</v>
      </c>
      <c r="G1185" s="56" t="inlineStr">
        <is>
          <t>KG</t>
        </is>
      </c>
      <c r="H1185" s="56" t="inlineStr">
        <is>
          <t>TF01</t>
        </is>
      </c>
      <c r="I1185" s="56" t="inlineStr">
        <is>
          <t>4318</t>
        </is>
      </c>
      <c r="J1185" s="56" t="n"/>
      <c r="K1185" s="56" t="n"/>
      <c r="L1185" s="56" t="n"/>
      <c r="M1185" s="56" t="n"/>
      <c r="N1185" s="56" t="inlineStr">
        <is>
          <t>Elkayem Auto Ancillaries ( P ) LTD</t>
        </is>
      </c>
      <c r="O1185" s="56" t="n">
        <v>91</v>
      </c>
      <c r="P1185" s="59" t="inlineStr">
        <is>
          <t>ABOVE 90</t>
        </is>
      </c>
      <c r="Q1185" s="56" t="inlineStr">
        <is>
          <t>Diwakar</t>
        </is>
      </c>
      <c r="U1185" s="585" t="n">
        <v>1940794</v>
      </c>
      <c r="V1185" t="n">
        <v>40</v>
      </c>
      <c r="W1185" t="n">
        <v>20</v>
      </c>
      <c r="X1185" t="n">
        <v>1.21</v>
      </c>
      <c r="Y1185" t="n">
        <v>0.33</v>
      </c>
      <c r="Z1185" t="inlineStr">
        <is>
          <t>CRFH</t>
        </is>
      </c>
      <c r="AA1185" t="inlineStr">
        <is>
          <t>PE</t>
        </is>
      </c>
      <c r="AB1185" t="inlineStr">
        <is>
          <t>AW</t>
        </is>
      </c>
      <c r="AC1185" t="inlineStr">
        <is>
          <t>40-20-1.2-CRFH-PE</t>
        </is>
      </c>
      <c r="AD1185" t="inlineStr">
        <is>
          <t>CTL</t>
        </is>
      </c>
      <c r="AE1185" t="inlineStr">
        <is>
          <t>40-20-1.2-CRFH-PE-0.33</t>
        </is>
      </c>
      <c r="AF1185" t="n">
        <v>0.3640406744488227</v>
      </c>
    </row>
    <row r="1186">
      <c r="A1186" s="56" t="n">
        <v>3500083</v>
      </c>
      <c r="B1186" s="56" t="inlineStr">
        <is>
          <t>TUB-O-N-AUT-AW-PE-34.93X2.00X6.000-ERW 1</t>
        </is>
      </c>
      <c r="C1186" s="56" t="inlineStr">
        <is>
          <t>4A05C20100</t>
        </is>
      </c>
      <c r="D1186" s="56" t="n"/>
      <c r="E1186" s="57" t="n">
        <v>2064.972</v>
      </c>
      <c r="F1186" s="57" t="n">
        <v>2.064972</v>
      </c>
      <c r="G1186" s="56" t="inlineStr">
        <is>
          <t>KG</t>
        </is>
      </c>
      <c r="H1186" s="56" t="inlineStr">
        <is>
          <t>TF01</t>
        </is>
      </c>
      <c r="I1186" s="56" t="inlineStr">
        <is>
          <t>4318</t>
        </is>
      </c>
      <c r="J1186" s="56" t="n"/>
      <c r="K1186" s="56" t="n"/>
      <c r="L1186" s="56" t="n"/>
      <c r="M1186" s="56" t="n"/>
      <c r="N1186" s="56" t="inlineStr">
        <is>
          <t>Elkayem Auto Ancillaries ( P ) LTD</t>
        </is>
      </c>
      <c r="O1186" s="56" t="n">
        <v>91</v>
      </c>
      <c r="P1186" s="59" t="inlineStr">
        <is>
          <t>ABOVE 90</t>
        </is>
      </c>
      <c r="Q1186" s="56" t="inlineStr">
        <is>
          <t>Diwakar</t>
        </is>
      </c>
      <c r="U1186" s="585" t="n">
        <v>3233557</v>
      </c>
      <c r="V1186" t="n">
        <v>40</v>
      </c>
      <c r="W1186" t="n">
        <v>20</v>
      </c>
      <c r="X1186" t="n">
        <v>1.21</v>
      </c>
      <c r="Y1186" t="n">
        <v>0.8</v>
      </c>
      <c r="Z1186" t="inlineStr">
        <is>
          <t>CRFH</t>
        </is>
      </c>
      <c r="AA1186" t="inlineStr">
        <is>
          <t>PE</t>
        </is>
      </c>
      <c r="AB1186" t="inlineStr">
        <is>
          <t>AW</t>
        </is>
      </c>
      <c r="AC1186" t="inlineStr">
        <is>
          <t>40-20-1.2-CRFH-PE</t>
        </is>
      </c>
      <c r="AD1186" t="inlineStr">
        <is>
          <t>CTL</t>
        </is>
      </c>
      <c r="AE1186" t="inlineStr">
        <is>
          <t>40-20-1.2-CRFH-PE-0.8</t>
        </is>
      </c>
      <c r="AF1186" t="n">
        <v>0.8825228471486609</v>
      </c>
    </row>
    <row r="1187">
      <c r="A1187" s="56" t="n">
        <v>3500083</v>
      </c>
      <c r="B1187" s="56" t="inlineStr">
        <is>
          <t>TUB-O-N-AUT-AW-PE-34.93X2.00X6.000-ERW 1</t>
        </is>
      </c>
      <c r="C1187" s="56" t="inlineStr">
        <is>
          <t>4A05C20090</t>
        </is>
      </c>
      <c r="D1187" s="56" t="n"/>
      <c r="E1187" s="57" t="n">
        <v>2045.94</v>
      </c>
      <c r="F1187" s="57" t="n">
        <v>2.04594</v>
      </c>
      <c r="G1187" s="56" t="inlineStr">
        <is>
          <t>KG</t>
        </is>
      </c>
      <c r="H1187" s="56" t="inlineStr">
        <is>
          <t>TF01</t>
        </is>
      </c>
      <c r="I1187" s="56" t="inlineStr">
        <is>
          <t>4318</t>
        </is>
      </c>
      <c r="J1187" s="56" t="n"/>
      <c r="K1187" s="56" t="n"/>
      <c r="L1187" s="56" t="n"/>
      <c r="M1187" s="56" t="n"/>
      <c r="N1187" s="56" t="inlineStr">
        <is>
          <t>Elkayem Auto Ancillaries ( P ) LTD</t>
        </is>
      </c>
      <c r="O1187" s="56" t="n">
        <v>91</v>
      </c>
      <c r="P1187" s="59" t="inlineStr">
        <is>
          <t>ABOVE 90</t>
        </is>
      </c>
      <c r="Q1187" s="56" t="inlineStr">
        <is>
          <t>Diwakar</t>
        </is>
      </c>
      <c r="U1187" s="585" t="n">
        <v>1940795</v>
      </c>
      <c r="V1187" t="n">
        <v>40</v>
      </c>
      <c r="W1187" t="n">
        <v>20</v>
      </c>
      <c r="X1187" t="n">
        <v>1.21</v>
      </c>
      <c r="Y1187" t="n">
        <v>0.827</v>
      </c>
      <c r="Z1187" t="inlineStr">
        <is>
          <t>CRFH</t>
        </is>
      </c>
      <c r="AA1187" t="inlineStr">
        <is>
          <t>PE</t>
        </is>
      </c>
      <c r="AB1187" t="inlineStr">
        <is>
          <t>AW</t>
        </is>
      </c>
      <c r="AC1187" t="inlineStr">
        <is>
          <t>40-20-1.2-CRFH-PE</t>
        </is>
      </c>
      <c r="AD1187" t="inlineStr">
        <is>
          <t>CTL</t>
        </is>
      </c>
      <c r="AE1187" t="inlineStr">
        <is>
          <t>40-20-1.2-CRFH-PE-0.827</t>
        </is>
      </c>
      <c r="AF1187" t="n">
        <v>0.9123079932399282</v>
      </c>
    </row>
    <row r="1188">
      <c r="A1188" s="56" t="n">
        <v>3500083</v>
      </c>
      <c r="B1188" s="56" t="inlineStr">
        <is>
          <t>TUB-O-N-AUT-AW-PE-34.93X2.00X6.000-ERW 1</t>
        </is>
      </c>
      <c r="C1188" s="56" t="inlineStr">
        <is>
          <t>4A05C20080</t>
        </is>
      </c>
      <c r="D1188" s="56" t="n"/>
      <c r="E1188" s="57" t="n">
        <v>2064.972</v>
      </c>
      <c r="F1188" s="57" t="n">
        <v>2.064972</v>
      </c>
      <c r="G1188" s="56" t="inlineStr">
        <is>
          <t>KG</t>
        </is>
      </c>
      <c r="H1188" s="56" t="inlineStr">
        <is>
          <t>TF01</t>
        </is>
      </c>
      <c r="I1188" s="56" t="inlineStr">
        <is>
          <t>4318</t>
        </is>
      </c>
      <c r="J1188" s="56" t="n"/>
      <c r="K1188" s="56" t="n"/>
      <c r="L1188" s="56" t="n"/>
      <c r="M1188" s="56" t="n"/>
      <c r="N1188" s="56" t="inlineStr">
        <is>
          <t>Elkayem Auto Ancillaries ( P ) LTD</t>
        </is>
      </c>
      <c r="O1188" s="56" t="n">
        <v>88</v>
      </c>
      <c r="P1188" s="59" t="inlineStr">
        <is>
          <t>61-90</t>
        </is>
      </c>
      <c r="Q1188" s="56" t="inlineStr">
        <is>
          <t>Diwakar</t>
        </is>
      </c>
      <c r="U1188" s="585" t="n">
        <v>1940796</v>
      </c>
      <c r="V1188" t="n">
        <v>40</v>
      </c>
      <c r="W1188" t="n">
        <v>20</v>
      </c>
      <c r="X1188" t="n">
        <v>1.21</v>
      </c>
      <c r="Y1188" t="n">
        <v>0.85</v>
      </c>
      <c r="Z1188" t="inlineStr">
        <is>
          <t>CRFH</t>
        </is>
      </c>
      <c r="AA1188" t="inlineStr">
        <is>
          <t>PE</t>
        </is>
      </c>
      <c r="AB1188" t="inlineStr">
        <is>
          <t>AW</t>
        </is>
      </c>
      <c r="AC1188" t="inlineStr">
        <is>
          <t>40-20-1.2-CRFH-PE</t>
        </is>
      </c>
      <c r="AD1188" t="inlineStr">
        <is>
          <t>CTL</t>
        </is>
      </c>
      <c r="AE1188" t="inlineStr">
        <is>
          <t>40-20-1.2-CRFH-PE-0.85</t>
        </is>
      </c>
      <c r="AF1188" t="n">
        <v>0.9376805250954522</v>
      </c>
    </row>
    <row r="1189">
      <c r="A1189" s="56" t="n">
        <v>3500083</v>
      </c>
      <c r="B1189" s="56" t="inlineStr">
        <is>
          <t>TUB-O-N-AUT-AW-PE-34.93X2.00X6.000-ERW 1</t>
        </is>
      </c>
      <c r="C1189" s="56" t="inlineStr">
        <is>
          <t>4A05C20070</t>
        </is>
      </c>
      <c r="D1189" s="56" t="n"/>
      <c r="E1189" s="57" t="n">
        <v>2055.456</v>
      </c>
      <c r="F1189" s="57" t="n">
        <v>2.055456</v>
      </c>
      <c r="G1189" s="56" t="inlineStr">
        <is>
          <t>KG</t>
        </is>
      </c>
      <c r="H1189" s="56" t="inlineStr">
        <is>
          <t>TF01</t>
        </is>
      </c>
      <c r="I1189" s="56" t="inlineStr">
        <is>
          <t>4318</t>
        </is>
      </c>
      <c r="J1189" s="56" t="n"/>
      <c r="K1189" s="56" t="n"/>
      <c r="L1189" s="56" t="n"/>
      <c r="M1189" s="56" t="n"/>
      <c r="N1189" s="56" t="inlineStr">
        <is>
          <t>Elkayem Auto Ancillaries ( P ) LTD</t>
        </is>
      </c>
      <c r="O1189" s="56" t="n">
        <v>88</v>
      </c>
      <c r="P1189" s="59" t="inlineStr">
        <is>
          <t>61-90</t>
        </is>
      </c>
      <c r="Q1189" s="56" t="inlineStr">
        <is>
          <t>Diwakar</t>
        </is>
      </c>
      <c r="U1189" s="555" t="n">
        <v>3233556</v>
      </c>
      <c r="V1189" t="n">
        <v>40</v>
      </c>
      <c r="W1189" t="n">
        <v>20</v>
      </c>
      <c r="X1189" t="n">
        <v>1.21</v>
      </c>
      <c r="Y1189" t="n">
        <v>0.9399999999999999</v>
      </c>
      <c r="Z1189" t="inlineStr">
        <is>
          <t>CRFH</t>
        </is>
      </c>
      <c r="AA1189" t="inlineStr">
        <is>
          <t>PE</t>
        </is>
      </c>
      <c r="AB1189" t="inlineStr">
        <is>
          <t>AW</t>
        </is>
      </c>
      <c r="AC1189" t="inlineStr">
        <is>
          <t>40-20-1.2-CRFH-PE</t>
        </is>
      </c>
      <c r="AD1189" t="inlineStr">
        <is>
          <t>CTL</t>
        </is>
      </c>
      <c r="AE1189" t="inlineStr">
        <is>
          <t>40-20-1.2-CRFH-PE-0.94</t>
        </is>
      </c>
      <c r="AF1189" t="n">
        <v>1.036964345399676</v>
      </c>
    </row>
    <row r="1190">
      <c r="A1190" s="56" t="n">
        <v>3500083</v>
      </c>
      <c r="B1190" s="56" t="inlineStr">
        <is>
          <t>TUB-O-N-AUT-AW-PE-34.93X2.00X6.000-ERW 1</t>
        </is>
      </c>
      <c r="C1190" s="56" t="inlineStr">
        <is>
          <t>4A05C20060</t>
        </is>
      </c>
      <c r="D1190" s="56" t="n"/>
      <c r="E1190" s="57" t="n">
        <v>2084.004</v>
      </c>
      <c r="F1190" s="57" t="n">
        <v>2.084004</v>
      </c>
      <c r="G1190" s="56" t="inlineStr">
        <is>
          <t>KG</t>
        </is>
      </c>
      <c r="H1190" s="56" t="inlineStr">
        <is>
          <t>TF01</t>
        </is>
      </c>
      <c r="I1190" s="56" t="inlineStr">
        <is>
          <t>4318</t>
        </is>
      </c>
      <c r="J1190" s="56" t="n"/>
      <c r="K1190" s="56" t="n"/>
      <c r="L1190" s="56" t="n"/>
      <c r="M1190" s="56" t="n"/>
      <c r="N1190" s="56" t="inlineStr">
        <is>
          <t>Elkayem Auto Ancillaries ( P ) LTD</t>
        </is>
      </c>
      <c r="O1190" s="56" t="n">
        <v>88</v>
      </c>
      <c r="P1190" s="59" t="inlineStr">
        <is>
          <t>61-90</t>
        </is>
      </c>
      <c r="Q1190" s="56" t="inlineStr">
        <is>
          <t>Diwakar</t>
        </is>
      </c>
      <c r="U1190" s="555" t="n">
        <v>3233555</v>
      </c>
      <c r="V1190" t="n">
        <v>40</v>
      </c>
      <c r="W1190" t="n">
        <v>20</v>
      </c>
      <c r="X1190" t="n">
        <v>1.21</v>
      </c>
      <c r="Y1190" t="n">
        <v>1.12</v>
      </c>
      <c r="Z1190" t="inlineStr">
        <is>
          <t>CRFH</t>
        </is>
      </c>
      <c r="AA1190" t="inlineStr">
        <is>
          <t>PE</t>
        </is>
      </c>
      <c r="AB1190" t="inlineStr">
        <is>
          <t>AW</t>
        </is>
      </c>
      <c r="AC1190" t="inlineStr">
        <is>
          <t>40-20-1.2-CRFH-PE</t>
        </is>
      </c>
      <c r="AD1190" t="inlineStr">
        <is>
          <t>CTL</t>
        </is>
      </c>
      <c r="AE1190" t="inlineStr">
        <is>
          <t>40-20-1.2-CRFH-PE-1.12</t>
        </is>
      </c>
      <c r="AF1190" t="n">
        <v>1.235531986008125</v>
      </c>
    </row>
    <row r="1191">
      <c r="A1191" s="56" t="n">
        <v>3500083</v>
      </c>
      <c r="B1191" s="56" t="inlineStr">
        <is>
          <t>TUB-O-N-AUT-AW-PE-34.93X2.00X6.000-ERW 1</t>
        </is>
      </c>
      <c r="C1191" s="56" t="inlineStr">
        <is>
          <t>4A05C20050</t>
        </is>
      </c>
      <c r="D1191" s="56" t="n"/>
      <c r="E1191" s="57" t="n">
        <v>2064.972</v>
      </c>
      <c r="F1191" s="57" t="n">
        <v>2.064972</v>
      </c>
      <c r="G1191" s="56" t="inlineStr">
        <is>
          <t>KG</t>
        </is>
      </c>
      <c r="H1191" s="56" t="inlineStr">
        <is>
          <t>TF01</t>
        </is>
      </c>
      <c r="I1191" s="56" t="inlineStr">
        <is>
          <t>4318</t>
        </is>
      </c>
      <c r="J1191" s="56" t="n"/>
      <c r="K1191" s="56" t="n"/>
      <c r="L1191" s="56" t="n"/>
      <c r="M1191" s="56" t="n"/>
      <c r="N1191" s="56" t="inlineStr">
        <is>
          <t>Elkayem Auto Ancillaries ( P ) LTD</t>
        </is>
      </c>
      <c r="O1191" s="56" t="n">
        <v>88</v>
      </c>
      <c r="P1191" s="59" t="inlineStr">
        <is>
          <t>61-90</t>
        </is>
      </c>
      <c r="Q1191" s="56" t="inlineStr">
        <is>
          <t>Diwakar</t>
        </is>
      </c>
      <c r="U1191" s="555" t="n">
        <v>3233554</v>
      </c>
      <c r="V1191" t="n">
        <v>40</v>
      </c>
      <c r="W1191" t="n">
        <v>20</v>
      </c>
      <c r="X1191" t="n">
        <v>1.21</v>
      </c>
      <c r="Y1191" t="n">
        <v>1.246</v>
      </c>
      <c r="Z1191" t="inlineStr">
        <is>
          <t>CRFH</t>
        </is>
      </c>
      <c r="AA1191" t="inlineStr">
        <is>
          <t>PE</t>
        </is>
      </c>
      <c r="AB1191" t="inlineStr">
        <is>
          <t>AW</t>
        </is>
      </c>
      <c r="AC1191" t="inlineStr">
        <is>
          <t>40-20-1.2-CRFH-PE</t>
        </is>
      </c>
      <c r="AD1191" t="inlineStr">
        <is>
          <t>CTL</t>
        </is>
      </c>
      <c r="AE1191" t="inlineStr">
        <is>
          <t>40-20-1.2-CRFH-PE-1.246</t>
        </is>
      </c>
      <c r="AF1191" t="n">
        <v>1.374529334434039</v>
      </c>
    </row>
    <row r="1192">
      <c r="A1192" s="56" t="n">
        <v>3500083</v>
      </c>
      <c r="B1192" s="56" t="inlineStr">
        <is>
          <t>TUB-O-N-AUT-AW-PE-34.93X2.00X6.000-ERW 1</t>
        </is>
      </c>
      <c r="C1192" s="56" t="inlineStr">
        <is>
          <t>4A05C20040</t>
        </is>
      </c>
      <c r="D1192" s="56" t="n"/>
      <c r="E1192" s="57" t="n">
        <v>1414.972</v>
      </c>
      <c r="F1192" s="57" t="n">
        <v>1.414972</v>
      </c>
      <c r="G1192" s="56" t="inlineStr">
        <is>
          <t>KG</t>
        </is>
      </c>
      <c r="H1192" s="56" t="inlineStr">
        <is>
          <t>TF01</t>
        </is>
      </c>
      <c r="I1192" s="56" t="inlineStr">
        <is>
          <t>4318</t>
        </is>
      </c>
      <c r="J1192" s="56" t="n"/>
      <c r="K1192" s="56" t="n"/>
      <c r="L1192" s="56" t="n"/>
      <c r="M1192" s="56" t="n"/>
      <c r="N1192" s="56" t="inlineStr">
        <is>
          <t>Elkayem Auto Ancillaries ( P ) LTD</t>
        </is>
      </c>
      <c r="O1192" s="56" t="n">
        <v>70</v>
      </c>
      <c r="P1192" s="59" t="inlineStr">
        <is>
          <t>61-90</t>
        </is>
      </c>
      <c r="Q1192" s="56" t="inlineStr">
        <is>
          <t>Diwakar</t>
        </is>
      </c>
      <c r="U1192" s="585" t="n">
        <v>3233553</v>
      </c>
      <c r="V1192" t="n">
        <v>40</v>
      </c>
      <c r="W1192" t="n">
        <v>20</v>
      </c>
      <c r="X1192" t="n">
        <v>1.21</v>
      </c>
      <c r="Y1192" t="n">
        <v>1.298</v>
      </c>
      <c r="Z1192" t="inlineStr">
        <is>
          <t>CRFH</t>
        </is>
      </c>
      <c r="AA1192" t="inlineStr">
        <is>
          <t>PE</t>
        </is>
      </c>
      <c r="AB1192" t="inlineStr">
        <is>
          <t>AW</t>
        </is>
      </c>
      <c r="AC1192" t="inlineStr">
        <is>
          <t>40-20-1.2-CRFH-PE</t>
        </is>
      </c>
      <c r="AD1192" t="inlineStr">
        <is>
          <t>CTL</t>
        </is>
      </c>
      <c r="AE1192" t="inlineStr">
        <is>
          <t>40-20-1.2-CRFH-PE-1.298</t>
        </is>
      </c>
      <c r="AF1192" t="n">
        <v>1.431893319498702</v>
      </c>
    </row>
    <row r="1193">
      <c r="A1193" s="56" t="n">
        <v>3500083</v>
      </c>
      <c r="B1193" s="56" t="inlineStr">
        <is>
          <t>TUB-O-N-AUT-AW-PE-34.93X2.00X6.000-ERW 1</t>
        </is>
      </c>
      <c r="C1193" s="56" t="inlineStr">
        <is>
          <t>4A05C20030</t>
        </is>
      </c>
      <c r="D1193" s="56" t="n"/>
      <c r="E1193" s="57" t="n">
        <v>2064.972</v>
      </c>
      <c r="F1193" s="57" t="n">
        <v>2.064972</v>
      </c>
      <c r="G1193" s="56" t="inlineStr">
        <is>
          <t>KG</t>
        </is>
      </c>
      <c r="H1193" s="56" t="inlineStr">
        <is>
          <t>TF01</t>
        </is>
      </c>
      <c r="I1193" s="56" t="inlineStr">
        <is>
          <t>4318</t>
        </is>
      </c>
      <c r="J1193" s="56" t="n"/>
      <c r="K1193" s="56" t="n"/>
      <c r="L1193" s="56" t="n"/>
      <c r="M1193" s="56" t="n"/>
      <c r="N1193" s="56" t="inlineStr">
        <is>
          <t>Elkayem Auto Ancillaries ( P ) LTD</t>
        </is>
      </c>
      <c r="O1193" s="56" t="n">
        <v>88</v>
      </c>
      <c r="P1193" s="59" t="inlineStr">
        <is>
          <t>61-90</t>
        </is>
      </c>
      <c r="Q1193" s="56" t="inlineStr">
        <is>
          <t>Diwakar</t>
        </is>
      </c>
      <c r="U1193" s="585" t="n">
        <v>1940801</v>
      </c>
      <c r="V1193" t="n">
        <v>40</v>
      </c>
      <c r="W1193" t="n">
        <v>20</v>
      </c>
      <c r="X1193" t="n">
        <v>1.21</v>
      </c>
      <c r="Y1193" t="n">
        <v>1.31</v>
      </c>
      <c r="Z1193" t="inlineStr">
        <is>
          <t>CRFH</t>
        </is>
      </c>
      <c r="AA1193" t="inlineStr">
        <is>
          <t>PE</t>
        </is>
      </c>
      <c r="AB1193" t="inlineStr">
        <is>
          <t>AW</t>
        </is>
      </c>
      <c r="AC1193" t="inlineStr">
        <is>
          <t>40-20-1.2-CRFH-PE</t>
        </is>
      </c>
      <c r="AD1193" t="inlineStr">
        <is>
          <t>CTL</t>
        </is>
      </c>
      <c r="AE1193" t="inlineStr">
        <is>
          <t>40-20-1.2-CRFH-PE-1.31</t>
        </is>
      </c>
      <c r="AF1193" t="n">
        <v>1.445131162205932</v>
      </c>
    </row>
    <row r="1194">
      <c r="A1194" s="56" t="n">
        <v>3500083</v>
      </c>
      <c r="B1194" s="56" t="inlineStr">
        <is>
          <t>TUB-O-N-AUT-AW-PE-34.93X2.00X6.000-ERW 1</t>
        </is>
      </c>
      <c r="C1194" s="56" t="inlineStr">
        <is>
          <t>4A05C20020</t>
        </is>
      </c>
      <c r="D1194" s="56" t="n"/>
      <c r="E1194" s="57" t="n">
        <v>2064.972</v>
      </c>
      <c r="F1194" s="57" t="n">
        <v>2.064972</v>
      </c>
      <c r="G1194" s="56" t="inlineStr">
        <is>
          <t>KG</t>
        </is>
      </c>
      <c r="H1194" s="56" t="inlineStr">
        <is>
          <t>TF01</t>
        </is>
      </c>
      <c r="I1194" s="56" t="inlineStr">
        <is>
          <t>4318</t>
        </is>
      </c>
      <c r="J1194" s="56" t="n"/>
      <c r="K1194" s="56" t="n"/>
      <c r="L1194" s="56" t="n"/>
      <c r="M1194" s="56" t="n"/>
      <c r="N1194" s="56" t="inlineStr">
        <is>
          <t>Elkayem Auto Ancillaries ( P ) LTD</t>
        </is>
      </c>
      <c r="O1194" s="56" t="n">
        <v>91</v>
      </c>
      <c r="P1194" s="59" t="inlineStr">
        <is>
          <t>ABOVE 90</t>
        </is>
      </c>
      <c r="Q1194" s="56" t="inlineStr">
        <is>
          <t>Diwakar</t>
        </is>
      </c>
      <c r="U1194" s="586" t="n">
        <v>110102927</v>
      </c>
      <c r="V1194" t="n">
        <v>40</v>
      </c>
      <c r="W1194" t="n">
        <v>20</v>
      </c>
      <c r="X1194" t="n">
        <v>1.21</v>
      </c>
      <c r="Y1194" t="n">
        <v>5.31</v>
      </c>
      <c r="Z1194" t="inlineStr">
        <is>
          <t>CRFH</t>
        </is>
      </c>
      <c r="AA1194" t="inlineStr">
        <is>
          <t>PE</t>
        </is>
      </c>
      <c r="AB1194" t="inlineStr">
        <is>
          <t>AW</t>
        </is>
      </c>
      <c r="AC1194" t="inlineStr">
        <is>
          <t>40-20-1.2-CRFH-PE</t>
        </is>
      </c>
      <c r="AD1194" t="inlineStr">
        <is>
          <t>LL</t>
        </is>
      </c>
      <c r="AE1194" t="inlineStr">
        <is>
          <t>40-20-1.2-CRFH-PE-1</t>
        </is>
      </c>
      <c r="AF1194" t="n">
        <v>1.103153558935826</v>
      </c>
    </row>
    <row r="1195">
      <c r="A1195" s="56" t="n">
        <v>3500083</v>
      </c>
      <c r="B1195" s="56" t="inlineStr">
        <is>
          <t>TUB-O-N-AUT-AW-PE-34.93X2.00X6.000-ERW 1</t>
        </is>
      </c>
      <c r="C1195" s="56" t="inlineStr">
        <is>
          <t>4A05C20010</t>
        </is>
      </c>
      <c r="D1195" s="56" t="n"/>
      <c r="E1195" s="57" t="n">
        <v>2064.972</v>
      </c>
      <c r="F1195" s="57" t="n">
        <v>2.064972</v>
      </c>
      <c r="G1195" s="56" t="inlineStr">
        <is>
          <t>KG</t>
        </is>
      </c>
      <c r="H1195" s="56" t="inlineStr">
        <is>
          <t>TF01</t>
        </is>
      </c>
      <c r="I1195" s="56" t="inlineStr">
        <is>
          <t>4318</t>
        </is>
      </c>
      <c r="J1195" s="56" t="n"/>
      <c r="K1195" s="56" t="n"/>
      <c r="L1195" s="56" t="n"/>
      <c r="M1195" s="56" t="n"/>
      <c r="N1195" s="56" t="inlineStr">
        <is>
          <t>Elkayem Auto Ancillaries ( P ) LTD</t>
        </is>
      </c>
      <c r="O1195" s="56" t="n">
        <v>88</v>
      </c>
      <c r="P1195" s="59" t="inlineStr">
        <is>
          <t>61-90</t>
        </is>
      </c>
      <c r="Q1195" s="56" t="inlineStr">
        <is>
          <t>Diwakar</t>
        </is>
      </c>
      <c r="U1195" s="587" t="n">
        <v>3731692</v>
      </c>
      <c r="V1195" t="n">
        <v>40</v>
      </c>
      <c r="W1195" t="n">
        <v>20</v>
      </c>
      <c r="X1195" t="n">
        <v>1.21</v>
      </c>
      <c r="Y1195" t="n">
        <v>5.31</v>
      </c>
      <c r="Z1195" t="inlineStr">
        <is>
          <t>CRFH</t>
        </is>
      </c>
      <c r="AA1195" t="inlineStr">
        <is>
          <t>PE</t>
        </is>
      </c>
      <c r="AB1195" t="inlineStr">
        <is>
          <t>AW</t>
        </is>
      </c>
      <c r="AC1195" t="inlineStr">
        <is>
          <t>40-20-1.2-CRFH-PE</t>
        </is>
      </c>
      <c r="AD1195" t="inlineStr">
        <is>
          <t>LL</t>
        </is>
      </c>
      <c r="AE1195" t="inlineStr">
        <is>
          <t>40-20-1.2-CRFH-PE-1</t>
        </is>
      </c>
      <c r="AF1195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196">
      <c r="A1196" s="56" t="n">
        <v>3500083</v>
      </c>
      <c r="B1196" s="56" t="inlineStr">
        <is>
          <t>TUB-O-N-AUT-AW-PE-34.93X2.00X6.000-ERW 1</t>
        </is>
      </c>
      <c r="C1196" s="56" t="inlineStr">
        <is>
          <t>4A05B20110</t>
        </is>
      </c>
      <c r="D1196" s="56" t="n"/>
      <c r="E1196" s="57" t="n">
        <v>2064.972</v>
      </c>
      <c r="F1196" s="57" t="n">
        <v>2.064972</v>
      </c>
      <c r="G1196" s="56" t="inlineStr">
        <is>
          <t>KG</t>
        </is>
      </c>
      <c r="H1196" s="56" t="inlineStr">
        <is>
          <t>TF01</t>
        </is>
      </c>
      <c r="I1196" s="56" t="inlineStr">
        <is>
          <t>4318</t>
        </is>
      </c>
      <c r="J1196" s="56" t="n"/>
      <c r="K1196" s="56" t="n"/>
      <c r="L1196" s="56" t="n"/>
      <c r="M1196" s="56" t="n"/>
      <c r="N1196" s="56" t="inlineStr">
        <is>
          <t>Elkayem Auto Ancillaries ( P ) LTD</t>
        </is>
      </c>
      <c r="O1196" s="56" t="n">
        <v>88</v>
      </c>
      <c r="P1196" s="59" t="inlineStr">
        <is>
          <t>61-90</t>
        </is>
      </c>
      <c r="Q1196" s="56" t="inlineStr">
        <is>
          <t>Diwakar</t>
        </is>
      </c>
      <c r="U1196" s="586" t="n">
        <v>111103595</v>
      </c>
      <c r="V1196" t="n">
        <v>40</v>
      </c>
      <c r="W1196" t="n">
        <v>20</v>
      </c>
      <c r="X1196" t="n">
        <v>1.21</v>
      </c>
      <c r="Y1196" t="n">
        <v>5.47</v>
      </c>
      <c r="Z1196" t="inlineStr">
        <is>
          <t>CRFH</t>
        </is>
      </c>
      <c r="AA1196" t="inlineStr">
        <is>
          <t>PE</t>
        </is>
      </c>
      <c r="AB1196" t="inlineStr">
        <is>
          <t>AW</t>
        </is>
      </c>
      <c r="AC1196" t="inlineStr">
        <is>
          <t>40-20-1.2-CRFH-PE</t>
        </is>
      </c>
      <c r="AD1196" t="inlineStr">
        <is>
          <t>LL</t>
        </is>
      </c>
      <c r="AE1196" t="inlineStr">
        <is>
          <t>40-20-1.2-CRFH-PE-1</t>
        </is>
      </c>
      <c r="AF1196" t="n">
        <v>1.103153558935826</v>
      </c>
    </row>
    <row r="1197">
      <c r="A1197" s="56" t="n">
        <v>3500083</v>
      </c>
      <c r="B1197" s="56" t="inlineStr">
        <is>
          <t>TUB-O-N-AUT-AW-PE-34.93X2.00X6.000-ERW 1</t>
        </is>
      </c>
      <c r="C1197" s="56" t="inlineStr">
        <is>
          <t>4A05B20100</t>
        </is>
      </c>
      <c r="D1197" s="56" t="n"/>
      <c r="E1197" s="57" t="n">
        <v>2055.456</v>
      </c>
      <c r="F1197" s="57" t="n">
        <v>2.055456</v>
      </c>
      <c r="G1197" s="56" t="inlineStr">
        <is>
          <t>KG</t>
        </is>
      </c>
      <c r="H1197" s="56" t="inlineStr">
        <is>
          <t>TF01</t>
        </is>
      </c>
      <c r="I1197" s="56" t="inlineStr">
        <is>
          <t>4318</t>
        </is>
      </c>
      <c r="J1197" s="56" t="n"/>
      <c r="K1197" s="56" t="n"/>
      <c r="L1197" s="56" t="n"/>
      <c r="M1197" s="56" t="n"/>
      <c r="N1197" s="56" t="inlineStr">
        <is>
          <t>Elkayem Auto Ancillaries ( P ) LTD</t>
        </is>
      </c>
      <c r="O1197" s="56" t="n">
        <v>88</v>
      </c>
      <c r="P1197" s="59" t="inlineStr">
        <is>
          <t>61-90</t>
        </is>
      </c>
      <c r="Q1197" s="56" t="inlineStr">
        <is>
          <t>Diwakar</t>
        </is>
      </c>
      <c r="U1197" s="586" t="n">
        <v>110102924</v>
      </c>
      <c r="V1197" t="n">
        <v>40</v>
      </c>
      <c r="W1197" t="n">
        <v>20</v>
      </c>
      <c r="X1197" t="n">
        <v>1.21</v>
      </c>
      <c r="Y1197" t="n">
        <v>5.775</v>
      </c>
      <c r="Z1197" t="inlineStr">
        <is>
          <t>CRFH</t>
        </is>
      </c>
      <c r="AA1197" t="inlineStr">
        <is>
          <t>PE</t>
        </is>
      </c>
      <c r="AB1197" t="inlineStr">
        <is>
          <t>AW</t>
        </is>
      </c>
      <c r="AC1197" t="inlineStr">
        <is>
          <t>40-20-1.2-CRFH-PE</t>
        </is>
      </c>
      <c r="AD1197" t="inlineStr">
        <is>
          <t>LL</t>
        </is>
      </c>
      <c r="AE1197" t="inlineStr">
        <is>
          <t>40-20-1.2-CRFH-PE-1</t>
        </is>
      </c>
      <c r="AF1197" t="n">
        <v>1.103153558935826</v>
      </c>
    </row>
    <row r="1198">
      <c r="A1198" s="56" t="n">
        <v>3500083</v>
      </c>
      <c r="B1198" s="56" t="inlineStr">
        <is>
          <t>TUB-O-N-AUT-AW-PE-34.93X2.00X6.000-ERW 1</t>
        </is>
      </c>
      <c r="C1198" s="56" t="inlineStr">
        <is>
          <t>4A05B20090</t>
        </is>
      </c>
      <c r="D1198" s="56" t="n"/>
      <c r="E1198" s="57" t="n">
        <v>2064.972</v>
      </c>
      <c r="F1198" s="57" t="n">
        <v>2.064972</v>
      </c>
      <c r="G1198" s="56" t="inlineStr">
        <is>
          <t>KG</t>
        </is>
      </c>
      <c r="H1198" s="56" t="inlineStr">
        <is>
          <t>TF01</t>
        </is>
      </c>
      <c r="I1198" s="56" t="inlineStr">
        <is>
          <t>4318</t>
        </is>
      </c>
      <c r="J1198" s="56" t="n"/>
      <c r="K1198" s="56" t="n"/>
      <c r="L1198" s="56" t="n"/>
      <c r="M1198" s="56" t="n"/>
      <c r="N1198" s="56" t="inlineStr">
        <is>
          <t>Elkayem Auto Ancillaries ( P ) LTD</t>
        </is>
      </c>
      <c r="O1198" s="56" t="n">
        <v>88</v>
      </c>
      <c r="P1198" s="59" t="inlineStr">
        <is>
          <t>61-90</t>
        </is>
      </c>
      <c r="Q1198" s="56" t="inlineStr">
        <is>
          <t>Diwakar</t>
        </is>
      </c>
      <c r="U1198" s="585" t="n">
        <v>1940807</v>
      </c>
      <c r="V1198" t="n">
        <v>40</v>
      </c>
      <c r="W1198" t="n">
        <v>20</v>
      </c>
      <c r="X1198" t="n">
        <v>1.21</v>
      </c>
      <c r="Y1198" t="n">
        <v>6</v>
      </c>
      <c r="Z1198" t="inlineStr">
        <is>
          <t>CRFH</t>
        </is>
      </c>
      <c r="AA1198" t="inlineStr">
        <is>
          <t>PE</t>
        </is>
      </c>
      <c r="AB1198" t="inlineStr">
        <is>
          <t>AW</t>
        </is>
      </c>
      <c r="AC1198" t="inlineStr">
        <is>
          <t>40-20-1.2-CRFH-PE</t>
        </is>
      </c>
      <c r="AD1198" t="inlineStr">
        <is>
          <t>LL</t>
        </is>
      </c>
      <c r="AE1198" t="inlineStr">
        <is>
          <t>40-20-1.2-CRFH-PE-1</t>
        </is>
      </c>
      <c r="AF1198" t="n">
        <v>1.103153558935826</v>
      </c>
    </row>
    <row r="1199">
      <c r="A1199" s="56" t="n">
        <v>3500083</v>
      </c>
      <c r="B1199" s="56" t="inlineStr">
        <is>
          <t>TUB-O-N-AUT-AW-PE-34.93X2.00X6.000-ERW 1</t>
        </is>
      </c>
      <c r="C1199" s="56" t="inlineStr">
        <is>
          <t>4A05B20070</t>
        </is>
      </c>
      <c r="D1199" s="56" t="n"/>
      <c r="E1199" s="57" t="n">
        <v>1019.972</v>
      </c>
      <c r="F1199" s="57" t="n">
        <v>1.019972</v>
      </c>
      <c r="G1199" s="56" t="inlineStr">
        <is>
          <t>KG</t>
        </is>
      </c>
      <c r="H1199" s="56" t="inlineStr">
        <is>
          <t>TF01</t>
        </is>
      </c>
      <c r="I1199" s="56" t="inlineStr">
        <is>
          <t>4318</t>
        </is>
      </c>
      <c r="J1199" s="56" t="n"/>
      <c r="K1199" s="56" t="n"/>
      <c r="L1199" s="56" t="n"/>
      <c r="M1199" s="56" t="n"/>
      <c r="N1199" s="56" t="inlineStr">
        <is>
          <t>Elkayem Auto Ancillaries ( P ) LTD</t>
        </is>
      </c>
      <c r="O1199" s="56" t="n">
        <v>70</v>
      </c>
      <c r="P1199" s="59" t="inlineStr">
        <is>
          <t>61-90</t>
        </is>
      </c>
      <c r="Q1199" s="56" t="inlineStr">
        <is>
          <t>Diwakar</t>
        </is>
      </c>
      <c r="U1199" s="586" t="n">
        <v>110102922</v>
      </c>
      <c r="V1199" t="n">
        <v>40</v>
      </c>
      <c r="W1199" t="n">
        <v>20</v>
      </c>
      <c r="X1199" t="n">
        <v>1.21</v>
      </c>
      <c r="Y1199" t="n">
        <v>6.035</v>
      </c>
      <c r="Z1199" t="inlineStr">
        <is>
          <t>CRFH</t>
        </is>
      </c>
      <c r="AA1199" t="inlineStr">
        <is>
          <t>PE</t>
        </is>
      </c>
      <c r="AB1199" t="inlineStr">
        <is>
          <t>AW</t>
        </is>
      </c>
      <c r="AC1199" t="inlineStr">
        <is>
          <t>40-20-1.2-CRFH-PE</t>
        </is>
      </c>
      <c r="AD1199" t="inlineStr">
        <is>
          <t>LL</t>
        </is>
      </c>
      <c r="AE1199" t="inlineStr">
        <is>
          <t>40-20-1.2-CRFH-PE-1</t>
        </is>
      </c>
      <c r="AF1199" t="n">
        <v>1.103153558935826</v>
      </c>
    </row>
    <row r="1200">
      <c r="A1200" s="56" t="n">
        <v>3500083</v>
      </c>
      <c r="B1200" s="56" t="inlineStr">
        <is>
          <t>TUB-O-N-AUT-AW-PE-34.93X2.00X6.000-ERW 1</t>
        </is>
      </c>
      <c r="C1200" s="56" t="inlineStr">
        <is>
          <t>4A05B20060</t>
        </is>
      </c>
      <c r="D1200" s="56" t="n"/>
      <c r="E1200" s="57" t="n">
        <v>2084.004</v>
      </c>
      <c r="F1200" s="57" t="n">
        <v>2.084004</v>
      </c>
      <c r="G1200" s="56" t="inlineStr">
        <is>
          <t>KG</t>
        </is>
      </c>
      <c r="H1200" s="56" t="inlineStr">
        <is>
          <t>TF01</t>
        </is>
      </c>
      <c r="I1200" s="56" t="inlineStr">
        <is>
          <t>4318</t>
        </is>
      </c>
      <c r="J1200" s="56" t="n"/>
      <c r="K1200" s="56" t="n"/>
      <c r="L1200" s="56" t="n"/>
      <c r="M1200" s="56" t="n"/>
      <c r="N1200" s="56" t="inlineStr">
        <is>
          <t>Elkayem Auto Ancillaries ( P ) LTD</t>
        </is>
      </c>
      <c r="O1200" s="56" t="n">
        <v>91</v>
      </c>
      <c r="P1200" s="59" t="inlineStr">
        <is>
          <t>ABOVE 90</t>
        </is>
      </c>
      <c r="Q1200" s="56" t="inlineStr">
        <is>
          <t>Diwakar</t>
        </is>
      </c>
      <c r="U1200" s="586" t="n">
        <v>111001341</v>
      </c>
      <c r="V1200" t="n">
        <v>40</v>
      </c>
      <c r="W1200" t="n">
        <v>20</v>
      </c>
      <c r="X1200" t="n">
        <v>1.21</v>
      </c>
      <c r="Y1200" t="n">
        <v>6.1</v>
      </c>
      <c r="Z1200" t="inlineStr">
        <is>
          <t>D</t>
        </is>
      </c>
      <c r="AA1200" t="inlineStr">
        <is>
          <t>PE</t>
        </is>
      </c>
      <c r="AB1200" t="inlineStr">
        <is>
          <t>AD</t>
        </is>
      </c>
      <c r="AC1200" t="inlineStr">
        <is>
          <t>40-20-1.2-CRFH-PE</t>
        </is>
      </c>
      <c r="AD1200" t="inlineStr">
        <is>
          <t>LL</t>
        </is>
      </c>
      <c r="AE1200" t="inlineStr">
        <is>
          <t>40-20-1.2-CRFH-PE-1</t>
        </is>
      </c>
      <c r="AF1200" t="n">
        <v>1.103153558935826</v>
      </c>
    </row>
    <row r="1201">
      <c r="A1201" s="56" t="n">
        <v>3500083</v>
      </c>
      <c r="B1201" s="56" t="inlineStr">
        <is>
          <t>TUB-O-N-AUT-AW-PE-34.93X2.00X6.000-ERW 1</t>
        </is>
      </c>
      <c r="C1201" s="56" t="inlineStr">
        <is>
          <t>4A05B20040</t>
        </is>
      </c>
      <c r="D1201" s="56" t="n"/>
      <c r="E1201" s="57" t="n">
        <v>2064.972</v>
      </c>
      <c r="F1201" s="57" t="n">
        <v>2.064972</v>
      </c>
      <c r="G1201" s="56" t="inlineStr">
        <is>
          <t>KG</t>
        </is>
      </c>
      <c r="H1201" s="56" t="inlineStr">
        <is>
          <t>TF01</t>
        </is>
      </c>
      <c r="I1201" s="56" t="inlineStr">
        <is>
          <t>4318</t>
        </is>
      </c>
      <c r="J1201" s="56" t="n"/>
      <c r="K1201" s="56" t="n"/>
      <c r="L1201" s="56" t="n"/>
      <c r="M1201" s="56" t="n"/>
      <c r="N1201" s="56" t="inlineStr">
        <is>
          <t>Elkayem Auto Ancillaries ( P ) LTD</t>
        </is>
      </c>
      <c r="O1201" s="56" t="n">
        <v>88</v>
      </c>
      <c r="P1201" s="59" t="inlineStr">
        <is>
          <t>61-90</t>
        </is>
      </c>
      <c r="Q1201" s="56" t="inlineStr">
        <is>
          <t>Diwakar</t>
        </is>
      </c>
      <c r="U1201" s="585" t="n">
        <v>4201127</v>
      </c>
      <c r="V1201" t="n">
        <v>40</v>
      </c>
      <c r="W1201" t="n">
        <v>20</v>
      </c>
      <c r="X1201" t="n">
        <v>1.21</v>
      </c>
      <c r="Y1201" t="n">
        <v>6.1</v>
      </c>
      <c r="Z1201" t="inlineStr">
        <is>
          <t>CRFH</t>
        </is>
      </c>
      <c r="AA1201" t="inlineStr">
        <is>
          <t>PE</t>
        </is>
      </c>
      <c r="AB1201" t="inlineStr">
        <is>
          <t>AW</t>
        </is>
      </c>
      <c r="AC1201" t="inlineStr">
        <is>
          <t>40-20-1.2-CRFH-PE</t>
        </is>
      </c>
      <c r="AD1201" t="inlineStr">
        <is>
          <t>LL</t>
        </is>
      </c>
      <c r="AE1201" t="inlineStr">
        <is>
          <t>40-20-1.2-CRFH-PE-1</t>
        </is>
      </c>
      <c r="AF1201" t="n">
        <v>1.103153558935826</v>
      </c>
    </row>
    <row r="1202">
      <c r="A1202" s="56" t="n">
        <v>3500083</v>
      </c>
      <c r="B1202" s="56" t="inlineStr">
        <is>
          <t>TUB-O-N-AUT-AW-PE-34.93X2.00X6.000-ERW 1</t>
        </is>
      </c>
      <c r="C1202" s="56" t="inlineStr">
        <is>
          <t>4A05B20030</t>
        </is>
      </c>
      <c r="D1202" s="56" t="n"/>
      <c r="E1202" s="57" t="n">
        <v>1537.505</v>
      </c>
      <c r="F1202" s="57" t="n">
        <v>1.537505</v>
      </c>
      <c r="G1202" s="56" t="inlineStr">
        <is>
          <t>KG</t>
        </is>
      </c>
      <c r="H1202" s="56" t="inlineStr">
        <is>
          <t>TF01</t>
        </is>
      </c>
      <c r="I1202" s="56" t="inlineStr">
        <is>
          <t>4318</t>
        </is>
      </c>
      <c r="J1202" s="56" t="n"/>
      <c r="K1202" s="56" t="n"/>
      <c r="L1202" s="56" t="n"/>
      <c r="M1202" s="56" t="n"/>
      <c r="N1202" s="56" t="inlineStr">
        <is>
          <t>Elkayem Auto Ancillaries ( P ) LTD</t>
        </is>
      </c>
      <c r="O1202" s="56" t="n">
        <v>48</v>
      </c>
      <c r="P1202" s="59" t="inlineStr">
        <is>
          <t>31-60</t>
        </is>
      </c>
      <c r="Q1202" s="56" t="inlineStr">
        <is>
          <t>Diwakar</t>
        </is>
      </c>
      <c r="U1202" t="n">
        <v>4100177</v>
      </c>
      <c r="V1202" t="n">
        <v>40</v>
      </c>
      <c r="W1202" t="n">
        <v>20</v>
      </c>
      <c r="X1202" t="n">
        <v>1.6</v>
      </c>
      <c r="Y1202" t="n">
        <v>0.356</v>
      </c>
      <c r="Z1202" t="inlineStr">
        <is>
          <t>GR1</t>
        </is>
      </c>
      <c r="AA1202" t="inlineStr">
        <is>
          <t>AW</t>
        </is>
      </c>
      <c r="AB1202" t="inlineStr">
        <is>
          <t>FC</t>
        </is>
      </c>
      <c r="AC1202" t="inlineStr">
        <is>
          <t>40-20-1.6-ERW 1-FC</t>
        </is>
      </c>
      <c r="AD1202" t="inlineStr">
        <is>
          <t>CTL</t>
        </is>
      </c>
      <c r="AE1202" t="inlineStr">
        <is>
          <t>40-20-1.6-ERW 1-FC-0.356</t>
        </is>
      </c>
      <c r="AF1202" t="n">
        <v>0.513827072684369</v>
      </c>
    </row>
    <row r="1203">
      <c r="A1203" s="56" t="n">
        <v>3500083</v>
      </c>
      <c r="B1203" s="56" t="inlineStr">
        <is>
          <t>TUB-O-N-AUT-AW-PE-34.93X2.00X6.000-ERW 1</t>
        </is>
      </c>
      <c r="C1203" s="56" t="inlineStr">
        <is>
          <t>4A05B20020</t>
        </is>
      </c>
      <c r="D1203" s="56" t="n"/>
      <c r="E1203" s="57" t="n">
        <v>125.765</v>
      </c>
      <c r="F1203" s="57" t="n">
        <v>0.125765</v>
      </c>
      <c r="G1203" s="56" t="inlineStr">
        <is>
          <t>KG</t>
        </is>
      </c>
      <c r="H1203" s="56" t="inlineStr">
        <is>
          <t>TF01</t>
        </is>
      </c>
      <c r="I1203" s="56" t="inlineStr">
        <is>
          <t>4318</t>
        </is>
      </c>
      <c r="J1203" s="56" t="n"/>
      <c r="K1203" s="56" t="n"/>
      <c r="L1203" s="56" t="n"/>
      <c r="M1203" s="56" t="n"/>
      <c r="N1203" s="56" t="inlineStr">
        <is>
          <t>Elkayem Auto Ancillaries ( P ) LTD</t>
        </is>
      </c>
      <c r="O1203" s="56" t="n">
        <v>48</v>
      </c>
      <c r="P1203" s="59" t="inlineStr">
        <is>
          <t>31-60</t>
        </is>
      </c>
      <c r="Q1203" s="56" t="inlineStr">
        <is>
          <t>Diwakar</t>
        </is>
      </c>
      <c r="U1203" s="585" t="n">
        <v>1940815</v>
      </c>
      <c r="V1203" t="n">
        <v>40</v>
      </c>
      <c r="W1203" t="n">
        <v>20</v>
      </c>
      <c r="X1203" t="n">
        <v>1.6</v>
      </c>
      <c r="Y1203" t="n">
        <v>0.48</v>
      </c>
      <c r="Z1203" t="inlineStr">
        <is>
          <t>GR1</t>
        </is>
      </c>
      <c r="AA1203" t="inlineStr">
        <is>
          <t>FC</t>
        </is>
      </c>
      <c r="AB1203" t="inlineStr">
        <is>
          <t>AW</t>
        </is>
      </c>
      <c r="AC1203" t="inlineStr">
        <is>
          <t>40-20-1.6-ERW 1-FC</t>
        </is>
      </c>
      <c r="AD1203" t="inlineStr">
        <is>
          <t>CTL</t>
        </is>
      </c>
      <c r="AE1203" t="inlineStr">
        <is>
          <t>40-20-1.6-ERW 1-FC-0.48</t>
        </is>
      </c>
      <c r="AF1203" t="n">
        <v>0.6928005474395987</v>
      </c>
    </row>
    <row r="1204">
      <c r="A1204" s="56" t="n">
        <v>3500223</v>
      </c>
      <c r="B1204" s="56" t="inlineStr">
        <is>
          <t>TUB-O-N-AUT-NR-PE-34.93X2.500X6.000</t>
        </is>
      </c>
      <c r="C1204" s="56" t="inlineStr">
        <is>
          <t>4B05B20060</t>
        </is>
      </c>
      <c r="D1204" s="56" t="n"/>
      <c r="E1204" s="57" t="n">
        <v>2603.349</v>
      </c>
      <c r="F1204" s="57" t="n">
        <v>2.603349</v>
      </c>
      <c r="G1204" s="56" t="inlineStr">
        <is>
          <t>KG</t>
        </is>
      </c>
      <c r="H1204" s="56" t="inlineStr">
        <is>
          <t>TF01</t>
        </is>
      </c>
      <c r="I1204" s="56" t="inlineStr">
        <is>
          <t>4318</t>
        </is>
      </c>
      <c r="J1204" s="56" t="n"/>
      <c r="K1204" s="56" t="n"/>
      <c r="L1204" s="56" t="n"/>
      <c r="M1204" s="56" t="n"/>
      <c r="N1204" s="56" t="inlineStr">
        <is>
          <t>Elkayem Auto Ancillaries ( P ) LTD</t>
        </is>
      </c>
      <c r="O1204" s="56" t="n">
        <v>54</v>
      </c>
      <c r="P1204" s="59" t="inlineStr">
        <is>
          <t>31-60</t>
        </is>
      </c>
      <c r="Q1204" s="56" t="inlineStr">
        <is>
          <t>Diwakar</t>
        </is>
      </c>
      <c r="U1204" s="585" t="n">
        <v>1940816</v>
      </c>
      <c r="V1204" t="n">
        <v>40</v>
      </c>
      <c r="W1204" t="n">
        <v>20</v>
      </c>
      <c r="X1204" t="n">
        <v>1.6</v>
      </c>
      <c r="Y1204" t="n">
        <v>0.545</v>
      </c>
      <c r="Z1204" t="inlineStr">
        <is>
          <t>GR1</t>
        </is>
      </c>
      <c r="AA1204" t="inlineStr">
        <is>
          <t>FC</t>
        </is>
      </c>
      <c r="AB1204" t="inlineStr">
        <is>
          <t>AW</t>
        </is>
      </c>
      <c r="AC1204" t="inlineStr">
        <is>
          <t>40-20-1.6-ERW 1-FC</t>
        </is>
      </c>
      <c r="AD1204" t="inlineStr">
        <is>
          <t>CTL</t>
        </is>
      </c>
      <c r="AE1204" t="inlineStr">
        <is>
          <t>40-20-1.6-ERW 1-FC-0.545</t>
        </is>
      </c>
      <c r="AF1204" t="n">
        <v>0.7866172882387111</v>
      </c>
    </row>
    <row r="1205">
      <c r="A1205" s="56" t="n">
        <v>3500223</v>
      </c>
      <c r="B1205" s="56" t="inlineStr">
        <is>
          <t>TUB-O-N-AUT-NR-PE-34.93X2.500X6.000</t>
        </is>
      </c>
      <c r="C1205" s="56" t="inlineStr">
        <is>
          <t>4B05B20050</t>
        </is>
      </c>
      <c r="D1205" s="56" t="n"/>
      <c r="E1205" s="57" t="n">
        <v>1439.64</v>
      </c>
      <c r="F1205" s="57" t="n">
        <v>1.43964</v>
      </c>
      <c r="G1205" s="56" t="inlineStr">
        <is>
          <t>KG</t>
        </is>
      </c>
      <c r="H1205" s="56" t="inlineStr">
        <is>
          <t>TF01</t>
        </is>
      </c>
      <c r="I1205" s="56" t="inlineStr">
        <is>
          <t>4318</t>
        </is>
      </c>
      <c r="J1205" s="56" t="n"/>
      <c r="K1205" s="56" t="n"/>
      <c r="L1205" s="56" t="n"/>
      <c r="M1205" s="56" t="n"/>
      <c r="N1205" s="56" t="inlineStr">
        <is>
          <t>Elkayem Auto Ancillaries ( P ) LTD</t>
        </is>
      </c>
      <c r="O1205" s="56" t="n">
        <v>24</v>
      </c>
      <c r="P1205" s="59" t="inlineStr">
        <is>
          <t>0-30</t>
        </is>
      </c>
      <c r="Q1205" s="56" t="inlineStr">
        <is>
          <t>Diwakar</t>
        </is>
      </c>
      <c r="U1205" s="585" t="n">
        <v>1940820</v>
      </c>
      <c r="V1205" t="n">
        <v>40</v>
      </c>
      <c r="W1205" t="n">
        <v>20</v>
      </c>
      <c r="X1205" t="n">
        <v>1.6</v>
      </c>
      <c r="Y1205" t="n">
        <v>0.607</v>
      </c>
      <c r="Z1205" t="inlineStr">
        <is>
          <t>GR1</t>
        </is>
      </c>
      <c r="AA1205" t="inlineStr">
        <is>
          <t>FC</t>
        </is>
      </c>
      <c r="AB1205" t="inlineStr">
        <is>
          <t>AW</t>
        </is>
      </c>
      <c r="AC1205" t="inlineStr">
        <is>
          <t>40-20-1.6-ERW 1-FC</t>
        </is>
      </c>
      <c r="AD1205" t="inlineStr">
        <is>
          <t>CTL</t>
        </is>
      </c>
      <c r="AE1205" t="inlineStr">
        <is>
          <t>40-20-1.6-ERW 1-FC-0.607</t>
        </is>
      </c>
      <c r="AF1205" t="n">
        <v>0.8761040256163258</v>
      </c>
    </row>
    <row r="1206">
      <c r="A1206" s="56" t="n">
        <v>3500223</v>
      </c>
      <c r="B1206" s="56" t="inlineStr">
        <is>
          <t>TUB-O-N-AUT-NR-PE-34.93X2.500X6.000</t>
        </is>
      </c>
      <c r="C1206" s="56" t="inlineStr">
        <is>
          <t>4B05B20040</t>
        </is>
      </c>
      <c r="D1206" s="56" t="n"/>
      <c r="E1206" s="57" t="n">
        <v>2579.355</v>
      </c>
      <c r="F1206" s="57" t="n">
        <v>2.579355</v>
      </c>
      <c r="G1206" s="56" t="inlineStr">
        <is>
          <t>KG</t>
        </is>
      </c>
      <c r="H1206" s="56" t="inlineStr">
        <is>
          <t>TF01</t>
        </is>
      </c>
      <c r="I1206" s="56" t="inlineStr">
        <is>
          <t>4318</t>
        </is>
      </c>
      <c r="J1206" s="56" t="n"/>
      <c r="K1206" s="56" t="n"/>
      <c r="L1206" s="56" t="n"/>
      <c r="M1206" s="56" t="n"/>
      <c r="N1206" s="56" t="inlineStr">
        <is>
          <t>Elkayem Auto Ancillaries ( P ) LTD</t>
        </is>
      </c>
      <c r="O1206" s="56" t="n">
        <v>54</v>
      </c>
      <c r="P1206" s="59" t="inlineStr">
        <is>
          <t>31-60</t>
        </is>
      </c>
      <c r="Q1206" s="56" t="inlineStr">
        <is>
          <t>Diwakar</t>
        </is>
      </c>
      <c r="U1206" t="n">
        <v>3929636</v>
      </c>
      <c r="V1206" t="n">
        <v>40</v>
      </c>
      <c r="W1206" t="n">
        <v>20</v>
      </c>
      <c r="X1206" t="n">
        <v>1.6</v>
      </c>
      <c r="Y1206" t="n">
        <v>5.86</v>
      </c>
      <c r="Z1206" t="inlineStr">
        <is>
          <t>GR1</t>
        </is>
      </c>
      <c r="AA1206" t="inlineStr">
        <is>
          <t>FC</t>
        </is>
      </c>
      <c r="AB1206" t="inlineStr">
        <is>
          <t>AW</t>
        </is>
      </c>
      <c r="AC1206" t="inlineStr">
        <is>
          <t>40-20-1.6-ERW 1-FC</t>
        </is>
      </c>
      <c r="AD1206" t="inlineStr">
        <is>
          <t>LL</t>
        </is>
      </c>
      <c r="AE1206" t="inlineStr">
        <is>
          <t>40-20-1.6-ERW 1-FC-1</t>
        </is>
      </c>
      <c r="AF1206" t="n">
        <v>1.443334473832497</v>
      </c>
    </row>
    <row r="1207">
      <c r="A1207" s="56" t="n">
        <v>3500223</v>
      </c>
      <c r="B1207" s="56" t="inlineStr">
        <is>
          <t>TUB-O-N-AUT-NR-PE-34.93X2.500X6.000</t>
        </is>
      </c>
      <c r="C1207" s="56" t="inlineStr">
        <is>
          <t>4B05B20030</t>
        </is>
      </c>
      <c r="D1207" s="56" t="n"/>
      <c r="E1207" s="57" t="n">
        <v>2603.349</v>
      </c>
      <c r="F1207" s="57" t="n">
        <v>2.603349</v>
      </c>
      <c r="G1207" s="56" t="inlineStr">
        <is>
          <t>KG</t>
        </is>
      </c>
      <c r="H1207" s="56" t="inlineStr">
        <is>
          <t>TF01</t>
        </is>
      </c>
      <c r="I1207" s="56" t="inlineStr">
        <is>
          <t>4318</t>
        </is>
      </c>
      <c r="J1207" s="56" t="n"/>
      <c r="K1207" s="56" t="n"/>
      <c r="L1207" s="56" t="n"/>
      <c r="M1207" s="56" t="n"/>
      <c r="N1207" s="56" t="inlineStr">
        <is>
          <t>Elkayem Auto Ancillaries ( P ) LTD</t>
        </is>
      </c>
      <c r="O1207" s="56" t="n">
        <v>54</v>
      </c>
      <c r="P1207" s="59" t="inlineStr">
        <is>
          <t>31-60</t>
        </is>
      </c>
      <c r="Q1207" s="56" t="inlineStr">
        <is>
          <t>Diwakar</t>
        </is>
      </c>
      <c r="U1207" s="586" t="n">
        <v>111116373</v>
      </c>
      <c r="V1207" t="n">
        <v>40</v>
      </c>
      <c r="W1207" t="n">
        <v>20</v>
      </c>
      <c r="X1207" t="n">
        <v>1.6</v>
      </c>
      <c r="Y1207" t="n">
        <v>5.86</v>
      </c>
      <c r="Z1207" t="inlineStr">
        <is>
          <t>GR1</t>
        </is>
      </c>
      <c r="AA1207" t="inlineStr">
        <is>
          <t>FC</t>
        </is>
      </c>
      <c r="AB1207" t="inlineStr">
        <is>
          <t>AW</t>
        </is>
      </c>
      <c r="AC1207" t="inlineStr">
        <is>
          <t>40-20-1.6-ERW 1-FC</t>
        </is>
      </c>
      <c r="AD1207" t="inlineStr">
        <is>
          <t>LL</t>
        </is>
      </c>
      <c r="AE1207" t="inlineStr">
        <is>
          <t>40-20-1.6-ERW 1-FC-1</t>
        </is>
      </c>
      <c r="AF1207" t="n">
        <v>1.443334473832497</v>
      </c>
    </row>
    <row r="1208">
      <c r="A1208" s="56" t="n">
        <v>3500223</v>
      </c>
      <c r="B1208" s="56" t="inlineStr">
        <is>
          <t>TUB-O-N-AUT-NR-PE-34.93X2.500X6.000</t>
        </is>
      </c>
      <c r="C1208" s="56" t="inlineStr">
        <is>
          <t>4B05B20020</t>
        </is>
      </c>
      <c r="D1208" s="56" t="n"/>
      <c r="E1208" s="57" t="n">
        <v>1043.739</v>
      </c>
      <c r="F1208" s="57" t="n">
        <v>1.043739</v>
      </c>
      <c r="G1208" s="56" t="inlineStr">
        <is>
          <t>KG</t>
        </is>
      </c>
      <c r="H1208" s="56" t="inlineStr">
        <is>
          <t>TF01</t>
        </is>
      </c>
      <c r="I1208" s="56" t="inlineStr">
        <is>
          <t>4318</t>
        </is>
      </c>
      <c r="J1208" s="56" t="n"/>
      <c r="K1208" s="56" t="n"/>
      <c r="L1208" s="56" t="n"/>
      <c r="M1208" s="56" t="n"/>
      <c r="N1208" s="56" t="inlineStr">
        <is>
          <t>Elkayem Auto Ancillaries ( P ) LTD</t>
        </is>
      </c>
      <c r="O1208" s="56" t="n">
        <v>6</v>
      </c>
      <c r="P1208" s="59" t="inlineStr">
        <is>
          <t>0-30</t>
        </is>
      </c>
      <c r="Q1208" s="56" t="inlineStr">
        <is>
          <t>Diwakar</t>
        </is>
      </c>
      <c r="U1208" t="n">
        <v>1932159</v>
      </c>
      <c r="V1208" t="n">
        <v>40</v>
      </c>
      <c r="W1208" t="n">
        <v>20</v>
      </c>
      <c r="X1208" t="n">
        <v>1.6</v>
      </c>
      <c r="Y1208" t="n">
        <v>6</v>
      </c>
      <c r="Z1208" t="inlineStr">
        <is>
          <t>D</t>
        </is>
      </c>
      <c r="AA1208" t="inlineStr">
        <is>
          <t>PE</t>
        </is>
      </c>
      <c r="AB1208" t="inlineStr">
        <is>
          <t>AW</t>
        </is>
      </c>
      <c r="AC1208" t="inlineStr">
        <is>
          <t>40-20-1.6-ERW 1-PE</t>
        </is>
      </c>
      <c r="AD1208" t="inlineStr">
        <is>
          <t>LL</t>
        </is>
      </c>
      <c r="AE1208" t="inlineStr">
        <is>
          <t>40-20-1.6-ERW 1-PE-1</t>
        </is>
      </c>
      <c r="AF1208" t="n">
        <v>1.443334473832497</v>
      </c>
    </row>
    <row r="1209">
      <c r="A1209" s="56" t="n">
        <v>3500233</v>
      </c>
      <c r="B1209" s="56" t="inlineStr">
        <is>
          <t>TUB-O-N-AUT-AW-FC-38.10X1.60X4.950-ERW 1</t>
        </is>
      </c>
      <c r="C1209" s="56" t="inlineStr">
        <is>
          <t>4C04B20320</t>
        </is>
      </c>
      <c r="D1209" s="56" t="n"/>
      <c r="E1209" s="57" t="n">
        <v>1472.866</v>
      </c>
      <c r="F1209" s="57" t="n">
        <v>1.472866</v>
      </c>
      <c r="G1209" s="56" t="inlineStr">
        <is>
          <t>KG</t>
        </is>
      </c>
      <c r="H1209" s="56" t="inlineStr">
        <is>
          <t>TF01</t>
        </is>
      </c>
      <c r="I1209" s="56" t="inlineStr">
        <is>
          <t>4318</t>
        </is>
      </c>
      <c r="J1209" s="56" t="n"/>
      <c r="K1209" s="56" t="n"/>
      <c r="L1209" s="56" t="n"/>
      <c r="M1209" s="56" t="n"/>
      <c r="N1209" s="56" t="inlineStr">
        <is>
          <t>Neel Metal Products Limited</t>
        </is>
      </c>
      <c r="O1209" s="56" t="n">
        <v>14</v>
      </c>
      <c r="P1209" s="59" t="inlineStr">
        <is>
          <t>0-30</t>
        </is>
      </c>
      <c r="Q1209" s="56" t="inlineStr">
        <is>
          <t>Apoorv</t>
        </is>
      </c>
      <c r="U1209" t="n">
        <v>3652441</v>
      </c>
      <c r="V1209" t="n">
        <v>40</v>
      </c>
      <c r="W1209" t="n">
        <v>20</v>
      </c>
      <c r="X1209" t="n">
        <v>1.6</v>
      </c>
      <c r="Y1209" t="n">
        <v>6</v>
      </c>
      <c r="Z1209" t="inlineStr">
        <is>
          <t>CRFH</t>
        </is>
      </c>
      <c r="AA1209" t="inlineStr">
        <is>
          <t>PE</t>
        </is>
      </c>
      <c r="AB1209" t="inlineStr">
        <is>
          <t>FH</t>
        </is>
      </c>
      <c r="AC1209" t="inlineStr">
        <is>
          <t>40-20-1.6-CRFH-PE</t>
        </is>
      </c>
      <c r="AD1209" t="inlineStr">
        <is>
          <t>LL</t>
        </is>
      </c>
      <c r="AE1209" t="inlineStr">
        <is>
          <t>40-20-1.6-CRFH-PE-1</t>
        </is>
      </c>
      <c r="AF1209" t="n">
        <v>1.443334473832497</v>
      </c>
    </row>
    <row r="1210">
      <c r="A1210" s="56" t="n">
        <v>3500233</v>
      </c>
      <c r="B1210" s="56" t="inlineStr">
        <is>
          <t>TUB-O-N-AUT-AW-FC-38.10X1.60X4.950-ERW 1</t>
        </is>
      </c>
      <c r="C1210" s="56" t="inlineStr">
        <is>
          <t>4C04B20300</t>
        </is>
      </c>
      <c r="D1210" s="56" t="n"/>
      <c r="E1210" s="57" t="n">
        <v>1472.866</v>
      </c>
      <c r="F1210" s="57" t="n">
        <v>1.472866</v>
      </c>
      <c r="G1210" s="56" t="inlineStr">
        <is>
          <t>KG</t>
        </is>
      </c>
      <c r="H1210" s="56" t="inlineStr">
        <is>
          <t>TF01</t>
        </is>
      </c>
      <c r="I1210" s="56" t="inlineStr">
        <is>
          <t>4318</t>
        </is>
      </c>
      <c r="J1210" s="56" t="n"/>
      <c r="K1210" s="56" t="n"/>
      <c r="L1210" s="56" t="n"/>
      <c r="M1210" s="56" t="n"/>
      <c r="N1210" s="56" t="inlineStr">
        <is>
          <t>Neel Metal Products Limited</t>
        </is>
      </c>
      <c r="O1210" s="56" t="n">
        <v>13</v>
      </c>
      <c r="P1210" s="59" t="inlineStr">
        <is>
          <t>0-30</t>
        </is>
      </c>
      <c r="Q1210" s="56" t="inlineStr">
        <is>
          <t>Apoorv</t>
        </is>
      </c>
      <c r="U1210" s="585" t="n">
        <v>4190082</v>
      </c>
      <c r="V1210" t="n">
        <v>40</v>
      </c>
      <c r="W1210" t="n">
        <v>20</v>
      </c>
      <c r="X1210" t="n">
        <v>1.6</v>
      </c>
      <c r="Y1210" t="n">
        <v>6.1</v>
      </c>
      <c r="Z1210" t="inlineStr">
        <is>
          <t>GR1</t>
        </is>
      </c>
      <c r="AA1210" t="inlineStr">
        <is>
          <t>FC</t>
        </is>
      </c>
      <c r="AB1210" t="inlineStr">
        <is>
          <t>AW</t>
        </is>
      </c>
      <c r="AC1210" t="inlineStr">
        <is>
          <t>40-20-1.6-ERW 1-FC</t>
        </is>
      </c>
      <c r="AD1210" t="inlineStr">
        <is>
          <t>LL</t>
        </is>
      </c>
      <c r="AF1210" t="n">
        <v>1.443334473832497</v>
      </c>
    </row>
    <row r="1211">
      <c r="A1211" s="56" t="n">
        <v>3500233</v>
      </c>
      <c r="B1211" s="56" t="inlineStr">
        <is>
          <t>TUB-O-N-AUT-AW-FC-38.10X1.60X4.950-ERW 1</t>
        </is>
      </c>
      <c r="C1211" s="56" t="inlineStr">
        <is>
          <t>4C04B20280</t>
        </is>
      </c>
      <c r="D1211" s="56" t="n"/>
      <c r="E1211" s="57" t="n">
        <v>1472.866</v>
      </c>
      <c r="F1211" s="57" t="n">
        <v>1.472866</v>
      </c>
      <c r="G1211" s="56" t="inlineStr">
        <is>
          <t>KG</t>
        </is>
      </c>
      <c r="H1211" s="56" t="inlineStr">
        <is>
          <t>TF01</t>
        </is>
      </c>
      <c r="I1211" s="56" t="inlineStr">
        <is>
          <t>4318</t>
        </is>
      </c>
      <c r="J1211" s="56" t="n"/>
      <c r="K1211" s="56" t="n"/>
      <c r="L1211" s="56" t="n"/>
      <c r="M1211" s="56" t="n"/>
      <c r="N1211" s="56" t="inlineStr">
        <is>
          <t>Neel Metal Products Limited</t>
        </is>
      </c>
      <c r="O1211" s="56" t="n">
        <v>13</v>
      </c>
      <c r="P1211" s="59" t="inlineStr">
        <is>
          <t>0-30</t>
        </is>
      </c>
      <c r="Q1211" s="56" t="inlineStr">
        <is>
          <t>Apoorv</t>
        </is>
      </c>
      <c r="U1211" s="586" t="n">
        <v>110102946</v>
      </c>
      <c r="V1211" t="n">
        <v>40</v>
      </c>
      <c r="W1211" t="n">
        <v>20</v>
      </c>
      <c r="X1211" t="n">
        <v>1.6</v>
      </c>
      <c r="Y1211" t="n">
        <v>6.17</v>
      </c>
      <c r="Z1211" t="inlineStr">
        <is>
          <t>GR1</t>
        </is>
      </c>
      <c r="AA1211" t="inlineStr">
        <is>
          <t>FC</t>
        </is>
      </c>
      <c r="AB1211" t="inlineStr">
        <is>
          <t>AW</t>
        </is>
      </c>
      <c r="AC1211" t="inlineStr">
        <is>
          <t>40-20-1.6-ERW 1-FC</t>
        </is>
      </c>
      <c r="AD1211" t="inlineStr">
        <is>
          <t>LL</t>
        </is>
      </c>
      <c r="AE1211" t="inlineStr">
        <is>
          <t>40-20-1.6-ERW 1-FC-1</t>
        </is>
      </c>
      <c r="AF1211" t="n">
        <v>1.443334473832497</v>
      </c>
    </row>
    <row r="1212">
      <c r="A1212" s="56" t="n">
        <v>3500233</v>
      </c>
      <c r="B1212" s="56" t="inlineStr">
        <is>
          <t>TUB-O-N-AUT-AW-FC-38.10X1.60X4.950-ERW 1</t>
        </is>
      </c>
      <c r="C1212" s="56" t="inlineStr">
        <is>
          <t>4C04B20270</t>
        </is>
      </c>
      <c r="D1212" s="56" t="n"/>
      <c r="E1212" s="57" t="n">
        <v>1445.716</v>
      </c>
      <c r="F1212" s="57" t="n">
        <v>1.445716</v>
      </c>
      <c r="G1212" s="56" t="inlineStr">
        <is>
          <t>KG</t>
        </is>
      </c>
      <c r="H1212" s="56" t="inlineStr">
        <is>
          <t>TF01</t>
        </is>
      </c>
      <c r="I1212" s="56" t="inlineStr">
        <is>
          <t>4318</t>
        </is>
      </c>
      <c r="J1212" s="56" t="n"/>
      <c r="K1212" s="56" t="n"/>
      <c r="L1212" s="56" t="n"/>
      <c r="M1212" s="56" t="n"/>
      <c r="N1212" s="56" t="inlineStr">
        <is>
          <t>Neel Metal Products Limited</t>
        </is>
      </c>
      <c r="O1212" s="56" t="n">
        <v>13</v>
      </c>
      <c r="P1212" s="59" t="inlineStr">
        <is>
          <t>0-30</t>
        </is>
      </c>
      <c r="Q1212" s="56" t="inlineStr">
        <is>
          <t>Apoorv</t>
        </is>
      </c>
      <c r="U1212" s="585" t="n">
        <v>2440971</v>
      </c>
      <c r="V1212" t="n">
        <v>40</v>
      </c>
      <c r="W1212" t="n">
        <v>25</v>
      </c>
      <c r="X1212" t="n">
        <v>1.6</v>
      </c>
      <c r="Y1212" t="n">
        <v>0.318</v>
      </c>
      <c r="Z1212" t="inlineStr">
        <is>
          <t>HROP</t>
        </is>
      </c>
      <c r="AA1212" t="inlineStr">
        <is>
          <t>FC</t>
        </is>
      </c>
      <c r="AB1212" t="inlineStr">
        <is>
          <t>AW</t>
        </is>
      </c>
      <c r="AC1212" t="inlineStr">
        <is>
          <t>40-25-1.6-ERW 1-FC</t>
        </is>
      </c>
      <c r="AD1212" t="inlineStr">
        <is>
          <t>CTL</t>
        </is>
      </c>
      <c r="AE1212" t="inlineStr">
        <is>
          <t>40-25-1.6-ERW 1-FC-0.318</t>
        </is>
      </c>
      <c r="AF1212" t="n">
        <v>0.48159019008</v>
      </c>
    </row>
    <row r="1213">
      <c r="A1213" s="56" t="n">
        <v>3500233</v>
      </c>
      <c r="B1213" s="56" t="inlineStr">
        <is>
          <t>TUB-O-N-AUT-AW-FC-38.10X1.60X4.950-ERW 1</t>
        </is>
      </c>
      <c r="C1213" s="56" t="inlineStr">
        <is>
          <t>4C04B20260</t>
        </is>
      </c>
      <c r="D1213" s="56" t="n"/>
      <c r="E1213" s="57" t="n">
        <v>1472.866</v>
      </c>
      <c r="F1213" s="57" t="n">
        <v>1.472866</v>
      </c>
      <c r="G1213" s="56" t="inlineStr">
        <is>
          <t>KG</t>
        </is>
      </c>
      <c r="H1213" s="56" t="inlineStr">
        <is>
          <t>TF01</t>
        </is>
      </c>
      <c r="I1213" s="56" t="inlineStr">
        <is>
          <t>4318</t>
        </is>
      </c>
      <c r="J1213" s="56" t="n"/>
      <c r="K1213" s="56" t="n"/>
      <c r="L1213" s="56" t="n"/>
      <c r="M1213" s="56" t="n"/>
      <c r="N1213" s="56" t="inlineStr">
        <is>
          <t>Neel Metal Products Limited</t>
        </is>
      </c>
      <c r="O1213" s="56" t="n">
        <v>18</v>
      </c>
      <c r="P1213" s="59" t="inlineStr">
        <is>
          <t>0-30</t>
        </is>
      </c>
      <c r="Q1213" s="56" t="inlineStr">
        <is>
          <t>Apoorv</t>
        </is>
      </c>
      <c r="U1213" s="585" t="n">
        <v>3768905</v>
      </c>
      <c r="V1213" t="n">
        <v>40</v>
      </c>
      <c r="W1213" t="n">
        <v>25</v>
      </c>
      <c r="X1213" t="n">
        <v>1.6</v>
      </c>
      <c r="Y1213" t="n">
        <v>0.322</v>
      </c>
      <c r="Z1213" t="inlineStr">
        <is>
          <t>KGR2</t>
        </is>
      </c>
      <c r="AA1213" t="inlineStr">
        <is>
          <t>FC</t>
        </is>
      </c>
      <c r="AB1213" t="inlineStr">
        <is>
          <t>AW</t>
        </is>
      </c>
      <c r="AC1213" t="inlineStr">
        <is>
          <t>40-25-1.6-ERW 1-FC</t>
        </is>
      </c>
      <c r="AD1213" t="inlineStr">
        <is>
          <t>CTL</t>
        </is>
      </c>
      <c r="AE1213" t="inlineStr">
        <is>
          <t>40-25-1.6-ERW 1-FC-0.322</t>
        </is>
      </c>
      <c r="AF1213" t="n">
        <v>0.48764792832</v>
      </c>
    </row>
    <row r="1214">
      <c r="A1214" s="56" t="n">
        <v>3500233</v>
      </c>
      <c r="B1214" s="56" t="inlineStr">
        <is>
          <t>TUB-O-N-AUT-AW-FC-38.10X1.60X4.950-ERW 1</t>
        </is>
      </c>
      <c r="C1214" s="56" t="inlineStr">
        <is>
          <t>4C04B20250</t>
        </is>
      </c>
      <c r="D1214" s="56" t="n"/>
      <c r="E1214" s="57" t="n">
        <v>93.291</v>
      </c>
      <c r="F1214" s="57" t="n">
        <v>0.093291</v>
      </c>
      <c r="G1214" s="56" t="inlineStr">
        <is>
          <t>KG</t>
        </is>
      </c>
      <c r="H1214" s="56" t="inlineStr">
        <is>
          <t>TF01</t>
        </is>
      </c>
      <c r="I1214" s="56" t="inlineStr">
        <is>
          <t>4318</t>
        </is>
      </c>
      <c r="J1214" s="56" t="n"/>
      <c r="K1214" s="56" t="n"/>
      <c r="L1214" s="56" t="n"/>
      <c r="M1214" s="56" t="n"/>
      <c r="N1214" s="56" t="inlineStr">
        <is>
          <t>Neel Metal Products Limited</t>
        </is>
      </c>
      <c r="O1214" s="56" t="n">
        <v>10</v>
      </c>
      <c r="P1214" s="59" t="inlineStr">
        <is>
          <t>0-30</t>
        </is>
      </c>
      <c r="Q1214" s="56" t="inlineStr">
        <is>
          <t>Apoorv</t>
        </is>
      </c>
      <c r="U1214" s="585" t="n">
        <v>1940821</v>
      </c>
      <c r="V1214" t="n">
        <v>40</v>
      </c>
      <c r="W1214" t="n">
        <v>25</v>
      </c>
      <c r="X1214" t="n">
        <v>1.6</v>
      </c>
      <c r="Y1214" t="n">
        <v>0.513</v>
      </c>
      <c r="Z1214" t="inlineStr">
        <is>
          <t>GR1</t>
        </is>
      </c>
      <c r="AA1214" t="inlineStr">
        <is>
          <t>FC</t>
        </is>
      </c>
      <c r="AB1214" t="inlineStr">
        <is>
          <t>AW</t>
        </is>
      </c>
      <c r="AC1214" t="inlineStr">
        <is>
          <t>40-25-1.6-ERW 1-FC</t>
        </is>
      </c>
      <c r="AD1214" t="inlineStr">
        <is>
          <t>CTL</t>
        </is>
      </c>
      <c r="AE1214" t="inlineStr">
        <is>
          <t>40-25-1.6-ERW 1-FC-0.513</t>
        </is>
      </c>
      <c r="AF1214" t="n">
        <v>0.77690492928</v>
      </c>
    </row>
    <row r="1215">
      <c r="A1215" s="56" t="n">
        <v>3500233</v>
      </c>
      <c r="B1215" s="56" t="inlineStr">
        <is>
          <t>TUB-O-N-AUT-AW-FC-38.10X1.60X4.950-ERW 1</t>
        </is>
      </c>
      <c r="C1215" s="56" t="inlineStr">
        <is>
          <t>4C04B20220</t>
        </is>
      </c>
      <c r="D1215" s="56" t="n"/>
      <c r="E1215" s="57" t="n">
        <v>1466.078</v>
      </c>
      <c r="F1215" s="57" t="n">
        <v>1.466078</v>
      </c>
      <c r="G1215" s="56" t="inlineStr">
        <is>
          <t>KG</t>
        </is>
      </c>
      <c r="H1215" s="56" t="inlineStr">
        <is>
          <t>TF01</t>
        </is>
      </c>
      <c r="I1215" s="56" t="inlineStr">
        <is>
          <t>4318</t>
        </is>
      </c>
      <c r="J1215" s="56" t="n"/>
      <c r="K1215" s="56" t="n"/>
      <c r="L1215" s="56" t="n"/>
      <c r="M1215" s="56" t="n"/>
      <c r="N1215" s="56" t="inlineStr">
        <is>
          <t>Neel Metal Products Limited</t>
        </is>
      </c>
      <c r="O1215" s="56" t="n">
        <v>21</v>
      </c>
      <c r="P1215" s="59" t="inlineStr">
        <is>
          <t>0-30</t>
        </is>
      </c>
      <c r="Q1215" s="56" t="inlineStr">
        <is>
          <t>Apoorv</t>
        </is>
      </c>
      <c r="U1215" s="585" t="n">
        <v>3438761</v>
      </c>
      <c r="V1215" t="n">
        <v>40</v>
      </c>
      <c r="W1215" t="n">
        <v>25</v>
      </c>
      <c r="X1215" t="n">
        <v>1.6</v>
      </c>
      <c r="Y1215" t="n">
        <v>0.514</v>
      </c>
      <c r="Z1215" t="inlineStr">
        <is>
          <t>HROP</t>
        </is>
      </c>
      <c r="AA1215" t="inlineStr">
        <is>
          <t>FC</t>
        </is>
      </c>
      <c r="AB1215" t="inlineStr">
        <is>
          <t>AW</t>
        </is>
      </c>
      <c r="AC1215" t="inlineStr">
        <is>
          <t>40-25-1.6-ERW 1-FC</t>
        </is>
      </c>
      <c r="AD1215" t="inlineStr">
        <is>
          <t>CTL</t>
        </is>
      </c>
      <c r="AE1215" t="inlineStr">
        <is>
          <t>40-25-1.6-ERW 1-FC-0.514</t>
        </is>
      </c>
      <c r="AF1215" t="n">
        <v>0.77841936384</v>
      </c>
    </row>
    <row r="1216">
      <c r="A1216" s="56" t="n">
        <v>3500233</v>
      </c>
      <c r="B1216" s="56" t="inlineStr">
        <is>
          <t>TUB-O-N-AUT-AW-FC-38.10X1.60X4.950-ERW 1</t>
        </is>
      </c>
      <c r="C1216" s="56" t="inlineStr">
        <is>
          <t>4C04B20210</t>
        </is>
      </c>
      <c r="D1216" s="56" t="n"/>
      <c r="E1216" s="57" t="n">
        <v>1466.078</v>
      </c>
      <c r="F1216" s="57" t="n">
        <v>1.466078</v>
      </c>
      <c r="G1216" s="56" t="inlineStr">
        <is>
          <t>KG</t>
        </is>
      </c>
      <c r="H1216" s="56" t="inlineStr">
        <is>
          <t>TF01</t>
        </is>
      </c>
      <c r="I1216" s="56" t="inlineStr">
        <is>
          <t>4318</t>
        </is>
      </c>
      <c r="J1216" s="56" t="n"/>
      <c r="K1216" s="56" t="n"/>
      <c r="L1216" s="56" t="n"/>
      <c r="M1216" s="56" t="n"/>
      <c r="N1216" s="56" t="inlineStr">
        <is>
          <t>Neel Metal Products Limited</t>
        </is>
      </c>
      <c r="O1216" s="56" t="n">
        <v>21</v>
      </c>
      <c r="P1216" s="59" t="inlineStr">
        <is>
          <t>0-30</t>
        </is>
      </c>
      <c r="Q1216" s="56" t="inlineStr">
        <is>
          <t>Apoorv</t>
        </is>
      </c>
      <c r="U1216" s="585" t="n">
        <v>1940822</v>
      </c>
      <c r="V1216" t="n">
        <v>40</v>
      </c>
      <c r="W1216" t="n">
        <v>25</v>
      </c>
      <c r="X1216" t="n">
        <v>1.6</v>
      </c>
      <c r="Y1216" t="n">
        <v>0.536</v>
      </c>
      <c r="Z1216" t="inlineStr">
        <is>
          <t>GR1</t>
        </is>
      </c>
      <c r="AA1216" t="inlineStr">
        <is>
          <t>FC</t>
        </is>
      </c>
      <c r="AB1216" t="inlineStr">
        <is>
          <t>AW</t>
        </is>
      </c>
      <c r="AC1216" t="inlineStr">
        <is>
          <t>40-25-1.6-ERW 1-FC</t>
        </is>
      </c>
      <c r="AD1216" t="inlineStr">
        <is>
          <t>CTL</t>
        </is>
      </c>
      <c r="AE1216" t="inlineStr">
        <is>
          <t>40-25-1.6-ERW 1-FC-0.536</t>
        </is>
      </c>
      <c r="AF1216" t="n">
        <v>0.8117369241600001</v>
      </c>
    </row>
    <row r="1217">
      <c r="A1217" s="56" t="n">
        <v>3500233</v>
      </c>
      <c r="B1217" s="56" t="inlineStr">
        <is>
          <t>TUB-O-N-AUT-AW-FC-38.10X1.60X4.950-ERW 1</t>
        </is>
      </c>
      <c r="C1217" s="56" t="inlineStr">
        <is>
          <t>4C04B20170</t>
        </is>
      </c>
      <c r="D1217" s="56" t="n"/>
      <c r="E1217" s="57" t="n">
        <v>1472.866</v>
      </c>
      <c r="F1217" s="57" t="n">
        <v>1.472866</v>
      </c>
      <c r="G1217" s="56" t="inlineStr">
        <is>
          <t>KG</t>
        </is>
      </c>
      <c r="H1217" s="56" t="inlineStr">
        <is>
          <t>TF01</t>
        </is>
      </c>
      <c r="I1217" s="56" t="inlineStr">
        <is>
          <t>4318</t>
        </is>
      </c>
      <c r="J1217" s="56" t="n"/>
      <c r="K1217" s="56" t="n"/>
      <c r="L1217" s="56" t="n"/>
      <c r="M1217" s="56" t="n"/>
      <c r="N1217" s="56" t="inlineStr">
        <is>
          <t>Neel Metal Products Limited</t>
        </is>
      </c>
      <c r="O1217" s="56" t="n">
        <v>24</v>
      </c>
      <c r="P1217" s="59" t="inlineStr">
        <is>
          <t>0-30</t>
        </is>
      </c>
      <c r="Q1217" s="56" t="inlineStr">
        <is>
          <t>Apoorv</t>
        </is>
      </c>
      <c r="U1217" s="585" t="n">
        <v>3786201</v>
      </c>
      <c r="V1217" t="n">
        <v>40</v>
      </c>
      <c r="W1217" t="n">
        <v>25</v>
      </c>
      <c r="X1217" t="n">
        <v>1.6</v>
      </c>
      <c r="Y1217" t="n">
        <v>0.538</v>
      </c>
      <c r="Z1217" t="inlineStr">
        <is>
          <t>KGR2</t>
        </is>
      </c>
      <c r="AA1217" t="inlineStr">
        <is>
          <t>FC</t>
        </is>
      </c>
      <c r="AB1217" t="inlineStr">
        <is>
          <t>AW</t>
        </is>
      </c>
      <c r="AC1217" t="inlineStr">
        <is>
          <t>40-25-1.6-ERW 1-FC</t>
        </is>
      </c>
      <c r="AD1217" t="inlineStr">
        <is>
          <t>CTL</t>
        </is>
      </c>
      <c r="AE1217" t="inlineStr">
        <is>
          <t>40-25-1.6-ERW 1-FC-0.538</t>
        </is>
      </c>
      <c r="AF1217" t="n">
        <v>0.8147657932800001</v>
      </c>
    </row>
    <row r="1218">
      <c r="A1218" s="56" t="n">
        <v>3500233</v>
      </c>
      <c r="B1218" s="56" t="inlineStr">
        <is>
          <t>TUB-O-N-AUT-AW-FC-38.10X1.60X4.950-ERW 1</t>
        </is>
      </c>
      <c r="C1218" s="56" t="inlineStr">
        <is>
          <t>4C04B20160</t>
        </is>
      </c>
      <c r="D1218" s="56" t="n"/>
      <c r="E1218" s="57" t="n">
        <v>198.291</v>
      </c>
      <c r="F1218" s="57" t="n">
        <v>0.198291</v>
      </c>
      <c r="G1218" s="56" t="inlineStr">
        <is>
          <t>KG</t>
        </is>
      </c>
      <c r="H1218" s="56" t="inlineStr">
        <is>
          <t>TF01</t>
        </is>
      </c>
      <c r="I1218" s="56" t="inlineStr">
        <is>
          <t>4318</t>
        </is>
      </c>
      <c r="J1218" s="56" t="n"/>
      <c r="K1218" s="56" t="n"/>
      <c r="L1218" s="56" t="n"/>
      <c r="M1218" s="56" t="n"/>
      <c r="N1218" s="56" t="inlineStr">
        <is>
          <t>Neel Metal Products Limited</t>
        </is>
      </c>
      <c r="O1218" s="56" t="n">
        <v>3</v>
      </c>
      <c r="P1218" s="59" t="inlineStr">
        <is>
          <t>0-30</t>
        </is>
      </c>
      <c r="Q1218" s="56" t="inlineStr">
        <is>
          <t>Apoorv</t>
        </is>
      </c>
      <c r="U1218" s="585" t="n">
        <v>1940823</v>
      </c>
      <c r="V1218" t="n">
        <v>40</v>
      </c>
      <c r="W1218" t="n">
        <v>25</v>
      </c>
      <c r="X1218" t="n">
        <v>1.6</v>
      </c>
      <c r="Y1218" t="n">
        <v>0.5600000000000001</v>
      </c>
      <c r="Z1218" t="inlineStr">
        <is>
          <t>GR1</t>
        </is>
      </c>
      <c r="AA1218" t="inlineStr">
        <is>
          <t>FC</t>
        </is>
      </c>
      <c r="AB1218" t="inlineStr">
        <is>
          <t>AW</t>
        </is>
      </c>
      <c r="AC1218" t="inlineStr">
        <is>
          <t>40-25-1.6-ERW 1-FC</t>
        </is>
      </c>
      <c r="AD1218" t="inlineStr">
        <is>
          <t>CTL</t>
        </is>
      </c>
      <c r="AE1218" t="inlineStr">
        <is>
          <t>40-25-1.6-ERW 1-FC-0.56</t>
        </is>
      </c>
      <c r="AF1218" t="n">
        <v>0.8480833536000001</v>
      </c>
    </row>
    <row r="1219">
      <c r="A1219" s="56" t="n">
        <v>3500233</v>
      </c>
      <c r="B1219" s="56" t="inlineStr">
        <is>
          <t>TUB-O-N-AUT-AW-FC-38.10X1.60X4.950-ERW 1</t>
        </is>
      </c>
      <c r="C1219" s="56" t="inlineStr">
        <is>
          <t>4C04B20090</t>
        </is>
      </c>
      <c r="D1219" s="56" t="n"/>
      <c r="E1219" s="57" t="n">
        <v>201.078</v>
      </c>
      <c r="F1219" s="57" t="n">
        <v>0.201078</v>
      </c>
      <c r="G1219" s="56" t="inlineStr">
        <is>
          <t>KG</t>
        </is>
      </c>
      <c r="H1219" s="56" t="inlineStr">
        <is>
          <t>TF01</t>
        </is>
      </c>
      <c r="I1219" s="56" t="inlineStr">
        <is>
          <t>4318</t>
        </is>
      </c>
      <c r="J1219" s="56" t="n"/>
      <c r="K1219" s="56" t="n"/>
      <c r="L1219" s="56" t="n"/>
      <c r="M1219" s="56" t="n"/>
      <c r="N1219" s="56" t="inlineStr">
        <is>
          <t>Neel Metal Products Limited</t>
        </is>
      </c>
      <c r="O1219" s="56" t="n">
        <v>3</v>
      </c>
      <c r="P1219" s="59" t="inlineStr">
        <is>
          <t>0-30</t>
        </is>
      </c>
      <c r="Q1219" s="56" t="inlineStr">
        <is>
          <t>Apoorv</t>
        </is>
      </c>
      <c r="U1219" s="585" t="n">
        <v>3801265</v>
      </c>
      <c r="V1219" t="n">
        <v>40</v>
      </c>
      <c r="W1219" t="n">
        <v>25</v>
      </c>
      <c r="X1219" t="n">
        <v>1.6</v>
      </c>
      <c r="Y1219" t="n">
        <v>0.5610000000000001</v>
      </c>
      <c r="Z1219" t="inlineStr">
        <is>
          <t>SAE1020</t>
        </is>
      </c>
      <c r="AA1219" t="inlineStr">
        <is>
          <t>FC</t>
        </is>
      </c>
      <c r="AB1219" t="inlineStr">
        <is>
          <t>AW</t>
        </is>
      </c>
      <c r="AC1219" t="inlineStr">
        <is>
          <t>40-25-1.6-ERW 1-FC</t>
        </is>
      </c>
      <c r="AD1219" t="inlineStr">
        <is>
          <t>CTL</t>
        </is>
      </c>
      <c r="AE1219" t="inlineStr">
        <is>
          <t>40-25-1.6-ERW 1-FC-0.561</t>
        </is>
      </c>
      <c r="AF1219" t="n">
        <v>0.8495977881600001</v>
      </c>
    </row>
    <row r="1220">
      <c r="A1220" s="56" t="n">
        <v>3500240</v>
      </c>
      <c r="B1220" s="56" t="inlineStr">
        <is>
          <t>TUB-O-N-AUT-AH-FC-38.10X2.5X5.65 HSTERW2</t>
        </is>
      </c>
      <c r="C1220" s="56" t="inlineStr">
        <is>
          <t>4B20B20020</t>
        </is>
      </c>
      <c r="D1220" s="56" t="n"/>
      <c r="E1220" s="57" t="n">
        <v>2399.538</v>
      </c>
      <c r="F1220" s="57" t="n">
        <v>2.399538</v>
      </c>
      <c r="G1220" s="56" t="inlineStr">
        <is>
          <t>KG</t>
        </is>
      </c>
      <c r="H1220" s="56" t="inlineStr">
        <is>
          <t>TF01</t>
        </is>
      </c>
      <c r="I1220" s="56" t="inlineStr">
        <is>
          <t>4318</t>
        </is>
      </c>
      <c r="J1220" s="56" t="n"/>
      <c r="K1220" s="56" t="n"/>
      <c r="L1220" s="56" t="n"/>
      <c r="M1220" s="56" t="n"/>
      <c r="N1220" s="56" t="inlineStr">
        <is>
          <t>Rucha Engineers Pvt Ltd.</t>
        </is>
      </c>
      <c r="O1220" s="56" t="n">
        <v>48</v>
      </c>
      <c r="P1220" s="59" t="inlineStr">
        <is>
          <t>31-60</t>
        </is>
      </c>
      <c r="Q1220" s="56" t="inlineStr">
        <is>
          <t>Apoorv</t>
        </is>
      </c>
      <c r="U1220" s="585" t="n">
        <v>1940824</v>
      </c>
      <c r="V1220" t="n">
        <v>40</v>
      </c>
      <c r="W1220" t="n">
        <v>25</v>
      </c>
      <c r="X1220" t="n">
        <v>1.6</v>
      </c>
      <c r="Y1220" t="n">
        <v>0.5610000000000001</v>
      </c>
      <c r="Z1220" t="inlineStr">
        <is>
          <t>GR1</t>
        </is>
      </c>
      <c r="AA1220" t="inlineStr">
        <is>
          <t>FC</t>
        </is>
      </c>
      <c r="AB1220" t="inlineStr">
        <is>
          <t>AW</t>
        </is>
      </c>
      <c r="AC1220" t="inlineStr">
        <is>
          <t>40-25-1.6-ERW 1-FC</t>
        </is>
      </c>
      <c r="AD1220" t="inlineStr">
        <is>
          <t>CTL</t>
        </is>
      </c>
      <c r="AE1220" t="inlineStr">
        <is>
          <t>40-25-1.6-ERW 1-FC-0.561</t>
        </is>
      </c>
      <c r="AF1220" t="n">
        <v>0.8495977881600001</v>
      </c>
    </row>
    <row r="1221">
      <c r="A1221" s="56" t="n">
        <v>3500240</v>
      </c>
      <c r="B1221" s="56" t="inlineStr">
        <is>
          <t>TUB-O-N-AUT-AH-FC-38.10X2.5X5.65 HSTERW2</t>
        </is>
      </c>
      <c r="C1221" s="56" t="inlineStr">
        <is>
          <t>4B20B20010</t>
        </is>
      </c>
      <c r="D1221" s="56" t="n"/>
      <c r="E1221" s="57" t="n">
        <v>2590.546</v>
      </c>
      <c r="F1221" s="57" t="n">
        <v>2.590546</v>
      </c>
      <c r="G1221" s="56" t="inlineStr">
        <is>
          <t>KG</t>
        </is>
      </c>
      <c r="H1221" s="56" t="inlineStr">
        <is>
          <t>TF01</t>
        </is>
      </c>
      <c r="I1221" s="56" t="inlineStr">
        <is>
          <t>4318</t>
        </is>
      </c>
      <c r="J1221" s="56" t="n"/>
      <c r="K1221" s="56" t="n"/>
      <c r="L1221" s="56" t="n"/>
      <c r="M1221" s="56" t="n"/>
      <c r="N1221" s="56" t="inlineStr">
        <is>
          <t>Rucha Engineers Pvt Ltd.</t>
        </is>
      </c>
      <c r="O1221" s="56" t="n">
        <v>44</v>
      </c>
      <c r="P1221" s="59" t="inlineStr">
        <is>
          <t>31-60</t>
        </is>
      </c>
      <c r="Q1221" s="56" t="inlineStr">
        <is>
          <t>Apoorv</t>
        </is>
      </c>
      <c r="U1221" s="585" t="n">
        <v>1940825</v>
      </c>
      <c r="V1221" t="n">
        <v>40</v>
      </c>
      <c r="W1221" t="n">
        <v>25</v>
      </c>
      <c r="X1221" t="n">
        <v>1.6</v>
      </c>
      <c r="Y1221" t="n">
        <v>0.585</v>
      </c>
      <c r="Z1221" t="inlineStr">
        <is>
          <t>GR1</t>
        </is>
      </c>
      <c r="AA1221" t="inlineStr">
        <is>
          <t>FC</t>
        </is>
      </c>
      <c r="AB1221" t="inlineStr">
        <is>
          <t>AW</t>
        </is>
      </c>
      <c r="AC1221" t="inlineStr">
        <is>
          <t>40-25-1.6-ERW 1-FC</t>
        </is>
      </c>
      <c r="AD1221" t="inlineStr">
        <is>
          <t>CTL</t>
        </is>
      </c>
      <c r="AE1221" t="inlineStr">
        <is>
          <t>40-25-1.6-ERW 1-FC-0.585</t>
        </is>
      </c>
      <c r="AF1221" t="n">
        <v>0.8859442176</v>
      </c>
    </row>
    <row r="1222">
      <c r="A1222" s="56" t="n">
        <v>3500240</v>
      </c>
      <c r="B1222" s="56" t="inlineStr">
        <is>
          <t>TUB-O-N-AUT-AH-FC-38.10X2.5X5.65 HSTERW2</t>
        </is>
      </c>
      <c r="C1222" s="56" t="inlineStr">
        <is>
          <t>4B20A20180</t>
        </is>
      </c>
      <c r="D1222" s="56" t="n"/>
      <c r="E1222" s="57" t="n">
        <v>2566.67</v>
      </c>
      <c r="F1222" s="57" t="n">
        <v>2.56667</v>
      </c>
      <c r="G1222" s="56" t="inlineStr">
        <is>
          <t>KG</t>
        </is>
      </c>
      <c r="H1222" s="56" t="inlineStr">
        <is>
          <t>TF01</t>
        </is>
      </c>
      <c r="I1222" s="56" t="inlineStr">
        <is>
          <t>4318</t>
        </is>
      </c>
      <c r="J1222" s="56" t="n"/>
      <c r="K1222" s="56" t="n"/>
      <c r="L1222" s="56" t="n"/>
      <c r="M1222" s="56" t="n"/>
      <c r="N1222" s="56" t="inlineStr">
        <is>
          <t>Rucha Engineers Pvt Ltd.</t>
        </is>
      </c>
      <c r="O1222" s="56" t="n">
        <v>48</v>
      </c>
      <c r="P1222" s="59" t="inlineStr">
        <is>
          <t>31-60</t>
        </is>
      </c>
      <c r="Q1222" s="56" t="inlineStr">
        <is>
          <t>Apoorv</t>
        </is>
      </c>
      <c r="U1222" s="585" t="n">
        <v>3786202</v>
      </c>
      <c r="V1222" t="n">
        <v>40</v>
      </c>
      <c r="W1222" t="n">
        <v>25</v>
      </c>
      <c r="X1222" t="n">
        <v>1.6</v>
      </c>
      <c r="Y1222" t="n">
        <v>0.587</v>
      </c>
      <c r="Z1222" t="inlineStr">
        <is>
          <t>KGR2</t>
        </is>
      </c>
      <c r="AA1222" t="inlineStr">
        <is>
          <t>FC</t>
        </is>
      </c>
      <c r="AB1222" t="inlineStr">
        <is>
          <t>AW</t>
        </is>
      </c>
      <c r="AC1222" t="inlineStr">
        <is>
          <t>40-25-1.6-ERW 1-FC</t>
        </is>
      </c>
      <c r="AD1222" t="inlineStr">
        <is>
          <t>CTL</t>
        </is>
      </c>
      <c r="AE1222" t="inlineStr">
        <is>
          <t>40-25-1.6-ERW 1-FC-0.587</t>
        </is>
      </c>
      <c r="AF1222" t="n">
        <v>0.88897308672</v>
      </c>
    </row>
    <row r="1223">
      <c r="A1223" s="56" t="n">
        <v>3500240</v>
      </c>
      <c r="B1223" s="56" t="inlineStr">
        <is>
          <t>TUB-O-N-AUT-AH-FC-38.10X2.5X5.65 HSTERW2</t>
        </is>
      </c>
      <c r="C1223" s="56" t="inlineStr">
        <is>
          <t>4B20A20160</t>
        </is>
      </c>
      <c r="D1223" s="56" t="n"/>
      <c r="E1223" s="57" t="n">
        <v>2578.608</v>
      </c>
      <c r="F1223" s="57" t="n">
        <v>2.578608</v>
      </c>
      <c r="G1223" s="56" t="inlineStr">
        <is>
          <t>KG</t>
        </is>
      </c>
      <c r="H1223" s="56" t="inlineStr">
        <is>
          <t>TF01</t>
        </is>
      </c>
      <c r="I1223" s="56" t="inlineStr">
        <is>
          <t>4318</t>
        </is>
      </c>
      <c r="J1223" s="56" t="n"/>
      <c r="K1223" s="56" t="n"/>
      <c r="L1223" s="56" t="n"/>
      <c r="M1223" s="56" t="n"/>
      <c r="N1223" s="56" t="inlineStr">
        <is>
          <t>Rucha Engineers Pvt Ltd.</t>
        </is>
      </c>
      <c r="O1223" s="56" t="n">
        <v>48</v>
      </c>
      <c r="P1223" s="59" t="inlineStr">
        <is>
          <t>31-60</t>
        </is>
      </c>
      <c r="Q1223" s="56" t="inlineStr">
        <is>
          <t>Apoorv</t>
        </is>
      </c>
      <c r="U1223" s="585" t="n">
        <v>4229657</v>
      </c>
      <c r="V1223" t="n">
        <v>40</v>
      </c>
      <c r="W1223" t="n">
        <v>25</v>
      </c>
      <c r="X1223" t="n">
        <v>1.6</v>
      </c>
      <c r="Y1223" t="n">
        <v>0.647</v>
      </c>
      <c r="Z1223" t="inlineStr">
        <is>
          <t>GR1</t>
        </is>
      </c>
      <c r="AA1223" t="inlineStr">
        <is>
          <t>FC</t>
        </is>
      </c>
      <c r="AB1223" t="inlineStr">
        <is>
          <t>AW</t>
        </is>
      </c>
      <c r="AC1223" t="inlineStr">
        <is>
          <t>40-25-1.6-ERW 1-FC</t>
        </is>
      </c>
      <c r="AD1223" t="inlineStr">
        <is>
          <t>CTL</t>
        </is>
      </c>
      <c r="AE1223" t="inlineStr">
        <is>
          <t>40-25-1.6-ERW 1-FC-0.647</t>
        </is>
      </c>
      <c r="AF1223" t="n">
        <v>0.9798391603200001</v>
      </c>
    </row>
    <row r="1224">
      <c r="A1224" s="56" t="n">
        <v>3500240</v>
      </c>
      <c r="B1224" s="56" t="inlineStr">
        <is>
          <t>TUB-O-N-AUT-AH-FC-38.10X2.5X5.65 HSTERW2</t>
        </is>
      </c>
      <c r="C1224" s="56" t="inlineStr">
        <is>
          <t>4B20A20150</t>
        </is>
      </c>
      <c r="D1224" s="56" t="n"/>
      <c r="E1224" s="57" t="n">
        <v>771.16</v>
      </c>
      <c r="F1224" s="57" t="n">
        <v>0.77116</v>
      </c>
      <c r="G1224" s="56" t="inlineStr">
        <is>
          <t>KG</t>
        </is>
      </c>
      <c r="H1224" s="56" t="inlineStr">
        <is>
          <t>TF01</t>
        </is>
      </c>
      <c r="I1224" s="56" t="inlineStr">
        <is>
          <t>4318</t>
        </is>
      </c>
      <c r="J1224" s="56" t="n"/>
      <c r="K1224" s="56" t="n"/>
      <c r="L1224" s="56" t="n"/>
      <c r="M1224" s="56" t="n"/>
      <c r="N1224" s="56" t="inlineStr">
        <is>
          <t>Rucha Engineers Pvt Ltd.</t>
        </is>
      </c>
      <c r="O1224" s="56" t="n">
        <v>3</v>
      </c>
      <c r="P1224" s="59" t="inlineStr">
        <is>
          <t>0-30</t>
        </is>
      </c>
      <c r="Q1224" s="56" t="inlineStr">
        <is>
          <t>Apoorv</t>
        </is>
      </c>
      <c r="U1224" s="585" t="n">
        <v>3870804</v>
      </c>
      <c r="V1224" t="n">
        <v>40</v>
      </c>
      <c r="W1224" t="n">
        <v>25</v>
      </c>
      <c r="X1224" t="n">
        <v>1.6</v>
      </c>
      <c r="Y1224" t="n">
        <v>5.64</v>
      </c>
      <c r="Z1224" t="inlineStr">
        <is>
          <t>SAE1020</t>
        </is>
      </c>
      <c r="AA1224" t="inlineStr">
        <is>
          <t>FC</t>
        </is>
      </c>
      <c r="AB1224" t="inlineStr">
        <is>
          <t>AW</t>
        </is>
      </c>
      <c r="AC1224" t="inlineStr">
        <is>
          <t>40-25-1.6-ERW 2-FC</t>
        </is>
      </c>
      <c r="AD1224" t="inlineStr">
        <is>
          <t>LL</t>
        </is>
      </c>
      <c r="AE1224" t="inlineStr">
        <is>
          <t>40-25-1.6-ERW 2-FC-1</t>
        </is>
      </c>
      <c r="AF1224" t="n">
        <v>1.51443456</v>
      </c>
    </row>
    <row r="1225">
      <c r="A1225" s="56" t="n">
        <v>3500240</v>
      </c>
      <c r="B1225" s="56" t="inlineStr">
        <is>
          <t>TUB-O-N-AUT-AH-FC-38.10X2.5X5.65 HSTERW2</t>
        </is>
      </c>
      <c r="C1225" s="56" t="inlineStr">
        <is>
          <t>4B20A20140</t>
        </is>
      </c>
      <c r="D1225" s="56" t="n"/>
      <c r="E1225" s="57" t="n">
        <v>2590.546</v>
      </c>
      <c r="F1225" s="57" t="n">
        <v>2.590546</v>
      </c>
      <c r="G1225" s="56" t="inlineStr">
        <is>
          <t>KG</t>
        </is>
      </c>
      <c r="H1225" s="56" t="inlineStr">
        <is>
          <t>TF01</t>
        </is>
      </c>
      <c r="I1225" s="56" t="inlineStr">
        <is>
          <t>4318</t>
        </is>
      </c>
      <c r="J1225" s="56" t="n"/>
      <c r="K1225" s="56" t="n"/>
      <c r="L1225" s="56" t="n"/>
      <c r="M1225" s="56" t="n"/>
      <c r="N1225" s="56" t="inlineStr">
        <is>
          <t>Rucha Engineers Pvt Ltd.</t>
        </is>
      </c>
      <c r="O1225" s="56" t="n">
        <v>44</v>
      </c>
      <c r="P1225" s="59" t="inlineStr">
        <is>
          <t>31-60</t>
        </is>
      </c>
      <c r="Q1225" s="56" t="inlineStr">
        <is>
          <t>Apoorv</t>
        </is>
      </c>
      <c r="U1225" s="586" t="n">
        <v>111119554</v>
      </c>
      <c r="V1225" t="n">
        <v>40</v>
      </c>
      <c r="W1225" t="n">
        <v>25</v>
      </c>
      <c r="X1225" t="n">
        <v>1.6</v>
      </c>
      <c r="Y1225" t="n">
        <v>5.7</v>
      </c>
      <c r="Z1225" t="inlineStr">
        <is>
          <t>SAE1020</t>
        </is>
      </c>
      <c r="AA1225" t="inlineStr">
        <is>
          <t>FC</t>
        </is>
      </c>
      <c r="AB1225" t="inlineStr">
        <is>
          <t>AW</t>
        </is>
      </c>
      <c r="AC1225" t="inlineStr">
        <is>
          <t>40-25-1.6-ERW 2-FC</t>
        </is>
      </c>
      <c r="AD1225" t="inlineStr">
        <is>
          <t>LL</t>
        </is>
      </c>
      <c r="AE1225" t="inlineStr">
        <is>
          <t>40-25-1.6-ERW 2-FC-1</t>
        </is>
      </c>
      <c r="AF1225" t="n">
        <v>1.51443456</v>
      </c>
    </row>
    <row r="1226">
      <c r="A1226" s="56" t="n">
        <v>3500240</v>
      </c>
      <c r="B1226" s="56" t="inlineStr">
        <is>
          <t>TUB-O-N-AUT-AH-FC-38.10X2.5X5.65 HSTERW2</t>
        </is>
      </c>
      <c r="C1226" s="56" t="inlineStr">
        <is>
          <t>4B20A20130</t>
        </is>
      </c>
      <c r="D1226" s="56" t="n"/>
      <c r="E1226" s="57" t="n">
        <v>2590.546</v>
      </c>
      <c r="F1226" s="57" t="n">
        <v>2.590546</v>
      </c>
      <c r="G1226" s="56" t="inlineStr">
        <is>
          <t>KG</t>
        </is>
      </c>
      <c r="H1226" s="56" t="inlineStr">
        <is>
          <t>TF01</t>
        </is>
      </c>
      <c r="I1226" s="56" t="inlineStr">
        <is>
          <t>4318</t>
        </is>
      </c>
      <c r="J1226" s="56" t="n"/>
      <c r="K1226" s="56" t="n"/>
      <c r="L1226" s="56" t="n"/>
      <c r="M1226" s="56" t="n"/>
      <c r="N1226" s="56" t="inlineStr">
        <is>
          <t>Rucha Engineers Pvt Ltd.</t>
        </is>
      </c>
      <c r="O1226" s="56" t="n">
        <v>44</v>
      </c>
      <c r="P1226" s="59" t="inlineStr">
        <is>
          <t>31-60</t>
        </is>
      </c>
      <c r="Q1226" s="56" t="inlineStr">
        <is>
          <t>Apoorv</t>
        </is>
      </c>
      <c r="U1226" s="586" t="n">
        <v>111120634</v>
      </c>
      <c r="V1226" t="n">
        <v>40</v>
      </c>
      <c r="W1226" t="n">
        <v>25</v>
      </c>
      <c r="X1226" t="n">
        <v>1.6</v>
      </c>
      <c r="Y1226" t="n">
        <v>5.7</v>
      </c>
      <c r="Z1226" t="inlineStr">
        <is>
          <t>GR1</t>
        </is>
      </c>
      <c r="AA1226" t="inlineStr">
        <is>
          <t>FC</t>
        </is>
      </c>
      <c r="AB1226" t="inlineStr">
        <is>
          <t>AW</t>
        </is>
      </c>
      <c r="AC1226" t="inlineStr">
        <is>
          <t>40-25-1.6-ERW 1-FC</t>
        </is>
      </c>
      <c r="AD1226" t="inlineStr">
        <is>
          <t>LL</t>
        </is>
      </c>
      <c r="AE1226" t="inlineStr">
        <is>
          <t>40-25-1.6-ERW 1-FC-1</t>
        </is>
      </c>
      <c r="AF1226" t="n">
        <v>1.51443456</v>
      </c>
    </row>
    <row r="1227">
      <c r="A1227" s="56" t="n">
        <v>3500240</v>
      </c>
      <c r="B1227" s="56" t="inlineStr">
        <is>
          <t>TUB-O-N-AUT-AH-FC-38.10X2.5X5.65 HSTERW2</t>
        </is>
      </c>
      <c r="C1227" s="56" t="inlineStr">
        <is>
          <t>4B20A20110</t>
        </is>
      </c>
      <c r="D1227" s="56" t="n"/>
      <c r="E1227" s="57" t="n">
        <v>2590.546</v>
      </c>
      <c r="F1227" s="57" t="n">
        <v>2.590546</v>
      </c>
      <c r="G1227" s="56" t="inlineStr">
        <is>
          <t>KG</t>
        </is>
      </c>
      <c r="H1227" s="56" t="inlineStr">
        <is>
          <t>TF01</t>
        </is>
      </c>
      <c r="I1227" s="56" t="inlineStr">
        <is>
          <t>4318</t>
        </is>
      </c>
      <c r="J1227" s="56" t="n"/>
      <c r="K1227" s="56" t="n"/>
      <c r="L1227" s="56" t="n"/>
      <c r="M1227" s="56" t="n"/>
      <c r="N1227" s="56" t="inlineStr">
        <is>
          <t>Rucha Engineers Pvt Ltd.</t>
        </is>
      </c>
      <c r="O1227" s="56" t="n">
        <v>44</v>
      </c>
      <c r="P1227" s="59" t="inlineStr">
        <is>
          <t>31-60</t>
        </is>
      </c>
      <c r="Q1227" s="56" t="inlineStr">
        <is>
          <t>Apoorv</t>
        </is>
      </c>
      <c r="U1227" s="586" t="n">
        <v>111116374</v>
      </c>
      <c r="V1227" t="n">
        <v>40</v>
      </c>
      <c r="W1227" t="n">
        <v>25</v>
      </c>
      <c r="X1227" t="n">
        <v>1.6</v>
      </c>
      <c r="Y1227" t="n">
        <v>5.74</v>
      </c>
      <c r="Z1227" t="inlineStr">
        <is>
          <t>GR1</t>
        </is>
      </c>
      <c r="AA1227" t="inlineStr">
        <is>
          <t>FC</t>
        </is>
      </c>
      <c r="AB1227" t="inlineStr">
        <is>
          <t>AW</t>
        </is>
      </c>
      <c r="AC1227" t="inlineStr">
        <is>
          <t>40-25-1.6-ERW 1-FC</t>
        </is>
      </c>
      <c r="AD1227" t="inlineStr">
        <is>
          <t>LL</t>
        </is>
      </c>
      <c r="AE1227" t="inlineStr">
        <is>
          <t>40-25-1.6-ERW 1-FC-1</t>
        </is>
      </c>
      <c r="AF1227" t="n">
        <v>1.51443456</v>
      </c>
    </row>
    <row r="1228">
      <c r="A1228" s="56" t="n">
        <v>3500240</v>
      </c>
      <c r="B1228" s="56" t="inlineStr">
        <is>
          <t>TUB-O-N-AUT-AH-FC-38.10X2.5X5.65 HSTERW2</t>
        </is>
      </c>
      <c r="C1228" s="56" t="inlineStr">
        <is>
          <t>4B20A20100</t>
        </is>
      </c>
      <c r="D1228" s="56" t="n"/>
      <c r="E1228" s="57" t="n">
        <v>2590.546</v>
      </c>
      <c r="F1228" s="57" t="n">
        <v>2.590546</v>
      </c>
      <c r="G1228" s="56" t="inlineStr">
        <is>
          <t>KG</t>
        </is>
      </c>
      <c r="H1228" s="56" t="inlineStr">
        <is>
          <t>TF01</t>
        </is>
      </c>
      <c r="I1228" s="56" t="inlineStr">
        <is>
          <t>4318</t>
        </is>
      </c>
      <c r="J1228" s="56" t="n"/>
      <c r="K1228" s="56" t="n"/>
      <c r="L1228" s="56" t="n"/>
      <c r="M1228" s="56" t="n"/>
      <c r="N1228" s="56" t="inlineStr">
        <is>
          <t>Rucha Engineers Pvt Ltd.</t>
        </is>
      </c>
      <c r="O1228" s="56" t="n">
        <v>44</v>
      </c>
      <c r="P1228" s="59" t="inlineStr">
        <is>
          <t>31-60</t>
        </is>
      </c>
      <c r="Q1228" s="56" t="inlineStr">
        <is>
          <t>Apoorv</t>
        </is>
      </c>
      <c r="U1228" s="585" t="n">
        <v>4189323</v>
      </c>
      <c r="V1228" t="n">
        <v>40</v>
      </c>
      <c r="W1228" t="n">
        <v>25</v>
      </c>
      <c r="X1228" t="n">
        <v>1.6</v>
      </c>
      <c r="Y1228" t="n">
        <v>5.74</v>
      </c>
      <c r="Z1228" t="inlineStr">
        <is>
          <t>GR1</t>
        </is>
      </c>
      <c r="AA1228" t="inlineStr">
        <is>
          <t>FC</t>
        </is>
      </c>
      <c r="AB1228" t="inlineStr">
        <is>
          <t>AW</t>
        </is>
      </c>
      <c r="AC1228" t="inlineStr">
        <is>
          <t>40-25-1.6-ERW 1-FC</t>
        </is>
      </c>
      <c r="AD1228" t="inlineStr">
        <is>
          <t>LL</t>
        </is>
      </c>
      <c r="AE1228" t="inlineStr">
        <is>
          <t>40-25-1.6-ERW 1-FC-1</t>
        </is>
      </c>
      <c r="AF1228" t="n">
        <v>1.51443456</v>
      </c>
    </row>
    <row r="1229">
      <c r="A1229" s="56" t="n">
        <v>3500240</v>
      </c>
      <c r="B1229" s="56" t="inlineStr">
        <is>
          <t>TUB-O-N-AUT-AH-FC-38.10X2.5X5.65 HSTERW2</t>
        </is>
      </c>
      <c r="C1229" s="56" t="inlineStr">
        <is>
          <t>4B20A20090</t>
        </is>
      </c>
      <c r="D1229" s="56" t="n"/>
      <c r="E1229" s="57" t="n">
        <v>2590.546</v>
      </c>
      <c r="F1229" s="57" t="n">
        <v>2.590546</v>
      </c>
      <c r="G1229" s="56" t="inlineStr">
        <is>
          <t>KG</t>
        </is>
      </c>
      <c r="H1229" s="56" t="inlineStr">
        <is>
          <t>TF01</t>
        </is>
      </c>
      <c r="I1229" s="56" t="inlineStr">
        <is>
          <t>4318</t>
        </is>
      </c>
      <c r="J1229" s="56" t="n"/>
      <c r="K1229" s="56" t="n"/>
      <c r="L1229" s="56" t="n"/>
      <c r="M1229" s="56" t="n"/>
      <c r="N1229" s="56" t="inlineStr">
        <is>
          <t>Rucha Engineers Pvt Ltd.</t>
        </is>
      </c>
      <c r="O1229" s="56" t="n">
        <v>44</v>
      </c>
      <c r="P1229" s="59" t="inlineStr">
        <is>
          <t>31-60</t>
        </is>
      </c>
      <c r="Q1229" s="56" t="inlineStr">
        <is>
          <t>Apoorv</t>
        </is>
      </c>
      <c r="U1229" s="585" t="n">
        <v>2430125</v>
      </c>
      <c r="V1229" t="n">
        <v>40</v>
      </c>
      <c r="W1229" t="n">
        <v>25</v>
      </c>
      <c r="X1229" t="n">
        <v>1.6</v>
      </c>
      <c r="Y1229" t="n">
        <v>5.75</v>
      </c>
      <c r="Z1229" t="inlineStr">
        <is>
          <t>HROP</t>
        </is>
      </c>
      <c r="AA1229" t="inlineStr">
        <is>
          <t>FC</t>
        </is>
      </c>
      <c r="AB1229" t="inlineStr">
        <is>
          <t>AW</t>
        </is>
      </c>
      <c r="AC1229" t="inlineStr">
        <is>
          <t>40-25-1.6-ERW 1-FC</t>
        </is>
      </c>
      <c r="AD1229" t="inlineStr">
        <is>
          <t>LL</t>
        </is>
      </c>
      <c r="AE1229" t="inlineStr">
        <is>
          <t>40-25-1.6-ERW 1-FC-1</t>
        </is>
      </c>
      <c r="AF1229" t="n">
        <v>1.51443456</v>
      </c>
    </row>
    <row r="1230">
      <c r="A1230" s="56" t="n">
        <v>3500240</v>
      </c>
      <c r="B1230" s="56" t="inlineStr">
        <is>
          <t>TUB-O-N-AUT-AH-FC-38.10X2.5X5.65 HSTERW2</t>
        </is>
      </c>
      <c r="C1230" s="56" t="inlineStr">
        <is>
          <t>4B20A20080</t>
        </is>
      </c>
      <c r="D1230" s="56" t="n"/>
      <c r="E1230" s="57" t="n">
        <v>741.646</v>
      </c>
      <c r="F1230" s="57" t="n">
        <v>0.7416459999999999</v>
      </c>
      <c r="G1230" s="56" t="inlineStr">
        <is>
          <t>KG</t>
        </is>
      </c>
      <c r="H1230" s="56" t="inlineStr">
        <is>
          <t>TF01</t>
        </is>
      </c>
      <c r="I1230" s="56" t="inlineStr">
        <is>
          <t>4318</t>
        </is>
      </c>
      <c r="J1230" s="56" t="n"/>
      <c r="K1230" s="56" t="n"/>
      <c r="L1230" s="56" t="n"/>
      <c r="M1230" s="56" t="n"/>
      <c r="N1230" s="56" t="inlineStr">
        <is>
          <t>Rucha Engineers Pvt Ltd.</t>
        </is>
      </c>
      <c r="O1230" s="56" t="n">
        <v>3</v>
      </c>
      <c r="P1230" s="59" t="inlineStr">
        <is>
          <t>0-30</t>
        </is>
      </c>
      <c r="Q1230" s="56" t="inlineStr">
        <is>
          <t>Apoorv</t>
        </is>
      </c>
      <c r="U1230" s="586" t="n">
        <v>110102951</v>
      </c>
      <c r="V1230" t="n">
        <v>40</v>
      </c>
      <c r="W1230" t="n">
        <v>25</v>
      </c>
      <c r="X1230" t="n">
        <v>1.6</v>
      </c>
      <c r="Y1230" t="n">
        <v>5.95</v>
      </c>
      <c r="Z1230" t="inlineStr">
        <is>
          <t>GR1</t>
        </is>
      </c>
      <c r="AA1230" t="inlineStr">
        <is>
          <t>FC</t>
        </is>
      </c>
      <c r="AB1230" t="inlineStr">
        <is>
          <t>AW</t>
        </is>
      </c>
      <c r="AC1230" t="inlineStr">
        <is>
          <t>40-25-1.6-ERW 1-FC</t>
        </is>
      </c>
      <c r="AD1230" t="inlineStr">
        <is>
          <t>LL</t>
        </is>
      </c>
      <c r="AE1230" t="inlineStr">
        <is>
          <t>40-25-1.6-ERW 1-FC-1</t>
        </is>
      </c>
      <c r="AF1230" t="n">
        <v>1.51443456</v>
      </c>
    </row>
    <row r="1231">
      <c r="A1231" s="56" t="n">
        <v>3500240</v>
      </c>
      <c r="B1231" s="56" t="inlineStr">
        <is>
          <t>TUB-O-N-AUT-AH-FC-38.10X2.5X5.65 HSTERW2</t>
        </is>
      </c>
      <c r="C1231" s="56" t="inlineStr">
        <is>
          <t>4B20A20070</t>
        </is>
      </c>
      <c r="D1231" s="56" t="n"/>
      <c r="E1231" s="57" t="n">
        <v>2590.546</v>
      </c>
      <c r="F1231" s="57" t="n">
        <v>2.590546</v>
      </c>
      <c r="G1231" s="56" t="inlineStr">
        <is>
          <t>KG</t>
        </is>
      </c>
      <c r="H1231" s="56" t="inlineStr">
        <is>
          <t>TF01</t>
        </is>
      </c>
      <c r="I1231" s="56" t="inlineStr">
        <is>
          <t>4318</t>
        </is>
      </c>
      <c r="J1231" s="56" t="n"/>
      <c r="K1231" s="56" t="n"/>
      <c r="L1231" s="56" t="n"/>
      <c r="M1231" s="56" t="n"/>
      <c r="N1231" s="56" t="inlineStr">
        <is>
          <t>Rucha Engineers Pvt Ltd.</t>
        </is>
      </c>
      <c r="O1231" s="56" t="n">
        <v>48</v>
      </c>
      <c r="P1231" s="59" t="inlineStr">
        <is>
          <t>31-60</t>
        </is>
      </c>
      <c r="Q1231" s="56" t="inlineStr">
        <is>
          <t>Apoorv</t>
        </is>
      </c>
      <c r="U1231" s="586" t="n">
        <v>111107160</v>
      </c>
      <c r="V1231" t="n">
        <v>40</v>
      </c>
      <c r="W1231" t="n">
        <v>25</v>
      </c>
      <c r="X1231" t="n">
        <v>1.6</v>
      </c>
      <c r="Y1231" t="n">
        <v>5.99</v>
      </c>
      <c r="Z1231" t="inlineStr">
        <is>
          <t>HROP</t>
        </is>
      </c>
      <c r="AA1231" t="inlineStr">
        <is>
          <t>FC</t>
        </is>
      </c>
      <c r="AB1231" t="inlineStr">
        <is>
          <t>AW</t>
        </is>
      </c>
      <c r="AC1231" t="inlineStr">
        <is>
          <t>40-25-1.6-ERW 1-FC</t>
        </is>
      </c>
      <c r="AD1231" t="inlineStr">
        <is>
          <t>LL</t>
        </is>
      </c>
      <c r="AE1231" t="inlineStr">
        <is>
          <t>40-25-1.6-ERW 1-FC-1</t>
        </is>
      </c>
      <c r="AF1231" t="n">
        <v>1.51443456</v>
      </c>
    </row>
    <row r="1232">
      <c r="A1232" s="56" t="n">
        <v>3500240</v>
      </c>
      <c r="B1232" s="56" t="inlineStr">
        <is>
          <t>TUB-O-N-AUT-AH-FC-38.10X2.5X5.65 HSTERW2</t>
        </is>
      </c>
      <c r="C1232" s="56" t="inlineStr">
        <is>
          <t>4B20A20060</t>
        </is>
      </c>
      <c r="D1232" s="56" t="n"/>
      <c r="E1232" s="57" t="n">
        <v>2590.546</v>
      </c>
      <c r="F1232" s="57" t="n">
        <v>2.590546</v>
      </c>
      <c r="G1232" s="56" t="inlineStr">
        <is>
          <t>KG</t>
        </is>
      </c>
      <c r="H1232" s="56" t="inlineStr">
        <is>
          <t>TF01</t>
        </is>
      </c>
      <c r="I1232" s="56" t="inlineStr">
        <is>
          <t>4318</t>
        </is>
      </c>
      <c r="J1232" s="56" t="n"/>
      <c r="K1232" s="56" t="n"/>
      <c r="L1232" s="56" t="n"/>
      <c r="M1232" s="56" t="n"/>
      <c r="N1232" s="56" t="inlineStr">
        <is>
          <t>Rucha Engineers Pvt Ltd.</t>
        </is>
      </c>
      <c r="O1232" s="56" t="n">
        <v>48</v>
      </c>
      <c r="P1232" s="59" t="inlineStr">
        <is>
          <t>31-60</t>
        </is>
      </c>
      <c r="Q1232" s="56" t="inlineStr">
        <is>
          <t>Apoorv</t>
        </is>
      </c>
      <c r="U1232" s="585" t="n">
        <v>3597718</v>
      </c>
      <c r="V1232" t="n">
        <v>40</v>
      </c>
      <c r="W1232" t="n">
        <v>25</v>
      </c>
      <c r="X1232" t="n">
        <v>1.6</v>
      </c>
      <c r="Y1232" t="n">
        <v>5.99</v>
      </c>
      <c r="Z1232" t="inlineStr">
        <is>
          <t>HROP</t>
        </is>
      </c>
      <c r="AA1232" t="inlineStr">
        <is>
          <t>FC</t>
        </is>
      </c>
      <c r="AB1232" t="inlineStr">
        <is>
          <t>AW</t>
        </is>
      </c>
      <c r="AC1232" t="inlineStr">
        <is>
          <t>40-25-1.6-ERW 1-FC</t>
        </is>
      </c>
      <c r="AD1232" t="inlineStr">
        <is>
          <t>LL</t>
        </is>
      </c>
      <c r="AE1232" t="inlineStr">
        <is>
          <t>40-25-1.6-ERW 1-FC-1</t>
        </is>
      </c>
      <c r="AF1232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233">
      <c r="A1233" s="56" t="n">
        <v>3500240</v>
      </c>
      <c r="B1233" s="56" t="inlineStr">
        <is>
          <t>TUB-O-N-AUT-AH-FC-38.10X2.5X5.65 HSTERW2</t>
        </is>
      </c>
      <c r="C1233" s="56" t="inlineStr">
        <is>
          <t>4B20A20030</t>
        </is>
      </c>
      <c r="D1233" s="56" t="n"/>
      <c r="E1233" s="57" t="n">
        <v>2590.546</v>
      </c>
      <c r="F1233" s="57" t="n">
        <v>2.590546</v>
      </c>
      <c r="G1233" s="56" t="inlineStr">
        <is>
          <t>KG</t>
        </is>
      </c>
      <c r="H1233" s="56" t="inlineStr">
        <is>
          <t>TF01</t>
        </is>
      </c>
      <c r="I1233" s="56" t="inlineStr">
        <is>
          <t>4318</t>
        </is>
      </c>
      <c r="J1233" s="56" t="n"/>
      <c r="K1233" s="56" t="n"/>
      <c r="L1233" s="56" t="n"/>
      <c r="M1233" s="56" t="n"/>
      <c r="N1233" s="56" t="inlineStr">
        <is>
          <t>Rucha Engineers Pvt Ltd.</t>
        </is>
      </c>
      <c r="O1233" s="56" t="n">
        <v>44</v>
      </c>
      <c r="P1233" s="59" t="inlineStr">
        <is>
          <t>31-60</t>
        </is>
      </c>
      <c r="Q1233" s="56" t="inlineStr">
        <is>
          <t>Apoorv</t>
        </is>
      </c>
      <c r="U1233" s="585" t="n">
        <v>1940826</v>
      </c>
      <c r="V1233" t="n">
        <v>40</v>
      </c>
      <c r="W1233" t="n">
        <v>25</v>
      </c>
      <c r="X1233" t="n">
        <v>1.6</v>
      </c>
      <c r="Y1233" t="n">
        <v>6</v>
      </c>
      <c r="Z1233" t="inlineStr">
        <is>
          <t>GR1</t>
        </is>
      </c>
      <c r="AA1233" t="inlineStr">
        <is>
          <t>FC</t>
        </is>
      </c>
      <c r="AB1233" t="inlineStr">
        <is>
          <t>AW</t>
        </is>
      </c>
      <c r="AC1233" t="inlineStr">
        <is>
          <t>40-25-1.6-ERW 1-FC</t>
        </is>
      </c>
      <c r="AD1233" t="inlineStr">
        <is>
          <t>LL</t>
        </is>
      </c>
      <c r="AE1233" t="inlineStr">
        <is>
          <t>40-25-1.6-ERW 1-FC-1</t>
        </is>
      </c>
      <c r="AF1233" t="n">
        <v>1.51443456</v>
      </c>
    </row>
    <row r="1234">
      <c r="A1234" s="56" t="n">
        <v>3500240</v>
      </c>
      <c r="B1234" s="56" t="inlineStr">
        <is>
          <t>TUB-O-N-AUT-AH-FC-38.10X2.5X5.65 HSTERW2</t>
        </is>
      </c>
      <c r="C1234" s="56" t="inlineStr">
        <is>
          <t>4B20A20020</t>
        </is>
      </c>
      <c r="D1234" s="56" t="n"/>
      <c r="E1234" s="57" t="n">
        <v>715.034</v>
      </c>
      <c r="F1234" s="57" t="n">
        <v>0.7150339999999999</v>
      </c>
      <c r="G1234" s="56" t="inlineStr">
        <is>
          <t>KG</t>
        </is>
      </c>
      <c r="H1234" s="56" t="inlineStr">
        <is>
          <t>TF01</t>
        </is>
      </c>
      <c r="I1234" s="56" t="inlineStr">
        <is>
          <t>4318</t>
        </is>
      </c>
      <c r="J1234" s="56" t="n"/>
      <c r="K1234" s="56" t="n"/>
      <c r="L1234" s="56" t="n"/>
      <c r="M1234" s="56" t="n"/>
      <c r="N1234" s="56" t="inlineStr">
        <is>
          <t>Rucha Engineers Pvt Ltd.</t>
        </is>
      </c>
      <c r="O1234" s="56" t="n">
        <v>13</v>
      </c>
      <c r="P1234" s="59" t="inlineStr">
        <is>
          <t>0-30</t>
        </is>
      </c>
      <c r="Q1234" s="56" t="inlineStr">
        <is>
          <t>Apoorv</t>
        </is>
      </c>
      <c r="U1234" s="586" t="n">
        <v>111120633</v>
      </c>
      <c r="V1234" t="n">
        <v>40</v>
      </c>
      <c r="W1234" t="n">
        <v>25</v>
      </c>
      <c r="X1234" t="n">
        <v>1.6</v>
      </c>
      <c r="Y1234" t="n">
        <v>6.02</v>
      </c>
      <c r="Z1234" t="inlineStr">
        <is>
          <t>HROP</t>
        </is>
      </c>
      <c r="AA1234" t="inlineStr">
        <is>
          <t>FC</t>
        </is>
      </c>
      <c r="AB1234" t="inlineStr">
        <is>
          <t>AW</t>
        </is>
      </c>
      <c r="AC1234" t="inlineStr">
        <is>
          <t>40-25-1.6-ERW 1-FC</t>
        </is>
      </c>
      <c r="AD1234" t="inlineStr">
        <is>
          <t>LL</t>
        </is>
      </c>
      <c r="AE1234" t="inlineStr">
        <is>
          <t>40-25-1.6-ERW 1-FC-1</t>
        </is>
      </c>
      <c r="AF1234" t="n">
        <v>1.51443456</v>
      </c>
    </row>
    <row r="1235">
      <c r="A1235" s="56" t="n">
        <v>3500268</v>
      </c>
      <c r="B1235" s="56" t="inlineStr">
        <is>
          <t>TUB-S-AW-SHS-50.00X50.00X1.600X6.000 HST</t>
        </is>
      </c>
      <c r="C1235" s="56" t="inlineStr">
        <is>
          <t>4A28A30160</t>
        </is>
      </c>
      <c r="D1235" s="56" t="n"/>
      <c r="E1235" s="57" t="n">
        <v>677.524</v>
      </c>
      <c r="F1235" s="57" t="n">
        <v>0.677524</v>
      </c>
      <c r="G1235" s="56" t="inlineStr">
        <is>
          <t>KG</t>
        </is>
      </c>
      <c r="H1235" s="56" t="inlineStr">
        <is>
          <t>TF01</t>
        </is>
      </c>
      <c r="I1235" s="56" t="inlineStr">
        <is>
          <t>4318</t>
        </is>
      </c>
      <c r="J1235" s="56" t="n"/>
      <c r="K1235" s="56" t="n"/>
      <c r="L1235" s="56" t="n"/>
      <c r="M1235" s="56" t="n"/>
      <c r="N1235" s="56" t="inlineStr">
        <is>
          <t>Neel Metal Products Limited</t>
        </is>
      </c>
      <c r="O1235" s="56" t="n">
        <v>32</v>
      </c>
      <c r="P1235" s="59" t="inlineStr">
        <is>
          <t>31-60</t>
        </is>
      </c>
      <c r="Q1235" s="56" t="inlineStr">
        <is>
          <t>Apoorv</t>
        </is>
      </c>
      <c r="U1235" s="586" t="n">
        <v>111107161</v>
      </c>
      <c r="V1235" t="n">
        <v>40</v>
      </c>
      <c r="W1235" t="n">
        <v>25</v>
      </c>
      <c r="X1235" t="n">
        <v>1.6</v>
      </c>
      <c r="Y1235" t="n">
        <v>6.25</v>
      </c>
      <c r="Z1235" t="inlineStr">
        <is>
          <t>HROP</t>
        </is>
      </c>
      <c r="AA1235" t="inlineStr">
        <is>
          <t>FC</t>
        </is>
      </c>
      <c r="AB1235" t="inlineStr">
        <is>
          <t>AW</t>
        </is>
      </c>
      <c r="AC1235" t="inlineStr">
        <is>
          <t>40-25-1.6-ERW 1-FC</t>
        </is>
      </c>
      <c r="AD1235" t="inlineStr">
        <is>
          <t>LL</t>
        </is>
      </c>
      <c r="AE1235" t="inlineStr">
        <is>
          <t>40-25-1.6-ERW 1-FC-1</t>
        </is>
      </c>
      <c r="AF1235" t="n">
        <v>1.51443456</v>
      </c>
    </row>
    <row r="1236">
      <c r="A1236" s="56" t="n">
        <v>3500268</v>
      </c>
      <c r="B1236" s="56" t="inlineStr">
        <is>
          <t>TUB-S-AW-SHS-50.00X50.00X1.600X6.000 HST</t>
        </is>
      </c>
      <c r="C1236" s="56" t="inlineStr">
        <is>
          <t>4A28A30150</t>
        </is>
      </c>
      <c r="D1236" s="56" t="n"/>
      <c r="E1236" s="57" t="n">
        <v>1285.11</v>
      </c>
      <c r="F1236" s="57" t="n">
        <v>1.28511</v>
      </c>
      <c r="G1236" s="56" t="inlineStr">
        <is>
          <t>KG</t>
        </is>
      </c>
      <c r="H1236" s="56" t="inlineStr">
        <is>
          <t>TF01</t>
        </is>
      </c>
      <c r="I1236" s="56" t="inlineStr">
        <is>
          <t>4318</t>
        </is>
      </c>
      <c r="J1236" s="56" t="n"/>
      <c r="K1236" s="56" t="n"/>
      <c r="L1236" s="56" t="n"/>
      <c r="M1236" s="56" t="n"/>
      <c r="N1236" s="56" t="inlineStr">
        <is>
          <t>Neel Metal Products Limited</t>
        </is>
      </c>
      <c r="O1236" s="56" t="n">
        <v>65</v>
      </c>
      <c r="P1236" s="59" t="inlineStr">
        <is>
          <t>61-90</t>
        </is>
      </c>
      <c r="Q1236" s="56" t="inlineStr">
        <is>
          <t>Apoorv</t>
        </is>
      </c>
      <c r="U1236" s="585" t="n">
        <v>1932559</v>
      </c>
      <c r="V1236" t="n">
        <v>40</v>
      </c>
      <c r="W1236" t="n">
        <v>25</v>
      </c>
      <c r="X1236" t="n">
        <v>2</v>
      </c>
      <c r="Y1236" t="n">
        <v>6</v>
      </c>
      <c r="Z1236" t="inlineStr">
        <is>
          <t>D</t>
        </is>
      </c>
      <c r="AA1236" t="inlineStr">
        <is>
          <t>PE</t>
        </is>
      </c>
      <c r="AB1236" t="inlineStr">
        <is>
          <t>AW</t>
        </is>
      </c>
      <c r="AC1236" t="inlineStr">
        <is>
          <t>40-25-2-ERW 1-FC</t>
        </is>
      </c>
      <c r="AD1236" t="inlineStr">
        <is>
          <t>LL</t>
        </is>
      </c>
      <c r="AE1236" t="inlineStr">
        <is>
          <t>40-25-2-ERW 1-FC-1</t>
        </is>
      </c>
      <c r="AF1236" t="n">
        <v>1.873324</v>
      </c>
    </row>
    <row r="1237">
      <c r="A1237" s="56" t="n">
        <v>3500268</v>
      </c>
      <c r="B1237" s="56" t="inlineStr">
        <is>
          <t>TUB-S-AW-SHS-50.00X50.00X1.600X6.000 HST</t>
        </is>
      </c>
      <c r="C1237" s="56" t="inlineStr">
        <is>
          <t>4A28A30130</t>
        </is>
      </c>
      <c r="D1237" s="56" t="n"/>
      <c r="E1237" s="57" t="n">
        <v>1427.9</v>
      </c>
      <c r="F1237" s="57" t="n">
        <v>1.4279</v>
      </c>
      <c r="G1237" s="56" t="inlineStr">
        <is>
          <t>KG</t>
        </is>
      </c>
      <c r="H1237" s="56" t="inlineStr">
        <is>
          <t>TF01</t>
        </is>
      </c>
      <c r="I1237" s="56" t="inlineStr">
        <is>
          <t>4318</t>
        </is>
      </c>
      <c r="J1237" s="56" t="n"/>
      <c r="K1237" s="56" t="n"/>
      <c r="L1237" s="56" t="n"/>
      <c r="M1237" s="56" t="n"/>
      <c r="N1237" s="56" t="inlineStr">
        <is>
          <t>Neel Metal Products Limited</t>
        </is>
      </c>
      <c r="O1237" s="56" t="n">
        <v>65</v>
      </c>
      <c r="P1237" s="59" t="inlineStr">
        <is>
          <t>61-90</t>
        </is>
      </c>
      <c r="Q1237" s="56" t="inlineStr">
        <is>
          <t>Apoorv</t>
        </is>
      </c>
      <c r="U1237" t="n">
        <v>4174974</v>
      </c>
      <c r="V1237" t="n">
        <v>40</v>
      </c>
      <c r="W1237" t="n">
        <v>30</v>
      </c>
      <c r="X1237" t="n">
        <v>1.6</v>
      </c>
      <c r="Y1237" t="n">
        <v>0.264</v>
      </c>
      <c r="Z1237" t="inlineStr">
        <is>
          <t>HROP</t>
        </is>
      </c>
      <c r="AA1237" t="inlineStr">
        <is>
          <t>FC</t>
        </is>
      </c>
      <c r="AB1237" t="inlineStr">
        <is>
          <t>AW</t>
        </is>
      </c>
      <c r="AC1237" t="inlineStr">
        <is>
          <t>40-30-1.6-ERW 1-FC</t>
        </is>
      </c>
      <c r="AD1237" t="inlineStr">
        <is>
          <t>CTL</t>
        </is>
      </c>
      <c r="AE1237" t="inlineStr">
        <is>
          <t>40-30-1.6-ERW 1-FC-0.264</t>
        </is>
      </c>
      <c r="AF1237" t="n">
        <v>0.4473234813004092</v>
      </c>
    </row>
    <row r="1238">
      <c r="A1238" s="56" t="n">
        <v>3500268</v>
      </c>
      <c r="B1238" s="56" t="inlineStr">
        <is>
          <t>TUB-S-AW-SHS-50.00X50.00X1.600X6.000 HST</t>
        </is>
      </c>
      <c r="C1238" s="56" t="inlineStr">
        <is>
          <t>4A28A30120</t>
        </is>
      </c>
      <c r="D1238" s="56" t="n"/>
      <c r="E1238" s="57" t="n">
        <v>66.95999999999999</v>
      </c>
      <c r="F1238" s="57" t="n">
        <v>0.06695999999999999</v>
      </c>
      <c r="G1238" s="56" t="inlineStr">
        <is>
          <t>KG</t>
        </is>
      </c>
      <c r="H1238" s="56" t="inlineStr">
        <is>
          <t>TF01</t>
        </is>
      </c>
      <c r="I1238" s="56" t="inlineStr">
        <is>
          <t>4318</t>
        </is>
      </c>
      <c r="J1238" s="56" t="n"/>
      <c r="K1238" s="56" t="n"/>
      <c r="L1238" s="56" t="n"/>
      <c r="M1238" s="56" t="n"/>
      <c r="N1238" s="56" t="inlineStr">
        <is>
          <t>Neel Metal Products Limited</t>
        </is>
      </c>
      <c r="O1238" s="56" t="n">
        <v>25</v>
      </c>
      <c r="P1238" s="59" t="inlineStr">
        <is>
          <t>0-30</t>
        </is>
      </c>
      <c r="Q1238" s="56" t="inlineStr">
        <is>
          <t>Apoorv</t>
        </is>
      </c>
      <c r="U1238" s="585" t="n">
        <v>1940829</v>
      </c>
      <c r="V1238" t="n">
        <v>40</v>
      </c>
      <c r="W1238" t="n">
        <v>30</v>
      </c>
      <c r="X1238" t="n">
        <v>1.6</v>
      </c>
      <c r="Y1238" t="n">
        <v>0.314</v>
      </c>
      <c r="Z1238" t="inlineStr">
        <is>
          <t>GR1</t>
        </is>
      </c>
      <c r="AA1238" t="inlineStr">
        <is>
          <t>FC</t>
        </is>
      </c>
      <c r="AB1238" t="inlineStr">
        <is>
          <t>AW</t>
        </is>
      </c>
      <c r="AC1238" t="inlineStr">
        <is>
          <t>40-30-1.6-ERW 1-FC</t>
        </is>
      </c>
      <c r="AD1238" t="inlineStr">
        <is>
          <t>CTL</t>
        </is>
      </c>
      <c r="AE1238" t="inlineStr">
        <is>
          <t>40-30-1.6-ERW 1-FC-0.314</t>
        </is>
      </c>
      <c r="AF1238" t="n">
        <v>0.5320438376073049</v>
      </c>
    </row>
    <row r="1239">
      <c r="A1239" s="56" t="n">
        <v>3500308</v>
      </c>
      <c r="B1239" s="56" t="inlineStr">
        <is>
          <t>TUB-O-N-AUT-AW-FC-34.93X1.600X6.000</t>
        </is>
      </c>
      <c r="C1239" s="56" t="inlineStr">
        <is>
          <t>4B30C20130</t>
        </is>
      </c>
      <c r="D1239" s="56" t="n"/>
      <c r="E1239" s="57" t="n">
        <v>1666.306</v>
      </c>
      <c r="F1239" s="57" t="n">
        <v>1.666306</v>
      </c>
      <c r="G1239" s="56" t="inlineStr">
        <is>
          <t>KG</t>
        </is>
      </c>
      <c r="H1239" s="56" t="inlineStr">
        <is>
          <t>TF01</t>
        </is>
      </c>
      <c r="I1239" s="56" t="inlineStr">
        <is>
          <t>4318</t>
        </is>
      </c>
      <c r="J1239" s="56" t="n"/>
      <c r="K1239" s="56" t="n"/>
      <c r="L1239" s="56" t="n"/>
      <c r="M1239" s="56" t="n"/>
      <c r="N1239" s="56" t="inlineStr">
        <is>
          <t>Elkayem Auto Ancillaries ( P ) LTD</t>
        </is>
      </c>
      <c r="O1239" s="56" t="n">
        <v>24</v>
      </c>
      <c r="P1239" s="59" t="inlineStr">
        <is>
          <t>0-30</t>
        </is>
      </c>
      <c r="Q1239" s="56" t="inlineStr">
        <is>
          <t>Diwakar</t>
        </is>
      </c>
      <c r="U1239" s="585" t="n">
        <v>1941860</v>
      </c>
      <c r="V1239" t="n">
        <v>40</v>
      </c>
      <c r="W1239" t="n">
        <v>30</v>
      </c>
      <c r="X1239" t="n">
        <v>1.6</v>
      </c>
      <c r="Y1239" t="n">
        <v>0.4</v>
      </c>
      <c r="Z1239" t="inlineStr">
        <is>
          <t>GR1</t>
        </is>
      </c>
      <c r="AA1239" t="inlineStr">
        <is>
          <t>FC</t>
        </is>
      </c>
      <c r="AB1239" t="inlineStr">
        <is>
          <t>AW</t>
        </is>
      </c>
      <c r="AC1239" t="inlineStr">
        <is>
          <t>40-30-1.6-ERW 1-FC</t>
        </is>
      </c>
      <c r="AD1239" t="inlineStr">
        <is>
          <t>CTL</t>
        </is>
      </c>
      <c r="AE1239" t="inlineStr">
        <is>
          <t>40-30-1.6-ERW 1-FC-0.4</t>
        </is>
      </c>
      <c r="AF1239" t="n">
        <v>0.6777628504551655</v>
      </c>
    </row>
    <row r="1240">
      <c r="A1240" s="56" t="n">
        <v>3500308</v>
      </c>
      <c r="B1240" s="56" t="inlineStr">
        <is>
          <t>TUB-O-N-AUT-AW-FC-34.93X1.600X6.000</t>
        </is>
      </c>
      <c r="C1240" s="56" t="inlineStr">
        <is>
          <t>4B30C20120</t>
        </is>
      </c>
      <c r="D1240" s="56" t="n"/>
      <c r="E1240" s="57" t="n">
        <v>958.696</v>
      </c>
      <c r="F1240" s="57" t="n">
        <v>0.958696</v>
      </c>
      <c r="G1240" s="56" t="inlineStr">
        <is>
          <t>KG</t>
        </is>
      </c>
      <c r="H1240" s="56" t="inlineStr">
        <is>
          <t>TF01</t>
        </is>
      </c>
      <c r="I1240" s="56" t="inlineStr">
        <is>
          <t>4318</t>
        </is>
      </c>
      <c r="J1240" s="56" t="n"/>
      <c r="K1240" s="56" t="n"/>
      <c r="L1240" s="56" t="n"/>
      <c r="M1240" s="56" t="n"/>
      <c r="N1240" s="56" t="inlineStr">
        <is>
          <t>Elkayem Auto Ancillaries ( P ) LTD</t>
        </is>
      </c>
      <c r="O1240" s="56" t="n">
        <v>6</v>
      </c>
      <c r="P1240" s="59" t="inlineStr">
        <is>
          <t>0-30</t>
        </is>
      </c>
      <c r="Q1240" s="56" t="inlineStr">
        <is>
          <t>Diwakar</t>
        </is>
      </c>
      <c r="U1240" s="585" t="n">
        <v>3712521</v>
      </c>
      <c r="V1240" t="n">
        <v>40</v>
      </c>
      <c r="W1240" t="n">
        <v>30</v>
      </c>
      <c r="X1240" t="n">
        <v>1.6</v>
      </c>
      <c r="Y1240" t="n">
        <v>0.835</v>
      </c>
      <c r="Z1240" t="inlineStr">
        <is>
          <t>HROP</t>
        </is>
      </c>
      <c r="AA1240" t="inlineStr">
        <is>
          <t>FC</t>
        </is>
      </c>
      <c r="AB1240" t="inlineStr">
        <is>
          <t>AW</t>
        </is>
      </c>
      <c r="AC1240" t="inlineStr">
        <is>
          <t>40-30-1.6-ERW 1-FC</t>
        </is>
      </c>
      <c r="AD1240" t="inlineStr">
        <is>
          <t>CTL</t>
        </is>
      </c>
      <c r="AE1240" t="inlineStr">
        <is>
          <t>40-30-1.6-ERW 1-FC-0.835</t>
        </is>
      </c>
      <c r="AF1240" t="n">
        <v>1.414829950325158</v>
      </c>
    </row>
    <row r="1241">
      <c r="A1241" s="56" t="n">
        <v>3500352</v>
      </c>
      <c r="B1241" s="56" t="inlineStr">
        <is>
          <t>TUB-O-N-AUT-AW-FC-31.75X2.50X6.000-ERW 1</t>
        </is>
      </c>
      <c r="C1241" s="56" t="inlineStr">
        <is>
          <t>4C18C20010</t>
        </is>
      </c>
      <c r="D1241" s="56" t="n"/>
      <c r="E1241" s="57" t="n">
        <v>2178.407</v>
      </c>
      <c r="F1241" s="57" t="n">
        <v>2.178407</v>
      </c>
      <c r="G1241" s="56" t="inlineStr">
        <is>
          <t>KG</t>
        </is>
      </c>
      <c r="H1241" s="56" t="inlineStr">
        <is>
          <t>TF01</t>
        </is>
      </c>
      <c r="I1241" s="56" t="inlineStr">
        <is>
          <t>4318</t>
        </is>
      </c>
      <c r="J1241" s="56" t="n"/>
      <c r="K1241" s="56" t="n"/>
      <c r="L1241" s="56" t="n"/>
      <c r="M1241" s="56" t="n"/>
      <c r="N1241" s="56" t="inlineStr">
        <is>
          <t>Rajsriya Automotive Ind.P.Ltd Unit-</t>
        </is>
      </c>
      <c r="O1241" s="56" t="n">
        <v>7</v>
      </c>
      <c r="P1241" s="59" t="inlineStr">
        <is>
          <t>0-30</t>
        </is>
      </c>
      <c r="Q1241" s="56" t="inlineStr">
        <is>
          <t>Apoorv</t>
        </is>
      </c>
      <c r="U1241" s="585" t="n">
        <v>3616912</v>
      </c>
      <c r="V1241" t="n">
        <v>40</v>
      </c>
      <c r="W1241" t="n">
        <v>30</v>
      </c>
      <c r="X1241" t="n">
        <v>1.6</v>
      </c>
      <c r="Y1241" t="n">
        <v>0.852</v>
      </c>
      <c r="Z1241" t="inlineStr">
        <is>
          <t>HROP</t>
        </is>
      </c>
      <c r="AA1241" t="inlineStr">
        <is>
          <t>FC</t>
        </is>
      </c>
      <c r="AB1241" t="inlineStr">
        <is>
          <t>AW</t>
        </is>
      </c>
      <c r="AC1241" t="inlineStr">
        <is>
          <t>40-30-1.6-ERW 1-FC</t>
        </is>
      </c>
      <c r="AD1241" t="inlineStr">
        <is>
          <t>CTL</t>
        </is>
      </c>
      <c r="AE1241" t="inlineStr">
        <is>
          <t>40-30-1.6-ERW 1-FC-0.852</t>
        </is>
      </c>
      <c r="AF1241" t="n">
        <v>1.443634871469502</v>
      </c>
    </row>
    <row r="1242">
      <c r="A1242" s="56" t="n">
        <v>3500352</v>
      </c>
      <c r="B1242" s="56" t="inlineStr">
        <is>
          <t>TUB-O-N-AUT-AW-FC-31.75X2.50X6.000-ERW 1</t>
        </is>
      </c>
      <c r="C1242" s="56" t="inlineStr">
        <is>
          <t>4C18B20070</t>
        </is>
      </c>
      <c r="D1242" s="56" t="n"/>
      <c r="E1242" s="57" t="n">
        <v>2261.791</v>
      </c>
      <c r="F1242" s="57" t="n">
        <v>2.261791</v>
      </c>
      <c r="G1242" s="56" t="inlineStr">
        <is>
          <t>KG</t>
        </is>
      </c>
      <c r="H1242" s="56" t="inlineStr">
        <is>
          <t>TF01</t>
        </is>
      </c>
      <c r="I1242" s="56" t="inlineStr">
        <is>
          <t>4318</t>
        </is>
      </c>
      <c r="J1242" s="56" t="n"/>
      <c r="K1242" s="56" t="n"/>
      <c r="L1242" s="56" t="n"/>
      <c r="M1242" s="56" t="n"/>
      <c r="N1242" s="56" t="inlineStr">
        <is>
          <t>Rajsriya Automotive Ind.P.Ltd Unit-</t>
        </is>
      </c>
      <c r="O1242" s="56" t="n">
        <v>13</v>
      </c>
      <c r="P1242" s="59" t="inlineStr">
        <is>
          <t>0-30</t>
        </is>
      </c>
      <c r="Q1242" s="56" t="inlineStr">
        <is>
          <t>Apoorv</t>
        </is>
      </c>
      <c r="U1242" s="585" t="n">
        <v>1940830</v>
      </c>
      <c r="V1242" t="n">
        <v>40</v>
      </c>
      <c r="W1242" t="n">
        <v>30</v>
      </c>
      <c r="X1242" t="n">
        <v>1.6</v>
      </c>
      <c r="Y1242" t="n">
        <v>0.86</v>
      </c>
      <c r="Z1242" t="inlineStr">
        <is>
          <t>GR1</t>
        </is>
      </c>
      <c r="AA1242" t="inlineStr">
        <is>
          <t>FC</t>
        </is>
      </c>
      <c r="AB1242" t="inlineStr">
        <is>
          <t>AW</t>
        </is>
      </c>
      <c r="AC1242" t="inlineStr">
        <is>
          <t>40-30-1.6-ERW 1-FC</t>
        </is>
      </c>
      <c r="AD1242" t="inlineStr">
        <is>
          <t>CTL</t>
        </is>
      </c>
      <c r="AE1242" t="inlineStr">
        <is>
          <t>40-30-1.6-ERW 1-FC-0.86</t>
        </is>
      </c>
      <c r="AF1242" t="n">
        <v>1.457190128478606</v>
      </c>
    </row>
    <row r="1243">
      <c r="A1243" s="56" t="n">
        <v>3500352</v>
      </c>
      <c r="B1243" s="56" t="inlineStr">
        <is>
          <t>TUB-O-N-AUT-AW-FC-31.75X2.50X6.000-ERW 1</t>
        </is>
      </c>
      <c r="C1243" s="56" t="inlineStr">
        <is>
          <t>4C18B20050</t>
        </is>
      </c>
      <c r="D1243" s="56" t="n"/>
      <c r="E1243" s="57" t="n">
        <v>2251.368</v>
      </c>
      <c r="F1243" s="57" t="n">
        <v>2.251368</v>
      </c>
      <c r="G1243" s="56" t="inlineStr">
        <is>
          <t>KG</t>
        </is>
      </c>
      <c r="H1243" s="56" t="inlineStr">
        <is>
          <t>TF01</t>
        </is>
      </c>
      <c r="I1243" s="56" t="inlineStr">
        <is>
          <t>4318</t>
        </is>
      </c>
      <c r="J1243" s="56" t="n"/>
      <c r="K1243" s="56" t="n"/>
      <c r="L1243" s="56" t="n"/>
      <c r="M1243" s="56" t="n"/>
      <c r="N1243" s="56" t="inlineStr">
        <is>
          <t>Rajsriya Automotive Ind.P.Ltd Unit-</t>
        </is>
      </c>
      <c r="O1243" s="56" t="n">
        <v>13</v>
      </c>
      <c r="P1243" s="59" t="inlineStr">
        <is>
          <t>0-30</t>
        </is>
      </c>
      <c r="Q1243" s="56" t="inlineStr">
        <is>
          <t>Apoorv</t>
        </is>
      </c>
      <c r="U1243" s="585" t="n">
        <v>1940831</v>
      </c>
      <c r="V1243" t="n">
        <v>40</v>
      </c>
      <c r="W1243" t="n">
        <v>30</v>
      </c>
      <c r="X1243" t="n">
        <v>1.6</v>
      </c>
      <c r="Y1243" t="n">
        <v>0.88</v>
      </c>
      <c r="Z1243" t="inlineStr">
        <is>
          <t>GR1</t>
        </is>
      </c>
      <c r="AA1243" t="inlineStr">
        <is>
          <t>FC</t>
        </is>
      </c>
      <c r="AB1243" t="inlineStr">
        <is>
          <t>AW</t>
        </is>
      </c>
      <c r="AC1243" t="inlineStr">
        <is>
          <t>40-30-1.6-ERW 1-FC</t>
        </is>
      </c>
      <c r="AD1243" t="inlineStr">
        <is>
          <t>CTL</t>
        </is>
      </c>
      <c r="AE1243" t="inlineStr">
        <is>
          <t>40-30-1.6-ERW 1-FC-0.88</t>
        </is>
      </c>
      <c r="AF1243" t="n">
        <v>1.491078271001364</v>
      </c>
    </row>
    <row r="1244">
      <c r="A1244" s="56" t="n">
        <v>3500352</v>
      </c>
      <c r="B1244" s="56" t="inlineStr">
        <is>
          <t>TUB-O-N-AUT-AW-FC-31.75X2.50X6.000-ERW 1</t>
        </is>
      </c>
      <c r="C1244" s="56" t="inlineStr">
        <is>
          <t>4C18B20040</t>
        </is>
      </c>
      <c r="D1244" s="56" t="n"/>
      <c r="E1244" s="57" t="n">
        <v>1521.657</v>
      </c>
      <c r="F1244" s="57" t="n">
        <v>1.521657</v>
      </c>
      <c r="G1244" s="56" t="inlineStr">
        <is>
          <t>KG</t>
        </is>
      </c>
      <c r="H1244" s="56" t="inlineStr">
        <is>
          <t>TF01</t>
        </is>
      </c>
      <c r="I1244" s="56" t="inlineStr">
        <is>
          <t>4318</t>
        </is>
      </c>
      <c r="J1244" s="56" t="n"/>
      <c r="K1244" s="56" t="n"/>
      <c r="L1244" s="56" t="n"/>
      <c r="M1244" s="56" t="n"/>
      <c r="N1244" s="56" t="inlineStr">
        <is>
          <t>Rajsriya Automotive Ind.P.Ltd Unit-</t>
        </is>
      </c>
      <c r="O1244" s="56" t="n">
        <v>9</v>
      </c>
      <c r="P1244" s="59" t="inlineStr">
        <is>
          <t>0-30</t>
        </is>
      </c>
      <c r="Q1244" s="56" t="inlineStr">
        <is>
          <t>Apoorv</t>
        </is>
      </c>
      <c r="U1244" s="585" t="n">
        <v>4164767</v>
      </c>
      <c r="V1244" t="n">
        <v>40</v>
      </c>
      <c r="W1244" t="n">
        <v>30</v>
      </c>
      <c r="X1244" t="n">
        <v>1.6</v>
      </c>
      <c r="Y1244" t="n">
        <v>5.9</v>
      </c>
      <c r="Z1244" t="inlineStr">
        <is>
          <t>KGR2</t>
        </is>
      </c>
      <c r="AA1244" t="inlineStr">
        <is>
          <t>FC</t>
        </is>
      </c>
      <c r="AB1244" t="inlineStr">
        <is>
          <t>AW</t>
        </is>
      </c>
      <c r="AC1244" t="inlineStr">
        <is>
          <t>40-30-1.6-ERW 1-FC</t>
        </is>
      </c>
      <c r="AD1244" t="inlineStr">
        <is>
          <t>LL</t>
        </is>
      </c>
      <c r="AE1244" t="inlineStr">
        <is>
          <t>40-30-1.6-ERW 1-FC-5.9</t>
        </is>
      </c>
      <c r="AF1244" t="n">
        <v>1.694407126137914</v>
      </c>
    </row>
    <row r="1245">
      <c r="A1245" s="56" t="n">
        <v>3500554</v>
      </c>
      <c r="B1245" s="56" t="inlineStr">
        <is>
          <t>TUB-O-N-AUT-AW-PE-22.20X2.000X5.1000</t>
        </is>
      </c>
      <c r="C1245" s="56" t="inlineStr">
        <is>
          <t>4B12CH2190</t>
        </is>
      </c>
      <c r="D1245" s="56" t="n"/>
      <c r="E1245" s="57" t="n">
        <v>2400</v>
      </c>
      <c r="F1245" s="57" t="n">
        <v>2.4</v>
      </c>
      <c r="G1245" s="56" t="inlineStr">
        <is>
          <t>KG</t>
        </is>
      </c>
      <c r="H1245" s="56" t="inlineStr">
        <is>
          <t>TF01</t>
        </is>
      </c>
      <c r="I1245" s="56" t="inlineStr">
        <is>
          <t>4731</t>
        </is>
      </c>
      <c r="J1245" s="56" t="n"/>
      <c r="K1245" s="56" t="n"/>
      <c r="L1245" s="56" t="n"/>
      <c r="M1245" s="56" t="n"/>
      <c r="N1245" s="56" t="inlineStr">
        <is>
          <t>SRIKAM HITECH ENGINEERING PRIVATE L</t>
        </is>
      </c>
      <c r="O1245" s="56" t="n">
        <v>52</v>
      </c>
      <c r="P1245" s="59" t="inlineStr">
        <is>
          <t>31-60</t>
        </is>
      </c>
      <c r="Q1245" s="56" t="inlineStr">
        <is>
          <t>Apoorv</t>
        </is>
      </c>
      <c r="U1245" t="n">
        <v>3925391</v>
      </c>
      <c r="V1245" t="n">
        <v>40</v>
      </c>
      <c r="W1245" t="n">
        <v>30</v>
      </c>
      <c r="X1245" t="n">
        <v>1.6</v>
      </c>
      <c r="Y1245" t="n">
        <v>5.93</v>
      </c>
      <c r="Z1245" t="inlineStr">
        <is>
          <t>KGR2</t>
        </is>
      </c>
      <c r="AA1245" t="inlineStr">
        <is>
          <t>FC</t>
        </is>
      </c>
      <c r="AB1245" t="inlineStr">
        <is>
          <t>AW</t>
        </is>
      </c>
      <c r="AC1245" t="inlineStr">
        <is>
          <t>40-30-1.6-ERW 1-FC</t>
        </is>
      </c>
      <c r="AD1245" t="inlineStr">
        <is>
          <t>LL</t>
        </is>
      </c>
      <c r="AE1245" t="inlineStr">
        <is>
          <t>40-30-1.6-ERW 1-FC-1</t>
        </is>
      </c>
      <c r="AF1245" t="n">
        <v>1.694407126137914</v>
      </c>
    </row>
    <row r="1246">
      <c r="A1246" s="56" t="n">
        <v>3500554</v>
      </c>
      <c r="B1246" s="56" t="inlineStr">
        <is>
          <t>TUB-O-N-AUT-AW-PE-22.20X2.000X5.1000</t>
        </is>
      </c>
      <c r="C1246" s="56" t="inlineStr">
        <is>
          <t>4B12CH2180</t>
        </is>
      </c>
      <c r="D1246" s="56" t="n"/>
      <c r="E1246" s="57" t="n">
        <v>2400</v>
      </c>
      <c r="F1246" s="57" t="n">
        <v>2.4</v>
      </c>
      <c r="G1246" s="56" t="inlineStr">
        <is>
          <t>KG</t>
        </is>
      </c>
      <c r="H1246" s="56" t="inlineStr">
        <is>
          <t>TF01</t>
        </is>
      </c>
      <c r="I1246" s="56" t="inlineStr">
        <is>
          <t>4731</t>
        </is>
      </c>
      <c r="J1246" s="56" t="n"/>
      <c r="K1246" s="56" t="n"/>
      <c r="L1246" s="56" t="n"/>
      <c r="M1246" s="56" t="n"/>
      <c r="N1246" s="56" t="inlineStr">
        <is>
          <t>SRIKAM HITECH ENGINEERING PRIVATE L</t>
        </is>
      </c>
      <c r="O1246" s="56" t="n">
        <v>52</v>
      </c>
      <c r="P1246" s="59" t="inlineStr">
        <is>
          <t>31-60</t>
        </is>
      </c>
      <c r="Q1246" s="56" t="inlineStr">
        <is>
          <t>Apoorv</t>
        </is>
      </c>
      <c r="U1246" s="586" t="n">
        <v>111118043</v>
      </c>
      <c r="V1246" t="n">
        <v>40</v>
      </c>
      <c r="W1246" t="n">
        <v>30</v>
      </c>
      <c r="X1246" t="n">
        <v>1.6</v>
      </c>
      <c r="Y1246" t="n">
        <v>5.93</v>
      </c>
      <c r="Z1246" t="inlineStr">
        <is>
          <t>WG</t>
        </is>
      </c>
      <c r="AA1246" t="inlineStr">
        <is>
          <t>FC</t>
        </is>
      </c>
      <c r="AB1246" t="inlineStr">
        <is>
          <t>AW</t>
        </is>
      </c>
      <c r="AC1246" t="inlineStr">
        <is>
          <t>40-30-1.6-ERW 1-FC</t>
        </is>
      </c>
      <c r="AD1246" t="inlineStr">
        <is>
          <t>LL</t>
        </is>
      </c>
      <c r="AE1246" t="inlineStr">
        <is>
          <t>40-30-1.6-ERW 1-FC-1</t>
        </is>
      </c>
      <c r="AF1246" t="n">
        <v>1.694407126137914</v>
      </c>
    </row>
    <row r="1247">
      <c r="A1247" s="56" t="n">
        <v>3500554</v>
      </c>
      <c r="B1247" s="56" t="inlineStr">
        <is>
          <t>TUB-O-N-AUT-AW-PE-22.20X2.000X5.1000</t>
        </is>
      </c>
      <c r="C1247" s="56" t="inlineStr">
        <is>
          <t>4B12CH2170</t>
        </is>
      </c>
      <c r="D1247" s="56" t="n"/>
      <c r="E1247" s="57" t="n">
        <v>1295</v>
      </c>
      <c r="F1247" s="57" t="n">
        <v>1.295</v>
      </c>
      <c r="G1247" s="56" t="inlineStr">
        <is>
          <t>KG</t>
        </is>
      </c>
      <c r="H1247" s="56" t="inlineStr">
        <is>
          <t>TF01</t>
        </is>
      </c>
      <c r="I1247" s="56" t="inlineStr">
        <is>
          <t>4731</t>
        </is>
      </c>
      <c r="J1247" s="56" t="n"/>
      <c r="K1247" s="56" t="n"/>
      <c r="L1247" s="56" t="n"/>
      <c r="M1247" s="56" t="n"/>
      <c r="N1247" s="56" t="inlineStr">
        <is>
          <t>SRIKAM HITECH ENGINEERING PRIVATE L</t>
        </is>
      </c>
      <c r="O1247" s="56" t="n">
        <v>52</v>
      </c>
      <c r="P1247" s="59" t="inlineStr">
        <is>
          <t>31-60</t>
        </is>
      </c>
      <c r="Q1247" s="56" t="inlineStr">
        <is>
          <t>Apoorv</t>
        </is>
      </c>
      <c r="U1247" s="585" t="n">
        <v>3441727</v>
      </c>
      <c r="V1247" t="n">
        <v>40</v>
      </c>
      <c r="W1247" t="n">
        <v>30</v>
      </c>
      <c r="X1247" t="n">
        <v>1.6</v>
      </c>
      <c r="Y1247" t="n">
        <v>6</v>
      </c>
      <c r="Z1247" t="inlineStr">
        <is>
          <t>HROP</t>
        </is>
      </c>
      <c r="AA1247" t="inlineStr">
        <is>
          <t>FC</t>
        </is>
      </c>
      <c r="AB1247" t="inlineStr">
        <is>
          <t>AW</t>
        </is>
      </c>
      <c r="AC1247" t="inlineStr">
        <is>
          <t>40-30-1.6-ERW 1-FC</t>
        </is>
      </c>
      <c r="AD1247" t="inlineStr">
        <is>
          <t>LL</t>
        </is>
      </c>
      <c r="AE1247" t="inlineStr">
        <is>
          <t>40-30-1.6-ERW 1-FC-1</t>
        </is>
      </c>
      <c r="AF1247" t="n">
        <v>1.694407126137914</v>
      </c>
    </row>
    <row r="1248">
      <c r="A1248" s="56" t="n">
        <v>3500554</v>
      </c>
      <c r="B1248" s="56" t="inlineStr">
        <is>
          <t>TUB-O-N-AUT-AW-PE-22.20X2.000X5.1000</t>
        </is>
      </c>
      <c r="C1248" s="56" t="inlineStr">
        <is>
          <t>4929B20090</t>
        </is>
      </c>
      <c r="D1248" s="56" t="n"/>
      <c r="E1248" s="57" t="n">
        <v>2080.964</v>
      </c>
      <c r="F1248" s="57" t="n">
        <v>2.080964</v>
      </c>
      <c r="G1248" s="56" t="inlineStr">
        <is>
          <t>KG</t>
        </is>
      </c>
      <c r="H1248" s="56" t="inlineStr">
        <is>
          <t>TF01</t>
        </is>
      </c>
      <c r="I1248" s="56" t="inlineStr">
        <is>
          <t>4731</t>
        </is>
      </c>
      <c r="J1248" s="56" t="n"/>
      <c r="K1248" s="56" t="n"/>
      <c r="L1248" s="56" t="n"/>
      <c r="M1248" s="56" t="n"/>
      <c r="N1248" s="56" t="inlineStr">
        <is>
          <t>SRIKAM HITECH ENGINEERING PRIVATE L</t>
        </is>
      </c>
      <c r="O1248" s="56" t="n">
        <v>96</v>
      </c>
      <c r="P1248" s="59" t="inlineStr">
        <is>
          <t>ABOVE 90</t>
        </is>
      </c>
      <c r="Q1248" s="56" t="inlineStr">
        <is>
          <t>Apoorv</t>
        </is>
      </c>
      <c r="U1248" s="585" t="n">
        <v>1940832</v>
      </c>
      <c r="V1248" t="n">
        <v>40</v>
      </c>
      <c r="W1248" t="n">
        <v>30</v>
      </c>
      <c r="X1248" t="n">
        <v>1.6</v>
      </c>
      <c r="Y1248" t="n">
        <v>6.1</v>
      </c>
      <c r="Z1248" t="inlineStr">
        <is>
          <t>GR1</t>
        </is>
      </c>
      <c r="AA1248" t="inlineStr">
        <is>
          <t>FC</t>
        </is>
      </c>
      <c r="AB1248" t="inlineStr">
        <is>
          <t>AW</t>
        </is>
      </c>
      <c r="AC1248" t="inlineStr">
        <is>
          <t>40-30-1.6-ERW 1-FC</t>
        </is>
      </c>
      <c r="AD1248" t="inlineStr">
        <is>
          <t>LL</t>
        </is>
      </c>
      <c r="AE1248" t="inlineStr">
        <is>
          <t>40-30-1.6-ERW 1-FC-1</t>
        </is>
      </c>
      <c r="AF1248" t="n">
        <v>1.694407126137914</v>
      </c>
    </row>
    <row r="1249">
      <c r="A1249" s="56" t="n">
        <v>3500554</v>
      </c>
      <c r="B1249" s="56" t="inlineStr">
        <is>
          <t>TUB-O-N-AUT-AW-PE-22.20X2.000X5.1000</t>
        </is>
      </c>
      <c r="C1249" s="56" t="inlineStr">
        <is>
          <t>4929B20080</t>
        </is>
      </c>
      <c r="D1249" s="56" t="n"/>
      <c r="E1249" s="57" t="n">
        <v>2080.964</v>
      </c>
      <c r="F1249" s="57" t="n">
        <v>2.080964</v>
      </c>
      <c r="G1249" s="56" t="inlineStr">
        <is>
          <t>KG</t>
        </is>
      </c>
      <c r="H1249" s="56" t="inlineStr">
        <is>
          <t>TF01</t>
        </is>
      </c>
      <c r="I1249" s="56" t="inlineStr">
        <is>
          <t>4731</t>
        </is>
      </c>
      <c r="J1249" s="56" t="n"/>
      <c r="K1249" s="56" t="n"/>
      <c r="L1249" s="56" t="n"/>
      <c r="M1249" s="56" t="n"/>
      <c r="N1249" s="56" t="inlineStr">
        <is>
          <t>SRIKAM HITECH ENGINEERING PRIVATE L</t>
        </is>
      </c>
      <c r="O1249" s="56" t="n">
        <v>96</v>
      </c>
      <c r="P1249" s="59" t="inlineStr">
        <is>
          <t>ABOVE 90</t>
        </is>
      </c>
      <c r="Q1249" s="56" t="inlineStr">
        <is>
          <t>Apoorv</t>
        </is>
      </c>
      <c r="U1249" s="586" t="n">
        <v>110102958</v>
      </c>
      <c r="V1249" t="n">
        <v>40</v>
      </c>
      <c r="W1249" t="n">
        <v>30</v>
      </c>
      <c r="X1249" t="n">
        <v>1.6</v>
      </c>
      <c r="Y1249" t="n">
        <v>6.1</v>
      </c>
      <c r="Z1249" t="inlineStr">
        <is>
          <t>GR1</t>
        </is>
      </c>
      <c r="AA1249" t="inlineStr">
        <is>
          <t>FC</t>
        </is>
      </c>
      <c r="AB1249" t="inlineStr">
        <is>
          <t>AW</t>
        </is>
      </c>
      <c r="AC1249" t="inlineStr">
        <is>
          <t>40-30-1.6-ERW 1-FC</t>
        </is>
      </c>
      <c r="AD1249" t="inlineStr">
        <is>
          <t>LL</t>
        </is>
      </c>
      <c r="AE1249" t="inlineStr">
        <is>
          <t>40-30-1.6-ERW 1-FC-1</t>
        </is>
      </c>
      <c r="AF1249" t="n">
        <v>1.694407126137914</v>
      </c>
    </row>
    <row r="1250">
      <c r="A1250" s="56" t="n">
        <v>3500554</v>
      </c>
      <c r="B1250" s="56" t="inlineStr">
        <is>
          <t>TUB-O-N-AUT-AW-PE-22.20X2.000X5.1000</t>
        </is>
      </c>
      <c r="C1250" s="56" t="inlineStr">
        <is>
          <t>4929B20070</t>
        </is>
      </c>
      <c r="D1250" s="56" t="n"/>
      <c r="E1250" s="57" t="n">
        <v>2080.964</v>
      </c>
      <c r="F1250" s="57" t="n">
        <v>2.080964</v>
      </c>
      <c r="G1250" s="56" t="inlineStr">
        <is>
          <t>KG</t>
        </is>
      </c>
      <c r="H1250" s="56" t="inlineStr">
        <is>
          <t>TF01</t>
        </is>
      </c>
      <c r="I1250" s="56" t="inlineStr">
        <is>
          <t>4731</t>
        </is>
      </c>
      <c r="J1250" s="56" t="n"/>
      <c r="K1250" s="56" t="n"/>
      <c r="L1250" s="56" t="n"/>
      <c r="M1250" s="56" t="n"/>
      <c r="N1250" s="56" t="inlineStr">
        <is>
          <t>SRIKAM HITECH ENGINEERING PRIVATE L</t>
        </is>
      </c>
      <c r="O1250" s="56" t="n">
        <v>96</v>
      </c>
      <c r="P1250" s="59" t="inlineStr">
        <is>
          <t>ABOVE 90</t>
        </is>
      </c>
      <c r="Q1250" s="56" t="inlineStr">
        <is>
          <t>Apoorv</t>
        </is>
      </c>
      <c r="U1250" s="585" t="n">
        <v>1940833</v>
      </c>
      <c r="V1250" t="n">
        <v>40</v>
      </c>
      <c r="W1250" t="n">
        <v>30</v>
      </c>
      <c r="X1250" t="n">
        <v>1.6</v>
      </c>
      <c r="Y1250" t="n">
        <v>6.23</v>
      </c>
      <c r="Z1250" t="inlineStr">
        <is>
          <t>GR1</t>
        </is>
      </c>
      <c r="AA1250" t="inlineStr">
        <is>
          <t>FC</t>
        </is>
      </c>
      <c r="AB1250" t="inlineStr">
        <is>
          <t>AW</t>
        </is>
      </c>
      <c r="AC1250" t="inlineStr">
        <is>
          <t>40-30-1.6-ERW 1-FC</t>
        </is>
      </c>
      <c r="AD1250" t="inlineStr">
        <is>
          <t>LL</t>
        </is>
      </c>
      <c r="AE1250" t="inlineStr">
        <is>
          <t>40-30-1.6-ERW 1-FC-1</t>
        </is>
      </c>
      <c r="AF1250" t="n">
        <v>1.694407126137914</v>
      </c>
    </row>
    <row r="1251">
      <c r="A1251" s="56" t="n">
        <v>3500554</v>
      </c>
      <c r="B1251" s="56" t="inlineStr">
        <is>
          <t>TUB-O-N-AUT-AW-PE-22.20X2.000X5.1000</t>
        </is>
      </c>
      <c r="C1251" s="56" t="inlineStr">
        <is>
          <t>4929B20030</t>
        </is>
      </c>
      <c r="D1251" s="56" t="n"/>
      <c r="E1251" s="57" t="n">
        <v>2066.064</v>
      </c>
      <c r="F1251" s="57" t="n">
        <v>2.066064</v>
      </c>
      <c r="G1251" s="56" t="inlineStr">
        <is>
          <t>KG</t>
        </is>
      </c>
      <c r="H1251" s="56" t="inlineStr">
        <is>
          <t>TF01</t>
        </is>
      </c>
      <c r="I1251" s="56" t="inlineStr">
        <is>
          <t>4731</t>
        </is>
      </c>
      <c r="J1251" s="56" t="n"/>
      <c r="K1251" s="56" t="n"/>
      <c r="L1251" s="56" t="n"/>
      <c r="M1251" s="56" t="n"/>
      <c r="N1251" s="56" t="inlineStr">
        <is>
          <t>SRIKAM HITECH ENGINEERING PRIVATE L</t>
        </is>
      </c>
      <c r="O1251" s="56" t="n">
        <v>96</v>
      </c>
      <c r="P1251" s="59" t="inlineStr">
        <is>
          <t>ABOVE 90</t>
        </is>
      </c>
      <c r="Q1251" s="56" t="inlineStr">
        <is>
          <t>Apoorv</t>
        </is>
      </c>
      <c r="U1251" s="585" t="n">
        <v>3569651</v>
      </c>
      <c r="V1251" t="n">
        <v>40</v>
      </c>
      <c r="W1251" t="n">
        <v>30</v>
      </c>
      <c r="X1251" t="n">
        <v>1.6</v>
      </c>
      <c r="Y1251" t="n">
        <v>6.245</v>
      </c>
      <c r="Z1251" t="inlineStr">
        <is>
          <t>HROP</t>
        </is>
      </c>
      <c r="AA1251" t="inlineStr">
        <is>
          <t>FC</t>
        </is>
      </c>
      <c r="AB1251" t="inlineStr">
        <is>
          <t>AW</t>
        </is>
      </c>
      <c r="AC1251" t="inlineStr">
        <is>
          <t>40-30-1.6-ERW 1-FC</t>
        </is>
      </c>
      <c r="AD1251" t="inlineStr">
        <is>
          <t>LL</t>
        </is>
      </c>
      <c r="AE1251" t="inlineStr">
        <is>
          <t>40-30-1.6-ERW 1-FC-1</t>
        </is>
      </c>
      <c r="AF1251" t="n">
        <v>1.694407126137914</v>
      </c>
    </row>
    <row r="1252">
      <c r="A1252" s="56" t="n">
        <v>3500554</v>
      </c>
      <c r="B1252" s="56" t="inlineStr">
        <is>
          <t>TUB-O-N-AUT-AW-PE-22.20X2.000X5.1000</t>
        </is>
      </c>
      <c r="C1252" s="56" t="inlineStr">
        <is>
          <t>4929B20010</t>
        </is>
      </c>
      <c r="D1252" s="56" t="n"/>
      <c r="E1252" s="57" t="n">
        <v>2085.93</v>
      </c>
      <c r="F1252" s="57" t="n">
        <v>2.08593</v>
      </c>
      <c r="G1252" s="56" t="inlineStr">
        <is>
          <t>KG</t>
        </is>
      </c>
      <c r="H1252" s="56" t="inlineStr">
        <is>
          <t>TF01</t>
        </is>
      </c>
      <c r="I1252" s="56" t="inlineStr">
        <is>
          <t>4731</t>
        </is>
      </c>
      <c r="J1252" s="56" t="n"/>
      <c r="K1252" s="56" t="n"/>
      <c r="L1252" s="56" t="n"/>
      <c r="M1252" s="56" t="n"/>
      <c r="N1252" s="56" t="inlineStr">
        <is>
          <t>SRIKAM HITECH ENGINEERING PRIVATE L</t>
        </is>
      </c>
      <c r="O1252" s="56" t="n">
        <v>96</v>
      </c>
      <c r="P1252" s="59" t="inlineStr">
        <is>
          <t>ABOVE 90</t>
        </is>
      </c>
      <c r="Q1252" s="56" t="inlineStr">
        <is>
          <t>Apoorv</t>
        </is>
      </c>
      <c r="U1252" s="586" t="n">
        <v>110102957</v>
      </c>
      <c r="V1252" t="n">
        <v>40</v>
      </c>
      <c r="W1252" t="n">
        <v>30</v>
      </c>
      <c r="X1252" t="n">
        <v>1.6</v>
      </c>
      <c r="Y1252" t="n">
        <v>6.245</v>
      </c>
      <c r="Z1252" t="inlineStr">
        <is>
          <t>GR1</t>
        </is>
      </c>
      <c r="AA1252" t="inlineStr">
        <is>
          <t>FC</t>
        </is>
      </c>
      <c r="AB1252" t="inlineStr">
        <is>
          <t>AW</t>
        </is>
      </c>
      <c r="AC1252" t="inlineStr">
        <is>
          <t>40-30-1.6-ERW 1-FC</t>
        </is>
      </c>
      <c r="AD1252" t="inlineStr">
        <is>
          <t>LL</t>
        </is>
      </c>
      <c r="AE1252" t="inlineStr">
        <is>
          <t>40-30-1.6-ERW 1-FC-1</t>
        </is>
      </c>
      <c r="AF1252" t="n">
        <v>1.694407126137914</v>
      </c>
    </row>
    <row r="1253">
      <c r="A1253" s="56" t="n">
        <v>3500554</v>
      </c>
      <c r="B1253" s="56" t="inlineStr">
        <is>
          <t>TUB-O-N-AUT-AW-PE-22.20X2.000X5.1000</t>
        </is>
      </c>
      <c r="C1253" s="56" t="inlineStr">
        <is>
          <t>4B15BH2100</t>
        </is>
      </c>
      <c r="D1253" s="56" t="n"/>
      <c r="E1253" s="57" t="n">
        <v>725.705</v>
      </c>
      <c r="F1253" s="57" t="n">
        <v>0.725705</v>
      </c>
      <c r="G1253" s="56" t="inlineStr">
        <is>
          <t>KG</t>
        </is>
      </c>
      <c r="H1253" s="56" t="inlineStr"/>
      <c r="I1253" s="56" t="inlineStr">
        <is>
          <t>4731</t>
        </is>
      </c>
      <c r="J1253" s="56" t="n"/>
      <c r="K1253" s="56" t="n"/>
      <c r="L1253" s="56" t="n"/>
      <c r="M1253" s="56" t="n"/>
      <c r="N1253" s="56" t="inlineStr">
        <is>
          <t>SRIKAM HITECH ENGINEERING PRIVATE L</t>
        </is>
      </c>
      <c r="O1253" s="56" t="n">
        <v>9</v>
      </c>
      <c r="P1253" s="59" t="inlineStr">
        <is>
          <t>0-30</t>
        </is>
      </c>
      <c r="Q1253" s="56" t="inlineStr">
        <is>
          <t>Apoorv</t>
        </is>
      </c>
      <c r="U1253" t="n">
        <v>4098592</v>
      </c>
      <c r="V1253" t="n">
        <v>40</v>
      </c>
      <c r="W1253" t="n">
        <v>30</v>
      </c>
      <c r="X1253" t="n">
        <v>2</v>
      </c>
      <c r="Y1253" t="n">
        <v>0.148</v>
      </c>
      <c r="Z1253" t="inlineStr">
        <is>
          <t>GR1</t>
        </is>
      </c>
      <c r="AA1253" t="inlineStr">
        <is>
          <t>AW</t>
        </is>
      </c>
      <c r="AB1253" t="inlineStr">
        <is>
          <t>FC</t>
        </is>
      </c>
      <c r="AC1253" t="inlineStr">
        <is>
          <t>40-30-2-ERW 1-FC</t>
        </is>
      </c>
      <c r="AD1253" t="inlineStr">
        <is>
          <t>CTL</t>
        </is>
      </c>
      <c r="AE1253" t="inlineStr">
        <is>
          <t>40-30-2-ERW 1-FC-0.148</t>
        </is>
      </c>
      <c r="AF1253" t="n">
        <v>0.310546876735514</v>
      </c>
    </row>
    <row r="1254">
      <c r="A1254" s="56" t="n">
        <v>3500554</v>
      </c>
      <c r="B1254" s="56" t="inlineStr">
        <is>
          <t>TUB-O-N-AUT-AW-PE-22.20X2.000X5.1000</t>
        </is>
      </c>
      <c r="C1254" s="56" t="inlineStr">
        <is>
          <t>4B15BH2090</t>
        </is>
      </c>
      <c r="D1254" s="56" t="n"/>
      <c r="E1254" s="57" t="n">
        <v>1868</v>
      </c>
      <c r="F1254" s="57" t="n">
        <v>1.868</v>
      </c>
      <c r="G1254" s="56" t="inlineStr">
        <is>
          <t>KG</t>
        </is>
      </c>
      <c r="H1254" s="56" t="inlineStr"/>
      <c r="I1254" s="56" t="inlineStr">
        <is>
          <t>4731</t>
        </is>
      </c>
      <c r="J1254" s="56" t="n"/>
      <c r="K1254" s="56" t="n"/>
      <c r="L1254" s="56" t="n"/>
      <c r="M1254" s="56" t="n"/>
      <c r="N1254" s="56" t="inlineStr">
        <is>
          <t>SRIKAM HITECH ENGINEERING PRIVATE L</t>
        </is>
      </c>
      <c r="O1254" s="56" t="n">
        <v>47</v>
      </c>
      <c r="P1254" s="59" t="inlineStr">
        <is>
          <t>31-60</t>
        </is>
      </c>
      <c r="Q1254" s="56" t="inlineStr">
        <is>
          <t>Apoorv</t>
        </is>
      </c>
      <c r="U1254" t="n">
        <v>4098593</v>
      </c>
      <c r="V1254" t="n">
        <v>40</v>
      </c>
      <c r="W1254" t="n">
        <v>30</v>
      </c>
      <c r="X1254" t="n">
        <v>2</v>
      </c>
      <c r="Y1254" t="n">
        <v>0.162</v>
      </c>
      <c r="Z1254" t="inlineStr">
        <is>
          <t>GR1</t>
        </is>
      </c>
      <c r="AA1254" t="inlineStr">
        <is>
          <t>AW</t>
        </is>
      </c>
      <c r="AB1254" t="inlineStr">
        <is>
          <t>FC</t>
        </is>
      </c>
      <c r="AC1254" t="inlineStr">
        <is>
          <t>40-30-2-ERW 1-FC</t>
        </is>
      </c>
      <c r="AD1254" t="inlineStr">
        <is>
          <t>CTL</t>
        </is>
      </c>
      <c r="AE1254" t="inlineStr">
        <is>
          <t>40-30-2-ERW 1-FC-0.162</t>
        </is>
      </c>
      <c r="AF1254" t="n">
        <v>0.3399229326429274</v>
      </c>
    </row>
    <row r="1255">
      <c r="A1255" s="56" t="n">
        <v>3500554</v>
      </c>
      <c r="B1255" s="56" t="inlineStr">
        <is>
          <t>TUB-O-N-AUT-AW-PE-22.20X2.000X5.1000</t>
        </is>
      </c>
      <c r="C1255" s="56" t="inlineStr">
        <is>
          <t>4B15BH2080</t>
        </is>
      </c>
      <c r="D1255" s="56" t="n"/>
      <c r="E1255" s="57" t="n">
        <v>2504</v>
      </c>
      <c r="F1255" s="57" t="n">
        <v>2.504</v>
      </c>
      <c r="G1255" s="56" t="inlineStr">
        <is>
          <t>KG</t>
        </is>
      </c>
      <c r="H1255" s="56" t="inlineStr"/>
      <c r="I1255" s="56" t="inlineStr">
        <is>
          <t>4731</t>
        </is>
      </c>
      <c r="J1255" s="56" t="n"/>
      <c r="K1255" s="56" t="n"/>
      <c r="L1255" s="56" t="n"/>
      <c r="M1255" s="56" t="n"/>
      <c r="N1255" s="56" t="inlineStr">
        <is>
          <t>SRIKAM HITECH ENGINEERING PRIVATE L</t>
        </is>
      </c>
      <c r="O1255" s="56" t="n">
        <v>47</v>
      </c>
      <c r="P1255" s="59" t="inlineStr">
        <is>
          <t>31-60</t>
        </is>
      </c>
      <c r="Q1255" s="56" t="inlineStr">
        <is>
          <t>Apoorv</t>
        </is>
      </c>
      <c r="U1255" s="585" t="n">
        <v>1940834</v>
      </c>
      <c r="V1255" t="n">
        <v>40</v>
      </c>
      <c r="W1255" t="n">
        <v>30</v>
      </c>
      <c r="X1255" t="n">
        <v>2</v>
      </c>
      <c r="Y1255" t="n">
        <v>0.254</v>
      </c>
      <c r="Z1255" t="inlineStr">
        <is>
          <t>GR1</t>
        </is>
      </c>
      <c r="AA1255" t="inlineStr">
        <is>
          <t>FC</t>
        </is>
      </c>
      <c r="AB1255" t="inlineStr">
        <is>
          <t>AW</t>
        </is>
      </c>
      <c r="AC1255" t="inlineStr">
        <is>
          <t>40-30-2-ERW 1-FC</t>
        </is>
      </c>
      <c r="AD1255" t="inlineStr">
        <is>
          <t>CTL</t>
        </is>
      </c>
      <c r="AE1255" t="inlineStr">
        <is>
          <t>40-30-2-ERW 1-FC-0.254</t>
        </is>
      </c>
      <c r="AF1255" t="n">
        <v>0.5329655857487875</v>
      </c>
    </row>
    <row r="1256">
      <c r="A1256" s="56" t="n">
        <v>3500554</v>
      </c>
      <c r="B1256" s="56" t="inlineStr">
        <is>
          <t>TUB-O-N-AUT-AW-PE-22.20X2.000X5.1000</t>
        </is>
      </c>
      <c r="C1256" s="56" t="inlineStr">
        <is>
          <t>4B15BH2070</t>
        </is>
      </c>
      <c r="D1256" s="56" t="n"/>
      <c r="E1256" s="57" t="n">
        <v>2207</v>
      </c>
      <c r="F1256" s="57" t="n">
        <v>2.207</v>
      </c>
      <c r="G1256" s="56" t="inlineStr">
        <is>
          <t>KG</t>
        </is>
      </c>
      <c r="H1256" s="56" t="inlineStr"/>
      <c r="I1256" s="56" t="inlineStr">
        <is>
          <t>4731</t>
        </is>
      </c>
      <c r="J1256" s="56" t="n"/>
      <c r="K1256" s="56" t="n"/>
      <c r="L1256" s="56" t="n"/>
      <c r="M1256" s="56" t="n"/>
      <c r="N1256" s="56" t="inlineStr">
        <is>
          <t>SRIKAM HITECH ENGINEERING PRIVATE L</t>
        </is>
      </c>
      <c r="O1256" s="56" t="n">
        <v>47</v>
      </c>
      <c r="P1256" s="59" t="inlineStr">
        <is>
          <t>31-60</t>
        </is>
      </c>
      <c r="Q1256" s="56" t="inlineStr">
        <is>
          <t>Apoorv</t>
        </is>
      </c>
      <c r="U1256" s="585" t="n">
        <v>1940837</v>
      </c>
      <c r="V1256" t="n">
        <v>40</v>
      </c>
      <c r="W1256" t="n">
        <v>30</v>
      </c>
      <c r="X1256" t="n">
        <v>2</v>
      </c>
      <c r="Y1256" t="n">
        <v>0.87</v>
      </c>
      <c r="Z1256" t="inlineStr">
        <is>
          <t>GR1</t>
        </is>
      </c>
      <c r="AA1256" t="inlineStr">
        <is>
          <t>FC</t>
        </is>
      </c>
      <c r="AB1256" t="inlineStr">
        <is>
          <t>AW</t>
        </is>
      </c>
      <c r="AC1256" t="inlineStr">
        <is>
          <t>40-30-2-ERW 1-FC</t>
        </is>
      </c>
      <c r="AD1256" t="inlineStr">
        <is>
          <t>CTL</t>
        </is>
      </c>
      <c r="AE1256" t="inlineStr">
        <is>
          <t>40-30-2-ERW 1-FC-0.87</t>
        </is>
      </c>
      <c r="AF1256" t="n">
        <v>1.825512045674981</v>
      </c>
    </row>
    <row r="1257">
      <c r="A1257" s="56" t="n">
        <v>3500554</v>
      </c>
      <c r="B1257" s="56" t="inlineStr">
        <is>
          <t>TUB-O-N-AUT-AW-PE-22.20X2.000X5.1000</t>
        </is>
      </c>
      <c r="C1257" s="56" t="inlineStr">
        <is>
          <t>4B13AH2010</t>
        </is>
      </c>
      <c r="D1257" s="56" t="n"/>
      <c r="E1257" s="57" t="n">
        <v>182.62</v>
      </c>
      <c r="F1257" s="57" t="n">
        <v>0.18262</v>
      </c>
      <c r="G1257" s="56" t="inlineStr">
        <is>
          <t>KG</t>
        </is>
      </c>
      <c r="H1257" s="56" t="inlineStr"/>
      <c r="I1257" s="56" t="inlineStr">
        <is>
          <t>4731</t>
        </is>
      </c>
      <c r="J1257" s="56" t="n"/>
      <c r="K1257" s="56" t="n"/>
      <c r="L1257" s="56" t="n"/>
      <c r="M1257" s="56" t="n"/>
      <c r="N1257" s="56" t="inlineStr">
        <is>
          <t>SRIKAM HITECH ENGINEERING PRIVATE L</t>
        </is>
      </c>
      <c r="O1257" s="56" t="n">
        <v>34</v>
      </c>
      <c r="P1257" s="59" t="inlineStr">
        <is>
          <t>31-60</t>
        </is>
      </c>
      <c r="Q1257" s="56" t="inlineStr">
        <is>
          <t>Apoorv</t>
        </is>
      </c>
      <c r="U1257" s="585" t="n">
        <v>1940838</v>
      </c>
      <c r="V1257" t="n">
        <v>40</v>
      </c>
      <c r="W1257" t="n">
        <v>30</v>
      </c>
      <c r="X1257" t="n">
        <v>2</v>
      </c>
      <c r="Y1257" t="n">
        <v>0.88</v>
      </c>
      <c r="Z1257" t="inlineStr">
        <is>
          <t>GR1</t>
        </is>
      </c>
      <c r="AA1257" t="inlineStr">
        <is>
          <t>FC</t>
        </is>
      </c>
      <c r="AB1257" t="inlineStr">
        <is>
          <t>AW</t>
        </is>
      </c>
      <c r="AC1257" t="inlineStr">
        <is>
          <t>40-30-2-ERW 1-FC</t>
        </is>
      </c>
      <c r="AD1257" t="inlineStr">
        <is>
          <t>CTL</t>
        </is>
      </c>
      <c r="AE1257" t="inlineStr">
        <is>
          <t>40-30-2-ERW 1-FC-0.88</t>
        </is>
      </c>
      <c r="AF1257" t="n">
        <v>1.846494942751705</v>
      </c>
    </row>
    <row r="1258">
      <c r="A1258" s="56" t="n">
        <v>3500641</v>
      </c>
      <c r="B1258" s="56" t="inlineStr">
        <is>
          <t>TUB-S-AW-SHS-50.0X50.0X1.6X6.1210BSVIHDP</t>
        </is>
      </c>
      <c r="C1258" s="56" t="inlineStr">
        <is>
          <t>MG2982404</t>
        </is>
      </c>
      <c r="D1258" s="56" t="n"/>
      <c r="E1258" s="57" t="n">
        <v>83.91200000000001</v>
      </c>
      <c r="F1258" s="57" t="n">
        <v>0.083912</v>
      </c>
      <c r="G1258" s="56" t="inlineStr">
        <is>
          <t>KG</t>
        </is>
      </c>
      <c r="H1258" s="56" t="inlineStr">
        <is>
          <t>TA01</t>
        </is>
      </c>
      <c r="I1258" s="56" t="inlineStr">
        <is>
          <t>4731</t>
        </is>
      </c>
      <c r="J1258" s="56" t="n"/>
      <c r="K1258" s="56" t="n"/>
      <c r="L1258" s="56" t="n"/>
      <c r="M1258" s="56" t="n"/>
      <c r="N1258" s="56" t="inlineStr">
        <is>
          <t>Neel Metal Products Limited</t>
        </is>
      </c>
      <c r="O1258" s="56" t="n">
        <v>25</v>
      </c>
      <c r="P1258" s="59" t="inlineStr">
        <is>
          <t>0-30</t>
        </is>
      </c>
      <c r="Q1258" s="56" t="inlineStr">
        <is>
          <t>Apoorv</t>
        </is>
      </c>
      <c r="U1258" s="585" t="n">
        <v>1940840</v>
      </c>
      <c r="V1258" t="n">
        <v>40</v>
      </c>
      <c r="W1258" t="n">
        <v>30</v>
      </c>
      <c r="X1258" t="n">
        <v>2</v>
      </c>
      <c r="Y1258" t="n">
        <v>6</v>
      </c>
      <c r="Z1258" t="inlineStr">
        <is>
          <t>GR1</t>
        </is>
      </c>
      <c r="AA1258" t="inlineStr">
        <is>
          <t>FC</t>
        </is>
      </c>
      <c r="AB1258" t="inlineStr">
        <is>
          <t>AW</t>
        </is>
      </c>
      <c r="AC1258" t="inlineStr">
        <is>
          <t>40-30-2-ERW 1-FC</t>
        </is>
      </c>
      <c r="AD1258" t="inlineStr">
        <is>
          <t>LL</t>
        </is>
      </c>
      <c r="AE1258" t="inlineStr">
        <is>
          <t>40-30-2-ERW 1-FC-1</t>
        </is>
      </c>
      <c r="AF1258" t="n">
        <v>2.098289707672392</v>
      </c>
    </row>
    <row r="1259">
      <c r="A1259" s="56" t="n">
        <v>3500641</v>
      </c>
      <c r="B1259" s="56" t="inlineStr">
        <is>
          <t>TUB-S-AW-SHS-50.0X50.0X1.6X6.1210BSVIHDP</t>
        </is>
      </c>
      <c r="C1259" s="56" t="inlineStr">
        <is>
          <t>4B06CK4100</t>
        </is>
      </c>
      <c r="D1259" s="56" t="n"/>
      <c r="E1259" s="57" t="n">
        <v>2081</v>
      </c>
      <c r="F1259" s="57" t="n">
        <v>2.081</v>
      </c>
      <c r="G1259" s="56" t="inlineStr">
        <is>
          <t>KG</t>
        </is>
      </c>
      <c r="H1259" s="56" t="inlineStr">
        <is>
          <t>TA01</t>
        </is>
      </c>
      <c r="I1259" s="56" t="inlineStr">
        <is>
          <t>4731</t>
        </is>
      </c>
      <c r="J1259" s="56" t="n"/>
      <c r="K1259" s="56" t="n"/>
      <c r="L1259" s="56" t="n"/>
      <c r="M1259" s="56" t="n"/>
      <c r="N1259" s="56" t="inlineStr">
        <is>
          <t>Neel Metal Products Limited</t>
        </is>
      </c>
      <c r="O1259" s="56" t="n">
        <v>25</v>
      </c>
      <c r="P1259" s="59" t="inlineStr">
        <is>
          <t>0-30</t>
        </is>
      </c>
      <c r="Q1259" s="56" t="inlineStr">
        <is>
          <t>Apoorv</t>
        </is>
      </c>
      <c r="U1259" s="586" t="n">
        <v>110102966</v>
      </c>
      <c r="V1259" t="n">
        <v>40</v>
      </c>
      <c r="W1259" t="n">
        <v>30</v>
      </c>
      <c r="X1259" t="n">
        <v>2</v>
      </c>
      <c r="Y1259" t="n">
        <v>6</v>
      </c>
      <c r="Z1259" t="inlineStr">
        <is>
          <t>GR1</t>
        </is>
      </c>
      <c r="AA1259" t="inlineStr">
        <is>
          <t>FC</t>
        </is>
      </c>
      <c r="AB1259" t="inlineStr">
        <is>
          <t>AW</t>
        </is>
      </c>
      <c r="AC1259" t="inlineStr">
        <is>
          <t>40-30-2-ERW 1-FC</t>
        </is>
      </c>
      <c r="AD1259" t="inlineStr">
        <is>
          <t>LL</t>
        </is>
      </c>
      <c r="AE1259" t="inlineStr">
        <is>
          <t>40-30-2-ERW 1-FC-1</t>
        </is>
      </c>
      <c r="AF1259" t="n">
        <v>2.098289707672392</v>
      </c>
    </row>
    <row r="1260">
      <c r="A1260" s="56" t="n">
        <v>3500641</v>
      </c>
      <c r="B1260" s="56" t="inlineStr">
        <is>
          <t>TUB-S-AW-SHS-50.0X50.0X1.6X6.1210BSVIHDP</t>
        </is>
      </c>
      <c r="C1260" s="56" t="inlineStr">
        <is>
          <t>4B06CK4080</t>
        </is>
      </c>
      <c r="D1260" s="56" t="n"/>
      <c r="E1260" s="57" t="n">
        <v>2081</v>
      </c>
      <c r="F1260" s="57" t="n">
        <v>2.081</v>
      </c>
      <c r="G1260" s="56" t="inlineStr">
        <is>
          <t>KG</t>
        </is>
      </c>
      <c r="H1260" s="56" t="inlineStr">
        <is>
          <t>TA01</t>
        </is>
      </c>
      <c r="I1260" s="56" t="inlineStr">
        <is>
          <t>4731</t>
        </is>
      </c>
      <c r="J1260" s="56" t="n"/>
      <c r="K1260" s="56" t="n"/>
      <c r="L1260" s="56" t="n"/>
      <c r="M1260" s="56" t="n"/>
      <c r="N1260" s="56" t="inlineStr">
        <is>
          <t>Neel Metal Products Limited</t>
        </is>
      </c>
      <c r="O1260" s="56" t="n">
        <v>25</v>
      </c>
      <c r="P1260" s="59" t="inlineStr">
        <is>
          <t>0-30</t>
        </is>
      </c>
      <c r="Q1260" s="56" t="inlineStr">
        <is>
          <t>Apoorv</t>
        </is>
      </c>
      <c r="U1260" s="586" t="n">
        <v>111001353</v>
      </c>
      <c r="V1260" t="n">
        <v>40</v>
      </c>
      <c r="W1260" t="n">
        <v>30</v>
      </c>
      <c r="X1260" t="n">
        <v>2</v>
      </c>
      <c r="Y1260" t="n">
        <v>6.1</v>
      </c>
      <c r="Z1260" t="inlineStr">
        <is>
          <t>HROP</t>
        </is>
      </c>
      <c r="AA1260" t="inlineStr">
        <is>
          <t>FC</t>
        </is>
      </c>
      <c r="AB1260" t="inlineStr">
        <is>
          <t>AW</t>
        </is>
      </c>
      <c r="AC1260" t="inlineStr">
        <is>
          <t>40-30-2-ERW 1-FC</t>
        </is>
      </c>
      <c r="AD1260" t="inlineStr">
        <is>
          <t>LL</t>
        </is>
      </c>
      <c r="AE1260" t="inlineStr">
        <is>
          <t>40-30-2-ERW 1-FC-1</t>
        </is>
      </c>
      <c r="AF1260" t="n">
        <v>2.098289707672392</v>
      </c>
    </row>
    <row r="1261">
      <c r="A1261" s="56" t="n">
        <v>3500641</v>
      </c>
      <c r="B1261" s="56" t="inlineStr">
        <is>
          <t>TUB-S-AW-SHS-50.0X50.0X1.6X6.1210BSVIHDP</t>
        </is>
      </c>
      <c r="C1261" s="56" t="inlineStr">
        <is>
          <t>4B06CK4070</t>
        </is>
      </c>
      <c r="D1261" s="56" t="n"/>
      <c r="E1261" s="57" t="n">
        <v>1755</v>
      </c>
      <c r="F1261" s="57" t="n">
        <v>1.755</v>
      </c>
      <c r="G1261" s="56" t="inlineStr">
        <is>
          <t>KG</t>
        </is>
      </c>
      <c r="H1261" s="56" t="inlineStr">
        <is>
          <t>TA01</t>
        </is>
      </c>
      <c r="I1261" s="56" t="inlineStr">
        <is>
          <t>4731</t>
        </is>
      </c>
      <c r="J1261" s="56" t="n"/>
      <c r="K1261" s="56" t="n"/>
      <c r="L1261" s="56" t="n"/>
      <c r="M1261" s="56" t="n"/>
      <c r="N1261" s="56" t="inlineStr">
        <is>
          <t>Neel Metal Products Limited</t>
        </is>
      </c>
      <c r="O1261" s="56" t="n">
        <v>25</v>
      </c>
      <c r="P1261" s="59" t="inlineStr">
        <is>
          <t>0-30</t>
        </is>
      </c>
      <c r="Q1261" s="56" t="inlineStr">
        <is>
          <t>Apoorv</t>
        </is>
      </c>
      <c r="U1261" s="586" t="n">
        <v>111001352</v>
      </c>
      <c r="V1261" t="n">
        <v>40</v>
      </c>
      <c r="W1261" t="n">
        <v>30</v>
      </c>
      <c r="X1261" t="n">
        <v>2</v>
      </c>
      <c r="Y1261" t="n">
        <v>6.17</v>
      </c>
      <c r="Z1261" t="inlineStr">
        <is>
          <t>HROP</t>
        </is>
      </c>
      <c r="AA1261" t="inlineStr">
        <is>
          <t>FC</t>
        </is>
      </c>
      <c r="AB1261" t="inlineStr">
        <is>
          <t>AW</t>
        </is>
      </c>
      <c r="AC1261" t="inlineStr">
        <is>
          <t>40-30-2-ERW 1-FC</t>
        </is>
      </c>
      <c r="AD1261" t="inlineStr">
        <is>
          <t>LL</t>
        </is>
      </c>
      <c r="AE1261" t="inlineStr">
        <is>
          <t>40-30-2-ERW 1-FC-1</t>
        </is>
      </c>
      <c r="AF1261" t="n">
        <v>2.098289707672392</v>
      </c>
    </row>
    <row r="1262">
      <c r="A1262" s="56" t="n">
        <v>3500641</v>
      </c>
      <c r="B1262" s="56" t="inlineStr">
        <is>
          <t>TUB-S-AW-SHS-50.0X50.0X1.6X6.1210BSVIHDP</t>
        </is>
      </c>
      <c r="C1262" s="56" t="inlineStr">
        <is>
          <t>4A25CK4040</t>
        </is>
      </c>
      <c r="D1262" s="56" t="n"/>
      <c r="E1262" s="57" t="n">
        <v>2017</v>
      </c>
      <c r="F1262" s="57" t="n">
        <v>2.017</v>
      </c>
      <c r="G1262" s="56" t="inlineStr">
        <is>
          <t>KG</t>
        </is>
      </c>
      <c r="H1262" s="56" t="inlineStr">
        <is>
          <t>TA01</t>
        </is>
      </c>
      <c r="I1262" s="56" t="inlineStr">
        <is>
          <t>4731</t>
        </is>
      </c>
      <c r="J1262" s="56" t="n"/>
      <c r="K1262" s="56" t="n"/>
      <c r="L1262" s="56" t="n"/>
      <c r="M1262" s="56" t="n"/>
      <c r="N1262" s="56" t="inlineStr">
        <is>
          <t>Neel Metal Products Limited</t>
        </is>
      </c>
      <c r="O1262" s="56" t="n">
        <v>25</v>
      </c>
      <c r="P1262" s="59" t="inlineStr">
        <is>
          <t>0-30</t>
        </is>
      </c>
      <c r="Q1262" s="56" t="inlineStr">
        <is>
          <t>Apoorv</t>
        </is>
      </c>
      <c r="U1262" s="585" t="n">
        <v>3474555</v>
      </c>
      <c r="V1262" t="n">
        <v>40</v>
      </c>
      <c r="W1262" t="n">
        <v>30</v>
      </c>
      <c r="X1262" t="n">
        <v>2</v>
      </c>
      <c r="Y1262" t="n">
        <v>6.175</v>
      </c>
      <c r="Z1262" t="inlineStr">
        <is>
          <t>HROP</t>
        </is>
      </c>
      <c r="AA1262" t="inlineStr">
        <is>
          <t>FC</t>
        </is>
      </c>
      <c r="AB1262" t="inlineStr">
        <is>
          <t>AW</t>
        </is>
      </c>
      <c r="AC1262" t="inlineStr">
        <is>
          <t>40-30-2-ERW 1-FC</t>
        </is>
      </c>
      <c r="AD1262" t="inlineStr">
        <is>
          <t>LL</t>
        </is>
      </c>
      <c r="AE1262" t="inlineStr">
        <is>
          <t>40-30-2-ERW 1-FC-1</t>
        </is>
      </c>
      <c r="AF1262" t="n">
        <v>2.098289707672392</v>
      </c>
    </row>
    <row r="1263">
      <c r="A1263" s="56" t="n">
        <v>3500641</v>
      </c>
      <c r="B1263" s="56" t="inlineStr">
        <is>
          <t>TUB-S-AW-SHS-50.0X50.0X1.6X6.1210BSVIHDP</t>
        </is>
      </c>
      <c r="C1263" s="56" t="inlineStr">
        <is>
          <t>4A25CK4010</t>
        </is>
      </c>
      <c r="D1263" s="56" t="n"/>
      <c r="E1263" s="57" t="n">
        <v>712</v>
      </c>
      <c r="F1263" s="57" t="n">
        <v>0.712</v>
      </c>
      <c r="G1263" s="56" t="inlineStr">
        <is>
          <t>KG</t>
        </is>
      </c>
      <c r="H1263" s="56" t="inlineStr">
        <is>
          <t>TA01</t>
        </is>
      </c>
      <c r="I1263" s="56" t="inlineStr">
        <is>
          <t>4731</t>
        </is>
      </c>
      <c r="J1263" s="56" t="n"/>
      <c r="K1263" s="56" t="n"/>
      <c r="L1263" s="56" t="n"/>
      <c r="M1263" s="56" t="n"/>
      <c r="N1263" s="56" t="inlineStr">
        <is>
          <t>Neel Metal Products Limited</t>
        </is>
      </c>
      <c r="O1263" s="56" t="n">
        <v>25</v>
      </c>
      <c r="P1263" s="59" t="inlineStr">
        <is>
          <t>0-30</t>
        </is>
      </c>
      <c r="Q1263" s="56" t="inlineStr">
        <is>
          <t>Apoorv</t>
        </is>
      </c>
      <c r="U1263" s="586" t="n">
        <v>110102963</v>
      </c>
      <c r="V1263" t="n">
        <v>40</v>
      </c>
      <c r="W1263" t="n">
        <v>30</v>
      </c>
      <c r="X1263" t="n">
        <v>2</v>
      </c>
      <c r="Y1263" t="n">
        <v>6.175</v>
      </c>
      <c r="Z1263" t="inlineStr">
        <is>
          <t>GR1</t>
        </is>
      </c>
      <c r="AA1263" t="inlineStr">
        <is>
          <t>FC</t>
        </is>
      </c>
      <c r="AB1263" t="inlineStr">
        <is>
          <t>AW</t>
        </is>
      </c>
      <c r="AC1263" t="inlineStr">
        <is>
          <t>40-30-2-ERW 1-FC</t>
        </is>
      </c>
      <c r="AD1263" t="inlineStr">
        <is>
          <t>LL</t>
        </is>
      </c>
      <c r="AE1263" t="inlineStr">
        <is>
          <t>40-30-2-ERW 1-FC-1</t>
        </is>
      </c>
      <c r="AF1263" t="n">
        <v>2.098289707672392</v>
      </c>
    </row>
    <row r="1264">
      <c r="A1264" s="56" t="n">
        <v>3500641</v>
      </c>
      <c r="B1264" s="56" t="inlineStr">
        <is>
          <t>TUB-S-AW-SHS-50.0X50.0X1.6X6.1210BSVIHDP</t>
        </is>
      </c>
      <c r="C1264" s="56" t="inlineStr">
        <is>
          <t>4A25CK4020</t>
        </is>
      </c>
      <c r="D1264" s="56" t="n"/>
      <c r="E1264" s="57" t="n">
        <v>496.69</v>
      </c>
      <c r="F1264" s="57" t="n">
        <v>0.49669</v>
      </c>
      <c r="G1264" s="56" t="inlineStr">
        <is>
          <t>KG</t>
        </is>
      </c>
      <c r="H1264" s="56" t="inlineStr"/>
      <c r="I1264" s="56" t="inlineStr">
        <is>
          <t>4731</t>
        </is>
      </c>
      <c r="J1264" s="56" t="n"/>
      <c r="K1264" s="56" t="n"/>
      <c r="L1264" s="56" t="n"/>
      <c r="M1264" s="56" t="n"/>
      <c r="N1264" s="56" t="inlineStr">
        <is>
          <t>Neel Metal Products Limited</t>
        </is>
      </c>
      <c r="O1264" s="56" t="n">
        <v>34</v>
      </c>
      <c r="P1264" s="59" t="inlineStr">
        <is>
          <t>31-60</t>
        </is>
      </c>
      <c r="Q1264" s="56" t="inlineStr">
        <is>
          <t>Apoorv</t>
        </is>
      </c>
      <c r="U1264" s="508" t="n">
        <v>1940843</v>
      </c>
      <c r="V1264" t="n">
        <v>40</v>
      </c>
      <c r="W1264" t="n">
        <v>30</v>
      </c>
      <c r="X1264" t="n">
        <v>2</v>
      </c>
      <c r="Y1264" t="n">
        <v>6.2</v>
      </c>
      <c r="Z1264" t="inlineStr">
        <is>
          <t>GR1</t>
        </is>
      </c>
      <c r="AA1264" t="inlineStr">
        <is>
          <t>FC</t>
        </is>
      </c>
      <c r="AB1264" t="inlineStr">
        <is>
          <t>AW</t>
        </is>
      </c>
      <c r="AC1264" t="inlineStr">
        <is>
          <t>40-30-2-ERW 1-FC</t>
        </is>
      </c>
      <c r="AD1264" t="inlineStr">
        <is>
          <t>LL</t>
        </is>
      </c>
      <c r="AE1264" t="inlineStr">
        <is>
          <t>40-30-2-ERW 1-FC-1</t>
        </is>
      </c>
      <c r="AF1264" t="n">
        <v>2.098289707672392</v>
      </c>
    </row>
    <row r="1265">
      <c r="A1265" s="56" t="n">
        <v>3500650</v>
      </c>
      <c r="B1265" s="56" t="inlineStr">
        <is>
          <t>TUB-O-N-AUT-BH-FC-42.70X3.500X6.000</t>
        </is>
      </c>
      <c r="C1265" s="56" t="inlineStr">
        <is>
          <t>4B10CK3020</t>
        </is>
      </c>
      <c r="D1265" s="56" t="n"/>
      <c r="E1265" s="57" t="n">
        <v>2358</v>
      </c>
      <c r="F1265" s="57" t="n">
        <v>2.358</v>
      </c>
      <c r="G1265" s="56" t="inlineStr">
        <is>
          <t>KG</t>
        </is>
      </c>
      <c r="H1265" s="56" t="inlineStr">
        <is>
          <t>TF01</t>
        </is>
      </c>
      <c r="I1265" s="56" t="inlineStr">
        <is>
          <t>4731</t>
        </is>
      </c>
      <c r="J1265" s="56" t="n"/>
      <c r="K1265" s="56" t="n"/>
      <c r="L1265" s="56" t="n"/>
      <c r="M1265" s="56" t="n"/>
      <c r="N1265" s="56" t="inlineStr">
        <is>
          <t>Neel Metal Products Limited</t>
        </is>
      </c>
      <c r="O1265" s="56" t="n">
        <v>53</v>
      </c>
      <c r="P1265" s="59" t="inlineStr">
        <is>
          <t>31-60</t>
        </is>
      </c>
      <c r="Q1265" s="56" t="inlineStr">
        <is>
          <t>Apoorv</t>
        </is>
      </c>
      <c r="U1265" s="585" t="n">
        <v>3569652</v>
      </c>
      <c r="V1265" t="n">
        <v>40</v>
      </c>
      <c r="W1265" t="n">
        <v>30</v>
      </c>
      <c r="X1265" t="n">
        <v>2</v>
      </c>
      <c r="Y1265" t="n">
        <v>6.24</v>
      </c>
      <c r="Z1265" t="inlineStr">
        <is>
          <t>HROP</t>
        </is>
      </c>
      <c r="AA1265" t="inlineStr">
        <is>
          <t>FC</t>
        </is>
      </c>
      <c r="AB1265" t="inlineStr">
        <is>
          <t>AW</t>
        </is>
      </c>
      <c r="AC1265" t="inlineStr">
        <is>
          <t>40-30-2-ERW 1-FC</t>
        </is>
      </c>
      <c r="AD1265" t="inlineStr">
        <is>
          <t>LL</t>
        </is>
      </c>
      <c r="AE1265" t="inlineStr">
        <is>
          <t>40-30-2-ERW 1-FC-1</t>
        </is>
      </c>
      <c r="AF1265" t="n">
        <v>2.098289707672392</v>
      </c>
    </row>
    <row r="1266">
      <c r="A1266" s="56" t="n">
        <v>3500650</v>
      </c>
      <c r="B1266" s="56" t="inlineStr">
        <is>
          <t>TUB-O-N-AUT-BH-FC-42.70X3.500X6.000</t>
        </is>
      </c>
      <c r="C1266" s="56" t="inlineStr">
        <is>
          <t>4B10BK3180</t>
        </is>
      </c>
      <c r="D1266" s="56" t="n"/>
      <c r="E1266" s="57" t="n">
        <v>2290</v>
      </c>
      <c r="F1266" s="57" t="n">
        <v>2.29</v>
      </c>
      <c r="G1266" s="56" t="inlineStr">
        <is>
          <t>KG</t>
        </is>
      </c>
      <c r="H1266" s="56" t="inlineStr">
        <is>
          <t>TF01</t>
        </is>
      </c>
      <c r="I1266" s="56" t="inlineStr">
        <is>
          <t>4731</t>
        </is>
      </c>
      <c r="J1266" s="56" t="n"/>
      <c r="K1266" s="56" t="n"/>
      <c r="L1266" s="56" t="n"/>
      <c r="M1266" s="56" t="n"/>
      <c r="N1266" s="56" t="inlineStr">
        <is>
          <t>Neel Metal Products Limited</t>
        </is>
      </c>
      <c r="O1266" s="56" t="n">
        <v>53</v>
      </c>
      <c r="P1266" s="59" t="inlineStr">
        <is>
          <t>31-60</t>
        </is>
      </c>
      <c r="Q1266" s="56" t="inlineStr">
        <is>
          <t>Apoorv</t>
        </is>
      </c>
      <c r="U1266" s="586" t="n">
        <v>111116378</v>
      </c>
      <c r="V1266" t="n">
        <v>40</v>
      </c>
      <c r="W1266" t="n">
        <v>30</v>
      </c>
      <c r="X1266" t="n">
        <v>2</v>
      </c>
      <c r="Y1266" t="n">
        <v>6.24</v>
      </c>
      <c r="Z1266" t="inlineStr">
        <is>
          <t>GR1</t>
        </is>
      </c>
      <c r="AA1266" t="inlineStr">
        <is>
          <t>FC</t>
        </is>
      </c>
      <c r="AB1266" t="inlineStr">
        <is>
          <t>AW</t>
        </is>
      </c>
      <c r="AC1266" t="inlineStr">
        <is>
          <t>40-30-2-ERW 1-FC</t>
        </is>
      </c>
      <c r="AD1266" t="inlineStr">
        <is>
          <t>LL</t>
        </is>
      </c>
      <c r="AE1266" t="inlineStr">
        <is>
          <t>40-30-2-ERW 1-FC-1</t>
        </is>
      </c>
      <c r="AF1266" t="n">
        <v>2.098289707672392</v>
      </c>
    </row>
    <row r="1267">
      <c r="A1267" s="56" t="n">
        <v>3500650</v>
      </c>
      <c r="B1267" s="56" t="inlineStr">
        <is>
          <t>TUB-O-N-AUT-BH-FC-42.70X3.500X6.000</t>
        </is>
      </c>
      <c r="C1267" s="56" t="inlineStr">
        <is>
          <t>4B10AK3120</t>
        </is>
      </c>
      <c r="D1267" s="56" t="n"/>
      <c r="E1267" s="57" t="n">
        <v>2455</v>
      </c>
      <c r="F1267" s="57" t="n">
        <v>2.455</v>
      </c>
      <c r="G1267" s="56" t="inlineStr">
        <is>
          <t>KG</t>
        </is>
      </c>
      <c r="H1267" s="56" t="inlineStr">
        <is>
          <t>TF01</t>
        </is>
      </c>
      <c r="I1267" s="56" t="inlineStr">
        <is>
          <t>4731</t>
        </is>
      </c>
      <c r="J1267" s="56" t="n"/>
      <c r="K1267" s="56" t="n"/>
      <c r="L1267" s="56" t="n"/>
      <c r="M1267" s="56" t="n"/>
      <c r="N1267" s="56" t="inlineStr">
        <is>
          <t>Neel Metal Products Limited</t>
        </is>
      </c>
      <c r="O1267" s="56" t="n">
        <v>53</v>
      </c>
      <c r="P1267" s="59" t="inlineStr">
        <is>
          <t>31-60</t>
        </is>
      </c>
      <c r="Q1267" s="56" t="inlineStr">
        <is>
          <t>Apoorv</t>
        </is>
      </c>
      <c r="U1267" s="507" t="n">
        <v>3938685</v>
      </c>
      <c r="V1267" t="n">
        <v>40</v>
      </c>
      <c r="W1267" t="n">
        <v>40</v>
      </c>
      <c r="X1267" t="n">
        <v>1.2</v>
      </c>
      <c r="Y1267" t="n">
        <v>0.08500000000000001</v>
      </c>
      <c r="Z1267" t="inlineStr">
        <is>
          <t>CRFH</t>
        </is>
      </c>
      <c r="AA1267" t="inlineStr">
        <is>
          <t>PE</t>
        </is>
      </c>
      <c r="AB1267" t="inlineStr">
        <is>
          <t>AW</t>
        </is>
      </c>
      <c r="AC1267" t="inlineStr">
        <is>
          <t>40-40-1.2-CRFH-PE</t>
        </is>
      </c>
      <c r="AD1267" t="inlineStr">
        <is>
          <t>CTL</t>
        </is>
      </c>
      <c r="AE1267" t="inlineStr">
        <is>
          <t>40-40-1.2-CRFH-PE-0.085</t>
        </is>
      </c>
      <c r="AF1267" t="n">
        <v>0.1250300150757623</v>
      </c>
    </row>
    <row r="1268">
      <c r="A1268" s="56" t="n">
        <v>3500650</v>
      </c>
      <c r="B1268" s="56" t="inlineStr">
        <is>
          <t>TUB-O-N-AUT-BH-FC-42.70X3.500X6.000</t>
        </is>
      </c>
      <c r="C1268" s="56" t="inlineStr">
        <is>
          <t>4B10AK3040</t>
        </is>
      </c>
      <c r="D1268" s="56" t="n"/>
      <c r="E1268" s="57" t="n">
        <v>2319</v>
      </c>
      <c r="F1268" s="57" t="n">
        <v>2.319</v>
      </c>
      <c r="G1268" s="56" t="inlineStr">
        <is>
          <t>KG</t>
        </is>
      </c>
      <c r="H1268" s="56" t="inlineStr">
        <is>
          <t>TF01</t>
        </is>
      </c>
      <c r="I1268" s="56" t="inlineStr">
        <is>
          <t>4731</t>
        </is>
      </c>
      <c r="J1268" s="56" t="n"/>
      <c r="K1268" s="56" t="n"/>
      <c r="L1268" s="56" t="n"/>
      <c r="M1268" s="56" t="n"/>
      <c r="N1268" s="56" t="inlineStr">
        <is>
          <t>Neel Metal Products Limited</t>
        </is>
      </c>
      <c r="O1268" s="56" t="n">
        <v>53</v>
      </c>
      <c r="P1268" s="59" t="inlineStr">
        <is>
          <t>31-60</t>
        </is>
      </c>
      <c r="Q1268" s="56" t="inlineStr">
        <is>
          <t>Apoorv</t>
        </is>
      </c>
      <c r="U1268" t="n">
        <v>4151471</v>
      </c>
      <c r="V1268" t="n">
        <v>40</v>
      </c>
      <c r="W1268" t="n">
        <v>40</v>
      </c>
      <c r="X1268" t="n">
        <v>1.2</v>
      </c>
      <c r="Y1268" t="n">
        <v>0.115</v>
      </c>
      <c r="Z1268" t="inlineStr">
        <is>
          <t>CRFH</t>
        </is>
      </c>
      <c r="AA1268" t="inlineStr">
        <is>
          <t>PE</t>
        </is>
      </c>
      <c r="AB1268" t="inlineStr">
        <is>
          <t>AW</t>
        </is>
      </c>
      <c r="AC1268" t="inlineStr">
        <is>
          <t>40-40-1.2-CRFH-PE</t>
        </is>
      </c>
      <c r="AD1268" t="inlineStr">
        <is>
          <t>CTL</t>
        </is>
      </c>
      <c r="AE1268" t="inlineStr">
        <is>
          <t>40-40-1.2-CRFH-PE-0.115</t>
        </is>
      </c>
      <c r="AF1268" t="n">
        <v>0.1691582556907372</v>
      </c>
    </row>
    <row r="1269">
      <c r="A1269" s="56" t="n">
        <v>3500650</v>
      </c>
      <c r="B1269" s="56" t="inlineStr">
        <is>
          <t>TUB-O-N-AUT-BH-FC-42.70X3.500X6.000</t>
        </is>
      </c>
      <c r="C1269" s="56" t="inlineStr">
        <is>
          <t>4A28CK3100</t>
        </is>
      </c>
      <c r="D1269" s="56" t="n"/>
      <c r="E1269" s="57" t="n">
        <v>2263</v>
      </c>
      <c r="F1269" s="57" t="n">
        <v>2.263</v>
      </c>
      <c r="G1269" s="56" t="inlineStr">
        <is>
          <t>KG</t>
        </is>
      </c>
      <c r="H1269" s="56" t="inlineStr">
        <is>
          <t>R001</t>
        </is>
      </c>
      <c r="I1269" s="56" t="inlineStr">
        <is>
          <t>4731</t>
        </is>
      </c>
      <c r="J1269" s="56" t="n"/>
      <c r="K1269" s="56" t="n"/>
      <c r="L1269" s="56" t="n"/>
      <c r="M1269" s="56" t="n"/>
      <c r="N1269" s="56" t="inlineStr">
        <is>
          <t>Neel Metal Products Limited</t>
        </is>
      </c>
      <c r="O1269" s="56" t="n">
        <v>55</v>
      </c>
      <c r="P1269" s="59" t="inlineStr">
        <is>
          <t>31-60</t>
        </is>
      </c>
      <c r="Q1269" s="56" t="inlineStr">
        <is>
          <t>Apoorv</t>
        </is>
      </c>
      <c r="U1269" s="585" t="n">
        <v>1940848</v>
      </c>
      <c r="V1269" t="n">
        <v>40</v>
      </c>
      <c r="W1269" t="n">
        <v>40</v>
      </c>
      <c r="X1269" t="n">
        <v>1.2</v>
      </c>
      <c r="Y1269" t="n">
        <v>0.12</v>
      </c>
      <c r="Z1269" t="inlineStr">
        <is>
          <t>CRFH</t>
        </is>
      </c>
      <c r="AA1269" t="inlineStr">
        <is>
          <t>PE</t>
        </is>
      </c>
      <c r="AB1269" t="inlineStr">
        <is>
          <t>AW</t>
        </is>
      </c>
      <c r="AC1269" t="inlineStr">
        <is>
          <t>40-40-1.2-CRFH-PE</t>
        </is>
      </c>
      <c r="AD1269" t="inlineStr">
        <is>
          <t>CTL</t>
        </is>
      </c>
      <c r="AE1269" t="inlineStr">
        <is>
          <t>40-40-1.2-CRFH-PE-0.12</t>
        </is>
      </c>
      <c r="AF1269" t="n">
        <v>0.1765129624598997</v>
      </c>
    </row>
    <row r="1270">
      <c r="A1270" s="56" t="n">
        <v>3500650</v>
      </c>
      <c r="B1270" s="56" t="inlineStr">
        <is>
          <t>TUB-O-N-AUT-BH-FC-42.70X3.500X6.000</t>
        </is>
      </c>
      <c r="C1270" s="56" t="inlineStr">
        <is>
          <t>4927CK3050</t>
        </is>
      </c>
      <c r="D1270" s="56" t="n"/>
      <c r="E1270" s="57" t="n">
        <v>2368</v>
      </c>
      <c r="F1270" s="57" t="n">
        <v>2.368</v>
      </c>
      <c r="G1270" s="56" t="inlineStr">
        <is>
          <t>KG</t>
        </is>
      </c>
      <c r="H1270" s="56" t="inlineStr">
        <is>
          <t>R001</t>
        </is>
      </c>
      <c r="I1270" s="56" t="inlineStr">
        <is>
          <t>4731</t>
        </is>
      </c>
      <c r="J1270" s="56" t="n"/>
      <c r="K1270" s="56" t="n"/>
      <c r="L1270" s="56" t="n"/>
      <c r="M1270" s="56" t="n"/>
      <c r="N1270" s="56" t="inlineStr">
        <is>
          <t>Neel Metal Products Limited</t>
        </is>
      </c>
      <c r="O1270" s="56" t="n">
        <v>90</v>
      </c>
      <c r="P1270" s="59" t="inlineStr">
        <is>
          <t>61-90</t>
        </is>
      </c>
      <c r="Q1270" s="56" t="inlineStr">
        <is>
          <t>Apoorv</t>
        </is>
      </c>
      <c r="U1270" s="585" t="n">
        <v>1940849</v>
      </c>
      <c r="V1270" t="n">
        <v>40</v>
      </c>
      <c r="W1270" t="n">
        <v>40</v>
      </c>
      <c r="X1270" t="n">
        <v>1.2</v>
      </c>
      <c r="Y1270" t="n">
        <v>0.125</v>
      </c>
      <c r="Z1270" t="inlineStr">
        <is>
          <t>CRFH</t>
        </is>
      </c>
      <c r="AA1270" t="inlineStr">
        <is>
          <t>PE</t>
        </is>
      </c>
      <c r="AB1270" t="inlineStr">
        <is>
          <t>AW</t>
        </is>
      </c>
      <c r="AC1270" t="inlineStr">
        <is>
          <t>40-40-1.2-CRFH-PE</t>
        </is>
      </c>
      <c r="AD1270" t="inlineStr">
        <is>
          <t>CTL</t>
        </is>
      </c>
      <c r="AE1270" t="inlineStr">
        <is>
          <t>40-40-1.2-CRFH-PE-0.125</t>
        </is>
      </c>
      <c r="AF1270" t="n">
        <v>0.1838676692290622</v>
      </c>
    </row>
    <row r="1271">
      <c r="A1271" s="56" t="n">
        <v>3500650</v>
      </c>
      <c r="B1271" s="56" t="inlineStr">
        <is>
          <t>TUB-O-N-AUT-BH-FC-42.70X3.500X6.000</t>
        </is>
      </c>
      <c r="C1271" s="56" t="inlineStr">
        <is>
          <t>4A11CK3080</t>
        </is>
      </c>
      <c r="D1271" s="56" t="n"/>
      <c r="E1271" s="57" t="n">
        <v>2540</v>
      </c>
      <c r="F1271" s="57" t="n">
        <v>2.54</v>
      </c>
      <c r="G1271" s="56" t="inlineStr">
        <is>
          <t>KG</t>
        </is>
      </c>
      <c r="H1271" s="56" t="inlineStr"/>
      <c r="I1271" s="56" t="inlineStr">
        <is>
          <t>4731</t>
        </is>
      </c>
      <c r="J1271" s="56" t="n"/>
      <c r="K1271" s="56" t="n"/>
      <c r="L1271" s="56" t="n"/>
      <c r="M1271" s="56" t="n"/>
      <c r="N1271" s="56" t="inlineStr">
        <is>
          <t>Neel Metal Products Limited</t>
        </is>
      </c>
      <c r="O1271" s="56" t="n">
        <v>25</v>
      </c>
      <c r="P1271" s="59" t="inlineStr">
        <is>
          <t>0-30</t>
        </is>
      </c>
      <c r="Q1271" s="56" t="inlineStr">
        <is>
          <t>Apoorv</t>
        </is>
      </c>
      <c r="U1271" s="585" t="n">
        <v>1940850</v>
      </c>
      <c r="V1271" t="n">
        <v>40</v>
      </c>
      <c r="W1271" t="n">
        <v>40</v>
      </c>
      <c r="X1271" t="n">
        <v>1.2</v>
      </c>
      <c r="Y1271" t="n">
        <v>0.14</v>
      </c>
      <c r="Z1271" t="inlineStr">
        <is>
          <t>CRFH</t>
        </is>
      </c>
      <c r="AA1271" t="inlineStr">
        <is>
          <t>PE</t>
        </is>
      </c>
      <c r="AB1271" t="inlineStr">
        <is>
          <t>AW</t>
        </is>
      </c>
      <c r="AC1271" t="inlineStr">
        <is>
          <t>40-40-1.2-CRFH-PE</t>
        </is>
      </c>
      <c r="AD1271" t="inlineStr">
        <is>
          <t>CTL</t>
        </is>
      </c>
      <c r="AE1271" t="inlineStr">
        <is>
          <t>40-40-1.2-CRFH-PE-0.14</t>
        </is>
      </c>
      <c r="AF1271" t="n">
        <v>0.2059317895365496</v>
      </c>
    </row>
    <row r="1272">
      <c r="A1272" s="56" t="n">
        <v>3500650</v>
      </c>
      <c r="B1272" s="56" t="inlineStr">
        <is>
          <t>TUB-O-N-AUT-BH-FC-42.70X3.500X6.000</t>
        </is>
      </c>
      <c r="C1272" s="56" t="inlineStr">
        <is>
          <t>4A11CK3060</t>
        </is>
      </c>
      <c r="D1272" s="56" t="n"/>
      <c r="E1272" s="57" t="n">
        <v>814.415</v>
      </c>
      <c r="F1272" s="57" t="n">
        <v>0.814415</v>
      </c>
      <c r="G1272" s="56" t="inlineStr">
        <is>
          <t>KG</t>
        </is>
      </c>
      <c r="H1272" s="56" t="inlineStr"/>
      <c r="I1272" s="56" t="inlineStr">
        <is>
          <t>4731</t>
        </is>
      </c>
      <c r="J1272" s="56" t="n"/>
      <c r="K1272" s="56" t="n"/>
      <c r="L1272" s="56" t="n"/>
      <c r="M1272" s="56" t="n"/>
      <c r="N1272" s="56" t="inlineStr">
        <is>
          <t>Neel Metal Products Limited</t>
        </is>
      </c>
      <c r="O1272" s="56" t="n">
        <v>4</v>
      </c>
      <c r="P1272" s="59" t="inlineStr">
        <is>
          <t>0-30</t>
        </is>
      </c>
      <c r="Q1272" s="56" t="inlineStr">
        <is>
          <t>Apoorv</t>
        </is>
      </c>
      <c r="U1272" s="585" t="n">
        <v>3584172</v>
      </c>
      <c r="V1272" t="n">
        <v>40</v>
      </c>
      <c r="W1272" t="n">
        <v>40</v>
      </c>
      <c r="X1272" t="n">
        <v>1.2</v>
      </c>
      <c r="Y1272" t="n">
        <v>0.155</v>
      </c>
      <c r="Z1272" t="inlineStr">
        <is>
          <t>CRFH</t>
        </is>
      </c>
      <c r="AA1272" t="inlineStr">
        <is>
          <t>PE</t>
        </is>
      </c>
      <c r="AB1272" t="inlineStr">
        <is>
          <t>AW</t>
        </is>
      </c>
      <c r="AC1272" t="inlineStr">
        <is>
          <t>40-40-1.2-CRFH-PE</t>
        </is>
      </c>
      <c r="AD1272" t="inlineStr">
        <is>
          <t>CTL</t>
        </is>
      </c>
      <c r="AE1272" t="inlineStr">
        <is>
          <t>40-40-1.2-CRFH-PE-0.155</t>
        </is>
      </c>
      <c r="AF1272" t="n">
        <v>0.2279959098440371</v>
      </c>
    </row>
    <row r="1273">
      <c r="A1273" s="56" t="n">
        <v>3500650</v>
      </c>
      <c r="B1273" s="56" t="inlineStr">
        <is>
          <t>TUB-O-N-AUT-BH-FC-42.70X3.500X6.000</t>
        </is>
      </c>
      <c r="C1273" s="56" t="inlineStr">
        <is>
          <t>4A11AK3020</t>
        </is>
      </c>
      <c r="D1273" s="56" t="n"/>
      <c r="E1273" s="57" t="n">
        <v>80.492</v>
      </c>
      <c r="F1273" s="57" t="n">
        <v>0.08049200000000001</v>
      </c>
      <c r="G1273" s="56" t="inlineStr">
        <is>
          <t>KG</t>
        </is>
      </c>
      <c r="H1273" s="56" t="inlineStr"/>
      <c r="I1273" s="56" t="inlineStr">
        <is>
          <t>4731</t>
        </is>
      </c>
      <c r="J1273" s="56" t="n"/>
      <c r="K1273" s="56" t="n"/>
      <c r="L1273" s="56" t="n"/>
      <c r="M1273" s="56" t="n"/>
      <c r="N1273" s="56" t="inlineStr">
        <is>
          <t>Neel Metal Products Limited</t>
        </is>
      </c>
      <c r="O1273" s="56" t="n">
        <v>9</v>
      </c>
      <c r="P1273" s="59" t="inlineStr">
        <is>
          <t>0-30</t>
        </is>
      </c>
      <c r="Q1273" s="56" t="inlineStr">
        <is>
          <t>Apoorv</t>
        </is>
      </c>
      <c r="U1273" s="585" t="n">
        <v>3572055</v>
      </c>
      <c r="V1273" t="n">
        <v>40</v>
      </c>
      <c r="W1273" t="n">
        <v>40</v>
      </c>
      <c r="X1273" t="n">
        <v>1.2</v>
      </c>
      <c r="Y1273" t="n">
        <v>0.158</v>
      </c>
      <c r="Z1273" t="inlineStr">
        <is>
          <t>CRFH</t>
        </is>
      </c>
      <c r="AA1273" t="inlineStr">
        <is>
          <t>PE</t>
        </is>
      </c>
      <c r="AB1273" t="inlineStr">
        <is>
          <t>AW</t>
        </is>
      </c>
      <c r="AC1273" t="inlineStr">
        <is>
          <t>40-40-1.2-CRFH-PE</t>
        </is>
      </c>
      <c r="AD1273" t="inlineStr">
        <is>
          <t>CTL</t>
        </is>
      </c>
      <c r="AE1273" t="inlineStr">
        <is>
          <t>40-40-1.2-CRFH-PE-0.158</t>
        </is>
      </c>
      <c r="AF1273" t="n">
        <v>0.2324087339055346</v>
      </c>
    </row>
    <row r="1274">
      <c r="A1274" s="56" t="n">
        <v>3500718</v>
      </c>
      <c r="B1274" s="56" t="inlineStr">
        <is>
          <t>TUB-O-N-AUT-AW-FC-38.10X3.66X4.735-ERW 1</t>
        </is>
      </c>
      <c r="C1274" s="56" t="inlineStr">
        <is>
          <t>4831BK3050</t>
        </is>
      </c>
      <c r="D1274" s="56" t="n"/>
      <c r="E1274" s="57" t="n">
        <v>2076</v>
      </c>
      <c r="F1274" s="57" t="n">
        <v>2.076</v>
      </c>
      <c r="G1274" s="56" t="inlineStr">
        <is>
          <t>KG</t>
        </is>
      </c>
      <c r="H1274" s="56" t="inlineStr">
        <is>
          <t>TF01</t>
        </is>
      </c>
      <c r="I1274" s="56" t="inlineStr">
        <is>
          <t>4318</t>
        </is>
      </c>
      <c r="J1274" s="56" t="n"/>
      <c r="K1274" s="56" t="n"/>
      <c r="L1274" s="56" t="n"/>
      <c r="M1274" s="56" t="n"/>
      <c r="N1274" s="56" t="inlineStr">
        <is>
          <t>FREE STOCK</t>
        </is>
      </c>
      <c r="O1274" s="56" t="n">
        <v>116</v>
      </c>
      <c r="P1274" s="59" t="inlineStr">
        <is>
          <t>ABOVE 90</t>
        </is>
      </c>
      <c r="Q1274" s="56" t="inlineStr">
        <is>
          <t>Free Stock</t>
        </is>
      </c>
      <c r="U1274" s="585" t="n">
        <v>3828833</v>
      </c>
      <c r="V1274" t="n">
        <v>40</v>
      </c>
      <c r="W1274" t="n">
        <v>40</v>
      </c>
      <c r="X1274" t="n">
        <v>1.2</v>
      </c>
      <c r="Y1274" t="n">
        <v>5.95</v>
      </c>
      <c r="Z1274" t="inlineStr">
        <is>
          <t>CRFH</t>
        </is>
      </c>
      <c r="AA1274" t="inlineStr">
        <is>
          <t>PE</t>
        </is>
      </c>
      <c r="AB1274" t="inlineStr">
        <is>
          <t>AW</t>
        </is>
      </c>
      <c r="AC1274" t="inlineStr">
        <is>
          <t>40-40-1.2-CRFH-PE</t>
        </is>
      </c>
      <c r="AD1274" t="inlineStr">
        <is>
          <t>LL</t>
        </is>
      </c>
      <c r="AE1274" t="inlineStr">
        <is>
          <t>40-40-1.2-CRFH-PE-1</t>
        </is>
      </c>
      <c r="AF1274" t="n">
        <v>1.470941353832497</v>
      </c>
    </row>
    <row r="1275">
      <c r="A1275" s="56" t="n">
        <v>3500718</v>
      </c>
      <c r="B1275" s="56" t="inlineStr">
        <is>
          <t>TUB-O-N-AUT-AW-FC-38.10X3.66X4.735-ERW 1</t>
        </is>
      </c>
      <c r="C1275" s="56" t="inlineStr">
        <is>
          <t>4831BK3020</t>
        </is>
      </c>
      <c r="D1275" s="56" t="n"/>
      <c r="E1275" s="57" t="n">
        <v>2082</v>
      </c>
      <c r="F1275" s="57" t="n">
        <v>2.082</v>
      </c>
      <c r="G1275" s="56" t="inlineStr">
        <is>
          <t>KG</t>
        </is>
      </c>
      <c r="H1275" s="56" t="inlineStr">
        <is>
          <t>R001</t>
        </is>
      </c>
      <c r="I1275" s="56" t="inlineStr">
        <is>
          <t>4731</t>
        </is>
      </c>
      <c r="J1275" s="56" t="n"/>
      <c r="K1275" s="56" t="n"/>
      <c r="L1275" s="56" t="n"/>
      <c r="M1275" s="56" t="n"/>
      <c r="N1275" s="56" t="inlineStr">
        <is>
          <t>FREE STOCK</t>
        </is>
      </c>
      <c r="O1275" s="56" t="n">
        <v>90</v>
      </c>
      <c r="P1275" s="59" t="inlineStr">
        <is>
          <t>61-90</t>
        </is>
      </c>
      <c r="Q1275" s="56" t="inlineStr">
        <is>
          <t>Free Stock</t>
        </is>
      </c>
      <c r="U1275" s="586" t="n">
        <v>111117555</v>
      </c>
      <c r="V1275" t="n">
        <v>40</v>
      </c>
      <c r="W1275" t="n">
        <v>40</v>
      </c>
      <c r="X1275" t="n">
        <v>1.2</v>
      </c>
      <c r="Y1275" t="n">
        <v>5.95</v>
      </c>
      <c r="Z1275" t="inlineStr">
        <is>
          <t>CRFH</t>
        </is>
      </c>
      <c r="AA1275" t="inlineStr">
        <is>
          <t>PE</t>
        </is>
      </c>
      <c r="AB1275" t="inlineStr">
        <is>
          <t>AW</t>
        </is>
      </c>
      <c r="AC1275" t="inlineStr">
        <is>
          <t>40-40-1.2-CRFH-PE</t>
        </is>
      </c>
      <c r="AD1275" t="inlineStr">
        <is>
          <t>LL</t>
        </is>
      </c>
      <c r="AE1275" t="inlineStr">
        <is>
          <t>40-40-1.2-CRFH-PE-1</t>
        </is>
      </c>
      <c r="AF1275" t="n">
        <v>1.470941353832497</v>
      </c>
    </row>
    <row r="1276">
      <c r="A1276" s="56" t="n">
        <v>3500816</v>
      </c>
      <c r="B1276" s="56" t="inlineStr">
        <is>
          <t>TUB-O-N-AUT-BH-FC-63.50X4.000X6.0000</t>
        </is>
      </c>
      <c r="C1276" s="56" t="inlineStr">
        <is>
          <t>4B21CK4010</t>
        </is>
      </c>
      <c r="D1276" s="56" t="n"/>
      <c r="E1276" s="57" t="n">
        <v>3424</v>
      </c>
      <c r="F1276" s="57" t="n">
        <v>3.424</v>
      </c>
      <c r="G1276" s="56" t="inlineStr">
        <is>
          <t>KG</t>
        </is>
      </c>
      <c r="H1276" s="56" t="inlineStr">
        <is>
          <t>TF01</t>
        </is>
      </c>
      <c r="I1276" s="56" t="inlineStr">
        <is>
          <t>4731</t>
        </is>
      </c>
      <c r="J1276" s="56" t="n"/>
      <c r="K1276" s="56" t="n"/>
      <c r="L1276" s="56" t="n"/>
      <c r="M1276" s="56" t="n"/>
      <c r="N1276" s="56" t="inlineStr">
        <is>
          <t>Neel Metal Products Limited</t>
        </is>
      </c>
      <c r="O1276" s="56" t="n">
        <v>27</v>
      </c>
      <c r="P1276" s="59" t="inlineStr">
        <is>
          <t>0-30</t>
        </is>
      </c>
      <c r="Q1276" s="56" t="inlineStr">
        <is>
          <t>Apoorv</t>
        </is>
      </c>
      <c r="U1276" s="586" t="n">
        <v>110102977</v>
      </c>
      <c r="V1276" t="n">
        <v>40</v>
      </c>
      <c r="W1276" t="n">
        <v>40</v>
      </c>
      <c r="X1276" t="n">
        <v>1.2</v>
      </c>
      <c r="Y1276" t="n">
        <v>5.97</v>
      </c>
      <c r="Z1276" t="inlineStr">
        <is>
          <t>CRFH</t>
        </is>
      </c>
      <c r="AA1276" t="inlineStr">
        <is>
          <t>PE</t>
        </is>
      </c>
      <c r="AB1276" t="inlineStr">
        <is>
          <t>AW</t>
        </is>
      </c>
      <c r="AC1276" t="inlineStr">
        <is>
          <t>40-40-1.2-CRFH-PE</t>
        </is>
      </c>
      <c r="AD1276" t="inlineStr">
        <is>
          <t>LL</t>
        </is>
      </c>
      <c r="AE1276" t="inlineStr">
        <is>
          <t>40-40-1.2-CRFH-PE-1</t>
        </is>
      </c>
      <c r="AF1276" t="n">
        <v>1.470941353832497</v>
      </c>
    </row>
    <row r="1277">
      <c r="A1277" s="56" t="n">
        <v>3500816</v>
      </c>
      <c r="B1277" s="56" t="inlineStr">
        <is>
          <t>TUB-O-N-AUT-BH-FC-63.50X4.000X6.0000</t>
        </is>
      </c>
      <c r="C1277" s="56" t="inlineStr">
        <is>
          <t>4B21BK4070</t>
        </is>
      </c>
      <c r="D1277" s="56" t="n"/>
      <c r="E1277" s="57" t="n">
        <v>3530</v>
      </c>
      <c r="F1277" s="57" t="n">
        <v>3.53</v>
      </c>
      <c r="G1277" s="56" t="inlineStr">
        <is>
          <t>KG</t>
        </is>
      </c>
      <c r="H1277" s="56" t="inlineStr">
        <is>
          <t>TF01</t>
        </is>
      </c>
      <c r="I1277" s="56" t="inlineStr">
        <is>
          <t>4731</t>
        </is>
      </c>
      <c r="J1277" s="56" t="n"/>
      <c r="K1277" s="56" t="n"/>
      <c r="L1277" s="56" t="n"/>
      <c r="M1277" s="56" t="n"/>
      <c r="N1277" s="56" t="inlineStr">
        <is>
          <t>Neel Metal Products Limited</t>
        </is>
      </c>
      <c r="O1277" s="56" t="n">
        <v>27</v>
      </c>
      <c r="P1277" s="59" t="inlineStr">
        <is>
          <t>0-30</t>
        </is>
      </c>
      <c r="Q1277" s="56" t="inlineStr">
        <is>
          <t>Apoorv</t>
        </is>
      </c>
      <c r="U1277" s="585" t="n">
        <v>1940852</v>
      </c>
      <c r="V1277" t="n">
        <v>40</v>
      </c>
      <c r="W1277" t="n">
        <v>40</v>
      </c>
      <c r="X1277" t="n">
        <v>1.2</v>
      </c>
      <c r="Y1277" t="n">
        <v>6</v>
      </c>
      <c r="Z1277" t="inlineStr">
        <is>
          <t>CRFH</t>
        </is>
      </c>
      <c r="AA1277" t="inlineStr">
        <is>
          <t>PE</t>
        </is>
      </c>
      <c r="AB1277" t="inlineStr">
        <is>
          <t>AW</t>
        </is>
      </c>
      <c r="AC1277" t="inlineStr">
        <is>
          <t>40-40-1.2-CRFH-PE</t>
        </is>
      </c>
      <c r="AD1277" t="inlineStr">
        <is>
          <t>LL</t>
        </is>
      </c>
      <c r="AE1277" t="inlineStr">
        <is>
          <t>40-40-1.2-CRFH-PE-1</t>
        </is>
      </c>
      <c r="AF1277" t="n">
        <v>1.470941353832497</v>
      </c>
    </row>
    <row r="1278">
      <c r="A1278" s="56" t="n">
        <v>3500816</v>
      </c>
      <c r="B1278" s="56" t="inlineStr">
        <is>
          <t>TUB-O-N-AUT-BH-FC-63.50X4.000X6.0000</t>
        </is>
      </c>
      <c r="C1278" s="56" t="inlineStr">
        <is>
          <t>4A24CK4150</t>
        </is>
      </c>
      <c r="D1278" s="56" t="n"/>
      <c r="E1278" s="57" t="n">
        <v>2464</v>
      </c>
      <c r="F1278" s="57" t="n">
        <v>2.464</v>
      </c>
      <c r="G1278" s="56" t="inlineStr">
        <is>
          <t>KG</t>
        </is>
      </c>
      <c r="H1278" s="56" t="inlineStr">
        <is>
          <t>TF01</t>
        </is>
      </c>
      <c r="I1278" s="56" t="inlineStr">
        <is>
          <t>4731</t>
        </is>
      </c>
      <c r="J1278" s="56" t="n"/>
      <c r="K1278" s="56" t="n"/>
      <c r="L1278" s="56" t="n"/>
      <c r="M1278" s="56" t="n"/>
      <c r="N1278" s="56" t="inlineStr">
        <is>
          <t>Neel Metal Products Limited</t>
        </is>
      </c>
      <c r="O1278" s="56" t="n">
        <v>53</v>
      </c>
      <c r="P1278" s="59" t="inlineStr">
        <is>
          <t>31-60</t>
        </is>
      </c>
      <c r="Q1278" s="56" t="inlineStr">
        <is>
          <t>Apoorv</t>
        </is>
      </c>
      <c r="U1278" t="n">
        <v>3542933</v>
      </c>
      <c r="V1278" t="n">
        <v>40</v>
      </c>
      <c r="W1278" t="n">
        <v>40</v>
      </c>
      <c r="X1278" t="n">
        <v>1.6</v>
      </c>
      <c r="Y1278" t="n">
        <v>6</v>
      </c>
      <c r="Z1278" t="inlineStr">
        <is>
          <t>CRFH</t>
        </is>
      </c>
      <c r="AA1278" t="inlineStr">
        <is>
          <t>PE</t>
        </is>
      </c>
      <c r="AB1278" t="inlineStr">
        <is>
          <t>FH</t>
        </is>
      </c>
      <c r="AC1278" t="inlineStr">
        <is>
          <t>40-40-1.6-CRFH-PE</t>
        </is>
      </c>
      <c r="AD1278" t="inlineStr">
        <is>
          <t>LL</t>
        </is>
      </c>
      <c r="AE1278" t="inlineStr">
        <is>
          <t>40-40-1.6-CRFH-PE-1</t>
        </is>
      </c>
      <c r="AF1278" t="n">
        <v>1.94547977844333</v>
      </c>
    </row>
    <row r="1279">
      <c r="A1279" s="56" t="n">
        <v>3500816</v>
      </c>
      <c r="B1279" s="56" t="inlineStr">
        <is>
          <t>TUB-O-N-AUT-BH-FC-63.50X4.000X6.0000</t>
        </is>
      </c>
      <c r="C1279" s="56" t="inlineStr">
        <is>
          <t>4A24CK4140</t>
        </is>
      </c>
      <c r="D1279" s="56" t="n"/>
      <c r="E1279" s="57" t="n">
        <v>2816</v>
      </c>
      <c r="F1279" s="57" t="n">
        <v>2.816</v>
      </c>
      <c r="G1279" s="56" t="inlineStr">
        <is>
          <t>KG</t>
        </is>
      </c>
      <c r="H1279" s="56" t="inlineStr">
        <is>
          <t>TF01</t>
        </is>
      </c>
      <c r="I1279" s="56" t="inlineStr">
        <is>
          <t>4731</t>
        </is>
      </c>
      <c r="J1279" s="56" t="n"/>
      <c r="K1279" s="56" t="n"/>
      <c r="L1279" s="56" t="n"/>
      <c r="M1279" s="56" t="n"/>
      <c r="N1279" s="56" t="inlineStr">
        <is>
          <t>Neel Metal Products Limited</t>
        </is>
      </c>
      <c r="O1279" s="56" t="n">
        <v>53</v>
      </c>
      <c r="P1279" s="59" t="inlineStr">
        <is>
          <t>31-60</t>
        </is>
      </c>
      <c r="Q1279" s="56" t="inlineStr">
        <is>
          <t>Apoorv</t>
        </is>
      </c>
      <c r="U1279" s="585" t="n">
        <v>3466052</v>
      </c>
      <c r="V1279" t="n">
        <v>41</v>
      </c>
      <c r="W1279" t="n">
        <v>31.9</v>
      </c>
      <c r="X1279" t="n">
        <v>4.55</v>
      </c>
      <c r="Y1279" t="n">
        <v>6</v>
      </c>
      <c r="Z1279" t="inlineStr">
        <is>
          <t>KGR2</t>
        </is>
      </c>
      <c r="AA1279" t="inlineStr">
        <is>
          <t>FC</t>
        </is>
      </c>
      <c r="AB1279" t="inlineStr">
        <is>
          <t>AD</t>
        </is>
      </c>
      <c r="AC1279" t="inlineStr">
        <is>
          <t>32-0-4.5-CEW-CEW</t>
        </is>
      </c>
      <c r="AD1279" t="inlineStr">
        <is>
          <t>LL</t>
        </is>
      </c>
      <c r="AE1279" t="inlineStr">
        <is>
          <t>32-0-4.5-CEW-CEW-1</t>
        </is>
      </c>
      <c r="AF1279" t="n">
        <v>4.0879750275</v>
      </c>
    </row>
    <row r="1280">
      <c r="A1280" s="56" t="n">
        <v>3500816</v>
      </c>
      <c r="B1280" s="56" t="inlineStr">
        <is>
          <t>TUB-O-N-AUT-BH-FC-63.50X4.000X6.0000</t>
        </is>
      </c>
      <c r="C1280" s="56" t="inlineStr">
        <is>
          <t>4A07AK3050</t>
        </is>
      </c>
      <c r="D1280" s="56" t="n"/>
      <c r="E1280" s="57" t="n">
        <v>3062</v>
      </c>
      <c r="F1280" s="57" t="n">
        <v>3.062</v>
      </c>
      <c r="G1280" s="56" t="inlineStr">
        <is>
          <t>KG</t>
        </is>
      </c>
      <c r="H1280" s="56" t="inlineStr">
        <is>
          <t>TF01</t>
        </is>
      </c>
      <c r="I1280" s="56" t="inlineStr">
        <is>
          <t>4731</t>
        </is>
      </c>
      <c r="J1280" s="56" t="n"/>
      <c r="K1280" s="56" t="n"/>
      <c r="L1280" s="56" t="n"/>
      <c r="M1280" s="56" t="n"/>
      <c r="N1280" s="56" t="inlineStr">
        <is>
          <t>Neel Metal Products Limited</t>
        </is>
      </c>
      <c r="O1280" s="56" t="n">
        <v>80</v>
      </c>
      <c r="P1280" s="59" t="inlineStr">
        <is>
          <t>61-90</t>
        </is>
      </c>
      <c r="Q1280" s="56" t="inlineStr">
        <is>
          <t>Apoorv</t>
        </is>
      </c>
      <c r="U1280" s="585" t="n">
        <v>3500639</v>
      </c>
      <c r="V1280" t="n">
        <v>41</v>
      </c>
      <c r="W1280" t="n">
        <v>31.9</v>
      </c>
      <c r="X1280" t="n">
        <v>4.55</v>
      </c>
      <c r="Y1280" t="n">
        <v>6</v>
      </c>
      <c r="Z1280" t="inlineStr">
        <is>
          <t>KGR2</t>
        </is>
      </c>
      <c r="AA1280" t="inlineStr">
        <is>
          <t>FC</t>
        </is>
      </c>
      <c r="AB1280" t="inlineStr">
        <is>
          <t>AD</t>
        </is>
      </c>
      <c r="AC1280" t="inlineStr">
        <is>
          <t>32-0-4.5-CEW-CEW</t>
        </is>
      </c>
      <c r="AD1280" t="inlineStr">
        <is>
          <t>LL</t>
        </is>
      </c>
      <c r="AE1280" t="inlineStr">
        <is>
          <t>32-0-4.5-CEW-CEW-1</t>
        </is>
      </c>
      <c r="AF1280" t="n">
        <v>4.0879750275</v>
      </c>
    </row>
    <row r="1281">
      <c r="A1281" s="56" t="n">
        <v>3500816</v>
      </c>
      <c r="B1281" s="56" t="inlineStr">
        <is>
          <t>TUB-O-N-AUT-BH-FC-63.50X4.000X6.0000</t>
        </is>
      </c>
      <c r="C1281" s="56" t="inlineStr">
        <is>
          <t>4916BK4130</t>
        </is>
      </c>
      <c r="D1281" s="56" t="n"/>
      <c r="E1281" s="57" t="n">
        <v>1584</v>
      </c>
      <c r="F1281" s="57" t="n">
        <v>1.584</v>
      </c>
      <c r="G1281" s="56" t="inlineStr">
        <is>
          <t>KG</t>
        </is>
      </c>
      <c r="H1281" s="56" t="inlineStr">
        <is>
          <t>TF01</t>
        </is>
      </c>
      <c r="I1281" s="56" t="inlineStr">
        <is>
          <t>4731</t>
        </is>
      </c>
      <c r="J1281" s="56" t="n"/>
      <c r="K1281" s="56" t="n"/>
      <c r="L1281" s="56" t="n"/>
      <c r="M1281" s="56" t="n"/>
      <c r="N1281" s="56" t="inlineStr">
        <is>
          <t>Neel Metal Products Limited</t>
        </is>
      </c>
      <c r="O1281" s="56" t="n">
        <v>83</v>
      </c>
      <c r="P1281" s="59" t="inlineStr">
        <is>
          <t>61-90</t>
        </is>
      </c>
      <c r="Q1281" s="56" t="inlineStr">
        <is>
          <t>Apoorv</t>
        </is>
      </c>
      <c r="U1281" s="585" t="n">
        <v>3087646</v>
      </c>
      <c r="V1281" t="n">
        <v>41.28</v>
      </c>
      <c r="W1281" t="n">
        <v>0</v>
      </c>
      <c r="X1281" t="n">
        <v>2.6</v>
      </c>
      <c r="Y1281" t="n">
        <v>0.848</v>
      </c>
      <c r="Z1281" t="inlineStr"/>
      <c r="AA1281" t="inlineStr">
        <is>
          <t>FC</t>
        </is>
      </c>
      <c r="AB1281" t="inlineStr">
        <is>
          <t>AW</t>
        </is>
      </c>
      <c r="AC1281" t="inlineStr">
        <is>
          <t>41.28-0-2.6-ERW 1-FC</t>
        </is>
      </c>
      <c r="AD1281" t="inlineStr">
        <is>
          <t>CTL</t>
        </is>
      </c>
      <c r="AE1281" t="inlineStr">
        <is>
          <t>41.28-0-2.6-ERW 1-FC-0.848</t>
        </is>
      </c>
      <c r="AF1281" t="n">
        <v>2.102107735936</v>
      </c>
    </row>
    <row r="1282">
      <c r="A1282" s="56" t="n">
        <v>3500816</v>
      </c>
      <c r="B1282" s="56" t="inlineStr">
        <is>
          <t>TUB-O-N-AUT-BH-FC-63.50X4.000X6.0000</t>
        </is>
      </c>
      <c r="C1282" s="56" t="inlineStr">
        <is>
          <t>4916BK4110</t>
        </is>
      </c>
      <c r="D1282" s="56" t="n"/>
      <c r="E1282" s="57" t="n">
        <v>1549</v>
      </c>
      <c r="F1282" s="57" t="n">
        <v>1.549</v>
      </c>
      <c r="G1282" s="56" t="inlineStr">
        <is>
          <t>KG</t>
        </is>
      </c>
      <c r="H1282" s="56" t="inlineStr">
        <is>
          <t>TF01</t>
        </is>
      </c>
      <c r="I1282" s="56" t="inlineStr">
        <is>
          <t>4731</t>
        </is>
      </c>
      <c r="J1282" s="56" t="n"/>
      <c r="K1282" s="56" t="n"/>
      <c r="L1282" s="56" t="n"/>
      <c r="M1282" s="56" t="n"/>
      <c r="N1282" s="56" t="inlineStr">
        <is>
          <t>Neel Metal Products Limited</t>
        </is>
      </c>
      <c r="O1282" s="56" t="n">
        <v>83</v>
      </c>
      <c r="P1282" s="59" t="inlineStr">
        <is>
          <t>61-90</t>
        </is>
      </c>
      <c r="Q1282" s="56" t="inlineStr">
        <is>
          <t>Apoorv</t>
        </is>
      </c>
      <c r="U1282" s="585" t="n">
        <v>3186831</v>
      </c>
      <c r="V1282" t="n">
        <v>41.28</v>
      </c>
      <c r="W1282" t="n">
        <v>0</v>
      </c>
      <c r="X1282" t="n">
        <v>2.6</v>
      </c>
      <c r="Y1282" t="n">
        <v>0.848</v>
      </c>
      <c r="Z1282" t="inlineStr">
        <is>
          <t>HROP</t>
        </is>
      </c>
      <c r="AA1282" t="inlineStr">
        <is>
          <t>FC</t>
        </is>
      </c>
      <c r="AB1282" t="inlineStr">
        <is>
          <t>AW</t>
        </is>
      </c>
      <c r="AC1282" t="inlineStr">
        <is>
          <t>41.28-0-2.6-ERW 1-FC</t>
        </is>
      </c>
      <c r="AD1282" t="inlineStr">
        <is>
          <t>CTL</t>
        </is>
      </c>
      <c r="AE1282" t="inlineStr">
        <is>
          <t>41.28-0-2.6-ERW 1-FC-0.848</t>
        </is>
      </c>
      <c r="AF1282" t="n">
        <v>2.102107735936</v>
      </c>
    </row>
    <row r="1283">
      <c r="A1283" s="56" t="n">
        <v>3500816</v>
      </c>
      <c r="B1283" s="56" t="inlineStr">
        <is>
          <t>TUB-O-N-AUT-BH-FC-63.50X4.000X6.0000</t>
        </is>
      </c>
      <c r="C1283" s="56" t="inlineStr">
        <is>
          <t>4916BK4100</t>
        </is>
      </c>
      <c r="D1283" s="56" t="n"/>
      <c r="E1283" s="57" t="n">
        <v>410</v>
      </c>
      <c r="F1283" s="57" t="n">
        <v>0.41</v>
      </c>
      <c r="G1283" s="56" t="inlineStr">
        <is>
          <t>KG</t>
        </is>
      </c>
      <c r="H1283" s="56" t="inlineStr">
        <is>
          <t>TF01</t>
        </is>
      </c>
      <c r="I1283" s="56" t="inlineStr">
        <is>
          <t>4731</t>
        </is>
      </c>
      <c r="J1283" s="56" t="n"/>
      <c r="K1283" s="56" t="n"/>
      <c r="L1283" s="56" t="n"/>
      <c r="M1283" s="56" t="n"/>
      <c r="N1283" s="56" t="inlineStr">
        <is>
          <t>Neel Metal Products Limited</t>
        </is>
      </c>
      <c r="O1283" s="56" t="n">
        <v>26</v>
      </c>
      <c r="P1283" s="59" t="inlineStr">
        <is>
          <t>0-30</t>
        </is>
      </c>
      <c r="Q1283" s="56" t="inlineStr">
        <is>
          <t>Apoorv</t>
        </is>
      </c>
      <c r="U1283" t="n">
        <v>3910648</v>
      </c>
      <c r="V1283" t="n">
        <v>41.28</v>
      </c>
      <c r="W1283" t="n">
        <v>0</v>
      </c>
      <c r="X1283" t="n">
        <v>2.6</v>
      </c>
      <c r="Y1283" t="n">
        <v>0.85</v>
      </c>
      <c r="Z1283" t="inlineStr">
        <is>
          <t>NORMAL</t>
        </is>
      </c>
      <c r="AA1283" t="inlineStr">
        <is>
          <t>FC</t>
        </is>
      </c>
      <c r="AB1283" t="inlineStr">
        <is>
          <t>AW</t>
        </is>
      </c>
      <c r="AC1283" t="inlineStr">
        <is>
          <t>41.28-0-2.6-ERW 1-FC</t>
        </is>
      </c>
      <c r="AD1283" t="inlineStr">
        <is>
          <t>CTL</t>
        </is>
      </c>
      <c r="AE1283" t="inlineStr">
        <is>
          <t>41.28-0-2.6-ERW 1-FC-0.85</t>
        </is>
      </c>
      <c r="AF1283" t="n">
        <v>2.1070655372</v>
      </c>
    </row>
    <row r="1284">
      <c r="A1284" s="56" t="n">
        <v>3500816</v>
      </c>
      <c r="B1284" s="56" t="inlineStr">
        <is>
          <t>TUB-O-N-AUT-BH-FC-63.50X4.000X6.0000</t>
        </is>
      </c>
      <c r="C1284" s="56" t="inlineStr">
        <is>
          <t>4808BK3120</t>
        </is>
      </c>
      <c r="D1284" s="56" t="n"/>
      <c r="E1284" s="57" t="n">
        <v>1690</v>
      </c>
      <c r="F1284" s="57" t="n">
        <v>1.69</v>
      </c>
      <c r="G1284" s="56" t="inlineStr">
        <is>
          <t>KG</t>
        </is>
      </c>
      <c r="H1284" s="56" t="inlineStr">
        <is>
          <t>TF01</t>
        </is>
      </c>
      <c r="I1284" s="56" t="inlineStr">
        <is>
          <t>4731</t>
        </is>
      </c>
      <c r="J1284" s="56" t="n"/>
      <c r="K1284" s="56" t="n"/>
      <c r="L1284" s="56" t="n"/>
      <c r="M1284" s="56" t="n"/>
      <c r="N1284" s="56" t="inlineStr">
        <is>
          <t>Neel Metal Products Limited</t>
        </is>
      </c>
      <c r="O1284" s="56" t="n">
        <v>83</v>
      </c>
      <c r="P1284" s="59" t="inlineStr">
        <is>
          <t>61-90</t>
        </is>
      </c>
      <c r="Q1284" s="56" t="inlineStr">
        <is>
          <t>Apoorv</t>
        </is>
      </c>
      <c r="U1284" s="585" t="n">
        <v>3509829</v>
      </c>
      <c r="V1284" t="n">
        <v>41.28</v>
      </c>
      <c r="W1284" t="n">
        <v>0</v>
      </c>
      <c r="X1284" t="n">
        <v>2.6</v>
      </c>
      <c r="Y1284" t="n">
        <v>0.86</v>
      </c>
      <c r="Z1284" t="inlineStr"/>
      <c r="AA1284" t="inlineStr">
        <is>
          <t>FC</t>
        </is>
      </c>
      <c r="AB1284" t="inlineStr">
        <is>
          <t>AW</t>
        </is>
      </c>
      <c r="AC1284" t="inlineStr">
        <is>
          <t>41.28-0-2.6-ERW 1-FC</t>
        </is>
      </c>
      <c r="AD1284" t="inlineStr">
        <is>
          <t>CTL</t>
        </is>
      </c>
      <c r="AE1284" t="inlineStr">
        <is>
          <t>41.28-0-2.6-ERW 1-FC-0.86</t>
        </is>
      </c>
      <c r="AF1284" t="n">
        <v>2.13185454352</v>
      </c>
    </row>
    <row r="1285">
      <c r="A1285" s="56" t="n">
        <v>3500816</v>
      </c>
      <c r="B1285" s="56" t="inlineStr">
        <is>
          <t>TUB-O-N-AUT-BH-FC-63.50X4.000X6.0000</t>
        </is>
      </c>
      <c r="C1285" s="56" t="inlineStr">
        <is>
          <t>4808BK3100</t>
        </is>
      </c>
      <c r="D1285" s="56" t="n"/>
      <c r="E1285" s="57" t="n">
        <v>1760</v>
      </c>
      <c r="F1285" s="57" t="n">
        <v>1.76</v>
      </c>
      <c r="G1285" s="56" t="inlineStr">
        <is>
          <t>KG</t>
        </is>
      </c>
      <c r="H1285" s="56" t="inlineStr">
        <is>
          <t>TF01</t>
        </is>
      </c>
      <c r="I1285" s="56" t="inlineStr">
        <is>
          <t>4731</t>
        </is>
      </c>
      <c r="J1285" s="56" t="n"/>
      <c r="K1285" s="56" t="n"/>
      <c r="L1285" s="56" t="n"/>
      <c r="M1285" s="56" t="n"/>
      <c r="N1285" s="56" t="inlineStr">
        <is>
          <t>Neel Metal Products Limited</t>
        </is>
      </c>
      <c r="O1285" s="56" t="n">
        <v>83</v>
      </c>
      <c r="P1285" s="59" t="inlineStr">
        <is>
          <t>61-90</t>
        </is>
      </c>
      <c r="Q1285" s="56" t="inlineStr">
        <is>
          <t>Apoorv</t>
        </is>
      </c>
      <c r="U1285" s="585" t="n">
        <v>3214495</v>
      </c>
      <c r="V1285" t="n">
        <v>41.28</v>
      </c>
      <c r="W1285" t="n">
        <v>0</v>
      </c>
      <c r="X1285" t="n">
        <v>2.6</v>
      </c>
      <c r="Y1285" t="n">
        <v>0.86</v>
      </c>
      <c r="Z1285" t="inlineStr"/>
      <c r="AA1285" t="inlineStr">
        <is>
          <t>FC</t>
        </is>
      </c>
      <c r="AB1285" t="inlineStr">
        <is>
          <t>AW</t>
        </is>
      </c>
      <c r="AC1285" t="inlineStr">
        <is>
          <t>41.28-0-2.6-ERW 1-FC</t>
        </is>
      </c>
      <c r="AD1285" t="inlineStr">
        <is>
          <t>CTL</t>
        </is>
      </c>
      <c r="AE1285" t="inlineStr">
        <is>
          <t>41.28-0-2.6-ERW 1-FC-0.86</t>
        </is>
      </c>
      <c r="AF1285" t="n">
        <v>2.13185454352</v>
      </c>
    </row>
    <row r="1286">
      <c r="A1286" s="56" t="n">
        <v>3500816</v>
      </c>
      <c r="B1286" s="56" t="inlineStr">
        <is>
          <t>TUB-O-N-AUT-BH-FC-63.50X4.000X6.0000</t>
        </is>
      </c>
      <c r="C1286" s="56" t="inlineStr">
        <is>
          <t>4808BK3090</t>
        </is>
      </c>
      <c r="D1286" s="56" t="n"/>
      <c r="E1286" s="57" t="n">
        <v>1795</v>
      </c>
      <c r="F1286" s="57" t="n">
        <v>1.795</v>
      </c>
      <c r="G1286" s="56" t="inlineStr">
        <is>
          <t>KG</t>
        </is>
      </c>
      <c r="H1286" s="56" t="inlineStr">
        <is>
          <t>TF01</t>
        </is>
      </c>
      <c r="I1286" s="56" t="inlineStr">
        <is>
          <t>4731</t>
        </is>
      </c>
      <c r="J1286" s="56" t="n"/>
      <c r="K1286" s="56" t="n"/>
      <c r="L1286" s="56" t="n"/>
      <c r="M1286" s="56" t="n"/>
      <c r="N1286" s="56" t="inlineStr">
        <is>
          <t>Neel Metal Products Limited</t>
        </is>
      </c>
      <c r="O1286" s="56" t="n">
        <v>83</v>
      </c>
      <c r="P1286" s="59" t="inlineStr">
        <is>
          <t>61-90</t>
        </is>
      </c>
      <c r="Q1286" s="56" t="inlineStr">
        <is>
          <t>Apoorv</t>
        </is>
      </c>
      <c r="U1286" t="n">
        <v>3501716</v>
      </c>
      <c r="V1286" t="n">
        <v>41.28</v>
      </c>
      <c r="W1286" t="n">
        <v>0</v>
      </c>
      <c r="X1286" t="n">
        <v>2.6</v>
      </c>
      <c r="Y1286" t="n">
        <v>6</v>
      </c>
      <c r="Z1286" t="inlineStr"/>
      <c r="AA1286" t="inlineStr">
        <is>
          <t>FC</t>
        </is>
      </c>
      <c r="AB1286" t="inlineStr">
        <is>
          <t>AW</t>
        </is>
      </c>
      <c r="AC1286" t="inlineStr">
        <is>
          <t>41.28-0-2.6-ERW 1-FC</t>
        </is>
      </c>
      <c r="AD1286" t="inlineStr">
        <is>
          <t>LL</t>
        </is>
      </c>
      <c r="AE1286" t="inlineStr">
        <is>
          <t>41.28-0-2.6-ERW 1-FC-1</t>
        </is>
      </c>
      <c r="AF1286" t="n">
        <v>2.478900632</v>
      </c>
    </row>
    <row r="1287">
      <c r="A1287" s="56" t="n">
        <v>3500816</v>
      </c>
      <c r="B1287" s="56" t="inlineStr">
        <is>
          <t>TUB-O-N-AUT-BH-FC-63.50X4.000X6.0000</t>
        </is>
      </c>
      <c r="C1287" s="56" t="inlineStr">
        <is>
          <t>4727AK4020</t>
        </is>
      </c>
      <c r="D1287" s="56" t="n"/>
      <c r="E1287" s="57" t="n">
        <v>1232</v>
      </c>
      <c r="F1287" s="57" t="n">
        <v>1.232</v>
      </c>
      <c r="G1287" s="56" t="inlineStr">
        <is>
          <t>KG</t>
        </is>
      </c>
      <c r="H1287" s="56" t="inlineStr">
        <is>
          <t>TF01</t>
        </is>
      </c>
      <c r="I1287" s="56" t="inlineStr">
        <is>
          <t>4731</t>
        </is>
      </c>
      <c r="J1287" s="56" t="n"/>
      <c r="K1287" s="56" t="n"/>
      <c r="L1287" s="56" t="n"/>
      <c r="M1287" s="56" t="n"/>
      <c r="N1287" s="56" t="inlineStr">
        <is>
          <t>Neel Metal Products Limited</t>
        </is>
      </c>
      <c r="O1287" s="56" t="n">
        <v>83</v>
      </c>
      <c r="P1287" s="59" t="inlineStr">
        <is>
          <t>61-90</t>
        </is>
      </c>
      <c r="Q1287" s="56" t="inlineStr">
        <is>
          <t>Apoorv</t>
        </is>
      </c>
      <c r="U1287" s="586" t="n">
        <v>111122382</v>
      </c>
      <c r="V1287" t="n">
        <v>41.28</v>
      </c>
      <c r="W1287" t="n">
        <v>0</v>
      </c>
      <c r="X1287" t="n">
        <v>2.6</v>
      </c>
      <c r="Y1287" t="n">
        <v>6</v>
      </c>
      <c r="Z1287" t="inlineStr">
        <is>
          <t>HROP</t>
        </is>
      </c>
      <c r="AA1287" t="inlineStr">
        <is>
          <t>FC</t>
        </is>
      </c>
      <c r="AB1287" t="inlineStr">
        <is>
          <t>AW</t>
        </is>
      </c>
      <c r="AC1287" t="inlineStr">
        <is>
          <t>41.28-0-2.6-ERW 1-FC</t>
        </is>
      </c>
      <c r="AD1287" t="inlineStr">
        <is>
          <t>LL</t>
        </is>
      </c>
      <c r="AE1287" t="inlineStr">
        <is>
          <t>41.28-0-2.6-ERW 1-FC-1</t>
        </is>
      </c>
      <c r="AF1287" t="n">
        <v>2.478900632</v>
      </c>
    </row>
    <row r="1288">
      <c r="A1288" s="56" t="n">
        <v>3500816</v>
      </c>
      <c r="B1288" s="56" t="inlineStr">
        <is>
          <t>TUB-O-N-AUT-BH-FC-63.50X4.000X6.0000</t>
        </is>
      </c>
      <c r="C1288" s="56" t="inlineStr">
        <is>
          <t>4726CK4100</t>
        </is>
      </c>
      <c r="D1288" s="56" t="n"/>
      <c r="E1288" s="57" t="n">
        <v>2570</v>
      </c>
      <c r="F1288" s="57" t="n">
        <v>2.57</v>
      </c>
      <c r="G1288" s="56" t="inlineStr">
        <is>
          <t>KG</t>
        </is>
      </c>
      <c r="H1288" s="56" t="inlineStr">
        <is>
          <t>TF01</t>
        </is>
      </c>
      <c r="I1288" s="56" t="inlineStr">
        <is>
          <t>4731</t>
        </is>
      </c>
      <c r="J1288" s="56" t="n"/>
      <c r="K1288" s="56" t="n"/>
      <c r="L1288" s="56" t="n"/>
      <c r="M1288" s="56" t="n"/>
      <c r="N1288" s="56" t="inlineStr">
        <is>
          <t>Neel Metal Products Limited</t>
        </is>
      </c>
      <c r="O1288" s="56" t="n">
        <v>80</v>
      </c>
      <c r="P1288" s="59" t="inlineStr">
        <is>
          <t>61-90</t>
        </is>
      </c>
      <c r="Q1288" s="56" t="inlineStr">
        <is>
          <t>Apoorv</t>
        </is>
      </c>
      <c r="U1288" t="n">
        <v>3994149</v>
      </c>
      <c r="V1288" t="n">
        <v>41.28</v>
      </c>
      <c r="W1288" t="n">
        <v>0</v>
      </c>
      <c r="X1288" t="n">
        <v>2.6</v>
      </c>
      <c r="Y1288" t="n">
        <v>6.001</v>
      </c>
      <c r="Z1288" t="inlineStr">
        <is>
          <t>GR1</t>
        </is>
      </c>
      <c r="AA1288" t="inlineStr">
        <is>
          <t>AW</t>
        </is>
      </c>
      <c r="AB1288" t="inlineStr">
        <is>
          <t>FC</t>
        </is>
      </c>
      <c r="AC1288" t="inlineStr">
        <is>
          <t>41.28-0-2.6-ERW 1-FC</t>
        </is>
      </c>
      <c r="AD1288" t="inlineStr">
        <is>
          <t>LL</t>
        </is>
      </c>
      <c r="AE1288" t="inlineStr">
        <is>
          <t>41.28-0-2.6-ERW 1-FC-1</t>
        </is>
      </c>
      <c r="AF1288" t="n">
        <v>2.478900632</v>
      </c>
    </row>
    <row r="1289">
      <c r="A1289" s="56" t="n">
        <v>3500816</v>
      </c>
      <c r="B1289" s="56" t="inlineStr">
        <is>
          <t>TUB-O-N-AUT-BH-FC-63.50X4.000X6.0000</t>
        </is>
      </c>
      <c r="C1289" s="56" t="inlineStr">
        <is>
          <t>4724BK4140</t>
        </is>
      </c>
      <c r="D1289" s="56" t="n"/>
      <c r="E1289" s="57" t="n">
        <v>1725</v>
      </c>
      <c r="F1289" s="57" t="n">
        <v>1.725</v>
      </c>
      <c r="G1289" s="56" t="inlineStr">
        <is>
          <t>KG</t>
        </is>
      </c>
      <c r="H1289" s="56" t="inlineStr">
        <is>
          <t>TF01</t>
        </is>
      </c>
      <c r="I1289" s="56" t="inlineStr">
        <is>
          <t>4731</t>
        </is>
      </c>
      <c r="J1289" s="56" t="n"/>
      <c r="K1289" s="56" t="n"/>
      <c r="L1289" s="56" t="n"/>
      <c r="M1289" s="56" t="n"/>
      <c r="N1289" s="56" t="inlineStr">
        <is>
          <t>Neel Metal Products Limited</t>
        </is>
      </c>
      <c r="O1289" s="56" t="n">
        <v>80</v>
      </c>
      <c r="P1289" s="59" t="inlineStr">
        <is>
          <t>61-90</t>
        </is>
      </c>
      <c r="Q1289" s="56" t="inlineStr">
        <is>
          <t>Apoorv</t>
        </is>
      </c>
      <c r="U1289" s="586" t="n">
        <v>111100797</v>
      </c>
      <c r="V1289" t="n">
        <v>41.28</v>
      </c>
      <c r="W1289" t="n">
        <v>0</v>
      </c>
      <c r="X1289" t="n">
        <v>2.6</v>
      </c>
      <c r="Y1289" t="n">
        <v>6.02</v>
      </c>
      <c r="Z1289" t="inlineStr">
        <is>
          <t>HROP</t>
        </is>
      </c>
      <c r="AA1289" t="inlineStr">
        <is>
          <t>FC</t>
        </is>
      </c>
      <c r="AB1289" t="inlineStr">
        <is>
          <t>AW</t>
        </is>
      </c>
      <c r="AC1289" t="inlineStr">
        <is>
          <t>41.28-0-2.6-ERW 1-FC</t>
        </is>
      </c>
      <c r="AD1289" t="inlineStr">
        <is>
          <t>LL</t>
        </is>
      </c>
      <c r="AE1289" t="inlineStr">
        <is>
          <t>41.28-0-2.6-ERW 1-FC-1</t>
        </is>
      </c>
      <c r="AF1289" t="n">
        <v>2.478900632</v>
      </c>
    </row>
    <row r="1290">
      <c r="A1290" s="56" t="n">
        <v>3500816</v>
      </c>
      <c r="B1290" s="56" t="inlineStr">
        <is>
          <t>TUB-O-N-AUT-BH-FC-63.50X4.000X6.0000</t>
        </is>
      </c>
      <c r="C1290" s="56" t="inlineStr">
        <is>
          <t>4A24CK4180</t>
        </is>
      </c>
      <c r="D1290" s="56" t="n"/>
      <c r="E1290" s="57" t="n">
        <v>2006</v>
      </c>
      <c r="F1290" s="57" t="n">
        <v>2.006</v>
      </c>
      <c r="G1290" s="56" t="inlineStr">
        <is>
          <t>KG</t>
        </is>
      </c>
      <c r="H1290" s="56" t="inlineStr">
        <is>
          <t>R001</t>
        </is>
      </c>
      <c r="I1290" s="56" t="inlineStr">
        <is>
          <t>4731</t>
        </is>
      </c>
      <c r="J1290" s="56" t="n"/>
      <c r="K1290" s="56" t="n"/>
      <c r="L1290" s="56" t="n"/>
      <c r="M1290" s="56" t="n"/>
      <c r="N1290" s="56" t="inlineStr">
        <is>
          <t>Neel Metal Products Limited</t>
        </is>
      </c>
      <c r="O1290" s="56" t="n">
        <v>56</v>
      </c>
      <c r="P1290" s="59" t="inlineStr">
        <is>
          <t>31-60</t>
        </is>
      </c>
      <c r="Q1290" s="56" t="inlineStr">
        <is>
          <t>Apoorv</t>
        </is>
      </c>
      <c r="U1290" s="585" t="n">
        <v>3457574</v>
      </c>
      <c r="V1290" t="n">
        <v>41.28</v>
      </c>
      <c r="W1290" t="n">
        <v>0</v>
      </c>
      <c r="X1290" t="n">
        <v>2.6</v>
      </c>
      <c r="Y1290" t="n">
        <v>6.02</v>
      </c>
      <c r="Z1290" t="inlineStr">
        <is>
          <t>HROP</t>
        </is>
      </c>
      <c r="AA1290" t="inlineStr">
        <is>
          <t>PE</t>
        </is>
      </c>
      <c r="AB1290" t="inlineStr">
        <is>
          <t>AW</t>
        </is>
      </c>
      <c r="AC1290" t="inlineStr">
        <is>
          <t>41.28-0-2.6-ERW 1-FC</t>
        </is>
      </c>
      <c r="AD1290" t="inlineStr">
        <is>
          <t>LL</t>
        </is>
      </c>
      <c r="AE1290" t="inlineStr">
        <is>
          <t>41.28-0-2.6-ERW 1-FC-1</t>
        </is>
      </c>
      <c r="AF1290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291">
      <c r="A1291" s="56" t="n">
        <v>3500816</v>
      </c>
      <c r="B1291" s="56" t="inlineStr">
        <is>
          <t>TUB-O-N-AUT-BH-FC-63.50X4.000X6.0000</t>
        </is>
      </c>
      <c r="C1291" s="56" t="inlineStr">
        <is>
          <t>4916BK4120</t>
        </is>
      </c>
      <c r="D1291" s="56" t="n"/>
      <c r="E1291" s="57" t="n">
        <v>1614</v>
      </c>
      <c r="F1291" s="57" t="n">
        <v>1.614</v>
      </c>
      <c r="G1291" s="56" t="inlineStr">
        <is>
          <t>KG</t>
        </is>
      </c>
      <c r="H1291" s="56" t="inlineStr">
        <is>
          <t>R001</t>
        </is>
      </c>
      <c r="I1291" s="56" t="inlineStr">
        <is>
          <t>4731</t>
        </is>
      </c>
      <c r="J1291" s="56" t="n"/>
      <c r="K1291" s="56" t="n"/>
      <c r="L1291" s="56" t="n"/>
      <c r="M1291" s="56" t="n"/>
      <c r="N1291" s="56" t="inlineStr">
        <is>
          <t>Neel Metal Products Limited</t>
        </is>
      </c>
      <c r="O1291" s="56" t="n">
        <v>90</v>
      </c>
      <c r="P1291" s="59" t="inlineStr">
        <is>
          <t>61-90</t>
        </is>
      </c>
      <c r="Q1291" s="56" t="inlineStr">
        <is>
          <t>Apoorv</t>
        </is>
      </c>
      <c r="U1291" s="585" t="n">
        <v>3502252</v>
      </c>
      <c r="V1291" t="n">
        <v>41.28</v>
      </c>
      <c r="W1291" t="n">
        <v>0</v>
      </c>
      <c r="X1291" t="n">
        <v>2.6</v>
      </c>
      <c r="Y1291" t="n">
        <v>6.08</v>
      </c>
      <c r="Z1291" t="inlineStr"/>
      <c r="AA1291" t="inlineStr">
        <is>
          <t>FC</t>
        </is>
      </c>
      <c r="AB1291" t="inlineStr">
        <is>
          <t>AW</t>
        </is>
      </c>
      <c r="AC1291" t="inlineStr">
        <is>
          <t>41.28-0-2.6-ERW 1-FC</t>
        </is>
      </c>
      <c r="AD1291" t="inlineStr">
        <is>
          <t>LL</t>
        </is>
      </c>
      <c r="AE1291" t="inlineStr">
        <is>
          <t>41.28-0-2.6-ERW 1-FC-1</t>
        </is>
      </c>
      <c r="AF1291" t="n">
        <v>2.478900632</v>
      </c>
    </row>
    <row r="1292">
      <c r="A1292" s="56" t="n">
        <v>3500816</v>
      </c>
      <c r="B1292" s="56" t="inlineStr">
        <is>
          <t>TUB-O-N-AUT-BH-FC-63.50X4.000X6.0000</t>
        </is>
      </c>
      <c r="C1292" s="56" t="inlineStr">
        <is>
          <t>4916BK4090</t>
        </is>
      </c>
      <c r="D1292" s="56" t="n"/>
      <c r="E1292" s="57" t="n">
        <v>1403</v>
      </c>
      <c r="F1292" s="57" t="n">
        <v>1.403</v>
      </c>
      <c r="G1292" s="56" t="inlineStr">
        <is>
          <t>KG</t>
        </is>
      </c>
      <c r="H1292" s="56" t="inlineStr">
        <is>
          <t>R001</t>
        </is>
      </c>
      <c r="I1292" s="56" t="inlineStr">
        <is>
          <t>4731</t>
        </is>
      </c>
      <c r="J1292" s="56" t="n"/>
      <c r="K1292" s="56" t="n"/>
      <c r="L1292" s="56" t="n"/>
      <c r="M1292" s="56" t="n"/>
      <c r="N1292" s="56" t="inlineStr">
        <is>
          <t>Neel Metal Products Limited</t>
        </is>
      </c>
      <c r="O1292" s="56" t="n">
        <v>90</v>
      </c>
      <c r="P1292" s="59" t="inlineStr">
        <is>
          <t>61-90</t>
        </is>
      </c>
      <c r="Q1292" s="56" t="inlineStr">
        <is>
          <t>Apoorv</t>
        </is>
      </c>
      <c r="U1292" s="585" t="n">
        <v>3239889</v>
      </c>
      <c r="V1292" t="n">
        <v>41.28</v>
      </c>
      <c r="W1292" t="n">
        <v>0</v>
      </c>
      <c r="X1292" t="n">
        <v>2.6</v>
      </c>
      <c r="Y1292" t="n">
        <v>6.08</v>
      </c>
      <c r="Z1292" t="inlineStr">
        <is>
          <t>HROP</t>
        </is>
      </c>
      <c r="AA1292" t="inlineStr">
        <is>
          <t>FC</t>
        </is>
      </c>
      <c r="AB1292" t="inlineStr">
        <is>
          <t>AW</t>
        </is>
      </c>
      <c r="AC1292" t="inlineStr">
        <is>
          <t>41.28-0-2.6-ERW 1-FC</t>
        </is>
      </c>
      <c r="AD1292" t="inlineStr">
        <is>
          <t>LL</t>
        </is>
      </c>
      <c r="AE1292" t="inlineStr">
        <is>
          <t>41.28-0-2.6-ERW 1-FC-1</t>
        </is>
      </c>
      <c r="AF1292" t="n">
        <v>2.478900632</v>
      </c>
    </row>
    <row r="1293">
      <c r="A1293" s="56" t="n">
        <v>3501133</v>
      </c>
      <c r="B1293" s="56" t="inlineStr">
        <is>
          <t>TUB-O-N-AUT-AH-FC-50.8X1.4X5.954 HSTERW2</t>
        </is>
      </c>
      <c r="C1293" s="56" t="inlineStr">
        <is>
          <t>4420C30100</t>
        </is>
      </c>
      <c r="D1293" s="56" t="n"/>
      <c r="E1293" s="57" t="n">
        <v>1722.729</v>
      </c>
      <c r="F1293" s="57" t="n">
        <v>1.722729</v>
      </c>
      <c r="G1293" s="56" t="inlineStr">
        <is>
          <t>KG</t>
        </is>
      </c>
      <c r="H1293" s="56" t="inlineStr">
        <is>
          <t>TF01</t>
        </is>
      </c>
      <c r="I1293" s="56" t="inlineStr">
        <is>
          <t>4318</t>
        </is>
      </c>
      <c r="J1293" s="56" t="n"/>
      <c r="K1293" s="56" t="n"/>
      <c r="L1293" s="56" t="n"/>
      <c r="M1293" s="56" t="n"/>
      <c r="N1293" s="56" t="inlineStr">
        <is>
          <t>Neel Metal Products Limited</t>
        </is>
      </c>
      <c r="O1293" s="56" t="n">
        <v>59</v>
      </c>
      <c r="P1293" s="59" t="inlineStr">
        <is>
          <t>31-60</t>
        </is>
      </c>
      <c r="Q1293" s="56" t="inlineStr">
        <is>
          <t>Apoorv</t>
        </is>
      </c>
      <c r="U1293" s="585" t="n">
        <v>3539418</v>
      </c>
      <c r="V1293" t="n">
        <v>41.28</v>
      </c>
      <c r="W1293" t="n">
        <v>0</v>
      </c>
      <c r="X1293" t="n">
        <v>2.9</v>
      </c>
      <c r="Y1293" t="n">
        <v>0.42</v>
      </c>
      <c r="Z1293" t="inlineStr">
        <is>
          <t>HROP</t>
        </is>
      </c>
      <c r="AA1293" t="inlineStr">
        <is>
          <t>PE</t>
        </is>
      </c>
      <c r="AB1293" t="inlineStr">
        <is>
          <t>AW</t>
        </is>
      </c>
      <c r="AC1293" t="inlineStr">
        <is>
          <t>41.28-0-2.9-ERW 1-PE</t>
        </is>
      </c>
      <c r="AD1293" t="inlineStr">
        <is>
          <t>CTL</t>
        </is>
      </c>
      <c r="AE1293" t="inlineStr">
        <is>
          <t>41.28-0-2.9-ERW 1-PE-0.42</t>
        </is>
      </c>
      <c r="AF1293" t="n">
        <v>1.15226285916</v>
      </c>
    </row>
    <row r="1294">
      <c r="A1294" s="56" t="n">
        <v>3501264</v>
      </c>
      <c r="B1294" s="56" t="inlineStr">
        <is>
          <t>TUB-O-N-AUT-AW-FC-57.15X2.000X6.0000</t>
        </is>
      </c>
      <c r="C1294" s="56" t="inlineStr">
        <is>
          <t>4B05C40150</t>
        </is>
      </c>
      <c r="D1294" s="56" t="n"/>
      <c r="E1294" s="57" t="n">
        <v>1004.595</v>
      </c>
      <c r="F1294" s="57" t="n">
        <v>1.004595</v>
      </c>
      <c r="G1294" s="56" t="inlineStr">
        <is>
          <t>KG</t>
        </is>
      </c>
      <c r="H1294" s="56" t="inlineStr">
        <is>
          <t>TF01</t>
        </is>
      </c>
      <c r="I1294" s="56" t="inlineStr">
        <is>
          <t>4318</t>
        </is>
      </c>
      <c r="J1294" s="56" t="n"/>
      <c r="K1294" s="56" t="n"/>
      <c r="L1294" s="56" t="n"/>
      <c r="M1294" s="56" t="n"/>
      <c r="N1294" s="56" t="inlineStr">
        <is>
          <t>Rajsriya Automotive Ind Pvt Ltd.</t>
        </is>
      </c>
      <c r="O1294" s="56" t="n">
        <v>5</v>
      </c>
      <c r="P1294" s="59" t="inlineStr">
        <is>
          <t>0-30</t>
        </is>
      </c>
      <c r="Q1294" s="56" t="inlineStr">
        <is>
          <t>Apoorv</t>
        </is>
      </c>
      <c r="U1294" s="585" t="n">
        <v>2403433</v>
      </c>
      <c r="V1294" t="n">
        <v>41.28</v>
      </c>
      <c r="W1294" t="n">
        <v>0</v>
      </c>
      <c r="X1294" t="n">
        <v>3.15</v>
      </c>
      <c r="Y1294" t="n">
        <v>0.288</v>
      </c>
      <c r="Z1294" t="inlineStr">
        <is>
          <t>HROP</t>
        </is>
      </c>
      <c r="AA1294" t="inlineStr">
        <is>
          <t>FC</t>
        </is>
      </c>
      <c r="AB1294" t="inlineStr">
        <is>
          <t>AW</t>
        </is>
      </c>
      <c r="AC1294" t="inlineStr">
        <is>
          <t>41.28-0-3.2-ERW 1-FC</t>
        </is>
      </c>
      <c r="AD1294" t="inlineStr">
        <is>
          <t>CTL</t>
        </is>
      </c>
      <c r="AE1294" t="inlineStr">
        <is>
          <t>41.28-0-3.2-ERW 1-FC-0.288</t>
        </is>
      </c>
      <c r="AF1294" t="n">
        <v>0.852646770864</v>
      </c>
    </row>
    <row r="1295">
      <c r="A1295" s="56" t="n">
        <v>3501386</v>
      </c>
      <c r="B1295" s="56" t="inlineStr">
        <is>
          <t>TUB-O-C-SLT-NR-FC-40.00X6.000X5.1960</t>
        </is>
      </c>
      <c r="C1295" s="56" t="inlineStr">
        <is>
          <t>4B28B40040</t>
        </is>
      </c>
      <c r="D1295" s="56" t="n"/>
      <c r="E1295" s="57" t="n">
        <v>1620.742</v>
      </c>
      <c r="F1295" s="57" t="n">
        <v>1.620742</v>
      </c>
      <c r="G1295" s="56" t="inlineStr">
        <is>
          <t>KG</t>
        </is>
      </c>
      <c r="H1295" s="56" t="inlineStr">
        <is>
          <t>TF01</t>
        </is>
      </c>
      <c r="I1295" s="56" t="inlineStr">
        <is>
          <t>4318</t>
        </is>
      </c>
      <c r="J1295" s="56" t="n"/>
      <c r="K1295" s="56" t="n"/>
      <c r="L1295" s="56" t="n"/>
      <c r="M1295" s="56" t="n"/>
      <c r="N1295" s="56" t="inlineStr">
        <is>
          <t>RANAE</t>
        </is>
      </c>
      <c r="O1295" s="56" t="n">
        <v>14</v>
      </c>
      <c r="P1295" s="59" t="inlineStr">
        <is>
          <t>0-30</t>
        </is>
      </c>
      <c r="Q1295" s="56" t="inlineStr">
        <is>
          <t>Apoorv</t>
        </is>
      </c>
      <c r="U1295" s="585" t="n">
        <v>280076</v>
      </c>
      <c r="V1295" t="n">
        <v>41.28</v>
      </c>
      <c r="W1295" t="n">
        <v>0</v>
      </c>
      <c r="X1295" t="n">
        <v>3.15</v>
      </c>
      <c r="Y1295" t="n">
        <v>0.288</v>
      </c>
      <c r="Z1295" t="inlineStr">
        <is>
          <t>TPT</t>
        </is>
      </c>
      <c r="AA1295" t="inlineStr">
        <is>
          <t>FC</t>
        </is>
      </c>
      <c r="AB1295" t="inlineStr">
        <is>
          <t>AW</t>
        </is>
      </c>
      <c r="AC1295" t="inlineStr">
        <is>
          <t>41.28-0-3.2-ERW 1-FC</t>
        </is>
      </c>
      <c r="AD1295" t="inlineStr">
        <is>
          <t>CTL</t>
        </is>
      </c>
      <c r="AE1295" t="inlineStr">
        <is>
          <t>41.28-0-3.2-ERW 1-FC-0.288</t>
        </is>
      </c>
      <c r="AF1295" t="n">
        <v>0.852646770864</v>
      </c>
    </row>
    <row r="1296">
      <c r="A1296" s="56" t="n">
        <v>3502252</v>
      </c>
      <c r="B1296" s="56" t="inlineStr">
        <is>
          <t>TUB-O-N-AUT-AW-FC-41.28X2.600X6.0800</t>
        </is>
      </c>
      <c r="C1296" s="56" t="inlineStr">
        <is>
          <t>4527A40050</t>
        </is>
      </c>
      <c r="D1296" s="56" t="n"/>
      <c r="E1296" s="57" t="n">
        <v>147.228</v>
      </c>
      <c r="F1296" s="57" t="n">
        <v>0.147228</v>
      </c>
      <c r="G1296" s="56" t="inlineStr">
        <is>
          <t>KG</t>
        </is>
      </c>
      <c r="H1296" s="56" t="inlineStr">
        <is>
          <t>TF01</t>
        </is>
      </c>
      <c r="I1296" s="56" t="inlineStr">
        <is>
          <t>4731</t>
        </is>
      </c>
      <c r="J1296" s="56" t="n"/>
      <c r="K1296" s="56" t="n"/>
      <c r="L1296" s="56" t="n"/>
      <c r="M1296" s="56" t="n"/>
      <c r="N1296" s="56" t="inlineStr">
        <is>
          <t>Rajsriya Automotive Ind Pvt Ltd.</t>
        </is>
      </c>
      <c r="O1296" s="56" t="n">
        <v>67</v>
      </c>
      <c r="P1296" s="59" t="inlineStr">
        <is>
          <t>61-90</t>
        </is>
      </c>
      <c r="Q1296" s="56" t="inlineStr">
        <is>
          <t>Apoorv</t>
        </is>
      </c>
      <c r="U1296" s="585" t="n">
        <v>3499828</v>
      </c>
      <c r="V1296" t="n">
        <v>41.28</v>
      </c>
      <c r="W1296" t="n">
        <v>0</v>
      </c>
      <c r="X1296" t="n">
        <v>3.15</v>
      </c>
      <c r="Y1296" t="n">
        <v>5.05</v>
      </c>
      <c r="Z1296" t="inlineStr">
        <is>
          <t>TPT</t>
        </is>
      </c>
      <c r="AA1296" t="inlineStr">
        <is>
          <t>FC</t>
        </is>
      </c>
      <c r="AB1296" t="inlineStr">
        <is>
          <t>AW</t>
        </is>
      </c>
      <c r="AC1296" t="inlineStr">
        <is>
          <t>41.28-0-3.2-ERW 1-FC</t>
        </is>
      </c>
      <c r="AD1296" t="inlineStr">
        <is>
          <t>LL</t>
        </is>
      </c>
      <c r="AE1296" t="inlineStr">
        <is>
          <t>41.28-0-3.2-ERW 1-FC-1</t>
        </is>
      </c>
      <c r="AF1296" t="n">
        <v>2.9605790655</v>
      </c>
    </row>
    <row r="1297">
      <c r="A1297" s="56" t="n">
        <v>3502422</v>
      </c>
      <c r="B1297" s="56" t="inlineStr">
        <is>
          <t>TUB-O-N-AUT-AW-FC-48.60X3.500X6.0500</t>
        </is>
      </c>
      <c r="C1297" s="56" t="inlineStr">
        <is>
          <t>4A25C40060</t>
        </is>
      </c>
      <c r="D1297" s="56" t="n"/>
      <c r="E1297" s="57" t="n">
        <v>2289</v>
      </c>
      <c r="F1297" s="57" t="n">
        <v>2.289</v>
      </c>
      <c r="G1297" s="56" t="inlineStr">
        <is>
          <t>KG</t>
        </is>
      </c>
      <c r="H1297" s="56" t="inlineStr">
        <is>
          <t>TF01</t>
        </is>
      </c>
      <c r="I1297" s="56" t="inlineStr">
        <is>
          <t>4318</t>
        </is>
      </c>
      <c r="J1297" s="56" t="n"/>
      <c r="K1297" s="56" t="n"/>
      <c r="L1297" s="56" t="n"/>
      <c r="M1297" s="56" t="n"/>
      <c r="N1297" s="56" t="inlineStr">
        <is>
          <t>Metalman Auto Private Limited</t>
        </is>
      </c>
      <c r="O1297" s="56" t="n">
        <v>34</v>
      </c>
      <c r="P1297" s="59" t="inlineStr">
        <is>
          <t>31-60</t>
        </is>
      </c>
      <c r="Q1297" s="56" t="inlineStr">
        <is>
          <t>Jitendra Kumar Sharma</t>
        </is>
      </c>
      <c r="U1297" s="585" t="n">
        <v>3673889</v>
      </c>
      <c r="V1297" t="n">
        <v>41.28</v>
      </c>
      <c r="W1297" t="n">
        <v>0</v>
      </c>
      <c r="X1297" t="n">
        <v>3.15</v>
      </c>
      <c r="Y1297" t="n">
        <v>5.86</v>
      </c>
      <c r="Z1297" t="inlineStr"/>
      <c r="AA1297" t="inlineStr">
        <is>
          <t>FC</t>
        </is>
      </c>
      <c r="AB1297" t="inlineStr">
        <is>
          <t>AW</t>
        </is>
      </c>
      <c r="AC1297" t="inlineStr">
        <is>
          <t>41.28-0-3.2-ERW 1-FC</t>
        </is>
      </c>
      <c r="AD1297" t="inlineStr">
        <is>
          <t>LL</t>
        </is>
      </c>
      <c r="AE1297" t="inlineStr">
        <is>
          <t>41.28-0-3.2-ERW 1-FC-1</t>
        </is>
      </c>
      <c r="AF1297" t="n">
        <v>2.9605790655</v>
      </c>
    </row>
    <row r="1298">
      <c r="A1298" s="56" t="n">
        <v>3502422</v>
      </c>
      <c r="B1298" s="56" t="inlineStr">
        <is>
          <t>TUB-O-N-AUT-AW-FC-48.60X3.500X6.0500</t>
        </is>
      </c>
      <c r="C1298" s="56" t="inlineStr">
        <is>
          <t>4B11AH2030</t>
        </is>
      </c>
      <c r="D1298" s="56" t="n"/>
      <c r="E1298" s="57" t="n">
        <v>2379.72</v>
      </c>
      <c r="F1298" s="57" t="n">
        <v>2.37972</v>
      </c>
      <c r="G1298" s="56" t="inlineStr">
        <is>
          <t>KG</t>
        </is>
      </c>
      <c r="H1298" s="56" t="inlineStr"/>
      <c r="I1298" s="56" t="inlineStr">
        <is>
          <t>4731</t>
        </is>
      </c>
      <c r="J1298" s="56" t="n"/>
      <c r="K1298" s="56" t="n"/>
      <c r="L1298" s="56" t="n"/>
      <c r="M1298" s="56" t="n"/>
      <c r="N1298" s="56" t="inlineStr">
        <is>
          <t>Metalman Auto Private Limited</t>
        </is>
      </c>
      <c r="O1298" s="56" t="n">
        <v>49</v>
      </c>
      <c r="P1298" s="59" t="inlineStr">
        <is>
          <t>31-60</t>
        </is>
      </c>
      <c r="Q1298" s="56" t="inlineStr">
        <is>
          <t>Jitendra Kumar Sharma</t>
        </is>
      </c>
      <c r="U1298" s="585" t="n">
        <v>3502334</v>
      </c>
      <c r="V1298" t="n">
        <v>41.28</v>
      </c>
      <c r="W1298" t="n">
        <v>0</v>
      </c>
      <c r="X1298" t="n">
        <v>3.15</v>
      </c>
      <c r="Y1298" t="n">
        <v>5.881</v>
      </c>
      <c r="Z1298" t="inlineStr"/>
      <c r="AA1298" t="inlineStr">
        <is>
          <t>FC</t>
        </is>
      </c>
      <c r="AB1298" t="inlineStr">
        <is>
          <t>AW</t>
        </is>
      </c>
      <c r="AC1298" t="inlineStr">
        <is>
          <t>41.28-0-3.2-ERW 1-FC</t>
        </is>
      </c>
      <c r="AD1298" t="inlineStr">
        <is>
          <t>LL</t>
        </is>
      </c>
      <c r="AE1298" t="inlineStr">
        <is>
          <t>41.28-0-3.2-ERW 1-FC-1</t>
        </is>
      </c>
      <c r="AF1298" t="n">
        <v>2.9605790655</v>
      </c>
    </row>
    <row r="1299">
      <c r="A1299" s="56" t="n">
        <v>3502496</v>
      </c>
      <c r="B1299" s="56" t="inlineStr">
        <is>
          <t>TUB-O-N-AUT-AW-FC-19.05X1.600X6.0010</t>
        </is>
      </c>
      <c r="C1299" s="56" t="inlineStr">
        <is>
          <t>4C10C20060</t>
        </is>
      </c>
      <c r="D1299" s="56" t="n"/>
      <c r="E1299" s="57" t="n">
        <v>1908.606</v>
      </c>
      <c r="F1299" s="57" t="n">
        <v>1.908606</v>
      </c>
      <c r="G1299" s="56" t="inlineStr">
        <is>
          <t>KG</t>
        </is>
      </c>
      <c r="H1299" s="56" t="inlineStr">
        <is>
          <t>TF01</t>
        </is>
      </c>
      <c r="I1299" s="56" t="inlineStr">
        <is>
          <t>4318</t>
        </is>
      </c>
      <c r="J1299" s="56" t="n"/>
      <c r="K1299" s="56" t="n"/>
      <c r="L1299" s="56" t="n"/>
      <c r="M1299" s="56" t="n"/>
      <c r="N1299" s="56" t="inlineStr">
        <is>
          <t>SRIKAM HITECH ENGINEERING PRIVATE L</t>
        </is>
      </c>
      <c r="O1299" s="56" t="n">
        <v>24</v>
      </c>
      <c r="P1299" s="59" t="inlineStr">
        <is>
          <t>0-30</t>
        </is>
      </c>
      <c r="Q1299" s="56" t="inlineStr">
        <is>
          <t>Apoorv</t>
        </is>
      </c>
      <c r="U1299" s="585" t="n">
        <v>3597050</v>
      </c>
      <c r="V1299" t="n">
        <v>41.28</v>
      </c>
      <c r="W1299" t="n">
        <v>0</v>
      </c>
      <c r="X1299" t="n">
        <v>3.15</v>
      </c>
      <c r="Y1299" t="n">
        <v>5.94</v>
      </c>
      <c r="Z1299" t="inlineStr">
        <is>
          <t>HROP</t>
        </is>
      </c>
      <c r="AA1299" t="inlineStr">
        <is>
          <t>FC</t>
        </is>
      </c>
      <c r="AB1299" t="inlineStr">
        <is>
          <t>AW</t>
        </is>
      </c>
      <c r="AC1299" t="inlineStr">
        <is>
          <t>41.28-0-3.2-ERW 1-FC</t>
        </is>
      </c>
      <c r="AD1299" t="inlineStr">
        <is>
          <t>LL</t>
        </is>
      </c>
      <c r="AF1299" t="n">
        <v>2.9605790655</v>
      </c>
    </row>
    <row r="1300">
      <c r="A1300" s="56" t="n">
        <v>3502496</v>
      </c>
      <c r="B1300" s="56" t="inlineStr">
        <is>
          <t>TUB-O-N-AUT-AW-FC-19.05X1.600X6.0010</t>
        </is>
      </c>
      <c r="C1300" s="56" t="inlineStr">
        <is>
          <t>4C10C20050</t>
        </is>
      </c>
      <c r="D1300" s="56" t="n"/>
      <c r="E1300" s="57" t="n">
        <v>2204.361</v>
      </c>
      <c r="F1300" s="57" t="n">
        <v>2.204361</v>
      </c>
      <c r="G1300" s="56" t="inlineStr">
        <is>
          <t>KG</t>
        </is>
      </c>
      <c r="H1300" s="56" t="inlineStr">
        <is>
          <t>TF01</t>
        </is>
      </c>
      <c r="I1300" s="56" t="inlineStr">
        <is>
          <t>4318</t>
        </is>
      </c>
      <c r="J1300" s="56" t="n"/>
      <c r="K1300" s="56" t="n"/>
      <c r="L1300" s="56" t="n"/>
      <c r="M1300" s="56" t="n"/>
      <c r="N1300" s="56" t="inlineStr">
        <is>
          <t>SRIKAM HITECH ENGINEERING PRIVATE L</t>
        </is>
      </c>
      <c r="O1300" s="56" t="n">
        <v>24</v>
      </c>
      <c r="P1300" s="59" t="inlineStr">
        <is>
          <t>0-30</t>
        </is>
      </c>
      <c r="Q1300" s="56" t="inlineStr">
        <is>
          <t>Apoorv</t>
        </is>
      </c>
      <c r="U1300" s="585" t="n">
        <v>2415020</v>
      </c>
      <c r="V1300" t="n">
        <v>41.28</v>
      </c>
      <c r="W1300" t="n">
        <v>0</v>
      </c>
      <c r="X1300" t="n">
        <v>3.15</v>
      </c>
      <c r="Y1300" t="n">
        <v>5.99</v>
      </c>
      <c r="Z1300" t="inlineStr">
        <is>
          <t>GR1</t>
        </is>
      </c>
      <c r="AA1300" t="inlineStr">
        <is>
          <t>FC</t>
        </is>
      </c>
      <c r="AB1300" t="inlineStr">
        <is>
          <t>AW</t>
        </is>
      </c>
      <c r="AC1300" t="inlineStr">
        <is>
          <t>41.28-0-3.2-ERW 1-FC</t>
        </is>
      </c>
      <c r="AD1300" t="inlineStr">
        <is>
          <t>LL</t>
        </is>
      </c>
      <c r="AE1300" t="inlineStr">
        <is>
          <t>41.28-0-3.2-ERW 1-FC-1</t>
        </is>
      </c>
      <c r="AF1300" t="n">
        <v>2.9605790655</v>
      </c>
    </row>
    <row r="1301">
      <c r="A1301" s="56" t="n">
        <v>3502496</v>
      </c>
      <c r="B1301" s="56" t="inlineStr">
        <is>
          <t>TUB-O-N-AUT-AW-FC-19.05X1.600X6.0010</t>
        </is>
      </c>
      <c r="C1301" s="56" t="inlineStr">
        <is>
          <t>4C10C20040</t>
        </is>
      </c>
      <c r="D1301" s="56" t="n"/>
      <c r="E1301" s="57" t="n">
        <v>2208.304</v>
      </c>
      <c r="F1301" s="57" t="n">
        <v>2.208304</v>
      </c>
      <c r="G1301" s="56" t="inlineStr">
        <is>
          <t>KG</t>
        </is>
      </c>
      <c r="H1301" s="56" t="inlineStr">
        <is>
          <t>TF01</t>
        </is>
      </c>
      <c r="I1301" s="56" t="inlineStr">
        <is>
          <t>4318</t>
        </is>
      </c>
      <c r="J1301" s="56" t="n"/>
      <c r="K1301" s="56" t="n"/>
      <c r="L1301" s="56" t="n"/>
      <c r="M1301" s="56" t="n"/>
      <c r="N1301" s="56" t="inlineStr">
        <is>
          <t>SRIKAM HITECH ENGINEERING PRIVATE L</t>
        </is>
      </c>
      <c r="O1301" s="56" t="n">
        <v>24</v>
      </c>
      <c r="P1301" s="59" t="inlineStr">
        <is>
          <t>0-30</t>
        </is>
      </c>
      <c r="Q1301" s="56" t="inlineStr">
        <is>
          <t>Apoorv</t>
        </is>
      </c>
      <c r="U1301" s="585" t="n">
        <v>3514972</v>
      </c>
      <c r="V1301" t="n">
        <v>41.28</v>
      </c>
      <c r="W1301" t="n">
        <v>0</v>
      </c>
      <c r="X1301" t="n">
        <v>3.15</v>
      </c>
      <c r="Y1301" t="n">
        <v>6.71</v>
      </c>
      <c r="Z1301" t="inlineStr"/>
      <c r="AA1301" t="inlineStr">
        <is>
          <t>FC</t>
        </is>
      </c>
      <c r="AB1301" t="inlineStr">
        <is>
          <t>AW</t>
        </is>
      </c>
      <c r="AC1301" t="inlineStr">
        <is>
          <t>41.28-0-3.2-ERW 1-FC</t>
        </is>
      </c>
      <c r="AD1301" t="inlineStr">
        <is>
          <t>LL</t>
        </is>
      </c>
      <c r="AE1301" t="inlineStr">
        <is>
          <t>41.28-0-3.2-ERW 1-FC-1</t>
        </is>
      </c>
      <c r="AF1301" t="n">
        <v>2.9605790655</v>
      </c>
    </row>
    <row r="1302">
      <c r="A1302" s="56" t="n">
        <v>3502496</v>
      </c>
      <c r="B1302" s="56" t="inlineStr">
        <is>
          <t>TUB-O-N-AUT-AW-FC-19.05X1.600X6.0010</t>
        </is>
      </c>
      <c r="C1302" s="56" t="inlineStr">
        <is>
          <t>4C10C20030</t>
        </is>
      </c>
      <c r="D1302" s="56" t="n"/>
      <c r="E1302" s="57" t="n">
        <v>2208.304</v>
      </c>
      <c r="F1302" s="57" t="n">
        <v>2.208304</v>
      </c>
      <c r="G1302" s="56" t="inlineStr">
        <is>
          <t>KG</t>
        </is>
      </c>
      <c r="H1302" s="56" t="inlineStr">
        <is>
          <t>TF01</t>
        </is>
      </c>
      <c r="I1302" s="56" t="inlineStr">
        <is>
          <t>4318</t>
        </is>
      </c>
      <c r="J1302" s="56" t="n"/>
      <c r="K1302" s="56" t="n"/>
      <c r="L1302" s="56" t="n"/>
      <c r="M1302" s="56" t="n"/>
      <c r="N1302" s="56" t="inlineStr">
        <is>
          <t>SRIKAM HITECH ENGINEERING PRIVATE L</t>
        </is>
      </c>
      <c r="O1302" s="56" t="n">
        <v>24</v>
      </c>
      <c r="P1302" s="59" t="inlineStr">
        <is>
          <t>0-30</t>
        </is>
      </c>
      <c r="Q1302" s="56" t="inlineStr">
        <is>
          <t>Apoorv</t>
        </is>
      </c>
      <c r="U1302" t="n">
        <v>4010435</v>
      </c>
      <c r="V1302" t="n">
        <v>41.28</v>
      </c>
      <c r="W1302" t="n">
        <v>0</v>
      </c>
      <c r="X1302" t="n">
        <v>3.2</v>
      </c>
      <c r="Y1302" t="n">
        <v>0.23</v>
      </c>
      <c r="Z1302" t="inlineStr">
        <is>
          <t>WG</t>
        </is>
      </c>
      <c r="AA1302" t="inlineStr">
        <is>
          <t>FC</t>
        </is>
      </c>
      <c r="AB1302" t="inlineStr">
        <is>
          <t>AW</t>
        </is>
      </c>
      <c r="AC1302" t="inlineStr">
        <is>
          <t>41.28-0-3.2-ERW 1-FC</t>
        </is>
      </c>
      <c r="AD1302" t="inlineStr">
        <is>
          <t>CTL</t>
        </is>
      </c>
      <c r="AE1302" t="inlineStr">
        <is>
          <t>41.28-0-3.2-ERW 1-FC-0.23</t>
        </is>
      </c>
      <c r="AF1302" t="n">
        <v>0.6908345651200001</v>
      </c>
    </row>
    <row r="1303">
      <c r="A1303" s="56" t="n">
        <v>3502496</v>
      </c>
      <c r="B1303" s="56" t="inlineStr">
        <is>
          <t>TUB-O-N-AUT-AW-FC-19.05X1.600X6.0010</t>
        </is>
      </c>
      <c r="C1303" s="56" t="inlineStr">
        <is>
          <t>4C10C20020</t>
        </is>
      </c>
      <c r="D1303" s="56" t="n"/>
      <c r="E1303" s="57" t="n">
        <v>2204.361</v>
      </c>
      <c r="F1303" s="57" t="n">
        <v>2.204361</v>
      </c>
      <c r="G1303" s="56" t="inlineStr">
        <is>
          <t>KG</t>
        </is>
      </c>
      <c r="H1303" s="56" t="inlineStr">
        <is>
          <t>TF01</t>
        </is>
      </c>
      <c r="I1303" s="56" t="inlineStr">
        <is>
          <t>4318</t>
        </is>
      </c>
      <c r="J1303" s="56" t="n"/>
      <c r="K1303" s="56" t="n"/>
      <c r="L1303" s="56" t="n"/>
      <c r="M1303" s="56" t="n"/>
      <c r="N1303" s="56" t="inlineStr">
        <is>
          <t>SRIKAM HITECH ENGINEERING PRIVATE L</t>
        </is>
      </c>
      <c r="O1303" s="56" t="n">
        <v>24</v>
      </c>
      <c r="P1303" s="59" t="inlineStr">
        <is>
          <t>0-30</t>
        </is>
      </c>
      <c r="Q1303" s="56" t="inlineStr">
        <is>
          <t>Apoorv</t>
        </is>
      </c>
      <c r="U1303" s="585" t="n">
        <v>3605867</v>
      </c>
      <c r="V1303" t="n">
        <v>41.28</v>
      </c>
      <c r="W1303" t="n">
        <v>0</v>
      </c>
      <c r="X1303" t="n">
        <v>3.2</v>
      </c>
      <c r="Y1303" t="n">
        <v>0.235</v>
      </c>
      <c r="Z1303" t="inlineStr">
        <is>
          <t>WG</t>
        </is>
      </c>
      <c r="AA1303" t="inlineStr">
        <is>
          <t>FC</t>
        </is>
      </c>
      <c r="AB1303" t="inlineStr">
        <is>
          <t>AW</t>
        </is>
      </c>
      <c r="AC1303" t="inlineStr">
        <is>
          <t>41.28-0-3.2-ERW 1-FC</t>
        </is>
      </c>
      <c r="AD1303" t="inlineStr">
        <is>
          <t>CTL</t>
        </is>
      </c>
      <c r="AE1303" t="inlineStr">
        <is>
          <t>41.28-0-3.2-ERW 1-FC-0.235</t>
        </is>
      </c>
      <c r="AF1303" t="n">
        <v>0.70585270784</v>
      </c>
    </row>
    <row r="1304">
      <c r="A1304" s="56" t="n">
        <v>3502496</v>
      </c>
      <c r="B1304" s="56" t="inlineStr">
        <is>
          <t>TUB-O-N-AUT-AW-FC-19.05X1.600X6.0010</t>
        </is>
      </c>
      <c r="C1304" s="56" t="inlineStr">
        <is>
          <t>4C10B20070</t>
        </is>
      </c>
      <c r="D1304" s="56" t="n"/>
      <c r="E1304" s="57" t="n">
        <v>1573.417</v>
      </c>
      <c r="F1304" s="57" t="n">
        <v>1.573417</v>
      </c>
      <c r="G1304" s="56" t="inlineStr">
        <is>
          <t>KG</t>
        </is>
      </c>
      <c r="H1304" s="56" t="inlineStr">
        <is>
          <t>TF01</t>
        </is>
      </c>
      <c r="I1304" s="56" t="inlineStr">
        <is>
          <t>4318</t>
        </is>
      </c>
      <c r="J1304" s="56" t="n"/>
      <c r="K1304" s="56" t="n"/>
      <c r="L1304" s="56" t="n"/>
      <c r="M1304" s="56" t="n"/>
      <c r="N1304" s="56" t="inlineStr">
        <is>
          <t>SRIKAM HITECH ENGINEERING PRIVATE L</t>
        </is>
      </c>
      <c r="O1304" s="56" t="n">
        <v>24</v>
      </c>
      <c r="P1304" s="59" t="inlineStr">
        <is>
          <t>0-30</t>
        </is>
      </c>
      <c r="Q1304" s="56" t="inlineStr">
        <is>
          <t>Apoorv</t>
        </is>
      </c>
      <c r="U1304" s="585" t="n">
        <v>3768907</v>
      </c>
      <c r="V1304" t="n">
        <v>41.28</v>
      </c>
      <c r="W1304" t="n">
        <v>0</v>
      </c>
      <c r="X1304" t="n">
        <v>3.2</v>
      </c>
      <c r="Y1304" t="n">
        <v>0.246</v>
      </c>
      <c r="Z1304" t="inlineStr">
        <is>
          <t>NORMAL</t>
        </is>
      </c>
      <c r="AA1304" t="inlineStr">
        <is>
          <t>FC</t>
        </is>
      </c>
      <c r="AB1304" t="inlineStr">
        <is>
          <t>AW</t>
        </is>
      </c>
      <c r="AC1304" t="inlineStr">
        <is>
          <t>41.28-0-3.2-ERW 1-FC</t>
        </is>
      </c>
      <c r="AD1304" t="inlineStr">
        <is>
          <t>CTL</t>
        </is>
      </c>
      <c r="AE1304" t="inlineStr">
        <is>
          <t>41.28-0-3.2-ERW 1-FC-0.246</t>
        </is>
      </c>
      <c r="AF1304" t="n">
        <v>0.7388926218240001</v>
      </c>
    </row>
    <row r="1305">
      <c r="A1305" s="56" t="n">
        <v>3515987</v>
      </c>
      <c r="B1305" s="56" t="inlineStr">
        <is>
          <t>TUB-O-N-AUT-AW-PE-22.23X2.600X0.2700</t>
        </is>
      </c>
      <c r="C1305" s="56" t="inlineStr">
        <is>
          <t>4831CK1060</t>
        </is>
      </c>
      <c r="D1305" s="56" t="n"/>
      <c r="E1305" s="57" t="n">
        <v>262.2</v>
      </c>
      <c r="F1305" s="57" t="n">
        <v>0.2622</v>
      </c>
      <c r="G1305" s="56" t="inlineStr">
        <is>
          <t>KG</t>
        </is>
      </c>
      <c r="H1305" s="56" t="inlineStr">
        <is>
          <t>TF01</t>
        </is>
      </c>
      <c r="I1305" s="56" t="inlineStr">
        <is>
          <t>4731</t>
        </is>
      </c>
      <c r="J1305" s="56" t="n"/>
      <c r="K1305" s="56" t="n"/>
      <c r="L1305" s="56" t="n"/>
      <c r="M1305" s="56" t="n"/>
      <c r="N1305" s="56" t="inlineStr">
        <is>
          <t>FREE STOCK</t>
        </is>
      </c>
      <c r="O1305" s="56" t="n">
        <v>10</v>
      </c>
      <c r="P1305" s="59" t="inlineStr">
        <is>
          <t>0-30</t>
        </is>
      </c>
      <c r="Q1305" s="56" t="inlineStr">
        <is>
          <t>Free Stock</t>
        </is>
      </c>
      <c r="U1305" s="586" t="n">
        <v>111122744</v>
      </c>
      <c r="V1305" t="n">
        <v>41.28</v>
      </c>
      <c r="W1305" t="n">
        <v>0</v>
      </c>
      <c r="X1305" t="n">
        <v>3.2</v>
      </c>
      <c r="Y1305" t="n">
        <v>5.9</v>
      </c>
      <c r="Z1305" t="inlineStr">
        <is>
          <t>NORMAL</t>
        </is>
      </c>
      <c r="AA1305" t="inlineStr">
        <is>
          <t>FC</t>
        </is>
      </c>
      <c r="AB1305" t="inlineStr">
        <is>
          <t>AW</t>
        </is>
      </c>
      <c r="AC1305" t="inlineStr">
        <is>
          <t>41.28-0-3.2-ERW 1-FC</t>
        </is>
      </c>
      <c r="AD1305" t="inlineStr">
        <is>
          <t>LL</t>
        </is>
      </c>
      <c r="AE1305" t="inlineStr">
        <is>
          <t>41.28-0-3.2-ERW 1-FC-1</t>
        </is>
      </c>
      <c r="AF1305" t="n">
        <v>3.003628544</v>
      </c>
    </row>
    <row r="1306">
      <c r="A1306" s="56" t="n">
        <v>3516769</v>
      </c>
      <c r="B1306" s="56" t="inlineStr">
        <is>
          <t>TUB-O-N-AUT-AW-FC-38.10X2.000X0.4940</t>
        </is>
      </c>
      <c r="C1306" s="56" t="inlineStr">
        <is>
          <t>4A30C20100</t>
        </is>
      </c>
      <c r="D1306" s="56" t="n"/>
      <c r="E1306" s="57" t="n">
        <v>188.36</v>
      </c>
      <c r="F1306" s="57" t="n">
        <v>0.18836</v>
      </c>
      <c r="G1306" s="56" t="inlineStr">
        <is>
          <t>KG</t>
        </is>
      </c>
      <c r="H1306" s="56" t="inlineStr">
        <is>
          <t>TF01</t>
        </is>
      </c>
      <c r="I1306" s="56" t="inlineStr">
        <is>
          <t>4318</t>
        </is>
      </c>
      <c r="J1306" s="56" t="n"/>
      <c r="K1306" s="56" t="n"/>
      <c r="L1306" s="56" t="n"/>
      <c r="M1306" s="56" t="n"/>
      <c r="N1306" s="56" t="inlineStr">
        <is>
          <t>SANDHAR ENGINEERING PVT LTD.(KA) -U</t>
        </is>
      </c>
      <c r="O1306" s="56" t="n">
        <v>62</v>
      </c>
      <c r="P1306" s="59" t="inlineStr">
        <is>
          <t>61-90</t>
        </is>
      </c>
      <c r="Q1306" s="56" t="inlineStr">
        <is>
          <t>Jitendra Kumar Sharma</t>
        </is>
      </c>
      <c r="U1306" s="585" t="n">
        <v>3411430</v>
      </c>
      <c r="V1306" t="n">
        <v>41.28</v>
      </c>
      <c r="W1306" t="n">
        <v>0</v>
      </c>
      <c r="X1306" t="n">
        <v>3.2</v>
      </c>
      <c r="Y1306" t="n">
        <v>5.9</v>
      </c>
      <c r="Z1306" t="inlineStr">
        <is>
          <t>NORMAL</t>
        </is>
      </c>
      <c r="AA1306" t="inlineStr">
        <is>
          <t>FC</t>
        </is>
      </c>
      <c r="AB1306" t="inlineStr">
        <is>
          <t>AW</t>
        </is>
      </c>
      <c r="AC1306" t="inlineStr">
        <is>
          <t>41.28-0-3.2-ERW 1-FC</t>
        </is>
      </c>
      <c r="AD1306" t="inlineStr">
        <is>
          <t>LL</t>
        </is>
      </c>
      <c r="AF1306" t="n">
        <v>3.003628544</v>
      </c>
    </row>
    <row r="1307">
      <c r="A1307" s="56" t="n">
        <v>3531650</v>
      </c>
      <c r="B1307" s="56" t="inlineStr">
        <is>
          <t>TUB-O-N-AUT-AW-CH-48.60X3.500X0.1850</t>
        </is>
      </c>
      <c r="C1307" s="56" t="inlineStr">
        <is>
          <t>4B11AH2050</t>
        </is>
      </c>
      <c r="D1307" s="56" t="n"/>
      <c r="E1307" s="57" t="n">
        <v>195.182</v>
      </c>
      <c r="F1307" s="57" t="n">
        <v>0.195182</v>
      </c>
      <c r="G1307" s="56" t="inlineStr">
        <is>
          <t>KG</t>
        </is>
      </c>
      <c r="H1307" s="56" t="inlineStr">
        <is>
          <t>TF01</t>
        </is>
      </c>
      <c r="I1307" s="56" t="inlineStr">
        <is>
          <t>4731</t>
        </is>
      </c>
      <c r="J1307" s="56" t="n"/>
      <c r="K1307" s="56" t="n"/>
      <c r="L1307" s="56" t="n"/>
      <c r="M1307" s="56" t="n"/>
      <c r="N1307" s="56" t="inlineStr">
        <is>
          <t>Metalman Auto Private Limited</t>
        </is>
      </c>
      <c r="O1307" s="56" t="n">
        <v>49</v>
      </c>
      <c r="P1307" s="59" t="inlineStr">
        <is>
          <t>31-60</t>
        </is>
      </c>
      <c r="Q1307" s="56" t="inlineStr">
        <is>
          <t>Jitendra Kumar Sharma</t>
        </is>
      </c>
      <c r="U1307" s="586" t="n">
        <v>111118634</v>
      </c>
      <c r="V1307" t="n">
        <v>41.28</v>
      </c>
      <c r="W1307" t="n">
        <v>0</v>
      </c>
      <c r="X1307" t="n">
        <v>3.2</v>
      </c>
      <c r="Y1307" t="n">
        <v>6.285</v>
      </c>
      <c r="Z1307" t="inlineStr">
        <is>
          <t>WG</t>
        </is>
      </c>
      <c r="AA1307" t="inlineStr">
        <is>
          <t>FC</t>
        </is>
      </c>
      <c r="AB1307" t="inlineStr">
        <is>
          <t>AW</t>
        </is>
      </c>
      <c r="AC1307" t="inlineStr">
        <is>
          <t>41.28-0-3.2-ERW 1-FC</t>
        </is>
      </c>
      <c r="AD1307" t="inlineStr">
        <is>
          <t>LL</t>
        </is>
      </c>
      <c r="AE1307" t="inlineStr">
        <is>
          <t>41.28-0-3.2-ERW 1-FC-1</t>
        </is>
      </c>
      <c r="AF1307" t="n">
        <v>3.003628544</v>
      </c>
    </row>
    <row r="1308">
      <c r="A1308" s="56" t="n">
        <v>3545373</v>
      </c>
      <c r="B1308" s="56" t="inlineStr">
        <is>
          <t>TUB-O-N-AUT-AW-FC-50.80X1.420X5.9860</t>
        </is>
      </c>
      <c r="C1308" s="56" t="inlineStr">
        <is>
          <t>4C23AK1020</t>
        </is>
      </c>
      <c r="D1308" s="56" t="n"/>
      <c r="E1308" s="57" t="n">
        <v>1577</v>
      </c>
      <c r="F1308" s="57" t="n">
        <v>1.577</v>
      </c>
      <c r="G1308" s="56" t="inlineStr">
        <is>
          <t>KG</t>
        </is>
      </c>
      <c r="H1308" s="56" t="inlineStr">
        <is>
          <t>TF01</t>
        </is>
      </c>
      <c r="I1308" s="56" t="inlineStr">
        <is>
          <t>4731</t>
        </is>
      </c>
      <c r="J1308" s="56" t="n"/>
      <c r="K1308" s="56" t="n"/>
      <c r="L1308" s="56" t="n"/>
      <c r="M1308" s="56" t="n"/>
      <c r="N1308" s="60" t="inlineStr">
        <is>
          <t>Neel Metal Products Limited</t>
        </is>
      </c>
      <c r="O1308" s="56" t="n">
        <v>2</v>
      </c>
      <c r="P1308" s="59" t="inlineStr">
        <is>
          <t>0-30</t>
        </is>
      </c>
      <c r="Q1308" s="56" t="inlineStr">
        <is>
          <t>Apoorv</t>
        </is>
      </c>
      <c r="U1308" t="n">
        <v>2426341</v>
      </c>
      <c r="V1308" t="n">
        <v>42.7</v>
      </c>
      <c r="W1308" t="n">
        <v>0</v>
      </c>
      <c r="X1308" t="n">
        <v>3.5</v>
      </c>
      <c r="Y1308" t="n">
        <v>0.202</v>
      </c>
      <c r="Z1308" t="inlineStr">
        <is>
          <t>KGR2</t>
        </is>
      </c>
      <c r="AA1308" t="inlineStr">
        <is>
          <t>FC</t>
        </is>
      </c>
      <c r="AB1308" t="inlineStr">
        <is>
          <t>AN</t>
        </is>
      </c>
      <c r="AC1308" t="inlineStr">
        <is>
          <t>42.7-0-3.5-ERW 1-FC</t>
        </is>
      </c>
      <c r="AD1308" t="inlineStr">
        <is>
          <t>CTL</t>
        </is>
      </c>
      <c r="AE1308" t="inlineStr">
        <is>
          <t>42.7-0-3.5-ERW 1-FC-0.202</t>
        </is>
      </c>
      <c r="AF1308" t="n">
        <v>0.6831322456000002</v>
      </c>
    </row>
    <row r="1309">
      <c r="A1309" s="56" t="n">
        <v>3548921</v>
      </c>
      <c r="B1309" s="56" t="inlineStr">
        <is>
          <t>CUT-N-AUT-AW-FC-48.60X3.500X0.5950</t>
        </is>
      </c>
      <c r="C1309" s="56" t="inlineStr">
        <is>
          <t>B2311082</t>
        </is>
      </c>
      <c r="D1309" s="56" t="n"/>
      <c r="E1309" s="57" t="n">
        <v>53.969</v>
      </c>
      <c r="F1309" s="57" t="n">
        <v>0.053969</v>
      </c>
      <c r="G1309" s="56" t="inlineStr">
        <is>
          <t>KG</t>
        </is>
      </c>
      <c r="H1309" s="56" t="inlineStr">
        <is>
          <t>TF01</t>
        </is>
      </c>
      <c r="I1309" s="56" t="inlineStr">
        <is>
          <t>4731</t>
        </is>
      </c>
      <c r="J1309" s="56" t="n"/>
      <c r="K1309" s="56" t="n"/>
      <c r="L1309" s="56" t="n"/>
      <c r="M1309" s="56" t="n"/>
      <c r="N1309" s="56" t="inlineStr">
        <is>
          <t>KNITVEL</t>
        </is>
      </c>
      <c r="O1309" s="56" t="n">
        <v>84</v>
      </c>
      <c r="P1309" s="59" t="inlineStr">
        <is>
          <t>61-90</t>
        </is>
      </c>
      <c r="Q1309" s="56" t="inlineStr">
        <is>
          <t>Diwakar</t>
        </is>
      </c>
      <c r="U1309" s="585" t="n">
        <v>1496408</v>
      </c>
      <c r="V1309" t="n">
        <v>42.7</v>
      </c>
      <c r="W1309" t="n">
        <v>0</v>
      </c>
      <c r="X1309" t="n">
        <v>3.5</v>
      </c>
      <c r="Y1309" t="n">
        <v>0.203</v>
      </c>
      <c r="Z1309" t="inlineStr"/>
      <c r="AA1309" t="inlineStr">
        <is>
          <t>FC</t>
        </is>
      </c>
      <c r="AB1309" t="inlineStr">
        <is>
          <t>BH</t>
        </is>
      </c>
      <c r="AC1309" t="inlineStr">
        <is>
          <t>42.7-0-3.5-ERW 1-FC</t>
        </is>
      </c>
      <c r="AD1309" t="inlineStr">
        <is>
          <t>CTL</t>
        </is>
      </c>
      <c r="AE1309" t="inlineStr">
        <is>
          <t>42.7-0-3.5-ERW 1-FC-0.203</t>
        </is>
      </c>
      <c r="AF1309" t="n">
        <v>0.6865140884000002</v>
      </c>
    </row>
    <row r="1310">
      <c r="A1310" s="56" t="n">
        <v>3549718</v>
      </c>
      <c r="B1310" s="56" t="inlineStr">
        <is>
          <t>TUB-O-N-AUT-AW-FC-42.70X3.500X6.0000</t>
        </is>
      </c>
      <c r="C1310" s="56" t="inlineStr">
        <is>
          <t>4A29AK3110</t>
        </is>
      </c>
      <c r="D1310" s="56" t="n"/>
      <c r="E1310" s="57" t="n">
        <v>2352</v>
      </c>
      <c r="F1310" s="57" t="n">
        <v>2.352</v>
      </c>
      <c r="G1310" s="56" t="inlineStr">
        <is>
          <t>KG</t>
        </is>
      </c>
      <c r="H1310" s="56" t="inlineStr">
        <is>
          <t>TF01</t>
        </is>
      </c>
      <c r="I1310" s="56" t="inlineStr">
        <is>
          <t>4731</t>
        </is>
      </c>
      <c r="J1310" s="56" t="n"/>
      <c r="K1310" s="56" t="n"/>
      <c r="L1310" s="56" t="n"/>
      <c r="M1310" s="56" t="n"/>
      <c r="N1310" s="56" t="inlineStr">
        <is>
          <t>SANDHAR ENGINEERING PVT LTD.(KA) -U</t>
        </is>
      </c>
      <c r="O1310" s="56" t="n">
        <v>53</v>
      </c>
      <c r="P1310" s="59" t="inlineStr">
        <is>
          <t>31-60</t>
        </is>
      </c>
      <c r="Q1310" s="56" t="inlineStr">
        <is>
          <t>Jitendra Kumar Sharma</t>
        </is>
      </c>
      <c r="U1310" t="n">
        <v>364978</v>
      </c>
      <c r="V1310" t="n">
        <v>42.7</v>
      </c>
      <c r="W1310" t="n">
        <v>0</v>
      </c>
      <c r="X1310" t="n">
        <v>3.5</v>
      </c>
      <c r="Y1310" t="n">
        <v>0.203</v>
      </c>
      <c r="Z1310" t="inlineStr">
        <is>
          <t>TPT</t>
        </is>
      </c>
      <c r="AA1310" t="inlineStr">
        <is>
          <t>FC</t>
        </is>
      </c>
      <c r="AB1310" t="inlineStr">
        <is>
          <t>NR</t>
        </is>
      </c>
      <c r="AC1310" t="inlineStr">
        <is>
          <t>42.7-0-3.5-ERW 1-FC</t>
        </is>
      </c>
      <c r="AD1310" t="inlineStr">
        <is>
          <t>CTL</t>
        </is>
      </c>
      <c r="AE1310" t="inlineStr">
        <is>
          <t>42.7-0-3.5-ERW 1-FC-0.203</t>
        </is>
      </c>
      <c r="AF1310" t="n">
        <v>0.6865140884000002</v>
      </c>
    </row>
    <row r="1311">
      <c r="A1311" s="56" t="n">
        <v>3586648</v>
      </c>
      <c r="B1311" s="56" t="inlineStr">
        <is>
          <t>TUB-O-N-AUT-AW-PE-31.75X1.200X5.4500</t>
        </is>
      </c>
      <c r="C1311" s="56" t="inlineStr">
        <is>
          <t>PV24040010</t>
        </is>
      </c>
      <c r="D1311" s="56" t="n"/>
      <c r="E1311" s="57" t="n">
        <v>1769.511</v>
      </c>
      <c r="F1311" s="57" t="n">
        <v>1.769511</v>
      </c>
      <c r="G1311" s="56" t="inlineStr">
        <is>
          <t>KG</t>
        </is>
      </c>
      <c r="H1311" s="56" t="inlineStr">
        <is>
          <t>R001</t>
        </is>
      </c>
      <c r="I1311" s="56" t="inlineStr">
        <is>
          <t>4318</t>
        </is>
      </c>
      <c r="J1311" s="56" t="n"/>
      <c r="K1311" s="56" t="n"/>
      <c r="L1311" s="56" t="n"/>
      <c r="M1311" s="56" t="n"/>
      <c r="N1311" s="56" t="inlineStr">
        <is>
          <t>Rajsriya Automotive Ind Pvt Ltd.</t>
        </is>
      </c>
      <c r="O1311" s="56" t="n">
        <v>7</v>
      </c>
      <c r="P1311" s="59" t="inlineStr">
        <is>
          <t>0-30</t>
        </is>
      </c>
      <c r="Q1311" s="56" t="inlineStr">
        <is>
          <t>Apoorv</t>
        </is>
      </c>
      <c r="U1311" t="n">
        <v>4114991</v>
      </c>
      <c r="V1311" t="n">
        <v>42.7</v>
      </c>
      <c r="W1311" t="n">
        <v>0</v>
      </c>
      <c r="X1311" t="n">
        <v>3.5</v>
      </c>
      <c r="Y1311" t="n">
        <v>0.205</v>
      </c>
      <c r="Z1311" t="inlineStr">
        <is>
          <t>KGR2</t>
        </is>
      </c>
      <c r="AA1311" t="inlineStr">
        <is>
          <t>FC</t>
        </is>
      </c>
      <c r="AB1311" t="inlineStr">
        <is>
          <t>BH</t>
        </is>
      </c>
      <c r="AC1311" t="inlineStr">
        <is>
          <t>42.7-0-3.5-ERW 1-FC</t>
        </is>
      </c>
      <c r="AD1311" t="inlineStr">
        <is>
          <t>CTL</t>
        </is>
      </c>
      <c r="AE1311" t="inlineStr">
        <is>
          <t>42.7-0-3.5-ERW 1-FC-0.205</t>
        </is>
      </c>
      <c r="AF1311" t="n">
        <v>0.6932777740000001</v>
      </c>
    </row>
    <row r="1312">
      <c r="A1312" s="56" t="n">
        <v>3586648</v>
      </c>
      <c r="B1312" s="56" t="inlineStr">
        <is>
          <t>TUB-O-N-AUT-AW-PE-31.75X1.200X5.4500</t>
        </is>
      </c>
      <c r="C1312" s="56" t="inlineStr">
        <is>
          <t>PV24040009</t>
        </is>
      </c>
      <c r="D1312" s="56" t="n"/>
      <c r="E1312" s="57" t="n">
        <v>1813.872</v>
      </c>
      <c r="F1312" s="57" t="n">
        <v>1.813872</v>
      </c>
      <c r="G1312" s="56" t="inlineStr">
        <is>
          <t>KG</t>
        </is>
      </c>
      <c r="H1312" s="56" t="inlineStr">
        <is>
          <t>R001</t>
        </is>
      </c>
      <c r="I1312" s="56" t="inlineStr">
        <is>
          <t>4318</t>
        </is>
      </c>
      <c r="J1312" s="56" t="n"/>
      <c r="K1312" s="56" t="n"/>
      <c r="L1312" s="56" t="n"/>
      <c r="M1312" s="56" t="n"/>
      <c r="N1312" s="56" t="inlineStr">
        <is>
          <t>Rajsriya Automotive Ind Pvt Ltd.</t>
        </is>
      </c>
      <c r="O1312" s="56" t="n">
        <v>7</v>
      </c>
      <c r="P1312" s="59" t="inlineStr">
        <is>
          <t>0-30</t>
        </is>
      </c>
      <c r="Q1312" s="56" t="inlineStr">
        <is>
          <t>Apoorv</t>
        </is>
      </c>
      <c r="U1312" s="585" t="n">
        <v>3722021</v>
      </c>
      <c r="V1312" t="n">
        <v>42.7</v>
      </c>
      <c r="W1312" t="n">
        <v>0</v>
      </c>
      <c r="X1312" t="n">
        <v>3.5</v>
      </c>
      <c r="Y1312" t="n">
        <v>0.208</v>
      </c>
      <c r="Z1312" t="inlineStr">
        <is>
          <t>KGR2</t>
        </is>
      </c>
      <c r="AA1312" t="inlineStr"/>
      <c r="AB1312" t="inlineStr">
        <is>
          <t>AN</t>
        </is>
      </c>
      <c r="AC1312" t="inlineStr">
        <is>
          <t>42.7-0-3.5-ERW 1-FC</t>
        </is>
      </c>
      <c r="AD1312" t="inlineStr">
        <is>
          <t>CTL</t>
        </is>
      </c>
      <c r="AE1312" t="inlineStr">
        <is>
          <t>42.7-0-3.5-ERW 1-FC-0.208</t>
        </is>
      </c>
      <c r="AF1312" t="n">
        <v>0.7034233024000001</v>
      </c>
    </row>
    <row r="1313">
      <c r="A1313" s="56" t="n">
        <v>3586648</v>
      </c>
      <c r="B1313" s="56" t="inlineStr">
        <is>
          <t>TUB-O-N-AUT-AW-PE-31.75X1.200X5.4500</t>
        </is>
      </c>
      <c r="C1313" s="56" t="inlineStr">
        <is>
          <t>PV24040008</t>
        </is>
      </c>
      <c r="D1313" s="56" t="n"/>
      <c r="E1313" s="57" t="n">
        <v>1458.984</v>
      </c>
      <c r="F1313" s="57" t="n">
        <v>1.458984</v>
      </c>
      <c r="G1313" s="56" t="inlineStr">
        <is>
          <t>KG</t>
        </is>
      </c>
      <c r="H1313" s="56" t="inlineStr">
        <is>
          <t>R001</t>
        </is>
      </c>
      <c r="I1313" s="56" t="inlineStr">
        <is>
          <t>4318</t>
        </is>
      </c>
      <c r="J1313" s="56" t="n"/>
      <c r="K1313" s="56" t="n"/>
      <c r="L1313" s="56" t="n"/>
      <c r="M1313" s="56" t="n"/>
      <c r="N1313" s="56" t="inlineStr">
        <is>
          <t>Rajsriya Automotive Ind Pvt Ltd.</t>
        </is>
      </c>
      <c r="O1313" s="56" t="n">
        <v>7</v>
      </c>
      <c r="P1313" s="59" t="inlineStr">
        <is>
          <t>0-30</t>
        </is>
      </c>
      <c r="Q1313" s="56" t="inlineStr">
        <is>
          <t>Apoorv</t>
        </is>
      </c>
      <c r="U1313" s="585" t="n">
        <v>2417649</v>
      </c>
      <c r="V1313" t="n">
        <v>42.7</v>
      </c>
      <c r="W1313" t="n">
        <v>0</v>
      </c>
      <c r="X1313" t="n">
        <v>3.5</v>
      </c>
      <c r="Y1313" t="n">
        <v>0.2096</v>
      </c>
      <c r="Z1313" t="inlineStr">
        <is>
          <t>KGR2</t>
        </is>
      </c>
      <c r="AA1313" t="inlineStr"/>
      <c r="AB1313" t="inlineStr">
        <is>
          <t>AN</t>
        </is>
      </c>
      <c r="AC1313" t="inlineStr">
        <is>
          <t>42.7-0-3.5-ERW 1-FC</t>
        </is>
      </c>
      <c r="AD1313" t="inlineStr">
        <is>
          <t>CTL</t>
        </is>
      </c>
      <c r="AE1313" t="inlineStr">
        <is>
          <t>42.7-0-3.5-ERW 1-FC-0.2096</t>
        </is>
      </c>
      <c r="AF1313" t="n">
        <v>0.7088342508800002</v>
      </c>
    </row>
    <row r="1314">
      <c r="A1314" s="56" t="n">
        <v>3586648</v>
      </c>
      <c r="B1314" s="56" t="inlineStr">
        <is>
          <t>TUB-O-N-AUT-AW-PE-31.75X1.200X5.4500</t>
        </is>
      </c>
      <c r="C1314" s="56" t="inlineStr">
        <is>
          <t>PV24040007</t>
        </is>
      </c>
      <c r="D1314" s="56" t="n"/>
      <c r="E1314" s="57" t="n">
        <v>1069.593</v>
      </c>
      <c r="F1314" s="57" t="n">
        <v>1.069593</v>
      </c>
      <c r="G1314" s="56" t="inlineStr">
        <is>
          <t>KG</t>
        </is>
      </c>
      <c r="H1314" s="56" t="inlineStr">
        <is>
          <t>R001</t>
        </is>
      </c>
      <c r="I1314" s="56" t="inlineStr">
        <is>
          <t>4318</t>
        </is>
      </c>
      <c r="J1314" s="56" t="n"/>
      <c r="K1314" s="56" t="n"/>
      <c r="L1314" s="56" t="n"/>
      <c r="M1314" s="56" t="n"/>
      <c r="N1314" s="56" t="inlineStr">
        <is>
          <t>Rajsriya Automotive Ind Pvt Ltd.</t>
        </is>
      </c>
      <c r="O1314" s="56" t="n">
        <v>7</v>
      </c>
      <c r="P1314" s="59" t="inlineStr">
        <is>
          <t>0-30</t>
        </is>
      </c>
      <c r="Q1314" s="56" t="inlineStr">
        <is>
          <t>Apoorv</t>
        </is>
      </c>
      <c r="U1314" s="585" t="n">
        <v>2417648</v>
      </c>
      <c r="V1314" t="n">
        <v>42.7</v>
      </c>
      <c r="W1314" t="n">
        <v>0</v>
      </c>
      <c r="X1314" t="n">
        <v>3.5</v>
      </c>
      <c r="Y1314" t="n">
        <v>0.21</v>
      </c>
      <c r="Z1314" t="inlineStr">
        <is>
          <t>KGR2</t>
        </is>
      </c>
      <c r="AA1314" t="inlineStr"/>
      <c r="AB1314" t="inlineStr">
        <is>
          <t>AN</t>
        </is>
      </c>
      <c r="AC1314" t="inlineStr">
        <is>
          <t>42.7-0-3.5-ERW 1-FC</t>
        </is>
      </c>
      <c r="AD1314" t="inlineStr">
        <is>
          <t>CTL</t>
        </is>
      </c>
      <c r="AE1314" t="inlineStr">
        <is>
          <t>42.7-0-3.5-ERW 1-FC-0.21</t>
        </is>
      </c>
      <c r="AF1314" t="n">
        <v>0.7101869880000001</v>
      </c>
    </row>
    <row r="1315">
      <c r="A1315" s="56" t="n">
        <v>3586648</v>
      </c>
      <c r="B1315" s="56" t="inlineStr">
        <is>
          <t>TUB-O-N-AUT-AW-PE-31.75X1.200X5.4500</t>
        </is>
      </c>
      <c r="C1315" s="56" t="inlineStr">
        <is>
          <t>PV24040004</t>
        </is>
      </c>
      <c r="D1315" s="56" t="n"/>
      <c r="E1315" s="57" t="n">
        <v>1838.517</v>
      </c>
      <c r="F1315" s="57" t="n">
        <v>1.838517</v>
      </c>
      <c r="G1315" s="56" t="inlineStr">
        <is>
          <t>KG</t>
        </is>
      </c>
      <c r="H1315" s="56" t="inlineStr">
        <is>
          <t>R001</t>
        </is>
      </c>
      <c r="I1315" s="56" t="inlineStr">
        <is>
          <t>4318</t>
        </is>
      </c>
      <c r="J1315" s="56" t="n"/>
      <c r="K1315" s="56" t="n"/>
      <c r="L1315" s="56" t="n"/>
      <c r="M1315" s="56" t="n"/>
      <c r="N1315" s="56" t="inlineStr">
        <is>
          <t>Rajsriya Automotive Ind Pvt Ltd.</t>
        </is>
      </c>
      <c r="O1315" s="56" t="n">
        <v>7</v>
      </c>
      <c r="P1315" s="59" t="inlineStr">
        <is>
          <t>0-30</t>
        </is>
      </c>
      <c r="Q1315" s="56" t="inlineStr">
        <is>
          <t>Apoorv</t>
        </is>
      </c>
      <c r="U1315" s="585" t="n">
        <v>1310731</v>
      </c>
      <c r="V1315" t="n">
        <v>42.7</v>
      </c>
      <c r="W1315" t="n">
        <v>0</v>
      </c>
      <c r="X1315" t="n">
        <v>3.5</v>
      </c>
      <c r="Y1315" t="n">
        <v>0.21</v>
      </c>
      <c r="Z1315" t="inlineStr"/>
      <c r="AA1315" t="inlineStr">
        <is>
          <t>FC</t>
        </is>
      </c>
      <c r="AB1315" t="inlineStr">
        <is>
          <t>NR</t>
        </is>
      </c>
      <c r="AC1315" t="inlineStr">
        <is>
          <t>42.7-0-3.5-ERW 1-FC</t>
        </is>
      </c>
      <c r="AD1315" t="inlineStr">
        <is>
          <t>CTL</t>
        </is>
      </c>
      <c r="AE1315" t="inlineStr">
        <is>
          <t>42.7-0-3.5-ERW 1-FC-0.21</t>
        </is>
      </c>
      <c r="AF1315" t="n">
        <v>0.7101869880000001</v>
      </c>
    </row>
    <row r="1316">
      <c r="A1316" s="56" t="n">
        <v>3617058</v>
      </c>
      <c r="B1316" s="56" t="inlineStr">
        <is>
          <t>TUB-O-C-AUT-AD-FC-28.60X2.650X0.2090</t>
        </is>
      </c>
      <c r="C1316" s="56" t="inlineStr">
        <is>
          <t>4B0863690B</t>
        </is>
      </c>
      <c r="D1316" s="56" t="n"/>
      <c r="E1316" s="57" t="n">
        <v>324.413</v>
      </c>
      <c r="F1316" s="57" t="n">
        <v>0.324413</v>
      </c>
      <c r="G1316" s="56" t="inlineStr">
        <is>
          <t>KG</t>
        </is>
      </c>
      <c r="H1316" s="56" t="inlineStr">
        <is>
          <t>TF01</t>
        </is>
      </c>
      <c r="I1316" s="56" t="inlineStr">
        <is>
          <t>4731</t>
        </is>
      </c>
      <c r="J1316" s="56" t="n"/>
      <c r="K1316" s="56" t="n"/>
      <c r="L1316" s="56" t="n"/>
      <c r="M1316" s="56" t="n"/>
      <c r="N1316" s="56" t="inlineStr">
        <is>
          <t>Elkayem Auto Ancillaries ( P ) LTD</t>
        </is>
      </c>
      <c r="O1316" s="56" t="n">
        <v>2</v>
      </c>
      <c r="P1316" s="59" t="inlineStr">
        <is>
          <t>0-30</t>
        </is>
      </c>
      <c r="Q1316" s="56" t="inlineStr">
        <is>
          <t>Diwakar</t>
        </is>
      </c>
      <c r="U1316" t="n">
        <v>3690546</v>
      </c>
      <c r="V1316" t="n">
        <v>42.7</v>
      </c>
      <c r="W1316" t="n">
        <v>0</v>
      </c>
      <c r="X1316" t="n">
        <v>3.5</v>
      </c>
      <c r="Y1316" t="n">
        <v>0.21</v>
      </c>
      <c r="Z1316" t="inlineStr">
        <is>
          <t>GR1</t>
        </is>
      </c>
      <c r="AA1316" t="inlineStr">
        <is>
          <t>FC</t>
        </is>
      </c>
      <c r="AB1316" t="inlineStr">
        <is>
          <t>NR</t>
        </is>
      </c>
      <c r="AC1316" t="inlineStr">
        <is>
          <t>42.7-0-3.5-ERW 1-FC</t>
        </is>
      </c>
      <c r="AD1316" t="inlineStr">
        <is>
          <t>CTL</t>
        </is>
      </c>
      <c r="AE1316" t="inlineStr">
        <is>
          <t>42.7-0-3.5-ERW 1-FC-0.21</t>
        </is>
      </c>
      <c r="AF1316" t="n">
        <v>0.7101869880000001</v>
      </c>
    </row>
    <row r="1317">
      <c r="A1317" s="56" t="n">
        <v>3682063</v>
      </c>
      <c r="B1317" s="56" t="inlineStr">
        <is>
          <t>TUB-O-N-AUT-AW-FC-38.10X2.000X5.8010</t>
        </is>
      </c>
      <c r="C1317" s="56" t="inlineStr">
        <is>
          <t>4B21A20030</t>
        </is>
      </c>
      <c r="D1317" s="56" t="n"/>
      <c r="E1317" s="57" t="n">
        <v>2188.445</v>
      </c>
      <c r="F1317" s="57" t="n">
        <v>2.188445</v>
      </c>
      <c r="G1317" s="56" t="inlineStr">
        <is>
          <t>KG</t>
        </is>
      </c>
      <c r="H1317" s="56" t="inlineStr">
        <is>
          <t>TF01</t>
        </is>
      </c>
      <c r="I1317" s="56" t="inlineStr">
        <is>
          <t>4318</t>
        </is>
      </c>
      <c r="J1317" s="56" t="n"/>
      <c r="K1317" s="56" t="n"/>
      <c r="L1317" s="56" t="n"/>
      <c r="M1317" s="56" t="n"/>
      <c r="N1317" s="56" t="inlineStr">
        <is>
          <t>Neel Metal Products Limited</t>
        </is>
      </c>
      <c r="O1317" s="56" t="n">
        <v>44</v>
      </c>
      <c r="P1317" s="59" t="inlineStr">
        <is>
          <t>31-60</t>
        </is>
      </c>
      <c r="Q1317" s="56" t="inlineStr">
        <is>
          <t>Apoorv</t>
        </is>
      </c>
      <c r="U1317" s="585" t="n">
        <v>3433148</v>
      </c>
      <c r="V1317" t="n">
        <v>42.7</v>
      </c>
      <c r="W1317" t="n">
        <v>0</v>
      </c>
      <c r="X1317" t="n">
        <v>3.5</v>
      </c>
      <c r="Y1317" t="n">
        <v>0.247</v>
      </c>
      <c r="Z1317" t="inlineStr"/>
      <c r="AA1317" t="inlineStr">
        <is>
          <t>FC</t>
        </is>
      </c>
      <c r="AB1317" t="inlineStr">
        <is>
          <t>BH</t>
        </is>
      </c>
      <c r="AC1317" t="inlineStr">
        <is>
          <t>42.7-0-3.5-ERW 1-FC</t>
        </is>
      </c>
      <c r="AD1317" t="inlineStr">
        <is>
          <t>CTL</t>
        </is>
      </c>
      <c r="AE1317" t="inlineStr">
        <is>
          <t>42.7-0-3.5-ERW 1-FC-0.247</t>
        </is>
      </c>
      <c r="AF1317" t="n">
        <v>0.8353151716000001</v>
      </c>
    </row>
    <row r="1318">
      <c r="A1318" s="56" t="n">
        <v>3682063</v>
      </c>
      <c r="B1318" s="56" t="inlineStr">
        <is>
          <t>TUB-O-N-AUT-AW-FC-38.10X2.000X5.8010</t>
        </is>
      </c>
      <c r="C1318" s="56" t="inlineStr">
        <is>
          <t>4B21A20020</t>
        </is>
      </c>
      <c r="D1318" s="56" t="n"/>
      <c r="E1318" s="57" t="n">
        <v>650.4450000000001</v>
      </c>
      <c r="F1318" s="57" t="n">
        <v>0.6504450000000001</v>
      </c>
      <c r="G1318" s="56" t="inlineStr">
        <is>
          <t>KG</t>
        </is>
      </c>
      <c r="H1318" s="56" t="inlineStr">
        <is>
          <t>TF01</t>
        </is>
      </c>
      <c r="I1318" s="56" t="inlineStr">
        <is>
          <t>4318</t>
        </is>
      </c>
      <c r="J1318" s="56" t="n"/>
      <c r="K1318" s="56" t="n"/>
      <c r="L1318" s="56" t="n"/>
      <c r="M1318" s="56" t="n"/>
      <c r="N1318" s="56" t="inlineStr">
        <is>
          <t>Neel Metal Products Limited</t>
        </is>
      </c>
      <c r="O1318" s="56" t="n">
        <v>30</v>
      </c>
      <c r="P1318" s="59" t="inlineStr">
        <is>
          <t>0-30</t>
        </is>
      </c>
      <c r="Q1318" s="56" t="inlineStr">
        <is>
          <t>Apoorv</t>
        </is>
      </c>
      <c r="U1318" t="n">
        <v>3781687</v>
      </c>
      <c r="V1318" t="n">
        <v>42.7</v>
      </c>
      <c r="W1318" t="n">
        <v>0</v>
      </c>
      <c r="X1318" t="n">
        <v>3.5</v>
      </c>
      <c r="Y1318" t="n">
        <v>0.247</v>
      </c>
      <c r="Z1318" t="inlineStr">
        <is>
          <t>TPT</t>
        </is>
      </c>
      <c r="AA1318" t="inlineStr">
        <is>
          <t>FC</t>
        </is>
      </c>
      <c r="AB1318" t="inlineStr">
        <is>
          <t>BH</t>
        </is>
      </c>
      <c r="AC1318" t="inlineStr">
        <is>
          <t>42.7-0-3.5-ERW 1-FC</t>
        </is>
      </c>
      <c r="AD1318" t="inlineStr">
        <is>
          <t>CTL</t>
        </is>
      </c>
      <c r="AE1318" t="inlineStr">
        <is>
          <t>42.7-0-3.5-ERW 1-FC-0.247</t>
        </is>
      </c>
      <c r="AF1318" t="n">
        <v>0.8353151716000001</v>
      </c>
    </row>
    <row r="1319">
      <c r="A1319" s="56" t="n">
        <v>3682063</v>
      </c>
      <c r="B1319" s="56" t="inlineStr">
        <is>
          <t>TUB-O-N-AUT-AW-FC-38.10X2.000X5.8010</t>
        </is>
      </c>
      <c r="C1319" s="56" t="inlineStr">
        <is>
          <t>4B19B20020</t>
        </is>
      </c>
      <c r="D1319" s="56" t="n"/>
      <c r="E1319" s="57" t="n">
        <v>713.4450000000001</v>
      </c>
      <c r="F1319" s="57" t="n">
        <v>0.713445</v>
      </c>
      <c r="G1319" s="56" t="inlineStr">
        <is>
          <t>KG</t>
        </is>
      </c>
      <c r="H1319" s="56" t="inlineStr">
        <is>
          <t>TF01</t>
        </is>
      </c>
      <c r="I1319" s="56" t="inlineStr">
        <is>
          <t>4318</t>
        </is>
      </c>
      <c r="J1319" s="56" t="n"/>
      <c r="K1319" s="56" t="n"/>
      <c r="L1319" s="56" t="n"/>
      <c r="M1319" s="56" t="n"/>
      <c r="N1319" s="56" t="inlineStr">
        <is>
          <t>Neel Metal Products Limited</t>
        </is>
      </c>
      <c r="O1319" s="56" t="n">
        <v>30</v>
      </c>
      <c r="P1319" s="59" t="inlineStr">
        <is>
          <t>0-30</t>
        </is>
      </c>
      <c r="Q1319" s="56" t="inlineStr">
        <is>
          <t>Apoorv</t>
        </is>
      </c>
      <c r="U1319" s="585" t="n">
        <v>3502013</v>
      </c>
      <c r="V1319" t="n">
        <v>42.7</v>
      </c>
      <c r="W1319" t="n">
        <v>0</v>
      </c>
      <c r="X1319" t="n">
        <v>3.5</v>
      </c>
      <c r="Y1319" t="n">
        <v>5.9</v>
      </c>
      <c r="Z1319" t="inlineStr"/>
      <c r="AA1319" t="inlineStr">
        <is>
          <t>FC</t>
        </is>
      </c>
      <c r="AB1319" t="inlineStr">
        <is>
          <t>BH</t>
        </is>
      </c>
      <c r="AC1319" t="inlineStr">
        <is>
          <t>42.7-0-3.5-ERW 1-FC</t>
        </is>
      </c>
      <c r="AD1319" t="inlineStr">
        <is>
          <t>LL</t>
        </is>
      </c>
      <c r="AE1319" t="inlineStr">
        <is>
          <t>42.7-0-3.5-ERW 1-FC-1</t>
        </is>
      </c>
      <c r="AF1319" t="n">
        <v>3.381842800000001</v>
      </c>
    </row>
    <row r="1320">
      <c r="A1320" s="56" t="n">
        <v>3682118</v>
      </c>
      <c r="B1320" s="56" t="inlineStr">
        <is>
          <t>TUB-O-N-AUT-AW-FC-57.15X2.300X6.9500</t>
        </is>
      </c>
      <c r="C1320" s="56" t="inlineStr">
        <is>
          <t>4C17A40090</t>
        </is>
      </c>
      <c r="D1320" s="56" t="n"/>
      <c r="E1320" s="57" t="n">
        <v>2610.72</v>
      </c>
      <c r="F1320" s="57" t="n">
        <v>2.61072</v>
      </c>
      <c r="G1320" s="56" t="inlineStr">
        <is>
          <t>KG</t>
        </is>
      </c>
      <c r="H1320" s="56" t="inlineStr">
        <is>
          <t>TF01</t>
        </is>
      </c>
      <c r="I1320" s="56" t="inlineStr">
        <is>
          <t>4318</t>
        </is>
      </c>
      <c r="J1320" s="56" t="n"/>
      <c r="K1320" s="56" t="n"/>
      <c r="L1320" s="56" t="n"/>
      <c r="M1320" s="56" t="n"/>
      <c r="N1320" s="56" t="inlineStr">
        <is>
          <t>Rajsriya Automotive Ind Pvt Ltd.</t>
        </is>
      </c>
      <c r="O1320" s="56" t="n">
        <v>18</v>
      </c>
      <c r="P1320" s="59" t="inlineStr">
        <is>
          <t>0-30</t>
        </is>
      </c>
      <c r="Q1320" s="56" t="inlineStr">
        <is>
          <t>Apoorv</t>
        </is>
      </c>
      <c r="U1320" s="585" t="n">
        <v>3500650</v>
      </c>
      <c r="V1320" t="n">
        <v>42.7</v>
      </c>
      <c r="W1320" t="n">
        <v>0</v>
      </c>
      <c r="X1320" t="n">
        <v>3.5</v>
      </c>
      <c r="Y1320" t="n">
        <v>6</v>
      </c>
      <c r="Z1320" t="inlineStr">
        <is>
          <t>KGR2</t>
        </is>
      </c>
      <c r="AA1320" t="inlineStr">
        <is>
          <t>FC</t>
        </is>
      </c>
      <c r="AB1320" t="inlineStr">
        <is>
          <t>BH</t>
        </is>
      </c>
      <c r="AC1320" t="inlineStr">
        <is>
          <t>42.7-0-3.5-ERW 1-FC</t>
        </is>
      </c>
      <c r="AD1320" t="inlineStr">
        <is>
          <t>LL</t>
        </is>
      </c>
      <c r="AE1320" t="inlineStr">
        <is>
          <t>42.7-0-3.5-ERW 1-FC-1</t>
        </is>
      </c>
      <c r="AF1320" t="n">
        <v>3.381842800000001</v>
      </c>
    </row>
    <row r="1321">
      <c r="A1321" s="56" t="n">
        <v>3682118</v>
      </c>
      <c r="B1321" s="56" t="inlineStr">
        <is>
          <t>TUB-O-N-AUT-AW-FC-57.15X2.300X6.9500</t>
        </is>
      </c>
      <c r="C1321" s="56" t="inlineStr">
        <is>
          <t>4C17A40080</t>
        </is>
      </c>
      <c r="D1321" s="56" t="n"/>
      <c r="E1321" s="57" t="n">
        <v>2631.44</v>
      </c>
      <c r="F1321" s="57" t="n">
        <v>2.63144</v>
      </c>
      <c r="G1321" s="56" t="inlineStr">
        <is>
          <t>KG</t>
        </is>
      </c>
      <c r="H1321" s="56" t="inlineStr">
        <is>
          <t>TF01</t>
        </is>
      </c>
      <c r="I1321" s="56" t="inlineStr">
        <is>
          <t>4318</t>
        </is>
      </c>
      <c r="J1321" s="56" t="n"/>
      <c r="K1321" s="56" t="n"/>
      <c r="L1321" s="56" t="n"/>
      <c r="M1321" s="56" t="n"/>
      <c r="N1321" s="56" t="inlineStr">
        <is>
          <t>Rajsriya Automotive Ind Pvt Ltd.</t>
        </is>
      </c>
      <c r="O1321" s="56" t="n">
        <v>18</v>
      </c>
      <c r="P1321" s="59" t="inlineStr">
        <is>
          <t>0-30</t>
        </is>
      </c>
      <c r="Q1321" s="56" t="inlineStr">
        <is>
          <t>Apoorv</t>
        </is>
      </c>
      <c r="U1321" s="585" t="n">
        <v>2396465</v>
      </c>
      <c r="V1321" t="n">
        <v>42.7</v>
      </c>
      <c r="W1321" t="n">
        <v>0</v>
      </c>
      <c r="X1321" t="n">
        <v>3.5</v>
      </c>
      <c r="Y1321" t="n">
        <v>6</v>
      </c>
      <c r="Z1321" t="inlineStr">
        <is>
          <t>KGR2</t>
        </is>
      </c>
      <c r="AA1321" t="inlineStr">
        <is>
          <t>FC</t>
        </is>
      </c>
      <c r="AB1321" t="inlineStr">
        <is>
          <t>AN</t>
        </is>
      </c>
      <c r="AC1321" t="inlineStr">
        <is>
          <t>42.7-0-3.5-ERW 1-FC</t>
        </is>
      </c>
      <c r="AD1321" t="inlineStr">
        <is>
          <t>LL</t>
        </is>
      </c>
      <c r="AE1321" t="inlineStr">
        <is>
          <t>42.7-0-3.5-ERW 1-FC-1</t>
        </is>
      </c>
      <c r="AF1321" t="n">
        <v>3.381842800000001</v>
      </c>
    </row>
    <row r="1322">
      <c r="A1322" s="56" t="n">
        <v>3682118</v>
      </c>
      <c r="B1322" s="56" t="inlineStr">
        <is>
          <t>TUB-O-N-AUT-AW-FC-57.15X2.300X6.9500</t>
        </is>
      </c>
      <c r="C1322" s="56" t="inlineStr">
        <is>
          <t>4C17A40050</t>
        </is>
      </c>
      <c r="D1322" s="56" t="n"/>
      <c r="E1322" s="57" t="n">
        <v>2631.44</v>
      </c>
      <c r="F1322" s="57" t="n">
        <v>2.63144</v>
      </c>
      <c r="G1322" s="56" t="inlineStr">
        <is>
          <t>KG</t>
        </is>
      </c>
      <c r="H1322" s="56" t="inlineStr">
        <is>
          <t>TF01</t>
        </is>
      </c>
      <c r="I1322" s="56" t="inlineStr">
        <is>
          <t>4318</t>
        </is>
      </c>
      <c r="J1322" s="56" t="n"/>
      <c r="K1322" s="56" t="n"/>
      <c r="L1322" s="56" t="n"/>
      <c r="M1322" s="56" t="n"/>
      <c r="N1322" s="56" t="inlineStr">
        <is>
          <t>Rajsriya Automotive Ind Pvt Ltd.</t>
        </is>
      </c>
      <c r="O1322" s="56" t="n">
        <v>13</v>
      </c>
      <c r="P1322" s="59" t="inlineStr">
        <is>
          <t>0-30</t>
        </is>
      </c>
      <c r="Q1322" s="56" t="inlineStr">
        <is>
          <t>Apoorv</t>
        </is>
      </c>
      <c r="U1322" s="585" t="n">
        <v>3549718</v>
      </c>
      <c r="V1322" t="n">
        <v>42.7</v>
      </c>
      <c r="W1322" t="n">
        <v>0</v>
      </c>
      <c r="X1322" t="n">
        <v>3.5</v>
      </c>
      <c r="Y1322" t="n">
        <v>6</v>
      </c>
      <c r="Z1322" t="inlineStr"/>
      <c r="AA1322" t="inlineStr">
        <is>
          <t>FC</t>
        </is>
      </c>
      <c r="AB1322" t="inlineStr">
        <is>
          <t>AW</t>
        </is>
      </c>
      <c r="AC1322" t="inlineStr">
        <is>
          <t>42.7-0-3.5-ERW 1-FC</t>
        </is>
      </c>
      <c r="AD1322" t="inlineStr">
        <is>
          <t>LL</t>
        </is>
      </c>
      <c r="AE1322" t="inlineStr">
        <is>
          <t>42.7-0-3.5-ERW 1-FC-1</t>
        </is>
      </c>
      <c r="AF1322" t="n">
        <v>3.381842800000001</v>
      </c>
    </row>
    <row r="1323">
      <c r="A1323" s="56" t="n">
        <v>3682118</v>
      </c>
      <c r="B1323" s="56" t="inlineStr">
        <is>
          <t>TUB-O-N-AUT-AW-FC-57.15X2.300X6.9500</t>
        </is>
      </c>
      <c r="C1323" s="56" t="inlineStr">
        <is>
          <t>4C17A40040</t>
        </is>
      </c>
      <c r="D1323" s="56" t="n"/>
      <c r="E1323" s="57" t="n">
        <v>2631.44</v>
      </c>
      <c r="F1323" s="57" t="n">
        <v>2.63144</v>
      </c>
      <c r="G1323" s="56" t="inlineStr">
        <is>
          <t>KG</t>
        </is>
      </c>
      <c r="H1323" s="56" t="inlineStr">
        <is>
          <t>TF01</t>
        </is>
      </c>
      <c r="I1323" s="56" t="inlineStr">
        <is>
          <t>4318</t>
        </is>
      </c>
      <c r="J1323" s="56" t="n"/>
      <c r="K1323" s="56" t="n"/>
      <c r="L1323" s="56" t="n"/>
      <c r="M1323" s="56" t="n"/>
      <c r="N1323" s="56" t="inlineStr">
        <is>
          <t>Rajsriya Automotive Ind Pvt Ltd.</t>
        </is>
      </c>
      <c r="O1323" s="56" t="n">
        <v>18</v>
      </c>
      <c r="P1323" s="59" t="inlineStr">
        <is>
          <t>0-30</t>
        </is>
      </c>
      <c r="Q1323" s="56" t="inlineStr">
        <is>
          <t>Apoorv</t>
        </is>
      </c>
      <c r="U1323" s="585" t="n">
        <v>1511515</v>
      </c>
      <c r="V1323" t="n">
        <v>42.7</v>
      </c>
      <c r="W1323" t="n">
        <v>0</v>
      </c>
      <c r="X1323" t="n">
        <v>4</v>
      </c>
      <c r="Y1323" t="n">
        <v>0.208</v>
      </c>
      <c r="Z1323" t="inlineStr"/>
      <c r="AA1323" t="inlineStr">
        <is>
          <t>FC</t>
        </is>
      </c>
      <c r="AB1323" t="inlineStr">
        <is>
          <t>BH</t>
        </is>
      </c>
      <c r="AC1323" t="inlineStr">
        <is>
          <t>42.7-0-4-ERW 1-FC</t>
        </is>
      </c>
      <c r="AD1323" t="inlineStr">
        <is>
          <t>CTL</t>
        </is>
      </c>
      <c r="AE1323" t="inlineStr">
        <is>
          <t>42.7-0-4-ERW 1-FC-0.208</t>
        </is>
      </c>
      <c r="AF1323" t="n">
        <v>0.7936583616</v>
      </c>
    </row>
    <row r="1324">
      <c r="A1324" s="56" t="n">
        <v>3682118</v>
      </c>
      <c r="B1324" s="56" t="inlineStr">
        <is>
          <t>TUB-O-N-AUT-AW-FC-57.15X2.300X6.9500</t>
        </is>
      </c>
      <c r="C1324" s="56" t="inlineStr">
        <is>
          <t>4C17A40030</t>
        </is>
      </c>
      <c r="D1324" s="56" t="n"/>
      <c r="E1324" s="57" t="n">
        <v>1926.96</v>
      </c>
      <c r="F1324" s="57" t="n">
        <v>1.92696</v>
      </c>
      <c r="G1324" s="56" t="inlineStr">
        <is>
          <t>KG</t>
        </is>
      </c>
      <c r="H1324" s="56" t="inlineStr">
        <is>
          <t>TF01</t>
        </is>
      </c>
      <c r="I1324" s="56" t="inlineStr">
        <is>
          <t>4318</t>
        </is>
      </c>
      <c r="J1324" s="56" t="n"/>
      <c r="K1324" s="56" t="n"/>
      <c r="L1324" s="56" t="n"/>
      <c r="M1324" s="56" t="n"/>
      <c r="N1324" s="56" t="inlineStr">
        <is>
          <t>Rajsriya Automotive Ind Pvt Ltd.</t>
        </is>
      </c>
      <c r="O1324" s="56" t="n">
        <v>18</v>
      </c>
      <c r="P1324" s="59" t="inlineStr">
        <is>
          <t>0-30</t>
        </is>
      </c>
      <c r="Q1324" s="56" t="inlineStr">
        <is>
          <t>Apoorv</t>
        </is>
      </c>
      <c r="U1324" s="585" t="n">
        <v>2422135</v>
      </c>
      <c r="V1324" t="n">
        <v>42.7</v>
      </c>
      <c r="W1324" t="n">
        <v>0</v>
      </c>
      <c r="X1324" t="n">
        <v>4</v>
      </c>
      <c r="Y1324" t="n">
        <v>0.208</v>
      </c>
      <c r="Z1324" t="inlineStr">
        <is>
          <t>KGR2</t>
        </is>
      </c>
      <c r="AA1324" t="inlineStr">
        <is>
          <t>FC</t>
        </is>
      </c>
      <c r="AB1324" t="inlineStr">
        <is>
          <t>AN</t>
        </is>
      </c>
      <c r="AC1324" t="inlineStr">
        <is>
          <t>42.7-0-4-ERW 1-FC</t>
        </is>
      </c>
      <c r="AD1324" t="inlineStr">
        <is>
          <t>CTL</t>
        </is>
      </c>
      <c r="AE1324" t="inlineStr">
        <is>
          <t>42.7-0-4-ERW 1-FC-0.208</t>
        </is>
      </c>
      <c r="AF1324" t="n">
        <v>0.7936583616</v>
      </c>
    </row>
    <row r="1325">
      <c r="A1325" s="56" t="n">
        <v>3682118</v>
      </c>
      <c r="B1325" s="56" t="inlineStr">
        <is>
          <t>TUB-O-N-AUT-AW-FC-57.15X2.300X6.9500</t>
        </is>
      </c>
      <c r="C1325" s="56" t="inlineStr">
        <is>
          <t>4C17A40010</t>
        </is>
      </c>
      <c r="D1325" s="56" t="n"/>
      <c r="E1325" s="57" t="n">
        <v>2631.44</v>
      </c>
      <c r="F1325" s="57" t="n">
        <v>2.63144</v>
      </c>
      <c r="G1325" s="56" t="inlineStr">
        <is>
          <t>KG</t>
        </is>
      </c>
      <c r="H1325" s="56" t="inlineStr">
        <is>
          <t>TF01</t>
        </is>
      </c>
      <c r="I1325" s="56" t="inlineStr">
        <is>
          <t>4318</t>
        </is>
      </c>
      <c r="J1325" s="56" t="n"/>
      <c r="K1325" s="56" t="n"/>
      <c r="L1325" s="56" t="n"/>
      <c r="M1325" s="56" t="n"/>
      <c r="N1325" s="56" t="inlineStr">
        <is>
          <t>Rajsriya Automotive Ind Pvt Ltd.</t>
        </is>
      </c>
      <c r="O1325" s="56" t="n">
        <v>18</v>
      </c>
      <c r="P1325" s="59" t="inlineStr">
        <is>
          <t>0-30</t>
        </is>
      </c>
      <c r="Q1325" s="56" t="inlineStr">
        <is>
          <t>Apoorv</t>
        </is>
      </c>
      <c r="U1325" s="585" t="n">
        <v>3784469</v>
      </c>
      <c r="V1325" t="n">
        <v>42.7</v>
      </c>
      <c r="W1325" t="n">
        <v>0</v>
      </c>
      <c r="X1325" t="n">
        <v>4</v>
      </c>
      <c r="Y1325" t="n">
        <v>0.208</v>
      </c>
      <c r="Z1325" t="inlineStr">
        <is>
          <t>NORMAL</t>
        </is>
      </c>
      <c r="AA1325" t="inlineStr">
        <is>
          <t>FC</t>
        </is>
      </c>
      <c r="AB1325" t="inlineStr">
        <is>
          <t>BH</t>
        </is>
      </c>
      <c r="AC1325" t="inlineStr">
        <is>
          <t>42.7-0-4-ERW 1-FC</t>
        </is>
      </c>
      <c r="AD1325" t="inlineStr">
        <is>
          <t>CTL</t>
        </is>
      </c>
      <c r="AE1325" t="inlineStr">
        <is>
          <t>42.7-0-4-ERW 1-FC-0.208</t>
        </is>
      </c>
      <c r="AF1325" t="n">
        <v>0.7936583616</v>
      </c>
    </row>
    <row r="1326">
      <c r="A1326" s="56" t="n">
        <v>3682118</v>
      </c>
      <c r="B1326" s="56" t="inlineStr">
        <is>
          <t>TUB-O-N-AUT-AW-FC-57.15X2.300X6.9500</t>
        </is>
      </c>
      <c r="C1326" s="56" t="inlineStr">
        <is>
          <t>4C16C40130</t>
        </is>
      </c>
      <c r="D1326" s="56" t="n"/>
      <c r="E1326" s="57" t="n">
        <v>2652.16</v>
      </c>
      <c r="F1326" s="57" t="n">
        <v>2.65216</v>
      </c>
      <c r="G1326" s="56" t="inlineStr">
        <is>
          <t>KG</t>
        </is>
      </c>
      <c r="H1326" s="56" t="inlineStr">
        <is>
          <t>TF01</t>
        </is>
      </c>
      <c r="I1326" s="56" t="inlineStr">
        <is>
          <t>4318</t>
        </is>
      </c>
      <c r="J1326" s="56" t="n"/>
      <c r="K1326" s="56" t="n"/>
      <c r="L1326" s="56" t="n"/>
      <c r="M1326" s="56" t="n"/>
      <c r="N1326" s="56" t="inlineStr">
        <is>
          <t>Rajsriya Automotive Ind Pvt Ltd.</t>
        </is>
      </c>
      <c r="O1326" s="56" t="n">
        <v>18</v>
      </c>
      <c r="P1326" s="59" t="inlineStr">
        <is>
          <t>0-30</t>
        </is>
      </c>
      <c r="Q1326" s="56" t="inlineStr">
        <is>
          <t>Apoorv</t>
        </is>
      </c>
      <c r="U1326" s="585" t="n">
        <v>3901714</v>
      </c>
      <c r="V1326" t="n">
        <v>42.7</v>
      </c>
      <c r="W1326" t="n">
        <v>0</v>
      </c>
      <c r="X1326" t="n">
        <v>4</v>
      </c>
      <c r="Y1326" t="n">
        <v>0.215</v>
      </c>
      <c r="Z1326" t="inlineStr">
        <is>
          <t>KGR2</t>
        </is>
      </c>
      <c r="AA1326" t="inlineStr">
        <is>
          <t>FC</t>
        </is>
      </c>
      <c r="AB1326" t="inlineStr">
        <is>
          <t>AN</t>
        </is>
      </c>
      <c r="AC1326" t="inlineStr">
        <is>
          <t>42.7-0-4-ERW 1-FC</t>
        </is>
      </c>
      <c r="AD1326" t="inlineStr">
        <is>
          <t>CTL</t>
        </is>
      </c>
      <c r="AE1326" t="inlineStr">
        <is>
          <t>42.7-0-4-ERW 1-FC-0.215</t>
        </is>
      </c>
      <c r="AF1326" t="n">
        <v>0.820368018</v>
      </c>
    </row>
    <row r="1327">
      <c r="A1327" s="56" t="n">
        <v>3682118</v>
      </c>
      <c r="B1327" s="56" t="inlineStr">
        <is>
          <t>TUB-O-N-AUT-AW-FC-57.15X2.300X6.9500</t>
        </is>
      </c>
      <c r="C1327" s="56" t="inlineStr">
        <is>
          <t>4C16C40120</t>
        </is>
      </c>
      <c r="D1327" s="56" t="n"/>
      <c r="E1327" s="57" t="n">
        <v>2631.44</v>
      </c>
      <c r="F1327" s="57" t="n">
        <v>2.63144</v>
      </c>
      <c r="G1327" s="56" t="inlineStr">
        <is>
          <t>KG</t>
        </is>
      </c>
      <c r="H1327" s="56" t="inlineStr">
        <is>
          <t>TF01</t>
        </is>
      </c>
      <c r="I1327" s="56" t="inlineStr">
        <is>
          <t>4318</t>
        </is>
      </c>
      <c r="J1327" s="56" t="n"/>
      <c r="K1327" s="56" t="n"/>
      <c r="L1327" s="56" t="n"/>
      <c r="M1327" s="56" t="n"/>
      <c r="N1327" s="56" t="inlineStr">
        <is>
          <t>Rajsriya Automotive Ind Pvt Ltd.</t>
        </is>
      </c>
      <c r="O1327" s="56" t="n">
        <v>18</v>
      </c>
      <c r="P1327" s="59" t="inlineStr">
        <is>
          <t>0-30</t>
        </is>
      </c>
      <c r="Q1327" s="56" t="inlineStr">
        <is>
          <t>Apoorv</t>
        </is>
      </c>
      <c r="U1327" s="585" t="n">
        <v>3187964</v>
      </c>
      <c r="V1327" t="n">
        <v>42.7</v>
      </c>
      <c r="W1327" t="n">
        <v>0</v>
      </c>
      <c r="X1327" t="n">
        <v>4</v>
      </c>
      <c r="Y1327" t="n">
        <v>0.219</v>
      </c>
      <c r="Z1327" t="inlineStr"/>
      <c r="AA1327" t="inlineStr">
        <is>
          <t>FC</t>
        </is>
      </c>
      <c r="AB1327" t="inlineStr">
        <is>
          <t>BH</t>
        </is>
      </c>
      <c r="AC1327" t="inlineStr">
        <is>
          <t>42.7-0-4-ERW 1-FC</t>
        </is>
      </c>
      <c r="AD1327" t="inlineStr">
        <is>
          <t>CTL</t>
        </is>
      </c>
      <c r="AE1327" t="inlineStr">
        <is>
          <t>42.7-0-4-ERW 1-FC-0.219</t>
        </is>
      </c>
      <c r="AF1327" t="n">
        <v>0.8356306788000001</v>
      </c>
    </row>
    <row r="1328">
      <c r="A1328" s="56" t="n">
        <v>3682118</v>
      </c>
      <c r="B1328" s="56" t="inlineStr">
        <is>
          <t>TUB-O-N-AUT-AW-FC-57.15X2.300X6.9500</t>
        </is>
      </c>
      <c r="C1328" s="56" t="inlineStr">
        <is>
          <t>4C16C40110</t>
        </is>
      </c>
      <c r="D1328" s="56" t="n"/>
      <c r="E1328" s="57" t="n">
        <v>2631.44</v>
      </c>
      <c r="F1328" s="57" t="n">
        <v>2.63144</v>
      </c>
      <c r="G1328" s="56" t="inlineStr">
        <is>
          <t>KG</t>
        </is>
      </c>
      <c r="H1328" s="56" t="inlineStr">
        <is>
          <t>TF01</t>
        </is>
      </c>
      <c r="I1328" s="56" t="inlineStr">
        <is>
          <t>4318</t>
        </is>
      </c>
      <c r="J1328" s="56" t="n"/>
      <c r="K1328" s="56" t="n"/>
      <c r="L1328" s="56" t="n"/>
      <c r="M1328" s="56" t="n"/>
      <c r="N1328" s="56" t="inlineStr">
        <is>
          <t>Rajsriya Automotive Ind Pvt Ltd.</t>
        </is>
      </c>
      <c r="O1328" s="56" t="n">
        <v>18</v>
      </c>
      <c r="P1328" s="59" t="inlineStr">
        <is>
          <t>0-30</t>
        </is>
      </c>
      <c r="Q1328" s="56" t="inlineStr">
        <is>
          <t>Apoorv</t>
        </is>
      </c>
      <c r="U1328" s="585" t="n">
        <v>1310732</v>
      </c>
      <c r="V1328" t="n">
        <v>42.7</v>
      </c>
      <c r="W1328" t="n">
        <v>0</v>
      </c>
      <c r="X1328" t="n">
        <v>4</v>
      </c>
      <c r="Y1328" t="n">
        <v>0.233</v>
      </c>
      <c r="Z1328" t="inlineStr"/>
      <c r="AA1328" t="inlineStr">
        <is>
          <t>FC</t>
        </is>
      </c>
      <c r="AB1328" t="inlineStr">
        <is>
          <t>NR</t>
        </is>
      </c>
      <c r="AC1328" t="inlineStr">
        <is>
          <t>42.7-0-4-ERW 1-FC</t>
        </is>
      </c>
      <c r="AD1328" t="inlineStr">
        <is>
          <t>CTL</t>
        </is>
      </c>
      <c r="AE1328" t="inlineStr">
        <is>
          <t>42.7-0-4-ERW 1-FC-0.233</t>
        </is>
      </c>
      <c r="AF1328" t="n">
        <v>0.8890499916000001</v>
      </c>
    </row>
    <row r="1329">
      <c r="A1329" s="56" t="n">
        <v>3682118</v>
      </c>
      <c r="B1329" s="56" t="inlineStr">
        <is>
          <t>TUB-O-N-AUT-AW-FC-57.15X2.300X6.9500</t>
        </is>
      </c>
      <c r="C1329" s="56" t="inlineStr">
        <is>
          <t>4C16C40100</t>
        </is>
      </c>
      <c r="D1329" s="56" t="n"/>
      <c r="E1329" s="57" t="n">
        <v>2631.44</v>
      </c>
      <c r="F1329" s="57" t="n">
        <v>2.63144</v>
      </c>
      <c r="G1329" s="56" t="inlineStr">
        <is>
          <t>KG</t>
        </is>
      </c>
      <c r="H1329" s="56" t="inlineStr">
        <is>
          <t>TF01</t>
        </is>
      </c>
      <c r="I1329" s="56" t="inlineStr">
        <is>
          <t>4318</t>
        </is>
      </c>
      <c r="J1329" s="56" t="n"/>
      <c r="K1329" s="56" t="n"/>
      <c r="L1329" s="56" t="n"/>
      <c r="M1329" s="56" t="n"/>
      <c r="N1329" s="56" t="inlineStr">
        <is>
          <t>Rajsriya Automotive Ind Pvt Ltd.</t>
        </is>
      </c>
      <c r="O1329" s="56" t="n">
        <v>18</v>
      </c>
      <c r="P1329" s="59" t="inlineStr">
        <is>
          <t>0-30</t>
        </is>
      </c>
      <c r="Q1329" s="56" t="inlineStr">
        <is>
          <t>Apoorv</t>
        </is>
      </c>
      <c r="U1329" s="585" t="n">
        <v>2428441</v>
      </c>
      <c r="V1329" t="n">
        <v>42.7</v>
      </c>
      <c r="W1329" t="n">
        <v>0</v>
      </c>
      <c r="X1329" t="n">
        <v>4</v>
      </c>
      <c r="Y1329" t="n">
        <v>0.235</v>
      </c>
      <c r="Z1329" t="inlineStr">
        <is>
          <t>KGR2</t>
        </is>
      </c>
      <c r="AA1329" t="inlineStr">
        <is>
          <t>FC</t>
        </is>
      </c>
      <c r="AB1329" t="inlineStr">
        <is>
          <t>AN</t>
        </is>
      </c>
      <c r="AC1329" t="inlineStr">
        <is>
          <t>42.7-0-4-ERW 1-FC</t>
        </is>
      </c>
      <c r="AD1329" t="inlineStr">
        <is>
          <t>CTL</t>
        </is>
      </c>
      <c r="AE1329" t="inlineStr">
        <is>
          <t>42.7-0-4-ERW 1-FC-0.235</t>
        </is>
      </c>
      <c r="AF1329" t="n">
        <v>0.8966813219999999</v>
      </c>
    </row>
    <row r="1330">
      <c r="A1330" s="56" t="n">
        <v>3682118</v>
      </c>
      <c r="B1330" s="56" t="inlineStr">
        <is>
          <t>TUB-O-N-AUT-AW-FC-57.15X2.300X6.9500</t>
        </is>
      </c>
      <c r="C1330" s="56" t="inlineStr">
        <is>
          <t>4C16C40090</t>
        </is>
      </c>
      <c r="D1330" s="56" t="n"/>
      <c r="E1330" s="57" t="n">
        <v>2631.44</v>
      </c>
      <c r="F1330" s="57" t="n">
        <v>2.63144</v>
      </c>
      <c r="G1330" s="56" t="inlineStr">
        <is>
          <t>KG</t>
        </is>
      </c>
      <c r="H1330" s="56" t="inlineStr">
        <is>
          <t>TF01</t>
        </is>
      </c>
      <c r="I1330" s="56" t="inlineStr">
        <is>
          <t>4318</t>
        </is>
      </c>
      <c r="J1330" s="56" t="n"/>
      <c r="K1330" s="56" t="n"/>
      <c r="L1330" s="56" t="n"/>
      <c r="M1330" s="56" t="n"/>
      <c r="N1330" s="56" t="inlineStr">
        <is>
          <t>Rajsriya Automotive Ind Pvt Ltd.</t>
        </is>
      </c>
      <c r="O1330" s="56" t="n">
        <v>18</v>
      </c>
      <c r="P1330" s="59" t="inlineStr">
        <is>
          <t>0-30</t>
        </is>
      </c>
      <c r="Q1330" s="56" t="inlineStr">
        <is>
          <t>Apoorv</t>
        </is>
      </c>
      <c r="U1330" s="585" t="n">
        <v>1399335</v>
      </c>
      <c r="V1330" t="n">
        <v>42.7</v>
      </c>
      <c r="W1330" t="n">
        <v>0</v>
      </c>
      <c r="X1330" t="n">
        <v>4</v>
      </c>
      <c r="Y1330" t="n">
        <v>0.235</v>
      </c>
      <c r="Z1330" t="inlineStr"/>
      <c r="AA1330" t="inlineStr">
        <is>
          <t>FC</t>
        </is>
      </c>
      <c r="AB1330" t="inlineStr">
        <is>
          <t>BH</t>
        </is>
      </c>
      <c r="AC1330" t="inlineStr">
        <is>
          <t>42.7-0-4-ERW 1-FC</t>
        </is>
      </c>
      <c r="AD1330" t="inlineStr">
        <is>
          <t>CTL</t>
        </is>
      </c>
      <c r="AE1330" t="inlineStr">
        <is>
          <t>42.7-0-4-ERW 1-FC-0.235</t>
        </is>
      </c>
      <c r="AF1330" t="n">
        <v>0.8966813219999999</v>
      </c>
    </row>
    <row r="1331">
      <c r="A1331" s="56" t="n">
        <v>3682118</v>
      </c>
      <c r="B1331" s="56" t="inlineStr">
        <is>
          <t>TUB-O-N-AUT-AW-FC-57.15X2.300X6.9500</t>
        </is>
      </c>
      <c r="C1331" s="56" t="inlineStr">
        <is>
          <t>4C16C40080</t>
        </is>
      </c>
      <c r="D1331" s="56" t="n"/>
      <c r="E1331" s="57" t="n">
        <v>2631.44</v>
      </c>
      <c r="F1331" s="57" t="n">
        <v>2.63144</v>
      </c>
      <c r="G1331" s="56" t="inlineStr">
        <is>
          <t>KG</t>
        </is>
      </c>
      <c r="H1331" s="56" t="inlineStr">
        <is>
          <t>TF01</t>
        </is>
      </c>
      <c r="I1331" s="56" t="inlineStr">
        <is>
          <t>4318</t>
        </is>
      </c>
      <c r="J1331" s="56" t="n"/>
      <c r="K1331" s="56" t="n"/>
      <c r="L1331" s="56" t="n"/>
      <c r="M1331" s="56" t="n"/>
      <c r="N1331" s="56" t="inlineStr">
        <is>
          <t>Rajsriya Automotive Ind Pvt Ltd.</t>
        </is>
      </c>
      <c r="O1331" s="56" t="n">
        <v>18</v>
      </c>
      <c r="P1331" s="59" t="inlineStr">
        <is>
          <t>0-30</t>
        </is>
      </c>
      <c r="Q1331" s="56" t="inlineStr">
        <is>
          <t>Apoorv</t>
        </is>
      </c>
      <c r="U1331" s="585" t="n">
        <v>1938358</v>
      </c>
      <c r="V1331" t="n">
        <v>42.7</v>
      </c>
      <c r="W1331" t="n">
        <v>0</v>
      </c>
      <c r="X1331" t="n">
        <v>4</v>
      </c>
      <c r="Y1331" t="n">
        <v>0.254</v>
      </c>
      <c r="Z1331" t="inlineStr">
        <is>
          <t>KGR2</t>
        </is>
      </c>
      <c r="AA1331" t="inlineStr">
        <is>
          <t>FC</t>
        </is>
      </c>
      <c r="AB1331" t="inlineStr">
        <is>
          <t>AN</t>
        </is>
      </c>
      <c r="AC1331" t="inlineStr">
        <is>
          <t>42.7-0-4-ERW 1-FC</t>
        </is>
      </c>
      <c r="AD1331" t="inlineStr">
        <is>
          <t>CTL</t>
        </is>
      </c>
      <c r="AE1331" t="inlineStr">
        <is>
          <t>42.7-0-4-ERW 1-FC-0.254</t>
        </is>
      </c>
      <c r="AF1331" t="n">
        <v>0.9691789608000001</v>
      </c>
    </row>
    <row r="1332">
      <c r="A1332" s="56" t="n">
        <v>3682118</v>
      </c>
      <c r="B1332" s="56" t="inlineStr">
        <is>
          <t>TUB-O-N-AUT-AW-FC-57.15X2.300X6.9500</t>
        </is>
      </c>
      <c r="C1332" s="56" t="inlineStr">
        <is>
          <t>4C16C40070</t>
        </is>
      </c>
      <c r="D1332" s="56" t="n"/>
      <c r="E1332" s="57" t="n">
        <v>2569.28</v>
      </c>
      <c r="F1332" s="57" t="n">
        <v>2.56928</v>
      </c>
      <c r="G1332" s="56" t="inlineStr">
        <is>
          <t>KG</t>
        </is>
      </c>
      <c r="H1332" s="56" t="inlineStr">
        <is>
          <t>TF01</t>
        </is>
      </c>
      <c r="I1332" s="56" t="inlineStr">
        <is>
          <t>4318</t>
        </is>
      </c>
      <c r="J1332" s="56" t="n"/>
      <c r="K1332" s="56" t="n"/>
      <c r="L1332" s="56" t="n"/>
      <c r="M1332" s="56" t="n"/>
      <c r="N1332" s="56" t="inlineStr">
        <is>
          <t>Rajsriya Automotive Ind Pvt Ltd.</t>
        </is>
      </c>
      <c r="O1332" s="56" t="n">
        <v>18</v>
      </c>
      <c r="P1332" s="59" t="inlineStr">
        <is>
          <t>0-30</t>
        </is>
      </c>
      <c r="Q1332" s="56" t="inlineStr">
        <is>
          <t>Apoorv</t>
        </is>
      </c>
      <c r="U1332" s="585" t="n">
        <v>1311453</v>
      </c>
      <c r="V1332" t="n">
        <v>42.7</v>
      </c>
      <c r="W1332" t="n">
        <v>0</v>
      </c>
      <c r="X1332" t="n">
        <v>4</v>
      </c>
      <c r="Y1332" t="n">
        <v>0.254</v>
      </c>
      <c r="Z1332" t="inlineStr"/>
      <c r="AA1332" t="inlineStr">
        <is>
          <t>FC</t>
        </is>
      </c>
      <c r="AB1332" t="inlineStr">
        <is>
          <t>NR</t>
        </is>
      </c>
      <c r="AC1332" t="inlineStr">
        <is>
          <t>42.7-0-4-ERW 1-FC</t>
        </is>
      </c>
      <c r="AD1332" t="inlineStr">
        <is>
          <t>CTL</t>
        </is>
      </c>
      <c r="AE1332" t="inlineStr">
        <is>
          <t>42.7-0-4-ERW 1-FC-0.254</t>
        </is>
      </c>
      <c r="AF1332" t="n">
        <v>0.9691789608000001</v>
      </c>
    </row>
    <row r="1333">
      <c r="A1333" s="56" t="n">
        <v>3682118</v>
      </c>
      <c r="B1333" s="56" t="inlineStr">
        <is>
          <t>TUB-O-N-AUT-AW-FC-57.15X2.300X6.9500</t>
        </is>
      </c>
      <c r="C1333" s="56" t="inlineStr">
        <is>
          <t>4C16C40060</t>
        </is>
      </c>
      <c r="D1333" s="56" t="n"/>
      <c r="E1333" s="57" t="n">
        <v>2631.44</v>
      </c>
      <c r="F1333" s="57" t="n">
        <v>2.63144</v>
      </c>
      <c r="G1333" s="56" t="inlineStr">
        <is>
          <t>KG</t>
        </is>
      </c>
      <c r="H1333" s="56" t="inlineStr">
        <is>
          <t>TF01</t>
        </is>
      </c>
      <c r="I1333" s="56" t="inlineStr">
        <is>
          <t>4318</t>
        </is>
      </c>
      <c r="J1333" s="56" t="n"/>
      <c r="K1333" s="56" t="n"/>
      <c r="L1333" s="56" t="n"/>
      <c r="M1333" s="56" t="n"/>
      <c r="N1333" s="56" t="inlineStr">
        <is>
          <t>Rajsriya Automotive Ind Pvt Ltd.</t>
        </is>
      </c>
      <c r="O1333" s="56" t="n">
        <v>18</v>
      </c>
      <c r="P1333" s="59" t="inlineStr">
        <is>
          <t>0-30</t>
        </is>
      </c>
      <c r="Q1333" s="56" t="inlineStr">
        <is>
          <t>Apoorv</t>
        </is>
      </c>
      <c r="U1333" s="585" t="n">
        <v>3439767</v>
      </c>
      <c r="V1333" t="n">
        <v>42.7</v>
      </c>
      <c r="W1333" t="n">
        <v>0</v>
      </c>
      <c r="X1333" t="n">
        <v>4</v>
      </c>
      <c r="Y1333" t="n">
        <v>0.266</v>
      </c>
      <c r="Z1333" t="inlineStr">
        <is>
          <t>KGR2</t>
        </is>
      </c>
      <c r="AA1333" t="inlineStr">
        <is>
          <t>FC</t>
        </is>
      </c>
      <c r="AB1333" t="inlineStr">
        <is>
          <t>AN</t>
        </is>
      </c>
      <c r="AC1333" t="inlineStr">
        <is>
          <t>42.7-0-4-ERW 1-FC</t>
        </is>
      </c>
      <c r="AD1333" t="inlineStr">
        <is>
          <t>CTL</t>
        </is>
      </c>
      <c r="AE1333" t="inlineStr">
        <is>
          <t>42.7-0-4-ERW 1-FC-0.266</t>
        </is>
      </c>
      <c r="AF1333" t="n">
        <v>1.0149669432</v>
      </c>
    </row>
    <row r="1334">
      <c r="A1334" s="56" t="n">
        <v>3682118</v>
      </c>
      <c r="B1334" s="56" t="inlineStr">
        <is>
          <t>TUB-O-N-AUT-AW-FC-57.15X2.300X6.9500</t>
        </is>
      </c>
      <c r="C1334" s="56" t="inlineStr">
        <is>
          <t>4C16C40050</t>
        </is>
      </c>
      <c r="D1334" s="56" t="n"/>
      <c r="E1334" s="57" t="n">
        <v>2631.44</v>
      </c>
      <c r="F1334" s="57" t="n">
        <v>2.63144</v>
      </c>
      <c r="G1334" s="56" t="inlineStr">
        <is>
          <t>KG</t>
        </is>
      </c>
      <c r="H1334" s="56" t="inlineStr">
        <is>
          <t>TF01</t>
        </is>
      </c>
      <c r="I1334" s="56" t="inlineStr">
        <is>
          <t>4318</t>
        </is>
      </c>
      <c r="J1334" s="56" t="n"/>
      <c r="K1334" s="56" t="n"/>
      <c r="L1334" s="56" t="n"/>
      <c r="M1334" s="56" t="n"/>
      <c r="N1334" s="56" t="inlineStr">
        <is>
          <t>Rajsriya Automotive Ind Pvt Ltd.</t>
        </is>
      </c>
      <c r="O1334" s="56" t="n">
        <v>18</v>
      </c>
      <c r="P1334" s="59" t="inlineStr">
        <is>
          <t>0-30</t>
        </is>
      </c>
      <c r="Q1334" s="56" t="inlineStr">
        <is>
          <t>Apoorv</t>
        </is>
      </c>
      <c r="U1334" s="585" t="n">
        <v>3499121</v>
      </c>
      <c r="V1334" t="n">
        <v>42.7</v>
      </c>
      <c r="W1334" t="n">
        <v>0</v>
      </c>
      <c r="X1334" t="n">
        <v>4</v>
      </c>
      <c r="Y1334" t="n">
        <v>0.29</v>
      </c>
      <c r="Z1334" t="inlineStr"/>
      <c r="AA1334" t="inlineStr">
        <is>
          <t>FC</t>
        </is>
      </c>
      <c r="AB1334" t="inlineStr">
        <is>
          <t>BH</t>
        </is>
      </c>
      <c r="AC1334" t="inlineStr">
        <is>
          <t>42.7-0-4-ERW 1-FC-Ampere</t>
        </is>
      </c>
      <c r="AD1334" t="inlineStr">
        <is>
          <t>CTL</t>
        </is>
      </c>
      <c r="AE1334" t="inlineStr">
        <is>
          <t>42.7-0-4-ERW 1-FC-Ampere-0.29</t>
        </is>
      </c>
      <c r="AF1334" t="n">
        <v>1.106542908</v>
      </c>
    </row>
    <row r="1335">
      <c r="A1335" s="56" t="n">
        <v>3682118</v>
      </c>
      <c r="B1335" s="56" t="inlineStr">
        <is>
          <t>TUB-O-N-AUT-AW-FC-57.15X2.300X6.9500</t>
        </is>
      </c>
      <c r="C1335" s="56" t="inlineStr">
        <is>
          <t>4C16C40040</t>
        </is>
      </c>
      <c r="D1335" s="56" t="n"/>
      <c r="E1335" s="57" t="n">
        <v>2631.44</v>
      </c>
      <c r="F1335" s="57" t="n">
        <v>2.63144</v>
      </c>
      <c r="G1335" s="56" t="inlineStr">
        <is>
          <t>KG</t>
        </is>
      </c>
      <c r="H1335" s="56" t="inlineStr">
        <is>
          <t>TF01</t>
        </is>
      </c>
      <c r="I1335" s="56" t="inlineStr">
        <is>
          <t>4318</t>
        </is>
      </c>
      <c r="J1335" s="56" t="n"/>
      <c r="K1335" s="56" t="n"/>
      <c r="L1335" s="56" t="n"/>
      <c r="M1335" s="56" t="n"/>
      <c r="N1335" s="56" t="inlineStr">
        <is>
          <t>Rajsriya Automotive Ind Pvt Ltd.</t>
        </is>
      </c>
      <c r="O1335" s="56" t="n">
        <v>13</v>
      </c>
      <c r="P1335" s="59" t="inlineStr">
        <is>
          <t>0-30</t>
        </is>
      </c>
      <c r="Q1335" s="56" t="inlineStr">
        <is>
          <t>Apoorv</t>
        </is>
      </c>
      <c r="U1335" t="n">
        <v>3781701</v>
      </c>
      <c r="V1335" t="n">
        <v>42.7</v>
      </c>
      <c r="W1335" t="n">
        <v>0</v>
      </c>
      <c r="X1335" t="n">
        <v>4</v>
      </c>
      <c r="Y1335" t="n">
        <v>0.29</v>
      </c>
      <c r="Z1335" t="inlineStr">
        <is>
          <t>TPT</t>
        </is>
      </c>
      <c r="AA1335" t="inlineStr">
        <is>
          <t>FC</t>
        </is>
      </c>
      <c r="AB1335" t="inlineStr">
        <is>
          <t>BH</t>
        </is>
      </c>
      <c r="AC1335" t="inlineStr">
        <is>
          <t>42.7-0-4-ERW 1-FC</t>
        </is>
      </c>
      <c r="AD1335" t="inlineStr">
        <is>
          <t>CTL</t>
        </is>
      </c>
      <c r="AE1335" t="inlineStr">
        <is>
          <t>42.7-0-4-ERW 1-FC-0.29</t>
        </is>
      </c>
      <c r="AF1335" t="n">
        <v>1.106542908</v>
      </c>
    </row>
    <row r="1336">
      <c r="A1336" s="56" t="n">
        <v>3682118</v>
      </c>
      <c r="B1336" s="56" t="inlineStr">
        <is>
          <t>TUB-O-N-AUT-AW-FC-57.15X2.300X6.9500</t>
        </is>
      </c>
      <c r="C1336" s="56" t="inlineStr">
        <is>
          <t>4C16C40010</t>
        </is>
      </c>
      <c r="D1336" s="56" t="n"/>
      <c r="E1336" s="57" t="n">
        <v>2631.44</v>
      </c>
      <c r="F1336" s="57" t="n">
        <v>2.63144</v>
      </c>
      <c r="G1336" s="56" t="inlineStr">
        <is>
          <t>KG</t>
        </is>
      </c>
      <c r="H1336" s="56" t="inlineStr">
        <is>
          <t>TF01</t>
        </is>
      </c>
      <c r="I1336" s="56" t="inlineStr">
        <is>
          <t>4318</t>
        </is>
      </c>
      <c r="J1336" s="56" t="n"/>
      <c r="K1336" s="56" t="n"/>
      <c r="L1336" s="56" t="n"/>
      <c r="M1336" s="56" t="n"/>
      <c r="N1336" s="56" t="inlineStr">
        <is>
          <t>Rajsriya Automotive Ind Pvt Ltd.</t>
        </is>
      </c>
      <c r="O1336" s="56" t="n">
        <v>13</v>
      </c>
      <c r="P1336" s="59" t="inlineStr">
        <is>
          <t>0-30</t>
        </is>
      </c>
      <c r="Q1336" s="56" t="inlineStr">
        <is>
          <t>Apoorv</t>
        </is>
      </c>
      <c r="U1336" t="n">
        <v>4071780</v>
      </c>
      <c r="V1336" t="n">
        <v>42.7</v>
      </c>
      <c r="W1336" t="n">
        <v>0</v>
      </c>
      <c r="X1336" t="n">
        <v>4</v>
      </c>
      <c r="Y1336" t="n">
        <v>1.11</v>
      </c>
      <c r="Z1336" t="inlineStr">
        <is>
          <t>NORMAL</t>
        </is>
      </c>
      <c r="AA1336" t="inlineStr">
        <is>
          <t>FC</t>
        </is>
      </c>
      <c r="AB1336" t="inlineStr">
        <is>
          <t>BH</t>
        </is>
      </c>
      <c r="AC1336" t="inlineStr">
        <is>
          <t>42.7-0-4-ERW 1-FC</t>
        </is>
      </c>
      <c r="AD1336" t="inlineStr">
        <is>
          <t>CTL</t>
        </is>
      </c>
      <c r="AE1336" t="inlineStr">
        <is>
          <t>42.7-0-4-ERW 1-FC-1.11</t>
        </is>
      </c>
      <c r="AF1336" t="n">
        <v>4.235388372000001</v>
      </c>
    </row>
    <row r="1337">
      <c r="A1337" s="56" t="n">
        <v>3682118</v>
      </c>
      <c r="B1337" s="56" t="inlineStr">
        <is>
          <t>TUB-O-N-AUT-AW-FC-57.15X2.300X6.9500</t>
        </is>
      </c>
      <c r="C1337" s="56" t="inlineStr">
        <is>
          <t>4C16B40110</t>
        </is>
      </c>
      <c r="D1337" s="56" t="n"/>
      <c r="E1337" s="57" t="n">
        <v>2631.44</v>
      </c>
      <c r="F1337" s="57" t="n">
        <v>2.63144</v>
      </c>
      <c r="G1337" s="56" t="inlineStr">
        <is>
          <t>KG</t>
        </is>
      </c>
      <c r="H1337" s="56" t="inlineStr">
        <is>
          <t>TF01</t>
        </is>
      </c>
      <c r="I1337" s="56" t="inlineStr">
        <is>
          <t>4318</t>
        </is>
      </c>
      <c r="J1337" s="56" t="n"/>
      <c r="K1337" s="56" t="n"/>
      <c r="L1337" s="56" t="n"/>
      <c r="M1337" s="56" t="n"/>
      <c r="N1337" s="56" t="inlineStr">
        <is>
          <t>Rajsriya Automotive Ind Pvt Ltd.</t>
        </is>
      </c>
      <c r="O1337" s="56" t="n">
        <v>18</v>
      </c>
      <c r="P1337" s="59" t="inlineStr">
        <is>
          <t>0-30</t>
        </is>
      </c>
      <c r="Q1337" s="56" t="inlineStr">
        <is>
          <t>Apoorv</t>
        </is>
      </c>
      <c r="U1337" s="585" t="n">
        <v>3500714</v>
      </c>
      <c r="V1337" t="n">
        <v>42.7</v>
      </c>
      <c r="W1337" t="n">
        <v>0</v>
      </c>
      <c r="X1337" t="n">
        <v>4</v>
      </c>
      <c r="Y1337" t="n">
        <v>5.5</v>
      </c>
      <c r="Z1337" t="inlineStr">
        <is>
          <t>KGR2</t>
        </is>
      </c>
      <c r="AA1337" t="inlineStr">
        <is>
          <t>FC</t>
        </is>
      </c>
      <c r="AB1337" t="inlineStr">
        <is>
          <t>BH</t>
        </is>
      </c>
      <c r="AC1337" t="inlineStr">
        <is>
          <t>42.7-0-4-ERW 1-FC</t>
        </is>
      </c>
      <c r="AD1337" t="inlineStr">
        <is>
          <t>LL</t>
        </is>
      </c>
      <c r="AE1337" t="inlineStr">
        <is>
          <t>42.7-0-4-ERW 1-FC-1</t>
        </is>
      </c>
      <c r="AF1337" t="n">
        <v>3.8156652</v>
      </c>
    </row>
    <row r="1338">
      <c r="A1338" s="56" t="n">
        <v>3682118</v>
      </c>
      <c r="B1338" s="56" t="inlineStr">
        <is>
          <t>TUB-O-N-AUT-AW-FC-57.15X2.300X6.9500</t>
        </is>
      </c>
      <c r="C1338" s="56" t="inlineStr">
        <is>
          <t>4C16B40100</t>
        </is>
      </c>
      <c r="D1338" s="56" t="n"/>
      <c r="E1338" s="57" t="n">
        <v>2631.44</v>
      </c>
      <c r="F1338" s="57" t="n">
        <v>2.63144</v>
      </c>
      <c r="G1338" s="56" t="inlineStr">
        <is>
          <t>KG</t>
        </is>
      </c>
      <c r="H1338" s="56" t="inlineStr">
        <is>
          <t>TF01</t>
        </is>
      </c>
      <c r="I1338" s="56" t="inlineStr">
        <is>
          <t>4318</t>
        </is>
      </c>
      <c r="J1338" s="56" t="n"/>
      <c r="K1338" s="56" t="n"/>
      <c r="L1338" s="56" t="n"/>
      <c r="M1338" s="56" t="n"/>
      <c r="N1338" s="56" t="inlineStr">
        <is>
          <t>Rajsriya Automotive Ind Pvt Ltd.</t>
        </is>
      </c>
      <c r="O1338" s="56" t="n">
        <v>13</v>
      </c>
      <c r="P1338" s="59" t="inlineStr">
        <is>
          <t>0-30</t>
        </is>
      </c>
      <c r="Q1338" s="56" t="inlineStr">
        <is>
          <t>Apoorv</t>
        </is>
      </c>
      <c r="U1338" s="585" t="n">
        <v>2426233</v>
      </c>
      <c r="V1338" t="n">
        <v>42.7</v>
      </c>
      <c r="W1338" t="n">
        <v>0</v>
      </c>
      <c r="X1338" t="n">
        <v>4</v>
      </c>
      <c r="Y1338" t="n">
        <v>5.73</v>
      </c>
      <c r="Z1338" t="inlineStr">
        <is>
          <t>KGR2</t>
        </is>
      </c>
      <c r="AA1338" t="inlineStr">
        <is>
          <t>FC</t>
        </is>
      </c>
      <c r="AB1338" t="inlineStr">
        <is>
          <t>AN</t>
        </is>
      </c>
      <c r="AC1338" t="inlineStr">
        <is>
          <t>42.7-0-4-ERW 1-FC</t>
        </is>
      </c>
      <c r="AD1338" t="inlineStr">
        <is>
          <t>LL</t>
        </is>
      </c>
      <c r="AE1338" t="inlineStr">
        <is>
          <t>42.7-0-4-ERW 1-FC-1</t>
        </is>
      </c>
      <c r="AF1338" t="n">
        <v>3.8156652</v>
      </c>
    </row>
    <row r="1339">
      <c r="A1339" s="56" t="n">
        <v>3682118</v>
      </c>
      <c r="B1339" s="56" t="inlineStr">
        <is>
          <t>TUB-O-N-AUT-AW-FC-57.15X2.300X6.9500</t>
        </is>
      </c>
      <c r="C1339" s="56" t="inlineStr">
        <is>
          <t>4C16B40060</t>
        </is>
      </c>
      <c r="D1339" s="56" t="n"/>
      <c r="E1339" s="57" t="n">
        <v>2631.44</v>
      </c>
      <c r="F1339" s="57" t="n">
        <v>2.63144</v>
      </c>
      <c r="G1339" s="56" t="inlineStr">
        <is>
          <t>KG</t>
        </is>
      </c>
      <c r="H1339" s="56" t="inlineStr">
        <is>
          <t>TF01</t>
        </is>
      </c>
      <c r="I1339" s="56" t="inlineStr">
        <is>
          <t>4318</t>
        </is>
      </c>
      <c r="J1339" s="56" t="n"/>
      <c r="K1339" s="56" t="n"/>
      <c r="L1339" s="56" t="n"/>
      <c r="M1339" s="56" t="n"/>
      <c r="N1339" s="56" t="inlineStr">
        <is>
          <t>Rajsriya Automotive Ind Pvt Ltd.</t>
        </is>
      </c>
      <c r="O1339" s="56" t="n">
        <v>18</v>
      </c>
      <c r="P1339" s="59" t="inlineStr">
        <is>
          <t>0-30</t>
        </is>
      </c>
      <c r="Q1339" s="56" t="inlineStr">
        <is>
          <t>Apoorv</t>
        </is>
      </c>
      <c r="U1339" s="585" t="n">
        <v>3501985</v>
      </c>
      <c r="V1339" t="n">
        <v>42.7</v>
      </c>
      <c r="W1339" t="n">
        <v>0</v>
      </c>
      <c r="X1339" t="n">
        <v>4</v>
      </c>
      <c r="Y1339" t="n">
        <v>6</v>
      </c>
      <c r="Z1339" t="inlineStr"/>
      <c r="AA1339" t="inlineStr">
        <is>
          <t>FC</t>
        </is>
      </c>
      <c r="AB1339" t="inlineStr">
        <is>
          <t>BH</t>
        </is>
      </c>
      <c r="AC1339" t="inlineStr">
        <is>
          <t>42.7-0-4-ERW 1-FC</t>
        </is>
      </c>
      <c r="AD1339" t="inlineStr">
        <is>
          <t>LL</t>
        </is>
      </c>
      <c r="AE1339" t="inlineStr">
        <is>
          <t>42.7-0-4-ERW 1-FC-1</t>
        </is>
      </c>
      <c r="AF1339" t="n">
        <v>3.8156652</v>
      </c>
    </row>
    <row r="1340">
      <c r="A1340" s="56" t="n">
        <v>3682118</v>
      </c>
      <c r="B1340" s="56" t="inlineStr">
        <is>
          <t>TUB-O-N-AUT-AW-FC-57.15X2.300X6.9500</t>
        </is>
      </c>
      <c r="C1340" s="56" t="inlineStr">
        <is>
          <t>4C16B40050</t>
        </is>
      </c>
      <c r="D1340" s="56" t="n"/>
      <c r="E1340" s="57" t="n">
        <v>2631.44</v>
      </c>
      <c r="F1340" s="57" t="n">
        <v>2.63144</v>
      </c>
      <c r="G1340" s="56" t="inlineStr">
        <is>
          <t>KG</t>
        </is>
      </c>
      <c r="H1340" s="56" t="inlineStr">
        <is>
          <t>TF01</t>
        </is>
      </c>
      <c r="I1340" s="56" t="inlineStr">
        <is>
          <t>4318</t>
        </is>
      </c>
      <c r="J1340" s="56" t="n"/>
      <c r="K1340" s="56" t="n"/>
      <c r="L1340" s="56" t="n"/>
      <c r="M1340" s="56" t="n"/>
      <c r="N1340" s="56" t="inlineStr">
        <is>
          <t>Rajsriya Automotive Ind Pvt Ltd.</t>
        </is>
      </c>
      <c r="O1340" s="56" t="n">
        <v>18</v>
      </c>
      <c r="P1340" s="59" t="inlineStr">
        <is>
          <t>0-30</t>
        </is>
      </c>
      <c r="Q1340" s="56" t="inlineStr">
        <is>
          <t>Apoorv</t>
        </is>
      </c>
      <c r="U1340" s="585" t="n">
        <v>1490699</v>
      </c>
      <c r="V1340" t="n">
        <v>45</v>
      </c>
      <c r="W1340" t="n">
        <v>0</v>
      </c>
      <c r="X1340" t="n">
        <v>1.4</v>
      </c>
      <c r="Y1340" t="n">
        <v>1.06</v>
      </c>
      <c r="Z1340" t="inlineStr"/>
      <c r="AA1340" t="inlineStr">
        <is>
          <t>FC</t>
        </is>
      </c>
      <c r="AB1340" t="inlineStr">
        <is>
          <t>AW</t>
        </is>
      </c>
      <c r="AC1340" t="inlineStr">
        <is>
          <t>45--1.4-ERW 2-FIN CUT</t>
        </is>
      </c>
      <c r="AD1340" t="inlineStr">
        <is>
          <t>CTL</t>
        </is>
      </c>
      <c r="AE1340" t="inlineStr">
        <is>
          <t>45--1.4-ERW 2-FIN CUT-1.06</t>
        </is>
      </c>
      <c r="AF1340" t="n">
        <v>1.5948494576</v>
      </c>
    </row>
    <row r="1341">
      <c r="A1341" s="56" t="n">
        <v>3682118</v>
      </c>
      <c r="B1341" s="56" t="inlineStr">
        <is>
          <t>TUB-O-N-AUT-AW-FC-57.15X2.300X6.9500</t>
        </is>
      </c>
      <c r="C1341" s="56" t="inlineStr">
        <is>
          <t>4C16B40040</t>
        </is>
      </c>
      <c r="D1341" s="56" t="n"/>
      <c r="E1341" s="57" t="n">
        <v>2631.44</v>
      </c>
      <c r="F1341" s="57" t="n">
        <v>2.63144</v>
      </c>
      <c r="G1341" s="56" t="inlineStr">
        <is>
          <t>KG</t>
        </is>
      </c>
      <c r="H1341" s="56" t="inlineStr">
        <is>
          <t>TF01</t>
        </is>
      </c>
      <c r="I1341" s="56" t="inlineStr">
        <is>
          <t>4318</t>
        </is>
      </c>
      <c r="J1341" s="56" t="n"/>
      <c r="K1341" s="56" t="n"/>
      <c r="L1341" s="56" t="n"/>
      <c r="M1341" s="56" t="n"/>
      <c r="N1341" s="56" t="inlineStr">
        <is>
          <t>Rajsriya Automotive Ind Pvt Ltd.</t>
        </is>
      </c>
      <c r="O1341" s="56" t="n">
        <v>18</v>
      </c>
      <c r="P1341" s="59" t="inlineStr">
        <is>
          <t>0-30</t>
        </is>
      </c>
      <c r="Q1341" s="56" t="inlineStr">
        <is>
          <t>Apoorv</t>
        </is>
      </c>
      <c r="U1341" s="585" t="n">
        <v>2420077</v>
      </c>
      <c r="V1341" t="n">
        <v>45</v>
      </c>
      <c r="W1341" t="n">
        <v>0</v>
      </c>
      <c r="X1341" t="n">
        <v>1.4</v>
      </c>
      <c r="Y1341" t="n">
        <v>5.375</v>
      </c>
      <c r="Z1341" t="inlineStr">
        <is>
          <t>SAE1020</t>
        </is>
      </c>
      <c r="AA1341" t="inlineStr">
        <is>
          <t>FC</t>
        </is>
      </c>
      <c r="AB1341" t="inlineStr">
        <is>
          <t>AW</t>
        </is>
      </c>
      <c r="AC1341" t="inlineStr">
        <is>
          <t>45--1.4-ERW 2-FIN CUT</t>
        </is>
      </c>
      <c r="AD1341" t="inlineStr">
        <is>
          <t>LL</t>
        </is>
      </c>
      <c r="AE1341" t="inlineStr">
        <is>
          <t>45--1.4-ERW 2-FIN CUT-1</t>
        </is>
      </c>
      <c r="AF1341" t="n">
        <v>1.50457496</v>
      </c>
    </row>
    <row r="1342">
      <c r="A1342" s="56" t="n">
        <v>3682118</v>
      </c>
      <c r="B1342" s="56" t="inlineStr">
        <is>
          <t>TUB-O-N-AUT-AW-FC-57.15X2.300X6.9500</t>
        </is>
      </c>
      <c r="C1342" s="56" t="inlineStr">
        <is>
          <t>4B16B40010</t>
        </is>
      </c>
      <c r="D1342" s="56" t="n"/>
      <c r="E1342" s="57" t="n">
        <v>1036</v>
      </c>
      <c r="F1342" s="57" t="n">
        <v>1.036</v>
      </c>
      <c r="G1342" s="56" t="inlineStr">
        <is>
          <t>KG</t>
        </is>
      </c>
      <c r="H1342" s="56" t="inlineStr">
        <is>
          <t>TF01</t>
        </is>
      </c>
      <c r="I1342" s="56" t="inlineStr">
        <is>
          <t>4318</t>
        </is>
      </c>
      <c r="J1342" s="56" t="n"/>
      <c r="K1342" s="56" t="n"/>
      <c r="L1342" s="56" t="n"/>
      <c r="M1342" s="56" t="n"/>
      <c r="N1342" s="56" t="inlineStr">
        <is>
          <t>Rajsriya Automotive Ind Pvt Ltd.</t>
        </is>
      </c>
      <c r="O1342" s="56" t="n">
        <v>18</v>
      </c>
      <c r="P1342" s="59" t="inlineStr">
        <is>
          <t>0-30</t>
        </is>
      </c>
      <c r="Q1342" s="56" t="inlineStr">
        <is>
          <t>Apoorv</t>
        </is>
      </c>
      <c r="U1342" s="585" t="n">
        <v>3545558</v>
      </c>
      <c r="V1342" t="n">
        <v>45</v>
      </c>
      <c r="W1342" t="n">
        <v>0</v>
      </c>
      <c r="X1342" t="n">
        <v>1.4</v>
      </c>
      <c r="Y1342" t="n">
        <v>5.7</v>
      </c>
      <c r="Z1342" t="inlineStr"/>
      <c r="AA1342" t="inlineStr">
        <is>
          <t>FC</t>
        </is>
      </c>
      <c r="AB1342" t="inlineStr">
        <is>
          <t>AW</t>
        </is>
      </c>
      <c r="AC1342" t="inlineStr">
        <is>
          <t>45--1.4-ERW 1-FIN CUT</t>
        </is>
      </c>
      <c r="AD1342" t="inlineStr">
        <is>
          <t>LL</t>
        </is>
      </c>
      <c r="AE1342" t="inlineStr">
        <is>
          <t>45--1.4-ERW 1-FIN CUT-1</t>
        </is>
      </c>
      <c r="AF1342" t="n">
        <v>1.50457496</v>
      </c>
    </row>
    <row r="1343">
      <c r="A1343" s="56" t="n">
        <v>3682118</v>
      </c>
      <c r="B1343" s="56" t="inlineStr">
        <is>
          <t>TUB-O-N-AUT-AW-FC-57.15X2.300X6.9500</t>
        </is>
      </c>
      <c r="C1343" s="56" t="inlineStr">
        <is>
          <t>4B07C40150</t>
        </is>
      </c>
      <c r="D1343" s="56" t="n"/>
      <c r="E1343" s="57" t="n">
        <v>2610.72</v>
      </c>
      <c r="F1343" s="57" t="n">
        <v>2.61072</v>
      </c>
      <c r="G1343" s="56" t="inlineStr">
        <is>
          <t>KG</t>
        </is>
      </c>
      <c r="H1343" s="56" t="inlineStr">
        <is>
          <t>TF01</t>
        </is>
      </c>
      <c r="I1343" s="56" t="inlineStr">
        <is>
          <t>4318</t>
        </is>
      </c>
      <c r="J1343" s="56" t="n"/>
      <c r="K1343" s="56" t="n"/>
      <c r="L1343" s="56" t="n"/>
      <c r="M1343" s="56" t="n"/>
      <c r="N1343" s="56" t="inlineStr">
        <is>
          <t>Rajsriya Automotive Ind Pvt Ltd.</t>
        </is>
      </c>
      <c r="O1343" s="56" t="n">
        <v>18</v>
      </c>
      <c r="P1343" s="59" t="inlineStr">
        <is>
          <t>0-30</t>
        </is>
      </c>
      <c r="Q1343" s="56" t="inlineStr">
        <is>
          <t>Apoorv</t>
        </is>
      </c>
      <c r="U1343" s="585" t="n">
        <v>3514971</v>
      </c>
      <c r="V1343" t="n">
        <v>45</v>
      </c>
      <c r="W1343" t="n">
        <v>0</v>
      </c>
      <c r="X1343" t="n">
        <v>1.4</v>
      </c>
      <c r="Y1343" t="n">
        <v>6.4</v>
      </c>
      <c r="Z1343" t="inlineStr"/>
      <c r="AA1343" t="inlineStr">
        <is>
          <t>FC</t>
        </is>
      </c>
      <c r="AB1343" t="inlineStr">
        <is>
          <t>AW</t>
        </is>
      </c>
      <c r="AC1343" t="inlineStr">
        <is>
          <t>45--1.4-ERW 2-FIN CUT</t>
        </is>
      </c>
      <c r="AD1343" t="inlineStr">
        <is>
          <t>LL</t>
        </is>
      </c>
      <c r="AE1343" t="inlineStr">
        <is>
          <t>45--1.4-ERW 2-FIN CUT-1</t>
        </is>
      </c>
      <c r="AF1343" t="n">
        <v>1.50457496</v>
      </c>
    </row>
    <row r="1344">
      <c r="A1344" s="56" t="n">
        <v>3682122</v>
      </c>
      <c r="B1344" s="56" t="inlineStr">
        <is>
          <t>TUB-O-N-AUT-AW-FC-31.75X1.200X6.1500</t>
        </is>
      </c>
      <c r="C1344" s="56" t="inlineStr">
        <is>
          <t>4C20C20130</t>
        </is>
      </c>
      <c r="D1344" s="56" t="n"/>
      <c r="E1344" s="57" t="n">
        <v>1159.764</v>
      </c>
      <c r="F1344" s="57" t="n">
        <v>1.159764</v>
      </c>
      <c r="G1344" s="56" t="inlineStr">
        <is>
          <t>KG</t>
        </is>
      </c>
      <c r="H1344" s="56" t="inlineStr">
        <is>
          <t>TF01</t>
        </is>
      </c>
      <c r="I1344" s="56" t="inlineStr">
        <is>
          <t>4318</t>
        </is>
      </c>
      <c r="J1344" s="56" t="n"/>
      <c r="K1344" s="56" t="n"/>
      <c r="L1344" s="56" t="n"/>
      <c r="M1344" s="56" t="n"/>
      <c r="N1344" s="56" t="inlineStr">
        <is>
          <t>SANDHAR ENGINEERING PVT LTD.(KA) -U</t>
        </is>
      </c>
      <c r="O1344" s="56" t="n">
        <v>14</v>
      </c>
      <c r="P1344" s="59" t="inlineStr">
        <is>
          <t>0-30</t>
        </is>
      </c>
      <c r="Q1344" s="56" t="inlineStr">
        <is>
          <t>Jitendra Kumar Sharma</t>
        </is>
      </c>
      <c r="U1344" s="585" t="n">
        <v>3502343</v>
      </c>
      <c r="V1344" t="n">
        <v>45</v>
      </c>
      <c r="W1344" t="n">
        <v>0</v>
      </c>
      <c r="X1344" t="n">
        <v>1.4</v>
      </c>
      <c r="Y1344" t="n">
        <v>6.42</v>
      </c>
      <c r="Z1344" t="inlineStr"/>
      <c r="AA1344" t="inlineStr">
        <is>
          <t>FC</t>
        </is>
      </c>
      <c r="AB1344" t="inlineStr">
        <is>
          <t>AW</t>
        </is>
      </c>
      <c r="AC1344" t="inlineStr">
        <is>
          <t>45--1.4-ERW 2-FIN CUT</t>
        </is>
      </c>
      <c r="AD1344" t="inlineStr">
        <is>
          <t>LL</t>
        </is>
      </c>
      <c r="AE1344" t="inlineStr">
        <is>
          <t>45--1.4-ERW 2-FIN CUT-1</t>
        </is>
      </c>
      <c r="AF1344" t="n">
        <v>1.50457496</v>
      </c>
    </row>
    <row r="1345">
      <c r="A1345" s="56" t="n">
        <v>3682122</v>
      </c>
      <c r="B1345" s="56" t="inlineStr">
        <is>
          <t>TUB-O-N-AUT-AW-FC-31.75X1.200X6.1500</t>
        </is>
      </c>
      <c r="C1345" s="56" t="inlineStr">
        <is>
          <t>4C20C20100</t>
        </is>
      </c>
      <c r="D1345" s="56" t="n"/>
      <c r="E1345" s="57" t="n">
        <v>1138.773</v>
      </c>
      <c r="F1345" s="57" t="n">
        <v>1.138773</v>
      </c>
      <c r="G1345" s="56" t="inlineStr">
        <is>
          <t>KG</t>
        </is>
      </c>
      <c r="H1345" s="56" t="inlineStr">
        <is>
          <t>TF01</t>
        </is>
      </c>
      <c r="I1345" s="56" t="inlineStr">
        <is>
          <t>4318</t>
        </is>
      </c>
      <c r="J1345" s="56" t="n"/>
      <c r="K1345" s="56" t="n"/>
      <c r="L1345" s="56" t="n"/>
      <c r="M1345" s="56" t="n"/>
      <c r="N1345" s="56" t="inlineStr">
        <is>
          <t>SANDHAR ENGINEERING PVT LTD.(KA) -U</t>
        </is>
      </c>
      <c r="O1345" s="56" t="n">
        <v>14</v>
      </c>
      <c r="P1345" s="59" t="inlineStr">
        <is>
          <t>0-30</t>
        </is>
      </c>
      <c r="Q1345" s="56" t="inlineStr">
        <is>
          <t>Jitendra Kumar Sharma</t>
        </is>
      </c>
      <c r="U1345" t="n">
        <v>3502189</v>
      </c>
      <c r="V1345" t="n">
        <v>45</v>
      </c>
      <c r="W1345" t="n">
        <v>0</v>
      </c>
      <c r="X1345" t="n">
        <v>1.4</v>
      </c>
      <c r="Y1345" t="n">
        <v>6.46</v>
      </c>
      <c r="Z1345" t="inlineStr"/>
      <c r="AA1345" t="inlineStr">
        <is>
          <t>FC</t>
        </is>
      </c>
      <c r="AB1345" t="inlineStr">
        <is>
          <t>AW</t>
        </is>
      </c>
      <c r="AC1345" t="inlineStr">
        <is>
          <t>45--1.4-ERW 2-FIN CUT</t>
        </is>
      </c>
      <c r="AD1345" t="inlineStr">
        <is>
          <t>LL</t>
        </is>
      </c>
      <c r="AE1345" t="inlineStr">
        <is>
          <t>45--1.4-ERW 2-FIN CUT-1</t>
        </is>
      </c>
      <c r="AF1345" t="n">
        <v>1.50457496</v>
      </c>
    </row>
    <row r="1346">
      <c r="A1346" s="56" t="n">
        <v>3682122</v>
      </c>
      <c r="B1346" s="56" t="inlineStr">
        <is>
          <t>TUB-O-N-AUT-AW-FC-31.75X1.200X6.1500</t>
        </is>
      </c>
      <c r="C1346" s="56" t="inlineStr">
        <is>
          <t>4C20C20070</t>
        </is>
      </c>
      <c r="D1346" s="56" t="n"/>
      <c r="E1346" s="57" t="n">
        <v>368.773</v>
      </c>
      <c r="F1346" s="57" t="n">
        <v>0.368773</v>
      </c>
      <c r="G1346" s="56" t="inlineStr">
        <is>
          <t>KG</t>
        </is>
      </c>
      <c r="H1346" s="56" t="inlineStr">
        <is>
          <t>TF01</t>
        </is>
      </c>
      <c r="I1346" s="56" t="inlineStr">
        <is>
          <t>4318</t>
        </is>
      </c>
      <c r="J1346" s="56" t="n"/>
      <c r="K1346" s="56" t="n"/>
      <c r="L1346" s="56" t="n"/>
      <c r="M1346" s="56" t="n"/>
      <c r="N1346" s="56" t="inlineStr">
        <is>
          <t>SANDHAR ENGINEERING PVT LTD.(KA) -U</t>
        </is>
      </c>
      <c r="O1346" s="56" t="n">
        <v>4</v>
      </c>
      <c r="P1346" s="59" t="inlineStr">
        <is>
          <t>0-30</t>
        </is>
      </c>
      <c r="Q1346" s="56" t="inlineStr">
        <is>
          <t>Jitendra Kumar Sharma</t>
        </is>
      </c>
      <c r="U1346" s="585" t="n">
        <v>3501095</v>
      </c>
      <c r="V1346" t="n">
        <v>45</v>
      </c>
      <c r="W1346" t="n">
        <v>0</v>
      </c>
      <c r="X1346" t="n">
        <v>1.4</v>
      </c>
      <c r="Y1346" t="n">
        <v>6.47</v>
      </c>
      <c r="Z1346" t="inlineStr"/>
      <c r="AA1346" t="inlineStr">
        <is>
          <t>FC</t>
        </is>
      </c>
      <c r="AB1346" t="inlineStr">
        <is>
          <t>AW</t>
        </is>
      </c>
      <c r="AC1346" t="inlineStr">
        <is>
          <t>45--1.4-ERW 2-FIN CUT</t>
        </is>
      </c>
      <c r="AD1346" t="inlineStr">
        <is>
          <t>LL</t>
        </is>
      </c>
      <c r="AE1346" t="inlineStr">
        <is>
          <t>45--1.4-ERW 2-FIN CUT-1</t>
        </is>
      </c>
      <c r="AF1346" t="n">
        <v>1.50457496</v>
      </c>
    </row>
    <row r="1347">
      <c r="A1347" s="56" t="n">
        <v>3682122</v>
      </c>
      <c r="B1347" s="56" t="inlineStr">
        <is>
          <t>TUB-O-N-AUT-AW-FC-31.75X1.200X6.1500</t>
        </is>
      </c>
      <c r="C1347" s="56" t="inlineStr">
        <is>
          <t>4C19C20020</t>
        </is>
      </c>
      <c r="D1347" s="56" t="n"/>
      <c r="E1347" s="57" t="n">
        <v>401.802</v>
      </c>
      <c r="F1347" s="57" t="n">
        <v>0.401802</v>
      </c>
      <c r="G1347" s="56" t="inlineStr">
        <is>
          <t>KG</t>
        </is>
      </c>
      <c r="H1347" s="56" t="inlineStr">
        <is>
          <t>TF01</t>
        </is>
      </c>
      <c r="I1347" s="56" t="inlineStr">
        <is>
          <t>4318</t>
        </is>
      </c>
      <c r="J1347" s="56" t="n"/>
      <c r="K1347" s="56" t="n"/>
      <c r="L1347" s="56" t="n"/>
      <c r="M1347" s="56" t="n"/>
      <c r="N1347" s="56" t="inlineStr">
        <is>
          <t>SANDHAR ENGINEERING PVT LTD.(KA) -U</t>
        </is>
      </c>
      <c r="O1347" s="56" t="n">
        <v>4</v>
      </c>
      <c r="P1347" s="59" t="inlineStr">
        <is>
          <t>0-30</t>
        </is>
      </c>
      <c r="Q1347" s="56" t="inlineStr">
        <is>
          <t>Jitendra Kumar Sharma</t>
        </is>
      </c>
      <c r="U1347" s="585" t="n">
        <v>1490698</v>
      </c>
      <c r="V1347" t="n">
        <v>45</v>
      </c>
      <c r="W1347" t="n">
        <v>0</v>
      </c>
      <c r="X1347" t="n">
        <v>1.6</v>
      </c>
      <c r="Y1347" t="n">
        <v>1.06</v>
      </c>
      <c r="Z1347" t="inlineStr"/>
      <c r="AA1347" t="inlineStr">
        <is>
          <t>PE</t>
        </is>
      </c>
      <c r="AB1347" t="inlineStr">
        <is>
          <t>AW</t>
        </is>
      </c>
      <c r="AC1347" t="inlineStr">
        <is>
          <t>45-0-1.6-ERW 2-FIN CUT</t>
        </is>
      </c>
      <c r="AD1347" t="inlineStr">
        <is>
          <t>CTL</t>
        </is>
      </c>
      <c r="AE1347" t="inlineStr">
        <is>
          <t>45--1.6-ERW 2-FIN CUT-1.06</t>
        </is>
      </c>
      <c r="AF1347" t="n">
        <v>1.8143241536</v>
      </c>
    </row>
    <row r="1348">
      <c r="A1348" s="56" t="n">
        <v>3682122</v>
      </c>
      <c r="B1348" s="56" t="inlineStr">
        <is>
          <t>TUB-O-N-AUT-AW-FC-31.75X1.200X6.1500</t>
        </is>
      </c>
      <c r="C1348" s="56" t="inlineStr">
        <is>
          <t>4C19C20010</t>
        </is>
      </c>
      <c r="D1348" s="56" t="n"/>
      <c r="E1348" s="57" t="n">
        <v>459.773</v>
      </c>
      <c r="F1348" s="57" t="n">
        <v>0.459773</v>
      </c>
      <c r="G1348" s="56" t="inlineStr">
        <is>
          <t>KG</t>
        </is>
      </c>
      <c r="H1348" s="56" t="inlineStr">
        <is>
          <t>TF01</t>
        </is>
      </c>
      <c r="I1348" s="56" t="inlineStr">
        <is>
          <t>4318</t>
        </is>
      </c>
      <c r="J1348" s="56" t="n"/>
      <c r="K1348" s="56" t="n"/>
      <c r="L1348" s="56" t="n"/>
      <c r="M1348" s="56" t="n"/>
      <c r="N1348" s="56" t="inlineStr">
        <is>
          <t>SANDHAR ENGINEERING PVT LTD.(KA) -U</t>
        </is>
      </c>
      <c r="O1348" s="56" t="n">
        <v>2</v>
      </c>
      <c r="P1348" s="59" t="inlineStr">
        <is>
          <t>0-30</t>
        </is>
      </c>
      <c r="Q1348" s="56" t="inlineStr">
        <is>
          <t>Jitendra Kumar Sharma</t>
        </is>
      </c>
      <c r="U1348" s="585" t="n">
        <v>2420078</v>
      </c>
      <c r="V1348" t="n">
        <v>45</v>
      </c>
      <c r="W1348" t="n">
        <v>0</v>
      </c>
      <c r="X1348" t="n">
        <v>1.6</v>
      </c>
      <c r="Y1348" t="n">
        <v>5.375</v>
      </c>
      <c r="Z1348" t="inlineStr">
        <is>
          <t>SAE1020</t>
        </is>
      </c>
      <c r="AA1348" t="inlineStr">
        <is>
          <t>FC</t>
        </is>
      </c>
      <c r="AB1348" t="inlineStr">
        <is>
          <t>AW</t>
        </is>
      </c>
      <c r="AC1348" t="inlineStr">
        <is>
          <t>45-0-1.6-ERW 2-FIN CUT</t>
        </is>
      </c>
      <c r="AD1348" t="inlineStr">
        <is>
          <t>LL</t>
        </is>
      </c>
      <c r="AF1348" t="n">
        <v>1.71162656</v>
      </c>
    </row>
    <row r="1349">
      <c r="A1349" s="56" t="n">
        <v>3682122</v>
      </c>
      <c r="B1349" s="56" t="inlineStr">
        <is>
          <t>TUB-O-N-AUT-AW-FC-31.75X1.200X6.1500</t>
        </is>
      </c>
      <c r="C1349" s="56" t="inlineStr">
        <is>
          <t>4C19B20140</t>
        </is>
      </c>
      <c r="D1349" s="56" t="n"/>
      <c r="E1349" s="57" t="n">
        <v>1133.525</v>
      </c>
      <c r="F1349" s="57" t="n">
        <v>1.133525</v>
      </c>
      <c r="G1349" s="56" t="inlineStr">
        <is>
          <t>KG</t>
        </is>
      </c>
      <c r="H1349" s="56" t="inlineStr">
        <is>
          <t>TF01</t>
        </is>
      </c>
      <c r="I1349" s="56" t="inlineStr">
        <is>
          <t>4318</t>
        </is>
      </c>
      <c r="J1349" s="56" t="n"/>
      <c r="K1349" s="56" t="n"/>
      <c r="L1349" s="56" t="n"/>
      <c r="M1349" s="56" t="n"/>
      <c r="N1349" s="56" t="inlineStr">
        <is>
          <t>SANDHAR ENGINEERING PVT LTD.(KA) -U</t>
        </is>
      </c>
      <c r="O1349" s="56" t="n">
        <v>13</v>
      </c>
      <c r="P1349" s="59" t="inlineStr">
        <is>
          <t>0-30</t>
        </is>
      </c>
      <c r="Q1349" s="56" t="inlineStr">
        <is>
          <t>Jitendra Kumar Sharma</t>
        </is>
      </c>
      <c r="U1349" s="585" t="n">
        <v>3514380</v>
      </c>
      <c r="V1349" t="n">
        <v>45</v>
      </c>
      <c r="W1349" t="n">
        <v>0</v>
      </c>
      <c r="X1349" t="n">
        <v>1.6</v>
      </c>
      <c r="Y1349" t="n">
        <v>6.4</v>
      </c>
      <c r="Z1349" t="inlineStr"/>
      <c r="AA1349" t="inlineStr">
        <is>
          <t>PE</t>
        </is>
      </c>
      <c r="AB1349" t="inlineStr">
        <is>
          <t>AW</t>
        </is>
      </c>
      <c r="AC1349" t="inlineStr">
        <is>
          <t>45-0-1.6-ERW 2-FIN CUT</t>
        </is>
      </c>
      <c r="AD1349" t="inlineStr">
        <is>
          <t>LL</t>
        </is>
      </c>
      <c r="AE1349" t="inlineStr">
        <is>
          <t>45--1.6-ERW 2-FIN CUT-1</t>
        </is>
      </c>
      <c r="AF1349" t="n">
        <v>1.71162656</v>
      </c>
    </row>
    <row r="1350">
      <c r="A1350" s="56" t="n">
        <v>3682122</v>
      </c>
      <c r="B1350" s="56" t="inlineStr">
        <is>
          <t>TUB-O-N-AUT-AW-FC-31.75X1.200X6.1500</t>
        </is>
      </c>
      <c r="C1350" s="56" t="inlineStr">
        <is>
          <t>4C19B20120</t>
        </is>
      </c>
      <c r="D1350" s="56" t="n"/>
      <c r="E1350" s="57" t="n">
        <v>1133.525</v>
      </c>
      <c r="F1350" s="57" t="n">
        <v>1.133525</v>
      </c>
      <c r="G1350" s="56" t="inlineStr">
        <is>
          <t>KG</t>
        </is>
      </c>
      <c r="H1350" s="56" t="inlineStr">
        <is>
          <t>TF01</t>
        </is>
      </c>
      <c r="I1350" s="56" t="inlineStr">
        <is>
          <t>4318</t>
        </is>
      </c>
      <c r="J1350" s="56" t="n"/>
      <c r="K1350" s="56" t="n"/>
      <c r="L1350" s="56" t="n"/>
      <c r="M1350" s="56" t="n"/>
      <c r="N1350" s="56" t="inlineStr">
        <is>
          <t>SANDHAR ENGINEERING PVT LTD.(KA) -U</t>
        </is>
      </c>
      <c r="O1350" s="56" t="n">
        <v>14</v>
      </c>
      <c r="P1350" s="59" t="inlineStr">
        <is>
          <t>0-30</t>
        </is>
      </c>
      <c r="Q1350" s="56" t="inlineStr">
        <is>
          <t>Jitendra Kumar Sharma</t>
        </is>
      </c>
      <c r="U1350" s="585" t="n">
        <v>3502388</v>
      </c>
      <c r="V1350" t="n">
        <v>45</v>
      </c>
      <c r="W1350" t="n">
        <v>0</v>
      </c>
      <c r="X1350" t="n">
        <v>1.6</v>
      </c>
      <c r="Y1350" t="n">
        <v>6.42</v>
      </c>
      <c r="Z1350" t="inlineStr"/>
      <c r="AA1350" t="inlineStr">
        <is>
          <t>PE</t>
        </is>
      </c>
      <c r="AB1350" t="inlineStr">
        <is>
          <t>AW</t>
        </is>
      </c>
      <c r="AC1350" t="inlineStr">
        <is>
          <t>45-0-1.6-ERW 2-FIN CUT</t>
        </is>
      </c>
      <c r="AD1350" t="inlineStr">
        <is>
          <t>LL</t>
        </is>
      </c>
      <c r="AE1350" t="inlineStr">
        <is>
          <t>45--1.6-ERW 2-FIN CUT-1</t>
        </is>
      </c>
      <c r="AF1350" t="n">
        <v>1.71162656</v>
      </c>
    </row>
    <row r="1351">
      <c r="A1351" s="56" t="n">
        <v>3682122</v>
      </c>
      <c r="B1351" s="56" t="inlineStr">
        <is>
          <t>TUB-O-N-AUT-AW-FC-31.75X1.200X6.1500</t>
        </is>
      </c>
      <c r="C1351" s="56" t="inlineStr">
        <is>
          <t>4C19B20110</t>
        </is>
      </c>
      <c r="D1351" s="56" t="n"/>
      <c r="E1351" s="57" t="n">
        <v>1138.773</v>
      </c>
      <c r="F1351" s="57" t="n">
        <v>1.138773</v>
      </c>
      <c r="G1351" s="56" t="inlineStr">
        <is>
          <t>KG</t>
        </is>
      </c>
      <c r="H1351" s="56" t="inlineStr">
        <is>
          <t>TF01</t>
        </is>
      </c>
      <c r="I1351" s="56" t="inlineStr">
        <is>
          <t>4318</t>
        </is>
      </c>
      <c r="J1351" s="56" t="n"/>
      <c r="K1351" s="56" t="n"/>
      <c r="L1351" s="56" t="n"/>
      <c r="M1351" s="56" t="n"/>
      <c r="N1351" s="56" t="inlineStr">
        <is>
          <t>SANDHAR ENGINEERING PVT LTD.(KA) -U</t>
        </is>
      </c>
      <c r="O1351" s="56" t="n">
        <v>13</v>
      </c>
      <c r="P1351" s="59" t="inlineStr">
        <is>
          <t>0-30</t>
        </is>
      </c>
      <c r="Q1351" s="56" t="inlineStr">
        <is>
          <t>Jitendra Kumar Sharma</t>
        </is>
      </c>
      <c r="U1351" s="585" t="n">
        <v>3500635</v>
      </c>
      <c r="V1351" t="n">
        <v>47.63</v>
      </c>
      <c r="W1351" t="n">
        <v>0</v>
      </c>
      <c r="X1351" t="n">
        <v>4</v>
      </c>
      <c r="Y1351" t="n">
        <v>6</v>
      </c>
      <c r="Z1351" t="inlineStr">
        <is>
          <t>KGR2</t>
        </is>
      </c>
      <c r="AA1351" t="inlineStr">
        <is>
          <t>FC</t>
        </is>
      </c>
      <c r="AB1351" t="inlineStr">
        <is>
          <t>BH</t>
        </is>
      </c>
      <c r="AC1351" t="inlineStr">
        <is>
          <t>check grade tdc</t>
        </is>
      </c>
      <c r="AD1351" t="inlineStr">
        <is>
          <t>LL</t>
        </is>
      </c>
      <c r="AE1351" t="inlineStr">
        <is>
          <t>check grade tdc-1</t>
        </is>
      </c>
      <c r="AF1351" t="n">
        <v>4.301743480000001</v>
      </c>
    </row>
    <row r="1352">
      <c r="A1352" s="56" t="n">
        <v>3682122</v>
      </c>
      <c r="B1352" s="56" t="inlineStr">
        <is>
          <t>TUB-O-N-AUT-AW-FC-31.75X1.200X6.1500</t>
        </is>
      </c>
      <c r="C1352" s="56" t="inlineStr">
        <is>
          <t>4C19B20100</t>
        </is>
      </c>
      <c r="D1352" s="56" t="n"/>
      <c r="E1352" s="57" t="n">
        <v>1138.773</v>
      </c>
      <c r="F1352" s="57" t="n">
        <v>1.138773</v>
      </c>
      <c r="G1352" s="56" t="inlineStr">
        <is>
          <t>KG</t>
        </is>
      </c>
      <c r="H1352" s="56" t="inlineStr">
        <is>
          <t>TF01</t>
        </is>
      </c>
      <c r="I1352" s="56" t="inlineStr">
        <is>
          <t>4318</t>
        </is>
      </c>
      <c r="J1352" s="56" t="n"/>
      <c r="K1352" s="56" t="n"/>
      <c r="L1352" s="56" t="n"/>
      <c r="M1352" s="56" t="n"/>
      <c r="N1352" s="56" t="inlineStr">
        <is>
          <t>SANDHAR ENGINEERING PVT LTD.(KA) -U</t>
        </is>
      </c>
      <c r="O1352" s="56" t="n">
        <v>13</v>
      </c>
      <c r="P1352" s="59" t="inlineStr">
        <is>
          <t>0-30</t>
        </is>
      </c>
      <c r="Q1352" s="56" t="inlineStr">
        <is>
          <t>Jitendra Kumar Sharma</t>
        </is>
      </c>
      <c r="U1352" s="585" t="n">
        <v>2397072</v>
      </c>
      <c r="V1352" t="n">
        <v>48</v>
      </c>
      <c r="W1352" t="n">
        <v>0</v>
      </c>
      <c r="X1352" t="n">
        <v>1.2</v>
      </c>
      <c r="Y1352" t="n">
        <v>0.62</v>
      </c>
      <c r="Z1352" t="inlineStr">
        <is>
          <t>WG</t>
        </is>
      </c>
      <c r="AA1352" t="inlineStr">
        <is>
          <t>FC</t>
        </is>
      </c>
      <c r="AB1352" t="inlineStr">
        <is>
          <t>AW</t>
        </is>
      </c>
      <c r="AC1352" t="inlineStr">
        <is>
          <t>48-0-1.2-ERW 1-FIN CUT</t>
        </is>
      </c>
      <c r="AD1352" t="inlineStr">
        <is>
          <t>CTL</t>
        </is>
      </c>
      <c r="AE1352" t="inlineStr">
        <is>
          <t>48--1.2-ERW 1-FIN CUT-0.62</t>
        </is>
      </c>
      <c r="AF1352" t="n">
        <v>0.8582584608</v>
      </c>
    </row>
    <row r="1353">
      <c r="A1353" s="56" t="n">
        <v>3682122</v>
      </c>
      <c r="B1353" s="56" t="inlineStr">
        <is>
          <t>TUB-O-N-AUT-AW-FC-31.75X1.200X6.1500</t>
        </is>
      </c>
      <c r="C1353" s="56" t="inlineStr">
        <is>
          <t>4C19B20090</t>
        </is>
      </c>
      <c r="D1353" s="56" t="n"/>
      <c r="E1353" s="57" t="n">
        <v>1154.517</v>
      </c>
      <c r="F1353" s="57" t="n">
        <v>1.154517</v>
      </c>
      <c r="G1353" s="56" t="inlineStr">
        <is>
          <t>KG</t>
        </is>
      </c>
      <c r="H1353" s="56" t="inlineStr">
        <is>
          <t>TF01</t>
        </is>
      </c>
      <c r="I1353" s="56" t="inlineStr">
        <is>
          <t>4318</t>
        </is>
      </c>
      <c r="J1353" s="56" t="n"/>
      <c r="K1353" s="56" t="n"/>
      <c r="L1353" s="56" t="n"/>
      <c r="M1353" s="56" t="n"/>
      <c r="N1353" s="56" t="inlineStr">
        <is>
          <t>SANDHAR ENGINEERING PVT LTD.(KA) -U</t>
        </is>
      </c>
      <c r="O1353" s="56" t="n">
        <v>14</v>
      </c>
      <c r="P1353" s="59" t="inlineStr">
        <is>
          <t>0-30</t>
        </is>
      </c>
      <c r="Q1353" s="56" t="inlineStr">
        <is>
          <t>Jitendra Kumar Sharma</t>
        </is>
      </c>
      <c r="U1353" s="585" t="n">
        <v>3649700</v>
      </c>
      <c r="V1353" t="n">
        <v>48</v>
      </c>
      <c r="W1353" t="n">
        <v>0</v>
      </c>
      <c r="X1353" t="n">
        <v>1.2</v>
      </c>
      <c r="Y1353" t="n">
        <v>0.7</v>
      </c>
      <c r="Z1353" t="inlineStr">
        <is>
          <t>WG</t>
        </is>
      </c>
      <c r="AA1353" t="inlineStr">
        <is>
          <t>FC</t>
        </is>
      </c>
      <c r="AB1353" t="inlineStr">
        <is>
          <t>AW</t>
        </is>
      </c>
      <c r="AC1353" t="inlineStr">
        <is>
          <t>48-0-1.2-ERW 1-FIN CUT</t>
        </is>
      </c>
      <c r="AD1353" t="inlineStr">
        <is>
          <t>CTL</t>
        </is>
      </c>
      <c r="AE1353" t="inlineStr">
        <is>
          <t>48--1.2-ERW 1-FIN CUT-0.7</t>
        </is>
      </c>
      <c r="AF1353" t="n">
        <v>0.969001488</v>
      </c>
    </row>
    <row r="1354">
      <c r="A1354" s="56" t="n">
        <v>3682122</v>
      </c>
      <c r="B1354" s="56" t="inlineStr">
        <is>
          <t>TUB-O-N-AUT-AW-FC-31.75X1.200X6.1500</t>
        </is>
      </c>
      <c r="C1354" s="56" t="inlineStr">
        <is>
          <t>4C19B20080</t>
        </is>
      </c>
      <c r="D1354" s="56" t="n"/>
      <c r="E1354" s="57" t="n">
        <v>1138.773</v>
      </c>
      <c r="F1354" s="57" t="n">
        <v>1.138773</v>
      </c>
      <c r="G1354" s="56" t="inlineStr">
        <is>
          <t>KG</t>
        </is>
      </c>
      <c r="H1354" s="56" t="inlineStr">
        <is>
          <t>TF01</t>
        </is>
      </c>
      <c r="I1354" s="56" t="inlineStr">
        <is>
          <t>4318</t>
        </is>
      </c>
      <c r="J1354" s="56" t="n"/>
      <c r="K1354" s="56" t="n"/>
      <c r="L1354" s="56" t="n"/>
      <c r="M1354" s="56" t="n"/>
      <c r="N1354" s="56" t="inlineStr">
        <is>
          <t>SANDHAR ENGINEERING PVT LTD.(KA) -U</t>
        </is>
      </c>
      <c r="O1354" s="56" t="n">
        <v>13</v>
      </c>
      <c r="P1354" s="59" t="inlineStr">
        <is>
          <t>0-30</t>
        </is>
      </c>
      <c r="Q1354" s="56" t="inlineStr">
        <is>
          <t>Jitendra Kumar Sharma</t>
        </is>
      </c>
      <c r="U1354" s="585" t="n">
        <v>2397327</v>
      </c>
      <c r="V1354" t="n">
        <v>48</v>
      </c>
      <c r="W1354" t="n">
        <v>0</v>
      </c>
      <c r="X1354" t="n">
        <v>1.2</v>
      </c>
      <c r="Y1354" t="n">
        <v>5.01</v>
      </c>
      <c r="Z1354" t="inlineStr">
        <is>
          <t>WG</t>
        </is>
      </c>
      <c r="AA1354" t="inlineStr">
        <is>
          <t>FC</t>
        </is>
      </c>
      <c r="AB1354" t="inlineStr">
        <is>
          <t>AW</t>
        </is>
      </c>
      <c r="AC1354" t="inlineStr">
        <is>
          <t>48-0-1.2-ERW 1-FIN CUT</t>
        </is>
      </c>
      <c r="AD1354" t="inlineStr">
        <is>
          <t>LL</t>
        </is>
      </c>
      <c r="AE1354" t="inlineStr">
        <is>
          <t>48--1.2-ERW 1-FIN CUT-1</t>
        </is>
      </c>
      <c r="AF1354" t="n">
        <v>1.38428784</v>
      </c>
    </row>
    <row r="1355">
      <c r="A1355" s="56" t="n">
        <v>3682122</v>
      </c>
      <c r="B1355" s="56" t="inlineStr">
        <is>
          <t>TUB-O-N-AUT-AW-FC-31.75X1.200X6.1500</t>
        </is>
      </c>
      <c r="C1355" s="56" t="inlineStr">
        <is>
          <t>4C19B20070</t>
        </is>
      </c>
      <c r="D1355" s="56" t="n"/>
      <c r="E1355" s="57" t="n">
        <v>1138.773</v>
      </c>
      <c r="F1355" s="57" t="n">
        <v>1.138773</v>
      </c>
      <c r="G1355" s="56" t="inlineStr">
        <is>
          <t>KG</t>
        </is>
      </c>
      <c r="H1355" s="56" t="inlineStr">
        <is>
          <t>TF01</t>
        </is>
      </c>
      <c r="I1355" s="56" t="inlineStr">
        <is>
          <t>4318</t>
        </is>
      </c>
      <c r="J1355" s="56" t="n"/>
      <c r="K1355" s="56" t="n"/>
      <c r="L1355" s="56" t="n"/>
      <c r="M1355" s="56" t="n"/>
      <c r="N1355" s="56" t="inlineStr">
        <is>
          <t>SANDHAR ENGINEERING PVT LTD.(KA) -U</t>
        </is>
      </c>
      <c r="O1355" s="56" t="n">
        <v>14</v>
      </c>
      <c r="P1355" s="59" t="inlineStr">
        <is>
          <t>0-30</t>
        </is>
      </c>
      <c r="Q1355" s="56" t="inlineStr">
        <is>
          <t>Jitendra Kumar Sharma</t>
        </is>
      </c>
      <c r="U1355" s="585" t="n">
        <v>3460088</v>
      </c>
      <c r="V1355" t="n">
        <v>48</v>
      </c>
      <c r="W1355" t="n">
        <v>0</v>
      </c>
      <c r="X1355" t="n">
        <v>1.2</v>
      </c>
      <c r="Y1355" t="n">
        <v>5.67</v>
      </c>
      <c r="Z1355" t="inlineStr">
        <is>
          <t>WG</t>
        </is>
      </c>
      <c r="AA1355" t="inlineStr">
        <is>
          <t>FC</t>
        </is>
      </c>
      <c r="AB1355" t="inlineStr">
        <is>
          <t>AW</t>
        </is>
      </c>
      <c r="AC1355" t="inlineStr">
        <is>
          <t>48-0-1.2-ERW 1-FIN CUT</t>
        </is>
      </c>
      <c r="AD1355" t="inlineStr">
        <is>
          <t>LL</t>
        </is>
      </c>
      <c r="AE1355" t="inlineStr">
        <is>
          <t>48--1.2-ERW 1-FIN CUT-1</t>
        </is>
      </c>
      <c r="AF1355" t="n">
        <v>1.38428784</v>
      </c>
    </row>
    <row r="1356">
      <c r="A1356" s="56" t="n">
        <v>3682122</v>
      </c>
      <c r="B1356" s="56" t="inlineStr">
        <is>
          <t>TUB-O-N-AUT-AW-FC-31.75X1.200X6.1500</t>
        </is>
      </c>
      <c r="C1356" s="56" t="inlineStr">
        <is>
          <t>4C19B20060</t>
        </is>
      </c>
      <c r="D1356" s="56" t="n"/>
      <c r="E1356" s="57" t="n">
        <v>1133.525</v>
      </c>
      <c r="F1356" s="57" t="n">
        <v>1.133525</v>
      </c>
      <c r="G1356" s="56" t="inlineStr">
        <is>
          <t>KG</t>
        </is>
      </c>
      <c r="H1356" s="56" t="inlineStr">
        <is>
          <t>TF01</t>
        </is>
      </c>
      <c r="I1356" s="56" t="inlineStr">
        <is>
          <t>4318</t>
        </is>
      </c>
      <c r="J1356" s="56" t="n"/>
      <c r="K1356" s="56" t="n"/>
      <c r="L1356" s="56" t="n"/>
      <c r="M1356" s="56" t="n"/>
      <c r="N1356" s="56" t="inlineStr">
        <is>
          <t>SANDHAR ENGINEERING PVT LTD.(KA) -U</t>
        </is>
      </c>
      <c r="O1356" s="56" t="n">
        <v>13</v>
      </c>
      <c r="P1356" s="59" t="inlineStr">
        <is>
          <t>0-30</t>
        </is>
      </c>
      <c r="Q1356" s="56" t="inlineStr">
        <is>
          <t>Jitendra Kumar Sharma</t>
        </is>
      </c>
      <c r="U1356" s="585" t="n">
        <v>2325421</v>
      </c>
      <c r="V1356" t="n">
        <v>48.6</v>
      </c>
      <c r="W1356" t="n">
        <v>0</v>
      </c>
      <c r="X1356" t="n">
        <v>1.2</v>
      </c>
      <c r="Y1356" t="n">
        <v>0.336</v>
      </c>
      <c r="Z1356" t="inlineStr">
        <is>
          <t>WG</t>
        </is>
      </c>
      <c r="AA1356" t="inlineStr">
        <is>
          <t>FC</t>
        </is>
      </c>
      <c r="AB1356" t="inlineStr">
        <is>
          <t>AW</t>
        </is>
      </c>
      <c r="AC1356" t="inlineStr">
        <is>
          <t>48.6-0-1.2-ERW 1-FC</t>
        </is>
      </c>
      <c r="AD1356" t="inlineStr">
        <is>
          <t>CTL</t>
        </is>
      </c>
      <c r="AE1356" t="inlineStr">
        <is>
          <t>48.6-0-1.2-ERW 1-FC-0.336</t>
        </is>
      </c>
      <c r="AF1356" t="n">
        <v>0.47108380032</v>
      </c>
    </row>
    <row r="1357">
      <c r="A1357" s="56" t="n">
        <v>3682122</v>
      </c>
      <c r="B1357" s="56" t="inlineStr">
        <is>
          <t>TUB-O-N-AUT-AW-FC-31.75X1.200X6.1500</t>
        </is>
      </c>
      <c r="C1357" s="56" t="inlineStr">
        <is>
          <t>4C19B20050</t>
        </is>
      </c>
      <c r="D1357" s="56" t="n"/>
      <c r="E1357" s="57" t="n">
        <v>1138.773</v>
      </c>
      <c r="F1357" s="57" t="n">
        <v>1.138773</v>
      </c>
      <c r="G1357" s="56" t="inlineStr">
        <is>
          <t>KG</t>
        </is>
      </c>
      <c r="H1357" s="56" t="inlineStr">
        <is>
          <t>TF01</t>
        </is>
      </c>
      <c r="I1357" s="56" t="inlineStr">
        <is>
          <t>4318</t>
        </is>
      </c>
      <c r="J1357" s="56" t="n"/>
      <c r="K1357" s="56" t="n"/>
      <c r="L1357" s="56" t="n"/>
      <c r="M1357" s="56" t="n"/>
      <c r="N1357" s="56" t="inlineStr">
        <is>
          <t>SANDHAR ENGINEERING PVT LTD.(KA) -U</t>
        </is>
      </c>
      <c r="O1357" s="56" t="n">
        <v>13</v>
      </c>
      <c r="P1357" s="59" t="inlineStr">
        <is>
          <t>0-30</t>
        </is>
      </c>
      <c r="Q1357" s="56" t="inlineStr">
        <is>
          <t>Jitendra Kumar Sharma</t>
        </is>
      </c>
      <c r="U1357" s="586" t="n">
        <v>111106621</v>
      </c>
      <c r="V1357" t="n">
        <v>48.6</v>
      </c>
      <c r="W1357" t="n">
        <v>0</v>
      </c>
      <c r="X1357" t="n">
        <v>1.2</v>
      </c>
      <c r="Y1357" t="n">
        <v>5.82</v>
      </c>
      <c r="Z1357" t="inlineStr">
        <is>
          <t>WG</t>
        </is>
      </c>
      <c r="AA1357" t="inlineStr">
        <is>
          <t>FC</t>
        </is>
      </c>
      <c r="AB1357" t="inlineStr">
        <is>
          <t>AW</t>
        </is>
      </c>
      <c r="AC1357" t="inlineStr">
        <is>
          <t>48.6-0-1.2-ERW 1-FC</t>
        </is>
      </c>
      <c r="AD1357" t="inlineStr">
        <is>
          <t>LL</t>
        </is>
      </c>
      <c r="AE1357" t="inlineStr">
        <is>
          <t>48.6-0-1.2-ERW 1-FC-1</t>
        </is>
      </c>
      <c r="AF1357" t="n">
        <v>1.40203512</v>
      </c>
    </row>
    <row r="1358">
      <c r="A1358" s="56" t="n">
        <v>3682122</v>
      </c>
      <c r="B1358" s="56" t="inlineStr">
        <is>
          <t>TUB-O-N-AUT-AW-FC-31.75X1.200X6.1500</t>
        </is>
      </c>
      <c r="C1358" s="56" t="inlineStr">
        <is>
          <t>4C19B20040</t>
        </is>
      </c>
      <c r="D1358" s="56" t="n"/>
      <c r="E1358" s="57" t="n">
        <v>407.05</v>
      </c>
      <c r="F1358" s="57" t="n">
        <v>0.40705</v>
      </c>
      <c r="G1358" s="56" t="inlineStr">
        <is>
          <t>KG</t>
        </is>
      </c>
      <c r="H1358" s="56" t="inlineStr">
        <is>
          <t>TF01</t>
        </is>
      </c>
      <c r="I1358" s="56" t="inlineStr">
        <is>
          <t>4318</t>
        </is>
      </c>
      <c r="J1358" s="56" t="n"/>
      <c r="K1358" s="56" t="n"/>
      <c r="L1358" s="56" t="n"/>
      <c r="M1358" s="56" t="n"/>
      <c r="N1358" s="56" t="inlineStr">
        <is>
          <t>SANDHAR ENGINEERING PVT LTD.(KA) -U</t>
        </is>
      </c>
      <c r="O1358" s="56" t="n">
        <v>10</v>
      </c>
      <c r="P1358" s="59" t="inlineStr">
        <is>
          <t>0-30</t>
        </is>
      </c>
      <c r="Q1358" s="56" t="inlineStr">
        <is>
          <t>Jitendra Kumar Sharma</t>
        </is>
      </c>
      <c r="U1358" s="585" t="n">
        <v>3575647</v>
      </c>
      <c r="V1358" t="n">
        <v>48.6</v>
      </c>
      <c r="W1358" t="n">
        <v>0</v>
      </c>
      <c r="X1358" t="n">
        <v>1.2</v>
      </c>
      <c r="Y1358" t="n">
        <v>5.82</v>
      </c>
      <c r="Z1358" t="inlineStr">
        <is>
          <t>WG</t>
        </is>
      </c>
      <c r="AA1358" t="inlineStr">
        <is>
          <t>FC</t>
        </is>
      </c>
      <c r="AB1358" t="inlineStr">
        <is>
          <t>AW</t>
        </is>
      </c>
      <c r="AC1358" t="inlineStr">
        <is>
          <t>48.6-0-1.2-ERW 1-FC</t>
        </is>
      </c>
      <c r="AD1358" t="inlineStr">
        <is>
          <t>LL</t>
        </is>
      </c>
      <c r="AE1358" t="inlineStr">
        <is>
          <t>48.6-0-1.2-ERW 1-FC-1</t>
        </is>
      </c>
      <c r="AF1358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359">
      <c r="A1359" s="56" t="n">
        <v>3682122</v>
      </c>
      <c r="B1359" s="56" t="inlineStr">
        <is>
          <t>TUB-O-N-AUT-AW-FC-31.75X1.200X6.1500</t>
        </is>
      </c>
      <c r="C1359" s="56" t="inlineStr">
        <is>
          <t>4C19B20020</t>
        </is>
      </c>
      <c r="D1359" s="56" t="n"/>
      <c r="E1359" s="57" t="n">
        <v>586.792</v>
      </c>
      <c r="F1359" s="57" t="n">
        <v>0.586792</v>
      </c>
      <c r="G1359" s="56" t="inlineStr">
        <is>
          <t>KG</t>
        </is>
      </c>
      <c r="H1359" s="56" t="inlineStr">
        <is>
          <t>TF01</t>
        </is>
      </c>
      <c r="I1359" s="56" t="inlineStr">
        <is>
          <t>4318</t>
        </is>
      </c>
      <c r="J1359" s="56" t="n"/>
      <c r="K1359" s="56" t="n"/>
      <c r="L1359" s="56" t="n"/>
      <c r="M1359" s="56" t="n"/>
      <c r="N1359" s="56" t="inlineStr">
        <is>
          <t>SANDHAR ENGINEERING PVT LTD.(KA) -U</t>
        </is>
      </c>
      <c r="O1359" s="56" t="n">
        <v>10</v>
      </c>
      <c r="P1359" s="59" t="inlineStr">
        <is>
          <t>0-30</t>
        </is>
      </c>
      <c r="Q1359" s="56" t="inlineStr">
        <is>
          <t>Jitendra Kumar Sharma</t>
        </is>
      </c>
      <c r="U1359" s="585" t="n">
        <v>3453634</v>
      </c>
      <c r="V1359" t="n">
        <v>48.6</v>
      </c>
      <c r="W1359" t="n">
        <v>0</v>
      </c>
      <c r="X1359" t="n">
        <v>2</v>
      </c>
      <c r="Y1359" t="n">
        <v>0.545</v>
      </c>
      <c r="Z1359" t="inlineStr"/>
      <c r="AA1359" t="inlineStr">
        <is>
          <t>FC</t>
        </is>
      </c>
      <c r="AB1359" t="inlineStr">
        <is>
          <t>AW</t>
        </is>
      </c>
      <c r="AC1359" t="inlineStr">
        <is>
          <t>48.6--2-HST-FIN CUT</t>
        </is>
      </c>
      <c r="AD1359" t="inlineStr">
        <is>
          <t>CTL</t>
        </is>
      </c>
      <c r="AE1359" t="inlineStr">
        <is>
          <t>48.6--2-HST-FIN CUT-0.545</t>
        </is>
      </c>
      <c r="AF1359" t="n">
        <v>1.252021306</v>
      </c>
    </row>
    <row r="1360">
      <c r="A1360" s="56" t="n">
        <v>3682123</v>
      </c>
      <c r="B1360" s="56" t="inlineStr">
        <is>
          <t>TUB-O-N-AUT-AW-PE-22.20X1.600X5.4510</t>
        </is>
      </c>
      <c r="C1360" s="56" t="inlineStr">
        <is>
          <t>4B26B20070</t>
        </is>
      </c>
      <c r="D1360" s="56" t="n"/>
      <c r="E1360" s="57" t="n">
        <v>569.606</v>
      </c>
      <c r="F1360" s="57" t="n">
        <v>0.5696059999999999</v>
      </c>
      <c r="G1360" s="56" t="inlineStr">
        <is>
          <t>KG</t>
        </is>
      </c>
      <c r="H1360" s="56" t="inlineStr">
        <is>
          <t>TF01</t>
        </is>
      </c>
      <c r="I1360" s="56" t="inlineStr">
        <is>
          <t>4318</t>
        </is>
      </c>
      <c r="J1360" s="56" t="n"/>
      <c r="K1360" s="56" t="n"/>
      <c r="L1360" s="56" t="n"/>
      <c r="M1360" s="56" t="n"/>
      <c r="N1360" s="56" t="inlineStr">
        <is>
          <t>Rajsriya Automotive Ind Pvt Ltd.</t>
        </is>
      </c>
      <c r="O1360" s="56" t="n">
        <v>7</v>
      </c>
      <c r="P1360" s="59" t="inlineStr">
        <is>
          <t>0-30</t>
        </is>
      </c>
      <c r="Q1360" s="56" t="inlineStr">
        <is>
          <t>Apoorv</t>
        </is>
      </c>
      <c r="U1360" s="585" t="n">
        <v>2404863</v>
      </c>
      <c r="V1360" t="n">
        <v>48.6</v>
      </c>
      <c r="W1360" t="n">
        <v>0</v>
      </c>
      <c r="X1360" t="n">
        <v>2</v>
      </c>
      <c r="Y1360" t="n">
        <v>6.01</v>
      </c>
      <c r="Z1360" t="inlineStr">
        <is>
          <t>SAE1020</t>
        </is>
      </c>
      <c r="AA1360" t="inlineStr">
        <is>
          <t>FC</t>
        </is>
      </c>
      <c r="AB1360" t="inlineStr">
        <is>
          <t>AW</t>
        </is>
      </c>
      <c r="AC1360" t="inlineStr">
        <is>
          <t>48.6--2-HST-FIN CUT</t>
        </is>
      </c>
      <c r="AD1360" t="inlineStr">
        <is>
          <t>LL</t>
        </is>
      </c>
      <c r="AF1360" t="n">
        <v>2.2972868</v>
      </c>
    </row>
    <row r="1361">
      <c r="A1361" s="56" t="n">
        <v>3682124</v>
      </c>
      <c r="B1361" s="56" t="inlineStr">
        <is>
          <t>TUB-O-N-AUT-AW-PE-22.20X1.600X6.4500</t>
        </is>
      </c>
      <c r="C1361" s="56" t="inlineStr">
        <is>
          <t>5104C20040</t>
        </is>
      </c>
      <c r="D1361" s="56" t="n"/>
      <c r="E1361" s="57" t="n">
        <v>2125.578</v>
      </c>
      <c r="F1361" s="57" t="n">
        <v>2.125578</v>
      </c>
      <c r="G1361" s="56" t="inlineStr">
        <is>
          <t>KG</t>
        </is>
      </c>
      <c r="H1361" s="56" t="inlineStr">
        <is>
          <t>R001</t>
        </is>
      </c>
      <c r="I1361" s="56" t="inlineStr">
        <is>
          <t>4318</t>
        </is>
      </c>
      <c r="J1361" s="56" t="n"/>
      <c r="K1361" s="56" t="n"/>
      <c r="L1361" s="56" t="n"/>
      <c r="M1361" s="56" t="n"/>
      <c r="N1361" s="60" t="inlineStr">
        <is>
          <t>Neel Metal Products Limited</t>
        </is>
      </c>
      <c r="O1361" s="56" t="n">
        <v>2</v>
      </c>
      <c r="P1361" s="59" t="inlineStr">
        <is>
          <t>0-30</t>
        </is>
      </c>
      <c r="Q1361" s="56" t="inlineStr">
        <is>
          <t>Apoorv</t>
        </is>
      </c>
      <c r="U1361" s="585" t="n">
        <v>3545559</v>
      </c>
      <c r="V1361" t="n">
        <v>48.6</v>
      </c>
      <c r="W1361" t="n">
        <v>0</v>
      </c>
      <c r="X1361" t="n">
        <v>2</v>
      </c>
      <c r="Y1361" t="n">
        <v>6.05</v>
      </c>
      <c r="Z1361" t="inlineStr"/>
      <c r="AA1361" t="inlineStr">
        <is>
          <t>FC</t>
        </is>
      </c>
      <c r="AB1361" t="inlineStr">
        <is>
          <t>AW</t>
        </is>
      </c>
      <c r="AC1361" t="inlineStr">
        <is>
          <t>48.6--2-HST-FIN CUT</t>
        </is>
      </c>
      <c r="AD1361" t="inlineStr">
        <is>
          <t>LL</t>
        </is>
      </c>
      <c r="AE1361" t="inlineStr">
        <is>
          <t>48.6--2-HST-FIN CUT-1</t>
        </is>
      </c>
      <c r="AF1361" t="n">
        <v>2.2972868</v>
      </c>
    </row>
    <row r="1362">
      <c r="A1362" s="56" t="n">
        <v>3682124</v>
      </c>
      <c r="B1362" s="56" t="inlineStr">
        <is>
          <t>TUB-O-N-AUT-AW-PE-22.20X1.600X6.4500</t>
        </is>
      </c>
      <c r="C1362" s="56" t="inlineStr">
        <is>
          <t>5104C20030</t>
        </is>
      </c>
      <c r="D1362" s="56" t="n"/>
      <c r="E1362" s="57" t="n">
        <v>2125.578</v>
      </c>
      <c r="F1362" s="57" t="n">
        <v>2.125578</v>
      </c>
      <c r="G1362" s="56" t="inlineStr">
        <is>
          <t>KG</t>
        </is>
      </c>
      <c r="H1362" s="56" t="inlineStr">
        <is>
          <t>R001</t>
        </is>
      </c>
      <c r="I1362" s="56" t="inlineStr">
        <is>
          <t>4318</t>
        </is>
      </c>
      <c r="J1362" s="56" t="n"/>
      <c r="K1362" s="56" t="n"/>
      <c r="L1362" s="56" t="n"/>
      <c r="M1362" s="56" t="n"/>
      <c r="N1362" s="60" t="inlineStr">
        <is>
          <t>Neel Metal Products Limited</t>
        </is>
      </c>
      <c r="O1362" s="56" t="n">
        <v>2</v>
      </c>
      <c r="P1362" s="59" t="inlineStr">
        <is>
          <t>0-30</t>
        </is>
      </c>
      <c r="Q1362" s="56" t="inlineStr">
        <is>
          <t>Apoorv</t>
        </is>
      </c>
      <c r="U1362" s="585" t="n">
        <v>3502301</v>
      </c>
      <c r="V1362" t="n">
        <v>48.6</v>
      </c>
      <c r="W1362" t="n">
        <v>0</v>
      </c>
      <c r="X1362" t="n">
        <v>2</v>
      </c>
      <c r="Y1362" t="n">
        <v>6.27</v>
      </c>
      <c r="Z1362" t="inlineStr"/>
      <c r="AA1362" t="inlineStr">
        <is>
          <t>FC</t>
        </is>
      </c>
      <c r="AB1362" t="inlineStr">
        <is>
          <t>AW</t>
        </is>
      </c>
      <c r="AC1362" t="inlineStr">
        <is>
          <t>48.6--2-HST-FIN CUT</t>
        </is>
      </c>
      <c r="AD1362" t="inlineStr">
        <is>
          <t>LL</t>
        </is>
      </c>
      <c r="AE1362" t="inlineStr">
        <is>
          <t>48.6--2-HST-FIN CUT-1</t>
        </is>
      </c>
      <c r="AF1362" t="n">
        <v>2.2972868</v>
      </c>
    </row>
    <row r="1363">
      <c r="A1363" s="56" t="n">
        <v>3682124</v>
      </c>
      <c r="B1363" s="56" t="inlineStr">
        <is>
          <t>TUB-O-N-AUT-AW-PE-22.20X1.600X6.4500</t>
        </is>
      </c>
      <c r="C1363" s="56" t="inlineStr">
        <is>
          <t>5104C20020</t>
        </is>
      </c>
      <c r="D1363" s="56" t="n"/>
      <c r="E1363" s="57" t="n">
        <v>2125.578</v>
      </c>
      <c r="F1363" s="57" t="n">
        <v>2.125578</v>
      </c>
      <c r="G1363" s="56" t="inlineStr">
        <is>
          <t>KG</t>
        </is>
      </c>
      <c r="H1363" s="56" t="inlineStr">
        <is>
          <t>R001</t>
        </is>
      </c>
      <c r="I1363" s="56" t="inlineStr">
        <is>
          <t>4318</t>
        </is>
      </c>
      <c r="J1363" s="56" t="n"/>
      <c r="K1363" s="56" t="n"/>
      <c r="L1363" s="56" t="n"/>
      <c r="M1363" s="56" t="n"/>
      <c r="N1363" s="60" t="inlineStr">
        <is>
          <t>Neel Metal Products Limited</t>
        </is>
      </c>
      <c r="O1363" s="56" t="n">
        <v>2</v>
      </c>
      <c r="P1363" s="59" t="inlineStr">
        <is>
          <t>0-30</t>
        </is>
      </c>
      <c r="Q1363" s="56" t="inlineStr">
        <is>
          <t>Apoorv</t>
        </is>
      </c>
      <c r="U1363" s="585" t="n">
        <v>3597587</v>
      </c>
      <c r="V1363" t="n">
        <v>48.6</v>
      </c>
      <c r="W1363" t="n">
        <v>0</v>
      </c>
      <c r="X1363" t="n">
        <v>2</v>
      </c>
      <c r="Y1363" t="n">
        <v>6.55</v>
      </c>
      <c r="Z1363" t="inlineStr">
        <is>
          <t>SAE1020</t>
        </is>
      </c>
      <c r="AA1363" t="inlineStr">
        <is>
          <t>FC</t>
        </is>
      </c>
      <c r="AB1363" t="inlineStr">
        <is>
          <t>AW</t>
        </is>
      </c>
      <c r="AC1363" t="inlineStr">
        <is>
          <t>48.6--2-HST-FIN CUT</t>
        </is>
      </c>
      <c r="AD1363" t="inlineStr">
        <is>
          <t>LL</t>
        </is>
      </c>
      <c r="AE1363" t="inlineStr">
        <is>
          <t>48.6--2-HST-FIN CUT-1</t>
        </is>
      </c>
      <c r="AF1363" t="n">
        <v>2.2972868</v>
      </c>
    </row>
    <row r="1364">
      <c r="A1364" s="56" t="n">
        <v>3682124</v>
      </c>
      <c r="B1364" s="56" t="inlineStr">
        <is>
          <t>TUB-O-N-AUT-AW-PE-22.20X1.600X6.4500</t>
        </is>
      </c>
      <c r="C1364" s="56" t="inlineStr">
        <is>
          <t>5104C20010</t>
        </is>
      </c>
      <c r="D1364" s="56" t="n"/>
      <c r="E1364" s="57" t="n">
        <v>2120.517</v>
      </c>
      <c r="F1364" s="57" t="n">
        <v>2.120517</v>
      </c>
      <c r="G1364" s="56" t="inlineStr">
        <is>
          <t>KG</t>
        </is>
      </c>
      <c r="H1364" s="56" t="inlineStr">
        <is>
          <t>R001</t>
        </is>
      </c>
      <c r="I1364" s="56" t="inlineStr">
        <is>
          <t>4318</t>
        </is>
      </c>
      <c r="J1364" s="56" t="n"/>
      <c r="K1364" s="56" t="n"/>
      <c r="L1364" s="56" t="n"/>
      <c r="M1364" s="56" t="n"/>
      <c r="N1364" s="60" t="inlineStr">
        <is>
          <t>Neel Metal Products Limited</t>
        </is>
      </c>
      <c r="O1364" s="56" t="n">
        <v>2</v>
      </c>
      <c r="P1364" s="59" t="inlineStr">
        <is>
          <t>0-30</t>
        </is>
      </c>
      <c r="Q1364" s="56" t="inlineStr">
        <is>
          <t>Apoorv</t>
        </is>
      </c>
      <c r="U1364" s="585" t="n">
        <v>3514379</v>
      </c>
      <c r="V1364" t="n">
        <v>48.6</v>
      </c>
      <c r="W1364" t="n">
        <v>0</v>
      </c>
      <c r="X1364" t="n">
        <v>2</v>
      </c>
      <c r="Y1364" t="n">
        <v>6.55</v>
      </c>
      <c r="Z1364" t="inlineStr"/>
      <c r="AA1364" t="inlineStr">
        <is>
          <t>FC</t>
        </is>
      </c>
      <c r="AB1364" t="inlineStr">
        <is>
          <t>AW</t>
        </is>
      </c>
      <c r="AC1364" t="inlineStr">
        <is>
          <t>48.6--2-HST-FIN CUT</t>
        </is>
      </c>
      <c r="AD1364" t="inlineStr">
        <is>
          <t>LL</t>
        </is>
      </c>
      <c r="AE1364" t="inlineStr">
        <is>
          <t>48.6--2-HST-FIN CUT-1</t>
        </is>
      </c>
      <c r="AF1364" t="n">
        <v>2.2972868</v>
      </c>
    </row>
    <row r="1365">
      <c r="A1365" s="56" t="n">
        <v>3682124</v>
      </c>
      <c r="B1365" s="56" t="inlineStr">
        <is>
          <t>TUB-O-N-AUT-AW-PE-22.20X1.600X6.4500</t>
        </is>
      </c>
      <c r="C1365" s="56" t="inlineStr">
        <is>
          <t>5104B20240</t>
        </is>
      </c>
      <c r="D1365" s="56" t="n"/>
      <c r="E1365" s="57" t="n">
        <v>2120.517</v>
      </c>
      <c r="F1365" s="57" t="n">
        <v>2.120517</v>
      </c>
      <c r="G1365" s="56" t="inlineStr">
        <is>
          <t>KG</t>
        </is>
      </c>
      <c r="H1365" s="56" t="inlineStr">
        <is>
          <t>R001</t>
        </is>
      </c>
      <c r="I1365" s="56" t="inlineStr">
        <is>
          <t>4318</t>
        </is>
      </c>
      <c r="J1365" s="56" t="n"/>
      <c r="K1365" s="56" t="n"/>
      <c r="L1365" s="56" t="n"/>
      <c r="M1365" s="56" t="n"/>
      <c r="N1365" s="60" t="inlineStr">
        <is>
          <t>Neel Metal Products Limited</t>
        </is>
      </c>
      <c r="O1365" s="56" t="n">
        <v>2</v>
      </c>
      <c r="P1365" s="59" t="inlineStr">
        <is>
          <t>0-30</t>
        </is>
      </c>
      <c r="Q1365" s="56" t="inlineStr">
        <is>
          <t>Apoorv</t>
        </is>
      </c>
      <c r="U1365" s="585" t="n">
        <v>1325388</v>
      </c>
      <c r="V1365" t="n">
        <v>48.6</v>
      </c>
      <c r="W1365" t="n">
        <v>0</v>
      </c>
      <c r="X1365" t="n">
        <v>2.3</v>
      </c>
      <c r="Y1365" t="n">
        <v>0.308</v>
      </c>
      <c r="Z1365" t="inlineStr"/>
      <c r="AA1365" t="inlineStr">
        <is>
          <t>FC</t>
        </is>
      </c>
      <c r="AB1365" t="inlineStr">
        <is>
          <t>AW</t>
        </is>
      </c>
      <c r="AC1365" t="inlineStr">
        <is>
          <t>48.6--2.3-HST-FIN CUT</t>
        </is>
      </c>
      <c r="AD1365" t="inlineStr">
        <is>
          <t>CTL</t>
        </is>
      </c>
      <c r="AE1365" t="inlineStr">
        <is>
          <t>48.6--2.3-HST-FIN CUT-0.308</t>
        </is>
      </c>
      <c r="AF1365" t="n">
        <v>0.8084605790799999</v>
      </c>
    </row>
    <row r="1366">
      <c r="A1366" s="56" t="n">
        <v>3682124</v>
      </c>
      <c r="B1366" s="56" t="inlineStr">
        <is>
          <t>TUB-O-N-AUT-AW-PE-22.20X1.600X6.4500</t>
        </is>
      </c>
      <c r="C1366" s="56" t="inlineStr">
        <is>
          <t>5104B20230</t>
        </is>
      </c>
      <c r="D1366" s="56" t="n"/>
      <c r="E1366" s="57" t="n">
        <v>2125.578</v>
      </c>
      <c r="F1366" s="57" t="n">
        <v>2.125578</v>
      </c>
      <c r="G1366" s="56" t="inlineStr">
        <is>
          <t>KG</t>
        </is>
      </c>
      <c r="H1366" s="56" t="inlineStr">
        <is>
          <t>R001</t>
        </is>
      </c>
      <c r="I1366" s="56" t="inlineStr">
        <is>
          <t>4318</t>
        </is>
      </c>
      <c r="J1366" s="56" t="n"/>
      <c r="K1366" s="56" t="n"/>
      <c r="L1366" s="56" t="n"/>
      <c r="M1366" s="56" t="n"/>
      <c r="N1366" s="60" t="inlineStr">
        <is>
          <t>Neel Metal Products Limited</t>
        </is>
      </c>
      <c r="O1366" s="56" t="n">
        <v>2</v>
      </c>
      <c r="P1366" s="59" t="inlineStr">
        <is>
          <t>0-30</t>
        </is>
      </c>
      <c r="Q1366" s="56" t="inlineStr">
        <is>
          <t>Apoorv</t>
        </is>
      </c>
      <c r="U1366" s="585" t="n">
        <v>3508060</v>
      </c>
      <c r="V1366" t="n">
        <v>48.6</v>
      </c>
      <c r="W1366" t="n">
        <v>0</v>
      </c>
      <c r="X1366" t="n">
        <v>2.3</v>
      </c>
      <c r="Y1366" t="n">
        <v>0.308</v>
      </c>
      <c r="Z1366" t="inlineStr"/>
      <c r="AA1366" t="inlineStr">
        <is>
          <t>FC</t>
        </is>
      </c>
      <c r="AB1366" t="inlineStr">
        <is>
          <t>AW</t>
        </is>
      </c>
      <c r="AC1366" t="inlineStr">
        <is>
          <t>48.6--2.3-HST-FIN CUT</t>
        </is>
      </c>
      <c r="AD1366" t="inlineStr">
        <is>
          <t>CTL</t>
        </is>
      </c>
      <c r="AE1366" t="inlineStr">
        <is>
          <t>48.6--2.3-HST-FIN CUT-0.308</t>
        </is>
      </c>
      <c r="AF1366" t="n">
        <v>0.8084605790799999</v>
      </c>
    </row>
    <row r="1367">
      <c r="A1367" s="56" t="n">
        <v>3682124</v>
      </c>
      <c r="B1367" s="56" t="inlineStr">
        <is>
          <t>TUB-O-N-AUT-AW-PE-22.20X1.600X6.4500</t>
        </is>
      </c>
      <c r="C1367" s="56" t="inlineStr">
        <is>
          <t>5104B20220</t>
        </is>
      </c>
      <c r="D1367" s="56" t="n"/>
      <c r="E1367" s="57" t="n">
        <v>2125.578</v>
      </c>
      <c r="F1367" s="57" t="n">
        <v>2.125578</v>
      </c>
      <c r="G1367" s="56" t="inlineStr">
        <is>
          <t>KG</t>
        </is>
      </c>
      <c r="H1367" s="56" t="inlineStr">
        <is>
          <t>R001</t>
        </is>
      </c>
      <c r="I1367" s="56" t="inlineStr">
        <is>
          <t>4318</t>
        </is>
      </c>
      <c r="J1367" s="56" t="n"/>
      <c r="K1367" s="56" t="n"/>
      <c r="L1367" s="56" t="n"/>
      <c r="M1367" s="56" t="n"/>
      <c r="N1367" s="60" t="inlineStr">
        <is>
          <t>Neel Metal Products Limited</t>
        </is>
      </c>
      <c r="O1367" s="56" t="n">
        <v>2</v>
      </c>
      <c r="P1367" s="59" t="inlineStr">
        <is>
          <t>0-30</t>
        </is>
      </c>
      <c r="Q1367" s="56" t="inlineStr">
        <is>
          <t>Apoorv</t>
        </is>
      </c>
      <c r="U1367" s="585" t="n">
        <v>3501092</v>
      </c>
      <c r="V1367" t="n">
        <v>48.6</v>
      </c>
      <c r="W1367" t="n">
        <v>0</v>
      </c>
      <c r="X1367" t="n">
        <v>2.3</v>
      </c>
      <c r="Y1367" t="n">
        <v>5.945</v>
      </c>
      <c r="Z1367" t="inlineStr"/>
      <c r="AA1367" t="inlineStr">
        <is>
          <t>FC</t>
        </is>
      </c>
      <c r="AB1367" t="inlineStr">
        <is>
          <t>AW</t>
        </is>
      </c>
      <c r="AC1367" t="inlineStr">
        <is>
          <t>48.6--2.3-HST-FIN CUT</t>
        </is>
      </c>
      <c r="AD1367" t="inlineStr">
        <is>
          <t>LL</t>
        </is>
      </c>
      <c r="AE1367" t="inlineStr">
        <is>
          <t>48.6--2.3-HST-FIN CUT-1</t>
        </is>
      </c>
      <c r="AF1367" t="n">
        <v>2.62487201</v>
      </c>
    </row>
    <row r="1368">
      <c r="A1368" s="56" t="n">
        <v>3682124</v>
      </c>
      <c r="B1368" s="56" t="inlineStr">
        <is>
          <t>TUB-O-N-AUT-AW-PE-22.20X1.600X6.4500</t>
        </is>
      </c>
      <c r="C1368" s="56" t="inlineStr">
        <is>
          <t>5103B20040</t>
        </is>
      </c>
      <c r="D1368" s="56" t="n"/>
      <c r="E1368" s="57" t="n">
        <v>2120.517</v>
      </c>
      <c r="F1368" s="57" t="n">
        <v>2.120517</v>
      </c>
      <c r="G1368" s="56" t="inlineStr">
        <is>
          <t>KG</t>
        </is>
      </c>
      <c r="H1368" s="56" t="inlineStr">
        <is>
          <t>R001</t>
        </is>
      </c>
      <c r="I1368" s="56" t="inlineStr">
        <is>
          <t>4318</t>
        </is>
      </c>
      <c r="J1368" s="56" t="n"/>
      <c r="K1368" s="56" t="n"/>
      <c r="L1368" s="56" t="n"/>
      <c r="M1368" s="56" t="n"/>
      <c r="N1368" s="60" t="inlineStr">
        <is>
          <t>Neel Metal Products Limited</t>
        </is>
      </c>
      <c r="O1368" s="56" t="n">
        <v>2</v>
      </c>
      <c r="P1368" s="59" t="inlineStr">
        <is>
          <t>0-30</t>
        </is>
      </c>
      <c r="Q1368" s="56" t="inlineStr">
        <is>
          <t>Apoorv</t>
        </is>
      </c>
      <c r="U1368" s="585" t="n">
        <v>3230505</v>
      </c>
      <c r="V1368" t="n">
        <v>48.6</v>
      </c>
      <c r="W1368" t="n">
        <v>0</v>
      </c>
      <c r="X1368" t="n">
        <v>2.3</v>
      </c>
      <c r="Y1368" t="n">
        <v>5.97</v>
      </c>
      <c r="Z1368" t="inlineStr">
        <is>
          <t>SAE1020</t>
        </is>
      </c>
      <c r="AA1368" t="inlineStr">
        <is>
          <t>FC</t>
        </is>
      </c>
      <c r="AB1368" t="inlineStr">
        <is>
          <t>AW</t>
        </is>
      </c>
      <c r="AC1368" t="inlineStr">
        <is>
          <t>48.6--2.3-HST-FIN CUT</t>
        </is>
      </c>
      <c r="AD1368" t="inlineStr">
        <is>
          <t>LL</t>
        </is>
      </c>
      <c r="AE1368" t="inlineStr">
        <is>
          <t>48.6--2.3-HST-FIN CUT-1</t>
        </is>
      </c>
      <c r="AF1368" t="n">
        <v>2.62487201</v>
      </c>
    </row>
    <row r="1369">
      <c r="A1369" s="56" t="n">
        <v>3682124</v>
      </c>
      <c r="B1369" s="56" t="inlineStr">
        <is>
          <t>TUB-O-N-AUT-AW-PE-22.20X1.600X6.4500</t>
        </is>
      </c>
      <c r="C1369" s="56" t="inlineStr">
        <is>
          <t>5103B20020</t>
        </is>
      </c>
      <c r="D1369" s="56" t="n"/>
      <c r="E1369" s="57" t="n">
        <v>2125.578</v>
      </c>
      <c r="F1369" s="57" t="n">
        <v>2.125578</v>
      </c>
      <c r="G1369" s="56" t="inlineStr">
        <is>
          <t>KG</t>
        </is>
      </c>
      <c r="H1369" s="56" t="inlineStr">
        <is>
          <t>R001</t>
        </is>
      </c>
      <c r="I1369" s="56" t="inlineStr">
        <is>
          <t>4318</t>
        </is>
      </c>
      <c r="J1369" s="56" t="n"/>
      <c r="K1369" s="56" t="n"/>
      <c r="L1369" s="56" t="n"/>
      <c r="M1369" s="56" t="n"/>
      <c r="N1369" s="60" t="inlineStr">
        <is>
          <t>Neel Metal Products Limited</t>
        </is>
      </c>
      <c r="O1369" s="56" t="n">
        <v>2</v>
      </c>
      <c r="P1369" s="59" t="inlineStr">
        <is>
          <t>0-30</t>
        </is>
      </c>
      <c r="Q1369" s="56" t="inlineStr">
        <is>
          <t>Apoorv</t>
        </is>
      </c>
      <c r="U1369" s="585" t="n">
        <v>2404864</v>
      </c>
      <c r="V1369" t="n">
        <v>48.6</v>
      </c>
      <c r="W1369" t="n">
        <v>0</v>
      </c>
      <c r="X1369" t="n">
        <v>2.3</v>
      </c>
      <c r="Y1369" t="n">
        <v>6.01</v>
      </c>
      <c r="Z1369" t="inlineStr">
        <is>
          <t>SAE1020</t>
        </is>
      </c>
      <c r="AA1369" t="inlineStr">
        <is>
          <t>FC</t>
        </is>
      </c>
      <c r="AB1369" t="inlineStr">
        <is>
          <t>AW</t>
        </is>
      </c>
      <c r="AC1369" t="inlineStr">
        <is>
          <t>48.6--2.3-HST-FIN CUT</t>
        </is>
      </c>
      <c r="AD1369" t="inlineStr">
        <is>
          <t>LL</t>
        </is>
      </c>
      <c r="AE1369" t="inlineStr">
        <is>
          <t>48.6--2.3-HST-FIN CUT-1</t>
        </is>
      </c>
      <c r="AF1369" t="n">
        <v>2.62487201</v>
      </c>
    </row>
    <row r="1370">
      <c r="A1370" s="56" t="n">
        <v>3682124</v>
      </c>
      <c r="B1370" s="56" t="inlineStr">
        <is>
          <t>TUB-O-N-AUT-AW-PE-22.20X1.600X6.4500</t>
        </is>
      </c>
      <c r="C1370" s="56" t="inlineStr">
        <is>
          <t>5103B20010</t>
        </is>
      </c>
      <c r="D1370" s="56" t="n"/>
      <c r="E1370" s="57" t="n">
        <v>2105.334</v>
      </c>
      <c r="F1370" s="57" t="n">
        <v>2.105334</v>
      </c>
      <c r="G1370" s="56" t="inlineStr">
        <is>
          <t>KG</t>
        </is>
      </c>
      <c r="H1370" s="56" t="inlineStr">
        <is>
          <t>R001</t>
        </is>
      </c>
      <c r="I1370" s="56" t="inlineStr">
        <is>
          <t>4318</t>
        </is>
      </c>
      <c r="J1370" s="56" t="n"/>
      <c r="K1370" s="56" t="n"/>
      <c r="L1370" s="56" t="n"/>
      <c r="M1370" s="56" t="n"/>
      <c r="N1370" s="60" t="inlineStr">
        <is>
          <t>Neel Metal Products Limited</t>
        </is>
      </c>
      <c r="O1370" s="56" t="n">
        <v>2</v>
      </c>
      <c r="P1370" s="59" t="inlineStr">
        <is>
          <t>0-30</t>
        </is>
      </c>
      <c r="Q1370" s="56" t="inlineStr">
        <is>
          <t>Apoorv</t>
        </is>
      </c>
      <c r="U1370" s="585" t="n">
        <v>3549720</v>
      </c>
      <c r="V1370" t="n">
        <v>48.6</v>
      </c>
      <c r="W1370" t="n">
        <v>0</v>
      </c>
      <c r="X1370" t="n">
        <v>2.3</v>
      </c>
      <c r="Y1370" t="n">
        <v>6.27</v>
      </c>
      <c r="Z1370" t="inlineStr"/>
      <c r="AA1370" t="inlineStr">
        <is>
          <t>FC</t>
        </is>
      </c>
      <c r="AB1370" t="inlineStr">
        <is>
          <t>AW</t>
        </is>
      </c>
      <c r="AC1370" t="inlineStr">
        <is>
          <t>48.6--2.3-HST-FIN CUT</t>
        </is>
      </c>
      <c r="AD1370" t="inlineStr">
        <is>
          <t>LL</t>
        </is>
      </c>
      <c r="AE1370" t="inlineStr">
        <is>
          <t>48.6--2.3-HST-FIN CUT-1</t>
        </is>
      </c>
      <c r="AF1370" t="n">
        <v>2.62487201</v>
      </c>
    </row>
    <row r="1371">
      <c r="A1371" s="56" t="n">
        <v>3682124</v>
      </c>
      <c r="B1371" s="56" t="inlineStr">
        <is>
          <t>TUB-O-N-AUT-AW-PE-22.20X1.600X6.4500</t>
        </is>
      </c>
      <c r="C1371" s="56" t="inlineStr">
        <is>
          <t>5103A20020</t>
        </is>
      </c>
      <c r="D1371" s="56" t="n"/>
      <c r="E1371" s="57" t="n">
        <v>2120.517</v>
      </c>
      <c r="F1371" s="57" t="n">
        <v>2.120517</v>
      </c>
      <c r="G1371" s="56" t="inlineStr">
        <is>
          <t>KG</t>
        </is>
      </c>
      <c r="H1371" s="56" t="inlineStr">
        <is>
          <t>R001</t>
        </is>
      </c>
      <c r="I1371" s="56" t="inlineStr">
        <is>
          <t>4318</t>
        </is>
      </c>
      <c r="J1371" s="56" t="n"/>
      <c r="K1371" s="56" t="n"/>
      <c r="L1371" s="56" t="n"/>
      <c r="M1371" s="56" t="n"/>
      <c r="N1371" s="60" t="inlineStr">
        <is>
          <t>Neel Metal Products Limited</t>
        </is>
      </c>
      <c r="O1371" s="56" t="n">
        <v>2</v>
      </c>
      <c r="P1371" s="59" t="inlineStr">
        <is>
          <t>0-30</t>
        </is>
      </c>
      <c r="Q1371" s="56" t="inlineStr">
        <is>
          <t>Apoorv</t>
        </is>
      </c>
      <c r="U1371" s="585" t="n">
        <v>3238860</v>
      </c>
      <c r="V1371" t="n">
        <v>48.6</v>
      </c>
      <c r="W1371" t="n">
        <v>0</v>
      </c>
      <c r="X1371" t="n">
        <v>3.4</v>
      </c>
      <c r="Y1371" t="n">
        <v>0.185</v>
      </c>
      <c r="Z1371" t="inlineStr">
        <is>
          <t>NORMAL</t>
        </is>
      </c>
      <c r="AA1371" t="inlineStr">
        <is>
          <t>FC</t>
        </is>
      </c>
      <c r="AB1371" t="inlineStr">
        <is>
          <t>AW</t>
        </is>
      </c>
      <c r="AC1371" t="inlineStr">
        <is>
          <t>48.6-0-3.5-ERW 1-FC</t>
        </is>
      </c>
      <c r="AD1371" t="inlineStr">
        <is>
          <t>CTL</t>
        </is>
      </c>
      <c r="AE1371" t="inlineStr">
        <is>
          <t>48.6-0-3.5-ERW 1-FC-0.185</t>
        </is>
      </c>
      <c r="AF1371" t="n">
        <v>0.7007907892</v>
      </c>
    </row>
    <row r="1372">
      <c r="A1372" s="56" t="n">
        <v>3682124</v>
      </c>
      <c r="B1372" s="56" t="inlineStr">
        <is>
          <t>TUB-O-N-AUT-AW-PE-22.20X1.600X6.4500</t>
        </is>
      </c>
      <c r="C1372" s="56" t="inlineStr">
        <is>
          <t>5103A20010</t>
        </is>
      </c>
      <c r="D1372" s="56" t="n"/>
      <c r="E1372" s="57" t="n">
        <v>101.178</v>
      </c>
      <c r="F1372" s="57" t="n">
        <v>0.101178</v>
      </c>
      <c r="G1372" s="56" t="inlineStr">
        <is>
          <t>KG</t>
        </is>
      </c>
      <c r="H1372" s="56" t="inlineStr">
        <is>
          <t>R001</t>
        </is>
      </c>
      <c r="I1372" s="56" t="inlineStr">
        <is>
          <t>4318</t>
        </is>
      </c>
      <c r="J1372" s="56" t="n"/>
      <c r="K1372" s="56" t="n"/>
      <c r="L1372" s="56" t="n"/>
      <c r="M1372" s="56" t="n"/>
      <c r="N1372" s="60" t="inlineStr">
        <is>
          <t>Neel Metal Products Limited</t>
        </is>
      </c>
      <c r="O1372" s="56" t="n">
        <v>2</v>
      </c>
      <c r="P1372" s="59" t="inlineStr">
        <is>
          <t>0-30</t>
        </is>
      </c>
      <c r="Q1372" s="56" t="inlineStr">
        <is>
          <t>Apoorv</t>
        </is>
      </c>
      <c r="U1372" s="585" t="n">
        <v>3770753</v>
      </c>
      <c r="V1372" t="n">
        <v>48.6</v>
      </c>
      <c r="W1372" t="n">
        <v>0</v>
      </c>
      <c r="X1372" t="n">
        <v>3.4</v>
      </c>
      <c r="Y1372" t="n">
        <v>3.035</v>
      </c>
      <c r="Z1372" t="inlineStr">
        <is>
          <t>HROP</t>
        </is>
      </c>
      <c r="AA1372" t="inlineStr">
        <is>
          <t>FC</t>
        </is>
      </c>
      <c r="AB1372" t="inlineStr">
        <is>
          <t>AW</t>
        </is>
      </c>
      <c r="AC1372" t="inlineStr">
        <is>
          <t>48.6-0-3.5-ERW 1-FC</t>
        </is>
      </c>
      <c r="AD1372" t="inlineStr">
        <is>
          <t>CTL</t>
        </is>
      </c>
      <c r="AE1372" t="inlineStr">
        <is>
          <t>48.6-0-3.5-ERW 1-FC-3.035</t>
        </is>
      </c>
      <c r="AF1372" t="n">
        <v>11.4967570012</v>
      </c>
    </row>
    <row r="1373">
      <c r="A1373" s="56" t="n">
        <v>3682960</v>
      </c>
      <c r="B1373" s="56" t="inlineStr">
        <is>
          <t>TUB-O-N-AUT-NR-FC-57.15X2.000X6.5500</t>
        </is>
      </c>
      <c r="C1373" s="56" t="inlineStr">
        <is>
          <t>4B07A40050</t>
        </is>
      </c>
      <c r="D1373" s="56" t="n"/>
      <c r="E1373" s="57" t="n">
        <v>1095.381</v>
      </c>
      <c r="F1373" s="57" t="n">
        <v>1.095381</v>
      </c>
      <c r="G1373" s="56" t="inlineStr">
        <is>
          <t>KG</t>
        </is>
      </c>
      <c r="H1373" s="56" t="inlineStr">
        <is>
          <t>TF01</t>
        </is>
      </c>
      <c r="I1373" s="56" t="inlineStr">
        <is>
          <t>4318</t>
        </is>
      </c>
      <c r="J1373" s="56" t="n"/>
      <c r="K1373" s="56" t="n"/>
      <c r="L1373" s="56" t="n"/>
      <c r="M1373" s="56" t="n"/>
      <c r="N1373" s="56" t="inlineStr">
        <is>
          <t>Rajsriya Automotive Ind Pvt Ltd.</t>
        </is>
      </c>
      <c r="O1373" s="56" t="n">
        <v>42</v>
      </c>
      <c r="P1373" s="59" t="inlineStr">
        <is>
          <t>31-60</t>
        </is>
      </c>
      <c r="Q1373" s="56" t="inlineStr">
        <is>
          <t>Apoorv</t>
        </is>
      </c>
      <c r="U1373" s="585" t="n">
        <v>3742593</v>
      </c>
      <c r="V1373" t="n">
        <v>48.6</v>
      </c>
      <c r="W1373" t="n">
        <v>0</v>
      </c>
      <c r="X1373" t="n">
        <v>3.4</v>
      </c>
      <c r="Y1373" t="n">
        <v>4.5</v>
      </c>
      <c r="Z1373" t="inlineStr">
        <is>
          <t>NORMAL</t>
        </is>
      </c>
      <c r="AA1373" t="inlineStr">
        <is>
          <t>FC</t>
        </is>
      </c>
      <c r="AB1373" t="inlineStr">
        <is>
          <t>AW</t>
        </is>
      </c>
      <c r="AC1373" t="inlineStr">
        <is>
          <t>48.6-0-3.5-ERW 1-FC</t>
        </is>
      </c>
      <c r="AD1373" t="inlineStr">
        <is>
          <t>LL</t>
        </is>
      </c>
      <c r="AE1373" t="inlineStr">
        <is>
          <t>48.6-0-3.5-ERW 1-FC-1</t>
        </is>
      </c>
      <c r="AF1373" t="n">
        <v>3.78805832</v>
      </c>
    </row>
    <row r="1374">
      <c r="A1374" s="56" t="n">
        <v>3682960</v>
      </c>
      <c r="B1374" s="56" t="inlineStr">
        <is>
          <t>TUB-O-N-AUT-NR-FC-57.15X2.000X6.5500</t>
        </is>
      </c>
      <c r="C1374" s="56" t="inlineStr">
        <is>
          <t>4B07A40040</t>
        </is>
      </c>
      <c r="D1374" s="56" t="n"/>
      <c r="E1374" s="57" t="n">
        <v>1773.474</v>
      </c>
      <c r="F1374" s="57" t="n">
        <v>1.773474</v>
      </c>
      <c r="G1374" s="56" t="inlineStr">
        <is>
          <t>KG</t>
        </is>
      </c>
      <c r="H1374" s="56" t="inlineStr">
        <is>
          <t>TF01</t>
        </is>
      </c>
      <c r="I1374" s="56" t="inlineStr">
        <is>
          <t>4318</t>
        </is>
      </c>
      <c r="J1374" s="56" t="n"/>
      <c r="K1374" s="56" t="n"/>
      <c r="L1374" s="56" t="n"/>
      <c r="M1374" s="56" t="n"/>
      <c r="N1374" s="56" t="inlineStr">
        <is>
          <t>Rajsriya Automotive Ind Pvt Ltd.</t>
        </is>
      </c>
      <c r="O1374" s="56" t="n">
        <v>42</v>
      </c>
      <c r="P1374" s="59" t="inlineStr">
        <is>
          <t>31-60</t>
        </is>
      </c>
      <c r="Q1374" s="56" t="inlineStr">
        <is>
          <t>Apoorv</t>
        </is>
      </c>
      <c r="U1374" s="585" t="n">
        <v>2356445</v>
      </c>
      <c r="V1374" t="n">
        <v>48.6</v>
      </c>
      <c r="W1374" t="n">
        <v>0</v>
      </c>
      <c r="X1374" t="n">
        <v>3.4</v>
      </c>
      <c r="Y1374" t="n">
        <v>6.05</v>
      </c>
      <c r="Z1374" t="inlineStr">
        <is>
          <t>HROP</t>
        </is>
      </c>
      <c r="AA1374" t="inlineStr">
        <is>
          <t>PE</t>
        </is>
      </c>
      <c r="AB1374" t="inlineStr">
        <is>
          <t>AW</t>
        </is>
      </c>
      <c r="AC1374" t="inlineStr">
        <is>
          <t>48.6-0-3.5-ERW 1-FC</t>
        </is>
      </c>
      <c r="AD1374" t="inlineStr">
        <is>
          <t>LL</t>
        </is>
      </c>
      <c r="AE1374" t="inlineStr">
        <is>
          <t>48.6-0-3.5-ERW 1-FC-1</t>
        </is>
      </c>
      <c r="AF1374" t="n">
        <v>3.78805832</v>
      </c>
    </row>
    <row r="1375">
      <c r="A1375" s="56" t="n">
        <v>3682960</v>
      </c>
      <c r="B1375" s="56" t="inlineStr">
        <is>
          <t>TUB-O-N-AUT-NR-FC-57.15X2.000X6.5500</t>
        </is>
      </c>
      <c r="C1375" s="56" t="inlineStr">
        <is>
          <t>4B07A40020</t>
        </is>
      </c>
      <c r="D1375" s="56" t="n"/>
      <c r="E1375" s="57" t="n">
        <v>1721.313</v>
      </c>
      <c r="F1375" s="57" t="n">
        <v>1.721313</v>
      </c>
      <c r="G1375" s="56" t="inlineStr">
        <is>
          <t>KG</t>
        </is>
      </c>
      <c r="H1375" s="56" t="inlineStr">
        <is>
          <t>TF01</t>
        </is>
      </c>
      <c r="I1375" s="56" t="inlineStr">
        <is>
          <t>4318</t>
        </is>
      </c>
      <c r="J1375" s="56" t="n"/>
      <c r="K1375" s="56" t="n"/>
      <c r="L1375" s="56" t="n"/>
      <c r="M1375" s="56" t="n"/>
      <c r="N1375" s="56" t="inlineStr">
        <is>
          <t>Rajsriya Automotive Ind Pvt Ltd.</t>
        </is>
      </c>
      <c r="O1375" s="56" t="n">
        <v>30</v>
      </c>
      <c r="P1375" s="59" t="inlineStr">
        <is>
          <t>0-30</t>
        </is>
      </c>
      <c r="Q1375" s="56" t="inlineStr">
        <is>
          <t>Apoorv</t>
        </is>
      </c>
      <c r="U1375" s="585" t="n">
        <v>3239049</v>
      </c>
      <c r="V1375" t="n">
        <v>48.6</v>
      </c>
      <c r="W1375" t="n">
        <v>0</v>
      </c>
      <c r="X1375" t="n">
        <v>3.5</v>
      </c>
      <c r="Y1375" t="n">
        <v>0.172</v>
      </c>
      <c r="Z1375" t="inlineStr">
        <is>
          <t>HROP</t>
        </is>
      </c>
      <c r="AA1375" t="inlineStr">
        <is>
          <t>FC</t>
        </is>
      </c>
      <c r="AB1375" t="inlineStr">
        <is>
          <t>AW</t>
        </is>
      </c>
      <c r="AC1375" t="inlineStr">
        <is>
          <t>48.6-0-3.5-ERW 1-FC</t>
        </is>
      </c>
      <c r="AD1375" t="inlineStr">
        <is>
          <t>CTL</t>
        </is>
      </c>
      <c r="AE1375" t="inlineStr">
        <is>
          <t>48.6-0-3.5-ERW 1-FC-0.172</t>
        </is>
      </c>
      <c r="AF1375" t="n">
        <v>0.6692252797999999</v>
      </c>
    </row>
    <row r="1376">
      <c r="A1376" s="56" t="n">
        <v>3682960</v>
      </c>
      <c r="B1376" s="56" t="inlineStr">
        <is>
          <t>TUB-O-N-AUT-NR-FC-57.15X2.000X6.5500</t>
        </is>
      </c>
      <c r="C1376" s="56" t="inlineStr">
        <is>
          <t>4B07A40010</t>
        </is>
      </c>
      <c r="D1376" s="56" t="n"/>
      <c r="E1376" s="57" t="n">
        <v>1721.313</v>
      </c>
      <c r="F1376" s="57" t="n">
        <v>1.721313</v>
      </c>
      <c r="G1376" s="56" t="inlineStr">
        <is>
          <t>KG</t>
        </is>
      </c>
      <c r="H1376" s="56" t="inlineStr">
        <is>
          <t>TF01</t>
        </is>
      </c>
      <c r="I1376" s="56" t="inlineStr">
        <is>
          <t>4318</t>
        </is>
      </c>
      <c r="J1376" s="56" t="n"/>
      <c r="K1376" s="56" t="n"/>
      <c r="L1376" s="56" t="n"/>
      <c r="M1376" s="56" t="n"/>
      <c r="N1376" s="56" t="inlineStr">
        <is>
          <t>Rajsriya Automotive Ind Pvt Ltd.</t>
        </is>
      </c>
      <c r="O1376" s="56" t="n">
        <v>24</v>
      </c>
      <c r="P1376" s="59" t="inlineStr">
        <is>
          <t>0-30</t>
        </is>
      </c>
      <c r="Q1376" s="56" t="inlineStr">
        <is>
          <t>Apoorv</t>
        </is>
      </c>
      <c r="U1376" s="585" t="n">
        <v>282519</v>
      </c>
      <c r="V1376" t="n">
        <v>48.6</v>
      </c>
      <c r="W1376" t="n">
        <v>0</v>
      </c>
      <c r="X1376" t="n">
        <v>3.5</v>
      </c>
      <c r="Y1376" t="n">
        <v>0.184</v>
      </c>
      <c r="Z1376" t="inlineStr">
        <is>
          <t>TPT</t>
        </is>
      </c>
      <c r="AA1376" t="inlineStr">
        <is>
          <t>FC</t>
        </is>
      </c>
      <c r="AB1376" t="inlineStr">
        <is>
          <t>AW</t>
        </is>
      </c>
      <c r="AC1376" t="inlineStr">
        <is>
          <t>48.6-0-3.5-ERW 1-FC</t>
        </is>
      </c>
      <c r="AD1376" t="inlineStr">
        <is>
          <t>CTL</t>
        </is>
      </c>
      <c r="AE1376" t="inlineStr">
        <is>
          <t>48.6-0-3.5-ERW 1-FC-0.184</t>
        </is>
      </c>
      <c r="AF1376" t="n">
        <v>0.7159154155999999</v>
      </c>
    </row>
    <row r="1377">
      <c r="A1377" s="56" t="n">
        <v>3682960</v>
      </c>
      <c r="B1377" s="56" t="inlineStr">
        <is>
          <t>TUB-O-N-AUT-NR-FC-57.15X2.000X6.5500</t>
        </is>
      </c>
      <c r="C1377" s="56" t="inlineStr">
        <is>
          <t>4B06A40090</t>
        </is>
      </c>
      <c r="D1377" s="56" t="n"/>
      <c r="E1377" s="57" t="n">
        <v>1721.313</v>
      </c>
      <c r="F1377" s="57" t="n">
        <v>1.721313</v>
      </c>
      <c r="G1377" s="56" t="inlineStr">
        <is>
          <t>KG</t>
        </is>
      </c>
      <c r="H1377" s="56" t="inlineStr">
        <is>
          <t>TF01</t>
        </is>
      </c>
      <c r="I1377" s="56" t="inlineStr">
        <is>
          <t>4318</t>
        </is>
      </c>
      <c r="J1377" s="56" t="n"/>
      <c r="K1377" s="56" t="n"/>
      <c r="L1377" s="56" t="n"/>
      <c r="M1377" s="56" t="n"/>
      <c r="N1377" s="56" t="inlineStr">
        <is>
          <t>Rajsriya Automotive Ind Pvt Ltd.</t>
        </is>
      </c>
      <c r="O1377" s="56" t="n">
        <v>30</v>
      </c>
      <c r="P1377" s="59" t="inlineStr">
        <is>
          <t>0-30</t>
        </is>
      </c>
      <c r="Q1377" s="56" t="inlineStr">
        <is>
          <t>Apoorv</t>
        </is>
      </c>
      <c r="U1377" s="585" t="n">
        <v>3531650</v>
      </c>
      <c r="V1377" t="n">
        <v>48.6</v>
      </c>
      <c r="W1377" t="n">
        <v>0</v>
      </c>
      <c r="X1377" t="n">
        <v>3.5</v>
      </c>
      <c r="Y1377" t="n">
        <v>0.185</v>
      </c>
      <c r="Z1377" t="inlineStr">
        <is>
          <t>HROP</t>
        </is>
      </c>
      <c r="AA1377" t="inlineStr">
        <is>
          <t>CH</t>
        </is>
      </c>
      <c r="AB1377" t="inlineStr">
        <is>
          <t>AW</t>
        </is>
      </c>
      <c r="AC1377" t="inlineStr">
        <is>
          <t>48.6-0-3.5-ERW 1-FC</t>
        </is>
      </c>
      <c r="AD1377" t="inlineStr">
        <is>
          <t>CTL</t>
        </is>
      </c>
      <c r="AE1377" t="inlineStr">
        <is>
          <t>48.6-0-3.5-ERW 1-FC-0.185</t>
        </is>
      </c>
      <c r="AF1377" t="n">
        <v>0.7198062602499999</v>
      </c>
    </row>
    <row r="1378">
      <c r="A1378" s="56" t="n">
        <v>3682960</v>
      </c>
      <c r="B1378" s="56" t="inlineStr">
        <is>
          <t>TUB-O-N-AUT-NR-FC-57.15X2.000X6.5500</t>
        </is>
      </c>
      <c r="C1378" s="56" t="inlineStr">
        <is>
          <t>4B06A40020</t>
        </is>
      </c>
      <c r="D1378" s="56" t="n"/>
      <c r="E1378" s="57" t="n">
        <v>1721.313</v>
      </c>
      <c r="F1378" s="57" t="n">
        <v>1.721313</v>
      </c>
      <c r="G1378" s="56" t="inlineStr">
        <is>
          <t>KG</t>
        </is>
      </c>
      <c r="H1378" s="56" t="inlineStr">
        <is>
          <t>TF01</t>
        </is>
      </c>
      <c r="I1378" s="56" t="inlineStr">
        <is>
          <t>4318</t>
        </is>
      </c>
      <c r="J1378" s="56" t="n"/>
      <c r="K1378" s="56" t="n"/>
      <c r="L1378" s="56" t="n"/>
      <c r="M1378" s="56" t="n"/>
      <c r="N1378" s="56" t="inlineStr">
        <is>
          <t>Rajsriya Automotive Ind Pvt Ltd.</t>
        </is>
      </c>
      <c r="O1378" s="56" t="n">
        <v>42</v>
      </c>
      <c r="P1378" s="59" t="inlineStr">
        <is>
          <t>31-60</t>
        </is>
      </c>
      <c r="Q1378" s="56" t="inlineStr">
        <is>
          <t>Apoorv</t>
        </is>
      </c>
      <c r="U1378" s="585" t="n">
        <v>1568170</v>
      </c>
      <c r="V1378" t="n">
        <v>48.6</v>
      </c>
      <c r="W1378" t="n">
        <v>0</v>
      </c>
      <c r="X1378" t="n">
        <v>3.5</v>
      </c>
      <c r="Y1378" t="n">
        <v>0.196</v>
      </c>
      <c r="Z1378" t="inlineStr"/>
      <c r="AA1378" t="inlineStr">
        <is>
          <t>FC</t>
        </is>
      </c>
      <c r="AB1378" t="inlineStr">
        <is>
          <t>BH</t>
        </is>
      </c>
      <c r="AC1378" t="inlineStr">
        <is>
          <t>48.6-0-3.5-ERW 1-FC</t>
        </is>
      </c>
      <c r="AD1378" t="inlineStr">
        <is>
          <t>CTL</t>
        </is>
      </c>
      <c r="AE1378" t="inlineStr">
        <is>
          <t>48.6-0-3.5-ERW 1-FC-0.196</t>
        </is>
      </c>
      <c r="AF1378" t="n">
        <v>0.7626055514000001</v>
      </c>
    </row>
    <row r="1379">
      <c r="A1379" s="56" t="n">
        <v>3682960</v>
      </c>
      <c r="B1379" s="56" t="inlineStr">
        <is>
          <t>TUB-O-N-AUT-NR-FC-57.15X2.000X6.5500</t>
        </is>
      </c>
      <c r="C1379" s="56" t="inlineStr">
        <is>
          <t>4B06A40010</t>
        </is>
      </c>
      <c r="D1379" s="56" t="n"/>
      <c r="E1379" s="57" t="n">
        <v>1669.152</v>
      </c>
      <c r="F1379" s="57" t="n">
        <v>1.669152</v>
      </c>
      <c r="G1379" s="56" t="inlineStr">
        <is>
          <t>KG</t>
        </is>
      </c>
      <c r="H1379" s="56" t="inlineStr">
        <is>
          <t>TF01</t>
        </is>
      </c>
      <c r="I1379" s="56" t="inlineStr">
        <is>
          <t>4318</t>
        </is>
      </c>
      <c r="J1379" s="56" t="n"/>
      <c r="K1379" s="56" t="n"/>
      <c r="L1379" s="56" t="n"/>
      <c r="M1379" s="56" t="n"/>
      <c r="N1379" s="56" t="inlineStr">
        <is>
          <t>Rajsriya Automotive Ind Pvt Ltd.</t>
        </is>
      </c>
      <c r="O1379" s="56" t="n">
        <v>42</v>
      </c>
      <c r="P1379" s="59" t="inlineStr">
        <is>
          <t>31-60</t>
        </is>
      </c>
      <c r="Q1379" s="56" t="inlineStr">
        <is>
          <t>Apoorv</t>
        </is>
      </c>
      <c r="U1379" s="585" t="n">
        <v>281785</v>
      </c>
      <c r="V1379" t="n">
        <v>48.6</v>
      </c>
      <c r="W1379" t="n">
        <v>0</v>
      </c>
      <c r="X1379" t="n">
        <v>3.5</v>
      </c>
      <c r="Y1379" t="n">
        <v>0.196</v>
      </c>
      <c r="Z1379" t="inlineStr">
        <is>
          <t>TPT</t>
        </is>
      </c>
      <c r="AA1379" t="inlineStr">
        <is>
          <t>FC</t>
        </is>
      </c>
      <c r="AB1379" t="inlineStr">
        <is>
          <t>AW</t>
        </is>
      </c>
      <c r="AC1379" t="inlineStr">
        <is>
          <t>48.6-0-3.5-ERW 1-FC</t>
        </is>
      </c>
      <c r="AD1379" t="inlineStr">
        <is>
          <t>CTL</t>
        </is>
      </c>
      <c r="AE1379" t="inlineStr">
        <is>
          <t>48.6-0-3.5-ERW 1-FC-0.196</t>
        </is>
      </c>
      <c r="AF1379" t="n">
        <v>0.7626055514000001</v>
      </c>
    </row>
    <row r="1380">
      <c r="A1380" s="56" t="n">
        <v>3682960</v>
      </c>
      <c r="B1380" s="56" t="inlineStr">
        <is>
          <t>TUB-O-N-AUT-NR-FC-57.15X2.000X6.5500</t>
        </is>
      </c>
      <c r="C1380" s="56" t="inlineStr">
        <is>
          <t>4B05C40160</t>
        </is>
      </c>
      <c r="D1380" s="56" t="n"/>
      <c r="E1380" s="57" t="n">
        <v>1721.313</v>
      </c>
      <c r="F1380" s="57" t="n">
        <v>1.721313</v>
      </c>
      <c r="G1380" s="56" t="inlineStr">
        <is>
          <t>KG</t>
        </is>
      </c>
      <c r="H1380" s="56" t="inlineStr">
        <is>
          <t>TF01</t>
        </is>
      </c>
      <c r="I1380" s="56" t="inlineStr">
        <is>
          <t>4318</t>
        </is>
      </c>
      <c r="J1380" s="56" t="n"/>
      <c r="K1380" s="56" t="n"/>
      <c r="L1380" s="56" t="n"/>
      <c r="M1380" s="56" t="n"/>
      <c r="N1380" s="56" t="inlineStr">
        <is>
          <t>Rajsriya Automotive Ind Pvt Ltd.</t>
        </is>
      </c>
      <c r="O1380" s="56" t="n">
        <v>42</v>
      </c>
      <c r="P1380" s="59" t="inlineStr">
        <is>
          <t>31-60</t>
        </is>
      </c>
      <c r="Q1380" s="56" t="inlineStr">
        <is>
          <t>Apoorv</t>
        </is>
      </c>
      <c r="U1380" t="n">
        <v>3677062</v>
      </c>
      <c r="V1380" t="n">
        <v>48.6</v>
      </c>
      <c r="W1380" t="n">
        <v>0</v>
      </c>
      <c r="X1380" t="n">
        <v>3.5</v>
      </c>
      <c r="Y1380" t="n">
        <v>0.196</v>
      </c>
      <c r="Z1380" t="inlineStr">
        <is>
          <t>GR1</t>
        </is>
      </c>
      <c r="AA1380" t="inlineStr">
        <is>
          <t>FC</t>
        </is>
      </c>
      <c r="AB1380" t="inlineStr">
        <is>
          <t>BH</t>
        </is>
      </c>
      <c r="AC1380" t="inlineStr">
        <is>
          <t>48.6-0-3.5-ERW 1-FC</t>
        </is>
      </c>
      <c r="AD1380" t="inlineStr">
        <is>
          <t>CTL</t>
        </is>
      </c>
      <c r="AE1380" t="inlineStr">
        <is>
          <t>48.6-0-3.5-ERW 1-FC-0.196</t>
        </is>
      </c>
      <c r="AF1380" t="n">
        <v>0.7626055514000001</v>
      </c>
    </row>
    <row r="1381">
      <c r="A1381" s="56" t="n">
        <v>3682960</v>
      </c>
      <c r="B1381" s="56" t="inlineStr">
        <is>
          <t>TUB-O-N-AUT-NR-FC-57.15X2.000X6.5500</t>
        </is>
      </c>
      <c r="C1381" s="56" t="inlineStr">
        <is>
          <t>4B05C40140</t>
        </is>
      </c>
      <c r="D1381" s="56" t="n"/>
      <c r="E1381" s="57" t="n">
        <v>1721.313</v>
      </c>
      <c r="F1381" s="57" t="n">
        <v>1.721313</v>
      </c>
      <c r="G1381" s="56" t="inlineStr">
        <is>
          <t>KG</t>
        </is>
      </c>
      <c r="H1381" s="56" t="inlineStr">
        <is>
          <t>TF01</t>
        </is>
      </c>
      <c r="I1381" s="56" t="inlineStr">
        <is>
          <t>4318</t>
        </is>
      </c>
      <c r="J1381" s="56" t="n"/>
      <c r="K1381" s="56" t="n"/>
      <c r="L1381" s="56" t="n"/>
      <c r="M1381" s="56" t="n"/>
      <c r="N1381" s="56" t="inlineStr">
        <is>
          <t>Rajsriya Automotive Ind Pvt Ltd.</t>
        </is>
      </c>
      <c r="O1381" s="56" t="n">
        <v>42</v>
      </c>
      <c r="P1381" s="59" t="inlineStr">
        <is>
          <t>31-60</t>
        </is>
      </c>
      <c r="Q1381" s="56" t="inlineStr">
        <is>
          <t>Apoorv</t>
        </is>
      </c>
      <c r="U1381" s="585" t="n">
        <v>3781677</v>
      </c>
      <c r="V1381" t="n">
        <v>48.6</v>
      </c>
      <c r="W1381" t="n">
        <v>0</v>
      </c>
      <c r="X1381" t="n">
        <v>3.5</v>
      </c>
      <c r="Y1381" t="n">
        <v>0.196</v>
      </c>
      <c r="Z1381" t="inlineStr">
        <is>
          <t>TPT</t>
        </is>
      </c>
      <c r="AA1381" t="inlineStr">
        <is>
          <t>FC</t>
        </is>
      </c>
      <c r="AB1381" t="inlineStr">
        <is>
          <t>BH</t>
        </is>
      </c>
      <c r="AC1381" t="inlineStr">
        <is>
          <t>48.6-0-3.5-ERW 1-FC</t>
        </is>
      </c>
      <c r="AD1381" t="inlineStr">
        <is>
          <t>CTL</t>
        </is>
      </c>
      <c r="AE1381" t="inlineStr">
        <is>
          <t>48.6-0-3.5-ERW 1-FC-0.196</t>
        </is>
      </c>
      <c r="AF1381" t="n">
        <v>0.7626055514000001</v>
      </c>
    </row>
    <row r="1382">
      <c r="A1382" s="56" t="n">
        <v>3682960</v>
      </c>
      <c r="B1382" s="56" t="inlineStr">
        <is>
          <t>TUB-O-N-AUT-NR-FC-57.15X2.000X6.5500</t>
        </is>
      </c>
      <c r="C1382" s="56" t="inlineStr">
        <is>
          <t>4B05C40130</t>
        </is>
      </c>
      <c r="D1382" s="56" t="n"/>
      <c r="E1382" s="57" t="n">
        <v>1721.313</v>
      </c>
      <c r="F1382" s="57" t="n">
        <v>1.721313</v>
      </c>
      <c r="G1382" s="56" t="inlineStr">
        <is>
          <t>KG</t>
        </is>
      </c>
      <c r="H1382" s="56" t="inlineStr">
        <is>
          <t>TF01</t>
        </is>
      </c>
      <c r="I1382" s="56" t="inlineStr">
        <is>
          <t>4318</t>
        </is>
      </c>
      <c r="J1382" s="56" t="n"/>
      <c r="K1382" s="56" t="n"/>
      <c r="L1382" s="56" t="n"/>
      <c r="M1382" s="56" t="n"/>
      <c r="N1382" s="56" t="inlineStr">
        <is>
          <t>Rajsriya Automotive Ind Pvt Ltd.</t>
        </is>
      </c>
      <c r="O1382" s="56" t="n">
        <v>42</v>
      </c>
      <c r="P1382" s="59" t="inlineStr">
        <is>
          <t>31-60</t>
        </is>
      </c>
      <c r="Q1382" s="56" t="inlineStr">
        <is>
          <t>Apoorv</t>
        </is>
      </c>
      <c r="U1382" s="585" t="n">
        <v>3781594</v>
      </c>
      <c r="V1382" t="n">
        <v>48.6</v>
      </c>
      <c r="W1382" t="n">
        <v>0</v>
      </c>
      <c r="X1382" t="n">
        <v>3.5</v>
      </c>
      <c r="Y1382" t="n">
        <v>0.196</v>
      </c>
      <c r="Z1382" t="inlineStr">
        <is>
          <t>TPT</t>
        </is>
      </c>
      <c r="AA1382" t="inlineStr">
        <is>
          <t>FC</t>
        </is>
      </c>
      <c r="AB1382" t="inlineStr">
        <is>
          <t>AW</t>
        </is>
      </c>
      <c r="AC1382" t="inlineStr">
        <is>
          <t>48.6-0-3.5-ERW 1-FC</t>
        </is>
      </c>
      <c r="AD1382" t="inlineStr">
        <is>
          <t>CTL</t>
        </is>
      </c>
      <c r="AE1382" t="inlineStr">
        <is>
          <t>48.6-0-3.5-ERW 1-FC-0.196</t>
        </is>
      </c>
      <c r="AF1382" t="n">
        <v>0.7626055514000001</v>
      </c>
    </row>
    <row r="1383">
      <c r="A1383" s="56" t="n">
        <v>3682960</v>
      </c>
      <c r="B1383" s="56" t="inlineStr">
        <is>
          <t>TUB-O-N-AUT-NR-FC-57.15X2.000X6.5500</t>
        </is>
      </c>
      <c r="C1383" s="56" t="inlineStr">
        <is>
          <t>4B05C40120</t>
        </is>
      </c>
      <c r="D1383" s="56" t="n"/>
      <c r="E1383" s="57" t="n">
        <v>1721.313</v>
      </c>
      <c r="F1383" s="57" t="n">
        <v>1.721313</v>
      </c>
      <c r="G1383" s="56" t="inlineStr">
        <is>
          <t>KG</t>
        </is>
      </c>
      <c r="H1383" s="56" t="inlineStr">
        <is>
          <t>TF01</t>
        </is>
      </c>
      <c r="I1383" s="56" t="inlineStr">
        <is>
          <t>4318</t>
        </is>
      </c>
      <c r="J1383" s="56" t="n"/>
      <c r="K1383" s="56" t="n"/>
      <c r="L1383" s="56" t="n"/>
      <c r="M1383" s="56" t="n"/>
      <c r="N1383" s="56" t="inlineStr">
        <is>
          <t>Rajsriya Automotive Ind Pvt Ltd.</t>
        </is>
      </c>
      <c r="O1383" s="56" t="n">
        <v>51</v>
      </c>
      <c r="P1383" s="59" t="inlineStr">
        <is>
          <t>31-60</t>
        </is>
      </c>
      <c r="Q1383" s="56" t="inlineStr">
        <is>
          <t>Apoorv</t>
        </is>
      </c>
      <c r="U1383" s="585" t="n">
        <v>3718726</v>
      </c>
      <c r="V1383" t="n">
        <v>48.6</v>
      </c>
      <c r="W1383" t="n">
        <v>0</v>
      </c>
      <c r="X1383" t="n">
        <v>3.5</v>
      </c>
      <c r="Y1383" t="n">
        <v>0.204</v>
      </c>
      <c r="Z1383" t="inlineStr">
        <is>
          <t>NORMAL</t>
        </is>
      </c>
      <c r="AA1383" t="inlineStr">
        <is>
          <t>FC</t>
        </is>
      </c>
      <c r="AB1383" t="inlineStr">
        <is>
          <t>AW</t>
        </is>
      </c>
      <c r="AC1383" t="inlineStr">
        <is>
          <t>48.6-0-3.5-ERW 1-FC</t>
        </is>
      </c>
      <c r="AD1383" t="inlineStr">
        <is>
          <t>CTL</t>
        </is>
      </c>
      <c r="AE1383" t="inlineStr">
        <is>
          <t>48.6-0-3.5-ERW 1-FC-0.204</t>
        </is>
      </c>
      <c r="AF1383" t="n">
        <v>0.7937323086</v>
      </c>
    </row>
    <row r="1384">
      <c r="A1384" s="56" t="n">
        <v>3682960</v>
      </c>
      <c r="B1384" s="56" t="inlineStr">
        <is>
          <t>TUB-O-N-AUT-NR-FC-57.15X2.000X6.5500</t>
        </is>
      </c>
      <c r="C1384" s="56" t="inlineStr">
        <is>
          <t>4B05C40110</t>
        </is>
      </c>
      <c r="D1384" s="56" t="n"/>
      <c r="E1384" s="57" t="n">
        <v>1721.313</v>
      </c>
      <c r="F1384" s="57" t="n">
        <v>1.721313</v>
      </c>
      <c r="G1384" s="56" t="inlineStr">
        <is>
          <t>KG</t>
        </is>
      </c>
      <c r="H1384" s="56" t="inlineStr">
        <is>
          <t>TF01</t>
        </is>
      </c>
      <c r="I1384" s="56" t="inlineStr">
        <is>
          <t>4318</t>
        </is>
      </c>
      <c r="J1384" s="56" t="n"/>
      <c r="K1384" s="56" t="n"/>
      <c r="L1384" s="56" t="n"/>
      <c r="M1384" s="56" t="n"/>
      <c r="N1384" s="56" t="inlineStr">
        <is>
          <t>Rajsriya Automotive Ind Pvt Ltd.</t>
        </is>
      </c>
      <c r="O1384" s="56" t="n">
        <v>51</v>
      </c>
      <c r="P1384" s="59" t="inlineStr">
        <is>
          <t>31-60</t>
        </is>
      </c>
      <c r="Q1384" s="56" t="inlineStr">
        <is>
          <t>Apoorv</t>
        </is>
      </c>
      <c r="U1384" s="585" t="n">
        <v>3548921</v>
      </c>
      <c r="V1384" t="n">
        <v>48.6</v>
      </c>
      <c r="W1384" t="n">
        <v>0</v>
      </c>
      <c r="X1384" t="n">
        <v>3.5</v>
      </c>
      <c r="Y1384" t="n">
        <v>0.595</v>
      </c>
      <c r="Z1384" t="inlineStr">
        <is>
          <t>GR1</t>
        </is>
      </c>
      <c r="AA1384" t="inlineStr">
        <is>
          <t>FC</t>
        </is>
      </c>
      <c r="AB1384" t="inlineStr">
        <is>
          <t>AW</t>
        </is>
      </c>
      <c r="AC1384" t="inlineStr">
        <is>
          <t>48.6-0-3.5-ERW 1-FC</t>
        </is>
      </c>
      <c r="AD1384" t="inlineStr">
        <is>
          <t>CTL</t>
        </is>
      </c>
      <c r="AE1384" t="inlineStr">
        <is>
          <t>48.6-0-3.5-ERW 1-FC-0.595</t>
        </is>
      </c>
      <c r="AF1384" t="n">
        <v>2.31505256675</v>
      </c>
    </row>
    <row r="1385">
      <c r="A1385" s="56" t="n">
        <v>3682960</v>
      </c>
      <c r="B1385" s="56" t="inlineStr">
        <is>
          <t>TUB-O-N-AUT-NR-FC-57.15X2.000X6.5500</t>
        </is>
      </c>
      <c r="C1385" s="56" t="inlineStr">
        <is>
          <t>4B05C40100</t>
        </is>
      </c>
      <c r="D1385" s="56" t="n"/>
      <c r="E1385" s="57" t="n">
        <v>1721.313</v>
      </c>
      <c r="F1385" s="57" t="n">
        <v>1.721313</v>
      </c>
      <c r="G1385" s="56" t="inlineStr">
        <is>
          <t>KG</t>
        </is>
      </c>
      <c r="H1385" s="56" t="inlineStr">
        <is>
          <t>TF01</t>
        </is>
      </c>
      <c r="I1385" s="56" t="inlineStr">
        <is>
          <t>4318</t>
        </is>
      </c>
      <c r="J1385" s="56" t="n"/>
      <c r="K1385" s="56" t="n"/>
      <c r="L1385" s="56" t="n"/>
      <c r="M1385" s="56" t="n"/>
      <c r="N1385" s="56" t="inlineStr">
        <is>
          <t>Rajsriya Automotive Ind Pvt Ltd.</t>
        </is>
      </c>
      <c r="O1385" s="56" t="n">
        <v>51</v>
      </c>
      <c r="P1385" s="59" t="inlineStr">
        <is>
          <t>31-60</t>
        </is>
      </c>
      <c r="Q1385" s="56" t="inlineStr">
        <is>
          <t>Apoorv</t>
        </is>
      </c>
      <c r="U1385" s="585" t="n">
        <v>3909479</v>
      </c>
      <c r="V1385" t="n">
        <v>48.6</v>
      </c>
      <c r="W1385" t="n">
        <v>0</v>
      </c>
      <c r="X1385" t="n">
        <v>3.5</v>
      </c>
      <c r="Y1385" t="n">
        <v>4.65</v>
      </c>
      <c r="Z1385" t="inlineStr">
        <is>
          <t>HROP</t>
        </is>
      </c>
      <c r="AA1385" t="inlineStr">
        <is>
          <t>FC</t>
        </is>
      </c>
      <c r="AB1385" t="inlineStr">
        <is>
          <t>AW</t>
        </is>
      </c>
      <c r="AC1385" t="inlineStr">
        <is>
          <t>48.6-0-3.5-ERW 1-FC</t>
        </is>
      </c>
      <c r="AD1385" t="inlineStr">
        <is>
          <t>LL</t>
        </is>
      </c>
      <c r="AE1385" t="inlineStr">
        <is>
          <t>48.6-0-3.5-ERW 1-FC-1</t>
        </is>
      </c>
      <c r="AF1385" t="n">
        <v>3.89084465</v>
      </c>
    </row>
    <row r="1386">
      <c r="A1386" s="56" t="n">
        <v>3682960</v>
      </c>
      <c r="B1386" s="56" t="inlineStr">
        <is>
          <t>TUB-O-N-AUT-NR-FC-57.15X2.000X6.5500</t>
        </is>
      </c>
      <c r="C1386" s="56" t="inlineStr">
        <is>
          <t>4B05C40090</t>
        </is>
      </c>
      <c r="D1386" s="56" t="n"/>
      <c r="E1386" s="57" t="n">
        <v>1773.474</v>
      </c>
      <c r="F1386" s="57" t="n">
        <v>1.773474</v>
      </c>
      <c r="G1386" s="56" t="inlineStr">
        <is>
          <t>KG</t>
        </is>
      </c>
      <c r="H1386" s="56" t="inlineStr">
        <is>
          <t>TF01</t>
        </is>
      </c>
      <c r="I1386" s="56" t="inlineStr">
        <is>
          <t>4318</t>
        </is>
      </c>
      <c r="J1386" s="56" t="n"/>
      <c r="K1386" s="56" t="n"/>
      <c r="L1386" s="56" t="n"/>
      <c r="M1386" s="56" t="n"/>
      <c r="N1386" s="56" t="inlineStr">
        <is>
          <t>Rajsriya Automotive Ind Pvt Ltd.</t>
        </is>
      </c>
      <c r="O1386" s="56" t="n">
        <v>51</v>
      </c>
      <c r="P1386" s="59" t="inlineStr">
        <is>
          <t>31-60</t>
        </is>
      </c>
      <c r="Q1386" s="56" t="inlineStr">
        <is>
          <t>Apoorv</t>
        </is>
      </c>
      <c r="U1386" s="585" t="n">
        <v>3500540</v>
      </c>
      <c r="V1386" t="n">
        <v>48.6</v>
      </c>
      <c r="W1386" t="n">
        <v>0</v>
      </c>
      <c r="X1386" t="n">
        <v>3.5</v>
      </c>
      <c r="Y1386" t="n">
        <v>5.6</v>
      </c>
      <c r="Z1386" t="inlineStr"/>
      <c r="AA1386" t="inlineStr">
        <is>
          <t>FC</t>
        </is>
      </c>
      <c r="AB1386" t="inlineStr">
        <is>
          <t>AW</t>
        </is>
      </c>
      <c r="AC1386" t="inlineStr">
        <is>
          <t>48.6-0-3.5-ERW 1-FC</t>
        </is>
      </c>
      <c r="AD1386" t="inlineStr">
        <is>
          <t>LL</t>
        </is>
      </c>
      <c r="AE1386" t="inlineStr">
        <is>
          <t>48.6-0-3.5-ERW 1-FC-1</t>
        </is>
      </c>
      <c r="AF1386" t="n">
        <v>3.89084465</v>
      </c>
    </row>
    <row r="1387">
      <c r="A1387" s="56" t="n">
        <v>3682960</v>
      </c>
      <c r="B1387" s="56" t="inlineStr">
        <is>
          <t>TUB-O-N-AUT-NR-FC-57.15X2.000X6.5500</t>
        </is>
      </c>
      <c r="C1387" s="56" t="inlineStr">
        <is>
          <t>4B05C40080</t>
        </is>
      </c>
      <c r="D1387" s="56" t="n"/>
      <c r="E1387" s="57" t="n">
        <v>1721.313</v>
      </c>
      <c r="F1387" s="57" t="n">
        <v>1.721313</v>
      </c>
      <c r="G1387" s="56" t="inlineStr">
        <is>
          <t>KG</t>
        </is>
      </c>
      <c r="H1387" s="56" t="inlineStr">
        <is>
          <t>TF01</t>
        </is>
      </c>
      <c r="I1387" s="56" t="inlineStr">
        <is>
          <t>4318</t>
        </is>
      </c>
      <c r="J1387" s="56" t="n"/>
      <c r="K1387" s="56" t="n"/>
      <c r="L1387" s="56" t="n"/>
      <c r="M1387" s="56" t="n"/>
      <c r="N1387" s="56" t="inlineStr">
        <is>
          <t>Rajsriya Automotive Ind Pvt Ltd.</t>
        </is>
      </c>
      <c r="O1387" s="56" t="n">
        <v>51</v>
      </c>
      <c r="P1387" s="59" t="inlineStr">
        <is>
          <t>31-60</t>
        </is>
      </c>
      <c r="Q1387" s="56" t="inlineStr">
        <is>
          <t>Apoorv</t>
        </is>
      </c>
      <c r="U1387" s="585" t="n">
        <v>3501438</v>
      </c>
      <c r="V1387" t="n">
        <v>48.6</v>
      </c>
      <c r="W1387" t="n">
        <v>0</v>
      </c>
      <c r="X1387" t="n">
        <v>3.5</v>
      </c>
      <c r="Y1387" t="n">
        <v>6</v>
      </c>
      <c r="Z1387" t="inlineStr"/>
      <c r="AA1387" t="inlineStr">
        <is>
          <t>FC</t>
        </is>
      </c>
      <c r="AB1387" t="inlineStr">
        <is>
          <t>BH</t>
        </is>
      </c>
      <c r="AC1387" t="inlineStr">
        <is>
          <t>48.6-0-3.5-ERW 1-FC</t>
        </is>
      </c>
      <c r="AD1387" t="inlineStr">
        <is>
          <t>LL</t>
        </is>
      </c>
      <c r="AE1387" t="inlineStr">
        <is>
          <t>48.6-0-3.5-ERW 1-FC-1</t>
        </is>
      </c>
      <c r="AF1387" t="n">
        <v>3.89084465</v>
      </c>
    </row>
    <row r="1388">
      <c r="A1388" s="56" t="n">
        <v>3682960</v>
      </c>
      <c r="B1388" s="56" t="inlineStr">
        <is>
          <t>TUB-O-N-AUT-NR-FC-57.15X2.000X6.5500</t>
        </is>
      </c>
      <c r="C1388" s="56" t="inlineStr">
        <is>
          <t>4B05C40070</t>
        </is>
      </c>
      <c r="D1388" s="56" t="n"/>
      <c r="E1388" s="57" t="n">
        <v>1721.313</v>
      </c>
      <c r="F1388" s="57" t="n">
        <v>1.721313</v>
      </c>
      <c r="G1388" s="56" t="inlineStr">
        <is>
          <t>KG</t>
        </is>
      </c>
      <c r="H1388" s="56" t="inlineStr">
        <is>
          <t>TF01</t>
        </is>
      </c>
      <c r="I1388" s="56" t="inlineStr">
        <is>
          <t>4318</t>
        </is>
      </c>
      <c r="J1388" s="56" t="n"/>
      <c r="K1388" s="56" t="n"/>
      <c r="L1388" s="56" t="n"/>
      <c r="M1388" s="56" t="n"/>
      <c r="N1388" s="56" t="inlineStr">
        <is>
          <t>Rajsriya Automotive Ind Pvt Ltd.</t>
        </is>
      </c>
      <c r="O1388" s="56" t="n">
        <v>56</v>
      </c>
      <c r="P1388" s="59" t="inlineStr">
        <is>
          <t>31-60</t>
        </is>
      </c>
      <c r="Q1388" s="56" t="inlineStr">
        <is>
          <t>Apoorv</t>
        </is>
      </c>
      <c r="U1388" s="585" t="n">
        <v>3502422</v>
      </c>
      <c r="V1388" t="n">
        <v>48.6</v>
      </c>
      <c r="W1388" t="n">
        <v>0</v>
      </c>
      <c r="X1388" t="n">
        <v>3.5</v>
      </c>
      <c r="Y1388" t="n">
        <v>6.05</v>
      </c>
      <c r="Z1388" t="inlineStr"/>
      <c r="AA1388" t="inlineStr">
        <is>
          <t>FC</t>
        </is>
      </c>
      <c r="AB1388" t="inlineStr">
        <is>
          <t>AW</t>
        </is>
      </c>
      <c r="AC1388" t="inlineStr">
        <is>
          <t>48.6-0-3.5-ERW 1-FC</t>
        </is>
      </c>
      <c r="AD1388" t="inlineStr">
        <is>
          <t>LL</t>
        </is>
      </c>
      <c r="AE1388" t="inlineStr">
        <is>
          <t>48.6-0-3.5-ERW 1-FC-1</t>
        </is>
      </c>
      <c r="AF1388" t="n">
        <v>3.89084465</v>
      </c>
    </row>
    <row r="1389">
      <c r="A1389" s="56" t="n">
        <v>3682960</v>
      </c>
      <c r="B1389" s="56" t="inlineStr">
        <is>
          <t>TUB-O-N-AUT-NR-FC-57.15X2.000X6.5500</t>
        </is>
      </c>
      <c r="C1389" s="56" t="inlineStr">
        <is>
          <t>4B05C40060</t>
        </is>
      </c>
      <c r="D1389" s="56" t="n"/>
      <c r="E1389" s="57" t="n">
        <v>1721.313</v>
      </c>
      <c r="F1389" s="57" t="n">
        <v>1.721313</v>
      </c>
      <c r="G1389" s="56" t="inlineStr">
        <is>
          <t>KG</t>
        </is>
      </c>
      <c r="H1389" s="56" t="inlineStr">
        <is>
          <t>TF01</t>
        </is>
      </c>
      <c r="I1389" s="56" t="inlineStr">
        <is>
          <t>4318</t>
        </is>
      </c>
      <c r="J1389" s="56" t="n"/>
      <c r="K1389" s="56" t="n"/>
      <c r="L1389" s="56" t="n"/>
      <c r="M1389" s="56" t="n"/>
      <c r="N1389" s="56" t="inlineStr">
        <is>
          <t>Rajsriya Automotive Ind Pvt Ltd.</t>
        </is>
      </c>
      <c r="O1389" s="56" t="n">
        <v>56</v>
      </c>
      <c r="P1389" s="59" t="inlineStr">
        <is>
          <t>31-60</t>
        </is>
      </c>
      <c r="Q1389" s="56" t="inlineStr">
        <is>
          <t>Apoorv</t>
        </is>
      </c>
      <c r="U1389" s="585" t="n">
        <v>3702679</v>
      </c>
      <c r="V1389" t="n">
        <v>48.6</v>
      </c>
      <c r="W1389" t="n">
        <v>0</v>
      </c>
      <c r="X1389" t="n">
        <v>3.5</v>
      </c>
      <c r="Y1389" t="n">
        <v>6.05</v>
      </c>
      <c r="Z1389" t="inlineStr">
        <is>
          <t>WG</t>
        </is>
      </c>
      <c r="AA1389" t="inlineStr">
        <is>
          <t>FC</t>
        </is>
      </c>
      <c r="AB1389" t="inlineStr">
        <is>
          <t>AP</t>
        </is>
      </c>
      <c r="AC1389" t="inlineStr">
        <is>
          <t>48.6-0-3.5-ERW 1-FC</t>
        </is>
      </c>
      <c r="AD1389" t="inlineStr">
        <is>
          <t>LL</t>
        </is>
      </c>
      <c r="AE1389" t="inlineStr">
        <is>
          <t>48.6-0-3.5-ERW 1-FC-1</t>
        </is>
      </c>
      <c r="AF1389" t="n">
        <v>3.89084465</v>
      </c>
    </row>
    <row r="1390">
      <c r="A1390" s="56" t="n">
        <v>3682960</v>
      </c>
      <c r="B1390" s="56" t="inlineStr">
        <is>
          <t>TUB-O-N-AUT-NR-FC-57.15X2.000X6.5500</t>
        </is>
      </c>
      <c r="C1390" s="56" t="inlineStr">
        <is>
          <t>4B05C40050</t>
        </is>
      </c>
      <c r="D1390" s="56" t="n"/>
      <c r="E1390" s="57" t="n">
        <v>1721.313</v>
      </c>
      <c r="F1390" s="57" t="n">
        <v>1.721313</v>
      </c>
      <c r="G1390" s="56" t="inlineStr">
        <is>
          <t>KG</t>
        </is>
      </c>
      <c r="H1390" s="56" t="inlineStr">
        <is>
          <t>TF01</t>
        </is>
      </c>
      <c r="I1390" s="56" t="inlineStr">
        <is>
          <t>4318</t>
        </is>
      </c>
      <c r="J1390" s="56" t="n"/>
      <c r="K1390" s="56" t="n"/>
      <c r="L1390" s="56" t="n"/>
      <c r="M1390" s="56" t="n"/>
      <c r="N1390" s="56" t="inlineStr">
        <is>
          <t>Rajsriya Automotive Ind Pvt Ltd.</t>
        </is>
      </c>
      <c r="O1390" s="56" t="n">
        <v>51</v>
      </c>
      <c r="P1390" s="59" t="inlineStr">
        <is>
          <t>31-60</t>
        </is>
      </c>
      <c r="Q1390" s="56" t="inlineStr">
        <is>
          <t>Apoorv</t>
        </is>
      </c>
      <c r="U1390" t="n">
        <v>4079374</v>
      </c>
      <c r="V1390" t="n">
        <v>48.6</v>
      </c>
      <c r="W1390" t="n">
        <v>0</v>
      </c>
      <c r="X1390" t="n">
        <v>4</v>
      </c>
      <c r="Y1390" t="n">
        <v>0.5570000000000001</v>
      </c>
      <c r="Z1390" t="inlineStr">
        <is>
          <t>WG</t>
        </is>
      </c>
      <c r="AA1390" t="inlineStr">
        <is>
          <t>FC</t>
        </is>
      </c>
      <c r="AB1390" t="inlineStr">
        <is>
          <t>AW</t>
        </is>
      </c>
      <c r="AC1390" t="inlineStr">
        <is>
          <t>48.6-0-4-ERW 2-FC-Ampere</t>
        </is>
      </c>
      <c r="AD1390" t="inlineStr">
        <is>
          <t>CTL</t>
        </is>
      </c>
      <c r="AE1390" t="inlineStr">
        <is>
          <t>48.6-0-4-ERW 2-FC-Ampere-0.557</t>
        </is>
      </c>
      <c r="AF1390" t="n">
        <v>2.4493415512</v>
      </c>
    </row>
    <row r="1391">
      <c r="A1391" s="56" t="n">
        <v>3682960</v>
      </c>
      <c r="B1391" s="56" t="inlineStr">
        <is>
          <t>TUB-O-N-AUT-NR-FC-57.15X2.000X6.5500</t>
        </is>
      </c>
      <c r="C1391" s="56" t="inlineStr">
        <is>
          <t>4B05C40040</t>
        </is>
      </c>
      <c r="D1391" s="56" t="n"/>
      <c r="E1391" s="57" t="n">
        <v>1721.313</v>
      </c>
      <c r="F1391" s="57" t="n">
        <v>1.721313</v>
      </c>
      <c r="G1391" s="56" t="inlineStr">
        <is>
          <t>KG</t>
        </is>
      </c>
      <c r="H1391" s="56" t="inlineStr">
        <is>
          <t>TF01</t>
        </is>
      </c>
      <c r="I1391" s="56" t="inlineStr">
        <is>
          <t>4318</t>
        </is>
      </c>
      <c r="J1391" s="56" t="n"/>
      <c r="K1391" s="56" t="n"/>
      <c r="L1391" s="56" t="n"/>
      <c r="M1391" s="56" t="n"/>
      <c r="N1391" s="56" t="inlineStr">
        <is>
          <t>Rajsriya Automotive Ind Pvt Ltd.</t>
        </is>
      </c>
      <c r="O1391" s="56" t="n">
        <v>51</v>
      </c>
      <c r="P1391" s="59" t="inlineStr">
        <is>
          <t>31-60</t>
        </is>
      </c>
      <c r="Q1391" s="56" t="inlineStr">
        <is>
          <t>Apoorv</t>
        </is>
      </c>
      <c r="U1391" s="585" t="n">
        <v>3472304</v>
      </c>
      <c r="V1391" t="n">
        <v>48.6</v>
      </c>
      <c r="W1391" t="n">
        <v>0</v>
      </c>
      <c r="X1391" t="n">
        <v>4</v>
      </c>
      <c r="Y1391" t="n">
        <v>0.5649999999999999</v>
      </c>
      <c r="Z1391" t="inlineStr"/>
      <c r="AA1391" t="inlineStr">
        <is>
          <t>FC</t>
        </is>
      </c>
      <c r="AB1391" t="inlineStr">
        <is>
          <t>AW</t>
        </is>
      </c>
      <c r="AC1391" t="inlineStr">
        <is>
          <t>48.6-0-4-ERW 2-FC-Ampere</t>
        </is>
      </c>
      <c r="AD1391" t="inlineStr">
        <is>
          <t>CTL</t>
        </is>
      </c>
      <c r="AE1391" t="inlineStr">
        <is>
          <t>48.6-0-4-ERW 2-FC-Ampere-0.565</t>
        </is>
      </c>
      <c r="AF1391" t="n">
        <v>2.484520604</v>
      </c>
    </row>
    <row r="1392">
      <c r="A1392" s="56" t="n">
        <v>3682960</v>
      </c>
      <c r="B1392" s="56" t="inlineStr">
        <is>
          <t>TUB-O-N-AUT-NR-FC-57.15X2.000X6.5500</t>
        </is>
      </c>
      <c r="C1392" s="56" t="inlineStr">
        <is>
          <t>4B05C40030</t>
        </is>
      </c>
      <c r="D1392" s="56" t="n"/>
      <c r="E1392" s="57" t="n">
        <v>1686.539</v>
      </c>
      <c r="F1392" s="57" t="n">
        <v>1.686539</v>
      </c>
      <c r="G1392" s="56" t="inlineStr">
        <is>
          <t>KG</t>
        </is>
      </c>
      <c r="H1392" s="56" t="inlineStr">
        <is>
          <t>TF01</t>
        </is>
      </c>
      <c r="I1392" s="56" t="inlineStr">
        <is>
          <t>4318</t>
        </is>
      </c>
      <c r="J1392" s="56" t="n"/>
      <c r="K1392" s="56" t="n"/>
      <c r="L1392" s="56" t="n"/>
      <c r="M1392" s="56" t="n"/>
      <c r="N1392" s="56" t="inlineStr">
        <is>
          <t>Rajsriya Automotive Ind Pvt Ltd.</t>
        </is>
      </c>
      <c r="O1392" s="56" t="n">
        <v>42</v>
      </c>
      <c r="P1392" s="59" t="inlineStr">
        <is>
          <t>31-60</t>
        </is>
      </c>
      <c r="Q1392" s="56" t="inlineStr">
        <is>
          <t>Apoorv</t>
        </is>
      </c>
      <c r="U1392" s="585" t="n">
        <v>3545983</v>
      </c>
      <c r="V1392" t="n">
        <v>48.6</v>
      </c>
      <c r="W1392" t="n">
        <v>0</v>
      </c>
      <c r="X1392" t="n">
        <v>4</v>
      </c>
      <c r="Y1392" t="n">
        <v>0.595</v>
      </c>
      <c r="Z1392" t="inlineStr">
        <is>
          <t>GR1</t>
        </is>
      </c>
      <c r="AA1392" t="inlineStr">
        <is>
          <t>FC</t>
        </is>
      </c>
      <c r="AB1392" t="inlineStr">
        <is>
          <t>AW</t>
        </is>
      </c>
      <c r="AC1392" t="inlineStr">
        <is>
          <t>48.6-0-4-ERW 2-FC-Ampere</t>
        </is>
      </c>
      <c r="AD1392" t="inlineStr">
        <is>
          <t>CTL</t>
        </is>
      </c>
      <c r="AE1392" t="inlineStr">
        <is>
          <t>48.6-0-4-ERW 2-FC-Ampere-0.595</t>
        </is>
      </c>
      <c r="AF1392" t="n">
        <v>2.616442052</v>
      </c>
    </row>
    <row r="1393">
      <c r="A1393" s="56" t="n">
        <v>3682960</v>
      </c>
      <c r="B1393" s="56" t="inlineStr">
        <is>
          <t>TUB-O-N-AUT-NR-FC-57.15X2.000X6.5500</t>
        </is>
      </c>
      <c r="C1393" s="56" t="inlineStr">
        <is>
          <t>4B05C40020</t>
        </is>
      </c>
      <c r="D1393" s="56" t="n"/>
      <c r="E1393" s="57" t="n">
        <v>1686.539</v>
      </c>
      <c r="F1393" s="57" t="n">
        <v>1.686539</v>
      </c>
      <c r="G1393" s="56" t="inlineStr">
        <is>
          <t>KG</t>
        </is>
      </c>
      <c r="H1393" s="56" t="inlineStr">
        <is>
          <t>TF01</t>
        </is>
      </c>
      <c r="I1393" s="56" t="inlineStr">
        <is>
          <t>4318</t>
        </is>
      </c>
      <c r="J1393" s="56" t="n"/>
      <c r="K1393" s="56" t="n"/>
      <c r="L1393" s="56" t="n"/>
      <c r="M1393" s="56" t="n"/>
      <c r="N1393" s="56" t="inlineStr">
        <is>
          <t>Rajsriya Automotive Ind Pvt Ltd.</t>
        </is>
      </c>
      <c r="O1393" s="56" t="n">
        <v>51</v>
      </c>
      <c r="P1393" s="59" t="inlineStr">
        <is>
          <t>31-60</t>
        </is>
      </c>
      <c r="Q1393" s="56" t="inlineStr">
        <is>
          <t>Apoorv</t>
        </is>
      </c>
      <c r="U1393" s="585" t="n">
        <v>3502487</v>
      </c>
      <c r="V1393" t="n">
        <v>48.6</v>
      </c>
      <c r="W1393" t="n">
        <v>0</v>
      </c>
      <c r="X1393" t="n">
        <v>4</v>
      </c>
      <c r="Y1393" t="n">
        <v>6.003</v>
      </c>
      <c r="Z1393" t="inlineStr"/>
      <c r="AA1393" t="inlineStr">
        <is>
          <t>FC</t>
        </is>
      </c>
      <c r="AB1393" t="inlineStr">
        <is>
          <t>AW</t>
        </is>
      </c>
      <c r="AC1393" t="inlineStr">
        <is>
          <t>48.6-0-4-ERW 2-FC-Ampere</t>
        </is>
      </c>
      <c r="AD1393" t="inlineStr">
        <is>
          <t>LL</t>
        </is>
      </c>
      <c r="AE1393" t="inlineStr">
        <is>
          <t>48.6-0-4-ERW 2-FC-Ampere-1</t>
        </is>
      </c>
      <c r="AF1393" t="n">
        <v>4.3973816</v>
      </c>
    </row>
    <row r="1394">
      <c r="A1394" s="56" t="n">
        <v>3682960</v>
      </c>
      <c r="B1394" s="56" t="inlineStr">
        <is>
          <t>TUB-O-N-AUT-NR-FC-57.15X2.000X6.5500</t>
        </is>
      </c>
      <c r="C1394" s="56" t="inlineStr">
        <is>
          <t>4B05C40010</t>
        </is>
      </c>
      <c r="D1394" s="56" t="n"/>
      <c r="E1394" s="57" t="n">
        <v>1721.313</v>
      </c>
      <c r="F1394" s="57" t="n">
        <v>1.721313</v>
      </c>
      <c r="G1394" s="56" t="inlineStr">
        <is>
          <t>KG</t>
        </is>
      </c>
      <c r="H1394" s="56" t="inlineStr">
        <is>
          <t>TF01</t>
        </is>
      </c>
      <c r="I1394" s="56" t="inlineStr">
        <is>
          <t>4318</t>
        </is>
      </c>
      <c r="J1394" s="56" t="n"/>
      <c r="K1394" s="56" t="n"/>
      <c r="L1394" s="56" t="n"/>
      <c r="M1394" s="56" t="n"/>
      <c r="N1394" s="56" t="inlineStr">
        <is>
          <t>Rajsriya Automotive Ind Pvt Ltd.</t>
        </is>
      </c>
      <c r="O1394" s="56" t="n">
        <v>56</v>
      </c>
      <c r="P1394" s="59" t="inlineStr">
        <is>
          <t>31-60</t>
        </is>
      </c>
      <c r="Q1394" s="56" t="inlineStr">
        <is>
          <t>Apoorv</t>
        </is>
      </c>
      <c r="U1394" s="585" t="n">
        <v>3502725</v>
      </c>
      <c r="V1394" t="n">
        <v>50</v>
      </c>
      <c r="W1394" t="n">
        <v>0</v>
      </c>
      <c r="X1394" t="n">
        <v>6</v>
      </c>
      <c r="Y1394" t="n">
        <v>4.775</v>
      </c>
      <c r="Z1394" t="inlineStr"/>
      <c r="AA1394" t="inlineStr">
        <is>
          <t>FC</t>
        </is>
      </c>
      <c r="AB1394" t="inlineStr">
        <is>
          <t>NR</t>
        </is>
      </c>
      <c r="AC1394" t="inlineStr">
        <is>
          <t>SLT-50-5.8-Rane-SLT</t>
        </is>
      </c>
      <c r="AD1394" t="inlineStr">
        <is>
          <t>LL</t>
        </is>
      </c>
      <c r="AE1394" t="inlineStr">
        <is>
          <t>SLT-50-5.8-Rane-SLT-1</t>
        </is>
      </c>
      <c r="AF1394" t="n">
        <v>6.507336</v>
      </c>
    </row>
    <row r="1395">
      <c r="A1395" s="56" t="n">
        <v>3702200</v>
      </c>
      <c r="B1395" s="56" t="inlineStr">
        <is>
          <t>TUB-O-N-AUT-AW-PE-17.30X1.600X6.0000</t>
        </is>
      </c>
      <c r="C1395" s="56" t="inlineStr">
        <is>
          <t>4927BK1020</t>
        </is>
      </c>
      <c r="D1395" s="56" t="n"/>
      <c r="E1395" s="57" t="n">
        <v>180</v>
      </c>
      <c r="F1395" s="57" t="n">
        <v>0.18</v>
      </c>
      <c r="G1395" s="56" t="inlineStr">
        <is>
          <t>KG</t>
        </is>
      </c>
      <c r="H1395" s="56" t="inlineStr">
        <is>
          <t>TF01</t>
        </is>
      </c>
      <c r="I1395" s="56" t="inlineStr">
        <is>
          <t>4731</t>
        </is>
      </c>
      <c r="J1395" s="56" t="n"/>
      <c r="K1395" s="56" t="n"/>
      <c r="L1395" s="56" t="n"/>
      <c r="M1395" s="56" t="n"/>
      <c r="N1395" s="56" t="inlineStr">
        <is>
          <t>Elkayem Auto Ancillaries ( P ) LTD</t>
        </is>
      </c>
      <c r="O1395" s="56" t="n">
        <v>86</v>
      </c>
      <c r="P1395" s="59" t="inlineStr">
        <is>
          <t>61-90</t>
        </is>
      </c>
      <c r="Q1395" s="56" t="inlineStr">
        <is>
          <t>Diwakar</t>
        </is>
      </c>
      <c r="U1395" s="585" t="n">
        <v>3499123</v>
      </c>
      <c r="V1395" t="n">
        <v>50</v>
      </c>
      <c r="W1395" t="n">
        <v>0</v>
      </c>
      <c r="X1395" t="n">
        <v>6</v>
      </c>
      <c r="Y1395" t="n">
        <v>5.92</v>
      </c>
      <c r="Z1395" t="inlineStr"/>
      <c r="AA1395" t="inlineStr">
        <is>
          <t>FC</t>
        </is>
      </c>
      <c r="AB1395" t="inlineStr">
        <is>
          <t>NR</t>
        </is>
      </c>
      <c r="AC1395" t="inlineStr">
        <is>
          <t>SLT-50-5.8-Rane-SLT</t>
        </is>
      </c>
      <c r="AD1395" t="inlineStr">
        <is>
          <t>LL</t>
        </is>
      </c>
      <c r="AE1395" t="inlineStr">
        <is>
          <t>SLT-50-5.8-Rane-SLT-1</t>
        </is>
      </c>
      <c r="AF1395" t="n">
        <v>6.507336</v>
      </c>
    </row>
    <row r="1396">
      <c r="A1396" s="56" t="n">
        <v>3702200</v>
      </c>
      <c r="B1396" s="56" t="inlineStr">
        <is>
          <t>TUB-O-N-AUT-AW-PE-17.30X1.600X6.0000</t>
        </is>
      </c>
      <c r="C1396" s="56" t="inlineStr">
        <is>
          <t>4927BK1010</t>
        </is>
      </c>
      <c r="D1396" s="56" t="n"/>
      <c r="E1396" s="57" t="n">
        <v>628</v>
      </c>
      <c r="F1396" s="57" t="n">
        <v>0.628</v>
      </c>
      <c r="G1396" s="56" t="inlineStr">
        <is>
          <t>KG</t>
        </is>
      </c>
      <c r="H1396" s="56" t="inlineStr">
        <is>
          <t>TF01</t>
        </is>
      </c>
      <c r="I1396" s="56" t="inlineStr">
        <is>
          <t>4731</t>
        </is>
      </c>
      <c r="J1396" s="56" t="n"/>
      <c r="K1396" s="56" t="n"/>
      <c r="L1396" s="56" t="n"/>
      <c r="M1396" s="56" t="n"/>
      <c r="N1396" s="56" t="inlineStr">
        <is>
          <t>Elkayem Auto Ancillaries ( P ) LTD</t>
        </is>
      </c>
      <c r="O1396" s="56" t="n">
        <v>86</v>
      </c>
      <c r="P1396" s="59" t="inlineStr">
        <is>
          <t>61-90</t>
        </is>
      </c>
      <c r="Q1396" s="56" t="inlineStr">
        <is>
          <t>Diwakar</t>
        </is>
      </c>
      <c r="U1396" s="585" t="n">
        <v>3772811</v>
      </c>
      <c r="V1396" t="n">
        <v>50</v>
      </c>
      <c r="W1396" t="n">
        <v>0</v>
      </c>
      <c r="X1396" t="n">
        <v>6</v>
      </c>
      <c r="Y1396" t="n">
        <v>6.25</v>
      </c>
      <c r="Z1396" t="inlineStr"/>
      <c r="AA1396" t="inlineStr">
        <is>
          <t>FC</t>
        </is>
      </c>
      <c r="AB1396" t="inlineStr">
        <is>
          <t>NR</t>
        </is>
      </c>
      <c r="AC1396" t="inlineStr">
        <is>
          <t>SLT-50-5.8-Rane-SLT</t>
        </is>
      </c>
      <c r="AD1396" t="inlineStr">
        <is>
          <t>LL</t>
        </is>
      </c>
      <c r="AE1396" t="inlineStr">
        <is>
          <t>SLT-50-5.8-Rane-SLT-1</t>
        </is>
      </c>
      <c r="AF1396" t="n">
        <v>6.507336</v>
      </c>
    </row>
    <row r="1397">
      <c r="A1397" s="56" t="n">
        <v>3702200</v>
      </c>
      <c r="B1397" s="56" t="inlineStr">
        <is>
          <t>TUB-O-N-AUT-AW-PE-17.30X1.600X6.0000</t>
        </is>
      </c>
      <c r="C1397" s="56" t="inlineStr">
        <is>
          <t>4926CK1060</t>
        </is>
      </c>
      <c r="D1397" s="56" t="n"/>
      <c r="E1397" s="57" t="n">
        <v>2564.5</v>
      </c>
      <c r="F1397" s="57" t="n">
        <v>2.5645</v>
      </c>
      <c r="G1397" s="56" t="inlineStr">
        <is>
          <t>KG</t>
        </is>
      </c>
      <c r="H1397" s="56" t="inlineStr">
        <is>
          <t>TF01</t>
        </is>
      </c>
      <c r="I1397" s="56" t="inlineStr">
        <is>
          <t>4731</t>
        </is>
      </c>
      <c r="J1397" s="56" t="n"/>
      <c r="K1397" s="56" t="n"/>
      <c r="L1397" s="56" t="n"/>
      <c r="M1397" s="56" t="n"/>
      <c r="N1397" s="56" t="inlineStr">
        <is>
          <t>Elkayem Auto Ancillaries ( P ) LTD</t>
        </is>
      </c>
      <c r="O1397" s="56" t="n">
        <v>102</v>
      </c>
      <c r="P1397" s="59" t="inlineStr">
        <is>
          <t>ABOVE 90</t>
        </is>
      </c>
      <c r="Q1397" s="56" t="inlineStr">
        <is>
          <t>Diwakar</t>
        </is>
      </c>
      <c r="U1397" s="585" t="n">
        <v>3798864</v>
      </c>
      <c r="V1397" t="n">
        <v>50</v>
      </c>
      <c r="W1397" t="n">
        <v>25</v>
      </c>
      <c r="X1397" t="n">
        <v>1.6</v>
      </c>
      <c r="Y1397" t="n">
        <v>6</v>
      </c>
      <c r="Z1397" t="inlineStr">
        <is>
          <t>CRFH</t>
        </is>
      </c>
      <c r="AA1397" t="inlineStr">
        <is>
          <t>FH</t>
        </is>
      </c>
      <c r="AB1397" t="inlineStr">
        <is>
          <t>PE</t>
        </is>
      </c>
      <c r="AC1397" t="inlineStr">
        <is>
          <t>50-25-1.6-CRFH-FC</t>
        </is>
      </c>
      <c r="AD1397" t="inlineStr">
        <is>
          <t>LL</t>
        </is>
      </c>
      <c r="AF1397" t="n">
        <v>1.90881856</v>
      </c>
    </row>
    <row r="1398">
      <c r="A1398" s="56" t="n">
        <v>3702200</v>
      </c>
      <c r="B1398" s="56" t="inlineStr">
        <is>
          <t>TUB-O-N-AUT-AW-PE-17.30X1.600X6.0000</t>
        </is>
      </c>
      <c r="C1398" s="56" t="inlineStr">
        <is>
          <t>4926CK1050</t>
        </is>
      </c>
      <c r="D1398" s="56" t="n"/>
      <c r="E1398" s="57" t="n">
        <v>1922.5</v>
      </c>
      <c r="F1398" s="57" t="n">
        <v>1.9225</v>
      </c>
      <c r="G1398" s="56" t="inlineStr">
        <is>
          <t>KG</t>
        </is>
      </c>
      <c r="H1398" s="56" t="inlineStr">
        <is>
          <t>TF01</t>
        </is>
      </c>
      <c r="I1398" s="56" t="inlineStr">
        <is>
          <t>4731</t>
        </is>
      </c>
      <c r="J1398" s="56" t="n"/>
      <c r="K1398" s="56" t="n"/>
      <c r="L1398" s="56" t="n"/>
      <c r="M1398" s="56" t="n"/>
      <c r="N1398" s="56" t="inlineStr">
        <is>
          <t>Elkayem Auto Ancillaries ( P ) LTD</t>
        </is>
      </c>
      <c r="O1398" s="56" t="n">
        <v>102</v>
      </c>
      <c r="P1398" s="59" t="inlineStr">
        <is>
          <t>ABOVE 90</t>
        </is>
      </c>
      <c r="Q1398" s="56" t="inlineStr">
        <is>
          <t>Diwakar</t>
        </is>
      </c>
      <c r="U1398" s="585" t="n">
        <v>2427158</v>
      </c>
      <c r="V1398" t="n">
        <v>50</v>
      </c>
      <c r="W1398" t="n">
        <v>30</v>
      </c>
      <c r="X1398" t="n">
        <v>1.6</v>
      </c>
      <c r="Y1398" t="n">
        <v>0.604</v>
      </c>
      <c r="Z1398" t="inlineStr">
        <is>
          <t>HROP</t>
        </is>
      </c>
      <c r="AA1398" t="inlineStr">
        <is>
          <t>FC</t>
        </is>
      </c>
      <c r="AB1398" t="inlineStr">
        <is>
          <t>AW</t>
        </is>
      </c>
      <c r="AC1398" t="inlineStr">
        <is>
          <t>50-30-1.6-ERW 1-FC</t>
        </is>
      </c>
      <c r="AD1398" t="inlineStr">
        <is>
          <t>CTL</t>
        </is>
      </c>
      <c r="AE1398" t="inlineStr">
        <is>
          <t>50-30-1.6-ERW 1-FC-0.604</t>
        </is>
      </c>
      <c r="AF1398" t="n">
        <v>1.175069786179771</v>
      </c>
    </row>
    <row r="1399">
      <c r="A1399" s="56" t="n">
        <v>3702200</v>
      </c>
      <c r="B1399" s="56" t="inlineStr">
        <is>
          <t>TUB-O-N-AUT-AW-PE-17.30X1.600X6.0000</t>
        </is>
      </c>
      <c r="C1399" s="56" t="inlineStr">
        <is>
          <t>4926CK1040</t>
        </is>
      </c>
      <c r="D1399" s="56" t="n"/>
      <c r="E1399" s="57" t="n">
        <v>755.5</v>
      </c>
      <c r="F1399" s="57" t="n">
        <v>0.7554999999999999</v>
      </c>
      <c r="G1399" s="56" t="inlineStr">
        <is>
          <t>KG</t>
        </is>
      </c>
      <c r="H1399" s="56" t="inlineStr">
        <is>
          <t>TF01</t>
        </is>
      </c>
      <c r="I1399" s="56" t="inlineStr">
        <is>
          <t>4731</t>
        </is>
      </c>
      <c r="J1399" s="56" t="n"/>
      <c r="K1399" s="56" t="n"/>
      <c r="L1399" s="56" t="n"/>
      <c r="M1399" s="56" t="n"/>
      <c r="N1399" s="56" t="inlineStr">
        <is>
          <t>Elkayem Auto Ancillaries ( P ) LTD</t>
        </is>
      </c>
      <c r="O1399" s="56" t="n">
        <v>102</v>
      </c>
      <c r="P1399" s="59" t="inlineStr">
        <is>
          <t>ABOVE 90</t>
        </is>
      </c>
      <c r="Q1399" s="56" t="inlineStr">
        <is>
          <t>Diwakar</t>
        </is>
      </c>
      <c r="U1399" s="585" t="n">
        <v>3780004</v>
      </c>
      <c r="V1399" t="n">
        <v>50</v>
      </c>
      <c r="W1399" t="n">
        <v>30</v>
      </c>
      <c r="X1399" t="n">
        <v>1.6</v>
      </c>
      <c r="Y1399" t="n">
        <v>0.607</v>
      </c>
      <c r="Z1399" t="inlineStr">
        <is>
          <t>SAE1020</t>
        </is>
      </c>
      <c r="AA1399" t="inlineStr">
        <is>
          <t>FC</t>
        </is>
      </c>
      <c r="AB1399" t="inlineStr">
        <is>
          <t>AW</t>
        </is>
      </c>
      <c r="AC1399" t="inlineStr">
        <is>
          <t>50-30-1.6-ERW 2-FC</t>
        </is>
      </c>
      <c r="AD1399" t="inlineStr">
        <is>
          <t>CTL</t>
        </is>
      </c>
      <c r="AE1399" t="inlineStr">
        <is>
          <t>50-30-1.6-ERW 2-FC-0.607</t>
        </is>
      </c>
      <c r="AF1399" t="n">
        <v>1.180906225515101</v>
      </c>
    </row>
    <row r="1400">
      <c r="A1400" s="56" t="n">
        <v>3702200</v>
      </c>
      <c r="B1400" s="56" t="inlineStr">
        <is>
          <t>TUB-O-N-AUT-AW-PE-17.30X1.600X6.0000</t>
        </is>
      </c>
      <c r="C1400" s="56" t="inlineStr">
        <is>
          <t>4926CK1030</t>
        </is>
      </c>
      <c r="D1400" s="56" t="n"/>
      <c r="E1400" s="57" t="n">
        <v>1550.5</v>
      </c>
      <c r="F1400" s="57" t="n">
        <v>1.5505</v>
      </c>
      <c r="G1400" s="56" t="inlineStr">
        <is>
          <t>KG</t>
        </is>
      </c>
      <c r="H1400" s="56" t="inlineStr">
        <is>
          <t>TF01</t>
        </is>
      </c>
      <c r="I1400" s="56" t="inlineStr">
        <is>
          <t>4731</t>
        </is>
      </c>
      <c r="J1400" s="56" t="n"/>
      <c r="K1400" s="56" t="n"/>
      <c r="L1400" s="56" t="n"/>
      <c r="M1400" s="56" t="n"/>
      <c r="N1400" s="56" t="inlineStr">
        <is>
          <t>Elkayem Auto Ancillaries ( P ) LTD</t>
        </is>
      </c>
      <c r="O1400" s="56" t="n">
        <v>102</v>
      </c>
      <c r="P1400" s="59" t="inlineStr">
        <is>
          <t>ABOVE 90</t>
        </is>
      </c>
      <c r="Q1400" s="56" t="inlineStr">
        <is>
          <t>Diwakar</t>
        </is>
      </c>
      <c r="U1400" s="585" t="n">
        <v>3775637</v>
      </c>
      <c r="V1400" t="n">
        <v>50</v>
      </c>
      <c r="W1400" t="n">
        <v>30</v>
      </c>
      <c r="X1400" t="n">
        <v>1.6</v>
      </c>
      <c r="Y1400" t="n">
        <v>0.607</v>
      </c>
      <c r="Z1400" t="inlineStr">
        <is>
          <t>GR1</t>
        </is>
      </c>
      <c r="AA1400" t="inlineStr">
        <is>
          <t>PE</t>
        </is>
      </c>
      <c r="AB1400" t="inlineStr">
        <is>
          <t>AW</t>
        </is>
      </c>
      <c r="AC1400" t="inlineStr">
        <is>
          <t>50-30-1.6-ERW 1-FC</t>
        </is>
      </c>
      <c r="AD1400" t="inlineStr">
        <is>
          <t>CTL</t>
        </is>
      </c>
      <c r="AE1400" t="inlineStr">
        <is>
          <t>50-30-1.6-ERW 1-FC-0.607</t>
        </is>
      </c>
      <c r="AF1400" t="n">
        <v>1.180906225515101</v>
      </c>
    </row>
    <row r="1401">
      <c r="A1401" s="56" t="n">
        <v>3702200</v>
      </c>
      <c r="B1401" s="56" t="inlineStr">
        <is>
          <t>TUB-O-N-AUT-AW-PE-17.30X1.600X6.0000</t>
        </is>
      </c>
      <c r="C1401" s="56" t="inlineStr">
        <is>
          <t>4926CK1020</t>
        </is>
      </c>
      <c r="D1401" s="56" t="n"/>
      <c r="E1401" s="57" t="n">
        <v>1773.5</v>
      </c>
      <c r="F1401" s="57" t="n">
        <v>1.7735</v>
      </c>
      <c r="G1401" s="56" t="inlineStr">
        <is>
          <t>KG</t>
        </is>
      </c>
      <c r="H1401" s="56" t="inlineStr">
        <is>
          <t>TF01</t>
        </is>
      </c>
      <c r="I1401" s="56" t="inlineStr">
        <is>
          <t>4731</t>
        </is>
      </c>
      <c r="J1401" s="56" t="n"/>
      <c r="K1401" s="56" t="n"/>
      <c r="L1401" s="56" t="n"/>
      <c r="M1401" s="56" t="n"/>
      <c r="N1401" s="56" t="inlineStr">
        <is>
          <t>Elkayem Auto Ancillaries ( P ) LTD</t>
        </is>
      </c>
      <c r="O1401" s="56" t="n">
        <v>102</v>
      </c>
      <c r="P1401" s="59" t="inlineStr">
        <is>
          <t>ABOVE 90</t>
        </is>
      </c>
      <c r="Q1401" s="56" t="inlineStr">
        <is>
          <t>Diwakar</t>
        </is>
      </c>
      <c r="U1401" s="585" t="n">
        <v>1940879</v>
      </c>
      <c r="V1401" t="n">
        <v>50</v>
      </c>
      <c r="W1401" t="n">
        <v>30</v>
      </c>
      <c r="X1401" t="n">
        <v>1.6</v>
      </c>
      <c r="Y1401" t="n">
        <v>0.636</v>
      </c>
      <c r="Z1401" t="inlineStr">
        <is>
          <t>GR1</t>
        </is>
      </c>
      <c r="AA1401" t="inlineStr">
        <is>
          <t>PE</t>
        </is>
      </c>
      <c r="AB1401" t="inlineStr">
        <is>
          <t>AW</t>
        </is>
      </c>
      <c r="AC1401" t="inlineStr">
        <is>
          <t>50-30-1.6-ERW 1-FC</t>
        </is>
      </c>
      <c r="AD1401" t="inlineStr">
        <is>
          <t>CTL</t>
        </is>
      </c>
      <c r="AE1401" t="inlineStr">
        <is>
          <t>50-30-1.6-ERW 1-FC-0.636</t>
        </is>
      </c>
      <c r="AF1401" t="n">
        <v>1.237325139089958</v>
      </c>
    </row>
    <row r="1402">
      <c r="A1402" s="56" t="n">
        <v>3702200</v>
      </c>
      <c r="B1402" s="56" t="inlineStr">
        <is>
          <t>TUB-O-N-AUT-AW-PE-17.30X1.600X6.0000</t>
        </is>
      </c>
      <c r="C1402" s="56" t="inlineStr">
        <is>
          <t>4926CK1010</t>
        </is>
      </c>
      <c r="D1402" s="56" t="n"/>
      <c r="E1402" s="57" t="n">
        <v>528</v>
      </c>
      <c r="F1402" s="57" t="n">
        <v>0.528</v>
      </c>
      <c r="G1402" s="56" t="inlineStr">
        <is>
          <t>KG</t>
        </is>
      </c>
      <c r="H1402" s="56" t="inlineStr">
        <is>
          <t>TF01</t>
        </is>
      </c>
      <c r="I1402" s="56" t="inlineStr">
        <is>
          <t>4731</t>
        </is>
      </c>
      <c r="J1402" s="56" t="n"/>
      <c r="K1402" s="56" t="n"/>
      <c r="L1402" s="56" t="n"/>
      <c r="M1402" s="56" t="n"/>
      <c r="N1402" s="56" t="inlineStr">
        <is>
          <t>Elkayem Auto Ancillaries ( P ) LTD</t>
        </is>
      </c>
      <c r="O1402" s="56" t="n">
        <v>102</v>
      </c>
      <c r="P1402" s="59" t="inlineStr">
        <is>
          <t>ABOVE 90</t>
        </is>
      </c>
      <c r="Q1402" s="56" t="inlineStr">
        <is>
          <t>Diwakar</t>
        </is>
      </c>
      <c r="U1402" s="585" t="n">
        <v>3780005</v>
      </c>
      <c r="V1402" t="n">
        <v>50</v>
      </c>
      <c r="W1402" t="n">
        <v>30</v>
      </c>
      <c r="X1402" t="n">
        <v>1.6</v>
      </c>
      <c r="Y1402" t="n">
        <v>0.638</v>
      </c>
      <c r="Z1402" t="inlineStr">
        <is>
          <t>SAE1020</t>
        </is>
      </c>
      <c r="AA1402" t="inlineStr">
        <is>
          <t>FC</t>
        </is>
      </c>
      <c r="AB1402" t="inlineStr">
        <is>
          <t>AW</t>
        </is>
      </c>
      <c r="AC1402" t="inlineStr">
        <is>
          <t>50-30-1.6-ERW 2-FC</t>
        </is>
      </c>
      <c r="AD1402" t="inlineStr">
        <is>
          <t>CTL</t>
        </is>
      </c>
      <c r="AE1402" t="inlineStr">
        <is>
          <t>50-30-1.6-ERW 2-FC-0.638</t>
        </is>
      </c>
      <c r="AF1402" t="n">
        <v>1.241216098646845</v>
      </c>
    </row>
    <row r="1403">
      <c r="A1403" s="56" t="n">
        <v>3702200</v>
      </c>
      <c r="B1403" s="56" t="inlineStr">
        <is>
          <t>TUB-O-N-AUT-AW-PE-17.30X1.600X6.0000</t>
        </is>
      </c>
      <c r="C1403" s="56" t="inlineStr">
        <is>
          <t>4926BK1060</t>
        </is>
      </c>
      <c r="D1403" s="56" t="n"/>
      <c r="E1403" s="57" t="n">
        <v>506.5</v>
      </c>
      <c r="F1403" s="57" t="n">
        <v>0.5065</v>
      </c>
      <c r="G1403" s="56" t="inlineStr">
        <is>
          <t>KG</t>
        </is>
      </c>
      <c r="H1403" s="56" t="inlineStr">
        <is>
          <t>TF01</t>
        </is>
      </c>
      <c r="I1403" s="56" t="inlineStr">
        <is>
          <t>4731</t>
        </is>
      </c>
      <c r="J1403" s="56" t="n"/>
      <c r="K1403" s="56" t="n"/>
      <c r="L1403" s="56" t="n"/>
      <c r="M1403" s="56" t="n"/>
      <c r="N1403" s="56" t="inlineStr">
        <is>
          <t>Elkayem Auto Ancillaries ( P ) LTD</t>
        </is>
      </c>
      <c r="O1403" s="56" t="n">
        <v>102</v>
      </c>
      <c r="P1403" s="59" t="inlineStr">
        <is>
          <t>ABOVE 90</t>
        </is>
      </c>
      <c r="Q1403" s="56" t="inlineStr">
        <is>
          <t>Diwakar</t>
        </is>
      </c>
      <c r="U1403" s="585" t="n">
        <v>3775638</v>
      </c>
      <c r="V1403" t="n">
        <v>50</v>
      </c>
      <c r="W1403" t="n">
        <v>30</v>
      </c>
      <c r="X1403" t="n">
        <v>1.6</v>
      </c>
      <c r="Y1403" t="n">
        <v>0.638</v>
      </c>
      <c r="Z1403" t="inlineStr">
        <is>
          <t>GR1</t>
        </is>
      </c>
      <c r="AA1403" t="inlineStr">
        <is>
          <t>PE</t>
        </is>
      </c>
      <c r="AB1403" t="inlineStr">
        <is>
          <t>AW</t>
        </is>
      </c>
      <c r="AC1403" t="inlineStr">
        <is>
          <t>50-30-1.6-ERW 2-FC</t>
        </is>
      </c>
      <c r="AD1403" t="inlineStr">
        <is>
          <t>CTL</t>
        </is>
      </c>
      <c r="AE1403" t="inlineStr">
        <is>
          <t>50-30-1.6-ERW 2-FC-0.638</t>
        </is>
      </c>
      <c r="AF1403" t="n">
        <v>1.241216098646845</v>
      </c>
    </row>
    <row r="1404">
      <c r="A1404" s="56" t="n">
        <v>3702200</v>
      </c>
      <c r="B1404" s="56" t="inlineStr">
        <is>
          <t>TUB-O-N-AUT-AW-PE-17.30X1.600X6.0000</t>
        </is>
      </c>
      <c r="C1404" s="56" t="inlineStr">
        <is>
          <t>4926BK1040</t>
        </is>
      </c>
      <c r="D1404" s="56" t="n"/>
      <c r="E1404" s="57" t="n">
        <v>1643</v>
      </c>
      <c r="F1404" s="57" t="n">
        <v>1.643</v>
      </c>
      <c r="G1404" s="56" t="inlineStr">
        <is>
          <t>KG</t>
        </is>
      </c>
      <c r="H1404" s="56" t="inlineStr">
        <is>
          <t>TF01</t>
        </is>
      </c>
      <c r="I1404" s="56" t="inlineStr">
        <is>
          <t>4731</t>
        </is>
      </c>
      <c r="J1404" s="56" t="n"/>
      <c r="K1404" s="56" t="n"/>
      <c r="L1404" s="56" t="n"/>
      <c r="M1404" s="56" t="n"/>
      <c r="N1404" s="56" t="inlineStr">
        <is>
          <t>Elkayem Auto Ancillaries ( P ) LTD</t>
        </is>
      </c>
      <c r="O1404" s="56" t="n">
        <v>86</v>
      </c>
      <c r="P1404" s="59" t="inlineStr">
        <is>
          <t>61-90</t>
        </is>
      </c>
      <c r="Q1404" s="56" t="inlineStr">
        <is>
          <t>Diwakar</t>
        </is>
      </c>
      <c r="U1404" s="585" t="n">
        <v>2430128</v>
      </c>
      <c r="V1404" t="n">
        <v>50</v>
      </c>
      <c r="W1404" t="n">
        <v>30</v>
      </c>
      <c r="X1404" t="n">
        <v>1.6</v>
      </c>
      <c r="Y1404" t="n">
        <v>1.1</v>
      </c>
      <c r="Z1404" t="inlineStr">
        <is>
          <t>HROP</t>
        </is>
      </c>
      <c r="AA1404" t="inlineStr">
        <is>
          <t>FC</t>
        </is>
      </c>
      <c r="AB1404" t="inlineStr">
        <is>
          <t>AW</t>
        </is>
      </c>
      <c r="AC1404" t="inlineStr">
        <is>
          <t>50-30-1.6-ERW 1-FC</t>
        </is>
      </c>
      <c r="AD1404" t="inlineStr">
        <is>
          <t>CTL</t>
        </is>
      </c>
      <c r="AE1404" t="inlineStr">
        <is>
          <t>50-30-1.6-ERW 1-FC-1.1</t>
        </is>
      </c>
      <c r="AF1404" t="n">
        <v>2.140027756287663</v>
      </c>
    </row>
    <row r="1405">
      <c r="A1405" s="56" t="n">
        <v>3702200</v>
      </c>
      <c r="B1405" s="56" t="inlineStr">
        <is>
          <t>TUB-O-N-AUT-AW-PE-17.30X1.600X6.0000</t>
        </is>
      </c>
      <c r="C1405" s="56" t="inlineStr">
        <is>
          <t>4926BK1030</t>
        </is>
      </c>
      <c r="D1405" s="56" t="n"/>
      <c r="E1405" s="57" t="n">
        <v>1650</v>
      </c>
      <c r="F1405" s="57" t="n">
        <v>1.65</v>
      </c>
      <c r="G1405" s="56" t="inlineStr">
        <is>
          <t>KG</t>
        </is>
      </c>
      <c r="H1405" s="56" t="inlineStr">
        <is>
          <t>TF01</t>
        </is>
      </c>
      <c r="I1405" s="56" t="inlineStr">
        <is>
          <t>4731</t>
        </is>
      </c>
      <c r="J1405" s="56" t="n"/>
      <c r="K1405" s="56" t="n"/>
      <c r="L1405" s="56" t="n"/>
      <c r="M1405" s="56" t="n"/>
      <c r="N1405" s="56" t="inlineStr">
        <is>
          <t>Elkayem Auto Ancillaries ( P ) LTD</t>
        </is>
      </c>
      <c r="O1405" s="56" t="n">
        <v>86</v>
      </c>
      <c r="P1405" s="59" t="inlineStr">
        <is>
          <t>61-90</t>
        </is>
      </c>
      <c r="Q1405" s="56" t="inlineStr">
        <is>
          <t>Diwakar</t>
        </is>
      </c>
      <c r="U1405" s="586" t="n">
        <v>111002411</v>
      </c>
      <c r="V1405" t="n">
        <v>50</v>
      </c>
      <c r="W1405" t="n">
        <v>30</v>
      </c>
      <c r="X1405" t="n">
        <v>1.6</v>
      </c>
      <c r="Y1405" t="n">
        <v>5.525</v>
      </c>
      <c r="Z1405" t="inlineStr">
        <is>
          <t>HROP</t>
        </is>
      </c>
      <c r="AA1405" t="inlineStr">
        <is>
          <t>FC</t>
        </is>
      </c>
      <c r="AB1405" t="inlineStr">
        <is>
          <t>AW</t>
        </is>
      </c>
      <c r="AC1405" t="inlineStr">
        <is>
          <t>50-30-1.6-ERW 1-FC</t>
        </is>
      </c>
      <c r="AD1405" t="inlineStr">
        <is>
          <t>LL</t>
        </is>
      </c>
      <c r="AE1405" t="inlineStr">
        <is>
          <t>50-30-1.6-ERW 1-FC-1</t>
        </is>
      </c>
      <c r="AF1405" t="n">
        <v>1.94547977844333</v>
      </c>
    </row>
    <row r="1406">
      <c r="A1406" s="56" t="n">
        <v>3702200</v>
      </c>
      <c r="B1406" s="56" t="inlineStr">
        <is>
          <t>TUB-O-N-AUT-AW-PE-17.30X1.600X6.0000</t>
        </is>
      </c>
      <c r="C1406" s="56" t="inlineStr">
        <is>
          <t>4926BK1020</t>
        </is>
      </c>
      <c r="D1406" s="56" t="n"/>
      <c r="E1406" s="57" t="n">
        <v>1630.57</v>
      </c>
      <c r="F1406" s="57" t="n">
        <v>1.63057</v>
      </c>
      <c r="G1406" s="56" t="inlineStr">
        <is>
          <t>KG</t>
        </is>
      </c>
      <c r="H1406" s="56" t="inlineStr">
        <is>
          <t>TF01</t>
        </is>
      </c>
      <c r="I1406" s="56" t="inlineStr">
        <is>
          <t>4731</t>
        </is>
      </c>
      <c r="J1406" s="56" t="n"/>
      <c r="K1406" s="56" t="n"/>
      <c r="L1406" s="56" t="n"/>
      <c r="M1406" s="56" t="n"/>
      <c r="N1406" s="56" t="inlineStr">
        <is>
          <t>Elkayem Auto Ancillaries ( P ) LTD</t>
        </is>
      </c>
      <c r="O1406" s="56" t="n">
        <v>90</v>
      </c>
      <c r="P1406" s="59" t="inlineStr">
        <is>
          <t>61-90</t>
        </is>
      </c>
      <c r="Q1406" s="56" t="inlineStr">
        <is>
          <t>Diwakar</t>
        </is>
      </c>
      <c r="U1406" s="586" t="n">
        <v>111002503</v>
      </c>
      <c r="V1406" t="n">
        <v>50</v>
      </c>
      <c r="W1406" t="n">
        <v>30</v>
      </c>
      <c r="X1406" t="n">
        <v>1.6</v>
      </c>
      <c r="Y1406" t="n">
        <v>5.575</v>
      </c>
      <c r="Z1406" t="inlineStr">
        <is>
          <t>HROP</t>
        </is>
      </c>
      <c r="AA1406" t="inlineStr">
        <is>
          <t>FC</t>
        </is>
      </c>
      <c r="AB1406" t="inlineStr">
        <is>
          <t>AW</t>
        </is>
      </c>
      <c r="AC1406" t="inlineStr">
        <is>
          <t>50-30-1.6-ERW 1-FC</t>
        </is>
      </c>
      <c r="AD1406" t="inlineStr">
        <is>
          <t>LL</t>
        </is>
      </c>
      <c r="AE1406" t="inlineStr">
        <is>
          <t>50-30-1.6-ERW 1-FC-1</t>
        </is>
      </c>
      <c r="AF1406" t="n">
        <v>1.94547977844333</v>
      </c>
    </row>
    <row r="1407">
      <c r="A1407" s="56" t="n">
        <v>3702200</v>
      </c>
      <c r="B1407" s="56" t="inlineStr">
        <is>
          <t>TUB-O-N-AUT-AW-PE-17.30X1.600X6.0000</t>
        </is>
      </c>
      <c r="C1407" s="56" t="inlineStr">
        <is>
          <t>4926BK1010</t>
        </is>
      </c>
      <c r="D1407" s="56" t="n"/>
      <c r="E1407" s="57" t="n">
        <v>275</v>
      </c>
      <c r="F1407" s="57" t="n">
        <v>0.275</v>
      </c>
      <c r="G1407" s="56" t="inlineStr">
        <is>
          <t>KG</t>
        </is>
      </c>
      <c r="H1407" s="56" t="inlineStr">
        <is>
          <t>TF01</t>
        </is>
      </c>
      <c r="I1407" s="56" t="inlineStr">
        <is>
          <t>4731</t>
        </is>
      </c>
      <c r="J1407" s="56" t="n"/>
      <c r="K1407" s="56" t="n"/>
      <c r="L1407" s="56" t="n"/>
      <c r="M1407" s="56" t="n"/>
      <c r="N1407" s="56" t="inlineStr">
        <is>
          <t>Elkayem Auto Ancillaries ( P ) LTD</t>
        </is>
      </c>
      <c r="O1407" s="56" t="n">
        <v>102</v>
      </c>
      <c r="P1407" s="59" t="inlineStr">
        <is>
          <t>ABOVE 90</t>
        </is>
      </c>
      <c r="Q1407" s="56" t="inlineStr">
        <is>
          <t>Diwakar</t>
        </is>
      </c>
      <c r="U1407" s="586" t="n">
        <v>110103004</v>
      </c>
      <c r="V1407" t="n">
        <v>50</v>
      </c>
      <c r="W1407" t="n">
        <v>30</v>
      </c>
      <c r="X1407" t="n">
        <v>1.6</v>
      </c>
      <c r="Y1407" t="n">
        <v>5.819</v>
      </c>
      <c r="Z1407" t="inlineStr">
        <is>
          <t>GR1</t>
        </is>
      </c>
      <c r="AA1407" t="inlineStr">
        <is>
          <t>FC</t>
        </is>
      </c>
      <c r="AB1407" t="inlineStr">
        <is>
          <t>AW</t>
        </is>
      </c>
      <c r="AC1407" t="inlineStr">
        <is>
          <t>50-30-1.6-ERW 1-FC</t>
        </is>
      </c>
      <c r="AD1407" t="inlineStr">
        <is>
          <t>LL</t>
        </is>
      </c>
      <c r="AE1407" t="inlineStr">
        <is>
          <t>50-30-1.6-ERW 1-FC-1</t>
        </is>
      </c>
      <c r="AF1407" t="n">
        <v>1.94547977844333</v>
      </c>
    </row>
    <row r="1408">
      <c r="A1408" s="56" t="n">
        <v>3702200</v>
      </c>
      <c r="B1408" s="56" t="inlineStr">
        <is>
          <t>TUB-O-N-AUT-AW-PE-17.30X1.600X6.0000</t>
        </is>
      </c>
      <c r="C1408" s="56" t="inlineStr">
        <is>
          <t>4927AK1050</t>
        </is>
      </c>
      <c r="D1408" s="56" t="n"/>
      <c r="E1408" s="57" t="n">
        <v>70.10299999999999</v>
      </c>
      <c r="F1408" s="57" t="n">
        <v>0.070103</v>
      </c>
      <c r="G1408" s="56" t="inlineStr">
        <is>
          <t>KG</t>
        </is>
      </c>
      <c r="H1408" s="56" t="inlineStr"/>
      <c r="I1408" s="56" t="inlineStr">
        <is>
          <t>4731</t>
        </is>
      </c>
      <c r="J1408" s="56" t="n"/>
      <c r="K1408" s="56" t="n"/>
      <c r="L1408" s="56" t="n"/>
      <c r="M1408" s="56" t="n"/>
      <c r="N1408" s="56" t="inlineStr">
        <is>
          <t>Elkayem Auto Ancillaries ( P ) LTD</t>
        </is>
      </c>
      <c r="O1408" s="56" t="n">
        <v>21</v>
      </c>
      <c r="P1408" s="59" t="inlineStr">
        <is>
          <t>0-30</t>
        </is>
      </c>
      <c r="Q1408" s="56" t="inlineStr">
        <is>
          <t>Diwakar</t>
        </is>
      </c>
      <c r="U1408" s="585" t="n">
        <v>3929509</v>
      </c>
      <c r="V1408" t="n">
        <v>50</v>
      </c>
      <c r="W1408" t="n">
        <v>30</v>
      </c>
      <c r="X1408" t="n">
        <v>1.6</v>
      </c>
      <c r="Y1408" t="n">
        <v>5.819</v>
      </c>
      <c r="Z1408" t="inlineStr">
        <is>
          <t>GR1</t>
        </is>
      </c>
      <c r="AA1408" t="inlineStr">
        <is>
          <t>FC</t>
        </is>
      </c>
      <c r="AB1408" t="inlineStr">
        <is>
          <t>AW</t>
        </is>
      </c>
      <c r="AC1408" t="inlineStr">
        <is>
          <t>50-30-1.6-ERW 1-FC</t>
        </is>
      </c>
      <c r="AD1408" t="inlineStr">
        <is>
          <t>LL</t>
        </is>
      </c>
      <c r="AF1408" t="n">
        <v>1.94547977844333</v>
      </c>
    </row>
    <row r="1409">
      <c r="A1409" s="56" t="n">
        <v>3702200</v>
      </c>
      <c r="B1409" s="56" t="inlineStr">
        <is>
          <t>TUB-O-N-AUT-AW-PE-17.30X1.600X6.0000</t>
        </is>
      </c>
      <c r="C1409" s="56" t="inlineStr">
        <is>
          <t>4907AK1020</t>
        </is>
      </c>
      <c r="D1409" s="56" t="n"/>
      <c r="E1409" s="57" t="n">
        <v>517.9</v>
      </c>
      <c r="F1409" s="57" t="n">
        <v>0.5179</v>
      </c>
      <c r="G1409" s="56" t="inlineStr">
        <is>
          <t>KG</t>
        </is>
      </c>
      <c r="H1409" s="56" t="inlineStr"/>
      <c r="I1409" s="56" t="inlineStr">
        <is>
          <t>4731</t>
        </is>
      </c>
      <c r="J1409" s="56" t="n"/>
      <c r="K1409" s="56" t="n"/>
      <c r="L1409" s="56" t="n"/>
      <c r="M1409" s="56" t="n"/>
      <c r="N1409" s="56" t="inlineStr">
        <is>
          <t>Elkayem Auto Ancillaries ( P ) LTD</t>
        </is>
      </c>
      <c r="O1409" s="56" t="n">
        <v>55</v>
      </c>
      <c r="P1409" s="59" t="inlineStr">
        <is>
          <t>31-60</t>
        </is>
      </c>
      <c r="Q1409" s="56" t="inlineStr">
        <is>
          <t>Diwakar</t>
        </is>
      </c>
      <c r="U1409" s="585" t="n">
        <v>3569429</v>
      </c>
      <c r="V1409" t="n">
        <v>50</v>
      </c>
      <c r="W1409" t="n">
        <v>30</v>
      </c>
      <c r="X1409" t="n">
        <v>1.6</v>
      </c>
      <c r="Y1409" t="n">
        <v>5.82</v>
      </c>
      <c r="Z1409" t="inlineStr">
        <is>
          <t>HROP</t>
        </is>
      </c>
      <c r="AA1409" t="inlineStr">
        <is>
          <t>FC</t>
        </is>
      </c>
      <c r="AB1409" t="inlineStr">
        <is>
          <t>AW</t>
        </is>
      </c>
      <c r="AC1409" t="inlineStr">
        <is>
          <t>50-30-1.6-ERW 1-FC</t>
        </is>
      </c>
      <c r="AD1409" t="inlineStr">
        <is>
          <t>LL</t>
        </is>
      </c>
      <c r="AE1409" t="inlineStr">
        <is>
          <t>50-30-1.6-ERW 1-FC-1</t>
        </is>
      </c>
      <c r="AF1409" t="n">
        <v>1.94547977844333</v>
      </c>
    </row>
    <row r="1410">
      <c r="A1410" s="56" t="n">
        <v>3702200</v>
      </c>
      <c r="B1410" s="56" t="inlineStr">
        <is>
          <t>TUB-O-N-AUT-AW-PE-17.30X1.600X6.0000</t>
        </is>
      </c>
      <c r="C1410" s="56" t="inlineStr">
        <is>
          <t>4905AK1020</t>
        </is>
      </c>
      <c r="D1410" s="56" t="n"/>
      <c r="E1410" s="57" t="n">
        <v>93.819</v>
      </c>
      <c r="F1410" s="57" t="n">
        <v>0.093819</v>
      </c>
      <c r="G1410" s="56" t="inlineStr">
        <is>
          <t>KG</t>
        </is>
      </c>
      <c r="H1410" s="56" t="inlineStr"/>
      <c r="I1410" s="56" t="inlineStr">
        <is>
          <t>4731</t>
        </is>
      </c>
      <c r="J1410" s="56" t="n"/>
      <c r="K1410" s="56" t="n"/>
      <c r="L1410" s="56" t="n"/>
      <c r="M1410" s="56" t="n"/>
      <c r="N1410" s="56" t="inlineStr">
        <is>
          <t>Elkayem Auto Ancillaries ( P ) LTD</t>
        </is>
      </c>
      <c r="O1410" s="56" t="n">
        <v>3</v>
      </c>
      <c r="P1410" s="59" t="inlineStr">
        <is>
          <t>0-30</t>
        </is>
      </c>
      <c r="Q1410" s="56" t="inlineStr">
        <is>
          <t>Diwakar</t>
        </is>
      </c>
      <c r="U1410" s="585" t="n">
        <v>4189623</v>
      </c>
      <c r="V1410" t="n">
        <v>50</v>
      </c>
      <c r="W1410" t="n">
        <v>30</v>
      </c>
      <c r="X1410" t="n">
        <v>1.6</v>
      </c>
      <c r="Y1410" t="n">
        <v>6.09</v>
      </c>
      <c r="Z1410" t="inlineStr">
        <is>
          <t>SAE1020</t>
        </is>
      </c>
      <c r="AA1410" t="inlineStr">
        <is>
          <t>FC</t>
        </is>
      </c>
      <c r="AB1410" t="inlineStr">
        <is>
          <t>AW</t>
        </is>
      </c>
      <c r="AC1410" t="inlineStr">
        <is>
          <t>50-30-1.6-ERW 1-FC</t>
        </is>
      </c>
      <c r="AD1410" t="inlineStr">
        <is>
          <t>LL</t>
        </is>
      </c>
      <c r="AE1410" t="inlineStr">
        <is>
          <t>50-30-1.6-ERW 1-FC-1</t>
        </is>
      </c>
      <c r="AF1410" t="n">
        <v>1.94547977844333</v>
      </c>
    </row>
    <row r="1411">
      <c r="A1411" s="56" t="n">
        <v>3702201</v>
      </c>
      <c r="B1411" s="56" t="inlineStr">
        <is>
          <t>TUB-O-N-AUT-AW-PE-17.30X1.200X6.0000</t>
        </is>
      </c>
      <c r="C1411" s="56" t="inlineStr">
        <is>
          <t>4906CK1040</t>
        </is>
      </c>
      <c r="D1411" s="56" t="n"/>
      <c r="E1411" s="57" t="n">
        <v>60.204</v>
      </c>
      <c r="F1411" s="57" t="n">
        <v>0.060204</v>
      </c>
      <c r="G1411" s="56" t="inlineStr">
        <is>
          <t>KG</t>
        </is>
      </c>
      <c r="H1411" s="56" t="inlineStr">
        <is>
          <t>TF01</t>
        </is>
      </c>
      <c r="I1411" s="56" t="inlineStr">
        <is>
          <t>4731</t>
        </is>
      </c>
      <c r="J1411" s="56" t="n"/>
      <c r="K1411" s="56" t="n"/>
      <c r="L1411" s="56" t="n"/>
      <c r="M1411" s="56" t="n"/>
      <c r="N1411" s="56" t="inlineStr">
        <is>
          <t>Elkayem Auto Ancillaries ( P ) LTD</t>
        </is>
      </c>
      <c r="O1411" s="56" t="n">
        <v>54</v>
      </c>
      <c r="P1411" s="59" t="inlineStr">
        <is>
          <t>31-60</t>
        </is>
      </c>
      <c r="Q1411" s="56" t="inlineStr">
        <is>
          <t>Diwakar</t>
        </is>
      </c>
      <c r="U1411" s="585" t="n">
        <v>3870803</v>
      </c>
      <c r="V1411" t="n">
        <v>50</v>
      </c>
      <c r="W1411" t="n">
        <v>30</v>
      </c>
      <c r="X1411" t="n">
        <v>1.6</v>
      </c>
      <c r="Y1411" t="n">
        <v>6.1</v>
      </c>
      <c r="Z1411" t="inlineStr">
        <is>
          <t>SAE1020</t>
        </is>
      </c>
      <c r="AA1411" t="inlineStr">
        <is>
          <t>FC</t>
        </is>
      </c>
      <c r="AB1411" t="inlineStr">
        <is>
          <t>AW</t>
        </is>
      </c>
      <c r="AC1411" t="inlineStr">
        <is>
          <t>50-30-1.6-ERW 2-FC</t>
        </is>
      </c>
      <c r="AD1411" t="inlineStr">
        <is>
          <t>LL</t>
        </is>
      </c>
      <c r="AE1411" t="inlineStr">
        <is>
          <t>50-30-1.6-ERW 2-FC-1</t>
        </is>
      </c>
      <c r="AF1411" t="n">
        <v>1.94547977844333</v>
      </c>
    </row>
    <row r="1412">
      <c r="A1412" s="56" t="n">
        <v>3702201</v>
      </c>
      <c r="B1412" s="56" t="inlineStr">
        <is>
          <t>TUB-O-N-AUT-AW-PE-17.30X1.200X6.0000</t>
        </is>
      </c>
      <c r="C1412" s="56" t="inlineStr">
        <is>
          <t>4906CK1030</t>
        </is>
      </c>
      <c r="D1412" s="56" t="n"/>
      <c r="E1412" s="57" t="n">
        <v>2146.57</v>
      </c>
      <c r="F1412" s="57" t="n">
        <v>2.14657</v>
      </c>
      <c r="G1412" s="56" t="inlineStr">
        <is>
          <t>KG</t>
        </is>
      </c>
      <c r="H1412" s="56" t="inlineStr">
        <is>
          <t>TF01</t>
        </is>
      </c>
      <c r="I1412" s="56" t="inlineStr">
        <is>
          <t>4731</t>
        </is>
      </c>
      <c r="J1412" s="56" t="n"/>
      <c r="K1412" s="56" t="n"/>
      <c r="L1412" s="56" t="n"/>
      <c r="M1412" s="56" t="n"/>
      <c r="N1412" s="56" t="inlineStr">
        <is>
          <t>Elkayem Auto Ancillaries ( P ) LTD</t>
        </is>
      </c>
      <c r="O1412" s="56" t="n">
        <v>90</v>
      </c>
      <c r="P1412" s="59" t="inlineStr">
        <is>
          <t>61-90</t>
        </is>
      </c>
      <c r="Q1412" s="56" t="inlineStr">
        <is>
          <t>Diwakar</t>
        </is>
      </c>
      <c r="U1412" s="586" t="n">
        <v>111119453</v>
      </c>
      <c r="V1412" t="n">
        <v>50</v>
      </c>
      <c r="W1412" t="n">
        <v>30</v>
      </c>
      <c r="X1412" t="n">
        <v>1.6</v>
      </c>
      <c r="Y1412" t="n">
        <v>6.16</v>
      </c>
      <c r="Z1412" t="inlineStr">
        <is>
          <t>SAE1020</t>
        </is>
      </c>
      <c r="AA1412" t="inlineStr">
        <is>
          <t>FC</t>
        </is>
      </c>
      <c r="AB1412" t="inlineStr">
        <is>
          <t>AW</t>
        </is>
      </c>
      <c r="AC1412" t="inlineStr">
        <is>
          <t>50-30-1.6-ERW 2-FC</t>
        </is>
      </c>
      <c r="AD1412" t="inlineStr">
        <is>
          <t>LL</t>
        </is>
      </c>
      <c r="AE1412" t="inlineStr">
        <is>
          <t>50-30-1.6-ERW 2-FC-1</t>
        </is>
      </c>
      <c r="AF1412" t="n">
        <v>1.94547977844333</v>
      </c>
    </row>
    <row r="1413">
      <c r="A1413" s="56" t="n">
        <v>3702201</v>
      </c>
      <c r="B1413" s="56" t="inlineStr">
        <is>
          <t>TUB-O-N-AUT-AW-PE-17.30X1.200X6.0000</t>
        </is>
      </c>
      <c r="C1413" s="56" t="inlineStr">
        <is>
          <t>4906CK1020</t>
        </is>
      </c>
      <c r="D1413" s="56" t="n"/>
      <c r="E1413" s="57" t="n">
        <v>2041.57</v>
      </c>
      <c r="F1413" s="57" t="n">
        <v>2.04157</v>
      </c>
      <c r="G1413" s="56" t="inlineStr">
        <is>
          <t>KG</t>
        </is>
      </c>
      <c r="H1413" s="56" t="inlineStr">
        <is>
          <t>TF01</t>
        </is>
      </c>
      <c r="I1413" s="56" t="inlineStr">
        <is>
          <t>4731</t>
        </is>
      </c>
      <c r="J1413" s="56" t="n"/>
      <c r="K1413" s="56" t="n"/>
      <c r="L1413" s="56" t="n"/>
      <c r="M1413" s="56" t="n"/>
      <c r="N1413" s="56" t="inlineStr">
        <is>
          <t>Elkayem Auto Ancillaries ( P ) LTD</t>
        </is>
      </c>
      <c r="O1413" s="56" t="n">
        <v>90</v>
      </c>
      <c r="P1413" s="59" t="inlineStr">
        <is>
          <t>61-90</t>
        </is>
      </c>
      <c r="Q1413" s="56" t="inlineStr">
        <is>
          <t>Diwakar</t>
        </is>
      </c>
      <c r="U1413" s="585" t="n">
        <v>2325414</v>
      </c>
      <c r="V1413" t="n">
        <v>50</v>
      </c>
      <c r="W1413" t="n">
        <v>30</v>
      </c>
      <c r="X1413" t="n">
        <v>2</v>
      </c>
      <c r="Y1413" t="n">
        <v>0.14</v>
      </c>
      <c r="Z1413" t="inlineStr">
        <is>
          <t>HROP</t>
        </is>
      </c>
      <c r="AA1413" t="inlineStr">
        <is>
          <t>FC</t>
        </is>
      </c>
      <c r="AB1413" t="inlineStr">
        <is>
          <t>AW</t>
        </is>
      </c>
      <c r="AC1413" t="inlineStr">
        <is>
          <t>50-30-2-ERW 1-FC</t>
        </is>
      </c>
      <c r="AD1413" t="inlineStr">
        <is>
          <t>CTL</t>
        </is>
      </c>
      <c r="AE1413" t="inlineStr">
        <is>
          <t>50-30-2-ERW 1-FC-0.14</t>
        </is>
      </c>
      <c r="AF1413" t="n">
        <v>0.3376982732275828</v>
      </c>
    </row>
    <row r="1414">
      <c r="A1414" s="56" t="n">
        <v>3702207</v>
      </c>
      <c r="B1414" s="56" t="inlineStr">
        <is>
          <t>TUB-R-AW-AUT-60.00X30.00X1.600X6.0000</t>
        </is>
      </c>
      <c r="C1414" s="56" t="inlineStr">
        <is>
          <t>MG1482406</t>
        </is>
      </c>
      <c r="D1414" s="56" t="n"/>
      <c r="E1414" s="57" t="n">
        <v>362.156</v>
      </c>
      <c r="F1414" s="57" t="n">
        <v>0.362156</v>
      </c>
      <c r="G1414" s="56" t="inlineStr">
        <is>
          <t>KG</t>
        </is>
      </c>
      <c r="H1414" s="56" t="inlineStr">
        <is>
          <t>TF01</t>
        </is>
      </c>
      <c r="I1414" s="56" t="inlineStr">
        <is>
          <t>4731</t>
        </is>
      </c>
      <c r="J1414" s="56" t="n"/>
      <c r="K1414" s="56" t="n"/>
      <c r="L1414" s="56" t="n"/>
      <c r="M1414" s="56" t="n"/>
      <c r="N1414" s="56" t="inlineStr">
        <is>
          <t>FREE STOCK</t>
        </is>
      </c>
      <c r="O1414" s="56" t="n">
        <v>114</v>
      </c>
      <c r="P1414" s="59" t="inlineStr">
        <is>
          <t>ABOVE 90</t>
        </is>
      </c>
      <c r="Q1414" s="56" t="inlineStr">
        <is>
          <t>Free Stock</t>
        </is>
      </c>
      <c r="U1414" s="585" t="n">
        <v>3219709</v>
      </c>
      <c r="V1414" t="n">
        <v>50</v>
      </c>
      <c r="W1414" t="n">
        <v>30</v>
      </c>
      <c r="X1414" t="n">
        <v>2</v>
      </c>
      <c r="Y1414" t="n">
        <v>0.5649999999999999</v>
      </c>
      <c r="Z1414" t="inlineStr">
        <is>
          <t>HROP</t>
        </is>
      </c>
      <c r="AA1414" t="inlineStr">
        <is>
          <t>FC</t>
        </is>
      </c>
      <c r="AB1414" t="inlineStr">
        <is>
          <t>AW</t>
        </is>
      </c>
      <c r="AC1414" t="inlineStr">
        <is>
          <t>50-30-2-ERW 1-FC</t>
        </is>
      </c>
      <c r="AD1414" t="inlineStr">
        <is>
          <t>CTL</t>
        </is>
      </c>
      <c r="AE1414" t="inlineStr">
        <is>
          <t>50-30-2-ERW 1-FC-0.565</t>
        </is>
      </c>
      <c r="AF1414" t="n">
        <v>1.362853745525602</v>
      </c>
    </row>
    <row r="1415">
      <c r="A1415" s="56" t="n">
        <v>3702207</v>
      </c>
      <c r="B1415" s="56" t="inlineStr">
        <is>
          <t>TUB-R-AW-AUT-60.00X30.00X1.600X6.0000</t>
        </is>
      </c>
      <c r="C1415" s="56" t="inlineStr">
        <is>
          <t>4915K32947</t>
        </is>
      </c>
      <c r="D1415" s="56" t="n"/>
      <c r="E1415" s="57" t="n">
        <v>510.693</v>
      </c>
      <c r="F1415" s="57" t="n">
        <v>0.510693</v>
      </c>
      <c r="G1415" s="56" t="inlineStr">
        <is>
          <t>KG</t>
        </is>
      </c>
      <c r="H1415" s="56" t="inlineStr">
        <is>
          <t>TF01</t>
        </is>
      </c>
      <c r="I1415" s="56" t="inlineStr">
        <is>
          <t>4731</t>
        </is>
      </c>
      <c r="J1415" s="56" t="n"/>
      <c r="K1415" s="56" t="n"/>
      <c r="L1415" s="56" t="n"/>
      <c r="M1415" s="56" t="n"/>
      <c r="N1415" s="56" t="inlineStr">
        <is>
          <t>FREE STOCK</t>
        </is>
      </c>
      <c r="O1415" s="56" t="n">
        <v>63</v>
      </c>
      <c r="P1415" s="59" t="inlineStr">
        <is>
          <t>61-90</t>
        </is>
      </c>
      <c r="Q1415" s="56" t="inlineStr">
        <is>
          <t>Free Stock</t>
        </is>
      </c>
      <c r="U1415" s="585" t="n">
        <v>1940881</v>
      </c>
      <c r="V1415" t="n">
        <v>50</v>
      </c>
      <c r="W1415" t="n">
        <v>30</v>
      </c>
      <c r="X1415" t="n">
        <v>2</v>
      </c>
      <c r="Y1415" t="n">
        <v>0.73</v>
      </c>
      <c r="Z1415" t="inlineStr">
        <is>
          <t>GR1</t>
        </is>
      </c>
      <c r="AA1415" t="inlineStr">
        <is>
          <t>FC</t>
        </is>
      </c>
      <c r="AB1415" t="inlineStr">
        <is>
          <t>AW</t>
        </is>
      </c>
      <c r="AC1415" t="inlineStr">
        <is>
          <t>50-30-2-ERW 1-FC</t>
        </is>
      </c>
      <c r="AD1415" t="inlineStr">
        <is>
          <t>CTL</t>
        </is>
      </c>
      <c r="AE1415" t="inlineStr">
        <is>
          <t>50-30-2-ERW 1-FC-0.73</t>
        </is>
      </c>
      <c r="AF1415" t="n">
        <v>1.760855281829539</v>
      </c>
    </row>
    <row r="1416">
      <c r="A1416" s="56" t="n">
        <v>3702207</v>
      </c>
      <c r="B1416" s="56" t="inlineStr">
        <is>
          <t>TUB-R-AW-AUT-60.00X30.00X1.600X6.0000</t>
        </is>
      </c>
      <c r="C1416" s="56" t="inlineStr">
        <is>
          <t>4711BK4080</t>
        </is>
      </c>
      <c r="D1416" s="56" t="n"/>
      <c r="E1416" s="57" t="n">
        <v>362.002</v>
      </c>
      <c r="F1416" s="57" t="n">
        <v>0.362002</v>
      </c>
      <c r="G1416" s="56" t="inlineStr">
        <is>
          <t>KG</t>
        </is>
      </c>
      <c r="H1416" s="56" t="inlineStr">
        <is>
          <t>TF01</t>
        </is>
      </c>
      <c r="I1416" s="56" t="inlineStr">
        <is>
          <t>4731</t>
        </is>
      </c>
      <c r="J1416" s="56" t="n"/>
      <c r="K1416" s="56" t="n"/>
      <c r="L1416" s="56" t="n"/>
      <c r="M1416" s="56" t="n"/>
      <c r="N1416" s="56" t="inlineStr">
        <is>
          <t>FREE STOCK</t>
        </is>
      </c>
      <c r="O1416" s="56" t="n">
        <v>142</v>
      </c>
      <c r="P1416" s="59" t="inlineStr">
        <is>
          <t>ABOVE 90</t>
        </is>
      </c>
      <c r="Q1416" s="56" t="inlineStr">
        <is>
          <t>Free Stock</t>
        </is>
      </c>
      <c r="U1416" s="586" t="n">
        <v>110103007</v>
      </c>
      <c r="V1416" t="n">
        <v>50</v>
      </c>
      <c r="W1416" t="n">
        <v>30</v>
      </c>
      <c r="X1416" t="n">
        <v>2</v>
      </c>
      <c r="Y1416" t="n">
        <v>5.93</v>
      </c>
      <c r="Z1416" t="inlineStr">
        <is>
          <t>GR1</t>
        </is>
      </c>
      <c r="AA1416" t="inlineStr">
        <is>
          <t>FC</t>
        </is>
      </c>
      <c r="AB1416" t="inlineStr">
        <is>
          <t>AW</t>
        </is>
      </c>
      <c r="AC1416" t="inlineStr">
        <is>
          <t>50-30-2-ERW 1-FC</t>
        </is>
      </c>
      <c r="AD1416" t="inlineStr">
        <is>
          <t>LL</t>
        </is>
      </c>
      <c r="AE1416" t="inlineStr">
        <is>
          <t>50-30-2-ERW 1-FC-1</t>
        </is>
      </c>
      <c r="AF1416" t="n">
        <v>2.412130523054163</v>
      </c>
    </row>
    <row r="1417">
      <c r="A1417" s="56" t="n">
        <v>3702863</v>
      </c>
      <c r="B1417" s="56" t="inlineStr">
        <is>
          <t>TUB-O-N-AUT-AN-FC-70.00X3.200X6.4550</t>
        </is>
      </c>
      <c r="C1417" s="56" t="inlineStr">
        <is>
          <t>4714AK4120</t>
        </is>
      </c>
      <c r="D1417" s="56" t="n"/>
      <c r="E1417" s="57" t="n">
        <v>2000</v>
      </c>
      <c r="F1417" s="57" t="n">
        <v>2</v>
      </c>
      <c r="G1417" s="56" t="inlineStr">
        <is>
          <t>KG</t>
        </is>
      </c>
      <c r="H1417" s="56" t="inlineStr">
        <is>
          <t>TF01</t>
        </is>
      </c>
      <c r="I1417" s="56" t="inlineStr">
        <is>
          <t>4318</t>
        </is>
      </c>
      <c r="J1417" s="56" t="n"/>
      <c r="K1417" s="56" t="n"/>
      <c r="L1417" s="56" t="n"/>
      <c r="M1417" s="56" t="n"/>
      <c r="N1417" s="56" t="inlineStr">
        <is>
          <t>Neel Metal Products Limited</t>
        </is>
      </c>
      <c r="O1417" s="56" t="n">
        <v>111</v>
      </c>
      <c r="P1417" s="59" t="inlineStr">
        <is>
          <t>ABOVE 90</t>
        </is>
      </c>
      <c r="Q1417" s="56" t="inlineStr">
        <is>
          <t>Apoorv</t>
        </is>
      </c>
      <c r="U1417" s="585" t="n">
        <v>1931545</v>
      </c>
      <c r="V1417" t="n">
        <v>50</v>
      </c>
      <c r="W1417" t="n">
        <v>30</v>
      </c>
      <c r="X1417" t="n">
        <v>2</v>
      </c>
      <c r="Y1417" t="n">
        <v>6</v>
      </c>
      <c r="Z1417" t="inlineStr">
        <is>
          <t>D</t>
        </is>
      </c>
      <c r="AA1417" t="inlineStr">
        <is>
          <t>FC</t>
        </is>
      </c>
      <c r="AB1417" t="inlineStr">
        <is>
          <t>AW</t>
        </is>
      </c>
      <c r="AC1417" t="inlineStr">
        <is>
          <t>50-30-2-ERW 1-FC</t>
        </is>
      </c>
      <c r="AD1417" t="inlineStr">
        <is>
          <t>LL</t>
        </is>
      </c>
      <c r="AE1417" t="inlineStr">
        <is>
          <t>50-30-2-ERW 1-FC-1</t>
        </is>
      </c>
      <c r="AF1417" t="n">
        <v>2.412130523054163</v>
      </c>
    </row>
    <row r="1418">
      <c r="A1418" s="56" t="n">
        <v>3702863</v>
      </c>
      <c r="B1418" s="56" t="inlineStr">
        <is>
          <t>TUB-O-N-AUT-AN-FC-70.00X3.200X6.4550</t>
        </is>
      </c>
      <c r="C1418" s="56" t="inlineStr">
        <is>
          <t>4714AK4110</t>
        </is>
      </c>
      <c r="D1418" s="56" t="n"/>
      <c r="E1418" s="57" t="n">
        <v>1827</v>
      </c>
      <c r="F1418" s="57" t="n">
        <v>1.827</v>
      </c>
      <c r="G1418" s="56" t="inlineStr">
        <is>
          <t>KG</t>
        </is>
      </c>
      <c r="H1418" s="56" t="inlineStr">
        <is>
          <t>TF01</t>
        </is>
      </c>
      <c r="I1418" s="56" t="inlineStr">
        <is>
          <t>4318</t>
        </is>
      </c>
      <c r="J1418" s="56" t="n"/>
      <c r="K1418" s="56" t="n"/>
      <c r="L1418" s="56" t="n"/>
      <c r="M1418" s="56" t="n"/>
      <c r="N1418" s="56" t="inlineStr">
        <is>
          <t>Neel Metal Products Limited</t>
        </is>
      </c>
      <c r="O1418" s="56" t="n">
        <v>111</v>
      </c>
      <c r="P1418" s="59" t="inlineStr">
        <is>
          <t>ABOVE 90</t>
        </is>
      </c>
      <c r="Q1418" s="56" t="inlineStr">
        <is>
          <t>Apoorv</t>
        </is>
      </c>
      <c r="U1418" t="n">
        <v>3702123</v>
      </c>
      <c r="V1418" t="n">
        <v>50</v>
      </c>
      <c r="W1418" t="n">
        <v>30</v>
      </c>
      <c r="X1418" t="n">
        <v>2</v>
      </c>
      <c r="Y1418" t="n">
        <v>6</v>
      </c>
      <c r="Z1418" t="inlineStr">
        <is>
          <t>KGR2</t>
        </is>
      </c>
      <c r="AA1418" t="inlineStr">
        <is>
          <t>FC</t>
        </is>
      </c>
      <c r="AB1418" t="inlineStr">
        <is>
          <t>AW</t>
        </is>
      </c>
      <c r="AC1418" t="inlineStr">
        <is>
          <t>50-30-2-ERW 1-FC</t>
        </is>
      </c>
      <c r="AD1418" t="inlineStr">
        <is>
          <t>LL</t>
        </is>
      </c>
      <c r="AE1418" t="inlineStr">
        <is>
          <t>50-30-2-ERW 1-FC-1</t>
        </is>
      </c>
      <c r="AF1418" t="n">
        <v>2.412130523054163</v>
      </c>
    </row>
    <row r="1419">
      <c r="A1419" s="56" t="n">
        <v>3702863</v>
      </c>
      <c r="B1419" s="56" t="inlineStr">
        <is>
          <t>TUB-O-N-AUT-AN-FC-70.00X3.200X6.4550</t>
        </is>
      </c>
      <c r="C1419" s="56" t="inlineStr">
        <is>
          <t>4714AK4100</t>
        </is>
      </c>
      <c r="D1419" s="56" t="n"/>
      <c r="E1419" s="57" t="n">
        <v>1708</v>
      </c>
      <c r="F1419" s="57" t="n">
        <v>1.708</v>
      </c>
      <c r="G1419" s="56" t="inlineStr">
        <is>
          <t>KG</t>
        </is>
      </c>
      <c r="H1419" s="56" t="inlineStr">
        <is>
          <t>TF01</t>
        </is>
      </c>
      <c r="I1419" s="56" t="inlineStr">
        <is>
          <t>4318</t>
        </is>
      </c>
      <c r="J1419" s="56" t="n"/>
      <c r="K1419" s="56" t="n"/>
      <c r="L1419" s="56" t="n"/>
      <c r="M1419" s="56" t="n"/>
      <c r="N1419" s="56" t="inlineStr">
        <is>
          <t>Neel Metal Products Limited</t>
        </is>
      </c>
      <c r="O1419" s="56" t="n">
        <v>111</v>
      </c>
      <c r="P1419" s="59" t="inlineStr">
        <is>
          <t>ABOVE 90</t>
        </is>
      </c>
      <c r="Q1419" s="56" t="inlineStr">
        <is>
          <t>Apoorv</t>
        </is>
      </c>
      <c r="U1419" s="585" t="n">
        <v>4229654</v>
      </c>
      <c r="V1419" t="n">
        <v>50</v>
      </c>
      <c r="W1419" t="n">
        <v>30</v>
      </c>
      <c r="X1419" t="n">
        <v>2.5</v>
      </c>
      <c r="Y1419" t="n">
        <v>0.765</v>
      </c>
      <c r="Z1419" t="inlineStr">
        <is>
          <t>GR1</t>
        </is>
      </c>
      <c r="AA1419" t="inlineStr">
        <is>
          <t>FC</t>
        </is>
      </c>
      <c r="AB1419" t="inlineStr">
        <is>
          <t>AW</t>
        </is>
      </c>
      <c r="AC1419" t="inlineStr">
        <is>
          <t>50-30-2.5-ERW 1-FC</t>
        </is>
      </c>
      <c r="AD1419" t="inlineStr">
        <is>
          <t>CTL</t>
        </is>
      </c>
      <c r="AE1419" t="inlineStr">
        <is>
          <t>50-30-2.5-ERW 1-FC-0.765</t>
        </is>
      </c>
      <c r="AF1419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420">
      <c r="A1420" s="56" t="n">
        <v>3702863</v>
      </c>
      <c r="B1420" s="56" t="inlineStr">
        <is>
          <t>TUB-O-N-AUT-AN-FC-70.00X3.200X6.4550</t>
        </is>
      </c>
      <c r="C1420" s="56" t="inlineStr">
        <is>
          <t>4714AK4090</t>
        </is>
      </c>
      <c r="D1420" s="56" t="n"/>
      <c r="E1420" s="57" t="n">
        <v>317.54</v>
      </c>
      <c r="F1420" s="57" t="n">
        <v>0.31754</v>
      </c>
      <c r="G1420" s="56" t="inlineStr">
        <is>
          <t>KG</t>
        </is>
      </c>
      <c r="H1420" s="56" t="inlineStr">
        <is>
          <t>TF01</t>
        </is>
      </c>
      <c r="I1420" s="56" t="inlineStr">
        <is>
          <t>4318</t>
        </is>
      </c>
      <c r="J1420" s="56" t="n"/>
      <c r="K1420" s="56" t="n"/>
      <c r="L1420" s="56" t="n"/>
      <c r="M1420" s="56" t="n"/>
      <c r="N1420" s="56" t="inlineStr">
        <is>
          <t>Neel Metal Products Limited</t>
        </is>
      </c>
      <c r="O1420" s="56" t="n">
        <v>13</v>
      </c>
      <c r="P1420" s="59" t="inlineStr">
        <is>
          <t>0-30</t>
        </is>
      </c>
      <c r="Q1420" s="56" t="inlineStr">
        <is>
          <t>Apoorv</t>
        </is>
      </c>
      <c r="U1420" s="585" t="n">
        <v>4141595</v>
      </c>
      <c r="V1420" t="n">
        <v>50</v>
      </c>
      <c r="W1420" t="n">
        <v>30</v>
      </c>
      <c r="X1420" t="n">
        <v>2.5</v>
      </c>
      <c r="Y1420" t="n">
        <v>0.77</v>
      </c>
      <c r="Z1420" t="inlineStr">
        <is>
          <t>GR1</t>
        </is>
      </c>
      <c r="AA1420" t="inlineStr">
        <is>
          <t>FC</t>
        </is>
      </c>
      <c r="AB1420" t="inlineStr">
        <is>
          <t>AW</t>
        </is>
      </c>
      <c r="AC1420" t="inlineStr">
        <is>
          <t>50-30-2.5-ERW 1-FC</t>
        </is>
      </c>
      <c r="AD1420" t="inlineStr">
        <is>
          <t>CTL</t>
        </is>
      </c>
      <c r="AE1420" t="inlineStr">
        <is>
          <t>50-30-2.5-ERW 1-FC-0.770</t>
        </is>
      </c>
      <c r="AF1420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421">
      <c r="A1421" s="56" t="n">
        <v>3702863</v>
      </c>
      <c r="B1421" s="56" t="inlineStr">
        <is>
          <t>TUB-O-N-AUT-AN-FC-70.00X3.200X6.4550</t>
        </is>
      </c>
      <c r="C1421" s="56" t="inlineStr">
        <is>
          <t>4702CK3070</t>
        </is>
      </c>
      <c r="D1421" s="56" t="n"/>
      <c r="E1421" s="57" t="n">
        <v>1462.18</v>
      </c>
      <c r="F1421" s="57" t="n">
        <v>1.46218</v>
      </c>
      <c r="G1421" s="56" t="inlineStr">
        <is>
          <t>KG</t>
        </is>
      </c>
      <c r="H1421" s="56" t="inlineStr">
        <is>
          <t>TF01</t>
        </is>
      </c>
      <c r="I1421" s="56" t="inlineStr">
        <is>
          <t>4318</t>
        </is>
      </c>
      <c r="J1421" s="56" t="n"/>
      <c r="K1421" s="56" t="n"/>
      <c r="L1421" s="56" t="n"/>
      <c r="M1421" s="56" t="n"/>
      <c r="N1421" s="56" t="inlineStr">
        <is>
          <t>Neel Metal Products Limited</t>
        </is>
      </c>
      <c r="O1421" s="56" t="n">
        <v>87</v>
      </c>
      <c r="P1421" s="59" t="inlineStr">
        <is>
          <t>61-90</t>
        </is>
      </c>
      <c r="Q1421" s="56" t="inlineStr">
        <is>
          <t>Apoorv</t>
        </is>
      </c>
      <c r="U1421" s="585" t="n">
        <v>4265906</v>
      </c>
      <c r="V1421" t="n">
        <v>50</v>
      </c>
      <c r="W1421" t="n">
        <v>30</v>
      </c>
      <c r="X1421" t="n">
        <v>2.5</v>
      </c>
      <c r="Y1421" t="n">
        <v>6.193</v>
      </c>
      <c r="Z1421" t="inlineStr">
        <is>
          <t>GR1</t>
        </is>
      </c>
      <c r="AA1421" t="inlineStr">
        <is>
          <t>FC</t>
        </is>
      </c>
      <c r="AB1421" t="inlineStr">
        <is>
          <t>AW</t>
        </is>
      </c>
      <c r="AC1421" t="inlineStr">
        <is>
          <t>50-30-2.5-ERW 1-FC</t>
        </is>
      </c>
      <c r="AD1421" t="inlineStr">
        <is>
          <t>LL</t>
        </is>
      </c>
      <c r="AE1421" t="inlineStr">
        <is>
          <t>50-30-2.5-ERW 1-FC-1</t>
        </is>
      </c>
      <c r="AF1421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422">
      <c r="A1422" s="56" t="n">
        <v>3702863</v>
      </c>
      <c r="B1422" s="56" t="inlineStr">
        <is>
          <t>TUB-O-N-AUT-AN-FC-70.00X3.200X6.4550</t>
        </is>
      </c>
      <c r="C1422" s="56" t="inlineStr">
        <is>
          <t>4702CK3060</t>
        </is>
      </c>
      <c r="D1422" s="56" t="n"/>
      <c r="E1422" s="57" t="n">
        <v>1486</v>
      </c>
      <c r="F1422" s="57" t="n">
        <v>1.486</v>
      </c>
      <c r="G1422" s="56" t="inlineStr">
        <is>
          <t>KG</t>
        </is>
      </c>
      <c r="H1422" s="56" t="inlineStr">
        <is>
          <t>TF01</t>
        </is>
      </c>
      <c r="I1422" s="56" t="inlineStr">
        <is>
          <t>4318</t>
        </is>
      </c>
      <c r="J1422" s="56" t="n"/>
      <c r="K1422" s="56" t="n"/>
      <c r="L1422" s="56" t="n"/>
      <c r="M1422" s="56" t="n"/>
      <c r="N1422" s="56" t="inlineStr">
        <is>
          <t>Neel Metal Products Limited</t>
        </is>
      </c>
      <c r="O1422" s="56" t="n">
        <v>111</v>
      </c>
      <c r="P1422" s="59" t="inlineStr">
        <is>
          <t>ABOVE 90</t>
        </is>
      </c>
      <c r="Q1422" s="56" t="inlineStr">
        <is>
          <t>Apoorv</t>
        </is>
      </c>
      <c r="U1422" s="585" t="n">
        <v>3191790</v>
      </c>
      <c r="V1422" t="n">
        <v>50</v>
      </c>
      <c r="W1422" t="n">
        <v>50</v>
      </c>
      <c r="X1422" t="n">
        <v>1.6</v>
      </c>
      <c r="Y1422" t="n">
        <v>0.542</v>
      </c>
      <c r="Z1422" t="inlineStr">
        <is>
          <t>WG</t>
        </is>
      </c>
      <c r="AA1422" t="inlineStr">
        <is>
          <t>PE</t>
        </is>
      </c>
      <c r="AB1422" t="inlineStr">
        <is>
          <t>AW</t>
        </is>
      </c>
      <c r="AC1422" t="inlineStr">
        <is>
          <t>50-50-1.6-ERW 2-PE</t>
        </is>
      </c>
      <c r="AD1422" t="inlineStr">
        <is>
          <t>CTL</t>
        </is>
      </c>
      <c r="AE1422" t="inlineStr">
        <is>
          <t>50-50-1.6-ERW 2-PE-0.542</t>
        </is>
      </c>
      <c r="AF1422" t="n">
        <v>1.326612795015356</v>
      </c>
    </row>
    <row r="1423">
      <c r="A1423" s="56" t="n">
        <v>3702863</v>
      </c>
      <c r="B1423" s="56" t="inlineStr">
        <is>
          <t>TUB-O-N-AUT-AN-FC-70.00X3.200X6.4550</t>
        </is>
      </c>
      <c r="C1423" s="56" t="inlineStr">
        <is>
          <t>4702CK3040</t>
        </is>
      </c>
      <c r="D1423" s="56" t="n"/>
      <c r="E1423" s="57" t="n">
        <v>1742</v>
      </c>
      <c r="F1423" s="57" t="n">
        <v>1.742</v>
      </c>
      <c r="G1423" s="56" t="inlineStr">
        <is>
          <t>KG</t>
        </is>
      </c>
      <c r="H1423" s="56" t="inlineStr">
        <is>
          <t>TF01</t>
        </is>
      </c>
      <c r="I1423" s="56" t="inlineStr">
        <is>
          <t>4318</t>
        </is>
      </c>
      <c r="J1423" s="56" t="n"/>
      <c r="K1423" s="56" t="n"/>
      <c r="L1423" s="56" t="n"/>
      <c r="M1423" s="56" t="n"/>
      <c r="N1423" s="56" t="inlineStr">
        <is>
          <t>Neel Metal Products Limited</t>
        </is>
      </c>
      <c r="O1423" s="56" t="n">
        <v>87</v>
      </c>
      <c r="P1423" s="59" t="inlineStr">
        <is>
          <t>61-90</t>
        </is>
      </c>
      <c r="Q1423" s="56" t="inlineStr">
        <is>
          <t>Apoorv</t>
        </is>
      </c>
      <c r="U1423" s="585" t="n">
        <v>1938127</v>
      </c>
      <c r="V1423" t="n">
        <v>50</v>
      </c>
      <c r="W1423" t="n">
        <v>50</v>
      </c>
      <c r="X1423" t="n">
        <v>1.6</v>
      </c>
      <c r="Y1423" t="n">
        <v>0.847</v>
      </c>
      <c r="Z1423" t="inlineStr">
        <is>
          <t>D</t>
        </is>
      </c>
      <c r="AA1423" t="inlineStr">
        <is>
          <t>PE</t>
        </is>
      </c>
      <c r="AB1423" t="inlineStr">
        <is>
          <t>AW</t>
        </is>
      </c>
      <c r="AC1423" t="inlineStr">
        <is>
          <t>50-50-1.6-ERW 2-PE</t>
        </is>
      </c>
      <c r="AD1423" t="inlineStr">
        <is>
          <t>CTL</t>
        </is>
      </c>
      <c r="AE1423" t="inlineStr">
        <is>
          <t>50-50-1.6-ERW 2-PE-0.847</t>
        </is>
      </c>
      <c r="AF1423" t="n">
        <v>2.073138445346875</v>
      </c>
    </row>
    <row r="1424">
      <c r="A1424" s="56" t="n">
        <v>3702863</v>
      </c>
      <c r="B1424" s="56" t="inlineStr">
        <is>
          <t>TUB-O-N-AUT-AN-FC-70.00X3.200X6.4550</t>
        </is>
      </c>
      <c r="C1424" s="56" t="inlineStr">
        <is>
          <t>4702CK3030</t>
        </is>
      </c>
      <c r="D1424" s="56" t="n"/>
      <c r="E1424" s="57" t="n">
        <v>505.213</v>
      </c>
      <c r="F1424" s="57" t="n">
        <v>0.505213</v>
      </c>
      <c r="G1424" s="56" t="inlineStr">
        <is>
          <t>KG</t>
        </is>
      </c>
      <c r="H1424" s="56" t="inlineStr">
        <is>
          <t>TF01</t>
        </is>
      </c>
      <c r="I1424" s="56" t="inlineStr">
        <is>
          <t>4318</t>
        </is>
      </c>
      <c r="J1424" s="56" t="n"/>
      <c r="K1424" s="56" t="n"/>
      <c r="L1424" s="56" t="n"/>
      <c r="M1424" s="56" t="n"/>
      <c r="N1424" s="56" t="inlineStr">
        <is>
          <t>Neel Metal Products Limited</t>
        </is>
      </c>
      <c r="O1424" s="56" t="n">
        <v>77</v>
      </c>
      <c r="P1424" s="59" t="inlineStr">
        <is>
          <t>61-90</t>
        </is>
      </c>
      <c r="Q1424" s="56" t="inlineStr">
        <is>
          <t>Apoorv</t>
        </is>
      </c>
      <c r="U1424" s="585" t="n">
        <v>468843</v>
      </c>
      <c r="V1424" t="n">
        <v>50</v>
      </c>
      <c r="W1424" t="n">
        <v>50</v>
      </c>
      <c r="X1424" t="n">
        <v>1.6</v>
      </c>
      <c r="Y1424" t="n">
        <v>0.847</v>
      </c>
      <c r="Z1424" t="inlineStr"/>
      <c r="AA1424" t="inlineStr">
        <is>
          <t>PE</t>
        </is>
      </c>
      <c r="AB1424" t="inlineStr">
        <is>
          <t>AW</t>
        </is>
      </c>
      <c r="AC1424" t="inlineStr">
        <is>
          <t>50-50-1.6-ERW 2-PE</t>
        </is>
      </c>
      <c r="AD1424" t="inlineStr">
        <is>
          <t>CTL</t>
        </is>
      </c>
      <c r="AE1424" t="inlineStr">
        <is>
          <t>50-50-1.6-ERW 2-PE-0.847</t>
        </is>
      </c>
      <c r="AF1424" t="n">
        <v>2.073138445346875</v>
      </c>
    </row>
    <row r="1425">
      <c r="A1425" s="56" t="n">
        <v>3702863</v>
      </c>
      <c r="B1425" s="56" t="inlineStr">
        <is>
          <t>TUB-O-N-AUT-AN-FC-70.00X3.200X6.4550</t>
        </is>
      </c>
      <c r="C1425" s="56" t="inlineStr">
        <is>
          <t>4512A40030</t>
        </is>
      </c>
      <c r="D1425" s="56" t="n"/>
      <c r="E1425" s="57" t="n">
        <v>966.822</v>
      </c>
      <c r="F1425" s="57" t="n">
        <v>0.966822</v>
      </c>
      <c r="G1425" s="56" t="inlineStr">
        <is>
          <t>KG</t>
        </is>
      </c>
      <c r="H1425" s="56" t="inlineStr">
        <is>
          <t>TF01</t>
        </is>
      </c>
      <c r="I1425" s="56" t="inlineStr">
        <is>
          <t>4318</t>
        </is>
      </c>
      <c r="J1425" s="56" t="n"/>
      <c r="K1425" s="56" t="n"/>
      <c r="L1425" s="56" t="n"/>
      <c r="M1425" s="56" t="n"/>
      <c r="N1425" s="56" t="inlineStr">
        <is>
          <t>Neel Metal Products Limited</t>
        </is>
      </c>
      <c r="O1425" s="56" t="n">
        <v>80</v>
      </c>
      <c r="P1425" s="59" t="inlineStr">
        <is>
          <t>61-90</t>
        </is>
      </c>
      <c r="Q1425" s="56" t="inlineStr">
        <is>
          <t>Apoorv</t>
        </is>
      </c>
      <c r="U1425" t="n">
        <v>3781664</v>
      </c>
      <c r="V1425" t="n">
        <v>50</v>
      </c>
      <c r="W1425" t="n">
        <v>50</v>
      </c>
      <c r="X1425" t="n">
        <v>1.6</v>
      </c>
      <c r="Y1425" t="n">
        <v>0.847</v>
      </c>
      <c r="Z1425" t="inlineStr">
        <is>
          <t>GR5</t>
        </is>
      </c>
      <c r="AA1425" t="inlineStr">
        <is>
          <t>PE</t>
        </is>
      </c>
      <c r="AB1425" t="inlineStr">
        <is>
          <t>AW</t>
        </is>
      </c>
      <c r="AC1425" t="inlineStr">
        <is>
          <t>50-50-1.6-ERW 2-PE</t>
        </is>
      </c>
      <c r="AD1425" t="inlineStr">
        <is>
          <t>CTL</t>
        </is>
      </c>
      <c r="AE1425" t="inlineStr">
        <is>
          <t>50-50-1.6-ERW 2-PE-0.847</t>
        </is>
      </c>
      <c r="AF1425" t="n">
        <v>2.073138445346875</v>
      </c>
    </row>
    <row r="1426">
      <c r="A1426" s="56" t="n">
        <v>3702863</v>
      </c>
      <c r="B1426" s="56" t="inlineStr">
        <is>
          <t>TUB-O-N-AUT-AN-FC-70.00X3.200X6.4550</t>
        </is>
      </c>
      <c r="C1426" s="56" t="inlineStr">
        <is>
          <t>4702CK3040</t>
        </is>
      </c>
      <c r="D1426" s="56" t="n"/>
      <c r="E1426" s="57" t="n">
        <v>111</v>
      </c>
      <c r="F1426" s="57" t="n">
        <v>0.111</v>
      </c>
      <c r="G1426" s="56" t="inlineStr">
        <is>
          <t>KG</t>
        </is>
      </c>
      <c r="H1426" s="56" t="inlineStr">
        <is>
          <t>TF01</t>
        </is>
      </c>
      <c r="I1426" s="56" t="inlineStr">
        <is>
          <t>4731</t>
        </is>
      </c>
      <c r="J1426" s="56" t="n"/>
      <c r="K1426" s="56" t="n"/>
      <c r="L1426" s="56" t="n"/>
      <c r="M1426" s="56" t="n"/>
      <c r="N1426" s="56" t="inlineStr">
        <is>
          <t>Neel Metal Products Limited</t>
        </is>
      </c>
      <c r="O1426" s="56" t="n">
        <v>91</v>
      </c>
      <c r="P1426" s="59" t="inlineStr">
        <is>
          <t>ABOVE 90</t>
        </is>
      </c>
      <c r="Q1426" s="56" t="inlineStr">
        <is>
          <t>Apoorv</t>
        </is>
      </c>
      <c r="U1426" s="585" t="n">
        <v>1931849</v>
      </c>
      <c r="V1426" t="n">
        <v>50</v>
      </c>
      <c r="W1426" t="n">
        <v>50</v>
      </c>
      <c r="X1426" t="n">
        <v>1.6</v>
      </c>
      <c r="Y1426" t="n">
        <v>6</v>
      </c>
      <c r="Z1426" t="inlineStr">
        <is>
          <t>D</t>
        </is>
      </c>
      <c r="AA1426" t="inlineStr">
        <is>
          <t>PE</t>
        </is>
      </c>
      <c r="AB1426" t="inlineStr">
        <is>
          <t>AW</t>
        </is>
      </c>
      <c r="AC1426" t="inlineStr">
        <is>
          <t>check tdc for grade</t>
        </is>
      </c>
      <c r="AD1426" t="inlineStr">
        <is>
          <t>LL</t>
        </is>
      </c>
      <c r="AE1426" t="inlineStr">
        <is>
          <t>check tdc for grade-1</t>
        </is>
      </c>
      <c r="AF1426" t="n">
        <v>2.447625083054162</v>
      </c>
    </row>
    <row r="1427">
      <c r="A1427" s="56" t="n">
        <v>3702875</v>
      </c>
      <c r="B1427" s="56" t="inlineStr">
        <is>
          <t>TUB-O-N-AUT-AW-FC-60.30X2.000X6.0000</t>
        </is>
      </c>
      <c r="C1427" s="56" t="inlineStr">
        <is>
          <t>4A30BK3050</t>
        </is>
      </c>
      <c r="D1427" s="56" t="n"/>
      <c r="E1427" s="57" t="n">
        <v>466.48</v>
      </c>
      <c r="F1427" s="57" t="n">
        <v>0.46648</v>
      </c>
      <c r="G1427" s="56" t="inlineStr">
        <is>
          <t>KG</t>
        </is>
      </c>
      <c r="H1427" s="56" t="inlineStr">
        <is>
          <t>TF01</t>
        </is>
      </c>
      <c r="I1427" s="56" t="inlineStr">
        <is>
          <t>4318</t>
        </is>
      </c>
      <c r="J1427" s="56" t="n"/>
      <c r="K1427" s="56" t="n"/>
      <c r="L1427" s="56" t="n"/>
      <c r="M1427" s="56" t="n"/>
      <c r="N1427" s="56" t="inlineStr">
        <is>
          <t>Metalman Auto Private Limited</t>
        </is>
      </c>
      <c r="O1427" s="56" t="n">
        <v>12</v>
      </c>
      <c r="P1427" s="59" t="inlineStr">
        <is>
          <t>0-30</t>
        </is>
      </c>
      <c r="Q1427" s="56" t="inlineStr">
        <is>
          <t>Jitendra Kumar Sharma</t>
        </is>
      </c>
      <c r="U1427" s="585" t="n">
        <v>3500268</v>
      </c>
      <c r="V1427" t="n">
        <v>50</v>
      </c>
      <c r="W1427" t="n">
        <v>50</v>
      </c>
      <c r="X1427" t="n">
        <v>1.6</v>
      </c>
      <c r="Y1427" t="n">
        <v>6</v>
      </c>
      <c r="Z1427" t="inlineStr"/>
      <c r="AA1427" t="inlineStr">
        <is>
          <t>PE</t>
        </is>
      </c>
      <c r="AB1427" t="inlineStr">
        <is>
          <t>AW</t>
        </is>
      </c>
      <c r="AC1427" t="inlineStr">
        <is>
          <t>50-50-1.6-ERW 2-PE</t>
        </is>
      </c>
      <c r="AD1427" t="inlineStr">
        <is>
          <t>LL</t>
        </is>
      </c>
      <c r="AE1427" t="inlineStr">
        <is>
          <t>50-50-1.6-ERW 2-PE-1</t>
        </is>
      </c>
      <c r="AF1427" t="n">
        <v>2.447625083054162</v>
      </c>
    </row>
    <row r="1428">
      <c r="A1428" s="56" t="n">
        <v>3711330</v>
      </c>
      <c r="B1428" s="56" t="inlineStr">
        <is>
          <t>CUT-O-N-AUT-AW-FC-54.00X3.000X1.1400</t>
        </is>
      </c>
      <c r="C1428" s="56" t="inlineStr">
        <is>
          <t>4820CK3060</t>
        </is>
      </c>
      <c r="D1428" s="56" t="n"/>
      <c r="E1428" s="57" t="n">
        <v>179.716</v>
      </c>
      <c r="F1428" s="57" t="n">
        <v>0.179716</v>
      </c>
      <c r="G1428" s="56" t="inlineStr">
        <is>
          <t>KG</t>
        </is>
      </c>
      <c r="H1428" s="56" t="inlineStr">
        <is>
          <t>TF01</t>
        </is>
      </c>
      <c r="I1428" s="56" t="inlineStr">
        <is>
          <t>4731</t>
        </is>
      </c>
      <c r="J1428" s="56" t="n"/>
      <c r="K1428" s="56" t="n"/>
      <c r="L1428" s="56" t="n"/>
      <c r="M1428" s="56" t="n"/>
      <c r="N1428" s="56" t="inlineStr">
        <is>
          <t>Neel Metal Products Limited</t>
        </is>
      </c>
      <c r="O1428" s="56" t="n">
        <v>117</v>
      </c>
      <c r="P1428" s="59" t="inlineStr">
        <is>
          <t>ABOVE 90</t>
        </is>
      </c>
      <c r="Q1428" s="56" t="inlineStr">
        <is>
          <t>Apoorv</t>
        </is>
      </c>
      <c r="U1428" s="585" t="n">
        <v>3500641</v>
      </c>
      <c r="V1428" t="n">
        <v>50</v>
      </c>
      <c r="W1428" t="n">
        <v>50</v>
      </c>
      <c r="X1428" t="n">
        <v>1.6</v>
      </c>
      <c r="Y1428" t="n">
        <v>6.1</v>
      </c>
      <c r="Z1428" t="inlineStr">
        <is>
          <t>D</t>
        </is>
      </c>
      <c r="AA1428" t="inlineStr">
        <is>
          <t>FC</t>
        </is>
      </c>
      <c r="AB1428" t="inlineStr">
        <is>
          <t>AW</t>
        </is>
      </c>
      <c r="AC1428" t="inlineStr">
        <is>
          <t>check tdc for grade</t>
        </is>
      </c>
      <c r="AD1428" t="inlineStr">
        <is>
          <t>LL</t>
        </is>
      </c>
      <c r="AE1428" t="inlineStr">
        <is>
          <t>check tdc for grade-1</t>
        </is>
      </c>
      <c r="AF1428" t="n">
        <v>2.447625083054162</v>
      </c>
    </row>
    <row r="1429">
      <c r="A1429" s="56" t="n">
        <v>3715133</v>
      </c>
      <c r="B1429" s="56" t="inlineStr">
        <is>
          <t>TUB-O-O-AUT-AW-FC-31.75X1.600X0.6580</t>
        </is>
      </c>
      <c r="C1429" s="56" t="inlineStr">
        <is>
          <t>4607A20060</t>
        </is>
      </c>
      <c r="D1429" s="56" t="n"/>
      <c r="E1429" s="57" t="n">
        <v>159.296</v>
      </c>
      <c r="F1429" s="57" t="n">
        <v>0.159296</v>
      </c>
      <c r="G1429" s="56" t="inlineStr">
        <is>
          <t>KG</t>
        </is>
      </c>
      <c r="H1429" s="56" t="inlineStr">
        <is>
          <t>TF01</t>
        </is>
      </c>
      <c r="I1429" s="56" t="inlineStr">
        <is>
          <t>4318</t>
        </is>
      </c>
      <c r="J1429" s="56" t="n"/>
      <c r="K1429" s="56" t="n"/>
      <c r="L1429" s="56" t="n"/>
      <c r="M1429" s="56" t="n"/>
      <c r="N1429" s="56" t="inlineStr">
        <is>
          <t>SANDHAR ENGINEERING PVT LTD.(KA) -U</t>
        </is>
      </c>
      <c r="O1429" s="56" t="n">
        <v>19</v>
      </c>
      <c r="P1429" s="59" t="inlineStr">
        <is>
          <t>0-30</t>
        </is>
      </c>
      <c r="Q1429" s="56" t="inlineStr">
        <is>
          <t>Jitendra Kumar Sharma</t>
        </is>
      </c>
      <c r="U1429" s="585" t="n">
        <v>3502322</v>
      </c>
      <c r="V1429" t="n">
        <v>50</v>
      </c>
      <c r="W1429" t="n">
        <v>50</v>
      </c>
      <c r="X1429" t="n">
        <v>1.6</v>
      </c>
      <c r="Y1429" t="n">
        <v>6.25</v>
      </c>
      <c r="Z1429" t="inlineStr"/>
      <c r="AA1429" t="inlineStr">
        <is>
          <t>PE</t>
        </is>
      </c>
      <c r="AB1429" t="inlineStr">
        <is>
          <t>AW</t>
        </is>
      </c>
      <c r="AC1429" t="inlineStr">
        <is>
          <t>50-50-1.6-ERW 2-PE</t>
        </is>
      </c>
      <c r="AD1429" t="inlineStr">
        <is>
          <t>LL</t>
        </is>
      </c>
      <c r="AE1429" t="inlineStr">
        <is>
          <t>50-50-1.6-ERW 2-PE-1</t>
        </is>
      </c>
      <c r="AF1429" t="n">
        <v>2.447625083054162</v>
      </c>
    </row>
    <row r="1430">
      <c r="A1430" s="56" t="n">
        <v>3722021</v>
      </c>
      <c r="B1430" s="56" t="inlineStr">
        <is>
          <t>TUB-O-N-AUT-AN--42.70X3.500X0.2080</t>
        </is>
      </c>
      <c r="C1430" s="56" t="inlineStr">
        <is>
          <t>4B10BK3090</t>
        </is>
      </c>
      <c r="D1430" s="56" t="n"/>
      <c r="E1430" s="57" t="n">
        <v>335.754</v>
      </c>
      <c r="F1430" s="57" t="n">
        <v>0.335754</v>
      </c>
      <c r="G1430" s="56" t="inlineStr">
        <is>
          <t>KG</t>
        </is>
      </c>
      <c r="H1430" s="56" t="inlineStr">
        <is>
          <t>TF01</t>
        </is>
      </c>
      <c r="I1430" s="56" t="inlineStr">
        <is>
          <t>4731</t>
        </is>
      </c>
      <c r="J1430" s="56" t="n"/>
      <c r="K1430" s="56" t="n"/>
      <c r="L1430" s="56" t="n"/>
      <c r="M1430" s="56" t="n"/>
      <c r="N1430" s="56" t="inlineStr">
        <is>
          <t>SANDHAR ENGINEERING PVT LTD.(KA) -U</t>
        </is>
      </c>
      <c r="O1430" s="56" t="n">
        <v>6</v>
      </c>
      <c r="P1430" s="59" t="inlineStr">
        <is>
          <t>0-30</t>
        </is>
      </c>
      <c r="Q1430" s="56" t="inlineStr">
        <is>
          <t>Jitendra Kumar Sharma</t>
        </is>
      </c>
      <c r="U1430" s="585" t="n">
        <v>3531648</v>
      </c>
      <c r="V1430" t="n">
        <v>50.8</v>
      </c>
      <c r="W1430" t="n">
        <v>0</v>
      </c>
      <c r="X1430" t="n">
        <v>1.4</v>
      </c>
      <c r="Y1430" t="n">
        <v>0.739</v>
      </c>
      <c r="Z1430" t="inlineStr">
        <is>
          <t>SAE1020</t>
        </is>
      </c>
      <c r="AA1430" t="inlineStr">
        <is>
          <t>FC</t>
        </is>
      </c>
      <c r="AB1430" t="inlineStr">
        <is>
          <t>AW</t>
        </is>
      </c>
      <c r="AC1430" t="inlineStr">
        <is>
          <t>50.8-0-1.4-ERW 2-FC</t>
        </is>
      </c>
      <c r="AD1430" t="inlineStr">
        <is>
          <t>CTL</t>
        </is>
      </c>
      <c r="AE1430" t="inlineStr">
        <is>
          <t>50.8-0-1.4-ERW 2-FC-0.739</t>
        </is>
      </c>
      <c r="AF1430" t="n">
        <v>1.25979165676</v>
      </c>
    </row>
    <row r="1431">
      <c r="A1431" s="56" t="n">
        <v>3722021</v>
      </c>
      <c r="B1431" s="56" t="inlineStr">
        <is>
          <t>TUB-O-N-AUT-AN--42.70X3.500X0.2080</t>
        </is>
      </c>
      <c r="C1431" s="56" t="inlineStr">
        <is>
          <t>4A11CK3060</t>
        </is>
      </c>
      <c r="D1431" s="56" t="n"/>
      <c r="E1431" s="57" t="n">
        <v>689.942</v>
      </c>
      <c r="F1431" s="57" t="n">
        <v>0.6899420000000001</v>
      </c>
      <c r="G1431" s="56" t="inlineStr">
        <is>
          <t>KG</t>
        </is>
      </c>
      <c r="H1431" s="56" t="inlineStr">
        <is>
          <t>TF01</t>
        </is>
      </c>
      <c r="I1431" s="56" t="inlineStr">
        <is>
          <t>4731</t>
        </is>
      </c>
      <c r="J1431" s="56" t="n"/>
      <c r="K1431" s="56" t="n"/>
      <c r="L1431" s="56" t="n"/>
      <c r="M1431" s="56" t="n"/>
      <c r="N1431" s="56" t="inlineStr">
        <is>
          <t>SANDHAR ENGINEERING PVT LTD.(KA) -U</t>
        </is>
      </c>
      <c r="O1431" s="56" t="n">
        <v>4</v>
      </c>
      <c r="P1431" s="59" t="inlineStr">
        <is>
          <t>0-30</t>
        </is>
      </c>
      <c r="Q1431" s="56" t="inlineStr">
        <is>
          <t>Jitendra Kumar Sharma</t>
        </is>
      </c>
      <c r="U1431" s="585" t="n">
        <v>3501133</v>
      </c>
      <c r="V1431" t="n">
        <v>50.8</v>
      </c>
      <c r="W1431" t="n">
        <v>0</v>
      </c>
      <c r="X1431" t="n">
        <v>1.4</v>
      </c>
      <c r="Y1431" t="n">
        <v>5.954</v>
      </c>
      <c r="Z1431" t="inlineStr"/>
      <c r="AA1431" t="inlineStr">
        <is>
          <t>FC</t>
        </is>
      </c>
      <c r="AB1431" t="inlineStr">
        <is>
          <t>AH</t>
        </is>
      </c>
      <c r="AC1431" t="inlineStr">
        <is>
          <t>50.8-0-1.4-ERW 2-FC</t>
        </is>
      </c>
      <c r="AD1431" t="inlineStr">
        <is>
          <t>LL</t>
        </is>
      </c>
      <c r="AE1431" t="inlineStr">
        <is>
          <t>50.8-0-1.4-ERW 2-FC-1</t>
        </is>
      </c>
      <c r="AF1431" t="n">
        <v>1.70472484</v>
      </c>
    </row>
    <row r="1432">
      <c r="A1432" s="56" t="n">
        <v>3722021</v>
      </c>
      <c r="B1432" s="56" t="inlineStr">
        <is>
          <t>TUB-O-N-AUT-AN--42.70X3.500X0.2080</t>
        </is>
      </c>
      <c r="C1432" s="56" t="inlineStr">
        <is>
          <t>4A11CK3040</t>
        </is>
      </c>
      <c r="D1432" s="56" t="n"/>
      <c r="E1432" s="57" t="n">
        <v>1017.555</v>
      </c>
      <c r="F1432" s="57" t="n">
        <v>1.017555</v>
      </c>
      <c r="G1432" s="56" t="inlineStr">
        <is>
          <t>KG</t>
        </is>
      </c>
      <c r="H1432" s="56" t="inlineStr">
        <is>
          <t>TF01</t>
        </is>
      </c>
      <c r="I1432" s="56" t="inlineStr">
        <is>
          <t>4731</t>
        </is>
      </c>
      <c r="J1432" s="56" t="n"/>
      <c r="K1432" s="56" t="n"/>
      <c r="L1432" s="56" t="n"/>
      <c r="M1432" s="56" t="n"/>
      <c r="N1432" s="56" t="inlineStr">
        <is>
          <t>SANDHAR ENGINEERING PVT LTD.(KA) -U</t>
        </is>
      </c>
      <c r="O1432" s="56" t="n">
        <v>4</v>
      </c>
      <c r="P1432" s="59" t="inlineStr">
        <is>
          <t>0-30</t>
        </is>
      </c>
      <c r="Q1432" s="56" t="inlineStr">
        <is>
          <t>Jitendra Kumar Sharma</t>
        </is>
      </c>
      <c r="U1432" s="585" t="n">
        <v>1932730</v>
      </c>
      <c r="V1432" t="n">
        <v>50.8</v>
      </c>
      <c r="W1432" t="n">
        <v>0</v>
      </c>
      <c r="X1432" t="n">
        <v>1.42</v>
      </c>
      <c r="Y1432" t="n">
        <v>0.737</v>
      </c>
      <c r="Z1432" t="inlineStr">
        <is>
          <t>SAE1020</t>
        </is>
      </c>
      <c r="AA1432" t="inlineStr">
        <is>
          <t>FC</t>
        </is>
      </c>
      <c r="AB1432" t="inlineStr">
        <is>
          <t>AW</t>
        </is>
      </c>
      <c r="AC1432" t="inlineStr">
        <is>
          <t>50.8-0-1.4-ERW 2-FC</t>
        </is>
      </c>
      <c r="AD1432" t="inlineStr">
        <is>
          <t>CTL</t>
        </is>
      </c>
      <c r="AE1432" t="inlineStr">
        <is>
          <t>50.8-0-1.4-ERW 2-FC-0.737</t>
        </is>
      </c>
      <c r="AF1432" t="n">
        <v>1.2738146010348</v>
      </c>
    </row>
    <row r="1433">
      <c r="A1433" s="56" t="n">
        <v>3746291</v>
      </c>
      <c r="B1433" s="56" t="inlineStr">
        <is>
          <t>CUT-O-N-AUT-BH-FC-63.50X4.000X0.2340</t>
        </is>
      </c>
      <c r="C1433" s="56" t="inlineStr">
        <is>
          <t>4916BK4140</t>
        </is>
      </c>
      <c r="D1433" s="56" t="n"/>
      <c r="E1433" s="57" t="n">
        <v>591.692</v>
      </c>
      <c r="F1433" s="57" t="n">
        <v>0.591692</v>
      </c>
      <c r="G1433" s="56" t="inlineStr">
        <is>
          <t>KG</t>
        </is>
      </c>
      <c r="H1433" s="56" t="inlineStr">
        <is>
          <t>TF01</t>
        </is>
      </c>
      <c r="I1433" s="56" t="inlineStr">
        <is>
          <t>4731</t>
        </is>
      </c>
      <c r="J1433" s="56" t="n"/>
      <c r="K1433" s="56" t="n"/>
      <c r="L1433" s="56" t="n"/>
      <c r="M1433" s="56" t="n"/>
      <c r="N1433" s="56" t="inlineStr">
        <is>
          <t>Neel Metal Products Limited</t>
        </is>
      </c>
      <c r="O1433" s="56" t="n">
        <v>13</v>
      </c>
      <c r="P1433" s="59" t="inlineStr">
        <is>
          <t>0-30</t>
        </is>
      </c>
      <c r="Q1433" s="56" t="inlineStr">
        <is>
          <t>Apoorv</t>
        </is>
      </c>
      <c r="U1433" s="585" t="n">
        <v>3545373</v>
      </c>
      <c r="V1433" t="n">
        <v>50.8</v>
      </c>
      <c r="W1433" t="n">
        <v>0</v>
      </c>
      <c r="X1433" t="n">
        <v>1.42</v>
      </c>
      <c r="Y1433" t="n">
        <v>5.986</v>
      </c>
      <c r="Z1433" t="inlineStr">
        <is>
          <t>SAE1020</t>
        </is>
      </c>
      <c r="AA1433" t="inlineStr">
        <is>
          <t>FC</t>
        </is>
      </c>
      <c r="AB1433" t="inlineStr">
        <is>
          <t>AW</t>
        </is>
      </c>
      <c r="AC1433" t="inlineStr">
        <is>
          <t>50.8-0-1.4-ERW 2-FC</t>
        </is>
      </c>
      <c r="AD1433" t="inlineStr">
        <is>
          <t>LL</t>
        </is>
      </c>
      <c r="AE1433" t="inlineStr">
        <is>
          <t>50.8-0-1.4-ERW 2-FC-1</t>
        </is>
      </c>
      <c r="AF1433" t="n">
        <v>1.7283780204</v>
      </c>
    </row>
    <row r="1434">
      <c r="A1434" s="56" t="n">
        <v>3769066</v>
      </c>
      <c r="B1434" s="56" t="inlineStr">
        <is>
          <t>TUB-O-C-CEW-AD-FC-20.00X1.420X5.8500</t>
        </is>
      </c>
      <c r="C1434" s="56" t="inlineStr">
        <is>
          <t>4B02K36908</t>
        </is>
      </c>
      <c r="D1434" s="56" t="n"/>
      <c r="E1434" s="57" t="n">
        <v>457</v>
      </c>
      <c r="F1434" s="57" t="n">
        <v>0.457</v>
      </c>
      <c r="G1434" s="56" t="inlineStr">
        <is>
          <t>KG</t>
        </is>
      </c>
      <c r="H1434" s="56" t="inlineStr">
        <is>
          <t>TF01</t>
        </is>
      </c>
      <c r="I1434" s="56" t="inlineStr">
        <is>
          <t>4731</t>
        </is>
      </c>
      <c r="J1434" s="56" t="n"/>
      <c r="K1434" s="56" t="n"/>
      <c r="L1434" s="56" t="n"/>
      <c r="M1434" s="56" t="n"/>
      <c r="N1434" s="56" t="inlineStr">
        <is>
          <t>Neel Metal Products Limited</t>
        </is>
      </c>
      <c r="O1434" s="56" t="n">
        <v>48</v>
      </c>
      <c r="P1434" s="59" t="inlineStr">
        <is>
          <t>31-60</t>
        </is>
      </c>
      <c r="Q1434" s="56" t="inlineStr">
        <is>
          <t>Apoorv</t>
        </is>
      </c>
      <c r="U1434" s="585" t="n">
        <v>3508740</v>
      </c>
      <c r="V1434" t="n">
        <v>50.8</v>
      </c>
      <c r="W1434" t="n">
        <v>0</v>
      </c>
      <c r="X1434" t="n">
        <v>1.6</v>
      </c>
      <c r="Y1434" t="n">
        <v>0.385</v>
      </c>
      <c r="Z1434" t="inlineStr"/>
      <c r="AA1434" t="inlineStr">
        <is>
          <t>PE</t>
        </is>
      </c>
      <c r="AB1434" t="inlineStr">
        <is>
          <t>AW</t>
        </is>
      </c>
      <c r="AC1434" t="inlineStr">
        <is>
          <t>50.8-0-1.6-ERW 1-FC</t>
        </is>
      </c>
      <c r="AD1434" t="inlineStr">
        <is>
          <t>CTL</t>
        </is>
      </c>
      <c r="AE1434" t="inlineStr">
        <is>
          <t>50.8-0-1.6-ERW 1-FC-0.385</t>
        </is>
      </c>
      <c r="AF1434" t="n">
        <v>0.7470421728000001</v>
      </c>
    </row>
    <row r="1435">
      <c r="A1435" s="56" t="n">
        <v>3769066</v>
      </c>
      <c r="B1435" s="56" t="inlineStr">
        <is>
          <t>TUB-O-C-CEW-AD-FC-20.00X1.420X5.8500</t>
        </is>
      </c>
      <c r="C1435" s="56" t="inlineStr">
        <is>
          <t>4A18BK2070</t>
        </is>
      </c>
      <c r="D1435" s="56" t="n"/>
      <c r="E1435" s="57" t="n">
        <v>1314</v>
      </c>
      <c r="F1435" s="57" t="n">
        <v>1.314</v>
      </c>
      <c r="G1435" s="56" t="inlineStr">
        <is>
          <t>KG</t>
        </is>
      </c>
      <c r="H1435" s="56" t="inlineStr">
        <is>
          <t>TF01</t>
        </is>
      </c>
      <c r="I1435" s="56" t="inlineStr">
        <is>
          <t>4731</t>
        </is>
      </c>
      <c r="J1435" s="56" t="n"/>
      <c r="K1435" s="56" t="n"/>
      <c r="L1435" s="56" t="n"/>
      <c r="M1435" s="56" t="n"/>
      <c r="N1435" s="56" t="inlineStr">
        <is>
          <t>Neel Metal Products Limited</t>
        </is>
      </c>
      <c r="O1435" s="56" t="n">
        <v>48</v>
      </c>
      <c r="P1435" s="59" t="inlineStr">
        <is>
          <t>31-60</t>
        </is>
      </c>
      <c r="Q1435" s="56" t="inlineStr">
        <is>
          <t>Apoorv</t>
        </is>
      </c>
      <c r="U1435" s="585" t="n">
        <v>2353927</v>
      </c>
      <c r="V1435" t="n">
        <v>50.8</v>
      </c>
      <c r="W1435" t="n">
        <v>0</v>
      </c>
      <c r="X1435" t="n">
        <v>1.6</v>
      </c>
      <c r="Y1435" t="n">
        <v>0.385</v>
      </c>
      <c r="Z1435" t="inlineStr">
        <is>
          <t>HROP</t>
        </is>
      </c>
      <c r="AA1435" t="inlineStr"/>
      <c r="AB1435" t="inlineStr">
        <is>
          <t>AW</t>
        </is>
      </c>
      <c r="AC1435" t="inlineStr">
        <is>
          <t>50.8-0-1.6-ERW 1-FC</t>
        </is>
      </c>
      <c r="AD1435" t="inlineStr">
        <is>
          <t>CTL</t>
        </is>
      </c>
      <c r="AE1435" t="inlineStr">
        <is>
          <t>50.8-0-1.6-ERW 1-FC-0.385</t>
        </is>
      </c>
      <c r="AF1435" t="n">
        <v>0.7470421728000001</v>
      </c>
    </row>
    <row r="1436">
      <c r="A1436" s="56" t="n">
        <v>3769066</v>
      </c>
      <c r="B1436" s="56" t="inlineStr">
        <is>
          <t>TUB-O-C-CEW-AD-FC-20.00X1.420X5.8500</t>
        </is>
      </c>
      <c r="C1436" s="56" t="inlineStr">
        <is>
          <t>4C0465340B</t>
        </is>
      </c>
      <c r="D1436" s="56" t="n"/>
      <c r="E1436" s="57" t="n">
        <v>341</v>
      </c>
      <c r="F1436" s="57" t="n">
        <v>0.341</v>
      </c>
      <c r="G1436" s="56" t="inlineStr">
        <is>
          <t>KG</t>
        </is>
      </c>
      <c r="H1436" s="56" t="inlineStr">
        <is>
          <t>R001</t>
        </is>
      </c>
      <c r="I1436" s="56" t="inlineStr">
        <is>
          <t>4731</t>
        </is>
      </c>
      <c r="J1436" s="56" t="n"/>
      <c r="K1436" s="56" t="n"/>
      <c r="L1436" s="56" t="n"/>
      <c r="M1436" s="56" t="n"/>
      <c r="N1436" s="56" t="inlineStr">
        <is>
          <t>Neel Metal Products Limited</t>
        </is>
      </c>
      <c r="O1436" s="56" t="n">
        <v>31</v>
      </c>
      <c r="P1436" s="59" t="inlineStr">
        <is>
          <t>31-60</t>
        </is>
      </c>
      <c r="Q1436" s="56" t="inlineStr">
        <is>
          <t>Apoorv</t>
        </is>
      </c>
      <c r="U1436" s="585" t="n">
        <v>1399336</v>
      </c>
      <c r="V1436" t="n">
        <v>50.8</v>
      </c>
      <c r="W1436" t="n">
        <v>0</v>
      </c>
      <c r="X1436" t="n">
        <v>1.6</v>
      </c>
      <c r="Y1436" t="n">
        <v>0.385</v>
      </c>
      <c r="Z1436" t="inlineStr"/>
      <c r="AA1436" t="inlineStr">
        <is>
          <t>PE</t>
        </is>
      </c>
      <c r="AB1436" t="inlineStr">
        <is>
          <t>AW</t>
        </is>
      </c>
      <c r="AC1436" t="inlineStr">
        <is>
          <t>50.8-0-1.6-ERW 1-FC</t>
        </is>
      </c>
      <c r="AD1436" t="inlineStr">
        <is>
          <t>CTL</t>
        </is>
      </c>
      <c r="AE1436" t="inlineStr">
        <is>
          <t>50.8-0-1.6-ERW 1-FC-0.385</t>
        </is>
      </c>
      <c r="AF1436" t="n">
        <v>0.7470421728000001</v>
      </c>
    </row>
    <row r="1437">
      <c r="A1437" s="56" t="n">
        <v>3769066</v>
      </c>
      <c r="B1437" s="56" t="inlineStr">
        <is>
          <t>TUB-O-C-CEW-AD-FC-20.00X1.420X5.8500</t>
        </is>
      </c>
      <c r="C1437" s="56" t="inlineStr">
        <is>
          <t>4C0465340A</t>
        </is>
      </c>
      <c r="D1437" s="56" t="n"/>
      <c r="E1437" s="57" t="n">
        <v>463</v>
      </c>
      <c r="F1437" s="57" t="n">
        <v>0.463</v>
      </c>
      <c r="G1437" s="56" t="inlineStr">
        <is>
          <t>KG</t>
        </is>
      </c>
      <c r="H1437" s="56" t="inlineStr">
        <is>
          <t>R001</t>
        </is>
      </c>
      <c r="I1437" s="56" t="inlineStr">
        <is>
          <t>4731</t>
        </is>
      </c>
      <c r="J1437" s="56" t="n"/>
      <c r="K1437" s="56" t="n"/>
      <c r="L1437" s="56" t="n"/>
      <c r="M1437" s="56" t="n"/>
      <c r="N1437" s="56" t="inlineStr">
        <is>
          <t>Neel Metal Products Limited</t>
        </is>
      </c>
      <c r="O1437" s="56" t="n">
        <v>31</v>
      </c>
      <c r="P1437" s="59" t="inlineStr">
        <is>
          <t>31-60</t>
        </is>
      </c>
      <c r="Q1437" s="56" t="inlineStr">
        <is>
          <t>Apoorv</t>
        </is>
      </c>
      <c r="U1437" s="586" t="n">
        <v>111117697</v>
      </c>
      <c r="V1437" t="n">
        <v>50.8</v>
      </c>
      <c r="W1437" t="n">
        <v>0</v>
      </c>
      <c r="X1437" t="n">
        <v>1.6</v>
      </c>
      <c r="Y1437" t="n">
        <v>5.95</v>
      </c>
      <c r="Z1437" t="inlineStr">
        <is>
          <t>HROP</t>
        </is>
      </c>
      <c r="AA1437" t="inlineStr">
        <is>
          <t>FC</t>
        </is>
      </c>
      <c r="AB1437" t="inlineStr">
        <is>
          <t>AW</t>
        </is>
      </c>
      <c r="AC1437" t="inlineStr">
        <is>
          <t>50.8-0-1.6-ERW 1-FC</t>
        </is>
      </c>
      <c r="AD1437" t="inlineStr">
        <is>
          <t>LL</t>
        </is>
      </c>
      <c r="AE1437" t="inlineStr">
        <is>
          <t>50.8-0-1.6-ERW 1-FC-1</t>
        </is>
      </c>
      <c r="AF1437" t="n">
        <v>1.94036928</v>
      </c>
    </row>
    <row r="1438">
      <c r="A1438" s="56" t="n">
        <v>3770391</v>
      </c>
      <c r="B1438" s="56" t="inlineStr">
        <is>
          <t>TUB-O-C-AUT-AD-FC-25.40X2.500X6.0500</t>
        </is>
      </c>
      <c r="C1438" s="56" t="inlineStr">
        <is>
          <t>4C12K39638</t>
        </is>
      </c>
      <c r="D1438" s="56" t="n"/>
      <c r="E1438" s="57" t="n">
        <v>2445</v>
      </c>
      <c r="F1438" s="57" t="n">
        <v>2.445</v>
      </c>
      <c r="G1438" s="56" t="inlineStr">
        <is>
          <t>KG</t>
        </is>
      </c>
      <c r="H1438" s="56" t="inlineStr">
        <is>
          <t>TF01</t>
        </is>
      </c>
      <c r="I1438" s="56" t="inlineStr">
        <is>
          <t>4731</t>
        </is>
      </c>
      <c r="J1438" s="56" t="n"/>
      <c r="K1438" s="56" t="n"/>
      <c r="L1438" s="56" t="n"/>
      <c r="M1438" s="56" t="n"/>
      <c r="N1438" s="56" t="inlineStr">
        <is>
          <t>Marathwada Auto Compo Pvt. Ltd.</t>
        </is>
      </c>
      <c r="O1438" s="56" t="n">
        <v>21</v>
      </c>
      <c r="P1438" s="59" t="inlineStr">
        <is>
          <t>0-30</t>
        </is>
      </c>
      <c r="Q1438" s="56" t="inlineStr">
        <is>
          <t>Apoorv</t>
        </is>
      </c>
      <c r="U1438" s="585" t="n">
        <v>3569247</v>
      </c>
      <c r="V1438" t="n">
        <v>50.8</v>
      </c>
      <c r="W1438" t="n">
        <v>0</v>
      </c>
      <c r="X1438" t="n">
        <v>1.6</v>
      </c>
      <c r="Y1438" t="n">
        <v>5.988</v>
      </c>
      <c r="Z1438" t="inlineStr">
        <is>
          <t>HROP</t>
        </is>
      </c>
      <c r="AA1438" t="inlineStr">
        <is>
          <t>FC</t>
        </is>
      </c>
      <c r="AB1438" t="inlineStr">
        <is>
          <t>AW</t>
        </is>
      </c>
      <c r="AC1438" t="inlineStr">
        <is>
          <t>50.8-0-1.6-ERW 1-FC</t>
        </is>
      </c>
      <c r="AD1438" t="inlineStr">
        <is>
          <t>LL</t>
        </is>
      </c>
      <c r="AE1438" t="inlineStr">
        <is>
          <t>50.8-0-1.6-ERW 1-FC-1</t>
        </is>
      </c>
      <c r="AF1438" t="n">
        <v>1.94036928</v>
      </c>
    </row>
    <row r="1439">
      <c r="A1439" s="56" t="n">
        <v>3770391</v>
      </c>
      <c r="B1439" s="56" t="inlineStr">
        <is>
          <t>TUB-O-C-AUT-AD-FC-25.40X2.500X6.0500</t>
        </is>
      </c>
      <c r="C1439" s="56" t="inlineStr">
        <is>
          <t>4C12K39552</t>
        </is>
      </c>
      <c r="D1439" s="56" t="n"/>
      <c r="E1439" s="57" t="n">
        <v>1737</v>
      </c>
      <c r="F1439" s="57" t="n">
        <v>1.737</v>
      </c>
      <c r="G1439" s="56" t="inlineStr">
        <is>
          <t>KG</t>
        </is>
      </c>
      <c r="H1439" s="56" t="inlineStr">
        <is>
          <t>TF01</t>
        </is>
      </c>
      <c r="I1439" s="56" t="inlineStr">
        <is>
          <t>4731</t>
        </is>
      </c>
      <c r="J1439" s="56" t="n"/>
      <c r="K1439" s="56" t="n"/>
      <c r="L1439" s="56" t="n"/>
      <c r="M1439" s="56" t="n"/>
      <c r="N1439" s="56" t="inlineStr">
        <is>
          <t>Marathwada Auto Compo Pvt. Ltd.</t>
        </is>
      </c>
      <c r="O1439" s="56" t="n">
        <v>21</v>
      </c>
      <c r="P1439" s="59" t="inlineStr">
        <is>
          <t>0-30</t>
        </is>
      </c>
      <c r="Q1439" s="56" t="inlineStr">
        <is>
          <t>Apoorv</t>
        </is>
      </c>
      <c r="U1439" s="585" t="n">
        <v>1940890</v>
      </c>
      <c r="V1439" t="n">
        <v>50.8</v>
      </c>
      <c r="W1439" t="n">
        <v>0</v>
      </c>
      <c r="X1439" t="n">
        <v>1.6</v>
      </c>
      <c r="Y1439" t="n">
        <v>6</v>
      </c>
      <c r="Z1439" t="inlineStr">
        <is>
          <t>GR1</t>
        </is>
      </c>
      <c r="AA1439" t="inlineStr">
        <is>
          <t>FC</t>
        </is>
      </c>
      <c r="AB1439" t="inlineStr">
        <is>
          <t>AW</t>
        </is>
      </c>
      <c r="AC1439" t="inlineStr">
        <is>
          <t>50.8-0-1.6-ERW 1-FC</t>
        </is>
      </c>
      <c r="AD1439" t="inlineStr">
        <is>
          <t>LL</t>
        </is>
      </c>
      <c r="AE1439" t="inlineStr">
        <is>
          <t>50.8-0-1.6-ERW 1-FC-1</t>
        </is>
      </c>
      <c r="AF1439" t="n">
        <v>1.94036928</v>
      </c>
    </row>
    <row r="1440">
      <c r="A1440" s="56" t="n">
        <v>3770391</v>
      </c>
      <c r="B1440" s="56" t="inlineStr">
        <is>
          <t>TUB-O-C-AUT-AD-FC-25.40X2.500X6.0500</t>
        </is>
      </c>
      <c r="C1440" s="56" t="inlineStr">
        <is>
          <t>4C11K39473</t>
        </is>
      </c>
      <c r="D1440" s="56" t="n"/>
      <c r="E1440" s="57" t="n">
        <v>1822</v>
      </c>
      <c r="F1440" s="57" t="n">
        <v>1.822</v>
      </c>
      <c r="G1440" s="56" t="inlineStr">
        <is>
          <t>KG</t>
        </is>
      </c>
      <c r="H1440" s="56" t="inlineStr">
        <is>
          <t>TF01</t>
        </is>
      </c>
      <c r="I1440" s="56" t="inlineStr">
        <is>
          <t>4731</t>
        </is>
      </c>
      <c r="J1440" s="56" t="n"/>
      <c r="K1440" s="56" t="n"/>
      <c r="L1440" s="56" t="n"/>
      <c r="M1440" s="56" t="n"/>
      <c r="N1440" s="56" t="inlineStr">
        <is>
          <t>Marathwada Auto Compo Pvt. Ltd.</t>
        </is>
      </c>
      <c r="O1440" s="56" t="n">
        <v>21</v>
      </c>
      <c r="P1440" s="59" t="inlineStr">
        <is>
          <t>0-30</t>
        </is>
      </c>
      <c r="Q1440" s="56" t="inlineStr">
        <is>
          <t>Apoorv</t>
        </is>
      </c>
      <c r="U1440" s="585" t="n">
        <v>2396464</v>
      </c>
      <c r="V1440" t="n">
        <v>54</v>
      </c>
      <c r="W1440" t="n">
        <v>0</v>
      </c>
      <c r="X1440" t="n">
        <v>3</v>
      </c>
      <c r="Y1440" t="n">
        <v>1.14</v>
      </c>
      <c r="Z1440" t="inlineStr">
        <is>
          <t>SAE1020</t>
        </is>
      </c>
      <c r="AA1440" t="inlineStr">
        <is>
          <t>FC</t>
        </is>
      </c>
      <c r="AB1440" t="inlineStr">
        <is>
          <t>AN</t>
        </is>
      </c>
      <c r="AC1440" t="inlineStr">
        <is>
          <t>54-0-3-ERW 2-FC</t>
        </is>
      </c>
      <c r="AD1440" t="inlineStr">
        <is>
          <t>CTL</t>
        </is>
      </c>
      <c r="AE1440" t="inlineStr">
        <is>
          <t>54-0-3-ERW 2-FC-1.14</t>
        </is>
      </c>
      <c r="AF1440" t="n">
        <v>4.29927858</v>
      </c>
    </row>
    <row r="1441">
      <c r="A1441" s="56" t="n">
        <v>3770391</v>
      </c>
      <c r="B1441" s="56" t="inlineStr">
        <is>
          <t>TUB-O-C-AUT-AD-FC-25.40X2.500X6.0500</t>
        </is>
      </c>
      <c r="C1441" s="56" t="inlineStr">
        <is>
          <t>4C11K39471</t>
        </is>
      </c>
      <c r="D1441" s="56" t="n"/>
      <c r="E1441" s="57" t="n">
        <v>1515</v>
      </c>
      <c r="F1441" s="57" t="n">
        <v>1.515</v>
      </c>
      <c r="G1441" s="56" t="inlineStr">
        <is>
          <t>KG</t>
        </is>
      </c>
      <c r="H1441" s="56" t="inlineStr">
        <is>
          <t>TF01</t>
        </is>
      </c>
      <c r="I1441" s="56" t="inlineStr">
        <is>
          <t>4731</t>
        </is>
      </c>
      <c r="J1441" s="56" t="n"/>
      <c r="K1441" s="56" t="n"/>
      <c r="L1441" s="56" t="n"/>
      <c r="M1441" s="56" t="n"/>
      <c r="N1441" s="56" t="inlineStr">
        <is>
          <t>Marathwada Auto Compo Pvt. Ltd.</t>
        </is>
      </c>
      <c r="O1441" s="56" t="n">
        <v>21</v>
      </c>
      <c r="P1441" s="59" t="inlineStr">
        <is>
          <t>0-30</t>
        </is>
      </c>
      <c r="Q1441" s="56" t="inlineStr">
        <is>
          <t>Apoorv</t>
        </is>
      </c>
      <c r="U1441" s="585" t="n">
        <v>3711330</v>
      </c>
      <c r="V1441" t="n">
        <v>54</v>
      </c>
      <c r="W1441" t="n">
        <v>0</v>
      </c>
      <c r="X1441" t="n">
        <v>3</v>
      </c>
      <c r="Y1441" t="n">
        <v>1.14</v>
      </c>
      <c r="Z1441" t="inlineStr">
        <is>
          <t>TE13</t>
        </is>
      </c>
      <c r="AA1441" t="inlineStr">
        <is>
          <t>FC</t>
        </is>
      </c>
      <c r="AB1441" t="inlineStr">
        <is>
          <t>AW</t>
        </is>
      </c>
      <c r="AC1441" t="inlineStr">
        <is>
          <t>54-0-3-ERW 2-FC</t>
        </is>
      </c>
      <c r="AD1441" t="inlineStr">
        <is>
          <t>CTL</t>
        </is>
      </c>
      <c r="AE1441" t="inlineStr">
        <is>
          <t>54-0-3-ERW 2-FC-1.14</t>
        </is>
      </c>
      <c r="AF1441" t="n">
        <v>4.29927858</v>
      </c>
    </row>
    <row r="1442">
      <c r="A1442" s="56" t="n">
        <v>3770391</v>
      </c>
      <c r="B1442" s="56" t="inlineStr">
        <is>
          <t>TUB-O-C-AUT-AD-FC-25.40X2.500X6.0500</t>
        </is>
      </c>
      <c r="C1442" s="56" t="inlineStr">
        <is>
          <t>4C03CK2070</t>
        </is>
      </c>
      <c r="D1442" s="56" t="n"/>
      <c r="E1442" s="57" t="n">
        <v>1685</v>
      </c>
      <c r="F1442" s="57" t="n">
        <v>1.685</v>
      </c>
      <c r="G1442" s="56" t="inlineStr">
        <is>
          <t>KG</t>
        </is>
      </c>
      <c r="H1442" s="56" t="inlineStr">
        <is>
          <t>TF01</t>
        </is>
      </c>
      <c r="I1442" s="56" t="inlineStr">
        <is>
          <t>4731</t>
        </is>
      </c>
      <c r="J1442" s="56" t="n"/>
      <c r="K1442" s="56" t="n"/>
      <c r="L1442" s="56" t="n"/>
      <c r="M1442" s="56" t="n"/>
      <c r="N1442" s="56" t="inlineStr">
        <is>
          <t>Marathwada Auto Compo Pvt. Ltd.</t>
        </is>
      </c>
      <c r="O1442" s="56" t="n">
        <v>21</v>
      </c>
      <c r="P1442" s="59" t="inlineStr">
        <is>
          <t>0-30</t>
        </is>
      </c>
      <c r="Q1442" s="56" t="inlineStr">
        <is>
          <t>Apoorv</t>
        </is>
      </c>
      <c r="U1442" s="585" t="n">
        <v>1474091</v>
      </c>
      <c r="V1442" t="n">
        <v>54</v>
      </c>
      <c r="W1442" t="n">
        <v>0</v>
      </c>
      <c r="X1442" t="n">
        <v>3</v>
      </c>
      <c r="Y1442" t="n">
        <v>1.14</v>
      </c>
      <c r="Z1442" t="inlineStr"/>
      <c r="AA1442" t="inlineStr">
        <is>
          <t>FC</t>
        </is>
      </c>
      <c r="AB1442" t="inlineStr">
        <is>
          <t>BH</t>
        </is>
      </c>
      <c r="AC1442" t="inlineStr">
        <is>
          <t>54-0-3-ERW 2-FC</t>
        </is>
      </c>
      <c r="AD1442" t="inlineStr">
        <is>
          <t>CTL</t>
        </is>
      </c>
      <c r="AE1442" t="inlineStr">
        <is>
          <t>54-0-3-ERW 2-FC-1.14</t>
        </is>
      </c>
      <c r="AF1442" t="n">
        <v>4.29927858</v>
      </c>
    </row>
    <row r="1443">
      <c r="A1443" s="56" t="n">
        <v>3770391</v>
      </c>
      <c r="B1443" s="56" t="inlineStr">
        <is>
          <t>TUB-O-C-AUT-AD-FC-25.40X2.500X6.0500</t>
        </is>
      </c>
      <c r="C1443" s="56" t="inlineStr">
        <is>
          <t>4C03CK2060</t>
        </is>
      </c>
      <c r="D1443" s="56" t="n"/>
      <c r="E1443" s="57" t="n">
        <v>1651</v>
      </c>
      <c r="F1443" s="57" t="n">
        <v>1.651</v>
      </c>
      <c r="G1443" s="56" t="inlineStr">
        <is>
          <t>KG</t>
        </is>
      </c>
      <c r="H1443" s="56" t="inlineStr">
        <is>
          <t>TF01</t>
        </is>
      </c>
      <c r="I1443" s="56" t="inlineStr">
        <is>
          <t>4731</t>
        </is>
      </c>
      <c r="J1443" s="56" t="n"/>
      <c r="K1443" s="56" t="n"/>
      <c r="L1443" s="56" t="n"/>
      <c r="M1443" s="56" t="n"/>
      <c r="N1443" s="56" t="inlineStr">
        <is>
          <t>Marathwada Auto Compo Pvt. Ltd.</t>
        </is>
      </c>
      <c r="O1443" s="56" t="n">
        <v>21</v>
      </c>
      <c r="P1443" s="59" t="inlineStr">
        <is>
          <t>0-30</t>
        </is>
      </c>
      <c r="Q1443" s="56" t="inlineStr">
        <is>
          <t>Apoorv</t>
        </is>
      </c>
      <c r="U1443" s="585" t="n">
        <v>277172</v>
      </c>
      <c r="V1443" t="n">
        <v>54</v>
      </c>
      <c r="W1443" t="n">
        <v>0</v>
      </c>
      <c r="X1443" t="n">
        <v>3</v>
      </c>
      <c r="Y1443" t="n">
        <v>1.14</v>
      </c>
      <c r="Z1443" t="inlineStr">
        <is>
          <t>K3SPL</t>
        </is>
      </c>
      <c r="AA1443" t="inlineStr">
        <is>
          <t>PE</t>
        </is>
      </c>
      <c r="AB1443" t="inlineStr">
        <is>
          <t>AN</t>
        </is>
      </c>
      <c r="AC1443" t="inlineStr">
        <is>
          <t>54-0-3-ERW 2-FC</t>
        </is>
      </c>
      <c r="AD1443" t="inlineStr">
        <is>
          <t>CTL</t>
        </is>
      </c>
      <c r="AE1443" t="inlineStr">
        <is>
          <t>54-0-3-ERW 2-FC-1.14</t>
        </is>
      </c>
      <c r="AF1443" t="n">
        <v>4.29927858</v>
      </c>
    </row>
    <row r="1444">
      <c r="A1444" s="56" t="n">
        <v>3770391</v>
      </c>
      <c r="B1444" s="56" t="inlineStr">
        <is>
          <t>TUB-O-C-AUT-AD-FC-25.40X2.500X6.0500</t>
        </is>
      </c>
      <c r="C1444" s="56" t="inlineStr">
        <is>
          <t>4B23K38190</t>
        </is>
      </c>
      <c r="D1444" s="56" t="n"/>
      <c r="E1444" s="57" t="n">
        <v>1614</v>
      </c>
      <c r="F1444" s="57" t="n">
        <v>1.614</v>
      </c>
      <c r="G1444" s="56" t="inlineStr">
        <is>
          <t>KG</t>
        </is>
      </c>
      <c r="H1444" s="56" t="inlineStr">
        <is>
          <t>TF01</t>
        </is>
      </c>
      <c r="I1444" s="56" t="inlineStr">
        <is>
          <t>4731</t>
        </is>
      </c>
      <c r="J1444" s="56" t="n"/>
      <c r="K1444" s="56" t="n"/>
      <c r="L1444" s="56" t="n"/>
      <c r="M1444" s="56" t="n"/>
      <c r="N1444" s="56" t="inlineStr">
        <is>
          <t>Marathwada Auto Compo Pvt. Ltd.</t>
        </is>
      </c>
      <c r="O1444" s="56" t="n">
        <v>38</v>
      </c>
      <c r="P1444" s="59" t="inlineStr">
        <is>
          <t>31-60</t>
        </is>
      </c>
      <c r="Q1444" s="56" t="inlineStr">
        <is>
          <t>Apoorv</t>
        </is>
      </c>
      <c r="U1444" s="585" t="n">
        <v>2397139</v>
      </c>
      <c r="V1444" t="n">
        <v>54</v>
      </c>
      <c r="W1444" t="n">
        <v>0</v>
      </c>
      <c r="X1444" t="n">
        <v>3</v>
      </c>
      <c r="Y1444" t="n">
        <v>5.75</v>
      </c>
      <c r="Z1444" t="inlineStr">
        <is>
          <t>SAE1020</t>
        </is>
      </c>
      <c r="AA1444" t="inlineStr">
        <is>
          <t>FC</t>
        </is>
      </c>
      <c r="AB1444" t="inlineStr">
        <is>
          <t>AN</t>
        </is>
      </c>
      <c r="AC1444" t="inlineStr">
        <is>
          <t>54-0-3-ERW 2-FC</t>
        </is>
      </c>
      <c r="AD1444" t="inlineStr">
        <is>
          <t>LL</t>
        </is>
      </c>
      <c r="AE1444" t="inlineStr">
        <is>
          <t>54-0-3-ERW 2-FC-1</t>
        </is>
      </c>
      <c r="AF1444" t="n">
        <v>3.771297</v>
      </c>
    </row>
    <row r="1445">
      <c r="A1445" s="56" t="n">
        <v>3770391</v>
      </c>
      <c r="B1445" s="56" t="inlineStr">
        <is>
          <t>TUB-O-C-AUT-AD-FC-25.40X2.500X6.0500</t>
        </is>
      </c>
      <c r="C1445" s="56" t="inlineStr">
        <is>
          <t>4B23K38176</t>
        </is>
      </c>
      <c r="D1445" s="56" t="n"/>
      <c r="E1445" s="57" t="n">
        <v>1059</v>
      </c>
      <c r="F1445" s="57" t="n">
        <v>1.059</v>
      </c>
      <c r="G1445" s="56" t="inlineStr">
        <is>
          <t>KG</t>
        </is>
      </c>
      <c r="H1445" s="56" t="inlineStr">
        <is>
          <t>TF01</t>
        </is>
      </c>
      <c r="I1445" s="56" t="inlineStr">
        <is>
          <t>4731</t>
        </is>
      </c>
      <c r="J1445" s="56" t="n"/>
      <c r="K1445" s="56" t="n"/>
      <c r="L1445" s="56" t="n"/>
      <c r="M1445" s="56" t="n"/>
      <c r="N1445" s="56" t="inlineStr">
        <is>
          <t>Marathwada Auto Compo Pvt. Ltd.</t>
        </is>
      </c>
      <c r="O1445" s="56" t="n">
        <v>38</v>
      </c>
      <c r="P1445" s="59" t="inlineStr">
        <is>
          <t>31-60</t>
        </is>
      </c>
      <c r="Q1445" s="56" t="inlineStr">
        <is>
          <t>Apoorv</t>
        </is>
      </c>
      <c r="U1445" s="585" t="n">
        <v>3777563</v>
      </c>
      <c r="V1445" t="n">
        <v>54</v>
      </c>
      <c r="W1445" t="n">
        <v>0</v>
      </c>
      <c r="X1445" t="n">
        <v>3</v>
      </c>
      <c r="Y1445" t="n">
        <v>5.79</v>
      </c>
      <c r="Z1445" t="inlineStr">
        <is>
          <t>SAE1020</t>
        </is>
      </c>
      <c r="AA1445" t="inlineStr">
        <is>
          <t>FC</t>
        </is>
      </c>
      <c r="AB1445" t="inlineStr">
        <is>
          <t>AW</t>
        </is>
      </c>
      <c r="AC1445" t="inlineStr">
        <is>
          <t>54-0-3-ERW 2-FC</t>
        </is>
      </c>
      <c r="AD1445" t="inlineStr">
        <is>
          <t>LL</t>
        </is>
      </c>
      <c r="AE1445" t="inlineStr">
        <is>
          <t>54-0-3-ERW 2-FC-1</t>
        </is>
      </c>
      <c r="AF1445" t="n">
        <v>3.771297</v>
      </c>
    </row>
    <row r="1446">
      <c r="A1446" s="56" t="n">
        <v>3770391</v>
      </c>
      <c r="B1446" s="56" t="inlineStr">
        <is>
          <t>TUB-O-C-AUT-AD-FC-25.40X2.500X6.0500</t>
        </is>
      </c>
      <c r="C1446" s="56" t="inlineStr">
        <is>
          <t>4B18CK2080</t>
        </is>
      </c>
      <c r="D1446" s="56" t="n"/>
      <c r="E1446" s="57" t="n">
        <v>1738</v>
      </c>
      <c r="F1446" s="57" t="n">
        <v>1.738</v>
      </c>
      <c r="G1446" s="56" t="inlineStr">
        <is>
          <t>KG</t>
        </is>
      </c>
      <c r="H1446" s="56" t="inlineStr">
        <is>
          <t>TF01</t>
        </is>
      </c>
      <c r="I1446" s="56" t="inlineStr">
        <is>
          <t>4731</t>
        </is>
      </c>
      <c r="J1446" s="56" t="n"/>
      <c r="K1446" s="56" t="n"/>
      <c r="L1446" s="56" t="n"/>
      <c r="M1446" s="56" t="n"/>
      <c r="N1446" s="56" t="inlineStr">
        <is>
          <t>Marathwada Auto Compo Pvt. Ltd.</t>
        </is>
      </c>
      <c r="O1446" s="56" t="n">
        <v>44</v>
      </c>
      <c r="P1446" s="59" t="inlineStr">
        <is>
          <t>31-60</t>
        </is>
      </c>
      <c r="Q1446" s="56" t="inlineStr">
        <is>
          <t>Apoorv</t>
        </is>
      </c>
      <c r="U1446" s="28" t="n">
        <v>3500391</v>
      </c>
      <c r="V1446" t="n">
        <v>54</v>
      </c>
      <c r="W1446" t="n">
        <v>0</v>
      </c>
      <c r="X1446" t="n">
        <v>3</v>
      </c>
      <c r="Y1446" t="n">
        <v>5.91</v>
      </c>
      <c r="Z1446" t="inlineStr"/>
      <c r="AA1446" t="inlineStr">
        <is>
          <t>FC</t>
        </is>
      </c>
      <c r="AB1446" t="inlineStr">
        <is>
          <t>AW</t>
        </is>
      </c>
      <c r="AC1446" t="inlineStr">
        <is>
          <t>54-0-3-ERW 1-FC</t>
        </is>
      </c>
      <c r="AD1446" t="inlineStr">
        <is>
          <t>LL</t>
        </is>
      </c>
      <c r="AE1446" t="inlineStr">
        <is>
          <t>54-0-3-ERW 2-FC-1</t>
        </is>
      </c>
      <c r="AF1446" t="n">
        <v>3.771297</v>
      </c>
    </row>
    <row r="1447">
      <c r="A1447" s="56" t="n">
        <v>3770391</v>
      </c>
      <c r="B1447" s="56" t="inlineStr">
        <is>
          <t>TUB-O-C-AUT-AD-FC-25.40X2.500X6.0500</t>
        </is>
      </c>
      <c r="C1447" s="56" t="inlineStr">
        <is>
          <t>4B18CK2060</t>
        </is>
      </c>
      <c r="D1447" s="56" t="n"/>
      <c r="E1447" s="57" t="n">
        <v>1729</v>
      </c>
      <c r="F1447" s="57" t="n">
        <v>1.729</v>
      </c>
      <c r="G1447" s="56" t="inlineStr">
        <is>
          <t>KG</t>
        </is>
      </c>
      <c r="H1447" s="56" t="inlineStr">
        <is>
          <t>TF01</t>
        </is>
      </c>
      <c r="I1447" s="56" t="inlineStr">
        <is>
          <t>4731</t>
        </is>
      </c>
      <c r="J1447" s="56" t="n"/>
      <c r="K1447" s="56" t="n"/>
      <c r="L1447" s="56" t="n"/>
      <c r="M1447" s="56" t="n"/>
      <c r="N1447" s="56" t="inlineStr">
        <is>
          <t>Marathwada Auto Compo Pvt. Ltd.</t>
        </is>
      </c>
      <c r="O1447" s="56" t="n">
        <v>44</v>
      </c>
      <c r="P1447" s="59" t="inlineStr">
        <is>
          <t>31-60</t>
        </is>
      </c>
      <c r="Q1447" s="56" t="inlineStr">
        <is>
          <t>Apoorv</t>
        </is>
      </c>
      <c r="U1447" s="585" t="n">
        <v>2427938</v>
      </c>
      <c r="V1447" t="n">
        <v>57.15</v>
      </c>
      <c r="W1447" t="n">
        <v>0</v>
      </c>
      <c r="X1447" t="n">
        <v>2</v>
      </c>
      <c r="Y1447" t="n">
        <v>0.375</v>
      </c>
      <c r="Z1447" t="inlineStr">
        <is>
          <t>HROP</t>
        </is>
      </c>
      <c r="AA1447" t="inlineStr">
        <is>
          <t>FC</t>
        </is>
      </c>
      <c r="AB1447" t="inlineStr">
        <is>
          <t>AW</t>
        </is>
      </c>
      <c r="AC1447" t="inlineStr">
        <is>
          <t>57.15-0-2-ERW 1-FC</t>
        </is>
      </c>
      <c r="AD1447" t="inlineStr">
        <is>
          <t>CTL</t>
        </is>
      </c>
      <c r="AE1447" t="inlineStr">
        <is>
          <t>57.15-0-2-ERW 1-FC-0.375</t>
        </is>
      </c>
      <c r="AF1447" t="n">
        <v>1.0195442625</v>
      </c>
    </row>
    <row r="1448">
      <c r="A1448" s="56" t="n">
        <v>3770391</v>
      </c>
      <c r="B1448" s="56" t="inlineStr">
        <is>
          <t>TUB-O-C-AUT-AD-FC-25.40X2.500X6.0500</t>
        </is>
      </c>
      <c r="C1448" s="56" t="inlineStr">
        <is>
          <t>4B18AK2070</t>
        </is>
      </c>
      <c r="D1448" s="56" t="n"/>
      <c r="E1448" s="57" t="n">
        <v>1635</v>
      </c>
      <c r="F1448" s="57" t="n">
        <v>1.635</v>
      </c>
      <c r="G1448" s="56" t="inlineStr">
        <is>
          <t>KG</t>
        </is>
      </c>
      <c r="H1448" s="56" t="inlineStr">
        <is>
          <t>TF01</t>
        </is>
      </c>
      <c r="I1448" s="56" t="inlineStr">
        <is>
          <t>4731</t>
        </is>
      </c>
      <c r="J1448" s="56" t="n"/>
      <c r="K1448" s="56" t="n"/>
      <c r="L1448" s="56" t="n"/>
      <c r="M1448" s="56" t="n"/>
      <c r="N1448" s="56" t="inlineStr">
        <is>
          <t>Marathwada Auto Compo Pvt. Ltd.</t>
        </is>
      </c>
      <c r="O1448" s="56" t="n">
        <v>44</v>
      </c>
      <c r="P1448" s="59" t="inlineStr">
        <is>
          <t>31-60</t>
        </is>
      </c>
      <c r="Q1448" s="56" t="inlineStr">
        <is>
          <t>Apoorv</t>
        </is>
      </c>
      <c r="U1448" t="n">
        <v>4020857</v>
      </c>
      <c r="V1448" t="n">
        <v>57.15</v>
      </c>
      <c r="W1448" t="n">
        <v>0</v>
      </c>
      <c r="X1448" t="n">
        <v>2</v>
      </c>
      <c r="Y1448" t="n">
        <v>0.409</v>
      </c>
      <c r="Z1448" t="inlineStr">
        <is>
          <t>NORMAL</t>
        </is>
      </c>
      <c r="AA1448" t="inlineStr">
        <is>
          <t>FC</t>
        </is>
      </c>
      <c r="AB1448" t="inlineStr">
        <is>
          <t>AW</t>
        </is>
      </c>
      <c r="AC1448" t="inlineStr">
        <is>
          <t>57.15-0-2-ERW 1-FC</t>
        </is>
      </c>
      <c r="AD1448" t="inlineStr">
        <is>
          <t>CTL</t>
        </is>
      </c>
      <c r="AE1448" t="inlineStr">
        <is>
          <t>57.15-0-2-ERW 1-FC-0.409</t>
        </is>
      </c>
      <c r="AF1448" t="n">
        <v>1.1119829423</v>
      </c>
    </row>
    <row r="1449">
      <c r="A1449" s="56" t="n">
        <v>3770391</v>
      </c>
      <c r="B1449" s="56" t="inlineStr">
        <is>
          <t>TUB-O-C-AUT-AD-FC-25.40X2.500X6.0500</t>
        </is>
      </c>
      <c r="C1449" s="56" t="inlineStr">
        <is>
          <t>4B18AK2040</t>
        </is>
      </c>
      <c r="D1449" s="56" t="n"/>
      <c r="E1449" s="57" t="n">
        <v>1738</v>
      </c>
      <c r="F1449" s="57" t="n">
        <v>1.738</v>
      </c>
      <c r="G1449" s="56" t="inlineStr">
        <is>
          <t>KG</t>
        </is>
      </c>
      <c r="H1449" s="56" t="inlineStr">
        <is>
          <t>TF01</t>
        </is>
      </c>
      <c r="I1449" s="56" t="inlineStr">
        <is>
          <t>4731</t>
        </is>
      </c>
      <c r="J1449" s="56" t="n"/>
      <c r="K1449" s="56" t="n"/>
      <c r="L1449" s="56" t="n"/>
      <c r="M1449" s="56" t="n"/>
      <c r="N1449" s="56" t="inlineStr">
        <is>
          <t>Marathwada Auto Compo Pvt. Ltd.</t>
        </is>
      </c>
      <c r="O1449" s="56" t="n">
        <v>44</v>
      </c>
      <c r="P1449" s="59" t="inlineStr">
        <is>
          <t>31-60</t>
        </is>
      </c>
      <c r="Q1449" s="56" t="inlineStr">
        <is>
          <t>Apoorv</t>
        </is>
      </c>
      <c r="U1449" s="585" t="n">
        <v>3727461</v>
      </c>
      <c r="V1449" t="n">
        <v>57.15</v>
      </c>
      <c r="W1449" t="n">
        <v>0</v>
      </c>
      <c r="X1449" t="n">
        <v>2</v>
      </c>
      <c r="Y1449" t="n">
        <v>0.413</v>
      </c>
      <c r="Z1449" t="inlineStr">
        <is>
          <t>TPT</t>
        </is>
      </c>
      <c r="AA1449" t="inlineStr">
        <is>
          <t>FC</t>
        </is>
      </c>
      <c r="AB1449" t="inlineStr">
        <is>
          <t>AW</t>
        </is>
      </c>
      <c r="AC1449" t="inlineStr">
        <is>
          <t>57.15-0-2-ERW 1-FC</t>
        </is>
      </c>
      <c r="AD1449" t="inlineStr">
        <is>
          <t>CTL</t>
        </is>
      </c>
      <c r="AE1449" t="inlineStr">
        <is>
          <t>57.15-0-2-ERW 1-FC-0.413</t>
        </is>
      </c>
      <c r="AF1449" t="n">
        <v>1.1228580811</v>
      </c>
    </row>
    <row r="1450">
      <c r="A1450" s="56" t="n">
        <v>3770391</v>
      </c>
      <c r="B1450" s="56" t="inlineStr">
        <is>
          <t>TUB-O-C-AUT-AD-FC-25.40X2.500X6.0500</t>
        </is>
      </c>
      <c r="C1450" s="56" t="inlineStr">
        <is>
          <t>4908K32471</t>
        </is>
      </c>
      <c r="D1450" s="56" t="n"/>
      <c r="E1450" s="57" t="n">
        <v>147</v>
      </c>
      <c r="F1450" s="57" t="n">
        <v>0.147</v>
      </c>
      <c r="G1450" s="56" t="inlineStr">
        <is>
          <t>KG</t>
        </is>
      </c>
      <c r="H1450" s="56" t="inlineStr">
        <is>
          <t>TF01</t>
        </is>
      </c>
      <c r="I1450" s="56" t="inlineStr">
        <is>
          <t>4731</t>
        </is>
      </c>
      <c r="J1450" s="56" t="n"/>
      <c r="K1450" s="56" t="n"/>
      <c r="L1450" s="56" t="n"/>
      <c r="M1450" s="56" t="n"/>
      <c r="N1450" s="56" t="inlineStr">
        <is>
          <t>Marathwada Auto Compo Pvt. Ltd.</t>
        </is>
      </c>
      <c r="O1450" s="56" t="n">
        <v>81</v>
      </c>
      <c r="P1450" s="59" t="inlineStr">
        <is>
          <t>61-90</t>
        </is>
      </c>
      <c r="Q1450" s="56" t="inlineStr">
        <is>
          <t>Apoorv</t>
        </is>
      </c>
      <c r="U1450" s="585" t="n">
        <v>3616160</v>
      </c>
      <c r="V1450" t="n">
        <v>57.15</v>
      </c>
      <c r="W1450" t="n">
        <v>0</v>
      </c>
      <c r="X1450" t="n">
        <v>2</v>
      </c>
      <c r="Y1450" t="n">
        <v>0.415</v>
      </c>
      <c r="Z1450" t="inlineStr">
        <is>
          <t>HROP</t>
        </is>
      </c>
      <c r="AA1450" t="inlineStr">
        <is>
          <t>FC</t>
        </is>
      </c>
      <c r="AB1450" t="inlineStr">
        <is>
          <t>AW</t>
        </is>
      </c>
      <c r="AC1450" t="inlineStr">
        <is>
          <t>57.15-0-2-ERW 1-FC</t>
        </is>
      </c>
      <c r="AD1450" t="inlineStr">
        <is>
          <t>CTL</t>
        </is>
      </c>
      <c r="AE1450" t="inlineStr">
        <is>
          <t>57.15-0-2-ERW 1-FC-0.415</t>
        </is>
      </c>
      <c r="AF1450" t="n">
        <v>1.1282956505</v>
      </c>
    </row>
    <row r="1451">
      <c r="A1451" s="56" t="n">
        <v>3770391</v>
      </c>
      <c r="B1451" s="56" t="inlineStr">
        <is>
          <t>TUB-O-C-AUT-AD-FC-25.40X2.500X6.0500</t>
        </is>
      </c>
      <c r="C1451" s="56" t="inlineStr">
        <is>
          <t>4905AK2040</t>
        </is>
      </c>
      <c r="D1451" s="56" t="n"/>
      <c r="E1451" s="57" t="n">
        <v>1570.537</v>
      </c>
      <c r="F1451" s="57" t="n">
        <v>1.570537</v>
      </c>
      <c r="G1451" s="56" t="inlineStr">
        <is>
          <t>KG</t>
        </is>
      </c>
      <c r="H1451" s="56" t="inlineStr">
        <is>
          <t>TF01</t>
        </is>
      </c>
      <c r="I1451" s="56" t="inlineStr">
        <is>
          <t>4731</t>
        </is>
      </c>
      <c r="J1451" s="56" t="n"/>
      <c r="K1451" s="56" t="n"/>
      <c r="L1451" s="56" t="n"/>
      <c r="M1451" s="56" t="n"/>
      <c r="N1451" s="56" t="inlineStr">
        <is>
          <t>Marathwada Auto Compo Pvt. Ltd.</t>
        </is>
      </c>
      <c r="O1451" s="56" t="n">
        <v>93</v>
      </c>
      <c r="P1451" s="59" t="inlineStr">
        <is>
          <t>ABOVE 90</t>
        </is>
      </c>
      <c r="Q1451" s="56" t="inlineStr">
        <is>
          <t>Apoorv</t>
        </is>
      </c>
      <c r="U1451" s="585" t="n">
        <v>460176</v>
      </c>
      <c r="V1451" t="n">
        <v>57.15</v>
      </c>
      <c r="W1451" t="n">
        <v>0</v>
      </c>
      <c r="X1451" t="n">
        <v>2</v>
      </c>
      <c r="Y1451" t="n">
        <v>0.713</v>
      </c>
      <c r="Z1451" t="inlineStr">
        <is>
          <t>TPT</t>
        </is>
      </c>
      <c r="AA1451" t="inlineStr">
        <is>
          <t>AG</t>
        </is>
      </c>
      <c r="AB1451" t="inlineStr">
        <is>
          <t>NR</t>
        </is>
      </c>
      <c r="AC1451" t="inlineStr">
        <is>
          <t>57.15-0-2-ERW 1-FC</t>
        </is>
      </c>
      <c r="AD1451" t="inlineStr">
        <is>
          <t>CTL</t>
        </is>
      </c>
      <c r="AE1451" t="inlineStr">
        <is>
          <t>57.15-0-2-ERW 1-FC-0.713</t>
        </is>
      </c>
      <c r="AF1451" t="n">
        <v>1.9384934911</v>
      </c>
    </row>
    <row r="1452">
      <c r="A1452" s="56" t="n">
        <v>3770391</v>
      </c>
      <c r="B1452" s="56" t="inlineStr">
        <is>
          <t>TUB-O-C-AUT-AD-FC-25.40X2.500X6.0500</t>
        </is>
      </c>
      <c r="C1452" s="56" t="inlineStr">
        <is>
          <t>4B25K38391</t>
        </is>
      </c>
      <c r="D1452" s="56" t="n"/>
      <c r="E1452" s="57" t="n">
        <v>1561</v>
      </c>
      <c r="F1452" s="57" t="n">
        <v>1.561</v>
      </c>
      <c r="G1452" s="56" t="inlineStr">
        <is>
          <t>KG</t>
        </is>
      </c>
      <c r="H1452" s="56" t="inlineStr">
        <is>
          <t>R001</t>
        </is>
      </c>
      <c r="I1452" s="56" t="inlineStr">
        <is>
          <t>4731</t>
        </is>
      </c>
      <c r="J1452" s="56" t="n"/>
      <c r="K1452" s="56" t="n"/>
      <c r="L1452" s="56" t="n"/>
      <c r="M1452" s="56" t="n"/>
      <c r="N1452" s="56" t="inlineStr">
        <is>
          <t>Marathwada Auto Compo Pvt. Ltd.</t>
        </is>
      </c>
      <c r="O1452" s="56" t="n">
        <v>31</v>
      </c>
      <c r="P1452" s="59" t="inlineStr">
        <is>
          <t>31-60</t>
        </is>
      </c>
      <c r="Q1452" s="56" t="inlineStr">
        <is>
          <t>Apoorv</t>
        </is>
      </c>
      <c r="U1452" s="585" t="n">
        <v>1940908</v>
      </c>
      <c r="V1452" t="n">
        <v>57.15</v>
      </c>
      <c r="W1452" t="n">
        <v>0</v>
      </c>
      <c r="X1452" t="n">
        <v>2</v>
      </c>
      <c r="Y1452" t="n">
        <v>0.713</v>
      </c>
      <c r="Z1452" t="inlineStr">
        <is>
          <t>GR1</t>
        </is>
      </c>
      <c r="AA1452" t="inlineStr">
        <is>
          <t>FC</t>
        </is>
      </c>
      <c r="AB1452" t="inlineStr">
        <is>
          <t>AW</t>
        </is>
      </c>
      <c r="AC1452" t="inlineStr">
        <is>
          <t>57.15-0-2-ERW 1-FC</t>
        </is>
      </c>
      <c r="AD1452" t="inlineStr">
        <is>
          <t>CTL</t>
        </is>
      </c>
      <c r="AE1452" t="inlineStr">
        <is>
          <t>57.15-0-2-ERW 1-FC-0.713</t>
        </is>
      </c>
      <c r="AF1452" t="n">
        <v>1.9384934911</v>
      </c>
    </row>
    <row r="1453">
      <c r="A1453" s="56" t="n">
        <v>3770391</v>
      </c>
      <c r="B1453" s="56" t="inlineStr">
        <is>
          <t>TUB-O-C-AUT-AD-FC-25.40X2.500X6.0500</t>
        </is>
      </c>
      <c r="C1453" s="56" t="inlineStr">
        <is>
          <t>4B19AK2030</t>
        </is>
      </c>
      <c r="D1453" s="56" t="n"/>
      <c r="E1453" s="57" t="n">
        <v>1635.5</v>
      </c>
      <c r="F1453" s="57" t="n">
        <v>1.6355</v>
      </c>
      <c r="G1453" s="56" t="inlineStr">
        <is>
          <t>KG</t>
        </is>
      </c>
      <c r="H1453" s="56" t="inlineStr">
        <is>
          <t>R001</t>
        </is>
      </c>
      <c r="I1453" s="56" t="inlineStr">
        <is>
          <t>4731</t>
        </is>
      </c>
      <c r="J1453" s="56" t="n"/>
      <c r="K1453" s="56" t="n"/>
      <c r="L1453" s="56" t="n"/>
      <c r="M1453" s="56" t="n"/>
      <c r="N1453" s="56" t="inlineStr">
        <is>
          <t>Marathwada Auto Compo Pvt. Ltd.</t>
        </is>
      </c>
      <c r="O1453" s="56" t="n">
        <v>41</v>
      </c>
      <c r="P1453" s="59" t="inlineStr">
        <is>
          <t>31-60</t>
        </is>
      </c>
      <c r="Q1453" s="56" t="inlineStr">
        <is>
          <t>Apoorv</t>
        </is>
      </c>
      <c r="U1453" t="n">
        <v>3783938</v>
      </c>
      <c r="V1453" t="n">
        <v>57.15</v>
      </c>
      <c r="W1453" t="n">
        <v>0</v>
      </c>
      <c r="X1453" t="n">
        <v>2</v>
      </c>
      <c r="Y1453" t="n">
        <v>0.713</v>
      </c>
      <c r="Z1453" t="inlineStr">
        <is>
          <t>NORMAL</t>
        </is>
      </c>
      <c r="AA1453" t="inlineStr">
        <is>
          <t>AG</t>
        </is>
      </c>
      <c r="AB1453" t="inlineStr">
        <is>
          <t>NR</t>
        </is>
      </c>
      <c r="AC1453" t="inlineStr">
        <is>
          <t>57.15-0-2-ERW 1-FC</t>
        </is>
      </c>
      <c r="AD1453" t="inlineStr">
        <is>
          <t>CTL</t>
        </is>
      </c>
      <c r="AE1453" t="inlineStr">
        <is>
          <t>57.15-0-2-ERW 1-FC-0.713</t>
        </is>
      </c>
      <c r="AF1453" t="n">
        <v>1.9384934911</v>
      </c>
    </row>
    <row r="1454">
      <c r="A1454" s="56" t="n">
        <v>3770391</v>
      </c>
      <c r="B1454" s="56" t="inlineStr">
        <is>
          <t>TUB-O-C-AUT-AD-FC-25.40X2.500X6.0500</t>
        </is>
      </c>
      <c r="C1454" s="56" t="inlineStr">
        <is>
          <t>4B19AK2020</t>
        </is>
      </c>
      <c r="D1454" s="56" t="n"/>
      <c r="E1454" s="57" t="n">
        <v>677</v>
      </c>
      <c r="F1454" s="57" t="n">
        <v>0.677</v>
      </c>
      <c r="G1454" s="56" t="inlineStr">
        <is>
          <t>KG</t>
        </is>
      </c>
      <c r="H1454" s="56" t="inlineStr">
        <is>
          <t>R001</t>
        </is>
      </c>
      <c r="I1454" s="56" t="inlineStr">
        <is>
          <t>4731</t>
        </is>
      </c>
      <c r="J1454" s="56" t="n"/>
      <c r="K1454" s="56" t="n"/>
      <c r="L1454" s="56" t="n"/>
      <c r="M1454" s="56" t="n"/>
      <c r="N1454" s="56" t="inlineStr">
        <is>
          <t>Marathwada Auto Compo Pvt. Ltd.</t>
        </is>
      </c>
      <c r="O1454" s="56" t="n">
        <v>31</v>
      </c>
      <c r="P1454" s="59" t="inlineStr">
        <is>
          <t>31-60</t>
        </is>
      </c>
      <c r="Q1454" s="56" t="inlineStr">
        <is>
          <t>Apoorv</t>
        </is>
      </c>
      <c r="U1454" s="586" t="n">
        <v>110103034</v>
      </c>
      <c r="V1454" t="n">
        <v>57.15</v>
      </c>
      <c r="W1454" t="n">
        <v>0</v>
      </c>
      <c r="X1454" t="n">
        <v>2</v>
      </c>
      <c r="Y1454" t="n">
        <v>5.8</v>
      </c>
      <c r="Z1454" t="inlineStr">
        <is>
          <t>GR1</t>
        </is>
      </c>
      <c r="AA1454" t="inlineStr">
        <is>
          <t>FC</t>
        </is>
      </c>
      <c r="AB1454" t="inlineStr">
        <is>
          <t>AW</t>
        </is>
      </c>
      <c r="AC1454" t="inlineStr">
        <is>
          <t>57.15-0-2-ERW 1-FC</t>
        </is>
      </c>
      <c r="AD1454" t="inlineStr">
        <is>
          <t>LL</t>
        </is>
      </c>
      <c r="AE1454" t="inlineStr">
        <is>
          <t>57.15-0-2-ERW 1-FC-1</t>
        </is>
      </c>
      <c r="AF1454" t="n">
        <v>2.7187847</v>
      </c>
    </row>
    <row r="1455">
      <c r="A1455" s="56" t="n">
        <v>3770391</v>
      </c>
      <c r="B1455" s="56" t="inlineStr">
        <is>
          <t>TUB-O-C-AUT-AD-FC-25.40X2.500X6.0500</t>
        </is>
      </c>
      <c r="C1455" s="56" t="inlineStr">
        <is>
          <t>4B18CK2090</t>
        </is>
      </c>
      <c r="D1455" s="56" t="n"/>
      <c r="E1455" s="57" t="n">
        <v>1464.5</v>
      </c>
      <c r="F1455" s="57" t="n">
        <v>1.4645</v>
      </c>
      <c r="G1455" s="56" t="inlineStr">
        <is>
          <t>KG</t>
        </is>
      </c>
      <c r="H1455" s="56" t="inlineStr">
        <is>
          <t>R001</t>
        </is>
      </c>
      <c r="I1455" s="56" t="inlineStr">
        <is>
          <t>4731</t>
        </is>
      </c>
      <c r="J1455" s="56" t="n"/>
      <c r="K1455" s="56" t="n"/>
      <c r="L1455" s="56" t="n"/>
      <c r="M1455" s="56" t="n"/>
      <c r="N1455" s="56" t="inlineStr">
        <is>
          <t>Marathwada Auto Compo Pvt. Ltd.</t>
        </is>
      </c>
      <c r="O1455" s="56" t="n">
        <v>41</v>
      </c>
      <c r="P1455" s="59" t="inlineStr">
        <is>
          <t>31-60</t>
        </is>
      </c>
      <c r="Q1455" s="56" t="inlineStr">
        <is>
          <t>Apoorv</t>
        </is>
      </c>
      <c r="U1455" s="586" t="n">
        <v>111122833</v>
      </c>
      <c r="V1455" t="n">
        <v>57.15</v>
      </c>
      <c r="W1455" t="n">
        <v>0</v>
      </c>
      <c r="X1455" t="n">
        <v>2</v>
      </c>
      <c r="Y1455" t="n">
        <v>5.85</v>
      </c>
      <c r="Z1455" t="inlineStr">
        <is>
          <t>GR1</t>
        </is>
      </c>
      <c r="AA1455" t="inlineStr">
        <is>
          <t>FC</t>
        </is>
      </c>
      <c r="AB1455" t="inlineStr">
        <is>
          <t>AW</t>
        </is>
      </c>
      <c r="AC1455" t="inlineStr">
        <is>
          <t>57.15-0-2-ERW 1-FC</t>
        </is>
      </c>
      <c r="AD1455" t="inlineStr">
        <is>
          <t>LL</t>
        </is>
      </c>
      <c r="AE1455" t="inlineStr">
        <is>
          <t>57.15-0-2-ERW 1-FC-1</t>
        </is>
      </c>
      <c r="AF1455" t="n">
        <v>2.7187847</v>
      </c>
    </row>
    <row r="1456">
      <c r="A1456" s="56" t="n">
        <v>3770391</v>
      </c>
      <c r="B1456" s="56" t="inlineStr">
        <is>
          <t>TUB-O-C-AUT-AD-FC-25.40X2.500X6.0500</t>
        </is>
      </c>
      <c r="C1456" s="56" t="inlineStr">
        <is>
          <t>4B18CK2070</t>
        </is>
      </c>
      <c r="D1456" s="56" t="n"/>
      <c r="E1456" s="57" t="n">
        <v>1533.5</v>
      </c>
      <c r="F1456" s="57" t="n">
        <v>1.5335</v>
      </c>
      <c r="G1456" s="56" t="inlineStr">
        <is>
          <t>KG</t>
        </is>
      </c>
      <c r="H1456" s="56" t="inlineStr">
        <is>
          <t>R001</t>
        </is>
      </c>
      <c r="I1456" s="56" t="inlineStr">
        <is>
          <t>4731</t>
        </is>
      </c>
      <c r="J1456" s="56" t="n"/>
      <c r="K1456" s="56" t="n"/>
      <c r="L1456" s="56" t="n"/>
      <c r="M1456" s="56" t="n"/>
      <c r="N1456" s="56" t="inlineStr">
        <is>
          <t>Marathwada Auto Compo Pvt. Ltd.</t>
        </is>
      </c>
      <c r="O1456" s="56" t="n">
        <v>41</v>
      </c>
      <c r="P1456" s="59" t="inlineStr">
        <is>
          <t>31-60</t>
        </is>
      </c>
      <c r="Q1456" s="56" t="inlineStr">
        <is>
          <t>Apoorv</t>
        </is>
      </c>
      <c r="U1456" s="585" t="n">
        <v>3929638</v>
      </c>
      <c r="V1456" t="n">
        <v>57.15</v>
      </c>
      <c r="W1456" t="n">
        <v>0</v>
      </c>
      <c r="X1456" t="n">
        <v>2</v>
      </c>
      <c r="Y1456" t="n">
        <v>5.91</v>
      </c>
      <c r="Z1456" t="inlineStr">
        <is>
          <t>HROP</t>
        </is>
      </c>
      <c r="AA1456" t="inlineStr">
        <is>
          <t>FC</t>
        </is>
      </c>
      <c r="AB1456" t="inlineStr">
        <is>
          <t>AW</t>
        </is>
      </c>
      <c r="AC1456" t="inlineStr">
        <is>
          <t>57.15-0-2-ERW 1-FC</t>
        </is>
      </c>
      <c r="AD1456" t="inlineStr">
        <is>
          <t>LL</t>
        </is>
      </c>
      <c r="AF1456" t="n">
        <v>2.7187847</v>
      </c>
    </row>
    <row r="1457">
      <c r="A1457" s="56" t="n">
        <v>3770391</v>
      </c>
      <c r="B1457" s="56" t="inlineStr">
        <is>
          <t>TUB-O-C-AUT-AD-FC-25.40X2.500X6.0500</t>
        </is>
      </c>
      <c r="C1457" s="56" t="inlineStr">
        <is>
          <t>4B18AK2050</t>
        </is>
      </c>
      <c r="D1457" s="56" t="n"/>
      <c r="E1457" s="57" t="n">
        <v>1601.5</v>
      </c>
      <c r="F1457" s="57" t="n">
        <v>1.6015</v>
      </c>
      <c r="G1457" s="56" t="inlineStr">
        <is>
          <t>KG</t>
        </is>
      </c>
      <c r="H1457" s="56" t="inlineStr">
        <is>
          <t>R001</t>
        </is>
      </c>
      <c r="I1457" s="56" t="inlineStr">
        <is>
          <t>4731</t>
        </is>
      </c>
      <c r="J1457" s="56" t="n"/>
      <c r="K1457" s="56" t="n"/>
      <c r="L1457" s="56" t="n"/>
      <c r="M1457" s="56" t="n"/>
      <c r="N1457" s="56" t="inlineStr">
        <is>
          <t>Marathwada Auto Compo Pvt. Ltd.</t>
        </is>
      </c>
      <c r="O1457" s="56" t="n">
        <v>41</v>
      </c>
      <c r="P1457" s="59" t="inlineStr">
        <is>
          <t>31-60</t>
        </is>
      </c>
      <c r="Q1457" s="56" t="inlineStr">
        <is>
          <t>Apoorv</t>
        </is>
      </c>
      <c r="U1457" s="585" t="n">
        <v>3501264</v>
      </c>
      <c r="V1457" t="n">
        <v>57.15</v>
      </c>
      <c r="W1457" t="n">
        <v>0</v>
      </c>
      <c r="X1457" t="n">
        <v>2</v>
      </c>
      <c r="Y1457" t="n">
        <v>6</v>
      </c>
      <c r="Z1457" t="inlineStr"/>
      <c r="AA1457" t="inlineStr">
        <is>
          <t>FC</t>
        </is>
      </c>
      <c r="AB1457" t="inlineStr">
        <is>
          <t>AW</t>
        </is>
      </c>
      <c r="AC1457" t="inlineStr">
        <is>
          <t>57.15-0-2-ERW 1-FC</t>
        </is>
      </c>
      <c r="AD1457" t="inlineStr">
        <is>
          <t>LL</t>
        </is>
      </c>
      <c r="AE1457" t="inlineStr">
        <is>
          <t>57.15-0-2-ERW 1-FC-1</t>
        </is>
      </c>
      <c r="AF1457" t="n">
        <v>2.7187847</v>
      </c>
    </row>
    <row r="1458">
      <c r="A1458" s="56" t="n">
        <v>3770391</v>
      </c>
      <c r="B1458" s="56" t="inlineStr">
        <is>
          <t>TUB-O-C-AUT-AD-FC-25.40X2.500X6.0500</t>
        </is>
      </c>
      <c r="C1458" s="56" t="inlineStr">
        <is>
          <t>4B18AK2010</t>
        </is>
      </c>
      <c r="D1458" s="56" t="n"/>
      <c r="E1458" s="57" t="n">
        <v>1208.5</v>
      </c>
      <c r="F1458" s="57" t="n">
        <v>1.2085</v>
      </c>
      <c r="G1458" s="56" t="inlineStr">
        <is>
          <t>KG</t>
        </is>
      </c>
      <c r="H1458" s="56" t="inlineStr">
        <is>
          <t>R001</t>
        </is>
      </c>
      <c r="I1458" s="56" t="inlineStr">
        <is>
          <t>4731</t>
        </is>
      </c>
      <c r="J1458" s="56" t="n"/>
      <c r="K1458" s="56" t="n"/>
      <c r="L1458" s="56" t="n"/>
      <c r="M1458" s="56" t="n"/>
      <c r="N1458" s="56" t="inlineStr">
        <is>
          <t>Marathwada Auto Compo Pvt. Ltd.</t>
        </is>
      </c>
      <c r="O1458" s="56" t="n">
        <v>41</v>
      </c>
      <c r="P1458" s="59" t="inlineStr">
        <is>
          <t>31-60</t>
        </is>
      </c>
      <c r="Q1458" s="56" t="inlineStr">
        <is>
          <t>Apoorv</t>
        </is>
      </c>
      <c r="U1458" s="585" t="n">
        <v>3682960</v>
      </c>
      <c r="V1458" t="n">
        <v>57.15</v>
      </c>
      <c r="W1458" t="n">
        <v>0</v>
      </c>
      <c r="X1458" t="n">
        <v>2</v>
      </c>
      <c r="Y1458" t="n">
        <v>6.55</v>
      </c>
      <c r="Z1458" t="inlineStr"/>
      <c r="AA1458" t="inlineStr">
        <is>
          <t>FC</t>
        </is>
      </c>
      <c r="AB1458" t="inlineStr">
        <is>
          <t>NR</t>
        </is>
      </c>
      <c r="AC1458" t="inlineStr">
        <is>
          <t>57.15-0-2-ERW 1-FC</t>
        </is>
      </c>
      <c r="AD1458" t="inlineStr">
        <is>
          <t>LL</t>
        </is>
      </c>
      <c r="AE1458" t="inlineStr">
        <is>
          <t>57.15-0-2-ERW 1-FC-1</t>
        </is>
      </c>
      <c r="AF1458" t="n">
        <v>2.7187847</v>
      </c>
    </row>
    <row r="1459">
      <c r="A1459" s="56" t="n">
        <v>3770391</v>
      </c>
      <c r="B1459" s="56" t="inlineStr">
        <is>
          <t>TUB-O-C-AUT-AD-FC-25.40X2.500X6.0500</t>
        </is>
      </c>
      <c r="C1459" s="56" t="inlineStr">
        <is>
          <t>4B17CK2100</t>
        </is>
      </c>
      <c r="D1459" s="56" t="n"/>
      <c r="E1459" s="57" t="n">
        <v>439.475</v>
      </c>
      <c r="F1459" s="57" t="n">
        <v>0.439475</v>
      </c>
      <c r="G1459" s="56" t="inlineStr">
        <is>
          <t>KG</t>
        </is>
      </c>
      <c r="H1459" s="56" t="inlineStr"/>
      <c r="I1459" s="56" t="inlineStr">
        <is>
          <t>4731</t>
        </is>
      </c>
      <c r="J1459" s="56" t="n"/>
      <c r="K1459" s="56" t="n"/>
      <c r="L1459" s="56" t="n"/>
      <c r="M1459" s="56" t="n"/>
      <c r="N1459" s="56" t="inlineStr">
        <is>
          <t>Marathwada Auto Compo Pvt. Ltd.</t>
        </is>
      </c>
      <c r="O1459" s="56" t="n">
        <v>13</v>
      </c>
      <c r="P1459" s="59" t="inlineStr">
        <is>
          <t>0-30</t>
        </is>
      </c>
      <c r="Q1459" s="56" t="inlineStr">
        <is>
          <t>Apoorv</t>
        </is>
      </c>
      <c r="U1459" s="585" t="n">
        <v>3182342</v>
      </c>
      <c r="V1459" t="n">
        <v>57.15</v>
      </c>
      <c r="W1459" t="n">
        <v>0</v>
      </c>
      <c r="X1459" t="n">
        <v>2.3</v>
      </c>
      <c r="Y1459" t="n">
        <v>1.365</v>
      </c>
      <c r="Z1459" t="inlineStr"/>
      <c r="AA1459" t="inlineStr">
        <is>
          <t>FC</t>
        </is>
      </c>
      <c r="AB1459" t="inlineStr">
        <is>
          <t>AW</t>
        </is>
      </c>
      <c r="AC1459" t="inlineStr">
        <is>
          <t>57.15-0-2.3-ERW 2-FC</t>
        </is>
      </c>
      <c r="AD1459" t="inlineStr">
        <is>
          <t>CTL</t>
        </is>
      </c>
      <c r="AE1459" t="inlineStr">
        <is>
          <t>57.15-0-2.3-ERW 2-FC-1.365</t>
        </is>
      </c>
      <c r="AF1459" t="n">
        <v>4.244596622175</v>
      </c>
    </row>
    <row r="1460">
      <c r="A1460" s="56" t="n">
        <v>3770394</v>
      </c>
      <c r="B1460" s="56" t="inlineStr">
        <is>
          <t>TUB-O-C-AUT-AD-FC-29.40X4.500X5.5500</t>
        </is>
      </c>
      <c r="C1460" s="56" t="inlineStr">
        <is>
          <t>4B23K38265</t>
        </is>
      </c>
      <c r="D1460" s="56" t="n"/>
      <c r="E1460" s="57" t="n">
        <v>105.778</v>
      </c>
      <c r="F1460" s="57" t="n">
        <v>0.105778</v>
      </c>
      <c r="G1460" s="56" t="inlineStr">
        <is>
          <t>KG</t>
        </is>
      </c>
      <c r="H1460" s="56" t="inlineStr"/>
      <c r="I1460" s="56" t="inlineStr">
        <is>
          <t>4731</t>
        </is>
      </c>
      <c r="J1460" s="56" t="n"/>
      <c r="K1460" s="56" t="n"/>
      <c r="L1460" s="56" t="n"/>
      <c r="M1460" s="56" t="n"/>
      <c r="N1460" s="56" t="inlineStr">
        <is>
          <t>Narasipur Auto Component(P)Ltd</t>
        </is>
      </c>
      <c r="O1460" s="56" t="n">
        <v>13</v>
      </c>
      <c r="P1460" s="59" t="inlineStr">
        <is>
          <t>0-30</t>
        </is>
      </c>
      <c r="Q1460" s="56" t="inlineStr">
        <is>
          <t>Jitendra Kumar Sharma</t>
        </is>
      </c>
      <c r="U1460" s="585" t="n">
        <v>3157631</v>
      </c>
      <c r="V1460" t="n">
        <v>57.15</v>
      </c>
      <c r="W1460" t="n">
        <v>0</v>
      </c>
      <c r="X1460" t="n">
        <v>2.3</v>
      </c>
      <c r="Y1460" t="n">
        <v>1.365</v>
      </c>
      <c r="Z1460" t="inlineStr">
        <is>
          <t>ST52AL</t>
        </is>
      </c>
      <c r="AA1460" t="inlineStr">
        <is>
          <t>FC</t>
        </is>
      </c>
      <c r="AB1460" t="inlineStr">
        <is>
          <t>AW</t>
        </is>
      </c>
      <c r="AC1460" t="inlineStr">
        <is>
          <t>57.15-0-2.3-ERW 2-FC</t>
        </is>
      </c>
      <c r="AD1460" t="inlineStr">
        <is>
          <t>CTL</t>
        </is>
      </c>
      <c r="AE1460" t="inlineStr">
        <is>
          <t>57.15-0-2.3-ERW 2-FC-1.365</t>
        </is>
      </c>
      <c r="AF1460" t="n">
        <v>4.244596622175</v>
      </c>
    </row>
    <row r="1461">
      <c r="A1461" s="56" t="n">
        <v>3770398</v>
      </c>
      <c r="B1461" s="56" t="inlineStr">
        <is>
          <t>TUB-I-C-AUT-AD-FC-25.50X2.250X5.9500</t>
        </is>
      </c>
      <c r="C1461" s="56" t="inlineStr">
        <is>
          <t>4B10AK2070</t>
        </is>
      </c>
      <c r="D1461" s="56" t="n"/>
      <c r="E1461" s="57" t="n">
        <v>561</v>
      </c>
      <c r="F1461" s="57" t="n">
        <v>0.5610000000000001</v>
      </c>
      <c r="G1461" s="56" t="inlineStr">
        <is>
          <t>KG</t>
        </is>
      </c>
      <c r="H1461" s="56" t="inlineStr">
        <is>
          <t>TF01</t>
        </is>
      </c>
      <c r="I1461" s="56" t="inlineStr">
        <is>
          <t>4731</t>
        </is>
      </c>
      <c r="J1461" s="56" t="n"/>
      <c r="K1461" s="56" t="n"/>
      <c r="L1461" s="56" t="n"/>
      <c r="M1461" s="56" t="n"/>
      <c r="N1461" s="56" t="inlineStr">
        <is>
          <t>Marathwada Auto Compo Pvt. Ltd.</t>
        </is>
      </c>
      <c r="O1461" s="56" t="n">
        <v>25</v>
      </c>
      <c r="P1461" s="59" t="inlineStr">
        <is>
          <t>0-30</t>
        </is>
      </c>
      <c r="Q1461" s="56" t="inlineStr">
        <is>
          <t>Apoorv</t>
        </is>
      </c>
      <c r="U1461" t="n">
        <v>3781680</v>
      </c>
      <c r="V1461" t="n">
        <v>57.15</v>
      </c>
      <c r="W1461" t="n">
        <v>0</v>
      </c>
      <c r="X1461" t="n">
        <v>2.3</v>
      </c>
      <c r="Y1461" t="n">
        <v>1.365</v>
      </c>
      <c r="Z1461" t="inlineStr">
        <is>
          <t>TPT</t>
        </is>
      </c>
      <c r="AA1461" t="inlineStr">
        <is>
          <t>FC</t>
        </is>
      </c>
      <c r="AB1461" t="inlineStr">
        <is>
          <t>AW</t>
        </is>
      </c>
      <c r="AC1461" t="inlineStr">
        <is>
          <t>57.15-0-2.3-ERW 2-FC</t>
        </is>
      </c>
      <c r="AD1461" t="inlineStr">
        <is>
          <t>CTL</t>
        </is>
      </c>
      <c r="AE1461" t="inlineStr">
        <is>
          <t>57.15-0-2.3-ERW 2-FC-1.365</t>
        </is>
      </c>
      <c r="AF1461" t="n">
        <v>4.244596622175</v>
      </c>
    </row>
    <row r="1462">
      <c r="A1462" s="56" t="n">
        <v>3770398</v>
      </c>
      <c r="B1462" s="56" t="inlineStr">
        <is>
          <t>TUB-I-C-AUT-AD-FC-25.50X2.250X5.9500</t>
        </is>
      </c>
      <c r="C1462" s="56" t="inlineStr">
        <is>
          <t>4B15K37582</t>
        </is>
      </c>
      <c r="D1462" s="56" t="n"/>
      <c r="E1462" s="57" t="n">
        <v>952</v>
      </c>
      <c r="F1462" s="57" t="n">
        <v>0.952</v>
      </c>
      <c r="G1462" s="56" t="inlineStr">
        <is>
          <t>KG</t>
        </is>
      </c>
      <c r="H1462" s="56" t="inlineStr">
        <is>
          <t>R001</t>
        </is>
      </c>
      <c r="I1462" s="56" t="inlineStr">
        <is>
          <t>4731</t>
        </is>
      </c>
      <c r="J1462" s="56" t="n"/>
      <c r="K1462" s="56" t="n"/>
      <c r="L1462" s="56" t="n"/>
      <c r="M1462" s="56" t="n"/>
      <c r="N1462" s="56" t="inlineStr">
        <is>
          <t>Marathwada Auto Compo Pvt. Ltd.</t>
        </is>
      </c>
      <c r="O1462" s="56" t="n">
        <v>26</v>
      </c>
      <c r="P1462" s="59" t="inlineStr">
        <is>
          <t>0-30</t>
        </is>
      </c>
      <c r="Q1462" s="56" t="inlineStr">
        <is>
          <t>Apoorv</t>
        </is>
      </c>
      <c r="U1462" s="585" t="n">
        <v>3682118</v>
      </c>
      <c r="V1462" t="n">
        <v>57.15</v>
      </c>
      <c r="W1462" t="n">
        <v>0</v>
      </c>
      <c r="X1462" t="n">
        <v>2.3</v>
      </c>
      <c r="Y1462" t="n">
        <v>6.95</v>
      </c>
      <c r="Z1462" t="inlineStr"/>
      <c r="AA1462" t="inlineStr">
        <is>
          <t>FC</t>
        </is>
      </c>
      <c r="AB1462" t="inlineStr">
        <is>
          <t>AW</t>
        </is>
      </c>
      <c r="AC1462" t="inlineStr">
        <is>
          <t>57.15-0-2.3-ERW 2-FC</t>
        </is>
      </c>
      <c r="AD1462" t="inlineStr">
        <is>
          <t>LL</t>
        </is>
      </c>
      <c r="AE1462" t="inlineStr">
        <is>
          <t>57.15-0-2.3-ERW 2-FC-1</t>
        </is>
      </c>
      <c r="AF1462" t="n">
        <v>3.109594595</v>
      </c>
    </row>
    <row r="1463">
      <c r="A1463" s="56" t="n">
        <v>3770398</v>
      </c>
      <c r="B1463" s="56" t="inlineStr">
        <is>
          <t>TUB-I-C-AUT-AD-FC-25.50X2.250X5.9500</t>
        </is>
      </c>
      <c r="C1463" s="56" t="inlineStr">
        <is>
          <t>4B10AK2020</t>
        </is>
      </c>
      <c r="D1463" s="56" t="n"/>
      <c r="E1463" s="57" t="n">
        <v>1677</v>
      </c>
      <c r="F1463" s="57" t="n">
        <v>1.677</v>
      </c>
      <c r="G1463" s="56" t="inlineStr">
        <is>
          <t>KG</t>
        </is>
      </c>
      <c r="H1463" s="56" t="inlineStr">
        <is>
          <t>R001</t>
        </is>
      </c>
      <c r="I1463" s="56" t="inlineStr">
        <is>
          <t>4731</t>
        </is>
      </c>
      <c r="J1463" s="56" t="n"/>
      <c r="K1463" s="56" t="n"/>
      <c r="L1463" s="56" t="n"/>
      <c r="M1463" s="56" t="n"/>
      <c r="N1463" s="56" t="inlineStr">
        <is>
          <t>Marathwada Auto Compo Pvt. Ltd.</t>
        </is>
      </c>
      <c r="O1463" s="56" t="n">
        <v>35</v>
      </c>
      <c r="P1463" s="59" t="inlineStr">
        <is>
          <t>31-60</t>
        </is>
      </c>
      <c r="Q1463" s="56" t="inlineStr">
        <is>
          <t>Apoorv</t>
        </is>
      </c>
      <c r="U1463" s="585" t="n">
        <v>3732177</v>
      </c>
      <c r="V1463" t="n">
        <v>57.15</v>
      </c>
      <c r="W1463" t="n">
        <v>0</v>
      </c>
      <c r="X1463" t="n">
        <v>2.5</v>
      </c>
      <c r="Y1463" t="n">
        <v>0.326</v>
      </c>
      <c r="Z1463" t="inlineStr">
        <is>
          <t>NORMAL</t>
        </is>
      </c>
      <c r="AA1463" t="inlineStr">
        <is>
          <t>AG</t>
        </is>
      </c>
      <c r="AB1463" t="inlineStr">
        <is>
          <t>AW</t>
        </is>
      </c>
      <c r="AC1463" t="inlineStr">
        <is>
          <t>57.15-0-2.5-ERW 1-FC</t>
        </is>
      </c>
      <c r="AD1463" t="inlineStr">
        <is>
          <t>CTL</t>
        </is>
      </c>
      <c r="AE1463" t="inlineStr">
        <is>
          <t>57.15-0-2.5-ERW 1-FC-0.326</t>
        </is>
      </c>
      <c r="AF1463" t="n">
        <v>1.09786029775</v>
      </c>
    </row>
    <row r="1464">
      <c r="A1464" s="56" t="n">
        <v>3770398</v>
      </c>
      <c r="B1464" s="56" t="inlineStr">
        <is>
          <t>TUB-I-C-AUT-AD-FC-25.50X2.250X5.9500</t>
        </is>
      </c>
      <c r="C1464" s="56" t="inlineStr">
        <is>
          <t>4A26K36455</t>
        </is>
      </c>
      <c r="D1464" s="56" t="n"/>
      <c r="E1464" s="57" t="n">
        <v>1677</v>
      </c>
      <c r="F1464" s="57" t="n">
        <v>1.677</v>
      </c>
      <c r="G1464" s="56" t="inlineStr">
        <is>
          <t>KG</t>
        </is>
      </c>
      <c r="H1464" s="56" t="inlineStr">
        <is>
          <t>R001</t>
        </is>
      </c>
      <c r="I1464" s="56" t="inlineStr">
        <is>
          <t>4731</t>
        </is>
      </c>
      <c r="J1464" s="56" t="n"/>
      <c r="K1464" s="56" t="n"/>
      <c r="L1464" s="56" t="n"/>
      <c r="M1464" s="56" t="n"/>
      <c r="N1464" s="56" t="inlineStr">
        <is>
          <t>Marathwada Auto Compo Pvt. Ltd.</t>
        </is>
      </c>
      <c r="O1464" s="56" t="n">
        <v>35</v>
      </c>
      <c r="P1464" s="59" t="inlineStr">
        <is>
          <t>31-60</t>
        </is>
      </c>
      <c r="Q1464" s="56" t="inlineStr">
        <is>
          <t>Apoorv</t>
        </is>
      </c>
      <c r="U1464" s="585" t="n">
        <v>3768906</v>
      </c>
      <c r="V1464" t="n">
        <v>57.15</v>
      </c>
      <c r="W1464" t="n">
        <v>0</v>
      </c>
      <c r="X1464" t="n">
        <v>2.5</v>
      </c>
      <c r="Y1464" t="n">
        <v>0.346</v>
      </c>
      <c r="Z1464" t="inlineStr">
        <is>
          <t>NORMAL</t>
        </is>
      </c>
      <c r="AA1464" t="inlineStr">
        <is>
          <t>AG</t>
        </is>
      </c>
      <c r="AB1464" t="inlineStr">
        <is>
          <t>AW</t>
        </is>
      </c>
      <c r="AC1464" t="inlineStr">
        <is>
          <t>57.15-0-2.5-ERW 1-FC</t>
        </is>
      </c>
      <c r="AD1464" t="inlineStr">
        <is>
          <t>CTL</t>
        </is>
      </c>
      <c r="AE1464" t="inlineStr">
        <is>
          <t>57.15-0-2.5-ERW 1-FC-0.346</t>
        </is>
      </c>
      <c r="AF1464" t="n">
        <v>1.16521369025</v>
      </c>
    </row>
    <row r="1465">
      <c r="A1465" s="56" t="n">
        <v>3770398</v>
      </c>
      <c r="B1465" s="56" t="inlineStr">
        <is>
          <t>TUB-I-C-AUT-AD-FC-25.50X2.250X5.9500</t>
        </is>
      </c>
      <c r="C1465" s="56" t="inlineStr">
        <is>
          <t>4B10AK2040</t>
        </is>
      </c>
      <c r="D1465" s="56" t="n"/>
      <c r="E1465" s="57" t="n">
        <v>703.587</v>
      </c>
      <c r="F1465" s="57" t="n">
        <v>0.703587</v>
      </c>
      <c r="G1465" s="56" t="inlineStr">
        <is>
          <t>KG</t>
        </is>
      </c>
      <c r="H1465" s="56" t="inlineStr"/>
      <c r="I1465" s="56" t="inlineStr">
        <is>
          <t>4731</t>
        </is>
      </c>
      <c r="J1465" s="56" t="n"/>
      <c r="K1465" s="56" t="n"/>
      <c r="L1465" s="56" t="n"/>
      <c r="M1465" s="56" t="n"/>
      <c r="N1465" s="56" t="inlineStr">
        <is>
          <t>Marathwada Auto Compo Pvt. Ltd.</t>
        </is>
      </c>
      <c r="O1465" s="56" t="n">
        <v>33</v>
      </c>
      <c r="P1465" s="59" t="inlineStr">
        <is>
          <t>31-60</t>
        </is>
      </c>
      <c r="Q1465" s="56" t="inlineStr">
        <is>
          <t>Apoorv</t>
        </is>
      </c>
      <c r="U1465" s="585" t="n">
        <v>2440972</v>
      </c>
      <c r="V1465" t="n">
        <v>57.15</v>
      </c>
      <c r="W1465" t="n">
        <v>0</v>
      </c>
      <c r="X1465" t="n">
        <v>2.5</v>
      </c>
      <c r="Y1465" t="n">
        <v>0.375</v>
      </c>
      <c r="Z1465" t="inlineStr">
        <is>
          <t>HROP</t>
        </is>
      </c>
      <c r="AA1465" t="inlineStr">
        <is>
          <t>FC</t>
        </is>
      </c>
      <c r="AB1465" t="inlineStr">
        <is>
          <t>AW</t>
        </is>
      </c>
      <c r="AC1465" t="inlineStr">
        <is>
          <t>57.15-0-2.5-ERW 1-FC</t>
        </is>
      </c>
      <c r="AD1465" t="inlineStr">
        <is>
          <t>CTL</t>
        </is>
      </c>
      <c r="AE1465" t="inlineStr">
        <is>
          <t>57.15-0-2.5-ERW 1-FC-0.375</t>
        </is>
      </c>
      <c r="AF1465" t="n">
        <v>1.262876109375</v>
      </c>
    </row>
    <row r="1466">
      <c r="A1466" s="56" t="n">
        <v>3770398</v>
      </c>
      <c r="B1466" s="56" t="inlineStr">
        <is>
          <t>TUB-I-C-AUT-AD-FC-25.50X2.250X5.9500</t>
        </is>
      </c>
      <c r="C1466" s="56" t="inlineStr">
        <is>
          <t>4B10AK2010</t>
        </is>
      </c>
      <c r="D1466" s="56" t="n"/>
      <c r="E1466" s="57" t="n">
        <v>108.194</v>
      </c>
      <c r="F1466" s="57" t="n">
        <v>0.108194</v>
      </c>
      <c r="G1466" s="56" t="inlineStr">
        <is>
          <t>KG</t>
        </is>
      </c>
      <c r="H1466" s="56" t="inlineStr"/>
      <c r="I1466" s="56" t="inlineStr">
        <is>
          <t>4731</t>
        </is>
      </c>
      <c r="J1466" s="56" t="n"/>
      <c r="K1466" s="56" t="n"/>
      <c r="L1466" s="56" t="n"/>
      <c r="M1466" s="56" t="n"/>
      <c r="N1466" s="56" t="inlineStr">
        <is>
          <t>Marathwada Auto Compo Pvt. Ltd.</t>
        </is>
      </c>
      <c r="O1466" s="56" t="n">
        <v>31</v>
      </c>
      <c r="P1466" s="59" t="inlineStr">
        <is>
          <t>31-60</t>
        </is>
      </c>
      <c r="Q1466" s="56" t="inlineStr">
        <is>
          <t>Apoorv</t>
        </is>
      </c>
      <c r="U1466" t="n">
        <v>4020859</v>
      </c>
      <c r="V1466" t="n">
        <v>57.15</v>
      </c>
      <c r="W1466" t="n">
        <v>0</v>
      </c>
      <c r="X1466" t="n">
        <v>2.5</v>
      </c>
      <c r="Y1466" t="n">
        <v>0.376</v>
      </c>
      <c r="Z1466" t="inlineStr">
        <is>
          <t>NORMAL</t>
        </is>
      </c>
      <c r="AA1466" t="inlineStr">
        <is>
          <t>AG</t>
        </is>
      </c>
      <c r="AB1466" t="inlineStr">
        <is>
          <t>AW</t>
        </is>
      </c>
      <c r="AC1466" t="inlineStr">
        <is>
          <t>57.15-0-2.5-ERW 1-FC</t>
        </is>
      </c>
      <c r="AD1466" t="inlineStr">
        <is>
          <t>CTL</t>
        </is>
      </c>
      <c r="AE1466" t="inlineStr">
        <is>
          <t>57.15-0-2.5-ERW 1-FC-0.376</t>
        </is>
      </c>
      <c r="AF1466" t="n">
        <v>1.266243779</v>
      </c>
    </row>
    <row r="1467">
      <c r="A1467" s="56" t="n">
        <v>3770398</v>
      </c>
      <c r="B1467" s="56" t="inlineStr">
        <is>
          <t>TUB-I-C-AUT-AD-FC-25.50X2.250X5.9500</t>
        </is>
      </c>
      <c r="C1467" s="56" t="inlineStr">
        <is>
          <t>4905CK3080</t>
        </is>
      </c>
      <c r="D1467" s="56" t="n"/>
      <c r="E1467" s="57" t="n">
        <v>86.907</v>
      </c>
      <c r="F1467" s="57" t="n">
        <v>0.086907</v>
      </c>
      <c r="G1467" s="56" t="inlineStr">
        <is>
          <t>KG</t>
        </is>
      </c>
      <c r="H1467" s="56" t="inlineStr"/>
      <c r="I1467" s="56" t="inlineStr">
        <is>
          <t>4731</t>
        </is>
      </c>
      <c r="J1467" s="56" t="n"/>
      <c r="K1467" s="56" t="n"/>
      <c r="L1467" s="56" t="n"/>
      <c r="M1467" s="56" t="n"/>
      <c r="N1467" s="56" t="inlineStr">
        <is>
          <t>Marathwada Auto Compo Pvt. Ltd.</t>
        </is>
      </c>
      <c r="O1467" s="56" t="n">
        <v>88</v>
      </c>
      <c r="P1467" s="59" t="inlineStr">
        <is>
          <t>61-90</t>
        </is>
      </c>
      <c r="Q1467" s="56" t="inlineStr">
        <is>
          <t>Apoorv</t>
        </is>
      </c>
      <c r="U1467" s="585" t="n">
        <v>2320566</v>
      </c>
      <c r="V1467" t="n">
        <v>57.15</v>
      </c>
      <c r="W1467" t="n">
        <v>0</v>
      </c>
      <c r="X1467" t="n">
        <v>2.5</v>
      </c>
      <c r="Y1467" t="n">
        <v>0.379</v>
      </c>
      <c r="Z1467" t="inlineStr">
        <is>
          <t>GR2 SPL</t>
        </is>
      </c>
      <c r="AA1467" t="inlineStr">
        <is>
          <t>FC</t>
        </is>
      </c>
      <c r="AB1467" t="inlineStr">
        <is>
          <t>AW</t>
        </is>
      </c>
      <c r="AC1467" t="inlineStr">
        <is>
          <t>57.15-0-2.5-ERW 1-FC</t>
        </is>
      </c>
      <c r="AD1467" t="inlineStr">
        <is>
          <t>CTL</t>
        </is>
      </c>
      <c r="AE1467" t="inlineStr">
        <is>
          <t>57.15-0-2.5-ERW 1-FC-0.379</t>
        </is>
      </c>
      <c r="AF1467" t="n">
        <v>1.276346787875</v>
      </c>
    </row>
    <row r="1468">
      <c r="A1468" s="56" t="n">
        <v>3770405</v>
      </c>
      <c r="B1468" s="56" t="inlineStr">
        <is>
          <t>TUB-O-C-AUT-AD-FC-67.00X1.20X5.500-HDPE</t>
        </is>
      </c>
      <c r="C1468" s="56" t="inlineStr">
        <is>
          <t>MG2792407</t>
        </is>
      </c>
      <c r="D1468" s="56" t="n"/>
      <c r="E1468" s="57" t="n">
        <v>69.172</v>
      </c>
      <c r="F1468" s="57" t="n">
        <v>0.069172</v>
      </c>
      <c r="G1468" s="56" t="inlineStr">
        <is>
          <t>KG</t>
        </is>
      </c>
      <c r="H1468" s="56" t="inlineStr">
        <is>
          <t>TF01</t>
        </is>
      </c>
      <c r="I1468" s="56" t="inlineStr">
        <is>
          <t>4731</t>
        </is>
      </c>
      <c r="J1468" s="56" t="n"/>
      <c r="K1468" s="56" t="n"/>
      <c r="L1468" s="56" t="n"/>
      <c r="M1468" s="56" t="n"/>
      <c r="N1468" s="56" t="inlineStr">
        <is>
          <t>FREE STOCK</t>
        </is>
      </c>
      <c r="O1468" s="56" t="n">
        <v>89</v>
      </c>
      <c r="P1468" s="59" t="inlineStr">
        <is>
          <t>61-90</t>
        </is>
      </c>
      <c r="Q1468" s="56" t="inlineStr">
        <is>
          <t>Free Stock</t>
        </is>
      </c>
      <c r="U1468" s="585" t="n">
        <v>2440970</v>
      </c>
      <c r="V1468" t="n">
        <v>57.15</v>
      </c>
      <c r="W1468" t="n">
        <v>0</v>
      </c>
      <c r="X1468" t="n">
        <v>2.5</v>
      </c>
      <c r="Y1468" t="n">
        <v>0.512</v>
      </c>
      <c r="Z1468" t="inlineStr">
        <is>
          <t>HROP</t>
        </is>
      </c>
      <c r="AA1468" t="inlineStr">
        <is>
          <t>FC</t>
        </is>
      </c>
      <c r="AB1468" t="inlineStr">
        <is>
          <t>AW</t>
        </is>
      </c>
      <c r="AC1468" t="inlineStr">
        <is>
          <t>57.15-0-2.5-ERW 1-FC</t>
        </is>
      </c>
      <c r="AD1468" t="inlineStr">
        <is>
          <t>CTL</t>
        </is>
      </c>
      <c r="AE1468" t="inlineStr">
        <is>
          <t>57.15-0-2.5-ERW 1-FC-0.512</t>
        </is>
      </c>
      <c r="AF1468" t="n">
        <v>1.724246848</v>
      </c>
    </row>
    <row r="1469">
      <c r="A1469" s="56" t="n">
        <v>3770405</v>
      </c>
      <c r="B1469" s="56" t="inlineStr">
        <is>
          <t>TUB-O-C-AUT-AD-FC-67.00X1.20X5.500-HDPE</t>
        </is>
      </c>
      <c r="C1469" s="56" t="inlineStr">
        <is>
          <t>MG1692402</t>
        </is>
      </c>
      <c r="D1469" s="56" t="n"/>
      <c r="E1469" s="57" t="n">
        <v>173.698</v>
      </c>
      <c r="F1469" s="57" t="n">
        <v>0.173698</v>
      </c>
      <c r="G1469" s="56" t="inlineStr">
        <is>
          <t>KG</t>
        </is>
      </c>
      <c r="H1469" s="56" t="inlineStr">
        <is>
          <t>TF01</t>
        </is>
      </c>
      <c r="I1469" s="56" t="inlineStr">
        <is>
          <t>4731</t>
        </is>
      </c>
      <c r="J1469" s="56" t="n"/>
      <c r="K1469" s="56" t="n"/>
      <c r="L1469" s="56" t="n"/>
      <c r="M1469" s="56" t="n"/>
      <c r="N1469" s="56" t="inlineStr">
        <is>
          <t>FREE STOCK</t>
        </is>
      </c>
      <c r="O1469" s="56" t="n">
        <v>105</v>
      </c>
      <c r="P1469" s="59" t="inlineStr">
        <is>
          <t>ABOVE 90</t>
        </is>
      </c>
      <c r="Q1469" s="56" t="inlineStr">
        <is>
          <t>Free Stock</t>
        </is>
      </c>
      <c r="U1469" s="585" t="n">
        <v>3731697</v>
      </c>
      <c r="V1469" t="n">
        <v>57.15</v>
      </c>
      <c r="W1469" t="n">
        <v>0</v>
      </c>
      <c r="X1469" t="n">
        <v>2.5</v>
      </c>
      <c r="Y1469" t="n">
        <v>0.526</v>
      </c>
      <c r="Z1469" t="inlineStr">
        <is>
          <t>NORMAL</t>
        </is>
      </c>
      <c r="AA1469" t="inlineStr">
        <is>
          <t>AG</t>
        </is>
      </c>
      <c r="AB1469" t="inlineStr">
        <is>
          <t>AW</t>
        </is>
      </c>
      <c r="AC1469" t="inlineStr">
        <is>
          <t>57.15-0-2.5-ERW 1-FC</t>
        </is>
      </c>
      <c r="AD1469" t="inlineStr">
        <is>
          <t>CTL</t>
        </is>
      </c>
      <c r="AE1469" t="inlineStr">
        <is>
          <t>57.15-0-2.5-ERW 1-FC-0.526</t>
        </is>
      </c>
      <c r="AF1469" t="n">
        <v>1.77139422275</v>
      </c>
    </row>
    <row r="1470">
      <c r="A1470" s="56" t="n">
        <v>3770405</v>
      </c>
      <c r="B1470" s="56" t="inlineStr">
        <is>
          <t>TUB-O-C-AUT-AD-FC-67.00X1.20X5.500-HDPE</t>
        </is>
      </c>
      <c r="C1470" s="56" t="inlineStr">
        <is>
          <t>MG1172402</t>
        </is>
      </c>
      <c r="D1470" s="56" t="n"/>
      <c r="E1470" s="57" t="n">
        <v>55.188</v>
      </c>
      <c r="F1470" s="57" t="n">
        <v>0.055188</v>
      </c>
      <c r="G1470" s="56" t="inlineStr">
        <is>
          <t>KG</t>
        </is>
      </c>
      <c r="H1470" s="56" t="inlineStr">
        <is>
          <t>TF01</t>
        </is>
      </c>
      <c r="I1470" s="56" t="inlineStr">
        <is>
          <t>4731</t>
        </is>
      </c>
      <c r="J1470" s="56" t="n"/>
      <c r="K1470" s="56" t="n"/>
      <c r="L1470" s="56" t="n"/>
      <c r="M1470" s="56" t="n"/>
      <c r="N1470" s="56" t="inlineStr">
        <is>
          <t>FREE STOCK</t>
        </is>
      </c>
      <c r="O1470" s="56" t="n">
        <v>163</v>
      </c>
      <c r="P1470" s="59" t="inlineStr">
        <is>
          <t>ABOVE 90</t>
        </is>
      </c>
      <c r="Q1470" s="56" t="inlineStr">
        <is>
          <t>Free Stock</t>
        </is>
      </c>
      <c r="U1470" s="585" t="n">
        <v>1174860</v>
      </c>
      <c r="V1470" t="n">
        <v>57.15</v>
      </c>
      <c r="W1470" t="n">
        <v>0</v>
      </c>
      <c r="X1470" t="n">
        <v>2.5</v>
      </c>
      <c r="Y1470" t="n">
        <v>0.772</v>
      </c>
      <c r="Z1470" t="inlineStr"/>
      <c r="AA1470" t="inlineStr">
        <is>
          <t>PE</t>
        </is>
      </c>
      <c r="AB1470" t="inlineStr">
        <is>
          <t>AW</t>
        </is>
      </c>
      <c r="AC1470" t="inlineStr">
        <is>
          <t>57.15-0-2.5-ERW 1-FC</t>
        </is>
      </c>
      <c r="AD1470" t="inlineStr">
        <is>
          <t>CTL</t>
        </is>
      </c>
      <c r="AE1470" t="inlineStr">
        <is>
          <t>57.15-0-2.5-ERW 1-FC-0.772</t>
        </is>
      </c>
      <c r="AF1470" t="n">
        <v>2.5998409505</v>
      </c>
    </row>
    <row r="1471">
      <c r="A1471" s="56" t="n">
        <v>3770405</v>
      </c>
      <c r="B1471" s="56" t="inlineStr">
        <is>
          <t>TUB-O-C-AUT-AD-FC-67.00X1.20X5.500-HDPE</t>
        </is>
      </c>
      <c r="C1471" s="56" t="inlineStr">
        <is>
          <t>MG0992405</t>
        </is>
      </c>
      <c r="D1471" s="56" t="n"/>
      <c r="E1471" s="57" t="n">
        <v>320.609</v>
      </c>
      <c r="F1471" s="57" t="n">
        <v>0.320609</v>
      </c>
      <c r="G1471" s="56" t="inlineStr">
        <is>
          <t>KG</t>
        </is>
      </c>
      <c r="H1471" s="56" t="inlineStr">
        <is>
          <t>TF01</t>
        </is>
      </c>
      <c r="I1471" s="56" t="inlineStr">
        <is>
          <t>4731</t>
        </is>
      </c>
      <c r="J1471" s="56" t="n"/>
      <c r="K1471" s="56" t="n"/>
      <c r="L1471" s="56" t="n"/>
      <c r="M1471" s="56" t="n"/>
      <c r="N1471" s="56" t="inlineStr">
        <is>
          <t>FREE STOCK</t>
        </is>
      </c>
      <c r="O1471" s="56" t="n">
        <v>119</v>
      </c>
      <c r="P1471" s="59" t="inlineStr">
        <is>
          <t>ABOVE 90</t>
        </is>
      </c>
      <c r="Q1471" s="56" t="inlineStr">
        <is>
          <t>Free Stock</t>
        </is>
      </c>
      <c r="U1471" s="585" t="n">
        <v>1940911</v>
      </c>
      <c r="V1471" t="n">
        <v>57.15</v>
      </c>
      <c r="W1471" t="n">
        <v>0</v>
      </c>
      <c r="X1471" t="n">
        <v>2.5</v>
      </c>
      <c r="Y1471" t="n">
        <v>0.772</v>
      </c>
      <c r="Z1471" t="inlineStr">
        <is>
          <t>GR2 SPL</t>
        </is>
      </c>
      <c r="AA1471" t="inlineStr">
        <is>
          <t>AG</t>
        </is>
      </c>
      <c r="AB1471" t="inlineStr">
        <is>
          <t>AW</t>
        </is>
      </c>
      <c r="AC1471" t="inlineStr">
        <is>
          <t>57.15-0-2.5-ERW 1-FC</t>
        </is>
      </c>
      <c r="AD1471" t="inlineStr">
        <is>
          <t>CTL</t>
        </is>
      </c>
      <c r="AE1471" t="inlineStr">
        <is>
          <t>57.15-0-2.5-ERW 1-FC-0.772</t>
        </is>
      </c>
      <c r="AF1471" t="n">
        <v>2.5998409505</v>
      </c>
    </row>
    <row r="1472">
      <c r="A1472" s="56" t="n">
        <v>3770405</v>
      </c>
      <c r="B1472" s="56" t="inlineStr">
        <is>
          <t>TUB-O-C-AUT-AD-FC-67.00X1.20X5.500-HDPE</t>
        </is>
      </c>
      <c r="C1472" s="56" t="inlineStr">
        <is>
          <t>4C13K39686</t>
        </is>
      </c>
      <c r="D1472" s="56" t="n"/>
      <c r="E1472" s="57" t="n">
        <v>430.131</v>
      </c>
      <c r="F1472" s="57" t="n">
        <v>0.430131</v>
      </c>
      <c r="G1472" s="56" t="inlineStr">
        <is>
          <t>KG</t>
        </is>
      </c>
      <c r="H1472" s="56" t="inlineStr">
        <is>
          <t>TF01</t>
        </is>
      </c>
      <c r="I1472" s="56" t="inlineStr">
        <is>
          <t>4731</t>
        </is>
      </c>
      <c r="J1472" s="56" t="n"/>
      <c r="K1472" s="56" t="n"/>
      <c r="L1472" s="56" t="n"/>
      <c r="M1472" s="56" t="n"/>
      <c r="N1472" s="56" t="inlineStr">
        <is>
          <t>FREE STOCK</t>
        </is>
      </c>
      <c r="O1472" s="56" t="n">
        <v>17</v>
      </c>
      <c r="P1472" s="59" t="inlineStr">
        <is>
          <t>0-30</t>
        </is>
      </c>
      <c r="Q1472" s="56" t="inlineStr">
        <is>
          <t>Free Stock</t>
        </is>
      </c>
      <c r="U1472" t="n">
        <v>3784472</v>
      </c>
      <c r="V1472" t="n">
        <v>57.15</v>
      </c>
      <c r="W1472" t="n">
        <v>0</v>
      </c>
      <c r="X1472" t="n">
        <v>2.5</v>
      </c>
      <c r="Y1472" t="n">
        <v>0.772</v>
      </c>
      <c r="Z1472" t="inlineStr">
        <is>
          <t>NORMAL</t>
        </is>
      </c>
      <c r="AA1472" t="inlineStr">
        <is>
          <t>PE</t>
        </is>
      </c>
      <c r="AB1472" t="inlineStr">
        <is>
          <t>AW</t>
        </is>
      </c>
      <c r="AC1472" t="inlineStr">
        <is>
          <t>57.15-0-2.5-ERW 1-FC</t>
        </is>
      </c>
      <c r="AD1472" t="inlineStr">
        <is>
          <t>CTL</t>
        </is>
      </c>
      <c r="AE1472" t="inlineStr">
        <is>
          <t>57.15-0-2.5-ERW 1-FC-0.772</t>
        </is>
      </c>
      <c r="AF1472" t="n">
        <v>2.5998409505</v>
      </c>
    </row>
    <row r="1473">
      <c r="A1473" s="56" t="n">
        <v>3770405</v>
      </c>
      <c r="B1473" s="56" t="inlineStr">
        <is>
          <t>TUB-O-C-AUT-AD-FC-67.00X1.20X5.500-HDPE</t>
        </is>
      </c>
      <c r="C1473" s="56" t="inlineStr">
        <is>
          <t>4A05K34724</t>
        </is>
      </c>
      <c r="D1473" s="56" t="n"/>
      <c r="E1473" s="57" t="n">
        <v>384.961</v>
      </c>
      <c r="F1473" s="57" t="n">
        <v>0.384961</v>
      </c>
      <c r="G1473" s="56" t="inlineStr">
        <is>
          <t>KG</t>
        </is>
      </c>
      <c r="H1473" s="56" t="inlineStr">
        <is>
          <t>TF01</t>
        </is>
      </c>
      <c r="I1473" s="56" t="inlineStr">
        <is>
          <t>4731</t>
        </is>
      </c>
      <c r="J1473" s="56" t="n"/>
      <c r="K1473" s="56" t="n"/>
      <c r="L1473" s="56" t="n"/>
      <c r="M1473" s="56" t="n"/>
      <c r="N1473" s="56" t="inlineStr">
        <is>
          <t>FREE STOCK</t>
        </is>
      </c>
      <c r="O1473" s="56" t="n">
        <v>68</v>
      </c>
      <c r="P1473" s="59" t="inlineStr">
        <is>
          <t>61-90</t>
        </is>
      </c>
      <c r="Q1473" s="56" t="inlineStr">
        <is>
          <t>Free Stock</t>
        </is>
      </c>
      <c r="U1473" s="585" t="n">
        <v>3542858</v>
      </c>
      <c r="V1473" t="n">
        <v>57.15</v>
      </c>
      <c r="W1473" t="n">
        <v>0</v>
      </c>
      <c r="X1473" t="n">
        <v>2.5</v>
      </c>
      <c r="Y1473" t="n">
        <v>0.778</v>
      </c>
      <c r="Z1473" t="inlineStr">
        <is>
          <t>HROP</t>
        </is>
      </c>
      <c r="AA1473" t="inlineStr">
        <is>
          <t>AG</t>
        </is>
      </c>
      <c r="AB1473" t="inlineStr">
        <is>
          <t>AW</t>
        </is>
      </c>
      <c r="AC1473" t="inlineStr">
        <is>
          <t>57.15-0-2.5-ERW 1-FC</t>
        </is>
      </c>
      <c r="AD1473" t="inlineStr">
        <is>
          <t>CTL</t>
        </is>
      </c>
      <c r="AE1473" t="inlineStr">
        <is>
          <t>57.15-0-2.5-ERW 1-FC-0.778</t>
        </is>
      </c>
      <c r="AF1473" t="n">
        <v>2.62004696825</v>
      </c>
    </row>
    <row r="1474">
      <c r="A1474" s="56" t="n">
        <v>3770405</v>
      </c>
      <c r="B1474" s="56" t="inlineStr">
        <is>
          <t>TUB-O-C-AUT-AD-FC-67.00X1.20X5.500-HDPE</t>
        </is>
      </c>
      <c r="C1474" s="56" t="inlineStr">
        <is>
          <t>4929K34341</t>
        </is>
      </c>
      <c r="D1474" s="56" t="n"/>
      <c r="E1474" s="57" t="n">
        <v>112.44</v>
      </c>
      <c r="F1474" s="57" t="n">
        <v>0.11244</v>
      </c>
      <c r="G1474" s="56" t="inlineStr">
        <is>
          <t>KG</t>
        </is>
      </c>
      <c r="H1474" s="56" t="inlineStr">
        <is>
          <t>TF01</t>
        </is>
      </c>
      <c r="I1474" s="56" t="inlineStr">
        <is>
          <t>4731</t>
        </is>
      </c>
      <c r="J1474" s="56" t="n"/>
      <c r="K1474" s="56" t="n"/>
      <c r="L1474" s="56" t="n"/>
      <c r="M1474" s="56" t="n"/>
      <c r="N1474" s="56" t="inlineStr">
        <is>
          <t>FREE STOCK</t>
        </is>
      </c>
      <c r="O1474" s="56" t="n">
        <v>87</v>
      </c>
      <c r="P1474" s="59" t="inlineStr">
        <is>
          <t>61-90</t>
        </is>
      </c>
      <c r="Q1474" s="56" t="inlineStr">
        <is>
          <t>Free Stock</t>
        </is>
      </c>
      <c r="U1474" s="585" t="n">
        <v>1342334</v>
      </c>
      <c r="V1474" t="n">
        <v>57.15</v>
      </c>
      <c r="W1474" t="n">
        <v>0</v>
      </c>
      <c r="X1474" t="n">
        <v>2.5</v>
      </c>
      <c r="Y1474" t="n">
        <v>0.8</v>
      </c>
      <c r="Z1474" t="inlineStr"/>
      <c r="AA1474" t="inlineStr">
        <is>
          <t>PE</t>
        </is>
      </c>
      <c r="AB1474" t="inlineStr">
        <is>
          <t>AW</t>
        </is>
      </c>
      <c r="AC1474" t="inlineStr">
        <is>
          <t>57.15-0-2.5-ERW 1-PE</t>
        </is>
      </c>
      <c r="AD1474" t="inlineStr">
        <is>
          <t>CTL</t>
        </is>
      </c>
      <c r="AE1474" t="inlineStr">
        <is>
          <t>57.15-0-2.5-ERW 1-PE-0.8</t>
        </is>
      </c>
      <c r="AF1474" t="n">
        <v>2.6941357</v>
      </c>
    </row>
    <row r="1475">
      <c r="A1475" s="56" t="n">
        <v>3770405</v>
      </c>
      <c r="B1475" s="56" t="inlineStr">
        <is>
          <t>TUB-O-C-AUT-AD-FC-67.00X1.20X5.500-HDPE</t>
        </is>
      </c>
      <c r="C1475" s="56" t="inlineStr">
        <is>
          <t>4926K33966</t>
        </is>
      </c>
      <c r="D1475" s="56" t="n"/>
      <c r="E1475" s="57" t="n">
        <v>717</v>
      </c>
      <c r="F1475" s="57" t="n">
        <v>0.717</v>
      </c>
      <c r="G1475" s="56" t="inlineStr">
        <is>
          <t>KG</t>
        </is>
      </c>
      <c r="H1475" s="56" t="inlineStr">
        <is>
          <t>TF01</t>
        </is>
      </c>
      <c r="I1475" s="56" t="inlineStr">
        <is>
          <t>4731</t>
        </is>
      </c>
      <c r="J1475" s="56" t="n"/>
      <c r="K1475" s="56" t="n"/>
      <c r="L1475" s="56" t="n"/>
      <c r="M1475" s="56" t="n"/>
      <c r="N1475" s="56" t="inlineStr">
        <is>
          <t>FREE STOCK</t>
        </is>
      </c>
      <c r="O1475" s="56" t="n">
        <v>83</v>
      </c>
      <c r="P1475" s="59" t="inlineStr">
        <is>
          <t>61-90</t>
        </is>
      </c>
      <c r="Q1475" s="56" t="inlineStr">
        <is>
          <t>Free Stock</t>
        </is>
      </c>
      <c r="U1475" s="585" t="n">
        <v>1248570</v>
      </c>
      <c r="V1475" t="n">
        <v>57.15</v>
      </c>
      <c r="W1475" t="n">
        <v>0</v>
      </c>
      <c r="X1475" t="n">
        <v>2.5</v>
      </c>
      <c r="Y1475" t="n">
        <v>0.8110000000000001</v>
      </c>
      <c r="Z1475" t="inlineStr"/>
      <c r="AA1475" t="inlineStr">
        <is>
          <t>PE</t>
        </is>
      </c>
      <c r="AB1475" t="inlineStr">
        <is>
          <t>AW</t>
        </is>
      </c>
      <c r="AC1475" t="inlineStr">
        <is>
          <t>57.15-0-2.5-ERW 1-PE</t>
        </is>
      </c>
      <c r="AD1475" t="inlineStr">
        <is>
          <t>CTL</t>
        </is>
      </c>
      <c r="AE1475" t="inlineStr">
        <is>
          <t>57.15-0-2.5-ERW 1-PE-0.811</t>
        </is>
      </c>
      <c r="AF1475" t="n">
        <v>2.731180065875</v>
      </c>
    </row>
    <row r="1476">
      <c r="A1476" s="56" t="n">
        <v>3770405</v>
      </c>
      <c r="B1476" s="56" t="inlineStr">
        <is>
          <t>TUB-O-C-AUT-AD-FC-67.00X1.20X5.500-HDPE</t>
        </is>
      </c>
      <c r="C1476" s="56" t="inlineStr">
        <is>
          <t>MG1772402</t>
        </is>
      </c>
      <c r="D1476" s="56" t="n"/>
      <c r="E1476" s="57" t="n">
        <v>94.458</v>
      </c>
      <c r="F1476" s="57" t="n">
        <v>0.094458</v>
      </c>
      <c r="G1476" s="56" t="inlineStr">
        <is>
          <t>KG</t>
        </is>
      </c>
      <c r="H1476" s="56" t="inlineStr">
        <is>
          <t>R001</t>
        </is>
      </c>
      <c r="I1476" s="56" t="inlineStr">
        <is>
          <t>4731</t>
        </is>
      </c>
      <c r="J1476" s="56" t="n"/>
      <c r="K1476" s="56" t="n"/>
      <c r="L1476" s="56" t="n"/>
      <c r="M1476" s="56" t="n"/>
      <c r="N1476" s="56" t="inlineStr">
        <is>
          <t>FREE STOCK</t>
        </is>
      </c>
      <c r="O1476" s="56" t="n">
        <v>172</v>
      </c>
      <c r="P1476" s="59" t="inlineStr">
        <is>
          <t>ABOVE 90</t>
        </is>
      </c>
      <c r="Q1476" s="56" t="inlineStr">
        <is>
          <t>Free Stock</t>
        </is>
      </c>
      <c r="U1476" s="585" t="n">
        <v>3542857</v>
      </c>
      <c r="V1476" t="n">
        <v>57.15</v>
      </c>
      <c r="W1476" t="n">
        <v>0</v>
      </c>
      <c r="X1476" t="n">
        <v>2.5</v>
      </c>
      <c r="Y1476" t="n">
        <v>0.8120000000000001</v>
      </c>
      <c r="Z1476" t="inlineStr">
        <is>
          <t>HROP</t>
        </is>
      </c>
      <c r="AA1476" t="inlineStr">
        <is>
          <t>AG</t>
        </is>
      </c>
      <c r="AB1476" t="inlineStr">
        <is>
          <t>AW</t>
        </is>
      </c>
      <c r="AC1476" t="inlineStr">
        <is>
          <t>57.15-0-2.5-ERW 1-FC</t>
        </is>
      </c>
      <c r="AD1476" t="inlineStr">
        <is>
          <t>CTL</t>
        </is>
      </c>
      <c r="AE1476" t="inlineStr">
        <is>
          <t>57.15-0-2.5-ERW 1-FC-0.812</t>
        </is>
      </c>
      <c r="AF1476" t="n">
        <v>2.7345477355</v>
      </c>
    </row>
    <row r="1477">
      <c r="A1477" s="56" t="n">
        <v>3770405</v>
      </c>
      <c r="B1477" s="56" t="inlineStr">
        <is>
          <t>TUB-O-C-AUT-AD-FC-67.00X1.20X5.500-HDPE</t>
        </is>
      </c>
      <c r="C1477" s="56" t="inlineStr">
        <is>
          <t>MG1492411</t>
        </is>
      </c>
      <c r="D1477" s="56" t="n"/>
      <c r="E1477" s="57" t="n">
        <v>98.315</v>
      </c>
      <c r="F1477" s="57" t="n">
        <v>0.098315</v>
      </c>
      <c r="G1477" s="56" t="inlineStr">
        <is>
          <t>KG</t>
        </is>
      </c>
      <c r="H1477" s="56" t="inlineStr">
        <is>
          <t>R001</t>
        </is>
      </c>
      <c r="I1477" s="56" t="inlineStr">
        <is>
          <t>4731</t>
        </is>
      </c>
      <c r="J1477" s="56" t="n"/>
      <c r="K1477" s="56" t="n"/>
      <c r="L1477" s="56" t="n"/>
      <c r="M1477" s="56" t="n"/>
      <c r="N1477" s="56" t="inlineStr">
        <is>
          <t>FREE STOCK</t>
        </is>
      </c>
      <c r="O1477" s="56" t="n">
        <v>110</v>
      </c>
      <c r="P1477" s="59" t="inlineStr">
        <is>
          <t>ABOVE 90</t>
        </is>
      </c>
      <c r="Q1477" s="56" t="inlineStr">
        <is>
          <t>Free Stock</t>
        </is>
      </c>
      <c r="U1477" s="585" t="n">
        <v>1940913</v>
      </c>
      <c r="V1477" t="n">
        <v>57.15</v>
      </c>
      <c r="W1477" t="n">
        <v>0</v>
      </c>
      <c r="X1477" t="n">
        <v>2.5</v>
      </c>
      <c r="Y1477" t="n">
        <v>0.8120000000000001</v>
      </c>
      <c r="Z1477" t="inlineStr">
        <is>
          <t>GR2 SPL</t>
        </is>
      </c>
      <c r="AA1477" t="inlineStr">
        <is>
          <t>FC</t>
        </is>
      </c>
      <c r="AB1477" t="inlineStr">
        <is>
          <t>AW</t>
        </is>
      </c>
      <c r="AC1477" t="inlineStr">
        <is>
          <t>57.15-0-2.5-ERW 1-FC</t>
        </is>
      </c>
      <c r="AD1477" t="inlineStr">
        <is>
          <t>CTL</t>
        </is>
      </c>
      <c r="AE1477" t="inlineStr">
        <is>
          <t>57.15-0-2.5-ERW 1-FC-0.812</t>
        </is>
      </c>
      <c r="AF1477" t="n">
        <v>2.7345477355</v>
      </c>
    </row>
    <row r="1478">
      <c r="A1478" s="56" t="n">
        <v>3770405</v>
      </c>
      <c r="B1478" s="56" t="inlineStr">
        <is>
          <t>TUB-O-C-AUT-AD-FC-67.00X1.20X5.500-HDPE</t>
        </is>
      </c>
      <c r="C1478" s="56" t="inlineStr">
        <is>
          <t>4C06K39209</t>
        </is>
      </c>
      <c r="D1478" s="56" t="n"/>
      <c r="E1478" s="57" t="n">
        <v>908</v>
      </c>
      <c r="F1478" s="57" t="n">
        <v>0.908</v>
      </c>
      <c r="G1478" s="56" t="inlineStr">
        <is>
          <t>KG</t>
        </is>
      </c>
      <c r="H1478" s="56" t="inlineStr">
        <is>
          <t>R001</t>
        </is>
      </c>
      <c r="I1478" s="56" t="inlineStr">
        <is>
          <t>4731</t>
        </is>
      </c>
      <c r="J1478" s="56" t="n"/>
      <c r="K1478" s="56" t="n"/>
      <c r="L1478" s="56" t="n"/>
      <c r="M1478" s="56" t="n"/>
      <c r="N1478" s="56" t="inlineStr">
        <is>
          <t>FREE STOCK</t>
        </is>
      </c>
      <c r="O1478" s="56" t="n">
        <v>31</v>
      </c>
      <c r="P1478" s="59" t="inlineStr">
        <is>
          <t>31-60</t>
        </is>
      </c>
      <c r="Q1478" s="56" t="inlineStr">
        <is>
          <t>Free Stock</t>
        </is>
      </c>
      <c r="U1478" s="585" t="n">
        <v>3500277</v>
      </c>
      <c r="V1478" t="n">
        <v>57.15</v>
      </c>
      <c r="W1478" t="n">
        <v>0</v>
      </c>
      <c r="X1478" t="n">
        <v>2.5</v>
      </c>
      <c r="Y1478" t="n">
        <v>5.6</v>
      </c>
      <c r="Z1478" t="inlineStr"/>
      <c r="AA1478" t="inlineStr">
        <is>
          <t>PE</t>
        </is>
      </c>
      <c r="AB1478" t="inlineStr">
        <is>
          <t>AW</t>
        </is>
      </c>
      <c r="AC1478" t="inlineStr">
        <is>
          <t>57.15-0-2.5-ERW 1-PE</t>
        </is>
      </c>
      <c r="AD1478" t="inlineStr">
        <is>
          <t>LL</t>
        </is>
      </c>
      <c r="AE1478" t="inlineStr">
        <is>
          <t>57.15-0-2.5-ERW 1-PE-1</t>
        </is>
      </c>
      <c r="AF1478" t="n">
        <v>3.367669625</v>
      </c>
    </row>
    <row r="1479">
      <c r="A1479" s="56" t="n">
        <v>3770405</v>
      </c>
      <c r="B1479" s="56" t="inlineStr">
        <is>
          <t>TUB-O-C-AUT-AD-FC-67.00X1.20X5.500-HDPE</t>
        </is>
      </c>
      <c r="C1479" s="56" t="inlineStr">
        <is>
          <t>4C06K39207</t>
        </is>
      </c>
      <c r="D1479" s="56" t="n"/>
      <c r="E1479" s="57" t="n">
        <v>844</v>
      </c>
      <c r="F1479" s="57" t="n">
        <v>0.844</v>
      </c>
      <c r="G1479" s="56" t="inlineStr">
        <is>
          <t>KG</t>
        </is>
      </c>
      <c r="H1479" s="56" t="inlineStr">
        <is>
          <t>R001</t>
        </is>
      </c>
      <c r="I1479" s="56" t="inlineStr">
        <is>
          <t>4731</t>
        </is>
      </c>
      <c r="J1479" s="56" t="n"/>
      <c r="K1479" s="56" t="n"/>
      <c r="L1479" s="56" t="n"/>
      <c r="M1479" s="56" t="n"/>
      <c r="N1479" s="56" t="inlineStr">
        <is>
          <t>FREE STOCK</t>
        </is>
      </c>
      <c r="O1479" s="56" t="n">
        <v>31</v>
      </c>
      <c r="P1479" s="59" t="inlineStr">
        <is>
          <t>31-60</t>
        </is>
      </c>
      <c r="Q1479" s="56" t="inlineStr">
        <is>
          <t>Free Stock</t>
        </is>
      </c>
      <c r="U1479" s="585" t="n">
        <v>3500955</v>
      </c>
      <c r="V1479" t="n">
        <v>57.15</v>
      </c>
      <c r="W1479" t="n">
        <v>0</v>
      </c>
      <c r="X1479" t="n">
        <v>2.5</v>
      </c>
      <c r="Y1479" t="n">
        <v>5.6</v>
      </c>
      <c r="Z1479" t="inlineStr"/>
      <c r="AA1479" t="inlineStr">
        <is>
          <t>FC</t>
        </is>
      </c>
      <c r="AB1479" t="inlineStr">
        <is>
          <t>AW</t>
        </is>
      </c>
      <c r="AC1479" t="inlineStr">
        <is>
          <t>57.15-0-2.5-ERW 1-FC</t>
        </is>
      </c>
      <c r="AD1479" t="inlineStr">
        <is>
          <t>LL</t>
        </is>
      </c>
      <c r="AE1479" t="inlineStr">
        <is>
          <t>57.15-0-2.5-ERW 1-FC-1</t>
        </is>
      </c>
      <c r="AF1479" t="n">
        <v>3.367669625</v>
      </c>
    </row>
    <row r="1480">
      <c r="A1480" s="56" t="n">
        <v>3770405</v>
      </c>
      <c r="B1480" s="56" t="inlineStr">
        <is>
          <t>TUB-O-C-AUT-AD-FC-67.00X1.20X5.500-HDPE</t>
        </is>
      </c>
      <c r="C1480" s="56" t="inlineStr">
        <is>
          <t>4C06K39205</t>
        </is>
      </c>
      <c r="D1480" s="56" t="n"/>
      <c r="E1480" s="57" t="n">
        <v>759</v>
      </c>
      <c r="F1480" s="57" t="n">
        <v>0.759</v>
      </c>
      <c r="G1480" s="56" t="inlineStr">
        <is>
          <t>KG</t>
        </is>
      </c>
      <c r="H1480" s="56" t="inlineStr">
        <is>
          <t>R001</t>
        </is>
      </c>
      <c r="I1480" s="56" t="inlineStr">
        <is>
          <t>4731</t>
        </is>
      </c>
      <c r="J1480" s="56" t="n"/>
      <c r="K1480" s="56" t="n"/>
      <c r="L1480" s="56" t="n"/>
      <c r="M1480" s="56" t="n"/>
      <c r="N1480" s="56" t="inlineStr">
        <is>
          <t>FREE STOCK</t>
        </is>
      </c>
      <c r="O1480" s="56" t="n">
        <v>31</v>
      </c>
      <c r="P1480" s="59" t="inlineStr">
        <is>
          <t>31-60</t>
        </is>
      </c>
      <c r="Q1480" s="56" t="inlineStr">
        <is>
          <t>Free Stock</t>
        </is>
      </c>
      <c r="U1480" t="n">
        <v>3907863</v>
      </c>
      <c r="V1480" t="n">
        <v>57.15</v>
      </c>
      <c r="W1480" t="n">
        <v>0</v>
      </c>
      <c r="X1480" t="n">
        <v>2.5</v>
      </c>
      <c r="Y1480" t="n">
        <v>5.711</v>
      </c>
      <c r="Z1480" t="inlineStr"/>
      <c r="AA1480" t="inlineStr">
        <is>
          <t>FC</t>
        </is>
      </c>
      <c r="AB1480" t="inlineStr">
        <is>
          <t>AW</t>
        </is>
      </c>
      <c r="AC1480" t="inlineStr">
        <is>
          <t>57.15-0-2.5-ERW 1-FC</t>
        </is>
      </c>
      <c r="AD1480" t="inlineStr">
        <is>
          <t>LL</t>
        </is>
      </c>
      <c r="AE1480" t="inlineStr">
        <is>
          <t>57.15-0-2.5-ERW 1-FC-1</t>
        </is>
      </c>
      <c r="AF1480" t="n">
        <v>3.367669625</v>
      </c>
    </row>
    <row r="1481">
      <c r="A1481" s="56" t="n">
        <v>3770405</v>
      </c>
      <c r="B1481" s="56" t="inlineStr">
        <is>
          <t>TUB-O-C-AUT-AD-FC-67.00X1.20X5.500-HDPE</t>
        </is>
      </c>
      <c r="C1481" s="56" t="inlineStr">
        <is>
          <t>4C03K39050</t>
        </is>
      </c>
      <c r="D1481" s="56" t="n"/>
      <c r="E1481" s="57" t="n">
        <v>614</v>
      </c>
      <c r="F1481" s="57" t="n">
        <v>0.614</v>
      </c>
      <c r="G1481" s="56" t="inlineStr">
        <is>
          <t>KG</t>
        </is>
      </c>
      <c r="H1481" s="56" t="inlineStr">
        <is>
          <t>R001</t>
        </is>
      </c>
      <c r="I1481" s="56" t="inlineStr">
        <is>
          <t>4731</t>
        </is>
      </c>
      <c r="J1481" s="56" t="n"/>
      <c r="K1481" s="56" t="n"/>
      <c r="L1481" s="56" t="n"/>
      <c r="M1481" s="56" t="n"/>
      <c r="N1481" s="56" t="inlineStr">
        <is>
          <t>FREE STOCK</t>
        </is>
      </c>
      <c r="O1481" s="56" t="n">
        <v>31</v>
      </c>
      <c r="P1481" s="59" t="inlineStr">
        <is>
          <t>31-60</t>
        </is>
      </c>
      <c r="Q1481" s="56" t="inlineStr">
        <is>
          <t>Free Stock</t>
        </is>
      </c>
      <c r="U1481" s="586" t="n">
        <v>111122472</v>
      </c>
      <c r="V1481" t="n">
        <v>57.15</v>
      </c>
      <c r="W1481" t="n">
        <v>0</v>
      </c>
      <c r="X1481" t="n">
        <v>2.5</v>
      </c>
      <c r="Y1481" t="n">
        <v>5.711</v>
      </c>
      <c r="Z1481" t="inlineStr">
        <is>
          <t>HROP</t>
        </is>
      </c>
      <c r="AA1481" t="inlineStr">
        <is>
          <t>FC</t>
        </is>
      </c>
      <c r="AB1481" t="inlineStr">
        <is>
          <t>AW</t>
        </is>
      </c>
      <c r="AC1481" t="inlineStr">
        <is>
          <t>57.15-0-2.5-ERW 1-FC</t>
        </is>
      </c>
      <c r="AD1481" t="inlineStr">
        <is>
          <t>LL</t>
        </is>
      </c>
      <c r="AE1481" t="inlineStr">
        <is>
          <t>57.15-0-2.5-ERW 1-FC-1</t>
        </is>
      </c>
      <c r="AF1481" t="n">
        <v>3.367669625</v>
      </c>
    </row>
    <row r="1482">
      <c r="A1482" s="56" t="n">
        <v>3770405</v>
      </c>
      <c r="B1482" s="56" t="inlineStr">
        <is>
          <t>TUB-O-C-AUT-AD-FC-67.00X1.20X5.500-HDPE</t>
        </is>
      </c>
      <c r="C1482" s="56" t="inlineStr">
        <is>
          <t>4B25K38424</t>
        </is>
      </c>
      <c r="D1482" s="56" t="n"/>
      <c r="E1482" s="57" t="n">
        <v>486.726</v>
      </c>
      <c r="F1482" s="57" t="n">
        <v>0.486726</v>
      </c>
      <c r="G1482" s="56" t="inlineStr">
        <is>
          <t>KG</t>
        </is>
      </c>
      <c r="H1482" s="56" t="inlineStr">
        <is>
          <t>R001</t>
        </is>
      </c>
      <c r="I1482" s="56" t="inlineStr">
        <is>
          <t>4731</t>
        </is>
      </c>
      <c r="J1482" s="56" t="n"/>
      <c r="K1482" s="56" t="n"/>
      <c r="L1482" s="56" t="n"/>
      <c r="M1482" s="56" t="n"/>
      <c r="N1482" s="56" t="inlineStr">
        <is>
          <t>FREE STOCK</t>
        </is>
      </c>
      <c r="O1482" s="56" t="n">
        <v>16</v>
      </c>
      <c r="P1482" s="59" t="inlineStr">
        <is>
          <t>0-30</t>
        </is>
      </c>
      <c r="Q1482" s="56" t="inlineStr">
        <is>
          <t>Free Stock</t>
        </is>
      </c>
      <c r="U1482" s="585" t="n">
        <v>3497967</v>
      </c>
      <c r="V1482" t="n">
        <v>57.15</v>
      </c>
      <c r="W1482" t="n">
        <v>0</v>
      </c>
      <c r="X1482" t="n">
        <v>2.5</v>
      </c>
      <c r="Y1482" t="n">
        <v>5.73</v>
      </c>
      <c r="Z1482" t="inlineStr">
        <is>
          <t>HROP</t>
        </is>
      </c>
      <c r="AA1482" t="inlineStr">
        <is>
          <t>FC</t>
        </is>
      </c>
      <c r="AB1482" t="inlineStr">
        <is>
          <t>AW</t>
        </is>
      </c>
      <c r="AC1482" t="inlineStr">
        <is>
          <t>57.15-0-2.5-ERW 1-FC</t>
        </is>
      </c>
      <c r="AD1482" t="inlineStr">
        <is>
          <t>LL</t>
        </is>
      </c>
      <c r="AE1482" t="inlineStr">
        <is>
          <t>57.15-0-2.5-ERW 1-FC-1</t>
        </is>
      </c>
      <c r="AF1482" t="n">
        <v>3.367669625</v>
      </c>
    </row>
    <row r="1483">
      <c r="A1483" s="56" t="n">
        <v>3775569</v>
      </c>
      <c r="B1483" s="56" t="inlineStr">
        <is>
          <t>TUB-I-C-AUT-AD-FC-12.50X3.250X6.2000</t>
        </is>
      </c>
      <c r="C1483" s="56" t="inlineStr">
        <is>
          <t>4A12K35176</t>
        </is>
      </c>
      <c r="D1483" s="56" t="n"/>
      <c r="E1483" s="57" t="n">
        <v>130.122</v>
      </c>
      <c r="F1483" s="57" t="n">
        <v>0.130122</v>
      </c>
      <c r="G1483" s="56" t="inlineStr">
        <is>
          <t>KG</t>
        </is>
      </c>
      <c r="H1483" s="56" t="inlineStr"/>
      <c r="I1483" s="56" t="inlineStr">
        <is>
          <t>4731</t>
        </is>
      </c>
      <c r="J1483" s="56" t="n"/>
      <c r="K1483" s="56" t="n"/>
      <c r="L1483" s="56" t="n"/>
      <c r="M1483" s="56" t="n"/>
      <c r="N1483" s="56" t="inlineStr">
        <is>
          <t>Rajsriya Automotive Ind Pvt Ltd.</t>
        </is>
      </c>
      <c r="O1483" s="56" t="n">
        <v>24</v>
      </c>
      <c r="P1483" s="59" t="inlineStr">
        <is>
          <t>0-30</t>
        </is>
      </c>
      <c r="Q1483" s="56" t="inlineStr">
        <is>
          <t>Apoorv</t>
        </is>
      </c>
      <c r="U1483" s="585" t="n">
        <v>3501047</v>
      </c>
      <c r="V1483" t="n">
        <v>57.15</v>
      </c>
      <c r="W1483" t="n">
        <v>0</v>
      </c>
      <c r="X1483" t="n">
        <v>2.5</v>
      </c>
      <c r="Y1483" t="n">
        <v>5.75</v>
      </c>
      <c r="Z1483" t="inlineStr"/>
      <c r="AA1483" t="inlineStr">
        <is>
          <t>FC</t>
        </is>
      </c>
      <c r="AB1483" t="inlineStr">
        <is>
          <t>AW</t>
        </is>
      </c>
      <c r="AC1483" t="inlineStr">
        <is>
          <t>57.15-0-2.5-ERW 1-FC</t>
        </is>
      </c>
      <c r="AD1483" t="inlineStr">
        <is>
          <t>LL</t>
        </is>
      </c>
      <c r="AE1483" t="inlineStr">
        <is>
          <t>57.15-0-2.5-ERW 1-FC-1</t>
        </is>
      </c>
      <c r="AF1483" t="n">
        <v>3.367669625</v>
      </c>
    </row>
    <row r="1484">
      <c r="A1484" s="56" t="n">
        <v>3775631</v>
      </c>
      <c r="B1484" s="56" t="inlineStr">
        <is>
          <t>TUB-I-C-AUT-AN-FC-34.00X2.500X6.1500</t>
        </is>
      </c>
      <c r="C1484" s="56" t="inlineStr">
        <is>
          <t>MG09A2410</t>
        </is>
      </c>
      <c r="D1484" s="56" t="n"/>
      <c r="E1484" s="57" t="n">
        <v>2004</v>
      </c>
      <c r="F1484" s="57" t="n">
        <v>2.004</v>
      </c>
      <c r="G1484" s="56" t="inlineStr">
        <is>
          <t>KG</t>
        </is>
      </c>
      <c r="H1484" s="56" t="inlineStr">
        <is>
          <t>TF01</t>
        </is>
      </c>
      <c r="I1484" s="56" t="inlineStr">
        <is>
          <t>4731</t>
        </is>
      </c>
      <c r="J1484" s="56" t="n"/>
      <c r="K1484" s="56" t="n"/>
      <c r="L1484" s="56" t="n"/>
      <c r="M1484" s="56" t="n"/>
      <c r="N1484" s="56" t="inlineStr">
        <is>
          <t>Kay Jay Forgings Pvt Ltd Unit Vi</t>
        </is>
      </c>
      <c r="O1484" s="56" t="n">
        <v>88</v>
      </c>
      <c r="P1484" s="59" t="inlineStr">
        <is>
          <t>61-90</t>
        </is>
      </c>
      <c r="Q1484" s="56" t="inlineStr">
        <is>
          <t>Jitendra Kumar Sharma</t>
        </is>
      </c>
      <c r="U1484" s="585" t="n">
        <v>2356405</v>
      </c>
      <c r="V1484" t="n">
        <v>57.15</v>
      </c>
      <c r="W1484" t="n">
        <v>0</v>
      </c>
      <c r="X1484" t="n">
        <v>2.5</v>
      </c>
      <c r="Y1484" t="n">
        <v>5.75</v>
      </c>
      <c r="Z1484" t="inlineStr">
        <is>
          <t>HROP</t>
        </is>
      </c>
      <c r="AA1484" t="inlineStr">
        <is>
          <t>PE</t>
        </is>
      </c>
      <c r="AB1484" t="inlineStr">
        <is>
          <t>AW</t>
        </is>
      </c>
      <c r="AC1484" t="inlineStr">
        <is>
          <t>57.15-0-2.5-ERW 1-PE</t>
        </is>
      </c>
      <c r="AD1484" t="inlineStr">
        <is>
          <t>LL</t>
        </is>
      </c>
      <c r="AE1484" t="inlineStr">
        <is>
          <t>57.15-0-2.5-ERW 1-PE-1</t>
        </is>
      </c>
      <c r="AF1484" t="n">
        <v>3.367669625</v>
      </c>
    </row>
    <row r="1485">
      <c r="A1485" s="56" t="n">
        <v>3775788</v>
      </c>
      <c r="B1485" s="56" t="inlineStr">
        <is>
          <t>TUB-O-C-SLT-DT-FC-36.00X4.000X5.2000</t>
        </is>
      </c>
      <c r="C1485" s="56" t="inlineStr">
        <is>
          <t>4A27A40050</t>
        </is>
      </c>
      <c r="D1485" s="56" t="n"/>
      <c r="E1485" s="57" t="n">
        <v>2232.44</v>
      </c>
      <c r="F1485" s="57" t="n">
        <v>2.23244</v>
      </c>
      <c r="G1485" s="56" t="inlineStr">
        <is>
          <t>KG</t>
        </is>
      </c>
      <c r="H1485" s="56" t="inlineStr">
        <is>
          <t>TF01</t>
        </is>
      </c>
      <c r="I1485" s="56" t="inlineStr">
        <is>
          <t>4318</t>
        </is>
      </c>
      <c r="J1485" s="56" t="n"/>
      <c r="K1485" s="56" t="n"/>
      <c r="L1485" s="56" t="n"/>
      <c r="M1485" s="56" t="n"/>
      <c r="N1485" s="56" t="inlineStr">
        <is>
          <t>FREE STOCK</t>
        </is>
      </c>
      <c r="O1485" s="56" t="n">
        <v>26</v>
      </c>
      <c r="P1485" s="59" t="inlineStr">
        <is>
          <t>0-30</t>
        </is>
      </c>
      <c r="Q1485" s="56" t="inlineStr">
        <is>
          <t>Free Stock</t>
        </is>
      </c>
      <c r="U1485" s="585" t="n">
        <v>3500626</v>
      </c>
      <c r="V1485" t="n">
        <v>57.15</v>
      </c>
      <c r="W1485" t="n">
        <v>0</v>
      </c>
      <c r="X1485" t="n">
        <v>2.5</v>
      </c>
      <c r="Y1485" t="n">
        <v>5.75</v>
      </c>
      <c r="Z1485" t="inlineStr"/>
      <c r="AA1485" t="inlineStr">
        <is>
          <t>PE</t>
        </is>
      </c>
      <c r="AB1485" t="inlineStr">
        <is>
          <t>AW</t>
        </is>
      </c>
      <c r="AC1485" t="inlineStr">
        <is>
          <t>57.15-0-2.5-ERW 1-PE</t>
        </is>
      </c>
      <c r="AD1485" t="inlineStr">
        <is>
          <t>LL</t>
        </is>
      </c>
      <c r="AE1485" t="inlineStr">
        <is>
          <t>57.15-0-2.5-ERW 1-PE-1</t>
        </is>
      </c>
      <c r="AF1485" t="n">
        <v>3.367669625</v>
      </c>
    </row>
    <row r="1486">
      <c r="A1486" s="56" t="n">
        <v>3775788</v>
      </c>
      <c r="B1486" s="56" t="inlineStr">
        <is>
          <t>TUB-O-C-SLT-DT-FC-36.00X4.000X5.2000</t>
        </is>
      </c>
      <c r="C1486" s="56" t="inlineStr">
        <is>
          <t>4A27A40030</t>
        </is>
      </c>
      <c r="D1486" s="56" t="n"/>
      <c r="E1486" s="57" t="n">
        <v>2281.685</v>
      </c>
      <c r="F1486" s="57" t="n">
        <v>2.281685</v>
      </c>
      <c r="G1486" s="56" t="inlineStr">
        <is>
          <t>KG</t>
        </is>
      </c>
      <c r="H1486" s="56" t="inlineStr">
        <is>
          <t>TF01</t>
        </is>
      </c>
      <c r="I1486" s="56" t="inlineStr">
        <is>
          <t>4318</t>
        </is>
      </c>
      <c r="J1486" s="56" t="n"/>
      <c r="K1486" s="56" t="n"/>
      <c r="L1486" s="56" t="n"/>
      <c r="M1486" s="56" t="n"/>
      <c r="N1486" s="56" t="inlineStr">
        <is>
          <t>FREE STOCK</t>
        </is>
      </c>
      <c r="O1486" s="56" t="n">
        <v>26</v>
      </c>
      <c r="P1486" s="59" t="inlineStr">
        <is>
          <t>0-30</t>
        </is>
      </c>
      <c r="Q1486" s="56" t="inlineStr">
        <is>
          <t>Free Stock</t>
        </is>
      </c>
      <c r="U1486" s="586" t="n">
        <v>111000782</v>
      </c>
      <c r="V1486" t="n">
        <v>57.15</v>
      </c>
      <c r="W1486" t="n">
        <v>0</v>
      </c>
      <c r="X1486" t="n">
        <v>2.5</v>
      </c>
      <c r="Y1486" t="n">
        <v>5.75</v>
      </c>
      <c r="Z1486" t="inlineStr">
        <is>
          <t>HROP</t>
        </is>
      </c>
      <c r="AA1486" t="inlineStr">
        <is>
          <t>PE</t>
        </is>
      </c>
      <c r="AB1486" t="inlineStr">
        <is>
          <t>AW</t>
        </is>
      </c>
      <c r="AC1486" t="inlineStr">
        <is>
          <t>57.15-0-2.5-ERW 1-FC</t>
        </is>
      </c>
      <c r="AD1486" t="inlineStr">
        <is>
          <t>LL</t>
        </is>
      </c>
      <c r="AE1486" t="inlineStr">
        <is>
          <t>57.15-0-2.5-ERW 1-FC-1</t>
        </is>
      </c>
      <c r="AF1486" t="n">
        <v>3.367669625</v>
      </c>
    </row>
    <row r="1487">
      <c r="A1487" s="56" t="n">
        <v>3775788</v>
      </c>
      <c r="B1487" s="56" t="inlineStr">
        <is>
          <t>TUB-O-C-SLT-DT-FC-36.00X4.000X5.2000</t>
        </is>
      </c>
      <c r="C1487" s="56" t="inlineStr">
        <is>
          <t>4A26C40070</t>
        </is>
      </c>
      <c r="D1487" s="56" t="n"/>
      <c r="E1487" s="57" t="n">
        <v>1214.71</v>
      </c>
      <c r="F1487" s="57" t="n">
        <v>1.21471</v>
      </c>
      <c r="G1487" s="56" t="inlineStr">
        <is>
          <t>KG</t>
        </is>
      </c>
      <c r="H1487" s="56" t="inlineStr">
        <is>
          <t>TF01</t>
        </is>
      </c>
      <c r="I1487" s="56" t="inlineStr">
        <is>
          <t>4318</t>
        </is>
      </c>
      <c r="J1487" s="56" t="n"/>
      <c r="K1487" s="56" t="n"/>
      <c r="L1487" s="56" t="n"/>
      <c r="M1487" s="56" t="n"/>
      <c r="N1487" s="56" t="inlineStr">
        <is>
          <t>FREE STOCK</t>
        </is>
      </c>
      <c r="O1487" s="56" t="n">
        <v>26</v>
      </c>
      <c r="P1487" s="59" t="inlineStr">
        <is>
          <t>0-30</t>
        </is>
      </c>
      <c r="Q1487" s="56" t="inlineStr">
        <is>
          <t>Free Stock</t>
        </is>
      </c>
      <c r="U1487" s="508" t="n">
        <v>1940915</v>
      </c>
      <c r="V1487" t="n">
        <v>57.15</v>
      </c>
      <c r="W1487" t="n">
        <v>0</v>
      </c>
      <c r="X1487" t="n">
        <v>2.5</v>
      </c>
      <c r="Y1487" t="n">
        <v>5.82</v>
      </c>
      <c r="Z1487" t="inlineStr">
        <is>
          <t>GR2 SPL</t>
        </is>
      </c>
      <c r="AA1487" t="inlineStr">
        <is>
          <t>FC</t>
        </is>
      </c>
      <c r="AB1487" t="inlineStr">
        <is>
          <t>AW</t>
        </is>
      </c>
      <c r="AC1487" t="inlineStr">
        <is>
          <t>57.15-0-2.5-ERW 1-FC</t>
        </is>
      </c>
      <c r="AD1487" t="inlineStr">
        <is>
          <t>LL</t>
        </is>
      </c>
      <c r="AE1487" t="inlineStr">
        <is>
          <t>57.15-0-2.5-ERW 1-FC-1</t>
        </is>
      </c>
      <c r="AF1487" t="n">
        <v>3.367669625</v>
      </c>
    </row>
    <row r="1488">
      <c r="A1488" s="56" t="n">
        <v>3775788</v>
      </c>
      <c r="B1488" s="56" t="inlineStr">
        <is>
          <t>TUB-O-C-SLT-DT-FC-36.00X4.000X5.2000</t>
        </is>
      </c>
      <c r="C1488" s="56" t="inlineStr">
        <is>
          <t>4A26C40060</t>
        </is>
      </c>
      <c r="D1488" s="56" t="n"/>
      <c r="E1488" s="57" t="n">
        <v>1920.555</v>
      </c>
      <c r="F1488" s="57" t="n">
        <v>1.920555</v>
      </c>
      <c r="G1488" s="56" t="inlineStr">
        <is>
          <t>KG</t>
        </is>
      </c>
      <c r="H1488" s="56" t="inlineStr">
        <is>
          <t>TF01</t>
        </is>
      </c>
      <c r="I1488" s="56" t="inlineStr">
        <is>
          <t>4318</t>
        </is>
      </c>
      <c r="J1488" s="56" t="n"/>
      <c r="K1488" s="56" t="n"/>
      <c r="L1488" s="56" t="n"/>
      <c r="M1488" s="56" t="n"/>
      <c r="N1488" s="56" t="inlineStr">
        <is>
          <t>FREE STOCK</t>
        </is>
      </c>
      <c r="O1488" s="56" t="n">
        <v>26</v>
      </c>
      <c r="P1488" s="59" t="inlineStr">
        <is>
          <t>0-30</t>
        </is>
      </c>
      <c r="Q1488" s="56" t="inlineStr">
        <is>
          <t>Free Stock</t>
        </is>
      </c>
      <c r="U1488" s="585" t="n">
        <v>3520581</v>
      </c>
      <c r="V1488" t="n">
        <v>57.15</v>
      </c>
      <c r="W1488" t="n">
        <v>0</v>
      </c>
      <c r="X1488" t="n">
        <v>2.5</v>
      </c>
      <c r="Y1488" t="n">
        <v>5.9</v>
      </c>
      <c r="Z1488" t="inlineStr">
        <is>
          <t>HROP</t>
        </is>
      </c>
      <c r="AA1488" t="inlineStr">
        <is>
          <t>FC</t>
        </is>
      </c>
      <c r="AB1488" t="inlineStr">
        <is>
          <t>HR</t>
        </is>
      </c>
      <c r="AC1488" t="inlineStr">
        <is>
          <t>57.15-0-2.5-ERW 1-FC</t>
        </is>
      </c>
      <c r="AD1488" t="inlineStr">
        <is>
          <t>LL</t>
        </is>
      </c>
      <c r="AE1488" t="inlineStr">
        <is>
          <t>57.15-0-2.5-ERW 1-FC-1</t>
        </is>
      </c>
      <c r="AF1488" t="n">
        <v>3.367669625</v>
      </c>
    </row>
    <row r="1489">
      <c r="A1489" s="56" t="n">
        <v>3777563</v>
      </c>
      <c r="B1489" s="56" t="inlineStr">
        <is>
          <t>TUB-O-N-AUT-AW-FC-54.00X3.00X5.790 HST</t>
        </is>
      </c>
      <c r="C1489" s="56" t="inlineStr">
        <is>
          <t>4910BK3010</t>
        </is>
      </c>
      <c r="D1489" s="56" t="n"/>
      <c r="E1489" s="57" t="n">
        <v>475.734</v>
      </c>
      <c r="F1489" s="57" t="n">
        <v>0.475734</v>
      </c>
      <c r="G1489" s="56" t="inlineStr">
        <is>
          <t>KG</t>
        </is>
      </c>
      <c r="H1489" s="56" t="inlineStr">
        <is>
          <t>TF01</t>
        </is>
      </c>
      <c r="I1489" s="56" t="inlineStr">
        <is>
          <t>4731</t>
        </is>
      </c>
      <c r="J1489" s="56" t="n"/>
      <c r="K1489" s="56" t="n"/>
      <c r="L1489" s="56" t="n"/>
      <c r="M1489" s="56" t="n"/>
      <c r="N1489" s="56" t="inlineStr">
        <is>
          <t>Neel Metal Products Limited</t>
        </is>
      </c>
      <c r="O1489" s="56" t="n">
        <v>76</v>
      </c>
      <c r="P1489" s="59" t="inlineStr">
        <is>
          <t>61-90</t>
        </is>
      </c>
      <c r="Q1489" s="56" t="inlineStr">
        <is>
          <t>Apoorv</t>
        </is>
      </c>
      <c r="U1489" t="n">
        <v>4045220</v>
      </c>
      <c r="V1489" t="n">
        <v>57.15</v>
      </c>
      <c r="W1489" t="n">
        <v>0</v>
      </c>
      <c r="X1489" t="n">
        <v>2.5</v>
      </c>
      <c r="Y1489" t="n">
        <v>5.95</v>
      </c>
      <c r="Z1489" t="inlineStr">
        <is>
          <t>WG</t>
        </is>
      </c>
      <c r="AA1489" t="inlineStr">
        <is>
          <t>FC</t>
        </is>
      </c>
      <c r="AB1489" t="inlineStr">
        <is>
          <t>AW</t>
        </is>
      </c>
      <c r="AC1489" t="inlineStr">
        <is>
          <t>57.15-0-2.5-ERW 1-FC</t>
        </is>
      </c>
      <c r="AD1489" t="inlineStr">
        <is>
          <t>LL</t>
        </is>
      </c>
      <c r="AE1489" t="inlineStr">
        <is>
          <t>57.15-0-2.5-ERW 1-FC-1</t>
        </is>
      </c>
      <c r="AF1489" t="n">
        <v>3.367669625</v>
      </c>
    </row>
    <row r="1490">
      <c r="A1490" s="56" t="n">
        <v>3777563</v>
      </c>
      <c r="B1490" s="56" t="inlineStr">
        <is>
          <t>TUB-O-N-AUT-AW-FC-54.00X3.00X5.790 HST</t>
        </is>
      </c>
      <c r="C1490" s="56" t="inlineStr">
        <is>
          <t>4A31CK3030</t>
        </is>
      </c>
      <c r="D1490" s="56" t="n"/>
      <c r="E1490" s="57" t="n">
        <v>197</v>
      </c>
      <c r="F1490" s="57" t="n">
        <v>0.197</v>
      </c>
      <c r="G1490" s="56" t="inlineStr">
        <is>
          <t>KG</t>
        </is>
      </c>
      <c r="H1490" s="56" t="inlineStr">
        <is>
          <t>R001</t>
        </is>
      </c>
      <c r="I1490" s="56" t="inlineStr">
        <is>
          <t>4731</t>
        </is>
      </c>
      <c r="J1490" s="56" t="n"/>
      <c r="K1490" s="56" t="n"/>
      <c r="L1490" s="56" t="n"/>
      <c r="M1490" s="56" t="n"/>
      <c r="N1490" s="56" t="inlineStr">
        <is>
          <t>Neel Metal Products Limited</t>
        </is>
      </c>
      <c r="O1490" s="56" t="n">
        <v>56</v>
      </c>
      <c r="P1490" s="59" t="inlineStr">
        <is>
          <t>31-60</t>
        </is>
      </c>
      <c r="Q1490" s="56" t="inlineStr">
        <is>
          <t>Apoorv</t>
        </is>
      </c>
      <c r="U1490" t="n">
        <v>4054700</v>
      </c>
      <c r="V1490" t="n">
        <v>57.15</v>
      </c>
      <c r="W1490" t="n">
        <v>0</v>
      </c>
      <c r="X1490" t="n">
        <v>2.5</v>
      </c>
      <c r="Y1490" t="n">
        <v>5.95</v>
      </c>
      <c r="Z1490" t="inlineStr">
        <is>
          <t>NORMAL</t>
        </is>
      </c>
      <c r="AA1490" t="inlineStr">
        <is>
          <t>FC</t>
        </is>
      </c>
      <c r="AB1490" t="inlineStr">
        <is>
          <t>AW</t>
        </is>
      </c>
      <c r="AC1490" t="inlineStr">
        <is>
          <t>57.15-0-2.5-ERW 1-FC</t>
        </is>
      </c>
      <c r="AD1490" t="inlineStr">
        <is>
          <t>LL</t>
        </is>
      </c>
      <c r="AE1490" t="inlineStr">
        <is>
          <t>57.15-0-2.5-ERW 1-FC-1</t>
        </is>
      </c>
      <c r="AF1490" t="n">
        <v>3.367669625</v>
      </c>
    </row>
    <row r="1491">
      <c r="A1491" s="56" t="n">
        <v>3777563</v>
      </c>
      <c r="B1491" s="56" t="inlineStr">
        <is>
          <t>TUB-O-N-AUT-AW-FC-54.00X3.00X5.790 HST</t>
        </is>
      </c>
      <c r="C1491" s="56" t="inlineStr">
        <is>
          <t>4A31CK3020</t>
        </is>
      </c>
      <c r="D1491" s="56" t="n"/>
      <c r="E1491" s="57" t="n">
        <v>1332</v>
      </c>
      <c r="F1491" s="57" t="n">
        <v>1.332</v>
      </c>
      <c r="G1491" s="56" t="inlineStr">
        <is>
          <t>KG</t>
        </is>
      </c>
      <c r="H1491" s="56" t="inlineStr">
        <is>
          <t>R001</t>
        </is>
      </c>
      <c r="I1491" s="56" t="inlineStr">
        <is>
          <t>4731</t>
        </is>
      </c>
      <c r="J1491" s="56" t="n"/>
      <c r="K1491" s="56" t="n"/>
      <c r="L1491" s="56" t="n"/>
      <c r="M1491" s="56" t="n"/>
      <c r="N1491" s="56" t="inlineStr">
        <is>
          <t>Neel Metal Products Limited</t>
        </is>
      </c>
      <c r="O1491" s="56" t="n">
        <v>56</v>
      </c>
      <c r="P1491" s="59" t="inlineStr">
        <is>
          <t>31-60</t>
        </is>
      </c>
      <c r="Q1491" s="56" t="inlineStr">
        <is>
          <t>Apoorv</t>
        </is>
      </c>
      <c r="U1491" s="585" t="n">
        <v>3515489</v>
      </c>
      <c r="V1491" t="n">
        <v>57.15</v>
      </c>
      <c r="W1491" t="n">
        <v>0</v>
      </c>
      <c r="X1491" t="n">
        <v>2.5</v>
      </c>
      <c r="Y1491" t="n">
        <v>6</v>
      </c>
      <c r="Z1491" t="inlineStr">
        <is>
          <t>HROP</t>
        </is>
      </c>
      <c r="AA1491" t="inlineStr">
        <is>
          <t>FC</t>
        </is>
      </c>
      <c r="AB1491" t="inlineStr">
        <is>
          <t>AP</t>
        </is>
      </c>
      <c r="AC1491" t="inlineStr">
        <is>
          <t>57.15-0-2.5-ERW 1-FC</t>
        </is>
      </c>
      <c r="AD1491" t="inlineStr">
        <is>
          <t>LL</t>
        </is>
      </c>
      <c r="AE1491" t="inlineStr">
        <is>
          <t>57.15-0-2.5-ERW 1-FC-1</t>
        </is>
      </c>
      <c r="AF1491" t="n">
        <v>3.367669625</v>
      </c>
    </row>
    <row r="1492">
      <c r="A1492" s="56" t="n">
        <v>3777563</v>
      </c>
      <c r="B1492" s="56" t="inlineStr">
        <is>
          <t>TUB-O-N-AUT-AW-FC-54.00X3.00X5.790 HST</t>
        </is>
      </c>
      <c r="C1492" s="56" t="inlineStr">
        <is>
          <t>4A31CK3010</t>
        </is>
      </c>
      <c r="D1492" s="56" t="n"/>
      <c r="E1492" s="57" t="n">
        <v>1791</v>
      </c>
      <c r="F1492" s="57" t="n">
        <v>1.791</v>
      </c>
      <c r="G1492" s="56" t="inlineStr">
        <is>
          <t>KG</t>
        </is>
      </c>
      <c r="H1492" s="56" t="inlineStr">
        <is>
          <t>R001</t>
        </is>
      </c>
      <c r="I1492" s="56" t="inlineStr">
        <is>
          <t>4731</t>
        </is>
      </c>
      <c r="J1492" s="56" t="n"/>
      <c r="K1492" s="56" t="n"/>
      <c r="L1492" s="56" t="n"/>
      <c r="M1492" s="56" t="n"/>
      <c r="N1492" s="56" t="inlineStr">
        <is>
          <t>Neel Metal Products Limited</t>
        </is>
      </c>
      <c r="O1492" s="56" t="n">
        <v>56</v>
      </c>
      <c r="P1492" s="59" t="inlineStr">
        <is>
          <t>31-60</t>
        </is>
      </c>
      <c r="Q1492" s="56" t="inlineStr">
        <is>
          <t>Apoorv</t>
        </is>
      </c>
      <c r="U1492" s="585" t="n">
        <v>3520439</v>
      </c>
      <c r="V1492" t="n">
        <v>57.15</v>
      </c>
      <c r="W1492" t="n">
        <v>0</v>
      </c>
      <c r="X1492" t="n">
        <v>2.5</v>
      </c>
      <c r="Y1492" t="n">
        <v>6.02</v>
      </c>
      <c r="Z1492" t="inlineStr">
        <is>
          <t>HROP</t>
        </is>
      </c>
      <c r="AA1492" t="inlineStr">
        <is>
          <t>FC</t>
        </is>
      </c>
      <c r="AB1492" t="inlineStr">
        <is>
          <t>HR</t>
        </is>
      </c>
      <c r="AC1492" t="inlineStr">
        <is>
          <t>57.15-0-2.5-ERW 1-FC</t>
        </is>
      </c>
      <c r="AD1492" t="inlineStr">
        <is>
          <t>LL</t>
        </is>
      </c>
      <c r="AE1492" t="inlineStr">
        <is>
          <t>57.15-0-2.5-ERW 1-FC-1</t>
        </is>
      </c>
      <c r="AF1492" t="n">
        <v>3.367669625</v>
      </c>
    </row>
    <row r="1493">
      <c r="A1493" s="56" t="n">
        <v>3777563</v>
      </c>
      <c r="B1493" s="56" t="inlineStr">
        <is>
          <t>TUB-O-N-AUT-AW-FC-54.00X3.00X5.790 HST</t>
        </is>
      </c>
      <c r="C1493" s="56" t="inlineStr">
        <is>
          <t>4A31BK3020</t>
        </is>
      </c>
      <c r="D1493" s="56" t="n"/>
      <c r="E1493" s="57" t="n">
        <v>1944</v>
      </c>
      <c r="F1493" s="57" t="n">
        <v>1.944</v>
      </c>
      <c r="G1493" s="56" t="inlineStr">
        <is>
          <t>KG</t>
        </is>
      </c>
      <c r="H1493" s="56" t="inlineStr">
        <is>
          <t>R001</t>
        </is>
      </c>
      <c r="I1493" s="56" t="inlineStr">
        <is>
          <t>4731</t>
        </is>
      </c>
      <c r="J1493" s="56" t="n"/>
      <c r="K1493" s="56" t="n"/>
      <c r="L1493" s="56" t="n"/>
      <c r="M1493" s="56" t="n"/>
      <c r="N1493" s="56" t="inlineStr">
        <is>
          <t>Neel Metal Products Limited</t>
        </is>
      </c>
      <c r="O1493" s="56" t="n">
        <v>56</v>
      </c>
      <c r="P1493" s="59" t="inlineStr">
        <is>
          <t>31-60</t>
        </is>
      </c>
      <c r="Q1493" s="56" t="inlineStr">
        <is>
          <t>Apoorv</t>
        </is>
      </c>
      <c r="U1493" s="586" t="n">
        <v>111002101</v>
      </c>
      <c r="V1493" t="n">
        <v>57.15</v>
      </c>
      <c r="W1493" t="n">
        <v>0</v>
      </c>
      <c r="X1493" t="n">
        <v>2.5</v>
      </c>
      <c r="Y1493" t="n">
        <v>6.02</v>
      </c>
      <c r="Z1493" t="inlineStr">
        <is>
          <t>GR1</t>
        </is>
      </c>
      <c r="AA1493" t="inlineStr">
        <is>
          <t>FC</t>
        </is>
      </c>
      <c r="AB1493" t="inlineStr">
        <is>
          <t>AW</t>
        </is>
      </c>
      <c r="AC1493" t="inlineStr">
        <is>
          <t>57.15-0-2.5-ERW 1-FC</t>
        </is>
      </c>
      <c r="AD1493" t="inlineStr">
        <is>
          <t>LL</t>
        </is>
      </c>
      <c r="AE1493" t="inlineStr">
        <is>
          <t>57.15-0-2.5-ERW 1-FC-1</t>
        </is>
      </c>
      <c r="AF1493" t="n">
        <v>3.367669625</v>
      </c>
    </row>
    <row r="1494">
      <c r="A1494" s="56" t="n">
        <v>3777563</v>
      </c>
      <c r="B1494" s="56" t="inlineStr">
        <is>
          <t>TUB-O-N-AUT-AW-FC-54.00X3.00X5.790 HST</t>
        </is>
      </c>
      <c r="C1494" s="56" t="inlineStr">
        <is>
          <t>4A31AK3130</t>
        </is>
      </c>
      <c r="D1494" s="56" t="n"/>
      <c r="E1494" s="57" t="n">
        <v>1791</v>
      </c>
      <c r="F1494" s="57" t="n">
        <v>1.791</v>
      </c>
      <c r="G1494" s="56" t="inlineStr">
        <is>
          <t>KG</t>
        </is>
      </c>
      <c r="H1494" s="56" t="inlineStr">
        <is>
          <t>R001</t>
        </is>
      </c>
      <c r="I1494" s="56" t="inlineStr">
        <is>
          <t>4731</t>
        </is>
      </c>
      <c r="J1494" s="56" t="n"/>
      <c r="K1494" s="56" t="n"/>
      <c r="L1494" s="56" t="n"/>
      <c r="M1494" s="56" t="n"/>
      <c r="N1494" s="56" t="inlineStr">
        <is>
          <t>Neel Metal Products Limited</t>
        </is>
      </c>
      <c r="O1494" s="56" t="n">
        <v>56</v>
      </c>
      <c r="P1494" s="59" t="inlineStr">
        <is>
          <t>31-60</t>
        </is>
      </c>
      <c r="Q1494" s="56" t="inlineStr">
        <is>
          <t>Apoorv</t>
        </is>
      </c>
      <c r="U1494" t="n">
        <v>3910001</v>
      </c>
      <c r="V1494" t="n">
        <v>57.15</v>
      </c>
      <c r="W1494" t="n">
        <v>0</v>
      </c>
      <c r="X1494" t="n">
        <v>2.5</v>
      </c>
      <c r="Y1494" t="n">
        <v>6.1</v>
      </c>
      <c r="Z1494" t="inlineStr"/>
      <c r="AA1494" t="inlineStr">
        <is>
          <t>FC</t>
        </is>
      </c>
      <c r="AB1494" t="inlineStr">
        <is>
          <t>AW</t>
        </is>
      </c>
      <c r="AC1494" t="inlineStr">
        <is>
          <t>57.15-0-2.5-ERW 1-FC</t>
        </is>
      </c>
      <c r="AD1494" t="inlineStr">
        <is>
          <t>LL</t>
        </is>
      </c>
      <c r="AE1494" t="inlineStr">
        <is>
          <t>57.15-0-2.5-ERW 1-FC-1</t>
        </is>
      </c>
      <c r="AF1494" t="n">
        <v>3.367669625</v>
      </c>
    </row>
    <row r="1495">
      <c r="A1495" s="56" t="n">
        <v>3777563</v>
      </c>
      <c r="B1495" s="56" t="inlineStr">
        <is>
          <t>TUB-O-N-AUT-AW-FC-54.00X3.00X5.790 HST</t>
        </is>
      </c>
      <c r="C1495" s="56" t="inlineStr">
        <is>
          <t>4A31AK3120</t>
        </is>
      </c>
      <c r="D1495" s="56" t="n"/>
      <c r="E1495" s="57" t="n">
        <v>1638</v>
      </c>
      <c r="F1495" s="57" t="n">
        <v>1.638</v>
      </c>
      <c r="G1495" s="56" t="inlineStr">
        <is>
          <t>KG</t>
        </is>
      </c>
      <c r="H1495" s="56" t="inlineStr">
        <is>
          <t>R001</t>
        </is>
      </c>
      <c r="I1495" s="56" t="inlineStr">
        <is>
          <t>4731</t>
        </is>
      </c>
      <c r="J1495" s="56" t="n"/>
      <c r="K1495" s="56" t="n"/>
      <c r="L1495" s="56" t="n"/>
      <c r="M1495" s="56" t="n"/>
      <c r="N1495" s="56" t="inlineStr">
        <is>
          <t>Neel Metal Products Limited</t>
        </is>
      </c>
      <c r="O1495" s="56" t="n">
        <v>56</v>
      </c>
      <c r="P1495" s="59" t="inlineStr">
        <is>
          <t>31-60</t>
        </is>
      </c>
      <c r="Q1495" s="56" t="inlineStr">
        <is>
          <t>Apoorv</t>
        </is>
      </c>
      <c r="U1495" s="586" t="n">
        <v>111106755</v>
      </c>
      <c r="V1495" t="n">
        <v>57.15</v>
      </c>
      <c r="W1495" t="n">
        <v>0</v>
      </c>
      <c r="X1495" t="n">
        <v>2.5</v>
      </c>
      <c r="Y1495" t="n">
        <v>6.1</v>
      </c>
      <c r="Z1495" t="inlineStr">
        <is>
          <t>HROP</t>
        </is>
      </c>
      <c r="AA1495" t="inlineStr">
        <is>
          <t>AG</t>
        </is>
      </c>
      <c r="AB1495" t="inlineStr">
        <is>
          <t>AW</t>
        </is>
      </c>
      <c r="AC1495" t="inlineStr">
        <is>
          <t>57.15-0-2.5-ERW 1-FC</t>
        </is>
      </c>
      <c r="AD1495" t="inlineStr">
        <is>
          <t>LL</t>
        </is>
      </c>
      <c r="AE1495" t="inlineStr">
        <is>
          <t>57.15-0-2.5-ERW 1-FC-1</t>
        </is>
      </c>
      <c r="AF1495" t="n">
        <v>3.367669625</v>
      </c>
    </row>
    <row r="1496">
      <c r="A1496" s="56" t="n">
        <v>3777563</v>
      </c>
      <c r="B1496" s="56" t="inlineStr">
        <is>
          <t>TUB-O-N-AUT-AW-FC-54.00X3.00X5.790 HST</t>
        </is>
      </c>
      <c r="C1496" s="56" t="inlineStr">
        <is>
          <t>4A31AK3110</t>
        </is>
      </c>
      <c r="D1496" s="56" t="n"/>
      <c r="E1496" s="57" t="n">
        <v>1747</v>
      </c>
      <c r="F1496" s="57" t="n">
        <v>1.747</v>
      </c>
      <c r="G1496" s="56" t="inlineStr">
        <is>
          <t>KG</t>
        </is>
      </c>
      <c r="H1496" s="56" t="inlineStr">
        <is>
          <t>R001</t>
        </is>
      </c>
      <c r="I1496" s="56" t="inlineStr">
        <is>
          <t>4731</t>
        </is>
      </c>
      <c r="J1496" s="56" t="n"/>
      <c r="K1496" s="56" t="n"/>
      <c r="L1496" s="56" t="n"/>
      <c r="M1496" s="56" t="n"/>
      <c r="N1496" s="56" t="inlineStr">
        <is>
          <t>Neel Metal Products Limited</t>
        </is>
      </c>
      <c r="O1496" s="56" t="n">
        <v>56</v>
      </c>
      <c r="P1496" s="59" t="inlineStr">
        <is>
          <t>31-60</t>
        </is>
      </c>
      <c r="Q1496" s="56" t="inlineStr">
        <is>
          <t>Apoorv</t>
        </is>
      </c>
      <c r="U1496" s="585" t="n">
        <v>3893101</v>
      </c>
      <c r="V1496" t="n">
        <v>57.15</v>
      </c>
      <c r="W1496" t="n">
        <v>0</v>
      </c>
      <c r="X1496" t="n">
        <v>2.5</v>
      </c>
      <c r="Y1496" t="n">
        <v>6.5</v>
      </c>
      <c r="Z1496" t="inlineStr">
        <is>
          <t>NORMAL</t>
        </is>
      </c>
      <c r="AA1496" t="inlineStr">
        <is>
          <t>FC</t>
        </is>
      </c>
      <c r="AB1496" t="inlineStr">
        <is>
          <t>AW</t>
        </is>
      </c>
      <c r="AC1496" t="inlineStr">
        <is>
          <t>57.15-0-2.5-ERW 1-FC</t>
        </is>
      </c>
      <c r="AD1496" t="inlineStr">
        <is>
          <t>LL</t>
        </is>
      </c>
      <c r="AE1496" t="inlineStr">
        <is>
          <t>57.15-0-2.5-ERW 1-FC-1</t>
        </is>
      </c>
      <c r="AF1496" t="n">
        <v>3.367669625</v>
      </c>
    </row>
    <row r="1497">
      <c r="A1497" s="56" t="n">
        <v>3777563</v>
      </c>
      <c r="B1497" s="56" t="inlineStr">
        <is>
          <t>TUB-O-N-AUT-AW-FC-54.00X3.00X5.790 HST</t>
        </is>
      </c>
      <c r="C1497" s="56" t="inlineStr">
        <is>
          <t>4A31AK3100</t>
        </is>
      </c>
      <c r="D1497" s="56" t="n"/>
      <c r="E1497" s="57" t="n">
        <v>1660</v>
      </c>
      <c r="F1497" s="57" t="n">
        <v>1.66</v>
      </c>
      <c r="G1497" s="56" t="inlineStr">
        <is>
          <t>KG</t>
        </is>
      </c>
      <c r="H1497" s="56" t="inlineStr">
        <is>
          <t>R001</t>
        </is>
      </c>
      <c r="I1497" s="56" t="inlineStr">
        <is>
          <t>4731</t>
        </is>
      </c>
      <c r="J1497" s="56" t="n"/>
      <c r="K1497" s="56" t="n"/>
      <c r="L1497" s="56" t="n"/>
      <c r="M1497" s="56" t="n"/>
      <c r="N1497" s="56" t="inlineStr">
        <is>
          <t>Neel Metal Products Limited</t>
        </is>
      </c>
      <c r="O1497" s="56" t="n">
        <v>56</v>
      </c>
      <c r="P1497" s="59" t="inlineStr">
        <is>
          <t>31-60</t>
        </is>
      </c>
      <c r="Q1497" s="56" t="inlineStr">
        <is>
          <t>Apoorv</t>
        </is>
      </c>
      <c r="U1497" s="585" t="n">
        <v>3136139</v>
      </c>
      <c r="V1497" t="n">
        <v>57.15</v>
      </c>
      <c r="W1497" t="n">
        <v>0</v>
      </c>
      <c r="X1497" t="n">
        <v>3</v>
      </c>
      <c r="Y1497" t="n">
        <v>0.46</v>
      </c>
      <c r="Z1497" t="inlineStr">
        <is>
          <t>HROP</t>
        </is>
      </c>
      <c r="AA1497" t="inlineStr">
        <is>
          <t>FC</t>
        </is>
      </c>
      <c r="AB1497" t="inlineStr">
        <is>
          <t>AW</t>
        </is>
      </c>
      <c r="AC1497" t="inlineStr">
        <is>
          <t>57.15--3-ERW 1-FIN CUT</t>
        </is>
      </c>
      <c r="AD1497" t="inlineStr">
        <is>
          <t>CTL</t>
        </is>
      </c>
      <c r="AE1497" t="inlineStr">
        <is>
          <t>57.15--3-ERW 1-FIN CUT-0.46</t>
        </is>
      </c>
      <c r="AF1497" t="n">
        <v>1.841945823</v>
      </c>
    </row>
    <row r="1498">
      <c r="A1498" s="56" t="n">
        <v>3777563</v>
      </c>
      <c r="B1498" s="56" t="inlineStr">
        <is>
          <t>TUB-O-N-AUT-AW-FC-54.00X3.00X5.790 HST</t>
        </is>
      </c>
      <c r="C1498" s="56" t="inlineStr">
        <is>
          <t>4A31AK3090</t>
        </is>
      </c>
      <c r="D1498" s="56" t="n"/>
      <c r="E1498" s="57" t="n">
        <v>1832</v>
      </c>
      <c r="F1498" s="57" t="n">
        <v>1.832</v>
      </c>
      <c r="G1498" s="56" t="inlineStr">
        <is>
          <t>KG</t>
        </is>
      </c>
      <c r="H1498" s="56" t="inlineStr">
        <is>
          <t>R001</t>
        </is>
      </c>
      <c r="I1498" s="56" t="inlineStr">
        <is>
          <t>4731</t>
        </is>
      </c>
      <c r="J1498" s="56" t="n"/>
      <c r="K1498" s="56" t="n"/>
      <c r="L1498" s="56" t="n"/>
      <c r="M1498" s="56" t="n"/>
      <c r="N1498" s="56" t="inlineStr">
        <is>
          <t>Neel Metal Products Limited</t>
        </is>
      </c>
      <c r="O1498" s="56" t="n">
        <v>56</v>
      </c>
      <c r="P1498" s="59" t="inlineStr">
        <is>
          <t>31-60</t>
        </is>
      </c>
      <c r="Q1498" s="56" t="inlineStr">
        <is>
          <t>Apoorv</t>
        </is>
      </c>
      <c r="U1498" s="585" t="n">
        <v>3597590</v>
      </c>
      <c r="V1498" t="n">
        <v>57.15</v>
      </c>
      <c r="W1498" t="n">
        <v>0</v>
      </c>
      <c r="X1498" t="n">
        <v>3</v>
      </c>
      <c r="Y1498" t="n">
        <v>5.12</v>
      </c>
      <c r="Z1498" t="inlineStr">
        <is>
          <t>WG</t>
        </is>
      </c>
      <c r="AA1498" t="inlineStr">
        <is>
          <t>FC</t>
        </is>
      </c>
      <c r="AB1498" t="inlineStr">
        <is>
          <t>AW</t>
        </is>
      </c>
      <c r="AC1498" t="inlineStr">
        <is>
          <t>57.15--3-ERW 1-FIN CUT</t>
        </is>
      </c>
      <c r="AD1498" t="inlineStr">
        <is>
          <t>LL</t>
        </is>
      </c>
      <c r="AE1498" t="inlineStr">
        <is>
          <t>57.15--3-ERW 1-FIN CUT-1</t>
        </is>
      </c>
      <c r="AF1498" t="n">
        <v>4.004230049999999</v>
      </c>
    </row>
    <row r="1499">
      <c r="A1499" s="56" t="n">
        <v>3777563</v>
      </c>
      <c r="B1499" s="56" t="inlineStr">
        <is>
          <t>TUB-O-N-AUT-AW-FC-54.00X3.00X5.790 HST</t>
        </is>
      </c>
      <c r="C1499" s="56" t="inlineStr">
        <is>
          <t>4A31AK3080</t>
        </is>
      </c>
      <c r="D1499" s="56" t="n"/>
      <c r="E1499" s="57" t="n">
        <v>1179</v>
      </c>
      <c r="F1499" s="57" t="n">
        <v>1.179</v>
      </c>
      <c r="G1499" s="56" t="inlineStr">
        <is>
          <t>KG</t>
        </is>
      </c>
      <c r="H1499" s="56" t="inlineStr">
        <is>
          <t>R001</t>
        </is>
      </c>
      <c r="I1499" s="56" t="inlineStr">
        <is>
          <t>4731</t>
        </is>
      </c>
      <c r="J1499" s="56" t="n"/>
      <c r="K1499" s="56" t="n"/>
      <c r="L1499" s="56" t="n"/>
      <c r="M1499" s="56" t="n"/>
      <c r="N1499" s="56" t="inlineStr">
        <is>
          <t>Neel Metal Products Limited</t>
        </is>
      </c>
      <c r="O1499" s="56" t="n">
        <v>56</v>
      </c>
      <c r="P1499" s="59" t="inlineStr">
        <is>
          <t>31-60</t>
        </is>
      </c>
      <c r="Q1499" s="56" t="inlineStr">
        <is>
          <t>Apoorv</t>
        </is>
      </c>
      <c r="U1499" s="585" t="n">
        <v>3702886</v>
      </c>
      <c r="V1499" t="n">
        <v>57.15</v>
      </c>
      <c r="W1499" t="n">
        <v>0</v>
      </c>
      <c r="X1499" t="n">
        <v>3</v>
      </c>
      <c r="Y1499" t="n">
        <v>5.12</v>
      </c>
      <c r="Z1499" t="inlineStr">
        <is>
          <t>WG</t>
        </is>
      </c>
      <c r="AA1499" t="inlineStr">
        <is>
          <t>FC</t>
        </is>
      </c>
      <c r="AB1499" t="inlineStr">
        <is>
          <t>AW</t>
        </is>
      </c>
      <c r="AC1499" t="inlineStr">
        <is>
          <t>57.15--3-ERW 1-FIN CUT</t>
        </is>
      </c>
      <c r="AD1499" t="inlineStr">
        <is>
          <t>LL</t>
        </is>
      </c>
      <c r="AE1499" t="inlineStr">
        <is>
          <t>57.15--3-ERW 1-FIN CUT-1</t>
        </is>
      </c>
      <c r="AF1499" t="n">
        <v>4.004230049999999</v>
      </c>
    </row>
    <row r="1500">
      <c r="A1500" s="56" t="n">
        <v>3777563</v>
      </c>
      <c r="B1500" s="56" t="inlineStr">
        <is>
          <t>TUB-O-N-AUT-AW-FC-54.00X3.00X5.790 HST</t>
        </is>
      </c>
      <c r="C1500" s="56" t="inlineStr">
        <is>
          <t>4A31AK3070</t>
        </is>
      </c>
      <c r="D1500" s="56" t="n"/>
      <c r="E1500" s="57" t="n">
        <v>1594</v>
      </c>
      <c r="F1500" s="57" t="n">
        <v>1.594</v>
      </c>
      <c r="G1500" s="56" t="inlineStr">
        <is>
          <t>KG</t>
        </is>
      </c>
      <c r="H1500" s="56" t="inlineStr">
        <is>
          <t>R001</t>
        </is>
      </c>
      <c r="I1500" s="56" t="inlineStr">
        <is>
          <t>4731</t>
        </is>
      </c>
      <c r="J1500" s="56" t="n"/>
      <c r="K1500" s="56" t="n"/>
      <c r="L1500" s="56" t="n"/>
      <c r="M1500" s="56" t="n"/>
      <c r="N1500" s="56" t="inlineStr">
        <is>
          <t>Neel Metal Products Limited</t>
        </is>
      </c>
      <c r="O1500" s="56" t="n">
        <v>56</v>
      </c>
      <c r="P1500" s="59" t="inlineStr">
        <is>
          <t>31-60</t>
        </is>
      </c>
      <c r="Q1500" s="56" t="inlineStr">
        <is>
          <t>Apoorv</t>
        </is>
      </c>
      <c r="U1500" s="585" t="n">
        <v>3501105</v>
      </c>
      <c r="V1500" t="n">
        <v>57.15</v>
      </c>
      <c r="W1500" t="n">
        <v>0</v>
      </c>
      <c r="X1500" t="n">
        <v>3</v>
      </c>
      <c r="Y1500" t="n">
        <v>5.65</v>
      </c>
      <c r="Z1500" t="inlineStr"/>
      <c r="AA1500" t="inlineStr">
        <is>
          <t>FC</t>
        </is>
      </c>
      <c r="AB1500" t="inlineStr">
        <is>
          <t>AW</t>
        </is>
      </c>
      <c r="AC1500" t="inlineStr">
        <is>
          <t>57.15--3-ERW 1-FIN CUT</t>
        </is>
      </c>
      <c r="AD1500" t="inlineStr">
        <is>
          <t>LL</t>
        </is>
      </c>
      <c r="AE1500" t="inlineStr">
        <is>
          <t>57.15--3-ERW 1-FIN CUT-1</t>
        </is>
      </c>
      <c r="AF1500" t="n">
        <v>4.004230049999999</v>
      </c>
    </row>
    <row r="1501">
      <c r="A1501" s="56" t="n">
        <v>3777563</v>
      </c>
      <c r="B1501" s="56" t="inlineStr">
        <is>
          <t>TUB-O-N-AUT-AW-FC-54.00X3.00X5.790 HST</t>
        </is>
      </c>
      <c r="C1501" s="56" t="inlineStr">
        <is>
          <t>4A31AK3060</t>
        </is>
      </c>
      <c r="D1501" s="56" t="n"/>
      <c r="E1501" s="57" t="n">
        <v>1791</v>
      </c>
      <c r="F1501" s="57" t="n">
        <v>1.791</v>
      </c>
      <c r="G1501" s="56" t="inlineStr">
        <is>
          <t>KG</t>
        </is>
      </c>
      <c r="H1501" s="56" t="inlineStr">
        <is>
          <t>R001</t>
        </is>
      </c>
      <c r="I1501" s="56" t="inlineStr">
        <is>
          <t>4731</t>
        </is>
      </c>
      <c r="J1501" s="56" t="n"/>
      <c r="K1501" s="56" t="n"/>
      <c r="L1501" s="56" t="n"/>
      <c r="M1501" s="56" t="n"/>
      <c r="N1501" s="56" t="inlineStr">
        <is>
          <t>Neel Metal Products Limited</t>
        </is>
      </c>
      <c r="O1501" s="56" t="n">
        <v>56</v>
      </c>
      <c r="P1501" s="59" t="inlineStr">
        <is>
          <t>31-60</t>
        </is>
      </c>
      <c r="Q1501" s="56" t="inlineStr">
        <is>
          <t>Apoorv</t>
        </is>
      </c>
      <c r="U1501" s="585" t="n">
        <v>2412743</v>
      </c>
      <c r="V1501" t="n">
        <v>57.15</v>
      </c>
      <c r="W1501" t="n">
        <v>0</v>
      </c>
      <c r="X1501" t="n">
        <v>3</v>
      </c>
      <c r="Y1501" t="n">
        <v>5.7</v>
      </c>
      <c r="Z1501" t="inlineStr">
        <is>
          <t>GR1</t>
        </is>
      </c>
      <c r="AA1501" t="inlineStr">
        <is>
          <t>FC</t>
        </is>
      </c>
      <c r="AB1501" t="inlineStr">
        <is>
          <t>AW</t>
        </is>
      </c>
      <c r="AC1501" t="inlineStr">
        <is>
          <t>57.15--3-ERW 1-FIN CUT</t>
        </is>
      </c>
      <c r="AD1501" t="inlineStr">
        <is>
          <t>LL</t>
        </is>
      </c>
      <c r="AE1501" t="inlineStr">
        <is>
          <t>57.15--3-ERW 1-FIN CUT-1</t>
        </is>
      </c>
      <c r="AF1501" t="n">
        <v>4.004230049999999</v>
      </c>
    </row>
    <row r="1502">
      <c r="A1502" s="56" t="n">
        <v>3777563</v>
      </c>
      <c r="B1502" s="56" t="inlineStr">
        <is>
          <t>TUB-O-N-AUT-AW-FC-54.00X3.00X5.790 HST</t>
        </is>
      </c>
      <c r="C1502" s="56" t="inlineStr">
        <is>
          <t>4A31AK3050</t>
        </is>
      </c>
      <c r="D1502" s="56" t="n"/>
      <c r="E1502" s="57" t="n">
        <v>1245</v>
      </c>
      <c r="F1502" s="57" t="n">
        <v>1.245</v>
      </c>
      <c r="G1502" s="56" t="inlineStr">
        <is>
          <t>KG</t>
        </is>
      </c>
      <c r="H1502" s="56" t="inlineStr">
        <is>
          <t>R001</t>
        </is>
      </c>
      <c r="I1502" s="56" t="inlineStr">
        <is>
          <t>4731</t>
        </is>
      </c>
      <c r="J1502" s="56" t="n"/>
      <c r="K1502" s="56" t="n"/>
      <c r="L1502" s="56" t="n"/>
      <c r="M1502" s="56" t="n"/>
      <c r="N1502" s="56" t="inlineStr">
        <is>
          <t>Neel Metal Products Limited</t>
        </is>
      </c>
      <c r="O1502" s="56" t="n">
        <v>56</v>
      </c>
      <c r="P1502" s="59" t="inlineStr">
        <is>
          <t>31-60</t>
        </is>
      </c>
      <c r="Q1502" s="56" t="inlineStr">
        <is>
          <t>Apoorv</t>
        </is>
      </c>
      <c r="U1502" s="585" t="n">
        <v>3502342</v>
      </c>
      <c r="V1502" t="n">
        <v>57.15</v>
      </c>
      <c r="W1502" t="n">
        <v>0</v>
      </c>
      <c r="X1502" t="n">
        <v>3</v>
      </c>
      <c r="Y1502" t="n">
        <v>5.714</v>
      </c>
      <c r="Z1502" t="inlineStr"/>
      <c r="AA1502" t="inlineStr">
        <is>
          <t>FC</t>
        </is>
      </c>
      <c r="AB1502" t="inlineStr">
        <is>
          <t>AW</t>
        </is>
      </c>
      <c r="AC1502" t="inlineStr">
        <is>
          <t>57.15--3-ERW 1-FIN CUT</t>
        </is>
      </c>
      <c r="AD1502" t="inlineStr">
        <is>
          <t>LL</t>
        </is>
      </c>
      <c r="AE1502" t="inlineStr">
        <is>
          <t>57.15--3-ERW 1-FIN CUT-1</t>
        </is>
      </c>
      <c r="AF1502" t="n">
        <v>4.004230049999999</v>
      </c>
    </row>
    <row r="1503">
      <c r="A1503" s="56" t="n">
        <v>3777563</v>
      </c>
      <c r="B1503" s="56" t="inlineStr">
        <is>
          <t>TUB-O-N-AUT-AW-FC-54.00X3.00X5.790 HST</t>
        </is>
      </c>
      <c r="C1503" s="56" t="inlineStr">
        <is>
          <t>4A31AK3040</t>
        </is>
      </c>
      <c r="D1503" s="56" t="n"/>
      <c r="E1503" s="57" t="n">
        <v>1985</v>
      </c>
      <c r="F1503" s="57" t="n">
        <v>1.985</v>
      </c>
      <c r="G1503" s="56" t="inlineStr">
        <is>
          <t>KG</t>
        </is>
      </c>
      <c r="H1503" s="56" t="inlineStr">
        <is>
          <t>R001</t>
        </is>
      </c>
      <c r="I1503" s="56" t="inlineStr">
        <is>
          <t>4731</t>
        </is>
      </c>
      <c r="J1503" s="56" t="n"/>
      <c r="K1503" s="56" t="n"/>
      <c r="L1503" s="56" t="n"/>
      <c r="M1503" s="56" t="n"/>
      <c r="N1503" s="56" t="inlineStr">
        <is>
          <t>Neel Metal Products Limited</t>
        </is>
      </c>
      <c r="O1503" s="56" t="n">
        <v>56</v>
      </c>
      <c r="P1503" s="59" t="inlineStr">
        <is>
          <t>31-60</t>
        </is>
      </c>
      <c r="Q1503" s="56" t="inlineStr">
        <is>
          <t>Apoorv</t>
        </is>
      </c>
      <c r="U1503" s="585" t="n">
        <v>3781647</v>
      </c>
      <c r="V1503" t="n">
        <v>59</v>
      </c>
      <c r="W1503" t="n">
        <v>30</v>
      </c>
      <c r="X1503" t="n">
        <v>1.6</v>
      </c>
      <c r="Y1503" t="n">
        <v>0.572</v>
      </c>
      <c r="Z1503" t="inlineStr">
        <is>
          <t>HROP</t>
        </is>
      </c>
      <c r="AA1503" t="inlineStr">
        <is>
          <t>FC</t>
        </is>
      </c>
      <c r="AB1503" t="inlineStr">
        <is>
          <t>AW</t>
        </is>
      </c>
      <c r="AC1503" t="inlineStr">
        <is>
          <t>59-30-1.6-ERW 1-FIN CUT</t>
        </is>
      </c>
      <c r="AD1503" t="inlineStr">
        <is>
          <t>CTL</t>
        </is>
      </c>
      <c r="AE1503" t="inlineStr">
        <is>
          <t>59-30-1.6-ERW 1-FIN CUT-0.572</t>
        </is>
      </c>
      <c r="AF1503" t="n">
        <v>1.242066634676413</v>
      </c>
    </row>
    <row r="1504">
      <c r="A1504" s="56" t="n">
        <v>3777563</v>
      </c>
      <c r="B1504" s="56" t="inlineStr">
        <is>
          <t>TUB-O-N-AUT-AW-FC-54.00X3.00X5.790 HST</t>
        </is>
      </c>
      <c r="C1504" s="56" t="inlineStr">
        <is>
          <t>4820BK3120</t>
        </is>
      </c>
      <c r="D1504" s="56" t="n"/>
      <c r="E1504" s="57" t="n">
        <v>1532.26</v>
      </c>
      <c r="F1504" s="57" t="n">
        <v>1.53226</v>
      </c>
      <c r="G1504" s="56" t="inlineStr">
        <is>
          <t>KG</t>
        </is>
      </c>
      <c r="H1504" s="56" t="inlineStr"/>
      <c r="I1504" s="56" t="inlineStr">
        <is>
          <t>4731</t>
        </is>
      </c>
      <c r="J1504" s="56" t="n"/>
      <c r="K1504" s="56" t="n"/>
      <c r="L1504" s="56" t="n"/>
      <c r="M1504" s="56" t="n"/>
      <c r="N1504" s="56" t="inlineStr">
        <is>
          <t>Neel Metal Products Limited</t>
        </is>
      </c>
      <c r="O1504" s="56" t="n">
        <v>83</v>
      </c>
      <c r="P1504" s="59" t="inlineStr">
        <is>
          <t>61-90</t>
        </is>
      </c>
      <c r="Q1504" s="56" t="inlineStr">
        <is>
          <t>Apoorv</t>
        </is>
      </c>
      <c r="U1504" s="585" t="n">
        <v>2420716</v>
      </c>
      <c r="V1504" t="n">
        <v>59</v>
      </c>
      <c r="W1504" t="n">
        <v>30</v>
      </c>
      <c r="X1504" t="n">
        <v>1.6</v>
      </c>
      <c r="Y1504" t="n">
        <v>0.5725</v>
      </c>
      <c r="Z1504" t="inlineStr">
        <is>
          <t>GR1</t>
        </is>
      </c>
      <c r="AA1504" t="inlineStr">
        <is>
          <t>FC</t>
        </is>
      </c>
      <c r="AB1504" t="inlineStr">
        <is>
          <t>AW</t>
        </is>
      </c>
      <c r="AC1504" t="inlineStr">
        <is>
          <t>59-30-1.6-ERW 1-FIN CUT</t>
        </is>
      </c>
      <c r="AD1504" t="inlineStr">
        <is>
          <t>CTL</t>
        </is>
      </c>
      <c r="AE1504" t="inlineStr">
        <is>
          <t>59-30-1.6-ERW 1-FIN CUT-0.5725</t>
        </is>
      </c>
      <c r="AF1504" t="n">
        <v>1.243152357259172</v>
      </c>
    </row>
    <row r="1505">
      <c r="A1505" s="56" t="n">
        <v>3780004</v>
      </c>
      <c r="B1505" s="56" t="inlineStr">
        <is>
          <t>TUB-R-AW-AUT-50.00X30.00X1.600X0.6070</t>
        </is>
      </c>
      <c r="C1505" s="56" t="inlineStr">
        <is>
          <t>4C26CK1040</t>
        </is>
      </c>
      <c r="D1505" s="56" t="n"/>
      <c r="E1505" s="57" t="n">
        <v>1366.973</v>
      </c>
      <c r="F1505" s="57" t="n">
        <v>1.366973</v>
      </c>
      <c r="G1505" s="56" t="inlineStr">
        <is>
          <t>KG</t>
        </is>
      </c>
      <c r="H1505" s="56" t="inlineStr">
        <is>
          <t>TF01</t>
        </is>
      </c>
      <c r="I1505" s="56" t="inlineStr">
        <is>
          <t>4731</t>
        </is>
      </c>
      <c r="J1505" s="56" t="n"/>
      <c r="K1505" s="56" t="n"/>
      <c r="L1505" s="56" t="n"/>
      <c r="M1505" s="56" t="n"/>
      <c r="N1505" s="60" t="inlineStr">
        <is>
          <t>SANDHAR ENGINEERING PVT LTD.(KA) -U</t>
        </is>
      </c>
      <c r="O1505" s="56" t="n">
        <v>0</v>
      </c>
      <c r="P1505" s="59" t="inlineStr">
        <is>
          <t>0-30</t>
        </is>
      </c>
      <c r="Q1505" s="56" t="inlineStr">
        <is>
          <t>Jitendra Kumar Sharma</t>
        </is>
      </c>
      <c r="U1505" s="585" t="n">
        <v>3164112</v>
      </c>
      <c r="V1505" t="n">
        <v>59</v>
      </c>
      <c r="W1505" t="n">
        <v>30</v>
      </c>
      <c r="X1505" t="n">
        <v>1.6</v>
      </c>
      <c r="Y1505" t="n">
        <v>0.641</v>
      </c>
      <c r="Z1505" t="inlineStr">
        <is>
          <t>HROP</t>
        </is>
      </c>
      <c r="AA1505" t="inlineStr">
        <is>
          <t>FC</t>
        </is>
      </c>
      <c r="AB1505" t="inlineStr">
        <is>
          <t>AW</t>
        </is>
      </c>
      <c r="AC1505" t="inlineStr">
        <is>
          <t>59-30-1.6-ERW 1-FIN CUT</t>
        </is>
      </c>
      <c r="AD1505" t="inlineStr">
        <is>
          <t>CTL</t>
        </is>
      </c>
      <c r="AE1505" t="inlineStr">
        <is>
          <t>59-30-1.6-ERW 1-FIN CUT-0.641</t>
        </is>
      </c>
      <c r="AF1505" t="n">
        <v>1.391896351097169</v>
      </c>
    </row>
    <row r="1506">
      <c r="A1506" s="56" t="n">
        <v>3780004</v>
      </c>
      <c r="B1506" s="56" t="inlineStr">
        <is>
          <t>TUB-R-AW-AUT-50.00X30.00X1.600X0.6070</t>
        </is>
      </c>
      <c r="C1506" s="56" t="inlineStr">
        <is>
          <t>4C26CK1030</t>
        </is>
      </c>
      <c r="D1506" s="56" t="n"/>
      <c r="E1506" s="57" t="n">
        <v>1451.219</v>
      </c>
      <c r="F1506" s="57" t="n">
        <v>1.451219</v>
      </c>
      <c r="G1506" s="56" t="inlineStr">
        <is>
          <t>KG</t>
        </is>
      </c>
      <c r="H1506" s="56" t="inlineStr">
        <is>
          <t>TF01</t>
        </is>
      </c>
      <c r="I1506" s="56" t="inlineStr">
        <is>
          <t>4731</t>
        </is>
      </c>
      <c r="J1506" s="56" t="n"/>
      <c r="K1506" s="56" t="n"/>
      <c r="L1506" s="56" t="n"/>
      <c r="M1506" s="56" t="n"/>
      <c r="N1506" s="60" t="inlineStr">
        <is>
          <t>SANDHAR ENGINEERING PVT LTD.(KA) -U</t>
        </is>
      </c>
      <c r="O1506" s="56" t="n">
        <v>0</v>
      </c>
      <c r="P1506" s="59" t="inlineStr">
        <is>
          <t>0-30</t>
        </is>
      </c>
      <c r="Q1506" s="56" t="inlineStr">
        <is>
          <t>Jitendra Kumar Sharma</t>
        </is>
      </c>
      <c r="U1506" s="585" t="n">
        <v>3781649</v>
      </c>
      <c r="V1506" t="n">
        <v>59</v>
      </c>
      <c r="W1506" t="n">
        <v>30</v>
      </c>
      <c r="X1506" t="n">
        <v>1.6</v>
      </c>
      <c r="Y1506" t="n">
        <v>0.641</v>
      </c>
      <c r="Z1506" t="inlineStr">
        <is>
          <t>HROP</t>
        </is>
      </c>
      <c r="AA1506" t="inlineStr">
        <is>
          <t>FC</t>
        </is>
      </c>
      <c r="AB1506" t="inlineStr">
        <is>
          <t>AW</t>
        </is>
      </c>
      <c r="AC1506" t="inlineStr">
        <is>
          <t>59-30-1.6-ERW 1-FIN CUT</t>
        </is>
      </c>
      <c r="AD1506" t="inlineStr">
        <is>
          <t>CTL</t>
        </is>
      </c>
      <c r="AE1506" t="inlineStr">
        <is>
          <t>59-30-1.6-ERW 1-FIN CUT-0.641</t>
        </is>
      </c>
      <c r="AF1506" t="n">
        <v>1.391896351097169</v>
      </c>
    </row>
    <row r="1507">
      <c r="A1507" s="56" t="n">
        <v>3780004</v>
      </c>
      <c r="B1507" s="56" t="inlineStr">
        <is>
          <t>TUB-R-AW-AUT-50.00X30.00X1.600X0.6070</t>
        </is>
      </c>
      <c r="C1507" s="56" t="inlineStr">
        <is>
          <t>4C26CK1020</t>
        </is>
      </c>
      <c r="D1507" s="56" t="n"/>
      <c r="E1507" s="57" t="n">
        <v>615.384</v>
      </c>
      <c r="F1507" s="57" t="n">
        <v>0.615384</v>
      </c>
      <c r="G1507" s="56" t="inlineStr">
        <is>
          <t>KG</t>
        </is>
      </c>
      <c r="H1507" s="56" t="inlineStr">
        <is>
          <t>TF01</t>
        </is>
      </c>
      <c r="I1507" s="56" t="inlineStr">
        <is>
          <t>4731</t>
        </is>
      </c>
      <c r="J1507" s="56" t="n"/>
      <c r="K1507" s="56" t="n"/>
      <c r="L1507" s="56" t="n"/>
      <c r="M1507" s="56" t="n"/>
      <c r="N1507" s="60" t="inlineStr">
        <is>
          <t>SANDHAR ENGINEERING PVT LTD.(KA) -U</t>
        </is>
      </c>
      <c r="O1507" s="56" t="n">
        <v>0</v>
      </c>
      <c r="P1507" s="59" t="inlineStr">
        <is>
          <t>0-30</t>
        </is>
      </c>
      <c r="Q1507" s="56" t="inlineStr">
        <is>
          <t>Jitendra Kumar Sharma</t>
        </is>
      </c>
      <c r="U1507" t="n">
        <v>2256692</v>
      </c>
      <c r="V1507" t="n">
        <v>59</v>
      </c>
      <c r="W1507" t="n">
        <v>30</v>
      </c>
      <c r="X1507" t="n">
        <v>1.6</v>
      </c>
      <c r="Y1507" t="n">
        <v>0.645</v>
      </c>
      <c r="Z1507" t="inlineStr">
        <is>
          <t>KGR2</t>
        </is>
      </c>
      <c r="AA1507" t="inlineStr">
        <is>
          <t>FC</t>
        </is>
      </c>
      <c r="AB1507" t="inlineStr">
        <is>
          <t>HR</t>
        </is>
      </c>
      <c r="AC1507" t="inlineStr">
        <is>
          <t>59-30-1.6-ERW 1-FIN CUT</t>
        </is>
      </c>
      <c r="AD1507" t="inlineStr">
        <is>
          <t>CTL</t>
        </is>
      </c>
      <c r="AE1507" t="inlineStr">
        <is>
          <t>59-30-1.6-ERW 1-FIN CUT-0.645</t>
        </is>
      </c>
      <c r="AF1507" t="n">
        <v>1.400582131759242</v>
      </c>
    </row>
    <row r="1508">
      <c r="A1508" s="56" t="n">
        <v>3780005</v>
      </c>
      <c r="B1508" s="56" t="inlineStr">
        <is>
          <t>TUB-R-AW-AUT-50.00X30.00X1.600X0.6380</t>
        </is>
      </c>
      <c r="C1508" s="56" t="inlineStr">
        <is>
          <t>4B24CK1030</t>
        </is>
      </c>
      <c r="D1508" s="56" t="n"/>
      <c r="E1508" s="57" t="n">
        <v>171.547</v>
      </c>
      <c r="F1508" s="57" t="n">
        <v>0.171547</v>
      </c>
      <c r="G1508" s="56" t="inlineStr">
        <is>
          <t>KG</t>
        </is>
      </c>
      <c r="H1508" s="56" t="inlineStr">
        <is>
          <t>TF01</t>
        </is>
      </c>
      <c r="I1508" s="56" t="inlineStr">
        <is>
          <t>4731</t>
        </is>
      </c>
      <c r="J1508" s="56" t="n"/>
      <c r="K1508" s="56" t="n"/>
      <c r="L1508" s="56" t="n"/>
      <c r="M1508" s="56" t="n"/>
      <c r="N1508" s="56" t="inlineStr">
        <is>
          <t>Sandhar EngineeringPvt.Ltd.(KA)-Uni</t>
        </is>
      </c>
      <c r="O1508" s="56" t="n">
        <v>5</v>
      </c>
      <c r="P1508" s="59" t="inlineStr">
        <is>
          <t>0-30</t>
        </is>
      </c>
      <c r="Q1508" s="56" t="inlineStr">
        <is>
          <t>Jitendra Kumar Sharma</t>
        </is>
      </c>
      <c r="U1508" s="585" t="n">
        <v>2424885</v>
      </c>
      <c r="V1508" t="n">
        <v>59</v>
      </c>
      <c r="W1508" t="n">
        <v>30</v>
      </c>
      <c r="X1508" t="n">
        <v>1.6</v>
      </c>
      <c r="Y1508" t="n">
        <v>5.81</v>
      </c>
      <c r="Z1508" t="inlineStr">
        <is>
          <t>HROP</t>
        </is>
      </c>
      <c r="AA1508" t="inlineStr">
        <is>
          <t>FC</t>
        </is>
      </c>
      <c r="AB1508" t="inlineStr">
        <is>
          <t>AW</t>
        </is>
      </c>
      <c r="AC1508" t="inlineStr">
        <is>
          <t>59-30-1.6-ERW 1-FIN CUT</t>
        </is>
      </c>
      <c r="AD1508" t="inlineStr">
        <is>
          <t>LL</t>
        </is>
      </c>
      <c r="AE1508" t="inlineStr">
        <is>
          <t>59-30-1.6-ERW 1-FIN CUT-1</t>
        </is>
      </c>
      <c r="AF1508" t="n">
        <v>2.171445165518204</v>
      </c>
    </row>
    <row r="1509">
      <c r="A1509" s="56" t="n">
        <v>3781637</v>
      </c>
      <c r="B1509" s="56" t="inlineStr">
        <is>
          <t>CUT-O-N-AUT-AW-PE-19.05X2.300X0.2950</t>
        </is>
      </c>
      <c r="C1509" s="56" t="inlineStr">
        <is>
          <t>4919B20040</t>
        </is>
      </c>
      <c r="D1509" s="56" t="n"/>
      <c r="E1509" s="57" t="n">
        <v>417.684</v>
      </c>
      <c r="F1509" s="57" t="n">
        <v>0.417684</v>
      </c>
      <c r="G1509" s="56" t="inlineStr">
        <is>
          <t>KG</t>
        </is>
      </c>
      <c r="H1509" s="56" t="inlineStr">
        <is>
          <t>TF01</t>
        </is>
      </c>
      <c r="I1509" s="56" t="inlineStr">
        <is>
          <t>4731</t>
        </is>
      </c>
      <c r="J1509" s="56" t="n"/>
      <c r="K1509" s="56" t="n"/>
      <c r="L1509" s="56" t="n"/>
      <c r="M1509" s="56" t="n"/>
      <c r="N1509" s="56" t="inlineStr">
        <is>
          <t>SRIKAM HITECH ENGINEERING PRIVATE L</t>
        </is>
      </c>
      <c r="O1509" s="56" t="n">
        <v>35</v>
      </c>
      <c r="P1509" s="59" t="inlineStr">
        <is>
          <t>31-60</t>
        </is>
      </c>
      <c r="Q1509" s="56" t="inlineStr">
        <is>
          <t>Apoorv</t>
        </is>
      </c>
      <c r="U1509" s="586" t="n">
        <v>110103048</v>
      </c>
      <c r="V1509" t="n">
        <v>59</v>
      </c>
      <c r="W1509" t="n">
        <v>30</v>
      </c>
      <c r="X1509" t="n">
        <v>1.6</v>
      </c>
      <c r="Y1509" t="n">
        <v>5.81</v>
      </c>
      <c r="Z1509" t="inlineStr">
        <is>
          <t>GR1</t>
        </is>
      </c>
      <c r="AA1509" t="inlineStr">
        <is>
          <t>FC</t>
        </is>
      </c>
      <c r="AB1509" t="inlineStr">
        <is>
          <t>AW</t>
        </is>
      </c>
      <c r="AC1509" t="inlineStr">
        <is>
          <t>59-30-1.6-ERW 1-FIN CUT</t>
        </is>
      </c>
      <c r="AD1509" t="inlineStr">
        <is>
          <t>LL</t>
        </is>
      </c>
      <c r="AE1509" t="inlineStr">
        <is>
          <t>59-30-1.6-ERW 1-FIN CUT-1</t>
        </is>
      </c>
      <c r="AF1509" t="n">
        <v>2.171445165518204</v>
      </c>
    </row>
    <row r="1510">
      <c r="A1510" s="56" t="n">
        <v>3781637</v>
      </c>
      <c r="B1510" s="56" t="inlineStr">
        <is>
          <t>CUT-O-N-AUT-AW-PE-19.05X2.300X0.2950</t>
        </is>
      </c>
      <c r="C1510" s="56" t="inlineStr">
        <is>
          <t>4919B20020</t>
        </is>
      </c>
      <c r="D1510" s="56" t="n"/>
      <c r="E1510" s="57" t="n">
        <v>51.241</v>
      </c>
      <c r="F1510" s="57" t="n">
        <v>0.051241</v>
      </c>
      <c r="G1510" s="56" t="inlineStr">
        <is>
          <t>KG</t>
        </is>
      </c>
      <c r="H1510" s="56" t="inlineStr">
        <is>
          <t>TF01</t>
        </is>
      </c>
      <c r="I1510" s="56" t="inlineStr">
        <is>
          <t>4731</t>
        </is>
      </c>
      <c r="J1510" s="56" t="n"/>
      <c r="K1510" s="56" t="n"/>
      <c r="L1510" s="56" t="n"/>
      <c r="M1510" s="56" t="n"/>
      <c r="N1510" s="56" t="inlineStr">
        <is>
          <t>SRIKAM HITECH ENGINEERING PRIVATE L</t>
        </is>
      </c>
      <c r="O1510" s="56" t="n">
        <v>35</v>
      </c>
      <c r="P1510" s="59" t="inlineStr">
        <is>
          <t>31-60</t>
        </is>
      </c>
      <c r="Q1510" s="56" t="inlineStr">
        <is>
          <t>Apoorv</t>
        </is>
      </c>
      <c r="U1510" s="585" t="n">
        <v>3444065</v>
      </c>
      <c r="V1510" t="n">
        <v>59</v>
      </c>
      <c r="W1510" t="n">
        <v>30</v>
      </c>
      <c r="X1510" t="n">
        <v>1.6</v>
      </c>
      <c r="Y1510" t="n">
        <v>5.89</v>
      </c>
      <c r="Z1510" t="inlineStr">
        <is>
          <t>HROP</t>
        </is>
      </c>
      <c r="AA1510" t="inlineStr">
        <is>
          <t>FC</t>
        </is>
      </c>
      <c r="AB1510" t="inlineStr">
        <is>
          <t>AW</t>
        </is>
      </c>
      <c r="AC1510" t="inlineStr">
        <is>
          <t>59-30-1.6-ERW 1-FIN CUT</t>
        </is>
      </c>
      <c r="AD1510" t="inlineStr">
        <is>
          <t>LL</t>
        </is>
      </c>
      <c r="AE1510" t="inlineStr">
        <is>
          <t>59-30-1.6-ERW 1-FIN CUT-1</t>
        </is>
      </c>
      <c r="AF1510" t="n">
        <v>2.171445165518204</v>
      </c>
    </row>
    <row r="1511">
      <c r="A1511" s="56" t="n">
        <v>3781637</v>
      </c>
      <c r="B1511" s="56" t="inlineStr">
        <is>
          <t>CUT-O-N-AUT-AW-PE-19.05X2.300X0.2950</t>
        </is>
      </c>
      <c r="C1511" s="56" t="inlineStr">
        <is>
          <t>4919A20080</t>
        </is>
      </c>
      <c r="D1511" s="56" t="n"/>
      <c r="E1511" s="57" t="n">
        <v>242.72</v>
      </c>
      <c r="F1511" s="57" t="n">
        <v>0.24272</v>
      </c>
      <c r="G1511" s="56" t="inlineStr">
        <is>
          <t>KG</t>
        </is>
      </c>
      <c r="H1511" s="56" t="inlineStr">
        <is>
          <t>TF01</t>
        </is>
      </c>
      <c r="I1511" s="56" t="inlineStr">
        <is>
          <t>4731</t>
        </is>
      </c>
      <c r="J1511" s="56" t="n"/>
      <c r="K1511" s="56" t="n"/>
      <c r="L1511" s="56" t="n"/>
      <c r="M1511" s="56" t="n"/>
      <c r="N1511" s="56" t="inlineStr">
        <is>
          <t>SRIKAM HITECH ENGINEERING PRIVATE L</t>
        </is>
      </c>
      <c r="O1511" s="56" t="n">
        <v>35</v>
      </c>
      <c r="P1511" s="59" t="inlineStr">
        <is>
          <t>31-60</t>
        </is>
      </c>
      <c r="Q1511" s="56" t="inlineStr">
        <is>
          <t>Apoorv</t>
        </is>
      </c>
      <c r="U1511" s="586" t="n">
        <v>111118812</v>
      </c>
      <c r="V1511" t="n">
        <v>59</v>
      </c>
      <c r="W1511" t="n">
        <v>30</v>
      </c>
      <c r="X1511" t="n">
        <v>1.6</v>
      </c>
      <c r="Y1511" t="n">
        <v>5.89</v>
      </c>
      <c r="Z1511" t="inlineStr">
        <is>
          <t>HROP</t>
        </is>
      </c>
      <c r="AA1511" t="inlineStr">
        <is>
          <t>FC</t>
        </is>
      </c>
      <c r="AB1511" t="inlineStr">
        <is>
          <t>AW</t>
        </is>
      </c>
      <c r="AC1511" t="inlineStr">
        <is>
          <t>59-30-1.6-ERW 1-FIN CUT</t>
        </is>
      </c>
      <c r="AD1511" t="inlineStr">
        <is>
          <t>LL</t>
        </is>
      </c>
      <c r="AE1511" t="inlineStr">
        <is>
          <t>59-30-1.6-ERW 1-FIN CUT-1</t>
        </is>
      </c>
      <c r="AF1511" t="n">
        <v>2.171445165518204</v>
      </c>
    </row>
    <row r="1512">
      <c r="A1512" s="56" t="n">
        <v>3781637</v>
      </c>
      <c r="B1512" s="56" t="inlineStr">
        <is>
          <t>CUT-O-N-AUT-AW-PE-19.05X2.300X0.2950</t>
        </is>
      </c>
      <c r="C1512" s="56" t="inlineStr">
        <is>
          <t>4919A20010</t>
        </is>
      </c>
      <c r="D1512" s="56" t="n"/>
      <c r="E1512" s="57" t="n">
        <v>123.518</v>
      </c>
      <c r="F1512" s="57" t="n">
        <v>0.123518</v>
      </c>
      <c r="G1512" s="56" t="inlineStr">
        <is>
          <t>KG</t>
        </is>
      </c>
      <c r="H1512" s="56" t="inlineStr">
        <is>
          <t>TF01</t>
        </is>
      </c>
      <c r="I1512" s="56" t="inlineStr">
        <is>
          <t>4731</t>
        </is>
      </c>
      <c r="J1512" s="56" t="n"/>
      <c r="K1512" s="56" t="n"/>
      <c r="L1512" s="56" t="n"/>
      <c r="M1512" s="56" t="n"/>
      <c r="N1512" s="56" t="inlineStr">
        <is>
          <t>SRIKAM HITECH ENGINEERING PRIVATE L</t>
        </is>
      </c>
      <c r="O1512" s="56" t="n">
        <v>35</v>
      </c>
      <c r="P1512" s="59" t="inlineStr">
        <is>
          <t>31-60</t>
        </is>
      </c>
      <c r="Q1512" s="56" t="inlineStr">
        <is>
          <t>Apoorv</t>
        </is>
      </c>
      <c r="U1512" s="585" t="n">
        <v>1940925</v>
      </c>
      <c r="V1512" t="n">
        <v>59</v>
      </c>
      <c r="W1512" t="n">
        <v>30</v>
      </c>
      <c r="X1512" t="n">
        <v>1.6</v>
      </c>
      <c r="Y1512" t="n">
        <v>6</v>
      </c>
      <c r="Z1512" t="inlineStr">
        <is>
          <t>GR1</t>
        </is>
      </c>
      <c r="AA1512" t="inlineStr">
        <is>
          <t>FC</t>
        </is>
      </c>
      <c r="AB1512" t="inlineStr">
        <is>
          <t>AW</t>
        </is>
      </c>
      <c r="AC1512" t="inlineStr">
        <is>
          <t>59-30-1.6-ERW 1-FIN CUT</t>
        </is>
      </c>
      <c r="AD1512" t="inlineStr">
        <is>
          <t>LL</t>
        </is>
      </c>
      <c r="AE1512" t="inlineStr">
        <is>
          <t>59-30-1.6-ERW 1-FIN CUT-1</t>
        </is>
      </c>
      <c r="AF1512" t="n">
        <v>2.171445165518204</v>
      </c>
    </row>
    <row r="1513">
      <c r="A1513" s="56" t="n">
        <v>3781637</v>
      </c>
      <c r="B1513" s="56" t="inlineStr">
        <is>
          <t>CUT-O-N-AUT-AW-PE-19.05X2.300X0.2950</t>
        </is>
      </c>
      <c r="C1513" s="56" t="inlineStr">
        <is>
          <t>4918C20030</t>
        </is>
      </c>
      <c r="D1513" s="56" t="n"/>
      <c r="E1513" s="57" t="n">
        <v>2801.374</v>
      </c>
      <c r="F1513" s="57" t="n">
        <v>2.801374</v>
      </c>
      <c r="G1513" s="56" t="inlineStr">
        <is>
          <t>KG</t>
        </is>
      </c>
      <c r="H1513" s="56" t="inlineStr">
        <is>
          <t>TF01</t>
        </is>
      </c>
      <c r="I1513" s="56" t="inlineStr">
        <is>
          <t>4731</t>
        </is>
      </c>
      <c r="J1513" s="56" t="n"/>
      <c r="K1513" s="56" t="n"/>
      <c r="L1513" s="56" t="n"/>
      <c r="M1513" s="56" t="n"/>
      <c r="N1513" s="56" t="inlineStr">
        <is>
          <t>SRIKAM HITECH ENGINEERING PRIVATE L</t>
        </is>
      </c>
      <c r="O1513" s="56" t="n">
        <v>35</v>
      </c>
      <c r="P1513" s="59" t="inlineStr">
        <is>
          <t>31-60</t>
        </is>
      </c>
      <c r="Q1513" s="56" t="inlineStr">
        <is>
          <t>Apoorv</t>
        </is>
      </c>
      <c r="U1513" s="585" t="n">
        <v>1931843</v>
      </c>
      <c r="V1513" t="n">
        <v>60</v>
      </c>
      <c r="W1513" t="n">
        <v>30</v>
      </c>
      <c r="X1513" t="n">
        <v>1.6</v>
      </c>
      <c r="Y1513" t="n">
        <v>6</v>
      </c>
      <c r="Z1513" t="inlineStr">
        <is>
          <t>D</t>
        </is>
      </c>
      <c r="AA1513" t="inlineStr">
        <is>
          <t>FC</t>
        </is>
      </c>
      <c r="AB1513" t="inlineStr">
        <is>
          <t>AW</t>
        </is>
      </c>
      <c r="AC1513" t="inlineStr">
        <is>
          <t>check usage for grade</t>
        </is>
      </c>
      <c r="AD1513" t="inlineStr">
        <is>
          <t>LL</t>
        </is>
      </c>
      <c r="AE1513" t="inlineStr">
        <is>
          <t>check usage for grade-1</t>
        </is>
      </c>
      <c r="AF1513" t="n">
        <v>2.196552430748746</v>
      </c>
    </row>
    <row r="1514">
      <c r="A1514" s="56" t="n">
        <v>3784469</v>
      </c>
      <c r="B1514" s="56" t="inlineStr">
        <is>
          <t>CUT-O-N-AUT-BH-FC-42.70X4.000X0.2080</t>
        </is>
      </c>
      <c r="C1514" s="56" t="inlineStr">
        <is>
          <t>4921AK3060</t>
        </is>
      </c>
      <c r="D1514" s="56" t="n"/>
      <c r="E1514" s="57" t="n">
        <v>2745</v>
      </c>
      <c r="F1514" s="57" t="n">
        <v>2.745</v>
      </c>
      <c r="G1514" s="56" t="inlineStr">
        <is>
          <t>KG</t>
        </is>
      </c>
      <c r="H1514" s="56" t="inlineStr">
        <is>
          <t>TF01</t>
        </is>
      </c>
      <c r="I1514" s="56" t="inlineStr">
        <is>
          <t>4731</t>
        </is>
      </c>
      <c r="J1514" s="56" t="n"/>
      <c r="K1514" s="56" t="n"/>
      <c r="L1514" s="56" t="n"/>
      <c r="M1514" s="56" t="n"/>
      <c r="N1514" s="56" t="inlineStr">
        <is>
          <t>Rajsriya Automotive Ind Pvt Ltd.</t>
        </is>
      </c>
      <c r="O1514" s="56" t="n">
        <v>10</v>
      </c>
      <c r="P1514" s="59" t="inlineStr">
        <is>
          <t>0-30</t>
        </is>
      </c>
      <c r="Q1514" s="56" t="inlineStr">
        <is>
          <t>Apoorv</t>
        </is>
      </c>
      <c r="U1514" s="585" t="n">
        <v>3702207</v>
      </c>
      <c r="V1514" t="n">
        <v>60</v>
      </c>
      <c r="W1514" t="n">
        <v>30</v>
      </c>
      <c r="X1514" t="n">
        <v>1.6</v>
      </c>
      <c r="Y1514" t="n">
        <v>6</v>
      </c>
      <c r="Z1514" t="inlineStr">
        <is>
          <t>KGR2</t>
        </is>
      </c>
      <c r="AA1514" t="inlineStr">
        <is>
          <t>FC</t>
        </is>
      </c>
      <c r="AB1514" t="inlineStr">
        <is>
          <t>AW</t>
        </is>
      </c>
      <c r="AC1514" t="inlineStr">
        <is>
          <t>check usage for grade</t>
        </is>
      </c>
      <c r="AD1514" t="inlineStr">
        <is>
          <t>LL</t>
        </is>
      </c>
      <c r="AE1514" t="inlineStr">
        <is>
          <t>check usage for grade-1</t>
        </is>
      </c>
      <c r="AF1514" t="n">
        <v>2.196552430748746</v>
      </c>
    </row>
    <row r="1515">
      <c r="A1515" s="56" t="n">
        <v>3788034</v>
      </c>
      <c r="B1515" s="56" t="inlineStr">
        <is>
          <t>CUT-O-N-AUT-AW-FC-38.10X2.500X0.8780</t>
        </is>
      </c>
      <c r="C1515" s="56" t="inlineStr">
        <is>
          <t>4B20A20170</t>
        </is>
      </c>
      <c r="D1515" s="56" t="n"/>
      <c r="E1515" s="57" t="n">
        <v>99.136</v>
      </c>
      <c r="F1515" s="57" t="n">
        <v>0.099136</v>
      </c>
      <c r="G1515" s="56" t="inlineStr">
        <is>
          <t>KG</t>
        </is>
      </c>
      <c r="H1515" s="56" t="inlineStr">
        <is>
          <t>TF01</t>
        </is>
      </c>
      <c r="I1515" s="56" t="inlineStr">
        <is>
          <t>4318</t>
        </is>
      </c>
      <c r="J1515" s="56" t="n"/>
      <c r="K1515" s="56" t="n"/>
      <c r="L1515" s="56" t="n"/>
      <c r="M1515" s="56" t="n"/>
      <c r="N1515" s="56" t="inlineStr">
        <is>
          <t>Metalman Auto Private Limited</t>
        </is>
      </c>
      <c r="O1515" s="56" t="n">
        <v>9</v>
      </c>
      <c r="P1515" s="59" t="inlineStr">
        <is>
          <t>0-30</t>
        </is>
      </c>
      <c r="Q1515" s="56" t="inlineStr">
        <is>
          <t>Jitendra Kumar Sharma</t>
        </is>
      </c>
      <c r="U1515" s="555" t="n">
        <v>4200975</v>
      </c>
      <c r="V1515" t="n">
        <v>60.3</v>
      </c>
      <c r="W1515" t="n">
        <v>0</v>
      </c>
      <c r="X1515" t="n">
        <v>2</v>
      </c>
      <c r="Y1515" t="n">
        <v>0.491</v>
      </c>
      <c r="Z1515" t="inlineStr">
        <is>
          <t>WG</t>
        </is>
      </c>
      <c r="AA1515" t="inlineStr">
        <is>
          <t>FC</t>
        </is>
      </c>
      <c r="AB1515" t="inlineStr">
        <is>
          <t>AW</t>
        </is>
      </c>
      <c r="AC1515" t="inlineStr">
        <is>
          <t>60.3-0-2-ERW 1-FC</t>
        </is>
      </c>
      <c r="AD1515" t="inlineStr">
        <is>
          <t>CTL</t>
        </is>
      </c>
      <c r="AE1515" t="inlineStr">
        <is>
          <t>60.3-0-2-ERW 1-FC-0.491</t>
        </is>
      </c>
      <c r="AF1515" t="n">
        <v>1.4111700394</v>
      </c>
    </row>
    <row r="1516">
      <c r="A1516" s="56" t="n">
        <v>3801265</v>
      </c>
      <c r="B1516" s="56" t="inlineStr">
        <is>
          <t>CUT-AW-AUT-40.00X25.00X1.600X0.5610</t>
        </is>
      </c>
      <c r="C1516" s="56" t="inlineStr">
        <is>
          <t>4B10CK1050</t>
        </is>
      </c>
      <c r="D1516" s="56" t="n"/>
      <c r="E1516" s="57" t="n">
        <v>1077.618</v>
      </c>
      <c r="F1516" s="57" t="n">
        <v>1.077618</v>
      </c>
      <c r="G1516" s="56" t="inlineStr">
        <is>
          <t>KG</t>
        </is>
      </c>
      <c r="H1516" s="56" t="inlineStr">
        <is>
          <t>TF01</t>
        </is>
      </c>
      <c r="I1516" s="56" t="inlineStr">
        <is>
          <t>4731</t>
        </is>
      </c>
      <c r="J1516" s="56" t="n"/>
      <c r="K1516" s="56" t="n"/>
      <c r="L1516" s="56" t="n"/>
      <c r="M1516" s="56" t="n"/>
      <c r="N1516" s="56" t="inlineStr">
        <is>
          <t>SANDHAR ENGINEERING PVT LTD.(KA) -U</t>
        </is>
      </c>
      <c r="O1516" s="56" t="n">
        <v>0</v>
      </c>
      <c r="P1516" s="59" t="inlineStr">
        <is>
          <t>0-30</t>
        </is>
      </c>
      <c r="Q1516" s="56" t="inlineStr">
        <is>
          <t>Jitendra Kumar Sharma</t>
        </is>
      </c>
      <c r="U1516" s="585" t="n">
        <v>3662752</v>
      </c>
      <c r="V1516" t="n">
        <v>60.3</v>
      </c>
      <c r="W1516" t="n">
        <v>0</v>
      </c>
      <c r="X1516" t="n">
        <v>2</v>
      </c>
      <c r="Y1516" t="n">
        <v>0.493</v>
      </c>
      <c r="Z1516" t="inlineStr">
        <is>
          <t>WG</t>
        </is>
      </c>
      <c r="AA1516" t="inlineStr">
        <is>
          <t>FC</t>
        </is>
      </c>
      <c r="AB1516" t="inlineStr">
        <is>
          <t>AW</t>
        </is>
      </c>
      <c r="AC1516" t="inlineStr">
        <is>
          <t>60.3-0-2-ERW 1-FC</t>
        </is>
      </c>
      <c r="AD1516" t="inlineStr">
        <is>
          <t>CTL</t>
        </is>
      </c>
      <c r="AE1516" t="inlineStr">
        <is>
          <t>60.3-0-2-ERW 1-FC-0.493</t>
        </is>
      </c>
      <c r="AF1516" t="n">
        <v>1.4169181862</v>
      </c>
    </row>
    <row r="1517">
      <c r="A1517" s="56" t="n">
        <v>3801265</v>
      </c>
      <c r="B1517" s="56" t="inlineStr">
        <is>
          <t>CUT-AW-AUT-40.00X25.00X1.600X0.5610</t>
        </is>
      </c>
      <c r="C1517" s="56" t="inlineStr">
        <is>
          <t>4B10CK1040</t>
        </is>
      </c>
      <c r="D1517" s="56" t="n"/>
      <c r="E1517" s="57" t="n">
        <v>1276.144</v>
      </c>
      <c r="F1517" s="57" t="n">
        <v>1.276144</v>
      </c>
      <c r="G1517" s="56" t="inlineStr">
        <is>
          <t>KG</t>
        </is>
      </c>
      <c r="H1517" s="56" t="inlineStr">
        <is>
          <t>TF01</t>
        </is>
      </c>
      <c r="I1517" s="56" t="inlineStr">
        <is>
          <t>4731</t>
        </is>
      </c>
      <c r="J1517" s="56" t="n"/>
      <c r="K1517" s="56" t="n"/>
      <c r="L1517" s="56" t="n"/>
      <c r="M1517" s="56" t="n"/>
      <c r="N1517" s="56" t="inlineStr">
        <is>
          <t>SANDHAR ENGINEERING PVT LTD.(KA) -U</t>
        </is>
      </c>
      <c r="O1517" s="56" t="n">
        <v>0</v>
      </c>
      <c r="P1517" s="59" t="inlineStr">
        <is>
          <t>0-30</t>
        </is>
      </c>
      <c r="Q1517" s="56" t="inlineStr">
        <is>
          <t>Jitendra Kumar Sharma</t>
        </is>
      </c>
      <c r="U1517" s="585" t="n">
        <v>3768903</v>
      </c>
      <c r="V1517" t="n">
        <v>60.3</v>
      </c>
      <c r="W1517" t="n">
        <v>0</v>
      </c>
      <c r="X1517" t="n">
        <v>2</v>
      </c>
      <c r="Y1517" t="n">
        <v>0.525</v>
      </c>
      <c r="Z1517" t="inlineStr">
        <is>
          <t>NORMAL</t>
        </is>
      </c>
      <c r="AA1517" t="inlineStr">
        <is>
          <t>FC</t>
        </is>
      </c>
      <c r="AB1517" t="inlineStr">
        <is>
          <t>AW</t>
        </is>
      </c>
      <c r="AC1517" t="inlineStr">
        <is>
          <t>60.3-0-2-ERW 1-FC</t>
        </is>
      </c>
      <c r="AD1517" t="inlineStr">
        <is>
          <t>CTL</t>
        </is>
      </c>
      <c r="AE1517" t="inlineStr">
        <is>
          <t>60.3-0-2-ERW 1-FC-0.525</t>
        </is>
      </c>
      <c r="AF1517" t="n">
        <v>1.508888535</v>
      </c>
    </row>
    <row r="1518">
      <c r="A1518" s="56" t="n">
        <v>3801265</v>
      </c>
      <c r="B1518" s="56" t="inlineStr">
        <is>
          <t>CUT-AW-AUT-40.00X25.00X1.600X0.5610</t>
        </is>
      </c>
      <c r="C1518" s="56" t="inlineStr">
        <is>
          <t>4B10BK1150</t>
        </is>
      </c>
      <c r="D1518" s="56" t="n"/>
      <c r="E1518" s="57" t="n">
        <v>178.345</v>
      </c>
      <c r="F1518" s="57" t="n">
        <v>0.178345</v>
      </c>
      <c r="G1518" s="56" t="inlineStr">
        <is>
          <t>KG</t>
        </is>
      </c>
      <c r="H1518" s="56" t="inlineStr">
        <is>
          <t>TF01</t>
        </is>
      </c>
      <c r="I1518" s="56" t="inlineStr">
        <is>
          <t>4731</t>
        </is>
      </c>
      <c r="J1518" s="56" t="n"/>
      <c r="K1518" s="56" t="n"/>
      <c r="L1518" s="56" t="n"/>
      <c r="M1518" s="56" t="n"/>
      <c r="N1518" s="56" t="inlineStr">
        <is>
          <t>SANDHAR ENGINEERING PVT LTD.(KA) -U</t>
        </is>
      </c>
      <c r="O1518" s="56" t="n">
        <v>5</v>
      </c>
      <c r="P1518" s="59" t="inlineStr">
        <is>
          <t>0-30</t>
        </is>
      </c>
      <c r="Q1518" s="56" t="inlineStr">
        <is>
          <t>Jitendra Kumar Sharma</t>
        </is>
      </c>
      <c r="U1518" t="n">
        <v>3905049</v>
      </c>
      <c r="V1518" t="n">
        <v>60.3</v>
      </c>
      <c r="W1518" t="n">
        <v>0</v>
      </c>
      <c r="X1518" t="n">
        <v>2</v>
      </c>
      <c r="Y1518" t="n">
        <v>5.9</v>
      </c>
      <c r="Z1518" t="inlineStr">
        <is>
          <t>NORMAL</t>
        </is>
      </c>
      <c r="AA1518" t="inlineStr">
        <is>
          <t>FC</t>
        </is>
      </c>
      <c r="AB1518" t="inlineStr">
        <is>
          <t>AW</t>
        </is>
      </c>
      <c r="AC1518" t="inlineStr">
        <is>
          <t>60.3-0-2-ERW 1-FC</t>
        </is>
      </c>
      <c r="AD1518" t="inlineStr">
        <is>
          <t>LL</t>
        </is>
      </c>
      <c r="AE1518" t="inlineStr">
        <is>
          <t>60.3-0-2-ERW 1-FC-1</t>
        </is>
      </c>
      <c r="AF1518" t="n">
        <v>2.8740734</v>
      </c>
    </row>
    <row r="1519">
      <c r="A1519" s="56" t="n">
        <v>3806599</v>
      </c>
      <c r="B1519" s="56" t="inlineStr">
        <is>
          <t>TUB-I-C-AUT-AN-FC-26.30X3.200X6.0000</t>
        </is>
      </c>
      <c r="C1519" s="56" t="inlineStr">
        <is>
          <t>4917BK3120</t>
        </is>
      </c>
      <c r="D1519" s="56" t="n"/>
      <c r="E1519" s="57" t="n">
        <v>1790</v>
      </c>
      <c r="F1519" s="57" t="n">
        <v>1.79</v>
      </c>
      <c r="G1519" s="56" t="inlineStr">
        <is>
          <t>KG</t>
        </is>
      </c>
      <c r="H1519" s="56" t="inlineStr">
        <is>
          <t>R001</t>
        </is>
      </c>
      <c r="I1519" s="56" t="inlineStr">
        <is>
          <t>4731</t>
        </is>
      </c>
      <c r="J1519" s="56" t="n"/>
      <c r="K1519" s="56" t="n"/>
      <c r="L1519" s="56" t="n"/>
      <c r="M1519" s="56" t="n"/>
      <c r="N1519" s="56" t="inlineStr">
        <is>
          <t>FREE STOCK</t>
        </is>
      </c>
      <c r="O1519" s="56" t="n">
        <v>96</v>
      </c>
      <c r="P1519" s="59" t="inlineStr">
        <is>
          <t>ABOVE 90</t>
        </is>
      </c>
      <c r="Q1519" s="56" t="inlineStr">
        <is>
          <t>Free Stock</t>
        </is>
      </c>
      <c r="U1519" s="585" t="n">
        <v>3702875</v>
      </c>
      <c r="V1519" t="n">
        <v>60.3</v>
      </c>
      <c r="W1519" t="n">
        <v>0</v>
      </c>
      <c r="X1519" t="n">
        <v>2</v>
      </c>
      <c r="Y1519" t="n">
        <v>6</v>
      </c>
      <c r="Z1519" t="inlineStr">
        <is>
          <t>WG</t>
        </is>
      </c>
      <c r="AA1519" t="inlineStr">
        <is>
          <t>FC</t>
        </is>
      </c>
      <c r="AB1519" t="inlineStr">
        <is>
          <t>AW</t>
        </is>
      </c>
      <c r="AC1519" t="inlineStr">
        <is>
          <t>60.3-0-2-ERW 1-FC</t>
        </is>
      </c>
      <c r="AD1519" t="inlineStr">
        <is>
          <t>LL</t>
        </is>
      </c>
      <c r="AE1519" t="inlineStr">
        <is>
          <t>60.3-0-2-ERW 1-FC-1</t>
        </is>
      </c>
      <c r="AF1519" t="n">
        <v>2.8740734</v>
      </c>
    </row>
    <row r="1520">
      <c r="A1520" s="56" t="n">
        <v>3870803</v>
      </c>
      <c r="B1520" s="56" t="inlineStr">
        <is>
          <t>TUB-R-AW-AUT-50.00X30.00X1.600X6.1000</t>
        </is>
      </c>
      <c r="C1520" s="56" t="inlineStr">
        <is>
          <t>4C27AK1060</t>
        </is>
      </c>
      <c r="D1520" s="56" t="n"/>
      <c r="E1520" s="57" t="n">
        <v>1440</v>
      </c>
      <c r="F1520" s="57" t="n">
        <v>1.44</v>
      </c>
      <c r="G1520" s="56" t="inlineStr">
        <is>
          <t>KG</t>
        </is>
      </c>
      <c r="H1520" s="56" t="inlineStr">
        <is>
          <t>TF01</t>
        </is>
      </c>
      <c r="I1520" s="56" t="inlineStr">
        <is>
          <t>4731</t>
        </is>
      </c>
      <c r="J1520" s="56" t="n"/>
      <c r="K1520" s="56" t="n"/>
      <c r="L1520" s="56" t="n"/>
      <c r="M1520" s="56" t="n"/>
      <c r="N1520" s="56" t="inlineStr">
        <is>
          <t>Neel Metal Products Limited</t>
        </is>
      </c>
      <c r="O1520" s="56" t="n">
        <v>2</v>
      </c>
      <c r="P1520" s="59" t="inlineStr">
        <is>
          <t>0-30</t>
        </is>
      </c>
      <c r="Q1520" s="56" t="inlineStr">
        <is>
          <t>Apoorv</t>
        </is>
      </c>
      <c r="U1520" s="585" t="n">
        <v>3594528</v>
      </c>
      <c r="V1520" t="n">
        <v>60.3</v>
      </c>
      <c r="W1520" t="n">
        <v>0</v>
      </c>
      <c r="X1520" t="n">
        <v>2</v>
      </c>
      <c r="Y1520" t="n">
        <v>6</v>
      </c>
      <c r="Z1520" t="inlineStr">
        <is>
          <t>WG</t>
        </is>
      </c>
      <c r="AA1520" t="inlineStr">
        <is>
          <t>FC</t>
        </is>
      </c>
      <c r="AB1520" t="inlineStr">
        <is>
          <t>AW</t>
        </is>
      </c>
      <c r="AC1520" t="inlineStr">
        <is>
          <t>60.3-0-2-ERW 1-FC</t>
        </is>
      </c>
      <c r="AD1520" t="inlineStr">
        <is>
          <t>LL</t>
        </is>
      </c>
      <c r="AE1520" t="inlineStr">
        <is>
          <t>60.3-0-2-ERW 1-FC-1</t>
        </is>
      </c>
      <c r="AF1520" t="n">
        <v>2.8740734</v>
      </c>
    </row>
    <row r="1521">
      <c r="A1521" s="56" t="n">
        <v>3870803</v>
      </c>
      <c r="B1521" s="56" t="inlineStr">
        <is>
          <t>TUB-R-AW-AUT-50.00X30.00X1.600X6.1000</t>
        </is>
      </c>
      <c r="C1521" s="56" t="inlineStr">
        <is>
          <t>4C26CK1120</t>
        </is>
      </c>
      <c r="D1521" s="56" t="n"/>
      <c r="E1521" s="57" t="n">
        <v>1432</v>
      </c>
      <c r="F1521" s="57" t="n">
        <v>1.432</v>
      </c>
      <c r="G1521" s="56" t="inlineStr">
        <is>
          <t>KG</t>
        </is>
      </c>
      <c r="H1521" s="56" t="inlineStr">
        <is>
          <t>TF01</t>
        </is>
      </c>
      <c r="I1521" s="56" t="inlineStr">
        <is>
          <t>4731</t>
        </is>
      </c>
      <c r="J1521" s="56" t="n"/>
      <c r="K1521" s="56" t="n"/>
      <c r="L1521" s="56" t="n"/>
      <c r="M1521" s="56" t="n"/>
      <c r="N1521" s="56" t="inlineStr">
        <is>
          <t>Neel Metal Products Limited</t>
        </is>
      </c>
      <c r="O1521" s="56" t="n">
        <v>2</v>
      </c>
      <c r="P1521" s="59" t="inlineStr">
        <is>
          <t>0-30</t>
        </is>
      </c>
      <c r="Q1521" s="56" t="inlineStr">
        <is>
          <t>Apoorv</t>
        </is>
      </c>
      <c r="U1521" s="585" t="n">
        <v>3746291</v>
      </c>
      <c r="V1521" t="n">
        <v>63.5</v>
      </c>
      <c r="W1521" t="n">
        <v>0</v>
      </c>
      <c r="X1521" t="n">
        <v>4</v>
      </c>
      <c r="Y1521" t="n">
        <v>0.234</v>
      </c>
      <c r="Z1521" t="inlineStr">
        <is>
          <t>GR1</t>
        </is>
      </c>
      <c r="AA1521" t="inlineStr">
        <is>
          <t>FC</t>
        </is>
      </c>
      <c r="AB1521" t="inlineStr">
        <is>
          <t>BH</t>
        </is>
      </c>
      <c r="AC1521" t="inlineStr">
        <is>
          <t>63.5-0-4-ERW 1-FC</t>
        </is>
      </c>
      <c r="AD1521" t="inlineStr">
        <is>
          <t>CTL</t>
        </is>
      </c>
      <c r="AE1521" t="inlineStr">
        <is>
          <t>63.5-0-4-ERW 1-FC-0.234</t>
        </is>
      </c>
      <c r="AF1521" t="n">
        <v>1.372752108</v>
      </c>
    </row>
    <row r="1522">
      <c r="A1522" s="56" t="n">
        <v>3870803</v>
      </c>
      <c r="B1522" s="56" t="inlineStr">
        <is>
          <t>TUB-R-AW-AUT-50.00X30.00X1.600X6.1000</t>
        </is>
      </c>
      <c r="C1522" s="56" t="inlineStr">
        <is>
          <t>4C26CK1110</t>
        </is>
      </c>
      <c r="D1522" s="56" t="n"/>
      <c r="E1522" s="57" t="n">
        <v>1597</v>
      </c>
      <c r="F1522" s="57" t="n">
        <v>1.597</v>
      </c>
      <c r="G1522" s="56" t="inlineStr">
        <is>
          <t>KG</t>
        </is>
      </c>
      <c r="H1522" s="56" t="inlineStr">
        <is>
          <t>TF01</t>
        </is>
      </c>
      <c r="I1522" s="56" t="inlineStr">
        <is>
          <t>4731</t>
        </is>
      </c>
      <c r="J1522" s="56" t="n"/>
      <c r="K1522" s="56" t="n"/>
      <c r="L1522" s="56" t="n"/>
      <c r="M1522" s="56" t="n"/>
      <c r="N1522" s="56" t="inlineStr">
        <is>
          <t>Neel Metal Products Limited</t>
        </is>
      </c>
      <c r="O1522" s="56" t="n">
        <v>2</v>
      </c>
      <c r="P1522" s="59" t="inlineStr">
        <is>
          <t>0-30</t>
        </is>
      </c>
      <c r="Q1522" s="56" t="inlineStr">
        <is>
          <t>Apoorv</t>
        </is>
      </c>
      <c r="U1522" s="585" t="n">
        <v>1470103</v>
      </c>
      <c r="V1522" t="n">
        <v>63.5</v>
      </c>
      <c r="W1522" t="n">
        <v>0</v>
      </c>
      <c r="X1522" t="n">
        <v>4</v>
      </c>
      <c r="Y1522" t="n">
        <v>0.236</v>
      </c>
      <c r="Z1522" t="inlineStr"/>
      <c r="AA1522" t="inlineStr">
        <is>
          <t>FC</t>
        </is>
      </c>
      <c r="AB1522" t="inlineStr">
        <is>
          <t>BH</t>
        </is>
      </c>
      <c r="AC1522" t="inlineStr">
        <is>
          <t>63.5-0-4-ERW 1-FC</t>
        </is>
      </c>
      <c r="AD1522" t="inlineStr">
        <is>
          <t>CTL</t>
        </is>
      </c>
      <c r="AE1522" t="inlineStr">
        <is>
          <t>63.5-0-4-ERW 1-FC-0.236</t>
        </is>
      </c>
      <c r="AF1522" t="n">
        <v>1.384485032</v>
      </c>
    </row>
    <row r="1523">
      <c r="A1523" s="56" t="n">
        <v>3870803</v>
      </c>
      <c r="B1523" s="56" t="inlineStr">
        <is>
          <t>TUB-R-AW-AUT-50.00X30.00X1.600X6.1000</t>
        </is>
      </c>
      <c r="C1523" s="56" t="inlineStr">
        <is>
          <t>4C26CK1100</t>
        </is>
      </c>
      <c r="D1523" s="56" t="n"/>
      <c r="E1523" s="57" t="n">
        <v>1421</v>
      </c>
      <c r="F1523" s="57" t="n">
        <v>1.421</v>
      </c>
      <c r="G1523" s="56" t="inlineStr">
        <is>
          <t>KG</t>
        </is>
      </c>
      <c r="H1523" s="56" t="inlineStr">
        <is>
          <t>TF01</t>
        </is>
      </c>
      <c r="I1523" s="56" t="inlineStr">
        <is>
          <t>4731</t>
        </is>
      </c>
      <c r="J1523" s="56" t="n"/>
      <c r="K1523" s="56" t="n"/>
      <c r="L1523" s="56" t="n"/>
      <c r="M1523" s="56" t="n"/>
      <c r="N1523" s="56" t="inlineStr">
        <is>
          <t>Neel Metal Products Limited</t>
        </is>
      </c>
      <c r="O1523" s="56" t="n">
        <v>2</v>
      </c>
      <c r="P1523" s="59" t="inlineStr">
        <is>
          <t>0-30</t>
        </is>
      </c>
      <c r="Q1523" s="56" t="inlineStr">
        <is>
          <t>Apoorv</t>
        </is>
      </c>
      <c r="U1523" s="585" t="n">
        <v>2429059</v>
      </c>
      <c r="V1523" t="n">
        <v>63.5</v>
      </c>
      <c r="W1523" t="n">
        <v>0</v>
      </c>
      <c r="X1523" t="n">
        <v>4</v>
      </c>
      <c r="Y1523" t="n">
        <v>0.236</v>
      </c>
      <c r="Z1523" t="inlineStr">
        <is>
          <t>WG</t>
        </is>
      </c>
      <c r="AA1523" t="inlineStr">
        <is>
          <t>FC</t>
        </is>
      </c>
      <c r="AB1523" t="inlineStr">
        <is>
          <t>AN</t>
        </is>
      </c>
      <c r="AC1523" t="inlineStr">
        <is>
          <t>63.5-0-4-ERW 1-FC</t>
        </is>
      </c>
      <c r="AD1523" t="inlineStr">
        <is>
          <t>CTL</t>
        </is>
      </c>
      <c r="AE1523" t="inlineStr">
        <is>
          <t>63.5-0-4-ERW 1-FC-0.236</t>
        </is>
      </c>
      <c r="AF1523" t="n">
        <v>1.384485032</v>
      </c>
    </row>
    <row r="1524">
      <c r="A1524" s="56" t="n">
        <v>3870803</v>
      </c>
      <c r="B1524" s="56" t="inlineStr">
        <is>
          <t>TUB-R-AW-AUT-50.00X30.00X1.600X6.1000</t>
        </is>
      </c>
      <c r="C1524" s="56" t="inlineStr">
        <is>
          <t>4C26CK1090</t>
        </is>
      </c>
      <c r="D1524" s="56" t="n"/>
      <c r="E1524" s="57" t="n">
        <v>1633</v>
      </c>
      <c r="F1524" s="57" t="n">
        <v>1.633</v>
      </c>
      <c r="G1524" s="56" t="inlineStr">
        <is>
          <t>KG</t>
        </is>
      </c>
      <c r="H1524" s="56" t="inlineStr">
        <is>
          <t>TF01</t>
        </is>
      </c>
      <c r="I1524" s="56" t="inlineStr">
        <is>
          <t>4731</t>
        </is>
      </c>
      <c r="J1524" s="56" t="n"/>
      <c r="K1524" s="56" t="n"/>
      <c r="L1524" s="56" t="n"/>
      <c r="M1524" s="56" t="n"/>
      <c r="N1524" s="56" t="inlineStr">
        <is>
          <t>Neel Metal Products Limited</t>
        </is>
      </c>
      <c r="O1524" s="56" t="n">
        <v>2</v>
      </c>
      <c r="P1524" s="59" t="inlineStr">
        <is>
          <t>0-30</t>
        </is>
      </c>
      <c r="Q1524" s="56" t="inlineStr">
        <is>
          <t>Apoorv</t>
        </is>
      </c>
      <c r="U1524" s="585" t="n">
        <v>3784473</v>
      </c>
      <c r="V1524" t="n">
        <v>63.5</v>
      </c>
      <c r="W1524" t="n">
        <v>0</v>
      </c>
      <c r="X1524" t="n">
        <v>4</v>
      </c>
      <c r="Y1524" t="n">
        <v>0.236</v>
      </c>
      <c r="Z1524" t="inlineStr">
        <is>
          <t>NORMAL</t>
        </is>
      </c>
      <c r="AA1524" t="inlineStr">
        <is>
          <t>FC</t>
        </is>
      </c>
      <c r="AB1524" t="inlineStr">
        <is>
          <t>BH</t>
        </is>
      </c>
      <c r="AC1524" t="inlineStr">
        <is>
          <t>63.5-0-4-ERW 1-FC</t>
        </is>
      </c>
      <c r="AD1524" t="inlineStr">
        <is>
          <t>CTL</t>
        </is>
      </c>
      <c r="AE1524" t="inlineStr">
        <is>
          <t>63.5-0-4-ERW 1-FC-0.236</t>
        </is>
      </c>
      <c r="AF1524" t="n">
        <v>1.384485032</v>
      </c>
    </row>
    <row r="1525">
      <c r="A1525" s="56" t="n">
        <v>3870803</v>
      </c>
      <c r="B1525" s="56" t="inlineStr">
        <is>
          <t>TUB-R-AW-AUT-50.00X30.00X1.600X6.1000</t>
        </is>
      </c>
      <c r="C1525" s="56" t="inlineStr">
        <is>
          <t>4C26CK1050</t>
        </is>
      </c>
      <c r="D1525" s="56" t="n"/>
      <c r="E1525" s="57" t="n">
        <v>1633</v>
      </c>
      <c r="F1525" s="57" t="n">
        <v>1.633</v>
      </c>
      <c r="G1525" s="56" t="inlineStr">
        <is>
          <t>KG</t>
        </is>
      </c>
      <c r="H1525" s="56" t="inlineStr">
        <is>
          <t>TF01</t>
        </is>
      </c>
      <c r="I1525" s="56" t="inlineStr">
        <is>
          <t>4731</t>
        </is>
      </c>
      <c r="J1525" s="56" t="n"/>
      <c r="K1525" s="56" t="n"/>
      <c r="L1525" s="56" t="n"/>
      <c r="M1525" s="56" t="n"/>
      <c r="N1525" s="56" t="inlineStr">
        <is>
          <t>Neel Metal Products Limited</t>
        </is>
      </c>
      <c r="O1525" s="56" t="n">
        <v>2</v>
      </c>
      <c r="P1525" s="59" t="inlineStr">
        <is>
          <t>0-30</t>
        </is>
      </c>
      <c r="Q1525" s="56" t="inlineStr">
        <is>
          <t>Apoorv</t>
        </is>
      </c>
      <c r="U1525" s="585" t="n">
        <v>4196298</v>
      </c>
      <c r="V1525" t="n">
        <v>63.5</v>
      </c>
      <c r="W1525" t="n">
        <v>0</v>
      </c>
      <c r="X1525" t="n">
        <v>4</v>
      </c>
      <c r="Y1525" t="n">
        <v>0.263</v>
      </c>
      <c r="Z1525" t="inlineStr">
        <is>
          <t>KGR2</t>
        </is>
      </c>
      <c r="AA1525" t="inlineStr">
        <is>
          <t>FC</t>
        </is>
      </c>
      <c r="AB1525" t="inlineStr">
        <is>
          <t>BH</t>
        </is>
      </c>
      <c r="AC1525" t="inlineStr">
        <is>
          <t>63.5-0-4-ERW 1-FC</t>
        </is>
      </c>
      <c r="AD1525" t="inlineStr">
        <is>
          <t>CTL</t>
        </is>
      </c>
      <c r="AE1525" t="inlineStr">
        <is>
          <t>63.5-0-4-ERW 1-FC-0.263</t>
        </is>
      </c>
      <c r="AF1525" t="n">
        <v>1.542879506</v>
      </c>
    </row>
    <row r="1526">
      <c r="A1526" s="56" t="n">
        <v>3870804</v>
      </c>
      <c r="B1526" s="56" t="inlineStr">
        <is>
          <t>TUB-R-AW-AUT-40.00X25.00X1.600X5.6400</t>
        </is>
      </c>
      <c r="C1526" s="56" t="inlineStr">
        <is>
          <t>4B10CK1060</t>
        </is>
      </c>
      <c r="D1526" s="56" t="n"/>
      <c r="E1526" s="57" t="n">
        <v>2485</v>
      </c>
      <c r="F1526" s="57" t="n">
        <v>2.485</v>
      </c>
      <c r="G1526" s="56" t="inlineStr">
        <is>
          <t>KG</t>
        </is>
      </c>
      <c r="H1526" s="56" t="inlineStr">
        <is>
          <t>TF01</t>
        </is>
      </c>
      <c r="I1526" s="56" t="inlineStr">
        <is>
          <t>4731</t>
        </is>
      </c>
      <c r="J1526" s="56" t="n"/>
      <c r="K1526" s="56" t="n"/>
      <c r="L1526" s="56" t="n"/>
      <c r="M1526" s="56" t="n"/>
      <c r="N1526" s="56" t="inlineStr">
        <is>
          <t>Elkayem Auto Ancillaries ( P ) LTD</t>
        </is>
      </c>
      <c r="O1526" s="56" t="n">
        <v>48</v>
      </c>
      <c r="P1526" s="59" t="inlineStr">
        <is>
          <t>31-60</t>
        </is>
      </c>
      <c r="Q1526" s="56" t="inlineStr">
        <is>
          <t>Diwakar</t>
        </is>
      </c>
      <c r="U1526" s="585" t="n">
        <v>3775122</v>
      </c>
      <c r="V1526" t="n">
        <v>63.5</v>
      </c>
      <c r="W1526" t="n">
        <v>0</v>
      </c>
      <c r="X1526" t="n">
        <v>4</v>
      </c>
      <c r="Y1526" t="n">
        <v>0.265</v>
      </c>
      <c r="Z1526" t="inlineStr">
        <is>
          <t>KGR2</t>
        </is>
      </c>
      <c r="AA1526" t="inlineStr">
        <is>
          <t>FC</t>
        </is>
      </c>
      <c r="AB1526" t="inlineStr">
        <is>
          <t>BH</t>
        </is>
      </c>
      <c r="AC1526" t="inlineStr">
        <is>
          <t>63.5-0-4-ERW 1-FC</t>
        </is>
      </c>
      <c r="AD1526" t="inlineStr">
        <is>
          <t>CTL</t>
        </is>
      </c>
      <c r="AE1526" t="inlineStr">
        <is>
          <t>63.5-0-4-ERW 1-FC-0.265</t>
        </is>
      </c>
      <c r="AF1526" t="n">
        <v>1.55461243</v>
      </c>
    </row>
    <row r="1527">
      <c r="A1527" s="56" t="n">
        <v>3870804</v>
      </c>
      <c r="B1527" s="56" t="inlineStr">
        <is>
          <t>TUB-R-AW-AUT-40.00X25.00X1.600X5.6400</t>
        </is>
      </c>
      <c r="C1527" s="56" t="inlineStr">
        <is>
          <t>4B10CK1030</t>
        </is>
      </c>
      <c r="D1527" s="56" t="n"/>
      <c r="E1527" s="57" t="n">
        <v>1196</v>
      </c>
      <c r="F1527" s="57" t="n">
        <v>1.196</v>
      </c>
      <c r="G1527" s="56" t="inlineStr">
        <is>
          <t>KG</t>
        </is>
      </c>
      <c r="H1527" s="56" t="inlineStr">
        <is>
          <t>TF01</t>
        </is>
      </c>
      <c r="I1527" s="56" t="inlineStr">
        <is>
          <t>4731</t>
        </is>
      </c>
      <c r="J1527" s="56" t="n"/>
      <c r="K1527" s="56" t="n"/>
      <c r="L1527" s="56" t="n"/>
      <c r="M1527" s="56" t="n"/>
      <c r="N1527" s="56" t="inlineStr">
        <is>
          <t>Elkayem Auto Ancillaries ( P ) LTD</t>
        </is>
      </c>
      <c r="O1527" s="56" t="n">
        <v>48</v>
      </c>
      <c r="P1527" s="59" t="inlineStr">
        <is>
          <t>31-60</t>
        </is>
      </c>
      <c r="Q1527" s="56" t="inlineStr">
        <is>
          <t>Diwakar</t>
        </is>
      </c>
      <c r="U1527" t="n">
        <v>2429289</v>
      </c>
      <c r="V1527" t="n">
        <v>63.5</v>
      </c>
      <c r="W1527" t="n">
        <v>0</v>
      </c>
      <c r="X1527" t="n">
        <v>4</v>
      </c>
      <c r="Y1527" t="n">
        <v>5.06</v>
      </c>
      <c r="Z1527" t="inlineStr">
        <is>
          <t>WG</t>
        </is>
      </c>
      <c r="AA1527" t="inlineStr">
        <is>
          <t>FC</t>
        </is>
      </c>
      <c r="AB1527" t="inlineStr">
        <is>
          <t>AN</t>
        </is>
      </c>
      <c r="AC1527" t="inlineStr">
        <is>
          <t>63.5-0-4-ERW 1-FC</t>
        </is>
      </c>
      <c r="AD1527" t="inlineStr">
        <is>
          <t>LL</t>
        </is>
      </c>
      <c r="AE1527" t="inlineStr">
        <is>
          <t>63.5-0-4-ERW 1-FC-1</t>
        </is>
      </c>
      <c r="AF1527" t="n">
        <v>5.866462</v>
      </c>
    </row>
    <row r="1528">
      <c r="A1528" s="56" t="n">
        <v>3870804</v>
      </c>
      <c r="B1528" s="56" t="inlineStr">
        <is>
          <t>TUB-R-AW-AUT-40.00X25.00X1.600X5.6400</t>
        </is>
      </c>
      <c r="C1528" s="56" t="inlineStr">
        <is>
          <t>4B10CK1020</t>
        </is>
      </c>
      <c r="D1528" s="56" t="n"/>
      <c r="E1528" s="57" t="n">
        <v>1318</v>
      </c>
      <c r="F1528" s="57" t="n">
        <v>1.318</v>
      </c>
      <c r="G1528" s="56" t="inlineStr">
        <is>
          <t>KG</t>
        </is>
      </c>
      <c r="H1528" s="56" t="inlineStr">
        <is>
          <t>TF01</t>
        </is>
      </c>
      <c r="I1528" s="56" t="inlineStr">
        <is>
          <t>4731</t>
        </is>
      </c>
      <c r="J1528" s="56" t="n"/>
      <c r="K1528" s="56" t="n"/>
      <c r="L1528" s="56" t="n"/>
      <c r="M1528" s="56" t="n"/>
      <c r="N1528" s="56" t="inlineStr">
        <is>
          <t>Elkayem Auto Ancillaries ( P ) LTD</t>
        </is>
      </c>
      <c r="O1528" s="56" t="n">
        <v>48</v>
      </c>
      <c r="P1528" s="59" t="inlineStr">
        <is>
          <t>31-60</t>
        </is>
      </c>
      <c r="Q1528" s="56" t="inlineStr">
        <is>
          <t>Diwakar</t>
        </is>
      </c>
      <c r="U1528" s="585" t="n">
        <v>3500816</v>
      </c>
      <c r="V1528" t="n">
        <v>63.5</v>
      </c>
      <c r="W1528" t="n">
        <v>0</v>
      </c>
      <c r="X1528" t="n">
        <v>4</v>
      </c>
      <c r="Y1528" t="n">
        <v>6</v>
      </c>
      <c r="Z1528" t="inlineStr">
        <is>
          <t>KGR2</t>
        </is>
      </c>
      <c r="AA1528" t="inlineStr">
        <is>
          <t>FC</t>
        </is>
      </c>
      <c r="AB1528" t="inlineStr">
        <is>
          <t>BH</t>
        </is>
      </c>
      <c r="AC1528" t="inlineStr">
        <is>
          <t>63.5-0-4-ERW 1-FC</t>
        </is>
      </c>
      <c r="AD1528" t="inlineStr">
        <is>
          <t>LL</t>
        </is>
      </c>
      <c r="AE1528" t="inlineStr">
        <is>
          <t>63.5-0-4-ERW 1-FC-1</t>
        </is>
      </c>
      <c r="AF1528" t="n">
        <v>5.866462</v>
      </c>
    </row>
    <row r="1529">
      <c r="A1529" s="56" t="n">
        <v>3870804</v>
      </c>
      <c r="B1529" s="56" t="inlineStr">
        <is>
          <t>TUB-R-AW-AUT-40.00X25.00X1.600X5.6400</t>
        </is>
      </c>
      <c r="C1529" s="56" t="inlineStr">
        <is>
          <t>4B10CK1010</t>
        </is>
      </c>
      <c r="D1529" s="56" t="n"/>
      <c r="E1529" s="57" t="n">
        <v>1205</v>
      </c>
      <c r="F1529" s="57" t="n">
        <v>1.205</v>
      </c>
      <c r="G1529" s="56" t="inlineStr">
        <is>
          <t>KG</t>
        </is>
      </c>
      <c r="H1529" s="56" t="inlineStr">
        <is>
          <t>TF01</t>
        </is>
      </c>
      <c r="I1529" s="56" t="inlineStr">
        <is>
          <t>4731</t>
        </is>
      </c>
      <c r="J1529" s="56" t="n"/>
      <c r="K1529" s="56" t="n"/>
      <c r="L1529" s="56" t="n"/>
      <c r="M1529" s="56" t="n"/>
      <c r="N1529" s="56" t="inlineStr">
        <is>
          <t>Elkayem Auto Ancillaries ( P ) LTD</t>
        </is>
      </c>
      <c r="O1529" s="56" t="n">
        <v>48</v>
      </c>
      <c r="P1529" s="59" t="inlineStr">
        <is>
          <t>31-60</t>
        </is>
      </c>
      <c r="Q1529" s="56" t="inlineStr">
        <is>
          <t>Diwakar</t>
        </is>
      </c>
      <c r="U1529" t="n">
        <v>3899138</v>
      </c>
      <c r="V1529" t="n">
        <v>63.5</v>
      </c>
      <c r="W1529" t="n">
        <v>0</v>
      </c>
      <c r="X1529" t="n">
        <v>4.06</v>
      </c>
      <c r="Y1529" t="n">
        <v>5.3</v>
      </c>
      <c r="Z1529" t="inlineStr">
        <is>
          <t>KGR2</t>
        </is>
      </c>
      <c r="AA1529" t="inlineStr">
        <is>
          <t>FC</t>
        </is>
      </c>
      <c r="AB1529" t="inlineStr">
        <is>
          <t>AN</t>
        </is>
      </c>
      <c r="AC1529" t="inlineStr">
        <is>
          <t>63.5-0-4-ERW 1-FC</t>
        </is>
      </c>
      <c r="AD1529" t="inlineStr">
        <is>
          <t>LL</t>
        </is>
      </c>
      <c r="AE1529" t="inlineStr">
        <is>
          <t>63.5-0-4-ERW 1-FC-1</t>
        </is>
      </c>
      <c r="AF1529" t="n">
        <v>5.948454433599999</v>
      </c>
    </row>
    <row r="1530">
      <c r="A1530" s="56" t="n">
        <v>3870804</v>
      </c>
      <c r="B1530" s="56" t="inlineStr">
        <is>
          <t>TUB-R-AW-AUT-40.00X25.00X1.600X5.6400</t>
        </is>
      </c>
      <c r="C1530" s="56" t="inlineStr">
        <is>
          <t>4B10BK1180</t>
        </is>
      </c>
      <c r="D1530" s="56" t="n"/>
      <c r="E1530" s="57" t="n">
        <v>1173</v>
      </c>
      <c r="F1530" s="57" t="n">
        <v>1.173</v>
      </c>
      <c r="G1530" s="56" t="inlineStr">
        <is>
          <t>KG</t>
        </is>
      </c>
      <c r="H1530" s="56" t="inlineStr">
        <is>
          <t>TF01</t>
        </is>
      </c>
      <c r="I1530" s="56" t="inlineStr">
        <is>
          <t>4731</t>
        </is>
      </c>
      <c r="J1530" s="56" t="n"/>
      <c r="K1530" s="56" t="n"/>
      <c r="L1530" s="56" t="n"/>
      <c r="M1530" s="56" t="n"/>
      <c r="N1530" s="56" t="inlineStr">
        <is>
          <t>Elkayem Auto Ancillaries ( P ) LTD</t>
        </is>
      </c>
      <c r="O1530" s="56" t="n">
        <v>53</v>
      </c>
      <c r="P1530" s="59" t="inlineStr">
        <is>
          <t>31-60</t>
        </is>
      </c>
      <c r="Q1530" s="56" t="inlineStr">
        <is>
          <t>Diwakar</t>
        </is>
      </c>
      <c r="U1530" t="n">
        <v>3899139</v>
      </c>
      <c r="V1530" t="n">
        <v>63.5</v>
      </c>
      <c r="W1530" t="n">
        <v>0</v>
      </c>
      <c r="X1530" t="n">
        <v>4.06</v>
      </c>
      <c r="Y1530" t="n">
        <v>6.4</v>
      </c>
      <c r="Z1530" t="inlineStr">
        <is>
          <t>KGR2</t>
        </is>
      </c>
      <c r="AA1530" t="inlineStr">
        <is>
          <t>FC</t>
        </is>
      </c>
      <c r="AB1530" t="inlineStr">
        <is>
          <t>AN</t>
        </is>
      </c>
      <c r="AC1530" t="inlineStr">
        <is>
          <t>63.5-0-4-ERW 1-FC</t>
        </is>
      </c>
      <c r="AD1530" t="inlineStr">
        <is>
          <t>LL</t>
        </is>
      </c>
      <c r="AE1530" t="inlineStr">
        <is>
          <t>63.5-0-4-ERW 1-FC-1</t>
        </is>
      </c>
      <c r="AF1530" t="n">
        <v>5.948454433599999</v>
      </c>
    </row>
    <row r="1531">
      <c r="A1531" s="56" t="n">
        <v>3870804</v>
      </c>
      <c r="B1531" s="56" t="inlineStr">
        <is>
          <t>TUB-R-AW-AUT-40.00X25.00X1.600X5.6400</t>
        </is>
      </c>
      <c r="C1531" s="56" t="inlineStr">
        <is>
          <t>4B10BK1160</t>
        </is>
      </c>
      <c r="D1531" s="56" t="n"/>
      <c r="E1531" s="57" t="n">
        <v>2151</v>
      </c>
      <c r="F1531" s="57" t="n">
        <v>2.151</v>
      </c>
      <c r="G1531" s="56" t="inlineStr">
        <is>
          <t>KG</t>
        </is>
      </c>
      <c r="H1531" s="56" t="inlineStr">
        <is>
          <t>TF01</t>
        </is>
      </c>
      <c r="I1531" s="56" t="inlineStr">
        <is>
          <t>4731</t>
        </is>
      </c>
      <c r="J1531" s="56" t="n"/>
      <c r="K1531" s="56" t="n"/>
      <c r="L1531" s="56" t="n"/>
      <c r="M1531" s="56" t="n"/>
      <c r="N1531" s="56" t="inlineStr">
        <is>
          <t>Elkayem Auto Ancillaries ( P ) LTD</t>
        </is>
      </c>
      <c r="O1531" s="56" t="n">
        <v>40</v>
      </c>
      <c r="P1531" s="59" t="inlineStr">
        <is>
          <t>31-60</t>
        </is>
      </c>
      <c r="Q1531" s="56" t="inlineStr">
        <is>
          <t>Diwakar</t>
        </is>
      </c>
      <c r="U1531" t="n">
        <v>3899140</v>
      </c>
      <c r="V1531" t="n">
        <v>63.5</v>
      </c>
      <c r="W1531" t="n">
        <v>0</v>
      </c>
      <c r="X1531" t="n">
        <v>4.06</v>
      </c>
      <c r="Y1531" t="n">
        <v>6.9</v>
      </c>
      <c r="Z1531" t="inlineStr">
        <is>
          <t>KGR2</t>
        </is>
      </c>
      <c r="AA1531" t="inlineStr">
        <is>
          <t>FC</t>
        </is>
      </c>
      <c r="AB1531" t="inlineStr">
        <is>
          <t>AN</t>
        </is>
      </c>
      <c r="AC1531" t="inlineStr">
        <is>
          <t>63.5-0-4-ERW 1-FC</t>
        </is>
      </c>
      <c r="AD1531" t="inlineStr">
        <is>
          <t>LL</t>
        </is>
      </c>
      <c r="AE1531" t="inlineStr">
        <is>
          <t>63.5-0-4-ERW 1-FC-1</t>
        </is>
      </c>
      <c r="AF1531" t="n">
        <v>5.948454433599999</v>
      </c>
    </row>
    <row r="1532">
      <c r="A1532" s="56" t="n">
        <v>3870804</v>
      </c>
      <c r="B1532" s="56" t="inlineStr">
        <is>
          <t>TUB-R-AW-AUT-40.00X25.00X1.600X5.6400</t>
        </is>
      </c>
      <c r="C1532" s="56" t="inlineStr">
        <is>
          <t>4B10CK1050</t>
        </is>
      </c>
      <c r="D1532" s="56" t="n"/>
      <c r="E1532" s="57" t="n">
        <v>113.595</v>
      </c>
      <c r="F1532" s="57" t="n">
        <v>0.113595</v>
      </c>
      <c r="G1532" s="56" t="inlineStr">
        <is>
          <t>KG</t>
        </is>
      </c>
      <c r="H1532" s="56" t="inlineStr"/>
      <c r="I1532" s="56" t="inlineStr">
        <is>
          <t>4731</t>
        </is>
      </c>
      <c r="J1532" s="56" t="n"/>
      <c r="K1532" s="56" t="n"/>
      <c r="L1532" s="56" t="n"/>
      <c r="M1532" s="56" t="n"/>
      <c r="N1532" s="56" t="inlineStr">
        <is>
          <t>Elkayem Auto Ancillaries ( P ) LTD</t>
        </is>
      </c>
      <c r="O1532" s="56" t="n">
        <v>0</v>
      </c>
      <c r="P1532" s="59" t="inlineStr">
        <is>
          <t>0-30</t>
        </is>
      </c>
      <c r="Q1532" s="56" t="inlineStr">
        <is>
          <t>Diwakar</t>
        </is>
      </c>
      <c r="U1532" t="n">
        <v>3899137</v>
      </c>
      <c r="V1532" t="n">
        <v>63.5</v>
      </c>
      <c r="W1532" t="n">
        <v>0</v>
      </c>
      <c r="X1532" t="n">
        <v>4.06</v>
      </c>
      <c r="Y1532" t="n">
        <v>7.4</v>
      </c>
      <c r="Z1532" t="inlineStr">
        <is>
          <t>KGR2</t>
        </is>
      </c>
      <c r="AA1532" t="inlineStr">
        <is>
          <t>FC</t>
        </is>
      </c>
      <c r="AB1532" t="inlineStr">
        <is>
          <t>AN</t>
        </is>
      </c>
      <c r="AC1532" t="inlineStr">
        <is>
          <t>63.5-0-4-ERW 1-FC</t>
        </is>
      </c>
      <c r="AD1532" t="inlineStr">
        <is>
          <t>LL</t>
        </is>
      </c>
      <c r="AE1532" t="inlineStr">
        <is>
          <t>63.5-0-4-ERW 1-FC-1</t>
        </is>
      </c>
      <c r="AF1532" t="n">
        <v>5.948454433599999</v>
      </c>
    </row>
    <row r="1533">
      <c r="A1533" s="56" t="n">
        <v>3870804</v>
      </c>
      <c r="B1533" s="56" t="inlineStr">
        <is>
          <t>TUB-R-AW-AUT-40.00X25.00X1.600X5.6400</t>
        </is>
      </c>
      <c r="C1533" s="56" t="inlineStr">
        <is>
          <t>4B10BK1150</t>
        </is>
      </c>
      <c r="D1533" s="56" t="n"/>
      <c r="E1533" s="57" t="n">
        <v>190.257</v>
      </c>
      <c r="F1533" s="57" t="n">
        <v>0.190257</v>
      </c>
      <c r="G1533" s="56" t="inlineStr">
        <is>
          <t>KG</t>
        </is>
      </c>
      <c r="H1533" s="56" t="inlineStr"/>
      <c r="I1533" s="56" t="inlineStr">
        <is>
          <t>4731</t>
        </is>
      </c>
      <c r="J1533" s="56" t="n"/>
      <c r="K1533" s="56" t="n"/>
      <c r="L1533" s="56" t="n"/>
      <c r="M1533" s="56" t="n"/>
      <c r="N1533" s="56" t="inlineStr">
        <is>
          <t>Elkayem Auto Ancillaries ( P ) LTD</t>
        </is>
      </c>
      <c r="O1533" s="56" t="n">
        <v>5</v>
      </c>
      <c r="P1533" s="59" t="inlineStr">
        <is>
          <t>0-30</t>
        </is>
      </c>
      <c r="Q1533" s="56" t="inlineStr">
        <is>
          <t>Diwakar</t>
        </is>
      </c>
      <c r="U1533" s="585" t="n">
        <v>424601</v>
      </c>
      <c r="V1533" t="n">
        <v>70</v>
      </c>
      <c r="W1533" t="n">
        <v>0</v>
      </c>
      <c r="X1533" t="n">
        <v>3.2</v>
      </c>
      <c r="Y1533" t="n">
        <v>0.49</v>
      </c>
      <c r="Z1533" t="inlineStr">
        <is>
          <t>K3SPL</t>
        </is>
      </c>
      <c r="AA1533" t="inlineStr">
        <is>
          <t>AG</t>
        </is>
      </c>
      <c r="AB1533" t="inlineStr">
        <is>
          <t>AN</t>
        </is>
      </c>
      <c r="AC1533" t="inlineStr">
        <is>
          <t>70-0-3.2-ERW 2-FC</t>
        </is>
      </c>
      <c r="AD1533" t="inlineStr">
        <is>
          <t>CTL</t>
        </is>
      </c>
      <c r="AE1533" t="inlineStr">
        <is>
          <t>70-0-3.2-ERW 2-FC-0.49</t>
        </is>
      </c>
      <c r="AF1533" t="n">
        <v>2.5817954176</v>
      </c>
    </row>
    <row r="1534">
      <c r="A1534" s="56" t="n">
        <v>3901714</v>
      </c>
      <c r="B1534" s="56" t="inlineStr">
        <is>
          <t>CUT-N-AUT-AN-FC-42.70X4.000X0.2150</t>
        </is>
      </c>
      <c r="C1534" s="56" t="inlineStr">
        <is>
          <t>4928BK3210</t>
        </is>
      </c>
      <c r="D1534" s="56" t="n"/>
      <c r="E1534" s="57" t="n">
        <v>442.046</v>
      </c>
      <c r="F1534" s="57" t="n">
        <v>0.442046</v>
      </c>
      <c r="G1534" s="56" t="inlineStr">
        <is>
          <t>KG</t>
        </is>
      </c>
      <c r="H1534" s="56" t="inlineStr">
        <is>
          <t>TF01</t>
        </is>
      </c>
      <c r="I1534" s="56" t="inlineStr">
        <is>
          <t>4731</t>
        </is>
      </c>
      <c r="J1534" s="56" t="n"/>
      <c r="K1534" s="56" t="n"/>
      <c r="L1534" s="56" t="n"/>
      <c r="M1534" s="56" t="n"/>
      <c r="N1534" s="56" t="inlineStr">
        <is>
          <t>SANDHAR ENGINEERING PVT LTD.(KA) -U</t>
        </is>
      </c>
      <c r="O1534" s="56" t="n">
        <v>5</v>
      </c>
      <c r="P1534" s="59" t="inlineStr">
        <is>
          <t>0-30</t>
        </is>
      </c>
      <c r="Q1534" s="56" t="inlineStr">
        <is>
          <t>Jitendra Kumar Sharma</t>
        </is>
      </c>
      <c r="U1534" t="n">
        <v>3781610</v>
      </c>
      <c r="V1534" t="n">
        <v>70</v>
      </c>
      <c r="W1534" t="n">
        <v>0</v>
      </c>
      <c r="X1534" t="n">
        <v>3.2</v>
      </c>
      <c r="Y1534" t="n">
        <v>0.49</v>
      </c>
      <c r="Z1534" t="inlineStr">
        <is>
          <t>K3SPL</t>
        </is>
      </c>
      <c r="AA1534" t="inlineStr">
        <is>
          <t>AG</t>
        </is>
      </c>
      <c r="AB1534" t="inlineStr">
        <is>
          <t>AN</t>
        </is>
      </c>
      <c r="AC1534" t="inlineStr">
        <is>
          <t>70-0-3.2-ERW 2-FC</t>
        </is>
      </c>
      <c r="AD1534" t="inlineStr">
        <is>
          <t>CTL</t>
        </is>
      </c>
      <c r="AE1534" t="inlineStr">
        <is>
          <t>70-0-3.2-ERW 2-FC-0.49</t>
        </is>
      </c>
      <c r="AF1534" t="n">
        <v>2.5817954176</v>
      </c>
    </row>
    <row r="1535">
      <c r="A1535" s="56" t="n">
        <v>3901714</v>
      </c>
      <c r="B1535" s="56" t="inlineStr">
        <is>
          <t>CUT-N-AUT-AN-FC-42.70X4.000X0.2150</t>
        </is>
      </c>
      <c r="C1535" s="56" t="inlineStr">
        <is>
          <t>4928BK3120</t>
        </is>
      </c>
      <c r="D1535" s="56" t="n"/>
      <c r="E1535" s="57" t="n">
        <v>97.73399999999999</v>
      </c>
      <c r="F1535" s="57" t="n">
        <v>0.097734</v>
      </c>
      <c r="G1535" s="56" t="inlineStr">
        <is>
          <t>KG</t>
        </is>
      </c>
      <c r="H1535" s="56" t="inlineStr">
        <is>
          <t>TF01</t>
        </is>
      </c>
      <c r="I1535" s="56" t="inlineStr">
        <is>
          <t>4731</t>
        </is>
      </c>
      <c r="J1535" s="56" t="n"/>
      <c r="K1535" s="56" t="n"/>
      <c r="L1535" s="56" t="n"/>
      <c r="M1535" s="56" t="n"/>
      <c r="N1535" s="56" t="inlineStr">
        <is>
          <t>SANDHAR ENGINEERING PVT LTD.(KA) -U</t>
        </is>
      </c>
      <c r="O1535" s="56" t="n">
        <v>0</v>
      </c>
      <c r="P1535" s="59" t="inlineStr">
        <is>
          <t>0-30</t>
        </is>
      </c>
      <c r="Q1535" s="56" t="inlineStr">
        <is>
          <t>Jitendra Kumar Sharma</t>
        </is>
      </c>
      <c r="U1535" t="n">
        <v>3801263</v>
      </c>
      <c r="V1535" t="n">
        <v>70</v>
      </c>
      <c r="W1535" t="n">
        <v>0</v>
      </c>
      <c r="X1535" t="n">
        <v>3.2</v>
      </c>
      <c r="Y1535" t="n">
        <v>0.512</v>
      </c>
      <c r="Z1535" t="inlineStr">
        <is>
          <t>SAE1020</t>
        </is>
      </c>
      <c r="AA1535" t="inlineStr">
        <is>
          <t>FC</t>
        </is>
      </c>
      <c r="AB1535" t="inlineStr">
        <is>
          <t>AN</t>
        </is>
      </c>
      <c r="AC1535" t="inlineStr">
        <is>
          <t>70-0-3.2-ERW 2-FC</t>
        </is>
      </c>
      <c r="AD1535" t="inlineStr">
        <is>
          <t>CTL</t>
        </is>
      </c>
      <c r="AE1535" t="inlineStr">
        <is>
          <t>70-0-3.2-ERW 2-FC-0.512</t>
        </is>
      </c>
      <c r="AF1535" t="n">
        <v>2.69771276288</v>
      </c>
    </row>
    <row r="1536">
      <c r="A1536" s="56" t="n">
        <v>3901714</v>
      </c>
      <c r="B1536" s="56" t="inlineStr">
        <is>
          <t>CUT-N-AUT-AN-FC-42.70X4.000X0.2150</t>
        </is>
      </c>
      <c r="C1536" s="56" t="inlineStr">
        <is>
          <t>4928BK3070</t>
        </is>
      </c>
      <c r="D1536" s="56" t="n"/>
      <c r="E1536" s="57" t="n">
        <v>918.676</v>
      </c>
      <c r="F1536" s="57" t="n">
        <v>0.918676</v>
      </c>
      <c r="G1536" s="56" t="inlineStr">
        <is>
          <t>KG</t>
        </is>
      </c>
      <c r="H1536" s="56" t="inlineStr">
        <is>
          <t>TF01</t>
        </is>
      </c>
      <c r="I1536" s="56" t="inlineStr">
        <is>
          <t>4731</t>
        </is>
      </c>
      <c r="J1536" s="56" t="n"/>
      <c r="K1536" s="56" t="n"/>
      <c r="L1536" s="56" t="n"/>
      <c r="M1536" s="56" t="n"/>
      <c r="N1536" s="56" t="inlineStr">
        <is>
          <t>SANDHAR ENGINEERING PVT LTD.(KA) -U</t>
        </is>
      </c>
      <c r="O1536" s="56" t="n">
        <v>0</v>
      </c>
      <c r="P1536" s="59" t="inlineStr">
        <is>
          <t>0-30</t>
        </is>
      </c>
      <c r="Q1536" s="56" t="inlineStr">
        <is>
          <t>Jitendra Kumar Sharma</t>
        </is>
      </c>
      <c r="U1536" s="585" t="n">
        <v>1931860</v>
      </c>
      <c r="V1536" t="n">
        <v>70</v>
      </c>
      <c r="W1536" t="n">
        <v>0</v>
      </c>
      <c r="X1536" t="n">
        <v>3.2</v>
      </c>
      <c r="Y1536" t="n">
        <v>0.513</v>
      </c>
      <c r="Z1536" t="inlineStr">
        <is>
          <t>SAE1020</t>
        </is>
      </c>
      <c r="AA1536" t="inlineStr">
        <is>
          <t>AG</t>
        </is>
      </c>
      <c r="AB1536" t="inlineStr">
        <is>
          <t>AN</t>
        </is>
      </c>
      <c r="AC1536" t="inlineStr">
        <is>
          <t>70-0-3.2-ERW 2-FC</t>
        </is>
      </c>
      <c r="AD1536" t="inlineStr">
        <is>
          <t>CTL</t>
        </is>
      </c>
      <c r="AE1536" t="inlineStr">
        <is>
          <t>70-0-3.2-ERW 2-FC-0.513</t>
        </is>
      </c>
      <c r="AF1536" t="n">
        <v>2.70298173312</v>
      </c>
    </row>
    <row r="1537">
      <c r="A1537" s="56" t="n">
        <v>3901714</v>
      </c>
      <c r="B1537" s="56" t="inlineStr">
        <is>
          <t>CUT-N-AUT-AN-FC-42.70X4.000X0.2150</t>
        </is>
      </c>
      <c r="C1537" s="56" t="inlineStr">
        <is>
          <t>4928BK3030</t>
        </is>
      </c>
      <c r="D1537" s="56" t="n"/>
      <c r="E1537" s="57" t="n">
        <v>1356.438</v>
      </c>
      <c r="F1537" s="57" t="n">
        <v>1.356438</v>
      </c>
      <c r="G1537" s="56" t="inlineStr">
        <is>
          <t>KG</t>
        </is>
      </c>
      <c r="H1537" s="56" t="inlineStr">
        <is>
          <t>TF01</t>
        </is>
      </c>
      <c r="I1537" s="56" t="inlineStr">
        <is>
          <t>4731</t>
        </is>
      </c>
      <c r="J1537" s="56" t="n"/>
      <c r="K1537" s="56" t="n"/>
      <c r="L1537" s="56" t="n"/>
      <c r="M1537" s="56" t="n"/>
      <c r="N1537" s="56" t="inlineStr">
        <is>
          <t>SANDHAR ENGINEERING PVT LTD.(KA) -U</t>
        </is>
      </c>
      <c r="O1537" s="56" t="n">
        <v>0</v>
      </c>
      <c r="P1537" s="59" t="inlineStr">
        <is>
          <t>0-30</t>
        </is>
      </c>
      <c r="Q1537" s="56" t="inlineStr">
        <is>
          <t>Jitendra Kumar Sharma</t>
        </is>
      </c>
      <c r="U1537" s="585" t="n">
        <v>3499608</v>
      </c>
      <c r="V1537" t="n">
        <v>70</v>
      </c>
      <c r="W1537" t="n">
        <v>0</v>
      </c>
      <c r="X1537" t="n">
        <v>3.2</v>
      </c>
      <c r="Y1537" t="n">
        <v>6</v>
      </c>
      <c r="Z1537" t="inlineStr">
        <is>
          <t>SAE1020</t>
        </is>
      </c>
      <c r="AA1537" t="inlineStr">
        <is>
          <t>PE</t>
        </is>
      </c>
      <c r="AB1537" t="inlineStr">
        <is>
          <t>AN</t>
        </is>
      </c>
      <c r="AC1537" t="inlineStr">
        <is>
          <t>70-0-3.2-ERW 2-FC</t>
        </is>
      </c>
      <c r="AD1537" t="inlineStr">
        <is>
          <t>LL</t>
        </is>
      </c>
      <c r="AE1537" t="inlineStr">
        <is>
          <t>70-0-3.2-ERW 2-FC-1</t>
        </is>
      </c>
      <c r="AF1537" t="n">
        <v>5.26897024</v>
      </c>
    </row>
    <row r="1538">
      <c r="A1538" s="56" t="n">
        <v>3901714</v>
      </c>
      <c r="B1538" s="56" t="inlineStr">
        <is>
          <t>CUT-N-AUT-AN-FC-42.70X4.000X0.2150</t>
        </is>
      </c>
      <c r="C1538" s="56" t="inlineStr">
        <is>
          <t>4928AK3110</t>
        </is>
      </c>
      <c r="D1538" s="56" t="n"/>
      <c r="E1538" s="57" t="n">
        <v>492.467</v>
      </c>
      <c r="F1538" s="57" t="n">
        <v>0.492467</v>
      </c>
      <c r="G1538" s="56" t="inlineStr">
        <is>
          <t>KG</t>
        </is>
      </c>
      <c r="H1538" s="56" t="inlineStr">
        <is>
          <t>TF01</t>
        </is>
      </c>
      <c r="I1538" s="56" t="inlineStr">
        <is>
          <t>4731</t>
        </is>
      </c>
      <c r="J1538" s="56" t="n"/>
      <c r="K1538" s="56" t="n"/>
      <c r="L1538" s="56" t="n"/>
      <c r="M1538" s="56" t="n"/>
      <c r="N1538" s="56" t="inlineStr">
        <is>
          <t>SANDHAR ENGINEERING PVT LTD.(KA) -U</t>
        </is>
      </c>
      <c r="O1538" s="56" t="n">
        <v>4</v>
      </c>
      <c r="P1538" s="59" t="inlineStr">
        <is>
          <t>0-30</t>
        </is>
      </c>
      <c r="Q1538" s="56" t="inlineStr">
        <is>
          <t>Jitendra Kumar Sharma</t>
        </is>
      </c>
      <c r="U1538" s="585" t="n">
        <v>3536019</v>
      </c>
      <c r="V1538" t="n">
        <v>70</v>
      </c>
      <c r="W1538" t="n">
        <v>0</v>
      </c>
      <c r="X1538" t="n">
        <v>3.2</v>
      </c>
      <c r="Y1538" t="n">
        <v>6.06</v>
      </c>
      <c r="Z1538" t="inlineStr">
        <is>
          <t>SAE1020</t>
        </is>
      </c>
      <c r="AA1538" t="inlineStr">
        <is>
          <t>FC</t>
        </is>
      </c>
      <c r="AB1538" t="inlineStr">
        <is>
          <t>AN</t>
        </is>
      </c>
      <c r="AC1538" t="inlineStr">
        <is>
          <t>70-0-3.2-ERW 2-FC</t>
        </is>
      </c>
      <c r="AD1538" t="inlineStr">
        <is>
          <t>LL</t>
        </is>
      </c>
      <c r="AE1538" t="inlineStr">
        <is>
          <t>70-0-3.2-ERW 2-FC-1</t>
        </is>
      </c>
      <c r="AF1538" t="n">
        <v>5.26897024</v>
      </c>
    </row>
    <row r="1539">
      <c r="A1539" s="56" t="n">
        <v>3682960</v>
      </c>
      <c r="B1539" s="56" t="inlineStr">
        <is>
          <t>TUB-O-N-AUT-NR-FC-57.15X2.000X6.5500</t>
        </is>
      </c>
      <c r="C1539" s="56" t="inlineStr">
        <is>
          <t>4B06A40030</t>
        </is>
      </c>
      <c r="D1539" s="57" t="n">
        <v>99</v>
      </c>
      <c r="E1539" s="57" t="n">
        <v>1721.313</v>
      </c>
      <c r="F1539" s="57" t="n">
        <v>1.721313</v>
      </c>
      <c r="G1539" s="56" t="inlineStr">
        <is>
          <t>KG</t>
        </is>
      </c>
      <c r="H1539" s="60" t="inlineStr">
        <is>
          <t>R001</t>
        </is>
      </c>
      <c r="I1539" s="56" t="inlineStr">
        <is>
          <t>4318</t>
        </is>
      </c>
      <c r="J1539" s="56" t="n"/>
      <c r="K1539" s="56" t="n"/>
      <c r="L1539" s="56" t="n"/>
      <c r="M1539" s="56" t="n"/>
      <c r="N1539" s="60" t="inlineStr">
        <is>
          <t>TRANSIT STOCK</t>
        </is>
      </c>
      <c r="O1539" s="56" t="n">
        <v>6</v>
      </c>
      <c r="P1539" s="59" t="inlineStr">
        <is>
          <t>0-30</t>
        </is>
      </c>
      <c r="Q1539" s="56" t="inlineStr">
        <is>
          <t>TRANSIT STOCK</t>
        </is>
      </c>
      <c r="U1539" s="585" t="n">
        <v>3702863</v>
      </c>
      <c r="V1539">
        <f>VLOOKUP(buckets[[#This Row],[Material Codes]],[5]!zmat[#All],10,0)</f>
        <v/>
      </c>
      <c r="W1539">
        <f>VLOOKUP(buckets[[#This Row],[Material Codes]],[5]!zmat[#All],11,0)</f>
        <v/>
      </c>
      <c r="X1539">
        <f>VLOOKUP(buckets[[#This Row],[Material Codes]],[5]!zmat[#All],12,0)</f>
        <v/>
      </c>
      <c r="Y1539">
        <f>VLOOKUP(buckets[[#This Row],[Material Codes]],[5]!zmat[#All],13,0)</f>
        <v/>
      </c>
      <c r="Z1539">
        <f>VLOOKUP(buckets[[#This Row],[Material Codes]],[5]!zmat[#All],9,0)</f>
        <v/>
      </c>
      <c r="AA1539">
        <f>VLOOKUP(buckets[[#This Row],[Material Codes]],[5]!zmat[#All],22,0)</f>
        <v/>
      </c>
      <c r="AB1539">
        <f>VLOOKUP(buckets[[#This Row],[Material Codes]],[5]!zmat[#All],23,0)</f>
        <v/>
      </c>
      <c r="AC1539" t="inlineStr">
        <is>
          <t>70-0-3.2-ERW 2-FC</t>
        </is>
      </c>
      <c r="AD1539" t="inlineStr">
        <is>
          <t>LL</t>
        </is>
      </c>
      <c r="AE1539" t="inlineStr">
        <is>
          <t>70-0-3.2-ERW 2-FC-1</t>
        </is>
      </c>
      <c r="AF1539">
        <f>((buckets[[#This Row],[OD]]-buckets[[#This Row],[Thickness]])*buckets[[#This Row],[Thickness]]*0.024649*IF(AD1539="LL",1,buckets[[#This Row],[Length]]))</f>
        <v/>
      </c>
    </row>
    <row r="1540">
      <c r="A1540" s="56" t="n">
        <v>3682960</v>
      </c>
      <c r="B1540" s="56" t="inlineStr">
        <is>
          <t>TUB-O-N-AUT-NR-FC-57.15X2.000X6.5500</t>
        </is>
      </c>
      <c r="C1540" s="56" t="inlineStr">
        <is>
          <t>4B06A40100</t>
        </is>
      </c>
      <c r="D1540" s="57" t="n">
        <v>15</v>
      </c>
      <c r="E1540" s="57" t="n">
        <v>260.805</v>
      </c>
      <c r="F1540" s="57" t="n">
        <v>0.260805</v>
      </c>
      <c r="G1540" s="56" t="inlineStr">
        <is>
          <t>KG</t>
        </is>
      </c>
      <c r="H1540" s="60" t="inlineStr">
        <is>
          <t>R001</t>
        </is>
      </c>
      <c r="I1540" s="56" t="inlineStr">
        <is>
          <t>4318</t>
        </is>
      </c>
      <c r="J1540" s="56" t="n"/>
      <c r="K1540" s="56" t="n"/>
      <c r="L1540" s="56" t="n"/>
      <c r="M1540" s="56" t="n"/>
      <c r="N1540" s="60" t="inlineStr">
        <is>
          <t>TRANSIT STOCK</t>
        </is>
      </c>
      <c r="O1540" s="56" t="n">
        <v>6</v>
      </c>
      <c r="P1540" s="59" t="inlineStr">
        <is>
          <t>0-30</t>
        </is>
      </c>
      <c r="Q1540" s="56" t="inlineStr">
        <is>
          <t>TRANSIT STOCK</t>
        </is>
      </c>
      <c r="U1540" s="588" t="n">
        <v>3929633</v>
      </c>
      <c r="AF1540">
        <f>IF([4]!buckets[[#This Row],[LL or CTL]]="LL",(3.14*([4]!buckets[[#This Row],[OD]]-[4]!buckets[[#This Row],[Thickness]])*[4]!buckets[[#This Row],[Thickness]]*1000*7.85)/1000000,(3.14*([4]!buckets[[#This Row],[OD]]-[4]!buckets[[#This Row],[Thickness]])*[4]!buckets[[#This Row],[Thickness]]*[4]!buckets[[#This Row],[Length]]*1000*7.85)/1000000)</f>
        <v/>
      </c>
    </row>
    <row r="1541">
      <c r="A1541" s="56" t="n">
        <v>3682960</v>
      </c>
      <c r="B1541" s="56" t="inlineStr">
        <is>
          <t>TUB-O-N-AUT-NR-FC-57.15X2.000X6.5500</t>
        </is>
      </c>
      <c r="C1541" s="56" t="inlineStr">
        <is>
          <t>4B07A40030</t>
        </is>
      </c>
      <c r="D1541" s="57" t="n">
        <v>99</v>
      </c>
      <c r="E1541" s="57" t="n">
        <v>1721.313</v>
      </c>
      <c r="F1541" s="57" t="n">
        <v>1.721313</v>
      </c>
      <c r="G1541" s="56" t="inlineStr">
        <is>
          <t>KG</t>
        </is>
      </c>
      <c r="H1541" s="60" t="inlineStr">
        <is>
          <t>R001</t>
        </is>
      </c>
      <c r="I1541" s="56" t="inlineStr">
        <is>
          <t>4318</t>
        </is>
      </c>
      <c r="J1541" s="56" t="n"/>
      <c r="K1541" s="56" t="n"/>
      <c r="L1541" s="56" t="n"/>
      <c r="M1541" s="56" t="n"/>
      <c r="N1541" s="60" t="inlineStr">
        <is>
          <t>TRANSIT STOCK</t>
        </is>
      </c>
      <c r="O1541" s="56" t="n">
        <v>6</v>
      </c>
      <c r="P1541" s="59" t="inlineStr">
        <is>
          <t>0-30</t>
        </is>
      </c>
      <c r="Q1541" s="56" t="inlineStr">
        <is>
          <t>TRANSIT STOCK</t>
        </is>
      </c>
      <c r="U1541" s="585" t="n"/>
    </row>
    <row r="1542">
      <c r="A1542" s="56" t="n">
        <v>3498972</v>
      </c>
      <c r="B1542" s="56" t="inlineStr">
        <is>
          <t>TUB-O-N-AUT-AW-PE-22.20X1.20X6.000-ERW 1</t>
        </is>
      </c>
      <c r="C1542" s="56" t="inlineStr">
        <is>
          <t>4802C20040</t>
        </is>
      </c>
      <c r="D1542" s="57" t="n">
        <v>223</v>
      </c>
      <c r="E1542" s="57" t="n">
        <v>805.342</v>
      </c>
      <c r="F1542" s="57" t="n">
        <v>0.805342</v>
      </c>
      <c r="G1542" s="56" t="inlineStr">
        <is>
          <t>KG</t>
        </is>
      </c>
      <c r="H1542" s="60" t="inlineStr">
        <is>
          <t>R001</t>
        </is>
      </c>
      <c r="I1542" s="56" t="inlineStr">
        <is>
          <t>4318</t>
        </is>
      </c>
      <c r="J1542" s="56" t="n"/>
      <c r="K1542" s="56" t="n"/>
      <c r="L1542" s="56" t="n"/>
      <c r="M1542" s="56" t="n"/>
      <c r="N1542" s="60" t="inlineStr">
        <is>
          <t>TRANSIT STOCK</t>
        </is>
      </c>
      <c r="O1542" s="56" t="n">
        <v>6</v>
      </c>
      <c r="P1542" s="59" t="inlineStr">
        <is>
          <t>0-30</t>
        </is>
      </c>
      <c r="Q1542" s="56" t="inlineStr">
        <is>
          <t>TRANSIT STOCK</t>
        </is>
      </c>
      <c r="U1542" s="585" t="n"/>
    </row>
    <row r="1543">
      <c r="A1543" s="56" t="n">
        <v>3500308</v>
      </c>
      <c r="B1543" s="56" t="inlineStr">
        <is>
          <t>TUB-O-N-AUT-AW-FC-34.93X1.600X6.000</t>
        </is>
      </c>
      <c r="C1543" s="56" t="inlineStr">
        <is>
          <t>4923C20020</t>
        </is>
      </c>
      <c r="D1543" s="57" t="n">
        <v>121</v>
      </c>
      <c r="E1543" s="57" t="n">
        <v>920.653</v>
      </c>
      <c r="F1543" s="57" t="n">
        <v>0.9206530000000001</v>
      </c>
      <c r="G1543" s="56" t="inlineStr">
        <is>
          <t>KG</t>
        </is>
      </c>
      <c r="H1543" s="60" t="inlineStr">
        <is>
          <t>R001</t>
        </is>
      </c>
      <c r="I1543" s="56" t="inlineStr">
        <is>
          <t>4318</t>
        </is>
      </c>
      <c r="J1543" s="56" t="n"/>
      <c r="K1543" s="56" t="n"/>
      <c r="L1543" s="56" t="n"/>
      <c r="M1543" s="56" t="n"/>
      <c r="N1543" s="60" t="inlineStr">
        <is>
          <t>TRANSIT STOCK</t>
        </is>
      </c>
      <c r="O1543" s="56" t="n">
        <v>6</v>
      </c>
      <c r="P1543" s="59" t="inlineStr">
        <is>
          <t>0-30</t>
        </is>
      </c>
      <c r="Q1543" s="56" t="inlineStr">
        <is>
          <t>TRANSIT STOCK</t>
        </is>
      </c>
      <c r="U1543" s="585" t="n"/>
    </row>
    <row r="1544">
      <c r="A1544" s="56" t="n">
        <v>3500308</v>
      </c>
      <c r="B1544" s="56" t="inlineStr">
        <is>
          <t>TUB-O-N-AUT-AW-FC-34.93X1.600X6.000</t>
        </is>
      </c>
      <c r="C1544" s="56" t="inlineStr">
        <is>
          <t>4C07A20010</t>
        </is>
      </c>
      <c r="D1544" s="57" t="n">
        <v>217</v>
      </c>
      <c r="E1544" s="57" t="n">
        <v>1651.088</v>
      </c>
      <c r="F1544" s="57" t="n">
        <v>1.651088</v>
      </c>
      <c r="G1544" s="56" t="inlineStr">
        <is>
          <t>KG</t>
        </is>
      </c>
      <c r="H1544" s="60" t="inlineStr">
        <is>
          <t>R001</t>
        </is>
      </c>
      <c r="I1544" s="56" t="inlineStr">
        <is>
          <t>4318</t>
        </is>
      </c>
      <c r="J1544" s="56" t="n"/>
      <c r="K1544" s="56" t="n"/>
      <c r="L1544" s="56" t="n"/>
      <c r="M1544" s="56" t="n"/>
      <c r="N1544" s="60" t="inlineStr">
        <is>
          <t>TRANSIT STOCK</t>
        </is>
      </c>
      <c r="O1544" s="56" t="n">
        <v>6</v>
      </c>
      <c r="P1544" s="59" t="inlineStr">
        <is>
          <t>0-30</t>
        </is>
      </c>
      <c r="Q1544" s="56" t="inlineStr">
        <is>
          <t>TRANSIT STOCK</t>
        </is>
      </c>
      <c r="U1544" s="585" t="n"/>
    </row>
    <row r="1545">
      <c r="A1545" s="56" t="n">
        <v>3498972</v>
      </c>
      <c r="B1545" s="56" t="inlineStr">
        <is>
          <t>TUB-O-N-AUT-AW-PE-22.20X1.20X6.000-ERW 1</t>
        </is>
      </c>
      <c r="C1545" s="56" t="inlineStr">
        <is>
          <t>4B30A20080</t>
        </is>
      </c>
      <c r="D1545" s="57" t="n">
        <v>420</v>
      </c>
      <c r="E1545" s="57" t="n">
        <v>1516.788</v>
      </c>
      <c r="F1545" s="57" t="n">
        <v>1.516788</v>
      </c>
      <c r="G1545" s="56" t="inlineStr">
        <is>
          <t>KG</t>
        </is>
      </c>
      <c r="H1545" s="60" t="inlineStr">
        <is>
          <t>R001</t>
        </is>
      </c>
      <c r="I1545" s="56" t="inlineStr">
        <is>
          <t>4318</t>
        </is>
      </c>
      <c r="J1545" s="56" t="n"/>
      <c r="K1545" s="56" t="n"/>
      <c r="L1545" s="56" t="n"/>
      <c r="M1545" s="56" t="n"/>
      <c r="N1545" s="60" t="inlineStr">
        <is>
          <t>TRANSIT STOCK</t>
        </is>
      </c>
      <c r="O1545" s="56" t="n">
        <v>6</v>
      </c>
      <c r="P1545" s="59" t="inlineStr">
        <is>
          <t>0-30</t>
        </is>
      </c>
      <c r="Q1545" s="56" t="inlineStr">
        <is>
          <t>TRANSIT STOCK</t>
        </is>
      </c>
      <c r="U1545" s="585" t="n"/>
    </row>
    <row r="1546">
      <c r="A1546" s="56" t="n">
        <v>3499903</v>
      </c>
      <c r="B1546" s="56" t="inlineStr">
        <is>
          <t>TUB-I-C-AUT-AD-PE-31.20X3.200X5.130-CEW1</t>
        </is>
      </c>
      <c r="C1546" s="56" t="inlineStr">
        <is>
          <t>4B09B40150</t>
        </is>
      </c>
      <c r="D1546" s="57" t="n">
        <v>156</v>
      </c>
      <c r="E1546" s="57" t="n">
        <v>2172.612</v>
      </c>
      <c r="F1546" s="57" t="n">
        <v>2.172612</v>
      </c>
      <c r="G1546" s="56" t="inlineStr">
        <is>
          <t>KG</t>
        </is>
      </c>
      <c r="H1546" s="60" t="inlineStr">
        <is>
          <t>R001</t>
        </is>
      </c>
      <c r="I1546" s="56" t="inlineStr">
        <is>
          <t>4318</t>
        </is>
      </c>
      <c r="J1546" s="56" t="n"/>
      <c r="K1546" s="56" t="n"/>
      <c r="L1546" s="56" t="n"/>
      <c r="M1546" s="56" t="n"/>
      <c r="N1546" s="60" t="inlineStr">
        <is>
          <t>TRANSIT STOCK</t>
        </is>
      </c>
      <c r="O1546" s="56" t="n">
        <v>6</v>
      </c>
      <c r="P1546" s="59" t="inlineStr">
        <is>
          <t>0-30</t>
        </is>
      </c>
      <c r="Q1546" s="56" t="inlineStr">
        <is>
          <t>TRANSIT STOCK</t>
        </is>
      </c>
      <c r="U1546" s="585" t="n"/>
    </row>
    <row r="1547">
      <c r="A1547" s="56" t="n">
        <v>3682122</v>
      </c>
      <c r="B1547" s="56" t="inlineStr">
        <is>
          <t>TUB-O-N-AUT-AW-FC-31.75X1.200X6.1500</t>
        </is>
      </c>
      <c r="C1547" s="56" t="inlineStr">
        <is>
          <t>4C19C20060</t>
        </is>
      </c>
      <c r="D1547" s="57" t="n">
        <v>64</v>
      </c>
      <c r="E1547" s="57" t="n">
        <v>335.859</v>
      </c>
      <c r="F1547" s="57" t="n">
        <v>0.335859</v>
      </c>
      <c r="G1547" s="56" t="inlineStr">
        <is>
          <t>KG</t>
        </is>
      </c>
      <c r="H1547" s="60" t="inlineStr">
        <is>
          <t>R001</t>
        </is>
      </c>
      <c r="I1547" s="56" t="inlineStr">
        <is>
          <t>4318</t>
        </is>
      </c>
      <c r="J1547" s="56" t="n"/>
      <c r="K1547" s="56" t="n"/>
      <c r="L1547" s="56" t="n"/>
      <c r="M1547" s="56" t="n"/>
      <c r="N1547" s="60" t="inlineStr">
        <is>
          <t>TRANSIT STOCK</t>
        </is>
      </c>
      <c r="O1547" s="56" t="n">
        <v>6</v>
      </c>
      <c r="P1547" s="59" t="inlineStr">
        <is>
          <t>0-30</t>
        </is>
      </c>
      <c r="Q1547" s="56" t="inlineStr">
        <is>
          <t>TRANSIT STOCK</t>
        </is>
      </c>
      <c r="U1547" s="585" t="n"/>
    </row>
    <row r="1548">
      <c r="A1548" s="56" t="n">
        <v>3682122</v>
      </c>
      <c r="B1548" s="56" t="inlineStr">
        <is>
          <t>TUB-O-N-AUT-AW-FC-31.75X1.200X6.1500</t>
        </is>
      </c>
      <c r="C1548" s="56" t="inlineStr">
        <is>
          <t>4C20C20040</t>
        </is>
      </c>
      <c r="D1548" s="57" t="n">
        <v>217</v>
      </c>
      <c r="E1548" s="57" t="n">
        <v>1138.773</v>
      </c>
      <c r="F1548" s="57" t="n">
        <v>1.138773</v>
      </c>
      <c r="G1548" s="56" t="inlineStr">
        <is>
          <t>KG</t>
        </is>
      </c>
      <c r="H1548" s="60" t="inlineStr">
        <is>
          <t>R001</t>
        </is>
      </c>
      <c r="I1548" s="56" t="inlineStr">
        <is>
          <t>4318</t>
        </is>
      </c>
      <c r="J1548" s="56" t="n"/>
      <c r="K1548" s="56" t="n"/>
      <c r="L1548" s="56" t="n"/>
      <c r="M1548" s="56" t="n"/>
      <c r="N1548" s="60" t="inlineStr">
        <is>
          <t>TRANSIT STOCK</t>
        </is>
      </c>
      <c r="O1548" s="56" t="n">
        <v>6</v>
      </c>
      <c r="P1548" s="59" t="inlineStr">
        <is>
          <t>0-30</t>
        </is>
      </c>
      <c r="Q1548" s="56" t="inlineStr">
        <is>
          <t>TRANSIT STOCK</t>
        </is>
      </c>
      <c r="U1548" s="585" t="n"/>
    </row>
    <row r="1549">
      <c r="A1549" s="56" t="n">
        <v>3682122</v>
      </c>
      <c r="B1549" s="56" t="inlineStr">
        <is>
          <t>TUB-O-N-AUT-AW-FC-31.75X1.200X6.1500</t>
        </is>
      </c>
      <c r="C1549" s="56" t="inlineStr">
        <is>
          <t>4C20C20090</t>
        </is>
      </c>
      <c r="D1549" s="57" t="n">
        <v>120</v>
      </c>
      <c r="E1549" s="57" t="n">
        <v>629.736</v>
      </c>
      <c r="F1549" s="57" t="n">
        <v>0.629736</v>
      </c>
      <c r="G1549" s="56" t="inlineStr">
        <is>
          <t>KG</t>
        </is>
      </c>
      <c r="H1549" s="60" t="inlineStr">
        <is>
          <t>R001</t>
        </is>
      </c>
      <c r="I1549" s="56" t="inlineStr">
        <is>
          <t>4318</t>
        </is>
      </c>
      <c r="J1549" s="56" t="n"/>
      <c r="K1549" s="56" t="n"/>
      <c r="L1549" s="56" t="n"/>
      <c r="M1549" s="56" t="n"/>
      <c r="N1549" s="60" t="inlineStr">
        <is>
          <t>TRANSIT STOCK</t>
        </is>
      </c>
      <c r="O1549" s="56" t="n">
        <v>6</v>
      </c>
      <c r="P1549" s="59" t="inlineStr">
        <is>
          <t>0-30</t>
        </is>
      </c>
      <c r="Q1549" s="56" t="inlineStr">
        <is>
          <t>TRANSIT STOCK</t>
        </is>
      </c>
      <c r="U1549" s="585" t="n"/>
    </row>
    <row r="1550">
      <c r="A1550" s="56" t="n">
        <v>3682122</v>
      </c>
      <c r="B1550" s="56" t="inlineStr">
        <is>
          <t>TUB-O-N-AUT-AW-FC-31.75X1.200X6.1500</t>
        </is>
      </c>
      <c r="C1550" s="56" t="inlineStr">
        <is>
          <t>4C20C20080</t>
        </is>
      </c>
      <c r="D1550" s="57" t="n">
        <v>217</v>
      </c>
      <c r="E1550" s="57" t="n">
        <v>1138.773</v>
      </c>
      <c r="F1550" s="57" t="n">
        <v>1.138773</v>
      </c>
      <c r="G1550" s="56" t="inlineStr">
        <is>
          <t>KG</t>
        </is>
      </c>
      <c r="H1550" s="60" t="inlineStr">
        <is>
          <t>R001</t>
        </is>
      </c>
      <c r="I1550" s="56" t="inlineStr">
        <is>
          <t>4318</t>
        </is>
      </c>
      <c r="J1550" s="56" t="n"/>
      <c r="K1550" s="56" t="n"/>
      <c r="L1550" s="56" t="n"/>
      <c r="M1550" s="56" t="n"/>
      <c r="N1550" s="60" t="inlineStr">
        <is>
          <t>TRANSIT STOCK</t>
        </is>
      </c>
      <c r="O1550" s="56" t="n">
        <v>6</v>
      </c>
      <c r="P1550" s="59" t="inlineStr">
        <is>
          <t>0-30</t>
        </is>
      </c>
      <c r="Q1550" s="56" t="inlineStr">
        <is>
          <t>TRANSIT STOCK</t>
        </is>
      </c>
      <c r="U1550" s="585" t="n"/>
    </row>
    <row r="1551">
      <c r="A1551" s="56" t="n">
        <v>3682122</v>
      </c>
      <c r="B1551" s="56" t="inlineStr">
        <is>
          <t>TUB-O-N-AUT-AW-FC-31.75X1.200X6.1500</t>
        </is>
      </c>
      <c r="C1551" s="56" t="inlineStr">
        <is>
          <t>4C19B20130</t>
        </is>
      </c>
      <c r="D1551" s="57" t="n">
        <v>217</v>
      </c>
      <c r="E1551" s="57" t="n">
        <v>1138.773</v>
      </c>
      <c r="F1551" s="57" t="n">
        <v>1.138773</v>
      </c>
      <c r="G1551" s="56" t="inlineStr">
        <is>
          <t>KG</t>
        </is>
      </c>
      <c r="H1551" s="60" t="inlineStr">
        <is>
          <t>R001</t>
        </is>
      </c>
      <c r="I1551" s="56" t="inlineStr">
        <is>
          <t>4318</t>
        </is>
      </c>
      <c r="J1551" s="56" t="n"/>
      <c r="K1551" s="56" t="n"/>
      <c r="L1551" s="56" t="n"/>
      <c r="M1551" s="56" t="n"/>
      <c r="N1551" s="60" t="inlineStr">
        <is>
          <t>TRANSIT STOCK</t>
        </is>
      </c>
      <c r="O1551" s="56" t="n">
        <v>6</v>
      </c>
      <c r="P1551" s="59" t="inlineStr">
        <is>
          <t>0-30</t>
        </is>
      </c>
      <c r="Q1551" s="56" t="inlineStr">
        <is>
          <t>TRANSIT STOCK</t>
        </is>
      </c>
      <c r="U1551" s="585" t="n"/>
    </row>
    <row r="1552">
      <c r="A1552" s="56" t="n">
        <v>3682122</v>
      </c>
      <c r="B1552" s="56" t="inlineStr">
        <is>
          <t>TUB-O-N-AUT-AW-FC-31.75X1.200X6.1500</t>
        </is>
      </c>
      <c r="C1552" s="56" t="inlineStr">
        <is>
          <t>4C19C20040</t>
        </is>
      </c>
      <c r="D1552" s="57" t="n">
        <v>217</v>
      </c>
      <c r="E1552" s="57" t="n">
        <v>1138.773</v>
      </c>
      <c r="F1552" s="57" t="n">
        <v>1.138773</v>
      </c>
      <c r="G1552" s="56" t="inlineStr">
        <is>
          <t>KG</t>
        </is>
      </c>
      <c r="H1552" s="60" t="inlineStr">
        <is>
          <t>R001</t>
        </is>
      </c>
      <c r="I1552" s="56" t="inlineStr">
        <is>
          <t>4318</t>
        </is>
      </c>
      <c r="J1552" s="56" t="n"/>
      <c r="K1552" s="56" t="n"/>
      <c r="L1552" s="56" t="n"/>
      <c r="M1552" s="56" t="n"/>
      <c r="N1552" s="60" t="inlineStr">
        <is>
          <t>TRANSIT STOCK</t>
        </is>
      </c>
      <c r="O1552" s="56" t="n">
        <v>6</v>
      </c>
      <c r="P1552" s="59" t="inlineStr">
        <is>
          <t>0-30</t>
        </is>
      </c>
      <c r="Q1552" s="56" t="inlineStr">
        <is>
          <t>TRANSIT STOCK</t>
        </is>
      </c>
      <c r="U1552" s="585" t="n"/>
    </row>
    <row r="1553">
      <c r="A1553" s="56" t="n">
        <v>3682122</v>
      </c>
      <c r="B1553" s="56" t="inlineStr">
        <is>
          <t>TUB-O-N-AUT-AW-FC-31.75X1.200X6.1500</t>
        </is>
      </c>
      <c r="C1553" s="56" t="inlineStr">
        <is>
          <t>4C19C20050</t>
        </is>
      </c>
      <c r="D1553" s="57" t="n">
        <v>217</v>
      </c>
      <c r="E1553" s="57" t="n">
        <v>1138.773</v>
      </c>
      <c r="F1553" s="57" t="n">
        <v>1.138773</v>
      </c>
      <c r="G1553" s="56" t="inlineStr">
        <is>
          <t>KG</t>
        </is>
      </c>
      <c r="H1553" s="60" t="inlineStr">
        <is>
          <t>R001</t>
        </is>
      </c>
      <c r="I1553" s="56" t="inlineStr">
        <is>
          <t>4318</t>
        </is>
      </c>
      <c r="J1553" s="56" t="n"/>
      <c r="K1553" s="56" t="n"/>
      <c r="L1553" s="56" t="n"/>
      <c r="M1553" s="56" t="n"/>
      <c r="N1553" s="60" t="inlineStr">
        <is>
          <t>TRANSIT STOCK</t>
        </is>
      </c>
      <c r="O1553" s="56" t="n">
        <v>6</v>
      </c>
      <c r="P1553" s="59" t="inlineStr">
        <is>
          <t>0-30</t>
        </is>
      </c>
      <c r="Q1553" s="56" t="inlineStr">
        <is>
          <t>TRANSIT STOCK</t>
        </is>
      </c>
      <c r="U1553" s="585" t="n"/>
    </row>
    <row r="1554">
      <c r="A1554" s="56" t="n">
        <v>3682122</v>
      </c>
      <c r="B1554" s="56" t="inlineStr">
        <is>
          <t>TUB-O-N-AUT-AW-FC-31.75X1.200X6.1500</t>
        </is>
      </c>
      <c r="C1554" s="56" t="inlineStr">
        <is>
          <t>4C20C20060</t>
        </is>
      </c>
      <c r="D1554" s="57" t="n">
        <v>217</v>
      </c>
      <c r="E1554" s="57" t="n">
        <v>1138.773</v>
      </c>
      <c r="F1554" s="57" t="n">
        <v>1.138773</v>
      </c>
      <c r="G1554" s="56" t="inlineStr">
        <is>
          <t>KG</t>
        </is>
      </c>
      <c r="H1554" s="60" t="inlineStr">
        <is>
          <t>R001</t>
        </is>
      </c>
      <c r="I1554" s="56" t="inlineStr">
        <is>
          <t>4318</t>
        </is>
      </c>
      <c r="J1554" s="56" t="n"/>
      <c r="K1554" s="56" t="n"/>
      <c r="L1554" s="56" t="n"/>
      <c r="M1554" s="56" t="n"/>
      <c r="N1554" s="60" t="inlineStr">
        <is>
          <t>TRANSIT STOCK</t>
        </is>
      </c>
      <c r="O1554" s="56" t="n">
        <v>6</v>
      </c>
      <c r="P1554" s="59" t="inlineStr">
        <is>
          <t>0-30</t>
        </is>
      </c>
      <c r="Q1554" s="56" t="inlineStr">
        <is>
          <t>TRANSIT STOCK</t>
        </is>
      </c>
      <c r="U1554" s="585" t="n"/>
    </row>
    <row r="1555">
      <c r="A1555" s="56" t="n">
        <v>3682122</v>
      </c>
      <c r="B1555" s="56" t="inlineStr">
        <is>
          <t>TUB-O-N-AUT-AW-FC-31.75X1.200X6.1500</t>
        </is>
      </c>
      <c r="C1555" s="56" t="inlineStr">
        <is>
          <t>4C20C20010</t>
        </is>
      </c>
      <c r="D1555" s="57" t="n">
        <v>216</v>
      </c>
      <c r="E1555" s="57" t="n">
        <v>1133.525</v>
      </c>
      <c r="F1555" s="57" t="n">
        <v>1.133525</v>
      </c>
      <c r="G1555" s="56" t="inlineStr">
        <is>
          <t>KG</t>
        </is>
      </c>
      <c r="H1555" s="60" t="inlineStr">
        <is>
          <t>R001</t>
        </is>
      </c>
      <c r="I1555" s="56" t="inlineStr">
        <is>
          <t>4318</t>
        </is>
      </c>
      <c r="J1555" s="56" t="n"/>
      <c r="K1555" s="56" t="n"/>
      <c r="L1555" s="56" t="n"/>
      <c r="M1555" s="56" t="n"/>
      <c r="N1555" s="60" t="inlineStr">
        <is>
          <t>TRANSIT STOCK</t>
        </is>
      </c>
      <c r="O1555" s="56" t="n">
        <v>6</v>
      </c>
      <c r="P1555" s="59" t="inlineStr">
        <is>
          <t>0-30</t>
        </is>
      </c>
      <c r="Q1555" s="56" t="inlineStr">
        <is>
          <t>TRANSIT STOCK</t>
        </is>
      </c>
      <c r="U1555" s="585" t="n"/>
    </row>
    <row r="1556">
      <c r="A1556" s="56" t="n">
        <v>3682122</v>
      </c>
      <c r="B1556" s="56" t="inlineStr">
        <is>
          <t>TUB-O-N-AUT-AW-FC-31.75X1.200X6.1500</t>
        </is>
      </c>
      <c r="C1556" s="56" t="inlineStr">
        <is>
          <t>4C20C20030</t>
        </is>
      </c>
      <c r="D1556" s="57" t="n">
        <v>216</v>
      </c>
      <c r="E1556" s="57" t="n">
        <v>1133.525</v>
      </c>
      <c r="F1556" s="57" t="n">
        <v>1.133525</v>
      </c>
      <c r="G1556" s="56" t="inlineStr">
        <is>
          <t>KG</t>
        </is>
      </c>
      <c r="H1556" s="60" t="inlineStr">
        <is>
          <t>R001</t>
        </is>
      </c>
      <c r="I1556" s="56" t="inlineStr">
        <is>
          <t>4318</t>
        </is>
      </c>
      <c r="J1556" s="56" t="n"/>
      <c r="K1556" s="56" t="n"/>
      <c r="L1556" s="56" t="n"/>
      <c r="M1556" s="56" t="n"/>
      <c r="N1556" s="60" t="inlineStr">
        <is>
          <t>TRANSIT STOCK</t>
        </is>
      </c>
      <c r="O1556" s="56" t="n">
        <v>6</v>
      </c>
      <c r="P1556" s="59" t="inlineStr">
        <is>
          <t>0-30</t>
        </is>
      </c>
      <c r="Q1556" s="56" t="inlineStr">
        <is>
          <t>TRANSIT STOCK</t>
        </is>
      </c>
      <c r="U1556" s="585" t="n"/>
    </row>
    <row r="1557">
      <c r="A1557" s="56" t="n">
        <v>3682122</v>
      </c>
      <c r="B1557" s="56" t="inlineStr">
        <is>
          <t>TUB-O-N-AUT-AW-FC-31.75X1.200X6.1500</t>
        </is>
      </c>
      <c r="C1557" s="56" t="inlineStr">
        <is>
          <t>4C20C20050</t>
        </is>
      </c>
      <c r="D1557" s="57" t="n">
        <v>216</v>
      </c>
      <c r="E1557" s="57" t="n">
        <v>1133.525</v>
      </c>
      <c r="F1557" s="57" t="n">
        <v>1.133525</v>
      </c>
      <c r="G1557" s="56" t="inlineStr">
        <is>
          <t>KG</t>
        </is>
      </c>
      <c r="H1557" s="60" t="inlineStr">
        <is>
          <t>R001</t>
        </is>
      </c>
      <c r="I1557" s="56" t="inlineStr">
        <is>
          <t>4318</t>
        </is>
      </c>
      <c r="J1557" s="56" t="n"/>
      <c r="K1557" s="56" t="n"/>
      <c r="L1557" s="56" t="n"/>
      <c r="M1557" s="56" t="n"/>
      <c r="N1557" s="60" t="inlineStr">
        <is>
          <t>TRANSIT STOCK</t>
        </is>
      </c>
      <c r="O1557" s="56" t="n">
        <v>6</v>
      </c>
      <c r="P1557" s="59" t="inlineStr">
        <is>
          <t>0-30</t>
        </is>
      </c>
      <c r="Q1557" s="56" t="inlineStr">
        <is>
          <t>TRANSIT STOCK</t>
        </is>
      </c>
      <c r="U1557" s="585" t="n"/>
    </row>
    <row r="1558">
      <c r="A1558" s="56" t="n">
        <v>3682122</v>
      </c>
      <c r="B1558" s="56" t="inlineStr">
        <is>
          <t>TUB-O-N-AUT-AW-FC-31.75X1.200X6.1500</t>
        </is>
      </c>
      <c r="C1558" s="56" t="inlineStr">
        <is>
          <t>4C20C20150</t>
        </is>
      </c>
      <c r="D1558" s="57" t="n">
        <v>216</v>
      </c>
      <c r="E1558" s="57" t="n">
        <v>1133.525</v>
      </c>
      <c r="F1558" s="57" t="n">
        <v>1.133525</v>
      </c>
      <c r="G1558" s="56" t="inlineStr">
        <is>
          <t>KG</t>
        </is>
      </c>
      <c r="H1558" s="60" t="inlineStr">
        <is>
          <t>R001</t>
        </is>
      </c>
      <c r="I1558" s="56" t="inlineStr">
        <is>
          <t>4318</t>
        </is>
      </c>
      <c r="J1558" s="56" t="n"/>
      <c r="K1558" s="56" t="n"/>
      <c r="L1558" s="56" t="n"/>
      <c r="M1558" s="56" t="n"/>
      <c r="N1558" s="60" t="inlineStr">
        <is>
          <t>TRANSIT STOCK</t>
        </is>
      </c>
      <c r="O1558" s="56" t="n">
        <v>6</v>
      </c>
      <c r="P1558" s="59" t="inlineStr">
        <is>
          <t>0-30</t>
        </is>
      </c>
      <c r="Q1558" s="56" t="inlineStr">
        <is>
          <t>TRANSIT STOCK</t>
        </is>
      </c>
      <c r="U1558" s="585" t="n"/>
    </row>
    <row r="1559">
      <c r="A1559" s="56" t="n">
        <v>3682122</v>
      </c>
      <c r="B1559" s="56" t="inlineStr">
        <is>
          <t>TUB-O-N-AUT-AW-FC-31.75X1.200X6.1500</t>
        </is>
      </c>
      <c r="C1559" s="56" t="inlineStr">
        <is>
          <t>4C20C20140</t>
        </is>
      </c>
      <c r="D1559" s="57" t="n">
        <v>183</v>
      </c>
      <c r="E1559" s="57" t="n">
        <v>960.349</v>
      </c>
      <c r="F1559" s="57" t="n">
        <v>0.960349</v>
      </c>
      <c r="G1559" s="56" t="inlineStr">
        <is>
          <t>KG</t>
        </is>
      </c>
      <c r="H1559" s="60" t="inlineStr">
        <is>
          <t>R001</t>
        </is>
      </c>
      <c r="I1559" s="56" t="inlineStr">
        <is>
          <t>4318</t>
        </is>
      </c>
      <c r="J1559" s="56" t="n"/>
      <c r="K1559" s="56" t="n"/>
      <c r="L1559" s="56" t="n"/>
      <c r="M1559" s="56" t="n"/>
      <c r="N1559" s="60" t="inlineStr">
        <is>
          <t>TRANSIT STOCK</t>
        </is>
      </c>
      <c r="O1559" s="56" t="n">
        <v>6</v>
      </c>
      <c r="P1559" s="59" t="inlineStr">
        <is>
          <t>0-30</t>
        </is>
      </c>
      <c r="Q1559" s="56" t="inlineStr">
        <is>
          <t>TRANSIT STOCK</t>
        </is>
      </c>
    </row>
    <row r="1560">
      <c r="A1560" s="56" t="n">
        <v>3682124</v>
      </c>
      <c r="B1560" s="56" t="inlineStr">
        <is>
          <t>TUB-O-N-AUT-AW-PE-22.20X1.600X6.4500</t>
        </is>
      </c>
      <c r="C1560" s="56" t="inlineStr">
        <is>
          <t>5103B20030</t>
        </is>
      </c>
      <c r="D1560" s="57" t="n">
        <v>420</v>
      </c>
      <c r="E1560" s="57" t="n">
        <v>2125.578</v>
      </c>
      <c r="F1560" s="57" t="n">
        <v>2.125578</v>
      </c>
      <c r="G1560" s="56" t="inlineStr">
        <is>
          <t>KG</t>
        </is>
      </c>
      <c r="H1560" s="60" t="inlineStr">
        <is>
          <t>R001</t>
        </is>
      </c>
      <c r="I1560" s="56" t="inlineStr">
        <is>
          <t>4318</t>
        </is>
      </c>
      <c r="J1560" s="56" t="n"/>
      <c r="K1560" s="56" t="n"/>
      <c r="L1560" s="56" t="n"/>
      <c r="M1560" s="56" t="n"/>
      <c r="N1560" s="60" t="inlineStr">
        <is>
          <t>TRANSIT STOCK</t>
        </is>
      </c>
      <c r="O1560" s="56" t="n">
        <v>6</v>
      </c>
      <c r="P1560" s="59" t="inlineStr">
        <is>
          <t>0-30</t>
        </is>
      </c>
      <c r="Q1560" s="56" t="inlineStr">
        <is>
          <t>TRANSIT STOCK</t>
        </is>
      </c>
    </row>
    <row r="1561">
      <c r="A1561" s="56" t="n">
        <v>3514379</v>
      </c>
      <c r="B1561" s="56" t="inlineStr">
        <is>
          <t>TUB-O-N-AUT-AW-FC-48.60X2.000X6.5500 HST</t>
        </is>
      </c>
      <c r="C1561" s="56" t="inlineStr">
        <is>
          <t>4C05A40310</t>
        </is>
      </c>
      <c r="D1561" s="57" t="n">
        <v>125</v>
      </c>
      <c r="E1561" s="57" t="n">
        <v>1836.75</v>
      </c>
      <c r="F1561" s="57" t="n">
        <v>1.83675</v>
      </c>
      <c r="G1561" s="56" t="inlineStr">
        <is>
          <t>KG</t>
        </is>
      </c>
      <c r="H1561" s="60" t="inlineStr">
        <is>
          <t>R001</t>
        </is>
      </c>
      <c r="I1561" s="56" t="inlineStr">
        <is>
          <t>8406</t>
        </is>
      </c>
      <c r="J1561" s="56" t="n"/>
      <c r="K1561" s="56" t="n"/>
      <c r="L1561" s="56" t="n"/>
      <c r="M1561" s="56" t="n"/>
      <c r="N1561" s="60" t="inlineStr">
        <is>
          <t>TRANSIT STOCK</t>
        </is>
      </c>
      <c r="O1561" s="56" t="n">
        <v>5</v>
      </c>
      <c r="P1561" s="59" t="inlineStr">
        <is>
          <t>0-30</t>
        </is>
      </c>
      <c r="Q1561" s="56" t="inlineStr">
        <is>
          <t>TRANSIT STOCK</t>
        </is>
      </c>
    </row>
    <row r="1562">
      <c r="A1562" s="56" t="n">
        <v>3514379</v>
      </c>
      <c r="B1562" s="56" t="inlineStr">
        <is>
          <t>TUB-O-N-AUT-AW-FC-48.60X2.000X6.5500 HST</t>
        </is>
      </c>
      <c r="C1562" s="56" t="inlineStr">
        <is>
          <t>4C05A40290</t>
        </is>
      </c>
      <c r="D1562" s="57" t="n">
        <v>127</v>
      </c>
      <c r="E1562" s="57" t="n">
        <v>1866.138</v>
      </c>
      <c r="F1562" s="57" t="n">
        <v>1.866138</v>
      </c>
      <c r="G1562" s="56" t="inlineStr">
        <is>
          <t>KG</t>
        </is>
      </c>
      <c r="H1562" s="60" t="inlineStr">
        <is>
          <t>R001</t>
        </is>
      </c>
      <c r="I1562" s="56" t="inlineStr">
        <is>
          <t>8406</t>
        </is>
      </c>
      <c r="J1562" s="56" t="n"/>
      <c r="K1562" s="56" t="n"/>
      <c r="L1562" s="56" t="n"/>
      <c r="M1562" s="56" t="n"/>
      <c r="N1562" s="60" t="inlineStr">
        <is>
          <t>TRANSIT STOCK</t>
        </is>
      </c>
      <c r="O1562" s="56" t="n">
        <v>5</v>
      </c>
      <c r="P1562" s="59" t="inlineStr">
        <is>
          <t>0-30</t>
        </is>
      </c>
      <c r="Q1562" s="56" t="inlineStr">
        <is>
          <t>TRANSIT STOCK</t>
        </is>
      </c>
    </row>
    <row r="1563">
      <c r="A1563" s="56" t="n">
        <v>3682124</v>
      </c>
      <c r="B1563" s="56" t="inlineStr">
        <is>
          <t>TUB-O-N-AUT-AW-PE-22.20X1.600X6.4500</t>
        </is>
      </c>
      <c r="C1563" s="56" t="inlineStr">
        <is>
          <t>5105A20010</t>
        </is>
      </c>
      <c r="D1563" s="57" t="n">
        <v>420</v>
      </c>
      <c r="E1563" s="57" t="n">
        <v>2125.578</v>
      </c>
      <c r="F1563" s="57" t="n">
        <v>2.125578</v>
      </c>
      <c r="G1563" s="56" t="inlineStr">
        <is>
          <t>KG</t>
        </is>
      </c>
      <c r="H1563" s="60" t="inlineStr">
        <is>
          <t>R001</t>
        </is>
      </c>
      <c r="I1563" s="56" t="inlineStr">
        <is>
          <t>4318</t>
        </is>
      </c>
      <c r="J1563" s="56" t="n"/>
      <c r="K1563" s="56" t="n"/>
      <c r="L1563" s="56" t="n"/>
      <c r="M1563" s="56" t="n"/>
      <c r="N1563" s="60" t="inlineStr">
        <is>
          <t>TRANSIT STOCK</t>
        </is>
      </c>
      <c r="O1563" s="56" t="n">
        <v>5</v>
      </c>
      <c r="P1563" s="59" t="inlineStr">
        <is>
          <t>0-30</t>
        </is>
      </c>
      <c r="Q1563" s="56" t="inlineStr">
        <is>
          <t>TRANSIT STOCK</t>
        </is>
      </c>
    </row>
    <row r="1564">
      <c r="A1564" s="56" t="n">
        <v>3682124</v>
      </c>
      <c r="B1564" s="56" t="inlineStr">
        <is>
          <t>TUB-O-N-AUT-AW-PE-22.20X1.600X6.4500</t>
        </is>
      </c>
      <c r="C1564" s="56" t="inlineStr">
        <is>
          <t>5105A20020</t>
        </is>
      </c>
      <c r="D1564" s="57" t="n">
        <v>420</v>
      </c>
      <c r="E1564" s="57" t="n">
        <v>2125.578</v>
      </c>
      <c r="F1564" s="57" t="n">
        <v>2.125578</v>
      </c>
      <c r="G1564" s="56" t="inlineStr">
        <is>
          <t>KG</t>
        </is>
      </c>
      <c r="H1564" s="60" t="inlineStr">
        <is>
          <t>R001</t>
        </is>
      </c>
      <c r="I1564" s="56" t="inlineStr">
        <is>
          <t>4318</t>
        </is>
      </c>
      <c r="J1564" s="56" t="n"/>
      <c r="K1564" s="56" t="n"/>
      <c r="L1564" s="56" t="n"/>
      <c r="M1564" s="56" t="n"/>
      <c r="N1564" s="60" t="inlineStr">
        <is>
          <t>TRANSIT STOCK</t>
        </is>
      </c>
      <c r="O1564" s="56" t="n">
        <v>5</v>
      </c>
      <c r="P1564" s="59" t="inlineStr">
        <is>
          <t>0-30</t>
        </is>
      </c>
      <c r="Q1564" s="56" t="inlineStr">
        <is>
          <t>TRANSIT STOCK</t>
        </is>
      </c>
    </row>
    <row r="1565">
      <c r="A1565" s="56" t="n">
        <v>3682124</v>
      </c>
      <c r="B1565" s="56" t="inlineStr">
        <is>
          <t>TUB-O-N-AUT-AW-PE-22.20X1.600X6.4500</t>
        </is>
      </c>
      <c r="C1565" s="56" t="inlineStr">
        <is>
          <t>5105A20050</t>
        </is>
      </c>
      <c r="D1565" s="57" t="n">
        <v>420</v>
      </c>
      <c r="E1565" s="57" t="n">
        <v>2125.578</v>
      </c>
      <c r="F1565" s="57" t="n">
        <v>2.125578</v>
      </c>
      <c r="G1565" s="56" t="inlineStr">
        <is>
          <t>KG</t>
        </is>
      </c>
      <c r="H1565" s="60" t="inlineStr">
        <is>
          <t>R001</t>
        </is>
      </c>
      <c r="I1565" s="56" t="inlineStr">
        <is>
          <t>4318</t>
        </is>
      </c>
      <c r="J1565" s="56" t="n"/>
      <c r="K1565" s="56" t="n"/>
      <c r="L1565" s="56" t="n"/>
      <c r="M1565" s="56" t="n"/>
      <c r="N1565" s="60" t="inlineStr">
        <is>
          <t>TRANSIT STOCK</t>
        </is>
      </c>
      <c r="O1565" s="56" t="n">
        <v>5</v>
      </c>
      <c r="P1565" s="59" t="inlineStr">
        <is>
          <t>0-30</t>
        </is>
      </c>
      <c r="Q1565" s="56" t="inlineStr">
        <is>
          <t>TRANSIT STOCK</t>
        </is>
      </c>
    </row>
    <row r="1566">
      <c r="A1566" s="56" t="n">
        <v>3682124</v>
      </c>
      <c r="B1566" s="56" t="inlineStr">
        <is>
          <t>TUB-O-N-AUT-AW-PE-22.20X1.600X6.4500</t>
        </is>
      </c>
      <c r="C1566" s="56" t="inlineStr">
        <is>
          <t>5105A20060</t>
        </is>
      </c>
      <c r="D1566" s="57" t="n">
        <v>420</v>
      </c>
      <c r="E1566" s="57" t="n">
        <v>2125.578</v>
      </c>
      <c r="F1566" s="57" t="n">
        <v>2.125578</v>
      </c>
      <c r="G1566" s="56" t="inlineStr">
        <is>
          <t>KG</t>
        </is>
      </c>
      <c r="H1566" s="60" t="inlineStr">
        <is>
          <t>R001</t>
        </is>
      </c>
      <c r="I1566" s="56" t="inlineStr">
        <is>
          <t>4318</t>
        </is>
      </c>
      <c r="J1566" s="56" t="n"/>
      <c r="K1566" s="56" t="n"/>
      <c r="L1566" s="56" t="n"/>
      <c r="M1566" s="56" t="n"/>
      <c r="N1566" s="60" t="inlineStr">
        <is>
          <t>TRANSIT STOCK</t>
        </is>
      </c>
      <c r="O1566" s="56" t="n">
        <v>5</v>
      </c>
      <c r="P1566" s="59" t="inlineStr">
        <is>
          <t>0-30</t>
        </is>
      </c>
      <c r="Q1566" s="56" t="inlineStr">
        <is>
          <t>TRANSIT STOCK</t>
        </is>
      </c>
    </row>
    <row r="1567">
      <c r="A1567" s="56" t="n">
        <v>3682124</v>
      </c>
      <c r="B1567" s="56" t="inlineStr">
        <is>
          <t>TUB-O-N-AUT-AW-PE-22.20X1.600X6.4500</t>
        </is>
      </c>
      <c r="C1567" s="56" t="inlineStr">
        <is>
          <t>5105A20040</t>
        </is>
      </c>
      <c r="D1567" s="57" t="n">
        <v>419</v>
      </c>
      <c r="E1567" s="57" t="n">
        <v>2120.517</v>
      </c>
      <c r="F1567" s="57" t="n">
        <v>2.120517</v>
      </c>
      <c r="G1567" s="56" t="inlineStr">
        <is>
          <t>KG</t>
        </is>
      </c>
      <c r="H1567" s="60" t="inlineStr">
        <is>
          <t>R001</t>
        </is>
      </c>
      <c r="I1567" s="56" t="inlineStr">
        <is>
          <t>4318</t>
        </is>
      </c>
      <c r="J1567" s="56" t="n"/>
      <c r="K1567" s="56" t="n"/>
      <c r="L1567" s="56" t="n"/>
      <c r="M1567" s="56" t="n"/>
      <c r="N1567" s="60" t="inlineStr">
        <is>
          <t>TRANSIT STOCK</t>
        </is>
      </c>
      <c r="O1567" s="56" t="n">
        <v>5</v>
      </c>
      <c r="P1567" s="59" t="inlineStr">
        <is>
          <t>0-30</t>
        </is>
      </c>
      <c r="Q1567" s="56" t="inlineStr">
        <is>
          <t>TRANSIT STOCK</t>
        </is>
      </c>
    </row>
    <row r="1568">
      <c r="A1568" s="56" t="n">
        <v>3502487</v>
      </c>
      <c r="B1568" s="56" t="inlineStr">
        <is>
          <t>TUB-O-N-AUT-AW-FC-48.60X4.000X6.0030 HST</t>
        </is>
      </c>
      <c r="C1568" s="56" t="inlineStr">
        <is>
          <t>5107B40080</t>
        </is>
      </c>
      <c r="D1568" s="57" t="n">
        <v>93</v>
      </c>
      <c r="E1568" s="57" t="n">
        <v>2348.528</v>
      </c>
      <c r="F1568" s="57" t="n">
        <v>2.348528</v>
      </c>
      <c r="G1568" s="56" t="inlineStr">
        <is>
          <t>KG</t>
        </is>
      </c>
      <c r="H1568" s="60" t="inlineStr">
        <is>
          <t>R001</t>
        </is>
      </c>
      <c r="I1568" s="56" t="inlineStr">
        <is>
          <t>4318</t>
        </is>
      </c>
      <c r="J1568" s="56" t="n"/>
      <c r="K1568" s="56" t="n"/>
      <c r="L1568" s="56" t="n"/>
      <c r="M1568" s="56" t="n"/>
      <c r="N1568" s="60" t="inlineStr">
        <is>
          <t>TRANSIT STOCK</t>
        </is>
      </c>
      <c r="O1568" s="56" t="n">
        <v>5</v>
      </c>
      <c r="P1568" s="59" t="inlineStr">
        <is>
          <t>0-30</t>
        </is>
      </c>
      <c r="Q1568" s="56" t="inlineStr">
        <is>
          <t>TRANSIT STOCK</t>
        </is>
      </c>
    </row>
    <row r="1569">
      <c r="A1569" s="56" t="n">
        <v>3502487</v>
      </c>
      <c r="B1569" s="56" t="inlineStr">
        <is>
          <t>TUB-O-N-AUT-AW-FC-48.60X4.000X6.0030 HST</t>
        </is>
      </c>
      <c r="C1569" s="56" t="inlineStr">
        <is>
          <t>5107B40090</t>
        </is>
      </c>
      <c r="D1569" s="57" t="n">
        <v>93</v>
      </c>
      <c r="E1569" s="57" t="n">
        <v>2348.528</v>
      </c>
      <c r="F1569" s="57" t="n">
        <v>2.348528</v>
      </c>
      <c r="G1569" s="56" t="inlineStr">
        <is>
          <t>KG</t>
        </is>
      </c>
      <c r="H1569" s="60" t="inlineStr">
        <is>
          <t>R001</t>
        </is>
      </c>
      <c r="I1569" s="56" t="inlineStr">
        <is>
          <t>4318</t>
        </is>
      </c>
      <c r="J1569" s="56" t="n"/>
      <c r="K1569" s="56" t="n"/>
      <c r="L1569" s="56" t="n"/>
      <c r="M1569" s="56" t="n"/>
      <c r="N1569" s="60" t="inlineStr">
        <is>
          <t>TRANSIT STOCK</t>
        </is>
      </c>
      <c r="O1569" s="56" t="n">
        <v>5</v>
      </c>
      <c r="P1569" s="59" t="inlineStr">
        <is>
          <t>0-30</t>
        </is>
      </c>
      <c r="Q1569" s="56" t="inlineStr">
        <is>
          <t>TRANSIT STOCK</t>
        </is>
      </c>
    </row>
    <row r="1570">
      <c r="A1570" s="56" t="n">
        <v>3682070</v>
      </c>
      <c r="B1570" s="56" t="inlineStr">
        <is>
          <t>TUB-O-N-AUT-AW-PE-19.05X2.300X6.0500</t>
        </is>
      </c>
      <c r="C1570" s="56" t="inlineStr">
        <is>
          <t>5108A20060</t>
        </is>
      </c>
      <c r="D1570" s="57" t="n">
        <v>449</v>
      </c>
      <c r="E1570" s="57" t="n">
        <v>2483.374</v>
      </c>
      <c r="F1570" s="57" t="n">
        <v>2.483374</v>
      </c>
      <c r="G1570" s="56" t="inlineStr">
        <is>
          <t>KG</t>
        </is>
      </c>
      <c r="H1570" s="60" t="inlineStr">
        <is>
          <t>R001</t>
        </is>
      </c>
      <c r="I1570" s="56" t="inlineStr">
        <is>
          <t>4318</t>
        </is>
      </c>
      <c r="J1570" s="56" t="n"/>
      <c r="K1570" s="56" t="n"/>
      <c r="L1570" s="56" t="n"/>
      <c r="M1570" s="56" t="n"/>
      <c r="N1570" s="60" t="inlineStr">
        <is>
          <t>TRANSIT STOCK</t>
        </is>
      </c>
      <c r="O1570" s="56" t="n">
        <v>4</v>
      </c>
      <c r="P1570" s="59" t="inlineStr">
        <is>
          <t>0-30</t>
        </is>
      </c>
      <c r="Q1570" s="56" t="inlineStr">
        <is>
          <t>TRANSIT STOCK</t>
        </is>
      </c>
    </row>
    <row r="1571">
      <c r="A1571" s="56" t="n">
        <v>3682070</v>
      </c>
      <c r="B1571" s="56" t="inlineStr">
        <is>
          <t>TUB-O-N-AUT-AW-PE-19.05X2.300X6.0500</t>
        </is>
      </c>
      <c r="C1571" s="56" t="inlineStr">
        <is>
          <t>5108A20070</t>
        </is>
      </c>
      <c r="D1571" s="57" t="n">
        <v>450</v>
      </c>
      <c r="E1571" s="57" t="n">
        <v>2488.905</v>
      </c>
      <c r="F1571" s="57" t="n">
        <v>2.488905</v>
      </c>
      <c r="G1571" s="56" t="inlineStr">
        <is>
          <t>KG</t>
        </is>
      </c>
      <c r="H1571" s="60" t="inlineStr">
        <is>
          <t>R001</t>
        </is>
      </c>
      <c r="I1571" s="56" t="inlineStr">
        <is>
          <t>4318</t>
        </is>
      </c>
      <c r="J1571" s="56" t="n"/>
      <c r="K1571" s="56" t="n"/>
      <c r="L1571" s="56" t="n"/>
      <c r="M1571" s="56" t="n"/>
      <c r="N1571" s="60" t="inlineStr">
        <is>
          <t>TRANSIT STOCK</t>
        </is>
      </c>
      <c r="O1571" s="56" t="n">
        <v>4</v>
      </c>
      <c r="P1571" s="59" t="inlineStr">
        <is>
          <t>0-30</t>
        </is>
      </c>
      <c r="Q1571" s="56" t="inlineStr">
        <is>
          <t>TRANSIT STOCK</t>
        </is>
      </c>
    </row>
    <row r="1572">
      <c r="A1572" s="56" t="n">
        <v>3682070</v>
      </c>
      <c r="B1572" s="56" t="inlineStr">
        <is>
          <t>TUB-O-N-AUT-AW-PE-19.05X2.300X6.0500</t>
        </is>
      </c>
      <c r="C1572" s="56" t="inlineStr">
        <is>
          <t>5108B20070</t>
        </is>
      </c>
      <c r="D1572" s="57" t="n">
        <v>450</v>
      </c>
      <c r="E1572" s="57" t="n">
        <v>2488.905</v>
      </c>
      <c r="F1572" s="57" t="n">
        <v>2.488905</v>
      </c>
      <c r="G1572" s="56" t="inlineStr">
        <is>
          <t>KG</t>
        </is>
      </c>
      <c r="H1572" s="60" t="inlineStr">
        <is>
          <t>R001</t>
        </is>
      </c>
      <c r="I1572" s="56" t="inlineStr">
        <is>
          <t>4318</t>
        </is>
      </c>
      <c r="J1572" s="56" t="n"/>
      <c r="K1572" s="56" t="n"/>
      <c r="L1572" s="56" t="n"/>
      <c r="M1572" s="56" t="n"/>
      <c r="N1572" s="60" t="inlineStr">
        <is>
          <t>TRANSIT STOCK</t>
        </is>
      </c>
      <c r="O1572" s="56" t="n">
        <v>4</v>
      </c>
      <c r="P1572" s="59" t="inlineStr">
        <is>
          <t>0-30</t>
        </is>
      </c>
      <c r="Q1572" s="56" t="inlineStr">
        <is>
          <t>TRANSIT STOCK</t>
        </is>
      </c>
    </row>
    <row r="1573">
      <c r="A1573" s="56" t="n">
        <v>3682070</v>
      </c>
      <c r="B1573" s="56" t="inlineStr">
        <is>
          <t>TUB-O-N-AUT-AW-PE-19.05X2.300X6.0500</t>
        </is>
      </c>
      <c r="C1573" s="56" t="inlineStr">
        <is>
          <t>5108C20010</t>
        </is>
      </c>
      <c r="D1573" s="57" t="n">
        <v>448</v>
      </c>
      <c r="E1573" s="57" t="n">
        <v>2477.843</v>
      </c>
      <c r="F1573" s="57" t="n">
        <v>2.477843</v>
      </c>
      <c r="G1573" s="56" t="inlineStr">
        <is>
          <t>KG</t>
        </is>
      </c>
      <c r="H1573" s="60" t="inlineStr">
        <is>
          <t>R001</t>
        </is>
      </c>
      <c r="I1573" s="56" t="inlineStr">
        <is>
          <t>4318</t>
        </is>
      </c>
      <c r="J1573" s="56" t="n"/>
      <c r="K1573" s="56" t="n"/>
      <c r="L1573" s="56" t="n"/>
      <c r="M1573" s="56" t="n"/>
      <c r="N1573" s="60" t="inlineStr">
        <is>
          <t>TRANSIT STOCK</t>
        </is>
      </c>
      <c r="O1573" s="56" t="n">
        <v>4</v>
      </c>
      <c r="P1573" s="59" t="inlineStr">
        <is>
          <t>0-30</t>
        </is>
      </c>
      <c r="Q1573" s="56" t="inlineStr">
        <is>
          <t>TRANSIT STOCK</t>
        </is>
      </c>
    </row>
    <row r="1574">
      <c r="A1574" s="56" t="n">
        <v>3682070</v>
      </c>
      <c r="B1574" s="56" t="inlineStr">
        <is>
          <t>TUB-O-N-AUT-AW-PE-19.05X2.300X6.0500</t>
        </is>
      </c>
      <c r="C1574" s="56" t="inlineStr">
        <is>
          <t>5108B20080</t>
        </is>
      </c>
      <c r="D1574" s="57" t="n">
        <v>467</v>
      </c>
      <c r="E1574" s="57" t="n">
        <v>2582.93</v>
      </c>
      <c r="F1574" s="57" t="n">
        <v>2.58293</v>
      </c>
      <c r="G1574" s="56" t="inlineStr">
        <is>
          <t>KG</t>
        </is>
      </c>
      <c r="H1574" s="60" t="inlineStr">
        <is>
          <t>R001</t>
        </is>
      </c>
      <c r="I1574" s="56" t="inlineStr">
        <is>
          <t>4318</t>
        </is>
      </c>
      <c r="J1574" s="56" t="n"/>
      <c r="K1574" s="56" t="n"/>
      <c r="L1574" s="56" t="n"/>
      <c r="M1574" s="56" t="n"/>
      <c r="N1574" s="60" t="inlineStr">
        <is>
          <t>TRANSIT STOCK</t>
        </is>
      </c>
      <c r="O1574" s="56" t="n">
        <v>4</v>
      </c>
      <c r="P1574" s="59" t="inlineStr">
        <is>
          <t>0-30</t>
        </is>
      </c>
      <c r="Q1574" s="56" t="inlineStr">
        <is>
          <t>TRANSIT STOCK</t>
        </is>
      </c>
    </row>
    <row r="1575">
      <c r="A1575" s="56" t="n">
        <v>3682124</v>
      </c>
      <c r="B1575" s="56" t="inlineStr">
        <is>
          <t>TUB-O-N-AUT-AW-PE-22.20X1.600X6.4500</t>
        </is>
      </c>
      <c r="C1575" s="56" t="inlineStr">
        <is>
          <t>5105A20080</t>
        </is>
      </c>
      <c r="D1575" s="57" t="n">
        <v>420</v>
      </c>
      <c r="E1575" s="57" t="n">
        <v>2125.578</v>
      </c>
      <c r="F1575" s="57" t="n">
        <v>2.125578</v>
      </c>
      <c r="G1575" s="56" t="inlineStr">
        <is>
          <t>KG</t>
        </is>
      </c>
      <c r="H1575" s="60" t="inlineStr">
        <is>
          <t>R001</t>
        </is>
      </c>
      <c r="I1575" s="56" t="inlineStr">
        <is>
          <t>4318</t>
        </is>
      </c>
      <c r="J1575" s="56" t="n"/>
      <c r="K1575" s="56" t="n"/>
      <c r="L1575" s="56" t="n"/>
      <c r="M1575" s="56" t="n"/>
      <c r="N1575" s="60" t="inlineStr">
        <is>
          <t>TRANSIT STOCK</t>
        </is>
      </c>
      <c r="O1575" s="56" t="n">
        <v>4</v>
      </c>
      <c r="P1575" s="59" t="inlineStr">
        <is>
          <t>0-30</t>
        </is>
      </c>
      <c r="Q1575" s="56" t="inlineStr">
        <is>
          <t>TRANSIT STOCK</t>
        </is>
      </c>
    </row>
    <row r="1576">
      <c r="A1576" s="56" t="n">
        <v>3682124</v>
      </c>
      <c r="B1576" s="56" t="inlineStr">
        <is>
          <t>TUB-O-N-AUT-AW-PE-22.20X1.600X6.4500</t>
        </is>
      </c>
      <c r="C1576" s="56" t="inlineStr">
        <is>
          <t>5106A20100</t>
        </is>
      </c>
      <c r="D1576" s="57" t="n">
        <v>420</v>
      </c>
      <c r="E1576" s="57" t="n">
        <v>2125.578</v>
      </c>
      <c r="F1576" s="57" t="n">
        <v>2.125578</v>
      </c>
      <c r="G1576" s="56" t="inlineStr">
        <is>
          <t>KG</t>
        </is>
      </c>
      <c r="H1576" s="60" t="inlineStr">
        <is>
          <t>R001</t>
        </is>
      </c>
      <c r="I1576" s="56" t="inlineStr">
        <is>
          <t>4318</t>
        </is>
      </c>
      <c r="J1576" s="56" t="n"/>
      <c r="K1576" s="56" t="n"/>
      <c r="L1576" s="56" t="n"/>
      <c r="M1576" s="56" t="n"/>
      <c r="N1576" s="60" t="inlineStr">
        <is>
          <t>TRANSIT STOCK</t>
        </is>
      </c>
      <c r="O1576" s="56" t="n">
        <v>4</v>
      </c>
      <c r="P1576" s="59" t="inlineStr">
        <is>
          <t>0-30</t>
        </is>
      </c>
      <c r="Q1576" s="56" t="inlineStr">
        <is>
          <t>TRANSIT STOCK</t>
        </is>
      </c>
    </row>
    <row r="1577">
      <c r="A1577" s="56" t="n">
        <v>3682124</v>
      </c>
      <c r="B1577" s="56" t="inlineStr">
        <is>
          <t>TUB-O-N-AUT-AW-PE-22.20X1.600X6.4500</t>
        </is>
      </c>
      <c r="C1577" s="56" t="inlineStr">
        <is>
          <t>5106B20020</t>
        </is>
      </c>
      <c r="D1577" s="57" t="n">
        <v>420</v>
      </c>
      <c r="E1577" s="57" t="n">
        <v>2125.578</v>
      </c>
      <c r="F1577" s="57" t="n">
        <v>2.125578</v>
      </c>
      <c r="G1577" s="56" t="inlineStr">
        <is>
          <t>KG</t>
        </is>
      </c>
      <c r="H1577" s="60" t="inlineStr">
        <is>
          <t>R001</t>
        </is>
      </c>
      <c r="I1577" s="56" t="inlineStr">
        <is>
          <t>4318</t>
        </is>
      </c>
      <c r="J1577" s="56" t="n"/>
      <c r="K1577" s="56" t="n"/>
      <c r="L1577" s="56" t="n"/>
      <c r="M1577" s="56" t="n"/>
      <c r="N1577" s="60" t="inlineStr">
        <is>
          <t>TRANSIT STOCK</t>
        </is>
      </c>
      <c r="O1577" s="56" t="n">
        <v>4</v>
      </c>
      <c r="P1577" s="59" t="inlineStr">
        <is>
          <t>0-30</t>
        </is>
      </c>
      <c r="Q1577" s="56" t="inlineStr">
        <is>
          <t>TRANSIT STOCK</t>
        </is>
      </c>
    </row>
    <row r="1578">
      <c r="A1578" s="56" t="n">
        <v>3682124</v>
      </c>
      <c r="B1578" s="56" t="inlineStr">
        <is>
          <t>TUB-O-N-AUT-AW-PE-22.20X1.600X6.4500</t>
        </is>
      </c>
      <c r="C1578" s="56" t="inlineStr">
        <is>
          <t>5106B20070</t>
        </is>
      </c>
      <c r="D1578" s="57" t="n">
        <v>420</v>
      </c>
      <c r="E1578" s="57" t="n">
        <v>2125.578</v>
      </c>
      <c r="F1578" s="57" t="n">
        <v>2.125578</v>
      </c>
      <c r="G1578" s="56" t="inlineStr">
        <is>
          <t>KG</t>
        </is>
      </c>
      <c r="H1578" s="60" t="inlineStr">
        <is>
          <t>R001</t>
        </is>
      </c>
      <c r="I1578" s="56" t="inlineStr">
        <is>
          <t>4318</t>
        </is>
      </c>
      <c r="J1578" s="56" t="n"/>
      <c r="K1578" s="56" t="n"/>
      <c r="L1578" s="56" t="n"/>
      <c r="M1578" s="56" t="n"/>
      <c r="N1578" s="60" t="inlineStr">
        <is>
          <t>TRANSIT STOCK</t>
        </is>
      </c>
      <c r="O1578" s="56" t="n">
        <v>4</v>
      </c>
      <c r="P1578" s="59" t="inlineStr">
        <is>
          <t>0-30</t>
        </is>
      </c>
      <c r="Q1578" s="56" t="inlineStr">
        <is>
          <t>TRANSIT STOCK</t>
        </is>
      </c>
    </row>
    <row r="1579">
      <c r="A1579" s="56" t="n">
        <v>3682124</v>
      </c>
      <c r="B1579" s="56" t="inlineStr">
        <is>
          <t>TUB-O-N-AUT-AW-PE-22.20X1.600X6.4500</t>
        </is>
      </c>
      <c r="C1579" s="56" t="inlineStr">
        <is>
          <t>5106B20080</t>
        </is>
      </c>
      <c r="D1579" s="57" t="n">
        <v>420</v>
      </c>
      <c r="E1579" s="57" t="n">
        <v>2125.578</v>
      </c>
      <c r="F1579" s="57" t="n">
        <v>2.125578</v>
      </c>
      <c r="G1579" s="56" t="inlineStr">
        <is>
          <t>KG</t>
        </is>
      </c>
      <c r="H1579" s="60" t="inlineStr">
        <is>
          <t>R001</t>
        </is>
      </c>
      <c r="I1579" s="56" t="inlineStr">
        <is>
          <t>4318</t>
        </is>
      </c>
      <c r="J1579" s="56" t="n"/>
      <c r="K1579" s="56" t="n"/>
      <c r="L1579" s="56" t="n"/>
      <c r="M1579" s="56" t="n"/>
      <c r="N1579" s="60" t="inlineStr">
        <is>
          <t>TRANSIT STOCK</t>
        </is>
      </c>
      <c r="O1579" s="56" t="n">
        <v>4</v>
      </c>
      <c r="P1579" s="59" t="inlineStr">
        <is>
          <t>0-30</t>
        </is>
      </c>
      <c r="Q1579" s="56" t="inlineStr">
        <is>
          <t>TRANSIT STOCK</t>
        </is>
      </c>
    </row>
    <row r="1580">
      <c r="A1580" s="56" t="n">
        <v>3682124</v>
      </c>
      <c r="B1580" s="56" t="inlineStr">
        <is>
          <t>TUB-O-N-AUT-AW-PE-22.20X1.600X6.4500</t>
        </is>
      </c>
      <c r="C1580" s="56" t="inlineStr">
        <is>
          <t>5106A20090</t>
        </is>
      </c>
      <c r="D1580" s="57" t="n">
        <v>419</v>
      </c>
      <c r="E1580" s="57" t="n">
        <v>2120.517</v>
      </c>
      <c r="F1580" s="57" t="n">
        <v>2.120517</v>
      </c>
      <c r="G1580" s="56" t="inlineStr">
        <is>
          <t>KG</t>
        </is>
      </c>
      <c r="H1580" s="60" t="inlineStr">
        <is>
          <t>R001</t>
        </is>
      </c>
      <c r="I1580" s="56" t="inlineStr">
        <is>
          <t>4318</t>
        </is>
      </c>
      <c r="J1580" s="56" t="n"/>
      <c r="K1580" s="56" t="n"/>
      <c r="L1580" s="56" t="n"/>
      <c r="M1580" s="56" t="n"/>
      <c r="N1580" s="60" t="inlineStr">
        <is>
          <t>TRANSIT STOCK</t>
        </is>
      </c>
      <c r="O1580" s="56" t="n">
        <v>4</v>
      </c>
      <c r="P1580" s="59" t="inlineStr">
        <is>
          <t>0-30</t>
        </is>
      </c>
      <c r="Q1580" s="56" t="inlineStr">
        <is>
          <t>TRANSIT STOCK</t>
        </is>
      </c>
    </row>
    <row r="1581">
      <c r="A1581" s="56" t="n">
        <v>3682070</v>
      </c>
      <c r="B1581" s="56" t="inlineStr">
        <is>
          <t>TUB-O-N-AUT-AW-PE-19.05X2.300X6.0500</t>
        </is>
      </c>
      <c r="C1581" s="56" t="inlineStr">
        <is>
          <t>5108A20020</t>
        </is>
      </c>
      <c r="D1581" s="57" t="n">
        <v>450</v>
      </c>
      <c r="E1581" s="57" t="n">
        <v>2488.905</v>
      </c>
      <c r="F1581" s="57" t="n">
        <v>2.488905</v>
      </c>
      <c r="G1581" s="56" t="inlineStr">
        <is>
          <t>KG</t>
        </is>
      </c>
      <c r="H1581" s="60" t="inlineStr">
        <is>
          <t>R001</t>
        </is>
      </c>
      <c r="I1581" s="56" t="inlineStr">
        <is>
          <t>4318</t>
        </is>
      </c>
      <c r="J1581" s="56" t="n"/>
      <c r="K1581" s="56" t="n"/>
      <c r="L1581" s="56" t="n"/>
      <c r="M1581" s="56" t="n"/>
      <c r="N1581" s="60" t="inlineStr">
        <is>
          <t>TRANSIT STOCK</t>
        </is>
      </c>
      <c r="O1581" s="56" t="n">
        <v>4</v>
      </c>
      <c r="P1581" s="59" t="inlineStr">
        <is>
          <t>0-30</t>
        </is>
      </c>
      <c r="Q1581" s="56" t="inlineStr">
        <is>
          <t>TRANSIT STOCK</t>
        </is>
      </c>
    </row>
    <row r="1582">
      <c r="A1582" s="56" t="n">
        <v>3682070</v>
      </c>
      <c r="B1582" s="56" t="inlineStr">
        <is>
          <t>TUB-O-N-AUT-AW-PE-19.05X2.300X6.0500</t>
        </is>
      </c>
      <c r="C1582" s="56" t="inlineStr">
        <is>
          <t>5108A20050</t>
        </is>
      </c>
      <c r="D1582" s="57" t="n">
        <v>450</v>
      </c>
      <c r="E1582" s="57" t="n">
        <v>2488.905</v>
      </c>
      <c r="F1582" s="57" t="n">
        <v>2.488905</v>
      </c>
      <c r="G1582" s="56" t="inlineStr">
        <is>
          <t>KG</t>
        </is>
      </c>
      <c r="H1582" s="60" t="inlineStr">
        <is>
          <t>R001</t>
        </is>
      </c>
      <c r="I1582" s="56" t="inlineStr">
        <is>
          <t>4318</t>
        </is>
      </c>
      <c r="J1582" s="56" t="n"/>
      <c r="K1582" s="56" t="n"/>
      <c r="L1582" s="56" t="n"/>
      <c r="M1582" s="56" t="n"/>
      <c r="N1582" s="60" t="inlineStr">
        <is>
          <t>TRANSIT STOCK</t>
        </is>
      </c>
      <c r="O1582" s="56" t="n">
        <v>4</v>
      </c>
      <c r="P1582" s="59" t="inlineStr">
        <is>
          <t>0-30</t>
        </is>
      </c>
      <c r="Q1582" s="56" t="inlineStr">
        <is>
          <t>TRANSIT STOCK</t>
        </is>
      </c>
    </row>
    <row r="1583">
      <c r="A1583" s="56" t="n">
        <v>3682070</v>
      </c>
      <c r="B1583" s="56" t="inlineStr">
        <is>
          <t>TUB-O-N-AUT-AW-PE-19.05X2.300X6.0500</t>
        </is>
      </c>
      <c r="C1583" s="56" t="inlineStr">
        <is>
          <t>5108A20030</t>
        </is>
      </c>
      <c r="D1583" s="57" t="n">
        <v>449</v>
      </c>
      <c r="E1583" s="57" t="n">
        <v>2483.374</v>
      </c>
      <c r="F1583" s="57" t="n">
        <v>2.483374</v>
      </c>
      <c r="G1583" s="56" t="inlineStr">
        <is>
          <t>KG</t>
        </is>
      </c>
      <c r="H1583" s="60" t="inlineStr">
        <is>
          <t>R001</t>
        </is>
      </c>
      <c r="I1583" s="56" t="inlineStr">
        <is>
          <t>4318</t>
        </is>
      </c>
      <c r="J1583" s="56" t="n"/>
      <c r="K1583" s="56" t="n"/>
      <c r="L1583" s="56" t="n"/>
      <c r="M1583" s="56" t="n"/>
      <c r="N1583" s="60" t="inlineStr">
        <is>
          <t>TRANSIT STOCK</t>
        </is>
      </c>
      <c r="O1583" s="56" t="n">
        <v>4</v>
      </c>
      <c r="P1583" s="59" t="inlineStr">
        <is>
          <t>0-30</t>
        </is>
      </c>
      <c r="Q1583" s="56" t="inlineStr">
        <is>
          <t>TRANSIT STOCK</t>
        </is>
      </c>
    </row>
    <row r="1584">
      <c r="A1584" s="56" t="n">
        <v>3682070</v>
      </c>
      <c r="B1584" s="56" t="inlineStr">
        <is>
          <t>TUB-O-N-AUT-AW-PE-19.05X2.300X6.0500</t>
        </is>
      </c>
      <c r="C1584" s="56" t="inlineStr">
        <is>
          <t>5108A20040</t>
        </is>
      </c>
      <c r="D1584" s="57" t="n">
        <v>449</v>
      </c>
      <c r="E1584" s="57" t="n">
        <v>2483.374</v>
      </c>
      <c r="F1584" s="57" t="n">
        <v>2.483374</v>
      </c>
      <c r="G1584" s="56" t="inlineStr">
        <is>
          <t>KG</t>
        </is>
      </c>
      <c r="H1584" s="60" t="inlineStr">
        <is>
          <t>R001</t>
        </is>
      </c>
      <c r="I1584" s="56" t="inlineStr">
        <is>
          <t>4318</t>
        </is>
      </c>
      <c r="J1584" s="56" t="n"/>
      <c r="K1584" s="56" t="n"/>
      <c r="L1584" s="56" t="n"/>
      <c r="M1584" s="56" t="n"/>
      <c r="N1584" s="60" t="inlineStr">
        <is>
          <t>TRANSIT STOCK</t>
        </is>
      </c>
      <c r="O1584" s="56" t="n">
        <v>4</v>
      </c>
      <c r="P1584" s="59" t="inlineStr">
        <is>
          <t>0-30</t>
        </is>
      </c>
      <c r="Q1584" s="56" t="inlineStr">
        <is>
          <t>TRANSIT STOCK</t>
        </is>
      </c>
    </row>
    <row r="1585">
      <c r="A1585" s="56" t="n">
        <v>3682070</v>
      </c>
      <c r="B1585" s="56" t="inlineStr">
        <is>
          <t>TUB-O-N-AUT-AW-PE-19.05X2.300X6.0500</t>
        </is>
      </c>
      <c r="C1585" s="56" t="inlineStr">
        <is>
          <t>5108A20090</t>
        </is>
      </c>
      <c r="D1585" s="57" t="n">
        <v>449</v>
      </c>
      <c r="E1585" s="57" t="n">
        <v>2483.374</v>
      </c>
      <c r="F1585" s="57" t="n">
        <v>2.483374</v>
      </c>
      <c r="G1585" s="56" t="inlineStr">
        <is>
          <t>KG</t>
        </is>
      </c>
      <c r="H1585" s="60" t="inlineStr">
        <is>
          <t>R001</t>
        </is>
      </c>
      <c r="I1585" s="56" t="inlineStr">
        <is>
          <t>4318</t>
        </is>
      </c>
      <c r="J1585" s="56" t="n"/>
      <c r="K1585" s="56" t="n"/>
      <c r="L1585" s="56" t="n"/>
      <c r="M1585" s="56" t="n"/>
      <c r="N1585" s="60" t="inlineStr">
        <is>
          <t>TRANSIT STOCK</t>
        </is>
      </c>
      <c r="O1585" s="56" t="n">
        <v>4</v>
      </c>
      <c r="P1585" s="59" t="inlineStr">
        <is>
          <t>0-30</t>
        </is>
      </c>
      <c r="Q1585" s="56" t="inlineStr">
        <is>
          <t>TRANSIT STOCK</t>
        </is>
      </c>
    </row>
    <row r="1586">
      <c r="A1586" s="56" t="n">
        <v>3682070</v>
      </c>
      <c r="B1586" s="56" t="inlineStr">
        <is>
          <t>TUB-O-N-AUT-AW-PE-19.05X2.300X6.0500</t>
        </is>
      </c>
      <c r="C1586" s="56" t="inlineStr">
        <is>
          <t>5108A20100</t>
        </is>
      </c>
      <c r="D1586" s="57" t="n">
        <v>449</v>
      </c>
      <c r="E1586" s="57" t="n">
        <v>2483.374</v>
      </c>
      <c r="F1586" s="57" t="n">
        <v>2.483374</v>
      </c>
      <c r="G1586" s="56" t="inlineStr">
        <is>
          <t>KG</t>
        </is>
      </c>
      <c r="H1586" s="60" t="inlineStr">
        <is>
          <t>R001</t>
        </is>
      </c>
      <c r="I1586" s="56" t="inlineStr">
        <is>
          <t>4318</t>
        </is>
      </c>
      <c r="J1586" s="56" t="n"/>
      <c r="K1586" s="56" t="n"/>
      <c r="L1586" s="56" t="n"/>
      <c r="M1586" s="56" t="n"/>
      <c r="N1586" s="60" t="inlineStr">
        <is>
          <t>TRANSIT STOCK</t>
        </is>
      </c>
      <c r="O1586" s="56" t="n">
        <v>4</v>
      </c>
      <c r="P1586" s="59" t="inlineStr">
        <is>
          <t>0-30</t>
        </is>
      </c>
      <c r="Q1586" s="56" t="inlineStr">
        <is>
          <t>TRANSIT STOCK</t>
        </is>
      </c>
    </row>
    <row r="1587">
      <c r="A1587" s="56" t="n">
        <v>3682070</v>
      </c>
      <c r="B1587" s="56" t="inlineStr">
        <is>
          <t>TUB-O-N-AUT-AW-PE-19.05X2.300X6.0500</t>
        </is>
      </c>
      <c r="C1587" s="56" t="inlineStr">
        <is>
          <t>5108A20010</t>
        </is>
      </c>
      <c r="D1587" s="57" t="n">
        <v>452</v>
      </c>
      <c r="E1587" s="57" t="n">
        <v>2499.967</v>
      </c>
      <c r="F1587" s="57" t="n">
        <v>2.499967</v>
      </c>
      <c r="G1587" s="56" t="inlineStr">
        <is>
          <t>KG</t>
        </is>
      </c>
      <c r="H1587" s="60" t="inlineStr">
        <is>
          <t>R001</t>
        </is>
      </c>
      <c r="I1587" s="56" t="inlineStr">
        <is>
          <t>4318</t>
        </is>
      </c>
      <c r="J1587" s="56" t="n"/>
      <c r="K1587" s="56" t="n"/>
      <c r="L1587" s="56" t="n"/>
      <c r="M1587" s="56" t="n"/>
      <c r="N1587" s="60" t="inlineStr">
        <is>
          <t>TRANSIT STOCK</t>
        </is>
      </c>
      <c r="O1587" s="56" t="n">
        <v>4</v>
      </c>
      <c r="P1587" s="59" t="inlineStr">
        <is>
          <t>0-30</t>
        </is>
      </c>
      <c r="Q1587" s="56" t="inlineStr">
        <is>
          <t>TRANSIT STOCK</t>
        </is>
      </c>
    </row>
    <row r="1588">
      <c r="A1588" s="56" t="n">
        <v>3682070</v>
      </c>
      <c r="B1588" s="56" t="inlineStr">
        <is>
          <t>TUB-O-N-AUT-AW-PE-19.05X2.300X6.0500</t>
        </is>
      </c>
      <c r="C1588" s="56" t="inlineStr">
        <is>
          <t>5108C20030</t>
        </is>
      </c>
      <c r="D1588" s="57" t="n">
        <v>451</v>
      </c>
      <c r="E1588" s="57" t="n">
        <v>2494.436</v>
      </c>
      <c r="F1588" s="57" t="n">
        <v>2.494436</v>
      </c>
      <c r="G1588" s="56" t="inlineStr">
        <is>
          <t>KG</t>
        </is>
      </c>
      <c r="H1588" s="60" t="inlineStr">
        <is>
          <t>R001</t>
        </is>
      </c>
      <c r="I1588" s="56" t="inlineStr">
        <is>
          <t>4318</t>
        </is>
      </c>
      <c r="J1588" s="56" t="n"/>
      <c r="K1588" s="56" t="n"/>
      <c r="L1588" s="56" t="n"/>
      <c r="M1588" s="56" t="n"/>
      <c r="N1588" s="60" t="inlineStr">
        <is>
          <t>TRANSIT STOCK</t>
        </is>
      </c>
      <c r="O1588" s="56" t="n">
        <v>4</v>
      </c>
      <c r="P1588" s="59" t="inlineStr">
        <is>
          <t>0-30</t>
        </is>
      </c>
      <c r="Q1588" s="56" t="inlineStr">
        <is>
          <t>TRANSIT STOCK</t>
        </is>
      </c>
    </row>
    <row r="1589">
      <c r="A1589" s="56" t="n">
        <v>3682070</v>
      </c>
      <c r="B1589" s="56" t="inlineStr">
        <is>
          <t>TUB-O-N-AUT-AW-PE-19.05X2.300X6.0500</t>
        </is>
      </c>
      <c r="C1589" s="56" t="inlineStr">
        <is>
          <t>5108C20020</t>
        </is>
      </c>
      <c r="D1589" s="57" t="n">
        <v>449</v>
      </c>
      <c r="E1589" s="57" t="n">
        <v>2483.374</v>
      </c>
      <c r="F1589" s="57" t="n">
        <v>2.483374</v>
      </c>
      <c r="G1589" s="56" t="inlineStr">
        <is>
          <t>KG</t>
        </is>
      </c>
      <c r="H1589" s="60" t="inlineStr">
        <is>
          <t>R001</t>
        </is>
      </c>
      <c r="I1589" s="56" t="inlineStr">
        <is>
          <t>4318</t>
        </is>
      </c>
      <c r="J1589" s="56" t="n"/>
      <c r="K1589" s="56" t="n"/>
      <c r="L1589" s="56" t="n"/>
      <c r="M1589" s="56" t="n"/>
      <c r="N1589" s="60" t="inlineStr">
        <is>
          <t>TRANSIT STOCK</t>
        </is>
      </c>
      <c r="O1589" s="56" t="n">
        <v>4</v>
      </c>
      <c r="P1589" s="59" t="inlineStr">
        <is>
          <t>0-30</t>
        </is>
      </c>
      <c r="Q1589" s="56" t="inlineStr">
        <is>
          <t>TRANSIT STOCK</t>
        </is>
      </c>
    </row>
    <row r="1590">
      <c r="A1590" s="56" t="n">
        <v>3498972</v>
      </c>
      <c r="B1590" s="56" t="inlineStr">
        <is>
          <t>TUB-O-N-AUT-AW-PE-22.20X1.20X6.000-ERW 1</t>
        </is>
      </c>
      <c r="C1590" s="56" t="inlineStr">
        <is>
          <t>5106B20180</t>
        </is>
      </c>
      <c r="D1590" s="57" t="n">
        <v>420</v>
      </c>
      <c r="E1590" s="57" t="n">
        <v>1516.788</v>
      </c>
      <c r="F1590" s="57" t="n">
        <v>1.516788</v>
      </c>
      <c r="G1590" s="56" t="inlineStr">
        <is>
          <t>KG</t>
        </is>
      </c>
      <c r="H1590" s="60" t="inlineStr">
        <is>
          <t>R001</t>
        </is>
      </c>
      <c r="I1590" s="56" t="inlineStr">
        <is>
          <t>4318</t>
        </is>
      </c>
      <c r="J1590" s="56" t="n"/>
      <c r="K1590" s="56" t="n"/>
      <c r="L1590" s="56" t="n"/>
      <c r="M1590" s="56" t="n"/>
      <c r="N1590" s="60" t="inlineStr">
        <is>
          <t>TRANSIT STOCK</t>
        </is>
      </c>
      <c r="O1590" s="56" t="n">
        <v>4</v>
      </c>
      <c r="P1590" s="59" t="inlineStr">
        <is>
          <t>0-30</t>
        </is>
      </c>
      <c r="Q1590" s="56" t="inlineStr">
        <is>
          <t>TRANSIT STOCK</t>
        </is>
      </c>
    </row>
    <row r="1591">
      <c r="A1591" s="56" t="n">
        <v>3498972</v>
      </c>
      <c r="B1591" s="56" t="inlineStr">
        <is>
          <t>TUB-O-N-AUT-AW-PE-22.20X1.20X6.000-ERW 1</t>
        </is>
      </c>
      <c r="C1591" s="56" t="inlineStr">
        <is>
          <t>5106B20190</t>
        </is>
      </c>
      <c r="D1591" s="57" t="n">
        <v>419</v>
      </c>
      <c r="E1591" s="57" t="n">
        <v>1513.177</v>
      </c>
      <c r="F1591" s="57" t="n">
        <v>1.513177</v>
      </c>
      <c r="G1591" s="56" t="inlineStr">
        <is>
          <t>KG</t>
        </is>
      </c>
      <c r="H1591" s="60" t="inlineStr">
        <is>
          <t>R001</t>
        </is>
      </c>
      <c r="I1591" s="56" t="inlineStr">
        <is>
          <t>4318</t>
        </is>
      </c>
      <c r="J1591" s="56" t="n"/>
      <c r="K1591" s="56" t="n"/>
      <c r="L1591" s="56" t="n"/>
      <c r="M1591" s="56" t="n"/>
      <c r="N1591" s="60" t="inlineStr">
        <is>
          <t>TRANSIT STOCK</t>
        </is>
      </c>
      <c r="O1591" s="56" t="n">
        <v>4</v>
      </c>
      <c r="P1591" s="59" t="inlineStr">
        <is>
          <t>0-30</t>
        </is>
      </c>
      <c r="Q1591" s="56" t="inlineStr">
        <is>
          <t>TRANSIT STOCK</t>
        </is>
      </c>
    </row>
    <row r="1592">
      <c r="A1592" s="56" t="n">
        <v>3682070</v>
      </c>
      <c r="B1592" s="56" t="inlineStr">
        <is>
          <t>TUB-O-N-AUT-AW-PE-19.05X2.300X6.0500</t>
        </is>
      </c>
      <c r="C1592" s="56" t="inlineStr">
        <is>
          <t>5107C20010</t>
        </is>
      </c>
      <c r="D1592" s="57" t="n">
        <v>500</v>
      </c>
      <c r="E1592" s="57" t="n">
        <v>2765.45</v>
      </c>
      <c r="F1592" s="57" t="n">
        <v>2.76545</v>
      </c>
      <c r="G1592" s="56" t="inlineStr">
        <is>
          <t>KG</t>
        </is>
      </c>
      <c r="H1592" s="60" t="inlineStr">
        <is>
          <t>R001</t>
        </is>
      </c>
      <c r="I1592" s="56" t="inlineStr">
        <is>
          <t>4318</t>
        </is>
      </c>
      <c r="J1592" s="56" t="n"/>
      <c r="K1592" s="56" t="n"/>
      <c r="L1592" s="56" t="n"/>
      <c r="M1592" s="56" t="n"/>
      <c r="N1592" s="60" t="inlineStr">
        <is>
          <t>TRANSIT STOCK</t>
        </is>
      </c>
      <c r="O1592" s="56" t="n">
        <v>4</v>
      </c>
      <c r="P1592" s="59" t="inlineStr">
        <is>
          <t>0-30</t>
        </is>
      </c>
      <c r="Q1592" s="56" t="inlineStr">
        <is>
          <t>TRANSIT STOCK</t>
        </is>
      </c>
    </row>
    <row r="1593">
      <c r="A1593" s="56" t="n">
        <v>3682070</v>
      </c>
      <c r="B1593" s="56" t="inlineStr">
        <is>
          <t>TUB-O-N-AUT-AW-PE-19.05X2.300X6.0500</t>
        </is>
      </c>
      <c r="C1593" s="56" t="inlineStr">
        <is>
          <t>5108B20060</t>
        </is>
      </c>
      <c r="D1593" s="57" t="n">
        <v>450</v>
      </c>
      <c r="E1593" s="57" t="n">
        <v>2488.905</v>
      </c>
      <c r="F1593" s="57" t="n">
        <v>2.488905</v>
      </c>
      <c r="G1593" s="56" t="inlineStr">
        <is>
          <t>KG</t>
        </is>
      </c>
      <c r="H1593" s="60" t="inlineStr">
        <is>
          <t>R001</t>
        </is>
      </c>
      <c r="I1593" s="56" t="inlineStr">
        <is>
          <t>4318</t>
        </is>
      </c>
      <c r="J1593" s="56" t="n"/>
      <c r="K1593" s="56" t="n"/>
      <c r="L1593" s="56" t="n"/>
      <c r="M1593" s="56" t="n"/>
      <c r="N1593" s="60" t="inlineStr">
        <is>
          <t>TRANSIT STOCK</t>
        </is>
      </c>
      <c r="O1593" s="56" t="n">
        <v>4</v>
      </c>
      <c r="P1593" s="59" t="inlineStr">
        <is>
          <t>0-30</t>
        </is>
      </c>
      <c r="Q1593" s="56" t="inlineStr">
        <is>
          <t>TRANSIT STOCK</t>
        </is>
      </c>
    </row>
    <row r="1594">
      <c r="A1594" s="56" t="n">
        <v>3682070</v>
      </c>
      <c r="B1594" s="56" t="inlineStr">
        <is>
          <t>TUB-O-N-AUT-AW-PE-19.05X2.300X6.0500</t>
        </is>
      </c>
      <c r="C1594" s="56" t="inlineStr">
        <is>
          <t>5108C20040</t>
        </is>
      </c>
      <c r="D1594" s="57" t="n">
        <v>450</v>
      </c>
      <c r="E1594" s="57" t="n">
        <v>2488.905</v>
      </c>
      <c r="F1594" s="57" t="n">
        <v>2.488905</v>
      </c>
      <c r="G1594" s="56" t="inlineStr">
        <is>
          <t>KG</t>
        </is>
      </c>
      <c r="H1594" s="60" t="inlineStr">
        <is>
          <t>R001</t>
        </is>
      </c>
      <c r="I1594" s="56" t="inlineStr">
        <is>
          <t>4318</t>
        </is>
      </c>
      <c r="J1594" s="56" t="n"/>
      <c r="K1594" s="56" t="n"/>
      <c r="L1594" s="56" t="n"/>
      <c r="M1594" s="56" t="n"/>
      <c r="N1594" s="60" t="inlineStr">
        <is>
          <t>TRANSIT STOCK</t>
        </is>
      </c>
      <c r="O1594" s="56" t="n">
        <v>4</v>
      </c>
      <c r="P1594" s="59" t="inlineStr">
        <is>
          <t>0-30</t>
        </is>
      </c>
      <c r="Q1594" s="56" t="inlineStr">
        <is>
          <t>TRANSIT STOCK</t>
        </is>
      </c>
    </row>
    <row r="1595">
      <c r="A1595" s="56" t="n">
        <v>3682070</v>
      </c>
      <c r="B1595" s="56" t="inlineStr">
        <is>
          <t>TUB-O-N-AUT-AW-PE-19.05X2.300X6.0500</t>
        </is>
      </c>
      <c r="C1595" s="56" t="inlineStr">
        <is>
          <t>5108C20050</t>
        </is>
      </c>
      <c r="D1595" s="57" t="n">
        <v>450</v>
      </c>
      <c r="E1595" s="57" t="n">
        <v>2488.905</v>
      </c>
      <c r="F1595" s="57" t="n">
        <v>2.488905</v>
      </c>
      <c r="G1595" s="56" t="inlineStr">
        <is>
          <t>KG</t>
        </is>
      </c>
      <c r="H1595" s="60" t="inlineStr">
        <is>
          <t>R001</t>
        </is>
      </c>
      <c r="I1595" s="56" t="inlineStr">
        <is>
          <t>4318</t>
        </is>
      </c>
      <c r="J1595" s="56" t="n"/>
      <c r="K1595" s="56" t="n"/>
      <c r="L1595" s="56" t="n"/>
      <c r="M1595" s="56" t="n"/>
      <c r="N1595" s="60" t="inlineStr">
        <is>
          <t>TRANSIT STOCK</t>
        </is>
      </c>
      <c r="O1595" s="56" t="n">
        <v>4</v>
      </c>
      <c r="P1595" s="59" t="inlineStr">
        <is>
          <t>0-30</t>
        </is>
      </c>
      <c r="Q1595" s="56" t="inlineStr">
        <is>
          <t>TRANSIT STOCK</t>
        </is>
      </c>
    </row>
    <row r="1596">
      <c r="A1596" s="56" t="n">
        <v>3682070</v>
      </c>
      <c r="B1596" s="56" t="inlineStr">
        <is>
          <t>TUB-O-N-AUT-AW-PE-19.05X2.300X6.0500</t>
        </is>
      </c>
      <c r="C1596" s="56" t="inlineStr">
        <is>
          <t>5108C20060</t>
        </is>
      </c>
      <c r="D1596" s="57" t="n">
        <v>450</v>
      </c>
      <c r="E1596" s="57" t="n">
        <v>2488.905</v>
      </c>
      <c r="F1596" s="57" t="n">
        <v>2.488905</v>
      </c>
      <c r="G1596" s="56" t="inlineStr">
        <is>
          <t>KG</t>
        </is>
      </c>
      <c r="H1596" s="60" t="inlineStr">
        <is>
          <t>R001</t>
        </is>
      </c>
      <c r="I1596" s="56" t="inlineStr">
        <is>
          <t>4318</t>
        </is>
      </c>
      <c r="J1596" s="56" t="n"/>
      <c r="K1596" s="56" t="n"/>
      <c r="L1596" s="56" t="n"/>
      <c r="M1596" s="56" t="n"/>
      <c r="N1596" s="60" t="inlineStr">
        <is>
          <t>TRANSIT STOCK</t>
        </is>
      </c>
      <c r="O1596" s="56" t="n">
        <v>4</v>
      </c>
      <c r="P1596" s="59" t="inlineStr">
        <is>
          <t>0-30</t>
        </is>
      </c>
      <c r="Q1596" s="56" t="inlineStr">
        <is>
          <t>TRANSIT STOCK</t>
        </is>
      </c>
    </row>
    <row r="1597">
      <c r="A1597" s="56" t="n">
        <v>3682070</v>
      </c>
      <c r="B1597" s="56" t="inlineStr">
        <is>
          <t>TUB-O-N-AUT-AW-PE-19.05X2.300X6.0500</t>
        </is>
      </c>
      <c r="C1597" s="56" t="inlineStr">
        <is>
          <t>5109A20010</t>
        </is>
      </c>
      <c r="D1597" s="57" t="n">
        <v>450</v>
      </c>
      <c r="E1597" s="57" t="n">
        <v>2488.905</v>
      </c>
      <c r="F1597" s="57" t="n">
        <v>2.488905</v>
      </c>
      <c r="G1597" s="56" t="inlineStr">
        <is>
          <t>KG</t>
        </is>
      </c>
      <c r="H1597" s="60" t="inlineStr">
        <is>
          <t>R001</t>
        </is>
      </c>
      <c r="I1597" s="56" t="inlineStr">
        <is>
          <t>4318</t>
        </is>
      </c>
      <c r="J1597" s="56" t="n"/>
      <c r="K1597" s="56" t="n"/>
      <c r="L1597" s="56" t="n"/>
      <c r="M1597" s="56" t="n"/>
      <c r="N1597" s="60" t="inlineStr">
        <is>
          <t>TRANSIT STOCK</t>
        </is>
      </c>
      <c r="O1597" s="56" t="n">
        <v>4</v>
      </c>
      <c r="P1597" s="59" t="inlineStr">
        <is>
          <t>0-30</t>
        </is>
      </c>
      <c r="Q1597" s="56" t="inlineStr">
        <is>
          <t>TRANSIT STOCK</t>
        </is>
      </c>
    </row>
    <row r="1598">
      <c r="A1598" s="56" t="n">
        <v>3682070</v>
      </c>
      <c r="B1598" s="56" t="inlineStr">
        <is>
          <t>TUB-O-N-AUT-AW-PE-19.05X2.300X6.0500</t>
        </is>
      </c>
      <c r="C1598" s="56" t="inlineStr">
        <is>
          <t>5109A20020</t>
        </is>
      </c>
      <c r="D1598" s="57" t="n">
        <v>450</v>
      </c>
      <c r="E1598" s="57" t="n">
        <v>2488.905</v>
      </c>
      <c r="F1598" s="57" t="n">
        <v>2.488905</v>
      </c>
      <c r="G1598" s="56" t="inlineStr">
        <is>
          <t>KG</t>
        </is>
      </c>
      <c r="H1598" s="60" t="inlineStr">
        <is>
          <t>R001</t>
        </is>
      </c>
      <c r="I1598" s="56" t="inlineStr">
        <is>
          <t>4318</t>
        </is>
      </c>
      <c r="J1598" s="56" t="n"/>
      <c r="K1598" s="56" t="n"/>
      <c r="L1598" s="56" t="n"/>
      <c r="M1598" s="56" t="n"/>
      <c r="N1598" s="60" t="inlineStr">
        <is>
          <t>TRANSIT STOCK</t>
        </is>
      </c>
      <c r="O1598" s="56" t="n">
        <v>4</v>
      </c>
      <c r="P1598" s="59" t="inlineStr">
        <is>
          <t>0-30</t>
        </is>
      </c>
      <c r="Q1598" s="56" t="inlineStr">
        <is>
          <t>TRANSIT STOCK</t>
        </is>
      </c>
    </row>
    <row r="1599">
      <c r="A1599" s="56" t="n">
        <v>3682070</v>
      </c>
      <c r="B1599" s="56" t="inlineStr">
        <is>
          <t>TUB-O-N-AUT-AW-PE-19.05X2.300X6.0500</t>
        </is>
      </c>
      <c r="C1599" s="56" t="inlineStr">
        <is>
          <t>5108C20080</t>
        </is>
      </c>
      <c r="D1599" s="57" t="n">
        <v>486</v>
      </c>
      <c r="E1599" s="57" t="n">
        <v>2688.017</v>
      </c>
      <c r="F1599" s="57" t="n">
        <v>2.688017</v>
      </c>
      <c r="G1599" s="56" t="inlineStr">
        <is>
          <t>KG</t>
        </is>
      </c>
      <c r="H1599" s="60" t="inlineStr">
        <is>
          <t>R001</t>
        </is>
      </c>
      <c r="I1599" s="56" t="inlineStr">
        <is>
          <t>4318</t>
        </is>
      </c>
      <c r="J1599" s="56" t="n"/>
      <c r="K1599" s="56" t="n"/>
      <c r="L1599" s="56" t="n"/>
      <c r="M1599" s="56" t="n"/>
      <c r="N1599" s="60" t="inlineStr">
        <is>
          <t>TRANSIT STOCK</t>
        </is>
      </c>
      <c r="O1599" s="56" t="n">
        <v>4</v>
      </c>
      <c r="P1599" s="59" t="inlineStr">
        <is>
          <t>0-30</t>
        </is>
      </c>
      <c r="Q1599" s="56" t="inlineStr">
        <is>
          <t>TRANSIT STOCK</t>
        </is>
      </c>
    </row>
    <row r="1600">
      <c r="A1600" s="56" t="n">
        <v>3682070</v>
      </c>
      <c r="B1600" s="56" t="inlineStr">
        <is>
          <t>TUB-O-N-AUT-AW-PE-19.05X2.300X6.0500</t>
        </is>
      </c>
      <c r="C1600" s="56" t="inlineStr">
        <is>
          <t>5108C20070</t>
        </is>
      </c>
      <c r="D1600" s="57" t="n">
        <v>458</v>
      </c>
      <c r="E1600" s="57" t="n">
        <v>2533.152</v>
      </c>
      <c r="F1600" s="57" t="n">
        <v>2.533152</v>
      </c>
      <c r="G1600" s="56" t="inlineStr">
        <is>
          <t>KG</t>
        </is>
      </c>
      <c r="H1600" s="60" t="inlineStr">
        <is>
          <t>R001</t>
        </is>
      </c>
      <c r="I1600" s="56" t="inlineStr">
        <is>
          <t>4318</t>
        </is>
      </c>
      <c r="J1600" s="56" t="n"/>
      <c r="K1600" s="56" t="n"/>
      <c r="L1600" s="56" t="n"/>
      <c r="M1600" s="56" t="n"/>
      <c r="N1600" s="60" t="inlineStr">
        <is>
          <t>TRANSIT STOCK</t>
        </is>
      </c>
      <c r="O1600" s="56" t="n">
        <v>4</v>
      </c>
      <c r="P1600" s="59" t="inlineStr">
        <is>
          <t>0-30</t>
        </is>
      </c>
      <c r="Q1600" s="56" t="inlineStr">
        <is>
          <t>TRANSIT STOCK</t>
        </is>
      </c>
    </row>
    <row r="1601">
      <c r="A1601" s="56" t="n">
        <v>3682070</v>
      </c>
      <c r="B1601" s="56" t="inlineStr">
        <is>
          <t>TUB-O-N-AUT-AW-PE-19.05X2.300X6.0500</t>
        </is>
      </c>
      <c r="C1601" s="56" t="inlineStr">
        <is>
          <t>5108C20090</t>
        </is>
      </c>
      <c r="D1601" s="57" t="n">
        <v>460</v>
      </c>
      <c r="E1601" s="57" t="n">
        <v>2544.214</v>
      </c>
      <c r="F1601" s="57" t="n">
        <v>2.544214</v>
      </c>
      <c r="G1601" s="56" t="inlineStr">
        <is>
          <t>KG</t>
        </is>
      </c>
      <c r="H1601" s="60" t="inlineStr">
        <is>
          <t>R001</t>
        </is>
      </c>
      <c r="I1601" s="56" t="inlineStr">
        <is>
          <t>4318</t>
        </is>
      </c>
      <c r="J1601" s="56" t="n"/>
      <c r="K1601" s="56" t="n"/>
      <c r="L1601" s="56" t="n"/>
      <c r="M1601" s="56" t="n"/>
      <c r="N1601" s="60" t="inlineStr">
        <is>
          <t>TRANSIT STOCK</t>
        </is>
      </c>
      <c r="O1601" s="56" t="n">
        <v>4</v>
      </c>
      <c r="P1601" s="59" t="inlineStr">
        <is>
          <t>0-30</t>
        </is>
      </c>
      <c r="Q1601" s="56" t="inlineStr">
        <is>
          <t>TRANSIT STOCK</t>
        </is>
      </c>
    </row>
    <row r="1602">
      <c r="A1602" s="56" t="n">
        <v>3514379</v>
      </c>
      <c r="B1602" s="56" t="inlineStr">
        <is>
          <t>TUB-O-N-AUT-AW-FC-48.60X2.000X6.5500 HST</t>
        </is>
      </c>
      <c r="C1602" s="56" t="inlineStr">
        <is>
          <t>4C05A40320</t>
        </is>
      </c>
      <c r="D1602" s="57" t="n">
        <v>61</v>
      </c>
      <c r="E1602" s="57" t="n">
        <v>896.3339999999999</v>
      </c>
      <c r="F1602" s="57" t="n">
        <v>0.896334</v>
      </c>
      <c r="G1602" s="56" t="inlineStr">
        <is>
          <t>KG</t>
        </is>
      </c>
      <c r="H1602" s="60" t="inlineStr">
        <is>
          <t>R001</t>
        </is>
      </c>
      <c r="I1602" s="56" t="inlineStr">
        <is>
          <t>8406</t>
        </is>
      </c>
      <c r="J1602" s="56" t="n"/>
      <c r="K1602" s="56" t="n"/>
      <c r="L1602" s="56" t="n"/>
      <c r="M1602" s="56" t="n"/>
      <c r="N1602" s="60" t="inlineStr">
        <is>
          <t>TRANSIT STOCK</t>
        </is>
      </c>
      <c r="O1602" s="56" t="n">
        <v>4</v>
      </c>
      <c r="P1602" s="59" t="inlineStr">
        <is>
          <t>0-30</t>
        </is>
      </c>
      <c r="Q1602" s="56" t="inlineStr">
        <is>
          <t>TRANSIT STOCK</t>
        </is>
      </c>
    </row>
    <row r="1603">
      <c r="A1603" s="56" t="n">
        <v>3514379</v>
      </c>
      <c r="B1603" s="56" t="inlineStr">
        <is>
          <t>TUB-O-N-AUT-AW-FC-48.60X2.000X6.5500 HST</t>
        </is>
      </c>
      <c r="C1603" s="56" t="inlineStr">
        <is>
          <t>4C05A40330</t>
        </is>
      </c>
      <c r="D1603" s="57" t="n">
        <v>113</v>
      </c>
      <c r="E1603" s="57" t="n">
        <v>1660.422</v>
      </c>
      <c r="F1603" s="57" t="n">
        <v>1.660422</v>
      </c>
      <c r="G1603" s="56" t="inlineStr">
        <is>
          <t>KG</t>
        </is>
      </c>
      <c r="H1603" s="60" t="inlineStr">
        <is>
          <t>R001</t>
        </is>
      </c>
      <c r="I1603" s="56" t="inlineStr">
        <is>
          <t>8406</t>
        </is>
      </c>
      <c r="J1603" s="56" t="n"/>
      <c r="K1603" s="56" t="n"/>
      <c r="L1603" s="56" t="n"/>
      <c r="M1603" s="56" t="n"/>
      <c r="N1603" s="60" t="inlineStr">
        <is>
          <t>TRANSIT STOCK</t>
        </is>
      </c>
      <c r="O1603" s="56" t="n">
        <v>4</v>
      </c>
      <c r="P1603" s="59" t="inlineStr">
        <is>
          <t>0-30</t>
        </is>
      </c>
      <c r="Q1603" s="56" t="inlineStr">
        <is>
          <t>TRANSIT STOCK</t>
        </is>
      </c>
    </row>
    <row r="1604">
      <c r="A1604" s="56" t="n">
        <v>3514379</v>
      </c>
      <c r="B1604" s="56" t="inlineStr">
        <is>
          <t>TUB-O-N-AUT-AW-FC-48.60X2.000X6.5500 HST</t>
        </is>
      </c>
      <c r="C1604" s="56" t="inlineStr">
        <is>
          <t>4C05A40340</t>
        </is>
      </c>
      <c r="D1604" s="57" t="n">
        <v>98</v>
      </c>
      <c r="E1604" s="57" t="n">
        <v>1440.012</v>
      </c>
      <c r="F1604" s="57" t="n">
        <v>1.440012</v>
      </c>
      <c r="G1604" s="56" t="inlineStr">
        <is>
          <t>KG</t>
        </is>
      </c>
      <c r="H1604" s="60" t="inlineStr">
        <is>
          <t>R001</t>
        </is>
      </c>
      <c r="I1604" s="56" t="inlineStr">
        <is>
          <t>8406</t>
        </is>
      </c>
      <c r="J1604" s="56" t="n"/>
      <c r="K1604" s="56" t="n"/>
      <c r="L1604" s="56" t="n"/>
      <c r="M1604" s="56" t="n"/>
      <c r="N1604" s="60" t="inlineStr">
        <is>
          <t>TRANSIT STOCK</t>
        </is>
      </c>
      <c r="O1604" s="56" t="n">
        <v>4</v>
      </c>
      <c r="P1604" s="59" t="inlineStr">
        <is>
          <t>0-30</t>
        </is>
      </c>
      <c r="Q1604" s="56" t="inlineStr">
        <is>
          <t>TRANSIT STOCK</t>
        </is>
      </c>
    </row>
    <row r="1605">
      <c r="A1605" s="56" t="n">
        <v>3514379</v>
      </c>
      <c r="B1605" s="56" t="inlineStr">
        <is>
          <t>TUB-O-N-AUT-AW-FC-48.60X2.000X6.5500 HST</t>
        </is>
      </c>
      <c r="C1605" s="56" t="inlineStr">
        <is>
          <t>4C05A40300</t>
        </is>
      </c>
      <c r="D1605" s="57" t="n">
        <v>110</v>
      </c>
      <c r="E1605" s="57" t="n">
        <v>1616.34</v>
      </c>
      <c r="F1605" s="57" t="n">
        <v>1.61634</v>
      </c>
      <c r="G1605" s="56" t="inlineStr">
        <is>
          <t>KG</t>
        </is>
      </c>
      <c r="H1605" s="60" t="inlineStr">
        <is>
          <t>R001</t>
        </is>
      </c>
      <c r="I1605" s="56" t="inlineStr">
        <is>
          <t>8406</t>
        </is>
      </c>
      <c r="J1605" s="56" t="n"/>
      <c r="K1605" s="56" t="n"/>
      <c r="L1605" s="56" t="n"/>
      <c r="M1605" s="56" t="n"/>
      <c r="N1605" s="60" t="inlineStr">
        <is>
          <t>TRANSIT STOCK</t>
        </is>
      </c>
      <c r="O1605" s="56" t="n">
        <v>4</v>
      </c>
      <c r="P1605" s="59" t="inlineStr">
        <is>
          <t>0-30</t>
        </is>
      </c>
      <c r="Q1605" s="56" t="inlineStr">
        <is>
          <t>TRANSIT STOCK</t>
        </is>
      </c>
    </row>
    <row r="1606">
      <c r="A1606" s="56" t="n">
        <v>3499307</v>
      </c>
      <c r="B1606" s="56" t="inlineStr">
        <is>
          <t>TUB-O-N-AUT-AW-PE-19.05X2.00X6.000-ERW 1</t>
        </is>
      </c>
      <c r="C1606" s="56" t="inlineStr">
        <is>
          <t>4918A20020</t>
        </is>
      </c>
      <c r="D1606" s="57" t="n">
        <v>273</v>
      </c>
      <c r="E1606" s="57" t="n">
        <v>1346.982</v>
      </c>
      <c r="F1606" s="57" t="n">
        <v>1.346982</v>
      </c>
      <c r="G1606" s="56" t="inlineStr">
        <is>
          <t>KG</t>
        </is>
      </c>
      <c r="H1606" s="60" t="inlineStr">
        <is>
          <t>R001</t>
        </is>
      </c>
      <c r="I1606" s="56" t="inlineStr">
        <is>
          <t>4318</t>
        </is>
      </c>
      <c r="J1606" s="56" t="n"/>
      <c r="K1606" s="56" t="n"/>
      <c r="L1606" s="56" t="n"/>
      <c r="M1606" s="56" t="n"/>
      <c r="N1606" s="60" t="inlineStr">
        <is>
          <t>TRANSIT STOCK</t>
        </is>
      </c>
      <c r="O1606" s="56" t="n">
        <v>4</v>
      </c>
      <c r="P1606" s="59" t="inlineStr">
        <is>
          <t>0-30</t>
        </is>
      </c>
      <c r="Q1606" s="56" t="inlineStr">
        <is>
          <t>TRANSIT STOCK</t>
        </is>
      </c>
    </row>
    <row r="1607">
      <c r="A1607" s="56" t="n">
        <v>3502487</v>
      </c>
      <c r="B1607" s="56" t="inlineStr">
        <is>
          <t>TUB-O-N-AUT-AW-FC-48.60X4.000X6.0030 HST</t>
        </is>
      </c>
      <c r="C1607" s="56" t="inlineStr">
        <is>
          <t>5107B40040</t>
        </is>
      </c>
      <c r="D1607" s="57" t="n">
        <v>90</v>
      </c>
      <c r="E1607" s="57" t="n">
        <v>2268.27</v>
      </c>
      <c r="F1607" s="57" t="n">
        <v>2.26827</v>
      </c>
      <c r="G1607" s="56" t="inlineStr">
        <is>
          <t>KG</t>
        </is>
      </c>
      <c r="H1607" s="60" t="inlineStr">
        <is>
          <t>R001</t>
        </is>
      </c>
      <c r="I1607" s="56" t="inlineStr">
        <is>
          <t>4318</t>
        </is>
      </c>
      <c r="J1607" s="56" t="n"/>
      <c r="K1607" s="56" t="n"/>
      <c r="L1607" s="56" t="n"/>
      <c r="M1607" s="56" t="n"/>
      <c r="N1607" s="60" t="inlineStr">
        <is>
          <t>TRANSIT STOCK</t>
        </is>
      </c>
      <c r="O1607" s="56" t="n">
        <v>4</v>
      </c>
      <c r="P1607" s="59" t="inlineStr">
        <is>
          <t>0-30</t>
        </is>
      </c>
      <c r="Q1607" s="56" t="inlineStr">
        <is>
          <t>TRANSIT STOCK</t>
        </is>
      </c>
    </row>
    <row r="1608">
      <c r="A1608" s="56" t="n">
        <v>3502487</v>
      </c>
      <c r="B1608" s="56" t="inlineStr">
        <is>
          <t>TUB-O-N-AUT-AW-FC-48.60X4.000X6.0030 HST</t>
        </is>
      </c>
      <c r="C1608" s="56" t="inlineStr">
        <is>
          <t>5107B40050</t>
        </is>
      </c>
      <c r="D1608" s="57" t="n">
        <v>90</v>
      </c>
      <c r="E1608" s="57" t="n">
        <v>2268.27</v>
      </c>
      <c r="F1608" s="57" t="n">
        <v>2.26827</v>
      </c>
      <c r="G1608" s="56" t="inlineStr">
        <is>
          <t>KG</t>
        </is>
      </c>
      <c r="H1608" s="60" t="inlineStr">
        <is>
          <t>R001</t>
        </is>
      </c>
      <c r="I1608" s="56" t="inlineStr">
        <is>
          <t>4318</t>
        </is>
      </c>
      <c r="J1608" s="56" t="n"/>
      <c r="K1608" s="56" t="n"/>
      <c r="L1608" s="56" t="n"/>
      <c r="M1608" s="56" t="n"/>
      <c r="N1608" s="60" t="inlineStr">
        <is>
          <t>TRANSIT STOCK</t>
        </is>
      </c>
      <c r="O1608" s="56" t="n">
        <v>4</v>
      </c>
      <c r="P1608" s="59" t="inlineStr">
        <is>
          <t>0-30</t>
        </is>
      </c>
      <c r="Q1608" s="56" t="inlineStr">
        <is>
          <t>TRANSIT STOCK</t>
        </is>
      </c>
    </row>
    <row r="1609">
      <c r="A1609" s="56" t="n">
        <v>3502487</v>
      </c>
      <c r="B1609" s="56" t="inlineStr">
        <is>
          <t>TUB-O-N-AUT-AW-FC-48.60X4.000X6.0030 HST</t>
        </is>
      </c>
      <c r="C1609" s="56" t="inlineStr">
        <is>
          <t>5107B40060</t>
        </is>
      </c>
      <c r="D1609" s="57" t="n">
        <v>93</v>
      </c>
      <c r="E1609" s="57" t="n">
        <v>2348.528</v>
      </c>
      <c r="F1609" s="57" t="n">
        <v>2.348528</v>
      </c>
      <c r="G1609" s="56" t="inlineStr">
        <is>
          <t>KG</t>
        </is>
      </c>
      <c r="H1609" s="60" t="inlineStr">
        <is>
          <t>R001</t>
        </is>
      </c>
      <c r="I1609" s="56" t="inlineStr">
        <is>
          <t>4318</t>
        </is>
      </c>
      <c r="J1609" s="56" t="n"/>
      <c r="K1609" s="56" t="n"/>
      <c r="L1609" s="56" t="n"/>
      <c r="M1609" s="56" t="n"/>
      <c r="N1609" s="60" t="inlineStr">
        <is>
          <t>TRANSIT STOCK</t>
        </is>
      </c>
      <c r="O1609" s="56" t="n">
        <v>4</v>
      </c>
      <c r="P1609" s="59" t="inlineStr">
        <is>
          <t>0-30</t>
        </is>
      </c>
      <c r="Q1609" s="56" t="inlineStr">
        <is>
          <t>TRANSIT STOCK</t>
        </is>
      </c>
    </row>
    <row r="1610">
      <c r="A1610" s="56" t="n">
        <v>3502487</v>
      </c>
      <c r="B1610" s="56" t="inlineStr">
        <is>
          <t>TUB-O-N-AUT-AW-FC-48.60X4.000X6.0030 HST</t>
        </is>
      </c>
      <c r="C1610" s="56" t="inlineStr">
        <is>
          <t>5107B40070</t>
        </is>
      </c>
      <c r="D1610" s="57" t="n">
        <v>93</v>
      </c>
      <c r="E1610" s="57" t="n">
        <v>2348.528</v>
      </c>
      <c r="F1610" s="57" t="n">
        <v>2.348528</v>
      </c>
      <c r="G1610" s="56" t="inlineStr">
        <is>
          <t>KG</t>
        </is>
      </c>
      <c r="H1610" s="60" t="inlineStr">
        <is>
          <t>R001</t>
        </is>
      </c>
      <c r="I1610" s="56" t="inlineStr">
        <is>
          <t>4318</t>
        </is>
      </c>
      <c r="J1610" s="56" t="n"/>
      <c r="K1610" s="56" t="n"/>
      <c r="L1610" s="56" t="n"/>
      <c r="M1610" s="56" t="n"/>
      <c r="N1610" s="60" t="inlineStr">
        <is>
          <t>TRANSIT STOCK</t>
        </is>
      </c>
      <c r="O1610" s="56" t="n">
        <v>4</v>
      </c>
      <c r="P1610" s="59" t="inlineStr">
        <is>
          <t>0-30</t>
        </is>
      </c>
      <c r="Q1610" s="56" t="inlineStr">
        <is>
          <t>TRANSIT STOCK</t>
        </is>
      </c>
    </row>
    <row r="1611">
      <c r="A1611" s="56" t="n">
        <v>3502487</v>
      </c>
      <c r="B1611" s="56" t="inlineStr">
        <is>
          <t>TUB-O-N-AUT-AW-FC-48.60X4.000X6.0030 HST</t>
        </is>
      </c>
      <c r="C1611" s="56" t="inlineStr">
        <is>
          <t>5107B40100</t>
        </is>
      </c>
      <c r="D1611" s="57" t="n">
        <v>88</v>
      </c>
      <c r="E1611" s="57" t="n">
        <v>2219.488</v>
      </c>
      <c r="F1611" s="57" t="n">
        <v>2.219488</v>
      </c>
      <c r="G1611" s="56" t="inlineStr">
        <is>
          <t>KG</t>
        </is>
      </c>
      <c r="H1611" s="60" t="inlineStr">
        <is>
          <t>R001</t>
        </is>
      </c>
      <c r="I1611" s="56" t="inlineStr">
        <is>
          <t>4318</t>
        </is>
      </c>
      <c r="J1611" s="56" t="n"/>
      <c r="K1611" s="56" t="n"/>
      <c r="L1611" s="56" t="n"/>
      <c r="M1611" s="56" t="n"/>
      <c r="N1611" s="60" t="inlineStr">
        <is>
          <t>TRANSIT STOCK</t>
        </is>
      </c>
      <c r="O1611" s="56" t="n">
        <v>4</v>
      </c>
      <c r="P1611" s="59" t="inlineStr">
        <is>
          <t>0-30</t>
        </is>
      </c>
      <c r="Q1611" s="56" t="inlineStr">
        <is>
          <t>TRANSIT STOCK</t>
        </is>
      </c>
    </row>
    <row r="1612">
      <c r="A1612" s="56" t="n">
        <v>3502487</v>
      </c>
      <c r="B1612" s="56" t="inlineStr">
        <is>
          <t>TUB-O-N-AUT-AW-FC-48.60X4.000X6.0030 HST</t>
        </is>
      </c>
      <c r="C1612" s="56" t="inlineStr">
        <is>
          <t>5107B40110</t>
        </is>
      </c>
      <c r="D1612" s="57" t="n">
        <v>59</v>
      </c>
      <c r="E1612" s="57" t="n">
        <v>1486.977</v>
      </c>
      <c r="F1612" s="57" t="n">
        <v>1.486977</v>
      </c>
      <c r="G1612" s="56" t="inlineStr">
        <is>
          <t>KG</t>
        </is>
      </c>
      <c r="H1612" s="60" t="inlineStr">
        <is>
          <t>R001</t>
        </is>
      </c>
      <c r="I1612" s="56" t="inlineStr">
        <is>
          <t>4318</t>
        </is>
      </c>
      <c r="J1612" s="56" t="n"/>
      <c r="K1612" s="56" t="n"/>
      <c r="L1612" s="56" t="n"/>
      <c r="M1612" s="56" t="n"/>
      <c r="N1612" s="60" t="inlineStr">
        <is>
          <t>TRANSIT STOCK</t>
        </is>
      </c>
      <c r="O1612" s="56" t="n">
        <v>4</v>
      </c>
      <c r="P1612" s="59" t="inlineStr">
        <is>
          <t>0-30</t>
        </is>
      </c>
      <c r="Q1612" s="56" t="inlineStr">
        <is>
          <t>TRANSIT STOCK</t>
        </is>
      </c>
    </row>
    <row r="1613">
      <c r="A1613" s="56" t="n">
        <v>3502487</v>
      </c>
      <c r="B1613" s="56" t="inlineStr">
        <is>
          <t>TUB-O-N-AUT-AW-FC-48.60X4.000X6.0030 HST</t>
        </is>
      </c>
      <c r="C1613" s="56" t="inlineStr">
        <is>
          <t>5107C40010</t>
        </is>
      </c>
      <c r="D1613" s="57" t="n">
        <v>58</v>
      </c>
      <c r="E1613" s="57" t="n">
        <v>1461.774</v>
      </c>
      <c r="F1613" s="57" t="n">
        <v>1.461774</v>
      </c>
      <c r="G1613" s="56" t="inlineStr">
        <is>
          <t>KG</t>
        </is>
      </c>
      <c r="H1613" s="60" t="inlineStr">
        <is>
          <t>R001</t>
        </is>
      </c>
      <c r="I1613" s="56" t="inlineStr">
        <is>
          <t>4318</t>
        </is>
      </c>
      <c r="J1613" s="56" t="n"/>
      <c r="K1613" s="56" t="n"/>
      <c r="L1613" s="56" t="n"/>
      <c r="M1613" s="56" t="n"/>
      <c r="N1613" s="60" t="inlineStr">
        <is>
          <t>TRANSIT STOCK</t>
        </is>
      </c>
      <c r="O1613" s="56" t="n">
        <v>4</v>
      </c>
      <c r="P1613" s="59" t="inlineStr">
        <is>
          <t>0-30</t>
        </is>
      </c>
      <c r="Q1613" s="56" t="inlineStr">
        <is>
          <t>TRANSIT STOCK</t>
        </is>
      </c>
    </row>
    <row r="1614">
      <c r="A1614" s="56" t="n">
        <v>3498972</v>
      </c>
      <c r="B1614" s="56" t="inlineStr">
        <is>
          <t>TUB-O-N-AUT-AW-PE-22.20X1.20X6.000-ERW 1</t>
        </is>
      </c>
      <c r="C1614" s="56" t="inlineStr">
        <is>
          <t>5106B20200</t>
        </is>
      </c>
      <c r="D1614" s="57" t="n">
        <v>413</v>
      </c>
      <c r="E1614" s="57" t="n">
        <v>1491.508</v>
      </c>
      <c r="F1614" s="57" t="n">
        <v>1.491508</v>
      </c>
      <c r="G1614" s="56" t="inlineStr">
        <is>
          <t>KG</t>
        </is>
      </c>
      <c r="H1614" s="60" t="inlineStr">
        <is>
          <t>R001</t>
        </is>
      </c>
      <c r="I1614" s="56" t="inlineStr">
        <is>
          <t>4318</t>
        </is>
      </c>
      <c r="J1614" s="56" t="n"/>
      <c r="K1614" s="56" t="n"/>
      <c r="L1614" s="56" t="n"/>
      <c r="M1614" s="56" t="n"/>
      <c r="N1614" s="60" t="inlineStr">
        <is>
          <t>TRANSIT STOCK</t>
        </is>
      </c>
      <c r="O1614" s="56" t="n">
        <v>4</v>
      </c>
      <c r="P1614" s="59" t="inlineStr">
        <is>
          <t>0-30</t>
        </is>
      </c>
      <c r="Q1614" s="56" t="inlineStr">
        <is>
          <t>TRANSIT STOCK</t>
        </is>
      </c>
    </row>
    <row r="1615">
      <c r="A1615" s="56" t="n">
        <v>3498972</v>
      </c>
      <c r="B1615" s="56" t="inlineStr">
        <is>
          <t>TUB-O-N-AUT-AW-PE-22.20X1.20X6.000-ERW 1</t>
        </is>
      </c>
      <c r="C1615" s="56" t="inlineStr">
        <is>
          <t>5106B20210</t>
        </is>
      </c>
      <c r="D1615" s="57" t="n">
        <v>420</v>
      </c>
      <c r="E1615" s="57" t="n">
        <v>1516.788</v>
      </c>
      <c r="F1615" s="57" t="n">
        <v>1.516788</v>
      </c>
      <c r="G1615" s="56" t="inlineStr">
        <is>
          <t>KG</t>
        </is>
      </c>
      <c r="H1615" s="60" t="inlineStr">
        <is>
          <t>R001</t>
        </is>
      </c>
      <c r="I1615" s="56" t="inlineStr">
        <is>
          <t>4318</t>
        </is>
      </c>
      <c r="J1615" s="56" t="n"/>
      <c r="K1615" s="56" t="n"/>
      <c r="L1615" s="56" t="n"/>
      <c r="M1615" s="56" t="n"/>
      <c r="N1615" s="60" t="inlineStr">
        <is>
          <t>TRANSIT STOCK</t>
        </is>
      </c>
      <c r="O1615" s="56" t="n">
        <v>4</v>
      </c>
      <c r="P1615" s="59" t="inlineStr">
        <is>
          <t>0-30</t>
        </is>
      </c>
      <c r="Q1615" s="56" t="inlineStr">
        <is>
          <t>TRANSIT STOCK</t>
        </is>
      </c>
    </row>
    <row r="1616">
      <c r="A1616" s="56" t="n">
        <v>3502322</v>
      </c>
      <c r="B1616" s="56" t="inlineStr">
        <is>
          <t>TUB-S-AW-SHS-50.00X50.00X1.60X6.250 HST</t>
        </is>
      </c>
      <c r="C1616" s="56" t="inlineStr">
        <is>
          <t>4C30B30030</t>
        </is>
      </c>
      <c r="D1616" s="57" t="n">
        <v>100</v>
      </c>
      <c r="E1616" s="57" t="n">
        <v>1487.5</v>
      </c>
      <c r="F1616" s="57" t="n">
        <v>1.4875</v>
      </c>
      <c r="G1616" s="56" t="inlineStr">
        <is>
          <t>KG</t>
        </is>
      </c>
      <c r="H1616" s="60" t="inlineStr">
        <is>
          <t>R001</t>
        </is>
      </c>
      <c r="I1616" s="56" t="inlineStr">
        <is>
          <t>4318</t>
        </is>
      </c>
      <c r="J1616" s="56" t="n"/>
      <c r="K1616" s="56" t="n"/>
      <c r="L1616" s="56" t="n"/>
      <c r="M1616" s="56" t="n"/>
      <c r="N1616" s="60" t="inlineStr">
        <is>
          <t>TRANSIT STOCK</t>
        </is>
      </c>
      <c r="O1616" s="56" t="n">
        <v>3</v>
      </c>
      <c r="P1616" s="59" t="inlineStr">
        <is>
          <t>0-30</t>
        </is>
      </c>
      <c r="Q1616" s="56" t="inlineStr">
        <is>
          <t>TRANSIT STOCK</t>
        </is>
      </c>
    </row>
    <row r="1617">
      <c r="A1617" s="56" t="n">
        <v>3502322</v>
      </c>
      <c r="B1617" s="56" t="inlineStr">
        <is>
          <t>TUB-S-AW-SHS-50.00X50.00X1.60X6.250 HST</t>
        </is>
      </c>
      <c r="C1617" s="56" t="inlineStr">
        <is>
          <t>4C30B30040</t>
        </is>
      </c>
      <c r="D1617" s="57" t="n">
        <v>100</v>
      </c>
      <c r="E1617" s="57" t="n">
        <v>1487.5</v>
      </c>
      <c r="F1617" s="57" t="n">
        <v>1.4875</v>
      </c>
      <c r="G1617" s="56" t="inlineStr">
        <is>
          <t>KG</t>
        </is>
      </c>
      <c r="H1617" s="60" t="inlineStr">
        <is>
          <t>R001</t>
        </is>
      </c>
      <c r="I1617" s="56" t="inlineStr">
        <is>
          <t>4318</t>
        </is>
      </c>
      <c r="J1617" s="56" t="n"/>
      <c r="K1617" s="56" t="n"/>
      <c r="L1617" s="56" t="n"/>
      <c r="M1617" s="56" t="n"/>
      <c r="N1617" s="60" t="inlineStr">
        <is>
          <t>TRANSIT STOCK</t>
        </is>
      </c>
      <c r="O1617" s="56" t="n">
        <v>3</v>
      </c>
      <c r="P1617" s="59" t="inlineStr">
        <is>
          <t>0-30</t>
        </is>
      </c>
      <c r="Q1617" s="56" t="inlineStr">
        <is>
          <t>TRANSIT STOCK</t>
        </is>
      </c>
    </row>
    <row r="1618">
      <c r="A1618" s="56" t="n">
        <v>3502322</v>
      </c>
      <c r="B1618" s="56" t="inlineStr">
        <is>
          <t>TUB-S-AW-SHS-50.00X50.00X1.60X6.250 HST</t>
        </is>
      </c>
      <c r="C1618" s="56" t="inlineStr">
        <is>
          <t>4C30B30050</t>
        </is>
      </c>
      <c r="D1618" s="57" t="n">
        <v>100</v>
      </c>
      <c r="E1618" s="57" t="n">
        <v>1487.5</v>
      </c>
      <c r="F1618" s="57" t="n">
        <v>1.4875</v>
      </c>
      <c r="G1618" s="56" t="inlineStr">
        <is>
          <t>KG</t>
        </is>
      </c>
      <c r="H1618" s="60" t="inlineStr">
        <is>
          <t>R001</t>
        </is>
      </c>
      <c r="I1618" s="56" t="inlineStr">
        <is>
          <t>4318</t>
        </is>
      </c>
      <c r="J1618" s="56" t="n"/>
      <c r="K1618" s="56" t="n"/>
      <c r="L1618" s="56" t="n"/>
      <c r="M1618" s="56" t="n"/>
      <c r="N1618" s="60" t="inlineStr">
        <is>
          <t>TRANSIT STOCK</t>
        </is>
      </c>
      <c r="O1618" s="56" t="n">
        <v>3</v>
      </c>
      <c r="P1618" s="59" t="inlineStr">
        <is>
          <t>0-30</t>
        </is>
      </c>
      <c r="Q1618" s="56" t="inlineStr">
        <is>
          <t>TRANSIT STOCK</t>
        </is>
      </c>
    </row>
    <row r="1619">
      <c r="A1619" s="56" t="n">
        <v>3502322</v>
      </c>
      <c r="B1619" s="56" t="inlineStr">
        <is>
          <t>TUB-S-AW-SHS-50.00X50.00X1.60X6.250 HST</t>
        </is>
      </c>
      <c r="C1619" s="56" t="inlineStr">
        <is>
          <t>4C30B30060</t>
        </is>
      </c>
      <c r="D1619" s="57" t="n">
        <v>100</v>
      </c>
      <c r="E1619" s="57" t="n">
        <v>1487.5</v>
      </c>
      <c r="F1619" s="57" t="n">
        <v>1.4875</v>
      </c>
      <c r="G1619" s="56" t="inlineStr">
        <is>
          <t>KG</t>
        </is>
      </c>
      <c r="H1619" s="60" t="inlineStr">
        <is>
          <t>R001</t>
        </is>
      </c>
      <c r="I1619" s="56" t="inlineStr">
        <is>
          <t>4318</t>
        </is>
      </c>
      <c r="J1619" s="56" t="n"/>
      <c r="K1619" s="56" t="n"/>
      <c r="L1619" s="56" t="n"/>
      <c r="M1619" s="56" t="n"/>
      <c r="N1619" s="60" t="inlineStr">
        <is>
          <t>TRANSIT STOCK</t>
        </is>
      </c>
      <c r="O1619" s="56" t="n">
        <v>3</v>
      </c>
      <c r="P1619" s="59" t="inlineStr">
        <is>
          <t>0-30</t>
        </is>
      </c>
      <c r="Q1619" s="56" t="inlineStr">
        <is>
          <t>TRANSIT STOCK</t>
        </is>
      </c>
    </row>
    <row r="1620">
      <c r="A1620" s="56" t="n">
        <v>3502322</v>
      </c>
      <c r="B1620" s="56" t="inlineStr">
        <is>
          <t>TUB-S-AW-SHS-50.00X50.00X1.60X6.250 HST</t>
        </is>
      </c>
      <c r="C1620" s="56" t="inlineStr">
        <is>
          <t>4C30B30070</t>
        </is>
      </c>
      <c r="D1620" s="57" t="n">
        <v>100</v>
      </c>
      <c r="E1620" s="57" t="n">
        <v>1487.5</v>
      </c>
      <c r="F1620" s="57" t="n">
        <v>1.4875</v>
      </c>
      <c r="G1620" s="56" t="inlineStr">
        <is>
          <t>KG</t>
        </is>
      </c>
      <c r="H1620" s="60" t="inlineStr">
        <is>
          <t>R001</t>
        </is>
      </c>
      <c r="I1620" s="56" t="inlineStr">
        <is>
          <t>4318</t>
        </is>
      </c>
      <c r="J1620" s="56" t="n"/>
      <c r="K1620" s="56" t="n"/>
      <c r="L1620" s="56" t="n"/>
      <c r="M1620" s="56" t="n"/>
      <c r="N1620" s="60" t="inlineStr">
        <is>
          <t>TRANSIT STOCK</t>
        </is>
      </c>
      <c r="O1620" s="56" t="n">
        <v>3</v>
      </c>
      <c r="P1620" s="59" t="inlineStr">
        <is>
          <t>0-30</t>
        </is>
      </c>
      <c r="Q1620" s="56" t="inlineStr">
        <is>
          <t>TRANSIT STOCK</t>
        </is>
      </c>
    </row>
    <row r="1621">
      <c r="A1621" s="56" t="n">
        <v>3502322</v>
      </c>
      <c r="B1621" s="56" t="inlineStr">
        <is>
          <t>TUB-S-AW-SHS-50.00X50.00X1.60X6.250 HST</t>
        </is>
      </c>
      <c r="C1621" s="56" t="inlineStr">
        <is>
          <t>4C30B30080</t>
        </is>
      </c>
      <c r="D1621" s="57" t="n">
        <v>100</v>
      </c>
      <c r="E1621" s="57" t="n">
        <v>1487.5</v>
      </c>
      <c r="F1621" s="57" t="n">
        <v>1.4875</v>
      </c>
      <c r="G1621" s="56" t="inlineStr">
        <is>
          <t>KG</t>
        </is>
      </c>
      <c r="H1621" s="60" t="inlineStr">
        <is>
          <t>R001</t>
        </is>
      </c>
      <c r="I1621" s="56" t="inlineStr">
        <is>
          <t>4318</t>
        </is>
      </c>
      <c r="J1621" s="56" t="n"/>
      <c r="K1621" s="56" t="n"/>
      <c r="L1621" s="56" t="n"/>
      <c r="M1621" s="56" t="n"/>
      <c r="N1621" s="60" t="inlineStr">
        <is>
          <t>TRANSIT STOCK</t>
        </is>
      </c>
      <c r="O1621" s="56" t="n">
        <v>3</v>
      </c>
      <c r="P1621" s="59" t="inlineStr">
        <is>
          <t>0-30</t>
        </is>
      </c>
      <c r="Q1621" s="56" t="inlineStr">
        <is>
          <t>TRANSIT STOCK</t>
        </is>
      </c>
    </row>
    <row r="1622">
      <c r="A1622" s="56" t="n">
        <v>3502322</v>
      </c>
      <c r="B1622" s="56" t="inlineStr">
        <is>
          <t>TUB-S-AW-SHS-50.00X50.00X1.60X6.250 HST</t>
        </is>
      </c>
      <c r="C1622" s="56" t="inlineStr">
        <is>
          <t>4C30B30090</t>
        </is>
      </c>
      <c r="D1622" s="57" t="n">
        <v>100</v>
      </c>
      <c r="E1622" s="57" t="n">
        <v>1487.5</v>
      </c>
      <c r="F1622" s="57" t="n">
        <v>1.4875</v>
      </c>
      <c r="G1622" s="56" t="inlineStr">
        <is>
          <t>KG</t>
        </is>
      </c>
      <c r="H1622" s="60" t="inlineStr">
        <is>
          <t>R001</t>
        </is>
      </c>
      <c r="I1622" s="56" t="inlineStr">
        <is>
          <t>4318</t>
        </is>
      </c>
      <c r="J1622" s="56" t="n"/>
      <c r="K1622" s="56" t="n"/>
      <c r="L1622" s="56" t="n"/>
      <c r="M1622" s="56" t="n"/>
      <c r="N1622" s="60" t="inlineStr">
        <is>
          <t>TRANSIT STOCK</t>
        </is>
      </c>
      <c r="O1622" s="56" t="n">
        <v>3</v>
      </c>
      <c r="P1622" s="59" t="inlineStr">
        <is>
          <t>0-30</t>
        </is>
      </c>
      <c r="Q1622" s="56" t="inlineStr">
        <is>
          <t>TRANSIT STOCK</t>
        </is>
      </c>
    </row>
    <row r="1623">
      <c r="A1623" s="56" t="n">
        <v>3502322</v>
      </c>
      <c r="B1623" s="56" t="inlineStr">
        <is>
          <t>TUB-S-AW-SHS-50.00X50.00X1.60X6.250 HST</t>
        </is>
      </c>
      <c r="C1623" s="56" t="inlineStr">
        <is>
          <t>4C30B30180</t>
        </is>
      </c>
      <c r="D1623" s="57" t="n">
        <v>100</v>
      </c>
      <c r="E1623" s="57" t="n">
        <v>1487.5</v>
      </c>
      <c r="F1623" s="57" t="n">
        <v>1.4875</v>
      </c>
      <c r="G1623" s="56" t="inlineStr">
        <is>
          <t>KG</t>
        </is>
      </c>
      <c r="H1623" s="60" t="inlineStr">
        <is>
          <t>R001</t>
        </is>
      </c>
      <c r="I1623" s="56" t="inlineStr">
        <is>
          <t>4318</t>
        </is>
      </c>
      <c r="J1623" s="56" t="n"/>
      <c r="K1623" s="56" t="n"/>
      <c r="L1623" s="56" t="n"/>
      <c r="M1623" s="56" t="n"/>
      <c r="N1623" s="60" t="inlineStr">
        <is>
          <t>TRANSIT STOCK</t>
        </is>
      </c>
      <c r="O1623" s="56" t="n">
        <v>3</v>
      </c>
      <c r="P1623" s="59" t="inlineStr">
        <is>
          <t>0-30</t>
        </is>
      </c>
      <c r="Q1623" s="56" t="inlineStr">
        <is>
          <t>TRANSIT STOCK</t>
        </is>
      </c>
    </row>
    <row r="1624">
      <c r="A1624" s="56" t="n">
        <v>3502322</v>
      </c>
      <c r="B1624" s="56" t="inlineStr">
        <is>
          <t>TUB-S-AW-SHS-50.00X50.00X1.60X6.250 HST</t>
        </is>
      </c>
      <c r="C1624" s="56" t="inlineStr">
        <is>
          <t>4C30B30190</t>
        </is>
      </c>
      <c r="D1624" s="57" t="n">
        <v>100</v>
      </c>
      <c r="E1624" s="57" t="n">
        <v>1487.5</v>
      </c>
      <c r="F1624" s="57" t="n">
        <v>1.4875</v>
      </c>
      <c r="G1624" s="56" t="inlineStr">
        <is>
          <t>KG</t>
        </is>
      </c>
      <c r="H1624" s="60" t="inlineStr">
        <is>
          <t>R001</t>
        </is>
      </c>
      <c r="I1624" s="56" t="inlineStr">
        <is>
          <t>4318</t>
        </is>
      </c>
      <c r="J1624" s="56" t="n"/>
      <c r="K1624" s="56" t="n"/>
      <c r="L1624" s="56" t="n"/>
      <c r="M1624" s="56" t="n"/>
      <c r="N1624" s="60" t="inlineStr">
        <is>
          <t>TRANSIT STOCK</t>
        </is>
      </c>
      <c r="O1624" s="56" t="n">
        <v>3</v>
      </c>
      <c r="P1624" s="59" t="inlineStr">
        <is>
          <t>0-30</t>
        </is>
      </c>
      <c r="Q1624" s="56" t="inlineStr">
        <is>
          <t>TRANSIT STOCK</t>
        </is>
      </c>
    </row>
    <row r="1625">
      <c r="A1625" s="56" t="n">
        <v>3502322</v>
      </c>
      <c r="B1625" s="56" t="inlineStr">
        <is>
          <t>TUB-S-AW-SHS-50.00X50.00X1.60X6.250 HST</t>
        </is>
      </c>
      <c r="C1625" s="56" t="inlineStr">
        <is>
          <t>4C28B30010</t>
        </is>
      </c>
      <c r="D1625" s="57" t="n">
        <v>85</v>
      </c>
      <c r="E1625" s="57" t="n">
        <v>1264.375</v>
      </c>
      <c r="F1625" s="57" t="n">
        <v>1.264375</v>
      </c>
      <c r="G1625" s="56" t="inlineStr">
        <is>
          <t>KG</t>
        </is>
      </c>
      <c r="H1625" s="60" t="inlineStr">
        <is>
          <t>R001</t>
        </is>
      </c>
      <c r="I1625" s="56" t="inlineStr">
        <is>
          <t>4318</t>
        </is>
      </c>
      <c r="J1625" s="56" t="n"/>
      <c r="K1625" s="56" t="n"/>
      <c r="L1625" s="56" t="n"/>
      <c r="M1625" s="56" t="n"/>
      <c r="N1625" s="60" t="inlineStr">
        <is>
          <t>TRANSIT STOCK</t>
        </is>
      </c>
      <c r="O1625" s="56" t="n">
        <v>3</v>
      </c>
      <c r="P1625" s="59" t="inlineStr">
        <is>
          <t>0-30</t>
        </is>
      </c>
      <c r="Q1625" s="56" t="inlineStr">
        <is>
          <t>TRANSIT STOCK</t>
        </is>
      </c>
    </row>
    <row r="1626">
      <c r="A1626" s="56" t="n">
        <v>3502322</v>
      </c>
      <c r="B1626" s="56" t="inlineStr">
        <is>
          <t>TUB-S-AW-SHS-50.00X50.00X1.60X6.250 HST</t>
        </is>
      </c>
      <c r="C1626" s="56" t="inlineStr">
        <is>
          <t>4C30B30230</t>
        </is>
      </c>
      <c r="D1626" s="57" t="n">
        <v>62</v>
      </c>
      <c r="E1626" s="57" t="n">
        <v>922.25</v>
      </c>
      <c r="F1626" s="57" t="n">
        <v>0.92225</v>
      </c>
      <c r="G1626" s="56" t="inlineStr">
        <is>
          <t>KG</t>
        </is>
      </c>
      <c r="H1626" s="60" t="inlineStr">
        <is>
          <t>R001</t>
        </is>
      </c>
      <c r="I1626" s="56" t="inlineStr">
        <is>
          <t>4318</t>
        </is>
      </c>
      <c r="J1626" s="56" t="n"/>
      <c r="K1626" s="56" t="n"/>
      <c r="L1626" s="56" t="n"/>
      <c r="M1626" s="56" t="n"/>
      <c r="N1626" s="60" t="inlineStr">
        <is>
          <t>TRANSIT STOCK</t>
        </is>
      </c>
      <c r="O1626" s="56" t="n">
        <v>3</v>
      </c>
      <c r="P1626" s="59" t="inlineStr">
        <is>
          <t>0-30</t>
        </is>
      </c>
      <c r="Q1626" s="56" t="inlineStr">
        <is>
          <t>TRANSIT STOCK</t>
        </is>
      </c>
    </row>
    <row r="1627">
      <c r="A1627" s="56" t="n">
        <v>3682070</v>
      </c>
      <c r="B1627" s="56" t="inlineStr">
        <is>
          <t>TUB-O-N-AUT-AW-PE-19.05X2.300X6.0500</t>
        </is>
      </c>
      <c r="C1627" s="56" t="inlineStr">
        <is>
          <t>5108A20080</t>
        </is>
      </c>
      <c r="D1627" s="57" t="n">
        <v>450</v>
      </c>
      <c r="E1627" s="57" t="n">
        <v>2488.905</v>
      </c>
      <c r="F1627" s="57" t="n">
        <v>2.488905</v>
      </c>
      <c r="G1627" s="56" t="inlineStr">
        <is>
          <t>KG</t>
        </is>
      </c>
      <c r="H1627" s="60" t="inlineStr">
        <is>
          <t>R001</t>
        </is>
      </c>
      <c r="I1627" s="56" t="inlineStr">
        <is>
          <t>4318</t>
        </is>
      </c>
      <c r="J1627" s="56" t="n"/>
      <c r="K1627" s="56" t="n"/>
      <c r="L1627" s="56" t="n"/>
      <c r="M1627" s="56" t="n"/>
      <c r="N1627" s="60" t="inlineStr">
        <is>
          <t>TRANSIT STOCK</t>
        </is>
      </c>
      <c r="O1627" s="56" t="n">
        <v>3</v>
      </c>
      <c r="P1627" s="59" t="inlineStr">
        <is>
          <t>0-30</t>
        </is>
      </c>
      <c r="Q1627" s="56" t="inlineStr">
        <is>
          <t>TRANSIT STOCK</t>
        </is>
      </c>
    </row>
    <row r="1628">
      <c r="A1628" s="56" t="n">
        <v>3682070</v>
      </c>
      <c r="B1628" s="56" t="inlineStr">
        <is>
          <t>TUB-O-N-AUT-AW-PE-19.05X2.300X6.0500</t>
        </is>
      </c>
      <c r="C1628" s="56" t="inlineStr">
        <is>
          <t>5108B20010</t>
        </is>
      </c>
      <c r="D1628" s="57" t="n">
        <v>450</v>
      </c>
      <c r="E1628" s="57" t="n">
        <v>2488.905</v>
      </c>
      <c r="F1628" s="57" t="n">
        <v>2.488905</v>
      </c>
      <c r="G1628" s="56" t="inlineStr">
        <is>
          <t>KG</t>
        </is>
      </c>
      <c r="H1628" s="60" t="inlineStr">
        <is>
          <t>R001</t>
        </is>
      </c>
      <c r="I1628" s="56" t="inlineStr">
        <is>
          <t>4318</t>
        </is>
      </c>
      <c r="J1628" s="56" t="n"/>
      <c r="K1628" s="56" t="n"/>
      <c r="L1628" s="56" t="n"/>
      <c r="M1628" s="56" t="n"/>
      <c r="N1628" s="60" t="inlineStr">
        <is>
          <t>TRANSIT STOCK</t>
        </is>
      </c>
      <c r="O1628" s="56" t="n">
        <v>3</v>
      </c>
      <c r="P1628" s="59" t="inlineStr">
        <is>
          <t>0-30</t>
        </is>
      </c>
      <c r="Q1628" s="56" t="inlineStr">
        <is>
          <t>TRANSIT STOCK</t>
        </is>
      </c>
    </row>
    <row r="1629">
      <c r="A1629" s="56" t="n">
        <v>3682070</v>
      </c>
      <c r="B1629" s="56" t="inlineStr">
        <is>
          <t>TUB-O-N-AUT-AW-PE-19.05X2.300X6.0500</t>
        </is>
      </c>
      <c r="C1629" s="56" t="inlineStr">
        <is>
          <t>5108B20020</t>
        </is>
      </c>
      <c r="D1629" s="57" t="n">
        <v>434</v>
      </c>
      <c r="E1629" s="57" t="n">
        <v>2400.411</v>
      </c>
      <c r="F1629" s="57" t="n">
        <v>2.400411</v>
      </c>
      <c r="G1629" s="56" t="inlineStr">
        <is>
          <t>KG</t>
        </is>
      </c>
      <c r="H1629" s="60" t="inlineStr">
        <is>
          <t>R001</t>
        </is>
      </c>
      <c r="I1629" s="56" t="inlineStr">
        <is>
          <t>4318</t>
        </is>
      </c>
      <c r="J1629" s="56" t="n"/>
      <c r="K1629" s="56" t="n"/>
      <c r="L1629" s="56" t="n"/>
      <c r="M1629" s="56" t="n"/>
      <c r="N1629" s="60" t="inlineStr">
        <is>
          <t>TRANSIT STOCK</t>
        </is>
      </c>
      <c r="O1629" s="56" t="n">
        <v>3</v>
      </c>
      <c r="P1629" s="59" t="inlineStr">
        <is>
          <t>0-30</t>
        </is>
      </c>
      <c r="Q1629" s="56" t="inlineStr">
        <is>
          <t>TRANSIT STOCK</t>
        </is>
      </c>
    </row>
    <row r="1630">
      <c r="A1630" s="56" t="n">
        <v>3682070</v>
      </c>
      <c r="B1630" s="56" t="inlineStr">
        <is>
          <t>TUB-O-N-AUT-AW-PE-19.05X2.300X6.0500</t>
        </is>
      </c>
      <c r="C1630" s="56" t="inlineStr">
        <is>
          <t>5108B20030</t>
        </is>
      </c>
      <c r="D1630" s="57" t="n">
        <v>448</v>
      </c>
      <c r="E1630" s="57" t="n">
        <v>2477.843</v>
      </c>
      <c r="F1630" s="57" t="n">
        <v>2.477843</v>
      </c>
      <c r="G1630" s="56" t="inlineStr">
        <is>
          <t>KG</t>
        </is>
      </c>
      <c r="H1630" s="60" t="inlineStr">
        <is>
          <t>R001</t>
        </is>
      </c>
      <c r="I1630" s="56" t="inlineStr">
        <is>
          <t>4318</t>
        </is>
      </c>
      <c r="J1630" s="56" t="n"/>
      <c r="K1630" s="56" t="n"/>
      <c r="L1630" s="56" t="n"/>
      <c r="M1630" s="56" t="n"/>
      <c r="N1630" s="60" t="inlineStr">
        <is>
          <t>TRANSIT STOCK</t>
        </is>
      </c>
      <c r="O1630" s="56" t="n">
        <v>3</v>
      </c>
      <c r="P1630" s="59" t="inlineStr">
        <is>
          <t>0-30</t>
        </is>
      </c>
      <c r="Q1630" s="56" t="inlineStr">
        <is>
          <t>TRANSIT STOCK</t>
        </is>
      </c>
    </row>
    <row r="1631">
      <c r="A1631" s="56" t="n">
        <v>3682070</v>
      </c>
      <c r="B1631" s="56" t="inlineStr">
        <is>
          <t>TUB-O-N-AUT-AW-PE-19.05X2.300X6.0500</t>
        </is>
      </c>
      <c r="C1631" s="56" t="inlineStr">
        <is>
          <t>5108B20040</t>
        </is>
      </c>
      <c r="D1631" s="57" t="n">
        <v>448</v>
      </c>
      <c r="E1631" s="57" t="n">
        <v>2477.843</v>
      </c>
      <c r="F1631" s="57" t="n">
        <v>2.477843</v>
      </c>
      <c r="G1631" s="56" t="inlineStr">
        <is>
          <t>KG</t>
        </is>
      </c>
      <c r="H1631" s="60" t="inlineStr">
        <is>
          <t>R001</t>
        </is>
      </c>
      <c r="I1631" s="56" t="inlineStr">
        <is>
          <t>4318</t>
        </is>
      </c>
      <c r="J1631" s="56" t="n"/>
      <c r="K1631" s="56" t="n"/>
      <c r="L1631" s="56" t="n"/>
      <c r="M1631" s="56" t="n"/>
      <c r="N1631" s="60" t="inlineStr">
        <is>
          <t>TRANSIT STOCK</t>
        </is>
      </c>
      <c r="O1631" s="56" t="n">
        <v>3</v>
      </c>
      <c r="P1631" s="59" t="inlineStr">
        <is>
          <t>0-30</t>
        </is>
      </c>
      <c r="Q1631" s="56" t="inlineStr">
        <is>
          <t>TRANSIT STOCK</t>
        </is>
      </c>
    </row>
    <row r="1632">
      <c r="A1632" s="56" t="n">
        <v>3682070</v>
      </c>
      <c r="B1632" s="56" t="inlineStr">
        <is>
          <t>TUB-O-N-AUT-AW-PE-19.05X2.300X6.0500</t>
        </is>
      </c>
      <c r="C1632" s="56" t="inlineStr">
        <is>
          <t>5108B20050</t>
        </is>
      </c>
      <c r="D1632" s="57" t="n">
        <v>449</v>
      </c>
      <c r="E1632" s="57" t="n">
        <v>2483.374</v>
      </c>
      <c r="F1632" s="57" t="n">
        <v>2.483374</v>
      </c>
      <c r="G1632" s="56" t="inlineStr">
        <is>
          <t>KG</t>
        </is>
      </c>
      <c r="H1632" s="60" t="inlineStr">
        <is>
          <t>R001</t>
        </is>
      </c>
      <c r="I1632" s="56" t="inlineStr">
        <is>
          <t>4318</t>
        </is>
      </c>
      <c r="J1632" s="56" t="n"/>
      <c r="K1632" s="56" t="n"/>
      <c r="L1632" s="56" t="n"/>
      <c r="M1632" s="56" t="n"/>
      <c r="N1632" s="60" t="inlineStr">
        <is>
          <t>TRANSIT STOCK</t>
        </is>
      </c>
      <c r="O1632" s="56" t="n">
        <v>3</v>
      </c>
      <c r="P1632" s="59" t="inlineStr">
        <is>
          <t>0-30</t>
        </is>
      </c>
      <c r="Q1632" s="56" t="inlineStr">
        <is>
          <t>TRANSIT STOCK</t>
        </is>
      </c>
    </row>
    <row r="1633">
      <c r="A1633" s="56" t="n">
        <v>3682070</v>
      </c>
      <c r="B1633" s="56" t="inlineStr">
        <is>
          <t>TUB-O-N-AUT-AW-PE-19.05X2.300X6.0500</t>
        </is>
      </c>
      <c r="C1633" s="56" t="inlineStr">
        <is>
          <t>5109A20030</t>
        </is>
      </c>
      <c r="D1633" s="57" t="n">
        <v>450</v>
      </c>
      <c r="E1633" s="57" t="n">
        <v>2488.905</v>
      </c>
      <c r="F1633" s="57" t="n">
        <v>2.488905</v>
      </c>
      <c r="G1633" s="56" t="inlineStr">
        <is>
          <t>KG</t>
        </is>
      </c>
      <c r="H1633" s="60" t="inlineStr">
        <is>
          <t>R001</t>
        </is>
      </c>
      <c r="I1633" s="56" t="inlineStr">
        <is>
          <t>4318</t>
        </is>
      </c>
      <c r="J1633" s="56" t="n"/>
      <c r="K1633" s="56" t="n"/>
      <c r="L1633" s="56" t="n"/>
      <c r="M1633" s="56" t="n"/>
      <c r="N1633" s="60" t="inlineStr">
        <is>
          <t>TRANSIT STOCK</t>
        </is>
      </c>
      <c r="O1633" s="56" t="n">
        <v>2</v>
      </c>
      <c r="P1633" s="59" t="inlineStr">
        <is>
          <t>0-30</t>
        </is>
      </c>
      <c r="Q1633" s="56" t="inlineStr">
        <is>
          <t>TRANSIT STOCK</t>
        </is>
      </c>
    </row>
    <row r="1634">
      <c r="A1634" s="56" t="n">
        <v>3682070</v>
      </c>
      <c r="B1634" s="56" t="inlineStr">
        <is>
          <t>TUB-O-N-AUT-AW-PE-19.05X2.300X6.0500</t>
        </is>
      </c>
      <c r="C1634" s="56" t="inlineStr">
        <is>
          <t>5109A20040</t>
        </is>
      </c>
      <c r="D1634" s="57" t="n">
        <v>450</v>
      </c>
      <c r="E1634" s="57" t="n">
        <v>2488.905</v>
      </c>
      <c r="F1634" s="57" t="n">
        <v>2.488905</v>
      </c>
      <c r="G1634" s="56" t="inlineStr">
        <is>
          <t>KG</t>
        </is>
      </c>
      <c r="H1634" s="60" t="inlineStr">
        <is>
          <t>R001</t>
        </is>
      </c>
      <c r="I1634" s="56" t="inlineStr">
        <is>
          <t>4318</t>
        </is>
      </c>
      <c r="J1634" s="56" t="n"/>
      <c r="K1634" s="56" t="n"/>
      <c r="L1634" s="56" t="n"/>
      <c r="M1634" s="56" t="n"/>
      <c r="N1634" s="60" t="inlineStr">
        <is>
          <t>TRANSIT STOCK</t>
        </is>
      </c>
      <c r="O1634" s="56" t="n">
        <v>2</v>
      </c>
      <c r="P1634" s="59" t="inlineStr">
        <is>
          <t>0-30</t>
        </is>
      </c>
      <c r="Q1634" s="56" t="inlineStr">
        <is>
          <t>TRANSIT STOCK</t>
        </is>
      </c>
    </row>
    <row r="1635">
      <c r="A1635" s="56" t="n">
        <v>3682070</v>
      </c>
      <c r="B1635" s="56" t="inlineStr">
        <is>
          <t>TUB-O-N-AUT-AW-PE-19.05X2.300X6.0500</t>
        </is>
      </c>
      <c r="C1635" s="56" t="inlineStr">
        <is>
          <t>5109A20060</t>
        </is>
      </c>
      <c r="D1635" s="57" t="n">
        <v>450</v>
      </c>
      <c r="E1635" s="57" t="n">
        <v>2488.905</v>
      </c>
      <c r="F1635" s="57" t="n">
        <v>2.488905</v>
      </c>
      <c r="G1635" s="56" t="inlineStr">
        <is>
          <t>KG</t>
        </is>
      </c>
      <c r="H1635" s="60" t="inlineStr">
        <is>
          <t>R001</t>
        </is>
      </c>
      <c r="I1635" s="56" t="inlineStr">
        <is>
          <t>4318</t>
        </is>
      </c>
      <c r="J1635" s="56" t="n"/>
      <c r="K1635" s="56" t="n"/>
      <c r="L1635" s="56" t="n"/>
      <c r="M1635" s="56" t="n"/>
      <c r="N1635" s="60" t="inlineStr">
        <is>
          <t>TRANSIT STOCK</t>
        </is>
      </c>
      <c r="O1635" s="56" t="n">
        <v>2</v>
      </c>
      <c r="P1635" s="59" t="inlineStr">
        <is>
          <t>0-30</t>
        </is>
      </c>
      <c r="Q1635" s="56" t="inlineStr">
        <is>
          <t>TRANSIT STOCK</t>
        </is>
      </c>
    </row>
    <row r="1636">
      <c r="A1636" s="56" t="n">
        <v>3682070</v>
      </c>
      <c r="B1636" s="56" t="inlineStr">
        <is>
          <t>TUB-O-N-AUT-AW-PE-19.05X2.300X6.0500</t>
        </is>
      </c>
      <c r="C1636" s="56" t="inlineStr">
        <is>
          <t>5109A20070</t>
        </is>
      </c>
      <c r="D1636" s="57" t="n">
        <v>450</v>
      </c>
      <c r="E1636" s="57" t="n">
        <v>2488.905</v>
      </c>
      <c r="F1636" s="57" t="n">
        <v>2.488905</v>
      </c>
      <c r="G1636" s="56" t="inlineStr">
        <is>
          <t>KG</t>
        </is>
      </c>
      <c r="H1636" s="60" t="inlineStr">
        <is>
          <t>R001</t>
        </is>
      </c>
      <c r="I1636" s="56" t="inlineStr">
        <is>
          <t>4318</t>
        </is>
      </c>
      <c r="J1636" s="56" t="n"/>
      <c r="K1636" s="56" t="n"/>
      <c r="L1636" s="56" t="n"/>
      <c r="M1636" s="56" t="n"/>
      <c r="N1636" s="60" t="inlineStr">
        <is>
          <t>TRANSIT STOCK</t>
        </is>
      </c>
      <c r="O1636" s="56" t="n">
        <v>2</v>
      </c>
      <c r="P1636" s="59" t="inlineStr">
        <is>
          <t>0-30</t>
        </is>
      </c>
      <c r="Q1636" s="56" t="inlineStr">
        <is>
          <t>TRANSIT STOCK</t>
        </is>
      </c>
    </row>
    <row r="1637">
      <c r="A1637" s="56" t="n">
        <v>3682070</v>
      </c>
      <c r="B1637" s="56" t="inlineStr">
        <is>
          <t>TUB-O-N-AUT-AW-PE-19.05X2.300X6.0500</t>
        </is>
      </c>
      <c r="C1637" s="56" t="inlineStr">
        <is>
          <t>5109A20080</t>
        </is>
      </c>
      <c r="D1637" s="57" t="n">
        <v>450</v>
      </c>
      <c r="E1637" s="57" t="n">
        <v>2488.905</v>
      </c>
      <c r="F1637" s="57" t="n">
        <v>2.488905</v>
      </c>
      <c r="G1637" s="56" t="inlineStr">
        <is>
          <t>KG</t>
        </is>
      </c>
      <c r="H1637" s="60" t="inlineStr">
        <is>
          <t>R001</t>
        </is>
      </c>
      <c r="I1637" s="56" t="inlineStr">
        <is>
          <t>4318</t>
        </is>
      </c>
      <c r="J1637" s="56" t="n"/>
      <c r="K1637" s="56" t="n"/>
      <c r="L1637" s="56" t="n"/>
      <c r="M1637" s="56" t="n"/>
      <c r="N1637" s="60" t="inlineStr">
        <is>
          <t>TRANSIT STOCK</t>
        </is>
      </c>
      <c r="O1637" s="56" t="n">
        <v>2</v>
      </c>
      <c r="P1637" s="59" t="inlineStr">
        <is>
          <t>0-30</t>
        </is>
      </c>
      <c r="Q1637" s="56" t="inlineStr">
        <is>
          <t>TRANSIT STOCK</t>
        </is>
      </c>
    </row>
    <row r="1638">
      <c r="A1638" s="56" t="n">
        <v>3682070</v>
      </c>
      <c r="B1638" s="56" t="inlineStr">
        <is>
          <t>TUB-O-N-AUT-AW-PE-19.05X2.300X6.0500</t>
        </is>
      </c>
      <c r="C1638" s="56" t="inlineStr">
        <is>
          <t>5109B20030</t>
        </is>
      </c>
      <c r="D1638" s="57" t="n">
        <v>450</v>
      </c>
      <c r="E1638" s="57" t="n">
        <v>2488.905</v>
      </c>
      <c r="F1638" s="57" t="n">
        <v>2.488905</v>
      </c>
      <c r="G1638" s="56" t="inlineStr">
        <is>
          <t>KG</t>
        </is>
      </c>
      <c r="H1638" s="60" t="inlineStr">
        <is>
          <t>R001</t>
        </is>
      </c>
      <c r="I1638" s="56" t="inlineStr">
        <is>
          <t>4318</t>
        </is>
      </c>
      <c r="J1638" s="56" t="n"/>
      <c r="K1638" s="56" t="n"/>
      <c r="L1638" s="56" t="n"/>
      <c r="M1638" s="56" t="n"/>
      <c r="N1638" s="60" t="inlineStr">
        <is>
          <t>TRANSIT STOCK</t>
        </is>
      </c>
      <c r="O1638" s="56" t="n">
        <v>2</v>
      </c>
      <c r="P1638" s="59" t="inlineStr">
        <is>
          <t>0-30</t>
        </is>
      </c>
      <c r="Q1638" s="56" t="inlineStr">
        <is>
          <t>TRANSIT STOCK</t>
        </is>
      </c>
    </row>
    <row r="1639">
      <c r="A1639" s="56" t="n">
        <v>3682070</v>
      </c>
      <c r="B1639" s="56" t="inlineStr">
        <is>
          <t>TUB-O-N-AUT-AW-PE-19.05X2.300X6.0500</t>
        </is>
      </c>
      <c r="C1639" s="56" t="inlineStr">
        <is>
          <t>5109B20010</t>
        </is>
      </c>
      <c r="D1639" s="57" t="n">
        <v>452</v>
      </c>
      <c r="E1639" s="57" t="n">
        <v>2499.967</v>
      </c>
      <c r="F1639" s="57" t="n">
        <v>2.499967</v>
      </c>
      <c r="G1639" s="56" t="inlineStr">
        <is>
          <t>KG</t>
        </is>
      </c>
      <c r="H1639" s="60" t="inlineStr">
        <is>
          <t>R001</t>
        </is>
      </c>
      <c r="I1639" s="56" t="inlineStr">
        <is>
          <t>4318</t>
        </is>
      </c>
      <c r="J1639" s="56" t="n"/>
      <c r="K1639" s="56" t="n"/>
      <c r="L1639" s="56" t="n"/>
      <c r="M1639" s="56" t="n"/>
      <c r="N1639" s="60" t="inlineStr">
        <is>
          <t>TRANSIT STOCK</t>
        </is>
      </c>
      <c r="O1639" s="56" t="n">
        <v>2</v>
      </c>
      <c r="P1639" s="59" t="inlineStr">
        <is>
          <t>0-30</t>
        </is>
      </c>
      <c r="Q1639" s="56" t="inlineStr">
        <is>
          <t>TRANSIT STOCK</t>
        </is>
      </c>
    </row>
    <row r="1640">
      <c r="A1640" s="56" t="n">
        <v>3682070</v>
      </c>
      <c r="B1640" s="56" t="inlineStr">
        <is>
          <t>TUB-O-N-AUT-AW-PE-19.05X2.300X6.0500</t>
        </is>
      </c>
      <c r="C1640" s="56" t="inlineStr">
        <is>
          <t>5109B20040</t>
        </is>
      </c>
      <c r="D1640" s="57" t="n">
        <v>258</v>
      </c>
      <c r="E1640" s="57" t="n">
        <v>1426.972</v>
      </c>
      <c r="F1640" s="57" t="n">
        <v>1.426972</v>
      </c>
      <c r="G1640" s="56" t="inlineStr">
        <is>
          <t>KG</t>
        </is>
      </c>
      <c r="H1640" s="60" t="inlineStr">
        <is>
          <t>R001</t>
        </is>
      </c>
      <c r="I1640" s="56" t="inlineStr">
        <is>
          <t>4318</t>
        </is>
      </c>
      <c r="J1640" s="56" t="n"/>
      <c r="K1640" s="56" t="n"/>
      <c r="L1640" s="56" t="n"/>
      <c r="M1640" s="56" t="n"/>
      <c r="N1640" s="60" t="inlineStr">
        <is>
          <t>TRANSIT STOCK</t>
        </is>
      </c>
      <c r="O1640" s="56" t="n">
        <v>2</v>
      </c>
      <c r="P1640" s="59" t="inlineStr">
        <is>
          <t>0-30</t>
        </is>
      </c>
      <c r="Q1640" s="56" t="inlineStr">
        <is>
          <t>TRANSIT STOCK</t>
        </is>
      </c>
    </row>
    <row r="1641">
      <c r="A1641" s="56" t="n">
        <v>3682070</v>
      </c>
      <c r="B1641" s="56" t="inlineStr">
        <is>
          <t>TUB-O-N-AUT-AW-PE-19.05X2.300X6.0500</t>
        </is>
      </c>
      <c r="C1641" s="56" t="inlineStr">
        <is>
          <t>5109A20050</t>
        </is>
      </c>
      <c r="D1641" s="57" t="n">
        <v>449</v>
      </c>
      <c r="E1641" s="57" t="n">
        <v>2483.374</v>
      </c>
      <c r="F1641" s="57" t="n">
        <v>2.483374</v>
      </c>
      <c r="G1641" s="56" t="inlineStr">
        <is>
          <t>KG</t>
        </is>
      </c>
      <c r="H1641" s="60" t="inlineStr">
        <is>
          <t>R001</t>
        </is>
      </c>
      <c r="I1641" s="56" t="inlineStr">
        <is>
          <t>4318</t>
        </is>
      </c>
      <c r="J1641" s="56" t="n"/>
      <c r="K1641" s="56" t="n"/>
      <c r="L1641" s="56" t="n"/>
      <c r="M1641" s="56" t="n"/>
      <c r="N1641" s="60" t="inlineStr">
        <is>
          <t>TRANSIT STOCK</t>
        </is>
      </c>
      <c r="O1641" s="56" t="n">
        <v>2</v>
      </c>
      <c r="P1641" s="59" t="inlineStr">
        <is>
          <t>0-30</t>
        </is>
      </c>
      <c r="Q1641" s="56" t="inlineStr">
        <is>
          <t>TRANSIT STOCK</t>
        </is>
      </c>
    </row>
    <row r="1642">
      <c r="A1642" s="56" t="n">
        <v>3682070</v>
      </c>
      <c r="B1642" s="56" t="inlineStr">
        <is>
          <t>TUB-O-N-AUT-AW-PE-19.05X2.300X6.0500</t>
        </is>
      </c>
      <c r="C1642" s="56" t="inlineStr">
        <is>
          <t>5109B20020</t>
        </is>
      </c>
      <c r="D1642" s="57" t="n">
        <v>449</v>
      </c>
      <c r="E1642" s="57" t="n">
        <v>2483.374</v>
      </c>
      <c r="F1642" s="57" t="n">
        <v>2.483374</v>
      </c>
      <c r="G1642" s="56" t="inlineStr">
        <is>
          <t>KG</t>
        </is>
      </c>
      <c r="H1642" s="60" t="inlineStr">
        <is>
          <t>R001</t>
        </is>
      </c>
      <c r="I1642" s="56" t="inlineStr">
        <is>
          <t>4318</t>
        </is>
      </c>
      <c r="J1642" s="56" t="n"/>
      <c r="K1642" s="56" t="n"/>
      <c r="L1642" s="56" t="n"/>
      <c r="M1642" s="56" t="n"/>
      <c r="N1642" s="60" t="inlineStr">
        <is>
          <t>TRANSIT STOCK</t>
        </is>
      </c>
      <c r="O1642" s="56" t="n">
        <v>2</v>
      </c>
      <c r="P1642" s="59" t="inlineStr">
        <is>
          <t>0-30</t>
        </is>
      </c>
      <c r="Q1642" s="56" t="inlineStr">
        <is>
          <t>TRANSIT STOCK</t>
        </is>
      </c>
    </row>
    <row r="1643">
      <c r="A1643" s="56" t="n">
        <v>3682070</v>
      </c>
      <c r="B1643" s="56" t="inlineStr">
        <is>
          <t>TUB-O-N-AUT-AW-PE-19.05X2.300X6.0500</t>
        </is>
      </c>
      <c r="C1643" s="56" t="inlineStr">
        <is>
          <t>5109A20090</t>
        </is>
      </c>
      <c r="D1643" s="57" t="n">
        <v>299</v>
      </c>
      <c r="E1643" s="57" t="n">
        <v>1653.739</v>
      </c>
      <c r="F1643" s="57" t="n">
        <v>1.653739</v>
      </c>
      <c r="G1643" s="56" t="inlineStr">
        <is>
          <t>KG</t>
        </is>
      </c>
      <c r="H1643" s="60" t="inlineStr">
        <is>
          <t>R001</t>
        </is>
      </c>
      <c r="I1643" s="56" t="inlineStr">
        <is>
          <t>4318</t>
        </is>
      </c>
      <c r="J1643" s="56" t="n"/>
      <c r="K1643" s="56" t="n"/>
      <c r="L1643" s="56" t="n"/>
      <c r="M1643" s="56" t="n"/>
      <c r="N1643" s="60" t="inlineStr">
        <is>
          <t>TRANSIT STOCK</t>
        </is>
      </c>
      <c r="O1643" s="56" t="n">
        <v>2</v>
      </c>
      <c r="P1643" s="59" t="inlineStr">
        <is>
          <t>0-30</t>
        </is>
      </c>
      <c r="Q1643" s="56" t="inlineStr">
        <is>
          <t>TRANSIT STOCK</t>
        </is>
      </c>
    </row>
    <row r="1644">
      <c r="A1644" s="56" t="n">
        <v>3636656</v>
      </c>
      <c r="B1644" s="56" t="inlineStr">
        <is>
          <t>TUB-O-N-AUT-AW-FC-34.93X2.300X5.2000</t>
        </is>
      </c>
      <c r="C1644" s="56" t="inlineStr">
        <is>
          <t>4B12A20080</t>
        </is>
      </c>
      <c r="D1644" s="57" t="n">
        <v>220</v>
      </c>
      <c r="E1644" s="57" t="n">
        <v>2117.346</v>
      </c>
      <c r="F1644" s="57" t="n">
        <v>2.117346</v>
      </c>
      <c r="G1644" s="56" t="inlineStr">
        <is>
          <t>KG</t>
        </is>
      </c>
      <c r="H1644" s="60" t="inlineStr">
        <is>
          <t>R001</t>
        </is>
      </c>
      <c r="I1644" s="56" t="inlineStr">
        <is>
          <t>4318</t>
        </is>
      </c>
      <c r="J1644" s="56" t="n"/>
      <c r="K1644" s="56" t="n"/>
      <c r="L1644" s="56" t="n"/>
      <c r="M1644" s="56" t="n"/>
      <c r="N1644" s="60" t="inlineStr">
        <is>
          <t>TRANSIT STOCK</t>
        </is>
      </c>
      <c r="O1644" s="56" t="n">
        <v>1</v>
      </c>
      <c r="P1644" s="59" t="inlineStr">
        <is>
          <t>0-30</t>
        </is>
      </c>
      <c r="Q1644" s="56" t="inlineStr">
        <is>
          <t>TRANSIT STOCK</t>
        </is>
      </c>
    </row>
    <row r="1645">
      <c r="A1645" s="56" t="n">
        <v>3636656</v>
      </c>
      <c r="B1645" s="56" t="inlineStr">
        <is>
          <t>TUB-O-N-AUT-AW-FC-34.93X2.300X5.2000</t>
        </is>
      </c>
      <c r="C1645" s="56" t="inlineStr">
        <is>
          <t>4B12A20070</t>
        </is>
      </c>
      <c r="D1645" s="57" t="n">
        <v>218</v>
      </c>
      <c r="E1645" s="57" t="n">
        <v>2098.097</v>
      </c>
      <c r="F1645" s="57" t="n">
        <v>2.098097</v>
      </c>
      <c r="G1645" s="56" t="inlineStr">
        <is>
          <t>KG</t>
        </is>
      </c>
      <c r="H1645" s="60" t="inlineStr">
        <is>
          <t>R001</t>
        </is>
      </c>
      <c r="I1645" s="56" t="inlineStr">
        <is>
          <t>4318</t>
        </is>
      </c>
      <c r="J1645" s="56" t="n"/>
      <c r="K1645" s="56" t="n"/>
      <c r="L1645" s="56" t="n"/>
      <c r="M1645" s="56" t="n"/>
      <c r="N1645" s="60" t="inlineStr">
        <is>
          <t>TRANSIT STOCK</t>
        </is>
      </c>
      <c r="O1645" s="56" t="n">
        <v>1</v>
      </c>
      <c r="P1645" s="59" t="inlineStr">
        <is>
          <t>0-30</t>
        </is>
      </c>
      <c r="Q1645" s="56" t="inlineStr">
        <is>
          <t>TRANSIT STOCK</t>
        </is>
      </c>
    </row>
    <row r="1646">
      <c r="A1646" s="56" t="n">
        <v>3636656</v>
      </c>
      <c r="B1646" s="56" t="inlineStr">
        <is>
          <t>TUB-O-N-AUT-AW-FC-34.93X2.300X5.2000</t>
        </is>
      </c>
      <c r="C1646" s="56" t="inlineStr">
        <is>
          <t>4B12A20040</t>
        </is>
      </c>
      <c r="D1646" s="57" t="n">
        <v>217</v>
      </c>
      <c r="E1646" s="57" t="n">
        <v>2088.473</v>
      </c>
      <c r="F1646" s="57" t="n">
        <v>2.088473</v>
      </c>
      <c r="G1646" s="56" t="inlineStr">
        <is>
          <t>KG</t>
        </is>
      </c>
      <c r="H1646" s="60" t="inlineStr">
        <is>
          <t>R001</t>
        </is>
      </c>
      <c r="I1646" s="56" t="inlineStr">
        <is>
          <t>4318</t>
        </is>
      </c>
      <c r="J1646" s="56" t="n"/>
      <c r="K1646" s="56" t="n"/>
      <c r="L1646" s="56" t="n"/>
      <c r="M1646" s="56" t="n"/>
      <c r="N1646" s="60" t="inlineStr">
        <is>
          <t>TRANSIT STOCK</t>
        </is>
      </c>
      <c r="O1646" s="56" t="n">
        <v>1</v>
      </c>
      <c r="P1646" s="59" t="inlineStr">
        <is>
          <t>0-30</t>
        </is>
      </c>
      <c r="Q1646" s="56" t="inlineStr">
        <is>
          <t>TRANSIT STOCK</t>
        </is>
      </c>
    </row>
    <row r="1647">
      <c r="A1647" s="56" t="n">
        <v>3636656</v>
      </c>
      <c r="B1647" s="56" t="inlineStr">
        <is>
          <t>TUB-O-N-AUT-AW-FC-34.93X2.300X5.2000</t>
        </is>
      </c>
      <c r="C1647" s="56" t="inlineStr">
        <is>
          <t>4B12A20060</t>
        </is>
      </c>
      <c r="D1647" s="57" t="n">
        <v>217</v>
      </c>
      <c r="E1647" s="57" t="n">
        <v>2088.473</v>
      </c>
      <c r="F1647" s="57" t="n">
        <v>2.088473</v>
      </c>
      <c r="G1647" s="56" t="inlineStr">
        <is>
          <t>KG</t>
        </is>
      </c>
      <c r="H1647" s="60" t="inlineStr">
        <is>
          <t>R001</t>
        </is>
      </c>
      <c r="I1647" s="56" t="inlineStr">
        <is>
          <t>4318</t>
        </is>
      </c>
      <c r="J1647" s="56" t="n"/>
      <c r="K1647" s="56" t="n"/>
      <c r="L1647" s="56" t="n"/>
      <c r="M1647" s="56" t="n"/>
      <c r="N1647" s="60" t="inlineStr">
        <is>
          <t>TRANSIT STOCK</t>
        </is>
      </c>
      <c r="O1647" s="56" t="n">
        <v>1</v>
      </c>
      <c r="P1647" s="59" t="inlineStr">
        <is>
          <t>0-30</t>
        </is>
      </c>
      <c r="Q1647" s="56" t="inlineStr">
        <is>
          <t>TRANSIT STOCK</t>
        </is>
      </c>
    </row>
    <row r="1648">
      <c r="A1648" s="56" t="n">
        <v>3636656</v>
      </c>
      <c r="B1648" s="56" t="inlineStr">
        <is>
          <t>TUB-O-N-AUT-AW-FC-34.93X2.300X5.2000</t>
        </is>
      </c>
      <c r="C1648" s="56" t="inlineStr">
        <is>
          <t>4B12A20090</t>
        </is>
      </c>
      <c r="D1648" s="57" t="n">
        <v>215</v>
      </c>
      <c r="E1648" s="57" t="n">
        <v>2069.224</v>
      </c>
      <c r="F1648" s="57" t="n">
        <v>2.069224</v>
      </c>
      <c r="G1648" s="56" t="inlineStr">
        <is>
          <t>KG</t>
        </is>
      </c>
      <c r="H1648" s="60" t="inlineStr">
        <is>
          <t>R001</t>
        </is>
      </c>
      <c r="I1648" s="56" t="inlineStr">
        <is>
          <t>4318</t>
        </is>
      </c>
      <c r="J1648" s="56" t="n"/>
      <c r="K1648" s="56" t="n"/>
      <c r="L1648" s="56" t="n"/>
      <c r="M1648" s="56" t="n"/>
      <c r="N1648" s="60" t="inlineStr">
        <is>
          <t>TRANSIT STOCK</t>
        </is>
      </c>
      <c r="O1648" s="56" t="n">
        <v>1</v>
      </c>
      <c r="P1648" s="59" t="inlineStr">
        <is>
          <t>0-30</t>
        </is>
      </c>
      <c r="Q1648" s="56" t="inlineStr">
        <is>
          <t>TRANSIT STOCK</t>
        </is>
      </c>
    </row>
    <row r="1649">
      <c r="A1649" s="56" t="n">
        <v>3636656</v>
      </c>
      <c r="B1649" s="56" t="inlineStr">
        <is>
          <t>TUB-O-N-AUT-AW-FC-34.93X2.300X5.2000</t>
        </is>
      </c>
      <c r="C1649" s="56" t="inlineStr">
        <is>
          <t>4B12A20130</t>
        </is>
      </c>
      <c r="D1649" s="57" t="n">
        <v>214</v>
      </c>
      <c r="E1649" s="57" t="n">
        <v>2059.6</v>
      </c>
      <c r="F1649" s="57" t="n">
        <v>2.0596</v>
      </c>
      <c r="G1649" s="56" t="inlineStr">
        <is>
          <t>KG</t>
        </is>
      </c>
      <c r="H1649" s="60" t="inlineStr">
        <is>
          <t>R001</t>
        </is>
      </c>
      <c r="I1649" s="56" t="inlineStr">
        <is>
          <t>4318</t>
        </is>
      </c>
      <c r="J1649" s="56" t="n"/>
      <c r="K1649" s="56" t="n"/>
      <c r="L1649" s="56" t="n"/>
      <c r="M1649" s="56" t="n"/>
      <c r="N1649" s="60" t="inlineStr">
        <is>
          <t>TRANSIT STOCK</t>
        </is>
      </c>
      <c r="O1649" s="56" t="n">
        <v>1</v>
      </c>
      <c r="P1649" s="59" t="inlineStr">
        <is>
          <t>0-30</t>
        </is>
      </c>
      <c r="Q1649" s="56" t="inlineStr">
        <is>
          <t>TRANSIT STOCK</t>
        </is>
      </c>
    </row>
    <row r="1650">
      <c r="A1650" s="56" t="n">
        <v>3636656</v>
      </c>
      <c r="B1650" s="56" t="inlineStr">
        <is>
          <t>TUB-O-N-AUT-AW-FC-34.93X2.300X5.2000</t>
        </is>
      </c>
      <c r="C1650" s="56" t="inlineStr">
        <is>
          <t>4B12A20100</t>
        </is>
      </c>
      <c r="D1650" s="57" t="n">
        <v>216</v>
      </c>
      <c r="E1650" s="57" t="n">
        <v>2078.849</v>
      </c>
      <c r="F1650" s="57" t="n">
        <v>2.078849</v>
      </c>
      <c r="G1650" s="56" t="inlineStr">
        <is>
          <t>KG</t>
        </is>
      </c>
      <c r="H1650" s="60" t="inlineStr">
        <is>
          <t>R001</t>
        </is>
      </c>
      <c r="I1650" s="56" t="inlineStr">
        <is>
          <t>4318</t>
        </is>
      </c>
      <c r="J1650" s="56" t="n"/>
      <c r="K1650" s="56" t="n"/>
      <c r="L1650" s="56" t="n"/>
      <c r="M1650" s="56" t="n"/>
      <c r="N1650" s="60" t="inlineStr">
        <is>
          <t>TRANSIT STOCK</t>
        </is>
      </c>
      <c r="O1650" s="56" t="n">
        <v>1</v>
      </c>
      <c r="P1650" s="59" t="inlineStr">
        <is>
          <t>0-30</t>
        </is>
      </c>
      <c r="Q1650" s="56" t="inlineStr">
        <is>
          <t>TRANSIT STOCK</t>
        </is>
      </c>
    </row>
    <row r="1651">
      <c r="A1651" s="56" t="n">
        <v>3499307</v>
      </c>
      <c r="B1651" s="56" t="inlineStr">
        <is>
          <t>TUB-O-N-AUT-AW-PE-19.05X2.00X6.000-ERW 1</t>
        </is>
      </c>
      <c r="C1651" s="56" t="inlineStr">
        <is>
          <t>5110A20010</t>
        </is>
      </c>
      <c r="D1651" s="57" t="n">
        <v>559</v>
      </c>
      <c r="E1651" s="57" t="n">
        <v>2758.106</v>
      </c>
      <c r="F1651" s="57" t="n">
        <v>2.758106</v>
      </c>
      <c r="G1651" s="56" t="inlineStr">
        <is>
          <t>KG</t>
        </is>
      </c>
      <c r="H1651" s="60" t="inlineStr">
        <is>
          <t>R001</t>
        </is>
      </c>
      <c r="I1651" s="56" t="inlineStr">
        <is>
          <t>4318</t>
        </is>
      </c>
      <c r="J1651" s="56" t="n"/>
      <c r="K1651" s="56" t="n"/>
      <c r="L1651" s="56" t="n"/>
      <c r="M1651" s="56" t="n"/>
      <c r="N1651" s="60" t="inlineStr">
        <is>
          <t>TRANSIT STOCK</t>
        </is>
      </c>
      <c r="O1651" s="56" t="n">
        <v>1</v>
      </c>
      <c r="P1651" s="59" t="inlineStr">
        <is>
          <t>0-30</t>
        </is>
      </c>
      <c r="Q1651" s="56" t="inlineStr">
        <is>
          <t>TRANSIT STOCK</t>
        </is>
      </c>
    </row>
    <row r="1652">
      <c r="A1652" s="56" t="n">
        <v>3499307</v>
      </c>
      <c r="B1652" s="56" t="inlineStr">
        <is>
          <t>TUB-O-N-AUT-AW-PE-19.05X2.00X6.000-ERW 1</t>
        </is>
      </c>
      <c r="C1652" s="56" t="inlineStr">
        <is>
          <t>5111B20060</t>
        </is>
      </c>
      <c r="D1652" s="57" t="n">
        <v>563</v>
      </c>
      <c r="E1652" s="57" t="n">
        <v>2777.842</v>
      </c>
      <c r="F1652" s="57" t="n">
        <v>2.777842</v>
      </c>
      <c r="G1652" s="56" t="inlineStr">
        <is>
          <t>KG</t>
        </is>
      </c>
      <c r="H1652" s="60" t="inlineStr">
        <is>
          <t>R001</t>
        </is>
      </c>
      <c r="I1652" s="56" t="inlineStr">
        <is>
          <t>4318</t>
        </is>
      </c>
      <c r="J1652" s="56" t="n"/>
      <c r="K1652" s="56" t="n"/>
      <c r="L1652" s="56" t="n"/>
      <c r="M1652" s="56" t="n"/>
      <c r="N1652" s="60" t="inlineStr">
        <is>
          <t>TRANSIT STOCK</t>
        </is>
      </c>
      <c r="O1652" s="56" t="n">
        <v>1</v>
      </c>
      <c r="P1652" s="59" t="inlineStr">
        <is>
          <t>0-30</t>
        </is>
      </c>
      <c r="Q1652" s="56" t="inlineStr">
        <is>
          <t>TRANSIT STOCK</t>
        </is>
      </c>
    </row>
    <row r="1653">
      <c r="A1653" s="56" t="n">
        <v>3499307</v>
      </c>
      <c r="B1653" s="56" t="inlineStr">
        <is>
          <t>TUB-O-N-AUT-AW-PE-19.05X2.00X6.000-ERW 1</t>
        </is>
      </c>
      <c r="C1653" s="56" t="inlineStr">
        <is>
          <t>5111B20040</t>
        </is>
      </c>
      <c r="D1653" s="57" t="n">
        <v>560</v>
      </c>
      <c r="E1653" s="57" t="n">
        <v>2763.04</v>
      </c>
      <c r="F1653" s="57" t="n">
        <v>2.76304</v>
      </c>
      <c r="G1653" s="56" t="inlineStr">
        <is>
          <t>KG</t>
        </is>
      </c>
      <c r="H1653" s="60" t="inlineStr">
        <is>
          <t>R001</t>
        </is>
      </c>
      <c r="I1653" s="56" t="inlineStr">
        <is>
          <t>4318</t>
        </is>
      </c>
      <c r="J1653" s="56" t="n"/>
      <c r="K1653" s="56" t="n"/>
      <c r="L1653" s="56" t="n"/>
      <c r="M1653" s="56" t="n"/>
      <c r="N1653" s="60" t="inlineStr">
        <is>
          <t>TRANSIT STOCK</t>
        </is>
      </c>
      <c r="O1653" s="56" t="n">
        <v>1</v>
      </c>
      <c r="P1653" s="59" t="inlineStr">
        <is>
          <t>0-30</t>
        </is>
      </c>
      <c r="Q1653" s="56" t="inlineStr">
        <is>
          <t>TRANSIT STOCK</t>
        </is>
      </c>
    </row>
    <row r="1654">
      <c r="A1654" s="56" t="n">
        <v>3499307</v>
      </c>
      <c r="B1654" s="56" t="inlineStr">
        <is>
          <t>TUB-O-N-AUT-AW-PE-19.05X2.00X6.000-ERW 1</t>
        </is>
      </c>
      <c r="C1654" s="56" t="inlineStr">
        <is>
          <t>5111A20020</t>
        </is>
      </c>
      <c r="D1654" s="57" t="n">
        <v>450</v>
      </c>
      <c r="E1654" s="57" t="n">
        <v>2220.3</v>
      </c>
      <c r="F1654" s="57" t="n">
        <v>2.2203</v>
      </c>
      <c r="G1654" s="56" t="inlineStr">
        <is>
          <t>KG</t>
        </is>
      </c>
      <c r="H1654" s="60" t="inlineStr">
        <is>
          <t>R001</t>
        </is>
      </c>
      <c r="I1654" s="56" t="inlineStr">
        <is>
          <t>4318</t>
        </is>
      </c>
      <c r="J1654" s="56" t="n"/>
      <c r="K1654" s="56" t="n"/>
      <c r="L1654" s="56" t="n"/>
      <c r="M1654" s="56" t="n"/>
      <c r="N1654" s="60" t="inlineStr">
        <is>
          <t>TRANSIT STOCK</t>
        </is>
      </c>
      <c r="O1654" s="56" t="n">
        <v>1</v>
      </c>
      <c r="P1654" s="59" t="inlineStr">
        <is>
          <t>0-30</t>
        </is>
      </c>
      <c r="Q1654" s="56" t="inlineStr">
        <is>
          <t>TRANSIT STOCK</t>
        </is>
      </c>
    </row>
    <row r="1655">
      <c r="A1655" s="56" t="n">
        <v>3499307</v>
      </c>
      <c r="B1655" s="56" t="inlineStr">
        <is>
          <t>TUB-O-N-AUT-AW-PE-19.05X2.00X6.000-ERW 1</t>
        </is>
      </c>
      <c r="C1655" s="56" t="inlineStr">
        <is>
          <t>5111B20050</t>
        </is>
      </c>
      <c r="D1655" s="57" t="n">
        <v>559</v>
      </c>
      <c r="E1655" s="57" t="n">
        <v>2758.106</v>
      </c>
      <c r="F1655" s="57" t="n">
        <v>2.758106</v>
      </c>
      <c r="G1655" s="56" t="inlineStr">
        <is>
          <t>KG</t>
        </is>
      </c>
      <c r="H1655" s="60" t="inlineStr">
        <is>
          <t>R001</t>
        </is>
      </c>
      <c r="I1655" s="56" t="inlineStr">
        <is>
          <t>4318</t>
        </is>
      </c>
      <c r="J1655" s="56" t="n"/>
      <c r="K1655" s="56" t="n"/>
      <c r="L1655" s="56" t="n"/>
      <c r="M1655" s="56" t="n"/>
      <c r="N1655" s="60" t="inlineStr">
        <is>
          <t>TRANSIT STOCK</t>
        </is>
      </c>
      <c r="O1655" s="56" t="n">
        <v>1</v>
      </c>
      <c r="P1655" s="59" t="inlineStr">
        <is>
          <t>0-30</t>
        </is>
      </c>
      <c r="Q1655" s="56" t="inlineStr">
        <is>
          <t>TRANSIT STOCK</t>
        </is>
      </c>
    </row>
    <row r="1656">
      <c r="A1656" s="56" t="n">
        <v>3499307</v>
      </c>
      <c r="B1656" s="56" t="inlineStr">
        <is>
          <t>TUB-O-N-AUT-AW-PE-19.05X2.00X6.000-ERW 1</t>
        </is>
      </c>
      <c r="C1656" s="56" t="inlineStr">
        <is>
          <t>5111B20020</t>
        </is>
      </c>
      <c r="D1656" s="57" t="n">
        <v>559</v>
      </c>
      <c r="E1656" s="57" t="n">
        <v>2758.106</v>
      </c>
      <c r="F1656" s="57" t="n">
        <v>2.758106</v>
      </c>
      <c r="G1656" s="56" t="inlineStr">
        <is>
          <t>KG</t>
        </is>
      </c>
      <c r="H1656" s="60" t="inlineStr">
        <is>
          <t>R001</t>
        </is>
      </c>
      <c r="I1656" s="56" t="inlineStr">
        <is>
          <t>4318</t>
        </is>
      </c>
      <c r="J1656" s="56" t="n"/>
      <c r="K1656" s="56" t="n"/>
      <c r="L1656" s="56" t="n"/>
      <c r="M1656" s="56" t="n"/>
      <c r="N1656" s="60" t="inlineStr">
        <is>
          <t>TRANSIT STOCK</t>
        </is>
      </c>
      <c r="O1656" s="56" t="n">
        <v>1</v>
      </c>
      <c r="P1656" s="59" t="inlineStr">
        <is>
          <t>0-30</t>
        </is>
      </c>
      <c r="Q1656" s="56" t="inlineStr">
        <is>
          <t>TRANSIT STOCK</t>
        </is>
      </c>
    </row>
    <row r="1657">
      <c r="A1657" s="56" t="n">
        <v>3499307</v>
      </c>
      <c r="B1657" s="56" t="inlineStr">
        <is>
          <t>TUB-O-N-AUT-AW-PE-19.05X2.00X6.000-ERW 1</t>
        </is>
      </c>
      <c r="C1657" s="56" t="inlineStr">
        <is>
          <t>5109C20040</t>
        </is>
      </c>
      <c r="D1657" s="57" t="n">
        <v>560</v>
      </c>
      <c r="E1657" s="57" t="n">
        <v>2763.04</v>
      </c>
      <c r="F1657" s="57" t="n">
        <v>2.76304</v>
      </c>
      <c r="G1657" s="56" t="inlineStr">
        <is>
          <t>KG</t>
        </is>
      </c>
      <c r="H1657" s="60" t="inlineStr">
        <is>
          <t>R001</t>
        </is>
      </c>
      <c r="I1657" s="56" t="inlineStr">
        <is>
          <t>4318</t>
        </is>
      </c>
      <c r="J1657" s="56" t="n"/>
      <c r="K1657" s="56" t="n"/>
      <c r="L1657" s="56" t="n"/>
      <c r="M1657" s="56" t="n"/>
      <c r="N1657" s="60" t="inlineStr">
        <is>
          <t>TRANSIT STOCK</t>
        </is>
      </c>
      <c r="O1657" s="56" t="n">
        <v>1</v>
      </c>
      <c r="P1657" s="59" t="inlineStr">
        <is>
          <t>0-30</t>
        </is>
      </c>
      <c r="Q1657" s="56" t="inlineStr">
        <is>
          <t>TRANSIT STOCK</t>
        </is>
      </c>
    </row>
    <row r="1658">
      <c r="A1658" s="56" t="n">
        <v>3499307</v>
      </c>
      <c r="B1658" s="56" t="inlineStr">
        <is>
          <t>TUB-O-N-AUT-AW-PE-19.05X2.00X6.000-ERW 1</t>
        </is>
      </c>
      <c r="C1658" s="56" t="inlineStr">
        <is>
          <t>5109C20050</t>
        </is>
      </c>
      <c r="D1658" s="57" t="n">
        <v>560</v>
      </c>
      <c r="E1658" s="57" t="n">
        <v>2763.04</v>
      </c>
      <c r="F1658" s="57" t="n">
        <v>2.76304</v>
      </c>
      <c r="G1658" s="56" t="inlineStr">
        <is>
          <t>KG</t>
        </is>
      </c>
      <c r="H1658" s="60" t="inlineStr">
        <is>
          <t>R001</t>
        </is>
      </c>
      <c r="I1658" s="56" t="inlineStr">
        <is>
          <t>4318</t>
        </is>
      </c>
      <c r="J1658" s="56" t="n"/>
      <c r="K1658" s="56" t="n"/>
      <c r="L1658" s="56" t="n"/>
      <c r="M1658" s="56" t="n"/>
      <c r="N1658" s="60" t="inlineStr">
        <is>
          <t>TRANSIT STOCK</t>
        </is>
      </c>
      <c r="O1658" s="56" t="n">
        <v>1</v>
      </c>
      <c r="P1658" s="59" t="inlineStr">
        <is>
          <t>0-30</t>
        </is>
      </c>
      <c r="Q1658" s="56" t="inlineStr">
        <is>
          <t>TRANSIT STOCK</t>
        </is>
      </c>
    </row>
    <row r="1659">
      <c r="A1659" s="56" t="n">
        <v>3499307</v>
      </c>
      <c r="B1659" s="56" t="inlineStr">
        <is>
          <t>TUB-O-N-AUT-AW-PE-19.05X2.00X6.000-ERW 1</t>
        </is>
      </c>
      <c r="C1659" s="56" t="inlineStr">
        <is>
          <t>5109C20070</t>
        </is>
      </c>
      <c r="D1659" s="57" t="n">
        <v>560</v>
      </c>
      <c r="E1659" s="57" t="n">
        <v>2763.04</v>
      </c>
      <c r="F1659" s="57" t="n">
        <v>2.76304</v>
      </c>
      <c r="G1659" s="56" t="inlineStr">
        <is>
          <t>KG</t>
        </is>
      </c>
      <c r="H1659" s="60" t="inlineStr">
        <is>
          <t>R001</t>
        </is>
      </c>
      <c r="I1659" s="56" t="inlineStr">
        <is>
          <t>4318</t>
        </is>
      </c>
      <c r="J1659" s="56" t="n"/>
      <c r="K1659" s="56" t="n"/>
      <c r="L1659" s="56" t="n"/>
      <c r="M1659" s="56" t="n"/>
      <c r="N1659" s="60" t="inlineStr">
        <is>
          <t>TRANSIT STOCK</t>
        </is>
      </c>
      <c r="O1659" s="56" t="n">
        <v>1</v>
      </c>
      <c r="P1659" s="59" t="inlineStr">
        <is>
          <t>0-30</t>
        </is>
      </c>
      <c r="Q1659" s="56" t="inlineStr">
        <is>
          <t>TRANSIT STOCK</t>
        </is>
      </c>
    </row>
    <row r="1660">
      <c r="A1660" s="56" t="n">
        <v>3499307</v>
      </c>
      <c r="B1660" s="56" t="inlineStr">
        <is>
          <t>TUB-O-N-AUT-AW-PE-19.05X2.00X6.000-ERW 1</t>
        </is>
      </c>
      <c r="C1660" s="56" t="inlineStr">
        <is>
          <t>5111B20010</t>
        </is>
      </c>
      <c r="D1660" s="57" t="n">
        <v>560</v>
      </c>
      <c r="E1660" s="57" t="n">
        <v>2763.04</v>
      </c>
      <c r="F1660" s="57" t="n">
        <v>2.76304</v>
      </c>
      <c r="G1660" s="56" t="inlineStr">
        <is>
          <t>KG</t>
        </is>
      </c>
      <c r="H1660" s="60" t="inlineStr">
        <is>
          <t>R001</t>
        </is>
      </c>
      <c r="I1660" s="56" t="inlineStr">
        <is>
          <t>4318</t>
        </is>
      </c>
      <c r="J1660" s="56" t="n"/>
      <c r="K1660" s="56" t="n"/>
      <c r="L1660" s="56" t="n"/>
      <c r="M1660" s="56" t="n"/>
      <c r="N1660" s="60" t="inlineStr">
        <is>
          <t>TRANSIT STOCK</t>
        </is>
      </c>
      <c r="O1660" s="56" t="n">
        <v>1</v>
      </c>
      <c r="P1660" s="59" t="inlineStr">
        <is>
          <t>0-30</t>
        </is>
      </c>
      <c r="Q1660" s="56" t="inlineStr">
        <is>
          <t>TRANSIT STOCK</t>
        </is>
      </c>
    </row>
    <row r="1661">
      <c r="A1661" s="56" t="n">
        <v>3499307</v>
      </c>
      <c r="B1661" s="56" t="inlineStr">
        <is>
          <t>TUB-O-N-AUT-AW-PE-19.05X2.00X6.000-ERW 1</t>
        </is>
      </c>
      <c r="C1661" s="56" t="inlineStr">
        <is>
          <t>5111B20030</t>
        </is>
      </c>
      <c r="D1661" s="57" t="n">
        <v>560</v>
      </c>
      <c r="E1661" s="57" t="n">
        <v>2763.04</v>
      </c>
      <c r="F1661" s="57" t="n">
        <v>2.76304</v>
      </c>
      <c r="G1661" s="56" t="inlineStr">
        <is>
          <t>KG</t>
        </is>
      </c>
      <c r="H1661" s="60" t="inlineStr">
        <is>
          <t>R001</t>
        </is>
      </c>
      <c r="I1661" s="56" t="inlineStr">
        <is>
          <t>4318</t>
        </is>
      </c>
      <c r="J1661" s="56" t="n"/>
      <c r="K1661" s="56" t="n"/>
      <c r="L1661" s="56" t="n"/>
      <c r="M1661" s="56" t="n"/>
      <c r="N1661" s="60" t="inlineStr">
        <is>
          <t>TRANSIT STOCK</t>
        </is>
      </c>
      <c r="O1661" s="56" t="n">
        <v>1</v>
      </c>
      <c r="P1661" s="59" t="inlineStr">
        <is>
          <t>0-30</t>
        </is>
      </c>
      <c r="Q1661" s="56" t="inlineStr">
        <is>
          <t>TRANSIT STOCK</t>
        </is>
      </c>
    </row>
    <row r="1662">
      <c r="A1662" s="56" t="n">
        <v>3499307</v>
      </c>
      <c r="B1662" s="56" t="inlineStr">
        <is>
          <t>TUB-O-N-AUT-AW-PE-19.05X2.00X6.000-ERW 1</t>
        </is>
      </c>
      <c r="C1662" s="56" t="inlineStr">
        <is>
          <t>5109C20060</t>
        </is>
      </c>
      <c r="D1662" s="57" t="n">
        <v>558</v>
      </c>
      <c r="E1662" s="57" t="n">
        <v>2753.172</v>
      </c>
      <c r="F1662" s="57" t="n">
        <v>2.753172</v>
      </c>
      <c r="G1662" s="56" t="inlineStr">
        <is>
          <t>KG</t>
        </is>
      </c>
      <c r="H1662" s="60" t="inlineStr">
        <is>
          <t>R001</t>
        </is>
      </c>
      <c r="I1662" s="56" t="inlineStr">
        <is>
          <t>4318</t>
        </is>
      </c>
      <c r="J1662" s="56" t="n"/>
      <c r="K1662" s="56" t="n"/>
      <c r="L1662" s="56" t="n"/>
      <c r="M1662" s="56" t="n"/>
      <c r="N1662" s="60" t="inlineStr">
        <is>
          <t>TRANSIT STOCK</t>
        </is>
      </c>
      <c r="O1662" s="56" t="n">
        <v>1</v>
      </c>
      <c r="P1662" s="59" t="inlineStr">
        <is>
          <t>0-30</t>
        </is>
      </c>
      <c r="Q1662" s="56" t="inlineStr">
        <is>
          <t>TRANSIT STOCK</t>
        </is>
      </c>
    </row>
    <row r="1663">
      <c r="A1663" s="56" t="n">
        <v>3499307</v>
      </c>
      <c r="B1663" s="56" t="inlineStr">
        <is>
          <t>TUB-O-N-AUT-AW-PE-19.05X2.00X6.000-ERW 1</t>
        </is>
      </c>
      <c r="C1663" s="56" t="inlineStr">
        <is>
          <t>5111A20010</t>
        </is>
      </c>
      <c r="D1663" s="57" t="n">
        <v>555</v>
      </c>
      <c r="E1663" s="57" t="n">
        <v>2738.37</v>
      </c>
      <c r="F1663" s="57" t="n">
        <v>2.73837</v>
      </c>
      <c r="G1663" s="56" t="inlineStr">
        <is>
          <t>KG</t>
        </is>
      </c>
      <c r="H1663" s="60" t="inlineStr">
        <is>
          <t>R001</t>
        </is>
      </c>
      <c r="I1663" s="56" t="inlineStr">
        <is>
          <t>4318</t>
        </is>
      </c>
      <c r="J1663" s="56" t="n"/>
      <c r="K1663" s="56" t="n"/>
      <c r="L1663" s="56" t="n"/>
      <c r="M1663" s="56" t="n"/>
      <c r="N1663" s="60" t="inlineStr">
        <is>
          <t>TRANSIT STOCK</t>
        </is>
      </c>
      <c r="O1663" s="56" t="n">
        <v>1</v>
      </c>
      <c r="P1663" s="59" t="inlineStr">
        <is>
          <t>0-30</t>
        </is>
      </c>
      <c r="Q1663" s="56" t="inlineStr">
        <is>
          <t>TRANSIT STOCK</t>
        </is>
      </c>
    </row>
    <row r="1664">
      <c r="A1664" s="56" t="n">
        <v>3499307</v>
      </c>
      <c r="B1664" s="56" t="inlineStr">
        <is>
          <t>TUB-O-N-AUT-AW-PE-19.05X2.00X6.000-ERW 1</t>
        </is>
      </c>
      <c r="C1664" s="56" t="inlineStr">
        <is>
          <t>5111B20070</t>
        </is>
      </c>
      <c r="D1664" s="57" t="n">
        <v>575</v>
      </c>
      <c r="E1664" s="57" t="n">
        <v>2837.05</v>
      </c>
      <c r="F1664" s="57" t="n">
        <v>2.83705</v>
      </c>
      <c r="G1664" s="56" t="inlineStr">
        <is>
          <t>KG</t>
        </is>
      </c>
      <c r="H1664" s="60" t="inlineStr">
        <is>
          <t>R001</t>
        </is>
      </c>
      <c r="I1664" s="56" t="inlineStr">
        <is>
          <t>4318</t>
        </is>
      </c>
      <c r="J1664" s="56" t="n"/>
      <c r="K1664" s="56" t="n"/>
      <c r="L1664" s="56" t="n"/>
      <c r="M1664" s="56" t="n"/>
      <c r="N1664" s="60" t="inlineStr">
        <is>
          <t>TRANSIT STOCK</t>
        </is>
      </c>
      <c r="O1664" s="56" t="n">
        <v>1</v>
      </c>
      <c r="P1664" s="59" t="inlineStr">
        <is>
          <t>0-30</t>
        </is>
      </c>
      <c r="Q1664" s="56" t="inlineStr">
        <is>
          <t>TRANSIT STOCK</t>
        </is>
      </c>
    </row>
    <row r="1665">
      <c r="A1665" s="56" t="n">
        <v>3499307</v>
      </c>
      <c r="B1665" s="56" t="inlineStr">
        <is>
          <t>TUB-O-N-AUT-AW-PE-19.05X2.00X6.000-ERW 1</t>
        </is>
      </c>
      <c r="C1665" s="56" t="inlineStr">
        <is>
          <t>5110A20030</t>
        </is>
      </c>
      <c r="D1665" s="57" t="n">
        <v>219</v>
      </c>
      <c r="E1665" s="57" t="n">
        <v>1080.546</v>
      </c>
      <c r="F1665" s="57" t="n">
        <v>1.080546</v>
      </c>
      <c r="G1665" s="56" t="inlineStr">
        <is>
          <t>KG</t>
        </is>
      </c>
      <c r="H1665" s="60" t="inlineStr">
        <is>
          <t>R001</t>
        </is>
      </c>
      <c r="I1665" s="56" t="inlineStr">
        <is>
          <t>4318</t>
        </is>
      </c>
      <c r="J1665" s="56" t="n"/>
      <c r="K1665" s="56" t="n"/>
      <c r="L1665" s="56" t="n"/>
      <c r="M1665" s="56" t="n"/>
      <c r="N1665" s="60" t="inlineStr">
        <is>
          <t>TRANSIT STOCK</t>
        </is>
      </c>
      <c r="O1665" s="56" t="n">
        <v>1</v>
      </c>
      <c r="P1665" s="59" t="inlineStr">
        <is>
          <t>0-30</t>
        </is>
      </c>
      <c r="Q1665" s="56" t="inlineStr">
        <is>
          <t>TRANSIT STOCK</t>
        </is>
      </c>
    </row>
    <row r="1666">
      <c r="A1666" s="56" t="n">
        <v>3500308</v>
      </c>
      <c r="B1666" s="56" t="inlineStr">
        <is>
          <t>TUB-O-N-AUT-AW-FC-34.93X1.600X6.000</t>
        </is>
      </c>
      <c r="C1666" s="56" t="inlineStr">
        <is>
          <t>5106B20240</t>
        </is>
      </c>
      <c r="D1666" s="57" t="n">
        <v>185</v>
      </c>
      <c r="E1666" s="57" t="n">
        <v>1407.61</v>
      </c>
      <c r="F1666" s="57" t="n">
        <v>1.40761</v>
      </c>
      <c r="G1666" s="56" t="inlineStr">
        <is>
          <t>KG</t>
        </is>
      </c>
      <c r="H1666" s="60" t="inlineStr">
        <is>
          <t>R001</t>
        </is>
      </c>
      <c r="I1666" s="56" t="inlineStr">
        <is>
          <t>4318</t>
        </is>
      </c>
      <c r="J1666" s="56" t="n"/>
      <c r="K1666" s="56" t="n"/>
      <c r="L1666" s="56" t="n"/>
      <c r="M1666" s="56" t="n"/>
      <c r="N1666" s="60" t="inlineStr">
        <is>
          <t>TRANSIT STOCK</t>
        </is>
      </c>
      <c r="O1666" s="56" t="n">
        <v>1</v>
      </c>
      <c r="P1666" s="59" t="inlineStr">
        <is>
          <t>0-30</t>
        </is>
      </c>
      <c r="Q1666" s="56" t="inlineStr">
        <is>
          <t>TRANSIT STOCK</t>
        </is>
      </c>
    </row>
    <row r="1667">
      <c r="A1667" s="56" t="n">
        <v>3702717</v>
      </c>
      <c r="B1667" s="56" t="inlineStr">
        <is>
          <t>TUB-O-N-AUT-AP-PE-22.20X2.600X5.0000</t>
        </is>
      </c>
      <c r="C1667" s="56" t="inlineStr">
        <is>
          <t>5106AK1040</t>
        </is>
      </c>
      <c r="D1667" s="57" t="n">
        <v>171</v>
      </c>
      <c r="E1667" s="57" t="n">
        <v>1078</v>
      </c>
      <c r="F1667" s="57" t="n">
        <v>1.078</v>
      </c>
      <c r="G1667" s="56" t="inlineStr">
        <is>
          <t>KG</t>
        </is>
      </c>
      <c r="H1667" s="60" t="inlineStr">
        <is>
          <t>R001</t>
        </is>
      </c>
      <c r="I1667" s="56" t="inlineStr">
        <is>
          <t>4731</t>
        </is>
      </c>
      <c r="J1667" s="56" t="n"/>
      <c r="K1667" s="56" t="n"/>
      <c r="L1667" s="56" t="n"/>
      <c r="M1667" s="56" t="n"/>
      <c r="N1667" s="60" t="inlineStr">
        <is>
          <t>TRANSIT STOCK</t>
        </is>
      </c>
      <c r="O1667" s="56" t="n">
        <v>6</v>
      </c>
      <c r="P1667" s="59" t="inlineStr">
        <is>
          <t>0-30</t>
        </is>
      </c>
      <c r="Q1667" s="56" t="inlineStr">
        <is>
          <t>TRANSIT STOCK</t>
        </is>
      </c>
    </row>
    <row r="1668">
      <c r="A1668" s="56" t="n">
        <v>3702717</v>
      </c>
      <c r="B1668" s="56" t="inlineStr">
        <is>
          <t>TUB-O-N-AUT-AP-PE-22.20X2.600X5.0000</t>
        </is>
      </c>
      <c r="C1668" s="56" t="inlineStr">
        <is>
          <t>5106AK1010</t>
        </is>
      </c>
      <c r="D1668" s="57" t="n">
        <v>307</v>
      </c>
      <c r="E1668" s="57" t="n">
        <v>1932</v>
      </c>
      <c r="F1668" s="57" t="n">
        <v>1.932</v>
      </c>
      <c r="G1668" s="56" t="inlineStr">
        <is>
          <t>KG</t>
        </is>
      </c>
      <c r="H1668" s="60" t="inlineStr">
        <is>
          <t>R001</t>
        </is>
      </c>
      <c r="I1668" s="56" t="inlineStr">
        <is>
          <t>4731</t>
        </is>
      </c>
      <c r="J1668" s="56" t="n"/>
      <c r="K1668" s="56" t="n"/>
      <c r="L1668" s="56" t="n"/>
      <c r="M1668" s="56" t="n"/>
      <c r="N1668" s="60" t="inlineStr">
        <is>
          <t>TRANSIT STOCK</t>
        </is>
      </c>
      <c r="O1668" s="56" t="n">
        <v>6</v>
      </c>
      <c r="P1668" s="59" t="inlineStr">
        <is>
          <t>0-30</t>
        </is>
      </c>
      <c r="Q1668" s="56" t="inlineStr">
        <is>
          <t>TRANSIT STOCK</t>
        </is>
      </c>
    </row>
    <row r="1669">
      <c r="A1669" s="56" t="n">
        <v>3702717</v>
      </c>
      <c r="B1669" s="56" t="inlineStr">
        <is>
          <t>TUB-O-N-AUT-AP-PE-22.20X2.600X5.0000</t>
        </is>
      </c>
      <c r="C1669" s="56" t="inlineStr">
        <is>
          <t>5106AK1020</t>
        </is>
      </c>
      <c r="D1669" s="57" t="n">
        <v>347</v>
      </c>
      <c r="E1669" s="57" t="n">
        <v>2184</v>
      </c>
      <c r="F1669" s="57" t="n">
        <v>2.184</v>
      </c>
      <c r="G1669" s="56" t="inlineStr">
        <is>
          <t>KG</t>
        </is>
      </c>
      <c r="H1669" s="60" t="inlineStr">
        <is>
          <t>R001</t>
        </is>
      </c>
      <c r="I1669" s="56" t="inlineStr">
        <is>
          <t>4731</t>
        </is>
      </c>
      <c r="J1669" s="56" t="n"/>
      <c r="K1669" s="56" t="n"/>
      <c r="L1669" s="56" t="n"/>
      <c r="M1669" s="56" t="n"/>
      <c r="N1669" s="60" t="inlineStr">
        <is>
          <t>TRANSIT STOCK</t>
        </is>
      </c>
      <c r="O1669" s="56" t="n">
        <v>6</v>
      </c>
      <c r="P1669" s="59" t="inlineStr">
        <is>
          <t>0-30</t>
        </is>
      </c>
      <c r="Q1669" s="56" t="inlineStr">
        <is>
          <t>TRANSIT STOCK</t>
        </is>
      </c>
    </row>
    <row r="1670">
      <c r="A1670" s="56" t="n">
        <v>2411624</v>
      </c>
      <c r="B1670" s="56" t="inlineStr">
        <is>
          <t>TUB-O-C-AUT-AD-FC-21.20X2.750X04-05</t>
        </is>
      </c>
      <c r="C1670" s="56" t="inlineStr">
        <is>
          <t>4B05K37032</t>
        </is>
      </c>
      <c r="D1670" s="57" t="n">
        <v>39</v>
      </c>
      <c r="E1670" s="57" t="n">
        <v>220</v>
      </c>
      <c r="F1670" s="57" t="n">
        <v>0.22</v>
      </c>
      <c r="G1670" s="56" t="inlineStr">
        <is>
          <t>KG</t>
        </is>
      </c>
      <c r="H1670" s="60" t="inlineStr">
        <is>
          <t>R001</t>
        </is>
      </c>
      <c r="I1670" s="56" t="inlineStr">
        <is>
          <t>4731</t>
        </is>
      </c>
      <c r="J1670" s="56" t="n"/>
      <c r="K1670" s="56" t="n"/>
      <c r="L1670" s="56" t="n"/>
      <c r="M1670" s="56" t="n"/>
      <c r="N1670" s="60" t="inlineStr">
        <is>
          <t>TRANSIT STOCK</t>
        </is>
      </c>
      <c r="O1670" s="56" t="n">
        <v>5</v>
      </c>
      <c r="P1670" s="59" t="inlineStr">
        <is>
          <t>0-30</t>
        </is>
      </c>
      <c r="Q1670" s="56" t="inlineStr">
        <is>
          <t>TRANSIT STOCK</t>
        </is>
      </c>
    </row>
    <row r="1671">
      <c r="A1671" s="56" t="n">
        <v>2411624</v>
      </c>
      <c r="B1671" s="56" t="inlineStr">
        <is>
          <t>TUB-O-C-AUT-AD-FC-21.20X2.750X04-05</t>
        </is>
      </c>
      <c r="C1671" s="56" t="inlineStr">
        <is>
          <t>4B02BK2090</t>
        </is>
      </c>
      <c r="D1671" s="57" t="n">
        <v>222</v>
      </c>
      <c r="E1671" s="57" t="n">
        <v>1251</v>
      </c>
      <c r="F1671" s="57" t="n">
        <v>1.251</v>
      </c>
      <c r="G1671" s="56" t="inlineStr">
        <is>
          <t>KG</t>
        </is>
      </c>
      <c r="H1671" s="60" t="inlineStr">
        <is>
          <t>R001</t>
        </is>
      </c>
      <c r="I1671" s="56" t="inlineStr">
        <is>
          <t>4731</t>
        </is>
      </c>
      <c r="J1671" s="56" t="n"/>
      <c r="K1671" s="56" t="n"/>
      <c r="L1671" s="56" t="n"/>
      <c r="M1671" s="56" t="n"/>
      <c r="N1671" s="60" t="inlineStr">
        <is>
          <t>TRANSIT STOCK</t>
        </is>
      </c>
      <c r="O1671" s="56" t="n">
        <v>5</v>
      </c>
      <c r="P1671" s="59" t="inlineStr">
        <is>
          <t>0-30</t>
        </is>
      </c>
      <c r="Q1671" s="56" t="inlineStr">
        <is>
          <t>TRANSIT STOCK</t>
        </is>
      </c>
    </row>
    <row r="1672">
      <c r="A1672" s="56" t="n">
        <v>2418610</v>
      </c>
      <c r="B1672" s="56" t="inlineStr">
        <is>
          <t>TUB-O-C-AUT-AD-FC-25.40X3.500X04-05</t>
        </is>
      </c>
      <c r="C1672" s="56" t="inlineStr">
        <is>
          <t>4B2864990B</t>
        </is>
      </c>
      <c r="D1672" s="57" t="n">
        <v>26</v>
      </c>
      <c r="E1672" s="57" t="n">
        <v>223</v>
      </c>
      <c r="F1672" s="57" t="n">
        <v>0.223</v>
      </c>
      <c r="G1672" s="56" t="inlineStr">
        <is>
          <t>KG</t>
        </is>
      </c>
      <c r="H1672" s="60" t="inlineStr">
        <is>
          <t>R001</t>
        </is>
      </c>
      <c r="I1672" s="56" t="inlineStr">
        <is>
          <t>4731</t>
        </is>
      </c>
      <c r="J1672" s="56" t="n"/>
      <c r="K1672" s="56" t="n"/>
      <c r="L1672" s="56" t="n"/>
      <c r="M1672" s="56" t="n"/>
      <c r="N1672" s="60" t="inlineStr">
        <is>
          <t>TRANSIT STOCK</t>
        </is>
      </c>
      <c r="O1672" s="56" t="n">
        <v>5</v>
      </c>
      <c r="P1672" s="59" t="inlineStr">
        <is>
          <t>0-30</t>
        </is>
      </c>
      <c r="Q1672" s="56" t="inlineStr">
        <is>
          <t>TRANSIT STOCK</t>
        </is>
      </c>
    </row>
    <row r="1673">
      <c r="A1673" s="56" t="n">
        <v>2418610</v>
      </c>
      <c r="B1673" s="56" t="inlineStr">
        <is>
          <t>TUB-O-C-AUT-AD-FC-25.40X3.500X04-05</t>
        </is>
      </c>
      <c r="C1673" s="56" t="inlineStr">
        <is>
          <t>4B2864990A</t>
        </is>
      </c>
      <c r="D1673" s="57" t="n">
        <v>26</v>
      </c>
      <c r="E1673" s="57" t="n">
        <v>219</v>
      </c>
      <c r="F1673" s="57" t="n">
        <v>0.219</v>
      </c>
      <c r="G1673" s="56" t="inlineStr">
        <is>
          <t>KG</t>
        </is>
      </c>
      <c r="H1673" s="60" t="inlineStr">
        <is>
          <t>R001</t>
        </is>
      </c>
      <c r="I1673" s="56" t="inlineStr">
        <is>
          <t>4731</t>
        </is>
      </c>
      <c r="J1673" s="56" t="n"/>
      <c r="K1673" s="56" t="n"/>
      <c r="L1673" s="56" t="n"/>
      <c r="M1673" s="56" t="n"/>
      <c r="N1673" s="60" t="inlineStr">
        <is>
          <t>TRANSIT STOCK</t>
        </is>
      </c>
      <c r="O1673" s="56" t="n">
        <v>5</v>
      </c>
      <c r="P1673" s="59" t="inlineStr">
        <is>
          <t>0-30</t>
        </is>
      </c>
      <c r="Q1673" s="56" t="inlineStr">
        <is>
          <t>TRANSIT STOCK</t>
        </is>
      </c>
    </row>
    <row r="1674">
      <c r="A1674" s="56" t="n">
        <v>2410994</v>
      </c>
      <c r="B1674" s="56" t="inlineStr">
        <is>
          <t>TUB-O-C-AUT-AD-FC-21.75X3.500X04-05</t>
        </is>
      </c>
      <c r="C1674" s="56" t="inlineStr">
        <is>
          <t>4B26BK3040</t>
        </is>
      </c>
      <c r="D1674" s="57" t="n">
        <v>333</v>
      </c>
      <c r="E1674" s="57" t="n">
        <v>2359</v>
      </c>
      <c r="F1674" s="57" t="n">
        <v>2.359</v>
      </c>
      <c r="G1674" s="56" t="inlineStr">
        <is>
          <t>KG</t>
        </is>
      </c>
      <c r="H1674" s="60" t="inlineStr">
        <is>
          <t>R001</t>
        </is>
      </c>
      <c r="I1674" s="56" t="inlineStr">
        <is>
          <t>4731</t>
        </is>
      </c>
      <c r="J1674" s="56" t="n"/>
      <c r="K1674" s="56" t="n"/>
      <c r="L1674" s="56" t="n"/>
      <c r="M1674" s="56" t="n"/>
      <c r="N1674" s="60" t="inlineStr">
        <is>
          <t>TRANSIT STOCK</t>
        </is>
      </c>
      <c r="O1674" s="56" t="n">
        <v>5</v>
      </c>
      <c r="P1674" s="59" t="inlineStr">
        <is>
          <t>0-30</t>
        </is>
      </c>
      <c r="Q1674" s="56" t="inlineStr">
        <is>
          <t>TRANSIT STOCK</t>
        </is>
      </c>
    </row>
    <row r="1675">
      <c r="A1675" s="56" t="n">
        <v>2439536</v>
      </c>
      <c r="B1675" s="56" t="inlineStr">
        <is>
          <t>TUB-O-C-AUT-AD-FC-20.00X3.800X04-05</t>
        </is>
      </c>
      <c r="C1675" s="56" t="inlineStr">
        <is>
          <t>4C3166700B</t>
        </is>
      </c>
      <c r="D1675" s="57" t="n">
        <v>133</v>
      </c>
      <c r="E1675" s="57" t="n">
        <v>911</v>
      </c>
      <c r="F1675" s="57" t="n">
        <v>0.911</v>
      </c>
      <c r="G1675" s="56" t="inlineStr">
        <is>
          <t>KG</t>
        </is>
      </c>
      <c r="H1675" s="60" t="inlineStr">
        <is>
          <t>R001</t>
        </is>
      </c>
      <c r="I1675" s="56" t="inlineStr">
        <is>
          <t>4731</t>
        </is>
      </c>
      <c r="J1675" s="56" t="n"/>
      <c r="K1675" s="56" t="n"/>
      <c r="L1675" s="56" t="n"/>
      <c r="M1675" s="56" t="n"/>
      <c r="N1675" s="60" t="inlineStr">
        <is>
          <t>TRANSIT STOCK</t>
        </is>
      </c>
      <c r="O1675" s="56" t="n">
        <v>5</v>
      </c>
      <c r="P1675" s="59" t="inlineStr">
        <is>
          <t>0-30</t>
        </is>
      </c>
      <c r="Q1675" s="56" t="inlineStr">
        <is>
          <t>TRANSIT STOCK</t>
        </is>
      </c>
    </row>
    <row r="1676">
      <c r="A1676" s="56" t="n">
        <v>2439536</v>
      </c>
      <c r="B1676" s="56" t="inlineStr">
        <is>
          <t>TUB-O-C-AUT-AD-FC-20.00X3.800X04-05</t>
        </is>
      </c>
      <c r="C1676" s="56" t="inlineStr">
        <is>
          <t>4C3166700A</t>
        </is>
      </c>
      <c r="D1676" s="57" t="n">
        <v>145</v>
      </c>
      <c r="E1676" s="57" t="n">
        <v>989</v>
      </c>
      <c r="F1676" s="57" t="n">
        <v>0.989</v>
      </c>
      <c r="G1676" s="56" t="inlineStr">
        <is>
          <t>KG</t>
        </is>
      </c>
      <c r="H1676" s="60" t="inlineStr">
        <is>
          <t>R001</t>
        </is>
      </c>
      <c r="I1676" s="56" t="inlineStr">
        <is>
          <t>4731</t>
        </is>
      </c>
      <c r="J1676" s="56" t="n"/>
      <c r="K1676" s="56" t="n"/>
      <c r="L1676" s="56" t="n"/>
      <c r="M1676" s="56" t="n"/>
      <c r="N1676" s="60" t="inlineStr">
        <is>
          <t>TRANSIT STOCK</t>
        </is>
      </c>
      <c r="O1676" s="56" t="n">
        <v>5</v>
      </c>
      <c r="P1676" s="59" t="inlineStr">
        <is>
          <t>0-30</t>
        </is>
      </c>
      <c r="Q1676" s="56" t="inlineStr">
        <is>
          <t>TRANSIT STOCK</t>
        </is>
      </c>
    </row>
    <row r="1677">
      <c r="A1677" s="56" t="n">
        <v>2439536</v>
      </c>
      <c r="B1677" s="56" t="inlineStr">
        <is>
          <t>TUB-O-C-AUT-AD-FC-20.00X3.800X04-05</t>
        </is>
      </c>
      <c r="C1677" s="56" t="inlineStr">
        <is>
          <t>4B26BK3030</t>
        </is>
      </c>
      <c r="D1677" s="57" t="n">
        <v>255</v>
      </c>
      <c r="E1677" s="57" t="n">
        <v>1746</v>
      </c>
      <c r="F1677" s="57" t="n">
        <v>1.746</v>
      </c>
      <c r="G1677" s="56" t="inlineStr">
        <is>
          <t>KG</t>
        </is>
      </c>
      <c r="H1677" s="60" t="inlineStr">
        <is>
          <t>R001</t>
        </is>
      </c>
      <c r="I1677" s="56" t="inlineStr">
        <is>
          <t>4731</t>
        </is>
      </c>
      <c r="J1677" s="56" t="n"/>
      <c r="K1677" s="56" t="n"/>
      <c r="L1677" s="56" t="n"/>
      <c r="M1677" s="56" t="n"/>
      <c r="N1677" s="60" t="inlineStr">
        <is>
          <t>TRANSIT STOCK</t>
        </is>
      </c>
      <c r="O1677" s="56" t="n">
        <v>5</v>
      </c>
      <c r="P1677" s="59" t="inlineStr">
        <is>
          <t>0-30</t>
        </is>
      </c>
      <c r="Q1677" s="56" t="inlineStr">
        <is>
          <t>TRANSIT STOCK</t>
        </is>
      </c>
    </row>
    <row r="1678">
      <c r="A1678" s="56" t="n">
        <v>2439536</v>
      </c>
      <c r="B1678" s="56" t="inlineStr">
        <is>
          <t>TUB-O-C-AUT-AD-FC-20.00X3.800X04-05</t>
        </is>
      </c>
      <c r="C1678" s="56" t="inlineStr">
        <is>
          <t>4B26BK3010</t>
        </is>
      </c>
      <c r="D1678" s="57" t="n">
        <v>255</v>
      </c>
      <c r="E1678" s="57" t="n">
        <v>1746</v>
      </c>
      <c r="F1678" s="57" t="n">
        <v>1.746</v>
      </c>
      <c r="G1678" s="56" t="inlineStr">
        <is>
          <t>KG</t>
        </is>
      </c>
      <c r="H1678" s="60" t="inlineStr">
        <is>
          <t>R001</t>
        </is>
      </c>
      <c r="I1678" s="56" t="inlineStr">
        <is>
          <t>4731</t>
        </is>
      </c>
      <c r="J1678" s="56" t="n"/>
      <c r="K1678" s="56" t="n"/>
      <c r="L1678" s="56" t="n"/>
      <c r="M1678" s="56" t="n"/>
      <c r="N1678" s="60" t="inlineStr">
        <is>
          <t>TRANSIT STOCK</t>
        </is>
      </c>
      <c r="O1678" s="56" t="n">
        <v>5</v>
      </c>
      <c r="P1678" s="59" t="inlineStr">
        <is>
          <t>0-30</t>
        </is>
      </c>
      <c r="Q1678" s="56" t="inlineStr">
        <is>
          <t>TRANSIT STOCK</t>
        </is>
      </c>
    </row>
    <row r="1679">
      <c r="A1679" s="56" t="n">
        <v>3500635</v>
      </c>
      <c r="B1679" s="56" t="inlineStr">
        <is>
          <t>TUB-O-C-AUT-BH-FC-47.63X4.000X6.0000</t>
        </is>
      </c>
      <c r="C1679" s="56" t="inlineStr">
        <is>
          <t>4C22AK3050</t>
        </is>
      </c>
      <c r="D1679" s="57" t="n">
        <v>87</v>
      </c>
      <c r="E1679" s="57" t="n">
        <v>2246</v>
      </c>
      <c r="F1679" s="57" t="n">
        <v>2.246</v>
      </c>
      <c r="G1679" s="56" t="inlineStr">
        <is>
          <t>KG</t>
        </is>
      </c>
      <c r="H1679" s="60" t="inlineStr">
        <is>
          <t>R001</t>
        </is>
      </c>
      <c r="I1679" s="56" t="inlineStr">
        <is>
          <t>4731</t>
        </is>
      </c>
      <c r="J1679" s="56" t="n"/>
      <c r="K1679" s="56" t="n"/>
      <c r="L1679" s="56" t="n"/>
      <c r="M1679" s="56" t="n"/>
      <c r="N1679" s="60" t="inlineStr">
        <is>
          <t>TRANSIT STOCK</t>
        </is>
      </c>
      <c r="O1679" s="56" t="n">
        <v>5</v>
      </c>
      <c r="P1679" s="59" t="inlineStr">
        <is>
          <t>0-30</t>
        </is>
      </c>
      <c r="Q1679" s="56" t="inlineStr">
        <is>
          <t>TRANSIT STOCK</t>
        </is>
      </c>
    </row>
    <row r="1680">
      <c r="A1680" s="56" t="n">
        <v>3500635</v>
      </c>
      <c r="B1680" s="56" t="inlineStr">
        <is>
          <t>TUB-O-C-AUT-BH-FC-47.63X4.000X6.0000</t>
        </is>
      </c>
      <c r="C1680" s="56" t="inlineStr">
        <is>
          <t>4C22AK3040</t>
        </is>
      </c>
      <c r="D1680" s="57" t="n">
        <v>98</v>
      </c>
      <c r="E1680" s="57" t="n">
        <v>2530</v>
      </c>
      <c r="F1680" s="57" t="n">
        <v>2.53</v>
      </c>
      <c r="G1680" s="56" t="inlineStr">
        <is>
          <t>KG</t>
        </is>
      </c>
      <c r="H1680" s="60" t="inlineStr">
        <is>
          <t>R001</t>
        </is>
      </c>
      <c r="I1680" s="56" t="inlineStr">
        <is>
          <t>4731</t>
        </is>
      </c>
      <c r="J1680" s="56" t="n"/>
      <c r="K1680" s="56" t="n"/>
      <c r="L1680" s="56" t="n"/>
      <c r="M1680" s="56" t="n"/>
      <c r="N1680" s="60" t="inlineStr">
        <is>
          <t>TRANSIT STOCK</t>
        </is>
      </c>
      <c r="O1680" s="56" t="n">
        <v>5</v>
      </c>
      <c r="P1680" s="59" t="inlineStr">
        <is>
          <t>0-30</t>
        </is>
      </c>
      <c r="Q1680" s="56" t="inlineStr">
        <is>
          <t>TRANSIT STOCK</t>
        </is>
      </c>
    </row>
    <row r="1681">
      <c r="A1681" s="56" t="n">
        <v>3500635</v>
      </c>
      <c r="B1681" s="56" t="inlineStr">
        <is>
          <t>TUB-O-C-AUT-BH-FC-47.63X4.000X6.0000</t>
        </is>
      </c>
      <c r="C1681" s="56" t="inlineStr">
        <is>
          <t>4C21CK3060</t>
        </is>
      </c>
      <c r="D1681" s="57" t="n">
        <v>107</v>
      </c>
      <c r="E1681" s="57" t="n">
        <v>2762</v>
      </c>
      <c r="F1681" s="57" t="n">
        <v>2.762</v>
      </c>
      <c r="G1681" s="56" t="inlineStr">
        <is>
          <t>KG</t>
        </is>
      </c>
      <c r="H1681" s="60" t="inlineStr">
        <is>
          <t>R001</t>
        </is>
      </c>
      <c r="I1681" s="56" t="inlineStr">
        <is>
          <t>4731</t>
        </is>
      </c>
      <c r="J1681" s="56" t="n"/>
      <c r="K1681" s="56" t="n"/>
      <c r="L1681" s="56" t="n"/>
      <c r="M1681" s="56" t="n"/>
      <c r="N1681" s="60" t="inlineStr">
        <is>
          <t>TRANSIT STOCK</t>
        </is>
      </c>
      <c r="O1681" s="56" t="n">
        <v>5</v>
      </c>
      <c r="P1681" s="59" t="inlineStr">
        <is>
          <t>0-30</t>
        </is>
      </c>
      <c r="Q1681" s="56" t="inlineStr">
        <is>
          <t>TRANSIT STOCK</t>
        </is>
      </c>
    </row>
    <row r="1682">
      <c r="A1682" s="56" t="n">
        <v>3500635</v>
      </c>
      <c r="B1682" s="56" t="inlineStr">
        <is>
          <t>TUB-O-C-AUT-BH-FC-47.63X4.000X6.0000</t>
        </is>
      </c>
      <c r="C1682" s="56" t="inlineStr">
        <is>
          <t>4C13K39684</t>
        </is>
      </c>
      <c r="D1682" s="57" t="n">
        <v>81</v>
      </c>
      <c r="E1682" s="57" t="n">
        <v>2091</v>
      </c>
      <c r="F1682" s="57" t="n">
        <v>2.091</v>
      </c>
      <c r="G1682" s="56" t="inlineStr">
        <is>
          <t>KG</t>
        </is>
      </c>
      <c r="H1682" s="60" t="inlineStr">
        <is>
          <t>R001</t>
        </is>
      </c>
      <c r="I1682" s="56" t="inlineStr">
        <is>
          <t>4731</t>
        </is>
      </c>
      <c r="J1682" s="56" t="n"/>
      <c r="K1682" s="56" t="n"/>
      <c r="L1682" s="56" t="n"/>
      <c r="M1682" s="56" t="n"/>
      <c r="N1682" s="60" t="inlineStr">
        <is>
          <t>TRANSIT STOCK</t>
        </is>
      </c>
      <c r="O1682" s="56" t="n">
        <v>5</v>
      </c>
      <c r="P1682" s="59" t="inlineStr">
        <is>
          <t>0-30</t>
        </is>
      </c>
      <c r="Q1682" s="56" t="inlineStr">
        <is>
          <t>TRANSIT STOCK</t>
        </is>
      </c>
    </row>
    <row r="1683">
      <c r="A1683" s="56" t="n">
        <v>3500635</v>
      </c>
      <c r="B1683" s="56" t="inlineStr">
        <is>
          <t>TUB-O-C-AUT-BH-FC-47.63X4.000X6.0000</t>
        </is>
      </c>
      <c r="C1683" s="56" t="inlineStr">
        <is>
          <t>4C13K39672</t>
        </is>
      </c>
      <c r="D1683" s="57" t="n">
        <v>88</v>
      </c>
      <c r="E1683" s="57" t="n">
        <v>2271</v>
      </c>
      <c r="F1683" s="57" t="n">
        <v>2.271</v>
      </c>
      <c r="G1683" s="56" t="inlineStr">
        <is>
          <t>KG</t>
        </is>
      </c>
      <c r="H1683" s="60" t="inlineStr">
        <is>
          <t>R001</t>
        </is>
      </c>
      <c r="I1683" s="56" t="inlineStr">
        <is>
          <t>4731</t>
        </is>
      </c>
      <c r="J1683" s="56" t="n"/>
      <c r="K1683" s="56" t="n"/>
      <c r="L1683" s="56" t="n"/>
      <c r="M1683" s="56" t="n"/>
      <c r="N1683" s="60" t="inlineStr">
        <is>
          <t>TRANSIT STOCK</t>
        </is>
      </c>
      <c r="O1683" s="56" t="n">
        <v>5</v>
      </c>
      <c r="P1683" s="59" t="inlineStr">
        <is>
          <t>0-30</t>
        </is>
      </c>
      <c r="Q1683" s="56" t="inlineStr">
        <is>
          <t>TRANSIT STOCK</t>
        </is>
      </c>
    </row>
    <row r="1684">
      <c r="A1684" s="56" t="n">
        <v>3500635</v>
      </c>
      <c r="B1684" s="56" t="inlineStr">
        <is>
          <t>TUB-O-C-AUT-BH-FC-47.63X4.000X6.0000</t>
        </is>
      </c>
      <c r="C1684" s="56" t="inlineStr">
        <is>
          <t>4C03K39059</t>
        </is>
      </c>
      <c r="D1684" s="57" t="n">
        <v>86</v>
      </c>
      <c r="E1684" s="57" t="n">
        <v>2220</v>
      </c>
      <c r="F1684" s="57" t="n">
        <v>2.22</v>
      </c>
      <c r="G1684" s="56" t="inlineStr">
        <is>
          <t>KG</t>
        </is>
      </c>
      <c r="H1684" s="60" t="inlineStr">
        <is>
          <t>R001</t>
        </is>
      </c>
      <c r="I1684" s="56" t="inlineStr">
        <is>
          <t>4731</t>
        </is>
      </c>
      <c r="J1684" s="56" t="n"/>
      <c r="K1684" s="56" t="n"/>
      <c r="L1684" s="56" t="n"/>
      <c r="M1684" s="56" t="n"/>
      <c r="N1684" s="60" t="inlineStr">
        <is>
          <t>TRANSIT STOCK</t>
        </is>
      </c>
      <c r="O1684" s="56" t="n">
        <v>5</v>
      </c>
      <c r="P1684" s="59" t="inlineStr">
        <is>
          <t>0-30</t>
        </is>
      </c>
      <c r="Q1684" s="56" t="inlineStr">
        <is>
          <t>TRANSIT STOCK</t>
        </is>
      </c>
    </row>
    <row r="1685">
      <c r="A1685" s="56" t="n">
        <v>3770391</v>
      </c>
      <c r="B1685" s="56" t="inlineStr">
        <is>
          <t>TUB-O-C-AUT-AD-FC-25.40X2.500X6.0500</t>
        </is>
      </c>
      <c r="C1685" s="56" t="inlineStr">
        <is>
          <t>4B22K38149</t>
        </is>
      </c>
      <c r="D1685" s="57" t="n">
        <v>159</v>
      </c>
      <c r="E1685" s="57" t="n">
        <v>1358</v>
      </c>
      <c r="F1685" s="57" t="n">
        <v>1.358</v>
      </c>
      <c r="G1685" s="56" t="inlineStr">
        <is>
          <t>KG</t>
        </is>
      </c>
      <c r="H1685" s="60" t="inlineStr">
        <is>
          <t>R001</t>
        </is>
      </c>
      <c r="I1685" s="56" t="inlineStr">
        <is>
          <t>4731</t>
        </is>
      </c>
      <c r="J1685" s="56" t="n"/>
      <c r="K1685" s="56" t="n"/>
      <c r="L1685" s="56" t="n"/>
      <c r="M1685" s="56" t="n"/>
      <c r="N1685" s="60" t="inlineStr">
        <is>
          <t>TRANSIT STOCK</t>
        </is>
      </c>
      <c r="O1685" s="56" t="n">
        <v>5</v>
      </c>
      <c r="P1685" s="59" t="inlineStr">
        <is>
          <t>0-30</t>
        </is>
      </c>
      <c r="Q1685" s="56" t="inlineStr">
        <is>
          <t>TRANSIT STOCK</t>
        </is>
      </c>
    </row>
    <row r="1686">
      <c r="A1686" s="56" t="n">
        <v>3770391</v>
      </c>
      <c r="B1686" s="56" t="inlineStr">
        <is>
          <t>TUB-O-C-AUT-AD-FC-25.40X2.500X6.0500</t>
        </is>
      </c>
      <c r="C1686" s="56" t="inlineStr">
        <is>
          <t>4B19AK2040</t>
        </is>
      </c>
      <c r="D1686" s="57" t="n">
        <v>180</v>
      </c>
      <c r="E1686" s="57" t="n">
        <v>1537</v>
      </c>
      <c r="F1686" s="57" t="n">
        <v>1.537</v>
      </c>
      <c r="G1686" s="56" t="inlineStr">
        <is>
          <t>KG</t>
        </is>
      </c>
      <c r="H1686" s="60" t="inlineStr">
        <is>
          <t>R001</t>
        </is>
      </c>
      <c r="I1686" s="56" t="inlineStr">
        <is>
          <t>4731</t>
        </is>
      </c>
      <c r="J1686" s="56" t="n"/>
      <c r="K1686" s="56" t="n"/>
      <c r="L1686" s="56" t="n"/>
      <c r="M1686" s="56" t="n"/>
      <c r="N1686" s="60" t="inlineStr">
        <is>
          <t>TRANSIT STOCK</t>
        </is>
      </c>
      <c r="O1686" s="56" t="n">
        <v>5</v>
      </c>
      <c r="P1686" s="59" t="inlineStr">
        <is>
          <t>0-30</t>
        </is>
      </c>
      <c r="Q1686" s="56" t="inlineStr">
        <is>
          <t>TRANSIT STOCK</t>
        </is>
      </c>
    </row>
    <row r="1687">
      <c r="A1687" s="56" t="n">
        <v>3770391</v>
      </c>
      <c r="B1687" s="56" t="inlineStr">
        <is>
          <t>TUB-O-C-AUT-AD-FC-25.40X2.500X6.0500</t>
        </is>
      </c>
      <c r="C1687" s="56" t="inlineStr">
        <is>
          <t>4B17CK2090</t>
        </is>
      </c>
      <c r="D1687" s="57" t="n">
        <v>180</v>
      </c>
      <c r="E1687" s="57" t="n">
        <v>1537</v>
      </c>
      <c r="F1687" s="57" t="n">
        <v>1.537</v>
      </c>
      <c r="G1687" s="56" t="inlineStr">
        <is>
          <t>KG</t>
        </is>
      </c>
      <c r="H1687" s="60" t="inlineStr">
        <is>
          <t>R001</t>
        </is>
      </c>
      <c r="I1687" s="56" t="inlineStr">
        <is>
          <t>4731</t>
        </is>
      </c>
      <c r="J1687" s="56" t="n"/>
      <c r="K1687" s="56" t="n"/>
      <c r="L1687" s="56" t="n"/>
      <c r="M1687" s="56" t="n"/>
      <c r="N1687" s="60" t="inlineStr">
        <is>
          <t>TRANSIT STOCK</t>
        </is>
      </c>
      <c r="O1687" s="56" t="n">
        <v>5</v>
      </c>
      <c r="P1687" s="59" t="inlineStr">
        <is>
          <t>0-30</t>
        </is>
      </c>
      <c r="Q1687" s="56" t="inlineStr">
        <is>
          <t>TRANSIT STOCK</t>
        </is>
      </c>
    </row>
    <row r="1688">
      <c r="A1688" s="56" t="n">
        <v>3770405</v>
      </c>
      <c r="B1688" s="56" t="inlineStr">
        <is>
          <t>TUB-O-C-AUT-AD-FC-67.00X1.20X5.500-HDPE</t>
        </is>
      </c>
      <c r="C1688" s="56" t="inlineStr">
        <is>
          <t>4C09AK4010</t>
        </is>
      </c>
      <c r="D1688" s="57" t="n">
        <v>139</v>
      </c>
      <c r="E1688" s="57" t="n">
        <v>1488</v>
      </c>
      <c r="F1688" s="57" t="n">
        <v>1.488</v>
      </c>
      <c r="G1688" s="56" t="inlineStr">
        <is>
          <t>KG</t>
        </is>
      </c>
      <c r="H1688" s="60" t="inlineStr">
        <is>
          <t>R001</t>
        </is>
      </c>
      <c r="I1688" s="56" t="inlineStr">
        <is>
          <t>4731</t>
        </is>
      </c>
      <c r="J1688" s="56" t="n"/>
      <c r="K1688" s="56" t="n"/>
      <c r="L1688" s="56" t="n"/>
      <c r="M1688" s="56" t="n"/>
      <c r="N1688" s="60" t="inlineStr">
        <is>
          <t>TRANSIT STOCK</t>
        </is>
      </c>
      <c r="O1688" s="56" t="n">
        <v>5</v>
      </c>
      <c r="P1688" s="59" t="inlineStr">
        <is>
          <t>0-30</t>
        </is>
      </c>
      <c r="Q1688" s="56" t="inlineStr">
        <is>
          <t>TRANSIT STOCK</t>
        </is>
      </c>
    </row>
    <row r="1689">
      <c r="A1689" s="56" t="n">
        <v>1930116</v>
      </c>
      <c r="B1689" s="56" t="inlineStr">
        <is>
          <t>TUB-I-C-AUT-AN-FC-39.00X34.00X4.5000</t>
        </is>
      </c>
      <c r="C1689" s="56" t="inlineStr">
        <is>
          <t>4314K05751</t>
        </is>
      </c>
      <c r="D1689" s="57" t="n">
        <v>36</v>
      </c>
      <c r="E1689" s="57" t="n">
        <v>369</v>
      </c>
      <c r="F1689" s="57" t="n">
        <v>0.369</v>
      </c>
      <c r="G1689" s="56" t="inlineStr">
        <is>
          <t>KG</t>
        </is>
      </c>
      <c r="H1689" s="60" t="inlineStr">
        <is>
          <t>R001</t>
        </is>
      </c>
      <c r="I1689" s="56" t="inlineStr">
        <is>
          <t>4731</t>
        </is>
      </c>
      <c r="J1689" s="56" t="n"/>
      <c r="K1689" s="56" t="n"/>
      <c r="L1689" s="56" t="n"/>
      <c r="M1689" s="56" t="n"/>
      <c r="N1689" s="60" t="inlineStr">
        <is>
          <t>TRANSIT STOCK</t>
        </is>
      </c>
      <c r="O1689" s="56" t="n">
        <v>5</v>
      </c>
      <c r="P1689" s="59" t="inlineStr">
        <is>
          <t>0-30</t>
        </is>
      </c>
      <c r="Q1689" s="56" t="inlineStr">
        <is>
          <t>TRANSIT STOCK</t>
        </is>
      </c>
    </row>
    <row r="1690">
      <c r="A1690" s="56" t="n">
        <v>3770394</v>
      </c>
      <c r="B1690" s="56" t="inlineStr">
        <is>
          <t>TUB-O-C-AUT-AD-FC-29.40X4.500X5.5500</t>
        </is>
      </c>
      <c r="C1690" s="56" t="inlineStr">
        <is>
          <t>4827K31356</t>
        </is>
      </c>
      <c r="D1690" s="57" t="n">
        <v>55</v>
      </c>
      <c r="E1690" s="57" t="n">
        <v>838</v>
      </c>
      <c r="F1690" s="57" t="n">
        <v>0.838</v>
      </c>
      <c r="G1690" s="56" t="inlineStr">
        <is>
          <t>KG</t>
        </is>
      </c>
      <c r="H1690" s="60" t="inlineStr">
        <is>
          <t>R001</t>
        </is>
      </c>
      <c r="I1690" s="56" t="inlineStr">
        <is>
          <t>4731</t>
        </is>
      </c>
      <c r="J1690" s="56" t="n"/>
      <c r="K1690" s="56" t="n"/>
      <c r="L1690" s="56" t="n"/>
      <c r="M1690" s="56" t="n"/>
      <c r="N1690" s="60" t="inlineStr">
        <is>
          <t>TRANSIT STOCK</t>
        </is>
      </c>
      <c r="O1690" s="56" t="n">
        <v>4</v>
      </c>
      <c r="P1690" s="59" t="inlineStr">
        <is>
          <t>0-30</t>
        </is>
      </c>
      <c r="Q1690" s="56" t="inlineStr">
        <is>
          <t>TRANSIT STOCK</t>
        </is>
      </c>
    </row>
    <row r="1691">
      <c r="A1691" s="56" t="n">
        <v>3770394</v>
      </c>
      <c r="B1691" s="56" t="inlineStr">
        <is>
          <t>TUB-O-C-AUT-AD-FC-29.40X4.500X5.5500</t>
        </is>
      </c>
      <c r="C1691" s="56" t="inlineStr">
        <is>
          <t>MG19B2409</t>
        </is>
      </c>
      <c r="D1691" s="57" t="n">
        <v>151</v>
      </c>
      <c r="E1691" s="57" t="n">
        <v>2319</v>
      </c>
      <c r="F1691" s="57" t="n">
        <v>2.319</v>
      </c>
      <c r="G1691" s="56" t="inlineStr">
        <is>
          <t>KG</t>
        </is>
      </c>
      <c r="H1691" s="60" t="inlineStr">
        <is>
          <t>R001</t>
        </is>
      </c>
      <c r="I1691" s="56" t="inlineStr">
        <is>
          <t>4731</t>
        </is>
      </c>
      <c r="J1691" s="56" t="n"/>
      <c r="K1691" s="56" t="n"/>
      <c r="L1691" s="56" t="n"/>
      <c r="M1691" s="56" t="n"/>
      <c r="N1691" s="60" t="inlineStr">
        <is>
          <t>TRANSIT STOCK</t>
        </is>
      </c>
      <c r="O1691" s="56" t="n">
        <v>4</v>
      </c>
      <c r="P1691" s="59" t="inlineStr">
        <is>
          <t>0-30</t>
        </is>
      </c>
      <c r="Q1691" s="56" t="inlineStr">
        <is>
          <t>TRANSIT STOCK</t>
        </is>
      </c>
    </row>
    <row r="1692">
      <c r="A1692" s="56" t="n">
        <v>3770394</v>
      </c>
      <c r="B1692" s="56" t="inlineStr">
        <is>
          <t>TUB-O-C-AUT-AD-FC-29.40X4.500X5.5500</t>
        </is>
      </c>
      <c r="C1692" s="56" t="inlineStr">
        <is>
          <t>4B08AK3020</t>
        </is>
      </c>
      <c r="D1692" s="57" t="n">
        <v>52</v>
      </c>
      <c r="E1692" s="57" t="n">
        <v>804</v>
      </c>
      <c r="F1692" s="57" t="n">
        <v>0.804</v>
      </c>
      <c r="G1692" s="56" t="inlineStr">
        <is>
          <t>KG</t>
        </is>
      </c>
      <c r="H1692" s="60" t="inlineStr">
        <is>
          <t>R001</t>
        </is>
      </c>
      <c r="I1692" s="56" t="inlineStr">
        <is>
          <t>4731</t>
        </is>
      </c>
      <c r="J1692" s="56" t="n"/>
      <c r="K1692" s="56" t="n"/>
      <c r="L1692" s="56" t="n"/>
      <c r="M1692" s="56" t="n"/>
      <c r="N1692" s="60" t="inlineStr">
        <is>
          <t>TRANSIT STOCK</t>
        </is>
      </c>
      <c r="O1692" s="56" t="n">
        <v>4</v>
      </c>
      <c r="P1692" s="59" t="inlineStr">
        <is>
          <t>0-30</t>
        </is>
      </c>
      <c r="Q1692" s="56" t="inlineStr">
        <is>
          <t>TRANSIT STOCK</t>
        </is>
      </c>
    </row>
    <row r="1693">
      <c r="A1693" s="56" t="n">
        <v>3770394</v>
      </c>
      <c r="B1693" s="56" t="inlineStr">
        <is>
          <t>TUB-O-C-AUT-AD-FC-29.40X4.500X5.5500</t>
        </is>
      </c>
      <c r="C1693" s="56" t="inlineStr">
        <is>
          <t>4B08AK3030</t>
        </is>
      </c>
      <c r="D1693" s="57" t="n">
        <v>127</v>
      </c>
      <c r="E1693" s="57" t="n">
        <v>1951</v>
      </c>
      <c r="F1693" s="57" t="n">
        <v>1.951</v>
      </c>
      <c r="G1693" s="56" t="inlineStr">
        <is>
          <t>KG</t>
        </is>
      </c>
      <c r="H1693" s="60" t="inlineStr">
        <is>
          <t>R001</t>
        </is>
      </c>
      <c r="I1693" s="56" t="inlineStr">
        <is>
          <t>4731</t>
        </is>
      </c>
      <c r="J1693" s="56" t="n"/>
      <c r="K1693" s="56" t="n"/>
      <c r="L1693" s="56" t="n"/>
      <c r="M1693" s="56" t="n"/>
      <c r="N1693" s="60" t="inlineStr">
        <is>
          <t>TRANSIT STOCK</t>
        </is>
      </c>
      <c r="O1693" s="56" t="n">
        <v>4</v>
      </c>
      <c r="P1693" s="59" t="inlineStr">
        <is>
          <t>0-30</t>
        </is>
      </c>
      <c r="Q1693" s="56" t="inlineStr">
        <is>
          <t>TRANSIT STOCK</t>
        </is>
      </c>
    </row>
    <row r="1694">
      <c r="A1694" s="56" t="n">
        <v>3770394</v>
      </c>
      <c r="B1694" s="56" t="inlineStr">
        <is>
          <t>TUB-O-C-AUT-AD-FC-29.40X4.500X5.5500</t>
        </is>
      </c>
      <c r="C1694" s="56" t="inlineStr">
        <is>
          <t>4B08AK3050</t>
        </is>
      </c>
      <c r="D1694" s="57" t="n">
        <v>134</v>
      </c>
      <c r="E1694" s="57" t="n">
        <v>2059</v>
      </c>
      <c r="F1694" s="57" t="n">
        <v>2.059</v>
      </c>
      <c r="G1694" s="56" t="inlineStr">
        <is>
          <t>KG</t>
        </is>
      </c>
      <c r="H1694" s="60" t="inlineStr">
        <is>
          <t>R001</t>
        </is>
      </c>
      <c r="I1694" s="56" t="inlineStr">
        <is>
          <t>4731</t>
        </is>
      </c>
      <c r="J1694" s="56" t="n"/>
      <c r="K1694" s="56" t="n"/>
      <c r="L1694" s="56" t="n"/>
      <c r="M1694" s="56" t="n"/>
      <c r="N1694" s="60" t="inlineStr">
        <is>
          <t>TRANSIT STOCK</t>
        </is>
      </c>
      <c r="O1694" s="56" t="n">
        <v>4</v>
      </c>
      <c r="P1694" s="59" t="inlineStr">
        <is>
          <t>0-30</t>
        </is>
      </c>
      <c r="Q1694" s="56" t="inlineStr">
        <is>
          <t>TRANSIT STOCK</t>
        </is>
      </c>
    </row>
    <row r="1695">
      <c r="A1695" s="56" t="n">
        <v>3770394</v>
      </c>
      <c r="B1695" s="56" t="inlineStr">
        <is>
          <t>TUB-O-C-AUT-AD-FC-29.40X4.500X5.5500</t>
        </is>
      </c>
      <c r="C1695" s="56" t="inlineStr">
        <is>
          <t>4B08AK3060</t>
        </is>
      </c>
      <c r="D1695" s="57" t="n">
        <v>120</v>
      </c>
      <c r="E1695" s="57" t="n">
        <v>1844</v>
      </c>
      <c r="F1695" s="57" t="n">
        <v>1.844</v>
      </c>
      <c r="G1695" s="56" t="inlineStr">
        <is>
          <t>KG</t>
        </is>
      </c>
      <c r="H1695" s="60" t="inlineStr">
        <is>
          <t>R001</t>
        </is>
      </c>
      <c r="I1695" s="56" t="inlineStr">
        <is>
          <t>4731</t>
        </is>
      </c>
      <c r="J1695" s="56" t="n"/>
      <c r="K1695" s="56" t="n"/>
      <c r="L1695" s="56" t="n"/>
      <c r="M1695" s="56" t="n"/>
      <c r="N1695" s="60" t="inlineStr">
        <is>
          <t>TRANSIT STOCK</t>
        </is>
      </c>
      <c r="O1695" s="56" t="n">
        <v>4</v>
      </c>
      <c r="P1695" s="59" t="inlineStr">
        <is>
          <t>0-30</t>
        </is>
      </c>
      <c r="Q1695" s="56" t="inlineStr">
        <is>
          <t>TRANSIT STOCK</t>
        </is>
      </c>
    </row>
    <row r="1696">
      <c r="A1696" s="56" t="n">
        <v>3770394</v>
      </c>
      <c r="B1696" s="56" t="inlineStr">
        <is>
          <t>TUB-O-C-AUT-AD-FC-29.40X4.500X5.5500</t>
        </is>
      </c>
      <c r="C1696" s="56" t="inlineStr">
        <is>
          <t>4B08AK3070</t>
        </is>
      </c>
      <c r="D1696" s="57" t="n">
        <v>107</v>
      </c>
      <c r="E1696" s="57" t="n">
        <v>1645</v>
      </c>
      <c r="F1696" s="57" t="n">
        <v>1.645</v>
      </c>
      <c r="G1696" s="56" t="inlineStr">
        <is>
          <t>KG</t>
        </is>
      </c>
      <c r="H1696" s="60" t="inlineStr">
        <is>
          <t>R001</t>
        </is>
      </c>
      <c r="I1696" s="56" t="inlineStr">
        <is>
          <t>4731</t>
        </is>
      </c>
      <c r="J1696" s="56" t="n"/>
      <c r="K1696" s="56" t="n"/>
      <c r="L1696" s="56" t="n"/>
      <c r="M1696" s="56" t="n"/>
      <c r="N1696" s="60" t="inlineStr">
        <is>
          <t>TRANSIT STOCK</t>
        </is>
      </c>
      <c r="O1696" s="56" t="n">
        <v>4</v>
      </c>
      <c r="P1696" s="59" t="inlineStr">
        <is>
          <t>0-30</t>
        </is>
      </c>
      <c r="Q1696" s="56" t="inlineStr">
        <is>
          <t>TRANSIT STOCK</t>
        </is>
      </c>
    </row>
    <row r="1697">
      <c r="A1697" s="56" t="n">
        <v>3770394</v>
      </c>
      <c r="B1697" s="56" t="inlineStr">
        <is>
          <t>TUB-O-C-AUT-AD-FC-29.40X4.500X5.5500</t>
        </is>
      </c>
      <c r="C1697" s="56" t="inlineStr">
        <is>
          <t>4B08BK3010</t>
        </is>
      </c>
      <c r="D1697" s="57" t="n">
        <v>113</v>
      </c>
      <c r="E1697" s="57" t="n">
        <v>1737</v>
      </c>
      <c r="F1697" s="57" t="n">
        <v>1.737</v>
      </c>
      <c r="G1697" s="56" t="inlineStr">
        <is>
          <t>KG</t>
        </is>
      </c>
      <c r="H1697" s="60" t="inlineStr">
        <is>
          <t>R001</t>
        </is>
      </c>
      <c r="I1697" s="56" t="inlineStr">
        <is>
          <t>4731</t>
        </is>
      </c>
      <c r="J1697" s="56" t="n"/>
      <c r="K1697" s="56" t="n"/>
      <c r="L1697" s="56" t="n"/>
      <c r="M1697" s="56" t="n"/>
      <c r="N1697" s="60" t="inlineStr">
        <is>
          <t>TRANSIT STOCK</t>
        </is>
      </c>
      <c r="O1697" s="56" t="n">
        <v>4</v>
      </c>
      <c r="P1697" s="59" t="inlineStr">
        <is>
          <t>0-30</t>
        </is>
      </c>
      <c r="Q1697" s="56" t="inlineStr">
        <is>
          <t>TRANSIT STOCK</t>
        </is>
      </c>
    </row>
    <row r="1698">
      <c r="A1698" s="56" t="n">
        <v>3770394</v>
      </c>
      <c r="B1698" s="56" t="inlineStr">
        <is>
          <t>TUB-O-C-AUT-AD-FC-29.40X4.500X5.5500</t>
        </is>
      </c>
      <c r="C1698" s="56" t="inlineStr">
        <is>
          <t>4B20AK3110</t>
        </is>
      </c>
      <c r="D1698" s="57" t="n">
        <v>126</v>
      </c>
      <c r="E1698" s="57" t="n">
        <v>1936</v>
      </c>
      <c r="F1698" s="57" t="n">
        <v>1.936</v>
      </c>
      <c r="G1698" s="56" t="inlineStr">
        <is>
          <t>KG</t>
        </is>
      </c>
      <c r="H1698" s="60" t="inlineStr">
        <is>
          <t>R001</t>
        </is>
      </c>
      <c r="I1698" s="56" t="inlineStr">
        <is>
          <t>4731</t>
        </is>
      </c>
      <c r="J1698" s="56" t="n"/>
      <c r="K1698" s="56" t="n"/>
      <c r="L1698" s="56" t="n"/>
      <c r="M1698" s="56" t="n"/>
      <c r="N1698" s="60" t="inlineStr">
        <is>
          <t>TRANSIT STOCK</t>
        </is>
      </c>
      <c r="O1698" s="56" t="n">
        <v>4</v>
      </c>
      <c r="P1698" s="59" t="inlineStr">
        <is>
          <t>0-30</t>
        </is>
      </c>
      <c r="Q1698" s="56" t="inlineStr">
        <is>
          <t>TRANSIT STOCK</t>
        </is>
      </c>
    </row>
    <row r="1699">
      <c r="A1699" s="56" t="n">
        <v>3770394</v>
      </c>
      <c r="B1699" s="56" t="inlineStr">
        <is>
          <t>TUB-O-C-AUT-AD-FC-29.40X4.500X5.5500</t>
        </is>
      </c>
      <c r="C1699" s="56" t="inlineStr">
        <is>
          <t>4B20AK3120</t>
        </is>
      </c>
      <c r="D1699" s="57" t="n">
        <v>119</v>
      </c>
      <c r="E1699" s="57" t="n">
        <v>1829</v>
      </c>
      <c r="F1699" s="57" t="n">
        <v>1.829</v>
      </c>
      <c r="G1699" s="56" t="inlineStr">
        <is>
          <t>KG</t>
        </is>
      </c>
      <c r="H1699" s="60" t="inlineStr">
        <is>
          <t>R001</t>
        </is>
      </c>
      <c r="I1699" s="56" t="inlineStr">
        <is>
          <t>4731</t>
        </is>
      </c>
      <c r="J1699" s="56" t="n"/>
      <c r="K1699" s="56" t="n"/>
      <c r="L1699" s="56" t="n"/>
      <c r="M1699" s="56" t="n"/>
      <c r="N1699" s="60" t="inlineStr">
        <is>
          <t>TRANSIT STOCK</t>
        </is>
      </c>
      <c r="O1699" s="56" t="n">
        <v>4</v>
      </c>
      <c r="P1699" s="59" t="inlineStr">
        <is>
          <t>0-30</t>
        </is>
      </c>
      <c r="Q1699" s="56" t="inlineStr">
        <is>
          <t>TRANSIT STOCK</t>
        </is>
      </c>
    </row>
    <row r="1700">
      <c r="A1700" s="56" t="n">
        <v>3770394</v>
      </c>
      <c r="B1700" s="56" t="inlineStr">
        <is>
          <t>TUB-O-C-AUT-AD-FC-29.40X4.500X5.5500</t>
        </is>
      </c>
      <c r="C1700" s="56" t="inlineStr">
        <is>
          <t>4B20BK3020</t>
        </is>
      </c>
      <c r="D1700" s="57" t="n">
        <v>122</v>
      </c>
      <c r="E1700" s="57" t="n">
        <v>1875</v>
      </c>
      <c r="F1700" s="57" t="n">
        <v>1.875</v>
      </c>
      <c r="G1700" s="56" t="inlineStr">
        <is>
          <t>KG</t>
        </is>
      </c>
      <c r="H1700" s="60" t="inlineStr">
        <is>
          <t>R001</t>
        </is>
      </c>
      <c r="I1700" s="56" t="inlineStr">
        <is>
          <t>4731</t>
        </is>
      </c>
      <c r="J1700" s="56" t="n"/>
      <c r="K1700" s="56" t="n"/>
      <c r="L1700" s="56" t="n"/>
      <c r="M1700" s="56" t="n"/>
      <c r="N1700" s="60" t="inlineStr">
        <is>
          <t>TRANSIT STOCK</t>
        </is>
      </c>
      <c r="O1700" s="56" t="n">
        <v>4</v>
      </c>
      <c r="P1700" s="59" t="inlineStr">
        <is>
          <t>0-30</t>
        </is>
      </c>
      <c r="Q1700" s="56" t="inlineStr">
        <is>
          <t>TRANSIT STOCK</t>
        </is>
      </c>
    </row>
    <row r="1701">
      <c r="A1701" s="56" t="n">
        <v>3770394</v>
      </c>
      <c r="B1701" s="56" t="inlineStr">
        <is>
          <t>TUB-O-C-AUT-AD-FC-29.40X4.500X5.5500</t>
        </is>
      </c>
      <c r="C1701" s="56" t="inlineStr">
        <is>
          <t>4B20BK3040</t>
        </is>
      </c>
      <c r="D1701" s="57" t="n">
        <v>136</v>
      </c>
      <c r="E1701" s="57" t="n">
        <v>2089</v>
      </c>
      <c r="F1701" s="57" t="n">
        <v>2.089</v>
      </c>
      <c r="G1701" s="56" t="inlineStr">
        <is>
          <t>KG</t>
        </is>
      </c>
      <c r="H1701" s="60" t="inlineStr">
        <is>
          <t>R001</t>
        </is>
      </c>
      <c r="I1701" s="56" t="inlineStr">
        <is>
          <t>4731</t>
        </is>
      </c>
      <c r="J1701" s="56" t="n"/>
      <c r="K1701" s="56" t="n"/>
      <c r="L1701" s="56" t="n"/>
      <c r="M1701" s="56" t="n"/>
      <c r="N1701" s="60" t="inlineStr">
        <is>
          <t>TRANSIT STOCK</t>
        </is>
      </c>
      <c r="O1701" s="56" t="n">
        <v>4</v>
      </c>
      <c r="P1701" s="59" t="inlineStr">
        <is>
          <t>0-30</t>
        </is>
      </c>
      <c r="Q1701" s="56" t="inlineStr">
        <is>
          <t>TRANSIT STOCK</t>
        </is>
      </c>
    </row>
    <row r="1702">
      <c r="A1702" s="56" t="n">
        <v>3770394</v>
      </c>
      <c r="B1702" s="56" t="inlineStr">
        <is>
          <t>TUB-O-C-AUT-AD-FC-29.40X4.500X5.5500</t>
        </is>
      </c>
      <c r="C1702" s="56" t="inlineStr">
        <is>
          <t>4B28CK3110</t>
        </is>
      </c>
      <c r="D1702" s="57" t="n">
        <v>121</v>
      </c>
      <c r="E1702" s="57" t="n">
        <v>1860</v>
      </c>
      <c r="F1702" s="57" t="n">
        <v>1.86</v>
      </c>
      <c r="G1702" s="56" t="inlineStr">
        <is>
          <t>KG</t>
        </is>
      </c>
      <c r="H1702" s="60" t="inlineStr">
        <is>
          <t>R001</t>
        </is>
      </c>
      <c r="I1702" s="56" t="inlineStr">
        <is>
          <t>4731</t>
        </is>
      </c>
      <c r="J1702" s="56" t="n"/>
      <c r="K1702" s="56" t="n"/>
      <c r="L1702" s="56" t="n"/>
      <c r="M1702" s="56" t="n"/>
      <c r="N1702" s="60" t="inlineStr">
        <is>
          <t>TRANSIT STOCK</t>
        </is>
      </c>
      <c r="O1702" s="56" t="n">
        <v>4</v>
      </c>
      <c r="P1702" s="59" t="inlineStr">
        <is>
          <t>0-30</t>
        </is>
      </c>
      <c r="Q1702" s="56" t="inlineStr">
        <is>
          <t>TRANSIT STOCK</t>
        </is>
      </c>
    </row>
    <row r="1703">
      <c r="A1703" s="56" t="n">
        <v>3770394</v>
      </c>
      <c r="B1703" s="56" t="inlineStr">
        <is>
          <t>TUB-O-C-AUT-AD-FC-29.40X4.500X5.5500</t>
        </is>
      </c>
      <c r="C1703" s="56" t="inlineStr">
        <is>
          <t>4B28CK3130</t>
        </is>
      </c>
      <c r="D1703" s="57" t="n">
        <v>133</v>
      </c>
      <c r="E1703" s="57" t="n">
        <v>2043</v>
      </c>
      <c r="F1703" s="57" t="n">
        <v>2.043</v>
      </c>
      <c r="G1703" s="56" t="inlineStr">
        <is>
          <t>KG</t>
        </is>
      </c>
      <c r="H1703" s="60" t="inlineStr">
        <is>
          <t>R001</t>
        </is>
      </c>
      <c r="I1703" s="56" t="inlineStr">
        <is>
          <t>4731</t>
        </is>
      </c>
      <c r="J1703" s="56" t="n"/>
      <c r="K1703" s="56" t="n"/>
      <c r="L1703" s="56" t="n"/>
      <c r="M1703" s="56" t="n"/>
      <c r="N1703" s="60" t="inlineStr">
        <is>
          <t>TRANSIT STOCK</t>
        </is>
      </c>
      <c r="O1703" s="56" t="n">
        <v>4</v>
      </c>
      <c r="P1703" s="59" t="inlineStr">
        <is>
          <t>0-30</t>
        </is>
      </c>
      <c r="Q1703" s="56" t="inlineStr">
        <is>
          <t>TRANSIT STOCK</t>
        </is>
      </c>
    </row>
    <row r="1704">
      <c r="A1704" s="56" t="n">
        <v>3770394</v>
      </c>
      <c r="B1704" s="56" t="inlineStr">
        <is>
          <t>TUB-O-C-AUT-AD-FC-29.40X4.500X5.5500</t>
        </is>
      </c>
      <c r="C1704" s="56" t="inlineStr">
        <is>
          <t>4B28CK3140</t>
        </is>
      </c>
      <c r="D1704" s="57" t="n">
        <v>133</v>
      </c>
      <c r="E1704" s="57" t="n">
        <v>2043</v>
      </c>
      <c r="F1704" s="57" t="n">
        <v>2.043</v>
      </c>
      <c r="G1704" s="56" t="inlineStr">
        <is>
          <t>KG</t>
        </is>
      </c>
      <c r="H1704" s="60" t="inlineStr">
        <is>
          <t>R001</t>
        </is>
      </c>
      <c r="I1704" s="56" t="inlineStr">
        <is>
          <t>4731</t>
        </is>
      </c>
      <c r="J1704" s="56" t="n"/>
      <c r="K1704" s="56" t="n"/>
      <c r="L1704" s="56" t="n"/>
      <c r="M1704" s="56" t="n"/>
      <c r="N1704" s="60" t="inlineStr">
        <is>
          <t>TRANSIT STOCK</t>
        </is>
      </c>
      <c r="O1704" s="56" t="n">
        <v>4</v>
      </c>
      <c r="P1704" s="59" t="inlineStr">
        <is>
          <t>0-30</t>
        </is>
      </c>
      <c r="Q1704" s="56" t="inlineStr">
        <is>
          <t>TRANSIT STOCK</t>
        </is>
      </c>
    </row>
    <row r="1705">
      <c r="A1705" s="56" t="n">
        <v>3770394</v>
      </c>
      <c r="B1705" s="56" t="inlineStr">
        <is>
          <t>TUB-O-C-AUT-AD-FC-29.40X4.500X5.5500</t>
        </is>
      </c>
      <c r="C1705" s="56" t="inlineStr">
        <is>
          <t>4B29AK3010</t>
        </is>
      </c>
      <c r="D1705" s="57" t="n">
        <v>127</v>
      </c>
      <c r="E1705" s="57" t="n">
        <v>1951</v>
      </c>
      <c r="F1705" s="57" t="n">
        <v>1.951</v>
      </c>
      <c r="G1705" s="56" t="inlineStr">
        <is>
          <t>KG</t>
        </is>
      </c>
      <c r="H1705" s="60" t="inlineStr">
        <is>
          <t>R001</t>
        </is>
      </c>
      <c r="I1705" s="56" t="inlineStr">
        <is>
          <t>4731</t>
        </is>
      </c>
      <c r="J1705" s="56" t="n"/>
      <c r="K1705" s="56" t="n"/>
      <c r="L1705" s="56" t="n"/>
      <c r="M1705" s="56" t="n"/>
      <c r="N1705" s="60" t="inlineStr">
        <is>
          <t>TRANSIT STOCK</t>
        </is>
      </c>
      <c r="O1705" s="56" t="n">
        <v>4</v>
      </c>
      <c r="P1705" s="59" t="inlineStr">
        <is>
          <t>0-30</t>
        </is>
      </c>
      <c r="Q1705" s="56" t="inlineStr">
        <is>
          <t>TRANSIT STOCK</t>
        </is>
      </c>
    </row>
    <row r="1706">
      <c r="A1706" s="56" t="n">
        <v>3770394</v>
      </c>
      <c r="B1706" s="56" t="inlineStr">
        <is>
          <t>TUB-O-C-AUT-AD-FC-29.40X4.500X5.5500</t>
        </is>
      </c>
      <c r="C1706" s="56" t="inlineStr">
        <is>
          <t>4C20K40180</t>
        </is>
      </c>
      <c r="D1706" s="57" t="n">
        <v>117</v>
      </c>
      <c r="E1706" s="57" t="n">
        <v>1798</v>
      </c>
      <c r="F1706" s="57" t="n">
        <v>1.798</v>
      </c>
      <c r="G1706" s="56" t="inlineStr">
        <is>
          <t>KG</t>
        </is>
      </c>
      <c r="H1706" s="60" t="inlineStr">
        <is>
          <t>R001</t>
        </is>
      </c>
      <c r="I1706" s="56" t="inlineStr">
        <is>
          <t>4731</t>
        </is>
      </c>
      <c r="J1706" s="56" t="n"/>
      <c r="K1706" s="56" t="n"/>
      <c r="L1706" s="56" t="n"/>
      <c r="M1706" s="56" t="n"/>
      <c r="N1706" s="60" t="inlineStr">
        <is>
          <t>TRANSIT STOCK</t>
        </is>
      </c>
      <c r="O1706" s="56" t="n">
        <v>4</v>
      </c>
      <c r="P1706" s="59" t="inlineStr">
        <is>
          <t>0-30</t>
        </is>
      </c>
      <c r="Q1706" s="56" t="inlineStr">
        <is>
          <t>TRANSIT STOCK</t>
        </is>
      </c>
    </row>
    <row r="1707">
      <c r="A1707" s="56" t="n">
        <v>3770394</v>
      </c>
      <c r="B1707" s="56" t="inlineStr">
        <is>
          <t>TUB-O-C-AUT-AD-FC-29.40X4.500X5.5500</t>
        </is>
      </c>
      <c r="C1707" s="56" t="inlineStr">
        <is>
          <t>4920K33341</t>
        </is>
      </c>
      <c r="D1707" s="57" t="n">
        <v>12</v>
      </c>
      <c r="E1707" s="57" t="n">
        <v>179</v>
      </c>
      <c r="F1707" s="57" t="n">
        <v>0.179</v>
      </c>
      <c r="G1707" s="56" t="inlineStr">
        <is>
          <t>KG</t>
        </is>
      </c>
      <c r="H1707" s="60" t="inlineStr">
        <is>
          <t>R001</t>
        </is>
      </c>
      <c r="I1707" s="56" t="inlineStr">
        <is>
          <t>4731</t>
        </is>
      </c>
      <c r="J1707" s="56" t="n"/>
      <c r="K1707" s="56" t="n"/>
      <c r="L1707" s="56" t="n"/>
      <c r="M1707" s="56" t="n"/>
      <c r="N1707" s="60" t="inlineStr">
        <is>
          <t>TRANSIT STOCK</t>
        </is>
      </c>
      <c r="O1707" s="56" t="n">
        <v>4</v>
      </c>
      <c r="P1707" s="59" t="inlineStr">
        <is>
          <t>0-30</t>
        </is>
      </c>
      <c r="Q1707" s="56" t="inlineStr">
        <is>
          <t>TRANSIT STOCK</t>
        </is>
      </c>
    </row>
    <row r="1708">
      <c r="A1708" s="56" t="n">
        <v>2411624</v>
      </c>
      <c r="B1708" s="56" t="inlineStr">
        <is>
          <t>TUB-O-C-AUT-AD-FC-21.20X2.750X04-05</t>
        </is>
      </c>
      <c r="C1708" s="56" t="inlineStr">
        <is>
          <t>4917K33126</t>
        </is>
      </c>
      <c r="D1708" s="57" t="n">
        <v>32</v>
      </c>
      <c r="E1708" s="57" t="n">
        <v>180</v>
      </c>
      <c r="F1708" s="57" t="n">
        <v>0.18</v>
      </c>
      <c r="G1708" s="56" t="inlineStr">
        <is>
          <t>KG</t>
        </is>
      </c>
      <c r="H1708" s="60" t="inlineStr">
        <is>
          <t>R001</t>
        </is>
      </c>
      <c r="I1708" s="56" t="inlineStr">
        <is>
          <t>4731</t>
        </is>
      </c>
      <c r="J1708" s="56" t="n"/>
      <c r="K1708" s="56" t="n"/>
      <c r="L1708" s="56" t="n"/>
      <c r="M1708" s="56" t="n"/>
      <c r="N1708" s="60" t="inlineStr">
        <is>
          <t>TRANSIT STOCK</t>
        </is>
      </c>
      <c r="O1708" s="56" t="n">
        <v>1</v>
      </c>
      <c r="P1708" s="59" t="inlineStr">
        <is>
          <t>0-30</t>
        </is>
      </c>
      <c r="Q1708" s="56" t="inlineStr">
        <is>
          <t>TRANSIT STOCK</t>
        </is>
      </c>
    </row>
    <row r="1709">
      <c r="A1709" s="56" t="n">
        <v>2411624</v>
      </c>
      <c r="B1709" s="56" t="inlineStr">
        <is>
          <t>TUB-O-C-AUT-AD-FC-21.20X2.750X04-05</t>
        </is>
      </c>
      <c r="C1709" s="56" t="inlineStr">
        <is>
          <t>4B02BK2030</t>
        </is>
      </c>
      <c r="D1709" s="57" t="n">
        <v>284</v>
      </c>
      <c r="E1709" s="57" t="n">
        <v>1602</v>
      </c>
      <c r="F1709" s="57" t="n">
        <v>1.602</v>
      </c>
      <c r="G1709" s="56" t="inlineStr">
        <is>
          <t>KG</t>
        </is>
      </c>
      <c r="H1709" s="60" t="inlineStr">
        <is>
          <t>R001</t>
        </is>
      </c>
      <c r="I1709" s="56" t="inlineStr">
        <is>
          <t>4731</t>
        </is>
      </c>
      <c r="J1709" s="56" t="n"/>
      <c r="K1709" s="56" t="n"/>
      <c r="L1709" s="56" t="n"/>
      <c r="M1709" s="56" t="n"/>
      <c r="N1709" s="60" t="inlineStr">
        <is>
          <t>TRANSIT STOCK</t>
        </is>
      </c>
      <c r="O1709" s="56" t="n">
        <v>1</v>
      </c>
      <c r="P1709" s="59" t="inlineStr">
        <is>
          <t>0-30</t>
        </is>
      </c>
      <c r="Q1709" s="56" t="inlineStr">
        <is>
          <t>TRANSIT STOCK</t>
        </is>
      </c>
    </row>
    <row r="1710">
      <c r="A1710" s="56" t="n">
        <v>2411624</v>
      </c>
      <c r="B1710" s="56" t="inlineStr">
        <is>
          <t>TUB-O-C-AUT-AD-FC-21.20X2.750X04-05</t>
        </is>
      </c>
      <c r="C1710" s="56" t="inlineStr">
        <is>
          <t>MG31C2429</t>
        </is>
      </c>
      <c r="D1710" s="57" t="n">
        <v>180</v>
      </c>
      <c r="E1710" s="57" t="n">
        <v>1012</v>
      </c>
      <c r="F1710" s="57" t="n">
        <v>1.012</v>
      </c>
      <c r="G1710" s="56" t="inlineStr">
        <is>
          <t>KG</t>
        </is>
      </c>
      <c r="H1710" s="60" t="inlineStr">
        <is>
          <t>R001</t>
        </is>
      </c>
      <c r="I1710" s="56" t="inlineStr">
        <is>
          <t>4731</t>
        </is>
      </c>
      <c r="J1710" s="56" t="n"/>
      <c r="K1710" s="56" t="n"/>
      <c r="L1710" s="56" t="n"/>
      <c r="M1710" s="56" t="n"/>
      <c r="N1710" s="60" t="inlineStr">
        <is>
          <t>TRANSIT STOCK</t>
        </is>
      </c>
      <c r="O1710" s="56" t="n">
        <v>1</v>
      </c>
      <c r="P1710" s="59" t="inlineStr">
        <is>
          <t>0-30</t>
        </is>
      </c>
      <c r="Q1710" s="56" t="inlineStr">
        <is>
          <t>TRANSIT STOCK</t>
        </is>
      </c>
    </row>
    <row r="1711">
      <c r="A1711" s="56" t="n">
        <v>2411624</v>
      </c>
      <c r="B1711" s="56" t="inlineStr">
        <is>
          <t>TUB-O-C-AUT-AD-FC-21.20X2.750X04-05</t>
        </is>
      </c>
      <c r="C1711" s="56" t="inlineStr">
        <is>
          <t>MG31C2430</t>
        </is>
      </c>
      <c r="D1711" s="57" t="n">
        <v>47</v>
      </c>
      <c r="E1711" s="57" t="n">
        <v>266</v>
      </c>
      <c r="F1711" s="57" t="n">
        <v>0.266</v>
      </c>
      <c r="G1711" s="56" t="inlineStr">
        <is>
          <t>KG</t>
        </is>
      </c>
      <c r="H1711" s="60" t="inlineStr">
        <is>
          <t>R001</t>
        </is>
      </c>
      <c r="I1711" s="56" t="inlineStr">
        <is>
          <t>4731</t>
        </is>
      </c>
      <c r="J1711" s="56" t="n"/>
      <c r="K1711" s="56" t="n"/>
      <c r="L1711" s="56" t="n"/>
      <c r="M1711" s="56" t="n"/>
      <c r="N1711" s="60" t="inlineStr">
        <is>
          <t>TRANSIT STOCK</t>
        </is>
      </c>
      <c r="O1711" s="56" t="n">
        <v>1</v>
      </c>
      <c r="P1711" s="59" t="inlineStr">
        <is>
          <t>0-30</t>
        </is>
      </c>
      <c r="Q1711" s="56" t="inlineStr">
        <is>
          <t>TRANSIT STOCK</t>
        </is>
      </c>
    </row>
    <row r="1712">
      <c r="A1712" s="56" t="n">
        <v>2439535</v>
      </c>
      <c r="B1712" s="56" t="inlineStr">
        <is>
          <t>TUB-O-C-AUT-AD-FC-20.00X4.500X04-05</t>
        </is>
      </c>
      <c r="C1712" s="56" t="inlineStr">
        <is>
          <t>4B06CK3070</t>
        </is>
      </c>
      <c r="D1712" s="57" t="n">
        <v>261</v>
      </c>
      <c r="E1712" s="57" t="n">
        <v>2022</v>
      </c>
      <c r="F1712" s="57" t="n">
        <v>2.022</v>
      </c>
      <c r="G1712" s="56" t="inlineStr">
        <is>
          <t>KG</t>
        </is>
      </c>
      <c r="H1712" s="60" t="inlineStr">
        <is>
          <t>R001</t>
        </is>
      </c>
      <c r="I1712" s="56" t="inlineStr">
        <is>
          <t>4731</t>
        </is>
      </c>
      <c r="J1712" s="56" t="n"/>
      <c r="K1712" s="56" t="n"/>
      <c r="L1712" s="56" t="n"/>
      <c r="M1712" s="56" t="n"/>
      <c r="N1712" s="60" t="inlineStr">
        <is>
          <t>TRANSIT STOCK</t>
        </is>
      </c>
      <c r="O1712" s="56" t="n">
        <v>1</v>
      </c>
      <c r="P1712" s="59" t="inlineStr">
        <is>
          <t>0-30</t>
        </is>
      </c>
      <c r="Q1712" s="56" t="inlineStr">
        <is>
          <t>TRANSIT STOCK</t>
        </is>
      </c>
    </row>
    <row r="1713">
      <c r="A1713" s="56" t="n">
        <v>2439535</v>
      </c>
      <c r="B1713" s="56" t="inlineStr">
        <is>
          <t>TUB-O-C-AUT-AD-FC-20.00X4.500X04-05</t>
        </is>
      </c>
      <c r="C1713" s="56" t="inlineStr">
        <is>
          <t>4B06CK3100</t>
        </is>
      </c>
      <c r="D1713" s="57" t="n">
        <v>120</v>
      </c>
      <c r="E1713" s="57" t="n">
        <v>929</v>
      </c>
      <c r="F1713" s="57" t="n">
        <v>0.929</v>
      </c>
      <c r="G1713" s="56" t="inlineStr">
        <is>
          <t>KG</t>
        </is>
      </c>
      <c r="H1713" s="60" t="inlineStr">
        <is>
          <t>R001</t>
        </is>
      </c>
      <c r="I1713" s="56" t="inlineStr">
        <is>
          <t>4731</t>
        </is>
      </c>
      <c r="J1713" s="56" t="n"/>
      <c r="K1713" s="56" t="n"/>
      <c r="L1713" s="56" t="n"/>
      <c r="M1713" s="56" t="n"/>
      <c r="N1713" s="60" t="inlineStr">
        <is>
          <t>TRANSIT STOCK</t>
        </is>
      </c>
      <c r="O1713" s="56" t="n">
        <v>1</v>
      </c>
      <c r="P1713" s="59" t="inlineStr">
        <is>
          <t>0-30</t>
        </is>
      </c>
      <c r="Q1713" s="56" t="inlineStr">
        <is>
          <t>TRANSIT STOCK</t>
        </is>
      </c>
    </row>
    <row r="1714">
      <c r="A1714" s="56" t="n">
        <v>3774983</v>
      </c>
      <c r="B1714" s="56" t="inlineStr">
        <is>
          <t>TUB-I-C-AUT-AD-FC-24.60X3.200X6.0010</t>
        </is>
      </c>
      <c r="C1714" s="56" t="inlineStr">
        <is>
          <t>4C22BK2050</t>
        </is>
      </c>
      <c r="D1714" s="57" t="n">
        <v>125</v>
      </c>
      <c r="E1714" s="57" t="n">
        <v>2000</v>
      </c>
      <c r="F1714" s="57" t="n">
        <v>2</v>
      </c>
      <c r="G1714" s="56" t="inlineStr">
        <is>
          <t>KG</t>
        </is>
      </c>
      <c r="H1714" s="60" t="inlineStr">
        <is>
          <t>R001</t>
        </is>
      </c>
      <c r="I1714" s="56" t="inlineStr">
        <is>
          <t>4731</t>
        </is>
      </c>
      <c r="J1714" s="56" t="n"/>
      <c r="K1714" s="56" t="n"/>
      <c r="L1714" s="56" t="n"/>
      <c r="M1714" s="56" t="n"/>
      <c r="N1714" s="60" t="inlineStr">
        <is>
          <t>TRANSIT STOCK</t>
        </is>
      </c>
      <c r="O1714" s="56" t="n">
        <v>1</v>
      </c>
      <c r="P1714" s="59" t="inlineStr">
        <is>
          <t>0-30</t>
        </is>
      </c>
      <c r="Q1714" s="56" t="inlineStr">
        <is>
          <t>TRANSIT STOCK</t>
        </is>
      </c>
    </row>
    <row r="1715">
      <c r="A1715" s="56" t="n">
        <v>3770405</v>
      </c>
      <c r="B1715" s="56" t="inlineStr">
        <is>
          <t>TUB-O-C-AUT-AD-FC-67.00X1.20X5.500-HDPE</t>
        </is>
      </c>
      <c r="C1715" s="56" t="inlineStr">
        <is>
          <t>4B25K38421</t>
        </is>
      </c>
      <c r="D1715" s="57" t="n">
        <v>107</v>
      </c>
      <c r="E1715" s="57" t="n">
        <v>1150</v>
      </c>
      <c r="F1715" s="57" t="n">
        <v>1.15</v>
      </c>
      <c r="G1715" s="56" t="inlineStr">
        <is>
          <t>KG</t>
        </is>
      </c>
      <c r="H1715" s="60" t="inlineStr">
        <is>
          <t>R001</t>
        </is>
      </c>
      <c r="I1715" s="56" t="inlineStr">
        <is>
          <t>4731</t>
        </is>
      </c>
      <c r="J1715" s="56" t="n"/>
      <c r="K1715" s="56" t="n"/>
      <c r="L1715" s="56" t="n"/>
      <c r="M1715" s="56" t="n"/>
      <c r="N1715" s="60" t="inlineStr">
        <is>
          <t>TRANSIT STOCK</t>
        </is>
      </c>
      <c r="O1715" s="56" t="n">
        <v>1</v>
      </c>
      <c r="P1715" s="59" t="inlineStr">
        <is>
          <t>0-30</t>
        </is>
      </c>
      <c r="Q1715" s="56" t="inlineStr">
        <is>
          <t>TRANSIT STOCK</t>
        </is>
      </c>
    </row>
    <row r="1716">
      <c r="A1716" s="56" t="n">
        <v>3770405</v>
      </c>
      <c r="B1716" s="56" t="inlineStr">
        <is>
          <t>TUB-O-C-AUT-AD-FC-67.00X1.20X5.500-HDPE</t>
        </is>
      </c>
      <c r="C1716" s="56" t="inlineStr">
        <is>
          <t>4C05K39151</t>
        </is>
      </c>
      <c r="D1716" s="57" t="n">
        <v>84</v>
      </c>
      <c r="E1716" s="57" t="n">
        <v>904</v>
      </c>
      <c r="F1716" s="57" t="n">
        <v>0.904</v>
      </c>
      <c r="G1716" s="56" t="inlineStr">
        <is>
          <t>KG</t>
        </is>
      </c>
      <c r="H1716" s="60" t="inlineStr">
        <is>
          <t>R001</t>
        </is>
      </c>
      <c r="I1716" s="56" t="inlineStr">
        <is>
          <t>4731</t>
        </is>
      </c>
      <c r="J1716" s="56" t="n"/>
      <c r="K1716" s="56" t="n"/>
      <c r="L1716" s="56" t="n"/>
      <c r="M1716" s="56" t="n"/>
      <c r="N1716" s="60" t="inlineStr">
        <is>
          <t>TRANSIT STOCK</t>
        </is>
      </c>
      <c r="O1716" s="56" t="n">
        <v>1</v>
      </c>
      <c r="P1716" s="59" t="inlineStr">
        <is>
          <t>0-30</t>
        </is>
      </c>
      <c r="Q1716" s="56" t="inlineStr">
        <is>
          <t>TRANSIT STOCK</t>
        </is>
      </c>
    </row>
    <row r="1717">
      <c r="A1717" s="56" t="n">
        <v>3770405</v>
      </c>
      <c r="B1717" s="56" t="inlineStr">
        <is>
          <t>TUB-O-C-AUT-AD-FC-67.00X1.20X5.500-HDPE</t>
        </is>
      </c>
      <c r="C1717" s="56" t="inlineStr">
        <is>
          <t>4C05K39180</t>
        </is>
      </c>
      <c r="D1717" s="57" t="n">
        <v>109</v>
      </c>
      <c r="E1717" s="57" t="n">
        <v>1171</v>
      </c>
      <c r="F1717" s="57" t="n">
        <v>1.171</v>
      </c>
      <c r="G1717" s="56" t="inlineStr">
        <is>
          <t>KG</t>
        </is>
      </c>
      <c r="H1717" s="60" t="inlineStr">
        <is>
          <t>R001</t>
        </is>
      </c>
      <c r="I1717" s="56" t="inlineStr">
        <is>
          <t>4731</t>
        </is>
      </c>
      <c r="J1717" s="56" t="n"/>
      <c r="K1717" s="56" t="n"/>
      <c r="L1717" s="56" t="n"/>
      <c r="M1717" s="56" t="n"/>
      <c r="N1717" s="60" t="inlineStr">
        <is>
          <t>TRANSIT STOCK</t>
        </is>
      </c>
      <c r="O1717" s="56" t="n">
        <v>1</v>
      </c>
      <c r="P1717" s="59" t="inlineStr">
        <is>
          <t>0-30</t>
        </is>
      </c>
      <c r="Q1717" s="56" t="inlineStr">
        <is>
          <t>TRANSIT STOCK</t>
        </is>
      </c>
    </row>
    <row r="1718">
      <c r="A1718" s="56" t="n">
        <v>3770405</v>
      </c>
      <c r="B1718" s="56" t="inlineStr">
        <is>
          <t>TUB-O-C-AUT-AD-FC-67.00X1.20X5.500-HDPE</t>
        </is>
      </c>
      <c r="C1718" s="56" t="inlineStr">
        <is>
          <t>4C06K39210</t>
        </is>
      </c>
      <c r="D1718" s="57" t="n">
        <v>79</v>
      </c>
      <c r="E1718" s="57" t="n">
        <v>850</v>
      </c>
      <c r="F1718" s="57" t="n">
        <v>0.85</v>
      </c>
      <c r="G1718" s="56" t="inlineStr">
        <is>
          <t>KG</t>
        </is>
      </c>
      <c r="H1718" s="60" t="inlineStr">
        <is>
          <t>R001</t>
        </is>
      </c>
      <c r="I1718" s="56" t="inlineStr">
        <is>
          <t>4731</t>
        </is>
      </c>
      <c r="J1718" s="56" t="n"/>
      <c r="K1718" s="56" t="n"/>
      <c r="L1718" s="56" t="n"/>
      <c r="M1718" s="56" t="n"/>
      <c r="N1718" s="60" t="inlineStr">
        <is>
          <t>TRANSIT STOCK</t>
        </is>
      </c>
      <c r="O1718" s="56" t="n">
        <v>1</v>
      </c>
      <c r="P1718" s="59" t="inlineStr">
        <is>
          <t>0-30</t>
        </is>
      </c>
      <c r="Q1718" s="56" t="inlineStr">
        <is>
          <t>TRANSIT STOCK</t>
        </is>
      </c>
    </row>
    <row r="1719">
      <c r="A1719" s="56" t="n">
        <v>3770405</v>
      </c>
      <c r="B1719" s="56" t="inlineStr">
        <is>
          <t>TUB-O-C-AUT-AD-FC-67.00X1.20X5.500-HDPE</t>
        </is>
      </c>
      <c r="C1719" s="56" t="inlineStr">
        <is>
          <t>4C06K39211</t>
        </is>
      </c>
      <c r="D1719" s="57" t="n">
        <v>79</v>
      </c>
      <c r="E1719" s="57" t="n">
        <v>850</v>
      </c>
      <c r="F1719" s="57" t="n">
        <v>0.85</v>
      </c>
      <c r="G1719" s="56" t="inlineStr">
        <is>
          <t>KG</t>
        </is>
      </c>
      <c r="H1719" s="60" t="inlineStr">
        <is>
          <t>R001</t>
        </is>
      </c>
      <c r="I1719" s="56" t="inlineStr">
        <is>
          <t>4731</t>
        </is>
      </c>
      <c r="J1719" s="56" t="n"/>
      <c r="K1719" s="56" t="n"/>
      <c r="L1719" s="56" t="n"/>
      <c r="M1719" s="56" t="n"/>
      <c r="N1719" s="60" t="inlineStr">
        <is>
          <t>TRANSIT STOCK</t>
        </is>
      </c>
      <c r="O1719" s="56" t="n">
        <v>1</v>
      </c>
      <c r="P1719" s="59" t="inlineStr">
        <is>
          <t>0-30</t>
        </is>
      </c>
      <c r="Q1719" s="56" t="inlineStr">
        <is>
          <t>TRANSIT STOCK</t>
        </is>
      </c>
    </row>
    <row r="1720">
      <c r="A1720" s="56" t="n">
        <v>3855139</v>
      </c>
      <c r="B1720" s="56" t="inlineStr">
        <is>
          <t>TUB-O-C-AUT-AD-FC-29.40X4.500X4.5000</t>
        </is>
      </c>
      <c r="C1720" s="56" t="inlineStr">
        <is>
          <t>4C24BK3010</t>
        </is>
      </c>
      <c r="D1720" s="57" t="n">
        <v>103</v>
      </c>
      <c r="E1720" s="57" t="n">
        <v>1393</v>
      </c>
      <c r="F1720" s="57" t="n">
        <v>1.393</v>
      </c>
      <c r="G1720" s="56" t="inlineStr">
        <is>
          <t>KG</t>
        </is>
      </c>
      <c r="H1720" s="60" t="inlineStr">
        <is>
          <t>R001</t>
        </is>
      </c>
      <c r="I1720" s="56" t="inlineStr">
        <is>
          <t>4731</t>
        </is>
      </c>
      <c r="J1720" s="56" t="n"/>
      <c r="K1720" s="56" t="n"/>
      <c r="L1720" s="56" t="n"/>
      <c r="M1720" s="56" t="n"/>
      <c r="N1720" s="60" t="inlineStr">
        <is>
          <t>TRANSIT STOCK</t>
        </is>
      </c>
      <c r="O1720" s="56" t="n">
        <v>1</v>
      </c>
      <c r="P1720" s="59" t="inlineStr">
        <is>
          <t>0-30</t>
        </is>
      </c>
      <c r="Q1720" s="56" t="inlineStr">
        <is>
          <t>TRANSIT STOCK</t>
        </is>
      </c>
    </row>
    <row r="1721">
      <c r="A1721" s="56" t="n">
        <v>3855139</v>
      </c>
      <c r="B1721" s="56" t="inlineStr">
        <is>
          <t>TUB-O-C-AUT-AD-FC-29.40X4.500X4.5000</t>
        </is>
      </c>
      <c r="C1721" s="56" t="inlineStr">
        <is>
          <t>4C24BK3020</t>
        </is>
      </c>
      <c r="D1721" s="57" t="n">
        <v>121</v>
      </c>
      <c r="E1721" s="57" t="n">
        <v>1642</v>
      </c>
      <c r="F1721" s="57" t="n">
        <v>1.642</v>
      </c>
      <c r="G1721" s="56" t="inlineStr">
        <is>
          <t>KG</t>
        </is>
      </c>
      <c r="H1721" s="60" t="inlineStr">
        <is>
          <t>R001</t>
        </is>
      </c>
      <c r="I1721" s="56" t="inlineStr">
        <is>
          <t>4731</t>
        </is>
      </c>
      <c r="J1721" s="56" t="n"/>
      <c r="K1721" s="56" t="n"/>
      <c r="L1721" s="56" t="n"/>
      <c r="M1721" s="56" t="n"/>
      <c r="N1721" s="60" t="inlineStr">
        <is>
          <t>TRANSIT STOCK</t>
        </is>
      </c>
      <c r="O1721" s="56" t="n">
        <v>1</v>
      </c>
      <c r="P1721" s="59" t="inlineStr">
        <is>
          <t>0-30</t>
        </is>
      </c>
      <c r="Q1721" s="56" t="inlineStr">
        <is>
          <t>TRANSIT STOCK</t>
        </is>
      </c>
    </row>
    <row r="1722">
      <c r="A1722" s="56" t="n">
        <v>3855139</v>
      </c>
      <c r="B1722" s="56" t="inlineStr">
        <is>
          <t>TUB-O-C-AUT-AD-FC-29.40X4.500X4.5000</t>
        </is>
      </c>
      <c r="C1722" s="56" t="inlineStr">
        <is>
          <t>4C24BK3030</t>
        </is>
      </c>
      <c r="D1722" s="57" t="n">
        <v>123</v>
      </c>
      <c r="E1722" s="57" t="n">
        <v>1667</v>
      </c>
      <c r="F1722" s="57" t="n">
        <v>1.667</v>
      </c>
      <c r="G1722" s="56" t="inlineStr">
        <is>
          <t>KG</t>
        </is>
      </c>
      <c r="H1722" s="60" t="inlineStr">
        <is>
          <t>R001</t>
        </is>
      </c>
      <c r="I1722" s="56" t="inlineStr">
        <is>
          <t>4731</t>
        </is>
      </c>
      <c r="J1722" s="56" t="n"/>
      <c r="K1722" s="56" t="n"/>
      <c r="L1722" s="56" t="n"/>
      <c r="M1722" s="56" t="n"/>
      <c r="N1722" s="60" t="inlineStr">
        <is>
          <t>TRANSIT STOCK</t>
        </is>
      </c>
      <c r="O1722" s="56" t="n">
        <v>1</v>
      </c>
      <c r="P1722" s="59" t="inlineStr">
        <is>
          <t>0-30</t>
        </is>
      </c>
      <c r="Q1722" s="56" t="inlineStr">
        <is>
          <t>TRANSIT STOCK</t>
        </is>
      </c>
    </row>
    <row r="1723">
      <c r="A1723" s="56" t="n">
        <v>3855139</v>
      </c>
      <c r="B1723" s="56" t="inlineStr">
        <is>
          <t>TUB-O-C-AUT-AD-FC-29.40X4.500X4.5000</t>
        </is>
      </c>
      <c r="C1723" s="56" t="inlineStr">
        <is>
          <t>4C24CK3030</t>
        </is>
      </c>
      <c r="D1723" s="57" t="n">
        <v>149</v>
      </c>
      <c r="E1723" s="57" t="n">
        <v>2015</v>
      </c>
      <c r="F1723" s="57" t="n">
        <v>2.015</v>
      </c>
      <c r="G1723" s="56" t="inlineStr">
        <is>
          <t>KG</t>
        </is>
      </c>
      <c r="H1723" s="60" t="inlineStr">
        <is>
          <t>R001</t>
        </is>
      </c>
      <c r="I1723" s="56" t="inlineStr">
        <is>
          <t>4731</t>
        </is>
      </c>
      <c r="J1723" s="56" t="n"/>
      <c r="K1723" s="56" t="n"/>
      <c r="L1723" s="56" t="n"/>
      <c r="M1723" s="56" t="n"/>
      <c r="N1723" s="60" t="inlineStr">
        <is>
          <t>TRANSIT STOCK</t>
        </is>
      </c>
      <c r="O1723" s="56" t="n">
        <v>1</v>
      </c>
      <c r="P1723" s="59" t="inlineStr">
        <is>
          <t>0-30</t>
        </is>
      </c>
      <c r="Q1723" s="56" t="inlineStr">
        <is>
          <t>TRANSIT STOCK</t>
        </is>
      </c>
    </row>
    <row r="1724">
      <c r="A1724" s="56" t="n">
        <v>3855139</v>
      </c>
      <c r="B1724" s="56" t="inlineStr">
        <is>
          <t>TUB-O-C-AUT-AD-FC-29.40X4.500X4.5000</t>
        </is>
      </c>
      <c r="C1724" s="56" t="inlineStr">
        <is>
          <t>4C24CK3040</t>
        </is>
      </c>
      <c r="D1724" s="57" t="n">
        <v>139</v>
      </c>
      <c r="E1724" s="57" t="n">
        <v>1878</v>
      </c>
      <c r="F1724" s="57" t="n">
        <v>1.878</v>
      </c>
      <c r="G1724" s="56" t="inlineStr">
        <is>
          <t>KG</t>
        </is>
      </c>
      <c r="H1724" s="60" t="inlineStr">
        <is>
          <t>R001</t>
        </is>
      </c>
      <c r="I1724" s="56" t="inlineStr">
        <is>
          <t>4731</t>
        </is>
      </c>
      <c r="J1724" s="56" t="n"/>
      <c r="K1724" s="56" t="n"/>
      <c r="L1724" s="56" t="n"/>
      <c r="M1724" s="56" t="n"/>
      <c r="N1724" s="60" t="inlineStr">
        <is>
          <t>TRANSIT STOCK</t>
        </is>
      </c>
      <c r="O1724" s="56" t="n">
        <v>1</v>
      </c>
      <c r="P1724" s="59" t="inlineStr">
        <is>
          <t>0-30</t>
        </is>
      </c>
      <c r="Q1724" s="56" t="inlineStr">
        <is>
          <t>TRANSIT STOCK</t>
        </is>
      </c>
    </row>
    <row r="1725">
      <c r="A1725" s="56" t="n">
        <v>3855139</v>
      </c>
      <c r="B1725" s="56" t="inlineStr">
        <is>
          <t>TUB-O-C-AUT-AD-FC-29.40X4.500X4.5000</t>
        </is>
      </c>
      <c r="C1725" s="56" t="inlineStr">
        <is>
          <t>4C24CK3050</t>
        </is>
      </c>
      <c r="D1725" s="57" t="n">
        <v>138</v>
      </c>
      <c r="E1725" s="57" t="n">
        <v>1866</v>
      </c>
      <c r="F1725" s="57" t="n">
        <v>1.866</v>
      </c>
      <c r="G1725" s="56" t="inlineStr">
        <is>
          <t>KG</t>
        </is>
      </c>
      <c r="H1725" s="60" t="inlineStr">
        <is>
          <t>R001</t>
        </is>
      </c>
      <c r="I1725" s="56" t="inlineStr">
        <is>
          <t>4731</t>
        </is>
      </c>
      <c r="J1725" s="56" t="n"/>
      <c r="K1725" s="56" t="n"/>
      <c r="L1725" s="56" t="n"/>
      <c r="M1725" s="56" t="n"/>
      <c r="N1725" s="60" t="inlineStr">
        <is>
          <t>TRANSIT STOCK</t>
        </is>
      </c>
      <c r="O1725" s="56" t="n">
        <v>1</v>
      </c>
      <c r="P1725" s="59" t="inlineStr">
        <is>
          <t>0-30</t>
        </is>
      </c>
      <c r="Q1725" s="56" t="inlineStr">
        <is>
          <t>TRANSIT STOCK</t>
        </is>
      </c>
    </row>
    <row r="1726">
      <c r="A1726" s="56" t="n">
        <v>3855139</v>
      </c>
      <c r="B1726" s="56" t="inlineStr">
        <is>
          <t>TUB-O-C-AUT-AD-FC-29.40X4.500X4.5000</t>
        </is>
      </c>
      <c r="C1726" s="56" t="inlineStr">
        <is>
          <t>4C24CK3060</t>
        </is>
      </c>
      <c r="D1726" s="57" t="n">
        <v>137</v>
      </c>
      <c r="E1726" s="57" t="n">
        <v>1853</v>
      </c>
      <c r="F1726" s="57" t="n">
        <v>1.853</v>
      </c>
      <c r="G1726" s="56" t="inlineStr">
        <is>
          <t>KG</t>
        </is>
      </c>
      <c r="H1726" s="60" t="inlineStr">
        <is>
          <t>R001</t>
        </is>
      </c>
      <c r="I1726" s="56" t="inlineStr">
        <is>
          <t>4731</t>
        </is>
      </c>
      <c r="J1726" s="56" t="n"/>
      <c r="K1726" s="56" t="n"/>
      <c r="L1726" s="56" t="n"/>
      <c r="M1726" s="56" t="n"/>
      <c r="N1726" s="60" t="inlineStr">
        <is>
          <t>TRANSIT STOCK</t>
        </is>
      </c>
      <c r="O1726" s="56" t="n">
        <v>1</v>
      </c>
      <c r="P1726" s="59" t="inlineStr">
        <is>
          <t>0-30</t>
        </is>
      </c>
      <c r="Q1726" s="56" t="inlineStr">
        <is>
          <t>TRANSIT STOCK</t>
        </is>
      </c>
    </row>
    <row r="1727">
      <c r="A1727" s="56" t="n">
        <v>3855139</v>
      </c>
      <c r="B1727" s="56" t="inlineStr">
        <is>
          <t>TUB-O-C-AUT-AD-FC-29.40X4.500X4.5000</t>
        </is>
      </c>
      <c r="C1727" s="56" t="inlineStr">
        <is>
          <t>4C24CK3070</t>
        </is>
      </c>
      <c r="D1727" s="57" t="n">
        <v>134</v>
      </c>
      <c r="E1727" s="57" t="n">
        <v>1816</v>
      </c>
      <c r="F1727" s="57" t="n">
        <v>1.816</v>
      </c>
      <c r="G1727" s="56" t="inlineStr">
        <is>
          <t>KG</t>
        </is>
      </c>
      <c r="H1727" s="60" t="inlineStr">
        <is>
          <t>R001</t>
        </is>
      </c>
      <c r="I1727" s="56" t="inlineStr">
        <is>
          <t>4731</t>
        </is>
      </c>
      <c r="J1727" s="56" t="n"/>
      <c r="K1727" s="56" t="n"/>
      <c r="L1727" s="56" t="n"/>
      <c r="M1727" s="56" t="n"/>
      <c r="N1727" s="60" t="inlineStr">
        <is>
          <t>TRANSIT STOCK</t>
        </is>
      </c>
      <c r="O1727" s="56" t="n">
        <v>1</v>
      </c>
      <c r="P1727" s="59" t="inlineStr">
        <is>
          <t>0-30</t>
        </is>
      </c>
      <c r="Q1727" s="56" t="inlineStr">
        <is>
          <t>TRANSIT STOCK</t>
        </is>
      </c>
    </row>
    <row r="1728">
      <c r="A1728" s="56" t="n">
        <v>3855139</v>
      </c>
      <c r="B1728" s="56" t="inlineStr">
        <is>
          <t>TUB-O-C-AUT-AD-FC-29.40X4.500X4.5000</t>
        </is>
      </c>
      <c r="C1728" s="56" t="inlineStr">
        <is>
          <t>4C24CK3080</t>
        </is>
      </c>
      <c r="D1728" s="57" t="n">
        <v>116</v>
      </c>
      <c r="E1728" s="57" t="n">
        <v>1567</v>
      </c>
      <c r="F1728" s="57" t="n">
        <v>1.567</v>
      </c>
      <c r="G1728" s="56" t="inlineStr">
        <is>
          <t>KG</t>
        </is>
      </c>
      <c r="H1728" s="60" t="inlineStr">
        <is>
          <t>R001</t>
        </is>
      </c>
      <c r="I1728" s="56" t="inlineStr">
        <is>
          <t>4731</t>
        </is>
      </c>
      <c r="J1728" s="56" t="n"/>
      <c r="K1728" s="56" t="n"/>
      <c r="L1728" s="56" t="n"/>
      <c r="M1728" s="56" t="n"/>
      <c r="N1728" s="60" t="inlineStr">
        <is>
          <t>TRANSIT STOCK</t>
        </is>
      </c>
      <c r="O1728" s="56" t="n">
        <v>1</v>
      </c>
      <c r="P1728" s="59" t="inlineStr">
        <is>
          <t>0-30</t>
        </is>
      </c>
      <c r="Q1728" s="56" t="inlineStr">
        <is>
          <t>TRANSIT STOCK</t>
        </is>
      </c>
    </row>
    <row r="1729">
      <c r="A1729" s="56" t="n">
        <v>3855139</v>
      </c>
      <c r="B1729" s="56" t="inlineStr">
        <is>
          <t>TUB-O-C-AUT-AD-FC-29.40X4.500X4.5000</t>
        </is>
      </c>
      <c r="C1729" s="56" t="inlineStr">
        <is>
          <t>MG27C2403</t>
        </is>
      </c>
      <c r="D1729" s="57" t="n">
        <v>126</v>
      </c>
      <c r="E1729" s="57" t="n">
        <v>1707</v>
      </c>
      <c r="F1729" s="57" t="n">
        <v>1.707</v>
      </c>
      <c r="G1729" s="56" t="inlineStr">
        <is>
          <t>KG</t>
        </is>
      </c>
      <c r="H1729" s="60" t="inlineStr">
        <is>
          <t>R001</t>
        </is>
      </c>
      <c r="I1729" s="56" t="inlineStr">
        <is>
          <t>4731</t>
        </is>
      </c>
      <c r="J1729" s="56" t="n"/>
      <c r="K1729" s="56" t="n"/>
      <c r="L1729" s="56" t="n"/>
      <c r="M1729" s="56" t="n"/>
      <c r="N1729" s="60" t="inlineStr">
        <is>
          <t>TRANSIT STOCK</t>
        </is>
      </c>
      <c r="O1729" s="56" t="n">
        <v>1</v>
      </c>
      <c r="P1729" s="59" t="inlineStr">
        <is>
          <t>0-30</t>
        </is>
      </c>
      <c r="Q1729" s="56" t="inlineStr">
        <is>
          <t>TRANSIT STOCK</t>
        </is>
      </c>
    </row>
    <row r="1730">
      <c r="A1730" s="56" t="n">
        <v>3545373</v>
      </c>
      <c r="B1730" s="56" t="inlineStr">
        <is>
          <t>TUB-O-N-AUT-AW-FC-50.80X1.420X5.9860</t>
        </is>
      </c>
      <c r="C1730" s="56" t="inlineStr">
        <is>
          <t>4C27BK1010</t>
        </is>
      </c>
      <c r="D1730" s="57" t="n">
        <v>97</v>
      </c>
      <c r="E1730" s="57" t="n">
        <v>1004.5</v>
      </c>
      <c r="F1730" s="57" t="n">
        <v>1.0045</v>
      </c>
      <c r="G1730" s="56" t="inlineStr">
        <is>
          <t>KG</t>
        </is>
      </c>
      <c r="H1730" s="60" t="inlineStr">
        <is>
          <t>R001</t>
        </is>
      </c>
      <c r="I1730" s="56" t="inlineStr">
        <is>
          <t>4731</t>
        </is>
      </c>
      <c r="J1730" s="56" t="n"/>
      <c r="K1730" s="56" t="n"/>
      <c r="L1730" s="56" t="n"/>
      <c r="M1730" s="56" t="n"/>
      <c r="N1730" s="60" t="inlineStr">
        <is>
          <t>TRANSIT STOCK</t>
        </is>
      </c>
      <c r="O1730" s="56" t="n">
        <v>1</v>
      </c>
      <c r="P1730" s="59" t="inlineStr">
        <is>
          <t>0-30</t>
        </is>
      </c>
      <c r="Q1730" s="56" t="inlineStr">
        <is>
          <t>TRANSIT STOCK</t>
        </is>
      </c>
    </row>
    <row r="1731">
      <c r="A1731" s="56" t="n">
        <v>3545373</v>
      </c>
      <c r="B1731" s="56" t="inlineStr">
        <is>
          <t>TUB-O-N-AUT-AW-FC-50.80X1.420X5.9860</t>
        </is>
      </c>
      <c r="C1731" s="56" t="inlineStr">
        <is>
          <t>4C23BK1120</t>
        </is>
      </c>
      <c r="D1731" s="57" t="n">
        <v>99</v>
      </c>
      <c r="E1731" s="57" t="n">
        <v>1025.5</v>
      </c>
      <c r="F1731" s="57" t="n">
        <v>1.0255</v>
      </c>
      <c r="G1731" s="56" t="inlineStr">
        <is>
          <t>KG</t>
        </is>
      </c>
      <c r="H1731" s="60" t="inlineStr">
        <is>
          <t>R001</t>
        </is>
      </c>
      <c r="I1731" s="56" t="inlineStr">
        <is>
          <t>4731</t>
        </is>
      </c>
      <c r="J1731" s="56" t="n"/>
      <c r="K1731" s="56" t="n"/>
      <c r="L1731" s="56" t="n"/>
      <c r="M1731" s="56" t="n"/>
      <c r="N1731" s="60" t="inlineStr">
        <is>
          <t>TRANSIT STOCK</t>
        </is>
      </c>
      <c r="O1731" s="56" t="n">
        <v>1</v>
      </c>
      <c r="P1731" s="59" t="inlineStr">
        <is>
          <t>0-30</t>
        </is>
      </c>
      <c r="Q1731" s="56" t="inlineStr">
        <is>
          <t>TRANSIT STOCK</t>
        </is>
      </c>
    </row>
    <row r="1732">
      <c r="A1732" s="56" t="n">
        <v>3545373</v>
      </c>
      <c r="B1732" s="56" t="inlineStr">
        <is>
          <t>TUB-O-N-AUT-AW-FC-50.80X1.420X5.9860</t>
        </is>
      </c>
      <c r="C1732" s="56" t="inlineStr">
        <is>
          <t>4C23BK1110</t>
        </is>
      </c>
      <c r="D1732" s="57" t="n">
        <v>108</v>
      </c>
      <c r="E1732" s="57" t="n">
        <v>1117.5</v>
      </c>
      <c r="F1732" s="57" t="n">
        <v>1.1175</v>
      </c>
      <c r="G1732" s="56" t="inlineStr">
        <is>
          <t>KG</t>
        </is>
      </c>
      <c r="H1732" s="60" t="inlineStr">
        <is>
          <t>R001</t>
        </is>
      </c>
      <c r="I1732" s="56" t="inlineStr">
        <is>
          <t>4731</t>
        </is>
      </c>
      <c r="J1732" s="56" t="n"/>
      <c r="K1732" s="56" t="n"/>
      <c r="L1732" s="56" t="n"/>
      <c r="M1732" s="56" t="n"/>
      <c r="N1732" s="60" t="inlineStr">
        <is>
          <t>TRANSIT STOCK</t>
        </is>
      </c>
      <c r="O1732" s="56" t="n">
        <v>1</v>
      </c>
      <c r="P1732" s="59" t="inlineStr">
        <is>
          <t>0-30</t>
        </is>
      </c>
      <c r="Q1732" s="56" t="inlineStr">
        <is>
          <t>TRANSIT STOCK</t>
        </is>
      </c>
    </row>
    <row r="1733">
      <c r="A1733" s="56" t="n">
        <v>3545373</v>
      </c>
      <c r="B1733" s="56" t="inlineStr">
        <is>
          <t>TUB-O-N-AUT-AW-FC-50.80X1.420X5.9860</t>
        </is>
      </c>
      <c r="C1733" s="56" t="inlineStr">
        <is>
          <t>4C23BK1100</t>
        </is>
      </c>
      <c r="D1733" s="57" t="n">
        <v>98</v>
      </c>
      <c r="E1733" s="57" t="n">
        <v>1014.5</v>
      </c>
      <c r="F1733" s="57" t="n">
        <v>1.0145</v>
      </c>
      <c r="G1733" s="56" t="inlineStr">
        <is>
          <t>KG</t>
        </is>
      </c>
      <c r="H1733" s="60" t="inlineStr">
        <is>
          <t>R001</t>
        </is>
      </c>
      <c r="I1733" s="56" t="inlineStr">
        <is>
          <t>4731</t>
        </is>
      </c>
      <c r="J1733" s="56" t="n"/>
      <c r="K1733" s="56" t="n"/>
      <c r="L1733" s="56" t="n"/>
      <c r="M1733" s="56" t="n"/>
      <c r="N1733" s="60" t="inlineStr">
        <is>
          <t>TRANSIT STOCK</t>
        </is>
      </c>
      <c r="O1733" s="56" t="n">
        <v>1</v>
      </c>
      <c r="P1733" s="59" t="inlineStr">
        <is>
          <t>0-30</t>
        </is>
      </c>
      <c r="Q1733" s="56" t="inlineStr">
        <is>
          <t>TRANSIT STOCK</t>
        </is>
      </c>
    </row>
    <row r="1734">
      <c r="A1734" s="56" t="n">
        <v>3545373</v>
      </c>
      <c r="B1734" s="56" t="inlineStr">
        <is>
          <t>TUB-O-N-AUT-AW-FC-50.80X1.420X5.9860</t>
        </is>
      </c>
      <c r="C1734" s="56" t="inlineStr">
        <is>
          <t>4C23BK1090</t>
        </is>
      </c>
      <c r="D1734" s="57" t="n">
        <v>99</v>
      </c>
      <c r="E1734" s="57" t="n">
        <v>1029.5</v>
      </c>
      <c r="F1734" s="57" t="n">
        <v>1.0295</v>
      </c>
      <c r="G1734" s="56" t="inlineStr">
        <is>
          <t>KG</t>
        </is>
      </c>
      <c r="H1734" s="60" t="inlineStr">
        <is>
          <t>R001</t>
        </is>
      </c>
      <c r="I1734" s="56" t="inlineStr">
        <is>
          <t>4731</t>
        </is>
      </c>
      <c r="J1734" s="56" t="n"/>
      <c r="K1734" s="56" t="n"/>
      <c r="L1734" s="56" t="n"/>
      <c r="M1734" s="56" t="n"/>
      <c r="N1734" s="60" t="inlineStr">
        <is>
          <t>TRANSIT STOCK</t>
        </is>
      </c>
      <c r="O1734" s="56" t="n">
        <v>1</v>
      </c>
      <c r="P1734" s="59" t="inlineStr">
        <is>
          <t>0-30</t>
        </is>
      </c>
      <c r="Q1734" s="56" t="inlineStr">
        <is>
          <t>TRANSIT STOCK</t>
        </is>
      </c>
    </row>
    <row r="1735">
      <c r="A1735" s="56" t="n">
        <v>3545373</v>
      </c>
      <c r="B1735" s="56" t="inlineStr">
        <is>
          <t>TUB-O-N-AUT-AW-FC-50.80X1.420X5.9860</t>
        </is>
      </c>
      <c r="C1735" s="56" t="inlineStr">
        <is>
          <t>4C23BK1080</t>
        </is>
      </c>
      <c r="D1735" s="57" t="n">
        <v>108</v>
      </c>
      <c r="E1735" s="57" t="n">
        <v>1117.5</v>
      </c>
      <c r="F1735" s="57" t="n">
        <v>1.1175</v>
      </c>
      <c r="G1735" s="56" t="inlineStr">
        <is>
          <t>KG</t>
        </is>
      </c>
      <c r="H1735" s="60" t="inlineStr">
        <is>
          <t>R001</t>
        </is>
      </c>
      <c r="I1735" s="56" t="inlineStr">
        <is>
          <t>4731</t>
        </is>
      </c>
      <c r="J1735" s="56" t="n"/>
      <c r="K1735" s="56" t="n"/>
      <c r="L1735" s="56" t="n"/>
      <c r="M1735" s="56" t="n"/>
      <c r="N1735" s="60" t="inlineStr">
        <is>
          <t>TRANSIT STOCK</t>
        </is>
      </c>
      <c r="O1735" s="56" t="n">
        <v>1</v>
      </c>
      <c r="P1735" s="59" t="inlineStr">
        <is>
          <t>0-30</t>
        </is>
      </c>
      <c r="Q1735" s="56" t="inlineStr">
        <is>
          <t>TRANSIT STOCK</t>
        </is>
      </c>
    </row>
    <row r="1736">
      <c r="A1736" s="56" t="n">
        <v>3545373</v>
      </c>
      <c r="B1736" s="56" t="inlineStr">
        <is>
          <t>TUB-O-N-AUT-AW-FC-50.80X1.420X5.9860</t>
        </is>
      </c>
      <c r="C1736" s="56" t="inlineStr">
        <is>
          <t>4C23BK1050</t>
        </is>
      </c>
      <c r="D1736" s="57" t="n">
        <v>103</v>
      </c>
      <c r="E1736" s="57" t="n">
        <v>1066.5</v>
      </c>
      <c r="F1736" s="57" t="n">
        <v>1.0665</v>
      </c>
      <c r="G1736" s="56" t="inlineStr">
        <is>
          <t>KG</t>
        </is>
      </c>
      <c r="H1736" s="60" t="inlineStr">
        <is>
          <t>R001</t>
        </is>
      </c>
      <c r="I1736" s="56" t="inlineStr">
        <is>
          <t>4731</t>
        </is>
      </c>
      <c r="J1736" s="56" t="n"/>
      <c r="K1736" s="56" t="n"/>
      <c r="L1736" s="56" t="n"/>
      <c r="M1736" s="56" t="n"/>
      <c r="N1736" s="60" t="inlineStr">
        <is>
          <t>TRANSIT STOCK</t>
        </is>
      </c>
      <c r="O1736" s="56" t="n">
        <v>1</v>
      </c>
      <c r="P1736" s="59" t="inlineStr">
        <is>
          <t>0-30</t>
        </is>
      </c>
      <c r="Q1736" s="56" t="inlineStr">
        <is>
          <t>TRANSIT STOCK</t>
        </is>
      </c>
    </row>
    <row r="1737">
      <c r="A1737" s="56" t="n">
        <v>3545373</v>
      </c>
      <c r="B1737" s="56" t="inlineStr">
        <is>
          <t>TUB-O-N-AUT-AW-FC-50.80X1.420X5.9860</t>
        </is>
      </c>
      <c r="C1737" s="56" t="inlineStr">
        <is>
          <t>4C23BK1040</t>
        </is>
      </c>
      <c r="D1737" s="57" t="n">
        <v>109</v>
      </c>
      <c r="E1737" s="57" t="n">
        <v>1132.5</v>
      </c>
      <c r="F1737" s="57" t="n">
        <v>1.1325</v>
      </c>
      <c r="G1737" s="56" t="inlineStr">
        <is>
          <t>KG</t>
        </is>
      </c>
      <c r="H1737" s="60" t="inlineStr">
        <is>
          <t>R001</t>
        </is>
      </c>
      <c r="I1737" s="56" t="inlineStr">
        <is>
          <t>4731</t>
        </is>
      </c>
      <c r="J1737" s="56" t="n"/>
      <c r="K1737" s="56" t="n"/>
      <c r="L1737" s="56" t="n"/>
      <c r="M1737" s="56" t="n"/>
      <c r="N1737" s="60" t="inlineStr">
        <is>
          <t>TRANSIT STOCK</t>
        </is>
      </c>
      <c r="O1737" s="56" t="n">
        <v>1</v>
      </c>
      <c r="P1737" s="59" t="inlineStr">
        <is>
          <t>0-30</t>
        </is>
      </c>
      <c r="Q1737" s="56" t="inlineStr">
        <is>
          <t>TRANSIT STOCK</t>
        </is>
      </c>
    </row>
    <row r="1738">
      <c r="A1738" s="56" t="n">
        <v>3545373</v>
      </c>
      <c r="B1738" s="56" t="inlineStr">
        <is>
          <t>TUB-O-N-AUT-AW-FC-50.80X1.420X5.9860</t>
        </is>
      </c>
      <c r="C1738" s="56" t="inlineStr">
        <is>
          <t>4C23BK1020</t>
        </is>
      </c>
      <c r="D1738" s="57" t="n">
        <v>93</v>
      </c>
      <c r="E1738" s="57" t="n">
        <v>963.5</v>
      </c>
      <c r="F1738" s="57" t="n">
        <v>0.9635</v>
      </c>
      <c r="G1738" s="56" t="inlineStr">
        <is>
          <t>KG</t>
        </is>
      </c>
      <c r="H1738" s="60" t="inlineStr">
        <is>
          <t>R001</t>
        </is>
      </c>
      <c r="I1738" s="56" t="inlineStr">
        <is>
          <t>4731</t>
        </is>
      </c>
      <c r="J1738" s="56" t="n"/>
      <c r="K1738" s="56" t="n"/>
      <c r="L1738" s="56" t="n"/>
      <c r="M1738" s="56" t="n"/>
      <c r="N1738" s="60" t="inlineStr">
        <is>
          <t>TRANSIT STOCK</t>
        </is>
      </c>
      <c r="O1738" s="56" t="n">
        <v>1</v>
      </c>
      <c r="P1738" s="59" t="inlineStr">
        <is>
          <t>0-30</t>
        </is>
      </c>
      <c r="Q1738" s="56" t="inlineStr">
        <is>
          <t>TRANSIT STOCK</t>
        </is>
      </c>
    </row>
    <row r="1739">
      <c r="A1739" s="56" t="n">
        <v>3702207</v>
      </c>
      <c r="B1739" s="56" t="inlineStr">
        <is>
          <t>TUB-R-AW-AUT-60.00X30.00X1.600X6.0000</t>
        </is>
      </c>
      <c r="C1739" s="56" t="inlineStr">
        <is>
          <t>5104CK4040</t>
        </is>
      </c>
      <c r="D1739" s="57" t="n">
        <v>244</v>
      </c>
      <c r="E1739" s="57" t="n">
        <v>2936.5</v>
      </c>
      <c r="F1739" s="57" t="n">
        <v>2.9365</v>
      </c>
      <c r="G1739" s="56" t="inlineStr">
        <is>
          <t>KG</t>
        </is>
      </c>
      <c r="H1739" s="60" t="inlineStr">
        <is>
          <t>R001</t>
        </is>
      </c>
      <c r="I1739" s="56" t="inlineStr">
        <is>
          <t>4731</t>
        </is>
      </c>
      <c r="J1739" s="56" t="n"/>
      <c r="K1739" s="56" t="n"/>
      <c r="L1739" s="56" t="n"/>
      <c r="M1739" s="56" t="n"/>
      <c r="N1739" s="60" t="inlineStr">
        <is>
          <t>TRANSIT STOCK</t>
        </is>
      </c>
      <c r="O1739" s="56" t="n">
        <v>1</v>
      </c>
      <c r="P1739" s="59" t="inlineStr">
        <is>
          <t>0-30</t>
        </is>
      </c>
      <c r="Q1739" s="56" t="inlineStr">
        <is>
          <t>TRANSIT STOCK</t>
        </is>
      </c>
    </row>
    <row r="1740">
      <c r="A1740" s="56" t="n">
        <v>3702207</v>
      </c>
      <c r="B1740" s="56" t="inlineStr">
        <is>
          <t>TUB-R-AW-AUT-60.00X30.00X1.600X6.0000</t>
        </is>
      </c>
      <c r="C1740" s="56" t="inlineStr">
        <is>
          <t>5104AK4100</t>
        </is>
      </c>
      <c r="D1740" s="57" t="n">
        <v>146</v>
      </c>
      <c r="E1740" s="57" t="n">
        <v>1758.5</v>
      </c>
      <c r="F1740" s="57" t="n">
        <v>1.7585</v>
      </c>
      <c r="G1740" s="56" t="inlineStr">
        <is>
          <t>KG</t>
        </is>
      </c>
      <c r="H1740" s="60" t="inlineStr">
        <is>
          <t>R001</t>
        </is>
      </c>
      <c r="I1740" s="56" t="inlineStr">
        <is>
          <t>4731</t>
        </is>
      </c>
      <c r="J1740" s="56" t="n"/>
      <c r="K1740" s="56" t="n"/>
      <c r="L1740" s="56" t="n"/>
      <c r="M1740" s="56" t="n"/>
      <c r="N1740" s="60" t="inlineStr">
        <is>
          <t>TRANSIT STOCK</t>
        </is>
      </c>
      <c r="O1740" s="56" t="n">
        <v>1</v>
      </c>
      <c r="P1740" s="59" t="inlineStr">
        <is>
          <t>0-30</t>
        </is>
      </c>
      <c r="Q1740" s="56" t="inlineStr">
        <is>
          <t>TRANSIT STOCK</t>
        </is>
      </c>
    </row>
    <row r="1741">
      <c r="A1741" s="56" t="n">
        <v>3702207</v>
      </c>
      <c r="B1741" s="56" t="inlineStr">
        <is>
          <t>TUB-R-AW-AUT-60.00X30.00X1.600X6.0000</t>
        </is>
      </c>
      <c r="C1741" s="56" t="inlineStr">
        <is>
          <t>5104AK4080</t>
        </is>
      </c>
      <c r="D1741" s="57" t="n">
        <v>155</v>
      </c>
      <c r="E1741" s="57" t="n">
        <v>1863.5</v>
      </c>
      <c r="F1741" s="57" t="n">
        <v>1.8635</v>
      </c>
      <c r="G1741" s="56" t="inlineStr">
        <is>
          <t>KG</t>
        </is>
      </c>
      <c r="H1741" s="60" t="inlineStr">
        <is>
          <t>R001</t>
        </is>
      </c>
      <c r="I1741" s="56" t="inlineStr">
        <is>
          <t>4731</t>
        </is>
      </c>
      <c r="J1741" s="56" t="n"/>
      <c r="K1741" s="56" t="n"/>
      <c r="L1741" s="56" t="n"/>
      <c r="M1741" s="56" t="n"/>
      <c r="N1741" s="60" t="inlineStr">
        <is>
          <t>TRANSIT STOCK</t>
        </is>
      </c>
      <c r="O1741" s="56" t="n">
        <v>1</v>
      </c>
      <c r="P1741" s="59" t="inlineStr">
        <is>
          <t>0-30</t>
        </is>
      </c>
      <c r="Q1741" s="56" t="inlineStr">
        <is>
          <t>TRANSIT STOCK</t>
        </is>
      </c>
    </row>
    <row r="1742">
      <c r="A1742" s="56" t="n">
        <v>2410997</v>
      </c>
      <c r="B1742" s="56" t="inlineStr">
        <is>
          <t>TUB-O-C-AUT-AD-FC-25.40X3.200X04-05</t>
        </is>
      </c>
      <c r="C1742" s="56" t="inlineStr">
        <is>
          <t>4B2764930B</t>
        </is>
      </c>
      <c r="D1742" s="57" t="n">
        <v>92</v>
      </c>
      <c r="E1742" s="57" t="n">
        <v>725</v>
      </c>
      <c r="F1742" s="57" t="n">
        <v>0.725</v>
      </c>
      <c r="G1742" s="56" t="inlineStr">
        <is>
          <t>KG</t>
        </is>
      </c>
      <c r="H1742" s="60" t="inlineStr">
        <is>
          <t>R001</t>
        </is>
      </c>
      <c r="I1742" s="56" t="inlineStr">
        <is>
          <t>4731</t>
        </is>
      </c>
      <c r="J1742" s="56" t="n"/>
      <c r="K1742" s="56" t="n"/>
      <c r="L1742" s="56" t="n"/>
      <c r="M1742" s="56" t="n"/>
      <c r="N1742" s="60" t="inlineStr">
        <is>
          <t>TRANSIT STOCK</t>
        </is>
      </c>
      <c r="O1742" s="56" t="n">
        <v>1</v>
      </c>
      <c r="P1742" s="59" t="inlineStr">
        <is>
          <t>0-30</t>
        </is>
      </c>
      <c r="Q1742" s="56" t="inlineStr">
        <is>
          <t>TRANSIT STOCK</t>
        </is>
      </c>
    </row>
    <row r="1743">
      <c r="A1743" s="56" t="n">
        <v>2410997</v>
      </c>
      <c r="B1743" s="56" t="inlineStr">
        <is>
          <t>TUB-O-C-AUT-AD-FC-25.40X3.200X04-05</t>
        </is>
      </c>
      <c r="C1743" s="56" t="inlineStr">
        <is>
          <t>4B2764930A</t>
        </is>
      </c>
      <c r="D1743" s="57" t="n">
        <v>100</v>
      </c>
      <c r="E1743" s="57" t="n">
        <v>788</v>
      </c>
      <c r="F1743" s="57" t="n">
        <v>0.788</v>
      </c>
      <c r="G1743" s="56" t="inlineStr">
        <is>
          <t>KG</t>
        </is>
      </c>
      <c r="H1743" s="60" t="inlineStr">
        <is>
          <t>R001</t>
        </is>
      </c>
      <c r="I1743" s="56" t="inlineStr">
        <is>
          <t>4731</t>
        </is>
      </c>
      <c r="J1743" s="56" t="n"/>
      <c r="K1743" s="56" t="n"/>
      <c r="L1743" s="56" t="n"/>
      <c r="M1743" s="56" t="n"/>
      <c r="N1743" s="60" t="inlineStr">
        <is>
          <t>TRANSIT STOCK</t>
        </is>
      </c>
      <c r="O1743" s="56" t="n">
        <v>1</v>
      </c>
      <c r="P1743" s="59" t="inlineStr">
        <is>
          <t>0-30</t>
        </is>
      </c>
      <c r="Q1743" s="56" t="inlineStr">
        <is>
          <t>TRANSIT STOCK</t>
        </is>
      </c>
    </row>
    <row r="1744">
      <c r="A1744" s="56" t="n">
        <v>2439535</v>
      </c>
      <c r="B1744" s="56" t="inlineStr">
        <is>
          <t>TUB-O-C-AUT-AD-FC-20.00X4.500X04-05</t>
        </is>
      </c>
      <c r="C1744" s="56" t="inlineStr">
        <is>
          <t>4B26K38526</t>
        </is>
      </c>
      <c r="D1744" s="57" t="n">
        <v>22</v>
      </c>
      <c r="E1744" s="57" t="n">
        <v>174</v>
      </c>
      <c r="F1744" s="57" t="n">
        <v>0.174</v>
      </c>
      <c r="G1744" s="56" t="inlineStr">
        <is>
          <t>KG</t>
        </is>
      </c>
      <c r="H1744" s="60" t="inlineStr">
        <is>
          <t>R001</t>
        </is>
      </c>
      <c r="I1744" s="56" t="inlineStr">
        <is>
          <t>4731</t>
        </is>
      </c>
      <c r="J1744" s="56" t="n"/>
      <c r="K1744" s="56" t="n"/>
      <c r="L1744" s="56" t="n"/>
      <c r="M1744" s="56" t="n"/>
      <c r="N1744" s="60" t="inlineStr">
        <is>
          <t>TRANSIT STOCK</t>
        </is>
      </c>
      <c r="O1744" s="56" t="n">
        <v>1</v>
      </c>
      <c r="P1744" s="59" t="inlineStr">
        <is>
          <t>0-30</t>
        </is>
      </c>
      <c r="Q1744" s="56" t="inlineStr">
        <is>
          <t>TRANSIT STOCK</t>
        </is>
      </c>
    </row>
    <row r="1745">
      <c r="A1745" s="56" t="n">
        <v>2439535</v>
      </c>
      <c r="B1745" s="56" t="inlineStr">
        <is>
          <t>TUB-O-C-AUT-AD-FC-20.00X4.500X04-05</t>
        </is>
      </c>
      <c r="C1745" s="56" t="inlineStr">
        <is>
          <t>4B26K38525</t>
        </is>
      </c>
      <c r="D1745" s="57" t="n">
        <v>115</v>
      </c>
      <c r="E1745" s="57" t="n">
        <v>887</v>
      </c>
      <c r="F1745" s="57" t="n">
        <v>0.887</v>
      </c>
      <c r="G1745" s="56" t="inlineStr">
        <is>
          <t>KG</t>
        </is>
      </c>
      <c r="H1745" s="60" t="inlineStr">
        <is>
          <t>R001</t>
        </is>
      </c>
      <c r="I1745" s="56" t="inlineStr">
        <is>
          <t>4731</t>
        </is>
      </c>
      <c r="J1745" s="56" t="n"/>
      <c r="K1745" s="56" t="n"/>
      <c r="L1745" s="56" t="n"/>
      <c r="M1745" s="56" t="n"/>
      <c r="N1745" s="60" t="inlineStr">
        <is>
          <t>TRANSIT STOCK</t>
        </is>
      </c>
      <c r="O1745" s="56" t="n">
        <v>1</v>
      </c>
      <c r="P1745" s="59" t="inlineStr">
        <is>
          <t>0-30</t>
        </is>
      </c>
      <c r="Q1745" s="56" t="inlineStr">
        <is>
          <t>TRANSIT STOCK</t>
        </is>
      </c>
    </row>
    <row r="1746">
      <c r="A1746" s="56" t="n">
        <v>2439535</v>
      </c>
      <c r="B1746" s="56" t="inlineStr">
        <is>
          <t>TUB-O-C-AUT-AD-FC-20.00X4.500X04-05</t>
        </is>
      </c>
      <c r="C1746" s="56" t="inlineStr">
        <is>
          <t>4B24K38341</t>
        </is>
      </c>
      <c r="D1746" s="57" t="n">
        <v>111</v>
      </c>
      <c r="E1746" s="57" t="n">
        <v>858</v>
      </c>
      <c r="F1746" s="57" t="n">
        <v>0.858</v>
      </c>
      <c r="G1746" s="56" t="inlineStr">
        <is>
          <t>KG</t>
        </is>
      </c>
      <c r="H1746" s="60" t="inlineStr">
        <is>
          <t>R001</t>
        </is>
      </c>
      <c r="I1746" s="56" t="inlineStr">
        <is>
          <t>4731</t>
        </is>
      </c>
      <c r="J1746" s="56" t="n"/>
      <c r="K1746" s="56" t="n"/>
      <c r="L1746" s="56" t="n"/>
      <c r="M1746" s="56" t="n"/>
      <c r="N1746" s="60" t="inlineStr">
        <is>
          <t>TRANSIT STOCK</t>
        </is>
      </c>
      <c r="O1746" s="56" t="n">
        <v>1</v>
      </c>
      <c r="P1746" s="59" t="inlineStr">
        <is>
          <t>0-30</t>
        </is>
      </c>
      <c r="Q1746" s="56" t="inlineStr">
        <is>
          <t>TRANSIT STOCK</t>
        </is>
      </c>
    </row>
    <row r="1747">
      <c r="A1747" s="56" t="n">
        <v>2439535</v>
      </c>
      <c r="B1747" s="56" t="inlineStr">
        <is>
          <t>TUB-O-C-AUT-AD-FC-20.00X4.500X04-05</t>
        </is>
      </c>
      <c r="C1747" s="56" t="inlineStr">
        <is>
          <t>4B06CK3090</t>
        </is>
      </c>
      <c r="D1747" s="57" t="n">
        <v>271</v>
      </c>
      <c r="E1747" s="57" t="n">
        <v>2102</v>
      </c>
      <c r="F1747" s="57" t="n">
        <v>2.102</v>
      </c>
      <c r="G1747" s="56" t="inlineStr">
        <is>
          <t>KG</t>
        </is>
      </c>
      <c r="H1747" s="60" t="inlineStr">
        <is>
          <t>R001</t>
        </is>
      </c>
      <c r="I1747" s="56" t="inlineStr">
        <is>
          <t>4731</t>
        </is>
      </c>
      <c r="J1747" s="56" t="n"/>
      <c r="K1747" s="56" t="n"/>
      <c r="L1747" s="56" t="n"/>
      <c r="M1747" s="56" t="n"/>
      <c r="N1747" s="60" t="inlineStr">
        <is>
          <t>TRANSIT STOCK</t>
        </is>
      </c>
      <c r="O1747" s="56" t="n">
        <v>1</v>
      </c>
      <c r="P1747" s="59" t="inlineStr">
        <is>
          <t>0-30</t>
        </is>
      </c>
      <c r="Q1747" s="56" t="inlineStr">
        <is>
          <t>TRANSIT STOCK</t>
        </is>
      </c>
    </row>
    <row r="1748">
      <c r="A1748" s="56" t="n">
        <v>2439535</v>
      </c>
      <c r="B1748" s="56" t="inlineStr">
        <is>
          <t>TUB-O-C-AUT-AD-FC-20.00X4.500X04-05</t>
        </is>
      </c>
      <c r="C1748" s="56" t="inlineStr">
        <is>
          <t>4B06CK3060</t>
        </is>
      </c>
      <c r="D1748" s="57" t="n">
        <v>132</v>
      </c>
      <c r="E1748" s="57" t="n">
        <v>1021</v>
      </c>
      <c r="F1748" s="57" t="n">
        <v>1.021</v>
      </c>
      <c r="G1748" s="56" t="inlineStr">
        <is>
          <t>KG</t>
        </is>
      </c>
      <c r="H1748" s="60" t="inlineStr">
        <is>
          <t>R001</t>
        </is>
      </c>
      <c r="I1748" s="56" t="inlineStr">
        <is>
          <t>4731</t>
        </is>
      </c>
      <c r="J1748" s="56" t="n"/>
      <c r="K1748" s="56" t="n"/>
      <c r="L1748" s="56" t="n"/>
      <c r="M1748" s="56" t="n"/>
      <c r="N1748" s="60" t="inlineStr">
        <is>
          <t>TRANSIT STOCK</t>
        </is>
      </c>
      <c r="O1748" s="56" t="n">
        <v>1</v>
      </c>
      <c r="P1748" s="59" t="inlineStr">
        <is>
          <t>0-30</t>
        </is>
      </c>
      <c r="Q1748" s="56" t="inlineStr">
        <is>
          <t>TRANSIT STOCK</t>
        </is>
      </c>
    </row>
    <row r="1749">
      <c r="A1749" s="56" t="n">
        <v>2439535</v>
      </c>
      <c r="B1749" s="56" t="inlineStr">
        <is>
          <t>TUB-O-C-AUT-AD-FC-20.00X4.500X04-05</t>
        </is>
      </c>
      <c r="C1749" s="56" t="inlineStr">
        <is>
          <t>4B06CK3050</t>
        </is>
      </c>
      <c r="D1749" s="57" t="n">
        <v>134</v>
      </c>
      <c r="E1749" s="57" t="n">
        <v>1035</v>
      </c>
      <c r="F1749" s="57" t="n">
        <v>1.035</v>
      </c>
      <c r="G1749" s="56" t="inlineStr">
        <is>
          <t>KG</t>
        </is>
      </c>
      <c r="H1749" s="60" t="inlineStr">
        <is>
          <t>R001</t>
        </is>
      </c>
      <c r="I1749" s="56" t="inlineStr">
        <is>
          <t>4731</t>
        </is>
      </c>
      <c r="J1749" s="56" t="n"/>
      <c r="K1749" s="56" t="n"/>
      <c r="L1749" s="56" t="n"/>
      <c r="M1749" s="56" t="n"/>
      <c r="N1749" s="60" t="inlineStr">
        <is>
          <t>TRANSIT STOCK</t>
        </is>
      </c>
      <c r="O1749" s="56" t="n">
        <v>1</v>
      </c>
      <c r="P1749" s="59" t="inlineStr">
        <is>
          <t>0-30</t>
        </is>
      </c>
      <c r="Q1749" s="56" t="inlineStr">
        <is>
          <t>TRANSIT STOCK</t>
        </is>
      </c>
    </row>
    <row r="1750">
      <c r="A1750" s="56" t="n">
        <v>2439536</v>
      </c>
      <c r="B1750" s="56" t="inlineStr">
        <is>
          <t>TUB-O-C-AUT-AD-FC-20.00X3.800X04-05</t>
        </is>
      </c>
      <c r="C1750" s="56" t="inlineStr">
        <is>
          <t>4B26BK3020</t>
        </is>
      </c>
      <c r="D1750" s="57" t="n">
        <v>211</v>
      </c>
      <c r="E1750" s="57" t="n">
        <v>1442</v>
      </c>
      <c r="F1750" s="57" t="n">
        <v>1.442</v>
      </c>
      <c r="G1750" s="56" t="inlineStr">
        <is>
          <t>KG</t>
        </is>
      </c>
      <c r="H1750" s="60" t="inlineStr">
        <is>
          <t>R001</t>
        </is>
      </c>
      <c r="I1750" s="56" t="inlineStr">
        <is>
          <t>4731</t>
        </is>
      </c>
      <c r="J1750" s="56" t="n"/>
      <c r="K1750" s="56" t="n"/>
      <c r="L1750" s="56" t="n"/>
      <c r="M1750" s="56" t="n"/>
      <c r="N1750" s="60" t="inlineStr">
        <is>
          <t>TRANSIT STOCK</t>
        </is>
      </c>
      <c r="O1750" s="56" t="n">
        <v>1</v>
      </c>
      <c r="P1750" s="59" t="inlineStr">
        <is>
          <t>0-30</t>
        </is>
      </c>
      <c r="Q1750" s="56" t="inlineStr">
        <is>
          <t>TRANSIT STOCK</t>
        </is>
      </c>
    </row>
    <row r="1751">
      <c r="A1751" s="56" t="n">
        <v>3502026</v>
      </c>
      <c r="B1751" s="56" t="inlineStr">
        <is>
          <t>TUB-O-C-AUT-AD-FC-38.00X3.000X6.0000</t>
        </is>
      </c>
      <c r="C1751" s="56" t="inlineStr">
        <is>
          <t>4B16BK3010</t>
        </is>
      </c>
      <c r="D1751" s="57" t="n">
        <v>147</v>
      </c>
      <c r="E1751" s="57" t="n">
        <v>2283</v>
      </c>
      <c r="F1751" s="57" t="n">
        <v>2.283</v>
      </c>
      <c r="G1751" s="56" t="inlineStr">
        <is>
          <t>KG</t>
        </is>
      </c>
      <c r="H1751" s="60" t="inlineStr">
        <is>
          <t>R001</t>
        </is>
      </c>
      <c r="I1751" s="56" t="inlineStr">
        <is>
          <t>4731</t>
        </is>
      </c>
      <c r="J1751" s="56" t="n"/>
      <c r="K1751" s="56" t="n"/>
      <c r="L1751" s="56" t="n"/>
      <c r="M1751" s="56" t="n"/>
      <c r="N1751" s="60" t="inlineStr">
        <is>
          <t>TRANSIT STOCK</t>
        </is>
      </c>
      <c r="O1751" s="56" t="n">
        <v>1</v>
      </c>
      <c r="P1751" s="59" t="inlineStr">
        <is>
          <t>0-30</t>
        </is>
      </c>
      <c r="Q1751" s="56" t="inlineStr">
        <is>
          <t>TRANSIT STOCK</t>
        </is>
      </c>
    </row>
    <row r="1752">
      <c r="A1752" s="56" t="n">
        <v>3502026</v>
      </c>
      <c r="B1752" s="56" t="inlineStr">
        <is>
          <t>TUB-O-C-AUT-AD-FC-38.00X3.000X6.0000</t>
        </is>
      </c>
      <c r="C1752" s="56" t="inlineStr">
        <is>
          <t>4B16AK3080</t>
        </is>
      </c>
      <c r="D1752" s="57" t="n">
        <v>151</v>
      </c>
      <c r="E1752" s="57" t="n">
        <v>2345</v>
      </c>
      <c r="F1752" s="57" t="n">
        <v>2.345</v>
      </c>
      <c r="G1752" s="56" t="inlineStr">
        <is>
          <t>KG</t>
        </is>
      </c>
      <c r="H1752" s="60" t="inlineStr">
        <is>
          <t>R001</t>
        </is>
      </c>
      <c r="I1752" s="56" t="inlineStr">
        <is>
          <t>4731</t>
        </is>
      </c>
      <c r="J1752" s="56" t="n"/>
      <c r="K1752" s="56" t="n"/>
      <c r="L1752" s="56" t="n"/>
      <c r="M1752" s="56" t="n"/>
      <c r="N1752" s="60" t="inlineStr">
        <is>
          <t>TRANSIT STOCK</t>
        </is>
      </c>
      <c r="O1752" s="56" t="n">
        <v>1</v>
      </c>
      <c r="P1752" s="59" t="inlineStr">
        <is>
          <t>0-30</t>
        </is>
      </c>
      <c r="Q1752" s="56" t="inlineStr">
        <is>
          <t>TRANSIT STOCK</t>
        </is>
      </c>
    </row>
  </sheetData>
  <conditionalFormatting sqref="C2:C1752">
    <cfRule type="duplicateValues" priority="499" dxfId="0"/>
  </conditionalFormatting>
  <conditionalFormatting sqref="U1:U1539 U1541:U1048576">
    <cfRule type="duplicateValues" priority="1" dxfId="0"/>
  </conditionalFormatting>
  <conditionalFormatting sqref="U1268">
    <cfRule type="duplicateValues" priority="3" dxfId="0"/>
    <cfRule type="duplicateValues" priority="4" dxfId="0"/>
  </conditionalFormatting>
  <conditionalFormatting sqref="U1270:U1441">
    <cfRule type="duplicateValues" priority="525" dxfId="0"/>
  </conditionalFormatting>
  <conditionalFormatting sqref="U3:U1510 U1515">
    <cfRule type="duplicateValues" priority="513" dxfId="0"/>
    <cfRule type="duplicateValues" priority="514" dxfId="0"/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2" sqref="A2:A3"/>
    </sheetView>
  </sheetViews>
  <sheetFormatPr baseColWidth="8" defaultRowHeight="15"/>
  <sheetData>
    <row r="1">
      <c r="A1" t="n">
        <v>3702439</v>
      </c>
    </row>
    <row r="2">
      <c r="A2" t="n">
        <v>3882110</v>
      </c>
    </row>
    <row r="3">
      <c r="A3" t="n">
        <v>3230758</v>
      </c>
    </row>
    <row r="4">
      <c r="A4" t="n">
        <v>3702196</v>
      </c>
    </row>
    <row r="5">
      <c r="A5" t="n">
        <v>4072797</v>
      </c>
    </row>
    <row r="6">
      <c r="A6" t="n">
        <v>4140303</v>
      </c>
    </row>
    <row r="7">
      <c r="A7" t="n">
        <v>4160603</v>
      </c>
    </row>
    <row r="8">
      <c r="A8" t="n">
        <v>3575647</v>
      </c>
    </row>
    <row r="9">
      <c r="A9" t="n">
        <v>3597718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41">
    <outlinePr summaryBelow="1" summaryRight="1"/>
    <pageSetUpPr/>
  </sheetPr>
  <dimension ref="A1:N415"/>
  <sheetViews>
    <sheetView topLeftCell="H1" workbookViewId="0">
      <selection activeCell="J512" sqref="J512"/>
    </sheetView>
  </sheetViews>
  <sheetFormatPr baseColWidth="8" defaultRowHeight="15"/>
  <cols>
    <col width="17.85546875" bestFit="1" customWidth="1" style="584" min="1" max="1"/>
    <col width="16" bestFit="1" customWidth="1" style="584" min="2" max="2"/>
    <col width="32.85546875" bestFit="1" customWidth="1" style="584" min="3" max="3"/>
    <col width="17.5703125" bestFit="1" customWidth="1" style="584" min="4" max="4"/>
    <col width="13" bestFit="1" customWidth="1" style="584" min="5" max="5"/>
    <col width="12.140625" bestFit="1" customWidth="1" style="584" min="6" max="6"/>
    <col width="14.85546875" bestFit="1" customWidth="1" style="584" min="7" max="7"/>
    <col width="19.28515625" bestFit="1" customWidth="1" style="584" min="8" max="8"/>
    <col width="38.42578125" bestFit="1" customWidth="1" style="584" min="9" max="9"/>
    <col width="17.42578125" bestFit="1" customWidth="1" style="584" min="10" max="10"/>
    <col width="38.85546875" bestFit="1" customWidth="1" style="584" min="11" max="11"/>
    <col width="7.5703125" bestFit="1" customWidth="1" style="584" min="12" max="12"/>
    <col width="25.85546875" bestFit="1" customWidth="1" style="584" min="13" max="13"/>
    <col width="31.28515625" bestFit="1" customWidth="1" style="584" min="14" max="14"/>
  </cols>
  <sheetData>
    <row r="1">
      <c r="A1" t="inlineStr">
        <is>
          <t>Status Desc</t>
        </is>
      </c>
      <c r="B1" t="inlineStr">
        <is>
          <t>Stock(Net Wt)</t>
        </is>
      </c>
      <c r="C1" t="inlineStr">
        <is>
          <t>Customer Name</t>
        </is>
      </c>
      <c r="D1" t="inlineStr">
        <is>
          <t>Order Thickness</t>
        </is>
      </c>
      <c r="E1" t="inlineStr">
        <is>
          <t>Order Odia</t>
        </is>
      </c>
      <c r="F1" t="inlineStr">
        <is>
          <t>Order Idia</t>
        </is>
      </c>
      <c r="G1" t="inlineStr">
        <is>
          <t>Order Length</t>
        </is>
      </c>
      <c r="H1" t="inlineStr">
        <is>
          <t>WIP Material No.</t>
        </is>
      </c>
      <c r="I1" t="inlineStr">
        <is>
          <t>WIP Material Desc</t>
        </is>
      </c>
      <c r="J1" t="inlineStr">
        <is>
          <t>FG Material No.</t>
        </is>
      </c>
      <c r="K1" t="inlineStr">
        <is>
          <t>FG Material Desc.</t>
        </is>
      </c>
      <c r="L1" t="inlineStr">
        <is>
          <t>OEM</t>
        </is>
      </c>
      <c r="M1" t="inlineStr">
        <is>
          <t>Bucket</t>
        </is>
      </c>
      <c r="N1" t="inlineStr">
        <is>
          <t>CTL Bucket</t>
        </is>
      </c>
    </row>
    <row r="2" hidden="1" s="584">
      <c r="A2" t="inlineStr">
        <is>
          <t>Scheduled at CTL-1</t>
        </is>
      </c>
      <c r="B2" t="n">
        <v>244</v>
      </c>
      <c r="C2" t="inlineStr">
        <is>
          <t>ELKAYEM AUTO ANCILLARIES PVT L</t>
        </is>
      </c>
      <c r="D2" t="n">
        <v>2</v>
      </c>
      <c r="E2" t="n">
        <v>15.88</v>
      </c>
      <c r="F2" t="n">
        <v>0</v>
      </c>
      <c r="G2" t="n">
        <v>0.291</v>
      </c>
      <c r="H2" t="inlineStr">
        <is>
          <t>000000000111116476</t>
        </is>
      </c>
      <c r="I2" t="inlineStr">
        <is>
          <t>TM-O-N-AUT-AW-PE-15.88X2.000X5.9400</t>
        </is>
      </c>
      <c r="J2" t="n">
        <v>3506797</v>
      </c>
      <c r="K2" t="inlineStr">
        <is>
          <t>CUT-O-N-AUT-AW-PE-15.88X2.000X0.291</t>
        </is>
      </c>
      <c r="L2" t="inlineStr">
        <is>
          <t>TVS</t>
        </is>
      </c>
      <c r="M2" t="inlineStr">
        <is>
          <t>15.88-0-2-ERW 1-PE</t>
        </is>
      </c>
      <c r="N2" t="inlineStr">
        <is>
          <t>15.88-0-2-ERW 1-PE-0.291</t>
        </is>
      </c>
    </row>
    <row r="3" hidden="1" s="584">
      <c r="A3" t="inlineStr">
        <is>
          <t>Scheduled at CTL-1</t>
        </is>
      </c>
      <c r="B3" t="n">
        <v>337</v>
      </c>
      <c r="C3" t="inlineStr">
        <is>
          <t>Neel Metal Products Limited</t>
        </is>
      </c>
      <c r="D3" t="n">
        <v>1.02</v>
      </c>
      <c r="E3" t="n">
        <v>19.05</v>
      </c>
      <c r="F3" t="n">
        <v>0</v>
      </c>
      <c r="G3" t="n">
        <v>1.095</v>
      </c>
      <c r="H3" t="inlineStr">
        <is>
          <t>000000000111002371</t>
        </is>
      </c>
      <c r="I3" t="inlineStr">
        <is>
          <t>TM-O-N-AUT-AW-PE-19.05X1.000X5.5750</t>
        </is>
      </c>
      <c r="J3" t="n">
        <v>3518158</v>
      </c>
      <c r="K3" t="inlineStr">
        <is>
          <t>TUB-O-N-AUT-AW-PE-19.05X1.020X1.0950</t>
        </is>
      </c>
      <c r="L3" t="inlineStr">
        <is>
          <t>TVS</t>
        </is>
      </c>
      <c r="M3" t="inlineStr">
        <is>
          <t>19.05-0-1-ERW 1-PE</t>
        </is>
      </c>
      <c r="N3" t="inlineStr">
        <is>
          <t>19.05-0-1-ERW 1-PE-1.095</t>
        </is>
      </c>
    </row>
    <row r="4" hidden="1" s="584">
      <c r="A4" t="inlineStr">
        <is>
          <t>Scheduled at CTL-1</t>
        </is>
      </c>
      <c r="B4" t="n">
        <v>589</v>
      </c>
      <c r="C4" t="inlineStr">
        <is>
          <t>Neel Metal Products Limited</t>
        </is>
      </c>
      <c r="D4" t="n">
        <v>1.02</v>
      </c>
      <c r="E4" t="n">
        <v>19.05</v>
      </c>
      <c r="F4" t="n">
        <v>0</v>
      </c>
      <c r="G4" t="n">
        <v>1.095</v>
      </c>
      <c r="H4" t="inlineStr">
        <is>
          <t>000000000111002371</t>
        </is>
      </c>
      <c r="I4" t="inlineStr">
        <is>
          <t>TM-O-N-AUT-AW-PE-19.05X1.000X5.5750</t>
        </is>
      </c>
      <c r="J4" t="n">
        <v>3518158</v>
      </c>
      <c r="K4" t="inlineStr">
        <is>
          <t>TUB-O-N-AUT-AW-PE-19.05X1.020X1.0950</t>
        </is>
      </c>
      <c r="L4" t="inlineStr">
        <is>
          <t>TVS</t>
        </is>
      </c>
      <c r="M4" t="inlineStr">
        <is>
          <t>19.05-0-1-ERW 1-PE</t>
        </is>
      </c>
      <c r="N4" t="inlineStr">
        <is>
          <t>19.05-0-1-ERW 1-PE-1.095</t>
        </is>
      </c>
    </row>
    <row r="5" hidden="1" s="584">
      <c r="A5" t="inlineStr">
        <is>
          <t>Scheduled at CTL-1</t>
        </is>
      </c>
      <c r="B5" t="n">
        <v>1520</v>
      </c>
      <c r="C5" t="inlineStr">
        <is>
          <t>Neel Metal Products Limited</t>
        </is>
      </c>
      <c r="D5" t="n">
        <v>1.02</v>
      </c>
      <c r="E5" t="n">
        <v>19.05</v>
      </c>
      <c r="F5" t="n">
        <v>0</v>
      </c>
      <c r="G5" t="n">
        <v>1.095</v>
      </c>
      <c r="H5" t="inlineStr">
        <is>
          <t>000000000111002371</t>
        </is>
      </c>
      <c r="I5" t="inlineStr">
        <is>
          <t>TM-O-N-AUT-AW-PE-19.05X1.000X5.5750</t>
        </is>
      </c>
      <c r="J5" t="n">
        <v>3518158</v>
      </c>
      <c r="K5" t="inlineStr">
        <is>
          <t>TUB-O-N-AUT-AW-PE-19.05X1.020X1.0950</t>
        </is>
      </c>
      <c r="L5" t="inlineStr">
        <is>
          <t>TVS</t>
        </is>
      </c>
      <c r="M5" t="inlineStr">
        <is>
          <t>19.05-0-1-ERW 1-PE</t>
        </is>
      </c>
      <c r="N5" t="inlineStr">
        <is>
          <t>19.05-0-1-ERW 1-PE-1.095</t>
        </is>
      </c>
    </row>
    <row r="6" hidden="1" s="584">
      <c r="A6" t="inlineStr">
        <is>
          <t>Scheduled at CTL-1</t>
        </is>
      </c>
      <c r="B6" t="n">
        <v>1265</v>
      </c>
      <c r="C6" t="inlineStr">
        <is>
          <t>Neel Metal Products Limited</t>
        </is>
      </c>
      <c r="D6" t="n">
        <v>1.02</v>
      </c>
      <c r="E6" t="n">
        <v>19.05</v>
      </c>
      <c r="F6" t="n">
        <v>0</v>
      </c>
      <c r="G6" t="n">
        <v>1.095</v>
      </c>
      <c r="H6" t="inlineStr">
        <is>
          <t>000000000111002371</t>
        </is>
      </c>
      <c r="I6" t="inlineStr">
        <is>
          <t>TM-O-N-AUT-AW-PE-19.05X1.000X5.5750</t>
        </is>
      </c>
      <c r="J6" t="n">
        <v>3518158</v>
      </c>
      <c r="K6" t="inlineStr">
        <is>
          <t>TUB-O-N-AUT-AW-PE-19.05X1.020X1.0950</t>
        </is>
      </c>
      <c r="L6" t="inlineStr">
        <is>
          <t>TVS</t>
        </is>
      </c>
      <c r="M6" t="inlineStr">
        <is>
          <t>19.05-0-1-ERW 1-PE</t>
        </is>
      </c>
      <c r="N6" t="inlineStr">
        <is>
          <t>19.05-0-1-ERW 1-PE-1.095</t>
        </is>
      </c>
    </row>
    <row r="7" hidden="1" s="584">
      <c r="A7" t="inlineStr">
        <is>
          <t>Scheduled at CTL-1</t>
        </is>
      </c>
      <c r="B7" t="n">
        <v>570</v>
      </c>
      <c r="C7" t="inlineStr">
        <is>
          <t>Neel Metal Products Limited</t>
        </is>
      </c>
      <c r="D7" t="n">
        <v>1.02</v>
      </c>
      <c r="E7" t="n">
        <v>19.05</v>
      </c>
      <c r="F7" t="n">
        <v>0</v>
      </c>
      <c r="G7" t="n">
        <v>1.095</v>
      </c>
      <c r="H7" t="inlineStr">
        <is>
          <t>000000000111002371</t>
        </is>
      </c>
      <c r="I7" t="inlineStr">
        <is>
          <t>TM-O-N-AUT-AW-PE-19.05X1.000X5.5750</t>
        </is>
      </c>
      <c r="J7" t="n">
        <v>3518158</v>
      </c>
      <c r="K7" t="inlineStr">
        <is>
          <t>TUB-O-N-AUT-AW-PE-19.05X1.020X1.0950</t>
        </is>
      </c>
      <c r="L7" t="inlineStr">
        <is>
          <t>TVS</t>
        </is>
      </c>
      <c r="M7" t="inlineStr">
        <is>
          <t>19.05-0-1-ERW 1-PE</t>
        </is>
      </c>
      <c r="N7" t="inlineStr">
        <is>
          <t>19.05-0-1-ERW 1-PE-1.095</t>
        </is>
      </c>
    </row>
    <row r="8" hidden="1" s="584">
      <c r="A8" t="inlineStr">
        <is>
          <t>Scheduled at CTL-1</t>
        </is>
      </c>
      <c r="B8" t="n">
        <v>1370</v>
      </c>
      <c r="C8" t="inlineStr">
        <is>
          <t>Neel Metal Products Limited</t>
        </is>
      </c>
      <c r="D8" t="n">
        <v>1.02</v>
      </c>
      <c r="E8" t="n">
        <v>19.05</v>
      </c>
      <c r="F8" t="n">
        <v>0</v>
      </c>
      <c r="G8" t="n">
        <v>1.095</v>
      </c>
      <c r="H8" t="inlineStr">
        <is>
          <t>000000000111002371</t>
        </is>
      </c>
      <c r="I8" t="inlineStr">
        <is>
          <t>TM-O-N-AUT-AW-PE-19.05X1.000X5.5750</t>
        </is>
      </c>
      <c r="J8" t="n">
        <v>3518158</v>
      </c>
      <c r="K8" t="inlineStr">
        <is>
          <t>TUB-O-N-AUT-AW-PE-19.05X1.020X1.0950</t>
        </is>
      </c>
      <c r="L8" t="inlineStr">
        <is>
          <t>TVS</t>
        </is>
      </c>
      <c r="M8" t="inlineStr">
        <is>
          <t>19.05-0-1-ERW 1-PE</t>
        </is>
      </c>
      <c r="N8" t="inlineStr">
        <is>
          <t>19.05-0-1-ERW 1-PE-1.095</t>
        </is>
      </c>
    </row>
    <row r="9" hidden="1" s="584">
      <c r="A9" t="inlineStr">
        <is>
          <t>Scheduled at CTL-1</t>
        </is>
      </c>
      <c r="B9" t="n">
        <v>665</v>
      </c>
      <c r="C9" t="inlineStr">
        <is>
          <t>Neel Metal Products Limited</t>
        </is>
      </c>
      <c r="D9" t="n">
        <v>1.02</v>
      </c>
      <c r="E9" t="n">
        <v>19.05</v>
      </c>
      <c r="F9" t="n">
        <v>0</v>
      </c>
      <c r="G9" t="n">
        <v>1.095</v>
      </c>
      <c r="H9" t="inlineStr">
        <is>
          <t>000000000111002371</t>
        </is>
      </c>
      <c r="I9" t="inlineStr">
        <is>
          <t>TM-O-N-AUT-AW-PE-19.05X1.000X5.5750</t>
        </is>
      </c>
      <c r="J9" t="n">
        <v>3518158</v>
      </c>
      <c r="K9" t="inlineStr">
        <is>
          <t>TUB-O-N-AUT-AW-PE-19.05X1.020X1.0950</t>
        </is>
      </c>
      <c r="L9" t="inlineStr">
        <is>
          <t>TVS</t>
        </is>
      </c>
      <c r="M9" t="inlineStr">
        <is>
          <t>19.05-0-1-ERW 1-PE</t>
        </is>
      </c>
      <c r="N9" t="inlineStr">
        <is>
          <t>19.05-0-1-ERW 1-PE-1.095</t>
        </is>
      </c>
    </row>
    <row r="10" hidden="1" s="584">
      <c r="A10" t="inlineStr">
        <is>
          <t>Scheduled at CTL-1</t>
        </is>
      </c>
      <c r="B10" t="n">
        <v>998</v>
      </c>
      <c r="C10" t="inlineStr">
        <is>
          <t>Rajsriya Automotive Industries</t>
        </is>
      </c>
      <c r="D10" t="n">
        <v>1.6</v>
      </c>
      <c r="E10" t="n">
        <v>19.05</v>
      </c>
      <c r="F10" t="n">
        <v>0</v>
      </c>
      <c r="G10" t="n">
        <v>0.394</v>
      </c>
      <c r="H10" t="inlineStr">
        <is>
          <t>000000000111117266</t>
        </is>
      </c>
      <c r="I10" t="inlineStr">
        <is>
          <t>TM-O-N-AUT-AW-PE-19.05X1.600X6.3000</t>
        </is>
      </c>
      <c r="J10" t="n">
        <v>3122347</v>
      </c>
      <c r="K10" t="inlineStr">
        <is>
          <t>TUB-O-N-AUT-AW-PE-19.05X1.600X0.3940</t>
        </is>
      </c>
      <c r="L10" t="inlineStr">
        <is>
          <t>TVS</t>
        </is>
      </c>
      <c r="M10" t="inlineStr">
        <is>
          <t>19.05-0-1.6-ERW 2 MAHS-PE</t>
        </is>
      </c>
      <c r="N10" t="inlineStr">
        <is>
          <t>19.05-0-1.6-ERW 2 MAHS-PE-0.394</t>
        </is>
      </c>
    </row>
    <row r="11" hidden="1" s="584">
      <c r="A11" t="inlineStr">
        <is>
          <t>Scheduled at CTL-1</t>
        </is>
      </c>
      <c r="B11" t="n">
        <v>1988</v>
      </c>
      <c r="C11" t="inlineStr">
        <is>
          <t>Rajsriya Automotive Industries</t>
        </is>
      </c>
      <c r="D11" t="n">
        <v>1.6</v>
      </c>
      <c r="E11" t="n">
        <v>19.05</v>
      </c>
      <c r="F11" t="n">
        <v>0</v>
      </c>
      <c r="G11" t="n">
        <v>0.394</v>
      </c>
      <c r="H11" t="inlineStr">
        <is>
          <t>000000000111117266</t>
        </is>
      </c>
      <c r="I11" t="inlineStr">
        <is>
          <t>TM-O-N-AUT-AW-PE-19.05X1.600X6.3000</t>
        </is>
      </c>
      <c r="J11" t="n">
        <v>3122347</v>
      </c>
      <c r="K11" t="inlineStr">
        <is>
          <t>TUB-O-N-AUT-AW-PE-19.05X1.600X0.3940</t>
        </is>
      </c>
      <c r="L11" t="inlineStr">
        <is>
          <t>TVS</t>
        </is>
      </c>
      <c r="M11" t="inlineStr">
        <is>
          <t>19.05-0-1.6-ERW 2 MAHS-PE</t>
        </is>
      </c>
      <c r="N11" t="inlineStr">
        <is>
          <t>19.05-0-1.6-ERW 2 MAHS-PE-0.394</t>
        </is>
      </c>
    </row>
    <row r="12" hidden="1" s="584">
      <c r="A12" t="inlineStr">
        <is>
          <t>Scheduled at CTL-1</t>
        </is>
      </c>
      <c r="B12" t="n">
        <v>218</v>
      </c>
      <c r="C12" t="inlineStr">
        <is>
          <t>Neel Metal Products Limited</t>
        </is>
      </c>
      <c r="D12" t="n">
        <v>1.6</v>
      </c>
      <c r="E12" t="n">
        <v>12.7</v>
      </c>
      <c r="F12" t="n">
        <v>0</v>
      </c>
      <c r="G12" t="n">
        <v>0.145</v>
      </c>
      <c r="H12" t="inlineStr">
        <is>
          <t>000000000111116470</t>
        </is>
      </c>
      <c r="I12" t="inlineStr">
        <is>
          <t>TM-O-N-AUT-AW-PE-12.70X1.600X5.8600</t>
        </is>
      </c>
      <c r="J12" t="n">
        <v>1939991</v>
      </c>
      <c r="K12" t="inlineStr">
        <is>
          <t>TUB-O-O-AUT-AW-PE-12.70X1.600X0.1450</t>
        </is>
      </c>
      <c r="L12" t="inlineStr">
        <is>
          <t>TVS</t>
        </is>
      </c>
      <c r="M12" t="inlineStr">
        <is>
          <t>12.7-0-1.6-ERW 1-PE</t>
        </is>
      </c>
      <c r="N12" t="inlineStr">
        <is>
          <t>12.7-0-1.6-ERW 1-PE-0.145</t>
        </is>
      </c>
    </row>
    <row r="13" hidden="1" s="584">
      <c r="A13" t="inlineStr">
        <is>
          <t>Scheduled at CTL-1</t>
        </is>
      </c>
      <c r="B13" t="n">
        <v>275</v>
      </c>
      <c r="C13" t="inlineStr">
        <is>
          <t>BALAJI PRESS PRODUCTS INDIA</t>
        </is>
      </c>
      <c r="D13" t="n">
        <v>1.2</v>
      </c>
      <c r="E13" t="n">
        <v>15.88</v>
      </c>
      <c r="F13" t="n">
        <v>0</v>
      </c>
      <c r="G13" t="n">
        <v>1.13</v>
      </c>
      <c r="H13" t="inlineStr">
        <is>
          <t>000000000111114034</t>
        </is>
      </c>
      <c r="I13" t="inlineStr">
        <is>
          <t>TM-O-N-AUT-AW-PE-15.88X1.200X4.6300</t>
        </is>
      </c>
      <c r="J13" t="n">
        <v>1940045</v>
      </c>
      <c r="K13" t="inlineStr">
        <is>
          <t>TUB-O-O-AUT-AW-PE-15.88X1.200X1.1300</t>
        </is>
      </c>
      <c r="L13" t="inlineStr">
        <is>
          <t>TVS</t>
        </is>
      </c>
      <c r="M13" t="inlineStr">
        <is>
          <t>15.88-0-1.2-ERW 1-PE</t>
        </is>
      </c>
      <c r="N13" t="inlineStr">
        <is>
          <t>15.88-0-1.2-ERW 1-PE-1.13</t>
        </is>
      </c>
    </row>
    <row r="14" hidden="1" s="584">
      <c r="A14" t="inlineStr">
        <is>
          <t>Scheduled at CTL-1</t>
        </is>
      </c>
      <c r="B14" t="n">
        <v>1447</v>
      </c>
      <c r="C14" t="inlineStr">
        <is>
          <t>BALAJI PRESS PRODUCTS INDIA</t>
        </is>
      </c>
      <c r="D14" t="n">
        <v>1.2</v>
      </c>
      <c r="E14" t="n">
        <v>15.88</v>
      </c>
      <c r="F14" t="n">
        <v>0</v>
      </c>
      <c r="G14" t="n">
        <v>1.13</v>
      </c>
      <c r="H14" t="inlineStr">
        <is>
          <t>000000000111120664</t>
        </is>
      </c>
      <c r="I14" t="inlineStr">
        <is>
          <t>TM-O-N-AUT-AW-PE-15.88X1.200X5.7300</t>
        </is>
      </c>
      <c r="J14" t="n">
        <v>1940045</v>
      </c>
      <c r="K14" t="inlineStr">
        <is>
          <t>TUB-O-O-AUT-AW-PE-15.88X1.200X1.1300</t>
        </is>
      </c>
      <c r="L14" t="inlineStr">
        <is>
          <t>TVS</t>
        </is>
      </c>
      <c r="M14" t="inlineStr">
        <is>
          <t>15.88-0-1.2-ERW 1-PE</t>
        </is>
      </c>
      <c r="N14" t="inlineStr">
        <is>
          <t>15.88-0-1.2-ERW 1-PE-1.13</t>
        </is>
      </c>
    </row>
    <row r="15" hidden="1" s="584">
      <c r="A15" t="inlineStr">
        <is>
          <t>Scheduled at CTL-1</t>
        </is>
      </c>
      <c r="B15" t="n">
        <v>266</v>
      </c>
      <c r="C15" t="inlineStr">
        <is>
          <t>Rajsriya Automotive Industries</t>
        </is>
      </c>
      <c r="D15" t="n">
        <v>1.6</v>
      </c>
      <c r="E15" t="n">
        <v>12.7</v>
      </c>
      <c r="F15" t="n">
        <v>0</v>
      </c>
      <c r="G15" t="n">
        <v>0.25</v>
      </c>
      <c r="H15" t="inlineStr">
        <is>
          <t>000000000111116473</t>
        </is>
      </c>
      <c r="I15" t="inlineStr">
        <is>
          <t>TM-O-N-AUT-AW-PE-12.70X1.600X5.1500</t>
        </is>
      </c>
      <c r="J15" t="n">
        <v>1939993</v>
      </c>
      <c r="K15" t="inlineStr">
        <is>
          <t>TUB-O-O-AUT-AW-PE-12.70X1.600X0.2500</t>
        </is>
      </c>
      <c r="L15" t="inlineStr">
        <is>
          <t>TVS</t>
        </is>
      </c>
      <c r="M15" t="inlineStr">
        <is>
          <t>12.7-0-1.6-ERW 1-PE</t>
        </is>
      </c>
      <c r="N15" t="inlineStr">
        <is>
          <t>12.7-0-1.6-ERW 1-PE-0.25</t>
        </is>
      </c>
    </row>
    <row r="16" hidden="1" s="584">
      <c r="A16" t="inlineStr">
        <is>
          <t>Scheduled at CTL-1</t>
        </is>
      </c>
      <c r="B16" t="n">
        <v>321</v>
      </c>
      <c r="C16" t="inlineStr">
        <is>
          <t>SRIKAM HITECH ENGINEERING PRIV</t>
        </is>
      </c>
      <c r="D16" t="n">
        <v>1.6</v>
      </c>
      <c r="E16" t="n">
        <v>12.7</v>
      </c>
      <c r="F16" t="n">
        <v>0</v>
      </c>
      <c r="G16" t="n">
        <v>0.26</v>
      </c>
      <c r="H16" t="inlineStr">
        <is>
          <t>000000000110102155</t>
        </is>
      </c>
      <c r="I16" t="inlineStr">
        <is>
          <t>TM-O-O-AUT-AW-PE-12.70X1.600X6.0000</t>
        </is>
      </c>
      <c r="J16" t="n">
        <v>1932848</v>
      </c>
      <c r="K16" t="inlineStr">
        <is>
          <t>TUB-O-N-AUT-AW-PE-12.70X1.600X0.2600</t>
        </is>
      </c>
      <c r="L16" t="inlineStr">
        <is>
          <t>TVS</t>
        </is>
      </c>
      <c r="M16" t="inlineStr">
        <is>
          <t>12.7-0-1.6-ERW 1-PE</t>
        </is>
      </c>
      <c r="N16" t="inlineStr">
        <is>
          <t>12.7-0-1.6-ERW 1-PE-0.26</t>
        </is>
      </c>
    </row>
    <row r="17" hidden="1" s="584">
      <c r="A17" t="inlineStr">
        <is>
          <t>Scheduled at CTL-1</t>
        </is>
      </c>
      <c r="B17" t="n">
        <v>170</v>
      </c>
      <c r="C17" t="inlineStr">
        <is>
          <t>SRIKAM HITECH ENGINEERING PRIV</t>
        </is>
      </c>
      <c r="D17" t="n">
        <v>2</v>
      </c>
      <c r="E17" t="n">
        <v>19.05</v>
      </c>
      <c r="F17" t="n">
        <v>0</v>
      </c>
      <c r="G17" t="n">
        <v>0.8150000000000001</v>
      </c>
      <c r="H17" t="inlineStr">
        <is>
          <t>000000000110102436</t>
        </is>
      </c>
      <c r="I17" t="inlineStr">
        <is>
          <t>TM-O-O-AUT-AW-PE-19.05X2.000X5.8000</t>
        </is>
      </c>
      <c r="J17" t="n">
        <v>1940287</v>
      </c>
      <c r="K17" t="inlineStr">
        <is>
          <t>TUB-O-O-AUT-AW-PE-19.05X2.000X0.8150</t>
        </is>
      </c>
      <c r="L17" t="inlineStr">
        <is>
          <t>TVS</t>
        </is>
      </c>
      <c r="M17" t="inlineStr">
        <is>
          <t>19.05-0-2-ERW 1-PE</t>
        </is>
      </c>
      <c r="N17" t="inlineStr">
        <is>
          <t>19.05-0-2-ERW 1-PE-0.815</t>
        </is>
      </c>
    </row>
    <row r="18" hidden="1" s="584">
      <c r="A18" t="inlineStr">
        <is>
          <t>Packing</t>
        </is>
      </c>
      <c r="B18" t="n">
        <v>1460</v>
      </c>
      <c r="C18" t="inlineStr">
        <is>
          <t>SRIKAM HITECH ENGINEERING PRIV</t>
        </is>
      </c>
      <c r="D18" t="n">
        <v>2</v>
      </c>
      <c r="E18" t="n">
        <v>19.05</v>
      </c>
      <c r="F18" t="n">
        <v>0</v>
      </c>
      <c r="G18" t="n">
        <v>0.8150000000000001</v>
      </c>
      <c r="H18" t="inlineStr">
        <is>
          <t> </t>
        </is>
      </c>
      <c r="I18" t="inlineStr">
        <is>
          <t> </t>
        </is>
      </c>
      <c r="J18" t="n">
        <v>1940287</v>
      </c>
      <c r="K18" t="inlineStr">
        <is>
          <t>TUB-O-O-AUT-AW-PE-19.05X2.000X0.8150</t>
        </is>
      </c>
      <c r="L18" t="inlineStr">
        <is>
          <t>TVS</t>
        </is>
      </c>
      <c r="M18" t="inlineStr">
        <is>
          <t>19.05-0-2-ERW 1-PE</t>
        </is>
      </c>
      <c r="N18" t="inlineStr">
        <is>
          <t>19.05-0-2-ERW 1-PE-0.815</t>
        </is>
      </c>
    </row>
    <row r="19" hidden="1" s="584">
      <c r="A19" t="inlineStr">
        <is>
          <t>Packing</t>
        </is>
      </c>
      <c r="B19" t="n">
        <v>2914</v>
      </c>
      <c r="C19" t="inlineStr">
        <is>
          <t>SRIKAM HITECH ENGINEERING PRIV</t>
        </is>
      </c>
      <c r="D19" t="n">
        <v>2</v>
      </c>
      <c r="E19" t="n">
        <v>19.05</v>
      </c>
      <c r="F19" t="n">
        <v>0</v>
      </c>
      <c r="G19" t="n">
        <v>0.8150000000000001</v>
      </c>
      <c r="H19" t="inlineStr">
        <is>
          <t> </t>
        </is>
      </c>
      <c r="I19" t="inlineStr">
        <is>
          <t> </t>
        </is>
      </c>
      <c r="J19" t="n">
        <v>1940287</v>
      </c>
      <c r="K19" t="inlineStr">
        <is>
          <t>TUB-O-O-AUT-AW-PE-19.05X2.000X0.8150</t>
        </is>
      </c>
      <c r="L19" t="inlineStr">
        <is>
          <t>TVS</t>
        </is>
      </c>
      <c r="M19" t="inlineStr">
        <is>
          <t>19.05-0-2-ERW 1-PE</t>
        </is>
      </c>
      <c r="N19" t="inlineStr">
        <is>
          <t>19.05-0-2-ERW 1-PE-0.815</t>
        </is>
      </c>
    </row>
    <row r="20" hidden="1" s="584">
      <c r="A20" t="inlineStr">
        <is>
          <t>Packing</t>
        </is>
      </c>
      <c r="B20" t="n">
        <v>2356</v>
      </c>
      <c r="C20" t="inlineStr">
        <is>
          <t>SRIKAM HITECH ENGINEERING PRIV</t>
        </is>
      </c>
      <c r="D20" t="n">
        <v>2</v>
      </c>
      <c r="E20" t="n">
        <v>19.05</v>
      </c>
      <c r="F20" t="n">
        <v>0</v>
      </c>
      <c r="G20" t="n">
        <v>0.8150000000000001</v>
      </c>
      <c r="H20" t="inlineStr">
        <is>
          <t> </t>
        </is>
      </c>
      <c r="I20" t="inlineStr">
        <is>
          <t> </t>
        </is>
      </c>
      <c r="J20" t="n">
        <v>1940287</v>
      </c>
      <c r="K20" t="inlineStr">
        <is>
          <t>TUB-O-O-AUT-AW-PE-19.05X2.000X0.8150</t>
        </is>
      </c>
      <c r="L20" t="inlineStr">
        <is>
          <t>TVS</t>
        </is>
      </c>
      <c r="M20" t="inlineStr">
        <is>
          <t>19.05-0-2-ERW 1-PE</t>
        </is>
      </c>
      <c r="N20" t="inlineStr">
        <is>
          <t>19.05-0-2-ERW 1-PE-0.815</t>
        </is>
      </c>
    </row>
    <row r="21" hidden="1" s="584">
      <c r="A21" t="inlineStr">
        <is>
          <t>Scheduled at CTL-1</t>
        </is>
      </c>
      <c r="B21" t="n">
        <v>730</v>
      </c>
      <c r="C21" t="inlineStr">
        <is>
          <t>SRIKAM HITECH ENGINEERING PRIV</t>
        </is>
      </c>
      <c r="D21" t="n">
        <v>1.6</v>
      </c>
      <c r="E21" t="n">
        <v>12.7</v>
      </c>
      <c r="F21" t="n">
        <v>0</v>
      </c>
      <c r="G21" t="n">
        <v>0.28</v>
      </c>
      <c r="H21" t="inlineStr">
        <is>
          <t>000000000111106833</t>
        </is>
      </c>
      <c r="I21" t="inlineStr">
        <is>
          <t>TM-O-N-AUT-AW-PE-12.70X1.600X5.7800</t>
        </is>
      </c>
      <c r="J21" t="n">
        <v>1939994</v>
      </c>
      <c r="K21" t="inlineStr">
        <is>
          <t>TUB-O-O-AUT-AW-PE-12.70X1.600X0.2800</t>
        </is>
      </c>
      <c r="L21" t="inlineStr">
        <is>
          <t>TVS</t>
        </is>
      </c>
      <c r="M21" t="inlineStr">
        <is>
          <t>12.7-0-1.6-ERW 1-PE</t>
        </is>
      </c>
      <c r="N21" t="inlineStr">
        <is>
          <t>12.7-0-1.6-ERW 1-PE-0.28</t>
        </is>
      </c>
    </row>
    <row r="22" hidden="1" s="584">
      <c r="A22" t="inlineStr">
        <is>
          <t>Scheduled at CTL-1</t>
        </is>
      </c>
      <c r="B22" t="n">
        <v>1246</v>
      </c>
      <c r="C22" t="inlineStr">
        <is>
          <t>Rajsriya Automotive Industries</t>
        </is>
      </c>
      <c r="D22" t="n">
        <v>2</v>
      </c>
      <c r="E22" t="n">
        <v>19.05</v>
      </c>
      <c r="F22" t="n">
        <v>0</v>
      </c>
      <c r="G22" t="n">
        <v>0.358</v>
      </c>
      <c r="H22" t="inlineStr">
        <is>
          <t>000000000110102443</t>
        </is>
      </c>
      <c r="I22" t="inlineStr">
        <is>
          <t>TM-O-O-AUT-AW-PE-19.05X2.000X6.2000</t>
        </is>
      </c>
      <c r="J22" t="n">
        <v>2403386</v>
      </c>
      <c r="K22" t="inlineStr">
        <is>
          <t>TUB-O-N-AUT-AW-PE-19.05X2.000X0.3580</t>
        </is>
      </c>
      <c r="L22" t="inlineStr">
        <is>
          <t>TVS</t>
        </is>
      </c>
      <c r="M22" t="inlineStr">
        <is>
          <t>19.05-0-2-ERW 1-PE</t>
        </is>
      </c>
      <c r="N22" t="inlineStr">
        <is>
          <t>19.05-0-2-ERW 1-PE-0.358</t>
        </is>
      </c>
    </row>
    <row r="23" hidden="1" s="584">
      <c r="A23" t="inlineStr">
        <is>
          <t>Scheduled at CTL-1</t>
        </is>
      </c>
      <c r="B23" t="n">
        <v>1800</v>
      </c>
      <c r="C23" t="inlineStr">
        <is>
          <t>Rajsriya Automotive Industries</t>
        </is>
      </c>
      <c r="D23" t="n">
        <v>1.6</v>
      </c>
      <c r="E23" t="n">
        <v>12.7</v>
      </c>
      <c r="F23" t="n">
        <v>0</v>
      </c>
      <c r="G23" t="n">
        <v>0.295</v>
      </c>
      <c r="H23" t="inlineStr">
        <is>
          <t>000000000111116473</t>
        </is>
      </c>
      <c r="I23" t="inlineStr">
        <is>
          <t>TM-O-N-AUT-AW-PE-12.70X1.600X5.1500</t>
        </is>
      </c>
      <c r="J23" t="n">
        <v>1939996</v>
      </c>
      <c r="K23" t="inlineStr">
        <is>
          <t>TUB-O-O-AUT-AW-PE-12.70X1.600X0.2950</t>
        </is>
      </c>
      <c r="L23" t="inlineStr">
        <is>
          <t>TVS</t>
        </is>
      </c>
      <c r="M23" t="inlineStr">
        <is>
          <t>12.7-0-1.6-ERW 1-PE</t>
        </is>
      </c>
      <c r="N23" t="inlineStr">
        <is>
          <t>12.7-0-1.6-ERW 1-PE-0.295</t>
        </is>
      </c>
    </row>
    <row r="24" hidden="1" s="584">
      <c r="A24" t="inlineStr">
        <is>
          <t>Scheduled at CTL-1</t>
        </is>
      </c>
      <c r="B24" t="n">
        <v>1825</v>
      </c>
      <c r="C24" t="inlineStr">
        <is>
          <t>Rajsriya Automotive Industries</t>
        </is>
      </c>
      <c r="D24" t="n">
        <v>1.6</v>
      </c>
      <c r="E24" t="n">
        <v>12.7</v>
      </c>
      <c r="F24" t="n">
        <v>0</v>
      </c>
      <c r="G24" t="n">
        <v>0.295</v>
      </c>
      <c r="H24" t="inlineStr">
        <is>
          <t>000000000111116473</t>
        </is>
      </c>
      <c r="I24" t="inlineStr">
        <is>
          <t>TM-O-N-AUT-AW-PE-12.70X1.600X5.1500</t>
        </is>
      </c>
      <c r="J24" t="n">
        <v>1939996</v>
      </c>
      <c r="K24" t="inlineStr">
        <is>
          <t>TUB-O-O-AUT-AW-PE-12.70X1.600X0.2950</t>
        </is>
      </c>
      <c r="L24" t="inlineStr">
        <is>
          <t>TVS</t>
        </is>
      </c>
      <c r="M24" t="inlineStr">
        <is>
          <t>12.7-0-1.6-ERW 1-PE</t>
        </is>
      </c>
      <c r="N24" t="inlineStr">
        <is>
          <t>12.7-0-1.6-ERW 1-PE-0.295</t>
        </is>
      </c>
    </row>
    <row r="25" hidden="1" s="584">
      <c r="A25" t="inlineStr">
        <is>
          <t>Scheduled at CTL-1</t>
        </is>
      </c>
      <c r="B25" t="n">
        <v>1112</v>
      </c>
      <c r="C25" t="inlineStr">
        <is>
          <t>Rajsriya Automotive Industries</t>
        </is>
      </c>
      <c r="D25" t="n">
        <v>2</v>
      </c>
      <c r="E25" t="n">
        <v>19.05</v>
      </c>
      <c r="F25" t="n">
        <v>0</v>
      </c>
      <c r="G25" t="n">
        <v>0.475</v>
      </c>
      <c r="H25" t="inlineStr">
        <is>
          <t>000000000111002199</t>
        </is>
      </c>
      <c r="I25" t="inlineStr">
        <is>
          <t>TM-O-N-AUT-AW-PE-19.05X2.000X5.9550</t>
        </is>
      </c>
      <c r="J25" t="n">
        <v>2403383</v>
      </c>
      <c r="K25" t="inlineStr">
        <is>
          <t>TUB-O-N-AUT-AW-PE-19.05X2.000X0.4750</t>
        </is>
      </c>
      <c r="L25" t="inlineStr">
        <is>
          <t>TVS</t>
        </is>
      </c>
      <c r="M25" t="inlineStr">
        <is>
          <t>19.05-0-2-ERW 1-PE</t>
        </is>
      </c>
      <c r="N25" t="inlineStr">
        <is>
          <t>19.05-0-2-ERW 1-PE-0.475</t>
        </is>
      </c>
    </row>
    <row r="26" hidden="1" s="584">
      <c r="A26" t="inlineStr">
        <is>
          <t>Scheduled at CTL-1</t>
        </is>
      </c>
      <c r="B26" t="n">
        <v>28</v>
      </c>
      <c r="C26" t="inlineStr">
        <is>
          <t>ELKAYEM AUTO ANCILLARIES (PVT)</t>
        </is>
      </c>
      <c r="D26" t="n">
        <v>1.6</v>
      </c>
      <c r="E26" t="n">
        <v>12.7</v>
      </c>
      <c r="F26" t="n">
        <v>0</v>
      </c>
      <c r="G26" t="n">
        <v>0.907</v>
      </c>
      <c r="H26" t="inlineStr">
        <is>
          <t>000000000111106834</t>
        </is>
      </c>
      <c r="I26" t="inlineStr">
        <is>
          <t>TM-O-N-AUT-AW-PE-12.70X1.600X6.4000</t>
        </is>
      </c>
      <c r="J26" t="n">
        <v>4151968</v>
      </c>
      <c r="K26" t="inlineStr">
        <is>
          <t>TUB-O-N-AUT-AW-PE-12.70X1.600X0.9070</t>
        </is>
      </c>
      <c r="L26" t="inlineStr">
        <is>
          <t>TVS</t>
        </is>
      </c>
      <c r="M26" t="inlineStr">
        <is>
          <t>12.7-0-1.6-ERW 1-PE</t>
        </is>
      </c>
      <c r="N26" t="inlineStr">
        <is>
          <t>12.7-0-1.6-ERW 1-PE-0.907</t>
        </is>
      </c>
    </row>
    <row r="27" hidden="1" s="584">
      <c r="A27" t="inlineStr">
        <is>
          <t>Scheduled at CTL-1</t>
        </is>
      </c>
      <c r="B27" t="n">
        <v>1159</v>
      </c>
      <c r="C27" t="inlineStr">
        <is>
          <t>ELKAYEM AUTO ANCILLARIES PRIVA</t>
        </is>
      </c>
      <c r="D27" t="n">
        <v>1.6</v>
      </c>
      <c r="E27" t="n">
        <v>12.7</v>
      </c>
      <c r="F27" t="n">
        <v>0</v>
      </c>
      <c r="G27" t="n">
        <v>0.95</v>
      </c>
      <c r="H27" t="inlineStr">
        <is>
          <t>000000000111106833</t>
        </is>
      </c>
      <c r="I27" t="inlineStr">
        <is>
          <t>TM-O-N-AUT-AW-PE-12.70X1.600X5.7800</t>
        </is>
      </c>
      <c r="J27" t="n">
        <v>3620427</v>
      </c>
      <c r="K27" t="inlineStr">
        <is>
          <t>TUB-O-N-AUT-AW-PE-12.70X1.600X0.9500</t>
        </is>
      </c>
      <c r="L27" t="inlineStr">
        <is>
          <t>TVS</t>
        </is>
      </c>
      <c r="M27" t="inlineStr">
        <is>
          <t>12.7-0-1.6-ERW 1-PE</t>
        </is>
      </c>
      <c r="N27" t="inlineStr">
        <is>
          <t>12.7-0-1.6-ERW 1-PE-0.95</t>
        </is>
      </c>
    </row>
    <row r="28" hidden="1" s="584">
      <c r="A28" t="inlineStr">
        <is>
          <t>Scheduled at CTL-1</t>
        </is>
      </c>
      <c r="B28" t="n">
        <v>320</v>
      </c>
      <c r="C28" t="inlineStr">
        <is>
          <t>Marathwada Auto Compo Pvt. Ltd</t>
        </is>
      </c>
      <c r="D28" t="n">
        <v>1.01</v>
      </c>
      <c r="E28" t="n">
        <v>19</v>
      </c>
      <c r="F28" t="n">
        <v>19</v>
      </c>
      <c r="G28" t="n">
        <v>0.871</v>
      </c>
      <c r="H28" t="inlineStr">
        <is>
          <t>000000000111102395</t>
        </is>
      </c>
      <c r="I28" t="inlineStr">
        <is>
          <t>TM-S-AW-AUT-19.00X19.00X1.000X5.7400</t>
        </is>
      </c>
      <c r="J28" t="n">
        <v>3605739</v>
      </c>
      <c r="K28" t="inlineStr">
        <is>
          <t>TUB-S-AW-AUT-19.00X19.00X1.010X0.8710</t>
        </is>
      </c>
      <c r="L28" t="inlineStr">
        <is>
          <t>TVS</t>
        </is>
      </c>
      <c r="M28" t="inlineStr">
        <is>
          <t>19-19-1-CRFH-PE</t>
        </is>
      </c>
      <c r="N28" t="inlineStr">
        <is>
          <t>19-19-1-CRFH-PE-0.871</t>
        </is>
      </c>
    </row>
    <row r="29" hidden="1" s="584">
      <c r="A29" t="inlineStr">
        <is>
          <t>Scheduled at CTL-1</t>
        </is>
      </c>
      <c r="B29" t="n">
        <v>226</v>
      </c>
      <c r="C29" t="inlineStr">
        <is>
          <t>Marathwada Auto Compo Pvt. Ltd</t>
        </is>
      </c>
      <c r="D29" t="n">
        <v>1.01</v>
      </c>
      <c r="E29" t="n">
        <v>19</v>
      </c>
      <c r="F29" t="n">
        <v>19</v>
      </c>
      <c r="G29" t="n">
        <v>0.871</v>
      </c>
      <c r="H29" t="inlineStr">
        <is>
          <t>000000000111117608</t>
        </is>
      </c>
      <c r="I29" t="inlineStr">
        <is>
          <t>TM-S-AW-AUT-19.00X19.00X1.000X5.8400</t>
        </is>
      </c>
      <c r="J29" t="n">
        <v>3605739</v>
      </c>
      <c r="K29" t="inlineStr">
        <is>
          <t>TUB-S-AW-AUT-19.00X19.00X1.010X0.8710</t>
        </is>
      </c>
      <c r="L29" t="inlineStr">
        <is>
          <t>TVS</t>
        </is>
      </c>
      <c r="M29" t="inlineStr">
        <is>
          <t>19-19-1-CRFH-PE</t>
        </is>
      </c>
      <c r="N29" t="inlineStr">
        <is>
          <t>19-19-1-CRFH-PE-0.871</t>
        </is>
      </c>
    </row>
    <row r="30" hidden="1" s="584">
      <c r="A30" t="inlineStr">
        <is>
          <t>Packing</t>
        </is>
      </c>
      <c r="B30" t="n">
        <v>2639</v>
      </c>
      <c r="C30" t="inlineStr">
        <is>
          <t>SRIKAM HITECH ENGINEERING PRIV</t>
        </is>
      </c>
      <c r="D30" t="n">
        <v>1.6</v>
      </c>
      <c r="E30" t="n">
        <v>12.7</v>
      </c>
      <c r="F30" t="n">
        <v>0</v>
      </c>
      <c r="G30" t="n">
        <v>6</v>
      </c>
      <c r="H30" t="inlineStr">
        <is>
          <t>000000000110102155</t>
        </is>
      </c>
      <c r="I30" t="inlineStr">
        <is>
          <t>TM-O-O-AUT-AW-PE-12.70X1.600X6.0000</t>
        </is>
      </c>
      <c r="J30" t="n">
        <v>1940014</v>
      </c>
      <c r="K30" t="inlineStr">
        <is>
          <t>TUB-O-O-GEN-AW-PE-12.70X1.600X6.0000</t>
        </is>
      </c>
      <c r="L30" t="inlineStr">
        <is>
          <t>TVS</t>
        </is>
      </c>
      <c r="M30" t="inlineStr">
        <is>
          <t>12.7-0-1.6-ERW 1-PE</t>
        </is>
      </c>
      <c r="N30" t="inlineStr">
        <is>
          <t>12.7-0-1.6-ERW 1-PE-1</t>
        </is>
      </c>
    </row>
    <row r="31" hidden="1" s="584">
      <c r="A31" t="inlineStr">
        <is>
          <t>Scheduled at CTL-1</t>
        </is>
      </c>
      <c r="B31" t="n">
        <v>601</v>
      </c>
      <c r="C31" t="inlineStr">
        <is>
          <t>BALAJI PRESS PRODUCTS INDIA</t>
        </is>
      </c>
      <c r="D31" t="n">
        <v>1.2</v>
      </c>
      <c r="E31" t="n">
        <v>19.05</v>
      </c>
      <c r="F31" t="n">
        <v>0</v>
      </c>
      <c r="G31" t="n">
        <v>0.513</v>
      </c>
      <c r="H31" t="inlineStr">
        <is>
          <t>000000000111002144</t>
        </is>
      </c>
      <c r="I31" t="inlineStr">
        <is>
          <t>TM-O-N-AUT-AW-PE-19.05X1.200X5.7400</t>
        </is>
      </c>
      <c r="J31" t="n">
        <v>2409616</v>
      </c>
      <c r="K31" t="inlineStr">
        <is>
          <t>TUB-O-N-AUT-AW-PE-19.05X1.200X0.5130</t>
        </is>
      </c>
      <c r="L31" t="inlineStr">
        <is>
          <t>TVS</t>
        </is>
      </c>
      <c r="M31" t="inlineStr">
        <is>
          <t>19.05-0-1.2-ERW 1-PE</t>
        </is>
      </c>
      <c r="N31" t="inlineStr">
        <is>
          <t>19.05-0-1.2-ERW 1-PE-0.513</t>
        </is>
      </c>
    </row>
    <row r="32" hidden="1" s="584">
      <c r="A32" t="inlineStr">
        <is>
          <t>Scheduled at CTL-1</t>
        </is>
      </c>
      <c r="B32" t="n">
        <v>2070</v>
      </c>
      <c r="C32" t="inlineStr">
        <is>
          <t>BALAJI PRESS PRODUCTS INDIA</t>
        </is>
      </c>
      <c r="D32" t="n">
        <v>1</v>
      </c>
      <c r="E32" t="n">
        <v>19.05</v>
      </c>
      <c r="F32" t="n">
        <v>0</v>
      </c>
      <c r="G32" t="n">
        <v>1.2</v>
      </c>
      <c r="H32" t="inlineStr">
        <is>
          <t>000000000111116350</t>
        </is>
      </c>
      <c r="I32" t="inlineStr">
        <is>
          <t>TM-O-N-AUT-AW-PE-19.05X1.020X6.0800</t>
        </is>
      </c>
      <c r="J32" t="n">
        <v>3635694</v>
      </c>
      <c r="K32" t="inlineStr">
        <is>
          <t>TUB-O-N-AUT-AW-PE-19.05X1.000X1.2000</t>
        </is>
      </c>
      <c r="L32" t="inlineStr">
        <is>
          <t>TVS</t>
        </is>
      </c>
      <c r="M32" t="inlineStr">
        <is>
          <t>19.05-0-1-ERW 1-PE</t>
        </is>
      </c>
      <c r="N32" t="inlineStr">
        <is>
          <t>19.05-0-1-ERW 1-PE-1.2</t>
        </is>
      </c>
    </row>
    <row r="33" hidden="1" s="584">
      <c r="A33" t="inlineStr">
        <is>
          <t>Scheduled at CTL-1</t>
        </is>
      </c>
      <c r="B33" t="n">
        <v>371</v>
      </c>
      <c r="C33" t="inlineStr">
        <is>
          <t>Marathwada Auto Compo Pvt. Ltd</t>
        </is>
      </c>
      <c r="D33" t="n">
        <v>1</v>
      </c>
      <c r="E33" t="n">
        <v>19.05</v>
      </c>
      <c r="F33" t="n">
        <v>0</v>
      </c>
      <c r="G33" t="n">
        <v>1.2</v>
      </c>
      <c r="H33" t="inlineStr">
        <is>
          <t>000000000111116350</t>
        </is>
      </c>
      <c r="I33" t="inlineStr">
        <is>
          <t>TM-O-N-AUT-AW-PE-19.05X1.020X6.0800</t>
        </is>
      </c>
      <c r="J33" t="n">
        <v>3635694</v>
      </c>
      <c r="K33" t="inlineStr">
        <is>
          <t>TUB-O-N-AUT-AW-PE-19.05X1.000X1.2000</t>
        </is>
      </c>
      <c r="L33" t="inlineStr">
        <is>
          <t>TVS</t>
        </is>
      </c>
      <c r="M33" t="inlineStr">
        <is>
          <t>19.05-0-1-ERW 1-PE</t>
        </is>
      </c>
      <c r="N33" t="inlineStr">
        <is>
          <t>19.05-0-1-ERW 1-PE-1.2</t>
        </is>
      </c>
    </row>
    <row r="34" hidden="1" s="584">
      <c r="A34" t="inlineStr">
        <is>
          <t>Scheduled at CTL-1</t>
        </is>
      </c>
      <c r="B34" t="n">
        <v>1619</v>
      </c>
      <c r="C34" t="inlineStr">
        <is>
          <t>Marathwada Auto Compo Pvt. Ltd</t>
        </is>
      </c>
      <c r="D34" t="n">
        <v>1</v>
      </c>
      <c r="E34" t="n">
        <v>19.05</v>
      </c>
      <c r="F34" t="n">
        <v>0</v>
      </c>
      <c r="G34" t="n">
        <v>1.2</v>
      </c>
      <c r="H34" t="inlineStr">
        <is>
          <t>000000000111002371</t>
        </is>
      </c>
      <c r="I34" t="inlineStr">
        <is>
          <t>TM-O-N-AUT-AW-PE-19.05X1.000X5.5750</t>
        </is>
      </c>
      <c r="J34" t="n">
        <v>3635694</v>
      </c>
      <c r="K34" t="inlineStr">
        <is>
          <t>TUB-O-N-AUT-AW-PE-19.05X1.000X1.2000</t>
        </is>
      </c>
      <c r="L34" t="inlineStr">
        <is>
          <t>TVS</t>
        </is>
      </c>
      <c r="M34" t="inlineStr">
        <is>
          <t>19.05-0-1-ERW 1-PE</t>
        </is>
      </c>
      <c r="N34" t="inlineStr">
        <is>
          <t>19.05-0-1-ERW 1-PE-1.2</t>
        </is>
      </c>
    </row>
    <row r="35" hidden="1" s="584">
      <c r="A35" t="inlineStr">
        <is>
          <t>Scheduled at CTL-1</t>
        </is>
      </c>
      <c r="B35" t="n">
        <v>2442</v>
      </c>
      <c r="C35" t="inlineStr">
        <is>
          <t>BALAJI PRESS PRODUCTS INDIA</t>
        </is>
      </c>
      <c r="D35" t="n">
        <v>1</v>
      </c>
      <c r="E35" t="n">
        <v>19.05</v>
      </c>
      <c r="F35" t="n">
        <v>0</v>
      </c>
      <c r="G35" t="n">
        <v>1.2</v>
      </c>
      <c r="H35" t="inlineStr">
        <is>
          <t>000000000111116350</t>
        </is>
      </c>
      <c r="I35" t="inlineStr">
        <is>
          <t>TM-O-N-AUT-AW-PE-19.05X1.020X6.0800</t>
        </is>
      </c>
      <c r="J35" t="n">
        <v>3635694</v>
      </c>
      <c r="K35" t="inlineStr">
        <is>
          <t>TUB-O-N-AUT-AW-PE-19.05X1.000X1.2000</t>
        </is>
      </c>
      <c r="L35" t="inlineStr">
        <is>
          <t>TVS</t>
        </is>
      </c>
      <c r="M35" t="inlineStr">
        <is>
          <t>19.05-0-1-ERW 1-PE</t>
        </is>
      </c>
      <c r="N35" t="inlineStr">
        <is>
          <t>19.05-0-1-ERW 1-PE-1.2</t>
        </is>
      </c>
    </row>
    <row r="36" hidden="1" s="584">
      <c r="A36" t="inlineStr">
        <is>
          <t>Scheduled at CTL-1</t>
        </is>
      </c>
      <c r="B36" t="n">
        <v>1836</v>
      </c>
      <c r="C36" t="inlineStr">
        <is>
          <t>Marathwada Auto Compo Pvt. Ltd</t>
        </is>
      </c>
      <c r="D36" t="n">
        <v>1</v>
      </c>
      <c r="E36" t="n">
        <v>19.05</v>
      </c>
      <c r="F36" t="n">
        <v>0</v>
      </c>
      <c r="G36" t="n">
        <v>1.2</v>
      </c>
      <c r="H36" t="inlineStr">
        <is>
          <t>000000000111116350</t>
        </is>
      </c>
      <c r="I36" t="inlineStr">
        <is>
          <t>TM-O-N-AUT-AW-PE-19.05X1.020X6.0800</t>
        </is>
      </c>
      <c r="J36" t="n">
        <v>3635694</v>
      </c>
      <c r="K36" t="inlineStr">
        <is>
          <t>TUB-O-N-AUT-AW-PE-19.05X1.000X1.2000</t>
        </is>
      </c>
      <c r="L36" t="inlineStr">
        <is>
          <t>TVS</t>
        </is>
      </c>
      <c r="M36" t="inlineStr">
        <is>
          <t>19.05-0-1-ERW 1-PE</t>
        </is>
      </c>
      <c r="N36" t="inlineStr">
        <is>
          <t>19.05-0-1-ERW 1-PE-1.2</t>
        </is>
      </c>
    </row>
    <row r="37" hidden="1" s="584">
      <c r="A37" t="inlineStr">
        <is>
          <t>Scheduled at CTL-1</t>
        </is>
      </c>
      <c r="B37" t="n">
        <v>1840</v>
      </c>
      <c r="C37" t="inlineStr">
        <is>
          <t>Marathwada Auto Compo Pvt. Ltd</t>
        </is>
      </c>
      <c r="D37" t="n">
        <v>1</v>
      </c>
      <c r="E37" t="n">
        <v>19.05</v>
      </c>
      <c r="F37" t="n">
        <v>0</v>
      </c>
      <c r="G37" t="n">
        <v>1.2</v>
      </c>
      <c r="H37" t="inlineStr">
        <is>
          <t>000000000111116350</t>
        </is>
      </c>
      <c r="I37" t="inlineStr">
        <is>
          <t>TM-O-N-AUT-AW-PE-19.05X1.020X6.0800</t>
        </is>
      </c>
      <c r="J37" t="n">
        <v>3635694</v>
      </c>
      <c r="K37" t="inlineStr">
        <is>
          <t>TUB-O-N-AUT-AW-PE-19.05X1.000X1.2000</t>
        </is>
      </c>
      <c r="L37" t="inlineStr">
        <is>
          <t>TVS</t>
        </is>
      </c>
      <c r="M37" t="inlineStr">
        <is>
          <t>19.05-0-1-ERW 1-PE</t>
        </is>
      </c>
      <c r="N37" t="inlineStr">
        <is>
          <t>19.05-0-1-ERW 1-PE-1.2</t>
        </is>
      </c>
    </row>
    <row r="38" hidden="1" s="584">
      <c r="A38" t="inlineStr">
        <is>
          <t>Scheduled at CTL-1</t>
        </is>
      </c>
      <c r="B38" t="n">
        <v>1830</v>
      </c>
      <c r="C38" t="inlineStr">
        <is>
          <t>Marathwada Auto Compo Pvt. Ltd</t>
        </is>
      </c>
      <c r="D38" t="n">
        <v>1</v>
      </c>
      <c r="E38" t="n">
        <v>19.05</v>
      </c>
      <c r="F38" t="n">
        <v>0</v>
      </c>
      <c r="G38" t="n">
        <v>1.2</v>
      </c>
      <c r="H38" t="inlineStr">
        <is>
          <t>000000000111116350</t>
        </is>
      </c>
      <c r="I38" t="inlineStr">
        <is>
          <t>TM-O-N-AUT-AW-PE-19.05X1.020X6.0800</t>
        </is>
      </c>
      <c r="J38" t="n">
        <v>3635694</v>
      </c>
      <c r="K38" t="inlineStr">
        <is>
          <t>TUB-O-N-AUT-AW-PE-19.05X1.000X1.2000</t>
        </is>
      </c>
      <c r="L38" t="inlineStr">
        <is>
          <t>TVS</t>
        </is>
      </c>
      <c r="M38" t="inlineStr">
        <is>
          <t>19.05-0-1-ERW 1-PE</t>
        </is>
      </c>
      <c r="N38" t="inlineStr">
        <is>
          <t>19.05-0-1-ERW 1-PE-1.2</t>
        </is>
      </c>
    </row>
    <row r="39" hidden="1" s="584">
      <c r="A39" t="inlineStr">
        <is>
          <t>Scheduled at CTL-1</t>
        </is>
      </c>
      <c r="B39" t="n">
        <v>167</v>
      </c>
      <c r="C39" t="inlineStr">
        <is>
          <t>BALAJI PRESS PRODUCTS INDIA</t>
        </is>
      </c>
      <c r="D39" t="n">
        <v>1.2</v>
      </c>
      <c r="E39" t="n">
        <v>19.05</v>
      </c>
      <c r="F39" t="n">
        <v>0</v>
      </c>
      <c r="G39" t="n">
        <v>1.275</v>
      </c>
      <c r="H39" t="inlineStr">
        <is>
          <t>000000000111116483</t>
        </is>
      </c>
      <c r="I39" t="inlineStr">
        <is>
          <t>TM-O-N-AUT-AW-PE-19.05X1.200X6.4500</t>
        </is>
      </c>
      <c r="J39" t="n">
        <v>3409367</v>
      </c>
      <c r="K39" t="inlineStr">
        <is>
          <t>TUB-O-N-AUT-AW-PE-19.05X1.200X1.2750</t>
        </is>
      </c>
      <c r="L39" t="inlineStr">
        <is>
          <t>TVS</t>
        </is>
      </c>
      <c r="M39" t="inlineStr">
        <is>
          <t>19.05-0-1.2-ERW 1-PE</t>
        </is>
      </c>
      <c r="N39" t="inlineStr">
        <is>
          <t>19.05-0-1.2-ERW 1-PE-1.275</t>
        </is>
      </c>
    </row>
    <row r="40" hidden="1" s="584">
      <c r="A40" t="inlineStr">
        <is>
          <t>Scheduled at CTL-1</t>
        </is>
      </c>
      <c r="B40" t="n">
        <v>569</v>
      </c>
      <c r="C40" t="inlineStr">
        <is>
          <t>BALAJI PRESS PRODUCTS INDIA</t>
        </is>
      </c>
      <c r="D40" t="n">
        <v>1.2</v>
      </c>
      <c r="E40" t="n">
        <v>19.05</v>
      </c>
      <c r="F40" t="n">
        <v>0</v>
      </c>
      <c r="G40" t="n">
        <v>1.275</v>
      </c>
      <c r="H40" t="inlineStr">
        <is>
          <t>000000000111116483</t>
        </is>
      </c>
      <c r="I40" t="inlineStr">
        <is>
          <t>TM-O-N-AUT-AW-PE-19.05X1.200X6.4500</t>
        </is>
      </c>
      <c r="J40" t="n">
        <v>3409367</v>
      </c>
      <c r="K40" t="inlineStr">
        <is>
          <t>TUB-O-N-AUT-AW-PE-19.05X1.200X1.2750</t>
        </is>
      </c>
      <c r="L40" t="inlineStr">
        <is>
          <t>TVS</t>
        </is>
      </c>
      <c r="M40" t="inlineStr">
        <is>
          <t>19.05-0-1.2-ERW 1-PE</t>
        </is>
      </c>
      <c r="N40" t="inlineStr">
        <is>
          <t>19.05-0-1.2-ERW 1-PE-1.275</t>
        </is>
      </c>
    </row>
    <row r="41" hidden="1" s="584">
      <c r="A41" t="inlineStr">
        <is>
          <t>Scheduled at CTL-1</t>
        </is>
      </c>
      <c r="B41" t="n">
        <v>2945</v>
      </c>
      <c r="C41" t="inlineStr">
        <is>
          <t>BALAJI PRESS PRODUCTS INDIA</t>
        </is>
      </c>
      <c r="D41" t="n">
        <v>1.2</v>
      </c>
      <c r="E41" t="n">
        <v>19.05</v>
      </c>
      <c r="F41" t="n">
        <v>0</v>
      </c>
      <c r="G41" t="n">
        <v>1.275</v>
      </c>
      <c r="H41" t="inlineStr">
        <is>
          <t>000000000111116483</t>
        </is>
      </c>
      <c r="I41" t="inlineStr">
        <is>
          <t>TM-O-N-AUT-AW-PE-19.05X1.200X6.4500</t>
        </is>
      </c>
      <c r="J41" t="n">
        <v>3409367</v>
      </c>
      <c r="K41" t="inlineStr">
        <is>
          <t>TUB-O-N-AUT-AW-PE-19.05X1.200X1.2750</t>
        </is>
      </c>
      <c r="L41" t="inlineStr">
        <is>
          <t>TVS</t>
        </is>
      </c>
      <c r="M41" t="inlineStr">
        <is>
          <t>19.05-0-1.2-ERW 1-PE</t>
        </is>
      </c>
      <c r="N41" t="inlineStr">
        <is>
          <t>19.05-0-1.2-ERW 1-PE-1.275</t>
        </is>
      </c>
    </row>
    <row r="42" hidden="1" s="584">
      <c r="A42" t="inlineStr">
        <is>
          <t>Scheduled at CTL-1</t>
        </is>
      </c>
      <c r="B42" t="n">
        <v>132</v>
      </c>
      <c r="C42" t="inlineStr">
        <is>
          <t>BALAJI PRESS PRODUCTS INDIA</t>
        </is>
      </c>
      <c r="D42" t="n">
        <v>1.2</v>
      </c>
      <c r="E42" t="n">
        <v>19.05</v>
      </c>
      <c r="F42" t="n">
        <v>0</v>
      </c>
      <c r="G42" t="n">
        <v>0.109</v>
      </c>
      <c r="H42" t="inlineStr">
        <is>
          <t>000000000110102339</t>
        </is>
      </c>
      <c r="I42" t="inlineStr">
        <is>
          <t>TM-O-O-AUT-AW-PE-19.05X1.200X6.2150</t>
        </is>
      </c>
      <c r="J42" t="n">
        <v>3409366</v>
      </c>
      <c r="K42" t="inlineStr">
        <is>
          <t>TUB-O-N-AUT-AW-PE-19.05X1.200X0.1090</t>
        </is>
      </c>
      <c r="L42" t="inlineStr">
        <is>
          <t>TVS</t>
        </is>
      </c>
      <c r="M42" t="inlineStr">
        <is>
          <t>19.05-0-1.2-ERW 1-PE</t>
        </is>
      </c>
      <c r="N42" t="inlineStr">
        <is>
          <t>19.05-0-1.2-ERW 1-PE-0.109</t>
        </is>
      </c>
    </row>
    <row r="43" hidden="1" s="584">
      <c r="A43" t="inlineStr">
        <is>
          <t>Scheduled at CTL-1</t>
        </is>
      </c>
      <c r="B43" t="n">
        <v>1191</v>
      </c>
      <c r="C43" t="inlineStr">
        <is>
          <t>Sri Balaji Gears</t>
        </is>
      </c>
      <c r="D43" t="n">
        <v>1.2</v>
      </c>
      <c r="E43" t="n">
        <v>19.05</v>
      </c>
      <c r="F43" t="n">
        <v>0</v>
      </c>
      <c r="G43" t="n">
        <v>0.33</v>
      </c>
      <c r="H43" t="inlineStr">
        <is>
          <t>000000000111121736</t>
        </is>
      </c>
      <c r="I43" t="inlineStr">
        <is>
          <t>TM-O-N-AUT-AW-PE-19.05X1.200X5.7400</t>
        </is>
      </c>
      <c r="J43" t="n">
        <v>3935313</v>
      </c>
      <c r="K43" t="inlineStr">
        <is>
          <t>CUT-O-N-AUT-AW-PE-19.05X1.200X0.33</t>
        </is>
      </c>
      <c r="L43" t="inlineStr">
        <is>
          <t>TVS</t>
        </is>
      </c>
      <c r="M43" t="inlineStr">
        <is>
          <t>19.05-0-1.2-CRFH-PE</t>
        </is>
      </c>
      <c r="N43" t="inlineStr">
        <is>
          <t>19.05-0-1.2-CRFH-PE-0.33</t>
        </is>
      </c>
    </row>
    <row r="44" hidden="1" s="584">
      <c r="A44" t="inlineStr">
        <is>
          <t>Scheduled at CTL-1</t>
        </is>
      </c>
      <c r="B44" t="n">
        <v>2296</v>
      </c>
      <c r="C44" t="inlineStr">
        <is>
          <t>Sri Balaji Gears</t>
        </is>
      </c>
      <c r="D44" t="n">
        <v>1.2</v>
      </c>
      <c r="E44" t="n">
        <v>19.05</v>
      </c>
      <c r="F44" t="n">
        <v>0</v>
      </c>
      <c r="G44" t="n">
        <v>0.33</v>
      </c>
      <c r="H44" t="inlineStr">
        <is>
          <t>000000000111121736</t>
        </is>
      </c>
      <c r="I44" t="inlineStr">
        <is>
          <t>TM-O-N-AUT-AW-PE-19.05X1.200X5.7400</t>
        </is>
      </c>
      <c r="J44" t="n">
        <v>3935313</v>
      </c>
      <c r="K44" t="inlineStr">
        <is>
          <t>CUT-O-N-AUT-AW-PE-19.05X1.200X0.33</t>
        </is>
      </c>
      <c r="L44" t="inlineStr">
        <is>
          <t>TVS</t>
        </is>
      </c>
      <c r="M44" t="inlineStr">
        <is>
          <t>19.05-0-1.2-CRFH-PE</t>
        </is>
      </c>
      <c r="N44" t="inlineStr">
        <is>
          <t>19.05-0-1.2-CRFH-PE-0.33</t>
        </is>
      </c>
    </row>
    <row r="45" hidden="1" s="584">
      <c r="A45" t="inlineStr">
        <is>
          <t>Scheduled at CTL-1</t>
        </is>
      </c>
      <c r="B45" t="n">
        <v>129</v>
      </c>
      <c r="C45" t="inlineStr">
        <is>
          <t>Neel Metal Products Limited</t>
        </is>
      </c>
      <c r="D45" t="n">
        <v>1.2</v>
      </c>
      <c r="E45" t="n">
        <v>19.05</v>
      </c>
      <c r="F45" t="n">
        <v>0</v>
      </c>
      <c r="G45" t="n">
        <v>0.631</v>
      </c>
      <c r="H45" t="inlineStr">
        <is>
          <t>000000000111120702</t>
        </is>
      </c>
      <c r="I45" t="inlineStr">
        <is>
          <t>TM-O-N-AUT-AW-PE-19.05X1.200X5.7700</t>
        </is>
      </c>
      <c r="J45" t="n">
        <v>1940188</v>
      </c>
      <c r="K45" t="inlineStr">
        <is>
          <t>TUB-O-O-AUT-AW-PE-19.05X1.200X0.6310</t>
        </is>
      </c>
      <c r="L45" t="inlineStr">
        <is>
          <t>TVS</t>
        </is>
      </c>
      <c r="M45" t="inlineStr">
        <is>
          <t>19.05-0-1.2-ERW 1-PE</t>
        </is>
      </c>
      <c r="N45" t="inlineStr">
        <is>
          <t>19.05-0-1.2-ERW 1-PE-0.631</t>
        </is>
      </c>
    </row>
    <row r="46" hidden="1" s="584">
      <c r="A46" t="inlineStr">
        <is>
          <t>Scheduled at CTL-1</t>
        </is>
      </c>
      <c r="B46" t="n">
        <v>2060</v>
      </c>
      <c r="C46" t="inlineStr">
        <is>
          <t>Neel Metal Products Limited</t>
        </is>
      </c>
      <c r="D46" t="n">
        <v>1.2</v>
      </c>
      <c r="E46" t="n">
        <v>19.05</v>
      </c>
      <c r="F46" t="n">
        <v>0</v>
      </c>
      <c r="G46" t="n">
        <v>0.631</v>
      </c>
      <c r="H46" t="inlineStr">
        <is>
          <t>000000000111120702</t>
        </is>
      </c>
      <c r="I46" t="inlineStr">
        <is>
          <t>TM-O-N-AUT-AW-PE-19.05X1.200X5.7700</t>
        </is>
      </c>
      <c r="J46" t="n">
        <v>1940188</v>
      </c>
      <c r="K46" t="inlineStr">
        <is>
          <t>TUB-O-O-AUT-AW-PE-19.05X1.200X0.6310</t>
        </is>
      </c>
      <c r="L46" t="inlineStr">
        <is>
          <t>TVS</t>
        </is>
      </c>
      <c r="M46" t="inlineStr">
        <is>
          <t>19.05-0-1.2-ERW 1-PE</t>
        </is>
      </c>
      <c r="N46" t="inlineStr">
        <is>
          <t>19.05-0-1.2-ERW 1-PE-0.631</t>
        </is>
      </c>
    </row>
    <row r="47" hidden="1" s="584">
      <c r="A47" t="inlineStr">
        <is>
          <t>Scheduled at CTL-1</t>
        </is>
      </c>
      <c r="B47" t="n">
        <v>2070</v>
      </c>
      <c r="C47" t="inlineStr">
        <is>
          <t>Neel Metal Products Limited</t>
        </is>
      </c>
      <c r="D47" t="n">
        <v>1.2</v>
      </c>
      <c r="E47" t="n">
        <v>19.05</v>
      </c>
      <c r="F47" t="n">
        <v>0</v>
      </c>
      <c r="G47" t="n">
        <v>0.631</v>
      </c>
      <c r="H47" t="inlineStr">
        <is>
          <t>000000000111120702</t>
        </is>
      </c>
      <c r="I47" t="inlineStr">
        <is>
          <t>TM-O-N-AUT-AW-PE-19.05X1.200X5.7700</t>
        </is>
      </c>
      <c r="J47" t="n">
        <v>1940188</v>
      </c>
      <c r="K47" t="inlineStr">
        <is>
          <t>TUB-O-O-AUT-AW-PE-19.05X1.200X0.6310</t>
        </is>
      </c>
      <c r="L47" t="inlineStr">
        <is>
          <t>TVS</t>
        </is>
      </c>
      <c r="M47" t="inlineStr">
        <is>
          <t>19.05-0-1.2-ERW 1-PE</t>
        </is>
      </c>
      <c r="N47" t="inlineStr">
        <is>
          <t>19.05-0-1.2-ERW 1-PE-0.631</t>
        </is>
      </c>
    </row>
    <row r="48" hidden="1" s="584">
      <c r="A48" t="inlineStr">
        <is>
          <t>Scheduled at CTL-1</t>
        </is>
      </c>
      <c r="B48" t="n">
        <v>508</v>
      </c>
      <c r="C48" t="inlineStr">
        <is>
          <t>BALAJI PRESS PRODUCTS INDIA</t>
        </is>
      </c>
      <c r="D48" t="n">
        <v>1.2</v>
      </c>
      <c r="E48" t="n">
        <v>15.88</v>
      </c>
      <c r="F48" t="n">
        <v>0</v>
      </c>
      <c r="G48" t="n">
        <v>0.54</v>
      </c>
      <c r="H48" t="inlineStr">
        <is>
          <t>000000000111116475</t>
        </is>
      </c>
      <c r="I48" t="inlineStr">
        <is>
          <t>TM-O-N-AUT-AW-PE-15.88X1.200X5.5200</t>
        </is>
      </c>
      <c r="J48" t="n">
        <v>1940034</v>
      </c>
      <c r="K48" t="inlineStr">
        <is>
          <t>TUB-O-O-AUT-AW-PE-15.88X1.200X0.5400</t>
        </is>
      </c>
      <c r="L48" t="inlineStr">
        <is>
          <t>TVS</t>
        </is>
      </c>
      <c r="M48" t="inlineStr">
        <is>
          <t>15.88-0-1.2-ERW 1-PE</t>
        </is>
      </c>
      <c r="N48" t="inlineStr">
        <is>
          <t>15.88-0-1.2-ERW 1-PE-0.54</t>
        </is>
      </c>
    </row>
    <row r="49" hidden="1" s="584">
      <c r="A49" t="inlineStr">
        <is>
          <t>Scheduled at CTL-1</t>
        </is>
      </c>
      <c r="B49" t="n">
        <v>488</v>
      </c>
      <c r="C49" t="inlineStr">
        <is>
          <t>BALAJI PRESS PRODUCTS INDIA</t>
        </is>
      </c>
      <c r="D49" t="n">
        <v>1.2</v>
      </c>
      <c r="E49" t="n">
        <v>15.88</v>
      </c>
      <c r="F49" t="n">
        <v>0</v>
      </c>
      <c r="G49" t="n">
        <v>0.68</v>
      </c>
      <c r="H49" t="inlineStr">
        <is>
          <t>000000000111116475</t>
        </is>
      </c>
      <c r="I49" t="inlineStr">
        <is>
          <t>TM-O-N-AUT-AW-PE-15.88X1.200X5.5200</t>
        </is>
      </c>
      <c r="J49" t="n">
        <v>1940038</v>
      </c>
      <c r="K49" t="inlineStr">
        <is>
          <t>TUB-O-O-AUT-AW-PE-15.88X1.200X0.6800</t>
        </is>
      </c>
      <c r="L49" t="inlineStr">
        <is>
          <t>TVS</t>
        </is>
      </c>
      <c r="M49" t="inlineStr">
        <is>
          <t>15.88-0-1.2-ERW 1-PE</t>
        </is>
      </c>
      <c r="N49" t="inlineStr">
        <is>
          <t>15.88-0-1.2-ERW 1-PE-0.68</t>
        </is>
      </c>
    </row>
    <row r="50" hidden="1" s="584">
      <c r="A50" t="inlineStr">
        <is>
          <t>Scheduled at CTL-1</t>
        </is>
      </c>
      <c r="B50" t="n">
        <v>418</v>
      </c>
      <c r="C50" t="inlineStr">
        <is>
          <t>BALAJI PRESS PRODUCTS INDIA</t>
        </is>
      </c>
      <c r="D50" t="n">
        <v>1.2</v>
      </c>
      <c r="E50" t="n">
        <v>15.88</v>
      </c>
      <c r="F50" t="n">
        <v>0</v>
      </c>
      <c r="G50" t="n">
        <v>0.68</v>
      </c>
      <c r="H50" t="inlineStr">
        <is>
          <t>000000000111116475</t>
        </is>
      </c>
      <c r="I50" t="inlineStr">
        <is>
          <t>TM-O-N-AUT-AW-PE-15.88X1.200X5.5200</t>
        </is>
      </c>
      <c r="J50" t="n">
        <v>1940038</v>
      </c>
      <c r="K50" t="inlineStr">
        <is>
          <t>TUB-O-O-AUT-AW-PE-15.88X1.200X0.6800</t>
        </is>
      </c>
      <c r="L50" t="inlineStr">
        <is>
          <t>TVS</t>
        </is>
      </c>
      <c r="M50" t="inlineStr">
        <is>
          <t>15.88-0-1.2-ERW 1-PE</t>
        </is>
      </c>
      <c r="N50" t="inlineStr">
        <is>
          <t>15.88-0-1.2-ERW 1-PE-0.68</t>
        </is>
      </c>
    </row>
    <row r="51" hidden="1" s="584">
      <c r="A51" t="inlineStr">
        <is>
          <t>Scheduled at CTL-1</t>
        </is>
      </c>
      <c r="B51" t="n">
        <v>432</v>
      </c>
      <c r="C51" t="inlineStr">
        <is>
          <t>BALAJI PRESS PRODUCTS INDIA</t>
        </is>
      </c>
      <c r="D51" t="n">
        <v>1.2</v>
      </c>
      <c r="E51" t="n">
        <v>15.88</v>
      </c>
      <c r="F51" t="n">
        <v>0</v>
      </c>
      <c r="G51" t="n">
        <v>0.68</v>
      </c>
      <c r="H51" t="inlineStr">
        <is>
          <t>000000000111116475</t>
        </is>
      </c>
      <c r="I51" t="inlineStr">
        <is>
          <t>TM-O-N-AUT-AW-PE-15.88X1.200X5.5200</t>
        </is>
      </c>
      <c r="J51" t="n">
        <v>1940038</v>
      </c>
      <c r="K51" t="inlineStr">
        <is>
          <t>TUB-O-O-AUT-AW-PE-15.88X1.200X0.6800</t>
        </is>
      </c>
      <c r="L51" t="inlineStr">
        <is>
          <t>TVS</t>
        </is>
      </c>
      <c r="M51" t="inlineStr">
        <is>
          <t>15.88-0-1.2-ERW 1-PE</t>
        </is>
      </c>
      <c r="N51" t="inlineStr">
        <is>
          <t>15.88-0-1.2-ERW 1-PE-0.68</t>
        </is>
      </c>
    </row>
    <row r="52" hidden="1" s="584">
      <c r="A52" t="inlineStr">
        <is>
          <t>Scheduled at CTL-1</t>
        </is>
      </c>
      <c r="B52" t="n">
        <v>1288</v>
      </c>
      <c r="C52" t="inlineStr">
        <is>
          <t>BALAJI PRESS PRODUCTS INDIA</t>
        </is>
      </c>
      <c r="D52" t="n">
        <v>1.2</v>
      </c>
      <c r="E52" t="n">
        <v>15.88</v>
      </c>
      <c r="F52" t="n">
        <v>0</v>
      </c>
      <c r="G52" t="n">
        <v>0.755</v>
      </c>
      <c r="H52" t="inlineStr">
        <is>
          <t>000000000111114034</t>
        </is>
      </c>
      <c r="I52" t="inlineStr">
        <is>
          <t>TM-O-N-AUT-AW-PE-15.88X1.200X4.6300</t>
        </is>
      </c>
      <c r="J52" t="n">
        <v>3715199</v>
      </c>
      <c r="K52" t="inlineStr">
        <is>
          <t>TUB-O-O-AUT-AW-PE-15.88X1.200X0.7550</t>
        </is>
      </c>
      <c r="L52" t="inlineStr">
        <is>
          <t>TVS</t>
        </is>
      </c>
      <c r="M52" t="inlineStr">
        <is>
          <t>15.88-0-1.2-ERW 1-PE</t>
        </is>
      </c>
      <c r="N52" t="inlineStr">
        <is>
          <t>15.88-0-1.2-ERW 1-PE-0.755</t>
        </is>
      </c>
    </row>
    <row r="53" hidden="1" s="584">
      <c r="A53" t="inlineStr">
        <is>
          <t>Scheduled at CTL-1</t>
        </is>
      </c>
      <c r="B53" t="n">
        <v>1493</v>
      </c>
      <c r="C53" t="inlineStr">
        <is>
          <t>SRIKAM HITECH ENGINEERING PRIV</t>
        </is>
      </c>
      <c r="D53" t="n">
        <v>1.6</v>
      </c>
      <c r="E53" t="n">
        <v>15.88</v>
      </c>
      <c r="F53" t="n">
        <v>0</v>
      </c>
      <c r="G53" t="n">
        <v>0.435</v>
      </c>
      <c r="H53" t="inlineStr">
        <is>
          <t>000000000111106839</t>
        </is>
      </c>
      <c r="I53" t="inlineStr">
        <is>
          <t>TM-O-N-AUT-AW-PE-15.88X1.600X5.7600</t>
        </is>
      </c>
      <c r="J53" t="n">
        <v>3620428</v>
      </c>
      <c r="K53" t="inlineStr">
        <is>
          <t>TUB-O-N-AUT-AW-PE-15.88X1.600X0.4350</t>
        </is>
      </c>
      <c r="L53" t="inlineStr">
        <is>
          <t>TVS</t>
        </is>
      </c>
      <c r="M53" t="inlineStr">
        <is>
          <t>15.88-0-1.6-ERW 1-PE</t>
        </is>
      </c>
      <c r="N53" t="inlineStr">
        <is>
          <t>15.88-0-1.6-ERW 1-PE-0.435</t>
        </is>
      </c>
    </row>
    <row r="54" hidden="1" s="584">
      <c r="A54" t="inlineStr">
        <is>
          <t>Scheduled at CTL-1</t>
        </is>
      </c>
      <c r="B54" t="n">
        <v>16</v>
      </c>
      <c r="C54" t="inlineStr">
        <is>
          <t>SRIKAM HITECH ENGINEERING PRIV</t>
        </is>
      </c>
      <c r="D54" t="n">
        <v>1.6</v>
      </c>
      <c r="E54" t="n">
        <v>15.88</v>
      </c>
      <c r="F54" t="n">
        <v>0</v>
      </c>
      <c r="G54" t="n">
        <v>0.435</v>
      </c>
      <c r="H54" t="inlineStr">
        <is>
          <t>000000000111106839</t>
        </is>
      </c>
      <c r="I54" t="inlineStr">
        <is>
          <t>TM-O-N-AUT-AW-PE-15.88X1.600X5.7600</t>
        </is>
      </c>
      <c r="J54" t="n">
        <v>3620428</v>
      </c>
      <c r="K54" t="inlineStr">
        <is>
          <t>TUB-O-N-AUT-AW-PE-15.88X1.600X0.4350</t>
        </is>
      </c>
      <c r="L54" t="inlineStr">
        <is>
          <t>TVS</t>
        </is>
      </c>
      <c r="M54" t="inlineStr">
        <is>
          <t>15.88-0-1.6-ERW 1-PE</t>
        </is>
      </c>
      <c r="N54" t="inlineStr">
        <is>
          <t>15.88-0-1.6-ERW 1-PE-0.435</t>
        </is>
      </c>
    </row>
    <row r="55" hidden="1" s="584">
      <c r="A55" t="inlineStr">
        <is>
          <t>Scheduled at CTL-1</t>
        </is>
      </c>
      <c r="B55" t="n">
        <v>2379</v>
      </c>
      <c r="C55" t="inlineStr">
        <is>
          <t>SRIKAM HITECH ENGINEERING PRIV</t>
        </is>
      </c>
      <c r="D55" t="n">
        <v>1.6</v>
      </c>
      <c r="E55" t="n">
        <v>15.88</v>
      </c>
      <c r="F55" t="n">
        <v>0</v>
      </c>
      <c r="G55" t="n">
        <v>0.435</v>
      </c>
      <c r="H55" t="inlineStr">
        <is>
          <t>000000000111106839</t>
        </is>
      </c>
      <c r="I55" t="inlineStr">
        <is>
          <t>TM-O-N-AUT-AW-PE-15.88X1.600X5.7600</t>
        </is>
      </c>
      <c r="J55" t="n">
        <v>3620428</v>
      </c>
      <c r="K55" t="inlineStr">
        <is>
          <t>TUB-O-N-AUT-AW-PE-15.88X1.600X0.4350</t>
        </is>
      </c>
      <c r="L55" t="inlineStr">
        <is>
          <t>TVS</t>
        </is>
      </c>
      <c r="M55" t="inlineStr">
        <is>
          <t>15.88-0-1.6-ERW 1-PE</t>
        </is>
      </c>
      <c r="N55" t="inlineStr">
        <is>
          <t>15.88-0-1.6-ERW 1-PE-0.435</t>
        </is>
      </c>
    </row>
    <row r="56" hidden="1" s="584">
      <c r="A56" t="inlineStr">
        <is>
          <t>Scheduled at CTL-1</t>
        </is>
      </c>
      <c r="B56" t="n">
        <v>590</v>
      </c>
      <c r="C56" t="inlineStr">
        <is>
          <t>BALAJI PRESS PRODUCTS INDIA</t>
        </is>
      </c>
      <c r="D56" t="n">
        <v>1.2</v>
      </c>
      <c r="E56" t="n">
        <v>15.88</v>
      </c>
      <c r="F56" t="n">
        <v>0</v>
      </c>
      <c r="G56" t="n">
        <v>1.31</v>
      </c>
      <c r="H56" t="inlineStr">
        <is>
          <t>000000000110102205</t>
        </is>
      </c>
      <c r="I56" t="inlineStr">
        <is>
          <t>TM-O-O-AUT-AW-PE-15.88X1.200X5.3200</t>
        </is>
      </c>
      <c r="J56" t="n">
        <v>1940046</v>
      </c>
      <c r="K56" t="inlineStr">
        <is>
          <t>TUB-O-O-AUT-AW-PE-15.88X1.200X1.3100</t>
        </is>
      </c>
      <c r="L56" t="inlineStr">
        <is>
          <t>TVS</t>
        </is>
      </c>
      <c r="M56" t="inlineStr">
        <is>
          <t>15.88-0-1.2-ERW 1-PE</t>
        </is>
      </c>
      <c r="N56" t="inlineStr">
        <is>
          <t>15.88-0-1.2-ERW 1-PE-1.31</t>
        </is>
      </c>
    </row>
    <row r="57" hidden="1" s="584">
      <c r="A57" t="inlineStr">
        <is>
          <t>Scheduled at CTL-1</t>
        </is>
      </c>
      <c r="B57" t="n">
        <v>1940</v>
      </c>
      <c r="C57" t="inlineStr">
        <is>
          <t>BALAJI PRESS PRODUCTS INDIA</t>
        </is>
      </c>
      <c r="D57" t="n">
        <v>1.2</v>
      </c>
      <c r="E57" t="n">
        <v>15.88</v>
      </c>
      <c r="F57" t="n">
        <v>0</v>
      </c>
      <c r="G57" t="n">
        <v>1.31</v>
      </c>
      <c r="H57" t="inlineStr">
        <is>
          <t>000000000110102205</t>
        </is>
      </c>
      <c r="I57" t="inlineStr">
        <is>
          <t>TM-O-O-AUT-AW-PE-15.88X1.200X5.3200</t>
        </is>
      </c>
      <c r="J57" t="n">
        <v>1940046</v>
      </c>
      <c r="K57" t="inlineStr">
        <is>
          <t>TUB-O-O-AUT-AW-PE-15.88X1.200X1.3100</t>
        </is>
      </c>
      <c r="L57" t="inlineStr">
        <is>
          <t>TVS</t>
        </is>
      </c>
      <c r="M57" t="inlineStr">
        <is>
          <t>15.88-0-1.2-ERW 1-PE</t>
        </is>
      </c>
      <c r="N57" t="inlineStr">
        <is>
          <t>15.88-0-1.2-ERW 1-PE-1.31</t>
        </is>
      </c>
    </row>
    <row r="58" hidden="1" s="584">
      <c r="A58" t="inlineStr">
        <is>
          <t>Scheduled at CTL-1</t>
        </is>
      </c>
      <c r="B58" t="n">
        <v>282</v>
      </c>
      <c r="C58" t="inlineStr">
        <is>
          <t>Sri Balaji Gears</t>
        </is>
      </c>
      <c r="D58" t="n">
        <v>1</v>
      </c>
      <c r="E58" t="n">
        <v>19</v>
      </c>
      <c r="F58" t="n">
        <v>19</v>
      </c>
      <c r="G58" t="n">
        <v>0.8350000000000001</v>
      </c>
      <c r="H58" t="inlineStr">
        <is>
          <t>000000000110102297</t>
        </is>
      </c>
      <c r="I58" t="inlineStr">
        <is>
          <t>TM-S-AW-SHS-19.00X19.00X1.000X6.0000</t>
        </is>
      </c>
      <c r="J58" t="n">
        <v>4151425</v>
      </c>
      <c r="K58" t="inlineStr">
        <is>
          <t>TUB-S-AW-AUT-19.00X19.00X1.000X0.8350</t>
        </is>
      </c>
      <c r="L58" t="inlineStr">
        <is>
          <t>TVS</t>
        </is>
      </c>
      <c r="M58" t="inlineStr">
        <is>
          <t>19-19-1-CRFH-PE</t>
        </is>
      </c>
      <c r="N58" t="inlineStr">
        <is>
          <t>19-19-1-CRFH-PE-0.835</t>
        </is>
      </c>
    </row>
    <row r="59" hidden="1" s="584">
      <c r="A59" t="inlineStr">
        <is>
          <t>Scheduled at CTL-1</t>
        </is>
      </c>
      <c r="B59" t="n">
        <v>1160</v>
      </c>
      <c r="C59" t="inlineStr">
        <is>
          <t>Sri Balaji Gears</t>
        </is>
      </c>
      <c r="D59" t="n">
        <v>1</v>
      </c>
      <c r="E59" t="n">
        <v>19</v>
      </c>
      <c r="F59" t="n">
        <v>19</v>
      </c>
      <c r="G59" t="n">
        <v>0.8350000000000001</v>
      </c>
      <c r="H59" t="inlineStr">
        <is>
          <t>000000000110102297</t>
        </is>
      </c>
      <c r="I59" t="inlineStr">
        <is>
          <t>TM-S-AW-SHS-19.00X19.00X1.000X6.0000</t>
        </is>
      </c>
      <c r="J59" t="n">
        <v>4151425</v>
      </c>
      <c r="K59" t="inlineStr">
        <is>
          <t>TUB-S-AW-AUT-19.00X19.00X1.000X0.8350</t>
        </is>
      </c>
      <c r="L59" t="inlineStr">
        <is>
          <t>TVS</t>
        </is>
      </c>
      <c r="M59" t="inlineStr">
        <is>
          <t>19-19-1-CRFH-PE</t>
        </is>
      </c>
      <c r="N59" t="inlineStr">
        <is>
          <t>19-19-1-CRFH-PE-0.835</t>
        </is>
      </c>
    </row>
    <row r="60" hidden="1" s="584">
      <c r="A60" t="inlineStr">
        <is>
          <t>Scheduled at CTL-1</t>
        </is>
      </c>
      <c r="B60" t="n">
        <v>1630</v>
      </c>
      <c r="C60" t="inlineStr">
        <is>
          <t>Sri Balaji Gears</t>
        </is>
      </c>
      <c r="D60" t="n">
        <v>1</v>
      </c>
      <c r="E60" t="n">
        <v>19</v>
      </c>
      <c r="F60" t="n">
        <v>19</v>
      </c>
      <c r="G60" t="n">
        <v>0.8350000000000001</v>
      </c>
      <c r="H60" t="inlineStr">
        <is>
          <t>000000000110102297</t>
        </is>
      </c>
      <c r="I60" t="inlineStr">
        <is>
          <t>TM-S-AW-SHS-19.00X19.00X1.000X6.0000</t>
        </is>
      </c>
      <c r="J60" t="n">
        <v>4151425</v>
      </c>
      <c r="K60" t="inlineStr">
        <is>
          <t>TUB-S-AW-AUT-19.00X19.00X1.000X0.8350</t>
        </is>
      </c>
      <c r="L60" t="inlineStr">
        <is>
          <t>TVS</t>
        </is>
      </c>
      <c r="M60" t="inlineStr">
        <is>
          <t>19-19-1-CRFH-PE</t>
        </is>
      </c>
      <c r="N60" t="inlineStr">
        <is>
          <t>19-19-1-CRFH-PE-0.835</t>
        </is>
      </c>
    </row>
    <row r="61" hidden="1" s="584">
      <c r="A61" t="inlineStr">
        <is>
          <t>Scheduled at CTL-1</t>
        </is>
      </c>
      <c r="B61" t="n">
        <v>1750</v>
      </c>
      <c r="C61" t="inlineStr">
        <is>
          <t>Sri Balaji Gears</t>
        </is>
      </c>
      <c r="D61" t="n">
        <v>1</v>
      </c>
      <c r="E61" t="n">
        <v>19</v>
      </c>
      <c r="F61" t="n">
        <v>19</v>
      </c>
      <c r="G61" t="n">
        <v>0.8350000000000001</v>
      </c>
      <c r="H61" t="inlineStr">
        <is>
          <t>000000000110102297</t>
        </is>
      </c>
      <c r="I61" t="inlineStr">
        <is>
          <t>TM-S-AW-SHS-19.00X19.00X1.000X6.0000</t>
        </is>
      </c>
      <c r="J61" t="n">
        <v>4151425</v>
      </c>
      <c r="K61" t="inlineStr">
        <is>
          <t>TUB-S-AW-AUT-19.00X19.00X1.000X0.8350</t>
        </is>
      </c>
      <c r="L61" t="inlineStr">
        <is>
          <t>TVS</t>
        </is>
      </c>
      <c r="M61" t="inlineStr">
        <is>
          <t>19-19-1-CRFH-PE</t>
        </is>
      </c>
      <c r="N61" t="inlineStr">
        <is>
          <t>19-19-1-CRFH-PE-0.835</t>
        </is>
      </c>
    </row>
    <row r="62" hidden="1" s="584">
      <c r="A62" t="inlineStr">
        <is>
          <t>Scheduled at CTL-1</t>
        </is>
      </c>
      <c r="B62" t="n">
        <v>1987</v>
      </c>
      <c r="C62" t="inlineStr">
        <is>
          <t>Sri Balaji Gears</t>
        </is>
      </c>
      <c r="D62" t="n">
        <v>1</v>
      </c>
      <c r="E62" t="n">
        <v>19</v>
      </c>
      <c r="F62" t="n">
        <v>19</v>
      </c>
      <c r="G62" t="n">
        <v>0.47</v>
      </c>
      <c r="H62" t="inlineStr">
        <is>
          <t>000000000111117591</t>
        </is>
      </c>
      <c r="I62" t="inlineStr">
        <is>
          <t>TM-S-AW-AUT-19.00X19.00X1.000X6.1400</t>
        </is>
      </c>
      <c r="J62" t="n">
        <v>3230488</v>
      </c>
      <c r="K62" t="inlineStr">
        <is>
          <t>TUB-S-AW-AUT-19.00X19.00X1.000X0.4700</t>
        </is>
      </c>
      <c r="L62" t="inlineStr">
        <is>
          <t>TVS</t>
        </is>
      </c>
      <c r="M62" t="inlineStr">
        <is>
          <t>19-19-1-CRFH-PE</t>
        </is>
      </c>
      <c r="N62" t="inlineStr">
        <is>
          <t>19-19-1-CRFH-PE-0.47</t>
        </is>
      </c>
    </row>
    <row r="63" hidden="1" s="584">
      <c r="A63" t="inlineStr">
        <is>
          <t>Scheduled at CTL-1</t>
        </is>
      </c>
      <c r="B63" t="n">
        <v>1623</v>
      </c>
      <c r="C63" t="inlineStr">
        <is>
          <t>Sri Balaji Gears</t>
        </is>
      </c>
      <c r="D63" t="n">
        <v>1</v>
      </c>
      <c r="E63" t="n">
        <v>19</v>
      </c>
      <c r="F63" t="n">
        <v>19</v>
      </c>
      <c r="G63" t="n">
        <v>0.1</v>
      </c>
      <c r="H63" t="inlineStr">
        <is>
          <t>000000000111117593</t>
        </is>
      </c>
      <c r="I63" t="inlineStr">
        <is>
          <t>TM-S-AW-AUT-19.00X19.00X1.000X6.1400</t>
        </is>
      </c>
      <c r="J63" t="n">
        <v>3931834</v>
      </c>
      <c r="K63" t="inlineStr">
        <is>
          <t>CUT-R-AW-AUT-19.00X19.00X1.000X0.1000</t>
        </is>
      </c>
      <c r="L63" t="inlineStr">
        <is>
          <t>TVS</t>
        </is>
      </c>
      <c r="M63" t="inlineStr">
        <is>
          <t>19-19-1-CRFH-PE</t>
        </is>
      </c>
      <c r="N63" t="inlineStr">
        <is>
          <t>19-19-1-CRFH-PE-0.1</t>
        </is>
      </c>
    </row>
    <row r="64" hidden="1" s="584">
      <c r="A64" t="inlineStr">
        <is>
          <t>Scheduled at CTL-1</t>
        </is>
      </c>
      <c r="B64" t="n">
        <v>1634</v>
      </c>
      <c r="C64" t="inlineStr">
        <is>
          <t>Sri Balaji Gears</t>
        </is>
      </c>
      <c r="D64" t="n">
        <v>1</v>
      </c>
      <c r="E64" t="n">
        <v>19</v>
      </c>
      <c r="F64" t="n">
        <v>19</v>
      </c>
      <c r="G64" t="n">
        <v>0.54</v>
      </c>
      <c r="H64" t="inlineStr">
        <is>
          <t>000000000111116486</t>
        </is>
      </c>
      <c r="I64" t="inlineStr">
        <is>
          <t>TM-R-AW-AUT-19.00X19.00X1.000X6.3000</t>
        </is>
      </c>
      <c r="J64" t="n">
        <v>3571870</v>
      </c>
      <c r="K64" t="inlineStr">
        <is>
          <t>TUB-S-AW-AUT-19.00X19.00X1.000X0.5400</t>
        </is>
      </c>
      <c r="L64" t="inlineStr">
        <is>
          <t>TVS</t>
        </is>
      </c>
      <c r="M64" t="inlineStr">
        <is>
          <t>19-19-1-CRFH-PE</t>
        </is>
      </c>
      <c r="N64" t="inlineStr">
        <is>
          <t>19-19-1-CRFH-PE-0.54</t>
        </is>
      </c>
    </row>
    <row r="65" hidden="1" s="584">
      <c r="A65" t="inlineStr">
        <is>
          <t>Scheduled at CTL-1</t>
        </is>
      </c>
      <c r="B65" t="n">
        <v>1970</v>
      </c>
      <c r="C65" t="inlineStr">
        <is>
          <t>BALAJI PRESS PRODUCTS INDIA</t>
        </is>
      </c>
      <c r="D65" t="n">
        <v>1.2</v>
      </c>
      <c r="E65" t="n">
        <v>19.05</v>
      </c>
      <c r="F65" t="n">
        <v>0</v>
      </c>
      <c r="G65" t="n">
        <v>0.33</v>
      </c>
      <c r="H65" t="inlineStr">
        <is>
          <t>000000000111002146</t>
        </is>
      </c>
      <c r="I65" t="inlineStr">
        <is>
          <t>TM-O-N-AUT-AW-PE-19.05X1.200X6.0750</t>
        </is>
      </c>
      <c r="J65" t="n">
        <v>3239890</v>
      </c>
      <c r="K65" t="inlineStr">
        <is>
          <t>TUB-O-N-AUT-AW-PE-19.05X1.200X0.3300</t>
        </is>
      </c>
      <c r="L65" t="inlineStr">
        <is>
          <t>TVS</t>
        </is>
      </c>
      <c r="M65" t="inlineStr">
        <is>
          <t>19.05-0-1.2-ERW 1-PE</t>
        </is>
      </c>
      <c r="N65" t="inlineStr">
        <is>
          <t>19.05-0-1.2-ERW 1-PE-0.33</t>
        </is>
      </c>
    </row>
    <row r="66" hidden="1" s="584">
      <c r="A66" t="inlineStr">
        <is>
          <t>Scheduled at CTL-1</t>
        </is>
      </c>
      <c r="B66" t="n">
        <v>517</v>
      </c>
      <c r="C66" t="inlineStr">
        <is>
          <t>SRIKAM HITECH ENGINEERING PRIV</t>
        </is>
      </c>
      <c r="D66" t="n">
        <v>1.6</v>
      </c>
      <c r="E66" t="n">
        <v>19.05</v>
      </c>
      <c r="F66" t="n">
        <v>0</v>
      </c>
      <c r="G66" t="n">
        <v>0.268</v>
      </c>
      <c r="H66" t="inlineStr">
        <is>
          <t>000000000110102390</t>
        </is>
      </c>
      <c r="I66" t="inlineStr">
        <is>
          <t>TM-O-O-AUT-AW-PE-19.05X1.600X5.7700</t>
        </is>
      </c>
      <c r="J66" t="n">
        <v>3850310</v>
      </c>
      <c r="K66" t="inlineStr">
        <is>
          <t>CUT-O-N-AUT-AW-PE-19.05X1.600X0.2680</t>
        </is>
      </c>
      <c r="L66" t="inlineStr">
        <is>
          <t>TVS</t>
        </is>
      </c>
      <c r="M66" t="inlineStr">
        <is>
          <t>19.05-0-1.6-ERW 1-PE</t>
        </is>
      </c>
      <c r="N66" t="inlineStr">
        <is>
          <t>19.05-0-1.6-ERW 1-PE-0.268</t>
        </is>
      </c>
    </row>
    <row r="67" hidden="1" s="584">
      <c r="A67" t="inlineStr">
        <is>
          <t>Scheduled at CTL-1</t>
        </is>
      </c>
      <c r="B67" t="n">
        <v>596</v>
      </c>
      <c r="C67" t="inlineStr">
        <is>
          <t>Neel Metal Products Limited</t>
        </is>
      </c>
      <c r="D67" t="n">
        <v>1.2</v>
      </c>
      <c r="E67" t="n">
        <v>19.05</v>
      </c>
      <c r="F67" t="n">
        <v>0</v>
      </c>
      <c r="G67" t="n">
        <v>0.68</v>
      </c>
      <c r="H67" t="inlineStr">
        <is>
          <t>000000000110102339</t>
        </is>
      </c>
      <c r="I67" t="inlineStr">
        <is>
          <t>TM-O-O-AUT-AW-PE-19.05X1.200X6.2150</t>
        </is>
      </c>
      <c r="J67" t="n">
        <v>1940189</v>
      </c>
      <c r="K67" t="inlineStr">
        <is>
          <t>TUB-O-O-AUT-AW-PE-19.05X1.200X0.6800</t>
        </is>
      </c>
      <c r="L67" t="inlineStr">
        <is>
          <t>TVS</t>
        </is>
      </c>
      <c r="M67" t="inlineStr">
        <is>
          <t>19.05-0-1.2-ERW 1-PE</t>
        </is>
      </c>
      <c r="N67" t="inlineStr">
        <is>
          <t>19.05-0-1.2-ERW 1-PE-0.68</t>
        </is>
      </c>
    </row>
    <row r="68" hidden="1" s="584">
      <c r="A68" t="inlineStr">
        <is>
          <t>Scheduled at CTL-1</t>
        </is>
      </c>
      <c r="B68" t="n">
        <v>930</v>
      </c>
      <c r="C68" t="inlineStr">
        <is>
          <t>Neel Metal Products Limited</t>
        </is>
      </c>
      <c r="D68" t="n">
        <v>1.2</v>
      </c>
      <c r="E68" t="n">
        <v>19.05</v>
      </c>
      <c r="F68" t="n">
        <v>0</v>
      </c>
      <c r="G68" t="n">
        <v>0.68</v>
      </c>
      <c r="H68" t="inlineStr">
        <is>
          <t>000000000110102339</t>
        </is>
      </c>
      <c r="I68" t="inlineStr">
        <is>
          <t>TM-O-O-AUT-AW-PE-19.05X1.200X6.2150</t>
        </is>
      </c>
      <c r="J68" t="n">
        <v>1940189</v>
      </c>
      <c r="K68" t="inlineStr">
        <is>
          <t>TUB-O-O-AUT-AW-PE-19.05X1.200X0.6800</t>
        </is>
      </c>
      <c r="L68" t="inlineStr">
        <is>
          <t>TVS</t>
        </is>
      </c>
      <c r="M68" t="inlineStr">
        <is>
          <t>19.05-0-1.2-ERW 1-PE</t>
        </is>
      </c>
      <c r="N68" t="inlineStr">
        <is>
          <t>19.05-0-1.2-ERW 1-PE-0.68</t>
        </is>
      </c>
    </row>
    <row r="69" hidden="1" s="584">
      <c r="A69" t="inlineStr">
        <is>
          <t>Scheduled at CTL-1</t>
        </is>
      </c>
      <c r="B69" t="n">
        <v>1540</v>
      </c>
      <c r="C69" t="inlineStr">
        <is>
          <t>Neel Metal Products Limited</t>
        </is>
      </c>
      <c r="D69" t="n">
        <v>1.2</v>
      </c>
      <c r="E69" t="n">
        <v>19.05</v>
      </c>
      <c r="F69" t="n">
        <v>0</v>
      </c>
      <c r="G69" t="n">
        <v>0.68</v>
      </c>
      <c r="H69" t="inlineStr">
        <is>
          <t>000000000110102339</t>
        </is>
      </c>
      <c r="I69" t="inlineStr">
        <is>
          <t>TM-O-O-AUT-AW-PE-19.05X1.200X6.2150</t>
        </is>
      </c>
      <c r="J69" t="n">
        <v>1940189</v>
      </c>
      <c r="K69" t="inlineStr">
        <is>
          <t>TUB-O-O-AUT-AW-PE-19.05X1.200X0.6800</t>
        </is>
      </c>
      <c r="L69" t="inlineStr">
        <is>
          <t>TVS</t>
        </is>
      </c>
      <c r="M69" t="inlineStr">
        <is>
          <t>19.05-0-1.2-ERW 1-PE</t>
        </is>
      </c>
      <c r="N69" t="inlineStr">
        <is>
          <t>19.05-0-1.2-ERW 1-PE-0.68</t>
        </is>
      </c>
    </row>
    <row r="70" hidden="1" s="584">
      <c r="A70" t="inlineStr">
        <is>
          <t>Scheduled at CTL-1</t>
        </is>
      </c>
      <c r="B70" t="n">
        <v>920</v>
      </c>
      <c r="C70" t="inlineStr">
        <is>
          <t>Neel Metal Products Limited</t>
        </is>
      </c>
      <c r="D70" t="n">
        <v>1.2</v>
      </c>
      <c r="E70" t="n">
        <v>19.05</v>
      </c>
      <c r="F70" t="n">
        <v>0</v>
      </c>
      <c r="G70" t="n">
        <v>0.68</v>
      </c>
      <c r="H70" t="inlineStr">
        <is>
          <t>000000000110102339</t>
        </is>
      </c>
      <c r="I70" t="inlineStr">
        <is>
          <t>TM-O-O-AUT-AW-PE-19.05X1.200X6.2150</t>
        </is>
      </c>
      <c r="J70" t="n">
        <v>1940189</v>
      </c>
      <c r="K70" t="inlineStr">
        <is>
          <t>TUB-O-O-AUT-AW-PE-19.05X1.200X0.6800</t>
        </is>
      </c>
      <c r="L70" t="inlineStr">
        <is>
          <t>TVS</t>
        </is>
      </c>
      <c r="M70" t="inlineStr">
        <is>
          <t>19.05-0-1.2-ERW 1-PE</t>
        </is>
      </c>
      <c r="N70" t="inlineStr">
        <is>
          <t>19.05-0-1.2-ERW 1-PE-0.68</t>
        </is>
      </c>
    </row>
    <row r="71" hidden="1" s="584">
      <c r="A71" t="inlineStr">
        <is>
          <t>Scheduled at CTL-1</t>
        </is>
      </c>
      <c r="B71" t="n">
        <v>518</v>
      </c>
      <c r="C71" t="inlineStr">
        <is>
          <t>BALAJI PRESS PRODUCTS INDIA</t>
        </is>
      </c>
      <c r="D71" t="n">
        <v>1.2</v>
      </c>
      <c r="E71" t="n">
        <v>19.05</v>
      </c>
      <c r="F71" t="n">
        <v>0</v>
      </c>
      <c r="G71" t="n">
        <v>0.403</v>
      </c>
      <c r="H71" t="inlineStr">
        <is>
          <t>000000000111002143</t>
        </is>
      </c>
      <c r="I71" t="inlineStr">
        <is>
          <t>TM-O-N-AUT-AW-PE-19.05X1.200X6.1600</t>
        </is>
      </c>
      <c r="J71" t="n">
        <v>3929662</v>
      </c>
      <c r="K71" t="inlineStr">
        <is>
          <t>CUT-O-N-AUT-AW-PE-19.05X1.200X0.4030</t>
        </is>
      </c>
      <c r="L71" t="inlineStr">
        <is>
          <t>TVS</t>
        </is>
      </c>
      <c r="M71" t="inlineStr">
        <is>
          <t>19.05-0-1.2-ERW 1-PE</t>
        </is>
      </c>
      <c r="N71" t="inlineStr">
        <is>
          <t>19.05-0-1.2-ERW 1-PE-0.403</t>
        </is>
      </c>
    </row>
    <row r="72" hidden="1" s="584">
      <c r="A72" t="inlineStr">
        <is>
          <t>Scheduled at CTL-1</t>
        </is>
      </c>
      <c r="B72" t="n">
        <v>655</v>
      </c>
      <c r="C72" t="inlineStr">
        <is>
          <t>Sri Balaji Gears</t>
        </is>
      </c>
      <c r="D72" t="n">
        <v>1</v>
      </c>
      <c r="E72" t="n">
        <v>19</v>
      </c>
      <c r="F72" t="n">
        <v>19</v>
      </c>
      <c r="G72" t="n">
        <v>0.4</v>
      </c>
      <c r="H72" t="inlineStr">
        <is>
          <t>000000000111107152</t>
        </is>
      </c>
      <c r="I72" t="inlineStr">
        <is>
          <t>TM-S-AW-AUT-19.00X19.00X1.000X6.1400</t>
        </is>
      </c>
      <c r="J72" t="n">
        <v>3230487</v>
      </c>
      <c r="K72" t="inlineStr">
        <is>
          <t>TUB-S-AW-AUT-19.00X19.00X1.000X0.4000</t>
        </is>
      </c>
      <c r="L72" t="inlineStr">
        <is>
          <t>TVS</t>
        </is>
      </c>
      <c r="M72" t="inlineStr">
        <is>
          <t>19-19-1-CRFH-PE</t>
        </is>
      </c>
      <c r="N72" t="inlineStr">
        <is>
          <t>19-19-1-CRFH-PE-0.4</t>
        </is>
      </c>
    </row>
    <row r="73" hidden="1" s="584">
      <c r="A73" t="inlineStr">
        <is>
          <t>Scheduled at CTL-1</t>
        </is>
      </c>
      <c r="B73" t="n">
        <v>662</v>
      </c>
      <c r="C73" t="inlineStr">
        <is>
          <t>Sri Balaji Gears</t>
        </is>
      </c>
      <c r="D73" t="n">
        <v>1</v>
      </c>
      <c r="E73" t="n">
        <v>19</v>
      </c>
      <c r="F73" t="n">
        <v>19</v>
      </c>
      <c r="G73" t="n">
        <v>0.4</v>
      </c>
      <c r="H73" t="inlineStr">
        <is>
          <t>000000000111107152</t>
        </is>
      </c>
      <c r="I73" t="inlineStr">
        <is>
          <t>TM-S-AW-AUT-19.00X19.00X1.000X6.1400</t>
        </is>
      </c>
      <c r="J73" t="n">
        <v>3230487</v>
      </c>
      <c r="K73" t="inlineStr">
        <is>
          <t>TUB-S-AW-AUT-19.00X19.00X1.000X0.4000</t>
        </is>
      </c>
      <c r="L73" t="inlineStr">
        <is>
          <t>TVS</t>
        </is>
      </c>
      <c r="M73" t="inlineStr">
        <is>
          <t>19-19-1-CRFH-PE</t>
        </is>
      </c>
      <c r="N73" t="inlineStr">
        <is>
          <t>19-19-1-CRFH-PE-0.4</t>
        </is>
      </c>
    </row>
    <row r="74" hidden="1" s="584">
      <c r="A74" t="inlineStr">
        <is>
          <t>Scheduled at CTL-1</t>
        </is>
      </c>
      <c r="B74" t="n">
        <v>1691</v>
      </c>
      <c r="C74" t="inlineStr">
        <is>
          <t>Marathwada Auto Compo Pvt. Ltd</t>
        </is>
      </c>
      <c r="D74" t="n">
        <v>1</v>
      </c>
      <c r="E74" t="n">
        <v>19</v>
      </c>
      <c r="F74" t="n">
        <v>19</v>
      </c>
      <c r="G74" t="n">
        <v>0.4</v>
      </c>
      <c r="H74" t="inlineStr">
        <is>
          <t>000000000111107152</t>
        </is>
      </c>
      <c r="I74" t="inlineStr">
        <is>
          <t>TM-S-AW-AUT-19.00X19.00X1.000X6.1400</t>
        </is>
      </c>
      <c r="J74" t="n">
        <v>3230487</v>
      </c>
      <c r="K74" t="inlineStr">
        <is>
          <t>TUB-S-AW-AUT-19.00X19.00X1.000X0.4000</t>
        </is>
      </c>
      <c r="L74" t="inlineStr">
        <is>
          <t>TVS</t>
        </is>
      </c>
      <c r="M74" t="inlineStr">
        <is>
          <t>19-19-1-CRFH-PE</t>
        </is>
      </c>
      <c r="N74" t="inlineStr">
        <is>
          <t>19-19-1-CRFH-PE-0.4</t>
        </is>
      </c>
    </row>
    <row r="75" hidden="1" s="584">
      <c r="A75" t="inlineStr">
        <is>
          <t>Scheduled at CTL-1</t>
        </is>
      </c>
      <c r="B75" t="n">
        <v>2061</v>
      </c>
      <c r="C75" t="inlineStr">
        <is>
          <t>Marathwada Auto Compo Pvt. Ltd</t>
        </is>
      </c>
      <c r="D75" t="n">
        <v>1</v>
      </c>
      <c r="E75" t="n">
        <v>19</v>
      </c>
      <c r="F75" t="n">
        <v>19</v>
      </c>
      <c r="G75" t="n">
        <v>0.4</v>
      </c>
      <c r="H75" t="inlineStr">
        <is>
          <t>000000000111107152</t>
        </is>
      </c>
      <c r="I75" t="inlineStr">
        <is>
          <t>TM-S-AW-AUT-19.00X19.00X1.000X6.1400</t>
        </is>
      </c>
      <c r="J75" t="n">
        <v>3230487</v>
      </c>
      <c r="K75" t="inlineStr">
        <is>
          <t>TUB-S-AW-AUT-19.00X19.00X1.000X0.4000</t>
        </is>
      </c>
      <c r="L75" t="inlineStr">
        <is>
          <t>TVS</t>
        </is>
      </c>
      <c r="M75" t="inlineStr">
        <is>
          <t>19-19-1-CRFH-PE</t>
        </is>
      </c>
      <c r="N75" t="inlineStr">
        <is>
          <t>19-19-1-CRFH-PE-0.4</t>
        </is>
      </c>
    </row>
    <row r="76" hidden="1" s="584">
      <c r="A76" t="inlineStr">
        <is>
          <t>Scheduled at CTL-1</t>
        </is>
      </c>
      <c r="B76" t="n">
        <v>1873</v>
      </c>
      <c r="C76" t="inlineStr">
        <is>
          <t>Marathwada Auto Compo Pvt. Ltd</t>
        </is>
      </c>
      <c r="D76" t="n">
        <v>1</v>
      </c>
      <c r="E76" t="n">
        <v>19</v>
      </c>
      <c r="F76" t="n">
        <v>19</v>
      </c>
      <c r="G76" t="n">
        <v>0.4</v>
      </c>
      <c r="H76" t="inlineStr">
        <is>
          <t>000000000111107152</t>
        </is>
      </c>
      <c r="I76" t="inlineStr">
        <is>
          <t>TM-S-AW-AUT-19.00X19.00X1.000X6.1400</t>
        </is>
      </c>
      <c r="J76" t="n">
        <v>3230487</v>
      </c>
      <c r="K76" t="inlineStr">
        <is>
          <t>TUB-S-AW-AUT-19.00X19.00X1.000X0.4000</t>
        </is>
      </c>
      <c r="L76" t="inlineStr">
        <is>
          <t>TVS</t>
        </is>
      </c>
      <c r="M76" t="inlineStr">
        <is>
          <t>19-19-1-CRFH-PE</t>
        </is>
      </c>
      <c r="N76" t="inlineStr">
        <is>
          <t>19-19-1-CRFH-PE-0.4</t>
        </is>
      </c>
    </row>
    <row r="77" hidden="1" s="584">
      <c r="A77" t="inlineStr">
        <is>
          <t>Scheduled at CTL-1</t>
        </is>
      </c>
      <c r="B77" t="n">
        <v>1243</v>
      </c>
      <c r="C77" t="inlineStr">
        <is>
          <t>Marathwada Auto Compo Pvt. Ltd</t>
        </is>
      </c>
      <c r="D77" t="n">
        <v>1</v>
      </c>
      <c r="E77" t="n">
        <v>19</v>
      </c>
      <c r="F77" t="n">
        <v>19</v>
      </c>
      <c r="G77" t="n">
        <v>0.4</v>
      </c>
      <c r="H77" t="inlineStr">
        <is>
          <t>000000000111107152</t>
        </is>
      </c>
      <c r="I77" t="inlineStr">
        <is>
          <t>TM-S-AW-AUT-19.00X19.00X1.000X6.1400</t>
        </is>
      </c>
      <c r="J77" t="n">
        <v>3230487</v>
      </c>
      <c r="K77" t="inlineStr">
        <is>
          <t>TUB-S-AW-AUT-19.00X19.00X1.000X0.4000</t>
        </is>
      </c>
      <c r="L77" t="inlineStr">
        <is>
          <t>TVS</t>
        </is>
      </c>
      <c r="M77" t="inlineStr">
        <is>
          <t>19-19-1-CRFH-PE</t>
        </is>
      </c>
      <c r="N77" t="inlineStr">
        <is>
          <t>19-19-1-CRFH-PE-0.4</t>
        </is>
      </c>
    </row>
    <row r="78" hidden="1" s="584">
      <c r="A78" t="inlineStr">
        <is>
          <t>Scheduled at CTL-1</t>
        </is>
      </c>
      <c r="B78" t="n">
        <v>1878</v>
      </c>
      <c r="C78" t="inlineStr">
        <is>
          <t>Marathwada Auto Compo Pvt. Ltd</t>
        </is>
      </c>
      <c r="D78" t="n">
        <v>1</v>
      </c>
      <c r="E78" t="n">
        <v>19</v>
      </c>
      <c r="F78" t="n">
        <v>19</v>
      </c>
      <c r="G78" t="n">
        <v>0.4</v>
      </c>
      <c r="H78" t="inlineStr">
        <is>
          <t>000000000111107152</t>
        </is>
      </c>
      <c r="I78" t="inlineStr">
        <is>
          <t>TM-S-AW-AUT-19.00X19.00X1.000X6.1400</t>
        </is>
      </c>
      <c r="J78" t="n">
        <v>3230487</v>
      </c>
      <c r="K78" t="inlineStr">
        <is>
          <t>TUB-S-AW-AUT-19.00X19.00X1.000X0.4000</t>
        </is>
      </c>
      <c r="L78" t="inlineStr">
        <is>
          <t>TVS</t>
        </is>
      </c>
      <c r="M78" t="inlineStr">
        <is>
          <t>19-19-1-CRFH-PE</t>
        </is>
      </c>
      <c r="N78" t="inlineStr">
        <is>
          <t>19-19-1-CRFH-PE-0.4</t>
        </is>
      </c>
    </row>
    <row r="79" hidden="1" s="584">
      <c r="A79" t="inlineStr">
        <is>
          <t>Scheduled at CTL-1</t>
        </is>
      </c>
      <c r="B79" t="n">
        <v>665</v>
      </c>
      <c r="C79" t="inlineStr">
        <is>
          <t>Sri Balaji Gears</t>
        </is>
      </c>
      <c r="D79" t="n">
        <v>1</v>
      </c>
      <c r="E79" t="n">
        <v>19</v>
      </c>
      <c r="F79" t="n">
        <v>19</v>
      </c>
      <c r="G79" t="n">
        <v>0.963</v>
      </c>
      <c r="H79" t="inlineStr">
        <is>
          <t>000000000111117608</t>
        </is>
      </c>
      <c r="I79" t="inlineStr">
        <is>
          <t>TM-S-AW-AUT-19.00X19.00X1.000X5.8400</t>
        </is>
      </c>
      <c r="J79" t="n">
        <v>4151427</v>
      </c>
      <c r="K79" t="inlineStr">
        <is>
          <t>TUB-S-AW-AUT-19.00X19.00X1.000X0.9630</t>
        </is>
      </c>
      <c r="L79" t="inlineStr">
        <is>
          <t>TVS</t>
        </is>
      </c>
      <c r="M79" t="inlineStr">
        <is>
          <t>19-19-1-CRFH-PE</t>
        </is>
      </c>
      <c r="N79" t="inlineStr">
        <is>
          <t>19-19-1-CRFH-PE-0.963</t>
        </is>
      </c>
    </row>
    <row r="80" hidden="1" s="584">
      <c r="A80" t="inlineStr">
        <is>
          <t>Scheduled at CTL-1</t>
        </is>
      </c>
      <c r="B80" t="n">
        <v>590</v>
      </c>
      <c r="C80" t="inlineStr">
        <is>
          <t>Sri Balaji Gears</t>
        </is>
      </c>
      <c r="D80" t="n">
        <v>1</v>
      </c>
      <c r="E80" t="n">
        <v>19</v>
      </c>
      <c r="F80" t="n">
        <v>19</v>
      </c>
      <c r="G80" t="n">
        <v>0.963</v>
      </c>
      <c r="H80" t="inlineStr">
        <is>
          <t>000000000111117608</t>
        </is>
      </c>
      <c r="I80" t="inlineStr">
        <is>
          <t>TM-S-AW-AUT-19.00X19.00X1.000X5.8400</t>
        </is>
      </c>
      <c r="J80" t="n">
        <v>4151427</v>
      </c>
      <c r="K80" t="inlineStr">
        <is>
          <t>TUB-S-AW-AUT-19.00X19.00X1.000X0.9630</t>
        </is>
      </c>
      <c r="L80" t="inlineStr">
        <is>
          <t>TVS</t>
        </is>
      </c>
      <c r="M80" t="inlineStr">
        <is>
          <t>19-19-1-CRFH-PE</t>
        </is>
      </c>
      <c r="N80" t="inlineStr">
        <is>
          <t>19-19-1-CRFH-PE-0.963</t>
        </is>
      </c>
    </row>
    <row r="81" hidden="1" s="584">
      <c r="A81" t="inlineStr">
        <is>
          <t>Scheduled at CTL-1</t>
        </is>
      </c>
      <c r="B81" t="n">
        <v>2480</v>
      </c>
      <c r="C81" t="inlineStr">
        <is>
          <t>Sri Balaji Gears</t>
        </is>
      </c>
      <c r="D81" t="n">
        <v>1</v>
      </c>
      <c r="E81" t="n">
        <v>19</v>
      </c>
      <c r="F81" t="n">
        <v>19</v>
      </c>
      <c r="G81" t="n">
        <v>0.963</v>
      </c>
      <c r="H81" t="inlineStr">
        <is>
          <t>000000000111117608</t>
        </is>
      </c>
      <c r="I81" t="inlineStr">
        <is>
          <t>TM-S-AW-AUT-19.00X19.00X1.000X5.8400</t>
        </is>
      </c>
      <c r="J81" t="n">
        <v>4151427</v>
      </c>
      <c r="K81" t="inlineStr">
        <is>
          <t>TUB-S-AW-AUT-19.00X19.00X1.000X0.9630</t>
        </is>
      </c>
      <c r="L81" t="inlineStr">
        <is>
          <t>TVS</t>
        </is>
      </c>
      <c r="M81" t="inlineStr">
        <is>
          <t>19-19-1-CRFH-PE</t>
        </is>
      </c>
      <c r="N81" t="inlineStr">
        <is>
          <t>19-19-1-CRFH-PE-0.963</t>
        </is>
      </c>
    </row>
    <row r="82" hidden="1" s="584">
      <c r="A82" t="inlineStr">
        <is>
          <t>Scheduled at CTL-1</t>
        </is>
      </c>
      <c r="B82" t="n">
        <v>558</v>
      </c>
      <c r="C82" t="inlineStr">
        <is>
          <t>Sri Balaji Gears</t>
        </is>
      </c>
      <c r="D82" t="n">
        <v>1</v>
      </c>
      <c r="E82" t="n">
        <v>19</v>
      </c>
      <c r="F82" t="n">
        <v>19</v>
      </c>
      <c r="G82" t="n">
        <v>1.007</v>
      </c>
      <c r="H82" t="inlineStr">
        <is>
          <t>000000000111117591</t>
        </is>
      </c>
      <c r="I82" t="inlineStr">
        <is>
          <t>TM-S-AW-AUT-19.00X19.00X1.000X6.1400</t>
        </is>
      </c>
      <c r="J82" t="n">
        <v>4100796</v>
      </c>
      <c r="K82" t="inlineStr">
        <is>
          <t>CUT-R-AW-AUT-19.00X19.00X1.000X1.0070</t>
        </is>
      </c>
      <c r="L82" t="inlineStr">
        <is>
          <t>TVS</t>
        </is>
      </c>
      <c r="M82" t="inlineStr">
        <is>
          <t>19-19-1-CRFH-PE</t>
        </is>
      </c>
      <c r="N82" t="inlineStr">
        <is>
          <t>19-19-1-CRFH-PE-1.007</t>
        </is>
      </c>
    </row>
    <row r="83" hidden="1" s="584">
      <c r="A83" t="inlineStr">
        <is>
          <t>Scheduled at CTL-1</t>
        </is>
      </c>
      <c r="B83" t="n">
        <v>1040</v>
      </c>
      <c r="C83" t="inlineStr">
        <is>
          <t>SRIKAM HITECH ENGINEERING PRIV</t>
        </is>
      </c>
      <c r="D83" t="n">
        <v>1.6</v>
      </c>
      <c r="E83" t="n">
        <v>19.05</v>
      </c>
      <c r="F83" t="n">
        <v>0</v>
      </c>
      <c r="G83" t="n">
        <v>0.258</v>
      </c>
      <c r="H83" t="inlineStr">
        <is>
          <t>000000000110102368</t>
        </is>
      </c>
      <c r="I83" t="inlineStr">
        <is>
          <t>TM-O-O-AUT-AW-PE-19.05X1.600X6.0700</t>
        </is>
      </c>
      <c r="J83" t="n">
        <v>3838038</v>
      </c>
      <c r="K83" t="inlineStr">
        <is>
          <t>CUT-O-N-AUT-AW-PE-19.05X1.600X0.2580</t>
        </is>
      </c>
      <c r="L83" t="inlineStr">
        <is>
          <t>TVS</t>
        </is>
      </c>
      <c r="M83" t="inlineStr">
        <is>
          <t>19.05-0-1.6-ERW 1-PE</t>
        </is>
      </c>
      <c r="N83" t="inlineStr">
        <is>
          <t>19.05-0-1.6-ERW 1-PE-0.258</t>
        </is>
      </c>
    </row>
    <row r="84" hidden="1" s="584">
      <c r="A84" t="inlineStr">
        <is>
          <t>Scheduled at CTL-1</t>
        </is>
      </c>
      <c r="B84" t="n">
        <v>1329</v>
      </c>
      <c r="C84" t="inlineStr">
        <is>
          <t>SANDHAR ENGINEERING PVT LTD.(K</t>
        </is>
      </c>
      <c r="D84" t="n">
        <v>1.6</v>
      </c>
      <c r="E84" t="n">
        <v>19.05</v>
      </c>
      <c r="F84" t="n">
        <v>0</v>
      </c>
      <c r="G84" t="n">
        <v>0.595</v>
      </c>
      <c r="H84" t="inlineStr">
        <is>
          <t>000000000111120700</t>
        </is>
      </c>
      <c r="I84" t="inlineStr">
        <is>
          <t>TM-O-N-AUT-AW-PE-19.05X1.600X6.0500</t>
        </is>
      </c>
      <c r="J84" t="n">
        <v>1940247</v>
      </c>
      <c r="K84" t="inlineStr">
        <is>
          <t>TUB-O-O-AUT-AW-PE-19.05X1.600X0.5950</t>
        </is>
      </c>
      <c r="L84" t="inlineStr">
        <is>
          <t>TVS</t>
        </is>
      </c>
      <c r="M84" t="inlineStr">
        <is>
          <t>19.05-0-1.6-ERW 1-PE</t>
        </is>
      </c>
      <c r="N84" t="inlineStr">
        <is>
          <t>19.05-0-1.6-ERW 1-PE-0.595</t>
        </is>
      </c>
    </row>
    <row r="85" hidden="1" s="584">
      <c r="A85" t="inlineStr">
        <is>
          <t>Scheduled at CTL-1</t>
        </is>
      </c>
      <c r="B85" t="n">
        <v>1851</v>
      </c>
      <c r="C85" t="inlineStr">
        <is>
          <t>Sri Balaji Gears</t>
        </is>
      </c>
      <c r="D85" t="n">
        <v>1</v>
      </c>
      <c r="E85" t="n">
        <v>19</v>
      </c>
      <c r="F85" t="n">
        <v>19</v>
      </c>
      <c r="G85" t="n">
        <v>0.355</v>
      </c>
      <c r="H85" t="inlineStr">
        <is>
          <t>000000000111117591</t>
        </is>
      </c>
      <c r="I85" t="inlineStr">
        <is>
          <t>TM-S-AW-AUT-19.00X19.00X1.000X6.1400</t>
        </is>
      </c>
      <c r="J85" t="n">
        <v>3230490</v>
      </c>
      <c r="K85" t="inlineStr">
        <is>
          <t>TUB-S-AW-AUT-19.00X19.00X1.000X0.3550</t>
        </is>
      </c>
      <c r="L85" t="inlineStr">
        <is>
          <t>TVS</t>
        </is>
      </c>
      <c r="M85" t="inlineStr">
        <is>
          <t>19-19-1-CRFH-PE</t>
        </is>
      </c>
      <c r="N85" t="inlineStr">
        <is>
          <t>19-19-1-CRFH-PE-0.355</t>
        </is>
      </c>
    </row>
    <row r="86" hidden="1" s="584">
      <c r="A86" t="inlineStr">
        <is>
          <t>Scheduled at CTL-1</t>
        </is>
      </c>
      <c r="B86" t="n">
        <v>1851</v>
      </c>
      <c r="C86" t="inlineStr">
        <is>
          <t>Sri Balaji Gears</t>
        </is>
      </c>
      <c r="D86" t="n">
        <v>1</v>
      </c>
      <c r="E86" t="n">
        <v>19</v>
      </c>
      <c r="F86" t="n">
        <v>19</v>
      </c>
      <c r="G86" t="n">
        <v>0.355</v>
      </c>
      <c r="H86" t="inlineStr">
        <is>
          <t>000000000111117591</t>
        </is>
      </c>
      <c r="I86" t="inlineStr">
        <is>
          <t>TM-S-AW-AUT-19.00X19.00X1.000X6.1400</t>
        </is>
      </c>
      <c r="J86" t="n">
        <v>3230490</v>
      </c>
      <c r="K86" t="inlineStr">
        <is>
          <t>TUB-S-AW-AUT-19.00X19.00X1.000X0.3550</t>
        </is>
      </c>
      <c r="L86" t="inlineStr">
        <is>
          <t>TVS</t>
        </is>
      </c>
      <c r="M86" t="inlineStr">
        <is>
          <t>19-19-1-CRFH-PE</t>
        </is>
      </c>
      <c r="N86" t="inlineStr">
        <is>
          <t>19-19-1-CRFH-PE-0.355</t>
        </is>
      </c>
    </row>
    <row r="87" hidden="1" s="584">
      <c r="A87" t="inlineStr">
        <is>
          <t>Scheduled at CTL-1</t>
        </is>
      </c>
      <c r="B87" t="n">
        <v>1868</v>
      </c>
      <c r="C87" t="inlineStr">
        <is>
          <t>Sri Balaji Gears</t>
        </is>
      </c>
      <c r="D87" t="n">
        <v>1</v>
      </c>
      <c r="E87" t="n">
        <v>19</v>
      </c>
      <c r="F87" t="n">
        <v>19</v>
      </c>
      <c r="G87" t="n">
        <v>0.755</v>
      </c>
      <c r="H87" t="inlineStr">
        <is>
          <t>000000000111117591</t>
        </is>
      </c>
      <c r="I87" t="inlineStr">
        <is>
          <t>TM-S-AW-AUT-19.00X19.00X1.000X6.1400</t>
        </is>
      </c>
      <c r="J87" t="n">
        <v>4151426</v>
      </c>
      <c r="K87" t="inlineStr">
        <is>
          <t>TUB-S-AW-AUT-19.00X19.00X1.000X0.7550</t>
        </is>
      </c>
      <c r="L87" t="inlineStr">
        <is>
          <t>TVS</t>
        </is>
      </c>
      <c r="M87" t="inlineStr">
        <is>
          <t>19-19-1-CRFH-PE</t>
        </is>
      </c>
      <c r="N87" t="inlineStr">
        <is>
          <t>19-19-1-CRFH-PE-0.755</t>
        </is>
      </c>
    </row>
    <row r="88" hidden="1" s="584">
      <c r="A88" t="inlineStr">
        <is>
          <t>Scheduled at CTL-1</t>
        </is>
      </c>
      <c r="B88" t="n">
        <v>1274</v>
      </c>
      <c r="C88" t="inlineStr">
        <is>
          <t>Sri Balaji Gears</t>
        </is>
      </c>
      <c r="D88" t="n">
        <v>1</v>
      </c>
      <c r="E88" t="n">
        <v>19</v>
      </c>
      <c r="F88" t="n">
        <v>19</v>
      </c>
      <c r="G88" t="n">
        <v>0.755</v>
      </c>
      <c r="H88" t="inlineStr">
        <is>
          <t>000000000111117591</t>
        </is>
      </c>
      <c r="I88" t="inlineStr">
        <is>
          <t>TM-S-AW-AUT-19.00X19.00X1.000X6.1400</t>
        </is>
      </c>
      <c r="J88" t="n">
        <v>4151426</v>
      </c>
      <c r="K88" t="inlineStr">
        <is>
          <t>TUB-S-AW-AUT-19.00X19.00X1.000X0.7550</t>
        </is>
      </c>
      <c r="L88" t="inlineStr">
        <is>
          <t>TVS</t>
        </is>
      </c>
      <c r="M88" t="inlineStr">
        <is>
          <t>19-19-1-CRFH-PE</t>
        </is>
      </c>
      <c r="N88" t="inlineStr">
        <is>
          <t>19-19-1-CRFH-PE-0.755</t>
        </is>
      </c>
    </row>
    <row r="89" hidden="1" s="584">
      <c r="A89" t="inlineStr">
        <is>
          <t>Scheduled at CTL-1</t>
        </is>
      </c>
      <c r="B89" t="n">
        <v>1712</v>
      </c>
      <c r="C89" t="inlineStr">
        <is>
          <t>Sri Balaji Gears</t>
        </is>
      </c>
      <c r="D89" t="n">
        <v>1</v>
      </c>
      <c r="E89" t="n">
        <v>19</v>
      </c>
      <c r="F89" t="n">
        <v>19</v>
      </c>
      <c r="G89" t="n">
        <v>0.755</v>
      </c>
      <c r="H89" t="inlineStr">
        <is>
          <t>000000000111117591</t>
        </is>
      </c>
      <c r="I89" t="inlineStr">
        <is>
          <t>TM-S-AW-AUT-19.00X19.00X1.000X6.1400</t>
        </is>
      </c>
      <c r="J89" t="n">
        <v>4151426</v>
      </c>
      <c r="K89" t="inlineStr">
        <is>
          <t>TUB-S-AW-AUT-19.00X19.00X1.000X0.7550</t>
        </is>
      </c>
      <c r="L89" t="inlineStr">
        <is>
          <t>TVS</t>
        </is>
      </c>
      <c r="M89" t="inlineStr">
        <is>
          <t>19-19-1-CRFH-PE</t>
        </is>
      </c>
      <c r="N89" t="inlineStr">
        <is>
          <t>19-19-1-CRFH-PE-0.755</t>
        </is>
      </c>
    </row>
    <row r="90" hidden="1" s="584">
      <c r="A90" t="inlineStr">
        <is>
          <t>Scheduled at CTL-1</t>
        </is>
      </c>
      <c r="B90" t="n">
        <v>2455</v>
      </c>
      <c r="C90" t="inlineStr">
        <is>
          <t>Sri Balaji Gears</t>
        </is>
      </c>
      <c r="D90" t="n">
        <v>1</v>
      </c>
      <c r="E90" t="n">
        <v>19</v>
      </c>
      <c r="F90" t="n">
        <v>19</v>
      </c>
      <c r="G90" t="n">
        <v>0.755</v>
      </c>
      <c r="H90" t="inlineStr">
        <is>
          <t>000000000111117591</t>
        </is>
      </c>
      <c r="I90" t="inlineStr">
        <is>
          <t>TM-S-AW-AUT-19.00X19.00X1.000X6.1400</t>
        </is>
      </c>
      <c r="J90" t="n">
        <v>4151426</v>
      </c>
      <c r="K90" t="inlineStr">
        <is>
          <t>TUB-S-AW-AUT-19.00X19.00X1.000X0.7550</t>
        </is>
      </c>
      <c r="L90" t="inlineStr">
        <is>
          <t>TVS</t>
        </is>
      </c>
      <c r="M90" t="inlineStr">
        <is>
          <t>19-19-1-CRFH-PE</t>
        </is>
      </c>
      <c r="N90" t="inlineStr">
        <is>
          <t>19-19-1-CRFH-PE-0.755</t>
        </is>
      </c>
    </row>
    <row r="91" hidden="1" s="584">
      <c r="A91" t="inlineStr">
        <is>
          <t>Scheduled at CTL-1</t>
        </is>
      </c>
      <c r="B91" t="n">
        <v>1931</v>
      </c>
      <c r="C91" t="inlineStr">
        <is>
          <t>ELKAYEM AUTO ANCILLARIES PRIVA</t>
        </is>
      </c>
      <c r="D91" t="n">
        <v>2</v>
      </c>
      <c r="E91" t="n">
        <v>19.05</v>
      </c>
      <c r="F91" t="n">
        <v>0</v>
      </c>
      <c r="G91" t="n">
        <v>0.785</v>
      </c>
      <c r="H91" t="inlineStr">
        <is>
          <t>000000000110102428</t>
        </is>
      </c>
      <c r="I91" t="inlineStr">
        <is>
          <t>TM-O-O-AUT-AW-PE-19.05X2.000X5.5800</t>
        </is>
      </c>
      <c r="J91" t="n">
        <v>1940284</v>
      </c>
      <c r="K91" t="inlineStr">
        <is>
          <t>TUB-O-O-AUT-AW-PE-19.05X2.000X0.7850</t>
        </is>
      </c>
      <c r="L91" t="inlineStr">
        <is>
          <t>TVS</t>
        </is>
      </c>
      <c r="M91" t="inlineStr">
        <is>
          <t>19.05-0-2-ERW 1-PE</t>
        </is>
      </c>
      <c r="N91" t="inlineStr">
        <is>
          <t>19.05-0-2-ERW 1-PE-0.785</t>
        </is>
      </c>
    </row>
    <row r="92" hidden="1" s="584">
      <c r="A92" t="inlineStr">
        <is>
          <t>Scheduled at CTL-1</t>
        </is>
      </c>
      <c r="B92" t="n">
        <v>1733</v>
      </c>
      <c r="C92" t="inlineStr">
        <is>
          <t>Sri Balaji Gears</t>
        </is>
      </c>
      <c r="D92" t="n">
        <v>1</v>
      </c>
      <c r="E92" t="n">
        <v>19</v>
      </c>
      <c r="F92" t="n">
        <v>19</v>
      </c>
      <c r="G92" t="n">
        <v>1.304</v>
      </c>
      <c r="H92" t="inlineStr">
        <is>
          <t>000000000111116358</t>
        </is>
      </c>
      <c r="I92" t="inlineStr">
        <is>
          <t>TM-S-AW-AUT-19.00X19.00X1.000X5.3200</t>
        </is>
      </c>
      <c r="J92" t="n">
        <v>3572039</v>
      </c>
      <c r="K92" t="inlineStr">
        <is>
          <t>TUB-S-AW-AUT-19.00X19.00X1.000X1.3040</t>
        </is>
      </c>
      <c r="L92" t="inlineStr">
        <is>
          <t>TVS</t>
        </is>
      </c>
      <c r="M92" t="inlineStr">
        <is>
          <t>19-19-1-CRFH-PE</t>
        </is>
      </c>
      <c r="N92" t="inlineStr">
        <is>
          <t>19-19-1-CRFH-PE-1.304</t>
        </is>
      </c>
    </row>
    <row r="93" hidden="1" s="584">
      <c r="A93" t="inlineStr">
        <is>
          <t>Scheduled at CTL-1</t>
        </is>
      </c>
      <c r="B93" t="n">
        <v>1713</v>
      </c>
      <c r="C93" t="inlineStr">
        <is>
          <t>Sri Balaji Gears</t>
        </is>
      </c>
      <c r="D93" t="n">
        <v>1</v>
      </c>
      <c r="E93" t="n">
        <v>19</v>
      </c>
      <c r="F93" t="n">
        <v>19</v>
      </c>
      <c r="G93" t="n">
        <v>1.304</v>
      </c>
      <c r="H93" t="inlineStr">
        <is>
          <t>000000000111116358</t>
        </is>
      </c>
      <c r="I93" t="inlineStr">
        <is>
          <t>TM-S-AW-AUT-19.00X19.00X1.000X5.3200</t>
        </is>
      </c>
      <c r="J93" t="n">
        <v>3572039</v>
      </c>
      <c r="K93" t="inlineStr">
        <is>
          <t>TUB-S-AW-AUT-19.00X19.00X1.000X1.3040</t>
        </is>
      </c>
      <c r="L93" t="inlineStr">
        <is>
          <t>TVS</t>
        </is>
      </c>
      <c r="M93" t="inlineStr">
        <is>
          <t>19-19-1-CRFH-PE</t>
        </is>
      </c>
      <c r="N93" t="inlineStr">
        <is>
          <t>19-19-1-CRFH-PE-1.304</t>
        </is>
      </c>
    </row>
    <row r="94" hidden="1" s="584">
      <c r="A94" t="inlineStr">
        <is>
          <t>Scheduled at CTL-1</t>
        </is>
      </c>
      <c r="B94" t="n">
        <v>1170</v>
      </c>
      <c r="C94" t="inlineStr">
        <is>
          <t>Sri Balaji Gears</t>
        </is>
      </c>
      <c r="D94" t="n">
        <v>1</v>
      </c>
      <c r="E94" t="n">
        <v>19</v>
      </c>
      <c r="F94" t="n">
        <v>19</v>
      </c>
      <c r="G94" t="n">
        <v>1.304</v>
      </c>
      <c r="H94" t="inlineStr">
        <is>
          <t>000000000111116358</t>
        </is>
      </c>
      <c r="I94" t="inlineStr">
        <is>
          <t>TM-S-AW-AUT-19.00X19.00X1.000X5.3200</t>
        </is>
      </c>
      <c r="J94" t="n">
        <v>3572039</v>
      </c>
      <c r="K94" t="inlineStr">
        <is>
          <t>TUB-S-AW-AUT-19.00X19.00X1.000X1.3040</t>
        </is>
      </c>
      <c r="L94" t="inlineStr">
        <is>
          <t>TVS</t>
        </is>
      </c>
      <c r="M94" t="inlineStr">
        <is>
          <t>19-19-1-CRFH-PE</t>
        </is>
      </c>
      <c r="N94" t="inlineStr">
        <is>
          <t>19-19-1-CRFH-PE-1.304</t>
        </is>
      </c>
    </row>
    <row r="95" hidden="1" s="584">
      <c r="A95" t="inlineStr">
        <is>
          <t>Scheduled at CTL-1</t>
        </is>
      </c>
      <c r="B95" t="n">
        <v>1170</v>
      </c>
      <c r="C95" t="inlineStr">
        <is>
          <t>Sri Balaji Gears</t>
        </is>
      </c>
      <c r="D95" t="n">
        <v>1</v>
      </c>
      <c r="E95" t="n">
        <v>19</v>
      </c>
      <c r="F95" t="n">
        <v>19</v>
      </c>
      <c r="G95" t="n">
        <v>1.304</v>
      </c>
      <c r="H95" t="inlineStr">
        <is>
          <t>000000000111116358</t>
        </is>
      </c>
      <c r="I95" t="inlineStr">
        <is>
          <t>TM-S-AW-AUT-19.00X19.00X1.000X5.3200</t>
        </is>
      </c>
      <c r="J95" t="n">
        <v>3572039</v>
      </c>
      <c r="K95" t="inlineStr">
        <is>
          <t>TUB-S-AW-AUT-19.00X19.00X1.000X1.3040</t>
        </is>
      </c>
      <c r="L95" t="inlineStr">
        <is>
          <t>TVS</t>
        </is>
      </c>
      <c r="M95" t="inlineStr">
        <is>
          <t>19-19-1-CRFH-PE</t>
        </is>
      </c>
      <c r="N95" t="inlineStr">
        <is>
          <t>19-19-1-CRFH-PE-1.304</t>
        </is>
      </c>
    </row>
    <row r="96" hidden="1" s="584">
      <c r="A96" t="inlineStr">
        <is>
          <t>Scheduled at CTL-1</t>
        </is>
      </c>
      <c r="B96" t="n">
        <v>1138</v>
      </c>
      <c r="C96" t="inlineStr">
        <is>
          <t>BALAJI PRESS PRODUCTS INDIA</t>
        </is>
      </c>
      <c r="D96" t="n">
        <v>1.2</v>
      </c>
      <c r="E96" t="n">
        <v>19.05</v>
      </c>
      <c r="F96" t="n">
        <v>0</v>
      </c>
      <c r="G96" t="n">
        <v>1.145</v>
      </c>
      <c r="H96" t="inlineStr">
        <is>
          <t>000000000111124764</t>
        </is>
      </c>
      <c r="I96" t="inlineStr">
        <is>
          <t>TM-O-N-AUT-AW-PE-19.05X1.200X5.8000</t>
        </is>
      </c>
      <c r="J96" t="n">
        <v>4110464</v>
      </c>
      <c r="K96" t="inlineStr">
        <is>
          <t>TUB-O-N-AUT-AW-PE-19.05X1.200X1.1450</t>
        </is>
      </c>
      <c r="L96" t="inlineStr">
        <is>
          <t>TVS</t>
        </is>
      </c>
      <c r="M96" t="inlineStr">
        <is>
          <t>19.05-0-1.2-ERW 1-PE</t>
        </is>
      </c>
    </row>
    <row r="97" hidden="1" s="584">
      <c r="A97" t="inlineStr">
        <is>
          <t>Scheduled at CTL-1</t>
        </is>
      </c>
      <c r="B97" t="n">
        <v>1036</v>
      </c>
      <c r="C97" t="inlineStr">
        <is>
          <t>SANDHAR ENGINEERING PVT LTD.(K</t>
        </is>
      </c>
      <c r="D97" t="n">
        <v>1.2</v>
      </c>
      <c r="E97" t="n">
        <v>19.05</v>
      </c>
      <c r="F97" t="n">
        <v>0</v>
      </c>
      <c r="G97" t="n">
        <v>0.65</v>
      </c>
      <c r="H97" t="inlineStr">
        <is>
          <t>000000000111120703</t>
        </is>
      </c>
      <c r="I97" t="inlineStr">
        <is>
          <t>TM-O-O-AUT-AW-PE-19.05X1.200X5.9500</t>
        </is>
      </c>
      <c r="J97" t="n">
        <v>1937022</v>
      </c>
      <c r="K97" t="inlineStr">
        <is>
          <t>TUB-O-N-AUT-AW-PE-19.05X1.200X0.6500</t>
        </is>
      </c>
      <c r="L97" t="inlineStr">
        <is>
          <t>TVS</t>
        </is>
      </c>
      <c r="M97" t="inlineStr">
        <is>
          <t>19.05-0-1.2-ERW 1-PE</t>
        </is>
      </c>
      <c r="N97" t="inlineStr">
        <is>
          <t>19.05-0-1.2-ERW 1-PE-0.65</t>
        </is>
      </c>
    </row>
    <row r="98" hidden="1" s="584">
      <c r="A98" t="inlineStr">
        <is>
          <t>Scheduled at CTL-1</t>
        </is>
      </c>
      <c r="B98" t="n">
        <v>1553</v>
      </c>
      <c r="C98" t="inlineStr">
        <is>
          <t>SANDHAR ENGINEERING PVT LTD.(K</t>
        </is>
      </c>
      <c r="D98" t="n">
        <v>1.2</v>
      </c>
      <c r="E98" t="n">
        <v>19.05</v>
      </c>
      <c r="F98" t="n">
        <v>0</v>
      </c>
      <c r="G98" t="n">
        <v>0.65</v>
      </c>
      <c r="H98" t="inlineStr">
        <is>
          <t>000000000111120703</t>
        </is>
      </c>
      <c r="I98" t="inlineStr">
        <is>
          <t>TM-O-O-AUT-AW-PE-19.05X1.200X5.9500</t>
        </is>
      </c>
      <c r="J98" t="n">
        <v>1937022</v>
      </c>
      <c r="K98" t="inlineStr">
        <is>
          <t>TUB-O-N-AUT-AW-PE-19.05X1.200X0.6500</t>
        </is>
      </c>
      <c r="L98" t="inlineStr">
        <is>
          <t>TVS</t>
        </is>
      </c>
      <c r="M98" t="inlineStr">
        <is>
          <t>19.05-0-1.2-ERW 1-PE</t>
        </is>
      </c>
      <c r="N98" t="inlineStr">
        <is>
          <t>19.05-0-1.2-ERW 1-PE-0.65</t>
        </is>
      </c>
    </row>
    <row r="99" hidden="1" s="584">
      <c r="A99" t="inlineStr">
        <is>
          <t>Scheduled at CTL-1</t>
        </is>
      </c>
      <c r="B99" t="n">
        <v>1714</v>
      </c>
      <c r="C99" t="inlineStr">
        <is>
          <t>BALAJI PRESS PRODUCTS INDIA</t>
        </is>
      </c>
      <c r="D99" t="n">
        <v>1.2</v>
      </c>
      <c r="E99" t="n">
        <v>19.05</v>
      </c>
      <c r="F99" t="n">
        <v>0</v>
      </c>
      <c r="G99" t="n">
        <v>1.075</v>
      </c>
      <c r="H99" t="inlineStr">
        <is>
          <t>000000000111116351</t>
        </is>
      </c>
      <c r="I99" t="inlineStr">
        <is>
          <t>TM-O-N-AUT-AW-PE-19.05X1.200X5.4500</t>
        </is>
      </c>
      <c r="J99" t="n">
        <v>3229740</v>
      </c>
      <c r="K99" t="inlineStr">
        <is>
          <t>TUB-O-N-AUT-AW-PE-19.05X1.200X1.0750</t>
        </is>
      </c>
      <c r="L99" t="inlineStr">
        <is>
          <t>TVS</t>
        </is>
      </c>
      <c r="M99" t="inlineStr">
        <is>
          <t>19.05-0-1.2-ERW 1-PE</t>
        </is>
      </c>
      <c r="N99" t="inlineStr">
        <is>
          <t>19.05-0-1.2-ERW 1-PE-1.075</t>
        </is>
      </c>
    </row>
    <row r="100" hidden="1" s="584">
      <c r="A100" t="inlineStr">
        <is>
          <t>Scheduled at CTL-1</t>
        </is>
      </c>
      <c r="B100" t="n">
        <v>1775</v>
      </c>
      <c r="C100" t="inlineStr">
        <is>
          <t>Marathwada Auto Compo Pvt. Ltd</t>
        </is>
      </c>
      <c r="D100" t="n">
        <v>1.2</v>
      </c>
      <c r="E100" t="n">
        <v>19.05</v>
      </c>
      <c r="F100" t="n">
        <v>0</v>
      </c>
      <c r="G100" t="n">
        <v>0.6820000000000001</v>
      </c>
      <c r="H100" t="inlineStr">
        <is>
          <t>000000000111121701</t>
        </is>
      </c>
      <c r="I100" t="inlineStr">
        <is>
          <t>TM-O-O-AUT-AW-PE-19.05X1.200X6.2250</t>
        </is>
      </c>
      <c r="J100" t="n">
        <v>3929540</v>
      </c>
      <c r="K100" t="inlineStr">
        <is>
          <t>CUT-O-N-AUT-AW-PE-19.05X1.200X0.6820</t>
        </is>
      </c>
      <c r="L100" t="inlineStr">
        <is>
          <t>TVS</t>
        </is>
      </c>
      <c r="M100" t="inlineStr">
        <is>
          <t>19-19-1.2-CRFH-PE</t>
        </is>
      </c>
      <c r="N100" t="inlineStr">
        <is>
          <t>19-19-1.2-CRFH-PE-0.682</t>
        </is>
      </c>
    </row>
    <row r="101" hidden="1" s="584">
      <c r="A101" t="inlineStr">
        <is>
          <t>Scheduled at CTL-1</t>
        </is>
      </c>
      <c r="B101" t="n">
        <v>1690</v>
      </c>
      <c r="C101" t="inlineStr">
        <is>
          <t>Marathwada Auto Compo Pvt. Ltd</t>
        </is>
      </c>
      <c r="D101" t="n">
        <v>1.2</v>
      </c>
      <c r="E101" t="n">
        <v>19.05</v>
      </c>
      <c r="F101" t="n">
        <v>0</v>
      </c>
      <c r="G101" t="n">
        <v>0.6820000000000001</v>
      </c>
      <c r="H101" t="inlineStr">
        <is>
          <t>000000000111121701</t>
        </is>
      </c>
      <c r="I101" t="inlineStr">
        <is>
          <t>TM-O-O-AUT-AW-PE-19.05X1.200X6.2250</t>
        </is>
      </c>
      <c r="J101" t="n">
        <v>3929540</v>
      </c>
      <c r="K101" t="inlineStr">
        <is>
          <t>CUT-O-N-AUT-AW-PE-19.05X1.200X0.6820</t>
        </is>
      </c>
      <c r="L101" t="inlineStr">
        <is>
          <t>TVS</t>
        </is>
      </c>
      <c r="M101" t="inlineStr">
        <is>
          <t>19-19-1.2-CRFH-PE</t>
        </is>
      </c>
      <c r="N101" t="inlineStr">
        <is>
          <t>19-19-1.2-CRFH-PE-0.682</t>
        </is>
      </c>
    </row>
    <row r="102" hidden="1" s="584">
      <c r="A102" t="inlineStr">
        <is>
          <t>Scheduled at CTL-1</t>
        </is>
      </c>
      <c r="B102" t="n">
        <v>1670</v>
      </c>
      <c r="C102" t="inlineStr">
        <is>
          <t>Sri Balaji Gears</t>
        </is>
      </c>
      <c r="D102" t="n">
        <v>1.2</v>
      </c>
      <c r="E102" t="n">
        <v>19.05</v>
      </c>
      <c r="F102" t="n">
        <v>0</v>
      </c>
      <c r="G102" t="n">
        <v>1.23</v>
      </c>
      <c r="H102" t="inlineStr">
        <is>
          <t>000000000111121701</t>
        </is>
      </c>
      <c r="I102" t="inlineStr">
        <is>
          <t>TM-O-O-AUT-AW-PE-19.05X1.200X6.2250</t>
        </is>
      </c>
      <c r="J102" t="n">
        <v>3929692</v>
      </c>
      <c r="K102" t="inlineStr">
        <is>
          <t>CUT-O-N-AUT-AW-PE-19.05X1.200X1.2300</t>
        </is>
      </c>
      <c r="L102" t="inlineStr">
        <is>
          <t>TVS</t>
        </is>
      </c>
      <c r="M102" t="inlineStr">
        <is>
          <t>19.05-0-1.2-CRFH-PE</t>
        </is>
      </c>
      <c r="N102" t="inlineStr">
        <is>
          <t>19.05-0-1.2-CRFH-PE-1.23</t>
        </is>
      </c>
    </row>
    <row r="103" hidden="1" s="584">
      <c r="A103" t="inlineStr">
        <is>
          <t>Scheduled at CTL-1</t>
        </is>
      </c>
      <c r="B103" t="n">
        <v>2310</v>
      </c>
      <c r="C103" t="inlineStr">
        <is>
          <t>Sri Balaji Gears</t>
        </is>
      </c>
      <c r="D103" t="n">
        <v>1.2</v>
      </c>
      <c r="E103" t="n">
        <v>19.05</v>
      </c>
      <c r="F103" t="n">
        <v>0</v>
      </c>
      <c r="G103" t="n">
        <v>1.23</v>
      </c>
      <c r="H103" t="inlineStr">
        <is>
          <t>000000000111121701</t>
        </is>
      </c>
      <c r="I103" t="inlineStr">
        <is>
          <t>TM-O-O-AUT-AW-PE-19.05X1.200X6.2250</t>
        </is>
      </c>
      <c r="J103" t="n">
        <v>3929692</v>
      </c>
      <c r="K103" t="inlineStr">
        <is>
          <t>CUT-O-N-AUT-AW-PE-19.05X1.200X1.2300</t>
        </is>
      </c>
      <c r="L103" t="inlineStr">
        <is>
          <t>TVS</t>
        </is>
      </c>
      <c r="M103" t="inlineStr">
        <is>
          <t>19.05-0-1.2-CRFH-PE</t>
        </is>
      </c>
      <c r="N103" t="inlineStr">
        <is>
          <t>19.05-0-1.2-CRFH-PE-1.23</t>
        </is>
      </c>
    </row>
    <row r="104" hidden="1" s="584">
      <c r="A104" t="inlineStr">
        <is>
          <t>Scheduled at CTL-1</t>
        </is>
      </c>
      <c r="B104" t="n">
        <v>2283</v>
      </c>
      <c r="C104" t="inlineStr">
        <is>
          <t>Sri Balaji Gears</t>
        </is>
      </c>
      <c r="D104" t="n">
        <v>1.2</v>
      </c>
      <c r="E104" t="n">
        <v>19.05</v>
      </c>
      <c r="F104" t="n">
        <v>0</v>
      </c>
      <c r="G104" t="n">
        <v>1.23</v>
      </c>
      <c r="H104" t="inlineStr">
        <is>
          <t>000000000111121701</t>
        </is>
      </c>
      <c r="I104" t="inlineStr">
        <is>
          <t>TM-O-O-AUT-AW-PE-19.05X1.200X6.2250</t>
        </is>
      </c>
      <c r="J104" t="n">
        <v>3929692</v>
      </c>
      <c r="K104" t="inlineStr">
        <is>
          <t>CUT-O-N-AUT-AW-PE-19.05X1.200X1.2300</t>
        </is>
      </c>
      <c r="L104" t="inlineStr">
        <is>
          <t>TVS</t>
        </is>
      </c>
      <c r="M104" t="inlineStr">
        <is>
          <t>19.05-0-1.2-CRFH-PE</t>
        </is>
      </c>
      <c r="N104" t="inlineStr">
        <is>
          <t>19.05-0-1.2-CRFH-PE-1.23</t>
        </is>
      </c>
    </row>
    <row r="105" hidden="1" s="584">
      <c r="A105" t="inlineStr">
        <is>
          <t>Scheduled at CTL-1</t>
        </is>
      </c>
      <c r="B105" t="n">
        <v>2270</v>
      </c>
      <c r="C105" t="inlineStr">
        <is>
          <t>Sri Balaji Gears</t>
        </is>
      </c>
      <c r="D105" t="n">
        <v>1.2</v>
      </c>
      <c r="E105" t="n">
        <v>19.05</v>
      </c>
      <c r="F105" t="n">
        <v>0</v>
      </c>
      <c r="G105" t="n">
        <v>1.23</v>
      </c>
      <c r="H105" t="inlineStr">
        <is>
          <t>000000000111121701</t>
        </is>
      </c>
      <c r="I105" t="inlineStr">
        <is>
          <t>TM-O-O-AUT-AW-PE-19.05X1.200X6.2250</t>
        </is>
      </c>
      <c r="J105" t="n">
        <v>3929692</v>
      </c>
      <c r="K105" t="inlineStr">
        <is>
          <t>CUT-O-N-AUT-AW-PE-19.05X1.200X1.2300</t>
        </is>
      </c>
      <c r="L105" t="inlineStr">
        <is>
          <t>TVS</t>
        </is>
      </c>
      <c r="M105" t="inlineStr">
        <is>
          <t>19.05-0-1.2-CRFH-PE</t>
        </is>
      </c>
      <c r="N105" t="inlineStr">
        <is>
          <t>19.05-0-1.2-CRFH-PE-1.23</t>
        </is>
      </c>
    </row>
    <row r="106" hidden="1" s="584">
      <c r="A106" t="inlineStr">
        <is>
          <t>Scheduled at CTL-1</t>
        </is>
      </c>
      <c r="B106" t="n">
        <v>1694</v>
      </c>
      <c r="C106" t="inlineStr">
        <is>
          <t>Sri Balaji Gears</t>
        </is>
      </c>
      <c r="D106" t="n">
        <v>1.2</v>
      </c>
      <c r="E106" t="n">
        <v>19.05</v>
      </c>
      <c r="F106" t="n">
        <v>0</v>
      </c>
      <c r="G106" t="n">
        <v>1.23</v>
      </c>
      <c r="H106" t="inlineStr">
        <is>
          <t>000000000111121701</t>
        </is>
      </c>
      <c r="I106" t="inlineStr">
        <is>
          <t>TM-O-O-AUT-AW-PE-19.05X1.200X6.2250</t>
        </is>
      </c>
      <c r="J106" t="n">
        <v>3929692</v>
      </c>
      <c r="K106" t="inlineStr">
        <is>
          <t>CUT-O-N-AUT-AW-PE-19.05X1.200X1.2300</t>
        </is>
      </c>
      <c r="L106" t="inlineStr">
        <is>
          <t>TVS</t>
        </is>
      </c>
      <c r="M106" t="inlineStr">
        <is>
          <t>19.05-0-1.2-CRFH-PE</t>
        </is>
      </c>
      <c r="N106" t="inlineStr">
        <is>
          <t>19.05-0-1.2-CRFH-PE-1.23</t>
        </is>
      </c>
    </row>
    <row r="107" hidden="1" s="584">
      <c r="A107" t="inlineStr">
        <is>
          <t>Scheduled at CTL-1</t>
        </is>
      </c>
      <c r="B107" t="n">
        <v>2372</v>
      </c>
      <c r="C107" t="inlineStr">
        <is>
          <t>Sri Balaji Gears</t>
        </is>
      </c>
      <c r="D107" t="n">
        <v>1.2</v>
      </c>
      <c r="E107" t="n">
        <v>19.05</v>
      </c>
      <c r="F107" t="n">
        <v>0</v>
      </c>
      <c r="G107" t="n">
        <v>1.23</v>
      </c>
      <c r="H107" t="inlineStr">
        <is>
          <t>000000000111121736</t>
        </is>
      </c>
      <c r="I107" t="inlineStr">
        <is>
          <t>TM-O-N-AUT-AW-PE-19.05X1.200X5.7400</t>
        </is>
      </c>
      <c r="J107" t="n">
        <v>3929692</v>
      </c>
      <c r="K107" t="inlineStr">
        <is>
          <t>CUT-O-N-AUT-AW-PE-19.05X1.200X1.2300</t>
        </is>
      </c>
      <c r="L107" t="inlineStr">
        <is>
          <t>TVS</t>
        </is>
      </c>
      <c r="M107" t="inlineStr">
        <is>
          <t>19.05-0-1.2-CRFH-PE</t>
        </is>
      </c>
      <c r="N107" t="inlineStr">
        <is>
          <t>19.05-0-1.2-CRFH-PE-1.23</t>
        </is>
      </c>
    </row>
    <row r="108" hidden="1" s="584">
      <c r="A108" t="inlineStr">
        <is>
          <t>Scheduled at CTL-1</t>
        </is>
      </c>
      <c r="B108" t="n">
        <v>1922</v>
      </c>
      <c r="C108" t="inlineStr">
        <is>
          <t>SRIKAM HITECH ENGINEERING PRIV</t>
        </is>
      </c>
      <c r="D108" t="n">
        <v>2.3</v>
      </c>
      <c r="E108" t="n">
        <v>19.05</v>
      </c>
      <c r="F108" t="n">
        <v>0</v>
      </c>
      <c r="G108" t="n">
        <v>0.236</v>
      </c>
      <c r="H108" t="inlineStr">
        <is>
          <t>000000000111106948</t>
        </is>
      </c>
      <c r="I108" t="inlineStr">
        <is>
          <t>TM-O-N-AUT-AW-PE-19.05X2.300X5.6300</t>
        </is>
      </c>
      <c r="J108" t="n">
        <v>1940306</v>
      </c>
      <c r="K108" t="inlineStr">
        <is>
          <t>TUB-O-O-AUT-AW-PE-19.05X2.300X0.2360</t>
        </is>
      </c>
      <c r="L108" t="inlineStr">
        <is>
          <t>TVS</t>
        </is>
      </c>
      <c r="M108" t="inlineStr">
        <is>
          <t>19.05-0-2.3-ERW 1-PE</t>
        </is>
      </c>
      <c r="N108" t="inlineStr">
        <is>
          <t>19.05-0-2.3-ERW 1-PE-0.236</t>
        </is>
      </c>
    </row>
    <row r="109" hidden="1" s="584">
      <c r="A109" t="inlineStr">
        <is>
          <t>Scheduled at CTL-1</t>
        </is>
      </c>
      <c r="B109" t="n">
        <v>171</v>
      </c>
      <c r="C109" t="inlineStr">
        <is>
          <t>SRIKAM HITECH ENGINEERING PRIV</t>
        </is>
      </c>
      <c r="D109" t="n">
        <v>2.3</v>
      </c>
      <c r="E109" t="n">
        <v>19.05</v>
      </c>
      <c r="F109" t="n">
        <v>0</v>
      </c>
      <c r="G109" t="n">
        <v>0.265</v>
      </c>
      <c r="H109" t="inlineStr">
        <is>
          <t>000000000111106948</t>
        </is>
      </c>
      <c r="I109" t="inlineStr">
        <is>
          <t>TM-O-N-AUT-AW-PE-19.05X2.300X5.6300</t>
        </is>
      </c>
      <c r="J109" t="n">
        <v>1940309</v>
      </c>
      <c r="K109" t="inlineStr">
        <is>
          <t>TUB-O-O-AUT-AW-PE-19.05X2.300X0.2650</t>
        </is>
      </c>
      <c r="L109" t="inlineStr">
        <is>
          <t>TVS</t>
        </is>
      </c>
      <c r="M109" t="inlineStr">
        <is>
          <t>19.05-0-2.3-ERW 1-PE</t>
        </is>
      </c>
      <c r="N109" t="inlineStr">
        <is>
          <t>19.05-0-2.3-ERW 1-PE-0.265</t>
        </is>
      </c>
    </row>
    <row r="110" hidden="1" s="584">
      <c r="A110" t="inlineStr">
        <is>
          <t>Scheduled at CTL-1</t>
        </is>
      </c>
      <c r="B110" t="n">
        <v>1027</v>
      </c>
      <c r="C110" t="inlineStr">
        <is>
          <t>SRIKAM HITECH ENGINEERING PRIV</t>
        </is>
      </c>
      <c r="D110" t="n">
        <v>2.3</v>
      </c>
      <c r="E110" t="n">
        <v>19.05</v>
      </c>
      <c r="F110" t="n">
        <v>0</v>
      </c>
      <c r="G110" t="n">
        <v>0.265</v>
      </c>
      <c r="H110" t="inlineStr">
        <is>
          <t>000000000111106948</t>
        </is>
      </c>
      <c r="I110" t="inlineStr">
        <is>
          <t>TM-O-N-AUT-AW-PE-19.05X2.300X5.6300</t>
        </is>
      </c>
      <c r="J110" t="n">
        <v>1940309</v>
      </c>
      <c r="K110" t="inlineStr">
        <is>
          <t>TUB-O-O-AUT-AW-PE-19.05X2.300X0.2650</t>
        </is>
      </c>
      <c r="L110" t="inlineStr">
        <is>
          <t>TVS</t>
        </is>
      </c>
      <c r="M110" t="inlineStr">
        <is>
          <t>19.05-0-2.3-ERW 1-PE</t>
        </is>
      </c>
      <c r="N110" t="inlineStr">
        <is>
          <t>19.05-0-2.3-ERW 1-PE-0.265</t>
        </is>
      </c>
    </row>
    <row r="111" hidden="1" s="584">
      <c r="A111" t="inlineStr">
        <is>
          <t>Scheduled at CTL-1</t>
        </is>
      </c>
      <c r="B111" t="n">
        <v>356</v>
      </c>
      <c r="C111" t="inlineStr">
        <is>
          <t>ELKAYEM AUTO ANCILLARIES (PVT)</t>
        </is>
      </c>
      <c r="D111" t="n">
        <v>2.3</v>
      </c>
      <c r="E111" t="n">
        <v>19.05</v>
      </c>
      <c r="F111" t="n">
        <v>0</v>
      </c>
      <c r="G111" t="n">
        <v>0.285</v>
      </c>
      <c r="H111" t="inlineStr">
        <is>
          <t>000000000111001373</t>
        </is>
      </c>
      <c r="I111" t="inlineStr">
        <is>
          <t>TM-O-N-AUT-AW-PE-19.05X2.300X5.8000</t>
        </is>
      </c>
      <c r="J111" t="n">
        <v>2427711</v>
      </c>
      <c r="K111" t="inlineStr">
        <is>
          <t>TUB-O-N-AUT-AW-PE-19.05X2.300X0.2850</t>
        </is>
      </c>
      <c r="L111" t="inlineStr">
        <is>
          <t>TVS</t>
        </is>
      </c>
      <c r="M111" t="inlineStr">
        <is>
          <t>19.05-0-2.3-ERW 1-PE</t>
        </is>
      </c>
      <c r="N111" t="inlineStr">
        <is>
          <t>19.05-0-2.3-ERW 1-PE-0.285</t>
        </is>
      </c>
    </row>
    <row r="112" hidden="1" s="584">
      <c r="A112" t="inlineStr">
        <is>
          <t>Scheduled at CTL-1</t>
        </is>
      </c>
      <c r="B112" t="n">
        <v>1166</v>
      </c>
      <c r="C112" t="inlineStr">
        <is>
          <t>SRIKAM HITECH ENGINEERING PRIV</t>
        </is>
      </c>
      <c r="D112" t="n">
        <v>2.3</v>
      </c>
      <c r="E112" t="n">
        <v>19.05</v>
      </c>
      <c r="F112" t="n">
        <v>0</v>
      </c>
      <c r="G112" t="n">
        <v>0.295</v>
      </c>
      <c r="H112" t="inlineStr">
        <is>
          <t>000000000111106948</t>
        </is>
      </c>
      <c r="I112" t="inlineStr">
        <is>
          <t>TM-O-N-AUT-AW-PE-19.05X2.300X5.6300</t>
        </is>
      </c>
      <c r="J112" t="n">
        <v>1940312</v>
      </c>
      <c r="K112" t="inlineStr">
        <is>
          <t>TUB-O-O-AUT-AW-PE-19.05X2.300X0.2950</t>
        </is>
      </c>
      <c r="L112" t="inlineStr">
        <is>
          <t>TVS</t>
        </is>
      </c>
      <c r="M112" t="inlineStr">
        <is>
          <t>19.05-0-2.3-ERW 1-PE</t>
        </is>
      </c>
      <c r="N112" t="inlineStr">
        <is>
          <t>19.05-0-2.3-ERW 1-PE-0.295</t>
        </is>
      </c>
    </row>
    <row r="113" hidden="1" s="584">
      <c r="A113" t="inlineStr">
        <is>
          <t>Scheduled at CTL-1</t>
        </is>
      </c>
      <c r="B113" t="n">
        <v>375</v>
      </c>
      <c r="C113" t="inlineStr">
        <is>
          <t>ELKAYEM AUTO ANCILLARIES (PVT)</t>
        </is>
      </c>
      <c r="D113" t="n">
        <v>2.3</v>
      </c>
      <c r="E113" t="n">
        <v>19.05</v>
      </c>
      <c r="F113" t="n">
        <v>0</v>
      </c>
      <c r="G113" t="n">
        <v>0.303</v>
      </c>
      <c r="H113" t="inlineStr">
        <is>
          <t>000000000111106948</t>
        </is>
      </c>
      <c r="I113" t="inlineStr">
        <is>
          <t>TM-O-N-AUT-AW-PE-19.05X2.300X5.6300</t>
        </is>
      </c>
      <c r="J113" t="n">
        <v>1940313</v>
      </c>
      <c r="K113" t="inlineStr">
        <is>
          <t>TUB-O-O-AUT-AW-PE-19.05X2.300X0.3030</t>
        </is>
      </c>
      <c r="L113" t="inlineStr">
        <is>
          <t>TVS</t>
        </is>
      </c>
      <c r="M113" t="inlineStr">
        <is>
          <t>19.05-0-2.3-ERW 1-PE</t>
        </is>
      </c>
      <c r="N113" t="inlineStr">
        <is>
          <t>19.05-0-2.3-ERW 1-PE-0.303</t>
        </is>
      </c>
    </row>
    <row r="114" hidden="1" s="584">
      <c r="A114" t="inlineStr">
        <is>
          <t>Scheduled at CTL-1</t>
        </is>
      </c>
      <c r="B114" t="n">
        <v>452</v>
      </c>
      <c r="C114" t="inlineStr">
        <is>
          <t>SRIKAM HITECH ENGINEERING PRIV</t>
        </is>
      </c>
      <c r="D114" t="n">
        <v>2.3</v>
      </c>
      <c r="E114" t="n">
        <v>19.05</v>
      </c>
      <c r="F114" t="n">
        <v>0</v>
      </c>
      <c r="G114" t="n">
        <v>0.5700000000000001</v>
      </c>
      <c r="H114" t="inlineStr">
        <is>
          <t>000000000111001373</t>
        </is>
      </c>
      <c r="I114" t="inlineStr">
        <is>
          <t>TM-O-N-AUT-AW-PE-19.05X2.300X5.8000</t>
        </is>
      </c>
      <c r="J114" t="n">
        <v>1940325</v>
      </c>
      <c r="K114" t="inlineStr">
        <is>
          <t>TUB-O-O-AUT-AW-PE-19.05X2.300X0.5700</t>
        </is>
      </c>
      <c r="L114" t="inlineStr">
        <is>
          <t>TVS</t>
        </is>
      </c>
      <c r="M114" t="inlineStr">
        <is>
          <t>19.05-0-2.3-ERW 1-PE</t>
        </is>
      </c>
      <c r="N114" t="inlineStr">
        <is>
          <t>19.05-0-2.3-ERW 1-PE-0.57</t>
        </is>
      </c>
    </row>
    <row r="115" hidden="1" s="584">
      <c r="A115" t="inlineStr">
        <is>
          <t>Scheduled at CTL-1</t>
        </is>
      </c>
      <c r="B115" t="n">
        <v>546</v>
      </c>
      <c r="C115" t="inlineStr">
        <is>
          <t>SRIKAM HITECH ENGINEERING PRIV</t>
        </is>
      </c>
      <c r="D115" t="n">
        <v>2.3</v>
      </c>
      <c r="E115" t="n">
        <v>19.05</v>
      </c>
      <c r="F115" t="n">
        <v>0</v>
      </c>
      <c r="G115" t="n">
        <v>0.5700000000000001</v>
      </c>
      <c r="H115" t="inlineStr">
        <is>
          <t>000000000111001373</t>
        </is>
      </c>
      <c r="I115" t="inlineStr">
        <is>
          <t>TM-O-N-AUT-AW-PE-19.05X2.300X5.8000</t>
        </is>
      </c>
      <c r="J115" t="n">
        <v>1940325</v>
      </c>
      <c r="K115" t="inlineStr">
        <is>
          <t>TUB-O-O-AUT-AW-PE-19.05X2.300X0.5700</t>
        </is>
      </c>
      <c r="L115" t="inlineStr">
        <is>
          <t>TVS</t>
        </is>
      </c>
      <c r="M115" t="inlineStr">
        <is>
          <t>19.05-0-2.3-ERW 1-PE</t>
        </is>
      </c>
      <c r="N115" t="inlineStr">
        <is>
          <t>19.05-0-2.3-ERW 1-PE-0.57</t>
        </is>
      </c>
    </row>
    <row r="116" hidden="1" s="584">
      <c r="A116" t="inlineStr">
        <is>
          <t>Scheduled at CTL-1</t>
        </is>
      </c>
      <c r="B116" t="n">
        <v>195</v>
      </c>
      <c r="C116" t="inlineStr">
        <is>
          <t>SANDHAR ENGINEERING PVT LTD.(K</t>
        </is>
      </c>
      <c r="D116" t="n">
        <v>1.2</v>
      </c>
      <c r="E116" t="n">
        <v>22.2</v>
      </c>
      <c r="F116" t="n">
        <v>0</v>
      </c>
      <c r="G116" t="n">
        <v>0.673</v>
      </c>
      <c r="H116" t="inlineStr">
        <is>
          <t>000000000110102496</t>
        </is>
      </c>
      <c r="I116" t="inlineStr">
        <is>
          <t>TM-O-O-AUT-AW-PE-22.23X1.200X6.1300</t>
        </is>
      </c>
      <c r="J116" t="n">
        <v>3667938</v>
      </c>
      <c r="K116" t="inlineStr">
        <is>
          <t>CUT-O-N-AUT-AW-PE-22.20X1.200X0.6730</t>
        </is>
      </c>
      <c r="L116" t="inlineStr">
        <is>
          <t>TVS</t>
        </is>
      </c>
      <c r="M116" t="inlineStr">
        <is>
          <t>22.23-0-1.2-ERW 1-PE</t>
        </is>
      </c>
      <c r="N116" t="inlineStr">
        <is>
          <t>22.23-0-1.2-ERW 1-PE-0.673</t>
        </is>
      </c>
    </row>
    <row r="117" hidden="1" s="584">
      <c r="A117" t="inlineStr">
        <is>
          <t>Scheduled at CTL-1</t>
        </is>
      </c>
      <c r="B117" t="n">
        <v>374</v>
      </c>
      <c r="C117" t="inlineStr">
        <is>
          <t>SANDHAR ENGINEERING PVT LTD.(K</t>
        </is>
      </c>
      <c r="D117" t="n">
        <v>1.2</v>
      </c>
      <c r="E117" t="n">
        <v>22.2</v>
      </c>
      <c r="F117" t="n">
        <v>0</v>
      </c>
      <c r="G117" t="n">
        <v>0.673</v>
      </c>
      <c r="H117" t="inlineStr">
        <is>
          <t>000000000110102496</t>
        </is>
      </c>
      <c r="I117" t="inlineStr">
        <is>
          <t>TM-O-O-AUT-AW-PE-22.23X1.200X6.1300</t>
        </is>
      </c>
      <c r="J117" t="n">
        <v>3667938</v>
      </c>
      <c r="K117" t="inlineStr">
        <is>
          <t>CUT-O-N-AUT-AW-PE-22.20X1.200X0.6730</t>
        </is>
      </c>
      <c r="L117" t="inlineStr">
        <is>
          <t>TVS</t>
        </is>
      </c>
      <c r="M117" t="inlineStr">
        <is>
          <t>22.23-0-1.2-ERW 1-PE</t>
        </is>
      </c>
      <c r="N117" t="inlineStr">
        <is>
          <t>22.23-0-1.2-ERW 1-PE-0.673</t>
        </is>
      </c>
    </row>
    <row r="118" hidden="1" s="584">
      <c r="A118" t="inlineStr">
        <is>
          <t>Scheduled at CTL-1</t>
        </is>
      </c>
      <c r="B118" t="n">
        <v>715</v>
      </c>
      <c r="C118" t="inlineStr">
        <is>
          <t>Neel Metal Products Limited</t>
        </is>
      </c>
      <c r="D118" t="n">
        <v>1.2</v>
      </c>
      <c r="E118" t="n">
        <v>22.23</v>
      </c>
      <c r="F118" t="n">
        <v>0</v>
      </c>
      <c r="G118" t="n">
        <v>0.14</v>
      </c>
      <c r="H118" t="inlineStr">
        <is>
          <t>000000000110102502</t>
        </is>
      </c>
      <c r="I118" t="inlineStr">
        <is>
          <t>TM-O-O-AUT-AW-PE-22.23X1.200X5.6500</t>
        </is>
      </c>
      <c r="J118" t="n">
        <v>1940357</v>
      </c>
      <c r="K118" t="inlineStr">
        <is>
          <t>TUB-O-O-AUT-AW-PE-22.23X1.200X0.1400</t>
        </is>
      </c>
      <c r="L118" t="inlineStr">
        <is>
          <t>TVS</t>
        </is>
      </c>
      <c r="M118" t="inlineStr">
        <is>
          <t>22.23-0-1.2-ERW 1-PE</t>
        </is>
      </c>
      <c r="N118" t="inlineStr">
        <is>
          <t>22.23-0-1.2-ERW 1-PE-0.14</t>
        </is>
      </c>
    </row>
    <row r="119" hidden="1" s="584">
      <c r="A119" t="inlineStr">
        <is>
          <t>Scheduled at CTL-1</t>
        </is>
      </c>
      <c r="B119" t="n">
        <v>728</v>
      </c>
      <c r="C119" t="inlineStr">
        <is>
          <t>Neel Metal Products Limited</t>
        </is>
      </c>
      <c r="D119" t="n">
        <v>1.2</v>
      </c>
      <c r="E119" t="n">
        <v>22.23</v>
      </c>
      <c r="F119" t="n">
        <v>0</v>
      </c>
      <c r="G119" t="n">
        <v>0.14</v>
      </c>
      <c r="H119" t="inlineStr">
        <is>
          <t>000000000110102502</t>
        </is>
      </c>
      <c r="I119" t="inlineStr">
        <is>
          <t>TM-O-O-AUT-AW-PE-22.23X1.200X5.6500</t>
        </is>
      </c>
      <c r="J119" t="n">
        <v>1940357</v>
      </c>
      <c r="K119" t="inlineStr">
        <is>
          <t>TUB-O-O-AUT-AW-PE-22.23X1.200X0.1400</t>
        </is>
      </c>
      <c r="L119" t="inlineStr">
        <is>
          <t>TVS</t>
        </is>
      </c>
      <c r="M119" t="inlineStr">
        <is>
          <t>22.23-0-1.2-ERW 1-PE</t>
        </is>
      </c>
      <c r="N119" t="inlineStr">
        <is>
          <t>22.23-0-1.2-ERW 1-PE-0.14</t>
        </is>
      </c>
    </row>
    <row r="120" hidden="1" s="584">
      <c r="A120" t="inlineStr">
        <is>
          <t>Scheduled at CTL-1</t>
        </is>
      </c>
      <c r="B120" t="n">
        <v>817</v>
      </c>
      <c r="C120" t="inlineStr">
        <is>
          <t>ELKAYEM AUTO ANCILLARIES PRIVA</t>
        </is>
      </c>
      <c r="D120" t="n">
        <v>1.2</v>
      </c>
      <c r="E120" t="n">
        <v>22.23</v>
      </c>
      <c r="F120" t="n">
        <v>0</v>
      </c>
      <c r="G120" t="n">
        <v>1.162</v>
      </c>
      <c r="H120" t="inlineStr">
        <is>
          <t>000000000110102503</t>
        </is>
      </c>
      <c r="I120" t="inlineStr">
        <is>
          <t>TM-O-O-AUT-AW-PE-22.23X1.200X5.8850</t>
        </is>
      </c>
      <c r="J120" t="n">
        <v>1940363</v>
      </c>
      <c r="K120" t="inlineStr">
        <is>
          <t>TUB-O-O-AUT-AW-PE-22.23X1.200X1.1620</t>
        </is>
      </c>
      <c r="L120" t="inlineStr">
        <is>
          <t>TVS</t>
        </is>
      </c>
      <c r="M120" t="inlineStr">
        <is>
          <t>22.23-0-1.2-ERW 1-PE</t>
        </is>
      </c>
      <c r="N120" t="inlineStr">
        <is>
          <t>22.23-0-1.2-ERW 1-PE-1.162</t>
        </is>
      </c>
    </row>
    <row r="121" hidden="1" s="584">
      <c r="A121" t="inlineStr">
        <is>
          <t>Scheduled at CTL-1</t>
        </is>
      </c>
      <c r="B121" t="n">
        <v>275</v>
      </c>
      <c r="C121" t="inlineStr">
        <is>
          <t>SRIKAM HITECH ENGINEERING PRIV</t>
        </is>
      </c>
      <c r="D121" t="n">
        <v>1.2</v>
      </c>
      <c r="E121" t="n">
        <v>22.23</v>
      </c>
      <c r="F121" t="n">
        <v>0</v>
      </c>
      <c r="G121" t="n">
        <v>1.308</v>
      </c>
      <c r="H121" t="inlineStr">
        <is>
          <t>000000000110102509</t>
        </is>
      </c>
      <c r="I121" t="inlineStr">
        <is>
          <t>TM-O-O-AUT-AW-PE-22.23X1.200X6.0000</t>
        </is>
      </c>
      <c r="J121" t="n">
        <v>3747393</v>
      </c>
      <c r="K121" t="inlineStr">
        <is>
          <t>CUT-O-N-AUT-AW-PE-22.23X1.200X1.3080</t>
        </is>
      </c>
      <c r="L121" t="inlineStr">
        <is>
          <t>TVS</t>
        </is>
      </c>
      <c r="M121" t="inlineStr">
        <is>
          <t>22.23-0-1.2-ERW 1-PE</t>
        </is>
      </c>
      <c r="N121" t="inlineStr">
        <is>
          <t>22.23-0-1.2-ERW 1-PE-1.308</t>
        </is>
      </c>
    </row>
    <row r="122" hidden="1" s="584">
      <c r="A122" t="inlineStr">
        <is>
          <t>Scheduled at CTL-1</t>
        </is>
      </c>
      <c r="B122" t="n">
        <v>2713</v>
      </c>
      <c r="C122" t="inlineStr">
        <is>
          <t>ELKAYEM AUTO ANCILLARIES PVT L</t>
        </is>
      </c>
      <c r="D122" t="n">
        <v>2</v>
      </c>
      <c r="E122" t="n">
        <v>22.23</v>
      </c>
      <c r="F122" t="n">
        <v>0</v>
      </c>
      <c r="G122" t="n">
        <v>0.7150000000000001</v>
      </c>
      <c r="H122" t="inlineStr">
        <is>
          <t>000000000110102570</t>
        </is>
      </c>
      <c r="I122" t="inlineStr">
        <is>
          <t>TM-O-O-AUT-AW-PE-22.23X2.000X5.8250</t>
        </is>
      </c>
      <c r="J122" t="n">
        <v>3910020</v>
      </c>
      <c r="K122" t="inlineStr">
        <is>
          <t>CUT-O-N-AUT-AW-FC-22.23X2.000X0.7150</t>
        </is>
      </c>
      <c r="L122" t="inlineStr">
        <is>
          <t>TVS</t>
        </is>
      </c>
      <c r="M122" t="inlineStr">
        <is>
          <t>22.23-0-2-ERW 1-FC</t>
        </is>
      </c>
      <c r="N122" t="inlineStr">
        <is>
          <t>22.23-0-2-ERW 1-FC-0.715</t>
        </is>
      </c>
    </row>
    <row r="123" hidden="1" s="584">
      <c r="A123" t="inlineStr">
        <is>
          <t>Scheduled at CTL-1</t>
        </is>
      </c>
      <c r="B123" t="n">
        <v>1110</v>
      </c>
      <c r="C123" t="inlineStr">
        <is>
          <t>Neel Metal Products Limited</t>
        </is>
      </c>
      <c r="D123" t="n">
        <v>2</v>
      </c>
      <c r="E123" t="n">
        <v>22.23</v>
      </c>
      <c r="F123" t="n">
        <v>0</v>
      </c>
      <c r="G123" t="n">
        <v>0.8090000000000001</v>
      </c>
      <c r="H123" t="inlineStr">
        <is>
          <t>000000000110102570</t>
        </is>
      </c>
      <c r="I123" t="inlineStr">
        <is>
          <t>TM-O-O-AUT-AW-PE-22.23X2.000X5.8250</t>
        </is>
      </c>
      <c r="J123" t="n">
        <v>1940466</v>
      </c>
      <c r="K123" t="inlineStr">
        <is>
          <t>TUB-O-O-AUT-AW-PE-22.23X2.000X0.8090</t>
        </is>
      </c>
      <c r="L123" t="inlineStr">
        <is>
          <t>TVS</t>
        </is>
      </c>
      <c r="M123" t="inlineStr">
        <is>
          <t>22.23-0-2-ERW 1-PE</t>
        </is>
      </c>
      <c r="N123" t="inlineStr">
        <is>
          <t>22.23-0-2-ERW 1-PE-0.809</t>
        </is>
      </c>
    </row>
    <row r="124" hidden="1" s="584">
      <c r="A124" t="inlineStr">
        <is>
          <t>Scheduled at CTL-1</t>
        </is>
      </c>
      <c r="B124" t="n">
        <v>519</v>
      </c>
      <c r="C124" t="inlineStr">
        <is>
          <t>Neel Metal Products Limited</t>
        </is>
      </c>
      <c r="D124" t="n">
        <v>2</v>
      </c>
      <c r="E124" t="n">
        <v>22.23</v>
      </c>
      <c r="F124" t="n">
        <v>0</v>
      </c>
      <c r="G124" t="n">
        <v>0.8150000000000001</v>
      </c>
      <c r="H124" t="inlineStr">
        <is>
          <t>000000000111113835</t>
        </is>
      </c>
      <c r="I124" t="inlineStr">
        <is>
          <t>TM-O-N-AUT-AW-PE-22.23X2.000X6.2800</t>
        </is>
      </c>
      <c r="J124" t="n">
        <v>2413708</v>
      </c>
      <c r="K124" t="inlineStr">
        <is>
          <t>TUB-O-N-AUT-AW-PE-22.23X2.000X0.8150</t>
        </is>
      </c>
      <c r="L124" t="inlineStr">
        <is>
          <t>TVS</t>
        </is>
      </c>
      <c r="M124" t="inlineStr">
        <is>
          <t>22.23-0-2-ERW 1-PE</t>
        </is>
      </c>
      <c r="N124" t="inlineStr">
        <is>
          <t>22.23-0-2-ERW 1-PE-0.815</t>
        </is>
      </c>
    </row>
    <row r="125" hidden="1" s="584">
      <c r="A125" t="inlineStr">
        <is>
          <t>Scheduled at CTL-1</t>
        </is>
      </c>
      <c r="B125" t="n">
        <v>677</v>
      </c>
      <c r="C125" t="inlineStr">
        <is>
          <t>Sandhar EngineeringPvt.Ltd.(KA</t>
        </is>
      </c>
      <c r="D125" t="n">
        <v>2</v>
      </c>
      <c r="E125" t="n">
        <v>22.23</v>
      </c>
      <c r="F125" t="n">
        <v>0</v>
      </c>
      <c r="G125" t="n">
        <v>0.863</v>
      </c>
      <c r="H125" t="inlineStr">
        <is>
          <t>000000000111002661</t>
        </is>
      </c>
      <c r="I125" t="inlineStr">
        <is>
          <t>TM-O-N-AUT-AW-PE-22.23X2.000X6.1600</t>
        </is>
      </c>
      <c r="J125" t="n">
        <v>3910649</v>
      </c>
      <c r="K125" t="inlineStr">
        <is>
          <t>CUT-O-N-AUT-AW-FC-22.23X2.000X0.8630</t>
        </is>
      </c>
      <c r="L125" t="inlineStr">
        <is>
          <t>TVS</t>
        </is>
      </c>
      <c r="M125" t="inlineStr">
        <is>
          <t>22.23-0-2-ERW 2-FC</t>
        </is>
      </c>
      <c r="N125" t="inlineStr">
        <is>
          <t>22.23-0-2-ERW 2-FC-0.863</t>
        </is>
      </c>
    </row>
    <row r="126" hidden="1" s="584">
      <c r="A126" t="inlineStr">
        <is>
          <t>Scheduled at CTL-1</t>
        </is>
      </c>
      <c r="B126" t="n">
        <v>2103</v>
      </c>
      <c r="C126" t="inlineStr">
        <is>
          <t>Sandhar EngineeringPvt.Ltd.(KA</t>
        </is>
      </c>
      <c r="D126" t="n">
        <v>2</v>
      </c>
      <c r="E126" t="n">
        <v>22.23</v>
      </c>
      <c r="F126" t="n">
        <v>0</v>
      </c>
      <c r="G126" t="n">
        <v>0.863</v>
      </c>
      <c r="H126" t="inlineStr">
        <is>
          <t>000000000111002661</t>
        </is>
      </c>
      <c r="I126" t="inlineStr">
        <is>
          <t>TM-O-N-AUT-AW-PE-22.23X2.000X6.1600</t>
        </is>
      </c>
      <c r="J126" t="n">
        <v>3910649</v>
      </c>
      <c r="K126" t="inlineStr">
        <is>
          <t>CUT-O-N-AUT-AW-FC-22.23X2.000X0.8630</t>
        </is>
      </c>
      <c r="L126" t="inlineStr">
        <is>
          <t>TVS</t>
        </is>
      </c>
      <c r="M126" t="inlineStr">
        <is>
          <t>22.23-0-2-ERW 2-FC</t>
        </is>
      </c>
      <c r="N126" t="inlineStr">
        <is>
          <t>22.23-0-2-ERW 2-FC-0.863</t>
        </is>
      </c>
    </row>
    <row r="127" hidden="1" s="584">
      <c r="A127" t="inlineStr">
        <is>
          <t>Scheduled at CTL-1</t>
        </is>
      </c>
      <c r="B127" t="n">
        <v>2662</v>
      </c>
      <c r="C127" t="inlineStr">
        <is>
          <t>Sandhar EngineeringPvt.Ltd.(KA</t>
        </is>
      </c>
      <c r="D127" t="n">
        <v>2</v>
      </c>
      <c r="E127" t="n">
        <v>22.23</v>
      </c>
      <c r="F127" t="n">
        <v>0</v>
      </c>
      <c r="G127" t="n">
        <v>0.863</v>
      </c>
      <c r="H127" t="inlineStr">
        <is>
          <t>000000000111002661</t>
        </is>
      </c>
      <c r="I127" t="inlineStr">
        <is>
          <t>TM-O-N-AUT-AW-PE-22.23X2.000X6.1600</t>
        </is>
      </c>
      <c r="J127" t="n">
        <v>3910649</v>
      </c>
      <c r="K127" t="inlineStr">
        <is>
          <t>CUT-O-N-AUT-AW-FC-22.23X2.000X0.8630</t>
        </is>
      </c>
      <c r="L127" t="inlineStr">
        <is>
          <t>TVS</t>
        </is>
      </c>
      <c r="M127" t="inlineStr">
        <is>
          <t>22.23-0-2-ERW 2-FC</t>
        </is>
      </c>
      <c r="N127" t="inlineStr">
        <is>
          <t>22.23-0-2-ERW 2-FC-0.863</t>
        </is>
      </c>
    </row>
    <row r="128" hidden="1" s="584">
      <c r="A128" t="inlineStr">
        <is>
          <t>Scheduled at CTL-1</t>
        </is>
      </c>
      <c r="B128" t="n">
        <v>2189</v>
      </c>
      <c r="C128" t="inlineStr">
        <is>
          <t>Sandhar EngineeringPvt.Ltd.(KA</t>
        </is>
      </c>
      <c r="D128" t="n">
        <v>2</v>
      </c>
      <c r="E128" t="n">
        <v>22.23</v>
      </c>
      <c r="F128" t="n">
        <v>0</v>
      </c>
      <c r="G128" t="n">
        <v>0.863</v>
      </c>
      <c r="H128" t="inlineStr">
        <is>
          <t>000000000111002661</t>
        </is>
      </c>
      <c r="I128" t="inlineStr">
        <is>
          <t>TM-O-N-AUT-AW-PE-22.23X2.000X6.1600</t>
        </is>
      </c>
      <c r="J128" t="n">
        <v>3910649</v>
      </c>
      <c r="K128" t="inlineStr">
        <is>
          <t>CUT-O-N-AUT-AW-FC-22.23X2.000X0.8630</t>
        </is>
      </c>
      <c r="L128" t="inlineStr">
        <is>
          <t>TVS</t>
        </is>
      </c>
      <c r="M128" t="inlineStr">
        <is>
          <t>22.23-0-2-ERW 2-FC</t>
        </is>
      </c>
      <c r="N128" t="inlineStr">
        <is>
          <t>22.23-0-2-ERW 2-FC-0.863</t>
        </is>
      </c>
    </row>
    <row r="129" hidden="1" s="584">
      <c r="A129" t="inlineStr">
        <is>
          <t>Scheduled at CTL-1</t>
        </is>
      </c>
      <c r="B129" t="n">
        <v>1027</v>
      </c>
      <c r="C129" t="inlineStr">
        <is>
          <t>Sandhar EngineeringPvt.Ltd.(KA</t>
        </is>
      </c>
      <c r="D129" t="n">
        <v>2</v>
      </c>
      <c r="E129" t="n">
        <v>22.23</v>
      </c>
      <c r="F129" t="n">
        <v>0</v>
      </c>
      <c r="G129" t="n">
        <v>0.863</v>
      </c>
      <c r="H129" t="inlineStr">
        <is>
          <t>000000000111002661</t>
        </is>
      </c>
      <c r="I129" t="inlineStr">
        <is>
          <t>TM-O-N-AUT-AW-PE-22.23X2.000X6.1600</t>
        </is>
      </c>
      <c r="J129" t="n">
        <v>3910649</v>
      </c>
      <c r="K129" t="inlineStr">
        <is>
          <t>CUT-O-N-AUT-AW-FC-22.23X2.000X0.8630</t>
        </is>
      </c>
      <c r="L129" t="inlineStr">
        <is>
          <t>TVS</t>
        </is>
      </c>
      <c r="M129" t="inlineStr">
        <is>
          <t>22.23-0-2-ERW 2-FC</t>
        </is>
      </c>
      <c r="N129" t="inlineStr">
        <is>
          <t>22.23-0-2-ERW 2-FC-0.863</t>
        </is>
      </c>
    </row>
    <row r="130" hidden="1" s="584">
      <c r="A130" t="inlineStr">
        <is>
          <t>Scheduled at CTL-1</t>
        </is>
      </c>
      <c r="B130" t="n">
        <v>2521</v>
      </c>
      <c r="C130" t="inlineStr">
        <is>
          <t>Sandhar EngineeringPvt.Ltd.(KA</t>
        </is>
      </c>
      <c r="D130" t="n">
        <v>2</v>
      </c>
      <c r="E130" t="n">
        <v>22.23</v>
      </c>
      <c r="F130" t="n">
        <v>0</v>
      </c>
      <c r="G130" t="n">
        <v>0.863</v>
      </c>
      <c r="H130" t="inlineStr">
        <is>
          <t>000000000111002661</t>
        </is>
      </c>
      <c r="I130" t="inlineStr">
        <is>
          <t>TM-O-N-AUT-AW-PE-22.23X2.000X6.1600</t>
        </is>
      </c>
      <c r="J130" t="n">
        <v>3910649</v>
      </c>
      <c r="K130" t="inlineStr">
        <is>
          <t>CUT-O-N-AUT-AW-FC-22.23X2.000X0.8630</t>
        </is>
      </c>
      <c r="L130" t="inlineStr">
        <is>
          <t>TVS</t>
        </is>
      </c>
      <c r="M130" t="inlineStr">
        <is>
          <t>22.23-0-2-ERW 2-FC</t>
        </is>
      </c>
      <c r="N130" t="inlineStr">
        <is>
          <t>22.23-0-2-ERW 2-FC-0.863</t>
        </is>
      </c>
    </row>
    <row r="131" hidden="1" s="584">
      <c r="A131" t="inlineStr">
        <is>
          <t>Scheduled at CTL-1</t>
        </is>
      </c>
      <c r="B131" t="n">
        <v>2589</v>
      </c>
      <c r="C131" t="inlineStr">
        <is>
          <t>Sandhar EngineeringPvt.Ltd.(KA</t>
        </is>
      </c>
      <c r="D131" t="n">
        <v>2</v>
      </c>
      <c r="E131" t="n">
        <v>22.23</v>
      </c>
      <c r="F131" t="n">
        <v>0</v>
      </c>
      <c r="G131" t="n">
        <v>0.863</v>
      </c>
      <c r="H131" t="inlineStr">
        <is>
          <t>000000000111002661</t>
        </is>
      </c>
      <c r="I131" t="inlineStr">
        <is>
          <t>TM-O-N-AUT-AW-PE-22.23X2.000X6.1600</t>
        </is>
      </c>
      <c r="J131" t="n">
        <v>3910649</v>
      </c>
      <c r="K131" t="inlineStr">
        <is>
          <t>CUT-O-N-AUT-AW-FC-22.23X2.000X0.8630</t>
        </is>
      </c>
      <c r="L131" t="inlineStr">
        <is>
          <t>TVS</t>
        </is>
      </c>
      <c r="M131" t="inlineStr">
        <is>
          <t>22.23-0-2-ERW 2-FC</t>
        </is>
      </c>
      <c r="N131" t="inlineStr">
        <is>
          <t>22.23-0-2-ERW 2-FC-0.863</t>
        </is>
      </c>
    </row>
    <row r="132" hidden="1" s="584">
      <c r="A132" t="inlineStr">
        <is>
          <t>Scheduled at CTL-1</t>
        </is>
      </c>
      <c r="B132" t="n">
        <v>1442</v>
      </c>
      <c r="C132" t="inlineStr">
        <is>
          <t>Sandhar EngineeringPvt.Ltd.(KA</t>
        </is>
      </c>
      <c r="D132" t="n">
        <v>2</v>
      </c>
      <c r="E132" t="n">
        <v>22.23</v>
      </c>
      <c r="F132" t="n">
        <v>0</v>
      </c>
      <c r="G132" t="n">
        <v>0.863</v>
      </c>
      <c r="H132" t="inlineStr">
        <is>
          <t>000000000111002661</t>
        </is>
      </c>
      <c r="I132" t="inlineStr">
        <is>
          <t>TM-O-N-AUT-AW-PE-22.23X2.000X6.1600</t>
        </is>
      </c>
      <c r="J132" t="n">
        <v>3910649</v>
      </c>
      <c r="K132" t="inlineStr">
        <is>
          <t>CUT-O-N-AUT-AW-FC-22.23X2.000X0.8630</t>
        </is>
      </c>
      <c r="L132" t="inlineStr">
        <is>
          <t>TVS</t>
        </is>
      </c>
      <c r="M132" t="inlineStr">
        <is>
          <t>22.23-0-2-ERW 2-FC</t>
        </is>
      </c>
      <c r="N132" t="inlineStr">
        <is>
          <t>22.23-0-2-ERW 2-FC-0.863</t>
        </is>
      </c>
    </row>
    <row r="133" hidden="1" s="584">
      <c r="A133" t="inlineStr">
        <is>
          <t>Scheduled at CTL-1</t>
        </is>
      </c>
      <c r="B133" t="n">
        <v>1247</v>
      </c>
      <c r="C133" t="inlineStr">
        <is>
          <t>ELKAYEM AUTO ANCILLARIES (PVT)</t>
        </is>
      </c>
      <c r="D133" t="n">
        <v>2.3</v>
      </c>
      <c r="E133" t="n">
        <v>22.23</v>
      </c>
      <c r="F133" t="n">
        <v>0</v>
      </c>
      <c r="G133" t="n">
        <v>0.37</v>
      </c>
      <c r="H133" t="inlineStr">
        <is>
          <t>000000000111121427</t>
        </is>
      </c>
      <c r="I133" t="inlineStr">
        <is>
          <t>TM-O-N-AUT-AW-PE-22.23X2.300X6.0500</t>
        </is>
      </c>
      <c r="J133" t="n">
        <v>3926424</v>
      </c>
      <c r="K133" t="inlineStr">
        <is>
          <t>TUB-O-N-AUT-AW-PE-22.23X2.300X0.37</t>
        </is>
      </c>
      <c r="L133" t="inlineStr">
        <is>
          <t>TVS</t>
        </is>
      </c>
      <c r="M133" t="inlineStr">
        <is>
          <t>22.23-0-2-ERW 2-PE</t>
        </is>
      </c>
      <c r="N133" t="inlineStr">
        <is>
          <t>22.23-0-2-ERW 2-PE-0.37</t>
        </is>
      </c>
    </row>
    <row r="134" hidden="1" s="584">
      <c r="A134" t="inlineStr">
        <is>
          <t>Scheduled at CTL-1</t>
        </is>
      </c>
      <c r="B134" t="n">
        <v>344</v>
      </c>
      <c r="C134" t="inlineStr">
        <is>
          <t>Sri Balaji Gears</t>
        </is>
      </c>
      <c r="D134" t="n">
        <v>1.2</v>
      </c>
      <c r="E134" t="n">
        <v>25</v>
      </c>
      <c r="F134" t="n">
        <v>25</v>
      </c>
      <c r="G134" t="n">
        <v>0.64</v>
      </c>
      <c r="H134" t="inlineStr">
        <is>
          <t>000000000111116364</t>
        </is>
      </c>
      <c r="I134" t="inlineStr">
        <is>
          <t>TM-S-AW-AUT-25.00X25.00X1.200X5.8600</t>
        </is>
      </c>
      <c r="J134" t="n">
        <v>4151430</v>
      </c>
      <c r="K134" t="inlineStr">
        <is>
          <t>TUB-S-AW-AUT-25.00X25.00X1.200X0.6400</t>
        </is>
      </c>
      <c r="L134" t="inlineStr">
        <is>
          <t>TVS</t>
        </is>
      </c>
      <c r="M134" t="inlineStr">
        <is>
          <t>25-25-1.2-CRFH-PE</t>
        </is>
      </c>
      <c r="N134" t="inlineStr">
        <is>
          <t>25-25-1.2-CRFH-PE-0.64</t>
        </is>
      </c>
    </row>
    <row r="135" hidden="1" s="584">
      <c r="A135" t="inlineStr">
        <is>
          <t>Scheduled at CTL-1</t>
        </is>
      </c>
      <c r="B135" t="n">
        <v>1745</v>
      </c>
      <c r="C135" t="inlineStr">
        <is>
          <t>Sri Balaji Gears</t>
        </is>
      </c>
      <c r="D135" t="n">
        <v>1.2</v>
      </c>
      <c r="E135" t="n">
        <v>25</v>
      </c>
      <c r="F135" t="n">
        <v>25</v>
      </c>
      <c r="G135" t="n">
        <v>0.64</v>
      </c>
      <c r="H135" t="inlineStr">
        <is>
          <t>000000000111116364</t>
        </is>
      </c>
      <c r="I135" t="inlineStr">
        <is>
          <t>TM-S-AW-AUT-25.00X25.00X1.200X5.8600</t>
        </is>
      </c>
      <c r="J135" t="n">
        <v>4151430</v>
      </c>
      <c r="K135" t="inlineStr">
        <is>
          <t>TUB-S-AW-AUT-25.00X25.00X1.200X0.6400</t>
        </is>
      </c>
      <c r="L135" t="inlineStr">
        <is>
          <t>TVS</t>
        </is>
      </c>
      <c r="M135" t="inlineStr">
        <is>
          <t>25-25-1.2-CRFH-PE</t>
        </is>
      </c>
      <c r="N135" t="inlineStr">
        <is>
          <t>25-25-1.2-CRFH-PE-0.64</t>
        </is>
      </c>
    </row>
    <row r="136" hidden="1" s="584">
      <c r="A136" t="inlineStr">
        <is>
          <t>Scheduled at CTL-1</t>
        </is>
      </c>
      <c r="B136" t="n">
        <v>1751</v>
      </c>
      <c r="C136" t="inlineStr">
        <is>
          <t>Sri Balaji Gears</t>
        </is>
      </c>
      <c r="D136" t="n">
        <v>1.2</v>
      </c>
      <c r="E136" t="n">
        <v>25</v>
      </c>
      <c r="F136" t="n">
        <v>25</v>
      </c>
      <c r="G136" t="n">
        <v>0.64</v>
      </c>
      <c r="H136" t="inlineStr">
        <is>
          <t>000000000111116364</t>
        </is>
      </c>
      <c r="I136" t="inlineStr">
        <is>
          <t>TM-S-AW-AUT-25.00X25.00X1.200X5.8600</t>
        </is>
      </c>
      <c r="J136" t="n">
        <v>4151430</v>
      </c>
      <c r="K136" t="inlineStr">
        <is>
          <t>TUB-S-AW-AUT-25.00X25.00X1.200X0.6400</t>
        </is>
      </c>
      <c r="L136" t="inlineStr">
        <is>
          <t>TVS</t>
        </is>
      </c>
      <c r="M136" t="inlineStr">
        <is>
          <t>25-25-1.2-CRFH-PE</t>
        </is>
      </c>
      <c r="N136" t="inlineStr">
        <is>
          <t>25-25-1.2-CRFH-PE-0.64</t>
        </is>
      </c>
    </row>
    <row r="137" hidden="1" s="584">
      <c r="A137" t="inlineStr">
        <is>
          <t>Scheduled at CTL-1</t>
        </is>
      </c>
      <c r="B137" t="n">
        <v>1703</v>
      </c>
      <c r="C137" t="inlineStr">
        <is>
          <t>Sri Balaji Gears</t>
        </is>
      </c>
      <c r="D137" t="n">
        <v>1.2</v>
      </c>
      <c r="E137" t="n">
        <v>25</v>
      </c>
      <c r="F137" t="n">
        <v>25</v>
      </c>
      <c r="G137" t="n">
        <v>0.64</v>
      </c>
      <c r="H137" t="inlineStr">
        <is>
          <t>000000000111116364</t>
        </is>
      </c>
      <c r="I137" t="inlineStr">
        <is>
          <t>TM-S-AW-AUT-25.00X25.00X1.200X5.8600</t>
        </is>
      </c>
      <c r="J137" t="n">
        <v>4151430</v>
      </c>
      <c r="K137" t="inlineStr">
        <is>
          <t>TUB-S-AW-AUT-25.00X25.00X1.200X0.6400</t>
        </is>
      </c>
      <c r="L137" t="inlineStr">
        <is>
          <t>TVS</t>
        </is>
      </c>
      <c r="M137" t="inlineStr">
        <is>
          <t>25-25-1.2-CRFH-PE</t>
        </is>
      </c>
      <c r="N137" t="inlineStr">
        <is>
          <t>25-25-1.2-CRFH-PE-0.64</t>
        </is>
      </c>
    </row>
    <row r="138" hidden="1" s="584">
      <c r="A138" t="inlineStr">
        <is>
          <t>Scheduled at CTL-1</t>
        </is>
      </c>
      <c r="B138" t="n">
        <v>1925</v>
      </c>
      <c r="C138" t="inlineStr">
        <is>
          <t>Sri Balaji Gears</t>
        </is>
      </c>
      <c r="D138" t="n">
        <v>1.2</v>
      </c>
      <c r="E138" t="n">
        <v>25</v>
      </c>
      <c r="F138" t="n">
        <v>25</v>
      </c>
      <c r="G138" t="n">
        <v>0.64</v>
      </c>
      <c r="H138" t="inlineStr">
        <is>
          <t>000000000111116364</t>
        </is>
      </c>
      <c r="I138" t="inlineStr">
        <is>
          <t>TM-S-AW-AUT-25.00X25.00X1.200X5.8600</t>
        </is>
      </c>
      <c r="J138" t="n">
        <v>4151430</v>
      </c>
      <c r="K138" t="inlineStr">
        <is>
          <t>TUB-S-AW-AUT-25.00X25.00X1.200X0.6400</t>
        </is>
      </c>
      <c r="L138" t="inlineStr">
        <is>
          <t>TVS</t>
        </is>
      </c>
      <c r="M138" t="inlineStr">
        <is>
          <t>25-25-1.2-CRFH-PE</t>
        </is>
      </c>
      <c r="N138" t="inlineStr">
        <is>
          <t>25-25-1.2-CRFH-PE-0.64</t>
        </is>
      </c>
    </row>
    <row r="139" hidden="1" s="584">
      <c r="A139" t="inlineStr">
        <is>
          <t>Scheduled at CTL-1</t>
        </is>
      </c>
      <c r="B139" t="n">
        <v>1900</v>
      </c>
      <c r="C139" t="inlineStr">
        <is>
          <t>Sri Balaji Gears</t>
        </is>
      </c>
      <c r="D139" t="n">
        <v>1.2</v>
      </c>
      <c r="E139" t="n">
        <v>25</v>
      </c>
      <c r="F139" t="n">
        <v>25</v>
      </c>
      <c r="G139" t="n">
        <v>0.64</v>
      </c>
      <c r="H139" t="inlineStr">
        <is>
          <t>000000000111116364</t>
        </is>
      </c>
      <c r="I139" t="inlineStr">
        <is>
          <t>TM-S-AW-AUT-25.00X25.00X1.200X5.8600</t>
        </is>
      </c>
      <c r="J139" t="n">
        <v>4151430</v>
      </c>
      <c r="K139" t="inlineStr">
        <is>
          <t>TUB-S-AW-AUT-25.00X25.00X1.200X0.6400</t>
        </is>
      </c>
      <c r="L139" t="inlineStr">
        <is>
          <t>TVS</t>
        </is>
      </c>
      <c r="M139" t="inlineStr">
        <is>
          <t>25-25-1.2-CRFH-PE</t>
        </is>
      </c>
      <c r="N139" t="inlineStr">
        <is>
          <t>25-25-1.2-CRFH-PE-0.64</t>
        </is>
      </c>
    </row>
    <row r="140" hidden="1" s="584">
      <c r="A140" t="inlineStr">
        <is>
          <t>Scheduled at CTL-1</t>
        </is>
      </c>
      <c r="B140" t="n">
        <v>985</v>
      </c>
      <c r="C140" t="inlineStr">
        <is>
          <t>Sri Balaji Gears</t>
        </is>
      </c>
      <c r="D140" t="n">
        <v>1.2</v>
      </c>
      <c r="E140" t="n">
        <v>25</v>
      </c>
      <c r="F140" t="n">
        <v>25</v>
      </c>
      <c r="G140" t="n">
        <v>0.64</v>
      </c>
      <c r="H140" t="inlineStr">
        <is>
          <t>000000000111116364</t>
        </is>
      </c>
      <c r="I140" t="inlineStr">
        <is>
          <t>TM-S-AW-AUT-25.00X25.00X1.200X5.8600</t>
        </is>
      </c>
      <c r="J140" t="n">
        <v>4151430</v>
      </c>
      <c r="K140" t="inlineStr">
        <is>
          <t>TUB-S-AW-AUT-25.00X25.00X1.200X0.6400</t>
        </is>
      </c>
      <c r="L140" t="inlineStr">
        <is>
          <t>TVS</t>
        </is>
      </c>
      <c r="M140" t="inlineStr">
        <is>
          <t>25-25-1.2-CRFH-PE</t>
        </is>
      </c>
      <c r="N140" t="inlineStr">
        <is>
          <t>25-25-1.2-CRFH-PE-0.64</t>
        </is>
      </c>
    </row>
    <row r="141" hidden="1" s="584">
      <c r="A141" t="inlineStr">
        <is>
          <t>Scheduled at CTL-1</t>
        </is>
      </c>
      <c r="B141" t="n">
        <v>1930</v>
      </c>
      <c r="C141" t="inlineStr">
        <is>
          <t>Sri Balaji Gears</t>
        </is>
      </c>
      <c r="D141" t="n">
        <v>1.2</v>
      </c>
      <c r="E141" t="n">
        <v>25</v>
      </c>
      <c r="F141" t="n">
        <v>25</v>
      </c>
      <c r="G141" t="n">
        <v>0.64</v>
      </c>
      <c r="H141" t="inlineStr">
        <is>
          <t>000000000111116364</t>
        </is>
      </c>
      <c r="I141" t="inlineStr">
        <is>
          <t>TM-S-AW-AUT-25.00X25.00X1.200X5.8600</t>
        </is>
      </c>
      <c r="J141" t="n">
        <v>4151430</v>
      </c>
      <c r="K141" t="inlineStr">
        <is>
          <t>TUB-S-AW-AUT-25.00X25.00X1.200X0.6400</t>
        </is>
      </c>
      <c r="L141" t="inlineStr">
        <is>
          <t>TVS</t>
        </is>
      </c>
      <c r="M141" t="inlineStr">
        <is>
          <t>25-25-1.2-CRFH-PE</t>
        </is>
      </c>
      <c r="N141" t="inlineStr">
        <is>
          <t>25-25-1.2-CRFH-PE-0.64</t>
        </is>
      </c>
    </row>
    <row r="142" hidden="1" s="584">
      <c r="A142" t="inlineStr">
        <is>
          <t>Scheduled at CTL-1</t>
        </is>
      </c>
      <c r="B142" t="n">
        <v>1865</v>
      </c>
      <c r="C142" t="inlineStr">
        <is>
          <t>Sri Balaji Gears</t>
        </is>
      </c>
      <c r="D142" t="n">
        <v>1.2</v>
      </c>
      <c r="E142" t="n">
        <v>25</v>
      </c>
      <c r="F142" t="n">
        <v>25</v>
      </c>
      <c r="G142" t="n">
        <v>0.64</v>
      </c>
      <c r="H142" t="inlineStr">
        <is>
          <t>000000000111116364</t>
        </is>
      </c>
      <c r="I142" t="inlineStr">
        <is>
          <t>TM-S-AW-AUT-25.00X25.00X1.200X5.8600</t>
        </is>
      </c>
      <c r="J142" t="n">
        <v>4151430</v>
      </c>
      <c r="K142" t="inlineStr">
        <is>
          <t>TUB-S-AW-AUT-25.00X25.00X1.200X0.6400</t>
        </is>
      </c>
      <c r="L142" t="inlineStr">
        <is>
          <t>TVS</t>
        </is>
      </c>
      <c r="M142" t="inlineStr">
        <is>
          <t>25-25-1.2-CRFH-PE</t>
        </is>
      </c>
      <c r="N142" t="inlineStr">
        <is>
          <t>25-25-1.2-CRFH-PE-0.64</t>
        </is>
      </c>
    </row>
    <row r="143" hidden="1" s="584">
      <c r="A143" t="inlineStr">
        <is>
          <t>Scheduled at CTL-1</t>
        </is>
      </c>
      <c r="B143" t="n">
        <v>1900</v>
      </c>
      <c r="C143" t="inlineStr">
        <is>
          <t>Sri Balaji Gears</t>
        </is>
      </c>
      <c r="D143" t="n">
        <v>1.2</v>
      </c>
      <c r="E143" t="n">
        <v>25</v>
      </c>
      <c r="F143" t="n">
        <v>25</v>
      </c>
      <c r="G143" t="n">
        <v>0.64</v>
      </c>
      <c r="H143" t="inlineStr">
        <is>
          <t>000000000111116364</t>
        </is>
      </c>
      <c r="I143" t="inlineStr">
        <is>
          <t>TM-S-AW-AUT-25.00X25.00X1.200X5.8600</t>
        </is>
      </c>
      <c r="J143" t="n">
        <v>4151430</v>
      </c>
      <c r="K143" t="inlineStr">
        <is>
          <t>TUB-S-AW-AUT-25.00X25.00X1.200X0.6400</t>
        </is>
      </c>
      <c r="L143" t="inlineStr">
        <is>
          <t>TVS</t>
        </is>
      </c>
      <c r="M143" t="inlineStr">
        <is>
          <t>25-25-1.2-CRFH-PE</t>
        </is>
      </c>
      <c r="N143" t="inlineStr">
        <is>
          <t>25-25-1.2-CRFH-PE-0.64</t>
        </is>
      </c>
    </row>
    <row r="144" hidden="1" s="584">
      <c r="A144" t="inlineStr">
        <is>
          <t>Scheduled at CTL-1</t>
        </is>
      </c>
      <c r="B144" t="n">
        <v>1870</v>
      </c>
      <c r="C144" t="inlineStr">
        <is>
          <t>Sri Balaji Gears</t>
        </is>
      </c>
      <c r="D144" t="n">
        <v>1.2</v>
      </c>
      <c r="E144" t="n">
        <v>25</v>
      </c>
      <c r="F144" t="n">
        <v>25</v>
      </c>
      <c r="G144" t="n">
        <v>0.64</v>
      </c>
      <c r="H144" t="inlineStr">
        <is>
          <t>000000000111116364</t>
        </is>
      </c>
      <c r="I144" t="inlineStr">
        <is>
          <t>TM-S-AW-AUT-25.00X25.00X1.200X5.8600</t>
        </is>
      </c>
      <c r="J144" t="n">
        <v>4151430</v>
      </c>
      <c r="K144" t="inlineStr">
        <is>
          <t>TUB-S-AW-AUT-25.00X25.00X1.200X0.6400</t>
        </is>
      </c>
      <c r="L144" t="inlineStr">
        <is>
          <t>TVS</t>
        </is>
      </c>
      <c r="M144" t="inlineStr">
        <is>
          <t>25-25-1.2-CRFH-PE</t>
        </is>
      </c>
      <c r="N144" t="inlineStr">
        <is>
          <t>25-25-1.2-CRFH-PE-0.64</t>
        </is>
      </c>
    </row>
    <row r="145" hidden="1" s="584">
      <c r="A145" t="inlineStr">
        <is>
          <t>Scheduled at CTL-1</t>
        </is>
      </c>
      <c r="B145" t="n">
        <v>371</v>
      </c>
      <c r="C145" t="inlineStr">
        <is>
          <t>Sri Balaji Gears</t>
        </is>
      </c>
      <c r="D145" t="n">
        <v>1.2</v>
      </c>
      <c r="E145" t="n">
        <v>25</v>
      </c>
      <c r="F145" t="n">
        <v>25</v>
      </c>
      <c r="G145" t="n">
        <v>0.642</v>
      </c>
      <c r="H145" t="inlineStr">
        <is>
          <t>000000000111116364</t>
        </is>
      </c>
      <c r="I145" t="inlineStr">
        <is>
          <t>TM-S-AW-AUT-25.00X25.00X1.200X5.8600</t>
        </is>
      </c>
      <c r="J145" t="n">
        <v>3572043</v>
      </c>
      <c r="K145" t="inlineStr">
        <is>
          <t>TUB-S-AW-AUT-25.00X25.00X1.200X0.6420</t>
        </is>
      </c>
      <c r="L145" t="inlineStr">
        <is>
          <t>TVS</t>
        </is>
      </c>
      <c r="M145" t="inlineStr">
        <is>
          <t>25-25-1.2-CRFH-PE</t>
        </is>
      </c>
      <c r="N145" t="inlineStr">
        <is>
          <t>25-25-1.2-CRFH-PE-0.642</t>
        </is>
      </c>
    </row>
    <row r="146" hidden="1" s="584">
      <c r="A146" t="inlineStr">
        <is>
          <t>Scheduled at CTL-1</t>
        </is>
      </c>
      <c r="B146" t="n">
        <v>1750</v>
      </c>
      <c r="C146" t="inlineStr">
        <is>
          <t>Marathwada Auto Compo Pvt. Ltd</t>
        </is>
      </c>
      <c r="D146" t="n">
        <v>1.2</v>
      </c>
      <c r="E146" t="n">
        <v>25</v>
      </c>
      <c r="F146" t="n">
        <v>25</v>
      </c>
      <c r="G146" t="n">
        <v>0.787</v>
      </c>
      <c r="H146" t="inlineStr">
        <is>
          <t>000000000111116491</t>
        </is>
      </c>
      <c r="I146" t="inlineStr">
        <is>
          <t>TM-R-AW-AUT-25.00X25.00X1.200X6.4000</t>
        </is>
      </c>
      <c r="J146" t="n">
        <v>3230482</v>
      </c>
      <c r="K146" t="inlineStr">
        <is>
          <t>TUB-S-AW-AUT-25.00X25.00X1.200X0.7870</t>
        </is>
      </c>
      <c r="L146" t="inlineStr">
        <is>
          <t>TVS</t>
        </is>
      </c>
      <c r="M146" t="inlineStr">
        <is>
          <t>25-25-1.2-CRFH-PE</t>
        </is>
      </c>
      <c r="N146" t="inlineStr">
        <is>
          <t>25-25-1.2-CRFH-PE-0.787</t>
        </is>
      </c>
    </row>
    <row r="147" hidden="1" s="584">
      <c r="A147" t="inlineStr">
        <is>
          <t>Scheduled at CTL-1</t>
        </is>
      </c>
      <c r="B147" t="n">
        <v>1000</v>
      </c>
      <c r="C147" t="inlineStr">
        <is>
          <t>Marathwada Auto Compo Pvt. Ltd</t>
        </is>
      </c>
      <c r="D147" t="n">
        <v>1.2</v>
      </c>
      <c r="E147" t="n">
        <v>25</v>
      </c>
      <c r="F147" t="n">
        <v>25</v>
      </c>
      <c r="G147" t="n">
        <v>0.787</v>
      </c>
      <c r="H147" t="inlineStr">
        <is>
          <t>000000000111116491</t>
        </is>
      </c>
      <c r="I147" t="inlineStr">
        <is>
          <t>TM-R-AW-AUT-25.00X25.00X1.200X6.4000</t>
        </is>
      </c>
      <c r="J147" t="n">
        <v>3230482</v>
      </c>
      <c r="K147" t="inlineStr">
        <is>
          <t>TUB-S-AW-AUT-25.00X25.00X1.200X0.7870</t>
        </is>
      </c>
      <c r="L147" t="inlineStr">
        <is>
          <t>TVS</t>
        </is>
      </c>
      <c r="M147" t="inlineStr">
        <is>
          <t>25-25-1.2-CRFH-PE</t>
        </is>
      </c>
      <c r="N147" t="inlineStr">
        <is>
          <t>25-25-1.2-CRFH-PE-0.787</t>
        </is>
      </c>
    </row>
    <row r="148" hidden="1" s="584">
      <c r="A148" t="inlineStr">
        <is>
          <t>Scheduled at CTL-1</t>
        </is>
      </c>
      <c r="B148" t="n">
        <v>1815</v>
      </c>
      <c r="C148" t="inlineStr">
        <is>
          <t>Marathwada Auto Compo Pvt. Ltd</t>
        </is>
      </c>
      <c r="D148" t="n">
        <v>1.2</v>
      </c>
      <c r="E148" t="n">
        <v>25</v>
      </c>
      <c r="F148" t="n">
        <v>25</v>
      </c>
      <c r="G148" t="n">
        <v>0.787</v>
      </c>
      <c r="H148" t="inlineStr">
        <is>
          <t>000000000111116491</t>
        </is>
      </c>
      <c r="I148" t="inlineStr">
        <is>
          <t>TM-R-AW-AUT-25.00X25.00X1.200X6.4000</t>
        </is>
      </c>
      <c r="J148" t="n">
        <v>3230482</v>
      </c>
      <c r="K148" t="inlineStr">
        <is>
          <t>TUB-S-AW-AUT-25.00X25.00X1.200X0.7870</t>
        </is>
      </c>
      <c r="L148" t="inlineStr">
        <is>
          <t>TVS</t>
        </is>
      </c>
      <c r="M148" t="inlineStr">
        <is>
          <t>25-25-1.2-CRFH-PE</t>
        </is>
      </c>
      <c r="N148" t="inlineStr">
        <is>
          <t>25-25-1.2-CRFH-PE-0.787</t>
        </is>
      </c>
    </row>
    <row r="149" hidden="1" s="584">
      <c r="A149" t="inlineStr">
        <is>
          <t>Scheduled at CTL-1</t>
        </is>
      </c>
      <c r="B149" t="n">
        <v>1915</v>
      </c>
      <c r="C149" t="inlineStr">
        <is>
          <t>Sri Balaji Gears</t>
        </is>
      </c>
      <c r="D149" t="n">
        <v>1.2</v>
      </c>
      <c r="E149" t="n">
        <v>25</v>
      </c>
      <c r="F149" t="n">
        <v>25</v>
      </c>
      <c r="G149" t="n">
        <v>1.298</v>
      </c>
      <c r="H149" t="inlineStr">
        <is>
          <t>000000000111121738</t>
        </is>
      </c>
      <c r="I149" t="inlineStr">
        <is>
          <t>TM-S-AW-AUT-25.00X25.00X1.200X5.2700</t>
        </is>
      </c>
      <c r="J149" t="n">
        <v>3935311</v>
      </c>
      <c r="K149" t="inlineStr">
        <is>
          <t>CUT-S-AW-AUT-25.00X25.00X1.200X1.2980</t>
        </is>
      </c>
      <c r="L149" t="inlineStr">
        <is>
          <t>TVS</t>
        </is>
      </c>
      <c r="M149" t="inlineStr">
        <is>
          <t>25-25-1.2-CRFH-PE</t>
        </is>
      </c>
      <c r="N149" t="inlineStr">
        <is>
          <t>25-25-1.2-CRFH-PE-1.298</t>
        </is>
      </c>
    </row>
    <row r="150" hidden="1" s="584">
      <c r="A150" t="inlineStr">
        <is>
          <t>Scheduled at CTL-1</t>
        </is>
      </c>
      <c r="B150" t="n">
        <v>960</v>
      </c>
      <c r="C150" t="inlineStr">
        <is>
          <t>Sri Balaji Gears</t>
        </is>
      </c>
      <c r="D150" t="n">
        <v>1.2</v>
      </c>
      <c r="E150" t="n">
        <v>25</v>
      </c>
      <c r="F150" t="n">
        <v>25</v>
      </c>
      <c r="G150" t="n">
        <v>1.298</v>
      </c>
      <c r="H150" t="inlineStr">
        <is>
          <t>000000000111121738</t>
        </is>
      </c>
      <c r="I150" t="inlineStr">
        <is>
          <t>TM-S-AW-AUT-25.00X25.00X1.200X5.2700</t>
        </is>
      </c>
      <c r="J150" t="n">
        <v>3935311</v>
      </c>
      <c r="K150" t="inlineStr">
        <is>
          <t>CUT-S-AW-AUT-25.00X25.00X1.200X1.2980</t>
        </is>
      </c>
      <c r="L150" t="inlineStr">
        <is>
          <t>TVS</t>
        </is>
      </c>
      <c r="M150" t="inlineStr">
        <is>
          <t>25-25-1.2-CRFH-PE</t>
        </is>
      </c>
      <c r="N150" t="inlineStr">
        <is>
          <t>25-25-1.2-CRFH-PE-1.298</t>
        </is>
      </c>
    </row>
    <row r="151" hidden="1" s="584">
      <c r="A151" t="inlineStr">
        <is>
          <t>Scheduled at CTL-1</t>
        </is>
      </c>
      <c r="B151" t="n">
        <v>1620</v>
      </c>
      <c r="C151" t="inlineStr">
        <is>
          <t>Neel Metal Products Limited</t>
        </is>
      </c>
      <c r="D151" t="n">
        <v>1.2</v>
      </c>
      <c r="E151" t="n">
        <v>25.4</v>
      </c>
      <c r="F151" t="n">
        <v>0</v>
      </c>
      <c r="G151" t="n">
        <v>0.8450000000000001</v>
      </c>
      <c r="H151" t="inlineStr">
        <is>
          <t>000000000111002373</t>
        </is>
      </c>
      <c r="I151" t="inlineStr">
        <is>
          <t>TM-O-N-AUT-AW-PE-25.40X1.200X5.1700</t>
        </is>
      </c>
      <c r="J151" t="n">
        <v>1940538</v>
      </c>
      <c r="K151" t="inlineStr">
        <is>
          <t>TUB-O-O-AUT-AW-PE-25.40X1.200X0.8450</t>
        </is>
      </c>
      <c r="L151" t="inlineStr">
        <is>
          <t>TVS</t>
        </is>
      </c>
      <c r="M151" t="inlineStr">
        <is>
          <t>25.4-0-1.2-ERW 1-PE</t>
        </is>
      </c>
      <c r="N151" t="inlineStr">
        <is>
          <t>25.4-0-1.2-ERW 1-PE-0.845</t>
        </is>
      </c>
    </row>
    <row r="152" hidden="1" s="584">
      <c r="A152" t="inlineStr">
        <is>
          <t>Scheduled at CTL-1</t>
        </is>
      </c>
      <c r="B152" t="n">
        <v>1600</v>
      </c>
      <c r="C152" t="inlineStr">
        <is>
          <t>Neel Metal Products Limited</t>
        </is>
      </c>
      <c r="D152" t="n">
        <v>1.2</v>
      </c>
      <c r="E152" t="n">
        <v>25.4</v>
      </c>
      <c r="F152" t="n">
        <v>0</v>
      </c>
      <c r="G152" t="n">
        <v>0.8450000000000001</v>
      </c>
      <c r="H152" t="inlineStr">
        <is>
          <t>000000000111002373</t>
        </is>
      </c>
      <c r="I152" t="inlineStr">
        <is>
          <t>TM-O-N-AUT-AW-PE-25.40X1.200X5.1700</t>
        </is>
      </c>
      <c r="J152" t="n">
        <v>1940538</v>
      </c>
      <c r="K152" t="inlineStr">
        <is>
          <t>TUB-O-O-AUT-AW-PE-25.40X1.200X0.8450</t>
        </is>
      </c>
      <c r="L152" t="inlineStr">
        <is>
          <t>TVS</t>
        </is>
      </c>
      <c r="M152" t="inlineStr">
        <is>
          <t>25.4-0-1.2-ERW 1-PE</t>
        </is>
      </c>
      <c r="N152" t="inlineStr">
        <is>
          <t>25.4-0-1.2-ERW 1-PE-0.845</t>
        </is>
      </c>
    </row>
    <row r="153" hidden="1" s="584">
      <c r="A153" t="inlineStr">
        <is>
          <t>Scheduled at CTL-1</t>
        </is>
      </c>
      <c r="B153" t="n">
        <v>1700</v>
      </c>
      <c r="C153" t="inlineStr">
        <is>
          <t>Neel Metal Products Limited</t>
        </is>
      </c>
      <c r="D153" t="n">
        <v>1.2</v>
      </c>
      <c r="E153" t="n">
        <v>25.4</v>
      </c>
      <c r="F153" t="n">
        <v>0</v>
      </c>
      <c r="G153" t="n">
        <v>0.8450000000000001</v>
      </c>
      <c r="H153" t="inlineStr">
        <is>
          <t>000000000111002373</t>
        </is>
      </c>
      <c r="I153" t="inlineStr">
        <is>
          <t>TM-O-N-AUT-AW-PE-25.40X1.200X5.1700</t>
        </is>
      </c>
      <c r="J153" t="n">
        <v>1940538</v>
      </c>
      <c r="K153" t="inlineStr">
        <is>
          <t>TUB-O-O-AUT-AW-PE-25.40X1.200X0.8450</t>
        </is>
      </c>
      <c r="L153" t="inlineStr">
        <is>
          <t>TVS</t>
        </is>
      </c>
      <c r="M153" t="inlineStr">
        <is>
          <t>25.4-0-1.2-ERW 1-PE</t>
        </is>
      </c>
      <c r="N153" t="inlineStr">
        <is>
          <t>25.4-0-1.2-ERW 1-PE-0.845</t>
        </is>
      </c>
    </row>
    <row r="154" hidden="1" s="584">
      <c r="A154" t="inlineStr">
        <is>
          <t>Scheduled at CTL-1</t>
        </is>
      </c>
      <c r="B154" t="n">
        <v>1680</v>
      </c>
      <c r="C154" t="inlineStr">
        <is>
          <t>Neel Metal Products Limited</t>
        </is>
      </c>
      <c r="D154" t="n">
        <v>1.2</v>
      </c>
      <c r="E154" t="n">
        <v>25.4</v>
      </c>
      <c r="F154" t="n">
        <v>0</v>
      </c>
      <c r="G154" t="n">
        <v>0.8450000000000001</v>
      </c>
      <c r="H154" t="inlineStr">
        <is>
          <t>000000000111002373</t>
        </is>
      </c>
      <c r="I154" t="inlineStr">
        <is>
          <t>TM-O-N-AUT-AW-PE-25.40X1.200X5.1700</t>
        </is>
      </c>
      <c r="J154" t="n">
        <v>1940538</v>
      </c>
      <c r="K154" t="inlineStr">
        <is>
          <t>TUB-O-O-AUT-AW-PE-25.40X1.200X0.8450</t>
        </is>
      </c>
      <c r="L154" t="inlineStr">
        <is>
          <t>TVS</t>
        </is>
      </c>
      <c r="M154" t="inlineStr">
        <is>
          <t>25.4-0-1.2-ERW 1-PE</t>
        </is>
      </c>
      <c r="N154" t="inlineStr">
        <is>
          <t>25.4-0-1.2-ERW 1-PE-0.845</t>
        </is>
      </c>
    </row>
    <row r="155" hidden="1" s="584">
      <c r="A155" t="inlineStr">
        <is>
          <t>Scheduled at CTL-1</t>
        </is>
      </c>
      <c r="B155" t="n">
        <v>760</v>
      </c>
      <c r="C155" t="inlineStr">
        <is>
          <t>Neel Metal Products Limited</t>
        </is>
      </c>
      <c r="D155" t="n">
        <v>1.2</v>
      </c>
      <c r="E155" t="n">
        <v>25.4</v>
      </c>
      <c r="F155" t="n">
        <v>0</v>
      </c>
      <c r="G155" t="n">
        <v>0.8450000000000001</v>
      </c>
      <c r="H155" t="inlineStr">
        <is>
          <t>000000000111002373</t>
        </is>
      </c>
      <c r="I155" t="inlineStr">
        <is>
          <t>TM-O-N-AUT-AW-PE-25.40X1.200X5.1700</t>
        </is>
      </c>
      <c r="J155" t="n">
        <v>1940538</v>
      </c>
      <c r="K155" t="inlineStr">
        <is>
          <t>TUB-O-O-AUT-AW-PE-25.40X1.200X0.8450</t>
        </is>
      </c>
      <c r="L155" t="inlineStr">
        <is>
          <t>TVS</t>
        </is>
      </c>
      <c r="M155" t="inlineStr">
        <is>
          <t>25.4-0-1.2-ERW 1-PE</t>
        </is>
      </c>
      <c r="N155" t="inlineStr">
        <is>
          <t>25.4-0-1.2-ERW 1-PE-0.845</t>
        </is>
      </c>
    </row>
    <row r="156" hidden="1" s="584">
      <c r="A156" t="inlineStr">
        <is>
          <t>Scheduled at CTL-1</t>
        </is>
      </c>
      <c r="B156" t="n">
        <v>460</v>
      </c>
      <c r="C156" t="inlineStr">
        <is>
          <t>Marathwada Auto Compo Pvt. Ltd</t>
        </is>
      </c>
      <c r="D156" t="n">
        <v>1.2</v>
      </c>
      <c r="E156" t="n">
        <v>25.4</v>
      </c>
      <c r="F156" t="n">
        <v>0</v>
      </c>
      <c r="G156" t="n">
        <v>2.585</v>
      </c>
      <c r="H156" t="inlineStr">
        <is>
          <t>000000000111002372</t>
        </is>
      </c>
      <c r="I156" t="inlineStr">
        <is>
          <t>TM-O-N-AUT-AW-PE-25.40X1.200X5.2700</t>
        </is>
      </c>
      <c r="J156" t="n">
        <v>3672610</v>
      </c>
      <c r="K156" t="inlineStr">
        <is>
          <t>TUB-O-N-AUT-AW-PE-25.40X1.200X2.5850</t>
        </is>
      </c>
      <c r="L156" t="inlineStr">
        <is>
          <t>TVS</t>
        </is>
      </c>
      <c r="M156" t="inlineStr">
        <is>
          <t>25.4-0-1.2-ERW 1-PE</t>
        </is>
      </c>
      <c r="N156" t="inlineStr">
        <is>
          <t>25.4-0-1.2-ERW 1-PE-2.585</t>
        </is>
      </c>
    </row>
    <row r="157" hidden="1" s="584">
      <c r="A157" t="inlineStr">
        <is>
          <t>Scheduled at CTL-1</t>
        </is>
      </c>
      <c r="B157" t="n">
        <v>296</v>
      </c>
      <c r="C157" t="inlineStr">
        <is>
          <t>Marathwada Auto Compo Pvt. Ltd</t>
        </is>
      </c>
      <c r="D157" t="n">
        <v>1.2</v>
      </c>
      <c r="E157" t="n">
        <v>25.4</v>
      </c>
      <c r="F157" t="n">
        <v>0</v>
      </c>
      <c r="G157" t="n">
        <v>2.585</v>
      </c>
      <c r="H157" t="inlineStr">
        <is>
          <t>000000000111002372</t>
        </is>
      </c>
      <c r="I157" t="inlineStr">
        <is>
          <t>TM-O-N-AUT-AW-PE-25.40X1.200X5.2700</t>
        </is>
      </c>
      <c r="J157" t="n">
        <v>3672610</v>
      </c>
      <c r="K157" t="inlineStr">
        <is>
          <t>TUB-O-N-AUT-AW-PE-25.40X1.200X2.5850</t>
        </is>
      </c>
      <c r="L157" t="inlineStr">
        <is>
          <t>TVS</t>
        </is>
      </c>
      <c r="M157" t="inlineStr">
        <is>
          <t>25.4-0-1.2-ERW 1-PE</t>
        </is>
      </c>
      <c r="N157" t="inlineStr">
        <is>
          <t>25.4-0-1.2-ERW 1-PE-2.585</t>
        </is>
      </c>
    </row>
    <row r="158" hidden="1" s="584">
      <c r="A158" t="inlineStr">
        <is>
          <t>Scheduled at CTL-1</t>
        </is>
      </c>
      <c r="B158" t="n">
        <v>1352</v>
      </c>
      <c r="C158" t="inlineStr">
        <is>
          <t>Marathwada Auto Compo Pvt. Ltd</t>
        </is>
      </c>
      <c r="D158" t="n">
        <v>1.2</v>
      </c>
      <c r="E158" t="n">
        <v>25.4</v>
      </c>
      <c r="F158" t="n">
        <v>0</v>
      </c>
      <c r="G158" t="n">
        <v>2.585</v>
      </c>
      <c r="H158" t="inlineStr">
        <is>
          <t>000000000111002372</t>
        </is>
      </c>
      <c r="I158" t="inlineStr">
        <is>
          <t>TM-O-N-AUT-AW-PE-25.40X1.200X5.2700</t>
        </is>
      </c>
      <c r="J158" t="n">
        <v>3672610</v>
      </c>
      <c r="K158" t="inlineStr">
        <is>
          <t>TUB-O-N-AUT-AW-PE-25.40X1.200X2.5850</t>
        </is>
      </c>
      <c r="L158" t="inlineStr">
        <is>
          <t>TVS</t>
        </is>
      </c>
      <c r="M158" t="inlineStr">
        <is>
          <t>25.4-0-1.2-ERW 1-PE</t>
        </is>
      </c>
      <c r="N158" t="inlineStr">
        <is>
          <t>25.4-0-1.2-ERW 1-PE-2.585</t>
        </is>
      </c>
    </row>
    <row r="159" hidden="1" s="584">
      <c r="A159" t="inlineStr">
        <is>
          <t>Scheduled at CTL-1</t>
        </is>
      </c>
      <c r="B159" t="n">
        <v>1457</v>
      </c>
      <c r="C159" t="inlineStr">
        <is>
          <t>Marathwada Auto Compo Pvt. Ltd</t>
        </is>
      </c>
      <c r="D159" t="n">
        <v>1.2</v>
      </c>
      <c r="E159" t="n">
        <v>25.4</v>
      </c>
      <c r="F159" t="n">
        <v>0</v>
      </c>
      <c r="G159" t="n">
        <v>2.585</v>
      </c>
      <c r="H159" t="inlineStr">
        <is>
          <t>000000000111002372</t>
        </is>
      </c>
      <c r="I159" t="inlineStr">
        <is>
          <t>TM-O-N-AUT-AW-PE-25.40X1.200X5.2700</t>
        </is>
      </c>
      <c r="J159" t="n">
        <v>3672610</v>
      </c>
      <c r="K159" t="inlineStr">
        <is>
          <t>TUB-O-N-AUT-AW-PE-25.40X1.200X2.5850</t>
        </is>
      </c>
      <c r="L159" t="inlineStr">
        <is>
          <t>TVS</t>
        </is>
      </c>
      <c r="M159" t="inlineStr">
        <is>
          <t>25.4-0-1.2-ERW 1-PE</t>
        </is>
      </c>
      <c r="N159" t="inlineStr">
        <is>
          <t>25.4-0-1.2-ERW 1-PE-2.585</t>
        </is>
      </c>
    </row>
    <row r="160" hidden="1" s="584">
      <c r="A160" t="inlineStr">
        <is>
          <t>Scheduled at CTL-1</t>
        </is>
      </c>
      <c r="B160" t="n">
        <v>1319</v>
      </c>
      <c r="C160" t="inlineStr">
        <is>
          <t>Marathwada Auto Compo Pvt. Ltd</t>
        </is>
      </c>
      <c r="D160" t="n">
        <v>1.2</v>
      </c>
      <c r="E160" t="n">
        <v>25.4</v>
      </c>
      <c r="F160" t="n">
        <v>0</v>
      </c>
      <c r="G160" t="n">
        <v>2.585</v>
      </c>
      <c r="H160" t="inlineStr">
        <is>
          <t>000000000111002372</t>
        </is>
      </c>
      <c r="I160" t="inlineStr">
        <is>
          <t>TM-O-N-AUT-AW-PE-25.40X1.200X5.2700</t>
        </is>
      </c>
      <c r="J160" t="n">
        <v>3672610</v>
      </c>
      <c r="K160" t="inlineStr">
        <is>
          <t>TUB-O-N-AUT-AW-PE-25.40X1.200X2.5850</t>
        </is>
      </c>
      <c r="L160" t="inlineStr">
        <is>
          <t>TVS</t>
        </is>
      </c>
      <c r="M160" t="inlineStr">
        <is>
          <t>25.4-0-1.2-ERW 1-PE</t>
        </is>
      </c>
      <c r="N160" t="inlineStr">
        <is>
          <t>25.4-0-1.2-ERW 1-PE-2.585</t>
        </is>
      </c>
    </row>
    <row r="161" hidden="1" s="584">
      <c r="A161" t="inlineStr">
        <is>
          <t>Scheduled at CTL-1</t>
        </is>
      </c>
      <c r="B161" t="n">
        <v>1518</v>
      </c>
      <c r="C161" t="inlineStr">
        <is>
          <t>Marathwada Auto Compo Pvt. Ltd</t>
        </is>
      </c>
      <c r="D161" t="n">
        <v>1.2</v>
      </c>
      <c r="E161" t="n">
        <v>25.4</v>
      </c>
      <c r="F161" t="n">
        <v>0</v>
      </c>
      <c r="G161" t="n">
        <v>2.585</v>
      </c>
      <c r="H161" t="inlineStr">
        <is>
          <t>000000000111002372</t>
        </is>
      </c>
      <c r="I161" t="inlineStr">
        <is>
          <t>TM-O-N-AUT-AW-PE-25.40X1.200X5.2700</t>
        </is>
      </c>
      <c r="J161" t="n">
        <v>3672610</v>
      </c>
      <c r="K161" t="inlineStr">
        <is>
          <t>TUB-O-N-AUT-AW-PE-25.40X1.200X2.5850</t>
        </is>
      </c>
      <c r="L161" t="inlineStr">
        <is>
          <t>TVS</t>
        </is>
      </c>
      <c r="M161" t="inlineStr">
        <is>
          <t>25.4-0-1.2-ERW 1-PE</t>
        </is>
      </c>
      <c r="N161" t="inlineStr">
        <is>
          <t>25.4-0-1.2-ERW 1-PE-2.585</t>
        </is>
      </c>
    </row>
    <row r="162" hidden="1" s="584">
      <c r="A162" t="inlineStr">
        <is>
          <t>Scheduled at CTL-1</t>
        </is>
      </c>
      <c r="B162" t="n">
        <v>1537</v>
      </c>
      <c r="C162" t="inlineStr">
        <is>
          <t>Marathwada Auto Compo Pvt. Ltd</t>
        </is>
      </c>
      <c r="D162" t="n">
        <v>1.2</v>
      </c>
      <c r="E162" t="n">
        <v>25.4</v>
      </c>
      <c r="F162" t="n">
        <v>0</v>
      </c>
      <c r="G162" t="n">
        <v>2.585</v>
      </c>
      <c r="H162" t="inlineStr">
        <is>
          <t>000000000111002372</t>
        </is>
      </c>
      <c r="I162" t="inlineStr">
        <is>
          <t>TM-O-N-AUT-AW-PE-25.40X1.200X5.2700</t>
        </is>
      </c>
      <c r="J162" t="n">
        <v>3672610</v>
      </c>
      <c r="K162" t="inlineStr">
        <is>
          <t>TUB-O-N-AUT-AW-PE-25.40X1.200X2.5850</t>
        </is>
      </c>
      <c r="L162" t="inlineStr">
        <is>
          <t>TVS</t>
        </is>
      </c>
      <c r="M162" t="inlineStr">
        <is>
          <t>25.4-0-1.2-ERW 1-PE</t>
        </is>
      </c>
      <c r="N162" t="inlineStr">
        <is>
          <t>25.4-0-1.2-ERW 1-PE-2.585</t>
        </is>
      </c>
    </row>
    <row r="163" hidden="1" s="584">
      <c r="A163" t="inlineStr">
        <is>
          <t>Scheduled at CTL-1</t>
        </is>
      </c>
      <c r="B163" t="n">
        <v>1635</v>
      </c>
      <c r="C163" t="inlineStr">
        <is>
          <t>Marathwada Auto Compo Pvt. Ltd</t>
        </is>
      </c>
      <c r="D163" t="n">
        <v>1.2</v>
      </c>
      <c r="E163" t="n">
        <v>25.4</v>
      </c>
      <c r="F163" t="n">
        <v>0</v>
      </c>
      <c r="G163" t="n">
        <v>2.585</v>
      </c>
      <c r="H163" t="inlineStr">
        <is>
          <t>000000000111002372</t>
        </is>
      </c>
      <c r="I163" t="inlineStr">
        <is>
          <t>TM-O-N-AUT-AW-PE-25.40X1.200X5.2700</t>
        </is>
      </c>
      <c r="J163" t="n">
        <v>3672610</v>
      </c>
      <c r="K163" t="inlineStr">
        <is>
          <t>TUB-O-N-AUT-AW-PE-25.40X1.200X2.5850</t>
        </is>
      </c>
      <c r="L163" t="inlineStr">
        <is>
          <t>TVS</t>
        </is>
      </c>
      <c r="M163" t="inlineStr">
        <is>
          <t>25.4-0-1.2-ERW 1-PE</t>
        </is>
      </c>
      <c r="N163" t="inlineStr">
        <is>
          <t>25.4-0-1.2-ERW 1-PE-2.585</t>
        </is>
      </c>
    </row>
    <row r="164" hidden="1" s="584">
      <c r="A164" t="inlineStr">
        <is>
          <t>Scheduled at CTL-1</t>
        </is>
      </c>
      <c r="B164" t="n">
        <v>1630</v>
      </c>
      <c r="C164" t="inlineStr">
        <is>
          <t>Marathwada Auto Compo Pvt. Ltd</t>
        </is>
      </c>
      <c r="D164" t="n">
        <v>1.2</v>
      </c>
      <c r="E164" t="n">
        <v>25.4</v>
      </c>
      <c r="F164" t="n">
        <v>0</v>
      </c>
      <c r="G164" t="n">
        <v>2.585</v>
      </c>
      <c r="H164" t="inlineStr">
        <is>
          <t>000000000111002372</t>
        </is>
      </c>
      <c r="I164" t="inlineStr">
        <is>
          <t>TM-O-N-AUT-AW-PE-25.40X1.200X5.2700</t>
        </is>
      </c>
      <c r="J164" t="n">
        <v>3672610</v>
      </c>
      <c r="K164" t="inlineStr">
        <is>
          <t>TUB-O-N-AUT-AW-PE-25.40X1.200X2.5850</t>
        </is>
      </c>
      <c r="L164" t="inlineStr">
        <is>
          <t>TVS</t>
        </is>
      </c>
      <c r="M164" t="inlineStr">
        <is>
          <t>25.4-0-1.2-ERW 1-PE</t>
        </is>
      </c>
      <c r="N164" t="inlineStr">
        <is>
          <t>25.4-0-1.2-ERW 1-PE-2.585</t>
        </is>
      </c>
    </row>
    <row r="165">
      <c r="A165" t="inlineStr">
        <is>
          <t>Scheduled at CTL-1</t>
        </is>
      </c>
      <c r="B165" t="n">
        <v>2412</v>
      </c>
      <c r="C165" t="inlineStr">
        <is>
          <t>BALAJI PRESS PRODUCTS INDIA</t>
        </is>
      </c>
      <c r="D165" t="n">
        <v>1.6</v>
      </c>
      <c r="E165" t="n">
        <v>25.4</v>
      </c>
      <c r="F165" t="n">
        <v>0</v>
      </c>
      <c r="G165" t="n">
        <v>2.59</v>
      </c>
      <c r="H165" t="inlineStr">
        <is>
          <t>000000000111001994</t>
        </is>
      </c>
      <c r="I165" t="inlineStr">
        <is>
          <t>TM-O-N-AUT-AW-PE-25.40X1.600X5.2700</t>
        </is>
      </c>
      <c r="J165" t="n">
        <v>2409618</v>
      </c>
      <c r="K165" t="inlineStr">
        <is>
          <t>TUB-O-N-AUT-AW-PE-25.40X1.600X2.5900</t>
        </is>
      </c>
      <c r="L165" t="inlineStr">
        <is>
          <t>TVS</t>
        </is>
      </c>
      <c r="M165" t="inlineStr">
        <is>
          <t>25.4-0-1.6-ERW 1-PE</t>
        </is>
      </c>
      <c r="N165" t="inlineStr">
        <is>
          <t>25.4-0-1.6-ERW 1-PE-2.59</t>
        </is>
      </c>
    </row>
    <row r="166" hidden="1" s="584">
      <c r="A166" t="inlineStr">
        <is>
          <t>Scheduled at CTL-1</t>
        </is>
      </c>
      <c r="B166" t="n">
        <v>477</v>
      </c>
      <c r="C166" t="inlineStr">
        <is>
          <t>Marathwada Auto Compo Pvt. Ltd</t>
        </is>
      </c>
      <c r="D166" t="n">
        <v>1.63</v>
      </c>
      <c r="E166" t="n">
        <v>25.4</v>
      </c>
      <c r="F166" t="n">
        <v>0</v>
      </c>
      <c r="G166" t="n">
        <v>2.58</v>
      </c>
      <c r="H166" t="inlineStr">
        <is>
          <t>000000000111116360</t>
        </is>
      </c>
      <c r="I166" t="inlineStr">
        <is>
          <t>TM-O-N-AUT-AW-PE-25.40X1.600X5.9100</t>
        </is>
      </c>
      <c r="J166" t="n">
        <v>3605861</v>
      </c>
      <c r="K166" t="inlineStr">
        <is>
          <t>TUB-O-N-AUT-AW-PE-25.40X1.630X2.5800</t>
        </is>
      </c>
      <c r="L166" t="inlineStr">
        <is>
          <t>TVS</t>
        </is>
      </c>
      <c r="M166" t="inlineStr">
        <is>
          <t>25.4-0-1.6-ERW 1-PE</t>
        </is>
      </c>
      <c r="N166" t="inlineStr">
        <is>
          <t>25.4-0-1.6-ERW 1-PE-2.58</t>
        </is>
      </c>
    </row>
    <row r="167">
      <c r="A167" t="inlineStr">
        <is>
          <t>Scheduled at CTL-1</t>
        </is>
      </c>
      <c r="B167" t="n">
        <v>757</v>
      </c>
      <c r="C167" t="inlineStr">
        <is>
          <t>Marathwada Auto Compo Pvt. Ltd</t>
        </is>
      </c>
      <c r="D167" t="n">
        <v>1.63</v>
      </c>
      <c r="E167" t="n">
        <v>25.4</v>
      </c>
      <c r="F167" t="n">
        <v>0</v>
      </c>
      <c r="G167" t="n">
        <v>2.58</v>
      </c>
      <c r="H167" t="inlineStr">
        <is>
          <t>000000000111001994</t>
        </is>
      </c>
      <c r="I167" t="inlineStr">
        <is>
          <t>TM-O-N-AUT-AW-PE-25.40X1.600X5.2700</t>
        </is>
      </c>
      <c r="J167" t="n">
        <v>3605861</v>
      </c>
      <c r="K167" t="inlineStr">
        <is>
          <t>TUB-O-N-AUT-AW-PE-25.40X1.630X2.5800</t>
        </is>
      </c>
      <c r="L167" t="inlineStr">
        <is>
          <t>TVS</t>
        </is>
      </c>
      <c r="M167" t="inlineStr">
        <is>
          <t>25.4-0-1.6-ERW 1-PE</t>
        </is>
      </c>
      <c r="N167" t="inlineStr">
        <is>
          <t>25.4-0-1.6-ERW 1-PE-2.58</t>
        </is>
      </c>
    </row>
    <row r="168" hidden="1" s="584">
      <c r="A168" t="inlineStr">
        <is>
          <t>Scheduled at CTL-1</t>
        </is>
      </c>
      <c r="B168" t="n">
        <v>613</v>
      </c>
      <c r="C168" t="inlineStr">
        <is>
          <t>Rajsriya Automotive Industries</t>
        </is>
      </c>
      <c r="D168" t="n">
        <v>2</v>
      </c>
      <c r="E168" t="n">
        <v>25.4</v>
      </c>
      <c r="F168" t="n">
        <v>0</v>
      </c>
      <c r="G168" t="n">
        <v>0.213</v>
      </c>
      <c r="H168" t="inlineStr">
        <is>
          <t>000000000111002133</t>
        </is>
      </c>
      <c r="I168" t="inlineStr">
        <is>
          <t>TM-O-N-AUT-AW-FC-25.40X2.000X5.6800</t>
        </is>
      </c>
      <c r="J168" t="n">
        <v>4229656</v>
      </c>
      <c r="K168" t="inlineStr">
        <is>
          <t>CUT-O-O-AUT-AW-FC-25.40X2.000X0.2130</t>
        </is>
      </c>
      <c r="L168" t="inlineStr">
        <is>
          <t>TVS</t>
        </is>
      </c>
      <c r="M168" t="inlineStr">
        <is>
          <t>25.4-0-2-ERW 1-FC</t>
        </is>
      </c>
      <c r="N168" t="inlineStr">
        <is>
          <t>25.4-0-2-ERW 1-FC-0.213</t>
        </is>
      </c>
    </row>
    <row r="169" hidden="1" s="584">
      <c r="A169" t="inlineStr">
        <is>
          <t>Scheduled at CTL-1</t>
        </is>
      </c>
      <c r="B169" t="n">
        <v>1279</v>
      </c>
      <c r="C169" t="inlineStr">
        <is>
          <t>Rajsriya Automotive Industries</t>
        </is>
      </c>
      <c r="D169" t="n">
        <v>2</v>
      </c>
      <c r="E169" t="n">
        <v>25.4</v>
      </c>
      <c r="F169" t="n">
        <v>0</v>
      </c>
      <c r="G169" t="n">
        <v>0.213</v>
      </c>
      <c r="H169" t="inlineStr">
        <is>
          <t>000000000111002133</t>
        </is>
      </c>
      <c r="I169" t="inlineStr">
        <is>
          <t>TM-O-N-AUT-AW-FC-25.40X2.000X5.6800</t>
        </is>
      </c>
      <c r="J169" t="n">
        <v>4229656</v>
      </c>
      <c r="K169" t="inlineStr">
        <is>
          <t>CUT-O-O-AUT-AW-FC-25.40X2.000X0.2130</t>
        </is>
      </c>
      <c r="L169" t="inlineStr">
        <is>
          <t>TVS</t>
        </is>
      </c>
      <c r="M169" t="inlineStr">
        <is>
          <t>25.4-0-2-ERW 1-FC</t>
        </is>
      </c>
      <c r="N169" t="inlineStr">
        <is>
          <t>25.4-0-2-ERW 1-FC-0.213</t>
        </is>
      </c>
    </row>
    <row r="170" hidden="1" s="584">
      <c r="A170" t="inlineStr">
        <is>
          <t>Scheduled at CTL-1</t>
        </is>
      </c>
      <c r="B170" t="n">
        <v>543</v>
      </c>
      <c r="C170" t="inlineStr">
        <is>
          <t>SRIKAM HITECH ENGINEERING PRIV</t>
        </is>
      </c>
      <c r="D170" t="n">
        <v>2</v>
      </c>
      <c r="E170" t="n">
        <v>25.4</v>
      </c>
      <c r="F170" t="n">
        <v>0</v>
      </c>
      <c r="G170" t="n">
        <v>0.281</v>
      </c>
      <c r="H170" t="inlineStr">
        <is>
          <t>000000000111002135</t>
        </is>
      </c>
      <c r="I170" t="inlineStr">
        <is>
          <t>TM-O-N-AUT-AW-FC-25.40X2.000X5.7400</t>
        </is>
      </c>
      <c r="J170" t="n">
        <v>1940584</v>
      </c>
      <c r="K170" t="inlineStr">
        <is>
          <t>TUB-O-O-AUT-AW-FC-25.40X2.000X0.2810</t>
        </is>
      </c>
      <c r="L170" t="inlineStr">
        <is>
          <t>TVS</t>
        </is>
      </c>
      <c r="M170" t="inlineStr">
        <is>
          <t>25.4-0-2-ERW 1-FC</t>
        </is>
      </c>
      <c r="N170" t="inlineStr">
        <is>
          <t>25.4-0-2-ERW 1-FC-0.281</t>
        </is>
      </c>
    </row>
    <row r="171" hidden="1" s="584">
      <c r="A171" t="inlineStr">
        <is>
          <t>Scheduled at CTL-1</t>
        </is>
      </c>
      <c r="B171" t="n">
        <v>325</v>
      </c>
      <c r="C171" t="inlineStr">
        <is>
          <t>SRIKAM HITECH ENGINEERING PRIV</t>
        </is>
      </c>
      <c r="D171" t="n">
        <v>2</v>
      </c>
      <c r="E171" t="n">
        <v>25.4</v>
      </c>
      <c r="F171" t="n">
        <v>0</v>
      </c>
      <c r="G171" t="n">
        <v>0.281</v>
      </c>
      <c r="H171" t="inlineStr">
        <is>
          <t>000000000111002135</t>
        </is>
      </c>
      <c r="I171" t="inlineStr">
        <is>
          <t>TM-O-N-AUT-AW-FC-25.40X2.000X5.7400</t>
        </is>
      </c>
      <c r="J171" t="n">
        <v>1940584</v>
      </c>
      <c r="K171" t="inlineStr">
        <is>
          <t>TUB-O-O-AUT-AW-FC-25.40X2.000X0.2810</t>
        </is>
      </c>
      <c r="L171" t="inlineStr">
        <is>
          <t>TVS</t>
        </is>
      </c>
      <c r="M171" t="inlineStr">
        <is>
          <t>25.4-0-2-ERW 1-FC</t>
        </is>
      </c>
      <c r="N171" t="inlineStr">
        <is>
          <t>25.4-0-2-ERW 1-FC-0.281</t>
        </is>
      </c>
    </row>
    <row r="172" hidden="1" s="584">
      <c r="A172" t="inlineStr">
        <is>
          <t>Scheduled at CTL-1</t>
        </is>
      </c>
      <c r="B172" t="n">
        <v>331</v>
      </c>
      <c r="C172" t="inlineStr">
        <is>
          <t>SRIKAM HITECH ENGINEERING PRIV</t>
        </is>
      </c>
      <c r="D172" t="n">
        <v>2</v>
      </c>
      <c r="E172" t="n">
        <v>25.4</v>
      </c>
      <c r="F172" t="n">
        <v>0</v>
      </c>
      <c r="G172" t="n">
        <v>0.281</v>
      </c>
      <c r="H172" t="inlineStr">
        <is>
          <t>000000000111002135</t>
        </is>
      </c>
      <c r="I172" t="inlineStr">
        <is>
          <t>TM-O-N-AUT-AW-FC-25.40X2.000X5.7400</t>
        </is>
      </c>
      <c r="J172" t="n">
        <v>1940584</v>
      </c>
      <c r="K172" t="inlineStr">
        <is>
          <t>TUB-O-O-AUT-AW-FC-25.40X2.000X0.2810</t>
        </is>
      </c>
      <c r="L172" t="inlineStr">
        <is>
          <t>TVS</t>
        </is>
      </c>
      <c r="M172" t="inlineStr">
        <is>
          <t>25.4-0-2-ERW 1-FC</t>
        </is>
      </c>
      <c r="N172" t="inlineStr">
        <is>
          <t>25.4-0-2-ERW 1-FC-0.281</t>
        </is>
      </c>
    </row>
    <row r="173" hidden="1" s="584">
      <c r="A173" t="inlineStr">
        <is>
          <t>Scheduled at CTL-1</t>
        </is>
      </c>
      <c r="B173" t="n">
        <v>2459</v>
      </c>
      <c r="C173" t="inlineStr">
        <is>
          <t>SRIKAM HITECH ENGINEERING PRIV</t>
        </is>
      </c>
      <c r="D173" t="n">
        <v>2</v>
      </c>
      <c r="E173" t="n">
        <v>25.4</v>
      </c>
      <c r="F173" t="n">
        <v>0</v>
      </c>
      <c r="G173" t="n">
        <v>0.281</v>
      </c>
      <c r="H173" t="inlineStr">
        <is>
          <t>000000000111002135</t>
        </is>
      </c>
      <c r="I173" t="inlineStr">
        <is>
          <t>TM-O-N-AUT-AW-FC-25.40X2.000X5.7400</t>
        </is>
      </c>
      <c r="J173" t="n">
        <v>1940584</v>
      </c>
      <c r="K173" t="inlineStr">
        <is>
          <t>TUB-O-O-AUT-AW-FC-25.40X2.000X0.2810</t>
        </is>
      </c>
      <c r="L173" t="inlineStr">
        <is>
          <t>TVS</t>
        </is>
      </c>
      <c r="M173" t="inlineStr">
        <is>
          <t>25.4-0-2-ERW 1-FC</t>
        </is>
      </c>
      <c r="N173" t="inlineStr">
        <is>
          <t>25.4-0-2-ERW 1-FC-0.281</t>
        </is>
      </c>
    </row>
    <row r="174" hidden="1" s="584">
      <c r="A174" t="inlineStr">
        <is>
          <t>Scheduled at CTL-1</t>
        </is>
      </c>
      <c r="B174" t="n">
        <v>2519</v>
      </c>
      <c r="C174" t="inlineStr">
        <is>
          <t>SRIKAM HITECH ENGINEERING PRIV</t>
        </is>
      </c>
      <c r="D174" t="n">
        <v>2</v>
      </c>
      <c r="E174" t="n">
        <v>25.4</v>
      </c>
      <c r="F174" t="n">
        <v>0</v>
      </c>
      <c r="G174" t="n">
        <v>0.281</v>
      </c>
      <c r="H174" t="inlineStr">
        <is>
          <t>000000000111002135</t>
        </is>
      </c>
      <c r="I174" t="inlineStr">
        <is>
          <t>TM-O-N-AUT-AW-FC-25.40X2.000X5.7400</t>
        </is>
      </c>
      <c r="J174" t="n">
        <v>1940584</v>
      </c>
      <c r="K174" t="inlineStr">
        <is>
          <t>TUB-O-O-AUT-AW-FC-25.40X2.000X0.2810</t>
        </is>
      </c>
      <c r="L174" t="inlineStr">
        <is>
          <t>TVS</t>
        </is>
      </c>
      <c r="M174" t="inlineStr">
        <is>
          <t>25.4-0-2-ERW 1-FC</t>
        </is>
      </c>
      <c r="N174" t="inlineStr">
        <is>
          <t>25.4-0-2-ERW 1-FC-0.281</t>
        </is>
      </c>
    </row>
    <row r="175" hidden="1" s="584">
      <c r="A175" t="inlineStr">
        <is>
          <t>Scheduled at CTL-1</t>
        </is>
      </c>
      <c r="B175" t="n">
        <v>2980</v>
      </c>
      <c r="C175" t="inlineStr">
        <is>
          <t>Marathwada Auto Compo Pvt. Ltd</t>
        </is>
      </c>
      <c r="D175" t="n">
        <v>2</v>
      </c>
      <c r="E175" t="n">
        <v>25.4</v>
      </c>
      <c r="F175" t="n">
        <v>0</v>
      </c>
      <c r="G175" t="n">
        <v>0.29</v>
      </c>
      <c r="H175" t="inlineStr">
        <is>
          <t>000000000111116361</t>
        </is>
      </c>
      <c r="I175" t="inlineStr">
        <is>
          <t>TM-O-N-AUT-AW-FC-25.40X2.000X5.9200</t>
        </is>
      </c>
      <c r="J175" t="n">
        <v>4095223</v>
      </c>
      <c r="K175" t="inlineStr">
        <is>
          <t>CUT-O-N-AUT-AW-PE-25.40X2.000X0.2900</t>
        </is>
      </c>
      <c r="L175" t="inlineStr">
        <is>
          <t>TVS</t>
        </is>
      </c>
      <c r="M175" t="inlineStr">
        <is>
          <t>25.4-0-2-ERW 1-PE</t>
        </is>
      </c>
      <c r="N175" t="inlineStr">
        <is>
          <t>25.4-0-2-ERW 1-PE-0.29</t>
        </is>
      </c>
    </row>
    <row r="176" hidden="1" s="584">
      <c r="A176" t="inlineStr">
        <is>
          <t>Scheduled at CTL-1</t>
        </is>
      </c>
      <c r="B176" t="n">
        <v>2580</v>
      </c>
      <c r="C176" t="inlineStr">
        <is>
          <t>Rajsriya Automotive Industries</t>
        </is>
      </c>
      <c r="D176" t="n">
        <v>2</v>
      </c>
      <c r="E176" t="n">
        <v>25.4</v>
      </c>
      <c r="F176" t="n">
        <v>0</v>
      </c>
      <c r="G176" t="n">
        <v>0.31</v>
      </c>
      <c r="H176" t="inlineStr">
        <is>
          <t>000000000110102717</t>
        </is>
      </c>
      <c r="I176" t="inlineStr">
        <is>
          <t>TM-O-O-AUT-AW-FC-25.40X2.000X6.0340</t>
        </is>
      </c>
      <c r="J176" t="n">
        <v>4229655</v>
      </c>
      <c r="K176" t="inlineStr">
        <is>
          <t>CUT-O-O-AUT-AW-FC-25.40X2.000X0.3100</t>
        </is>
      </c>
      <c r="L176" t="inlineStr">
        <is>
          <t>TVS</t>
        </is>
      </c>
      <c r="M176" t="inlineStr">
        <is>
          <t>25.4-0-2-ERW 1-PE</t>
        </is>
      </c>
      <c r="N176" t="inlineStr">
        <is>
          <t>25.4-0-2-ERW 1-PE-0.31</t>
        </is>
      </c>
    </row>
    <row r="177" hidden="1" s="584">
      <c r="A177" t="inlineStr">
        <is>
          <t>Scheduled at CTL-1</t>
        </is>
      </c>
      <c r="B177" t="n">
        <v>880</v>
      </c>
      <c r="C177" t="inlineStr">
        <is>
          <t>ELKAYEM AUTO ANCILLARIES PVT L</t>
        </is>
      </c>
      <c r="D177" t="n">
        <v>2</v>
      </c>
      <c r="E177" t="n">
        <v>25.4</v>
      </c>
      <c r="F177" t="n">
        <v>0</v>
      </c>
      <c r="G177" t="n">
        <v>0.35</v>
      </c>
      <c r="H177" t="inlineStr">
        <is>
          <t>000000000111116488</t>
        </is>
      </c>
      <c r="I177" t="inlineStr">
        <is>
          <t>TM-O-N-AUT-AW-PE-25.40X2.000X6.1000</t>
        </is>
      </c>
      <c r="J177" t="n">
        <v>3616911</v>
      </c>
      <c r="K177" t="inlineStr">
        <is>
          <t>TUB-O-N-AUT-AW-FC-25.40X2.000X0.3500</t>
        </is>
      </c>
      <c r="L177" t="inlineStr">
        <is>
          <t>TVS</t>
        </is>
      </c>
      <c r="M177" t="inlineStr">
        <is>
          <t>25.4-0-2-ERW 1-FC</t>
        </is>
      </c>
      <c r="N177" t="inlineStr">
        <is>
          <t>25.4-0-2-ERW 1-FC-0.35</t>
        </is>
      </c>
    </row>
    <row r="178" hidden="1" s="584">
      <c r="A178" t="inlineStr">
        <is>
          <t>Scheduled at CTL-1</t>
        </is>
      </c>
      <c r="B178" t="n">
        <v>422</v>
      </c>
      <c r="C178" t="inlineStr">
        <is>
          <t>SANDHAR ENGINEERING PVT LTD.(K</t>
        </is>
      </c>
      <c r="D178" t="n">
        <v>2</v>
      </c>
      <c r="E178" t="n">
        <v>25.4</v>
      </c>
      <c r="F178" t="n">
        <v>0</v>
      </c>
      <c r="G178" t="n">
        <v>0.355</v>
      </c>
      <c r="H178" t="inlineStr">
        <is>
          <t>000000000111001243</t>
        </is>
      </c>
      <c r="I178" t="inlineStr">
        <is>
          <t>TM-O-N-AUT-AW-FC-25.40X2.000X5.8000</t>
        </is>
      </c>
      <c r="J178" t="n">
        <v>1940588</v>
      </c>
      <c r="K178" t="inlineStr">
        <is>
          <t>TUB-O-O-AUT-AW-FC-25.40X2.000X0.3550</t>
        </is>
      </c>
      <c r="L178" t="inlineStr">
        <is>
          <t>TVS</t>
        </is>
      </c>
      <c r="M178" t="inlineStr">
        <is>
          <t>25.4-0-2-ERW 1-FC</t>
        </is>
      </c>
      <c r="N178" t="inlineStr">
        <is>
          <t>25.4-0-2-ERW 1-FC-0.355</t>
        </is>
      </c>
    </row>
    <row r="179" hidden="1" s="584">
      <c r="A179" t="inlineStr">
        <is>
          <t>Scheduled at CTL-1</t>
        </is>
      </c>
      <c r="B179" t="n">
        <v>653</v>
      </c>
      <c r="C179" t="inlineStr">
        <is>
          <t>Rajsriya Automotive Industries</t>
        </is>
      </c>
      <c r="D179" t="n">
        <v>2</v>
      </c>
      <c r="E179" t="n">
        <v>25.4</v>
      </c>
      <c r="F179" t="n">
        <v>0</v>
      </c>
      <c r="G179" t="n">
        <v>0.355</v>
      </c>
      <c r="H179" t="inlineStr">
        <is>
          <t>000000000111001243</t>
        </is>
      </c>
      <c r="I179" t="inlineStr">
        <is>
          <t>TM-O-N-AUT-AW-FC-25.40X2.000X5.8000</t>
        </is>
      </c>
      <c r="J179" t="n">
        <v>1940588</v>
      </c>
      <c r="K179" t="inlineStr">
        <is>
          <t>TUB-O-O-AUT-AW-FC-25.40X2.000X0.3550</t>
        </is>
      </c>
      <c r="L179" t="inlineStr">
        <is>
          <t>TVS</t>
        </is>
      </c>
      <c r="M179" t="inlineStr">
        <is>
          <t>25.4-0-2-ERW 1-FC</t>
        </is>
      </c>
      <c r="N179" t="inlineStr">
        <is>
          <t>25.4-0-2-ERW 1-FC-0.355</t>
        </is>
      </c>
    </row>
    <row r="180" hidden="1" s="584">
      <c r="A180" t="inlineStr">
        <is>
          <t>Scheduled at CTL-1</t>
        </is>
      </c>
      <c r="B180" t="n">
        <v>2596</v>
      </c>
      <c r="C180" t="inlineStr">
        <is>
          <t>ELKAYEM AUTO ANCILLARIES PRIVA</t>
        </is>
      </c>
      <c r="D180" t="n">
        <v>2</v>
      </c>
      <c r="E180" t="n">
        <v>25.4</v>
      </c>
      <c r="F180" t="n">
        <v>0</v>
      </c>
      <c r="G180" t="n">
        <v>0.355</v>
      </c>
      <c r="H180" t="inlineStr">
        <is>
          <t>000000000111001243</t>
        </is>
      </c>
      <c r="I180" t="inlineStr">
        <is>
          <t>TM-O-N-AUT-AW-FC-25.40X2.000X5.8000</t>
        </is>
      </c>
      <c r="J180" t="n">
        <v>1940588</v>
      </c>
      <c r="K180" t="inlineStr">
        <is>
          <t>TUB-O-O-AUT-AW-FC-25.40X2.000X0.3550</t>
        </is>
      </c>
      <c r="L180" t="inlineStr">
        <is>
          <t>TVS</t>
        </is>
      </c>
      <c r="M180" t="inlineStr">
        <is>
          <t>25.4-0-2-ERW 1-FC</t>
        </is>
      </c>
      <c r="N180" t="inlineStr">
        <is>
          <t>25.4-0-2-ERW 1-FC-0.355</t>
        </is>
      </c>
    </row>
    <row r="181" hidden="1" s="584">
      <c r="A181" t="inlineStr">
        <is>
          <t>Scheduled at CTL-1</t>
        </is>
      </c>
      <c r="B181" t="n">
        <v>3208</v>
      </c>
      <c r="C181" t="inlineStr">
        <is>
          <t>SANDHAR ENGINEERING PVT LTD.(K</t>
        </is>
      </c>
      <c r="D181" t="n">
        <v>2</v>
      </c>
      <c r="E181" t="n">
        <v>25.4</v>
      </c>
      <c r="F181" t="n">
        <v>0</v>
      </c>
      <c r="G181" t="n">
        <v>0.355</v>
      </c>
      <c r="H181" t="inlineStr">
        <is>
          <t>000000000111001243</t>
        </is>
      </c>
      <c r="I181" t="inlineStr">
        <is>
          <t>TM-O-N-AUT-AW-FC-25.40X2.000X5.8000</t>
        </is>
      </c>
      <c r="J181" t="n">
        <v>1940588</v>
      </c>
      <c r="K181" t="inlineStr">
        <is>
          <t>TUB-O-O-AUT-AW-FC-25.40X2.000X0.3550</t>
        </is>
      </c>
      <c r="L181" t="inlineStr">
        <is>
          <t>TVS</t>
        </is>
      </c>
      <c r="M181" t="inlineStr">
        <is>
          <t>25.4-0-2-ERW 1-FC</t>
        </is>
      </c>
      <c r="N181" t="inlineStr">
        <is>
          <t>25.4-0-2-ERW 1-FC-0.355</t>
        </is>
      </c>
    </row>
    <row r="182" hidden="1" s="584">
      <c r="A182" t="inlineStr">
        <is>
          <t>Scheduled at CTL-1</t>
        </is>
      </c>
      <c r="B182" t="n">
        <v>1272</v>
      </c>
      <c r="C182" t="inlineStr">
        <is>
          <t>Rajsriya Automotive Industries</t>
        </is>
      </c>
      <c r="D182" t="n">
        <v>2</v>
      </c>
      <c r="E182" t="n">
        <v>25.4</v>
      </c>
      <c r="F182" t="n">
        <v>0</v>
      </c>
      <c r="G182" t="n">
        <v>0.355</v>
      </c>
      <c r="H182" t="inlineStr">
        <is>
          <t>000000000111001243</t>
        </is>
      </c>
      <c r="I182" t="inlineStr">
        <is>
          <t>TM-O-N-AUT-AW-FC-25.40X2.000X5.8000</t>
        </is>
      </c>
      <c r="J182" t="n">
        <v>1940588</v>
      </c>
      <c r="K182" t="inlineStr">
        <is>
          <t>TUB-O-O-AUT-AW-FC-25.40X2.000X0.3550</t>
        </is>
      </c>
      <c r="L182" t="inlineStr">
        <is>
          <t>TVS</t>
        </is>
      </c>
      <c r="M182" t="inlineStr">
        <is>
          <t>25.4-0-2-ERW 1-FC</t>
        </is>
      </c>
      <c r="N182" t="inlineStr">
        <is>
          <t>25.4-0-2-ERW 1-FC-0.355</t>
        </is>
      </c>
    </row>
    <row r="183" hidden="1" s="584">
      <c r="A183" t="inlineStr">
        <is>
          <t>Scheduled at CTL-1</t>
        </is>
      </c>
      <c r="B183" t="n">
        <v>1276</v>
      </c>
      <c r="C183" t="inlineStr">
        <is>
          <t>Rajsriya Automotive Industries</t>
        </is>
      </c>
      <c r="D183" t="n">
        <v>2</v>
      </c>
      <c r="E183" t="n">
        <v>25.4</v>
      </c>
      <c r="F183" t="n">
        <v>0</v>
      </c>
      <c r="G183" t="n">
        <v>0.355</v>
      </c>
      <c r="H183" t="inlineStr">
        <is>
          <t>000000000111001243</t>
        </is>
      </c>
      <c r="I183" t="inlineStr">
        <is>
          <t>TM-O-N-AUT-AW-FC-25.40X2.000X5.8000</t>
        </is>
      </c>
      <c r="J183" t="n">
        <v>1940588</v>
      </c>
      <c r="K183" t="inlineStr">
        <is>
          <t>TUB-O-O-AUT-AW-FC-25.40X2.000X0.3550</t>
        </is>
      </c>
      <c r="L183" t="inlineStr">
        <is>
          <t>TVS</t>
        </is>
      </c>
      <c r="M183" t="inlineStr">
        <is>
          <t>25.4-0-2-ERW 1-FC</t>
        </is>
      </c>
      <c r="N183" t="inlineStr">
        <is>
          <t>25.4-0-2-ERW 1-FC-0.355</t>
        </is>
      </c>
    </row>
    <row r="184" hidden="1" s="584">
      <c r="A184" t="inlineStr">
        <is>
          <t>Scheduled at CTL-1</t>
        </is>
      </c>
      <c r="B184" t="n">
        <v>1158</v>
      </c>
      <c r="C184" t="inlineStr">
        <is>
          <t>Rajsriya Automotive Industries</t>
        </is>
      </c>
      <c r="D184" t="n">
        <v>2</v>
      </c>
      <c r="E184" t="n">
        <v>25.4</v>
      </c>
      <c r="F184" t="n">
        <v>0</v>
      </c>
      <c r="G184" t="n">
        <v>0.355</v>
      </c>
      <c r="H184" t="inlineStr">
        <is>
          <t>000000000111001243</t>
        </is>
      </c>
      <c r="I184" t="inlineStr">
        <is>
          <t>TM-O-N-AUT-AW-FC-25.40X2.000X5.8000</t>
        </is>
      </c>
      <c r="J184" t="n">
        <v>1940588</v>
      </c>
      <c r="K184" t="inlineStr">
        <is>
          <t>TUB-O-O-AUT-AW-FC-25.40X2.000X0.3550</t>
        </is>
      </c>
      <c r="L184" t="inlineStr">
        <is>
          <t>TVS</t>
        </is>
      </c>
      <c r="M184" t="inlineStr">
        <is>
          <t>25.4-0-2-ERW 1-FC</t>
        </is>
      </c>
      <c r="N184" t="inlineStr">
        <is>
          <t>25.4-0-2-ERW 1-FC-0.355</t>
        </is>
      </c>
    </row>
    <row r="185" hidden="1" s="584">
      <c r="A185" t="inlineStr">
        <is>
          <t>Scheduled at CTL-1</t>
        </is>
      </c>
      <c r="B185" t="n">
        <v>712</v>
      </c>
      <c r="C185" t="inlineStr">
        <is>
          <t>Neel Metal Products Limited</t>
        </is>
      </c>
      <c r="D185" t="n">
        <v>2</v>
      </c>
      <c r="E185" t="n">
        <v>25.4</v>
      </c>
      <c r="F185" t="n">
        <v>0</v>
      </c>
      <c r="G185" t="n">
        <v>0.412</v>
      </c>
      <c r="H185" t="inlineStr">
        <is>
          <t>000000000111116361</t>
        </is>
      </c>
      <c r="I185" t="inlineStr">
        <is>
          <t>TM-O-N-AUT-AW-FC-25.40X2.000X5.9200</t>
        </is>
      </c>
      <c r="J185" t="n">
        <v>3863819</v>
      </c>
      <c r="K185" t="inlineStr">
        <is>
          <t>CUT-O-N-AUT-AW-FC-25.40X2.000X0.4120</t>
        </is>
      </c>
      <c r="L185" t="inlineStr">
        <is>
          <t>TVS</t>
        </is>
      </c>
      <c r="M185" t="inlineStr">
        <is>
          <t>25.4-0-2-ERW 1-FC</t>
        </is>
      </c>
      <c r="N185" t="inlineStr">
        <is>
          <t>25.4-0-2-ERW 1-FC-0.412</t>
        </is>
      </c>
    </row>
    <row r="186" hidden="1" s="584">
      <c r="A186" t="inlineStr">
        <is>
          <t>Scheduled at CTL-1</t>
        </is>
      </c>
      <c r="B186" t="n">
        <v>608</v>
      </c>
      <c r="C186" t="inlineStr">
        <is>
          <t>Neel Metal Products Limited</t>
        </is>
      </c>
      <c r="D186" t="n">
        <v>2</v>
      </c>
      <c r="E186" t="n">
        <v>25.4</v>
      </c>
      <c r="F186" t="n">
        <v>0</v>
      </c>
      <c r="G186" t="n">
        <v>0.412</v>
      </c>
      <c r="H186" t="inlineStr">
        <is>
          <t>000000000111116361</t>
        </is>
      </c>
      <c r="I186" t="inlineStr">
        <is>
          <t>TM-O-N-AUT-AW-FC-25.40X2.000X5.9200</t>
        </is>
      </c>
      <c r="J186" t="n">
        <v>3863819</v>
      </c>
      <c r="K186" t="inlineStr">
        <is>
          <t>CUT-O-N-AUT-AW-FC-25.40X2.000X0.4120</t>
        </is>
      </c>
      <c r="L186" t="inlineStr">
        <is>
          <t>TVS</t>
        </is>
      </c>
      <c r="M186" t="inlineStr">
        <is>
          <t>25.4-0-2-ERW 1-FC</t>
        </is>
      </c>
      <c r="N186" t="inlineStr">
        <is>
          <t>25.4-0-2-ERW 1-FC-0.412</t>
        </is>
      </c>
    </row>
    <row r="187" hidden="1" s="584">
      <c r="A187" t="inlineStr">
        <is>
          <t>Scheduled at CTL-1</t>
        </is>
      </c>
      <c r="B187" t="n">
        <v>1346</v>
      </c>
      <c r="C187" t="inlineStr">
        <is>
          <t>Neel Metal Products Limited</t>
        </is>
      </c>
      <c r="D187" t="n">
        <v>2</v>
      </c>
      <c r="E187" t="n">
        <v>25.4</v>
      </c>
      <c r="F187" t="n">
        <v>0</v>
      </c>
      <c r="G187" t="n">
        <v>0.412</v>
      </c>
      <c r="H187" t="inlineStr">
        <is>
          <t>000000000111116361</t>
        </is>
      </c>
      <c r="I187" t="inlineStr">
        <is>
          <t>TM-O-N-AUT-AW-FC-25.40X2.000X5.9200</t>
        </is>
      </c>
      <c r="J187" t="n">
        <v>3863819</v>
      </c>
      <c r="K187" t="inlineStr">
        <is>
          <t>CUT-O-N-AUT-AW-FC-25.40X2.000X0.4120</t>
        </is>
      </c>
      <c r="L187" t="inlineStr">
        <is>
          <t>TVS</t>
        </is>
      </c>
      <c r="M187" t="inlineStr">
        <is>
          <t>25.4-0-2-ERW 1-FC</t>
        </is>
      </c>
      <c r="N187" t="inlineStr">
        <is>
          <t>25.4-0-2-ERW 1-FC-0.412</t>
        </is>
      </c>
    </row>
    <row r="188" hidden="1" s="584">
      <c r="A188" t="inlineStr">
        <is>
          <t>Scheduled at CTL-1</t>
        </is>
      </c>
      <c r="B188" t="n">
        <v>766</v>
      </c>
      <c r="C188" t="inlineStr">
        <is>
          <t>Neel Metal Products Limited</t>
        </is>
      </c>
      <c r="D188" t="n">
        <v>2</v>
      </c>
      <c r="E188" t="n">
        <v>25.4</v>
      </c>
      <c r="F188" t="n">
        <v>0</v>
      </c>
      <c r="G188" t="n">
        <v>0.412</v>
      </c>
      <c r="H188" t="inlineStr">
        <is>
          <t>000000000111116361</t>
        </is>
      </c>
      <c r="I188" t="inlineStr">
        <is>
          <t>TM-O-N-AUT-AW-FC-25.40X2.000X5.9200</t>
        </is>
      </c>
      <c r="J188" t="n">
        <v>3863819</v>
      </c>
      <c r="K188" t="inlineStr">
        <is>
          <t>CUT-O-N-AUT-AW-FC-25.40X2.000X0.4120</t>
        </is>
      </c>
      <c r="L188" t="inlineStr">
        <is>
          <t>TVS</t>
        </is>
      </c>
      <c r="M188" t="inlineStr">
        <is>
          <t>25.4-0-2-ERW 1-FC</t>
        </is>
      </c>
      <c r="N188" t="inlineStr">
        <is>
          <t>25.4-0-2-ERW 1-FC-0.412</t>
        </is>
      </c>
    </row>
    <row r="189" hidden="1" s="584">
      <c r="A189" t="inlineStr">
        <is>
          <t>Scheduled at CTL-1</t>
        </is>
      </c>
      <c r="B189" t="n">
        <v>1360</v>
      </c>
      <c r="C189" t="inlineStr">
        <is>
          <t>Neel Metal Products Limited</t>
        </is>
      </c>
      <c r="D189" t="n">
        <v>2</v>
      </c>
      <c r="E189" t="n">
        <v>25.4</v>
      </c>
      <c r="F189" t="n">
        <v>0</v>
      </c>
      <c r="G189" t="n">
        <v>0.412</v>
      </c>
      <c r="H189" t="inlineStr">
        <is>
          <t>000000000111116361</t>
        </is>
      </c>
      <c r="I189" t="inlineStr">
        <is>
          <t>TM-O-N-AUT-AW-FC-25.40X2.000X5.9200</t>
        </is>
      </c>
      <c r="J189" t="n">
        <v>3863819</v>
      </c>
      <c r="K189" t="inlineStr">
        <is>
          <t>CUT-O-N-AUT-AW-FC-25.40X2.000X0.4120</t>
        </is>
      </c>
      <c r="L189" t="inlineStr">
        <is>
          <t>TVS</t>
        </is>
      </c>
      <c r="M189" t="inlineStr">
        <is>
          <t>25.4-0-2-ERW 1-FC</t>
        </is>
      </c>
      <c r="N189" t="inlineStr">
        <is>
          <t>25.4-0-2-ERW 1-FC-0.412</t>
        </is>
      </c>
    </row>
    <row r="190" hidden="1" s="584">
      <c r="A190" t="inlineStr">
        <is>
          <t>Scheduled at CTL-1</t>
        </is>
      </c>
      <c r="B190" t="n">
        <v>1605</v>
      </c>
      <c r="C190" t="inlineStr">
        <is>
          <t>Sandhar EngineeringPvt.Ltd.(KA</t>
        </is>
      </c>
      <c r="D190" t="n">
        <v>2</v>
      </c>
      <c r="E190" t="n">
        <v>25.4</v>
      </c>
      <c r="F190" t="n">
        <v>0</v>
      </c>
      <c r="G190" t="n">
        <v>0.418</v>
      </c>
      <c r="H190" t="inlineStr">
        <is>
          <t>000000000111120564</t>
        </is>
      </c>
      <c r="I190" t="inlineStr">
        <is>
          <t>TM-O-N-AUT-AW-FC-25.40X2.000X5.9500</t>
        </is>
      </c>
      <c r="J190" t="n">
        <v>3926270</v>
      </c>
      <c r="K190" t="inlineStr">
        <is>
          <t>CUT-O-N-AUT-AW-FC-25.40X2.000X0.4180</t>
        </is>
      </c>
      <c r="L190" t="inlineStr">
        <is>
          <t>TVS</t>
        </is>
      </c>
      <c r="M190" t="inlineStr">
        <is>
          <t>25.4-0-2-ERW 1-FC</t>
        </is>
      </c>
      <c r="N190" t="inlineStr">
        <is>
          <t>25.4-0-2-ERW 1-FC-0.418</t>
        </is>
      </c>
    </row>
    <row r="191" hidden="1" s="584">
      <c r="A191" t="inlineStr">
        <is>
          <t>Scheduled at CTL-1</t>
        </is>
      </c>
      <c r="B191" t="n">
        <v>847</v>
      </c>
      <c r="C191" t="inlineStr">
        <is>
          <t>ELKAYEM AUTO ANCILLARIES (PVT)</t>
        </is>
      </c>
      <c r="D191" t="n">
        <v>2.5</v>
      </c>
      <c r="E191" t="n">
        <v>25.4</v>
      </c>
      <c r="F191" t="n">
        <v>0</v>
      </c>
      <c r="G191" t="n">
        <v>0.273</v>
      </c>
      <c r="H191" t="inlineStr">
        <is>
          <t>000000000111106958</t>
        </is>
      </c>
      <c r="I191" t="inlineStr">
        <is>
          <t>TM-O-N-AUT-AW-PE-25.40X2.500X5.9000</t>
        </is>
      </c>
      <c r="J191" t="n">
        <v>4095196</v>
      </c>
      <c r="K191" t="inlineStr">
        <is>
          <t>CUT-O-N-AUT-AW-FC-25.40X2.500X0.2730</t>
        </is>
      </c>
      <c r="L191" t="inlineStr">
        <is>
          <t>TVS</t>
        </is>
      </c>
      <c r="M191" t="inlineStr">
        <is>
          <t>25.4-0-2.5-ERW 1-FC</t>
        </is>
      </c>
      <c r="N191" t="inlineStr">
        <is>
          <t>25.4-0-2.5-ERW 1-FC-0.273</t>
        </is>
      </c>
    </row>
    <row r="192" hidden="1" s="584">
      <c r="A192" t="inlineStr">
        <is>
          <t>Scheduled at CTL-1</t>
        </is>
      </c>
      <c r="B192" t="n">
        <v>435</v>
      </c>
      <c r="C192" t="inlineStr">
        <is>
          <t>ELKAYEM AUTO ANCILLARIES (PVT)</t>
        </is>
      </c>
      <c r="D192" t="n">
        <v>2.5</v>
      </c>
      <c r="E192" t="n">
        <v>25.4</v>
      </c>
      <c r="F192" t="n">
        <v>0</v>
      </c>
      <c r="G192" t="n">
        <v>0.273</v>
      </c>
      <c r="H192" t="inlineStr">
        <is>
          <t>000000000111106958</t>
        </is>
      </c>
      <c r="I192" t="inlineStr">
        <is>
          <t>TM-O-N-AUT-AW-PE-25.40X2.500X5.9000</t>
        </is>
      </c>
      <c r="J192" t="n">
        <v>4095196</v>
      </c>
      <c r="K192" t="inlineStr">
        <is>
          <t>CUT-O-N-AUT-AW-FC-25.40X2.500X0.2730</t>
        </is>
      </c>
      <c r="L192" t="inlineStr">
        <is>
          <t>TVS</t>
        </is>
      </c>
      <c r="M192" t="inlineStr">
        <is>
          <t>25.4-0-2.5-ERW 1-FC</t>
        </is>
      </c>
      <c r="N192" t="inlineStr">
        <is>
          <t>25.4-0-2.5-ERW 1-FC-0.273</t>
        </is>
      </c>
    </row>
    <row r="193" hidden="1" s="584">
      <c r="A193" t="inlineStr">
        <is>
          <t>Scheduled at CTL-1</t>
        </is>
      </c>
      <c r="B193" t="n">
        <v>204</v>
      </c>
      <c r="C193" t="inlineStr">
        <is>
          <t>Sandhar EngineeringPvt.Ltd.(KA</t>
        </is>
      </c>
      <c r="D193" t="n">
        <v>2.5</v>
      </c>
      <c r="E193" t="n">
        <v>25.4</v>
      </c>
      <c r="F193" t="n">
        <v>0</v>
      </c>
      <c r="G193" t="n">
        <v>0.783</v>
      </c>
      <c r="H193" t="inlineStr">
        <is>
          <t>000000000111002141</t>
        </is>
      </c>
      <c r="I193" t="inlineStr">
        <is>
          <t>TM-O-N-AUT-AW-FC-25.40X2.500X5.5600</t>
        </is>
      </c>
      <c r="J193" t="n">
        <v>3775636</v>
      </c>
      <c r="K193" t="inlineStr">
        <is>
          <t>TUB-O-O-AUT-AW-FC-25.40X2.500X0.7830</t>
        </is>
      </c>
      <c r="L193" t="inlineStr">
        <is>
          <t>TVS</t>
        </is>
      </c>
      <c r="M193" t="inlineStr">
        <is>
          <t>25.4-0-2.5-ERW 1-FC</t>
        </is>
      </c>
      <c r="N193" t="inlineStr">
        <is>
          <t>25.4-0-2.5-ERW 1-FC-0.783</t>
        </is>
      </c>
    </row>
    <row r="194" hidden="1" s="584">
      <c r="A194" t="inlineStr">
        <is>
          <t>Scheduled at CTL-1</t>
        </is>
      </c>
      <c r="B194" t="n">
        <v>1100</v>
      </c>
      <c r="C194" t="inlineStr">
        <is>
          <t>Sandhar EngineeringPvt.Ltd.(KA</t>
        </is>
      </c>
      <c r="D194" t="n">
        <v>2.5</v>
      </c>
      <c r="E194" t="n">
        <v>25.4</v>
      </c>
      <c r="F194" t="n">
        <v>0</v>
      </c>
      <c r="G194" t="n">
        <v>0.783</v>
      </c>
      <c r="H194" t="inlineStr">
        <is>
          <t>000000000111002141</t>
        </is>
      </c>
      <c r="I194" t="inlineStr">
        <is>
          <t>TM-O-N-AUT-AW-FC-25.40X2.500X5.5600</t>
        </is>
      </c>
      <c r="J194" t="n">
        <v>3775636</v>
      </c>
      <c r="K194" t="inlineStr">
        <is>
          <t>TUB-O-O-AUT-AW-FC-25.40X2.500X0.7830</t>
        </is>
      </c>
      <c r="L194" t="inlineStr">
        <is>
          <t>TVS</t>
        </is>
      </c>
      <c r="M194" t="inlineStr">
        <is>
          <t>25.4-0-2.5-ERW 1-FC</t>
        </is>
      </c>
      <c r="N194" t="inlineStr">
        <is>
          <t>25.4-0-2.5-ERW 1-FC-0.783</t>
        </is>
      </c>
    </row>
    <row r="195" hidden="1" s="584">
      <c r="A195" t="inlineStr">
        <is>
          <t>Scheduled at CTL-1</t>
        </is>
      </c>
      <c r="B195" t="n">
        <v>700</v>
      </c>
      <c r="C195" t="inlineStr">
        <is>
          <t>Sandhar EngineeringPvt.Ltd.(KA</t>
        </is>
      </c>
      <c r="D195" t="n">
        <v>2.5</v>
      </c>
      <c r="E195" t="n">
        <v>25.4</v>
      </c>
      <c r="F195" t="n">
        <v>0</v>
      </c>
      <c r="G195" t="n">
        <v>0.783</v>
      </c>
      <c r="H195" t="inlineStr">
        <is>
          <t>000000000111002141</t>
        </is>
      </c>
      <c r="I195" t="inlineStr">
        <is>
          <t>TM-O-N-AUT-AW-FC-25.40X2.500X5.5600</t>
        </is>
      </c>
      <c r="J195" t="n">
        <v>3775636</v>
      </c>
      <c r="K195" t="inlineStr">
        <is>
          <t>TUB-O-O-AUT-AW-FC-25.40X2.500X0.7830</t>
        </is>
      </c>
      <c r="L195" t="inlineStr">
        <is>
          <t>TVS</t>
        </is>
      </c>
      <c r="M195" t="inlineStr">
        <is>
          <t>25.4-0-2.5-ERW 1-FC</t>
        </is>
      </c>
      <c r="N195" t="inlineStr">
        <is>
          <t>25.4-0-2.5-ERW 1-FC-0.783</t>
        </is>
      </c>
    </row>
    <row r="196" hidden="1" s="584">
      <c r="A196" t="inlineStr">
        <is>
          <t>Scheduled at CTL-1</t>
        </is>
      </c>
      <c r="B196" t="n">
        <v>2340</v>
      </c>
      <c r="C196" t="inlineStr">
        <is>
          <t>Sandhar EngineeringPvt.Ltd.(KA</t>
        </is>
      </c>
      <c r="D196" t="n">
        <v>2.5</v>
      </c>
      <c r="E196" t="n">
        <v>25.4</v>
      </c>
      <c r="F196" t="n">
        <v>0</v>
      </c>
      <c r="G196" t="n">
        <v>0.783</v>
      </c>
      <c r="H196" t="inlineStr">
        <is>
          <t>000000000111002141</t>
        </is>
      </c>
      <c r="I196" t="inlineStr">
        <is>
          <t>TM-O-N-AUT-AW-FC-25.40X2.500X5.5600</t>
        </is>
      </c>
      <c r="J196" t="n">
        <v>3775636</v>
      </c>
      <c r="K196" t="inlineStr">
        <is>
          <t>TUB-O-O-AUT-AW-FC-25.40X2.500X0.7830</t>
        </is>
      </c>
      <c r="L196" t="inlineStr">
        <is>
          <t>TVS</t>
        </is>
      </c>
      <c r="M196" t="inlineStr">
        <is>
          <t>25.4-0-2.5-ERW 1-FC</t>
        </is>
      </c>
      <c r="N196" t="inlineStr">
        <is>
          <t>25.4-0-2.5-ERW 1-FC-0.783</t>
        </is>
      </c>
    </row>
    <row r="197" hidden="1" s="584">
      <c r="A197" t="inlineStr">
        <is>
          <t>Scheduled at CTL-1</t>
        </is>
      </c>
      <c r="B197" t="n">
        <v>2591</v>
      </c>
      <c r="C197" t="inlineStr">
        <is>
          <t>Sandhar EngineeringPvt.Ltd.(KA</t>
        </is>
      </c>
      <c r="D197" t="n">
        <v>2.5</v>
      </c>
      <c r="E197" t="n">
        <v>25.4</v>
      </c>
      <c r="F197" t="n">
        <v>0</v>
      </c>
      <c r="G197" t="n">
        <v>0.783</v>
      </c>
      <c r="H197" t="inlineStr">
        <is>
          <t>000000000111002141</t>
        </is>
      </c>
      <c r="I197" t="inlineStr">
        <is>
          <t>TM-O-N-AUT-AW-FC-25.40X2.500X5.5600</t>
        </is>
      </c>
      <c r="J197" t="n">
        <v>3775636</v>
      </c>
      <c r="K197" t="inlineStr">
        <is>
          <t>TUB-O-O-AUT-AW-FC-25.40X2.500X0.7830</t>
        </is>
      </c>
      <c r="L197" t="inlineStr">
        <is>
          <t>TVS</t>
        </is>
      </c>
      <c r="M197" t="inlineStr">
        <is>
          <t>25.4-0-2.5-ERW 1-FC</t>
        </is>
      </c>
      <c r="N197" t="inlineStr">
        <is>
          <t>25.4-0-2.5-ERW 1-FC-0.783</t>
        </is>
      </c>
    </row>
    <row r="198" hidden="1" s="584">
      <c r="A198" t="inlineStr">
        <is>
          <t>Scheduled at CTL-1</t>
        </is>
      </c>
      <c r="B198" t="n">
        <v>2546</v>
      </c>
      <c r="C198" t="inlineStr">
        <is>
          <t>Sandhar EngineeringPvt.Ltd.(KA</t>
        </is>
      </c>
      <c r="D198" t="n">
        <v>2.5</v>
      </c>
      <c r="E198" t="n">
        <v>25.4</v>
      </c>
      <c r="F198" t="n">
        <v>0</v>
      </c>
      <c r="G198" t="n">
        <v>0.783</v>
      </c>
      <c r="H198" t="inlineStr">
        <is>
          <t>000000000111002141</t>
        </is>
      </c>
      <c r="I198" t="inlineStr">
        <is>
          <t>TM-O-N-AUT-AW-FC-25.40X2.500X5.5600</t>
        </is>
      </c>
      <c r="J198" t="n">
        <v>3775636</v>
      </c>
      <c r="K198" t="inlineStr">
        <is>
          <t>TUB-O-O-AUT-AW-FC-25.40X2.500X0.7830</t>
        </is>
      </c>
      <c r="L198" t="inlineStr">
        <is>
          <t>TVS</t>
        </is>
      </c>
      <c r="M198" t="inlineStr">
        <is>
          <t>25.4-0-2.5-ERW 1-FC</t>
        </is>
      </c>
      <c r="N198" t="inlineStr">
        <is>
          <t>25.4-0-2.5-ERW 1-FC-0.783</t>
        </is>
      </c>
    </row>
    <row r="199" hidden="1" s="584">
      <c r="A199" t="inlineStr">
        <is>
          <t>Scheduled at CTL-1</t>
        </is>
      </c>
      <c r="B199" t="n">
        <v>565</v>
      </c>
      <c r="C199" t="inlineStr">
        <is>
          <t>Sandhar EngineeringPvt.Ltd.(KA</t>
        </is>
      </c>
      <c r="D199" t="n">
        <v>2.5</v>
      </c>
      <c r="E199" t="n">
        <v>25.4</v>
      </c>
      <c r="F199" t="n">
        <v>0</v>
      </c>
      <c r="G199" t="n">
        <v>0.783</v>
      </c>
      <c r="H199" t="inlineStr">
        <is>
          <t>000000000111002141</t>
        </is>
      </c>
      <c r="I199" t="inlineStr">
        <is>
          <t>TM-O-N-AUT-AW-FC-25.40X2.500X5.5600</t>
        </is>
      </c>
      <c r="J199" t="n">
        <v>3775636</v>
      </c>
      <c r="K199" t="inlineStr">
        <is>
          <t>TUB-O-O-AUT-AW-FC-25.40X2.500X0.7830</t>
        </is>
      </c>
      <c r="L199" t="inlineStr">
        <is>
          <t>TVS</t>
        </is>
      </c>
      <c r="M199" t="inlineStr">
        <is>
          <t>25.4-0-2.5-ERW 1-FC</t>
        </is>
      </c>
      <c r="N199" t="inlineStr">
        <is>
          <t>25.4-0-2.5-ERW 1-FC-0.783</t>
        </is>
      </c>
    </row>
    <row r="200" hidden="1" s="584">
      <c r="A200" t="inlineStr">
        <is>
          <t>Scheduled at CTL-1</t>
        </is>
      </c>
      <c r="B200" t="n">
        <v>583</v>
      </c>
      <c r="C200" t="inlineStr">
        <is>
          <t>Rajsriya Automotive Industries</t>
        </is>
      </c>
      <c r="D200" t="n">
        <v>2.6</v>
      </c>
      <c r="E200" t="n">
        <v>25.4</v>
      </c>
      <c r="F200" t="n">
        <v>0</v>
      </c>
      <c r="G200" t="n">
        <v>0.36</v>
      </c>
      <c r="H200" t="inlineStr">
        <is>
          <t>000000000111106958</t>
        </is>
      </c>
      <c r="I200" t="inlineStr">
        <is>
          <t>TM-O-N-AUT-AW-PE-25.40X2.500X5.9000</t>
        </is>
      </c>
      <c r="J200" t="n">
        <v>1940603</v>
      </c>
      <c r="K200" t="inlineStr">
        <is>
          <t>TUB-O-O-AUT-AW-FC-25.40X2.600X0.3600</t>
        </is>
      </c>
      <c r="L200" t="inlineStr">
        <is>
          <t>TVS</t>
        </is>
      </c>
      <c r="M200" t="inlineStr">
        <is>
          <t>25.4-0-2.5-ERW 1-FC</t>
        </is>
      </c>
      <c r="N200" t="inlineStr">
        <is>
          <t>25.4-0-2.5-ERW 1-FC-0.36</t>
        </is>
      </c>
    </row>
    <row r="201" hidden="1" s="584">
      <c r="A201" t="inlineStr">
        <is>
          <t>Scheduled at CTL-1</t>
        </is>
      </c>
      <c r="B201" t="n">
        <v>650</v>
      </c>
      <c r="C201" t="inlineStr">
        <is>
          <t>SANDHAR ENGINEERING PVT LTD.(K</t>
        </is>
      </c>
      <c r="D201" t="n">
        <v>1.2</v>
      </c>
      <c r="E201" t="n">
        <v>28.58</v>
      </c>
      <c r="F201" t="n">
        <v>0</v>
      </c>
      <c r="G201" t="n">
        <v>0.595</v>
      </c>
      <c r="H201" t="inlineStr">
        <is>
          <t>000000000110102749</t>
        </is>
      </c>
      <c r="I201" t="inlineStr">
        <is>
          <t>TM-O-O-AUT-AW-PE-28.58X1.200X6.0550</t>
        </is>
      </c>
      <c r="J201" t="n">
        <v>1940614</v>
      </c>
      <c r="K201" t="inlineStr">
        <is>
          <t>TUB-O-O-AUT-AW-PE-28.58X1.200X0.5950</t>
        </is>
      </c>
      <c r="L201" t="inlineStr">
        <is>
          <t>TVS</t>
        </is>
      </c>
      <c r="M201" t="inlineStr">
        <is>
          <t>28.58-0-1.2-ERW 1-PE</t>
        </is>
      </c>
      <c r="N201" t="inlineStr">
        <is>
          <t>28.58-0-1.2-ERW 1-PE-0.595</t>
        </is>
      </c>
    </row>
    <row r="202" hidden="1" s="584">
      <c r="A202" t="inlineStr">
        <is>
          <t>Scheduled at CTL-1</t>
        </is>
      </c>
      <c r="B202" t="n">
        <v>2300</v>
      </c>
      <c r="C202" t="inlineStr">
        <is>
          <t>SANDHAR ENGINEERING PVT LTD.(K</t>
        </is>
      </c>
      <c r="D202" t="n">
        <v>1.2</v>
      </c>
      <c r="E202" t="n">
        <v>28.58</v>
      </c>
      <c r="F202" t="n">
        <v>0</v>
      </c>
      <c r="G202" t="n">
        <v>0.595</v>
      </c>
      <c r="H202" t="inlineStr">
        <is>
          <t>000000000110102749</t>
        </is>
      </c>
      <c r="I202" t="inlineStr">
        <is>
          <t>TM-O-O-AUT-AW-PE-28.58X1.200X6.0550</t>
        </is>
      </c>
      <c r="J202" t="n">
        <v>1940614</v>
      </c>
      <c r="K202" t="inlineStr">
        <is>
          <t>TUB-O-O-AUT-AW-PE-28.58X1.200X0.5950</t>
        </is>
      </c>
      <c r="L202" t="inlineStr">
        <is>
          <t>TVS</t>
        </is>
      </c>
      <c r="M202" t="inlineStr">
        <is>
          <t>28.58-0-1.2-ERW 1-PE</t>
        </is>
      </c>
      <c r="N202" t="inlineStr">
        <is>
          <t>28.58-0-1.2-ERW 1-PE-0.595</t>
        </is>
      </c>
    </row>
    <row r="203" hidden="1" s="584">
      <c r="A203" t="inlineStr">
        <is>
          <t>Scheduled at CTL-1</t>
        </is>
      </c>
      <c r="B203" t="n">
        <v>2320</v>
      </c>
      <c r="C203" t="inlineStr">
        <is>
          <t>SANDHAR ENGINEERING PVT LTD.(K</t>
        </is>
      </c>
      <c r="D203" t="n">
        <v>1.2</v>
      </c>
      <c r="E203" t="n">
        <v>28.58</v>
      </c>
      <c r="F203" t="n">
        <v>0</v>
      </c>
      <c r="G203" t="n">
        <v>0.595</v>
      </c>
      <c r="H203" t="inlineStr">
        <is>
          <t>000000000110102749</t>
        </is>
      </c>
      <c r="I203" t="inlineStr">
        <is>
          <t>TM-O-O-AUT-AW-PE-28.58X1.200X6.0550</t>
        </is>
      </c>
      <c r="J203" t="n">
        <v>1940614</v>
      </c>
      <c r="K203" t="inlineStr">
        <is>
          <t>TUB-O-O-AUT-AW-PE-28.58X1.200X0.5950</t>
        </is>
      </c>
      <c r="L203" t="inlineStr">
        <is>
          <t>TVS</t>
        </is>
      </c>
      <c r="M203" t="inlineStr">
        <is>
          <t>28.58-0-1.2-ERW 1-PE</t>
        </is>
      </c>
      <c r="N203" t="inlineStr">
        <is>
          <t>28.58-0-1.2-ERW 1-PE-0.595</t>
        </is>
      </c>
    </row>
    <row r="204" hidden="1" s="584">
      <c r="A204" t="inlineStr">
        <is>
          <t>Scheduled at CTL-1</t>
        </is>
      </c>
      <c r="B204" t="n">
        <v>618</v>
      </c>
      <c r="C204" t="inlineStr">
        <is>
          <t>Neel Metal Products Limited</t>
        </is>
      </c>
      <c r="D204" t="n">
        <v>1.2</v>
      </c>
      <c r="E204" t="n">
        <v>28.58</v>
      </c>
      <c r="F204" t="n">
        <v>0</v>
      </c>
      <c r="G204" t="n">
        <v>0.61</v>
      </c>
      <c r="H204" t="inlineStr">
        <is>
          <t>000000000111002097</t>
        </is>
      </c>
      <c r="I204" t="inlineStr">
        <is>
          <t>TM-O-N-AUT-AW-PE-28.58X1.200X6.2000</t>
        </is>
      </c>
      <c r="J204" t="n">
        <v>2331952</v>
      </c>
      <c r="K204" t="inlineStr">
        <is>
          <t>TUB-O-N-AUT-AW-PE-28.58X1.200X0.6100</t>
        </is>
      </c>
      <c r="L204" t="inlineStr">
        <is>
          <t>TVS</t>
        </is>
      </c>
      <c r="M204" t="inlineStr">
        <is>
          <t>28.58-0-1.2-ERW 1-PE</t>
        </is>
      </c>
      <c r="N204" t="inlineStr">
        <is>
          <t>28.58-0-1.2-ERW 1-PE-0.61</t>
        </is>
      </c>
    </row>
    <row r="205" hidden="1" s="584">
      <c r="A205" t="inlineStr">
        <is>
          <t>Scheduled at CTL-1</t>
        </is>
      </c>
      <c r="B205" t="n">
        <v>291</v>
      </c>
      <c r="C205" t="inlineStr">
        <is>
          <t>ELKAYEM AUTO ANCILLARIES PRIVA</t>
        </is>
      </c>
      <c r="D205" t="n">
        <v>1.6</v>
      </c>
      <c r="E205" t="n">
        <v>28.58</v>
      </c>
      <c r="F205" t="n">
        <v>0</v>
      </c>
      <c r="G205" t="n">
        <v>0.215</v>
      </c>
      <c r="H205" t="inlineStr">
        <is>
          <t>000000000111118633</t>
        </is>
      </c>
      <c r="I205" t="inlineStr">
        <is>
          <t>TM-O-N-AUT-AW-FC-28.58X1.600X5.9500</t>
        </is>
      </c>
      <c r="J205" t="n">
        <v>3727212</v>
      </c>
      <c r="K205" t="inlineStr">
        <is>
          <t>TUB-O-N-AUT-AW-FC-28.58X1.600X0.2150</t>
        </is>
      </c>
      <c r="L205" t="inlineStr">
        <is>
          <t>TVS</t>
        </is>
      </c>
      <c r="M205" t="inlineStr">
        <is>
          <t>28.58-0-1.6-ERW 1-FC</t>
        </is>
      </c>
      <c r="N205" t="inlineStr">
        <is>
          <t>28.58-0-1.6-ERW 1-FC-0.215</t>
        </is>
      </c>
    </row>
    <row r="206" hidden="1" s="584">
      <c r="A206" t="inlineStr">
        <is>
          <t>Scheduled at CTL-1</t>
        </is>
      </c>
      <c r="B206" t="n">
        <v>1666</v>
      </c>
      <c r="C206" t="inlineStr">
        <is>
          <t>ELKAYEM AUTO ANCILLARIES PRIVA</t>
        </is>
      </c>
      <c r="D206" t="n">
        <v>1.6</v>
      </c>
      <c r="E206" t="n">
        <v>28.58</v>
      </c>
      <c r="F206" t="n">
        <v>0</v>
      </c>
      <c r="G206" t="n">
        <v>0.215</v>
      </c>
      <c r="H206" t="inlineStr">
        <is>
          <t>000000000111118633</t>
        </is>
      </c>
      <c r="I206" t="inlineStr">
        <is>
          <t>TM-O-N-AUT-AW-FC-28.58X1.600X5.9500</t>
        </is>
      </c>
      <c r="J206" t="n">
        <v>3727212</v>
      </c>
      <c r="K206" t="inlineStr">
        <is>
          <t>TUB-O-N-AUT-AW-FC-28.58X1.600X0.2150</t>
        </is>
      </c>
      <c r="L206" t="inlineStr">
        <is>
          <t>TVS</t>
        </is>
      </c>
      <c r="M206" t="inlineStr">
        <is>
          <t>28.58-0-1.6-ERW 1-FC</t>
        </is>
      </c>
      <c r="N206" t="inlineStr">
        <is>
          <t>28.58-0-1.6-ERW 1-FC-0.215</t>
        </is>
      </c>
    </row>
    <row r="207" hidden="1" s="584">
      <c r="A207" t="inlineStr">
        <is>
          <t>Scheduled at CTL-1</t>
        </is>
      </c>
      <c r="B207" t="n">
        <v>1790</v>
      </c>
      <c r="C207" t="inlineStr">
        <is>
          <t>ELKAYEM AUTO ANCILLARIES PRIVA</t>
        </is>
      </c>
      <c r="D207" t="n">
        <v>1.6</v>
      </c>
      <c r="E207" t="n">
        <v>28.58</v>
      </c>
      <c r="F207" t="n">
        <v>0</v>
      </c>
      <c r="G207" t="n">
        <v>0.215</v>
      </c>
      <c r="H207" t="inlineStr">
        <is>
          <t>000000000111118633</t>
        </is>
      </c>
      <c r="I207" t="inlineStr">
        <is>
          <t>TM-O-N-AUT-AW-FC-28.58X1.600X5.9500</t>
        </is>
      </c>
      <c r="J207" t="n">
        <v>3727212</v>
      </c>
      <c r="K207" t="inlineStr">
        <is>
          <t>TUB-O-N-AUT-AW-FC-28.58X1.600X0.2150</t>
        </is>
      </c>
      <c r="L207" t="inlineStr">
        <is>
          <t>TVS</t>
        </is>
      </c>
      <c r="M207" t="inlineStr">
        <is>
          <t>28.58-0-1.6-ERW 1-FC</t>
        </is>
      </c>
      <c r="N207" t="inlineStr">
        <is>
          <t>28.58-0-1.6-ERW 1-FC-0.215</t>
        </is>
      </c>
    </row>
    <row r="208" hidden="1" s="584">
      <c r="A208" t="inlineStr">
        <is>
          <t>Scheduled at CTL-1</t>
        </is>
      </c>
      <c r="B208" t="n">
        <v>1451</v>
      </c>
      <c r="C208" t="inlineStr">
        <is>
          <t>ELKAYEM AUTO ANCILLARIES PRIVA</t>
        </is>
      </c>
      <c r="D208" t="n">
        <v>1.6</v>
      </c>
      <c r="E208" t="n">
        <v>28.58</v>
      </c>
      <c r="F208" t="n">
        <v>0</v>
      </c>
      <c r="G208" t="n">
        <v>0.414</v>
      </c>
      <c r="H208" t="inlineStr">
        <is>
          <t>000000000111107137</t>
        </is>
      </c>
      <c r="I208" t="inlineStr">
        <is>
          <t>TM-O-N-AUT-AW-FC-28.58X1.600X5.9000</t>
        </is>
      </c>
      <c r="J208" t="n">
        <v>3598957</v>
      </c>
      <c r="K208" t="inlineStr">
        <is>
          <t>TUB-O-N-AUT-AW-FC-28.58X1.600X0.4140</t>
        </is>
      </c>
      <c r="L208" t="inlineStr">
        <is>
          <t>TVS</t>
        </is>
      </c>
      <c r="M208" t="inlineStr">
        <is>
          <t>28.58-0-1.6-ERW 1-FC</t>
        </is>
      </c>
      <c r="N208" t="inlineStr">
        <is>
          <t>28.58-0-1.6-ERW 1-FC-0.414</t>
        </is>
      </c>
    </row>
    <row r="209" hidden="1" s="584">
      <c r="A209" t="inlineStr">
        <is>
          <t>Scheduled at CTL-1</t>
        </is>
      </c>
      <c r="B209" t="n">
        <v>1558</v>
      </c>
      <c r="C209" t="inlineStr">
        <is>
          <t>ELKAYEM AUTO ANCILLARIES PRIVA</t>
        </is>
      </c>
      <c r="D209" t="n">
        <v>1.6</v>
      </c>
      <c r="E209" t="n">
        <v>28.58</v>
      </c>
      <c r="F209" t="n">
        <v>0</v>
      </c>
      <c r="G209" t="n">
        <v>0.414</v>
      </c>
      <c r="H209" t="inlineStr">
        <is>
          <t>000000000111107137</t>
        </is>
      </c>
      <c r="I209" t="inlineStr">
        <is>
          <t>TM-O-N-AUT-AW-FC-28.58X1.600X5.9000</t>
        </is>
      </c>
      <c r="J209" t="n">
        <v>3598957</v>
      </c>
      <c r="K209" t="inlineStr">
        <is>
          <t>TUB-O-N-AUT-AW-FC-28.58X1.600X0.4140</t>
        </is>
      </c>
      <c r="L209" t="inlineStr">
        <is>
          <t>TVS</t>
        </is>
      </c>
      <c r="M209" t="inlineStr">
        <is>
          <t>28.58-0-1.6-ERW 1-FC</t>
        </is>
      </c>
      <c r="N209" t="inlineStr">
        <is>
          <t>28.58-0-1.6-ERW 1-FC-0.414</t>
        </is>
      </c>
    </row>
    <row r="210" hidden="1" s="584">
      <c r="A210" t="inlineStr">
        <is>
          <t>Scheduled at CTL-1</t>
        </is>
      </c>
      <c r="B210" t="n">
        <v>1774</v>
      </c>
      <c r="C210" t="inlineStr">
        <is>
          <t>ELKAYEM AUTO ANCILLARIES PRIVA</t>
        </is>
      </c>
      <c r="D210" t="n">
        <v>1.6</v>
      </c>
      <c r="E210" t="n">
        <v>28.58</v>
      </c>
      <c r="F210" t="n">
        <v>0</v>
      </c>
      <c r="G210" t="n">
        <v>0.414</v>
      </c>
      <c r="H210" t="inlineStr">
        <is>
          <t>000000000111107137</t>
        </is>
      </c>
      <c r="I210" t="inlineStr">
        <is>
          <t>TM-O-N-AUT-AW-FC-28.58X1.600X5.9000</t>
        </is>
      </c>
      <c r="J210" t="n">
        <v>3598957</v>
      </c>
      <c r="K210" t="inlineStr">
        <is>
          <t>TUB-O-N-AUT-AW-FC-28.58X1.600X0.4140</t>
        </is>
      </c>
      <c r="L210" t="inlineStr">
        <is>
          <t>TVS</t>
        </is>
      </c>
      <c r="M210" t="inlineStr">
        <is>
          <t>28.58-0-1.6-ERW 1-FC</t>
        </is>
      </c>
      <c r="N210" t="inlineStr">
        <is>
          <t>28.58-0-1.6-ERW 1-FC-0.414</t>
        </is>
      </c>
    </row>
    <row r="211" hidden="1" s="584">
      <c r="A211" t="inlineStr">
        <is>
          <t>Scheduled at CTL-1</t>
        </is>
      </c>
      <c r="B211" t="n">
        <v>1766</v>
      </c>
      <c r="C211" t="inlineStr">
        <is>
          <t>ELKAYEM AUTO ANCILLARIES PRIVA</t>
        </is>
      </c>
      <c r="D211" t="n">
        <v>1.6</v>
      </c>
      <c r="E211" t="n">
        <v>28.58</v>
      </c>
      <c r="F211" t="n">
        <v>0</v>
      </c>
      <c r="G211" t="n">
        <v>0.414</v>
      </c>
      <c r="H211" t="inlineStr">
        <is>
          <t>000000000111107137</t>
        </is>
      </c>
      <c r="I211" t="inlineStr">
        <is>
          <t>TM-O-N-AUT-AW-FC-28.58X1.600X5.9000</t>
        </is>
      </c>
      <c r="J211" t="n">
        <v>3598957</v>
      </c>
      <c r="K211" t="inlineStr">
        <is>
          <t>TUB-O-N-AUT-AW-FC-28.58X1.600X0.4140</t>
        </is>
      </c>
      <c r="L211" t="inlineStr">
        <is>
          <t>TVS</t>
        </is>
      </c>
      <c r="M211" t="inlineStr">
        <is>
          <t>28.58-0-1.6-ERW 1-FC</t>
        </is>
      </c>
      <c r="N211" t="inlineStr">
        <is>
          <t>28.58-0-1.6-ERW 1-FC-0.414</t>
        </is>
      </c>
    </row>
    <row r="212" hidden="1" s="584">
      <c r="A212" t="inlineStr">
        <is>
          <t>Scheduled at CTL-1</t>
        </is>
      </c>
      <c r="B212" t="n">
        <v>1694</v>
      </c>
      <c r="C212" t="inlineStr">
        <is>
          <t>ELKAYEM AUTO ANCILLARIES PRIVA</t>
        </is>
      </c>
      <c r="D212" t="n">
        <v>1.6</v>
      </c>
      <c r="E212" t="n">
        <v>28.58</v>
      </c>
      <c r="F212" t="n">
        <v>0</v>
      </c>
      <c r="G212" t="n">
        <v>0.414</v>
      </c>
      <c r="H212" t="inlineStr">
        <is>
          <t>000000000111107137</t>
        </is>
      </c>
      <c r="I212" t="inlineStr">
        <is>
          <t>TM-O-N-AUT-AW-FC-28.58X1.600X5.9000</t>
        </is>
      </c>
      <c r="J212" t="n">
        <v>3598957</v>
      </c>
      <c r="K212" t="inlineStr">
        <is>
          <t>TUB-O-N-AUT-AW-FC-28.58X1.600X0.4140</t>
        </is>
      </c>
      <c r="L212" t="inlineStr">
        <is>
          <t>TVS</t>
        </is>
      </c>
      <c r="M212" t="inlineStr">
        <is>
          <t>28.58-0-1.6-ERW 1-FC</t>
        </is>
      </c>
      <c r="N212" t="inlineStr">
        <is>
          <t>28.58-0-1.6-ERW 1-FC-0.414</t>
        </is>
      </c>
    </row>
    <row r="213" hidden="1" s="584">
      <c r="A213" t="inlineStr">
        <is>
          <t>Scheduled at CTL-1</t>
        </is>
      </c>
      <c r="B213" t="n">
        <v>2920</v>
      </c>
      <c r="C213" t="inlineStr">
        <is>
          <t>ELKAYEM AUTO ANCILLARIES (PVT)</t>
        </is>
      </c>
      <c r="D213" t="n">
        <v>2</v>
      </c>
      <c r="E213" t="n">
        <v>28.58</v>
      </c>
      <c r="F213" t="n">
        <v>0</v>
      </c>
      <c r="G213" t="n">
        <v>0.475</v>
      </c>
      <c r="H213" t="inlineStr">
        <is>
          <t>000000000110102758</t>
        </is>
      </c>
      <c r="I213" t="inlineStr">
        <is>
          <t>TM-O-O-AUT-AW-FC-28.58X2.000X5.8100</t>
        </is>
      </c>
      <c r="J213" t="n">
        <v>1940626</v>
      </c>
      <c r="K213" t="inlineStr">
        <is>
          <t>TUB-O-O-AUT-AW-FC-28.58X2.000X0.4750</t>
        </is>
      </c>
      <c r="L213" t="inlineStr">
        <is>
          <t>TVS</t>
        </is>
      </c>
      <c r="M213" t="inlineStr">
        <is>
          <t>28.58-0-2-ERW 1-FC</t>
        </is>
      </c>
      <c r="N213" t="inlineStr">
        <is>
          <t>28.58-0-2-ERW 1-FC-0.475</t>
        </is>
      </c>
    </row>
    <row r="214" hidden="1" s="584">
      <c r="A214" t="inlineStr">
        <is>
          <t>Scheduled at CTL-1</t>
        </is>
      </c>
      <c r="B214" t="n">
        <v>2890</v>
      </c>
      <c r="C214" t="inlineStr">
        <is>
          <t>ELKAYEM AUTO ANCILLARIES (PVT)</t>
        </is>
      </c>
      <c r="D214" t="n">
        <v>2</v>
      </c>
      <c r="E214" t="n">
        <v>28.58</v>
      </c>
      <c r="F214" t="n">
        <v>0</v>
      </c>
      <c r="G214" t="n">
        <v>0.475</v>
      </c>
      <c r="H214" t="inlineStr">
        <is>
          <t>000000000110102758</t>
        </is>
      </c>
      <c r="I214" t="inlineStr">
        <is>
          <t>TM-O-O-AUT-AW-FC-28.58X2.000X5.8100</t>
        </is>
      </c>
      <c r="J214" t="n">
        <v>1940626</v>
      </c>
      <c r="K214" t="inlineStr">
        <is>
          <t>TUB-O-O-AUT-AW-FC-28.58X2.000X0.4750</t>
        </is>
      </c>
      <c r="L214" t="inlineStr">
        <is>
          <t>TVS</t>
        </is>
      </c>
      <c r="M214" t="inlineStr">
        <is>
          <t>28.58-0-2-ERW 1-FC</t>
        </is>
      </c>
      <c r="N214" t="inlineStr">
        <is>
          <t>28.58-0-2-ERW 1-FC-0.475</t>
        </is>
      </c>
    </row>
    <row r="215" hidden="1" s="584">
      <c r="A215" t="inlineStr">
        <is>
          <t>Scheduled at CTL-1</t>
        </is>
      </c>
      <c r="B215" t="n">
        <v>715</v>
      </c>
      <c r="C215" t="inlineStr">
        <is>
          <t>ELKAYEM AUTO ANCILLARIES (PVT)</t>
        </is>
      </c>
      <c r="D215" t="n">
        <v>2</v>
      </c>
      <c r="E215" t="n">
        <v>28.58</v>
      </c>
      <c r="F215" t="n">
        <v>0</v>
      </c>
      <c r="G215" t="n">
        <v>0.475</v>
      </c>
      <c r="H215" t="inlineStr">
        <is>
          <t>000000000110102758</t>
        </is>
      </c>
      <c r="I215" t="inlineStr">
        <is>
          <t>TM-O-O-AUT-AW-FC-28.58X2.000X5.8100</t>
        </is>
      </c>
      <c r="J215" t="n">
        <v>1940626</v>
      </c>
      <c r="K215" t="inlineStr">
        <is>
          <t>TUB-O-O-AUT-AW-FC-28.58X2.000X0.4750</t>
        </is>
      </c>
      <c r="L215" t="inlineStr">
        <is>
          <t>TVS</t>
        </is>
      </c>
      <c r="M215" t="inlineStr">
        <is>
          <t>28.58-0-2-ERW 1-FC</t>
        </is>
      </c>
      <c r="N215" t="inlineStr">
        <is>
          <t>28.58-0-2-ERW 1-FC-0.475</t>
        </is>
      </c>
    </row>
    <row r="216" hidden="1" s="584">
      <c r="A216" t="inlineStr">
        <is>
          <t>Scheduled at CTL-1</t>
        </is>
      </c>
      <c r="B216" t="n">
        <v>1345</v>
      </c>
      <c r="C216" t="inlineStr">
        <is>
          <t>ELKAYEM AUTO ANCILLARIES (PVT)</t>
        </is>
      </c>
      <c r="D216" t="n">
        <v>2</v>
      </c>
      <c r="E216" t="n">
        <v>28.58</v>
      </c>
      <c r="F216" t="n">
        <v>0</v>
      </c>
      <c r="G216" t="n">
        <v>0.475</v>
      </c>
      <c r="H216" t="inlineStr">
        <is>
          <t>000000000110102758</t>
        </is>
      </c>
      <c r="I216" t="inlineStr">
        <is>
          <t>TM-O-O-AUT-AW-FC-28.58X2.000X5.8100</t>
        </is>
      </c>
      <c r="J216" t="n">
        <v>1940626</v>
      </c>
      <c r="K216" t="inlineStr">
        <is>
          <t>TUB-O-O-AUT-AW-FC-28.58X2.000X0.4750</t>
        </is>
      </c>
      <c r="L216" t="inlineStr">
        <is>
          <t>TVS</t>
        </is>
      </c>
      <c r="M216" t="inlineStr">
        <is>
          <t>28.58-0-2-ERW 1-FC</t>
        </is>
      </c>
      <c r="N216" t="inlineStr">
        <is>
          <t>28.58-0-2-ERW 1-FC-0.475</t>
        </is>
      </c>
    </row>
    <row r="217" hidden="1" s="584">
      <c r="A217" t="inlineStr">
        <is>
          <t>Scheduled at CTL-1</t>
        </is>
      </c>
      <c r="B217" t="n">
        <v>1210</v>
      </c>
      <c r="C217" t="inlineStr">
        <is>
          <t>Sri Balaji Gears</t>
        </is>
      </c>
      <c r="D217" t="n">
        <v>1.2</v>
      </c>
      <c r="E217" t="n">
        <v>30</v>
      </c>
      <c r="F217" t="n">
        <v>30</v>
      </c>
      <c r="G217" t="n">
        <v>0.14</v>
      </c>
      <c r="H217" t="inlineStr">
        <is>
          <t>000000000111116368</t>
        </is>
      </c>
      <c r="I217" t="inlineStr">
        <is>
          <t>TM-S-AW-AUT-30.00X30.00X1.200X5.6400</t>
        </is>
      </c>
      <c r="J217" t="n">
        <v>3572045</v>
      </c>
      <c r="K217" t="inlineStr">
        <is>
          <t>TUB-S-AW-AUT-30.00X30.00X1.200X0.1400</t>
        </is>
      </c>
      <c r="L217" t="inlineStr">
        <is>
          <t>TVS</t>
        </is>
      </c>
      <c r="M217" t="inlineStr">
        <is>
          <t>30-30-1.2-CRFH-PE</t>
        </is>
      </c>
      <c r="N217" t="inlineStr">
        <is>
          <t>30-30-1.2-CRFH-PE-0.14</t>
        </is>
      </c>
    </row>
    <row r="218" hidden="1" s="584">
      <c r="A218" t="inlineStr">
        <is>
          <t>Scheduled at CTL-1</t>
        </is>
      </c>
      <c r="B218" t="n">
        <v>530</v>
      </c>
      <c r="C218" t="inlineStr">
        <is>
          <t>Marathwada Auto Compo Pvt. Ltd</t>
        </is>
      </c>
      <c r="D218" t="n">
        <v>1.2</v>
      </c>
      <c r="E218" t="n">
        <v>30</v>
      </c>
      <c r="F218" t="n">
        <v>30</v>
      </c>
      <c r="G218" t="n">
        <v>0.19</v>
      </c>
      <c r="H218" t="inlineStr">
        <is>
          <t>000000000111116368</t>
        </is>
      </c>
      <c r="I218" t="inlineStr">
        <is>
          <t>TM-S-AW-AUT-30.00X30.00X1.200X5.6400</t>
        </is>
      </c>
      <c r="J218" t="n">
        <v>4151424</v>
      </c>
      <c r="K218" t="inlineStr">
        <is>
          <t>TUB-S-AW-AUT-30.00X30.00X1.200X0.1900</t>
        </is>
      </c>
      <c r="L218" t="inlineStr">
        <is>
          <t>TVS</t>
        </is>
      </c>
      <c r="M218" t="inlineStr">
        <is>
          <t>30-30-1.2-CRFH-PE</t>
        </is>
      </c>
      <c r="N218" t="inlineStr">
        <is>
          <t>30-30-1.2-CRFH-PE-0.19</t>
        </is>
      </c>
    </row>
    <row r="219" hidden="1" s="584">
      <c r="A219" t="inlineStr">
        <is>
          <t>Scheduled at CTL-1</t>
        </is>
      </c>
      <c r="B219" t="n">
        <v>1232</v>
      </c>
      <c r="C219" t="inlineStr">
        <is>
          <t>Sri Balaji Gears</t>
        </is>
      </c>
      <c r="D219" t="n">
        <v>1.2</v>
      </c>
      <c r="E219" t="n">
        <v>30</v>
      </c>
      <c r="F219" t="n">
        <v>30</v>
      </c>
      <c r="G219" t="n">
        <v>0.19</v>
      </c>
      <c r="H219" t="inlineStr">
        <is>
          <t>000000000111116368</t>
        </is>
      </c>
      <c r="I219" t="inlineStr">
        <is>
          <t>TM-S-AW-AUT-30.00X30.00X1.200X5.6400</t>
        </is>
      </c>
      <c r="J219" t="n">
        <v>4151424</v>
      </c>
      <c r="K219" t="inlineStr">
        <is>
          <t>TUB-S-AW-AUT-30.00X30.00X1.200X0.1900</t>
        </is>
      </c>
      <c r="L219" t="inlineStr">
        <is>
          <t>TVS</t>
        </is>
      </c>
      <c r="M219" t="inlineStr">
        <is>
          <t>30-30-1.2-CRFH-PE</t>
        </is>
      </c>
      <c r="N219" t="inlineStr">
        <is>
          <t>30-30-1.2-CRFH-PE-0.19</t>
        </is>
      </c>
    </row>
    <row r="220" hidden="1" s="584">
      <c r="A220" t="inlineStr">
        <is>
          <t>Scheduled at CTL-1</t>
        </is>
      </c>
      <c r="B220" t="n">
        <v>1245</v>
      </c>
      <c r="C220" t="inlineStr">
        <is>
          <t>Sri Balaji Gears</t>
        </is>
      </c>
      <c r="D220" t="n">
        <v>1.2</v>
      </c>
      <c r="E220" t="n">
        <v>30</v>
      </c>
      <c r="F220" t="n">
        <v>30</v>
      </c>
      <c r="G220" t="n">
        <v>0.19</v>
      </c>
      <c r="H220" t="inlineStr">
        <is>
          <t>000000000111116368</t>
        </is>
      </c>
      <c r="I220" t="inlineStr">
        <is>
          <t>TM-S-AW-AUT-30.00X30.00X1.200X5.6400</t>
        </is>
      </c>
      <c r="J220" t="n">
        <v>4151424</v>
      </c>
      <c r="K220" t="inlineStr">
        <is>
          <t>TUB-S-AW-AUT-30.00X30.00X1.200X0.1900</t>
        </is>
      </c>
      <c r="L220" t="inlineStr">
        <is>
          <t>TVS</t>
        </is>
      </c>
      <c r="M220" t="inlineStr">
        <is>
          <t>30-30-1.2-CRFH-PE</t>
        </is>
      </c>
      <c r="N220" t="inlineStr">
        <is>
          <t>30-30-1.2-CRFH-PE-0.19</t>
        </is>
      </c>
    </row>
    <row r="221" hidden="1" s="584">
      <c r="A221" t="inlineStr">
        <is>
          <t>Scheduled at CTL-1</t>
        </is>
      </c>
      <c r="B221" t="n">
        <v>1238</v>
      </c>
      <c r="C221" t="inlineStr">
        <is>
          <t>Sri Balaji Gears</t>
        </is>
      </c>
      <c r="D221" t="n">
        <v>1.2</v>
      </c>
      <c r="E221" t="n">
        <v>30</v>
      </c>
      <c r="F221" t="n">
        <v>30</v>
      </c>
      <c r="G221" t="n">
        <v>0.19</v>
      </c>
      <c r="H221" t="inlineStr">
        <is>
          <t>000000000111116368</t>
        </is>
      </c>
      <c r="I221" t="inlineStr">
        <is>
          <t>TM-S-AW-AUT-30.00X30.00X1.200X5.6400</t>
        </is>
      </c>
      <c r="J221" t="n">
        <v>4151424</v>
      </c>
      <c r="K221" t="inlineStr">
        <is>
          <t>TUB-S-AW-AUT-30.00X30.00X1.200X0.1900</t>
        </is>
      </c>
      <c r="L221" t="inlineStr">
        <is>
          <t>TVS</t>
        </is>
      </c>
      <c r="M221" t="inlineStr">
        <is>
          <t>30-30-1.2-CRFH-PE</t>
        </is>
      </c>
      <c r="N221" t="inlineStr">
        <is>
          <t>30-30-1.2-CRFH-PE-0.19</t>
        </is>
      </c>
    </row>
    <row r="222" hidden="1" s="584">
      <c r="A222" t="inlineStr">
        <is>
          <t>Scheduled at CTL-1</t>
        </is>
      </c>
      <c r="B222" t="n">
        <v>1245</v>
      </c>
      <c r="C222" t="inlineStr">
        <is>
          <t>Sri Balaji Gears</t>
        </is>
      </c>
      <c r="D222" t="n">
        <v>1.2</v>
      </c>
      <c r="E222" t="n">
        <v>30</v>
      </c>
      <c r="F222" t="n">
        <v>30</v>
      </c>
      <c r="G222" t="n">
        <v>0.19</v>
      </c>
      <c r="H222" t="inlineStr">
        <is>
          <t>000000000111116368</t>
        </is>
      </c>
      <c r="I222" t="inlineStr">
        <is>
          <t>TM-S-AW-AUT-30.00X30.00X1.200X5.6400</t>
        </is>
      </c>
      <c r="J222" t="n">
        <v>4151424</v>
      </c>
      <c r="K222" t="inlineStr">
        <is>
          <t>TUB-S-AW-AUT-30.00X30.00X1.200X0.1900</t>
        </is>
      </c>
      <c r="L222" t="inlineStr">
        <is>
          <t>TVS</t>
        </is>
      </c>
      <c r="M222" t="inlineStr">
        <is>
          <t>30-30-1.2-CRFH-PE</t>
        </is>
      </c>
      <c r="N222" t="inlineStr">
        <is>
          <t>30-30-1.2-CRFH-PE-0.19</t>
        </is>
      </c>
    </row>
    <row r="223" hidden="1" s="584">
      <c r="A223" t="inlineStr">
        <is>
          <t>Scheduled at CTL-1</t>
        </is>
      </c>
      <c r="B223" t="n">
        <v>1251</v>
      </c>
      <c r="C223" t="inlineStr">
        <is>
          <t>Sri Balaji Gears</t>
        </is>
      </c>
      <c r="D223" t="n">
        <v>1.2</v>
      </c>
      <c r="E223" t="n">
        <v>30</v>
      </c>
      <c r="F223" t="n">
        <v>30</v>
      </c>
      <c r="G223" t="n">
        <v>0.19</v>
      </c>
      <c r="H223" t="inlineStr">
        <is>
          <t>000000000111116368</t>
        </is>
      </c>
      <c r="I223" t="inlineStr">
        <is>
          <t>TM-S-AW-AUT-30.00X30.00X1.200X5.6400</t>
        </is>
      </c>
      <c r="J223" t="n">
        <v>4151424</v>
      </c>
      <c r="K223" t="inlineStr">
        <is>
          <t>TUB-S-AW-AUT-30.00X30.00X1.200X0.1900</t>
        </is>
      </c>
      <c r="L223" t="inlineStr">
        <is>
          <t>TVS</t>
        </is>
      </c>
      <c r="M223" t="inlineStr">
        <is>
          <t>30-30-1.2-CRFH-PE</t>
        </is>
      </c>
      <c r="N223" t="inlineStr">
        <is>
          <t>30-30-1.2-CRFH-PE-0.19</t>
        </is>
      </c>
    </row>
    <row r="224" hidden="1" s="584">
      <c r="A224" t="inlineStr">
        <is>
          <t>Scheduled at CTL-1</t>
        </is>
      </c>
      <c r="B224" t="n">
        <v>1245</v>
      </c>
      <c r="C224" t="inlineStr">
        <is>
          <t>Sri Balaji Gears</t>
        </is>
      </c>
      <c r="D224" t="n">
        <v>1.2</v>
      </c>
      <c r="E224" t="n">
        <v>30</v>
      </c>
      <c r="F224" t="n">
        <v>30</v>
      </c>
      <c r="G224" t="n">
        <v>0.19</v>
      </c>
      <c r="H224" t="inlineStr">
        <is>
          <t>000000000111116368</t>
        </is>
      </c>
      <c r="I224" t="inlineStr">
        <is>
          <t>TM-S-AW-AUT-30.00X30.00X1.200X5.6400</t>
        </is>
      </c>
      <c r="J224" t="n">
        <v>4151424</v>
      </c>
      <c r="K224" t="inlineStr">
        <is>
          <t>TUB-S-AW-AUT-30.00X30.00X1.200X0.1900</t>
        </is>
      </c>
      <c r="L224" t="inlineStr">
        <is>
          <t>TVS</t>
        </is>
      </c>
      <c r="M224" t="inlineStr">
        <is>
          <t>30-30-1.2-CRFH-PE</t>
        </is>
      </c>
      <c r="N224" t="inlineStr">
        <is>
          <t>30-30-1.2-CRFH-PE-0.19</t>
        </is>
      </c>
    </row>
    <row r="225" hidden="1" s="584">
      <c r="A225" t="inlineStr">
        <is>
          <t>Scheduled at CTL-1</t>
        </is>
      </c>
      <c r="B225" t="n">
        <v>1245</v>
      </c>
      <c r="C225" t="inlineStr">
        <is>
          <t>Sri Balaji Gears</t>
        </is>
      </c>
      <c r="D225" t="n">
        <v>1.2</v>
      </c>
      <c r="E225" t="n">
        <v>30</v>
      </c>
      <c r="F225" t="n">
        <v>30</v>
      </c>
      <c r="G225" t="n">
        <v>0.19</v>
      </c>
      <c r="H225" t="inlineStr">
        <is>
          <t>000000000111116368</t>
        </is>
      </c>
      <c r="I225" t="inlineStr">
        <is>
          <t>TM-S-AW-AUT-30.00X30.00X1.200X5.6400</t>
        </is>
      </c>
      <c r="J225" t="n">
        <v>4151424</v>
      </c>
      <c r="K225" t="inlineStr">
        <is>
          <t>TUB-S-AW-AUT-30.00X30.00X1.200X0.1900</t>
        </is>
      </c>
      <c r="L225" t="inlineStr">
        <is>
          <t>TVS</t>
        </is>
      </c>
      <c r="M225" t="inlineStr">
        <is>
          <t>30-30-1.2-CRFH-PE</t>
        </is>
      </c>
      <c r="N225" t="inlineStr">
        <is>
          <t>30-30-1.2-CRFH-PE-0.19</t>
        </is>
      </c>
    </row>
    <row r="226" hidden="1" s="584">
      <c r="A226" t="inlineStr">
        <is>
          <t>Scheduled at CTL-1</t>
        </is>
      </c>
      <c r="B226" t="n">
        <v>1214</v>
      </c>
      <c r="C226" t="inlineStr">
        <is>
          <t>Sri Balaji Gears</t>
        </is>
      </c>
      <c r="D226" t="n">
        <v>1.2</v>
      </c>
      <c r="E226" t="n">
        <v>30</v>
      </c>
      <c r="F226" t="n">
        <v>30</v>
      </c>
      <c r="G226" t="n">
        <v>0.19</v>
      </c>
      <c r="H226" t="inlineStr">
        <is>
          <t>000000000111116368</t>
        </is>
      </c>
      <c r="I226" t="inlineStr">
        <is>
          <t>TM-S-AW-AUT-30.00X30.00X1.200X5.6400</t>
        </is>
      </c>
      <c r="J226" t="n">
        <v>4151424</v>
      </c>
      <c r="K226" t="inlineStr">
        <is>
          <t>TUB-S-AW-AUT-30.00X30.00X1.200X0.1900</t>
        </is>
      </c>
      <c r="L226" t="inlineStr">
        <is>
          <t>TVS</t>
        </is>
      </c>
      <c r="M226" t="inlineStr">
        <is>
          <t>30-30-1.2-CRFH-PE</t>
        </is>
      </c>
      <c r="N226" t="inlineStr">
        <is>
          <t>30-30-1.2-CRFH-PE-0.19</t>
        </is>
      </c>
    </row>
    <row r="227" hidden="1" s="584">
      <c r="A227" t="inlineStr">
        <is>
          <t>Scheduled at CTL-1</t>
        </is>
      </c>
      <c r="B227" t="n">
        <v>1210</v>
      </c>
      <c r="C227" t="inlineStr">
        <is>
          <t>Sri Balaji Gears</t>
        </is>
      </c>
      <c r="D227" t="n">
        <v>1.2</v>
      </c>
      <c r="E227" t="n">
        <v>30</v>
      </c>
      <c r="F227" t="n">
        <v>30</v>
      </c>
      <c r="G227" t="n">
        <v>0.19</v>
      </c>
      <c r="H227" t="inlineStr">
        <is>
          <t>000000000111116368</t>
        </is>
      </c>
      <c r="I227" t="inlineStr">
        <is>
          <t>TM-S-AW-AUT-30.00X30.00X1.200X5.6400</t>
        </is>
      </c>
      <c r="J227" t="n">
        <v>4151424</v>
      </c>
      <c r="K227" t="inlineStr">
        <is>
          <t>TUB-S-AW-AUT-30.00X30.00X1.200X0.1900</t>
        </is>
      </c>
      <c r="L227" t="inlineStr">
        <is>
          <t>TVS</t>
        </is>
      </c>
      <c r="M227" t="inlineStr">
        <is>
          <t>30-30-1.2-CRFH-PE</t>
        </is>
      </c>
      <c r="N227" t="inlineStr">
        <is>
          <t>30-30-1.2-CRFH-PE-0.19</t>
        </is>
      </c>
    </row>
    <row r="228" hidden="1" s="584">
      <c r="A228" t="inlineStr">
        <is>
          <t>Scheduled at CTL-1</t>
        </is>
      </c>
      <c r="B228" t="n">
        <v>936</v>
      </c>
      <c r="C228" t="inlineStr">
        <is>
          <t>Marathwada Auto Compo Pvt. Ltd</t>
        </is>
      </c>
      <c r="D228" t="n">
        <v>1.2</v>
      </c>
      <c r="E228" t="n">
        <v>30</v>
      </c>
      <c r="F228" t="n">
        <v>30</v>
      </c>
      <c r="G228" t="n">
        <v>0.22</v>
      </c>
      <c r="H228" t="inlineStr">
        <is>
          <t>000000000111116368</t>
        </is>
      </c>
      <c r="I228" t="inlineStr">
        <is>
          <t>TM-S-AW-AUT-30.00X30.00X1.200X5.6400</t>
        </is>
      </c>
      <c r="J228" t="n">
        <v>3230495</v>
      </c>
      <c r="K228" t="inlineStr">
        <is>
          <t>TUB-S-AW-AUT-30.00X30.00X1.200X0.2200</t>
        </is>
      </c>
      <c r="L228" t="inlineStr">
        <is>
          <t>TVS</t>
        </is>
      </c>
      <c r="M228" t="inlineStr">
        <is>
          <t>30-30-1.2-CRFH-PE</t>
        </is>
      </c>
      <c r="N228" t="inlineStr">
        <is>
          <t>30-30-1.2-CRFH-PE-0.22</t>
        </is>
      </c>
    </row>
    <row r="229" hidden="1" s="584">
      <c r="A229" t="inlineStr">
        <is>
          <t>Scheduled at CTL-1</t>
        </is>
      </c>
      <c r="B229" t="n">
        <v>2325</v>
      </c>
      <c r="C229" t="inlineStr">
        <is>
          <t>Marathwada Auto Compo Pvt. Ltd</t>
        </is>
      </c>
      <c r="D229" t="n">
        <v>1.2</v>
      </c>
      <c r="E229" t="n">
        <v>30</v>
      </c>
      <c r="F229" t="n">
        <v>30</v>
      </c>
      <c r="G229" t="n">
        <v>0.22</v>
      </c>
      <c r="H229" t="inlineStr">
        <is>
          <t>000000000111116368</t>
        </is>
      </c>
      <c r="I229" t="inlineStr">
        <is>
          <t>TM-S-AW-AUT-30.00X30.00X1.200X5.6400</t>
        </is>
      </c>
      <c r="J229" t="n">
        <v>3230495</v>
      </c>
      <c r="K229" t="inlineStr">
        <is>
          <t>TUB-S-AW-AUT-30.00X30.00X1.200X0.2200</t>
        </is>
      </c>
      <c r="L229" t="inlineStr">
        <is>
          <t>TVS</t>
        </is>
      </c>
      <c r="M229" t="inlineStr">
        <is>
          <t>30-30-1.2-CRFH-PE</t>
        </is>
      </c>
      <c r="N229" t="inlineStr">
        <is>
          <t>30-30-1.2-CRFH-PE-0.22</t>
        </is>
      </c>
    </row>
    <row r="230" hidden="1" s="584">
      <c r="A230" t="inlineStr">
        <is>
          <t>Scheduled at CTL-1</t>
        </is>
      </c>
      <c r="B230" t="n">
        <v>1235</v>
      </c>
      <c r="C230" t="inlineStr">
        <is>
          <t>Marathwada Auto Compo Pvt. Ltd</t>
        </is>
      </c>
      <c r="D230" t="n">
        <v>1.2</v>
      </c>
      <c r="E230" t="n">
        <v>30</v>
      </c>
      <c r="F230" t="n">
        <v>30</v>
      </c>
      <c r="G230" t="n">
        <v>0.22</v>
      </c>
      <c r="H230" t="inlineStr">
        <is>
          <t>000000000111116368</t>
        </is>
      </c>
      <c r="I230" t="inlineStr">
        <is>
          <t>TM-S-AW-AUT-30.00X30.00X1.200X5.6400</t>
        </is>
      </c>
      <c r="J230" t="n">
        <v>3230495</v>
      </c>
      <c r="K230" t="inlineStr">
        <is>
          <t>TUB-S-AW-AUT-30.00X30.00X1.200X0.2200</t>
        </is>
      </c>
      <c r="L230" t="inlineStr">
        <is>
          <t>TVS</t>
        </is>
      </c>
      <c r="M230" t="inlineStr">
        <is>
          <t>30-30-1.2-CRFH-PE</t>
        </is>
      </c>
      <c r="N230" t="inlineStr">
        <is>
          <t>30-30-1.2-CRFH-PE-0.22</t>
        </is>
      </c>
    </row>
    <row r="231" hidden="1" s="584">
      <c r="A231" t="inlineStr">
        <is>
          <t>Scheduled at CTL-1</t>
        </is>
      </c>
      <c r="B231" t="n">
        <v>1190</v>
      </c>
      <c r="C231" t="inlineStr">
        <is>
          <t>Marathwada Auto Compo Pvt. Ltd</t>
        </is>
      </c>
      <c r="D231" t="n">
        <v>1.2</v>
      </c>
      <c r="E231" t="n">
        <v>30</v>
      </c>
      <c r="F231" t="n">
        <v>30</v>
      </c>
      <c r="G231" t="n">
        <v>0.22</v>
      </c>
      <c r="H231" t="inlineStr">
        <is>
          <t>000000000111116368</t>
        </is>
      </c>
      <c r="I231" t="inlineStr">
        <is>
          <t>TM-S-AW-AUT-30.00X30.00X1.200X5.6400</t>
        </is>
      </c>
      <c r="J231" t="n">
        <v>3230495</v>
      </c>
      <c r="K231" t="inlineStr">
        <is>
          <t>TUB-S-AW-AUT-30.00X30.00X1.200X0.2200</t>
        </is>
      </c>
      <c r="L231" t="inlineStr">
        <is>
          <t>TVS</t>
        </is>
      </c>
      <c r="M231" t="inlineStr">
        <is>
          <t>30-30-1.2-CRFH-PE</t>
        </is>
      </c>
      <c r="N231" t="inlineStr">
        <is>
          <t>30-30-1.2-CRFH-PE-0.22</t>
        </is>
      </c>
    </row>
    <row r="232" hidden="1" s="584">
      <c r="A232" t="inlineStr">
        <is>
          <t>Scheduled at CTL-1</t>
        </is>
      </c>
      <c r="B232" t="n">
        <v>1200</v>
      </c>
      <c r="C232" t="inlineStr">
        <is>
          <t>Marathwada Auto Compo Pvt. Ltd</t>
        </is>
      </c>
      <c r="D232" t="n">
        <v>1.2</v>
      </c>
      <c r="E232" t="n">
        <v>30</v>
      </c>
      <c r="F232" t="n">
        <v>30</v>
      </c>
      <c r="G232" t="n">
        <v>0.22</v>
      </c>
      <c r="H232" t="inlineStr">
        <is>
          <t>000000000111116368</t>
        </is>
      </c>
      <c r="I232" t="inlineStr">
        <is>
          <t>TM-S-AW-AUT-30.00X30.00X1.200X5.6400</t>
        </is>
      </c>
      <c r="J232" t="n">
        <v>3230495</v>
      </c>
      <c r="K232" t="inlineStr">
        <is>
          <t>TUB-S-AW-AUT-30.00X30.00X1.200X0.2200</t>
        </is>
      </c>
      <c r="L232" t="inlineStr">
        <is>
          <t>TVS</t>
        </is>
      </c>
      <c r="M232" t="inlineStr">
        <is>
          <t>30-30-1.2-CRFH-PE</t>
        </is>
      </c>
      <c r="N232" t="inlineStr">
        <is>
          <t>30-30-1.2-CRFH-PE-0.22</t>
        </is>
      </c>
    </row>
    <row r="233" hidden="1" s="584">
      <c r="A233" t="inlineStr">
        <is>
          <t>Scheduled at CTL-1</t>
        </is>
      </c>
      <c r="B233" t="n">
        <v>1041</v>
      </c>
      <c r="C233" t="inlineStr">
        <is>
          <t>Marathwada Auto Compo Pvt. Ltd</t>
        </is>
      </c>
      <c r="D233" t="n">
        <v>1.2</v>
      </c>
      <c r="E233" t="n">
        <v>30</v>
      </c>
      <c r="F233" t="n">
        <v>30</v>
      </c>
      <c r="G233" t="n">
        <v>0.22</v>
      </c>
      <c r="H233" t="inlineStr">
        <is>
          <t>000000000111116368</t>
        </is>
      </c>
      <c r="I233" t="inlineStr">
        <is>
          <t>TM-S-AW-AUT-30.00X30.00X1.200X5.6400</t>
        </is>
      </c>
      <c r="J233" t="n">
        <v>3230495</v>
      </c>
      <c r="K233" t="inlineStr">
        <is>
          <t>TUB-S-AW-AUT-30.00X30.00X1.200X0.2200</t>
        </is>
      </c>
      <c r="L233" t="inlineStr">
        <is>
          <t>TVS</t>
        </is>
      </c>
      <c r="M233" t="inlineStr">
        <is>
          <t>30-30-1.2-CRFH-PE</t>
        </is>
      </c>
      <c r="N233" t="inlineStr">
        <is>
          <t>30-30-1.2-CRFH-PE-0.22</t>
        </is>
      </c>
    </row>
    <row r="234" hidden="1" s="584">
      <c r="A234" t="inlineStr">
        <is>
          <t>Scheduled at CTL-1</t>
        </is>
      </c>
      <c r="B234" t="n">
        <v>1110</v>
      </c>
      <c r="C234" t="inlineStr">
        <is>
          <t>Marathwada Auto Compo Pvt. Ltd</t>
        </is>
      </c>
      <c r="D234" t="n">
        <v>1.2</v>
      </c>
      <c r="E234" t="n">
        <v>30</v>
      </c>
      <c r="F234" t="n">
        <v>30</v>
      </c>
      <c r="G234" t="n">
        <v>0.22</v>
      </c>
      <c r="H234" t="inlineStr">
        <is>
          <t>000000000111116368</t>
        </is>
      </c>
      <c r="I234" t="inlineStr">
        <is>
          <t>TM-S-AW-AUT-30.00X30.00X1.200X5.6400</t>
        </is>
      </c>
      <c r="J234" t="n">
        <v>3230495</v>
      </c>
      <c r="K234" t="inlineStr">
        <is>
          <t>TUB-S-AW-AUT-30.00X30.00X1.200X0.2200</t>
        </is>
      </c>
      <c r="L234" t="inlineStr">
        <is>
          <t>TVS</t>
        </is>
      </c>
      <c r="M234" t="inlineStr">
        <is>
          <t>30-30-1.2-CRFH-PE</t>
        </is>
      </c>
      <c r="N234" t="inlineStr">
        <is>
          <t>30-30-1.2-CRFH-PE-0.22</t>
        </is>
      </c>
    </row>
    <row r="235" hidden="1" s="584">
      <c r="A235" t="inlineStr">
        <is>
          <t>Scheduled at CTL-1</t>
        </is>
      </c>
      <c r="B235" t="n">
        <v>1040</v>
      </c>
      <c r="C235" t="inlineStr">
        <is>
          <t>Marathwada Auto Compo Pvt. Ltd</t>
        </is>
      </c>
      <c r="D235" t="n">
        <v>1.2</v>
      </c>
      <c r="E235" t="n">
        <v>30</v>
      </c>
      <c r="F235" t="n">
        <v>30</v>
      </c>
      <c r="G235" t="n">
        <v>0.22</v>
      </c>
      <c r="H235" t="inlineStr">
        <is>
          <t>000000000111116368</t>
        </is>
      </c>
      <c r="I235" t="inlineStr">
        <is>
          <t>TM-S-AW-AUT-30.00X30.00X1.200X5.6400</t>
        </is>
      </c>
      <c r="J235" t="n">
        <v>3230495</v>
      </c>
      <c r="K235" t="inlineStr">
        <is>
          <t>TUB-S-AW-AUT-30.00X30.00X1.200X0.2200</t>
        </is>
      </c>
      <c r="L235" t="inlineStr">
        <is>
          <t>TVS</t>
        </is>
      </c>
      <c r="M235" t="inlineStr">
        <is>
          <t>30-30-1.2-CRFH-PE</t>
        </is>
      </c>
      <c r="N235" t="inlineStr">
        <is>
          <t>30-30-1.2-CRFH-PE-0.22</t>
        </is>
      </c>
    </row>
    <row r="236" hidden="1" s="584">
      <c r="A236" t="inlineStr">
        <is>
          <t>Scheduled at CTL-1</t>
        </is>
      </c>
      <c r="B236" t="n">
        <v>1030</v>
      </c>
      <c r="C236" t="inlineStr">
        <is>
          <t>SANDHAR ENGINEERING PVT LTD.(K</t>
        </is>
      </c>
      <c r="D236" t="n">
        <v>1.6</v>
      </c>
      <c r="E236" t="n">
        <v>31.75</v>
      </c>
      <c r="F236" t="n">
        <v>0</v>
      </c>
      <c r="G236" t="n">
        <v>0.658</v>
      </c>
      <c r="H236" t="inlineStr">
        <is>
          <t>000000000110102787</t>
        </is>
      </c>
      <c r="I236" t="inlineStr">
        <is>
          <t>TM-O-O-AUT-AW-FC-31.75X1.600X6.0330</t>
        </is>
      </c>
      <c r="J236" t="n">
        <v>3715133</v>
      </c>
      <c r="K236" t="inlineStr">
        <is>
          <t>TUB-O-O-AUT-AW-FC-31.75X1.600X0.6580</t>
        </is>
      </c>
      <c r="L236" t="inlineStr">
        <is>
          <t>TVS</t>
        </is>
      </c>
      <c r="M236" t="inlineStr">
        <is>
          <t>31.75-0-1.6-ERW 1-FC</t>
        </is>
      </c>
      <c r="N236" t="inlineStr">
        <is>
          <t>31.75-0-1.6-ERW 1-FC-0.658</t>
        </is>
      </c>
    </row>
    <row r="237" hidden="1" s="584">
      <c r="A237" t="inlineStr">
        <is>
          <t>Scheduled at CTL-1</t>
        </is>
      </c>
      <c r="B237" t="n">
        <v>931</v>
      </c>
      <c r="C237" t="inlineStr">
        <is>
          <t>SANDHAR ENGINEERING PVT LTD.(K</t>
        </is>
      </c>
      <c r="D237" t="n">
        <v>1.6</v>
      </c>
      <c r="E237" t="n">
        <v>31.75</v>
      </c>
      <c r="F237" t="n">
        <v>0</v>
      </c>
      <c r="G237" t="n">
        <v>0.658</v>
      </c>
      <c r="H237" t="inlineStr">
        <is>
          <t>000000000110102787</t>
        </is>
      </c>
      <c r="I237" t="inlineStr">
        <is>
          <t>TM-O-O-AUT-AW-FC-31.75X1.600X6.0330</t>
        </is>
      </c>
      <c r="J237" t="n">
        <v>3715133</v>
      </c>
      <c r="K237" t="inlineStr">
        <is>
          <t>TUB-O-O-AUT-AW-FC-31.75X1.600X0.6580</t>
        </is>
      </c>
      <c r="L237" t="inlineStr">
        <is>
          <t>TVS</t>
        </is>
      </c>
      <c r="M237" t="inlineStr">
        <is>
          <t>31.75-0-1.6-ERW 1-FC</t>
        </is>
      </c>
      <c r="N237" t="inlineStr">
        <is>
          <t>31.75-0-1.6-ERW 1-FC-0.658</t>
        </is>
      </c>
    </row>
    <row r="238" hidden="1" s="584">
      <c r="A238" t="inlineStr">
        <is>
          <t>Scheduled at CTL-1</t>
        </is>
      </c>
      <c r="B238" t="n">
        <v>1145</v>
      </c>
      <c r="C238" t="inlineStr">
        <is>
          <t>Metalman Auto Private Limited</t>
        </is>
      </c>
      <c r="D238" t="n">
        <v>1.6</v>
      </c>
      <c r="E238" t="n">
        <v>38.1</v>
      </c>
      <c r="F238" t="n">
        <v>0</v>
      </c>
      <c r="G238" t="n">
        <v>0.878</v>
      </c>
      <c r="H238" t="inlineStr">
        <is>
          <t>000000000111120347</t>
        </is>
      </c>
      <c r="I238" t="inlineStr">
        <is>
          <t>TM-O-N-AUT-AW-FC-38.10X1.600X5.3500</t>
        </is>
      </c>
      <c r="J238" t="n">
        <v>3768904</v>
      </c>
      <c r="K238" t="inlineStr">
        <is>
          <t>CUT-O-N-AUT-AW-FC-38.10X1.600X0.8780</t>
        </is>
      </c>
      <c r="L238" t="inlineStr">
        <is>
          <t>TVS</t>
        </is>
      </c>
      <c r="M238" t="inlineStr">
        <is>
          <t>38.1-0-1.6-ERW 2 MAHS-FC</t>
        </is>
      </c>
      <c r="N238" t="inlineStr">
        <is>
          <t>38.1-0-1.6-ERW 2 MAHS-FC-0.878</t>
        </is>
      </c>
    </row>
    <row r="239" hidden="1" s="584">
      <c r="A239" t="inlineStr">
        <is>
          <t>Scheduled at CTL-1</t>
        </is>
      </c>
      <c r="B239" t="n">
        <v>1159</v>
      </c>
      <c r="C239" t="inlineStr">
        <is>
          <t>Metalman Auto Private Limited</t>
        </is>
      </c>
      <c r="D239" t="n">
        <v>1.6</v>
      </c>
      <c r="E239" t="n">
        <v>38.1</v>
      </c>
      <c r="F239" t="n">
        <v>0</v>
      </c>
      <c r="G239" t="n">
        <v>0.878</v>
      </c>
      <c r="H239" t="inlineStr">
        <is>
          <t>000000000111120347</t>
        </is>
      </c>
      <c r="I239" t="inlineStr">
        <is>
          <t>TM-O-N-AUT-AW-FC-38.10X1.600X5.3500</t>
        </is>
      </c>
      <c r="J239" t="n">
        <v>3768904</v>
      </c>
      <c r="K239" t="inlineStr">
        <is>
          <t>CUT-O-N-AUT-AW-FC-38.10X1.600X0.8780</t>
        </is>
      </c>
      <c r="L239" t="inlineStr">
        <is>
          <t>TVS</t>
        </is>
      </c>
      <c r="M239" t="inlineStr">
        <is>
          <t>38.1-0-1.6-ERW 2 MAHS-FC</t>
        </is>
      </c>
      <c r="N239" t="inlineStr">
        <is>
          <t>38.1-0-1.6-ERW 2 MAHS-FC-0.878</t>
        </is>
      </c>
    </row>
    <row r="240" hidden="1" s="584">
      <c r="A240" t="inlineStr">
        <is>
          <t>Scheduled at CTL-1</t>
        </is>
      </c>
      <c r="B240" t="n">
        <v>838</v>
      </c>
      <c r="C240" t="inlineStr">
        <is>
          <t>Metalman Auto Private Limited</t>
        </is>
      </c>
      <c r="D240" t="n">
        <v>1.6</v>
      </c>
      <c r="E240" t="n">
        <v>38.1</v>
      </c>
      <c r="F240" t="n">
        <v>0</v>
      </c>
      <c r="G240" t="n">
        <v>0.878</v>
      </c>
      <c r="H240" t="inlineStr">
        <is>
          <t>000000000111120347</t>
        </is>
      </c>
      <c r="I240" t="inlineStr">
        <is>
          <t>TM-O-N-AUT-AW-FC-38.10X1.600X5.3500</t>
        </is>
      </c>
      <c r="J240" t="n">
        <v>3768904</v>
      </c>
      <c r="K240" t="inlineStr">
        <is>
          <t>CUT-O-N-AUT-AW-FC-38.10X1.600X0.8780</t>
        </is>
      </c>
      <c r="L240" t="inlineStr">
        <is>
          <t>TVS</t>
        </is>
      </c>
      <c r="M240" t="inlineStr">
        <is>
          <t>38.1-0-1.6-ERW 2 MAHS-FC</t>
        </is>
      </c>
      <c r="N240" t="inlineStr">
        <is>
          <t>38.1-0-1.6-ERW 2 MAHS-FC-0.878</t>
        </is>
      </c>
    </row>
    <row r="241" hidden="1" s="584">
      <c r="A241" t="inlineStr">
        <is>
          <t>Scheduled at CTL-1</t>
        </is>
      </c>
      <c r="B241" t="n">
        <v>515</v>
      </c>
      <c r="C241" t="inlineStr">
        <is>
          <t>Neel Metal Products Limited</t>
        </is>
      </c>
      <c r="D241" t="n">
        <v>2</v>
      </c>
      <c r="E241" t="n">
        <v>38.1</v>
      </c>
      <c r="F241" t="n">
        <v>0</v>
      </c>
      <c r="G241" t="n">
        <v>0.406</v>
      </c>
      <c r="H241" t="inlineStr">
        <is>
          <t>000000000110102875</t>
        </is>
      </c>
      <c r="I241" t="inlineStr">
        <is>
          <t>TM-O-O-AUT-AW-FC-38.10X2.000X5.7800</t>
        </is>
      </c>
      <c r="J241" t="n">
        <v>3509030</v>
      </c>
      <c r="K241" t="inlineStr">
        <is>
          <t>CUT-O-N-AUT-AW-PE-38.10X2.000X0.4060</t>
        </is>
      </c>
      <c r="L241" t="inlineStr">
        <is>
          <t>TVS</t>
        </is>
      </c>
      <c r="M241" t="inlineStr">
        <is>
          <t>38.1-0-2-ERW 1-FC</t>
        </is>
      </c>
      <c r="N241" t="inlineStr">
        <is>
          <t>38.1-0-2-ERW 1-FC-0.406</t>
        </is>
      </c>
    </row>
    <row r="242" hidden="1" s="584">
      <c r="A242" t="inlineStr">
        <is>
          <t>Scheduled at CTL-1</t>
        </is>
      </c>
      <c r="B242" t="n">
        <v>1272</v>
      </c>
      <c r="C242" t="inlineStr">
        <is>
          <t>Sandhar EngineeringPvt.Ltd.(KA</t>
        </is>
      </c>
      <c r="D242" t="n">
        <v>2</v>
      </c>
      <c r="E242" t="n">
        <v>38.1</v>
      </c>
      <c r="F242" t="n">
        <v>0</v>
      </c>
      <c r="G242" t="n">
        <v>0.41</v>
      </c>
      <c r="H242" t="inlineStr">
        <is>
          <t>000000000111116370</t>
        </is>
      </c>
      <c r="I242" t="inlineStr">
        <is>
          <t>TM-O-N-AUT-AW-FC-38.10X2.000X5.0300</t>
        </is>
      </c>
      <c r="J242" t="n">
        <v>3508742</v>
      </c>
      <c r="K242" t="inlineStr">
        <is>
          <t>CUT-O-N-AUT-AW-FC-38.10X2.000X0.4100</t>
        </is>
      </c>
      <c r="L242" t="inlineStr">
        <is>
          <t>TVS</t>
        </is>
      </c>
      <c r="M242" t="inlineStr">
        <is>
          <t>38.1-0-2-ERW 1-FC</t>
        </is>
      </c>
      <c r="N242" t="inlineStr">
        <is>
          <t>38.1-0-2-ERW 1-FC-0.41</t>
        </is>
      </c>
    </row>
    <row r="243" hidden="1" s="584">
      <c r="A243" t="inlineStr">
        <is>
          <t>Scheduled at CTL-1</t>
        </is>
      </c>
      <c r="B243" t="n">
        <v>208</v>
      </c>
      <c r="C243" t="inlineStr">
        <is>
          <t>SANDHAR ENGINEERING PVT LTD.(K</t>
        </is>
      </c>
      <c r="D243" t="n">
        <v>2</v>
      </c>
      <c r="E243" t="n">
        <v>38.1</v>
      </c>
      <c r="F243" t="n">
        <v>0</v>
      </c>
      <c r="G243" t="n">
        <v>0.432</v>
      </c>
      <c r="H243" t="inlineStr">
        <is>
          <t>000000000111120693</t>
        </is>
      </c>
      <c r="I243" t="inlineStr">
        <is>
          <t>TM-O-O-AUT-AW-FC-38.10X2.000X6.1500</t>
        </is>
      </c>
      <c r="J243" t="n">
        <v>1903849</v>
      </c>
      <c r="K243" t="inlineStr">
        <is>
          <t>TUB-O-N-AUT-AW-FC-38.10X2.000X0.4320</t>
        </is>
      </c>
      <c r="L243" t="inlineStr">
        <is>
          <t>TVS</t>
        </is>
      </c>
      <c r="M243" t="inlineStr">
        <is>
          <t>38.1-0-2-ERW 1-FC</t>
        </is>
      </c>
      <c r="N243" t="inlineStr">
        <is>
          <t>38.1-0-2-ERW 1-FC-0.432</t>
        </is>
      </c>
    </row>
    <row r="244" hidden="1" s="584">
      <c r="A244" t="inlineStr">
        <is>
          <t>Scheduled at CTL-1</t>
        </is>
      </c>
      <c r="B244" t="n">
        <v>141</v>
      </c>
      <c r="C244" t="inlineStr">
        <is>
          <t>Metalman Auto Private Limited</t>
        </is>
      </c>
      <c r="D244" t="n">
        <v>2</v>
      </c>
      <c r="E244" t="n">
        <v>38.1</v>
      </c>
      <c r="F244" t="n">
        <v>0</v>
      </c>
      <c r="G244" t="n">
        <v>0.93</v>
      </c>
      <c r="H244" t="inlineStr">
        <is>
          <t>000000000111100961</t>
        </is>
      </c>
      <c r="I244" t="inlineStr">
        <is>
          <t>TM-O-N-AUT-AW-FC-38.10X2.000X5.6600</t>
        </is>
      </c>
      <c r="J244" t="n">
        <v>3191748</v>
      </c>
      <c r="K244" t="inlineStr">
        <is>
          <t>TUB-O-N-AUT-AW-FC-38.10X2.000X0.9300</t>
        </is>
      </c>
      <c r="L244" t="inlineStr">
        <is>
          <t>TVS</t>
        </is>
      </c>
      <c r="M244" t="inlineStr">
        <is>
          <t>check usage for grade</t>
        </is>
      </c>
      <c r="N244" t="inlineStr">
        <is>
          <t>check usage for grade-0.93</t>
        </is>
      </c>
    </row>
    <row r="245" hidden="1" s="584">
      <c r="A245" t="inlineStr">
        <is>
          <t>Scheduled at CTL-1</t>
        </is>
      </c>
      <c r="B245" t="n">
        <v>142</v>
      </c>
      <c r="C245" t="inlineStr">
        <is>
          <t>Metalman Auto Private Limited</t>
        </is>
      </c>
      <c r="D245" t="n">
        <v>2</v>
      </c>
      <c r="E245" t="n">
        <v>38.1</v>
      </c>
      <c r="F245" t="n">
        <v>0</v>
      </c>
      <c r="G245" t="n">
        <v>0.93</v>
      </c>
      <c r="H245" t="inlineStr">
        <is>
          <t>000000000111100961</t>
        </is>
      </c>
      <c r="I245" t="inlineStr">
        <is>
          <t>TM-O-N-AUT-AW-FC-38.10X2.000X5.6600</t>
        </is>
      </c>
      <c r="J245" t="n">
        <v>3191748</v>
      </c>
      <c r="K245" t="inlineStr">
        <is>
          <t>TUB-O-N-AUT-AW-FC-38.10X2.000X0.9300</t>
        </is>
      </c>
      <c r="L245" t="inlineStr">
        <is>
          <t>TVS</t>
        </is>
      </c>
      <c r="M245" t="inlineStr">
        <is>
          <t>check usage for grade</t>
        </is>
      </c>
      <c r="N245" t="inlineStr">
        <is>
          <t>check usage for grade-0.93</t>
        </is>
      </c>
    </row>
    <row r="246" hidden="1" s="584">
      <c r="A246" t="inlineStr">
        <is>
          <t>Scheduled at CTL-1</t>
        </is>
      </c>
      <c r="B246" t="n">
        <v>959</v>
      </c>
      <c r="C246" t="inlineStr">
        <is>
          <t>Sri Balaji Gears</t>
        </is>
      </c>
      <c r="D246" t="n">
        <v>1.2</v>
      </c>
      <c r="E246" t="n">
        <v>40</v>
      </c>
      <c r="F246" t="n">
        <v>20</v>
      </c>
      <c r="G246" t="n">
        <v>0.095</v>
      </c>
      <c r="H246" t="inlineStr">
        <is>
          <t>000000000110102922</t>
        </is>
      </c>
      <c r="I246" t="inlineStr">
        <is>
          <t>TM-R-AW-RHS-40.00X20.00X1.210X6.0350</t>
        </is>
      </c>
      <c r="J246" t="n">
        <v>3938688</v>
      </c>
      <c r="K246" t="inlineStr">
        <is>
          <t>TUB-R-AW-AUT-40.00X20.00X1.200X0.0950</t>
        </is>
      </c>
      <c r="L246" t="inlineStr">
        <is>
          <t>TVS</t>
        </is>
      </c>
      <c r="M246" t="inlineStr">
        <is>
          <t>40-20-1.2-CRFH-PE</t>
        </is>
      </c>
      <c r="N246" t="inlineStr">
        <is>
          <t>40-20-1.2-CRFH-PE-0.095</t>
        </is>
      </c>
    </row>
    <row r="247" hidden="1" s="584">
      <c r="A247" t="inlineStr">
        <is>
          <t>Scheduled at CTL-1</t>
        </is>
      </c>
      <c r="B247" t="n">
        <v>689</v>
      </c>
      <c r="C247" t="inlineStr">
        <is>
          <t>Sri Balaji Gears</t>
        </is>
      </c>
      <c r="D247" t="n">
        <v>1.2</v>
      </c>
      <c r="E247" t="n">
        <v>40</v>
      </c>
      <c r="F247" t="n">
        <v>20</v>
      </c>
      <c r="G247" t="n">
        <v>0.11</v>
      </c>
      <c r="H247" t="inlineStr">
        <is>
          <t>000000000111116372</t>
        </is>
      </c>
      <c r="I247" t="inlineStr">
        <is>
          <t>TM-R-AW-AUT-40.00X20.00X1.200X6.3100</t>
        </is>
      </c>
      <c r="J247" t="n">
        <v>3572047</v>
      </c>
      <c r="K247" t="inlineStr">
        <is>
          <t>TUB-R-AW-AUT-40.00X20.00X1.200X0.1100</t>
        </is>
      </c>
      <c r="L247" t="inlineStr">
        <is>
          <t>TVS</t>
        </is>
      </c>
      <c r="M247" t="inlineStr">
        <is>
          <t>40-20-1.2-CRFH-PE</t>
        </is>
      </c>
      <c r="N247" t="inlineStr">
        <is>
          <t>40-20-1.2-CRFH-PE-0.11</t>
        </is>
      </c>
    </row>
    <row r="248" hidden="1" s="584">
      <c r="A248" t="inlineStr">
        <is>
          <t>Scheduled at CTL-1</t>
        </is>
      </c>
      <c r="B248" t="n">
        <v>806</v>
      </c>
      <c r="C248" t="inlineStr">
        <is>
          <t>Sri Balaji Gears</t>
        </is>
      </c>
      <c r="D248" t="n">
        <v>1.2</v>
      </c>
      <c r="E248" t="n">
        <v>40</v>
      </c>
      <c r="F248" t="n">
        <v>20</v>
      </c>
      <c r="G248" t="n">
        <v>0.11</v>
      </c>
      <c r="H248" t="inlineStr">
        <is>
          <t>000000000111116372</t>
        </is>
      </c>
      <c r="I248" t="inlineStr">
        <is>
          <t>TM-R-AW-AUT-40.00X20.00X1.200X6.3100</t>
        </is>
      </c>
      <c r="J248" t="n">
        <v>3572047</v>
      </c>
      <c r="K248" t="inlineStr">
        <is>
          <t>TUB-R-AW-AUT-40.00X20.00X1.200X0.1100</t>
        </is>
      </c>
      <c r="L248" t="inlineStr">
        <is>
          <t>TVS</t>
        </is>
      </c>
      <c r="M248" t="inlineStr">
        <is>
          <t>40-20-1.2-CRFH-PE</t>
        </is>
      </c>
      <c r="N248" t="inlineStr">
        <is>
          <t>40-20-1.2-CRFH-PE-0.11</t>
        </is>
      </c>
    </row>
    <row r="249" hidden="1" s="584">
      <c r="A249" t="inlineStr">
        <is>
          <t>Scheduled at CTL-1</t>
        </is>
      </c>
      <c r="B249" t="n">
        <v>1123</v>
      </c>
      <c r="C249" t="inlineStr">
        <is>
          <t>Sri Balaji Gears</t>
        </is>
      </c>
      <c r="D249" t="n">
        <v>1.2</v>
      </c>
      <c r="E249" t="n">
        <v>40</v>
      </c>
      <c r="F249" t="n">
        <v>20</v>
      </c>
      <c r="G249" t="n">
        <v>0.755</v>
      </c>
      <c r="H249" t="inlineStr">
        <is>
          <t>000000000111001341</t>
        </is>
      </c>
      <c r="I249" t="inlineStr">
        <is>
          <t>TM-R-AD-RHS-40.00X20.00X1.210X6.1000</t>
        </is>
      </c>
      <c r="J249" t="n">
        <v>4151472</v>
      </c>
      <c r="K249" t="inlineStr">
        <is>
          <t>TUB-R-AW-AUT-40.00X20.00X1.200X0.7550</t>
        </is>
      </c>
      <c r="L249" t="inlineStr">
        <is>
          <t>TVS</t>
        </is>
      </c>
      <c r="M249" t="inlineStr">
        <is>
          <t>40-20-1.2-CRFH-PE</t>
        </is>
      </c>
      <c r="N249" t="inlineStr">
        <is>
          <t>40-20-1.2-CRFH-PE-0.755</t>
        </is>
      </c>
    </row>
    <row r="250" hidden="1" s="584">
      <c r="A250" t="inlineStr">
        <is>
          <t>Scheduled at CTL-1</t>
        </is>
      </c>
      <c r="B250" t="n">
        <v>1236</v>
      </c>
      <c r="C250" t="inlineStr">
        <is>
          <t>Sri Balaji Gears</t>
        </is>
      </c>
      <c r="D250" t="n">
        <v>1.2</v>
      </c>
      <c r="E250" t="n">
        <v>40</v>
      </c>
      <c r="F250" t="n">
        <v>20</v>
      </c>
      <c r="G250" t="n">
        <v>0.755</v>
      </c>
      <c r="H250" t="inlineStr">
        <is>
          <t>000000000111001341</t>
        </is>
      </c>
      <c r="I250" t="inlineStr">
        <is>
          <t>TM-R-AD-RHS-40.00X20.00X1.210X6.1000</t>
        </is>
      </c>
      <c r="J250" t="n">
        <v>4151472</v>
      </c>
      <c r="K250" t="inlineStr">
        <is>
          <t>TUB-R-AW-AUT-40.00X20.00X1.200X0.7550</t>
        </is>
      </c>
      <c r="L250" t="inlineStr">
        <is>
          <t>TVS</t>
        </is>
      </c>
      <c r="M250" t="inlineStr">
        <is>
          <t>40-20-1.2-CRFH-PE</t>
        </is>
      </c>
      <c r="N250" t="inlineStr">
        <is>
          <t>40-20-1.2-CRFH-PE-0.755</t>
        </is>
      </c>
    </row>
    <row r="251" hidden="1" s="584">
      <c r="A251" t="inlineStr">
        <is>
          <t>Scheduled at CTL-1</t>
        </is>
      </c>
      <c r="B251" t="n">
        <v>2340</v>
      </c>
      <c r="C251" t="inlineStr">
        <is>
          <t>Sri Balaji Gears</t>
        </is>
      </c>
      <c r="D251" t="n">
        <v>1.2</v>
      </c>
      <c r="E251" t="n">
        <v>40</v>
      </c>
      <c r="F251" t="n">
        <v>20</v>
      </c>
      <c r="G251" t="n">
        <v>0.755</v>
      </c>
      <c r="H251" t="inlineStr">
        <is>
          <t>000000000111001341</t>
        </is>
      </c>
      <c r="I251" t="inlineStr">
        <is>
          <t>TM-R-AD-RHS-40.00X20.00X1.210X6.1000</t>
        </is>
      </c>
      <c r="J251" t="n">
        <v>4151472</v>
      </c>
      <c r="K251" t="inlineStr">
        <is>
          <t>TUB-R-AW-AUT-40.00X20.00X1.200X0.7550</t>
        </is>
      </c>
      <c r="L251" t="inlineStr">
        <is>
          <t>TVS</t>
        </is>
      </c>
      <c r="M251" t="inlineStr">
        <is>
          <t>40-20-1.2-CRFH-PE</t>
        </is>
      </c>
      <c r="N251" t="inlineStr">
        <is>
          <t>40-20-1.2-CRFH-PE-0.755</t>
        </is>
      </c>
    </row>
    <row r="252" hidden="1" s="584">
      <c r="A252" t="inlineStr">
        <is>
          <t>Scheduled at CTL-1</t>
        </is>
      </c>
      <c r="B252" t="n">
        <v>2426</v>
      </c>
      <c r="C252" t="inlineStr">
        <is>
          <t>Sri Balaji Gears</t>
        </is>
      </c>
      <c r="D252" t="n">
        <v>1.2</v>
      </c>
      <c r="E252" t="n">
        <v>40</v>
      </c>
      <c r="F252" t="n">
        <v>20</v>
      </c>
      <c r="G252" t="n">
        <v>0.755</v>
      </c>
      <c r="H252" t="inlineStr">
        <is>
          <t>000000000111001341</t>
        </is>
      </c>
      <c r="I252" t="inlineStr">
        <is>
          <t>TM-R-AD-RHS-40.00X20.00X1.210X6.1000</t>
        </is>
      </c>
      <c r="J252" t="n">
        <v>4151472</v>
      </c>
      <c r="K252" t="inlineStr">
        <is>
          <t>TUB-R-AW-AUT-40.00X20.00X1.200X0.7550</t>
        </is>
      </c>
      <c r="L252" t="inlineStr">
        <is>
          <t>TVS</t>
        </is>
      </c>
      <c r="M252" t="inlineStr">
        <is>
          <t>40-20-1.2-CRFH-PE</t>
        </is>
      </c>
      <c r="N252" t="inlineStr">
        <is>
          <t>40-20-1.2-CRFH-PE-0.755</t>
        </is>
      </c>
    </row>
    <row r="253" hidden="1" s="584">
      <c r="A253" t="inlineStr">
        <is>
          <t>Scheduled at CTL-1</t>
        </is>
      </c>
      <c r="B253" t="n">
        <v>2372</v>
      </c>
      <c r="C253" t="inlineStr">
        <is>
          <t>Sri Balaji Gears</t>
        </is>
      </c>
      <c r="D253" t="n">
        <v>1.2</v>
      </c>
      <c r="E253" t="n">
        <v>40</v>
      </c>
      <c r="F253" t="n">
        <v>20</v>
      </c>
      <c r="G253" t="n">
        <v>0.755</v>
      </c>
      <c r="H253" t="inlineStr">
        <is>
          <t>000000000111001341</t>
        </is>
      </c>
      <c r="I253" t="inlineStr">
        <is>
          <t>TM-R-AD-RHS-40.00X20.00X1.210X6.1000</t>
        </is>
      </c>
      <c r="J253" t="n">
        <v>4151472</v>
      </c>
      <c r="K253" t="inlineStr">
        <is>
          <t>TUB-R-AW-AUT-40.00X20.00X1.200X0.7550</t>
        </is>
      </c>
      <c r="L253" t="inlineStr">
        <is>
          <t>TVS</t>
        </is>
      </c>
      <c r="M253" t="inlineStr">
        <is>
          <t>40-20-1.2-CRFH-PE</t>
        </is>
      </c>
      <c r="N253" t="inlineStr">
        <is>
          <t>40-20-1.2-CRFH-PE-0.755</t>
        </is>
      </c>
    </row>
    <row r="254" hidden="1" s="584">
      <c r="A254" t="inlineStr">
        <is>
          <t>Scheduled at CTL-1</t>
        </is>
      </c>
      <c r="B254" t="n">
        <v>2372</v>
      </c>
      <c r="C254" t="inlineStr">
        <is>
          <t>Sri Balaji Gears</t>
        </is>
      </c>
      <c r="D254" t="n">
        <v>1.2</v>
      </c>
      <c r="E254" t="n">
        <v>40</v>
      </c>
      <c r="F254" t="n">
        <v>20</v>
      </c>
      <c r="G254" t="n">
        <v>0.755</v>
      </c>
      <c r="H254" t="inlineStr">
        <is>
          <t>000000000111001341</t>
        </is>
      </c>
      <c r="I254" t="inlineStr">
        <is>
          <t>TM-R-AD-RHS-40.00X20.00X1.210X6.1000</t>
        </is>
      </c>
      <c r="J254" t="n">
        <v>4151472</v>
      </c>
      <c r="K254" t="inlineStr">
        <is>
          <t>TUB-R-AW-AUT-40.00X20.00X1.200X0.7550</t>
        </is>
      </c>
      <c r="L254" t="inlineStr">
        <is>
          <t>TVS</t>
        </is>
      </c>
      <c r="M254" t="inlineStr">
        <is>
          <t>40-20-1.2-CRFH-PE</t>
        </is>
      </c>
      <c r="N254" t="inlineStr">
        <is>
          <t>40-20-1.2-CRFH-PE-0.755</t>
        </is>
      </c>
    </row>
    <row r="255" hidden="1" s="584">
      <c r="A255" t="inlineStr">
        <is>
          <t>Scheduled at CTL-1</t>
        </is>
      </c>
      <c r="B255" t="n">
        <v>2339</v>
      </c>
      <c r="C255" t="inlineStr">
        <is>
          <t>Sri Balaji Gears</t>
        </is>
      </c>
      <c r="D255" t="n">
        <v>1.2</v>
      </c>
      <c r="E255" t="n">
        <v>40</v>
      </c>
      <c r="F255" t="n">
        <v>20</v>
      </c>
      <c r="G255" t="n">
        <v>0.755</v>
      </c>
      <c r="H255" t="inlineStr">
        <is>
          <t>000000000111001341</t>
        </is>
      </c>
      <c r="I255" t="inlineStr">
        <is>
          <t>TM-R-AD-RHS-40.00X20.00X1.210X6.1000</t>
        </is>
      </c>
      <c r="J255" t="n">
        <v>4151472</v>
      </c>
      <c r="K255" t="inlineStr">
        <is>
          <t>TUB-R-AW-AUT-40.00X20.00X1.200X0.7550</t>
        </is>
      </c>
      <c r="L255" t="inlineStr">
        <is>
          <t>TVS</t>
        </is>
      </c>
      <c r="M255" t="inlineStr">
        <is>
          <t>40-20-1.2-CRFH-PE</t>
        </is>
      </c>
      <c r="N255" t="inlineStr">
        <is>
          <t>40-20-1.2-CRFH-PE-0.755</t>
        </is>
      </c>
    </row>
    <row r="256" hidden="1" s="584">
      <c r="A256" t="inlineStr">
        <is>
          <t>Scheduled at CTL-1</t>
        </is>
      </c>
      <c r="B256" t="n">
        <v>1270</v>
      </c>
      <c r="C256" t="inlineStr">
        <is>
          <t>Sri Balaji Gears</t>
        </is>
      </c>
      <c r="D256" t="n">
        <v>1.2</v>
      </c>
      <c r="E256" t="n">
        <v>40</v>
      </c>
      <c r="F256" t="n">
        <v>20</v>
      </c>
      <c r="G256" t="n">
        <v>0.755</v>
      </c>
      <c r="H256" t="inlineStr">
        <is>
          <t>000000000111001341</t>
        </is>
      </c>
      <c r="I256" t="inlineStr">
        <is>
          <t>TM-R-AD-RHS-40.00X20.00X1.210X6.1000</t>
        </is>
      </c>
      <c r="J256" t="n">
        <v>4151472</v>
      </c>
      <c r="K256" t="inlineStr">
        <is>
          <t>TUB-R-AW-AUT-40.00X20.00X1.200X0.7550</t>
        </is>
      </c>
      <c r="L256" t="inlineStr">
        <is>
          <t>TVS</t>
        </is>
      </c>
      <c r="M256" t="inlineStr">
        <is>
          <t>40-20-1.2-CRFH-PE</t>
        </is>
      </c>
      <c r="N256" t="inlineStr">
        <is>
          <t>40-20-1.2-CRFH-PE-0.755</t>
        </is>
      </c>
    </row>
    <row r="257" hidden="1" s="584">
      <c r="A257" t="inlineStr">
        <is>
          <t>Scheduled at CTL-1</t>
        </is>
      </c>
      <c r="B257" t="n">
        <v>1270</v>
      </c>
      <c r="C257" t="inlineStr">
        <is>
          <t>Sri Balaji Gears</t>
        </is>
      </c>
      <c r="D257" t="n">
        <v>1.2</v>
      </c>
      <c r="E257" t="n">
        <v>40</v>
      </c>
      <c r="F257" t="n">
        <v>20</v>
      </c>
      <c r="G257" t="n">
        <v>0.755</v>
      </c>
      <c r="H257" t="inlineStr">
        <is>
          <t>000000000111001341</t>
        </is>
      </c>
      <c r="I257" t="inlineStr">
        <is>
          <t>TM-R-AD-RHS-40.00X20.00X1.210X6.1000</t>
        </is>
      </c>
      <c r="J257" t="n">
        <v>4151472</v>
      </c>
      <c r="K257" t="inlineStr">
        <is>
          <t>TUB-R-AW-AUT-40.00X20.00X1.200X0.7550</t>
        </is>
      </c>
      <c r="L257" t="inlineStr">
        <is>
          <t>TVS</t>
        </is>
      </c>
      <c r="M257" t="inlineStr">
        <is>
          <t>40-20-1.2-CRFH-PE</t>
        </is>
      </c>
      <c r="N257" t="inlineStr">
        <is>
          <t>40-20-1.2-CRFH-PE-0.755</t>
        </is>
      </c>
    </row>
    <row r="258" hidden="1" s="584">
      <c r="A258" t="inlineStr">
        <is>
          <t>Scheduled at CTL-1</t>
        </is>
      </c>
      <c r="B258" t="n">
        <v>1283</v>
      </c>
      <c r="C258" t="inlineStr">
        <is>
          <t>Sri Balaji Gears</t>
        </is>
      </c>
      <c r="D258" t="n">
        <v>1.2</v>
      </c>
      <c r="E258" t="n">
        <v>40</v>
      </c>
      <c r="F258" t="n">
        <v>20</v>
      </c>
      <c r="G258" t="n">
        <v>0.755</v>
      </c>
      <c r="H258" t="inlineStr">
        <is>
          <t>000000000111001341</t>
        </is>
      </c>
      <c r="I258" t="inlineStr">
        <is>
          <t>TM-R-AD-RHS-40.00X20.00X1.210X6.1000</t>
        </is>
      </c>
      <c r="J258" t="n">
        <v>4151472</v>
      </c>
      <c r="K258" t="inlineStr">
        <is>
          <t>TUB-R-AW-AUT-40.00X20.00X1.200X0.7550</t>
        </is>
      </c>
      <c r="L258" t="inlineStr">
        <is>
          <t>TVS</t>
        </is>
      </c>
      <c r="M258" t="inlineStr">
        <is>
          <t>40-20-1.2-CRFH-PE</t>
        </is>
      </c>
      <c r="N258" t="inlineStr">
        <is>
          <t>40-20-1.2-CRFH-PE-0.755</t>
        </is>
      </c>
    </row>
    <row r="259" hidden="1" s="584">
      <c r="A259" t="inlineStr">
        <is>
          <t>Scheduled at CTL-1</t>
        </is>
      </c>
      <c r="B259" t="n">
        <v>2180</v>
      </c>
      <c r="C259" t="inlineStr">
        <is>
          <t>Sri Balaji Gears</t>
        </is>
      </c>
      <c r="D259" t="n">
        <v>1.2</v>
      </c>
      <c r="E259" t="n">
        <v>40</v>
      </c>
      <c r="F259" t="n">
        <v>20</v>
      </c>
      <c r="G259" t="n">
        <v>0.755</v>
      </c>
      <c r="H259" t="inlineStr">
        <is>
          <t>000000000111001341</t>
        </is>
      </c>
      <c r="I259" t="inlineStr">
        <is>
          <t>TM-R-AD-RHS-40.00X20.00X1.210X6.1000</t>
        </is>
      </c>
      <c r="J259" t="n">
        <v>4151472</v>
      </c>
      <c r="K259" t="inlineStr">
        <is>
          <t>TUB-R-AW-AUT-40.00X20.00X1.200X0.7550</t>
        </is>
      </c>
      <c r="L259" t="inlineStr">
        <is>
          <t>TVS</t>
        </is>
      </c>
      <c r="M259" t="inlineStr">
        <is>
          <t>40-20-1.2-CRFH-PE</t>
        </is>
      </c>
      <c r="N259" t="inlineStr">
        <is>
          <t>40-20-1.2-CRFH-PE-0.755</t>
        </is>
      </c>
    </row>
    <row r="260" hidden="1" s="584">
      <c r="A260" t="inlineStr">
        <is>
          <t>Scheduled at CTL-1</t>
        </is>
      </c>
      <c r="B260" t="n">
        <v>1857</v>
      </c>
      <c r="C260" t="inlineStr">
        <is>
          <t>Sri Balaji Gears</t>
        </is>
      </c>
      <c r="D260" t="n">
        <v>1.2</v>
      </c>
      <c r="E260" t="n">
        <v>40</v>
      </c>
      <c r="F260" t="n">
        <v>20</v>
      </c>
      <c r="G260" t="n">
        <v>0.755</v>
      </c>
      <c r="H260" t="inlineStr">
        <is>
          <t>000000000111001341</t>
        </is>
      </c>
      <c r="I260" t="inlineStr">
        <is>
          <t>TM-R-AD-RHS-40.00X20.00X1.210X6.1000</t>
        </is>
      </c>
      <c r="J260" t="n">
        <v>4151472</v>
      </c>
      <c r="K260" t="inlineStr">
        <is>
          <t>TUB-R-AW-AUT-40.00X20.00X1.200X0.7550</t>
        </is>
      </c>
      <c r="L260" t="inlineStr">
        <is>
          <t>TVS</t>
        </is>
      </c>
      <c r="M260" t="inlineStr">
        <is>
          <t>40-20-1.2-CRFH-PE</t>
        </is>
      </c>
      <c r="N260" t="inlineStr">
        <is>
          <t>40-20-1.2-CRFH-PE-0.755</t>
        </is>
      </c>
    </row>
    <row r="261" hidden="1" s="584">
      <c r="A261" t="inlineStr">
        <is>
          <t>Scheduled at CTL-1</t>
        </is>
      </c>
      <c r="B261" t="n">
        <v>1800</v>
      </c>
      <c r="C261" t="inlineStr">
        <is>
          <t>Sri Balaji Gears</t>
        </is>
      </c>
      <c r="D261" t="n">
        <v>1.2</v>
      </c>
      <c r="E261" t="n">
        <v>40</v>
      </c>
      <c r="F261" t="n">
        <v>20</v>
      </c>
      <c r="G261" t="n">
        <v>0.755</v>
      </c>
      <c r="H261" t="inlineStr">
        <is>
          <t>000000000111001341</t>
        </is>
      </c>
      <c r="I261" t="inlineStr">
        <is>
          <t>TM-R-AD-RHS-40.00X20.00X1.210X6.1000</t>
        </is>
      </c>
      <c r="J261" t="n">
        <v>4151472</v>
      </c>
      <c r="K261" t="inlineStr">
        <is>
          <t>TUB-R-AW-AUT-40.00X20.00X1.200X0.7550</t>
        </is>
      </c>
      <c r="L261" t="inlineStr">
        <is>
          <t>TVS</t>
        </is>
      </c>
      <c r="M261" t="inlineStr">
        <is>
          <t>40-20-1.2-CRFH-PE</t>
        </is>
      </c>
      <c r="N261" t="inlineStr">
        <is>
          <t>40-20-1.2-CRFH-PE-0.755</t>
        </is>
      </c>
    </row>
    <row r="262" hidden="1" s="584">
      <c r="A262" t="inlineStr">
        <is>
          <t>Scheduled at CTL-1</t>
        </is>
      </c>
      <c r="B262" t="n">
        <v>5</v>
      </c>
      <c r="C262" t="inlineStr">
        <is>
          <t>Marathwada Auto Compo Pvt. Ltd</t>
        </is>
      </c>
      <c r="D262" t="n">
        <v>1.2</v>
      </c>
      <c r="E262" t="n">
        <v>40</v>
      </c>
      <c r="F262" t="n">
        <v>20</v>
      </c>
      <c r="G262" t="n">
        <v>0.86</v>
      </c>
      <c r="H262" t="inlineStr">
        <is>
          <t>000000000111001341</t>
        </is>
      </c>
      <c r="I262" t="inlineStr">
        <is>
          <t>TM-R-AD-RHS-40.00X20.00X1.210X6.1000</t>
        </is>
      </c>
      <c r="J262" t="n">
        <v>3572051</v>
      </c>
      <c r="K262" t="inlineStr">
        <is>
          <t>TUB-R-AW-AUT-40.00X20.00X1.200X0.8600</t>
        </is>
      </c>
      <c r="L262" t="inlineStr">
        <is>
          <t>TVS</t>
        </is>
      </c>
      <c r="M262" t="inlineStr">
        <is>
          <t>40-20-1.2-CRFH-PE</t>
        </is>
      </c>
      <c r="N262" t="inlineStr">
        <is>
          <t>40-20-1.2-CRFH-PE-0.86</t>
        </is>
      </c>
    </row>
    <row r="263" hidden="1" s="584">
      <c r="A263" t="inlineStr">
        <is>
          <t>Scheduled at CTL-1</t>
        </is>
      </c>
      <c r="B263" t="n">
        <v>2002</v>
      </c>
      <c r="C263" t="inlineStr">
        <is>
          <t>Sri Balaji Gears</t>
        </is>
      </c>
      <c r="D263" t="n">
        <v>1.2</v>
      </c>
      <c r="E263" t="n">
        <v>40</v>
      </c>
      <c r="F263" t="n">
        <v>20</v>
      </c>
      <c r="G263" t="n">
        <v>0.86</v>
      </c>
      <c r="H263" t="inlineStr">
        <is>
          <t>000000000111001341</t>
        </is>
      </c>
      <c r="I263" t="inlineStr">
        <is>
          <t>TM-R-AD-RHS-40.00X20.00X1.210X6.1000</t>
        </is>
      </c>
      <c r="J263" t="n">
        <v>3572051</v>
      </c>
      <c r="K263" t="inlineStr">
        <is>
          <t>TUB-R-AW-AUT-40.00X20.00X1.200X0.8600</t>
        </is>
      </c>
      <c r="L263" t="inlineStr">
        <is>
          <t>TVS</t>
        </is>
      </c>
      <c r="M263" t="inlineStr">
        <is>
          <t>40-20-1.2-CRFH-PE</t>
        </is>
      </c>
      <c r="N263" t="inlineStr">
        <is>
          <t>40-20-1.2-CRFH-PE-0.86</t>
        </is>
      </c>
    </row>
    <row r="264" hidden="1" s="584">
      <c r="A264" t="inlineStr">
        <is>
          <t>Scheduled at CTL-1</t>
        </is>
      </c>
      <c r="B264" t="n">
        <v>2212</v>
      </c>
      <c r="C264" t="inlineStr">
        <is>
          <t>Sri Balaji Gears</t>
        </is>
      </c>
      <c r="D264" t="n">
        <v>1.2</v>
      </c>
      <c r="E264" t="n">
        <v>40</v>
      </c>
      <c r="F264" t="n">
        <v>20</v>
      </c>
      <c r="G264" t="n">
        <v>0.86</v>
      </c>
      <c r="H264" t="inlineStr">
        <is>
          <t>000000000111001341</t>
        </is>
      </c>
      <c r="I264" t="inlineStr">
        <is>
          <t>TM-R-AD-RHS-40.00X20.00X1.210X6.1000</t>
        </is>
      </c>
      <c r="J264" t="n">
        <v>3572051</v>
      </c>
      <c r="K264" t="inlineStr">
        <is>
          <t>TUB-R-AW-AUT-40.00X20.00X1.200X0.8600</t>
        </is>
      </c>
      <c r="L264" t="inlineStr">
        <is>
          <t>TVS</t>
        </is>
      </c>
      <c r="M264" t="inlineStr">
        <is>
          <t>40-20-1.2-CRFH-PE</t>
        </is>
      </c>
      <c r="N264" t="inlineStr">
        <is>
          <t>40-20-1.2-CRFH-PE-0.86</t>
        </is>
      </c>
    </row>
    <row r="265" hidden="1" s="584">
      <c r="A265" t="inlineStr">
        <is>
          <t>Scheduled at CTL-1</t>
        </is>
      </c>
      <c r="B265" t="n">
        <v>2098</v>
      </c>
      <c r="C265" t="inlineStr">
        <is>
          <t>Sri Balaji Gears</t>
        </is>
      </c>
      <c r="D265" t="n">
        <v>1.2</v>
      </c>
      <c r="E265" t="n">
        <v>40</v>
      </c>
      <c r="F265" t="n">
        <v>20</v>
      </c>
      <c r="G265" t="n">
        <v>0.86</v>
      </c>
      <c r="H265" t="inlineStr">
        <is>
          <t>000000000111001341</t>
        </is>
      </c>
      <c r="I265" t="inlineStr">
        <is>
          <t>TM-R-AD-RHS-40.00X20.00X1.210X6.1000</t>
        </is>
      </c>
      <c r="J265" t="n">
        <v>3572051</v>
      </c>
      <c r="K265" t="inlineStr">
        <is>
          <t>TUB-R-AW-AUT-40.00X20.00X1.200X0.8600</t>
        </is>
      </c>
      <c r="L265" t="inlineStr">
        <is>
          <t>TVS</t>
        </is>
      </c>
      <c r="M265" t="inlineStr">
        <is>
          <t>40-20-1.2-CRFH-PE</t>
        </is>
      </c>
      <c r="N265" t="inlineStr">
        <is>
          <t>40-20-1.2-CRFH-PE-0.86</t>
        </is>
      </c>
    </row>
    <row r="266" hidden="1" s="584">
      <c r="A266" t="inlineStr">
        <is>
          <t>Scheduled at CTL-1</t>
        </is>
      </c>
      <c r="B266" t="n">
        <v>2046</v>
      </c>
      <c r="C266" t="inlineStr">
        <is>
          <t>Sri Balaji Gears</t>
        </is>
      </c>
      <c r="D266" t="n">
        <v>1.2</v>
      </c>
      <c r="E266" t="n">
        <v>40</v>
      </c>
      <c r="F266" t="n">
        <v>20</v>
      </c>
      <c r="G266" t="n">
        <v>0.86</v>
      </c>
      <c r="H266" t="inlineStr">
        <is>
          <t>000000000111001341</t>
        </is>
      </c>
      <c r="I266" t="inlineStr">
        <is>
          <t>TM-R-AD-RHS-40.00X20.00X1.210X6.1000</t>
        </is>
      </c>
      <c r="J266" t="n">
        <v>3572051</v>
      </c>
      <c r="K266" t="inlineStr">
        <is>
          <t>TUB-R-AW-AUT-40.00X20.00X1.200X0.8600</t>
        </is>
      </c>
      <c r="L266" t="inlineStr">
        <is>
          <t>TVS</t>
        </is>
      </c>
      <c r="M266" t="inlineStr">
        <is>
          <t>40-20-1.2-CRFH-PE</t>
        </is>
      </c>
      <c r="N266" t="inlineStr">
        <is>
          <t>40-20-1.2-CRFH-PE-0.86</t>
        </is>
      </c>
    </row>
    <row r="267" hidden="1" s="584">
      <c r="A267" t="inlineStr">
        <is>
          <t>Scheduled at CTL-1</t>
        </is>
      </c>
      <c r="B267" t="n">
        <v>1950</v>
      </c>
      <c r="C267" t="inlineStr">
        <is>
          <t>Sri Balaji Gears</t>
        </is>
      </c>
      <c r="D267" t="n">
        <v>1.2</v>
      </c>
      <c r="E267" t="n">
        <v>40</v>
      </c>
      <c r="F267" t="n">
        <v>20</v>
      </c>
      <c r="G267" t="n">
        <v>0.86</v>
      </c>
      <c r="H267" t="inlineStr">
        <is>
          <t>000000000111001341</t>
        </is>
      </c>
      <c r="I267" t="inlineStr">
        <is>
          <t>TM-R-AD-RHS-40.00X20.00X1.210X6.1000</t>
        </is>
      </c>
      <c r="J267" t="n">
        <v>3572051</v>
      </c>
      <c r="K267" t="inlineStr">
        <is>
          <t>TUB-R-AW-AUT-40.00X20.00X1.200X0.8600</t>
        </is>
      </c>
      <c r="L267" t="inlineStr">
        <is>
          <t>TVS</t>
        </is>
      </c>
      <c r="M267" t="inlineStr">
        <is>
          <t>40-20-1.2-CRFH-PE</t>
        </is>
      </c>
      <c r="N267" t="inlineStr">
        <is>
          <t>40-20-1.2-CRFH-PE-0.86</t>
        </is>
      </c>
    </row>
    <row r="268" hidden="1" s="584">
      <c r="A268" t="inlineStr">
        <is>
          <t>Scheduled at CTL-1</t>
        </is>
      </c>
      <c r="B268" t="n">
        <v>1907</v>
      </c>
      <c r="C268" t="inlineStr">
        <is>
          <t>Sri Balaji Gears</t>
        </is>
      </c>
      <c r="D268" t="n">
        <v>1.2</v>
      </c>
      <c r="E268" t="n">
        <v>40</v>
      </c>
      <c r="F268" t="n">
        <v>20</v>
      </c>
      <c r="G268" t="n">
        <v>0.86</v>
      </c>
      <c r="H268" t="inlineStr">
        <is>
          <t>000000000111001341</t>
        </is>
      </c>
      <c r="I268" t="inlineStr">
        <is>
          <t>TM-R-AD-RHS-40.00X20.00X1.210X6.1000</t>
        </is>
      </c>
      <c r="J268" t="n">
        <v>3572051</v>
      </c>
      <c r="K268" t="inlineStr">
        <is>
          <t>TUB-R-AW-AUT-40.00X20.00X1.200X0.8600</t>
        </is>
      </c>
      <c r="L268" t="inlineStr">
        <is>
          <t>TVS</t>
        </is>
      </c>
      <c r="M268" t="inlineStr">
        <is>
          <t>40-20-1.2-CRFH-PE</t>
        </is>
      </c>
      <c r="N268" t="inlineStr">
        <is>
          <t>40-20-1.2-CRFH-PE-0.86</t>
        </is>
      </c>
    </row>
    <row r="269" hidden="1" s="584">
      <c r="A269" t="inlineStr">
        <is>
          <t>Scheduled at CTL-1</t>
        </is>
      </c>
      <c r="B269" t="n">
        <v>1850</v>
      </c>
      <c r="C269" t="inlineStr">
        <is>
          <t>Sri Balaji Gears</t>
        </is>
      </c>
      <c r="D269" t="n">
        <v>1.2</v>
      </c>
      <c r="E269" t="n">
        <v>40</v>
      </c>
      <c r="F269" t="n">
        <v>20</v>
      </c>
      <c r="G269" t="n">
        <v>0.86</v>
      </c>
      <c r="H269" t="inlineStr">
        <is>
          <t>000000000111001341</t>
        </is>
      </c>
      <c r="I269" t="inlineStr">
        <is>
          <t>TM-R-AD-RHS-40.00X20.00X1.210X6.1000</t>
        </is>
      </c>
      <c r="J269" t="n">
        <v>3572051</v>
      </c>
      <c r="K269" t="inlineStr">
        <is>
          <t>TUB-R-AW-AUT-40.00X20.00X1.200X0.8600</t>
        </is>
      </c>
      <c r="L269" t="inlineStr">
        <is>
          <t>TVS</t>
        </is>
      </c>
      <c r="M269" t="inlineStr">
        <is>
          <t>40-20-1.2-CRFH-PE</t>
        </is>
      </c>
      <c r="N269" t="inlineStr">
        <is>
          <t>40-20-1.2-CRFH-PE-0.86</t>
        </is>
      </c>
    </row>
    <row r="270" hidden="1" s="584">
      <c r="A270" t="inlineStr">
        <is>
          <t>Scheduled at CTL-1</t>
        </is>
      </c>
      <c r="B270" t="n">
        <v>1849</v>
      </c>
      <c r="C270" t="inlineStr">
        <is>
          <t>Sri Balaji Gears</t>
        </is>
      </c>
      <c r="D270" t="n">
        <v>1.2</v>
      </c>
      <c r="E270" t="n">
        <v>40</v>
      </c>
      <c r="F270" t="n">
        <v>20</v>
      </c>
      <c r="G270" t="n">
        <v>0.86</v>
      </c>
      <c r="H270" t="inlineStr">
        <is>
          <t>000000000111001341</t>
        </is>
      </c>
      <c r="I270" t="inlineStr">
        <is>
          <t>TM-R-AD-RHS-40.00X20.00X1.210X6.1000</t>
        </is>
      </c>
      <c r="J270" t="n">
        <v>3572051</v>
      </c>
      <c r="K270" t="inlineStr">
        <is>
          <t>TUB-R-AW-AUT-40.00X20.00X1.200X0.8600</t>
        </is>
      </c>
      <c r="L270" t="inlineStr">
        <is>
          <t>TVS</t>
        </is>
      </c>
      <c r="M270" t="inlineStr">
        <is>
          <t>40-20-1.2-CRFH-PE</t>
        </is>
      </c>
      <c r="N270" t="inlineStr">
        <is>
          <t>40-20-1.2-CRFH-PE-0.86</t>
        </is>
      </c>
    </row>
    <row r="271" hidden="1" s="584">
      <c r="A271" t="inlineStr">
        <is>
          <t>Scheduled at CTL-1</t>
        </is>
      </c>
      <c r="B271" t="n">
        <v>1912</v>
      </c>
      <c r="C271" t="inlineStr">
        <is>
          <t>Sri Balaji Gears</t>
        </is>
      </c>
      <c r="D271" t="n">
        <v>1.2</v>
      </c>
      <c r="E271" t="n">
        <v>40</v>
      </c>
      <c r="F271" t="n">
        <v>20</v>
      </c>
      <c r="G271" t="n">
        <v>0.86</v>
      </c>
      <c r="H271" t="inlineStr">
        <is>
          <t>000000000111001341</t>
        </is>
      </c>
      <c r="I271" t="inlineStr">
        <is>
          <t>TM-R-AD-RHS-40.00X20.00X1.210X6.1000</t>
        </is>
      </c>
      <c r="J271" t="n">
        <v>3572051</v>
      </c>
      <c r="K271" t="inlineStr">
        <is>
          <t>TUB-R-AW-AUT-40.00X20.00X1.200X0.8600</t>
        </is>
      </c>
      <c r="L271" t="inlineStr">
        <is>
          <t>TVS</t>
        </is>
      </c>
      <c r="M271" t="inlineStr">
        <is>
          <t>40-20-1.2-CRFH-PE</t>
        </is>
      </c>
      <c r="N271" t="inlineStr">
        <is>
          <t>40-20-1.2-CRFH-PE-0.86</t>
        </is>
      </c>
    </row>
    <row r="272" hidden="1" s="584">
      <c r="A272" t="inlineStr">
        <is>
          <t>Scheduled at CTL-1</t>
        </is>
      </c>
      <c r="B272" t="n">
        <v>400</v>
      </c>
      <c r="C272" t="inlineStr">
        <is>
          <t>Marathwada Auto Compo Pvt. Ltd</t>
        </is>
      </c>
      <c r="D272" t="n">
        <v>1.21</v>
      </c>
      <c r="E272" t="n">
        <v>40</v>
      </c>
      <c r="F272" t="n">
        <v>20</v>
      </c>
      <c r="G272" t="n">
        <v>0.8</v>
      </c>
      <c r="H272" t="inlineStr">
        <is>
          <t>000000000111117595</t>
        </is>
      </c>
      <c r="I272" t="inlineStr">
        <is>
          <t>TM-R-AW-AUT-40.00X20.00X1.200X5.6800</t>
        </is>
      </c>
      <c r="J272" t="n">
        <v>3233557</v>
      </c>
      <c r="K272" t="inlineStr">
        <is>
          <t>TUB-R-AW-AUT-40.00X20.00X1.210X0.8000</t>
        </is>
      </c>
      <c r="L272" t="inlineStr">
        <is>
          <t>TVS</t>
        </is>
      </c>
      <c r="M272" t="inlineStr">
        <is>
          <t>40-20-1.2-CRFH-PE</t>
        </is>
      </c>
      <c r="N272" t="inlineStr">
        <is>
          <t>40-20-1.2-CRFH-PE-0.8</t>
        </is>
      </c>
    </row>
    <row r="273" hidden="1" s="584">
      <c r="A273" t="inlineStr">
        <is>
          <t>Scheduled at CTL-1</t>
        </is>
      </c>
      <c r="B273" t="n">
        <v>2364</v>
      </c>
      <c r="C273" t="inlineStr">
        <is>
          <t>Marathwada Auto Compo Pvt. Ltd</t>
        </is>
      </c>
      <c r="D273" t="n">
        <v>1.21</v>
      </c>
      <c r="E273" t="n">
        <v>40</v>
      </c>
      <c r="F273" t="n">
        <v>20</v>
      </c>
      <c r="G273" t="n">
        <v>0.8</v>
      </c>
      <c r="H273" t="inlineStr">
        <is>
          <t>000000000111117595</t>
        </is>
      </c>
      <c r="I273" t="inlineStr">
        <is>
          <t>TM-R-AW-AUT-40.00X20.00X1.200X5.6800</t>
        </is>
      </c>
      <c r="J273" t="n">
        <v>3233557</v>
      </c>
      <c r="K273" t="inlineStr">
        <is>
          <t>TUB-R-AW-AUT-40.00X20.00X1.210X0.8000</t>
        </is>
      </c>
      <c r="L273" t="inlineStr">
        <is>
          <t>TVS</t>
        </is>
      </c>
      <c r="M273" t="inlineStr">
        <is>
          <t>40-20-1.2-CRFH-PE</t>
        </is>
      </c>
      <c r="N273" t="inlineStr">
        <is>
          <t>40-20-1.2-CRFH-PE-0.8</t>
        </is>
      </c>
    </row>
    <row r="274" hidden="1" s="584">
      <c r="A274" t="inlineStr">
        <is>
          <t>Scheduled at CTL-1</t>
        </is>
      </c>
      <c r="B274" t="n">
        <v>2314</v>
      </c>
      <c r="C274" t="inlineStr">
        <is>
          <t>Marathwada Auto Compo Pvt. Ltd</t>
        </is>
      </c>
      <c r="D274" t="n">
        <v>1.21</v>
      </c>
      <c r="E274" t="n">
        <v>40</v>
      </c>
      <c r="F274" t="n">
        <v>20</v>
      </c>
      <c r="G274" t="n">
        <v>0.8</v>
      </c>
      <c r="H274" t="inlineStr">
        <is>
          <t>000000000111117595</t>
        </is>
      </c>
      <c r="I274" t="inlineStr">
        <is>
          <t>TM-R-AW-AUT-40.00X20.00X1.200X5.6800</t>
        </is>
      </c>
      <c r="J274" t="n">
        <v>3233557</v>
      </c>
      <c r="K274" t="inlineStr">
        <is>
          <t>TUB-R-AW-AUT-40.00X20.00X1.210X0.8000</t>
        </is>
      </c>
      <c r="L274" t="inlineStr">
        <is>
          <t>TVS</t>
        </is>
      </c>
      <c r="M274" t="inlineStr">
        <is>
          <t>40-20-1.2-CRFH-PE</t>
        </is>
      </c>
      <c r="N274" t="inlineStr">
        <is>
          <t>40-20-1.2-CRFH-PE-0.8</t>
        </is>
      </c>
    </row>
    <row r="275" hidden="1" s="584">
      <c r="A275" t="inlineStr">
        <is>
          <t>Scheduled at CTL-1</t>
        </is>
      </c>
      <c r="B275" t="n">
        <v>2035</v>
      </c>
      <c r="C275" t="inlineStr">
        <is>
          <t>Sri Balaji Gears</t>
        </is>
      </c>
      <c r="D275" t="n">
        <v>1.21</v>
      </c>
      <c r="E275" t="n">
        <v>40</v>
      </c>
      <c r="F275" t="n">
        <v>20</v>
      </c>
      <c r="G275" t="n">
        <v>1.12</v>
      </c>
      <c r="H275" t="inlineStr">
        <is>
          <t>000000000111117595</t>
        </is>
      </c>
      <c r="I275" t="inlineStr">
        <is>
          <t>TM-R-AW-AUT-40.00X20.00X1.200X5.6800</t>
        </is>
      </c>
      <c r="J275" t="n">
        <v>3233555</v>
      </c>
      <c r="K275" t="inlineStr">
        <is>
          <t>TUB-R-AW-AUT-40.00X20.00X1.210X1.1200</t>
        </is>
      </c>
      <c r="L275" t="inlineStr">
        <is>
          <t>TVS</t>
        </is>
      </c>
      <c r="M275" t="inlineStr">
        <is>
          <t>40-20-1.2-CRFH-PE</t>
        </is>
      </c>
      <c r="N275" t="inlineStr">
        <is>
          <t>40-20-1.2-CRFH-PE-1.12</t>
        </is>
      </c>
    </row>
    <row r="276" hidden="1" s="584">
      <c r="A276" t="inlineStr">
        <is>
          <t>Scheduled at CTL-1</t>
        </is>
      </c>
      <c r="B276" t="n">
        <v>2100</v>
      </c>
      <c r="C276" t="inlineStr">
        <is>
          <t>Sri Balaji Gears</t>
        </is>
      </c>
      <c r="D276" t="n">
        <v>1.21</v>
      </c>
      <c r="E276" t="n">
        <v>40</v>
      </c>
      <c r="F276" t="n">
        <v>20</v>
      </c>
      <c r="G276" t="n">
        <v>1.12</v>
      </c>
      <c r="H276" t="inlineStr">
        <is>
          <t>000000000111117595</t>
        </is>
      </c>
      <c r="I276" t="inlineStr">
        <is>
          <t>TM-R-AW-AUT-40.00X20.00X1.200X5.6800</t>
        </is>
      </c>
      <c r="J276" t="n">
        <v>3233555</v>
      </c>
      <c r="K276" t="inlineStr">
        <is>
          <t>TUB-R-AW-AUT-40.00X20.00X1.210X1.1200</t>
        </is>
      </c>
      <c r="L276" t="inlineStr">
        <is>
          <t>TVS</t>
        </is>
      </c>
      <c r="M276" t="inlineStr">
        <is>
          <t>40-20-1.2-CRFH-PE</t>
        </is>
      </c>
      <c r="N276" t="inlineStr">
        <is>
          <t>40-20-1.2-CRFH-PE-1.12</t>
        </is>
      </c>
    </row>
    <row r="277" hidden="1" s="584">
      <c r="A277" t="inlineStr">
        <is>
          <t>Scheduled at CTL-1</t>
        </is>
      </c>
      <c r="B277" t="n">
        <v>2076</v>
      </c>
      <c r="C277" t="inlineStr">
        <is>
          <t>Sri Balaji Gears</t>
        </is>
      </c>
      <c r="D277" t="n">
        <v>1.21</v>
      </c>
      <c r="E277" t="n">
        <v>40</v>
      </c>
      <c r="F277" t="n">
        <v>20</v>
      </c>
      <c r="G277" t="n">
        <v>1.12</v>
      </c>
      <c r="H277" t="inlineStr">
        <is>
          <t>000000000111117595</t>
        </is>
      </c>
      <c r="I277" t="inlineStr">
        <is>
          <t>TM-R-AW-AUT-40.00X20.00X1.200X5.6800</t>
        </is>
      </c>
      <c r="J277" t="n">
        <v>3233555</v>
      </c>
      <c r="K277" t="inlineStr">
        <is>
          <t>TUB-R-AW-AUT-40.00X20.00X1.210X1.1200</t>
        </is>
      </c>
      <c r="L277" t="inlineStr">
        <is>
          <t>TVS</t>
        </is>
      </c>
      <c r="M277" t="inlineStr">
        <is>
          <t>40-20-1.2-CRFH-PE</t>
        </is>
      </c>
      <c r="N277" t="inlineStr">
        <is>
          <t>40-20-1.2-CRFH-PE-1.12</t>
        </is>
      </c>
    </row>
    <row r="278" hidden="1" s="584">
      <c r="A278" t="inlineStr">
        <is>
          <t>Scheduled at CTL-1</t>
        </is>
      </c>
      <c r="B278" t="n">
        <v>2027</v>
      </c>
      <c r="C278" t="inlineStr">
        <is>
          <t>Sri Balaji Gears</t>
        </is>
      </c>
      <c r="D278" t="n">
        <v>1.21</v>
      </c>
      <c r="E278" t="n">
        <v>40</v>
      </c>
      <c r="F278" t="n">
        <v>20</v>
      </c>
      <c r="G278" t="n">
        <v>1.12</v>
      </c>
      <c r="H278" t="inlineStr">
        <is>
          <t>000000000111117595</t>
        </is>
      </c>
      <c r="I278" t="inlineStr">
        <is>
          <t>TM-R-AW-AUT-40.00X20.00X1.200X5.6800</t>
        </is>
      </c>
      <c r="J278" t="n">
        <v>3233555</v>
      </c>
      <c r="K278" t="inlineStr">
        <is>
          <t>TUB-R-AW-AUT-40.00X20.00X1.210X1.1200</t>
        </is>
      </c>
      <c r="L278" t="inlineStr">
        <is>
          <t>TVS</t>
        </is>
      </c>
      <c r="M278" t="inlineStr">
        <is>
          <t>40-20-1.2-CRFH-PE</t>
        </is>
      </c>
      <c r="N278" t="inlineStr">
        <is>
          <t>40-20-1.2-CRFH-PE-1.12</t>
        </is>
      </c>
    </row>
    <row r="279" hidden="1" s="584">
      <c r="A279" t="inlineStr">
        <is>
          <t>Scheduled at CTL-1</t>
        </is>
      </c>
      <c r="B279" t="n">
        <v>1870</v>
      </c>
      <c r="C279" t="inlineStr">
        <is>
          <t>Sri Balaji Gears</t>
        </is>
      </c>
      <c r="D279" t="n">
        <v>1.21</v>
      </c>
      <c r="E279" t="n">
        <v>40</v>
      </c>
      <c r="F279" t="n">
        <v>20</v>
      </c>
      <c r="G279" t="n">
        <v>1.12</v>
      </c>
      <c r="H279" t="inlineStr">
        <is>
          <t>000000000111117595</t>
        </is>
      </c>
      <c r="I279" t="inlineStr">
        <is>
          <t>TM-R-AW-AUT-40.00X20.00X1.200X5.6800</t>
        </is>
      </c>
      <c r="J279" t="n">
        <v>3233555</v>
      </c>
      <c r="K279" t="inlineStr">
        <is>
          <t>TUB-R-AW-AUT-40.00X20.00X1.210X1.1200</t>
        </is>
      </c>
      <c r="L279" t="inlineStr">
        <is>
          <t>TVS</t>
        </is>
      </c>
      <c r="M279" t="inlineStr">
        <is>
          <t>40-20-1.2-CRFH-PE</t>
        </is>
      </c>
      <c r="N279" t="inlineStr">
        <is>
          <t>40-20-1.2-CRFH-PE-1.12</t>
        </is>
      </c>
    </row>
    <row r="280" hidden="1" s="584">
      <c r="A280" t="inlineStr">
        <is>
          <t>Scheduled at CTL-1</t>
        </is>
      </c>
      <c r="B280" t="n">
        <v>930</v>
      </c>
      <c r="C280" t="inlineStr">
        <is>
          <t>Sri Balaji Gears</t>
        </is>
      </c>
      <c r="D280" t="n">
        <v>1.21</v>
      </c>
      <c r="E280" t="n">
        <v>40</v>
      </c>
      <c r="F280" t="n">
        <v>20</v>
      </c>
      <c r="G280" t="n">
        <v>1.12</v>
      </c>
      <c r="H280" t="inlineStr">
        <is>
          <t>000000000111117595</t>
        </is>
      </c>
      <c r="I280" t="inlineStr">
        <is>
          <t>TM-R-AW-AUT-40.00X20.00X1.200X5.6800</t>
        </is>
      </c>
      <c r="J280" t="n">
        <v>3233555</v>
      </c>
      <c r="K280" t="inlineStr">
        <is>
          <t>TUB-R-AW-AUT-40.00X20.00X1.210X1.1200</t>
        </is>
      </c>
      <c r="L280" t="inlineStr">
        <is>
          <t>TVS</t>
        </is>
      </c>
      <c r="M280" t="inlineStr">
        <is>
          <t>40-20-1.2-CRFH-PE</t>
        </is>
      </c>
      <c r="N280" t="inlineStr">
        <is>
          <t>40-20-1.2-CRFH-PE-1.12</t>
        </is>
      </c>
    </row>
    <row r="281" hidden="1" s="584">
      <c r="A281" t="inlineStr">
        <is>
          <t>Scheduled at CTL-1</t>
        </is>
      </c>
      <c r="B281" t="n">
        <v>2034</v>
      </c>
      <c r="C281" t="inlineStr">
        <is>
          <t>Sri Balaji Gears</t>
        </is>
      </c>
      <c r="D281" t="n">
        <v>1.21</v>
      </c>
      <c r="E281" t="n">
        <v>40</v>
      </c>
      <c r="F281" t="n">
        <v>20</v>
      </c>
      <c r="G281" t="n">
        <v>1.12</v>
      </c>
      <c r="H281" t="inlineStr">
        <is>
          <t>000000000111117595</t>
        </is>
      </c>
      <c r="I281" t="inlineStr">
        <is>
          <t>TM-R-AW-AUT-40.00X20.00X1.200X5.6800</t>
        </is>
      </c>
      <c r="J281" t="n">
        <v>3233555</v>
      </c>
      <c r="K281" t="inlineStr">
        <is>
          <t>TUB-R-AW-AUT-40.00X20.00X1.210X1.1200</t>
        </is>
      </c>
      <c r="L281" t="inlineStr">
        <is>
          <t>TVS</t>
        </is>
      </c>
      <c r="M281" t="inlineStr">
        <is>
          <t>40-20-1.2-CRFH-PE</t>
        </is>
      </c>
      <c r="N281" t="inlineStr">
        <is>
          <t>40-20-1.2-CRFH-PE-1.12</t>
        </is>
      </c>
    </row>
    <row r="282" hidden="1" s="584">
      <c r="A282" t="inlineStr">
        <is>
          <t>Scheduled at CTL-1</t>
        </is>
      </c>
      <c r="B282" t="n">
        <v>1926</v>
      </c>
      <c r="C282" t="inlineStr">
        <is>
          <t>Sri Balaji Gears</t>
        </is>
      </c>
      <c r="D282" t="n">
        <v>1.21</v>
      </c>
      <c r="E282" t="n">
        <v>40</v>
      </c>
      <c r="F282" t="n">
        <v>20</v>
      </c>
      <c r="G282" t="n">
        <v>1.12</v>
      </c>
      <c r="H282" t="inlineStr">
        <is>
          <t>000000000111117595</t>
        </is>
      </c>
      <c r="I282" t="inlineStr">
        <is>
          <t>TM-R-AW-AUT-40.00X20.00X1.200X5.6800</t>
        </is>
      </c>
      <c r="J282" t="n">
        <v>3233555</v>
      </c>
      <c r="K282" t="inlineStr">
        <is>
          <t>TUB-R-AW-AUT-40.00X20.00X1.210X1.1200</t>
        </is>
      </c>
      <c r="L282" t="inlineStr">
        <is>
          <t>TVS</t>
        </is>
      </c>
      <c r="M282" t="inlineStr">
        <is>
          <t>40-20-1.2-CRFH-PE</t>
        </is>
      </c>
      <c r="N282" t="inlineStr">
        <is>
          <t>40-20-1.2-CRFH-PE-1.12</t>
        </is>
      </c>
    </row>
    <row r="283" hidden="1" s="584">
      <c r="A283" t="inlineStr">
        <is>
          <t>Scheduled at CTL-1</t>
        </is>
      </c>
      <c r="B283" t="n">
        <v>1876</v>
      </c>
      <c r="C283" t="inlineStr">
        <is>
          <t>Sri Balaji Gears</t>
        </is>
      </c>
      <c r="D283" t="n">
        <v>1.21</v>
      </c>
      <c r="E283" t="n">
        <v>40</v>
      </c>
      <c r="F283" t="n">
        <v>20</v>
      </c>
      <c r="G283" t="n">
        <v>1.12</v>
      </c>
      <c r="H283" t="inlineStr">
        <is>
          <t>000000000111117595</t>
        </is>
      </c>
      <c r="I283" t="inlineStr">
        <is>
          <t>TM-R-AW-AUT-40.00X20.00X1.200X5.6800</t>
        </is>
      </c>
      <c r="J283" t="n">
        <v>3233555</v>
      </c>
      <c r="K283" t="inlineStr">
        <is>
          <t>TUB-R-AW-AUT-40.00X20.00X1.210X1.1200</t>
        </is>
      </c>
      <c r="L283" t="inlineStr">
        <is>
          <t>TVS</t>
        </is>
      </c>
      <c r="M283" t="inlineStr">
        <is>
          <t>40-20-1.2-CRFH-PE</t>
        </is>
      </c>
      <c r="N283" t="inlineStr">
        <is>
          <t>40-20-1.2-CRFH-PE-1.12</t>
        </is>
      </c>
    </row>
    <row r="284" hidden="1" s="584">
      <c r="A284" t="inlineStr">
        <is>
          <t>Scheduled at CTL-1</t>
        </is>
      </c>
      <c r="B284" t="n">
        <v>1901</v>
      </c>
      <c r="C284" t="inlineStr">
        <is>
          <t>Sri Balaji Gears</t>
        </is>
      </c>
      <c r="D284" t="n">
        <v>1.21</v>
      </c>
      <c r="E284" t="n">
        <v>40</v>
      </c>
      <c r="F284" t="n">
        <v>20</v>
      </c>
      <c r="G284" t="n">
        <v>1.12</v>
      </c>
      <c r="H284" t="inlineStr">
        <is>
          <t>000000000111117595</t>
        </is>
      </c>
      <c r="I284" t="inlineStr">
        <is>
          <t>TM-R-AW-AUT-40.00X20.00X1.200X5.6800</t>
        </is>
      </c>
      <c r="J284" t="n">
        <v>3233555</v>
      </c>
      <c r="K284" t="inlineStr">
        <is>
          <t>TUB-R-AW-AUT-40.00X20.00X1.210X1.1200</t>
        </is>
      </c>
      <c r="L284" t="inlineStr">
        <is>
          <t>TVS</t>
        </is>
      </c>
      <c r="M284" t="inlineStr">
        <is>
          <t>40-20-1.2-CRFH-PE</t>
        </is>
      </c>
      <c r="N284" t="inlineStr">
        <is>
          <t>40-20-1.2-CRFH-PE-1.12</t>
        </is>
      </c>
    </row>
    <row r="285" hidden="1" s="584">
      <c r="A285" t="inlineStr">
        <is>
          <t>Scheduled at CTL-1</t>
        </is>
      </c>
      <c r="B285" t="n">
        <v>932</v>
      </c>
      <c r="C285" t="inlineStr">
        <is>
          <t>Sri Balaji Gears</t>
        </is>
      </c>
      <c r="D285" t="n">
        <v>1.21</v>
      </c>
      <c r="E285" t="n">
        <v>40</v>
      </c>
      <c r="F285" t="n">
        <v>20</v>
      </c>
      <c r="G285" t="n">
        <v>1.12</v>
      </c>
      <c r="H285" t="inlineStr">
        <is>
          <t>000000000111117595</t>
        </is>
      </c>
      <c r="I285" t="inlineStr">
        <is>
          <t>TM-R-AW-AUT-40.00X20.00X1.200X5.6800</t>
        </is>
      </c>
      <c r="J285" t="n">
        <v>3233555</v>
      </c>
      <c r="K285" t="inlineStr">
        <is>
          <t>TUB-R-AW-AUT-40.00X20.00X1.210X1.1200</t>
        </is>
      </c>
      <c r="L285" t="inlineStr">
        <is>
          <t>TVS</t>
        </is>
      </c>
      <c r="M285" t="inlineStr">
        <is>
          <t>40-20-1.2-CRFH-PE</t>
        </is>
      </c>
      <c r="N285" t="inlineStr">
        <is>
          <t>40-20-1.2-CRFH-PE-1.12</t>
        </is>
      </c>
    </row>
    <row r="286" hidden="1" s="584">
      <c r="A286" t="inlineStr">
        <is>
          <t>Scheduled at CTL-1</t>
        </is>
      </c>
      <c r="B286" t="n">
        <v>1892</v>
      </c>
      <c r="C286" t="inlineStr">
        <is>
          <t>Sri Balaji Gears</t>
        </is>
      </c>
      <c r="D286" t="n">
        <v>1.21</v>
      </c>
      <c r="E286" t="n">
        <v>40</v>
      </c>
      <c r="F286" t="n">
        <v>20</v>
      </c>
      <c r="G286" t="n">
        <v>1.12</v>
      </c>
      <c r="H286" t="inlineStr">
        <is>
          <t>000000000111117595</t>
        </is>
      </c>
      <c r="I286" t="inlineStr">
        <is>
          <t>TM-R-AW-AUT-40.00X20.00X1.200X5.6800</t>
        </is>
      </c>
      <c r="J286" t="n">
        <v>3233555</v>
      </c>
      <c r="K286" t="inlineStr">
        <is>
          <t>TUB-R-AW-AUT-40.00X20.00X1.210X1.1200</t>
        </is>
      </c>
      <c r="L286" t="inlineStr">
        <is>
          <t>TVS</t>
        </is>
      </c>
      <c r="M286" t="inlineStr">
        <is>
          <t>40-20-1.2-CRFH-PE</t>
        </is>
      </c>
      <c r="N286" t="inlineStr">
        <is>
          <t>40-20-1.2-CRFH-PE-1.12</t>
        </is>
      </c>
    </row>
    <row r="287" hidden="1" s="584">
      <c r="A287" t="inlineStr">
        <is>
          <t>Scheduled at CTL-1</t>
        </is>
      </c>
      <c r="B287" t="n">
        <v>1276</v>
      </c>
      <c r="C287" t="inlineStr">
        <is>
          <t>Sri Balaji Gears</t>
        </is>
      </c>
      <c r="D287" t="n">
        <v>1.21</v>
      </c>
      <c r="E287" t="n">
        <v>40</v>
      </c>
      <c r="F287" t="n">
        <v>20</v>
      </c>
      <c r="G287" t="n">
        <v>1.12</v>
      </c>
      <c r="H287" t="inlineStr">
        <is>
          <t>000000000111117595</t>
        </is>
      </c>
      <c r="I287" t="inlineStr">
        <is>
          <t>TM-R-AW-AUT-40.00X20.00X1.200X5.6800</t>
        </is>
      </c>
      <c r="J287" t="n">
        <v>3233555</v>
      </c>
      <c r="K287" t="inlineStr">
        <is>
          <t>TUB-R-AW-AUT-40.00X20.00X1.210X1.1200</t>
        </is>
      </c>
      <c r="L287" t="inlineStr">
        <is>
          <t>TVS</t>
        </is>
      </c>
      <c r="M287" t="inlineStr">
        <is>
          <t>40-20-1.2-CRFH-PE</t>
        </is>
      </c>
      <c r="N287" t="inlineStr">
        <is>
          <t>40-20-1.2-CRFH-PE-1.12</t>
        </is>
      </c>
    </row>
    <row r="288" hidden="1" s="584">
      <c r="A288" t="inlineStr">
        <is>
          <t>Scheduled at CTL-1</t>
        </is>
      </c>
      <c r="B288" t="n">
        <v>1309</v>
      </c>
      <c r="C288" t="inlineStr">
        <is>
          <t>Sri Balaji Gears</t>
        </is>
      </c>
      <c r="D288" t="n">
        <v>1.21</v>
      </c>
      <c r="E288" t="n">
        <v>40</v>
      </c>
      <c r="F288" t="n">
        <v>20</v>
      </c>
      <c r="G288" t="n">
        <v>1.12</v>
      </c>
      <c r="H288" t="inlineStr">
        <is>
          <t>000000000111117595</t>
        </is>
      </c>
      <c r="I288" t="inlineStr">
        <is>
          <t>TM-R-AW-AUT-40.00X20.00X1.200X5.6800</t>
        </is>
      </c>
      <c r="J288" t="n">
        <v>3233555</v>
      </c>
      <c r="K288" t="inlineStr">
        <is>
          <t>TUB-R-AW-AUT-40.00X20.00X1.210X1.1200</t>
        </is>
      </c>
      <c r="L288" t="inlineStr">
        <is>
          <t>TVS</t>
        </is>
      </c>
      <c r="M288" t="inlineStr">
        <is>
          <t>40-20-1.2-CRFH-PE</t>
        </is>
      </c>
      <c r="N288" t="inlineStr">
        <is>
          <t>40-20-1.2-CRFH-PE-1.12</t>
        </is>
      </c>
    </row>
    <row r="289" hidden="1" s="584">
      <c r="A289" t="inlineStr">
        <is>
          <t>Scheduled at CTL-1</t>
        </is>
      </c>
      <c r="B289" t="n">
        <v>1309</v>
      </c>
      <c r="C289" t="inlineStr">
        <is>
          <t>Sri Balaji Gears</t>
        </is>
      </c>
      <c r="D289" t="n">
        <v>1.21</v>
      </c>
      <c r="E289" t="n">
        <v>40</v>
      </c>
      <c r="F289" t="n">
        <v>20</v>
      </c>
      <c r="G289" t="n">
        <v>1.12</v>
      </c>
      <c r="H289" t="inlineStr">
        <is>
          <t>000000000111117595</t>
        </is>
      </c>
      <c r="I289" t="inlineStr">
        <is>
          <t>TM-R-AW-AUT-40.00X20.00X1.200X5.6800</t>
        </is>
      </c>
      <c r="J289" t="n">
        <v>3233555</v>
      </c>
      <c r="K289" t="inlineStr">
        <is>
          <t>TUB-R-AW-AUT-40.00X20.00X1.210X1.1200</t>
        </is>
      </c>
      <c r="L289" t="inlineStr">
        <is>
          <t>TVS</t>
        </is>
      </c>
      <c r="M289" t="inlineStr">
        <is>
          <t>40-20-1.2-CRFH-PE</t>
        </is>
      </c>
      <c r="N289" t="inlineStr">
        <is>
          <t>40-20-1.2-CRFH-PE-1.12</t>
        </is>
      </c>
    </row>
    <row r="290" hidden="1" s="584">
      <c r="A290" t="inlineStr">
        <is>
          <t>Scheduled at CTL-1</t>
        </is>
      </c>
      <c r="B290" t="n">
        <v>1329</v>
      </c>
      <c r="C290" t="inlineStr">
        <is>
          <t>Sri Balaji Gears</t>
        </is>
      </c>
      <c r="D290" t="n">
        <v>1.21</v>
      </c>
      <c r="E290" t="n">
        <v>40</v>
      </c>
      <c r="F290" t="n">
        <v>20</v>
      </c>
      <c r="G290" t="n">
        <v>1.12</v>
      </c>
      <c r="H290" t="inlineStr">
        <is>
          <t>000000000111117595</t>
        </is>
      </c>
      <c r="I290" t="inlineStr">
        <is>
          <t>TM-R-AW-AUT-40.00X20.00X1.200X5.6800</t>
        </is>
      </c>
      <c r="J290" t="n">
        <v>3233555</v>
      </c>
      <c r="K290" t="inlineStr">
        <is>
          <t>TUB-R-AW-AUT-40.00X20.00X1.210X1.1200</t>
        </is>
      </c>
      <c r="L290" t="inlineStr">
        <is>
          <t>TVS</t>
        </is>
      </c>
      <c r="M290" t="inlineStr">
        <is>
          <t>40-20-1.2-CRFH-PE</t>
        </is>
      </c>
      <c r="N290" t="inlineStr">
        <is>
          <t>40-20-1.2-CRFH-PE-1.12</t>
        </is>
      </c>
    </row>
    <row r="291" hidden="1" s="584">
      <c r="A291" t="inlineStr">
        <is>
          <t>Scheduled at CTL-1</t>
        </is>
      </c>
      <c r="B291" t="n">
        <v>1871</v>
      </c>
      <c r="C291" t="inlineStr">
        <is>
          <t>Sri Balaji Gears</t>
        </is>
      </c>
      <c r="D291" t="n">
        <v>1.21</v>
      </c>
      <c r="E291" t="n">
        <v>40</v>
      </c>
      <c r="F291" t="n">
        <v>20</v>
      </c>
      <c r="G291" t="n">
        <v>1.12</v>
      </c>
      <c r="H291" t="inlineStr">
        <is>
          <t>000000000111117595</t>
        </is>
      </c>
      <c r="I291" t="inlineStr">
        <is>
          <t>TM-R-AW-AUT-40.00X20.00X1.200X5.6800</t>
        </is>
      </c>
      <c r="J291" t="n">
        <v>3233555</v>
      </c>
      <c r="K291" t="inlineStr">
        <is>
          <t>TUB-R-AW-AUT-40.00X20.00X1.210X1.1200</t>
        </is>
      </c>
      <c r="L291" t="inlineStr">
        <is>
          <t>TVS</t>
        </is>
      </c>
      <c r="M291" t="inlineStr">
        <is>
          <t>40-20-1.2-CRFH-PE</t>
        </is>
      </c>
      <c r="N291" t="inlineStr">
        <is>
          <t>40-20-1.2-CRFH-PE-1.12</t>
        </is>
      </c>
    </row>
    <row r="292" hidden="1" s="584">
      <c r="A292" t="inlineStr">
        <is>
          <t>Scheduled at CTL-1</t>
        </is>
      </c>
      <c r="B292" t="n">
        <v>1155</v>
      </c>
      <c r="C292" t="inlineStr">
        <is>
          <t>Sri Balaji Gears</t>
        </is>
      </c>
      <c r="D292" t="n">
        <v>1.21</v>
      </c>
      <c r="E292" t="n">
        <v>40</v>
      </c>
      <c r="F292" t="n">
        <v>20</v>
      </c>
      <c r="G292" t="n">
        <v>1.246</v>
      </c>
      <c r="H292" t="inlineStr">
        <is>
          <t>000000000111116372</t>
        </is>
      </c>
      <c r="I292" t="inlineStr">
        <is>
          <t>TM-R-AW-AUT-40.00X20.00X1.200X6.3100</t>
        </is>
      </c>
      <c r="J292" t="n">
        <v>3233554</v>
      </c>
      <c r="K292" t="inlineStr">
        <is>
          <t>TUB-R-AW-AUT-40.00X20.00X1.210X1.2460</t>
        </is>
      </c>
      <c r="L292" t="inlineStr">
        <is>
          <t>TVS</t>
        </is>
      </c>
      <c r="M292" t="inlineStr">
        <is>
          <t>40-20-1.2-CRFH-PE</t>
        </is>
      </c>
      <c r="N292" t="inlineStr">
        <is>
          <t>40-20-1.2-CRFH-PE-1.246</t>
        </is>
      </c>
    </row>
    <row r="293" hidden="1" s="584">
      <c r="A293" t="inlineStr">
        <is>
          <t>Scheduled at CTL-1</t>
        </is>
      </c>
      <c r="B293" t="n">
        <v>1725</v>
      </c>
      <c r="C293" t="inlineStr">
        <is>
          <t>Sri Balaji Gears</t>
        </is>
      </c>
      <c r="D293" t="n">
        <v>1.21</v>
      </c>
      <c r="E293" t="n">
        <v>40</v>
      </c>
      <c r="F293" t="n">
        <v>20</v>
      </c>
      <c r="G293" t="n">
        <v>1.246</v>
      </c>
      <c r="H293" t="inlineStr">
        <is>
          <t>000000000111116372</t>
        </is>
      </c>
      <c r="I293" t="inlineStr">
        <is>
          <t>TM-R-AW-AUT-40.00X20.00X1.200X6.3100</t>
        </is>
      </c>
      <c r="J293" t="n">
        <v>3233554</v>
      </c>
      <c r="K293" t="inlineStr">
        <is>
          <t>TUB-R-AW-AUT-40.00X20.00X1.210X1.2460</t>
        </is>
      </c>
      <c r="L293" t="inlineStr">
        <is>
          <t>TVS</t>
        </is>
      </c>
      <c r="M293" t="inlineStr">
        <is>
          <t>40-20-1.2-CRFH-PE</t>
        </is>
      </c>
      <c r="N293" t="inlineStr">
        <is>
          <t>40-20-1.2-CRFH-PE-1.246</t>
        </is>
      </c>
    </row>
    <row r="294" hidden="1" s="584">
      <c r="A294" t="inlineStr">
        <is>
          <t>Scheduled at CTL-1</t>
        </is>
      </c>
      <c r="B294" t="n">
        <v>1820</v>
      </c>
      <c r="C294" t="inlineStr">
        <is>
          <t>Sri Balaji Gears</t>
        </is>
      </c>
      <c r="D294" t="n">
        <v>1.21</v>
      </c>
      <c r="E294" t="n">
        <v>40</v>
      </c>
      <c r="F294" t="n">
        <v>20</v>
      </c>
      <c r="G294" t="n">
        <v>1.246</v>
      </c>
      <c r="H294" t="inlineStr">
        <is>
          <t>000000000111116372</t>
        </is>
      </c>
      <c r="I294" t="inlineStr">
        <is>
          <t>TM-R-AW-AUT-40.00X20.00X1.200X6.3100</t>
        </is>
      </c>
      <c r="J294" t="n">
        <v>3233554</v>
      </c>
      <c r="K294" t="inlineStr">
        <is>
          <t>TUB-R-AW-AUT-40.00X20.00X1.210X1.2460</t>
        </is>
      </c>
      <c r="L294" t="inlineStr">
        <is>
          <t>TVS</t>
        </is>
      </c>
      <c r="M294" t="inlineStr">
        <is>
          <t>40-20-1.2-CRFH-PE</t>
        </is>
      </c>
      <c r="N294" t="inlineStr">
        <is>
          <t>40-20-1.2-CRFH-PE-1.246</t>
        </is>
      </c>
    </row>
    <row r="295" hidden="1" s="584">
      <c r="A295" t="inlineStr">
        <is>
          <t>Scheduled at CTL-1</t>
        </is>
      </c>
      <c r="B295" t="n">
        <v>1860</v>
      </c>
      <c r="C295" t="inlineStr">
        <is>
          <t>Sri Balaji Gears</t>
        </is>
      </c>
      <c r="D295" t="n">
        <v>1.21</v>
      </c>
      <c r="E295" t="n">
        <v>40</v>
      </c>
      <c r="F295" t="n">
        <v>20</v>
      </c>
      <c r="G295" t="n">
        <v>1.246</v>
      </c>
      <c r="H295" t="inlineStr">
        <is>
          <t>000000000111116372</t>
        </is>
      </c>
      <c r="I295" t="inlineStr">
        <is>
          <t>TM-R-AW-AUT-40.00X20.00X1.200X6.3100</t>
        </is>
      </c>
      <c r="J295" t="n">
        <v>3233554</v>
      </c>
      <c r="K295" t="inlineStr">
        <is>
          <t>TUB-R-AW-AUT-40.00X20.00X1.210X1.2460</t>
        </is>
      </c>
      <c r="L295" t="inlineStr">
        <is>
          <t>TVS</t>
        </is>
      </c>
      <c r="M295" t="inlineStr">
        <is>
          <t>40-20-1.2-CRFH-PE</t>
        </is>
      </c>
      <c r="N295" t="inlineStr">
        <is>
          <t>40-20-1.2-CRFH-PE-1.246</t>
        </is>
      </c>
    </row>
    <row r="296" hidden="1" s="584">
      <c r="A296" t="inlineStr">
        <is>
          <t>Scheduled at CTL-1</t>
        </is>
      </c>
      <c r="B296" t="n">
        <v>1924</v>
      </c>
      <c r="C296" t="inlineStr">
        <is>
          <t>Sri Balaji Gears</t>
        </is>
      </c>
      <c r="D296" t="n">
        <v>1.21</v>
      </c>
      <c r="E296" t="n">
        <v>40</v>
      </c>
      <c r="F296" t="n">
        <v>20</v>
      </c>
      <c r="G296" t="n">
        <v>1.246</v>
      </c>
      <c r="H296" t="inlineStr">
        <is>
          <t>000000000111116372</t>
        </is>
      </c>
      <c r="I296" t="inlineStr">
        <is>
          <t>TM-R-AW-AUT-40.00X20.00X1.200X6.3100</t>
        </is>
      </c>
      <c r="J296" t="n">
        <v>3233554</v>
      </c>
      <c r="K296" t="inlineStr">
        <is>
          <t>TUB-R-AW-AUT-40.00X20.00X1.210X1.2460</t>
        </is>
      </c>
      <c r="L296" t="inlineStr">
        <is>
          <t>TVS</t>
        </is>
      </c>
      <c r="M296" t="inlineStr">
        <is>
          <t>40-20-1.2-CRFH-PE</t>
        </is>
      </c>
      <c r="N296" t="inlineStr">
        <is>
          <t>40-20-1.2-CRFH-PE-1.246</t>
        </is>
      </c>
    </row>
    <row r="297" hidden="1" s="584">
      <c r="A297" t="inlineStr">
        <is>
          <t>Scheduled at CTL-1</t>
        </is>
      </c>
      <c r="B297" t="n">
        <v>1921</v>
      </c>
      <c r="C297" t="inlineStr">
        <is>
          <t>Sri Balaji Gears</t>
        </is>
      </c>
      <c r="D297" t="n">
        <v>1.21</v>
      </c>
      <c r="E297" t="n">
        <v>40</v>
      </c>
      <c r="F297" t="n">
        <v>20</v>
      </c>
      <c r="G297" t="n">
        <v>1.246</v>
      </c>
      <c r="H297" t="inlineStr">
        <is>
          <t>000000000111116372</t>
        </is>
      </c>
      <c r="I297" t="inlineStr">
        <is>
          <t>TM-R-AW-AUT-40.00X20.00X1.200X6.3100</t>
        </is>
      </c>
      <c r="J297" t="n">
        <v>3233554</v>
      </c>
      <c r="K297" t="inlineStr">
        <is>
          <t>TUB-R-AW-AUT-40.00X20.00X1.210X1.2460</t>
        </is>
      </c>
      <c r="L297" t="inlineStr">
        <is>
          <t>TVS</t>
        </is>
      </c>
      <c r="M297" t="inlineStr">
        <is>
          <t>40-20-1.2-CRFH-PE</t>
        </is>
      </c>
      <c r="N297" t="inlineStr">
        <is>
          <t>40-20-1.2-CRFH-PE-1.246</t>
        </is>
      </c>
    </row>
    <row r="298" hidden="1" s="584">
      <c r="A298" t="inlineStr">
        <is>
          <t>Scheduled at CTL-1</t>
        </is>
      </c>
      <c r="B298" t="n">
        <v>1200</v>
      </c>
      <c r="C298" t="inlineStr">
        <is>
          <t>Sri Balaji Gears</t>
        </is>
      </c>
      <c r="D298" t="n">
        <v>1.21</v>
      </c>
      <c r="E298" t="n">
        <v>40</v>
      </c>
      <c r="F298" t="n">
        <v>20</v>
      </c>
      <c r="G298" t="n">
        <v>1.31</v>
      </c>
      <c r="H298" t="inlineStr">
        <is>
          <t>000000000110102927</t>
        </is>
      </c>
      <c r="I298" t="inlineStr">
        <is>
          <t>TM-R-AW-RHS-40.00X20.00X1.210X5.3100</t>
        </is>
      </c>
      <c r="J298" t="n">
        <v>1940801</v>
      </c>
      <c r="K298" t="inlineStr">
        <is>
          <t>TUB-R-AW-RHS-40.00X20.00X1.210X1.3100</t>
        </is>
      </c>
      <c r="L298" t="inlineStr">
        <is>
          <t>TVS</t>
        </is>
      </c>
      <c r="M298" t="inlineStr">
        <is>
          <t>40-20-1.2-CRFH-PE</t>
        </is>
      </c>
      <c r="N298" t="inlineStr">
        <is>
          <t>40-20-1.2-CRFH-PE-1.31</t>
        </is>
      </c>
    </row>
    <row r="299" hidden="1" s="584">
      <c r="A299" t="inlineStr">
        <is>
          <t>Scheduled at CTL-1</t>
        </is>
      </c>
      <c r="B299" t="n">
        <v>1234</v>
      </c>
      <c r="C299" t="inlineStr">
        <is>
          <t>Sri Balaji Gears</t>
        </is>
      </c>
      <c r="D299" t="n">
        <v>1.21</v>
      </c>
      <c r="E299" t="n">
        <v>40</v>
      </c>
      <c r="F299" t="n">
        <v>20</v>
      </c>
      <c r="G299" t="n">
        <v>1.31</v>
      </c>
      <c r="H299" t="inlineStr">
        <is>
          <t>000000000110102927</t>
        </is>
      </c>
      <c r="I299" t="inlineStr">
        <is>
          <t>TM-R-AW-RHS-40.00X20.00X1.210X5.3100</t>
        </is>
      </c>
      <c r="J299" t="n">
        <v>1940801</v>
      </c>
      <c r="K299" t="inlineStr">
        <is>
          <t>TUB-R-AW-RHS-40.00X20.00X1.210X1.3100</t>
        </is>
      </c>
      <c r="L299" t="inlineStr">
        <is>
          <t>TVS</t>
        </is>
      </c>
      <c r="M299" t="inlineStr">
        <is>
          <t>40-20-1.2-CRFH-PE</t>
        </is>
      </c>
      <c r="N299" t="inlineStr">
        <is>
          <t>40-20-1.2-CRFH-PE-1.31</t>
        </is>
      </c>
    </row>
    <row r="300" hidden="1" s="584">
      <c r="A300" t="inlineStr">
        <is>
          <t>Scheduled at CTL-1</t>
        </is>
      </c>
      <c r="B300" t="n">
        <v>1333</v>
      </c>
      <c r="C300" t="inlineStr">
        <is>
          <t>Sri Balaji Gears</t>
        </is>
      </c>
      <c r="D300" t="n">
        <v>1.21</v>
      </c>
      <c r="E300" t="n">
        <v>40</v>
      </c>
      <c r="F300" t="n">
        <v>20</v>
      </c>
      <c r="G300" t="n">
        <v>1.31</v>
      </c>
      <c r="H300" t="inlineStr">
        <is>
          <t>000000000110102927</t>
        </is>
      </c>
      <c r="I300" t="inlineStr">
        <is>
          <t>TM-R-AW-RHS-40.00X20.00X1.210X5.3100</t>
        </is>
      </c>
      <c r="J300" t="n">
        <v>1940801</v>
      </c>
      <c r="K300" t="inlineStr">
        <is>
          <t>TUB-R-AW-RHS-40.00X20.00X1.210X1.3100</t>
        </is>
      </c>
      <c r="L300" t="inlineStr">
        <is>
          <t>TVS</t>
        </is>
      </c>
      <c r="M300" t="inlineStr">
        <is>
          <t>40-20-1.2-CRFH-PE</t>
        </is>
      </c>
      <c r="N300" t="inlineStr">
        <is>
          <t>40-20-1.2-CRFH-PE-1.31</t>
        </is>
      </c>
    </row>
    <row r="301" hidden="1" s="584">
      <c r="A301" t="inlineStr">
        <is>
          <t>Scheduled at CTL-1</t>
        </is>
      </c>
      <c r="B301" t="n">
        <v>1281</v>
      </c>
      <c r="C301" t="inlineStr">
        <is>
          <t>Sri Balaji Gears</t>
        </is>
      </c>
      <c r="D301" t="n">
        <v>1.21</v>
      </c>
      <c r="E301" t="n">
        <v>40</v>
      </c>
      <c r="F301" t="n">
        <v>20</v>
      </c>
      <c r="G301" t="n">
        <v>1.31</v>
      </c>
      <c r="H301" t="inlineStr">
        <is>
          <t>000000000110102927</t>
        </is>
      </c>
      <c r="I301" t="inlineStr">
        <is>
          <t>TM-R-AW-RHS-40.00X20.00X1.210X5.3100</t>
        </is>
      </c>
      <c r="J301" t="n">
        <v>1940801</v>
      </c>
      <c r="K301" t="inlineStr">
        <is>
          <t>TUB-R-AW-RHS-40.00X20.00X1.210X1.3100</t>
        </is>
      </c>
      <c r="L301" t="inlineStr">
        <is>
          <t>TVS</t>
        </is>
      </c>
      <c r="M301" t="inlineStr">
        <is>
          <t>40-20-1.2-CRFH-PE</t>
        </is>
      </c>
      <c r="N301" t="inlineStr">
        <is>
          <t>40-20-1.2-CRFH-PE-1.31</t>
        </is>
      </c>
    </row>
    <row r="302" hidden="1" s="584">
      <c r="A302" t="inlineStr">
        <is>
          <t>Scheduled at CTL-1</t>
        </is>
      </c>
      <c r="B302" t="n">
        <v>1303</v>
      </c>
      <c r="C302" t="inlineStr">
        <is>
          <t>Sri Balaji Gears</t>
        </is>
      </c>
      <c r="D302" t="n">
        <v>1.21</v>
      </c>
      <c r="E302" t="n">
        <v>40</v>
      </c>
      <c r="F302" t="n">
        <v>20</v>
      </c>
      <c r="G302" t="n">
        <v>1.31</v>
      </c>
      <c r="H302" t="inlineStr">
        <is>
          <t>000000000110102927</t>
        </is>
      </c>
      <c r="I302" t="inlineStr">
        <is>
          <t>TM-R-AW-RHS-40.00X20.00X1.210X5.3100</t>
        </is>
      </c>
      <c r="J302" t="n">
        <v>1940801</v>
      </c>
      <c r="K302" t="inlineStr">
        <is>
          <t>TUB-R-AW-RHS-40.00X20.00X1.210X1.3100</t>
        </is>
      </c>
      <c r="L302" t="inlineStr">
        <is>
          <t>TVS</t>
        </is>
      </c>
      <c r="M302" t="inlineStr">
        <is>
          <t>40-20-1.2-CRFH-PE</t>
        </is>
      </c>
      <c r="N302" t="inlineStr">
        <is>
          <t>40-20-1.2-CRFH-PE-1.31</t>
        </is>
      </c>
    </row>
    <row r="303" hidden="1" s="584">
      <c r="A303" t="inlineStr">
        <is>
          <t>Scheduled at CTL-1</t>
        </is>
      </c>
      <c r="B303" t="n">
        <v>1110</v>
      </c>
      <c r="C303" t="inlineStr">
        <is>
          <t>Sri Balaji Gears</t>
        </is>
      </c>
      <c r="D303" t="n">
        <v>1.21</v>
      </c>
      <c r="E303" t="n">
        <v>40</v>
      </c>
      <c r="F303" t="n">
        <v>20</v>
      </c>
      <c r="G303" t="n">
        <v>1.31</v>
      </c>
      <c r="H303" t="inlineStr">
        <is>
          <t>000000000110102927</t>
        </is>
      </c>
      <c r="I303" t="inlineStr">
        <is>
          <t>TM-R-AW-RHS-40.00X20.00X1.210X5.3100</t>
        </is>
      </c>
      <c r="J303" t="n">
        <v>1940801</v>
      </c>
      <c r="K303" t="inlineStr">
        <is>
          <t>TUB-R-AW-RHS-40.00X20.00X1.210X1.3100</t>
        </is>
      </c>
      <c r="L303" t="inlineStr">
        <is>
          <t>TVS</t>
        </is>
      </c>
      <c r="M303" t="inlineStr">
        <is>
          <t>40-20-1.2-CRFH-PE</t>
        </is>
      </c>
      <c r="N303" t="inlineStr">
        <is>
          <t>40-20-1.2-CRFH-PE-1.31</t>
        </is>
      </c>
    </row>
    <row r="304" hidden="1" s="584">
      <c r="A304" t="inlineStr">
        <is>
          <t>Scheduled at CTL-1</t>
        </is>
      </c>
      <c r="B304" t="n">
        <v>1210</v>
      </c>
      <c r="C304" t="inlineStr">
        <is>
          <t>Sri Balaji Gears</t>
        </is>
      </c>
      <c r="D304" t="n">
        <v>1.21</v>
      </c>
      <c r="E304" t="n">
        <v>40</v>
      </c>
      <c r="F304" t="n">
        <v>20</v>
      </c>
      <c r="G304" t="n">
        <v>1.31</v>
      </c>
      <c r="H304" t="inlineStr">
        <is>
          <t>000000000110102927</t>
        </is>
      </c>
      <c r="I304" t="inlineStr">
        <is>
          <t>TM-R-AW-RHS-40.00X20.00X1.210X5.3100</t>
        </is>
      </c>
      <c r="J304" t="n">
        <v>1940801</v>
      </c>
      <c r="K304" t="inlineStr">
        <is>
          <t>TUB-R-AW-RHS-40.00X20.00X1.210X1.3100</t>
        </is>
      </c>
      <c r="L304" t="inlineStr">
        <is>
          <t>TVS</t>
        </is>
      </c>
      <c r="M304" t="inlineStr">
        <is>
          <t>40-20-1.2-CRFH-PE</t>
        </is>
      </c>
      <c r="N304" t="inlineStr">
        <is>
          <t>40-20-1.2-CRFH-PE-1.31</t>
        </is>
      </c>
    </row>
    <row r="305" hidden="1" s="584">
      <c r="A305" t="inlineStr">
        <is>
          <t>Scheduled at CTL-1</t>
        </is>
      </c>
      <c r="B305" t="n">
        <v>1185</v>
      </c>
      <c r="C305" t="inlineStr">
        <is>
          <t>Sri Balaji Gears</t>
        </is>
      </c>
      <c r="D305" t="n">
        <v>1.21</v>
      </c>
      <c r="E305" t="n">
        <v>40</v>
      </c>
      <c r="F305" t="n">
        <v>20</v>
      </c>
      <c r="G305" t="n">
        <v>1.31</v>
      </c>
      <c r="H305" t="inlineStr">
        <is>
          <t>000000000110102927</t>
        </is>
      </c>
      <c r="I305" t="inlineStr">
        <is>
          <t>TM-R-AW-RHS-40.00X20.00X1.210X5.3100</t>
        </is>
      </c>
      <c r="J305" t="n">
        <v>1940801</v>
      </c>
      <c r="K305" t="inlineStr">
        <is>
          <t>TUB-R-AW-RHS-40.00X20.00X1.210X1.3100</t>
        </is>
      </c>
      <c r="L305" t="inlineStr">
        <is>
          <t>TVS</t>
        </is>
      </c>
      <c r="M305" t="inlineStr">
        <is>
          <t>40-20-1.2-CRFH-PE</t>
        </is>
      </c>
      <c r="N305" t="inlineStr">
        <is>
          <t>40-20-1.2-CRFH-PE-1.31</t>
        </is>
      </c>
    </row>
    <row r="306" hidden="1" s="584">
      <c r="A306" t="inlineStr">
        <is>
          <t>Scheduled at CTL-1</t>
        </is>
      </c>
      <c r="B306" t="n">
        <v>1185</v>
      </c>
      <c r="C306" t="inlineStr">
        <is>
          <t>Sri Balaji Gears</t>
        </is>
      </c>
      <c r="D306" t="n">
        <v>1.21</v>
      </c>
      <c r="E306" t="n">
        <v>40</v>
      </c>
      <c r="F306" t="n">
        <v>20</v>
      </c>
      <c r="G306" t="n">
        <v>1.31</v>
      </c>
      <c r="H306" t="inlineStr">
        <is>
          <t>000000000110102927</t>
        </is>
      </c>
      <c r="I306" t="inlineStr">
        <is>
          <t>TM-R-AW-RHS-40.00X20.00X1.210X5.3100</t>
        </is>
      </c>
      <c r="J306" t="n">
        <v>1940801</v>
      </c>
      <c r="K306" t="inlineStr">
        <is>
          <t>TUB-R-AW-RHS-40.00X20.00X1.210X1.3100</t>
        </is>
      </c>
      <c r="L306" t="inlineStr">
        <is>
          <t>TVS</t>
        </is>
      </c>
      <c r="M306" t="inlineStr">
        <is>
          <t>40-20-1.2-CRFH-PE</t>
        </is>
      </c>
      <c r="N306" t="inlineStr">
        <is>
          <t>40-20-1.2-CRFH-PE-1.31</t>
        </is>
      </c>
    </row>
    <row r="307" hidden="1" s="584">
      <c r="A307" t="inlineStr">
        <is>
          <t>Scheduled at CTL-1</t>
        </is>
      </c>
      <c r="B307" t="n">
        <v>1150</v>
      </c>
      <c r="C307" t="inlineStr">
        <is>
          <t>Sri Balaji Gears</t>
        </is>
      </c>
      <c r="D307" t="n">
        <v>1.21</v>
      </c>
      <c r="E307" t="n">
        <v>40</v>
      </c>
      <c r="F307" t="n">
        <v>20</v>
      </c>
      <c r="G307" t="n">
        <v>1.31</v>
      </c>
      <c r="H307" t="inlineStr">
        <is>
          <t>000000000110102927</t>
        </is>
      </c>
      <c r="I307" t="inlineStr">
        <is>
          <t>TM-R-AW-RHS-40.00X20.00X1.210X5.3100</t>
        </is>
      </c>
      <c r="J307" t="n">
        <v>1940801</v>
      </c>
      <c r="K307" t="inlineStr">
        <is>
          <t>TUB-R-AW-RHS-40.00X20.00X1.210X1.3100</t>
        </is>
      </c>
      <c r="L307" t="inlineStr">
        <is>
          <t>TVS</t>
        </is>
      </c>
      <c r="M307" t="inlineStr">
        <is>
          <t>40-20-1.2-CRFH-PE</t>
        </is>
      </c>
      <c r="N307" t="inlineStr">
        <is>
          <t>40-20-1.2-CRFH-PE-1.31</t>
        </is>
      </c>
    </row>
    <row r="308" hidden="1" s="584">
      <c r="A308" t="inlineStr">
        <is>
          <t>Scheduled at CTL-1</t>
        </is>
      </c>
      <c r="B308" t="n">
        <v>1650</v>
      </c>
      <c r="C308" t="inlineStr">
        <is>
          <t>Sri Balaji Gears</t>
        </is>
      </c>
      <c r="D308" t="n">
        <v>1.21</v>
      </c>
      <c r="E308" t="n">
        <v>40</v>
      </c>
      <c r="F308" t="n">
        <v>20</v>
      </c>
      <c r="G308" t="n">
        <v>1.31</v>
      </c>
      <c r="H308" t="inlineStr">
        <is>
          <t>000000000110102927</t>
        </is>
      </c>
      <c r="I308" t="inlineStr">
        <is>
          <t>TM-R-AW-RHS-40.00X20.00X1.210X5.3100</t>
        </is>
      </c>
      <c r="J308" t="n">
        <v>1940801</v>
      </c>
      <c r="K308" t="inlineStr">
        <is>
          <t>TUB-R-AW-RHS-40.00X20.00X1.210X1.3100</t>
        </is>
      </c>
      <c r="L308" t="inlineStr">
        <is>
          <t>TVS</t>
        </is>
      </c>
      <c r="M308" t="inlineStr">
        <is>
          <t>40-20-1.2-CRFH-PE</t>
        </is>
      </c>
      <c r="N308" t="inlineStr">
        <is>
          <t>40-20-1.2-CRFH-PE-1.31</t>
        </is>
      </c>
    </row>
    <row r="309" hidden="1" s="584">
      <c r="A309" t="inlineStr">
        <is>
          <t>Scheduled at CTL-1</t>
        </is>
      </c>
      <c r="B309" t="n">
        <v>1660</v>
      </c>
      <c r="C309" t="inlineStr">
        <is>
          <t>Sri Balaji Gears</t>
        </is>
      </c>
      <c r="D309" t="n">
        <v>1.21</v>
      </c>
      <c r="E309" t="n">
        <v>40</v>
      </c>
      <c r="F309" t="n">
        <v>20</v>
      </c>
      <c r="G309" t="n">
        <v>1.31</v>
      </c>
      <c r="H309" t="inlineStr">
        <is>
          <t>000000000110102927</t>
        </is>
      </c>
      <c r="I309" t="inlineStr">
        <is>
          <t>TM-R-AW-RHS-40.00X20.00X1.210X5.3100</t>
        </is>
      </c>
      <c r="J309" t="n">
        <v>1940801</v>
      </c>
      <c r="K309" t="inlineStr">
        <is>
          <t>TUB-R-AW-RHS-40.00X20.00X1.210X1.3100</t>
        </is>
      </c>
      <c r="L309" t="inlineStr">
        <is>
          <t>TVS</t>
        </is>
      </c>
      <c r="M309" t="inlineStr">
        <is>
          <t>40-20-1.2-CRFH-PE</t>
        </is>
      </c>
      <c r="N309" t="inlineStr">
        <is>
          <t>40-20-1.2-CRFH-PE-1.31</t>
        </is>
      </c>
    </row>
    <row r="310" hidden="1" s="584">
      <c r="A310" t="inlineStr">
        <is>
          <t>Scheduled at CTL-1</t>
        </is>
      </c>
      <c r="B310" t="n">
        <v>1640</v>
      </c>
      <c r="C310" t="inlineStr">
        <is>
          <t>Sri Balaji Gears</t>
        </is>
      </c>
      <c r="D310" t="n">
        <v>1.21</v>
      </c>
      <c r="E310" t="n">
        <v>40</v>
      </c>
      <c r="F310" t="n">
        <v>20</v>
      </c>
      <c r="G310" t="n">
        <v>1.31</v>
      </c>
      <c r="H310" t="inlineStr">
        <is>
          <t>000000000110102927</t>
        </is>
      </c>
      <c r="I310" t="inlineStr">
        <is>
          <t>TM-R-AW-RHS-40.00X20.00X1.210X5.3100</t>
        </is>
      </c>
      <c r="J310" t="n">
        <v>1940801</v>
      </c>
      <c r="K310" t="inlineStr">
        <is>
          <t>TUB-R-AW-RHS-40.00X20.00X1.210X1.3100</t>
        </is>
      </c>
      <c r="L310" t="inlineStr">
        <is>
          <t>TVS</t>
        </is>
      </c>
      <c r="M310" t="inlineStr">
        <is>
          <t>40-20-1.2-CRFH-PE</t>
        </is>
      </c>
      <c r="N310" t="inlineStr">
        <is>
          <t>40-20-1.2-CRFH-PE-1.31</t>
        </is>
      </c>
    </row>
    <row r="311" hidden="1" s="584">
      <c r="A311" t="inlineStr">
        <is>
          <t>Scheduled at CTL-1</t>
        </is>
      </c>
      <c r="B311" t="n">
        <v>1640</v>
      </c>
      <c r="C311" t="inlineStr">
        <is>
          <t>Sri Balaji Gears</t>
        </is>
      </c>
      <c r="D311" t="n">
        <v>1.21</v>
      </c>
      <c r="E311" t="n">
        <v>40</v>
      </c>
      <c r="F311" t="n">
        <v>20</v>
      </c>
      <c r="G311" t="n">
        <v>1.31</v>
      </c>
      <c r="H311" t="inlineStr">
        <is>
          <t>000000000110102927</t>
        </is>
      </c>
      <c r="I311" t="inlineStr">
        <is>
          <t>TM-R-AW-RHS-40.00X20.00X1.210X5.3100</t>
        </is>
      </c>
      <c r="J311" t="n">
        <v>1940801</v>
      </c>
      <c r="K311" t="inlineStr">
        <is>
          <t>TUB-R-AW-RHS-40.00X20.00X1.210X1.3100</t>
        </is>
      </c>
      <c r="L311" t="inlineStr">
        <is>
          <t>TVS</t>
        </is>
      </c>
      <c r="M311" t="inlineStr">
        <is>
          <t>40-20-1.2-CRFH-PE</t>
        </is>
      </c>
      <c r="N311" t="inlineStr">
        <is>
          <t>40-20-1.2-CRFH-PE-1.31</t>
        </is>
      </c>
    </row>
    <row r="312" hidden="1" s="584">
      <c r="A312" t="inlineStr">
        <is>
          <t>Scheduled at CTL-1</t>
        </is>
      </c>
      <c r="B312" t="n">
        <v>1836</v>
      </c>
      <c r="C312" t="inlineStr">
        <is>
          <t>Sri Balaji Gears</t>
        </is>
      </c>
      <c r="D312" t="n">
        <v>1.21</v>
      </c>
      <c r="E312" t="n">
        <v>40</v>
      </c>
      <c r="F312" t="n">
        <v>20</v>
      </c>
      <c r="G312" t="n">
        <v>1.31</v>
      </c>
      <c r="H312" t="inlineStr">
        <is>
          <t>000000000110102927</t>
        </is>
      </c>
      <c r="I312" t="inlineStr">
        <is>
          <t>TM-R-AW-RHS-40.00X20.00X1.210X5.3100</t>
        </is>
      </c>
      <c r="J312" t="n">
        <v>1940801</v>
      </c>
      <c r="K312" t="inlineStr">
        <is>
          <t>TUB-R-AW-RHS-40.00X20.00X1.210X1.3100</t>
        </is>
      </c>
      <c r="L312" t="inlineStr">
        <is>
          <t>TVS</t>
        </is>
      </c>
      <c r="M312" t="inlineStr">
        <is>
          <t>40-20-1.2-CRFH-PE</t>
        </is>
      </c>
      <c r="N312" t="inlineStr">
        <is>
          <t>40-20-1.2-CRFH-PE-1.31</t>
        </is>
      </c>
    </row>
    <row r="313" hidden="1" s="584">
      <c r="A313" t="inlineStr">
        <is>
          <t>Scheduled at CTL-1</t>
        </is>
      </c>
      <c r="B313" t="n">
        <v>1960</v>
      </c>
      <c r="C313" t="inlineStr">
        <is>
          <t>Sri Balaji Gears</t>
        </is>
      </c>
      <c r="D313" t="n">
        <v>1.21</v>
      </c>
      <c r="E313" t="n">
        <v>40</v>
      </c>
      <c r="F313" t="n">
        <v>20</v>
      </c>
      <c r="G313" t="n">
        <v>1.31</v>
      </c>
      <c r="H313" t="inlineStr">
        <is>
          <t>000000000110102927</t>
        </is>
      </c>
      <c r="I313" t="inlineStr">
        <is>
          <t>TM-R-AW-RHS-40.00X20.00X1.210X5.3100</t>
        </is>
      </c>
      <c r="J313" t="n">
        <v>1940801</v>
      </c>
      <c r="K313" t="inlineStr">
        <is>
          <t>TUB-R-AW-RHS-40.00X20.00X1.210X1.3100</t>
        </is>
      </c>
      <c r="L313" t="inlineStr">
        <is>
          <t>TVS</t>
        </is>
      </c>
      <c r="M313" t="inlineStr">
        <is>
          <t>40-20-1.2-CRFH-PE</t>
        </is>
      </c>
      <c r="N313" t="inlineStr">
        <is>
          <t>40-20-1.2-CRFH-PE-1.31</t>
        </is>
      </c>
    </row>
    <row r="314" hidden="1" s="584">
      <c r="A314" t="inlineStr">
        <is>
          <t>Scheduled at CTL-1</t>
        </is>
      </c>
      <c r="B314" t="n">
        <v>2150</v>
      </c>
      <c r="C314" t="inlineStr">
        <is>
          <t>Sri Balaji Gears</t>
        </is>
      </c>
      <c r="D314" t="n">
        <v>1.21</v>
      </c>
      <c r="E314" t="n">
        <v>40</v>
      </c>
      <c r="F314" t="n">
        <v>20</v>
      </c>
      <c r="G314" t="n">
        <v>1.31</v>
      </c>
      <c r="H314" t="inlineStr">
        <is>
          <t>000000000110102927</t>
        </is>
      </c>
      <c r="I314" t="inlineStr">
        <is>
          <t>TM-R-AW-RHS-40.00X20.00X1.210X5.3100</t>
        </is>
      </c>
      <c r="J314" t="n">
        <v>1940801</v>
      </c>
      <c r="K314" t="inlineStr">
        <is>
          <t>TUB-R-AW-RHS-40.00X20.00X1.210X1.3100</t>
        </is>
      </c>
      <c r="L314" t="inlineStr">
        <is>
          <t>TVS</t>
        </is>
      </c>
      <c r="M314" t="inlineStr">
        <is>
          <t>40-20-1.2-CRFH-PE</t>
        </is>
      </c>
      <c r="N314" t="inlineStr">
        <is>
          <t>40-20-1.2-CRFH-PE-1.31</t>
        </is>
      </c>
    </row>
    <row r="315" hidden="1" s="584">
      <c r="A315" t="inlineStr">
        <is>
          <t>Scheduled at CTL-1</t>
        </is>
      </c>
      <c r="B315" t="n">
        <v>1715</v>
      </c>
      <c r="C315" t="inlineStr">
        <is>
          <t>Sri Balaji Gears</t>
        </is>
      </c>
      <c r="D315" t="n">
        <v>1.21</v>
      </c>
      <c r="E315" t="n">
        <v>40</v>
      </c>
      <c r="F315" t="n">
        <v>20</v>
      </c>
      <c r="G315" t="n">
        <v>1.31</v>
      </c>
      <c r="H315" t="inlineStr">
        <is>
          <t>000000000110102927</t>
        </is>
      </c>
      <c r="I315" t="inlineStr">
        <is>
          <t>TM-R-AW-RHS-40.00X20.00X1.210X5.3100</t>
        </is>
      </c>
      <c r="J315" t="n">
        <v>1940801</v>
      </c>
      <c r="K315" t="inlineStr">
        <is>
          <t>TUB-R-AW-RHS-40.00X20.00X1.210X1.3100</t>
        </is>
      </c>
      <c r="L315" t="inlineStr">
        <is>
          <t>TVS</t>
        </is>
      </c>
      <c r="M315" t="inlineStr">
        <is>
          <t>40-20-1.2-CRFH-PE</t>
        </is>
      </c>
      <c r="N315" t="inlineStr">
        <is>
          <t>40-20-1.2-CRFH-PE-1.31</t>
        </is>
      </c>
    </row>
    <row r="316" hidden="1" s="584">
      <c r="A316" t="inlineStr">
        <is>
          <t>Scheduled at CTL-1</t>
        </is>
      </c>
      <c r="B316" t="n">
        <v>2185</v>
      </c>
      <c r="C316" t="inlineStr">
        <is>
          <t>Sri Balaji Gears</t>
        </is>
      </c>
      <c r="D316" t="n">
        <v>1.21</v>
      </c>
      <c r="E316" t="n">
        <v>40</v>
      </c>
      <c r="F316" t="n">
        <v>20</v>
      </c>
      <c r="G316" t="n">
        <v>1.31</v>
      </c>
      <c r="H316" t="inlineStr">
        <is>
          <t>000000000110102927</t>
        </is>
      </c>
      <c r="I316" t="inlineStr">
        <is>
          <t>TM-R-AW-RHS-40.00X20.00X1.210X5.3100</t>
        </is>
      </c>
      <c r="J316" t="n">
        <v>1940801</v>
      </c>
      <c r="K316" t="inlineStr">
        <is>
          <t>TUB-R-AW-RHS-40.00X20.00X1.210X1.3100</t>
        </is>
      </c>
      <c r="L316" t="inlineStr">
        <is>
          <t>TVS</t>
        </is>
      </c>
      <c r="M316" t="inlineStr">
        <is>
          <t>40-20-1.2-CRFH-PE</t>
        </is>
      </c>
      <c r="N316" t="inlineStr">
        <is>
          <t>40-20-1.2-CRFH-PE-1.31</t>
        </is>
      </c>
    </row>
    <row r="317" hidden="1" s="584">
      <c r="A317" t="inlineStr">
        <is>
          <t>Packing</t>
        </is>
      </c>
      <c r="B317" t="n">
        <v>1789</v>
      </c>
      <c r="C317" t="inlineStr">
        <is>
          <t>Sri Balaji Gears</t>
        </is>
      </c>
      <c r="D317" t="n">
        <v>1.21</v>
      </c>
      <c r="E317" t="n">
        <v>40</v>
      </c>
      <c r="F317" t="n">
        <v>20</v>
      </c>
      <c r="G317" t="n">
        <v>5.31</v>
      </c>
      <c r="H317" t="inlineStr">
        <is>
          <t>000000000110102927</t>
        </is>
      </c>
      <c r="I317" t="inlineStr">
        <is>
          <t>TM-R-AW-RHS-40.00X20.00X1.210X5.3100</t>
        </is>
      </c>
      <c r="J317" t="n">
        <v>3731692</v>
      </c>
      <c r="K317" t="inlineStr">
        <is>
          <t>TUB-R-AW-AUT-40.00X20.00X1.210X5.3100</t>
        </is>
      </c>
      <c r="L317" t="inlineStr">
        <is>
          <t>TVS</t>
        </is>
      </c>
      <c r="M317" t="inlineStr">
        <is>
          <t>40-20-1.2-CRFH-PE</t>
        </is>
      </c>
    </row>
    <row r="318" hidden="1" s="584">
      <c r="A318" t="inlineStr">
        <is>
          <t>Packing</t>
        </is>
      </c>
      <c r="B318" t="n">
        <v>1677</v>
      </c>
      <c r="C318" t="inlineStr">
        <is>
          <t>Sri Balaji Gears</t>
        </is>
      </c>
      <c r="D318" t="n">
        <v>1.21</v>
      </c>
      <c r="E318" t="n">
        <v>40</v>
      </c>
      <c r="F318" t="n">
        <v>20</v>
      </c>
      <c r="G318" t="n">
        <v>5.31</v>
      </c>
      <c r="H318" t="inlineStr">
        <is>
          <t>000000000110102927</t>
        </is>
      </c>
      <c r="I318" t="inlineStr">
        <is>
          <t>TM-R-AW-RHS-40.00X20.00X1.210X5.3100</t>
        </is>
      </c>
      <c r="J318" t="n">
        <v>3731692</v>
      </c>
      <c r="K318" t="inlineStr">
        <is>
          <t>TUB-R-AW-AUT-40.00X20.00X1.210X5.3100</t>
        </is>
      </c>
      <c r="L318" t="inlineStr">
        <is>
          <t>TVS</t>
        </is>
      </c>
      <c r="M318" t="inlineStr">
        <is>
          <t>40-20-1.2-CRFH-PE</t>
        </is>
      </c>
    </row>
    <row r="319" hidden="1" s="584">
      <c r="A319" t="inlineStr">
        <is>
          <t>Packing</t>
        </is>
      </c>
      <c r="B319" t="n">
        <v>1810</v>
      </c>
      <c r="C319" t="inlineStr">
        <is>
          <t>Sri Balaji Gears</t>
        </is>
      </c>
      <c r="D319" t="n">
        <v>1.21</v>
      </c>
      <c r="E319" t="n">
        <v>40</v>
      </c>
      <c r="F319" t="n">
        <v>20</v>
      </c>
      <c r="G319" t="n">
        <v>5.31</v>
      </c>
      <c r="H319" t="inlineStr">
        <is>
          <t>000000000110102927</t>
        </is>
      </c>
      <c r="I319" t="inlineStr">
        <is>
          <t>TM-R-AW-RHS-40.00X20.00X1.210X5.3100</t>
        </is>
      </c>
      <c r="J319" t="n">
        <v>3731692</v>
      </c>
      <c r="K319" t="inlineStr">
        <is>
          <t>TUB-R-AW-AUT-40.00X20.00X1.210X5.3100</t>
        </is>
      </c>
      <c r="L319" t="inlineStr">
        <is>
          <t>TVS</t>
        </is>
      </c>
      <c r="M319" t="inlineStr">
        <is>
          <t>40-20-1.2-CRFH-PE</t>
        </is>
      </c>
    </row>
    <row r="320" hidden="1" s="584">
      <c r="A320" t="inlineStr">
        <is>
          <t>Packing</t>
        </is>
      </c>
      <c r="B320" t="n">
        <v>1800</v>
      </c>
      <c r="C320" t="inlineStr">
        <is>
          <t>Sri Balaji Gears</t>
        </is>
      </c>
      <c r="D320" t="n">
        <v>1.21</v>
      </c>
      <c r="E320" t="n">
        <v>40</v>
      </c>
      <c r="F320" t="n">
        <v>20</v>
      </c>
      <c r="G320" t="n">
        <v>5.31</v>
      </c>
      <c r="H320" t="inlineStr">
        <is>
          <t>000000000110102927</t>
        </is>
      </c>
      <c r="I320" t="inlineStr">
        <is>
          <t>TM-R-AW-RHS-40.00X20.00X1.210X5.3100</t>
        </is>
      </c>
      <c r="J320" t="n">
        <v>3731692</v>
      </c>
      <c r="K320" t="inlineStr">
        <is>
          <t>TUB-R-AW-AUT-40.00X20.00X1.210X5.3100</t>
        </is>
      </c>
      <c r="L320" t="inlineStr">
        <is>
          <t>TVS</t>
        </is>
      </c>
      <c r="M320" t="inlineStr">
        <is>
          <t>40-20-1.2-CRFH-PE</t>
        </is>
      </c>
    </row>
    <row r="321" hidden="1" s="584">
      <c r="A321" t="inlineStr">
        <is>
          <t>Packing</t>
        </is>
      </c>
      <c r="B321" t="n">
        <v>1820</v>
      </c>
      <c r="C321" t="inlineStr">
        <is>
          <t>Sri Balaji Gears</t>
        </is>
      </c>
      <c r="D321" t="n">
        <v>1.21</v>
      </c>
      <c r="E321" t="n">
        <v>40</v>
      </c>
      <c r="F321" t="n">
        <v>20</v>
      </c>
      <c r="G321" t="n">
        <v>5.31</v>
      </c>
      <c r="H321" t="inlineStr">
        <is>
          <t>000000000110102927</t>
        </is>
      </c>
      <c r="I321" t="inlineStr">
        <is>
          <t>TM-R-AW-RHS-40.00X20.00X1.210X5.3100</t>
        </is>
      </c>
      <c r="J321" t="n">
        <v>3731692</v>
      </c>
      <c r="K321" t="inlineStr">
        <is>
          <t>TUB-R-AW-AUT-40.00X20.00X1.210X5.3100</t>
        </is>
      </c>
      <c r="L321" t="inlineStr">
        <is>
          <t>TVS</t>
        </is>
      </c>
      <c r="M321" t="inlineStr">
        <is>
          <t>40-20-1.2-CRFH-PE</t>
        </is>
      </c>
    </row>
    <row r="322" hidden="1" s="584">
      <c r="A322" t="inlineStr">
        <is>
          <t>Packing</t>
        </is>
      </c>
      <c r="B322" t="n">
        <v>1680</v>
      </c>
      <c r="C322" t="inlineStr">
        <is>
          <t>Sri Balaji Gears</t>
        </is>
      </c>
      <c r="D322" t="n">
        <v>1.21</v>
      </c>
      <c r="E322" t="n">
        <v>40</v>
      </c>
      <c r="F322" t="n">
        <v>20</v>
      </c>
      <c r="G322" t="n">
        <v>5.31</v>
      </c>
      <c r="H322" t="inlineStr">
        <is>
          <t>000000000110102927</t>
        </is>
      </c>
      <c r="I322" t="inlineStr">
        <is>
          <t>TM-R-AW-RHS-40.00X20.00X1.210X5.3100</t>
        </is>
      </c>
      <c r="J322" t="n">
        <v>3731692</v>
      </c>
      <c r="K322" t="inlineStr">
        <is>
          <t>TUB-R-AW-AUT-40.00X20.00X1.210X5.3100</t>
        </is>
      </c>
      <c r="L322" t="inlineStr">
        <is>
          <t>TVS</t>
        </is>
      </c>
      <c r="M322" t="inlineStr">
        <is>
          <t>40-20-1.2-CRFH-PE</t>
        </is>
      </c>
    </row>
    <row r="323" hidden="1" s="584">
      <c r="A323" t="inlineStr">
        <is>
          <t>Packing</t>
        </is>
      </c>
      <c r="B323" t="n">
        <v>1620</v>
      </c>
      <c r="C323" t="inlineStr">
        <is>
          <t>Sri Balaji Gears</t>
        </is>
      </c>
      <c r="D323" t="n">
        <v>1.21</v>
      </c>
      <c r="E323" t="n">
        <v>40</v>
      </c>
      <c r="F323" t="n">
        <v>20</v>
      </c>
      <c r="G323" t="n">
        <v>6.100000000000001</v>
      </c>
      <c r="H323" t="inlineStr">
        <is>
          <t>000000000111001341</t>
        </is>
      </c>
      <c r="I323" t="inlineStr">
        <is>
          <t>TM-R-AD-RHS-40.00X20.00X1.210X6.1000</t>
        </is>
      </c>
      <c r="J323" t="n">
        <v>4201127</v>
      </c>
      <c r="K323" t="inlineStr">
        <is>
          <t>TUB-R-AW-RHS-40.00X20.00X1.210X6.1000</t>
        </is>
      </c>
      <c r="L323" t="inlineStr">
        <is>
          <t>TVS</t>
        </is>
      </c>
      <c r="M323" t="inlineStr">
        <is>
          <t>40-20-1.2-CRFH-PE</t>
        </is>
      </c>
      <c r="N323" t="inlineStr">
        <is>
          <t>40-20-1.2-CRFH-PE-1</t>
        </is>
      </c>
    </row>
    <row r="324" hidden="1" s="584">
      <c r="A324" t="inlineStr">
        <is>
          <t>Scheduled at CTL-1</t>
        </is>
      </c>
      <c r="B324" t="n">
        <v>1010</v>
      </c>
      <c r="C324" t="inlineStr">
        <is>
          <t>ELKAYEM AUTO ANCILLARIES PRIVA</t>
        </is>
      </c>
      <c r="D324" t="n">
        <v>1.6</v>
      </c>
      <c r="E324" t="n">
        <v>40</v>
      </c>
      <c r="F324" t="n">
        <v>20</v>
      </c>
      <c r="G324" t="n">
        <v>0.48</v>
      </c>
      <c r="H324" t="inlineStr">
        <is>
          <t>000000000111116373</t>
        </is>
      </c>
      <c r="I324" t="inlineStr">
        <is>
          <t>TM-R-AW-AUT-40.00X20.00X1.600X5.8600</t>
        </is>
      </c>
      <c r="J324" t="n">
        <v>1940815</v>
      </c>
      <c r="K324" t="inlineStr">
        <is>
          <t>TUB-R-AW-RHS-40.00X20.00X1.600X0.4800</t>
        </is>
      </c>
      <c r="L324" t="inlineStr">
        <is>
          <t>TVS</t>
        </is>
      </c>
      <c r="M324" t="inlineStr">
        <is>
          <t>40-20-1.6-ERW 1-FC</t>
        </is>
      </c>
      <c r="N324" t="inlineStr">
        <is>
          <t>40-20-1.6-ERW 1-FC-0.48</t>
        </is>
      </c>
    </row>
    <row r="325" hidden="1" s="584">
      <c r="A325" t="inlineStr">
        <is>
          <t>Scheduled at CTL-1</t>
        </is>
      </c>
      <c r="B325" t="n">
        <v>73</v>
      </c>
      <c r="C325" t="inlineStr">
        <is>
          <t>ELKAYEM AUTO ANCILLARIES PRIVA</t>
        </is>
      </c>
      <c r="D325" t="n">
        <v>1.6</v>
      </c>
      <c r="E325" t="n">
        <v>40</v>
      </c>
      <c r="F325" t="n">
        <v>20</v>
      </c>
      <c r="G325" t="n">
        <v>0.48</v>
      </c>
      <c r="H325" t="inlineStr">
        <is>
          <t>000000000111116373</t>
        </is>
      </c>
      <c r="I325" t="inlineStr">
        <is>
          <t>TM-R-AW-AUT-40.00X20.00X1.600X5.8600</t>
        </is>
      </c>
      <c r="J325" t="n">
        <v>1940815</v>
      </c>
      <c r="K325" t="inlineStr">
        <is>
          <t>TUB-R-AW-RHS-40.00X20.00X1.600X0.4800</t>
        </is>
      </c>
      <c r="L325" t="inlineStr">
        <is>
          <t>TVS</t>
        </is>
      </c>
      <c r="M325" t="inlineStr">
        <is>
          <t>40-20-1.6-ERW 1-FC</t>
        </is>
      </c>
      <c r="N325" t="inlineStr">
        <is>
          <t>40-20-1.6-ERW 1-FC-0.48</t>
        </is>
      </c>
    </row>
    <row r="326" hidden="1" s="584">
      <c r="A326" t="inlineStr">
        <is>
          <t>Scheduled at CTL-1</t>
        </is>
      </c>
      <c r="B326" t="n">
        <v>187</v>
      </c>
      <c r="C326" t="inlineStr">
        <is>
          <t>ELKAYEM AUTO ANCILLARIES PRIVA</t>
        </is>
      </c>
      <c r="D326" t="n">
        <v>1.6</v>
      </c>
      <c r="E326" t="n">
        <v>40</v>
      </c>
      <c r="F326" t="n">
        <v>20</v>
      </c>
      <c r="G326" t="n">
        <v>0.48</v>
      </c>
      <c r="H326" t="inlineStr">
        <is>
          <t>000000000111116373</t>
        </is>
      </c>
      <c r="I326" t="inlineStr">
        <is>
          <t>TM-R-AW-AUT-40.00X20.00X1.600X5.8600</t>
        </is>
      </c>
      <c r="J326" t="n">
        <v>1940815</v>
      </c>
      <c r="K326" t="inlineStr">
        <is>
          <t>TUB-R-AW-RHS-40.00X20.00X1.600X0.4800</t>
        </is>
      </c>
      <c r="L326" t="inlineStr">
        <is>
          <t>TVS</t>
        </is>
      </c>
      <c r="M326" t="inlineStr">
        <is>
          <t>40-20-1.6-ERW 1-FC</t>
        </is>
      </c>
      <c r="N326" t="inlineStr">
        <is>
          <t>40-20-1.6-ERW 1-FC-0.48</t>
        </is>
      </c>
    </row>
    <row r="327" hidden="1" s="584">
      <c r="A327" t="inlineStr">
        <is>
          <t>Scheduled at CTL-1</t>
        </is>
      </c>
      <c r="B327" t="n">
        <v>2500</v>
      </c>
      <c r="C327" t="inlineStr">
        <is>
          <t>ELKAYEM AUTO ANCILLARIES PRIVA</t>
        </is>
      </c>
      <c r="D327" t="n">
        <v>2</v>
      </c>
      <c r="E327" t="n">
        <v>40</v>
      </c>
      <c r="F327" t="n">
        <v>30</v>
      </c>
      <c r="G327" t="n">
        <v>0.148</v>
      </c>
      <c r="H327" t="inlineStr">
        <is>
          <t>000000000111001353</t>
        </is>
      </c>
      <c r="I327" t="inlineStr">
        <is>
          <t>TM-O-AW-AUT-40.00X30.00X2.000X6.1000</t>
        </is>
      </c>
      <c r="J327" t="n">
        <v>4098592</v>
      </c>
      <c r="K327" t="inlineStr">
        <is>
          <t>TUB-R-AW-AUT-40.00X30.00X2.000X0.1480</t>
        </is>
      </c>
      <c r="L327" t="inlineStr">
        <is>
          <t>TVS</t>
        </is>
      </c>
      <c r="M327" t="inlineStr">
        <is>
          <t>40-30-2-ERW 1-FC</t>
        </is>
      </c>
      <c r="N327" t="inlineStr">
        <is>
          <t>40-30-2-ERW 1-FC-0.148</t>
        </is>
      </c>
    </row>
    <row r="328" hidden="1" s="584">
      <c r="A328" t="inlineStr">
        <is>
          <t>Scheduled at CTL-1</t>
        </is>
      </c>
      <c r="B328" t="n">
        <v>2945</v>
      </c>
      <c r="C328" t="inlineStr">
        <is>
          <t>ELKAYEM AUTO ANCILLARIES PRIVA</t>
        </is>
      </c>
      <c r="D328" t="n">
        <v>2</v>
      </c>
      <c r="E328" t="n">
        <v>40</v>
      </c>
      <c r="F328" t="n">
        <v>30</v>
      </c>
      <c r="G328" t="n">
        <v>0.148</v>
      </c>
      <c r="H328" t="inlineStr">
        <is>
          <t>000000000111001353</t>
        </is>
      </c>
      <c r="I328" t="inlineStr">
        <is>
          <t>TM-O-AW-AUT-40.00X30.00X2.000X6.1000</t>
        </is>
      </c>
      <c r="J328" t="n">
        <v>4098592</v>
      </c>
      <c r="K328" t="inlineStr">
        <is>
          <t>TUB-R-AW-AUT-40.00X30.00X2.000X0.1480</t>
        </is>
      </c>
      <c r="L328" t="inlineStr">
        <is>
          <t>TVS</t>
        </is>
      </c>
      <c r="M328" t="inlineStr">
        <is>
          <t>40-30-2-ERW 1-FC</t>
        </is>
      </c>
      <c r="N328" t="inlineStr">
        <is>
          <t>40-30-2-ERW 1-FC-0.148</t>
        </is>
      </c>
    </row>
    <row r="329" hidden="1" s="584">
      <c r="A329" t="inlineStr">
        <is>
          <t>Scheduled at CTL-1</t>
        </is>
      </c>
      <c r="B329" t="n">
        <v>1600</v>
      </c>
      <c r="C329" t="inlineStr">
        <is>
          <t>ELKAYEM AUTO ANCILLARIES PRIVA</t>
        </is>
      </c>
      <c r="D329" t="n">
        <v>2</v>
      </c>
      <c r="E329" t="n">
        <v>40</v>
      </c>
      <c r="F329" t="n">
        <v>30</v>
      </c>
      <c r="G329" t="n">
        <v>0.162</v>
      </c>
      <c r="H329" t="inlineStr">
        <is>
          <t>000000000111001352</t>
        </is>
      </c>
      <c r="I329" t="inlineStr">
        <is>
          <t>TM-O-AW-AUT-40.00X30.00X2.000X6.1700</t>
        </is>
      </c>
      <c r="J329" t="n">
        <v>4098593</v>
      </c>
      <c r="K329" t="inlineStr">
        <is>
          <t>TUB-R-AW-AUT-40.00X30.00X2.000X0.1620</t>
        </is>
      </c>
      <c r="L329" t="inlineStr">
        <is>
          <t>TVS</t>
        </is>
      </c>
      <c r="M329" t="inlineStr">
        <is>
          <t>40-30-2-ERW 1-FC</t>
        </is>
      </c>
      <c r="N329" t="inlineStr">
        <is>
          <t>40-30-2-ERW 1-FC-0.162</t>
        </is>
      </c>
    </row>
    <row r="330" hidden="1" s="584">
      <c r="A330" t="inlineStr">
        <is>
          <t>Scheduled at CTL-1</t>
        </is>
      </c>
      <c r="B330" t="n">
        <v>2202</v>
      </c>
      <c r="C330" t="inlineStr">
        <is>
          <t>ELKAYEM AUTO ANCILLARIES PRIVA</t>
        </is>
      </c>
      <c r="D330" t="n">
        <v>2</v>
      </c>
      <c r="E330" t="n">
        <v>40</v>
      </c>
      <c r="F330" t="n">
        <v>30</v>
      </c>
      <c r="G330" t="n">
        <v>0.162</v>
      </c>
      <c r="H330" t="inlineStr">
        <is>
          <t>000000000111001352</t>
        </is>
      </c>
      <c r="I330" t="inlineStr">
        <is>
          <t>TM-O-AW-AUT-40.00X30.00X2.000X6.1700</t>
        </is>
      </c>
      <c r="J330" t="n">
        <v>4098593</v>
      </c>
      <c r="K330" t="inlineStr">
        <is>
          <t>TUB-R-AW-AUT-40.00X30.00X2.000X0.1620</t>
        </is>
      </c>
      <c r="L330" t="inlineStr">
        <is>
          <t>TVS</t>
        </is>
      </c>
      <c r="M330" t="inlineStr">
        <is>
          <t>40-30-2-ERW 1-FC</t>
        </is>
      </c>
      <c r="N330" t="inlineStr">
        <is>
          <t>40-30-2-ERW 1-FC-0.162</t>
        </is>
      </c>
    </row>
    <row r="331" hidden="1" s="584">
      <c r="A331" t="inlineStr">
        <is>
          <t>Scheduled at CTL-1</t>
        </is>
      </c>
      <c r="B331" t="n">
        <v>2096</v>
      </c>
      <c r="C331" t="inlineStr">
        <is>
          <t>ELKAYEM AUTO ANCILLARIES PRIVA</t>
        </is>
      </c>
      <c r="D331" t="n">
        <v>2</v>
      </c>
      <c r="E331" t="n">
        <v>40</v>
      </c>
      <c r="F331" t="n">
        <v>30</v>
      </c>
      <c r="G331" t="n">
        <v>0.162</v>
      </c>
      <c r="H331" t="inlineStr">
        <is>
          <t>000000000110102963</t>
        </is>
      </c>
      <c r="I331" t="inlineStr">
        <is>
          <t>TM-R-AW-RHS-40.00X30.00X2.000X6.1750</t>
        </is>
      </c>
      <c r="J331" t="n">
        <v>4098593</v>
      </c>
      <c r="K331" t="inlineStr">
        <is>
          <t>TUB-R-AW-AUT-40.00X30.00X2.000X0.1620</t>
        </is>
      </c>
      <c r="L331" t="inlineStr">
        <is>
          <t>TVS</t>
        </is>
      </c>
      <c r="M331" t="inlineStr">
        <is>
          <t>40-30-2-ERW 1-FC</t>
        </is>
      </c>
      <c r="N331" t="inlineStr">
        <is>
          <t>40-30-2-ERW 1-FC-0.162</t>
        </is>
      </c>
    </row>
    <row r="332" hidden="1" s="584">
      <c r="A332" t="inlineStr">
        <is>
          <t>Scheduled at CTL-1</t>
        </is>
      </c>
      <c r="B332" t="n">
        <v>2000</v>
      </c>
      <c r="C332" t="inlineStr">
        <is>
          <t>ELKAYEM AUTO ANCILLARIES PRIVA</t>
        </is>
      </c>
      <c r="D332" t="n">
        <v>2</v>
      </c>
      <c r="E332" t="n">
        <v>40</v>
      </c>
      <c r="F332" t="n">
        <v>30</v>
      </c>
      <c r="G332" t="n">
        <v>0.162</v>
      </c>
      <c r="H332" t="inlineStr">
        <is>
          <t>000000000110102963</t>
        </is>
      </c>
      <c r="I332" t="inlineStr">
        <is>
          <t>TM-R-AW-RHS-40.00X30.00X2.000X6.1750</t>
        </is>
      </c>
      <c r="J332" t="n">
        <v>4098593</v>
      </c>
      <c r="K332" t="inlineStr">
        <is>
          <t>TUB-R-AW-AUT-40.00X30.00X2.000X0.1620</t>
        </is>
      </c>
      <c r="L332" t="inlineStr">
        <is>
          <t>TVS</t>
        </is>
      </c>
      <c r="M332" t="inlineStr">
        <is>
          <t>40-30-2-ERW 1-FC</t>
        </is>
      </c>
      <c r="N332" t="inlineStr">
        <is>
          <t>40-30-2-ERW 1-FC-0.162</t>
        </is>
      </c>
    </row>
    <row r="333" hidden="1" s="584">
      <c r="A333" t="inlineStr">
        <is>
          <t>Scheduled at CTL-1</t>
        </is>
      </c>
      <c r="B333" t="n">
        <v>3209</v>
      </c>
      <c r="C333" t="inlineStr">
        <is>
          <t>ELKAYEM AUTO ANCILLARIES PRIVA</t>
        </is>
      </c>
      <c r="D333" t="n">
        <v>2</v>
      </c>
      <c r="E333" t="n">
        <v>40</v>
      </c>
      <c r="F333" t="n">
        <v>30</v>
      </c>
      <c r="G333" t="n">
        <v>0.162</v>
      </c>
      <c r="H333" t="inlineStr">
        <is>
          <t>000000000110102963</t>
        </is>
      </c>
      <c r="I333" t="inlineStr">
        <is>
          <t>TM-R-AW-RHS-40.00X30.00X2.000X6.1750</t>
        </is>
      </c>
      <c r="J333" t="n">
        <v>4098593</v>
      </c>
      <c r="K333" t="inlineStr">
        <is>
          <t>TUB-R-AW-AUT-40.00X30.00X2.000X0.1620</t>
        </is>
      </c>
      <c r="L333" t="inlineStr">
        <is>
          <t>TVS</t>
        </is>
      </c>
      <c r="M333" t="inlineStr">
        <is>
          <t>40-30-2-ERW 1-FC</t>
        </is>
      </c>
      <c r="N333" t="inlineStr">
        <is>
          <t>40-30-2-ERW 1-FC-0.162</t>
        </is>
      </c>
    </row>
    <row r="334" hidden="1" s="584">
      <c r="A334" t="inlineStr">
        <is>
          <t>Scheduled at CTL-1</t>
        </is>
      </c>
      <c r="B334" t="n">
        <v>357</v>
      </c>
      <c r="C334" t="inlineStr">
        <is>
          <t>Rajsriya Automotive Industries</t>
        </is>
      </c>
      <c r="D334" t="n">
        <v>2</v>
      </c>
      <c r="E334" t="n">
        <v>40</v>
      </c>
      <c r="F334" t="n">
        <v>30</v>
      </c>
      <c r="G334" t="n">
        <v>0.87</v>
      </c>
      <c r="H334" t="inlineStr">
        <is>
          <t>000000000110102963</t>
        </is>
      </c>
      <c r="I334" t="inlineStr">
        <is>
          <t>TM-R-AW-RHS-40.00X30.00X2.000X6.1750</t>
        </is>
      </c>
      <c r="J334" t="n">
        <v>1940837</v>
      </c>
      <c r="K334" t="inlineStr">
        <is>
          <t>TUB-R-AW-RHS-40.00X30.00X2.000X0.8700</t>
        </is>
      </c>
      <c r="L334" t="inlineStr">
        <is>
          <t>TVS</t>
        </is>
      </c>
      <c r="M334" t="inlineStr">
        <is>
          <t>40-30-2-ERW 1-FC</t>
        </is>
      </c>
      <c r="N334" t="inlineStr">
        <is>
          <t>40-30-2-ERW 1-FC-0.87</t>
        </is>
      </c>
    </row>
    <row r="335" hidden="1" s="584">
      <c r="A335" t="inlineStr">
        <is>
          <t>Scheduled at CTL-1</t>
        </is>
      </c>
      <c r="B335" t="n">
        <v>2335</v>
      </c>
      <c r="C335" t="inlineStr">
        <is>
          <t>Rajsriya Automotive Industries</t>
        </is>
      </c>
      <c r="D335" t="n">
        <v>2</v>
      </c>
      <c r="E335" t="n">
        <v>40</v>
      </c>
      <c r="F335" t="n">
        <v>30</v>
      </c>
      <c r="G335" t="n">
        <v>0.87</v>
      </c>
      <c r="H335" t="inlineStr">
        <is>
          <t>000000000110102963</t>
        </is>
      </c>
      <c r="I335" t="inlineStr">
        <is>
          <t>TM-R-AW-RHS-40.00X30.00X2.000X6.1750</t>
        </is>
      </c>
      <c r="J335" t="n">
        <v>1940837</v>
      </c>
      <c r="K335" t="inlineStr">
        <is>
          <t>TUB-R-AW-RHS-40.00X30.00X2.000X0.8700</t>
        </is>
      </c>
      <c r="L335" t="inlineStr">
        <is>
          <t>TVS</t>
        </is>
      </c>
      <c r="M335" t="inlineStr">
        <is>
          <t>40-30-2-ERW 1-FC</t>
        </is>
      </c>
      <c r="N335" t="inlineStr">
        <is>
          <t>40-30-2-ERW 1-FC-0.87</t>
        </is>
      </c>
    </row>
    <row r="336" hidden="1" s="584">
      <c r="A336" t="inlineStr">
        <is>
          <t>Scheduled at CTL-1</t>
        </is>
      </c>
      <c r="B336" t="n">
        <v>2320</v>
      </c>
      <c r="C336" t="inlineStr">
        <is>
          <t>Rajsriya Automotive Industries</t>
        </is>
      </c>
      <c r="D336" t="n">
        <v>2</v>
      </c>
      <c r="E336" t="n">
        <v>40</v>
      </c>
      <c r="F336" t="n">
        <v>30</v>
      </c>
      <c r="G336" t="n">
        <v>0.87</v>
      </c>
      <c r="H336" t="inlineStr">
        <is>
          <t>000000000110102963</t>
        </is>
      </c>
      <c r="I336" t="inlineStr">
        <is>
          <t>TM-R-AW-RHS-40.00X30.00X2.000X6.1750</t>
        </is>
      </c>
      <c r="J336" t="n">
        <v>1940837</v>
      </c>
      <c r="K336" t="inlineStr">
        <is>
          <t>TUB-R-AW-RHS-40.00X30.00X2.000X0.8700</t>
        </is>
      </c>
      <c r="L336" t="inlineStr">
        <is>
          <t>TVS</t>
        </is>
      </c>
      <c r="M336" t="inlineStr">
        <is>
          <t>40-30-2-ERW 1-FC</t>
        </is>
      </c>
      <c r="N336" t="inlineStr">
        <is>
          <t>40-30-2-ERW 1-FC-0.87</t>
        </is>
      </c>
    </row>
    <row r="337" hidden="1" s="584">
      <c r="A337" t="inlineStr">
        <is>
          <t>Scheduled at CTL-1</t>
        </is>
      </c>
      <c r="B337" t="n">
        <v>2280</v>
      </c>
      <c r="C337" t="inlineStr">
        <is>
          <t>Rajsriya Automotive Industries</t>
        </is>
      </c>
      <c r="D337" t="n">
        <v>2</v>
      </c>
      <c r="E337" t="n">
        <v>40</v>
      </c>
      <c r="F337" t="n">
        <v>30</v>
      </c>
      <c r="G337" t="n">
        <v>0.87</v>
      </c>
      <c r="H337" t="inlineStr">
        <is>
          <t>000000000110102963</t>
        </is>
      </c>
      <c r="I337" t="inlineStr">
        <is>
          <t>TM-R-AW-RHS-40.00X30.00X2.000X6.1750</t>
        </is>
      </c>
      <c r="J337" t="n">
        <v>1940837</v>
      </c>
      <c r="K337" t="inlineStr">
        <is>
          <t>TUB-R-AW-RHS-40.00X30.00X2.000X0.8700</t>
        </is>
      </c>
      <c r="L337" t="inlineStr">
        <is>
          <t>TVS</t>
        </is>
      </c>
      <c r="M337" t="inlineStr">
        <is>
          <t>40-30-2-ERW 1-FC</t>
        </is>
      </c>
      <c r="N337" t="inlineStr">
        <is>
          <t>40-30-2-ERW 1-FC-0.87</t>
        </is>
      </c>
    </row>
    <row r="338" hidden="1" s="584">
      <c r="A338" t="inlineStr">
        <is>
          <t>Scheduled at CTL-1</t>
        </is>
      </c>
      <c r="B338" t="n">
        <v>2300</v>
      </c>
      <c r="C338" t="inlineStr">
        <is>
          <t>Rajsriya Automotive Industries</t>
        </is>
      </c>
      <c r="D338" t="n">
        <v>2</v>
      </c>
      <c r="E338" t="n">
        <v>40</v>
      </c>
      <c r="F338" t="n">
        <v>30</v>
      </c>
      <c r="G338" t="n">
        <v>0.87</v>
      </c>
      <c r="H338" t="inlineStr">
        <is>
          <t>000000000110102963</t>
        </is>
      </c>
      <c r="I338" t="inlineStr">
        <is>
          <t>TM-R-AW-RHS-40.00X30.00X2.000X6.1750</t>
        </is>
      </c>
      <c r="J338" t="n">
        <v>1940837</v>
      </c>
      <c r="K338" t="inlineStr">
        <is>
          <t>TUB-R-AW-RHS-40.00X30.00X2.000X0.8700</t>
        </is>
      </c>
      <c r="L338" t="inlineStr">
        <is>
          <t>TVS</t>
        </is>
      </c>
      <c r="M338" t="inlineStr">
        <is>
          <t>40-30-2-ERW 1-FC</t>
        </is>
      </c>
      <c r="N338" t="inlineStr">
        <is>
          <t>40-30-2-ERW 1-FC-0.87</t>
        </is>
      </c>
    </row>
    <row r="339" hidden="1" s="584">
      <c r="A339" t="inlineStr">
        <is>
          <t>Scheduled at CTL-1</t>
        </is>
      </c>
      <c r="B339" t="n">
        <v>492</v>
      </c>
      <c r="C339" t="inlineStr">
        <is>
          <t>Metalman Auto Private Limited</t>
        </is>
      </c>
      <c r="D339" t="n">
        <v>2</v>
      </c>
      <c r="E339" t="n">
        <v>40</v>
      </c>
      <c r="F339" t="n">
        <v>30</v>
      </c>
      <c r="G339" t="n">
        <v>0.88</v>
      </c>
      <c r="H339" t="inlineStr">
        <is>
          <t>000000000111001352</t>
        </is>
      </c>
      <c r="I339" t="inlineStr">
        <is>
          <t>TM-O-AW-AUT-40.00X30.00X2.000X6.1700</t>
        </is>
      </c>
      <c r="J339" t="n">
        <v>1940838</v>
      </c>
      <c r="K339" t="inlineStr">
        <is>
          <t>TUB-R-AW-RHS-40.00X30.00X2.000X0.8800</t>
        </is>
      </c>
      <c r="L339" t="inlineStr">
        <is>
          <t>TVS</t>
        </is>
      </c>
      <c r="M339" t="inlineStr">
        <is>
          <t>40-30-2-ERW 1-FC</t>
        </is>
      </c>
      <c r="N339" t="inlineStr">
        <is>
          <t>40-30-2-ERW 1-FC-0.88</t>
        </is>
      </c>
    </row>
    <row r="340" hidden="1" s="584">
      <c r="A340" t="inlineStr">
        <is>
          <t>Scheduled at CTL-1</t>
        </is>
      </c>
      <c r="B340" t="n">
        <v>1657</v>
      </c>
      <c r="C340" t="inlineStr">
        <is>
          <t>Sri Balaji Gears</t>
        </is>
      </c>
      <c r="D340" t="n">
        <v>1.2</v>
      </c>
      <c r="E340" t="n">
        <v>40</v>
      </c>
      <c r="F340" t="n">
        <v>40</v>
      </c>
      <c r="G340" t="n">
        <v>0.08500000000000001</v>
      </c>
      <c r="H340" t="inlineStr">
        <is>
          <t>000000000110102977</t>
        </is>
      </c>
      <c r="I340" t="inlineStr">
        <is>
          <t>TM-S-AW-SHS-40.00X40.00X1.200X5.9700</t>
        </is>
      </c>
      <c r="J340" t="n">
        <v>3938685</v>
      </c>
      <c r="K340" t="inlineStr">
        <is>
          <t>TUB-S-AW-AUT-40.00X40.00X1.200X0.085</t>
        </is>
      </c>
      <c r="L340" t="inlineStr">
        <is>
          <t>TVS</t>
        </is>
      </c>
      <c r="M340" t="inlineStr">
        <is>
          <t>40-40-1.2-CRFH-PE</t>
        </is>
      </c>
      <c r="N340" t="inlineStr">
        <is>
          <t>40-40-1.2-CRFH-PE-0.085</t>
        </is>
      </c>
    </row>
    <row r="341" hidden="1" s="584">
      <c r="A341" t="inlineStr">
        <is>
          <t>Scheduled at CTL-1</t>
        </is>
      </c>
      <c r="B341" t="n">
        <v>750</v>
      </c>
      <c r="C341" t="inlineStr">
        <is>
          <t>Sri Balaji Gears</t>
        </is>
      </c>
      <c r="D341" t="n">
        <v>1.2</v>
      </c>
      <c r="E341" t="n">
        <v>40</v>
      </c>
      <c r="F341" t="n">
        <v>40</v>
      </c>
      <c r="G341" t="n">
        <v>0.115</v>
      </c>
      <c r="H341" t="inlineStr">
        <is>
          <t>000000000111117555</t>
        </is>
      </c>
      <c r="I341" t="inlineStr">
        <is>
          <t>TM-S-AW-AUT-40.00X40.00X1.200X5.9500</t>
        </is>
      </c>
      <c r="J341" t="n">
        <v>4151471</v>
      </c>
      <c r="K341" t="inlineStr">
        <is>
          <t>TUB-S-AW-SHS-40.00X40.00X1.200X0.1150</t>
        </is>
      </c>
      <c r="L341" t="inlineStr">
        <is>
          <t>TVS</t>
        </is>
      </c>
      <c r="M341" t="inlineStr">
        <is>
          <t>40-40-1.2-CRFH-PE</t>
        </is>
      </c>
      <c r="N341" t="inlineStr">
        <is>
          <t>40-40-1.2-CRFH-PE-0.115</t>
        </is>
      </c>
    </row>
    <row r="342" hidden="1" s="584">
      <c r="A342" t="inlineStr">
        <is>
          <t>Scheduled at CTL-1</t>
        </is>
      </c>
      <c r="B342" t="n">
        <v>1508</v>
      </c>
      <c r="C342" t="inlineStr">
        <is>
          <t>Sri Balaji Gears</t>
        </is>
      </c>
      <c r="D342" t="n">
        <v>1.2</v>
      </c>
      <c r="E342" t="n">
        <v>40</v>
      </c>
      <c r="F342" t="n">
        <v>40</v>
      </c>
      <c r="G342" t="n">
        <v>0.115</v>
      </c>
      <c r="H342" t="inlineStr">
        <is>
          <t>000000000111117555</t>
        </is>
      </c>
      <c r="I342" t="inlineStr">
        <is>
          <t>TM-S-AW-AUT-40.00X40.00X1.200X5.9500</t>
        </is>
      </c>
      <c r="J342" t="n">
        <v>4151471</v>
      </c>
      <c r="K342" t="inlineStr">
        <is>
          <t>TUB-S-AW-SHS-40.00X40.00X1.200X0.1150</t>
        </is>
      </c>
      <c r="L342" t="inlineStr">
        <is>
          <t>TVS</t>
        </is>
      </c>
      <c r="M342" t="inlineStr">
        <is>
          <t>40-40-1.2-CRFH-PE</t>
        </is>
      </c>
      <c r="N342" t="inlineStr">
        <is>
          <t>40-40-1.2-CRFH-PE-0.115</t>
        </is>
      </c>
    </row>
    <row r="343" hidden="1" s="584">
      <c r="A343" t="inlineStr">
        <is>
          <t>Scheduled at CTL-1</t>
        </is>
      </c>
      <c r="B343" t="n">
        <v>952</v>
      </c>
      <c r="C343" t="inlineStr">
        <is>
          <t>Sri Balaji Gears</t>
        </is>
      </c>
      <c r="D343" t="n">
        <v>1.2</v>
      </c>
      <c r="E343" t="n">
        <v>40</v>
      </c>
      <c r="F343" t="n">
        <v>40</v>
      </c>
      <c r="G343" t="n">
        <v>0.125</v>
      </c>
      <c r="H343" t="inlineStr">
        <is>
          <t>000000000111107162</t>
        </is>
      </c>
      <c r="I343" t="inlineStr">
        <is>
          <t>TM-S-AW-SHS-40.00X40.00X1.200X5.9500</t>
        </is>
      </c>
      <c r="J343" t="n">
        <v>1940849</v>
      </c>
      <c r="K343" t="inlineStr">
        <is>
          <t>TUB-S-AW-SHS-40.00X40.00X1.200X0.1250</t>
        </is>
      </c>
      <c r="L343" t="inlineStr">
        <is>
          <t>TVS</t>
        </is>
      </c>
      <c r="M343" t="inlineStr">
        <is>
          <t>40-40-1.2-CRFH-PE</t>
        </is>
      </c>
      <c r="N343" t="inlineStr">
        <is>
          <t>40-40-1.2-CRFH-PE-0.125</t>
        </is>
      </c>
    </row>
    <row r="344" hidden="1" s="584">
      <c r="A344" t="inlineStr">
        <is>
          <t>Scheduled at CTL-1</t>
        </is>
      </c>
      <c r="B344" t="n">
        <v>1448</v>
      </c>
      <c r="C344" t="inlineStr">
        <is>
          <t>Sri Balaji Gears</t>
        </is>
      </c>
      <c r="D344" t="n">
        <v>1.2</v>
      </c>
      <c r="E344" t="n">
        <v>40</v>
      </c>
      <c r="F344" t="n">
        <v>40</v>
      </c>
      <c r="G344" t="n">
        <v>0.125</v>
      </c>
      <c r="H344" t="inlineStr">
        <is>
          <t>000000000111107162</t>
        </is>
      </c>
      <c r="I344" t="inlineStr">
        <is>
          <t>TM-S-AW-SHS-40.00X40.00X1.200X5.9500</t>
        </is>
      </c>
      <c r="J344" t="n">
        <v>1940849</v>
      </c>
      <c r="K344" t="inlineStr">
        <is>
          <t>TUB-S-AW-SHS-40.00X40.00X1.200X0.1250</t>
        </is>
      </c>
      <c r="L344" t="inlineStr">
        <is>
          <t>TVS</t>
        </is>
      </c>
      <c r="M344" t="inlineStr">
        <is>
          <t>40-40-1.2-CRFH-PE</t>
        </is>
      </c>
      <c r="N344" t="inlineStr">
        <is>
          <t>40-40-1.2-CRFH-PE-0.125</t>
        </is>
      </c>
    </row>
    <row r="345" hidden="1" s="584">
      <c r="A345" t="inlineStr">
        <is>
          <t>Scheduled at CTL-1</t>
        </is>
      </c>
      <c r="B345" t="n">
        <v>1241</v>
      </c>
      <c r="C345" t="inlineStr">
        <is>
          <t>Sri Balaji Gears</t>
        </is>
      </c>
      <c r="D345" t="n">
        <v>1.2</v>
      </c>
      <c r="E345" t="n">
        <v>40</v>
      </c>
      <c r="F345" t="n">
        <v>40</v>
      </c>
      <c r="G345" t="n">
        <v>0.14</v>
      </c>
      <c r="H345" t="inlineStr">
        <is>
          <t>000000000111117555</t>
        </is>
      </c>
      <c r="I345" t="inlineStr">
        <is>
          <t>TM-S-AW-AUT-40.00X40.00X1.200X5.9500</t>
        </is>
      </c>
      <c r="J345" t="n">
        <v>1940850</v>
      </c>
      <c r="K345" t="inlineStr">
        <is>
          <t>TUB-S-AW-SHS-40.00X40.00X1.200X0.1400</t>
        </is>
      </c>
      <c r="L345" t="inlineStr">
        <is>
          <t>TVS</t>
        </is>
      </c>
      <c r="M345" t="inlineStr">
        <is>
          <t>40-40-1.2-CRFH-PE</t>
        </is>
      </c>
      <c r="N345" t="inlineStr">
        <is>
          <t>40-40-1.2-CRFH-PE-0.14</t>
        </is>
      </c>
    </row>
    <row r="346" hidden="1" s="584">
      <c r="A346" t="inlineStr">
        <is>
          <t>Scheduled at CTL-1</t>
        </is>
      </c>
      <c r="B346" t="n">
        <v>1436</v>
      </c>
      <c r="C346" t="inlineStr">
        <is>
          <t>Sri Balaji Gears</t>
        </is>
      </c>
      <c r="D346" t="n">
        <v>1.2</v>
      </c>
      <c r="E346" t="n">
        <v>40</v>
      </c>
      <c r="F346" t="n">
        <v>40</v>
      </c>
      <c r="G346" t="n">
        <v>0.14</v>
      </c>
      <c r="H346" t="inlineStr">
        <is>
          <t>000000000111117555</t>
        </is>
      </c>
      <c r="I346" t="inlineStr">
        <is>
          <t>TM-S-AW-AUT-40.00X40.00X1.200X5.9500</t>
        </is>
      </c>
      <c r="J346" t="n">
        <v>1940850</v>
      </c>
      <c r="K346" t="inlineStr">
        <is>
          <t>TUB-S-AW-SHS-40.00X40.00X1.200X0.1400</t>
        </is>
      </c>
      <c r="L346" t="inlineStr">
        <is>
          <t>TVS</t>
        </is>
      </c>
      <c r="M346" t="inlineStr">
        <is>
          <t>40-40-1.2-CRFH-PE</t>
        </is>
      </c>
      <c r="N346" t="inlineStr">
        <is>
          <t>40-40-1.2-CRFH-PE-0.14</t>
        </is>
      </c>
    </row>
    <row r="347" hidden="1" s="584">
      <c r="A347" t="inlineStr">
        <is>
          <t>Scheduled at CTL-1</t>
        </is>
      </c>
      <c r="B347" t="n">
        <v>1459</v>
      </c>
      <c r="C347" t="inlineStr">
        <is>
          <t>Sri Balaji Gears</t>
        </is>
      </c>
      <c r="D347" t="n">
        <v>1.2</v>
      </c>
      <c r="E347" t="n">
        <v>40</v>
      </c>
      <c r="F347" t="n">
        <v>40</v>
      </c>
      <c r="G347" t="n">
        <v>0.158</v>
      </c>
      <c r="H347" t="inlineStr">
        <is>
          <t>000000000111117555</t>
        </is>
      </c>
      <c r="I347" t="inlineStr">
        <is>
          <t>TM-S-AW-AUT-40.00X40.00X1.200X5.9500</t>
        </is>
      </c>
      <c r="J347" t="n">
        <v>3572055</v>
      </c>
      <c r="K347" t="inlineStr">
        <is>
          <t>TUB-S-AW-AUT-40.00X40.00X1.200X0.1580</t>
        </is>
      </c>
      <c r="L347" t="inlineStr">
        <is>
          <t>TVS</t>
        </is>
      </c>
      <c r="M347" t="inlineStr">
        <is>
          <t>40-40-1.2-CRFH-PE</t>
        </is>
      </c>
      <c r="N347" t="inlineStr">
        <is>
          <t>40-40-1.2-CRFH-PE-0.158</t>
        </is>
      </c>
    </row>
    <row r="348" hidden="1" s="584">
      <c r="A348" t="inlineStr">
        <is>
          <t>Scheduled at CTL-1</t>
        </is>
      </c>
      <c r="B348" t="n">
        <v>2100</v>
      </c>
      <c r="C348" t="inlineStr">
        <is>
          <t>Rajsriya Automotive Industries</t>
        </is>
      </c>
      <c r="D348" t="n">
        <v>3.2</v>
      </c>
      <c r="E348" t="n">
        <v>41.28</v>
      </c>
      <c r="F348" t="n">
        <v>0</v>
      </c>
      <c r="G348" t="n">
        <v>0.23</v>
      </c>
      <c r="H348" t="inlineStr">
        <is>
          <t>000000000111122744</t>
        </is>
      </c>
      <c r="I348" t="inlineStr">
        <is>
          <t>TM-O-N-AUT-AW-FC-41.28X3.200X5.9000</t>
        </is>
      </c>
      <c r="J348" t="n">
        <v>4010435</v>
      </c>
      <c r="K348" t="inlineStr">
        <is>
          <t>TUB-O-N-AUT-AW-FC-41.28X3.200X0.2300</t>
        </is>
      </c>
      <c r="L348" t="inlineStr">
        <is>
          <t>TVS</t>
        </is>
      </c>
      <c r="M348" t="inlineStr">
        <is>
          <t>41.28-0-3.2-ERW 1-FC</t>
        </is>
      </c>
      <c r="N348" t="inlineStr">
        <is>
          <t>41.28-0-3.2-ERW 1-FC-0.23</t>
        </is>
      </c>
    </row>
    <row r="349" hidden="1" s="584">
      <c r="A349" t="inlineStr">
        <is>
          <t>Scheduled at CTL-1</t>
        </is>
      </c>
      <c r="B349" t="n">
        <v>2043</v>
      </c>
      <c r="C349" t="inlineStr">
        <is>
          <t>Rajsriya Automotive Industries</t>
        </is>
      </c>
      <c r="D349" t="n">
        <v>3.2</v>
      </c>
      <c r="E349" t="n">
        <v>41.28</v>
      </c>
      <c r="F349" t="n">
        <v>0</v>
      </c>
      <c r="G349" t="n">
        <v>0.23</v>
      </c>
      <c r="H349" t="inlineStr">
        <is>
          <t>000000000111122744</t>
        </is>
      </c>
      <c r="I349" t="inlineStr">
        <is>
          <t>TM-O-N-AUT-AW-FC-41.28X3.200X5.9000</t>
        </is>
      </c>
      <c r="J349" t="n">
        <v>4010435</v>
      </c>
      <c r="K349" t="inlineStr">
        <is>
          <t>TUB-O-N-AUT-AW-FC-41.28X3.200X0.2300</t>
        </is>
      </c>
      <c r="L349" t="inlineStr">
        <is>
          <t>TVS</t>
        </is>
      </c>
      <c r="M349" t="inlineStr">
        <is>
          <t>41.28-0-3.2-ERW 1-FC</t>
        </is>
      </c>
      <c r="N349" t="inlineStr">
        <is>
          <t>41.28-0-3.2-ERW 1-FC-0.23</t>
        </is>
      </c>
    </row>
    <row r="350" hidden="1" s="584">
      <c r="A350" t="inlineStr">
        <is>
          <t>Scheduled at CTL-1</t>
        </is>
      </c>
      <c r="B350" t="n">
        <v>859</v>
      </c>
      <c r="C350" t="inlineStr">
        <is>
          <t>Rajsriya Automotive Industries</t>
        </is>
      </c>
      <c r="D350" t="n">
        <v>3.2</v>
      </c>
      <c r="E350" t="n">
        <v>41.28</v>
      </c>
      <c r="F350" t="n">
        <v>0</v>
      </c>
      <c r="G350" t="n">
        <v>0.23</v>
      </c>
      <c r="H350" t="inlineStr">
        <is>
          <t>000000000111122744</t>
        </is>
      </c>
      <c r="I350" t="inlineStr">
        <is>
          <t>TM-O-N-AUT-AW-FC-41.28X3.200X5.9000</t>
        </is>
      </c>
      <c r="J350" t="n">
        <v>4010435</v>
      </c>
      <c r="K350" t="inlineStr">
        <is>
          <t>TUB-O-N-AUT-AW-FC-41.28X3.200X0.2300</t>
        </is>
      </c>
      <c r="L350" t="inlineStr">
        <is>
          <t>TVS</t>
        </is>
      </c>
      <c r="M350" t="inlineStr">
        <is>
          <t>41.28-0-3.2-ERW 1-FC</t>
        </is>
      </c>
      <c r="N350" t="inlineStr">
        <is>
          <t>41.28-0-3.2-ERW 1-FC-0.23</t>
        </is>
      </c>
    </row>
    <row r="351" hidden="1" s="584">
      <c r="A351" t="inlineStr">
        <is>
          <t>Scheduled at CTL-1</t>
        </is>
      </c>
      <c r="B351" t="n">
        <v>500</v>
      </c>
      <c r="C351" t="inlineStr">
        <is>
          <t>Metalman Auto Private Limited</t>
        </is>
      </c>
      <c r="D351" t="n">
        <v>3.2</v>
      </c>
      <c r="E351" t="n">
        <v>41.28</v>
      </c>
      <c r="F351" t="n">
        <v>0</v>
      </c>
      <c r="G351" t="n">
        <v>0.246</v>
      </c>
      <c r="H351" t="inlineStr">
        <is>
          <t>000000000111118634</t>
        </is>
      </c>
      <c r="I351" t="inlineStr">
        <is>
          <t>TM-O-N-AUT-AW-FC-41.28X3.200X6.2850</t>
        </is>
      </c>
      <c r="J351" t="n">
        <v>3768907</v>
      </c>
      <c r="K351" t="inlineStr">
        <is>
          <t>CUT-O-N-AUT-AW-FC-41.28X3.200X0.2460</t>
        </is>
      </c>
      <c r="L351" t="inlineStr">
        <is>
          <t>TVS</t>
        </is>
      </c>
      <c r="M351" t="inlineStr">
        <is>
          <t>41.28-0-3.2-ERW 1-FC</t>
        </is>
      </c>
      <c r="N351" t="inlineStr">
        <is>
          <t>41.28-0-3.2-ERW 1-FC-0.246</t>
        </is>
      </c>
    </row>
    <row r="352" hidden="1" s="584">
      <c r="A352" t="inlineStr">
        <is>
          <t>Scheduled at CTL-1</t>
        </is>
      </c>
      <c r="B352" t="n">
        <v>1639</v>
      </c>
      <c r="C352" t="inlineStr">
        <is>
          <t>Metalman Auto Private Limited</t>
        </is>
      </c>
      <c r="D352" t="n">
        <v>3.2</v>
      </c>
      <c r="E352" t="n">
        <v>41.28</v>
      </c>
      <c r="F352" t="n">
        <v>0</v>
      </c>
      <c r="G352" t="n">
        <v>0.246</v>
      </c>
      <c r="H352" t="inlineStr">
        <is>
          <t>000000000111118634</t>
        </is>
      </c>
      <c r="I352" t="inlineStr">
        <is>
          <t>TM-O-N-AUT-AW-FC-41.28X3.200X6.2850</t>
        </is>
      </c>
      <c r="J352" t="n">
        <v>3768907</v>
      </c>
      <c r="K352" t="inlineStr">
        <is>
          <t>CUT-O-N-AUT-AW-FC-41.28X3.200X0.2460</t>
        </is>
      </c>
      <c r="L352" t="inlineStr">
        <is>
          <t>TVS</t>
        </is>
      </c>
      <c r="M352" t="inlineStr">
        <is>
          <t>41.28-0-3.2-ERW 1-FC</t>
        </is>
      </c>
      <c r="N352" t="inlineStr">
        <is>
          <t>41.28-0-3.2-ERW 1-FC-0.246</t>
        </is>
      </c>
    </row>
    <row r="353" hidden="1" s="584">
      <c r="A353" t="inlineStr">
        <is>
          <t>Scheduled at CTL-1</t>
        </is>
      </c>
      <c r="B353" t="n">
        <v>368</v>
      </c>
      <c r="C353" t="inlineStr">
        <is>
          <t>Metalman Auto Private Limited</t>
        </is>
      </c>
      <c r="D353" t="n">
        <v>1.2</v>
      </c>
      <c r="E353" t="n">
        <v>48.6</v>
      </c>
      <c r="F353" t="n">
        <v>0</v>
      </c>
      <c r="G353" t="n">
        <v>0.336</v>
      </c>
      <c r="H353" t="inlineStr">
        <is>
          <t>000000000111106621</t>
        </is>
      </c>
      <c r="I353" t="inlineStr">
        <is>
          <t>TM-O-N-AUT-AW-FC-48.60X1.200X5.8200</t>
        </is>
      </c>
      <c r="J353" t="n">
        <v>2325421</v>
      </c>
      <c r="K353" t="inlineStr">
        <is>
          <t>TUB-O-N-AUT-AW-FC-48.60X1.200X0.3360</t>
        </is>
      </c>
      <c r="L353" t="inlineStr">
        <is>
          <t>TVS</t>
        </is>
      </c>
      <c r="M353" t="inlineStr">
        <is>
          <t>48.6-0-1.2-ERW 1-FC</t>
        </is>
      </c>
      <c r="N353" t="inlineStr">
        <is>
          <t>48.6-0-1.2-ERW 1-FC-0.336</t>
        </is>
      </c>
    </row>
    <row r="354" hidden="1" s="584">
      <c r="A354" t="inlineStr">
        <is>
          <t>Scheduled at CTL-1</t>
        </is>
      </c>
      <c r="B354" t="n">
        <v>213</v>
      </c>
      <c r="C354" t="inlineStr">
        <is>
          <t>SANDHAR ENGINEERING PVT LTD.(K</t>
        </is>
      </c>
      <c r="D354" t="n">
        <v>1.2</v>
      </c>
      <c r="E354" t="n">
        <v>48.6</v>
      </c>
      <c r="F354" t="n">
        <v>0</v>
      </c>
      <c r="G354" t="n">
        <v>0.336</v>
      </c>
      <c r="H354" t="inlineStr">
        <is>
          <t>000000000111106621</t>
        </is>
      </c>
      <c r="I354" t="inlineStr">
        <is>
          <t>TM-O-N-AUT-AW-FC-48.60X1.200X5.8200</t>
        </is>
      </c>
      <c r="J354" t="n">
        <v>2325421</v>
      </c>
      <c r="K354" t="inlineStr">
        <is>
          <t>TUB-O-N-AUT-AW-FC-48.60X1.200X0.3360</t>
        </is>
      </c>
      <c r="L354" t="inlineStr">
        <is>
          <t>TVS</t>
        </is>
      </c>
      <c r="M354" t="inlineStr">
        <is>
          <t>48.6-0-1.2-ERW 1-FC</t>
        </is>
      </c>
      <c r="N354" t="inlineStr">
        <is>
          <t>48.6-0-1.2-ERW 1-FC-0.336</t>
        </is>
      </c>
    </row>
    <row r="355" hidden="1" s="584">
      <c r="A355" t="inlineStr">
        <is>
          <t>Scheduled at CTL-1</t>
        </is>
      </c>
      <c r="B355" t="n">
        <v>523</v>
      </c>
      <c r="C355" t="inlineStr">
        <is>
          <t>Metalman Auto Private Limited</t>
        </is>
      </c>
      <c r="D355" t="n">
        <v>1.2</v>
      </c>
      <c r="E355" t="n">
        <v>48.6</v>
      </c>
      <c r="F355" t="n">
        <v>0</v>
      </c>
      <c r="G355" t="n">
        <v>0.336</v>
      </c>
      <c r="H355" t="inlineStr">
        <is>
          <t>000000000111106621</t>
        </is>
      </c>
      <c r="I355" t="inlineStr">
        <is>
          <t>TM-O-N-AUT-AW-FC-48.60X1.200X5.8200</t>
        </is>
      </c>
      <c r="J355" t="n">
        <v>2325421</v>
      </c>
      <c r="K355" t="inlineStr">
        <is>
          <t>TUB-O-N-AUT-AW-FC-48.60X1.200X0.3360</t>
        </is>
      </c>
      <c r="L355" t="inlineStr">
        <is>
          <t>TVS</t>
        </is>
      </c>
      <c r="M355" t="inlineStr">
        <is>
          <t>48.6-0-1.2-ERW 1-FC</t>
        </is>
      </c>
      <c r="N355" t="inlineStr">
        <is>
          <t>48.6-0-1.2-ERW 1-FC-0.336</t>
        </is>
      </c>
    </row>
    <row r="356" hidden="1" s="584">
      <c r="A356" t="inlineStr">
        <is>
          <t>Scheduled at CTL-1</t>
        </is>
      </c>
      <c r="B356" t="n">
        <v>1576</v>
      </c>
      <c r="C356" t="inlineStr">
        <is>
          <t>SANDHAR ENGINEERING PVT LTD.(K</t>
        </is>
      </c>
      <c r="D356" t="n">
        <v>1.2</v>
      </c>
      <c r="E356" t="n">
        <v>48.6</v>
      </c>
      <c r="F356" t="n">
        <v>0</v>
      </c>
      <c r="G356" t="n">
        <v>0.336</v>
      </c>
      <c r="H356" t="inlineStr">
        <is>
          <t>000000000111106621</t>
        </is>
      </c>
      <c r="I356" t="inlineStr">
        <is>
          <t>TM-O-N-AUT-AW-FC-48.60X1.200X5.8200</t>
        </is>
      </c>
      <c r="J356" t="n">
        <v>2325421</v>
      </c>
      <c r="K356" t="inlineStr">
        <is>
          <t>TUB-O-N-AUT-AW-FC-48.60X1.200X0.3360</t>
        </is>
      </c>
      <c r="L356" t="inlineStr">
        <is>
          <t>TVS</t>
        </is>
      </c>
      <c r="M356" t="inlineStr">
        <is>
          <t>48.6-0-1.2-ERW 1-FC</t>
        </is>
      </c>
      <c r="N356" t="inlineStr">
        <is>
          <t>48.6-0-1.2-ERW 1-FC-0.336</t>
        </is>
      </c>
    </row>
    <row r="357" hidden="1" s="584">
      <c r="A357" t="inlineStr">
        <is>
          <t>Scheduled at CTL-1</t>
        </is>
      </c>
      <c r="B357" t="n">
        <v>1584</v>
      </c>
      <c r="C357" t="inlineStr">
        <is>
          <t>SANDHAR ENGINEERING PVT LTD.(K</t>
        </is>
      </c>
      <c r="D357" t="n">
        <v>1.2</v>
      </c>
      <c r="E357" t="n">
        <v>48.6</v>
      </c>
      <c r="F357" t="n">
        <v>0</v>
      </c>
      <c r="G357" t="n">
        <v>0.336</v>
      </c>
      <c r="H357" t="inlineStr">
        <is>
          <t>000000000111106621</t>
        </is>
      </c>
      <c r="I357" t="inlineStr">
        <is>
          <t>TM-O-N-AUT-AW-FC-48.60X1.200X5.8200</t>
        </is>
      </c>
      <c r="J357" t="n">
        <v>2325421</v>
      </c>
      <c r="K357" t="inlineStr">
        <is>
          <t>TUB-O-N-AUT-AW-FC-48.60X1.200X0.3360</t>
        </is>
      </c>
      <c r="L357" t="inlineStr">
        <is>
          <t>TVS</t>
        </is>
      </c>
      <c r="M357" t="inlineStr">
        <is>
          <t>48.6-0-1.2-ERW 1-FC</t>
        </is>
      </c>
      <c r="N357" t="inlineStr">
        <is>
          <t>48.6-0-1.2-ERW 1-FC-0.336</t>
        </is>
      </c>
    </row>
    <row r="358" hidden="1" s="584">
      <c r="A358" t="inlineStr">
        <is>
          <t>Scheduled at CTL-1</t>
        </is>
      </c>
      <c r="B358" t="n">
        <v>1617</v>
      </c>
      <c r="C358" t="inlineStr">
        <is>
          <t>Metalman Auto Private Limited</t>
        </is>
      </c>
      <c r="D358" t="n">
        <v>1.2</v>
      </c>
      <c r="E358" t="n">
        <v>48.6</v>
      </c>
      <c r="F358" t="n">
        <v>0</v>
      </c>
      <c r="G358" t="n">
        <v>0.336</v>
      </c>
      <c r="H358" t="inlineStr">
        <is>
          <t>000000000111106621</t>
        </is>
      </c>
      <c r="I358" t="inlineStr">
        <is>
          <t>TM-O-N-AUT-AW-FC-48.60X1.200X5.8200</t>
        </is>
      </c>
      <c r="J358" t="n">
        <v>2325421</v>
      </c>
      <c r="K358" t="inlineStr">
        <is>
          <t>TUB-O-N-AUT-AW-FC-48.60X1.200X0.3360</t>
        </is>
      </c>
      <c r="L358" t="inlineStr">
        <is>
          <t>TVS</t>
        </is>
      </c>
      <c r="M358" t="inlineStr">
        <is>
          <t>48.6-0-1.2-ERW 1-FC</t>
        </is>
      </c>
      <c r="N358" t="inlineStr">
        <is>
          <t>48.6-0-1.2-ERW 1-FC-0.336</t>
        </is>
      </c>
    </row>
    <row r="359" hidden="1" s="584">
      <c r="A359" t="inlineStr">
        <is>
          <t>Scheduled at CTL-1</t>
        </is>
      </c>
      <c r="B359" t="n">
        <v>1609</v>
      </c>
      <c r="C359" t="inlineStr">
        <is>
          <t>Metalman Auto Private Limited</t>
        </is>
      </c>
      <c r="D359" t="n">
        <v>1.2</v>
      </c>
      <c r="E359" t="n">
        <v>48.6</v>
      </c>
      <c r="F359" t="n">
        <v>0</v>
      </c>
      <c r="G359" t="n">
        <v>0.336</v>
      </c>
      <c r="H359" t="inlineStr">
        <is>
          <t>000000000111106621</t>
        </is>
      </c>
      <c r="I359" t="inlineStr">
        <is>
          <t>TM-O-N-AUT-AW-FC-48.60X1.200X5.8200</t>
        </is>
      </c>
      <c r="J359" t="n">
        <v>2325421</v>
      </c>
      <c r="K359" t="inlineStr">
        <is>
          <t>TUB-O-N-AUT-AW-FC-48.60X1.200X0.3360</t>
        </is>
      </c>
      <c r="L359" t="inlineStr">
        <is>
          <t>TVS</t>
        </is>
      </c>
      <c r="M359" t="inlineStr">
        <is>
          <t>48.6-0-1.2-ERW 1-FC</t>
        </is>
      </c>
      <c r="N359" t="inlineStr">
        <is>
          <t>48.6-0-1.2-ERW 1-FC-0.336</t>
        </is>
      </c>
    </row>
    <row r="360" hidden="1" s="584">
      <c r="A360" t="inlineStr">
        <is>
          <t>Scheduled at CTL-1</t>
        </is>
      </c>
      <c r="B360" t="n">
        <v>1633</v>
      </c>
      <c r="C360" t="inlineStr">
        <is>
          <t>Metalman Auto Private Limited</t>
        </is>
      </c>
      <c r="D360" t="n">
        <v>1.2</v>
      </c>
      <c r="E360" t="n">
        <v>48.6</v>
      </c>
      <c r="F360" t="n">
        <v>0</v>
      </c>
      <c r="G360" t="n">
        <v>0.336</v>
      </c>
      <c r="H360" t="inlineStr">
        <is>
          <t>000000000111106621</t>
        </is>
      </c>
      <c r="I360" t="inlineStr">
        <is>
          <t>TM-O-N-AUT-AW-FC-48.60X1.200X5.8200</t>
        </is>
      </c>
      <c r="J360" t="n">
        <v>2325421</v>
      </c>
      <c r="K360" t="inlineStr">
        <is>
          <t>TUB-O-N-AUT-AW-FC-48.60X1.200X0.3360</t>
        </is>
      </c>
      <c r="L360" t="inlineStr">
        <is>
          <t>TVS</t>
        </is>
      </c>
      <c r="M360" t="inlineStr">
        <is>
          <t>48.6-0-1.2-ERW 1-FC</t>
        </is>
      </c>
      <c r="N360" t="inlineStr">
        <is>
          <t>48.6-0-1.2-ERW 1-FC-0.336</t>
        </is>
      </c>
    </row>
    <row r="361" hidden="1" s="584">
      <c r="A361" t="inlineStr">
        <is>
          <t>Scheduled at CTL-1</t>
        </is>
      </c>
      <c r="B361" t="n">
        <v>1496</v>
      </c>
      <c r="C361" t="inlineStr">
        <is>
          <t>Metalman Auto Private Limited</t>
        </is>
      </c>
      <c r="D361" t="n">
        <v>1.2</v>
      </c>
      <c r="E361" t="n">
        <v>48.6</v>
      </c>
      <c r="F361" t="n">
        <v>0</v>
      </c>
      <c r="G361" t="n">
        <v>0.336</v>
      </c>
      <c r="H361" t="inlineStr">
        <is>
          <t>000000000111106621</t>
        </is>
      </c>
      <c r="I361" t="inlineStr">
        <is>
          <t>TM-O-N-AUT-AW-FC-48.60X1.200X5.8200</t>
        </is>
      </c>
      <c r="J361" t="n">
        <v>2325421</v>
      </c>
      <c r="K361" t="inlineStr">
        <is>
          <t>TUB-O-N-AUT-AW-FC-48.60X1.200X0.3360</t>
        </is>
      </c>
      <c r="L361" t="inlineStr">
        <is>
          <t>TVS</t>
        </is>
      </c>
      <c r="M361" t="inlineStr">
        <is>
          <t>48.6-0-1.2-ERW 1-FC</t>
        </is>
      </c>
      <c r="N361" t="inlineStr">
        <is>
          <t>48.6-0-1.2-ERW 1-FC-0.336</t>
        </is>
      </c>
    </row>
    <row r="362" hidden="1" s="584">
      <c r="A362" t="inlineStr">
        <is>
          <t>Scheduled at CTL-1</t>
        </is>
      </c>
      <c r="B362" t="n">
        <v>1625</v>
      </c>
      <c r="C362" t="inlineStr">
        <is>
          <t>Metalman Auto Private Limited</t>
        </is>
      </c>
      <c r="D362" t="n">
        <v>1.2</v>
      </c>
      <c r="E362" t="n">
        <v>48.6</v>
      </c>
      <c r="F362" t="n">
        <v>0</v>
      </c>
      <c r="G362" t="n">
        <v>0.336</v>
      </c>
      <c r="H362" t="inlineStr">
        <is>
          <t>000000000111106621</t>
        </is>
      </c>
      <c r="I362" t="inlineStr">
        <is>
          <t>TM-O-N-AUT-AW-FC-48.60X1.200X5.8200</t>
        </is>
      </c>
      <c r="J362" t="n">
        <v>2325421</v>
      </c>
      <c r="K362" t="inlineStr">
        <is>
          <t>TUB-O-N-AUT-AW-FC-48.60X1.200X0.3360</t>
        </is>
      </c>
      <c r="L362" t="inlineStr">
        <is>
          <t>TVS</t>
        </is>
      </c>
      <c r="M362" t="inlineStr">
        <is>
          <t>48.6-0-1.2-ERW 1-FC</t>
        </is>
      </c>
      <c r="N362" t="inlineStr">
        <is>
          <t>48.6-0-1.2-ERW 1-FC-0.336</t>
        </is>
      </c>
    </row>
    <row r="363" hidden="1" s="584">
      <c r="A363" t="inlineStr">
        <is>
          <t>Scheduled at CTL-1</t>
        </is>
      </c>
      <c r="B363" t="n">
        <v>1609</v>
      </c>
      <c r="C363" t="inlineStr">
        <is>
          <t>Metalman Auto Private Limited</t>
        </is>
      </c>
      <c r="D363" t="n">
        <v>1.2</v>
      </c>
      <c r="E363" t="n">
        <v>48.6</v>
      </c>
      <c r="F363" t="n">
        <v>0</v>
      </c>
      <c r="G363" t="n">
        <v>0.336</v>
      </c>
      <c r="H363" t="inlineStr">
        <is>
          <t>000000000111106621</t>
        </is>
      </c>
      <c r="I363" t="inlineStr">
        <is>
          <t>TM-O-N-AUT-AW-FC-48.60X1.200X5.8200</t>
        </is>
      </c>
      <c r="J363" t="n">
        <v>2325421</v>
      </c>
      <c r="K363" t="inlineStr">
        <is>
          <t>TUB-O-N-AUT-AW-FC-48.60X1.200X0.3360</t>
        </is>
      </c>
      <c r="L363" t="inlineStr">
        <is>
          <t>TVS</t>
        </is>
      </c>
      <c r="M363" t="inlineStr">
        <is>
          <t>48.6-0-1.2-ERW 1-FC</t>
        </is>
      </c>
      <c r="N363" t="inlineStr">
        <is>
          <t>48.6-0-1.2-ERW 1-FC-0.336</t>
        </is>
      </c>
    </row>
    <row r="364" hidden="1" s="584">
      <c r="A364" t="inlineStr">
        <is>
          <t>Scheduled at CTL-1</t>
        </is>
      </c>
      <c r="B364" t="n">
        <v>1618</v>
      </c>
      <c r="C364" t="inlineStr">
        <is>
          <t>Metalman Auto Private Limited</t>
        </is>
      </c>
      <c r="D364" t="n">
        <v>1.2</v>
      </c>
      <c r="E364" t="n">
        <v>48.6</v>
      </c>
      <c r="F364" t="n">
        <v>0</v>
      </c>
      <c r="G364" t="n">
        <v>0.336</v>
      </c>
      <c r="H364" t="inlineStr">
        <is>
          <t>000000000111106621</t>
        </is>
      </c>
      <c r="I364" t="inlineStr">
        <is>
          <t>TM-O-N-AUT-AW-FC-48.60X1.200X5.8200</t>
        </is>
      </c>
      <c r="J364" t="n">
        <v>2325421</v>
      </c>
      <c r="K364" t="inlineStr">
        <is>
          <t>TUB-O-N-AUT-AW-FC-48.60X1.200X0.3360</t>
        </is>
      </c>
      <c r="L364" t="inlineStr">
        <is>
          <t>TVS</t>
        </is>
      </c>
      <c r="M364" t="inlineStr">
        <is>
          <t>48.6-0-1.2-ERW 1-FC</t>
        </is>
      </c>
      <c r="N364" t="inlineStr">
        <is>
          <t>48.6-0-1.2-ERW 1-FC-0.336</t>
        </is>
      </c>
    </row>
    <row r="365" hidden="1" s="584">
      <c r="A365" t="inlineStr">
        <is>
          <t>Scheduled at CTL-1</t>
        </is>
      </c>
      <c r="B365" t="n">
        <v>1553</v>
      </c>
      <c r="C365" t="inlineStr">
        <is>
          <t>SANDHAR ENGINEERING PVT LTD.(K</t>
        </is>
      </c>
      <c r="D365" t="n">
        <v>1.2</v>
      </c>
      <c r="E365" t="n">
        <v>48.6</v>
      </c>
      <c r="F365" t="n">
        <v>0</v>
      </c>
      <c r="G365" t="n">
        <v>0.336</v>
      </c>
      <c r="H365" t="inlineStr">
        <is>
          <t>000000000111106621</t>
        </is>
      </c>
      <c r="I365" t="inlineStr">
        <is>
          <t>TM-O-N-AUT-AW-FC-48.60X1.200X5.8200</t>
        </is>
      </c>
      <c r="J365" t="n">
        <v>2325421</v>
      </c>
      <c r="K365" t="inlineStr">
        <is>
          <t>TUB-O-N-AUT-AW-FC-48.60X1.200X0.3360</t>
        </is>
      </c>
      <c r="L365" t="inlineStr">
        <is>
          <t>TVS</t>
        </is>
      </c>
      <c r="M365" t="inlineStr">
        <is>
          <t>48.6-0-1.2-ERW 1-FC</t>
        </is>
      </c>
      <c r="N365" t="inlineStr">
        <is>
          <t>48.6-0-1.2-ERW 1-FC-0.336</t>
        </is>
      </c>
    </row>
    <row r="366" hidden="1" s="584">
      <c r="A366" t="inlineStr">
        <is>
          <t>Scheduled at CTL-1</t>
        </is>
      </c>
      <c r="B366" t="n">
        <v>515</v>
      </c>
      <c r="C366" t="inlineStr">
        <is>
          <t>ELKAYEM AUTO ANCILLARIES PRIVA</t>
        </is>
      </c>
      <c r="D366" t="n">
        <v>1.6</v>
      </c>
      <c r="E366" t="n">
        <v>50</v>
      </c>
      <c r="F366" t="n">
        <v>30</v>
      </c>
      <c r="G366" t="n">
        <v>0.604</v>
      </c>
      <c r="H366" t="inlineStr">
        <is>
          <t>000000000111002411</t>
        </is>
      </c>
      <c r="I366" t="inlineStr">
        <is>
          <t>TM-R-AW-AUT-50.00X30.00X1.600X5.5250</t>
        </is>
      </c>
      <c r="J366" t="n">
        <v>2427158</v>
      </c>
      <c r="K366" t="inlineStr">
        <is>
          <t>TUB-R-AW-AUT-50.00X30.00X1.600X0.6040</t>
        </is>
      </c>
      <c r="L366" t="inlineStr">
        <is>
          <t>TVS</t>
        </is>
      </c>
      <c r="M366" t="inlineStr">
        <is>
          <t>50-30-1.6-ERW 1-FC</t>
        </is>
      </c>
      <c r="N366" t="inlineStr">
        <is>
          <t>50-30-1.6-ERW 1-FC-0.604</t>
        </is>
      </c>
    </row>
    <row r="367" hidden="1" s="584">
      <c r="A367" t="inlineStr">
        <is>
          <t>Scheduled at CTL-1</t>
        </is>
      </c>
      <c r="B367" t="n">
        <v>1590</v>
      </c>
      <c r="C367" t="inlineStr">
        <is>
          <t>ELKAYEM AUTO ANCILLARIES PRIVA</t>
        </is>
      </c>
      <c r="D367" t="n">
        <v>1.6</v>
      </c>
      <c r="E367" t="n">
        <v>50</v>
      </c>
      <c r="F367" t="n">
        <v>30</v>
      </c>
      <c r="G367" t="n">
        <v>0.604</v>
      </c>
      <c r="H367" t="inlineStr">
        <is>
          <t>000000000111002411</t>
        </is>
      </c>
      <c r="I367" t="inlineStr">
        <is>
          <t>TM-R-AW-AUT-50.00X30.00X1.600X5.5250</t>
        </is>
      </c>
      <c r="J367" t="n">
        <v>2427158</v>
      </c>
      <c r="K367" t="inlineStr">
        <is>
          <t>TUB-R-AW-AUT-50.00X30.00X1.600X0.6040</t>
        </is>
      </c>
      <c r="L367" t="inlineStr">
        <is>
          <t>TVS</t>
        </is>
      </c>
      <c r="M367" t="inlineStr">
        <is>
          <t>50-30-1.6-ERW 1-FC</t>
        </is>
      </c>
      <c r="N367" t="inlineStr">
        <is>
          <t>50-30-1.6-ERW 1-FC-0.604</t>
        </is>
      </c>
    </row>
    <row r="368" hidden="1" s="584">
      <c r="A368" t="inlineStr">
        <is>
          <t>Scheduled at CTL-1</t>
        </is>
      </c>
      <c r="B368" t="n">
        <v>1575</v>
      </c>
      <c r="C368" t="inlineStr">
        <is>
          <t>ELKAYEM AUTO ANCILLARIES PRIVA</t>
        </is>
      </c>
      <c r="D368" t="n">
        <v>1.6</v>
      </c>
      <c r="E368" t="n">
        <v>50</v>
      </c>
      <c r="F368" t="n">
        <v>30</v>
      </c>
      <c r="G368" t="n">
        <v>0.604</v>
      </c>
      <c r="H368" t="inlineStr">
        <is>
          <t>000000000111002411</t>
        </is>
      </c>
      <c r="I368" t="inlineStr">
        <is>
          <t>TM-R-AW-AUT-50.00X30.00X1.600X5.5250</t>
        </is>
      </c>
      <c r="J368" t="n">
        <v>2427158</v>
      </c>
      <c r="K368" t="inlineStr">
        <is>
          <t>TUB-R-AW-AUT-50.00X30.00X1.600X0.6040</t>
        </is>
      </c>
      <c r="L368" t="inlineStr">
        <is>
          <t>TVS</t>
        </is>
      </c>
      <c r="M368" t="inlineStr">
        <is>
          <t>50-30-1.6-ERW 1-FC</t>
        </is>
      </c>
      <c r="N368" t="inlineStr">
        <is>
          <t>50-30-1.6-ERW 1-FC-0.604</t>
        </is>
      </c>
    </row>
    <row r="369" hidden="1" s="584">
      <c r="A369" t="inlineStr">
        <is>
          <t>Scheduled at CTL-1</t>
        </is>
      </c>
      <c r="B369" t="n">
        <v>1610</v>
      </c>
      <c r="C369" t="inlineStr">
        <is>
          <t>ELKAYEM AUTO ANCILLARIES PRIVA</t>
        </is>
      </c>
      <c r="D369" t="n">
        <v>1.6</v>
      </c>
      <c r="E369" t="n">
        <v>50</v>
      </c>
      <c r="F369" t="n">
        <v>30</v>
      </c>
      <c r="G369" t="n">
        <v>0.604</v>
      </c>
      <c r="H369" t="inlineStr">
        <is>
          <t>000000000111002411</t>
        </is>
      </c>
      <c r="I369" t="inlineStr">
        <is>
          <t>TM-R-AW-AUT-50.00X30.00X1.600X5.5250</t>
        </is>
      </c>
      <c r="J369" t="n">
        <v>2427158</v>
      </c>
      <c r="K369" t="inlineStr">
        <is>
          <t>TUB-R-AW-AUT-50.00X30.00X1.600X0.6040</t>
        </is>
      </c>
      <c r="L369" t="inlineStr">
        <is>
          <t>TVS</t>
        </is>
      </c>
      <c r="M369" t="inlineStr">
        <is>
          <t>50-30-1.6-ERW 1-FC</t>
        </is>
      </c>
      <c r="N369" t="inlineStr">
        <is>
          <t>50-30-1.6-ERW 1-FC-0.604</t>
        </is>
      </c>
    </row>
    <row r="370" hidden="1" s="584">
      <c r="A370" t="inlineStr">
        <is>
          <t>Scheduled at CTL-1</t>
        </is>
      </c>
      <c r="B370" t="n">
        <v>1593</v>
      </c>
      <c r="C370" t="inlineStr">
        <is>
          <t>Sandhar EngineeringPvt.Ltd.(KA</t>
        </is>
      </c>
      <c r="D370" t="n">
        <v>1.6</v>
      </c>
      <c r="E370" t="n">
        <v>50</v>
      </c>
      <c r="F370" t="n">
        <v>30</v>
      </c>
      <c r="G370" t="n">
        <v>0.607</v>
      </c>
      <c r="H370" t="inlineStr">
        <is>
          <t>000000000111002503</t>
        </is>
      </c>
      <c r="I370" t="inlineStr">
        <is>
          <t>TM-R-AW-AUT-50.00X30.00X1.600X5.5750</t>
        </is>
      </c>
      <c r="J370" t="n">
        <v>3775637</v>
      </c>
      <c r="K370" t="inlineStr">
        <is>
          <t>TUB-R-AW-RHS-50.00X30.00X1.600X0.6070</t>
        </is>
      </c>
      <c r="L370" t="inlineStr">
        <is>
          <t>TVS</t>
        </is>
      </c>
      <c r="M370" t="inlineStr">
        <is>
          <t>50-30-1.6-ERW 1-FC</t>
        </is>
      </c>
      <c r="N370" t="inlineStr">
        <is>
          <t>50-30-1.6-ERW 1-FC-0.607</t>
        </is>
      </c>
    </row>
    <row r="371" hidden="1" s="584">
      <c r="A371" t="inlineStr">
        <is>
          <t>Scheduled at CTL-1</t>
        </is>
      </c>
      <c r="B371" t="n">
        <v>1511</v>
      </c>
      <c r="C371" t="inlineStr">
        <is>
          <t>Sandhar EngineeringPvt.Ltd.(KA</t>
        </is>
      </c>
      <c r="D371" t="n">
        <v>1.6</v>
      </c>
      <c r="E371" t="n">
        <v>50</v>
      </c>
      <c r="F371" t="n">
        <v>30</v>
      </c>
      <c r="G371" t="n">
        <v>0.607</v>
      </c>
      <c r="H371" t="inlineStr">
        <is>
          <t>000000000111002503</t>
        </is>
      </c>
      <c r="I371" t="inlineStr">
        <is>
          <t>TM-R-AW-AUT-50.00X30.00X1.600X5.5750</t>
        </is>
      </c>
      <c r="J371" t="n">
        <v>3775637</v>
      </c>
      <c r="K371" t="inlineStr">
        <is>
          <t>TUB-R-AW-RHS-50.00X30.00X1.600X0.6070</t>
        </is>
      </c>
      <c r="L371" t="inlineStr">
        <is>
          <t>TVS</t>
        </is>
      </c>
      <c r="M371" t="inlineStr">
        <is>
          <t>50-30-1.6-ERW 1-FC</t>
        </is>
      </c>
      <c r="N371" t="inlineStr">
        <is>
          <t>50-30-1.6-ERW 1-FC-0.607</t>
        </is>
      </c>
    </row>
    <row r="372" hidden="1" s="584">
      <c r="A372" t="inlineStr">
        <is>
          <t>Scheduled at CTL-1</t>
        </is>
      </c>
      <c r="B372" t="n">
        <v>1624</v>
      </c>
      <c r="C372" t="inlineStr">
        <is>
          <t>Sandhar EngineeringPvt.Ltd.(KA</t>
        </is>
      </c>
      <c r="D372" t="n">
        <v>1.6</v>
      </c>
      <c r="E372" t="n">
        <v>50</v>
      </c>
      <c r="F372" t="n">
        <v>30</v>
      </c>
      <c r="G372" t="n">
        <v>0.607</v>
      </c>
      <c r="H372" t="inlineStr">
        <is>
          <t>000000000111002503</t>
        </is>
      </c>
      <c r="I372" t="inlineStr">
        <is>
          <t>TM-R-AW-AUT-50.00X30.00X1.600X5.5750</t>
        </is>
      </c>
      <c r="J372" t="n">
        <v>3775637</v>
      </c>
      <c r="K372" t="inlineStr">
        <is>
          <t>TUB-R-AW-RHS-50.00X30.00X1.600X0.6070</t>
        </is>
      </c>
      <c r="L372" t="inlineStr">
        <is>
          <t>TVS</t>
        </is>
      </c>
      <c r="M372" t="inlineStr">
        <is>
          <t>50-30-1.6-ERW 1-FC</t>
        </is>
      </c>
      <c r="N372" t="inlineStr">
        <is>
          <t>50-30-1.6-ERW 1-FC-0.607</t>
        </is>
      </c>
    </row>
    <row r="373" hidden="1" s="584">
      <c r="A373" t="inlineStr">
        <is>
          <t>Scheduled at CTL-1</t>
        </is>
      </c>
      <c r="B373" t="n">
        <v>1646</v>
      </c>
      <c r="C373" t="inlineStr">
        <is>
          <t>Sandhar EngineeringPvt.Ltd.(KA</t>
        </is>
      </c>
      <c r="D373" t="n">
        <v>1.6</v>
      </c>
      <c r="E373" t="n">
        <v>50</v>
      </c>
      <c r="F373" t="n">
        <v>30</v>
      </c>
      <c r="G373" t="n">
        <v>0.607</v>
      </c>
      <c r="H373" t="inlineStr">
        <is>
          <t>000000000111002503</t>
        </is>
      </c>
      <c r="I373" t="inlineStr">
        <is>
          <t>TM-R-AW-AUT-50.00X30.00X1.600X5.5750</t>
        </is>
      </c>
      <c r="J373" t="n">
        <v>3775637</v>
      </c>
      <c r="K373" t="inlineStr">
        <is>
          <t>TUB-R-AW-RHS-50.00X30.00X1.600X0.6070</t>
        </is>
      </c>
      <c r="L373" t="inlineStr">
        <is>
          <t>TVS</t>
        </is>
      </c>
      <c r="M373" t="inlineStr">
        <is>
          <t>50-30-1.6-ERW 1-FC</t>
        </is>
      </c>
      <c r="N373" t="inlineStr">
        <is>
          <t>50-30-1.6-ERW 1-FC-0.607</t>
        </is>
      </c>
    </row>
    <row r="374" hidden="1" s="584">
      <c r="A374" t="inlineStr">
        <is>
          <t>Scheduled at CTL-1</t>
        </is>
      </c>
      <c r="B374" t="n">
        <v>1550</v>
      </c>
      <c r="C374" t="inlineStr">
        <is>
          <t>Sandhar EngineeringPvt.Ltd.(KA</t>
        </is>
      </c>
      <c r="D374" t="n">
        <v>1.6</v>
      </c>
      <c r="E374" t="n">
        <v>50</v>
      </c>
      <c r="F374" t="n">
        <v>30</v>
      </c>
      <c r="G374" t="n">
        <v>0.607</v>
      </c>
      <c r="H374" t="inlineStr">
        <is>
          <t>000000000111002503</t>
        </is>
      </c>
      <c r="I374" t="inlineStr">
        <is>
          <t>TM-R-AW-AUT-50.00X30.00X1.600X5.5750</t>
        </is>
      </c>
      <c r="J374" t="n">
        <v>3775637</v>
      </c>
      <c r="K374" t="inlineStr">
        <is>
          <t>TUB-R-AW-RHS-50.00X30.00X1.600X0.6070</t>
        </is>
      </c>
      <c r="L374" t="inlineStr">
        <is>
          <t>TVS</t>
        </is>
      </c>
      <c r="M374" t="inlineStr">
        <is>
          <t>50-30-1.6-ERW 1-FC</t>
        </is>
      </c>
      <c r="N374" t="inlineStr">
        <is>
          <t>50-30-1.6-ERW 1-FC-0.607</t>
        </is>
      </c>
    </row>
    <row r="375" hidden="1" s="584">
      <c r="A375" t="inlineStr">
        <is>
          <t>Scheduled at CTL-1</t>
        </is>
      </c>
      <c r="B375" t="n">
        <v>1630</v>
      </c>
      <c r="C375" t="inlineStr">
        <is>
          <t>Sandhar EngineeringPvt.Ltd.(KA</t>
        </is>
      </c>
      <c r="D375" t="n">
        <v>1.6</v>
      </c>
      <c r="E375" t="n">
        <v>50</v>
      </c>
      <c r="F375" t="n">
        <v>30</v>
      </c>
      <c r="G375" t="n">
        <v>0.607</v>
      </c>
      <c r="H375" t="inlineStr">
        <is>
          <t>000000000111002503</t>
        </is>
      </c>
      <c r="I375" t="inlineStr">
        <is>
          <t>TM-R-AW-AUT-50.00X30.00X1.600X5.5750</t>
        </is>
      </c>
      <c r="J375" t="n">
        <v>3775637</v>
      </c>
      <c r="K375" t="inlineStr">
        <is>
          <t>TUB-R-AW-RHS-50.00X30.00X1.600X0.6070</t>
        </is>
      </c>
      <c r="L375" t="inlineStr">
        <is>
          <t>TVS</t>
        </is>
      </c>
      <c r="M375" t="inlineStr">
        <is>
          <t>50-30-1.6-ERW 1-FC</t>
        </is>
      </c>
      <c r="N375" t="inlineStr">
        <is>
          <t>50-30-1.6-ERW 1-FC-0.607</t>
        </is>
      </c>
    </row>
    <row r="376" hidden="1" s="584">
      <c r="A376" t="inlineStr">
        <is>
          <t>Scheduled at CTL-1</t>
        </is>
      </c>
      <c r="B376" t="n">
        <v>1530</v>
      </c>
      <c r="C376" t="inlineStr">
        <is>
          <t>Sandhar EngineeringPvt.Ltd.(KA</t>
        </is>
      </c>
      <c r="D376" t="n">
        <v>1.6</v>
      </c>
      <c r="E376" t="n">
        <v>50</v>
      </c>
      <c r="F376" t="n">
        <v>30</v>
      </c>
      <c r="G376" t="n">
        <v>0.607</v>
      </c>
      <c r="H376" t="inlineStr">
        <is>
          <t>000000000111002503</t>
        </is>
      </c>
      <c r="I376" t="inlineStr">
        <is>
          <t>TM-R-AW-AUT-50.00X30.00X1.600X5.5750</t>
        </is>
      </c>
      <c r="J376" t="n">
        <v>3775637</v>
      </c>
      <c r="K376" t="inlineStr">
        <is>
          <t>TUB-R-AW-RHS-50.00X30.00X1.600X0.6070</t>
        </is>
      </c>
      <c r="L376" t="inlineStr">
        <is>
          <t>TVS</t>
        </is>
      </c>
      <c r="M376" t="inlineStr">
        <is>
          <t>50-30-1.6-ERW 1-FC</t>
        </is>
      </c>
      <c r="N376" t="inlineStr">
        <is>
          <t>50-30-1.6-ERW 1-FC-0.607</t>
        </is>
      </c>
    </row>
    <row r="377" hidden="1" s="584">
      <c r="A377" t="inlineStr">
        <is>
          <t>Scheduled at CTL-1</t>
        </is>
      </c>
      <c r="B377" t="n">
        <v>632</v>
      </c>
      <c r="C377" t="inlineStr">
        <is>
          <t>ELKAYEM AUTO ANCILLARIES PVT L</t>
        </is>
      </c>
      <c r="D377" t="n">
        <v>1.6</v>
      </c>
      <c r="E377" t="n">
        <v>50</v>
      </c>
      <c r="F377" t="n">
        <v>30</v>
      </c>
      <c r="G377" t="n">
        <v>0.636</v>
      </c>
      <c r="H377" t="inlineStr">
        <is>
          <t>000000000110103004</t>
        </is>
      </c>
      <c r="I377" t="inlineStr">
        <is>
          <t>TM-R-AW-RHS-50.00X30.00X1.600X5.8190</t>
        </is>
      </c>
      <c r="J377" t="n">
        <v>1940879</v>
      </c>
      <c r="K377" t="inlineStr">
        <is>
          <t>TUB-R-AW-RHS-50.00X30.00X1.600X0.6360</t>
        </is>
      </c>
      <c r="L377" t="inlineStr">
        <is>
          <t>TVS</t>
        </is>
      </c>
      <c r="M377" t="inlineStr">
        <is>
          <t>50-30-1.6-ERW 1-FC</t>
        </is>
      </c>
      <c r="N377" t="inlineStr">
        <is>
          <t>50-30-1.6-ERW 1-FC-0.636</t>
        </is>
      </c>
    </row>
    <row r="378" hidden="1" s="584">
      <c r="A378" t="inlineStr">
        <is>
          <t>Scheduled at CTL-1</t>
        </is>
      </c>
      <c r="B378" t="n">
        <v>1621</v>
      </c>
      <c r="C378" t="inlineStr">
        <is>
          <t>ELKAYEM AUTO ANCILLARIES PVT L</t>
        </is>
      </c>
      <c r="D378" t="n">
        <v>1.6</v>
      </c>
      <c r="E378" t="n">
        <v>50</v>
      </c>
      <c r="F378" t="n">
        <v>30</v>
      </c>
      <c r="G378" t="n">
        <v>0.636</v>
      </c>
      <c r="H378" t="inlineStr">
        <is>
          <t>000000000110103004</t>
        </is>
      </c>
      <c r="I378" t="inlineStr">
        <is>
          <t>TM-R-AW-RHS-50.00X30.00X1.600X5.8190</t>
        </is>
      </c>
      <c r="J378" t="n">
        <v>1940879</v>
      </c>
      <c r="K378" t="inlineStr">
        <is>
          <t>TUB-R-AW-RHS-50.00X30.00X1.600X0.6360</t>
        </is>
      </c>
      <c r="L378" t="inlineStr">
        <is>
          <t>TVS</t>
        </is>
      </c>
      <c r="M378" t="inlineStr">
        <is>
          <t>50-30-1.6-ERW 1-FC</t>
        </is>
      </c>
      <c r="N378" t="inlineStr">
        <is>
          <t>50-30-1.6-ERW 1-FC-0.636</t>
        </is>
      </c>
    </row>
    <row r="379" hidden="1" s="584">
      <c r="A379" t="inlineStr">
        <is>
          <t>Scheduled at CTL-1</t>
        </is>
      </c>
      <c r="B379" t="n">
        <v>1582</v>
      </c>
      <c r="C379" t="inlineStr">
        <is>
          <t>ELKAYEM AUTO ANCILLARIES PVT L</t>
        </is>
      </c>
      <c r="D379" t="n">
        <v>1.6</v>
      </c>
      <c r="E379" t="n">
        <v>50</v>
      </c>
      <c r="F379" t="n">
        <v>30</v>
      </c>
      <c r="G379" t="n">
        <v>0.636</v>
      </c>
      <c r="H379" t="inlineStr">
        <is>
          <t>000000000110103004</t>
        </is>
      </c>
      <c r="I379" t="inlineStr">
        <is>
          <t>TM-R-AW-RHS-50.00X30.00X1.600X5.8190</t>
        </is>
      </c>
      <c r="J379" t="n">
        <v>1940879</v>
      </c>
      <c r="K379" t="inlineStr">
        <is>
          <t>TUB-R-AW-RHS-50.00X30.00X1.600X0.6360</t>
        </is>
      </c>
      <c r="L379" t="inlineStr">
        <is>
          <t>TVS</t>
        </is>
      </c>
      <c r="M379" t="inlineStr">
        <is>
          <t>50-30-1.6-ERW 1-FC</t>
        </is>
      </c>
      <c r="N379" t="inlineStr">
        <is>
          <t>50-30-1.6-ERW 1-FC-0.636</t>
        </is>
      </c>
    </row>
    <row r="380" hidden="1" s="584">
      <c r="A380" t="inlineStr">
        <is>
          <t>Scheduled at CTL-1</t>
        </is>
      </c>
      <c r="B380" t="n">
        <v>1582</v>
      </c>
      <c r="C380" t="inlineStr">
        <is>
          <t>ELKAYEM AUTO ANCILLARIES PVT L</t>
        </is>
      </c>
      <c r="D380" t="n">
        <v>1.6</v>
      </c>
      <c r="E380" t="n">
        <v>50</v>
      </c>
      <c r="F380" t="n">
        <v>30</v>
      </c>
      <c r="G380" t="n">
        <v>0.636</v>
      </c>
      <c r="H380" t="inlineStr">
        <is>
          <t>000000000110103004</t>
        </is>
      </c>
      <c r="I380" t="inlineStr">
        <is>
          <t>TM-R-AW-RHS-50.00X30.00X1.600X5.8190</t>
        </is>
      </c>
      <c r="J380" t="n">
        <v>1940879</v>
      </c>
      <c r="K380" t="inlineStr">
        <is>
          <t>TUB-R-AW-RHS-50.00X30.00X1.600X0.6360</t>
        </is>
      </c>
      <c r="L380" t="inlineStr">
        <is>
          <t>TVS</t>
        </is>
      </c>
      <c r="M380" t="inlineStr">
        <is>
          <t>50-30-1.6-ERW 1-FC</t>
        </is>
      </c>
      <c r="N380" t="inlineStr">
        <is>
          <t>50-30-1.6-ERW 1-FC-0.636</t>
        </is>
      </c>
    </row>
    <row r="381" hidden="1" s="584">
      <c r="A381" t="inlineStr">
        <is>
          <t>Scheduled at CTL-1</t>
        </is>
      </c>
      <c r="B381" t="n">
        <v>428</v>
      </c>
      <c r="C381" t="inlineStr">
        <is>
          <t>Sandhar EngineeringPvt.Ltd.(KA</t>
        </is>
      </c>
      <c r="D381" t="n">
        <v>1.6</v>
      </c>
      <c r="E381" t="n">
        <v>50</v>
      </c>
      <c r="F381" t="n">
        <v>30</v>
      </c>
      <c r="G381" t="n">
        <v>0.638</v>
      </c>
      <c r="H381" t="inlineStr">
        <is>
          <t>000000000111119454</t>
        </is>
      </c>
      <c r="I381" t="inlineStr">
        <is>
          <t>TM-R-AW-AUT-50.00X30.00X1.600X5.8300</t>
        </is>
      </c>
      <c r="J381" t="n">
        <v>3780005</v>
      </c>
      <c r="K381" t="inlineStr">
        <is>
          <t>TUB-R-AW-AUT-50.00X30.00X1.600X0.6380</t>
        </is>
      </c>
      <c r="L381" t="inlineStr">
        <is>
          <t>TVS</t>
        </is>
      </c>
      <c r="M381" t="inlineStr">
        <is>
          <t>50-30-1.6-ERW 2-FC</t>
        </is>
      </c>
      <c r="N381" t="inlineStr">
        <is>
          <t>50-30-1.6-ERW 2-FC-0.638</t>
        </is>
      </c>
    </row>
    <row r="382" hidden="1" s="584">
      <c r="A382" t="inlineStr">
        <is>
          <t>Scheduled at CTL-1</t>
        </is>
      </c>
      <c r="B382" t="n">
        <v>1514</v>
      </c>
      <c r="C382" t="inlineStr">
        <is>
          <t>Sandhar EngineeringPvt.Ltd.(KA</t>
        </is>
      </c>
      <c r="D382" t="n">
        <v>1.6</v>
      </c>
      <c r="E382" t="n">
        <v>50</v>
      </c>
      <c r="F382" t="n">
        <v>30</v>
      </c>
      <c r="G382" t="n">
        <v>0.638</v>
      </c>
      <c r="H382" t="inlineStr">
        <is>
          <t>000000000110103004</t>
        </is>
      </c>
      <c r="I382" t="inlineStr">
        <is>
          <t>TM-R-AW-RHS-50.00X30.00X1.600X5.8190</t>
        </is>
      </c>
      <c r="J382" t="n">
        <v>3775638</v>
      </c>
      <c r="K382" t="inlineStr">
        <is>
          <t>TUB-R-AW-RHS-50.00X30.00X1.600X0.6380</t>
        </is>
      </c>
      <c r="L382" t="inlineStr">
        <is>
          <t>TVS</t>
        </is>
      </c>
      <c r="M382" t="inlineStr">
        <is>
          <t>50-30-1.6-ERW 2-FC</t>
        </is>
      </c>
      <c r="N382" t="inlineStr">
        <is>
          <t>50-30-1.6-ERW 2-FC-0.638</t>
        </is>
      </c>
    </row>
    <row r="383" hidden="1" s="584">
      <c r="A383" t="inlineStr">
        <is>
          <t>Scheduled at CTL-1</t>
        </is>
      </c>
      <c r="B383" t="n">
        <v>1594</v>
      </c>
      <c r="C383" t="inlineStr">
        <is>
          <t>Sandhar EngineeringPvt.Ltd.(KA</t>
        </is>
      </c>
      <c r="D383" t="n">
        <v>1.6</v>
      </c>
      <c r="E383" t="n">
        <v>50</v>
      </c>
      <c r="F383" t="n">
        <v>30</v>
      </c>
      <c r="G383" t="n">
        <v>0.638</v>
      </c>
      <c r="H383" t="inlineStr">
        <is>
          <t>000000000110103004</t>
        </is>
      </c>
      <c r="I383" t="inlineStr">
        <is>
          <t>TM-R-AW-RHS-50.00X30.00X1.600X5.8190</t>
        </is>
      </c>
      <c r="J383" t="n">
        <v>3775638</v>
      </c>
      <c r="K383" t="inlineStr">
        <is>
          <t>TUB-R-AW-RHS-50.00X30.00X1.600X0.6380</t>
        </is>
      </c>
      <c r="L383" t="inlineStr">
        <is>
          <t>TVS</t>
        </is>
      </c>
      <c r="M383" t="inlineStr">
        <is>
          <t>50-30-1.6-ERW 2-FC</t>
        </is>
      </c>
      <c r="N383" t="inlineStr">
        <is>
          <t>50-30-1.6-ERW 2-FC-0.638</t>
        </is>
      </c>
    </row>
    <row r="384" hidden="1" s="584">
      <c r="A384" t="inlineStr">
        <is>
          <t>Scheduled at CTL-1</t>
        </is>
      </c>
      <c r="B384" t="n">
        <v>1548</v>
      </c>
      <c r="C384" t="inlineStr">
        <is>
          <t>Sandhar EngineeringPvt.Ltd.(KA</t>
        </is>
      </c>
      <c r="D384" t="n">
        <v>1.6</v>
      </c>
      <c r="E384" t="n">
        <v>50</v>
      </c>
      <c r="F384" t="n">
        <v>30</v>
      </c>
      <c r="G384" t="n">
        <v>0.638</v>
      </c>
      <c r="H384" t="inlineStr">
        <is>
          <t>000000000110103004</t>
        </is>
      </c>
      <c r="I384" t="inlineStr">
        <is>
          <t>TM-R-AW-RHS-50.00X30.00X1.600X5.8190</t>
        </is>
      </c>
      <c r="J384" t="n">
        <v>3775638</v>
      </c>
      <c r="K384" t="inlineStr">
        <is>
          <t>TUB-R-AW-RHS-50.00X30.00X1.600X0.6380</t>
        </is>
      </c>
      <c r="L384" t="inlineStr">
        <is>
          <t>TVS</t>
        </is>
      </c>
      <c r="M384" t="inlineStr">
        <is>
          <t>50-30-1.6-ERW 2-FC</t>
        </is>
      </c>
      <c r="N384" t="inlineStr">
        <is>
          <t>50-30-1.6-ERW 2-FC-0.638</t>
        </is>
      </c>
    </row>
    <row r="385" hidden="1" s="584">
      <c r="A385" t="inlineStr">
        <is>
          <t>Scheduled at CTL-1</t>
        </is>
      </c>
      <c r="B385" t="n">
        <v>1706</v>
      </c>
      <c r="C385" t="inlineStr">
        <is>
          <t>Sandhar EngineeringPvt.Ltd.(KA</t>
        </is>
      </c>
      <c r="D385" t="n">
        <v>1.6</v>
      </c>
      <c r="E385" t="n">
        <v>50</v>
      </c>
      <c r="F385" t="n">
        <v>30</v>
      </c>
      <c r="G385" t="n">
        <v>0.638</v>
      </c>
      <c r="H385" t="inlineStr">
        <is>
          <t>000000000110103004</t>
        </is>
      </c>
      <c r="I385" t="inlineStr">
        <is>
          <t>TM-R-AW-RHS-50.00X30.00X1.600X5.8190</t>
        </is>
      </c>
      <c r="J385" t="n">
        <v>3775638</v>
      </c>
      <c r="K385" t="inlineStr">
        <is>
          <t>TUB-R-AW-RHS-50.00X30.00X1.600X0.6380</t>
        </is>
      </c>
      <c r="L385" t="inlineStr">
        <is>
          <t>TVS</t>
        </is>
      </c>
      <c r="M385" t="inlineStr">
        <is>
          <t>50-30-1.6-ERW 2-FC</t>
        </is>
      </c>
      <c r="N385" t="inlineStr">
        <is>
          <t>50-30-1.6-ERW 2-FC-0.638</t>
        </is>
      </c>
    </row>
    <row r="386" hidden="1" s="584">
      <c r="A386" t="inlineStr">
        <is>
          <t>Scheduled at CTL-1</t>
        </is>
      </c>
      <c r="B386" t="n">
        <v>1600</v>
      </c>
      <c r="C386" t="inlineStr">
        <is>
          <t>Sandhar EngineeringPvt.Ltd.(KA</t>
        </is>
      </c>
      <c r="D386" t="n">
        <v>1.6</v>
      </c>
      <c r="E386" t="n">
        <v>50</v>
      </c>
      <c r="F386" t="n">
        <v>30</v>
      </c>
      <c r="G386" t="n">
        <v>0.638</v>
      </c>
      <c r="H386" t="inlineStr">
        <is>
          <t>000000000110103004</t>
        </is>
      </c>
      <c r="I386" t="inlineStr">
        <is>
          <t>TM-R-AW-RHS-50.00X30.00X1.600X5.8190</t>
        </is>
      </c>
      <c r="J386" t="n">
        <v>3775638</v>
      </c>
      <c r="K386" t="inlineStr">
        <is>
          <t>TUB-R-AW-RHS-50.00X30.00X1.600X0.6380</t>
        </is>
      </c>
      <c r="L386" t="inlineStr">
        <is>
          <t>TVS</t>
        </is>
      </c>
      <c r="M386" t="inlineStr">
        <is>
          <t>50-30-1.6-ERW 2-FC</t>
        </is>
      </c>
      <c r="N386" t="inlineStr">
        <is>
          <t>50-30-1.6-ERW 2-FC-0.638</t>
        </is>
      </c>
    </row>
    <row r="387" hidden="1" s="584">
      <c r="A387" t="inlineStr">
        <is>
          <t>Scheduled at CTL-1</t>
        </is>
      </c>
      <c r="B387" t="n">
        <v>1600</v>
      </c>
      <c r="C387" t="inlineStr">
        <is>
          <t>Sandhar EngineeringPvt.Ltd.(KA</t>
        </is>
      </c>
      <c r="D387" t="n">
        <v>1.6</v>
      </c>
      <c r="E387" t="n">
        <v>50</v>
      </c>
      <c r="F387" t="n">
        <v>30</v>
      </c>
      <c r="G387" t="n">
        <v>0.638</v>
      </c>
      <c r="H387" t="inlineStr">
        <is>
          <t>000000000110103004</t>
        </is>
      </c>
      <c r="I387" t="inlineStr">
        <is>
          <t>TM-R-AW-RHS-50.00X30.00X1.600X5.8190</t>
        </is>
      </c>
      <c r="J387" t="n">
        <v>3775638</v>
      </c>
      <c r="K387" t="inlineStr">
        <is>
          <t>TUB-R-AW-RHS-50.00X30.00X1.600X0.6380</t>
        </is>
      </c>
      <c r="L387" t="inlineStr">
        <is>
          <t>TVS</t>
        </is>
      </c>
      <c r="M387" t="inlineStr">
        <is>
          <t>50-30-1.6-ERW 2-FC</t>
        </is>
      </c>
      <c r="N387" t="inlineStr">
        <is>
          <t>50-30-1.6-ERW 2-FC-0.638</t>
        </is>
      </c>
    </row>
    <row r="388" hidden="1" s="584">
      <c r="A388" t="inlineStr">
        <is>
          <t>Scheduled at CTL-1</t>
        </is>
      </c>
      <c r="B388" t="n">
        <v>1560</v>
      </c>
      <c r="C388" t="inlineStr">
        <is>
          <t>Sandhar EngineeringPvt.Ltd.(KA</t>
        </is>
      </c>
      <c r="D388" t="n">
        <v>1.6</v>
      </c>
      <c r="E388" t="n">
        <v>50</v>
      </c>
      <c r="F388" t="n">
        <v>30</v>
      </c>
      <c r="G388" t="n">
        <v>0.638</v>
      </c>
      <c r="H388" t="inlineStr">
        <is>
          <t>000000000110103004</t>
        </is>
      </c>
      <c r="I388" t="inlineStr">
        <is>
          <t>TM-R-AW-RHS-50.00X30.00X1.600X5.8190</t>
        </is>
      </c>
      <c r="J388" t="n">
        <v>3775638</v>
      </c>
      <c r="K388" t="inlineStr">
        <is>
          <t>TUB-R-AW-RHS-50.00X30.00X1.600X0.6380</t>
        </is>
      </c>
      <c r="L388" t="inlineStr">
        <is>
          <t>TVS</t>
        </is>
      </c>
      <c r="M388" t="inlineStr">
        <is>
          <t>50-30-1.6-ERW 2-FC</t>
        </is>
      </c>
      <c r="N388" t="inlineStr">
        <is>
          <t>50-30-1.6-ERW 2-FC-0.638</t>
        </is>
      </c>
    </row>
    <row r="389" hidden="1" s="584">
      <c r="A389" t="inlineStr">
        <is>
          <t>Scheduled at CTL-1</t>
        </is>
      </c>
      <c r="B389" t="n">
        <v>1580</v>
      </c>
      <c r="C389" t="inlineStr">
        <is>
          <t>BALAJI PRESS PRODUCTS INDIA</t>
        </is>
      </c>
      <c r="D389" t="n">
        <v>1.6</v>
      </c>
      <c r="E389" t="n">
        <v>50</v>
      </c>
      <c r="F389" t="n">
        <v>30</v>
      </c>
      <c r="G389" t="n">
        <v>1.1</v>
      </c>
      <c r="H389" t="inlineStr">
        <is>
          <t>000000000111002503</t>
        </is>
      </c>
      <c r="I389" t="inlineStr">
        <is>
          <t>TM-R-AW-AUT-50.00X30.00X1.600X5.5750</t>
        </is>
      </c>
      <c r="J389" t="n">
        <v>2430128</v>
      </c>
      <c r="K389" t="inlineStr">
        <is>
          <t>TUB-R-AW-AUT-50.00X30.00X1.600X1.1000</t>
        </is>
      </c>
      <c r="L389" t="inlineStr">
        <is>
          <t>TVS</t>
        </is>
      </c>
      <c r="M389" t="inlineStr">
        <is>
          <t>50-30-1.6-ERW 1-FC</t>
        </is>
      </c>
      <c r="N389" t="inlineStr">
        <is>
          <t>50-30-1.6-ERW 1-FC-1.1</t>
        </is>
      </c>
    </row>
    <row r="390" hidden="1" s="584">
      <c r="A390" t="inlineStr">
        <is>
          <t>Scheduled at CTL-1</t>
        </is>
      </c>
      <c r="B390" t="n">
        <v>1540</v>
      </c>
      <c r="C390" t="inlineStr">
        <is>
          <t>BALAJI PRESS PRODUCTS INDIA</t>
        </is>
      </c>
      <c r="D390" t="n">
        <v>1.6</v>
      </c>
      <c r="E390" t="n">
        <v>50</v>
      </c>
      <c r="F390" t="n">
        <v>30</v>
      </c>
      <c r="G390" t="n">
        <v>1.1</v>
      </c>
      <c r="H390" t="inlineStr">
        <is>
          <t>000000000111002503</t>
        </is>
      </c>
      <c r="I390" t="inlineStr">
        <is>
          <t>TM-R-AW-AUT-50.00X30.00X1.600X5.5750</t>
        </is>
      </c>
      <c r="J390" t="n">
        <v>2430128</v>
      </c>
      <c r="K390" t="inlineStr">
        <is>
          <t>TUB-R-AW-AUT-50.00X30.00X1.600X1.1000</t>
        </is>
      </c>
      <c r="L390" t="inlineStr">
        <is>
          <t>TVS</t>
        </is>
      </c>
      <c r="M390" t="inlineStr">
        <is>
          <t>50-30-1.6-ERW 1-FC</t>
        </is>
      </c>
      <c r="N390" t="inlineStr">
        <is>
          <t>50-30-1.6-ERW 1-FC-1.1</t>
        </is>
      </c>
    </row>
    <row r="391" hidden="1" s="584">
      <c r="A391" t="inlineStr">
        <is>
          <t>Scheduled at CTL-1</t>
        </is>
      </c>
      <c r="B391" t="n">
        <v>451</v>
      </c>
      <c r="C391" t="inlineStr">
        <is>
          <t>Neel Metal Products Limited</t>
        </is>
      </c>
      <c r="D391" t="n">
        <v>1.6</v>
      </c>
      <c r="E391" t="n">
        <v>50.8</v>
      </c>
      <c r="F391" t="n">
        <v>0</v>
      </c>
      <c r="G391" t="n">
        <v>0.385</v>
      </c>
      <c r="H391" t="inlineStr">
        <is>
          <t>000000000111117697</t>
        </is>
      </c>
      <c r="I391" t="inlineStr">
        <is>
          <t>TM-O-N-AUT-AW-FC-50.80X1.600X5.9500</t>
        </is>
      </c>
      <c r="J391" t="n">
        <v>2353927</v>
      </c>
      <c r="K391" t="inlineStr">
        <is>
          <t>TUB-O-N-AUT-AW--50.80X1.600X0.3850</t>
        </is>
      </c>
      <c r="L391" t="inlineStr">
        <is>
          <t>TVS</t>
        </is>
      </c>
      <c r="M391" t="inlineStr">
        <is>
          <t>50.8-0-1.6-ERW 1-FC</t>
        </is>
      </c>
      <c r="N391" t="inlineStr">
        <is>
          <t>50.8-0-1.6-ERW 1-FC-0.385</t>
        </is>
      </c>
    </row>
    <row r="392" hidden="1" s="584">
      <c r="A392" t="inlineStr">
        <is>
          <t>Scheduled at CTL-1</t>
        </is>
      </c>
      <c r="B392" t="n">
        <v>1005</v>
      </c>
      <c r="C392" t="inlineStr">
        <is>
          <t>Neel Metal Products Limited</t>
        </is>
      </c>
      <c r="D392" t="n">
        <v>1.6</v>
      </c>
      <c r="E392" t="n">
        <v>50.8</v>
      </c>
      <c r="F392" t="n">
        <v>0</v>
      </c>
      <c r="G392" t="n">
        <v>0.385</v>
      </c>
      <c r="H392" t="inlineStr">
        <is>
          <t>000000000111117697</t>
        </is>
      </c>
      <c r="I392" t="inlineStr">
        <is>
          <t>TM-O-N-AUT-AW-FC-50.80X1.600X5.9500</t>
        </is>
      </c>
      <c r="J392" t="n">
        <v>2353927</v>
      </c>
      <c r="K392" t="inlineStr">
        <is>
          <t>TUB-O-N-AUT-AW--50.80X1.600X0.3850</t>
        </is>
      </c>
      <c r="L392" t="inlineStr">
        <is>
          <t>TVS</t>
        </is>
      </c>
      <c r="M392" t="inlineStr">
        <is>
          <t>50.8-0-1.6-ERW 1-FC</t>
        </is>
      </c>
      <c r="N392" t="inlineStr">
        <is>
          <t>50.8-0-1.6-ERW 1-FC-0.385</t>
        </is>
      </c>
    </row>
    <row r="393" hidden="1" s="584">
      <c r="A393" t="inlineStr">
        <is>
          <t>Scheduled at CTL-1</t>
        </is>
      </c>
      <c r="B393" t="n">
        <v>721</v>
      </c>
      <c r="C393" t="inlineStr">
        <is>
          <t>ELKAYEM AUTO ANCILLARIES PVT L</t>
        </is>
      </c>
      <c r="D393" t="n">
        <v>1.6</v>
      </c>
      <c r="E393" t="n">
        <v>59</v>
      </c>
      <c r="F393" t="n">
        <v>30</v>
      </c>
      <c r="G393" t="n">
        <v>0.641</v>
      </c>
      <c r="H393" t="inlineStr">
        <is>
          <t>000000000111118812</t>
        </is>
      </c>
      <c r="I393" t="inlineStr">
        <is>
          <t>TM-E-AW-AUT-59.00X30.00X1.600X5.8900</t>
        </is>
      </c>
      <c r="J393" t="n">
        <v>3781649</v>
      </c>
      <c r="K393" t="inlineStr">
        <is>
          <t>TUB-E-AW-AUT-59.00X30.00X1.600X0.6410</t>
        </is>
      </c>
      <c r="L393" t="inlineStr">
        <is>
          <t>TVS</t>
        </is>
      </c>
      <c r="M393" t="inlineStr">
        <is>
          <t>59-30-1.6-ERW 1-FIN CUT</t>
        </is>
      </c>
      <c r="N393" t="inlineStr">
        <is>
          <t>59-30-1.6-ERW 1-FIN CUT-0.641</t>
        </is>
      </c>
    </row>
    <row r="394" hidden="1" s="584">
      <c r="A394" t="inlineStr">
        <is>
          <t>Scheduled at CTL-1</t>
        </is>
      </c>
      <c r="B394" t="n">
        <v>230</v>
      </c>
      <c r="C394" t="inlineStr">
        <is>
          <t>ELKAYEM AUTO ANCILLARIES PVT L</t>
        </is>
      </c>
      <c r="D394" t="n">
        <v>1.6</v>
      </c>
      <c r="E394" t="n">
        <v>59</v>
      </c>
      <c r="F394" t="n">
        <v>30</v>
      </c>
      <c r="G394" t="n">
        <v>0.641</v>
      </c>
      <c r="H394" t="inlineStr">
        <is>
          <t>000000000111118812</t>
        </is>
      </c>
      <c r="I394" t="inlineStr">
        <is>
          <t>TM-E-AW-AUT-59.00X30.00X1.600X5.8900</t>
        </is>
      </c>
      <c r="J394" t="n">
        <v>3781649</v>
      </c>
      <c r="K394" t="inlineStr">
        <is>
          <t>TUB-E-AW-AUT-59.00X30.00X1.600X0.6410</t>
        </is>
      </c>
      <c r="L394" t="inlineStr">
        <is>
          <t>TVS</t>
        </is>
      </c>
      <c r="M394" t="inlineStr">
        <is>
          <t>59-30-1.6-ERW 1-FIN CUT</t>
        </is>
      </c>
      <c r="N394" t="inlineStr">
        <is>
          <t>59-30-1.6-ERW 1-FIN CUT-0.641</t>
        </is>
      </c>
    </row>
    <row r="395" hidden="1" s="584">
      <c r="A395" t="inlineStr">
        <is>
          <t>Scheduled at CTL-1</t>
        </is>
      </c>
      <c r="B395" t="n">
        <v>2068</v>
      </c>
      <c r="C395" t="inlineStr">
        <is>
          <t>Metalman Auto Private Limited</t>
        </is>
      </c>
      <c r="D395" t="n">
        <v>2.5</v>
      </c>
      <c r="E395" t="n">
        <v>50</v>
      </c>
      <c r="F395" t="n">
        <v>30</v>
      </c>
      <c r="G395" t="n">
        <v>0.765</v>
      </c>
      <c r="H395" t="inlineStr">
        <is>
          <t>000000000111125646</t>
        </is>
      </c>
      <c r="I395" t="inlineStr">
        <is>
          <t>TM-O-AW-AUT-50.00X30.00X2.500X5.4800</t>
        </is>
      </c>
      <c r="J395" t="n">
        <v>4229654</v>
      </c>
      <c r="K395" t="inlineStr">
        <is>
          <t>CUT-R-AW-AUT-50.00X30.00X2.500X0.7650</t>
        </is>
      </c>
      <c r="L395" t="inlineStr">
        <is>
          <t>TVS</t>
        </is>
      </c>
    </row>
    <row r="396" hidden="1" s="584">
      <c r="A396" t="inlineStr">
        <is>
          <t>Scheduled at CTL-1</t>
        </is>
      </c>
      <c r="B396" t="n">
        <v>517</v>
      </c>
      <c r="C396" t="inlineStr">
        <is>
          <t>ELKAYEM AUTO ANCILLARIES PRIVA</t>
        </is>
      </c>
      <c r="D396" t="n">
        <v>2</v>
      </c>
      <c r="E396" t="n">
        <v>22.23</v>
      </c>
      <c r="F396" t="n">
        <v>0</v>
      </c>
      <c r="G396" t="n">
        <v>0.738</v>
      </c>
      <c r="H396" t="inlineStr">
        <is>
          <t>000000000111129285</t>
        </is>
      </c>
      <c r="I396" t="inlineStr">
        <is>
          <t>TM-O-N-AUT-AW-FC-22.23X2.000X6.0000</t>
        </is>
      </c>
      <c r="J396" t="n">
        <v>4267147</v>
      </c>
      <c r="K396" t="inlineStr">
        <is>
          <t>TUB-E-O-AUT-AW-FC-22.23X2.000X0.7380</t>
        </is>
      </c>
      <c r="L396" t="inlineStr">
        <is>
          <t>TVS</t>
        </is>
      </c>
    </row>
    <row r="397" hidden="1" s="584">
      <c r="A397" t="inlineStr">
        <is>
          <t>Scheduled at CTL-1</t>
        </is>
      </c>
      <c r="B397" t="n">
        <v>3341</v>
      </c>
      <c r="C397" t="inlineStr">
        <is>
          <t>ELKAYEM AUTO ANCILLARIES PRIVA</t>
        </is>
      </c>
      <c r="D397" t="n">
        <v>2</v>
      </c>
      <c r="E397" t="n">
        <v>22.23</v>
      </c>
      <c r="F397" t="n">
        <v>0</v>
      </c>
      <c r="G397" t="n">
        <v>0.738</v>
      </c>
      <c r="H397" t="inlineStr">
        <is>
          <t>000000000111129285</t>
        </is>
      </c>
      <c r="I397" t="inlineStr">
        <is>
          <t>TM-O-N-AUT-AW-FC-22.23X2.000X6.0000</t>
        </is>
      </c>
      <c r="J397" t="n">
        <v>4267147</v>
      </c>
      <c r="K397" t="inlineStr">
        <is>
          <t>TUB-E-O-AUT-AW-FC-22.23X2.000X0.7380</t>
        </is>
      </c>
      <c r="L397" t="inlineStr">
        <is>
          <t>TVS</t>
        </is>
      </c>
    </row>
    <row r="398" hidden="1" s="584">
      <c r="A398" t="inlineStr">
        <is>
          <t>Scheduled at CTL-1</t>
        </is>
      </c>
      <c r="B398" t="n">
        <v>3342</v>
      </c>
      <c r="C398" t="inlineStr">
        <is>
          <t>ELKAYEM AUTO ANCILLARIES PRIVA</t>
        </is>
      </c>
      <c r="D398" t="n">
        <v>2</v>
      </c>
      <c r="E398" t="n">
        <v>22.23</v>
      </c>
      <c r="F398" t="n">
        <v>0</v>
      </c>
      <c r="G398" t="n">
        <v>0.738</v>
      </c>
      <c r="H398" t="inlineStr">
        <is>
          <t>000000000111129285</t>
        </is>
      </c>
      <c r="I398" t="inlineStr">
        <is>
          <t>TM-O-N-AUT-AW-FC-22.23X2.000X6.0000</t>
        </is>
      </c>
      <c r="J398" t="n">
        <v>4267147</v>
      </c>
      <c r="K398" t="inlineStr">
        <is>
          <t>TUB-E-O-AUT-AW-FC-22.23X2.000X0.7380</t>
        </is>
      </c>
      <c r="L398" t="inlineStr">
        <is>
          <t>TVS</t>
        </is>
      </c>
    </row>
    <row r="399" hidden="1" s="584">
      <c r="A399" t="inlineStr">
        <is>
          <t>Scheduled at CTL-1</t>
        </is>
      </c>
      <c r="B399" t="n">
        <v>606</v>
      </c>
      <c r="C399" t="inlineStr">
        <is>
          <t>Rajsriya Automotive Industries</t>
        </is>
      </c>
      <c r="D399" t="n">
        <v>2</v>
      </c>
      <c r="E399" t="n">
        <v>25.4</v>
      </c>
      <c r="F399" t="n">
        <v>0</v>
      </c>
      <c r="G399" t="n">
        <v>0.323</v>
      </c>
      <c r="H399" t="inlineStr">
        <is>
          <t>000000000111120564</t>
        </is>
      </c>
      <c r="I399" t="inlineStr">
        <is>
          <t>TM-O-N-AUT-AW-FC-25.40X2.000X5.9500</t>
        </is>
      </c>
      <c r="J399" t="n">
        <v>4020858</v>
      </c>
      <c r="K399" t="inlineStr">
        <is>
          <t>TUB-O-N-AUT-AW-FC-25.40X2.000X0.3230</t>
        </is>
      </c>
      <c r="L399" t="inlineStr">
        <is>
          <t>TVS</t>
        </is>
      </c>
    </row>
    <row r="400" hidden="1" s="584">
      <c r="A400" t="inlineStr">
        <is>
          <t>Scheduled at CTL-1</t>
        </is>
      </c>
      <c r="B400" t="n">
        <v>1294</v>
      </c>
      <c r="C400" t="inlineStr">
        <is>
          <t>Rajsriya Automotive Industries</t>
        </is>
      </c>
      <c r="D400" t="n">
        <v>2</v>
      </c>
      <c r="E400" t="n">
        <v>25.4</v>
      </c>
      <c r="F400" t="n">
        <v>0</v>
      </c>
      <c r="G400" t="n">
        <v>0.323</v>
      </c>
      <c r="H400" t="inlineStr">
        <is>
          <t>000000000111120564</t>
        </is>
      </c>
      <c r="I400" t="inlineStr">
        <is>
          <t>TM-O-N-AUT-AW-FC-25.40X2.000X5.9500</t>
        </is>
      </c>
      <c r="J400" t="n">
        <v>4020858</v>
      </c>
      <c r="K400" t="inlineStr">
        <is>
          <t>TUB-O-N-AUT-AW-FC-25.40X2.000X0.3230</t>
        </is>
      </c>
      <c r="L400" t="inlineStr">
        <is>
          <t>TVS</t>
        </is>
      </c>
    </row>
    <row r="401" hidden="1" s="584">
      <c r="A401" t="inlineStr">
        <is>
          <t>Scheduled at CTL-1</t>
        </is>
      </c>
      <c r="B401" t="n">
        <v>1303</v>
      </c>
      <c r="C401" t="inlineStr">
        <is>
          <t>Rajsriya Automotive Industries</t>
        </is>
      </c>
      <c r="D401" t="n">
        <v>2</v>
      </c>
      <c r="E401" t="n">
        <v>25.4</v>
      </c>
      <c r="F401" t="n">
        <v>0</v>
      </c>
      <c r="G401" t="n">
        <v>0.323</v>
      </c>
      <c r="H401" t="inlineStr">
        <is>
          <t>000000000111120564</t>
        </is>
      </c>
      <c r="I401" t="inlineStr">
        <is>
          <t>TM-O-N-AUT-AW-FC-25.40X2.000X5.9500</t>
        </is>
      </c>
      <c r="J401" t="n">
        <v>4020858</v>
      </c>
      <c r="K401" t="inlineStr">
        <is>
          <t>TUB-O-N-AUT-AW-FC-25.40X2.000X0.3230</t>
        </is>
      </c>
      <c r="L401" t="inlineStr">
        <is>
          <t>TVS</t>
        </is>
      </c>
    </row>
    <row r="402" hidden="1" s="584">
      <c r="A402" t="inlineStr">
        <is>
          <t>Scheduled at CTL-1</t>
        </is>
      </c>
      <c r="B402" t="n">
        <v>1298</v>
      </c>
      <c r="C402" t="inlineStr">
        <is>
          <t>Rajsriya Automotive Industries</t>
        </is>
      </c>
      <c r="D402" t="n">
        <v>2</v>
      </c>
      <c r="E402" t="n">
        <v>25.4</v>
      </c>
      <c r="F402" t="n">
        <v>0</v>
      </c>
      <c r="G402" t="n">
        <v>0.323</v>
      </c>
      <c r="H402" t="inlineStr">
        <is>
          <t>000000000111120564</t>
        </is>
      </c>
      <c r="I402" t="inlineStr">
        <is>
          <t>TM-O-N-AUT-AW-FC-25.40X2.000X5.9500</t>
        </is>
      </c>
      <c r="J402" t="n">
        <v>4020858</v>
      </c>
      <c r="K402" t="inlineStr">
        <is>
          <t>TUB-O-N-AUT-AW-FC-25.40X2.000X0.3230</t>
        </is>
      </c>
      <c r="L402" t="inlineStr">
        <is>
          <t>TVS</t>
        </is>
      </c>
    </row>
    <row r="403" hidden="1" s="584">
      <c r="A403" t="inlineStr">
        <is>
          <t>Packing</t>
        </is>
      </c>
      <c r="B403" t="n">
        <v>0.8090000000000001</v>
      </c>
      <c r="C403" t="inlineStr">
        <is>
          <t>Hosur Tube Plant</t>
        </is>
      </c>
      <c r="D403" t="n">
        <v>1.15</v>
      </c>
      <c r="E403" t="n">
        <v>73.5</v>
      </c>
      <c r="F403" t="n">
        <v>0</v>
      </c>
      <c r="G403" t="n">
        <v>0</v>
      </c>
      <c r="H403" t="inlineStr">
        <is>
          <t> </t>
        </is>
      </c>
      <c r="I403" t="inlineStr">
        <is>
          <t> </t>
        </is>
      </c>
      <c r="J403" t="n">
        <v>3999719</v>
      </c>
      <c r="K403" t="inlineStr">
        <is>
          <t>CR COIL TATFHC TI15 1.150X73.50</t>
        </is>
      </c>
      <c r="L403" t="inlineStr">
        <is>
          <t>TVS</t>
        </is>
      </c>
    </row>
    <row r="404" hidden="1" s="584">
      <c r="A404" t="inlineStr">
        <is>
          <t>Packing</t>
        </is>
      </c>
      <c r="B404" t="n">
        <v>0.8090000000000001</v>
      </c>
      <c r="C404" t="inlineStr">
        <is>
          <t>Hosur Tube Plant</t>
        </is>
      </c>
      <c r="D404" t="n">
        <v>1.15</v>
      </c>
      <c r="E404" t="n">
        <v>73.5</v>
      </c>
      <c r="F404" t="n">
        <v>0</v>
      </c>
      <c r="G404" t="n">
        <v>0</v>
      </c>
      <c r="H404" t="inlineStr">
        <is>
          <t> </t>
        </is>
      </c>
      <c r="I404" t="inlineStr">
        <is>
          <t> </t>
        </is>
      </c>
      <c r="J404" t="n">
        <v>3999719</v>
      </c>
      <c r="K404" t="inlineStr">
        <is>
          <t>CR COIL TATFHC TI15 1.150X73.50</t>
        </is>
      </c>
      <c r="L404" t="inlineStr">
        <is>
          <t>TVS</t>
        </is>
      </c>
    </row>
    <row r="405" hidden="1" s="584">
      <c r="A405" t="inlineStr">
        <is>
          <t>Packing</t>
        </is>
      </c>
      <c r="B405" t="n">
        <v>0.8090000000000001</v>
      </c>
      <c r="C405" t="inlineStr">
        <is>
          <t>Hosur Tube Plant</t>
        </is>
      </c>
      <c r="D405" t="n">
        <v>1.15</v>
      </c>
      <c r="E405" t="n">
        <v>73.5</v>
      </c>
      <c r="F405" t="n">
        <v>0</v>
      </c>
      <c r="G405" t="n">
        <v>0</v>
      </c>
      <c r="H405" t="inlineStr">
        <is>
          <t> </t>
        </is>
      </c>
      <c r="I405" t="inlineStr">
        <is>
          <t> </t>
        </is>
      </c>
      <c r="J405" t="n">
        <v>3999719</v>
      </c>
      <c r="K405" t="inlineStr">
        <is>
          <t>CR COIL TATFHC TI15 1.150X73.50</t>
        </is>
      </c>
      <c r="L405" t="inlineStr">
        <is>
          <t>TVS</t>
        </is>
      </c>
    </row>
    <row r="406" hidden="1" s="584">
      <c r="A406" t="inlineStr">
        <is>
          <t>Packing</t>
        </is>
      </c>
      <c r="B406" t="n">
        <v>0.8090000000000001</v>
      </c>
      <c r="C406" t="inlineStr">
        <is>
          <t>Hosur Tube Plant</t>
        </is>
      </c>
      <c r="D406" t="n">
        <v>1.15</v>
      </c>
      <c r="E406" t="n">
        <v>73.5</v>
      </c>
      <c r="F406" t="n">
        <v>0</v>
      </c>
      <c r="G406" t="n">
        <v>0</v>
      </c>
      <c r="H406" t="inlineStr">
        <is>
          <t> </t>
        </is>
      </c>
      <c r="I406" t="inlineStr">
        <is>
          <t> </t>
        </is>
      </c>
      <c r="J406" t="n">
        <v>3999719</v>
      </c>
      <c r="K406" t="inlineStr">
        <is>
          <t>CR COIL TATFHC TI15 1.150X73.50</t>
        </is>
      </c>
      <c r="L406" t="inlineStr">
        <is>
          <t>TVS</t>
        </is>
      </c>
    </row>
    <row r="407" hidden="1" s="584">
      <c r="A407" t="inlineStr">
        <is>
          <t>Packing</t>
        </is>
      </c>
      <c r="B407" t="n">
        <v>0.8090000000000001</v>
      </c>
      <c r="C407" t="inlineStr">
        <is>
          <t>Hosur Tube Plant</t>
        </is>
      </c>
      <c r="D407" t="n">
        <v>1.15</v>
      </c>
      <c r="E407" t="n">
        <v>73.5</v>
      </c>
      <c r="F407" t="n">
        <v>0</v>
      </c>
      <c r="G407" t="n">
        <v>0</v>
      </c>
      <c r="H407" t="inlineStr">
        <is>
          <t> </t>
        </is>
      </c>
      <c r="I407" t="inlineStr">
        <is>
          <t> </t>
        </is>
      </c>
      <c r="J407" t="n">
        <v>3999719</v>
      </c>
      <c r="K407" t="inlineStr">
        <is>
          <t>CR COIL TATFHC TI15 1.150X73.50</t>
        </is>
      </c>
      <c r="L407" t="inlineStr">
        <is>
          <t>TVS</t>
        </is>
      </c>
    </row>
    <row r="408" hidden="1" s="584">
      <c r="A408" t="inlineStr">
        <is>
          <t>Packing</t>
        </is>
      </c>
      <c r="B408" t="n">
        <v>0.8090000000000001</v>
      </c>
      <c r="C408" t="inlineStr">
        <is>
          <t>Hosur Tube Plant</t>
        </is>
      </c>
      <c r="D408" t="n">
        <v>1.15</v>
      </c>
      <c r="E408" t="n">
        <v>73.5</v>
      </c>
      <c r="F408" t="n">
        <v>0</v>
      </c>
      <c r="G408" t="n">
        <v>0</v>
      </c>
      <c r="H408" t="inlineStr">
        <is>
          <t> </t>
        </is>
      </c>
      <c r="I408" t="inlineStr">
        <is>
          <t> </t>
        </is>
      </c>
      <c r="J408" t="n">
        <v>3999719</v>
      </c>
      <c r="K408" t="inlineStr">
        <is>
          <t>CR COIL TATFHC TI15 1.150X73.50</t>
        </is>
      </c>
      <c r="L408" t="inlineStr">
        <is>
          <t>TVS</t>
        </is>
      </c>
    </row>
    <row r="409" hidden="1" s="584">
      <c r="A409" t="inlineStr">
        <is>
          <t>Scheduled at CTL-1</t>
        </is>
      </c>
      <c r="B409" t="n">
        <v>1769</v>
      </c>
      <c r="C409" t="inlineStr">
        <is>
          <t>ELKAYEM AUTO ANCILLARIES PRIVA</t>
        </is>
      </c>
      <c r="D409" t="n">
        <v>1.6</v>
      </c>
      <c r="E409" t="n">
        <v>28.58</v>
      </c>
      <c r="F409" t="n">
        <v>0</v>
      </c>
      <c r="G409" t="n">
        <v>0.42</v>
      </c>
      <c r="H409" t="inlineStr">
        <is>
          <t>000000000110102752</t>
        </is>
      </c>
      <c r="I409" t="inlineStr">
        <is>
          <t>TM-O-O-AUT-AW-PE-28.58X1.600X6.0000</t>
        </is>
      </c>
      <c r="J409" t="n">
        <v>4185618</v>
      </c>
      <c r="K409" t="inlineStr">
        <is>
          <t>TUB-O-N-AUT-AW-FC-28.58X1.600X0.4200</t>
        </is>
      </c>
      <c r="L409" t="inlineStr">
        <is>
          <t>TVS</t>
        </is>
      </c>
    </row>
    <row r="410" hidden="1" s="584">
      <c r="A410" t="inlineStr">
        <is>
          <t>Scheduled at CTL-1</t>
        </is>
      </c>
      <c r="B410" t="n">
        <v>1623</v>
      </c>
      <c r="C410" t="inlineStr">
        <is>
          <t>ELKAYEM AUTO ANCILLARIES PRIVA</t>
        </is>
      </c>
      <c r="D410" t="n">
        <v>1.6</v>
      </c>
      <c r="E410" t="n">
        <v>28.58</v>
      </c>
      <c r="F410" t="n">
        <v>0</v>
      </c>
      <c r="G410" t="n">
        <v>0.42</v>
      </c>
      <c r="H410" t="inlineStr">
        <is>
          <t>000000000110102752</t>
        </is>
      </c>
      <c r="I410" t="inlineStr">
        <is>
          <t>TM-O-O-AUT-AW-PE-28.58X1.600X6.0000</t>
        </is>
      </c>
      <c r="J410" t="n">
        <v>4185618</v>
      </c>
      <c r="K410" t="inlineStr">
        <is>
          <t>TUB-O-N-AUT-AW-FC-28.58X1.600X0.4200</t>
        </is>
      </c>
      <c r="L410" t="inlineStr">
        <is>
          <t>TVS</t>
        </is>
      </c>
    </row>
    <row r="411" hidden="1" s="584">
      <c r="A411" t="inlineStr">
        <is>
          <t>Scheduled at CTL-1</t>
        </is>
      </c>
      <c r="B411" t="n">
        <v>1814</v>
      </c>
      <c r="C411" t="inlineStr">
        <is>
          <t>ELKAYEM AUTO ANCILLARIES PRIVA</t>
        </is>
      </c>
      <c r="D411" t="n">
        <v>1.6</v>
      </c>
      <c r="E411" t="n">
        <v>28.58</v>
      </c>
      <c r="F411" t="n">
        <v>0</v>
      </c>
      <c r="G411" t="n">
        <v>0.42</v>
      </c>
      <c r="H411" t="inlineStr">
        <is>
          <t>000000000110102752</t>
        </is>
      </c>
      <c r="I411" t="inlineStr">
        <is>
          <t>TM-O-O-AUT-AW-PE-28.58X1.600X6.0000</t>
        </is>
      </c>
      <c r="J411" t="n">
        <v>4185618</v>
      </c>
      <c r="K411" t="inlineStr">
        <is>
          <t>TUB-O-N-AUT-AW-FC-28.58X1.600X0.4200</t>
        </is>
      </c>
      <c r="L411" t="inlineStr">
        <is>
          <t>TVS</t>
        </is>
      </c>
    </row>
    <row r="412" hidden="1" s="584">
      <c r="A412" t="inlineStr">
        <is>
          <t>Scheduled at CTL-1</t>
        </is>
      </c>
      <c r="B412" t="n">
        <v>1728</v>
      </c>
      <c r="C412" t="inlineStr">
        <is>
          <t>ELKAYEM AUTO ANCILLARIES PRIVA</t>
        </is>
      </c>
      <c r="D412" t="n">
        <v>1.6</v>
      </c>
      <c r="E412" t="n">
        <v>28.58</v>
      </c>
      <c r="F412" t="n">
        <v>0</v>
      </c>
      <c r="G412" t="n">
        <v>0.42</v>
      </c>
      <c r="H412" t="inlineStr">
        <is>
          <t>000000000110102752</t>
        </is>
      </c>
      <c r="I412" t="inlineStr">
        <is>
          <t>TM-O-O-AUT-AW-PE-28.58X1.600X6.0000</t>
        </is>
      </c>
      <c r="J412" t="n">
        <v>4185618</v>
      </c>
      <c r="K412" t="inlineStr">
        <is>
          <t>TUB-O-N-AUT-AW-FC-28.58X1.600X0.4200</t>
        </is>
      </c>
      <c r="L412" t="inlineStr">
        <is>
          <t>TVS</t>
        </is>
      </c>
    </row>
    <row r="413" hidden="1" s="584">
      <c r="A413" t="inlineStr">
        <is>
          <t>Scheduled at CTL-1</t>
        </is>
      </c>
      <c r="B413" t="n">
        <v>1743</v>
      </c>
      <c r="C413" t="inlineStr">
        <is>
          <t>ELKAYEM AUTO ANCILLARIES PRIVA</t>
        </is>
      </c>
      <c r="D413" t="n">
        <v>1.6</v>
      </c>
      <c r="E413" t="n">
        <v>28.58</v>
      </c>
      <c r="F413" t="n">
        <v>0</v>
      </c>
      <c r="G413" t="n">
        <v>0.42</v>
      </c>
      <c r="H413" t="inlineStr">
        <is>
          <t>000000000110102752</t>
        </is>
      </c>
      <c r="I413" t="inlineStr">
        <is>
          <t>TM-O-O-AUT-AW-PE-28.58X1.600X6.0000</t>
        </is>
      </c>
      <c r="J413" t="n">
        <v>4185618</v>
      </c>
      <c r="K413" t="inlineStr">
        <is>
          <t>TUB-O-N-AUT-AW-FC-28.58X1.600X0.4200</t>
        </is>
      </c>
      <c r="L413" t="inlineStr">
        <is>
          <t>TVS</t>
        </is>
      </c>
    </row>
    <row r="414" hidden="1" s="584">
      <c r="A414" t="inlineStr">
        <is>
          <t>Scheduled at CTL-1</t>
        </is>
      </c>
      <c r="B414" t="n">
        <v>1776</v>
      </c>
      <c r="C414" t="inlineStr">
        <is>
          <t>ELKAYEM AUTO ANCILLARIES PRIVA</t>
        </is>
      </c>
      <c r="D414" t="n">
        <v>1.6</v>
      </c>
      <c r="E414" t="n">
        <v>28.58</v>
      </c>
      <c r="F414" t="n">
        <v>0</v>
      </c>
      <c r="G414" t="n">
        <v>0.42</v>
      </c>
      <c r="H414" t="inlineStr">
        <is>
          <t>000000000110102752</t>
        </is>
      </c>
      <c r="I414" t="inlineStr">
        <is>
          <t>TM-O-O-AUT-AW-PE-28.58X1.600X6.0000</t>
        </is>
      </c>
      <c r="J414" t="n">
        <v>4185618</v>
      </c>
      <c r="K414" t="inlineStr">
        <is>
          <t>TUB-O-N-AUT-AW-FC-28.58X1.600X0.4200</t>
        </is>
      </c>
      <c r="L414" t="inlineStr">
        <is>
          <t>TVS</t>
        </is>
      </c>
    </row>
    <row r="415" hidden="1" s="584">
      <c r="A415" t="inlineStr">
        <is>
          <t>Scheduled at CTL-1</t>
        </is>
      </c>
      <c r="B415" t="n">
        <v>1807</v>
      </c>
      <c r="C415" t="inlineStr">
        <is>
          <t>ELKAYEM AUTO ANCILLARIES PRIVA</t>
        </is>
      </c>
      <c r="D415" t="n">
        <v>1.6</v>
      </c>
      <c r="E415" t="n">
        <v>28.58</v>
      </c>
      <c r="F415" t="n">
        <v>0</v>
      </c>
      <c r="G415" t="n">
        <v>0.42</v>
      </c>
      <c r="H415" t="inlineStr">
        <is>
          <t>000000000110102752</t>
        </is>
      </c>
      <c r="I415" t="inlineStr">
        <is>
          <t>TM-O-O-AUT-AW-PE-28.58X1.600X6.0000</t>
        </is>
      </c>
      <c r="J415" t="n">
        <v>4185618</v>
      </c>
      <c r="K415" t="inlineStr">
        <is>
          <t>TUB-O-N-AUT-AW-FC-28.58X1.600X0.4200</t>
        </is>
      </c>
      <c r="L415" t="inlineStr">
        <is>
          <t>TVS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 codeName="Sheet19">
    <tabColor rgb="FF00B050"/>
    <outlinePr summaryBelow="1" summaryRight="1"/>
    <pageSetUpPr fitToPage="1"/>
  </sheetPr>
  <dimension ref="A1:J113"/>
  <sheetViews>
    <sheetView view="pageBreakPreview" zoomScale="60" zoomScaleNormal="100" workbookViewId="0">
      <selection activeCell="A19" sqref="A19"/>
    </sheetView>
  </sheetViews>
  <sheetFormatPr baseColWidth="8" defaultRowHeight="15"/>
  <cols>
    <col width="50.5703125" customWidth="1" style="66" min="1" max="1"/>
    <col width="43.85546875" customWidth="1" style="66" min="2" max="2"/>
    <col width="31.140625" bestFit="1" customWidth="1" style="584" min="3" max="3"/>
    <col width="31.140625" customWidth="1" style="584" min="4" max="4"/>
    <col width="13" bestFit="1" customWidth="1" style="584" min="5" max="5"/>
    <col width="14.85546875" bestFit="1" customWidth="1" style="584" min="7" max="7"/>
    <col width="12.7109375" bestFit="1" customWidth="1" style="584" min="8" max="8"/>
    <col width="6.85546875" bestFit="1" customWidth="1" style="584" min="9" max="9"/>
  </cols>
  <sheetData>
    <row r="1">
      <c r="A1" s="351" t="inlineStr">
        <is>
          <t>Customer</t>
        </is>
      </c>
      <c r="B1" s="351" t="inlineStr">
        <is>
          <t>CTL Size</t>
        </is>
      </c>
      <c r="C1" s="73" t="inlineStr">
        <is>
          <t>Bucket2</t>
        </is>
      </c>
      <c r="D1" s="73" t="inlineStr">
        <is>
          <t>Plant2</t>
        </is>
      </c>
      <c r="E1" s="73" t="inlineStr">
        <is>
          <t>Schedule</t>
        </is>
      </c>
      <c r="F1" s="73" t="inlineStr">
        <is>
          <t>Sales</t>
        </is>
      </c>
      <c r="G1" s="73" t="inlineStr">
        <is>
          <t>Stock CTL</t>
        </is>
      </c>
      <c r="H1" s="73" t="inlineStr">
        <is>
          <t>Stock LL</t>
        </is>
      </c>
      <c r="I1" s="73" t="inlineStr">
        <is>
          <t>WIP</t>
        </is>
      </c>
      <c r="J1" s="73" t="inlineStr">
        <is>
          <t>Coverage Days</t>
        </is>
      </c>
    </row>
    <row r="2">
      <c r="A2" s="352">
        <f t="array" ref="A2:J113">_xlfn.CHOOSECOLS(salesforecast[],_xlfn.XMATCH(A1:J1,salesforecast[#Headers]))</f>
        <v/>
      </c>
      <c r="B2" s="352" t="e">
        <v>#VALUE!</v>
      </c>
      <c r="C2" s="15" t="inlineStr">
        <is>
          <t>12-0-1.6-CEW-CEW</t>
        </is>
      </c>
      <c r="D2" s="15" t="inlineStr">
        <is>
          <t>0788</t>
        </is>
      </c>
      <c r="E2" s="62" t="n">
        <v>0</v>
      </c>
      <c r="F2" s="62" t="n">
        <v>0</v>
      </c>
      <c r="G2" s="62" t="n">
        <v>0</v>
      </c>
      <c r="H2" s="62" t="n">
        <v>0</v>
      </c>
      <c r="I2" s="62" t="n">
        <v>0</v>
      </c>
      <c r="J2" s="15" t="e">
        <v>#DIV/0!</v>
      </c>
    </row>
    <row r="3">
      <c r="A3" s="352" t="inlineStr">
        <is>
          <t>ELKAYEM AUTO|Sandhar Automach|SRIKAM HITECH</t>
        </is>
      </c>
      <c r="B3" s="352" t="inlineStr">
        <is>
          <t>278|408|600|772|1000</t>
        </is>
      </c>
      <c r="C3" s="15" t="inlineStr">
        <is>
          <t>12.7-0-1.2-ERW 1-PE</t>
        </is>
      </c>
      <c r="D3" s="15" t="inlineStr">
        <is>
          <t>0789</t>
        </is>
      </c>
      <c r="E3" s="62" t="n">
        <v>6.714683388</v>
      </c>
      <c r="F3" s="62" t="n">
        <v>5.1311</v>
      </c>
      <c r="G3" s="62" t="n">
        <v>0.89391</v>
      </c>
      <c r="H3" s="62" t="n">
        <v>20.176453</v>
      </c>
      <c r="I3" s="62" t="n">
        <v>0</v>
      </c>
      <c r="J3" s="62" t="n">
        <v>90.1447700544954</v>
      </c>
    </row>
    <row r="4" ht="45" customHeight="1" s="584">
      <c r="A4" s="352" t="inlineStr">
        <is>
          <t>Balaji press product|ELKAYEM AUTO|NMPL TVSM|Rajsriya Unit 2|Rajsriya Unit 5|Rajsriya Automotive|Rajsriya Mysore |SRIKAM HITECH</t>
        </is>
      </c>
      <c r="B4" s="352" t="inlineStr">
        <is>
          <t>145|187|189|250|252|255|257|260|280|295|320|393|907|950|1000|6000</t>
        </is>
      </c>
      <c r="C4" s="15" t="inlineStr">
        <is>
          <t>12.7-0-1.6-ERW 1-PE</t>
        </is>
      </c>
      <c r="D4" s="15" t="inlineStr">
        <is>
          <t>0789</t>
        </is>
      </c>
      <c r="E4" s="62" t="n">
        <v>13.62722528496</v>
      </c>
      <c r="F4" s="62" t="n">
        <v>17.795043</v>
      </c>
      <c r="G4" s="62" t="n">
        <v>5.401047000000001</v>
      </c>
      <c r="H4" s="62" t="n">
        <v>0.06565699999999985</v>
      </c>
      <c r="I4" s="62" t="n">
        <v>8.986000000000001</v>
      </c>
      <c r="J4" s="62" t="n">
        <v>19.92699939434494</v>
      </c>
    </row>
    <row r="5">
      <c r="A5" s="352" t="inlineStr">
        <is>
          <t>ELKAYEM AUTO</t>
        </is>
      </c>
      <c r="B5" s="352" t="inlineStr">
        <is>
          <t>1000</t>
        </is>
      </c>
      <c r="C5" s="15" t="inlineStr">
        <is>
          <t>14-0-1.6-CEW-CEW</t>
        </is>
      </c>
      <c r="D5" s="15" t="inlineStr">
        <is>
          <t>0788</t>
        </is>
      </c>
      <c r="E5" s="62" t="n">
        <v>0</v>
      </c>
      <c r="F5" s="62" t="n">
        <v>0</v>
      </c>
      <c r="G5" s="62" t="n">
        <v>0</v>
      </c>
      <c r="H5" s="62" t="n">
        <v>0</v>
      </c>
      <c r="I5" s="62" t="n">
        <v>0</v>
      </c>
      <c r="J5" s="62" t="e">
        <v>#DIV/0!</v>
      </c>
    </row>
    <row r="6">
      <c r="A6" s="352" t="inlineStr">
        <is>
          <t>SRIKAM HITECH</t>
        </is>
      </c>
      <c r="B6" s="352" t="inlineStr">
        <is>
          <t>1000</t>
        </is>
      </c>
      <c r="C6" s="15" t="inlineStr">
        <is>
          <t>14-10.1-1.95-CEW-CEW</t>
        </is>
      </c>
      <c r="D6" s="15" t="inlineStr">
        <is>
          <t>0788</t>
        </is>
      </c>
      <c r="E6" s="62" t="n">
        <v>0</v>
      </c>
      <c r="F6" s="62" t="n">
        <v>0</v>
      </c>
      <c r="G6" s="62" t="n">
        <v>0</v>
      </c>
      <c r="H6" s="62" t="n">
        <v>0</v>
      </c>
      <c r="I6" s="62" t="n">
        <v>0</v>
      </c>
      <c r="J6" s="62" t="e">
        <v>#DIV/0!</v>
      </c>
    </row>
    <row r="7">
      <c r="A7" s="352" t="inlineStr">
        <is>
          <t xml:space="preserve">NMPL TVSM|Sandhar Engg Mysore </t>
        </is>
      </c>
      <c r="B7" s="352" t="inlineStr">
        <is>
          <t>1000</t>
        </is>
      </c>
      <c r="C7" s="15" t="inlineStr">
        <is>
          <t>14-0-2.45-CEW-CEW</t>
        </is>
      </c>
      <c r="D7" s="15" t="inlineStr">
        <is>
          <t>0788</t>
        </is>
      </c>
      <c r="E7" s="62" t="n">
        <v>0</v>
      </c>
      <c r="F7" s="62" t="n">
        <v>0</v>
      </c>
      <c r="G7" s="62" t="n">
        <v>0</v>
      </c>
      <c r="H7" s="62" t="n">
        <v>2.027</v>
      </c>
      <c r="I7" s="62" t="n">
        <v>0</v>
      </c>
      <c r="J7" s="62" t="e">
        <v>#DIV/0!</v>
      </c>
    </row>
    <row r="8" ht="30" customHeight="1" s="584">
      <c r="A8" s="352" t="inlineStr">
        <is>
          <t>Marathwada|NMPL HUB|NMPL TVSM</t>
        </is>
      </c>
      <c r="B8" s="352" t="inlineStr">
        <is>
          <t>140|592|1234|1603|1715|1745|2185|2340|2490|2905</t>
        </is>
      </c>
      <c r="C8" s="15" t="inlineStr">
        <is>
          <t>15.88-0-1-ERW 1-PE</t>
        </is>
      </c>
      <c r="D8" s="15" t="inlineStr">
        <is>
          <t>0789</t>
        </is>
      </c>
      <c r="E8" s="62" t="n">
        <v>20.5826150316</v>
      </c>
      <c r="F8" s="62" t="n">
        <v>16.5449</v>
      </c>
      <c r="G8" s="62" t="n">
        <v>7.565932000000001</v>
      </c>
      <c r="H8" s="62" t="n">
        <v>0.1790000000000003</v>
      </c>
      <c r="I8" s="62" t="n">
        <v>0</v>
      </c>
      <c r="J8" s="62" t="n">
        <v>0.2608997929444619</v>
      </c>
    </row>
    <row r="9" ht="45" customHeight="1" s="584">
      <c r="A9" s="352" t="inlineStr">
        <is>
          <t>Balaji press product|RUCHA|SRI BALAJI GEARS V4|Balaji Gears V3|SRI BALAJI GEARS V7|SRIKAM HITECH</t>
        </is>
      </c>
      <c r="B9" s="352" t="inlineStr">
        <is>
          <t>150|540|680|730|755|888|1130|1310</t>
        </is>
      </c>
      <c r="C9" s="15" t="inlineStr">
        <is>
          <t>15.88-0-1.2-ERW 1-PE</t>
        </is>
      </c>
      <c r="D9" s="15" t="inlineStr">
        <is>
          <t>0789</t>
        </is>
      </c>
      <c r="E9" s="62" t="n">
        <v>5.640476024160002</v>
      </c>
      <c r="F9" s="62" t="n">
        <v>12.24870199999999</v>
      </c>
      <c r="G9" s="62" t="n">
        <v>4.715883</v>
      </c>
      <c r="H9" s="62" t="n">
        <v>6.069591000000001</v>
      </c>
      <c r="I9" s="62" t="n">
        <v>7.386</v>
      </c>
      <c r="J9" s="62" t="n">
        <v>71.56625225795824</v>
      </c>
    </row>
    <row r="10" ht="45" customHeight="1" s="584">
      <c r="A10" s="352" t="inlineStr">
        <is>
          <t>ELKAYEM AUTO|ELKAYEM AUTO MYSORE |Marathwada|Rajsriya Unit 2|Rajsriya Unit 5|Rajsriya Automotive|SRIKAM HITECH</t>
        </is>
      </c>
      <c r="B10" s="352" t="inlineStr">
        <is>
          <t>150|154|435|442|1000|6000</t>
        </is>
      </c>
      <c r="C10" s="15" t="inlineStr">
        <is>
          <t>15.88-0-1.6-ERW 1-PE</t>
        </is>
      </c>
      <c r="D10" s="15" t="inlineStr">
        <is>
          <t>0789</t>
        </is>
      </c>
      <c r="E10" s="62" t="n">
        <v>6.690582581759999</v>
      </c>
      <c r="F10" s="62" t="n">
        <v>11.105667</v>
      </c>
      <c r="G10" s="62" t="n">
        <v>2.380999</v>
      </c>
      <c r="H10" s="62" t="n">
        <v>0</v>
      </c>
      <c r="I10" s="62" t="n">
        <v>3.888</v>
      </c>
      <c r="J10" s="62" t="n">
        <v>17.43345942967452</v>
      </c>
    </row>
    <row r="11" ht="45" customHeight="1" s="584">
      <c r="A11" s="352" t="inlineStr">
        <is>
          <t>ELKAYEM AUTO|ELKAYEM AUTO MYSORE |Rajsriya Unit 8|Rajsriya Unit 1|Rajsriya Mysore |RUCHA|SRIKAM HITECH</t>
        </is>
      </c>
      <c r="B11" s="352" t="inlineStr">
        <is>
          <t>155|160|291|442|537</t>
        </is>
      </c>
      <c r="C11" s="15" t="inlineStr">
        <is>
          <t>15.88-0-2-ERW 1-PE</t>
        </is>
      </c>
      <c r="D11" s="15" t="inlineStr">
        <is>
          <t>0789</t>
        </is>
      </c>
      <c r="E11" s="62" t="n">
        <v>2.150480511072</v>
      </c>
      <c r="F11" s="62" t="n">
        <v>8.190179999999998</v>
      </c>
      <c r="G11" s="62" t="n">
        <v>0.302378</v>
      </c>
      <c r="H11" s="62" t="n">
        <v>0</v>
      </c>
      <c r="I11" s="62" t="n">
        <v>0.244</v>
      </c>
      <c r="J11" s="62" t="n">
        <v>3.403890415333748</v>
      </c>
    </row>
    <row r="12">
      <c r="A12" s="352" t="inlineStr">
        <is>
          <t xml:space="preserve">Rajsriya Unit 5|Rajsriya Mysore </t>
        </is>
      </c>
      <c r="B12" s="352" t="inlineStr">
        <is>
          <t>1000</t>
        </is>
      </c>
      <c r="C12" s="15" t="inlineStr">
        <is>
          <t>16.1-10.4-2.7-CEW-CEW</t>
        </is>
      </c>
      <c r="D12" s="15" t="inlineStr">
        <is>
          <t>0788</t>
        </is>
      </c>
      <c r="E12" s="62" t="n">
        <v>0</v>
      </c>
      <c r="F12" s="62" t="n">
        <v>0</v>
      </c>
      <c r="G12" s="62" t="n">
        <v>0</v>
      </c>
      <c r="H12" s="62" t="n">
        <v>7.462217</v>
      </c>
      <c r="I12" s="62" t="n">
        <v>0</v>
      </c>
      <c r="J12" s="62" t="e">
        <v>#DIV/0!</v>
      </c>
    </row>
    <row r="13">
      <c r="A13" s="352" t="inlineStr">
        <is>
          <t>ELKAYEM AUTO|Rajsriya Automotive</t>
        </is>
      </c>
      <c r="B13" s="352" t="inlineStr">
        <is>
          <t>1000|4500</t>
        </is>
      </c>
      <c r="C13" s="15" t="inlineStr">
        <is>
          <t>16.1-0-2.8-CEW-CEW</t>
        </is>
      </c>
      <c r="D13" s="15" t="inlineStr">
        <is>
          <t>0788</t>
        </is>
      </c>
      <c r="E13" s="62" t="n">
        <v>0</v>
      </c>
      <c r="F13" s="62" t="n">
        <v>6.838501</v>
      </c>
      <c r="G13" s="62" t="n">
        <v>0</v>
      </c>
      <c r="H13" s="62" t="n">
        <v>1.92143</v>
      </c>
      <c r="I13" s="62" t="n">
        <v>0</v>
      </c>
      <c r="J13" s="62" t="e">
        <v>#DIV/0!</v>
      </c>
    </row>
    <row r="14">
      <c r="A14" s="352" t="inlineStr">
        <is>
          <t>ELKAYEM AUTO</t>
        </is>
      </c>
      <c r="B14" s="352" t="inlineStr">
        <is>
          <t>1000</t>
        </is>
      </c>
      <c r="C14" s="15" t="inlineStr">
        <is>
          <t>16.1-10.7-2.95-CEW-CEW</t>
        </is>
      </c>
      <c r="D14" s="15" t="inlineStr">
        <is>
          <t>0788</t>
        </is>
      </c>
      <c r="E14" s="62" t="n">
        <v>0</v>
      </c>
      <c r="F14" s="62" t="n">
        <v>0</v>
      </c>
      <c r="G14" s="62" t="n">
        <v>0</v>
      </c>
      <c r="H14" s="62" t="n">
        <v>0</v>
      </c>
      <c r="I14" s="62" t="n">
        <v>0</v>
      </c>
      <c r="J14" s="62" t="e">
        <v>#DIV/0!</v>
      </c>
    </row>
    <row r="15">
      <c r="A15" s="352" t="inlineStr">
        <is>
          <t>NMPL HUB|NMPL TVSM</t>
        </is>
      </c>
      <c r="B15" s="352" t="inlineStr">
        <is>
          <t>150</t>
        </is>
      </c>
      <c r="C15" s="15" t="inlineStr">
        <is>
          <t>17.3-0-1.2-ERW 1-PE</t>
        </is>
      </c>
      <c r="D15" s="15" t="inlineStr">
        <is>
          <t>0788</t>
        </is>
      </c>
      <c r="E15" s="62" t="n">
        <v>0</v>
      </c>
      <c r="F15" s="62" t="n">
        <v>0.5679999999999999</v>
      </c>
      <c r="G15" s="62" t="n">
        <v>0</v>
      </c>
      <c r="H15" s="62" t="n">
        <v>4.49552</v>
      </c>
      <c r="I15" s="62" t="n">
        <v>0</v>
      </c>
      <c r="J15" s="62" t="e">
        <v>#DIV/0!</v>
      </c>
    </row>
    <row r="16" ht="30" customHeight="1" s="584">
      <c r="A16" s="352" t="inlineStr">
        <is>
          <t>ELKAYEM AUTO|Marathwada|SANDHAR ENGINEERING PVT LTD.|SRIKAM HITECH</t>
        </is>
      </c>
      <c r="B16" s="352" t="inlineStr">
        <is>
          <t>355|363|385|400|415|640</t>
        </is>
      </c>
      <c r="C16" s="15" t="inlineStr">
        <is>
          <t>17.3-0-1.6-ERW 1-PE</t>
        </is>
      </c>
      <c r="D16" s="15" t="inlineStr">
        <is>
          <t>0788</t>
        </is>
      </c>
      <c r="E16" s="62" t="n">
        <v>8.250611876000001</v>
      </c>
      <c r="F16" s="62" t="n">
        <v>0.247878</v>
      </c>
      <c r="G16" s="62" t="n">
        <v>0.7550049999999999</v>
      </c>
      <c r="H16" s="62" t="n">
        <v>0.09304000000000001</v>
      </c>
      <c r="I16" s="62" t="n">
        <v>0</v>
      </c>
      <c r="J16" s="62" t="n">
        <v>0.3383021819411058</v>
      </c>
    </row>
    <row r="17">
      <c r="A17" s="352" t="e">
        <v>#VALUE!</v>
      </c>
      <c r="B17" s="352" t="e">
        <v>#VALUE!</v>
      </c>
      <c r="C17" s="15" t="inlineStr">
        <is>
          <t>18-10.8-3.6-CEW-CEW</t>
        </is>
      </c>
      <c r="D17" s="15" t="inlineStr">
        <is>
          <t>0788</t>
        </is>
      </c>
      <c r="E17" s="62" t="n">
        <v>0</v>
      </c>
      <c r="F17" s="62" t="n">
        <v>0</v>
      </c>
      <c r="G17" s="62" t="n">
        <v>0</v>
      </c>
      <c r="H17" s="62" t="n">
        <v>0</v>
      </c>
      <c r="I17" s="62" t="n">
        <v>0</v>
      </c>
      <c r="J17" s="62" t="e">
        <v>#DIV/0!</v>
      </c>
    </row>
    <row r="18">
      <c r="A18" s="352" t="inlineStr">
        <is>
          <t>NMPL HUB|NMPL TVSM</t>
        </is>
      </c>
      <c r="B18" s="352" t="inlineStr">
        <is>
          <t>110|145</t>
        </is>
      </c>
      <c r="C18" s="15" t="inlineStr">
        <is>
          <t>18.2-0-1-ERW 1-PE</t>
        </is>
      </c>
      <c r="D18" s="15" t="inlineStr">
        <is>
          <t>0788</t>
        </is>
      </c>
      <c r="E18" s="62" t="n">
        <v>0</v>
      </c>
      <c r="F18" s="62" t="n">
        <v>0</v>
      </c>
      <c r="G18" s="62" t="n">
        <v>0.1934</v>
      </c>
      <c r="H18" s="62" t="n">
        <v>0.185903</v>
      </c>
      <c r="I18" s="62" t="n">
        <v>0</v>
      </c>
      <c r="J18" s="62" t="e">
        <v>#DIV/0!</v>
      </c>
    </row>
    <row r="19">
      <c r="A19" s="352" t="inlineStr">
        <is>
          <t xml:space="preserve">Rajsriya Unit 5|Rajsriya Mysore </t>
        </is>
      </c>
      <c r="B19" s="352" t="inlineStr">
        <is>
          <t>1000|4500</t>
        </is>
      </c>
      <c r="C19" s="15" t="inlineStr">
        <is>
          <t>18.2-12.3-2.95-CEW-CEW</t>
        </is>
      </c>
      <c r="D19" s="15" t="inlineStr">
        <is>
          <t>0788</t>
        </is>
      </c>
      <c r="E19" s="62" t="n">
        <v>0</v>
      </c>
      <c r="F19" s="62" t="n">
        <v>0</v>
      </c>
      <c r="G19" s="62" t="n">
        <v>0</v>
      </c>
      <c r="H19" s="62" t="n">
        <v>0</v>
      </c>
      <c r="I19" s="62" t="n">
        <v>0</v>
      </c>
      <c r="J19" s="62" t="e">
        <v>#DIV/0!</v>
      </c>
    </row>
    <row r="20" ht="60" customHeight="1" s="584">
      <c r="A20" s="352" t="inlineStr">
        <is>
          <t>Marathwada v7|Marathwada|SRI BALAJI GEARS V7|SRI BALAJI GEARS V4|Balaji Gears V3</t>
        </is>
      </c>
      <c r="B20" s="352" t="inlineStr">
        <is>
          <t>100|110|115|129|150|290|330|355|392|400|470|486|540|675|682|710|750|755|790|795|800|835|840|871|875|880|890|962|963|1000|1007|1246|1304</t>
        </is>
      </c>
      <c r="C20" s="15" t="inlineStr">
        <is>
          <t>19-19-1-CRFH-PE</t>
        </is>
      </c>
      <c r="D20" s="15" t="inlineStr">
        <is>
          <t>0789</t>
        </is>
      </c>
      <c r="E20" s="62" t="n">
        <v>128.0583211505</v>
      </c>
      <c r="F20" s="62" t="n">
        <v>89.34429100000011</v>
      </c>
      <c r="G20" s="62" t="n">
        <v>18.460063</v>
      </c>
      <c r="H20" s="62" t="n">
        <v>15.867808</v>
      </c>
      <c r="I20" s="62" t="n">
        <v>41.765</v>
      </c>
      <c r="J20" s="62" t="n">
        <v>13.50153761556829</v>
      </c>
    </row>
    <row r="21">
      <c r="A21" s="352" t="e">
        <v>#VALUE!</v>
      </c>
      <c r="B21" s="352" t="e">
        <v>#VALUE!</v>
      </c>
      <c r="C21" s="15" t="inlineStr">
        <is>
          <t>19-19-1.2-CRFH-PE</t>
        </is>
      </c>
      <c r="D21" s="15" t="inlineStr">
        <is>
          <t>0789</t>
        </is>
      </c>
      <c r="E21" s="62" t="n">
        <v>0</v>
      </c>
      <c r="F21" s="62" t="n">
        <v>2.521868</v>
      </c>
      <c r="G21" s="62" t="n">
        <v>0.365588</v>
      </c>
      <c r="H21" s="62" t="n">
        <v>0</v>
      </c>
      <c r="I21" s="62" t="n">
        <v>3.465</v>
      </c>
      <c r="J21" s="62" t="e">
        <v>#DIV/0!</v>
      </c>
    </row>
    <row r="22" ht="30" customHeight="1" s="584">
      <c r="A22" s="352" t="inlineStr">
        <is>
          <t>Metalman|Rajsriya Unit 8|Rajsriya Unit 1|Rajsriya Automotive|SRIKAM HITECH</t>
        </is>
      </c>
      <c r="B22" s="352" t="inlineStr">
        <is>
          <t>180|195|200|319|588|5000</t>
        </is>
      </c>
      <c r="C22" s="15" t="inlineStr">
        <is>
          <t>19-12.5-3.25-CEW-CEW</t>
        </is>
      </c>
      <c r="D22" s="15" t="inlineStr">
        <is>
          <t>0788</t>
        </is>
      </c>
      <c r="E22" s="62" t="n">
        <v>1.3626583425</v>
      </c>
      <c r="F22" s="62" t="n">
        <v>26.089235</v>
      </c>
      <c r="G22" s="62" t="n">
        <v>3.520054</v>
      </c>
      <c r="H22" s="62" t="n">
        <v>9.957789999999999</v>
      </c>
      <c r="I22" s="62" t="n">
        <v>0</v>
      </c>
      <c r="J22" s="62" t="n">
        <v>219.2286141601192</v>
      </c>
    </row>
    <row r="23">
      <c r="A23" s="352" t="inlineStr">
        <is>
          <t>Balaji press product|Marathwada|NMPL TVSM</t>
        </is>
      </c>
      <c r="B23" s="352" t="inlineStr">
        <is>
          <t>1095|1200</t>
        </is>
      </c>
      <c r="C23" s="15" t="inlineStr">
        <is>
          <t>19.05-0-1-ERW 1-PE</t>
        </is>
      </c>
      <c r="D23" s="15" t="inlineStr">
        <is>
          <t>0789</t>
        </is>
      </c>
      <c r="E23" s="62" t="n">
        <v>8.542357440000002</v>
      </c>
      <c r="F23" s="62" t="n">
        <v>4.132875</v>
      </c>
      <c r="G23" s="62" t="n">
        <v>1.8531</v>
      </c>
      <c r="H23" s="62" t="n">
        <v>0</v>
      </c>
      <c r="I23" s="62" t="n">
        <v>18.324</v>
      </c>
      <c r="J23" s="62" t="n">
        <v>64.35225918151231</v>
      </c>
    </row>
    <row r="24" ht="45" customHeight="1" s="584">
      <c r="A24" s="352" t="inlineStr">
        <is>
          <t>Balaji press product|Marathwada|NMPL TVSM|SANDHAR ENGINEERING PVT LTD.|Balaji Gears V3</t>
        </is>
      </c>
      <c r="B24" s="352" t="inlineStr">
        <is>
          <t>109|200|258|330|403|513|631|650|680|682|1075|1130|1145|1230|1275|1615</t>
        </is>
      </c>
      <c r="C24" s="15" t="inlineStr">
        <is>
          <t>19.05-0-1.2-ERW 1-PE</t>
        </is>
      </c>
      <c r="D24" s="15" t="inlineStr">
        <is>
          <t>0789</t>
        </is>
      </c>
      <c r="E24" s="62" t="n">
        <v>19.53162258894</v>
      </c>
      <c r="F24" s="62" t="n">
        <v>7.517654000000001</v>
      </c>
      <c r="G24" s="62" t="n">
        <v>12.593024</v>
      </c>
      <c r="H24" s="62" t="n">
        <v>0</v>
      </c>
      <c r="I24" s="62" t="n">
        <v>20.588</v>
      </c>
      <c r="J24" s="62" t="n">
        <v>31.62256475044452</v>
      </c>
    </row>
    <row r="25" ht="30" customHeight="1" s="584">
      <c r="A25" s="352" t="inlineStr">
        <is>
          <t>Marathwada v7|SRI BALAJI GEARS V4|SRI BALAJI GEARS V7</t>
        </is>
      </c>
      <c r="B25" s="352" t="inlineStr">
        <is>
          <t>200|220|320|330|377|682|1230</t>
        </is>
      </c>
      <c r="C25" s="15" t="inlineStr">
        <is>
          <t>19.05-0-1.2-CRFH-PE</t>
        </is>
      </c>
      <c r="D25" s="15" t="inlineStr">
        <is>
          <t>0789</t>
        </is>
      </c>
      <c r="E25" s="62" t="n">
        <v>19.57306914297001</v>
      </c>
      <c r="F25" s="62" t="n">
        <v>12.38228200000001</v>
      </c>
      <c r="G25" s="62" t="n">
        <v>2.249096</v>
      </c>
      <c r="H25" s="62" t="n">
        <v>2.249096</v>
      </c>
      <c r="I25" s="62" t="n">
        <v>16.086</v>
      </c>
      <c r="J25" s="62" t="n">
        <v>28.102535988719</v>
      </c>
    </row>
    <row r="26" ht="30" customHeight="1" s="584">
      <c r="A26" s="352" t="inlineStr">
        <is>
          <t>Metalman|NMPL TVSM|SANDHAR ENGINEERING PVT LTD.|SRIKAM HITECH</t>
        </is>
      </c>
      <c r="B26" s="352" t="inlineStr">
        <is>
          <t>258|268|275|595|610|1405</t>
        </is>
      </c>
      <c r="C26" s="15" t="inlineStr">
        <is>
          <t>19.05-0-1.6-ERW 1-PE</t>
        </is>
      </c>
      <c r="D26" s="15" t="inlineStr">
        <is>
          <t>0789</t>
        </is>
      </c>
      <c r="E26" s="62" t="n">
        <v>0</v>
      </c>
      <c r="F26" s="62" t="n">
        <v>1.763</v>
      </c>
      <c r="G26" s="62" t="n">
        <v>1.318799</v>
      </c>
      <c r="H26" s="62" t="n">
        <v>0</v>
      </c>
      <c r="I26" s="62" t="n">
        <v>2.886</v>
      </c>
      <c r="J26" s="62" t="e">
        <v>#DIV/0!</v>
      </c>
    </row>
    <row r="27">
      <c r="A27" s="352" t="inlineStr">
        <is>
          <t>Rajsriya Unit 8</t>
        </is>
      </c>
      <c r="B27" s="352" t="inlineStr">
        <is>
          <t>394</t>
        </is>
      </c>
      <c r="C27" s="15" t="inlineStr">
        <is>
          <t>19.05-0-1.6-ERW 2 MAHS-PE</t>
        </is>
      </c>
      <c r="D27" s="15" t="inlineStr">
        <is>
          <t>0789</t>
        </is>
      </c>
      <c r="E27" s="62" t="n">
        <v>0</v>
      </c>
      <c r="F27" s="62" t="n">
        <v>0</v>
      </c>
      <c r="G27" s="62" t="n">
        <v>1.891597</v>
      </c>
      <c r="H27" s="62" t="n">
        <v>0</v>
      </c>
      <c r="I27" s="62" t="n">
        <v>2.986</v>
      </c>
      <c r="J27" s="62" t="e">
        <v>#DIV/0!</v>
      </c>
    </row>
    <row r="28" ht="45" customHeight="1" s="584">
      <c r="A28" s="352" t="inlineStr">
        <is>
          <t>ELKAYEM AUTO|KNITVEL NEEDLES P LTD|Rajsriya Unit 2|Rajsriya Unit 1|Rajsriya Unit 5|Rajsriya Unit 8|Rajsriya Mysore |RUCHA|SRIKAM HITECH</t>
        </is>
      </c>
      <c r="B28" s="352" t="inlineStr">
        <is>
          <t>104|213|240|259|265|358|394|475|775|785|815|820|830|900|1000</t>
        </is>
      </c>
      <c r="C28" s="15" t="inlineStr">
        <is>
          <t>19.05-0-2-ERW 1-PE</t>
        </is>
      </c>
      <c r="D28" s="15" t="inlineStr">
        <is>
          <t>0789</t>
        </is>
      </c>
      <c r="E28" s="62" t="n">
        <v>4.0723722105</v>
      </c>
      <c r="F28" s="62" t="n">
        <v>16.170392</v>
      </c>
      <c r="G28" s="62" t="n">
        <v>0.562524</v>
      </c>
      <c r="H28" s="62" t="n">
        <v>0</v>
      </c>
      <c r="I28" s="62" t="n">
        <v>11.189</v>
      </c>
      <c r="J28" s="62" t="n">
        <v>82.42615916455901</v>
      </c>
    </row>
    <row r="29" ht="60" customHeight="1" s="584">
      <c r="A29" s="352" t="inlineStr">
        <is>
          <t>ELKAYEM AUTO|NMPL TVSM|Rajsriya Unit 2|Rajsriya Unit 5|Rajsriya Unit 1|Rajsriya Automotive|RUCHA|SANDHAR ENGINEERING PVT LTD.|SRIKAM HITECH</t>
        </is>
      </c>
      <c r="B29" s="352" t="inlineStr">
        <is>
          <t>195|210|236|250|252|255|265|278|281|285|295|303|394|400|554|570|585|600|610|1000</t>
        </is>
      </c>
      <c r="C29" s="15" t="inlineStr">
        <is>
          <t>19.05-0-2.3-ERW 1-PE</t>
        </is>
      </c>
      <c r="D29" s="15" t="inlineStr">
        <is>
          <t>0789</t>
        </is>
      </c>
      <c r="E29" s="62" t="n">
        <v>7.086410335312499</v>
      </c>
      <c r="F29" s="62" t="n">
        <v>65.309254</v>
      </c>
      <c r="G29" s="62" t="n">
        <v>19.279643</v>
      </c>
      <c r="H29" s="62" t="n">
        <v>73.95584600000001</v>
      </c>
      <c r="I29" s="62" t="n">
        <v>6.015</v>
      </c>
      <c r="J29" s="62" t="n">
        <v>338.552986135286</v>
      </c>
    </row>
    <row r="30">
      <c r="A30" s="352" t="inlineStr">
        <is>
          <t>Laxmi|NMPL TVSM</t>
        </is>
      </c>
      <c r="B30" s="352" t="inlineStr">
        <is>
          <t>273</t>
        </is>
      </c>
      <c r="C30" s="15" t="inlineStr">
        <is>
          <t>20-17.16-1.42-CEW-CEW</t>
        </is>
      </c>
      <c r="D30" s="15" t="inlineStr">
        <is>
          <t>0788</t>
        </is>
      </c>
      <c r="E30" s="62" t="n">
        <v>3.550798285943999</v>
      </c>
      <c r="F30" s="62" t="n">
        <v>1.593</v>
      </c>
      <c r="G30" s="62" t="n">
        <v>0.711197</v>
      </c>
      <c r="H30" s="62" t="n">
        <v>1.172</v>
      </c>
      <c r="I30" s="62" t="n">
        <v>0</v>
      </c>
      <c r="J30" s="62" t="n">
        <v>9.901998696795172</v>
      </c>
    </row>
    <row r="31">
      <c r="A31" s="352" t="inlineStr">
        <is>
          <t xml:space="preserve">Sandhar Engg Mysore </t>
        </is>
      </c>
      <c r="B31" s="352" t="inlineStr">
        <is>
          <t>1000</t>
        </is>
      </c>
      <c r="C31" s="15" t="inlineStr">
        <is>
          <t>20-12.4-3.8-CEW-CEW</t>
        </is>
      </c>
      <c r="D31" s="15" t="inlineStr">
        <is>
          <t>0788</t>
        </is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</v>
      </c>
      <c r="J31" s="62" t="e">
        <v>#DIV/0!</v>
      </c>
    </row>
    <row r="32">
      <c r="A32" s="352" t="inlineStr">
        <is>
          <t xml:space="preserve">NMPL HUB|Sandhar Engg Mysore </t>
        </is>
      </c>
      <c r="B32" s="352" t="inlineStr">
        <is>
          <t>1000</t>
        </is>
      </c>
      <c r="C32" s="15" t="inlineStr">
        <is>
          <t>20-12.4-4.5-CEW-CEW</t>
        </is>
      </c>
      <c r="D32" s="15" t="inlineStr">
        <is>
          <t>0788</t>
        </is>
      </c>
      <c r="E32" s="62" t="n">
        <v>0</v>
      </c>
      <c r="F32" s="62" t="n">
        <v>0</v>
      </c>
      <c r="G32" s="62" t="n">
        <v>0</v>
      </c>
      <c r="H32" s="62" t="n">
        <v>0</v>
      </c>
      <c r="I32" s="62" t="n">
        <v>0</v>
      </c>
      <c r="J32" s="62" t="e">
        <v>#DIV/0!</v>
      </c>
    </row>
    <row r="33">
      <c r="A33" s="352" t="inlineStr">
        <is>
          <t>NMPL TVSM|Rajsriya Unit 5|SRIKAM HITECH</t>
        </is>
      </c>
      <c r="B33" s="352" t="inlineStr">
        <is>
          <t>1000</t>
        </is>
      </c>
      <c r="C33" s="15" t="inlineStr">
        <is>
          <t>21.7-16.2-2.75-CEW-CEW</t>
        </is>
      </c>
      <c r="D33" s="15" t="inlineStr">
        <is>
          <t>0788</t>
        </is>
      </c>
      <c r="E33" s="62" t="n">
        <v>0</v>
      </c>
      <c r="F33" s="62" t="n">
        <v>2.920883</v>
      </c>
      <c r="G33" s="62" t="n">
        <v>0</v>
      </c>
      <c r="H33" s="62" t="n">
        <v>1.867743</v>
      </c>
      <c r="I33" s="62" t="n">
        <v>0</v>
      </c>
      <c r="J33" s="62" t="e">
        <v>#DIV/0!</v>
      </c>
    </row>
    <row r="34">
      <c r="A34" s="352" t="inlineStr">
        <is>
          <t xml:space="preserve">NMPL TVSM|Sandhar Engg Mysore </t>
        </is>
      </c>
      <c r="B34" s="352" t="inlineStr">
        <is>
          <t>1000</t>
        </is>
      </c>
      <c r="C34" s="15" t="inlineStr">
        <is>
          <t>21.75-0-3.5-CEW-CEW</t>
        </is>
      </c>
      <c r="D34" s="15" t="inlineStr">
        <is>
          <t>0788</t>
        </is>
      </c>
      <c r="E34" s="62" t="n">
        <v>0</v>
      </c>
      <c r="F34" s="62" t="n">
        <v>0</v>
      </c>
      <c r="G34" s="62" t="n">
        <v>0</v>
      </c>
      <c r="H34" s="62" t="n">
        <v>0</v>
      </c>
      <c r="I34" s="62" t="n">
        <v>0</v>
      </c>
      <c r="J34" s="62" t="e">
        <v>#DIV/0!</v>
      </c>
    </row>
    <row r="35" ht="45" customHeight="1" s="584">
      <c r="A35" s="352" t="inlineStr">
        <is>
          <t>ELKAYEM AUTO|NMPL HUB|Rajsriya Unit 4|Rajsriya Unit 2|SANDHAR ENGINEERING PVT LTD.|Sandhar Automach|SRIKAM HITECH</t>
        </is>
      </c>
      <c r="B35" s="352" t="inlineStr">
        <is>
          <t>140|297|600|673|681|1162|1308|1328</t>
        </is>
      </c>
      <c r="C35" s="15" t="inlineStr">
        <is>
          <t>22.23-0-1.2-ERW 1-PE</t>
        </is>
      </c>
      <c r="D35" s="15" t="inlineStr">
        <is>
          <t>0789</t>
        </is>
      </c>
      <c r="E35" s="62" t="n">
        <v>5.782503956544</v>
      </c>
      <c r="F35" s="62" t="n">
        <v>4.270110000000001</v>
      </c>
      <c r="G35" s="62" t="n">
        <v>1.864062</v>
      </c>
      <c r="H35" s="62" t="n">
        <v>0.08499999999999996</v>
      </c>
      <c r="I35" s="62" t="n">
        <v>3.104</v>
      </c>
      <c r="J35" s="62" t="n">
        <v>16.54473576135322</v>
      </c>
    </row>
    <row r="36" ht="75" customHeight="1" s="584">
      <c r="A36" s="352" t="inlineStr">
        <is>
          <t>ELKAYEM AUTO|KNITVEL NEEDLES P LTD|Marathwada|Metalman|NMPL TVSM|NMPL HUB|Rajsriya Unit 2|Rajsriya Unit 5|SANDHAR ENGINEERING PVT LTD.|Sandhar Engg Mysore |SRIKAM HITECH</t>
        </is>
      </c>
      <c r="B36" s="352" t="inlineStr">
        <is>
          <t>210|274|283|285|394|401|640|670|675|690|700|740|809|880|945|949|967|1175|1210|1222|1290|1304|1337</t>
        </is>
      </c>
      <c r="C36" s="15" t="inlineStr">
        <is>
          <t>22.23-0-1.6-ERW 1-PE</t>
        </is>
      </c>
      <c r="D36" s="15" t="inlineStr">
        <is>
          <t>0789</t>
        </is>
      </c>
      <c r="E36" s="62" t="n">
        <v>6.26076120744</v>
      </c>
      <c r="F36" s="62" t="n">
        <v>41.81095000000001</v>
      </c>
      <c r="G36" s="62" t="n">
        <v>2.471824</v>
      </c>
      <c r="H36" s="62" t="n">
        <v>62.74216200000001</v>
      </c>
      <c r="I36" s="62" t="n">
        <v>0</v>
      </c>
      <c r="J36" s="62" t="n">
        <v>300.6447295519279</v>
      </c>
    </row>
    <row r="37">
      <c r="A37" s="352" t="inlineStr">
        <is>
          <t>Sandhar Automach</t>
        </is>
      </c>
      <c r="B37" s="352" t="inlineStr">
        <is>
          <t>935</t>
        </is>
      </c>
      <c r="C37" s="15" t="inlineStr">
        <is>
          <t>22.23-0-1.6-ERW 2 MAHS-PE</t>
        </is>
      </c>
      <c r="D37" s="15" t="inlineStr">
        <is>
          <t>0789</t>
        </is>
      </c>
      <c r="E37" s="62" t="n">
        <v>0</v>
      </c>
      <c r="F37" s="62" t="n">
        <v>2.073725</v>
      </c>
      <c r="G37" s="62" t="n">
        <v>0.6389589999999999</v>
      </c>
      <c r="H37" s="62" t="n">
        <v>0</v>
      </c>
      <c r="I37" s="62" t="n">
        <v>0</v>
      </c>
      <c r="J37" s="62" t="e">
        <v>#DIV/0!</v>
      </c>
    </row>
    <row r="38" ht="30" customHeight="1" s="584">
      <c r="A38" s="352" t="inlineStr">
        <is>
          <t xml:space="preserve">ELKAYEM AUTO|ELKAYEM AUTO MYSORE |Sandhar Engg Mysore </t>
        </is>
      </c>
      <c r="B38" s="352" t="inlineStr">
        <is>
          <t>706|715|855|863|1000</t>
        </is>
      </c>
      <c r="C38" s="15" t="inlineStr">
        <is>
          <t>22.23-0-2-ERW 1-FC</t>
        </is>
      </c>
      <c r="D38" s="15" t="inlineStr">
        <is>
          <t>0789</t>
        </is>
      </c>
      <c r="E38" s="62" t="n">
        <v>14.52016809313</v>
      </c>
      <c r="F38" s="62" t="n">
        <v>3.55215</v>
      </c>
      <c r="G38" s="62" t="n">
        <v>4.323606</v>
      </c>
      <c r="H38" s="62" t="n">
        <v>7.636460999999999</v>
      </c>
      <c r="I38" s="62" t="n">
        <v>2.713</v>
      </c>
      <c r="J38" s="62" t="n">
        <v>21.38293634127422</v>
      </c>
    </row>
    <row r="39">
      <c r="A39" s="352" t="inlineStr">
        <is>
          <t>Sandhar Automach</t>
        </is>
      </c>
      <c r="B39" s="352" t="inlineStr">
        <is>
          <t>840|855|865</t>
        </is>
      </c>
      <c r="C39" s="15" t="inlineStr">
        <is>
          <t>22.23-0-2-ERW 2 MAHS-FC</t>
        </is>
      </c>
      <c r="D39" s="15" t="inlineStr">
        <is>
          <t>0789</t>
        </is>
      </c>
      <c r="E39" s="62" t="n">
        <v>0</v>
      </c>
      <c r="F39" s="62" t="n">
        <v>20.76229</v>
      </c>
      <c r="G39" s="62" t="n">
        <v>1.634469</v>
      </c>
      <c r="H39" s="62" t="n">
        <v>1.634469</v>
      </c>
      <c r="I39" s="62" t="n">
        <v>0</v>
      </c>
      <c r="J39" s="62" t="e">
        <v>#DIV/0!</v>
      </c>
    </row>
    <row r="40" ht="60" customHeight="1" s="584">
      <c r="A40" s="352" t="inlineStr">
        <is>
          <t>ELKAYEM AUTO MYSORE |NMPL TVSM|NMPL HUB|Rajsriya Unit 2|Rajsriya Unit 5|SANDHAR ENGINEERING PVT LTD.|Sandhar Automach|SRIKAM HITECH</t>
        </is>
      </c>
      <c r="B40" s="352" t="inlineStr">
        <is>
          <t>180|220|236|394|775|805|809|815|1000|1325|1385</t>
        </is>
      </c>
      <c r="C40" s="15" t="inlineStr">
        <is>
          <t>22.23-0-2-ERW 1-PE</t>
        </is>
      </c>
      <c r="D40" s="15" t="inlineStr">
        <is>
          <t>0789</t>
        </is>
      </c>
      <c r="E40" s="62" t="n">
        <v>0</v>
      </c>
      <c r="F40" s="62" t="n">
        <v>57.69125000000001</v>
      </c>
      <c r="G40" s="62" t="n">
        <v>2.528883</v>
      </c>
      <c r="H40" s="62" t="n">
        <v>11.690147</v>
      </c>
      <c r="I40" s="62" t="n">
        <v>1.629</v>
      </c>
      <c r="J40" s="62" t="e">
        <v>#DIV/0!</v>
      </c>
    </row>
    <row r="41">
      <c r="A41" s="352" t="inlineStr">
        <is>
          <t>NMPL HUB|SANDHAR ENGINEERING PVT LTD.</t>
        </is>
      </c>
      <c r="B41" s="352" t="inlineStr">
        <is>
          <t>394|855|863</t>
        </is>
      </c>
      <c r="C41" s="15" t="inlineStr">
        <is>
          <t>22.23-0-2-ERW 2-FC</t>
        </is>
      </c>
      <c r="D41" s="15" t="inlineStr">
        <is>
          <t>0789</t>
        </is>
      </c>
      <c r="E41" s="62" t="n">
        <v>0</v>
      </c>
      <c r="F41" s="62" t="n">
        <v>6.952258</v>
      </c>
      <c r="G41" s="62" t="n">
        <v>1.028479</v>
      </c>
      <c r="H41" s="62" t="n">
        <v>0</v>
      </c>
      <c r="I41" s="62" t="n">
        <v>15.21</v>
      </c>
      <c r="J41" s="62" t="e">
        <v>#DIV/0!</v>
      </c>
    </row>
    <row r="42" ht="30" customHeight="1" s="584">
      <c r="A42" s="352" t="inlineStr">
        <is>
          <t>KNITVEL NEEDLES P LTD|Sandhar Automach|SRIKAM HITECH</t>
        </is>
      </c>
      <c r="B42" s="352" t="inlineStr">
        <is>
          <t>604|812|905|925</t>
        </is>
      </c>
      <c r="C42" s="15" t="inlineStr">
        <is>
          <t>22.23-0-2-ERW 2 MAHS-PE</t>
        </is>
      </c>
      <c r="D42" s="15" t="inlineStr">
        <is>
          <t>0789</t>
        </is>
      </c>
      <c r="E42" s="62" t="n">
        <v>0</v>
      </c>
      <c r="F42" s="62" t="n">
        <v>33.500875</v>
      </c>
      <c r="G42" s="62" t="n">
        <v>0.5879540000000001</v>
      </c>
      <c r="H42" s="62" t="n">
        <v>5.82791</v>
      </c>
      <c r="I42" s="62" t="n">
        <v>0</v>
      </c>
      <c r="J42" s="62" t="e">
        <v>#DIV/0!</v>
      </c>
    </row>
    <row r="43" ht="45" customHeight="1" s="584">
      <c r="A43" s="352" t="inlineStr">
        <is>
          <t>ELKAYEM AUTO|Marathwada|NMPL TVSM|Rajsriya Automotive|Rajsriya Unit 2|Rajsriya Unit 5|Rajsriya Mysore |SRIKAM HITECH</t>
        </is>
      </c>
      <c r="B43" s="352" t="inlineStr">
        <is>
          <t>188|220|281|295|350|425|427|430|499|1000</t>
        </is>
      </c>
      <c r="C43" s="15" t="inlineStr">
        <is>
          <t>22.23-0-2.3-ERW 1-PE</t>
        </is>
      </c>
      <c r="D43" s="15" t="inlineStr">
        <is>
          <t>0789</t>
        </is>
      </c>
      <c r="E43" s="62" t="n">
        <v>0</v>
      </c>
      <c r="F43" s="62" t="n">
        <v>18.830573</v>
      </c>
      <c r="G43" s="62" t="n">
        <v>0.172035</v>
      </c>
      <c r="H43" s="62" t="n">
        <v>6.810974000000001</v>
      </c>
      <c r="I43" s="62" t="n">
        <v>0</v>
      </c>
      <c r="J43" s="62" t="e">
        <v>#DIV/0!</v>
      </c>
    </row>
    <row r="44" ht="30" customHeight="1" s="584">
      <c r="A44" s="352" t="inlineStr">
        <is>
          <t>Marathwada v7|SRI BALAJI GEARS V7|SRI BALAJI GEARS V4|Balaji Gears V3</t>
        </is>
      </c>
      <c r="B44" s="352" t="inlineStr">
        <is>
          <t>330|640|642|787|1298</t>
        </is>
      </c>
      <c r="C44" s="15" t="inlineStr">
        <is>
          <t>25-25-1.2-CRFH-PE</t>
        </is>
      </c>
      <c r="D44" s="15" t="inlineStr">
        <is>
          <t>0789</t>
        </is>
      </c>
      <c r="E44" s="62" t="n">
        <v>26.98426893708</v>
      </c>
      <c r="F44" s="62" t="n">
        <v>15.293708</v>
      </c>
      <c r="G44" s="62" t="n">
        <v>1.99648</v>
      </c>
      <c r="H44" s="62" t="n">
        <v>2.545999999999999</v>
      </c>
      <c r="I44" s="62" t="n">
        <v>25.729</v>
      </c>
      <c r="J44" s="62" t="n">
        <v>31.43498169166224</v>
      </c>
    </row>
    <row r="45">
      <c r="A45" s="352" t="inlineStr">
        <is>
          <t>Marathwada|NMPL TVSM|NMPL HUB</t>
        </is>
      </c>
      <c r="B45" s="352" t="inlineStr">
        <is>
          <t>845|1000|2550|2585</t>
        </is>
      </c>
      <c r="C45" s="15" t="inlineStr">
        <is>
          <t>25.4-0-1.2-ERW 1-PE</t>
        </is>
      </c>
      <c r="D45" s="15" t="inlineStr">
        <is>
          <t>0789</t>
        </is>
      </c>
      <c r="E45" s="62" t="n">
        <v>9.1766452272</v>
      </c>
      <c r="F45" s="62" t="n">
        <v>6.35796</v>
      </c>
      <c r="G45" s="62" t="n">
        <v>7.507783</v>
      </c>
      <c r="H45" s="62" t="n">
        <v>0</v>
      </c>
      <c r="I45" s="62" t="n">
        <v>18.564</v>
      </c>
      <c r="J45" s="62" t="n">
        <v>60.68884502032</v>
      </c>
    </row>
    <row r="46">
      <c r="A46" s="352" t="e">
        <v>#VALUE!</v>
      </c>
      <c r="B46" s="352" t="e">
        <v>#VALUE!</v>
      </c>
      <c r="C46" s="15" t="inlineStr">
        <is>
          <t>25.4-0-1.4-ERW 2-PE</t>
        </is>
      </c>
      <c r="D46" s="15" t="inlineStr">
        <is>
          <t>0789</t>
        </is>
      </c>
      <c r="E46" s="62" t="n">
        <v>0</v>
      </c>
      <c r="F46" s="62" t="n">
        <v>0</v>
      </c>
      <c r="G46" s="62" t="n">
        <v>0</v>
      </c>
      <c r="H46" s="62" t="n">
        <v>0</v>
      </c>
      <c r="I46" s="62" t="n">
        <v>0</v>
      </c>
      <c r="J46" s="62" t="e">
        <v>#DIV/0!</v>
      </c>
    </row>
    <row r="47">
      <c r="A47" s="352" t="inlineStr">
        <is>
          <t>Metalman|Rajsriya Mysore |RUCHA</t>
        </is>
      </c>
      <c r="B47" s="352" t="inlineStr">
        <is>
          <t>208|360</t>
        </is>
      </c>
      <c r="C47" s="15" t="inlineStr">
        <is>
          <t>25.4-0-1.6-ERW 1-FC</t>
        </is>
      </c>
      <c r="D47" s="15" t="inlineStr">
        <is>
          <t>0789</t>
        </is>
      </c>
      <c r="E47" s="62" t="n">
        <v>0</v>
      </c>
      <c r="F47" s="62" t="n">
        <v>0</v>
      </c>
      <c r="G47" s="62" t="n">
        <v>0.256497</v>
      </c>
      <c r="H47" s="62" t="n">
        <v>0</v>
      </c>
      <c r="I47" s="62" t="n">
        <v>0</v>
      </c>
      <c r="J47" s="62" t="e">
        <v>#DIV/0!</v>
      </c>
    </row>
    <row r="48" ht="30" customHeight="1" s="584">
      <c r="A48" s="352" t="inlineStr">
        <is>
          <t>Balaji press product|Marathwada|NMPL TVSM|Rajsriya Automotive</t>
        </is>
      </c>
      <c r="B48" s="352" t="inlineStr">
        <is>
          <t>360|512|2580|2590</t>
        </is>
      </c>
      <c r="C48" s="15" t="inlineStr">
        <is>
          <t>25.4-0-1.6-ERW 1-PE</t>
        </is>
      </c>
      <c r="D48" s="15" t="inlineStr">
        <is>
          <t>0789</t>
        </is>
      </c>
      <c r="E48" s="62" t="n">
        <v>12.1365365856</v>
      </c>
      <c r="F48" s="62" t="n">
        <v>20.244109</v>
      </c>
      <c r="G48" s="62" t="n">
        <v>8.759255</v>
      </c>
      <c r="H48" s="62" t="n">
        <v>0</v>
      </c>
      <c r="I48" s="62" t="n">
        <v>3.646</v>
      </c>
      <c r="J48" s="62" t="n">
        <v>9.012455837671133</v>
      </c>
    </row>
    <row r="49">
      <c r="A49" s="352" t="inlineStr">
        <is>
          <t xml:space="preserve">NMPL HUB|Rajsriya Unit 2|Sandhar Engg Mysore </t>
        </is>
      </c>
      <c r="B49" s="352" t="inlineStr">
        <is>
          <t>412|470|567</t>
        </is>
      </c>
      <c r="C49" s="15" t="inlineStr">
        <is>
          <t>25.4-0-2-ERW 1-PE</t>
        </is>
      </c>
      <c r="D49" s="15" t="inlineStr">
        <is>
          <t>0789</t>
        </is>
      </c>
      <c r="E49" s="62" t="n">
        <v>0</v>
      </c>
      <c r="F49" s="62" t="n">
        <v>0</v>
      </c>
      <c r="G49" s="62" t="n">
        <v>0.00171</v>
      </c>
      <c r="H49" s="62" t="n">
        <v>1.14823</v>
      </c>
      <c r="I49" s="62" t="n">
        <v>5.56</v>
      </c>
      <c r="J49" s="62" t="e">
        <v>#DIV/0!</v>
      </c>
    </row>
    <row r="50" ht="60" customHeight="1" s="584">
      <c r="A50" s="352" t="inlineStr">
        <is>
          <t>ELKAYEM AUTO|ELKAYEM AUTO MYSORE |Marathwada|Rajsriya Unit 8|Rajsriya Automotive|SANDHAR ENGINEERING PVT LTD.|Sandhar Engg Mysore |SRIKAM HITECH</t>
        </is>
      </c>
      <c r="B50" s="352" t="inlineStr">
        <is>
          <t>281|290|315|323|350|355|418|660</t>
        </is>
      </c>
      <c r="C50" s="15" t="inlineStr">
        <is>
          <t>25.4-0-2-ERW 1-FC</t>
        </is>
      </c>
      <c r="D50" s="15" t="inlineStr">
        <is>
          <t>0789</t>
        </is>
      </c>
      <c r="E50" s="62" t="n">
        <v>14.39082567</v>
      </c>
      <c r="F50" s="62" t="n">
        <v>27.137424</v>
      </c>
      <c r="G50" s="62" t="n">
        <v>14.849622</v>
      </c>
      <c r="H50" s="62" t="n">
        <v>10.739</v>
      </c>
      <c r="I50" s="62" t="n">
        <v>25.931</v>
      </c>
      <c r="J50" s="62" t="n">
        <v>76.44453662539574</v>
      </c>
    </row>
    <row r="51">
      <c r="A51" s="352" t="inlineStr">
        <is>
          <t>Marathwada|Rajsriya Unit 1</t>
        </is>
      </c>
      <c r="B51" s="352" t="inlineStr">
        <is>
          <t>217</t>
        </is>
      </c>
      <c r="C51" s="15" t="inlineStr">
        <is>
          <t>25.4-0-2.5-CEW-CEW</t>
        </is>
      </c>
      <c r="D51" s="15" t="inlineStr">
        <is>
          <t>0788</t>
        </is>
      </c>
      <c r="E51" s="62" t="n">
        <v>9.186620677499999</v>
      </c>
      <c r="F51" s="62" t="n">
        <v>6.69834</v>
      </c>
      <c r="G51" s="62" t="n">
        <v>2.186158</v>
      </c>
      <c r="H51" s="62" t="n">
        <v>6.246774999999999</v>
      </c>
      <c r="I51" s="62" t="n">
        <v>0</v>
      </c>
      <c r="J51" s="62" t="n">
        <v>20.39958506820584</v>
      </c>
    </row>
    <row r="52">
      <c r="A52" s="352" t="inlineStr">
        <is>
          <t xml:space="preserve">Sandhar Engg Mysore </t>
        </is>
      </c>
      <c r="B52" s="352" t="inlineStr">
        <is>
          <t>783</t>
        </is>
      </c>
      <c r="C52" s="15" t="inlineStr">
        <is>
          <t>25.4-0-2.5-ERW 1-FC</t>
        </is>
      </c>
      <c r="D52" s="15" t="inlineStr">
        <is>
          <t>0789</t>
        </is>
      </c>
      <c r="E52" s="62" t="n">
        <v>0</v>
      </c>
      <c r="F52" s="62" t="n">
        <v>24.407213</v>
      </c>
      <c r="G52" s="62" t="n">
        <v>9.32029</v>
      </c>
      <c r="H52" s="62" t="n">
        <v>8.227514999999997</v>
      </c>
      <c r="I52" s="62" t="n">
        <v>11.911</v>
      </c>
      <c r="J52" s="62" t="e">
        <v>#DIV/0!</v>
      </c>
    </row>
    <row r="53">
      <c r="A53" s="352" t="inlineStr">
        <is>
          <t xml:space="preserve">NMPL TVSM|NMPL HUB|Sandhar Engg Mysore </t>
        </is>
      </c>
      <c r="B53" s="352" t="inlineStr">
        <is>
          <t>1000</t>
        </is>
      </c>
      <c r="C53" s="15" t="inlineStr">
        <is>
          <t>25.4-19-3.2-CEW-CEW</t>
        </is>
      </c>
      <c r="D53" s="15" t="inlineStr">
        <is>
          <t>0788</t>
        </is>
      </c>
      <c r="E53" s="62" t="n">
        <v>0</v>
      </c>
      <c r="F53" s="62" t="n">
        <v>4.206238999999999</v>
      </c>
      <c r="G53" s="62" t="n">
        <v>0</v>
      </c>
      <c r="H53" s="62" t="n">
        <v>0.198385</v>
      </c>
      <c r="I53" s="62" t="n">
        <v>0</v>
      </c>
      <c r="J53" s="62" t="e">
        <v>#DIV/0!</v>
      </c>
    </row>
    <row r="54">
      <c r="A54" s="352" t="inlineStr">
        <is>
          <t>Narasipur Auto Component(P)Ltd</t>
        </is>
      </c>
      <c r="B54" s="352" t="inlineStr">
        <is>
          <t>247|263</t>
        </is>
      </c>
      <c r="C54" s="15" t="inlineStr">
        <is>
          <t>25.4-18.4-3.5-CEW-CEW</t>
        </is>
      </c>
      <c r="D54" s="15" t="inlineStr">
        <is>
          <t>0788</t>
        </is>
      </c>
      <c r="E54" s="62" t="n">
        <v>0</v>
      </c>
      <c r="F54" s="62" t="n">
        <v>36.047</v>
      </c>
      <c r="G54" s="62" t="n">
        <v>0</v>
      </c>
      <c r="H54" s="62" t="n">
        <v>83.63059699999999</v>
      </c>
      <c r="I54" s="62" t="n">
        <v>0</v>
      </c>
      <c r="J54" s="62" t="e">
        <v>#DIV/0!</v>
      </c>
    </row>
    <row r="55">
      <c r="A55" s="352" t="inlineStr">
        <is>
          <t>NMPL TVSM|SANDHAR ENGINEERING PVT LTD.</t>
        </is>
      </c>
      <c r="B55" s="352" t="inlineStr">
        <is>
          <t>595|610</t>
        </is>
      </c>
      <c r="C55" s="15" t="inlineStr">
        <is>
          <t>28.58-0-1.2-ERW 1-PE</t>
        </is>
      </c>
      <c r="D55" s="15" t="inlineStr">
        <is>
          <t>0789</t>
        </is>
      </c>
      <c r="E55" s="62" t="n">
        <v>0</v>
      </c>
      <c r="F55" s="62" t="n">
        <v>2.52525</v>
      </c>
      <c r="G55" s="62" t="n">
        <v>1.977477</v>
      </c>
      <c r="H55" s="62" t="n">
        <v>0.1009000000000002</v>
      </c>
      <c r="I55" s="62" t="n">
        <v>5.888</v>
      </c>
      <c r="J55" s="62" t="e">
        <v>#DIV/0!</v>
      </c>
    </row>
    <row r="56">
      <c r="A56" s="352" t="inlineStr">
        <is>
          <t>ELKAYEM AUTO</t>
        </is>
      </c>
      <c r="B56" s="352" t="inlineStr">
        <is>
          <t>215|414</t>
        </is>
      </c>
      <c r="C56" s="15" t="inlineStr">
        <is>
          <t>28.58-0-1.6-ERW 1-FC</t>
        </is>
      </c>
      <c r="D56" s="15" t="inlineStr">
        <is>
          <t>0789</t>
        </is>
      </c>
      <c r="E56" s="62" t="n">
        <v>8.454925662271998</v>
      </c>
      <c r="F56" s="62" t="n">
        <v>9.831706000000001</v>
      </c>
      <c r="G56" s="62" t="n">
        <v>2.296596</v>
      </c>
      <c r="H56" s="62" t="n">
        <v>0</v>
      </c>
      <c r="I56" s="62" t="n">
        <v>11.99</v>
      </c>
      <c r="J56" s="62" t="n">
        <v>42.54324808615075</v>
      </c>
    </row>
    <row r="57">
      <c r="A57" s="352" t="inlineStr">
        <is>
          <t>SRIKAM HITECH</t>
        </is>
      </c>
      <c r="B57" s="352" t="inlineStr">
        <is>
          <t>6000</t>
        </is>
      </c>
      <c r="C57" s="15" t="inlineStr">
        <is>
          <t>28.58-0-1.6-ERW 1-PE</t>
        </is>
      </c>
      <c r="D57" s="15" t="inlineStr">
        <is>
          <t>0789</t>
        </is>
      </c>
      <c r="E57" s="62" t="n">
        <v>0</v>
      </c>
      <c r="F57" s="62" t="n">
        <v>0</v>
      </c>
      <c r="G57" s="62" t="n">
        <v>0</v>
      </c>
      <c r="H57" s="62" t="n">
        <v>0</v>
      </c>
      <c r="I57" s="62" t="n">
        <v>0</v>
      </c>
      <c r="J57" s="62" t="e">
        <v>#DIV/0!</v>
      </c>
    </row>
    <row r="58">
      <c r="A58" s="352" t="inlineStr">
        <is>
          <t>ELKAYEM AUTO</t>
        </is>
      </c>
      <c r="B58" s="352" t="inlineStr">
        <is>
          <t>469|475</t>
        </is>
      </c>
      <c r="C58" s="15" t="inlineStr">
        <is>
          <t>28.58-0-2-ERW 1-FC</t>
        </is>
      </c>
      <c r="D58" s="15" t="inlineStr">
        <is>
          <t>0789</t>
        </is>
      </c>
      <c r="E58" s="62" t="n">
        <v>6.224118989999998</v>
      </c>
      <c r="F58" s="62" t="n">
        <v>10.025404</v>
      </c>
      <c r="G58" s="62" t="n">
        <v>5.847028000000001</v>
      </c>
      <c r="H58" s="62" t="n">
        <v>4.677461</v>
      </c>
      <c r="I58" s="62" t="n">
        <v>7.87</v>
      </c>
      <c r="J58" s="62" t="n">
        <v>60.47825091467284</v>
      </c>
    </row>
    <row r="59">
      <c r="A59" s="352" t="e">
        <v>#VALUE!</v>
      </c>
      <c r="B59" s="352" t="e">
        <v>#VALUE!</v>
      </c>
      <c r="C59" s="15" t="inlineStr">
        <is>
          <t>28.58-0-3.2-ERW 1-FC</t>
        </is>
      </c>
      <c r="D59" s="15" t="inlineStr">
        <is>
          <t>0789</t>
        </is>
      </c>
      <c r="E59" s="62" t="n">
        <v>0</v>
      </c>
      <c r="F59" s="62" t="n">
        <v>0</v>
      </c>
      <c r="G59" s="62" t="n">
        <v>0</v>
      </c>
      <c r="H59" s="62" t="n">
        <v>0</v>
      </c>
      <c r="I59" s="62" t="n">
        <v>0</v>
      </c>
      <c r="J59" s="62" t="e">
        <v>#DIV/0!</v>
      </c>
    </row>
    <row r="60">
      <c r="A60" s="352" t="inlineStr">
        <is>
          <t>ELKAYEM AUTO|Marathwada</t>
        </is>
      </c>
      <c r="B60" s="352" t="inlineStr">
        <is>
          <t>209|1000</t>
        </is>
      </c>
      <c r="C60" s="15" t="inlineStr">
        <is>
          <t>28.6-0-2.65-CEW-CEW</t>
        </is>
      </c>
      <c r="D60" s="15" t="inlineStr">
        <is>
          <t>0788</t>
        </is>
      </c>
      <c r="E60" s="62" t="n">
        <v>13.712955369675</v>
      </c>
      <c r="F60" s="62" t="n">
        <v>18.584526</v>
      </c>
      <c r="G60" s="62" t="n">
        <v>1.728399</v>
      </c>
      <c r="H60" s="62" t="n">
        <v>0.9506820000000002</v>
      </c>
      <c r="I60" s="62" t="n">
        <v>0</v>
      </c>
      <c r="J60" s="62" t="n">
        <v>2.079818626338601</v>
      </c>
    </row>
    <row r="61">
      <c r="A61" s="352" t="inlineStr">
        <is>
          <t>ELKAYEM AUTO</t>
        </is>
      </c>
      <c r="B61" s="352" t="inlineStr">
        <is>
          <t>1000</t>
        </is>
      </c>
      <c r="C61" s="15" t="inlineStr">
        <is>
          <t>29.28-0-3.4-CEW-CEW</t>
        </is>
      </c>
      <c r="D61" s="15" t="inlineStr">
        <is>
          <t>0788</t>
        </is>
      </c>
      <c r="E61" s="62" t="n">
        <v>0</v>
      </c>
      <c r="F61" s="62" t="n">
        <v>0</v>
      </c>
      <c r="G61" s="62" t="n">
        <v>0</v>
      </c>
      <c r="H61" s="62" t="n">
        <v>2.338224</v>
      </c>
      <c r="I61" s="62" t="n">
        <v>0</v>
      </c>
      <c r="J61" s="62" t="e">
        <v>#DIV/0!</v>
      </c>
    </row>
    <row r="62">
      <c r="A62" s="352" t="inlineStr">
        <is>
          <t>KAY JAY|Narasipur Auto Component(P)Ltd</t>
        </is>
      </c>
      <c r="B62" s="352" t="inlineStr">
        <is>
          <t>357|360|361|5200</t>
        </is>
      </c>
      <c r="C62" s="15" t="inlineStr">
        <is>
          <t>29.4-20.4-4.5-CEW-CEW</t>
        </is>
      </c>
      <c r="D62" s="15" t="inlineStr">
        <is>
          <t>0788</t>
        </is>
      </c>
      <c r="E62" s="62" t="n">
        <v>44.37025202925</v>
      </c>
      <c r="F62" s="62" t="n">
        <v>31.88909200000001</v>
      </c>
      <c r="G62" s="62" t="n">
        <v>4.986885</v>
      </c>
      <c r="H62" s="62" t="n">
        <v>19.41366199999999</v>
      </c>
      <c r="I62" s="62" t="n">
        <v>0</v>
      </c>
      <c r="J62" s="62" t="n">
        <v>13.12613369011428</v>
      </c>
    </row>
    <row r="63">
      <c r="A63" s="352" t="inlineStr">
        <is>
          <t>KAY JAY</t>
        </is>
      </c>
      <c r="B63" s="352" t="inlineStr">
        <is>
          <t>361|363|376|385|450</t>
        </is>
      </c>
      <c r="C63" s="15" t="inlineStr">
        <is>
          <t>29.4-20.4-4.5-CEW STKM 13C-CEW</t>
        </is>
      </c>
      <c r="D63" s="15" t="inlineStr">
        <is>
          <t>0788</t>
        </is>
      </c>
      <c r="E63" s="62" t="n">
        <v>51.15767153512499</v>
      </c>
      <c r="F63" s="62" t="n">
        <v>1.179265</v>
      </c>
      <c r="G63" s="62" t="n">
        <v>0</v>
      </c>
      <c r="H63" s="62" t="n">
        <v>102.42428</v>
      </c>
      <c r="I63" s="62" t="n">
        <v>0</v>
      </c>
      <c r="J63" s="62" t="n">
        <v>60.06388304616753</v>
      </c>
    </row>
    <row r="64" ht="30" customHeight="1" s="584">
      <c r="A64" s="352" t="inlineStr">
        <is>
          <t>Marathwada v7|SRI BALAJI GEARS V4|SRI BALAJI GEARS V7|Balaji Gears V3</t>
        </is>
      </c>
      <c r="B64" s="352" t="inlineStr">
        <is>
          <t>140|190|220</t>
        </is>
      </c>
      <c r="C64" s="15" t="inlineStr">
        <is>
          <t>30-30-1.2-CRFH-PE</t>
        </is>
      </c>
      <c r="D64" s="15" t="inlineStr">
        <is>
          <t>0789</t>
        </is>
      </c>
      <c r="E64" s="62" t="n">
        <v>6.2431381584</v>
      </c>
      <c r="F64" s="62" t="n">
        <v>3.970114999999999</v>
      </c>
      <c r="G64" s="62" t="n">
        <v>1.003563</v>
      </c>
      <c r="H64" s="62" t="n">
        <v>0</v>
      </c>
      <c r="I64" s="62" t="n">
        <v>22.942</v>
      </c>
      <c r="J64" s="62" t="n">
        <v>110.2426347996099</v>
      </c>
    </row>
    <row r="65">
      <c r="A65" s="352" t="inlineStr">
        <is>
          <t>Marathwada|Rajsriya Unit 1</t>
        </is>
      </c>
      <c r="B65" s="352" t="inlineStr">
        <is>
          <t>465|485</t>
        </is>
      </c>
      <c r="C65" s="15" t="inlineStr">
        <is>
          <t>30-25.5-2.25-CEW-CEW</t>
        </is>
      </c>
      <c r="D65" s="15" t="inlineStr">
        <is>
          <t>0788</t>
        </is>
      </c>
      <c r="E65" s="62" t="n">
        <v>45.02762237250001</v>
      </c>
      <c r="F65" s="62" t="n">
        <v>27.335821</v>
      </c>
      <c r="G65" s="62" t="n">
        <v>1.479173</v>
      </c>
      <c r="H65" s="62" t="n">
        <v>13.385093</v>
      </c>
      <c r="I65" s="62" t="n">
        <v>0</v>
      </c>
      <c r="J65" s="62" t="n">
        <v>8.917921241278838</v>
      </c>
    </row>
    <row r="66" ht="30" customHeight="1" s="584">
      <c r="A66" s="352" t="inlineStr">
        <is>
          <t>NMPL TVSM|Rajsriya Unit 4|Rajsriya Unit 2|Rajsriya Automotive|SANDHAR ENGINEERING PVT LTD.</t>
        </is>
      </c>
      <c r="B66" s="352" t="inlineStr">
        <is>
          <t>210|598|600|657|670|680|1000</t>
        </is>
      </c>
      <c r="C66" s="15" t="inlineStr">
        <is>
          <t>31.75-0-1.2-ERW 1-FC</t>
        </is>
      </c>
      <c r="D66" s="15" t="inlineStr">
        <is>
          <t>0789</t>
        </is>
      </c>
      <c r="E66" s="62" t="n">
        <v>0</v>
      </c>
      <c r="F66" s="62" t="n">
        <v>1.055643</v>
      </c>
      <c r="G66" s="62" t="n">
        <v>0.8920060000000001</v>
      </c>
      <c r="H66" s="62" t="n">
        <v>0</v>
      </c>
      <c r="I66" s="62" t="n">
        <v>0</v>
      </c>
      <c r="J66" s="62" t="e">
        <v>#DIV/0!</v>
      </c>
    </row>
    <row r="67">
      <c r="A67" s="352" t="e">
        <v>#VALUE!</v>
      </c>
      <c r="B67" s="352" t="e">
        <v>#VALUE!</v>
      </c>
      <c r="C67" s="15" t="inlineStr">
        <is>
          <t>31.75-0-1.2-ERW 1-PE</t>
        </is>
      </c>
      <c r="D67" s="15" t="inlineStr">
        <is>
          <t>0789</t>
        </is>
      </c>
      <c r="E67" s="62" t="n">
        <v>0</v>
      </c>
      <c r="F67" s="62" t="n">
        <v>2.782371</v>
      </c>
      <c r="G67" s="62" t="n">
        <v>7.149773</v>
      </c>
      <c r="H67" s="62" t="n">
        <v>16.84588</v>
      </c>
      <c r="I67" s="62" t="n">
        <v>0</v>
      </c>
      <c r="J67" s="62" t="e">
        <v>#DIV/0!</v>
      </c>
    </row>
    <row r="68">
      <c r="A68" s="352" t="inlineStr">
        <is>
          <t>SANDHAR ENGINEERING PVT LTD.</t>
        </is>
      </c>
      <c r="B68" s="352" t="inlineStr">
        <is>
          <t>658</t>
        </is>
      </c>
      <c r="C68" s="15" t="inlineStr">
        <is>
          <t>31.75-0-1.6-ERW 1-FC</t>
        </is>
      </c>
      <c r="D68" s="15" t="inlineStr">
        <is>
          <t>0789</t>
        </is>
      </c>
      <c r="E68" s="62" t="n">
        <v>0</v>
      </c>
      <c r="F68" s="62" t="n">
        <v>0</v>
      </c>
      <c r="G68" s="62" t="n">
        <v>0.013464</v>
      </c>
      <c r="H68" s="62" t="n">
        <v>0</v>
      </c>
      <c r="I68" s="62" t="n">
        <v>1.961</v>
      </c>
      <c r="J68" s="62" t="e">
        <v>#DIV/0!</v>
      </c>
    </row>
    <row r="69">
      <c r="A69" s="352" t="inlineStr">
        <is>
          <t>Rucha</t>
        </is>
      </c>
      <c r="B69" s="352" t="inlineStr">
        <is>
          <t>193</t>
        </is>
      </c>
      <c r="C69" s="15" t="inlineStr">
        <is>
          <t>31.75-0-2.3-ERW 1-FC</t>
        </is>
      </c>
      <c r="D69" s="15" t="n">
        <v>0</v>
      </c>
      <c r="E69" s="62" t="n">
        <v>0</v>
      </c>
      <c r="F69" s="62" t="n">
        <v>0</v>
      </c>
      <c r="G69" s="62" t="n">
        <v>0</v>
      </c>
      <c r="H69" s="62" t="n">
        <v>1.83</v>
      </c>
      <c r="I69" s="62" t="n">
        <v>0</v>
      </c>
      <c r="J69" s="62" t="e">
        <v>#DIV/0!</v>
      </c>
    </row>
    <row r="70">
      <c r="A70" s="352" t="inlineStr">
        <is>
          <t xml:space="preserve">Rajsriya Unit 5|Rajsriya Mysore </t>
        </is>
      </c>
      <c r="B70" s="352" t="inlineStr">
        <is>
          <t>1000</t>
        </is>
      </c>
      <c r="C70" s="15" t="inlineStr">
        <is>
          <t>31.75-0-2.5-ERW 1-FC</t>
        </is>
      </c>
      <c r="D70" s="15" t="inlineStr">
        <is>
          <t>0789</t>
        </is>
      </c>
      <c r="E70" s="62" t="n">
        <v>0</v>
      </c>
      <c r="F70" s="62" t="n">
        <v>6.540047</v>
      </c>
      <c r="G70" s="62" t="n">
        <v>0.9024850000000001</v>
      </c>
      <c r="H70" s="62" t="n">
        <v>5.039681999999999</v>
      </c>
      <c r="I70" s="62" t="n">
        <v>0</v>
      </c>
      <c r="J70" s="62" t="e">
        <v>#DIV/0!</v>
      </c>
    </row>
    <row r="71">
      <c r="A71" s="352" t="inlineStr">
        <is>
          <t xml:space="preserve">ELKAYEM AUTO|Sandhar Engg Mysore </t>
        </is>
      </c>
      <c r="B71" s="352" t="inlineStr">
        <is>
          <t>1000</t>
        </is>
      </c>
      <c r="C71" s="15" t="inlineStr">
        <is>
          <t>31.75-25-3.37-CEW-CEW</t>
        </is>
      </c>
      <c r="D71" s="15" t="inlineStr">
        <is>
          <t>0788</t>
        </is>
      </c>
      <c r="E71" s="62" t="n">
        <v>3.5361677241</v>
      </c>
      <c r="F71" s="62" t="n">
        <v>8.555073</v>
      </c>
      <c r="G71" s="62" t="n">
        <v>0</v>
      </c>
      <c r="H71" s="62" t="n">
        <v>0.053089</v>
      </c>
      <c r="I71" s="62" t="n">
        <v>0</v>
      </c>
      <c r="J71" s="62" t="n">
        <v>0.450394360297306</v>
      </c>
    </row>
    <row r="72">
      <c r="A72" s="352" t="e">
        <v>#VALUE!</v>
      </c>
      <c r="B72" s="352" t="e">
        <v>#VALUE!</v>
      </c>
      <c r="C72" s="15" t="inlineStr">
        <is>
          <t>32-0-4.5-CEW-CEW</t>
        </is>
      </c>
      <c r="D72" s="15" t="inlineStr">
        <is>
          <t>0788</t>
        </is>
      </c>
      <c r="E72" s="62" t="n">
        <v>0</v>
      </c>
      <c r="F72" s="62" t="n">
        <v>0</v>
      </c>
      <c r="G72" s="62" t="n">
        <v>0</v>
      </c>
      <c r="H72" s="62" t="n">
        <v>0</v>
      </c>
      <c r="I72" s="62" t="n">
        <v>0</v>
      </c>
      <c r="J72" s="62" t="e">
        <v>#DIV/0!</v>
      </c>
    </row>
    <row r="73">
      <c r="A73" s="352" t="inlineStr">
        <is>
          <t>SANDHAR ENGINEERING PVT LTD.</t>
        </is>
      </c>
      <c r="B73" s="352" t="inlineStr">
        <is>
          <t>1000</t>
        </is>
      </c>
      <c r="C73" s="15" t="inlineStr">
        <is>
          <t>33.3-29.3-2-CEW-CEW</t>
        </is>
      </c>
      <c r="D73" s="15" t="inlineStr">
        <is>
          <t>0788</t>
        </is>
      </c>
      <c r="E73" s="62" t="n">
        <v>0</v>
      </c>
      <c r="F73" s="62" t="n">
        <v>0</v>
      </c>
      <c r="G73" s="62" t="n">
        <v>0</v>
      </c>
      <c r="H73" s="62" t="n">
        <v>0</v>
      </c>
      <c r="I73" s="62" t="n">
        <v>0</v>
      </c>
      <c r="J73" s="62" t="e">
        <v>#DIV/0!</v>
      </c>
    </row>
    <row r="74">
      <c r="A74" s="352" t="inlineStr">
        <is>
          <t>KNITVEL NEEDLES P LTD|NMPL HUB</t>
        </is>
      </c>
      <c r="B74" s="352" t="inlineStr">
        <is>
          <t>390|1000</t>
        </is>
      </c>
      <c r="C74" s="15" t="inlineStr">
        <is>
          <t>34.93-0-1.2-ERW 1-FC</t>
        </is>
      </c>
      <c r="D74" s="15" t="inlineStr">
        <is>
          <t>0789</t>
        </is>
      </c>
      <c r="E74" s="62" t="n">
        <v>0</v>
      </c>
      <c r="F74" s="62" t="n">
        <v>0</v>
      </c>
      <c r="G74" s="62" t="n">
        <v>0</v>
      </c>
      <c r="H74" s="62" t="n">
        <v>0</v>
      </c>
      <c r="I74" s="62" t="n">
        <v>0</v>
      </c>
      <c r="J74" s="62" t="e">
        <v>#DIV/0!</v>
      </c>
    </row>
    <row r="75">
      <c r="A75" s="352" t="inlineStr">
        <is>
          <t xml:space="preserve">ELKAYEM AUTO|ELKAYEM AUTO MYSORE </t>
        </is>
      </c>
      <c r="B75" s="352" t="inlineStr">
        <is>
          <t>1726</t>
        </is>
      </c>
      <c r="C75" s="15" t="inlineStr">
        <is>
          <t>34.93-0-1.6-ERW 1-FC</t>
        </is>
      </c>
      <c r="D75" s="15" t="inlineStr">
        <is>
          <t>0789</t>
        </is>
      </c>
      <c r="E75" s="62" t="n">
        <v>7.260146275430399</v>
      </c>
      <c r="F75" s="62" t="n">
        <v>3.61089</v>
      </c>
      <c r="G75" s="62" t="n">
        <v>2.050608</v>
      </c>
      <c r="H75" s="62" t="n">
        <v>0</v>
      </c>
      <c r="I75" s="62" t="n">
        <v>0</v>
      </c>
      <c r="J75" s="62" t="n">
        <v>0</v>
      </c>
    </row>
    <row r="76">
      <c r="A76" s="352" t="inlineStr">
        <is>
          <t xml:space="preserve">ELKAYEM AUTO MYSORE </t>
        </is>
      </c>
      <c r="B76" s="352" t="inlineStr">
        <is>
          <t>1721</t>
        </is>
      </c>
      <c r="C76" s="15" t="inlineStr">
        <is>
          <t>34.93-0-2.6-ERW 1-FC</t>
        </is>
      </c>
      <c r="D76" s="15" t="inlineStr">
        <is>
          <t>0789</t>
        </is>
      </c>
      <c r="E76" s="62" t="n">
        <v>12.8369464195752</v>
      </c>
      <c r="F76" s="62" t="n">
        <v>10.323</v>
      </c>
      <c r="G76" s="62" t="n">
        <v>6.072712000000001</v>
      </c>
      <c r="H76" s="62" t="n">
        <v>0.7590000000000003</v>
      </c>
      <c r="I76" s="62" t="n">
        <v>0</v>
      </c>
      <c r="J76" s="62" t="n">
        <v>1.773786323924963</v>
      </c>
    </row>
    <row r="77">
      <c r="A77" s="352" t="inlineStr">
        <is>
          <t xml:space="preserve">ELKAYEM AUTO MYSORE </t>
        </is>
      </c>
      <c r="B77" s="352" t="inlineStr">
        <is>
          <t>295</t>
        </is>
      </c>
      <c r="C77" s="15" t="inlineStr">
        <is>
          <t>37.6-31.2-3.2-CEW-CEW</t>
        </is>
      </c>
      <c r="D77" s="15" t="inlineStr">
        <is>
          <t>0788</t>
        </is>
      </c>
      <c r="E77" s="62" t="n">
        <v>0</v>
      </c>
      <c r="F77" s="62" t="n">
        <v>0</v>
      </c>
      <c r="G77" s="62" t="n">
        <v>0</v>
      </c>
      <c r="H77" s="62" t="n">
        <v>0</v>
      </c>
      <c r="I77" s="62" t="n">
        <v>0</v>
      </c>
      <c r="J77" s="62" t="e">
        <v>#DIV/0!</v>
      </c>
    </row>
    <row r="78">
      <c r="A78" s="352" t="inlineStr">
        <is>
          <t>NMPL HUB|NMPL TVSM</t>
        </is>
      </c>
      <c r="B78" s="352" t="inlineStr">
        <is>
          <t>940|1000</t>
        </is>
      </c>
      <c r="C78" s="15" t="inlineStr">
        <is>
          <t>37.95-32-2.95-CEW-CEW</t>
        </is>
      </c>
      <c r="D78" s="15" t="inlineStr">
        <is>
          <t>0788</t>
        </is>
      </c>
      <c r="E78" s="62" t="n">
        <v>0</v>
      </c>
      <c r="F78" s="62" t="n">
        <v>0</v>
      </c>
      <c r="G78" s="62" t="n">
        <v>0</v>
      </c>
      <c r="H78" s="62" t="n">
        <v>27.475126</v>
      </c>
      <c r="I78" s="62" t="n">
        <v>0</v>
      </c>
      <c r="J78" s="62" t="e">
        <v>#DIV/0!</v>
      </c>
    </row>
    <row r="79">
      <c r="A79" s="352" t="inlineStr">
        <is>
          <t>Metalman|RUCHA</t>
        </is>
      </c>
      <c r="B79" s="352" t="inlineStr">
        <is>
          <t>875|878|930|1000</t>
        </is>
      </c>
      <c r="C79" s="15" t="inlineStr">
        <is>
          <t>38.1-0-1.6-ERW 2 MAHS-FC</t>
        </is>
      </c>
      <c r="D79" s="15" t="inlineStr">
        <is>
          <t>0789</t>
        </is>
      </c>
      <c r="E79" s="62" t="n">
        <v>10.1110592384</v>
      </c>
      <c r="F79" s="62" t="n">
        <v>0</v>
      </c>
      <c r="G79" s="62" t="n">
        <v>0</v>
      </c>
      <c r="H79" s="62" t="n">
        <v>0.371211</v>
      </c>
      <c r="I79" s="62" t="n">
        <v>3.142</v>
      </c>
      <c r="J79" s="62" t="n">
        <v>10.42386633437212</v>
      </c>
    </row>
    <row r="80">
      <c r="A80" s="352" t="inlineStr">
        <is>
          <t>Metalman|NMPL TVSM|NMPL HUB</t>
        </is>
      </c>
      <c r="B80" s="352" t="inlineStr">
        <is>
          <t>488|812|815|821</t>
        </is>
      </c>
      <c r="C80" s="15" t="inlineStr">
        <is>
          <t>38.1-0-1.6-ERW 1-FC</t>
        </is>
      </c>
      <c r="D80" s="15" t="inlineStr">
        <is>
          <t>0789</t>
        </is>
      </c>
      <c r="E80" s="62" t="n">
        <v>3.5454924408</v>
      </c>
      <c r="F80" s="62" t="n">
        <v>0</v>
      </c>
      <c r="G80" s="62" t="n">
        <v>4.636032</v>
      </c>
      <c r="H80" s="62" t="n">
        <v>8.149357000000002</v>
      </c>
      <c r="I80" s="62" t="n">
        <v>0</v>
      </c>
      <c r="J80" s="62" t="n">
        <v>68.95536066770904</v>
      </c>
    </row>
    <row r="81" ht="30" customHeight="1" s="584">
      <c r="A81" s="352" t="inlineStr">
        <is>
          <t xml:space="preserve">NMPL HUB|NMPL TVSM|RUCHA|SANDHAR ENGINEERING PVT LTD.|Sandhar Engg Mysore </t>
        </is>
      </c>
      <c r="B81" s="352" t="inlineStr">
        <is>
          <t>278|406|410|425|432|488|494|812|1000</t>
        </is>
      </c>
      <c r="C81" s="15" t="inlineStr">
        <is>
          <t>38.1-0-2-ERW 1-FC</t>
        </is>
      </c>
      <c r="D81" s="15" t="inlineStr">
        <is>
          <t>0789</t>
        </is>
      </c>
      <c r="E81" s="62" t="n">
        <v>0</v>
      </c>
      <c r="F81" s="62" t="n">
        <v>68.22758900000001</v>
      </c>
      <c r="G81" s="62" t="n">
        <v>14.774404</v>
      </c>
      <c r="H81" s="62" t="n">
        <v>85.28179600000001</v>
      </c>
      <c r="I81" s="62" t="n">
        <v>1.995</v>
      </c>
      <c r="J81" s="62" t="e">
        <v>#DIV/0!</v>
      </c>
    </row>
    <row r="82">
      <c r="A82" s="352" t="inlineStr">
        <is>
          <t>Metalman|RUCHA</t>
        </is>
      </c>
      <c r="B82" s="352" t="inlineStr">
        <is>
          <t>875|878|1000</t>
        </is>
      </c>
      <c r="C82" s="15" t="inlineStr">
        <is>
          <t>38.1-0-2.5-ERW 2 MAHS-FC</t>
        </is>
      </c>
      <c r="D82" s="15" t="inlineStr">
        <is>
          <t>056</t>
        </is>
      </c>
      <c r="E82" s="62" t="n">
        <v>15.408977264</v>
      </c>
      <c r="F82" s="62" t="n">
        <v>0</v>
      </c>
      <c r="G82" s="62" t="n">
        <v>0</v>
      </c>
      <c r="H82" s="62" t="n">
        <v>0.58</v>
      </c>
      <c r="I82" s="62" t="n">
        <v>0</v>
      </c>
      <c r="J82" s="62" t="n">
        <v>1.129211867983712</v>
      </c>
    </row>
    <row r="83">
      <c r="A83" s="352" t="inlineStr">
        <is>
          <t>Marathwada</t>
        </is>
      </c>
      <c r="B83" s="352" t="inlineStr">
        <is>
          <t>201</t>
        </is>
      </c>
      <c r="C83" s="15" t="inlineStr">
        <is>
          <t>38.1-0-3.66-ERW 1-FC</t>
        </is>
      </c>
      <c r="D83" s="15" t="inlineStr">
        <is>
          <t>0788</t>
        </is>
      </c>
      <c r="E83" s="62" t="n">
        <v>0</v>
      </c>
      <c r="F83" s="62" t="n">
        <v>0</v>
      </c>
      <c r="G83" s="62" t="n">
        <v>0</v>
      </c>
      <c r="H83" s="62" t="n">
        <v>0</v>
      </c>
      <c r="I83" s="62" t="n">
        <v>0</v>
      </c>
      <c r="J83" s="62" t="e">
        <v>#DIV/0!</v>
      </c>
    </row>
    <row r="84">
      <c r="A84" s="352" t="inlineStr">
        <is>
          <t>Marathwada|Rajsriya Unit 1</t>
        </is>
      </c>
      <c r="B84" s="352" t="inlineStr">
        <is>
          <t>272</t>
        </is>
      </c>
      <c r="C84" s="15" t="inlineStr">
        <is>
          <t>39-34-2.5-CEW-CEW</t>
        </is>
      </c>
      <c r="D84" s="15" t="inlineStr">
        <is>
          <t>0788</t>
        </is>
      </c>
      <c r="E84" s="62" t="n">
        <v>36.7072908</v>
      </c>
      <c r="F84" s="62" t="n">
        <v>18.92916</v>
      </c>
      <c r="G84" s="62" t="n">
        <v>1.098452</v>
      </c>
      <c r="H84" s="62" t="n">
        <v>7.421168</v>
      </c>
      <c r="I84" s="62" t="n">
        <v>0</v>
      </c>
      <c r="J84" s="62" t="n">
        <v>6.065144965697114</v>
      </c>
    </row>
    <row r="85" ht="30" customHeight="1" s="584">
      <c r="A85" s="352" t="inlineStr">
        <is>
          <t>Marathwada v7|Marathwada|SRI BALAJI GEARS V4|SRI BALAJI GEARS V7|Balaji Gears V3</t>
        </is>
      </c>
      <c r="B85" s="352" t="inlineStr">
        <is>
          <t>95|110|120|130|140|710|755|800|860|1000|1120|1246|1298|1310</t>
        </is>
      </c>
      <c r="C85" s="15" t="inlineStr">
        <is>
          <t>40-20-1.2-CRFH-PE</t>
        </is>
      </c>
      <c r="D85" s="15" t="inlineStr">
        <is>
          <t>0789</t>
        </is>
      </c>
      <c r="E85" s="62" t="n">
        <v>227.66607435708</v>
      </c>
      <c r="F85" s="62" t="n">
        <v>140.4007079999999</v>
      </c>
      <c r="G85" s="62" t="n">
        <v>17.36297799999999</v>
      </c>
      <c r="H85" s="62" t="n">
        <v>31.07967100000001</v>
      </c>
      <c r="I85" s="62" t="n">
        <v>129.152</v>
      </c>
      <c r="J85" s="62" t="n">
        <v>21.11403793285687</v>
      </c>
    </row>
    <row r="86" ht="30" customHeight="1" s="584">
      <c r="A86" s="352" t="inlineStr">
        <is>
          <t>Marathwada|SRI BALAJI GEARS V4|SRI BALAJI GEARS V7|Balaji Gears V3</t>
        </is>
      </c>
      <c r="B86" s="352" t="inlineStr">
        <is>
          <t>85|115|125|140|158|1000</t>
        </is>
      </c>
      <c r="C86" s="15" t="inlineStr">
        <is>
          <t>40-40-1.2-CRFH-PE</t>
        </is>
      </c>
      <c r="D86" s="15" t="inlineStr">
        <is>
          <t>0789</t>
        </is>
      </c>
      <c r="E86" s="62" t="n">
        <v>8.17619555904</v>
      </c>
      <c r="F86" s="62" t="n">
        <v>13.346468</v>
      </c>
      <c r="G86" s="62" t="n">
        <v>1.228672</v>
      </c>
      <c r="H86" s="62" t="n">
        <v>1.450949</v>
      </c>
      <c r="I86" s="62" t="n">
        <v>10.451</v>
      </c>
      <c r="J86" s="62" t="n">
        <v>43.67049044041257</v>
      </c>
    </row>
    <row r="87">
      <c r="A87" s="352" t="inlineStr">
        <is>
          <t>ELKAYEM AUTO|Marathwada</t>
        </is>
      </c>
      <c r="B87" s="352" t="inlineStr">
        <is>
          <t>356|480|1000</t>
        </is>
      </c>
      <c r="C87" s="15" t="inlineStr">
        <is>
          <t>40-20-1.6-ERW 1-FC</t>
        </is>
      </c>
      <c r="D87" s="15" t="inlineStr">
        <is>
          <t>0789</t>
        </is>
      </c>
      <c r="E87" s="62" t="n">
        <v>16.1339339328</v>
      </c>
      <c r="F87" s="62" t="n">
        <v>13.871108</v>
      </c>
      <c r="G87" s="62" t="n">
        <v>5.578595</v>
      </c>
      <c r="H87" s="62" t="n">
        <v>0.2749949999999997</v>
      </c>
      <c r="I87" s="62" t="n">
        <v>1.27</v>
      </c>
      <c r="J87" s="62" t="n">
        <v>2.87281763970606</v>
      </c>
    </row>
    <row r="88">
      <c r="A88" s="352" t="e">
        <v>#VALUE!</v>
      </c>
      <c r="B88" s="352" t="e">
        <v>#VALUE!</v>
      </c>
      <c r="C88" s="15" t="inlineStr">
        <is>
          <t>40-25-1.6-CRFH-FC</t>
        </is>
      </c>
      <c r="D88" s="15" t="inlineStr">
        <is>
          <t>0789</t>
        </is>
      </c>
      <c r="E88" s="62" t="n">
        <v>0</v>
      </c>
      <c r="F88" s="62" t="n">
        <v>0</v>
      </c>
      <c r="G88" s="62" t="n">
        <v>0</v>
      </c>
      <c r="H88" s="62" t="n">
        <v>0</v>
      </c>
      <c r="I88" s="62" t="n">
        <v>0</v>
      </c>
      <c r="J88" s="62" t="e">
        <v>#DIV/0!</v>
      </c>
    </row>
    <row r="89">
      <c r="A89" s="352" t="e">
        <v>#VALUE!</v>
      </c>
      <c r="B89" s="352" t="e">
        <v>#VALUE!</v>
      </c>
      <c r="C89" s="15" t="inlineStr">
        <is>
          <t>40-25-1.6-ERW 2-FC</t>
        </is>
      </c>
      <c r="D89" s="15" t="inlineStr">
        <is>
          <t>0789</t>
        </is>
      </c>
      <c r="E89" s="62" t="n">
        <v>0</v>
      </c>
      <c r="F89" s="62" t="n">
        <v>0</v>
      </c>
      <c r="G89" s="62" t="n">
        <v>0</v>
      </c>
      <c r="H89" s="62" t="n">
        <v>0</v>
      </c>
      <c r="I89" s="62" t="n">
        <v>0</v>
      </c>
      <c r="J89" s="62" t="e">
        <v>#DIV/0!</v>
      </c>
    </row>
    <row r="90" ht="45" customHeight="1" s="584">
      <c r="A90" s="352" t="inlineStr">
        <is>
          <t xml:space="preserve">ELKAYEM AUTO|Marathwada|Metalman|RUCHA|SANDHAR ENGINEERING PVT LTD.|Sandhar Engg Mysore </t>
        </is>
      </c>
      <c r="B90" s="352" t="inlineStr">
        <is>
          <t>318|322|513|514|536|538|560|561|585|587</t>
        </is>
      </c>
      <c r="C90" s="15" t="inlineStr">
        <is>
          <t>40-25-1.6-ERW 1-FC</t>
        </is>
      </c>
      <c r="D90" s="15" t="inlineStr">
        <is>
          <t>0789</t>
        </is>
      </c>
      <c r="E90" s="62" t="n">
        <v>87.86062773452802</v>
      </c>
      <c r="F90" s="62" t="n">
        <v>78.58418600000002</v>
      </c>
      <c r="G90" s="62" t="n">
        <v>0.822098</v>
      </c>
      <c r="H90" s="62" t="n">
        <v>0.618274</v>
      </c>
      <c r="I90" s="62" t="n">
        <v>0</v>
      </c>
      <c r="J90" s="62" t="n">
        <v>0.2111095775008992</v>
      </c>
    </row>
    <row r="91" ht="30" customHeight="1" s="584">
      <c r="A91" s="352" t="inlineStr">
        <is>
          <t>ELKAYEM AUTO|Metalman|Rajsriya Unit 8|Rajsriya Mysore |TVS MOTOR COMPANY LIMITED</t>
        </is>
      </c>
      <c r="B91" s="352" t="inlineStr">
        <is>
          <t>400|835|860|880|1000</t>
        </is>
      </c>
      <c r="C91" s="15" t="inlineStr">
        <is>
          <t>40-30-1.6-ERW 1-FC</t>
        </is>
      </c>
      <c r="D91" s="15" t="inlineStr">
        <is>
          <t>0789</t>
        </is>
      </c>
      <c r="E91" s="62" t="n">
        <v>27.1910612296</v>
      </c>
      <c r="F91" s="62" t="n">
        <v>45.846098</v>
      </c>
      <c r="G91" s="62" t="n">
        <v>1.030012</v>
      </c>
      <c r="H91" s="62" t="n">
        <v>0.9578629999999999</v>
      </c>
      <c r="I91" s="62" t="n">
        <v>0</v>
      </c>
      <c r="J91" s="62" t="n">
        <v>1.056813846188478</v>
      </c>
    </row>
    <row r="92">
      <c r="A92" s="352" t="inlineStr">
        <is>
          <t>ELKAYEM AUTO</t>
        </is>
      </c>
      <c r="B92" s="352" t="inlineStr">
        <is>
          <t>1000</t>
        </is>
      </c>
      <c r="C92" s="15" t="inlineStr">
        <is>
          <t>40-25-2-ERW 1-FC</t>
        </is>
      </c>
      <c r="D92" s="15" t="inlineStr">
        <is>
          <t>0789</t>
        </is>
      </c>
      <c r="E92" s="62" t="n">
        <v>0</v>
      </c>
      <c r="F92" s="62" t="n">
        <v>0</v>
      </c>
      <c r="G92" s="62" t="n">
        <v>0</v>
      </c>
      <c r="H92" s="62" t="n">
        <v>0</v>
      </c>
      <c r="I92" s="62" t="n">
        <v>0</v>
      </c>
      <c r="J92" s="62" t="e">
        <v>#DIV/0!</v>
      </c>
    </row>
    <row r="93" ht="45" customHeight="1" s="584">
      <c r="A93" s="352" t="inlineStr">
        <is>
          <t xml:space="preserve">ELKAYEM AUTO|ELKAYEM AUTO MYSORE |Marathwada|Metalman|Rajsriya Unit 8|Rajsriya Mysore </t>
        </is>
      </c>
      <c r="B93" s="352" t="inlineStr">
        <is>
          <t>149|162|870|880|1000</t>
        </is>
      </c>
      <c r="C93" s="15" t="inlineStr">
        <is>
          <t>40-30-2-ERW 1-FC</t>
        </is>
      </c>
      <c r="D93" s="15" t="inlineStr">
        <is>
          <t>0789</t>
        </is>
      </c>
      <c r="E93" s="62" t="n">
        <v>25.320520224945</v>
      </c>
      <c r="F93" s="62" t="n">
        <v>30.663664</v>
      </c>
      <c r="G93" s="62" t="n">
        <v>18.702346</v>
      </c>
      <c r="H93" s="62" t="n">
        <v>0</v>
      </c>
      <c r="I93" s="62" t="n">
        <v>26.636</v>
      </c>
      <c r="J93" s="62" t="n">
        <v>31.55859330302269</v>
      </c>
    </row>
    <row r="94" ht="30" customHeight="1" s="584">
      <c r="A94" s="352" t="inlineStr">
        <is>
          <t xml:space="preserve">Rajsriya Automotive|Rajsriya Mysore |Sandhar Engg Mysore </t>
        </is>
      </c>
      <c r="B94" s="352" t="inlineStr">
        <is>
          <t>848|850</t>
        </is>
      </c>
      <c r="C94" s="15" t="inlineStr">
        <is>
          <t>41.28-0-2.6-ERW 1-FC</t>
        </is>
      </c>
      <c r="D94" s="15" t="inlineStr">
        <is>
          <t>0789</t>
        </is>
      </c>
      <c r="E94" s="62" t="n">
        <v>0</v>
      </c>
      <c r="F94" s="62" t="n">
        <v>19.268034</v>
      </c>
      <c r="G94" s="62" t="n">
        <v>9.105640000000001</v>
      </c>
      <c r="H94" s="62" t="n">
        <v>0</v>
      </c>
      <c r="I94" s="62" t="n">
        <v>0</v>
      </c>
      <c r="J94" s="62" t="e">
        <v>#DIV/0!</v>
      </c>
    </row>
    <row r="95">
      <c r="A95" s="352" t="inlineStr">
        <is>
          <t>Metalman|Rajsriya Unit 8</t>
        </is>
      </c>
      <c r="B95" s="352" t="inlineStr">
        <is>
          <t>230|246</t>
        </is>
      </c>
      <c r="C95" s="15" t="inlineStr">
        <is>
          <t>41.28-0-3.2-ERW 1-FC</t>
        </is>
      </c>
      <c r="D95" s="15" t="inlineStr">
        <is>
          <t>0789</t>
        </is>
      </c>
      <c r="E95" s="62" t="n">
        <v>7.388926218240002</v>
      </c>
      <c r="F95" s="62" t="n">
        <v>8.480821000000001</v>
      </c>
      <c r="G95" s="62" t="n">
        <v>1.044524</v>
      </c>
      <c r="H95" s="62" t="n">
        <v>0</v>
      </c>
      <c r="I95" s="62" t="n">
        <v>7.141</v>
      </c>
      <c r="J95" s="62" t="n">
        <v>28.99338735730783</v>
      </c>
    </row>
    <row r="96" ht="30" customHeight="1" s="584">
      <c r="A96" s="352" t="inlineStr">
        <is>
          <t>Metalman|NMPL HUB|NMPL TVSM|RUCHA|SANDHAR ENGINEERING PVT LTD.</t>
        </is>
      </c>
      <c r="B96" s="352" t="inlineStr">
        <is>
          <t>204.5|208|210|247</t>
        </is>
      </c>
      <c r="C96" s="15" t="inlineStr">
        <is>
          <t>42.7-0-3.5-ERW 1-FC</t>
        </is>
      </c>
      <c r="D96" s="15" t="inlineStr">
        <is>
          <t>0788</t>
        </is>
      </c>
      <c r="E96" s="62" t="n">
        <v>2.130560964</v>
      </c>
      <c r="F96" s="62" t="n">
        <v>37.262987</v>
      </c>
      <c r="G96" s="62" t="n">
        <v>1.538636</v>
      </c>
      <c r="H96" s="62" t="n">
        <v>9.465421000000001</v>
      </c>
      <c r="I96" s="62" t="n">
        <v>0</v>
      </c>
      <c r="J96" s="62" t="n">
        <v>133.2806874800133</v>
      </c>
    </row>
    <row r="97" ht="30" customHeight="1" s="584">
      <c r="A97" s="352" t="inlineStr">
        <is>
          <t xml:space="preserve">ELKAYEM AUTO|Metalman|Rajsriya Unit 8|Rajsriya Mysore |Sandhar Engg Mysore </t>
        </is>
      </c>
      <c r="B97" s="352" t="inlineStr">
        <is>
          <t>215|235|254|290</t>
        </is>
      </c>
      <c r="C97" s="15" t="inlineStr">
        <is>
          <t>42.7-0-4-ERW 1-FC</t>
        </is>
      </c>
      <c r="D97" s="15" t="inlineStr">
        <is>
          <t>0788</t>
        </is>
      </c>
      <c r="E97" s="62" t="n">
        <v>4.48340661</v>
      </c>
      <c r="F97" s="62" t="n">
        <v>18.986001</v>
      </c>
      <c r="G97" s="62" t="n">
        <v>3.934499999999999</v>
      </c>
      <c r="H97" s="62" t="n">
        <v>215.600487</v>
      </c>
      <c r="I97" s="62" t="n">
        <v>0</v>
      </c>
      <c r="J97" s="62" t="n">
        <v>1442.65625954457</v>
      </c>
    </row>
    <row r="98">
      <c r="A98" s="352" t="inlineStr">
        <is>
          <t>Metalman|SANDHAR ENGINEERING PVT LTD.</t>
        </is>
      </c>
      <c r="B98" s="352" t="inlineStr">
        <is>
          <t>336</t>
        </is>
      </c>
      <c r="C98" s="15" t="inlineStr">
        <is>
          <t>48.6-0-1.2-ERW 1-FC</t>
        </is>
      </c>
      <c r="D98" s="15" t="inlineStr">
        <is>
          <t>0789</t>
        </is>
      </c>
      <c r="E98" s="62" t="n">
        <v>7.066257004800001</v>
      </c>
      <c r="F98" s="62" t="n">
        <v>3.406896</v>
      </c>
      <c r="G98" s="62" t="n">
        <v>4.396273</v>
      </c>
      <c r="H98" s="62" t="n">
        <v>3.946783000000001</v>
      </c>
      <c r="I98" s="62" t="n">
        <v>17.024</v>
      </c>
      <c r="J98" s="62" t="n">
        <v>89.032070242088</v>
      </c>
    </row>
    <row r="99">
      <c r="A99" s="352" t="inlineStr">
        <is>
          <t xml:space="preserve">NMPL HUB|Sandhar Engg Mysore </t>
        </is>
      </c>
      <c r="B99" s="352" t="inlineStr">
        <is>
          <t>196|202.5</t>
        </is>
      </c>
      <c r="C99" s="15" t="inlineStr">
        <is>
          <t>48.6-0-3.5-ERW 1-FC</t>
        </is>
      </c>
      <c r="D99" s="15" t="inlineStr">
        <is>
          <t>0789</t>
        </is>
      </c>
      <c r="E99" s="62" t="n">
        <v>0</v>
      </c>
      <c r="F99" s="62" t="n">
        <v>4.486375</v>
      </c>
      <c r="G99" s="62" t="n">
        <v>4.959878</v>
      </c>
      <c r="H99" s="62" t="n">
        <v>8.774311999999998</v>
      </c>
      <c r="I99" s="62" t="n">
        <v>0</v>
      </c>
      <c r="J99" s="62" t="e">
        <v>#DIV/0!</v>
      </c>
    </row>
    <row r="100">
      <c r="A100" s="352" t="inlineStr">
        <is>
          <t>Laxmi|NMPL TVSM</t>
        </is>
      </c>
      <c r="B100" s="352" t="inlineStr">
        <is>
          <t>847</t>
        </is>
      </c>
      <c r="C100" s="15" t="inlineStr">
        <is>
          <t>50-50-1.6-ERW 2-PE</t>
        </is>
      </c>
      <c r="D100" s="15" t="inlineStr">
        <is>
          <t>056</t>
        </is>
      </c>
      <c r="E100" s="62" t="n">
        <v>4.135455410240001</v>
      </c>
      <c r="F100" s="62" t="n">
        <v>4.112194000000001</v>
      </c>
      <c r="G100" s="62" t="n">
        <v>3.291571</v>
      </c>
      <c r="H100" s="62" t="n">
        <v>14.20110300000001</v>
      </c>
      <c r="I100" s="62" t="n">
        <v>0</v>
      </c>
      <c r="J100" s="62" t="n">
        <v>103.0196309081411</v>
      </c>
    </row>
    <row r="101">
      <c r="A101" s="352" t="e">
        <v>#VALUE!</v>
      </c>
      <c r="B101" s="352" t="e">
        <v>#VALUE!</v>
      </c>
      <c r="C101" s="15" t="inlineStr">
        <is>
          <t>50-30-1.6-ERW 2-FC</t>
        </is>
      </c>
      <c r="D101" s="15" t="inlineStr">
        <is>
          <t>0789</t>
        </is>
      </c>
      <c r="E101" s="62" t="n">
        <v>0</v>
      </c>
      <c r="F101" s="62" t="n">
        <v>0</v>
      </c>
      <c r="G101" s="62" t="n">
        <v>0.075761</v>
      </c>
      <c r="H101" s="62" t="n">
        <v>0</v>
      </c>
      <c r="I101" s="62" t="n">
        <v>11.55</v>
      </c>
      <c r="J101" s="62" t="e">
        <v>#DIV/0!</v>
      </c>
    </row>
    <row r="102" ht="30" customHeight="1" s="584">
      <c r="A102" s="352" t="inlineStr">
        <is>
          <t xml:space="preserve">Balaji press product|ELKAYEM AUTO|ELKAYEM AUTO MYSORE |Sandhar Engg Mysore </t>
        </is>
      </c>
      <c r="B102" s="352" t="inlineStr">
        <is>
          <t>604|607|636|638|1100</t>
        </is>
      </c>
      <c r="C102" s="15" t="inlineStr">
        <is>
          <t>50-30-1.6-ERW 1-FC</t>
        </is>
      </c>
      <c r="D102" s="15" t="inlineStr">
        <is>
          <t>0789</t>
        </is>
      </c>
      <c r="E102" s="62" t="n">
        <v>67.99636067904</v>
      </c>
      <c r="F102" s="62" t="n">
        <v>48.84466799999999</v>
      </c>
      <c r="G102" s="62" t="n">
        <v>6.722857</v>
      </c>
      <c r="H102" s="62" t="n">
        <v>0</v>
      </c>
      <c r="I102" s="62" t="n">
        <v>24.911</v>
      </c>
      <c r="J102" s="62" t="n">
        <v>10.99073527666556</v>
      </c>
    </row>
    <row r="103">
      <c r="A103" s="352" t="inlineStr">
        <is>
          <t>NMPL TVSM</t>
        </is>
      </c>
      <c r="B103" s="352" t="inlineStr">
        <is>
          <t>140|730</t>
        </is>
      </c>
      <c r="C103" s="15" t="inlineStr">
        <is>
          <t>50-30-2-ERW 1-FC</t>
        </is>
      </c>
      <c r="D103" s="15" t="inlineStr">
        <is>
          <t>0789</t>
        </is>
      </c>
      <c r="E103" s="62" t="n">
        <v>0</v>
      </c>
      <c r="F103" s="62" t="n">
        <v>40.550028</v>
      </c>
      <c r="G103" s="62" t="n">
        <v>1.992089</v>
      </c>
      <c r="H103" s="62" t="n">
        <v>0</v>
      </c>
      <c r="I103" s="62" t="n">
        <v>0</v>
      </c>
      <c r="J103" s="62" t="e">
        <v>#DIV/0!</v>
      </c>
    </row>
    <row r="104">
      <c r="A104" s="352" t="e">
        <v>#VALUE!</v>
      </c>
      <c r="B104" s="352" t="e">
        <v>#VALUE!</v>
      </c>
      <c r="C104" s="15" t="inlineStr">
        <is>
          <t>50.8-0-1.4-ERW 2-FC</t>
        </is>
      </c>
      <c r="D104" s="15" t="inlineStr">
        <is>
          <t>0789</t>
        </is>
      </c>
      <c r="E104" s="62" t="n">
        <v>0</v>
      </c>
      <c r="F104" s="62" t="n">
        <v>0</v>
      </c>
      <c r="G104" s="62" t="n">
        <v>1.942</v>
      </c>
      <c r="H104" s="62" t="n">
        <v>0</v>
      </c>
      <c r="I104" s="62" t="n">
        <v>0</v>
      </c>
      <c r="J104" s="62" t="e">
        <v>#DIV/0!</v>
      </c>
    </row>
    <row r="105">
      <c r="A105" s="352" t="inlineStr">
        <is>
          <t xml:space="preserve">NMPL HUB|Sandhar Engg Mysore </t>
        </is>
      </c>
      <c r="B105" s="352" t="inlineStr">
        <is>
          <t>385|753</t>
        </is>
      </c>
      <c r="C105" s="15" t="inlineStr">
        <is>
          <t>50.8-0-1.6-ERW 1-FC</t>
        </is>
      </c>
      <c r="D105" s="15" t="inlineStr">
        <is>
          <t>0789</t>
        </is>
      </c>
      <c r="E105" s="62" t="n">
        <v>0</v>
      </c>
      <c r="F105" s="62" t="n">
        <v>0</v>
      </c>
      <c r="G105" s="62" t="n">
        <v>3.59704</v>
      </c>
      <c r="H105" s="62" t="n">
        <v>0</v>
      </c>
      <c r="I105" s="62" t="n">
        <v>1.456</v>
      </c>
      <c r="J105" s="62" t="e">
        <v>#DIV/0!</v>
      </c>
    </row>
    <row r="106">
      <c r="A106" s="352" t="inlineStr">
        <is>
          <t>Laxmi|NMPL TVSM</t>
        </is>
      </c>
      <c r="B106" s="352" t="inlineStr">
        <is>
          <t>1140|5750</t>
        </is>
      </c>
      <c r="C106" s="15" t="inlineStr">
        <is>
          <t>54-0-3-ERW 2-FC</t>
        </is>
      </c>
      <c r="D106" s="15" t="inlineStr">
        <is>
          <t>0788</t>
        </is>
      </c>
      <c r="E106" s="62" t="n">
        <v>8.59855716</v>
      </c>
      <c r="F106" s="62" t="n">
        <v>41.54566000000001</v>
      </c>
      <c r="G106" s="62" t="n">
        <v>5.13476</v>
      </c>
      <c r="H106" s="62" t="n">
        <v>39.157</v>
      </c>
      <c r="I106" s="62" t="n">
        <v>0</v>
      </c>
      <c r="J106" s="62" t="n">
        <v>136.6171065844261</v>
      </c>
    </row>
    <row r="107">
      <c r="A107" s="352" t="inlineStr">
        <is>
          <t>ELKAYEM AUTO MYSORE |Rajsriya Unit 8</t>
        </is>
      </c>
      <c r="B107" s="352" t="inlineStr">
        <is>
          <t>409|713</t>
        </is>
      </c>
      <c r="C107" s="15" t="inlineStr">
        <is>
          <t>57.15-0-2-ERW 1-FC</t>
        </is>
      </c>
      <c r="D107" s="15" t="inlineStr">
        <is>
          <t>0789</t>
        </is>
      </c>
      <c r="E107" s="62" t="n">
        <v>16.47719467435</v>
      </c>
      <c r="F107" s="62" t="n">
        <v>11.995132</v>
      </c>
      <c r="G107" s="62" t="n">
        <v>1.273426</v>
      </c>
      <c r="H107" s="62" t="n">
        <v>2.455098</v>
      </c>
      <c r="I107" s="62" t="n">
        <v>0</v>
      </c>
      <c r="J107" s="62" t="n">
        <v>4.469992705412124</v>
      </c>
    </row>
    <row r="108">
      <c r="A108" s="352" t="inlineStr">
        <is>
          <t>NMPL HUB</t>
        </is>
      </c>
      <c r="B108" s="352" t="inlineStr">
        <is>
          <t>1365</t>
        </is>
      </c>
      <c r="C108" s="15" t="inlineStr">
        <is>
          <t>57.15-0-2.3-ERW 2-FC</t>
        </is>
      </c>
      <c r="D108" s="15" t="inlineStr">
        <is>
          <t>056</t>
        </is>
      </c>
      <c r="E108" s="62" t="n">
        <v>0</v>
      </c>
      <c r="F108" s="62" t="n">
        <v>48.703774</v>
      </c>
      <c r="G108" s="62" t="n">
        <v>2.132291</v>
      </c>
      <c r="H108" s="62" t="n">
        <v>19.938757</v>
      </c>
      <c r="I108" s="62" t="n">
        <v>0</v>
      </c>
      <c r="J108" s="62" t="e">
        <v>#DIV/0!</v>
      </c>
    </row>
    <row r="109">
      <c r="A109" s="352" t="inlineStr">
        <is>
          <t>Metalman|Rajsriya Unit 8|Rajsriya Mysore |RUCHA</t>
        </is>
      </c>
      <c r="B109" s="352" t="inlineStr">
        <is>
          <t>326|346|375|376|526|772</t>
        </is>
      </c>
      <c r="C109" s="15" t="inlineStr">
        <is>
          <t>57.15-0-2.5-ERW 1-FC</t>
        </is>
      </c>
      <c r="D109" s="15" t="inlineStr">
        <is>
          <t>0789</t>
        </is>
      </c>
      <c r="E109" s="62" t="n">
        <v>0</v>
      </c>
      <c r="F109" s="62" t="n">
        <v>4.500558999999999</v>
      </c>
      <c r="G109" s="62" t="n">
        <v>0.015624</v>
      </c>
      <c r="H109" s="62" t="n">
        <v>18.554922</v>
      </c>
      <c r="I109" s="62" t="n">
        <v>0</v>
      </c>
      <c r="J109" s="62" t="e">
        <v>#DIV/0!</v>
      </c>
    </row>
    <row r="110">
      <c r="A110" s="352" t="inlineStr">
        <is>
          <t>ELKAYEM AUTO|ELKAYEM AUTO MYSORE |Laxmi</t>
        </is>
      </c>
      <c r="B110" s="352" t="inlineStr">
        <is>
          <t>641|645</t>
        </is>
      </c>
      <c r="C110" s="15" t="inlineStr">
        <is>
          <t>59-30-1.6-ERW 1-FIN CUT</t>
        </is>
      </c>
      <c r="D110" s="15" t="inlineStr">
        <is>
          <t>0789</t>
        </is>
      </c>
      <c r="E110" s="62" t="n">
        <v>30.29809725840001</v>
      </c>
      <c r="F110" s="62" t="n">
        <v>3.9508</v>
      </c>
      <c r="G110" s="62" t="n">
        <v>17.977765</v>
      </c>
      <c r="H110" s="62" t="n">
        <v>0</v>
      </c>
      <c r="I110" s="62" t="n">
        <v>0.951</v>
      </c>
      <c r="J110" s="62" t="n">
        <v>0.9416432905564783</v>
      </c>
    </row>
    <row r="111">
      <c r="A111" s="352" t="inlineStr">
        <is>
          <t>Metalman|Rajsriya Unit 8</t>
        </is>
      </c>
      <c r="B111" s="352" t="inlineStr">
        <is>
          <t>491|525</t>
        </is>
      </c>
      <c r="C111" s="15" t="inlineStr">
        <is>
          <t>60.3-0-2-ERW 1-FC</t>
        </is>
      </c>
      <c r="D111" s="15" t="inlineStr">
        <is>
          <t>0788</t>
        </is>
      </c>
      <c r="E111" s="62" t="n">
        <v>10.562219745</v>
      </c>
      <c r="F111" s="62" t="n">
        <v>0</v>
      </c>
      <c r="G111" s="62" t="n">
        <v>0</v>
      </c>
      <c r="H111" s="62" t="n">
        <v>28.386057</v>
      </c>
      <c r="I111" s="62" t="n">
        <v>0</v>
      </c>
      <c r="J111" s="62" t="n">
        <v>80.62525970481975</v>
      </c>
    </row>
    <row r="112">
      <c r="A112" s="352" t="inlineStr">
        <is>
          <t>Laxmi|NMPL TVSM</t>
        </is>
      </c>
      <c r="B112" s="352" t="inlineStr">
        <is>
          <t>234|236|263|5060</t>
        </is>
      </c>
      <c r="C112" s="15" t="inlineStr">
        <is>
          <t>63.5-0-4-ERW 1-FC</t>
        </is>
      </c>
      <c r="D112" s="15" t="inlineStr">
        <is>
          <t>0788</t>
        </is>
      </c>
      <c r="E112" s="62" t="n">
        <v>21.532848771</v>
      </c>
      <c r="F112" s="62" t="n">
        <v>22.53511500000001</v>
      </c>
      <c r="G112" s="62" t="n">
        <v>6.346774</v>
      </c>
      <c r="H112" s="62" t="n">
        <v>70.552486</v>
      </c>
      <c r="I112" s="62" t="n">
        <v>0</v>
      </c>
      <c r="J112" s="62" t="n">
        <v>98.29514907709562</v>
      </c>
    </row>
    <row r="113">
      <c r="A113" s="352" t="inlineStr">
        <is>
          <t>Laxmi|NMPL TVSM</t>
        </is>
      </c>
      <c r="B113" s="352" t="inlineStr">
        <is>
          <t>490|512|6455</t>
        </is>
      </c>
      <c r="C113" s="15" t="inlineStr">
        <is>
          <t>70-0-3.2-ERW 2-FC</t>
        </is>
      </c>
      <c r="D113" s="15" t="inlineStr">
        <is>
          <t>0788</t>
        </is>
      </c>
      <c r="E113" s="62" t="n">
        <v>6.7442819072</v>
      </c>
      <c r="F113" s="62" t="n">
        <v>12.234237</v>
      </c>
      <c r="G113" s="62" t="n">
        <v>1.880619</v>
      </c>
      <c r="H113" s="62" t="n">
        <v>37.06798599999999</v>
      </c>
      <c r="I113" s="62" t="n">
        <v>0</v>
      </c>
      <c r="J113" s="62" t="n">
        <v>164.8862837143297</v>
      </c>
    </row>
  </sheetData>
  <printOptions headings="1"/>
  <pageMargins left="0.2362204724409449" right="0.2362204724409449" top="0.7480314960629921" bottom="0.7480314960629921" header="0.3149606299212598" footer="0.3149606299212598"/>
  <pageSetup orientation="portrait" scale="45" fitToHeight="0"/>
  <colBreaks count="1" manualBreakCount="1">
    <brk id="10" min="0" max="1048575" man="1"/>
  </colBreaks>
</worksheet>
</file>

<file path=xl/worksheets/sheet29.xml><?xml version="1.0" encoding="utf-8"?>
<worksheet xmlns="http://schemas.openxmlformats.org/spreadsheetml/2006/main">
  <sheetPr codeName="Sheet20">
    <tabColor rgb="FF00B0F0"/>
    <outlinePr summaryBelow="1" summaryRight="1"/>
    <pageSetUpPr/>
  </sheetPr>
  <dimension ref="A1:O215"/>
  <sheetViews>
    <sheetView topLeftCell="A197" workbookViewId="0">
      <selection activeCell="E200" sqref="E200:E207"/>
    </sheetView>
  </sheetViews>
  <sheetFormatPr baseColWidth="8" defaultColWidth="40.28515625" defaultRowHeight="15"/>
  <cols>
    <col width="40.28515625" bestFit="1" customWidth="1" style="584" min="1" max="1"/>
    <col width="6.85546875" customWidth="1" style="66" min="2" max="2"/>
    <col width="9.140625" customWidth="1" style="584" min="3" max="3"/>
    <col outlineLevel="1" width="9.85546875" customWidth="1" style="584" min="4" max="4"/>
    <col outlineLevel="1" width="30.5703125" bestFit="1" customWidth="1" style="584" min="5" max="5"/>
    <col width="15.28515625" bestFit="1" customWidth="1" style="584" min="6" max="6"/>
    <col width="10.28515625" customWidth="1" style="584" min="7" max="7"/>
    <col width="8.7109375" customWidth="1" style="584" min="8" max="8"/>
    <col width="7" customWidth="1" style="584" min="9" max="9"/>
    <col width="11.28515625" customWidth="1" style="584" min="10" max="10"/>
    <col width="7.7109375" customWidth="1" style="584" min="11" max="11"/>
    <col width="7.85546875" customWidth="1" style="584" min="12" max="12"/>
    <col width="11.28515625" customWidth="1" style="584" min="13" max="13"/>
    <col width="7" customWidth="1" style="584" min="14" max="14"/>
  </cols>
  <sheetData>
    <row r="1" ht="30" customHeight="1" s="584">
      <c r="A1" s="73" t="inlineStr">
        <is>
          <t>Customer</t>
        </is>
      </c>
      <c r="B1" s="351" t="inlineStr">
        <is>
          <t>CTL Size</t>
        </is>
      </c>
      <c r="C1" s="73" t="inlineStr">
        <is>
          <t>Bucket2</t>
        </is>
      </c>
      <c r="D1" s="73" t="inlineStr">
        <is>
          <t>Schedule (MT)</t>
        </is>
      </c>
      <c r="E1" s="73" t="inlineStr">
        <is>
          <t>Sales (MT)</t>
        </is>
      </c>
      <c r="F1" s="73" t="inlineStr">
        <is>
          <t>Difference (MT)</t>
        </is>
      </c>
      <c r="G1" s="73" t="inlineStr">
        <is>
          <t>Reason for Sales Loss</t>
        </is>
      </c>
    </row>
    <row r="2" ht="75" customHeight="1" s="584">
      <c r="A2" s="352" t="inlineStr">
        <is>
          <t>Metalman|Rajsriya Automotive|Rajsriya Unit 1|Rajsriya Unit 8|SRIKAM HITECH</t>
        </is>
      </c>
      <c r="B2" s="352" t="inlineStr">
        <is>
          <t>180|195|200|319|588|5000</t>
        </is>
      </c>
      <c r="C2" s="15" t="inlineStr">
        <is>
          <t>19-12.5-3.25-CEW-CEW</t>
        </is>
      </c>
      <c r="D2" s="72" t="n">
        <v>22.8623788575</v>
      </c>
      <c r="E2" s="72" t="n">
        <v>0</v>
      </c>
      <c r="F2" s="62" t="n">
        <v>22.8623788575</v>
      </c>
      <c r="G2" s="15" t="inlineStr">
        <is>
          <t>RM Unavailability</t>
        </is>
      </c>
    </row>
    <row r="3">
      <c r="A3" s="352" t="inlineStr">
        <is>
          <t xml:space="preserve">NMPL (HUB)|NMPL 1|Sandhar Engg Mysore </t>
        </is>
      </c>
      <c r="B3" s="352" t="inlineStr">
        <is>
          <t>1000</t>
        </is>
      </c>
      <c r="C3" s="15" t="inlineStr">
        <is>
          <t>20-12.4-3.8-CEW-CEW</t>
        </is>
      </c>
      <c r="D3" s="72" t="n">
        <v>19.94460623136</v>
      </c>
      <c r="E3" s="72" t="n">
        <v>0</v>
      </c>
      <c r="F3" s="62" t="n">
        <v>19.94460623136</v>
      </c>
      <c r="G3" s="15" t="inlineStr">
        <is>
          <t>Customer Clearance</t>
        </is>
      </c>
    </row>
    <row r="4" ht="60" customHeight="1" s="584">
      <c r="A4" s="352" t="inlineStr">
        <is>
          <t>KAY JAY|Narasipur Auto Component(P)Ltd</t>
        </is>
      </c>
      <c r="B4" s="352" t="inlineStr">
        <is>
          <t>357|360|385|450|5200</t>
        </is>
      </c>
      <c r="C4" s="15" t="inlineStr">
        <is>
          <t>29.4-20.4-4.5-CEW-CEW</t>
        </is>
      </c>
      <c r="D4" s="72" t="n">
        <v>44.57739606299999</v>
      </c>
      <c r="E4" s="72" t="n">
        <v>22.31078</v>
      </c>
      <c r="F4" s="62" t="n">
        <v>22.26661606299999</v>
      </c>
      <c r="G4" s="15" t="inlineStr">
        <is>
          <t>SY Chamfering Processing Constraint</t>
        </is>
      </c>
    </row>
    <row r="5" ht="30" customHeight="1" s="584">
      <c r="A5" s="352" t="inlineStr">
        <is>
          <t>Metalman|RUCHA</t>
        </is>
      </c>
      <c r="B5" s="352" t="inlineStr">
        <is>
          <t>875|878</t>
        </is>
      </c>
      <c r="C5" s="15" t="inlineStr">
        <is>
          <t>38.1-0-2.5-ERW 2 MAHS-FC</t>
        </is>
      </c>
      <c r="D5" s="72" t="n">
        <v>25.870749252875</v>
      </c>
      <c r="E5" s="72" t="n">
        <v>5.5467</v>
      </c>
      <c r="F5" s="62" t="n">
        <v>20.324049252875</v>
      </c>
      <c r="G5" s="15" t="inlineStr">
        <is>
          <t>RM Unavailability</t>
        </is>
      </c>
    </row>
    <row r="6" ht="105" customHeight="1" s="584">
      <c r="A6" s="352" t="inlineStr">
        <is>
          <t>ELKAYEM AUTO|Marathwada|Metalman|RUCHA</t>
        </is>
      </c>
      <c r="B6" s="352" t="inlineStr">
        <is>
          <t>318|322|513|514|536|538|560|585|587</t>
        </is>
      </c>
      <c r="C6" s="15" t="inlineStr">
        <is>
          <t>40-25-1.6-ERW 1-FC</t>
        </is>
      </c>
      <c r="D6" s="72" t="n">
        <v>73.64443263369218</v>
      </c>
      <c r="E6" s="72" t="n">
        <v>47.90361599999999</v>
      </c>
      <c r="F6" s="62" t="n">
        <v>25.74081663369218</v>
      </c>
      <c r="G6" s="15" t="inlineStr">
        <is>
          <t>Delay in Rolling</t>
        </is>
      </c>
    </row>
    <row r="7" ht="45" customHeight="1" s="584">
      <c r="A7" s="352" t="inlineStr">
        <is>
          <t>Metalman|NMPL 1|RUCHA|SANDHAR ENGINEERING PVT LTD.</t>
        </is>
      </c>
      <c r="B7" s="352" t="inlineStr">
        <is>
          <t>208|210|247</t>
        </is>
      </c>
      <c r="C7" s="15" t="inlineStr">
        <is>
          <t>42.7-0-3.5-ERW 1-FC</t>
        </is>
      </c>
      <c r="D7" s="72" t="n">
        <v>59.65524367953641</v>
      </c>
      <c r="E7" s="72" t="n">
        <v>27.26</v>
      </c>
      <c r="F7" s="62" t="n">
        <v>32.39524367953641</v>
      </c>
      <c r="G7" s="15" t="inlineStr">
        <is>
          <t>SY Chamfering Processing Constraint</t>
        </is>
      </c>
    </row>
    <row r="8" ht="45" customHeight="1" s="584">
      <c r="A8" s="352" t="inlineStr">
        <is>
          <t xml:space="preserve">ELKAYEM AUTO|Metalman|Rajsriya Mysore |Rajsriya Unit 8|Sandhar Engg Mysore </t>
        </is>
      </c>
      <c r="B8" s="352" t="inlineStr">
        <is>
          <t>215|235|254|290</t>
        </is>
      </c>
      <c r="C8" s="15" t="inlineStr">
        <is>
          <t>42.7-0-4-ERW 1-FC</t>
        </is>
      </c>
      <c r="D8" s="72" t="n">
        <v>35.565452841006</v>
      </c>
      <c r="E8" s="72" t="n">
        <v>20.548509</v>
      </c>
      <c r="F8" s="62" t="n">
        <v>15.016943841006</v>
      </c>
      <c r="G8" s="15" t="inlineStr">
        <is>
          <t>SY Chamfering Processing Constraint</t>
        </is>
      </c>
    </row>
    <row r="9" ht="60" customHeight="1" s="584">
      <c r="A9" s="352" t="inlineStr">
        <is>
          <t>Metalman|Rajsriya Mysore |Rajsriya Unit 8|RUCHA</t>
        </is>
      </c>
      <c r="B9" s="352" t="inlineStr">
        <is>
          <t>326|346|375|526|772</t>
        </is>
      </c>
      <c r="C9" s="15" t="inlineStr">
        <is>
          <t>57.15-0-2.5-ERW 1-FC</t>
        </is>
      </c>
      <c r="D9" s="72" t="n">
        <v>49.59485222365613</v>
      </c>
      <c r="E9" s="72" t="n">
        <v>6.187885999999999</v>
      </c>
      <c r="F9" s="62" t="n">
        <v>43.40696622365613</v>
      </c>
      <c r="G9" s="15" t="inlineStr">
        <is>
          <t>SY Angle Cutting Processing Constraint</t>
        </is>
      </c>
    </row>
    <row r="10" ht="60" customHeight="1" s="584">
      <c r="A10" s="352" t="inlineStr">
        <is>
          <t>Balaji Gear</t>
        </is>
      </c>
      <c r="B10" s="352" t="inlineStr">
        <is>
          <t>Packing Structure</t>
        </is>
      </c>
      <c r="C10" s="352" t="inlineStr">
        <is>
          <t>Packing Structure</t>
        </is>
      </c>
      <c r="D10" s="72" t="n"/>
      <c r="E10" s="72" t="n"/>
      <c r="F10" s="62" t="n">
        <v>16</v>
      </c>
      <c r="G10" s="15" t="inlineStr">
        <is>
          <t>Payment Issue</t>
        </is>
      </c>
    </row>
    <row r="11">
      <c r="A11" s="352" t="inlineStr">
        <is>
          <t>Srikam Hitech</t>
        </is>
      </c>
      <c r="B11" s="352" t="n"/>
      <c r="C11" s="352" t="n"/>
      <c r="D11" s="72" t="n"/>
      <c r="E11" s="72" t="n"/>
      <c r="F11" s="62" t="n">
        <v>50</v>
      </c>
      <c r="G11" s="15" t="inlineStr">
        <is>
          <t>Credit Issue</t>
        </is>
      </c>
    </row>
    <row r="12">
      <c r="F12" s="585">
        <f>SUM(F2:F11)</f>
        <v/>
      </c>
    </row>
    <row r="16">
      <c r="B16" s="353" t="inlineStr">
        <is>
          <t>Description for sales Loss</t>
        </is>
      </c>
      <c r="C16" s="353" t="inlineStr">
        <is>
          <t>Volume (MT)</t>
        </is>
      </c>
    </row>
    <row r="17">
      <c r="B17" s="15">
        <f t="array" ref="B17:B23">_xlfn.UNIQUE(G2:G11)</f>
        <v/>
      </c>
      <c r="C17" s="354">
        <f>SUMIFS($F$2:$F$11,$G$2:$G$11,B17)</f>
        <v/>
      </c>
    </row>
    <row r="18">
      <c r="B18" s="15" t="inlineStr">
        <is>
          <t>Customer Clearance</t>
        </is>
      </c>
      <c r="C18" s="354">
        <f>SUMIFS($F$2:$F$11,$G$2:$G$11,B18)</f>
        <v/>
      </c>
    </row>
    <row r="19">
      <c r="B19" s="15" t="inlineStr">
        <is>
          <t>SY Chamfering Processing Constraint</t>
        </is>
      </c>
      <c r="C19" s="354">
        <f>SUMIFS($F$2:$F$11,$G$2:$G$11,B19)</f>
        <v/>
      </c>
    </row>
    <row r="20">
      <c r="B20" s="15" t="inlineStr">
        <is>
          <t>Delay in Rolling</t>
        </is>
      </c>
      <c r="C20" s="354">
        <f>SUMIFS($F$2:$F$11,$G$2:$G$11,B20)</f>
        <v/>
      </c>
    </row>
    <row r="21">
      <c r="B21" s="15" t="inlineStr">
        <is>
          <t>SY Angle Cutting Processing Constraint</t>
        </is>
      </c>
      <c r="C21" s="354">
        <f>SUMIFS($F$2:$F$11,$G$2:$G$11,B21)</f>
        <v/>
      </c>
    </row>
    <row r="22" ht="45" customHeight="1" s="584">
      <c r="B22" s="352" t="inlineStr">
        <is>
          <t>Payment Issue</t>
        </is>
      </c>
      <c r="C22" s="354">
        <f>SUMIFS($F$2:$F$11,$G$2:$G$11,B22)</f>
        <v/>
      </c>
    </row>
    <row r="23" ht="30" customHeight="1" s="584">
      <c r="B23" s="352" t="inlineStr">
        <is>
          <t>Credit Issue</t>
        </is>
      </c>
      <c r="C23" s="354">
        <f>SUMIFS($F$2:$F$11,$G$2:$G$11,B23)</f>
        <v/>
      </c>
    </row>
    <row r="24">
      <c r="C24" s="585">
        <f>SUM(C17:C23)</f>
        <v/>
      </c>
    </row>
    <row r="39" ht="15.75" customHeight="1" s="584" thickBot="1"/>
    <row r="40" ht="30.75" customHeight="1" s="584" thickBot="1">
      <c r="A40" s="355" t="inlineStr">
        <is>
          <t>Customer</t>
        </is>
      </c>
      <c r="B40" s="356" t="inlineStr">
        <is>
          <t>CTL Size</t>
        </is>
      </c>
      <c r="C40" s="357" t="inlineStr">
        <is>
          <t>Bucket2</t>
        </is>
      </c>
      <c r="F40" s="357" t="inlineStr">
        <is>
          <t>Sales Loss</t>
        </is>
      </c>
      <c r="G40" s="357" t="inlineStr">
        <is>
          <t>Reason for Sales Loss</t>
        </is>
      </c>
    </row>
    <row r="41" ht="15.75" customHeight="1" s="584" thickBot="1">
      <c r="A41" s="358" t="inlineStr">
        <is>
          <t>Rajsriya Mysore |Rajsriya Unit 5</t>
        </is>
      </c>
      <c r="B41" s="359" t="n">
        <v>1000</v>
      </c>
      <c r="C41" s="360" t="inlineStr">
        <is>
          <t>16.1-10.4-2.7-CEW-CEW</t>
        </is>
      </c>
      <c r="F41" s="361" t="n">
        <v>8</v>
      </c>
      <c r="G41" s="360" t="inlineStr">
        <is>
          <t>RM Unavailability</t>
        </is>
      </c>
    </row>
    <row r="42" ht="45.75" customHeight="1" s="584" thickBot="1">
      <c r="A42" s="358" t="inlineStr">
        <is>
          <t>ELKAYEM AUTO|SANDHAR ENGINEERING PVT LTD.|SRIKAM HITECH</t>
        </is>
      </c>
      <c r="B42" s="359" t="inlineStr">
        <is>
          <t>355|385|400|640</t>
        </is>
      </c>
      <c r="C42" s="360" t="inlineStr">
        <is>
          <t>17.3-0-1.6-ERW 1-PE</t>
        </is>
      </c>
      <c r="F42" s="361" t="n">
        <v>15</v>
      </c>
      <c r="G42" s="360" t="inlineStr">
        <is>
          <t>RM Unavailability</t>
        </is>
      </c>
    </row>
    <row r="43" ht="75.75" customHeight="1" s="584" thickBot="1">
      <c r="A43" s="358" t="inlineStr">
        <is>
          <t>Metalman|Rajsriya Automotive|Rajsriya Unit 1|Rajsriya Unit 8|SRIKAM HITECH</t>
        </is>
      </c>
      <c r="B43" s="359" t="inlineStr">
        <is>
          <t>180|195|200|319|588|5000</t>
        </is>
      </c>
      <c r="C43" s="360" t="inlineStr">
        <is>
          <t>19-12.5-3.25-CEW-CEW</t>
        </is>
      </c>
      <c r="F43" s="361" t="n">
        <v>23</v>
      </c>
      <c r="G43" s="360" t="inlineStr">
        <is>
          <t>RM Unavailability</t>
        </is>
      </c>
    </row>
    <row r="44" ht="135.75" customHeight="1" s="584" thickBot="1">
      <c r="A44" s="358" t="inlineStr">
        <is>
          <t>Balaji press product|NMPL 1|SANDHAR ENGINEERING PVT LTD.</t>
        </is>
      </c>
      <c r="B44" s="359" t="inlineStr">
        <is>
          <t>109|330|403|513|631|650|680|1075|1130|1275</t>
        </is>
      </c>
      <c r="C44" s="360" t="inlineStr">
        <is>
          <t>19.05-0-1.2-ERW 1-PE</t>
        </is>
      </c>
      <c r="F44" s="361" t="n">
        <v>7</v>
      </c>
      <c r="G44" s="360" t="inlineStr">
        <is>
          <t>RM Unavailability</t>
        </is>
      </c>
    </row>
    <row r="45" ht="60.75" customHeight="1" s="584" thickBot="1">
      <c r="A45" s="358" t="inlineStr">
        <is>
          <t>Metalman|SANDHAR ENGINEERING PVT LTD.|SRIKAM HITECH</t>
        </is>
      </c>
      <c r="B45" s="359" t="inlineStr">
        <is>
          <t>258|268|275|595|1405</t>
        </is>
      </c>
      <c r="C45" s="360" t="inlineStr">
        <is>
          <t>19.05-0-1.6-ERW 1-PE</t>
        </is>
      </c>
      <c r="F45" s="361" t="n">
        <v>11</v>
      </c>
      <c r="G45" s="360" t="inlineStr">
        <is>
          <t>RM Unavailability</t>
        </is>
      </c>
    </row>
    <row r="46" ht="60.75" customHeight="1" s="584" thickBot="1">
      <c r="A46" s="358" t="inlineStr">
        <is>
          <t>Rajsriya Mysore |Rajsriya Unit 8</t>
        </is>
      </c>
      <c r="B46" s="359" t="inlineStr">
        <is>
          <t>394|775</t>
        </is>
      </c>
      <c r="C46" s="359" t="inlineStr">
        <is>
          <t>19.05-0-1.6-ERW 2 MAHS-PE</t>
        </is>
      </c>
      <c r="F46" s="361" t="n">
        <v>14</v>
      </c>
      <c r="G46" s="360" t="inlineStr">
        <is>
          <t>RM Unavailability</t>
        </is>
      </c>
    </row>
    <row r="47" ht="45.75" customHeight="1" s="584" thickBot="1">
      <c r="A47" s="358" t="inlineStr">
        <is>
          <t xml:space="preserve">NMPL (HUB)|NMPL 1|Sandhar Engg Mysore </t>
        </is>
      </c>
      <c r="B47" s="359" t="n">
        <v>1000</v>
      </c>
      <c r="C47" s="359" t="inlineStr">
        <is>
          <t>20-12.4-3.8-CEW-CEW</t>
        </is>
      </c>
      <c r="F47" s="361" t="n">
        <v>8</v>
      </c>
      <c r="G47" s="360" t="inlineStr">
        <is>
          <t>Customer Clearance</t>
        </is>
      </c>
    </row>
    <row r="48" ht="75.75" customHeight="1" s="584" thickBot="1">
      <c r="A48" s="358" t="inlineStr">
        <is>
          <t>ELKAYEM AUTO|NMPL (HUB)|Rajsriya Unit 4|SANDHAR ENGINEERING PVT LTD.|SRIKAM HITECH</t>
        </is>
      </c>
      <c r="B48" s="359" t="inlineStr">
        <is>
          <t>140|297|673|681|1162|1308</t>
        </is>
      </c>
      <c r="C48" s="359" t="inlineStr">
        <is>
          <t>22.23-0-1.2-ERW 1-PE</t>
        </is>
      </c>
      <c r="F48" s="361" t="n">
        <v>7</v>
      </c>
      <c r="G48" s="360" t="inlineStr">
        <is>
          <t>RM Unavailability</t>
        </is>
      </c>
    </row>
    <row r="49" ht="45.75" customHeight="1" s="584" thickBot="1">
      <c r="A49" s="358" t="inlineStr">
        <is>
          <t>Sandhar Automach</t>
        </is>
      </c>
      <c r="B49" s="359" t="inlineStr">
        <is>
          <t>840|855</t>
        </is>
      </c>
      <c r="C49" s="359" t="inlineStr">
        <is>
          <t>22.23-0-2-ERW 2 MAHS-FC</t>
        </is>
      </c>
      <c r="F49" s="361" t="n">
        <v>13</v>
      </c>
      <c r="G49" s="360" t="inlineStr">
        <is>
          <t>Customer Clearance</t>
        </is>
      </c>
    </row>
    <row r="50" ht="45.75" customHeight="1" s="584" thickBot="1">
      <c r="A50" s="358" t="inlineStr">
        <is>
          <t>NMPL 1</t>
        </is>
      </c>
      <c r="B50" s="359" t="n">
        <v>845</v>
      </c>
      <c r="C50" s="359" t="inlineStr">
        <is>
          <t>25.4-0-1.2-ERW 1-PE</t>
        </is>
      </c>
      <c r="F50" s="361" t="n">
        <v>7</v>
      </c>
      <c r="G50" s="360" t="inlineStr">
        <is>
          <t>RM Unavailability</t>
        </is>
      </c>
    </row>
    <row r="51" ht="45.75" customHeight="1" s="584" thickBot="1">
      <c r="A51" s="358" t="inlineStr">
        <is>
          <t xml:space="preserve">NMPL (HUB)|Sandhar Engg Mysore </t>
        </is>
      </c>
      <c r="B51" s="359" t="inlineStr">
        <is>
          <t>412|470</t>
        </is>
      </c>
      <c r="C51" s="359" t="inlineStr">
        <is>
          <t>25.4-0-2-ERW 1-PE</t>
        </is>
      </c>
      <c r="F51" s="361" t="n">
        <v>12</v>
      </c>
      <c r="G51" s="360" t="inlineStr">
        <is>
          <t>Delay in Rolling</t>
        </is>
      </c>
    </row>
    <row r="52" ht="45.75" customHeight="1" s="584" thickBot="1">
      <c r="A52" s="358" t="inlineStr">
        <is>
          <t>Narasipur Auto Component(P)Ltd</t>
        </is>
      </c>
      <c r="B52" s="359" t="inlineStr">
        <is>
          <t>247|263</t>
        </is>
      </c>
      <c r="C52" s="359" t="inlineStr">
        <is>
          <t>25.4-18.4-3.5-CEW-CEW</t>
        </is>
      </c>
      <c r="F52" s="361" t="n">
        <v>17</v>
      </c>
      <c r="G52" s="360" t="inlineStr">
        <is>
          <t>Payment Issue</t>
        </is>
      </c>
    </row>
    <row r="53" ht="60.75" customHeight="1" s="584" thickBot="1">
      <c r="A53" s="358" t="inlineStr">
        <is>
          <t>ELKAYEM AUTO|Marathwada</t>
        </is>
      </c>
      <c r="B53" s="359" t="inlineStr">
        <is>
          <t>209|1000</t>
        </is>
      </c>
      <c r="C53" s="359" t="inlineStr">
        <is>
          <t>28.6-0-2.65-CEW-CEW</t>
        </is>
      </c>
      <c r="F53" s="361" t="n">
        <v>11</v>
      </c>
      <c r="G53" s="360" t="inlineStr">
        <is>
          <t>SY Cutting Constraint</t>
        </is>
      </c>
    </row>
    <row r="54" ht="60.75" customHeight="1" s="584" thickBot="1">
      <c r="A54" s="358" t="inlineStr">
        <is>
          <t>KAY JAY|Narasipur Auto Component(P)Ltd</t>
        </is>
      </c>
      <c r="B54" s="359" t="inlineStr">
        <is>
          <t>357|360|385|450|5200</t>
        </is>
      </c>
      <c r="C54" s="359" t="inlineStr">
        <is>
          <t>29.4-20.4-4.5-CEW-CEW</t>
        </is>
      </c>
      <c r="F54" s="361" t="n">
        <v>32</v>
      </c>
      <c r="G54" s="360" t="inlineStr">
        <is>
          <t>RM Unavailability</t>
        </is>
      </c>
    </row>
    <row r="55" ht="60.75" customHeight="1" s="584" thickBot="1">
      <c r="A55" s="358" t="inlineStr">
        <is>
          <t>Marathwada|Rajsriya Unit 1</t>
        </is>
      </c>
      <c r="B55" s="359" t="inlineStr">
        <is>
          <t>465|485</t>
        </is>
      </c>
      <c r="C55" s="359" t="inlineStr">
        <is>
          <t>30-25.5-2.25-CEW-CEW</t>
        </is>
      </c>
      <c r="F55" s="361" t="n">
        <v>27</v>
      </c>
      <c r="G55" s="360" t="inlineStr">
        <is>
          <t>SY Chamfering Processing Constraint</t>
        </is>
      </c>
    </row>
    <row r="56" ht="60.75" customHeight="1" s="584" thickBot="1">
      <c r="A56" s="358" t="inlineStr">
        <is>
          <t>NMPL 1|Rajsriya Unit 2|Rajsriya Unit 4|SANDHAR ENGINEERING PVT LTD.</t>
        </is>
      </c>
      <c r="B56" s="359" t="inlineStr">
        <is>
          <t>598|670|680|1000</t>
        </is>
      </c>
      <c r="C56" s="359" t="inlineStr">
        <is>
          <t>31.75-0-1.2-ERW 1-PE</t>
        </is>
      </c>
      <c r="F56" s="361" t="n">
        <v>11</v>
      </c>
      <c r="G56" s="360" t="inlineStr">
        <is>
          <t>RM Unavailability</t>
        </is>
      </c>
    </row>
    <row r="57" ht="45.75" customHeight="1" s="584" thickBot="1">
      <c r="A57" s="358" t="inlineStr">
        <is>
          <t xml:space="preserve">ELKAYEM AUTO MYSORE </t>
        </is>
      </c>
      <c r="B57" s="359" t="n">
        <v>1721</v>
      </c>
      <c r="C57" s="359" t="inlineStr">
        <is>
          <t>34.93-0-2.6-ERW 1-FC</t>
        </is>
      </c>
      <c r="F57" s="361" t="n">
        <v>6</v>
      </c>
      <c r="G57" s="360" t="inlineStr">
        <is>
          <t>RM Unavailability</t>
        </is>
      </c>
    </row>
    <row r="58" ht="105.75" customHeight="1" s="584" thickBot="1">
      <c r="A58" s="358" t="inlineStr">
        <is>
          <t>NMPL (HUB)|NMPL 1|RUCHA|Sandhar Engg Mysore |SANDHAR ENGINEERING PVT LTD.</t>
        </is>
      </c>
      <c r="B58" s="359" t="inlineStr">
        <is>
          <t>278|406|410|425|432|488|494|812</t>
        </is>
      </c>
      <c r="C58" s="359" t="inlineStr">
        <is>
          <t>38.1-0-2-ERW 1-FC</t>
        </is>
      </c>
      <c r="F58" s="361" t="n">
        <v>19</v>
      </c>
      <c r="G58" s="360" t="inlineStr">
        <is>
          <t>Delay in Rolling</t>
        </is>
      </c>
    </row>
    <row r="59" ht="60.75" customHeight="1" s="584" thickBot="1">
      <c r="A59" s="358" t="inlineStr">
        <is>
          <t>Metalman|RUCHA</t>
        </is>
      </c>
      <c r="B59" s="359" t="inlineStr">
        <is>
          <t>875|878</t>
        </is>
      </c>
      <c r="C59" s="359" t="inlineStr">
        <is>
          <t>38.1-0-2.5-ERW 2 MAHS-FC</t>
        </is>
      </c>
      <c r="F59" s="361" t="n">
        <v>24</v>
      </c>
      <c r="G59" s="360" t="inlineStr">
        <is>
          <t>RM Unavailability</t>
        </is>
      </c>
    </row>
    <row r="60" ht="45.75" customHeight="1" s="584" thickBot="1">
      <c r="A60" s="358" t="inlineStr">
        <is>
          <t>Marathwada|Rajsriya Unit 1</t>
        </is>
      </c>
      <c r="B60" s="359" t="n">
        <v>272</v>
      </c>
      <c r="C60" s="359" t="inlineStr">
        <is>
          <t>39-34-2.5-CEW-CEW</t>
        </is>
      </c>
      <c r="F60" s="361" t="n">
        <v>13</v>
      </c>
      <c r="G60" s="360" t="inlineStr">
        <is>
          <t>SY Chamfering Processing Constraint</t>
        </is>
      </c>
    </row>
    <row r="61" ht="45.75" customHeight="1" s="584" thickBot="1">
      <c r="A61" s="358" t="inlineStr">
        <is>
          <t xml:space="preserve">Sandhar Engg Mysore </t>
        </is>
      </c>
      <c r="B61" s="359" t="n">
        <v>561</v>
      </c>
      <c r="C61" s="359" t="inlineStr">
        <is>
          <t>40-25-1.6-ERW 2-FC</t>
        </is>
      </c>
      <c r="F61" s="361" t="n">
        <v>10</v>
      </c>
      <c r="G61" s="360" t="inlineStr">
        <is>
          <t>RM Unavailability</t>
        </is>
      </c>
    </row>
    <row r="62" ht="60.75" customHeight="1" s="584" thickBot="1">
      <c r="A62" s="358" t="inlineStr">
        <is>
          <t>ELKAYEM AUTO|Metalman|Rajsriya Mysore |Rajsriya Unit 8|TVS MOTOR COMPANY LIMITED</t>
        </is>
      </c>
      <c r="B62" s="359" t="inlineStr">
        <is>
          <t>400|835|860|880|1000</t>
        </is>
      </c>
      <c r="C62" s="359" t="inlineStr">
        <is>
          <t>40-30-1.6-ERW 1-FC</t>
        </is>
      </c>
      <c r="F62" s="361" t="n">
        <v>30</v>
      </c>
      <c r="G62" s="360" t="inlineStr">
        <is>
          <t>Delay in Rolling</t>
        </is>
      </c>
    </row>
    <row r="63" ht="45.75" customHeight="1" s="584" thickBot="1">
      <c r="A63" s="358" t="inlineStr">
        <is>
          <t>NMPL (HUB)</t>
        </is>
      </c>
      <c r="B63" s="359" t="n">
        <v>1365</v>
      </c>
      <c r="C63" s="359" t="inlineStr">
        <is>
          <t>57.15-0-2.3-ERW 2-FC</t>
        </is>
      </c>
      <c r="F63" s="361" t="n">
        <v>14</v>
      </c>
      <c r="G63" s="360" t="inlineStr">
        <is>
          <t>RM Unavailability</t>
        </is>
      </c>
    </row>
    <row r="64" ht="60.75" customHeight="1" s="584" thickBot="1">
      <c r="A64" s="358" t="inlineStr">
        <is>
          <t>Metalman|Rajsriya Mysore |Rajsriya Unit 8|RUCHA</t>
        </is>
      </c>
      <c r="B64" s="359" t="inlineStr">
        <is>
          <t>326|346|375|526|772</t>
        </is>
      </c>
      <c r="C64" s="359" t="inlineStr">
        <is>
          <t>57.15-0-2.5-ERW 1-FC</t>
        </is>
      </c>
      <c r="F64" s="361" t="n">
        <v>39</v>
      </c>
      <c r="G64" s="360" t="inlineStr">
        <is>
          <t>SY Angle Cutting Processing Constraint</t>
        </is>
      </c>
    </row>
    <row r="65" ht="45.75" customHeight="1" s="584" thickBot="1">
      <c r="A65" s="358" t="inlineStr">
        <is>
          <t>Metalman|Rajsriya Unit 8</t>
        </is>
      </c>
      <c r="B65" s="359" t="inlineStr">
        <is>
          <t>491|525</t>
        </is>
      </c>
      <c r="C65" s="359" t="inlineStr">
        <is>
          <t>60.3-0-2-ERW 1-FC</t>
        </is>
      </c>
      <c r="F65" s="361" t="n">
        <v>8</v>
      </c>
      <c r="G65" s="360" t="inlineStr">
        <is>
          <t>Customer Clearance</t>
        </is>
      </c>
    </row>
    <row r="66" ht="45.75" customHeight="1" s="584" thickBot="1">
      <c r="A66" s="358" t="inlineStr">
        <is>
          <t xml:space="preserve">ELKAYEM AUTO|ELKAYEM AUTO MYSORE </t>
        </is>
      </c>
      <c r="B66" s="359" t="n">
        <v>641</v>
      </c>
      <c r="C66" s="359" t="inlineStr">
        <is>
          <t>59-30-1.6-ERW 1-FIN CUT</t>
        </is>
      </c>
      <c r="F66" s="361" t="n">
        <v>18</v>
      </c>
      <c r="G66" s="360" t="inlineStr">
        <is>
          <t>RM Unavailability</t>
        </is>
      </c>
    </row>
    <row r="67">
      <c r="A67" s="590" t="n"/>
      <c r="B67" s="362" t="n"/>
      <c r="C67" s="590" t="n"/>
      <c r="F67" s="363" t="n">
        <v>402</v>
      </c>
      <c r="G67" s="590" t="n"/>
    </row>
    <row r="70">
      <c r="A70" s="364" t="inlineStr">
        <is>
          <t>Description for sales Loss</t>
        </is>
      </c>
      <c r="B70" s="364" t="inlineStr">
        <is>
          <t>Volume (MT) in Apr'25</t>
        </is>
      </c>
      <c r="C70" s="364" t="inlineStr">
        <is>
          <t>Volume (MT) in May'25</t>
        </is>
      </c>
    </row>
    <row r="71">
      <c r="A71" s="103" t="inlineStr">
        <is>
          <t>RM Unavailability</t>
        </is>
      </c>
      <c r="B71" s="103" t="n">
        <v>43</v>
      </c>
      <c r="C71" s="103" t="n">
        <v>206</v>
      </c>
    </row>
    <row r="72">
      <c r="A72" s="103" t="inlineStr">
        <is>
          <t>Delay in Rolling</t>
        </is>
      </c>
      <c r="B72" s="103" t="n">
        <v>26</v>
      </c>
      <c r="C72" s="103" t="n">
        <v>60</v>
      </c>
    </row>
    <row r="73">
      <c r="A73" s="365" t="inlineStr">
        <is>
          <t>SY Chamfering Processing Constraint</t>
        </is>
      </c>
      <c r="B73" s="103" t="n">
        <v>70</v>
      </c>
      <c r="C73" s="103" t="n">
        <v>40</v>
      </c>
    </row>
    <row r="74">
      <c r="A74" s="365" t="inlineStr">
        <is>
          <t>SY Angle Cutting Processing Constraint</t>
        </is>
      </c>
      <c r="B74" s="103" t="n">
        <v>43</v>
      </c>
      <c r="C74" s="103" t="n">
        <v>39</v>
      </c>
    </row>
    <row r="75">
      <c r="A75" s="103" t="inlineStr">
        <is>
          <t>Customer Clearance</t>
        </is>
      </c>
      <c r="B75" s="103" t="n">
        <v>20</v>
      </c>
      <c r="C75" s="103" t="n">
        <v>29</v>
      </c>
    </row>
    <row r="76">
      <c r="A76" s="103" t="inlineStr">
        <is>
          <t>Payment Issue</t>
        </is>
      </c>
      <c r="B76" s="103" t="n">
        <v>16</v>
      </c>
      <c r="C76" s="103" t="n">
        <v>17</v>
      </c>
    </row>
    <row r="77">
      <c r="A77" s="103" t="inlineStr">
        <is>
          <t>Credit Issue</t>
        </is>
      </c>
      <c r="B77" s="103" t="n">
        <v>50</v>
      </c>
      <c r="C77" s="103" t="n">
        <v>0</v>
      </c>
    </row>
    <row r="78">
      <c r="A78" s="365" t="inlineStr">
        <is>
          <t>SY Cutting Constraint</t>
        </is>
      </c>
      <c r="B78" s="103" t="n">
        <v>0</v>
      </c>
      <c r="C78" s="103" t="n">
        <v>11</v>
      </c>
    </row>
    <row r="79">
      <c r="A79" s="366" t="n"/>
      <c r="B79" s="367" t="n">
        <v>268</v>
      </c>
      <c r="C79" s="236" t="n">
        <v>402</v>
      </c>
    </row>
    <row r="81">
      <c r="A81" t="inlineStr">
        <is>
          <t>June'25</t>
        </is>
      </c>
    </row>
    <row r="83">
      <c r="A83" s="369" t="inlineStr">
        <is>
          <t>Plant</t>
        </is>
      </c>
      <c r="B83" s="370" t="inlineStr">
        <is>
          <t>Customer</t>
        </is>
      </c>
      <c r="C83" s="370" t="inlineStr">
        <is>
          <t>CTL Size</t>
        </is>
      </c>
      <c r="D83" s="370" t="inlineStr">
        <is>
          <t>Bucket2</t>
        </is>
      </c>
      <c r="E83" s="370" t="inlineStr">
        <is>
          <t>Schedule</t>
        </is>
      </c>
      <c r="F83" s="370" t="inlineStr">
        <is>
          <t>Sales</t>
        </is>
      </c>
      <c r="G83" s="371" t="inlineStr">
        <is>
          <t>Scehdule - Sales</t>
        </is>
      </c>
      <c r="H83" s="370" t="inlineStr">
        <is>
          <t>Remarks</t>
        </is>
      </c>
      <c r="J83" t="inlineStr">
        <is>
          <t>RM Unavailability</t>
        </is>
      </c>
    </row>
    <row r="84">
      <c r="A84" s="368" t="inlineStr">
        <is>
          <t>056</t>
        </is>
      </c>
      <c r="B84" s="15" t="inlineStr">
        <is>
          <t>Metalman|RUCHA</t>
        </is>
      </c>
      <c r="C84" s="15" t="inlineStr">
        <is>
          <t>875|878</t>
        </is>
      </c>
      <c r="D84" s="15" t="inlineStr">
        <is>
          <t>38.1-0-2.5-ERW 2 MAHS-FC</t>
        </is>
      </c>
      <c r="E84" s="72" t="n">
        <v>22.018504936875</v>
      </c>
      <c r="F84" s="72" t="n">
        <v>0</v>
      </c>
      <c r="G84" s="93" t="n">
        <v>22.018504936875</v>
      </c>
      <c r="H84" s="15" t="inlineStr">
        <is>
          <t>Delay in Rolling</t>
        </is>
      </c>
      <c r="J84" t="inlineStr">
        <is>
          <t>Delay in Rolling</t>
        </is>
      </c>
    </row>
    <row r="85">
      <c r="A85" s="368" t="inlineStr">
        <is>
          <t>056</t>
        </is>
      </c>
      <c r="B85" s="15" t="inlineStr">
        <is>
          <t>NMPL 1</t>
        </is>
      </c>
      <c r="C85" s="15" t="inlineStr">
        <is>
          <t>847</t>
        </is>
      </c>
      <c r="D85" s="15" t="inlineStr">
        <is>
          <t>50-50-1.6-ERW 2-PE</t>
        </is>
      </c>
      <c r="E85" s="72" t="n">
        <v>6.203183115360001</v>
      </c>
      <c r="F85" s="72" t="n">
        <v>1.16658</v>
      </c>
      <c r="G85" s="93" t="n">
        <v>5.036603115360001</v>
      </c>
      <c r="H85" s="15" t="inlineStr">
        <is>
          <t>Customer Clearance</t>
        </is>
      </c>
      <c r="J85" t="inlineStr">
        <is>
          <t>SY Chamfering Processing Constraint</t>
        </is>
      </c>
    </row>
    <row r="86">
      <c r="A86" s="368" t="inlineStr">
        <is>
          <t>056</t>
        </is>
      </c>
      <c r="B86" s="15" t="inlineStr">
        <is>
          <t>NMPL (HUB)</t>
        </is>
      </c>
      <c r="C86" s="15" t="inlineStr">
        <is>
          <t>1365</t>
        </is>
      </c>
      <c r="D86" s="15" t="inlineStr">
        <is>
          <t>57.15-0-2.3-ERW 2-FC</t>
        </is>
      </c>
      <c r="E86" s="72" t="n">
        <v>46.690562843925</v>
      </c>
      <c r="F86" s="72" t="n">
        <v>30.509039</v>
      </c>
      <c r="G86" s="93" t="n">
        <v>16.181523843925</v>
      </c>
      <c r="H86" s="15" t="inlineStr">
        <is>
          <t>Delay in Rolling</t>
        </is>
      </c>
      <c r="J86" t="inlineStr">
        <is>
          <t>SY Angle Cutting Processing Constraint</t>
        </is>
      </c>
    </row>
    <row r="87">
      <c r="A87" s="368" t="inlineStr">
        <is>
          <t>0788</t>
        </is>
      </c>
      <c r="B87" s="15" t="inlineStr">
        <is>
          <t>ELKAYEM AUTO</t>
        </is>
      </c>
      <c r="C87" s="15" t="inlineStr">
        <is>
          <t>1000</t>
        </is>
      </c>
      <c r="D87" s="15" t="inlineStr">
        <is>
          <t>14-0-1.6-CEW-CEW</t>
        </is>
      </c>
      <c r="E87" s="72" t="n">
        <v>0.73355424</v>
      </c>
      <c r="F87" s="72" t="n">
        <v>0</v>
      </c>
      <c r="G87" s="93" t="n">
        <v>0.73355424</v>
      </c>
      <c r="H87" s="15" t="inlineStr">
        <is>
          <t>Delay in Rolling</t>
        </is>
      </c>
      <c r="J87" t="inlineStr">
        <is>
          <t>Payment Issue</t>
        </is>
      </c>
    </row>
    <row r="88">
      <c r="A88" s="368" t="inlineStr">
        <is>
          <t>0788</t>
        </is>
      </c>
      <c r="B88" s="15" t="inlineStr">
        <is>
          <t>ELKAYEM AUTO|Rajsriya Automotive</t>
        </is>
      </c>
      <c r="C88" s="15" t="inlineStr">
        <is>
          <t>1000|4500</t>
        </is>
      </c>
      <c r="D88" s="15" t="inlineStr">
        <is>
          <t>16.1-0-2.8-CEW-CEW</t>
        </is>
      </c>
      <c r="E88" s="72" t="n">
        <v>2.75378628</v>
      </c>
      <c r="F88" s="72" t="n">
        <v>0</v>
      </c>
      <c r="G88" s="93" t="n">
        <v>2.75378628</v>
      </c>
      <c r="H88" s="15" t="inlineStr">
        <is>
          <t>Delay in Rolling</t>
        </is>
      </c>
      <c r="J88" t="inlineStr">
        <is>
          <t>SY Cutting Constraint</t>
        </is>
      </c>
    </row>
    <row r="89">
      <c r="A89" s="368" t="inlineStr">
        <is>
          <t>0788</t>
        </is>
      </c>
      <c r="B89" s="15" t="inlineStr">
        <is>
          <t>Rajsriya Mysore |Rajsriya Unit 5</t>
        </is>
      </c>
      <c r="C89" s="15" t="inlineStr">
        <is>
          <t>1000</t>
        </is>
      </c>
      <c r="D89" s="15" t="inlineStr">
        <is>
          <t>16.1-10.4-2.7-CEW-CEW</t>
        </is>
      </c>
      <c r="E89" s="72" t="n">
        <v>7.134406560000002</v>
      </c>
      <c r="F89" s="72" t="n">
        <v>0</v>
      </c>
      <c r="G89" s="93" t="n">
        <v>7.134406560000002</v>
      </c>
      <c r="H89" s="15" t="inlineStr">
        <is>
          <t>Delay in Rolling</t>
        </is>
      </c>
      <c r="J89" t="inlineStr">
        <is>
          <t>Customer Clearance</t>
        </is>
      </c>
    </row>
    <row r="90">
      <c r="A90" s="368" t="inlineStr">
        <is>
          <t>0788</t>
        </is>
      </c>
      <c r="B90" s="15" t="inlineStr">
        <is>
          <t>ELKAYEM AUTO</t>
        </is>
      </c>
      <c r="C90" s="15" t="inlineStr">
        <is>
          <t>1000</t>
        </is>
      </c>
      <c r="D90" s="15" t="inlineStr">
        <is>
          <t>16.1-10.7-2.95-CEW-CEW</t>
        </is>
      </c>
      <c r="E90" s="72" t="n">
        <v>1.43429449875</v>
      </c>
      <c r="F90" s="72" t="n">
        <v>0</v>
      </c>
      <c r="G90" s="93" t="n">
        <v>1.43429449875</v>
      </c>
      <c r="H90" s="15" t="inlineStr">
        <is>
          <t>Delay in Rolling</t>
        </is>
      </c>
      <c r="J90" t="inlineStr">
        <is>
          <t>0789 Cutting Constraint</t>
        </is>
      </c>
    </row>
    <row r="91">
      <c r="A91" s="368" t="inlineStr">
        <is>
          <t>0788</t>
        </is>
      </c>
      <c r="B91" s="15" t="inlineStr">
        <is>
          <t>NMPL (HUB)</t>
        </is>
      </c>
      <c r="C91" s="15" t="inlineStr">
        <is>
          <t>150</t>
        </is>
      </c>
      <c r="D91" s="15" t="inlineStr">
        <is>
          <t>17.3-0-1.2-ERW 1-PE</t>
        </is>
      </c>
      <c r="E91" s="72" t="n">
        <v>2.142984060000001</v>
      </c>
      <c r="F91" s="72" t="n">
        <v>0.5679999999999999</v>
      </c>
      <c r="G91" s="93" t="n">
        <v>1.574984060000001</v>
      </c>
      <c r="H91" s="15" t="inlineStr">
        <is>
          <t>Customer Clearance</t>
        </is>
      </c>
    </row>
    <row r="92">
      <c r="A92" s="368" t="inlineStr">
        <is>
          <t>0788</t>
        </is>
      </c>
      <c r="B92" s="15" t="inlineStr">
        <is>
          <t>ELKAYEM AUTO|SANDHAR ENGINEERING PVT LTD.|SRIKAM HITECH</t>
        </is>
      </c>
      <c r="C92" s="15" t="inlineStr">
        <is>
          <t>355|385|400|640</t>
        </is>
      </c>
      <c r="D92" s="15" t="inlineStr">
        <is>
          <t>17.3-0-1.6-ERW 1-PE</t>
        </is>
      </c>
      <c r="E92" s="72" t="n">
        <v>17.708630368</v>
      </c>
      <c r="F92" s="72" t="n">
        <v>4.375011000000001</v>
      </c>
      <c r="G92" s="93" t="n">
        <v>13.333619368</v>
      </c>
      <c r="H92" s="15" t="inlineStr">
        <is>
          <t>Delay in Rolling</t>
        </is>
      </c>
    </row>
    <row r="93">
      <c r="A93" s="368" t="inlineStr">
        <is>
          <t>0788</t>
        </is>
      </c>
      <c r="B93" s="15" t="inlineStr">
        <is>
          <t>NMPL (HUB)|NMPL 1</t>
        </is>
      </c>
      <c r="C93" s="15" t="inlineStr">
        <is>
          <t>110|145</t>
        </is>
      </c>
      <c r="D93" s="15" t="inlineStr">
        <is>
          <t>18.2-0-1-ERW 1-PE</t>
        </is>
      </c>
      <c r="E93" s="72" t="n">
        <v>2.982578298</v>
      </c>
      <c r="F93" s="72" t="n">
        <v>1.5075</v>
      </c>
      <c r="G93" s="93" t="n">
        <v>1.475078298</v>
      </c>
      <c r="H93" s="15" t="inlineStr">
        <is>
          <t>Delay in Rolling</t>
        </is>
      </c>
    </row>
    <row r="94">
      <c r="A94" s="368" t="inlineStr">
        <is>
          <t>0788</t>
        </is>
      </c>
      <c r="B94" s="15" t="inlineStr">
        <is>
          <t xml:space="preserve">NMPL (HUB)|NMPL 1|Sandhar Engg Mysore </t>
        </is>
      </c>
      <c r="C94" s="15" t="inlineStr">
        <is>
          <t>1000</t>
        </is>
      </c>
      <c r="D94" s="15" t="inlineStr">
        <is>
          <t>20-12.4-3.8-CEW-CEW</t>
        </is>
      </c>
      <c r="E94" s="72" t="n">
        <v>6.652248456959999</v>
      </c>
      <c r="F94" s="72" t="n">
        <v>3.796749</v>
      </c>
      <c r="G94" s="93" t="n">
        <v>2.855499456959999</v>
      </c>
      <c r="H94" s="15" t="inlineStr">
        <is>
          <t>Delay in Rolling</t>
        </is>
      </c>
    </row>
    <row r="95">
      <c r="A95" s="368" t="inlineStr">
        <is>
          <t>0788</t>
        </is>
      </c>
      <c r="B95" s="15" t="inlineStr">
        <is>
          <t xml:space="preserve">NMPL (HUB)|Sandhar Engg Mysore </t>
        </is>
      </c>
      <c r="C95" s="15" t="inlineStr">
        <is>
          <t>1000</t>
        </is>
      </c>
      <c r="D95" s="15" t="inlineStr">
        <is>
          <t>20-12.4-4.5-CEW-CEW</t>
        </is>
      </c>
      <c r="E95" s="72" t="n">
        <v>5.616847739250001</v>
      </c>
      <c r="F95" s="72" t="n">
        <v>5.162100000000001</v>
      </c>
      <c r="G95" s="93" t="n">
        <v>0.4547477392500001</v>
      </c>
      <c r="H95" s="15" t="inlineStr">
        <is>
          <t>Delay in Rolling</t>
        </is>
      </c>
    </row>
    <row r="96">
      <c r="A96" s="368" t="inlineStr">
        <is>
          <t>0788</t>
        </is>
      </c>
      <c r="B96" s="15" t="inlineStr">
        <is>
          <t>Narasipur Auto Component(P)Ltd</t>
        </is>
      </c>
      <c r="C96" s="15" t="inlineStr">
        <is>
          <t>247|263</t>
        </is>
      </c>
      <c r="D96" s="15" t="inlineStr">
        <is>
          <t>25.4-18.4-3.5-CEW-CEW</t>
        </is>
      </c>
      <c r="E96" s="72" t="n">
        <v>26.12020637625</v>
      </c>
      <c r="F96" s="72" t="n">
        <v>24.233806</v>
      </c>
      <c r="G96" s="93" t="n">
        <v>1.886400376250002</v>
      </c>
      <c r="H96" s="15" t="inlineStr">
        <is>
          <t>Payment Issue</t>
        </is>
      </c>
    </row>
    <row r="97">
      <c r="A97" s="368" t="inlineStr">
        <is>
          <t>0788</t>
        </is>
      </c>
      <c r="B97" s="15" t="inlineStr">
        <is>
          <t xml:space="preserve">NMPL (HUB)|NMPL 1|Sandhar Engg Mysore </t>
        </is>
      </c>
      <c r="C97" s="15" t="inlineStr">
        <is>
          <t>1000</t>
        </is>
      </c>
      <c r="D97" s="15" t="inlineStr">
        <is>
          <t>25.4-19-3.2-CEW-CEW</t>
        </is>
      </c>
      <c r="E97" s="72" t="n">
        <v>9.63435940992</v>
      </c>
      <c r="F97" s="72" t="n">
        <v>2.558796</v>
      </c>
      <c r="G97" s="93" t="n">
        <v>7.075563409920001</v>
      </c>
      <c r="H97" s="15" t="inlineStr">
        <is>
          <t>Customer Clearance</t>
        </is>
      </c>
    </row>
    <row r="98">
      <c r="A98" s="368" t="inlineStr">
        <is>
          <t>0788</t>
        </is>
      </c>
      <c r="B98" s="15" t="inlineStr">
        <is>
          <t>ELKAYEM AUTO|Marathwada</t>
        </is>
      </c>
      <c r="C98" s="15" t="inlineStr">
        <is>
          <t>209|1000</t>
        </is>
      </c>
      <c r="D98" s="15" t="inlineStr">
        <is>
          <t>28.6-0-2.65-CEW-CEW</t>
        </is>
      </c>
      <c r="E98" s="72" t="n">
        <v>15.3317282223375</v>
      </c>
      <c r="F98" s="72" t="n">
        <v>7.63425</v>
      </c>
      <c r="G98" s="93" t="n">
        <v>7.697478222337503</v>
      </c>
      <c r="H98" s="15" t="inlineStr">
        <is>
          <t>SY Cutting Constraint</t>
        </is>
      </c>
    </row>
    <row r="99">
      <c r="A99" s="368" t="inlineStr">
        <is>
          <t>0788</t>
        </is>
      </c>
      <c r="B99" s="15" t="inlineStr">
        <is>
          <t>ELKAYEM AUTO</t>
        </is>
      </c>
      <c r="C99" s="15" t="inlineStr">
        <is>
          <t>4500</t>
        </is>
      </c>
      <c r="D99" s="15" t="inlineStr">
        <is>
          <t>29.28-0-3.4-CEW-CEW</t>
        </is>
      </c>
      <c r="E99" s="72">
        <f>(3.14*(29.28-3.4)*3.4*7.85*1000)/1000000</f>
        <v/>
      </c>
      <c r="F99" s="72" t="n">
        <v>0</v>
      </c>
      <c r="G99" s="93" t="n">
        <v>2.17</v>
      </c>
      <c r="H99" s="15" t="inlineStr">
        <is>
          <t>Customer Clearance</t>
        </is>
      </c>
    </row>
    <row r="100">
      <c r="A100" s="368" t="inlineStr">
        <is>
          <t>0788</t>
        </is>
      </c>
      <c r="B100" s="15" t="inlineStr">
        <is>
          <t>KAY JAY|Narasipur Auto Component(P)Ltd</t>
        </is>
      </c>
      <c r="C100" s="15" t="inlineStr">
        <is>
          <t>357|360|385|450|5200</t>
        </is>
      </c>
      <c r="D100" s="15" t="inlineStr">
        <is>
          <t>29.4-20.4-4.5-CEW-CEW</t>
        </is>
      </c>
      <c r="E100" s="72" t="n">
        <v>28.001730482325</v>
      </c>
      <c r="F100" s="72" t="n">
        <v>22.62271099999999</v>
      </c>
      <c r="G100" s="93" t="n">
        <v>5.379019482325006</v>
      </c>
      <c r="H100" s="15" t="inlineStr">
        <is>
          <t>RM Unavailability</t>
        </is>
      </c>
    </row>
    <row r="101">
      <c r="A101" s="368" t="inlineStr">
        <is>
          <t>0788</t>
        </is>
      </c>
      <c r="B101" s="15" t="inlineStr">
        <is>
          <t>KAY JAY|Narasipur Auto Component(P)Ltd</t>
        </is>
      </c>
      <c r="C101" s="15" t="inlineStr">
        <is>
          <t>357|361|363|376</t>
        </is>
      </c>
      <c r="D101" s="15" t="inlineStr">
        <is>
          <t>29.4-20.4-4.5-CEW STKM 13C-CEW</t>
        </is>
      </c>
      <c r="E101" s="72" t="n">
        <v>27.41758430714999</v>
      </c>
      <c r="F101" s="72" t="n">
        <v>20.01807800000001</v>
      </c>
      <c r="G101" s="93" t="n">
        <v>7.399506307149988</v>
      </c>
      <c r="H101" s="15" t="inlineStr">
        <is>
          <t>RM Unavailability</t>
        </is>
      </c>
    </row>
    <row r="102">
      <c r="A102" s="368" t="inlineStr">
        <is>
          <t>0788</t>
        </is>
      </c>
      <c r="B102" s="15" t="inlineStr">
        <is>
          <t>Marathwada|Rajsriya Unit 1</t>
        </is>
      </c>
      <c r="C102" s="15" t="inlineStr">
        <is>
          <t>465|485</t>
        </is>
      </c>
      <c r="D102" s="15" t="inlineStr">
        <is>
          <t>30-25.5-2.25-CEW-CEW</t>
        </is>
      </c>
      <c r="E102" s="72" t="n">
        <v>41.6505506945625</v>
      </c>
      <c r="F102" s="72" t="n">
        <v>26.78928</v>
      </c>
      <c r="G102" s="93" t="n">
        <v>14.8612706945625</v>
      </c>
      <c r="H102" s="15" t="inlineStr">
        <is>
          <t>SY Chamfering Processing Constraint</t>
        </is>
      </c>
    </row>
    <row r="103">
      <c r="A103" s="368" t="inlineStr">
        <is>
          <t>0788</t>
        </is>
      </c>
      <c r="B103" s="15" t="inlineStr">
        <is>
          <t>NMPL 1|NMPL (HUB)</t>
        </is>
      </c>
      <c r="C103" s="15" t="inlineStr">
        <is>
          <t>940</t>
        </is>
      </c>
      <c r="D103" s="15" t="inlineStr">
        <is>
          <t>37.95-32-2.95-CEW-CEW</t>
        </is>
      </c>
      <c r="E103" s="72" t="n">
        <v>9.569234779999999</v>
      </c>
      <c r="F103" s="72" t="n">
        <v>0</v>
      </c>
      <c r="G103" s="93" t="n">
        <v>9.569234779999999</v>
      </c>
      <c r="H103" s="15" t="inlineStr">
        <is>
          <t>Delay in Rolling</t>
        </is>
      </c>
    </row>
    <row r="104">
      <c r="A104" s="368" t="inlineStr">
        <is>
          <t>0788</t>
        </is>
      </c>
      <c r="B104" s="15" t="inlineStr">
        <is>
          <t>Marathwada</t>
        </is>
      </c>
      <c r="C104" s="15" t="inlineStr">
        <is>
          <t>201</t>
        </is>
      </c>
      <c r="D104" s="15" t="inlineStr">
        <is>
          <t>38.1-0-3.66-ERW 1-FC</t>
        </is>
      </c>
      <c r="E104" s="72" t="n">
        <v>8.743143895214398</v>
      </c>
      <c r="F104" s="72" t="n">
        <v>0</v>
      </c>
      <c r="G104" s="93" t="n">
        <v>8.743143895214398</v>
      </c>
      <c r="H104" s="15" t="inlineStr">
        <is>
          <t>Delay in Rolling</t>
        </is>
      </c>
    </row>
    <row r="105">
      <c r="A105" s="368" t="inlineStr">
        <is>
          <t>0789</t>
        </is>
      </c>
      <c r="B105" s="15" t="inlineStr">
        <is>
          <t>ELKAYEM AUTO|SRIKAM HITECH</t>
        </is>
      </c>
      <c r="C105" s="15" t="inlineStr">
        <is>
          <t>278|408|772|1000</t>
        </is>
      </c>
      <c r="D105" s="15" t="inlineStr">
        <is>
          <t>12.7-0-1.2-ERW 1-PE</t>
        </is>
      </c>
      <c r="E105" s="72" t="n">
        <v>6.925580232000001</v>
      </c>
      <c r="F105" s="72" t="n">
        <v>4.461100999999999</v>
      </c>
      <c r="G105" s="93" t="n">
        <v>2.464479232000001</v>
      </c>
      <c r="H105" s="15" t="inlineStr">
        <is>
          <t>Delay in Rolling</t>
        </is>
      </c>
    </row>
    <row r="106">
      <c r="A106" s="368" t="inlineStr">
        <is>
          <t>0789</t>
        </is>
      </c>
      <c r="B106" s="15" t="inlineStr">
        <is>
          <t>Balaji press product|ELKAYEM AUTO|NMPL 1|Rajsriya Automotive|Rajsriya Mysore |Rajsriya Unit 5|Rajsriya Unit 2|SRIKAM HITECH</t>
        </is>
      </c>
      <c r="C106" s="15" t="inlineStr">
        <is>
          <t>145|187|189|250|252|255|257|260|280|295|320|393|950|1000|6000</t>
        </is>
      </c>
      <c r="D106" s="15" t="inlineStr">
        <is>
          <t>12.7-0-1.6-ERW 1-PE</t>
        </is>
      </c>
      <c r="E106" s="72" t="n">
        <v>17.915583372</v>
      </c>
      <c r="F106" s="72" t="n">
        <v>10.204658</v>
      </c>
      <c r="G106" s="93" t="n">
        <v>7.710925371999998</v>
      </c>
      <c r="H106" s="15" t="inlineStr">
        <is>
          <t>Delay in Rolling</t>
        </is>
      </c>
    </row>
    <row r="107">
      <c r="A107" s="368" t="inlineStr">
        <is>
          <t>0789</t>
        </is>
      </c>
      <c r="B107" s="15" t="inlineStr">
        <is>
          <t>Balaji press product|SRI BALAJI GEARS V3|SRIKAM HITECH</t>
        </is>
      </c>
      <c r="C107" s="15" t="inlineStr">
        <is>
          <t>100|540|680|755|888|1130|1310</t>
        </is>
      </c>
      <c r="D107" s="15" t="inlineStr">
        <is>
          <t>15.88-0-1.2-ERW 1-PE</t>
        </is>
      </c>
      <c r="E107" s="72" t="n">
        <v>15.3495633144</v>
      </c>
      <c r="F107" s="72" t="n">
        <v>7.556543000000002</v>
      </c>
      <c r="G107" s="93" t="n">
        <v>7.793020314399999</v>
      </c>
      <c r="H107" s="15" t="inlineStr">
        <is>
          <t>Delay in Rolling</t>
        </is>
      </c>
    </row>
    <row r="108">
      <c r="A108" s="368" t="inlineStr">
        <is>
          <t>0789</t>
        </is>
      </c>
      <c r="B108" s="15" t="inlineStr">
        <is>
          <t>ELKAYEM AUTO|Rajsriya Unit 2|SRIKAM HITECH</t>
        </is>
      </c>
      <c r="C108" s="15" t="inlineStr">
        <is>
          <t>435|442|1000</t>
        </is>
      </c>
      <c r="D108" s="15" t="inlineStr">
        <is>
          <t>15.88-0-1.6-ERW 1-PE</t>
        </is>
      </c>
      <c r="E108" s="72" t="n">
        <v>6.318883549439999</v>
      </c>
      <c r="F108" s="72" t="n">
        <v>3.821886000000001</v>
      </c>
      <c r="G108" s="93" t="n">
        <v>2.496997549439998</v>
      </c>
      <c r="H108" s="15" t="inlineStr">
        <is>
          <t>Customer Clearance</t>
        </is>
      </c>
    </row>
    <row r="109">
      <c r="A109" s="368" t="inlineStr">
        <is>
          <t>0789</t>
        </is>
      </c>
      <c r="B109" s="15" t="inlineStr">
        <is>
          <t>Balaji press product|NMPL 1|SANDHAR ENGINEERING PVT LTD.</t>
        </is>
      </c>
      <c r="C109" s="15" t="inlineStr">
        <is>
          <t>109|330|403|513|631|650|680|1075|1130|1275</t>
        </is>
      </c>
      <c r="D109" s="15" t="inlineStr">
        <is>
          <t>19.05-0-1.2-ERW 1-PE</t>
        </is>
      </c>
      <c r="E109" s="72" t="n">
        <v>14.48332671177</v>
      </c>
      <c r="F109" s="72" t="n">
        <v>8.817482000000002</v>
      </c>
      <c r="G109" s="93" t="n">
        <v>5.665844711769999</v>
      </c>
      <c r="H109" s="15" t="inlineStr">
        <is>
          <t>Delay in Rolling</t>
        </is>
      </c>
    </row>
    <row r="110">
      <c r="A110" s="368" t="inlineStr">
        <is>
          <t>0789</t>
        </is>
      </c>
      <c r="B110" s="15" t="inlineStr">
        <is>
          <t>Rajsriya Mysore |Rajsriya Unit 8</t>
        </is>
      </c>
      <c r="C110" s="15" t="inlineStr">
        <is>
          <t>394|775</t>
        </is>
      </c>
      <c r="D110" s="15" t="inlineStr">
        <is>
          <t>19.05-0-1.6-ERW 2 MAHS-PE</t>
        </is>
      </c>
      <c r="E110" s="72" t="n">
        <v>16.1795838808</v>
      </c>
      <c r="F110" s="72" t="n">
        <v>10.964506</v>
      </c>
      <c r="G110" s="93" t="n">
        <v>5.215077880800001</v>
      </c>
      <c r="H110" s="15" t="inlineStr">
        <is>
          <t>Delay in Rolling</t>
        </is>
      </c>
    </row>
    <row r="111">
      <c r="A111" s="368" t="inlineStr">
        <is>
          <t>0789</t>
        </is>
      </c>
      <c r="B111" s="15" t="inlineStr">
        <is>
          <t>ELKAYEM AUTO|KNITVEL NEEDLES P LTD|Rajsriya Unit 2|Rajsriya Mysore |Rajsriya Unit 5|RUCHA|SRIKAM HITECH</t>
        </is>
      </c>
      <c r="C111" s="15" t="inlineStr">
        <is>
          <t>104|213|240|259|358|475|785|815|820|830|900|6000</t>
        </is>
      </c>
      <c r="D111" s="15" t="inlineStr">
        <is>
          <t>19.05-0-2-ERW 1-PE</t>
        </is>
      </c>
      <c r="E111" s="72" t="n">
        <v>45.9333326232</v>
      </c>
      <c r="F111" s="72" t="n">
        <v>32.724274</v>
      </c>
      <c r="G111" s="93" t="n">
        <v>13.2090586232</v>
      </c>
      <c r="H111" s="15" t="inlineStr">
        <is>
          <t>Customer Clearance</t>
        </is>
      </c>
    </row>
    <row r="112">
      <c r="A112" s="368" t="inlineStr">
        <is>
          <t>0789</t>
        </is>
      </c>
      <c r="B112" s="15" t="inlineStr">
        <is>
          <t>ELKAYEM AUTO|NMPL (HUB)|Rajsriya Unit 4|SANDHAR ENGINEERING PVT LTD.|Sandhar Automach|SRIKAM HITECH</t>
        </is>
      </c>
      <c r="C112" s="15" t="inlineStr">
        <is>
          <t>140|297|673|681|1162|1308|1328</t>
        </is>
      </c>
      <c r="D112" s="15" t="inlineStr">
        <is>
          <t>22.23-0-1.2-ERW 1-PE</t>
        </is>
      </c>
      <c r="E112" s="72" t="n">
        <v>16.44990502698</v>
      </c>
      <c r="F112" s="72" t="n">
        <v>10.549806</v>
      </c>
      <c r="G112" s="93" t="n">
        <v>5.900099026980001</v>
      </c>
      <c r="H112" s="15" t="inlineStr">
        <is>
          <t>Delay in Rolling</t>
        </is>
      </c>
    </row>
    <row r="113">
      <c r="A113" s="368" t="inlineStr">
        <is>
          <t>0789</t>
        </is>
      </c>
      <c r="B113" s="15" t="inlineStr">
        <is>
          <t>ELKAYEM AUTO|KNITVEL NEEDLES P LTD|Metalman|NMPL (HUB)|NMPL 1|SANDHAR ENGINEERING PVT LTD.|Rajsriya Unit 2|Sandhar Engg Mysore |Rajsriya Unit 5|SRIKAM HITECH</t>
        </is>
      </c>
      <c r="C113" s="15" t="inlineStr">
        <is>
          <t>210|274|283|285|394|401|640|670|675|690|700|740|809|880|945|949|967|1175|1210|1222|1290|1304|1337</t>
        </is>
      </c>
      <c r="D113" s="15" t="inlineStr">
        <is>
          <t>22.23-0-1.6-ERW 1-PE</t>
        </is>
      </c>
      <c r="E113" s="72" t="n">
        <v>108.176409970091</v>
      </c>
      <c r="F113" s="72" t="n">
        <v>98.605232</v>
      </c>
      <c r="G113" s="93" t="n">
        <v>9.571177970091028</v>
      </c>
      <c r="H113" s="15" t="inlineStr">
        <is>
          <t>Delay in Rolling</t>
        </is>
      </c>
    </row>
    <row r="114">
      <c r="A114" s="368" t="inlineStr">
        <is>
          <t>0789</t>
        </is>
      </c>
      <c r="B114" s="15" t="inlineStr">
        <is>
          <t>Sandhar Automach</t>
        </is>
      </c>
      <c r="C114" s="15" t="inlineStr">
        <is>
          <t>935</t>
        </is>
      </c>
      <c r="D114" s="15" t="inlineStr">
        <is>
          <t>22.23-0-1.6-ERW 2 MAHS-PE</t>
        </is>
      </c>
      <c r="E114" s="72" t="n">
        <v>11.4109390428</v>
      </c>
      <c r="F114" s="72" t="n">
        <v>0.420072</v>
      </c>
      <c r="G114" s="93" t="n">
        <v>10.9908670428</v>
      </c>
      <c r="H114" s="15" t="inlineStr">
        <is>
          <t>Customer Clearance</t>
        </is>
      </c>
    </row>
    <row r="115">
      <c r="A115" s="368" t="inlineStr">
        <is>
          <t>0789</t>
        </is>
      </c>
      <c r="B115" s="15" t="inlineStr">
        <is>
          <t>NMPL (HUB)|NMPL 1|Rajsriya Unit 2|Rajsriya Unit 5|SANDHAR ENGINEERING PVT LTD.|Sandhar Automach|SRIKAM HITECH</t>
        </is>
      </c>
      <c r="C115" s="15" t="inlineStr">
        <is>
          <t>180|220|236|394|775|809|815|1000|1325|1385</t>
        </is>
      </c>
      <c r="D115" s="15" t="inlineStr">
        <is>
          <t>22.23-0-2-ERW 1-PE</t>
        </is>
      </c>
      <c r="E115" s="72" t="n">
        <v>50.27282210285999</v>
      </c>
      <c r="F115" s="72" t="n">
        <v>35.43738200000001</v>
      </c>
      <c r="G115" s="93" t="n">
        <v>14.83544010285998</v>
      </c>
      <c r="H115" s="15" t="inlineStr">
        <is>
          <t>Delay in Rolling</t>
        </is>
      </c>
    </row>
    <row r="116">
      <c r="A116" s="368" t="inlineStr">
        <is>
          <t>0789</t>
        </is>
      </c>
      <c r="B116" s="15" t="inlineStr">
        <is>
          <t>Sandhar Engg Mysore |SANDHAR ENGINEERING PVT LTD.</t>
        </is>
      </c>
      <c r="C116" s="15" t="inlineStr">
        <is>
          <t>855|863</t>
        </is>
      </c>
      <c r="D116" s="15" t="inlineStr">
        <is>
          <t>22.23-0-2-ERW 2-FC</t>
        </is>
      </c>
      <c r="E116" s="72" t="n">
        <v>23.78991740333586</v>
      </c>
      <c r="F116" s="72" t="n">
        <v>18.411478</v>
      </c>
      <c r="G116" s="93" t="n">
        <v>5.378439403335861</v>
      </c>
      <c r="H116" s="15" t="inlineStr">
        <is>
          <t>Delay in Rolling</t>
        </is>
      </c>
    </row>
    <row r="117">
      <c r="A117" s="368" t="inlineStr">
        <is>
          <t>0789</t>
        </is>
      </c>
      <c r="B117" s="15" t="inlineStr">
        <is>
          <t>KNITVEL NEEDLES P LTD|Sandhar Automach|SRIKAM HITECH</t>
        </is>
      </c>
      <c r="C117" s="15" t="inlineStr">
        <is>
          <t>604|812|905|925</t>
        </is>
      </c>
      <c r="D117" s="15" t="inlineStr">
        <is>
          <t>22.23-0-2-ERW 2 MAHS-PE</t>
        </is>
      </c>
      <c r="E117" s="72" t="n">
        <v>16.5501692713</v>
      </c>
      <c r="F117" s="72" t="n">
        <v>10.73716</v>
      </c>
      <c r="G117" s="93" t="n">
        <v>5.8130092713</v>
      </c>
      <c r="H117" s="15" t="inlineStr">
        <is>
          <t>Delay in Rolling</t>
        </is>
      </c>
    </row>
    <row r="118">
      <c r="A118" s="368" t="inlineStr">
        <is>
          <t>0789</t>
        </is>
      </c>
      <c r="B118" s="15" t="inlineStr">
        <is>
          <t>NMPL 1|Rajsriya Automotive|Rajsriya Unit 2|Rajsriya Mysore |Rajsriya Unit 5|SRIKAM HITECH</t>
        </is>
      </c>
      <c r="C118" s="15" t="inlineStr">
        <is>
          <t>281|350|425|427|430|1000</t>
        </is>
      </c>
      <c r="D118" s="15" t="inlineStr">
        <is>
          <t>22.23-0-2.3-ERW 1-PE</t>
        </is>
      </c>
      <c r="E118" s="72" t="n">
        <v>17.586667978715</v>
      </c>
      <c r="F118" s="72" t="n">
        <v>7.138517000000001</v>
      </c>
      <c r="G118" s="93" t="n">
        <v>10.448150978715</v>
      </c>
      <c r="H118" s="15" t="inlineStr">
        <is>
          <t>Delay in Rolling</t>
        </is>
      </c>
    </row>
    <row r="119">
      <c r="A119" s="368" t="inlineStr">
        <is>
          <t>0789</t>
        </is>
      </c>
      <c r="B119" s="15" t="inlineStr">
        <is>
          <t>ELKAYEM AUTO|SANDHAR ENGINEERING PVT LTD.|Sandhar Engg Mysore |Rajsriya Automotive|SRIKAM HITECH</t>
        </is>
      </c>
      <c r="C119" s="15" t="inlineStr">
        <is>
          <t>281|355|418|660</t>
        </is>
      </c>
      <c r="D119" s="15" t="inlineStr">
        <is>
          <t>25.4-0-2-ERW 1-FC</t>
        </is>
      </c>
      <c r="E119" s="72" t="n">
        <v>30.6902082064968</v>
      </c>
      <c r="F119" s="72" t="n">
        <v>14.28557</v>
      </c>
      <c r="G119" s="93" t="n">
        <v>16.4046382064968</v>
      </c>
      <c r="H119" s="15" t="inlineStr">
        <is>
          <t>Delay in Rolling</t>
        </is>
      </c>
    </row>
    <row r="120">
      <c r="A120" s="368" t="inlineStr">
        <is>
          <t>0789</t>
        </is>
      </c>
      <c r="B120" s="15" t="inlineStr">
        <is>
          <t xml:space="preserve">NMPL (HUB)|Rajsriya Unit 2|Sandhar Engg Mysore </t>
        </is>
      </c>
      <c r="C120" s="15" t="inlineStr">
        <is>
          <t>412|470|567</t>
        </is>
      </c>
      <c r="D120" s="15" t="inlineStr">
        <is>
          <t>25.4-0-2-ERW 1-PE</t>
        </is>
      </c>
      <c r="E120" s="72" t="n">
        <v>5.9432091264</v>
      </c>
      <c r="F120" s="72" t="n">
        <v>0</v>
      </c>
      <c r="G120" s="93" t="n">
        <v>5.9432091264</v>
      </c>
      <c r="H120" s="15" t="inlineStr">
        <is>
          <t>Delay in Rolling</t>
        </is>
      </c>
    </row>
    <row r="121">
      <c r="A121" s="368" t="inlineStr">
        <is>
          <t>0789</t>
        </is>
      </c>
      <c r="B121" s="15" t="inlineStr">
        <is>
          <t xml:space="preserve">Sandhar Engg Mysore </t>
        </is>
      </c>
      <c r="C121" s="15" t="inlineStr">
        <is>
          <t>783</t>
        </is>
      </c>
      <c r="D121" s="15" t="inlineStr">
        <is>
          <t>25.4-0-2.5-ERW 1-FC</t>
        </is>
      </c>
      <c r="E121" s="72" t="n">
        <v>29.50948731395025</v>
      </c>
      <c r="F121" s="72" t="n">
        <v>14.00733</v>
      </c>
      <c r="G121" s="93" t="n">
        <v>15.50215731395025</v>
      </c>
      <c r="H121" s="15" t="inlineStr">
        <is>
          <t>Delay in Rolling</t>
        </is>
      </c>
    </row>
    <row r="122">
      <c r="A122" s="368" t="inlineStr">
        <is>
          <t>0789</t>
        </is>
      </c>
      <c r="B122" s="15" t="inlineStr">
        <is>
          <t>Rajsriya Mysore |Rajsriya Unit 5</t>
        </is>
      </c>
      <c r="C122" s="15" t="inlineStr">
        <is>
          <t>1000</t>
        </is>
      </c>
      <c r="D122" s="15" t="inlineStr">
        <is>
          <t>31.75-0-2.5-ERW 1-FC</t>
        </is>
      </c>
      <c r="E122" s="72" t="n">
        <v>21.6294975</v>
      </c>
      <c r="F122" s="72" t="n">
        <v>0</v>
      </c>
      <c r="G122" s="93" t="n">
        <v>21.6294975</v>
      </c>
      <c r="H122" s="15" t="inlineStr">
        <is>
          <t>Delay in Rolling</t>
        </is>
      </c>
    </row>
    <row r="123">
      <c r="A123" s="368" t="inlineStr">
        <is>
          <t>0789</t>
        </is>
      </c>
      <c r="B123" s="15" t="inlineStr">
        <is>
          <t>Metalman|NMPL (HUB)|NMPL 1</t>
        </is>
      </c>
      <c r="C123" s="15" t="inlineStr">
        <is>
          <t>488|812|815|821</t>
        </is>
      </c>
      <c r="D123" s="15" t="inlineStr">
        <is>
          <t>38.1-0-1.6-ERW 1-FC</t>
        </is>
      </c>
      <c r="E123" s="72" t="n">
        <v>7.754595119199999</v>
      </c>
      <c r="F123" s="72" t="n">
        <v>2.457</v>
      </c>
      <c r="G123" s="93" t="n">
        <v>5.297595119199999</v>
      </c>
      <c r="H123" s="15" t="inlineStr">
        <is>
          <t>Delay in Rolling</t>
        </is>
      </c>
    </row>
    <row r="124">
      <c r="A124" s="368" t="inlineStr">
        <is>
          <t>0789</t>
        </is>
      </c>
      <c r="B124" s="15" t="inlineStr">
        <is>
          <t>Metalman|RUCHA</t>
        </is>
      </c>
      <c r="C124" s="15" t="inlineStr">
        <is>
          <t>875|878|930</t>
        </is>
      </c>
      <c r="D124" s="15" t="inlineStr">
        <is>
          <t>38.1-0-1.6-ERW 2 MAHS-FC</t>
        </is>
      </c>
      <c r="E124" s="72" t="n">
        <v>14.2969499535</v>
      </c>
      <c r="F124" s="72" t="n">
        <v>6.325</v>
      </c>
      <c r="G124" s="93" t="n">
        <v>7.971949953499998</v>
      </c>
      <c r="H124" s="15" t="inlineStr">
        <is>
          <t>Delay in Rolling</t>
        </is>
      </c>
    </row>
    <row r="125">
      <c r="A125" s="368" t="inlineStr">
        <is>
          <t>0789</t>
        </is>
      </c>
      <c r="B125" s="15" t="inlineStr">
        <is>
          <t>NMPL (HUB)|NMPL 1|RUCHA|Sandhar Engg Mysore |SANDHAR ENGINEERING PVT LTD.</t>
        </is>
      </c>
      <c r="C125" s="15" t="inlineStr">
        <is>
          <t>278|406|410|425|432|488|494|812|1000</t>
        </is>
      </c>
      <c r="D125" s="15" t="inlineStr">
        <is>
          <t>38.1-0-2-ERW 1-FC</t>
        </is>
      </c>
      <c r="E125" s="72" t="n">
        <v>48.53126820600001</v>
      </c>
      <c r="F125" s="72" t="n">
        <v>30.642557</v>
      </c>
      <c r="G125" s="93" t="n">
        <v>17.88871120600001</v>
      </c>
      <c r="H125" s="15" t="inlineStr">
        <is>
          <t>Delay in Rolling</t>
        </is>
      </c>
    </row>
    <row r="126">
      <c r="A126" s="368" t="inlineStr">
        <is>
          <t>0789</t>
        </is>
      </c>
      <c r="B126" s="15" t="inlineStr">
        <is>
          <t xml:space="preserve">Rajsriya Automotive|Rajsriya Mysore |Sandhar Engg Mysore </t>
        </is>
      </c>
      <c r="C126" s="15" t="inlineStr">
        <is>
          <t>848|850</t>
        </is>
      </c>
      <c r="D126" s="15" t="inlineStr">
        <is>
          <t>41.28-0-2.6-ERW 1-FC</t>
        </is>
      </c>
      <c r="E126" s="72" t="n">
        <v>45.544221586578</v>
      </c>
      <c r="F126" s="72" t="n">
        <v>37.702593</v>
      </c>
      <c r="G126" s="93" t="n">
        <v>7.841628586578004</v>
      </c>
      <c r="H126" s="15" t="inlineStr">
        <is>
          <t>Delay in Rolling</t>
        </is>
      </c>
    </row>
    <row r="127">
      <c r="A127" s="368" t="inlineStr">
        <is>
          <t>0789</t>
        </is>
      </c>
      <c r="B127" s="15" t="inlineStr">
        <is>
          <t>Metalman|Rajsriya Unit 8</t>
        </is>
      </c>
      <c r="C127" s="15" t="inlineStr">
        <is>
          <t>230|246</t>
        </is>
      </c>
      <c r="D127" s="15" t="inlineStr">
        <is>
          <t>41.28-0-3.2-ERW 1-FC</t>
        </is>
      </c>
      <c r="E127" s="72" t="n">
        <v>10.650866817024</v>
      </c>
      <c r="F127" s="72" t="n">
        <v>1.88121</v>
      </c>
      <c r="G127" s="93" t="n">
        <v>8.769656817024003</v>
      </c>
      <c r="H127" s="15" t="inlineStr">
        <is>
          <t>SY Cutting Constraint</t>
        </is>
      </c>
    </row>
    <row r="128">
      <c r="A128" s="368" t="inlineStr">
        <is>
          <t>0789</t>
        </is>
      </c>
      <c r="B128" s="15" t="inlineStr">
        <is>
          <t>ELKAYEM AUTO|Metalman|Rajsriya Unit 8|Rajsriya Mysore |TVS MOTOR COMPANY LIMITED</t>
        </is>
      </c>
      <c r="C128" s="15" t="inlineStr">
        <is>
          <t>400|835|860|880|1000</t>
        </is>
      </c>
      <c r="D128" s="15" t="inlineStr">
        <is>
          <t>40-30-1.6-ERW 1-FC</t>
        </is>
      </c>
      <c r="E128" s="72" t="n">
        <v>54.72010954720001</v>
      </c>
      <c r="F128" s="72" t="n">
        <v>38.30070499999999</v>
      </c>
      <c r="G128" s="93" t="n">
        <v>16.41940454720002</v>
      </c>
      <c r="H128" s="15" t="inlineStr">
        <is>
          <t>Delay in Rolling</t>
        </is>
      </c>
    </row>
    <row r="129">
      <c r="A129" s="368" t="inlineStr">
        <is>
          <t>0789</t>
        </is>
      </c>
      <c r="B129" s="15" t="inlineStr">
        <is>
          <t xml:space="preserve">NMPL (HUB)|Sandhar Engg Mysore </t>
        </is>
      </c>
      <c r="C129" s="15" t="inlineStr">
        <is>
          <t>196|202.5</t>
        </is>
      </c>
      <c r="D129" s="15" t="inlineStr">
        <is>
          <t>48.6-0-3.5-ERW 1-FC</t>
        </is>
      </c>
      <c r="E129" s="72" t="n">
        <v>11.03969779478912</v>
      </c>
      <c r="F129" s="72" t="n">
        <v>5.649632</v>
      </c>
      <c r="G129" s="93" t="n">
        <v>5.390065794789123</v>
      </c>
      <c r="H129" s="15" t="inlineStr">
        <is>
          <t>Customer Clearance</t>
        </is>
      </c>
    </row>
    <row r="130">
      <c r="A130" s="368" t="inlineStr">
        <is>
          <t>0789</t>
        </is>
      </c>
      <c r="B130" s="15" t="inlineStr">
        <is>
          <t>Metalman|RUCHA|Rajsriya Mysore |Rajsriya Unit 8</t>
        </is>
      </c>
      <c r="C130" s="15" t="inlineStr">
        <is>
          <t>326|346|375|526|772</t>
        </is>
      </c>
      <c r="D130" s="15" t="inlineStr">
        <is>
          <t>57.15-0-2.5-ERW 1-FC</t>
        </is>
      </c>
      <c r="E130" s="72" t="n">
        <v>38.25604330306612</v>
      </c>
      <c r="F130" s="72" t="n">
        <v>13.379376</v>
      </c>
      <c r="G130" s="93" t="n">
        <v>24.87666730306612</v>
      </c>
      <c r="H130" s="15" t="inlineStr">
        <is>
          <t>Delay in Rolling</t>
        </is>
      </c>
    </row>
    <row r="131">
      <c r="G131" s="43">
        <f>SUM(G84:G130)</f>
        <v/>
      </c>
    </row>
    <row r="133">
      <c r="A133" s="364" t="inlineStr">
        <is>
          <t>Description for sales Loss</t>
        </is>
      </c>
      <c r="B133" s="364" t="inlineStr">
        <is>
          <t>Sales Loss Volume (MT) in Apr'25</t>
        </is>
      </c>
      <c r="C133" s="364" t="inlineStr">
        <is>
          <t>Sales Loss Volume (MT) in May'25</t>
        </is>
      </c>
      <c r="D133" s="364" t="inlineStr">
        <is>
          <t>Sales Loss Volume (MT) in June'25</t>
        </is>
      </c>
    </row>
    <row r="134">
      <c r="A134" s="103" t="inlineStr">
        <is>
          <t>RM Unavailability</t>
        </is>
      </c>
      <c r="B134" s="103" t="n">
        <v>43</v>
      </c>
      <c r="C134" s="103" t="n">
        <v>206</v>
      </c>
      <c r="D134" s="372">
        <f>SUMIFS(Table23[Scehdule - Sales],Table23[Remarks],A134)</f>
        <v/>
      </c>
    </row>
    <row r="135">
      <c r="A135" s="103" t="inlineStr">
        <is>
          <t>Delay in Rolling</t>
        </is>
      </c>
      <c r="B135" s="103" t="n">
        <v>26</v>
      </c>
      <c r="C135" s="103" t="n">
        <v>60</v>
      </c>
      <c r="D135" s="372">
        <f>SUMIFS(Table23[Scehdule - Sales],Table23[Remarks],A135)</f>
        <v/>
      </c>
    </row>
    <row r="136">
      <c r="A136" s="365" t="inlineStr">
        <is>
          <t>SY Chamfering Processing Constraint</t>
        </is>
      </c>
      <c r="B136" s="103" t="n">
        <v>70</v>
      </c>
      <c r="C136" s="103" t="n">
        <v>40</v>
      </c>
      <c r="D136" s="372">
        <f>SUMIFS(Table23[Scehdule - Sales],Table23[Remarks],A136)</f>
        <v/>
      </c>
    </row>
    <row r="137">
      <c r="A137" s="365" t="inlineStr">
        <is>
          <t>SY Angle Cutting Processing Constraint</t>
        </is>
      </c>
      <c r="B137" s="103" t="n">
        <v>43</v>
      </c>
      <c r="C137" s="103" t="n">
        <v>39</v>
      </c>
      <c r="D137" s="372">
        <f>SUMIFS(Table23[Scehdule - Sales],Table23[Remarks],A137)</f>
        <v/>
      </c>
    </row>
    <row r="138">
      <c r="A138" s="103" t="inlineStr">
        <is>
          <t>Customer Clearance</t>
        </is>
      </c>
      <c r="B138" s="103" t="n">
        <v>20</v>
      </c>
      <c r="C138" s="103" t="n">
        <v>29</v>
      </c>
      <c r="D138" s="372">
        <f>SUMIFS(Table23[Scehdule - Sales],Table23[Remarks],A138)</f>
        <v/>
      </c>
    </row>
    <row r="139">
      <c r="A139" s="103" t="inlineStr">
        <is>
          <t>Payment Issue</t>
        </is>
      </c>
      <c r="B139" s="103" t="n">
        <v>16</v>
      </c>
      <c r="C139" s="103" t="n">
        <v>17</v>
      </c>
      <c r="D139" s="372">
        <f>SUMIFS(Table23[Scehdule - Sales],Table23[Remarks],A139)</f>
        <v/>
      </c>
    </row>
    <row r="140">
      <c r="A140" s="103" t="inlineStr">
        <is>
          <t>Credit Issue</t>
        </is>
      </c>
      <c r="B140" s="103" t="n">
        <v>50</v>
      </c>
      <c r="C140" s="103" t="n">
        <v>0</v>
      </c>
      <c r="D140" s="372">
        <f>SUMIFS(Table23[Scehdule - Sales],Table23[Remarks],A140)</f>
        <v/>
      </c>
    </row>
    <row r="141">
      <c r="A141" s="365" t="inlineStr">
        <is>
          <t>SY Cutting Constraint</t>
        </is>
      </c>
      <c r="B141" s="103" t="n">
        <v>0</v>
      </c>
      <c r="C141" s="103" t="n">
        <v>11</v>
      </c>
      <c r="D141" s="372">
        <f>SUMIFS(Table23[Scehdule - Sales],Table23[Remarks],A141)</f>
        <v/>
      </c>
    </row>
    <row r="142">
      <c r="A142" s="366" t="n"/>
      <c r="B142" s="373" t="n">
        <v>268</v>
      </c>
      <c r="C142" s="374" t="n">
        <v>402</v>
      </c>
      <c r="D142" s="375">
        <f>SUM(D134:D141)</f>
        <v/>
      </c>
    </row>
    <row r="161" ht="45" customHeight="1" s="584">
      <c r="A161" s="528" t="inlineStr">
        <is>
          <t>Customer</t>
        </is>
      </c>
      <c r="B161" s="528" t="inlineStr">
        <is>
          <t>CTL Size</t>
        </is>
      </c>
      <c r="C161" s="528" t="inlineStr">
        <is>
          <t>Bucket2</t>
        </is>
      </c>
      <c r="D161" s="528" t="inlineStr">
        <is>
          <t>Balance schedule TSL</t>
        </is>
      </c>
      <c r="E161" s="528" t="inlineStr">
        <is>
          <t>Stock TSL</t>
        </is>
      </c>
      <c r="F161" s="528" t="inlineStr">
        <is>
          <t>GAP TSL</t>
        </is>
      </c>
      <c r="G161" s="528" t="inlineStr">
        <is>
          <t>Remark</t>
        </is>
      </c>
    </row>
    <row r="162" ht="195" customHeight="1" s="584">
      <c r="A162" s="66" t="inlineStr">
        <is>
          <t>Balaji press product|ELKAYEM AUTO|NMPL 1|Rajsriya Unit 2|Rajsriya Automotive|Rajsriya Mysore |Rajsriya Unit 5|SRIKAM HITECH</t>
        </is>
      </c>
      <c r="B162" s="66" t="inlineStr">
        <is>
          <t>145|187|189|250|252|255|257|260|280|295|320|393|907|950|1000|6000</t>
        </is>
      </c>
      <c r="C162" t="inlineStr">
        <is>
          <t>12.7-0-1.6-ERW 1-PE</t>
        </is>
      </c>
      <c r="D162" t="n">
        <v>17.79</v>
      </c>
      <c r="E162" t="n">
        <v>3.28</v>
      </c>
      <c r="F162" t="n">
        <v>14.51</v>
      </c>
      <c r="G162" s="48" t="inlineStr">
        <is>
          <t>Delay in Rolling</t>
        </is>
      </c>
    </row>
    <row r="163" ht="60" customHeight="1" s="584">
      <c r="A163" s="66" t="inlineStr">
        <is>
          <t>ELKAYEM AUTO|ELKAYEM AUTO MYSORE |Rajsriya Mysore |Rajsriya Unit 1|Rajsriya Unit 8|RUCHA|SRIKAM HITECH</t>
        </is>
      </c>
      <c r="B163" s="66" t="inlineStr">
        <is>
          <t>155|160|291|442|537</t>
        </is>
      </c>
      <c r="C163" t="inlineStr">
        <is>
          <t>15.88-0-2-ERW 1-PE</t>
        </is>
      </c>
      <c r="D163" t="n">
        <v>5.33</v>
      </c>
      <c r="E163" t="n">
        <v>1.74</v>
      </c>
      <c r="F163" t="n">
        <v>3.59</v>
      </c>
      <c r="G163" s="103" t="inlineStr">
        <is>
          <t>RM Unavailability</t>
        </is>
      </c>
    </row>
    <row r="164" ht="165" customHeight="1" s="584">
      <c r="A164" s="66" t="inlineStr">
        <is>
          <t>Balaji press product|Marathwada|NMPL 1|SANDHAR ENGINEERING PVT LTD.</t>
        </is>
      </c>
      <c r="B164" s="66" t="inlineStr">
        <is>
          <t>109|200|330|403|513|631|650|680|682|1075|1130|1230|1275</t>
        </is>
      </c>
      <c r="C164" t="inlineStr">
        <is>
          <t>19.05-0-1.2-ERW 1-PE</t>
        </is>
      </c>
      <c r="D164" t="n">
        <v>23.1</v>
      </c>
      <c r="E164" t="n">
        <v>17.06</v>
      </c>
      <c r="F164" t="n">
        <v>6.040000000000003</v>
      </c>
      <c r="G164" s="48" t="inlineStr">
        <is>
          <t>Delay in Rolling</t>
        </is>
      </c>
    </row>
    <row r="165" ht="180" customHeight="1" s="584">
      <c r="A165" s="66" t="inlineStr">
        <is>
          <t>ELKAYEM AUTO|KNITVEL NEEDLES P LTD|Rajsriya Unit 5|Rajsriya Mysore |Rajsriya Unit 8|Rajsriya Unit 2|Rajsriya Unit 1|RUCHA|SRIKAM HITECH</t>
        </is>
      </c>
      <c r="B165" s="66" t="inlineStr">
        <is>
          <t>104|213|240|259|265|358|394|475|775|785|815|820|830|900|1000</t>
        </is>
      </c>
      <c r="C165" t="inlineStr">
        <is>
          <t>19.05-0-2-ERW 1-PE</t>
        </is>
      </c>
      <c r="D165" t="n">
        <v>29.63</v>
      </c>
      <c r="E165" t="n">
        <v>7.62</v>
      </c>
      <c r="F165" t="n">
        <v>22.00999999999999</v>
      </c>
      <c r="G165" s="103" t="inlineStr">
        <is>
          <t>RM Unavailability</t>
        </is>
      </c>
    </row>
    <row r="166" ht="300" customHeight="1" s="584">
      <c r="A166" s="66" t="inlineStr">
        <is>
          <t>ELKAYEM AUTO|KNITVEL NEEDLES P LTD|Marathwada|Metalman|NMPL 1|NMPL (HUB)|NMPL Plant|Rajsriya Unit 2|Sandhar Engg Mysore |Rajsriya Unit 5|SANDHAR ENGINEERING PVT LTD.|SRIKAM HITECH</t>
        </is>
      </c>
      <c r="B166" s="66" t="inlineStr">
        <is>
          <t>210|274|283|285|394|401|640|670|675|690|700|740|809|880|945|949|967|1175|1210|1222|1290|1304|1337</t>
        </is>
      </c>
      <c r="C166" t="inlineStr">
        <is>
          <t>22.23-0-1.6-ERW 1-PE</t>
        </is>
      </c>
      <c r="D166" t="n">
        <v>52.56</v>
      </c>
      <c r="E166" t="n">
        <v>12.61</v>
      </c>
      <c r="F166" t="n">
        <v>39.95</v>
      </c>
      <c r="G166" s="48" t="inlineStr">
        <is>
          <t>Delay in Rolling</t>
        </is>
      </c>
    </row>
    <row r="167" ht="45" customHeight="1" s="584">
      <c r="A167" s="66" t="inlineStr">
        <is>
          <t xml:space="preserve">ELKAYEM AUTO|ELKAYEM AUTO MYSORE </t>
        </is>
      </c>
      <c r="B167" s="66" t="inlineStr">
        <is>
          <t>706|715|1000</t>
        </is>
      </c>
      <c r="C167" t="inlineStr">
        <is>
          <t>22.23-0-2-ERW 1-FC</t>
        </is>
      </c>
      <c r="D167" t="n">
        <v>10.32</v>
      </c>
      <c r="E167" t="n">
        <v>0.58</v>
      </c>
      <c r="F167" t="n">
        <v>9.740000000000002</v>
      </c>
      <c r="G167" s="103" t="inlineStr">
        <is>
          <t>RM Unavailability</t>
        </is>
      </c>
    </row>
    <row r="168" ht="135" customHeight="1" s="584">
      <c r="A168" s="66" t="inlineStr">
        <is>
          <t>ELKAYEM AUTO MYSORE |NMPL 1|NMPL (HUB)|Rajsriya Unit 2|Rajsriya Unit 5|Sandhar Automach|SANDHAR ENGINEERING PVT LTD.|SRIKAM HITECH</t>
        </is>
      </c>
      <c r="B168" s="66" t="inlineStr">
        <is>
          <t>180|220|236|394|775|809|815|1000|1325|1385</t>
        </is>
      </c>
      <c r="C168" t="inlineStr">
        <is>
          <t>22.23-0-2-ERW 1-PE</t>
        </is>
      </c>
      <c r="D168" t="n">
        <v>57.8</v>
      </c>
      <c r="E168" t="n">
        <v>5.99</v>
      </c>
      <c r="F168" t="n">
        <v>51.81</v>
      </c>
      <c r="G168" s="103" t="inlineStr">
        <is>
          <t>RM Unavailability</t>
        </is>
      </c>
    </row>
    <row r="169" ht="45" customHeight="1" s="584">
      <c r="A169" s="66" t="inlineStr">
        <is>
          <t>NMPL (HUB)|Sandhar Engg Mysore |SANDHAR ENGINEERING PVT LTD.</t>
        </is>
      </c>
      <c r="B169" s="66" t="inlineStr">
        <is>
          <t>394|855|863</t>
        </is>
      </c>
      <c r="C169" t="inlineStr">
        <is>
          <t>22.23-0-2-ERW 2-FC</t>
        </is>
      </c>
      <c r="D169" t="n">
        <v>23.41</v>
      </c>
      <c r="E169" t="n">
        <v>3.16</v>
      </c>
      <c r="F169" t="n">
        <v>20.25</v>
      </c>
      <c r="G169" s="103" t="inlineStr">
        <is>
          <t>RM Unavailability</t>
        </is>
      </c>
    </row>
    <row r="170" ht="120" customHeight="1" s="584">
      <c r="A170" s="66" t="inlineStr">
        <is>
          <t>ELKAYEM AUTO|Marathwada|NMPL 1|Rajsriya Automotive|Rajsriya Unit 2|Rajsriya Mysore |Rajsriya Unit 5|SRIKAM HITECH</t>
        </is>
      </c>
      <c r="B170" s="66" t="inlineStr">
        <is>
          <t>188|220|281|295|350|425|427|430|499|1000</t>
        </is>
      </c>
      <c r="C170" t="inlineStr">
        <is>
          <t>22.23-0-2.3-ERW 1-PE</t>
        </is>
      </c>
      <c r="D170" t="n">
        <v>26.73</v>
      </c>
      <c r="E170" t="n">
        <v>2.38</v>
      </c>
      <c r="F170" t="n">
        <v>24.35</v>
      </c>
      <c r="G170" s="48" t="inlineStr">
        <is>
          <t>Delay in Rolling</t>
        </is>
      </c>
    </row>
    <row r="171" ht="60" customHeight="1" s="584">
      <c r="A171" s="66" t="inlineStr">
        <is>
          <t>Marathwada|NMPL (HUB)|NMPL 1</t>
        </is>
      </c>
      <c r="B171" s="66" t="inlineStr">
        <is>
          <t>845|1000|2550|2585</t>
        </is>
      </c>
      <c r="C171" t="inlineStr">
        <is>
          <t>25.4-0-1.2-ERW 1-PE</t>
        </is>
      </c>
      <c r="D171" t="n">
        <v>18.95</v>
      </c>
      <c r="E171" t="n">
        <v>3.3</v>
      </c>
      <c r="F171" t="n">
        <v>15.65</v>
      </c>
      <c r="G171" s="48" t="inlineStr">
        <is>
          <t>Delay in Rolling</t>
        </is>
      </c>
    </row>
    <row r="172" ht="60" customHeight="1" s="584">
      <c r="A172" s="66" t="inlineStr">
        <is>
          <t>Balaji press product|Marathwada|NMPL 1|Rajsriya Automotive</t>
        </is>
      </c>
      <c r="B172" s="66" t="inlineStr">
        <is>
          <t>360|512|2580|2590</t>
        </is>
      </c>
      <c r="C172" t="inlineStr">
        <is>
          <t>25.4-0-1.6-ERW 1-PE</t>
        </is>
      </c>
      <c r="D172" t="n">
        <v>8.420000000000002</v>
      </c>
      <c r="E172" t="n">
        <v>1.73</v>
      </c>
      <c r="F172" t="n">
        <v>6.690000000000001</v>
      </c>
      <c r="G172" s="48" t="inlineStr">
        <is>
          <t>Delay in Rolling</t>
        </is>
      </c>
    </row>
    <row r="173" ht="75" customHeight="1" s="584">
      <c r="A173" s="66" t="inlineStr">
        <is>
          <t>ELKAYEM AUTO|ELKAYEM AUTO MYSORE |Marathwada|Sandhar Engg Mysore |Rajsriya Automotive|SANDHAR ENGINEERING PVT LTD.|SRIKAM HITECH</t>
        </is>
      </c>
      <c r="B173" s="66" t="inlineStr">
        <is>
          <t>281|290|350|355|418|660</t>
        </is>
      </c>
      <c r="C173" t="inlineStr">
        <is>
          <t>25.4-0-2-ERW 1-FC</t>
        </is>
      </c>
      <c r="D173" t="n">
        <v>16.19</v>
      </c>
      <c r="E173" t="n">
        <v>6.44</v>
      </c>
      <c r="F173" t="n">
        <v>9.75</v>
      </c>
      <c r="G173" s="103" t="inlineStr">
        <is>
          <t>RM Unavailability</t>
        </is>
      </c>
    </row>
    <row r="174">
      <c r="A174" s="66" t="inlineStr">
        <is>
          <t xml:space="preserve">Sandhar Engg Mysore </t>
        </is>
      </c>
      <c r="B174" s="66" t="inlineStr">
        <is>
          <t>783</t>
        </is>
      </c>
      <c r="C174" t="inlineStr">
        <is>
          <t>25.4-0-2.5-ERW 1-FC</t>
        </is>
      </c>
      <c r="D174" t="n">
        <v>7.73</v>
      </c>
      <c r="E174" t="n">
        <v>3.26</v>
      </c>
      <c r="F174" t="n">
        <v>4.47</v>
      </c>
      <c r="G174" s="48" t="inlineStr">
        <is>
          <t>Delay in Rolling</t>
        </is>
      </c>
    </row>
    <row r="175" ht="30" customHeight="1" s="584">
      <c r="A175" s="66" t="inlineStr">
        <is>
          <t>ELKAYEM AUTO</t>
        </is>
      </c>
      <c r="B175" s="66" t="inlineStr">
        <is>
          <t>215|414</t>
        </is>
      </c>
      <c r="C175" t="inlineStr">
        <is>
          <t>28.58-0-1.6-ERW 1-FC</t>
        </is>
      </c>
      <c r="D175" t="n">
        <v>4.31</v>
      </c>
      <c r="E175" t="n">
        <v>1.13</v>
      </c>
      <c r="F175" t="n">
        <v>3.180000000000001</v>
      </c>
      <c r="G175" s="48" t="inlineStr">
        <is>
          <t>Delay in Rolling</t>
        </is>
      </c>
    </row>
    <row r="176" ht="45" customHeight="1" s="584">
      <c r="A176" s="66" t="inlineStr">
        <is>
          <t xml:space="preserve">NMPL (HUB)|Rajsriya Unit 2|Sandhar Engg Mysore </t>
        </is>
      </c>
      <c r="B176" s="66" t="inlineStr">
        <is>
          <t>412|470|567</t>
        </is>
      </c>
      <c r="C176" t="inlineStr">
        <is>
          <t>25.4-0-2-ERW 1-PE</t>
        </is>
      </c>
      <c r="D176" t="n">
        <v>5.29</v>
      </c>
      <c r="E176" t="n">
        <v>0.46</v>
      </c>
      <c r="F176" t="n">
        <v>4.83</v>
      </c>
      <c r="G176" s="103" t="inlineStr">
        <is>
          <t>RM Unavailability</t>
        </is>
      </c>
    </row>
    <row r="177">
      <c r="A177" s="66" t="inlineStr">
        <is>
          <t xml:space="preserve">ELKAYEM AUTO MYSORE </t>
        </is>
      </c>
      <c r="B177" s="66" t="inlineStr">
        <is>
          <t>1721</t>
        </is>
      </c>
      <c r="C177" t="inlineStr">
        <is>
          <t>34.93-0-2.6-ERW 1-FC</t>
        </is>
      </c>
      <c r="D177" t="n">
        <v>7.120000000000001</v>
      </c>
      <c r="E177" t="n">
        <v>6.4</v>
      </c>
      <c r="F177" t="n">
        <v>0.7200000000000006</v>
      </c>
      <c r="G177" s="103" t="inlineStr">
        <is>
          <t>RM Unavailability</t>
        </is>
      </c>
    </row>
    <row r="178" ht="45" customHeight="1" s="584">
      <c r="A178" s="66" t="inlineStr">
        <is>
          <t>Metalman|NMPL (HUB)|NMPL 1</t>
        </is>
      </c>
      <c r="B178" s="66" t="inlineStr">
        <is>
          <t>488|812|815|821</t>
        </is>
      </c>
      <c r="C178" t="inlineStr">
        <is>
          <t>38.1-0-1.6-ERW 1-FC</t>
        </is>
      </c>
      <c r="D178" t="n">
        <v>4.49</v>
      </c>
      <c r="E178" t="n">
        <v>0</v>
      </c>
      <c r="F178" t="n">
        <v>4.49</v>
      </c>
      <c r="G178" s="48" t="inlineStr">
        <is>
          <t>Delay in Rolling</t>
        </is>
      </c>
    </row>
    <row r="179" ht="60" customHeight="1" s="584">
      <c r="A179" s="66" t="inlineStr">
        <is>
          <t>Metalman|RUCHA</t>
        </is>
      </c>
      <c r="B179" s="66" t="inlineStr">
        <is>
          <t>875|878|930|1000</t>
        </is>
      </c>
      <c r="C179" t="inlineStr">
        <is>
          <t>38.1-0-1.6-ERW 2 MAHS-FC</t>
        </is>
      </c>
      <c r="D179" t="n">
        <v>10.08</v>
      </c>
      <c r="E179" t="n">
        <v>6.81</v>
      </c>
      <c r="F179" t="n">
        <v>3.27</v>
      </c>
      <c r="G179" s="48" t="inlineStr">
        <is>
          <t>Delay in Rolling</t>
        </is>
      </c>
    </row>
    <row r="180" ht="120" customHeight="1" s="584">
      <c r="A180" s="66" t="inlineStr">
        <is>
          <t>NMPL (HUB)|NMPL 1|RUCHA|Sandhar Engg Mysore |SANDHAR ENGINEERING PVT LTD.</t>
        </is>
      </c>
      <c r="B180" s="66" t="inlineStr">
        <is>
          <t>278|406|410|425|432|488|494|812|1000</t>
        </is>
      </c>
      <c r="C180" t="inlineStr">
        <is>
          <t>38.1-0-2-ERW 1-FC</t>
        </is>
      </c>
      <c r="D180" t="n">
        <v>63.54000000000001</v>
      </c>
      <c r="E180" t="n">
        <v>22.71</v>
      </c>
      <c r="F180" t="n">
        <v>40.83000000000001</v>
      </c>
      <c r="G180" s="103" t="inlineStr">
        <is>
          <t>RM Unavailability</t>
        </is>
      </c>
    </row>
    <row r="181" ht="105" customHeight="1" s="584">
      <c r="A181" s="66" t="inlineStr">
        <is>
          <t>ELKAYEM AUTO|Marathwada|Metalman|RUCHA|SANDHAR ENGINEERING PVT LTD.</t>
        </is>
      </c>
      <c r="B181" s="66" t="inlineStr">
        <is>
          <t>318|322|513|514|536|538|560|585|587</t>
        </is>
      </c>
      <c r="C181" t="inlineStr">
        <is>
          <t>40-25-1.6-ERW 1-FC</t>
        </is>
      </c>
      <c r="D181" t="n">
        <v>98.20000000000002</v>
      </c>
      <c r="E181" t="n">
        <v>67.08</v>
      </c>
      <c r="F181" t="n">
        <v>31.12000000000002</v>
      </c>
      <c r="G181" s="48" t="inlineStr">
        <is>
          <t>Delay in Rolling</t>
        </is>
      </c>
    </row>
    <row r="182">
      <c r="A182" s="66" t="inlineStr">
        <is>
          <t xml:space="preserve">Sandhar Engg Mysore </t>
        </is>
      </c>
      <c r="B182" s="66" t="inlineStr">
        <is>
          <t>561</t>
        </is>
      </c>
      <c r="C182" t="inlineStr">
        <is>
          <t>40-25-1.6-ERW 2-FC</t>
        </is>
      </c>
      <c r="D182" t="n">
        <v>8.719999999999999</v>
      </c>
      <c r="E182" t="n">
        <v>8.140000000000001</v>
      </c>
      <c r="F182" t="n">
        <v>0.5799999999999983</v>
      </c>
      <c r="G182" s="48" t="inlineStr">
        <is>
          <t>Delay in Rolling</t>
        </is>
      </c>
    </row>
    <row r="183" ht="30" customHeight="1" s="584">
      <c r="A183" s="66" t="inlineStr">
        <is>
          <t xml:space="preserve">Rajsriya Automotive|Rajsriya Mysore |Sandhar Engg Mysore </t>
        </is>
      </c>
      <c r="B183" s="66" t="inlineStr">
        <is>
          <t>848|850</t>
        </is>
      </c>
      <c r="C183" t="inlineStr">
        <is>
          <t>41.28-0-2.6-ERW 1-FC</t>
        </is>
      </c>
      <c r="D183" t="n">
        <v>26.01</v>
      </c>
      <c r="E183" t="n">
        <v>4.02</v>
      </c>
      <c r="F183" t="n">
        <v>21.99</v>
      </c>
      <c r="G183" s="48" t="inlineStr">
        <is>
          <t>Delay in Rolling</t>
        </is>
      </c>
    </row>
    <row r="184" ht="60" customHeight="1" s="584">
      <c r="A184" s="66" t="inlineStr">
        <is>
          <t>ELKAYEM AUTO|Metalman|Rajsriya Unit 8|Rajsriya Mysore |TVS MOTOR COMPANY LIMITED</t>
        </is>
      </c>
      <c r="B184" s="66" t="inlineStr">
        <is>
          <t>400|835|860|880|1000</t>
        </is>
      </c>
      <c r="C184" t="inlineStr">
        <is>
          <t>40-30-1.6-ERW 1-FC</t>
        </is>
      </c>
      <c r="D184" t="n">
        <v>32.96000000000001</v>
      </c>
      <c r="E184" t="n">
        <v>29.15</v>
      </c>
      <c r="F184" t="n">
        <v>3.810000000000009</v>
      </c>
      <c r="G184" s="48" t="inlineStr">
        <is>
          <t>Delay in Rolling</t>
        </is>
      </c>
    </row>
    <row r="185" ht="30" customHeight="1" s="584">
      <c r="A185" s="66" t="inlineStr">
        <is>
          <t xml:space="preserve">NMPL (HUB)|Sandhar Engg Mysore </t>
        </is>
      </c>
      <c r="B185" s="66" t="inlineStr">
        <is>
          <t>196|202.5</t>
        </is>
      </c>
      <c r="C185" t="inlineStr">
        <is>
          <t>48.6-0-3.5-ERW 1-FC</t>
        </is>
      </c>
      <c r="D185" t="n">
        <v>5.8</v>
      </c>
      <c r="E185" t="n">
        <v>1.76</v>
      </c>
      <c r="F185" t="n">
        <v>4.04</v>
      </c>
      <c r="G185" s="48" t="inlineStr">
        <is>
          <t>Delay in Rolling</t>
        </is>
      </c>
    </row>
    <row r="186" ht="45" customHeight="1" s="584">
      <c r="A186" s="66" t="inlineStr">
        <is>
          <t xml:space="preserve">Balaji press product|ELKAYEM AUTO|ELKAYEM AUTO MYSORE </t>
        </is>
      </c>
      <c r="B186" s="66" t="inlineStr">
        <is>
          <t>604|636|1100</t>
        </is>
      </c>
      <c r="C186" t="inlineStr">
        <is>
          <t>50-30-1.6-ERW 1-FC</t>
        </is>
      </c>
      <c r="D186" t="n">
        <v>53.97999999999999</v>
      </c>
      <c r="E186" t="n">
        <v>31.79</v>
      </c>
      <c r="F186" t="n">
        <v>22.18999999999999</v>
      </c>
      <c r="G186" s="48" t="inlineStr">
        <is>
          <t>Delay in Rolling</t>
        </is>
      </c>
    </row>
    <row r="187" ht="30" customHeight="1" s="584">
      <c r="A187" s="66" t="inlineStr">
        <is>
          <t>NMPL 1</t>
        </is>
      </c>
      <c r="B187" s="66" t="inlineStr">
        <is>
          <t>140|730</t>
        </is>
      </c>
      <c r="C187" t="inlineStr">
        <is>
          <t>50-30-2-ERW 1-FC</t>
        </is>
      </c>
      <c r="D187" t="n">
        <v>25.09</v>
      </c>
      <c r="E187" t="n">
        <v>9.050000000000001</v>
      </c>
      <c r="F187" t="n">
        <v>16.04</v>
      </c>
      <c r="G187" s="48" t="inlineStr">
        <is>
          <t>Delay in Rolling</t>
        </is>
      </c>
    </row>
    <row r="188" ht="30" customHeight="1" s="584">
      <c r="A188" s="66" t="inlineStr">
        <is>
          <t>ELKAYEM AUTO MYSORE |Rajsriya Unit 8</t>
        </is>
      </c>
      <c r="B188" s="66" t="inlineStr">
        <is>
          <t>409|713</t>
        </is>
      </c>
      <c r="C188" t="inlineStr">
        <is>
          <t>57.15-0-2-ERW 1-FC</t>
        </is>
      </c>
      <c r="D188" t="n">
        <v>14.56</v>
      </c>
      <c r="E188" t="n">
        <v>14.45</v>
      </c>
      <c r="F188" t="n">
        <v>0.1100000000000012</v>
      </c>
      <c r="G188" s="48" t="inlineStr">
        <is>
          <t>Delay in Rolling</t>
        </is>
      </c>
    </row>
    <row r="189" ht="30" customHeight="1" s="584">
      <c r="A189" s="66" t="inlineStr">
        <is>
          <t>ELKAYEM AUTO|ELKAYEM AUTO MYSORE |Laxmi</t>
        </is>
      </c>
      <c r="B189" s="66" t="inlineStr">
        <is>
          <t>641|645</t>
        </is>
      </c>
      <c r="C189" t="inlineStr">
        <is>
          <t>59-30-1.6-ERW 1-FIN CUT</t>
        </is>
      </c>
      <c r="D189" t="n">
        <v>13.79</v>
      </c>
      <c r="E189" t="n">
        <v>0.1</v>
      </c>
      <c r="F189" t="n">
        <v>13.69</v>
      </c>
      <c r="G189" s="48" t="inlineStr">
        <is>
          <t>Delay in Rolling</t>
        </is>
      </c>
    </row>
    <row r="190" ht="75" customHeight="1" s="584">
      <c r="A190" s="66" t="inlineStr">
        <is>
          <t>Metalman|Rajsriya Automotive|Rajsriya Unit 8|Rajsriya Unit 1|SRIKAM HITECH</t>
        </is>
      </c>
      <c r="B190" s="66" t="inlineStr">
        <is>
          <t>180|195|200|319|588|5000</t>
        </is>
      </c>
      <c r="C190" s="66" t="inlineStr">
        <is>
          <t>19-12.5-3.25-CEW-CEW</t>
        </is>
      </c>
      <c r="D190" t="n">
        <v>10.34</v>
      </c>
      <c r="E190" t="n">
        <v>4.06</v>
      </c>
      <c r="F190" t="n">
        <v>6.28</v>
      </c>
      <c r="G190" s="48" t="inlineStr">
        <is>
          <t>Delay in Rolling</t>
        </is>
      </c>
    </row>
    <row r="191" ht="45" customHeight="1" s="584">
      <c r="A191" s="66" t="inlineStr">
        <is>
          <t xml:space="preserve">NMPL (HUB)|NMPL 1|Sandhar Engg Mysore </t>
        </is>
      </c>
      <c r="B191" s="66" t="inlineStr">
        <is>
          <t>1000</t>
        </is>
      </c>
      <c r="C191" s="66" t="inlineStr">
        <is>
          <t>20-12.4-3.8-CEW-CEW</t>
        </is>
      </c>
      <c r="D191" t="n">
        <v>8</v>
      </c>
      <c r="E191" t="n">
        <v>0</v>
      </c>
      <c r="F191" t="n">
        <v>8</v>
      </c>
      <c r="G191" s="48" t="inlineStr">
        <is>
          <t>Delay in Rolling</t>
        </is>
      </c>
    </row>
    <row r="192" ht="45" customHeight="1" s="584">
      <c r="A192" s="66" t="inlineStr">
        <is>
          <t>Narasipur Auto Component(P)Ltd</t>
        </is>
      </c>
      <c r="B192" s="66" t="inlineStr">
        <is>
          <t>247|263</t>
        </is>
      </c>
      <c r="C192" s="66" t="inlineStr">
        <is>
          <t>25.4-18.4-3.5-CEW-CEW</t>
        </is>
      </c>
      <c r="D192" t="n">
        <v>23.53</v>
      </c>
      <c r="E192" t="n">
        <v>14.91</v>
      </c>
      <c r="F192" t="n">
        <v>8.620000000000001</v>
      </c>
      <c r="G192" s="48" t="inlineStr">
        <is>
          <t>Delay in Rolling</t>
        </is>
      </c>
    </row>
    <row r="193" ht="60" customHeight="1" s="584">
      <c r="A193" s="66" t="inlineStr">
        <is>
          <t>KAY JAY|Narasipur Auto Component(P)Ltd</t>
        </is>
      </c>
      <c r="B193" s="66" t="inlineStr">
        <is>
          <t>357|360|385|450|5200</t>
        </is>
      </c>
      <c r="C193" s="66" t="inlineStr">
        <is>
          <t>29.4-20.4-4.5-CEW-CEW</t>
        </is>
      </c>
      <c r="D193" t="n">
        <v>29.88</v>
      </c>
      <c r="E193" t="n">
        <v>8.470000000000001</v>
      </c>
      <c r="F193" t="n">
        <v>21.41</v>
      </c>
      <c r="G193" s="48" t="inlineStr">
        <is>
          <t>Delay in Rolling</t>
        </is>
      </c>
    </row>
    <row r="194" ht="60" customHeight="1" s="584">
      <c r="A194" s="66" t="inlineStr">
        <is>
          <t>NMPL (HUB)|NMPL 1</t>
        </is>
      </c>
      <c r="B194" s="66" t="inlineStr">
        <is>
          <t>940</t>
        </is>
      </c>
      <c r="C194" s="66" t="inlineStr">
        <is>
          <t>37.95-32-2.95-CEW-CEW</t>
        </is>
      </c>
      <c r="D194" t="n">
        <v>4.78</v>
      </c>
      <c r="E194" t="n">
        <v>1.46</v>
      </c>
      <c r="F194" t="n">
        <v>3.32</v>
      </c>
      <c r="G194" s="48" t="inlineStr">
        <is>
          <t>Delay in Rolling</t>
        </is>
      </c>
    </row>
    <row r="195" ht="45" customHeight="1" s="584">
      <c r="A195" s="66" t="inlineStr">
        <is>
          <t>NEEL METAL PRODUCTS LIMITED|NMPL 1|Laxmi</t>
        </is>
      </c>
      <c r="B195" s="66" t="inlineStr">
        <is>
          <t>1140|5750</t>
        </is>
      </c>
      <c r="C195" s="66" t="inlineStr">
        <is>
          <t>54-0-3-ERW 2-FC</t>
        </is>
      </c>
      <c r="D195" t="n">
        <v>11.1</v>
      </c>
      <c r="E195" t="n">
        <v>9.85</v>
      </c>
      <c r="F195" t="n">
        <v>1.249999999999998</v>
      </c>
      <c r="G195" s="48" t="inlineStr">
        <is>
          <t>Delay in Rolling</t>
        </is>
      </c>
    </row>
    <row r="196" ht="45" customHeight="1" s="584">
      <c r="A196" s="66" t="inlineStr">
        <is>
          <t>NEEL METAL PRODUCTS LIMITED|NMPL 1|Laxmi</t>
        </is>
      </c>
      <c r="B196" s="66" t="inlineStr">
        <is>
          <t>234|236|5060</t>
        </is>
      </c>
      <c r="C196" s="66" t="inlineStr">
        <is>
          <t>63.5-0-4-ERW 1-FC</t>
        </is>
      </c>
      <c r="D196" t="n">
        <v>20.76</v>
      </c>
      <c r="E196" t="n">
        <v>11.57</v>
      </c>
      <c r="F196" t="n">
        <v>9.190000000000001</v>
      </c>
      <c r="G196" s="48" t="inlineStr">
        <is>
          <t>Delay in Rolling</t>
        </is>
      </c>
    </row>
    <row r="199">
      <c r="A199" s="364" t="inlineStr">
        <is>
          <t>Description for sales Loss</t>
        </is>
      </c>
      <c r="B199" s="364" t="inlineStr">
        <is>
          <t>Sales Loss Volume (MT) in Apr'25</t>
        </is>
      </c>
      <c r="C199" s="364" t="inlineStr">
        <is>
          <t>Sales Loss Volume (MT) in May'25</t>
        </is>
      </c>
      <c r="D199" s="364" t="inlineStr">
        <is>
          <t>Sales Loss Volume (MT) in June'25</t>
        </is>
      </c>
      <c r="E199" s="364" t="inlineStr">
        <is>
          <t>Sales Loss Volume (MT) in Jan'26</t>
        </is>
      </c>
    </row>
    <row r="200">
      <c r="A200" s="103" t="inlineStr">
        <is>
          <t>RM Unavailability</t>
        </is>
      </c>
      <c r="B200" s="103" t="n">
        <v>43</v>
      </c>
      <c r="C200" s="103" t="n">
        <v>206</v>
      </c>
      <c r="D200" s="372">
        <f>SUMIFS(Table23[Scehdule - Sales],Table23[Remarks],A200)</f>
        <v/>
      </c>
      <c r="E200" s="372">
        <f>SUMIFS(Table33[GAP TSL],Table33[Remark],A200)+SUMIFS(Table34[GAP],Table34[Remark],A200)/1000</f>
        <v/>
      </c>
    </row>
    <row r="201">
      <c r="A201" s="103" t="inlineStr">
        <is>
          <t>Delay in Rolling</t>
        </is>
      </c>
      <c r="B201" s="103" t="n">
        <v>26</v>
      </c>
      <c r="C201" s="103" t="n">
        <v>60</v>
      </c>
      <c r="D201" s="372">
        <f>SUMIFS(Table23[Scehdule - Sales],Table23[Remarks],A201)</f>
        <v/>
      </c>
      <c r="E201" s="372">
        <f>SUMIFS(Table33[GAP TSL],Table33[Remark],A201)+SUMIFS(Table34[GAP],Table34[Remark],A201)/1000</f>
        <v/>
      </c>
    </row>
    <row r="202">
      <c r="A202" s="365" t="inlineStr">
        <is>
          <t>SY Chamfering Processing Constraint</t>
        </is>
      </c>
      <c r="B202" s="103" t="n">
        <v>70</v>
      </c>
      <c r="C202" s="103" t="n">
        <v>40</v>
      </c>
      <c r="D202" s="372">
        <f>SUMIFS(Table23[Scehdule - Sales],Table23[Remarks],A202)</f>
        <v/>
      </c>
      <c r="E202" s="372">
        <f>SUMIFS(Table33[GAP TSL],Table33[Remark],A202)+SUMIFS(Table34[GAP],Table34[Remark],A202)/1000</f>
        <v/>
      </c>
    </row>
    <row r="203">
      <c r="A203" s="365" t="inlineStr">
        <is>
          <t>SY Angle Cutting Processing Constraint</t>
        </is>
      </c>
      <c r="B203" s="103" t="n">
        <v>43</v>
      </c>
      <c r="C203" s="103" t="n">
        <v>39</v>
      </c>
      <c r="D203" s="372">
        <f>SUMIFS(Table23[Scehdule - Sales],Table23[Remarks],A203)</f>
        <v/>
      </c>
      <c r="E203" s="372">
        <f>SUMIFS(Table33[GAP TSL],Table33[Remark],A203)+SUMIFS(Table34[GAP],Table34[Remark],A203)/1000</f>
        <v/>
      </c>
    </row>
    <row r="204">
      <c r="A204" s="103" t="inlineStr">
        <is>
          <t>Customer Clearance</t>
        </is>
      </c>
      <c r="B204" s="103" t="n">
        <v>20</v>
      </c>
      <c r="C204" s="103" t="n">
        <v>29</v>
      </c>
      <c r="D204" s="372">
        <f>SUMIFS(Table23[Scehdule - Sales],Table23[Remarks],A204)</f>
        <v/>
      </c>
      <c r="E204" s="372">
        <f>SUMIFS(Table33[GAP TSL],Table33[Remark],A204)+SUMIFS(Table34[GAP],Table34[Remark],A204)/1000</f>
        <v/>
      </c>
    </row>
    <row r="205">
      <c r="A205" s="103" t="inlineStr">
        <is>
          <t>Payment Issue</t>
        </is>
      </c>
      <c r="B205" s="103" t="n">
        <v>16</v>
      </c>
      <c r="C205" s="103" t="n">
        <v>17</v>
      </c>
      <c r="D205" s="372">
        <f>SUMIFS(Table23[Scehdule - Sales],Table23[Remarks],A205)</f>
        <v/>
      </c>
      <c r="E205" s="372">
        <f>SUMIFS(Table33[GAP TSL],Table33[Remark],A205)+SUMIFS(Table34[GAP],Table34[Remark],A205)/1000</f>
        <v/>
      </c>
    </row>
    <row r="206">
      <c r="A206" s="103" t="inlineStr">
        <is>
          <t>Credit Issue</t>
        </is>
      </c>
      <c r="B206" s="103" t="n">
        <v>50</v>
      </c>
      <c r="C206" s="103" t="n">
        <v>0</v>
      </c>
      <c r="D206" s="372">
        <f>SUMIFS(Table23[Scehdule - Sales],Table23[Remarks],A206)</f>
        <v/>
      </c>
      <c r="E206" s="372">
        <f>SUMIFS(Table33[GAP TSL],Table33[Remark],A206)+SUMIFS(Table34[GAP],Table34[Remark],A206)/1000</f>
        <v/>
      </c>
    </row>
    <row r="207">
      <c r="A207" s="365" t="inlineStr">
        <is>
          <t>SY Cutting Constraint</t>
        </is>
      </c>
      <c r="B207" s="103" t="n">
        <v>0</v>
      </c>
      <c r="C207" s="103" t="n">
        <v>11</v>
      </c>
      <c r="D207" s="372">
        <f>SUMIFS(Table23[Scehdule - Sales],Table23[Remarks],A207)</f>
        <v/>
      </c>
      <c r="E207" s="372">
        <f>SUMIFS(Table33[GAP TSL],Table33[Remark],A207)+SUMIFS(Table34[GAP],Table34[Remark],A207)/1000</f>
        <v/>
      </c>
    </row>
    <row r="208">
      <c r="A208" s="366" t="n"/>
      <c r="B208" s="373" t="n">
        <v>268</v>
      </c>
      <c r="C208" s="374" t="n">
        <v>402</v>
      </c>
      <c r="D208" s="375">
        <f>SUM(D200:D207)</f>
        <v/>
      </c>
      <c r="E208" s="375">
        <f>SUM(E200:E207)</f>
        <v/>
      </c>
    </row>
    <row r="210">
      <c r="A210" s="535" t="inlineStr">
        <is>
          <t>O D</t>
        </is>
      </c>
      <c r="B210" s="532" t="inlineStr">
        <is>
          <t>Thk.</t>
        </is>
      </c>
      <c r="C210" s="532" t="inlineStr">
        <is>
          <t>Length</t>
        </is>
      </c>
      <c r="D210" s="532" t="inlineStr">
        <is>
          <t>Wt/Len</t>
        </is>
      </c>
      <c r="E210" s="532" t="inlineStr">
        <is>
          <t>key</t>
        </is>
      </c>
      <c r="F210" s="532" t="inlineStr">
        <is>
          <t>Grade</t>
        </is>
      </c>
      <c r="G210" s="532" t="inlineStr">
        <is>
          <t>FC/NFC</t>
        </is>
      </c>
      <c r="H210" s="532" t="inlineStr">
        <is>
          <t>HR/CR</t>
        </is>
      </c>
      <c r="I210" s="532" t="inlineStr">
        <is>
          <t>NOS</t>
        </is>
      </c>
      <c r="J210" s="533" t="inlineStr">
        <is>
          <t>Schedule</t>
        </is>
      </c>
      <c r="K210" s="533" t="inlineStr">
        <is>
          <t>Sales</t>
        </is>
      </c>
      <c r="L210" s="532" t="inlineStr">
        <is>
          <t>Stock</t>
        </is>
      </c>
      <c r="M210" s="532" t="inlineStr">
        <is>
          <t>In Transit</t>
        </is>
      </c>
      <c r="N210" s="532" t="inlineStr">
        <is>
          <t>GAP</t>
        </is>
      </c>
      <c r="O210" s="534" t="inlineStr">
        <is>
          <t>Remark</t>
        </is>
      </c>
    </row>
    <row r="211">
      <c r="A211" s="536" t="n">
        <v>22.2</v>
      </c>
      <c r="B211" s="313" t="n">
        <v>1.6</v>
      </c>
      <c r="C211" s="313" t="n">
        <v>5.27</v>
      </c>
      <c r="D211" s="313" t="n">
        <v>4.609</v>
      </c>
      <c r="E211" s="313" t="inlineStr">
        <is>
          <t>22.23-0-1.6-ERW 1-PE</t>
        </is>
      </c>
      <c r="F211" s="313" t="inlineStr">
        <is>
          <t>ERW 1</t>
        </is>
      </c>
      <c r="G211" s="313" t="inlineStr">
        <is>
          <t>NFC</t>
        </is>
      </c>
      <c r="H211" s="313" t="n"/>
      <c r="I211" s="313" t="n">
        <v>577</v>
      </c>
      <c r="J211" s="313" t="n">
        <v>85000</v>
      </c>
      <c r="K211" s="313" t="n">
        <v>40000</v>
      </c>
      <c r="L211" s="313" t="n">
        <v>2471.684987601599</v>
      </c>
      <c r="M211" s="313" t="n"/>
      <c r="N211" s="313">
        <f>J211-K211-L211</f>
        <v/>
      </c>
      <c r="O211" t="inlineStr">
        <is>
          <t>Delay in Rolling</t>
        </is>
      </c>
    </row>
    <row r="212">
      <c r="A212" s="536" t="n">
        <v>22.2</v>
      </c>
      <c r="B212" s="313" t="n">
        <v>2</v>
      </c>
      <c r="C212" s="313" t="n">
        <v>5.4</v>
      </c>
      <c r="D212" s="313" t="n">
        <v>5.38</v>
      </c>
      <c r="E212" s="313" t="inlineStr">
        <is>
          <t>22.23-0-2-ERW 1-FC</t>
        </is>
      </c>
      <c r="F212" s="313" t="inlineStr">
        <is>
          <t>ERW 1</t>
        </is>
      </c>
      <c r="G212" s="313" t="inlineStr">
        <is>
          <t>FC</t>
        </is>
      </c>
      <c r="H212" s="313" t="inlineStr">
        <is>
          <t>CR</t>
        </is>
      </c>
      <c r="I212" s="313" t="n">
        <v>921</v>
      </c>
      <c r="J212" s="313" t="n">
        <v>130000</v>
      </c>
      <c r="K212" s="313" t="n">
        <v>82000</v>
      </c>
      <c r="L212" s="313" t="n">
        <v>4955.12076564</v>
      </c>
      <c r="M212" s="313" t="n"/>
      <c r="N212" s="313">
        <f>J212-K212-L212</f>
        <v/>
      </c>
      <c r="O212" t="inlineStr">
        <is>
          <t>RM Unavailability</t>
        </is>
      </c>
    </row>
    <row r="213">
      <c r="A213" s="536" t="n">
        <v>25.4</v>
      </c>
      <c r="B213" s="313" t="n">
        <v>2.5</v>
      </c>
      <c r="C213" s="313" t="n">
        <v>5.53</v>
      </c>
      <c r="D213" s="313" t="n">
        <v>7.808</v>
      </c>
      <c r="E213" s="313" t="inlineStr">
        <is>
          <t>25.4-0-2.5-ERW 1-FC</t>
        </is>
      </c>
      <c r="F213" s="313" t="inlineStr">
        <is>
          <t>ERW 1</t>
        </is>
      </c>
      <c r="G213" s="313" t="inlineStr">
        <is>
          <t>FC</t>
        </is>
      </c>
      <c r="H213" s="313" t="n"/>
      <c r="I213" s="313" t="n">
        <v>0</v>
      </c>
      <c r="J213" s="313" t="n">
        <v>50000</v>
      </c>
      <c r="K213" s="313" t="n">
        <v>35000</v>
      </c>
      <c r="L213" s="313" t="n">
        <v>0</v>
      </c>
      <c r="M213" s="313" t="n"/>
      <c r="N213" s="313">
        <f>J213-K213-L213</f>
        <v/>
      </c>
      <c r="O213" t="inlineStr">
        <is>
          <t>Delay in Rolling</t>
        </is>
      </c>
    </row>
    <row r="214">
      <c r="A214" s="536" t="n">
        <v>31.75</v>
      </c>
      <c r="B214" s="313" t="n">
        <v>2.3</v>
      </c>
      <c r="C214" s="313" t="n">
        <v>5.92</v>
      </c>
      <c r="D214" s="313" t="n">
        <v>10.023</v>
      </c>
      <c r="E214" s="313" t="inlineStr">
        <is>
          <t>31.75-0-2.3-ERW 1-FC</t>
        </is>
      </c>
      <c r="F214" s="313" t="inlineStr">
        <is>
          <t>ERW 1</t>
        </is>
      </c>
      <c r="G214" s="313" t="inlineStr">
        <is>
          <t>FC</t>
        </is>
      </c>
      <c r="H214" s="313" t="n"/>
      <c r="I214" s="313" t="n">
        <v>149</v>
      </c>
      <c r="J214" s="313" t="n">
        <v>20000</v>
      </c>
      <c r="K214" s="313" t="n">
        <v>3800</v>
      </c>
      <c r="L214" s="313" t="n">
        <v>1473.4676273412</v>
      </c>
      <c r="M214" s="313" t="n">
        <v>1473.461</v>
      </c>
      <c r="N214" s="313">
        <f>J214-K214-L214</f>
        <v/>
      </c>
      <c r="O214" t="inlineStr">
        <is>
          <t>Delay in Rolling</t>
        </is>
      </c>
    </row>
    <row r="215">
      <c r="A215" s="536" t="n">
        <v>38.1</v>
      </c>
      <c r="B215" s="313" t="n">
        <v>2</v>
      </c>
      <c r="C215" s="313" t="n">
        <v>5.65</v>
      </c>
      <c r="D215" s="313" t="n">
        <v>10.06</v>
      </c>
      <c r="E215" s="313" t="inlineStr">
        <is>
          <t>38.1-0-2-ERW 1-FC</t>
        </is>
      </c>
      <c r="F215" s="313" t="inlineStr">
        <is>
          <t>ERW 1</t>
        </is>
      </c>
      <c r="G215" s="313" t="inlineStr">
        <is>
          <t>FC</t>
        </is>
      </c>
      <c r="H215" s="313" t="n"/>
      <c r="I215" s="313" t="n">
        <v>500</v>
      </c>
      <c r="J215" s="313" t="n">
        <v>30000</v>
      </c>
      <c r="K215" s="313" t="n">
        <v>15000</v>
      </c>
      <c r="L215" s="313" t="n">
        <v>5030.082847500001</v>
      </c>
      <c r="M215" s="313" t="n">
        <v>2141.2</v>
      </c>
      <c r="N215" s="313">
        <f>J215-K215-L215</f>
        <v/>
      </c>
      <c r="O215" t="inlineStr">
        <is>
          <t>RM Unavailability</t>
        </is>
      </c>
    </row>
  </sheetData>
  <conditionalFormatting sqref="E211">
    <cfRule type="duplicateValues" priority="4" dxfId="0"/>
  </conditionalFormatting>
  <conditionalFormatting sqref="E212">
    <cfRule type="duplicateValues" priority="3" dxfId="0"/>
  </conditionalFormatting>
  <conditionalFormatting sqref="E214">
    <cfRule type="duplicateValues" priority="2" dxfId="0"/>
  </conditionalFormatting>
  <conditionalFormatting sqref="E215">
    <cfRule type="duplicateValues" priority="1" dxfId="0"/>
  </conditionalFormatting>
  <conditionalFormatting sqref="F2:F11">
    <cfRule type="dataBar" priority="7">
      <dataBar>
        <cfvo type="min"/>
        <cfvo type="max"/>
        <color rgb="FF638EC6"/>
      </dataBar>
    </cfRule>
  </conditionalFormatting>
  <dataValidations disablePrompts="1" count="2">
    <dataValidation sqref="H84:H90 H92:H130 J83:J88" showDropDown="0" showInputMessage="1" showErrorMessage="1" allowBlank="1" type="list">
      <formula1>$J$83:$J$89</formula1>
    </dataValidation>
    <dataValidation sqref="H91" showDropDown="0" showInputMessage="1" showErrorMessage="1" allowBlank="1" type="list">
      <formula1>$J$83:$J$91</formula1>
    </dataValidation>
  </dataValidations>
  <pageMargins left="0.7" right="0.7" top="0.75" bottom="0.75" header="0.3" footer="0.3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0.xml><?xml version="1.0" encoding="utf-8"?>
<worksheet xmlns="http://schemas.openxmlformats.org/spreadsheetml/2006/main">
  <sheetPr codeName="Sheet21">
    <tabColor theme="4" tint="-0.499984740745262"/>
    <outlinePr summaryBelow="1" summaryRight="1"/>
    <pageSetUpPr/>
  </sheetPr>
  <dimension ref="D5:R15"/>
  <sheetViews>
    <sheetView workbookViewId="0">
      <selection activeCell="AA3" sqref="AA3"/>
    </sheetView>
  </sheetViews>
  <sheetFormatPr baseColWidth="8" defaultRowHeight="15"/>
  <cols>
    <col width="10.28515625" bestFit="1" customWidth="1" style="584" min="4" max="4"/>
    <col width="12.5703125" bestFit="1" customWidth="1" style="584" min="6" max="6"/>
    <col width="15.5703125" bestFit="1" customWidth="1" style="584" min="7" max="7"/>
    <col width="10.28515625" bestFit="1" customWidth="1" style="584" min="8" max="9"/>
    <col width="12.5703125" bestFit="1" customWidth="1" style="584" min="13" max="13"/>
    <col width="23.7109375" bestFit="1" customWidth="1" style="584" min="14" max="14"/>
    <col width="10.28515625" bestFit="1" customWidth="1" style="584" min="15" max="15"/>
    <col width="14.7109375" bestFit="1" customWidth="1" style="584" min="16" max="16"/>
    <col width="10" bestFit="1" customWidth="1" style="584" min="18" max="18"/>
  </cols>
  <sheetData>
    <row r="5">
      <c r="E5" s="309" t="n"/>
      <c r="F5" s="309" t="inlineStr">
        <is>
          <t>FY25</t>
        </is>
      </c>
      <c r="G5" s="309" t="inlineStr">
        <is>
          <t>kg/Vehicle</t>
        </is>
      </c>
      <c r="H5" s="309" t="n"/>
      <c r="L5" s="89" t="n"/>
      <c r="M5" s="89" t="inlineStr">
        <is>
          <t>kG/Vehicle</t>
        </is>
      </c>
      <c r="N5" s="89" t="inlineStr">
        <is>
          <t>Handlebar and Front Fork</t>
        </is>
      </c>
      <c r="O5" s="89" t="inlineStr">
        <is>
          <t>Tot</t>
        </is>
      </c>
      <c r="P5" s="89" t="inlineStr">
        <is>
          <t>Vehicles</t>
        </is>
      </c>
      <c r="Q5" s="89" t="inlineStr">
        <is>
          <t>Tubes Qty (MT)</t>
        </is>
      </c>
    </row>
    <row r="6">
      <c r="E6" s="309" t="inlineStr">
        <is>
          <t>2W Total</t>
        </is>
      </c>
      <c r="F6" s="109" t="n">
        <v>4648000</v>
      </c>
      <c r="G6" s="15" t="n"/>
      <c r="H6" s="15" t="n"/>
      <c r="L6" s="15" t="inlineStr">
        <is>
          <t>Moped</t>
        </is>
      </c>
      <c r="M6" s="15" t="n">
        <v>13</v>
      </c>
      <c r="N6" s="15" t="n">
        <v>2</v>
      </c>
      <c r="O6" s="15">
        <f>M6+N6</f>
        <v/>
      </c>
      <c r="P6" s="109" t="n">
        <v>524149</v>
      </c>
      <c r="Q6" s="134">
        <f>O6*P6/1000</f>
        <v/>
      </c>
    </row>
    <row r="7">
      <c r="E7" s="309" t="inlineStr">
        <is>
          <t>2W North</t>
        </is>
      </c>
      <c r="F7" s="109">
        <f>70000*12</f>
        <v/>
      </c>
      <c r="G7" s="15" t="n"/>
      <c r="H7" s="15" t="n"/>
      <c r="L7" s="15" t="inlineStr">
        <is>
          <t>Bike</t>
        </is>
      </c>
      <c r="M7" s="15" t="n">
        <v>8</v>
      </c>
      <c r="N7" s="15" t="n">
        <v>2</v>
      </c>
      <c r="O7" s="15">
        <f>M7+N7</f>
        <v/>
      </c>
      <c r="P7" s="109" t="n">
        <v>2219536</v>
      </c>
      <c r="Q7" s="134">
        <f>O7*P7/1000</f>
        <v/>
      </c>
    </row>
    <row r="8">
      <c r="E8" s="309" t="inlineStr">
        <is>
          <t>2W South</t>
        </is>
      </c>
      <c r="F8" s="134">
        <f>F6-F7</f>
        <v/>
      </c>
      <c r="G8" s="611" t="n">
        <v>11.79</v>
      </c>
      <c r="H8" s="134">
        <f>F8*G8/1000</f>
        <v/>
      </c>
      <c r="L8" s="15" t="inlineStr">
        <is>
          <t>Scooter</t>
        </is>
      </c>
      <c r="M8" s="15" t="n">
        <v>11</v>
      </c>
      <c r="N8" s="15" t="n">
        <v>2</v>
      </c>
      <c r="O8" s="15">
        <f>M8+N8</f>
        <v/>
      </c>
      <c r="P8" s="109" t="n">
        <v>1904982</v>
      </c>
      <c r="Q8" s="134">
        <f>O8*P8/1000</f>
        <v/>
      </c>
    </row>
    <row r="9">
      <c r="D9" s="612">
        <f>F9/12</f>
        <v/>
      </c>
      <c r="E9" s="309" t="inlineStr">
        <is>
          <t>3W South</t>
        </is>
      </c>
      <c r="F9" s="613" t="n">
        <v>133253</v>
      </c>
      <c r="G9" s="15" t="n">
        <v>15</v>
      </c>
      <c r="H9" s="134">
        <f>F9*G9/1000</f>
        <v/>
      </c>
      <c r="L9" s="310" t="inlineStr">
        <is>
          <t>Average</t>
        </is>
      </c>
      <c r="M9" s="614">
        <f>SUMPRODUCT(M6:M8,P6:P8)/P9</f>
        <v/>
      </c>
      <c r="N9" s="310" t="n"/>
      <c r="P9" s="312">
        <f>SUM(P6:P8)</f>
        <v/>
      </c>
      <c r="Q9" s="312">
        <f>SUM(Q6:Q8)</f>
        <v/>
      </c>
      <c r="R9" s="612">
        <f>F8/P9*Q9</f>
        <v/>
      </c>
    </row>
    <row r="10">
      <c r="E10" s="15" t="n"/>
      <c r="F10" s="15" t="n"/>
      <c r="G10" s="15" t="n"/>
      <c r="H10" s="134">
        <f>SUM(H8:H9)</f>
        <v/>
      </c>
      <c r="I10" s="612">
        <f>H10*45%</f>
        <v/>
      </c>
    </row>
    <row r="11">
      <c r="E11" s="15" t="n"/>
      <c r="F11" s="15" t="n"/>
      <c r="G11" s="15" t="n"/>
      <c r="H11" s="308">
        <f>H10</f>
        <v/>
      </c>
      <c r="I11" s="612">
        <f>H12-I10</f>
        <v/>
      </c>
      <c r="L11" s="89" t="n"/>
      <c r="M11" s="89" t="inlineStr">
        <is>
          <t>kG/Vehicle</t>
        </is>
      </c>
      <c r="N11" s="89" t="n"/>
      <c r="O11" s="89" t="inlineStr">
        <is>
          <t>Vehicles</t>
        </is>
      </c>
      <c r="P11" s="89" t="inlineStr">
        <is>
          <t>Tubes Qty (MT)</t>
        </is>
      </c>
    </row>
    <row r="12">
      <c r="E12" s="15" t="n"/>
      <c r="F12" s="15" t="n"/>
      <c r="G12" s="15" t="inlineStr">
        <is>
          <t>TSL to TVS South</t>
        </is>
      </c>
      <c r="H12" s="109">
        <f>23890+1905</f>
        <v/>
      </c>
      <c r="I12" s="612">
        <f>I11/12</f>
        <v/>
      </c>
      <c r="L12" s="15" t="inlineStr">
        <is>
          <t>3W</t>
        </is>
      </c>
      <c r="M12" s="15" t="n">
        <v>15</v>
      </c>
      <c r="N12" s="15" t="n"/>
      <c r="O12" s="613" t="n">
        <v>133253</v>
      </c>
      <c r="P12" s="134">
        <f>M12*O12/1000</f>
        <v/>
      </c>
    </row>
    <row r="13">
      <c r="E13" s="313" t="n"/>
      <c r="F13" s="313" t="n"/>
      <c r="G13" s="313" t="inlineStr">
        <is>
          <t>SOB%</t>
        </is>
      </c>
      <c r="H13" s="314">
        <f>H12/H10</f>
        <v/>
      </c>
    </row>
    <row r="15">
      <c r="H15" s="612">
        <f>H12/0.45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2">
    <tabColor theme="8" tint="-0.499984740745262"/>
    <outlinePr summaryBelow="1" summaryRight="1"/>
    <pageSetUpPr/>
  </sheetPr>
  <dimension ref="A1:Z21"/>
  <sheetViews>
    <sheetView zoomScale="77" zoomScaleNormal="77" workbookViewId="0">
      <selection activeCell="L10" sqref="L10"/>
    </sheetView>
  </sheetViews>
  <sheetFormatPr baseColWidth="8" defaultRowHeight="15"/>
  <cols>
    <col width="14.5703125" bestFit="1" customWidth="1" style="584" min="1" max="1"/>
    <col width="7.7109375" bestFit="1" customWidth="1" style="584" min="2" max="2"/>
    <col width="9.140625" customWidth="1" style="198" min="3" max="3"/>
    <col width="9.28515625" bestFit="1" customWidth="1" style="584" min="6" max="6"/>
    <col width="10.5703125" bestFit="1" customWidth="1" style="584" min="10" max="11"/>
    <col width="12.5703125" bestFit="1" customWidth="1" style="584" min="12" max="12"/>
    <col width="25" bestFit="1" customWidth="1" style="584" min="14" max="14"/>
  </cols>
  <sheetData>
    <row r="1">
      <c r="A1" s="219" t="inlineStr">
        <is>
          <t>Customer</t>
        </is>
      </c>
      <c r="B1" s="219" t="n"/>
      <c r="C1" s="220" t="n"/>
      <c r="D1" s="221" t="n"/>
      <c r="E1" s="221" t="n"/>
      <c r="F1" s="221" t="n"/>
      <c r="G1" s="221" t="n"/>
      <c r="H1" s="221" t="n"/>
      <c r="I1" s="221" t="n"/>
      <c r="J1" s="221" t="n"/>
      <c r="K1" s="221" t="n"/>
      <c r="L1" s="221" t="inlineStr">
        <is>
          <t>on 15th Morning</t>
        </is>
      </c>
      <c r="M1" s="221" t="n"/>
      <c r="N1" s="221" t="n"/>
      <c r="O1" s="589" t="inlineStr">
        <is>
          <t>15th May</t>
        </is>
      </c>
      <c r="P1" s="91" t="n"/>
      <c r="Q1" s="589" t="inlineStr">
        <is>
          <t>16th May</t>
        </is>
      </c>
      <c r="R1" s="91" t="n"/>
      <c r="S1" s="589" t="inlineStr">
        <is>
          <t>17th May</t>
        </is>
      </c>
      <c r="T1" s="91" t="n"/>
      <c r="U1" s="589" t="inlineStr">
        <is>
          <t>19th May</t>
        </is>
      </c>
      <c r="V1" s="91" t="n"/>
      <c r="W1" s="589" t="inlineStr">
        <is>
          <t>20th May</t>
        </is>
      </c>
      <c r="X1" s="91" t="n"/>
      <c r="Y1" s="589" t="inlineStr">
        <is>
          <t>21st May</t>
        </is>
      </c>
      <c r="Z1" s="91" t="n"/>
    </row>
    <row r="2">
      <c r="A2" s="219" t="n"/>
      <c r="B2" s="219" t="inlineStr">
        <is>
          <t>OEM</t>
        </is>
      </c>
      <c r="C2" s="222" t="inlineStr">
        <is>
          <t>OD</t>
        </is>
      </c>
      <c r="D2" s="103" t="inlineStr">
        <is>
          <t>Thk</t>
        </is>
      </c>
      <c r="E2" s="103" t="inlineStr">
        <is>
          <t>CTL Length</t>
        </is>
      </c>
      <c r="F2" s="103" t="n"/>
      <c r="G2" s="103" t="n"/>
      <c r="H2" s="103" t="n"/>
      <c r="I2" s="103" t="inlineStr">
        <is>
          <t>Schedule</t>
        </is>
      </c>
      <c r="J2" s="103" t="inlineStr">
        <is>
          <t>Despacthed</t>
        </is>
      </c>
      <c r="K2" s="103" t="inlineStr">
        <is>
          <t>Compliance</t>
        </is>
      </c>
      <c r="L2" s="222" t="inlineStr">
        <is>
          <t>FG Stk</t>
        </is>
      </c>
      <c r="M2" s="103" t="inlineStr">
        <is>
          <t>Balance</t>
        </is>
      </c>
      <c r="N2" s="103" t="inlineStr">
        <is>
          <t>Exp Shortage due to capacity</t>
        </is>
      </c>
      <c r="O2" s="219" t="inlineStr">
        <is>
          <t>Plan</t>
        </is>
      </c>
      <c r="P2" s="219" t="inlineStr">
        <is>
          <t>Actual</t>
        </is>
      </c>
      <c r="Q2" s="219" t="inlineStr">
        <is>
          <t>Plan</t>
        </is>
      </c>
      <c r="R2" s="219" t="inlineStr">
        <is>
          <t>Actual</t>
        </is>
      </c>
      <c r="S2" s="219" t="inlineStr">
        <is>
          <t>Plan</t>
        </is>
      </c>
      <c r="T2" s="219" t="inlineStr">
        <is>
          <t>Actual</t>
        </is>
      </c>
      <c r="U2" s="219" t="inlineStr">
        <is>
          <t>Plan</t>
        </is>
      </c>
      <c r="V2" s="219" t="inlineStr">
        <is>
          <t>Actual</t>
        </is>
      </c>
      <c r="W2" s="219" t="inlineStr">
        <is>
          <t>Plan</t>
        </is>
      </c>
      <c r="X2" s="219" t="inlineStr">
        <is>
          <t>Actual</t>
        </is>
      </c>
      <c r="Y2" s="219" t="inlineStr">
        <is>
          <t>Plan</t>
        </is>
      </c>
      <c r="Z2" s="219" t="inlineStr">
        <is>
          <t>Actual</t>
        </is>
      </c>
    </row>
    <row r="3">
      <c r="A3" s="223" t="inlineStr">
        <is>
          <t>NMPL</t>
        </is>
      </c>
      <c r="B3" s="223" t="inlineStr">
        <is>
          <t>TVS</t>
        </is>
      </c>
      <c r="C3" s="224" t="n">
        <v>42.7</v>
      </c>
      <c r="D3" s="224" t="n">
        <v>3.5</v>
      </c>
      <c r="E3" s="224" t="n">
        <v>210</v>
      </c>
      <c r="F3" s="224" t="inlineStr">
        <is>
          <t>Head Pipe</t>
        </is>
      </c>
      <c r="G3" s="224" t="inlineStr">
        <is>
          <t>Lathe</t>
        </is>
      </c>
      <c r="H3" s="224" t="inlineStr">
        <is>
          <t>NOS</t>
        </is>
      </c>
      <c r="I3" s="224" t="n">
        <v>40000</v>
      </c>
      <c r="J3" s="224" t="n">
        <v>9580</v>
      </c>
      <c r="K3" s="225">
        <f>J3/I3</f>
        <v/>
      </c>
      <c r="L3" s="224" t="n">
        <v>4040</v>
      </c>
      <c r="M3" s="224">
        <f>I3-J3-L3</f>
        <v/>
      </c>
      <c r="N3" s="224" t="n">
        <v>2500</v>
      </c>
      <c r="O3" s="219" t="n">
        <v>1500</v>
      </c>
      <c r="P3" s="103" t="n"/>
      <c r="Q3" s="103" t="n">
        <v>1000</v>
      </c>
      <c r="R3" s="103" t="n"/>
      <c r="S3" s="103" t="n">
        <v>1500</v>
      </c>
      <c r="T3" s="103" t="n"/>
      <c r="U3" s="103" t="n">
        <v>1000</v>
      </c>
      <c r="V3" s="103" t="n"/>
      <c r="W3" s="103" t="n">
        <v>1500</v>
      </c>
      <c r="X3" s="103" t="n"/>
      <c r="Y3" s="103" t="n">
        <v>1500</v>
      </c>
      <c r="Z3" s="103" t="n"/>
    </row>
    <row r="4">
      <c r="A4" s="223" t="inlineStr">
        <is>
          <t>Sandhar Hosur</t>
        </is>
      </c>
      <c r="B4" s="223" t="inlineStr">
        <is>
          <t>TVS</t>
        </is>
      </c>
      <c r="C4" s="224" t="n">
        <v>42.7</v>
      </c>
      <c r="D4" s="224" t="n">
        <v>3.5</v>
      </c>
      <c r="E4" s="224" t="n">
        <v>208</v>
      </c>
      <c r="F4" s="224" t="inlineStr">
        <is>
          <t>Head Pipe</t>
        </is>
      </c>
      <c r="G4" s="224" t="inlineStr">
        <is>
          <t>Lathe</t>
        </is>
      </c>
      <c r="H4" s="224" t="inlineStr">
        <is>
          <t>NOS</t>
        </is>
      </c>
      <c r="I4" s="224" t="n">
        <v>30000</v>
      </c>
      <c r="J4" s="224" t="n">
        <v>10290</v>
      </c>
      <c r="K4" s="225">
        <f>J4/I4</f>
        <v/>
      </c>
      <c r="L4" s="224" t="n">
        <v>3500</v>
      </c>
      <c r="M4" s="224">
        <f>I4-J4-L4</f>
        <v/>
      </c>
      <c r="N4" s="224" t="n">
        <v>2000</v>
      </c>
      <c r="O4" s="219" t="n">
        <v>1500</v>
      </c>
      <c r="P4" s="103" t="n"/>
      <c r="Q4" s="103" t="n">
        <v>1500</v>
      </c>
      <c r="R4" s="103" t="n"/>
      <c r="S4" s="103" t="n">
        <v>1000</v>
      </c>
      <c r="T4" s="103" t="n"/>
      <c r="U4" s="103" t="n">
        <v>1500</v>
      </c>
      <c r="V4" s="103" t="n"/>
      <c r="W4" s="103" t="n">
        <v>1000</v>
      </c>
      <c r="X4" s="103" t="n"/>
      <c r="Y4" s="103" t="n">
        <v>1000</v>
      </c>
      <c r="Z4" s="103" t="n"/>
    </row>
    <row r="5">
      <c r="A5" s="223" t="inlineStr">
        <is>
          <t>Rucha</t>
        </is>
      </c>
      <c r="B5" s="223" t="inlineStr">
        <is>
          <t>TVS</t>
        </is>
      </c>
      <c r="C5" s="224" t="n">
        <v>42.7</v>
      </c>
      <c r="D5" s="224" t="n">
        <v>3.5</v>
      </c>
      <c r="E5" s="224" t="n">
        <v>247</v>
      </c>
      <c r="F5" s="224" t="inlineStr">
        <is>
          <t>Head Pipe</t>
        </is>
      </c>
      <c r="G5" s="224" t="inlineStr">
        <is>
          <t>Lathe</t>
        </is>
      </c>
      <c r="H5" s="224" t="inlineStr">
        <is>
          <t>NOS</t>
        </is>
      </c>
      <c r="I5" s="224" t="n">
        <v>12000</v>
      </c>
      <c r="J5" s="224" t="n">
        <v>0</v>
      </c>
      <c r="K5" s="225">
        <f>J5/I5</f>
        <v/>
      </c>
      <c r="L5" s="224" t="n">
        <v>560</v>
      </c>
      <c r="M5" s="224">
        <f>I5-J5-L5</f>
        <v/>
      </c>
      <c r="N5" s="224" t="n">
        <v>11440</v>
      </c>
      <c r="O5" s="219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</row>
    <row r="6">
      <c r="A6" s="223" t="inlineStr">
        <is>
          <t>NMPL</t>
        </is>
      </c>
      <c r="B6" s="223" t="inlineStr">
        <is>
          <t>TVS</t>
        </is>
      </c>
      <c r="C6" s="224" t="n">
        <v>42.7</v>
      </c>
      <c r="D6" s="224" t="n">
        <v>3.5</v>
      </c>
      <c r="E6" s="224" t="n">
        <v>202.5</v>
      </c>
      <c r="F6" s="224" t="inlineStr">
        <is>
          <t>Head Pipe</t>
        </is>
      </c>
      <c r="G6" s="224" t="inlineStr">
        <is>
          <t>Lathe</t>
        </is>
      </c>
      <c r="H6" s="224" t="inlineStr">
        <is>
          <t>NOS</t>
        </is>
      </c>
      <c r="I6" s="224" t="n">
        <v>8400</v>
      </c>
      <c r="J6" s="224" t="n">
        <v>2370</v>
      </c>
      <c r="K6" s="225">
        <f>J6/I6</f>
        <v/>
      </c>
      <c r="L6" s="224" t="n">
        <v>2860</v>
      </c>
      <c r="M6" s="224">
        <f>I6-J6-L6</f>
        <v/>
      </c>
      <c r="N6" s="224" t="n"/>
      <c r="O6" s="219" t="n"/>
      <c r="P6" s="103" t="n"/>
      <c r="Q6" s="103" t="n"/>
      <c r="R6" s="103" t="n"/>
      <c r="S6" s="103" t="n"/>
      <c r="T6" s="103" t="n"/>
      <c r="U6" s="103" t="n"/>
      <c r="V6" s="103" t="n"/>
      <c r="W6" s="103" t="n"/>
      <c r="X6" s="103" t="n"/>
      <c r="Y6" s="103" t="n"/>
      <c r="Z6" s="103" t="n"/>
    </row>
    <row r="7">
      <c r="A7" s="226" t="inlineStr">
        <is>
          <t>Rajsriya</t>
        </is>
      </c>
      <c r="B7" s="226" t="inlineStr">
        <is>
          <t>TVS</t>
        </is>
      </c>
      <c r="C7" s="227" t="n">
        <v>42.7</v>
      </c>
      <c r="D7" s="227" t="n">
        <v>4</v>
      </c>
      <c r="E7" s="227" t="n">
        <v>254</v>
      </c>
      <c r="F7" s="227" t="inlineStr">
        <is>
          <t>Head Pipe</t>
        </is>
      </c>
      <c r="G7" s="227" t="inlineStr">
        <is>
          <t>Lathe</t>
        </is>
      </c>
      <c r="H7" s="227" t="inlineStr">
        <is>
          <t>NOS</t>
        </is>
      </c>
      <c r="I7" s="227" t="n">
        <v>11000</v>
      </c>
      <c r="J7" s="227" t="n">
        <v>0</v>
      </c>
      <c r="K7" s="227">
        <f>J7/I7</f>
        <v/>
      </c>
      <c r="L7" s="227" t="n">
        <v>1250</v>
      </c>
      <c r="M7" s="227">
        <f>I7-J7-L7</f>
        <v/>
      </c>
      <c r="N7" s="227" t="n">
        <v>5000</v>
      </c>
      <c r="O7" s="219" t="n"/>
      <c r="P7" s="103" t="n"/>
      <c r="Q7" s="103" t="n"/>
      <c r="R7" s="103" t="n"/>
      <c r="S7" s="103" t="n"/>
      <c r="T7" s="103" t="n"/>
      <c r="U7" s="103" t="n"/>
      <c r="V7" s="103" t="n"/>
      <c r="W7" s="103" t="n"/>
      <c r="X7" s="103" t="n"/>
      <c r="Y7" s="103" t="n"/>
      <c r="Z7" s="103" t="n"/>
    </row>
    <row r="8">
      <c r="A8" s="226" t="inlineStr">
        <is>
          <t>Metalman</t>
        </is>
      </c>
      <c r="B8" s="226" t="inlineStr">
        <is>
          <t>TVS</t>
        </is>
      </c>
      <c r="C8" s="227" t="n">
        <v>42.7</v>
      </c>
      <c r="D8" s="227" t="n">
        <v>4</v>
      </c>
      <c r="E8" s="227" t="n">
        <v>235</v>
      </c>
      <c r="F8" s="227" t="inlineStr">
        <is>
          <t>Head Pipe</t>
        </is>
      </c>
      <c r="G8" s="227" t="inlineStr">
        <is>
          <t>Lathe</t>
        </is>
      </c>
      <c r="H8" s="227" t="inlineStr">
        <is>
          <t>NOS</t>
        </is>
      </c>
      <c r="I8" s="227" t="n">
        <v>4000</v>
      </c>
      <c r="J8" s="227" t="n">
        <v>243</v>
      </c>
      <c r="K8" s="228">
        <f>J8/I8</f>
        <v/>
      </c>
      <c r="L8" s="227" t="n">
        <v>3350</v>
      </c>
      <c r="M8" s="227">
        <f>I8-J8-L8</f>
        <v/>
      </c>
      <c r="N8" s="227">
        <f>I8-M8</f>
        <v/>
      </c>
      <c r="O8" s="219" t="n">
        <v>1000</v>
      </c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</row>
    <row r="9">
      <c r="A9" s="226" t="inlineStr">
        <is>
          <t>Sandhar Mysore</t>
        </is>
      </c>
      <c r="B9" s="226" t="inlineStr">
        <is>
          <t>TVS</t>
        </is>
      </c>
      <c r="C9" s="227" t="n">
        <v>42.7</v>
      </c>
      <c r="D9" s="227" t="n">
        <v>4</v>
      </c>
      <c r="E9" s="227" t="n">
        <v>215</v>
      </c>
      <c r="F9" s="227" t="inlineStr">
        <is>
          <t>Head Pipe</t>
        </is>
      </c>
      <c r="G9" s="227" t="inlineStr">
        <is>
          <t>Lathe</t>
        </is>
      </c>
      <c r="H9" s="227" t="inlineStr">
        <is>
          <t>NOS</t>
        </is>
      </c>
      <c r="I9" s="227" t="n">
        <v>40000</v>
      </c>
      <c r="J9" s="227">
        <f>11200+5000</f>
        <v/>
      </c>
      <c r="K9" s="228">
        <f>J9/I9</f>
        <v/>
      </c>
      <c r="L9" s="227" t="n">
        <v>2160</v>
      </c>
      <c r="M9" s="227">
        <f>I9-J9-L9</f>
        <v/>
      </c>
      <c r="N9" s="227" t="n">
        <v>0</v>
      </c>
      <c r="O9" s="103" t="n"/>
      <c r="P9" s="103" t="n"/>
      <c r="Q9" s="103" t="n">
        <v>3500</v>
      </c>
      <c r="R9" s="103" t="n"/>
      <c r="S9" s="103" t="n">
        <v>3500</v>
      </c>
      <c r="T9" s="103" t="n"/>
      <c r="U9" s="103" t="n">
        <v>3000</v>
      </c>
      <c r="V9" s="103" t="n"/>
      <c r="W9" s="103" t="n">
        <v>3500</v>
      </c>
      <c r="X9" s="103" t="n"/>
      <c r="Y9" s="103" t="n">
        <v>3000</v>
      </c>
      <c r="Z9" s="103" t="n"/>
    </row>
    <row r="10">
      <c r="A10" s="226" t="inlineStr">
        <is>
          <t>ELKAYEM AUTO</t>
        </is>
      </c>
      <c r="B10" s="226" t="inlineStr">
        <is>
          <t>Ampere</t>
        </is>
      </c>
      <c r="C10" s="227" t="n">
        <v>42.7</v>
      </c>
      <c r="D10" s="227" t="n">
        <v>4</v>
      </c>
      <c r="E10" s="227" t="n">
        <v>290</v>
      </c>
      <c r="F10" s="227" t="inlineStr">
        <is>
          <t>Head Pipe</t>
        </is>
      </c>
      <c r="G10" s="227" t="inlineStr">
        <is>
          <t>Lathe</t>
        </is>
      </c>
      <c r="H10" s="227" t="inlineStr">
        <is>
          <t>NOS</t>
        </is>
      </c>
      <c r="I10" s="227" t="n">
        <v>6000</v>
      </c>
      <c r="J10" s="227" t="n">
        <v>1510</v>
      </c>
      <c r="K10" s="228">
        <f>J10/I10</f>
        <v/>
      </c>
      <c r="L10" s="227" t="n">
        <v>2380</v>
      </c>
      <c r="M10" s="227">
        <f>I10-J10-L10</f>
        <v/>
      </c>
      <c r="N10" s="227" t="n">
        <v>0</v>
      </c>
      <c r="O10" s="219" t="n">
        <v>1500</v>
      </c>
      <c r="P10" s="103" t="n"/>
      <c r="Q10" s="103" t="n"/>
      <c r="R10" s="103" t="n"/>
      <c r="S10" s="103" t="n"/>
      <c r="T10" s="103" t="n"/>
      <c r="U10" s="103" t="n">
        <v>1000</v>
      </c>
      <c r="V10" s="103" t="n"/>
      <c r="W10" s="103" t="n">
        <v>1000</v>
      </c>
      <c r="X10" s="103" t="n"/>
      <c r="Y10" s="103" t="n">
        <v>1000</v>
      </c>
      <c r="Z10" s="103" t="n"/>
    </row>
    <row r="11">
      <c r="A11" s="226" t="inlineStr">
        <is>
          <t>Nahar</t>
        </is>
      </c>
      <c r="B11" s="226" t="inlineStr">
        <is>
          <t>TVS</t>
        </is>
      </c>
      <c r="C11" s="227" t="n">
        <v>42.7</v>
      </c>
      <c r="D11" s="227" t="n">
        <v>4</v>
      </c>
      <c r="E11" s="227" t="n">
        <v>344</v>
      </c>
      <c r="F11" s="227" t="inlineStr">
        <is>
          <t>Head Pipe</t>
        </is>
      </c>
      <c r="G11" s="227" t="inlineStr">
        <is>
          <t>Lathe</t>
        </is>
      </c>
      <c r="H11" s="227" t="inlineStr">
        <is>
          <t>NOS</t>
        </is>
      </c>
      <c r="I11" s="227" t="n">
        <v>1000</v>
      </c>
      <c r="J11" s="227" t="n">
        <v>0</v>
      </c>
      <c r="K11" s="228">
        <f>J11/I11</f>
        <v/>
      </c>
      <c r="L11" s="227" t="n">
        <v>0</v>
      </c>
      <c r="M11" s="227">
        <f>I11-J11-L11</f>
        <v/>
      </c>
      <c r="N11" s="227" t="n">
        <v>0</v>
      </c>
      <c r="O11" s="219" t="n"/>
      <c r="P11" s="103" t="n"/>
      <c r="Q11" s="103" t="n"/>
      <c r="R11" s="103" t="n"/>
      <c r="S11" s="103" t="n">
        <v>1000</v>
      </c>
      <c r="T11" s="103" t="n"/>
      <c r="U11" s="103" t="n"/>
      <c r="V11" s="103" t="n"/>
      <c r="W11" s="103" t="n"/>
      <c r="X11" s="103" t="n"/>
      <c r="Y11" s="103" t="n"/>
      <c r="Z11" s="103" t="n"/>
    </row>
    <row r="12">
      <c r="A12" s="237" t="inlineStr">
        <is>
          <t>Thai Summit</t>
        </is>
      </c>
      <c r="B12" s="237" t="inlineStr">
        <is>
          <t>RE</t>
        </is>
      </c>
      <c r="C12" s="238" t="n">
        <v>47.63</v>
      </c>
      <c r="D12" s="238" t="n">
        <v>4</v>
      </c>
      <c r="E12" s="238" t="n">
        <v>212</v>
      </c>
      <c r="F12" s="238" t="inlineStr">
        <is>
          <t>Head Pipe</t>
        </is>
      </c>
      <c r="G12" s="238" t="inlineStr">
        <is>
          <t>Lathe</t>
        </is>
      </c>
      <c r="H12" s="238" t="inlineStr">
        <is>
          <t>NOS</t>
        </is>
      </c>
      <c r="I12" s="238" t="n">
        <v>60000</v>
      </c>
      <c r="J12" s="238">
        <f>27850+3500</f>
        <v/>
      </c>
      <c r="K12" s="239">
        <f>J12/I12</f>
        <v/>
      </c>
      <c r="L12" s="238" t="n">
        <v>770</v>
      </c>
      <c r="M12" s="238">
        <f>I12-J12-L12</f>
        <v/>
      </c>
      <c r="N12" s="238" t="n">
        <v>0</v>
      </c>
      <c r="O12" s="219" t="n">
        <v>3500</v>
      </c>
      <c r="P12" s="103" t="n"/>
      <c r="Q12" s="103" t="n">
        <v>3500</v>
      </c>
      <c r="R12" s="103" t="n"/>
      <c r="S12" s="103" t="n">
        <v>3500</v>
      </c>
      <c r="T12" s="103" t="n"/>
      <c r="U12" s="103" t="n">
        <v>3000</v>
      </c>
      <c r="V12" s="103" t="n"/>
      <c r="W12" s="103" t="n">
        <v>2500</v>
      </c>
      <c r="X12" s="103" t="n"/>
      <c r="Y12" s="103" t="n">
        <v>3500</v>
      </c>
      <c r="Z12" s="103" t="n"/>
    </row>
    <row r="13">
      <c r="A13" s="237" t="inlineStr">
        <is>
          <t>JBM</t>
        </is>
      </c>
      <c r="B13" s="237" t="inlineStr">
        <is>
          <t>RE</t>
        </is>
      </c>
      <c r="C13" s="238" t="n">
        <v>47.63</v>
      </c>
      <c r="D13" s="238" t="n">
        <v>4</v>
      </c>
      <c r="E13" s="238" t="n">
        <v>215</v>
      </c>
      <c r="F13" s="238" t="inlineStr">
        <is>
          <t>Head Pipe</t>
        </is>
      </c>
      <c r="G13" s="238" t="inlineStr">
        <is>
          <t>Lathe</t>
        </is>
      </c>
      <c r="H13" s="238" t="inlineStr">
        <is>
          <t>NOS</t>
        </is>
      </c>
      <c r="I13" s="238" t="n">
        <v>20000</v>
      </c>
      <c r="J13" s="238" t="n">
        <v>7000</v>
      </c>
      <c r="K13" s="239">
        <f>J13/I13</f>
        <v/>
      </c>
      <c r="L13" s="238" t="n">
        <v>2160</v>
      </c>
      <c r="M13" s="238">
        <f>I13-J13-L13</f>
        <v/>
      </c>
      <c r="N13" s="238" t="n">
        <v>0</v>
      </c>
      <c r="O13" s="219" t="n"/>
      <c r="P13" s="103" t="n"/>
      <c r="Q13" s="103" t="n"/>
      <c r="R13" s="103" t="n"/>
      <c r="S13" s="103" t="n"/>
      <c r="T13" s="103" t="n"/>
      <c r="U13" s="103" t="n">
        <v>1500</v>
      </c>
      <c r="V13" s="103" t="n"/>
      <c r="W13" s="103" t="n">
        <v>2000</v>
      </c>
      <c r="X13" s="103" t="n"/>
      <c r="Y13" s="103" t="n">
        <v>2000</v>
      </c>
      <c r="Z13" s="103" t="n"/>
    </row>
    <row r="14">
      <c r="A14" s="240" t="inlineStr">
        <is>
          <t>JBM</t>
        </is>
      </c>
      <c r="B14" s="240" t="inlineStr">
        <is>
          <t>RE</t>
        </is>
      </c>
      <c r="C14" s="241" t="n">
        <v>50.8</v>
      </c>
      <c r="D14" s="241" t="n">
        <v>2.6</v>
      </c>
      <c r="E14" s="241" t="n">
        <v>130</v>
      </c>
      <c r="F14" s="241" t="n"/>
      <c r="G14" s="241" t="inlineStr">
        <is>
          <t>Lathe</t>
        </is>
      </c>
      <c r="H14" s="241" t="inlineStr">
        <is>
          <t>NOS</t>
        </is>
      </c>
      <c r="I14" s="241" t="n">
        <v>12000</v>
      </c>
      <c r="J14" s="241" t="n">
        <v>2000</v>
      </c>
      <c r="K14" s="242">
        <f>J14/I14</f>
        <v/>
      </c>
      <c r="L14" s="241" t="n">
        <v>100</v>
      </c>
      <c r="M14" s="241">
        <f>I14-J14-L14</f>
        <v/>
      </c>
      <c r="N14" s="241" t="n">
        <v>0</v>
      </c>
      <c r="O14" s="219" t="n"/>
      <c r="P14" s="103" t="n"/>
      <c r="Q14" s="103" t="n"/>
      <c r="R14" s="103" t="n"/>
      <c r="S14" s="103" t="n"/>
      <c r="T14" s="103" t="n"/>
      <c r="U14" s="103" t="n"/>
      <c r="V14" s="103" t="n"/>
      <c r="W14" s="103" t="n">
        <v>1500</v>
      </c>
      <c r="X14" s="103" t="n"/>
      <c r="Y14" s="103" t="n">
        <v>1500</v>
      </c>
      <c r="Z14" s="103" t="n"/>
    </row>
    <row r="15">
      <c r="A15" s="229" t="inlineStr">
        <is>
          <t>Metalman</t>
        </is>
      </c>
      <c r="B15" s="229" t="inlineStr">
        <is>
          <t>HMSIL</t>
        </is>
      </c>
      <c r="C15" s="230" t="n">
        <v>48.6</v>
      </c>
      <c r="D15" s="230" t="n">
        <v>3.5</v>
      </c>
      <c r="E15" s="230" t="n">
        <v>185</v>
      </c>
      <c r="F15" s="230" t="inlineStr">
        <is>
          <t>Head Pipe</t>
        </is>
      </c>
      <c r="G15" s="230" t="inlineStr">
        <is>
          <t>Lathe</t>
        </is>
      </c>
      <c r="H15" s="230" t="inlineStr">
        <is>
          <t>NOS</t>
        </is>
      </c>
      <c r="I15" s="230" t="n">
        <v>8000</v>
      </c>
      <c r="J15" s="230" t="n">
        <v>0</v>
      </c>
      <c r="K15" s="231">
        <f>J15/I15</f>
        <v/>
      </c>
      <c r="L15" s="230" t="n">
        <v>0</v>
      </c>
      <c r="M15" s="230">
        <f>I15-J15-L15</f>
        <v/>
      </c>
      <c r="N15" s="230" t="n">
        <v>5000</v>
      </c>
      <c r="O15" s="219" t="n"/>
      <c r="P15" s="103" t="n"/>
      <c r="Q15" s="103" t="n"/>
      <c r="R15" s="103" t="n"/>
      <c r="S15" s="103" t="n"/>
      <c r="T15" s="103" t="n"/>
      <c r="U15" s="103" t="n"/>
      <c r="V15" s="103" t="n"/>
      <c r="W15" s="103" t="n"/>
      <c r="X15" s="103" t="n"/>
      <c r="Y15" s="103" t="n"/>
      <c r="Z15" s="103" t="n"/>
    </row>
    <row r="16">
      <c r="A16" s="229" t="inlineStr">
        <is>
          <t>NMPL</t>
        </is>
      </c>
      <c r="B16" s="229" t="inlineStr">
        <is>
          <t>TVS</t>
        </is>
      </c>
      <c r="C16" s="230" t="n">
        <v>48.6</v>
      </c>
      <c r="D16" s="230" t="n">
        <v>3.5</v>
      </c>
      <c r="E16" s="230" t="n">
        <v>196</v>
      </c>
      <c r="F16" s="230" t="inlineStr">
        <is>
          <t>Head Pipe</t>
        </is>
      </c>
      <c r="G16" s="230" t="inlineStr">
        <is>
          <t>Lathe</t>
        </is>
      </c>
      <c r="H16" s="230" t="inlineStr">
        <is>
          <t>NOS</t>
        </is>
      </c>
      <c r="I16" s="230" t="n">
        <v>15000</v>
      </c>
      <c r="J16" s="230" t="n">
        <v>2000</v>
      </c>
      <c r="K16" s="231">
        <f>J16/I16</f>
        <v/>
      </c>
      <c r="L16" s="230" t="n">
        <v>0</v>
      </c>
      <c r="M16" s="230">
        <f>I16-J16-L16</f>
        <v/>
      </c>
      <c r="N16" s="230" t="n">
        <v>5000</v>
      </c>
      <c r="O16" s="219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</row>
    <row r="17">
      <c r="A17" s="232" t="inlineStr">
        <is>
          <t>Rajsriya</t>
        </is>
      </c>
      <c r="B17" s="232" t="inlineStr">
        <is>
          <t>TVS</t>
        </is>
      </c>
      <c r="C17" s="233" t="n">
        <v>41.28</v>
      </c>
      <c r="D17" s="233" t="n">
        <v>3.2</v>
      </c>
      <c r="E17" s="233" t="n">
        <v>230</v>
      </c>
      <c r="F17" s="233" t="inlineStr">
        <is>
          <t>Head Pipe</t>
        </is>
      </c>
      <c r="G17" s="233" t="inlineStr">
        <is>
          <t>Lathe</t>
        </is>
      </c>
      <c r="H17" s="233" t="inlineStr">
        <is>
          <t>NOS</t>
        </is>
      </c>
      <c r="I17" s="233" t="n">
        <v>10000</v>
      </c>
      <c r="J17" s="233" t="n">
        <v>3720</v>
      </c>
      <c r="K17" s="234">
        <f>J17/I17</f>
        <v/>
      </c>
      <c r="L17" s="233" t="n">
        <v>0</v>
      </c>
      <c r="M17" s="233">
        <f>I17-J17-L17</f>
        <v/>
      </c>
      <c r="N17" s="233">
        <f>M17-J17</f>
        <v/>
      </c>
      <c r="O17" s="219" t="n"/>
      <c r="P17" s="103" t="n"/>
      <c r="Q17" s="103" t="n">
        <v>1500</v>
      </c>
      <c r="R17" s="103" t="n"/>
      <c r="S17" s="103" t="n"/>
      <c r="T17" s="103" t="n"/>
      <c r="U17" s="103" t="n"/>
      <c r="V17" s="103" t="n"/>
      <c r="W17" s="103" t="n"/>
      <c r="X17" s="103" t="n"/>
      <c r="Y17" s="103" t="n"/>
      <c r="Z17" s="103" t="n"/>
    </row>
    <row r="18">
      <c r="A18" s="232" t="inlineStr">
        <is>
          <t>Indo Auto</t>
        </is>
      </c>
      <c r="B18" s="232" t="inlineStr">
        <is>
          <t>Ather</t>
        </is>
      </c>
      <c r="C18" s="233" t="n">
        <v>41.28</v>
      </c>
      <c r="D18" s="233" t="n">
        <v>2.4</v>
      </c>
      <c r="E18" s="233" t="n">
        <v>204.5</v>
      </c>
      <c r="F18" s="233" t="n"/>
      <c r="G18" s="233" t="inlineStr">
        <is>
          <t>Lathe</t>
        </is>
      </c>
      <c r="H18" s="233" t="inlineStr">
        <is>
          <t>NOS</t>
        </is>
      </c>
      <c r="I18" s="233" t="n">
        <v>2000</v>
      </c>
      <c r="J18" s="233" t="n">
        <v>0</v>
      </c>
      <c r="K18" s="234">
        <f>J18/I18</f>
        <v/>
      </c>
      <c r="L18" s="233" t="n">
        <v>0</v>
      </c>
      <c r="M18" s="233">
        <f>I18-J18-L18</f>
        <v/>
      </c>
      <c r="N18" s="233" t="n">
        <v>0</v>
      </c>
      <c r="O18" s="219" t="n"/>
      <c r="P18" s="103" t="n"/>
      <c r="Q18" s="103" t="n"/>
      <c r="R18" s="103" t="n"/>
      <c r="S18" s="103" t="n">
        <v>1000</v>
      </c>
      <c r="T18" s="103" t="n"/>
      <c r="U18" s="103" t="n">
        <v>1000</v>
      </c>
      <c r="V18" s="103" t="n"/>
      <c r="W18" s="103" t="n"/>
      <c r="X18" s="103" t="n"/>
      <c r="Y18" s="103" t="n"/>
      <c r="Z18" s="103" t="n"/>
    </row>
    <row r="19">
      <c r="A19" s="232" t="inlineStr">
        <is>
          <t>Metalman</t>
        </is>
      </c>
      <c r="B19" s="232" t="inlineStr">
        <is>
          <t>TVS</t>
        </is>
      </c>
      <c r="C19" s="233" t="n">
        <v>41.28</v>
      </c>
      <c r="D19" s="233" t="n">
        <v>3.2</v>
      </c>
      <c r="E19" s="233" t="n">
        <v>246</v>
      </c>
      <c r="F19" s="233" t="inlineStr">
        <is>
          <t>Head Pipe</t>
        </is>
      </c>
      <c r="G19" s="233" t="inlineStr">
        <is>
          <t>Lathe</t>
        </is>
      </c>
      <c r="H19" s="233" t="inlineStr">
        <is>
          <t>NOS</t>
        </is>
      </c>
      <c r="I19" s="233" t="n">
        <v>6000</v>
      </c>
      <c r="J19" s="233" t="n">
        <v>1580</v>
      </c>
      <c r="K19" s="234">
        <f>J19/I19</f>
        <v/>
      </c>
      <c r="L19" s="233" t="n">
        <v>0</v>
      </c>
      <c r="M19" s="233">
        <f>I19-J19-L19</f>
        <v/>
      </c>
      <c r="N19" s="233">
        <f>M19-J19</f>
        <v/>
      </c>
      <c r="O19" s="219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</row>
    <row r="20">
      <c r="A20" s="103" t="n"/>
      <c r="B20" s="103" t="n"/>
      <c r="C20" s="222" t="n"/>
      <c r="D20" s="103" t="n"/>
      <c r="E20" s="103" t="n"/>
      <c r="F20" s="103" t="n"/>
      <c r="G20" s="103" t="n"/>
      <c r="H20" s="235" t="inlineStr">
        <is>
          <t>Total</t>
        </is>
      </c>
      <c r="I20" s="219">
        <f>SUM(I3:I19)</f>
        <v/>
      </c>
      <c r="J20" s="235" t="n"/>
      <c r="K20" s="235" t="n"/>
      <c r="L20" s="235" t="n"/>
      <c r="M20" s="219">
        <f>SUM(M3:M19)</f>
        <v/>
      </c>
      <c r="N20" s="219">
        <f>SUM(N3:N19)</f>
        <v/>
      </c>
      <c r="O20" s="222" t="n">
        <v>9000</v>
      </c>
      <c r="P20" s="222">
        <f>SUM(P3:P19)</f>
        <v/>
      </c>
      <c r="Q20" s="236">
        <f>SUM(Q3:Q19)</f>
        <v/>
      </c>
      <c r="R20" s="103" t="n"/>
      <c r="S20" s="236">
        <f>SUM(S3:S19)</f>
        <v/>
      </c>
      <c r="T20" s="103" t="n"/>
      <c r="U20" s="236">
        <f>SUM(U3:U19)</f>
        <v/>
      </c>
      <c r="V20" s="103" t="n"/>
      <c r="W20" s="236">
        <f>SUM(W3:W19)</f>
        <v/>
      </c>
      <c r="X20" s="103" t="n"/>
      <c r="Y20" s="236">
        <f>SUM(Y3:Y19)</f>
        <v/>
      </c>
      <c r="Z20" s="103" t="n"/>
    </row>
    <row r="21">
      <c r="A21" s="221" t="n"/>
      <c r="B21" s="221" t="n"/>
      <c r="C21" s="220" t="n"/>
      <c r="D21" s="221" t="n"/>
      <c r="E21" s="221" t="n"/>
      <c r="F21" s="221" t="n"/>
      <c r="G21" s="221" t="n"/>
      <c r="H21" s="221" t="n"/>
      <c r="I21" s="221" t="n"/>
      <c r="J21" s="221" t="n"/>
      <c r="K21" s="221" t="n"/>
      <c r="L21" s="221" t="n"/>
      <c r="M21" s="221" t="n"/>
      <c r="N21" s="221" t="n"/>
      <c r="O21" s="221" t="n"/>
      <c r="P21" s="221" t="n"/>
      <c r="Q21" s="589" t="inlineStr">
        <is>
          <t>Plan for 11000 nos.</t>
        </is>
      </c>
      <c r="R21" s="91" t="n"/>
      <c r="S21" s="589" t="inlineStr">
        <is>
          <t>Plan for 11000 nos.</t>
        </is>
      </c>
      <c r="T21" s="91" t="n"/>
      <c r="U21" s="589" t="inlineStr">
        <is>
          <t>Plan for 12000 nos.</t>
        </is>
      </c>
      <c r="V21" s="91" t="n"/>
      <c r="W21" s="589" t="inlineStr">
        <is>
          <t>Plan for 13000 nos.</t>
        </is>
      </c>
      <c r="X21" s="91" t="n"/>
      <c r="Y21" s="589" t="inlineStr">
        <is>
          <t>Plan for 13000 nos.</t>
        </is>
      </c>
      <c r="Z21" s="91" t="n"/>
    </row>
  </sheetData>
  <mergeCells count="11">
    <mergeCell ref="Y21:Z21"/>
    <mergeCell ref="Q1:R1"/>
    <mergeCell ref="Q21:R21"/>
    <mergeCell ref="U21:V21"/>
    <mergeCell ref="S21:T21"/>
    <mergeCell ref="W21:X21"/>
    <mergeCell ref="S1:T1"/>
    <mergeCell ref="W1:X1"/>
    <mergeCell ref="U1:V1"/>
    <mergeCell ref="Y1:Z1"/>
    <mergeCell ref="O1:P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4">
    <outlinePr summaryBelow="1" summaryRight="1"/>
    <pageSetUpPr/>
  </sheetPr>
  <dimension ref="A1:H3538"/>
  <sheetViews>
    <sheetView workbookViewId="0">
      <selection activeCell="A1" sqref="A1"/>
    </sheetView>
  </sheetViews>
  <sheetFormatPr baseColWidth="8" defaultRowHeight="15"/>
  <cols>
    <col width="16.7109375" bestFit="1" customWidth="1" style="584" min="1" max="1"/>
    <col width="37.7109375" bestFit="1" customWidth="1" style="584" min="2" max="2"/>
    <col width="13.7109375" bestFit="1" customWidth="1" style="584" min="3" max="3"/>
    <col width="11" bestFit="1" customWidth="1" style="584" min="4" max="4"/>
    <col width="25.140625" bestFit="1" customWidth="1" style="584" min="5" max="5"/>
    <col width="12" bestFit="1" customWidth="1" style="584" min="6" max="6"/>
    <col width="21" bestFit="1" customWidth="1" style="584" min="7" max="7"/>
    <col width="42.7109375" bestFit="1" customWidth="1" style="584" min="8" max="8"/>
  </cols>
  <sheetData>
    <row r="1">
      <c r="A1" t="inlineStr">
        <is>
          <t>CUSTOMER  CD</t>
        </is>
      </c>
      <c r="B1" t="inlineStr">
        <is>
          <t>CUSTOMER  NAME</t>
        </is>
      </c>
      <c r="C1" t="inlineStr">
        <is>
          <t>SALES  UNIT</t>
        </is>
      </c>
      <c r="D1" t="inlineStr">
        <is>
          <t>qty in no</t>
        </is>
      </c>
      <c r="E1" t="inlineStr">
        <is>
          <t>Domain for z_qty_meter</t>
        </is>
      </c>
      <c r="F1" t="inlineStr">
        <is>
          <t>Quantity</t>
        </is>
      </c>
      <c r="G1" t="inlineStr">
        <is>
          <t>MATERAIL NUMBER</t>
        </is>
      </c>
      <c r="H1" t="inlineStr">
        <is>
          <t>Material   Description</t>
        </is>
      </c>
    </row>
    <row r="2">
      <c r="A2" t="inlineStr">
        <is>
          <t>0000943209</t>
        </is>
      </c>
      <c r="B2" t="inlineStr">
        <is>
          <t>MEGH STEELS PRIVATE LIMITED - TVS A</t>
        </is>
      </c>
      <c r="C2" t="inlineStr">
        <is>
          <t>KG</t>
        </is>
      </c>
      <c r="D2" t="n">
        <v>127</v>
      </c>
      <c r="E2" t="n">
        <v>725.317</v>
      </c>
      <c r="F2" t="n">
        <v>2350.389</v>
      </c>
      <c r="G2" t="n">
        <v>3907863</v>
      </c>
      <c r="H2" t="inlineStr">
        <is>
          <t>TUB-O-N-AUT-AW-FC-57.15X2.500X5.7110</t>
        </is>
      </c>
    </row>
    <row r="3">
      <c r="A3" t="inlineStr">
        <is>
          <t>0000943209</t>
        </is>
      </c>
      <c r="B3" t="inlineStr">
        <is>
          <t>MEGH STEELS PRIVATE LIMITED - TVS A</t>
        </is>
      </c>
      <c r="C3" t="inlineStr">
        <is>
          <t>KG</t>
        </is>
      </c>
      <c r="D3" t="n">
        <v>127</v>
      </c>
      <c r="E3" t="n">
        <v>725.317</v>
      </c>
      <c r="F3" t="n">
        <v>2350.389</v>
      </c>
      <c r="G3" t="n">
        <v>3907863</v>
      </c>
      <c r="H3" t="inlineStr">
        <is>
          <t>TUB-O-N-AUT-AW-FC-57.15X2.500X5.7110</t>
        </is>
      </c>
    </row>
    <row r="4">
      <c r="A4" t="inlineStr">
        <is>
          <t>0000943209</t>
        </is>
      </c>
      <c r="B4" t="inlineStr">
        <is>
          <t>MEGH STEELS PRIVATE LIMITED - TVS A</t>
        </is>
      </c>
      <c r="C4" t="inlineStr">
        <is>
          <t>KG</t>
        </is>
      </c>
      <c r="D4" t="n">
        <v>127</v>
      </c>
      <c r="E4" t="n">
        <v>725.317</v>
      </c>
      <c r="F4" t="n">
        <v>2350.389</v>
      </c>
      <c r="G4" t="n">
        <v>3907863</v>
      </c>
      <c r="H4" t="inlineStr">
        <is>
          <t>TUB-O-N-AUT-AW-FC-57.15X2.500X5.7110</t>
        </is>
      </c>
    </row>
    <row r="5">
      <c r="A5" t="inlineStr">
        <is>
          <t>0000943209</t>
        </is>
      </c>
      <c r="B5" t="inlineStr">
        <is>
          <t>MEGH STEELS PRIVATE LIMITED - TVS A</t>
        </is>
      </c>
      <c r="C5" t="inlineStr">
        <is>
          <t>KG</t>
        </is>
      </c>
      <c r="D5" t="n">
        <v>138</v>
      </c>
      <c r="E5" t="n">
        <v>788.139</v>
      </c>
      <c r="F5" t="n">
        <v>2553.966</v>
      </c>
      <c r="G5" t="n">
        <v>3907863</v>
      </c>
      <c r="H5" t="inlineStr">
        <is>
          <t>TUB-O-N-AUT-AW-FC-57.15X2.500X5.7110</t>
        </is>
      </c>
    </row>
    <row r="6">
      <c r="A6" t="inlineStr">
        <is>
          <t>0000943209</t>
        </is>
      </c>
      <c r="B6" t="inlineStr">
        <is>
          <t>MEGH STEELS PRIVATE LIMITED - TVS A</t>
        </is>
      </c>
      <c r="C6" t="inlineStr">
        <is>
          <t>KG</t>
        </is>
      </c>
      <c r="D6" t="n">
        <v>138</v>
      </c>
      <c r="E6" t="n">
        <v>788.139</v>
      </c>
      <c r="F6" t="n">
        <v>2553.966</v>
      </c>
      <c r="G6" t="n">
        <v>3907863</v>
      </c>
      <c r="H6" t="inlineStr">
        <is>
          <t>TUB-O-N-AUT-AW-FC-57.15X2.500X5.7110</t>
        </is>
      </c>
    </row>
    <row r="7">
      <c r="A7" t="inlineStr">
        <is>
          <t>0000943209</t>
        </is>
      </c>
      <c r="B7" t="inlineStr">
        <is>
          <t>MEGH STEELS PRIVATE LIMITED - TVS A</t>
        </is>
      </c>
      <c r="C7" t="inlineStr">
        <is>
          <t>KG</t>
        </is>
      </c>
      <c r="D7" t="n">
        <v>138</v>
      </c>
      <c r="E7" t="n">
        <v>788.139</v>
      </c>
      <c r="F7" t="n">
        <v>2553.966</v>
      </c>
      <c r="G7" t="n">
        <v>3907863</v>
      </c>
      <c r="H7" t="inlineStr">
        <is>
          <t>TUB-O-N-AUT-AW-FC-57.15X2.500X5.7110</t>
        </is>
      </c>
    </row>
    <row r="8">
      <c r="A8" t="inlineStr">
        <is>
          <t>0000943209</t>
        </is>
      </c>
      <c r="B8" t="inlineStr">
        <is>
          <t>MEGH STEELS PRIVATE LIMITED - TVS A</t>
        </is>
      </c>
      <c r="C8" t="inlineStr">
        <is>
          <t>KG</t>
        </is>
      </c>
      <c r="D8" t="n">
        <v>60</v>
      </c>
      <c r="E8" t="n">
        <v>342.669</v>
      </c>
      <c r="F8" t="n">
        <v>1110.42</v>
      </c>
      <c r="G8" t="n">
        <v>3907863</v>
      </c>
      <c r="H8" t="inlineStr">
        <is>
          <t>TUB-O-N-AUT-AW-FC-57.15X2.500X5.7110</t>
        </is>
      </c>
    </row>
    <row r="9">
      <c r="A9" t="inlineStr">
        <is>
          <t>0000943209</t>
        </is>
      </c>
      <c r="B9" t="inlineStr">
        <is>
          <t>MEGH STEELS PRIVATE LIMITED - TVS A</t>
        </is>
      </c>
      <c r="C9" t="inlineStr">
        <is>
          <t>KG</t>
        </is>
      </c>
      <c r="D9" t="n">
        <v>127</v>
      </c>
      <c r="E9" t="n">
        <v>774.698</v>
      </c>
      <c r="F9" t="n">
        <v>2510.409</v>
      </c>
      <c r="G9" t="n">
        <v>3910001</v>
      </c>
      <c r="H9" t="inlineStr">
        <is>
          <t>TUB-O-N-AUT-AW-FC-57.15X2.500X6.1000</t>
        </is>
      </c>
    </row>
    <row r="10">
      <c r="A10" t="inlineStr">
        <is>
          <t>0000943209</t>
        </is>
      </c>
      <c r="B10" t="inlineStr">
        <is>
          <t>MEGH STEELS PRIVATE LIMITED - TVS A</t>
        </is>
      </c>
      <c r="C10" t="inlineStr">
        <is>
          <t>KG</t>
        </is>
      </c>
      <c r="D10" t="n">
        <v>127</v>
      </c>
      <c r="E10" t="n">
        <v>774.698</v>
      </c>
      <c r="F10" t="n">
        <v>2510.409</v>
      </c>
      <c r="G10" t="n">
        <v>3910001</v>
      </c>
      <c r="H10" t="inlineStr">
        <is>
          <t>TUB-O-N-AUT-AW-FC-57.15X2.500X6.1000</t>
        </is>
      </c>
    </row>
    <row r="11">
      <c r="A11" t="inlineStr">
        <is>
          <t>0000943209</t>
        </is>
      </c>
      <c r="B11" t="inlineStr">
        <is>
          <t>MEGH STEELS PRIVATE LIMITED - TVS A</t>
        </is>
      </c>
      <c r="C11" t="inlineStr">
        <is>
          <t>KG</t>
        </is>
      </c>
      <c r="D11" t="n">
        <v>127</v>
      </c>
      <c r="E11" t="n">
        <v>774.698</v>
      </c>
      <c r="F11" t="n">
        <v>2510.409</v>
      </c>
      <c r="G11" t="n">
        <v>3910001</v>
      </c>
      <c r="H11" t="inlineStr">
        <is>
          <t>TUB-O-N-AUT-AW-FC-57.15X2.500X6.1000</t>
        </is>
      </c>
    </row>
    <row r="12">
      <c r="A12" t="inlineStr">
        <is>
          <t>0000943209</t>
        </is>
      </c>
      <c r="B12" t="inlineStr">
        <is>
          <t>MEGH STEELS PRIVATE LIMITED - TVS A</t>
        </is>
      </c>
      <c r="C12" t="inlineStr">
        <is>
          <t>KG</t>
        </is>
      </c>
      <c r="D12" t="n">
        <v>26</v>
      </c>
      <c r="E12" t="n">
        <v>148.49</v>
      </c>
      <c r="F12" t="n">
        <v>481.182</v>
      </c>
      <c r="G12" t="n">
        <v>3907863</v>
      </c>
      <c r="H12" t="inlineStr">
        <is>
          <t>TUB-O-N-AUT-AW-FC-57.15X2.500X5.7110</t>
        </is>
      </c>
    </row>
    <row r="13">
      <c r="A13" t="inlineStr">
        <is>
          <t>0000943209</t>
        </is>
      </c>
      <c r="B13" t="inlineStr">
        <is>
          <t>MEGH STEELS PRIVATE LIMITED - TVS A</t>
        </is>
      </c>
      <c r="C13" t="inlineStr">
        <is>
          <t>KG</t>
        </is>
      </c>
      <c r="D13" t="n">
        <v>127</v>
      </c>
      <c r="E13" t="n">
        <v>768.3680000000001</v>
      </c>
      <c r="F13" t="n">
        <v>2991.104</v>
      </c>
      <c r="G13" t="n">
        <v>3502422</v>
      </c>
      <c r="H13" t="inlineStr">
        <is>
          <t>TUB-O-N-AUT-AW-FC-48.60X3.500X6.0500</t>
        </is>
      </c>
    </row>
    <row r="14">
      <c r="A14" t="inlineStr">
        <is>
          <t>0000943209</t>
        </is>
      </c>
      <c r="B14" t="inlineStr">
        <is>
          <t>MEGH STEELS PRIVATE LIMITED - TVS A</t>
        </is>
      </c>
      <c r="C14" t="inlineStr">
        <is>
          <t>KG</t>
        </is>
      </c>
      <c r="D14" t="n">
        <v>127</v>
      </c>
      <c r="E14" t="n">
        <v>774.698</v>
      </c>
      <c r="F14" t="n">
        <v>2510.409</v>
      </c>
      <c r="G14" t="n">
        <v>3910001</v>
      </c>
      <c r="H14" t="inlineStr">
        <is>
          <t>TUB-O-N-AUT-AW-FC-57.15X2.500X6.1000</t>
        </is>
      </c>
    </row>
    <row r="15">
      <c r="A15" t="inlineStr">
        <is>
          <t>0000943209</t>
        </is>
      </c>
      <c r="B15" t="inlineStr">
        <is>
          <t>MEGH STEELS PRIVATE LIMITED - TVS A</t>
        </is>
      </c>
      <c r="C15" t="inlineStr">
        <is>
          <t>KG</t>
        </is>
      </c>
      <c r="D15" t="n">
        <v>127</v>
      </c>
      <c r="E15" t="n">
        <v>774.698</v>
      </c>
      <c r="F15" t="n">
        <v>2510.409</v>
      </c>
      <c r="G15" t="n">
        <v>3910001</v>
      </c>
      <c r="H15" t="inlineStr">
        <is>
          <t>TUB-O-N-AUT-AW-FC-57.15X2.500X6.1000</t>
        </is>
      </c>
    </row>
    <row r="16">
      <c r="A16" t="inlineStr">
        <is>
          <t>0000943209</t>
        </is>
      </c>
      <c r="B16" t="inlineStr">
        <is>
          <t>MEGH STEELS PRIVATE LIMITED - TVS A</t>
        </is>
      </c>
      <c r="C16" t="inlineStr">
        <is>
          <t>KG</t>
        </is>
      </c>
      <c r="D16" t="n">
        <v>127</v>
      </c>
      <c r="E16" t="n">
        <v>774.698</v>
      </c>
      <c r="F16" t="n">
        <v>2510.409</v>
      </c>
      <c r="G16" t="n">
        <v>3910001</v>
      </c>
      <c r="H16" t="inlineStr">
        <is>
          <t>TUB-O-N-AUT-AW-FC-57.15X2.500X6.1000</t>
        </is>
      </c>
    </row>
    <row r="17">
      <c r="A17" t="inlineStr">
        <is>
          <t>0000943209</t>
        </is>
      </c>
      <c r="B17" t="inlineStr">
        <is>
          <t>MEGH STEELS PRIVATE LIMITED - TVS A</t>
        </is>
      </c>
      <c r="C17" t="inlineStr">
        <is>
          <t>KG</t>
        </is>
      </c>
      <c r="D17" t="n">
        <v>127</v>
      </c>
      <c r="E17" t="n">
        <v>774.698</v>
      </c>
      <c r="F17" t="n">
        <v>2510.409</v>
      </c>
      <c r="G17" t="n">
        <v>3910001</v>
      </c>
      <c r="H17" t="inlineStr">
        <is>
          <t>TUB-O-N-AUT-AW-FC-57.15X2.500X6.1000</t>
        </is>
      </c>
    </row>
    <row r="18">
      <c r="A18" t="inlineStr">
        <is>
          <t>0000943209</t>
        </is>
      </c>
      <c r="B18" t="inlineStr">
        <is>
          <t>MEGH STEELS PRIVATE LIMITED - TVS A</t>
        </is>
      </c>
      <c r="C18" t="inlineStr">
        <is>
          <t>KG</t>
        </is>
      </c>
      <c r="D18" t="n">
        <v>127</v>
      </c>
      <c r="E18" t="n">
        <v>774.698</v>
      </c>
      <c r="F18" t="n">
        <v>2510.409</v>
      </c>
      <c r="G18" t="n">
        <v>3910001</v>
      </c>
      <c r="H18" t="inlineStr">
        <is>
          <t>TUB-O-N-AUT-AW-FC-57.15X2.500X6.1000</t>
        </is>
      </c>
    </row>
    <row r="19">
      <c r="A19" t="inlineStr">
        <is>
          <t>0000943209</t>
        </is>
      </c>
      <c r="B19" t="inlineStr">
        <is>
          <t>MEGH STEELS PRIVATE LIMITED - TVS A</t>
        </is>
      </c>
      <c r="C19" t="inlineStr">
        <is>
          <t>KG</t>
        </is>
      </c>
      <c r="D19" t="n">
        <v>126</v>
      </c>
      <c r="E19" t="n">
        <v>768.598</v>
      </c>
      <c r="F19" t="n">
        <v>2490.642</v>
      </c>
      <c r="G19" t="n">
        <v>3910001</v>
      </c>
      <c r="H19" t="inlineStr">
        <is>
          <t>TUB-O-N-AUT-AW-FC-57.15X2.500X6.1000</t>
        </is>
      </c>
    </row>
    <row r="20">
      <c r="A20" t="inlineStr">
        <is>
          <t>0000943209</t>
        </is>
      </c>
      <c r="B20" t="inlineStr">
        <is>
          <t>MEGH STEELS PRIVATE LIMITED - TVS A</t>
        </is>
      </c>
      <c r="C20" t="inlineStr">
        <is>
          <t>KG</t>
        </is>
      </c>
      <c r="D20" t="n">
        <v>125</v>
      </c>
      <c r="E20" t="n">
        <v>762.498</v>
      </c>
      <c r="F20" t="n">
        <v>2470.875</v>
      </c>
      <c r="G20" t="n">
        <v>3910001</v>
      </c>
      <c r="H20" t="inlineStr">
        <is>
          <t>TUB-O-N-AUT-AW-FC-57.15X2.500X6.1000</t>
        </is>
      </c>
    </row>
    <row r="21">
      <c r="A21" t="inlineStr">
        <is>
          <t>0000943209</t>
        </is>
      </c>
      <c r="B21" t="inlineStr">
        <is>
          <t>MEGH STEELS PRIVATE LIMITED - TVS A</t>
        </is>
      </c>
      <c r="C21" t="inlineStr">
        <is>
          <t>KG</t>
        </is>
      </c>
      <c r="D21" t="n">
        <v>96</v>
      </c>
      <c r="E21" t="n">
        <v>585.599</v>
      </c>
      <c r="F21" t="n">
        <v>1897.632</v>
      </c>
      <c r="G21" t="n">
        <v>3910001</v>
      </c>
      <c r="H21" t="inlineStr">
        <is>
          <t>TUB-O-N-AUT-AW-FC-57.15X2.500X6.1000</t>
        </is>
      </c>
    </row>
    <row r="22">
      <c r="A22" t="inlineStr">
        <is>
          <t>0000943209</t>
        </is>
      </c>
      <c r="B22" t="inlineStr">
        <is>
          <t>MEGH STEELS PRIVATE LIMITED - TVS A</t>
        </is>
      </c>
      <c r="C22" t="inlineStr">
        <is>
          <t>KG</t>
        </is>
      </c>
      <c r="D22" t="n">
        <v>127</v>
      </c>
      <c r="E22" t="n">
        <v>755.651</v>
      </c>
      <c r="F22" t="n">
        <v>2448.687</v>
      </c>
      <c r="G22" t="n">
        <v>4045220</v>
      </c>
      <c r="H22" t="inlineStr">
        <is>
          <t>TUB-O-N-AUT-AW-FC-57.15X2.500X5.9500</t>
        </is>
      </c>
    </row>
    <row r="23">
      <c r="A23" t="inlineStr">
        <is>
          <t>0000943210</t>
        </is>
      </c>
      <c r="B23" t="inlineStr">
        <is>
          <t>MEGH STEELS PRIVATE LIMITED - HMSIL</t>
        </is>
      </c>
      <c r="C23" t="inlineStr">
        <is>
          <t>KG</t>
        </is>
      </c>
      <c r="D23" t="n">
        <v>135</v>
      </c>
      <c r="E23" t="n">
        <v>762.7670000000001</v>
      </c>
      <c r="F23" t="n">
        <v>3007.665</v>
      </c>
      <c r="G23" t="n">
        <v>3501105</v>
      </c>
      <c r="H23" t="inlineStr">
        <is>
          <t>TUB-O-N-AUT-AW-FC-57.15X3.000X5.65-ERW 1</t>
        </is>
      </c>
    </row>
    <row r="24">
      <c r="A24" t="inlineStr">
        <is>
          <t>0000943210</t>
        </is>
      </c>
      <c r="B24" t="inlineStr">
        <is>
          <t>MEGH STEELS PRIVATE LIMITED - HMSIL</t>
        </is>
      </c>
      <c r="C24" t="inlineStr">
        <is>
          <t>KG</t>
        </is>
      </c>
      <c r="D24" t="n">
        <v>127</v>
      </c>
      <c r="E24" t="n">
        <v>717.566</v>
      </c>
      <c r="F24" t="n">
        <v>2829.433</v>
      </c>
      <c r="G24" t="n">
        <v>3501105</v>
      </c>
      <c r="H24" t="inlineStr">
        <is>
          <t>TUB-O-N-AUT-AW-FC-57.15X3.000X5.65-ERW 1</t>
        </is>
      </c>
    </row>
    <row r="25">
      <c r="A25" t="inlineStr">
        <is>
          <t>0000943210</t>
        </is>
      </c>
      <c r="B25" t="inlineStr">
        <is>
          <t>MEGH STEELS PRIVATE LIMITED - HMSIL</t>
        </is>
      </c>
      <c r="C25" t="inlineStr">
        <is>
          <t>KG</t>
        </is>
      </c>
      <c r="D25" t="n">
        <v>127</v>
      </c>
      <c r="E25" t="n">
        <v>717.566</v>
      </c>
      <c r="F25" t="n">
        <v>2829.433</v>
      </c>
      <c r="G25" t="n">
        <v>3501105</v>
      </c>
      <c r="H25" t="inlineStr">
        <is>
          <t>TUB-O-N-AUT-AW-FC-57.15X3.000X5.65-ERW 1</t>
        </is>
      </c>
    </row>
    <row r="26">
      <c r="A26" t="inlineStr">
        <is>
          <t>0000943210</t>
        </is>
      </c>
      <c r="B26" t="inlineStr">
        <is>
          <t>MEGH STEELS PRIVATE LIMITED - HMSIL</t>
        </is>
      </c>
      <c r="C26" t="inlineStr">
        <is>
          <t>KG</t>
        </is>
      </c>
      <c r="D26" t="n">
        <v>127</v>
      </c>
      <c r="E26" t="n">
        <v>717.566</v>
      </c>
      <c r="F26" t="n">
        <v>2829.433</v>
      </c>
      <c r="G26" t="n">
        <v>3501105</v>
      </c>
      <c r="H26" t="inlineStr">
        <is>
          <t>TUB-O-N-AUT-AW-FC-57.15X3.000X5.65-ERW 1</t>
        </is>
      </c>
    </row>
    <row r="27">
      <c r="A27" t="inlineStr">
        <is>
          <t>0000943210</t>
        </is>
      </c>
      <c r="B27" t="inlineStr">
        <is>
          <t>MEGH STEELS PRIVATE LIMITED - HMSIL</t>
        </is>
      </c>
      <c r="C27" t="inlineStr">
        <is>
          <t>KG</t>
        </is>
      </c>
      <c r="D27" t="n">
        <v>91</v>
      </c>
      <c r="E27" t="n">
        <v>514.1609999999999</v>
      </c>
      <c r="F27" t="n">
        <v>2027.389</v>
      </c>
      <c r="G27" t="n">
        <v>3501105</v>
      </c>
      <c r="H27" t="inlineStr">
        <is>
          <t>TUB-O-N-AUT-AW-FC-57.15X3.000X5.65-ERW 1</t>
        </is>
      </c>
    </row>
    <row r="28">
      <c r="A28" t="inlineStr">
        <is>
          <t>0000943209</t>
        </is>
      </c>
      <c r="B28" t="inlineStr">
        <is>
          <t>MEGH STEELS PRIVATE LIMITED - TVS A</t>
        </is>
      </c>
      <c r="C28" t="inlineStr">
        <is>
          <t>KG</t>
        </is>
      </c>
      <c r="D28" t="n">
        <v>127</v>
      </c>
      <c r="E28" t="n">
        <v>768.3680000000001</v>
      </c>
      <c r="F28" t="n">
        <v>2991.104</v>
      </c>
      <c r="G28" t="n">
        <v>3502422</v>
      </c>
      <c r="H28" t="inlineStr">
        <is>
          <t>TUB-O-N-AUT-AW-FC-48.60X3.500X6.0500</t>
        </is>
      </c>
    </row>
    <row r="29">
      <c r="A29" t="inlineStr">
        <is>
          <t>0000943209</t>
        </is>
      </c>
      <c r="B29" t="inlineStr">
        <is>
          <t>MEGH STEELS PRIVATE LIMITED - TVS A</t>
        </is>
      </c>
      <c r="C29" t="inlineStr">
        <is>
          <t>KG</t>
        </is>
      </c>
      <c r="D29" t="n">
        <v>127</v>
      </c>
      <c r="E29" t="n">
        <v>768.3680000000001</v>
      </c>
      <c r="F29" t="n">
        <v>2991.104</v>
      </c>
      <c r="G29" t="n">
        <v>3502422</v>
      </c>
      <c r="H29" t="inlineStr">
        <is>
          <t>TUB-O-N-AUT-AW-FC-48.60X3.500X6.0500</t>
        </is>
      </c>
    </row>
    <row r="30">
      <c r="A30" t="inlineStr">
        <is>
          <t>0000943209</t>
        </is>
      </c>
      <c r="B30" t="inlineStr">
        <is>
          <t>MEGH STEELS PRIVATE LIMITED - TVS A</t>
        </is>
      </c>
      <c r="C30" t="inlineStr">
        <is>
          <t>KG</t>
        </is>
      </c>
      <c r="D30" t="n">
        <v>126</v>
      </c>
      <c r="E30" t="n">
        <v>762.318</v>
      </c>
      <c r="F30" t="n">
        <v>2967.552</v>
      </c>
      <c r="G30" t="n">
        <v>3502422</v>
      </c>
      <c r="H30" t="inlineStr">
        <is>
          <t>TUB-O-N-AUT-AW-FC-48.60X3.500X6.0500</t>
        </is>
      </c>
    </row>
    <row r="31">
      <c r="A31" t="inlineStr">
        <is>
          <t>0000943209</t>
        </is>
      </c>
      <c r="B31" t="inlineStr">
        <is>
          <t>MEGH STEELS PRIVATE LIMITED - TVS A</t>
        </is>
      </c>
      <c r="C31" t="inlineStr">
        <is>
          <t>KG</t>
        </is>
      </c>
      <c r="D31" t="n">
        <v>94</v>
      </c>
      <c r="E31" t="n">
        <v>568.7140000000001</v>
      </c>
      <c r="F31" t="n">
        <v>2213.888</v>
      </c>
      <c r="G31" t="n">
        <v>3502422</v>
      </c>
      <c r="H31" t="inlineStr">
        <is>
          <t>TUB-O-N-AUT-AW-FC-48.60X3.500X6.0500</t>
        </is>
      </c>
    </row>
    <row r="32">
      <c r="A32" t="inlineStr">
        <is>
          <t>0000943209</t>
        </is>
      </c>
      <c r="B32" t="inlineStr">
        <is>
          <t>MEGH STEELS PRIVATE LIMITED - TVS A</t>
        </is>
      </c>
      <c r="C32" t="inlineStr">
        <is>
          <t>KG</t>
        </is>
      </c>
      <c r="D32" t="n">
        <v>128</v>
      </c>
      <c r="E32" t="n">
        <v>780.798</v>
      </c>
      <c r="F32" t="n">
        <v>2530.176</v>
      </c>
      <c r="G32" t="n">
        <v>3910001</v>
      </c>
      <c r="H32" t="inlineStr">
        <is>
          <t>TUB-O-N-AUT-AW-FC-57.15X2.500X6.1000</t>
        </is>
      </c>
    </row>
    <row r="33">
      <c r="A33" t="inlineStr">
        <is>
          <t>0000943209</t>
        </is>
      </c>
      <c r="B33" t="inlineStr">
        <is>
          <t>MEGH STEELS PRIVATE LIMITED - TVS A</t>
        </is>
      </c>
      <c r="C33" t="inlineStr">
        <is>
          <t>KG</t>
        </is>
      </c>
      <c r="D33" t="n">
        <v>128</v>
      </c>
      <c r="E33" t="n">
        <v>780.798</v>
      </c>
      <c r="F33" t="n">
        <v>2530.176</v>
      </c>
      <c r="G33" t="n">
        <v>3910001</v>
      </c>
      <c r="H33" t="inlineStr">
        <is>
          <t>TUB-O-N-AUT-AW-FC-57.15X2.500X6.1000</t>
        </is>
      </c>
    </row>
    <row r="34">
      <c r="A34" t="inlineStr">
        <is>
          <t>0000943209</t>
        </is>
      </c>
      <c r="B34" t="inlineStr">
        <is>
          <t>MEGH STEELS PRIVATE LIMITED - TVS A</t>
        </is>
      </c>
      <c r="C34" t="inlineStr">
        <is>
          <t>KG</t>
        </is>
      </c>
      <c r="D34" t="n">
        <v>128</v>
      </c>
      <c r="E34" t="n">
        <v>780.798</v>
      </c>
      <c r="F34" t="n">
        <v>2530.176</v>
      </c>
      <c r="G34" t="n">
        <v>3910001</v>
      </c>
      <c r="H34" t="inlineStr">
        <is>
          <t>TUB-O-N-AUT-AW-FC-57.15X2.500X6.1000</t>
        </is>
      </c>
    </row>
    <row r="35">
      <c r="A35" t="inlineStr">
        <is>
          <t>0000943209</t>
        </is>
      </c>
      <c r="B35" t="inlineStr">
        <is>
          <t>MEGH STEELS PRIVATE LIMITED - TVS A</t>
        </is>
      </c>
      <c r="C35" t="inlineStr">
        <is>
          <t>KG</t>
        </is>
      </c>
      <c r="D35" t="n">
        <v>128</v>
      </c>
      <c r="E35" t="n">
        <v>780.798</v>
      </c>
      <c r="F35" t="n">
        <v>2530.176</v>
      </c>
      <c r="G35" t="n">
        <v>3910001</v>
      </c>
      <c r="H35" t="inlineStr">
        <is>
          <t>TUB-O-N-AUT-AW-FC-57.15X2.500X6.1000</t>
        </is>
      </c>
    </row>
    <row r="36">
      <c r="A36" t="inlineStr">
        <is>
          <t>0000943209</t>
        </is>
      </c>
      <c r="B36" t="inlineStr">
        <is>
          <t>MEGH STEELS PRIVATE LIMITED - TVS A</t>
        </is>
      </c>
      <c r="C36" t="inlineStr">
        <is>
          <t>KG</t>
        </is>
      </c>
      <c r="D36" t="n">
        <v>127</v>
      </c>
      <c r="E36" t="n">
        <v>774.698</v>
      </c>
      <c r="F36" t="n">
        <v>2510.409</v>
      </c>
      <c r="G36" t="n">
        <v>3910001</v>
      </c>
      <c r="H36" t="inlineStr">
        <is>
          <t>TUB-O-N-AUT-AW-FC-57.15X2.500X6.1000</t>
        </is>
      </c>
    </row>
    <row r="37">
      <c r="A37" t="inlineStr">
        <is>
          <t>0000943209</t>
        </is>
      </c>
      <c r="B37" t="inlineStr">
        <is>
          <t>MEGH STEELS PRIVATE LIMITED - TVS A</t>
        </is>
      </c>
      <c r="C37" t="inlineStr">
        <is>
          <t>KG</t>
        </is>
      </c>
      <c r="D37" t="n">
        <v>127</v>
      </c>
      <c r="E37" t="n">
        <v>774.698</v>
      </c>
      <c r="F37" t="n">
        <v>2510.409</v>
      </c>
      <c r="G37" t="n">
        <v>3910001</v>
      </c>
      <c r="H37" t="inlineStr">
        <is>
          <t>TUB-O-N-AUT-AW-FC-57.15X2.500X6.1000</t>
        </is>
      </c>
    </row>
    <row r="38">
      <c r="A38" t="inlineStr">
        <is>
          <t>0000943209</t>
        </is>
      </c>
      <c r="B38" t="inlineStr">
        <is>
          <t>MEGH STEELS PRIVATE LIMITED - TVS A</t>
        </is>
      </c>
      <c r="C38" t="inlineStr">
        <is>
          <t>KG</t>
        </is>
      </c>
      <c r="D38" t="n">
        <v>127</v>
      </c>
      <c r="E38" t="n">
        <v>774.698</v>
      </c>
      <c r="F38" t="n">
        <v>2510.409</v>
      </c>
      <c r="G38" t="n">
        <v>3910001</v>
      </c>
      <c r="H38" t="inlineStr">
        <is>
          <t>TUB-O-N-AUT-AW-FC-57.15X2.500X6.1000</t>
        </is>
      </c>
    </row>
    <row r="39">
      <c r="A39" t="inlineStr">
        <is>
          <t>0000943209</t>
        </is>
      </c>
      <c r="B39" t="inlineStr">
        <is>
          <t>MEGH STEELS PRIVATE LIMITED - TVS A</t>
        </is>
      </c>
      <c r="C39" t="inlineStr">
        <is>
          <t>KG</t>
        </is>
      </c>
      <c r="D39" t="n">
        <v>127</v>
      </c>
      <c r="E39" t="n">
        <v>774.698</v>
      </c>
      <c r="F39" t="n">
        <v>2510.409</v>
      </c>
      <c r="G39" t="n">
        <v>3910001</v>
      </c>
      <c r="H39" t="inlineStr">
        <is>
          <t>TUB-O-N-AUT-AW-FC-57.15X2.500X6.1000</t>
        </is>
      </c>
    </row>
    <row r="40">
      <c r="A40" t="inlineStr">
        <is>
          <t>0000943209</t>
        </is>
      </c>
      <c r="B40" t="inlineStr">
        <is>
          <t>MEGH STEELS PRIVATE LIMITED - TVS A</t>
        </is>
      </c>
      <c r="C40" t="inlineStr">
        <is>
          <t>KG</t>
        </is>
      </c>
      <c r="D40" t="n">
        <v>126</v>
      </c>
      <c r="E40" t="n">
        <v>768.598</v>
      </c>
      <c r="F40" t="n">
        <v>2490.642</v>
      </c>
      <c r="G40" t="n">
        <v>3910001</v>
      </c>
      <c r="H40" t="inlineStr">
        <is>
          <t>TUB-O-N-AUT-AW-FC-57.15X2.500X6.1000</t>
        </is>
      </c>
    </row>
    <row r="41">
      <c r="A41" t="inlineStr">
        <is>
          <t>0000943209</t>
        </is>
      </c>
      <c r="B41" t="inlineStr">
        <is>
          <t>MEGH STEELS PRIVATE LIMITED - TVS A</t>
        </is>
      </c>
      <c r="C41" t="inlineStr">
        <is>
          <t>KG</t>
        </is>
      </c>
      <c r="D41" t="n">
        <v>126</v>
      </c>
      <c r="E41" t="n">
        <v>768.598</v>
      </c>
      <c r="F41" t="n">
        <v>2490.642</v>
      </c>
      <c r="G41" t="n">
        <v>3910001</v>
      </c>
      <c r="H41" t="inlineStr">
        <is>
          <t>TUB-O-N-AUT-AW-FC-57.15X2.500X6.1000</t>
        </is>
      </c>
    </row>
    <row r="42">
      <c r="A42" t="inlineStr">
        <is>
          <t>0000943209</t>
        </is>
      </c>
      <c r="B42" t="inlineStr">
        <is>
          <t>MEGH STEELS PRIVATE LIMITED - TVS A</t>
        </is>
      </c>
      <c r="C42" t="inlineStr">
        <is>
          <t>KG</t>
        </is>
      </c>
      <c r="D42" t="n">
        <v>127</v>
      </c>
      <c r="E42" t="n">
        <v>755.651</v>
      </c>
      <c r="F42" t="n">
        <v>2448.687</v>
      </c>
      <c r="G42" t="n">
        <v>4045220</v>
      </c>
      <c r="H42" t="inlineStr">
        <is>
          <t>TUB-O-N-AUT-AW-FC-57.15X2.500X5.9500</t>
        </is>
      </c>
    </row>
    <row r="43">
      <c r="A43" t="inlineStr">
        <is>
          <t>0000943209</t>
        </is>
      </c>
      <c r="B43" t="inlineStr">
        <is>
          <t>MEGH STEELS PRIVATE LIMITED - TVS A</t>
        </is>
      </c>
      <c r="C43" t="inlineStr">
        <is>
          <t>KG</t>
        </is>
      </c>
      <c r="D43" t="n">
        <v>127</v>
      </c>
      <c r="E43" t="n">
        <v>725.317</v>
      </c>
      <c r="F43" t="n">
        <v>2350.389</v>
      </c>
      <c r="G43" t="n">
        <v>3907863</v>
      </c>
      <c r="H43" t="inlineStr">
        <is>
          <t>TUB-O-N-AUT-AW-FC-57.15X2.500X5.7110</t>
        </is>
      </c>
    </row>
    <row r="44">
      <c r="A44" t="inlineStr">
        <is>
          <t>0000943209</t>
        </is>
      </c>
      <c r="B44" t="inlineStr">
        <is>
          <t>MEGH STEELS PRIVATE LIMITED - TVS A</t>
        </is>
      </c>
      <c r="C44" t="inlineStr">
        <is>
          <t>KG</t>
        </is>
      </c>
      <c r="D44" t="n">
        <v>127</v>
      </c>
      <c r="E44" t="n">
        <v>725.317</v>
      </c>
      <c r="F44" t="n">
        <v>2350.389</v>
      </c>
      <c r="G44" t="n">
        <v>3907863</v>
      </c>
      <c r="H44" t="inlineStr">
        <is>
          <t>TUB-O-N-AUT-AW-FC-57.15X2.500X5.7110</t>
        </is>
      </c>
    </row>
    <row r="45">
      <c r="A45" t="inlineStr">
        <is>
          <t>0000943209</t>
        </is>
      </c>
      <c r="B45" t="inlineStr">
        <is>
          <t>MEGH STEELS PRIVATE LIMITED - TVS A</t>
        </is>
      </c>
      <c r="C45" t="inlineStr">
        <is>
          <t>KG</t>
        </is>
      </c>
      <c r="D45" t="n">
        <v>127</v>
      </c>
      <c r="E45" t="n">
        <v>725.317</v>
      </c>
      <c r="F45" t="n">
        <v>2350.389</v>
      </c>
      <c r="G45" t="n">
        <v>3907863</v>
      </c>
      <c r="H45" t="inlineStr">
        <is>
          <t>TUB-O-N-AUT-AW-FC-57.15X2.500X5.7110</t>
        </is>
      </c>
    </row>
    <row r="46">
      <c r="A46" t="inlineStr">
        <is>
          <t>0000943209</t>
        </is>
      </c>
      <c r="B46" t="inlineStr">
        <is>
          <t>MEGH STEELS PRIVATE LIMITED - TVS A</t>
        </is>
      </c>
      <c r="C46" t="inlineStr">
        <is>
          <t>KG</t>
        </is>
      </c>
      <c r="D46" t="n">
        <v>138</v>
      </c>
      <c r="E46" t="n">
        <v>788.139</v>
      </c>
      <c r="F46" t="n">
        <v>2553.966</v>
      </c>
      <c r="G46" t="n">
        <v>3907863</v>
      </c>
      <c r="H46" t="inlineStr">
        <is>
          <t>TUB-O-N-AUT-AW-FC-57.15X2.500X5.7110</t>
        </is>
      </c>
    </row>
    <row r="47">
      <c r="A47" t="inlineStr">
        <is>
          <t>0000943209</t>
        </is>
      </c>
      <c r="B47" t="inlineStr">
        <is>
          <t>MEGH STEELS PRIVATE LIMITED - TVS A</t>
        </is>
      </c>
      <c r="C47" t="inlineStr">
        <is>
          <t>KG</t>
        </is>
      </c>
      <c r="D47" t="n">
        <v>138</v>
      </c>
      <c r="E47" t="n">
        <v>788.139</v>
      </c>
      <c r="F47" t="n">
        <v>2553.966</v>
      </c>
      <c r="G47" t="n">
        <v>3907863</v>
      </c>
      <c r="H47" t="inlineStr">
        <is>
          <t>TUB-O-N-AUT-AW-FC-57.15X2.500X5.7110</t>
        </is>
      </c>
    </row>
    <row r="48">
      <c r="A48" t="inlineStr">
        <is>
          <t>0000943209</t>
        </is>
      </c>
      <c r="B48" t="inlineStr">
        <is>
          <t>MEGH STEELS PRIVATE LIMITED - TVS A</t>
        </is>
      </c>
      <c r="C48" t="inlineStr">
        <is>
          <t>KG</t>
        </is>
      </c>
      <c r="D48" t="n">
        <v>138</v>
      </c>
      <c r="E48" t="n">
        <v>788.139</v>
      </c>
      <c r="F48" t="n">
        <v>2553.966</v>
      </c>
      <c r="G48" t="n">
        <v>3907863</v>
      </c>
      <c r="H48" t="inlineStr">
        <is>
          <t>TUB-O-N-AUT-AW-FC-57.15X2.500X5.7110</t>
        </is>
      </c>
    </row>
    <row r="49">
      <c r="A49" t="inlineStr">
        <is>
          <t>0000943209</t>
        </is>
      </c>
      <c r="B49" t="inlineStr">
        <is>
          <t>MEGH STEELS PRIVATE LIMITED - TVS A</t>
        </is>
      </c>
      <c r="C49" t="inlineStr">
        <is>
          <t>KG</t>
        </is>
      </c>
      <c r="D49" t="n">
        <v>138</v>
      </c>
      <c r="E49" t="n">
        <v>788.139</v>
      </c>
      <c r="F49" t="n">
        <v>2553.966</v>
      </c>
      <c r="G49" t="n">
        <v>3907863</v>
      </c>
      <c r="H49" t="inlineStr">
        <is>
          <t>TUB-O-N-AUT-AW-FC-57.15X2.500X5.7110</t>
        </is>
      </c>
    </row>
    <row r="50">
      <c r="A50" t="inlineStr">
        <is>
          <t>0000943209</t>
        </is>
      </c>
      <c r="B50" t="inlineStr">
        <is>
          <t>MEGH STEELS PRIVATE LIMITED - TVS A</t>
        </is>
      </c>
      <c r="C50" t="inlineStr">
        <is>
          <t>KG</t>
        </is>
      </c>
      <c r="D50" t="n">
        <v>60</v>
      </c>
      <c r="E50" t="n">
        <v>342.669</v>
      </c>
      <c r="F50" t="n">
        <v>1110.42</v>
      </c>
      <c r="G50" t="n">
        <v>3907863</v>
      </c>
      <c r="H50" t="inlineStr">
        <is>
          <t>TUB-O-N-AUT-AW-FC-57.15X2.500X5.7110</t>
        </is>
      </c>
    </row>
    <row r="51">
      <c r="A51" t="inlineStr">
        <is>
          <t>0000943209</t>
        </is>
      </c>
      <c r="B51" t="inlineStr">
        <is>
          <t>MEGH STEELS PRIVATE LIMITED - TVS A</t>
        </is>
      </c>
      <c r="C51" t="inlineStr">
        <is>
          <t>KG</t>
        </is>
      </c>
      <c r="D51" t="n">
        <v>94</v>
      </c>
      <c r="E51" t="n">
        <v>536.849</v>
      </c>
      <c r="F51" t="n">
        <v>1739.658</v>
      </c>
      <c r="G51" t="n">
        <v>3907863</v>
      </c>
      <c r="H51" t="inlineStr">
        <is>
          <t>TUB-O-N-AUT-AW-FC-57.15X2.500X5.7110</t>
        </is>
      </c>
    </row>
    <row r="52">
      <c r="A52" t="inlineStr">
        <is>
          <t>0000943209</t>
        </is>
      </c>
      <c r="B52" t="inlineStr">
        <is>
          <t>MEGH STEELS PRIVATE LIMITED - TVS A</t>
        </is>
      </c>
      <c r="C52" t="inlineStr">
        <is>
          <t>KG</t>
        </is>
      </c>
      <c r="D52" t="n">
        <v>53</v>
      </c>
      <c r="E52" t="n">
        <v>302.691</v>
      </c>
      <c r="F52" t="n">
        <v>980.871</v>
      </c>
      <c r="G52" t="n">
        <v>3907863</v>
      </c>
      <c r="H52" t="inlineStr">
        <is>
          <t>TUB-O-N-AUT-AW-FC-57.15X2.500X5.7110</t>
        </is>
      </c>
    </row>
    <row r="53">
      <c r="A53" t="inlineStr">
        <is>
          <t>0000943209</t>
        </is>
      </c>
      <c r="B53" t="inlineStr">
        <is>
          <t>MEGH STEELS PRIVATE LIMITED - TVS A</t>
        </is>
      </c>
      <c r="C53" t="inlineStr">
        <is>
          <t>KG</t>
        </is>
      </c>
      <c r="D53" t="n">
        <v>54</v>
      </c>
      <c r="E53" t="n">
        <v>308.402</v>
      </c>
      <c r="F53" t="n">
        <v>999.378</v>
      </c>
      <c r="G53" t="n">
        <v>3907863</v>
      </c>
      <c r="H53" t="inlineStr">
        <is>
          <t>TUB-O-N-AUT-AW-FC-57.15X2.500X5.7110</t>
        </is>
      </c>
    </row>
    <row r="54">
      <c r="A54" t="inlineStr">
        <is>
          <t>0000943210</t>
        </is>
      </c>
      <c r="B54" t="inlineStr">
        <is>
          <t>MEGH STEELS PRIVATE LIMITED - HMSIL</t>
        </is>
      </c>
      <c r="C54" t="inlineStr">
        <is>
          <t>KG</t>
        </is>
      </c>
      <c r="D54" t="n">
        <v>73</v>
      </c>
      <c r="E54" t="n">
        <v>427.786</v>
      </c>
      <c r="F54" t="n">
        <v>1248.665</v>
      </c>
      <c r="G54" t="n">
        <v>3673889</v>
      </c>
      <c r="H54" t="inlineStr">
        <is>
          <t>TUB-O-N-AUT-AW-FC-41.28X3.150X5.8600</t>
        </is>
      </c>
    </row>
    <row r="55">
      <c r="A55" t="inlineStr">
        <is>
          <t>0000943210</t>
        </is>
      </c>
      <c r="B55" t="inlineStr">
        <is>
          <t>MEGH STEELS PRIVATE LIMITED - HMSIL</t>
        </is>
      </c>
      <c r="C55" t="inlineStr">
        <is>
          <t>KG</t>
        </is>
      </c>
      <c r="D55" t="n">
        <v>130</v>
      </c>
      <c r="E55" t="n">
        <v>815.093</v>
      </c>
      <c r="F55" t="n">
        <v>1828.58</v>
      </c>
      <c r="G55" t="n">
        <v>3502301</v>
      </c>
      <c r="H55" t="inlineStr">
        <is>
          <t>TUB-O-N-AUT-AW-FC-48.60X2.000X6.270 HST</t>
        </is>
      </c>
    </row>
    <row r="56">
      <c r="A56" t="inlineStr">
        <is>
          <t>0000943210</t>
        </is>
      </c>
      <c r="B56" t="inlineStr">
        <is>
          <t>MEGH STEELS PRIVATE LIMITED - HMSIL</t>
        </is>
      </c>
      <c r="C56" t="inlineStr">
        <is>
          <t>KG</t>
        </is>
      </c>
      <c r="D56" t="n">
        <v>127</v>
      </c>
      <c r="E56" t="n">
        <v>796.283</v>
      </c>
      <c r="F56" t="n">
        <v>1786.382</v>
      </c>
      <c r="G56" t="n">
        <v>3502301</v>
      </c>
      <c r="H56" t="inlineStr">
        <is>
          <t>TUB-O-N-AUT-AW-FC-48.60X2.000X6.270 HST</t>
        </is>
      </c>
    </row>
    <row r="57">
      <c r="A57" t="inlineStr">
        <is>
          <t>0000943210</t>
        </is>
      </c>
      <c r="B57" t="inlineStr">
        <is>
          <t>MEGH STEELS PRIVATE LIMITED - HMSIL</t>
        </is>
      </c>
      <c r="C57" t="inlineStr">
        <is>
          <t>KG</t>
        </is>
      </c>
      <c r="D57" t="n">
        <v>126</v>
      </c>
      <c r="E57" t="n">
        <v>790.013</v>
      </c>
      <c r="F57" t="n">
        <v>1772.316</v>
      </c>
      <c r="G57" t="n">
        <v>3502301</v>
      </c>
      <c r="H57" t="inlineStr">
        <is>
          <t>TUB-O-N-AUT-AW-FC-48.60X2.000X6.270 HST</t>
        </is>
      </c>
    </row>
    <row r="58">
      <c r="A58" t="inlineStr">
        <is>
          <t>0000943210</t>
        </is>
      </c>
      <c r="B58" t="inlineStr">
        <is>
          <t>MEGH STEELS PRIVATE LIMITED - HMSIL</t>
        </is>
      </c>
      <c r="C58" t="inlineStr">
        <is>
          <t>KG</t>
        </is>
      </c>
      <c r="D58" t="n">
        <v>127</v>
      </c>
      <c r="E58" t="n">
        <v>796.285</v>
      </c>
      <c r="F58" t="n">
        <v>2004.568</v>
      </c>
      <c r="G58" t="n">
        <v>3549720</v>
      </c>
      <c r="H58" t="inlineStr">
        <is>
          <t>TUB-O-N-AUT-AW-FC-48.60X2.300X6.270 HST</t>
        </is>
      </c>
    </row>
    <row r="59">
      <c r="A59" t="inlineStr">
        <is>
          <t>0000943210</t>
        </is>
      </c>
      <c r="B59" t="inlineStr">
        <is>
          <t>MEGH STEELS PRIVATE LIMITED - HMSIL</t>
        </is>
      </c>
      <c r="C59" t="inlineStr">
        <is>
          <t>KG</t>
        </is>
      </c>
      <c r="D59" t="n">
        <v>126</v>
      </c>
      <c r="E59" t="n">
        <v>790.015</v>
      </c>
      <c r="F59" t="n">
        <v>1988.784</v>
      </c>
      <c r="G59" t="n">
        <v>3549720</v>
      </c>
      <c r="H59" t="inlineStr">
        <is>
          <t>TUB-O-N-AUT-AW-FC-48.60X2.300X6.270 HST</t>
        </is>
      </c>
    </row>
    <row r="60">
      <c r="A60" t="inlineStr">
        <is>
          <t>0000943210</t>
        </is>
      </c>
      <c r="B60" t="inlineStr">
        <is>
          <t>MEGH STEELS PRIVATE LIMITED - HMSIL</t>
        </is>
      </c>
      <c r="C60" t="inlineStr">
        <is>
          <t>KG</t>
        </is>
      </c>
      <c r="D60" t="n">
        <v>99</v>
      </c>
      <c r="E60" t="n">
        <v>620.726</v>
      </c>
      <c r="F60" t="n">
        <v>1562.616</v>
      </c>
      <c r="G60" t="n">
        <v>3549720</v>
      </c>
      <c r="H60" t="inlineStr">
        <is>
          <t>TUB-O-N-AUT-AW-FC-48.60X2.300X6.270 HST</t>
        </is>
      </c>
    </row>
    <row r="61">
      <c r="A61" t="inlineStr">
        <is>
          <t>0000943210</t>
        </is>
      </c>
      <c r="B61" t="inlineStr">
        <is>
          <t>MEGH STEELS PRIVATE LIMITED - HMSIL</t>
        </is>
      </c>
      <c r="C61" t="inlineStr">
        <is>
          <t>KG</t>
        </is>
      </c>
      <c r="D61" t="n">
        <v>127</v>
      </c>
      <c r="E61" t="n">
        <v>796.285</v>
      </c>
      <c r="F61" t="n">
        <v>2004.568</v>
      </c>
      <c r="G61" t="n">
        <v>3549720</v>
      </c>
      <c r="H61" t="inlineStr">
        <is>
          <t>TUB-O-N-AUT-AW-FC-48.60X2.300X6.270 HST</t>
        </is>
      </c>
    </row>
    <row r="62">
      <c r="A62" t="inlineStr">
        <is>
          <t>0000943210</t>
        </is>
      </c>
      <c r="B62" t="inlineStr">
        <is>
          <t>MEGH STEELS PRIVATE LIMITED - HMSIL</t>
        </is>
      </c>
      <c r="C62" t="inlineStr">
        <is>
          <t>KG</t>
        </is>
      </c>
      <c r="D62" t="n">
        <v>126</v>
      </c>
      <c r="E62" t="n">
        <v>790.015</v>
      </c>
      <c r="F62" t="n">
        <v>1988.784</v>
      </c>
      <c r="G62" t="n">
        <v>3549720</v>
      </c>
      <c r="H62" t="inlineStr">
        <is>
          <t>TUB-O-N-AUT-AW-FC-48.60X2.300X6.270 HST</t>
        </is>
      </c>
    </row>
    <row r="63">
      <c r="A63" t="inlineStr">
        <is>
          <t>0000943210</t>
        </is>
      </c>
      <c r="B63" t="inlineStr">
        <is>
          <t>MEGH STEELS PRIVATE LIMITED - HMSIL</t>
        </is>
      </c>
      <c r="C63" t="inlineStr">
        <is>
          <t>KG</t>
        </is>
      </c>
      <c r="D63" t="n">
        <v>127</v>
      </c>
      <c r="E63" t="n">
        <v>796.285</v>
      </c>
      <c r="F63" t="n">
        <v>2004.568</v>
      </c>
      <c r="G63" t="n">
        <v>3549720</v>
      </c>
      <c r="H63" t="inlineStr">
        <is>
          <t>TUB-O-N-AUT-AW-FC-48.60X2.300X6.270 HST</t>
        </is>
      </c>
    </row>
    <row r="64">
      <c r="A64" t="inlineStr">
        <is>
          <t>0000943210</t>
        </is>
      </c>
      <c r="B64" t="inlineStr">
        <is>
          <t>MEGH STEELS PRIVATE LIMITED - HMSIL</t>
        </is>
      </c>
      <c r="C64" t="inlineStr">
        <is>
          <t>KG</t>
        </is>
      </c>
      <c r="D64" t="n">
        <v>127</v>
      </c>
      <c r="E64" t="n">
        <v>796.285</v>
      </c>
      <c r="F64" t="n">
        <v>2004.568</v>
      </c>
      <c r="G64" t="n">
        <v>3549720</v>
      </c>
      <c r="H64" t="inlineStr">
        <is>
          <t>TUB-O-N-AUT-AW-FC-48.60X2.300X6.270 HST</t>
        </is>
      </c>
    </row>
    <row r="65">
      <c r="A65" t="inlineStr">
        <is>
          <t>0000943210</t>
        </is>
      </c>
      <c r="B65" t="inlineStr">
        <is>
          <t>MEGH STEELS PRIVATE LIMITED - HMSIL</t>
        </is>
      </c>
      <c r="C65" t="inlineStr">
        <is>
          <t>KG</t>
        </is>
      </c>
      <c r="D65" t="n">
        <v>126</v>
      </c>
      <c r="E65" t="n">
        <v>790.015</v>
      </c>
      <c r="F65" t="n">
        <v>1988.784</v>
      </c>
      <c r="G65" t="n">
        <v>3549720</v>
      </c>
      <c r="H65" t="inlineStr">
        <is>
          <t>TUB-O-N-AUT-AW-FC-48.60X2.300X6.270 HST</t>
        </is>
      </c>
    </row>
    <row r="66">
      <c r="A66" t="inlineStr">
        <is>
          <t>0000943210</t>
        </is>
      </c>
      <c r="B66" t="inlineStr">
        <is>
          <t>MEGH STEELS PRIVATE LIMITED - HMSIL</t>
        </is>
      </c>
      <c r="C66" t="inlineStr">
        <is>
          <t>KG</t>
        </is>
      </c>
      <c r="D66" t="n">
        <v>169</v>
      </c>
      <c r="E66" t="n">
        <v>990.354</v>
      </c>
      <c r="F66" t="n">
        <v>2890.745</v>
      </c>
      <c r="G66" t="n">
        <v>3673889</v>
      </c>
      <c r="H66" t="inlineStr">
        <is>
          <t>TUB-O-N-AUT-AW-FC-41.28X3.150X5.8600</t>
        </is>
      </c>
    </row>
    <row r="67">
      <c r="A67" t="inlineStr">
        <is>
          <t>0000943210</t>
        </is>
      </c>
      <c r="B67" t="inlineStr">
        <is>
          <t>MEGH STEELS PRIVATE LIMITED - HMSIL</t>
        </is>
      </c>
      <c r="C67" t="inlineStr">
        <is>
          <t>KG</t>
        </is>
      </c>
      <c r="D67" t="n">
        <v>168</v>
      </c>
      <c r="E67" t="n">
        <v>984.494</v>
      </c>
      <c r="F67" t="n">
        <v>2873.64</v>
      </c>
      <c r="G67" t="n">
        <v>3673889</v>
      </c>
      <c r="H67" t="inlineStr">
        <is>
          <t>TUB-O-N-AUT-AW-FC-41.28X3.150X5.8600</t>
        </is>
      </c>
    </row>
    <row r="68">
      <c r="A68" t="inlineStr">
        <is>
          <t>0000943210</t>
        </is>
      </c>
      <c r="B68" t="inlineStr">
        <is>
          <t>MEGH STEELS PRIVATE LIMITED - HMSIL</t>
        </is>
      </c>
      <c r="C68" t="inlineStr">
        <is>
          <t>KG</t>
        </is>
      </c>
      <c r="D68" t="n">
        <v>125</v>
      </c>
      <c r="E68" t="n">
        <v>706.265</v>
      </c>
      <c r="F68" t="n">
        <v>2784.875</v>
      </c>
      <c r="G68" t="n">
        <v>3501105</v>
      </c>
      <c r="H68" t="inlineStr">
        <is>
          <t>TUB-O-N-AUT-AW-FC-57.15X3.000X5.65-ERW 1</t>
        </is>
      </c>
    </row>
    <row r="69">
      <c r="A69" t="inlineStr">
        <is>
          <t>0000943210</t>
        </is>
      </c>
      <c r="B69" t="inlineStr">
        <is>
          <t>MEGH STEELS PRIVATE LIMITED - HMSIL</t>
        </is>
      </c>
      <c r="C69" t="inlineStr">
        <is>
          <t>KG</t>
        </is>
      </c>
      <c r="D69" t="n">
        <v>125</v>
      </c>
      <c r="E69" t="n">
        <v>706.265</v>
      </c>
      <c r="F69" t="n">
        <v>2784.875</v>
      </c>
      <c r="G69" t="n">
        <v>3501105</v>
      </c>
      <c r="H69" t="inlineStr">
        <is>
          <t>TUB-O-N-AUT-AW-FC-57.15X3.000X5.65-ERW 1</t>
        </is>
      </c>
    </row>
    <row r="70">
      <c r="A70" t="inlineStr">
        <is>
          <t>0000943210</t>
        </is>
      </c>
      <c r="B70" t="inlineStr">
        <is>
          <t>MEGH STEELS PRIVATE LIMITED - HMSIL</t>
        </is>
      </c>
      <c r="C70" t="inlineStr">
        <is>
          <t>KG</t>
        </is>
      </c>
      <c r="D70" t="n">
        <v>127</v>
      </c>
      <c r="E70" t="n">
        <v>717.566</v>
      </c>
      <c r="F70" t="n">
        <v>2829.433</v>
      </c>
      <c r="G70" t="n">
        <v>3501105</v>
      </c>
      <c r="H70" t="inlineStr">
        <is>
          <t>TUB-O-N-AUT-AW-FC-57.15X3.000X5.65-ERW 1</t>
        </is>
      </c>
    </row>
    <row r="71">
      <c r="A71" t="inlineStr">
        <is>
          <t>0000943210</t>
        </is>
      </c>
      <c r="B71" t="inlineStr">
        <is>
          <t>MEGH STEELS PRIVATE LIMITED - HMSIL</t>
        </is>
      </c>
      <c r="C71" t="inlineStr">
        <is>
          <t>KG</t>
        </is>
      </c>
      <c r="D71" t="n">
        <v>127</v>
      </c>
      <c r="E71" t="n">
        <v>717.566</v>
      </c>
      <c r="F71" t="n">
        <v>2829.433</v>
      </c>
      <c r="G71" t="n">
        <v>3501105</v>
      </c>
      <c r="H71" t="inlineStr">
        <is>
          <t>TUB-O-N-AUT-AW-FC-57.15X3.000X5.65-ERW 1</t>
        </is>
      </c>
    </row>
    <row r="72">
      <c r="A72" t="inlineStr">
        <is>
          <t>0000943209</t>
        </is>
      </c>
      <c r="B72" t="inlineStr">
        <is>
          <t>MEGH STEELS PRIVATE LIMITED - TVS A</t>
        </is>
      </c>
      <c r="C72" t="inlineStr">
        <is>
          <t>KG</t>
        </is>
      </c>
      <c r="D72" t="n">
        <v>419</v>
      </c>
      <c r="E72" t="n">
        <v>2382.013</v>
      </c>
      <c r="F72" t="n">
        <v>1869.033</v>
      </c>
      <c r="G72" t="n">
        <v>4173571</v>
      </c>
      <c r="H72" t="inlineStr">
        <is>
          <t>TUB-O-N-AUT-AW-PE-22.20X1.600X5.6850</t>
        </is>
      </c>
    </row>
    <row r="73">
      <c r="A73" t="inlineStr">
        <is>
          <t>0000943209</t>
        </is>
      </c>
      <c r="B73" t="inlineStr">
        <is>
          <t>MEGH STEELS PRIVATE LIMITED - TVS A</t>
        </is>
      </c>
      <c r="C73" t="inlineStr">
        <is>
          <t>KG</t>
        </is>
      </c>
      <c r="D73" t="n">
        <v>420</v>
      </c>
      <c r="E73" t="n">
        <v>2387.698</v>
      </c>
      <c r="F73" t="n">
        <v>1873.494</v>
      </c>
      <c r="G73" t="n">
        <v>4173571</v>
      </c>
      <c r="H73" t="inlineStr">
        <is>
          <t>TUB-O-N-AUT-AW-PE-22.20X1.600X5.6850</t>
        </is>
      </c>
    </row>
    <row r="74">
      <c r="A74" t="inlineStr">
        <is>
          <t>0000943209</t>
        </is>
      </c>
      <c r="B74" t="inlineStr">
        <is>
          <t>MEGH STEELS PRIVATE LIMITED - TVS A</t>
        </is>
      </c>
      <c r="C74" t="inlineStr">
        <is>
          <t>KG</t>
        </is>
      </c>
      <c r="D74" t="n">
        <v>419</v>
      </c>
      <c r="E74" t="n">
        <v>2382.014</v>
      </c>
      <c r="F74" t="n">
        <v>1869.034</v>
      </c>
      <c r="G74" t="n">
        <v>4173571</v>
      </c>
      <c r="H74" t="inlineStr">
        <is>
          <t>TUB-O-N-AUT-AW-PE-22.20X1.600X5.6850</t>
        </is>
      </c>
    </row>
    <row r="75">
      <c r="A75" t="inlineStr">
        <is>
          <t>0000943209</t>
        </is>
      </c>
      <c r="B75" t="inlineStr">
        <is>
          <t>MEGH STEELS PRIVATE LIMITED - TVS A</t>
        </is>
      </c>
      <c r="C75" t="inlineStr">
        <is>
          <t>KG</t>
        </is>
      </c>
      <c r="D75" t="n">
        <v>419</v>
      </c>
      <c r="E75" t="n">
        <v>2459.552</v>
      </c>
      <c r="F75" t="n">
        <v>1444.167</v>
      </c>
      <c r="G75" t="n">
        <v>3882110</v>
      </c>
      <c r="H75" t="inlineStr">
        <is>
          <t>TUB-O-N-AUT-AW-PE-22.20X1.200X5.8700</t>
        </is>
      </c>
    </row>
    <row r="76">
      <c r="A76" t="inlineStr">
        <is>
          <t>0000943209</t>
        </is>
      </c>
      <c r="B76" t="inlineStr">
        <is>
          <t>MEGH STEELS PRIVATE LIMITED - TVS A</t>
        </is>
      </c>
      <c r="C76" t="inlineStr">
        <is>
          <t>KG</t>
        </is>
      </c>
      <c r="D76" t="n">
        <v>419</v>
      </c>
      <c r="E76" t="n">
        <v>2459.552</v>
      </c>
      <c r="F76" t="n">
        <v>1444.167</v>
      </c>
      <c r="G76" t="n">
        <v>3882110</v>
      </c>
      <c r="H76" t="inlineStr">
        <is>
          <t>TUB-O-N-AUT-AW-PE-22.20X1.200X5.8700</t>
        </is>
      </c>
    </row>
    <row r="77">
      <c r="A77" t="inlineStr">
        <is>
          <t>0000943209</t>
        </is>
      </c>
      <c r="B77" t="inlineStr">
        <is>
          <t>MEGH STEELS PRIVATE LIMITED - TVS A</t>
        </is>
      </c>
      <c r="C77" t="inlineStr">
        <is>
          <t>KG</t>
        </is>
      </c>
      <c r="D77" t="n">
        <v>419</v>
      </c>
      <c r="E77" t="n">
        <v>2459.552</v>
      </c>
      <c r="F77" t="n">
        <v>1444.167</v>
      </c>
      <c r="G77" t="n">
        <v>3882110</v>
      </c>
      <c r="H77" t="inlineStr">
        <is>
          <t>TUB-O-N-AUT-AW-PE-22.20X1.200X5.8700</t>
        </is>
      </c>
    </row>
    <row r="78">
      <c r="A78" t="inlineStr">
        <is>
          <t>0000943209</t>
        </is>
      </c>
      <c r="B78" t="inlineStr">
        <is>
          <t>MEGH STEELS PRIVATE LIMITED - TVS A</t>
        </is>
      </c>
      <c r="C78" t="inlineStr">
        <is>
          <t>KG</t>
        </is>
      </c>
      <c r="D78" t="n">
        <v>420</v>
      </c>
      <c r="E78" t="n">
        <v>2465.423</v>
      </c>
      <c r="F78" t="n">
        <v>1447.614</v>
      </c>
      <c r="G78" t="n">
        <v>3882110</v>
      </c>
      <c r="H78" t="inlineStr">
        <is>
          <t>TUB-O-N-AUT-AW-PE-22.20X1.200X5.8700</t>
        </is>
      </c>
    </row>
    <row r="79">
      <c r="A79" t="inlineStr">
        <is>
          <t>0000943209</t>
        </is>
      </c>
      <c r="B79" t="inlineStr">
        <is>
          <t>MEGH STEELS PRIVATE LIMITED - TVS A</t>
        </is>
      </c>
      <c r="C79" t="inlineStr">
        <is>
          <t>KG</t>
        </is>
      </c>
      <c r="D79" t="n">
        <v>411</v>
      </c>
      <c r="E79" t="n">
        <v>2412.593</v>
      </c>
      <c r="F79" t="n">
        <v>1416.594</v>
      </c>
      <c r="G79" t="n">
        <v>3882110</v>
      </c>
      <c r="H79" t="inlineStr">
        <is>
          <t>TUB-O-N-AUT-AW-PE-22.20X1.200X5.8700</t>
        </is>
      </c>
    </row>
    <row r="80">
      <c r="A80" t="inlineStr">
        <is>
          <t>0000943209</t>
        </is>
      </c>
      <c r="B80" t="inlineStr">
        <is>
          <t>MEGH STEELS PRIVATE LIMITED - TVS A</t>
        </is>
      </c>
      <c r="C80" t="inlineStr">
        <is>
          <t>KG</t>
        </is>
      </c>
      <c r="D80" t="n">
        <v>418</v>
      </c>
      <c r="E80" t="n">
        <v>2453.683</v>
      </c>
      <c r="F80" t="n">
        <v>1440.721</v>
      </c>
      <c r="G80" t="n">
        <v>3882110</v>
      </c>
      <c r="H80" t="inlineStr">
        <is>
          <t>TUB-O-N-AUT-AW-PE-22.20X1.200X5.8700</t>
        </is>
      </c>
    </row>
    <row r="81">
      <c r="A81" t="inlineStr">
        <is>
          <t>0000950043</t>
        </is>
      </c>
      <c r="B81" t="inlineStr">
        <is>
          <t>SREEVATSA TUBE CORPORATION</t>
        </is>
      </c>
      <c r="C81" t="inlineStr">
        <is>
          <t>NOS</t>
        </is>
      </c>
      <c r="D81" t="n">
        <v>72</v>
      </c>
      <c r="E81" t="n">
        <v>480.236</v>
      </c>
      <c r="F81" t="n">
        <v>2487.096</v>
      </c>
      <c r="G81" t="n">
        <v>4253034</v>
      </c>
      <c r="H81" t="inlineStr">
        <is>
          <t>TUB-O-N-BOT-NR-FC-63.50X3.660X6.6700</t>
        </is>
      </c>
    </row>
    <row r="82">
      <c r="A82" t="inlineStr">
        <is>
          <t>0000950043</t>
        </is>
      </c>
      <c r="B82" t="inlineStr">
        <is>
          <t>SREEVATSA TUBE CORPORATION</t>
        </is>
      </c>
      <c r="C82" t="inlineStr">
        <is>
          <t>NOS</t>
        </is>
      </c>
      <c r="D82" t="n">
        <v>72</v>
      </c>
      <c r="E82" t="n">
        <v>480.236</v>
      </c>
      <c r="F82" t="n">
        <v>2487.096</v>
      </c>
      <c r="G82" t="n">
        <v>4253034</v>
      </c>
      <c r="H82" t="inlineStr">
        <is>
          <t>TUB-O-N-BOT-NR-FC-63.50X3.660X6.6700</t>
        </is>
      </c>
    </row>
    <row r="83">
      <c r="A83" t="inlineStr">
        <is>
          <t>0000950043</t>
        </is>
      </c>
      <c r="B83" t="inlineStr">
        <is>
          <t>SREEVATSA TUBE CORPORATION</t>
        </is>
      </c>
      <c r="C83" t="inlineStr">
        <is>
          <t>NOS</t>
        </is>
      </c>
      <c r="D83" t="n">
        <v>72</v>
      </c>
      <c r="E83" t="n">
        <v>480.236</v>
      </c>
      <c r="F83" t="n">
        <v>2487.096</v>
      </c>
      <c r="G83" t="n">
        <v>4253034</v>
      </c>
      <c r="H83" t="inlineStr">
        <is>
          <t>TUB-O-N-BOT-NR-FC-63.50X3.660X6.6700</t>
        </is>
      </c>
    </row>
    <row r="84">
      <c r="A84" t="inlineStr">
        <is>
          <t>0000950043</t>
        </is>
      </c>
      <c r="B84" t="inlineStr">
        <is>
          <t>SREEVATSA TUBE CORPORATION</t>
        </is>
      </c>
      <c r="C84" t="inlineStr">
        <is>
          <t>NOS</t>
        </is>
      </c>
      <c r="D84" t="n">
        <v>70</v>
      </c>
      <c r="E84" t="n">
        <v>466.896</v>
      </c>
      <c r="F84" t="n">
        <v>2418.01</v>
      </c>
      <c r="G84" t="n">
        <v>4253034</v>
      </c>
      <c r="H84" t="inlineStr">
        <is>
          <t>TUB-O-N-BOT-NR-FC-63.50X3.660X6.6700</t>
        </is>
      </c>
    </row>
    <row r="85">
      <c r="A85" t="inlineStr">
        <is>
          <t>0000950043</t>
        </is>
      </c>
      <c r="B85" t="inlineStr">
        <is>
          <t>SREEVATSA TUBE CORPORATION</t>
        </is>
      </c>
      <c r="C85" t="inlineStr">
        <is>
          <t>NOS</t>
        </is>
      </c>
      <c r="D85" t="n">
        <v>61</v>
      </c>
      <c r="E85" t="n">
        <v>439.199</v>
      </c>
      <c r="F85" t="n">
        <v>2274.568</v>
      </c>
      <c r="G85" t="n">
        <v>3500228</v>
      </c>
      <c r="H85" t="inlineStr">
        <is>
          <t>TUB-O-N-BOT-NR-FC-63.50X3.660X7.200</t>
        </is>
      </c>
    </row>
    <row r="86">
      <c r="A86" t="inlineStr">
        <is>
          <t>0000950043</t>
        </is>
      </c>
      <c r="B86" t="inlineStr">
        <is>
          <t>SREEVATSA TUBE CORPORATION</t>
        </is>
      </c>
      <c r="C86" t="inlineStr">
        <is>
          <t>NOS</t>
        </is>
      </c>
      <c r="D86" t="n">
        <v>70</v>
      </c>
      <c r="E86" t="n">
        <v>408.803</v>
      </c>
      <c r="F86" t="n">
        <v>2117.15</v>
      </c>
      <c r="G86" t="n">
        <v>4253035</v>
      </c>
      <c r="H86" t="inlineStr">
        <is>
          <t>TUB-O-N-BOT-NR-FC-63.50X3.660X5.8400</t>
        </is>
      </c>
    </row>
    <row r="87">
      <c r="A87" t="inlineStr">
        <is>
          <t>0000950043</t>
        </is>
      </c>
      <c r="B87" t="inlineStr">
        <is>
          <t>SREEVATSA TUBE CORPORATION</t>
        </is>
      </c>
      <c r="C87" t="inlineStr">
        <is>
          <t>NOS</t>
        </is>
      </c>
      <c r="D87" t="n">
        <v>65</v>
      </c>
      <c r="E87" t="n">
        <v>364.002</v>
      </c>
      <c r="F87" t="n">
        <v>1885.13</v>
      </c>
      <c r="G87" t="n">
        <v>3499030</v>
      </c>
      <c r="H87" t="inlineStr">
        <is>
          <t>TUB-O-N-BOT-NR-FC-63.50X3.660X5.600</t>
        </is>
      </c>
    </row>
    <row r="88">
      <c r="A88" t="inlineStr">
        <is>
          <t>0000950043</t>
        </is>
      </c>
      <c r="B88" t="inlineStr">
        <is>
          <t>SREEVATSA TUBE CORPORATION</t>
        </is>
      </c>
      <c r="C88" t="inlineStr">
        <is>
          <t>NOS</t>
        </is>
      </c>
      <c r="D88" t="n">
        <v>93</v>
      </c>
      <c r="E88" t="n">
        <v>595.201</v>
      </c>
      <c r="F88" t="n">
        <v>3082.485</v>
      </c>
      <c r="G88" t="n">
        <v>3498846</v>
      </c>
      <c r="H88" t="inlineStr">
        <is>
          <t>TUB-O-N-BOT-NR-FC-63.50X3.660X6.400</t>
        </is>
      </c>
    </row>
    <row r="89">
      <c r="A89" t="inlineStr">
        <is>
          <t>0000945274</t>
        </is>
      </c>
      <c r="B89" t="inlineStr">
        <is>
          <t>SICAGEN INDIA LIMITED</t>
        </is>
      </c>
      <c r="C89" t="inlineStr">
        <is>
          <t>M</t>
        </is>
      </c>
      <c r="D89" t="n">
        <v>11</v>
      </c>
      <c r="E89" t="n">
        <v>55</v>
      </c>
      <c r="F89" t="n">
        <v>284.839</v>
      </c>
      <c r="G89" t="n">
        <v>3499180</v>
      </c>
      <c r="H89" t="inlineStr">
        <is>
          <t>TUB-O-N-BOT-NR-FC-63.50X3.660X5.000</t>
        </is>
      </c>
    </row>
    <row r="90">
      <c r="A90" t="inlineStr">
        <is>
          <t>0000945274</t>
        </is>
      </c>
      <c r="B90" t="inlineStr">
        <is>
          <t>SICAGEN INDIA LIMITED</t>
        </is>
      </c>
      <c r="C90" t="inlineStr">
        <is>
          <t>M</t>
        </is>
      </c>
      <c r="D90" t="n">
        <v>9</v>
      </c>
      <c r="E90" t="n">
        <v>53.998</v>
      </c>
      <c r="F90" t="n">
        <v>279.65</v>
      </c>
      <c r="G90" t="n">
        <v>3499141</v>
      </c>
      <c r="H90" t="inlineStr">
        <is>
          <t>TUB-O-N-BOT-NR-FC-63.50X3.660X6.000</t>
        </is>
      </c>
    </row>
    <row r="91">
      <c r="A91" t="inlineStr">
        <is>
          <t>0000945274</t>
        </is>
      </c>
      <c r="B91" t="inlineStr">
        <is>
          <t>SICAGEN INDIA LIMITED</t>
        </is>
      </c>
      <c r="C91" t="inlineStr">
        <is>
          <t>M</t>
        </is>
      </c>
      <c r="D91" t="n">
        <v>96</v>
      </c>
      <c r="E91" t="n">
        <v>585.5940000000001</v>
      </c>
      <c r="F91" t="n">
        <v>3032.733</v>
      </c>
      <c r="G91" t="n">
        <v>3498881</v>
      </c>
      <c r="H91" t="inlineStr">
        <is>
          <t>TUB-O-N-BOT-NR-FC-63.50X3.660X6.100</t>
        </is>
      </c>
    </row>
    <row r="92">
      <c r="A92" t="inlineStr">
        <is>
          <t>0000945274</t>
        </is>
      </c>
      <c r="B92" t="inlineStr">
        <is>
          <t>SICAGEN INDIA LIMITED</t>
        </is>
      </c>
      <c r="C92" t="inlineStr">
        <is>
          <t>M</t>
        </is>
      </c>
      <c r="D92" t="n">
        <v>92</v>
      </c>
      <c r="E92" t="n">
        <v>561.194</v>
      </c>
      <c r="F92" t="n">
        <v>2906.368</v>
      </c>
      <c r="G92" t="n">
        <v>3498881</v>
      </c>
      <c r="H92" t="inlineStr">
        <is>
          <t>TUB-O-N-BOT-NR-FC-63.50X3.660X6.100</t>
        </is>
      </c>
    </row>
    <row r="93">
      <c r="A93" t="inlineStr">
        <is>
          <t>0000945274</t>
        </is>
      </c>
      <c r="B93" t="inlineStr">
        <is>
          <t>SICAGEN INDIA LIMITED</t>
        </is>
      </c>
      <c r="C93" t="inlineStr">
        <is>
          <t>M</t>
        </is>
      </c>
      <c r="D93" t="n">
        <v>55</v>
      </c>
      <c r="E93" t="n">
        <v>335.496</v>
      </c>
      <c r="F93" t="n">
        <v>1737.5</v>
      </c>
      <c r="G93" t="n">
        <v>3498881</v>
      </c>
      <c r="H93" t="inlineStr">
        <is>
          <t>TUB-O-N-BOT-NR-FC-63.50X3.660X6.100</t>
        </is>
      </c>
    </row>
    <row r="94">
      <c r="A94" t="inlineStr">
        <is>
          <t>0000945274</t>
        </is>
      </c>
      <c r="B94" t="inlineStr">
        <is>
          <t>SICAGEN INDIA LIMITED</t>
        </is>
      </c>
      <c r="C94" t="inlineStr">
        <is>
          <t>M</t>
        </is>
      </c>
      <c r="D94" t="n">
        <v>4</v>
      </c>
      <c r="E94" t="n">
        <v>24.399</v>
      </c>
      <c r="F94" t="n">
        <v>126.36</v>
      </c>
      <c r="G94" t="n">
        <v>3498881</v>
      </c>
      <c r="H94" t="inlineStr">
        <is>
          <t>TUB-O-N-BOT-NR-FC-63.50X3.660X6.100</t>
        </is>
      </c>
    </row>
    <row r="95">
      <c r="A95" t="inlineStr">
        <is>
          <t>0000945274</t>
        </is>
      </c>
      <c r="B95" t="inlineStr">
        <is>
          <t>SICAGEN INDIA LIMITED</t>
        </is>
      </c>
      <c r="C95" t="inlineStr">
        <is>
          <t>M</t>
        </is>
      </c>
      <c r="D95" t="n">
        <v>3</v>
      </c>
      <c r="E95" t="n">
        <v>18.299</v>
      </c>
      <c r="F95" t="n">
        <v>94.76900000000001</v>
      </c>
      <c r="G95" t="n">
        <v>3498881</v>
      </c>
      <c r="H95" t="inlineStr">
        <is>
          <t>TUB-O-N-BOT-NR-FC-63.50X3.660X6.100</t>
        </is>
      </c>
    </row>
    <row r="96">
      <c r="A96" t="inlineStr">
        <is>
          <t>0000945274</t>
        </is>
      </c>
      <c r="B96" t="inlineStr">
        <is>
          <t>SICAGEN INDIA LIMITED</t>
        </is>
      </c>
      <c r="C96" t="inlineStr">
        <is>
          <t>M</t>
        </is>
      </c>
      <c r="D96" t="n">
        <v>124</v>
      </c>
      <c r="E96" t="n">
        <v>465</v>
      </c>
      <c r="F96" t="n">
        <v>2408.188</v>
      </c>
      <c r="G96" t="n">
        <v>3498966</v>
      </c>
      <c r="H96" t="inlineStr">
        <is>
          <t>TUB-O-N-BOT-NR-FC-63.50X3.660X3.750</t>
        </is>
      </c>
    </row>
    <row r="97">
      <c r="A97" t="inlineStr">
        <is>
          <t>0000945274</t>
        </is>
      </c>
      <c r="B97" t="inlineStr">
        <is>
          <t>SICAGEN INDIA LIMITED</t>
        </is>
      </c>
      <c r="C97" t="inlineStr">
        <is>
          <t>M</t>
        </is>
      </c>
      <c r="D97" t="n">
        <v>120</v>
      </c>
      <c r="E97" t="n">
        <v>450</v>
      </c>
      <c r="F97" t="n">
        <v>2330.505</v>
      </c>
      <c r="G97" t="n">
        <v>3498966</v>
      </c>
      <c r="H97" t="inlineStr">
        <is>
          <t>TUB-O-N-BOT-NR-FC-63.50X3.660X3.750</t>
        </is>
      </c>
    </row>
    <row r="98">
      <c r="A98" t="inlineStr">
        <is>
          <t>0000945274</t>
        </is>
      </c>
      <c r="B98" t="inlineStr">
        <is>
          <t>SICAGEN INDIA LIMITED</t>
        </is>
      </c>
      <c r="C98" t="inlineStr">
        <is>
          <t>M</t>
        </is>
      </c>
      <c r="D98" t="n">
        <v>6</v>
      </c>
      <c r="E98" t="n">
        <v>22.5</v>
      </c>
      <c r="F98" t="n">
        <v>116.525</v>
      </c>
      <c r="G98" t="n">
        <v>3498966</v>
      </c>
      <c r="H98" t="inlineStr">
        <is>
          <t>TUB-O-N-BOT-NR-FC-63.50X3.660X3.750</t>
        </is>
      </c>
    </row>
    <row r="99">
      <c r="A99" t="inlineStr">
        <is>
          <t>0000945274</t>
        </is>
      </c>
      <c r="B99" t="inlineStr">
        <is>
          <t>SICAGEN INDIA LIMITED</t>
        </is>
      </c>
      <c r="C99" t="inlineStr">
        <is>
          <t>M</t>
        </is>
      </c>
      <c r="D99" t="n">
        <v>129</v>
      </c>
      <c r="E99" t="n">
        <v>516</v>
      </c>
      <c r="F99" t="n">
        <v>2672.312</v>
      </c>
      <c r="G99" t="n">
        <v>3499247</v>
      </c>
      <c r="H99" t="inlineStr">
        <is>
          <t>TUB-O-N-BOT-NR-FC-63.50X3.660X4.000</t>
        </is>
      </c>
    </row>
    <row r="100">
      <c r="A100" t="inlineStr">
        <is>
          <t>0000945274</t>
        </is>
      </c>
      <c r="B100" t="inlineStr">
        <is>
          <t>SICAGEN INDIA LIMITED</t>
        </is>
      </c>
      <c r="C100" t="inlineStr">
        <is>
          <t>M</t>
        </is>
      </c>
      <c r="D100" t="n">
        <v>120</v>
      </c>
      <c r="E100" t="n">
        <v>480</v>
      </c>
      <c r="F100" t="n">
        <v>2485.872</v>
      </c>
      <c r="G100" t="n">
        <v>3499247</v>
      </c>
      <c r="H100" t="inlineStr">
        <is>
          <t>TUB-O-N-BOT-NR-FC-63.50X3.660X4.000</t>
        </is>
      </c>
    </row>
    <row r="101">
      <c r="A101" t="inlineStr">
        <is>
          <t>0000945274</t>
        </is>
      </c>
      <c r="B101" t="inlineStr">
        <is>
          <t>SICAGEN INDIA LIMITED</t>
        </is>
      </c>
      <c r="C101" t="inlineStr">
        <is>
          <t>M</t>
        </is>
      </c>
      <c r="D101" t="n">
        <v>1</v>
      </c>
      <c r="E101" t="n">
        <v>4</v>
      </c>
      <c r="F101" t="n">
        <v>20.716</v>
      </c>
      <c r="G101" t="n">
        <v>3499247</v>
      </c>
      <c r="H101" t="inlineStr">
        <is>
          <t>TUB-O-N-BOT-NR-FC-63.50X3.660X4.000</t>
        </is>
      </c>
    </row>
    <row r="102">
      <c r="A102" t="inlineStr">
        <is>
          <t>0000945274</t>
        </is>
      </c>
      <c r="B102" t="inlineStr">
        <is>
          <t>SICAGEN INDIA LIMITED</t>
        </is>
      </c>
      <c r="C102" t="inlineStr">
        <is>
          <t>M</t>
        </is>
      </c>
      <c r="D102" t="n">
        <v>96</v>
      </c>
      <c r="E102" t="n">
        <v>575.992</v>
      </c>
      <c r="F102" t="n">
        <v>2983.005</v>
      </c>
      <c r="G102" t="n">
        <v>3499141</v>
      </c>
      <c r="H102" t="inlineStr">
        <is>
          <t>TUB-O-N-BOT-NR-FC-63.50X3.660X6.000</t>
        </is>
      </c>
    </row>
    <row r="103">
      <c r="A103" t="inlineStr">
        <is>
          <t>0000945274</t>
        </is>
      </c>
      <c r="B103" t="inlineStr">
        <is>
          <t>SICAGEN INDIA LIMITED</t>
        </is>
      </c>
      <c r="C103" t="inlineStr">
        <is>
          <t>M</t>
        </is>
      </c>
      <c r="D103" t="n">
        <v>90</v>
      </c>
      <c r="E103" t="n">
        <v>539.992</v>
      </c>
      <c r="F103" t="n">
        <v>2796.565</v>
      </c>
      <c r="G103" t="n">
        <v>3499141</v>
      </c>
      <c r="H103" t="inlineStr">
        <is>
          <t>TUB-O-N-BOT-NR-FC-63.50X3.660X6.000</t>
        </is>
      </c>
    </row>
    <row r="104">
      <c r="A104" t="inlineStr">
        <is>
          <t>0000945274</t>
        </is>
      </c>
      <c r="B104" t="inlineStr">
        <is>
          <t>SICAGEN INDIA LIMITED</t>
        </is>
      </c>
      <c r="C104" t="inlineStr">
        <is>
          <t>M</t>
        </is>
      </c>
      <c r="D104" t="n">
        <v>61</v>
      </c>
      <c r="E104" t="n">
        <v>365.994</v>
      </c>
      <c r="F104" t="n">
        <v>1895.446</v>
      </c>
      <c r="G104" t="n">
        <v>3499141</v>
      </c>
      <c r="H104" t="inlineStr">
        <is>
          <t>TUB-O-N-BOT-NR-FC-63.50X3.660X6.000</t>
        </is>
      </c>
    </row>
    <row r="105">
      <c r="A105" t="inlineStr">
        <is>
          <t>0000945274</t>
        </is>
      </c>
      <c r="B105" t="inlineStr">
        <is>
          <t>SICAGEN INDIA LIMITED</t>
        </is>
      </c>
      <c r="C105" t="inlineStr">
        <is>
          <t>M</t>
        </is>
      </c>
      <c r="D105" t="n">
        <v>3</v>
      </c>
      <c r="E105" t="n">
        <v>17.999</v>
      </c>
      <c r="F105" t="n">
        <v>93.215</v>
      </c>
      <c r="G105" t="n">
        <v>3499141</v>
      </c>
      <c r="H105" t="inlineStr">
        <is>
          <t>TUB-O-N-BOT-NR-FC-63.50X3.660X6.000</t>
        </is>
      </c>
    </row>
    <row r="106">
      <c r="A106" t="inlineStr">
        <is>
          <t>0000948751</t>
        </is>
      </c>
      <c r="B106" t="inlineStr">
        <is>
          <t>M/S TAJ TRADING CORPORATION</t>
        </is>
      </c>
      <c r="C106" t="inlineStr">
        <is>
          <t>NOS</t>
        </is>
      </c>
      <c r="D106" t="n">
        <v>120</v>
      </c>
      <c r="E106" t="n">
        <v>480.009</v>
      </c>
      <c r="F106" t="n">
        <v>2485.92</v>
      </c>
      <c r="G106" t="n">
        <v>3499247</v>
      </c>
      <c r="H106" t="inlineStr">
        <is>
          <t>TUB-O-N-BOT-NR-FC-63.50X3.660X4.000</t>
        </is>
      </c>
    </row>
    <row r="107">
      <c r="A107" t="inlineStr">
        <is>
          <t>0000948751</t>
        </is>
      </c>
      <c r="B107" t="inlineStr">
        <is>
          <t>M/S TAJ TRADING CORPORATION</t>
        </is>
      </c>
      <c r="C107" t="inlineStr">
        <is>
          <t>NOS</t>
        </is>
      </c>
      <c r="D107" t="n">
        <v>120</v>
      </c>
      <c r="E107" t="n">
        <v>480.009</v>
      </c>
      <c r="F107" t="n">
        <v>2485.92</v>
      </c>
      <c r="G107" t="n">
        <v>3499247</v>
      </c>
      <c r="H107" t="inlineStr">
        <is>
          <t>TUB-O-N-BOT-NR-FC-63.50X3.660X4.000</t>
        </is>
      </c>
    </row>
    <row r="108">
      <c r="A108" t="inlineStr">
        <is>
          <t>0000948751</t>
        </is>
      </c>
      <c r="B108" t="inlineStr">
        <is>
          <t>M/S TAJ TRADING CORPORATION</t>
        </is>
      </c>
      <c r="C108" t="inlineStr">
        <is>
          <t>NOS</t>
        </is>
      </c>
      <c r="D108" t="n">
        <v>119</v>
      </c>
      <c r="E108" t="n">
        <v>476.009</v>
      </c>
      <c r="F108" t="n">
        <v>2465.204</v>
      </c>
      <c r="G108" t="n">
        <v>3499247</v>
      </c>
      <c r="H108" t="inlineStr">
        <is>
          <t>TUB-O-N-BOT-NR-FC-63.50X3.660X4.000</t>
        </is>
      </c>
    </row>
    <row r="109">
      <c r="A109" t="inlineStr">
        <is>
          <t>0000948751</t>
        </is>
      </c>
      <c r="B109" t="inlineStr">
        <is>
          <t>M/S TAJ TRADING CORPORATION</t>
        </is>
      </c>
      <c r="C109" t="inlineStr">
        <is>
          <t>NOS</t>
        </is>
      </c>
      <c r="D109" t="n">
        <v>72</v>
      </c>
      <c r="E109" t="n">
        <v>288.006</v>
      </c>
      <c r="F109" t="n">
        <v>1491.552</v>
      </c>
      <c r="G109" t="n">
        <v>3499247</v>
      </c>
      <c r="H109" t="inlineStr">
        <is>
          <t>TUB-O-N-BOT-NR-FC-63.50X3.660X4.000</t>
        </is>
      </c>
    </row>
    <row r="110">
      <c r="A110" t="inlineStr">
        <is>
          <t>0000948751</t>
        </is>
      </c>
      <c r="B110" t="inlineStr">
        <is>
          <t>M/S TAJ TRADING CORPORATION</t>
        </is>
      </c>
      <c r="C110" t="inlineStr">
        <is>
          <t>NOS</t>
        </is>
      </c>
      <c r="D110" t="n">
        <v>66</v>
      </c>
      <c r="E110" t="n">
        <v>264.005</v>
      </c>
      <c r="F110" t="n">
        <v>1367.256</v>
      </c>
      <c r="G110" t="n">
        <v>3499247</v>
      </c>
      <c r="H110" t="inlineStr">
        <is>
          <t>TUB-O-N-BOT-NR-FC-63.50X3.660X4.000</t>
        </is>
      </c>
    </row>
    <row r="111">
      <c r="A111" t="inlineStr">
        <is>
          <t>0000948751</t>
        </is>
      </c>
      <c r="B111" t="inlineStr">
        <is>
          <t>M/S TAJ TRADING CORPORATION</t>
        </is>
      </c>
      <c r="C111" t="inlineStr">
        <is>
          <t>NOS</t>
        </is>
      </c>
      <c r="D111" t="n">
        <v>13</v>
      </c>
      <c r="E111" t="n">
        <v>52.001</v>
      </c>
      <c r="F111" t="n">
        <v>269.308</v>
      </c>
      <c r="G111" t="n">
        <v>3499247</v>
      </c>
      <c r="H111" t="inlineStr">
        <is>
          <t>TUB-O-N-BOT-NR-FC-63.50X3.660X4.000</t>
        </is>
      </c>
    </row>
    <row r="112">
      <c r="A112" t="inlineStr">
        <is>
          <t>0000948751</t>
        </is>
      </c>
      <c r="B112" t="inlineStr">
        <is>
          <t>M/S TAJ TRADING CORPORATION</t>
        </is>
      </c>
      <c r="C112" t="inlineStr">
        <is>
          <t>NOS</t>
        </is>
      </c>
      <c r="D112" t="n">
        <v>96</v>
      </c>
      <c r="E112" t="n">
        <v>585.595</v>
      </c>
      <c r="F112" t="n">
        <v>3032.736</v>
      </c>
      <c r="G112" t="n">
        <v>3498881</v>
      </c>
      <c r="H112" t="inlineStr">
        <is>
          <t>TUB-O-N-BOT-NR-FC-63.50X3.660X6.100</t>
        </is>
      </c>
    </row>
    <row r="113">
      <c r="A113" t="inlineStr">
        <is>
          <t>0000948751</t>
        </is>
      </c>
      <c r="B113" t="inlineStr">
        <is>
          <t>M/S TAJ TRADING CORPORATION</t>
        </is>
      </c>
      <c r="C113" t="inlineStr">
        <is>
          <t>NOS</t>
        </is>
      </c>
      <c r="D113" t="n">
        <v>96</v>
      </c>
      <c r="E113" t="n">
        <v>585.595</v>
      </c>
      <c r="F113" t="n">
        <v>3032.736</v>
      </c>
      <c r="G113" t="n">
        <v>3498881</v>
      </c>
      <c r="H113" t="inlineStr">
        <is>
          <t>TUB-O-N-BOT-NR-FC-63.50X3.660X6.100</t>
        </is>
      </c>
    </row>
    <row r="114">
      <c r="A114" t="inlineStr">
        <is>
          <t>0000948751</t>
        </is>
      </c>
      <c r="B114" t="inlineStr">
        <is>
          <t>M/S TAJ TRADING CORPORATION</t>
        </is>
      </c>
      <c r="C114" t="inlineStr">
        <is>
          <t>NOS</t>
        </is>
      </c>
      <c r="D114" t="n">
        <v>92</v>
      </c>
      <c r="E114" t="n">
        <v>561.1950000000001</v>
      </c>
      <c r="F114" t="n">
        <v>2906.372</v>
      </c>
      <c r="G114" t="n">
        <v>3498881</v>
      </c>
      <c r="H114" t="inlineStr">
        <is>
          <t>TUB-O-N-BOT-NR-FC-63.50X3.660X6.100</t>
        </is>
      </c>
    </row>
    <row r="115">
      <c r="A115" t="inlineStr">
        <is>
          <t>0000948751</t>
        </is>
      </c>
      <c r="B115" t="inlineStr">
        <is>
          <t>M/S TAJ TRADING CORPORATION</t>
        </is>
      </c>
      <c r="C115" t="inlineStr">
        <is>
          <t>NOS</t>
        </is>
      </c>
      <c r="D115" t="n">
        <v>87</v>
      </c>
      <c r="E115" t="n">
        <v>530.6950000000001</v>
      </c>
      <c r="F115" t="n">
        <v>2748.417</v>
      </c>
      <c r="G115" t="n">
        <v>3498881</v>
      </c>
      <c r="H115" t="inlineStr">
        <is>
          <t>TUB-O-N-BOT-NR-FC-63.50X3.660X6.100</t>
        </is>
      </c>
    </row>
    <row r="116">
      <c r="A116" t="inlineStr">
        <is>
          <t>0000948751</t>
        </is>
      </c>
      <c r="B116" t="inlineStr">
        <is>
          <t>M/S TAJ TRADING CORPORATION</t>
        </is>
      </c>
      <c r="C116" t="inlineStr">
        <is>
          <t>NOS</t>
        </is>
      </c>
      <c r="D116" t="n">
        <v>68</v>
      </c>
      <c r="E116" t="n">
        <v>414.796</v>
      </c>
      <c r="F116" t="n">
        <v>2148.188</v>
      </c>
      <c r="G116" t="n">
        <v>3498881</v>
      </c>
      <c r="H116" t="inlineStr">
        <is>
          <t>TUB-O-N-BOT-NR-FC-63.50X3.660X6.100</t>
        </is>
      </c>
    </row>
    <row r="117">
      <c r="A117" t="inlineStr">
        <is>
          <t>0000948751</t>
        </is>
      </c>
      <c r="B117" t="inlineStr">
        <is>
          <t>M/S TAJ TRADING CORPORATION</t>
        </is>
      </c>
      <c r="C117" t="inlineStr">
        <is>
          <t>NOS</t>
        </is>
      </c>
      <c r="D117" t="n">
        <v>12</v>
      </c>
      <c r="E117" t="n">
        <v>73.199</v>
      </c>
      <c r="F117" t="n">
        <v>379.092</v>
      </c>
      <c r="G117" t="n">
        <v>3498881</v>
      </c>
      <c r="H117" t="inlineStr">
        <is>
          <t>TUB-O-N-BOT-NR-FC-63.50X3.660X6.100</t>
        </is>
      </c>
    </row>
    <row r="118">
      <c r="A118" t="inlineStr">
        <is>
          <t>0000948751</t>
        </is>
      </c>
      <c r="B118" t="inlineStr">
        <is>
          <t>M/S TAJ TRADING CORPORATION</t>
        </is>
      </c>
      <c r="C118" t="inlineStr">
        <is>
          <t>NOS</t>
        </is>
      </c>
      <c r="D118" t="n">
        <v>9</v>
      </c>
      <c r="E118" t="n">
        <v>54.899</v>
      </c>
      <c r="F118" t="n">
        <v>284.319</v>
      </c>
      <c r="G118" t="n">
        <v>3498881</v>
      </c>
      <c r="H118" t="inlineStr">
        <is>
          <t>TUB-O-N-BOT-NR-FC-63.50X3.660X6.100</t>
        </is>
      </c>
    </row>
    <row r="119">
      <c r="A119" t="inlineStr">
        <is>
          <t>0000943209</t>
        </is>
      </c>
      <c r="B119" t="inlineStr">
        <is>
          <t>MEGH STEELS PRIVATE LIMITED - TVS A</t>
        </is>
      </c>
      <c r="C119" t="inlineStr">
        <is>
          <t>KG</t>
        </is>
      </c>
      <c r="D119" t="n">
        <v>420</v>
      </c>
      <c r="E119" t="n">
        <v>2387.698</v>
      </c>
      <c r="F119" t="n">
        <v>1873.494</v>
      </c>
      <c r="G119" t="n">
        <v>4173571</v>
      </c>
      <c r="H119" t="inlineStr">
        <is>
          <t>TUB-O-N-AUT-AW-PE-22.20X1.600X5.6850</t>
        </is>
      </c>
    </row>
    <row r="120">
      <c r="A120" t="inlineStr">
        <is>
          <t>0000943209</t>
        </is>
      </c>
      <c r="B120" t="inlineStr">
        <is>
          <t>MEGH STEELS PRIVATE LIMITED - TVS A</t>
        </is>
      </c>
      <c r="C120" t="inlineStr">
        <is>
          <t>KG</t>
        </is>
      </c>
      <c r="D120" t="n">
        <v>419</v>
      </c>
      <c r="E120" t="n">
        <v>2382.013</v>
      </c>
      <c r="F120" t="n">
        <v>1869.033</v>
      </c>
      <c r="G120" t="n">
        <v>4173571</v>
      </c>
      <c r="H120" t="inlineStr">
        <is>
          <t>TUB-O-N-AUT-AW-PE-22.20X1.600X5.6850</t>
        </is>
      </c>
    </row>
    <row r="121">
      <c r="A121" t="inlineStr">
        <is>
          <t>0000943209</t>
        </is>
      </c>
      <c r="B121" t="inlineStr">
        <is>
          <t>MEGH STEELS PRIVATE LIMITED - TVS A</t>
        </is>
      </c>
      <c r="C121" t="inlineStr">
        <is>
          <t>KG</t>
        </is>
      </c>
      <c r="D121" t="n">
        <v>419</v>
      </c>
      <c r="E121" t="n">
        <v>2382.013</v>
      </c>
      <c r="F121" t="n">
        <v>1869.033</v>
      </c>
      <c r="G121" t="n">
        <v>4173571</v>
      </c>
      <c r="H121" t="inlineStr">
        <is>
          <t>TUB-O-N-AUT-AW-PE-22.20X1.600X5.6850</t>
        </is>
      </c>
    </row>
    <row r="122">
      <c r="A122" t="inlineStr">
        <is>
          <t>0000943209</t>
        </is>
      </c>
      <c r="B122" t="inlineStr">
        <is>
          <t>MEGH STEELS PRIVATE LIMITED - TVS A</t>
        </is>
      </c>
      <c r="C122" t="inlineStr">
        <is>
          <t>KG</t>
        </is>
      </c>
      <c r="D122" t="n">
        <v>558</v>
      </c>
      <c r="E122" t="n">
        <v>3347.944</v>
      </c>
      <c r="F122" t="n">
        <v>2226.42</v>
      </c>
      <c r="G122" t="n">
        <v>3498997</v>
      </c>
      <c r="H122" t="inlineStr">
        <is>
          <t>TUB-O-N-AUT-AW-PE-19.05X1.60X6.000-ERW 1</t>
        </is>
      </c>
    </row>
    <row r="123">
      <c r="A123" t="inlineStr">
        <is>
          <t>0000943209</t>
        </is>
      </c>
      <c r="B123" t="inlineStr">
        <is>
          <t>MEGH STEELS PRIVATE LIMITED - TVS A</t>
        </is>
      </c>
      <c r="C123" t="inlineStr">
        <is>
          <t>KG</t>
        </is>
      </c>
      <c r="D123" t="n">
        <v>558</v>
      </c>
      <c r="E123" t="n">
        <v>3347.944</v>
      </c>
      <c r="F123" t="n">
        <v>2226.42</v>
      </c>
      <c r="G123" t="n">
        <v>3498997</v>
      </c>
      <c r="H123" t="inlineStr">
        <is>
          <t>TUB-O-N-AUT-AW-PE-19.05X1.60X6.000-ERW 1</t>
        </is>
      </c>
    </row>
    <row r="124">
      <c r="A124" t="inlineStr">
        <is>
          <t>0000943209</t>
        </is>
      </c>
      <c r="B124" t="inlineStr">
        <is>
          <t>MEGH STEELS PRIVATE LIMITED - TVS A</t>
        </is>
      </c>
      <c r="C124" t="inlineStr">
        <is>
          <t>KG</t>
        </is>
      </c>
      <c r="D124" t="n">
        <v>559</v>
      </c>
      <c r="E124" t="n">
        <v>3353.944</v>
      </c>
      <c r="F124" t="n">
        <v>2230.41</v>
      </c>
      <c r="G124" t="n">
        <v>3498997</v>
      </c>
      <c r="H124" t="inlineStr">
        <is>
          <t>TUB-O-N-AUT-AW-PE-19.05X1.60X6.000-ERW 1</t>
        </is>
      </c>
    </row>
    <row r="125">
      <c r="A125" t="inlineStr">
        <is>
          <t>0000943209</t>
        </is>
      </c>
      <c r="B125" t="inlineStr">
        <is>
          <t>MEGH STEELS PRIVATE LIMITED - TVS A</t>
        </is>
      </c>
      <c r="C125" t="inlineStr">
        <is>
          <t>KG</t>
        </is>
      </c>
      <c r="D125" t="n">
        <v>559</v>
      </c>
      <c r="E125" t="n">
        <v>3353.944</v>
      </c>
      <c r="F125" t="n">
        <v>2230.41</v>
      </c>
      <c r="G125" t="n">
        <v>3498997</v>
      </c>
      <c r="H125" t="inlineStr">
        <is>
          <t>TUB-O-N-AUT-AW-PE-19.05X1.60X6.000-ERW 1</t>
        </is>
      </c>
    </row>
    <row r="126">
      <c r="A126" t="inlineStr">
        <is>
          <t>0000943209</t>
        </is>
      </c>
      <c r="B126" t="inlineStr">
        <is>
          <t>MEGH STEELS PRIVATE LIMITED - TVS A</t>
        </is>
      </c>
      <c r="C126" t="inlineStr">
        <is>
          <t>KG</t>
        </is>
      </c>
      <c r="D126" t="n">
        <v>423</v>
      </c>
      <c r="E126" t="n">
        <v>2398.392</v>
      </c>
      <c r="F126" t="n">
        <v>1881.885</v>
      </c>
      <c r="G126" t="n">
        <v>3954021</v>
      </c>
      <c r="H126" t="inlineStr">
        <is>
          <t>TUB-O-N-AUT-AW-PE-22.20X1.600X5.6700</t>
        </is>
      </c>
    </row>
    <row r="127">
      <c r="A127" t="inlineStr">
        <is>
          <t>0000943209</t>
        </is>
      </c>
      <c r="B127" t="inlineStr">
        <is>
          <t>MEGH STEELS PRIVATE LIMITED - TVS A</t>
        </is>
      </c>
      <c r="C127" t="inlineStr">
        <is>
          <t>KG</t>
        </is>
      </c>
      <c r="D127" t="n">
        <v>422</v>
      </c>
      <c r="E127" t="n">
        <v>2221.372</v>
      </c>
      <c r="F127" t="n">
        <v>1742.987</v>
      </c>
      <c r="G127" t="n">
        <v>3501116</v>
      </c>
      <c r="H127" t="inlineStr">
        <is>
          <t>TUB-O-N-AUT-AW-PE-22.20X1.600X5.2640</t>
        </is>
      </c>
    </row>
    <row r="128">
      <c r="A128" t="inlineStr">
        <is>
          <t>0000943210</t>
        </is>
      </c>
      <c r="B128" t="inlineStr">
        <is>
          <t>MEGH STEELS PRIVATE LIMITED - HMSIL</t>
        </is>
      </c>
      <c r="C128" t="inlineStr">
        <is>
          <t>KG</t>
        </is>
      </c>
      <c r="D128" t="n">
        <v>558</v>
      </c>
      <c r="E128" t="n">
        <v>3348.033</v>
      </c>
      <c r="F128" t="n">
        <v>1945.914</v>
      </c>
      <c r="G128" t="n">
        <v>3891285</v>
      </c>
      <c r="H128" t="inlineStr">
        <is>
          <t>TUB-O-N-AUT-AW-PE-19.05X1.40X6.000 HST</t>
        </is>
      </c>
    </row>
    <row r="129">
      <c r="A129" t="inlineStr">
        <is>
          <t>0000943210</t>
        </is>
      </c>
      <c r="B129" t="inlineStr">
        <is>
          <t>MEGH STEELS PRIVATE LIMITED - HMSIL</t>
        </is>
      </c>
      <c r="C129" t="inlineStr">
        <is>
          <t>KG</t>
        </is>
      </c>
      <c r="D129" t="n">
        <v>558</v>
      </c>
      <c r="E129" t="n">
        <v>3348.033</v>
      </c>
      <c r="F129" t="n">
        <v>1945.914</v>
      </c>
      <c r="G129" t="n">
        <v>3891285</v>
      </c>
      <c r="H129" t="inlineStr">
        <is>
          <t>TUB-O-N-AUT-AW-PE-19.05X1.40X6.000 HST</t>
        </is>
      </c>
    </row>
    <row r="130">
      <c r="A130" t="inlineStr">
        <is>
          <t>0000943210</t>
        </is>
      </c>
      <c r="B130" t="inlineStr">
        <is>
          <t>MEGH STEELS PRIVATE LIMITED - HMSIL</t>
        </is>
      </c>
      <c r="C130" t="inlineStr">
        <is>
          <t>KG</t>
        </is>
      </c>
      <c r="D130" t="n">
        <v>298</v>
      </c>
      <c r="E130" t="n">
        <v>1788.018</v>
      </c>
      <c r="F130" t="n">
        <v>1039.216</v>
      </c>
      <c r="G130" t="n">
        <v>3891285</v>
      </c>
      <c r="H130" t="inlineStr">
        <is>
          <t>TUB-O-N-AUT-AW-PE-19.05X1.40X6.000 HST</t>
        </is>
      </c>
    </row>
    <row r="131">
      <c r="A131" t="inlineStr">
        <is>
          <t>0000943209</t>
        </is>
      </c>
      <c r="B131" t="inlineStr">
        <is>
          <t>MEGH STEELS PRIVATE LIMITED - TVS A</t>
        </is>
      </c>
      <c r="C131" t="inlineStr">
        <is>
          <t>KG</t>
        </is>
      </c>
      <c r="D131" t="n">
        <v>199</v>
      </c>
      <c r="E131" t="n">
        <v>1392.996</v>
      </c>
      <c r="F131" t="n">
        <v>1323.47</v>
      </c>
      <c r="G131" t="n">
        <v>3500582</v>
      </c>
      <c r="H131" t="inlineStr">
        <is>
          <t>TUB-O-N-AUT-AW-PE-19.05X2.300X7.00-ERW 1</t>
        </is>
      </c>
    </row>
    <row r="132">
      <c r="A132" t="inlineStr">
        <is>
          <t>0000944119</t>
        </is>
      </c>
      <c r="B132" t="inlineStr">
        <is>
          <t>BHARAT TUBES CORPORATION</t>
        </is>
      </c>
      <c r="C132" t="inlineStr">
        <is>
          <t>NOS</t>
        </is>
      </c>
      <c r="D132" t="n">
        <v>144</v>
      </c>
      <c r="E132" t="n">
        <v>540.003</v>
      </c>
      <c r="F132" t="n">
        <v>2796.624</v>
      </c>
      <c r="G132" t="n">
        <v>3498966</v>
      </c>
      <c r="H132" t="inlineStr">
        <is>
          <t>TUB-O-N-BOT-NR-FC-63.50X3.660X3.750</t>
        </is>
      </c>
    </row>
    <row r="133">
      <c r="A133" t="inlineStr">
        <is>
          <t>0000944119</t>
        </is>
      </c>
      <c r="B133" t="inlineStr">
        <is>
          <t>BHARAT TUBES CORPORATION</t>
        </is>
      </c>
      <c r="C133" t="inlineStr">
        <is>
          <t>NOS</t>
        </is>
      </c>
      <c r="D133" t="n">
        <v>135</v>
      </c>
      <c r="E133" t="n">
        <v>506.253</v>
      </c>
      <c r="F133" t="n">
        <v>2621.835</v>
      </c>
      <c r="G133" t="n">
        <v>3498966</v>
      </c>
      <c r="H133" t="inlineStr">
        <is>
          <t>TUB-O-N-BOT-NR-FC-63.50X3.660X3.750</t>
        </is>
      </c>
    </row>
    <row r="134">
      <c r="A134" t="inlineStr">
        <is>
          <t>0000944119</t>
        </is>
      </c>
      <c r="B134" t="inlineStr">
        <is>
          <t>BHARAT TUBES CORPORATION</t>
        </is>
      </c>
      <c r="C134" t="inlineStr">
        <is>
          <t>NOS</t>
        </is>
      </c>
      <c r="D134" t="n">
        <v>131</v>
      </c>
      <c r="E134" t="n">
        <v>491.253</v>
      </c>
      <c r="F134" t="n">
        <v>2544.151</v>
      </c>
      <c r="G134" t="n">
        <v>3498966</v>
      </c>
      <c r="H134" t="inlineStr">
        <is>
          <t>TUB-O-N-BOT-NR-FC-63.50X3.660X3.750</t>
        </is>
      </c>
    </row>
    <row r="135">
      <c r="A135" t="inlineStr">
        <is>
          <t>0000944119</t>
        </is>
      </c>
      <c r="B135" t="inlineStr">
        <is>
          <t>BHARAT TUBES CORPORATION</t>
        </is>
      </c>
      <c r="C135" t="inlineStr">
        <is>
          <t>NOS</t>
        </is>
      </c>
      <c r="D135" t="n">
        <v>143</v>
      </c>
      <c r="E135" t="n">
        <v>572.011</v>
      </c>
      <c r="F135" t="n">
        <v>2962.388</v>
      </c>
      <c r="G135" t="n">
        <v>3499247</v>
      </c>
      <c r="H135" t="inlineStr">
        <is>
          <t>TUB-O-N-BOT-NR-FC-63.50X3.660X4.000</t>
        </is>
      </c>
    </row>
    <row r="136">
      <c r="A136" t="inlineStr">
        <is>
          <t>0000944119</t>
        </is>
      </c>
      <c r="B136" t="inlineStr">
        <is>
          <t>BHARAT TUBES CORPORATION</t>
        </is>
      </c>
      <c r="C136" t="inlineStr">
        <is>
          <t>NOS</t>
        </is>
      </c>
      <c r="D136" t="n">
        <v>55</v>
      </c>
      <c r="E136" t="n">
        <v>220.004</v>
      </c>
      <c r="F136" t="n">
        <v>1139.38</v>
      </c>
      <c r="G136" t="n">
        <v>3499247</v>
      </c>
      <c r="H136" t="inlineStr">
        <is>
          <t>TUB-O-N-BOT-NR-FC-63.50X3.660X4.000</t>
        </is>
      </c>
    </row>
    <row r="137">
      <c r="A137" t="inlineStr">
        <is>
          <t>0000944119</t>
        </is>
      </c>
      <c r="B137" t="inlineStr">
        <is>
          <t>BHARAT TUBES CORPORATION</t>
        </is>
      </c>
      <c r="C137" t="inlineStr">
        <is>
          <t>NOS</t>
        </is>
      </c>
      <c r="D137" t="n">
        <v>93</v>
      </c>
      <c r="E137" t="n">
        <v>465.009</v>
      </c>
      <c r="F137" t="n">
        <v>2408.235</v>
      </c>
      <c r="G137" t="n">
        <v>3499180</v>
      </c>
      <c r="H137" t="inlineStr">
        <is>
          <t>TUB-O-N-BOT-NR-FC-63.50X3.660X5.000</t>
        </is>
      </c>
    </row>
    <row r="138">
      <c r="A138" t="inlineStr">
        <is>
          <t>0000944119</t>
        </is>
      </c>
      <c r="B138" t="inlineStr">
        <is>
          <t>BHARAT TUBES CORPORATION</t>
        </is>
      </c>
      <c r="C138" t="inlineStr">
        <is>
          <t>NOS</t>
        </is>
      </c>
      <c r="D138" t="n">
        <v>92</v>
      </c>
      <c r="E138" t="n">
        <v>460.009</v>
      </c>
      <c r="F138" t="n">
        <v>2382.34</v>
      </c>
      <c r="G138" t="n">
        <v>3499180</v>
      </c>
      <c r="H138" t="inlineStr">
        <is>
          <t>TUB-O-N-BOT-NR-FC-63.50X3.660X5.000</t>
        </is>
      </c>
    </row>
    <row r="139">
      <c r="A139" t="inlineStr">
        <is>
          <t>0000944119</t>
        </is>
      </c>
      <c r="B139" t="inlineStr">
        <is>
          <t>BHARAT TUBES CORPORATION</t>
        </is>
      </c>
      <c r="C139" t="inlineStr">
        <is>
          <t>NOS</t>
        </is>
      </c>
      <c r="D139" t="n">
        <v>76</v>
      </c>
      <c r="E139" t="n">
        <v>380.007</v>
      </c>
      <c r="F139" t="n">
        <v>1968.02</v>
      </c>
      <c r="G139" t="n">
        <v>3499180</v>
      </c>
      <c r="H139" t="inlineStr">
        <is>
          <t>TUB-O-N-BOT-NR-FC-63.50X3.660X5.000</t>
        </is>
      </c>
    </row>
    <row r="140">
      <c r="A140" t="inlineStr">
        <is>
          <t>0000944119</t>
        </is>
      </c>
      <c r="B140" t="inlineStr">
        <is>
          <t>BHARAT TUBES CORPORATION</t>
        </is>
      </c>
      <c r="C140" t="inlineStr">
        <is>
          <t>NOS</t>
        </is>
      </c>
      <c r="D140" t="n">
        <v>55</v>
      </c>
      <c r="E140" t="n">
        <v>275.005</v>
      </c>
      <c r="F140" t="n">
        <v>1424.225</v>
      </c>
      <c r="G140" t="n">
        <v>3499180</v>
      </c>
      <c r="H140" t="inlineStr">
        <is>
          <t>TUB-O-N-BOT-NR-FC-63.50X3.660X5.000</t>
        </is>
      </c>
    </row>
    <row r="141">
      <c r="A141" t="inlineStr">
        <is>
          <t>0000944119</t>
        </is>
      </c>
      <c r="B141" t="inlineStr">
        <is>
          <t>BHARAT TUBES CORPORATION</t>
        </is>
      </c>
      <c r="C141" t="inlineStr">
        <is>
          <t>NOS</t>
        </is>
      </c>
      <c r="D141" t="n">
        <v>106</v>
      </c>
      <c r="E141" t="n">
        <v>646.585</v>
      </c>
      <c r="F141" t="n">
        <v>1730.132</v>
      </c>
      <c r="G141" t="n">
        <v>3499025</v>
      </c>
      <c r="H141" t="inlineStr">
        <is>
          <t>TUB-O-N-BOT-NR-FC-38.10X3.250X6.100</t>
        </is>
      </c>
    </row>
    <row r="142">
      <c r="A142" t="inlineStr">
        <is>
          <t>0000944119</t>
        </is>
      </c>
      <c r="B142" t="inlineStr">
        <is>
          <t>BHARAT TUBES CORPORATION</t>
        </is>
      </c>
      <c r="C142" t="inlineStr">
        <is>
          <t>NOS</t>
        </is>
      </c>
      <c r="D142" t="n">
        <v>72</v>
      </c>
      <c r="E142" t="n">
        <v>468.002</v>
      </c>
      <c r="F142" t="n">
        <v>2423.736</v>
      </c>
      <c r="G142" t="n">
        <v>3498875</v>
      </c>
      <c r="H142" t="inlineStr">
        <is>
          <t>TUB-O-N-BOT-NR-FC-63.50X3.660X6.500</t>
        </is>
      </c>
    </row>
    <row r="143">
      <c r="A143" t="inlineStr">
        <is>
          <t>0000944119</t>
        </is>
      </c>
      <c r="B143" t="inlineStr">
        <is>
          <t>BHARAT TUBES CORPORATION</t>
        </is>
      </c>
      <c r="C143" t="inlineStr">
        <is>
          <t>NOS</t>
        </is>
      </c>
      <c r="D143" t="n">
        <v>30</v>
      </c>
      <c r="E143" t="n">
        <v>195.001</v>
      </c>
      <c r="F143" t="n">
        <v>1009.89</v>
      </c>
      <c r="G143" t="n">
        <v>3498875</v>
      </c>
      <c r="H143" t="inlineStr">
        <is>
          <t>TUB-O-N-BOT-NR-FC-63.50X3.660X6.500</t>
        </is>
      </c>
    </row>
    <row r="144">
      <c r="A144" t="inlineStr">
        <is>
          <t>0000944119</t>
        </is>
      </c>
      <c r="B144" t="inlineStr">
        <is>
          <t>BHARAT TUBES CORPORATION</t>
        </is>
      </c>
      <c r="C144" t="inlineStr">
        <is>
          <t>NOS</t>
        </is>
      </c>
      <c r="D144" t="n">
        <v>72</v>
      </c>
      <c r="E144" t="n">
        <v>439.199</v>
      </c>
      <c r="F144" t="n">
        <v>2612.664</v>
      </c>
      <c r="G144" t="n">
        <v>3498975</v>
      </c>
      <c r="H144" t="inlineStr">
        <is>
          <t>TUB-O-N-BOT-NR-FC-63.50X4.060X6.100</t>
        </is>
      </c>
    </row>
    <row r="145">
      <c r="A145" t="inlineStr">
        <is>
          <t>0000944119</t>
        </is>
      </c>
      <c r="B145" t="inlineStr">
        <is>
          <t>BHARAT TUBES CORPORATION</t>
        </is>
      </c>
      <c r="C145" t="inlineStr">
        <is>
          <t>NOS</t>
        </is>
      </c>
      <c r="D145" t="n">
        <v>50</v>
      </c>
      <c r="E145" t="n">
        <v>304.999</v>
      </c>
      <c r="F145" t="n">
        <v>1814.35</v>
      </c>
      <c r="G145" t="n">
        <v>3498975</v>
      </c>
      <c r="H145" t="inlineStr">
        <is>
          <t>TUB-O-N-BOT-NR-FC-63.50X4.060X6.100</t>
        </is>
      </c>
    </row>
    <row r="146">
      <c r="A146" t="inlineStr">
        <is>
          <t>0000944119</t>
        </is>
      </c>
      <c r="B146" t="inlineStr">
        <is>
          <t>BHARAT TUBES CORPORATION</t>
        </is>
      </c>
      <c r="C146" t="inlineStr">
        <is>
          <t>NOS</t>
        </is>
      </c>
      <c r="D146" t="n">
        <v>110</v>
      </c>
      <c r="E146" t="n">
        <v>391.255</v>
      </c>
      <c r="F146" t="n">
        <v>1471.47</v>
      </c>
      <c r="G146" t="n">
        <v>3500116</v>
      </c>
      <c r="H146" t="inlineStr">
        <is>
          <t>TUB-O-N-AHT-NR-FC-63.50X2.640X3.557</t>
        </is>
      </c>
    </row>
    <row r="147">
      <c r="A147" t="inlineStr">
        <is>
          <t>0000944119</t>
        </is>
      </c>
      <c r="B147" t="inlineStr">
        <is>
          <t>BHARAT TUBES CORPORATION</t>
        </is>
      </c>
      <c r="C147" t="inlineStr">
        <is>
          <t>NOS</t>
        </is>
      </c>
      <c r="D147" t="n">
        <v>107</v>
      </c>
      <c r="E147" t="n">
        <v>380.584</v>
      </c>
      <c r="F147" t="n">
        <v>1431.339</v>
      </c>
      <c r="G147" t="n">
        <v>3500116</v>
      </c>
      <c r="H147" t="inlineStr">
        <is>
          <t>TUB-O-N-AHT-NR-FC-63.50X2.640X3.557</t>
        </is>
      </c>
    </row>
    <row r="148">
      <c r="A148" t="inlineStr">
        <is>
          <t>0000944119</t>
        </is>
      </c>
      <c r="B148" t="inlineStr">
        <is>
          <t>BHARAT TUBES CORPORATION</t>
        </is>
      </c>
      <c r="C148" t="inlineStr">
        <is>
          <t>NOS</t>
        </is>
      </c>
      <c r="D148" t="n">
        <v>96</v>
      </c>
      <c r="E148" t="n">
        <v>341.459</v>
      </c>
      <c r="F148" t="n">
        <v>1284.192</v>
      </c>
      <c r="G148" t="n">
        <v>3500116</v>
      </c>
      <c r="H148" t="inlineStr">
        <is>
          <t>TUB-O-N-AHT-NR-FC-63.50X2.640X3.557</t>
        </is>
      </c>
    </row>
    <row r="149">
      <c r="A149" t="inlineStr">
        <is>
          <t>0000944119</t>
        </is>
      </c>
      <c r="B149" t="inlineStr">
        <is>
          <t>BHARAT TUBES CORPORATION</t>
        </is>
      </c>
      <c r="C149" t="inlineStr">
        <is>
          <t>NOS</t>
        </is>
      </c>
      <c r="D149" t="n">
        <v>96</v>
      </c>
      <c r="E149" t="n">
        <v>341.459</v>
      </c>
      <c r="F149" t="n">
        <v>1284.192</v>
      </c>
      <c r="G149" t="n">
        <v>3500116</v>
      </c>
      <c r="H149" t="inlineStr">
        <is>
          <t>TUB-O-N-AHT-NR-FC-63.50X2.640X3.557</t>
        </is>
      </c>
    </row>
    <row r="150">
      <c r="A150" t="inlineStr">
        <is>
          <t>0000944119</t>
        </is>
      </c>
      <c r="B150" t="inlineStr">
        <is>
          <t>BHARAT TUBES CORPORATION</t>
        </is>
      </c>
      <c r="C150" t="inlineStr">
        <is>
          <t>NOS</t>
        </is>
      </c>
      <c r="D150" t="n">
        <v>95</v>
      </c>
      <c r="E150" t="n">
        <v>337.902</v>
      </c>
      <c r="F150" t="n">
        <v>1270.815</v>
      </c>
      <c r="G150" t="n">
        <v>3500116</v>
      </c>
      <c r="H150" t="inlineStr">
        <is>
          <t>TUB-O-N-AHT-NR-FC-63.50X2.640X3.557</t>
        </is>
      </c>
    </row>
    <row r="151">
      <c r="A151" t="inlineStr">
        <is>
          <t>0000944119</t>
        </is>
      </c>
      <c r="B151" t="inlineStr">
        <is>
          <t>BHARAT TUBES CORPORATION</t>
        </is>
      </c>
      <c r="C151" t="inlineStr">
        <is>
          <t>NOS</t>
        </is>
      </c>
      <c r="D151" t="n">
        <v>94</v>
      </c>
      <c r="E151" t="n">
        <v>334.345</v>
      </c>
      <c r="F151" t="n">
        <v>1257.438</v>
      </c>
      <c r="G151" t="n">
        <v>3500116</v>
      </c>
      <c r="H151" t="inlineStr">
        <is>
          <t>TUB-O-N-AHT-NR-FC-63.50X2.640X3.557</t>
        </is>
      </c>
    </row>
    <row r="152">
      <c r="A152" t="inlineStr">
        <is>
          <t>0000944119</t>
        </is>
      </c>
      <c r="B152" t="inlineStr">
        <is>
          <t>BHARAT TUBES CORPORATION</t>
        </is>
      </c>
      <c r="C152" t="inlineStr">
        <is>
          <t>NOS</t>
        </is>
      </c>
      <c r="D152" t="n">
        <v>2</v>
      </c>
      <c r="E152" t="n">
        <v>7.114</v>
      </c>
      <c r="F152" t="n">
        <v>26.754</v>
      </c>
      <c r="G152" t="n">
        <v>3500116</v>
      </c>
      <c r="H152" t="inlineStr">
        <is>
          <t>TUB-O-N-AHT-NR-FC-63.50X2.640X3.557</t>
        </is>
      </c>
    </row>
    <row r="153">
      <c r="A153" t="inlineStr">
        <is>
          <t>0000944119</t>
        </is>
      </c>
      <c r="B153" t="inlineStr">
        <is>
          <t>BHARAT TUBES CORPORATION</t>
        </is>
      </c>
      <c r="C153" t="inlineStr">
        <is>
          <t>NOS</t>
        </is>
      </c>
      <c r="D153" t="n">
        <v>36</v>
      </c>
      <c r="E153" t="n">
        <v>143.999</v>
      </c>
      <c r="F153" t="n">
        <v>825.444</v>
      </c>
      <c r="G153" t="n">
        <v>3499542</v>
      </c>
      <c r="H153" t="inlineStr">
        <is>
          <t>TUB-O-N-BOT-NR-FC-63.50X4.060X4.000</t>
        </is>
      </c>
    </row>
    <row r="154">
      <c r="A154" t="inlineStr">
        <is>
          <t>0000944119</t>
        </is>
      </c>
      <c r="B154" t="inlineStr">
        <is>
          <t>BHARAT TUBES CORPORATION</t>
        </is>
      </c>
      <c r="C154" t="inlineStr">
        <is>
          <t>NOS</t>
        </is>
      </c>
      <c r="D154" t="n">
        <v>70</v>
      </c>
      <c r="E154" t="n">
        <v>489.996</v>
      </c>
      <c r="F154" t="n">
        <v>2537.64</v>
      </c>
      <c r="G154" t="n">
        <v>3499330</v>
      </c>
      <c r="H154" t="inlineStr">
        <is>
          <t>TUB-O-N-BOT-NR-FC-63.50X3.660X7.000</t>
        </is>
      </c>
    </row>
    <row r="155">
      <c r="A155" t="inlineStr">
        <is>
          <t>0000944119</t>
        </is>
      </c>
      <c r="B155" t="inlineStr">
        <is>
          <t>BHARAT TUBES CORPORATION</t>
        </is>
      </c>
      <c r="C155" t="inlineStr">
        <is>
          <t>NOS</t>
        </is>
      </c>
      <c r="D155" t="n">
        <v>70</v>
      </c>
      <c r="E155" t="n">
        <v>489.996</v>
      </c>
      <c r="F155" t="n">
        <v>2537.64</v>
      </c>
      <c r="G155" t="n">
        <v>3499330</v>
      </c>
      <c r="H155" t="inlineStr">
        <is>
          <t>TUB-O-N-BOT-NR-FC-63.50X3.660X7.000</t>
        </is>
      </c>
    </row>
    <row r="156">
      <c r="A156" t="inlineStr">
        <is>
          <t>0000944119</t>
        </is>
      </c>
      <c r="B156" t="inlineStr">
        <is>
          <t>BHARAT TUBES CORPORATION</t>
        </is>
      </c>
      <c r="C156" t="inlineStr">
        <is>
          <t>NOS</t>
        </is>
      </c>
      <c r="D156" t="n">
        <v>40</v>
      </c>
      <c r="E156" t="n">
        <v>279.998</v>
      </c>
      <c r="F156" t="n">
        <v>1450.08</v>
      </c>
      <c r="G156" t="n">
        <v>3499330</v>
      </c>
      <c r="H156" t="inlineStr">
        <is>
          <t>TUB-O-N-BOT-NR-FC-63.50X3.660X7.000</t>
        </is>
      </c>
    </row>
    <row r="157">
      <c r="A157" t="inlineStr">
        <is>
          <t>0000950043</t>
        </is>
      </c>
      <c r="B157" t="inlineStr">
        <is>
          <t>SREEVATSA TUBE CORPORATION</t>
        </is>
      </c>
      <c r="C157" t="inlineStr">
        <is>
          <t>NOS</t>
        </is>
      </c>
      <c r="D157" t="n">
        <v>40</v>
      </c>
      <c r="E157" t="n">
        <v>148.001</v>
      </c>
      <c r="F157" t="n">
        <v>766.48</v>
      </c>
      <c r="G157" t="n">
        <v>3498844</v>
      </c>
      <c r="H157" t="inlineStr">
        <is>
          <t>TUB-O-N-BOT-NR-FC-63.50X3.660X3.700</t>
        </is>
      </c>
    </row>
    <row r="158">
      <c r="A158" t="inlineStr">
        <is>
          <t>0000950043</t>
        </is>
      </c>
      <c r="B158" t="inlineStr">
        <is>
          <t>SREEVATSA TUBE CORPORATION</t>
        </is>
      </c>
      <c r="C158" t="inlineStr">
        <is>
          <t>NOS</t>
        </is>
      </c>
      <c r="D158" t="n">
        <v>59</v>
      </c>
      <c r="E158" t="n">
        <v>353.995</v>
      </c>
      <c r="F158" t="n">
        <v>1833.307</v>
      </c>
      <c r="G158" t="n">
        <v>3499141</v>
      </c>
      <c r="H158" t="inlineStr">
        <is>
          <t>TUB-O-N-BOT-NR-FC-63.50X3.660X6.000</t>
        </is>
      </c>
    </row>
    <row r="159">
      <c r="A159" t="inlineStr">
        <is>
          <t>0000950043</t>
        </is>
      </c>
      <c r="B159" t="inlineStr">
        <is>
          <t>SREEVATSA TUBE CORPORATION</t>
        </is>
      </c>
      <c r="C159" t="inlineStr">
        <is>
          <t>NOS</t>
        </is>
      </c>
      <c r="D159" t="n">
        <v>1</v>
      </c>
      <c r="E159" t="n">
        <v>6</v>
      </c>
      <c r="F159" t="n">
        <v>31.073</v>
      </c>
      <c r="G159" t="n">
        <v>3499141</v>
      </c>
      <c r="H159" t="inlineStr">
        <is>
          <t>TUB-O-N-BOT-NR-FC-63.50X3.660X6.000</t>
        </is>
      </c>
    </row>
    <row r="160">
      <c r="A160" t="inlineStr">
        <is>
          <t>0000950043</t>
        </is>
      </c>
      <c r="B160" t="inlineStr">
        <is>
          <t>SREEVATSA TUBE CORPORATION</t>
        </is>
      </c>
      <c r="C160" t="inlineStr">
        <is>
          <t>NOS</t>
        </is>
      </c>
      <c r="D160" t="n">
        <v>67</v>
      </c>
      <c r="E160" t="n">
        <v>446.887</v>
      </c>
      <c r="F160" t="n">
        <v>2314.381</v>
      </c>
      <c r="G160" t="n">
        <v>4253034</v>
      </c>
      <c r="H160" t="inlineStr">
        <is>
          <t>TUB-O-N-BOT-NR-FC-63.50X3.660X6.6700</t>
        </is>
      </c>
    </row>
    <row r="161">
      <c r="A161" t="inlineStr">
        <is>
          <t>0000950043</t>
        </is>
      </c>
      <c r="B161" t="inlineStr">
        <is>
          <t>SREEVATSA TUBE CORPORATION</t>
        </is>
      </c>
      <c r="C161" t="inlineStr">
        <is>
          <t>NOS</t>
        </is>
      </c>
      <c r="D161" t="n">
        <v>28</v>
      </c>
      <c r="E161" t="n">
        <v>210.001</v>
      </c>
      <c r="F161" t="n">
        <v>1087.576</v>
      </c>
      <c r="G161" t="n">
        <v>3500361</v>
      </c>
      <c r="H161" t="inlineStr">
        <is>
          <t>TUB-O-N-BOT-NR-FC-63.50X3.660X7.500</t>
        </is>
      </c>
    </row>
    <row r="162">
      <c r="A162" t="inlineStr">
        <is>
          <t>0000950043</t>
        </is>
      </c>
      <c r="B162" t="inlineStr">
        <is>
          <t>SREEVATSA TUBE CORPORATION</t>
        </is>
      </c>
      <c r="C162" t="inlineStr">
        <is>
          <t>NOS</t>
        </is>
      </c>
      <c r="D162" t="n">
        <v>12</v>
      </c>
      <c r="E162" t="n">
        <v>90.001</v>
      </c>
      <c r="F162" t="n">
        <v>466.104</v>
      </c>
      <c r="G162" t="n">
        <v>3500361</v>
      </c>
      <c r="H162" t="inlineStr">
        <is>
          <t>TUB-O-N-BOT-NR-FC-63.50X3.660X7.500</t>
        </is>
      </c>
    </row>
    <row r="163">
      <c r="A163" t="inlineStr">
        <is>
          <t>0000950043</t>
        </is>
      </c>
      <c r="B163" t="inlineStr">
        <is>
          <t>SREEVATSA TUBE CORPORATION</t>
        </is>
      </c>
      <c r="C163" t="inlineStr">
        <is>
          <t>NOS</t>
        </is>
      </c>
      <c r="D163" t="n">
        <v>68</v>
      </c>
      <c r="E163" t="n">
        <v>489.599</v>
      </c>
      <c r="F163" t="n">
        <v>2535.584</v>
      </c>
      <c r="G163" t="n">
        <v>3500228</v>
      </c>
      <c r="H163" t="inlineStr">
        <is>
          <t>TUB-O-N-BOT-NR-FC-63.50X3.660X7.200</t>
        </is>
      </c>
    </row>
    <row r="164">
      <c r="A164" t="inlineStr">
        <is>
          <t>0000950043</t>
        </is>
      </c>
      <c r="B164" t="inlineStr">
        <is>
          <t>SREEVATSA TUBE CORPORATION</t>
        </is>
      </c>
      <c r="C164" t="inlineStr">
        <is>
          <t>NOS</t>
        </is>
      </c>
      <c r="D164" t="n">
        <v>60</v>
      </c>
      <c r="E164" t="n">
        <v>431.999</v>
      </c>
      <c r="F164" t="n">
        <v>2237.28</v>
      </c>
      <c r="G164" t="n">
        <v>3500228</v>
      </c>
      <c r="H164" t="inlineStr">
        <is>
          <t>TUB-O-N-BOT-NR-FC-63.50X3.660X7.200</t>
        </is>
      </c>
    </row>
    <row r="165">
      <c r="A165" t="inlineStr">
        <is>
          <t>0000950043</t>
        </is>
      </c>
      <c r="B165" t="inlineStr">
        <is>
          <t>SREEVATSA TUBE CORPORATION</t>
        </is>
      </c>
      <c r="C165" t="inlineStr">
        <is>
          <t>NOS</t>
        </is>
      </c>
      <c r="D165" t="n">
        <v>59</v>
      </c>
      <c r="E165" t="n">
        <v>424.799</v>
      </c>
      <c r="F165" t="n">
        <v>2199.992</v>
      </c>
      <c r="G165" t="n">
        <v>3500228</v>
      </c>
      <c r="H165" t="inlineStr">
        <is>
          <t>TUB-O-N-BOT-NR-FC-63.50X3.660X7.200</t>
        </is>
      </c>
    </row>
    <row r="166">
      <c r="A166" t="inlineStr">
        <is>
          <t>0000950043</t>
        </is>
      </c>
      <c r="B166" t="inlineStr">
        <is>
          <t>SREEVATSA TUBE CORPORATION</t>
        </is>
      </c>
      <c r="C166" t="inlineStr">
        <is>
          <t>NOS</t>
        </is>
      </c>
      <c r="D166" t="n">
        <v>52</v>
      </c>
      <c r="E166" t="n">
        <v>374.399</v>
      </c>
      <c r="F166" t="n">
        <v>1938.976</v>
      </c>
      <c r="G166" t="n">
        <v>3500228</v>
      </c>
      <c r="H166" t="inlineStr">
        <is>
          <t>TUB-O-N-BOT-NR-FC-63.50X3.660X7.200</t>
        </is>
      </c>
    </row>
    <row r="167">
      <c r="A167" t="inlineStr">
        <is>
          <t>0000943209</t>
        </is>
      </c>
      <c r="B167" t="inlineStr">
        <is>
          <t>MEGH STEELS PRIVATE LIMITED - TVS A</t>
        </is>
      </c>
      <c r="C167" t="inlineStr">
        <is>
          <t>KG</t>
        </is>
      </c>
      <c r="D167" t="n">
        <v>217</v>
      </c>
      <c r="E167" t="n">
        <v>1343.182</v>
      </c>
      <c r="F167" t="n">
        <v>2838.143</v>
      </c>
      <c r="G167" t="n">
        <v>3502007</v>
      </c>
      <c r="H167" t="inlineStr">
        <is>
          <t>TUB-O-N-AUT-AH-FC-38.10X2.500X6.1900 HST</t>
        </is>
      </c>
    </row>
    <row r="168">
      <c r="A168" t="inlineStr">
        <is>
          <t>0000943209</t>
        </is>
      </c>
      <c r="B168" t="inlineStr">
        <is>
          <t>MEGH STEELS PRIVATE LIMITED - TVS A</t>
        </is>
      </c>
      <c r="C168" t="inlineStr">
        <is>
          <t>KG</t>
        </is>
      </c>
      <c r="D168" t="n">
        <v>217</v>
      </c>
      <c r="E168" t="n">
        <v>1343.182</v>
      </c>
      <c r="F168" t="n">
        <v>2838.143</v>
      </c>
      <c r="G168" t="n">
        <v>3502007</v>
      </c>
      <c r="H168" t="inlineStr">
        <is>
          <t>TUB-O-N-AUT-AH-FC-38.10X2.500X6.1900 HST</t>
        </is>
      </c>
    </row>
    <row r="169">
      <c r="A169" t="inlineStr">
        <is>
          <t>0000943209</t>
        </is>
      </c>
      <c r="B169" t="inlineStr">
        <is>
          <t>MEGH STEELS PRIVATE LIMITED - TVS A</t>
        </is>
      </c>
      <c r="C169" t="inlineStr">
        <is>
          <t>KG</t>
        </is>
      </c>
      <c r="D169" t="n">
        <v>217</v>
      </c>
      <c r="E169" t="n">
        <v>1343.182</v>
      </c>
      <c r="F169" t="n">
        <v>2838.143</v>
      </c>
      <c r="G169" t="n">
        <v>3502007</v>
      </c>
      <c r="H169" t="inlineStr">
        <is>
          <t>TUB-O-N-AUT-AH-FC-38.10X2.500X6.1900 HST</t>
        </is>
      </c>
    </row>
    <row r="170">
      <c r="A170" t="inlineStr">
        <is>
          <t>0000943209</t>
        </is>
      </c>
      <c r="B170" t="inlineStr">
        <is>
          <t>MEGH STEELS PRIVATE LIMITED - TVS A</t>
        </is>
      </c>
      <c r="C170" t="inlineStr">
        <is>
          <t>KG</t>
        </is>
      </c>
      <c r="D170" t="n">
        <v>217</v>
      </c>
      <c r="E170" t="n">
        <v>1343.182</v>
      </c>
      <c r="F170" t="n">
        <v>2838.143</v>
      </c>
      <c r="G170" t="n">
        <v>3502007</v>
      </c>
      <c r="H170" t="inlineStr">
        <is>
          <t>TUB-O-N-AUT-AH-FC-38.10X2.500X6.1900 HST</t>
        </is>
      </c>
    </row>
    <row r="171">
      <c r="A171" t="inlineStr">
        <is>
          <t>0000943209</t>
        </is>
      </c>
      <c r="B171" t="inlineStr">
        <is>
          <t>MEGH STEELS PRIVATE LIMITED - TVS A</t>
        </is>
      </c>
      <c r="C171" t="inlineStr">
        <is>
          <t>KG</t>
        </is>
      </c>
      <c r="D171" t="n">
        <v>217</v>
      </c>
      <c r="E171" t="n">
        <v>1343.182</v>
      </c>
      <c r="F171" t="n">
        <v>2838.143</v>
      </c>
      <c r="G171" t="n">
        <v>3502007</v>
      </c>
      <c r="H171" t="inlineStr">
        <is>
          <t>TUB-O-N-AUT-AH-FC-38.10X2.500X6.1900 HST</t>
        </is>
      </c>
    </row>
    <row r="172">
      <c r="A172" t="inlineStr">
        <is>
          <t>0000943209</t>
        </is>
      </c>
      <c r="B172" t="inlineStr">
        <is>
          <t>MEGH STEELS PRIVATE LIMITED - TVS A</t>
        </is>
      </c>
      <c r="C172" t="inlineStr">
        <is>
          <t>KG</t>
        </is>
      </c>
      <c r="D172" t="n">
        <v>217</v>
      </c>
      <c r="E172" t="n">
        <v>1343.182</v>
      </c>
      <c r="F172" t="n">
        <v>2838.143</v>
      </c>
      <c r="G172" t="n">
        <v>3502007</v>
      </c>
      <c r="H172" t="inlineStr">
        <is>
          <t>TUB-O-N-AUT-AH-FC-38.10X2.500X6.1900 HST</t>
        </is>
      </c>
    </row>
    <row r="173">
      <c r="A173" t="inlineStr">
        <is>
          <t>0000943209</t>
        </is>
      </c>
      <c r="B173" t="inlineStr">
        <is>
          <t>MEGH STEELS PRIVATE LIMITED - TVS A</t>
        </is>
      </c>
      <c r="C173" t="inlineStr">
        <is>
          <t>KG</t>
        </is>
      </c>
      <c r="D173" t="n">
        <v>217</v>
      </c>
      <c r="E173" t="n">
        <v>1343.182</v>
      </c>
      <c r="F173" t="n">
        <v>2838.143</v>
      </c>
      <c r="G173" t="n">
        <v>3502007</v>
      </c>
      <c r="H173" t="inlineStr">
        <is>
          <t>TUB-O-N-AUT-AH-FC-38.10X2.500X6.1900 HST</t>
        </is>
      </c>
    </row>
    <row r="174">
      <c r="A174" t="inlineStr">
        <is>
          <t>0000943209</t>
        </is>
      </c>
      <c r="B174" t="inlineStr">
        <is>
          <t>MEGH STEELS PRIVATE LIMITED - TVS A</t>
        </is>
      </c>
      <c r="C174" t="inlineStr">
        <is>
          <t>KG</t>
        </is>
      </c>
      <c r="D174" t="n">
        <v>217</v>
      </c>
      <c r="E174" t="n">
        <v>1343.182</v>
      </c>
      <c r="F174" t="n">
        <v>2838.143</v>
      </c>
      <c r="G174" t="n">
        <v>3502007</v>
      </c>
      <c r="H174" t="inlineStr">
        <is>
          <t>TUB-O-N-AUT-AH-FC-38.10X2.500X6.1900 HST</t>
        </is>
      </c>
    </row>
    <row r="175">
      <c r="A175" t="inlineStr">
        <is>
          <t>0000943209</t>
        </is>
      </c>
      <c r="B175" t="inlineStr">
        <is>
          <t>MEGH STEELS PRIVATE LIMITED - TVS A</t>
        </is>
      </c>
      <c r="C175" t="inlineStr">
        <is>
          <t>KG</t>
        </is>
      </c>
      <c r="D175" t="n">
        <v>217</v>
      </c>
      <c r="E175" t="n">
        <v>1343.182</v>
      </c>
      <c r="F175" t="n">
        <v>2838.143</v>
      </c>
      <c r="G175" t="n">
        <v>3502007</v>
      </c>
      <c r="H175" t="inlineStr">
        <is>
          <t>TUB-O-N-AUT-AH-FC-38.10X2.500X6.1900 HST</t>
        </is>
      </c>
    </row>
    <row r="176">
      <c r="A176" t="inlineStr">
        <is>
          <t>0000943209</t>
        </is>
      </c>
      <c r="B176" t="inlineStr">
        <is>
          <t>MEGH STEELS PRIVATE LIMITED - TVS A</t>
        </is>
      </c>
      <c r="C176" t="inlineStr">
        <is>
          <t>KG</t>
        </is>
      </c>
      <c r="D176" t="n">
        <v>217</v>
      </c>
      <c r="E176" t="n">
        <v>1343.182</v>
      </c>
      <c r="F176" t="n">
        <v>2838.143</v>
      </c>
      <c r="G176" t="n">
        <v>3502007</v>
      </c>
      <c r="H176" t="inlineStr">
        <is>
          <t>TUB-O-N-AUT-AH-FC-38.10X2.500X6.1900 HST</t>
        </is>
      </c>
    </row>
    <row r="177">
      <c r="A177" t="inlineStr">
        <is>
          <t>0000943209</t>
        </is>
      </c>
      <c r="B177" t="inlineStr">
        <is>
          <t>MEGH STEELS PRIVATE LIMITED - TVS A</t>
        </is>
      </c>
      <c r="C177" t="inlineStr">
        <is>
          <t>KG</t>
        </is>
      </c>
      <c r="D177" t="n">
        <v>217</v>
      </c>
      <c r="E177" t="n">
        <v>1343.182</v>
      </c>
      <c r="F177" t="n">
        <v>2838.143</v>
      </c>
      <c r="G177" t="n">
        <v>3502007</v>
      </c>
      <c r="H177" t="inlineStr">
        <is>
          <t>TUB-O-N-AUT-AH-FC-38.10X2.500X6.1900 HST</t>
        </is>
      </c>
    </row>
    <row r="178">
      <c r="A178" t="inlineStr">
        <is>
          <t>0000943209</t>
        </is>
      </c>
      <c r="B178" t="inlineStr">
        <is>
          <t>MEGH STEELS PRIVATE LIMITED - TVS A</t>
        </is>
      </c>
      <c r="C178" t="inlineStr">
        <is>
          <t>KG</t>
        </is>
      </c>
      <c r="D178" t="n">
        <v>217</v>
      </c>
      <c r="E178" t="n">
        <v>1343.182</v>
      </c>
      <c r="F178" t="n">
        <v>2838.143</v>
      </c>
      <c r="G178" t="n">
        <v>3502007</v>
      </c>
      <c r="H178" t="inlineStr">
        <is>
          <t>TUB-O-N-AUT-AH-FC-38.10X2.500X6.1900 HST</t>
        </is>
      </c>
    </row>
    <row r="179">
      <c r="A179" t="inlineStr">
        <is>
          <t>0000943209</t>
        </is>
      </c>
      <c r="B179" t="inlineStr">
        <is>
          <t>MEGH STEELS PRIVATE LIMITED - TVS A</t>
        </is>
      </c>
      <c r="C179" t="inlineStr">
        <is>
          <t>KG</t>
        </is>
      </c>
      <c r="D179" t="n">
        <v>217</v>
      </c>
      <c r="E179" t="n">
        <v>1343.182</v>
      </c>
      <c r="F179" t="n">
        <v>2838.143</v>
      </c>
      <c r="G179" t="n">
        <v>3502007</v>
      </c>
      <c r="H179" t="inlineStr">
        <is>
          <t>TUB-O-N-AUT-AH-FC-38.10X2.500X6.1900 HST</t>
        </is>
      </c>
    </row>
    <row r="180">
      <c r="A180" t="inlineStr">
        <is>
          <t>0000943209</t>
        </is>
      </c>
      <c r="B180" t="inlineStr">
        <is>
          <t>MEGH STEELS PRIVATE LIMITED - TVS A</t>
        </is>
      </c>
      <c r="C180" t="inlineStr">
        <is>
          <t>KG</t>
        </is>
      </c>
      <c r="D180" t="n">
        <v>217</v>
      </c>
      <c r="E180" t="n">
        <v>1343.182</v>
      </c>
      <c r="F180" t="n">
        <v>2838.143</v>
      </c>
      <c r="G180" t="n">
        <v>3502007</v>
      </c>
      <c r="H180" t="inlineStr">
        <is>
          <t>TUB-O-N-AUT-AH-FC-38.10X2.500X6.1900 HST</t>
        </is>
      </c>
    </row>
    <row r="181">
      <c r="A181" t="inlineStr">
        <is>
          <t>0000943209</t>
        </is>
      </c>
      <c r="B181" t="inlineStr">
        <is>
          <t>MEGH STEELS PRIVATE LIMITED - TVS A</t>
        </is>
      </c>
      <c r="C181" t="inlineStr">
        <is>
          <t>KG</t>
        </is>
      </c>
      <c r="D181" t="n">
        <v>217</v>
      </c>
      <c r="E181" t="n">
        <v>1343.182</v>
      </c>
      <c r="F181" t="n">
        <v>2838.143</v>
      </c>
      <c r="G181" t="n">
        <v>3502007</v>
      </c>
      <c r="H181" t="inlineStr">
        <is>
          <t>TUB-O-N-AUT-AH-FC-38.10X2.500X6.1900 HST</t>
        </is>
      </c>
    </row>
    <row r="182">
      <c r="A182" t="inlineStr">
        <is>
          <t>0000943209</t>
        </is>
      </c>
      <c r="B182" t="inlineStr">
        <is>
          <t>MEGH STEELS PRIVATE LIMITED - TVS A</t>
        </is>
      </c>
      <c r="C182" t="inlineStr">
        <is>
          <t>KG</t>
        </is>
      </c>
      <c r="D182" t="n">
        <v>216</v>
      </c>
      <c r="E182" t="n">
        <v>1336.992</v>
      </c>
      <c r="F182" t="n">
        <v>2825.064</v>
      </c>
      <c r="G182" t="n">
        <v>3502007</v>
      </c>
      <c r="H182" t="inlineStr">
        <is>
          <t>TUB-O-N-AUT-AH-FC-38.10X2.500X6.1900 HST</t>
        </is>
      </c>
    </row>
    <row r="183">
      <c r="A183" t="inlineStr">
        <is>
          <t>0000943209</t>
        </is>
      </c>
      <c r="B183" t="inlineStr">
        <is>
          <t>MEGH STEELS PRIVATE LIMITED - TVS A</t>
        </is>
      </c>
      <c r="C183" t="inlineStr">
        <is>
          <t>KG</t>
        </is>
      </c>
      <c r="D183" t="n">
        <v>216</v>
      </c>
      <c r="E183" t="n">
        <v>1336.992</v>
      </c>
      <c r="F183" t="n">
        <v>2825.064</v>
      </c>
      <c r="G183" t="n">
        <v>3502007</v>
      </c>
      <c r="H183" t="inlineStr">
        <is>
          <t>TUB-O-N-AUT-AH-FC-38.10X2.500X6.1900 HST</t>
        </is>
      </c>
    </row>
    <row r="184">
      <c r="A184" t="inlineStr">
        <is>
          <t>0000943209</t>
        </is>
      </c>
      <c r="B184" t="inlineStr">
        <is>
          <t>MEGH STEELS PRIVATE LIMITED - TVS A</t>
        </is>
      </c>
      <c r="C184" t="inlineStr">
        <is>
          <t>KG</t>
        </is>
      </c>
      <c r="D184" t="n">
        <v>219</v>
      </c>
      <c r="E184" t="n">
        <v>1355.561</v>
      </c>
      <c r="F184" t="n">
        <v>2864.301</v>
      </c>
      <c r="G184" t="n">
        <v>3502007</v>
      </c>
      <c r="H184" t="inlineStr">
        <is>
          <t>TUB-O-N-AUT-AH-FC-38.10X2.500X6.1900 HST</t>
        </is>
      </c>
    </row>
    <row r="185">
      <c r="A185" t="inlineStr">
        <is>
          <t>0000943209</t>
        </is>
      </c>
      <c r="B185" t="inlineStr">
        <is>
          <t>MEGH STEELS PRIVATE LIMITED - TVS A</t>
        </is>
      </c>
      <c r="C185" t="inlineStr">
        <is>
          <t>KG</t>
        </is>
      </c>
      <c r="D185" t="n">
        <v>217</v>
      </c>
      <c r="E185" t="n">
        <v>1343.182</v>
      </c>
      <c r="F185" t="n">
        <v>2838.143</v>
      </c>
      <c r="G185" t="n">
        <v>3502007</v>
      </c>
      <c r="H185" t="inlineStr">
        <is>
          <t>TUB-O-N-AUT-AH-FC-38.10X2.500X6.1900 HST</t>
        </is>
      </c>
    </row>
    <row r="186">
      <c r="A186" t="inlineStr">
        <is>
          <t>0000943209</t>
        </is>
      </c>
      <c r="B186" t="inlineStr">
        <is>
          <t>MEGH STEELS PRIVATE LIMITED - TVS A</t>
        </is>
      </c>
      <c r="C186" t="inlineStr">
        <is>
          <t>KG</t>
        </is>
      </c>
      <c r="D186" t="n">
        <v>217</v>
      </c>
      <c r="E186" t="n">
        <v>1343.182</v>
      </c>
      <c r="F186" t="n">
        <v>2838.143</v>
      </c>
      <c r="G186" t="n">
        <v>3502007</v>
      </c>
      <c r="H186" t="inlineStr">
        <is>
          <t>TUB-O-N-AUT-AH-FC-38.10X2.500X6.1900 HST</t>
        </is>
      </c>
    </row>
    <row r="187">
      <c r="A187" t="inlineStr">
        <is>
          <t>0000943209</t>
        </is>
      </c>
      <c r="B187" t="inlineStr">
        <is>
          <t>MEGH STEELS PRIVATE LIMITED - TVS A</t>
        </is>
      </c>
      <c r="C187" t="inlineStr">
        <is>
          <t>KG</t>
        </is>
      </c>
      <c r="D187" t="n">
        <v>217</v>
      </c>
      <c r="E187" t="n">
        <v>1343.182</v>
      </c>
      <c r="F187" t="n">
        <v>2838.143</v>
      </c>
      <c r="G187" t="n">
        <v>3502007</v>
      </c>
      <c r="H187" t="inlineStr">
        <is>
          <t>TUB-O-N-AUT-AH-FC-38.10X2.500X6.1900 HST</t>
        </is>
      </c>
    </row>
    <row r="188">
      <c r="A188" t="inlineStr">
        <is>
          <t>0000943209</t>
        </is>
      </c>
      <c r="B188" t="inlineStr">
        <is>
          <t>MEGH STEELS PRIVATE LIMITED - TVS A</t>
        </is>
      </c>
      <c r="C188" t="inlineStr">
        <is>
          <t>KG</t>
        </is>
      </c>
      <c r="D188" t="n">
        <v>217</v>
      </c>
      <c r="E188" t="n">
        <v>1343.182</v>
      </c>
      <c r="F188" t="n">
        <v>2838.143</v>
      </c>
      <c r="G188" t="n">
        <v>3502007</v>
      </c>
      <c r="H188" t="inlineStr">
        <is>
          <t>TUB-O-N-AUT-AH-FC-38.10X2.500X6.1900 HST</t>
        </is>
      </c>
    </row>
    <row r="189">
      <c r="A189" t="inlineStr">
        <is>
          <t>0000943209</t>
        </is>
      </c>
      <c r="B189" t="inlineStr">
        <is>
          <t>MEGH STEELS PRIVATE LIMITED - TVS A</t>
        </is>
      </c>
      <c r="C189" t="inlineStr">
        <is>
          <t>KG</t>
        </is>
      </c>
      <c r="D189" t="n">
        <v>217</v>
      </c>
      <c r="E189" t="n">
        <v>1343.182</v>
      </c>
      <c r="F189" t="n">
        <v>2838.143</v>
      </c>
      <c r="G189" t="n">
        <v>3502007</v>
      </c>
      <c r="H189" t="inlineStr">
        <is>
          <t>TUB-O-N-AUT-AH-FC-38.10X2.500X6.1900 HST</t>
        </is>
      </c>
    </row>
    <row r="190">
      <c r="A190" t="inlineStr">
        <is>
          <t>0000943209</t>
        </is>
      </c>
      <c r="B190" t="inlineStr">
        <is>
          <t>MEGH STEELS PRIVATE LIMITED - TVS A</t>
        </is>
      </c>
      <c r="C190" t="inlineStr">
        <is>
          <t>KG</t>
        </is>
      </c>
      <c r="D190" t="n">
        <v>217</v>
      </c>
      <c r="E190" t="n">
        <v>1343.182</v>
      </c>
      <c r="F190" t="n">
        <v>2838.143</v>
      </c>
      <c r="G190" t="n">
        <v>3502007</v>
      </c>
      <c r="H190" t="inlineStr">
        <is>
          <t>TUB-O-N-AUT-AH-FC-38.10X2.500X6.1900 HST</t>
        </is>
      </c>
    </row>
    <row r="191">
      <c r="A191" t="inlineStr">
        <is>
          <t>0000943209</t>
        </is>
      </c>
      <c r="B191" t="inlineStr">
        <is>
          <t>MEGH STEELS PRIVATE LIMITED - TVS A</t>
        </is>
      </c>
      <c r="C191" t="inlineStr">
        <is>
          <t>KG</t>
        </is>
      </c>
      <c r="D191" t="n">
        <v>217</v>
      </c>
      <c r="E191" t="n">
        <v>1343.182</v>
      </c>
      <c r="F191" t="n">
        <v>2838.143</v>
      </c>
      <c r="G191" t="n">
        <v>3502007</v>
      </c>
      <c r="H191" t="inlineStr">
        <is>
          <t>TUB-O-N-AUT-AH-FC-38.10X2.500X6.1900 HST</t>
        </is>
      </c>
    </row>
    <row r="192">
      <c r="A192" t="inlineStr">
        <is>
          <t>0000943209</t>
        </is>
      </c>
      <c r="B192" t="inlineStr">
        <is>
          <t>MEGH STEELS PRIVATE LIMITED - TVS A</t>
        </is>
      </c>
      <c r="C192" t="inlineStr">
        <is>
          <t>KG</t>
        </is>
      </c>
      <c r="D192" t="n">
        <v>216</v>
      </c>
      <c r="E192" t="n">
        <v>1336.992</v>
      </c>
      <c r="F192" t="n">
        <v>2825.064</v>
      </c>
      <c r="G192" t="n">
        <v>3502007</v>
      </c>
      <c r="H192" t="inlineStr">
        <is>
          <t>TUB-O-N-AUT-AH-FC-38.10X2.500X6.1900 HST</t>
        </is>
      </c>
    </row>
    <row r="193">
      <c r="A193" t="inlineStr">
        <is>
          <t>0000943209</t>
        </is>
      </c>
      <c r="B193" t="inlineStr">
        <is>
          <t>MEGH STEELS PRIVATE LIMITED - TVS A</t>
        </is>
      </c>
      <c r="C193" t="inlineStr">
        <is>
          <t>KG</t>
        </is>
      </c>
      <c r="D193" t="n">
        <v>221</v>
      </c>
      <c r="E193" t="n">
        <v>1367.941</v>
      </c>
      <c r="F193" t="n">
        <v>2890.459</v>
      </c>
      <c r="G193" t="n">
        <v>3502007</v>
      </c>
      <c r="H193" t="inlineStr">
        <is>
          <t>TUB-O-N-AUT-AH-FC-38.10X2.500X6.1900 HST</t>
        </is>
      </c>
    </row>
    <row r="194">
      <c r="A194" t="inlineStr">
        <is>
          <t>0000931321</t>
        </is>
      </c>
      <c r="B194" t="inlineStr">
        <is>
          <t>SICAGEN INDIA LIMITED</t>
        </is>
      </c>
      <c r="C194" t="inlineStr">
        <is>
          <t>M</t>
        </is>
      </c>
      <c r="D194" t="n">
        <v>71</v>
      </c>
      <c r="E194" t="n">
        <v>266.25</v>
      </c>
      <c r="F194" t="n">
        <v>1378.882</v>
      </c>
      <c r="G194" t="n">
        <v>3498966</v>
      </c>
      <c r="H194" t="inlineStr">
        <is>
          <t>TUB-O-N-BOT-NR-FC-63.50X3.660X3.750</t>
        </is>
      </c>
    </row>
    <row r="195">
      <c r="A195" t="inlineStr">
        <is>
          <t>0000931321</t>
        </is>
      </c>
      <c r="B195" t="inlineStr">
        <is>
          <t>SICAGEN INDIA LIMITED</t>
        </is>
      </c>
      <c r="C195" t="inlineStr">
        <is>
          <t>M</t>
        </is>
      </c>
      <c r="D195" t="n">
        <v>71</v>
      </c>
      <c r="E195" t="n">
        <v>266.25</v>
      </c>
      <c r="F195" t="n">
        <v>1378.882</v>
      </c>
      <c r="G195" t="n">
        <v>3498966</v>
      </c>
      <c r="H195" t="inlineStr">
        <is>
          <t>TUB-O-N-BOT-NR-FC-63.50X3.660X3.750</t>
        </is>
      </c>
    </row>
    <row r="196">
      <c r="A196" t="inlineStr">
        <is>
          <t>0000931321</t>
        </is>
      </c>
      <c r="B196" t="inlineStr">
        <is>
          <t>SICAGEN INDIA LIMITED</t>
        </is>
      </c>
      <c r="C196" t="inlineStr">
        <is>
          <t>M</t>
        </is>
      </c>
      <c r="D196" t="n">
        <v>72</v>
      </c>
      <c r="E196" t="n">
        <v>270</v>
      </c>
      <c r="F196" t="n">
        <v>1398.303</v>
      </c>
      <c r="G196" t="n">
        <v>3498966</v>
      </c>
      <c r="H196" t="inlineStr">
        <is>
          <t>TUB-O-N-BOT-NR-FC-63.50X3.660X3.750</t>
        </is>
      </c>
    </row>
    <row r="197">
      <c r="A197" t="inlineStr">
        <is>
          <t>0000931321</t>
        </is>
      </c>
      <c r="B197" t="inlineStr">
        <is>
          <t>SICAGEN INDIA LIMITED</t>
        </is>
      </c>
      <c r="C197" t="inlineStr">
        <is>
          <t>M</t>
        </is>
      </c>
      <c r="D197" t="n">
        <v>65</v>
      </c>
      <c r="E197" t="n">
        <v>243.75</v>
      </c>
      <c r="F197" t="n">
        <v>1262.357</v>
      </c>
      <c r="G197" t="n">
        <v>3498966</v>
      </c>
      <c r="H197" t="inlineStr">
        <is>
          <t>TUB-O-N-BOT-NR-FC-63.50X3.660X3.750</t>
        </is>
      </c>
    </row>
    <row r="198">
      <c r="A198" t="inlineStr">
        <is>
          <t>0000931321</t>
        </is>
      </c>
      <c r="B198" t="inlineStr">
        <is>
          <t>SICAGEN INDIA LIMITED</t>
        </is>
      </c>
      <c r="C198" t="inlineStr">
        <is>
          <t>M</t>
        </is>
      </c>
      <c r="D198" t="n">
        <v>118</v>
      </c>
      <c r="E198" t="n">
        <v>719.8</v>
      </c>
      <c r="F198" t="n">
        <v>2624.895</v>
      </c>
      <c r="G198" t="n">
        <v>3499209</v>
      </c>
      <c r="H198" t="inlineStr">
        <is>
          <t>TUB-O-N-BOT-NR-FC-50.80X3.250X6.100</t>
        </is>
      </c>
    </row>
    <row r="199">
      <c r="A199" t="inlineStr">
        <is>
          <t>0000931321</t>
        </is>
      </c>
      <c r="B199" t="inlineStr">
        <is>
          <t>SICAGEN INDIA LIMITED</t>
        </is>
      </c>
      <c r="C199" t="inlineStr">
        <is>
          <t>M</t>
        </is>
      </c>
      <c r="D199" t="n">
        <v>31</v>
      </c>
      <c r="E199" t="n">
        <v>189.1</v>
      </c>
      <c r="F199" t="n">
        <v>689.591</v>
      </c>
      <c r="G199" t="n">
        <v>3499209</v>
      </c>
      <c r="H199" t="inlineStr">
        <is>
          <t>TUB-O-N-BOT-NR-FC-50.80X3.250X6.100</t>
        </is>
      </c>
    </row>
    <row r="200">
      <c r="A200" t="inlineStr">
        <is>
          <t>0000931321</t>
        </is>
      </c>
      <c r="B200" t="inlineStr">
        <is>
          <t>SICAGEN INDIA LIMITED</t>
        </is>
      </c>
      <c r="C200" t="inlineStr">
        <is>
          <t>M</t>
        </is>
      </c>
      <c r="D200" t="n">
        <v>1</v>
      </c>
      <c r="E200" t="n">
        <v>6.1</v>
      </c>
      <c r="F200" t="n">
        <v>22.245</v>
      </c>
      <c r="G200" t="n">
        <v>3499209</v>
      </c>
      <c r="H200" t="inlineStr">
        <is>
          <t>TUB-O-N-BOT-NR-FC-50.80X3.250X6.100</t>
        </is>
      </c>
    </row>
    <row r="201">
      <c r="A201" t="inlineStr">
        <is>
          <t>0000931321</t>
        </is>
      </c>
      <c r="B201" t="inlineStr">
        <is>
          <t>SICAGEN INDIA LIMITED</t>
        </is>
      </c>
      <c r="C201" t="inlineStr">
        <is>
          <t>M</t>
        </is>
      </c>
      <c r="D201" t="n">
        <v>53</v>
      </c>
      <c r="E201" t="n">
        <v>211.995</v>
      </c>
      <c r="F201" t="n">
        <v>1330.29</v>
      </c>
      <c r="G201" t="n">
        <v>3499471</v>
      </c>
      <c r="H201" t="inlineStr">
        <is>
          <t>TUB-O-N-BOT-NR-FC-76.20X3.660X4.000</t>
        </is>
      </c>
    </row>
    <row r="202">
      <c r="A202" t="inlineStr">
        <is>
          <t>0000931321</t>
        </is>
      </c>
      <c r="B202" t="inlineStr">
        <is>
          <t>SICAGEN INDIA LIMITED</t>
        </is>
      </c>
      <c r="C202" t="inlineStr">
        <is>
          <t>M</t>
        </is>
      </c>
      <c r="D202" t="n">
        <v>47</v>
      </c>
      <c r="E202" t="n">
        <v>187.995</v>
      </c>
      <c r="F202" t="n">
        <v>1179.687</v>
      </c>
      <c r="G202" t="n">
        <v>3499471</v>
      </c>
      <c r="H202" t="inlineStr">
        <is>
          <t>TUB-O-N-BOT-NR-FC-76.20X3.660X4.000</t>
        </is>
      </c>
    </row>
    <row r="203">
      <c r="A203" t="inlineStr">
        <is>
          <t>0000931321</t>
        </is>
      </c>
      <c r="B203" t="inlineStr">
        <is>
          <t>SICAGEN INDIA LIMITED</t>
        </is>
      </c>
      <c r="C203" t="inlineStr">
        <is>
          <t>M</t>
        </is>
      </c>
      <c r="D203" t="n">
        <v>64</v>
      </c>
      <c r="E203" t="n">
        <v>320</v>
      </c>
      <c r="F203" t="n">
        <v>2008.032</v>
      </c>
      <c r="G203" t="n">
        <v>3499015</v>
      </c>
      <c r="H203" t="inlineStr">
        <is>
          <t>TUB-O-N-BOT-NR-FC-76.20X3.660X5.000</t>
        </is>
      </c>
    </row>
    <row r="204">
      <c r="A204" t="inlineStr">
        <is>
          <t>0000931321</t>
        </is>
      </c>
      <c r="B204" t="inlineStr">
        <is>
          <t>SICAGEN INDIA LIMITED</t>
        </is>
      </c>
      <c r="C204" t="inlineStr">
        <is>
          <t>M</t>
        </is>
      </c>
      <c r="D204" t="n">
        <v>6</v>
      </c>
      <c r="E204" t="n">
        <v>30</v>
      </c>
      <c r="F204" t="n">
        <v>188.253</v>
      </c>
      <c r="G204" t="n">
        <v>3499015</v>
      </c>
      <c r="H204" t="inlineStr">
        <is>
          <t>TUB-O-N-BOT-NR-FC-76.20X3.660X5.000</t>
        </is>
      </c>
    </row>
    <row r="205">
      <c r="A205" t="inlineStr">
        <is>
          <t>0000931321</t>
        </is>
      </c>
      <c r="B205" t="inlineStr">
        <is>
          <t>SICAGEN INDIA LIMITED</t>
        </is>
      </c>
      <c r="C205" t="inlineStr">
        <is>
          <t>M</t>
        </is>
      </c>
      <c r="D205" t="n">
        <v>78</v>
      </c>
      <c r="E205" t="n">
        <v>311.994</v>
      </c>
      <c r="F205" t="n">
        <v>1957.794</v>
      </c>
      <c r="G205" t="n">
        <v>3499471</v>
      </c>
      <c r="H205" t="inlineStr">
        <is>
          <t>TUB-O-N-BOT-NR-FC-76.20X3.660X4.000</t>
        </is>
      </c>
    </row>
    <row r="206">
      <c r="A206" t="inlineStr">
        <is>
          <t>0000931321</t>
        </is>
      </c>
      <c r="B206" t="inlineStr">
        <is>
          <t>SICAGEN INDIA LIMITED</t>
        </is>
      </c>
      <c r="C206" t="inlineStr">
        <is>
          <t>M</t>
        </is>
      </c>
      <c r="D206" t="n">
        <v>2</v>
      </c>
      <c r="E206" t="n">
        <v>7.999</v>
      </c>
      <c r="F206" t="n">
        <v>50.195</v>
      </c>
      <c r="G206" t="n">
        <v>3499471</v>
      </c>
      <c r="H206" t="inlineStr">
        <is>
          <t>TUB-O-N-BOT-NR-FC-76.20X3.660X4.000</t>
        </is>
      </c>
    </row>
    <row r="207">
      <c r="A207" t="inlineStr">
        <is>
          <t>0000931321</t>
        </is>
      </c>
      <c r="B207" t="inlineStr">
        <is>
          <t>SICAGEN INDIA LIMITED</t>
        </is>
      </c>
      <c r="C207" t="inlineStr">
        <is>
          <t>M</t>
        </is>
      </c>
      <c r="D207" t="n">
        <v>78</v>
      </c>
      <c r="E207" t="n">
        <v>312</v>
      </c>
      <c r="F207" t="n">
        <v>1615.817</v>
      </c>
      <c r="G207" t="n">
        <v>3499247</v>
      </c>
      <c r="H207" t="inlineStr">
        <is>
          <t>TUB-O-N-BOT-NR-FC-63.50X3.660X4.000</t>
        </is>
      </c>
    </row>
    <row r="208">
      <c r="A208" t="inlineStr">
        <is>
          <t>0000931321</t>
        </is>
      </c>
      <c r="B208" t="inlineStr">
        <is>
          <t>SICAGEN INDIA LIMITED</t>
        </is>
      </c>
      <c r="C208" t="inlineStr">
        <is>
          <t>M</t>
        </is>
      </c>
      <c r="D208" t="n">
        <v>130</v>
      </c>
      <c r="E208" t="n">
        <v>520</v>
      </c>
      <c r="F208" t="n">
        <v>2693.028</v>
      </c>
      <c r="G208" t="n">
        <v>3499247</v>
      </c>
      <c r="H208" t="inlineStr">
        <is>
          <t>TUB-O-N-BOT-NR-FC-63.50X3.660X4.000</t>
        </is>
      </c>
    </row>
    <row r="209">
      <c r="A209" t="inlineStr">
        <is>
          <t>0000931321</t>
        </is>
      </c>
      <c r="B209" t="inlineStr">
        <is>
          <t>SICAGEN INDIA LIMITED</t>
        </is>
      </c>
      <c r="C209" t="inlineStr">
        <is>
          <t>M</t>
        </is>
      </c>
      <c r="D209" t="n">
        <v>69</v>
      </c>
      <c r="E209" t="n">
        <v>276</v>
      </c>
      <c r="F209" t="n">
        <v>1429.376</v>
      </c>
      <c r="G209" t="n">
        <v>3499247</v>
      </c>
      <c r="H209" t="inlineStr">
        <is>
          <t>TUB-O-N-BOT-NR-FC-63.50X3.660X4.000</t>
        </is>
      </c>
    </row>
    <row r="210">
      <c r="A210" t="inlineStr">
        <is>
          <t>0000931321</t>
        </is>
      </c>
      <c r="B210" t="inlineStr">
        <is>
          <t>SICAGEN INDIA LIMITED</t>
        </is>
      </c>
      <c r="C210" t="inlineStr">
        <is>
          <t>M</t>
        </is>
      </c>
      <c r="D210" t="n">
        <v>94</v>
      </c>
      <c r="E210" t="n">
        <v>352.5</v>
      </c>
      <c r="F210" t="n">
        <v>1825.562</v>
      </c>
      <c r="G210" t="n">
        <v>3498966</v>
      </c>
      <c r="H210" t="inlineStr">
        <is>
          <t>TUB-O-N-BOT-NR-FC-63.50X3.660X3.750</t>
        </is>
      </c>
    </row>
    <row r="211">
      <c r="A211" t="inlineStr">
        <is>
          <t>0000931321</t>
        </is>
      </c>
      <c r="B211" t="inlineStr">
        <is>
          <t>SICAGEN INDIA LIMITED</t>
        </is>
      </c>
      <c r="C211" t="inlineStr">
        <is>
          <t>M</t>
        </is>
      </c>
      <c r="D211" t="n">
        <v>57</v>
      </c>
      <c r="E211" t="n">
        <v>213.75</v>
      </c>
      <c r="F211" t="n">
        <v>1106.99</v>
      </c>
      <c r="G211" t="n">
        <v>3498966</v>
      </c>
      <c r="H211" t="inlineStr">
        <is>
          <t>TUB-O-N-BOT-NR-FC-63.50X3.660X3.750</t>
        </is>
      </c>
    </row>
    <row r="212">
      <c r="A212" t="inlineStr">
        <is>
          <t>0000944119</t>
        </is>
      </c>
      <c r="B212" t="inlineStr">
        <is>
          <t>BHARAT TUBES CORPORATION</t>
        </is>
      </c>
      <c r="C212" t="inlineStr">
        <is>
          <t>NOS</t>
        </is>
      </c>
      <c r="D212" t="n">
        <v>194</v>
      </c>
      <c r="E212" t="n">
        <v>1183.415</v>
      </c>
      <c r="F212" t="n">
        <v>2592.034</v>
      </c>
      <c r="G212" t="n">
        <v>3499137</v>
      </c>
      <c r="H212" t="inlineStr">
        <is>
          <t>TUB-O-N-BOT-NR-FC-31.75X3.250X6.100</t>
        </is>
      </c>
    </row>
    <row r="213">
      <c r="A213" t="inlineStr">
        <is>
          <t>0000944119</t>
        </is>
      </c>
      <c r="B213" t="inlineStr">
        <is>
          <t>BHARAT TUBES CORPORATION</t>
        </is>
      </c>
      <c r="C213" t="inlineStr">
        <is>
          <t>NOS</t>
        </is>
      </c>
      <c r="D213" t="n">
        <v>191</v>
      </c>
      <c r="E213" t="n">
        <v>1165.115</v>
      </c>
      <c r="F213" t="n">
        <v>2551.951</v>
      </c>
      <c r="G213" t="n">
        <v>3499137</v>
      </c>
      <c r="H213" t="inlineStr">
        <is>
          <t>TUB-O-N-BOT-NR-FC-31.75X3.250X6.100</t>
        </is>
      </c>
    </row>
    <row r="214">
      <c r="A214" t="inlineStr">
        <is>
          <t>0000944119</t>
        </is>
      </c>
      <c r="B214" t="inlineStr">
        <is>
          <t>BHARAT TUBES CORPORATION</t>
        </is>
      </c>
      <c r="C214" t="inlineStr">
        <is>
          <t>NOS</t>
        </is>
      </c>
      <c r="D214" t="n">
        <v>185</v>
      </c>
      <c r="E214" t="n">
        <v>1128.514</v>
      </c>
      <c r="F214" t="n">
        <v>2471.785</v>
      </c>
      <c r="G214" t="n">
        <v>3499137</v>
      </c>
      <c r="H214" t="inlineStr">
        <is>
          <t>TUB-O-N-BOT-NR-FC-31.75X3.250X6.100</t>
        </is>
      </c>
    </row>
    <row r="215">
      <c r="A215" t="inlineStr">
        <is>
          <t>0000944119</t>
        </is>
      </c>
      <c r="B215" t="inlineStr">
        <is>
          <t>BHARAT TUBES CORPORATION</t>
        </is>
      </c>
      <c r="C215" t="inlineStr">
        <is>
          <t>NOS</t>
        </is>
      </c>
      <c r="D215" t="n">
        <v>76</v>
      </c>
      <c r="E215" t="n">
        <v>463.602</v>
      </c>
      <c r="F215" t="n">
        <v>2091.216</v>
      </c>
      <c r="G215" t="n">
        <v>3498841</v>
      </c>
      <c r="H215" t="inlineStr">
        <is>
          <t>TUB-O-N-BOT-NR-FC-50.80X4.060X6.100</t>
        </is>
      </c>
    </row>
    <row r="216">
      <c r="A216" t="inlineStr">
        <is>
          <t>0000944119</t>
        </is>
      </c>
      <c r="B216" t="inlineStr">
        <is>
          <t>BHARAT TUBES CORPORATION</t>
        </is>
      </c>
      <c r="C216" t="inlineStr">
        <is>
          <t>NOS</t>
        </is>
      </c>
      <c r="D216" t="n">
        <v>74</v>
      </c>
      <c r="E216" t="n">
        <v>451.402</v>
      </c>
      <c r="F216" t="n">
        <v>2036.184</v>
      </c>
      <c r="G216" t="n">
        <v>3498841</v>
      </c>
      <c r="H216" t="inlineStr">
        <is>
          <t>TUB-O-N-BOT-NR-FC-50.80X4.060X6.100</t>
        </is>
      </c>
    </row>
    <row r="217">
      <c r="A217" t="inlineStr">
        <is>
          <t>0000944119</t>
        </is>
      </c>
      <c r="B217" t="inlineStr">
        <is>
          <t>BHARAT TUBES CORPORATION</t>
        </is>
      </c>
      <c r="C217" t="inlineStr">
        <is>
          <t>NOS</t>
        </is>
      </c>
      <c r="D217" t="n">
        <v>50</v>
      </c>
      <c r="E217" t="n">
        <v>305.001</v>
      </c>
      <c r="F217" t="n">
        <v>1375.8</v>
      </c>
      <c r="G217" t="n">
        <v>3498841</v>
      </c>
      <c r="H217" t="inlineStr">
        <is>
          <t>TUB-O-N-BOT-NR-FC-50.80X4.060X6.100</t>
        </is>
      </c>
    </row>
    <row r="218">
      <c r="A218" t="inlineStr">
        <is>
          <t>0000944119</t>
        </is>
      </c>
      <c r="B218" t="inlineStr">
        <is>
          <t>BHARAT TUBES CORPORATION</t>
        </is>
      </c>
      <c r="C218" t="inlineStr">
        <is>
          <t>NOS</t>
        </is>
      </c>
      <c r="D218" t="n">
        <v>50</v>
      </c>
      <c r="E218" t="n">
        <v>325.001</v>
      </c>
      <c r="F218" t="n">
        <v>1683.15</v>
      </c>
      <c r="G218" t="n">
        <v>3498875</v>
      </c>
      <c r="H218" t="inlineStr">
        <is>
          <t>TUB-O-N-BOT-NR-FC-63.50X3.660X6.500</t>
        </is>
      </c>
    </row>
    <row r="219">
      <c r="A219" t="inlineStr">
        <is>
          <t>0000944119</t>
        </is>
      </c>
      <c r="B219" t="inlineStr">
        <is>
          <t>BHARAT TUBES CORPORATION</t>
        </is>
      </c>
      <c r="C219" t="inlineStr">
        <is>
          <t>NOS</t>
        </is>
      </c>
      <c r="D219" t="n">
        <v>15</v>
      </c>
      <c r="E219" t="n">
        <v>97.5</v>
      </c>
      <c r="F219" t="n">
        <v>504.945</v>
      </c>
      <c r="G219" t="n">
        <v>3498875</v>
      </c>
      <c r="H219" t="inlineStr">
        <is>
          <t>TUB-O-N-BOT-NR-FC-63.50X3.660X6.500</t>
        </is>
      </c>
    </row>
    <row r="220">
      <c r="A220" t="inlineStr">
        <is>
          <t>0000944119</t>
        </is>
      </c>
      <c r="B220" t="inlineStr">
        <is>
          <t>BHARAT TUBES CORPORATION</t>
        </is>
      </c>
      <c r="C220" t="inlineStr">
        <is>
          <t>NOS</t>
        </is>
      </c>
      <c r="D220" t="n">
        <v>58</v>
      </c>
      <c r="E220" t="n">
        <v>353.799</v>
      </c>
      <c r="F220" t="n">
        <v>2104.646</v>
      </c>
      <c r="G220" t="n">
        <v>3498975</v>
      </c>
      <c r="H220" t="inlineStr">
        <is>
          <t>TUB-O-N-BOT-NR-FC-63.50X4.060X6.100</t>
        </is>
      </c>
    </row>
    <row r="221">
      <c r="A221" t="inlineStr">
        <is>
          <t>0000943209</t>
        </is>
      </c>
      <c r="B221" t="inlineStr">
        <is>
          <t>MEGH STEELS PRIVATE LIMITED - TVS A</t>
        </is>
      </c>
      <c r="C221" t="inlineStr">
        <is>
          <t>KG</t>
        </is>
      </c>
      <c r="D221" t="n">
        <v>420</v>
      </c>
      <c r="E221" t="n">
        <v>2499.413</v>
      </c>
      <c r="F221" t="n">
        <v>2433.984</v>
      </c>
      <c r="G221" t="n">
        <v>3905466</v>
      </c>
      <c r="H221" t="inlineStr">
        <is>
          <t>TUB-O-N-AUT-AW-PE-22.20X2.000X5.9510</t>
        </is>
      </c>
    </row>
    <row r="222">
      <c r="A222" t="inlineStr">
        <is>
          <t>0000943209</t>
        </is>
      </c>
      <c r="B222" t="inlineStr">
        <is>
          <t>MEGH STEELS PRIVATE LIMITED - TVS A</t>
        </is>
      </c>
      <c r="C222" t="inlineStr">
        <is>
          <t>KG</t>
        </is>
      </c>
      <c r="D222" t="n">
        <v>420</v>
      </c>
      <c r="E222" t="n">
        <v>2499.413</v>
      </c>
      <c r="F222" t="n">
        <v>2433.984</v>
      </c>
      <c r="G222" t="n">
        <v>3905466</v>
      </c>
      <c r="H222" t="inlineStr">
        <is>
          <t>TUB-O-N-AUT-AW-PE-22.20X2.000X5.9510</t>
        </is>
      </c>
    </row>
    <row r="223">
      <c r="A223" t="inlineStr">
        <is>
          <t>0000943209</t>
        </is>
      </c>
      <c r="B223" t="inlineStr">
        <is>
          <t>MEGH STEELS PRIVATE LIMITED - TVS A</t>
        </is>
      </c>
      <c r="C223" t="inlineStr">
        <is>
          <t>KG</t>
        </is>
      </c>
      <c r="D223" t="n">
        <v>420</v>
      </c>
      <c r="E223" t="n">
        <v>2499.413</v>
      </c>
      <c r="F223" t="n">
        <v>2433.984</v>
      </c>
      <c r="G223" t="n">
        <v>3905466</v>
      </c>
      <c r="H223" t="inlineStr">
        <is>
          <t>TUB-O-N-AUT-AW-PE-22.20X2.000X5.9510</t>
        </is>
      </c>
    </row>
    <row r="224">
      <c r="A224" t="inlineStr">
        <is>
          <t>0000943209</t>
        </is>
      </c>
      <c r="B224" t="inlineStr">
        <is>
          <t>MEGH STEELS PRIVATE LIMITED - TVS A</t>
        </is>
      </c>
      <c r="C224" t="inlineStr">
        <is>
          <t>KG</t>
        </is>
      </c>
      <c r="D224" t="n">
        <v>418</v>
      </c>
      <c r="E224" t="n">
        <v>2487.512</v>
      </c>
      <c r="F224" t="n">
        <v>2422.394</v>
      </c>
      <c r="G224" t="n">
        <v>3905466</v>
      </c>
      <c r="H224" t="inlineStr">
        <is>
          <t>TUB-O-N-AUT-AW-PE-22.20X2.000X5.9510</t>
        </is>
      </c>
    </row>
    <row r="225">
      <c r="A225" t="inlineStr">
        <is>
          <t>0000943209</t>
        </is>
      </c>
      <c r="B225" t="inlineStr">
        <is>
          <t>MEGH STEELS PRIVATE LIMITED - TVS A</t>
        </is>
      </c>
      <c r="C225" t="inlineStr">
        <is>
          <t>KG</t>
        </is>
      </c>
      <c r="D225" t="n">
        <v>412</v>
      </c>
      <c r="E225" t="n">
        <v>2451.805</v>
      </c>
      <c r="F225" t="n">
        <v>2387.622</v>
      </c>
      <c r="G225" t="n">
        <v>3905466</v>
      </c>
      <c r="H225" t="inlineStr">
        <is>
          <t>TUB-O-N-AUT-AW-PE-22.20X2.000X5.9510</t>
        </is>
      </c>
    </row>
    <row r="226">
      <c r="A226" t="inlineStr">
        <is>
          <t>0000943209</t>
        </is>
      </c>
      <c r="B226" t="inlineStr">
        <is>
          <t>MEGH STEELS PRIVATE LIMITED - TVS A</t>
        </is>
      </c>
      <c r="C226" t="inlineStr">
        <is>
          <t>KG</t>
        </is>
      </c>
      <c r="D226" t="n">
        <v>419</v>
      </c>
      <c r="E226" t="n">
        <v>2493.462</v>
      </c>
      <c r="F226" t="n">
        <v>2428.189</v>
      </c>
      <c r="G226" t="n">
        <v>3905466</v>
      </c>
      <c r="H226" t="inlineStr">
        <is>
          <t>TUB-O-N-AUT-AW-PE-22.20X2.000X5.9510</t>
        </is>
      </c>
    </row>
    <row r="227">
      <c r="A227" t="inlineStr">
        <is>
          <t>0000943209</t>
        </is>
      </c>
      <c r="B227" t="inlineStr">
        <is>
          <t>MEGH STEELS PRIVATE LIMITED - TVS A</t>
        </is>
      </c>
      <c r="C227" t="inlineStr">
        <is>
          <t>KG</t>
        </is>
      </c>
      <c r="D227" t="n">
        <v>419</v>
      </c>
      <c r="E227" t="n">
        <v>2493.462</v>
      </c>
      <c r="F227" t="n">
        <v>2428.189</v>
      </c>
      <c r="G227" t="n">
        <v>3905466</v>
      </c>
      <c r="H227" t="inlineStr">
        <is>
          <t>TUB-O-N-AUT-AW-PE-22.20X2.000X5.9510</t>
        </is>
      </c>
    </row>
    <row r="228">
      <c r="A228" t="inlineStr">
        <is>
          <t>0000943209</t>
        </is>
      </c>
      <c r="B228" t="inlineStr">
        <is>
          <t>MEGH STEELS PRIVATE LIMITED - TVS A</t>
        </is>
      </c>
      <c r="C228" t="inlineStr">
        <is>
          <t>KG</t>
        </is>
      </c>
      <c r="D228" t="n">
        <v>410</v>
      </c>
      <c r="E228" t="n">
        <v>2439.903</v>
      </c>
      <c r="F228" t="n">
        <v>2376.032</v>
      </c>
      <c r="G228" t="n">
        <v>3905466</v>
      </c>
      <c r="H228" t="inlineStr">
        <is>
          <t>TUB-O-N-AUT-AW-PE-22.20X2.000X5.9510</t>
        </is>
      </c>
    </row>
    <row r="229">
      <c r="A229" t="inlineStr">
        <is>
          <t>0000943209</t>
        </is>
      </c>
      <c r="B229" t="inlineStr">
        <is>
          <t>MEGH STEELS PRIVATE LIMITED - TVS A</t>
        </is>
      </c>
      <c r="C229" t="inlineStr">
        <is>
          <t>KG</t>
        </is>
      </c>
      <c r="D229" t="n">
        <v>416</v>
      </c>
      <c r="E229" t="n">
        <v>2475.609</v>
      </c>
      <c r="F229" t="n">
        <v>2410.803</v>
      </c>
      <c r="G229" t="n">
        <v>3905466</v>
      </c>
      <c r="H229" t="inlineStr">
        <is>
          <t>TUB-O-N-AUT-AW-PE-22.20X2.000X5.9510</t>
        </is>
      </c>
    </row>
    <row r="230">
      <c r="A230" t="inlineStr">
        <is>
          <t>0000943209</t>
        </is>
      </c>
      <c r="B230" t="inlineStr">
        <is>
          <t>MEGH STEELS PRIVATE LIMITED - TVS A</t>
        </is>
      </c>
      <c r="C230" t="inlineStr">
        <is>
          <t>KG</t>
        </is>
      </c>
      <c r="D230" t="n">
        <v>274</v>
      </c>
      <c r="E230" t="n">
        <v>1630.57</v>
      </c>
      <c r="F230" t="n">
        <v>1587.885</v>
      </c>
      <c r="G230" t="n">
        <v>3905466</v>
      </c>
      <c r="H230" t="inlineStr">
        <is>
          <t>TUB-O-N-AUT-AW-PE-22.20X2.000X5.9510</t>
        </is>
      </c>
    </row>
    <row r="231">
      <c r="A231" t="inlineStr">
        <is>
          <t>0000943209</t>
        </is>
      </c>
      <c r="B231" t="inlineStr">
        <is>
          <t>MEGH STEELS PRIVATE LIMITED - TVS A</t>
        </is>
      </c>
      <c r="C231" t="inlineStr">
        <is>
          <t>KG</t>
        </is>
      </c>
      <c r="D231" t="n">
        <v>417</v>
      </c>
      <c r="E231" t="n">
        <v>2481.56</v>
      </c>
      <c r="F231" t="n">
        <v>2416.598</v>
      </c>
      <c r="G231" t="n">
        <v>3905466</v>
      </c>
      <c r="H231" t="inlineStr">
        <is>
          <t>TUB-O-N-AUT-AW-PE-22.20X2.000X5.9510</t>
        </is>
      </c>
    </row>
    <row r="232">
      <c r="A232" t="inlineStr">
        <is>
          <t>0000943209</t>
        </is>
      </c>
      <c r="B232" t="inlineStr">
        <is>
          <t>MEGH STEELS PRIVATE LIMITED - TVS A</t>
        </is>
      </c>
      <c r="C232" t="inlineStr">
        <is>
          <t>KG</t>
        </is>
      </c>
      <c r="D232" t="n">
        <v>216</v>
      </c>
      <c r="E232" t="n">
        <v>1336.992</v>
      </c>
      <c r="F232" t="n">
        <v>2825.064</v>
      </c>
      <c r="G232" t="n">
        <v>3502007</v>
      </c>
      <c r="H232" t="inlineStr">
        <is>
          <t>TUB-O-N-AUT-AH-FC-38.10X2.500X6.1900 HST</t>
        </is>
      </c>
    </row>
    <row r="233">
      <c r="A233" t="inlineStr">
        <is>
          <t>0000943209</t>
        </is>
      </c>
      <c r="B233" t="inlineStr">
        <is>
          <t>MEGH STEELS PRIVATE LIMITED - TVS A</t>
        </is>
      </c>
      <c r="C233" t="inlineStr">
        <is>
          <t>KG</t>
        </is>
      </c>
      <c r="D233" t="n">
        <v>216</v>
      </c>
      <c r="E233" t="n">
        <v>1336.992</v>
      </c>
      <c r="F233" t="n">
        <v>2825.064</v>
      </c>
      <c r="G233" t="n">
        <v>3502007</v>
      </c>
      <c r="H233" t="inlineStr">
        <is>
          <t>TUB-O-N-AUT-AH-FC-38.10X2.500X6.1900 HST</t>
        </is>
      </c>
    </row>
    <row r="234">
      <c r="A234" t="inlineStr">
        <is>
          <t>0000943209</t>
        </is>
      </c>
      <c r="B234" t="inlineStr">
        <is>
          <t>MEGH STEELS PRIVATE LIMITED - TVS A</t>
        </is>
      </c>
      <c r="C234" t="inlineStr">
        <is>
          <t>KG</t>
        </is>
      </c>
      <c r="D234" t="n">
        <v>215</v>
      </c>
      <c r="E234" t="n">
        <v>1330.802</v>
      </c>
      <c r="F234" t="n">
        <v>2811.985</v>
      </c>
      <c r="G234" t="n">
        <v>3502007</v>
      </c>
      <c r="H234" t="inlineStr">
        <is>
          <t>TUB-O-N-AUT-AH-FC-38.10X2.500X6.1900 HST</t>
        </is>
      </c>
    </row>
    <row r="235">
      <c r="A235" t="inlineStr">
        <is>
          <t>0000943209</t>
        </is>
      </c>
      <c r="B235" t="inlineStr">
        <is>
          <t>MEGH STEELS PRIVATE LIMITED - TVS A</t>
        </is>
      </c>
      <c r="C235" t="inlineStr">
        <is>
          <t>KG</t>
        </is>
      </c>
      <c r="D235" t="n">
        <v>215</v>
      </c>
      <c r="E235" t="n">
        <v>1330.802</v>
      </c>
      <c r="F235" t="n">
        <v>2811.985</v>
      </c>
      <c r="G235" t="n">
        <v>3502007</v>
      </c>
      <c r="H235" t="inlineStr">
        <is>
          <t>TUB-O-N-AUT-AH-FC-38.10X2.500X6.1900 HST</t>
        </is>
      </c>
    </row>
    <row r="236">
      <c r="A236" t="inlineStr">
        <is>
          <t>0000943209</t>
        </is>
      </c>
      <c r="B236" t="inlineStr">
        <is>
          <t>MEGH STEELS PRIVATE LIMITED - TVS A</t>
        </is>
      </c>
      <c r="C236" t="inlineStr">
        <is>
          <t>KG</t>
        </is>
      </c>
      <c r="D236" t="n">
        <v>217</v>
      </c>
      <c r="E236" t="n">
        <v>1343.182</v>
      </c>
      <c r="F236" t="n">
        <v>2838.143</v>
      </c>
      <c r="G236" t="n">
        <v>3502007</v>
      </c>
      <c r="H236" t="inlineStr">
        <is>
          <t>TUB-O-N-AUT-AH-FC-38.10X2.500X6.1900 HST</t>
        </is>
      </c>
    </row>
    <row r="237">
      <c r="A237" t="inlineStr">
        <is>
          <t>0000943209</t>
        </is>
      </c>
      <c r="B237" t="inlineStr">
        <is>
          <t>MEGH STEELS PRIVATE LIMITED - TVS A</t>
        </is>
      </c>
      <c r="C237" t="inlineStr">
        <is>
          <t>KG</t>
        </is>
      </c>
      <c r="D237" t="n">
        <v>217</v>
      </c>
      <c r="E237" t="n">
        <v>1343.182</v>
      </c>
      <c r="F237" t="n">
        <v>2838.143</v>
      </c>
      <c r="G237" t="n">
        <v>3502007</v>
      </c>
      <c r="H237" t="inlineStr">
        <is>
          <t>TUB-O-N-AUT-AH-FC-38.10X2.500X6.1900 HST</t>
        </is>
      </c>
    </row>
    <row r="238">
      <c r="A238" t="inlineStr">
        <is>
          <t>0000943209</t>
        </is>
      </c>
      <c r="B238" t="inlineStr">
        <is>
          <t>MEGH STEELS PRIVATE LIMITED - TVS A</t>
        </is>
      </c>
      <c r="C238" t="inlineStr">
        <is>
          <t>KG</t>
        </is>
      </c>
      <c r="D238" t="n">
        <v>217</v>
      </c>
      <c r="E238" t="n">
        <v>1343.182</v>
      </c>
      <c r="F238" t="n">
        <v>2838.143</v>
      </c>
      <c r="G238" t="n">
        <v>3502007</v>
      </c>
      <c r="H238" t="inlineStr">
        <is>
          <t>TUB-O-N-AUT-AH-FC-38.10X2.500X6.1900 HST</t>
        </is>
      </c>
    </row>
    <row r="239">
      <c r="A239" t="inlineStr">
        <is>
          <t>0000943209</t>
        </is>
      </c>
      <c r="B239" t="inlineStr">
        <is>
          <t>MEGH STEELS PRIVATE LIMITED - TVS A</t>
        </is>
      </c>
      <c r="C239" t="inlineStr">
        <is>
          <t>KG</t>
        </is>
      </c>
      <c r="D239" t="n">
        <v>217</v>
      </c>
      <c r="E239" t="n">
        <v>1343.182</v>
      </c>
      <c r="F239" t="n">
        <v>2838.143</v>
      </c>
      <c r="G239" t="n">
        <v>3502007</v>
      </c>
      <c r="H239" t="inlineStr">
        <is>
          <t>TUB-O-N-AUT-AH-FC-38.10X2.500X6.1900 HST</t>
        </is>
      </c>
    </row>
    <row r="240">
      <c r="A240" t="inlineStr">
        <is>
          <t>0000943209</t>
        </is>
      </c>
      <c r="B240" t="inlineStr">
        <is>
          <t>MEGH STEELS PRIVATE LIMITED - TVS A</t>
        </is>
      </c>
      <c r="C240" t="inlineStr">
        <is>
          <t>KG</t>
        </is>
      </c>
      <c r="D240" t="n">
        <v>217</v>
      </c>
      <c r="E240" t="n">
        <v>1343.182</v>
      </c>
      <c r="F240" t="n">
        <v>2838.143</v>
      </c>
      <c r="G240" t="n">
        <v>3502007</v>
      </c>
      <c r="H240" t="inlineStr">
        <is>
          <t>TUB-O-N-AUT-AH-FC-38.10X2.500X6.1900 HST</t>
        </is>
      </c>
    </row>
    <row r="241">
      <c r="A241" t="inlineStr">
        <is>
          <t>0000950043</t>
        </is>
      </c>
      <c r="B241" t="inlineStr">
        <is>
          <t>SREEVATSA TUBE CORPORATION</t>
        </is>
      </c>
      <c r="C241" t="inlineStr">
        <is>
          <t>NOS</t>
        </is>
      </c>
      <c r="D241" t="n">
        <v>144</v>
      </c>
      <c r="E241" t="n">
        <v>576.011</v>
      </c>
      <c r="F241" t="n">
        <v>2983.104</v>
      </c>
      <c r="G241" t="n">
        <v>3499247</v>
      </c>
      <c r="H241" t="inlineStr">
        <is>
          <t>TUB-O-N-BOT-NR-FC-63.50X3.660X4.000</t>
        </is>
      </c>
    </row>
    <row r="242">
      <c r="A242" t="inlineStr">
        <is>
          <t>0000950043</t>
        </is>
      </c>
      <c r="B242" t="inlineStr">
        <is>
          <t>SREEVATSA TUBE CORPORATION</t>
        </is>
      </c>
      <c r="C242" t="inlineStr">
        <is>
          <t>NOS</t>
        </is>
      </c>
      <c r="D242" t="n">
        <v>124</v>
      </c>
      <c r="E242" t="n">
        <v>496.01</v>
      </c>
      <c r="F242" t="n">
        <v>2568.784</v>
      </c>
      <c r="G242" t="n">
        <v>3499247</v>
      </c>
      <c r="H242" t="inlineStr">
        <is>
          <t>TUB-O-N-BOT-NR-FC-63.50X3.660X4.000</t>
        </is>
      </c>
    </row>
    <row r="243">
      <c r="A243" t="inlineStr">
        <is>
          <t>0000950043</t>
        </is>
      </c>
      <c r="B243" t="inlineStr">
        <is>
          <t>SREEVATSA TUBE CORPORATION</t>
        </is>
      </c>
      <c r="C243" t="inlineStr">
        <is>
          <t>NOS</t>
        </is>
      </c>
      <c r="D243" t="n">
        <v>74</v>
      </c>
      <c r="E243" t="n">
        <v>296.006</v>
      </c>
      <c r="F243" t="n">
        <v>1532.984</v>
      </c>
      <c r="G243" t="n">
        <v>3499247</v>
      </c>
      <c r="H243" t="inlineStr">
        <is>
          <t>TUB-O-N-BOT-NR-FC-63.50X3.660X4.000</t>
        </is>
      </c>
    </row>
    <row r="244">
      <c r="A244" t="inlineStr">
        <is>
          <t>0000950043</t>
        </is>
      </c>
      <c r="B244" t="inlineStr">
        <is>
          <t>SREEVATSA TUBE CORPORATION</t>
        </is>
      </c>
      <c r="C244" t="inlineStr">
        <is>
          <t>NOS</t>
        </is>
      </c>
      <c r="D244" t="n">
        <v>73</v>
      </c>
      <c r="E244" t="n">
        <v>292.006</v>
      </c>
      <c r="F244" t="n">
        <v>1512.268</v>
      </c>
      <c r="G244" t="n">
        <v>3499247</v>
      </c>
      <c r="H244" t="inlineStr">
        <is>
          <t>TUB-O-N-BOT-NR-FC-63.50X3.660X4.000</t>
        </is>
      </c>
    </row>
    <row r="245">
      <c r="A245" t="inlineStr">
        <is>
          <t>0000950043</t>
        </is>
      </c>
      <c r="B245" t="inlineStr">
        <is>
          <t>SREEVATSA TUBE CORPORATION</t>
        </is>
      </c>
      <c r="C245" t="inlineStr">
        <is>
          <t>NOS</t>
        </is>
      </c>
      <c r="D245" t="n">
        <v>71</v>
      </c>
      <c r="E245" t="n">
        <v>284.005</v>
      </c>
      <c r="F245" t="n">
        <v>1470.836</v>
      </c>
      <c r="G245" t="n">
        <v>3499247</v>
      </c>
      <c r="H245" t="inlineStr">
        <is>
          <t>TUB-O-N-BOT-NR-FC-63.50X3.660X4.000</t>
        </is>
      </c>
    </row>
    <row r="246">
      <c r="A246" t="inlineStr">
        <is>
          <t>0000950043</t>
        </is>
      </c>
      <c r="B246" t="inlineStr">
        <is>
          <t>SREEVATSA TUBE CORPORATION</t>
        </is>
      </c>
      <c r="C246" t="inlineStr">
        <is>
          <t>NOS</t>
        </is>
      </c>
      <c r="D246" t="n">
        <v>70</v>
      </c>
      <c r="E246" t="n">
        <v>280.005</v>
      </c>
      <c r="F246" t="n">
        <v>1450.12</v>
      </c>
      <c r="G246" t="n">
        <v>3499247</v>
      </c>
      <c r="H246" t="inlineStr">
        <is>
          <t>TUB-O-N-BOT-NR-FC-63.50X3.660X4.000</t>
        </is>
      </c>
    </row>
    <row r="247">
      <c r="A247" t="inlineStr">
        <is>
          <t>0000950043</t>
        </is>
      </c>
      <c r="B247" t="inlineStr">
        <is>
          <t>SREEVATSA TUBE CORPORATION</t>
        </is>
      </c>
      <c r="C247" t="inlineStr">
        <is>
          <t>NOS</t>
        </is>
      </c>
      <c r="D247" t="n">
        <v>56</v>
      </c>
      <c r="E247" t="n">
        <v>224.004</v>
      </c>
      <c r="F247" t="n">
        <v>1160.096</v>
      </c>
      <c r="G247" t="n">
        <v>3499247</v>
      </c>
      <c r="H247" t="inlineStr">
        <is>
          <t>TUB-O-N-BOT-NR-FC-63.50X3.660X4.000</t>
        </is>
      </c>
    </row>
    <row r="248">
      <c r="A248" t="inlineStr">
        <is>
          <t>0000950043</t>
        </is>
      </c>
      <c r="B248" t="inlineStr">
        <is>
          <t>SREEVATSA TUBE CORPORATION</t>
        </is>
      </c>
      <c r="C248" t="inlineStr">
        <is>
          <t>NOS</t>
        </is>
      </c>
      <c r="D248" t="n">
        <v>10</v>
      </c>
      <c r="E248" t="n">
        <v>40.001</v>
      </c>
      <c r="F248" t="n">
        <v>207.16</v>
      </c>
      <c r="G248" t="n">
        <v>3499247</v>
      </c>
      <c r="H248" t="inlineStr">
        <is>
          <t>TUB-O-N-BOT-NR-FC-63.50X3.660X4.000</t>
        </is>
      </c>
    </row>
    <row r="249">
      <c r="A249" t="inlineStr">
        <is>
          <t>0000950043</t>
        </is>
      </c>
      <c r="B249" t="inlineStr">
        <is>
          <t>SREEVATSA TUBE CORPORATION</t>
        </is>
      </c>
      <c r="C249" t="inlineStr">
        <is>
          <t>NOS</t>
        </is>
      </c>
      <c r="D249" t="n">
        <v>96</v>
      </c>
      <c r="E249" t="n">
        <v>480.009</v>
      </c>
      <c r="F249" t="n">
        <v>2485.92</v>
      </c>
      <c r="G249" t="n">
        <v>3499180</v>
      </c>
      <c r="H249" t="inlineStr">
        <is>
          <t>TUB-O-N-BOT-NR-FC-63.50X3.660X5.000</t>
        </is>
      </c>
    </row>
    <row r="250">
      <c r="A250" t="inlineStr">
        <is>
          <t>0000950043</t>
        </is>
      </c>
      <c r="B250" t="inlineStr">
        <is>
          <t>SREEVATSA TUBE CORPORATION</t>
        </is>
      </c>
      <c r="C250" t="inlineStr">
        <is>
          <t>NOS</t>
        </is>
      </c>
      <c r="D250" t="n">
        <v>68</v>
      </c>
      <c r="E250" t="n">
        <v>340.007</v>
      </c>
      <c r="F250" t="n">
        <v>1760.86</v>
      </c>
      <c r="G250" t="n">
        <v>3499180</v>
      </c>
      <c r="H250" t="inlineStr">
        <is>
          <t>TUB-O-N-BOT-NR-FC-63.50X3.660X5.000</t>
        </is>
      </c>
    </row>
    <row r="251">
      <c r="A251" t="inlineStr">
        <is>
          <t>0000950043</t>
        </is>
      </c>
      <c r="B251" t="inlineStr">
        <is>
          <t>SREEVATSA TUBE CORPORATION</t>
        </is>
      </c>
      <c r="C251" t="inlineStr">
        <is>
          <t>NOS</t>
        </is>
      </c>
      <c r="D251" t="n">
        <v>22</v>
      </c>
      <c r="E251" t="n">
        <v>110.002</v>
      </c>
      <c r="F251" t="n">
        <v>569.6900000000001</v>
      </c>
      <c r="G251" t="n">
        <v>3499180</v>
      </c>
      <c r="H251" t="inlineStr">
        <is>
          <t>TUB-O-N-BOT-NR-FC-63.50X3.660X5.000</t>
        </is>
      </c>
    </row>
    <row r="252">
      <c r="A252" t="inlineStr">
        <is>
          <t>0000943211</t>
        </is>
      </c>
      <c r="B252" t="inlineStr">
        <is>
          <t>MEGH STEELS PRIVATE LIMITED - RE</t>
        </is>
      </c>
      <c r="C252" t="inlineStr">
        <is>
          <t>KG</t>
        </is>
      </c>
      <c r="D252" t="n">
        <v>216</v>
      </c>
      <c r="E252" t="n">
        <v>1274.391</v>
      </c>
      <c r="F252" t="n">
        <v>1200.377</v>
      </c>
      <c r="G252" t="n">
        <v>3499396</v>
      </c>
      <c r="H252" t="inlineStr">
        <is>
          <t>TUB-O-N-AUT-AW-FC-34.93X1.200X5.900</t>
        </is>
      </c>
    </row>
    <row r="253">
      <c r="A253" t="inlineStr">
        <is>
          <t>0000943211</t>
        </is>
      </c>
      <c r="B253" t="inlineStr">
        <is>
          <t>MEGH STEELS PRIVATE LIMITED - RE</t>
        </is>
      </c>
      <c r="C253" t="inlineStr">
        <is>
          <t>KG</t>
        </is>
      </c>
      <c r="D253" t="n">
        <v>217</v>
      </c>
      <c r="E253" t="n">
        <v>1280.29</v>
      </c>
      <c r="F253" t="n">
        <v>1205.934</v>
      </c>
      <c r="G253" t="n">
        <v>3499396</v>
      </c>
      <c r="H253" t="inlineStr">
        <is>
          <t>TUB-O-N-AUT-AW-FC-34.93X1.200X5.900</t>
        </is>
      </c>
    </row>
    <row r="254">
      <c r="A254" t="inlineStr">
        <is>
          <t>0000943211</t>
        </is>
      </c>
      <c r="B254" t="inlineStr">
        <is>
          <t>MEGH STEELS PRIVATE LIMITED - RE</t>
        </is>
      </c>
      <c r="C254" t="inlineStr">
        <is>
          <t>KG</t>
        </is>
      </c>
      <c r="D254" t="n">
        <v>217</v>
      </c>
      <c r="E254" t="n">
        <v>1280.29</v>
      </c>
      <c r="F254" t="n">
        <v>1205.934</v>
      </c>
      <c r="G254" t="n">
        <v>3499396</v>
      </c>
      <c r="H254" t="inlineStr">
        <is>
          <t>TUB-O-N-AUT-AW-FC-34.93X1.200X5.900</t>
        </is>
      </c>
    </row>
    <row r="255">
      <c r="A255" t="inlineStr">
        <is>
          <t>0000943211</t>
        </is>
      </c>
      <c r="B255" t="inlineStr">
        <is>
          <t>MEGH STEELS PRIVATE LIMITED - RE</t>
        </is>
      </c>
      <c r="C255" t="inlineStr">
        <is>
          <t>KG</t>
        </is>
      </c>
      <c r="D255" t="n">
        <v>217</v>
      </c>
      <c r="E255" t="n">
        <v>1280.29</v>
      </c>
      <c r="F255" t="n">
        <v>1205.934</v>
      </c>
      <c r="G255" t="n">
        <v>3499396</v>
      </c>
      <c r="H255" t="inlineStr">
        <is>
          <t>TUB-O-N-AUT-AW-FC-34.93X1.200X5.900</t>
        </is>
      </c>
    </row>
    <row r="256">
      <c r="A256" t="inlineStr">
        <is>
          <t>0000943211</t>
        </is>
      </c>
      <c r="B256" t="inlineStr">
        <is>
          <t>MEGH STEELS PRIVATE LIMITED - RE</t>
        </is>
      </c>
      <c r="C256" t="inlineStr">
        <is>
          <t>KG</t>
        </is>
      </c>
      <c r="D256" t="n">
        <v>213</v>
      </c>
      <c r="E256" t="n">
        <v>1256.691</v>
      </c>
      <c r="F256" t="n">
        <v>1183.705</v>
      </c>
      <c r="G256" t="n">
        <v>3499396</v>
      </c>
      <c r="H256" t="inlineStr">
        <is>
          <t>TUB-O-N-AUT-AW-FC-34.93X1.200X5.900</t>
        </is>
      </c>
    </row>
    <row r="257">
      <c r="A257" t="inlineStr">
        <is>
          <t>0000943209</t>
        </is>
      </c>
      <c r="B257" t="inlineStr">
        <is>
          <t>MEGH STEELS PRIVATE LIMITED - TVS A</t>
        </is>
      </c>
      <c r="C257" t="inlineStr">
        <is>
          <t>KG</t>
        </is>
      </c>
      <c r="D257" t="n">
        <v>224</v>
      </c>
      <c r="E257" t="n">
        <v>1343.978</v>
      </c>
      <c r="F257" t="n">
        <v>893.76</v>
      </c>
      <c r="G257" t="n">
        <v>3498997</v>
      </c>
      <c r="H257" t="inlineStr">
        <is>
          <t>TUB-O-N-AUT-AW-PE-19.05X1.60X6.000-ERW 1</t>
        </is>
      </c>
    </row>
    <row r="258">
      <c r="A258" t="inlineStr">
        <is>
          <t>0000943209</t>
        </is>
      </c>
      <c r="B258" t="inlineStr">
        <is>
          <t>MEGH STEELS PRIVATE LIMITED - TVS A</t>
        </is>
      </c>
      <c r="C258" t="inlineStr">
        <is>
          <t>KG</t>
        </is>
      </c>
      <c r="D258" t="n">
        <v>413</v>
      </c>
      <c r="E258" t="n">
        <v>2457.757</v>
      </c>
      <c r="F258" t="n">
        <v>2393.418</v>
      </c>
      <c r="G258" t="n">
        <v>3905466</v>
      </c>
      <c r="H258" t="inlineStr">
        <is>
          <t>TUB-O-N-AUT-AW-PE-22.20X2.000X5.9510</t>
        </is>
      </c>
    </row>
    <row r="259">
      <c r="A259" t="inlineStr">
        <is>
          <t>0000943209</t>
        </is>
      </c>
      <c r="B259" t="inlineStr">
        <is>
          <t>MEGH STEELS PRIVATE LIMITED - TVS A</t>
        </is>
      </c>
      <c r="C259" t="inlineStr">
        <is>
          <t>KG</t>
        </is>
      </c>
      <c r="D259" t="n">
        <v>420</v>
      </c>
      <c r="E259" t="n">
        <v>2499.413</v>
      </c>
      <c r="F259" t="n">
        <v>2433.984</v>
      </c>
      <c r="G259" t="n">
        <v>3905466</v>
      </c>
      <c r="H259" t="inlineStr">
        <is>
          <t>TUB-O-N-AUT-AW-PE-22.20X2.000X5.9510</t>
        </is>
      </c>
    </row>
    <row r="260">
      <c r="A260" t="inlineStr">
        <is>
          <t>0000943209</t>
        </is>
      </c>
      <c r="B260" t="inlineStr">
        <is>
          <t>MEGH STEELS PRIVATE LIMITED - TVS A</t>
        </is>
      </c>
      <c r="C260" t="inlineStr">
        <is>
          <t>KG</t>
        </is>
      </c>
      <c r="D260" t="n">
        <v>300</v>
      </c>
      <c r="E260" t="n">
        <v>1785.295</v>
      </c>
      <c r="F260" t="n">
        <v>1738.56</v>
      </c>
      <c r="G260" t="n">
        <v>3905466</v>
      </c>
      <c r="H260" t="inlineStr">
        <is>
          <t>TUB-O-N-AUT-AW-PE-22.20X2.000X5.9510</t>
        </is>
      </c>
    </row>
    <row r="261">
      <c r="A261" t="inlineStr">
        <is>
          <t>0000943209</t>
        </is>
      </c>
      <c r="B261" t="inlineStr">
        <is>
          <t>MEGH STEELS PRIVATE LIMITED - TVS A</t>
        </is>
      </c>
      <c r="C261" t="inlineStr">
        <is>
          <t>KG</t>
        </is>
      </c>
      <c r="D261" t="n">
        <v>419</v>
      </c>
      <c r="E261" t="n">
        <v>2493.462</v>
      </c>
      <c r="F261" t="n">
        <v>2428.189</v>
      </c>
      <c r="G261" t="n">
        <v>3905466</v>
      </c>
      <c r="H261" t="inlineStr">
        <is>
          <t>TUB-O-N-AUT-AW-PE-22.20X2.000X5.9510</t>
        </is>
      </c>
    </row>
    <row r="262">
      <c r="A262" t="inlineStr">
        <is>
          <t>0000943209</t>
        </is>
      </c>
      <c r="B262" t="inlineStr">
        <is>
          <t>MEGH STEELS PRIVATE LIMITED - TVS A</t>
        </is>
      </c>
      <c r="C262" t="inlineStr">
        <is>
          <t>KG</t>
        </is>
      </c>
      <c r="D262" t="n">
        <v>395</v>
      </c>
      <c r="E262" t="n">
        <v>2350.638</v>
      </c>
      <c r="F262" t="n">
        <v>2289.104</v>
      </c>
      <c r="G262" t="n">
        <v>3905466</v>
      </c>
      <c r="H262" t="inlineStr">
        <is>
          <t>TUB-O-N-AUT-AW-PE-22.20X2.000X5.9510</t>
        </is>
      </c>
    </row>
    <row r="263">
      <c r="A263" t="inlineStr">
        <is>
          <t>0000943209</t>
        </is>
      </c>
      <c r="B263" t="inlineStr">
        <is>
          <t>MEGH STEELS PRIVATE LIMITED - TVS A</t>
        </is>
      </c>
      <c r="C263" t="inlineStr">
        <is>
          <t>KG</t>
        </is>
      </c>
      <c r="D263" t="n">
        <v>422</v>
      </c>
      <c r="E263" t="n">
        <v>2511.315</v>
      </c>
      <c r="F263" t="n">
        <v>2445.574</v>
      </c>
      <c r="G263" t="n">
        <v>3905466</v>
      </c>
      <c r="H263" t="inlineStr">
        <is>
          <t>TUB-O-N-AUT-AW-PE-22.20X2.000X5.9510</t>
        </is>
      </c>
    </row>
    <row r="264">
      <c r="A264" t="inlineStr">
        <is>
          <t>0000943209</t>
        </is>
      </c>
      <c r="B264" t="inlineStr">
        <is>
          <t>MEGH STEELS PRIVATE LIMITED - TVS A</t>
        </is>
      </c>
      <c r="C264" t="inlineStr">
        <is>
          <t>KG</t>
        </is>
      </c>
      <c r="D264" t="n">
        <v>417</v>
      </c>
      <c r="E264" t="n">
        <v>2481.56</v>
      </c>
      <c r="F264" t="n">
        <v>2416.598</v>
      </c>
      <c r="G264" t="n">
        <v>3905466</v>
      </c>
      <c r="H264" t="inlineStr">
        <is>
          <t>TUB-O-N-AUT-AW-PE-22.20X2.000X5.9510</t>
        </is>
      </c>
    </row>
    <row r="265">
      <c r="A265" t="inlineStr">
        <is>
          <t>0000943209</t>
        </is>
      </c>
      <c r="B265" t="inlineStr">
        <is>
          <t>MEGH STEELS PRIVATE LIMITED - TVS A</t>
        </is>
      </c>
      <c r="C265" t="inlineStr">
        <is>
          <t>KG</t>
        </is>
      </c>
      <c r="D265" t="n">
        <v>418</v>
      </c>
      <c r="E265" t="n">
        <v>2487.512</v>
      </c>
      <c r="F265" t="n">
        <v>2422.394</v>
      </c>
      <c r="G265" t="n">
        <v>3905466</v>
      </c>
      <c r="H265" t="inlineStr">
        <is>
          <t>TUB-O-N-AUT-AW-PE-22.20X2.000X5.9510</t>
        </is>
      </c>
    </row>
    <row r="266">
      <c r="A266" t="inlineStr">
        <is>
          <t>0000943209</t>
        </is>
      </c>
      <c r="B266" t="inlineStr">
        <is>
          <t>MEGH STEELS PRIVATE LIMITED - TVS A</t>
        </is>
      </c>
      <c r="C266" t="inlineStr">
        <is>
          <t>KG</t>
        </is>
      </c>
      <c r="D266" t="n">
        <v>423</v>
      </c>
      <c r="E266" t="n">
        <v>2517.266</v>
      </c>
      <c r="F266" t="n">
        <v>2451.37</v>
      </c>
      <c r="G266" t="n">
        <v>3905466</v>
      </c>
      <c r="H266" t="inlineStr">
        <is>
          <t>TUB-O-N-AUT-AW-PE-22.20X2.000X5.9510</t>
        </is>
      </c>
    </row>
    <row r="267">
      <c r="A267" t="inlineStr">
        <is>
          <t>0000943209</t>
        </is>
      </c>
      <c r="B267" t="inlineStr">
        <is>
          <t>MEGH STEELS PRIVATE LIMITED - TVS A</t>
        </is>
      </c>
      <c r="C267" t="inlineStr">
        <is>
          <t>KG</t>
        </is>
      </c>
      <c r="D267" t="n">
        <v>419</v>
      </c>
      <c r="E267" t="n">
        <v>2493.461</v>
      </c>
      <c r="F267" t="n">
        <v>2428.188</v>
      </c>
      <c r="G267" t="n">
        <v>3905466</v>
      </c>
      <c r="H267" t="inlineStr">
        <is>
          <t>TUB-O-N-AUT-AW-PE-22.20X2.000X5.9510</t>
        </is>
      </c>
    </row>
    <row r="268">
      <c r="A268" t="inlineStr">
        <is>
          <t>0000927112</t>
        </is>
      </c>
      <c r="B268" t="inlineStr">
        <is>
          <t>MAXTHERM BOILERS PRIVATE LIMITED</t>
        </is>
      </c>
      <c r="C268" t="inlineStr">
        <is>
          <t>NOS</t>
        </is>
      </c>
      <c r="D268" t="n">
        <v>60</v>
      </c>
      <c r="E268" t="n">
        <v>720.009</v>
      </c>
      <c r="F268" t="n">
        <v>2939.58</v>
      </c>
      <c r="G268" t="n">
        <v>3499199</v>
      </c>
      <c r="H268" t="inlineStr">
        <is>
          <t>TUB-O-N-BOT-NR-FC-50.80X3.660X12.000</t>
        </is>
      </c>
    </row>
    <row r="269">
      <c r="A269" t="inlineStr">
        <is>
          <t>0000927112</t>
        </is>
      </c>
      <c r="B269" t="inlineStr">
        <is>
          <t>MAXTHERM BOILERS PRIVATE LIMITED</t>
        </is>
      </c>
      <c r="C269" t="inlineStr">
        <is>
          <t>NOS</t>
        </is>
      </c>
      <c r="D269" t="n">
        <v>59</v>
      </c>
      <c r="E269" t="n">
        <v>708.009</v>
      </c>
      <c r="F269" t="n">
        <v>2890.587</v>
      </c>
      <c r="G269" t="n">
        <v>3499199</v>
      </c>
      <c r="H269" t="inlineStr">
        <is>
          <t>TUB-O-N-BOT-NR-FC-50.80X3.660X12.000</t>
        </is>
      </c>
    </row>
    <row r="270">
      <c r="A270" t="inlineStr">
        <is>
          <t>0000927112</t>
        </is>
      </c>
      <c r="B270" t="inlineStr">
        <is>
          <t>MAXTHERM BOILERS PRIVATE LIMITED</t>
        </is>
      </c>
      <c r="C270" t="inlineStr">
        <is>
          <t>NOS</t>
        </is>
      </c>
      <c r="D270" t="n">
        <v>1</v>
      </c>
      <c r="E270" t="n">
        <v>12</v>
      </c>
      <c r="F270" t="n">
        <v>48.993</v>
      </c>
      <c r="G270" t="n">
        <v>3499199</v>
      </c>
      <c r="H270" t="inlineStr">
        <is>
          <t>TUB-O-N-BOT-NR-FC-50.80X3.660X12.000</t>
        </is>
      </c>
    </row>
    <row r="271">
      <c r="A271" t="inlineStr">
        <is>
          <t>0000927112</t>
        </is>
      </c>
      <c r="B271" t="inlineStr">
        <is>
          <t>MAXTHERM BOILERS PRIVATE LIMITED</t>
        </is>
      </c>
      <c r="C271" t="inlineStr">
        <is>
          <t>NOS</t>
        </is>
      </c>
      <c r="D271" t="n">
        <v>59</v>
      </c>
      <c r="E271" t="n">
        <v>708.002</v>
      </c>
      <c r="F271" t="n">
        <v>3666.673</v>
      </c>
      <c r="G271" t="n">
        <v>3499136</v>
      </c>
      <c r="H271" t="inlineStr">
        <is>
          <t>TUB-O-N-BOT-NR-FC-63.50X3.660X12.000</t>
        </is>
      </c>
    </row>
    <row r="272">
      <c r="A272" t="inlineStr">
        <is>
          <t>0000927112</t>
        </is>
      </c>
      <c r="B272" t="inlineStr">
        <is>
          <t>MAXTHERM BOILERS PRIVATE LIMITED</t>
        </is>
      </c>
      <c r="C272" t="inlineStr">
        <is>
          <t>NOS</t>
        </is>
      </c>
      <c r="D272" t="n">
        <v>48</v>
      </c>
      <c r="E272" t="n">
        <v>576.002</v>
      </c>
      <c r="F272" t="n">
        <v>2983.056</v>
      </c>
      <c r="G272" t="n">
        <v>3499136</v>
      </c>
      <c r="H272" t="inlineStr">
        <is>
          <t>TUB-O-N-BOT-NR-FC-63.50X3.660X12.000</t>
        </is>
      </c>
    </row>
    <row r="273">
      <c r="A273" t="inlineStr">
        <is>
          <t>0000927112</t>
        </is>
      </c>
      <c r="B273" t="inlineStr">
        <is>
          <t>MAXTHERM BOILERS PRIVATE LIMITED</t>
        </is>
      </c>
      <c r="C273" t="inlineStr">
        <is>
          <t>NOS</t>
        </is>
      </c>
      <c r="D273" t="n">
        <v>48</v>
      </c>
      <c r="E273" t="n">
        <v>576.002</v>
      </c>
      <c r="F273" t="n">
        <v>2983.056</v>
      </c>
      <c r="G273" t="n">
        <v>3499136</v>
      </c>
      <c r="H273" t="inlineStr">
        <is>
          <t>TUB-O-N-BOT-NR-FC-63.50X3.660X12.000</t>
        </is>
      </c>
    </row>
    <row r="274">
      <c r="A274" t="inlineStr">
        <is>
          <t>0000927112</t>
        </is>
      </c>
      <c r="B274" t="inlineStr">
        <is>
          <t>MAXTHERM BOILERS PRIVATE LIMITED</t>
        </is>
      </c>
      <c r="C274" t="inlineStr">
        <is>
          <t>NOS</t>
        </is>
      </c>
      <c r="D274" t="n">
        <v>48</v>
      </c>
      <c r="E274" t="n">
        <v>576.002</v>
      </c>
      <c r="F274" t="n">
        <v>2983.056</v>
      </c>
      <c r="G274" t="n">
        <v>3499136</v>
      </c>
      <c r="H274" t="inlineStr">
        <is>
          <t>TUB-O-N-BOT-NR-FC-63.50X3.660X12.000</t>
        </is>
      </c>
    </row>
    <row r="275">
      <c r="A275" t="inlineStr">
        <is>
          <t>0000927112</t>
        </is>
      </c>
      <c r="B275" t="inlineStr">
        <is>
          <t>MAXTHERM BOILERS PRIVATE LIMITED</t>
        </is>
      </c>
      <c r="C275" t="inlineStr">
        <is>
          <t>NOS</t>
        </is>
      </c>
      <c r="D275" t="n">
        <v>47</v>
      </c>
      <c r="E275" t="n">
        <v>564.002</v>
      </c>
      <c r="F275" t="n">
        <v>2920.909</v>
      </c>
      <c r="G275" t="n">
        <v>3499136</v>
      </c>
      <c r="H275" t="inlineStr">
        <is>
          <t>TUB-O-N-BOT-NR-FC-63.50X3.660X12.000</t>
        </is>
      </c>
    </row>
    <row r="276">
      <c r="A276" t="inlineStr">
        <is>
          <t>0000927112</t>
        </is>
      </c>
      <c r="B276" t="inlineStr">
        <is>
          <t>MAXTHERM BOILERS PRIVATE LIMITED</t>
        </is>
      </c>
      <c r="C276" t="inlineStr">
        <is>
          <t>NOS</t>
        </is>
      </c>
      <c r="D276" t="n">
        <v>46</v>
      </c>
      <c r="E276" t="n">
        <v>552.002</v>
      </c>
      <c r="F276" t="n">
        <v>2858.762</v>
      </c>
      <c r="G276" t="n">
        <v>3499136</v>
      </c>
      <c r="H276" t="inlineStr">
        <is>
          <t>TUB-O-N-BOT-NR-FC-63.50X3.660X12.000</t>
        </is>
      </c>
    </row>
    <row r="277">
      <c r="A277" t="inlineStr">
        <is>
          <t>0000927112</t>
        </is>
      </c>
      <c r="B277" t="inlineStr">
        <is>
          <t>MAXTHERM BOILERS PRIVATE LIMITED</t>
        </is>
      </c>
      <c r="C277" t="inlineStr">
        <is>
          <t>NOS</t>
        </is>
      </c>
      <c r="D277" t="n">
        <v>46</v>
      </c>
      <c r="E277" t="n">
        <v>552.002</v>
      </c>
      <c r="F277" t="n">
        <v>2858.762</v>
      </c>
      <c r="G277" t="n">
        <v>3499136</v>
      </c>
      <c r="H277" t="inlineStr">
        <is>
          <t>TUB-O-N-BOT-NR-FC-63.50X3.660X12.000</t>
        </is>
      </c>
    </row>
    <row r="278">
      <c r="A278" t="inlineStr">
        <is>
          <t>0000927112</t>
        </is>
      </c>
      <c r="B278" t="inlineStr">
        <is>
          <t>MAXTHERM BOILERS PRIVATE LIMITED</t>
        </is>
      </c>
      <c r="C278" t="inlineStr">
        <is>
          <t>NOS</t>
        </is>
      </c>
      <c r="D278" t="n">
        <v>35</v>
      </c>
      <c r="E278" t="n">
        <v>420.001</v>
      </c>
      <c r="F278" t="n">
        <v>2175.145</v>
      </c>
      <c r="G278" t="n">
        <v>3499136</v>
      </c>
      <c r="H278" t="inlineStr">
        <is>
          <t>TUB-O-N-BOT-NR-FC-63.50X3.660X12.000</t>
        </is>
      </c>
    </row>
    <row r="279">
      <c r="A279" t="inlineStr">
        <is>
          <t>0000927112</t>
        </is>
      </c>
      <c r="B279" t="inlineStr">
        <is>
          <t>MAXTHERM BOILERS PRIVATE LIMITED</t>
        </is>
      </c>
      <c r="C279" t="inlineStr">
        <is>
          <t>NOS</t>
        </is>
      </c>
      <c r="D279" t="n">
        <v>35</v>
      </c>
      <c r="E279" t="n">
        <v>420.001</v>
      </c>
      <c r="F279" t="n">
        <v>2175.145</v>
      </c>
      <c r="G279" t="n">
        <v>3499136</v>
      </c>
      <c r="H279" t="inlineStr">
        <is>
          <t>TUB-O-N-BOT-NR-FC-63.50X3.660X12.000</t>
        </is>
      </c>
    </row>
    <row r="280">
      <c r="A280" t="inlineStr">
        <is>
          <t>0000927112</t>
        </is>
      </c>
      <c r="B280" t="inlineStr">
        <is>
          <t>MAXTHERM BOILERS PRIVATE LIMITED</t>
        </is>
      </c>
      <c r="C280" t="inlineStr">
        <is>
          <t>NOS</t>
        </is>
      </c>
      <c r="D280" t="n">
        <v>18</v>
      </c>
      <c r="E280" t="n">
        <v>216.001</v>
      </c>
      <c r="F280" t="n">
        <v>1118.646</v>
      </c>
      <c r="G280" t="n">
        <v>3499136</v>
      </c>
      <c r="H280" t="inlineStr">
        <is>
          <t>TUB-O-N-BOT-NR-FC-63.50X3.660X12.000</t>
        </is>
      </c>
    </row>
    <row r="281">
      <c r="A281" t="inlineStr">
        <is>
          <t>0000943209</t>
        </is>
      </c>
      <c r="B281" t="inlineStr">
        <is>
          <t>MEGH STEELS PRIVATE LIMITED - TVS A</t>
        </is>
      </c>
      <c r="C281" t="inlineStr">
        <is>
          <t>KG</t>
        </is>
      </c>
      <c r="D281" t="n">
        <v>416</v>
      </c>
      <c r="E281" t="n">
        <v>2441.942</v>
      </c>
      <c r="F281" t="n">
        <v>1433.827</v>
      </c>
      <c r="G281" t="n">
        <v>3882110</v>
      </c>
      <c r="H281" t="inlineStr">
        <is>
          <t>TUB-O-N-AUT-AW-PE-22.20X1.200X5.8700</t>
        </is>
      </c>
    </row>
    <row r="282">
      <c r="A282" t="inlineStr">
        <is>
          <t>0000943209</t>
        </is>
      </c>
      <c r="B282" t="inlineStr">
        <is>
          <t>MEGH STEELS PRIVATE LIMITED - TVS A</t>
        </is>
      </c>
      <c r="C282" t="inlineStr">
        <is>
          <t>KG</t>
        </is>
      </c>
      <c r="D282" t="n">
        <v>420</v>
      </c>
      <c r="E282" t="n">
        <v>2465.423</v>
      </c>
      <c r="F282" t="n">
        <v>1447.614</v>
      </c>
      <c r="G282" t="n">
        <v>3882110</v>
      </c>
      <c r="H282" t="inlineStr">
        <is>
          <t>TUB-O-N-AUT-AW-PE-22.20X1.200X5.8700</t>
        </is>
      </c>
    </row>
    <row r="283">
      <c r="A283" t="inlineStr">
        <is>
          <t>0000943209</t>
        </is>
      </c>
      <c r="B283" t="inlineStr">
        <is>
          <t>MEGH STEELS PRIVATE LIMITED - TVS A</t>
        </is>
      </c>
      <c r="C283" t="inlineStr">
        <is>
          <t>KG</t>
        </is>
      </c>
      <c r="D283" t="n">
        <v>417</v>
      </c>
      <c r="E283" t="n">
        <v>2447.813</v>
      </c>
      <c r="F283" t="n">
        <v>1437.274</v>
      </c>
      <c r="G283" t="n">
        <v>3882110</v>
      </c>
      <c r="H283" t="inlineStr">
        <is>
          <t>TUB-O-N-AUT-AW-PE-22.20X1.200X5.8700</t>
        </is>
      </c>
    </row>
    <row r="284">
      <c r="A284" t="inlineStr">
        <is>
          <t>0000943209</t>
        </is>
      </c>
      <c r="B284" t="inlineStr">
        <is>
          <t>MEGH STEELS PRIVATE LIMITED - TVS A</t>
        </is>
      </c>
      <c r="C284" t="inlineStr">
        <is>
          <t>KG</t>
        </is>
      </c>
      <c r="D284" t="n">
        <v>444</v>
      </c>
      <c r="E284" t="n">
        <v>3107.989</v>
      </c>
      <c r="F284" t="n">
        <v>2952.866</v>
      </c>
      <c r="G284" t="n">
        <v>3500582</v>
      </c>
      <c r="H284" t="inlineStr">
        <is>
          <t>TUB-O-N-AUT-AW-PE-19.05X2.300X7.00-ERW 1</t>
        </is>
      </c>
    </row>
    <row r="285">
      <c r="A285" t="inlineStr">
        <is>
          <t>0000943209</t>
        </is>
      </c>
      <c r="B285" t="inlineStr">
        <is>
          <t>MEGH STEELS PRIVATE LIMITED - TVS A</t>
        </is>
      </c>
      <c r="C285" t="inlineStr">
        <is>
          <t>KG</t>
        </is>
      </c>
      <c r="D285" t="n">
        <v>419</v>
      </c>
      <c r="E285" t="n">
        <v>2493.462</v>
      </c>
      <c r="F285" t="n">
        <v>2428.189</v>
      </c>
      <c r="G285" t="n">
        <v>3905466</v>
      </c>
      <c r="H285" t="inlineStr">
        <is>
          <t>TUB-O-N-AUT-AW-PE-22.20X2.000X5.9510</t>
        </is>
      </c>
    </row>
    <row r="286">
      <c r="A286" t="inlineStr">
        <is>
          <t>0000943209</t>
        </is>
      </c>
      <c r="B286" t="inlineStr">
        <is>
          <t>MEGH STEELS PRIVATE LIMITED - TVS A</t>
        </is>
      </c>
      <c r="C286" t="inlineStr">
        <is>
          <t>KG</t>
        </is>
      </c>
      <c r="D286" t="n">
        <v>90</v>
      </c>
      <c r="E286" t="n">
        <v>535.501</v>
      </c>
      <c r="F286" t="n">
        <v>1735.29</v>
      </c>
      <c r="G286" t="n">
        <v>4045220</v>
      </c>
      <c r="H286" t="inlineStr">
        <is>
          <t>TUB-O-N-AUT-AW-FC-57.15X2.500X5.9500</t>
        </is>
      </c>
    </row>
    <row r="287">
      <c r="A287" t="inlineStr">
        <is>
          <t>0000943209</t>
        </is>
      </c>
      <c r="B287" t="inlineStr">
        <is>
          <t>MEGH STEELS PRIVATE LIMITED - TVS A</t>
        </is>
      </c>
      <c r="C287" t="inlineStr">
        <is>
          <t>KG</t>
        </is>
      </c>
      <c r="D287" t="n">
        <v>560</v>
      </c>
      <c r="E287" t="n">
        <v>3359.944</v>
      </c>
      <c r="F287" t="n">
        <v>2234.4</v>
      </c>
      <c r="G287" t="n">
        <v>3498997</v>
      </c>
      <c r="H287" t="inlineStr">
        <is>
          <t>TUB-O-N-AUT-AW-PE-19.05X1.60X6.000-ERW 1</t>
        </is>
      </c>
    </row>
    <row r="288">
      <c r="A288" t="inlineStr">
        <is>
          <t>0000943209</t>
        </is>
      </c>
      <c r="B288" t="inlineStr">
        <is>
          <t>MEGH STEELS PRIVATE LIMITED - TVS A</t>
        </is>
      </c>
      <c r="C288" t="inlineStr">
        <is>
          <t>KG</t>
        </is>
      </c>
      <c r="D288" t="n">
        <v>419</v>
      </c>
      <c r="E288" t="n">
        <v>2382.013</v>
      </c>
      <c r="F288" t="n">
        <v>1869.033</v>
      </c>
      <c r="G288" t="n">
        <v>4173571</v>
      </c>
      <c r="H288" t="inlineStr">
        <is>
          <t>TUB-O-N-AUT-AW-PE-22.20X1.600X5.6850</t>
        </is>
      </c>
    </row>
    <row r="289">
      <c r="A289" t="inlineStr">
        <is>
          <t>0000943209</t>
        </is>
      </c>
      <c r="B289" t="inlineStr">
        <is>
          <t>MEGH STEELS PRIVATE LIMITED - TVS A</t>
        </is>
      </c>
      <c r="C289" t="inlineStr">
        <is>
          <t>KG</t>
        </is>
      </c>
      <c r="D289" t="n">
        <v>350</v>
      </c>
      <c r="E289" t="n">
        <v>1935.529</v>
      </c>
      <c r="F289" t="n">
        <v>2634.835</v>
      </c>
      <c r="G289" t="n">
        <v>3502256</v>
      </c>
      <c r="H289" t="inlineStr">
        <is>
          <t>TUB-O-N-AUT-AW-PE-25.40X2.500X5.5300</t>
        </is>
      </c>
    </row>
    <row r="290">
      <c r="A290" t="inlineStr">
        <is>
          <t>0000943209</t>
        </is>
      </c>
      <c r="B290" t="inlineStr">
        <is>
          <t>MEGH STEELS PRIVATE LIMITED - TVS A</t>
        </is>
      </c>
      <c r="C290" t="inlineStr">
        <is>
          <t>KG</t>
        </is>
      </c>
      <c r="D290" t="n">
        <v>116</v>
      </c>
      <c r="E290" t="n">
        <v>695.979</v>
      </c>
      <c r="F290" t="n">
        <v>2354.916</v>
      </c>
      <c r="G290" t="n">
        <v>3500650</v>
      </c>
      <c r="H290" t="inlineStr">
        <is>
          <t>TUB-O-N-AUT-BH-FC-42.70X3.500X6.000</t>
        </is>
      </c>
    </row>
    <row r="291">
      <c r="A291" t="inlineStr">
        <is>
          <t>0000943209</t>
        </is>
      </c>
      <c r="B291" t="inlineStr">
        <is>
          <t>MEGH STEELS PRIVATE LIMITED - TVS A</t>
        </is>
      </c>
      <c r="C291" t="inlineStr">
        <is>
          <t>KG</t>
        </is>
      </c>
      <c r="D291" t="n">
        <v>219</v>
      </c>
      <c r="E291" t="n">
        <v>1355.561</v>
      </c>
      <c r="F291" t="n">
        <v>2864.301</v>
      </c>
      <c r="G291" t="n">
        <v>3502007</v>
      </c>
      <c r="H291" t="inlineStr">
        <is>
          <t>TUB-O-N-AUT-AH-FC-38.10X2.500X6.1900 HST</t>
        </is>
      </c>
    </row>
    <row r="292">
      <c r="A292" t="inlineStr">
        <is>
          <t>0000943209</t>
        </is>
      </c>
      <c r="B292" t="inlineStr">
        <is>
          <t>MEGH STEELS PRIVATE LIMITED - TVS A</t>
        </is>
      </c>
      <c r="C292" t="inlineStr">
        <is>
          <t>KG</t>
        </is>
      </c>
      <c r="D292" t="n">
        <v>216</v>
      </c>
      <c r="E292" t="n">
        <v>1336.992</v>
      </c>
      <c r="F292" t="n">
        <v>2825.064</v>
      </c>
      <c r="G292" t="n">
        <v>3502007</v>
      </c>
      <c r="H292" t="inlineStr">
        <is>
          <t>TUB-O-N-AUT-AH-FC-38.10X2.500X6.1900 HST</t>
        </is>
      </c>
    </row>
    <row r="293">
      <c r="A293" t="inlineStr">
        <is>
          <t>0000943209</t>
        </is>
      </c>
      <c r="B293" t="inlineStr">
        <is>
          <t>MEGH STEELS PRIVATE LIMITED - TVS A</t>
        </is>
      </c>
      <c r="C293" t="inlineStr">
        <is>
          <t>KG</t>
        </is>
      </c>
      <c r="D293" t="n">
        <v>88</v>
      </c>
      <c r="E293" t="n">
        <v>544.7</v>
      </c>
      <c r="F293" t="n">
        <v>1150.952</v>
      </c>
      <c r="G293" t="n">
        <v>3502007</v>
      </c>
      <c r="H293" t="inlineStr">
        <is>
          <t>TUB-O-N-AUT-AH-FC-38.10X2.500X6.1900 HST</t>
        </is>
      </c>
    </row>
    <row r="294">
      <c r="A294" t="inlineStr">
        <is>
          <t>0000943209</t>
        </is>
      </c>
      <c r="B294" t="inlineStr">
        <is>
          <t>MEGH STEELS PRIVATE LIMITED - TVS A</t>
        </is>
      </c>
      <c r="C294" t="inlineStr">
        <is>
          <t>KG</t>
        </is>
      </c>
      <c r="D294" t="n">
        <v>216</v>
      </c>
      <c r="E294" t="n">
        <v>1336.992</v>
      </c>
      <c r="F294" t="n">
        <v>2825.064</v>
      </c>
      <c r="G294" t="n">
        <v>3502007</v>
      </c>
      <c r="H294" t="inlineStr">
        <is>
          <t>TUB-O-N-AUT-AH-FC-38.10X2.500X6.1900 HST</t>
        </is>
      </c>
    </row>
    <row r="295">
      <c r="A295" t="inlineStr">
        <is>
          <t>0000187765</t>
        </is>
      </c>
      <c r="B295" t="inlineStr">
        <is>
          <t>Ttp Technologies Private Ltd</t>
        </is>
      </c>
      <c r="C295" t="inlineStr">
        <is>
          <t>KG</t>
        </is>
      </c>
      <c r="D295" t="n">
        <v>38</v>
      </c>
      <c r="E295" t="n">
        <v>229.602</v>
      </c>
      <c r="F295" t="n">
        <v>1530</v>
      </c>
      <c r="G295" t="n">
        <v>3702274</v>
      </c>
      <c r="H295" t="inlineStr">
        <is>
          <t>TUB-O-N-GEN-AW-FC-88.90X3.200X6.0000</t>
        </is>
      </c>
    </row>
    <row r="296">
      <c r="A296" t="inlineStr">
        <is>
          <t>0000187765</t>
        </is>
      </c>
      <c r="B296" t="inlineStr">
        <is>
          <t>Ttp Technologies Private Ltd</t>
        </is>
      </c>
      <c r="C296" t="inlineStr">
        <is>
          <t>KG</t>
        </is>
      </c>
      <c r="D296" t="n">
        <v>38</v>
      </c>
      <c r="E296" t="n">
        <v>229.602</v>
      </c>
      <c r="F296" t="n">
        <v>1530</v>
      </c>
      <c r="G296" t="n">
        <v>3702274</v>
      </c>
      <c r="H296" t="inlineStr">
        <is>
          <t>TUB-O-N-GEN-AW-FC-88.90X3.200X6.0000</t>
        </is>
      </c>
    </row>
    <row r="297">
      <c r="A297" t="inlineStr">
        <is>
          <t>0000187765</t>
        </is>
      </c>
      <c r="B297" t="inlineStr">
        <is>
          <t>Ttp Technologies Private Ltd</t>
        </is>
      </c>
      <c r="C297" t="inlineStr">
        <is>
          <t>KG</t>
        </is>
      </c>
      <c r="D297" t="n">
        <v>38</v>
      </c>
      <c r="E297" t="n">
        <v>229.602</v>
      </c>
      <c r="F297" t="n">
        <v>1530</v>
      </c>
      <c r="G297" t="n">
        <v>3702274</v>
      </c>
      <c r="H297" t="inlineStr">
        <is>
          <t>TUB-O-N-GEN-AW-FC-88.90X3.200X6.0000</t>
        </is>
      </c>
    </row>
    <row r="298">
      <c r="A298" t="inlineStr">
        <is>
          <t>0000187765</t>
        </is>
      </c>
      <c r="B298" t="inlineStr">
        <is>
          <t>Ttp Technologies Private Ltd</t>
        </is>
      </c>
      <c r="C298" t="inlineStr">
        <is>
          <t>KG</t>
        </is>
      </c>
      <c r="D298" t="n">
        <v>7</v>
      </c>
      <c r="E298" t="n">
        <v>43.519</v>
      </c>
      <c r="F298" t="n">
        <v>290</v>
      </c>
      <c r="G298" t="n">
        <v>3702274</v>
      </c>
      <c r="H298" t="inlineStr">
        <is>
          <t>TUB-O-N-GEN-AW-FC-88.90X3.200X6.0000</t>
        </is>
      </c>
    </row>
    <row r="299">
      <c r="A299" t="inlineStr">
        <is>
          <t>0000187765</t>
        </is>
      </c>
      <c r="B299" t="inlineStr">
        <is>
          <t>Ttp Technologies Private Ltd</t>
        </is>
      </c>
      <c r="C299" t="inlineStr">
        <is>
          <t>KG</t>
        </is>
      </c>
      <c r="D299" t="n">
        <v>20</v>
      </c>
      <c r="E299" t="n">
        <v>119.016</v>
      </c>
      <c r="F299" t="n">
        <v>1028</v>
      </c>
      <c r="G299" t="n">
        <v>3702253</v>
      </c>
      <c r="H299" t="inlineStr">
        <is>
          <t>TUB-O-N-GEN-AW-FC-114.30X3.200X6.0000</t>
        </is>
      </c>
    </row>
    <row r="300">
      <c r="A300" t="inlineStr">
        <is>
          <t>0000187765</t>
        </is>
      </c>
      <c r="B300" t="inlineStr">
        <is>
          <t>Ttp Technologies Private Ltd</t>
        </is>
      </c>
      <c r="C300" t="inlineStr">
        <is>
          <t>KG</t>
        </is>
      </c>
      <c r="D300" t="n">
        <v>10</v>
      </c>
      <c r="E300" t="n">
        <v>58.119</v>
      </c>
      <c r="F300" t="n">
        <v>502</v>
      </c>
      <c r="G300" t="n">
        <v>3702253</v>
      </c>
      <c r="H300" t="inlineStr">
        <is>
          <t>TUB-O-N-GEN-AW-FC-114.30X3.200X6.0000</t>
        </is>
      </c>
    </row>
    <row r="301">
      <c r="A301" t="inlineStr">
        <is>
          <t>0000187765</t>
        </is>
      </c>
      <c r="B301" t="inlineStr">
        <is>
          <t>Ttp Technologies Private Ltd</t>
        </is>
      </c>
      <c r="C301" t="inlineStr">
        <is>
          <t>KG</t>
        </is>
      </c>
      <c r="D301" t="n">
        <v>20</v>
      </c>
      <c r="E301" t="n">
        <v>119.016</v>
      </c>
      <c r="F301" t="n">
        <v>1028</v>
      </c>
      <c r="G301" t="n">
        <v>3702253</v>
      </c>
      <c r="H301" t="inlineStr">
        <is>
          <t>TUB-O-N-GEN-AW-FC-114.30X3.200X6.0000</t>
        </is>
      </c>
    </row>
    <row r="302">
      <c r="A302" t="inlineStr">
        <is>
          <t>0000187765</t>
        </is>
      </c>
      <c r="B302" t="inlineStr">
        <is>
          <t>Ttp Technologies Private Ltd</t>
        </is>
      </c>
      <c r="C302" t="inlineStr">
        <is>
          <t>KG</t>
        </is>
      </c>
      <c r="D302" t="n">
        <v>20</v>
      </c>
      <c r="E302" t="n">
        <v>119.016</v>
      </c>
      <c r="F302" t="n">
        <v>1028</v>
      </c>
      <c r="G302" t="n">
        <v>3702253</v>
      </c>
      <c r="H302" t="inlineStr">
        <is>
          <t>TUB-O-N-GEN-AW-FC-114.30X3.200X6.0000</t>
        </is>
      </c>
    </row>
    <row r="303">
      <c r="A303" t="inlineStr">
        <is>
          <t>0000187765</t>
        </is>
      </c>
      <c r="B303" t="inlineStr">
        <is>
          <t>Ttp Technologies Private Ltd</t>
        </is>
      </c>
      <c r="C303" t="inlineStr">
        <is>
          <t>KG</t>
        </is>
      </c>
      <c r="D303" t="n">
        <v>20</v>
      </c>
      <c r="E303" t="n">
        <v>119.016</v>
      </c>
      <c r="F303" t="n">
        <v>1028</v>
      </c>
      <c r="G303" t="n">
        <v>3702253</v>
      </c>
      <c r="H303" t="inlineStr">
        <is>
          <t>TUB-O-N-GEN-AW-FC-114.30X3.200X6.0000</t>
        </is>
      </c>
    </row>
    <row r="304">
      <c r="A304" t="inlineStr">
        <is>
          <t>0000187765</t>
        </is>
      </c>
      <c r="B304" t="inlineStr">
        <is>
          <t>Ttp Technologies Private Ltd</t>
        </is>
      </c>
      <c r="C304" t="inlineStr">
        <is>
          <t>KG</t>
        </is>
      </c>
      <c r="D304" t="n">
        <v>20</v>
      </c>
      <c r="E304" t="n">
        <v>119.016</v>
      </c>
      <c r="F304" t="n">
        <v>1028</v>
      </c>
      <c r="G304" t="n">
        <v>3702253</v>
      </c>
      <c r="H304" t="inlineStr">
        <is>
          <t>TUB-O-N-GEN-AW-FC-114.30X3.200X6.0000</t>
        </is>
      </c>
    </row>
    <row r="305">
      <c r="A305" t="inlineStr">
        <is>
          <t>0000187765</t>
        </is>
      </c>
      <c r="B305" t="inlineStr">
        <is>
          <t>Ttp Technologies Private Ltd</t>
        </is>
      </c>
      <c r="C305" t="inlineStr">
        <is>
          <t>KG</t>
        </is>
      </c>
      <c r="D305" t="n">
        <v>38</v>
      </c>
      <c r="E305" t="n">
        <v>229.713</v>
      </c>
      <c r="F305" t="n">
        <v>2107</v>
      </c>
      <c r="G305" t="n">
        <v>3702251</v>
      </c>
      <c r="H305" t="inlineStr">
        <is>
          <t>TUB-O-N-GEN-AW-FC-88.90X4.500X6.0000</t>
        </is>
      </c>
    </row>
    <row r="306">
      <c r="A306" t="inlineStr">
        <is>
          <t>0000187765</t>
        </is>
      </c>
      <c r="B306" t="inlineStr">
        <is>
          <t>Ttp Technologies Private Ltd</t>
        </is>
      </c>
      <c r="C306" t="inlineStr">
        <is>
          <t>KG</t>
        </is>
      </c>
      <c r="D306" t="n">
        <v>38</v>
      </c>
      <c r="E306" t="n">
        <v>229.713</v>
      </c>
      <c r="F306" t="n">
        <v>2107</v>
      </c>
      <c r="G306" t="n">
        <v>3702251</v>
      </c>
      <c r="H306" t="inlineStr">
        <is>
          <t>TUB-O-N-GEN-AW-FC-88.90X4.500X6.0000</t>
        </is>
      </c>
    </row>
    <row r="307">
      <c r="A307" t="inlineStr">
        <is>
          <t>0000187765</t>
        </is>
      </c>
      <c r="B307" t="inlineStr">
        <is>
          <t>Ttp Technologies Private Ltd</t>
        </is>
      </c>
      <c r="C307" t="inlineStr">
        <is>
          <t>KG</t>
        </is>
      </c>
      <c r="D307" t="n">
        <v>38</v>
      </c>
      <c r="E307" t="n">
        <v>229.713</v>
      </c>
      <c r="F307" t="n">
        <v>2107</v>
      </c>
      <c r="G307" t="n">
        <v>3702251</v>
      </c>
      <c r="H307" t="inlineStr">
        <is>
          <t>TUB-O-N-GEN-AW-FC-88.90X4.500X6.0000</t>
        </is>
      </c>
    </row>
    <row r="308">
      <c r="A308" t="inlineStr">
        <is>
          <t>0000187765</t>
        </is>
      </c>
      <c r="B308" t="inlineStr">
        <is>
          <t>Ttp Technologies Private Ltd</t>
        </is>
      </c>
      <c r="C308" t="inlineStr">
        <is>
          <t>KG</t>
        </is>
      </c>
      <c r="D308" t="n">
        <v>38</v>
      </c>
      <c r="E308" t="n">
        <v>229.713</v>
      </c>
      <c r="F308" t="n">
        <v>2107</v>
      </c>
      <c r="G308" t="n">
        <v>3702251</v>
      </c>
      <c r="H308" t="inlineStr">
        <is>
          <t>TUB-O-N-GEN-AW-FC-88.90X4.500X6.0000</t>
        </is>
      </c>
    </row>
    <row r="309">
      <c r="A309" t="inlineStr">
        <is>
          <t>0000187765</t>
        </is>
      </c>
      <c r="B309" t="inlineStr">
        <is>
          <t>Ttp Technologies Private Ltd</t>
        </is>
      </c>
      <c r="C309" t="inlineStr">
        <is>
          <t>KG</t>
        </is>
      </c>
      <c r="D309" t="n">
        <v>38</v>
      </c>
      <c r="E309" t="n">
        <v>227.501</v>
      </c>
      <c r="F309" t="n">
        <v>1516</v>
      </c>
      <c r="G309" t="n">
        <v>3702274</v>
      </c>
      <c r="H309" t="inlineStr">
        <is>
          <t>TUB-O-N-GEN-AW-FC-88.90X3.200X6.0000</t>
        </is>
      </c>
    </row>
    <row r="310">
      <c r="A310" t="inlineStr">
        <is>
          <t>0000187765</t>
        </is>
      </c>
      <c r="B310" t="inlineStr">
        <is>
          <t>Ttp Technologies Private Ltd</t>
        </is>
      </c>
      <c r="C310" t="inlineStr">
        <is>
          <t>KG</t>
        </is>
      </c>
      <c r="D310" t="n">
        <v>38</v>
      </c>
      <c r="E310" t="n">
        <v>227.501</v>
      </c>
      <c r="F310" t="n">
        <v>1516</v>
      </c>
      <c r="G310" t="n">
        <v>3702274</v>
      </c>
      <c r="H310" t="inlineStr">
        <is>
          <t>TUB-O-N-GEN-AW-FC-88.90X3.200X6.0000</t>
        </is>
      </c>
    </row>
    <row r="311">
      <c r="A311" t="inlineStr">
        <is>
          <t>0000187765</t>
        </is>
      </c>
      <c r="B311" t="inlineStr">
        <is>
          <t>Ttp Technologies Private Ltd</t>
        </is>
      </c>
      <c r="C311" t="inlineStr">
        <is>
          <t>KG</t>
        </is>
      </c>
      <c r="D311" t="n">
        <v>38</v>
      </c>
      <c r="E311" t="n">
        <v>227.501</v>
      </c>
      <c r="F311" t="n">
        <v>1516</v>
      </c>
      <c r="G311" t="n">
        <v>3702274</v>
      </c>
      <c r="H311" t="inlineStr">
        <is>
          <t>TUB-O-N-GEN-AW-FC-88.90X3.200X6.0000</t>
        </is>
      </c>
    </row>
    <row r="312">
      <c r="A312" t="inlineStr">
        <is>
          <t>0000187765</t>
        </is>
      </c>
      <c r="B312" t="inlineStr">
        <is>
          <t>Ttp Technologies Private Ltd</t>
        </is>
      </c>
      <c r="C312" t="inlineStr">
        <is>
          <t>KG</t>
        </is>
      </c>
      <c r="D312" t="n">
        <v>38</v>
      </c>
      <c r="E312" t="n">
        <v>227.501</v>
      </c>
      <c r="F312" t="n">
        <v>1516</v>
      </c>
      <c r="G312" t="n">
        <v>3702274</v>
      </c>
      <c r="H312" t="inlineStr">
        <is>
          <t>TUB-O-N-GEN-AW-FC-88.90X3.200X6.0000</t>
        </is>
      </c>
    </row>
    <row r="313">
      <c r="A313" t="inlineStr">
        <is>
          <t>0000187765</t>
        </is>
      </c>
      <c r="B313" t="inlineStr">
        <is>
          <t>Ttp Technologies Private Ltd</t>
        </is>
      </c>
      <c r="C313" t="inlineStr">
        <is>
          <t>KG</t>
        </is>
      </c>
      <c r="D313" t="n">
        <v>38</v>
      </c>
      <c r="E313" t="n">
        <v>227.501</v>
      </c>
      <c r="F313" t="n">
        <v>1516</v>
      </c>
      <c r="G313" t="n">
        <v>3702274</v>
      </c>
      <c r="H313" t="inlineStr">
        <is>
          <t>TUB-O-N-GEN-AW-FC-88.90X3.200X6.0000</t>
        </is>
      </c>
    </row>
    <row r="314">
      <c r="A314" t="inlineStr">
        <is>
          <t>0000187765</t>
        </is>
      </c>
      <c r="B314" t="inlineStr">
        <is>
          <t>Ttp Technologies Private Ltd</t>
        </is>
      </c>
      <c r="C314" t="inlineStr">
        <is>
          <t>KG</t>
        </is>
      </c>
      <c r="D314" t="n">
        <v>38</v>
      </c>
      <c r="E314" t="n">
        <v>227.501</v>
      </c>
      <c r="F314" t="n">
        <v>1516</v>
      </c>
      <c r="G314" t="n">
        <v>3702274</v>
      </c>
      <c r="H314" t="inlineStr">
        <is>
          <t>TUB-O-N-GEN-AW-FC-88.90X3.200X6.0000</t>
        </is>
      </c>
    </row>
    <row r="315">
      <c r="A315" t="inlineStr">
        <is>
          <t>0000187765</t>
        </is>
      </c>
      <c r="B315" t="inlineStr">
        <is>
          <t>Ttp Technologies Private Ltd</t>
        </is>
      </c>
      <c r="C315" t="inlineStr">
        <is>
          <t>KG</t>
        </is>
      </c>
      <c r="D315" t="n">
        <v>38</v>
      </c>
      <c r="E315" t="n">
        <v>227.801</v>
      </c>
      <c r="F315" t="n">
        <v>1518</v>
      </c>
      <c r="G315" t="n">
        <v>3702274</v>
      </c>
      <c r="H315" t="inlineStr">
        <is>
          <t>TUB-O-N-GEN-AW-FC-88.90X3.200X6.0000</t>
        </is>
      </c>
    </row>
    <row r="316">
      <c r="A316" t="inlineStr">
        <is>
          <t>0000187765</t>
        </is>
      </c>
      <c r="B316" t="inlineStr">
        <is>
          <t>Ttp Technologies Private Ltd</t>
        </is>
      </c>
      <c r="C316" t="inlineStr">
        <is>
          <t>KG</t>
        </is>
      </c>
      <c r="D316" t="n">
        <v>44</v>
      </c>
      <c r="E316" t="n">
        <v>263.967</v>
      </c>
      <c r="F316" t="n">
        <v>1759</v>
      </c>
      <c r="G316" t="n">
        <v>3702274</v>
      </c>
      <c r="H316" t="inlineStr">
        <is>
          <t>TUB-O-N-GEN-AW-FC-88.90X3.200X6.0000</t>
        </is>
      </c>
    </row>
    <row r="317">
      <c r="A317" t="inlineStr">
        <is>
          <t>0000187765</t>
        </is>
      </c>
      <c r="B317" t="inlineStr">
        <is>
          <t>Ttp Technologies Private Ltd</t>
        </is>
      </c>
      <c r="C317" t="inlineStr">
        <is>
          <t>KG</t>
        </is>
      </c>
      <c r="D317" t="n">
        <v>56</v>
      </c>
      <c r="E317" t="n">
        <v>337.05</v>
      </c>
      <c r="F317" t="n">
        <v>2246</v>
      </c>
      <c r="G317" t="n">
        <v>3702274</v>
      </c>
      <c r="H317" t="inlineStr">
        <is>
          <t>TUB-O-N-GEN-AW-FC-88.90X3.200X6.0000</t>
        </is>
      </c>
    </row>
    <row r="318">
      <c r="A318" t="inlineStr">
        <is>
          <t>0000187765</t>
        </is>
      </c>
      <c r="B318" t="inlineStr">
        <is>
          <t>Ttp Technologies Private Ltd</t>
        </is>
      </c>
      <c r="C318" t="inlineStr">
        <is>
          <t>KG</t>
        </is>
      </c>
      <c r="D318" t="n">
        <v>59</v>
      </c>
      <c r="E318" t="n">
        <v>355.208</v>
      </c>
      <c r="F318" t="n">
        <v>2367</v>
      </c>
      <c r="G318" t="n">
        <v>3702274</v>
      </c>
      <c r="H318" t="inlineStr">
        <is>
          <t>TUB-O-N-GEN-AW-FC-88.90X3.200X6.0000</t>
        </is>
      </c>
    </row>
    <row r="319">
      <c r="A319" t="inlineStr">
        <is>
          <t>0000187765</t>
        </is>
      </c>
      <c r="B319" t="inlineStr">
        <is>
          <t>Ttp Technologies Private Ltd</t>
        </is>
      </c>
      <c r="C319" t="inlineStr">
        <is>
          <t>KG</t>
        </is>
      </c>
      <c r="D319" t="n">
        <v>23</v>
      </c>
      <c r="E319" t="n">
        <v>135.572</v>
      </c>
      <c r="F319" t="n">
        <v>1171</v>
      </c>
      <c r="G319" t="n">
        <v>3702253</v>
      </c>
      <c r="H319" t="inlineStr">
        <is>
          <t>TUB-O-N-GEN-AW-FC-114.30X3.200X6.0000</t>
        </is>
      </c>
    </row>
    <row r="320">
      <c r="A320" t="inlineStr">
        <is>
          <t>0000187765</t>
        </is>
      </c>
      <c r="B320" t="inlineStr">
        <is>
          <t>Ttp Technologies Private Ltd</t>
        </is>
      </c>
      <c r="C320" t="inlineStr">
        <is>
          <t>KG</t>
        </is>
      </c>
      <c r="D320" t="n">
        <v>27</v>
      </c>
      <c r="E320" t="n">
        <v>160</v>
      </c>
      <c r="F320" t="n">
        <v>1382</v>
      </c>
      <c r="G320" t="n">
        <v>3702253</v>
      </c>
      <c r="H320" t="inlineStr">
        <is>
          <t>TUB-O-N-GEN-AW-FC-114.30X3.200X6.0000</t>
        </is>
      </c>
    </row>
    <row r="321">
      <c r="A321" t="inlineStr">
        <is>
          <t>0000187765</t>
        </is>
      </c>
      <c r="B321" t="inlineStr">
        <is>
          <t>Ttp Technologies Private Ltd</t>
        </is>
      </c>
      <c r="C321" t="inlineStr">
        <is>
          <t>KG</t>
        </is>
      </c>
      <c r="D321" t="n">
        <v>42</v>
      </c>
      <c r="E321" t="n">
        <v>251.346</v>
      </c>
      <c r="F321" t="n">
        <v>2171</v>
      </c>
      <c r="G321" t="n">
        <v>3702253</v>
      </c>
      <c r="H321" t="inlineStr">
        <is>
          <t>TUB-O-N-GEN-AW-FC-114.30X3.200X6.0000</t>
        </is>
      </c>
    </row>
    <row r="322">
      <c r="A322" t="inlineStr">
        <is>
          <t>0000188170</t>
        </is>
      </c>
      <c r="B322" t="inlineStr">
        <is>
          <t>A.S.(E) Exports Pvt.Ltd.</t>
        </is>
      </c>
      <c r="C322" t="inlineStr">
        <is>
          <t>M</t>
        </is>
      </c>
      <c r="D322" t="n">
        <v>319</v>
      </c>
      <c r="E322" t="n">
        <v>1914</v>
      </c>
      <c r="F322" t="n">
        <v>1699.823</v>
      </c>
      <c r="G322" t="n">
        <v>2386079</v>
      </c>
      <c r="H322" t="inlineStr">
        <is>
          <t>TUB-O-C-CEW-AD-FC-37.00X1.000X6.0000</t>
        </is>
      </c>
    </row>
    <row r="323">
      <c r="A323" t="inlineStr">
        <is>
          <t>0000188170</t>
        </is>
      </c>
      <c r="B323" t="inlineStr">
        <is>
          <t>A.S.(E) Exports Pvt.Ltd.</t>
        </is>
      </c>
      <c r="C323" t="inlineStr">
        <is>
          <t>M</t>
        </is>
      </c>
      <c r="D323" t="n">
        <v>212</v>
      </c>
      <c r="E323" t="n">
        <v>1272</v>
      </c>
      <c r="F323" t="n">
        <v>1129.663</v>
      </c>
      <c r="G323" t="n">
        <v>2386079</v>
      </c>
      <c r="H323" t="inlineStr">
        <is>
          <t>TUB-O-C-CEW-AD-FC-37.00X1.000X6.0000</t>
        </is>
      </c>
    </row>
    <row r="324">
      <c r="A324" t="inlineStr">
        <is>
          <t>0000188170</t>
        </is>
      </c>
      <c r="B324" t="inlineStr">
        <is>
          <t>A.S.(E) Exports Pvt.Ltd.</t>
        </is>
      </c>
      <c r="C324" t="inlineStr">
        <is>
          <t>M</t>
        </is>
      </c>
      <c r="D324" t="n">
        <v>300</v>
      </c>
      <c r="E324" t="n">
        <v>1800</v>
      </c>
      <c r="F324" t="n">
        <v>1598.58</v>
      </c>
      <c r="G324" t="n">
        <v>2386079</v>
      </c>
      <c r="H324" t="inlineStr">
        <is>
          <t>TUB-O-C-CEW-AD-FC-37.00X1.000X6.0000</t>
        </is>
      </c>
    </row>
    <row r="325">
      <c r="A325" t="inlineStr">
        <is>
          <t>0000188170</t>
        </is>
      </c>
      <c r="B325" t="inlineStr">
        <is>
          <t>A.S.(E) Exports Pvt.Ltd.</t>
        </is>
      </c>
      <c r="C325" t="inlineStr">
        <is>
          <t>M</t>
        </is>
      </c>
      <c r="D325" t="n">
        <v>115</v>
      </c>
      <c r="E325" t="n">
        <v>690</v>
      </c>
      <c r="F325" t="n">
        <v>612.789</v>
      </c>
      <c r="G325" t="n">
        <v>2386079</v>
      </c>
      <c r="H325" t="inlineStr">
        <is>
          <t>TUB-O-C-CEW-AD-FC-37.00X1.000X6.0000</t>
        </is>
      </c>
    </row>
    <row r="326">
      <c r="A326" t="inlineStr">
        <is>
          <t>0000188170</t>
        </is>
      </c>
      <c r="B326" t="inlineStr">
        <is>
          <t>A.S.(E) Exports Pvt.Ltd.</t>
        </is>
      </c>
      <c r="C326" t="inlineStr">
        <is>
          <t>M</t>
        </is>
      </c>
      <c r="D326" t="n">
        <v>244</v>
      </c>
      <c r="E326" t="n">
        <v>1464</v>
      </c>
      <c r="F326" t="n">
        <v>1300.178</v>
      </c>
      <c r="G326" t="n">
        <v>2386079</v>
      </c>
      <c r="H326" t="inlineStr">
        <is>
          <t>TUB-O-C-CEW-AD-FC-37.00X1.000X6.0000</t>
        </is>
      </c>
    </row>
    <row r="327">
      <c r="A327" t="inlineStr">
        <is>
          <t>0000188170</t>
        </is>
      </c>
      <c r="B327" t="inlineStr">
        <is>
          <t>A.S.(E) Exports Pvt.Ltd.</t>
        </is>
      </c>
      <c r="C327" t="inlineStr">
        <is>
          <t>M</t>
        </is>
      </c>
      <c r="D327" t="n">
        <v>120</v>
      </c>
      <c r="E327" t="n">
        <v>720</v>
      </c>
      <c r="F327" t="n">
        <v>639.432</v>
      </c>
      <c r="G327" t="n">
        <v>2386079</v>
      </c>
      <c r="H327" t="inlineStr">
        <is>
          <t>TUB-O-C-CEW-AD-FC-37.00X1.000X6.0000</t>
        </is>
      </c>
    </row>
    <row r="328">
      <c r="A328" t="inlineStr">
        <is>
          <t>0000188170</t>
        </is>
      </c>
      <c r="B328" t="inlineStr">
        <is>
          <t>A.S.(E) Exports Pvt.Ltd.</t>
        </is>
      </c>
      <c r="C328" t="inlineStr">
        <is>
          <t>M</t>
        </is>
      </c>
      <c r="D328" t="n">
        <v>261</v>
      </c>
      <c r="E328" t="n">
        <v>1566</v>
      </c>
      <c r="F328" t="n">
        <v>1390.765</v>
      </c>
      <c r="G328" t="n">
        <v>2386079</v>
      </c>
      <c r="H328" t="inlineStr">
        <is>
          <t>TUB-O-C-CEW-AD-FC-37.00X1.000X6.0000</t>
        </is>
      </c>
    </row>
    <row r="329">
      <c r="A329" t="inlineStr">
        <is>
          <t>0000188170</t>
        </is>
      </c>
      <c r="B329" t="inlineStr">
        <is>
          <t>A.S.(E) Exports Pvt.Ltd.</t>
        </is>
      </c>
      <c r="C329" t="inlineStr">
        <is>
          <t>M</t>
        </is>
      </c>
      <c r="D329" t="n">
        <v>160</v>
      </c>
      <c r="E329" t="n">
        <v>960</v>
      </c>
      <c r="F329" t="n">
        <v>852.576</v>
      </c>
      <c r="G329" t="n">
        <v>2386079</v>
      </c>
      <c r="H329" t="inlineStr">
        <is>
          <t>TUB-O-C-CEW-AD-FC-37.00X1.000X6.0000</t>
        </is>
      </c>
    </row>
    <row r="330">
      <c r="A330" t="inlineStr">
        <is>
          <t>0000188170</t>
        </is>
      </c>
      <c r="B330" t="inlineStr">
        <is>
          <t>A.S.(E) Exports Pvt.Ltd.</t>
        </is>
      </c>
      <c r="C330" t="inlineStr">
        <is>
          <t>M</t>
        </is>
      </c>
      <c r="D330" t="n">
        <v>192</v>
      </c>
      <c r="E330" t="n">
        <v>1152</v>
      </c>
      <c r="F330" t="n">
        <v>1023.091</v>
      </c>
      <c r="G330" t="n">
        <v>2386079</v>
      </c>
      <c r="H330" t="inlineStr">
        <is>
          <t>TUB-O-C-CEW-AD-FC-37.00X1.000X6.0000</t>
        </is>
      </c>
    </row>
    <row r="331">
      <c r="A331" t="inlineStr">
        <is>
          <t>0000188170</t>
        </is>
      </c>
      <c r="B331" t="inlineStr">
        <is>
          <t>A.S.(E) Exports Pvt.Ltd.</t>
        </is>
      </c>
      <c r="C331" t="inlineStr">
        <is>
          <t>M</t>
        </is>
      </c>
      <c r="D331" t="n">
        <v>192</v>
      </c>
      <c r="E331" t="n">
        <v>1152</v>
      </c>
      <c r="F331" t="n">
        <v>1023.091</v>
      </c>
      <c r="G331" t="n">
        <v>2386079</v>
      </c>
      <c r="H331" t="inlineStr">
        <is>
          <t>TUB-O-C-CEW-AD-FC-37.00X1.000X6.0000</t>
        </is>
      </c>
    </row>
    <row r="332">
      <c r="A332" t="inlineStr">
        <is>
          <t>0000188170</t>
        </is>
      </c>
      <c r="B332" t="inlineStr">
        <is>
          <t>A.S.(E) Exports Pvt.Ltd.</t>
        </is>
      </c>
      <c r="C332" t="inlineStr">
        <is>
          <t>M</t>
        </is>
      </c>
      <c r="D332" t="n">
        <v>170</v>
      </c>
      <c r="E332" t="n">
        <v>1020</v>
      </c>
      <c r="F332" t="n">
        <v>905.862</v>
      </c>
      <c r="G332" t="n">
        <v>2386079</v>
      </c>
      <c r="H332" t="inlineStr">
        <is>
          <t>TUB-O-C-CEW-AD-FC-37.00X1.000X6.0000</t>
        </is>
      </c>
    </row>
    <row r="333">
      <c r="A333" t="inlineStr">
        <is>
          <t>0000188170</t>
        </is>
      </c>
      <c r="B333" t="inlineStr">
        <is>
          <t>A.S.(E) Exports Pvt.Ltd.</t>
        </is>
      </c>
      <c r="C333" t="inlineStr">
        <is>
          <t>M</t>
        </is>
      </c>
      <c r="D333" t="n">
        <v>332</v>
      </c>
      <c r="E333" t="n">
        <v>1992</v>
      </c>
      <c r="F333" t="n">
        <v>1769.095</v>
      </c>
      <c r="G333" t="n">
        <v>2386079</v>
      </c>
      <c r="H333" t="inlineStr">
        <is>
          <t>TUB-O-C-CEW-AD-FC-37.00X1.000X6.0000</t>
        </is>
      </c>
    </row>
    <row r="334">
      <c r="A334" t="inlineStr">
        <is>
          <t>0000188170</t>
        </is>
      </c>
      <c r="B334" t="inlineStr">
        <is>
          <t>A.S.(E) Exports Pvt.Ltd.</t>
        </is>
      </c>
      <c r="C334" t="inlineStr">
        <is>
          <t>M</t>
        </is>
      </c>
      <c r="D334" t="n">
        <v>308</v>
      </c>
      <c r="E334" t="n">
        <v>1848</v>
      </c>
      <c r="F334" t="n">
        <v>1641.209</v>
      </c>
      <c r="G334" t="n">
        <v>2386079</v>
      </c>
      <c r="H334" t="inlineStr">
        <is>
          <t>TUB-O-C-CEW-AD-FC-37.00X1.000X6.0000</t>
        </is>
      </c>
    </row>
    <row r="335">
      <c r="A335" t="inlineStr">
        <is>
          <t>0000187765</t>
        </is>
      </c>
      <c r="B335" t="inlineStr">
        <is>
          <t>Ttp Technologies Private Ltd</t>
        </is>
      </c>
      <c r="C335" t="inlineStr">
        <is>
          <t>KG</t>
        </is>
      </c>
      <c r="D335" t="n">
        <v>38</v>
      </c>
      <c r="E335" t="n">
        <v>229.002</v>
      </c>
      <c r="F335" t="n">
        <v>1526</v>
      </c>
      <c r="G335" t="n">
        <v>3702274</v>
      </c>
      <c r="H335" t="inlineStr">
        <is>
          <t>TUB-O-N-GEN-AW-FC-88.90X3.200X6.0000</t>
        </is>
      </c>
    </row>
    <row r="336">
      <c r="A336" t="inlineStr">
        <is>
          <t>0000187765</t>
        </is>
      </c>
      <c r="B336" t="inlineStr">
        <is>
          <t>Ttp Technologies Private Ltd</t>
        </is>
      </c>
      <c r="C336" t="inlineStr">
        <is>
          <t>KG</t>
        </is>
      </c>
      <c r="D336" t="n">
        <v>38</v>
      </c>
      <c r="E336" t="n">
        <v>229.002</v>
      </c>
      <c r="F336" t="n">
        <v>1526</v>
      </c>
      <c r="G336" t="n">
        <v>3702274</v>
      </c>
      <c r="H336" t="inlineStr">
        <is>
          <t>TUB-O-N-GEN-AW-FC-88.90X3.200X6.0000</t>
        </is>
      </c>
    </row>
    <row r="337">
      <c r="A337" t="inlineStr">
        <is>
          <t>0000187765</t>
        </is>
      </c>
      <c r="B337" t="inlineStr">
        <is>
          <t>Ttp Technologies Private Ltd</t>
        </is>
      </c>
      <c r="C337" t="inlineStr">
        <is>
          <t>KG</t>
        </is>
      </c>
      <c r="D337" t="n">
        <v>38</v>
      </c>
      <c r="E337" t="n">
        <v>229.002</v>
      </c>
      <c r="F337" t="n">
        <v>1526</v>
      </c>
      <c r="G337" t="n">
        <v>3702274</v>
      </c>
      <c r="H337" t="inlineStr">
        <is>
          <t>TUB-O-N-GEN-AW-FC-88.90X3.200X6.0000</t>
        </is>
      </c>
    </row>
    <row r="338">
      <c r="A338" t="inlineStr">
        <is>
          <t>0000187765</t>
        </is>
      </c>
      <c r="B338" t="inlineStr">
        <is>
          <t>Ttp Technologies Private Ltd</t>
        </is>
      </c>
      <c r="C338" t="inlineStr">
        <is>
          <t>KG</t>
        </is>
      </c>
      <c r="D338" t="n">
        <v>38</v>
      </c>
      <c r="E338" t="n">
        <v>229.002</v>
      </c>
      <c r="F338" t="n">
        <v>1526</v>
      </c>
      <c r="G338" t="n">
        <v>3702274</v>
      </c>
      <c r="H338" t="inlineStr">
        <is>
          <t>TUB-O-N-GEN-AW-FC-88.90X3.200X6.0000</t>
        </is>
      </c>
    </row>
    <row r="339">
      <c r="A339" t="inlineStr">
        <is>
          <t>0000187765</t>
        </is>
      </c>
      <c r="B339" t="inlineStr">
        <is>
          <t>Ttp Technologies Private Ltd</t>
        </is>
      </c>
      <c r="C339" t="inlineStr">
        <is>
          <t>KG</t>
        </is>
      </c>
      <c r="D339" t="n">
        <v>38</v>
      </c>
      <c r="E339" t="n">
        <v>229.002</v>
      </c>
      <c r="F339" t="n">
        <v>1526</v>
      </c>
      <c r="G339" t="n">
        <v>3702274</v>
      </c>
      <c r="H339" t="inlineStr">
        <is>
          <t>TUB-O-N-GEN-AW-FC-88.90X3.200X6.0000</t>
        </is>
      </c>
    </row>
    <row r="340">
      <c r="A340" t="inlineStr">
        <is>
          <t>0000187765</t>
        </is>
      </c>
      <c r="B340" t="inlineStr">
        <is>
          <t>Ttp Technologies Private Ltd</t>
        </is>
      </c>
      <c r="C340" t="inlineStr">
        <is>
          <t>KG</t>
        </is>
      </c>
      <c r="D340" t="n">
        <v>38</v>
      </c>
      <c r="E340" t="n">
        <v>229.002</v>
      </c>
      <c r="F340" t="n">
        <v>1526</v>
      </c>
      <c r="G340" t="n">
        <v>3702274</v>
      </c>
      <c r="H340" t="inlineStr">
        <is>
          <t>TUB-O-N-GEN-AW-FC-88.90X3.200X6.0000</t>
        </is>
      </c>
    </row>
    <row r="341">
      <c r="A341" t="inlineStr">
        <is>
          <t>0000187765</t>
        </is>
      </c>
      <c r="B341" t="inlineStr">
        <is>
          <t>Ttp Technologies Private Ltd</t>
        </is>
      </c>
      <c r="C341" t="inlineStr">
        <is>
          <t>KG</t>
        </is>
      </c>
      <c r="D341" t="n">
        <v>40</v>
      </c>
      <c r="E341" t="n">
        <v>241.968</v>
      </c>
      <c r="F341" t="n">
        <v>2090</v>
      </c>
      <c r="G341" t="n">
        <v>3702253</v>
      </c>
      <c r="H341" t="inlineStr">
        <is>
          <t>TUB-O-N-GEN-AW-FC-114.30X3.200X6.0000</t>
        </is>
      </c>
    </row>
    <row r="342">
      <c r="A342" t="inlineStr">
        <is>
          <t>0000187765</t>
        </is>
      </c>
      <c r="B342" t="inlineStr">
        <is>
          <t>Ttp Technologies Private Ltd</t>
        </is>
      </c>
      <c r="C342" t="inlineStr">
        <is>
          <t>KG</t>
        </is>
      </c>
      <c r="D342" t="n">
        <v>38</v>
      </c>
      <c r="E342" t="n">
        <v>230.695</v>
      </c>
      <c r="F342" t="n">
        <v>2116</v>
      </c>
      <c r="G342" t="n">
        <v>3702251</v>
      </c>
      <c r="H342" t="inlineStr">
        <is>
          <t>TUB-O-N-GEN-AW-FC-88.90X4.500X6.0000</t>
        </is>
      </c>
    </row>
    <row r="343">
      <c r="A343" t="inlineStr">
        <is>
          <t>0000187765</t>
        </is>
      </c>
      <c r="B343" t="inlineStr">
        <is>
          <t>Ttp Technologies Private Ltd</t>
        </is>
      </c>
      <c r="C343" t="inlineStr">
        <is>
          <t>KG</t>
        </is>
      </c>
      <c r="D343" t="n">
        <v>38</v>
      </c>
      <c r="E343" t="n">
        <v>230.695</v>
      </c>
      <c r="F343" t="n">
        <v>2116</v>
      </c>
      <c r="G343" t="n">
        <v>3702251</v>
      </c>
      <c r="H343" t="inlineStr">
        <is>
          <t>TUB-O-N-GEN-AW-FC-88.90X4.500X6.0000</t>
        </is>
      </c>
    </row>
    <row r="344">
      <c r="A344" t="inlineStr">
        <is>
          <t>0000187765</t>
        </is>
      </c>
      <c r="B344" t="inlineStr">
        <is>
          <t>Ttp Technologies Private Ltd</t>
        </is>
      </c>
      <c r="C344" t="inlineStr">
        <is>
          <t>KG</t>
        </is>
      </c>
      <c r="D344" t="n">
        <v>38</v>
      </c>
      <c r="E344" t="n">
        <v>230.695</v>
      </c>
      <c r="F344" t="n">
        <v>2116</v>
      </c>
      <c r="G344" t="n">
        <v>3702251</v>
      </c>
      <c r="H344" t="inlineStr">
        <is>
          <t>TUB-O-N-GEN-AW-FC-88.90X4.500X6.0000</t>
        </is>
      </c>
    </row>
    <row r="345">
      <c r="A345" t="inlineStr">
        <is>
          <t>0000187765</t>
        </is>
      </c>
      <c r="B345" t="inlineStr">
        <is>
          <t>Ttp Technologies Private Ltd</t>
        </is>
      </c>
      <c r="C345" t="inlineStr">
        <is>
          <t>KG</t>
        </is>
      </c>
      <c r="D345" t="n">
        <v>38</v>
      </c>
      <c r="E345" t="n">
        <v>230.695</v>
      </c>
      <c r="F345" t="n">
        <v>2116</v>
      </c>
      <c r="G345" t="n">
        <v>3702251</v>
      </c>
      <c r="H345" t="inlineStr">
        <is>
          <t>TUB-O-N-GEN-AW-FC-88.90X4.500X6.0000</t>
        </is>
      </c>
    </row>
    <row r="346">
      <c r="A346" t="inlineStr">
        <is>
          <t>0000184248</t>
        </is>
      </c>
      <c r="B346" t="inlineStr">
        <is>
          <t>P E ENGINEERS PVT LIMITED</t>
        </is>
      </c>
      <c r="C346" t="inlineStr">
        <is>
          <t>KG</t>
        </is>
      </c>
      <c r="D346" t="n">
        <v>38</v>
      </c>
      <c r="E346" t="n">
        <v>228.702</v>
      </c>
      <c r="F346" t="n">
        <v>1524</v>
      </c>
      <c r="G346" t="n">
        <v>3702274</v>
      </c>
      <c r="H346" t="inlineStr">
        <is>
          <t>TUB-O-N-GEN-AW-FC-88.90X3.200X6.0000</t>
        </is>
      </c>
    </row>
    <row r="347">
      <c r="A347" t="inlineStr">
        <is>
          <t>0000184248</t>
        </is>
      </c>
      <c r="B347" t="inlineStr">
        <is>
          <t>P E ENGINEERS PVT LIMITED</t>
        </is>
      </c>
      <c r="C347" t="inlineStr">
        <is>
          <t>KG</t>
        </is>
      </c>
      <c r="D347" t="n">
        <v>38</v>
      </c>
      <c r="E347" t="n">
        <v>228.702</v>
      </c>
      <c r="F347" t="n">
        <v>1524</v>
      </c>
      <c r="G347" t="n">
        <v>3702274</v>
      </c>
      <c r="H347" t="inlineStr">
        <is>
          <t>TUB-O-N-GEN-AW-FC-88.90X3.200X6.0000</t>
        </is>
      </c>
    </row>
    <row r="348">
      <c r="A348" t="inlineStr">
        <is>
          <t>0000184248</t>
        </is>
      </c>
      <c r="B348" t="inlineStr">
        <is>
          <t>P E ENGINEERS PVT LIMITED</t>
        </is>
      </c>
      <c r="C348" t="inlineStr">
        <is>
          <t>KG</t>
        </is>
      </c>
      <c r="D348" t="n">
        <v>38</v>
      </c>
      <c r="E348" t="n">
        <v>228.702</v>
      </c>
      <c r="F348" t="n">
        <v>1524</v>
      </c>
      <c r="G348" t="n">
        <v>3702274</v>
      </c>
      <c r="H348" t="inlineStr">
        <is>
          <t>TUB-O-N-GEN-AW-FC-88.90X3.200X6.0000</t>
        </is>
      </c>
    </row>
    <row r="349">
      <c r="A349" t="inlineStr">
        <is>
          <t>0000184248</t>
        </is>
      </c>
      <c r="B349" t="inlineStr">
        <is>
          <t>P E ENGINEERS PVT LIMITED</t>
        </is>
      </c>
      <c r="C349" t="inlineStr">
        <is>
          <t>KG</t>
        </is>
      </c>
      <c r="D349" t="n">
        <v>38</v>
      </c>
      <c r="E349" t="n">
        <v>228.702</v>
      </c>
      <c r="F349" t="n">
        <v>1524</v>
      </c>
      <c r="G349" t="n">
        <v>3702274</v>
      </c>
      <c r="H349" t="inlineStr">
        <is>
          <t>TUB-O-N-GEN-AW-FC-88.90X3.200X6.0000</t>
        </is>
      </c>
    </row>
    <row r="350">
      <c r="A350" t="inlineStr">
        <is>
          <t>0000184248</t>
        </is>
      </c>
      <c r="B350" t="inlineStr">
        <is>
          <t>P E ENGINEERS PVT LIMITED</t>
        </is>
      </c>
      <c r="C350" t="inlineStr">
        <is>
          <t>KG</t>
        </is>
      </c>
      <c r="D350" t="n">
        <v>38</v>
      </c>
      <c r="E350" t="n">
        <v>228.702</v>
      </c>
      <c r="F350" t="n">
        <v>1524</v>
      </c>
      <c r="G350" t="n">
        <v>3702274</v>
      </c>
      <c r="H350" t="inlineStr">
        <is>
          <t>TUB-O-N-GEN-AW-FC-88.90X3.200X6.0000</t>
        </is>
      </c>
    </row>
    <row r="351">
      <c r="A351" t="inlineStr">
        <is>
          <t>0000184248</t>
        </is>
      </c>
      <c r="B351" t="inlineStr">
        <is>
          <t>P E ENGINEERS PVT LIMITED</t>
        </is>
      </c>
      <c r="C351" t="inlineStr">
        <is>
          <t>KG</t>
        </is>
      </c>
      <c r="D351" t="n">
        <v>38</v>
      </c>
      <c r="E351" t="n">
        <v>228.702</v>
      </c>
      <c r="F351" t="n">
        <v>1524</v>
      </c>
      <c r="G351" t="n">
        <v>3702274</v>
      </c>
      <c r="H351" t="inlineStr">
        <is>
          <t>TUB-O-N-GEN-AW-FC-88.90X3.200X6.0000</t>
        </is>
      </c>
    </row>
    <row r="352">
      <c r="A352" t="inlineStr">
        <is>
          <t>0000184248</t>
        </is>
      </c>
      <c r="B352" t="inlineStr">
        <is>
          <t>P E ENGINEERS PVT LIMITED</t>
        </is>
      </c>
      <c r="C352" t="inlineStr">
        <is>
          <t>KG</t>
        </is>
      </c>
      <c r="D352" t="n">
        <v>38</v>
      </c>
      <c r="E352" t="n">
        <v>228.702</v>
      </c>
      <c r="F352" t="n">
        <v>1524</v>
      </c>
      <c r="G352" t="n">
        <v>3702274</v>
      </c>
      <c r="H352" t="inlineStr">
        <is>
          <t>TUB-O-N-GEN-AW-FC-88.90X3.200X6.0000</t>
        </is>
      </c>
    </row>
    <row r="353">
      <c r="A353" t="inlineStr">
        <is>
          <t>0000184248</t>
        </is>
      </c>
      <c r="B353" t="inlineStr">
        <is>
          <t>P E ENGINEERS PVT LIMITED</t>
        </is>
      </c>
      <c r="C353" t="inlineStr">
        <is>
          <t>KG</t>
        </is>
      </c>
      <c r="D353" t="n">
        <v>38</v>
      </c>
      <c r="E353" t="n">
        <v>228.702</v>
      </c>
      <c r="F353" t="n">
        <v>1524</v>
      </c>
      <c r="G353" t="n">
        <v>3702274</v>
      </c>
      <c r="H353" t="inlineStr">
        <is>
          <t>TUB-O-N-GEN-AW-FC-88.90X3.200X6.0000</t>
        </is>
      </c>
    </row>
    <row r="354">
      <c r="A354" t="inlineStr">
        <is>
          <t>0000184248</t>
        </is>
      </c>
      <c r="B354" t="inlineStr">
        <is>
          <t>P E ENGINEERS PVT LIMITED</t>
        </is>
      </c>
      <c r="C354" t="inlineStr">
        <is>
          <t>KG</t>
        </is>
      </c>
      <c r="D354" t="n">
        <v>38</v>
      </c>
      <c r="E354" t="n">
        <v>228.702</v>
      </c>
      <c r="F354" t="n">
        <v>1524</v>
      </c>
      <c r="G354" t="n">
        <v>3702274</v>
      </c>
      <c r="H354" t="inlineStr">
        <is>
          <t>TUB-O-N-GEN-AW-FC-88.90X3.200X6.0000</t>
        </is>
      </c>
    </row>
    <row r="355">
      <c r="A355" t="inlineStr">
        <is>
          <t>0000184248</t>
        </is>
      </c>
      <c r="B355" t="inlineStr">
        <is>
          <t>P E ENGINEERS PVT LIMITED</t>
        </is>
      </c>
      <c r="C355" t="inlineStr">
        <is>
          <t>KG</t>
        </is>
      </c>
      <c r="D355" t="n">
        <v>38</v>
      </c>
      <c r="E355" t="n">
        <v>228.702</v>
      </c>
      <c r="F355" t="n">
        <v>1524</v>
      </c>
      <c r="G355" t="n">
        <v>3702274</v>
      </c>
      <c r="H355" t="inlineStr">
        <is>
          <t>TUB-O-N-GEN-AW-FC-88.90X3.200X6.0000</t>
        </is>
      </c>
    </row>
    <row r="356">
      <c r="A356" t="inlineStr">
        <is>
          <t>0000184248</t>
        </is>
      </c>
      <c r="B356" t="inlineStr">
        <is>
          <t>P E ENGINEERS PVT LIMITED</t>
        </is>
      </c>
      <c r="C356" t="inlineStr">
        <is>
          <t>KG</t>
        </is>
      </c>
      <c r="D356" t="n">
        <v>38</v>
      </c>
      <c r="E356" t="n">
        <v>228.702</v>
      </c>
      <c r="F356" t="n">
        <v>1524</v>
      </c>
      <c r="G356" t="n">
        <v>3702274</v>
      </c>
      <c r="H356" t="inlineStr">
        <is>
          <t>TUB-O-N-GEN-AW-FC-88.90X3.200X6.0000</t>
        </is>
      </c>
    </row>
    <row r="357">
      <c r="A357" t="inlineStr">
        <is>
          <t>0000184248</t>
        </is>
      </c>
      <c r="B357" t="inlineStr">
        <is>
          <t>P E ENGINEERS PVT LIMITED</t>
        </is>
      </c>
      <c r="C357" t="inlineStr">
        <is>
          <t>KG</t>
        </is>
      </c>
      <c r="D357" t="n">
        <v>38</v>
      </c>
      <c r="E357" t="n">
        <v>228.552</v>
      </c>
      <c r="F357" t="n">
        <v>1523</v>
      </c>
      <c r="G357" t="n">
        <v>3702274</v>
      </c>
      <c r="H357" t="inlineStr">
        <is>
          <t>TUB-O-N-GEN-AW-FC-88.90X3.200X6.0000</t>
        </is>
      </c>
    </row>
    <row r="358">
      <c r="A358" t="inlineStr">
        <is>
          <t>0000184248</t>
        </is>
      </c>
      <c r="B358" t="inlineStr">
        <is>
          <t>P E ENGINEERS PVT LIMITED</t>
        </is>
      </c>
      <c r="C358" t="inlineStr">
        <is>
          <t>KG</t>
        </is>
      </c>
      <c r="D358" t="n">
        <v>38</v>
      </c>
      <c r="E358" t="n">
        <v>228.552</v>
      </c>
      <c r="F358" t="n">
        <v>1523</v>
      </c>
      <c r="G358" t="n">
        <v>3702274</v>
      </c>
      <c r="H358" t="inlineStr">
        <is>
          <t>TUB-O-N-GEN-AW-FC-88.90X3.200X6.0000</t>
        </is>
      </c>
    </row>
    <row r="359">
      <c r="A359" t="inlineStr">
        <is>
          <t>0000187765</t>
        </is>
      </c>
      <c r="B359" t="inlineStr">
        <is>
          <t>Ttp Technologies Private Ltd</t>
        </is>
      </c>
      <c r="C359" t="inlineStr">
        <is>
          <t>KG</t>
        </is>
      </c>
      <c r="D359" t="n">
        <v>38</v>
      </c>
      <c r="E359" t="n">
        <v>229.602</v>
      </c>
      <c r="F359" t="n">
        <v>1530</v>
      </c>
      <c r="G359" t="n">
        <v>3702274</v>
      </c>
      <c r="H359" t="inlineStr">
        <is>
          <t>TUB-O-N-GEN-AW-FC-88.90X3.200X6.0000</t>
        </is>
      </c>
    </row>
    <row r="360">
      <c r="A360" t="inlineStr">
        <is>
          <t>0000187765</t>
        </is>
      </c>
      <c r="B360" t="inlineStr">
        <is>
          <t>Ttp Technologies Private Ltd</t>
        </is>
      </c>
      <c r="C360" t="inlineStr">
        <is>
          <t>KG</t>
        </is>
      </c>
      <c r="D360" t="n">
        <v>38</v>
      </c>
      <c r="E360" t="n">
        <v>229.602</v>
      </c>
      <c r="F360" t="n">
        <v>1530</v>
      </c>
      <c r="G360" t="n">
        <v>3702274</v>
      </c>
      <c r="H360" t="inlineStr">
        <is>
          <t>TUB-O-N-GEN-AW-FC-88.90X3.200X6.0000</t>
        </is>
      </c>
    </row>
    <row r="361">
      <c r="A361" t="inlineStr">
        <is>
          <t>0000187765</t>
        </is>
      </c>
      <c r="B361" t="inlineStr">
        <is>
          <t>Ttp Technologies Private Ltd</t>
        </is>
      </c>
      <c r="C361" t="inlineStr">
        <is>
          <t>KG</t>
        </is>
      </c>
      <c r="D361" t="n">
        <v>38</v>
      </c>
      <c r="E361" t="n">
        <v>229.602</v>
      </c>
      <c r="F361" t="n">
        <v>1530</v>
      </c>
      <c r="G361" t="n">
        <v>3702274</v>
      </c>
      <c r="H361" t="inlineStr">
        <is>
          <t>TUB-O-N-GEN-AW-FC-88.90X3.200X6.0000</t>
        </is>
      </c>
    </row>
    <row r="362">
      <c r="A362" t="inlineStr">
        <is>
          <t>0000187765</t>
        </is>
      </c>
      <c r="B362" t="inlineStr">
        <is>
          <t>Ttp Technologies Private Ltd</t>
        </is>
      </c>
      <c r="C362" t="inlineStr">
        <is>
          <t>KG</t>
        </is>
      </c>
      <c r="D362" t="n">
        <v>38</v>
      </c>
      <c r="E362" t="n">
        <v>229.602</v>
      </c>
      <c r="F362" t="n">
        <v>1530</v>
      </c>
      <c r="G362" t="n">
        <v>3702274</v>
      </c>
      <c r="H362" t="inlineStr">
        <is>
          <t>TUB-O-N-GEN-AW-FC-88.90X3.200X6.0000</t>
        </is>
      </c>
    </row>
    <row r="363">
      <c r="A363" t="inlineStr">
        <is>
          <t>0000187765</t>
        </is>
      </c>
      <c r="B363" t="inlineStr">
        <is>
          <t>Ttp Technologies Private Ltd</t>
        </is>
      </c>
      <c r="C363" t="inlineStr">
        <is>
          <t>KG</t>
        </is>
      </c>
      <c r="D363" t="n">
        <v>38</v>
      </c>
      <c r="E363" t="n">
        <v>229.602</v>
      </c>
      <c r="F363" t="n">
        <v>1530</v>
      </c>
      <c r="G363" t="n">
        <v>3702274</v>
      </c>
      <c r="H363" t="inlineStr">
        <is>
          <t>TUB-O-N-GEN-AW-FC-88.90X3.200X6.0000</t>
        </is>
      </c>
    </row>
    <row r="364">
      <c r="A364" t="inlineStr">
        <is>
          <t>0000187765</t>
        </is>
      </c>
      <c r="B364" t="inlineStr">
        <is>
          <t>Ttp Technologies Private Ltd</t>
        </is>
      </c>
      <c r="C364" t="inlineStr">
        <is>
          <t>KG</t>
        </is>
      </c>
      <c r="D364" t="n">
        <v>38</v>
      </c>
      <c r="E364" t="n">
        <v>229.602</v>
      </c>
      <c r="F364" t="n">
        <v>1530</v>
      </c>
      <c r="G364" t="n">
        <v>3702274</v>
      </c>
      <c r="H364" t="inlineStr">
        <is>
          <t>TUB-O-N-GEN-AW-FC-88.90X3.200X6.0000</t>
        </is>
      </c>
    </row>
    <row r="365">
      <c r="A365" t="inlineStr">
        <is>
          <t>0000187765</t>
        </is>
      </c>
      <c r="B365" t="inlineStr">
        <is>
          <t>Ttp Technologies Private Ltd</t>
        </is>
      </c>
      <c r="C365" t="inlineStr">
        <is>
          <t>KG</t>
        </is>
      </c>
      <c r="D365" t="n">
        <v>38</v>
      </c>
      <c r="E365" t="n">
        <v>229.602</v>
      </c>
      <c r="F365" t="n">
        <v>1530</v>
      </c>
      <c r="G365" t="n">
        <v>3702274</v>
      </c>
      <c r="H365" t="inlineStr">
        <is>
          <t>TUB-O-N-GEN-AW-FC-88.90X3.200X6.0000</t>
        </is>
      </c>
    </row>
    <row r="366">
      <c r="A366" t="inlineStr">
        <is>
          <t>0000187765</t>
        </is>
      </c>
      <c r="B366" t="inlineStr">
        <is>
          <t>Ttp Technologies Private Ltd</t>
        </is>
      </c>
      <c r="C366" t="inlineStr">
        <is>
          <t>KG</t>
        </is>
      </c>
      <c r="D366" t="n">
        <v>38</v>
      </c>
      <c r="E366" t="n">
        <v>229.602</v>
      </c>
      <c r="F366" t="n">
        <v>1530</v>
      </c>
      <c r="G366" t="n">
        <v>3702274</v>
      </c>
      <c r="H366" t="inlineStr">
        <is>
          <t>TUB-O-N-GEN-AW-FC-88.90X3.200X6.0000</t>
        </is>
      </c>
    </row>
    <row r="367">
      <c r="A367" t="inlineStr">
        <is>
          <t>0000187765</t>
        </is>
      </c>
      <c r="B367" t="inlineStr">
        <is>
          <t>Ttp Technologies Private Ltd</t>
        </is>
      </c>
      <c r="C367" t="inlineStr">
        <is>
          <t>KG</t>
        </is>
      </c>
      <c r="D367" t="n">
        <v>38</v>
      </c>
      <c r="E367" t="n">
        <v>229.602</v>
      </c>
      <c r="F367" t="n">
        <v>1530</v>
      </c>
      <c r="G367" t="n">
        <v>3702274</v>
      </c>
      <c r="H367" t="inlineStr">
        <is>
          <t>TUB-O-N-GEN-AW-FC-88.90X3.200X6.0000</t>
        </is>
      </c>
    </row>
    <row r="368">
      <c r="A368" t="inlineStr">
        <is>
          <t>0000187765</t>
        </is>
      </c>
      <c r="B368" t="inlineStr">
        <is>
          <t>Ttp Technologies Private Ltd</t>
        </is>
      </c>
      <c r="C368" t="inlineStr">
        <is>
          <t>KG</t>
        </is>
      </c>
      <c r="D368" t="n">
        <v>38</v>
      </c>
      <c r="E368" t="n">
        <v>229.602</v>
      </c>
      <c r="F368" t="n">
        <v>1530</v>
      </c>
      <c r="G368" t="n">
        <v>3702274</v>
      </c>
      <c r="H368" t="inlineStr">
        <is>
          <t>TUB-O-N-GEN-AW-FC-88.90X3.200X6.0000</t>
        </is>
      </c>
    </row>
    <row r="369">
      <c r="A369" t="inlineStr">
        <is>
          <t>0000187765</t>
        </is>
      </c>
      <c r="B369" t="inlineStr">
        <is>
          <t>Ttp Technologies Private Ltd</t>
        </is>
      </c>
      <c r="C369" t="inlineStr">
        <is>
          <t>KG</t>
        </is>
      </c>
      <c r="D369" t="n">
        <v>38</v>
      </c>
      <c r="E369" t="n">
        <v>229.277</v>
      </c>
      <c r="F369" t="n">
        <v>2103</v>
      </c>
      <c r="G369" t="n">
        <v>3702251</v>
      </c>
      <c r="H369" t="inlineStr">
        <is>
          <t>TUB-O-N-GEN-AW-FC-88.90X4.500X6.0000</t>
        </is>
      </c>
    </row>
    <row r="370">
      <c r="A370" t="inlineStr">
        <is>
          <t>0000187765</t>
        </is>
      </c>
      <c r="B370" t="inlineStr">
        <is>
          <t>Ttp Technologies Private Ltd</t>
        </is>
      </c>
      <c r="C370" t="inlineStr">
        <is>
          <t>KG</t>
        </is>
      </c>
      <c r="D370" t="n">
        <v>38</v>
      </c>
      <c r="E370" t="n">
        <v>229.713</v>
      </c>
      <c r="F370" t="n">
        <v>2107</v>
      </c>
      <c r="G370" t="n">
        <v>3702251</v>
      </c>
      <c r="H370" t="inlineStr">
        <is>
          <t>TUB-O-N-GEN-AW-FC-88.90X4.500X6.0000</t>
        </is>
      </c>
    </row>
    <row r="371">
      <c r="A371" t="inlineStr">
        <is>
          <t>0000944119</t>
        </is>
      </c>
      <c r="B371" t="inlineStr">
        <is>
          <t>BHARAT TUBES CORPORATION</t>
        </is>
      </c>
      <c r="C371" t="inlineStr">
        <is>
          <t>NOS</t>
        </is>
      </c>
      <c r="D371" t="n">
        <v>61</v>
      </c>
      <c r="E371" t="n">
        <v>204.658</v>
      </c>
      <c r="F371" t="n">
        <v>769.698</v>
      </c>
      <c r="G371" t="n">
        <v>3499935</v>
      </c>
      <c r="H371" t="inlineStr">
        <is>
          <t>TUB-O-N-AHT-NR-FC-63.50X2.640X3.355</t>
        </is>
      </c>
    </row>
    <row r="372">
      <c r="A372" t="inlineStr">
        <is>
          <t>0000944119</t>
        </is>
      </c>
      <c r="B372" t="inlineStr">
        <is>
          <t>BHARAT TUBES CORPORATION</t>
        </is>
      </c>
      <c r="C372" t="inlineStr">
        <is>
          <t>NOS</t>
        </is>
      </c>
      <c r="D372" t="n">
        <v>61</v>
      </c>
      <c r="E372" t="n">
        <v>204.658</v>
      </c>
      <c r="F372" t="n">
        <v>769.698</v>
      </c>
      <c r="G372" t="n">
        <v>3499935</v>
      </c>
      <c r="H372" t="inlineStr">
        <is>
          <t>TUB-O-N-AHT-NR-FC-63.50X2.640X3.355</t>
        </is>
      </c>
    </row>
    <row r="373">
      <c r="A373" t="inlineStr">
        <is>
          <t>0000944119</t>
        </is>
      </c>
      <c r="B373" t="inlineStr">
        <is>
          <t>BHARAT TUBES CORPORATION</t>
        </is>
      </c>
      <c r="C373" t="inlineStr">
        <is>
          <t>NOS</t>
        </is>
      </c>
      <c r="D373" t="n">
        <v>61</v>
      </c>
      <c r="E373" t="n">
        <v>204.658</v>
      </c>
      <c r="F373" t="n">
        <v>769.698</v>
      </c>
      <c r="G373" t="n">
        <v>3499935</v>
      </c>
      <c r="H373" t="inlineStr">
        <is>
          <t>TUB-O-N-AHT-NR-FC-63.50X2.640X3.355</t>
        </is>
      </c>
    </row>
    <row r="374">
      <c r="A374" t="inlineStr">
        <is>
          <t>0000944119</t>
        </is>
      </c>
      <c r="B374" t="inlineStr">
        <is>
          <t>BHARAT TUBES CORPORATION</t>
        </is>
      </c>
      <c r="C374" t="inlineStr">
        <is>
          <t>NOS</t>
        </is>
      </c>
      <c r="D374" t="n">
        <v>61</v>
      </c>
      <c r="E374" t="n">
        <v>204.658</v>
      </c>
      <c r="F374" t="n">
        <v>769.698</v>
      </c>
      <c r="G374" t="n">
        <v>3499935</v>
      </c>
      <c r="H374" t="inlineStr">
        <is>
          <t>TUB-O-N-AHT-NR-FC-63.50X2.640X3.355</t>
        </is>
      </c>
    </row>
    <row r="375">
      <c r="A375" t="inlineStr">
        <is>
          <t>0000944119</t>
        </is>
      </c>
      <c r="B375" t="inlineStr">
        <is>
          <t>BHARAT TUBES CORPORATION</t>
        </is>
      </c>
      <c r="C375" t="inlineStr">
        <is>
          <t>NOS</t>
        </is>
      </c>
      <c r="D375" t="n">
        <v>61</v>
      </c>
      <c r="E375" t="n">
        <v>204.658</v>
      </c>
      <c r="F375" t="n">
        <v>769.698</v>
      </c>
      <c r="G375" t="n">
        <v>3499935</v>
      </c>
      <c r="H375" t="inlineStr">
        <is>
          <t>TUB-O-N-AHT-NR-FC-63.50X2.640X3.355</t>
        </is>
      </c>
    </row>
    <row r="376">
      <c r="A376" t="inlineStr">
        <is>
          <t>0000944119</t>
        </is>
      </c>
      <c r="B376" t="inlineStr">
        <is>
          <t>BHARAT TUBES CORPORATION</t>
        </is>
      </c>
      <c r="C376" t="inlineStr">
        <is>
          <t>NOS</t>
        </is>
      </c>
      <c r="D376" t="n">
        <v>61</v>
      </c>
      <c r="E376" t="n">
        <v>204.658</v>
      </c>
      <c r="F376" t="n">
        <v>769.698</v>
      </c>
      <c r="G376" t="n">
        <v>3499935</v>
      </c>
      <c r="H376" t="inlineStr">
        <is>
          <t>TUB-O-N-AHT-NR-FC-63.50X2.640X3.355</t>
        </is>
      </c>
    </row>
    <row r="377">
      <c r="A377" t="inlineStr">
        <is>
          <t>0000944119</t>
        </is>
      </c>
      <c r="B377" t="inlineStr">
        <is>
          <t>BHARAT TUBES CORPORATION</t>
        </is>
      </c>
      <c r="C377" t="inlineStr">
        <is>
          <t>NOS</t>
        </is>
      </c>
      <c r="D377" t="n">
        <v>61</v>
      </c>
      <c r="E377" t="n">
        <v>204.658</v>
      </c>
      <c r="F377" t="n">
        <v>769.698</v>
      </c>
      <c r="G377" t="n">
        <v>3499935</v>
      </c>
      <c r="H377" t="inlineStr">
        <is>
          <t>TUB-O-N-AHT-NR-FC-63.50X2.640X3.355</t>
        </is>
      </c>
    </row>
    <row r="378">
      <c r="A378" t="inlineStr">
        <is>
          <t>0000944119</t>
        </is>
      </c>
      <c r="B378" t="inlineStr">
        <is>
          <t>BHARAT TUBES CORPORATION</t>
        </is>
      </c>
      <c r="C378" t="inlineStr">
        <is>
          <t>NOS</t>
        </is>
      </c>
      <c r="D378" t="n">
        <v>61</v>
      </c>
      <c r="E378" t="n">
        <v>204.658</v>
      </c>
      <c r="F378" t="n">
        <v>769.698</v>
      </c>
      <c r="G378" t="n">
        <v>3499935</v>
      </c>
      <c r="H378" t="inlineStr">
        <is>
          <t>TUB-O-N-AHT-NR-FC-63.50X2.640X3.355</t>
        </is>
      </c>
    </row>
    <row r="379">
      <c r="A379" t="inlineStr">
        <is>
          <t>0000944119</t>
        </is>
      </c>
      <c r="B379" t="inlineStr">
        <is>
          <t>BHARAT TUBES CORPORATION</t>
        </is>
      </c>
      <c r="C379" t="inlineStr">
        <is>
          <t>NOS</t>
        </is>
      </c>
      <c r="D379" t="n">
        <v>30</v>
      </c>
      <c r="E379" t="n">
        <v>100.651</v>
      </c>
      <c r="F379" t="n">
        <v>378.54</v>
      </c>
      <c r="G379" t="n">
        <v>3499935</v>
      </c>
      <c r="H379" t="inlineStr">
        <is>
          <t>TUB-O-N-AHT-NR-FC-63.50X2.640X3.355</t>
        </is>
      </c>
    </row>
    <row r="380">
      <c r="A380" t="inlineStr">
        <is>
          <t>0000944119</t>
        </is>
      </c>
      <c r="B380" t="inlineStr">
        <is>
          <t>BHARAT TUBES CORPORATION</t>
        </is>
      </c>
      <c r="C380" t="inlineStr">
        <is>
          <t>NOS</t>
        </is>
      </c>
      <c r="D380" t="n">
        <v>61</v>
      </c>
      <c r="E380" t="n">
        <v>204.658</v>
      </c>
      <c r="F380" t="n">
        <v>769.698</v>
      </c>
      <c r="G380" t="n">
        <v>3499935</v>
      </c>
      <c r="H380" t="inlineStr">
        <is>
          <t>TUB-O-N-AHT-NR-FC-63.50X2.640X3.355</t>
        </is>
      </c>
    </row>
    <row r="381">
      <c r="A381" t="inlineStr">
        <is>
          <t>0000944119</t>
        </is>
      </c>
      <c r="B381" t="inlineStr">
        <is>
          <t>BHARAT TUBES CORPORATION</t>
        </is>
      </c>
      <c r="C381" t="inlineStr">
        <is>
          <t>NOS</t>
        </is>
      </c>
      <c r="D381" t="n">
        <v>61</v>
      </c>
      <c r="E381" t="n">
        <v>204.658</v>
      </c>
      <c r="F381" t="n">
        <v>769.698</v>
      </c>
      <c r="G381" t="n">
        <v>3499935</v>
      </c>
      <c r="H381" t="inlineStr">
        <is>
          <t>TUB-O-N-AHT-NR-FC-63.50X2.640X3.355</t>
        </is>
      </c>
    </row>
    <row r="382">
      <c r="A382" t="inlineStr">
        <is>
          <t>0000944119</t>
        </is>
      </c>
      <c r="B382" t="inlineStr">
        <is>
          <t>BHARAT TUBES CORPORATION</t>
        </is>
      </c>
      <c r="C382" t="inlineStr">
        <is>
          <t>NOS</t>
        </is>
      </c>
      <c r="D382" t="n">
        <v>61</v>
      </c>
      <c r="E382" t="n">
        <v>204.658</v>
      </c>
      <c r="F382" t="n">
        <v>769.698</v>
      </c>
      <c r="G382" t="n">
        <v>3499935</v>
      </c>
      <c r="H382" t="inlineStr">
        <is>
          <t>TUB-O-N-AHT-NR-FC-63.50X2.640X3.355</t>
        </is>
      </c>
    </row>
    <row r="383">
      <c r="A383" t="inlineStr">
        <is>
          <t>0000944119</t>
        </is>
      </c>
      <c r="B383" t="inlineStr">
        <is>
          <t>BHARAT TUBES CORPORATION</t>
        </is>
      </c>
      <c r="C383" t="inlineStr">
        <is>
          <t>NOS</t>
        </is>
      </c>
      <c r="D383" t="n">
        <v>31</v>
      </c>
      <c r="E383" t="n">
        <v>104.006</v>
      </c>
      <c r="F383" t="n">
        <v>391.158</v>
      </c>
      <c r="G383" t="n">
        <v>3499935</v>
      </c>
      <c r="H383" t="inlineStr">
        <is>
          <t>TUB-O-N-AHT-NR-FC-63.50X2.640X3.355</t>
        </is>
      </c>
    </row>
    <row r="384">
      <c r="A384" t="inlineStr">
        <is>
          <t>0000944119</t>
        </is>
      </c>
      <c r="B384" t="inlineStr">
        <is>
          <t>BHARAT TUBES CORPORATION</t>
        </is>
      </c>
      <c r="C384" t="inlineStr">
        <is>
          <t>NOS</t>
        </is>
      </c>
      <c r="D384" t="n">
        <v>61</v>
      </c>
      <c r="E384" t="n">
        <v>204.658</v>
      </c>
      <c r="F384" t="n">
        <v>769.698</v>
      </c>
      <c r="G384" t="n">
        <v>3499935</v>
      </c>
      <c r="H384" t="inlineStr">
        <is>
          <t>TUB-O-N-AHT-NR-FC-63.50X2.640X3.355</t>
        </is>
      </c>
    </row>
    <row r="385">
      <c r="A385" t="inlineStr">
        <is>
          <t>0000944119</t>
        </is>
      </c>
      <c r="B385" t="inlineStr">
        <is>
          <t>BHARAT TUBES CORPORATION</t>
        </is>
      </c>
      <c r="C385" t="inlineStr">
        <is>
          <t>NOS</t>
        </is>
      </c>
      <c r="D385" t="n">
        <v>61</v>
      </c>
      <c r="E385" t="n">
        <v>204.658</v>
      </c>
      <c r="F385" t="n">
        <v>769.698</v>
      </c>
      <c r="G385" t="n">
        <v>3499935</v>
      </c>
      <c r="H385" t="inlineStr">
        <is>
          <t>TUB-O-N-AHT-NR-FC-63.50X2.640X3.355</t>
        </is>
      </c>
    </row>
    <row r="386">
      <c r="A386" t="inlineStr">
        <is>
          <t>0000944119</t>
        </is>
      </c>
      <c r="B386" t="inlineStr">
        <is>
          <t>BHARAT TUBES CORPORATION</t>
        </is>
      </c>
      <c r="C386" t="inlineStr">
        <is>
          <t>NOS</t>
        </is>
      </c>
      <c r="D386" t="n">
        <v>61</v>
      </c>
      <c r="E386" t="n">
        <v>204.658</v>
      </c>
      <c r="F386" t="n">
        <v>769.698</v>
      </c>
      <c r="G386" t="n">
        <v>3499935</v>
      </c>
      <c r="H386" t="inlineStr">
        <is>
          <t>TUB-O-N-AHT-NR-FC-63.50X2.640X3.355</t>
        </is>
      </c>
    </row>
    <row r="387">
      <c r="A387" t="inlineStr">
        <is>
          <t>0000944119</t>
        </is>
      </c>
      <c r="B387" t="inlineStr">
        <is>
          <t>BHARAT TUBES CORPORATION</t>
        </is>
      </c>
      <c r="C387" t="inlineStr">
        <is>
          <t>NOS</t>
        </is>
      </c>
      <c r="D387" t="n">
        <v>61</v>
      </c>
      <c r="E387" t="n">
        <v>204.658</v>
      </c>
      <c r="F387" t="n">
        <v>769.698</v>
      </c>
      <c r="G387" t="n">
        <v>3499935</v>
      </c>
      <c r="H387" t="inlineStr">
        <is>
          <t>TUB-O-N-AHT-NR-FC-63.50X2.640X3.355</t>
        </is>
      </c>
    </row>
    <row r="388">
      <c r="A388" t="inlineStr">
        <is>
          <t>0000944119</t>
        </is>
      </c>
      <c r="B388" t="inlineStr">
        <is>
          <t>BHARAT TUBES CORPORATION</t>
        </is>
      </c>
      <c r="C388" t="inlineStr">
        <is>
          <t>NOS</t>
        </is>
      </c>
      <c r="D388" t="n">
        <v>61</v>
      </c>
      <c r="E388" t="n">
        <v>204.658</v>
      </c>
      <c r="F388" t="n">
        <v>769.698</v>
      </c>
      <c r="G388" t="n">
        <v>3499935</v>
      </c>
      <c r="H388" t="inlineStr">
        <is>
          <t>TUB-O-N-AHT-NR-FC-63.50X2.640X3.355</t>
        </is>
      </c>
    </row>
    <row r="389">
      <c r="A389" t="inlineStr">
        <is>
          <t>0000944119</t>
        </is>
      </c>
      <c r="B389" t="inlineStr">
        <is>
          <t>BHARAT TUBES CORPORATION</t>
        </is>
      </c>
      <c r="C389" t="inlineStr">
        <is>
          <t>NOS</t>
        </is>
      </c>
      <c r="D389" t="n">
        <v>61</v>
      </c>
      <c r="E389" t="n">
        <v>309.323</v>
      </c>
      <c r="F389" t="n">
        <v>1163.331</v>
      </c>
      <c r="G389" t="n">
        <v>4244172</v>
      </c>
      <c r="H389" t="inlineStr">
        <is>
          <t>TUB-O-N-AHT-NR-FC-63.50X2.640X5.0710</t>
        </is>
      </c>
    </row>
    <row r="390">
      <c r="A390" t="inlineStr">
        <is>
          <t>0000944119</t>
        </is>
      </c>
      <c r="B390" t="inlineStr">
        <is>
          <t>BHARAT TUBES CORPORATION</t>
        </is>
      </c>
      <c r="C390" t="inlineStr">
        <is>
          <t>NOS</t>
        </is>
      </c>
      <c r="D390" t="n">
        <v>61</v>
      </c>
      <c r="E390" t="n">
        <v>309.323</v>
      </c>
      <c r="F390" t="n">
        <v>1163.331</v>
      </c>
      <c r="G390" t="n">
        <v>4244172</v>
      </c>
      <c r="H390" t="inlineStr">
        <is>
          <t>TUB-O-N-AHT-NR-FC-63.50X2.640X5.0710</t>
        </is>
      </c>
    </row>
    <row r="391">
      <c r="A391" t="inlineStr">
        <is>
          <t>0000944119</t>
        </is>
      </c>
      <c r="B391" t="inlineStr">
        <is>
          <t>BHARAT TUBES CORPORATION</t>
        </is>
      </c>
      <c r="C391" t="inlineStr">
        <is>
          <t>NOS</t>
        </is>
      </c>
      <c r="D391" t="n">
        <v>66</v>
      </c>
      <c r="E391" t="n">
        <v>334.677</v>
      </c>
      <c r="F391" t="n">
        <v>1258.686</v>
      </c>
      <c r="G391" t="n">
        <v>4244172</v>
      </c>
      <c r="H391" t="inlineStr">
        <is>
          <t>TUB-O-N-AHT-NR-FC-63.50X2.640X5.0710</t>
        </is>
      </c>
    </row>
    <row r="392">
      <c r="A392" t="inlineStr">
        <is>
          <t>0000944119</t>
        </is>
      </c>
      <c r="B392" t="inlineStr">
        <is>
          <t>BHARAT TUBES CORPORATION</t>
        </is>
      </c>
      <c r="C392" t="inlineStr">
        <is>
          <t>NOS</t>
        </is>
      </c>
      <c r="D392" t="n">
        <v>61</v>
      </c>
      <c r="E392" t="n">
        <v>309.323</v>
      </c>
      <c r="F392" t="n">
        <v>1163.331</v>
      </c>
      <c r="G392" t="n">
        <v>4244172</v>
      </c>
      <c r="H392" t="inlineStr">
        <is>
          <t>TUB-O-N-AHT-NR-FC-63.50X2.640X5.0710</t>
        </is>
      </c>
    </row>
    <row r="393">
      <c r="A393" t="inlineStr">
        <is>
          <t>0000944119</t>
        </is>
      </c>
      <c r="B393" t="inlineStr">
        <is>
          <t>BHARAT TUBES CORPORATION</t>
        </is>
      </c>
      <c r="C393" t="inlineStr">
        <is>
          <t>NOS</t>
        </is>
      </c>
      <c r="D393" t="n">
        <v>61</v>
      </c>
      <c r="E393" t="n">
        <v>309.323</v>
      </c>
      <c r="F393" t="n">
        <v>1163.331</v>
      </c>
      <c r="G393" t="n">
        <v>4244172</v>
      </c>
      <c r="H393" t="inlineStr">
        <is>
          <t>TUB-O-N-AHT-NR-FC-63.50X2.640X5.0710</t>
        </is>
      </c>
    </row>
    <row r="394">
      <c r="A394" t="inlineStr">
        <is>
          <t>0000944119</t>
        </is>
      </c>
      <c r="B394" t="inlineStr">
        <is>
          <t>BHARAT TUBES CORPORATION</t>
        </is>
      </c>
      <c r="C394" t="inlineStr">
        <is>
          <t>NOS</t>
        </is>
      </c>
      <c r="D394" t="n">
        <v>61</v>
      </c>
      <c r="E394" t="n">
        <v>309.323</v>
      </c>
      <c r="F394" t="n">
        <v>1163.331</v>
      </c>
      <c r="G394" t="n">
        <v>4244172</v>
      </c>
      <c r="H394" t="inlineStr">
        <is>
          <t>TUB-O-N-AHT-NR-FC-63.50X2.640X5.0710</t>
        </is>
      </c>
    </row>
    <row r="395">
      <c r="A395" t="inlineStr">
        <is>
          <t>0000944119</t>
        </is>
      </c>
      <c r="B395" t="inlineStr">
        <is>
          <t>BHARAT TUBES CORPORATION</t>
        </is>
      </c>
      <c r="C395" t="inlineStr">
        <is>
          <t>NOS</t>
        </is>
      </c>
      <c r="D395" t="n">
        <v>74</v>
      </c>
      <c r="E395" t="n">
        <v>375.244</v>
      </c>
      <c r="F395" t="n">
        <v>1411.254</v>
      </c>
      <c r="G395" t="n">
        <v>4244172</v>
      </c>
      <c r="H395" t="inlineStr">
        <is>
          <t>TUB-O-N-AHT-NR-FC-63.50X2.640X5.0710</t>
        </is>
      </c>
    </row>
    <row r="396">
      <c r="A396" t="inlineStr">
        <is>
          <t>0000943209</t>
        </is>
      </c>
      <c r="B396" t="inlineStr">
        <is>
          <t>MEGH STEELS PRIVATE LIMITED - TVS A</t>
        </is>
      </c>
      <c r="C396" t="inlineStr">
        <is>
          <t>KG</t>
        </is>
      </c>
      <c r="D396" t="n">
        <v>126</v>
      </c>
      <c r="E396" t="n">
        <v>745.88</v>
      </c>
      <c r="F396" t="n">
        <v>2770.2</v>
      </c>
      <c r="G396" t="n">
        <v>3500391</v>
      </c>
      <c r="H396" t="inlineStr">
        <is>
          <t>TUB-O-N-AUT-AW-FC-54.00X3.000X5.910</t>
        </is>
      </c>
    </row>
    <row r="397">
      <c r="A397" t="inlineStr">
        <is>
          <t>0000943211</t>
        </is>
      </c>
      <c r="B397" t="inlineStr">
        <is>
          <t>MEGH STEELS PRIVATE LIMITED - RE</t>
        </is>
      </c>
      <c r="C397" t="inlineStr">
        <is>
          <t>KG</t>
        </is>
      </c>
      <c r="D397" t="n">
        <v>92</v>
      </c>
      <c r="E397" t="n">
        <v>560.948</v>
      </c>
      <c r="F397" t="n">
        <v>1335</v>
      </c>
      <c r="G397" t="n">
        <v>3500641</v>
      </c>
      <c r="H397" t="inlineStr">
        <is>
          <t>TUB-S-AW-SHS-50.0X50.0X1.6X6.121 FC HDP</t>
        </is>
      </c>
    </row>
    <row r="398">
      <c r="A398" t="inlineStr">
        <is>
          <t>0000943211</t>
        </is>
      </c>
      <c r="B398" t="inlineStr">
        <is>
          <t>MEGH STEELS PRIVATE LIMITED - RE</t>
        </is>
      </c>
      <c r="C398" t="inlineStr">
        <is>
          <t>KG</t>
        </is>
      </c>
      <c r="D398" t="n">
        <v>92</v>
      </c>
      <c r="E398" t="n">
        <v>560.948</v>
      </c>
      <c r="F398" t="n">
        <v>1335</v>
      </c>
      <c r="G398" t="n">
        <v>3500641</v>
      </c>
      <c r="H398" t="inlineStr">
        <is>
          <t>TUB-S-AW-SHS-50.0X50.0X1.6X6.121 FC HDP</t>
        </is>
      </c>
    </row>
    <row r="399">
      <c r="A399" t="inlineStr">
        <is>
          <t>0000943211</t>
        </is>
      </c>
      <c r="B399" t="inlineStr">
        <is>
          <t>MEGH STEELS PRIVATE LIMITED - RE</t>
        </is>
      </c>
      <c r="C399" t="inlineStr">
        <is>
          <t>KG</t>
        </is>
      </c>
      <c r="D399" t="n">
        <v>92</v>
      </c>
      <c r="E399" t="n">
        <v>560.948</v>
      </c>
      <c r="F399" t="n">
        <v>1335</v>
      </c>
      <c r="G399" t="n">
        <v>3500641</v>
      </c>
      <c r="H399" t="inlineStr">
        <is>
          <t>TUB-S-AW-SHS-50.0X50.0X1.6X6.121 FC HDP</t>
        </is>
      </c>
    </row>
    <row r="400">
      <c r="A400" t="inlineStr">
        <is>
          <t>0000943211</t>
        </is>
      </c>
      <c r="B400" t="inlineStr">
        <is>
          <t>MEGH STEELS PRIVATE LIMITED - RE</t>
        </is>
      </c>
      <c r="C400" t="inlineStr">
        <is>
          <t>KG</t>
        </is>
      </c>
      <c r="D400" t="n">
        <v>92</v>
      </c>
      <c r="E400" t="n">
        <v>560.948</v>
      </c>
      <c r="F400" t="n">
        <v>1335</v>
      </c>
      <c r="G400" t="n">
        <v>3500641</v>
      </c>
      <c r="H400" t="inlineStr">
        <is>
          <t>TUB-S-AW-SHS-50.0X50.0X1.6X6.121 FC HDP</t>
        </is>
      </c>
    </row>
    <row r="401">
      <c r="A401" t="inlineStr">
        <is>
          <t>0000943209</t>
        </is>
      </c>
      <c r="B401" t="inlineStr">
        <is>
          <t>MEGH STEELS PRIVATE LIMITED - TVS A</t>
        </is>
      </c>
      <c r="C401" t="inlineStr">
        <is>
          <t>KG</t>
        </is>
      </c>
      <c r="D401" t="n">
        <v>61</v>
      </c>
      <c r="E401" t="n">
        <v>337.371</v>
      </c>
      <c r="F401" t="n">
        <v>1259</v>
      </c>
      <c r="G401" t="n">
        <v>3500714</v>
      </c>
      <c r="H401" t="inlineStr">
        <is>
          <t>TUB-O-N-AUT-BH-FC-42.70X4.000X5.50-ERW 1</t>
        </is>
      </c>
    </row>
    <row r="402">
      <c r="A402" t="inlineStr">
        <is>
          <t>0000943209</t>
        </is>
      </c>
      <c r="B402" t="inlineStr">
        <is>
          <t>MEGH STEELS PRIVATE LIMITED - TVS A</t>
        </is>
      </c>
      <c r="C402" t="inlineStr">
        <is>
          <t>KG</t>
        </is>
      </c>
      <c r="D402" t="n">
        <v>128</v>
      </c>
      <c r="E402" t="n">
        <v>704.271</v>
      </c>
      <c r="F402" t="n">
        <v>2628.2</v>
      </c>
      <c r="G402" t="n">
        <v>3500714</v>
      </c>
      <c r="H402" t="inlineStr">
        <is>
          <t>TUB-O-N-AUT-BH-FC-42.70X4.000X5.50-ERW 1</t>
        </is>
      </c>
    </row>
    <row r="403">
      <c r="A403" t="inlineStr">
        <is>
          <t>0000943209</t>
        </is>
      </c>
      <c r="B403" t="inlineStr">
        <is>
          <t>MEGH STEELS PRIVATE LIMITED - TVS A</t>
        </is>
      </c>
      <c r="C403" t="inlineStr">
        <is>
          <t>KG</t>
        </is>
      </c>
      <c r="D403" t="n">
        <v>114</v>
      </c>
      <c r="E403" t="n">
        <v>625.7569999999999</v>
      </c>
      <c r="F403" t="n">
        <v>2335.2</v>
      </c>
      <c r="G403" t="n">
        <v>3500714</v>
      </c>
      <c r="H403" t="inlineStr">
        <is>
          <t>TUB-O-N-AUT-BH-FC-42.70X4.000X5.50-ERW 1</t>
        </is>
      </c>
    </row>
    <row r="404">
      <c r="A404" t="inlineStr">
        <is>
          <t>0000943209</t>
        </is>
      </c>
      <c r="B404" t="inlineStr">
        <is>
          <t>MEGH STEELS PRIVATE LIMITED - TVS A</t>
        </is>
      </c>
      <c r="C404" t="inlineStr">
        <is>
          <t>KG</t>
        </is>
      </c>
      <c r="D404" t="n">
        <v>93</v>
      </c>
      <c r="E404" t="n">
        <v>511.817</v>
      </c>
      <c r="F404" t="n">
        <v>1910</v>
      </c>
      <c r="G404" t="n">
        <v>3500714</v>
      </c>
      <c r="H404" t="inlineStr">
        <is>
          <t>TUB-O-N-AUT-BH-FC-42.70X4.000X5.50-ERW 1</t>
        </is>
      </c>
    </row>
    <row r="405">
      <c r="A405" t="inlineStr">
        <is>
          <t>0000943209</t>
        </is>
      </c>
      <c r="B405" t="inlineStr">
        <is>
          <t>MEGH STEELS PRIVATE LIMITED - TVS A</t>
        </is>
      </c>
      <c r="C405" t="inlineStr">
        <is>
          <t>KG</t>
        </is>
      </c>
      <c r="D405" t="n">
        <v>107</v>
      </c>
      <c r="E405" t="n">
        <v>586.366</v>
      </c>
      <c r="F405" t="n">
        <v>2188.2</v>
      </c>
      <c r="G405" t="n">
        <v>3500714</v>
      </c>
      <c r="H405" t="inlineStr">
        <is>
          <t>TUB-O-N-AUT-BH-FC-42.70X4.000X5.50-ERW 1</t>
        </is>
      </c>
    </row>
    <row r="406">
      <c r="A406" t="inlineStr">
        <is>
          <t>0000943209</t>
        </is>
      </c>
      <c r="B406" t="inlineStr">
        <is>
          <t>MEGH STEELS PRIVATE LIMITED - TVS A</t>
        </is>
      </c>
      <c r="C406" t="inlineStr">
        <is>
          <t>KG</t>
        </is>
      </c>
      <c r="D406" t="n">
        <v>112</v>
      </c>
      <c r="E406" t="n">
        <v>614.502</v>
      </c>
      <c r="F406" t="n">
        <v>2293.2</v>
      </c>
      <c r="G406" t="n">
        <v>3500714</v>
      </c>
      <c r="H406" t="inlineStr">
        <is>
          <t>TUB-O-N-AUT-BH-FC-42.70X4.000X5.50-ERW 1</t>
        </is>
      </c>
    </row>
    <row r="407">
      <c r="A407" t="inlineStr">
        <is>
          <t>0000188251</t>
        </is>
      </c>
      <c r="B407" t="inlineStr">
        <is>
          <t>Thirupathi Industries</t>
        </is>
      </c>
      <c r="C407" t="inlineStr">
        <is>
          <t>M</t>
        </is>
      </c>
      <c r="D407" t="n">
        <v>144</v>
      </c>
      <c r="E407" t="n">
        <v>792</v>
      </c>
      <c r="F407" t="n">
        <v>1542.737</v>
      </c>
      <c r="G407" t="n">
        <v>3770405</v>
      </c>
      <c r="H407" t="inlineStr">
        <is>
          <t>TUB-O-C-AUT-AD-FC-67.00X1.20X5.500-HDPE</t>
        </is>
      </c>
    </row>
    <row r="408">
      <c r="A408" t="inlineStr">
        <is>
          <t>0000188251</t>
        </is>
      </c>
      <c r="B408" t="inlineStr">
        <is>
          <t>Thirupathi Industries</t>
        </is>
      </c>
      <c r="C408" t="inlineStr">
        <is>
          <t>M</t>
        </is>
      </c>
      <c r="D408" t="n">
        <v>108</v>
      </c>
      <c r="E408" t="n">
        <v>594</v>
      </c>
      <c r="F408" t="n">
        <v>1157.053</v>
      </c>
      <c r="G408" t="n">
        <v>3770405</v>
      </c>
      <c r="H408" t="inlineStr">
        <is>
          <t>TUB-O-C-AUT-AD-FC-67.00X1.20X5.500-HDPE</t>
        </is>
      </c>
    </row>
    <row r="409">
      <c r="A409" t="inlineStr">
        <is>
          <t>0000188251</t>
        </is>
      </c>
      <c r="B409" t="inlineStr">
        <is>
          <t>Thirupathi Industries</t>
        </is>
      </c>
      <c r="C409" t="inlineStr">
        <is>
          <t>M</t>
        </is>
      </c>
      <c r="D409" t="n">
        <v>32</v>
      </c>
      <c r="E409" t="n">
        <v>176</v>
      </c>
      <c r="F409" t="n">
        <v>342.83</v>
      </c>
      <c r="G409" t="n">
        <v>3770405</v>
      </c>
      <c r="H409" t="inlineStr">
        <is>
          <t>TUB-O-C-AUT-AD-FC-67.00X1.20X5.500-HDPE</t>
        </is>
      </c>
    </row>
    <row r="410">
      <c r="A410" t="inlineStr">
        <is>
          <t>0000188251</t>
        </is>
      </c>
      <c r="B410" t="inlineStr">
        <is>
          <t>Thirupathi Industries</t>
        </is>
      </c>
      <c r="C410" t="inlineStr">
        <is>
          <t>M</t>
        </is>
      </c>
      <c r="D410" t="n">
        <v>140</v>
      </c>
      <c r="E410" t="n">
        <v>770</v>
      </c>
      <c r="F410" t="n">
        <v>1499.883</v>
      </c>
      <c r="G410" t="n">
        <v>3770405</v>
      </c>
      <c r="H410" t="inlineStr">
        <is>
          <t>TUB-O-C-AUT-AD-FC-67.00X1.20X5.500-HDPE</t>
        </is>
      </c>
    </row>
    <row r="411">
      <c r="A411" t="inlineStr">
        <is>
          <t>0000188251</t>
        </is>
      </c>
      <c r="B411" t="inlineStr">
        <is>
          <t>Thirupathi Industries</t>
        </is>
      </c>
      <c r="C411" t="inlineStr">
        <is>
          <t>M</t>
        </is>
      </c>
      <c r="D411" t="n">
        <v>136</v>
      </c>
      <c r="E411" t="n">
        <v>748</v>
      </c>
      <c r="F411" t="n">
        <v>1457.029</v>
      </c>
      <c r="G411" t="n">
        <v>3770405</v>
      </c>
      <c r="H411" t="inlineStr">
        <is>
          <t>TUB-O-C-AUT-AD-FC-67.00X1.20X5.500-HDPE</t>
        </is>
      </c>
    </row>
    <row r="412">
      <c r="A412" t="inlineStr">
        <is>
          <t>0000188251</t>
        </is>
      </c>
      <c r="B412" t="inlineStr">
        <is>
          <t>Thirupathi Industries</t>
        </is>
      </c>
      <c r="C412" t="inlineStr">
        <is>
          <t>M</t>
        </is>
      </c>
      <c r="D412" t="n">
        <v>144</v>
      </c>
      <c r="E412" t="n">
        <v>792</v>
      </c>
      <c r="F412" t="n">
        <v>1542.737</v>
      </c>
      <c r="G412" t="n">
        <v>3770405</v>
      </c>
      <c r="H412" t="inlineStr">
        <is>
          <t>TUB-O-C-AUT-AD-FC-67.00X1.20X5.500-HDPE</t>
        </is>
      </c>
    </row>
    <row r="413">
      <c r="A413" t="inlineStr">
        <is>
          <t>0000188251</t>
        </is>
      </c>
      <c r="B413" t="inlineStr">
        <is>
          <t>Thirupathi Industries</t>
        </is>
      </c>
      <c r="C413" t="inlineStr">
        <is>
          <t>M</t>
        </is>
      </c>
      <c r="D413" t="n">
        <v>136</v>
      </c>
      <c r="E413" t="n">
        <v>748</v>
      </c>
      <c r="F413" t="n">
        <v>1457.029</v>
      </c>
      <c r="G413" t="n">
        <v>3770405</v>
      </c>
      <c r="H413" t="inlineStr">
        <is>
          <t>TUB-O-C-AUT-AD-FC-67.00X1.20X5.500-HDPE</t>
        </is>
      </c>
    </row>
    <row r="414">
      <c r="A414" t="inlineStr">
        <is>
          <t>0000188251</t>
        </is>
      </c>
      <c r="B414" t="inlineStr">
        <is>
          <t>Thirupathi Industries</t>
        </is>
      </c>
      <c r="C414" t="inlineStr">
        <is>
          <t>M</t>
        </is>
      </c>
      <c r="D414" t="n">
        <v>128</v>
      </c>
      <c r="E414" t="n">
        <v>704</v>
      </c>
      <c r="F414" t="n">
        <v>1371.322</v>
      </c>
      <c r="G414" t="n">
        <v>3770405</v>
      </c>
      <c r="H414" t="inlineStr">
        <is>
          <t>TUB-O-C-AUT-AD-FC-67.00X1.20X5.500-HDPE</t>
        </is>
      </c>
    </row>
    <row r="415">
      <c r="A415" t="inlineStr">
        <is>
          <t>0000188251</t>
        </is>
      </c>
      <c r="B415" t="inlineStr">
        <is>
          <t>Thirupathi Industries</t>
        </is>
      </c>
      <c r="C415" t="inlineStr">
        <is>
          <t>M</t>
        </is>
      </c>
      <c r="D415" t="n">
        <v>80</v>
      </c>
      <c r="E415" t="n">
        <v>440</v>
      </c>
      <c r="F415" t="n">
        <v>857.076</v>
      </c>
      <c r="G415" t="n">
        <v>3770405</v>
      </c>
      <c r="H415" t="inlineStr">
        <is>
          <t>TUB-O-C-AUT-AD-FC-67.00X1.20X5.500-HDPE</t>
        </is>
      </c>
    </row>
    <row r="416">
      <c r="A416" t="inlineStr">
        <is>
          <t>0000944119</t>
        </is>
      </c>
      <c r="B416" t="inlineStr">
        <is>
          <t>BHARAT TUBES CORPORATION</t>
        </is>
      </c>
      <c r="C416" t="inlineStr">
        <is>
          <t>NOS</t>
        </is>
      </c>
      <c r="D416" t="n">
        <v>20</v>
      </c>
      <c r="E416" t="n">
        <v>67.101</v>
      </c>
      <c r="F416" t="n">
        <v>252.36</v>
      </c>
      <c r="G416" t="n">
        <v>3499935</v>
      </c>
      <c r="H416" t="inlineStr">
        <is>
          <t>TUB-O-N-AHT-NR-FC-63.50X2.640X3.355</t>
        </is>
      </c>
    </row>
    <row r="417">
      <c r="A417" t="inlineStr">
        <is>
          <t>0000944119</t>
        </is>
      </c>
      <c r="B417" t="inlineStr">
        <is>
          <t>BHARAT TUBES CORPORATION</t>
        </is>
      </c>
      <c r="C417" t="inlineStr">
        <is>
          <t>NOS</t>
        </is>
      </c>
      <c r="D417" t="n">
        <v>61</v>
      </c>
      <c r="E417" t="n">
        <v>204.658</v>
      </c>
      <c r="F417" t="n">
        <v>769.698</v>
      </c>
      <c r="G417" t="n">
        <v>3499935</v>
      </c>
      <c r="H417" t="inlineStr">
        <is>
          <t>TUB-O-N-AHT-NR-FC-63.50X2.640X3.355</t>
        </is>
      </c>
    </row>
    <row r="418">
      <c r="A418" t="inlineStr">
        <is>
          <t>0000944119</t>
        </is>
      </c>
      <c r="B418" t="inlineStr">
        <is>
          <t>BHARAT TUBES CORPORATION</t>
        </is>
      </c>
      <c r="C418" t="inlineStr">
        <is>
          <t>NOS</t>
        </is>
      </c>
      <c r="D418" t="n">
        <v>62</v>
      </c>
      <c r="E418" t="n">
        <v>314.393</v>
      </c>
      <c r="F418" t="n">
        <v>1182.402</v>
      </c>
      <c r="G418" t="n">
        <v>4244172</v>
      </c>
      <c r="H418" t="inlineStr">
        <is>
          <t>TUB-O-N-AHT-NR-FC-63.50X2.640X5.0710</t>
        </is>
      </c>
    </row>
    <row r="419">
      <c r="A419" t="inlineStr">
        <is>
          <t>0000944119</t>
        </is>
      </c>
      <c r="B419" t="inlineStr">
        <is>
          <t>BHARAT TUBES CORPORATION</t>
        </is>
      </c>
      <c r="C419" t="inlineStr">
        <is>
          <t>NOS</t>
        </is>
      </c>
      <c r="D419" t="n">
        <v>62</v>
      </c>
      <c r="E419" t="n">
        <v>314.393</v>
      </c>
      <c r="F419" t="n">
        <v>1182.402</v>
      </c>
      <c r="G419" t="n">
        <v>4244172</v>
      </c>
      <c r="H419" t="inlineStr">
        <is>
          <t>TUB-O-N-AHT-NR-FC-63.50X2.640X5.0710</t>
        </is>
      </c>
    </row>
    <row r="420">
      <c r="A420" t="inlineStr">
        <is>
          <t>0000944119</t>
        </is>
      </c>
      <c r="B420" t="inlineStr">
        <is>
          <t>BHARAT TUBES CORPORATION</t>
        </is>
      </c>
      <c r="C420" t="inlineStr">
        <is>
          <t>NOS</t>
        </is>
      </c>
      <c r="D420" t="n">
        <v>62</v>
      </c>
      <c r="E420" t="n">
        <v>314.393</v>
      </c>
      <c r="F420" t="n">
        <v>1182.402</v>
      </c>
      <c r="G420" t="n">
        <v>4244172</v>
      </c>
      <c r="H420" t="inlineStr">
        <is>
          <t>TUB-O-N-AHT-NR-FC-63.50X2.640X5.0710</t>
        </is>
      </c>
    </row>
    <row r="421">
      <c r="A421" t="inlineStr">
        <is>
          <t>0000944119</t>
        </is>
      </c>
      <c r="B421" t="inlineStr">
        <is>
          <t>BHARAT TUBES CORPORATION</t>
        </is>
      </c>
      <c r="C421" t="inlineStr">
        <is>
          <t>NOS</t>
        </is>
      </c>
      <c r="D421" t="n">
        <v>62</v>
      </c>
      <c r="E421" t="n">
        <v>314.393</v>
      </c>
      <c r="F421" t="n">
        <v>1182.402</v>
      </c>
      <c r="G421" t="n">
        <v>4244172</v>
      </c>
      <c r="H421" t="inlineStr">
        <is>
          <t>TUB-O-N-AHT-NR-FC-63.50X2.640X5.0710</t>
        </is>
      </c>
    </row>
    <row r="422">
      <c r="A422" t="inlineStr">
        <is>
          <t>0000944119</t>
        </is>
      </c>
      <c r="B422" t="inlineStr">
        <is>
          <t>BHARAT TUBES CORPORATION</t>
        </is>
      </c>
      <c r="C422" t="inlineStr">
        <is>
          <t>NOS</t>
        </is>
      </c>
      <c r="D422" t="n">
        <v>62</v>
      </c>
      <c r="E422" t="n">
        <v>314.393</v>
      </c>
      <c r="F422" t="n">
        <v>1182.402</v>
      </c>
      <c r="G422" t="n">
        <v>4244172</v>
      </c>
      <c r="H422" t="inlineStr">
        <is>
          <t>TUB-O-N-AHT-NR-FC-63.50X2.640X5.0710</t>
        </is>
      </c>
    </row>
    <row r="423">
      <c r="A423" t="inlineStr">
        <is>
          <t>0000944119</t>
        </is>
      </c>
      <c r="B423" t="inlineStr">
        <is>
          <t>BHARAT TUBES CORPORATION</t>
        </is>
      </c>
      <c r="C423" t="inlineStr">
        <is>
          <t>NOS</t>
        </is>
      </c>
      <c r="D423" t="n">
        <v>62</v>
      </c>
      <c r="E423" t="n">
        <v>314.393</v>
      </c>
      <c r="F423" t="n">
        <v>1182.402</v>
      </c>
      <c r="G423" t="n">
        <v>4244172</v>
      </c>
      <c r="H423" t="inlineStr">
        <is>
          <t>TUB-O-N-AHT-NR-FC-63.50X2.640X5.0710</t>
        </is>
      </c>
    </row>
    <row r="424">
      <c r="A424" t="inlineStr">
        <is>
          <t>0000944119</t>
        </is>
      </c>
      <c r="B424" t="inlineStr">
        <is>
          <t>BHARAT TUBES CORPORATION</t>
        </is>
      </c>
      <c r="C424" t="inlineStr">
        <is>
          <t>NOS</t>
        </is>
      </c>
      <c r="D424" t="n">
        <v>62</v>
      </c>
      <c r="E424" t="n">
        <v>314.393</v>
      </c>
      <c r="F424" t="n">
        <v>1182.402</v>
      </c>
      <c r="G424" t="n">
        <v>4244172</v>
      </c>
      <c r="H424" t="inlineStr">
        <is>
          <t>TUB-O-N-AHT-NR-FC-63.50X2.640X5.0710</t>
        </is>
      </c>
    </row>
    <row r="425">
      <c r="A425" t="inlineStr">
        <is>
          <t>0000944119</t>
        </is>
      </c>
      <c r="B425" t="inlineStr">
        <is>
          <t>BHARAT TUBES CORPORATION</t>
        </is>
      </c>
      <c r="C425" t="inlineStr">
        <is>
          <t>NOS</t>
        </is>
      </c>
      <c r="D425" t="n">
        <v>62</v>
      </c>
      <c r="E425" t="n">
        <v>314.393</v>
      </c>
      <c r="F425" t="n">
        <v>1182.402</v>
      </c>
      <c r="G425" t="n">
        <v>4244172</v>
      </c>
      <c r="H425" t="inlineStr">
        <is>
          <t>TUB-O-N-AHT-NR-FC-63.50X2.640X5.0710</t>
        </is>
      </c>
    </row>
    <row r="426">
      <c r="A426" t="inlineStr">
        <is>
          <t>0000944119</t>
        </is>
      </c>
      <c r="B426" t="inlineStr">
        <is>
          <t>BHARAT TUBES CORPORATION</t>
        </is>
      </c>
      <c r="C426" t="inlineStr">
        <is>
          <t>NOS</t>
        </is>
      </c>
      <c r="D426" t="n">
        <v>49</v>
      </c>
      <c r="E426" t="n">
        <v>248.472</v>
      </c>
      <c r="F426" t="n">
        <v>934.479</v>
      </c>
      <c r="G426" t="n">
        <v>4244172</v>
      </c>
      <c r="H426" t="inlineStr">
        <is>
          <t>TUB-O-N-AHT-NR-FC-63.50X2.640X5.0710</t>
        </is>
      </c>
    </row>
    <row r="427">
      <c r="A427" t="inlineStr">
        <is>
          <t>0000944119</t>
        </is>
      </c>
      <c r="B427" t="inlineStr">
        <is>
          <t>BHARAT TUBES CORPORATION</t>
        </is>
      </c>
      <c r="C427" t="inlineStr">
        <is>
          <t>NOS</t>
        </is>
      </c>
      <c r="D427" t="n">
        <v>74</v>
      </c>
      <c r="E427" t="n">
        <v>377.468</v>
      </c>
      <c r="F427" t="n">
        <v>1742.996</v>
      </c>
      <c r="G427" t="n">
        <v>3502201</v>
      </c>
      <c r="H427" t="inlineStr">
        <is>
          <t>TUB-O-N-BOT-NR-FC-63.50X3.250X5.1010</t>
        </is>
      </c>
    </row>
    <row r="428">
      <c r="A428" t="inlineStr">
        <is>
          <t>0000944119</t>
        </is>
      </c>
      <c r="B428" t="inlineStr">
        <is>
          <t>BHARAT TUBES CORPORATION</t>
        </is>
      </c>
      <c r="C428" t="inlineStr">
        <is>
          <t>NOS</t>
        </is>
      </c>
      <c r="D428" t="n">
        <v>61</v>
      </c>
      <c r="E428" t="n">
        <v>311.156</v>
      </c>
      <c r="F428" t="n">
        <v>1436.794</v>
      </c>
      <c r="G428" t="n">
        <v>3502201</v>
      </c>
      <c r="H428" t="inlineStr">
        <is>
          <t>TUB-O-N-BOT-NR-FC-63.50X3.250X5.1010</t>
        </is>
      </c>
    </row>
    <row r="429">
      <c r="A429" t="inlineStr">
        <is>
          <t>0000944119</t>
        </is>
      </c>
      <c r="B429" t="inlineStr">
        <is>
          <t>BHARAT TUBES CORPORATION</t>
        </is>
      </c>
      <c r="C429" t="inlineStr">
        <is>
          <t>NOS</t>
        </is>
      </c>
      <c r="D429" t="n">
        <v>61</v>
      </c>
      <c r="E429" t="n">
        <v>311.156</v>
      </c>
      <c r="F429" t="n">
        <v>1436.794</v>
      </c>
      <c r="G429" t="n">
        <v>3502201</v>
      </c>
      <c r="H429" t="inlineStr">
        <is>
          <t>TUB-O-N-BOT-NR-FC-63.50X3.250X5.1010</t>
        </is>
      </c>
    </row>
    <row r="430">
      <c r="A430" t="inlineStr">
        <is>
          <t>0000944119</t>
        </is>
      </c>
      <c r="B430" t="inlineStr">
        <is>
          <t>BHARAT TUBES CORPORATION</t>
        </is>
      </c>
      <c r="C430" t="inlineStr">
        <is>
          <t>NOS</t>
        </is>
      </c>
      <c r="D430" t="n">
        <v>61</v>
      </c>
      <c r="E430" t="n">
        <v>311.156</v>
      </c>
      <c r="F430" t="n">
        <v>1436.794</v>
      </c>
      <c r="G430" t="n">
        <v>3502201</v>
      </c>
      <c r="H430" t="inlineStr">
        <is>
          <t>TUB-O-N-BOT-NR-FC-63.50X3.250X5.1010</t>
        </is>
      </c>
    </row>
    <row r="431">
      <c r="A431" t="inlineStr">
        <is>
          <t>0000944119</t>
        </is>
      </c>
      <c r="B431" t="inlineStr">
        <is>
          <t>BHARAT TUBES CORPORATION</t>
        </is>
      </c>
      <c r="C431" t="inlineStr">
        <is>
          <t>NOS</t>
        </is>
      </c>
      <c r="D431" t="n">
        <v>61</v>
      </c>
      <c r="E431" t="n">
        <v>311.156</v>
      </c>
      <c r="F431" t="n">
        <v>1436.794</v>
      </c>
      <c r="G431" t="n">
        <v>3502201</v>
      </c>
      <c r="H431" t="inlineStr">
        <is>
          <t>TUB-O-N-BOT-NR-FC-63.50X3.250X5.1010</t>
        </is>
      </c>
    </row>
    <row r="432">
      <c r="A432" t="inlineStr">
        <is>
          <t>0000944119</t>
        </is>
      </c>
      <c r="B432" t="inlineStr">
        <is>
          <t>BHARAT TUBES CORPORATION</t>
        </is>
      </c>
      <c r="C432" t="inlineStr">
        <is>
          <t>NOS</t>
        </is>
      </c>
      <c r="D432" t="n">
        <v>61</v>
      </c>
      <c r="E432" t="n">
        <v>311.156</v>
      </c>
      <c r="F432" t="n">
        <v>1436.794</v>
      </c>
      <c r="G432" t="n">
        <v>3502201</v>
      </c>
      <c r="H432" t="inlineStr">
        <is>
          <t>TUB-O-N-BOT-NR-FC-63.50X3.250X5.1010</t>
        </is>
      </c>
    </row>
    <row r="433">
      <c r="A433" t="inlineStr">
        <is>
          <t>0000944119</t>
        </is>
      </c>
      <c r="B433" t="inlineStr">
        <is>
          <t>BHARAT TUBES CORPORATION</t>
        </is>
      </c>
      <c r="C433" t="inlineStr">
        <is>
          <t>NOS</t>
        </is>
      </c>
      <c r="D433" t="n">
        <v>61</v>
      </c>
      <c r="E433" t="n">
        <v>311.156</v>
      </c>
      <c r="F433" t="n">
        <v>1436.794</v>
      </c>
      <c r="G433" t="n">
        <v>3502201</v>
      </c>
      <c r="H433" t="inlineStr">
        <is>
          <t>TUB-O-N-BOT-NR-FC-63.50X3.250X5.1010</t>
        </is>
      </c>
    </row>
    <row r="434">
      <c r="A434" t="inlineStr">
        <is>
          <t>0000943209</t>
        </is>
      </c>
      <c r="B434" t="inlineStr">
        <is>
          <t>MEGH STEELS PRIVATE LIMITED - TVS A</t>
        </is>
      </c>
      <c r="C434" t="inlineStr">
        <is>
          <t>KG</t>
        </is>
      </c>
      <c r="D434" t="n">
        <v>118</v>
      </c>
      <c r="E434" t="n">
        <v>698.977</v>
      </c>
      <c r="F434" t="n">
        <v>2596</v>
      </c>
      <c r="G434" t="n">
        <v>3500391</v>
      </c>
      <c r="H434" t="inlineStr">
        <is>
          <t>TUB-O-N-AUT-AW-FC-54.00X3.000X5.910</t>
        </is>
      </c>
    </row>
    <row r="435">
      <c r="A435" t="inlineStr">
        <is>
          <t>0000943209</t>
        </is>
      </c>
      <c r="B435" t="inlineStr">
        <is>
          <t>MEGH STEELS PRIVATE LIMITED - TVS A</t>
        </is>
      </c>
      <c r="C435" t="inlineStr">
        <is>
          <t>KG</t>
        </is>
      </c>
      <c r="D435" t="n">
        <v>131</v>
      </c>
      <c r="E435" t="n">
        <v>771.405</v>
      </c>
      <c r="F435" t="n">
        <v>2865</v>
      </c>
      <c r="G435" t="n">
        <v>3500391</v>
      </c>
      <c r="H435" t="inlineStr">
        <is>
          <t>TUB-O-N-AUT-AW-FC-54.00X3.000X5.910</t>
        </is>
      </c>
    </row>
    <row r="436">
      <c r="A436" t="inlineStr">
        <is>
          <t>0000943209</t>
        </is>
      </c>
      <c r="B436" t="inlineStr">
        <is>
          <t>MEGH STEELS PRIVATE LIMITED - TVS A</t>
        </is>
      </c>
      <c r="C436" t="inlineStr">
        <is>
          <t>KG</t>
        </is>
      </c>
      <c r="D436" t="n">
        <v>144</v>
      </c>
      <c r="E436" t="n">
        <v>849.2190000000001</v>
      </c>
      <c r="F436" t="n">
        <v>3154</v>
      </c>
      <c r="G436" t="n">
        <v>3500391</v>
      </c>
      <c r="H436" t="inlineStr">
        <is>
          <t>TUB-O-N-AUT-AW-FC-54.00X3.000X5.910</t>
        </is>
      </c>
    </row>
    <row r="437">
      <c r="A437" t="inlineStr">
        <is>
          <t>0000943209</t>
        </is>
      </c>
      <c r="B437" t="inlineStr">
        <is>
          <t>MEGH STEELS PRIVATE LIMITED - TVS A</t>
        </is>
      </c>
      <c r="C437" t="inlineStr">
        <is>
          <t>KG</t>
        </is>
      </c>
      <c r="D437" t="n">
        <v>144</v>
      </c>
      <c r="E437" t="n">
        <v>849.2190000000001</v>
      </c>
      <c r="F437" t="n">
        <v>3154</v>
      </c>
      <c r="G437" t="n">
        <v>3500391</v>
      </c>
      <c r="H437" t="inlineStr">
        <is>
          <t>TUB-O-N-AUT-AW-FC-54.00X3.000X5.910</t>
        </is>
      </c>
    </row>
    <row r="438">
      <c r="A438" t="inlineStr">
        <is>
          <t>0000943209</t>
        </is>
      </c>
      <c r="B438" t="inlineStr">
        <is>
          <t>MEGH STEELS PRIVATE LIMITED - TVS A</t>
        </is>
      </c>
      <c r="C438" t="inlineStr">
        <is>
          <t>KG</t>
        </is>
      </c>
      <c r="D438" t="n">
        <v>144</v>
      </c>
      <c r="E438" t="n">
        <v>849.2190000000001</v>
      </c>
      <c r="F438" t="n">
        <v>3154</v>
      </c>
      <c r="G438" t="n">
        <v>3500391</v>
      </c>
      <c r="H438" t="inlineStr">
        <is>
          <t>TUB-O-N-AUT-AW-FC-54.00X3.000X5.910</t>
        </is>
      </c>
    </row>
    <row r="439">
      <c r="A439" t="inlineStr">
        <is>
          <t>0000943209</t>
        </is>
      </c>
      <c r="B439" t="inlineStr">
        <is>
          <t>MEGH STEELS PRIVATE LIMITED - TVS A</t>
        </is>
      </c>
      <c r="C439" t="inlineStr">
        <is>
          <t>KG</t>
        </is>
      </c>
      <c r="D439" t="n">
        <v>144</v>
      </c>
      <c r="E439" t="n">
        <v>849.2190000000001</v>
      </c>
      <c r="F439" t="n">
        <v>3154</v>
      </c>
      <c r="G439" t="n">
        <v>3500391</v>
      </c>
      <c r="H439" t="inlineStr">
        <is>
          <t>TUB-O-N-AUT-AW-FC-54.00X3.000X5.910</t>
        </is>
      </c>
    </row>
    <row r="440">
      <c r="A440" t="inlineStr">
        <is>
          <t>0000943209</t>
        </is>
      </c>
      <c r="B440" t="inlineStr">
        <is>
          <t>MEGH STEELS PRIVATE LIMITED - TVS A</t>
        </is>
      </c>
      <c r="C440" t="inlineStr">
        <is>
          <t>KG</t>
        </is>
      </c>
      <c r="D440" t="n">
        <v>144</v>
      </c>
      <c r="E440" t="n">
        <v>849.2190000000001</v>
      </c>
      <c r="F440" t="n">
        <v>3154</v>
      </c>
      <c r="G440" t="n">
        <v>3500391</v>
      </c>
      <c r="H440" t="inlineStr">
        <is>
          <t>TUB-O-N-AUT-AW-FC-54.00X3.000X5.910</t>
        </is>
      </c>
    </row>
    <row r="441">
      <c r="A441" t="inlineStr">
        <is>
          <t>0000943209</t>
        </is>
      </c>
      <c r="B441" t="inlineStr">
        <is>
          <t>MEGH STEELS PRIVATE LIMITED - TVS A</t>
        </is>
      </c>
      <c r="C441" t="inlineStr">
        <is>
          <t>KG</t>
        </is>
      </c>
      <c r="D441" t="n">
        <v>142</v>
      </c>
      <c r="E441" t="n">
        <v>837.372</v>
      </c>
      <c r="F441" t="n">
        <v>3110</v>
      </c>
      <c r="G441" t="n">
        <v>3500391</v>
      </c>
      <c r="H441" t="inlineStr">
        <is>
          <t>TUB-O-N-AUT-AW-FC-54.00X3.000X5.910</t>
        </is>
      </c>
    </row>
    <row r="442">
      <c r="A442" t="inlineStr">
        <is>
          <t>0000943209</t>
        </is>
      </c>
      <c r="B442" t="inlineStr">
        <is>
          <t>MEGH STEELS PRIVATE LIMITED - TVS A</t>
        </is>
      </c>
      <c r="C442" t="inlineStr">
        <is>
          <t>KG</t>
        </is>
      </c>
      <c r="D442" t="n">
        <v>144</v>
      </c>
      <c r="E442" t="n">
        <v>849.2190000000001</v>
      </c>
      <c r="F442" t="n">
        <v>3154</v>
      </c>
      <c r="G442" t="n">
        <v>3500391</v>
      </c>
      <c r="H442" t="inlineStr">
        <is>
          <t>TUB-O-N-AUT-AW-FC-54.00X3.000X5.910</t>
        </is>
      </c>
    </row>
    <row r="443">
      <c r="A443" t="inlineStr">
        <is>
          <t>0000943209</t>
        </is>
      </c>
      <c r="B443" t="inlineStr">
        <is>
          <t>MEGH STEELS PRIVATE LIMITED - TVS A</t>
        </is>
      </c>
      <c r="C443" t="inlineStr">
        <is>
          <t>KG</t>
        </is>
      </c>
      <c r="D443" t="n">
        <v>140</v>
      </c>
      <c r="E443" t="n">
        <v>825.256</v>
      </c>
      <c r="F443" t="n">
        <v>3065</v>
      </c>
      <c r="G443" t="n">
        <v>3500391</v>
      </c>
      <c r="H443" t="inlineStr">
        <is>
          <t>TUB-O-N-AUT-AW-FC-54.00X3.000X5.910</t>
        </is>
      </c>
    </row>
    <row r="444">
      <c r="A444" t="inlineStr">
        <is>
          <t>0000188251</t>
        </is>
      </c>
      <c r="B444" t="inlineStr">
        <is>
          <t>Thirupathi Industries</t>
        </is>
      </c>
      <c r="C444" t="inlineStr">
        <is>
          <t>M</t>
        </is>
      </c>
      <c r="D444" t="n">
        <v>30</v>
      </c>
      <c r="E444" t="n">
        <v>165</v>
      </c>
      <c r="F444" t="n">
        <v>321.404</v>
      </c>
      <c r="G444" t="n">
        <v>3770405</v>
      </c>
      <c r="H444" t="inlineStr">
        <is>
          <t>TUB-O-C-AUT-AD-FC-67.00X1.20X5.500-HDPE</t>
        </is>
      </c>
    </row>
    <row r="445">
      <c r="A445" t="inlineStr">
        <is>
          <t>0000188251</t>
        </is>
      </c>
      <c r="B445" t="inlineStr">
        <is>
          <t>Thirupathi Industries</t>
        </is>
      </c>
      <c r="C445" t="inlineStr">
        <is>
          <t>M</t>
        </is>
      </c>
      <c r="D445" t="n">
        <v>50</v>
      </c>
      <c r="E445" t="n">
        <v>275</v>
      </c>
      <c r="F445" t="n">
        <v>535.673</v>
      </c>
      <c r="G445" t="n">
        <v>3770405</v>
      </c>
      <c r="H445" t="inlineStr">
        <is>
          <t>TUB-O-C-AUT-AD-FC-67.00X1.20X5.500-HDPE</t>
        </is>
      </c>
    </row>
    <row r="446">
      <c r="A446" t="inlineStr">
        <is>
          <t>0000188251</t>
        </is>
      </c>
      <c r="B446" t="inlineStr">
        <is>
          <t>Thirupathi Industries</t>
        </is>
      </c>
      <c r="C446" t="inlineStr">
        <is>
          <t>M</t>
        </is>
      </c>
      <c r="D446" t="n">
        <v>63</v>
      </c>
      <c r="E446" t="n">
        <v>346.5</v>
      </c>
      <c r="F446" t="n">
        <v>674.947</v>
      </c>
      <c r="G446" t="n">
        <v>3770405</v>
      </c>
      <c r="H446" t="inlineStr">
        <is>
          <t>TUB-O-C-AUT-AD-FC-67.00X1.20X5.500-HDPE</t>
        </is>
      </c>
    </row>
    <row r="447">
      <c r="A447" t="inlineStr">
        <is>
          <t>0000188251</t>
        </is>
      </c>
      <c r="B447" t="inlineStr">
        <is>
          <t>Thirupathi Industries</t>
        </is>
      </c>
      <c r="C447" t="inlineStr">
        <is>
          <t>M</t>
        </is>
      </c>
      <c r="D447" t="n">
        <v>156</v>
      </c>
      <c r="E447" t="n">
        <v>858</v>
      </c>
      <c r="F447" t="n">
        <v>1671.298</v>
      </c>
      <c r="G447" t="n">
        <v>3770405</v>
      </c>
      <c r="H447" t="inlineStr">
        <is>
          <t>TUB-O-C-AUT-AD-FC-67.00X1.20X5.500-HDPE</t>
        </is>
      </c>
    </row>
    <row r="448">
      <c r="A448" t="inlineStr">
        <is>
          <t>0000188251</t>
        </is>
      </c>
      <c r="B448" t="inlineStr">
        <is>
          <t>Thirupathi Industries</t>
        </is>
      </c>
      <c r="C448" t="inlineStr">
        <is>
          <t>M</t>
        </is>
      </c>
      <c r="D448" t="n">
        <v>100</v>
      </c>
      <c r="E448" t="n">
        <v>550</v>
      </c>
      <c r="F448" t="n">
        <v>1071.345</v>
      </c>
      <c r="G448" t="n">
        <v>3770405</v>
      </c>
      <c r="H448" t="inlineStr">
        <is>
          <t>TUB-O-C-AUT-AD-FC-67.00X1.20X5.500-HDPE</t>
        </is>
      </c>
    </row>
    <row r="449">
      <c r="A449" t="inlineStr">
        <is>
          <t>0000188251</t>
        </is>
      </c>
      <c r="B449" t="inlineStr">
        <is>
          <t>Thirupathi Industries</t>
        </is>
      </c>
      <c r="C449" t="inlineStr">
        <is>
          <t>M</t>
        </is>
      </c>
      <c r="D449" t="n">
        <v>148</v>
      </c>
      <c r="E449" t="n">
        <v>814</v>
      </c>
      <c r="F449" t="n">
        <v>1585.591</v>
      </c>
      <c r="G449" t="n">
        <v>3770405</v>
      </c>
      <c r="H449" t="inlineStr">
        <is>
          <t>TUB-O-C-AUT-AD-FC-67.00X1.20X5.500-HDPE</t>
        </is>
      </c>
    </row>
    <row r="450">
      <c r="A450" t="inlineStr">
        <is>
          <t>0000188251</t>
        </is>
      </c>
      <c r="B450" t="inlineStr">
        <is>
          <t>Thirupathi Industries</t>
        </is>
      </c>
      <c r="C450" t="inlineStr">
        <is>
          <t>M</t>
        </is>
      </c>
      <c r="D450" t="n">
        <v>136</v>
      </c>
      <c r="E450" t="n">
        <v>748</v>
      </c>
      <c r="F450" t="n">
        <v>1457.029</v>
      </c>
      <c r="G450" t="n">
        <v>3770405</v>
      </c>
      <c r="H450" t="inlineStr">
        <is>
          <t>TUB-O-C-AUT-AD-FC-67.00X1.20X5.500-HDPE</t>
        </is>
      </c>
    </row>
    <row r="451">
      <c r="A451" t="inlineStr">
        <is>
          <t>0000188251</t>
        </is>
      </c>
      <c r="B451" t="inlineStr">
        <is>
          <t>Thirupathi Industries</t>
        </is>
      </c>
      <c r="C451" t="inlineStr">
        <is>
          <t>M</t>
        </is>
      </c>
      <c r="D451" t="n">
        <v>164</v>
      </c>
      <c r="E451" t="n">
        <v>902</v>
      </c>
      <c r="F451" t="n">
        <v>1757.006</v>
      </c>
      <c r="G451" t="n">
        <v>3770405</v>
      </c>
      <c r="H451" t="inlineStr">
        <is>
          <t>TUB-O-C-AUT-AD-FC-67.00X1.20X5.500-HDPE</t>
        </is>
      </c>
    </row>
    <row r="452">
      <c r="A452" t="inlineStr">
        <is>
          <t>0000187765</t>
        </is>
      </c>
      <c r="B452" t="inlineStr">
        <is>
          <t>Ttp Technologies Private Ltd</t>
        </is>
      </c>
      <c r="C452" t="inlineStr">
        <is>
          <t>KG</t>
        </is>
      </c>
      <c r="D452" t="n">
        <v>19</v>
      </c>
      <c r="E452" t="n">
        <v>112.88</v>
      </c>
      <c r="F452" t="n">
        <v>975</v>
      </c>
      <c r="G452" t="n">
        <v>3702253</v>
      </c>
      <c r="H452" t="inlineStr">
        <is>
          <t>TUB-O-N-GEN-AW-FC-114.30X3.200X6.0000</t>
        </is>
      </c>
    </row>
    <row r="453">
      <c r="A453" t="inlineStr">
        <is>
          <t>0000187765</t>
        </is>
      </c>
      <c r="B453" t="inlineStr">
        <is>
          <t>Ttp Technologies Private Ltd</t>
        </is>
      </c>
      <c r="C453" t="inlineStr">
        <is>
          <t>KG</t>
        </is>
      </c>
      <c r="D453" t="n">
        <v>19</v>
      </c>
      <c r="E453" t="n">
        <v>112.88</v>
      </c>
      <c r="F453" t="n">
        <v>975</v>
      </c>
      <c r="G453" t="n">
        <v>3702253</v>
      </c>
      <c r="H453" t="inlineStr">
        <is>
          <t>TUB-O-N-GEN-AW-FC-114.30X3.200X6.0000</t>
        </is>
      </c>
    </row>
    <row r="454">
      <c r="A454" t="inlineStr">
        <is>
          <t>0000187765</t>
        </is>
      </c>
      <c r="B454" t="inlineStr">
        <is>
          <t>Ttp Technologies Private Ltd</t>
        </is>
      </c>
      <c r="C454" t="inlineStr">
        <is>
          <t>KG</t>
        </is>
      </c>
      <c r="D454" t="n">
        <v>19</v>
      </c>
      <c r="E454" t="n">
        <v>112.88</v>
      </c>
      <c r="F454" t="n">
        <v>975</v>
      </c>
      <c r="G454" t="n">
        <v>3702253</v>
      </c>
      <c r="H454" t="inlineStr">
        <is>
          <t>TUB-O-N-GEN-AW-FC-114.30X3.200X6.0000</t>
        </is>
      </c>
    </row>
    <row r="455">
      <c r="A455" t="inlineStr">
        <is>
          <t>0000187765</t>
        </is>
      </c>
      <c r="B455" t="inlineStr">
        <is>
          <t>Ttp Technologies Private Ltd</t>
        </is>
      </c>
      <c r="C455" t="inlineStr">
        <is>
          <t>KG</t>
        </is>
      </c>
      <c r="D455" t="n">
        <v>19</v>
      </c>
      <c r="E455" t="n">
        <v>112.88</v>
      </c>
      <c r="F455" t="n">
        <v>975</v>
      </c>
      <c r="G455" t="n">
        <v>3702253</v>
      </c>
      <c r="H455" t="inlineStr">
        <is>
          <t>TUB-O-N-GEN-AW-FC-114.30X3.200X6.0000</t>
        </is>
      </c>
    </row>
    <row r="456">
      <c r="A456" t="inlineStr">
        <is>
          <t>0000187765</t>
        </is>
      </c>
      <c r="B456" t="inlineStr">
        <is>
          <t>Ttp Technologies Private Ltd</t>
        </is>
      </c>
      <c r="C456" t="inlineStr">
        <is>
          <t>KG</t>
        </is>
      </c>
      <c r="D456" t="n">
        <v>19</v>
      </c>
      <c r="E456" t="n">
        <v>112.88</v>
      </c>
      <c r="F456" t="n">
        <v>975</v>
      </c>
      <c r="G456" t="n">
        <v>3702253</v>
      </c>
      <c r="H456" t="inlineStr">
        <is>
          <t>TUB-O-N-GEN-AW-FC-114.30X3.200X6.0000</t>
        </is>
      </c>
    </row>
    <row r="457">
      <c r="A457" t="inlineStr">
        <is>
          <t>0000187765</t>
        </is>
      </c>
      <c r="B457" t="inlineStr">
        <is>
          <t>Ttp Technologies Private Ltd</t>
        </is>
      </c>
      <c r="C457" t="inlineStr">
        <is>
          <t>KG</t>
        </is>
      </c>
      <c r="D457" t="n">
        <v>19</v>
      </c>
      <c r="E457" t="n">
        <v>112.88</v>
      </c>
      <c r="F457" t="n">
        <v>975</v>
      </c>
      <c r="G457" t="n">
        <v>3702253</v>
      </c>
      <c r="H457" t="inlineStr">
        <is>
          <t>TUB-O-N-GEN-AW-FC-114.30X3.200X6.0000</t>
        </is>
      </c>
    </row>
    <row r="458">
      <c r="A458" t="inlineStr">
        <is>
          <t>0000187765</t>
        </is>
      </c>
      <c r="B458" t="inlineStr">
        <is>
          <t>Ttp Technologies Private Ltd</t>
        </is>
      </c>
      <c r="C458" t="inlineStr">
        <is>
          <t>KG</t>
        </is>
      </c>
      <c r="D458" t="n">
        <v>19</v>
      </c>
      <c r="E458" t="n">
        <v>112.88</v>
      </c>
      <c r="F458" t="n">
        <v>975</v>
      </c>
      <c r="G458" t="n">
        <v>3702253</v>
      </c>
      <c r="H458" t="inlineStr">
        <is>
          <t>TUB-O-N-GEN-AW-FC-114.30X3.200X6.0000</t>
        </is>
      </c>
    </row>
    <row r="459">
      <c r="A459" t="inlineStr">
        <is>
          <t>0000187765</t>
        </is>
      </c>
      <c r="B459" t="inlineStr">
        <is>
          <t>Ttp Technologies Private Ltd</t>
        </is>
      </c>
      <c r="C459" t="inlineStr">
        <is>
          <t>KG</t>
        </is>
      </c>
      <c r="D459" t="n">
        <v>19</v>
      </c>
      <c r="E459" t="n">
        <v>112.301</v>
      </c>
      <c r="F459" t="n">
        <v>970</v>
      </c>
      <c r="G459" t="n">
        <v>3702253</v>
      </c>
      <c r="H459" t="inlineStr">
        <is>
          <t>TUB-O-N-GEN-AW-FC-114.30X3.200X6.0000</t>
        </is>
      </c>
    </row>
    <row r="460">
      <c r="A460" t="inlineStr">
        <is>
          <t>0000187765</t>
        </is>
      </c>
      <c r="B460" t="inlineStr">
        <is>
          <t>Ttp Technologies Private Ltd</t>
        </is>
      </c>
      <c r="C460" t="inlineStr">
        <is>
          <t>KG</t>
        </is>
      </c>
      <c r="D460" t="n">
        <v>19</v>
      </c>
      <c r="E460" t="n">
        <v>112.88</v>
      </c>
      <c r="F460" t="n">
        <v>975</v>
      </c>
      <c r="G460" t="n">
        <v>3702253</v>
      </c>
      <c r="H460" t="inlineStr">
        <is>
          <t>TUB-O-N-GEN-AW-FC-114.30X3.200X6.0000</t>
        </is>
      </c>
    </row>
    <row r="461">
      <c r="A461" t="inlineStr">
        <is>
          <t>0000187765</t>
        </is>
      </c>
      <c r="B461" t="inlineStr">
        <is>
          <t>Ttp Technologies Private Ltd</t>
        </is>
      </c>
      <c r="C461" t="inlineStr">
        <is>
          <t>KG</t>
        </is>
      </c>
      <c r="D461" t="n">
        <v>19</v>
      </c>
      <c r="E461" t="n">
        <v>112.88</v>
      </c>
      <c r="F461" t="n">
        <v>975</v>
      </c>
      <c r="G461" t="n">
        <v>3702253</v>
      </c>
      <c r="H461" t="inlineStr">
        <is>
          <t>TUB-O-N-GEN-AW-FC-114.30X3.200X6.0000</t>
        </is>
      </c>
    </row>
    <row r="462">
      <c r="A462" t="inlineStr">
        <is>
          <t>0000187765</t>
        </is>
      </c>
      <c r="B462" t="inlineStr">
        <is>
          <t>Ttp Technologies Private Ltd</t>
        </is>
      </c>
      <c r="C462" t="inlineStr">
        <is>
          <t>KG</t>
        </is>
      </c>
      <c r="D462" t="n">
        <v>19</v>
      </c>
      <c r="E462" t="n">
        <v>112.88</v>
      </c>
      <c r="F462" t="n">
        <v>975</v>
      </c>
      <c r="G462" t="n">
        <v>3702253</v>
      </c>
      <c r="H462" t="inlineStr">
        <is>
          <t>TUB-O-N-GEN-AW-FC-114.30X3.200X6.0000</t>
        </is>
      </c>
    </row>
    <row r="463">
      <c r="A463" t="inlineStr">
        <is>
          <t>0000187765</t>
        </is>
      </c>
      <c r="B463" t="inlineStr">
        <is>
          <t>Ttp Technologies Private Ltd</t>
        </is>
      </c>
      <c r="C463" t="inlineStr">
        <is>
          <t>KG</t>
        </is>
      </c>
      <c r="D463" t="n">
        <v>19</v>
      </c>
      <c r="E463" t="n">
        <v>112.88</v>
      </c>
      <c r="F463" t="n">
        <v>975</v>
      </c>
      <c r="G463" t="n">
        <v>3702253</v>
      </c>
      <c r="H463" t="inlineStr">
        <is>
          <t>TUB-O-N-GEN-AW-FC-114.30X3.200X6.0000</t>
        </is>
      </c>
    </row>
    <row r="464">
      <c r="A464" t="inlineStr">
        <is>
          <t>0000187765</t>
        </is>
      </c>
      <c r="B464" t="inlineStr">
        <is>
          <t>Ttp Technologies Private Ltd</t>
        </is>
      </c>
      <c r="C464" t="inlineStr">
        <is>
          <t>KG</t>
        </is>
      </c>
      <c r="D464" t="n">
        <v>19</v>
      </c>
      <c r="E464" t="n">
        <v>112.88</v>
      </c>
      <c r="F464" t="n">
        <v>975</v>
      </c>
      <c r="G464" t="n">
        <v>3702253</v>
      </c>
      <c r="H464" t="inlineStr">
        <is>
          <t>TUB-O-N-GEN-AW-FC-114.30X3.200X6.0000</t>
        </is>
      </c>
    </row>
    <row r="465">
      <c r="A465" t="inlineStr">
        <is>
          <t>0000187765</t>
        </is>
      </c>
      <c r="B465" t="inlineStr">
        <is>
          <t>Ttp Technologies Private Ltd</t>
        </is>
      </c>
      <c r="C465" t="inlineStr">
        <is>
          <t>KG</t>
        </is>
      </c>
      <c r="D465" t="n">
        <v>19</v>
      </c>
      <c r="E465" t="n">
        <v>112.88</v>
      </c>
      <c r="F465" t="n">
        <v>975</v>
      </c>
      <c r="G465" t="n">
        <v>3702253</v>
      </c>
      <c r="H465" t="inlineStr">
        <is>
          <t>TUB-O-N-GEN-AW-FC-114.30X3.200X6.0000</t>
        </is>
      </c>
    </row>
    <row r="466">
      <c r="A466" t="inlineStr">
        <is>
          <t>0000187765</t>
        </is>
      </c>
      <c r="B466" t="inlineStr">
        <is>
          <t>Ttp Technologies Private Ltd</t>
        </is>
      </c>
      <c r="C466" t="inlineStr">
        <is>
          <t>KG</t>
        </is>
      </c>
      <c r="D466" t="n">
        <v>19</v>
      </c>
      <c r="E466" t="n">
        <v>112.88</v>
      </c>
      <c r="F466" t="n">
        <v>975</v>
      </c>
      <c r="G466" t="n">
        <v>3702253</v>
      </c>
      <c r="H466" t="inlineStr">
        <is>
          <t>TUB-O-N-GEN-AW-FC-114.30X3.200X6.0000</t>
        </is>
      </c>
    </row>
    <row r="467">
      <c r="A467" t="inlineStr">
        <is>
          <t>0000943209</t>
        </is>
      </c>
      <c r="B467" t="inlineStr">
        <is>
          <t>MEGH STEELS PRIVATE LIMITED - TVS A</t>
        </is>
      </c>
      <c r="C467" t="inlineStr">
        <is>
          <t>KG</t>
        </is>
      </c>
      <c r="D467" t="n">
        <v>143</v>
      </c>
      <c r="E467" t="n">
        <v>843.5650000000001</v>
      </c>
      <c r="F467" t="n">
        <v>3133</v>
      </c>
      <c r="G467" t="n">
        <v>3500391</v>
      </c>
      <c r="H467" t="inlineStr">
        <is>
          <t>TUB-O-N-AUT-AW-FC-54.00X3.000X5.910</t>
        </is>
      </c>
    </row>
    <row r="468">
      <c r="A468" t="inlineStr">
        <is>
          <t>0000943209</t>
        </is>
      </c>
      <c r="B468" t="inlineStr">
        <is>
          <t>MEGH STEELS PRIVATE LIMITED - TVS A</t>
        </is>
      </c>
      <c r="C468" t="inlineStr">
        <is>
          <t>KG</t>
        </is>
      </c>
      <c r="D468" t="n">
        <v>134</v>
      </c>
      <c r="E468" t="n">
        <v>789.4450000000001</v>
      </c>
      <c r="F468" t="n">
        <v>2932</v>
      </c>
      <c r="G468" t="n">
        <v>3500391</v>
      </c>
      <c r="H468" t="inlineStr">
        <is>
          <t>TUB-O-N-AUT-AW-FC-54.00X3.000X5.910</t>
        </is>
      </c>
    </row>
    <row r="469">
      <c r="A469" t="inlineStr">
        <is>
          <t>0000943209</t>
        </is>
      </c>
      <c r="B469" t="inlineStr">
        <is>
          <t>MEGH STEELS PRIVATE LIMITED - TVS A</t>
        </is>
      </c>
      <c r="C469" t="inlineStr">
        <is>
          <t>KG</t>
        </is>
      </c>
      <c r="D469" t="n">
        <v>143</v>
      </c>
      <c r="E469" t="n">
        <v>843.5650000000001</v>
      </c>
      <c r="F469" t="n">
        <v>3133</v>
      </c>
      <c r="G469" t="n">
        <v>3500391</v>
      </c>
      <c r="H469" t="inlineStr">
        <is>
          <t>TUB-O-N-AUT-AW-FC-54.00X3.000X5.910</t>
        </is>
      </c>
    </row>
    <row r="470">
      <c r="A470" t="inlineStr">
        <is>
          <t>0000943209</t>
        </is>
      </c>
      <c r="B470" t="inlineStr">
        <is>
          <t>MEGH STEELS PRIVATE LIMITED - TVS A</t>
        </is>
      </c>
      <c r="C470" t="inlineStr">
        <is>
          <t>KG</t>
        </is>
      </c>
      <c r="D470" t="n">
        <v>139</v>
      </c>
      <c r="E470" t="n">
        <v>819.602</v>
      </c>
      <c r="F470" t="n">
        <v>3044</v>
      </c>
      <c r="G470" t="n">
        <v>3500391</v>
      </c>
      <c r="H470" t="inlineStr">
        <is>
          <t>TUB-O-N-AUT-AW-FC-54.00X3.000X5.910</t>
        </is>
      </c>
    </row>
    <row r="471">
      <c r="A471" t="inlineStr">
        <is>
          <t>0000943211</t>
        </is>
      </c>
      <c r="B471" t="inlineStr">
        <is>
          <t>MEGH STEELS PRIVATE LIMITED - RE</t>
        </is>
      </c>
      <c r="C471" t="inlineStr">
        <is>
          <t>KG</t>
        </is>
      </c>
      <c r="D471" t="n">
        <v>91</v>
      </c>
      <c r="E471" t="n">
        <v>556.746</v>
      </c>
      <c r="F471" t="n">
        <v>1325</v>
      </c>
      <c r="G471" t="n">
        <v>3500641</v>
      </c>
      <c r="H471" t="inlineStr">
        <is>
          <t>TUB-S-AW-SHS-50.0X50.0X1.6X6.121 FC HDP</t>
        </is>
      </c>
    </row>
    <row r="472">
      <c r="A472" t="inlineStr">
        <is>
          <t>0000943211</t>
        </is>
      </c>
      <c r="B472" t="inlineStr">
        <is>
          <t>MEGH STEELS PRIVATE LIMITED - RE</t>
        </is>
      </c>
      <c r="C472" t="inlineStr">
        <is>
          <t>KG</t>
        </is>
      </c>
      <c r="D472" t="n">
        <v>91</v>
      </c>
      <c r="E472" t="n">
        <v>556.746</v>
      </c>
      <c r="F472" t="n">
        <v>1325</v>
      </c>
      <c r="G472" t="n">
        <v>3500641</v>
      </c>
      <c r="H472" t="inlineStr">
        <is>
          <t>TUB-S-AW-SHS-50.0X50.0X1.6X6.121 FC HDP</t>
        </is>
      </c>
    </row>
    <row r="473">
      <c r="A473" t="inlineStr">
        <is>
          <t>0000943211</t>
        </is>
      </c>
      <c r="B473" t="inlineStr">
        <is>
          <t>MEGH STEELS PRIVATE LIMITED - RE</t>
        </is>
      </c>
      <c r="C473" t="inlineStr">
        <is>
          <t>KG</t>
        </is>
      </c>
      <c r="D473" t="n">
        <v>91</v>
      </c>
      <c r="E473" t="n">
        <v>556.746</v>
      </c>
      <c r="F473" t="n">
        <v>1325</v>
      </c>
      <c r="G473" t="n">
        <v>3500641</v>
      </c>
      <c r="H473" t="inlineStr">
        <is>
          <t>TUB-S-AW-SHS-50.0X50.0X1.6X6.121 FC HDP</t>
        </is>
      </c>
    </row>
    <row r="474">
      <c r="A474" t="inlineStr">
        <is>
          <t>0000943211</t>
        </is>
      </c>
      <c r="B474" t="inlineStr">
        <is>
          <t>MEGH STEELS PRIVATE LIMITED - RE</t>
        </is>
      </c>
      <c r="C474" t="inlineStr">
        <is>
          <t>KG</t>
        </is>
      </c>
      <c r="D474" t="n">
        <v>91</v>
      </c>
      <c r="E474" t="n">
        <v>556.746</v>
      </c>
      <c r="F474" t="n">
        <v>1325</v>
      </c>
      <c r="G474" t="n">
        <v>3500641</v>
      </c>
      <c r="H474" t="inlineStr">
        <is>
          <t>TUB-S-AW-SHS-50.0X50.0X1.6X6.121 FC HDP</t>
        </is>
      </c>
    </row>
    <row r="475">
      <c r="A475" t="inlineStr">
        <is>
          <t>0000943209</t>
        </is>
      </c>
      <c r="B475" t="inlineStr">
        <is>
          <t>MEGH STEELS PRIVATE LIMITED - TVS A</t>
        </is>
      </c>
      <c r="C475" t="inlineStr">
        <is>
          <t>KG</t>
        </is>
      </c>
      <c r="D475" t="n">
        <v>109</v>
      </c>
      <c r="E475" t="n">
        <v>599.175</v>
      </c>
      <c r="F475" t="n">
        <v>2236</v>
      </c>
      <c r="G475" t="n">
        <v>3500714</v>
      </c>
      <c r="H475" t="inlineStr">
        <is>
          <t>TUB-O-N-AUT-BH-FC-42.70X4.000X5.50-ERW 1</t>
        </is>
      </c>
    </row>
    <row r="476">
      <c r="A476" t="inlineStr">
        <is>
          <t>0000943209</t>
        </is>
      </c>
      <c r="B476" t="inlineStr">
        <is>
          <t>MEGH STEELS PRIVATE LIMITED - TVS A</t>
        </is>
      </c>
      <c r="C476" t="inlineStr">
        <is>
          <t>KG</t>
        </is>
      </c>
      <c r="D476" t="n">
        <v>115</v>
      </c>
      <c r="E476" t="n">
        <v>632.939</v>
      </c>
      <c r="F476" t="n">
        <v>2362</v>
      </c>
      <c r="G476" t="n">
        <v>3500714</v>
      </c>
      <c r="H476" t="inlineStr">
        <is>
          <t>TUB-O-N-AUT-BH-FC-42.70X4.000X5.50-ERW 1</t>
        </is>
      </c>
    </row>
    <row r="477">
      <c r="A477" t="inlineStr">
        <is>
          <t>0000943209</t>
        </is>
      </c>
      <c r="B477" t="inlineStr">
        <is>
          <t>MEGH STEELS PRIVATE LIMITED - TVS A</t>
        </is>
      </c>
      <c r="C477" t="inlineStr">
        <is>
          <t>KG</t>
        </is>
      </c>
      <c r="D477" t="n">
        <v>115</v>
      </c>
      <c r="E477" t="n">
        <v>632.939</v>
      </c>
      <c r="F477" t="n">
        <v>2362</v>
      </c>
      <c r="G477" t="n">
        <v>3500714</v>
      </c>
      <c r="H477" t="inlineStr">
        <is>
          <t>TUB-O-N-AUT-BH-FC-42.70X4.000X5.50-ERW 1</t>
        </is>
      </c>
    </row>
    <row r="478">
      <c r="A478" t="inlineStr">
        <is>
          <t>0000187546</t>
        </is>
      </c>
      <c r="B478" t="inlineStr">
        <is>
          <t>Narasipur Auto Component(P)Ltd</t>
        </is>
      </c>
      <c r="C478" t="inlineStr">
        <is>
          <t>KG</t>
        </is>
      </c>
      <c r="D478" t="n">
        <v>158</v>
      </c>
      <c r="E478" t="n">
        <v>701.8049999999999</v>
      </c>
      <c r="F478" t="n">
        <v>1940</v>
      </c>
      <c r="G478" t="n">
        <v>3995629</v>
      </c>
      <c r="H478" t="inlineStr">
        <is>
          <t>TUB-O-C-AUT-AD-FC-29.40X4.500X4.4400</t>
        </is>
      </c>
    </row>
    <row r="479">
      <c r="A479" t="inlineStr">
        <is>
          <t>0000187546</t>
        </is>
      </c>
      <c r="B479" t="inlineStr">
        <is>
          <t>Narasipur Auto Component(P)Ltd</t>
        </is>
      </c>
      <c r="C479" t="inlineStr">
        <is>
          <t>KG</t>
        </is>
      </c>
      <c r="D479" t="n">
        <v>152</v>
      </c>
      <c r="E479" t="n">
        <v>675.397</v>
      </c>
      <c r="F479" t="n">
        <v>1867</v>
      </c>
      <c r="G479" t="n">
        <v>3995629</v>
      </c>
      <c r="H479" t="inlineStr">
        <is>
          <t>TUB-O-C-AUT-AD-FC-29.40X4.500X4.4400</t>
        </is>
      </c>
    </row>
    <row r="480">
      <c r="A480" t="inlineStr">
        <is>
          <t>0000187546</t>
        </is>
      </c>
      <c r="B480" t="inlineStr">
        <is>
          <t>Narasipur Auto Component(P)Ltd</t>
        </is>
      </c>
      <c r="C480" t="inlineStr">
        <is>
          <t>KG</t>
        </is>
      </c>
      <c r="D480" t="n">
        <v>157</v>
      </c>
      <c r="E480" t="n">
        <v>697.4640000000001</v>
      </c>
      <c r="F480" t="n">
        <v>1928</v>
      </c>
      <c r="G480" t="n">
        <v>3995629</v>
      </c>
      <c r="H480" t="inlineStr">
        <is>
          <t>TUB-O-C-AUT-AD-FC-29.40X4.500X4.4400</t>
        </is>
      </c>
    </row>
    <row r="481">
      <c r="A481" t="inlineStr">
        <is>
          <t>0000187546</t>
        </is>
      </c>
      <c r="B481" t="inlineStr">
        <is>
          <t>Narasipur Auto Component(P)Ltd</t>
        </is>
      </c>
      <c r="C481" t="inlineStr">
        <is>
          <t>KG</t>
        </is>
      </c>
      <c r="D481" t="n">
        <v>148</v>
      </c>
      <c r="E481" t="n">
        <v>655.862</v>
      </c>
      <c r="F481" t="n">
        <v>1813</v>
      </c>
      <c r="G481" t="n">
        <v>3995629</v>
      </c>
      <c r="H481" t="inlineStr">
        <is>
          <t>TUB-O-C-AUT-AD-FC-29.40X4.500X4.4400</t>
        </is>
      </c>
    </row>
    <row r="482">
      <c r="A482" t="inlineStr">
        <is>
          <t>0000187546</t>
        </is>
      </c>
      <c r="B482" t="inlineStr">
        <is>
          <t>Narasipur Auto Component(P)Ltd</t>
        </is>
      </c>
      <c r="C482" t="inlineStr">
        <is>
          <t>KG</t>
        </is>
      </c>
      <c r="D482" t="n">
        <v>169</v>
      </c>
      <c r="E482" t="n">
        <v>750.6420000000001</v>
      </c>
      <c r="F482" t="n">
        <v>2075</v>
      </c>
      <c r="G482" t="n">
        <v>3995629</v>
      </c>
      <c r="H482" t="inlineStr">
        <is>
          <t>TUB-O-C-AUT-AD-FC-29.40X4.500X4.4400</t>
        </is>
      </c>
    </row>
    <row r="483">
      <c r="A483" t="inlineStr">
        <is>
          <t>0000187546</t>
        </is>
      </c>
      <c r="B483" t="inlineStr">
        <is>
          <t>Narasipur Auto Component(P)Ltd</t>
        </is>
      </c>
      <c r="C483" t="inlineStr">
        <is>
          <t>KG</t>
        </is>
      </c>
      <c r="D483" t="n">
        <v>143</v>
      </c>
      <c r="E483" t="n">
        <v>799.577</v>
      </c>
      <c r="F483" t="n">
        <v>1512</v>
      </c>
      <c r="G483" t="n">
        <v>3770392</v>
      </c>
      <c r="H483" t="inlineStr">
        <is>
          <t>TUB-O-C-AUT-AD-FC-25.40X3.500X5.6000</t>
        </is>
      </c>
    </row>
    <row r="484">
      <c r="A484" t="inlineStr">
        <is>
          <t>0000187546</t>
        </is>
      </c>
      <c r="B484" t="inlineStr">
        <is>
          <t>Narasipur Auto Component(P)Ltd</t>
        </is>
      </c>
      <c r="C484" t="inlineStr">
        <is>
          <t>KG</t>
        </is>
      </c>
      <c r="D484" t="n">
        <v>153</v>
      </c>
      <c r="E484" t="n">
        <v>858.276</v>
      </c>
      <c r="F484" t="n">
        <v>1623</v>
      </c>
      <c r="G484" t="n">
        <v>3770392</v>
      </c>
      <c r="H484" t="inlineStr">
        <is>
          <t>TUB-O-C-AUT-AD-FC-25.40X3.500X5.6000</t>
        </is>
      </c>
    </row>
    <row r="485">
      <c r="A485" t="inlineStr">
        <is>
          <t>0000187546</t>
        </is>
      </c>
      <c r="B485" t="inlineStr">
        <is>
          <t>Narasipur Auto Component(P)Ltd</t>
        </is>
      </c>
      <c r="C485" t="inlineStr">
        <is>
          <t>KG</t>
        </is>
      </c>
      <c r="D485" t="n">
        <v>153</v>
      </c>
      <c r="E485" t="n">
        <v>858.276</v>
      </c>
      <c r="F485" t="n">
        <v>1623</v>
      </c>
      <c r="G485" t="n">
        <v>3770392</v>
      </c>
      <c r="H485" t="inlineStr">
        <is>
          <t>TUB-O-C-AUT-AD-FC-25.40X3.500X5.6000</t>
        </is>
      </c>
    </row>
    <row r="486">
      <c r="A486" t="inlineStr">
        <is>
          <t>0000187546</t>
        </is>
      </c>
      <c r="B486" t="inlineStr">
        <is>
          <t>Narasipur Auto Component(P)Ltd</t>
        </is>
      </c>
      <c r="C486" t="inlineStr">
        <is>
          <t>KG</t>
        </is>
      </c>
      <c r="D486" t="n">
        <v>153</v>
      </c>
      <c r="E486" t="n">
        <v>858.276</v>
      </c>
      <c r="F486" t="n">
        <v>1623</v>
      </c>
      <c r="G486" t="n">
        <v>3770392</v>
      </c>
      <c r="H486" t="inlineStr">
        <is>
          <t>TUB-O-C-AUT-AD-FC-25.40X3.500X5.6000</t>
        </is>
      </c>
    </row>
    <row r="487">
      <c r="A487" t="inlineStr">
        <is>
          <t>0000187546</t>
        </is>
      </c>
      <c r="B487" t="inlineStr">
        <is>
          <t>Narasipur Auto Component(P)Ltd</t>
        </is>
      </c>
      <c r="C487" t="inlineStr">
        <is>
          <t>KG</t>
        </is>
      </c>
      <c r="D487" t="n">
        <v>153</v>
      </c>
      <c r="E487" t="n">
        <v>858.276</v>
      </c>
      <c r="F487" t="n">
        <v>1623</v>
      </c>
      <c r="G487" t="n">
        <v>3770392</v>
      </c>
      <c r="H487" t="inlineStr">
        <is>
          <t>TUB-O-C-AUT-AD-FC-25.40X3.500X5.6000</t>
        </is>
      </c>
    </row>
    <row r="488">
      <c r="A488" t="inlineStr">
        <is>
          <t>0000187546</t>
        </is>
      </c>
      <c r="B488" t="inlineStr">
        <is>
          <t>Narasipur Auto Component(P)Ltd</t>
        </is>
      </c>
      <c r="C488" t="inlineStr">
        <is>
          <t>KG</t>
        </is>
      </c>
      <c r="D488" t="n">
        <v>153</v>
      </c>
      <c r="E488" t="n">
        <v>858.276</v>
      </c>
      <c r="F488" t="n">
        <v>1623</v>
      </c>
      <c r="G488" t="n">
        <v>3770392</v>
      </c>
      <c r="H488" t="inlineStr">
        <is>
          <t>TUB-O-C-AUT-AD-FC-25.40X3.500X5.6000</t>
        </is>
      </c>
    </row>
    <row r="489">
      <c r="A489" t="inlineStr">
        <is>
          <t>0000187765</t>
        </is>
      </c>
      <c r="B489" t="inlineStr">
        <is>
          <t>Ttp Technologies Private Ltd</t>
        </is>
      </c>
      <c r="C489" t="inlineStr">
        <is>
          <t>KG</t>
        </is>
      </c>
      <c r="D489" t="n">
        <v>19</v>
      </c>
      <c r="E489" t="n">
        <v>112.417</v>
      </c>
      <c r="F489" t="n">
        <v>971</v>
      </c>
      <c r="G489" t="n">
        <v>3702253</v>
      </c>
      <c r="H489" t="inlineStr">
        <is>
          <t>TUB-O-N-GEN-AW-FC-114.30X3.200X6.0000</t>
        </is>
      </c>
    </row>
    <row r="490">
      <c r="A490" t="inlineStr">
        <is>
          <t>0000187765</t>
        </is>
      </c>
      <c r="B490" t="inlineStr">
        <is>
          <t>Ttp Technologies Private Ltd</t>
        </is>
      </c>
      <c r="C490" t="inlineStr">
        <is>
          <t>KG</t>
        </is>
      </c>
      <c r="D490" t="n">
        <v>19</v>
      </c>
      <c r="E490" t="n">
        <v>112.417</v>
      </c>
      <c r="F490" t="n">
        <v>971</v>
      </c>
      <c r="G490" t="n">
        <v>3702253</v>
      </c>
      <c r="H490" t="inlineStr">
        <is>
          <t>TUB-O-N-GEN-AW-FC-114.30X3.200X6.0000</t>
        </is>
      </c>
    </row>
    <row r="491">
      <c r="A491" t="inlineStr">
        <is>
          <t>0000187765</t>
        </is>
      </c>
      <c r="B491" t="inlineStr">
        <is>
          <t>Ttp Technologies Private Ltd</t>
        </is>
      </c>
      <c r="C491" t="inlineStr">
        <is>
          <t>KG</t>
        </is>
      </c>
      <c r="D491" t="n">
        <v>19</v>
      </c>
      <c r="E491" t="n">
        <v>112.417</v>
      </c>
      <c r="F491" t="n">
        <v>971</v>
      </c>
      <c r="G491" t="n">
        <v>3702253</v>
      </c>
      <c r="H491" t="inlineStr">
        <is>
          <t>TUB-O-N-GEN-AW-FC-114.30X3.200X6.0000</t>
        </is>
      </c>
    </row>
    <row r="492">
      <c r="A492" t="inlineStr">
        <is>
          <t>0000187765</t>
        </is>
      </c>
      <c r="B492" t="inlineStr">
        <is>
          <t>Ttp Technologies Private Ltd</t>
        </is>
      </c>
      <c r="C492" t="inlineStr">
        <is>
          <t>KG</t>
        </is>
      </c>
      <c r="D492" t="n">
        <v>19</v>
      </c>
      <c r="E492" t="n">
        <v>112.417</v>
      </c>
      <c r="F492" t="n">
        <v>971</v>
      </c>
      <c r="G492" t="n">
        <v>3702253</v>
      </c>
      <c r="H492" t="inlineStr">
        <is>
          <t>TUB-O-N-GEN-AW-FC-114.30X3.200X6.0000</t>
        </is>
      </c>
    </row>
    <row r="493">
      <c r="A493" t="inlineStr">
        <is>
          <t>0000187765</t>
        </is>
      </c>
      <c r="B493" t="inlineStr">
        <is>
          <t>Ttp Technologies Private Ltd</t>
        </is>
      </c>
      <c r="C493" t="inlineStr">
        <is>
          <t>KG</t>
        </is>
      </c>
      <c r="D493" t="n">
        <v>19</v>
      </c>
      <c r="E493" t="n">
        <v>112.417</v>
      </c>
      <c r="F493" t="n">
        <v>971</v>
      </c>
      <c r="G493" t="n">
        <v>3702253</v>
      </c>
      <c r="H493" t="inlineStr">
        <is>
          <t>TUB-O-N-GEN-AW-FC-114.30X3.200X6.0000</t>
        </is>
      </c>
    </row>
    <row r="494">
      <c r="A494" t="inlineStr">
        <is>
          <t>0000187765</t>
        </is>
      </c>
      <c r="B494" t="inlineStr">
        <is>
          <t>Ttp Technologies Private Ltd</t>
        </is>
      </c>
      <c r="C494" t="inlineStr">
        <is>
          <t>KG</t>
        </is>
      </c>
      <c r="D494" t="n">
        <v>19</v>
      </c>
      <c r="E494" t="n">
        <v>112.417</v>
      </c>
      <c r="F494" t="n">
        <v>971</v>
      </c>
      <c r="G494" t="n">
        <v>3702253</v>
      </c>
      <c r="H494" t="inlineStr">
        <is>
          <t>TUB-O-N-GEN-AW-FC-114.30X3.200X6.0000</t>
        </is>
      </c>
    </row>
    <row r="495">
      <c r="A495" t="inlineStr">
        <is>
          <t>0000187765</t>
        </is>
      </c>
      <c r="B495" t="inlineStr">
        <is>
          <t>Ttp Technologies Private Ltd</t>
        </is>
      </c>
      <c r="C495" t="inlineStr">
        <is>
          <t>KG</t>
        </is>
      </c>
      <c r="D495" t="n">
        <v>19</v>
      </c>
      <c r="E495" t="n">
        <v>112.417</v>
      </c>
      <c r="F495" t="n">
        <v>971</v>
      </c>
      <c r="G495" t="n">
        <v>3702253</v>
      </c>
      <c r="H495" t="inlineStr">
        <is>
          <t>TUB-O-N-GEN-AW-FC-114.30X3.200X6.0000</t>
        </is>
      </c>
    </row>
    <row r="496">
      <c r="A496" t="inlineStr">
        <is>
          <t>0000187765</t>
        </is>
      </c>
      <c r="B496" t="inlineStr">
        <is>
          <t>Ttp Technologies Private Ltd</t>
        </is>
      </c>
      <c r="C496" t="inlineStr">
        <is>
          <t>KG</t>
        </is>
      </c>
      <c r="D496" t="n">
        <v>19</v>
      </c>
      <c r="E496" t="n">
        <v>112.417</v>
      </c>
      <c r="F496" t="n">
        <v>971</v>
      </c>
      <c r="G496" t="n">
        <v>3702253</v>
      </c>
      <c r="H496" t="inlineStr">
        <is>
          <t>TUB-O-N-GEN-AW-FC-114.30X3.200X6.0000</t>
        </is>
      </c>
    </row>
    <row r="497">
      <c r="A497" t="inlineStr">
        <is>
          <t>0000187765</t>
        </is>
      </c>
      <c r="B497" t="inlineStr">
        <is>
          <t>Ttp Technologies Private Ltd</t>
        </is>
      </c>
      <c r="C497" t="inlineStr">
        <is>
          <t>KG</t>
        </is>
      </c>
      <c r="D497" t="n">
        <v>19</v>
      </c>
      <c r="E497" t="n">
        <v>112.417</v>
      </c>
      <c r="F497" t="n">
        <v>971</v>
      </c>
      <c r="G497" t="n">
        <v>3702253</v>
      </c>
      <c r="H497" t="inlineStr">
        <is>
          <t>TUB-O-N-GEN-AW-FC-114.30X3.200X6.0000</t>
        </is>
      </c>
    </row>
    <row r="498">
      <c r="A498" t="inlineStr">
        <is>
          <t>0000187765</t>
        </is>
      </c>
      <c r="B498" t="inlineStr">
        <is>
          <t>Ttp Technologies Private Ltd</t>
        </is>
      </c>
      <c r="C498" t="inlineStr">
        <is>
          <t>KG</t>
        </is>
      </c>
      <c r="D498" t="n">
        <v>19</v>
      </c>
      <c r="E498" t="n">
        <v>112.417</v>
      </c>
      <c r="F498" t="n">
        <v>971</v>
      </c>
      <c r="G498" t="n">
        <v>3702253</v>
      </c>
      <c r="H498" t="inlineStr">
        <is>
          <t>TUB-O-N-GEN-AW-FC-114.30X3.200X6.0000</t>
        </is>
      </c>
    </row>
    <row r="499">
      <c r="A499" t="inlineStr">
        <is>
          <t>0000187765</t>
        </is>
      </c>
      <c r="B499" t="inlineStr">
        <is>
          <t>Ttp Technologies Private Ltd</t>
        </is>
      </c>
      <c r="C499" t="inlineStr">
        <is>
          <t>KG</t>
        </is>
      </c>
      <c r="D499" t="n">
        <v>19</v>
      </c>
      <c r="E499" t="n">
        <v>112.417</v>
      </c>
      <c r="F499" t="n">
        <v>971</v>
      </c>
      <c r="G499" t="n">
        <v>3702253</v>
      </c>
      <c r="H499" t="inlineStr">
        <is>
          <t>TUB-O-N-GEN-AW-FC-114.30X3.200X6.0000</t>
        </is>
      </c>
    </row>
    <row r="500">
      <c r="A500" t="inlineStr">
        <is>
          <t>0000187765</t>
        </is>
      </c>
      <c r="B500" t="inlineStr">
        <is>
          <t>Ttp Technologies Private Ltd</t>
        </is>
      </c>
      <c r="C500" t="inlineStr">
        <is>
          <t>KG</t>
        </is>
      </c>
      <c r="D500" t="n">
        <v>19</v>
      </c>
      <c r="E500" t="n">
        <v>112.417</v>
      </c>
      <c r="F500" t="n">
        <v>971</v>
      </c>
      <c r="G500" t="n">
        <v>3702253</v>
      </c>
      <c r="H500" t="inlineStr">
        <is>
          <t>TUB-O-N-GEN-AW-FC-114.30X3.200X6.0000</t>
        </is>
      </c>
    </row>
    <row r="501">
      <c r="A501" t="inlineStr">
        <is>
          <t>0000187765</t>
        </is>
      </c>
      <c r="B501" t="inlineStr">
        <is>
          <t>Ttp Technologies Private Ltd</t>
        </is>
      </c>
      <c r="C501" t="inlineStr">
        <is>
          <t>KG</t>
        </is>
      </c>
      <c r="D501" t="n">
        <v>19</v>
      </c>
      <c r="E501" t="n">
        <v>112.417</v>
      </c>
      <c r="F501" t="n">
        <v>971</v>
      </c>
      <c r="G501" t="n">
        <v>3702253</v>
      </c>
      <c r="H501" t="inlineStr">
        <is>
          <t>TUB-O-N-GEN-AW-FC-114.30X3.200X6.0000</t>
        </is>
      </c>
    </row>
    <row r="502">
      <c r="A502" t="inlineStr">
        <is>
          <t>0000187765</t>
        </is>
      </c>
      <c r="B502" t="inlineStr">
        <is>
          <t>Ttp Technologies Private Ltd</t>
        </is>
      </c>
      <c r="C502" t="inlineStr">
        <is>
          <t>KG</t>
        </is>
      </c>
      <c r="D502" t="n">
        <v>19</v>
      </c>
      <c r="E502" t="n">
        <v>112.417</v>
      </c>
      <c r="F502" t="n">
        <v>971</v>
      </c>
      <c r="G502" t="n">
        <v>3702253</v>
      </c>
      <c r="H502" t="inlineStr">
        <is>
          <t>TUB-O-N-GEN-AW-FC-114.30X3.200X6.0000</t>
        </is>
      </c>
    </row>
    <row r="503">
      <c r="A503" t="inlineStr">
        <is>
          <t>0000187765</t>
        </is>
      </c>
      <c r="B503" t="inlineStr">
        <is>
          <t>Ttp Technologies Private Ltd</t>
        </is>
      </c>
      <c r="C503" t="inlineStr">
        <is>
          <t>KG</t>
        </is>
      </c>
      <c r="D503" t="n">
        <v>19</v>
      </c>
      <c r="E503" t="n">
        <v>111.838</v>
      </c>
      <c r="F503" t="n">
        <v>966</v>
      </c>
      <c r="G503" t="n">
        <v>3702253</v>
      </c>
      <c r="H503" t="inlineStr">
        <is>
          <t>TUB-O-N-GEN-AW-FC-114.30X3.200X6.0000</t>
        </is>
      </c>
    </row>
    <row r="504">
      <c r="A504" t="inlineStr">
        <is>
          <t>0000187765</t>
        </is>
      </c>
      <c r="B504" t="inlineStr">
        <is>
          <t>Ttp Technologies Private Ltd</t>
        </is>
      </c>
      <c r="C504" t="inlineStr">
        <is>
          <t>KG</t>
        </is>
      </c>
      <c r="D504" t="n">
        <v>19</v>
      </c>
      <c r="E504" t="n">
        <v>112.069</v>
      </c>
      <c r="F504" t="n">
        <v>968</v>
      </c>
      <c r="G504" t="n">
        <v>3702253</v>
      </c>
      <c r="H504" t="inlineStr">
        <is>
          <t>TUB-O-N-GEN-AW-FC-114.30X3.200X6.0000</t>
        </is>
      </c>
    </row>
    <row r="505">
      <c r="A505" t="inlineStr">
        <is>
          <t>0000187765</t>
        </is>
      </c>
      <c r="B505" t="inlineStr">
        <is>
          <t>Ttp Technologies Private Ltd</t>
        </is>
      </c>
      <c r="C505" t="inlineStr">
        <is>
          <t>KG</t>
        </is>
      </c>
      <c r="D505" t="n">
        <v>19</v>
      </c>
      <c r="E505" t="n">
        <v>112.069</v>
      </c>
      <c r="F505" t="n">
        <v>968</v>
      </c>
      <c r="G505" t="n">
        <v>3702253</v>
      </c>
      <c r="H505" t="inlineStr">
        <is>
          <t>TUB-O-N-GEN-AW-FC-114.30X3.200X6.0000</t>
        </is>
      </c>
    </row>
    <row r="506">
      <c r="A506" t="inlineStr">
        <is>
          <t>0000187765</t>
        </is>
      </c>
      <c r="B506" t="inlineStr">
        <is>
          <t>Ttp Technologies Private Ltd</t>
        </is>
      </c>
      <c r="C506" t="inlineStr">
        <is>
          <t>KG</t>
        </is>
      </c>
      <c r="D506" t="n">
        <v>19</v>
      </c>
      <c r="E506" t="n">
        <v>112.069</v>
      </c>
      <c r="F506" t="n">
        <v>968</v>
      </c>
      <c r="G506" t="n">
        <v>3702253</v>
      </c>
      <c r="H506" t="inlineStr">
        <is>
          <t>TUB-O-N-GEN-AW-FC-114.30X3.200X6.0000</t>
        </is>
      </c>
    </row>
    <row r="507">
      <c r="A507" t="inlineStr">
        <is>
          <t>0000187765</t>
        </is>
      </c>
      <c r="B507" t="inlineStr">
        <is>
          <t>Ttp Technologies Private Ltd</t>
        </is>
      </c>
      <c r="C507" t="inlineStr">
        <is>
          <t>KG</t>
        </is>
      </c>
      <c r="D507" t="n">
        <v>19</v>
      </c>
      <c r="E507" t="n">
        <v>112.069</v>
      </c>
      <c r="F507" t="n">
        <v>968</v>
      </c>
      <c r="G507" t="n">
        <v>3702253</v>
      </c>
      <c r="H507" t="inlineStr">
        <is>
          <t>TUB-O-N-GEN-AW-FC-114.30X3.200X6.0000</t>
        </is>
      </c>
    </row>
    <row r="508">
      <c r="A508" t="inlineStr">
        <is>
          <t>0000187765</t>
        </is>
      </c>
      <c r="B508" t="inlineStr">
        <is>
          <t>Ttp Technologies Private Ltd</t>
        </is>
      </c>
      <c r="C508" t="inlineStr">
        <is>
          <t>KG</t>
        </is>
      </c>
      <c r="D508" t="n">
        <v>19</v>
      </c>
      <c r="E508" t="n">
        <v>112.069</v>
      </c>
      <c r="F508" t="n">
        <v>968</v>
      </c>
      <c r="G508" t="n">
        <v>3702253</v>
      </c>
      <c r="H508" t="inlineStr">
        <is>
          <t>TUB-O-N-GEN-AW-FC-114.30X3.200X6.0000</t>
        </is>
      </c>
    </row>
    <row r="509">
      <c r="A509" t="inlineStr">
        <is>
          <t>0000187765</t>
        </is>
      </c>
      <c r="B509" t="inlineStr">
        <is>
          <t>Ttp Technologies Private Ltd</t>
        </is>
      </c>
      <c r="C509" t="inlineStr">
        <is>
          <t>KG</t>
        </is>
      </c>
      <c r="D509" t="n">
        <v>19</v>
      </c>
      <c r="E509" t="n">
        <v>112.069</v>
      </c>
      <c r="F509" t="n">
        <v>968</v>
      </c>
      <c r="G509" t="n">
        <v>3702253</v>
      </c>
      <c r="H509" t="inlineStr">
        <is>
          <t>TUB-O-N-GEN-AW-FC-114.30X3.200X6.0000</t>
        </is>
      </c>
    </row>
    <row r="510">
      <c r="A510" t="inlineStr">
        <is>
          <t>0000187765</t>
        </is>
      </c>
      <c r="B510" t="inlineStr">
        <is>
          <t>Ttp Technologies Private Ltd</t>
        </is>
      </c>
      <c r="C510" t="inlineStr">
        <is>
          <t>KG</t>
        </is>
      </c>
      <c r="D510" t="n">
        <v>19</v>
      </c>
      <c r="E510" t="n">
        <v>112.069</v>
      </c>
      <c r="F510" t="n">
        <v>968</v>
      </c>
      <c r="G510" t="n">
        <v>3702253</v>
      </c>
      <c r="H510" t="inlineStr">
        <is>
          <t>TUB-O-N-GEN-AW-FC-114.30X3.200X6.0000</t>
        </is>
      </c>
    </row>
    <row r="511">
      <c r="A511" t="inlineStr">
        <is>
          <t>0000187765</t>
        </is>
      </c>
      <c r="B511" t="inlineStr">
        <is>
          <t>Ttp Technologies Private Ltd</t>
        </is>
      </c>
      <c r="C511" t="inlineStr">
        <is>
          <t>KG</t>
        </is>
      </c>
      <c r="D511" t="n">
        <v>19</v>
      </c>
      <c r="E511" t="n">
        <v>112.069</v>
      </c>
      <c r="F511" t="n">
        <v>968</v>
      </c>
      <c r="G511" t="n">
        <v>3702253</v>
      </c>
      <c r="H511" t="inlineStr">
        <is>
          <t>TUB-O-N-GEN-AW-FC-114.30X3.200X6.0000</t>
        </is>
      </c>
    </row>
    <row r="512">
      <c r="A512" t="inlineStr">
        <is>
          <t>0000187765</t>
        </is>
      </c>
      <c r="B512" t="inlineStr">
        <is>
          <t>Ttp Technologies Private Ltd</t>
        </is>
      </c>
      <c r="C512" t="inlineStr">
        <is>
          <t>KG</t>
        </is>
      </c>
      <c r="D512" t="n">
        <v>19</v>
      </c>
      <c r="E512" t="n">
        <v>112.069</v>
      </c>
      <c r="F512" t="n">
        <v>968</v>
      </c>
      <c r="G512" t="n">
        <v>3702253</v>
      </c>
      <c r="H512" t="inlineStr">
        <is>
          <t>TUB-O-N-GEN-AW-FC-114.30X3.200X6.0000</t>
        </is>
      </c>
    </row>
    <row r="513">
      <c r="A513" t="inlineStr">
        <is>
          <t>0000187765</t>
        </is>
      </c>
      <c r="B513" t="inlineStr">
        <is>
          <t>Ttp Technologies Private Ltd</t>
        </is>
      </c>
      <c r="C513" t="inlineStr">
        <is>
          <t>KG</t>
        </is>
      </c>
      <c r="D513" t="n">
        <v>19</v>
      </c>
      <c r="E513" t="n">
        <v>112.069</v>
      </c>
      <c r="F513" t="n">
        <v>968</v>
      </c>
      <c r="G513" t="n">
        <v>3702253</v>
      </c>
      <c r="H513" t="inlineStr">
        <is>
          <t>TUB-O-N-GEN-AW-FC-114.30X3.200X6.0000</t>
        </is>
      </c>
    </row>
    <row r="514">
      <c r="A514" t="inlineStr">
        <is>
          <t>0000187765</t>
        </is>
      </c>
      <c r="B514" t="inlineStr">
        <is>
          <t>Ttp Technologies Private Ltd</t>
        </is>
      </c>
      <c r="C514" t="inlineStr">
        <is>
          <t>KG</t>
        </is>
      </c>
      <c r="D514" t="n">
        <v>19</v>
      </c>
      <c r="E514" t="n">
        <v>112.069</v>
      </c>
      <c r="F514" t="n">
        <v>968</v>
      </c>
      <c r="G514" t="n">
        <v>3702253</v>
      </c>
      <c r="H514" t="inlineStr">
        <is>
          <t>TUB-O-N-GEN-AW-FC-114.30X3.200X6.0000</t>
        </is>
      </c>
    </row>
    <row r="515">
      <c r="A515" t="inlineStr">
        <is>
          <t>0000187765</t>
        </is>
      </c>
      <c r="B515" t="inlineStr">
        <is>
          <t>Ttp Technologies Private Ltd</t>
        </is>
      </c>
      <c r="C515" t="inlineStr">
        <is>
          <t>KG</t>
        </is>
      </c>
      <c r="D515" t="n">
        <v>19</v>
      </c>
      <c r="E515" t="n">
        <v>112.069</v>
      </c>
      <c r="F515" t="n">
        <v>968</v>
      </c>
      <c r="G515" t="n">
        <v>3702253</v>
      </c>
      <c r="H515" t="inlineStr">
        <is>
          <t>TUB-O-N-GEN-AW-FC-114.30X3.200X6.0000</t>
        </is>
      </c>
    </row>
    <row r="516">
      <c r="A516" t="inlineStr">
        <is>
          <t>0000187765</t>
        </is>
      </c>
      <c r="B516" t="inlineStr">
        <is>
          <t>Ttp Technologies Private Ltd</t>
        </is>
      </c>
      <c r="C516" t="inlineStr">
        <is>
          <t>KG</t>
        </is>
      </c>
      <c r="D516" t="n">
        <v>19</v>
      </c>
      <c r="E516" t="n">
        <v>112.069</v>
      </c>
      <c r="F516" t="n">
        <v>968</v>
      </c>
      <c r="G516" t="n">
        <v>3702253</v>
      </c>
      <c r="H516" t="inlineStr">
        <is>
          <t>TUB-O-N-GEN-AW-FC-114.30X3.200X6.0000</t>
        </is>
      </c>
    </row>
    <row r="517">
      <c r="A517" t="inlineStr">
        <is>
          <t>0000187765</t>
        </is>
      </c>
      <c r="B517" t="inlineStr">
        <is>
          <t>Ttp Technologies Private Ltd</t>
        </is>
      </c>
      <c r="C517" t="inlineStr">
        <is>
          <t>KG</t>
        </is>
      </c>
      <c r="D517" t="n">
        <v>19</v>
      </c>
      <c r="E517" t="n">
        <v>112.069</v>
      </c>
      <c r="F517" t="n">
        <v>968</v>
      </c>
      <c r="G517" t="n">
        <v>3702253</v>
      </c>
      <c r="H517" t="inlineStr">
        <is>
          <t>TUB-O-N-GEN-AW-FC-114.30X3.200X6.0000</t>
        </is>
      </c>
    </row>
    <row r="518">
      <c r="A518" t="inlineStr">
        <is>
          <t>0000187765</t>
        </is>
      </c>
      <c r="B518" t="inlineStr">
        <is>
          <t>Ttp Technologies Private Ltd</t>
        </is>
      </c>
      <c r="C518" t="inlineStr">
        <is>
          <t>KG</t>
        </is>
      </c>
      <c r="D518" t="n">
        <v>19</v>
      </c>
      <c r="E518" t="n">
        <v>112.069</v>
      </c>
      <c r="F518" t="n">
        <v>968</v>
      </c>
      <c r="G518" t="n">
        <v>3702253</v>
      </c>
      <c r="H518" t="inlineStr">
        <is>
          <t>TUB-O-N-GEN-AW-FC-114.30X3.200X6.0000</t>
        </is>
      </c>
    </row>
    <row r="519">
      <c r="A519" t="inlineStr">
        <is>
          <t>0000187765</t>
        </is>
      </c>
      <c r="B519" t="inlineStr">
        <is>
          <t>Ttp Technologies Private Ltd</t>
        </is>
      </c>
      <c r="C519" t="inlineStr">
        <is>
          <t>KG</t>
        </is>
      </c>
      <c r="D519" t="n">
        <v>17</v>
      </c>
      <c r="E519" t="n">
        <v>103.502</v>
      </c>
      <c r="F519" t="n">
        <v>894</v>
      </c>
      <c r="G519" t="n">
        <v>3702253</v>
      </c>
      <c r="H519" t="inlineStr">
        <is>
          <t>TUB-O-N-GEN-AW-FC-114.30X3.200X6.0000</t>
        </is>
      </c>
    </row>
    <row r="520">
      <c r="A520" t="inlineStr">
        <is>
          <t>0000187765</t>
        </is>
      </c>
      <c r="B520" t="inlineStr">
        <is>
          <t>Ttp Technologies Private Ltd</t>
        </is>
      </c>
      <c r="C520" t="inlineStr">
        <is>
          <t>KG</t>
        </is>
      </c>
      <c r="D520" t="n">
        <v>19</v>
      </c>
      <c r="E520" t="n">
        <v>115.658</v>
      </c>
      <c r="F520" t="n">
        <v>999</v>
      </c>
      <c r="G520" t="n">
        <v>3702253</v>
      </c>
      <c r="H520" t="inlineStr">
        <is>
          <t>TUB-O-N-GEN-AW-FC-114.30X3.200X6.0000</t>
        </is>
      </c>
    </row>
    <row r="521">
      <c r="A521" t="inlineStr">
        <is>
          <t>0000187765</t>
        </is>
      </c>
      <c r="B521" t="inlineStr">
        <is>
          <t>Ttp Technologies Private Ltd</t>
        </is>
      </c>
      <c r="C521" t="inlineStr">
        <is>
          <t>KG</t>
        </is>
      </c>
      <c r="D521" t="n">
        <v>19</v>
      </c>
      <c r="E521" t="n">
        <v>115.658</v>
      </c>
      <c r="F521" t="n">
        <v>999</v>
      </c>
      <c r="G521" t="n">
        <v>3702253</v>
      </c>
      <c r="H521" t="inlineStr">
        <is>
          <t>TUB-O-N-GEN-AW-FC-114.30X3.200X6.0000</t>
        </is>
      </c>
    </row>
    <row r="522">
      <c r="A522" t="inlineStr">
        <is>
          <t>0000187765</t>
        </is>
      </c>
      <c r="B522" t="inlineStr">
        <is>
          <t>Ttp Technologies Private Ltd</t>
        </is>
      </c>
      <c r="C522" t="inlineStr">
        <is>
          <t>KG</t>
        </is>
      </c>
      <c r="D522" t="n">
        <v>19</v>
      </c>
      <c r="E522" t="n">
        <v>115.658</v>
      </c>
      <c r="F522" t="n">
        <v>999</v>
      </c>
      <c r="G522" t="n">
        <v>3702253</v>
      </c>
      <c r="H522" t="inlineStr">
        <is>
          <t>TUB-O-N-GEN-AW-FC-114.30X3.200X6.0000</t>
        </is>
      </c>
    </row>
    <row r="523">
      <c r="A523" t="inlineStr">
        <is>
          <t>0000187765</t>
        </is>
      </c>
      <c r="B523" t="inlineStr">
        <is>
          <t>Ttp Technologies Private Ltd</t>
        </is>
      </c>
      <c r="C523" t="inlineStr">
        <is>
          <t>KG</t>
        </is>
      </c>
      <c r="D523" t="n">
        <v>19</v>
      </c>
      <c r="E523" t="n">
        <v>115.658</v>
      </c>
      <c r="F523" t="n">
        <v>999</v>
      </c>
      <c r="G523" t="n">
        <v>3702253</v>
      </c>
      <c r="H523" t="inlineStr">
        <is>
          <t>TUB-O-N-GEN-AW-FC-114.30X3.200X6.0000</t>
        </is>
      </c>
    </row>
    <row r="524">
      <c r="A524" t="inlineStr">
        <is>
          <t>0000187765</t>
        </is>
      </c>
      <c r="B524" t="inlineStr">
        <is>
          <t>Ttp Technologies Private Ltd</t>
        </is>
      </c>
      <c r="C524" t="inlineStr">
        <is>
          <t>KG</t>
        </is>
      </c>
      <c r="D524" t="n">
        <v>19</v>
      </c>
      <c r="E524" t="n">
        <v>115.658</v>
      </c>
      <c r="F524" t="n">
        <v>999</v>
      </c>
      <c r="G524" t="n">
        <v>3702253</v>
      </c>
      <c r="H524" t="inlineStr">
        <is>
          <t>TUB-O-N-GEN-AW-FC-114.30X3.200X6.0000</t>
        </is>
      </c>
    </row>
    <row r="525">
      <c r="A525" t="inlineStr">
        <is>
          <t>0000187765</t>
        </is>
      </c>
      <c r="B525" t="inlineStr">
        <is>
          <t>Ttp Technologies Private Ltd</t>
        </is>
      </c>
      <c r="C525" t="inlineStr">
        <is>
          <t>KG</t>
        </is>
      </c>
      <c r="D525" t="n">
        <v>16</v>
      </c>
      <c r="E525" t="n">
        <v>97.598</v>
      </c>
      <c r="F525" t="n">
        <v>843</v>
      </c>
      <c r="G525" t="n">
        <v>3702253</v>
      </c>
      <c r="H525" t="inlineStr">
        <is>
          <t>TUB-O-N-GEN-AW-FC-114.30X3.200X6.0000</t>
        </is>
      </c>
    </row>
    <row r="526">
      <c r="A526" t="inlineStr">
        <is>
          <t>0000187765</t>
        </is>
      </c>
      <c r="B526" t="inlineStr">
        <is>
          <t>Ttp Technologies Private Ltd</t>
        </is>
      </c>
      <c r="C526" t="inlineStr">
        <is>
          <t>KG</t>
        </is>
      </c>
      <c r="D526" t="n">
        <v>19</v>
      </c>
      <c r="E526" t="n">
        <v>115.658</v>
      </c>
      <c r="F526" t="n">
        <v>999</v>
      </c>
      <c r="G526" t="n">
        <v>3702253</v>
      </c>
      <c r="H526" t="inlineStr">
        <is>
          <t>TUB-O-N-GEN-AW-FC-114.30X3.200X6.0000</t>
        </is>
      </c>
    </row>
    <row r="527">
      <c r="A527" t="inlineStr">
        <is>
          <t>0000187765</t>
        </is>
      </c>
      <c r="B527" t="inlineStr">
        <is>
          <t>Ttp Technologies Private Ltd</t>
        </is>
      </c>
      <c r="C527" t="inlineStr">
        <is>
          <t>KG</t>
        </is>
      </c>
      <c r="D527" t="n">
        <v>9</v>
      </c>
      <c r="E527" t="n">
        <v>54.624</v>
      </c>
      <c r="F527" t="n">
        <v>364</v>
      </c>
      <c r="G527" t="n">
        <v>3702274</v>
      </c>
      <c r="H527" t="inlineStr">
        <is>
          <t>TUB-O-N-GEN-AW-FC-88.90X3.200X6.0000</t>
        </is>
      </c>
    </row>
    <row r="528">
      <c r="A528" t="inlineStr">
        <is>
          <t>0000187765</t>
        </is>
      </c>
      <c r="B528" t="inlineStr">
        <is>
          <t>Ttp Technologies Private Ltd</t>
        </is>
      </c>
      <c r="C528" t="inlineStr">
        <is>
          <t>KG</t>
        </is>
      </c>
      <c r="D528" t="n">
        <v>14</v>
      </c>
      <c r="E528" t="n">
        <v>85.08799999999999</v>
      </c>
      <c r="F528" t="n">
        <v>567</v>
      </c>
      <c r="G528" t="n">
        <v>3702274</v>
      </c>
      <c r="H528" t="inlineStr">
        <is>
          <t>TUB-O-N-GEN-AW-FC-88.90X3.200X6.0000</t>
        </is>
      </c>
    </row>
    <row r="529">
      <c r="A529" t="inlineStr">
        <is>
          <t>0000187765</t>
        </is>
      </c>
      <c r="B529" t="inlineStr">
        <is>
          <t>Ttp Technologies Private Ltd</t>
        </is>
      </c>
      <c r="C529" t="inlineStr">
        <is>
          <t>KG</t>
        </is>
      </c>
      <c r="D529" t="n">
        <v>14</v>
      </c>
      <c r="E529" t="n">
        <v>85.08799999999999</v>
      </c>
      <c r="F529" t="n">
        <v>567</v>
      </c>
      <c r="G529" t="n">
        <v>3702274</v>
      </c>
      <c r="H529" t="inlineStr">
        <is>
          <t>TUB-O-N-GEN-AW-FC-88.90X3.200X6.0000</t>
        </is>
      </c>
    </row>
    <row r="530">
      <c r="A530" t="inlineStr">
        <is>
          <t>0000187765</t>
        </is>
      </c>
      <c r="B530" t="inlineStr">
        <is>
          <t>Ttp Technologies Private Ltd</t>
        </is>
      </c>
      <c r="C530" t="inlineStr">
        <is>
          <t>KG</t>
        </is>
      </c>
      <c r="D530" t="n">
        <v>13</v>
      </c>
      <c r="E530" t="n">
        <v>78.785</v>
      </c>
      <c r="F530" t="n">
        <v>525</v>
      </c>
      <c r="G530" t="n">
        <v>3702274</v>
      </c>
      <c r="H530" t="inlineStr">
        <is>
          <t>TUB-O-N-GEN-AW-FC-88.90X3.200X6.0000</t>
        </is>
      </c>
    </row>
    <row r="531">
      <c r="A531" t="inlineStr">
        <is>
          <t>0000187765</t>
        </is>
      </c>
      <c r="B531" t="inlineStr">
        <is>
          <t>Ttp Technologies Private Ltd</t>
        </is>
      </c>
      <c r="C531" t="inlineStr">
        <is>
          <t>KG</t>
        </is>
      </c>
      <c r="D531" t="n">
        <v>22</v>
      </c>
      <c r="E531" t="n">
        <v>133.86</v>
      </c>
      <c r="F531" t="n">
        <v>892</v>
      </c>
      <c r="G531" t="n">
        <v>3702274</v>
      </c>
      <c r="H531" t="inlineStr">
        <is>
          <t>TUB-O-N-GEN-AW-FC-88.90X3.200X6.0000</t>
        </is>
      </c>
    </row>
    <row r="532">
      <c r="A532" t="inlineStr">
        <is>
          <t>0000187765</t>
        </is>
      </c>
      <c r="B532" t="inlineStr">
        <is>
          <t>Ttp Technologies Private Ltd</t>
        </is>
      </c>
      <c r="C532" t="inlineStr">
        <is>
          <t>KG</t>
        </is>
      </c>
      <c r="D532" t="n">
        <v>9</v>
      </c>
      <c r="E532" t="n">
        <v>55.166</v>
      </c>
      <c r="F532" t="n">
        <v>506</v>
      </c>
      <c r="G532" t="n">
        <v>3702251</v>
      </c>
      <c r="H532" t="inlineStr">
        <is>
          <t>TUB-O-N-GEN-AW-FC-88.90X4.500X6.0000</t>
        </is>
      </c>
    </row>
    <row r="533">
      <c r="A533" t="inlineStr">
        <is>
          <t>0000187765</t>
        </is>
      </c>
      <c r="B533" t="inlineStr">
        <is>
          <t>Ttp Technologies Private Ltd</t>
        </is>
      </c>
      <c r="C533" t="inlineStr">
        <is>
          <t>KG</t>
        </is>
      </c>
      <c r="D533" t="n">
        <v>7</v>
      </c>
      <c r="E533" t="n">
        <v>42.955</v>
      </c>
      <c r="F533" t="n">
        <v>394</v>
      </c>
      <c r="G533" t="n">
        <v>3702251</v>
      </c>
      <c r="H533" t="inlineStr">
        <is>
          <t>TUB-O-N-GEN-AW-FC-88.90X4.500X6.0000</t>
        </is>
      </c>
    </row>
    <row r="534">
      <c r="A534" t="inlineStr">
        <is>
          <t>0000187765</t>
        </is>
      </c>
      <c r="B534" t="inlineStr">
        <is>
          <t>Ttp Technologies Private Ltd</t>
        </is>
      </c>
      <c r="C534" t="inlineStr">
        <is>
          <t>KG</t>
        </is>
      </c>
      <c r="D534" t="n">
        <v>5</v>
      </c>
      <c r="E534" t="n">
        <v>30.745</v>
      </c>
      <c r="F534" t="n">
        <v>282</v>
      </c>
      <c r="G534" t="n">
        <v>3702251</v>
      </c>
      <c r="H534" t="inlineStr">
        <is>
          <t>TUB-O-N-GEN-AW-FC-88.90X4.500X6.0000</t>
        </is>
      </c>
    </row>
    <row r="535">
      <c r="A535" t="inlineStr">
        <is>
          <t>0000187765</t>
        </is>
      </c>
      <c r="B535" t="inlineStr">
        <is>
          <t>Ttp Technologies Private Ltd</t>
        </is>
      </c>
      <c r="C535" t="inlineStr">
        <is>
          <t>KG</t>
        </is>
      </c>
      <c r="D535" t="n">
        <v>37</v>
      </c>
      <c r="E535" t="n">
        <v>223.499</v>
      </c>
      <c r="F535" t="n">
        <v>2050</v>
      </c>
      <c r="G535" t="n">
        <v>3702251</v>
      </c>
      <c r="H535" t="inlineStr">
        <is>
          <t>TUB-O-N-GEN-AW-FC-88.90X4.500X6.0000</t>
        </is>
      </c>
    </row>
    <row r="536">
      <c r="A536" t="inlineStr">
        <is>
          <t>0000187765</t>
        </is>
      </c>
      <c r="B536" t="inlineStr">
        <is>
          <t>Ttp Technologies Private Ltd</t>
        </is>
      </c>
      <c r="C536" t="inlineStr">
        <is>
          <t>KG</t>
        </is>
      </c>
      <c r="D536" t="n">
        <v>37</v>
      </c>
      <c r="E536" t="n">
        <v>223.608</v>
      </c>
      <c r="F536" t="n">
        <v>2051</v>
      </c>
      <c r="G536" t="n">
        <v>3702251</v>
      </c>
      <c r="H536" t="inlineStr">
        <is>
          <t>TUB-O-N-GEN-AW-FC-88.90X4.500X6.0000</t>
        </is>
      </c>
    </row>
    <row r="537">
      <c r="A537" t="inlineStr">
        <is>
          <t>0000187765</t>
        </is>
      </c>
      <c r="B537" t="inlineStr">
        <is>
          <t>Ttp Technologies Private Ltd</t>
        </is>
      </c>
      <c r="C537" t="inlineStr">
        <is>
          <t>KG</t>
        </is>
      </c>
      <c r="D537" t="n">
        <v>37</v>
      </c>
      <c r="E537" t="n">
        <v>223.608</v>
      </c>
      <c r="F537" t="n">
        <v>2051</v>
      </c>
      <c r="G537" t="n">
        <v>3702251</v>
      </c>
      <c r="H537" t="inlineStr">
        <is>
          <t>TUB-O-N-GEN-AW-FC-88.90X4.500X6.0000</t>
        </is>
      </c>
    </row>
    <row r="538">
      <c r="A538" t="inlineStr">
        <is>
          <t>0000943209</t>
        </is>
      </c>
      <c r="B538" t="inlineStr">
        <is>
          <t>MEGH STEELS PRIVATE LIMITED - TVS A</t>
        </is>
      </c>
      <c r="C538" t="inlineStr">
        <is>
          <t>KG</t>
        </is>
      </c>
      <c r="D538" t="n">
        <v>100</v>
      </c>
      <c r="E538" t="n">
        <v>548.797</v>
      </c>
      <c r="F538" t="n">
        <v>2048</v>
      </c>
      <c r="G538" t="n">
        <v>3500714</v>
      </c>
      <c r="H538" t="inlineStr">
        <is>
          <t>TUB-O-N-AUT-BH-FC-42.70X4.000X5.50-ERW 1</t>
        </is>
      </c>
    </row>
    <row r="539">
      <c r="A539" t="inlineStr">
        <is>
          <t>0000943209</t>
        </is>
      </c>
      <c r="B539" t="inlineStr">
        <is>
          <t>MEGH STEELS PRIVATE LIMITED - TVS A</t>
        </is>
      </c>
      <c r="C539" t="inlineStr">
        <is>
          <t>KG</t>
        </is>
      </c>
      <c r="D539" t="n">
        <v>100</v>
      </c>
      <c r="E539" t="n">
        <v>548.797</v>
      </c>
      <c r="F539" t="n">
        <v>2048</v>
      </c>
      <c r="G539" t="n">
        <v>3500714</v>
      </c>
      <c r="H539" t="inlineStr">
        <is>
          <t>TUB-O-N-AUT-BH-FC-42.70X4.000X5.50-ERW 1</t>
        </is>
      </c>
    </row>
    <row r="540">
      <c r="A540" t="inlineStr">
        <is>
          <t>0000943209</t>
        </is>
      </c>
      <c r="B540" t="inlineStr">
        <is>
          <t>MEGH STEELS PRIVATE LIMITED - TVS A</t>
        </is>
      </c>
      <c r="C540" t="inlineStr">
        <is>
          <t>KG</t>
        </is>
      </c>
      <c r="D540" t="n">
        <v>108</v>
      </c>
      <c r="E540" t="n">
        <v>593.8150000000001</v>
      </c>
      <c r="F540" t="n">
        <v>2216</v>
      </c>
      <c r="G540" t="n">
        <v>3500714</v>
      </c>
      <c r="H540" t="inlineStr">
        <is>
          <t>TUB-O-N-AUT-BH-FC-42.70X4.000X5.50-ERW 1</t>
        </is>
      </c>
    </row>
    <row r="541">
      <c r="A541" t="inlineStr">
        <is>
          <t>0000943209</t>
        </is>
      </c>
      <c r="B541" t="inlineStr">
        <is>
          <t>MEGH STEELS PRIVATE LIMITED - TVS A</t>
        </is>
      </c>
      <c r="C541" t="inlineStr">
        <is>
          <t>KG</t>
        </is>
      </c>
      <c r="D541" t="n">
        <v>113</v>
      </c>
      <c r="E541" t="n">
        <v>621.952</v>
      </c>
      <c r="F541" t="n">
        <v>2321</v>
      </c>
      <c r="G541" t="n">
        <v>3500714</v>
      </c>
      <c r="H541" t="inlineStr">
        <is>
          <t>TUB-O-N-AUT-BH-FC-42.70X4.000X5.50-ERW 1</t>
        </is>
      </c>
    </row>
    <row r="542">
      <c r="A542" t="inlineStr">
        <is>
          <t>0000943209</t>
        </is>
      </c>
      <c r="B542" t="inlineStr">
        <is>
          <t>MEGH STEELS PRIVATE LIMITED - TVS A</t>
        </is>
      </c>
      <c r="C542" t="inlineStr">
        <is>
          <t>KG</t>
        </is>
      </c>
      <c r="D542" t="n">
        <v>115</v>
      </c>
      <c r="E542" t="n">
        <v>633.206</v>
      </c>
      <c r="F542" t="n">
        <v>2363</v>
      </c>
      <c r="G542" t="n">
        <v>3500714</v>
      </c>
      <c r="H542" t="inlineStr">
        <is>
          <t>TUB-O-N-AUT-BH-FC-42.70X4.000X5.50-ERW 1</t>
        </is>
      </c>
    </row>
    <row r="543">
      <c r="A543" t="inlineStr">
        <is>
          <t>0000943209</t>
        </is>
      </c>
      <c r="B543" t="inlineStr">
        <is>
          <t>MEGH STEELS PRIVATE LIMITED - TVS A</t>
        </is>
      </c>
      <c r="C543" t="inlineStr">
        <is>
          <t>KG</t>
        </is>
      </c>
      <c r="D543" t="n">
        <v>115</v>
      </c>
      <c r="E543" t="n">
        <v>633.206</v>
      </c>
      <c r="F543" t="n">
        <v>2363</v>
      </c>
      <c r="G543" t="n">
        <v>3500714</v>
      </c>
      <c r="H543" t="inlineStr">
        <is>
          <t>TUB-O-N-AUT-BH-FC-42.70X4.000X5.50-ERW 1</t>
        </is>
      </c>
    </row>
    <row r="544">
      <c r="A544" t="inlineStr">
        <is>
          <t>0000943209</t>
        </is>
      </c>
      <c r="B544" t="inlineStr">
        <is>
          <t>MEGH STEELS PRIVATE LIMITED - TVS A</t>
        </is>
      </c>
      <c r="C544" t="inlineStr">
        <is>
          <t>KG</t>
        </is>
      </c>
      <c r="D544" t="n">
        <v>116</v>
      </c>
      <c r="E544" t="n">
        <v>638.8339999999999</v>
      </c>
      <c r="F544" t="n">
        <v>2384</v>
      </c>
      <c r="G544" t="n">
        <v>3500714</v>
      </c>
      <c r="H544" t="inlineStr">
        <is>
          <t>TUB-O-N-AUT-BH-FC-42.70X4.000X5.50-ERW 1</t>
        </is>
      </c>
    </row>
    <row r="545">
      <c r="A545" t="inlineStr">
        <is>
          <t>0000943211</t>
        </is>
      </c>
      <c r="B545" t="inlineStr">
        <is>
          <t>MEGH STEELS PRIVATE LIMITED - RE</t>
        </is>
      </c>
      <c r="C545" t="inlineStr">
        <is>
          <t>KG</t>
        </is>
      </c>
      <c r="D545" t="n">
        <v>71</v>
      </c>
      <c r="E545" t="n">
        <v>431.951</v>
      </c>
      <c r="F545" t="n">
        <v>1028</v>
      </c>
      <c r="G545" t="n">
        <v>3500641</v>
      </c>
      <c r="H545" t="inlineStr">
        <is>
          <t>TUB-S-AW-SHS-50.0X50.0X1.6X6.121 FC HDP</t>
        </is>
      </c>
    </row>
    <row r="546">
      <c r="A546" t="inlineStr">
        <is>
          <t>0000943211</t>
        </is>
      </c>
      <c r="B546" t="inlineStr">
        <is>
          <t>MEGH STEELS PRIVATE LIMITED - RE</t>
        </is>
      </c>
      <c r="C546" t="inlineStr">
        <is>
          <t>KG</t>
        </is>
      </c>
      <c r="D546" t="n">
        <v>91</v>
      </c>
      <c r="E546" t="n">
        <v>556.746</v>
      </c>
      <c r="F546" t="n">
        <v>1325</v>
      </c>
      <c r="G546" t="n">
        <v>3500641</v>
      </c>
      <c r="H546" t="inlineStr">
        <is>
          <t>TUB-S-AW-SHS-50.0X50.0X1.6X6.121 FC HDP</t>
        </is>
      </c>
    </row>
    <row r="547">
      <c r="A547" t="inlineStr">
        <is>
          <t>0000943211</t>
        </is>
      </c>
      <c r="B547" t="inlineStr">
        <is>
          <t>MEGH STEELS PRIVATE LIMITED - RE</t>
        </is>
      </c>
      <c r="C547" t="inlineStr">
        <is>
          <t>KG</t>
        </is>
      </c>
      <c r="D547" t="n">
        <v>91</v>
      </c>
      <c r="E547" t="n">
        <v>556.746</v>
      </c>
      <c r="F547" t="n">
        <v>1325</v>
      </c>
      <c r="G547" t="n">
        <v>3500641</v>
      </c>
      <c r="H547" t="inlineStr">
        <is>
          <t>TUB-S-AW-SHS-50.0X50.0X1.6X6.121 FC HDP</t>
        </is>
      </c>
    </row>
    <row r="548">
      <c r="A548" t="inlineStr">
        <is>
          <t>0000943211</t>
        </is>
      </c>
      <c r="B548" t="inlineStr">
        <is>
          <t>MEGH STEELS PRIVATE LIMITED - RE</t>
        </is>
      </c>
      <c r="C548" t="inlineStr">
        <is>
          <t>KG</t>
        </is>
      </c>
      <c r="D548" t="n">
        <v>92</v>
      </c>
      <c r="E548" t="n">
        <v>560.948</v>
      </c>
      <c r="F548" t="n">
        <v>1335</v>
      </c>
      <c r="G548" t="n">
        <v>3500641</v>
      </c>
      <c r="H548" t="inlineStr">
        <is>
          <t>TUB-S-AW-SHS-50.0X50.0X1.6X6.121 FC HDP</t>
        </is>
      </c>
    </row>
    <row r="549">
      <c r="A549" t="inlineStr">
        <is>
          <t>0000943211</t>
        </is>
      </c>
      <c r="B549" t="inlineStr">
        <is>
          <t>MEGH STEELS PRIVATE LIMITED - RE</t>
        </is>
      </c>
      <c r="C549" t="inlineStr">
        <is>
          <t>KG</t>
        </is>
      </c>
      <c r="D549" t="n">
        <v>92</v>
      </c>
      <c r="E549" t="n">
        <v>560.948</v>
      </c>
      <c r="F549" t="n">
        <v>1335</v>
      </c>
      <c r="G549" t="n">
        <v>3500641</v>
      </c>
      <c r="H549" t="inlineStr">
        <is>
          <t>TUB-S-AW-SHS-50.0X50.0X1.6X6.121 FC HDP</t>
        </is>
      </c>
    </row>
    <row r="550">
      <c r="A550" t="inlineStr">
        <is>
          <t>0000943210</t>
        </is>
      </c>
      <c r="B550" t="inlineStr">
        <is>
          <t>MEGH STEELS PRIVATE LIMITED - HMSIL</t>
        </is>
      </c>
      <c r="C550" t="inlineStr">
        <is>
          <t>KG</t>
        </is>
      </c>
      <c r="D550" t="n">
        <v>126</v>
      </c>
      <c r="E550" t="n">
        <v>762.716</v>
      </c>
      <c r="F550" t="n">
        <v>1549</v>
      </c>
      <c r="G550" t="n">
        <v>1931046</v>
      </c>
      <c r="H550" t="inlineStr">
        <is>
          <t>TUB-O-N-AUT-AW-FC-28.58X3.250X6.0600</t>
        </is>
      </c>
    </row>
    <row r="551">
      <c r="A551" t="inlineStr">
        <is>
          <t>0000944141</t>
        </is>
      </c>
      <c r="B551" t="inlineStr">
        <is>
          <t>SRIKAM HITECH ENGINEERING PRIVATE L</t>
        </is>
      </c>
      <c r="C551" t="inlineStr">
        <is>
          <t>NOS</t>
        </is>
      </c>
      <c r="D551" t="n">
        <v>3900</v>
      </c>
      <c r="E551" t="n">
        <v>984.848</v>
      </c>
      <c r="F551" t="n">
        <v>936</v>
      </c>
      <c r="G551" t="n">
        <v>1940307</v>
      </c>
      <c r="H551" t="inlineStr">
        <is>
          <t>TUB-O-O-AUT-AW-PE-19.05X2.300X0.2520</t>
        </is>
      </c>
    </row>
    <row r="552">
      <c r="A552" t="inlineStr">
        <is>
          <t>0000944141</t>
        </is>
      </c>
      <c r="B552" t="inlineStr">
        <is>
          <t>SRIKAM HITECH ENGINEERING PRIVATE L</t>
        </is>
      </c>
      <c r="C552" t="inlineStr">
        <is>
          <t>NOS</t>
        </is>
      </c>
      <c r="D552" t="n">
        <v>6157</v>
      </c>
      <c r="E552" t="n">
        <v>1813.931</v>
      </c>
      <c r="F552" t="n">
        <v>1723.96</v>
      </c>
      <c r="G552" t="n">
        <v>1940312</v>
      </c>
      <c r="H552" t="inlineStr">
        <is>
          <t>TUB-O-O-AUT-AW-PE-19.05X2.300X0.2950</t>
        </is>
      </c>
    </row>
    <row r="553">
      <c r="A553" t="inlineStr">
        <is>
          <t>0000944141</t>
        </is>
      </c>
      <c r="B553" t="inlineStr">
        <is>
          <t>SRIKAM HITECH ENGINEERING PRIVATE L</t>
        </is>
      </c>
      <c r="C553" t="inlineStr">
        <is>
          <t>NOS</t>
        </is>
      </c>
      <c r="D553" t="n">
        <v>2343</v>
      </c>
      <c r="E553" t="n">
        <v>690.278</v>
      </c>
      <c r="F553" t="n">
        <v>656.04</v>
      </c>
      <c r="G553" t="n">
        <v>1940312</v>
      </c>
      <c r="H553" t="inlineStr">
        <is>
          <t>TUB-O-O-AUT-AW-PE-19.05X2.300X0.2950</t>
        </is>
      </c>
    </row>
    <row r="554">
      <c r="A554" t="inlineStr">
        <is>
          <t>0000944141</t>
        </is>
      </c>
      <c r="B554" t="inlineStr">
        <is>
          <t>SRIKAM HITECH ENGINEERING PRIVATE L</t>
        </is>
      </c>
      <c r="C554" t="inlineStr">
        <is>
          <t>NOS</t>
        </is>
      </c>
      <c r="D554" t="n">
        <v>800</v>
      </c>
      <c r="E554" t="n">
        <v>559.99</v>
      </c>
      <c r="F554" t="n">
        <v>456</v>
      </c>
      <c r="G554" t="n">
        <v>2270133</v>
      </c>
      <c r="H554" t="inlineStr">
        <is>
          <t>TUB-O-N-AUT-HR-PE-22.23X1.600X0.7000</t>
        </is>
      </c>
    </row>
    <row r="555">
      <c r="A555" t="inlineStr">
        <is>
          <t>0000944141</t>
        </is>
      </c>
      <c r="B555" t="inlineStr">
        <is>
          <t>SRIKAM HITECH ENGINEERING PRIVATE L</t>
        </is>
      </c>
      <c r="C555" t="inlineStr">
        <is>
          <t>NOS</t>
        </is>
      </c>
      <c r="D555" t="n">
        <v>567</v>
      </c>
      <c r="E555" t="n">
        <v>396.893</v>
      </c>
      <c r="F555" t="n">
        <v>323.19</v>
      </c>
      <c r="G555" t="n">
        <v>2270133</v>
      </c>
      <c r="H555" t="inlineStr">
        <is>
          <t>TUB-O-N-AUT-HR-PE-22.23X1.600X0.7000</t>
        </is>
      </c>
    </row>
    <row r="556">
      <c r="A556" t="inlineStr">
        <is>
          <t>0000944141</t>
        </is>
      </c>
      <c r="B556" t="inlineStr">
        <is>
          <t>SRIKAM HITECH ENGINEERING PRIVATE L</t>
        </is>
      </c>
      <c r="C556" t="inlineStr">
        <is>
          <t>NOS</t>
        </is>
      </c>
      <c r="D556" t="n">
        <v>350</v>
      </c>
      <c r="E556" t="n">
        <v>244.996</v>
      </c>
      <c r="F556" t="n">
        <v>199.5</v>
      </c>
      <c r="G556" t="n">
        <v>2270133</v>
      </c>
      <c r="H556" t="inlineStr">
        <is>
          <t>TUB-O-N-AUT-HR-PE-22.23X1.600X0.7000</t>
        </is>
      </c>
    </row>
    <row r="557">
      <c r="A557" t="inlineStr">
        <is>
          <t>0000944141</t>
        </is>
      </c>
      <c r="B557" t="inlineStr">
        <is>
          <t>SRIKAM HITECH ENGINEERING PRIVATE L</t>
        </is>
      </c>
      <c r="C557" t="inlineStr">
        <is>
          <t>NOS</t>
        </is>
      </c>
      <c r="D557" t="n">
        <v>30</v>
      </c>
      <c r="E557" t="n">
        <v>21</v>
      </c>
      <c r="F557" t="n">
        <v>17.1</v>
      </c>
      <c r="G557" t="n">
        <v>2270133</v>
      </c>
      <c r="H557" t="inlineStr">
        <is>
          <t>TUB-O-N-AUT-HR-PE-22.23X1.600X0.7000</t>
        </is>
      </c>
    </row>
    <row r="558">
      <c r="A558" t="inlineStr">
        <is>
          <t>0000944141</t>
        </is>
      </c>
      <c r="B558" t="inlineStr">
        <is>
          <t>SRIKAM HITECH ENGINEERING PRIVATE L</t>
        </is>
      </c>
      <c r="C558" t="inlineStr">
        <is>
          <t>NOS</t>
        </is>
      </c>
      <c r="D558" t="n">
        <v>20</v>
      </c>
      <c r="E558" t="n">
        <v>14</v>
      </c>
      <c r="F558" t="n">
        <v>11.4</v>
      </c>
      <c r="G558" t="n">
        <v>2270133</v>
      </c>
      <c r="H558" t="inlineStr">
        <is>
          <t>TUB-O-N-AUT-HR-PE-22.23X1.600X0.7000</t>
        </is>
      </c>
    </row>
    <row r="559">
      <c r="A559" t="inlineStr">
        <is>
          <t>0000944141</t>
        </is>
      </c>
      <c r="B559" t="inlineStr">
        <is>
          <t>SRIKAM HITECH ENGINEERING PRIVATE L</t>
        </is>
      </c>
      <c r="C559" t="inlineStr">
        <is>
          <t>NOS</t>
        </is>
      </c>
      <c r="D559" t="n">
        <v>8</v>
      </c>
      <c r="E559" t="n">
        <v>5.6</v>
      </c>
      <c r="F559" t="n">
        <v>4.56</v>
      </c>
      <c r="G559" t="n">
        <v>2270133</v>
      </c>
      <c r="H559" t="inlineStr">
        <is>
          <t>TUB-O-N-AUT-HR-PE-22.23X1.600X0.7000</t>
        </is>
      </c>
    </row>
    <row r="560">
      <c r="A560" t="inlineStr">
        <is>
          <t>0000944141</t>
        </is>
      </c>
      <c r="B560" t="inlineStr">
        <is>
          <t>SRIKAM HITECH ENGINEERING PRIVATE L</t>
        </is>
      </c>
      <c r="C560" t="inlineStr">
        <is>
          <t>NOS</t>
        </is>
      </c>
      <c r="D560" t="n">
        <v>23</v>
      </c>
      <c r="E560" t="n">
        <v>6.419</v>
      </c>
      <c r="F560" t="n">
        <v>2.185</v>
      </c>
      <c r="G560" t="n">
        <v>1939963</v>
      </c>
      <c r="H560" t="inlineStr">
        <is>
          <t>TUB-O-O-AUT-AW-PE-12.70X1.200X0.2780</t>
        </is>
      </c>
    </row>
    <row r="561">
      <c r="A561" t="inlineStr">
        <is>
          <t>0000944141</t>
        </is>
      </c>
      <c r="B561" t="inlineStr">
        <is>
          <t>SRIKAM HITECH ENGINEERING PRIVATE L</t>
        </is>
      </c>
      <c r="C561" t="inlineStr">
        <is>
          <t>NOS</t>
        </is>
      </c>
      <c r="D561" t="n">
        <v>2589</v>
      </c>
      <c r="E561" t="n">
        <v>722.547</v>
      </c>
      <c r="F561" t="n">
        <v>245.955</v>
      </c>
      <c r="G561" t="n">
        <v>1939963</v>
      </c>
      <c r="H561" t="inlineStr">
        <is>
          <t>TUB-O-O-AUT-AW-PE-12.70X1.200X0.2780</t>
        </is>
      </c>
    </row>
    <row r="562">
      <c r="A562" t="inlineStr">
        <is>
          <t>0000944141</t>
        </is>
      </c>
      <c r="B562" t="inlineStr">
        <is>
          <t>SRIKAM HITECH ENGINEERING PRIVATE L</t>
        </is>
      </c>
      <c r="C562" t="inlineStr">
        <is>
          <t>NOS</t>
        </is>
      </c>
      <c r="D562" t="n">
        <v>9088</v>
      </c>
      <c r="E562" t="n">
        <v>2536.31</v>
      </c>
      <c r="F562" t="n">
        <v>863.36</v>
      </c>
      <c r="G562" t="n">
        <v>1939963</v>
      </c>
      <c r="H562" t="inlineStr">
        <is>
          <t>TUB-O-O-AUT-AW-PE-12.70X1.200X0.2780</t>
        </is>
      </c>
    </row>
    <row r="563">
      <c r="A563" t="inlineStr">
        <is>
          <t>0000184192</t>
        </is>
      </c>
      <c r="B563" t="inlineStr">
        <is>
          <t>JBM AUTO LIMITED</t>
        </is>
      </c>
      <c r="C563" t="inlineStr">
        <is>
          <t>NOS</t>
        </is>
      </c>
      <c r="D563" t="n">
        <v>65</v>
      </c>
      <c r="E563" t="n">
        <v>8.074999999999999</v>
      </c>
      <c r="F563" t="n">
        <v>8.06</v>
      </c>
      <c r="G563" t="n">
        <v>3181172</v>
      </c>
      <c r="H563" t="inlineStr">
        <is>
          <t>TUB-O-N-AUT-AW-PE-22.23X2.000X0.1240</t>
        </is>
      </c>
    </row>
    <row r="564">
      <c r="A564" t="inlineStr">
        <is>
          <t>0000184192</t>
        </is>
      </c>
      <c r="B564" t="inlineStr">
        <is>
          <t>JBM AUTO LIMITED</t>
        </is>
      </c>
      <c r="C564" t="inlineStr">
        <is>
          <t>NOS</t>
        </is>
      </c>
      <c r="D564" t="n">
        <v>63</v>
      </c>
      <c r="E564" t="n">
        <v>10.429</v>
      </c>
      <c r="F564" t="n">
        <v>10.395</v>
      </c>
      <c r="G564" t="n">
        <v>3614496</v>
      </c>
      <c r="H564" t="inlineStr">
        <is>
          <t>TUB-O-N-AUT-AW-PE-22.20X2.000X0.1660</t>
        </is>
      </c>
    </row>
    <row r="565">
      <c r="A565" t="inlineStr">
        <is>
          <t>0000184192</t>
        </is>
      </c>
      <c r="B565" t="inlineStr">
        <is>
          <t>JBM AUTO LIMITED</t>
        </is>
      </c>
      <c r="C565" t="inlineStr">
        <is>
          <t>NOS</t>
        </is>
      </c>
      <c r="D565" t="n">
        <v>185</v>
      </c>
      <c r="E565" t="n">
        <v>25.243</v>
      </c>
      <c r="F565" t="n">
        <v>25.16</v>
      </c>
      <c r="G565" t="n">
        <v>3614494</v>
      </c>
      <c r="H565" t="inlineStr">
        <is>
          <t>TUB-O-N-AUT-AW-PE-22.20X2.000X0.1360</t>
        </is>
      </c>
    </row>
    <row r="566">
      <c r="A566" t="inlineStr">
        <is>
          <t>0000184192</t>
        </is>
      </c>
      <c r="B566" t="inlineStr">
        <is>
          <t>JBM AUTO LIMITED</t>
        </is>
      </c>
      <c r="C566" t="inlineStr">
        <is>
          <t>NOS</t>
        </is>
      </c>
      <c r="D566" t="n">
        <v>1200</v>
      </c>
      <c r="E566" t="n">
        <v>579.604</v>
      </c>
      <c r="F566" t="n">
        <v>850.8</v>
      </c>
      <c r="G566" t="n">
        <v>3181171</v>
      </c>
      <c r="H566" t="inlineStr">
        <is>
          <t>TUB-O-N-AUT-AW-FC-31.75X2.000X0.4830</t>
        </is>
      </c>
    </row>
    <row r="567">
      <c r="A567" t="inlineStr">
        <is>
          <t>0000184192</t>
        </is>
      </c>
      <c r="B567" t="inlineStr">
        <is>
          <t>JBM AUTO LIMITED</t>
        </is>
      </c>
      <c r="C567" t="inlineStr">
        <is>
          <t>NOS</t>
        </is>
      </c>
      <c r="D567" t="n">
        <v>744</v>
      </c>
      <c r="E567" t="n">
        <v>359.354</v>
      </c>
      <c r="F567" t="n">
        <v>527.496</v>
      </c>
      <c r="G567" t="n">
        <v>3181171</v>
      </c>
      <c r="H567" t="inlineStr">
        <is>
          <t>TUB-O-N-AUT-AW-FC-31.75X2.000X0.4830</t>
        </is>
      </c>
    </row>
    <row r="568">
      <c r="A568" t="inlineStr">
        <is>
          <t>0000184192</t>
        </is>
      </c>
      <c r="B568" t="inlineStr">
        <is>
          <t>JBM AUTO LIMITED</t>
        </is>
      </c>
      <c r="C568" t="inlineStr">
        <is>
          <t>NOS</t>
        </is>
      </c>
      <c r="D568" t="n">
        <v>400</v>
      </c>
      <c r="E568" t="n">
        <v>193.201</v>
      </c>
      <c r="F568" t="n">
        <v>283.6</v>
      </c>
      <c r="G568" t="n">
        <v>3181171</v>
      </c>
      <c r="H568" t="inlineStr">
        <is>
          <t>TUB-O-N-AUT-AW-FC-31.75X2.000X0.4830</t>
        </is>
      </c>
    </row>
    <row r="569">
      <c r="A569" t="inlineStr">
        <is>
          <t>0000184192</t>
        </is>
      </c>
      <c r="B569" t="inlineStr">
        <is>
          <t>JBM AUTO LIMITED</t>
        </is>
      </c>
      <c r="C569" t="inlineStr">
        <is>
          <t>NOS</t>
        </is>
      </c>
      <c r="D569" t="n">
        <v>6</v>
      </c>
      <c r="E569" t="n">
        <v>2.898</v>
      </c>
      <c r="F569" t="n">
        <v>4.254</v>
      </c>
      <c r="G569" t="n">
        <v>3181171</v>
      </c>
      <c r="H569" t="inlineStr">
        <is>
          <t>TUB-O-N-AUT-AW-FC-31.75X2.000X0.4830</t>
        </is>
      </c>
    </row>
    <row r="570">
      <c r="A570" t="inlineStr">
        <is>
          <t>0000184192</t>
        </is>
      </c>
      <c r="B570" t="inlineStr">
        <is>
          <t>JBM AUTO LIMITED</t>
        </is>
      </c>
      <c r="C570" t="inlineStr">
        <is>
          <t>NOS</t>
        </is>
      </c>
      <c r="D570" t="n">
        <v>1335</v>
      </c>
      <c r="E570" t="n">
        <v>218.956</v>
      </c>
      <c r="F570" t="n">
        <v>90.735</v>
      </c>
      <c r="G570" t="n">
        <v>3181176</v>
      </c>
      <c r="H570" t="inlineStr">
        <is>
          <t>TUB-O-N-AUT-AW-PE-12.70X1.500X0.1640</t>
        </is>
      </c>
    </row>
    <row r="571">
      <c r="A571" t="inlineStr">
        <is>
          <t>0000189002</t>
        </is>
      </c>
      <c r="B571" t="inlineStr">
        <is>
          <t>Marathwada Auto Compo Pvt. Ltd.</t>
        </is>
      </c>
      <c r="C571" t="inlineStr">
        <is>
          <t>NOS</t>
        </is>
      </c>
      <c r="D571" t="n">
        <v>823</v>
      </c>
      <c r="E571" t="n">
        <v>1437.055</v>
      </c>
      <c r="F571" t="n">
        <v>527.543</v>
      </c>
      <c r="G571" t="n">
        <v>3672606</v>
      </c>
      <c r="H571" t="inlineStr">
        <is>
          <t>TUB-O-N-AUT-AW-PE-15.88X1.000X1.7450</t>
        </is>
      </c>
    </row>
    <row r="572">
      <c r="A572" t="inlineStr">
        <is>
          <t>0000189002</t>
        </is>
      </c>
      <c r="B572" t="inlineStr">
        <is>
          <t>Marathwada Auto Compo Pvt. Ltd.</t>
        </is>
      </c>
      <c r="C572" t="inlineStr">
        <is>
          <t>NOS</t>
        </is>
      </c>
      <c r="D572" t="n">
        <v>698</v>
      </c>
      <c r="E572" t="n">
        <v>1218.791</v>
      </c>
      <c r="F572" t="n">
        <v>447.418</v>
      </c>
      <c r="G572" t="n">
        <v>3672606</v>
      </c>
      <c r="H572" t="inlineStr">
        <is>
          <t>TUB-O-N-AUT-AW-PE-15.88X1.000X1.7450</t>
        </is>
      </c>
    </row>
    <row r="573">
      <c r="A573" t="inlineStr">
        <is>
          <t>0000189002</t>
        </is>
      </c>
      <c r="B573" t="inlineStr">
        <is>
          <t>Marathwada Auto Compo Pvt. Ltd.</t>
        </is>
      </c>
      <c r="C573" t="inlineStr">
        <is>
          <t>NOS</t>
        </is>
      </c>
      <c r="D573" t="n">
        <v>479</v>
      </c>
      <c r="E573" t="n">
        <v>836.391</v>
      </c>
      <c r="F573" t="n">
        <v>307.039</v>
      </c>
      <c r="G573" t="n">
        <v>3672606</v>
      </c>
      <c r="H573" t="inlineStr">
        <is>
          <t>TUB-O-N-AUT-AW-PE-15.88X1.000X1.7450</t>
        </is>
      </c>
    </row>
    <row r="574">
      <c r="A574" t="inlineStr">
        <is>
          <t>0000189002</t>
        </is>
      </c>
      <c r="B574" t="inlineStr">
        <is>
          <t>Marathwada Auto Compo Pvt. Ltd.</t>
        </is>
      </c>
      <c r="C574" t="inlineStr">
        <is>
          <t>NOS</t>
        </is>
      </c>
      <c r="D574" t="n">
        <v>3074</v>
      </c>
      <c r="E574" t="n">
        <v>1653.825</v>
      </c>
      <c r="F574" t="n">
        <v>2590.221</v>
      </c>
      <c r="G574" t="n">
        <v>3786201</v>
      </c>
      <c r="H574" t="inlineStr">
        <is>
          <t>TUB-R-AW-RHS-40.00X25.00X1.600X0.5380</t>
        </is>
      </c>
    </row>
    <row r="575">
      <c r="A575" t="inlineStr">
        <is>
          <t>0000189002</t>
        </is>
      </c>
      <c r="B575" t="inlineStr">
        <is>
          <t>Marathwada Auto Compo Pvt. Ltd.</t>
        </is>
      </c>
      <c r="C575" t="inlineStr">
        <is>
          <t>NOS</t>
        </is>
      </c>
      <c r="D575" t="n">
        <v>1464</v>
      </c>
      <c r="E575" t="n">
        <v>787.638</v>
      </c>
      <c r="F575" t="n">
        <v>1233.599</v>
      </c>
      <c r="G575" t="n">
        <v>3786201</v>
      </c>
      <c r="H575" t="inlineStr">
        <is>
          <t>TUB-R-AW-RHS-40.00X25.00X1.600X0.5380</t>
        </is>
      </c>
    </row>
    <row r="576">
      <c r="A576" t="inlineStr">
        <is>
          <t>0000189002</t>
        </is>
      </c>
      <c r="B576" t="inlineStr">
        <is>
          <t>Marathwada Auto Compo Pvt. Ltd.</t>
        </is>
      </c>
      <c r="C576" t="inlineStr">
        <is>
          <t>NOS</t>
        </is>
      </c>
      <c r="D576" t="n">
        <v>1032</v>
      </c>
      <c r="E576" t="n">
        <v>555.22</v>
      </c>
      <c r="F576" t="n">
        <v>869.586</v>
      </c>
      <c r="G576" t="n">
        <v>3786201</v>
      </c>
      <c r="H576" t="inlineStr">
        <is>
          <t>TUB-R-AW-RHS-40.00X25.00X1.600X0.5380</t>
        </is>
      </c>
    </row>
    <row r="577">
      <c r="A577" t="inlineStr">
        <is>
          <t>0000189002</t>
        </is>
      </c>
      <c r="B577" t="inlineStr">
        <is>
          <t>Marathwada Auto Compo Pvt. Ltd.</t>
        </is>
      </c>
      <c r="C577" t="inlineStr">
        <is>
          <t>NOS</t>
        </is>
      </c>
      <c r="D577" t="n">
        <v>470</v>
      </c>
      <c r="E577" t="n">
        <v>252.862</v>
      </c>
      <c r="F577" t="n">
        <v>396.032</v>
      </c>
      <c r="G577" t="n">
        <v>3786201</v>
      </c>
      <c r="H577" t="inlineStr">
        <is>
          <t>TUB-R-AW-RHS-40.00X25.00X1.600X0.5380</t>
        </is>
      </c>
    </row>
    <row r="578">
      <c r="A578" t="inlineStr">
        <is>
          <t>0000189002</t>
        </is>
      </c>
      <c r="B578" t="inlineStr">
        <is>
          <t>Marathwada Auto Compo Pvt. Ltd.</t>
        </is>
      </c>
      <c r="C578" t="inlineStr">
        <is>
          <t>NOS</t>
        </is>
      </c>
      <c r="D578" t="n">
        <v>2799</v>
      </c>
      <c r="E578" t="n">
        <v>1643.006</v>
      </c>
      <c r="F578" t="n">
        <v>2573.276</v>
      </c>
      <c r="G578" t="n">
        <v>3786202</v>
      </c>
      <c r="H578" t="inlineStr">
        <is>
          <t>TUB-R-AW-RHS-40.00X25.00X1.600X0.5870</t>
        </is>
      </c>
    </row>
    <row r="579">
      <c r="A579" t="inlineStr">
        <is>
          <t>0000189002</t>
        </is>
      </c>
      <c r="B579" t="inlineStr">
        <is>
          <t>Marathwada Auto Compo Pvt. Ltd.</t>
        </is>
      </c>
      <c r="C579" t="inlineStr">
        <is>
          <t>NOS</t>
        </is>
      </c>
      <c r="D579" t="n">
        <v>1399</v>
      </c>
      <c r="E579" t="n">
        <v>821.21</v>
      </c>
      <c r="F579" t="n">
        <v>1286.178</v>
      </c>
      <c r="G579" t="n">
        <v>3786202</v>
      </c>
      <c r="H579" t="inlineStr">
        <is>
          <t>TUB-R-AW-RHS-40.00X25.00X1.600X0.5870</t>
        </is>
      </c>
    </row>
    <row r="580">
      <c r="A580" t="inlineStr">
        <is>
          <t>0000189002</t>
        </is>
      </c>
      <c r="B580" t="inlineStr">
        <is>
          <t>Marathwada Auto Compo Pvt. Ltd.</t>
        </is>
      </c>
      <c r="C580" t="inlineStr">
        <is>
          <t>NOS</t>
        </is>
      </c>
      <c r="D580" t="n">
        <v>2</v>
      </c>
      <c r="E580" t="n">
        <v>1.174</v>
      </c>
      <c r="F580" t="n">
        <v>1.839</v>
      </c>
      <c r="G580" t="n">
        <v>3786202</v>
      </c>
      <c r="H580" t="inlineStr">
        <is>
          <t>TUB-R-AW-RHS-40.00X25.00X1.600X0.5870</t>
        </is>
      </c>
    </row>
    <row r="581">
      <c r="A581" t="inlineStr">
        <is>
          <t>0000189002</t>
        </is>
      </c>
      <c r="B581" t="inlineStr">
        <is>
          <t>Marathwada Auto Compo Pvt. Ltd.</t>
        </is>
      </c>
      <c r="C581" t="inlineStr">
        <is>
          <t>NOS</t>
        </is>
      </c>
      <c r="D581" t="n">
        <v>750</v>
      </c>
      <c r="E581" t="n">
        <v>1201.308</v>
      </c>
      <c r="F581" t="n">
        <v>441</v>
      </c>
      <c r="G581" t="n">
        <v>1941846</v>
      </c>
      <c r="H581" t="inlineStr">
        <is>
          <t>TUB-E-O-AUT-AW-FC-15.88X1.000X1.6030</t>
        </is>
      </c>
    </row>
    <row r="582">
      <c r="A582" t="inlineStr">
        <is>
          <t>0000189002</t>
        </is>
      </c>
      <c r="B582" t="inlineStr">
        <is>
          <t>Marathwada Auto Compo Pvt. Ltd.</t>
        </is>
      </c>
      <c r="C582" t="inlineStr">
        <is>
          <t>NOS</t>
        </is>
      </c>
      <c r="D582" t="n">
        <v>1189</v>
      </c>
      <c r="E582" t="n">
        <v>2597.597</v>
      </c>
      <c r="F582" t="n">
        <v>953.578</v>
      </c>
      <c r="G582" t="n">
        <v>1941847</v>
      </c>
      <c r="H582" t="inlineStr">
        <is>
          <t>TUB-E-O-AUT-AW-FC-15.88X1.000X2.1850</t>
        </is>
      </c>
    </row>
    <row r="583">
      <c r="A583" t="inlineStr">
        <is>
          <t>0000189002</t>
        </is>
      </c>
      <c r="B583" t="inlineStr">
        <is>
          <t>Marathwada Auto Compo Pvt. Ltd.</t>
        </is>
      </c>
      <c r="C583" t="inlineStr">
        <is>
          <t>NOS</t>
        </is>
      </c>
      <c r="D583" t="n">
        <v>380</v>
      </c>
      <c r="E583" t="n">
        <v>830.183</v>
      </c>
      <c r="F583" t="n">
        <v>304.76</v>
      </c>
      <c r="G583" t="n">
        <v>1941847</v>
      </c>
      <c r="H583" t="inlineStr">
        <is>
          <t>TUB-E-O-AUT-AW-FC-15.88X1.000X2.1850</t>
        </is>
      </c>
    </row>
    <row r="584">
      <c r="A584" t="inlineStr">
        <is>
          <t>0000189002</t>
        </is>
      </c>
      <c r="B584" t="inlineStr">
        <is>
          <t>Marathwada Auto Compo Pvt. Ltd.</t>
        </is>
      </c>
      <c r="C584" t="inlineStr">
        <is>
          <t>NOS</t>
        </is>
      </c>
      <c r="D584" t="n">
        <v>184</v>
      </c>
      <c r="E584" t="n">
        <v>401.983</v>
      </c>
      <c r="F584" t="n">
        <v>147.568</v>
      </c>
      <c r="G584" t="n">
        <v>1941847</v>
      </c>
      <c r="H584" t="inlineStr">
        <is>
          <t>TUB-E-O-AUT-AW-FC-15.88X1.000X2.1850</t>
        </is>
      </c>
    </row>
    <row r="585">
      <c r="A585" t="inlineStr">
        <is>
          <t>0000189002</t>
        </is>
      </c>
      <c r="B585" t="inlineStr">
        <is>
          <t>Marathwada Auto Compo Pvt. Ltd.</t>
        </is>
      </c>
      <c r="C585" t="inlineStr">
        <is>
          <t>NOS</t>
        </is>
      </c>
      <c r="D585" t="n">
        <v>16</v>
      </c>
      <c r="E585" t="n">
        <v>34.955</v>
      </c>
      <c r="F585" t="n">
        <v>12.832</v>
      </c>
      <c r="G585" t="n">
        <v>1941847</v>
      </c>
      <c r="H585" t="inlineStr">
        <is>
          <t>TUB-E-O-AUT-AW-FC-15.88X1.000X2.1850</t>
        </is>
      </c>
    </row>
    <row r="586">
      <c r="A586" t="inlineStr">
        <is>
          <t>0000189002</t>
        </is>
      </c>
      <c r="B586" t="inlineStr">
        <is>
          <t>Marathwada Auto Compo Pvt. Ltd.</t>
        </is>
      </c>
      <c r="C586" t="inlineStr">
        <is>
          <t>NOS</t>
        </is>
      </c>
      <c r="D586" t="n">
        <v>6</v>
      </c>
      <c r="E586" t="n">
        <v>13.108</v>
      </c>
      <c r="F586" t="n">
        <v>4.812</v>
      </c>
      <c r="G586" t="n">
        <v>1941847</v>
      </c>
      <c r="H586" t="inlineStr">
        <is>
          <t>TUB-E-O-AUT-AW-FC-15.88X1.000X2.1850</t>
        </is>
      </c>
    </row>
    <row r="587">
      <c r="A587" t="inlineStr">
        <is>
          <t>0000189002</t>
        </is>
      </c>
      <c r="B587" t="inlineStr">
        <is>
          <t>Marathwada Auto Compo Pvt. Ltd.</t>
        </is>
      </c>
      <c r="C587" t="inlineStr">
        <is>
          <t>M</t>
        </is>
      </c>
      <c r="D587" t="n">
        <v>181</v>
      </c>
      <c r="E587" t="n">
        <v>1086</v>
      </c>
      <c r="F587" t="n">
        <v>1594.682</v>
      </c>
      <c r="G587" t="n">
        <v>1940852</v>
      </c>
      <c r="H587" t="inlineStr">
        <is>
          <t>TUB-S-AW-SHS-40.00X40.00X1.200X6.0000</t>
        </is>
      </c>
    </row>
    <row r="588">
      <c r="A588" t="inlineStr">
        <is>
          <t>0000189002</t>
        </is>
      </c>
      <c r="B588" t="inlineStr">
        <is>
          <t>Marathwada Auto Compo Pvt. Ltd.</t>
        </is>
      </c>
      <c r="C588" t="inlineStr">
        <is>
          <t>M</t>
        </is>
      </c>
      <c r="D588" t="n">
        <v>175</v>
      </c>
      <c r="E588" t="n">
        <v>1050</v>
      </c>
      <c r="F588" t="n">
        <v>1541.82</v>
      </c>
      <c r="G588" t="n">
        <v>1940852</v>
      </c>
      <c r="H588" t="inlineStr">
        <is>
          <t>TUB-S-AW-SHS-40.00X40.00X1.200X6.0000</t>
        </is>
      </c>
    </row>
    <row r="589">
      <c r="A589" t="inlineStr">
        <is>
          <t>0000189002</t>
        </is>
      </c>
      <c r="B589" t="inlineStr">
        <is>
          <t>Marathwada Auto Compo Pvt. Ltd.</t>
        </is>
      </c>
      <c r="C589" t="inlineStr">
        <is>
          <t>M</t>
        </is>
      </c>
      <c r="D589" t="n">
        <v>160</v>
      </c>
      <c r="E589" t="n">
        <v>962</v>
      </c>
      <c r="F589" t="n">
        <v>1412.601</v>
      </c>
      <c r="G589" t="n">
        <v>1940852</v>
      </c>
      <c r="H589" t="inlineStr">
        <is>
          <t>TUB-S-AW-SHS-40.00X40.00X1.200X6.0000</t>
        </is>
      </c>
    </row>
    <row r="590">
      <c r="A590" t="inlineStr">
        <is>
          <t>0000189002</t>
        </is>
      </c>
      <c r="B590" t="inlineStr">
        <is>
          <t>Marathwada Auto Compo Pvt. Ltd.</t>
        </is>
      </c>
      <c r="C590" t="inlineStr">
        <is>
          <t>M</t>
        </is>
      </c>
      <c r="D590" t="n">
        <v>139</v>
      </c>
      <c r="E590" t="n">
        <v>834</v>
      </c>
      <c r="F590" t="n">
        <v>1224.646</v>
      </c>
      <c r="G590" t="n">
        <v>1940852</v>
      </c>
      <c r="H590" t="inlineStr">
        <is>
          <t>TUB-S-AW-SHS-40.00X40.00X1.200X6.0000</t>
        </is>
      </c>
    </row>
    <row r="591">
      <c r="A591" t="inlineStr">
        <is>
          <t>0000189002</t>
        </is>
      </c>
      <c r="B591" t="inlineStr">
        <is>
          <t>Marathwada Auto Compo Pvt. Ltd.</t>
        </is>
      </c>
      <c r="C591" t="inlineStr">
        <is>
          <t>M</t>
        </is>
      </c>
      <c r="D591" t="n">
        <v>95</v>
      </c>
      <c r="E591" t="n">
        <v>568</v>
      </c>
      <c r="F591" t="n">
        <v>834.051</v>
      </c>
      <c r="G591" t="n">
        <v>1940852</v>
      </c>
      <c r="H591" t="inlineStr">
        <is>
          <t>TUB-S-AW-SHS-40.00X40.00X1.200X6.0000</t>
        </is>
      </c>
    </row>
    <row r="592">
      <c r="A592" t="inlineStr">
        <is>
          <t>0000189002</t>
        </is>
      </c>
      <c r="B592" t="inlineStr">
        <is>
          <t>Marathwada Auto Compo Pvt. Ltd.</t>
        </is>
      </c>
      <c r="C592" t="inlineStr">
        <is>
          <t>M</t>
        </is>
      </c>
      <c r="D592" t="n">
        <v>602</v>
      </c>
      <c r="E592" t="n">
        <v>3615</v>
      </c>
      <c r="F592" t="n">
        <v>1999.457</v>
      </c>
      <c r="G592" t="n">
        <v>1940146</v>
      </c>
      <c r="H592" t="inlineStr">
        <is>
          <t>TUB-S-FH-SHS-19.00X19.00X1.000X6.0000</t>
        </is>
      </c>
    </row>
    <row r="593">
      <c r="A593" t="inlineStr">
        <is>
          <t>0000189002</t>
        </is>
      </c>
      <c r="B593" t="inlineStr">
        <is>
          <t>Marathwada Auto Compo Pvt. Ltd.</t>
        </is>
      </c>
      <c r="C593" t="inlineStr">
        <is>
          <t>M</t>
        </is>
      </c>
      <c r="D593" t="n">
        <v>247</v>
      </c>
      <c r="E593" t="n">
        <v>1485</v>
      </c>
      <c r="F593" t="n">
        <v>821.354</v>
      </c>
      <c r="G593" t="n">
        <v>1940146</v>
      </c>
      <c r="H593" t="inlineStr">
        <is>
          <t>TUB-S-FH-SHS-19.00X19.00X1.000X6.0000</t>
        </is>
      </c>
    </row>
    <row r="594">
      <c r="A594" t="inlineStr">
        <is>
          <t>0000944141</t>
        </is>
      </c>
      <c r="B594" t="inlineStr">
        <is>
          <t>SRIKAM HITECH ENGINEERING PRIVATE L</t>
        </is>
      </c>
      <c r="C594" t="inlineStr">
        <is>
          <t>NOS</t>
        </is>
      </c>
      <c r="D594" t="n">
        <v>6946</v>
      </c>
      <c r="E594" t="n">
        <v>1644.24</v>
      </c>
      <c r="F594" t="n">
        <v>1562.85</v>
      </c>
      <c r="G594" t="n">
        <v>1940306</v>
      </c>
      <c r="H594" t="inlineStr">
        <is>
          <t>TUB-O-O-AUT-AW-PE-19.05X2.300X0.2360</t>
        </is>
      </c>
    </row>
    <row r="595">
      <c r="A595" t="inlineStr">
        <is>
          <t>0000944141</t>
        </is>
      </c>
      <c r="B595" t="inlineStr">
        <is>
          <t>SRIKAM HITECH ENGINEERING PRIVATE L</t>
        </is>
      </c>
      <c r="C595" t="inlineStr">
        <is>
          <t>NOS</t>
        </is>
      </c>
      <c r="D595" t="n">
        <v>1746</v>
      </c>
      <c r="E595" t="n">
        <v>413.309</v>
      </c>
      <c r="F595" t="n">
        <v>392.85</v>
      </c>
      <c r="G595" t="n">
        <v>1940306</v>
      </c>
      <c r="H595" t="inlineStr">
        <is>
          <t>TUB-O-O-AUT-AW-PE-19.05X2.300X0.2360</t>
        </is>
      </c>
    </row>
    <row r="596">
      <c r="A596" t="inlineStr">
        <is>
          <t>0000944141</t>
        </is>
      </c>
      <c r="B596" t="inlineStr">
        <is>
          <t>SRIKAM HITECH ENGINEERING PRIVATE L</t>
        </is>
      </c>
      <c r="C596" t="inlineStr">
        <is>
          <t>NOS</t>
        </is>
      </c>
      <c r="D596" t="n">
        <v>758</v>
      </c>
      <c r="E596" t="n">
        <v>179.432</v>
      </c>
      <c r="F596" t="n">
        <v>170.55</v>
      </c>
      <c r="G596" t="n">
        <v>1940306</v>
      </c>
      <c r="H596" t="inlineStr">
        <is>
          <t>TUB-O-O-AUT-AW-PE-19.05X2.300X0.2360</t>
        </is>
      </c>
    </row>
    <row r="597">
      <c r="A597" t="inlineStr">
        <is>
          <t>0000944141</t>
        </is>
      </c>
      <c r="B597" t="inlineStr">
        <is>
          <t>SRIKAM HITECH ENGINEERING PRIVATE L</t>
        </is>
      </c>
      <c r="C597" t="inlineStr">
        <is>
          <t>NOS</t>
        </is>
      </c>
      <c r="D597" t="n">
        <v>6407</v>
      </c>
      <c r="E597" t="n">
        <v>1887.584</v>
      </c>
      <c r="F597" t="n">
        <v>1793.96</v>
      </c>
      <c r="G597" t="n">
        <v>1940312</v>
      </c>
      <c r="H597" t="inlineStr">
        <is>
          <t>TUB-O-O-AUT-AW-PE-19.05X2.300X0.2950</t>
        </is>
      </c>
    </row>
    <row r="598">
      <c r="A598" t="inlineStr">
        <is>
          <t>0000944141</t>
        </is>
      </c>
      <c r="B598" t="inlineStr">
        <is>
          <t>SRIKAM HITECH ENGINEERING PRIVATE L</t>
        </is>
      </c>
      <c r="C598" t="inlineStr">
        <is>
          <t>NOS</t>
        </is>
      </c>
      <c r="D598" t="n">
        <v>3646</v>
      </c>
      <c r="E598" t="n">
        <v>1074.158</v>
      </c>
      <c r="F598" t="n">
        <v>1020.88</v>
      </c>
      <c r="G598" t="n">
        <v>1940312</v>
      </c>
      <c r="H598" t="inlineStr">
        <is>
          <t>TUB-O-O-AUT-AW-PE-19.05X2.300X0.2950</t>
        </is>
      </c>
    </row>
    <row r="599">
      <c r="A599" t="inlineStr">
        <is>
          <t>0000944141</t>
        </is>
      </c>
      <c r="B599" t="inlineStr">
        <is>
          <t>SRIKAM HITECH ENGINEERING PRIVATE L</t>
        </is>
      </c>
      <c r="C599" t="inlineStr">
        <is>
          <t>NOS</t>
        </is>
      </c>
      <c r="D599" t="n">
        <v>3553</v>
      </c>
      <c r="E599" t="n">
        <v>1046.759</v>
      </c>
      <c r="F599" t="n">
        <v>994.84</v>
      </c>
      <c r="G599" t="n">
        <v>1940312</v>
      </c>
      <c r="H599" t="inlineStr">
        <is>
          <t>TUB-O-O-AUT-AW-PE-19.05X2.300X0.2950</t>
        </is>
      </c>
    </row>
    <row r="600">
      <c r="A600" t="inlineStr">
        <is>
          <t>0000944141</t>
        </is>
      </c>
      <c r="B600" t="inlineStr">
        <is>
          <t>SRIKAM HITECH ENGINEERING PRIVATE L</t>
        </is>
      </c>
      <c r="C600" t="inlineStr">
        <is>
          <t>NOS</t>
        </is>
      </c>
      <c r="D600" t="n">
        <v>744</v>
      </c>
      <c r="E600" t="n">
        <v>219.192</v>
      </c>
      <c r="F600" t="n">
        <v>208.32</v>
      </c>
      <c r="G600" t="n">
        <v>1940312</v>
      </c>
      <c r="H600" t="inlineStr">
        <is>
          <t>TUB-O-O-AUT-AW-PE-19.05X2.300X0.2950</t>
        </is>
      </c>
    </row>
    <row r="601">
      <c r="A601" t="inlineStr">
        <is>
          <t>0000188595</t>
        </is>
      </c>
      <c r="B601" t="inlineStr">
        <is>
          <t>Sri Balaji Gears</t>
        </is>
      </c>
      <c r="C601" t="inlineStr">
        <is>
          <t>KG</t>
        </is>
      </c>
      <c r="D601" t="n">
        <v>348</v>
      </c>
      <c r="E601" t="n">
        <v>2124.046</v>
      </c>
      <c r="F601" t="n">
        <v>2339</v>
      </c>
      <c r="G601" t="n">
        <v>4201127</v>
      </c>
      <c r="H601" t="inlineStr">
        <is>
          <t>TUB-R-AW-RHS-40.00X20.00X1.210X6.1000</t>
        </is>
      </c>
    </row>
    <row r="602">
      <c r="A602" t="inlineStr">
        <is>
          <t>0000188595</t>
        </is>
      </c>
      <c r="B602" t="inlineStr">
        <is>
          <t>Sri Balaji Gears</t>
        </is>
      </c>
      <c r="C602" t="inlineStr">
        <is>
          <t>KG</t>
        </is>
      </c>
      <c r="D602" t="n">
        <v>344</v>
      </c>
      <c r="E602" t="n">
        <v>2101.344</v>
      </c>
      <c r="F602" t="n">
        <v>2314</v>
      </c>
      <c r="G602" t="n">
        <v>4201127</v>
      </c>
      <c r="H602" t="inlineStr">
        <is>
          <t>TUB-R-AW-RHS-40.00X20.00X1.210X6.1000</t>
        </is>
      </c>
    </row>
    <row r="603">
      <c r="A603" t="inlineStr">
        <is>
          <t>0000188595</t>
        </is>
      </c>
      <c r="B603" t="inlineStr">
        <is>
          <t>Sri Balaji Gears</t>
        </is>
      </c>
      <c r="C603" t="inlineStr">
        <is>
          <t>KG</t>
        </is>
      </c>
      <c r="D603" t="n">
        <v>3</v>
      </c>
      <c r="E603" t="n">
        <v>15.438</v>
      </c>
      <c r="F603" t="n">
        <v>17</v>
      </c>
      <c r="G603" t="n">
        <v>4201127</v>
      </c>
      <c r="H603" t="inlineStr">
        <is>
          <t>TUB-R-AW-RHS-40.00X20.00X1.210X6.1000</t>
        </is>
      </c>
    </row>
    <row r="604">
      <c r="A604" t="inlineStr">
        <is>
          <t>0000188595</t>
        </is>
      </c>
      <c r="B604" t="inlineStr">
        <is>
          <t>Sri Balaji Gears</t>
        </is>
      </c>
      <c r="C604" t="inlineStr">
        <is>
          <t>KG</t>
        </is>
      </c>
      <c r="D604" t="n">
        <v>640</v>
      </c>
      <c r="E604" t="n">
        <v>3928.055</v>
      </c>
      <c r="F604" t="n">
        <v>2173</v>
      </c>
      <c r="G604" t="n">
        <v>3597679</v>
      </c>
      <c r="H604" t="inlineStr">
        <is>
          <t>TUB-S-AW-AUT-19.00X19.00X1.000X6.1400</t>
        </is>
      </c>
    </row>
    <row r="605">
      <c r="A605" t="inlineStr">
        <is>
          <t>0000188595</t>
        </is>
      </c>
      <c r="B605" t="inlineStr">
        <is>
          <t>Sri Balaji Gears</t>
        </is>
      </c>
      <c r="C605" t="inlineStr">
        <is>
          <t>KG</t>
        </is>
      </c>
      <c r="D605" t="n">
        <v>547</v>
      </c>
      <c r="E605" t="n">
        <v>3356.833</v>
      </c>
      <c r="F605" t="n">
        <v>1857</v>
      </c>
      <c r="G605" t="n">
        <v>3597679</v>
      </c>
      <c r="H605" t="inlineStr">
        <is>
          <t>TUB-S-AW-AUT-19.00X19.00X1.000X6.1400</t>
        </is>
      </c>
    </row>
    <row r="606">
      <c r="A606" t="inlineStr">
        <is>
          <t>0000188595</t>
        </is>
      </c>
      <c r="B606" t="inlineStr">
        <is>
          <t>Sri Balaji Gears</t>
        </is>
      </c>
      <c r="C606" t="inlineStr">
        <is>
          <t>KG</t>
        </is>
      </c>
      <c r="D606" t="n">
        <v>250</v>
      </c>
      <c r="E606" t="n">
        <v>1500.633</v>
      </c>
      <c r="F606" t="n">
        <v>830</v>
      </c>
      <c r="G606" t="n">
        <v>1940146</v>
      </c>
      <c r="H606" t="inlineStr">
        <is>
          <t>TUB-S-FH-SHS-19.00X19.00X1.000X6.0000</t>
        </is>
      </c>
    </row>
    <row r="607">
      <c r="A607" t="inlineStr">
        <is>
          <t>0000188595</t>
        </is>
      </c>
      <c r="B607" t="inlineStr">
        <is>
          <t>Sri Balaji Gears</t>
        </is>
      </c>
      <c r="C607" t="inlineStr">
        <is>
          <t>KG</t>
        </is>
      </c>
      <c r="D607" t="n">
        <v>400</v>
      </c>
      <c r="E607" t="n">
        <v>2125.863</v>
      </c>
      <c r="F607" t="n">
        <v>2341</v>
      </c>
      <c r="G607" t="n">
        <v>3731692</v>
      </c>
      <c r="H607" t="inlineStr">
        <is>
          <t>TUB-R-AW-AUT-40.00X20.00X1.210X5.3100</t>
        </is>
      </c>
    </row>
    <row r="608">
      <c r="A608" t="inlineStr">
        <is>
          <t>0000188595</t>
        </is>
      </c>
      <c r="B608" t="inlineStr">
        <is>
          <t>Sri Balaji Gears</t>
        </is>
      </c>
      <c r="C608" t="inlineStr">
        <is>
          <t>KG</t>
        </is>
      </c>
      <c r="D608" t="n">
        <v>226</v>
      </c>
      <c r="E608" t="n">
        <v>1197.784</v>
      </c>
      <c r="F608" t="n">
        <v>1319</v>
      </c>
      <c r="G608" t="n">
        <v>3731692</v>
      </c>
      <c r="H608" t="inlineStr">
        <is>
          <t>TUB-R-AW-AUT-40.00X20.00X1.210X5.3100</t>
        </is>
      </c>
    </row>
    <row r="609">
      <c r="A609" t="inlineStr">
        <is>
          <t>0000189287</t>
        </is>
      </c>
      <c r="B609" t="inlineStr">
        <is>
          <t>BALAJI PRESS PRODUCTS INDIA</t>
        </is>
      </c>
      <c r="C609" t="inlineStr">
        <is>
          <t>NOS</t>
        </is>
      </c>
      <c r="D609" t="n">
        <v>3000</v>
      </c>
      <c r="E609" t="n">
        <v>1620.034</v>
      </c>
      <c r="F609" t="n">
        <v>704.067</v>
      </c>
      <c r="G609" t="n">
        <v>1940034</v>
      </c>
      <c r="H609" t="inlineStr">
        <is>
          <t>TUB-O-O-AUT-AW-PE-15.88X1.200X0.5400</t>
        </is>
      </c>
    </row>
    <row r="610">
      <c r="A610" t="inlineStr">
        <is>
          <t>0000189287</t>
        </is>
      </c>
      <c r="B610" t="inlineStr">
        <is>
          <t>BALAJI PRESS PRODUCTS INDIA</t>
        </is>
      </c>
      <c r="C610" t="inlineStr">
        <is>
          <t>NOS</t>
        </is>
      </c>
      <c r="D610" t="n">
        <v>3000</v>
      </c>
      <c r="E610" t="n">
        <v>3926.777</v>
      </c>
      <c r="F610" t="n">
        <v>1641</v>
      </c>
      <c r="G610" t="n">
        <v>1940046</v>
      </c>
      <c r="H610" t="inlineStr">
        <is>
          <t>TUB-O-O-AUT-AW-PE-15.88X1.200X1.3100</t>
        </is>
      </c>
    </row>
    <row r="611">
      <c r="A611" t="inlineStr">
        <is>
          <t>0000189287</t>
        </is>
      </c>
      <c r="B611" t="inlineStr">
        <is>
          <t>BALAJI PRESS PRODUCTS INDIA</t>
        </is>
      </c>
      <c r="C611" t="inlineStr">
        <is>
          <t>NOS</t>
        </is>
      </c>
      <c r="D611" t="n">
        <v>924</v>
      </c>
      <c r="E611" t="n">
        <v>2393.844</v>
      </c>
      <c r="F611" t="n">
        <v>2249.016</v>
      </c>
      <c r="G611" t="n">
        <v>2409618</v>
      </c>
      <c r="H611" t="inlineStr">
        <is>
          <t>TUB-O-N-AUT-AW-PE-25.40X1.600X2.5900</t>
        </is>
      </c>
    </row>
    <row r="612">
      <c r="A612" t="inlineStr">
        <is>
          <t>0000189287</t>
        </is>
      </c>
      <c r="B612" t="inlineStr">
        <is>
          <t>BALAJI PRESS PRODUCTS INDIA</t>
        </is>
      </c>
      <c r="C612" t="inlineStr">
        <is>
          <t>NOS</t>
        </is>
      </c>
      <c r="D612" t="n">
        <v>76</v>
      </c>
      <c r="E612" t="n">
        <v>196.896</v>
      </c>
      <c r="F612" t="n">
        <v>184.984</v>
      </c>
      <c r="G612" t="n">
        <v>2409618</v>
      </c>
      <c r="H612" t="inlineStr">
        <is>
          <t>TUB-O-N-AUT-AW-PE-25.40X1.600X2.5900</t>
        </is>
      </c>
    </row>
    <row r="613">
      <c r="A613" t="inlineStr">
        <is>
          <t>0000189287</t>
        </is>
      </c>
      <c r="B613" t="inlineStr">
        <is>
          <t>BALAJI PRESS PRODUCTS INDIA</t>
        </is>
      </c>
      <c r="C613" t="inlineStr">
        <is>
          <t>NOS</t>
        </is>
      </c>
      <c r="D613" t="n">
        <v>325</v>
      </c>
      <c r="E613" t="n">
        <v>349.373</v>
      </c>
      <c r="F613" t="n">
        <v>177.446</v>
      </c>
      <c r="G613" t="n">
        <v>3229740</v>
      </c>
      <c r="H613" t="inlineStr">
        <is>
          <t>TUB-O-N-AUT-AW-PE-19.05X1.200X1.0750</t>
        </is>
      </c>
    </row>
    <row r="614">
      <c r="A614" t="inlineStr">
        <is>
          <t>0000189287</t>
        </is>
      </c>
      <c r="B614" t="inlineStr">
        <is>
          <t>BALAJI PRESS PRODUCTS INDIA</t>
        </is>
      </c>
      <c r="C614" t="inlineStr">
        <is>
          <t>NOS</t>
        </is>
      </c>
      <c r="D614" t="n">
        <v>625</v>
      </c>
      <c r="E614" t="n">
        <v>687.722</v>
      </c>
      <c r="F614" t="n">
        <v>1335.625</v>
      </c>
      <c r="G614" t="n">
        <v>2430128</v>
      </c>
      <c r="H614" t="inlineStr">
        <is>
          <t>TUB-R-AW-AUT-50.00X30.00X1.600X1.1000</t>
        </is>
      </c>
    </row>
    <row r="615">
      <c r="A615" t="inlineStr">
        <is>
          <t>0000189287</t>
        </is>
      </c>
      <c r="B615" t="inlineStr">
        <is>
          <t>BALAJI PRESS PRODUCTS INDIA</t>
        </is>
      </c>
      <c r="C615" t="inlineStr">
        <is>
          <t>NOS</t>
        </is>
      </c>
      <c r="D615" t="n">
        <v>273</v>
      </c>
      <c r="E615" t="n">
        <v>300.397</v>
      </c>
      <c r="F615" t="n">
        <v>583.401</v>
      </c>
      <c r="G615" t="n">
        <v>2430128</v>
      </c>
      <c r="H615" t="inlineStr">
        <is>
          <t>TUB-R-AW-AUT-50.00X30.00X1.600X1.1000</t>
        </is>
      </c>
    </row>
    <row r="616">
      <c r="A616" t="inlineStr">
        <is>
          <t>0000189287</t>
        </is>
      </c>
      <c r="B616" t="inlineStr">
        <is>
          <t>BALAJI PRESS PRODUCTS INDIA</t>
        </is>
      </c>
      <c r="C616" t="inlineStr">
        <is>
          <t>NOS</t>
        </is>
      </c>
      <c r="D616" t="n">
        <v>101</v>
      </c>
      <c r="E616" t="n">
        <v>111.136</v>
      </c>
      <c r="F616" t="n">
        <v>215.837</v>
      </c>
      <c r="G616" t="n">
        <v>2430128</v>
      </c>
      <c r="H616" t="inlineStr">
        <is>
          <t>TUB-R-AW-AUT-50.00X30.00X1.600X1.1000</t>
        </is>
      </c>
    </row>
    <row r="617">
      <c r="A617" t="inlineStr">
        <is>
          <t>0000189287</t>
        </is>
      </c>
      <c r="B617" t="inlineStr">
        <is>
          <t>BALAJI PRESS PRODUCTS INDIA</t>
        </is>
      </c>
      <c r="C617" t="inlineStr">
        <is>
          <t>NOS</t>
        </is>
      </c>
      <c r="D617" t="n">
        <v>1000</v>
      </c>
      <c r="E617" t="n">
        <v>1145.009</v>
      </c>
      <c r="F617" t="n">
        <v>604.8440000000001</v>
      </c>
      <c r="G617" t="n">
        <v>4110464</v>
      </c>
      <c r="H617" t="inlineStr">
        <is>
          <t>TUB-O-N-AUT-AW-PE-19.05X1.200X1.1450</t>
        </is>
      </c>
    </row>
    <row r="618">
      <c r="A618" t="inlineStr">
        <is>
          <t>0000188595</t>
        </is>
      </c>
      <c r="B618" t="inlineStr">
        <is>
          <t>Sri Balaji Gears</t>
        </is>
      </c>
      <c r="C618" t="inlineStr">
        <is>
          <t>NOS</t>
        </is>
      </c>
      <c r="D618" t="n">
        <v>1324</v>
      </c>
      <c r="E618" t="n">
        <v>1734.955</v>
      </c>
      <c r="F618" t="n">
        <v>1910.532</v>
      </c>
      <c r="G618" t="n">
        <v>1940801</v>
      </c>
      <c r="H618" t="inlineStr">
        <is>
          <t>TUB-R-AW-RHS-40.00X20.00X1.210X1.3100</t>
        </is>
      </c>
    </row>
    <row r="619">
      <c r="A619" t="inlineStr">
        <is>
          <t>0000188595</t>
        </is>
      </c>
      <c r="B619" t="inlineStr">
        <is>
          <t>Sri Balaji Gears</t>
        </is>
      </c>
      <c r="C619" t="inlineStr">
        <is>
          <t>NOS</t>
        </is>
      </c>
      <c r="D619" t="n">
        <v>176</v>
      </c>
      <c r="E619" t="n">
        <v>230.628</v>
      </c>
      <c r="F619" t="n">
        <v>253.968</v>
      </c>
      <c r="G619" t="n">
        <v>1940801</v>
      </c>
      <c r="H619" t="inlineStr">
        <is>
          <t>TUB-R-AW-RHS-40.00X20.00X1.210X1.3100</t>
        </is>
      </c>
    </row>
    <row r="620">
      <c r="A620" t="inlineStr">
        <is>
          <t>0000188595</t>
        </is>
      </c>
      <c r="B620" t="inlineStr">
        <is>
          <t>Sri Balaji Gears</t>
        </is>
      </c>
      <c r="C620" t="inlineStr">
        <is>
          <t>NOS</t>
        </is>
      </c>
      <c r="D620" t="n">
        <v>423</v>
      </c>
      <c r="E620" t="n">
        <v>527.4059999999999</v>
      </c>
      <c r="F620" t="n">
        <v>580.779</v>
      </c>
      <c r="G620" t="n">
        <v>3233554</v>
      </c>
      <c r="H620" t="inlineStr">
        <is>
          <t>TUB-R-AW-AUT-40.00X20.00X1.210X1.2460</t>
        </is>
      </c>
    </row>
    <row r="621">
      <c r="A621" t="inlineStr">
        <is>
          <t>0000188595</t>
        </is>
      </c>
      <c r="B621" t="inlineStr">
        <is>
          <t>Sri Balaji Gears</t>
        </is>
      </c>
      <c r="C621" t="inlineStr">
        <is>
          <t>NOS</t>
        </is>
      </c>
      <c r="D621" t="n">
        <v>77</v>
      </c>
      <c r="E621" t="n">
        <v>96.005</v>
      </c>
      <c r="F621" t="n">
        <v>105.721</v>
      </c>
      <c r="G621" t="n">
        <v>3233554</v>
      </c>
      <c r="H621" t="inlineStr">
        <is>
          <t>TUB-R-AW-AUT-40.00X20.00X1.210X1.2460</t>
        </is>
      </c>
    </row>
    <row r="622">
      <c r="A622" t="inlineStr">
        <is>
          <t>0000188595</t>
        </is>
      </c>
      <c r="B622" t="inlineStr">
        <is>
          <t>Sri Balaji Gears</t>
        </is>
      </c>
      <c r="C622" t="inlineStr">
        <is>
          <t>NOS</t>
        </is>
      </c>
      <c r="D622" t="n">
        <v>1939</v>
      </c>
      <c r="E622" t="n">
        <v>2172.835</v>
      </c>
      <c r="F622" t="n">
        <v>2392.726</v>
      </c>
      <c r="G622" t="n">
        <v>3233555</v>
      </c>
      <c r="H622" t="inlineStr">
        <is>
          <t>TUB-R-AW-AUT-40.00X20.00X1.210X1.1200</t>
        </is>
      </c>
    </row>
    <row r="623">
      <c r="A623" t="inlineStr">
        <is>
          <t>0000188595</t>
        </is>
      </c>
      <c r="B623" t="inlineStr">
        <is>
          <t>Sri Balaji Gears</t>
        </is>
      </c>
      <c r="C623" t="inlineStr">
        <is>
          <t>NOS</t>
        </is>
      </c>
      <c r="D623" t="n">
        <v>61</v>
      </c>
      <c r="E623" t="n">
        <v>68.35599999999999</v>
      </c>
      <c r="F623" t="n">
        <v>75.274</v>
      </c>
      <c r="G623" t="n">
        <v>3233555</v>
      </c>
      <c r="H623" t="inlineStr">
        <is>
          <t>TUB-R-AW-AUT-40.00X20.00X1.210X1.1200</t>
        </is>
      </c>
    </row>
    <row r="624">
      <c r="A624" t="inlineStr">
        <is>
          <t>0000188595</t>
        </is>
      </c>
      <c r="B624" t="inlineStr">
        <is>
          <t>Sri Balaji Gears</t>
        </is>
      </c>
      <c r="C624" t="inlineStr">
        <is>
          <t>NOS</t>
        </is>
      </c>
      <c r="D624" t="n">
        <v>214</v>
      </c>
      <c r="E624" t="n">
        <v>184.145</v>
      </c>
      <c r="F624" t="n">
        <v>201.16</v>
      </c>
      <c r="G624" t="n">
        <v>3572051</v>
      </c>
      <c r="H624" t="inlineStr">
        <is>
          <t>TUB-R-AW-AUT-40.00X20.00X1.200X0.8600</t>
        </is>
      </c>
    </row>
    <row r="625">
      <c r="A625" t="inlineStr">
        <is>
          <t>0000188595</t>
        </is>
      </c>
      <c r="B625" t="inlineStr">
        <is>
          <t>Sri Balaji Gears</t>
        </is>
      </c>
      <c r="C625" t="inlineStr">
        <is>
          <t>NOS</t>
        </is>
      </c>
      <c r="D625" t="n">
        <v>523</v>
      </c>
      <c r="E625" t="n">
        <v>450.037</v>
      </c>
      <c r="F625" t="n">
        <v>491.62</v>
      </c>
      <c r="G625" t="n">
        <v>3572051</v>
      </c>
      <c r="H625" t="inlineStr">
        <is>
          <t>TUB-R-AW-AUT-40.00X20.00X1.200X0.8600</t>
        </is>
      </c>
    </row>
    <row r="626">
      <c r="A626" t="inlineStr">
        <is>
          <t>0000188595</t>
        </is>
      </c>
      <c r="B626" t="inlineStr">
        <is>
          <t>Sri Balaji Gears</t>
        </is>
      </c>
      <c r="C626" t="inlineStr">
        <is>
          <t>NOS</t>
        </is>
      </c>
      <c r="D626" t="n">
        <v>498</v>
      </c>
      <c r="E626" t="n">
        <v>428.524</v>
      </c>
      <c r="F626" t="n">
        <v>468.12</v>
      </c>
      <c r="G626" t="n">
        <v>3572051</v>
      </c>
      <c r="H626" t="inlineStr">
        <is>
          <t>TUB-R-AW-AUT-40.00X20.00X1.200X0.8600</t>
        </is>
      </c>
    </row>
    <row r="627">
      <c r="A627" t="inlineStr">
        <is>
          <t>0000188595</t>
        </is>
      </c>
      <c r="B627" t="inlineStr">
        <is>
          <t>Sri Balaji Gears</t>
        </is>
      </c>
      <c r="C627" t="inlineStr">
        <is>
          <t>NOS</t>
        </is>
      </c>
      <c r="D627" t="n">
        <v>448</v>
      </c>
      <c r="E627" t="n">
        <v>385.5</v>
      </c>
      <c r="F627" t="n">
        <v>421.12</v>
      </c>
      <c r="G627" t="n">
        <v>3572051</v>
      </c>
      <c r="H627" t="inlineStr">
        <is>
          <t>TUB-R-AW-AUT-40.00X20.00X1.200X0.8600</t>
        </is>
      </c>
    </row>
    <row r="628">
      <c r="A628" t="inlineStr">
        <is>
          <t>0000188595</t>
        </is>
      </c>
      <c r="B628" t="inlineStr">
        <is>
          <t>Sri Balaji Gears</t>
        </is>
      </c>
      <c r="C628" t="inlineStr">
        <is>
          <t>NOS</t>
        </is>
      </c>
      <c r="D628" t="n">
        <v>198</v>
      </c>
      <c r="E628" t="n">
        <v>170.377</v>
      </c>
      <c r="F628" t="n">
        <v>186.12</v>
      </c>
      <c r="G628" t="n">
        <v>3572051</v>
      </c>
      <c r="H628" t="inlineStr">
        <is>
          <t>TUB-R-AW-AUT-40.00X20.00X1.200X0.8600</t>
        </is>
      </c>
    </row>
    <row r="629">
      <c r="A629" t="inlineStr">
        <is>
          <t>0000188595</t>
        </is>
      </c>
      <c r="B629" t="inlineStr">
        <is>
          <t>Sri Balaji Gears</t>
        </is>
      </c>
      <c r="C629" t="inlineStr">
        <is>
          <t>NOS</t>
        </is>
      </c>
      <c r="D629" t="n">
        <v>116</v>
      </c>
      <c r="E629" t="n">
        <v>99.81699999999999</v>
      </c>
      <c r="F629" t="n">
        <v>109.04</v>
      </c>
      <c r="G629" t="n">
        <v>3572051</v>
      </c>
      <c r="H629" t="inlineStr">
        <is>
          <t>TUB-R-AW-AUT-40.00X20.00X1.200X0.8600</t>
        </is>
      </c>
    </row>
    <row r="630">
      <c r="A630" t="inlineStr">
        <is>
          <t>0000188595</t>
        </is>
      </c>
      <c r="B630" t="inlineStr">
        <is>
          <t>Sri Balaji Gears</t>
        </is>
      </c>
      <c r="C630" t="inlineStr">
        <is>
          <t>NOS</t>
        </is>
      </c>
      <c r="D630" t="n">
        <v>3</v>
      </c>
      <c r="E630" t="n">
        <v>2.581</v>
      </c>
      <c r="F630" t="n">
        <v>2.82</v>
      </c>
      <c r="G630" t="n">
        <v>3572051</v>
      </c>
      <c r="H630" t="inlineStr">
        <is>
          <t>TUB-R-AW-AUT-40.00X20.00X1.200X0.8600</t>
        </is>
      </c>
    </row>
    <row r="631">
      <c r="A631" t="inlineStr">
        <is>
          <t>0000188595</t>
        </is>
      </c>
      <c r="B631" t="inlineStr">
        <is>
          <t>Sri Balaji Gears</t>
        </is>
      </c>
      <c r="C631" t="inlineStr">
        <is>
          <t>NOS</t>
        </is>
      </c>
      <c r="D631" t="n">
        <v>1000</v>
      </c>
      <c r="E631" t="n">
        <v>754.994</v>
      </c>
      <c r="F631" t="n">
        <v>824.756</v>
      </c>
      <c r="G631" t="n">
        <v>4151472</v>
      </c>
      <c r="H631" t="inlineStr">
        <is>
          <t>TUB-R-AW-AUT-40.00X20.00X1.200X0.7550</t>
        </is>
      </c>
    </row>
    <row r="632">
      <c r="A632" t="inlineStr">
        <is>
          <t>0000188595</t>
        </is>
      </c>
      <c r="B632" t="inlineStr">
        <is>
          <t>Sri Balaji Gears</t>
        </is>
      </c>
      <c r="C632" t="inlineStr">
        <is>
          <t>NOS</t>
        </is>
      </c>
      <c r="D632" t="n">
        <v>1000</v>
      </c>
      <c r="E632" t="n">
        <v>120.777</v>
      </c>
      <c r="F632" t="n">
        <v>133</v>
      </c>
      <c r="G632" t="n">
        <v>3233559</v>
      </c>
      <c r="H632" t="inlineStr">
        <is>
          <t>TUB-R-AW-AUT-40.00X20.00X1.210X0.1200</t>
        </is>
      </c>
    </row>
    <row r="633">
      <c r="A633" t="inlineStr">
        <is>
          <t>0000188595</t>
        </is>
      </c>
      <c r="B633" t="inlineStr">
        <is>
          <t>Sri Balaji Gears</t>
        </is>
      </c>
      <c r="C633" t="inlineStr">
        <is>
          <t>NOS</t>
        </is>
      </c>
      <c r="D633" t="n">
        <v>1000</v>
      </c>
      <c r="E633" t="n">
        <v>110.765</v>
      </c>
      <c r="F633" t="n">
        <v>121</v>
      </c>
      <c r="G633" t="n">
        <v>3572047</v>
      </c>
      <c r="H633" t="inlineStr">
        <is>
          <t>TUB-R-AW-AUT-40.00X20.00X1.200X0.1100</t>
        </is>
      </c>
    </row>
    <row r="634">
      <c r="A634" t="inlineStr">
        <is>
          <t>0000188595</t>
        </is>
      </c>
      <c r="B634" t="inlineStr">
        <is>
          <t>Sri Balaji Gears</t>
        </is>
      </c>
      <c r="C634" t="inlineStr">
        <is>
          <t>NOS</t>
        </is>
      </c>
      <c r="D634" t="n">
        <v>1000</v>
      </c>
      <c r="E634" t="n">
        <v>794.991</v>
      </c>
      <c r="F634" t="n">
        <v>439.789</v>
      </c>
      <c r="G634" t="n">
        <v>4151429</v>
      </c>
      <c r="H634" t="inlineStr">
        <is>
          <t>TUB-S-AW-AUT-19.00X19.00X1.000X0.7950</t>
        </is>
      </c>
    </row>
    <row r="635">
      <c r="A635" t="inlineStr">
        <is>
          <t>0000188595</t>
        </is>
      </c>
      <c r="B635" t="inlineStr">
        <is>
          <t>Sri Balaji Gears</t>
        </is>
      </c>
      <c r="C635" t="inlineStr">
        <is>
          <t>NOS</t>
        </is>
      </c>
      <c r="D635" t="n">
        <v>1000</v>
      </c>
      <c r="E635" t="n">
        <v>469.994</v>
      </c>
      <c r="F635" t="n">
        <v>256.1</v>
      </c>
      <c r="G635" t="n">
        <v>3230488</v>
      </c>
      <c r="H635" t="inlineStr">
        <is>
          <t>TUB-S-AW-AUT-19.00X19.00X1.000X0.4700</t>
        </is>
      </c>
    </row>
    <row r="636">
      <c r="A636" t="inlineStr">
        <is>
          <t>0000188595</t>
        </is>
      </c>
      <c r="B636" t="inlineStr">
        <is>
          <t>Sri Balaji Gears</t>
        </is>
      </c>
      <c r="C636" t="inlineStr">
        <is>
          <t>NOS</t>
        </is>
      </c>
      <c r="D636" t="n">
        <v>2581</v>
      </c>
      <c r="E636" t="n">
        <v>1031.094</v>
      </c>
      <c r="F636" t="n">
        <v>570.401</v>
      </c>
      <c r="G636" t="n">
        <v>3230487</v>
      </c>
      <c r="H636" t="inlineStr">
        <is>
          <t>TUB-S-AW-AUT-19.00X19.00X1.000X0.4000</t>
        </is>
      </c>
    </row>
    <row r="637">
      <c r="A637" t="inlineStr">
        <is>
          <t>0000188595</t>
        </is>
      </c>
      <c r="B637" t="inlineStr">
        <is>
          <t>Sri Balaji Gears</t>
        </is>
      </c>
      <c r="C637" t="inlineStr">
        <is>
          <t>NOS</t>
        </is>
      </c>
      <c r="D637" t="n">
        <v>1419</v>
      </c>
      <c r="E637" t="n">
        <v>566.8819999999999</v>
      </c>
      <c r="F637" t="n">
        <v>313.599</v>
      </c>
      <c r="G637" t="n">
        <v>3230487</v>
      </c>
      <c r="H637" t="inlineStr">
        <is>
          <t>TUB-S-AW-AUT-19.00X19.00X1.000X0.4000</t>
        </is>
      </c>
    </row>
    <row r="638">
      <c r="A638" t="inlineStr">
        <is>
          <t>0000188595</t>
        </is>
      </c>
      <c r="B638" t="inlineStr">
        <is>
          <t>Sri Balaji Gears</t>
        </is>
      </c>
      <c r="C638" t="inlineStr">
        <is>
          <t>NOS</t>
        </is>
      </c>
      <c r="D638" t="n">
        <v>218</v>
      </c>
      <c r="E638" t="n">
        <v>21.8</v>
      </c>
      <c r="F638" t="n">
        <v>11.881</v>
      </c>
      <c r="G638" t="n">
        <v>3931834</v>
      </c>
      <c r="H638" t="inlineStr">
        <is>
          <t>CUT-R-AW-AUT-19.00X19.00X1.000X0.1000</t>
        </is>
      </c>
    </row>
    <row r="639">
      <c r="A639" t="inlineStr">
        <is>
          <t>0000188595</t>
        </is>
      </c>
      <c r="B639" t="inlineStr">
        <is>
          <t>Sri Balaji Gears</t>
        </is>
      </c>
      <c r="C639" t="inlineStr">
        <is>
          <t>NOS</t>
        </is>
      </c>
      <c r="D639" t="n">
        <v>1559</v>
      </c>
      <c r="E639" t="n">
        <v>155.897</v>
      </c>
      <c r="F639" t="n">
        <v>84.96599999999999</v>
      </c>
      <c r="G639" t="n">
        <v>3931834</v>
      </c>
      <c r="H639" t="inlineStr">
        <is>
          <t>CUT-R-AW-AUT-19.00X19.00X1.000X0.1000</t>
        </is>
      </c>
    </row>
    <row r="640">
      <c r="A640" t="inlineStr">
        <is>
          <t>0000188595</t>
        </is>
      </c>
      <c r="B640" t="inlineStr">
        <is>
          <t>Sri Balaji Gears</t>
        </is>
      </c>
      <c r="C640" t="inlineStr">
        <is>
          <t>NOS</t>
        </is>
      </c>
      <c r="D640" t="n">
        <v>126</v>
      </c>
      <c r="E640" t="n">
        <v>12.6</v>
      </c>
      <c r="F640" t="n">
        <v>6.867</v>
      </c>
      <c r="G640" t="n">
        <v>3931834</v>
      </c>
      <c r="H640" t="inlineStr">
        <is>
          <t>CUT-R-AW-AUT-19.00X19.00X1.000X0.1000</t>
        </is>
      </c>
    </row>
    <row r="641">
      <c r="A641" t="inlineStr">
        <is>
          <t>0000188595</t>
        </is>
      </c>
      <c r="B641" t="inlineStr">
        <is>
          <t>Sri Balaji Gears</t>
        </is>
      </c>
      <c r="C641" t="inlineStr">
        <is>
          <t>NOS</t>
        </is>
      </c>
      <c r="D641" t="n">
        <v>53</v>
      </c>
      <c r="E641" t="n">
        <v>5.3</v>
      </c>
      <c r="F641" t="n">
        <v>2.889</v>
      </c>
      <c r="G641" t="n">
        <v>3931834</v>
      </c>
      <c r="H641" t="inlineStr">
        <is>
          <t>CUT-R-AW-AUT-19.00X19.00X1.000X0.1000</t>
        </is>
      </c>
    </row>
    <row r="642">
      <c r="A642" t="inlineStr">
        <is>
          <t>0000188595</t>
        </is>
      </c>
      <c r="B642" t="inlineStr">
        <is>
          <t>Sri Balaji Gears</t>
        </is>
      </c>
      <c r="C642" t="inlineStr">
        <is>
          <t>NOS</t>
        </is>
      </c>
      <c r="D642" t="n">
        <v>44</v>
      </c>
      <c r="E642" t="n">
        <v>4.4</v>
      </c>
      <c r="F642" t="n">
        <v>2.398</v>
      </c>
      <c r="G642" t="n">
        <v>3931834</v>
      </c>
      <c r="H642" t="inlineStr">
        <is>
          <t>CUT-R-AW-AUT-19.00X19.00X1.000X0.1000</t>
        </is>
      </c>
    </row>
    <row r="643">
      <c r="A643" t="inlineStr">
        <is>
          <t>0000188595</t>
        </is>
      </c>
      <c r="B643" t="inlineStr">
        <is>
          <t>Sri Balaji Gears</t>
        </is>
      </c>
      <c r="C643" t="inlineStr">
        <is>
          <t>NOS</t>
        </is>
      </c>
      <c r="D643" t="n">
        <v>428</v>
      </c>
      <c r="E643" t="n">
        <v>49.222</v>
      </c>
      <c r="F643" t="n">
        <v>26.821</v>
      </c>
      <c r="G643" t="n">
        <v>4151428</v>
      </c>
      <c r="H643" t="inlineStr">
        <is>
          <t>TUB-S-AW-AUT-19.00X19.00X1.000X0.1150</t>
        </is>
      </c>
    </row>
    <row r="644">
      <c r="A644" t="inlineStr">
        <is>
          <t>0000188595</t>
        </is>
      </c>
      <c r="B644" t="inlineStr">
        <is>
          <t>Sri Balaji Gears</t>
        </is>
      </c>
      <c r="C644" t="inlineStr">
        <is>
          <t>NOS</t>
        </is>
      </c>
      <c r="D644" t="n">
        <v>501</v>
      </c>
      <c r="E644" t="n">
        <v>57.618</v>
      </c>
      <c r="F644" t="n">
        <v>31.396</v>
      </c>
      <c r="G644" t="n">
        <v>4151428</v>
      </c>
      <c r="H644" t="inlineStr">
        <is>
          <t>TUB-S-AW-AUT-19.00X19.00X1.000X0.1150</t>
        </is>
      </c>
    </row>
    <row r="645">
      <c r="A645" t="inlineStr">
        <is>
          <t>0000188595</t>
        </is>
      </c>
      <c r="B645" t="inlineStr">
        <is>
          <t>Sri Balaji Gears</t>
        </is>
      </c>
      <c r="C645" t="inlineStr">
        <is>
          <t>NOS</t>
        </is>
      </c>
      <c r="D645" t="n">
        <v>45</v>
      </c>
      <c r="E645" t="n">
        <v>5.175</v>
      </c>
      <c r="F645" t="n">
        <v>2.82</v>
      </c>
      <c r="G645" t="n">
        <v>4151428</v>
      </c>
      <c r="H645" t="inlineStr">
        <is>
          <t>TUB-S-AW-AUT-19.00X19.00X1.000X0.1150</t>
        </is>
      </c>
    </row>
    <row r="646">
      <c r="A646" t="inlineStr">
        <is>
          <t>0000188595</t>
        </is>
      </c>
      <c r="B646" t="inlineStr">
        <is>
          <t>Sri Balaji Gears</t>
        </is>
      </c>
      <c r="C646" t="inlineStr">
        <is>
          <t>NOS</t>
        </is>
      </c>
      <c r="D646" t="n">
        <v>26</v>
      </c>
      <c r="E646" t="n">
        <v>2.99</v>
      </c>
      <c r="F646" t="n">
        <v>1.629</v>
      </c>
      <c r="G646" t="n">
        <v>4151428</v>
      </c>
      <c r="H646" t="inlineStr">
        <is>
          <t>TUB-S-AW-AUT-19.00X19.00X1.000X0.1150</t>
        </is>
      </c>
    </row>
    <row r="647">
      <c r="A647" t="inlineStr">
        <is>
          <t>0000188595</t>
        </is>
      </c>
      <c r="B647" t="inlineStr">
        <is>
          <t>Sri Balaji Gears</t>
        </is>
      </c>
      <c r="C647" t="inlineStr">
        <is>
          <t>NOS</t>
        </is>
      </c>
      <c r="D647" t="n">
        <v>228</v>
      </c>
      <c r="E647" t="n">
        <v>219.562</v>
      </c>
      <c r="F647" t="n">
        <v>119.639</v>
      </c>
      <c r="G647" t="n">
        <v>4151427</v>
      </c>
      <c r="H647" t="inlineStr">
        <is>
          <t>TUB-S-AW-AUT-19.00X19.00X1.000X0.9630</t>
        </is>
      </c>
    </row>
    <row r="648">
      <c r="A648" t="inlineStr">
        <is>
          <t>0000188595</t>
        </is>
      </c>
      <c r="B648" t="inlineStr">
        <is>
          <t>Sri Balaji Gears</t>
        </is>
      </c>
      <c r="C648" t="inlineStr">
        <is>
          <t>NOS</t>
        </is>
      </c>
      <c r="D648" t="n">
        <v>398</v>
      </c>
      <c r="E648" t="n">
        <v>383.27</v>
      </c>
      <c r="F648" t="n">
        <v>208.844</v>
      </c>
      <c r="G648" t="n">
        <v>4151427</v>
      </c>
      <c r="H648" t="inlineStr">
        <is>
          <t>TUB-S-AW-AUT-19.00X19.00X1.000X0.9630</t>
        </is>
      </c>
    </row>
    <row r="649">
      <c r="A649" t="inlineStr">
        <is>
          <t>0000188595</t>
        </is>
      </c>
      <c r="B649" t="inlineStr">
        <is>
          <t>Sri Balaji Gears</t>
        </is>
      </c>
      <c r="C649" t="inlineStr">
        <is>
          <t>NOS</t>
        </is>
      </c>
      <c r="D649" t="n">
        <v>350</v>
      </c>
      <c r="E649" t="n">
        <v>337.047</v>
      </c>
      <c r="F649" t="n">
        <v>183.657</v>
      </c>
      <c r="G649" t="n">
        <v>4151427</v>
      </c>
      <c r="H649" t="inlineStr">
        <is>
          <t>TUB-S-AW-AUT-19.00X19.00X1.000X0.9630</t>
        </is>
      </c>
    </row>
    <row r="650">
      <c r="A650" t="inlineStr">
        <is>
          <t>0000188595</t>
        </is>
      </c>
      <c r="B650" t="inlineStr">
        <is>
          <t>Sri Balaji Gears</t>
        </is>
      </c>
      <c r="C650" t="inlineStr">
        <is>
          <t>NOS</t>
        </is>
      </c>
      <c r="D650" t="n">
        <v>24</v>
      </c>
      <c r="E650" t="n">
        <v>23.112</v>
      </c>
      <c r="F650" t="n">
        <v>12.594</v>
      </c>
      <c r="G650" t="n">
        <v>4151427</v>
      </c>
      <c r="H650" t="inlineStr">
        <is>
          <t>TUB-S-AW-AUT-19.00X19.00X1.000X0.9630</t>
        </is>
      </c>
    </row>
    <row r="651">
      <c r="A651" t="inlineStr">
        <is>
          <t>0000188595</t>
        </is>
      </c>
      <c r="B651" t="inlineStr">
        <is>
          <t>Sri Balaji Gears</t>
        </is>
      </c>
      <c r="C651" t="inlineStr">
        <is>
          <t>NOS</t>
        </is>
      </c>
      <c r="D651" t="n">
        <v>1000</v>
      </c>
      <c r="E651" t="n">
        <v>755.001</v>
      </c>
      <c r="F651" t="n">
        <v>411.4</v>
      </c>
      <c r="G651" t="n">
        <v>4151426</v>
      </c>
      <c r="H651" t="inlineStr">
        <is>
          <t>TUB-S-AW-AUT-19.00X19.00X1.000X0.7550</t>
        </is>
      </c>
    </row>
    <row r="652">
      <c r="A652" t="inlineStr">
        <is>
          <t>0000188595</t>
        </is>
      </c>
      <c r="B652" t="inlineStr">
        <is>
          <t>Sri Balaji Gears</t>
        </is>
      </c>
      <c r="C652" t="inlineStr">
        <is>
          <t>NOS</t>
        </is>
      </c>
      <c r="D652" t="n">
        <v>1000</v>
      </c>
      <c r="E652" t="n">
        <v>356.11</v>
      </c>
      <c r="F652" t="n">
        <v>197</v>
      </c>
      <c r="G652" t="n">
        <v>3230490</v>
      </c>
      <c r="H652" t="inlineStr">
        <is>
          <t>TUB-S-AW-AUT-19.00X19.00X1.000X0.3550</t>
        </is>
      </c>
    </row>
    <row r="653">
      <c r="A653" t="inlineStr">
        <is>
          <t>0000188595</t>
        </is>
      </c>
      <c r="B653" t="inlineStr">
        <is>
          <t>Sri Balaji Gears</t>
        </is>
      </c>
      <c r="C653" t="inlineStr">
        <is>
          <t>NOS</t>
        </is>
      </c>
      <c r="D653" t="n">
        <v>1000</v>
      </c>
      <c r="E653" t="n">
        <v>1303.991</v>
      </c>
      <c r="F653" t="n">
        <v>710.544</v>
      </c>
      <c r="G653" t="n">
        <v>3572039</v>
      </c>
      <c r="H653" t="inlineStr">
        <is>
          <t>TUB-S-AW-AUT-19.00X19.00X1.000X1.3040</t>
        </is>
      </c>
    </row>
    <row r="654">
      <c r="A654" t="inlineStr">
        <is>
          <t>0000188595</t>
        </is>
      </c>
      <c r="B654" t="inlineStr">
        <is>
          <t>Sri Balaji Gears</t>
        </is>
      </c>
      <c r="C654" t="inlineStr">
        <is>
          <t>NOS</t>
        </is>
      </c>
      <c r="D654" t="n">
        <v>500</v>
      </c>
      <c r="E654" t="n">
        <v>622.999</v>
      </c>
      <c r="F654" t="n">
        <v>339.472</v>
      </c>
      <c r="G654" t="n">
        <v>3572038</v>
      </c>
      <c r="H654" t="inlineStr">
        <is>
          <t>TUB-S-AW-AUT-19.00X19.00X1.000X1.2460</t>
        </is>
      </c>
    </row>
    <row r="655">
      <c r="A655" t="inlineStr">
        <is>
          <t>0000188595</t>
        </is>
      </c>
      <c r="B655" t="inlineStr">
        <is>
          <t>Sri Balaji Gears</t>
        </is>
      </c>
      <c r="C655" t="inlineStr">
        <is>
          <t>NOS</t>
        </is>
      </c>
      <c r="D655" t="n">
        <v>1000</v>
      </c>
      <c r="E655" t="n">
        <v>835</v>
      </c>
      <c r="F655" t="n">
        <v>461.922</v>
      </c>
      <c r="G655" t="n">
        <v>4151425</v>
      </c>
      <c r="H655" t="inlineStr">
        <is>
          <t>TUB-S-AW-AUT-19.00X19.00X1.000X0.8350</t>
        </is>
      </c>
    </row>
    <row r="656">
      <c r="A656" t="inlineStr">
        <is>
          <t>0000188595</t>
        </is>
      </c>
      <c r="B656" t="inlineStr">
        <is>
          <t>Sri Balaji Gears</t>
        </is>
      </c>
      <c r="C656" t="inlineStr">
        <is>
          <t>NOS</t>
        </is>
      </c>
      <c r="D656" t="n">
        <v>1000</v>
      </c>
      <c r="E656" t="n">
        <v>539.997</v>
      </c>
      <c r="F656" t="n">
        <v>294.244</v>
      </c>
      <c r="G656" t="n">
        <v>3571870</v>
      </c>
      <c r="H656" t="inlineStr">
        <is>
          <t>TUB-S-AW-AUT-19.00X19.00X1.000X0.5400</t>
        </is>
      </c>
    </row>
    <row r="657">
      <c r="A657" t="inlineStr">
        <is>
          <t>0000188595</t>
        </is>
      </c>
      <c r="B657" t="inlineStr">
        <is>
          <t>Sri Balaji Gears</t>
        </is>
      </c>
      <c r="C657" t="inlineStr">
        <is>
          <t>NOS</t>
        </is>
      </c>
      <c r="D657" t="n">
        <v>1000</v>
      </c>
      <c r="E657" t="n">
        <v>110.008</v>
      </c>
      <c r="F657" t="n">
        <v>59.956</v>
      </c>
      <c r="G657" t="n">
        <v>3931835</v>
      </c>
      <c r="H657" t="inlineStr">
        <is>
          <t>CUT-R-AW-AUT-19.00X19.00X1.000X0.1100</t>
        </is>
      </c>
    </row>
    <row r="658">
      <c r="A658" t="inlineStr">
        <is>
          <t>0000188595</t>
        </is>
      </c>
      <c r="B658" t="inlineStr">
        <is>
          <t>Sri Balaji Gears</t>
        </is>
      </c>
      <c r="C658" t="inlineStr">
        <is>
          <t>NOS</t>
        </is>
      </c>
      <c r="D658" t="n">
        <v>1000</v>
      </c>
      <c r="E658" t="n">
        <v>639.998</v>
      </c>
      <c r="F658" t="n">
        <v>578.878</v>
      </c>
      <c r="G658" t="n">
        <v>4151430</v>
      </c>
      <c r="H658" t="inlineStr">
        <is>
          <t>TUB-S-AW-AUT-25.00X25.00X1.200X0.6400</t>
        </is>
      </c>
    </row>
    <row r="659">
      <c r="A659" t="inlineStr">
        <is>
          <t>0000188595</t>
        </is>
      </c>
      <c r="B659" t="inlineStr">
        <is>
          <t>Sri Balaji Gears</t>
        </is>
      </c>
      <c r="C659" t="inlineStr">
        <is>
          <t>NOS</t>
        </is>
      </c>
      <c r="D659" t="n">
        <v>500</v>
      </c>
      <c r="E659" t="n">
        <v>615.004</v>
      </c>
      <c r="F659" t="n">
        <v>324.872</v>
      </c>
      <c r="G659" t="n">
        <v>3929692</v>
      </c>
      <c r="H659" t="inlineStr">
        <is>
          <t>CUT-O-N-AUT-AW-PE-19.05X1.200X1.2300</t>
        </is>
      </c>
    </row>
    <row r="660">
      <c r="A660" t="inlineStr">
        <is>
          <t>0000188595</t>
        </is>
      </c>
      <c r="B660" t="inlineStr">
        <is>
          <t>Sri Balaji Gears</t>
        </is>
      </c>
      <c r="C660" t="inlineStr">
        <is>
          <t>NOS</t>
        </is>
      </c>
      <c r="D660" t="n">
        <v>774</v>
      </c>
      <c r="E660" t="n">
        <v>154.793</v>
      </c>
      <c r="F660" t="n">
        <v>81.76900000000001</v>
      </c>
      <c r="G660" t="n">
        <v>3929691</v>
      </c>
      <c r="H660" t="inlineStr">
        <is>
          <t>CUT-O-N-AUT-AW-PE-19.05X1.200X0.2000</t>
        </is>
      </c>
    </row>
    <row r="661">
      <c r="A661" t="inlineStr">
        <is>
          <t>0000188595</t>
        </is>
      </c>
      <c r="B661" t="inlineStr">
        <is>
          <t>Sri Balaji Gears</t>
        </is>
      </c>
      <c r="C661" t="inlineStr">
        <is>
          <t>NOS</t>
        </is>
      </c>
      <c r="D661" t="n">
        <v>1997</v>
      </c>
      <c r="E661" t="n">
        <v>399.383</v>
      </c>
      <c r="F661" t="n">
        <v>210.972</v>
      </c>
      <c r="G661" t="n">
        <v>3929691</v>
      </c>
      <c r="H661" t="inlineStr">
        <is>
          <t>CUT-O-N-AUT-AW-PE-19.05X1.200X0.2000</t>
        </is>
      </c>
    </row>
    <row r="662">
      <c r="A662" t="inlineStr">
        <is>
          <t>0000188595</t>
        </is>
      </c>
      <c r="B662" t="inlineStr">
        <is>
          <t>Sri Balaji Gears</t>
        </is>
      </c>
      <c r="C662" t="inlineStr">
        <is>
          <t>NOS</t>
        </is>
      </c>
      <c r="D662" t="n">
        <v>78</v>
      </c>
      <c r="E662" t="n">
        <v>15.599</v>
      </c>
      <c r="F662" t="n">
        <v>8.24</v>
      </c>
      <c r="G662" t="n">
        <v>3929691</v>
      </c>
      <c r="H662" t="inlineStr">
        <is>
          <t>CUT-O-N-AUT-AW-PE-19.05X1.200X0.2000</t>
        </is>
      </c>
    </row>
    <row r="663">
      <c r="A663" t="inlineStr">
        <is>
          <t>0000188595</t>
        </is>
      </c>
      <c r="B663" t="inlineStr">
        <is>
          <t>Sri Balaji Gears</t>
        </is>
      </c>
      <c r="C663" t="inlineStr">
        <is>
          <t>NOS</t>
        </is>
      </c>
      <c r="D663" t="n">
        <v>78</v>
      </c>
      <c r="E663" t="n">
        <v>15.599</v>
      </c>
      <c r="F663" t="n">
        <v>8.24</v>
      </c>
      <c r="G663" t="n">
        <v>3929691</v>
      </c>
      <c r="H663" t="inlineStr">
        <is>
          <t>CUT-O-N-AUT-AW-PE-19.05X1.200X0.2000</t>
        </is>
      </c>
    </row>
    <row r="664">
      <c r="A664" t="inlineStr">
        <is>
          <t>0000188595</t>
        </is>
      </c>
      <c r="B664" t="inlineStr">
        <is>
          <t>Sri Balaji Gears</t>
        </is>
      </c>
      <c r="C664" t="inlineStr">
        <is>
          <t>NOS</t>
        </is>
      </c>
      <c r="D664" t="n">
        <v>55</v>
      </c>
      <c r="E664" t="n">
        <v>11</v>
      </c>
      <c r="F664" t="n">
        <v>5.81</v>
      </c>
      <c r="G664" t="n">
        <v>3929691</v>
      </c>
      <c r="H664" t="inlineStr">
        <is>
          <t>CUT-O-N-AUT-AW-PE-19.05X1.200X0.2000</t>
        </is>
      </c>
    </row>
    <row r="665">
      <c r="A665" t="inlineStr">
        <is>
          <t>0000188595</t>
        </is>
      </c>
      <c r="B665" t="inlineStr">
        <is>
          <t>Sri Balaji Gears</t>
        </is>
      </c>
      <c r="C665" t="inlineStr">
        <is>
          <t>NOS</t>
        </is>
      </c>
      <c r="D665" t="n">
        <v>7</v>
      </c>
      <c r="E665" t="n">
        <v>1.4</v>
      </c>
      <c r="F665" t="n">
        <v>0.74</v>
      </c>
      <c r="G665" t="n">
        <v>3929691</v>
      </c>
      <c r="H665" t="inlineStr">
        <is>
          <t>CUT-O-N-AUT-AW-PE-19.05X1.200X0.2000</t>
        </is>
      </c>
    </row>
    <row r="666">
      <c r="A666" t="inlineStr">
        <is>
          <t>0000188595</t>
        </is>
      </c>
      <c r="B666" t="inlineStr">
        <is>
          <t>Sri Balaji Gears</t>
        </is>
      </c>
      <c r="C666" t="inlineStr">
        <is>
          <t>NOS</t>
        </is>
      </c>
      <c r="D666" t="n">
        <v>6</v>
      </c>
      <c r="E666" t="n">
        <v>1.2</v>
      </c>
      <c r="F666" t="n">
        <v>0.634</v>
      </c>
      <c r="G666" t="n">
        <v>3929691</v>
      </c>
      <c r="H666" t="inlineStr">
        <is>
          <t>CUT-O-N-AUT-AW-PE-19.05X1.200X0.2000</t>
        </is>
      </c>
    </row>
    <row r="667">
      <c r="A667" t="inlineStr">
        <is>
          <t>0000188595</t>
        </is>
      </c>
      <c r="B667" t="inlineStr">
        <is>
          <t>Sri Balaji Gears</t>
        </is>
      </c>
      <c r="C667" t="inlineStr">
        <is>
          <t>NOS</t>
        </is>
      </c>
      <c r="D667" t="n">
        <v>5</v>
      </c>
      <c r="E667" t="n">
        <v>1</v>
      </c>
      <c r="F667" t="n">
        <v>0.528</v>
      </c>
      <c r="G667" t="n">
        <v>3929691</v>
      </c>
      <c r="H667" t="inlineStr">
        <is>
          <t>CUT-O-N-AUT-AW-PE-19.05X1.200X0.2000</t>
        </is>
      </c>
    </row>
    <row r="668">
      <c r="A668" t="inlineStr">
        <is>
          <t>0000188595</t>
        </is>
      </c>
      <c r="B668" t="inlineStr">
        <is>
          <t>Sri Balaji Gears</t>
        </is>
      </c>
      <c r="C668" t="inlineStr">
        <is>
          <t>NOS</t>
        </is>
      </c>
      <c r="D668" t="n">
        <v>1000</v>
      </c>
      <c r="E668" t="n">
        <v>150</v>
      </c>
      <c r="F668" t="n">
        <v>65.167</v>
      </c>
      <c r="G668" t="n">
        <v>4104140</v>
      </c>
      <c r="H668" t="inlineStr">
        <is>
          <t>TUB-O-N-AUT-AW-PE-15.88X1.220X0.1500</t>
        </is>
      </c>
    </row>
    <row r="669">
      <c r="A669" t="inlineStr">
        <is>
          <t>0000188595</t>
        </is>
      </c>
      <c r="B669" t="inlineStr">
        <is>
          <t>Sri Balaji Gears</t>
        </is>
      </c>
      <c r="C669" t="inlineStr">
        <is>
          <t>NOS</t>
        </is>
      </c>
      <c r="D669" t="n">
        <v>2000</v>
      </c>
      <c r="E669" t="n">
        <v>317.352</v>
      </c>
      <c r="F669" t="n">
        <v>466</v>
      </c>
      <c r="G669" t="n">
        <v>3572055</v>
      </c>
      <c r="H669" t="inlineStr">
        <is>
          <t>TUB-S-AW-AUT-40.00X40.00X1.200X0.1580</t>
        </is>
      </c>
    </row>
    <row r="670">
      <c r="A670" t="inlineStr">
        <is>
          <t>0000188595</t>
        </is>
      </c>
      <c r="B670" t="inlineStr">
        <is>
          <t>Sri Balaji Gears</t>
        </is>
      </c>
      <c r="C670" t="inlineStr">
        <is>
          <t>NOS</t>
        </is>
      </c>
      <c r="D670" t="n">
        <v>1000</v>
      </c>
      <c r="E670" t="n">
        <v>115</v>
      </c>
      <c r="F670" t="n">
        <v>168.867</v>
      </c>
      <c r="G670" t="n">
        <v>4151471</v>
      </c>
      <c r="H670" t="inlineStr">
        <is>
          <t>TUB-S-AW-SHS-40.00X40.00X1.200X0.1150</t>
        </is>
      </c>
    </row>
    <row r="671">
      <c r="A671" t="inlineStr">
        <is>
          <t>0000188595</t>
        </is>
      </c>
      <c r="B671" t="inlineStr">
        <is>
          <t>Sri Balaji Gears</t>
        </is>
      </c>
      <c r="C671" t="inlineStr">
        <is>
          <t>NOS</t>
        </is>
      </c>
      <c r="D671" t="n">
        <v>1000</v>
      </c>
      <c r="E671" t="n">
        <v>190</v>
      </c>
      <c r="F671" t="n">
        <v>207.556</v>
      </c>
      <c r="G671" t="n">
        <v>4151424</v>
      </c>
      <c r="H671" t="inlineStr">
        <is>
          <t>TUB-S-AW-AUT-30.00X30.00X1.200X0.1900</t>
        </is>
      </c>
    </row>
    <row r="672">
      <c r="A672" t="inlineStr">
        <is>
          <t>0000188595</t>
        </is>
      </c>
      <c r="B672" t="inlineStr">
        <is>
          <t>Sri Balaji Gears</t>
        </is>
      </c>
      <c r="C672" t="inlineStr">
        <is>
          <t>NOS</t>
        </is>
      </c>
      <c r="D672" t="n">
        <v>500</v>
      </c>
      <c r="E672" t="n">
        <v>503.507</v>
      </c>
      <c r="F672" t="n">
        <v>274.417</v>
      </c>
      <c r="G672" t="n">
        <v>4100796</v>
      </c>
      <c r="H672" t="inlineStr">
        <is>
          <t>CUT-R-AW-AUT-19.00X19.00X1.000X1.0070</t>
        </is>
      </c>
    </row>
    <row r="673">
      <c r="A673" t="inlineStr">
        <is>
          <t>0000188595</t>
        </is>
      </c>
      <c r="B673" t="inlineStr">
        <is>
          <t>Sri Balaji Gears</t>
        </is>
      </c>
      <c r="C673" t="inlineStr">
        <is>
          <t>NOS</t>
        </is>
      </c>
      <c r="D673" t="n">
        <v>1000</v>
      </c>
      <c r="E673" t="n">
        <v>129.009</v>
      </c>
      <c r="F673" t="n">
        <v>70.31100000000001</v>
      </c>
      <c r="G673" t="n">
        <v>3938687</v>
      </c>
      <c r="H673" t="inlineStr">
        <is>
          <t>TUB-S-AW-AUT-19.00X19.00X1.000X0.1290</t>
        </is>
      </c>
    </row>
    <row r="674">
      <c r="A674" t="inlineStr">
        <is>
          <t>0000188595</t>
        </is>
      </c>
      <c r="B674" t="inlineStr">
        <is>
          <t>Sri Balaji Gears</t>
        </is>
      </c>
      <c r="C674" t="inlineStr">
        <is>
          <t>NOS</t>
        </is>
      </c>
      <c r="D674" t="n">
        <v>500</v>
      </c>
      <c r="E674" t="n">
        <v>164.995</v>
      </c>
      <c r="F674" t="n">
        <v>87.18300000000001</v>
      </c>
      <c r="G674" t="n">
        <v>3935313</v>
      </c>
      <c r="H674" t="inlineStr">
        <is>
          <t>CUT-O-N-AUT-AW-PE-19.05X1.200X0.33</t>
        </is>
      </c>
    </row>
    <row r="675">
      <c r="A675" t="inlineStr">
        <is>
          <t>0000940921</t>
        </is>
      </c>
      <c r="B675" t="inlineStr">
        <is>
          <t>ELKAYEM AUTO ANCILLARIES PVT LTD -U</t>
        </is>
      </c>
      <c r="C675" t="inlineStr">
        <is>
          <t>NOS</t>
        </is>
      </c>
      <c r="D675" t="n">
        <v>1949</v>
      </c>
      <c r="E675" t="n">
        <v>1394.235</v>
      </c>
      <c r="F675" t="n">
        <v>1391.586</v>
      </c>
      <c r="G675" t="n">
        <v>3910020</v>
      </c>
      <c r="H675" t="inlineStr">
        <is>
          <t>CUT-O-N-AUT-AW-FC-22.23X2.000X0.7150</t>
        </is>
      </c>
    </row>
    <row r="676">
      <c r="A676" t="inlineStr">
        <is>
          <t>0000940921</t>
        </is>
      </c>
      <c r="B676" t="inlineStr">
        <is>
          <t>ELKAYEM AUTO ANCILLARIES PVT LTD -U</t>
        </is>
      </c>
      <c r="C676" t="inlineStr">
        <is>
          <t>NOS</t>
        </is>
      </c>
      <c r="D676" t="n">
        <v>1399</v>
      </c>
      <c r="E676" t="n">
        <v>1000.787</v>
      </c>
      <c r="F676" t="n">
        <v>998.886</v>
      </c>
      <c r="G676" t="n">
        <v>3910020</v>
      </c>
      <c r="H676" t="inlineStr">
        <is>
          <t>CUT-O-N-AUT-AW-FC-22.23X2.000X0.7150</t>
        </is>
      </c>
    </row>
    <row r="677">
      <c r="A677" t="inlineStr">
        <is>
          <t>0000940921</t>
        </is>
      </c>
      <c r="B677" t="inlineStr">
        <is>
          <t>ELKAYEM AUTO ANCILLARIES PVT LTD -U</t>
        </is>
      </c>
      <c r="C677" t="inlineStr">
        <is>
          <t>NOS</t>
        </is>
      </c>
      <c r="D677" t="n">
        <v>1140</v>
      </c>
      <c r="E677" t="n">
        <v>815.509</v>
      </c>
      <c r="F677" t="n">
        <v>813.96</v>
      </c>
      <c r="G677" t="n">
        <v>3910020</v>
      </c>
      <c r="H677" t="inlineStr">
        <is>
          <t>CUT-O-N-AUT-AW-FC-22.23X2.000X0.7150</t>
        </is>
      </c>
    </row>
    <row r="678">
      <c r="A678" t="inlineStr">
        <is>
          <t>0000940921</t>
        </is>
      </c>
      <c r="B678" t="inlineStr">
        <is>
          <t>ELKAYEM AUTO ANCILLARIES PVT LTD -U</t>
        </is>
      </c>
      <c r="C678" t="inlineStr">
        <is>
          <t>NOS</t>
        </is>
      </c>
      <c r="D678" t="n">
        <v>476</v>
      </c>
      <c r="E678" t="n">
        <v>340.511</v>
      </c>
      <c r="F678" t="n">
        <v>339.864</v>
      </c>
      <c r="G678" t="n">
        <v>3910020</v>
      </c>
      <c r="H678" t="inlineStr">
        <is>
          <t>CUT-O-N-AUT-AW-FC-22.23X2.000X0.7150</t>
        </is>
      </c>
    </row>
    <row r="679">
      <c r="A679" t="inlineStr">
        <is>
          <t>0000940921</t>
        </is>
      </c>
      <c r="B679" t="inlineStr">
        <is>
          <t>ELKAYEM AUTO ANCILLARIES PVT LTD -U</t>
        </is>
      </c>
      <c r="C679" t="inlineStr">
        <is>
          <t>NOS</t>
        </is>
      </c>
      <c r="D679" t="n">
        <v>11</v>
      </c>
      <c r="E679" t="n">
        <v>7.869</v>
      </c>
      <c r="F679" t="n">
        <v>7.854</v>
      </c>
      <c r="G679" t="n">
        <v>3910020</v>
      </c>
      <c r="H679" t="inlineStr">
        <is>
          <t>CUT-O-N-AUT-AW-FC-22.23X2.000X0.7150</t>
        </is>
      </c>
    </row>
    <row r="680">
      <c r="A680" t="inlineStr">
        <is>
          <t>0000940921</t>
        </is>
      </c>
      <c r="B680" t="inlineStr">
        <is>
          <t>ELKAYEM AUTO ANCILLARIES PVT LTD -U</t>
        </is>
      </c>
      <c r="C680" t="inlineStr">
        <is>
          <t>NOS</t>
        </is>
      </c>
      <c r="D680" t="n">
        <v>666</v>
      </c>
      <c r="E680" t="n">
        <v>1149.655</v>
      </c>
      <c r="F680" t="n">
        <v>1512.486</v>
      </c>
      <c r="G680" t="n">
        <v>1940710</v>
      </c>
      <c r="H680" t="inlineStr">
        <is>
          <t>TUB-O-O-AUT-AW-FC-34.93X1.600X1.7260</t>
        </is>
      </c>
    </row>
    <row r="681">
      <c r="A681" t="inlineStr">
        <is>
          <t>0000940921</t>
        </is>
      </c>
      <c r="B681" t="inlineStr">
        <is>
          <t>ELKAYEM AUTO ANCILLARIES PVT LTD -U</t>
        </is>
      </c>
      <c r="C681" t="inlineStr">
        <is>
          <t>NOS</t>
        </is>
      </c>
      <c r="D681" t="n">
        <v>450</v>
      </c>
      <c r="E681" t="n">
        <v>776.794</v>
      </c>
      <c r="F681" t="n">
        <v>1021.95</v>
      </c>
      <c r="G681" t="n">
        <v>1940710</v>
      </c>
      <c r="H681" t="inlineStr">
        <is>
          <t>TUB-O-O-AUT-AW-FC-34.93X1.600X1.7260</t>
        </is>
      </c>
    </row>
    <row r="682">
      <c r="A682" t="inlineStr">
        <is>
          <t>0000940921</t>
        </is>
      </c>
      <c r="B682" t="inlineStr">
        <is>
          <t>ELKAYEM AUTO ANCILLARIES PVT LTD -U</t>
        </is>
      </c>
      <c r="C682" t="inlineStr">
        <is>
          <t>NOS</t>
        </is>
      </c>
      <c r="D682" t="n">
        <v>380</v>
      </c>
      <c r="E682" t="n">
        <v>655.9589999999999</v>
      </c>
      <c r="F682" t="n">
        <v>862.98</v>
      </c>
      <c r="G682" t="n">
        <v>1940710</v>
      </c>
      <c r="H682" t="inlineStr">
        <is>
          <t>TUB-O-O-AUT-AW-FC-34.93X1.600X1.7260</t>
        </is>
      </c>
    </row>
    <row r="683">
      <c r="A683" t="inlineStr">
        <is>
          <t>0000940921</t>
        </is>
      </c>
      <c r="B683" t="inlineStr">
        <is>
          <t>ELKAYEM AUTO ANCILLARIES PVT LTD -U</t>
        </is>
      </c>
      <c r="C683" t="inlineStr">
        <is>
          <t>NOS</t>
        </is>
      </c>
      <c r="D683" t="n">
        <v>94</v>
      </c>
      <c r="E683" t="n">
        <v>162.264</v>
      </c>
      <c r="F683" t="n">
        <v>213.474</v>
      </c>
      <c r="G683" t="n">
        <v>1940710</v>
      </c>
      <c r="H683" t="inlineStr">
        <is>
          <t>TUB-O-O-AUT-AW-FC-34.93X1.600X1.7260</t>
        </is>
      </c>
    </row>
    <row r="684">
      <c r="A684" t="inlineStr">
        <is>
          <t>0000940921</t>
        </is>
      </c>
      <c r="B684" t="inlineStr">
        <is>
          <t>ELKAYEM AUTO ANCILLARIES PVT LTD -U</t>
        </is>
      </c>
      <c r="C684" t="inlineStr">
        <is>
          <t>NOS</t>
        </is>
      </c>
      <c r="D684" t="n">
        <v>1309</v>
      </c>
      <c r="E684" t="n">
        <v>839.645</v>
      </c>
      <c r="F684" t="n">
        <v>1557.71</v>
      </c>
      <c r="G684" t="n">
        <v>3781649</v>
      </c>
      <c r="H684" t="inlineStr">
        <is>
          <t>TUB-E-AW-AUT-59.00X30.00X1.600X0.6410</t>
        </is>
      </c>
    </row>
    <row r="685">
      <c r="A685" t="inlineStr">
        <is>
          <t>0000940921</t>
        </is>
      </c>
      <c r="B685" t="inlineStr">
        <is>
          <t>ELKAYEM AUTO ANCILLARIES PVT LTD -U</t>
        </is>
      </c>
      <c r="C685" t="inlineStr">
        <is>
          <t>NOS</t>
        </is>
      </c>
      <c r="D685" t="n">
        <v>1</v>
      </c>
      <c r="E685" t="n">
        <v>0.641</v>
      </c>
      <c r="F685" t="n">
        <v>1.19</v>
      </c>
      <c r="G685" t="n">
        <v>3781649</v>
      </c>
      <c r="H685" t="inlineStr">
        <is>
          <t>TUB-E-AW-AUT-59.00X30.00X1.600X0.6410</t>
        </is>
      </c>
    </row>
    <row r="686">
      <c r="A686" t="inlineStr">
        <is>
          <t>0000948721</t>
        </is>
      </c>
      <c r="B686" t="inlineStr">
        <is>
          <t>ELKAYEM AUTO ANCILLARIES PRIVATE LI</t>
        </is>
      </c>
      <c r="C686" t="inlineStr">
        <is>
          <t>NOS</t>
        </is>
      </c>
      <c r="D686" t="n">
        <v>2600</v>
      </c>
      <c r="E686" t="n">
        <v>1333.035</v>
      </c>
      <c r="F686" t="n">
        <v>2087.8</v>
      </c>
      <c r="G686" t="n">
        <v>1940821</v>
      </c>
      <c r="H686" t="inlineStr">
        <is>
          <t>TUB-R-AW-RHS-40.00X25.00X1.600X0.5130</t>
        </is>
      </c>
    </row>
    <row r="687">
      <c r="A687" t="inlineStr">
        <is>
          <t>0000948721</t>
        </is>
      </c>
      <c r="B687" t="inlineStr">
        <is>
          <t>ELKAYEM AUTO ANCILLARIES PRIVATE LI</t>
        </is>
      </c>
      <c r="C687" t="inlineStr">
        <is>
          <t>NOS</t>
        </is>
      </c>
      <c r="D687" t="n">
        <v>3048</v>
      </c>
      <c r="E687" t="n">
        <v>1634.734</v>
      </c>
      <c r="F687" t="n">
        <v>2560.32</v>
      </c>
      <c r="G687" t="n">
        <v>1940822</v>
      </c>
      <c r="H687" t="inlineStr">
        <is>
          <t>TUB-R-AW-RHS-40.00X25.00X1.600X0.5360</t>
        </is>
      </c>
    </row>
    <row r="688">
      <c r="A688" t="inlineStr">
        <is>
          <t>0000948721</t>
        </is>
      </c>
      <c r="B688" t="inlineStr">
        <is>
          <t>ELKAYEM AUTO ANCILLARIES PRIVATE LI</t>
        </is>
      </c>
      <c r="C688" t="inlineStr">
        <is>
          <t>NOS</t>
        </is>
      </c>
      <c r="D688" t="n">
        <v>2698</v>
      </c>
      <c r="E688" t="n">
        <v>1447.018</v>
      </c>
      <c r="F688" t="n">
        <v>2266.32</v>
      </c>
      <c r="G688" t="n">
        <v>1940822</v>
      </c>
      <c r="H688" t="inlineStr">
        <is>
          <t>TUB-R-AW-RHS-40.00X25.00X1.600X0.5360</t>
        </is>
      </c>
    </row>
    <row r="689">
      <c r="A689" t="inlineStr">
        <is>
          <t>0000948721</t>
        </is>
      </c>
      <c r="B689" t="inlineStr">
        <is>
          <t>ELKAYEM AUTO ANCILLARIES PRIVATE LI</t>
        </is>
      </c>
      <c r="C689" t="inlineStr">
        <is>
          <t>NOS</t>
        </is>
      </c>
      <c r="D689" t="n">
        <v>2094</v>
      </c>
      <c r="E689" t="n">
        <v>1123.075</v>
      </c>
      <c r="F689" t="n">
        <v>1758.96</v>
      </c>
      <c r="G689" t="n">
        <v>1940822</v>
      </c>
      <c r="H689" t="inlineStr">
        <is>
          <t>TUB-R-AW-RHS-40.00X25.00X1.600X0.5360</t>
        </is>
      </c>
    </row>
    <row r="690">
      <c r="A690" t="inlineStr">
        <is>
          <t>0000948721</t>
        </is>
      </c>
      <c r="B690" t="inlineStr">
        <is>
          <t>ELKAYEM AUTO ANCILLARIES PRIVATE LI</t>
        </is>
      </c>
      <c r="C690" t="inlineStr">
        <is>
          <t>NOS</t>
        </is>
      </c>
      <c r="D690" t="n">
        <v>2500</v>
      </c>
      <c r="E690" t="n">
        <v>1399.885</v>
      </c>
      <c r="F690" t="n">
        <v>2192.5</v>
      </c>
      <c r="G690" t="n">
        <v>1940823</v>
      </c>
      <c r="H690" t="inlineStr">
        <is>
          <t>TUB-R-AW-RHS-40.00X25.00X1.600X0.5600</t>
        </is>
      </c>
    </row>
    <row r="691">
      <c r="A691" t="inlineStr">
        <is>
          <t>0000948721</t>
        </is>
      </c>
      <c r="B691" t="inlineStr">
        <is>
          <t>ELKAYEM AUTO ANCILLARIES PRIVATE LI</t>
        </is>
      </c>
      <c r="C691" t="inlineStr">
        <is>
          <t>NOS</t>
        </is>
      </c>
      <c r="D691" t="n">
        <v>336</v>
      </c>
      <c r="E691" t="n">
        <v>188.145</v>
      </c>
      <c r="F691" t="n">
        <v>294.672</v>
      </c>
      <c r="G691" t="n">
        <v>1940823</v>
      </c>
      <c r="H691" t="inlineStr">
        <is>
          <t>TUB-R-AW-RHS-40.00X25.00X1.600X0.5600</t>
        </is>
      </c>
    </row>
    <row r="692">
      <c r="A692" t="inlineStr">
        <is>
          <t>0000948721</t>
        </is>
      </c>
      <c r="B692" t="inlineStr">
        <is>
          <t>ELKAYEM AUTO ANCILLARIES PRIVATE LI</t>
        </is>
      </c>
      <c r="C692" t="inlineStr">
        <is>
          <t>NOS</t>
        </is>
      </c>
      <c r="D692" t="n">
        <v>4</v>
      </c>
      <c r="E692" t="n">
        <v>2.24</v>
      </c>
      <c r="F692" t="n">
        <v>3.508</v>
      </c>
      <c r="G692" t="n">
        <v>1940823</v>
      </c>
      <c r="H692" t="inlineStr">
        <is>
          <t>TUB-R-AW-RHS-40.00X25.00X1.600X0.5600</t>
        </is>
      </c>
    </row>
    <row r="693">
      <c r="A693" t="inlineStr">
        <is>
          <t>0000948721</t>
        </is>
      </c>
      <c r="B693" t="inlineStr">
        <is>
          <t>ELKAYEM AUTO ANCILLARIES PRIVATE LI</t>
        </is>
      </c>
      <c r="C693" t="inlineStr">
        <is>
          <t>NOS</t>
        </is>
      </c>
      <c r="D693" t="n">
        <v>520</v>
      </c>
      <c r="E693" t="n">
        <v>77.172</v>
      </c>
      <c r="F693" t="n">
        <v>153.92</v>
      </c>
      <c r="G693" t="n">
        <v>4098592</v>
      </c>
      <c r="H693" t="inlineStr">
        <is>
          <t>TUB-R-AW-AUT-40.00X30.00X2.000X0.1480</t>
        </is>
      </c>
    </row>
    <row r="694">
      <c r="A694" t="inlineStr">
        <is>
          <t>0000952904</t>
        </is>
      </c>
      <c r="B694" t="inlineStr">
        <is>
          <t>ELKAYEM AUTO ANCILLARIES PRIVATE LI</t>
        </is>
      </c>
      <c r="C694" t="inlineStr">
        <is>
          <t>NOS</t>
        </is>
      </c>
      <c r="D694" t="n">
        <v>2575</v>
      </c>
      <c r="E694" t="n">
        <v>1223.124</v>
      </c>
      <c r="F694" t="n">
        <v>1566.945</v>
      </c>
      <c r="G694" t="n">
        <v>1940626</v>
      </c>
      <c r="H694" t="inlineStr">
        <is>
          <t>TUB-O-O-AUT-AW-FC-28.58X2.000X0.4750</t>
        </is>
      </c>
    </row>
    <row r="695">
      <c r="A695" t="inlineStr">
        <is>
          <t>0000188356</t>
        </is>
      </c>
      <c r="B695" t="inlineStr">
        <is>
          <t>Thai Summit Autoparts India Pvt Ltd</t>
        </is>
      </c>
      <c r="C695" t="inlineStr">
        <is>
          <t>NOS</t>
        </is>
      </c>
      <c r="D695" t="n">
        <v>1000</v>
      </c>
      <c r="E695" t="n">
        <v>570.828</v>
      </c>
      <c r="F695" t="n">
        <v>1059</v>
      </c>
      <c r="G695" t="n">
        <v>3781648</v>
      </c>
      <c r="H695" t="inlineStr">
        <is>
          <t>TUB-E-AW-AUT-59.00X30.00X1.600X0.5710</t>
        </is>
      </c>
    </row>
    <row r="696">
      <c r="A696" t="inlineStr">
        <is>
          <t>0000188356</t>
        </is>
      </c>
      <c r="B696" t="inlineStr">
        <is>
          <t>Thai Summit Autoparts India Pvt Ltd</t>
        </is>
      </c>
      <c r="C696" t="inlineStr">
        <is>
          <t>NOS</t>
        </is>
      </c>
      <c r="D696" t="n">
        <v>600</v>
      </c>
      <c r="E696" t="n">
        <v>342.497</v>
      </c>
      <c r="F696" t="n">
        <v>635.4</v>
      </c>
      <c r="G696" t="n">
        <v>3781648</v>
      </c>
      <c r="H696" t="inlineStr">
        <is>
          <t>TUB-E-AW-AUT-59.00X30.00X1.600X0.5710</t>
        </is>
      </c>
    </row>
    <row r="697">
      <c r="A697" t="inlineStr">
        <is>
          <t>0000188356</t>
        </is>
      </c>
      <c r="B697" t="inlineStr">
        <is>
          <t>Thai Summit Autoparts India Pvt Ltd</t>
        </is>
      </c>
      <c r="C697" t="inlineStr">
        <is>
          <t>NOS</t>
        </is>
      </c>
      <c r="D697" t="n">
        <v>600</v>
      </c>
      <c r="E697" t="n">
        <v>342.497</v>
      </c>
      <c r="F697" t="n">
        <v>635.4</v>
      </c>
      <c r="G697" t="n">
        <v>3781648</v>
      </c>
      <c r="H697" t="inlineStr">
        <is>
          <t>TUB-E-AW-AUT-59.00X30.00X1.600X0.5710</t>
        </is>
      </c>
    </row>
    <row r="698">
      <c r="A698" t="inlineStr">
        <is>
          <t>0000188356</t>
        </is>
      </c>
      <c r="B698" t="inlineStr">
        <is>
          <t>Thai Summit Autoparts India Pvt Ltd</t>
        </is>
      </c>
      <c r="C698" t="inlineStr">
        <is>
          <t>NOS</t>
        </is>
      </c>
      <c r="D698" t="n">
        <v>570</v>
      </c>
      <c r="E698" t="n">
        <v>325.372</v>
      </c>
      <c r="F698" t="n">
        <v>603.63</v>
      </c>
      <c r="G698" t="n">
        <v>3781648</v>
      </c>
      <c r="H698" t="inlineStr">
        <is>
          <t>TUB-E-AW-AUT-59.00X30.00X1.600X0.5710</t>
        </is>
      </c>
    </row>
    <row r="699">
      <c r="A699" t="inlineStr">
        <is>
          <t>0000188356</t>
        </is>
      </c>
      <c r="B699" t="inlineStr">
        <is>
          <t>Thai Summit Autoparts India Pvt Ltd</t>
        </is>
      </c>
      <c r="C699" t="inlineStr">
        <is>
          <t>NOS</t>
        </is>
      </c>
      <c r="D699" t="n">
        <v>230</v>
      </c>
      <c r="E699" t="n">
        <v>131.29</v>
      </c>
      <c r="F699" t="n">
        <v>243.57</v>
      </c>
      <c r="G699" t="n">
        <v>3781648</v>
      </c>
      <c r="H699" t="inlineStr">
        <is>
          <t>TUB-E-AW-AUT-59.00X30.00X1.600X0.5710</t>
        </is>
      </c>
    </row>
    <row r="700">
      <c r="A700" t="inlineStr">
        <is>
          <t>0000188356</t>
        </is>
      </c>
      <c r="B700" t="inlineStr">
        <is>
          <t>Thai Summit Autoparts India Pvt Ltd</t>
        </is>
      </c>
      <c r="C700" t="inlineStr">
        <is>
          <t>NOS</t>
        </is>
      </c>
      <c r="D700" t="n">
        <v>4056</v>
      </c>
      <c r="E700" t="n">
        <v>694.755</v>
      </c>
      <c r="F700" t="n">
        <v>287.976</v>
      </c>
      <c r="G700" t="n">
        <v>3204542</v>
      </c>
      <c r="H700" t="inlineStr">
        <is>
          <t>TUB-O-N-AUT-AW-PE-12.70X1.500X0.1703</t>
        </is>
      </c>
    </row>
    <row r="701">
      <c r="A701" t="inlineStr">
        <is>
          <t>0000188356</t>
        </is>
      </c>
      <c r="B701" t="inlineStr">
        <is>
          <t>Thai Summit Autoparts India Pvt Ltd</t>
        </is>
      </c>
      <c r="C701" t="inlineStr">
        <is>
          <t>NOS</t>
        </is>
      </c>
      <c r="D701" t="n">
        <v>4464</v>
      </c>
      <c r="E701" t="n">
        <v>764.6420000000001</v>
      </c>
      <c r="F701" t="n">
        <v>316.944</v>
      </c>
      <c r="G701" t="n">
        <v>3204542</v>
      </c>
      <c r="H701" t="inlineStr">
        <is>
          <t>TUB-O-N-AUT-AW-PE-12.70X1.500X0.1703</t>
        </is>
      </c>
    </row>
    <row r="702">
      <c r="A702" t="inlineStr">
        <is>
          <t>0000188356</t>
        </is>
      </c>
      <c r="B702" t="inlineStr">
        <is>
          <t>Thai Summit Autoparts India Pvt Ltd</t>
        </is>
      </c>
      <c r="C702" t="inlineStr">
        <is>
          <t>NOS</t>
        </is>
      </c>
      <c r="D702" t="n">
        <v>1195</v>
      </c>
      <c r="E702" t="n">
        <v>204.692</v>
      </c>
      <c r="F702" t="n">
        <v>84.845</v>
      </c>
      <c r="G702" t="n">
        <v>3204542</v>
      </c>
      <c r="H702" t="inlineStr">
        <is>
          <t>TUB-O-N-AUT-AW-PE-12.70X1.500X0.1703</t>
        </is>
      </c>
    </row>
    <row r="703">
      <c r="A703" t="inlineStr">
        <is>
          <t>0000188356</t>
        </is>
      </c>
      <c r="B703" t="inlineStr">
        <is>
          <t>Thai Summit Autoparts India Pvt Ltd</t>
        </is>
      </c>
      <c r="C703" t="inlineStr">
        <is>
          <t>NOS</t>
        </is>
      </c>
      <c r="D703" t="n">
        <v>1085</v>
      </c>
      <c r="E703" t="n">
        <v>185.85</v>
      </c>
      <c r="F703" t="n">
        <v>77.035</v>
      </c>
      <c r="G703" t="n">
        <v>3204542</v>
      </c>
      <c r="H703" t="inlineStr">
        <is>
          <t>TUB-O-N-AUT-AW-PE-12.70X1.500X0.1703</t>
        </is>
      </c>
    </row>
    <row r="704">
      <c r="A704" t="inlineStr">
        <is>
          <t>0000188356</t>
        </is>
      </c>
      <c r="B704" t="inlineStr">
        <is>
          <t>Thai Summit Autoparts India Pvt Ltd</t>
        </is>
      </c>
      <c r="C704" t="inlineStr">
        <is>
          <t>NOS</t>
        </is>
      </c>
      <c r="D704" t="n">
        <v>722</v>
      </c>
      <c r="E704" t="n">
        <v>350.204</v>
      </c>
      <c r="F704" t="n">
        <v>514.064</v>
      </c>
      <c r="G704" t="n">
        <v>2385283</v>
      </c>
      <c r="H704" t="inlineStr">
        <is>
          <t>TUB-O-N-AUT-AW-FC-31.75X2.000X0.4850</t>
        </is>
      </c>
    </row>
    <row r="705">
      <c r="A705" t="inlineStr">
        <is>
          <t>0000188356</t>
        </is>
      </c>
      <c r="B705" t="inlineStr">
        <is>
          <t>Thai Summit Autoparts India Pvt Ltd</t>
        </is>
      </c>
      <c r="C705" t="inlineStr">
        <is>
          <t>NOS</t>
        </is>
      </c>
      <c r="D705" t="n">
        <v>599</v>
      </c>
      <c r="E705" t="n">
        <v>290.543</v>
      </c>
      <c r="F705" t="n">
        <v>426.488</v>
      </c>
      <c r="G705" t="n">
        <v>2385283</v>
      </c>
      <c r="H705" t="inlineStr">
        <is>
          <t>TUB-O-N-AUT-AW-FC-31.75X2.000X0.4850</t>
        </is>
      </c>
    </row>
    <row r="706">
      <c r="A706" t="inlineStr">
        <is>
          <t>0000188356</t>
        </is>
      </c>
      <c r="B706" t="inlineStr">
        <is>
          <t>Thai Summit Autoparts India Pvt Ltd</t>
        </is>
      </c>
      <c r="C706" t="inlineStr">
        <is>
          <t>NOS</t>
        </is>
      </c>
      <c r="D706" t="n">
        <v>79</v>
      </c>
      <c r="E706" t="n">
        <v>38.319</v>
      </c>
      <c r="F706" t="n">
        <v>56.248</v>
      </c>
      <c r="G706" t="n">
        <v>2385283</v>
      </c>
      <c r="H706" t="inlineStr">
        <is>
          <t>TUB-O-N-AUT-AW-FC-31.75X2.000X0.4850</t>
        </is>
      </c>
    </row>
    <row r="707">
      <c r="A707" t="inlineStr">
        <is>
          <t>0000188356</t>
        </is>
      </c>
      <c r="B707" t="inlineStr">
        <is>
          <t>Thai Summit Autoparts India Pvt Ltd</t>
        </is>
      </c>
      <c r="C707" t="inlineStr">
        <is>
          <t>NOS</t>
        </is>
      </c>
      <c r="D707" t="n">
        <v>7098</v>
      </c>
      <c r="E707" t="n">
        <v>1866.828</v>
      </c>
      <c r="F707" t="n">
        <v>1285.684</v>
      </c>
      <c r="G707" t="n">
        <v>2382571</v>
      </c>
      <c r="H707" t="inlineStr">
        <is>
          <t>TUB-O-N-AUT-AW-PE-19.05X1.600X0.2630</t>
        </is>
      </c>
    </row>
    <row r="708">
      <c r="A708" t="inlineStr">
        <is>
          <t>0000188356</t>
        </is>
      </c>
      <c r="B708" t="inlineStr">
        <is>
          <t>Thai Summit Autoparts India Pvt Ltd</t>
        </is>
      </c>
      <c r="C708" t="inlineStr">
        <is>
          <t>NOS</t>
        </is>
      </c>
      <c r="D708" t="n">
        <v>1799</v>
      </c>
      <c r="E708" t="n">
        <v>473.151</v>
      </c>
      <c r="F708" t="n">
        <v>325.859</v>
      </c>
      <c r="G708" t="n">
        <v>2382571</v>
      </c>
      <c r="H708" t="inlineStr">
        <is>
          <t>TUB-O-N-AUT-AW-PE-19.05X1.600X0.2630</t>
        </is>
      </c>
    </row>
    <row r="709">
      <c r="A709" t="inlineStr">
        <is>
          <t>0000188356</t>
        </is>
      </c>
      <c r="B709" t="inlineStr">
        <is>
          <t>Thai Summit Autoparts India Pvt Ltd</t>
        </is>
      </c>
      <c r="C709" t="inlineStr">
        <is>
          <t>NOS</t>
        </is>
      </c>
      <c r="D709" t="n">
        <v>148</v>
      </c>
      <c r="E709" t="n">
        <v>38.925</v>
      </c>
      <c r="F709" t="n">
        <v>26.808</v>
      </c>
      <c r="G709" t="n">
        <v>2382571</v>
      </c>
      <c r="H709" t="inlineStr">
        <is>
          <t>TUB-O-N-AUT-AW-PE-19.05X1.600X0.2630</t>
        </is>
      </c>
    </row>
    <row r="710">
      <c r="A710" t="inlineStr">
        <is>
          <t>0000188356</t>
        </is>
      </c>
      <c r="B710" t="inlineStr">
        <is>
          <t>Thai Summit Autoparts India Pvt Ltd</t>
        </is>
      </c>
      <c r="C710" t="inlineStr">
        <is>
          <t>NOS</t>
        </is>
      </c>
      <c r="D710" t="n">
        <v>100</v>
      </c>
      <c r="E710" t="n">
        <v>26.301</v>
      </c>
      <c r="F710" t="n">
        <v>18.113</v>
      </c>
      <c r="G710" t="n">
        <v>2382571</v>
      </c>
      <c r="H710" t="inlineStr">
        <is>
          <t>TUB-O-N-AUT-AW-PE-19.05X1.600X0.2630</t>
        </is>
      </c>
    </row>
    <row r="711">
      <c r="A711" t="inlineStr">
        <is>
          <t>0000188356</t>
        </is>
      </c>
      <c r="B711" t="inlineStr">
        <is>
          <t>Thai Summit Autoparts India Pvt Ltd</t>
        </is>
      </c>
      <c r="C711" t="inlineStr">
        <is>
          <t>NOS</t>
        </is>
      </c>
      <c r="D711" t="n">
        <v>5</v>
      </c>
      <c r="E711" t="n">
        <v>1.315</v>
      </c>
      <c r="F711" t="n">
        <v>0.906</v>
      </c>
      <c r="G711" t="n">
        <v>2382571</v>
      </c>
      <c r="H711" t="inlineStr">
        <is>
          <t>TUB-O-N-AUT-AW-PE-19.05X1.600X0.2630</t>
        </is>
      </c>
    </row>
    <row r="712">
      <c r="A712" t="inlineStr">
        <is>
          <t>0000188356</t>
        </is>
      </c>
      <c r="B712" t="inlineStr">
        <is>
          <t>Thai Summit Autoparts India Pvt Ltd</t>
        </is>
      </c>
      <c r="C712" t="inlineStr">
        <is>
          <t>NOS</t>
        </is>
      </c>
      <c r="D712" t="n">
        <v>5000</v>
      </c>
      <c r="E712" t="n">
        <v>1250.021</v>
      </c>
      <c r="F712" t="n">
        <v>831.278</v>
      </c>
      <c r="G712" t="n">
        <v>3781686</v>
      </c>
      <c r="H712" t="inlineStr">
        <is>
          <t>CUT-O-N-AUT-AW-PE-19.05X1.600X0.2500</t>
        </is>
      </c>
    </row>
    <row r="713">
      <c r="A713" t="inlineStr">
        <is>
          <t>0000189270</t>
        </is>
      </c>
      <c r="B713" t="inlineStr">
        <is>
          <t>Indo Autotech Limited (Unit V)</t>
        </is>
      </c>
      <c r="C713" t="inlineStr">
        <is>
          <t>NOS</t>
        </is>
      </c>
      <c r="D713" t="n">
        <v>3867</v>
      </c>
      <c r="E713" t="n">
        <v>2118.967</v>
      </c>
      <c r="F713" t="n">
        <v>1782.687</v>
      </c>
      <c r="G713" t="n">
        <v>3676836</v>
      </c>
      <c r="H713" t="inlineStr">
        <is>
          <t>TUB-O-N-AUT-AW-PE-19.05X2.000X0.5470</t>
        </is>
      </c>
    </row>
    <row r="714">
      <c r="A714" t="inlineStr">
        <is>
          <t>0000189270</t>
        </is>
      </c>
      <c r="B714" t="inlineStr">
        <is>
          <t>Indo Autotech Limited (Unit V)</t>
        </is>
      </c>
      <c r="C714" t="inlineStr">
        <is>
          <t>NOS</t>
        </is>
      </c>
      <c r="D714" t="n">
        <v>2133</v>
      </c>
      <c r="E714" t="n">
        <v>1168.802</v>
      </c>
      <c r="F714" t="n">
        <v>983.313</v>
      </c>
      <c r="G714" t="n">
        <v>3676836</v>
      </c>
      <c r="H714" t="inlineStr">
        <is>
          <t>TUB-O-N-AUT-AW-PE-19.05X2.000X0.5470</t>
        </is>
      </c>
    </row>
    <row r="715">
      <c r="A715" t="inlineStr">
        <is>
          <t>0000189270</t>
        </is>
      </c>
      <c r="B715" t="inlineStr">
        <is>
          <t>Indo Autotech Limited (Unit V)</t>
        </is>
      </c>
      <c r="C715" t="inlineStr">
        <is>
          <t>NOS</t>
        </is>
      </c>
      <c r="D715" t="n">
        <v>2757</v>
      </c>
      <c r="E715" t="n">
        <v>2093.784</v>
      </c>
      <c r="F715" t="n">
        <v>2089.806</v>
      </c>
      <c r="G715" t="n">
        <v>2244444</v>
      </c>
      <c r="H715" t="inlineStr">
        <is>
          <t>TUB-O-N-AUT-AW-PE-22.23X2.000X0.7600</t>
        </is>
      </c>
    </row>
    <row r="716">
      <c r="A716" t="inlineStr">
        <is>
          <t>0000189270</t>
        </is>
      </c>
      <c r="B716" t="inlineStr">
        <is>
          <t>Indo Autotech Limited (Unit V)</t>
        </is>
      </c>
      <c r="C716" t="inlineStr">
        <is>
          <t>NOS</t>
        </is>
      </c>
      <c r="D716" t="n">
        <v>1701</v>
      </c>
      <c r="E716" t="n">
        <v>1291.812</v>
      </c>
      <c r="F716" t="n">
        <v>1289.358</v>
      </c>
      <c r="G716" t="n">
        <v>2244444</v>
      </c>
      <c r="H716" t="inlineStr">
        <is>
          <t>TUB-O-N-AUT-AW-PE-22.23X2.000X0.7600</t>
        </is>
      </c>
    </row>
    <row r="717">
      <c r="A717" t="inlineStr">
        <is>
          <t>0000189270</t>
        </is>
      </c>
      <c r="B717" t="inlineStr">
        <is>
          <t>Indo Autotech Limited (Unit V)</t>
        </is>
      </c>
      <c r="C717" t="inlineStr">
        <is>
          <t>NOS</t>
        </is>
      </c>
      <c r="D717" t="n">
        <v>1401</v>
      </c>
      <c r="E717" t="n">
        <v>1063.98</v>
      </c>
      <c r="F717" t="n">
        <v>1061.958</v>
      </c>
      <c r="G717" t="n">
        <v>2244444</v>
      </c>
      <c r="H717" t="inlineStr">
        <is>
          <t>TUB-O-N-AUT-AW-PE-22.23X2.000X0.7600</t>
        </is>
      </c>
    </row>
    <row r="718">
      <c r="A718" t="inlineStr">
        <is>
          <t>0000189270</t>
        </is>
      </c>
      <c r="B718" t="inlineStr">
        <is>
          <t>Indo Autotech Limited (Unit V)</t>
        </is>
      </c>
      <c r="C718" t="inlineStr">
        <is>
          <t>NOS</t>
        </is>
      </c>
      <c r="D718" t="n">
        <v>1125</v>
      </c>
      <c r="E718" t="n">
        <v>854.373</v>
      </c>
      <c r="F718" t="n">
        <v>852.75</v>
      </c>
      <c r="G718" t="n">
        <v>2244444</v>
      </c>
      <c r="H718" t="inlineStr">
        <is>
          <t>TUB-O-N-AUT-AW-PE-22.23X2.000X0.7600</t>
        </is>
      </c>
    </row>
    <row r="719">
      <c r="A719" t="inlineStr">
        <is>
          <t>0000189270</t>
        </is>
      </c>
      <c r="B719" t="inlineStr">
        <is>
          <t>Indo Autotech Limited (Unit V)</t>
        </is>
      </c>
      <c r="C719" t="inlineStr">
        <is>
          <t>NOS</t>
        </is>
      </c>
      <c r="D719" t="n">
        <v>1016</v>
      </c>
      <c r="E719" t="n">
        <v>771.5940000000001</v>
      </c>
      <c r="F719" t="n">
        <v>770.128</v>
      </c>
      <c r="G719" t="n">
        <v>2244444</v>
      </c>
      <c r="H719" t="inlineStr">
        <is>
          <t>TUB-O-N-AUT-AW-PE-22.23X2.000X0.7600</t>
        </is>
      </c>
    </row>
    <row r="720">
      <c r="A720" t="inlineStr">
        <is>
          <t>0000189270</t>
        </is>
      </c>
      <c r="B720" t="inlineStr">
        <is>
          <t>Indo Autotech Limited (Unit V)</t>
        </is>
      </c>
      <c r="C720" t="inlineStr">
        <is>
          <t>NOS</t>
        </is>
      </c>
      <c r="D720" t="n">
        <v>667</v>
      </c>
      <c r="E720" t="n">
        <v>703.024</v>
      </c>
      <c r="F720" t="n">
        <v>1058.262</v>
      </c>
      <c r="G720" t="n">
        <v>3605736</v>
      </c>
      <c r="H720" t="inlineStr">
        <is>
          <t>TUB-O-N-AUT-AW-FC-45.00X1.400X1.0540</t>
        </is>
      </c>
    </row>
    <row r="721">
      <c r="A721" t="inlineStr">
        <is>
          <t>0000189270</t>
        </is>
      </c>
      <c r="B721" t="inlineStr">
        <is>
          <t>Indo Autotech Limited (Unit V)</t>
        </is>
      </c>
      <c r="C721" t="inlineStr">
        <is>
          <t>NOS</t>
        </is>
      </c>
      <c r="D721" t="n">
        <v>143</v>
      </c>
      <c r="E721" t="n">
        <v>150.723</v>
      </c>
      <c r="F721" t="n">
        <v>226.884</v>
      </c>
      <c r="G721" t="n">
        <v>3605736</v>
      </c>
      <c r="H721" t="inlineStr">
        <is>
          <t>TUB-O-N-AUT-AW-FC-45.00X1.400X1.0540</t>
        </is>
      </c>
    </row>
    <row r="722">
      <c r="A722" t="inlineStr">
        <is>
          <t>0000189270</t>
        </is>
      </c>
      <c r="B722" t="inlineStr">
        <is>
          <t>Indo Autotech Limited (Unit V)</t>
        </is>
      </c>
      <c r="C722" t="inlineStr">
        <is>
          <t>NOS</t>
        </is>
      </c>
      <c r="D722" t="n">
        <v>1489</v>
      </c>
      <c r="E722" t="n">
        <v>1569.4</v>
      </c>
      <c r="F722" t="n">
        <v>2688.538</v>
      </c>
      <c r="G722" t="n">
        <v>3605737</v>
      </c>
      <c r="H722" t="inlineStr">
        <is>
          <t>CUT-O-N-AUT-AW-FC-45.00X1.600X1.0540</t>
        </is>
      </c>
    </row>
    <row r="723">
      <c r="A723" t="inlineStr">
        <is>
          <t>0000189270</t>
        </is>
      </c>
      <c r="B723" t="inlineStr">
        <is>
          <t>Indo Autotech Limited (Unit V)</t>
        </is>
      </c>
      <c r="C723" t="inlineStr">
        <is>
          <t>NOS</t>
        </is>
      </c>
      <c r="D723" t="n">
        <v>1479</v>
      </c>
      <c r="E723" t="n">
        <v>1558.86</v>
      </c>
      <c r="F723" t="n">
        <v>2670.482</v>
      </c>
      <c r="G723" t="n">
        <v>3605737</v>
      </c>
      <c r="H723" t="inlineStr">
        <is>
          <t>CUT-O-N-AUT-AW-FC-45.00X1.600X1.0540</t>
        </is>
      </c>
    </row>
    <row r="724">
      <c r="A724" t="inlineStr">
        <is>
          <t>0000189270</t>
        </is>
      </c>
      <c r="B724" t="inlineStr">
        <is>
          <t>Indo Autotech Limited (Unit V)</t>
        </is>
      </c>
      <c r="C724" t="inlineStr">
        <is>
          <t>NOS</t>
        </is>
      </c>
      <c r="D724" t="n">
        <v>1032</v>
      </c>
      <c r="E724" t="n">
        <v>1087.724</v>
      </c>
      <c r="F724" t="n">
        <v>1863.379</v>
      </c>
      <c r="G724" t="n">
        <v>3605737</v>
      </c>
      <c r="H724" t="inlineStr">
        <is>
          <t>CUT-O-N-AUT-AW-FC-45.00X1.600X1.0540</t>
        </is>
      </c>
    </row>
    <row r="725">
      <c r="A725" t="inlineStr">
        <is>
          <t>0000189270</t>
        </is>
      </c>
      <c r="B725" t="inlineStr">
        <is>
          <t>Indo Autotech Limited (Unit V)</t>
        </is>
      </c>
      <c r="C725" t="inlineStr">
        <is>
          <t>NOS</t>
        </is>
      </c>
      <c r="D725" t="n">
        <v>1235</v>
      </c>
      <c r="E725" t="n">
        <v>910.24</v>
      </c>
      <c r="F725" t="n">
        <v>1574.625</v>
      </c>
      <c r="G725" t="n">
        <v>1932730</v>
      </c>
      <c r="H725" t="inlineStr">
        <is>
          <t>TUB-O-N-AUT-AW-FC-50.80X1.420X0.7370</t>
        </is>
      </c>
    </row>
    <row r="726">
      <c r="A726" t="inlineStr">
        <is>
          <t>0000189270</t>
        </is>
      </c>
      <c r="B726" t="inlineStr">
        <is>
          <t>Indo Autotech Limited (Unit V)</t>
        </is>
      </c>
      <c r="C726" t="inlineStr">
        <is>
          <t>NOS</t>
        </is>
      </c>
      <c r="D726" t="n">
        <v>265</v>
      </c>
      <c r="E726" t="n">
        <v>195.315</v>
      </c>
      <c r="F726" t="n">
        <v>337.875</v>
      </c>
      <c r="G726" t="n">
        <v>1932730</v>
      </c>
      <c r="H726" t="inlineStr">
        <is>
          <t>TUB-O-N-AUT-AW-FC-50.80X1.420X0.7370</t>
        </is>
      </c>
    </row>
    <row r="727">
      <c r="A727" t="inlineStr">
        <is>
          <t>0000189270</t>
        </is>
      </c>
      <c r="B727" t="inlineStr">
        <is>
          <t>Indo Autotech Limited (Unit V)</t>
        </is>
      </c>
      <c r="C727" t="inlineStr">
        <is>
          <t>NOS</t>
        </is>
      </c>
      <c r="D727" t="n">
        <v>658</v>
      </c>
      <c r="E727" t="n">
        <v>359.441</v>
      </c>
      <c r="F727" t="n">
        <v>517.846</v>
      </c>
      <c r="G727" t="n">
        <v>1940817</v>
      </c>
      <c r="H727" t="inlineStr">
        <is>
          <t>TUB-R-AW-RHS-40.00X20.00X1.600X0.5460</t>
        </is>
      </c>
    </row>
    <row r="728">
      <c r="A728" t="inlineStr">
        <is>
          <t>0000189270</t>
        </is>
      </c>
      <c r="B728" t="inlineStr">
        <is>
          <t>Indo Autotech Limited (Unit V)</t>
        </is>
      </c>
      <c r="C728" t="inlineStr">
        <is>
          <t>NOS</t>
        </is>
      </c>
      <c r="D728" t="n">
        <v>1299</v>
      </c>
      <c r="E728" t="n">
        <v>709.595</v>
      </c>
      <c r="F728" t="n">
        <v>1022.313</v>
      </c>
      <c r="G728" t="n">
        <v>1940817</v>
      </c>
      <c r="H728" t="inlineStr">
        <is>
          <t>TUB-R-AW-RHS-40.00X20.00X1.600X0.5460</t>
        </is>
      </c>
    </row>
    <row r="729">
      <c r="A729" t="inlineStr">
        <is>
          <t>0000189270</t>
        </is>
      </c>
      <c r="B729" t="inlineStr">
        <is>
          <t>Indo Autotech Limited (Unit V)</t>
        </is>
      </c>
      <c r="C729" t="inlineStr">
        <is>
          <t>NOS</t>
        </is>
      </c>
      <c r="D729" t="n">
        <v>1229</v>
      </c>
      <c r="E729" t="n">
        <v>671.356</v>
      </c>
      <c r="F729" t="n">
        <v>967.223</v>
      </c>
      <c r="G729" t="n">
        <v>1940817</v>
      </c>
      <c r="H729" t="inlineStr">
        <is>
          <t>TUB-R-AW-RHS-40.00X20.00X1.600X0.5460</t>
        </is>
      </c>
    </row>
    <row r="730">
      <c r="A730" t="inlineStr">
        <is>
          <t>0000189270</t>
        </is>
      </c>
      <c r="B730" t="inlineStr">
        <is>
          <t>Indo Autotech Limited (Unit V)</t>
        </is>
      </c>
      <c r="C730" t="inlineStr">
        <is>
          <t>NOS</t>
        </is>
      </c>
      <c r="D730" t="n">
        <v>946</v>
      </c>
      <c r="E730" t="n">
        <v>516.764</v>
      </c>
      <c r="F730" t="n">
        <v>744.502</v>
      </c>
      <c r="G730" t="n">
        <v>1940817</v>
      </c>
      <c r="H730" t="inlineStr">
        <is>
          <t>TUB-R-AW-RHS-40.00X20.00X1.600X0.5460</t>
        </is>
      </c>
    </row>
    <row r="731">
      <c r="A731" t="inlineStr">
        <is>
          <t>0000189270</t>
        </is>
      </c>
      <c r="B731" t="inlineStr">
        <is>
          <t>Indo Autotech Limited (Unit V)</t>
        </is>
      </c>
      <c r="C731" t="inlineStr">
        <is>
          <t>NOS</t>
        </is>
      </c>
      <c r="D731" t="n">
        <v>850</v>
      </c>
      <c r="E731" t="n">
        <v>464.323</v>
      </c>
      <c r="F731" t="n">
        <v>668.95</v>
      </c>
      <c r="G731" t="n">
        <v>1940817</v>
      </c>
      <c r="H731" t="inlineStr">
        <is>
          <t>TUB-R-AW-RHS-40.00X20.00X1.600X0.5460</t>
        </is>
      </c>
    </row>
    <row r="732">
      <c r="A732" t="inlineStr">
        <is>
          <t>0000189270</t>
        </is>
      </c>
      <c r="B732" t="inlineStr">
        <is>
          <t>Indo Autotech Limited (Unit V)</t>
        </is>
      </c>
      <c r="C732" t="inlineStr">
        <is>
          <t>NOS</t>
        </is>
      </c>
      <c r="D732" t="n">
        <v>459</v>
      </c>
      <c r="E732" t="n">
        <v>250.734</v>
      </c>
      <c r="F732" t="n">
        <v>361.233</v>
      </c>
      <c r="G732" t="n">
        <v>1940817</v>
      </c>
      <c r="H732" t="inlineStr">
        <is>
          <t>TUB-R-AW-RHS-40.00X20.00X1.600X0.5460</t>
        </is>
      </c>
    </row>
    <row r="733">
      <c r="A733" t="inlineStr">
        <is>
          <t>0000189270</t>
        </is>
      </c>
      <c r="B733" t="inlineStr">
        <is>
          <t>Indo Autotech Limited (Unit V)</t>
        </is>
      </c>
      <c r="C733" t="inlineStr">
        <is>
          <t>NOS</t>
        </is>
      </c>
      <c r="D733" t="n">
        <v>59</v>
      </c>
      <c r="E733" t="n">
        <v>32.229</v>
      </c>
      <c r="F733" t="n">
        <v>46.433</v>
      </c>
      <c r="G733" t="n">
        <v>1940817</v>
      </c>
      <c r="H733" t="inlineStr">
        <is>
          <t>TUB-R-AW-RHS-40.00X20.00X1.600X0.5460</t>
        </is>
      </c>
    </row>
    <row r="734">
      <c r="A734" t="inlineStr">
        <is>
          <t>0000189270</t>
        </is>
      </c>
      <c r="B734" t="inlineStr">
        <is>
          <t>Indo Autotech Limited (Unit V)</t>
        </is>
      </c>
      <c r="C734" t="inlineStr">
        <is>
          <t>NOS</t>
        </is>
      </c>
      <c r="D734" t="n">
        <v>690</v>
      </c>
      <c r="E734" t="n">
        <v>433.865</v>
      </c>
      <c r="F734" t="n">
        <v>908.73</v>
      </c>
      <c r="G734" t="n">
        <v>1940871</v>
      </c>
      <c r="H734" t="inlineStr">
        <is>
          <t>TUB-V-AW-AUT-49.00X38.00X2.000X0.6290</t>
        </is>
      </c>
    </row>
    <row r="735">
      <c r="A735" t="inlineStr">
        <is>
          <t>0000189270</t>
        </is>
      </c>
      <c r="B735" t="inlineStr">
        <is>
          <t>Indo Autotech Limited (Unit V)</t>
        </is>
      </c>
      <c r="C735" t="inlineStr">
        <is>
          <t>NOS</t>
        </is>
      </c>
      <c r="D735" t="n">
        <v>1450</v>
      </c>
      <c r="E735" t="n">
        <v>911.745</v>
      </c>
      <c r="F735" t="n">
        <v>1909.65</v>
      </c>
      <c r="G735" t="n">
        <v>1940871</v>
      </c>
      <c r="H735" t="inlineStr">
        <is>
          <t>TUB-V-AW-AUT-49.00X38.00X2.000X0.6290</t>
        </is>
      </c>
    </row>
    <row r="736">
      <c r="A736" t="inlineStr">
        <is>
          <t>0000188415</t>
        </is>
      </c>
      <c r="B736" t="inlineStr">
        <is>
          <t>Rajsriya Automotive Industries(P)</t>
        </is>
      </c>
      <c r="C736" t="inlineStr">
        <is>
          <t>NOS</t>
        </is>
      </c>
      <c r="D736" t="n">
        <v>1469</v>
      </c>
      <c r="E736" t="n">
        <v>1263.684</v>
      </c>
      <c r="F736" t="n">
        <v>2137.395</v>
      </c>
      <c r="G736" t="n">
        <v>1940830</v>
      </c>
      <c r="H736" t="inlineStr">
        <is>
          <t>TUB-R-AW-RHS-40.00X30.00X1.600X0.8600</t>
        </is>
      </c>
    </row>
    <row r="737">
      <c r="A737" t="inlineStr">
        <is>
          <t>0000188415</t>
        </is>
      </c>
      <c r="B737" t="inlineStr">
        <is>
          <t>Rajsriya Automotive Industries(P)</t>
        </is>
      </c>
      <c r="C737" t="inlineStr">
        <is>
          <t>NOS</t>
        </is>
      </c>
      <c r="D737" t="n">
        <v>1341</v>
      </c>
      <c r="E737" t="n">
        <v>1153.574</v>
      </c>
      <c r="F737" t="n">
        <v>1951.155</v>
      </c>
      <c r="G737" t="n">
        <v>1940830</v>
      </c>
      <c r="H737" t="inlineStr">
        <is>
          <t>TUB-R-AW-RHS-40.00X30.00X1.600X0.8600</t>
        </is>
      </c>
    </row>
    <row r="738">
      <c r="A738" t="inlineStr">
        <is>
          <t>0000188415</t>
        </is>
      </c>
      <c r="B738" t="inlineStr">
        <is>
          <t>Rajsriya Automotive Industries(P)</t>
        </is>
      </c>
      <c r="C738" t="inlineStr">
        <is>
          <t>NOS</t>
        </is>
      </c>
      <c r="D738" t="n">
        <v>190</v>
      </c>
      <c r="E738" t="n">
        <v>163.444</v>
      </c>
      <c r="F738" t="n">
        <v>276.45</v>
      </c>
      <c r="G738" t="n">
        <v>1940830</v>
      </c>
      <c r="H738" t="inlineStr">
        <is>
          <t>TUB-R-AW-RHS-40.00X30.00X1.600X0.8600</t>
        </is>
      </c>
    </row>
    <row r="739">
      <c r="A739" t="inlineStr">
        <is>
          <t>0000188415</t>
        </is>
      </c>
      <c r="B739" t="inlineStr">
        <is>
          <t>Rajsriya Automotive Industries(P)</t>
        </is>
      </c>
      <c r="C739" t="inlineStr">
        <is>
          <t>NOS</t>
        </is>
      </c>
      <c r="D739" t="n">
        <v>1324</v>
      </c>
      <c r="E739" t="n">
        <v>1151.744</v>
      </c>
      <c r="F739" t="n">
        <v>2412.328</v>
      </c>
      <c r="G739" t="n">
        <v>1940837</v>
      </c>
      <c r="H739" t="inlineStr">
        <is>
          <t>TUB-R-AW-RHS-40.00X30.00X2.000X0.8700</t>
        </is>
      </c>
    </row>
    <row r="740">
      <c r="A740" t="inlineStr">
        <is>
          <t>0000188415</t>
        </is>
      </c>
      <c r="B740" t="inlineStr">
        <is>
          <t>Rajsriya Automotive Industries(P)</t>
        </is>
      </c>
      <c r="C740" t="inlineStr">
        <is>
          <t>NOS</t>
        </is>
      </c>
      <c r="D740" t="n">
        <v>1319</v>
      </c>
      <c r="E740" t="n">
        <v>1147.395</v>
      </c>
      <c r="F740" t="n">
        <v>2403.218</v>
      </c>
      <c r="G740" t="n">
        <v>1940837</v>
      </c>
      <c r="H740" t="inlineStr">
        <is>
          <t>TUB-R-AW-RHS-40.00X30.00X2.000X0.8700</t>
        </is>
      </c>
    </row>
    <row r="741">
      <c r="A741" t="inlineStr">
        <is>
          <t>0000188415</t>
        </is>
      </c>
      <c r="B741" t="inlineStr">
        <is>
          <t>Rajsriya Automotive Industries(P)</t>
        </is>
      </c>
      <c r="C741" t="inlineStr">
        <is>
          <t>NOS</t>
        </is>
      </c>
      <c r="D741" t="n">
        <v>357</v>
      </c>
      <c r="E741" t="n">
        <v>310.553</v>
      </c>
      <c r="F741" t="n">
        <v>650.454</v>
      </c>
      <c r="G741" t="n">
        <v>1940837</v>
      </c>
      <c r="H741" t="inlineStr">
        <is>
          <t>TUB-R-AW-RHS-40.00X30.00X2.000X0.8700</t>
        </is>
      </c>
    </row>
    <row r="742">
      <c r="A742" t="inlineStr">
        <is>
          <t>0000189239</t>
        </is>
      </c>
      <c r="B742" t="inlineStr">
        <is>
          <t>Rajsriya Automotive Ind. Pvt Ltd</t>
        </is>
      </c>
      <c r="C742" t="inlineStr">
        <is>
          <t>NOS</t>
        </is>
      </c>
      <c r="D742" t="n">
        <v>6800</v>
      </c>
      <c r="E742" t="n">
        <v>2730.689</v>
      </c>
      <c r="F742" t="n">
        <v>2223.6</v>
      </c>
      <c r="G742" t="n">
        <v>1940399</v>
      </c>
      <c r="H742" t="inlineStr">
        <is>
          <t>TUB-O-O-AUT-AW-PE-22.23X1.600X0.4010</t>
        </is>
      </c>
    </row>
    <row r="743">
      <c r="A743" t="inlineStr">
        <is>
          <t>0000189239</t>
        </is>
      </c>
      <c r="B743" t="inlineStr">
        <is>
          <t>Rajsriya Automotive Ind. Pvt Ltd</t>
        </is>
      </c>
      <c r="C743" t="inlineStr">
        <is>
          <t>NOS</t>
        </is>
      </c>
      <c r="D743" t="n">
        <v>1892</v>
      </c>
      <c r="E743" t="n">
        <v>1212.701</v>
      </c>
      <c r="F743" t="n">
        <v>987.624</v>
      </c>
      <c r="G743" t="n">
        <v>3556680</v>
      </c>
      <c r="H743" t="inlineStr">
        <is>
          <t>TUB-O-N-AUT-AW-PE-22.20X1.600X0.6400</t>
        </is>
      </c>
    </row>
    <row r="744">
      <c r="A744" t="inlineStr">
        <is>
          <t>0000189239</t>
        </is>
      </c>
      <c r="B744" t="inlineStr">
        <is>
          <t>Rajsriya Automotive Ind. Pvt Ltd</t>
        </is>
      </c>
      <c r="C744" t="inlineStr">
        <is>
          <t>NOS</t>
        </is>
      </c>
      <c r="D744" t="n">
        <v>1122</v>
      </c>
      <c r="E744" t="n">
        <v>719.16</v>
      </c>
      <c r="F744" t="n">
        <v>585.684</v>
      </c>
      <c r="G744" t="n">
        <v>3556680</v>
      </c>
      <c r="H744" t="inlineStr">
        <is>
          <t>TUB-O-N-AUT-AW-PE-22.20X1.600X0.6400</t>
        </is>
      </c>
    </row>
    <row r="745">
      <c r="A745" t="inlineStr">
        <is>
          <t>0000189239</t>
        </is>
      </c>
      <c r="B745" t="inlineStr">
        <is>
          <t>Rajsriya Automotive Ind. Pvt Ltd</t>
        </is>
      </c>
      <c r="C745" t="inlineStr">
        <is>
          <t>NOS</t>
        </is>
      </c>
      <c r="D745" t="n">
        <v>11</v>
      </c>
      <c r="E745" t="n">
        <v>7.051</v>
      </c>
      <c r="F745" t="n">
        <v>5.742</v>
      </c>
      <c r="G745" t="n">
        <v>3556680</v>
      </c>
      <c r="H745" t="inlineStr">
        <is>
          <t>TUB-O-N-AUT-AW-PE-22.20X1.600X0.6400</t>
        </is>
      </c>
    </row>
    <row r="746">
      <c r="A746" t="inlineStr">
        <is>
          <t>0000944141</t>
        </is>
      </c>
      <c r="B746" t="inlineStr">
        <is>
          <t>SRIKAM HITECH ENGINEERING PRIVATE L</t>
        </is>
      </c>
      <c r="C746" t="inlineStr">
        <is>
          <t>NOS</t>
        </is>
      </c>
      <c r="D746" t="n">
        <v>1699</v>
      </c>
      <c r="E746" t="n">
        <v>1509.006</v>
      </c>
      <c r="F746" t="n">
        <v>655.814</v>
      </c>
      <c r="G746" t="n">
        <v>1940043</v>
      </c>
      <c r="H746" t="inlineStr">
        <is>
          <t>TUB-O-O-AUT-AW-PE-15.88X1.200X0.8880</t>
        </is>
      </c>
    </row>
    <row r="747">
      <c r="A747" t="inlineStr">
        <is>
          <t>0000944141</t>
        </is>
      </c>
      <c r="B747" t="inlineStr">
        <is>
          <t>SRIKAM HITECH ENGINEERING PRIVATE L</t>
        </is>
      </c>
      <c r="C747" t="inlineStr">
        <is>
          <t>NOS</t>
        </is>
      </c>
      <c r="D747" t="n">
        <v>751</v>
      </c>
      <c r="E747" t="n">
        <v>667.018</v>
      </c>
      <c r="F747" t="n">
        <v>289.886</v>
      </c>
      <c r="G747" t="n">
        <v>1940043</v>
      </c>
      <c r="H747" t="inlineStr">
        <is>
          <t>TUB-O-O-AUT-AW-PE-15.88X1.200X0.8880</t>
        </is>
      </c>
    </row>
    <row r="748">
      <c r="A748" t="inlineStr">
        <is>
          <t>0000944141</t>
        </is>
      </c>
      <c r="B748" t="inlineStr">
        <is>
          <t>SRIKAM HITECH ENGINEERING PRIVATE L</t>
        </is>
      </c>
      <c r="C748" t="inlineStr">
        <is>
          <t>NOS</t>
        </is>
      </c>
      <c r="D748" t="n">
        <v>2698</v>
      </c>
      <c r="E748" t="n">
        <v>2200.223</v>
      </c>
      <c r="F748" t="n">
        <v>1850.828</v>
      </c>
      <c r="G748" t="n">
        <v>1940287</v>
      </c>
      <c r="H748" t="inlineStr">
        <is>
          <t>TUB-O-O-AUT-AW-PE-19.05X2.000X0.8150</t>
        </is>
      </c>
    </row>
    <row r="749">
      <c r="A749" t="inlineStr">
        <is>
          <t>0000944141</t>
        </is>
      </c>
      <c r="B749" t="inlineStr">
        <is>
          <t>SRIKAM HITECH ENGINEERING PRIVATE L</t>
        </is>
      </c>
      <c r="C749" t="inlineStr">
        <is>
          <t>NOS</t>
        </is>
      </c>
      <c r="D749" t="n">
        <v>1099</v>
      </c>
      <c r="E749" t="n">
        <v>896.236</v>
      </c>
      <c r="F749" t="n">
        <v>753.914</v>
      </c>
      <c r="G749" t="n">
        <v>1940287</v>
      </c>
      <c r="H749" t="inlineStr">
        <is>
          <t>TUB-O-O-AUT-AW-PE-19.05X2.000X0.8150</t>
        </is>
      </c>
    </row>
    <row r="750">
      <c r="A750" t="inlineStr">
        <is>
          <t>0000944141</t>
        </is>
      </c>
      <c r="B750" t="inlineStr">
        <is>
          <t>SRIKAM HITECH ENGINEERING PRIVATE L</t>
        </is>
      </c>
      <c r="C750" t="inlineStr">
        <is>
          <t>NOS</t>
        </is>
      </c>
      <c r="D750" t="n">
        <v>988</v>
      </c>
      <c r="E750" t="n">
        <v>805.716</v>
      </c>
      <c r="F750" t="n">
        <v>677.768</v>
      </c>
      <c r="G750" t="n">
        <v>1940287</v>
      </c>
      <c r="H750" t="inlineStr">
        <is>
          <t>TUB-O-O-AUT-AW-PE-19.05X2.000X0.8150</t>
        </is>
      </c>
    </row>
    <row r="751">
      <c r="A751" t="inlineStr">
        <is>
          <t>0000944141</t>
        </is>
      </c>
      <c r="B751" t="inlineStr">
        <is>
          <t>SRIKAM HITECH ENGINEERING PRIVATE L</t>
        </is>
      </c>
      <c r="C751" t="inlineStr">
        <is>
          <t>NOS</t>
        </is>
      </c>
      <c r="D751" t="n">
        <v>215</v>
      </c>
      <c r="E751" t="n">
        <v>175.333</v>
      </c>
      <c r="F751" t="n">
        <v>147.49</v>
      </c>
      <c r="G751" t="n">
        <v>1940287</v>
      </c>
      <c r="H751" t="inlineStr">
        <is>
          <t>TUB-O-O-AUT-AW-PE-19.05X2.000X0.8150</t>
        </is>
      </c>
    </row>
    <row r="752">
      <c r="A752" t="inlineStr">
        <is>
          <t>0000944141</t>
        </is>
      </c>
      <c r="B752" t="inlineStr">
        <is>
          <t>SRIKAM HITECH ENGINEERING PRIVATE L</t>
        </is>
      </c>
      <c r="C752" t="inlineStr">
        <is>
          <t>NOS</t>
        </is>
      </c>
      <c r="D752" t="n">
        <v>1050</v>
      </c>
      <c r="E752" t="n">
        <v>248.553</v>
      </c>
      <c r="F752" t="n">
        <v>236.25</v>
      </c>
      <c r="G752" t="n">
        <v>1940306</v>
      </c>
      <c r="H752" t="inlineStr">
        <is>
          <t>TUB-O-O-AUT-AW-PE-19.05X2.300X0.2360</t>
        </is>
      </c>
    </row>
    <row r="753">
      <c r="A753" t="inlineStr">
        <is>
          <t>0000944141</t>
        </is>
      </c>
      <c r="B753" t="inlineStr">
        <is>
          <t>SRIKAM HITECH ENGINEERING PRIVATE L</t>
        </is>
      </c>
      <c r="C753" t="inlineStr">
        <is>
          <t>NOS</t>
        </is>
      </c>
      <c r="D753" t="n">
        <v>2150</v>
      </c>
      <c r="E753" t="n">
        <v>633.418</v>
      </c>
      <c r="F753" t="n">
        <v>602</v>
      </c>
      <c r="G753" t="n">
        <v>1940312</v>
      </c>
      <c r="H753" t="inlineStr">
        <is>
          <t>TUB-O-O-AUT-AW-PE-19.05X2.300X0.2950</t>
        </is>
      </c>
    </row>
    <row r="754">
      <c r="A754" t="inlineStr">
        <is>
          <t>0000944141</t>
        </is>
      </c>
      <c r="B754" t="inlineStr">
        <is>
          <t>SRIKAM HITECH ENGINEERING PRIVATE L</t>
        </is>
      </c>
      <c r="C754" t="inlineStr">
        <is>
          <t>NOS</t>
        </is>
      </c>
      <c r="D754" t="n">
        <v>1750</v>
      </c>
      <c r="E754" t="n">
        <v>2288.985</v>
      </c>
      <c r="F754" t="n">
        <v>1425.122</v>
      </c>
      <c r="G754" t="n">
        <v>3747393</v>
      </c>
      <c r="H754" t="inlineStr">
        <is>
          <t>CUT-O-N-AUT-AW-PE-22.23X1.200X1.3080</t>
        </is>
      </c>
    </row>
    <row r="755">
      <c r="A755" t="inlineStr">
        <is>
          <t>0000944141</t>
        </is>
      </c>
      <c r="B755" t="inlineStr">
        <is>
          <t>SRIKAM HITECH ENGINEERING PRIVATE L</t>
        </is>
      </c>
      <c r="C755" t="inlineStr">
        <is>
          <t>NOS</t>
        </is>
      </c>
      <c r="D755" t="n">
        <v>1349</v>
      </c>
      <c r="E755" t="n">
        <v>1764.481</v>
      </c>
      <c r="F755" t="n">
        <v>1098.566</v>
      </c>
      <c r="G755" t="n">
        <v>3747393</v>
      </c>
      <c r="H755" t="inlineStr">
        <is>
          <t>CUT-O-N-AUT-AW-PE-22.23X1.200X1.3080</t>
        </is>
      </c>
    </row>
    <row r="756">
      <c r="A756" t="inlineStr">
        <is>
          <t>0000944141</t>
        </is>
      </c>
      <c r="B756" t="inlineStr">
        <is>
          <t>SRIKAM HITECH ENGINEERING PRIVATE L</t>
        </is>
      </c>
      <c r="C756" t="inlineStr">
        <is>
          <t>NOS</t>
        </is>
      </c>
      <c r="D756" t="n">
        <v>275</v>
      </c>
      <c r="E756" t="n">
        <v>359.698</v>
      </c>
      <c r="F756" t="n">
        <v>223.948</v>
      </c>
      <c r="G756" t="n">
        <v>3747393</v>
      </c>
      <c r="H756" t="inlineStr">
        <is>
          <t>CUT-O-N-AUT-AW-PE-22.23X1.200X1.3080</t>
        </is>
      </c>
    </row>
    <row r="757">
      <c r="A757" t="inlineStr">
        <is>
          <t>0000944141</t>
        </is>
      </c>
      <c r="B757" t="inlineStr">
        <is>
          <t>SRIKAM HITECH ENGINEERING PRIVATE L</t>
        </is>
      </c>
      <c r="C757" t="inlineStr">
        <is>
          <t>NOS</t>
        </is>
      </c>
      <c r="D757" t="n">
        <v>1</v>
      </c>
      <c r="E757" t="n">
        <v>1.308</v>
      </c>
      <c r="F757" t="n">
        <v>0.8139999999999999</v>
      </c>
      <c r="G757" t="n">
        <v>3747393</v>
      </c>
      <c r="H757" t="inlineStr">
        <is>
          <t>CUT-O-N-AUT-AW-PE-22.23X1.200X1.3080</t>
        </is>
      </c>
    </row>
    <row r="758">
      <c r="A758" t="inlineStr">
        <is>
          <t>0000189002</t>
        </is>
      </c>
      <c r="B758" t="inlineStr">
        <is>
          <t>Marathwada Auto Compo Pvt. Ltd.</t>
        </is>
      </c>
      <c r="C758" t="inlineStr">
        <is>
          <t>NOS</t>
        </is>
      </c>
      <c r="D758" t="n">
        <v>1123</v>
      </c>
      <c r="E758" t="n">
        <v>1471.566</v>
      </c>
      <c r="F758" t="n">
        <v>1620.489</v>
      </c>
      <c r="G758" t="n">
        <v>1940801</v>
      </c>
      <c r="H758" t="inlineStr">
        <is>
          <t>TUB-R-AW-RHS-40.00X20.00X1.210X1.3100</t>
        </is>
      </c>
    </row>
    <row r="759">
      <c r="A759" t="inlineStr">
        <is>
          <t>0000189002</t>
        </is>
      </c>
      <c r="B759" t="inlineStr">
        <is>
          <t>Marathwada Auto Compo Pvt. Ltd.</t>
        </is>
      </c>
      <c r="C759" t="inlineStr">
        <is>
          <t>NOS</t>
        </is>
      </c>
      <c r="D759" t="n">
        <v>188</v>
      </c>
      <c r="E759" t="n">
        <v>246.353</v>
      </c>
      <c r="F759" t="n">
        <v>271.284</v>
      </c>
      <c r="G759" t="n">
        <v>1940801</v>
      </c>
      <c r="H759" t="inlineStr">
        <is>
          <t>TUB-R-AW-RHS-40.00X20.00X1.210X1.3100</t>
        </is>
      </c>
    </row>
    <row r="760">
      <c r="A760" t="inlineStr">
        <is>
          <t>0000189002</t>
        </is>
      </c>
      <c r="B760" t="inlineStr">
        <is>
          <t>Marathwada Auto Compo Pvt. Ltd.</t>
        </is>
      </c>
      <c r="C760" t="inlineStr">
        <is>
          <t>NOS</t>
        </is>
      </c>
      <c r="D760" t="n">
        <v>149</v>
      </c>
      <c r="E760" t="n">
        <v>195.248</v>
      </c>
      <c r="F760" t="n">
        <v>215.007</v>
      </c>
      <c r="G760" t="n">
        <v>1940801</v>
      </c>
      <c r="H760" t="inlineStr">
        <is>
          <t>TUB-R-AW-RHS-40.00X20.00X1.210X1.3100</t>
        </is>
      </c>
    </row>
    <row r="761">
      <c r="A761" t="inlineStr">
        <is>
          <t>0000189002</t>
        </is>
      </c>
      <c r="B761" t="inlineStr">
        <is>
          <t>Marathwada Auto Compo Pvt. Ltd.</t>
        </is>
      </c>
      <c r="C761" t="inlineStr">
        <is>
          <t>NOS</t>
        </is>
      </c>
      <c r="D761" t="n">
        <v>40</v>
      </c>
      <c r="E761" t="n">
        <v>52.416</v>
      </c>
      <c r="F761" t="n">
        <v>57.72</v>
      </c>
      <c r="G761" t="n">
        <v>1940801</v>
      </c>
      <c r="H761" t="inlineStr">
        <is>
          <t>TUB-R-AW-RHS-40.00X20.00X1.210X1.3100</t>
        </is>
      </c>
    </row>
    <row r="762">
      <c r="A762" t="inlineStr">
        <is>
          <t>0000189002</t>
        </is>
      </c>
      <c r="B762" t="inlineStr">
        <is>
          <t>Marathwada Auto Compo Pvt. Ltd.</t>
        </is>
      </c>
      <c r="C762" t="inlineStr">
        <is>
          <t>NOS</t>
        </is>
      </c>
      <c r="D762" t="n">
        <v>500</v>
      </c>
      <c r="E762" t="n">
        <v>623.4109999999999</v>
      </c>
      <c r="F762" t="n">
        <v>686.5</v>
      </c>
      <c r="G762" t="n">
        <v>3233554</v>
      </c>
      <c r="H762" t="inlineStr">
        <is>
          <t>TUB-R-AW-AUT-40.00X20.00X1.210X1.2460</t>
        </is>
      </c>
    </row>
    <row r="763">
      <c r="A763" t="inlineStr">
        <is>
          <t>0000189002</t>
        </is>
      </c>
      <c r="B763" t="inlineStr">
        <is>
          <t>Marathwada Auto Compo Pvt. Ltd.</t>
        </is>
      </c>
      <c r="C763" t="inlineStr">
        <is>
          <t>NOS</t>
        </is>
      </c>
      <c r="D763" t="n">
        <v>1849</v>
      </c>
      <c r="E763" t="n">
        <v>2071.981</v>
      </c>
      <c r="F763" t="n">
        <v>2281.666</v>
      </c>
      <c r="G763" t="n">
        <v>3233555</v>
      </c>
      <c r="H763" t="inlineStr">
        <is>
          <t>TUB-R-AW-AUT-40.00X20.00X1.210X1.1200</t>
        </is>
      </c>
    </row>
    <row r="764">
      <c r="A764" t="inlineStr">
        <is>
          <t>0000189002</t>
        </is>
      </c>
      <c r="B764" t="inlineStr">
        <is>
          <t>Marathwada Auto Compo Pvt. Ltd.</t>
        </is>
      </c>
      <c r="C764" t="inlineStr">
        <is>
          <t>NOS</t>
        </is>
      </c>
      <c r="D764" t="n">
        <v>151</v>
      </c>
      <c r="E764" t="n">
        <v>169.21</v>
      </c>
      <c r="F764" t="n">
        <v>186.334</v>
      </c>
      <c r="G764" t="n">
        <v>3233555</v>
      </c>
      <c r="H764" t="inlineStr">
        <is>
          <t>TUB-R-AW-AUT-40.00X20.00X1.210X1.1200</t>
        </is>
      </c>
    </row>
    <row r="765">
      <c r="A765" t="inlineStr">
        <is>
          <t>0000189002</t>
        </is>
      </c>
      <c r="B765" t="inlineStr">
        <is>
          <t>Marathwada Auto Compo Pvt. Ltd.</t>
        </is>
      </c>
      <c r="C765" t="inlineStr">
        <is>
          <t>NOS</t>
        </is>
      </c>
      <c r="D765" t="n">
        <v>2000</v>
      </c>
      <c r="E765" t="n">
        <v>1720.981</v>
      </c>
      <c r="F765" t="n">
        <v>1880</v>
      </c>
      <c r="G765" t="n">
        <v>3572051</v>
      </c>
      <c r="H765" t="inlineStr">
        <is>
          <t>TUB-R-AW-AUT-40.00X20.00X1.200X0.8600</t>
        </is>
      </c>
    </row>
    <row r="766">
      <c r="A766" t="inlineStr">
        <is>
          <t>0000189002</t>
        </is>
      </c>
      <c r="B766" t="inlineStr">
        <is>
          <t>Marathwada Auto Compo Pvt. Ltd.</t>
        </is>
      </c>
      <c r="C766" t="inlineStr">
        <is>
          <t>NOS</t>
        </is>
      </c>
      <c r="D766" t="n">
        <v>1000</v>
      </c>
      <c r="E766" t="n">
        <v>800.0359999999999</v>
      </c>
      <c r="F766" t="n">
        <v>881</v>
      </c>
      <c r="G766" t="n">
        <v>3233557</v>
      </c>
      <c r="H766" t="inlineStr">
        <is>
          <t>TUB-R-AW-AUT-40.00X20.00X1.210X0.8000</t>
        </is>
      </c>
    </row>
    <row r="767">
      <c r="A767" t="inlineStr">
        <is>
          <t>0000189002</t>
        </is>
      </c>
      <c r="B767" t="inlineStr">
        <is>
          <t>Marathwada Auto Compo Pvt. Ltd.</t>
        </is>
      </c>
      <c r="C767" t="inlineStr">
        <is>
          <t>NOS</t>
        </is>
      </c>
      <c r="D767" t="n">
        <v>495</v>
      </c>
      <c r="E767" t="n">
        <v>616.769</v>
      </c>
      <c r="F767" t="n">
        <v>336.077</v>
      </c>
      <c r="G767" t="n">
        <v>3572038</v>
      </c>
      <c r="H767" t="inlineStr">
        <is>
          <t>TUB-S-AW-AUT-19.00X19.00X1.000X1.2460</t>
        </is>
      </c>
    </row>
    <row r="768">
      <c r="A768" t="inlineStr">
        <is>
          <t>0000189002</t>
        </is>
      </c>
      <c r="B768" t="inlineStr">
        <is>
          <t>Marathwada Auto Compo Pvt. Ltd.</t>
        </is>
      </c>
      <c r="C768" t="inlineStr">
        <is>
          <t>NOS</t>
        </is>
      </c>
      <c r="D768" t="n">
        <v>5</v>
      </c>
      <c r="E768" t="n">
        <v>6.23</v>
      </c>
      <c r="F768" t="n">
        <v>3.395</v>
      </c>
      <c r="G768" t="n">
        <v>3572038</v>
      </c>
      <c r="H768" t="inlineStr">
        <is>
          <t>TUB-S-AW-AUT-19.00X19.00X1.000X1.2460</t>
        </is>
      </c>
    </row>
    <row r="769">
      <c r="A769" t="inlineStr">
        <is>
          <t>0000189002</t>
        </is>
      </c>
      <c r="B769" t="inlineStr">
        <is>
          <t>Marathwada Auto Compo Pvt. Ltd.</t>
        </is>
      </c>
      <c r="C769" t="inlineStr">
        <is>
          <t>NOS</t>
        </is>
      </c>
      <c r="D769" t="n">
        <v>1098</v>
      </c>
      <c r="E769" t="n">
        <v>966.605</v>
      </c>
      <c r="F769" t="n">
        <v>534.726</v>
      </c>
      <c r="G769" t="n">
        <v>3230492</v>
      </c>
      <c r="H769" t="inlineStr">
        <is>
          <t>TUB-S-AW-AUT-19.00X19.00X1.000X0.8800</t>
        </is>
      </c>
    </row>
    <row r="770">
      <c r="A770" t="inlineStr">
        <is>
          <t>0000189002</t>
        </is>
      </c>
      <c r="B770" t="inlineStr">
        <is>
          <t>Marathwada Auto Compo Pvt. Ltd.</t>
        </is>
      </c>
      <c r="C770" t="inlineStr">
        <is>
          <t>NOS</t>
        </is>
      </c>
      <c r="D770" t="n">
        <v>402</v>
      </c>
      <c r="E770" t="n">
        <v>353.894</v>
      </c>
      <c r="F770" t="n">
        <v>195.774</v>
      </c>
      <c r="G770" t="n">
        <v>3230492</v>
      </c>
      <c r="H770" t="inlineStr">
        <is>
          <t>TUB-S-AW-AUT-19.00X19.00X1.000X0.8800</t>
        </is>
      </c>
    </row>
    <row r="771">
      <c r="A771" t="inlineStr">
        <is>
          <t>0000189002</t>
        </is>
      </c>
      <c r="B771" t="inlineStr">
        <is>
          <t>Marathwada Auto Compo Pvt. Ltd.</t>
        </is>
      </c>
      <c r="C771" t="inlineStr">
        <is>
          <t>NOS</t>
        </is>
      </c>
      <c r="D771" t="n">
        <v>373</v>
      </c>
      <c r="E771" t="n">
        <v>325.306</v>
      </c>
      <c r="F771" t="n">
        <v>181.651</v>
      </c>
      <c r="G771" t="n">
        <v>3605739</v>
      </c>
      <c r="H771" t="inlineStr">
        <is>
          <t>TUB-S-AW-AUT-19.00X19.00X1.010X0.8710</t>
        </is>
      </c>
    </row>
    <row r="772">
      <c r="A772" t="inlineStr">
        <is>
          <t>0000189002</t>
        </is>
      </c>
      <c r="B772" t="inlineStr">
        <is>
          <t>Marathwada Auto Compo Pvt. Ltd.</t>
        </is>
      </c>
      <c r="C772" t="inlineStr">
        <is>
          <t>NOS</t>
        </is>
      </c>
      <c r="D772" t="n">
        <v>246</v>
      </c>
      <c r="E772" t="n">
        <v>214.545</v>
      </c>
      <c r="F772" t="n">
        <v>119.802</v>
      </c>
      <c r="G772" t="n">
        <v>3605739</v>
      </c>
      <c r="H772" t="inlineStr">
        <is>
          <t>TUB-S-AW-AUT-19.00X19.00X1.010X0.8710</t>
        </is>
      </c>
    </row>
    <row r="773">
      <c r="A773" t="inlineStr">
        <is>
          <t>0000189002</t>
        </is>
      </c>
      <c r="B773" t="inlineStr">
        <is>
          <t>Marathwada Auto Compo Pvt. Ltd.</t>
        </is>
      </c>
      <c r="C773" t="inlineStr">
        <is>
          <t>NOS</t>
        </is>
      </c>
      <c r="D773" t="n">
        <v>193</v>
      </c>
      <c r="E773" t="n">
        <v>168.322</v>
      </c>
      <c r="F773" t="n">
        <v>93.991</v>
      </c>
      <c r="G773" t="n">
        <v>3605739</v>
      </c>
      <c r="H773" t="inlineStr">
        <is>
          <t>TUB-S-AW-AUT-19.00X19.00X1.010X0.8710</t>
        </is>
      </c>
    </row>
    <row r="774">
      <c r="A774" t="inlineStr">
        <is>
          <t>0000189002</t>
        </is>
      </c>
      <c r="B774" t="inlineStr">
        <is>
          <t>Marathwada Auto Compo Pvt. Ltd.</t>
        </is>
      </c>
      <c r="C774" t="inlineStr">
        <is>
          <t>NOS</t>
        </is>
      </c>
      <c r="D774" t="n">
        <v>188</v>
      </c>
      <c r="E774" t="n">
        <v>163.961</v>
      </c>
      <c r="F774" t="n">
        <v>91.556</v>
      </c>
      <c r="G774" t="n">
        <v>3605739</v>
      </c>
      <c r="H774" t="inlineStr">
        <is>
          <t>TUB-S-AW-AUT-19.00X19.00X1.010X0.8710</t>
        </is>
      </c>
    </row>
    <row r="775">
      <c r="A775" t="inlineStr">
        <is>
          <t>0000189002</t>
        </is>
      </c>
      <c r="B775" t="inlineStr">
        <is>
          <t>Marathwada Auto Compo Pvt. Ltd.</t>
        </is>
      </c>
      <c r="C775" t="inlineStr">
        <is>
          <t>NOS</t>
        </is>
      </c>
      <c r="D775" t="n">
        <v>1000</v>
      </c>
      <c r="E775" t="n">
        <v>840.564</v>
      </c>
      <c r="F775" t="n">
        <v>465</v>
      </c>
      <c r="G775" t="n">
        <v>3230485</v>
      </c>
      <c r="H775" t="inlineStr">
        <is>
          <t>TUB-S-AW-AUT-19.00X19.00X1.000X0.8400</t>
        </is>
      </c>
    </row>
    <row r="776">
      <c r="A776" t="inlineStr">
        <is>
          <t>0000189002</t>
        </is>
      </c>
      <c r="B776" t="inlineStr">
        <is>
          <t>Marathwada Auto Compo Pvt. Ltd.</t>
        </is>
      </c>
      <c r="C776" t="inlineStr">
        <is>
          <t>NOS</t>
        </is>
      </c>
      <c r="D776" t="n">
        <v>561</v>
      </c>
      <c r="E776" t="n">
        <v>448.802</v>
      </c>
      <c r="F776" t="n">
        <v>244.602</v>
      </c>
      <c r="G776" t="n">
        <v>3931836</v>
      </c>
      <c r="H776" t="inlineStr">
        <is>
          <t>CUT-R-AW-AUT-19.00X19.00X1.000X0.8000</t>
        </is>
      </c>
    </row>
    <row r="777">
      <c r="A777" t="inlineStr">
        <is>
          <t>0000189002</t>
        </is>
      </c>
      <c r="B777" t="inlineStr">
        <is>
          <t>Marathwada Auto Compo Pvt. Ltd.</t>
        </is>
      </c>
      <c r="C777" t="inlineStr">
        <is>
          <t>NOS</t>
        </is>
      </c>
      <c r="D777" t="n">
        <v>247</v>
      </c>
      <c r="E777" t="n">
        <v>197.601</v>
      </c>
      <c r="F777" t="n">
        <v>107.695</v>
      </c>
      <c r="G777" t="n">
        <v>3931836</v>
      </c>
      <c r="H777" t="inlineStr">
        <is>
          <t>CUT-R-AW-AUT-19.00X19.00X1.000X0.8000</t>
        </is>
      </c>
    </row>
    <row r="778">
      <c r="A778" t="inlineStr">
        <is>
          <t>0000189002</t>
        </is>
      </c>
      <c r="B778" t="inlineStr">
        <is>
          <t>Marathwada Auto Compo Pvt. Ltd.</t>
        </is>
      </c>
      <c r="C778" t="inlineStr">
        <is>
          <t>NOS</t>
        </is>
      </c>
      <c r="D778" t="n">
        <v>192</v>
      </c>
      <c r="E778" t="n">
        <v>153.601</v>
      </c>
      <c r="F778" t="n">
        <v>83.714</v>
      </c>
      <c r="G778" t="n">
        <v>3931836</v>
      </c>
      <c r="H778" t="inlineStr">
        <is>
          <t>CUT-R-AW-AUT-19.00X19.00X1.000X0.8000</t>
        </is>
      </c>
    </row>
    <row r="779">
      <c r="A779" t="inlineStr">
        <is>
          <t>0000189002</t>
        </is>
      </c>
      <c r="B779" t="inlineStr">
        <is>
          <t>Marathwada Auto Compo Pvt. Ltd.</t>
        </is>
      </c>
      <c r="C779" t="inlineStr">
        <is>
          <t>NOS</t>
        </is>
      </c>
      <c r="D779" t="n">
        <v>500</v>
      </c>
      <c r="E779" t="n">
        <v>503.507</v>
      </c>
      <c r="F779" t="n">
        <v>274.417</v>
      </c>
      <c r="G779" t="n">
        <v>4100796</v>
      </c>
      <c r="H779" t="inlineStr">
        <is>
          <t>CUT-R-AW-AUT-19.00X19.00X1.000X1.0070</t>
        </is>
      </c>
    </row>
    <row r="780">
      <c r="A780" t="inlineStr">
        <is>
          <t>0000189002</t>
        </is>
      </c>
      <c r="B780" t="inlineStr">
        <is>
          <t>Marathwada Auto Compo Pvt. Ltd.</t>
        </is>
      </c>
      <c r="C780" t="inlineStr">
        <is>
          <t>NOS</t>
        </is>
      </c>
      <c r="D780" t="n">
        <v>1000</v>
      </c>
      <c r="E780" t="n">
        <v>539.997</v>
      </c>
      <c r="F780" t="n">
        <v>294.244</v>
      </c>
      <c r="G780" t="n">
        <v>3571870</v>
      </c>
      <c r="H780" t="inlineStr">
        <is>
          <t>TUB-S-AW-AUT-19.00X19.00X1.000X0.5400</t>
        </is>
      </c>
    </row>
    <row r="781">
      <c r="A781" t="inlineStr">
        <is>
          <t>0000189002</t>
        </is>
      </c>
      <c r="B781" t="inlineStr">
        <is>
          <t>Marathwada Auto Compo Pvt. Ltd.</t>
        </is>
      </c>
      <c r="C781" t="inlineStr">
        <is>
          <t>NOS</t>
        </is>
      </c>
      <c r="D781" t="n">
        <v>1000</v>
      </c>
      <c r="E781" t="n">
        <v>469.994</v>
      </c>
      <c r="F781" t="n">
        <v>256.1</v>
      </c>
      <c r="G781" t="n">
        <v>3230488</v>
      </c>
      <c r="H781" t="inlineStr">
        <is>
          <t>TUB-S-AW-AUT-19.00X19.00X1.000X0.4700</t>
        </is>
      </c>
    </row>
    <row r="782">
      <c r="A782" t="inlineStr">
        <is>
          <t>0000189002</t>
        </is>
      </c>
      <c r="B782" t="inlineStr">
        <is>
          <t>Marathwada Auto Compo Pvt. Ltd.</t>
        </is>
      </c>
      <c r="C782" t="inlineStr">
        <is>
          <t>NOS</t>
        </is>
      </c>
      <c r="D782" t="n">
        <v>2693</v>
      </c>
      <c r="E782" t="n">
        <v>1075.837</v>
      </c>
      <c r="F782" t="n">
        <v>595.153</v>
      </c>
      <c r="G782" t="n">
        <v>3230487</v>
      </c>
      <c r="H782" t="inlineStr">
        <is>
          <t>TUB-S-AW-AUT-19.00X19.00X1.000X0.4000</t>
        </is>
      </c>
    </row>
    <row r="783">
      <c r="A783" t="inlineStr">
        <is>
          <t>0000189002</t>
        </is>
      </c>
      <c r="B783" t="inlineStr">
        <is>
          <t>Marathwada Auto Compo Pvt. Ltd.</t>
        </is>
      </c>
      <c r="C783" t="inlineStr">
        <is>
          <t>NOS</t>
        </is>
      </c>
      <c r="D783" t="n">
        <v>162</v>
      </c>
      <c r="E783" t="n">
        <v>64.718</v>
      </c>
      <c r="F783" t="n">
        <v>35.802</v>
      </c>
      <c r="G783" t="n">
        <v>3230487</v>
      </c>
      <c r="H783" t="inlineStr">
        <is>
          <t>TUB-S-AW-AUT-19.00X19.00X1.000X0.4000</t>
        </is>
      </c>
    </row>
    <row r="784">
      <c r="A784" t="inlineStr">
        <is>
          <t>0000189002</t>
        </is>
      </c>
      <c r="B784" t="inlineStr">
        <is>
          <t>Marathwada Auto Compo Pvt. Ltd.</t>
        </is>
      </c>
      <c r="C784" t="inlineStr">
        <is>
          <t>NOS</t>
        </is>
      </c>
      <c r="D784" t="n">
        <v>140</v>
      </c>
      <c r="E784" t="n">
        <v>55.929</v>
      </c>
      <c r="F784" t="n">
        <v>30.94</v>
      </c>
      <c r="G784" t="n">
        <v>3230487</v>
      </c>
      <c r="H784" t="inlineStr">
        <is>
          <t>TUB-S-AW-AUT-19.00X19.00X1.000X0.4000</t>
        </is>
      </c>
    </row>
    <row r="785">
      <c r="A785" t="inlineStr">
        <is>
          <t>0000189002</t>
        </is>
      </c>
      <c r="B785" t="inlineStr">
        <is>
          <t>Marathwada Auto Compo Pvt. Ltd.</t>
        </is>
      </c>
      <c r="C785" t="inlineStr">
        <is>
          <t>NOS</t>
        </is>
      </c>
      <c r="D785" t="n">
        <v>5</v>
      </c>
      <c r="E785" t="n">
        <v>1.997</v>
      </c>
      <c r="F785" t="n">
        <v>1.105</v>
      </c>
      <c r="G785" t="n">
        <v>3230487</v>
      </c>
      <c r="H785" t="inlineStr">
        <is>
          <t>TUB-S-AW-AUT-19.00X19.00X1.000X0.4000</t>
        </is>
      </c>
    </row>
    <row r="786">
      <c r="A786" t="inlineStr">
        <is>
          <t>0000189002</t>
        </is>
      </c>
      <c r="B786" t="inlineStr">
        <is>
          <t>Marathwada Auto Compo Pvt. Ltd.</t>
        </is>
      </c>
      <c r="C786" t="inlineStr">
        <is>
          <t>NOS</t>
        </is>
      </c>
      <c r="D786" t="n">
        <v>588</v>
      </c>
      <c r="E786" t="n">
        <v>209.393</v>
      </c>
      <c r="F786" t="n">
        <v>115.836</v>
      </c>
      <c r="G786" t="n">
        <v>3230490</v>
      </c>
      <c r="H786" t="inlineStr">
        <is>
          <t>TUB-S-AW-AUT-19.00X19.00X1.000X0.3550</t>
        </is>
      </c>
    </row>
    <row r="787">
      <c r="A787" t="inlineStr">
        <is>
          <t>0000189002</t>
        </is>
      </c>
      <c r="B787" t="inlineStr">
        <is>
          <t>Marathwada Auto Compo Pvt. Ltd.</t>
        </is>
      </c>
      <c r="C787" t="inlineStr">
        <is>
          <t>NOS</t>
        </is>
      </c>
      <c r="D787" t="n">
        <v>412</v>
      </c>
      <c r="E787" t="n">
        <v>146.717</v>
      </c>
      <c r="F787" t="n">
        <v>81.164</v>
      </c>
      <c r="G787" t="n">
        <v>3230490</v>
      </c>
      <c r="H787" t="inlineStr">
        <is>
          <t>TUB-S-AW-AUT-19.00X19.00X1.000X0.3550</t>
        </is>
      </c>
    </row>
    <row r="788">
      <c r="A788" t="inlineStr">
        <is>
          <t>0000189002</t>
        </is>
      </c>
      <c r="B788" t="inlineStr">
        <is>
          <t>Marathwada Auto Compo Pvt. Ltd.</t>
        </is>
      </c>
      <c r="C788" t="inlineStr">
        <is>
          <t>NOS</t>
        </is>
      </c>
      <c r="D788" t="n">
        <v>500</v>
      </c>
      <c r="E788" t="n">
        <v>649.006</v>
      </c>
      <c r="F788" t="n">
        <v>563.15</v>
      </c>
      <c r="G788" t="n">
        <v>3935311</v>
      </c>
      <c r="H788" t="inlineStr">
        <is>
          <t>CUT-S-AW-AUT-25.00X25.00X1.200X1.2980</t>
        </is>
      </c>
    </row>
    <row r="789">
      <c r="A789" t="inlineStr">
        <is>
          <t>0000189002</t>
        </is>
      </c>
      <c r="B789" t="inlineStr">
        <is>
          <t>Marathwada Auto Compo Pvt. Ltd.</t>
        </is>
      </c>
      <c r="C789" t="inlineStr">
        <is>
          <t>NOS</t>
        </is>
      </c>
      <c r="D789" t="n">
        <v>1000</v>
      </c>
      <c r="E789" t="n">
        <v>787.175</v>
      </c>
      <c r="F789" t="n">
        <v>712</v>
      </c>
      <c r="G789" t="n">
        <v>3230482</v>
      </c>
      <c r="H789" t="inlineStr">
        <is>
          <t>TUB-S-AW-AUT-25.00X25.00X1.200X0.7870</t>
        </is>
      </c>
    </row>
    <row r="790">
      <c r="A790" t="inlineStr">
        <is>
          <t>0000189002</t>
        </is>
      </c>
      <c r="B790" t="inlineStr">
        <is>
          <t>Marathwada Auto Compo Pvt. Ltd.</t>
        </is>
      </c>
      <c r="C790" t="inlineStr">
        <is>
          <t>NOS</t>
        </is>
      </c>
      <c r="D790" t="n">
        <v>500</v>
      </c>
      <c r="E790" t="n">
        <v>615.004</v>
      </c>
      <c r="F790" t="n">
        <v>324.872</v>
      </c>
      <c r="G790" t="n">
        <v>3929692</v>
      </c>
      <c r="H790" t="inlineStr">
        <is>
          <t>CUT-O-N-AUT-AW-PE-19.05X1.200X1.2300</t>
        </is>
      </c>
    </row>
    <row r="791">
      <c r="A791" t="inlineStr">
        <is>
          <t>0000189002</t>
        </is>
      </c>
      <c r="B791" t="inlineStr">
        <is>
          <t>Marathwada Auto Compo Pvt. Ltd.</t>
        </is>
      </c>
      <c r="C791" t="inlineStr">
        <is>
          <t>NOS</t>
        </is>
      </c>
      <c r="D791" t="n">
        <v>1000</v>
      </c>
      <c r="E791" t="n">
        <v>682.0069999999999</v>
      </c>
      <c r="F791" t="n">
        <v>360.267</v>
      </c>
      <c r="G791" t="n">
        <v>3929540</v>
      </c>
      <c r="H791" t="inlineStr">
        <is>
          <t>CUT-O-N-AUT-AW-PE-19.05X1.200X0.6820</t>
        </is>
      </c>
    </row>
    <row r="792">
      <c r="A792" t="inlineStr">
        <is>
          <t>0000189002</t>
        </is>
      </c>
      <c r="B792" t="inlineStr">
        <is>
          <t>Marathwada Auto Compo Pvt. Ltd.</t>
        </is>
      </c>
      <c r="C792" t="inlineStr">
        <is>
          <t>NOS</t>
        </is>
      </c>
      <c r="D792" t="n">
        <v>2000</v>
      </c>
      <c r="E792" t="n">
        <v>399.983</v>
      </c>
      <c r="F792" t="n">
        <v>211.289</v>
      </c>
      <c r="G792" t="n">
        <v>3929691</v>
      </c>
      <c r="H792" t="inlineStr">
        <is>
          <t>CUT-O-N-AUT-AW-PE-19.05X1.200X0.2000</t>
        </is>
      </c>
    </row>
    <row r="793">
      <c r="A793" t="inlineStr">
        <is>
          <t>0000189002</t>
        </is>
      </c>
      <c r="B793" t="inlineStr">
        <is>
          <t>Marathwada Auto Compo Pvt. Ltd.</t>
        </is>
      </c>
      <c r="C793" t="inlineStr">
        <is>
          <t>NOS</t>
        </is>
      </c>
      <c r="D793" t="n">
        <v>1000</v>
      </c>
      <c r="E793" t="n">
        <v>220.615</v>
      </c>
      <c r="F793" t="n">
        <v>241</v>
      </c>
      <c r="G793" t="n">
        <v>3230495</v>
      </c>
      <c r="H793" t="inlineStr">
        <is>
          <t>TUB-S-AW-AUT-30.00X30.00X1.200X0.2200</t>
        </is>
      </c>
    </row>
    <row r="794">
      <c r="A794" t="inlineStr">
        <is>
          <t>0000189002</t>
        </is>
      </c>
      <c r="B794" t="inlineStr">
        <is>
          <t>Marathwada Auto Compo Pvt. Ltd.</t>
        </is>
      </c>
      <c r="C794" t="inlineStr">
        <is>
          <t>NOS</t>
        </is>
      </c>
      <c r="D794" t="n">
        <v>348</v>
      </c>
      <c r="E794" t="n">
        <v>114.836</v>
      </c>
      <c r="F794" t="n">
        <v>60.68</v>
      </c>
      <c r="G794" t="n">
        <v>3935313</v>
      </c>
      <c r="H794" t="inlineStr">
        <is>
          <t>CUT-O-N-AUT-AW-PE-19.05X1.200X0.33</t>
        </is>
      </c>
    </row>
    <row r="795">
      <c r="A795" t="inlineStr">
        <is>
          <t>0000189002</t>
        </is>
      </c>
      <c r="B795" t="inlineStr">
        <is>
          <t>Marathwada Auto Compo Pvt. Ltd.</t>
        </is>
      </c>
      <c r="C795" t="inlineStr">
        <is>
          <t>NOS</t>
        </is>
      </c>
      <c r="D795" t="n">
        <v>100</v>
      </c>
      <c r="E795" t="n">
        <v>32.999</v>
      </c>
      <c r="F795" t="n">
        <v>17.437</v>
      </c>
      <c r="G795" t="n">
        <v>3935313</v>
      </c>
      <c r="H795" t="inlineStr">
        <is>
          <t>CUT-O-N-AUT-AW-PE-19.05X1.200X0.33</t>
        </is>
      </c>
    </row>
    <row r="796">
      <c r="A796" t="inlineStr">
        <is>
          <t>0000189002</t>
        </is>
      </c>
      <c r="B796" t="inlineStr">
        <is>
          <t>Marathwada Auto Compo Pvt. Ltd.</t>
        </is>
      </c>
      <c r="C796" t="inlineStr">
        <is>
          <t>NOS</t>
        </is>
      </c>
      <c r="D796" t="n">
        <v>52</v>
      </c>
      <c r="E796" t="n">
        <v>17.159</v>
      </c>
      <c r="F796" t="n">
        <v>9.067</v>
      </c>
      <c r="G796" t="n">
        <v>3935313</v>
      </c>
      <c r="H796" t="inlineStr">
        <is>
          <t>CUT-O-N-AUT-AW-PE-19.05X1.200X0.33</t>
        </is>
      </c>
    </row>
    <row r="797">
      <c r="A797" t="inlineStr">
        <is>
          <t>0000184192</t>
        </is>
      </c>
      <c r="B797" t="inlineStr">
        <is>
          <t>JBM AUTO LIMITED</t>
        </is>
      </c>
      <c r="C797" t="inlineStr">
        <is>
          <t>NOS</t>
        </is>
      </c>
      <c r="D797" t="n">
        <v>6224</v>
      </c>
      <c r="E797" t="n">
        <v>1030.36</v>
      </c>
      <c r="F797" t="n">
        <v>1026.96</v>
      </c>
      <c r="G797" t="n">
        <v>3614496</v>
      </c>
      <c r="H797" t="inlineStr">
        <is>
          <t>TUB-O-N-AUT-AW-PE-22.20X2.000X0.1660</t>
        </is>
      </c>
    </row>
    <row r="798">
      <c r="A798" t="inlineStr">
        <is>
          <t>0000184192</t>
        </is>
      </c>
      <c r="B798" t="inlineStr">
        <is>
          <t>JBM AUTO LIMITED</t>
        </is>
      </c>
      <c r="C798" t="inlineStr">
        <is>
          <t>NOS</t>
        </is>
      </c>
      <c r="D798" t="n">
        <v>170</v>
      </c>
      <c r="E798" t="n">
        <v>28.143</v>
      </c>
      <c r="F798" t="n">
        <v>28.05</v>
      </c>
      <c r="G798" t="n">
        <v>3614496</v>
      </c>
      <c r="H798" t="inlineStr">
        <is>
          <t>TUB-O-N-AUT-AW-PE-22.20X2.000X0.1660</t>
        </is>
      </c>
    </row>
    <row r="799">
      <c r="A799" t="inlineStr">
        <is>
          <t>0000184192</t>
        </is>
      </c>
      <c r="B799" t="inlineStr">
        <is>
          <t>JBM AUTO LIMITED</t>
        </is>
      </c>
      <c r="C799" t="inlineStr">
        <is>
          <t>NOS</t>
        </is>
      </c>
      <c r="D799" t="n">
        <v>743</v>
      </c>
      <c r="E799" t="n">
        <v>123.001</v>
      </c>
      <c r="F799" t="n">
        <v>122.595</v>
      </c>
      <c r="G799" t="n">
        <v>3614496</v>
      </c>
      <c r="H799" t="inlineStr">
        <is>
          <t>TUB-O-N-AUT-AW-PE-22.20X2.000X0.1660</t>
        </is>
      </c>
    </row>
    <row r="800">
      <c r="A800" t="inlineStr">
        <is>
          <t>0000184192</t>
        </is>
      </c>
      <c r="B800" t="inlineStr">
        <is>
          <t>JBM AUTO LIMITED</t>
        </is>
      </c>
      <c r="C800" t="inlineStr">
        <is>
          <t>NOS</t>
        </is>
      </c>
      <c r="D800" t="n">
        <v>36</v>
      </c>
      <c r="E800" t="n">
        <v>5.96</v>
      </c>
      <c r="F800" t="n">
        <v>5.94</v>
      </c>
      <c r="G800" t="n">
        <v>3614496</v>
      </c>
      <c r="H800" t="inlineStr">
        <is>
          <t>TUB-O-N-AUT-AW-PE-22.20X2.000X0.1660</t>
        </is>
      </c>
    </row>
    <row r="801">
      <c r="A801" t="inlineStr">
        <is>
          <t>0000184192</t>
        </is>
      </c>
      <c r="B801" t="inlineStr">
        <is>
          <t>JBM AUTO LIMITED</t>
        </is>
      </c>
      <c r="C801" t="inlineStr">
        <is>
          <t>NOS</t>
        </is>
      </c>
      <c r="D801" t="n">
        <v>27</v>
      </c>
      <c r="E801" t="n">
        <v>4.47</v>
      </c>
      <c r="F801" t="n">
        <v>4.455</v>
      </c>
      <c r="G801" t="n">
        <v>3614496</v>
      </c>
      <c r="H801" t="inlineStr">
        <is>
          <t>TUB-O-N-AUT-AW-PE-22.20X2.000X0.1660</t>
        </is>
      </c>
    </row>
    <row r="802">
      <c r="A802" t="inlineStr">
        <is>
          <t>0000184192</t>
        </is>
      </c>
      <c r="B802" t="inlineStr">
        <is>
          <t>JBM AUTO LIMITED</t>
        </is>
      </c>
      <c r="C802" t="inlineStr">
        <is>
          <t>NOS</t>
        </is>
      </c>
      <c r="D802" t="n">
        <v>1642</v>
      </c>
      <c r="E802" t="n">
        <v>224.051</v>
      </c>
      <c r="F802" t="n">
        <v>223.312</v>
      </c>
      <c r="G802" t="n">
        <v>3614494</v>
      </c>
      <c r="H802" t="inlineStr">
        <is>
          <t>TUB-O-N-AUT-AW-PE-22.20X2.000X0.1360</t>
        </is>
      </c>
    </row>
    <row r="803">
      <c r="A803" t="inlineStr">
        <is>
          <t>0000184192</t>
        </is>
      </c>
      <c r="B803" t="inlineStr">
        <is>
          <t>JBM AUTO LIMITED</t>
        </is>
      </c>
      <c r="C803" t="inlineStr">
        <is>
          <t>NOS</t>
        </is>
      </c>
      <c r="D803" t="n">
        <v>2941</v>
      </c>
      <c r="E803" t="n">
        <v>401.3</v>
      </c>
      <c r="F803" t="n">
        <v>399.976</v>
      </c>
      <c r="G803" t="n">
        <v>3614494</v>
      </c>
      <c r="H803" t="inlineStr">
        <is>
          <t>TUB-O-N-AUT-AW-PE-22.20X2.000X0.1360</t>
        </is>
      </c>
    </row>
    <row r="804">
      <c r="A804" t="inlineStr">
        <is>
          <t>0000184192</t>
        </is>
      </c>
      <c r="B804" t="inlineStr">
        <is>
          <t>JBM AUTO LIMITED</t>
        </is>
      </c>
      <c r="C804" t="inlineStr">
        <is>
          <t>NOS</t>
        </is>
      </c>
      <c r="D804" t="n">
        <v>2617</v>
      </c>
      <c r="E804" t="n">
        <v>357.09</v>
      </c>
      <c r="F804" t="n">
        <v>355.912</v>
      </c>
      <c r="G804" t="n">
        <v>3614494</v>
      </c>
      <c r="H804" t="inlineStr">
        <is>
          <t>TUB-O-N-AUT-AW-PE-22.20X2.000X0.1360</t>
        </is>
      </c>
    </row>
    <row r="805">
      <c r="A805" t="inlineStr">
        <is>
          <t>0000940921</t>
        </is>
      </c>
      <c r="B805" t="inlineStr">
        <is>
          <t>ELKAYEM AUTO ANCILLARIES PVT LTD -U</t>
        </is>
      </c>
      <c r="C805" t="inlineStr">
        <is>
          <t>M</t>
        </is>
      </c>
      <c r="D805" t="n">
        <v>707</v>
      </c>
      <c r="E805" t="n">
        <v>4242</v>
      </c>
      <c r="F805" t="n">
        <v>2391.215</v>
      </c>
      <c r="G805" t="n">
        <v>1940078</v>
      </c>
      <c r="H805" t="inlineStr">
        <is>
          <t>TUB-O-O-GEN-AW-PE-15.88X1.600X6.0000</t>
        </is>
      </c>
    </row>
    <row r="806">
      <c r="A806" t="inlineStr">
        <is>
          <t>0000940921</t>
        </is>
      </c>
      <c r="B806" t="inlineStr">
        <is>
          <t>ELKAYEM AUTO ANCILLARIES PVT LTD -U</t>
        </is>
      </c>
      <c r="C806" t="inlineStr">
        <is>
          <t>M</t>
        </is>
      </c>
      <c r="D806" t="n">
        <v>1</v>
      </c>
      <c r="E806" t="n">
        <v>6</v>
      </c>
      <c r="F806" t="n">
        <v>3.382</v>
      </c>
      <c r="G806" t="n">
        <v>1940078</v>
      </c>
      <c r="H806" t="inlineStr">
        <is>
          <t>TUB-O-O-GEN-AW-PE-15.88X1.600X6.0000</t>
        </is>
      </c>
    </row>
    <row r="807">
      <c r="A807" t="inlineStr">
        <is>
          <t>0000952265</t>
        </is>
      </c>
      <c r="B807" t="inlineStr">
        <is>
          <t>A R AUTOMOTIVE INDUSTRIES PRIVATE L</t>
        </is>
      </c>
      <c r="C807" t="inlineStr">
        <is>
          <t>NOS</t>
        </is>
      </c>
      <c r="D807" t="n">
        <v>5000</v>
      </c>
      <c r="E807" t="n">
        <v>2929.956</v>
      </c>
      <c r="F807" t="n">
        <v>1920</v>
      </c>
      <c r="G807" t="n">
        <v>3696704</v>
      </c>
      <c r="H807" t="inlineStr">
        <is>
          <t>TUB-O-N-AUT-AW-PE-15.88X2.000X0.5850</t>
        </is>
      </c>
    </row>
    <row r="808">
      <c r="A808" t="inlineStr">
        <is>
          <t>0000952265</t>
        </is>
      </c>
      <c r="B808" t="inlineStr">
        <is>
          <t>A R AUTOMOTIVE INDUSTRIES PRIVATE L</t>
        </is>
      </c>
      <c r="C808" t="inlineStr">
        <is>
          <t>NOS</t>
        </is>
      </c>
      <c r="D808" t="n">
        <v>7709</v>
      </c>
      <c r="E808" t="n">
        <v>3811.561</v>
      </c>
      <c r="F808" t="n">
        <v>2497.716</v>
      </c>
      <c r="G808" t="n">
        <v>3436935</v>
      </c>
      <c r="H808" t="inlineStr">
        <is>
          <t>TUB-O-N-AUT-AW-PE-15.88X2.000X0.4930</t>
        </is>
      </c>
    </row>
    <row r="809">
      <c r="A809" t="inlineStr">
        <is>
          <t>0000952265</t>
        </is>
      </c>
      <c r="B809" t="inlineStr">
        <is>
          <t>A R AUTOMOTIVE INDUSTRIES PRIVATE L</t>
        </is>
      </c>
      <c r="C809" t="inlineStr">
        <is>
          <t>NOS</t>
        </is>
      </c>
      <c r="D809" t="n">
        <v>4580</v>
      </c>
      <c r="E809" t="n">
        <v>2264.49</v>
      </c>
      <c r="F809" t="n">
        <v>1483.92</v>
      </c>
      <c r="G809" t="n">
        <v>3436935</v>
      </c>
      <c r="H809" t="inlineStr">
        <is>
          <t>TUB-O-N-AUT-AW-PE-15.88X2.000X0.4930</t>
        </is>
      </c>
    </row>
    <row r="810">
      <c r="A810" t="inlineStr">
        <is>
          <t>0000952265</t>
        </is>
      </c>
      <c r="B810" t="inlineStr">
        <is>
          <t>A R AUTOMOTIVE INDUSTRIES PRIVATE L</t>
        </is>
      </c>
      <c r="C810" t="inlineStr">
        <is>
          <t>NOS</t>
        </is>
      </c>
      <c r="D810" t="n">
        <v>3211</v>
      </c>
      <c r="E810" t="n">
        <v>1587.615</v>
      </c>
      <c r="F810" t="n">
        <v>1040.364</v>
      </c>
      <c r="G810" t="n">
        <v>3436935</v>
      </c>
      <c r="H810" t="inlineStr">
        <is>
          <t>TUB-O-N-AUT-AW-PE-15.88X2.000X0.4930</t>
        </is>
      </c>
    </row>
    <row r="811">
      <c r="A811" t="inlineStr">
        <is>
          <t>0000952265</t>
        </is>
      </c>
      <c r="B811" t="inlineStr">
        <is>
          <t>A R AUTOMOTIVE INDUSTRIES PRIVATE L</t>
        </is>
      </c>
      <c r="C811" t="inlineStr">
        <is>
          <t>NOS</t>
        </is>
      </c>
      <c r="D811" t="n">
        <v>3689</v>
      </c>
      <c r="E811" t="n">
        <v>1902.765</v>
      </c>
      <c r="F811" t="n">
        <v>1246.882</v>
      </c>
      <c r="G811" t="n">
        <v>1940099</v>
      </c>
      <c r="H811" t="inlineStr">
        <is>
          <t>TUB-O-O-AUT-AW-PE-15.88X2.000X0.5150</t>
        </is>
      </c>
    </row>
    <row r="812">
      <c r="A812" t="inlineStr">
        <is>
          <t>0000952265</t>
        </is>
      </c>
      <c r="B812" t="inlineStr">
        <is>
          <t>A R AUTOMOTIVE INDUSTRIES PRIVATE L</t>
        </is>
      </c>
      <c r="C812" t="inlineStr">
        <is>
          <t>NOS</t>
        </is>
      </c>
      <c r="D812" t="n">
        <v>2561</v>
      </c>
      <c r="E812" t="n">
        <v>1320.949</v>
      </c>
      <c r="F812" t="n">
        <v>865.6180000000001</v>
      </c>
      <c r="G812" t="n">
        <v>1940099</v>
      </c>
      <c r="H812" t="inlineStr">
        <is>
          <t>TUB-O-O-AUT-AW-PE-15.88X2.000X0.5150</t>
        </is>
      </c>
    </row>
    <row r="813">
      <c r="A813" t="inlineStr">
        <is>
          <t>0000952265</t>
        </is>
      </c>
      <c r="B813" t="inlineStr">
        <is>
          <t>A R AUTOMOTIVE INDUSTRIES PRIVATE L</t>
        </is>
      </c>
      <c r="C813" t="inlineStr">
        <is>
          <t>NOS</t>
        </is>
      </c>
      <c r="D813" t="n">
        <v>2323</v>
      </c>
      <c r="E813" t="n">
        <v>1162.741</v>
      </c>
      <c r="F813" t="n">
        <v>761.944</v>
      </c>
      <c r="G813" t="n">
        <v>3442448</v>
      </c>
      <c r="H813" t="inlineStr">
        <is>
          <t>TUB-O-N-AUT-AW-PE-15.88X2.000X0.5000</t>
        </is>
      </c>
    </row>
    <row r="814">
      <c r="A814" t="inlineStr">
        <is>
          <t>0000952265</t>
        </is>
      </c>
      <c r="B814" t="inlineStr">
        <is>
          <t>A R AUTOMOTIVE INDUSTRIES PRIVATE L</t>
        </is>
      </c>
      <c r="C814" t="inlineStr">
        <is>
          <t>NOS</t>
        </is>
      </c>
      <c r="D814" t="n">
        <v>1077</v>
      </c>
      <c r="E814" t="n">
        <v>539.075</v>
      </c>
      <c r="F814" t="n">
        <v>353.256</v>
      </c>
      <c r="G814" t="n">
        <v>3442448</v>
      </c>
      <c r="H814" t="inlineStr">
        <is>
          <t>TUB-O-N-AUT-AW-PE-15.88X2.000X0.5000</t>
        </is>
      </c>
    </row>
    <row r="815">
      <c r="A815" t="inlineStr">
        <is>
          <t>0000189270</t>
        </is>
      </c>
      <c r="B815" t="inlineStr">
        <is>
          <t>Indo Autotech Limited (Unit V)</t>
        </is>
      </c>
      <c r="C815" t="inlineStr">
        <is>
          <t>NOS</t>
        </is>
      </c>
      <c r="D815" t="n">
        <v>7647</v>
      </c>
      <c r="E815" t="n">
        <v>2944.142</v>
      </c>
      <c r="F815" t="n">
        <v>1957.887</v>
      </c>
      <c r="G815" t="n">
        <v>4018307</v>
      </c>
      <c r="H815" t="inlineStr">
        <is>
          <t>CUT-O-N-AUT-AW-PE-19.05X1.600X0.3850</t>
        </is>
      </c>
    </row>
    <row r="816">
      <c r="A816" t="inlineStr">
        <is>
          <t>0000189270</t>
        </is>
      </c>
      <c r="B816" t="inlineStr">
        <is>
          <t>Indo Autotech Limited (Unit V)</t>
        </is>
      </c>
      <c r="C816" t="inlineStr">
        <is>
          <t>NOS</t>
        </is>
      </c>
      <c r="D816" t="n">
        <v>1035</v>
      </c>
      <c r="E816" t="n">
        <v>398.481</v>
      </c>
      <c r="F816" t="n">
        <v>264.995</v>
      </c>
      <c r="G816" t="n">
        <v>4018307</v>
      </c>
      <c r="H816" t="inlineStr">
        <is>
          <t>CUT-O-N-AUT-AW-PE-19.05X1.600X0.3850</t>
        </is>
      </c>
    </row>
    <row r="817">
      <c r="A817" t="inlineStr">
        <is>
          <t>0000189270</t>
        </is>
      </c>
      <c r="B817" t="inlineStr">
        <is>
          <t>Indo Autotech Limited (Unit V)</t>
        </is>
      </c>
      <c r="C817" t="inlineStr">
        <is>
          <t>NOS</t>
        </is>
      </c>
      <c r="D817" t="n">
        <v>984</v>
      </c>
      <c r="E817" t="n">
        <v>378.846</v>
      </c>
      <c r="F817" t="n">
        <v>251.937</v>
      </c>
      <c r="G817" t="n">
        <v>4018307</v>
      </c>
      <c r="H817" t="inlineStr">
        <is>
          <t>CUT-O-N-AUT-AW-PE-19.05X1.600X0.3850</t>
        </is>
      </c>
    </row>
    <row r="818">
      <c r="A818" t="inlineStr">
        <is>
          <t>0000189270</t>
        </is>
      </c>
      <c r="B818" t="inlineStr">
        <is>
          <t>Indo Autotech Limited (Unit V)</t>
        </is>
      </c>
      <c r="C818" t="inlineStr">
        <is>
          <t>NOS</t>
        </is>
      </c>
      <c r="D818" t="n">
        <v>28</v>
      </c>
      <c r="E818" t="n">
        <v>10.78</v>
      </c>
      <c r="F818" t="n">
        <v>7.169</v>
      </c>
      <c r="G818" t="n">
        <v>4018307</v>
      </c>
      <c r="H818" t="inlineStr">
        <is>
          <t>CUT-O-N-AUT-AW-PE-19.05X1.600X0.3850</t>
        </is>
      </c>
    </row>
    <row r="819">
      <c r="A819" t="inlineStr">
        <is>
          <t>0000189270</t>
        </is>
      </c>
      <c r="B819" t="inlineStr">
        <is>
          <t>Indo Autotech Limited (Unit V)</t>
        </is>
      </c>
      <c r="C819" t="inlineStr">
        <is>
          <t>NOS</t>
        </is>
      </c>
      <c r="D819" t="n">
        <v>6</v>
      </c>
      <c r="E819" t="n">
        <v>2.31</v>
      </c>
      <c r="F819" t="n">
        <v>1.536</v>
      </c>
      <c r="G819" t="n">
        <v>4018307</v>
      </c>
      <c r="H819" t="inlineStr">
        <is>
          <t>CUT-O-N-AUT-AW-PE-19.05X1.600X0.3850</t>
        </is>
      </c>
    </row>
    <row r="820">
      <c r="A820" t="inlineStr">
        <is>
          <t>0000189270</t>
        </is>
      </c>
      <c r="B820" t="inlineStr">
        <is>
          <t>Indo Autotech Limited (Unit V)</t>
        </is>
      </c>
      <c r="C820" t="inlineStr">
        <is>
          <t>NOS</t>
        </is>
      </c>
      <c r="D820" t="n">
        <v>1342</v>
      </c>
      <c r="E820" t="n">
        <v>1019.172</v>
      </c>
      <c r="F820" t="n">
        <v>1017.236</v>
      </c>
      <c r="G820" t="n">
        <v>2244444</v>
      </c>
      <c r="H820" t="inlineStr">
        <is>
          <t>TUB-O-N-AUT-AW-PE-22.23X2.000X0.7600</t>
        </is>
      </c>
    </row>
    <row r="821">
      <c r="A821" t="inlineStr">
        <is>
          <t>0000189270</t>
        </is>
      </c>
      <c r="B821" t="inlineStr">
        <is>
          <t>Indo Autotech Limited (Unit V)</t>
        </is>
      </c>
      <c r="C821" t="inlineStr">
        <is>
          <t>NOS</t>
        </is>
      </c>
      <c r="D821" t="n">
        <v>901</v>
      </c>
      <c r="E821" t="n">
        <v>684.258</v>
      </c>
      <c r="F821" t="n">
        <v>682.958</v>
      </c>
      <c r="G821" t="n">
        <v>2244444</v>
      </c>
      <c r="H821" t="inlineStr">
        <is>
          <t>TUB-O-N-AUT-AW-PE-22.23X2.000X0.7600</t>
        </is>
      </c>
    </row>
    <row r="822">
      <c r="A822" t="inlineStr">
        <is>
          <t>0000189270</t>
        </is>
      </c>
      <c r="B822" t="inlineStr">
        <is>
          <t>Indo Autotech Limited (Unit V)</t>
        </is>
      </c>
      <c r="C822" t="inlineStr">
        <is>
          <t>NOS</t>
        </is>
      </c>
      <c r="D822" t="n">
        <v>890</v>
      </c>
      <c r="E822" t="n">
        <v>675.904</v>
      </c>
      <c r="F822" t="n">
        <v>674.62</v>
      </c>
      <c r="G822" t="n">
        <v>2244444</v>
      </c>
      <c r="H822" t="inlineStr">
        <is>
          <t>TUB-O-N-AUT-AW-PE-22.23X2.000X0.7600</t>
        </is>
      </c>
    </row>
    <row r="823">
      <c r="A823" t="inlineStr">
        <is>
          <t>0000189270</t>
        </is>
      </c>
      <c r="B823" t="inlineStr">
        <is>
          <t>Indo Autotech Limited (Unit V)</t>
        </is>
      </c>
      <c r="C823" t="inlineStr">
        <is>
          <t>NOS</t>
        </is>
      </c>
      <c r="D823" t="n">
        <v>660</v>
      </c>
      <c r="E823" t="n">
        <v>501.232</v>
      </c>
      <c r="F823" t="n">
        <v>500.28</v>
      </c>
      <c r="G823" t="n">
        <v>2244444</v>
      </c>
      <c r="H823" t="inlineStr">
        <is>
          <t>TUB-O-N-AUT-AW-PE-22.23X2.000X0.7600</t>
        </is>
      </c>
    </row>
    <row r="824">
      <c r="A824" t="inlineStr">
        <is>
          <t>0000189270</t>
        </is>
      </c>
      <c r="B824" t="inlineStr">
        <is>
          <t>Indo Autotech Limited (Unit V)</t>
        </is>
      </c>
      <c r="C824" t="inlineStr">
        <is>
          <t>NOS</t>
        </is>
      </c>
      <c r="D824" t="n">
        <v>649</v>
      </c>
      <c r="E824" t="n">
        <v>492.878</v>
      </c>
      <c r="F824" t="n">
        <v>491.942</v>
      </c>
      <c r="G824" t="n">
        <v>2244444</v>
      </c>
      <c r="H824" t="inlineStr">
        <is>
          <t>TUB-O-N-AUT-AW-PE-22.23X2.000X0.7600</t>
        </is>
      </c>
    </row>
    <row r="825">
      <c r="A825" t="inlineStr">
        <is>
          <t>0000189270</t>
        </is>
      </c>
      <c r="B825" t="inlineStr">
        <is>
          <t>Indo Autotech Limited (Unit V)</t>
        </is>
      </c>
      <c r="C825" t="inlineStr">
        <is>
          <t>NOS</t>
        </is>
      </c>
      <c r="D825" t="n">
        <v>404</v>
      </c>
      <c r="E825" t="n">
        <v>306.815</v>
      </c>
      <c r="F825" t="n">
        <v>306.232</v>
      </c>
      <c r="G825" t="n">
        <v>2244444</v>
      </c>
      <c r="H825" t="inlineStr">
        <is>
          <t>TUB-O-N-AUT-AW-PE-22.23X2.000X0.7600</t>
        </is>
      </c>
    </row>
    <row r="826">
      <c r="A826" t="inlineStr">
        <is>
          <t>0000189270</t>
        </is>
      </c>
      <c r="B826" t="inlineStr">
        <is>
          <t>Indo Autotech Limited (Unit V)</t>
        </is>
      </c>
      <c r="C826" t="inlineStr">
        <is>
          <t>NOS</t>
        </is>
      </c>
      <c r="D826" t="n">
        <v>399</v>
      </c>
      <c r="E826" t="n">
        <v>303.018</v>
      </c>
      <c r="F826" t="n">
        <v>302.442</v>
      </c>
      <c r="G826" t="n">
        <v>2244444</v>
      </c>
      <c r="H826" t="inlineStr">
        <is>
          <t>TUB-O-N-AUT-AW-PE-22.23X2.000X0.7600</t>
        </is>
      </c>
    </row>
    <row r="827">
      <c r="A827" t="inlineStr">
        <is>
          <t>0000189270</t>
        </is>
      </c>
      <c r="B827" t="inlineStr">
        <is>
          <t>Indo Autotech Limited (Unit V)</t>
        </is>
      </c>
      <c r="C827" t="inlineStr">
        <is>
          <t>NOS</t>
        </is>
      </c>
      <c r="D827" t="n">
        <v>374</v>
      </c>
      <c r="E827" t="n">
        <v>284.032</v>
      </c>
      <c r="F827" t="n">
        <v>283.492</v>
      </c>
      <c r="G827" t="n">
        <v>2244444</v>
      </c>
      <c r="H827" t="inlineStr">
        <is>
          <t>TUB-O-N-AUT-AW-PE-22.23X2.000X0.7600</t>
        </is>
      </c>
    </row>
    <row r="828">
      <c r="A828" t="inlineStr">
        <is>
          <t>0000189270</t>
        </is>
      </c>
      <c r="B828" t="inlineStr">
        <is>
          <t>Indo Autotech Limited (Unit V)</t>
        </is>
      </c>
      <c r="C828" t="inlineStr">
        <is>
          <t>NOS</t>
        </is>
      </c>
      <c r="D828" t="n">
        <v>369</v>
      </c>
      <c r="E828" t="n">
        <v>280.234</v>
      </c>
      <c r="F828" t="n">
        <v>279.702</v>
      </c>
      <c r="G828" t="n">
        <v>2244444</v>
      </c>
      <c r="H828" t="inlineStr">
        <is>
          <t>TUB-O-N-AUT-AW-PE-22.23X2.000X0.7600</t>
        </is>
      </c>
    </row>
    <row r="829">
      <c r="A829" t="inlineStr">
        <is>
          <t>0000189270</t>
        </is>
      </c>
      <c r="B829" t="inlineStr">
        <is>
          <t>Indo Autotech Limited (Unit V)</t>
        </is>
      </c>
      <c r="C829" t="inlineStr">
        <is>
          <t>NOS</t>
        </is>
      </c>
      <c r="D829" t="n">
        <v>12</v>
      </c>
      <c r="E829" t="n">
        <v>9.113</v>
      </c>
      <c r="F829" t="n">
        <v>9.096</v>
      </c>
      <c r="G829" t="n">
        <v>2244444</v>
      </c>
      <c r="H829" t="inlineStr">
        <is>
          <t>TUB-O-N-AUT-AW-PE-22.23X2.000X0.7600</t>
        </is>
      </c>
    </row>
    <row r="830">
      <c r="A830" t="inlineStr">
        <is>
          <t>0000189270</t>
        </is>
      </c>
      <c r="B830" t="inlineStr">
        <is>
          <t>Indo Autotech Limited (Unit V)</t>
        </is>
      </c>
      <c r="C830" t="inlineStr">
        <is>
          <t>NOS</t>
        </is>
      </c>
      <c r="D830" t="n">
        <v>1096</v>
      </c>
      <c r="E830" t="n">
        <v>1155.179</v>
      </c>
      <c r="F830" t="n">
        <v>1978.938</v>
      </c>
      <c r="G830" t="n">
        <v>3605737</v>
      </c>
      <c r="H830" t="inlineStr">
        <is>
          <t>CUT-O-N-AUT-AW-FC-45.00X1.600X1.0540</t>
        </is>
      </c>
    </row>
    <row r="831">
      <c r="A831" t="inlineStr">
        <is>
          <t>0000189270</t>
        </is>
      </c>
      <c r="B831" t="inlineStr">
        <is>
          <t>Indo Autotech Limited (Unit V)</t>
        </is>
      </c>
      <c r="C831" t="inlineStr">
        <is>
          <t>NOS</t>
        </is>
      </c>
      <c r="D831" t="n">
        <v>1335</v>
      </c>
      <c r="E831" t="n">
        <v>1407.084</v>
      </c>
      <c r="F831" t="n">
        <v>2410.476</v>
      </c>
      <c r="G831" t="n">
        <v>3605737</v>
      </c>
      <c r="H831" t="inlineStr">
        <is>
          <t>CUT-O-N-AUT-AW-FC-45.00X1.600X1.0540</t>
        </is>
      </c>
    </row>
    <row r="832">
      <c r="A832" t="inlineStr">
        <is>
          <t>0000189270</t>
        </is>
      </c>
      <c r="B832" t="inlineStr">
        <is>
          <t>Indo Autotech Limited (Unit V)</t>
        </is>
      </c>
      <c r="C832" t="inlineStr">
        <is>
          <t>NOS</t>
        </is>
      </c>
      <c r="D832" t="n">
        <v>728</v>
      </c>
      <c r="E832" t="n">
        <v>767.309</v>
      </c>
      <c r="F832" t="n">
        <v>1314.477</v>
      </c>
      <c r="G832" t="n">
        <v>3605737</v>
      </c>
      <c r="H832" t="inlineStr">
        <is>
          <t>CUT-O-N-AUT-AW-FC-45.00X1.600X1.0540</t>
        </is>
      </c>
    </row>
    <row r="833">
      <c r="A833" t="inlineStr">
        <is>
          <t>0000189270</t>
        </is>
      </c>
      <c r="B833" t="inlineStr">
        <is>
          <t>Indo Autotech Limited (Unit V)</t>
        </is>
      </c>
      <c r="C833" t="inlineStr">
        <is>
          <t>NOS</t>
        </is>
      </c>
      <c r="D833" t="n">
        <v>417</v>
      </c>
      <c r="E833" t="n">
        <v>439.516</v>
      </c>
      <c r="F833" t="n">
        <v>752.9349999999999</v>
      </c>
      <c r="G833" t="n">
        <v>3605737</v>
      </c>
      <c r="H833" t="inlineStr">
        <is>
          <t>CUT-O-N-AUT-AW-FC-45.00X1.600X1.0540</t>
        </is>
      </c>
    </row>
    <row r="834">
      <c r="A834" t="inlineStr">
        <is>
          <t>0000189270</t>
        </is>
      </c>
      <c r="B834" t="inlineStr">
        <is>
          <t>Indo Autotech Limited (Unit V)</t>
        </is>
      </c>
      <c r="C834" t="inlineStr">
        <is>
          <t>NOS</t>
        </is>
      </c>
      <c r="D834" t="n">
        <v>399</v>
      </c>
      <c r="E834" t="n">
        <v>420.544</v>
      </c>
      <c r="F834" t="n">
        <v>720.434</v>
      </c>
      <c r="G834" t="n">
        <v>3605737</v>
      </c>
      <c r="H834" t="inlineStr">
        <is>
          <t>CUT-O-N-AUT-AW-FC-45.00X1.600X1.0540</t>
        </is>
      </c>
    </row>
    <row r="835">
      <c r="A835" t="inlineStr">
        <is>
          <t>0000189270</t>
        </is>
      </c>
      <c r="B835" t="inlineStr">
        <is>
          <t>Indo Autotech Limited (Unit V)</t>
        </is>
      </c>
      <c r="C835" t="inlineStr">
        <is>
          <t>NOS</t>
        </is>
      </c>
      <c r="D835" t="n">
        <v>399</v>
      </c>
      <c r="E835" t="n">
        <v>420.544</v>
      </c>
      <c r="F835" t="n">
        <v>720.434</v>
      </c>
      <c r="G835" t="n">
        <v>3605737</v>
      </c>
      <c r="H835" t="inlineStr">
        <is>
          <t>CUT-O-N-AUT-AW-FC-45.00X1.600X1.0540</t>
        </is>
      </c>
    </row>
    <row r="836">
      <c r="A836" t="inlineStr">
        <is>
          <t>0000189270</t>
        </is>
      </c>
      <c r="B836" t="inlineStr">
        <is>
          <t>Indo Autotech Limited (Unit V)</t>
        </is>
      </c>
      <c r="C836" t="inlineStr">
        <is>
          <t>NOS</t>
        </is>
      </c>
      <c r="D836" t="n">
        <v>378</v>
      </c>
      <c r="E836" t="n">
        <v>398.41</v>
      </c>
      <c r="F836" t="n">
        <v>682.5170000000001</v>
      </c>
      <c r="G836" t="n">
        <v>3605737</v>
      </c>
      <c r="H836" t="inlineStr">
        <is>
          <t>CUT-O-N-AUT-AW-FC-45.00X1.600X1.0540</t>
        </is>
      </c>
    </row>
    <row r="837">
      <c r="A837" t="inlineStr">
        <is>
          <t>0000189270</t>
        </is>
      </c>
      <c r="B837" t="inlineStr">
        <is>
          <t>Indo Autotech Limited (Unit V)</t>
        </is>
      </c>
      <c r="C837" t="inlineStr">
        <is>
          <t>NOS</t>
        </is>
      </c>
      <c r="D837" t="n">
        <v>342</v>
      </c>
      <c r="E837" t="n">
        <v>360.467</v>
      </c>
      <c r="F837" t="n">
        <v>617.515</v>
      </c>
      <c r="G837" t="n">
        <v>3605737</v>
      </c>
      <c r="H837" t="inlineStr">
        <is>
          <t>CUT-O-N-AUT-AW-FC-45.00X1.600X1.0540</t>
        </is>
      </c>
    </row>
    <row r="838">
      <c r="A838" t="inlineStr">
        <is>
          <t>0000189270</t>
        </is>
      </c>
      <c r="B838" t="inlineStr">
        <is>
          <t>Indo Autotech Limited (Unit V)</t>
        </is>
      </c>
      <c r="C838" t="inlineStr">
        <is>
          <t>NOS</t>
        </is>
      </c>
      <c r="D838" t="n">
        <v>133</v>
      </c>
      <c r="E838" t="n">
        <v>140.181</v>
      </c>
      <c r="F838" t="n">
        <v>240.145</v>
      </c>
      <c r="G838" t="n">
        <v>3605737</v>
      </c>
      <c r="H838" t="inlineStr">
        <is>
          <t>CUT-O-N-AUT-AW-FC-45.00X1.600X1.0540</t>
        </is>
      </c>
    </row>
    <row r="839">
      <c r="A839" t="inlineStr">
        <is>
          <t>0000189270</t>
        </is>
      </c>
      <c r="B839" t="inlineStr">
        <is>
          <t>Indo Autotech Limited (Unit V)</t>
        </is>
      </c>
      <c r="C839" t="inlineStr">
        <is>
          <t>NOS</t>
        </is>
      </c>
      <c r="D839" t="n">
        <v>30</v>
      </c>
      <c r="E839" t="n">
        <v>31.62</v>
      </c>
      <c r="F839" t="n">
        <v>54.168</v>
      </c>
      <c r="G839" t="n">
        <v>3605737</v>
      </c>
      <c r="H839" t="inlineStr">
        <is>
          <t>CUT-O-N-AUT-AW-FC-45.00X1.600X1.0540</t>
        </is>
      </c>
    </row>
    <row r="840">
      <c r="A840" t="inlineStr">
        <is>
          <t>0000189270</t>
        </is>
      </c>
      <c r="B840" t="inlineStr">
        <is>
          <t>Indo Autotech Limited (Unit V)</t>
        </is>
      </c>
      <c r="C840" t="inlineStr">
        <is>
          <t>NOS</t>
        </is>
      </c>
      <c r="D840" t="n">
        <v>29</v>
      </c>
      <c r="E840" t="n">
        <v>30.566</v>
      </c>
      <c r="F840" t="n">
        <v>52.362</v>
      </c>
      <c r="G840" t="n">
        <v>3605737</v>
      </c>
      <c r="H840" t="inlineStr">
        <is>
          <t>CUT-O-N-AUT-AW-FC-45.00X1.600X1.0540</t>
        </is>
      </c>
    </row>
    <row r="841">
      <c r="A841" t="inlineStr">
        <is>
          <t>0000189270</t>
        </is>
      </c>
      <c r="B841" t="inlineStr">
        <is>
          <t>Indo Autotech Limited (Unit V)</t>
        </is>
      </c>
      <c r="C841" t="inlineStr">
        <is>
          <t>NOS</t>
        </is>
      </c>
      <c r="D841" t="n">
        <v>19</v>
      </c>
      <c r="E841" t="n">
        <v>20.026</v>
      </c>
      <c r="F841" t="n">
        <v>34.306</v>
      </c>
      <c r="G841" t="n">
        <v>3605737</v>
      </c>
      <c r="H841" t="inlineStr">
        <is>
          <t>CUT-O-N-AUT-AW-FC-45.00X1.600X1.0540</t>
        </is>
      </c>
    </row>
    <row r="842">
      <c r="A842" t="inlineStr">
        <is>
          <t>0000189270</t>
        </is>
      </c>
      <c r="B842" t="inlineStr">
        <is>
          <t>Indo Autotech Limited (Unit V)</t>
        </is>
      </c>
      <c r="C842" t="inlineStr">
        <is>
          <t>NOS</t>
        </is>
      </c>
      <c r="D842" t="n">
        <v>5</v>
      </c>
      <c r="E842" t="n">
        <v>5.27</v>
      </c>
      <c r="F842" t="n">
        <v>9.028</v>
      </c>
      <c r="G842" t="n">
        <v>3605737</v>
      </c>
      <c r="H842" t="inlineStr">
        <is>
          <t>CUT-O-N-AUT-AW-FC-45.00X1.600X1.0540</t>
        </is>
      </c>
    </row>
    <row r="843">
      <c r="A843" t="inlineStr">
        <is>
          <t>0000189270</t>
        </is>
      </c>
      <c r="B843" t="inlineStr">
        <is>
          <t>Indo Autotech Limited (Unit V)</t>
        </is>
      </c>
      <c r="C843" t="inlineStr">
        <is>
          <t>NOS</t>
        </is>
      </c>
      <c r="D843" t="n">
        <v>117</v>
      </c>
      <c r="E843" t="n">
        <v>21.54</v>
      </c>
      <c r="F843" t="n">
        <v>81.666</v>
      </c>
      <c r="G843" t="n">
        <v>1940868</v>
      </c>
      <c r="H843" t="inlineStr">
        <is>
          <t>TUB-O-O-AUT-AW-FC-48.60X3.400X0.1840</t>
        </is>
      </c>
    </row>
    <row r="844">
      <c r="A844" t="inlineStr">
        <is>
          <t>0000189270</t>
        </is>
      </c>
      <c r="B844" t="inlineStr">
        <is>
          <t>Indo Autotech Limited (Unit V)</t>
        </is>
      </c>
      <c r="C844" t="inlineStr">
        <is>
          <t>NOS</t>
        </is>
      </c>
      <c r="D844" t="n">
        <v>34</v>
      </c>
      <c r="E844" t="n">
        <v>6.26</v>
      </c>
      <c r="F844" t="n">
        <v>23.732</v>
      </c>
      <c r="G844" t="n">
        <v>1940868</v>
      </c>
      <c r="H844" t="inlineStr">
        <is>
          <t>TUB-O-O-AUT-AW-FC-48.60X3.400X0.1840</t>
        </is>
      </c>
    </row>
    <row r="845">
      <c r="A845" t="inlineStr">
        <is>
          <t>0000189270</t>
        </is>
      </c>
      <c r="B845" t="inlineStr">
        <is>
          <t>Indo Autotech Limited (Unit V)</t>
        </is>
      </c>
      <c r="C845" t="inlineStr">
        <is>
          <t>NOS</t>
        </is>
      </c>
      <c r="D845" t="n">
        <v>623</v>
      </c>
      <c r="E845" t="n">
        <v>114.698</v>
      </c>
      <c r="F845" t="n">
        <v>434.854</v>
      </c>
      <c r="G845" t="n">
        <v>1940868</v>
      </c>
      <c r="H845" t="inlineStr">
        <is>
          <t>TUB-O-O-AUT-AW-FC-48.60X3.400X0.1840</t>
        </is>
      </c>
    </row>
    <row r="846">
      <c r="A846" t="inlineStr">
        <is>
          <t>0000189270</t>
        </is>
      </c>
      <c r="B846" t="inlineStr">
        <is>
          <t>Indo Autotech Limited (Unit V)</t>
        </is>
      </c>
      <c r="C846" t="inlineStr">
        <is>
          <t>NOS</t>
        </is>
      </c>
      <c r="D846" t="n">
        <v>560</v>
      </c>
      <c r="E846" t="n">
        <v>103.099</v>
      </c>
      <c r="F846" t="n">
        <v>390.88</v>
      </c>
      <c r="G846" t="n">
        <v>1940868</v>
      </c>
      <c r="H846" t="inlineStr">
        <is>
          <t>TUB-O-O-AUT-AW-FC-48.60X3.400X0.1840</t>
        </is>
      </c>
    </row>
    <row r="847">
      <c r="A847" t="inlineStr">
        <is>
          <t>0000189270</t>
        </is>
      </c>
      <c r="B847" t="inlineStr">
        <is>
          <t>Indo Autotech Limited (Unit V)</t>
        </is>
      </c>
      <c r="C847" t="inlineStr">
        <is>
          <t>NOS</t>
        </is>
      </c>
      <c r="D847" t="n">
        <v>449</v>
      </c>
      <c r="E847" t="n">
        <v>82.663</v>
      </c>
      <c r="F847" t="n">
        <v>313.402</v>
      </c>
      <c r="G847" t="n">
        <v>1940868</v>
      </c>
      <c r="H847" t="inlineStr">
        <is>
          <t>TUB-O-O-AUT-AW-FC-48.60X3.400X0.1840</t>
        </is>
      </c>
    </row>
    <row r="848">
      <c r="A848" t="inlineStr">
        <is>
          <t>0000189270</t>
        </is>
      </c>
      <c r="B848" t="inlineStr">
        <is>
          <t>Indo Autotech Limited (Unit V)</t>
        </is>
      </c>
      <c r="C848" t="inlineStr">
        <is>
          <t>NOS</t>
        </is>
      </c>
      <c r="D848" t="n">
        <v>449</v>
      </c>
      <c r="E848" t="n">
        <v>82.663</v>
      </c>
      <c r="F848" t="n">
        <v>313.402</v>
      </c>
      <c r="G848" t="n">
        <v>1940868</v>
      </c>
      <c r="H848" t="inlineStr">
        <is>
          <t>TUB-O-O-AUT-AW-FC-48.60X3.400X0.1840</t>
        </is>
      </c>
    </row>
    <row r="849">
      <c r="A849" t="inlineStr">
        <is>
          <t>0000189270</t>
        </is>
      </c>
      <c r="B849" t="inlineStr">
        <is>
          <t>Indo Autotech Limited (Unit V)</t>
        </is>
      </c>
      <c r="C849" t="inlineStr">
        <is>
          <t>NOS</t>
        </is>
      </c>
      <c r="D849" t="n">
        <v>399</v>
      </c>
      <c r="E849" t="n">
        <v>73.458</v>
      </c>
      <c r="F849" t="n">
        <v>278.502</v>
      </c>
      <c r="G849" t="n">
        <v>1940868</v>
      </c>
      <c r="H849" t="inlineStr">
        <is>
          <t>TUB-O-O-AUT-AW-FC-48.60X3.400X0.1840</t>
        </is>
      </c>
    </row>
    <row r="850">
      <c r="A850" t="inlineStr">
        <is>
          <t>0000189270</t>
        </is>
      </c>
      <c r="B850" t="inlineStr">
        <is>
          <t>Indo Autotech Limited (Unit V)</t>
        </is>
      </c>
      <c r="C850" t="inlineStr">
        <is>
          <t>NOS</t>
        </is>
      </c>
      <c r="D850" t="n">
        <v>345</v>
      </c>
      <c r="E850" t="n">
        <v>63.516</v>
      </c>
      <c r="F850" t="n">
        <v>240.81</v>
      </c>
      <c r="G850" t="n">
        <v>1940868</v>
      </c>
      <c r="H850" t="inlineStr">
        <is>
          <t>TUB-O-O-AUT-AW-FC-48.60X3.400X0.1840</t>
        </is>
      </c>
    </row>
    <row r="851">
      <c r="A851" t="inlineStr">
        <is>
          <t>0000189270</t>
        </is>
      </c>
      <c r="B851" t="inlineStr">
        <is>
          <t>Indo Autotech Limited (Unit V)</t>
        </is>
      </c>
      <c r="C851" t="inlineStr">
        <is>
          <t>NOS</t>
        </is>
      </c>
      <c r="D851" t="n">
        <v>197</v>
      </c>
      <c r="E851" t="n">
        <v>145.196</v>
      </c>
      <c r="F851" t="n">
        <v>251.175</v>
      </c>
      <c r="G851" t="n">
        <v>1932730</v>
      </c>
      <c r="H851" t="inlineStr">
        <is>
          <t>TUB-O-N-AUT-AW-FC-50.80X1.420X0.7370</t>
        </is>
      </c>
    </row>
    <row r="852">
      <c r="A852" t="inlineStr">
        <is>
          <t>0000189270</t>
        </is>
      </c>
      <c r="B852" t="inlineStr">
        <is>
          <t>Indo Autotech Limited (Unit V)</t>
        </is>
      </c>
      <c r="C852" t="inlineStr">
        <is>
          <t>NOS</t>
        </is>
      </c>
      <c r="D852" t="n">
        <v>1050</v>
      </c>
      <c r="E852" t="n">
        <v>773.889</v>
      </c>
      <c r="F852" t="n">
        <v>1338.75</v>
      </c>
      <c r="G852" t="n">
        <v>1932730</v>
      </c>
      <c r="H852" t="inlineStr">
        <is>
          <t>TUB-O-N-AUT-AW-FC-50.80X1.420X0.7370</t>
        </is>
      </c>
    </row>
    <row r="853">
      <c r="A853" t="inlineStr">
        <is>
          <t>0000189270</t>
        </is>
      </c>
      <c r="B853" t="inlineStr">
        <is>
          <t>Indo Autotech Limited (Unit V)</t>
        </is>
      </c>
      <c r="C853" t="inlineStr">
        <is>
          <t>NOS</t>
        </is>
      </c>
      <c r="D853" t="n">
        <v>913</v>
      </c>
      <c r="E853" t="n">
        <v>672.915</v>
      </c>
      <c r="F853" t="n">
        <v>1164.075</v>
      </c>
      <c r="G853" t="n">
        <v>1932730</v>
      </c>
      <c r="H853" t="inlineStr">
        <is>
          <t>TUB-O-N-AUT-AW-FC-50.80X1.420X0.7370</t>
        </is>
      </c>
    </row>
    <row r="854">
      <c r="A854" t="inlineStr">
        <is>
          <t>0000189270</t>
        </is>
      </c>
      <c r="B854" t="inlineStr">
        <is>
          <t>Indo Autotech Limited (Unit V)</t>
        </is>
      </c>
      <c r="C854" t="inlineStr">
        <is>
          <t>NOS</t>
        </is>
      </c>
      <c r="D854" t="n">
        <v>899</v>
      </c>
      <c r="E854" t="n">
        <v>662.596</v>
      </c>
      <c r="F854" t="n">
        <v>1146.225</v>
      </c>
      <c r="G854" t="n">
        <v>1932730</v>
      </c>
      <c r="H854" t="inlineStr">
        <is>
          <t>TUB-O-N-AUT-AW-FC-50.80X1.420X0.7370</t>
        </is>
      </c>
    </row>
    <row r="855">
      <c r="A855" t="inlineStr">
        <is>
          <t>0000189270</t>
        </is>
      </c>
      <c r="B855" t="inlineStr">
        <is>
          <t>Indo Autotech Limited (Unit V)</t>
        </is>
      </c>
      <c r="C855" t="inlineStr">
        <is>
          <t>NOS</t>
        </is>
      </c>
      <c r="D855" t="n">
        <v>749</v>
      </c>
      <c r="E855" t="n">
        <v>552.0410000000001</v>
      </c>
      <c r="F855" t="n">
        <v>954.975</v>
      </c>
      <c r="G855" t="n">
        <v>1932730</v>
      </c>
      <c r="H855" t="inlineStr">
        <is>
          <t>TUB-O-N-AUT-AW-FC-50.80X1.420X0.7370</t>
        </is>
      </c>
    </row>
    <row r="856">
      <c r="A856" t="inlineStr">
        <is>
          <t>0000189270</t>
        </is>
      </c>
      <c r="B856" t="inlineStr">
        <is>
          <t>Indo Autotech Limited (Unit V)</t>
        </is>
      </c>
      <c r="C856" t="inlineStr">
        <is>
          <t>NOS</t>
        </is>
      </c>
      <c r="D856" t="n">
        <v>72</v>
      </c>
      <c r="E856" t="n">
        <v>53.067</v>
      </c>
      <c r="F856" t="n">
        <v>91.8</v>
      </c>
      <c r="G856" t="n">
        <v>1932730</v>
      </c>
      <c r="H856" t="inlineStr">
        <is>
          <t>TUB-O-N-AUT-AW-FC-50.80X1.420X0.7370</t>
        </is>
      </c>
    </row>
    <row r="857">
      <c r="A857" t="inlineStr">
        <is>
          <t>0000189270</t>
        </is>
      </c>
      <c r="B857" t="inlineStr">
        <is>
          <t>Indo Autotech Limited (Unit V)</t>
        </is>
      </c>
      <c r="C857" t="inlineStr">
        <is>
          <t>NOS</t>
        </is>
      </c>
      <c r="D857" t="n">
        <v>1157</v>
      </c>
      <c r="E857" t="n">
        <v>632.025</v>
      </c>
      <c r="F857" t="n">
        <v>910.559</v>
      </c>
      <c r="G857" t="n">
        <v>1940817</v>
      </c>
      <c r="H857" t="inlineStr">
        <is>
          <t>TUB-R-AW-RHS-40.00X20.00X1.600X0.5460</t>
        </is>
      </c>
    </row>
    <row r="858">
      <c r="A858" t="inlineStr">
        <is>
          <t>0000189270</t>
        </is>
      </c>
      <c r="B858" t="inlineStr">
        <is>
          <t>Indo Autotech Limited (Unit V)</t>
        </is>
      </c>
      <c r="C858" t="inlineStr">
        <is>
          <t>NOS</t>
        </is>
      </c>
      <c r="D858" t="n">
        <v>843</v>
      </c>
      <c r="E858" t="n">
        <v>460.499</v>
      </c>
      <c r="F858" t="n">
        <v>663.441</v>
      </c>
      <c r="G858" t="n">
        <v>1940817</v>
      </c>
      <c r="H858" t="inlineStr">
        <is>
          <t>TUB-R-AW-RHS-40.00X20.00X1.600X0.5460</t>
        </is>
      </c>
    </row>
    <row r="859">
      <c r="A859" t="inlineStr">
        <is>
          <t>0000189270</t>
        </is>
      </c>
      <c r="B859" t="inlineStr">
        <is>
          <t>Indo Autotech Limited (Unit V)</t>
        </is>
      </c>
      <c r="C859" t="inlineStr">
        <is>
          <t>NOS</t>
        </is>
      </c>
      <c r="D859" t="n">
        <v>1053</v>
      </c>
      <c r="E859" t="n">
        <v>662.116</v>
      </c>
      <c r="F859" t="n">
        <v>1386.801</v>
      </c>
      <c r="G859" t="n">
        <v>1940871</v>
      </c>
      <c r="H859" t="inlineStr">
        <is>
          <t>TUB-V-AW-AUT-49.00X38.00X2.000X0.6290</t>
        </is>
      </c>
    </row>
    <row r="860">
      <c r="A860" t="inlineStr">
        <is>
          <t>0000189270</t>
        </is>
      </c>
      <c r="B860" t="inlineStr">
        <is>
          <t>Indo Autotech Limited (Unit V)</t>
        </is>
      </c>
      <c r="C860" t="inlineStr">
        <is>
          <t>NOS</t>
        </is>
      </c>
      <c r="D860" t="n">
        <v>17</v>
      </c>
      <c r="E860" t="n">
        <v>10.689</v>
      </c>
      <c r="F860" t="n">
        <v>22.389</v>
      </c>
      <c r="G860" t="n">
        <v>1940871</v>
      </c>
      <c r="H860" t="inlineStr">
        <is>
          <t>TUB-V-AW-AUT-49.00X38.00X2.000X0.6290</t>
        </is>
      </c>
    </row>
    <row r="861">
      <c r="A861" t="inlineStr">
        <is>
          <t>0000189270</t>
        </is>
      </c>
      <c r="B861" t="inlineStr">
        <is>
          <t>Indo Autotech Limited (Unit V)</t>
        </is>
      </c>
      <c r="C861" t="inlineStr">
        <is>
          <t>NOS</t>
        </is>
      </c>
      <c r="D861" t="n">
        <v>725</v>
      </c>
      <c r="E861" t="n">
        <v>325.048</v>
      </c>
      <c r="F861" t="n">
        <v>426.3</v>
      </c>
      <c r="G861" t="n">
        <v>1940624</v>
      </c>
      <c r="H861" t="inlineStr">
        <is>
          <t>TUB-O-O-AUT-AW-FC-28.58X2.000X0.4480</t>
        </is>
      </c>
    </row>
    <row r="862">
      <c r="A862" t="inlineStr">
        <is>
          <t>0000188415</t>
        </is>
      </c>
      <c r="B862" t="inlineStr">
        <is>
          <t>Rajsriya Automotive Industries(P)</t>
        </is>
      </c>
      <c r="C862" t="inlineStr">
        <is>
          <t>NOS</t>
        </is>
      </c>
      <c r="D862" t="n">
        <v>1547</v>
      </c>
      <c r="E862" t="n">
        <v>1291.728</v>
      </c>
      <c r="F862" t="n">
        <v>2184.828</v>
      </c>
      <c r="G862" t="n">
        <v>3712521</v>
      </c>
      <c r="H862" t="inlineStr">
        <is>
          <t>CUT-R-AW-RHS-40.00X30.00X1.600X0.8350</t>
        </is>
      </c>
    </row>
    <row r="863">
      <c r="A863" t="inlineStr">
        <is>
          <t>0000188415</t>
        </is>
      </c>
      <c r="B863" t="inlineStr">
        <is>
          <t>Rajsriya Automotive Industries(P)</t>
        </is>
      </c>
      <c r="C863" t="inlineStr">
        <is>
          <t>NOS</t>
        </is>
      </c>
      <c r="D863" t="n">
        <v>1419</v>
      </c>
      <c r="E863" t="n">
        <v>1184.849</v>
      </c>
      <c r="F863" t="n">
        <v>2004.054</v>
      </c>
      <c r="G863" t="n">
        <v>3712521</v>
      </c>
      <c r="H863" t="inlineStr">
        <is>
          <t>CUT-R-AW-RHS-40.00X30.00X1.600X0.8350</t>
        </is>
      </c>
    </row>
    <row r="864">
      <c r="A864" t="inlineStr">
        <is>
          <t>0000188415</t>
        </is>
      </c>
      <c r="B864" t="inlineStr">
        <is>
          <t>Rajsriya Automotive Industries(P)</t>
        </is>
      </c>
      <c r="C864" t="inlineStr">
        <is>
          <t>NOS</t>
        </is>
      </c>
      <c r="D864" t="n">
        <v>1370</v>
      </c>
      <c r="E864" t="n">
        <v>1143.935</v>
      </c>
      <c r="F864" t="n">
        <v>1934.851</v>
      </c>
      <c r="G864" t="n">
        <v>3712521</v>
      </c>
      <c r="H864" t="inlineStr">
        <is>
          <t>CUT-R-AW-RHS-40.00X30.00X1.600X0.8350</t>
        </is>
      </c>
    </row>
    <row r="865">
      <c r="A865" t="inlineStr">
        <is>
          <t>0000188415</t>
        </is>
      </c>
      <c r="B865" t="inlineStr">
        <is>
          <t>Rajsriya Automotive Industries(P)</t>
        </is>
      </c>
      <c r="C865" t="inlineStr">
        <is>
          <t>NOS</t>
        </is>
      </c>
      <c r="D865" t="n">
        <v>504</v>
      </c>
      <c r="E865" t="n">
        <v>420.834</v>
      </c>
      <c r="F865" t="n">
        <v>711.799</v>
      </c>
      <c r="G865" t="n">
        <v>3712521</v>
      </c>
      <c r="H865" t="inlineStr">
        <is>
          <t>CUT-R-AW-RHS-40.00X30.00X1.600X0.8350</t>
        </is>
      </c>
    </row>
    <row r="866">
      <c r="A866" t="inlineStr">
        <is>
          <t>0000188415</t>
        </is>
      </c>
      <c r="B866" t="inlineStr">
        <is>
          <t>Rajsriya Automotive Industries(P)</t>
        </is>
      </c>
      <c r="C866" t="inlineStr">
        <is>
          <t>NOS</t>
        </is>
      </c>
      <c r="D866" t="n">
        <v>10</v>
      </c>
      <c r="E866" t="n">
        <v>8.35</v>
      </c>
      <c r="F866" t="n">
        <v>14.123</v>
      </c>
      <c r="G866" t="n">
        <v>3712521</v>
      </c>
      <c r="H866" t="inlineStr">
        <is>
          <t>CUT-R-AW-RHS-40.00X30.00X1.600X0.8350</t>
        </is>
      </c>
    </row>
    <row r="867">
      <c r="A867" t="inlineStr">
        <is>
          <t>0000188415</t>
        </is>
      </c>
      <c r="B867" t="inlineStr">
        <is>
          <t>Rajsriya Automotive Industries(P)</t>
        </is>
      </c>
      <c r="C867" t="inlineStr">
        <is>
          <t>NOS</t>
        </is>
      </c>
      <c r="D867" t="n">
        <v>10</v>
      </c>
      <c r="E867" t="n">
        <v>8.35</v>
      </c>
      <c r="F867" t="n">
        <v>14.123</v>
      </c>
      <c r="G867" t="n">
        <v>3712521</v>
      </c>
      <c r="H867" t="inlineStr">
        <is>
          <t>CUT-R-AW-RHS-40.00X30.00X1.600X0.8350</t>
        </is>
      </c>
    </row>
    <row r="868">
      <c r="A868" t="inlineStr">
        <is>
          <t>0000948721</t>
        </is>
      </c>
      <c r="B868" t="inlineStr">
        <is>
          <t>ELKAYEM AUTO ANCILLARIES PRIVATE LI</t>
        </is>
      </c>
      <c r="C868" t="inlineStr">
        <is>
          <t>NOS</t>
        </is>
      </c>
      <c r="D868" t="n">
        <v>2321</v>
      </c>
      <c r="E868" t="n">
        <v>1189.99</v>
      </c>
      <c r="F868" t="n">
        <v>1863.763</v>
      </c>
      <c r="G868" t="n">
        <v>1940821</v>
      </c>
      <c r="H868" t="inlineStr">
        <is>
          <t>TUB-R-AW-RHS-40.00X25.00X1.600X0.5130</t>
        </is>
      </c>
    </row>
    <row r="869">
      <c r="A869" t="inlineStr">
        <is>
          <t>0000948721</t>
        </is>
      </c>
      <c r="B869" t="inlineStr">
        <is>
          <t>ELKAYEM AUTO ANCILLARIES PRIVATE LI</t>
        </is>
      </c>
      <c r="C869" t="inlineStr">
        <is>
          <t>NOS</t>
        </is>
      </c>
      <c r="D869" t="n">
        <v>1500</v>
      </c>
      <c r="E869" t="n">
        <v>769.059</v>
      </c>
      <c r="F869" t="n">
        <v>1204.5</v>
      </c>
      <c r="G869" t="n">
        <v>1940821</v>
      </c>
      <c r="H869" t="inlineStr">
        <is>
          <t>TUB-R-AW-RHS-40.00X25.00X1.600X0.5130</t>
        </is>
      </c>
    </row>
    <row r="870">
      <c r="A870" t="inlineStr">
        <is>
          <t>0000948721</t>
        </is>
      </c>
      <c r="B870" t="inlineStr">
        <is>
          <t>ELKAYEM AUTO ANCILLARIES PRIVATE LI</t>
        </is>
      </c>
      <c r="C870" t="inlineStr">
        <is>
          <t>NOS</t>
        </is>
      </c>
      <c r="D870" t="n">
        <v>452</v>
      </c>
      <c r="E870" t="n">
        <v>231.743</v>
      </c>
      <c r="F870" t="n">
        <v>362.956</v>
      </c>
      <c r="G870" t="n">
        <v>1940821</v>
      </c>
      <c r="H870" t="inlineStr">
        <is>
          <t>TUB-R-AW-RHS-40.00X25.00X1.600X0.5130</t>
        </is>
      </c>
    </row>
    <row r="871">
      <c r="A871" t="inlineStr">
        <is>
          <t>0000948721</t>
        </is>
      </c>
      <c r="B871" t="inlineStr">
        <is>
          <t>ELKAYEM AUTO ANCILLARIES PRIVATE LI</t>
        </is>
      </c>
      <c r="C871" t="inlineStr">
        <is>
          <t>NOS</t>
        </is>
      </c>
      <c r="D871" t="n">
        <v>347</v>
      </c>
      <c r="E871" t="n">
        <v>177.909</v>
      </c>
      <c r="F871" t="n">
        <v>278.641</v>
      </c>
      <c r="G871" t="n">
        <v>1940821</v>
      </c>
      <c r="H871" t="inlineStr">
        <is>
          <t>TUB-R-AW-RHS-40.00X25.00X1.600X0.5130</t>
        </is>
      </c>
    </row>
    <row r="872">
      <c r="A872" t="inlineStr">
        <is>
          <t>0000948721</t>
        </is>
      </c>
      <c r="B872" t="inlineStr">
        <is>
          <t>ELKAYEM AUTO ANCILLARIES PRIVATE LI</t>
        </is>
      </c>
      <c r="C872" t="inlineStr">
        <is>
          <t>NOS</t>
        </is>
      </c>
      <c r="D872" t="n">
        <v>2060</v>
      </c>
      <c r="E872" t="n">
        <v>1153.505</v>
      </c>
      <c r="F872" t="n">
        <v>1806.62</v>
      </c>
      <c r="G872" t="n">
        <v>1940823</v>
      </c>
      <c r="H872" t="inlineStr">
        <is>
          <t>TUB-R-AW-RHS-40.00X25.00X1.600X0.5600</t>
        </is>
      </c>
    </row>
    <row r="873">
      <c r="A873" t="inlineStr">
        <is>
          <t>0000948721</t>
        </is>
      </c>
      <c r="B873" t="inlineStr">
        <is>
          <t>ELKAYEM AUTO ANCILLARIES PRIVATE LI</t>
        </is>
      </c>
      <c r="C873" t="inlineStr">
        <is>
          <t>NOS</t>
        </is>
      </c>
      <c r="D873" t="n">
        <v>353</v>
      </c>
      <c r="E873" t="n">
        <v>197.664</v>
      </c>
      <c r="F873" t="n">
        <v>309.581</v>
      </c>
      <c r="G873" t="n">
        <v>1940823</v>
      </c>
      <c r="H873" t="inlineStr">
        <is>
          <t>TUB-R-AW-RHS-40.00X25.00X1.600X0.5600</t>
        </is>
      </c>
    </row>
    <row r="874">
      <c r="A874" t="inlineStr">
        <is>
          <t>0000948721</t>
        </is>
      </c>
      <c r="B874" t="inlineStr">
        <is>
          <t>ELKAYEM AUTO ANCILLARIES PRIVATE LI</t>
        </is>
      </c>
      <c r="C874" t="inlineStr">
        <is>
          <t>NOS</t>
        </is>
      </c>
      <c r="D874" t="n">
        <v>4</v>
      </c>
      <c r="E874" t="n">
        <v>2.24</v>
      </c>
      <c r="F874" t="n">
        <v>3.508</v>
      </c>
      <c r="G874" t="n">
        <v>1940823</v>
      </c>
      <c r="H874" t="inlineStr">
        <is>
          <t>TUB-R-AW-RHS-40.00X25.00X1.600X0.5600</t>
        </is>
      </c>
    </row>
    <row r="875">
      <c r="A875" t="inlineStr">
        <is>
          <t>0000948721</t>
        </is>
      </c>
      <c r="B875" t="inlineStr">
        <is>
          <t>ELKAYEM AUTO ANCILLARIES PRIVATE LI</t>
        </is>
      </c>
      <c r="C875" t="inlineStr">
        <is>
          <t>NOS</t>
        </is>
      </c>
      <c r="D875" t="n">
        <v>3</v>
      </c>
      <c r="E875" t="n">
        <v>1.68</v>
      </c>
      <c r="F875" t="n">
        <v>2.631</v>
      </c>
      <c r="G875" t="n">
        <v>1940823</v>
      </c>
      <c r="H875" t="inlineStr">
        <is>
          <t>TUB-R-AW-RHS-40.00X25.00X1.600X0.5600</t>
        </is>
      </c>
    </row>
    <row r="876">
      <c r="A876" t="inlineStr">
        <is>
          <t>0000948721</t>
        </is>
      </c>
      <c r="B876" t="inlineStr">
        <is>
          <t>ELKAYEM AUTO ANCILLARIES PRIVATE LI</t>
        </is>
      </c>
      <c r="C876" t="inlineStr">
        <is>
          <t>NOS</t>
        </is>
      </c>
      <c r="D876" t="n">
        <v>3657</v>
      </c>
      <c r="E876" t="n">
        <v>542.729</v>
      </c>
      <c r="F876" t="n">
        <v>1082.472</v>
      </c>
      <c r="G876" t="n">
        <v>4098592</v>
      </c>
      <c r="H876" t="inlineStr">
        <is>
          <t>TUB-R-AW-AUT-40.00X30.00X2.000X0.1480</t>
        </is>
      </c>
    </row>
    <row r="877">
      <c r="A877" t="inlineStr">
        <is>
          <t>0000948721</t>
        </is>
      </c>
      <c r="B877" t="inlineStr">
        <is>
          <t>ELKAYEM AUTO ANCILLARIES PRIVATE LI</t>
        </is>
      </c>
      <c r="C877" t="inlineStr">
        <is>
          <t>NOS</t>
        </is>
      </c>
      <c r="D877" t="n">
        <v>3</v>
      </c>
      <c r="E877" t="n">
        <v>0.445</v>
      </c>
      <c r="F877" t="n">
        <v>0.888</v>
      </c>
      <c r="G877" t="n">
        <v>4098592</v>
      </c>
      <c r="H877" t="inlineStr">
        <is>
          <t>TUB-R-AW-AUT-40.00X30.00X2.000X0.1480</t>
        </is>
      </c>
    </row>
    <row r="878">
      <c r="A878" t="inlineStr">
        <is>
          <t>0000941496</t>
        </is>
      </c>
      <c r="B878" t="inlineStr">
        <is>
          <t>SANDHAR ENGINEERING PVT LTD.(KA) -U</t>
        </is>
      </c>
      <c r="C878" t="inlineStr">
        <is>
          <t>NOS</t>
        </is>
      </c>
      <c r="D878" t="n">
        <v>2400</v>
      </c>
      <c r="E878" t="n">
        <v>1230.494</v>
      </c>
      <c r="F878" t="n">
        <v>1927.2</v>
      </c>
      <c r="G878" t="n">
        <v>1940821</v>
      </c>
      <c r="H878" t="inlineStr">
        <is>
          <t>TUB-R-AW-RHS-40.00X25.00X1.600X0.5130</t>
        </is>
      </c>
    </row>
    <row r="879">
      <c r="A879" t="inlineStr">
        <is>
          <t>0000941496</t>
        </is>
      </c>
      <c r="B879" t="inlineStr">
        <is>
          <t>SANDHAR ENGINEERING PVT LTD.(KA) -U</t>
        </is>
      </c>
      <c r="C879" t="inlineStr">
        <is>
          <t>NOS</t>
        </is>
      </c>
      <c r="D879" t="n">
        <v>1299</v>
      </c>
      <c r="E879" t="n">
        <v>1059.293</v>
      </c>
      <c r="F879" t="n">
        <v>1057.386</v>
      </c>
      <c r="G879" t="n">
        <v>2413708</v>
      </c>
      <c r="H879" t="inlineStr">
        <is>
          <t>TUB-O-N-AUT-AW-PE-22.23X2.000X0.8150</t>
        </is>
      </c>
    </row>
    <row r="880">
      <c r="A880" t="inlineStr">
        <is>
          <t>0000941496</t>
        </is>
      </c>
      <c r="B880" t="inlineStr">
        <is>
          <t>SANDHAR ENGINEERING PVT LTD.(KA) -U</t>
        </is>
      </c>
      <c r="C880" t="inlineStr">
        <is>
          <t>NOS</t>
        </is>
      </c>
      <c r="D880" t="n">
        <v>624</v>
      </c>
      <c r="E880" t="n">
        <v>508.852</v>
      </c>
      <c r="F880" t="n">
        <v>507.936</v>
      </c>
      <c r="G880" t="n">
        <v>2413708</v>
      </c>
      <c r="H880" t="inlineStr">
        <is>
          <t>TUB-O-N-AUT-AW-PE-22.23X2.000X0.8150</t>
        </is>
      </c>
    </row>
    <row r="881">
      <c r="A881" t="inlineStr">
        <is>
          <t>0000941496</t>
        </is>
      </c>
      <c r="B881" t="inlineStr">
        <is>
          <t>SANDHAR ENGINEERING PVT LTD.(KA) -U</t>
        </is>
      </c>
      <c r="C881" t="inlineStr">
        <is>
          <t>NOS</t>
        </is>
      </c>
      <c r="D881" t="n">
        <v>2</v>
      </c>
      <c r="E881" t="n">
        <v>1.631</v>
      </c>
      <c r="F881" t="n">
        <v>1.628</v>
      </c>
      <c r="G881" t="n">
        <v>2413708</v>
      </c>
      <c r="H881" t="inlineStr">
        <is>
          <t>TUB-O-N-AUT-AW-PE-22.23X2.000X0.8150</t>
        </is>
      </c>
    </row>
    <row r="882">
      <c r="A882" t="inlineStr">
        <is>
          <t>0000941496</t>
        </is>
      </c>
      <c r="B882" t="inlineStr">
        <is>
          <t>SANDHAR ENGINEERING PVT LTD.(KA) -U</t>
        </is>
      </c>
      <c r="C882" t="inlineStr">
        <is>
          <t>NOS</t>
        </is>
      </c>
      <c r="D882" t="n">
        <v>2152</v>
      </c>
      <c r="E882" t="n">
        <v>847.894</v>
      </c>
      <c r="F882" t="n">
        <v>825.698</v>
      </c>
      <c r="G882" t="n">
        <v>1940437</v>
      </c>
      <c r="H882" t="inlineStr">
        <is>
          <t>TUB-O-O-AUT-AW-PE-22.23X2.000X0.3940</t>
        </is>
      </c>
    </row>
    <row r="883">
      <c r="A883" t="inlineStr">
        <is>
          <t>0000941496</t>
        </is>
      </c>
      <c r="B883" t="inlineStr">
        <is>
          <t>SANDHAR ENGINEERING PVT LTD.(KA) -U</t>
        </is>
      </c>
      <c r="C883" t="inlineStr">
        <is>
          <t>NOS</t>
        </is>
      </c>
      <c r="D883" t="n">
        <v>470</v>
      </c>
      <c r="E883" t="n">
        <v>185.181</v>
      </c>
      <c r="F883" t="n">
        <v>180.334</v>
      </c>
      <c r="G883" t="n">
        <v>1940437</v>
      </c>
      <c r="H883" t="inlineStr">
        <is>
          <t>TUB-O-O-AUT-AW-PE-22.23X2.000X0.3940</t>
        </is>
      </c>
    </row>
    <row r="884">
      <c r="A884" t="inlineStr">
        <is>
          <t>0000941496</t>
        </is>
      </c>
      <c r="B884" t="inlineStr">
        <is>
          <t>SANDHAR ENGINEERING PVT LTD.(KA) -U</t>
        </is>
      </c>
      <c r="C884" t="inlineStr">
        <is>
          <t>NOS</t>
        </is>
      </c>
      <c r="D884" t="n">
        <v>3</v>
      </c>
      <c r="E884" t="n">
        <v>1.182</v>
      </c>
      <c r="F884" t="n">
        <v>1.151</v>
      </c>
      <c r="G884" t="n">
        <v>1940437</v>
      </c>
      <c r="H884" t="inlineStr">
        <is>
          <t>TUB-O-O-AUT-AW-PE-22.23X2.000X0.3940</t>
        </is>
      </c>
    </row>
    <row r="885">
      <c r="A885" t="inlineStr">
        <is>
          <t>0000941496</t>
        </is>
      </c>
      <c r="B885" t="inlineStr">
        <is>
          <t>SANDHAR ENGINEERING PVT LTD.(KA) -U</t>
        </is>
      </c>
      <c r="C885" t="inlineStr">
        <is>
          <t>NOS</t>
        </is>
      </c>
      <c r="D885" t="n">
        <v>297</v>
      </c>
      <c r="E885" t="n">
        <v>199.876</v>
      </c>
      <c r="F885" t="n">
        <v>124.443</v>
      </c>
      <c r="G885" t="n">
        <v>3667938</v>
      </c>
      <c r="H885" t="inlineStr">
        <is>
          <t>CUT-O-N-AUT-AW-PE-22.20X1.200X0.6730</t>
        </is>
      </c>
    </row>
    <row r="886">
      <c r="A886" t="inlineStr">
        <is>
          <t>0000941496</t>
        </is>
      </c>
      <c r="B886" t="inlineStr">
        <is>
          <t>SANDHAR ENGINEERING PVT LTD.(KA) -U</t>
        </is>
      </c>
      <c r="C886" t="inlineStr">
        <is>
          <t>NOS</t>
        </is>
      </c>
      <c r="D886" t="n">
        <v>3</v>
      </c>
      <c r="E886" t="n">
        <v>2.019</v>
      </c>
      <c r="F886" t="n">
        <v>1.257</v>
      </c>
      <c r="G886" t="n">
        <v>3667938</v>
      </c>
      <c r="H886" t="inlineStr">
        <is>
          <t>CUT-O-N-AUT-AW-PE-22.20X1.200X0.6730</t>
        </is>
      </c>
    </row>
    <row r="887">
      <c r="A887" t="inlineStr">
        <is>
          <t>0000189270</t>
        </is>
      </c>
      <c r="B887" t="inlineStr">
        <is>
          <t>Indo Autotech Limited (Unit V)</t>
        </is>
      </c>
      <c r="C887" t="inlineStr">
        <is>
          <t>NOS</t>
        </is>
      </c>
      <c r="D887" t="n">
        <v>2121</v>
      </c>
      <c r="E887" t="n">
        <v>1162.226</v>
      </c>
      <c r="F887" t="n">
        <v>977.7809999999999</v>
      </c>
      <c r="G887" t="n">
        <v>3676836</v>
      </c>
      <c r="H887" t="inlineStr">
        <is>
          <t>TUB-O-N-AUT-AW-PE-19.05X2.000X0.5470</t>
        </is>
      </c>
    </row>
    <row r="888">
      <c r="A888" t="inlineStr">
        <is>
          <t>0000189270</t>
        </is>
      </c>
      <c r="B888" t="inlineStr">
        <is>
          <t>Indo Autotech Limited (Unit V)</t>
        </is>
      </c>
      <c r="C888" t="inlineStr">
        <is>
          <t>NOS</t>
        </is>
      </c>
      <c r="D888" t="n">
        <v>2095</v>
      </c>
      <c r="E888" t="n">
        <v>1147.979</v>
      </c>
      <c r="F888" t="n">
        <v>965.795</v>
      </c>
      <c r="G888" t="n">
        <v>3676836</v>
      </c>
      <c r="H888" t="inlineStr">
        <is>
          <t>TUB-O-N-AUT-AW-PE-19.05X2.000X0.5470</t>
        </is>
      </c>
    </row>
    <row r="889">
      <c r="A889" t="inlineStr">
        <is>
          <t>0000189270</t>
        </is>
      </c>
      <c r="B889" t="inlineStr">
        <is>
          <t>Indo Autotech Limited (Unit V)</t>
        </is>
      </c>
      <c r="C889" t="inlineStr">
        <is>
          <t>NOS</t>
        </is>
      </c>
      <c r="D889" t="n">
        <v>784</v>
      </c>
      <c r="E889" t="n">
        <v>429.602</v>
      </c>
      <c r="F889" t="n">
        <v>361.424</v>
      </c>
      <c r="G889" t="n">
        <v>3676836</v>
      </c>
      <c r="H889" t="inlineStr">
        <is>
          <t>TUB-O-N-AUT-AW-PE-19.05X2.000X0.5470</t>
        </is>
      </c>
    </row>
    <row r="890">
      <c r="A890" t="inlineStr">
        <is>
          <t>0000189270</t>
        </is>
      </c>
      <c r="B890" t="inlineStr">
        <is>
          <t>Indo Autotech Limited (Unit V)</t>
        </is>
      </c>
      <c r="C890" t="inlineStr">
        <is>
          <t>NOS</t>
        </is>
      </c>
      <c r="D890" t="n">
        <v>1675</v>
      </c>
      <c r="E890" t="n">
        <v>1765.465</v>
      </c>
      <c r="F890" t="n">
        <v>2657.555</v>
      </c>
      <c r="G890" t="n">
        <v>3605736</v>
      </c>
      <c r="H890" t="inlineStr">
        <is>
          <t>TUB-O-N-AUT-AW-FC-45.00X1.400X1.0540</t>
        </is>
      </c>
    </row>
    <row r="891">
      <c r="A891" t="inlineStr">
        <is>
          <t>0000189270</t>
        </is>
      </c>
      <c r="B891" t="inlineStr">
        <is>
          <t>Indo Autotech Limited (Unit V)</t>
        </is>
      </c>
      <c r="C891" t="inlineStr">
        <is>
          <t>NOS</t>
        </is>
      </c>
      <c r="D891" t="n">
        <v>1325</v>
      </c>
      <c r="E891" t="n">
        <v>1396.562</v>
      </c>
      <c r="F891" t="n">
        <v>2102.245</v>
      </c>
      <c r="G891" t="n">
        <v>3605736</v>
      </c>
      <c r="H891" t="inlineStr">
        <is>
          <t>TUB-O-N-AUT-AW-FC-45.00X1.400X1.0540</t>
        </is>
      </c>
    </row>
    <row r="892">
      <c r="A892" t="inlineStr">
        <is>
          <t>0000189270</t>
        </is>
      </c>
      <c r="B892" t="inlineStr">
        <is>
          <t>Indo Autotech Limited (Unit V)</t>
        </is>
      </c>
      <c r="C892" t="inlineStr">
        <is>
          <t>NOS</t>
        </is>
      </c>
      <c r="D892" t="n">
        <v>1339</v>
      </c>
      <c r="E892" t="n">
        <v>246.518</v>
      </c>
      <c r="F892" t="n">
        <v>934.622</v>
      </c>
      <c r="G892" t="n">
        <v>1940868</v>
      </c>
      <c r="H892" t="inlineStr">
        <is>
          <t>TUB-O-O-AUT-AW-FC-48.60X3.400X0.1840</t>
        </is>
      </c>
    </row>
    <row r="893">
      <c r="A893" t="inlineStr">
        <is>
          <t>0000189270</t>
        </is>
      </c>
      <c r="B893" t="inlineStr">
        <is>
          <t>Indo Autotech Limited (Unit V)</t>
        </is>
      </c>
      <c r="C893" t="inlineStr">
        <is>
          <t>NOS</t>
        </is>
      </c>
      <c r="D893" t="n">
        <v>587</v>
      </c>
      <c r="E893" t="n">
        <v>108.07</v>
      </c>
      <c r="F893" t="n">
        <v>409.726</v>
      </c>
      <c r="G893" t="n">
        <v>1940868</v>
      </c>
      <c r="H893" t="inlineStr">
        <is>
          <t>TUB-O-O-AUT-AW-FC-48.60X3.400X0.1840</t>
        </is>
      </c>
    </row>
    <row r="894">
      <c r="A894" t="inlineStr">
        <is>
          <t>0000189270</t>
        </is>
      </c>
      <c r="B894" t="inlineStr">
        <is>
          <t>Indo Autotech Limited (Unit V)</t>
        </is>
      </c>
      <c r="C894" t="inlineStr">
        <is>
          <t>NOS</t>
        </is>
      </c>
      <c r="D894" t="n">
        <v>1499</v>
      </c>
      <c r="E894" t="n">
        <v>1104.818</v>
      </c>
      <c r="F894" t="n">
        <v>1911.225</v>
      </c>
      <c r="G894" t="n">
        <v>1932730</v>
      </c>
      <c r="H894" t="inlineStr">
        <is>
          <t>TUB-O-N-AUT-AW-FC-50.80X1.420X0.7370</t>
        </is>
      </c>
    </row>
    <row r="895">
      <c r="A895" t="inlineStr">
        <is>
          <t>0000189270</t>
        </is>
      </c>
      <c r="B895" t="inlineStr">
        <is>
          <t>Indo Autotech Limited (Unit V)</t>
        </is>
      </c>
      <c r="C895" t="inlineStr">
        <is>
          <t>NOS</t>
        </is>
      </c>
      <c r="D895" t="n">
        <v>561</v>
      </c>
      <c r="E895" t="n">
        <v>413.478</v>
      </c>
      <c r="F895" t="n">
        <v>715.275</v>
      </c>
      <c r="G895" t="n">
        <v>1932730</v>
      </c>
      <c r="H895" t="inlineStr">
        <is>
          <t>TUB-O-N-AUT-AW-FC-50.80X1.420X0.7370</t>
        </is>
      </c>
    </row>
    <row r="896">
      <c r="A896" t="inlineStr">
        <is>
          <t>0000189270</t>
        </is>
      </c>
      <c r="B896" t="inlineStr">
        <is>
          <t>Indo Autotech Limited (Unit V)</t>
        </is>
      </c>
      <c r="C896" t="inlineStr">
        <is>
          <t>NOS</t>
        </is>
      </c>
      <c r="D896" t="n">
        <v>560</v>
      </c>
      <c r="E896" t="n">
        <v>305.907</v>
      </c>
      <c r="F896" t="n">
        <v>440.72</v>
      </c>
      <c r="G896" t="n">
        <v>1940817</v>
      </c>
      <c r="H896" t="inlineStr">
        <is>
          <t>TUB-R-AW-RHS-40.00X20.00X1.600X0.5460</t>
        </is>
      </c>
    </row>
    <row r="897">
      <c r="A897" t="inlineStr">
        <is>
          <t>0000189270</t>
        </is>
      </c>
      <c r="B897" t="inlineStr">
        <is>
          <t>Indo Autotech Limited (Unit V)</t>
        </is>
      </c>
      <c r="C897" t="inlineStr">
        <is>
          <t>NOS</t>
        </is>
      </c>
      <c r="D897" t="n">
        <v>2649</v>
      </c>
      <c r="E897" t="n">
        <v>1589.455</v>
      </c>
      <c r="F897" t="n">
        <v>3086.88</v>
      </c>
      <c r="G897" t="n">
        <v>3676839</v>
      </c>
      <c r="H897" t="inlineStr">
        <is>
          <t>TUB-R-AW-AUT-50.00X30.00X1.600X0.6000</t>
        </is>
      </c>
    </row>
    <row r="898">
      <c r="A898" t="inlineStr">
        <is>
          <t>0000189270</t>
        </is>
      </c>
      <c r="B898" t="inlineStr">
        <is>
          <t>Indo Autotech Limited (Unit V)</t>
        </is>
      </c>
      <c r="C898" t="inlineStr">
        <is>
          <t>NOS</t>
        </is>
      </c>
      <c r="D898" t="n">
        <v>351</v>
      </c>
      <c r="E898" t="n">
        <v>210.607</v>
      </c>
      <c r="F898" t="n">
        <v>409.02</v>
      </c>
      <c r="G898" t="n">
        <v>3676839</v>
      </c>
      <c r="H898" t="inlineStr">
        <is>
          <t>TUB-R-AW-AUT-50.00X30.00X1.600X0.6000</t>
        </is>
      </c>
    </row>
    <row r="899">
      <c r="A899" t="inlineStr">
        <is>
          <t>0000943209</t>
        </is>
      </c>
      <c r="B899" t="inlineStr">
        <is>
          <t>MEGH STEELS PRIVATE LIMITED - TVS A</t>
        </is>
      </c>
      <c r="C899" t="inlineStr">
        <is>
          <t>KG</t>
        </is>
      </c>
      <c r="D899" t="n">
        <v>118</v>
      </c>
      <c r="E899" t="n">
        <v>674.279</v>
      </c>
      <c r="F899" t="n">
        <v>2185</v>
      </c>
      <c r="G899" t="n">
        <v>3907863</v>
      </c>
      <c r="H899" t="inlineStr">
        <is>
          <t>TUB-O-N-AUT-AW-FC-57.15X2.500X5.7110</t>
        </is>
      </c>
    </row>
    <row r="900">
      <c r="A900" t="inlineStr">
        <is>
          <t>0000943209</t>
        </is>
      </c>
      <c r="B900" t="inlineStr">
        <is>
          <t>MEGH STEELS PRIVATE LIMITED - TVS A</t>
        </is>
      </c>
      <c r="C900" t="inlineStr">
        <is>
          <t>KG</t>
        </is>
      </c>
      <c r="D900" t="n">
        <v>80</v>
      </c>
      <c r="E900" t="n">
        <v>456.72</v>
      </c>
      <c r="F900" t="n">
        <v>1480</v>
      </c>
      <c r="G900" t="n">
        <v>3907863</v>
      </c>
      <c r="H900" t="inlineStr">
        <is>
          <t>TUB-O-N-AUT-AW-FC-57.15X2.500X5.7110</t>
        </is>
      </c>
    </row>
    <row r="901">
      <c r="A901" t="inlineStr">
        <is>
          <t>0000943209</t>
        </is>
      </c>
      <c r="B901" t="inlineStr">
        <is>
          <t>MEGH STEELS PRIVATE LIMITED - TVS A</t>
        </is>
      </c>
      <c r="C901" t="inlineStr">
        <is>
          <t>KG</t>
        </is>
      </c>
      <c r="D901" t="n">
        <v>84</v>
      </c>
      <c r="E901" t="n">
        <v>478.321</v>
      </c>
      <c r="F901" t="n">
        <v>1550</v>
      </c>
      <c r="G901" t="n">
        <v>3907863</v>
      </c>
      <c r="H901" t="inlineStr">
        <is>
          <t>TUB-O-N-AUT-AW-FC-57.15X2.500X5.7110</t>
        </is>
      </c>
    </row>
    <row r="902">
      <c r="A902" t="inlineStr">
        <is>
          <t>0000943209</t>
        </is>
      </c>
      <c r="B902" t="inlineStr">
        <is>
          <t>MEGH STEELS PRIVATE LIMITED - TVS A</t>
        </is>
      </c>
      <c r="C902" t="inlineStr">
        <is>
          <t>KG</t>
        </is>
      </c>
      <c r="D902" t="n">
        <v>80</v>
      </c>
      <c r="E902" t="n">
        <v>456.72</v>
      </c>
      <c r="F902" t="n">
        <v>1480</v>
      </c>
      <c r="G902" t="n">
        <v>3907863</v>
      </c>
      <c r="H902" t="inlineStr">
        <is>
          <t>TUB-O-N-AUT-AW-FC-57.15X2.500X5.7110</t>
        </is>
      </c>
    </row>
    <row r="903">
      <c r="A903" t="inlineStr">
        <is>
          <t>0000943209</t>
        </is>
      </c>
      <c r="B903" t="inlineStr">
        <is>
          <t>MEGH STEELS PRIVATE LIMITED - TVS A</t>
        </is>
      </c>
      <c r="C903" t="inlineStr">
        <is>
          <t>KG</t>
        </is>
      </c>
      <c r="D903" t="n">
        <v>82</v>
      </c>
      <c r="E903" t="n">
        <v>465.977</v>
      </c>
      <c r="F903" t="n">
        <v>1510</v>
      </c>
      <c r="G903" t="n">
        <v>3907863</v>
      </c>
      <c r="H903" t="inlineStr">
        <is>
          <t>TUB-O-N-AUT-AW-FC-57.15X2.500X5.7110</t>
        </is>
      </c>
    </row>
    <row r="904">
      <c r="A904" t="inlineStr">
        <is>
          <t>0000943209</t>
        </is>
      </c>
      <c r="B904" t="inlineStr">
        <is>
          <t>MEGH STEELS PRIVATE LIMITED - TVS A</t>
        </is>
      </c>
      <c r="C904" t="inlineStr">
        <is>
          <t>KG</t>
        </is>
      </c>
      <c r="D904" t="n">
        <v>78</v>
      </c>
      <c r="E904" t="n">
        <v>445.919</v>
      </c>
      <c r="F904" t="n">
        <v>1445</v>
      </c>
      <c r="G904" t="n">
        <v>3907863</v>
      </c>
      <c r="H904" t="inlineStr">
        <is>
          <t>TUB-O-N-AUT-AW-FC-57.15X2.500X5.7110</t>
        </is>
      </c>
    </row>
    <row r="905">
      <c r="A905" t="inlineStr">
        <is>
          <t>0000943209</t>
        </is>
      </c>
      <c r="B905" t="inlineStr">
        <is>
          <t>MEGH STEELS PRIVATE LIMITED - TVS A</t>
        </is>
      </c>
      <c r="C905" t="inlineStr">
        <is>
          <t>KG</t>
        </is>
      </c>
      <c r="D905" t="n">
        <v>76</v>
      </c>
      <c r="E905" t="n">
        <v>432.032</v>
      </c>
      <c r="F905" t="n">
        <v>1400</v>
      </c>
      <c r="G905" t="n">
        <v>3907863</v>
      </c>
      <c r="H905" t="inlineStr">
        <is>
          <t>TUB-O-N-AUT-AW-FC-57.15X2.500X5.7110</t>
        </is>
      </c>
    </row>
    <row r="906">
      <c r="A906" t="inlineStr">
        <is>
          <t>0000943209</t>
        </is>
      </c>
      <c r="B906" t="inlineStr">
        <is>
          <t>MEGH STEELS PRIVATE LIMITED - TVS A</t>
        </is>
      </c>
      <c r="C906" t="inlineStr">
        <is>
          <t>KG</t>
        </is>
      </c>
      <c r="D906" t="n">
        <v>82</v>
      </c>
      <c r="E906" t="n">
        <v>465.977</v>
      </c>
      <c r="F906" t="n">
        <v>1510</v>
      </c>
      <c r="G906" t="n">
        <v>3907863</v>
      </c>
      <c r="H906" t="inlineStr">
        <is>
          <t>TUB-O-N-AUT-AW-FC-57.15X2.500X5.7110</t>
        </is>
      </c>
    </row>
    <row r="907">
      <c r="A907" t="inlineStr">
        <is>
          <t>0000943209</t>
        </is>
      </c>
      <c r="B907" t="inlineStr">
        <is>
          <t>MEGH STEELS PRIVATE LIMITED - TVS A</t>
        </is>
      </c>
      <c r="C907" t="inlineStr">
        <is>
          <t>KG</t>
        </is>
      </c>
      <c r="D907" t="n">
        <v>80</v>
      </c>
      <c r="E907" t="n">
        <v>457.337</v>
      </c>
      <c r="F907" t="n">
        <v>1482</v>
      </c>
      <c r="G907" t="n">
        <v>3907863</v>
      </c>
      <c r="H907" t="inlineStr">
        <is>
          <t>TUB-O-N-AUT-AW-FC-57.15X2.500X5.7110</t>
        </is>
      </c>
    </row>
    <row r="908">
      <c r="A908" t="inlineStr">
        <is>
          <t>0000943209</t>
        </is>
      </c>
      <c r="B908" t="inlineStr">
        <is>
          <t>MEGH STEELS PRIVATE LIMITED - TVS A</t>
        </is>
      </c>
      <c r="C908" t="inlineStr">
        <is>
          <t>KG</t>
        </is>
      </c>
      <c r="D908" t="n">
        <v>73</v>
      </c>
      <c r="E908" t="n">
        <v>415.677</v>
      </c>
      <c r="F908" t="n">
        <v>1347</v>
      </c>
      <c r="G908" t="n">
        <v>3907863</v>
      </c>
      <c r="H908" t="inlineStr">
        <is>
          <t>TUB-O-N-AUT-AW-FC-57.15X2.500X5.7110</t>
        </is>
      </c>
    </row>
    <row r="909">
      <c r="A909" t="inlineStr">
        <is>
          <t>0000943209</t>
        </is>
      </c>
      <c r="B909" t="inlineStr">
        <is>
          <t>MEGH STEELS PRIVATE LIMITED - TVS A</t>
        </is>
      </c>
      <c r="C909" t="inlineStr">
        <is>
          <t>KG</t>
        </is>
      </c>
      <c r="D909" t="n">
        <v>81</v>
      </c>
      <c r="E909" t="n">
        <v>463.2</v>
      </c>
      <c r="F909" t="n">
        <v>1501</v>
      </c>
      <c r="G909" t="n">
        <v>3907863</v>
      </c>
      <c r="H909" t="inlineStr">
        <is>
          <t>TUB-O-N-AUT-AW-FC-57.15X2.500X5.7110</t>
        </is>
      </c>
    </row>
    <row r="910">
      <c r="A910" t="inlineStr">
        <is>
          <t>0000943209</t>
        </is>
      </c>
      <c r="B910" t="inlineStr">
        <is>
          <t>MEGH STEELS PRIVATE LIMITED - TVS A</t>
        </is>
      </c>
      <c r="C910" t="inlineStr">
        <is>
          <t>KG</t>
        </is>
      </c>
      <c r="D910" t="n">
        <v>74</v>
      </c>
      <c r="E910" t="n">
        <v>421.848</v>
      </c>
      <c r="F910" t="n">
        <v>1367</v>
      </c>
      <c r="G910" t="n">
        <v>3907863</v>
      </c>
      <c r="H910" t="inlineStr">
        <is>
          <t>TUB-O-N-AUT-AW-FC-57.15X2.500X5.7110</t>
        </is>
      </c>
    </row>
    <row r="911">
      <c r="A911" t="inlineStr">
        <is>
          <t>0000943209</t>
        </is>
      </c>
      <c r="B911" t="inlineStr">
        <is>
          <t>MEGH STEELS PRIVATE LIMITED - TVS A</t>
        </is>
      </c>
      <c r="C911" t="inlineStr">
        <is>
          <t>KG</t>
        </is>
      </c>
      <c r="D911" t="n">
        <v>80</v>
      </c>
      <c r="E911" t="n">
        <v>457.337</v>
      </c>
      <c r="F911" t="n">
        <v>1482</v>
      </c>
      <c r="G911" t="n">
        <v>3907863</v>
      </c>
      <c r="H911" t="inlineStr">
        <is>
          <t>TUB-O-N-AUT-AW-FC-57.15X2.500X5.7110</t>
        </is>
      </c>
    </row>
    <row r="912">
      <c r="A912" t="inlineStr">
        <is>
          <t>0000943209</t>
        </is>
      </c>
      <c r="B912" t="inlineStr">
        <is>
          <t>MEGH STEELS PRIVATE LIMITED - TVS A</t>
        </is>
      </c>
      <c r="C912" t="inlineStr">
        <is>
          <t>KG</t>
        </is>
      </c>
      <c r="D912" t="n">
        <v>79</v>
      </c>
      <c r="E912" t="n">
        <v>451.474</v>
      </c>
      <c r="F912" t="n">
        <v>1463</v>
      </c>
      <c r="G912" t="n">
        <v>3907863</v>
      </c>
      <c r="H912" t="inlineStr">
        <is>
          <t>TUB-O-N-AUT-AW-FC-57.15X2.500X5.7110</t>
        </is>
      </c>
    </row>
    <row r="913">
      <c r="A913" t="inlineStr">
        <is>
          <t>0000943209</t>
        </is>
      </c>
      <c r="B913" t="inlineStr">
        <is>
          <t>MEGH STEELS PRIVATE LIMITED - TVS A</t>
        </is>
      </c>
      <c r="C913" t="inlineStr">
        <is>
          <t>KG</t>
        </is>
      </c>
      <c r="D913" t="n">
        <v>78</v>
      </c>
      <c r="E913" t="n">
        <v>445.61</v>
      </c>
      <c r="F913" t="n">
        <v>1444</v>
      </c>
      <c r="G913" t="n">
        <v>3907863</v>
      </c>
      <c r="H913" t="inlineStr">
        <is>
          <t>TUB-O-N-AUT-AW-FC-57.15X2.500X5.7110</t>
        </is>
      </c>
    </row>
    <row r="914">
      <c r="A914" t="inlineStr">
        <is>
          <t>0000943209</t>
        </is>
      </c>
      <c r="B914" t="inlineStr">
        <is>
          <t>MEGH STEELS PRIVATE LIMITED - TVS A</t>
        </is>
      </c>
      <c r="C914" t="inlineStr">
        <is>
          <t>KG</t>
        </is>
      </c>
      <c r="D914" t="n">
        <v>29</v>
      </c>
      <c r="E914" t="n">
        <v>164.789</v>
      </c>
      <c r="F914" t="n">
        <v>534</v>
      </c>
      <c r="G914" t="n">
        <v>3907863</v>
      </c>
      <c r="H914" t="inlineStr">
        <is>
          <t>TUB-O-N-AUT-AW-FC-57.15X2.500X5.7110</t>
        </is>
      </c>
    </row>
    <row r="915">
      <c r="A915" t="inlineStr">
        <is>
          <t>0000952265</t>
        </is>
      </c>
      <c r="B915" t="inlineStr">
        <is>
          <t>A R AUTOMOTIVE INDUSTRIES PRIVATE L</t>
        </is>
      </c>
      <c r="C915" t="inlineStr">
        <is>
          <t>NOS</t>
        </is>
      </c>
      <c r="D915" t="n">
        <v>1995</v>
      </c>
      <c r="E915" t="n">
        <v>1169.052</v>
      </c>
      <c r="F915" t="n">
        <v>766.08</v>
      </c>
      <c r="G915" t="n">
        <v>3696704</v>
      </c>
      <c r="H915" t="inlineStr">
        <is>
          <t>TUB-O-N-AUT-AW-PE-15.88X2.000X0.5850</t>
        </is>
      </c>
    </row>
    <row r="916">
      <c r="A916" t="inlineStr">
        <is>
          <t>0000952265</t>
        </is>
      </c>
      <c r="B916" t="inlineStr">
        <is>
          <t>A R AUTOMOTIVE INDUSTRIES PRIVATE L</t>
        </is>
      </c>
      <c r="C916" t="inlineStr">
        <is>
          <t>NOS</t>
        </is>
      </c>
      <c r="D916" t="n">
        <v>1143</v>
      </c>
      <c r="E916" t="n">
        <v>669.788</v>
      </c>
      <c r="F916" t="n">
        <v>438.912</v>
      </c>
      <c r="G916" t="n">
        <v>3696704</v>
      </c>
      <c r="H916" t="inlineStr">
        <is>
          <t>TUB-O-N-AUT-AW-PE-15.88X2.000X0.5850</t>
        </is>
      </c>
    </row>
    <row r="917">
      <c r="A917" t="inlineStr">
        <is>
          <t>0000952265</t>
        </is>
      </c>
      <c r="B917" t="inlineStr">
        <is>
          <t>A R AUTOMOTIVE INDUSTRIES PRIVATE L</t>
        </is>
      </c>
      <c r="C917" t="inlineStr">
        <is>
          <t>NOS</t>
        </is>
      </c>
      <c r="D917" t="n">
        <v>628</v>
      </c>
      <c r="E917" t="n">
        <v>368.002</v>
      </c>
      <c r="F917" t="n">
        <v>241.152</v>
      </c>
      <c r="G917" t="n">
        <v>3696704</v>
      </c>
      <c r="H917" t="inlineStr">
        <is>
          <t>TUB-O-N-AUT-AW-PE-15.88X2.000X0.5850</t>
        </is>
      </c>
    </row>
    <row r="918">
      <c r="A918" t="inlineStr">
        <is>
          <t>0000952265</t>
        </is>
      </c>
      <c r="B918" t="inlineStr">
        <is>
          <t>A R AUTOMOTIVE INDUSTRIES PRIVATE L</t>
        </is>
      </c>
      <c r="C918" t="inlineStr">
        <is>
          <t>NOS</t>
        </is>
      </c>
      <c r="D918" t="n">
        <v>572</v>
      </c>
      <c r="E918" t="n">
        <v>335.187</v>
      </c>
      <c r="F918" t="n">
        <v>219.648</v>
      </c>
      <c r="G918" t="n">
        <v>3696704</v>
      </c>
      <c r="H918" t="inlineStr">
        <is>
          <t>TUB-O-N-AUT-AW-PE-15.88X2.000X0.5850</t>
        </is>
      </c>
    </row>
    <row r="919">
      <c r="A919" t="inlineStr">
        <is>
          <t>0000952265</t>
        </is>
      </c>
      <c r="B919" t="inlineStr">
        <is>
          <t>A R AUTOMOTIVE INDUSTRIES PRIVATE L</t>
        </is>
      </c>
      <c r="C919" t="inlineStr">
        <is>
          <t>NOS</t>
        </is>
      </c>
      <c r="D919" t="n">
        <v>195</v>
      </c>
      <c r="E919" t="n">
        <v>114.268</v>
      </c>
      <c r="F919" t="n">
        <v>74.88</v>
      </c>
      <c r="G919" t="n">
        <v>3696704</v>
      </c>
      <c r="H919" t="inlineStr">
        <is>
          <t>TUB-O-N-AUT-AW-PE-15.88X2.000X0.5850</t>
        </is>
      </c>
    </row>
    <row r="920">
      <c r="A920" t="inlineStr">
        <is>
          <t>0000952265</t>
        </is>
      </c>
      <c r="B920" t="inlineStr">
        <is>
          <t>A R AUTOMOTIVE INDUSTRIES PRIVATE L</t>
        </is>
      </c>
      <c r="C920" t="inlineStr">
        <is>
          <t>NOS</t>
        </is>
      </c>
      <c r="D920" t="n">
        <v>97</v>
      </c>
      <c r="E920" t="n">
        <v>56.841</v>
      </c>
      <c r="F920" t="n">
        <v>37.248</v>
      </c>
      <c r="G920" t="n">
        <v>3696704</v>
      </c>
      <c r="H920" t="inlineStr">
        <is>
          <t>TUB-O-N-AUT-AW-PE-15.88X2.000X0.5850</t>
        </is>
      </c>
    </row>
    <row r="921">
      <c r="A921" t="inlineStr">
        <is>
          <t>0000952265</t>
        </is>
      </c>
      <c r="B921" t="inlineStr">
        <is>
          <t>A R AUTOMOTIVE INDUSTRIES PRIVATE L</t>
        </is>
      </c>
      <c r="C921" t="inlineStr">
        <is>
          <t>NOS</t>
        </is>
      </c>
      <c r="D921" t="n">
        <v>20</v>
      </c>
      <c r="E921" t="n">
        <v>11.72</v>
      </c>
      <c r="F921" t="n">
        <v>7.68</v>
      </c>
      <c r="G921" t="n">
        <v>3696704</v>
      </c>
      <c r="H921" t="inlineStr">
        <is>
          <t>TUB-O-N-AUT-AW-PE-15.88X2.000X0.5850</t>
        </is>
      </c>
    </row>
    <row r="922">
      <c r="A922" t="inlineStr">
        <is>
          <t>0000952265</t>
        </is>
      </c>
      <c r="B922" t="inlineStr">
        <is>
          <t>A R AUTOMOTIVE INDUSTRIES PRIVATE L</t>
        </is>
      </c>
      <c r="C922" t="inlineStr">
        <is>
          <t>NOS</t>
        </is>
      </c>
      <c r="D922" t="n">
        <v>4761</v>
      </c>
      <c r="E922" t="n">
        <v>2419.37</v>
      </c>
      <c r="F922" t="n">
        <v>1585.413</v>
      </c>
      <c r="G922" t="n">
        <v>3442449</v>
      </c>
      <c r="H922" t="inlineStr">
        <is>
          <t>TUB-O-N-AUT-AW-PE-15.88X2.000X0.5070</t>
        </is>
      </c>
    </row>
    <row r="923">
      <c r="A923" t="inlineStr">
        <is>
          <t>0000952265</t>
        </is>
      </c>
      <c r="B923" t="inlineStr">
        <is>
          <t>A R AUTOMOTIVE INDUSTRIES PRIVATE L</t>
        </is>
      </c>
      <c r="C923" t="inlineStr">
        <is>
          <t>NOS</t>
        </is>
      </c>
      <c r="D923" t="n">
        <v>1042</v>
      </c>
      <c r="E923" t="n">
        <v>529.5069999999999</v>
      </c>
      <c r="F923" t="n">
        <v>346.986</v>
      </c>
      <c r="G923" t="n">
        <v>3442449</v>
      </c>
      <c r="H923" t="inlineStr">
        <is>
          <t>TUB-O-N-AUT-AW-PE-15.88X2.000X0.5070</t>
        </is>
      </c>
    </row>
    <row r="924">
      <c r="A924" t="inlineStr">
        <is>
          <t>0000952265</t>
        </is>
      </c>
      <c r="B924" t="inlineStr">
        <is>
          <t>A R AUTOMOTIVE INDUSTRIES PRIVATE L</t>
        </is>
      </c>
      <c r="C924" t="inlineStr">
        <is>
          <t>NOS</t>
        </is>
      </c>
      <c r="D924" t="n">
        <v>971</v>
      </c>
      <c r="E924" t="n">
        <v>493.427</v>
      </c>
      <c r="F924" t="n">
        <v>323.343</v>
      </c>
      <c r="G924" t="n">
        <v>3442449</v>
      </c>
      <c r="H924" t="inlineStr">
        <is>
          <t>TUB-O-N-AUT-AW-PE-15.88X2.000X0.5070</t>
        </is>
      </c>
    </row>
    <row r="925">
      <c r="A925" t="inlineStr">
        <is>
          <t>0000952265</t>
        </is>
      </c>
      <c r="B925" t="inlineStr">
        <is>
          <t>A R AUTOMOTIVE INDUSTRIES PRIVATE L</t>
        </is>
      </c>
      <c r="C925" t="inlineStr">
        <is>
          <t>NOS</t>
        </is>
      </c>
      <c r="D925" t="n">
        <v>936</v>
      </c>
      <c r="E925" t="n">
        <v>475.642</v>
      </c>
      <c r="F925" t="n">
        <v>311.688</v>
      </c>
      <c r="G925" t="n">
        <v>3442449</v>
      </c>
      <c r="H925" t="inlineStr">
        <is>
          <t>TUB-O-N-AUT-AW-PE-15.88X2.000X0.5070</t>
        </is>
      </c>
    </row>
    <row r="926">
      <c r="A926" t="inlineStr">
        <is>
          <t>0000952265</t>
        </is>
      </c>
      <c r="B926" t="inlineStr">
        <is>
          <t>A R AUTOMOTIVE INDUSTRIES PRIVATE L</t>
        </is>
      </c>
      <c r="C926" t="inlineStr">
        <is>
          <t>NOS</t>
        </is>
      </c>
      <c r="D926" t="n">
        <v>22</v>
      </c>
      <c r="E926" t="n">
        <v>11.18</v>
      </c>
      <c r="F926" t="n">
        <v>7.326</v>
      </c>
      <c r="G926" t="n">
        <v>3442449</v>
      </c>
      <c r="H926" t="inlineStr">
        <is>
          <t>TUB-O-N-AUT-AW-PE-15.88X2.000X0.5070</t>
        </is>
      </c>
    </row>
    <row r="927">
      <c r="A927" t="inlineStr">
        <is>
          <t>0000952265</t>
        </is>
      </c>
      <c r="B927" t="inlineStr">
        <is>
          <t>A R AUTOMOTIVE INDUSTRIES PRIVATE L</t>
        </is>
      </c>
      <c r="C927" t="inlineStr">
        <is>
          <t>NOS</t>
        </is>
      </c>
      <c r="D927" t="n">
        <v>18</v>
      </c>
      <c r="E927" t="n">
        <v>9.147</v>
      </c>
      <c r="F927" t="n">
        <v>5.994</v>
      </c>
      <c r="G927" t="n">
        <v>3442449</v>
      </c>
      <c r="H927" t="inlineStr">
        <is>
          <t>TUB-O-N-AUT-AW-PE-15.88X2.000X0.5070</t>
        </is>
      </c>
    </row>
    <row r="928">
      <c r="A928" t="inlineStr">
        <is>
          <t>0000952265</t>
        </is>
      </c>
      <c r="B928" t="inlineStr">
        <is>
          <t>A R AUTOMOTIVE INDUSTRIES PRIVATE L</t>
        </is>
      </c>
      <c r="C928" t="inlineStr">
        <is>
          <t>NOS</t>
        </is>
      </c>
      <c r="D928" t="n">
        <v>2467</v>
      </c>
      <c r="E928" t="n">
        <v>1272.465</v>
      </c>
      <c r="F928" t="n">
        <v>833.846</v>
      </c>
      <c r="G928" t="n">
        <v>1940099</v>
      </c>
      <c r="H928" t="inlineStr">
        <is>
          <t>TUB-O-O-AUT-AW-PE-15.88X2.000X0.5150</t>
        </is>
      </c>
    </row>
    <row r="929">
      <c r="A929" t="inlineStr">
        <is>
          <t>0000952265</t>
        </is>
      </c>
      <c r="B929" t="inlineStr">
        <is>
          <t>A R AUTOMOTIVE INDUSTRIES PRIVATE L</t>
        </is>
      </c>
      <c r="C929" t="inlineStr">
        <is>
          <t>NOS</t>
        </is>
      </c>
      <c r="D929" t="n">
        <v>140</v>
      </c>
      <c r="E929" t="n">
        <v>72.211</v>
      </c>
      <c r="F929" t="n">
        <v>47.32</v>
      </c>
      <c r="G929" t="n">
        <v>1940099</v>
      </c>
      <c r="H929" t="inlineStr">
        <is>
          <t>TUB-O-O-AUT-AW-PE-15.88X2.000X0.5150</t>
        </is>
      </c>
    </row>
    <row r="930">
      <c r="A930" t="inlineStr">
        <is>
          <t>0000952265</t>
        </is>
      </c>
      <c r="B930" t="inlineStr">
        <is>
          <t>A R AUTOMOTIVE INDUSTRIES PRIVATE L</t>
        </is>
      </c>
      <c r="C930" t="inlineStr">
        <is>
          <t>NOS</t>
        </is>
      </c>
      <c r="D930" t="n">
        <v>34</v>
      </c>
      <c r="E930" t="n">
        <v>17.537</v>
      </c>
      <c r="F930" t="n">
        <v>11.492</v>
      </c>
      <c r="G930" t="n">
        <v>1940099</v>
      </c>
      <c r="H930" t="inlineStr">
        <is>
          <t>TUB-O-O-AUT-AW-PE-15.88X2.000X0.5150</t>
        </is>
      </c>
    </row>
    <row r="931">
      <c r="A931" t="inlineStr">
        <is>
          <t>0000952265</t>
        </is>
      </c>
      <c r="B931" t="inlineStr">
        <is>
          <t>A R AUTOMOTIVE INDUSTRIES PRIVATE L</t>
        </is>
      </c>
      <c r="C931" t="inlineStr">
        <is>
          <t>NOS</t>
        </is>
      </c>
      <c r="D931" t="n">
        <v>9</v>
      </c>
      <c r="E931" t="n">
        <v>4.642</v>
      </c>
      <c r="F931" t="n">
        <v>3.042</v>
      </c>
      <c r="G931" t="n">
        <v>1940099</v>
      </c>
      <c r="H931" t="inlineStr">
        <is>
          <t>TUB-O-O-AUT-AW-PE-15.88X2.000X0.5150</t>
        </is>
      </c>
    </row>
    <row r="932">
      <c r="A932" t="inlineStr">
        <is>
          <t>0000952265</t>
        </is>
      </c>
      <c r="B932" t="inlineStr">
        <is>
          <t>A R AUTOMOTIVE INDUSTRIES PRIVATE L</t>
        </is>
      </c>
      <c r="C932" t="inlineStr">
        <is>
          <t>NOS</t>
        </is>
      </c>
      <c r="D932" t="n">
        <v>3147</v>
      </c>
      <c r="E932" t="n">
        <v>777.986</v>
      </c>
      <c r="F932" t="n">
        <v>509.814</v>
      </c>
      <c r="G932" t="n">
        <v>3722840</v>
      </c>
      <c r="H932" t="inlineStr">
        <is>
          <t>TUB-O-N-AUT-AW-PE-15.88X2.000X0.2470</t>
        </is>
      </c>
    </row>
    <row r="933">
      <c r="A933" t="inlineStr">
        <is>
          <t>0000952265</t>
        </is>
      </c>
      <c r="B933" t="inlineStr">
        <is>
          <t>A R AUTOMOTIVE INDUSTRIES PRIVATE L</t>
        </is>
      </c>
      <c r="C933" t="inlineStr">
        <is>
          <t>NOS</t>
        </is>
      </c>
      <c r="D933" t="n">
        <v>3067</v>
      </c>
      <c r="E933" t="n">
        <v>758.208</v>
      </c>
      <c r="F933" t="n">
        <v>496.854</v>
      </c>
      <c r="G933" t="n">
        <v>3722840</v>
      </c>
      <c r="H933" t="inlineStr">
        <is>
          <t>TUB-O-N-AUT-AW-PE-15.88X2.000X0.2470</t>
        </is>
      </c>
    </row>
    <row r="934">
      <c r="A934" t="inlineStr">
        <is>
          <t>0000952265</t>
        </is>
      </c>
      <c r="B934" t="inlineStr">
        <is>
          <t>A R AUTOMOTIVE INDUSTRIES PRIVATE L</t>
        </is>
      </c>
      <c r="C934" t="inlineStr">
        <is>
          <t>NOS</t>
        </is>
      </c>
      <c r="D934" t="n">
        <v>786</v>
      </c>
      <c r="E934" t="n">
        <v>194.311</v>
      </c>
      <c r="F934" t="n">
        <v>127.332</v>
      </c>
      <c r="G934" t="n">
        <v>3722840</v>
      </c>
      <c r="H934" t="inlineStr">
        <is>
          <t>TUB-O-N-AUT-AW-PE-15.88X2.000X0.2470</t>
        </is>
      </c>
    </row>
    <row r="935">
      <c r="A935" t="inlineStr">
        <is>
          <t>0000952265</t>
        </is>
      </c>
      <c r="B935" t="inlineStr">
        <is>
          <t>A R AUTOMOTIVE INDUSTRIES PRIVATE L</t>
        </is>
      </c>
      <c r="C935" t="inlineStr">
        <is>
          <t>NOS</t>
        </is>
      </c>
      <c r="D935" t="n">
        <v>109</v>
      </c>
      <c r="E935" t="n">
        <v>81.33799999999999</v>
      </c>
      <c r="F935" t="n">
        <v>53.301</v>
      </c>
      <c r="G935" t="n">
        <v>3722839</v>
      </c>
      <c r="H935" t="inlineStr">
        <is>
          <t>TUB-O-N-AUT-AW-PE-15.88X2.000X0.7450</t>
        </is>
      </c>
    </row>
    <row r="936">
      <c r="A936" t="inlineStr">
        <is>
          <t>0000952265</t>
        </is>
      </c>
      <c r="B936" t="inlineStr">
        <is>
          <t>A R AUTOMOTIVE INDUSTRIES PRIVATE L</t>
        </is>
      </c>
      <c r="C936" t="inlineStr">
        <is>
          <t>NOS</t>
        </is>
      </c>
      <c r="D936" t="n">
        <v>91</v>
      </c>
      <c r="E936" t="n">
        <v>67.90600000000001</v>
      </c>
      <c r="F936" t="n">
        <v>44.499</v>
      </c>
      <c r="G936" t="n">
        <v>3722839</v>
      </c>
      <c r="H936" t="inlineStr">
        <is>
          <t>TUB-O-N-AUT-AW-PE-15.88X2.000X0.7450</t>
        </is>
      </c>
    </row>
    <row r="937">
      <c r="A937" t="inlineStr">
        <is>
          <t>0000952265</t>
        </is>
      </c>
      <c r="B937" t="inlineStr">
        <is>
          <t>A R AUTOMOTIVE INDUSTRIES PRIVATE L</t>
        </is>
      </c>
      <c r="C937" t="inlineStr">
        <is>
          <t>NOS</t>
        </is>
      </c>
      <c r="D937" t="n">
        <v>4944</v>
      </c>
      <c r="E937" t="n">
        <v>3463.733</v>
      </c>
      <c r="F937" t="n">
        <v>1517.808</v>
      </c>
      <c r="G937" t="n">
        <v>2319114</v>
      </c>
      <c r="H937" t="inlineStr">
        <is>
          <t>TUB-O-N-AUT-AW-PE-12.70X1.600X0.7000</t>
        </is>
      </c>
    </row>
    <row r="938">
      <c r="A938" t="inlineStr">
        <is>
          <t>0000952265</t>
        </is>
      </c>
      <c r="B938" t="inlineStr">
        <is>
          <t>A R AUTOMOTIVE INDUSTRIES PRIVATE L</t>
        </is>
      </c>
      <c r="C938" t="inlineStr">
        <is>
          <t>NOS</t>
        </is>
      </c>
      <c r="D938" t="n">
        <v>456</v>
      </c>
      <c r="E938" t="n">
        <v>319.471</v>
      </c>
      <c r="F938" t="n">
        <v>139.992</v>
      </c>
      <c r="G938" t="n">
        <v>2319114</v>
      </c>
      <c r="H938" t="inlineStr">
        <is>
          <t>TUB-O-N-AUT-AW-PE-12.70X1.600X0.7000</t>
        </is>
      </c>
    </row>
    <row r="939">
      <c r="A939" t="inlineStr">
        <is>
          <t>0000952265</t>
        </is>
      </c>
      <c r="B939" t="inlineStr">
        <is>
          <t>A R AUTOMOTIVE INDUSTRIES PRIVATE L</t>
        </is>
      </c>
      <c r="C939" t="inlineStr">
        <is>
          <t>NOS</t>
        </is>
      </c>
      <c r="D939" t="n">
        <v>2279</v>
      </c>
      <c r="E939" t="n">
        <v>1140.717</v>
      </c>
      <c r="F939" t="n">
        <v>747.5119999999999</v>
      </c>
      <c r="G939" t="n">
        <v>3442448</v>
      </c>
      <c r="H939" t="inlineStr">
        <is>
          <t>TUB-O-N-AUT-AW-PE-15.88X2.000X0.5000</t>
        </is>
      </c>
    </row>
    <row r="940">
      <c r="A940" t="inlineStr">
        <is>
          <t>0000952265</t>
        </is>
      </c>
      <c r="B940" t="inlineStr">
        <is>
          <t>A R AUTOMOTIVE INDUSTRIES PRIVATE L</t>
        </is>
      </c>
      <c r="C940" t="inlineStr">
        <is>
          <t>NOS</t>
        </is>
      </c>
      <c r="D940" t="n">
        <v>1112</v>
      </c>
      <c r="E940" t="n">
        <v>556.5940000000001</v>
      </c>
      <c r="F940" t="n">
        <v>364.736</v>
      </c>
      <c r="G940" t="n">
        <v>3442448</v>
      </c>
      <c r="H940" t="inlineStr">
        <is>
          <t>TUB-O-N-AUT-AW-PE-15.88X2.000X0.5000</t>
        </is>
      </c>
    </row>
    <row r="941">
      <c r="A941" t="inlineStr">
        <is>
          <t>0000952265</t>
        </is>
      </c>
      <c r="B941" t="inlineStr">
        <is>
          <t>A R AUTOMOTIVE INDUSTRIES PRIVATE L</t>
        </is>
      </c>
      <c r="C941" t="inlineStr">
        <is>
          <t>NOS</t>
        </is>
      </c>
      <c r="D941" t="n">
        <v>432</v>
      </c>
      <c r="E941" t="n">
        <v>216.231</v>
      </c>
      <c r="F941" t="n">
        <v>141.696</v>
      </c>
      <c r="G941" t="n">
        <v>3442448</v>
      </c>
      <c r="H941" t="inlineStr">
        <is>
          <t>TUB-O-N-AUT-AW-PE-15.88X2.000X0.5000</t>
        </is>
      </c>
    </row>
    <row r="942">
      <c r="A942" t="inlineStr">
        <is>
          <t>0000952265</t>
        </is>
      </c>
      <c r="B942" t="inlineStr">
        <is>
          <t>A R AUTOMOTIVE INDUSTRIES PRIVATE L</t>
        </is>
      </c>
      <c r="C942" t="inlineStr">
        <is>
          <t>NOS</t>
        </is>
      </c>
      <c r="D942" t="n">
        <v>412</v>
      </c>
      <c r="E942" t="n">
        <v>206.22</v>
      </c>
      <c r="F942" t="n">
        <v>135.136</v>
      </c>
      <c r="G942" t="n">
        <v>3442448</v>
      </c>
      <c r="H942" t="inlineStr">
        <is>
          <t>TUB-O-N-AUT-AW-PE-15.88X2.000X0.5000</t>
        </is>
      </c>
    </row>
    <row r="943">
      <c r="A943" t="inlineStr">
        <is>
          <t>0000952265</t>
        </is>
      </c>
      <c r="B943" t="inlineStr">
        <is>
          <t>A R AUTOMOTIVE INDUSTRIES PRIVATE L</t>
        </is>
      </c>
      <c r="C943" t="inlineStr">
        <is>
          <t>NOS</t>
        </is>
      </c>
      <c r="D943" t="n">
        <v>15</v>
      </c>
      <c r="E943" t="n">
        <v>7.508</v>
      </c>
      <c r="F943" t="n">
        <v>4.92</v>
      </c>
      <c r="G943" t="n">
        <v>3442448</v>
      </c>
      <c r="H943" t="inlineStr">
        <is>
          <t>TUB-O-N-AUT-AW-PE-15.88X2.000X0.5000</t>
        </is>
      </c>
    </row>
    <row r="944">
      <c r="A944" t="inlineStr">
        <is>
          <t>0000952265</t>
        </is>
      </c>
      <c r="B944" t="inlineStr">
        <is>
          <t>A R AUTOMOTIVE INDUSTRIES PRIVATE L</t>
        </is>
      </c>
      <c r="C944" t="inlineStr">
        <is>
          <t>NOS</t>
        </is>
      </c>
      <c r="D944" t="n">
        <v>179</v>
      </c>
      <c r="E944" t="n">
        <v>165.576</v>
      </c>
      <c r="F944" t="n">
        <v>72.539</v>
      </c>
      <c r="G944" t="n">
        <v>3517740</v>
      </c>
      <c r="H944" t="inlineStr">
        <is>
          <t>CUT-O-N-AUT-AW-PE-12.70X1.600X0.9250</t>
        </is>
      </c>
    </row>
    <row r="945">
      <c r="A945" t="inlineStr">
        <is>
          <t>0000952265</t>
        </is>
      </c>
      <c r="B945" t="inlineStr">
        <is>
          <t>A R AUTOMOTIVE INDUSTRIES PRIVATE L</t>
        </is>
      </c>
      <c r="C945" t="inlineStr">
        <is>
          <t>NOS</t>
        </is>
      </c>
      <c r="D945" t="n">
        <v>21</v>
      </c>
      <c r="E945" t="n">
        <v>19.425</v>
      </c>
      <c r="F945" t="n">
        <v>8.51</v>
      </c>
      <c r="G945" t="n">
        <v>3517740</v>
      </c>
      <c r="H945" t="inlineStr">
        <is>
          <t>CUT-O-N-AUT-AW-PE-12.70X1.600X0.9250</t>
        </is>
      </c>
    </row>
    <row r="946">
      <c r="A946" t="inlineStr">
        <is>
          <t>0000952265</t>
        </is>
      </c>
      <c r="B946" t="inlineStr">
        <is>
          <t>A R AUTOMOTIVE INDUSTRIES PRIVATE L</t>
        </is>
      </c>
      <c r="C946" t="inlineStr">
        <is>
          <t>NOS</t>
        </is>
      </c>
      <c r="D946" t="n">
        <v>879</v>
      </c>
      <c r="E946" t="n">
        <v>395.601</v>
      </c>
      <c r="F946" t="n">
        <v>272.49</v>
      </c>
      <c r="G946" t="n">
        <v>1933568</v>
      </c>
      <c r="H946" t="inlineStr">
        <is>
          <t>TUB-O-N-AUT-AW-PE-19.05X1.600X0.4500</t>
        </is>
      </c>
    </row>
    <row r="947">
      <c r="A947" t="inlineStr">
        <is>
          <t>0000952265</t>
        </is>
      </c>
      <c r="B947" t="inlineStr">
        <is>
          <t>A R AUTOMOTIVE INDUSTRIES PRIVATE L</t>
        </is>
      </c>
      <c r="C947" t="inlineStr">
        <is>
          <t>NOS</t>
        </is>
      </c>
      <c r="D947" t="n">
        <v>25</v>
      </c>
      <c r="E947" t="n">
        <v>11.251</v>
      </c>
      <c r="F947" t="n">
        <v>7.75</v>
      </c>
      <c r="G947" t="n">
        <v>1933568</v>
      </c>
      <c r="H947" t="inlineStr">
        <is>
          <t>TUB-O-N-AUT-AW-PE-19.05X1.600X0.4500</t>
        </is>
      </c>
    </row>
    <row r="948">
      <c r="A948" t="inlineStr">
        <is>
          <t>0000952265</t>
        </is>
      </c>
      <c r="B948" t="inlineStr">
        <is>
          <t>A R AUTOMOTIVE INDUSTRIES PRIVATE L</t>
        </is>
      </c>
      <c r="C948" t="inlineStr">
        <is>
          <t>NOS</t>
        </is>
      </c>
      <c r="D948" t="n">
        <v>24</v>
      </c>
      <c r="E948" t="n">
        <v>10.801</v>
      </c>
      <c r="F948" t="n">
        <v>7.44</v>
      </c>
      <c r="G948" t="n">
        <v>1933568</v>
      </c>
      <c r="H948" t="inlineStr">
        <is>
          <t>TUB-O-N-AUT-AW-PE-19.05X1.600X0.4500</t>
        </is>
      </c>
    </row>
    <row r="949">
      <c r="A949" t="inlineStr">
        <is>
          <t>0000952265</t>
        </is>
      </c>
      <c r="B949" t="inlineStr">
        <is>
          <t>A R AUTOMOTIVE INDUSTRIES PRIVATE L</t>
        </is>
      </c>
      <c r="C949" t="inlineStr">
        <is>
          <t>NOS</t>
        </is>
      </c>
      <c r="D949" t="n">
        <v>16</v>
      </c>
      <c r="E949" t="n">
        <v>7.201</v>
      </c>
      <c r="F949" t="n">
        <v>4.96</v>
      </c>
      <c r="G949" t="n">
        <v>1933568</v>
      </c>
      <c r="H949" t="inlineStr">
        <is>
          <t>TUB-O-N-AUT-AW-PE-19.05X1.600X0.4500</t>
        </is>
      </c>
    </row>
    <row r="950">
      <c r="A950" t="inlineStr">
        <is>
          <t>0000952265</t>
        </is>
      </c>
      <c r="B950" t="inlineStr">
        <is>
          <t>A R AUTOMOTIVE INDUSTRIES PRIVATE L</t>
        </is>
      </c>
      <c r="C950" t="inlineStr">
        <is>
          <t>NOS</t>
        </is>
      </c>
      <c r="D950" t="n">
        <v>6</v>
      </c>
      <c r="E950" t="n">
        <v>2.7</v>
      </c>
      <c r="F950" t="n">
        <v>1.86</v>
      </c>
      <c r="G950" t="n">
        <v>1933568</v>
      </c>
      <c r="H950" t="inlineStr">
        <is>
          <t>TUB-O-N-AUT-AW-PE-19.05X1.600X0.4500</t>
        </is>
      </c>
    </row>
    <row r="951">
      <c r="A951" t="inlineStr">
        <is>
          <t>0000952265</t>
        </is>
      </c>
      <c r="B951" t="inlineStr">
        <is>
          <t>A R AUTOMOTIVE INDUSTRIES PRIVATE L</t>
        </is>
      </c>
      <c r="C951" t="inlineStr">
        <is>
          <t>NOS</t>
        </is>
      </c>
      <c r="D951" t="n">
        <v>896</v>
      </c>
      <c r="E951" t="n">
        <v>598.883</v>
      </c>
      <c r="F951" t="n">
        <v>392.448</v>
      </c>
      <c r="G951" t="n">
        <v>3863795</v>
      </c>
      <c r="H951" t="inlineStr">
        <is>
          <t>CUT-O-N-AUT-AW-PE-15.88X2.000X0.6680</t>
        </is>
      </c>
    </row>
    <row r="952">
      <c r="A952" t="inlineStr">
        <is>
          <t>0000952265</t>
        </is>
      </c>
      <c r="B952" t="inlineStr">
        <is>
          <t>A R AUTOMOTIVE INDUSTRIES PRIVATE L</t>
        </is>
      </c>
      <c r="C952" t="inlineStr">
        <is>
          <t>NOS</t>
        </is>
      </c>
      <c r="D952" t="n">
        <v>312</v>
      </c>
      <c r="E952" t="n">
        <v>208.54</v>
      </c>
      <c r="F952" t="n">
        <v>136.656</v>
      </c>
      <c r="G952" t="n">
        <v>3863795</v>
      </c>
      <c r="H952" t="inlineStr">
        <is>
          <t>CUT-O-N-AUT-AW-PE-15.88X2.000X0.6680</t>
        </is>
      </c>
    </row>
    <row r="953">
      <c r="A953" t="inlineStr">
        <is>
          <t>0000952265</t>
        </is>
      </c>
      <c r="B953" t="inlineStr">
        <is>
          <t>A R AUTOMOTIVE INDUSTRIES PRIVATE L</t>
        </is>
      </c>
      <c r="C953" t="inlineStr">
        <is>
          <t>NOS</t>
        </is>
      </c>
      <c r="D953" t="n">
        <v>89</v>
      </c>
      <c r="E953" t="n">
        <v>59.487</v>
      </c>
      <c r="F953" t="n">
        <v>38.982</v>
      </c>
      <c r="G953" t="n">
        <v>3863795</v>
      </c>
      <c r="H953" t="inlineStr">
        <is>
          <t>CUT-O-N-AUT-AW-PE-15.88X2.000X0.6680</t>
        </is>
      </c>
    </row>
    <row r="954">
      <c r="A954" t="inlineStr">
        <is>
          <t>0000952265</t>
        </is>
      </c>
      <c r="B954" t="inlineStr">
        <is>
          <t>A R AUTOMOTIVE INDUSTRIES PRIVATE L</t>
        </is>
      </c>
      <c r="C954" t="inlineStr">
        <is>
          <t>NOS</t>
        </is>
      </c>
      <c r="D954" t="n">
        <v>3</v>
      </c>
      <c r="E954" t="n">
        <v>2.005</v>
      </c>
      <c r="F954" t="n">
        <v>1.314</v>
      </c>
      <c r="G954" t="n">
        <v>3863795</v>
      </c>
      <c r="H954" t="inlineStr">
        <is>
          <t>CUT-O-N-AUT-AW-PE-15.88X2.000X0.6680</t>
        </is>
      </c>
    </row>
    <row r="955">
      <c r="A955" t="inlineStr">
        <is>
          <t>0000188356</t>
        </is>
      </c>
      <c r="B955" t="inlineStr">
        <is>
          <t>Thai Summit Autoparts India Pvt Ltd</t>
        </is>
      </c>
      <c r="C955" t="inlineStr">
        <is>
          <t>NOS</t>
        </is>
      </c>
      <c r="D955" t="n">
        <v>1281</v>
      </c>
      <c r="E955" t="n">
        <v>731.231</v>
      </c>
      <c r="F955" t="n">
        <v>1356.579</v>
      </c>
      <c r="G955" t="n">
        <v>3781648</v>
      </c>
      <c r="H955" t="inlineStr">
        <is>
          <t>TUB-E-AW-AUT-59.00X30.00X1.600X0.5710</t>
        </is>
      </c>
    </row>
    <row r="956">
      <c r="A956" t="inlineStr">
        <is>
          <t>0000188356</t>
        </is>
      </c>
      <c r="B956" t="inlineStr">
        <is>
          <t>Thai Summit Autoparts India Pvt Ltd</t>
        </is>
      </c>
      <c r="C956" t="inlineStr">
        <is>
          <t>NOS</t>
        </is>
      </c>
      <c r="D956" t="n">
        <v>1119</v>
      </c>
      <c r="E956" t="n">
        <v>638.756</v>
      </c>
      <c r="F956" t="n">
        <v>1185.021</v>
      </c>
      <c r="G956" t="n">
        <v>3781648</v>
      </c>
      <c r="H956" t="inlineStr">
        <is>
          <t>TUB-E-AW-AUT-59.00X30.00X1.600X0.5710</t>
        </is>
      </c>
    </row>
    <row r="957">
      <c r="A957" t="inlineStr">
        <is>
          <t>0000188356</t>
        </is>
      </c>
      <c r="B957" t="inlineStr">
        <is>
          <t>Thai Summit Autoparts India Pvt Ltd</t>
        </is>
      </c>
      <c r="C957" t="inlineStr">
        <is>
          <t>NOS</t>
        </is>
      </c>
      <c r="D957" t="n">
        <v>1040</v>
      </c>
      <c r="E957" t="n">
        <v>593.6609999999999</v>
      </c>
      <c r="F957" t="n">
        <v>1101.36</v>
      </c>
      <c r="G957" t="n">
        <v>3781648</v>
      </c>
      <c r="H957" t="inlineStr">
        <is>
          <t>TUB-E-AW-AUT-59.00X30.00X1.600X0.5710</t>
        </is>
      </c>
    </row>
    <row r="958">
      <c r="A958" t="inlineStr">
        <is>
          <t>0000188356</t>
        </is>
      </c>
      <c r="B958" t="inlineStr">
        <is>
          <t>Thai Summit Autoparts India Pvt Ltd</t>
        </is>
      </c>
      <c r="C958" t="inlineStr">
        <is>
          <t>NOS</t>
        </is>
      </c>
      <c r="D958" t="n">
        <v>749</v>
      </c>
      <c r="E958" t="n">
        <v>427.55</v>
      </c>
      <c r="F958" t="n">
        <v>793.191</v>
      </c>
      <c r="G958" t="n">
        <v>3781648</v>
      </c>
      <c r="H958" t="inlineStr">
        <is>
          <t>TUB-E-AW-AUT-59.00X30.00X1.600X0.5710</t>
        </is>
      </c>
    </row>
    <row r="959">
      <c r="A959" t="inlineStr">
        <is>
          <t>0000188356</t>
        </is>
      </c>
      <c r="B959" t="inlineStr">
        <is>
          <t>Thai Summit Autoparts India Pvt Ltd</t>
        </is>
      </c>
      <c r="C959" t="inlineStr">
        <is>
          <t>NOS</t>
        </is>
      </c>
      <c r="D959" t="n">
        <v>710</v>
      </c>
      <c r="E959" t="n">
        <v>405.288</v>
      </c>
      <c r="F959" t="n">
        <v>751.89</v>
      </c>
      <c r="G959" t="n">
        <v>3781648</v>
      </c>
      <c r="H959" t="inlineStr">
        <is>
          <t>TUB-E-AW-AUT-59.00X30.00X1.600X0.5710</t>
        </is>
      </c>
    </row>
    <row r="960">
      <c r="A960" t="inlineStr">
        <is>
          <t>0000188356</t>
        </is>
      </c>
      <c r="B960" t="inlineStr">
        <is>
          <t>Thai Summit Autoparts India Pvt Ltd</t>
        </is>
      </c>
      <c r="C960" t="inlineStr">
        <is>
          <t>NOS</t>
        </is>
      </c>
      <c r="D960" t="n">
        <v>660</v>
      </c>
      <c r="E960" t="n">
        <v>376.746</v>
      </c>
      <c r="F960" t="n">
        <v>698.9400000000001</v>
      </c>
      <c r="G960" t="n">
        <v>3781648</v>
      </c>
      <c r="H960" t="inlineStr">
        <is>
          <t>TUB-E-AW-AUT-59.00X30.00X1.600X0.5710</t>
        </is>
      </c>
    </row>
    <row r="961">
      <c r="A961" t="inlineStr">
        <is>
          <t>0000188356</t>
        </is>
      </c>
      <c r="B961" t="inlineStr">
        <is>
          <t>Thai Summit Autoparts India Pvt Ltd</t>
        </is>
      </c>
      <c r="C961" t="inlineStr">
        <is>
          <t>NOS</t>
        </is>
      </c>
      <c r="D961" t="n">
        <v>650</v>
      </c>
      <c r="E961" t="n">
        <v>371.038</v>
      </c>
      <c r="F961" t="n">
        <v>688.35</v>
      </c>
      <c r="G961" t="n">
        <v>3781648</v>
      </c>
      <c r="H961" t="inlineStr">
        <is>
          <t>TUB-E-AW-AUT-59.00X30.00X1.600X0.5710</t>
        </is>
      </c>
    </row>
    <row r="962">
      <c r="A962" t="inlineStr">
        <is>
          <t>0000188356</t>
        </is>
      </c>
      <c r="B962" t="inlineStr">
        <is>
          <t>Thai Summit Autoparts India Pvt Ltd</t>
        </is>
      </c>
      <c r="C962" t="inlineStr">
        <is>
          <t>NOS</t>
        </is>
      </c>
      <c r="D962" t="n">
        <v>559</v>
      </c>
      <c r="E962" t="n">
        <v>319.093</v>
      </c>
      <c r="F962" t="n">
        <v>591.981</v>
      </c>
      <c r="G962" t="n">
        <v>3781648</v>
      </c>
      <c r="H962" t="inlineStr">
        <is>
          <t>TUB-E-AW-AUT-59.00X30.00X1.600X0.5710</t>
        </is>
      </c>
    </row>
    <row r="963">
      <c r="A963" t="inlineStr">
        <is>
          <t>0000188356</t>
        </is>
      </c>
      <c r="B963" t="inlineStr">
        <is>
          <t>Thai Summit Autoparts India Pvt Ltd</t>
        </is>
      </c>
      <c r="C963" t="inlineStr">
        <is>
          <t>NOS</t>
        </is>
      </c>
      <c r="D963" t="n">
        <v>259</v>
      </c>
      <c r="E963" t="n">
        <v>147.844</v>
      </c>
      <c r="F963" t="n">
        <v>274.281</v>
      </c>
      <c r="G963" t="n">
        <v>3781648</v>
      </c>
      <c r="H963" t="inlineStr">
        <is>
          <t>TUB-E-AW-AUT-59.00X30.00X1.600X0.5710</t>
        </is>
      </c>
    </row>
    <row r="964">
      <c r="A964" t="inlineStr">
        <is>
          <t>0000188356</t>
        </is>
      </c>
      <c r="B964" t="inlineStr">
        <is>
          <t>Thai Summit Autoparts India Pvt Ltd</t>
        </is>
      </c>
      <c r="C964" t="inlineStr">
        <is>
          <t>NOS</t>
        </is>
      </c>
      <c r="D964" t="n">
        <v>70</v>
      </c>
      <c r="E964" t="n">
        <v>39.958</v>
      </c>
      <c r="F964" t="n">
        <v>74.13</v>
      </c>
      <c r="G964" t="n">
        <v>3781648</v>
      </c>
      <c r="H964" t="inlineStr">
        <is>
          <t>TUB-E-AW-AUT-59.00X30.00X1.600X0.5710</t>
        </is>
      </c>
    </row>
    <row r="965">
      <c r="A965" t="inlineStr">
        <is>
          <t>0000188356</t>
        </is>
      </c>
      <c r="B965" t="inlineStr">
        <is>
          <t>Thai Summit Autoparts India Pvt Ltd</t>
        </is>
      </c>
      <c r="C965" t="inlineStr">
        <is>
          <t>NOS</t>
        </is>
      </c>
      <c r="D965" t="n">
        <v>63</v>
      </c>
      <c r="E965" t="n">
        <v>35.962</v>
      </c>
      <c r="F965" t="n">
        <v>66.717</v>
      </c>
      <c r="G965" t="n">
        <v>3781648</v>
      </c>
      <c r="H965" t="inlineStr">
        <is>
          <t>TUB-E-AW-AUT-59.00X30.00X1.600X0.5710</t>
        </is>
      </c>
    </row>
    <row r="966">
      <c r="A966" t="inlineStr">
        <is>
          <t>0000188356</t>
        </is>
      </c>
      <c r="B966" t="inlineStr">
        <is>
          <t>Thai Summit Autoparts India Pvt Ltd</t>
        </is>
      </c>
      <c r="C966" t="inlineStr">
        <is>
          <t>NOS</t>
        </is>
      </c>
      <c r="D966" t="n">
        <v>4800</v>
      </c>
      <c r="E966" t="n">
        <v>891.677</v>
      </c>
      <c r="F966" t="n">
        <v>369.6</v>
      </c>
      <c r="G966" t="n">
        <v>3204544</v>
      </c>
      <c r="H966" t="inlineStr">
        <is>
          <t>TUB-O-N-AUT-AW-PE-12.70X1.500X0.1840</t>
        </is>
      </c>
    </row>
    <row r="967">
      <c r="A967" t="inlineStr">
        <is>
          <t>0000188356</t>
        </is>
      </c>
      <c r="B967" t="inlineStr">
        <is>
          <t>Thai Summit Autoparts India Pvt Ltd</t>
        </is>
      </c>
      <c r="C967" t="inlineStr">
        <is>
          <t>NOS</t>
        </is>
      </c>
      <c r="D967" t="n">
        <v>1970</v>
      </c>
      <c r="E967" t="n">
        <v>492.508</v>
      </c>
      <c r="F967" t="n">
        <v>327.523</v>
      </c>
      <c r="G967" t="n">
        <v>3781686</v>
      </c>
      <c r="H967" t="inlineStr">
        <is>
          <t>CUT-O-N-AUT-AW-PE-19.05X1.600X0.2500</t>
        </is>
      </c>
    </row>
    <row r="968">
      <c r="A968" t="inlineStr">
        <is>
          <t>0000188356</t>
        </is>
      </c>
      <c r="B968" t="inlineStr">
        <is>
          <t>Thai Summit Autoparts India Pvt Ltd</t>
        </is>
      </c>
      <c r="C968" t="inlineStr">
        <is>
          <t>NOS</t>
        </is>
      </c>
      <c r="D968" t="n">
        <v>1966</v>
      </c>
      <c r="E968" t="n">
        <v>491.508</v>
      </c>
      <c r="F968" t="n">
        <v>326.858</v>
      </c>
      <c r="G968" t="n">
        <v>3781686</v>
      </c>
      <c r="H968" t="inlineStr">
        <is>
          <t>CUT-O-N-AUT-AW-PE-19.05X1.600X0.2500</t>
        </is>
      </c>
    </row>
    <row r="969">
      <c r="A969" t="inlineStr">
        <is>
          <t>0000188356</t>
        </is>
      </c>
      <c r="B969" t="inlineStr">
        <is>
          <t>Thai Summit Autoparts India Pvt Ltd</t>
        </is>
      </c>
      <c r="C969" t="inlineStr">
        <is>
          <t>NOS</t>
        </is>
      </c>
      <c r="D969" t="n">
        <v>1056</v>
      </c>
      <c r="E969" t="n">
        <v>264.004</v>
      </c>
      <c r="F969" t="n">
        <v>175.566</v>
      </c>
      <c r="G969" t="n">
        <v>3781686</v>
      </c>
      <c r="H969" t="inlineStr">
        <is>
          <t>CUT-O-N-AUT-AW-PE-19.05X1.600X0.2500</t>
        </is>
      </c>
    </row>
    <row r="970">
      <c r="A970" t="inlineStr">
        <is>
          <t>0000188356</t>
        </is>
      </c>
      <c r="B970" t="inlineStr">
        <is>
          <t>Thai Summit Autoparts India Pvt Ltd</t>
        </is>
      </c>
      <c r="C970" t="inlineStr">
        <is>
          <t>NOS</t>
        </is>
      </c>
      <c r="D970" t="n">
        <v>8</v>
      </c>
      <c r="E970" t="n">
        <v>2</v>
      </c>
      <c r="F970" t="n">
        <v>1.33</v>
      </c>
      <c r="G970" t="n">
        <v>3781686</v>
      </c>
      <c r="H970" t="inlineStr">
        <is>
          <t>CUT-O-N-AUT-AW-PE-19.05X1.600X0.2500</t>
        </is>
      </c>
    </row>
    <row r="971">
      <c r="A971" t="inlineStr">
        <is>
          <t>0000949970</t>
        </is>
      </c>
      <c r="B971" t="inlineStr">
        <is>
          <t>SANDHAR ENGINEERING PVTLTD(KA)U-III</t>
        </is>
      </c>
      <c r="C971" t="inlineStr">
        <is>
          <t>NOS</t>
        </is>
      </c>
      <c r="D971" t="n">
        <v>727</v>
      </c>
      <c r="E971" t="n">
        <v>657.731</v>
      </c>
      <c r="F971" t="n">
        <v>656.481</v>
      </c>
      <c r="G971" t="n">
        <v>1940478</v>
      </c>
      <c r="H971" t="inlineStr">
        <is>
          <t>TUB-O-O-AUT-AW-PE-22.23X2.00X0.905-MAHS</t>
        </is>
      </c>
    </row>
    <row r="972">
      <c r="A972" t="inlineStr">
        <is>
          <t>0000949970</t>
        </is>
      </c>
      <c r="B972" t="inlineStr">
        <is>
          <t>SANDHAR ENGINEERING PVTLTD(KA)U-III</t>
        </is>
      </c>
      <c r="C972" t="inlineStr">
        <is>
          <t>NOS</t>
        </is>
      </c>
      <c r="D972" t="n">
        <v>100</v>
      </c>
      <c r="E972" t="n">
        <v>90.47199999999999</v>
      </c>
      <c r="F972" t="n">
        <v>90.3</v>
      </c>
      <c r="G972" t="n">
        <v>1940478</v>
      </c>
      <c r="H972" t="inlineStr">
        <is>
          <t>TUB-O-O-AUT-AW-PE-22.23X2.00X0.905-MAHS</t>
        </is>
      </c>
    </row>
    <row r="973">
      <c r="A973" t="inlineStr">
        <is>
          <t>0000949970</t>
        </is>
      </c>
      <c r="B973" t="inlineStr">
        <is>
          <t>SANDHAR ENGINEERING PVTLTD(KA)U-III</t>
        </is>
      </c>
      <c r="C973" t="inlineStr">
        <is>
          <t>NOS</t>
        </is>
      </c>
      <c r="D973" t="n">
        <v>23</v>
      </c>
      <c r="E973" t="n">
        <v>20.809</v>
      </c>
      <c r="F973" t="n">
        <v>20.769</v>
      </c>
      <c r="G973" t="n">
        <v>1940478</v>
      </c>
      <c r="H973" t="inlineStr">
        <is>
          <t>TUB-O-O-AUT-AW-PE-22.23X2.00X0.905-MAHS</t>
        </is>
      </c>
    </row>
    <row r="974">
      <c r="A974" t="inlineStr">
        <is>
          <t>0000949970</t>
        </is>
      </c>
      <c r="B974" t="inlineStr">
        <is>
          <t>SANDHAR ENGINEERING PVTLTD(KA)U-III</t>
        </is>
      </c>
      <c r="C974" t="inlineStr">
        <is>
          <t>NOS</t>
        </is>
      </c>
      <c r="D974" t="n">
        <v>3474</v>
      </c>
      <c r="E974" t="n">
        <v>3005.015</v>
      </c>
      <c r="F974" t="n">
        <v>2999.606</v>
      </c>
      <c r="G974" t="n">
        <v>4228296</v>
      </c>
      <c r="H974" t="inlineStr">
        <is>
          <t>CUT-O-N-AUT-AW-FC-22.23X2.000X0.8650</t>
        </is>
      </c>
    </row>
    <row r="975">
      <c r="A975" t="inlineStr">
        <is>
          <t>0000949970</t>
        </is>
      </c>
      <c r="B975" t="inlineStr">
        <is>
          <t>SANDHAR ENGINEERING PVTLTD(KA)U-III</t>
        </is>
      </c>
      <c r="C975" t="inlineStr">
        <is>
          <t>NOS</t>
        </is>
      </c>
      <c r="D975" t="n">
        <v>299</v>
      </c>
      <c r="E975" t="n">
        <v>258.635</v>
      </c>
      <c r="F975" t="n">
        <v>258.17</v>
      </c>
      <c r="G975" t="n">
        <v>4228296</v>
      </c>
      <c r="H975" t="inlineStr">
        <is>
          <t>CUT-O-N-AUT-AW-FC-22.23X2.000X0.8650</t>
        </is>
      </c>
    </row>
    <row r="976">
      <c r="A976" t="inlineStr">
        <is>
          <t>0000949970</t>
        </is>
      </c>
      <c r="B976" t="inlineStr">
        <is>
          <t>SANDHAR ENGINEERING PVTLTD(KA)U-III</t>
        </is>
      </c>
      <c r="C976" t="inlineStr">
        <is>
          <t>NOS</t>
        </is>
      </c>
      <c r="D976" t="n">
        <v>2</v>
      </c>
      <c r="E976" t="n">
        <v>1.73</v>
      </c>
      <c r="F976" t="n">
        <v>1.727</v>
      </c>
      <c r="G976" t="n">
        <v>4228296</v>
      </c>
      <c r="H976" t="inlineStr">
        <is>
          <t>CUT-O-N-AUT-AW-FC-22.23X2.000X0.8650</t>
        </is>
      </c>
    </row>
    <row r="977">
      <c r="A977" t="inlineStr">
        <is>
          <t>0000944141</t>
        </is>
      </c>
      <c r="B977" t="inlineStr">
        <is>
          <t>SRIKAM HITECH ENGINEERING PRIVATE L</t>
        </is>
      </c>
      <c r="C977" t="inlineStr">
        <is>
          <t>NOS</t>
        </is>
      </c>
      <c r="D977" t="n">
        <v>1481</v>
      </c>
      <c r="E977" t="n">
        <v>1315.384</v>
      </c>
      <c r="F977" t="n">
        <v>571.6660000000001</v>
      </c>
      <c r="G977" t="n">
        <v>1940043</v>
      </c>
      <c r="H977" t="inlineStr">
        <is>
          <t>TUB-O-O-AUT-AW-PE-15.88X1.200X0.8880</t>
        </is>
      </c>
    </row>
    <row r="978">
      <c r="A978" t="inlineStr">
        <is>
          <t>0000944141</t>
        </is>
      </c>
      <c r="B978" t="inlineStr">
        <is>
          <t>SRIKAM HITECH ENGINEERING PRIVATE L</t>
        </is>
      </c>
      <c r="C978" t="inlineStr">
        <is>
          <t>NOS</t>
        </is>
      </c>
      <c r="D978" t="n">
        <v>19</v>
      </c>
      <c r="E978" t="n">
        <v>16.875</v>
      </c>
      <c r="F978" t="n">
        <v>7.334</v>
      </c>
      <c r="G978" t="n">
        <v>1940043</v>
      </c>
      <c r="H978" t="inlineStr">
        <is>
          <t>TUB-O-O-AUT-AW-PE-15.88X1.200X0.8880</t>
        </is>
      </c>
    </row>
    <row r="979">
      <c r="A979" t="inlineStr">
        <is>
          <t>0000944141</t>
        </is>
      </c>
      <c r="B979" t="inlineStr">
        <is>
          <t>SRIKAM HITECH ENGINEERING PRIVATE L</t>
        </is>
      </c>
      <c r="C979" t="inlineStr">
        <is>
          <t>NOS</t>
        </is>
      </c>
      <c r="D979" t="n">
        <v>660</v>
      </c>
      <c r="E979" t="n">
        <v>194.444</v>
      </c>
      <c r="F979" t="n">
        <v>184.8</v>
      </c>
      <c r="G979" t="n">
        <v>1940312</v>
      </c>
      <c r="H979" t="inlineStr">
        <is>
          <t>TUB-O-O-AUT-AW-PE-19.05X2.300X0.2950</t>
        </is>
      </c>
    </row>
    <row r="980">
      <c r="A980" t="inlineStr">
        <is>
          <t>0000944141</t>
        </is>
      </c>
      <c r="B980" t="inlineStr">
        <is>
          <t>SRIKAM HITECH ENGINEERING PRIVATE L</t>
        </is>
      </c>
      <c r="C980" t="inlineStr">
        <is>
          <t>NOS</t>
        </is>
      </c>
      <c r="D980" t="n">
        <v>309</v>
      </c>
      <c r="E980" t="n">
        <v>91.035</v>
      </c>
      <c r="F980" t="n">
        <v>86.52</v>
      </c>
      <c r="G980" t="n">
        <v>1940312</v>
      </c>
      <c r="H980" t="inlineStr">
        <is>
          <t>TUB-O-O-AUT-AW-PE-19.05X2.300X0.2950</t>
        </is>
      </c>
    </row>
    <row r="981">
      <c r="A981" t="inlineStr">
        <is>
          <t>0000944141</t>
        </is>
      </c>
      <c r="B981" t="inlineStr">
        <is>
          <t>SRIKAM HITECH ENGINEERING PRIVATE L</t>
        </is>
      </c>
      <c r="C981" t="inlineStr">
        <is>
          <t>NOS</t>
        </is>
      </c>
      <c r="D981" t="n">
        <v>60</v>
      </c>
      <c r="E981" t="n">
        <v>17.677</v>
      </c>
      <c r="F981" t="n">
        <v>16.8</v>
      </c>
      <c r="G981" t="n">
        <v>1940312</v>
      </c>
      <c r="H981" t="inlineStr">
        <is>
          <t>TUB-O-O-AUT-AW-PE-19.05X2.300X0.2950</t>
        </is>
      </c>
    </row>
    <row r="982">
      <c r="A982" t="inlineStr">
        <is>
          <t>0000944141</t>
        </is>
      </c>
      <c r="B982" t="inlineStr">
        <is>
          <t>SRIKAM HITECH ENGINEERING PRIVATE L</t>
        </is>
      </c>
      <c r="C982" t="inlineStr">
        <is>
          <t>NOS</t>
        </is>
      </c>
      <c r="D982" t="n">
        <v>21</v>
      </c>
      <c r="E982" t="n">
        <v>6.187</v>
      </c>
      <c r="F982" t="n">
        <v>5.88</v>
      </c>
      <c r="G982" t="n">
        <v>1940312</v>
      </c>
      <c r="H982" t="inlineStr">
        <is>
          <t>TUB-O-O-AUT-AW-PE-19.05X2.300X0.2950</t>
        </is>
      </c>
    </row>
    <row r="983">
      <c r="A983" t="inlineStr">
        <is>
          <t>0000944141</t>
        </is>
      </c>
      <c r="B983" t="inlineStr">
        <is>
          <t>SRIKAM HITECH ENGINEERING PRIVATE L</t>
        </is>
      </c>
      <c r="C983" t="inlineStr">
        <is>
          <t>NOS</t>
        </is>
      </c>
      <c r="D983" t="n">
        <v>2549</v>
      </c>
      <c r="E983" t="n">
        <v>3323.966</v>
      </c>
      <c r="F983" t="n">
        <v>2707.038</v>
      </c>
      <c r="G983" t="n">
        <v>3673011</v>
      </c>
      <c r="H983" t="inlineStr">
        <is>
          <t>TUB-O-N-AUT-AW-PE-22.23X1.600X1.3040</t>
        </is>
      </c>
    </row>
    <row r="984">
      <c r="A984" t="inlineStr">
        <is>
          <t>0000944141</t>
        </is>
      </c>
      <c r="B984" t="inlineStr">
        <is>
          <t>SRIKAM HITECH ENGINEERING PRIVATE L</t>
        </is>
      </c>
      <c r="C984" t="inlineStr">
        <is>
          <t>NOS</t>
        </is>
      </c>
      <c r="D984" t="n">
        <v>2451</v>
      </c>
      <c r="E984" t="n">
        <v>3196.171</v>
      </c>
      <c r="F984" t="n">
        <v>2602.962</v>
      </c>
      <c r="G984" t="n">
        <v>3673011</v>
      </c>
      <c r="H984" t="inlineStr">
        <is>
          <t>TUB-O-N-AUT-AW-PE-22.23X1.600X1.3040</t>
        </is>
      </c>
    </row>
    <row r="985">
      <c r="A985" t="inlineStr">
        <is>
          <t>0000944141</t>
        </is>
      </c>
      <c r="B985" t="inlineStr">
        <is>
          <t>SRIKAM HITECH ENGINEERING PRIVATE L</t>
        </is>
      </c>
      <c r="C985" t="inlineStr">
        <is>
          <t>NOS</t>
        </is>
      </c>
      <c r="D985" t="n">
        <v>4497</v>
      </c>
      <c r="E985" t="n">
        <v>3667.311</v>
      </c>
      <c r="F985" t="n">
        <v>3084.942</v>
      </c>
      <c r="G985" t="n">
        <v>1940287</v>
      </c>
      <c r="H985" t="inlineStr">
        <is>
          <t>TUB-O-O-AUT-AW-PE-19.05X2.000X0.8150</t>
        </is>
      </c>
    </row>
    <row r="986">
      <c r="A986" t="inlineStr">
        <is>
          <t>0000944141</t>
        </is>
      </c>
      <c r="B986" t="inlineStr">
        <is>
          <t>SRIKAM HITECH ENGINEERING PRIVATE L</t>
        </is>
      </c>
      <c r="C986" t="inlineStr">
        <is>
          <t>NOS</t>
        </is>
      </c>
      <c r="D986" t="n">
        <v>1074</v>
      </c>
      <c r="E986" t="n">
        <v>875.849</v>
      </c>
      <c r="F986" t="n">
        <v>736.764</v>
      </c>
      <c r="G986" t="n">
        <v>1940287</v>
      </c>
      <c r="H986" t="inlineStr">
        <is>
          <t>TUB-O-O-AUT-AW-PE-19.05X2.000X0.8150</t>
        </is>
      </c>
    </row>
    <row r="987">
      <c r="A987" t="inlineStr">
        <is>
          <t>0000944141</t>
        </is>
      </c>
      <c r="B987" t="inlineStr">
        <is>
          <t>SRIKAM HITECH ENGINEERING PRIVATE L</t>
        </is>
      </c>
      <c r="C987" t="inlineStr">
        <is>
          <t>NOS</t>
        </is>
      </c>
      <c r="D987" t="n">
        <v>599</v>
      </c>
      <c r="E987" t="n">
        <v>488.485</v>
      </c>
      <c r="F987" t="n">
        <v>410.914</v>
      </c>
      <c r="G987" t="n">
        <v>1940287</v>
      </c>
      <c r="H987" t="inlineStr">
        <is>
          <t>TUB-O-O-AUT-AW-PE-19.05X2.000X0.8150</t>
        </is>
      </c>
    </row>
    <row r="988">
      <c r="A988" t="inlineStr">
        <is>
          <t>0000944141</t>
        </is>
      </c>
      <c r="B988" t="inlineStr">
        <is>
          <t>SRIKAM HITECH ENGINEERING PRIVATE L</t>
        </is>
      </c>
      <c r="C988" t="inlineStr">
        <is>
          <t>NOS</t>
        </is>
      </c>
      <c r="D988" t="n">
        <v>249</v>
      </c>
      <c r="E988" t="n">
        <v>203.06</v>
      </c>
      <c r="F988" t="n">
        <v>170.814</v>
      </c>
      <c r="G988" t="n">
        <v>1940287</v>
      </c>
      <c r="H988" t="inlineStr">
        <is>
          <t>TUB-O-O-AUT-AW-PE-19.05X2.000X0.8150</t>
        </is>
      </c>
    </row>
    <row r="989">
      <c r="A989" t="inlineStr">
        <is>
          <t>0000944141</t>
        </is>
      </c>
      <c r="B989" t="inlineStr">
        <is>
          <t>SRIKAM HITECH ENGINEERING PRIVATE L</t>
        </is>
      </c>
      <c r="C989" t="inlineStr">
        <is>
          <t>NOS</t>
        </is>
      </c>
      <c r="D989" t="n">
        <v>6</v>
      </c>
      <c r="E989" t="n">
        <v>4.893</v>
      </c>
      <c r="F989" t="n">
        <v>4.116</v>
      </c>
      <c r="G989" t="n">
        <v>1940287</v>
      </c>
      <c r="H989" t="inlineStr">
        <is>
          <t>TUB-O-O-AUT-AW-PE-19.05X2.000X0.8150</t>
        </is>
      </c>
    </row>
    <row r="990">
      <c r="A990" t="inlineStr">
        <is>
          <t>0000189454</t>
        </is>
      </c>
      <c r="B990" t="inlineStr">
        <is>
          <t>NAHARS ENGINEERING INDIA PRIVATE LI</t>
        </is>
      </c>
      <c r="C990" t="inlineStr">
        <is>
          <t>NOS</t>
        </is>
      </c>
      <c r="D990" t="n">
        <v>2116</v>
      </c>
      <c r="E990" t="n">
        <v>1871.761</v>
      </c>
      <c r="F990" t="n">
        <v>1783.788</v>
      </c>
      <c r="G990" t="n">
        <v>1942696</v>
      </c>
      <c r="H990" t="inlineStr">
        <is>
          <t>TUB-O-N-AUT-AW-PE-22.23X2.000X0.8840</t>
        </is>
      </c>
    </row>
    <row r="991">
      <c r="A991" t="inlineStr">
        <is>
          <t>0000189454</t>
        </is>
      </c>
      <c r="B991" t="inlineStr">
        <is>
          <t>NAHARS ENGINEERING INDIA PRIVATE LI</t>
        </is>
      </c>
      <c r="C991" t="inlineStr">
        <is>
          <t>NOS</t>
        </is>
      </c>
      <c r="D991" t="n">
        <v>1600</v>
      </c>
      <c r="E991" t="n">
        <v>1415.32</v>
      </c>
      <c r="F991" t="n">
        <v>1348.8</v>
      </c>
      <c r="G991" t="n">
        <v>1942696</v>
      </c>
      <c r="H991" t="inlineStr">
        <is>
          <t>TUB-O-N-AUT-AW-PE-22.23X2.000X0.8840</t>
        </is>
      </c>
    </row>
    <row r="992">
      <c r="A992" t="inlineStr">
        <is>
          <t>0000189454</t>
        </is>
      </c>
      <c r="B992" t="inlineStr">
        <is>
          <t>NAHARS ENGINEERING INDIA PRIVATE LI</t>
        </is>
      </c>
      <c r="C992" t="inlineStr">
        <is>
          <t>NOS</t>
        </is>
      </c>
      <c r="D992" t="n">
        <v>1284</v>
      </c>
      <c r="E992" t="n">
        <v>1135.794</v>
      </c>
      <c r="F992" t="n">
        <v>1082.412</v>
      </c>
      <c r="G992" t="n">
        <v>1942696</v>
      </c>
      <c r="H992" t="inlineStr">
        <is>
          <t>TUB-O-N-AUT-AW-PE-22.23X2.000X0.8840</t>
        </is>
      </c>
    </row>
    <row r="993">
      <c r="A993" t="inlineStr">
        <is>
          <t>0000189454</t>
        </is>
      </c>
      <c r="B993" t="inlineStr">
        <is>
          <t>NAHARS ENGINEERING INDIA PRIVATE LI</t>
        </is>
      </c>
      <c r="C993" t="inlineStr">
        <is>
          <t>NOS</t>
        </is>
      </c>
      <c r="D993" t="n">
        <v>750</v>
      </c>
      <c r="E993" t="n">
        <v>311.336</v>
      </c>
      <c r="F993" t="n">
        <v>292.5</v>
      </c>
      <c r="G993" t="n">
        <v>3551623</v>
      </c>
      <c r="H993" t="inlineStr">
        <is>
          <t>TUB-O-N-AUT-AW-FC-25.40X1.600X0.4150</t>
        </is>
      </c>
    </row>
    <row r="994">
      <c r="A994" t="inlineStr">
        <is>
          <t>0000189454</t>
        </is>
      </c>
      <c r="B994" t="inlineStr">
        <is>
          <t>NAHARS ENGINEERING INDIA PRIVATE LI</t>
        </is>
      </c>
      <c r="C994" t="inlineStr">
        <is>
          <t>NOS</t>
        </is>
      </c>
      <c r="D994" t="n">
        <v>1474</v>
      </c>
      <c r="E994" t="n">
        <v>1077.493</v>
      </c>
      <c r="F994" t="n">
        <v>2594.387</v>
      </c>
      <c r="G994" t="n">
        <v>4032113</v>
      </c>
      <c r="H994" t="inlineStr">
        <is>
          <t>TUB-O-N-AUT-AW-FC-50.80X2.000X0.7310</t>
        </is>
      </c>
    </row>
    <row r="995">
      <c r="A995" t="inlineStr">
        <is>
          <t>0000189454</t>
        </is>
      </c>
      <c r="B995" t="inlineStr">
        <is>
          <t>NAHARS ENGINEERING INDIA PRIVATE LI</t>
        </is>
      </c>
      <c r="C995" t="inlineStr">
        <is>
          <t>NOS</t>
        </is>
      </c>
      <c r="D995" t="n">
        <v>1374</v>
      </c>
      <c r="E995" t="n">
        <v>1004.393</v>
      </c>
      <c r="F995" t="n">
        <v>2418.377</v>
      </c>
      <c r="G995" t="n">
        <v>4032113</v>
      </c>
      <c r="H995" t="inlineStr">
        <is>
          <t>TUB-O-N-AUT-AW-FC-50.80X2.000X0.7310</t>
        </is>
      </c>
    </row>
    <row r="996">
      <c r="A996" t="inlineStr">
        <is>
          <t>0000189454</t>
        </is>
      </c>
      <c r="B996" t="inlineStr">
        <is>
          <t>NAHARS ENGINEERING INDIA PRIVATE LI</t>
        </is>
      </c>
      <c r="C996" t="inlineStr">
        <is>
          <t>NOS</t>
        </is>
      </c>
      <c r="D996" t="n">
        <v>1090</v>
      </c>
      <c r="E996" t="n">
        <v>796.789</v>
      </c>
      <c r="F996" t="n">
        <v>1918.509</v>
      </c>
      <c r="G996" t="n">
        <v>4032113</v>
      </c>
      <c r="H996" t="inlineStr">
        <is>
          <t>TUB-O-N-AUT-AW-FC-50.80X2.000X0.7310</t>
        </is>
      </c>
    </row>
    <row r="997">
      <c r="A997" t="inlineStr">
        <is>
          <t>0000189454</t>
        </is>
      </c>
      <c r="B997" t="inlineStr">
        <is>
          <t>NAHARS ENGINEERING INDIA PRIVATE LI</t>
        </is>
      </c>
      <c r="C997" t="inlineStr">
        <is>
          <t>NOS</t>
        </is>
      </c>
      <c r="D997" t="n">
        <v>702</v>
      </c>
      <c r="E997" t="n">
        <v>513.1609999999999</v>
      </c>
      <c r="F997" t="n">
        <v>1235.59</v>
      </c>
      <c r="G997" t="n">
        <v>4032113</v>
      </c>
      <c r="H997" t="inlineStr">
        <is>
          <t>TUB-O-N-AUT-AW-FC-50.80X2.000X0.7310</t>
        </is>
      </c>
    </row>
    <row r="998">
      <c r="A998" t="inlineStr">
        <is>
          <t>0000189270</t>
        </is>
      </c>
      <c r="B998" t="inlineStr">
        <is>
          <t>Indo Autotech Limited (Unit V)</t>
        </is>
      </c>
      <c r="C998" t="inlineStr">
        <is>
          <t>NOS</t>
        </is>
      </c>
      <c r="D998" t="n">
        <v>1765</v>
      </c>
      <c r="E998" t="n">
        <v>967.152</v>
      </c>
      <c r="F998" t="n">
        <v>813.665</v>
      </c>
      <c r="G998" t="n">
        <v>3676836</v>
      </c>
      <c r="H998" t="inlineStr">
        <is>
          <t>TUB-O-N-AUT-AW-PE-19.05X2.000X0.5470</t>
        </is>
      </c>
    </row>
    <row r="999">
      <c r="A999" t="inlineStr">
        <is>
          <t>0000189270</t>
        </is>
      </c>
      <c r="B999" t="inlineStr">
        <is>
          <t>Indo Autotech Limited (Unit V)</t>
        </is>
      </c>
      <c r="C999" t="inlineStr">
        <is>
          <t>NOS</t>
        </is>
      </c>
      <c r="D999" t="n">
        <v>1756</v>
      </c>
      <c r="E999" t="n">
        <v>962.22</v>
      </c>
      <c r="F999" t="n">
        <v>809.516</v>
      </c>
      <c r="G999" t="n">
        <v>3676836</v>
      </c>
      <c r="H999" t="inlineStr">
        <is>
          <t>TUB-O-N-AUT-AW-PE-19.05X2.000X0.5470</t>
        </is>
      </c>
    </row>
    <row r="1000">
      <c r="A1000" t="inlineStr">
        <is>
          <t>0000189270</t>
        </is>
      </c>
      <c r="B1000" t="inlineStr">
        <is>
          <t>Indo Autotech Limited (Unit V)</t>
        </is>
      </c>
      <c r="C1000" t="inlineStr">
        <is>
          <t>NOS</t>
        </is>
      </c>
      <c r="D1000" t="n">
        <v>1396</v>
      </c>
      <c r="E1000" t="n">
        <v>764.954</v>
      </c>
      <c r="F1000" t="n">
        <v>643.556</v>
      </c>
      <c r="G1000" t="n">
        <v>3676836</v>
      </c>
      <c r="H1000" t="inlineStr">
        <is>
          <t>TUB-O-N-AUT-AW-PE-19.05X2.000X0.5470</t>
        </is>
      </c>
    </row>
    <row r="1001">
      <c r="A1001" t="inlineStr">
        <is>
          <t>0000189270</t>
        </is>
      </c>
      <c r="B1001" t="inlineStr">
        <is>
          <t>Indo Autotech Limited (Unit V)</t>
        </is>
      </c>
      <c r="C1001" t="inlineStr">
        <is>
          <t>NOS</t>
        </is>
      </c>
      <c r="D1001" t="n">
        <v>1261</v>
      </c>
      <c r="E1001" t="n">
        <v>690.979</v>
      </c>
      <c r="F1001" t="n">
        <v>581.321</v>
      </c>
      <c r="G1001" t="n">
        <v>3676836</v>
      </c>
      <c r="H1001" t="inlineStr">
        <is>
          <t>TUB-O-N-AUT-AW-PE-19.05X2.000X0.5470</t>
        </is>
      </c>
    </row>
    <row r="1002">
      <c r="A1002" t="inlineStr">
        <is>
          <t>0000189270</t>
        </is>
      </c>
      <c r="B1002" t="inlineStr">
        <is>
          <t>Indo Autotech Limited (Unit V)</t>
        </is>
      </c>
      <c r="C1002" t="inlineStr">
        <is>
          <t>NOS</t>
        </is>
      </c>
      <c r="D1002" t="n">
        <v>822</v>
      </c>
      <c r="E1002" t="n">
        <v>450.424</v>
      </c>
      <c r="F1002" t="n">
        <v>378.942</v>
      </c>
      <c r="G1002" t="n">
        <v>3676836</v>
      </c>
      <c r="H1002" t="inlineStr">
        <is>
          <t>TUB-O-N-AUT-AW-PE-19.05X2.000X0.5470</t>
        </is>
      </c>
    </row>
    <row r="1003">
      <c r="A1003" t="inlineStr">
        <is>
          <t>0000189270</t>
        </is>
      </c>
      <c r="B1003" t="inlineStr">
        <is>
          <t>Indo Autotech Limited (Unit V)</t>
        </is>
      </c>
      <c r="C1003" t="inlineStr">
        <is>
          <t>NOS</t>
        </is>
      </c>
      <c r="D1003" t="n">
        <v>1610</v>
      </c>
      <c r="E1003" t="n">
        <v>1696.955</v>
      </c>
      <c r="F1003" t="n">
        <v>2554.426</v>
      </c>
      <c r="G1003" t="n">
        <v>3605736</v>
      </c>
      <c r="H1003" t="inlineStr">
        <is>
          <t>TUB-O-N-AUT-AW-FC-45.00X1.400X1.0540</t>
        </is>
      </c>
    </row>
    <row r="1004">
      <c r="A1004" t="inlineStr">
        <is>
          <t>0000189270</t>
        </is>
      </c>
      <c r="B1004" t="inlineStr">
        <is>
          <t>Indo Autotech Limited (Unit V)</t>
        </is>
      </c>
      <c r="C1004" t="inlineStr">
        <is>
          <t>NOS</t>
        </is>
      </c>
      <c r="D1004" t="n">
        <v>890</v>
      </c>
      <c r="E1004" t="n">
        <v>938.068</v>
      </c>
      <c r="F1004" t="n">
        <v>1412.074</v>
      </c>
      <c r="G1004" t="n">
        <v>3605736</v>
      </c>
      <c r="H1004" t="inlineStr">
        <is>
          <t>TUB-O-N-AUT-AW-FC-45.00X1.400X1.0540</t>
        </is>
      </c>
    </row>
    <row r="1005">
      <c r="A1005" t="inlineStr">
        <is>
          <t>0000189270</t>
        </is>
      </c>
      <c r="B1005" t="inlineStr">
        <is>
          <t>Indo Autotech Limited (Unit V)</t>
        </is>
      </c>
      <c r="C1005" t="inlineStr">
        <is>
          <t>NOS</t>
        </is>
      </c>
      <c r="D1005" t="n">
        <v>700</v>
      </c>
      <c r="E1005" t="n">
        <v>737.797</v>
      </c>
      <c r="F1005" t="n">
        <v>1263.92</v>
      </c>
      <c r="G1005" t="n">
        <v>3605737</v>
      </c>
      <c r="H1005" t="inlineStr">
        <is>
          <t>CUT-O-N-AUT-AW-FC-45.00X1.600X1.0540</t>
        </is>
      </c>
    </row>
    <row r="1006">
      <c r="A1006" t="inlineStr">
        <is>
          <t>0000189270</t>
        </is>
      </c>
      <c r="B1006" t="inlineStr">
        <is>
          <t>Indo Autotech Limited (Unit V)</t>
        </is>
      </c>
      <c r="C1006" t="inlineStr">
        <is>
          <t>NOS</t>
        </is>
      </c>
      <c r="D1006" t="n">
        <v>500</v>
      </c>
      <c r="E1006" t="n">
        <v>526.998</v>
      </c>
      <c r="F1006" t="n">
        <v>902.8</v>
      </c>
      <c r="G1006" t="n">
        <v>3605737</v>
      </c>
      <c r="H1006" t="inlineStr">
        <is>
          <t>CUT-O-N-AUT-AW-FC-45.00X1.600X1.0540</t>
        </is>
      </c>
    </row>
    <row r="1007">
      <c r="A1007" t="inlineStr">
        <is>
          <t>0000189270</t>
        </is>
      </c>
      <c r="B1007" t="inlineStr">
        <is>
          <t>Indo Autotech Limited (Unit V)</t>
        </is>
      </c>
      <c r="C1007" t="inlineStr">
        <is>
          <t>NOS</t>
        </is>
      </c>
      <c r="D1007" t="n">
        <v>378</v>
      </c>
      <c r="E1007" t="n">
        <v>69.592</v>
      </c>
      <c r="F1007" t="n">
        <v>263.844</v>
      </c>
      <c r="G1007" t="n">
        <v>1940868</v>
      </c>
      <c r="H1007" t="inlineStr">
        <is>
          <t>TUB-O-O-AUT-AW-FC-48.60X3.400X0.1840</t>
        </is>
      </c>
    </row>
    <row r="1008">
      <c r="A1008" t="inlineStr">
        <is>
          <t>0000189270</t>
        </is>
      </c>
      <c r="B1008" t="inlineStr">
        <is>
          <t>Indo Autotech Limited (Unit V)</t>
        </is>
      </c>
      <c r="C1008" t="inlineStr">
        <is>
          <t>NOS</t>
        </is>
      </c>
      <c r="D1008" t="n">
        <v>600</v>
      </c>
      <c r="E1008" t="n">
        <v>110.463</v>
      </c>
      <c r="F1008" t="n">
        <v>418.8</v>
      </c>
      <c r="G1008" t="n">
        <v>1940868</v>
      </c>
      <c r="H1008" t="inlineStr">
        <is>
          <t>TUB-O-O-AUT-AW-FC-48.60X3.400X0.1840</t>
        </is>
      </c>
    </row>
    <row r="1009">
      <c r="A1009" t="inlineStr">
        <is>
          <t>0000189270</t>
        </is>
      </c>
      <c r="B1009" t="inlineStr">
        <is>
          <t>Indo Autotech Limited (Unit V)</t>
        </is>
      </c>
      <c r="C1009" t="inlineStr">
        <is>
          <t>NOS</t>
        </is>
      </c>
      <c r="D1009" t="n">
        <v>340</v>
      </c>
      <c r="E1009" t="n">
        <v>250.593</v>
      </c>
      <c r="F1009" t="n">
        <v>433.5</v>
      </c>
      <c r="G1009" t="n">
        <v>1932730</v>
      </c>
      <c r="H1009" t="inlineStr">
        <is>
          <t>TUB-O-N-AUT-AW-FC-50.80X1.420X0.7370</t>
        </is>
      </c>
    </row>
    <row r="1010">
      <c r="A1010" t="inlineStr">
        <is>
          <t>0000189270</t>
        </is>
      </c>
      <c r="B1010" t="inlineStr">
        <is>
          <t>Indo Autotech Limited (Unit V)</t>
        </is>
      </c>
      <c r="C1010" t="inlineStr">
        <is>
          <t>NOS</t>
        </is>
      </c>
      <c r="D1010" t="n">
        <v>250</v>
      </c>
      <c r="E1010" t="n">
        <v>184.259</v>
      </c>
      <c r="F1010" t="n">
        <v>318.75</v>
      </c>
      <c r="G1010" t="n">
        <v>1932730</v>
      </c>
      <c r="H1010" t="inlineStr">
        <is>
          <t>TUB-O-N-AUT-AW-FC-50.80X1.420X0.7370</t>
        </is>
      </c>
    </row>
    <row r="1011">
      <c r="A1011" t="inlineStr">
        <is>
          <t>0000189270</t>
        </is>
      </c>
      <c r="B1011" t="inlineStr">
        <is>
          <t>Indo Autotech Limited (Unit V)</t>
        </is>
      </c>
      <c r="C1011" t="inlineStr">
        <is>
          <t>NOS</t>
        </is>
      </c>
      <c r="D1011" t="n">
        <v>1660</v>
      </c>
      <c r="E1011" t="n">
        <v>906.795</v>
      </c>
      <c r="F1011" t="n">
        <v>1306.42</v>
      </c>
      <c r="G1011" t="n">
        <v>1940817</v>
      </c>
      <c r="H1011" t="inlineStr">
        <is>
          <t>TUB-R-AW-RHS-40.00X20.00X1.600X0.5460</t>
        </is>
      </c>
    </row>
    <row r="1012">
      <c r="A1012" t="inlineStr">
        <is>
          <t>0000188647</t>
        </is>
      </c>
      <c r="B1012" t="inlineStr">
        <is>
          <t>Metalman Auto Private Limited</t>
        </is>
      </c>
      <c r="C1012" t="inlineStr">
        <is>
          <t>NOS</t>
        </is>
      </c>
      <c r="D1012" t="n">
        <v>210</v>
      </c>
      <c r="E1012" t="n">
        <v>51.661</v>
      </c>
      <c r="F1012" t="n">
        <v>155.302</v>
      </c>
      <c r="G1012" t="n">
        <v>3768907</v>
      </c>
      <c r="H1012" t="inlineStr">
        <is>
          <t>CUT-O-N-AUT-AW-FC-41.28X3.200X0.2460</t>
        </is>
      </c>
    </row>
    <row r="1013">
      <c r="A1013" t="inlineStr">
        <is>
          <t>0000188647</t>
        </is>
      </c>
      <c r="B1013" t="inlineStr">
        <is>
          <t>Metalman Auto Private Limited</t>
        </is>
      </c>
      <c r="C1013" t="inlineStr">
        <is>
          <t>NOS</t>
        </is>
      </c>
      <c r="D1013" t="n">
        <v>824</v>
      </c>
      <c r="E1013" t="n">
        <v>724.91</v>
      </c>
      <c r="F1013" t="n">
        <v>1226.112</v>
      </c>
      <c r="G1013" t="n">
        <v>1940831</v>
      </c>
      <c r="H1013" t="inlineStr">
        <is>
          <t>TUB-R-AW-RHS-40.00X30.00X1.600X0.8800</t>
        </is>
      </c>
    </row>
    <row r="1014">
      <c r="A1014" t="inlineStr">
        <is>
          <t>0000188647</t>
        </is>
      </c>
      <c r="B1014" t="inlineStr">
        <is>
          <t>Metalman Auto Private Limited</t>
        </is>
      </c>
      <c r="C1014" t="inlineStr">
        <is>
          <t>NOS</t>
        </is>
      </c>
      <c r="D1014" t="n">
        <v>934</v>
      </c>
      <c r="E1014" t="n">
        <v>821.681</v>
      </c>
      <c r="F1014" t="n">
        <v>1389.792</v>
      </c>
      <c r="G1014" t="n">
        <v>1940831</v>
      </c>
      <c r="H1014" t="inlineStr">
        <is>
          <t>TUB-R-AW-RHS-40.00X30.00X1.600X0.8800</t>
        </is>
      </c>
    </row>
    <row r="1015">
      <c r="A1015" t="inlineStr">
        <is>
          <t>0000188647</t>
        </is>
      </c>
      <c r="B1015" t="inlineStr">
        <is>
          <t>Metalman Auto Private Limited</t>
        </is>
      </c>
      <c r="C1015" t="inlineStr">
        <is>
          <t>NOS</t>
        </is>
      </c>
      <c r="D1015" t="n">
        <v>50</v>
      </c>
      <c r="E1015" t="n">
        <v>43.987</v>
      </c>
      <c r="F1015" t="n">
        <v>74.40000000000001</v>
      </c>
      <c r="G1015" t="n">
        <v>1940831</v>
      </c>
      <c r="H1015" t="inlineStr">
        <is>
          <t>TUB-R-AW-RHS-40.00X30.00X1.600X0.8800</t>
        </is>
      </c>
    </row>
    <row r="1016">
      <c r="A1016" t="inlineStr">
        <is>
          <t>0000188647</t>
        </is>
      </c>
      <c r="B1016" t="inlineStr">
        <is>
          <t>Metalman Auto Private Limited</t>
        </is>
      </c>
      <c r="C1016" t="inlineStr">
        <is>
          <t>NOS</t>
        </is>
      </c>
      <c r="D1016" t="n">
        <v>22</v>
      </c>
      <c r="E1016" t="n">
        <v>19.354</v>
      </c>
      <c r="F1016" t="n">
        <v>32.736</v>
      </c>
      <c r="G1016" t="n">
        <v>1940831</v>
      </c>
      <c r="H1016" t="inlineStr">
        <is>
          <t>TUB-R-AW-RHS-40.00X30.00X1.600X0.8800</t>
        </is>
      </c>
    </row>
    <row r="1017">
      <c r="A1017" t="inlineStr">
        <is>
          <t>0000188647</t>
        </is>
      </c>
      <c r="B1017" t="inlineStr">
        <is>
          <t>Metalman Auto Private Limited</t>
        </is>
      </c>
      <c r="C1017" t="inlineStr">
        <is>
          <t>NOS</t>
        </is>
      </c>
      <c r="D1017" t="n">
        <v>1068</v>
      </c>
      <c r="E1017" t="n">
        <v>939.758</v>
      </c>
      <c r="F1017" t="n">
        <v>1968.324</v>
      </c>
      <c r="G1017" t="n">
        <v>1940838</v>
      </c>
      <c r="H1017" t="inlineStr">
        <is>
          <t>TUB-R-AW-RHS-40.00X30.00X2.000X0.8800</t>
        </is>
      </c>
    </row>
    <row r="1018">
      <c r="A1018" t="inlineStr">
        <is>
          <t>0000188647</t>
        </is>
      </c>
      <c r="B1018" t="inlineStr">
        <is>
          <t>Metalman Auto Private Limited</t>
        </is>
      </c>
      <c r="C1018" t="inlineStr">
        <is>
          <t>NOS</t>
        </is>
      </c>
      <c r="D1018" t="n">
        <v>419</v>
      </c>
      <c r="E1018" t="n">
        <v>368.688</v>
      </c>
      <c r="F1018" t="n">
        <v>772.217</v>
      </c>
      <c r="G1018" t="n">
        <v>1940838</v>
      </c>
      <c r="H1018" t="inlineStr">
        <is>
          <t>TUB-R-AW-RHS-40.00X30.00X2.000X0.8800</t>
        </is>
      </c>
    </row>
    <row r="1019">
      <c r="A1019" t="inlineStr">
        <is>
          <t>0000188647</t>
        </is>
      </c>
      <c r="B1019" t="inlineStr">
        <is>
          <t>Metalman Auto Private Limited</t>
        </is>
      </c>
      <c r="C1019" t="inlineStr">
        <is>
          <t>NOS</t>
        </is>
      </c>
      <c r="D1019" t="n">
        <v>320</v>
      </c>
      <c r="E1019" t="n">
        <v>281.576</v>
      </c>
      <c r="F1019" t="n">
        <v>589.76</v>
      </c>
      <c r="G1019" t="n">
        <v>1940838</v>
      </c>
      <c r="H1019" t="inlineStr">
        <is>
          <t>TUB-R-AW-RHS-40.00X30.00X2.000X0.8800</t>
        </is>
      </c>
    </row>
    <row r="1020">
      <c r="A1020" t="inlineStr">
        <is>
          <t>0000188647</t>
        </is>
      </c>
      <c r="B1020" t="inlineStr">
        <is>
          <t>Metalman Auto Private Limited</t>
        </is>
      </c>
      <c r="C1020" t="inlineStr">
        <is>
          <t>NOS</t>
        </is>
      </c>
      <c r="D1020" t="n">
        <v>143</v>
      </c>
      <c r="E1020" t="n">
        <v>125.829</v>
      </c>
      <c r="F1020" t="n">
        <v>263.549</v>
      </c>
      <c r="G1020" t="n">
        <v>1940838</v>
      </c>
      <c r="H1020" t="inlineStr">
        <is>
          <t>TUB-R-AW-RHS-40.00X30.00X2.000X0.8800</t>
        </is>
      </c>
    </row>
    <row r="1021">
      <c r="A1021" t="inlineStr">
        <is>
          <t>0000188647</t>
        </is>
      </c>
      <c r="B1021" t="inlineStr">
        <is>
          <t>Metalman Auto Private Limited</t>
        </is>
      </c>
      <c r="C1021" t="inlineStr">
        <is>
          <t>NOS</t>
        </is>
      </c>
      <c r="D1021" t="n">
        <v>41</v>
      </c>
      <c r="E1021" t="n">
        <v>36.077</v>
      </c>
      <c r="F1021" t="n">
        <v>75.563</v>
      </c>
      <c r="G1021" t="n">
        <v>1940838</v>
      </c>
      <c r="H1021" t="inlineStr">
        <is>
          <t>TUB-R-AW-RHS-40.00X30.00X2.000X0.8800</t>
        </is>
      </c>
    </row>
    <row r="1022">
      <c r="A1022" t="inlineStr">
        <is>
          <t>0000188647</t>
        </is>
      </c>
      <c r="B1022" t="inlineStr">
        <is>
          <t>Metalman Auto Private Limited</t>
        </is>
      </c>
      <c r="C1022" t="inlineStr">
        <is>
          <t>NOS</t>
        </is>
      </c>
      <c r="D1022" t="n">
        <v>1</v>
      </c>
      <c r="E1022" t="n">
        <v>0.88</v>
      </c>
      <c r="F1022" t="n">
        <v>1.843</v>
      </c>
      <c r="G1022" t="n">
        <v>1940838</v>
      </c>
      <c r="H1022" t="inlineStr">
        <is>
          <t>TUB-R-AW-RHS-40.00X30.00X2.000X0.8800</t>
        </is>
      </c>
    </row>
    <row r="1023">
      <c r="A1023" t="inlineStr">
        <is>
          <t>0000952904</t>
        </is>
      </c>
      <c r="B1023" t="inlineStr">
        <is>
          <t>ELKAYEM AUTO ANCILLARIES PRIVATE LI</t>
        </is>
      </c>
      <c r="C1023" t="inlineStr">
        <is>
          <t>NOS</t>
        </is>
      </c>
      <c r="D1023" t="n">
        <v>4629</v>
      </c>
      <c r="E1023" t="n">
        <v>2198.774</v>
      </c>
      <c r="F1023" t="n">
        <v>2816.849</v>
      </c>
      <c r="G1023" t="n">
        <v>1940626</v>
      </c>
      <c r="H1023" t="inlineStr">
        <is>
          <t>TUB-O-O-AUT-AW-FC-28.58X2.000X0.4750</t>
        </is>
      </c>
    </row>
    <row r="1024">
      <c r="A1024" t="inlineStr">
        <is>
          <t>0000952904</t>
        </is>
      </c>
      <c r="B1024" t="inlineStr">
        <is>
          <t>ELKAYEM AUTO ANCILLARIES PRIVATE LI</t>
        </is>
      </c>
      <c r="C1024" t="inlineStr">
        <is>
          <t>NOS</t>
        </is>
      </c>
      <c r="D1024" t="n">
        <v>3168</v>
      </c>
      <c r="E1024" t="n">
        <v>1504.799</v>
      </c>
      <c r="F1024" t="n">
        <v>1927.798</v>
      </c>
      <c r="G1024" t="n">
        <v>1940626</v>
      </c>
      <c r="H1024" t="inlineStr">
        <is>
          <t>TUB-O-O-AUT-AW-FC-28.58X2.000X0.4750</t>
        </is>
      </c>
    </row>
    <row r="1025">
      <c r="A1025" t="inlineStr">
        <is>
          <t>0000952904</t>
        </is>
      </c>
      <c r="B1025" t="inlineStr">
        <is>
          <t>ELKAYEM AUTO ANCILLARIES PRIVATE LI</t>
        </is>
      </c>
      <c r="C1025" t="inlineStr">
        <is>
          <t>NOS</t>
        </is>
      </c>
      <c r="D1025" t="n">
        <v>98</v>
      </c>
      <c r="E1025" t="n">
        <v>46.55</v>
      </c>
      <c r="F1025" t="n">
        <v>59.635</v>
      </c>
      <c r="G1025" t="n">
        <v>1940626</v>
      </c>
      <c r="H1025" t="inlineStr">
        <is>
          <t>TUB-O-O-AUT-AW-FC-28.58X2.000X0.4750</t>
        </is>
      </c>
    </row>
    <row r="1026">
      <c r="A1026" t="inlineStr">
        <is>
          <t>0000952904</t>
        </is>
      </c>
      <c r="B1026" t="inlineStr">
        <is>
          <t>ELKAYEM AUTO ANCILLARIES PRIVATE LI</t>
        </is>
      </c>
      <c r="C1026" t="inlineStr">
        <is>
          <t>NOS</t>
        </is>
      </c>
      <c r="D1026" t="n">
        <v>4</v>
      </c>
      <c r="E1026" t="n">
        <v>1.9</v>
      </c>
      <c r="F1026" t="n">
        <v>2.434</v>
      </c>
      <c r="G1026" t="n">
        <v>1940626</v>
      </c>
      <c r="H1026" t="inlineStr">
        <is>
          <t>TUB-O-O-AUT-AW-FC-28.58X2.000X0.4750</t>
        </is>
      </c>
    </row>
    <row r="1027">
      <c r="A1027" t="inlineStr">
        <is>
          <t>0000952904</t>
        </is>
      </c>
      <c r="B1027" t="inlineStr">
        <is>
          <t>ELKAYEM AUTO ANCILLARIES PRIVATE LI</t>
        </is>
      </c>
      <c r="C1027" t="inlineStr">
        <is>
          <t>NOS</t>
        </is>
      </c>
      <c r="D1027" t="n">
        <v>1</v>
      </c>
      <c r="E1027" t="n">
        <v>0.475</v>
      </c>
      <c r="F1027" t="n">
        <v>0.609</v>
      </c>
      <c r="G1027" t="n">
        <v>1940626</v>
      </c>
      <c r="H1027" t="inlineStr">
        <is>
          <t>TUB-O-O-AUT-AW-FC-28.58X2.000X0.4750</t>
        </is>
      </c>
    </row>
    <row r="1028">
      <c r="A1028" t="inlineStr">
        <is>
          <t>0000189002</t>
        </is>
      </c>
      <c r="B1028" t="inlineStr">
        <is>
          <t>Marathwada Auto Compo Pvt. Ltd.</t>
        </is>
      </c>
      <c r="C1028" t="inlineStr">
        <is>
          <t>NOS</t>
        </is>
      </c>
      <c r="D1028" t="n">
        <v>1090</v>
      </c>
      <c r="E1028" t="n">
        <v>586.425</v>
      </c>
      <c r="F1028" t="n">
        <v>918.458</v>
      </c>
      <c r="G1028" t="n">
        <v>3786201</v>
      </c>
      <c r="H1028" t="inlineStr">
        <is>
          <t>TUB-R-AW-RHS-40.00X25.00X1.600X0.5380</t>
        </is>
      </c>
    </row>
    <row r="1029">
      <c r="A1029" t="inlineStr">
        <is>
          <t>0000189002</t>
        </is>
      </c>
      <c r="B1029" t="inlineStr">
        <is>
          <t>Marathwada Auto Compo Pvt. Ltd.</t>
        </is>
      </c>
      <c r="C1029" t="inlineStr">
        <is>
          <t>NOS</t>
        </is>
      </c>
      <c r="D1029" t="n">
        <v>850</v>
      </c>
      <c r="E1029" t="n">
        <v>457.304</v>
      </c>
      <c r="F1029" t="n">
        <v>716.229</v>
      </c>
      <c r="G1029" t="n">
        <v>3786201</v>
      </c>
      <c r="H1029" t="inlineStr">
        <is>
          <t>TUB-R-AW-RHS-40.00X25.00X1.600X0.5380</t>
        </is>
      </c>
    </row>
    <row r="1030">
      <c r="A1030" t="inlineStr">
        <is>
          <t>0000189002</t>
        </is>
      </c>
      <c r="B1030" t="inlineStr">
        <is>
          <t>Marathwada Auto Compo Pvt. Ltd.</t>
        </is>
      </c>
      <c r="C1030" t="inlineStr">
        <is>
          <t>NOS</t>
        </is>
      </c>
      <c r="D1030" t="n">
        <v>15</v>
      </c>
      <c r="E1030" t="n">
        <v>8.07</v>
      </c>
      <c r="F1030" t="n">
        <v>12.639</v>
      </c>
      <c r="G1030" t="n">
        <v>3786201</v>
      </c>
      <c r="H1030" t="inlineStr">
        <is>
          <t>TUB-R-AW-RHS-40.00X25.00X1.600X0.5380</t>
        </is>
      </c>
    </row>
    <row r="1031">
      <c r="A1031" t="inlineStr">
        <is>
          <t>0000189002</t>
        </is>
      </c>
      <c r="B1031" t="inlineStr">
        <is>
          <t>Marathwada Auto Compo Pvt. Ltd.</t>
        </is>
      </c>
      <c r="C1031" t="inlineStr">
        <is>
          <t>NOS</t>
        </is>
      </c>
      <c r="D1031" t="n">
        <v>5</v>
      </c>
      <c r="E1031" t="n">
        <v>2.69</v>
      </c>
      <c r="F1031" t="n">
        <v>4.213</v>
      </c>
      <c r="G1031" t="n">
        <v>3786201</v>
      </c>
      <c r="H1031" t="inlineStr">
        <is>
          <t>TUB-R-AW-RHS-40.00X25.00X1.600X0.5380</t>
        </is>
      </c>
    </row>
    <row r="1032">
      <c r="A1032" t="inlineStr">
        <is>
          <t>0000189002</t>
        </is>
      </c>
      <c r="B1032" t="inlineStr">
        <is>
          <t>Marathwada Auto Compo Pvt. Ltd.</t>
        </is>
      </c>
      <c r="C1032" t="inlineStr">
        <is>
          <t>NOS</t>
        </is>
      </c>
      <c r="D1032" t="n">
        <v>1222</v>
      </c>
      <c r="E1032" t="n">
        <v>717.311</v>
      </c>
      <c r="F1032" t="n">
        <v>1123.452</v>
      </c>
      <c r="G1032" t="n">
        <v>3786202</v>
      </c>
      <c r="H1032" t="inlineStr">
        <is>
          <t>TUB-R-AW-RHS-40.00X25.00X1.600X0.5870</t>
        </is>
      </c>
    </row>
    <row r="1033">
      <c r="A1033" t="inlineStr">
        <is>
          <t>0000189002</t>
        </is>
      </c>
      <c r="B1033" t="inlineStr">
        <is>
          <t>Marathwada Auto Compo Pvt. Ltd.</t>
        </is>
      </c>
      <c r="C1033" t="inlineStr">
        <is>
          <t>NOS</t>
        </is>
      </c>
      <c r="D1033" t="n">
        <v>18</v>
      </c>
      <c r="E1033" t="n">
        <v>10.566</v>
      </c>
      <c r="F1033" t="n">
        <v>16.548</v>
      </c>
      <c r="G1033" t="n">
        <v>3786202</v>
      </c>
      <c r="H1033" t="inlineStr">
        <is>
          <t>TUB-R-AW-RHS-40.00X25.00X1.600X0.5870</t>
        </is>
      </c>
    </row>
    <row r="1034">
      <c r="A1034" t="inlineStr">
        <is>
          <t>0000189002</t>
        </is>
      </c>
      <c r="B1034" t="inlineStr">
        <is>
          <t>Marathwada Auto Compo Pvt. Ltd.</t>
        </is>
      </c>
      <c r="C1034" t="inlineStr">
        <is>
          <t>NOS</t>
        </is>
      </c>
      <c r="D1034" t="n">
        <v>1723</v>
      </c>
      <c r="E1034" t="n">
        <v>613.399</v>
      </c>
      <c r="F1034" t="n">
        <v>843.485</v>
      </c>
      <c r="G1034" t="n">
        <v>4100177</v>
      </c>
      <c r="H1034" t="inlineStr">
        <is>
          <t>TUB-R-AW-AUT-40.00X20.00X1.600X0.3560</t>
        </is>
      </c>
    </row>
    <row r="1035">
      <c r="A1035" t="inlineStr">
        <is>
          <t>0000189002</t>
        </is>
      </c>
      <c r="B1035" t="inlineStr">
        <is>
          <t>Marathwada Auto Compo Pvt. Ltd.</t>
        </is>
      </c>
      <c r="C1035" t="inlineStr">
        <is>
          <t>NOS</t>
        </is>
      </c>
      <c r="D1035" t="n">
        <v>1352</v>
      </c>
      <c r="E1035" t="n">
        <v>481.321</v>
      </c>
      <c r="F1035" t="n">
        <v>661.864</v>
      </c>
      <c r="G1035" t="n">
        <v>4100177</v>
      </c>
      <c r="H1035" t="inlineStr">
        <is>
          <t>TUB-R-AW-AUT-40.00X20.00X1.600X0.3560</t>
        </is>
      </c>
    </row>
    <row r="1036">
      <c r="A1036" t="inlineStr">
        <is>
          <t>0000189002</t>
        </is>
      </c>
      <c r="B1036" t="inlineStr">
        <is>
          <t>Marathwada Auto Compo Pvt. Ltd.</t>
        </is>
      </c>
      <c r="C1036" t="inlineStr">
        <is>
          <t>NOS</t>
        </is>
      </c>
      <c r="D1036" t="n">
        <v>1005</v>
      </c>
      <c r="E1036" t="n">
        <v>357.786</v>
      </c>
      <c r="F1036" t="n">
        <v>491.992</v>
      </c>
      <c r="G1036" t="n">
        <v>4100177</v>
      </c>
      <c r="H1036" t="inlineStr">
        <is>
          <t>TUB-R-AW-AUT-40.00X20.00X1.600X0.3560</t>
        </is>
      </c>
    </row>
    <row r="1037">
      <c r="A1037" t="inlineStr">
        <is>
          <t>0000189002</t>
        </is>
      </c>
      <c r="B1037" t="inlineStr">
        <is>
          <t>Marathwada Auto Compo Pvt. Ltd.</t>
        </is>
      </c>
      <c r="C1037" t="inlineStr">
        <is>
          <t>NOS</t>
        </is>
      </c>
      <c r="D1037" t="n">
        <v>207</v>
      </c>
      <c r="E1037" t="n">
        <v>248.698</v>
      </c>
      <c r="F1037" t="n">
        <v>110.745</v>
      </c>
      <c r="G1037" t="n">
        <v>3635694</v>
      </c>
      <c r="H1037" t="inlineStr">
        <is>
          <t>TUB-O-N-AUT-AW-PE-19.05X1.000X1.2000</t>
        </is>
      </c>
    </row>
    <row r="1038">
      <c r="A1038" t="inlineStr">
        <is>
          <t>0000189002</t>
        </is>
      </c>
      <c r="B1038" t="inlineStr">
        <is>
          <t>Marathwada Auto Compo Pvt. Ltd.</t>
        </is>
      </c>
      <c r="C1038" t="inlineStr">
        <is>
          <t>NOS</t>
        </is>
      </c>
      <c r="D1038" t="n">
        <v>106</v>
      </c>
      <c r="E1038" t="n">
        <v>127.352</v>
      </c>
      <c r="F1038" t="n">
        <v>56.71</v>
      </c>
      <c r="G1038" t="n">
        <v>3635694</v>
      </c>
      <c r="H1038" t="inlineStr">
        <is>
          <t>TUB-O-N-AUT-AW-PE-19.05X1.000X1.2000</t>
        </is>
      </c>
    </row>
    <row r="1039">
      <c r="A1039" t="inlineStr">
        <is>
          <t>0000189002</t>
        </is>
      </c>
      <c r="B1039" t="inlineStr">
        <is>
          <t>Marathwada Auto Compo Pvt. Ltd.</t>
        </is>
      </c>
      <c r="C1039" t="inlineStr">
        <is>
          <t>NOS</t>
        </is>
      </c>
      <c r="D1039" t="n">
        <v>12</v>
      </c>
      <c r="E1039" t="n">
        <v>14.417</v>
      </c>
      <c r="F1039" t="n">
        <v>6.42</v>
      </c>
      <c r="G1039" t="n">
        <v>3635694</v>
      </c>
      <c r="H1039" t="inlineStr">
        <is>
          <t>TUB-O-N-AUT-AW-PE-19.05X1.000X1.2000</t>
        </is>
      </c>
    </row>
    <row r="1040">
      <c r="A1040" t="inlineStr">
        <is>
          <t>0000184192</t>
        </is>
      </c>
      <c r="B1040" t="inlineStr">
        <is>
          <t>JBM AUTO LIMITED</t>
        </is>
      </c>
      <c r="C1040" t="inlineStr">
        <is>
          <t>NOS</t>
        </is>
      </c>
      <c r="D1040" t="n">
        <v>2745</v>
      </c>
      <c r="E1040" t="n">
        <v>454.425</v>
      </c>
      <c r="F1040" t="n">
        <v>452.925</v>
      </c>
      <c r="G1040" t="n">
        <v>3614496</v>
      </c>
      <c r="H1040" t="inlineStr">
        <is>
          <t>TUB-O-N-AUT-AW-PE-22.20X2.000X0.1660</t>
        </is>
      </c>
    </row>
    <row r="1041">
      <c r="A1041" t="inlineStr">
        <is>
          <t>0000184192</t>
        </is>
      </c>
      <c r="B1041" t="inlineStr">
        <is>
          <t>JBM AUTO LIMITED</t>
        </is>
      </c>
      <c r="C1041" t="inlineStr">
        <is>
          <t>NOS</t>
        </is>
      </c>
      <c r="D1041" t="n">
        <v>255</v>
      </c>
      <c r="E1041" t="n">
        <v>42.214</v>
      </c>
      <c r="F1041" t="n">
        <v>42.075</v>
      </c>
      <c r="G1041" t="n">
        <v>3614496</v>
      </c>
      <c r="H1041" t="inlineStr">
        <is>
          <t>TUB-O-N-AUT-AW-PE-22.20X2.000X0.1660</t>
        </is>
      </c>
    </row>
    <row r="1042">
      <c r="A1042" t="inlineStr">
        <is>
          <t>0000184192</t>
        </is>
      </c>
      <c r="B1042" t="inlineStr">
        <is>
          <t>JBM AUTO LIMITED</t>
        </is>
      </c>
      <c r="C1042" t="inlineStr">
        <is>
          <t>NOS</t>
        </is>
      </c>
      <c r="D1042" t="n">
        <v>6000</v>
      </c>
      <c r="E1042" t="n">
        <v>818.702</v>
      </c>
      <c r="F1042" t="n">
        <v>816</v>
      </c>
      <c r="G1042" t="n">
        <v>3614494</v>
      </c>
      <c r="H1042" t="inlineStr">
        <is>
          <t>TUB-O-N-AUT-AW-PE-22.20X2.000X0.1360</t>
        </is>
      </c>
    </row>
    <row r="1043">
      <c r="A1043" t="inlineStr">
        <is>
          <t>0000943209</t>
        </is>
      </c>
      <c r="B1043" t="inlineStr">
        <is>
          <t>MEGH STEELS PRIVATE LIMITED - TVS A</t>
        </is>
      </c>
      <c r="C1043" t="inlineStr">
        <is>
          <t>KG</t>
        </is>
      </c>
      <c r="D1043" t="n">
        <v>79</v>
      </c>
      <c r="E1043" t="n">
        <v>452.091</v>
      </c>
      <c r="F1043" t="n">
        <v>1465</v>
      </c>
      <c r="G1043" t="n">
        <v>3907863</v>
      </c>
      <c r="H1043" t="inlineStr">
        <is>
          <t>TUB-O-N-AUT-AW-FC-57.15X2.500X5.7110</t>
        </is>
      </c>
    </row>
    <row r="1044">
      <c r="A1044" t="inlineStr">
        <is>
          <t>0000943209</t>
        </is>
      </c>
      <c r="B1044" t="inlineStr">
        <is>
          <t>MEGH STEELS PRIVATE LIMITED - TVS A</t>
        </is>
      </c>
      <c r="C1044" t="inlineStr">
        <is>
          <t>KG</t>
        </is>
      </c>
      <c r="D1044" t="n">
        <v>79</v>
      </c>
      <c r="E1044" t="n">
        <v>452.091</v>
      </c>
      <c r="F1044" t="n">
        <v>1465</v>
      </c>
      <c r="G1044" t="n">
        <v>3907863</v>
      </c>
      <c r="H1044" t="inlineStr">
        <is>
          <t>TUB-O-N-AUT-AW-FC-57.15X2.500X5.7110</t>
        </is>
      </c>
    </row>
    <row r="1045">
      <c r="A1045" t="inlineStr">
        <is>
          <t>0000943209</t>
        </is>
      </c>
      <c r="B1045" t="inlineStr">
        <is>
          <t>MEGH STEELS PRIVATE LIMITED - TVS A</t>
        </is>
      </c>
      <c r="C1045" t="inlineStr">
        <is>
          <t>KG</t>
        </is>
      </c>
      <c r="D1045" t="n">
        <v>77</v>
      </c>
      <c r="E1045" t="n">
        <v>439.747</v>
      </c>
      <c r="F1045" t="n">
        <v>1425</v>
      </c>
      <c r="G1045" t="n">
        <v>3907863</v>
      </c>
      <c r="H1045" t="inlineStr">
        <is>
          <t>TUB-O-N-AUT-AW-FC-57.15X2.500X5.7110</t>
        </is>
      </c>
    </row>
    <row r="1046">
      <c r="A1046" t="inlineStr">
        <is>
          <t>0000943209</t>
        </is>
      </c>
      <c r="B1046" t="inlineStr">
        <is>
          <t>MEGH STEELS PRIVATE LIMITED - TVS A</t>
        </is>
      </c>
      <c r="C1046" t="inlineStr">
        <is>
          <t>KG</t>
        </is>
      </c>
      <c r="D1046" t="n">
        <v>77</v>
      </c>
      <c r="E1046" t="n">
        <v>439.747</v>
      </c>
      <c r="F1046" t="n">
        <v>1425</v>
      </c>
      <c r="G1046" t="n">
        <v>3907863</v>
      </c>
      <c r="H1046" t="inlineStr">
        <is>
          <t>TUB-O-N-AUT-AW-FC-57.15X2.500X5.7110</t>
        </is>
      </c>
    </row>
    <row r="1047">
      <c r="A1047" t="inlineStr">
        <is>
          <t>0000943209</t>
        </is>
      </c>
      <c r="B1047" t="inlineStr">
        <is>
          <t>MEGH STEELS PRIVATE LIMITED - TVS A</t>
        </is>
      </c>
      <c r="C1047" t="inlineStr">
        <is>
          <t>KG</t>
        </is>
      </c>
      <c r="D1047" t="n">
        <v>78</v>
      </c>
      <c r="E1047" t="n">
        <v>445.919</v>
      </c>
      <c r="F1047" t="n">
        <v>1445</v>
      </c>
      <c r="G1047" t="n">
        <v>3907863</v>
      </c>
      <c r="H1047" t="inlineStr">
        <is>
          <t>TUB-O-N-AUT-AW-FC-57.15X2.500X5.7110</t>
        </is>
      </c>
    </row>
    <row r="1048">
      <c r="A1048" t="inlineStr">
        <is>
          <t>0000943209</t>
        </is>
      </c>
      <c r="B1048" t="inlineStr">
        <is>
          <t>MEGH STEELS PRIVATE LIMITED - TVS A</t>
        </is>
      </c>
      <c r="C1048" t="inlineStr">
        <is>
          <t>KG</t>
        </is>
      </c>
      <c r="D1048" t="n">
        <v>76</v>
      </c>
      <c r="E1048" t="n">
        <v>436.661</v>
      </c>
      <c r="F1048" t="n">
        <v>1415</v>
      </c>
      <c r="G1048" t="n">
        <v>3907863</v>
      </c>
      <c r="H1048" t="inlineStr">
        <is>
          <t>TUB-O-N-AUT-AW-FC-57.15X2.500X5.7110</t>
        </is>
      </c>
    </row>
    <row r="1049">
      <c r="A1049" t="inlineStr">
        <is>
          <t>0000943209</t>
        </is>
      </c>
      <c r="B1049" t="inlineStr">
        <is>
          <t>MEGH STEELS PRIVATE LIMITED - TVS A</t>
        </is>
      </c>
      <c r="C1049" t="inlineStr">
        <is>
          <t>KG</t>
        </is>
      </c>
      <c r="D1049" t="n">
        <v>81</v>
      </c>
      <c r="E1049" t="n">
        <v>459.806</v>
      </c>
      <c r="F1049" t="n">
        <v>1490</v>
      </c>
      <c r="G1049" t="n">
        <v>3907863</v>
      </c>
      <c r="H1049" t="inlineStr">
        <is>
          <t>TUB-O-N-AUT-AW-FC-57.15X2.500X5.7110</t>
        </is>
      </c>
    </row>
    <row r="1050">
      <c r="A1050" t="inlineStr">
        <is>
          <t>0000943209</t>
        </is>
      </c>
      <c r="B1050" t="inlineStr">
        <is>
          <t>MEGH STEELS PRIVATE LIMITED - TVS A</t>
        </is>
      </c>
      <c r="C1050" t="inlineStr">
        <is>
          <t>KG</t>
        </is>
      </c>
      <c r="D1050" t="n">
        <v>79</v>
      </c>
      <c r="E1050" t="n">
        <v>453.634</v>
      </c>
      <c r="F1050" t="n">
        <v>1470</v>
      </c>
      <c r="G1050" t="n">
        <v>3907863</v>
      </c>
      <c r="H1050" t="inlineStr">
        <is>
          <t>TUB-O-N-AUT-AW-FC-57.15X2.500X5.7110</t>
        </is>
      </c>
    </row>
    <row r="1051">
      <c r="A1051" t="inlineStr">
        <is>
          <t>0000943209</t>
        </is>
      </c>
      <c r="B1051" t="inlineStr">
        <is>
          <t>MEGH STEELS PRIVATE LIMITED - TVS A</t>
        </is>
      </c>
      <c r="C1051" t="inlineStr">
        <is>
          <t>KG</t>
        </is>
      </c>
      <c r="D1051" t="n">
        <v>77</v>
      </c>
      <c r="E1051" t="n">
        <v>441.29</v>
      </c>
      <c r="F1051" t="n">
        <v>1430</v>
      </c>
      <c r="G1051" t="n">
        <v>3907863</v>
      </c>
      <c r="H1051" t="inlineStr">
        <is>
          <t>TUB-O-N-AUT-AW-FC-57.15X2.500X5.7110</t>
        </is>
      </c>
    </row>
    <row r="1052">
      <c r="A1052" t="inlineStr">
        <is>
          <t>0000943209</t>
        </is>
      </c>
      <c r="B1052" t="inlineStr">
        <is>
          <t>MEGH STEELS PRIVATE LIMITED - TVS A</t>
        </is>
      </c>
      <c r="C1052" t="inlineStr">
        <is>
          <t>KG</t>
        </is>
      </c>
      <c r="D1052" t="n">
        <v>83</v>
      </c>
      <c r="E1052" t="n">
        <v>472.149</v>
      </c>
      <c r="F1052" t="n">
        <v>1530</v>
      </c>
      <c r="G1052" t="n">
        <v>3907863</v>
      </c>
      <c r="H1052" t="inlineStr">
        <is>
          <t>TUB-O-N-AUT-AW-FC-57.15X2.500X5.7110</t>
        </is>
      </c>
    </row>
    <row r="1053">
      <c r="A1053" t="inlineStr">
        <is>
          <t>0000943209</t>
        </is>
      </c>
      <c r="B1053" t="inlineStr">
        <is>
          <t>MEGH STEELS PRIVATE LIMITED - TVS A</t>
        </is>
      </c>
      <c r="C1053" t="inlineStr">
        <is>
          <t>KG</t>
        </is>
      </c>
      <c r="D1053" t="n">
        <v>78</v>
      </c>
      <c r="E1053" t="n">
        <v>447.462</v>
      </c>
      <c r="F1053" t="n">
        <v>1450</v>
      </c>
      <c r="G1053" t="n">
        <v>3907863</v>
      </c>
      <c r="H1053" t="inlineStr">
        <is>
          <t>TUB-O-N-AUT-AW-FC-57.15X2.500X5.7110</t>
        </is>
      </c>
    </row>
    <row r="1054">
      <c r="A1054" t="inlineStr">
        <is>
          <t>0000943209</t>
        </is>
      </c>
      <c r="B1054" t="inlineStr">
        <is>
          <t>MEGH STEELS PRIVATE LIMITED - TVS A</t>
        </is>
      </c>
      <c r="C1054" t="inlineStr">
        <is>
          <t>KG</t>
        </is>
      </c>
      <c r="D1054" t="n">
        <v>81</v>
      </c>
      <c r="E1054" t="n">
        <v>459.806</v>
      </c>
      <c r="F1054" t="n">
        <v>1490</v>
      </c>
      <c r="G1054" t="n">
        <v>3907863</v>
      </c>
      <c r="H1054" t="inlineStr">
        <is>
          <t>TUB-O-N-AUT-AW-FC-57.15X2.500X5.7110</t>
        </is>
      </c>
    </row>
    <row r="1055">
      <c r="A1055" t="inlineStr">
        <is>
          <t>0000943209</t>
        </is>
      </c>
      <c r="B1055" t="inlineStr">
        <is>
          <t>MEGH STEELS PRIVATE LIMITED - TVS A</t>
        </is>
      </c>
      <c r="C1055" t="inlineStr">
        <is>
          <t>KG</t>
        </is>
      </c>
      <c r="D1055" t="n">
        <v>33</v>
      </c>
      <c r="E1055" t="n">
        <v>187.317</v>
      </c>
      <c r="F1055" t="n">
        <v>607</v>
      </c>
      <c r="G1055" t="n">
        <v>3907863</v>
      </c>
      <c r="H1055" t="inlineStr">
        <is>
          <t>TUB-O-N-AUT-AW-FC-57.15X2.500X5.7110</t>
        </is>
      </c>
    </row>
    <row r="1056">
      <c r="A1056" t="inlineStr">
        <is>
          <t>0000943209</t>
        </is>
      </c>
      <c r="B1056" t="inlineStr">
        <is>
          <t>MEGH STEELS PRIVATE LIMITED - TVS A</t>
        </is>
      </c>
      <c r="C1056" t="inlineStr">
        <is>
          <t>KG</t>
        </is>
      </c>
      <c r="D1056" t="n">
        <v>143</v>
      </c>
      <c r="E1056" t="n">
        <v>887.28</v>
      </c>
      <c r="F1056" t="n">
        <v>2500</v>
      </c>
      <c r="G1056" t="n">
        <v>4265906</v>
      </c>
      <c r="H1056" t="inlineStr">
        <is>
          <t>TUB-R-AW-AUT-50.00X30.00X2.500X6.1930</t>
        </is>
      </c>
    </row>
    <row r="1057">
      <c r="A1057" t="inlineStr">
        <is>
          <t>0000943209</t>
        </is>
      </c>
      <c r="B1057" t="inlineStr">
        <is>
          <t>MEGH STEELS PRIVATE LIMITED - TVS A</t>
        </is>
      </c>
      <c r="C1057" t="inlineStr">
        <is>
          <t>KG</t>
        </is>
      </c>
      <c r="D1057" t="n">
        <v>158</v>
      </c>
      <c r="E1057" t="n">
        <v>977.073</v>
      </c>
      <c r="F1057" t="n">
        <v>2753</v>
      </c>
      <c r="G1057" t="n">
        <v>4265906</v>
      </c>
      <c r="H1057" t="inlineStr">
        <is>
          <t>TUB-R-AW-AUT-50.00X30.00X2.500X6.1930</t>
        </is>
      </c>
    </row>
    <row r="1058">
      <c r="A1058" t="inlineStr">
        <is>
          <t>0000948721</t>
        </is>
      </c>
      <c r="B1058" t="inlineStr">
        <is>
          <t>ELKAYEM AUTO ANCILLARIES PRIVATE LI</t>
        </is>
      </c>
      <c r="C1058" t="inlineStr">
        <is>
          <t>NOS</t>
        </is>
      </c>
      <c r="D1058" t="n">
        <v>4074</v>
      </c>
      <c r="E1058" t="n">
        <v>1686.98</v>
      </c>
      <c r="F1058" t="n">
        <v>1796.634</v>
      </c>
      <c r="G1058" t="n">
        <v>3598957</v>
      </c>
      <c r="H1058" t="inlineStr">
        <is>
          <t>TUB-O-N-AUT-AW-FC-28.58X1.600X0.4140</t>
        </is>
      </c>
    </row>
    <row r="1059">
      <c r="A1059" t="inlineStr">
        <is>
          <t>0000948721</t>
        </is>
      </c>
      <c r="B1059" t="inlineStr">
        <is>
          <t>ELKAYEM AUTO ANCILLARIES PRIVATE LI</t>
        </is>
      </c>
      <c r="C1059" t="inlineStr">
        <is>
          <t>NOS</t>
        </is>
      </c>
      <c r="D1059" t="n">
        <v>1909</v>
      </c>
      <c r="E1059" t="n">
        <v>790.487</v>
      </c>
      <c r="F1059" t="n">
        <v>841.869</v>
      </c>
      <c r="G1059" t="n">
        <v>3598957</v>
      </c>
      <c r="H1059" t="inlineStr">
        <is>
          <t>TUB-O-N-AUT-AW-FC-28.58X1.600X0.4140</t>
        </is>
      </c>
    </row>
    <row r="1060">
      <c r="A1060" t="inlineStr">
        <is>
          <t>0000948721</t>
        </is>
      </c>
      <c r="B1060" t="inlineStr">
        <is>
          <t>ELKAYEM AUTO ANCILLARIES PRIVATE LI</t>
        </is>
      </c>
      <c r="C1060" t="inlineStr">
        <is>
          <t>NOS</t>
        </is>
      </c>
      <c r="D1060" t="n">
        <v>1240</v>
      </c>
      <c r="E1060" t="n">
        <v>513.465</v>
      </c>
      <c r="F1060" t="n">
        <v>546.84</v>
      </c>
      <c r="G1060" t="n">
        <v>3598957</v>
      </c>
      <c r="H1060" t="inlineStr">
        <is>
          <t>TUB-O-N-AUT-AW-FC-28.58X1.600X0.4140</t>
        </is>
      </c>
    </row>
    <row r="1061">
      <c r="A1061" t="inlineStr">
        <is>
          <t>0000948721</t>
        </is>
      </c>
      <c r="B1061" t="inlineStr">
        <is>
          <t>ELKAYEM AUTO ANCILLARIES PRIVATE LI</t>
        </is>
      </c>
      <c r="C1061" t="inlineStr">
        <is>
          <t>NOS</t>
        </is>
      </c>
      <c r="D1061" t="n">
        <v>377</v>
      </c>
      <c r="E1061" t="n">
        <v>156.11</v>
      </c>
      <c r="F1061" t="n">
        <v>166.257</v>
      </c>
      <c r="G1061" t="n">
        <v>3598957</v>
      </c>
      <c r="H1061" t="inlineStr">
        <is>
          <t>TUB-O-N-AUT-AW-FC-28.58X1.600X0.4140</t>
        </is>
      </c>
    </row>
    <row r="1062">
      <c r="A1062" t="inlineStr">
        <is>
          <t>0000948721</t>
        </is>
      </c>
      <c r="B1062" t="inlineStr">
        <is>
          <t>ELKAYEM AUTO ANCILLARIES PRIVATE LI</t>
        </is>
      </c>
      <c r="C1062" t="inlineStr">
        <is>
          <t>NOS</t>
        </is>
      </c>
      <c r="D1062" t="n">
        <v>2349</v>
      </c>
      <c r="E1062" t="n">
        <v>505.041</v>
      </c>
      <c r="F1062" t="n">
        <v>537.869</v>
      </c>
      <c r="G1062" t="n">
        <v>3727212</v>
      </c>
      <c r="H1062" t="inlineStr">
        <is>
          <t>TUB-O-N-AUT-AW-FC-28.58X1.600X0.2150</t>
        </is>
      </c>
    </row>
    <row r="1063">
      <c r="A1063" t="inlineStr">
        <is>
          <t>0000948721</t>
        </is>
      </c>
      <c r="B1063" t="inlineStr">
        <is>
          <t>ELKAYEM AUTO ANCILLARIES PRIVATE LI</t>
        </is>
      </c>
      <c r="C1063" t="inlineStr">
        <is>
          <t>NOS</t>
        </is>
      </c>
      <c r="D1063" t="n">
        <v>76</v>
      </c>
      <c r="E1063" t="n">
        <v>16.34</v>
      </c>
      <c r="F1063" t="n">
        <v>17.402</v>
      </c>
      <c r="G1063" t="n">
        <v>3727212</v>
      </c>
      <c r="H1063" t="inlineStr">
        <is>
          <t>TUB-O-N-AUT-AW-FC-28.58X1.600X0.2150</t>
        </is>
      </c>
    </row>
    <row r="1064">
      <c r="A1064" t="inlineStr">
        <is>
          <t>0000948721</t>
        </is>
      </c>
      <c r="B1064" t="inlineStr">
        <is>
          <t>ELKAYEM AUTO ANCILLARIES PRIVATE LI</t>
        </is>
      </c>
      <c r="C1064" t="inlineStr">
        <is>
          <t>NOS</t>
        </is>
      </c>
      <c r="D1064" t="n">
        <v>3172</v>
      </c>
      <c r="E1064" t="n">
        <v>1701.239</v>
      </c>
      <c r="F1064" t="n">
        <v>2664.48</v>
      </c>
      <c r="G1064" t="n">
        <v>1940822</v>
      </c>
      <c r="H1064" t="inlineStr">
        <is>
          <t>TUB-R-AW-RHS-40.00X25.00X1.600X0.5360</t>
        </is>
      </c>
    </row>
    <row r="1065">
      <c r="A1065" t="inlineStr">
        <is>
          <t>0000948721</t>
        </is>
      </c>
      <c r="B1065" t="inlineStr">
        <is>
          <t>ELKAYEM AUTO ANCILLARIES PRIVATE LI</t>
        </is>
      </c>
      <c r="C1065" t="inlineStr">
        <is>
          <t>NOS</t>
        </is>
      </c>
      <c r="D1065" t="n">
        <v>828</v>
      </c>
      <c r="E1065" t="n">
        <v>444.081</v>
      </c>
      <c r="F1065" t="n">
        <v>695.52</v>
      </c>
      <c r="G1065" t="n">
        <v>1940822</v>
      </c>
      <c r="H1065" t="inlineStr">
        <is>
          <t>TUB-R-AW-RHS-40.00X25.00X1.600X0.5360</t>
        </is>
      </c>
    </row>
    <row r="1066">
      <c r="A1066" t="inlineStr">
        <is>
          <t>0000948721</t>
        </is>
      </c>
      <c r="B1066" t="inlineStr">
        <is>
          <t>ELKAYEM AUTO ANCILLARIES PRIVATE LI</t>
        </is>
      </c>
      <c r="C1066" t="inlineStr">
        <is>
          <t>NOS</t>
        </is>
      </c>
      <c r="D1066" t="n">
        <v>1400</v>
      </c>
      <c r="E1066" t="n">
        <v>783.936</v>
      </c>
      <c r="F1066" t="n">
        <v>1227.8</v>
      </c>
      <c r="G1066" t="n">
        <v>1940823</v>
      </c>
      <c r="H1066" t="inlineStr">
        <is>
          <t>TUB-R-AW-RHS-40.00X25.00X1.600X0.5600</t>
        </is>
      </c>
    </row>
    <row r="1067">
      <c r="A1067" t="inlineStr">
        <is>
          <t>0000948721</t>
        </is>
      </c>
      <c r="B1067" t="inlineStr">
        <is>
          <t>ELKAYEM AUTO ANCILLARIES PRIVATE LI</t>
        </is>
      </c>
      <c r="C1067" t="inlineStr">
        <is>
          <t>NOS</t>
        </is>
      </c>
      <c r="D1067" t="n">
        <v>760</v>
      </c>
      <c r="E1067" t="n">
        <v>112.79</v>
      </c>
      <c r="F1067" t="n">
        <v>224.96</v>
      </c>
      <c r="G1067" t="n">
        <v>4098592</v>
      </c>
      <c r="H1067" t="inlineStr">
        <is>
          <t>TUB-R-AW-AUT-40.00X30.00X2.000X0.1480</t>
        </is>
      </c>
    </row>
    <row r="1068">
      <c r="A1068" t="inlineStr">
        <is>
          <t>0000948721</t>
        </is>
      </c>
      <c r="B1068" t="inlineStr">
        <is>
          <t>ELKAYEM AUTO ANCILLARIES PRIVATE LI</t>
        </is>
      </c>
      <c r="C1068" t="inlineStr">
        <is>
          <t>NOS</t>
        </is>
      </c>
      <c r="D1068" t="n">
        <v>1350</v>
      </c>
      <c r="E1068" t="n">
        <v>815.38</v>
      </c>
      <c r="F1068" t="n">
        <v>1583.55</v>
      </c>
      <c r="G1068" t="n">
        <v>2427158</v>
      </c>
      <c r="H1068" t="inlineStr">
        <is>
          <t>TUB-R-AW-AUT-50.00X30.00X1.600X0.6040</t>
        </is>
      </c>
    </row>
    <row r="1069">
      <c r="A1069" t="inlineStr">
        <is>
          <t>0000948721</t>
        </is>
      </c>
      <c r="B1069" t="inlineStr">
        <is>
          <t>ELKAYEM AUTO ANCILLARIES PRIVATE LI</t>
        </is>
      </c>
      <c r="C1069" t="inlineStr">
        <is>
          <t>NOS</t>
        </is>
      </c>
      <c r="D1069" t="n">
        <v>1329</v>
      </c>
      <c r="E1069" t="n">
        <v>802.697</v>
      </c>
      <c r="F1069" t="n">
        <v>1558.917</v>
      </c>
      <c r="G1069" t="n">
        <v>2427158</v>
      </c>
      <c r="H1069" t="inlineStr">
        <is>
          <t>TUB-R-AW-AUT-50.00X30.00X1.600X0.6040</t>
        </is>
      </c>
    </row>
    <row r="1070">
      <c r="A1070" t="inlineStr">
        <is>
          <t>0000948721</t>
        </is>
      </c>
      <c r="B1070" t="inlineStr">
        <is>
          <t>ELKAYEM AUTO ANCILLARIES PRIVATE LI</t>
        </is>
      </c>
      <c r="C1070" t="inlineStr">
        <is>
          <t>NOS</t>
        </is>
      </c>
      <c r="D1070" t="n">
        <v>1311</v>
      </c>
      <c r="E1070" t="n">
        <v>791.825</v>
      </c>
      <c r="F1070" t="n">
        <v>1537.803</v>
      </c>
      <c r="G1070" t="n">
        <v>2427158</v>
      </c>
      <c r="H1070" t="inlineStr">
        <is>
          <t>TUB-R-AW-AUT-50.00X30.00X1.600X0.6040</t>
        </is>
      </c>
    </row>
    <row r="1071">
      <c r="A1071" t="inlineStr">
        <is>
          <t>0000189002</t>
        </is>
      </c>
      <c r="B1071" t="inlineStr">
        <is>
          <t>Marathwada Auto Compo Pvt. Ltd.</t>
        </is>
      </c>
      <c r="C1071" t="inlineStr">
        <is>
          <t>NOS</t>
        </is>
      </c>
      <c r="D1071" t="n">
        <v>500</v>
      </c>
      <c r="E1071" t="n">
        <v>164.995</v>
      </c>
      <c r="F1071" t="n">
        <v>87.18300000000001</v>
      </c>
      <c r="G1071" t="n">
        <v>3935313</v>
      </c>
      <c r="H1071" t="inlineStr">
        <is>
          <t>CUT-O-N-AUT-AW-PE-19.05X1.200X0.33</t>
        </is>
      </c>
    </row>
    <row r="1072">
      <c r="A1072" t="inlineStr">
        <is>
          <t>0000189002</t>
        </is>
      </c>
      <c r="B1072" t="inlineStr">
        <is>
          <t>Marathwada Auto Compo Pvt. Ltd.</t>
        </is>
      </c>
      <c r="C1072" t="inlineStr">
        <is>
          <t>NOS</t>
        </is>
      </c>
      <c r="D1072" t="n">
        <v>1500</v>
      </c>
      <c r="E1072" t="n">
        <v>1965.583</v>
      </c>
      <c r="F1072" t="n">
        <v>2164.5</v>
      </c>
      <c r="G1072" t="n">
        <v>1940801</v>
      </c>
      <c r="H1072" t="inlineStr">
        <is>
          <t>TUB-R-AW-RHS-40.00X20.00X1.210X1.3100</t>
        </is>
      </c>
    </row>
    <row r="1073">
      <c r="A1073" t="inlineStr">
        <is>
          <t>0000189002</t>
        </is>
      </c>
      <c r="B1073" t="inlineStr">
        <is>
          <t>Marathwada Auto Compo Pvt. Ltd.</t>
        </is>
      </c>
      <c r="C1073" t="inlineStr">
        <is>
          <t>NOS</t>
        </is>
      </c>
      <c r="D1073" t="n">
        <v>500</v>
      </c>
      <c r="E1073" t="n">
        <v>623.4109999999999</v>
      </c>
      <c r="F1073" t="n">
        <v>686.5</v>
      </c>
      <c r="G1073" t="n">
        <v>3233554</v>
      </c>
      <c r="H1073" t="inlineStr">
        <is>
          <t>TUB-R-AW-AUT-40.00X20.00X1.210X1.2460</t>
        </is>
      </c>
    </row>
    <row r="1074">
      <c r="A1074" t="inlineStr">
        <is>
          <t>0000189002</t>
        </is>
      </c>
      <c r="B1074" t="inlineStr">
        <is>
          <t>Marathwada Auto Compo Pvt. Ltd.</t>
        </is>
      </c>
      <c r="C1074" t="inlineStr">
        <is>
          <t>NOS</t>
        </is>
      </c>
      <c r="D1074" t="n">
        <v>1898</v>
      </c>
      <c r="E1074" t="n">
        <v>2126.891</v>
      </c>
      <c r="F1074" t="n">
        <v>2342.132</v>
      </c>
      <c r="G1074" t="n">
        <v>3233555</v>
      </c>
      <c r="H1074" t="inlineStr">
        <is>
          <t>TUB-R-AW-AUT-40.00X20.00X1.210X1.1200</t>
        </is>
      </c>
    </row>
    <row r="1075">
      <c r="A1075" t="inlineStr">
        <is>
          <t>0000189002</t>
        </is>
      </c>
      <c r="B1075" t="inlineStr">
        <is>
          <t>Marathwada Auto Compo Pvt. Ltd.</t>
        </is>
      </c>
      <c r="C1075" t="inlineStr">
        <is>
          <t>NOS</t>
        </is>
      </c>
      <c r="D1075" t="n">
        <v>102</v>
      </c>
      <c r="E1075" t="n">
        <v>114.301</v>
      </c>
      <c r="F1075" t="n">
        <v>125.868</v>
      </c>
      <c r="G1075" t="n">
        <v>3233555</v>
      </c>
      <c r="H1075" t="inlineStr">
        <is>
          <t>TUB-R-AW-AUT-40.00X20.00X1.210X1.1200</t>
        </is>
      </c>
    </row>
    <row r="1076">
      <c r="A1076" t="inlineStr">
        <is>
          <t>0000189002</t>
        </is>
      </c>
      <c r="B1076" t="inlineStr">
        <is>
          <t>Marathwada Auto Compo Pvt. Ltd.</t>
        </is>
      </c>
      <c r="C1076" t="inlineStr">
        <is>
          <t>NOS</t>
        </is>
      </c>
      <c r="D1076" t="n">
        <v>2000</v>
      </c>
      <c r="E1076" t="n">
        <v>1720.981</v>
      </c>
      <c r="F1076" t="n">
        <v>1880</v>
      </c>
      <c r="G1076" t="n">
        <v>3572051</v>
      </c>
      <c r="H1076" t="inlineStr">
        <is>
          <t>TUB-R-AW-AUT-40.00X20.00X1.200X0.8600</t>
        </is>
      </c>
    </row>
    <row r="1077">
      <c r="A1077" t="inlineStr">
        <is>
          <t>0000189002</t>
        </is>
      </c>
      <c r="B1077" t="inlineStr">
        <is>
          <t>Marathwada Auto Compo Pvt. Ltd.</t>
        </is>
      </c>
      <c r="C1077" t="inlineStr">
        <is>
          <t>NOS</t>
        </is>
      </c>
      <c r="D1077" t="n">
        <v>1000</v>
      </c>
      <c r="E1077" t="n">
        <v>800.0359999999999</v>
      </c>
      <c r="F1077" t="n">
        <v>881</v>
      </c>
      <c r="G1077" t="n">
        <v>3233557</v>
      </c>
      <c r="H1077" t="inlineStr">
        <is>
          <t>TUB-R-AW-AUT-40.00X20.00X1.210X0.8000</t>
        </is>
      </c>
    </row>
    <row r="1078">
      <c r="A1078" t="inlineStr">
        <is>
          <t>0000189002</t>
        </is>
      </c>
      <c r="B1078" t="inlineStr">
        <is>
          <t>Marathwada Auto Compo Pvt. Ltd.</t>
        </is>
      </c>
      <c r="C1078" t="inlineStr">
        <is>
          <t>NOS</t>
        </is>
      </c>
      <c r="D1078" t="n">
        <v>500</v>
      </c>
      <c r="E1078" t="n">
        <v>622.999</v>
      </c>
      <c r="F1078" t="n">
        <v>339.472</v>
      </c>
      <c r="G1078" t="n">
        <v>3572038</v>
      </c>
      <c r="H1078" t="inlineStr">
        <is>
          <t>TUB-S-AW-AUT-19.00X19.00X1.000X1.2460</t>
        </is>
      </c>
    </row>
    <row r="1079">
      <c r="A1079" t="inlineStr">
        <is>
          <t>0000189002</t>
        </is>
      </c>
      <c r="B1079" t="inlineStr">
        <is>
          <t>Marathwada Auto Compo Pvt. Ltd.</t>
        </is>
      </c>
      <c r="C1079" t="inlineStr">
        <is>
          <t>NOS</t>
        </is>
      </c>
      <c r="D1079" t="n">
        <v>648</v>
      </c>
      <c r="E1079" t="n">
        <v>570.456</v>
      </c>
      <c r="F1079" t="n">
        <v>315.576</v>
      </c>
      <c r="G1079" t="n">
        <v>3230492</v>
      </c>
      <c r="H1079" t="inlineStr">
        <is>
          <t>TUB-S-AW-AUT-19.00X19.00X1.000X0.8800</t>
        </is>
      </c>
    </row>
    <row r="1080">
      <c r="A1080" t="inlineStr">
        <is>
          <t>0000189002</t>
        </is>
      </c>
      <c r="B1080" t="inlineStr">
        <is>
          <t>Marathwada Auto Compo Pvt. Ltd.</t>
        </is>
      </c>
      <c r="C1080" t="inlineStr">
        <is>
          <t>NOS</t>
        </is>
      </c>
      <c r="D1080" t="n">
        <v>599</v>
      </c>
      <c r="E1080" t="n">
        <v>527.319</v>
      </c>
      <c r="F1080" t="n">
        <v>291.713</v>
      </c>
      <c r="G1080" t="n">
        <v>3230492</v>
      </c>
      <c r="H1080" t="inlineStr">
        <is>
          <t>TUB-S-AW-AUT-19.00X19.00X1.000X0.8800</t>
        </is>
      </c>
    </row>
    <row r="1081">
      <c r="A1081" t="inlineStr">
        <is>
          <t>0000189002</t>
        </is>
      </c>
      <c r="B1081" t="inlineStr">
        <is>
          <t>Marathwada Auto Compo Pvt. Ltd.</t>
        </is>
      </c>
      <c r="C1081" t="inlineStr">
        <is>
          <t>NOS</t>
        </is>
      </c>
      <c r="D1081" t="n">
        <v>253</v>
      </c>
      <c r="E1081" t="n">
        <v>222.724</v>
      </c>
      <c r="F1081" t="n">
        <v>123.211</v>
      </c>
      <c r="G1081" t="n">
        <v>3230492</v>
      </c>
      <c r="H1081" t="inlineStr">
        <is>
          <t>TUB-S-AW-AUT-19.00X19.00X1.000X0.8800</t>
        </is>
      </c>
    </row>
    <row r="1082">
      <c r="A1082" t="inlineStr">
        <is>
          <t>0000189002</t>
        </is>
      </c>
      <c r="B1082" t="inlineStr">
        <is>
          <t>Marathwada Auto Compo Pvt. Ltd.</t>
        </is>
      </c>
      <c r="C1082" t="inlineStr">
        <is>
          <t>NOS</t>
        </is>
      </c>
      <c r="D1082" t="n">
        <v>1000</v>
      </c>
      <c r="E1082" t="n">
        <v>872.135</v>
      </c>
      <c r="F1082" t="n">
        <v>487</v>
      </c>
      <c r="G1082" t="n">
        <v>3605739</v>
      </c>
      <c r="H1082" t="inlineStr">
        <is>
          <t>TUB-S-AW-AUT-19.00X19.00X1.010X0.8710</t>
        </is>
      </c>
    </row>
    <row r="1083">
      <c r="A1083" t="inlineStr">
        <is>
          <t>0000189002</t>
        </is>
      </c>
      <c r="B1083" t="inlineStr">
        <is>
          <t>Marathwada Auto Compo Pvt. Ltd.</t>
        </is>
      </c>
      <c r="C1083" t="inlineStr">
        <is>
          <t>NOS</t>
        </is>
      </c>
      <c r="D1083" t="n">
        <v>1000</v>
      </c>
      <c r="E1083" t="n">
        <v>840.564</v>
      </c>
      <c r="F1083" t="n">
        <v>465</v>
      </c>
      <c r="G1083" t="n">
        <v>3230485</v>
      </c>
      <c r="H1083" t="inlineStr">
        <is>
          <t>TUB-S-AW-AUT-19.00X19.00X1.000X0.8400</t>
        </is>
      </c>
    </row>
    <row r="1084">
      <c r="A1084" t="inlineStr">
        <is>
          <t>0000189002</t>
        </is>
      </c>
      <c r="B1084" t="inlineStr">
        <is>
          <t>Marathwada Auto Compo Pvt. Ltd.</t>
        </is>
      </c>
      <c r="C1084" t="inlineStr">
        <is>
          <t>NOS</t>
        </is>
      </c>
      <c r="D1084" t="n">
        <v>1000</v>
      </c>
      <c r="E1084" t="n">
        <v>800.004</v>
      </c>
      <c r="F1084" t="n">
        <v>436.011</v>
      </c>
      <c r="G1084" t="n">
        <v>3931836</v>
      </c>
      <c r="H1084" t="inlineStr">
        <is>
          <t>CUT-R-AW-AUT-19.00X19.00X1.000X0.8000</t>
        </is>
      </c>
    </row>
    <row r="1085">
      <c r="A1085" t="inlineStr">
        <is>
          <t>0000189002</t>
        </is>
      </c>
      <c r="B1085" t="inlineStr">
        <is>
          <t>Marathwada Auto Compo Pvt. Ltd.</t>
        </is>
      </c>
      <c r="C1085" t="inlineStr">
        <is>
          <t>NOS</t>
        </is>
      </c>
      <c r="D1085" t="n">
        <v>500</v>
      </c>
      <c r="E1085" t="n">
        <v>503.507</v>
      </c>
      <c r="F1085" t="n">
        <v>274.417</v>
      </c>
      <c r="G1085" t="n">
        <v>4100796</v>
      </c>
      <c r="H1085" t="inlineStr">
        <is>
          <t>CUT-R-AW-AUT-19.00X19.00X1.000X1.0070</t>
        </is>
      </c>
    </row>
    <row r="1086">
      <c r="A1086" t="inlineStr">
        <is>
          <t>0000189002</t>
        </is>
      </c>
      <c r="B1086" t="inlineStr">
        <is>
          <t>Marathwada Auto Compo Pvt. Ltd.</t>
        </is>
      </c>
      <c r="C1086" t="inlineStr">
        <is>
          <t>NOS</t>
        </is>
      </c>
      <c r="D1086" t="n">
        <v>1000</v>
      </c>
      <c r="E1086" t="n">
        <v>539.997</v>
      </c>
      <c r="F1086" t="n">
        <v>294.244</v>
      </c>
      <c r="G1086" t="n">
        <v>3571870</v>
      </c>
      <c r="H1086" t="inlineStr">
        <is>
          <t>TUB-S-AW-AUT-19.00X19.00X1.000X0.5400</t>
        </is>
      </c>
    </row>
    <row r="1087">
      <c r="A1087" t="inlineStr">
        <is>
          <t>0000189002</t>
        </is>
      </c>
      <c r="B1087" t="inlineStr">
        <is>
          <t>Marathwada Auto Compo Pvt. Ltd.</t>
        </is>
      </c>
      <c r="C1087" t="inlineStr">
        <is>
          <t>NOS</t>
        </is>
      </c>
      <c r="D1087" t="n">
        <v>1000</v>
      </c>
      <c r="E1087" t="n">
        <v>469.994</v>
      </c>
      <c r="F1087" t="n">
        <v>256.1</v>
      </c>
      <c r="G1087" t="n">
        <v>3230488</v>
      </c>
      <c r="H1087" t="inlineStr">
        <is>
          <t>TUB-S-AW-AUT-19.00X19.00X1.000X0.4700</t>
        </is>
      </c>
    </row>
    <row r="1088">
      <c r="A1088" t="inlineStr">
        <is>
          <t>0000189002</t>
        </is>
      </c>
      <c r="B1088" t="inlineStr">
        <is>
          <t>Marathwada Auto Compo Pvt. Ltd.</t>
        </is>
      </c>
      <c r="C1088" t="inlineStr">
        <is>
          <t>NOS</t>
        </is>
      </c>
      <c r="D1088" t="n">
        <v>3000</v>
      </c>
      <c r="E1088" t="n">
        <v>1198.482</v>
      </c>
      <c r="F1088" t="n">
        <v>663</v>
      </c>
      <c r="G1088" t="n">
        <v>3230487</v>
      </c>
      <c r="H1088" t="inlineStr">
        <is>
          <t>TUB-S-AW-AUT-19.00X19.00X1.000X0.4000</t>
        </is>
      </c>
    </row>
    <row r="1089">
      <c r="A1089" t="inlineStr">
        <is>
          <t>0000189002</t>
        </is>
      </c>
      <c r="B1089" t="inlineStr">
        <is>
          <t>Marathwada Auto Compo Pvt. Ltd.</t>
        </is>
      </c>
      <c r="C1089" t="inlineStr">
        <is>
          <t>NOS</t>
        </is>
      </c>
      <c r="D1089" t="n">
        <v>1000</v>
      </c>
      <c r="E1089" t="n">
        <v>356.11</v>
      </c>
      <c r="F1089" t="n">
        <v>197</v>
      </c>
      <c r="G1089" t="n">
        <v>3230490</v>
      </c>
      <c r="H1089" t="inlineStr">
        <is>
          <t>TUB-S-AW-AUT-19.00X19.00X1.000X0.3550</t>
        </is>
      </c>
    </row>
    <row r="1090">
      <c r="A1090" t="inlineStr">
        <is>
          <t>0000189002</t>
        </is>
      </c>
      <c r="B1090" t="inlineStr">
        <is>
          <t>Marathwada Auto Compo Pvt. Ltd.</t>
        </is>
      </c>
      <c r="C1090" t="inlineStr">
        <is>
          <t>NOS</t>
        </is>
      </c>
      <c r="D1090" t="n">
        <v>500</v>
      </c>
      <c r="E1090" t="n">
        <v>649.006</v>
      </c>
      <c r="F1090" t="n">
        <v>563.15</v>
      </c>
      <c r="G1090" t="n">
        <v>3935311</v>
      </c>
      <c r="H1090" t="inlineStr">
        <is>
          <t>CUT-S-AW-AUT-25.00X25.00X1.200X1.2980</t>
        </is>
      </c>
    </row>
    <row r="1091">
      <c r="A1091" t="inlineStr">
        <is>
          <t>0000189002</t>
        </is>
      </c>
      <c r="B1091" t="inlineStr">
        <is>
          <t>Marathwada Auto Compo Pvt. Ltd.</t>
        </is>
      </c>
      <c r="C1091" t="inlineStr">
        <is>
          <t>NOS</t>
        </is>
      </c>
      <c r="D1091" t="n">
        <v>1000</v>
      </c>
      <c r="E1091" t="n">
        <v>787.175</v>
      </c>
      <c r="F1091" t="n">
        <v>712</v>
      </c>
      <c r="G1091" t="n">
        <v>3230482</v>
      </c>
      <c r="H1091" t="inlineStr">
        <is>
          <t>TUB-S-AW-AUT-25.00X25.00X1.200X0.7870</t>
        </is>
      </c>
    </row>
    <row r="1092">
      <c r="A1092" t="inlineStr">
        <is>
          <t>0000189002</t>
        </is>
      </c>
      <c r="B1092" t="inlineStr">
        <is>
          <t>Marathwada Auto Compo Pvt. Ltd.</t>
        </is>
      </c>
      <c r="C1092" t="inlineStr">
        <is>
          <t>NOS</t>
        </is>
      </c>
      <c r="D1092" t="n">
        <v>500</v>
      </c>
      <c r="E1092" t="n">
        <v>615.004</v>
      </c>
      <c r="F1092" t="n">
        <v>324.872</v>
      </c>
      <c r="G1092" t="n">
        <v>3929692</v>
      </c>
      <c r="H1092" t="inlineStr">
        <is>
          <t>CUT-O-N-AUT-AW-PE-19.05X1.200X1.2300</t>
        </is>
      </c>
    </row>
    <row r="1093">
      <c r="A1093" t="inlineStr">
        <is>
          <t>0000189002</t>
        </is>
      </c>
      <c r="B1093" t="inlineStr">
        <is>
          <t>Marathwada Auto Compo Pvt. Ltd.</t>
        </is>
      </c>
      <c r="C1093" t="inlineStr">
        <is>
          <t>NOS</t>
        </is>
      </c>
      <c r="D1093" t="n">
        <v>1000</v>
      </c>
      <c r="E1093" t="n">
        <v>682.0069999999999</v>
      </c>
      <c r="F1093" t="n">
        <v>360.267</v>
      </c>
      <c r="G1093" t="n">
        <v>3929540</v>
      </c>
      <c r="H1093" t="inlineStr">
        <is>
          <t>CUT-O-N-AUT-AW-PE-19.05X1.200X0.6820</t>
        </is>
      </c>
    </row>
    <row r="1094">
      <c r="A1094" t="inlineStr">
        <is>
          <t>0000189002</t>
        </is>
      </c>
      <c r="B1094" t="inlineStr">
        <is>
          <t>Marathwada Auto Compo Pvt. Ltd.</t>
        </is>
      </c>
      <c r="C1094" t="inlineStr">
        <is>
          <t>NOS</t>
        </is>
      </c>
      <c r="D1094" t="n">
        <v>2000</v>
      </c>
      <c r="E1094" t="n">
        <v>399.983</v>
      </c>
      <c r="F1094" t="n">
        <v>211.289</v>
      </c>
      <c r="G1094" t="n">
        <v>3929691</v>
      </c>
      <c r="H1094" t="inlineStr">
        <is>
          <t>CUT-O-N-AUT-AW-PE-19.05X1.200X0.2000</t>
        </is>
      </c>
    </row>
    <row r="1095">
      <c r="A1095" t="inlineStr">
        <is>
          <t>0000189002</t>
        </is>
      </c>
      <c r="B1095" t="inlineStr">
        <is>
          <t>Marathwada Auto Compo Pvt. Ltd.</t>
        </is>
      </c>
      <c r="C1095" t="inlineStr">
        <is>
          <t>NOS</t>
        </is>
      </c>
      <c r="D1095" t="n">
        <v>1000</v>
      </c>
      <c r="E1095" t="n">
        <v>220.615</v>
      </c>
      <c r="F1095" t="n">
        <v>241</v>
      </c>
      <c r="G1095" t="n">
        <v>3230495</v>
      </c>
      <c r="H1095" t="inlineStr">
        <is>
          <t>TUB-S-AW-AUT-30.00X30.00X1.200X0.2200</t>
        </is>
      </c>
    </row>
    <row r="1096">
      <c r="A1096" t="inlineStr">
        <is>
          <t>0000940921</t>
        </is>
      </c>
      <c r="B1096" t="inlineStr">
        <is>
          <t>ELKAYEM AUTO ANCILLARIES PVT LTD -U</t>
        </is>
      </c>
      <c r="C1096" t="inlineStr">
        <is>
          <t>NOS</t>
        </is>
      </c>
      <c r="D1096" t="n">
        <v>12400</v>
      </c>
      <c r="E1096" t="n">
        <v>3614.222</v>
      </c>
      <c r="F1096" t="n">
        <v>2368.4</v>
      </c>
      <c r="G1096" t="n">
        <v>1940090</v>
      </c>
      <c r="H1096" t="inlineStr">
        <is>
          <t>TUB-O-O-AUT-AW-PE-15.88X2.000X0.2910</t>
        </is>
      </c>
    </row>
    <row r="1097">
      <c r="A1097" t="inlineStr">
        <is>
          <t>0000940921</t>
        </is>
      </c>
      <c r="B1097" t="inlineStr">
        <is>
          <t>ELKAYEM AUTO ANCILLARIES PVT LTD -U</t>
        </is>
      </c>
      <c r="C1097" t="inlineStr">
        <is>
          <t>NOS</t>
        </is>
      </c>
      <c r="D1097" t="n">
        <v>510</v>
      </c>
      <c r="E1097" t="n">
        <v>877.718</v>
      </c>
      <c r="F1097" t="n">
        <v>1754.91</v>
      </c>
      <c r="G1097" t="n">
        <v>1940715</v>
      </c>
      <c r="H1097" t="inlineStr">
        <is>
          <t>TUB-O-O-AUT-AW-FC-34.93X2.500X1.7210</t>
        </is>
      </c>
    </row>
    <row r="1098">
      <c r="A1098" t="inlineStr">
        <is>
          <t>0000940921</t>
        </is>
      </c>
      <c r="B1098" t="inlineStr">
        <is>
          <t>ELKAYEM AUTO ANCILLARIES PVT LTD -U</t>
        </is>
      </c>
      <c r="C1098" t="inlineStr">
        <is>
          <t>NOS</t>
        </is>
      </c>
      <c r="D1098" t="n">
        <v>500</v>
      </c>
      <c r="E1098" t="n">
        <v>860.508</v>
      </c>
      <c r="F1098" t="n">
        <v>1720.5</v>
      </c>
      <c r="G1098" t="n">
        <v>1940715</v>
      </c>
      <c r="H1098" t="inlineStr">
        <is>
          <t>TUB-O-O-AUT-AW-FC-34.93X2.500X1.7210</t>
        </is>
      </c>
    </row>
    <row r="1099">
      <c r="A1099" t="inlineStr">
        <is>
          <t>0000940921</t>
        </is>
      </c>
      <c r="B1099" t="inlineStr">
        <is>
          <t>ELKAYEM AUTO ANCILLARIES PVT LTD -U</t>
        </is>
      </c>
      <c r="C1099" t="inlineStr">
        <is>
          <t>NOS</t>
        </is>
      </c>
      <c r="D1099" t="n">
        <v>500</v>
      </c>
      <c r="E1099" t="n">
        <v>860.508</v>
      </c>
      <c r="F1099" t="n">
        <v>1720.5</v>
      </c>
      <c r="G1099" t="n">
        <v>1940715</v>
      </c>
      <c r="H1099" t="inlineStr">
        <is>
          <t>TUB-O-O-AUT-AW-FC-34.93X2.500X1.7210</t>
        </is>
      </c>
    </row>
    <row r="1100">
      <c r="A1100" t="inlineStr">
        <is>
          <t>0000940921</t>
        </is>
      </c>
      <c r="B1100" t="inlineStr">
        <is>
          <t>ELKAYEM AUTO ANCILLARIES PVT LTD -U</t>
        </is>
      </c>
      <c r="C1100" t="inlineStr">
        <is>
          <t>NOS</t>
        </is>
      </c>
      <c r="D1100" t="n">
        <v>490</v>
      </c>
      <c r="E1100" t="n">
        <v>843.298</v>
      </c>
      <c r="F1100" t="n">
        <v>1686.09</v>
      </c>
      <c r="G1100" t="n">
        <v>1940715</v>
      </c>
      <c r="H1100" t="inlineStr">
        <is>
          <t>TUB-O-O-AUT-AW-FC-34.93X2.500X1.7210</t>
        </is>
      </c>
    </row>
    <row r="1101">
      <c r="A1101" t="inlineStr">
        <is>
          <t>0000940921</t>
        </is>
      </c>
      <c r="B1101" t="inlineStr">
        <is>
          <t>ELKAYEM AUTO ANCILLARIES PVT LTD -U</t>
        </is>
      </c>
      <c r="C1101" t="inlineStr">
        <is>
          <t>NOS</t>
        </is>
      </c>
      <c r="D1101" t="n">
        <v>1349</v>
      </c>
      <c r="E1101" t="n">
        <v>857.886</v>
      </c>
      <c r="F1101" t="n">
        <v>1666.015</v>
      </c>
      <c r="G1101" t="n">
        <v>1940879</v>
      </c>
      <c r="H1101" t="inlineStr">
        <is>
          <t>TUB-R-AW-RHS-50.00X30.00X1.600X0.6360</t>
        </is>
      </c>
    </row>
    <row r="1102">
      <c r="A1102" t="inlineStr">
        <is>
          <t>0000940921</t>
        </is>
      </c>
      <c r="B1102" t="inlineStr">
        <is>
          <t>ELKAYEM AUTO ANCILLARIES PVT LTD -U</t>
        </is>
      </c>
      <c r="C1102" t="inlineStr">
        <is>
          <t>NOS</t>
        </is>
      </c>
      <c r="D1102" t="n">
        <v>1300</v>
      </c>
      <c r="E1102" t="n">
        <v>826.725</v>
      </c>
      <c r="F1102" t="n">
        <v>1605.5</v>
      </c>
      <c r="G1102" t="n">
        <v>1940879</v>
      </c>
      <c r="H1102" t="inlineStr">
        <is>
          <t>TUB-R-AW-RHS-50.00X30.00X1.600X0.6360</t>
        </is>
      </c>
    </row>
    <row r="1103">
      <c r="A1103" t="inlineStr">
        <is>
          <t>0000940921</t>
        </is>
      </c>
      <c r="B1103" t="inlineStr">
        <is>
          <t>ELKAYEM AUTO ANCILLARIES PVT LTD -U</t>
        </is>
      </c>
      <c r="C1103" t="inlineStr">
        <is>
          <t>NOS</t>
        </is>
      </c>
      <c r="D1103" t="n">
        <v>1190</v>
      </c>
      <c r="E1103" t="n">
        <v>756.771</v>
      </c>
      <c r="F1103" t="n">
        <v>1469.65</v>
      </c>
      <c r="G1103" t="n">
        <v>1940879</v>
      </c>
      <c r="H1103" t="inlineStr">
        <is>
          <t>TUB-R-AW-RHS-50.00X30.00X1.600X0.6360</t>
        </is>
      </c>
    </row>
    <row r="1104">
      <c r="A1104" t="inlineStr">
        <is>
          <t>0000940921</t>
        </is>
      </c>
      <c r="B1104" t="inlineStr">
        <is>
          <t>ELKAYEM AUTO ANCILLARIES PVT LTD -U</t>
        </is>
      </c>
      <c r="C1104" t="inlineStr">
        <is>
          <t>NOS</t>
        </is>
      </c>
      <c r="D1104" t="n">
        <v>870</v>
      </c>
      <c r="E1104" t="n">
        <v>553.27</v>
      </c>
      <c r="F1104" t="n">
        <v>1074.45</v>
      </c>
      <c r="G1104" t="n">
        <v>1940879</v>
      </c>
      <c r="H1104" t="inlineStr">
        <is>
          <t>TUB-R-AW-RHS-50.00X30.00X1.600X0.6360</t>
        </is>
      </c>
    </row>
    <row r="1105">
      <c r="A1105" t="inlineStr">
        <is>
          <t>0000940921</t>
        </is>
      </c>
      <c r="B1105" t="inlineStr">
        <is>
          <t>ELKAYEM AUTO ANCILLARIES PVT LTD -U</t>
        </is>
      </c>
      <c r="C1105" t="inlineStr">
        <is>
          <t>NOS</t>
        </is>
      </c>
      <c r="D1105" t="n">
        <v>269</v>
      </c>
      <c r="E1105" t="n">
        <v>171.068</v>
      </c>
      <c r="F1105" t="n">
        <v>332.215</v>
      </c>
      <c r="G1105" t="n">
        <v>1940879</v>
      </c>
      <c r="H1105" t="inlineStr">
        <is>
          <t>TUB-R-AW-RHS-50.00X30.00X1.600X0.6360</t>
        </is>
      </c>
    </row>
    <row r="1106">
      <c r="A1106" t="inlineStr">
        <is>
          <t>0000940921</t>
        </is>
      </c>
      <c r="B1106" t="inlineStr">
        <is>
          <t>ELKAYEM AUTO ANCILLARIES PVT LTD -U</t>
        </is>
      </c>
      <c r="C1106" t="inlineStr">
        <is>
          <t>NOS</t>
        </is>
      </c>
      <c r="D1106" t="n">
        <v>94</v>
      </c>
      <c r="E1106" t="n">
        <v>59.779</v>
      </c>
      <c r="F1106" t="n">
        <v>116.09</v>
      </c>
      <c r="G1106" t="n">
        <v>1940879</v>
      </c>
      <c r="H1106" t="inlineStr">
        <is>
          <t>TUB-R-AW-RHS-50.00X30.00X1.600X0.6360</t>
        </is>
      </c>
    </row>
    <row r="1107">
      <c r="A1107" t="inlineStr">
        <is>
          <t>0000940921</t>
        </is>
      </c>
      <c r="B1107" t="inlineStr">
        <is>
          <t>ELKAYEM AUTO ANCILLARIES PVT LTD -U</t>
        </is>
      </c>
      <c r="C1107" t="inlineStr">
        <is>
          <t>NOS</t>
        </is>
      </c>
      <c r="D1107" t="n">
        <v>25</v>
      </c>
      <c r="E1107" t="n">
        <v>15.899</v>
      </c>
      <c r="F1107" t="n">
        <v>30.875</v>
      </c>
      <c r="G1107" t="n">
        <v>1940879</v>
      </c>
      <c r="H1107" t="inlineStr">
        <is>
          <t>TUB-R-AW-RHS-50.00X30.00X1.600X0.6360</t>
        </is>
      </c>
    </row>
    <row r="1108">
      <c r="A1108" t="inlineStr">
        <is>
          <t>0000940921</t>
        </is>
      </c>
      <c r="B1108" t="inlineStr">
        <is>
          <t>ELKAYEM AUTO ANCILLARIES PVT LTD -U</t>
        </is>
      </c>
      <c r="C1108" t="inlineStr">
        <is>
          <t>NOS</t>
        </is>
      </c>
      <c r="D1108" t="n">
        <v>3</v>
      </c>
      <c r="E1108" t="n">
        <v>1.908</v>
      </c>
      <c r="F1108" t="n">
        <v>3.705</v>
      </c>
      <c r="G1108" t="n">
        <v>1940879</v>
      </c>
      <c r="H1108" t="inlineStr">
        <is>
          <t>TUB-R-AW-RHS-50.00X30.00X1.600X0.6360</t>
        </is>
      </c>
    </row>
    <row r="1109">
      <c r="A1109" t="inlineStr">
        <is>
          <t>0000940921</t>
        </is>
      </c>
      <c r="B1109" t="inlineStr">
        <is>
          <t>ELKAYEM AUTO ANCILLARIES PVT LTD -U</t>
        </is>
      </c>
      <c r="C1109" t="inlineStr">
        <is>
          <t>NOS</t>
        </is>
      </c>
      <c r="D1109" t="n">
        <v>2008</v>
      </c>
      <c r="E1109" t="n">
        <v>1288.012</v>
      </c>
      <c r="F1109" t="n">
        <v>2389.52</v>
      </c>
      <c r="G1109" t="n">
        <v>3781649</v>
      </c>
      <c r="H1109" t="inlineStr">
        <is>
          <t>TUB-E-AW-AUT-59.00X30.00X1.600X0.6410</t>
        </is>
      </c>
    </row>
    <row r="1110">
      <c r="A1110" t="inlineStr">
        <is>
          <t>0000940921</t>
        </is>
      </c>
      <c r="B1110" t="inlineStr">
        <is>
          <t>ELKAYEM AUTO ANCILLARIES PVT LTD -U</t>
        </is>
      </c>
      <c r="C1110" t="inlineStr">
        <is>
          <t>NOS</t>
        </is>
      </c>
      <c r="D1110" t="n">
        <v>2</v>
      </c>
      <c r="E1110" t="n">
        <v>1.283</v>
      </c>
      <c r="F1110" t="n">
        <v>2.38</v>
      </c>
      <c r="G1110" t="n">
        <v>3781649</v>
      </c>
      <c r="H1110" t="inlineStr">
        <is>
          <t>TUB-E-AW-AUT-59.00X30.00X1.600X0.6410</t>
        </is>
      </c>
    </row>
    <row r="1111">
      <c r="A1111" t="inlineStr">
        <is>
          <t>0000188647</t>
        </is>
      </c>
      <c r="B1111" t="inlineStr">
        <is>
          <t>Metalman Auto Private Limited</t>
        </is>
      </c>
      <c r="C1111" t="inlineStr">
        <is>
          <t>NOS</t>
        </is>
      </c>
      <c r="D1111" t="n">
        <v>1500</v>
      </c>
      <c r="E1111" t="n">
        <v>1319.617</v>
      </c>
      <c r="F1111" t="n">
        <v>2232</v>
      </c>
      <c r="G1111" t="n">
        <v>1940831</v>
      </c>
      <c r="H1111" t="inlineStr">
        <is>
          <t>TUB-R-AW-RHS-40.00X30.00X1.600X0.8800</t>
        </is>
      </c>
    </row>
    <row r="1112">
      <c r="A1112" t="inlineStr">
        <is>
          <t>0000188647</t>
        </is>
      </c>
      <c r="B1112" t="inlineStr">
        <is>
          <t>Metalman Auto Private Limited</t>
        </is>
      </c>
      <c r="C1112" t="inlineStr">
        <is>
          <t>NOS</t>
        </is>
      </c>
      <c r="D1112" t="n">
        <v>846</v>
      </c>
      <c r="E1112" t="n">
        <v>647.201</v>
      </c>
      <c r="F1112" t="n">
        <v>1823.553</v>
      </c>
      <c r="G1112" t="n">
        <v>4229654</v>
      </c>
      <c r="H1112" t="inlineStr">
        <is>
          <t>CUT-R-AW-AUT-50.00X30.00X2.500X0.7650</t>
        </is>
      </c>
    </row>
    <row r="1113">
      <c r="A1113" t="inlineStr">
        <is>
          <t>0000189481</t>
        </is>
      </c>
      <c r="B1113" t="inlineStr">
        <is>
          <t>Rajsriya Automotive Industries</t>
        </is>
      </c>
      <c r="C1113" t="inlineStr">
        <is>
          <t>NOS</t>
        </is>
      </c>
      <c r="D1113" t="n">
        <v>6061</v>
      </c>
      <c r="E1113" t="n">
        <v>1766.597</v>
      </c>
      <c r="F1113" t="n">
        <v>1157.651</v>
      </c>
      <c r="G1113" t="n">
        <v>1940090</v>
      </c>
      <c r="H1113" t="inlineStr">
        <is>
          <t>TUB-O-O-AUT-AW-PE-15.88X2.000X0.2910</t>
        </is>
      </c>
    </row>
    <row r="1114">
      <c r="A1114" t="inlineStr">
        <is>
          <t>0000189481</t>
        </is>
      </c>
      <c r="B1114" t="inlineStr">
        <is>
          <t>Rajsriya Automotive Industries</t>
        </is>
      </c>
      <c r="C1114" t="inlineStr">
        <is>
          <t>NOS</t>
        </is>
      </c>
      <c r="D1114" t="n">
        <v>2984</v>
      </c>
      <c r="E1114" t="n">
        <v>869.745</v>
      </c>
      <c r="F1114" t="n">
        <v>569.944</v>
      </c>
      <c r="G1114" t="n">
        <v>1940090</v>
      </c>
      <c r="H1114" t="inlineStr">
        <is>
          <t>TUB-O-O-AUT-AW-PE-15.88X2.000X0.2910</t>
        </is>
      </c>
    </row>
    <row r="1115">
      <c r="A1115" t="inlineStr">
        <is>
          <t>0000189481</t>
        </is>
      </c>
      <c r="B1115" t="inlineStr">
        <is>
          <t>Rajsriya Automotive Industries</t>
        </is>
      </c>
      <c r="C1115" t="inlineStr">
        <is>
          <t>NOS</t>
        </is>
      </c>
      <c r="D1115" t="n">
        <v>755</v>
      </c>
      <c r="E1115" t="n">
        <v>220.06</v>
      </c>
      <c r="F1115" t="n">
        <v>144.205</v>
      </c>
      <c r="G1115" t="n">
        <v>1940090</v>
      </c>
      <c r="H1115" t="inlineStr">
        <is>
          <t>TUB-O-O-AUT-AW-PE-15.88X2.000X0.2910</t>
        </is>
      </c>
    </row>
    <row r="1116">
      <c r="A1116" t="inlineStr">
        <is>
          <t>0000189481</t>
        </is>
      </c>
      <c r="B1116" t="inlineStr">
        <is>
          <t>Rajsriya Automotive Industries</t>
        </is>
      </c>
      <c r="C1116" t="inlineStr">
        <is>
          <t>NOS</t>
        </is>
      </c>
      <c r="D1116" t="n">
        <v>1142</v>
      </c>
      <c r="E1116" t="n">
        <v>993.423</v>
      </c>
      <c r="F1116" t="n">
        <v>2080.724</v>
      </c>
      <c r="G1116" t="n">
        <v>1940837</v>
      </c>
      <c r="H1116" t="inlineStr">
        <is>
          <t>TUB-R-AW-RHS-40.00X30.00X2.000X0.8700</t>
        </is>
      </c>
    </row>
    <row r="1117">
      <c r="A1117" t="inlineStr">
        <is>
          <t>0000189481</t>
        </is>
      </c>
      <c r="B1117" t="inlineStr">
        <is>
          <t>Rajsriya Automotive Industries</t>
        </is>
      </c>
      <c r="C1117" t="inlineStr">
        <is>
          <t>NOS</t>
        </is>
      </c>
      <c r="D1117" t="n">
        <v>850</v>
      </c>
      <c r="E1117" t="n">
        <v>739.413</v>
      </c>
      <c r="F1117" t="n">
        <v>1548.7</v>
      </c>
      <c r="G1117" t="n">
        <v>1940837</v>
      </c>
      <c r="H1117" t="inlineStr">
        <is>
          <t>TUB-R-AW-RHS-40.00X30.00X2.000X0.8700</t>
        </is>
      </c>
    </row>
    <row r="1118">
      <c r="A1118" t="inlineStr">
        <is>
          <t>0000949971</t>
        </is>
      </c>
      <c r="B1118" t="inlineStr">
        <is>
          <t>SANDHAR ENGINEERING PVTLTD (KA)UIII</t>
        </is>
      </c>
      <c r="C1118" t="inlineStr">
        <is>
          <t>NOS</t>
        </is>
      </c>
      <c r="D1118" t="n">
        <v>6500</v>
      </c>
      <c r="E1118" t="n">
        <v>5557.754</v>
      </c>
      <c r="F1118" t="n">
        <v>5547.75</v>
      </c>
      <c r="G1118" t="n">
        <v>3943203</v>
      </c>
      <c r="H1118" t="inlineStr">
        <is>
          <t>CUT-O-N-AUT-AW-FC-22.23X2.000X0.8550</t>
        </is>
      </c>
    </row>
    <row r="1119">
      <c r="A1119" t="inlineStr">
        <is>
          <t>0000188356</t>
        </is>
      </c>
      <c r="B1119" t="inlineStr">
        <is>
          <t>Thai Summit Autoparts India Pvt Ltd</t>
        </is>
      </c>
      <c r="C1119" t="inlineStr">
        <is>
          <t>NOS</t>
        </is>
      </c>
      <c r="D1119" t="n">
        <v>989</v>
      </c>
      <c r="E1119" t="n">
        <v>717.809</v>
      </c>
      <c r="F1119" t="n">
        <v>828.782</v>
      </c>
      <c r="G1119" t="n">
        <v>4027991</v>
      </c>
      <c r="H1119" t="inlineStr">
        <is>
          <t>TUB-O-N-AUT-HR-FC-25.40X2.000X0.7250</t>
        </is>
      </c>
    </row>
    <row r="1120">
      <c r="A1120" t="inlineStr">
        <is>
          <t>0000188356</t>
        </is>
      </c>
      <c r="B1120" t="inlineStr">
        <is>
          <t>Thai Summit Autoparts India Pvt Ltd</t>
        </is>
      </c>
      <c r="C1120" t="inlineStr">
        <is>
          <t>NOS</t>
        </is>
      </c>
      <c r="D1120" t="n">
        <v>699</v>
      </c>
      <c r="E1120" t="n">
        <v>507.329</v>
      </c>
      <c r="F1120" t="n">
        <v>585.7619999999999</v>
      </c>
      <c r="G1120" t="n">
        <v>4027991</v>
      </c>
      <c r="H1120" t="inlineStr">
        <is>
          <t>TUB-O-N-AUT-HR-FC-25.40X2.000X0.7250</t>
        </is>
      </c>
    </row>
    <row r="1121">
      <c r="A1121" t="inlineStr">
        <is>
          <t>0000188356</t>
        </is>
      </c>
      <c r="B1121" t="inlineStr">
        <is>
          <t>Thai Summit Autoparts India Pvt Ltd</t>
        </is>
      </c>
      <c r="C1121" t="inlineStr">
        <is>
          <t>NOS</t>
        </is>
      </c>
      <c r="D1121" t="n">
        <v>523</v>
      </c>
      <c r="E1121" t="n">
        <v>379.589</v>
      </c>
      <c r="F1121" t="n">
        <v>438.274</v>
      </c>
      <c r="G1121" t="n">
        <v>4027991</v>
      </c>
      <c r="H1121" t="inlineStr">
        <is>
          <t>TUB-O-N-AUT-HR-FC-25.40X2.000X0.7250</t>
        </is>
      </c>
    </row>
    <row r="1122">
      <c r="A1122" t="inlineStr">
        <is>
          <t>0000188356</t>
        </is>
      </c>
      <c r="B1122" t="inlineStr">
        <is>
          <t>Thai Summit Autoparts India Pvt Ltd</t>
        </is>
      </c>
      <c r="C1122" t="inlineStr">
        <is>
          <t>NOS</t>
        </is>
      </c>
      <c r="D1122" t="n">
        <v>434</v>
      </c>
      <c r="E1122" t="n">
        <v>314.994</v>
      </c>
      <c r="F1122" t="n">
        <v>363.692</v>
      </c>
      <c r="G1122" t="n">
        <v>4027991</v>
      </c>
      <c r="H1122" t="inlineStr">
        <is>
          <t>TUB-O-N-AUT-HR-FC-25.40X2.000X0.7250</t>
        </is>
      </c>
    </row>
    <row r="1123">
      <c r="A1123" t="inlineStr">
        <is>
          <t>0000188356</t>
        </is>
      </c>
      <c r="B1123" t="inlineStr">
        <is>
          <t>Thai Summit Autoparts India Pvt Ltd</t>
        </is>
      </c>
      <c r="C1123" t="inlineStr">
        <is>
          <t>NOS</t>
        </is>
      </c>
      <c r="D1123" t="n">
        <v>5</v>
      </c>
      <c r="E1123" t="n">
        <v>3.629</v>
      </c>
      <c r="F1123" t="n">
        <v>4.19</v>
      </c>
      <c r="G1123" t="n">
        <v>4027991</v>
      </c>
      <c r="H1123" t="inlineStr">
        <is>
          <t>TUB-O-N-AUT-HR-FC-25.40X2.000X0.7250</t>
        </is>
      </c>
    </row>
    <row r="1124">
      <c r="A1124" t="inlineStr">
        <is>
          <t>0000188356</t>
        </is>
      </c>
      <c r="B1124" t="inlineStr">
        <is>
          <t>Thai Summit Autoparts India Pvt Ltd</t>
        </is>
      </c>
      <c r="C1124" t="inlineStr">
        <is>
          <t>NOS</t>
        </is>
      </c>
      <c r="D1124" t="n">
        <v>1375</v>
      </c>
      <c r="E1124" t="n">
        <v>784.888</v>
      </c>
      <c r="F1124" t="n">
        <v>1456.125</v>
      </c>
      <c r="G1124" t="n">
        <v>3781648</v>
      </c>
      <c r="H1124" t="inlineStr">
        <is>
          <t>TUB-E-AW-AUT-59.00X30.00X1.600X0.5710</t>
        </is>
      </c>
    </row>
    <row r="1125">
      <c r="A1125" t="inlineStr">
        <is>
          <t>0000188356</t>
        </is>
      </c>
      <c r="B1125" t="inlineStr">
        <is>
          <t>Thai Summit Autoparts India Pvt Ltd</t>
        </is>
      </c>
      <c r="C1125" t="inlineStr">
        <is>
          <t>NOS</t>
        </is>
      </c>
      <c r="D1125" t="n">
        <v>899</v>
      </c>
      <c r="E1125" t="n">
        <v>513.174</v>
      </c>
      <c r="F1125" t="n">
        <v>952.0410000000001</v>
      </c>
      <c r="G1125" t="n">
        <v>3781648</v>
      </c>
      <c r="H1125" t="inlineStr">
        <is>
          <t>TUB-E-AW-AUT-59.00X30.00X1.600X0.5710</t>
        </is>
      </c>
    </row>
    <row r="1126">
      <c r="A1126" t="inlineStr">
        <is>
          <t>0000188356</t>
        </is>
      </c>
      <c r="B1126" t="inlineStr">
        <is>
          <t>Thai Summit Autoparts India Pvt Ltd</t>
        </is>
      </c>
      <c r="C1126" t="inlineStr">
        <is>
          <t>NOS</t>
        </is>
      </c>
      <c r="D1126" t="n">
        <v>226</v>
      </c>
      <c r="E1126" t="n">
        <v>129.007</v>
      </c>
      <c r="F1126" t="n">
        <v>239.334</v>
      </c>
      <c r="G1126" t="n">
        <v>3781648</v>
      </c>
      <c r="H1126" t="inlineStr">
        <is>
          <t>TUB-E-AW-AUT-59.00X30.00X1.600X0.5710</t>
        </is>
      </c>
    </row>
    <row r="1127">
      <c r="A1127" t="inlineStr">
        <is>
          <t>0000188356</t>
        </is>
      </c>
      <c r="B1127" t="inlineStr">
        <is>
          <t>Thai Summit Autoparts India Pvt Ltd</t>
        </is>
      </c>
      <c r="C1127" t="inlineStr">
        <is>
          <t>NOS</t>
        </is>
      </c>
      <c r="D1127" t="n">
        <v>5647</v>
      </c>
      <c r="E1127" t="n">
        <v>1485.204</v>
      </c>
      <c r="F1127" t="n">
        <v>1022.86</v>
      </c>
      <c r="G1127" t="n">
        <v>2382571</v>
      </c>
      <c r="H1127" t="inlineStr">
        <is>
          <t>TUB-O-N-AUT-AW-PE-19.05X1.600X0.2630</t>
        </is>
      </c>
    </row>
    <row r="1128">
      <c r="A1128" t="inlineStr">
        <is>
          <t>0000188356</t>
        </is>
      </c>
      <c r="B1128" t="inlineStr">
        <is>
          <t>Thai Summit Autoparts India Pvt Ltd</t>
        </is>
      </c>
      <c r="C1128" t="inlineStr">
        <is>
          <t>NOS</t>
        </is>
      </c>
      <c r="D1128" t="n">
        <v>2603</v>
      </c>
      <c r="E1128" t="n">
        <v>684.609</v>
      </c>
      <c r="F1128" t="n">
        <v>471.49</v>
      </c>
      <c r="G1128" t="n">
        <v>2382571</v>
      </c>
      <c r="H1128" t="inlineStr">
        <is>
          <t>TUB-O-N-AUT-AW-PE-19.05X1.600X0.2630</t>
        </is>
      </c>
    </row>
    <row r="1129">
      <c r="A1129" t="inlineStr">
        <is>
          <t>0000188356</t>
        </is>
      </c>
      <c r="B1129" t="inlineStr">
        <is>
          <t>Thai Summit Autoparts India Pvt Ltd</t>
        </is>
      </c>
      <c r="C1129" t="inlineStr">
        <is>
          <t>NOS</t>
        </is>
      </c>
      <c r="D1129" t="n">
        <v>4169</v>
      </c>
      <c r="E1129" t="n">
        <v>714.111</v>
      </c>
      <c r="F1129" t="n">
        <v>295.999</v>
      </c>
      <c r="G1129" t="n">
        <v>3204542</v>
      </c>
      <c r="H1129" t="inlineStr">
        <is>
          <t>TUB-O-N-AUT-AW-PE-12.70X1.500X0.1703</t>
        </is>
      </c>
    </row>
    <row r="1130">
      <c r="A1130" t="inlineStr">
        <is>
          <t>0000188356</t>
        </is>
      </c>
      <c r="B1130" t="inlineStr">
        <is>
          <t>Thai Summit Autoparts India Pvt Ltd</t>
        </is>
      </c>
      <c r="C1130" t="inlineStr">
        <is>
          <t>NOS</t>
        </is>
      </c>
      <c r="D1130" t="n">
        <v>2098</v>
      </c>
      <c r="E1130" t="n">
        <v>359.368</v>
      </c>
      <c r="F1130" t="n">
        <v>148.958</v>
      </c>
      <c r="G1130" t="n">
        <v>3204542</v>
      </c>
      <c r="H1130" t="inlineStr">
        <is>
          <t>TUB-O-N-AUT-AW-PE-12.70X1.500X0.1703</t>
        </is>
      </c>
    </row>
    <row r="1131">
      <c r="A1131" t="inlineStr">
        <is>
          <t>0000188356</t>
        </is>
      </c>
      <c r="B1131" t="inlineStr">
        <is>
          <t>Thai Summit Autoparts India Pvt Ltd</t>
        </is>
      </c>
      <c r="C1131" t="inlineStr">
        <is>
          <t>NOS</t>
        </is>
      </c>
      <c r="D1131" t="n">
        <v>933</v>
      </c>
      <c r="E1131" t="n">
        <v>159.814</v>
      </c>
      <c r="F1131" t="n">
        <v>66.24299999999999</v>
      </c>
      <c r="G1131" t="n">
        <v>3204542</v>
      </c>
      <c r="H1131" t="inlineStr">
        <is>
          <t>TUB-O-N-AUT-AW-PE-12.70X1.500X0.1703</t>
        </is>
      </c>
    </row>
    <row r="1132">
      <c r="A1132" t="inlineStr">
        <is>
          <t>0000189002</t>
        </is>
      </c>
      <c r="B1132" t="inlineStr">
        <is>
          <t>Marathwada Auto Compo Pvt. Ltd.</t>
        </is>
      </c>
      <c r="C1132" t="inlineStr">
        <is>
          <t>NOS</t>
        </is>
      </c>
      <c r="D1132" t="n">
        <v>1636</v>
      </c>
      <c r="E1132" t="n">
        <v>841.867</v>
      </c>
      <c r="F1132" t="n">
        <v>1318.616</v>
      </c>
      <c r="G1132" t="n">
        <v>3438761</v>
      </c>
      <c r="H1132" t="inlineStr">
        <is>
          <t>TUB-R-AW-AUT-40.00X25.00X1.600X0.5140</t>
        </is>
      </c>
    </row>
    <row r="1133">
      <c r="A1133" t="inlineStr">
        <is>
          <t>0000189002</t>
        </is>
      </c>
      <c r="B1133" t="inlineStr">
        <is>
          <t>Marathwada Auto Compo Pvt. Ltd.</t>
        </is>
      </c>
      <c r="C1133" t="inlineStr">
        <is>
          <t>NOS</t>
        </is>
      </c>
      <c r="D1133" t="n">
        <v>719</v>
      </c>
      <c r="E1133" t="n">
        <v>369.989</v>
      </c>
      <c r="F1133" t="n">
        <v>579.514</v>
      </c>
      <c r="G1133" t="n">
        <v>3438761</v>
      </c>
      <c r="H1133" t="inlineStr">
        <is>
          <t>TUB-R-AW-AUT-40.00X25.00X1.600X0.5140</t>
        </is>
      </c>
    </row>
    <row r="1134">
      <c r="A1134" t="inlineStr">
        <is>
          <t>0000189002</t>
        </is>
      </c>
      <c r="B1134" t="inlineStr">
        <is>
          <t>Marathwada Auto Compo Pvt. Ltd.</t>
        </is>
      </c>
      <c r="C1134" t="inlineStr">
        <is>
          <t>NOS</t>
        </is>
      </c>
      <c r="D1134" t="n">
        <v>435</v>
      </c>
      <c r="E1134" t="n">
        <v>223.846</v>
      </c>
      <c r="F1134" t="n">
        <v>350.61</v>
      </c>
      <c r="G1134" t="n">
        <v>3438761</v>
      </c>
      <c r="H1134" t="inlineStr">
        <is>
          <t>TUB-R-AW-AUT-40.00X25.00X1.600X0.5140</t>
        </is>
      </c>
    </row>
    <row r="1135">
      <c r="A1135" t="inlineStr">
        <is>
          <t>0000189002</t>
        </is>
      </c>
      <c r="B1135" t="inlineStr">
        <is>
          <t>Marathwada Auto Compo Pvt. Ltd.</t>
        </is>
      </c>
      <c r="C1135" t="inlineStr">
        <is>
          <t>NOS</t>
        </is>
      </c>
      <c r="D1135" t="n">
        <v>290</v>
      </c>
      <c r="E1135" t="n">
        <v>149.231</v>
      </c>
      <c r="F1135" t="n">
        <v>233.74</v>
      </c>
      <c r="G1135" t="n">
        <v>3438761</v>
      </c>
      <c r="H1135" t="inlineStr">
        <is>
          <t>TUB-R-AW-AUT-40.00X25.00X1.600X0.5140</t>
        </is>
      </c>
    </row>
    <row r="1136">
      <c r="A1136" t="inlineStr">
        <is>
          <t>0000189002</t>
        </is>
      </c>
      <c r="B1136" t="inlineStr">
        <is>
          <t>Marathwada Auto Compo Pvt. Ltd.</t>
        </is>
      </c>
      <c r="C1136" t="inlineStr">
        <is>
          <t>NOS</t>
        </is>
      </c>
      <c r="D1136" t="n">
        <v>553</v>
      </c>
      <c r="E1136" t="n">
        <v>885.764</v>
      </c>
      <c r="F1136" t="n">
        <v>325.164</v>
      </c>
      <c r="G1136" t="n">
        <v>1941846</v>
      </c>
      <c r="H1136" t="inlineStr">
        <is>
          <t>TUB-E-O-AUT-AW-FC-15.88X1.000X1.6030</t>
        </is>
      </c>
    </row>
    <row r="1137">
      <c r="A1137" t="inlineStr">
        <is>
          <t>0000189002</t>
        </is>
      </c>
      <c r="B1137" t="inlineStr">
        <is>
          <t>Marathwada Auto Compo Pvt. Ltd.</t>
        </is>
      </c>
      <c r="C1137" t="inlineStr">
        <is>
          <t>NOS</t>
        </is>
      </c>
      <c r="D1137" t="n">
        <v>976</v>
      </c>
      <c r="E1137" t="n">
        <v>1563.302</v>
      </c>
      <c r="F1137" t="n">
        <v>573.888</v>
      </c>
      <c r="G1137" t="n">
        <v>1941846</v>
      </c>
      <c r="H1137" t="inlineStr">
        <is>
          <t>TUB-E-O-AUT-AW-FC-15.88X1.000X1.6030</t>
        </is>
      </c>
    </row>
    <row r="1138">
      <c r="A1138" t="inlineStr">
        <is>
          <t>0000189002</t>
        </is>
      </c>
      <c r="B1138" t="inlineStr">
        <is>
          <t>Marathwada Auto Compo Pvt. Ltd.</t>
        </is>
      </c>
      <c r="C1138" t="inlineStr">
        <is>
          <t>NOS</t>
        </is>
      </c>
      <c r="D1138" t="n">
        <v>630</v>
      </c>
      <c r="E1138" t="n">
        <v>1009.098</v>
      </c>
      <c r="F1138" t="n">
        <v>370.44</v>
      </c>
      <c r="G1138" t="n">
        <v>1941846</v>
      </c>
      <c r="H1138" t="inlineStr">
        <is>
          <t>TUB-E-O-AUT-AW-FC-15.88X1.000X1.6030</t>
        </is>
      </c>
    </row>
    <row r="1139">
      <c r="A1139" t="inlineStr">
        <is>
          <t>0000189002</t>
        </is>
      </c>
      <c r="B1139" t="inlineStr">
        <is>
          <t>Marathwada Auto Compo Pvt. Ltd.</t>
        </is>
      </c>
      <c r="C1139" t="inlineStr">
        <is>
          <t>NOS</t>
        </is>
      </c>
      <c r="D1139" t="n">
        <v>445</v>
      </c>
      <c r="E1139" t="n">
        <v>712.776</v>
      </c>
      <c r="F1139" t="n">
        <v>261.66</v>
      </c>
      <c r="G1139" t="n">
        <v>1941846</v>
      </c>
      <c r="H1139" t="inlineStr">
        <is>
          <t>TUB-E-O-AUT-AW-FC-15.88X1.000X1.6030</t>
        </is>
      </c>
    </row>
    <row r="1140">
      <c r="A1140" t="inlineStr">
        <is>
          <t>0000189002</t>
        </is>
      </c>
      <c r="B1140" t="inlineStr">
        <is>
          <t>Marathwada Auto Compo Pvt. Ltd.</t>
        </is>
      </c>
      <c r="C1140" t="inlineStr">
        <is>
          <t>NOS</t>
        </is>
      </c>
      <c r="D1140" t="n">
        <v>139</v>
      </c>
      <c r="E1140" t="n">
        <v>222.642</v>
      </c>
      <c r="F1140" t="n">
        <v>81.732</v>
      </c>
      <c r="G1140" t="n">
        <v>1941846</v>
      </c>
      <c r="H1140" t="inlineStr">
        <is>
          <t>TUB-E-O-AUT-AW-FC-15.88X1.000X1.6030</t>
        </is>
      </c>
    </row>
    <row r="1141">
      <c r="A1141" t="inlineStr">
        <is>
          <t>0000189002</t>
        </is>
      </c>
      <c r="B1141" t="inlineStr">
        <is>
          <t>Marathwada Auto Compo Pvt. Ltd.</t>
        </is>
      </c>
      <c r="C1141" t="inlineStr">
        <is>
          <t>NOS</t>
        </is>
      </c>
      <c r="D1141" t="n">
        <v>57</v>
      </c>
      <c r="E1141" t="n">
        <v>91.29900000000001</v>
      </c>
      <c r="F1141" t="n">
        <v>33.516</v>
      </c>
      <c r="G1141" t="n">
        <v>1941846</v>
      </c>
      <c r="H1141" t="inlineStr">
        <is>
          <t>TUB-E-O-AUT-AW-FC-15.88X1.000X1.6030</t>
        </is>
      </c>
    </row>
    <row r="1142">
      <c r="A1142" t="inlineStr">
        <is>
          <t>0000189002</t>
        </is>
      </c>
      <c r="B1142" t="inlineStr">
        <is>
          <t>Marathwada Auto Compo Pvt. Ltd.</t>
        </is>
      </c>
      <c r="C1142" t="inlineStr">
        <is>
          <t>NOS</t>
        </is>
      </c>
      <c r="D1142" t="n">
        <v>25</v>
      </c>
      <c r="E1142" t="n">
        <v>40.044</v>
      </c>
      <c r="F1142" t="n">
        <v>14.7</v>
      </c>
      <c r="G1142" t="n">
        <v>1941846</v>
      </c>
      <c r="H1142" t="inlineStr">
        <is>
          <t>TUB-E-O-AUT-AW-FC-15.88X1.000X1.6030</t>
        </is>
      </c>
    </row>
    <row r="1143">
      <c r="A1143" t="inlineStr">
        <is>
          <t>0000944141</t>
        </is>
      </c>
      <c r="B1143" t="inlineStr">
        <is>
          <t>SRIKAM HITECH ENGINEERING PRIVATE L</t>
        </is>
      </c>
      <c r="C1143" t="inlineStr">
        <is>
          <t>NOS</t>
        </is>
      </c>
      <c r="D1143" t="n">
        <v>9171</v>
      </c>
      <c r="E1143" t="n">
        <v>2386.428</v>
      </c>
      <c r="F1143" t="n">
        <v>1045.494</v>
      </c>
      <c r="G1143" t="n">
        <v>1932848</v>
      </c>
      <c r="H1143" t="inlineStr">
        <is>
          <t>TUB-O-N-AUT-AW-PE-12.70X1.600X0.2600</t>
        </is>
      </c>
    </row>
    <row r="1144">
      <c r="A1144" t="inlineStr">
        <is>
          <t>0000944141</t>
        </is>
      </c>
      <c r="B1144" t="inlineStr">
        <is>
          <t>SRIKAM HITECH ENGINEERING PRIVATE L</t>
        </is>
      </c>
      <c r="C1144" t="inlineStr">
        <is>
          <t>NOS</t>
        </is>
      </c>
      <c r="D1144" t="n">
        <v>3570</v>
      </c>
      <c r="E1144" t="n">
        <v>928.966</v>
      </c>
      <c r="F1144" t="n">
        <v>406.98</v>
      </c>
      <c r="G1144" t="n">
        <v>1932848</v>
      </c>
      <c r="H1144" t="inlineStr">
        <is>
          <t>TUB-O-N-AUT-AW-PE-12.70X1.600X0.2600</t>
        </is>
      </c>
    </row>
    <row r="1145">
      <c r="A1145" t="inlineStr">
        <is>
          <t>0000944141</t>
        </is>
      </c>
      <c r="B1145" t="inlineStr">
        <is>
          <t>SRIKAM HITECH ENGINEERING PRIVATE L</t>
        </is>
      </c>
      <c r="C1145" t="inlineStr">
        <is>
          <t>NOS</t>
        </is>
      </c>
      <c r="D1145" t="n">
        <v>159</v>
      </c>
      <c r="E1145" t="n">
        <v>41.374</v>
      </c>
      <c r="F1145" t="n">
        <v>18.126</v>
      </c>
      <c r="G1145" t="n">
        <v>1932848</v>
      </c>
      <c r="H1145" t="inlineStr">
        <is>
          <t>TUB-O-N-AUT-AW-PE-12.70X1.600X0.2600</t>
        </is>
      </c>
    </row>
    <row r="1146">
      <c r="A1146" t="inlineStr">
        <is>
          <t>0000944141</t>
        </is>
      </c>
      <c r="B1146" t="inlineStr">
        <is>
          <t>SRIKAM HITECH ENGINEERING PRIVATE L</t>
        </is>
      </c>
      <c r="C1146" t="inlineStr">
        <is>
          <t>M</t>
        </is>
      </c>
      <c r="D1146" t="n">
        <v>7</v>
      </c>
      <c r="E1146" t="n">
        <v>42</v>
      </c>
      <c r="F1146" t="n">
        <v>18.4</v>
      </c>
      <c r="G1146" t="n">
        <v>1940014</v>
      </c>
      <c r="H1146" t="inlineStr">
        <is>
          <t>TUB-O-O-GEN-AW-PE-12.70X1.600X6.0000</t>
        </is>
      </c>
    </row>
    <row r="1147">
      <c r="A1147" t="inlineStr">
        <is>
          <t>0000944141</t>
        </is>
      </c>
      <c r="B1147" t="inlineStr">
        <is>
          <t>SRIKAM HITECH ENGINEERING PRIVATE L</t>
        </is>
      </c>
      <c r="C1147" t="inlineStr">
        <is>
          <t>M</t>
        </is>
      </c>
      <c r="D1147" t="n">
        <v>7</v>
      </c>
      <c r="E1147" t="n">
        <v>42</v>
      </c>
      <c r="F1147" t="n">
        <v>18.4</v>
      </c>
      <c r="G1147" t="n">
        <v>1940014</v>
      </c>
      <c r="H1147" t="inlineStr">
        <is>
          <t>TUB-O-O-GEN-AW-PE-12.70X1.600X6.0000</t>
        </is>
      </c>
    </row>
    <row r="1148">
      <c r="A1148" t="inlineStr">
        <is>
          <t>0000944141</t>
        </is>
      </c>
      <c r="B1148" t="inlineStr">
        <is>
          <t>SRIKAM HITECH ENGINEERING PRIVATE L</t>
        </is>
      </c>
      <c r="C1148" t="inlineStr">
        <is>
          <t>M</t>
        </is>
      </c>
      <c r="D1148" t="n">
        <v>7</v>
      </c>
      <c r="E1148" t="n">
        <v>42</v>
      </c>
      <c r="F1148" t="n">
        <v>18.4</v>
      </c>
      <c r="G1148" t="n">
        <v>1940014</v>
      </c>
      <c r="H1148" t="inlineStr">
        <is>
          <t>TUB-O-O-GEN-AW-PE-12.70X1.600X6.0000</t>
        </is>
      </c>
    </row>
    <row r="1149">
      <c r="A1149" t="inlineStr">
        <is>
          <t>0000944141</t>
        </is>
      </c>
      <c r="B1149" t="inlineStr">
        <is>
          <t>SRIKAM HITECH ENGINEERING PRIVATE L</t>
        </is>
      </c>
      <c r="C1149" t="inlineStr">
        <is>
          <t>M</t>
        </is>
      </c>
      <c r="D1149" t="n">
        <v>551</v>
      </c>
      <c r="E1149" t="n">
        <v>3306</v>
      </c>
      <c r="F1149" t="n">
        <v>1448.359</v>
      </c>
      <c r="G1149" t="n">
        <v>1940014</v>
      </c>
      <c r="H1149" t="inlineStr">
        <is>
          <t>TUB-O-O-GEN-AW-PE-12.70X1.600X6.0000</t>
        </is>
      </c>
    </row>
    <row r="1150">
      <c r="A1150" t="inlineStr">
        <is>
          <t>0000944141</t>
        </is>
      </c>
      <c r="B1150" t="inlineStr">
        <is>
          <t>SRIKAM HITECH ENGINEERING PRIVATE L</t>
        </is>
      </c>
      <c r="C1150" t="inlineStr">
        <is>
          <t>M</t>
        </is>
      </c>
      <c r="D1150" t="n">
        <v>428</v>
      </c>
      <c r="E1150" t="n">
        <v>2568</v>
      </c>
      <c r="F1150" t="n">
        <v>1125.041</v>
      </c>
      <c r="G1150" t="n">
        <v>1940014</v>
      </c>
      <c r="H1150" t="inlineStr">
        <is>
          <t>TUB-O-O-GEN-AW-PE-12.70X1.600X6.0000</t>
        </is>
      </c>
    </row>
    <row r="1151">
      <c r="A1151" t="inlineStr">
        <is>
          <t>0000944141</t>
        </is>
      </c>
      <c r="B1151" t="inlineStr">
        <is>
          <t>SRIKAM HITECH ENGINEERING PRIVATE L</t>
        </is>
      </c>
      <c r="C1151" t="inlineStr">
        <is>
          <t>NOS</t>
        </is>
      </c>
      <c r="D1151" t="n">
        <v>3676</v>
      </c>
      <c r="E1151" t="n">
        <v>3264.924</v>
      </c>
      <c r="F1151" t="n">
        <v>1418.936</v>
      </c>
      <c r="G1151" t="n">
        <v>1940043</v>
      </c>
      <c r="H1151" t="inlineStr">
        <is>
          <t>TUB-O-O-AUT-AW-PE-15.88X1.200X0.8880</t>
        </is>
      </c>
    </row>
    <row r="1152">
      <c r="A1152" t="inlineStr">
        <is>
          <t>0000944141</t>
        </is>
      </c>
      <c r="B1152" t="inlineStr">
        <is>
          <t>SRIKAM HITECH ENGINEERING PRIVATE L</t>
        </is>
      </c>
      <c r="C1152" t="inlineStr">
        <is>
          <t>NOS</t>
        </is>
      </c>
      <c r="D1152" t="n">
        <v>17</v>
      </c>
      <c r="E1152" t="n">
        <v>15.099</v>
      </c>
      <c r="F1152" t="n">
        <v>6.562</v>
      </c>
      <c r="G1152" t="n">
        <v>1940043</v>
      </c>
      <c r="H1152" t="inlineStr">
        <is>
          <t>TUB-O-O-AUT-AW-PE-15.88X1.200X0.8880</t>
        </is>
      </c>
    </row>
    <row r="1153">
      <c r="A1153" t="inlineStr">
        <is>
          <t>0000944141</t>
        </is>
      </c>
      <c r="B1153" t="inlineStr">
        <is>
          <t>SRIKAM HITECH ENGINEERING PRIVATE L</t>
        </is>
      </c>
      <c r="C1153" t="inlineStr">
        <is>
          <t>NOS</t>
        </is>
      </c>
      <c r="D1153" t="n">
        <v>7</v>
      </c>
      <c r="E1153" t="n">
        <v>6.217</v>
      </c>
      <c r="F1153" t="n">
        <v>2.702</v>
      </c>
      <c r="G1153" t="n">
        <v>1940043</v>
      </c>
      <c r="H1153" t="inlineStr">
        <is>
          <t>TUB-O-O-AUT-AW-PE-15.88X1.200X0.8880</t>
        </is>
      </c>
    </row>
    <row r="1154">
      <c r="A1154" t="inlineStr">
        <is>
          <t>0000188595</t>
        </is>
      </c>
      <c r="B1154" t="inlineStr">
        <is>
          <t>Sri Balaji Gears</t>
        </is>
      </c>
      <c r="C1154" t="inlineStr">
        <is>
          <t>NOS</t>
        </is>
      </c>
      <c r="D1154" t="n">
        <v>500</v>
      </c>
      <c r="E1154" t="n">
        <v>164.995</v>
      </c>
      <c r="F1154" t="n">
        <v>87.18300000000001</v>
      </c>
      <c r="G1154" t="n">
        <v>3935313</v>
      </c>
      <c r="H1154" t="inlineStr">
        <is>
          <t>CUT-O-N-AUT-AW-PE-19.05X1.200X0.33</t>
        </is>
      </c>
    </row>
    <row r="1155">
      <c r="A1155" t="inlineStr">
        <is>
          <t>0000188595</t>
        </is>
      </c>
      <c r="B1155" t="inlineStr">
        <is>
          <t>Sri Balaji Gears</t>
        </is>
      </c>
      <c r="C1155" t="inlineStr">
        <is>
          <t>NOS</t>
        </is>
      </c>
      <c r="D1155" t="n">
        <v>1349</v>
      </c>
      <c r="E1155" t="n">
        <v>1767.714</v>
      </c>
      <c r="F1155" t="n">
        <v>1946.607</v>
      </c>
      <c r="G1155" t="n">
        <v>1940801</v>
      </c>
      <c r="H1155" t="inlineStr">
        <is>
          <t>TUB-R-AW-RHS-40.00X20.00X1.210X1.3100</t>
        </is>
      </c>
    </row>
    <row r="1156">
      <c r="A1156" t="inlineStr">
        <is>
          <t>0000188595</t>
        </is>
      </c>
      <c r="B1156" t="inlineStr">
        <is>
          <t>Sri Balaji Gears</t>
        </is>
      </c>
      <c r="C1156" t="inlineStr">
        <is>
          <t>NOS</t>
        </is>
      </c>
      <c r="D1156" t="n">
        <v>151</v>
      </c>
      <c r="E1156" t="n">
        <v>197.869</v>
      </c>
      <c r="F1156" t="n">
        <v>217.893</v>
      </c>
      <c r="G1156" t="n">
        <v>1940801</v>
      </c>
      <c r="H1156" t="inlineStr">
        <is>
          <t>TUB-R-AW-RHS-40.00X20.00X1.210X1.3100</t>
        </is>
      </c>
    </row>
    <row r="1157">
      <c r="A1157" t="inlineStr">
        <is>
          <t>0000188595</t>
        </is>
      </c>
      <c r="B1157" t="inlineStr">
        <is>
          <t>Sri Balaji Gears</t>
        </is>
      </c>
      <c r="C1157" t="inlineStr">
        <is>
          <t>NOS</t>
        </is>
      </c>
      <c r="D1157" t="n">
        <v>439</v>
      </c>
      <c r="E1157" t="n">
        <v>547.355</v>
      </c>
      <c r="F1157" t="n">
        <v>602.747</v>
      </c>
      <c r="G1157" t="n">
        <v>3233554</v>
      </c>
      <c r="H1157" t="inlineStr">
        <is>
          <t>TUB-R-AW-AUT-40.00X20.00X1.210X1.2460</t>
        </is>
      </c>
    </row>
    <row r="1158">
      <c r="A1158" t="inlineStr">
        <is>
          <t>0000188595</t>
        </is>
      </c>
      <c r="B1158" t="inlineStr">
        <is>
          <t>Sri Balaji Gears</t>
        </is>
      </c>
      <c r="C1158" t="inlineStr">
        <is>
          <t>NOS</t>
        </is>
      </c>
      <c r="D1158" t="n">
        <v>61</v>
      </c>
      <c r="E1158" t="n">
        <v>76.056</v>
      </c>
      <c r="F1158" t="n">
        <v>83.753</v>
      </c>
      <c r="G1158" t="n">
        <v>3233554</v>
      </c>
      <c r="H1158" t="inlineStr">
        <is>
          <t>TUB-R-AW-AUT-40.00X20.00X1.210X1.2460</t>
        </is>
      </c>
    </row>
    <row r="1159">
      <c r="A1159" t="inlineStr">
        <is>
          <t>0000188595</t>
        </is>
      </c>
      <c r="B1159" t="inlineStr">
        <is>
          <t>Sri Balaji Gears</t>
        </is>
      </c>
      <c r="C1159" t="inlineStr">
        <is>
          <t>NOS</t>
        </is>
      </c>
      <c r="D1159" t="n">
        <v>1510</v>
      </c>
      <c r="E1159" t="n">
        <v>1692.1</v>
      </c>
      <c r="F1159" t="n">
        <v>1863.34</v>
      </c>
      <c r="G1159" t="n">
        <v>3233555</v>
      </c>
      <c r="H1159" t="inlineStr">
        <is>
          <t>TUB-R-AW-AUT-40.00X20.00X1.210X1.1200</t>
        </is>
      </c>
    </row>
    <row r="1160">
      <c r="A1160" t="inlineStr">
        <is>
          <t>0000188595</t>
        </is>
      </c>
      <c r="B1160" t="inlineStr">
        <is>
          <t>Sri Balaji Gears</t>
        </is>
      </c>
      <c r="C1160" t="inlineStr">
        <is>
          <t>NOS</t>
        </is>
      </c>
      <c r="D1160" t="n">
        <v>490</v>
      </c>
      <c r="E1160" t="n">
        <v>549.092</v>
      </c>
      <c r="F1160" t="n">
        <v>604.66</v>
      </c>
      <c r="G1160" t="n">
        <v>3233555</v>
      </c>
      <c r="H1160" t="inlineStr">
        <is>
          <t>TUB-R-AW-AUT-40.00X20.00X1.210X1.1200</t>
        </is>
      </c>
    </row>
    <row r="1161">
      <c r="A1161" t="inlineStr">
        <is>
          <t>0000188595</t>
        </is>
      </c>
      <c r="B1161" t="inlineStr">
        <is>
          <t>Sri Balaji Gears</t>
        </is>
      </c>
      <c r="C1161" t="inlineStr">
        <is>
          <t>NOS</t>
        </is>
      </c>
      <c r="D1161" t="n">
        <v>1000</v>
      </c>
      <c r="E1161" t="n">
        <v>120.777</v>
      </c>
      <c r="F1161" t="n">
        <v>133</v>
      </c>
      <c r="G1161" t="n">
        <v>3233559</v>
      </c>
      <c r="H1161" t="inlineStr">
        <is>
          <t>TUB-R-AW-AUT-40.00X20.00X1.210X0.1200</t>
        </is>
      </c>
    </row>
    <row r="1162">
      <c r="A1162" t="inlineStr">
        <is>
          <t>0000188595</t>
        </is>
      </c>
      <c r="B1162" t="inlineStr">
        <is>
          <t>Sri Balaji Gears</t>
        </is>
      </c>
      <c r="C1162" t="inlineStr">
        <is>
          <t>NOS</t>
        </is>
      </c>
      <c r="D1162" t="n">
        <v>500</v>
      </c>
      <c r="E1162" t="n">
        <v>622.999</v>
      </c>
      <c r="F1162" t="n">
        <v>339.472</v>
      </c>
      <c r="G1162" t="n">
        <v>3572038</v>
      </c>
      <c r="H1162" t="inlineStr">
        <is>
          <t>TUB-S-AW-AUT-19.00X19.00X1.000X1.2460</t>
        </is>
      </c>
    </row>
    <row r="1163">
      <c r="A1163" t="inlineStr">
        <is>
          <t>0000188595</t>
        </is>
      </c>
      <c r="B1163" t="inlineStr">
        <is>
          <t>Sri Balaji Gears</t>
        </is>
      </c>
      <c r="C1163" t="inlineStr">
        <is>
          <t>NOS</t>
        </is>
      </c>
      <c r="D1163" t="n">
        <v>1000</v>
      </c>
      <c r="E1163" t="n">
        <v>469.994</v>
      </c>
      <c r="F1163" t="n">
        <v>256.1</v>
      </c>
      <c r="G1163" t="n">
        <v>3230488</v>
      </c>
      <c r="H1163" t="inlineStr">
        <is>
          <t>TUB-S-AW-AUT-19.00X19.00X1.000X0.4700</t>
        </is>
      </c>
    </row>
    <row r="1164">
      <c r="A1164" t="inlineStr">
        <is>
          <t>0000188595</t>
        </is>
      </c>
      <c r="B1164" t="inlineStr">
        <is>
          <t>Sri Balaji Gears</t>
        </is>
      </c>
      <c r="C1164" t="inlineStr">
        <is>
          <t>NOS</t>
        </is>
      </c>
      <c r="D1164" t="n">
        <v>3000</v>
      </c>
      <c r="E1164" t="n">
        <v>1198.482</v>
      </c>
      <c r="F1164" t="n">
        <v>663</v>
      </c>
      <c r="G1164" t="n">
        <v>3230487</v>
      </c>
      <c r="H1164" t="inlineStr">
        <is>
          <t>TUB-S-AW-AUT-19.00X19.00X1.000X0.4000</t>
        </is>
      </c>
    </row>
    <row r="1165">
      <c r="A1165" t="inlineStr">
        <is>
          <t>0000188595</t>
        </is>
      </c>
      <c r="B1165" t="inlineStr">
        <is>
          <t>Sri Balaji Gears</t>
        </is>
      </c>
      <c r="C1165" t="inlineStr">
        <is>
          <t>NOS</t>
        </is>
      </c>
      <c r="D1165" t="n">
        <v>1000</v>
      </c>
      <c r="E1165" t="n">
        <v>356.11</v>
      </c>
      <c r="F1165" t="n">
        <v>197</v>
      </c>
      <c r="G1165" t="n">
        <v>3230490</v>
      </c>
      <c r="H1165" t="inlineStr">
        <is>
          <t>TUB-S-AW-AUT-19.00X19.00X1.000X0.3550</t>
        </is>
      </c>
    </row>
    <row r="1166">
      <c r="A1166" t="inlineStr">
        <is>
          <t>0000188595</t>
        </is>
      </c>
      <c r="B1166" t="inlineStr">
        <is>
          <t>Sri Balaji Gears</t>
        </is>
      </c>
      <c r="C1166" t="inlineStr">
        <is>
          <t>NOS</t>
        </is>
      </c>
      <c r="D1166" t="n">
        <v>1000</v>
      </c>
      <c r="E1166" t="n">
        <v>110.008</v>
      </c>
      <c r="F1166" t="n">
        <v>59.956</v>
      </c>
      <c r="G1166" t="n">
        <v>3931835</v>
      </c>
      <c r="H1166" t="inlineStr">
        <is>
          <t>CUT-R-AW-AUT-19.00X19.00X1.000X0.1100</t>
        </is>
      </c>
    </row>
    <row r="1167">
      <c r="A1167" t="inlineStr">
        <is>
          <t>0000188595</t>
        </is>
      </c>
      <c r="B1167" t="inlineStr">
        <is>
          <t>Sri Balaji Gears</t>
        </is>
      </c>
      <c r="C1167" t="inlineStr">
        <is>
          <t>NOS</t>
        </is>
      </c>
      <c r="D1167" t="n">
        <v>500</v>
      </c>
      <c r="E1167" t="n">
        <v>615.004</v>
      </c>
      <c r="F1167" t="n">
        <v>324.872</v>
      </c>
      <c r="G1167" t="n">
        <v>3929692</v>
      </c>
      <c r="H1167" t="inlineStr">
        <is>
          <t>CUT-O-N-AUT-AW-PE-19.05X1.200X1.2300</t>
        </is>
      </c>
    </row>
    <row r="1168">
      <c r="A1168" t="inlineStr">
        <is>
          <t>0000188595</t>
        </is>
      </c>
      <c r="B1168" t="inlineStr">
        <is>
          <t>Sri Balaji Gears</t>
        </is>
      </c>
      <c r="C1168" t="inlineStr">
        <is>
          <t>NOS</t>
        </is>
      </c>
      <c r="D1168" t="n">
        <v>2000</v>
      </c>
      <c r="E1168" t="n">
        <v>399.983</v>
      </c>
      <c r="F1168" t="n">
        <v>211.289</v>
      </c>
      <c r="G1168" t="n">
        <v>3929691</v>
      </c>
      <c r="H1168" t="inlineStr">
        <is>
          <t>CUT-O-N-AUT-AW-PE-19.05X1.200X0.2000</t>
        </is>
      </c>
    </row>
    <row r="1169">
      <c r="A1169" t="inlineStr">
        <is>
          <t>0000188595</t>
        </is>
      </c>
      <c r="B1169" t="inlineStr">
        <is>
          <t>Sri Balaji Gears</t>
        </is>
      </c>
      <c r="C1169" t="inlineStr">
        <is>
          <t>NOS</t>
        </is>
      </c>
      <c r="D1169" t="n">
        <v>2000</v>
      </c>
      <c r="E1169" t="n">
        <v>1720.981</v>
      </c>
      <c r="F1169" t="n">
        <v>1880</v>
      </c>
      <c r="G1169" t="n">
        <v>3572051</v>
      </c>
      <c r="H1169" t="inlineStr">
        <is>
          <t>TUB-R-AW-AUT-40.00X20.00X1.200X0.8600</t>
        </is>
      </c>
    </row>
    <row r="1170">
      <c r="A1170" t="inlineStr">
        <is>
          <t>0000188595</t>
        </is>
      </c>
      <c r="B1170" t="inlineStr">
        <is>
          <t>Sri Balaji Gears</t>
        </is>
      </c>
      <c r="C1170" t="inlineStr">
        <is>
          <t>NOS</t>
        </is>
      </c>
      <c r="D1170" t="n">
        <v>1000</v>
      </c>
      <c r="E1170" t="n">
        <v>539.997</v>
      </c>
      <c r="F1170" t="n">
        <v>294.244</v>
      </c>
      <c r="G1170" t="n">
        <v>3571870</v>
      </c>
      <c r="H1170" t="inlineStr">
        <is>
          <t>TUB-S-AW-AUT-19.00X19.00X1.000X0.5400</t>
        </is>
      </c>
    </row>
    <row r="1171">
      <c r="A1171" t="inlineStr">
        <is>
          <t>0000188595</t>
        </is>
      </c>
      <c r="B1171" t="inlineStr">
        <is>
          <t>Sri Balaji Gears</t>
        </is>
      </c>
      <c r="C1171" t="inlineStr">
        <is>
          <t>NOS</t>
        </is>
      </c>
      <c r="D1171" t="n">
        <v>1000</v>
      </c>
      <c r="E1171" t="n">
        <v>150</v>
      </c>
      <c r="F1171" t="n">
        <v>65.167</v>
      </c>
      <c r="G1171" t="n">
        <v>4104140</v>
      </c>
      <c r="H1171" t="inlineStr">
        <is>
          <t>TUB-O-N-AUT-AW-PE-15.88X1.220X0.1500</t>
        </is>
      </c>
    </row>
    <row r="1172">
      <c r="A1172" t="inlineStr">
        <is>
          <t>0000188595</t>
        </is>
      </c>
      <c r="B1172" t="inlineStr">
        <is>
          <t>Sri Balaji Gears</t>
        </is>
      </c>
      <c r="C1172" t="inlineStr">
        <is>
          <t>NOS</t>
        </is>
      </c>
      <c r="D1172" t="n">
        <v>599</v>
      </c>
      <c r="E1172" t="n">
        <v>479.222</v>
      </c>
      <c r="F1172" t="n">
        <v>527.7190000000001</v>
      </c>
      <c r="G1172" t="n">
        <v>3233557</v>
      </c>
      <c r="H1172" t="inlineStr">
        <is>
          <t>TUB-R-AW-AUT-40.00X20.00X1.210X0.8000</t>
        </is>
      </c>
    </row>
    <row r="1173">
      <c r="A1173" t="inlineStr">
        <is>
          <t>0000188595</t>
        </is>
      </c>
      <c r="B1173" t="inlineStr">
        <is>
          <t>Sri Balaji Gears</t>
        </is>
      </c>
      <c r="C1173" t="inlineStr">
        <is>
          <t>NOS</t>
        </is>
      </c>
      <c r="D1173" t="n">
        <v>399</v>
      </c>
      <c r="E1173" t="n">
        <v>319.214</v>
      </c>
      <c r="F1173" t="n">
        <v>351.519</v>
      </c>
      <c r="G1173" t="n">
        <v>3233557</v>
      </c>
      <c r="H1173" t="inlineStr">
        <is>
          <t>TUB-R-AW-AUT-40.00X20.00X1.210X0.8000</t>
        </is>
      </c>
    </row>
    <row r="1174">
      <c r="A1174" t="inlineStr">
        <is>
          <t>0000188595</t>
        </is>
      </c>
      <c r="B1174" t="inlineStr">
        <is>
          <t>Sri Balaji Gears</t>
        </is>
      </c>
      <c r="C1174" t="inlineStr">
        <is>
          <t>NOS</t>
        </is>
      </c>
      <c r="D1174" t="n">
        <v>2</v>
      </c>
      <c r="E1174" t="n">
        <v>1.6</v>
      </c>
      <c r="F1174" t="n">
        <v>1.762</v>
      </c>
      <c r="G1174" t="n">
        <v>3233557</v>
      </c>
      <c r="H1174" t="inlineStr">
        <is>
          <t>TUB-R-AW-AUT-40.00X20.00X1.210X0.8000</t>
        </is>
      </c>
    </row>
    <row r="1175">
      <c r="A1175" t="inlineStr">
        <is>
          <t>0000188595</t>
        </is>
      </c>
      <c r="B1175" t="inlineStr">
        <is>
          <t>Sri Balaji Gears</t>
        </is>
      </c>
      <c r="C1175" t="inlineStr">
        <is>
          <t>NOS</t>
        </is>
      </c>
      <c r="D1175" t="n">
        <v>1000</v>
      </c>
      <c r="E1175" t="n">
        <v>130.904</v>
      </c>
      <c r="F1175" t="n">
        <v>143</v>
      </c>
      <c r="G1175" t="n">
        <v>3584171</v>
      </c>
      <c r="H1175" t="inlineStr">
        <is>
          <t>TUB-R-AW-RHS-40.00X20.00X1.200X0.1300</t>
        </is>
      </c>
    </row>
    <row r="1176">
      <c r="A1176" t="inlineStr">
        <is>
          <t>0000188595</t>
        </is>
      </c>
      <c r="B1176" t="inlineStr">
        <is>
          <t>Sri Balaji Gears</t>
        </is>
      </c>
      <c r="C1176" t="inlineStr">
        <is>
          <t>NOS</t>
        </is>
      </c>
      <c r="D1176" t="n">
        <v>1000</v>
      </c>
      <c r="E1176" t="n">
        <v>880.333</v>
      </c>
      <c r="F1176" t="n">
        <v>487</v>
      </c>
      <c r="G1176" t="n">
        <v>3230492</v>
      </c>
      <c r="H1176" t="inlineStr">
        <is>
          <t>TUB-S-AW-AUT-19.00X19.00X1.000X0.8800</t>
        </is>
      </c>
    </row>
    <row r="1177">
      <c r="A1177" t="inlineStr">
        <is>
          <t>0000188595</t>
        </is>
      </c>
      <c r="B1177" t="inlineStr">
        <is>
          <t>Sri Balaji Gears</t>
        </is>
      </c>
      <c r="C1177" t="inlineStr">
        <is>
          <t>NOS</t>
        </is>
      </c>
      <c r="D1177" t="n">
        <v>500</v>
      </c>
      <c r="E1177" t="n">
        <v>437.455</v>
      </c>
      <c r="F1177" t="n">
        <v>242</v>
      </c>
      <c r="G1177" t="n">
        <v>3233560</v>
      </c>
      <c r="H1177" t="inlineStr">
        <is>
          <t>TUB-S-AW-AUT-19.00X19.00X1.000X0.8750</t>
        </is>
      </c>
    </row>
    <row r="1178">
      <c r="A1178" t="inlineStr">
        <is>
          <t>0000188595</t>
        </is>
      </c>
      <c r="B1178" t="inlineStr">
        <is>
          <t>Sri Balaji Gears</t>
        </is>
      </c>
      <c r="C1178" t="inlineStr">
        <is>
          <t>NOS</t>
        </is>
      </c>
      <c r="D1178" t="n">
        <v>485</v>
      </c>
      <c r="E1178" t="n">
        <v>424.331</v>
      </c>
      <c r="F1178" t="n">
        <v>234.74</v>
      </c>
      <c r="G1178" t="n">
        <v>3233560</v>
      </c>
      <c r="H1178" t="inlineStr">
        <is>
          <t>TUB-S-AW-AUT-19.00X19.00X1.000X0.8750</t>
        </is>
      </c>
    </row>
    <row r="1179">
      <c r="A1179" t="inlineStr">
        <is>
          <t>0000188595</t>
        </is>
      </c>
      <c r="B1179" t="inlineStr">
        <is>
          <t>Sri Balaji Gears</t>
        </is>
      </c>
      <c r="C1179" t="inlineStr">
        <is>
          <t>NOS</t>
        </is>
      </c>
      <c r="D1179" t="n">
        <v>10</v>
      </c>
      <c r="E1179" t="n">
        <v>8.749000000000001</v>
      </c>
      <c r="F1179" t="n">
        <v>4.84</v>
      </c>
      <c r="G1179" t="n">
        <v>3233560</v>
      </c>
      <c r="H1179" t="inlineStr">
        <is>
          <t>TUB-S-AW-AUT-19.00X19.00X1.000X0.8750</t>
        </is>
      </c>
    </row>
    <row r="1180">
      <c r="A1180" t="inlineStr">
        <is>
          <t>0000188595</t>
        </is>
      </c>
      <c r="B1180" t="inlineStr">
        <is>
          <t>Sri Balaji Gears</t>
        </is>
      </c>
      <c r="C1180" t="inlineStr">
        <is>
          <t>NOS</t>
        </is>
      </c>
      <c r="D1180" t="n">
        <v>5</v>
      </c>
      <c r="E1180" t="n">
        <v>4.375</v>
      </c>
      <c r="F1180" t="n">
        <v>2.42</v>
      </c>
      <c r="G1180" t="n">
        <v>3233560</v>
      </c>
      <c r="H1180" t="inlineStr">
        <is>
          <t>TUB-S-AW-AUT-19.00X19.00X1.000X0.8750</t>
        </is>
      </c>
    </row>
    <row r="1181">
      <c r="A1181" t="inlineStr">
        <is>
          <t>0000188595</t>
        </is>
      </c>
      <c r="B1181" t="inlineStr">
        <is>
          <t>Sri Balaji Gears</t>
        </is>
      </c>
      <c r="C1181" t="inlineStr">
        <is>
          <t>NOS</t>
        </is>
      </c>
      <c r="D1181" t="n">
        <v>1000</v>
      </c>
      <c r="E1181" t="n">
        <v>840.564</v>
      </c>
      <c r="F1181" t="n">
        <v>465</v>
      </c>
      <c r="G1181" t="n">
        <v>3230485</v>
      </c>
      <c r="H1181" t="inlineStr">
        <is>
          <t>TUB-S-AW-AUT-19.00X19.00X1.000X0.8400</t>
        </is>
      </c>
    </row>
    <row r="1182">
      <c r="A1182" t="inlineStr">
        <is>
          <t>0000188595</t>
        </is>
      </c>
      <c r="B1182" t="inlineStr">
        <is>
          <t>Sri Balaji Gears</t>
        </is>
      </c>
      <c r="C1182" t="inlineStr">
        <is>
          <t>NOS</t>
        </is>
      </c>
      <c r="D1182" t="n">
        <v>1000</v>
      </c>
      <c r="E1182" t="n">
        <v>800.004</v>
      </c>
      <c r="F1182" t="n">
        <v>436.011</v>
      </c>
      <c r="G1182" t="n">
        <v>3931836</v>
      </c>
      <c r="H1182" t="inlineStr">
        <is>
          <t>CUT-R-AW-AUT-19.00X19.00X1.000X0.8000</t>
        </is>
      </c>
    </row>
    <row r="1183">
      <c r="A1183" t="inlineStr">
        <is>
          <t>0000188595</t>
        </is>
      </c>
      <c r="B1183" t="inlineStr">
        <is>
          <t>Sri Balaji Gears</t>
        </is>
      </c>
      <c r="C1183" t="inlineStr">
        <is>
          <t>NOS</t>
        </is>
      </c>
      <c r="D1183" t="n">
        <v>2000</v>
      </c>
      <c r="E1183" t="n">
        <v>300.072</v>
      </c>
      <c r="F1183" t="n">
        <v>166</v>
      </c>
      <c r="G1183" t="n">
        <v>3230486</v>
      </c>
      <c r="H1183" t="inlineStr">
        <is>
          <t>TUB-S-AW-AUT-19.00X19.00X1.000X0.1500</t>
        </is>
      </c>
    </row>
    <row r="1184">
      <c r="A1184" t="inlineStr">
        <is>
          <t>0000188595</t>
        </is>
      </c>
      <c r="B1184" t="inlineStr">
        <is>
          <t>Sri Balaji Gears</t>
        </is>
      </c>
      <c r="C1184" t="inlineStr">
        <is>
          <t>NOS</t>
        </is>
      </c>
      <c r="D1184" t="n">
        <v>1000</v>
      </c>
      <c r="E1184" t="n">
        <v>129.009</v>
      </c>
      <c r="F1184" t="n">
        <v>70.31100000000001</v>
      </c>
      <c r="G1184" t="n">
        <v>3938687</v>
      </c>
      <c r="H1184" t="inlineStr">
        <is>
          <t>TUB-S-AW-AUT-19.00X19.00X1.000X0.1290</t>
        </is>
      </c>
    </row>
    <row r="1185">
      <c r="A1185" t="inlineStr">
        <is>
          <t>0000188595</t>
        </is>
      </c>
      <c r="B1185" t="inlineStr">
        <is>
          <t>Sri Balaji Gears</t>
        </is>
      </c>
      <c r="C1185" t="inlineStr">
        <is>
          <t>NOS</t>
        </is>
      </c>
      <c r="D1185" t="n">
        <v>500</v>
      </c>
      <c r="E1185" t="n">
        <v>649.006</v>
      </c>
      <c r="F1185" t="n">
        <v>563.15</v>
      </c>
      <c r="G1185" t="n">
        <v>3935311</v>
      </c>
      <c r="H1185" t="inlineStr">
        <is>
          <t>CUT-S-AW-AUT-25.00X25.00X1.200X1.2980</t>
        </is>
      </c>
    </row>
    <row r="1186">
      <c r="A1186" t="inlineStr">
        <is>
          <t>0000188595</t>
        </is>
      </c>
      <c r="B1186" t="inlineStr">
        <is>
          <t>Sri Balaji Gears</t>
        </is>
      </c>
      <c r="C1186" t="inlineStr">
        <is>
          <t>NOS</t>
        </is>
      </c>
      <c r="D1186" t="n">
        <v>1000</v>
      </c>
      <c r="E1186" t="n">
        <v>787.175</v>
      </c>
      <c r="F1186" t="n">
        <v>712</v>
      </c>
      <c r="G1186" t="n">
        <v>3230482</v>
      </c>
      <c r="H1186" t="inlineStr">
        <is>
          <t>TUB-S-AW-AUT-25.00X25.00X1.200X0.7870</t>
        </is>
      </c>
    </row>
    <row r="1187">
      <c r="A1187" t="inlineStr">
        <is>
          <t>0000188595</t>
        </is>
      </c>
      <c r="B1187" t="inlineStr">
        <is>
          <t>Sri Balaji Gears</t>
        </is>
      </c>
      <c r="C1187" t="inlineStr">
        <is>
          <t>NOS</t>
        </is>
      </c>
      <c r="D1187" t="n">
        <v>577</v>
      </c>
      <c r="E1187" t="n">
        <v>80.947</v>
      </c>
      <c r="F1187" t="n">
        <v>118.862</v>
      </c>
      <c r="G1187" t="n">
        <v>1940850</v>
      </c>
      <c r="H1187" t="inlineStr">
        <is>
          <t>TUB-S-AW-SHS-40.00X40.00X1.200X0.1400</t>
        </is>
      </c>
    </row>
    <row r="1188">
      <c r="A1188" t="inlineStr">
        <is>
          <t>0000188595</t>
        </is>
      </c>
      <c r="B1188" t="inlineStr">
        <is>
          <t>Sri Balaji Gears</t>
        </is>
      </c>
      <c r="C1188" t="inlineStr">
        <is>
          <t>NOS</t>
        </is>
      </c>
      <c r="D1188" t="n">
        <v>310</v>
      </c>
      <c r="E1188" t="n">
        <v>43.49</v>
      </c>
      <c r="F1188" t="n">
        <v>63.86</v>
      </c>
      <c r="G1188" t="n">
        <v>1940850</v>
      </c>
      <c r="H1188" t="inlineStr">
        <is>
          <t>TUB-S-AW-SHS-40.00X40.00X1.200X0.1400</t>
        </is>
      </c>
    </row>
    <row r="1189">
      <c r="A1189" t="inlineStr">
        <is>
          <t>0000188595</t>
        </is>
      </c>
      <c r="B1189" t="inlineStr">
        <is>
          <t>Sri Balaji Gears</t>
        </is>
      </c>
      <c r="C1189" t="inlineStr">
        <is>
          <t>NOS</t>
        </is>
      </c>
      <c r="D1189" t="n">
        <v>113</v>
      </c>
      <c r="E1189" t="n">
        <v>15.853</v>
      </c>
      <c r="F1189" t="n">
        <v>23.278</v>
      </c>
      <c r="G1189" t="n">
        <v>1940850</v>
      </c>
      <c r="H1189" t="inlineStr">
        <is>
          <t>TUB-S-AW-SHS-40.00X40.00X1.200X0.1400</t>
        </is>
      </c>
    </row>
    <row r="1190">
      <c r="A1190" t="inlineStr">
        <is>
          <t>0000188595</t>
        </is>
      </c>
      <c r="B1190" t="inlineStr">
        <is>
          <t>Sri Balaji Gears</t>
        </is>
      </c>
      <c r="C1190" t="inlineStr">
        <is>
          <t>NOS</t>
        </is>
      </c>
      <c r="D1190" t="n">
        <v>1000</v>
      </c>
      <c r="E1190" t="n">
        <v>125.306</v>
      </c>
      <c r="F1190" t="n">
        <v>184</v>
      </c>
      <c r="G1190" t="n">
        <v>1940849</v>
      </c>
      <c r="H1190" t="inlineStr">
        <is>
          <t>TUB-S-AW-SHS-40.00X40.00X1.200X0.1250</t>
        </is>
      </c>
    </row>
    <row r="1191">
      <c r="A1191" t="inlineStr">
        <is>
          <t>0000188595</t>
        </is>
      </c>
      <c r="B1191" t="inlineStr">
        <is>
          <t>Sri Balaji Gears</t>
        </is>
      </c>
      <c r="C1191" t="inlineStr">
        <is>
          <t>NOS</t>
        </is>
      </c>
      <c r="D1191" t="n">
        <v>1000</v>
      </c>
      <c r="E1191" t="n">
        <v>220.615</v>
      </c>
      <c r="F1191" t="n">
        <v>241</v>
      </c>
      <c r="G1191" t="n">
        <v>3230495</v>
      </c>
      <c r="H1191" t="inlineStr">
        <is>
          <t>TUB-S-AW-AUT-30.00X30.00X1.200X0.2200</t>
        </is>
      </c>
    </row>
    <row r="1192">
      <c r="A1192" t="inlineStr">
        <is>
          <t>0000188595</t>
        </is>
      </c>
      <c r="B1192" t="inlineStr">
        <is>
          <t>Sri Balaji Gears</t>
        </is>
      </c>
      <c r="C1192" t="inlineStr">
        <is>
          <t>NOS</t>
        </is>
      </c>
      <c r="D1192" t="n">
        <v>1000</v>
      </c>
      <c r="E1192" t="n">
        <v>682.0069999999999</v>
      </c>
      <c r="F1192" t="n">
        <v>360.267</v>
      </c>
      <c r="G1192" t="n">
        <v>3929540</v>
      </c>
      <c r="H1192" t="inlineStr">
        <is>
          <t>CUT-O-N-AUT-AW-PE-19.05X1.200X0.6820</t>
        </is>
      </c>
    </row>
    <row r="1193">
      <c r="A1193" t="inlineStr">
        <is>
          <t>0000188595</t>
        </is>
      </c>
      <c r="B1193" t="inlineStr">
        <is>
          <t>Sri Balaji Gears</t>
        </is>
      </c>
      <c r="C1193" t="inlineStr">
        <is>
          <t>NOS</t>
        </is>
      </c>
      <c r="D1193" t="n">
        <v>500</v>
      </c>
      <c r="E1193" t="n">
        <v>503.507</v>
      </c>
      <c r="F1193" t="n">
        <v>274.417</v>
      </c>
      <c r="G1193" t="n">
        <v>4100796</v>
      </c>
      <c r="H1193" t="inlineStr">
        <is>
          <t>CUT-R-AW-AUT-19.00X19.00X1.000X1.0070</t>
        </is>
      </c>
    </row>
    <row r="1194">
      <c r="A1194" t="inlineStr">
        <is>
          <t>0000189454</t>
        </is>
      </c>
      <c r="B1194" t="inlineStr">
        <is>
          <t>NAHARS ENGINEERING INDIA PRIVATE LI</t>
        </is>
      </c>
      <c r="C1194" t="inlineStr">
        <is>
          <t>NOS</t>
        </is>
      </c>
      <c r="D1194" t="n">
        <v>658</v>
      </c>
      <c r="E1194" t="n">
        <v>582.05</v>
      </c>
      <c r="F1194" t="n">
        <v>554.694</v>
      </c>
      <c r="G1194" t="n">
        <v>1942696</v>
      </c>
      <c r="H1194" t="inlineStr">
        <is>
          <t>TUB-O-N-AUT-AW-PE-22.23X2.000X0.8840</t>
        </is>
      </c>
    </row>
    <row r="1195">
      <c r="A1195" t="inlineStr">
        <is>
          <t>0000189454</t>
        </is>
      </c>
      <c r="B1195" t="inlineStr">
        <is>
          <t>NAHARS ENGINEERING INDIA PRIVATE LI</t>
        </is>
      </c>
      <c r="C1195" t="inlineStr">
        <is>
          <t>NOS</t>
        </is>
      </c>
      <c r="D1195" t="n">
        <v>800</v>
      </c>
      <c r="E1195" t="n">
        <v>707.66</v>
      </c>
      <c r="F1195" t="n">
        <v>674.4</v>
      </c>
      <c r="G1195" t="n">
        <v>1942696</v>
      </c>
      <c r="H1195" t="inlineStr">
        <is>
          <t>TUB-O-N-AUT-AW-PE-22.23X2.000X0.8840</t>
        </is>
      </c>
    </row>
    <row r="1196">
      <c r="A1196" t="inlineStr">
        <is>
          <t>0000189454</t>
        </is>
      </c>
      <c r="B1196" t="inlineStr">
        <is>
          <t>NAHARS ENGINEERING INDIA PRIVATE LI</t>
        </is>
      </c>
      <c r="C1196" t="inlineStr">
        <is>
          <t>NOS</t>
        </is>
      </c>
      <c r="D1196" t="n">
        <v>549</v>
      </c>
      <c r="E1196" t="n">
        <v>485.632</v>
      </c>
      <c r="F1196" t="n">
        <v>462.807</v>
      </c>
      <c r="G1196" t="n">
        <v>1942696</v>
      </c>
      <c r="H1196" t="inlineStr">
        <is>
          <t>TUB-O-N-AUT-AW-PE-22.23X2.000X0.8840</t>
        </is>
      </c>
    </row>
    <row r="1197">
      <c r="A1197" t="inlineStr">
        <is>
          <t>0000189454</t>
        </is>
      </c>
      <c r="B1197" t="inlineStr">
        <is>
          <t>NAHARS ENGINEERING INDIA PRIVATE LI</t>
        </is>
      </c>
      <c r="C1197" t="inlineStr">
        <is>
          <t>NOS</t>
        </is>
      </c>
      <c r="D1197" t="n">
        <v>450</v>
      </c>
      <c r="E1197" t="n">
        <v>398.059</v>
      </c>
      <c r="F1197" t="n">
        <v>379.35</v>
      </c>
      <c r="G1197" t="n">
        <v>1942696</v>
      </c>
      <c r="H1197" t="inlineStr">
        <is>
          <t>TUB-O-N-AUT-AW-PE-22.23X2.000X0.8840</t>
        </is>
      </c>
    </row>
    <row r="1198">
      <c r="A1198" t="inlineStr">
        <is>
          <t>0000189454</t>
        </is>
      </c>
      <c r="B1198" t="inlineStr">
        <is>
          <t>NAHARS ENGINEERING INDIA PRIVATE LI</t>
        </is>
      </c>
      <c r="C1198" t="inlineStr">
        <is>
          <t>NOS</t>
        </is>
      </c>
      <c r="D1198" t="n">
        <v>275</v>
      </c>
      <c r="E1198" t="n">
        <v>243.258</v>
      </c>
      <c r="F1198" t="n">
        <v>231.825</v>
      </c>
      <c r="G1198" t="n">
        <v>1942696</v>
      </c>
      <c r="H1198" t="inlineStr">
        <is>
          <t>TUB-O-N-AUT-AW-PE-22.23X2.000X0.8840</t>
        </is>
      </c>
    </row>
    <row r="1199">
      <c r="A1199" t="inlineStr">
        <is>
          <t>0000189454</t>
        </is>
      </c>
      <c r="B1199" t="inlineStr">
        <is>
          <t>NAHARS ENGINEERING INDIA PRIVATE LI</t>
        </is>
      </c>
      <c r="C1199" t="inlineStr">
        <is>
          <t>NOS</t>
        </is>
      </c>
      <c r="D1199" t="n">
        <v>199</v>
      </c>
      <c r="E1199" t="n">
        <v>176.03</v>
      </c>
      <c r="F1199" t="n">
        <v>167.757</v>
      </c>
      <c r="G1199" t="n">
        <v>1942696</v>
      </c>
      <c r="H1199" t="inlineStr">
        <is>
          <t>TUB-O-N-AUT-AW-PE-22.23X2.000X0.8840</t>
        </is>
      </c>
    </row>
    <row r="1200">
      <c r="A1200" t="inlineStr">
        <is>
          <t>0000189454</t>
        </is>
      </c>
      <c r="B1200" t="inlineStr">
        <is>
          <t>NAHARS ENGINEERING INDIA PRIVATE LI</t>
        </is>
      </c>
      <c r="C1200" t="inlineStr">
        <is>
          <t>NOS</t>
        </is>
      </c>
      <c r="D1200" t="n">
        <v>56</v>
      </c>
      <c r="E1200" t="n">
        <v>49.536</v>
      </c>
      <c r="F1200" t="n">
        <v>47.208</v>
      </c>
      <c r="G1200" t="n">
        <v>1942696</v>
      </c>
      <c r="H1200" t="inlineStr">
        <is>
          <t>TUB-O-N-AUT-AW-PE-22.23X2.000X0.8840</t>
        </is>
      </c>
    </row>
    <row r="1201">
      <c r="A1201" t="inlineStr">
        <is>
          <t>0000189454</t>
        </is>
      </c>
      <c r="B1201" t="inlineStr">
        <is>
          <t>NAHARS ENGINEERING INDIA PRIVATE LI</t>
        </is>
      </c>
      <c r="C1201" t="inlineStr">
        <is>
          <t>NOS</t>
        </is>
      </c>
      <c r="D1201" t="n">
        <v>13</v>
      </c>
      <c r="E1201" t="n">
        <v>11.499</v>
      </c>
      <c r="F1201" t="n">
        <v>10.959</v>
      </c>
      <c r="G1201" t="n">
        <v>1942696</v>
      </c>
      <c r="H1201" t="inlineStr">
        <is>
          <t>TUB-O-N-AUT-AW-PE-22.23X2.000X0.8840</t>
        </is>
      </c>
    </row>
    <row r="1202">
      <c r="A1202" t="inlineStr">
        <is>
          <t>0000189454</t>
        </is>
      </c>
      <c r="B1202" t="inlineStr">
        <is>
          <t>NAHARS ENGINEERING INDIA PRIVATE LI</t>
        </is>
      </c>
      <c r="C1202" t="inlineStr">
        <is>
          <t>NOS</t>
        </is>
      </c>
      <c r="D1202" t="n">
        <v>3000</v>
      </c>
      <c r="E1202" t="n">
        <v>1638.787</v>
      </c>
      <c r="F1202" t="n">
        <v>2361</v>
      </c>
      <c r="G1202" t="n">
        <v>1940817</v>
      </c>
      <c r="H1202" t="inlineStr">
        <is>
          <t>TUB-R-AW-RHS-40.00X20.00X1.600X0.5460</t>
        </is>
      </c>
    </row>
    <row r="1203">
      <c r="A1203" t="inlineStr">
        <is>
          <t>0000941496</t>
        </is>
      </c>
      <c r="B1203" t="inlineStr">
        <is>
          <t>SANDHAR ENGINEERING PVT LTD.(KA) -U</t>
        </is>
      </c>
      <c r="C1203" t="inlineStr">
        <is>
          <t>NOS</t>
        </is>
      </c>
      <c r="D1203" t="n">
        <v>716</v>
      </c>
      <c r="E1203" t="n">
        <v>425.745</v>
      </c>
      <c r="F1203" t="n">
        <v>325.78</v>
      </c>
      <c r="G1203" t="n">
        <v>1940614</v>
      </c>
      <c r="H1203" t="inlineStr">
        <is>
          <t>TUB-O-O-AUT-AW-PE-28.58X1.200X0.5950</t>
        </is>
      </c>
    </row>
    <row r="1204">
      <c r="A1204" t="inlineStr">
        <is>
          <t>0000941496</t>
        </is>
      </c>
      <c r="B1204" t="inlineStr">
        <is>
          <t>SANDHAR ENGINEERING PVT LTD.(KA) -U</t>
        </is>
      </c>
      <c r="C1204" t="inlineStr">
        <is>
          <t>NOS</t>
        </is>
      </c>
      <c r="D1204" t="n">
        <v>1670</v>
      </c>
      <c r="E1204" t="n">
        <v>993.008</v>
      </c>
      <c r="F1204" t="n">
        <v>759.85</v>
      </c>
      <c r="G1204" t="n">
        <v>1940614</v>
      </c>
      <c r="H1204" t="inlineStr">
        <is>
          <t>TUB-O-O-AUT-AW-PE-28.58X1.200X0.5950</t>
        </is>
      </c>
    </row>
    <row r="1205">
      <c r="A1205" t="inlineStr">
        <is>
          <t>0000941496</t>
        </is>
      </c>
      <c r="B1205" t="inlineStr">
        <is>
          <t>SANDHAR ENGINEERING PVT LTD.(KA) -U</t>
        </is>
      </c>
      <c r="C1205" t="inlineStr">
        <is>
          <t>NOS</t>
        </is>
      </c>
      <c r="D1205" t="n">
        <v>1483</v>
      </c>
      <c r="E1205" t="n">
        <v>881.8150000000001</v>
      </c>
      <c r="F1205" t="n">
        <v>674.765</v>
      </c>
      <c r="G1205" t="n">
        <v>1940614</v>
      </c>
      <c r="H1205" t="inlineStr">
        <is>
          <t>TUB-O-O-AUT-AW-PE-28.58X1.200X0.5950</t>
        </is>
      </c>
    </row>
    <row r="1206">
      <c r="A1206" t="inlineStr">
        <is>
          <t>0000941496</t>
        </is>
      </c>
      <c r="B1206" t="inlineStr">
        <is>
          <t>SANDHAR ENGINEERING PVT LTD.(KA) -U</t>
        </is>
      </c>
      <c r="C1206" t="inlineStr">
        <is>
          <t>NOS</t>
        </is>
      </c>
      <c r="D1206" t="n">
        <v>706</v>
      </c>
      <c r="E1206" t="n">
        <v>419.799</v>
      </c>
      <c r="F1206" t="n">
        <v>321.23</v>
      </c>
      <c r="G1206" t="n">
        <v>1940614</v>
      </c>
      <c r="H1206" t="inlineStr">
        <is>
          <t>TUB-O-O-AUT-AW-PE-28.58X1.200X0.5950</t>
        </is>
      </c>
    </row>
    <row r="1207">
      <c r="A1207" t="inlineStr">
        <is>
          <t>0000943209</t>
        </is>
      </c>
      <c r="B1207" t="inlineStr">
        <is>
          <t>MEGH STEELS PRIVATE LIMITED - TVS A</t>
        </is>
      </c>
      <c r="C1207" t="inlineStr">
        <is>
          <t>KG</t>
        </is>
      </c>
      <c r="D1207" t="n">
        <v>419</v>
      </c>
      <c r="E1207" t="n">
        <v>2429.862</v>
      </c>
      <c r="F1207" t="n">
        <v>2044</v>
      </c>
      <c r="G1207" t="n">
        <v>1940292</v>
      </c>
      <c r="H1207" t="inlineStr">
        <is>
          <t>TUB-O-O-AUT-AW-PE-19.05X2.000X5.8000</t>
        </is>
      </c>
    </row>
    <row r="1208">
      <c r="A1208" t="inlineStr">
        <is>
          <t>0000943209</t>
        </is>
      </c>
      <c r="B1208" t="inlineStr">
        <is>
          <t>MEGH STEELS PRIVATE LIMITED - TVS A</t>
        </is>
      </c>
      <c r="C1208" t="inlineStr">
        <is>
          <t>KG</t>
        </is>
      </c>
      <c r="D1208" t="n">
        <v>615</v>
      </c>
      <c r="E1208" t="n">
        <v>3569.9</v>
      </c>
      <c r="F1208" t="n">
        <v>3003</v>
      </c>
      <c r="G1208" t="n">
        <v>1940292</v>
      </c>
      <c r="H1208" t="inlineStr">
        <is>
          <t>TUB-O-O-AUT-AW-PE-19.05X2.000X5.8000</t>
        </is>
      </c>
    </row>
    <row r="1209">
      <c r="A1209" t="inlineStr">
        <is>
          <t>0000943209</t>
        </is>
      </c>
      <c r="B1209" t="inlineStr">
        <is>
          <t>MEGH STEELS PRIVATE LIMITED - TVS A</t>
        </is>
      </c>
      <c r="C1209" t="inlineStr">
        <is>
          <t>KG</t>
        </is>
      </c>
      <c r="D1209" t="n">
        <v>742</v>
      </c>
      <c r="E1209" t="n">
        <v>4303.376</v>
      </c>
      <c r="F1209" t="n">
        <v>3620</v>
      </c>
      <c r="G1209" t="n">
        <v>1940292</v>
      </c>
      <c r="H1209" t="inlineStr">
        <is>
          <t>TUB-O-O-AUT-AW-PE-19.05X2.000X5.8000</t>
        </is>
      </c>
    </row>
    <row r="1210">
      <c r="A1210" t="inlineStr">
        <is>
          <t>0000943209</t>
        </is>
      </c>
      <c r="B1210" t="inlineStr">
        <is>
          <t>MEGH STEELS PRIVATE LIMITED - TVS A</t>
        </is>
      </c>
      <c r="C1210" t="inlineStr">
        <is>
          <t>KG</t>
        </is>
      </c>
      <c r="D1210" t="n">
        <v>717</v>
      </c>
      <c r="E1210" t="n">
        <v>4158.345</v>
      </c>
      <c r="F1210" t="n">
        <v>3498</v>
      </c>
      <c r="G1210" t="n">
        <v>1940292</v>
      </c>
      <c r="H1210" t="inlineStr">
        <is>
          <t>TUB-O-O-AUT-AW-PE-19.05X2.000X5.8000</t>
        </is>
      </c>
    </row>
    <row r="1211">
      <c r="A1211" t="inlineStr">
        <is>
          <t>0000943209</t>
        </is>
      </c>
      <c r="B1211" t="inlineStr">
        <is>
          <t>MEGH STEELS PRIVATE LIMITED - TVS A</t>
        </is>
      </c>
      <c r="C1211" t="inlineStr">
        <is>
          <t>KG</t>
        </is>
      </c>
      <c r="D1211" t="n">
        <v>302</v>
      </c>
      <c r="E1211" t="n">
        <v>1752.259</v>
      </c>
      <c r="F1211" t="n">
        <v>1474</v>
      </c>
      <c r="G1211" t="n">
        <v>1940292</v>
      </c>
      <c r="H1211" t="inlineStr">
        <is>
          <t>TUB-O-O-AUT-AW-PE-19.05X2.000X5.8000</t>
        </is>
      </c>
    </row>
    <row r="1212">
      <c r="A1212" t="inlineStr">
        <is>
          <t>0000943209</t>
        </is>
      </c>
      <c r="B1212" t="inlineStr">
        <is>
          <t>MEGH STEELS PRIVATE LIMITED - TVS A</t>
        </is>
      </c>
      <c r="C1212" t="inlineStr">
        <is>
          <t>KG</t>
        </is>
      </c>
      <c r="D1212" t="n">
        <v>326</v>
      </c>
      <c r="E1212" t="n">
        <v>1891.346</v>
      </c>
      <c r="F1212" t="n">
        <v>1591</v>
      </c>
      <c r="G1212" t="n">
        <v>1940292</v>
      </c>
      <c r="H1212" t="inlineStr">
        <is>
          <t>TUB-O-O-AUT-AW-PE-19.05X2.000X5.8000</t>
        </is>
      </c>
    </row>
    <row r="1213">
      <c r="A1213" t="inlineStr">
        <is>
          <t>0000188595</t>
        </is>
      </c>
      <c r="B1213" t="inlineStr">
        <is>
          <t>Sri Balaji Gears</t>
        </is>
      </c>
      <c r="C1213" t="inlineStr">
        <is>
          <t>KG</t>
        </is>
      </c>
      <c r="D1213" t="n">
        <v>658</v>
      </c>
      <c r="E1213" t="n">
        <v>4040.13</v>
      </c>
      <c r="F1213" t="n">
        <v>2235</v>
      </c>
      <c r="G1213" t="n">
        <v>3597679</v>
      </c>
      <c r="H1213" t="inlineStr">
        <is>
          <t>TUB-S-AW-AUT-19.00X19.00X1.000X6.1400</t>
        </is>
      </c>
    </row>
    <row r="1214">
      <c r="A1214" t="inlineStr">
        <is>
          <t>0000188595</t>
        </is>
      </c>
      <c r="B1214" t="inlineStr">
        <is>
          <t>Sri Balaji Gears</t>
        </is>
      </c>
      <c r="C1214" t="inlineStr">
        <is>
          <t>KG</t>
        </is>
      </c>
      <c r="D1214" t="n">
        <v>355</v>
      </c>
      <c r="E1214" t="n">
        <v>2178.236</v>
      </c>
      <c r="F1214" t="n">
        <v>1205</v>
      </c>
      <c r="G1214" t="n">
        <v>3597679</v>
      </c>
      <c r="H1214" t="inlineStr">
        <is>
          <t>TUB-S-AW-AUT-19.00X19.00X1.000X6.1400</t>
        </is>
      </c>
    </row>
    <row r="1215">
      <c r="A1215" t="inlineStr">
        <is>
          <t>0000188595</t>
        </is>
      </c>
      <c r="B1215" t="inlineStr">
        <is>
          <t>Sri Balaji Gears</t>
        </is>
      </c>
      <c r="C1215" t="inlineStr">
        <is>
          <t>KG</t>
        </is>
      </c>
      <c r="D1215" t="n">
        <v>609</v>
      </c>
      <c r="E1215" t="n">
        <v>3652.142</v>
      </c>
      <c r="F1215" t="n">
        <v>2020</v>
      </c>
      <c r="G1215" t="n">
        <v>1940146</v>
      </c>
      <c r="H1215" t="inlineStr">
        <is>
          <t>TUB-S-FH-SHS-19.00X19.00X1.000X6.0000</t>
        </is>
      </c>
    </row>
    <row r="1216">
      <c r="A1216" t="inlineStr">
        <is>
          <t>0000188595</t>
        </is>
      </c>
      <c r="B1216" t="inlineStr">
        <is>
          <t>Sri Balaji Gears</t>
        </is>
      </c>
      <c r="C1216" t="inlineStr">
        <is>
          <t>KG</t>
        </is>
      </c>
      <c r="D1216" t="n">
        <v>149</v>
      </c>
      <c r="E1216" t="n">
        <v>790.047</v>
      </c>
      <c r="F1216" t="n">
        <v>870</v>
      </c>
      <c r="G1216" t="n">
        <v>3731692</v>
      </c>
      <c r="H1216" t="inlineStr">
        <is>
          <t>TUB-R-AW-AUT-40.00X20.00X1.210X5.3100</t>
        </is>
      </c>
    </row>
    <row r="1217">
      <c r="A1217" t="inlineStr">
        <is>
          <t>0000188595</t>
        </is>
      </c>
      <c r="B1217" t="inlineStr">
        <is>
          <t>Sri Balaji Gears</t>
        </is>
      </c>
      <c r="C1217" t="inlineStr">
        <is>
          <t>KG</t>
        </is>
      </c>
      <c r="D1217" t="n">
        <v>396</v>
      </c>
      <c r="E1217" t="n">
        <v>2103.16</v>
      </c>
      <c r="F1217" t="n">
        <v>2316</v>
      </c>
      <c r="G1217" t="n">
        <v>3731692</v>
      </c>
      <c r="H1217" t="inlineStr">
        <is>
          <t>TUB-R-AW-AUT-40.00X20.00X1.210X5.3100</t>
        </is>
      </c>
    </row>
    <row r="1218">
      <c r="A1218" t="inlineStr">
        <is>
          <t>0000188595</t>
        </is>
      </c>
      <c r="B1218" t="inlineStr">
        <is>
          <t>Sri Balaji Gears</t>
        </is>
      </c>
      <c r="C1218" t="inlineStr">
        <is>
          <t>KG</t>
        </is>
      </c>
      <c r="D1218" t="n">
        <v>47</v>
      </c>
      <c r="E1218" t="n">
        <v>248.819</v>
      </c>
      <c r="F1218" t="n">
        <v>274</v>
      </c>
      <c r="G1218" t="n">
        <v>3731692</v>
      </c>
      <c r="H1218" t="inlineStr">
        <is>
          <t>TUB-R-AW-AUT-40.00X20.00X1.210X5.3100</t>
        </is>
      </c>
    </row>
    <row r="1219">
      <c r="A1219" t="inlineStr">
        <is>
          <t>0000188595</t>
        </is>
      </c>
      <c r="B1219" t="inlineStr">
        <is>
          <t>Sri Balaji Gears</t>
        </is>
      </c>
      <c r="C1219" t="inlineStr">
        <is>
          <t>KG</t>
        </is>
      </c>
      <c r="D1219" t="n">
        <v>355</v>
      </c>
      <c r="E1219" t="n">
        <v>2166.727</v>
      </c>
      <c r="F1219" t="n">
        <v>2386</v>
      </c>
      <c r="G1219" t="n">
        <v>4201127</v>
      </c>
      <c r="H1219" t="inlineStr">
        <is>
          <t>TUB-R-AW-RHS-40.00X20.00X1.210X6.1000</t>
        </is>
      </c>
    </row>
    <row r="1220">
      <c r="A1220" t="inlineStr">
        <is>
          <t>0000188595</t>
        </is>
      </c>
      <c r="B1220" t="inlineStr">
        <is>
          <t>Sri Balaji Gears</t>
        </is>
      </c>
      <c r="C1220" t="inlineStr">
        <is>
          <t>KG</t>
        </is>
      </c>
      <c r="D1220" t="n">
        <v>336</v>
      </c>
      <c r="E1220" t="n">
        <v>2046.858</v>
      </c>
      <c r="F1220" t="n">
        <v>2254</v>
      </c>
      <c r="G1220" t="n">
        <v>4201127</v>
      </c>
      <c r="H1220" t="inlineStr">
        <is>
          <t>TUB-R-AW-RHS-40.00X20.00X1.210X6.1000</t>
        </is>
      </c>
    </row>
    <row r="1221">
      <c r="A1221" t="inlineStr">
        <is>
          <t>0000949970</t>
        </is>
      </c>
      <c r="B1221" t="inlineStr">
        <is>
          <t>SANDHAR ENGINEERING PVTLTD(KA)U-III</t>
        </is>
      </c>
      <c r="C1221" t="inlineStr">
        <is>
          <t>NOS</t>
        </is>
      </c>
      <c r="D1221" t="n">
        <v>1314</v>
      </c>
      <c r="E1221" t="n">
        <v>1227.992</v>
      </c>
      <c r="F1221" t="n">
        <v>999.954</v>
      </c>
      <c r="G1221" t="n">
        <v>1940416</v>
      </c>
      <c r="H1221" t="inlineStr">
        <is>
          <t>TUB-O-O-AUT-AW-PE-22.23X1.60X0.935-MAHS</t>
        </is>
      </c>
    </row>
    <row r="1222">
      <c r="A1222" t="inlineStr">
        <is>
          <t>0000949970</t>
        </is>
      </c>
      <c r="B1222" t="inlineStr">
        <is>
          <t>SANDHAR ENGINEERING PVTLTD(KA)U-III</t>
        </is>
      </c>
      <c r="C1222" t="inlineStr">
        <is>
          <t>NOS</t>
        </is>
      </c>
      <c r="D1222" t="n">
        <v>1101</v>
      </c>
      <c r="E1222" t="n">
        <v>1028.934</v>
      </c>
      <c r="F1222" t="n">
        <v>837.861</v>
      </c>
      <c r="G1222" t="n">
        <v>1940416</v>
      </c>
      <c r="H1222" t="inlineStr">
        <is>
          <t>TUB-O-O-AUT-AW-PE-22.23X1.60X0.935-MAHS</t>
        </is>
      </c>
    </row>
    <row r="1223">
      <c r="A1223" t="inlineStr">
        <is>
          <t>0000949970</t>
        </is>
      </c>
      <c r="B1223" t="inlineStr">
        <is>
          <t>SANDHAR ENGINEERING PVTLTD(KA)U-III</t>
        </is>
      </c>
      <c r="C1223" t="inlineStr">
        <is>
          <t>NOS</t>
        </is>
      </c>
      <c r="D1223" t="n">
        <v>131</v>
      </c>
      <c r="E1223" t="n">
        <v>122.425</v>
      </c>
      <c r="F1223" t="n">
        <v>99.691</v>
      </c>
      <c r="G1223" t="n">
        <v>1940416</v>
      </c>
      <c r="H1223" t="inlineStr">
        <is>
          <t>TUB-O-O-AUT-AW-PE-22.23X1.60X0.935-MAHS</t>
        </is>
      </c>
    </row>
    <row r="1224">
      <c r="A1224" t="inlineStr">
        <is>
          <t>0000949970</t>
        </is>
      </c>
      <c r="B1224" t="inlineStr">
        <is>
          <t>SANDHAR ENGINEERING PVTLTD(KA)U-III</t>
        </is>
      </c>
      <c r="C1224" t="inlineStr">
        <is>
          <t>NOS</t>
        </is>
      </c>
      <c r="D1224" t="n">
        <v>179</v>
      </c>
      <c r="E1224" t="n">
        <v>167.284</v>
      </c>
      <c r="F1224" t="n">
        <v>136.219</v>
      </c>
      <c r="G1224" t="n">
        <v>1940416</v>
      </c>
      <c r="H1224" t="inlineStr">
        <is>
          <t>TUB-O-O-AUT-AW-PE-22.23X1.60X0.935-MAHS</t>
        </is>
      </c>
    </row>
    <row r="1225">
      <c r="A1225" t="inlineStr">
        <is>
          <t>0000949971</t>
        </is>
      </c>
      <c r="B1225" t="inlineStr">
        <is>
          <t>SANDHAR ENGINEERING PVTLTD (KA)UIII</t>
        </is>
      </c>
      <c r="C1225" t="inlineStr">
        <is>
          <t>NOS</t>
        </is>
      </c>
      <c r="D1225" t="n">
        <v>3075</v>
      </c>
      <c r="E1225" t="n">
        <v>2629.245</v>
      </c>
      <c r="F1225" t="n">
        <v>2624.513</v>
      </c>
      <c r="G1225" t="n">
        <v>3943203</v>
      </c>
      <c r="H1225" t="inlineStr">
        <is>
          <t>CUT-O-N-AUT-AW-FC-22.23X2.000X0.8550</t>
        </is>
      </c>
    </row>
    <row r="1226">
      <c r="A1226" t="inlineStr">
        <is>
          <t>0000949971</t>
        </is>
      </c>
      <c r="B1226" t="inlineStr">
        <is>
          <t>SANDHAR ENGINEERING PVTLTD (KA)UIII</t>
        </is>
      </c>
      <c r="C1226" t="inlineStr">
        <is>
          <t>NOS</t>
        </is>
      </c>
      <c r="D1226" t="n">
        <v>2375</v>
      </c>
      <c r="E1226" t="n">
        <v>2208.196</v>
      </c>
      <c r="F1226" t="n">
        <v>2204</v>
      </c>
      <c r="G1226" t="n">
        <v>1940479</v>
      </c>
      <c r="H1226" t="inlineStr">
        <is>
          <t>TUB-O-O-AUT-AW-PE-22.23X2.00X0.930-MAHS</t>
        </is>
      </c>
    </row>
    <row r="1227">
      <c r="A1227" t="inlineStr">
        <is>
          <t>0000952265</t>
        </is>
      </c>
      <c r="B1227" t="inlineStr">
        <is>
          <t>A R AUTOMOTIVE INDUSTRIES PRIVATE L</t>
        </is>
      </c>
      <c r="C1227" t="inlineStr">
        <is>
          <t>NOS</t>
        </is>
      </c>
      <c r="D1227" t="n">
        <v>636</v>
      </c>
      <c r="E1227" t="n">
        <v>372.69</v>
      </c>
      <c r="F1227" t="n">
        <v>244.224</v>
      </c>
      <c r="G1227" t="n">
        <v>3696704</v>
      </c>
      <c r="H1227" t="inlineStr">
        <is>
          <t>TUB-O-N-AUT-AW-PE-15.88X2.000X0.5850</t>
        </is>
      </c>
    </row>
    <row r="1228">
      <c r="A1228" t="inlineStr">
        <is>
          <t>0000952265</t>
        </is>
      </c>
      <c r="B1228" t="inlineStr">
        <is>
          <t>A R AUTOMOTIVE INDUSTRIES PRIVATE L</t>
        </is>
      </c>
      <c r="C1228" t="inlineStr">
        <is>
          <t>NOS</t>
        </is>
      </c>
      <c r="D1228" t="n">
        <v>1304</v>
      </c>
      <c r="E1228" t="n">
        <v>764.1319999999999</v>
      </c>
      <c r="F1228" t="n">
        <v>500.736</v>
      </c>
      <c r="G1228" t="n">
        <v>3696704</v>
      </c>
      <c r="H1228" t="inlineStr">
        <is>
          <t>TUB-O-N-AUT-AW-PE-15.88X2.000X0.5850</t>
        </is>
      </c>
    </row>
    <row r="1229">
      <c r="A1229" t="inlineStr">
        <is>
          <t>0000952265</t>
        </is>
      </c>
      <c r="B1229" t="inlineStr">
        <is>
          <t>A R AUTOMOTIVE INDUSTRIES PRIVATE L</t>
        </is>
      </c>
      <c r="C1229" t="inlineStr">
        <is>
          <t>NOS</t>
        </is>
      </c>
      <c r="D1229" t="n">
        <v>835</v>
      </c>
      <c r="E1229" t="n">
        <v>489.303</v>
      </c>
      <c r="F1229" t="n">
        <v>320.64</v>
      </c>
      <c r="G1229" t="n">
        <v>3696704</v>
      </c>
      <c r="H1229" t="inlineStr">
        <is>
          <t>TUB-O-N-AUT-AW-PE-15.88X2.000X0.5850</t>
        </is>
      </c>
    </row>
    <row r="1230">
      <c r="A1230" t="inlineStr">
        <is>
          <t>0000952265</t>
        </is>
      </c>
      <c r="B1230" t="inlineStr">
        <is>
          <t>A R AUTOMOTIVE INDUSTRIES PRIVATE L</t>
        </is>
      </c>
      <c r="C1230" t="inlineStr">
        <is>
          <t>NOS</t>
        </is>
      </c>
      <c r="D1230" t="n">
        <v>729</v>
      </c>
      <c r="E1230" t="n">
        <v>427.188</v>
      </c>
      <c r="F1230" t="n">
        <v>279.936</v>
      </c>
      <c r="G1230" t="n">
        <v>3696704</v>
      </c>
      <c r="H1230" t="inlineStr">
        <is>
          <t>TUB-O-N-AUT-AW-PE-15.88X2.000X0.5850</t>
        </is>
      </c>
    </row>
    <row r="1231">
      <c r="A1231" t="inlineStr">
        <is>
          <t>0000952265</t>
        </is>
      </c>
      <c r="B1231" t="inlineStr">
        <is>
          <t>A R AUTOMOTIVE INDUSTRIES PRIVATE L</t>
        </is>
      </c>
      <c r="C1231" t="inlineStr">
        <is>
          <t>NOS</t>
        </is>
      </c>
      <c r="D1231" t="n">
        <v>46</v>
      </c>
      <c r="E1231" t="n">
        <v>26.956</v>
      </c>
      <c r="F1231" t="n">
        <v>17.664</v>
      </c>
      <c r="G1231" t="n">
        <v>3696704</v>
      </c>
      <c r="H1231" t="inlineStr">
        <is>
          <t>TUB-O-N-AUT-AW-PE-15.88X2.000X0.5850</t>
        </is>
      </c>
    </row>
    <row r="1232">
      <c r="A1232" t="inlineStr">
        <is>
          <t>0000952265</t>
        </is>
      </c>
      <c r="B1232" t="inlineStr">
        <is>
          <t>A R AUTOMOTIVE INDUSTRIES PRIVATE L</t>
        </is>
      </c>
      <c r="C1232" t="inlineStr">
        <is>
          <t>NOS</t>
        </is>
      </c>
      <c r="D1232" t="n">
        <v>1162</v>
      </c>
      <c r="E1232" t="n">
        <v>535.5170000000001</v>
      </c>
      <c r="F1232" t="n">
        <v>350.924</v>
      </c>
      <c r="G1232" t="n">
        <v>3696705</v>
      </c>
      <c r="H1232" t="inlineStr">
        <is>
          <t>TUB-O-N-AUT-AW-PE-15.88X2.000X0.4600</t>
        </is>
      </c>
    </row>
    <row r="1233">
      <c r="A1233" t="inlineStr">
        <is>
          <t>0000952265</t>
        </is>
      </c>
      <c r="B1233" t="inlineStr">
        <is>
          <t>A R AUTOMOTIVE INDUSTRIES PRIVATE L</t>
        </is>
      </c>
      <c r="C1233" t="inlineStr">
        <is>
          <t>NOS</t>
        </is>
      </c>
      <c r="D1233" t="n">
        <v>1450</v>
      </c>
      <c r="E1233" t="n">
        <v>668.244</v>
      </c>
      <c r="F1233" t="n">
        <v>437.9</v>
      </c>
      <c r="G1233" t="n">
        <v>3696705</v>
      </c>
      <c r="H1233" t="inlineStr">
        <is>
          <t>TUB-O-N-AUT-AW-PE-15.88X2.000X0.4600</t>
        </is>
      </c>
    </row>
    <row r="1234">
      <c r="A1234" t="inlineStr">
        <is>
          <t>0000952265</t>
        </is>
      </c>
      <c r="B1234" t="inlineStr">
        <is>
          <t>A R AUTOMOTIVE INDUSTRIES PRIVATE L</t>
        </is>
      </c>
      <c r="C1234" t="inlineStr">
        <is>
          <t>NOS</t>
        </is>
      </c>
      <c r="D1234" t="n">
        <v>741</v>
      </c>
      <c r="E1234" t="n">
        <v>341.495</v>
      </c>
      <c r="F1234" t="n">
        <v>223.782</v>
      </c>
      <c r="G1234" t="n">
        <v>3696705</v>
      </c>
      <c r="H1234" t="inlineStr">
        <is>
          <t>TUB-O-N-AUT-AW-PE-15.88X2.000X0.4600</t>
        </is>
      </c>
    </row>
    <row r="1235">
      <c r="A1235" t="inlineStr">
        <is>
          <t>0000952265</t>
        </is>
      </c>
      <c r="B1235" t="inlineStr">
        <is>
          <t>A R AUTOMOTIVE INDUSTRIES PRIVATE L</t>
        </is>
      </c>
      <c r="C1235" t="inlineStr">
        <is>
          <t>NOS</t>
        </is>
      </c>
      <c r="D1235" t="n">
        <v>25</v>
      </c>
      <c r="E1235" t="n">
        <v>11.521</v>
      </c>
      <c r="F1235" t="n">
        <v>7.55</v>
      </c>
      <c r="G1235" t="n">
        <v>3696705</v>
      </c>
      <c r="H1235" t="inlineStr">
        <is>
          <t>TUB-O-N-AUT-AW-PE-15.88X2.000X0.4600</t>
        </is>
      </c>
    </row>
    <row r="1236">
      <c r="A1236" t="inlineStr">
        <is>
          <t>0000952265</t>
        </is>
      </c>
      <c r="B1236" t="inlineStr">
        <is>
          <t>A R AUTOMOTIVE INDUSTRIES PRIVATE L</t>
        </is>
      </c>
      <c r="C1236" t="inlineStr">
        <is>
          <t>NOS</t>
        </is>
      </c>
      <c r="D1236" t="n">
        <v>18</v>
      </c>
      <c r="E1236" t="n">
        <v>8.295</v>
      </c>
      <c r="F1236" t="n">
        <v>5.436</v>
      </c>
      <c r="G1236" t="n">
        <v>3696705</v>
      </c>
      <c r="H1236" t="inlineStr">
        <is>
          <t>TUB-O-N-AUT-AW-PE-15.88X2.000X0.4600</t>
        </is>
      </c>
    </row>
    <row r="1237">
      <c r="A1237" t="inlineStr">
        <is>
          <t>0000952265</t>
        </is>
      </c>
      <c r="B1237" t="inlineStr">
        <is>
          <t>A R AUTOMOTIVE INDUSTRIES PRIVATE L</t>
        </is>
      </c>
      <c r="C1237" t="inlineStr">
        <is>
          <t>NOS</t>
        </is>
      </c>
      <c r="D1237" t="n">
        <v>4</v>
      </c>
      <c r="E1237" t="n">
        <v>1.843</v>
      </c>
      <c r="F1237" t="n">
        <v>1.208</v>
      </c>
      <c r="G1237" t="n">
        <v>3696705</v>
      </c>
      <c r="H1237" t="inlineStr">
        <is>
          <t>TUB-O-N-AUT-AW-PE-15.88X2.000X0.4600</t>
        </is>
      </c>
    </row>
    <row r="1238">
      <c r="A1238" t="inlineStr">
        <is>
          <t>0000952265</t>
        </is>
      </c>
      <c r="B1238" t="inlineStr">
        <is>
          <t>A R AUTOMOTIVE INDUSTRIES PRIVATE L</t>
        </is>
      </c>
      <c r="C1238" t="inlineStr">
        <is>
          <t>NOS</t>
        </is>
      </c>
      <c r="D1238" t="n">
        <v>761</v>
      </c>
      <c r="E1238" t="n">
        <v>290.325</v>
      </c>
      <c r="F1238" t="n">
        <v>190.25</v>
      </c>
      <c r="G1238" t="n">
        <v>3696706</v>
      </c>
      <c r="H1238" t="inlineStr">
        <is>
          <t>TUB-O-N-AUT-AW-PE-15.88X2.000X0.3800</t>
        </is>
      </c>
    </row>
    <row r="1239">
      <c r="A1239" t="inlineStr">
        <is>
          <t>0000952265</t>
        </is>
      </c>
      <c r="B1239" t="inlineStr">
        <is>
          <t>A R AUTOMOTIVE INDUSTRIES PRIVATE L</t>
        </is>
      </c>
      <c r="C1239" t="inlineStr">
        <is>
          <t>NOS</t>
        </is>
      </c>
      <c r="D1239" t="n">
        <v>1144</v>
      </c>
      <c r="E1239" t="n">
        <v>436.441</v>
      </c>
      <c r="F1239" t="n">
        <v>286</v>
      </c>
      <c r="G1239" t="n">
        <v>3696706</v>
      </c>
      <c r="H1239" t="inlineStr">
        <is>
          <t>TUB-O-N-AUT-AW-PE-15.88X2.000X0.3800</t>
        </is>
      </c>
    </row>
    <row r="1240">
      <c r="A1240" t="inlineStr">
        <is>
          <t>0000952265</t>
        </is>
      </c>
      <c r="B1240" t="inlineStr">
        <is>
          <t>A R AUTOMOTIVE INDUSTRIES PRIVATE L</t>
        </is>
      </c>
      <c r="C1240" t="inlineStr">
        <is>
          <t>NOS</t>
        </is>
      </c>
      <c r="D1240" t="n">
        <v>1040</v>
      </c>
      <c r="E1240" t="n">
        <v>396.765</v>
      </c>
      <c r="F1240" t="n">
        <v>260</v>
      </c>
      <c r="G1240" t="n">
        <v>3696706</v>
      </c>
      <c r="H1240" t="inlineStr">
        <is>
          <t>TUB-O-N-AUT-AW-PE-15.88X2.000X0.3800</t>
        </is>
      </c>
    </row>
    <row r="1241">
      <c r="A1241" t="inlineStr">
        <is>
          <t>0000952265</t>
        </is>
      </c>
      <c r="B1241" t="inlineStr">
        <is>
          <t>A R AUTOMOTIVE INDUSTRIES PRIVATE L</t>
        </is>
      </c>
      <c r="C1241" t="inlineStr">
        <is>
          <t>NOS</t>
        </is>
      </c>
      <c r="D1241" t="n">
        <v>936</v>
      </c>
      <c r="E1241" t="n">
        <v>357.088</v>
      </c>
      <c r="F1241" t="n">
        <v>234</v>
      </c>
      <c r="G1241" t="n">
        <v>3696706</v>
      </c>
      <c r="H1241" t="inlineStr">
        <is>
          <t>TUB-O-N-AUT-AW-PE-15.88X2.000X0.3800</t>
        </is>
      </c>
    </row>
    <row r="1242">
      <c r="A1242" t="inlineStr">
        <is>
          <t>0000952265</t>
        </is>
      </c>
      <c r="B1242" t="inlineStr">
        <is>
          <t>A R AUTOMOTIVE INDUSTRIES PRIVATE L</t>
        </is>
      </c>
      <c r="C1242" t="inlineStr">
        <is>
          <t>NOS</t>
        </is>
      </c>
      <c r="D1242" t="n">
        <v>19</v>
      </c>
      <c r="E1242" t="n">
        <v>7.249</v>
      </c>
      <c r="F1242" t="n">
        <v>4.75</v>
      </c>
      <c r="G1242" t="n">
        <v>3696706</v>
      </c>
      <c r="H1242" t="inlineStr">
        <is>
          <t>TUB-O-N-AUT-AW-PE-15.88X2.000X0.3800</t>
        </is>
      </c>
    </row>
    <row r="1243">
      <c r="A1243" t="inlineStr">
        <is>
          <t>0000952265</t>
        </is>
      </c>
      <c r="B1243" t="inlineStr">
        <is>
          <t>A R AUTOMOTIVE INDUSTRIES PRIVATE L</t>
        </is>
      </c>
      <c r="C1243" t="inlineStr">
        <is>
          <t>NOS</t>
        </is>
      </c>
      <c r="D1243" t="n">
        <v>1</v>
      </c>
      <c r="E1243" t="n">
        <v>0.494</v>
      </c>
      <c r="F1243" t="n">
        <v>0.324</v>
      </c>
      <c r="G1243" t="n">
        <v>3436935</v>
      </c>
      <c r="H1243" t="inlineStr">
        <is>
          <t>TUB-O-N-AUT-AW-PE-15.88X2.000X0.4930</t>
        </is>
      </c>
    </row>
    <row r="1244">
      <c r="A1244" t="inlineStr">
        <is>
          <t>0000952265</t>
        </is>
      </c>
      <c r="B1244" t="inlineStr">
        <is>
          <t>A R AUTOMOTIVE INDUSTRIES PRIVATE L</t>
        </is>
      </c>
      <c r="C1244" t="inlineStr">
        <is>
          <t>NOS</t>
        </is>
      </c>
      <c r="D1244" t="n">
        <v>1354</v>
      </c>
      <c r="E1244" t="n">
        <v>669.458</v>
      </c>
      <c r="F1244" t="n">
        <v>438.696</v>
      </c>
      <c r="G1244" t="n">
        <v>3436935</v>
      </c>
      <c r="H1244" t="inlineStr">
        <is>
          <t>TUB-O-N-AUT-AW-PE-15.88X2.000X0.4930</t>
        </is>
      </c>
    </row>
    <row r="1245">
      <c r="A1245" t="inlineStr">
        <is>
          <t>0000952265</t>
        </is>
      </c>
      <c r="B1245" t="inlineStr">
        <is>
          <t>A R AUTOMOTIVE INDUSTRIES PRIVATE L</t>
        </is>
      </c>
      <c r="C1245" t="inlineStr">
        <is>
          <t>NOS</t>
        </is>
      </c>
      <c r="D1245" t="n">
        <v>1270</v>
      </c>
      <c r="E1245" t="n">
        <v>627.926</v>
      </c>
      <c r="F1245" t="n">
        <v>411.48</v>
      </c>
      <c r="G1245" t="n">
        <v>3436935</v>
      </c>
      <c r="H1245" t="inlineStr">
        <is>
          <t>TUB-O-N-AUT-AW-PE-15.88X2.000X0.4930</t>
        </is>
      </c>
    </row>
    <row r="1246">
      <c r="A1246" t="inlineStr">
        <is>
          <t>0000952265</t>
        </is>
      </c>
      <c r="B1246" t="inlineStr">
        <is>
          <t>A R AUTOMOTIVE INDUSTRIES PRIVATE L</t>
        </is>
      </c>
      <c r="C1246" t="inlineStr">
        <is>
          <t>NOS</t>
        </is>
      </c>
      <c r="D1246" t="n">
        <v>1234</v>
      </c>
      <c r="E1246" t="n">
        <v>610.127</v>
      </c>
      <c r="F1246" t="n">
        <v>399.816</v>
      </c>
      <c r="G1246" t="n">
        <v>3436935</v>
      </c>
      <c r="H1246" t="inlineStr">
        <is>
          <t>TUB-O-N-AUT-AW-PE-15.88X2.000X0.4930</t>
        </is>
      </c>
    </row>
    <row r="1247">
      <c r="A1247" t="inlineStr">
        <is>
          <t>0000952265</t>
        </is>
      </c>
      <c r="B1247" t="inlineStr">
        <is>
          <t>A R AUTOMOTIVE INDUSTRIES PRIVATE L</t>
        </is>
      </c>
      <c r="C1247" t="inlineStr">
        <is>
          <t>NOS</t>
        </is>
      </c>
      <c r="D1247" t="n">
        <v>40</v>
      </c>
      <c r="E1247" t="n">
        <v>19.777</v>
      </c>
      <c r="F1247" t="n">
        <v>12.96</v>
      </c>
      <c r="G1247" t="n">
        <v>3436935</v>
      </c>
      <c r="H1247" t="inlineStr">
        <is>
          <t>TUB-O-N-AUT-AW-PE-15.88X2.000X0.4930</t>
        </is>
      </c>
    </row>
    <row r="1248">
      <c r="A1248" t="inlineStr">
        <is>
          <t>0000952265</t>
        </is>
      </c>
      <c r="B1248" t="inlineStr">
        <is>
          <t>A R AUTOMOTIVE INDUSTRIES PRIVATE L</t>
        </is>
      </c>
      <c r="C1248" t="inlineStr">
        <is>
          <t>NOS</t>
        </is>
      </c>
      <c r="D1248" t="n">
        <v>1</v>
      </c>
      <c r="E1248" t="n">
        <v>0.494</v>
      </c>
      <c r="F1248" t="n">
        <v>0.324</v>
      </c>
      <c r="G1248" t="n">
        <v>3436935</v>
      </c>
      <c r="H1248" t="inlineStr">
        <is>
          <t>TUB-O-N-AUT-AW-PE-15.88X2.000X0.4930</t>
        </is>
      </c>
    </row>
    <row r="1249">
      <c r="A1249" t="inlineStr">
        <is>
          <t>0000952265</t>
        </is>
      </c>
      <c r="B1249" t="inlineStr">
        <is>
          <t>A R AUTOMOTIVE INDUSTRIES PRIVATE L</t>
        </is>
      </c>
      <c r="C1249" t="inlineStr">
        <is>
          <t>NOS</t>
        </is>
      </c>
      <c r="D1249" t="n">
        <v>5600</v>
      </c>
      <c r="E1249" t="n">
        <v>3923.323</v>
      </c>
      <c r="F1249" t="n">
        <v>1719.2</v>
      </c>
      <c r="G1249" t="n">
        <v>2319114</v>
      </c>
      <c r="H1249" t="inlineStr">
        <is>
          <t>TUB-O-N-AUT-AW-PE-12.70X1.600X0.7000</t>
        </is>
      </c>
    </row>
    <row r="1250">
      <c r="A1250" t="inlineStr">
        <is>
          <t>0000952265</t>
        </is>
      </c>
      <c r="B1250" t="inlineStr">
        <is>
          <t>A R AUTOMOTIVE INDUSTRIES PRIVATE L</t>
        </is>
      </c>
      <c r="C1250" t="inlineStr">
        <is>
          <t>NOS</t>
        </is>
      </c>
      <c r="D1250" t="n">
        <v>3944</v>
      </c>
      <c r="E1250" t="n">
        <v>2763.14</v>
      </c>
      <c r="F1250" t="n">
        <v>1210.808</v>
      </c>
      <c r="G1250" t="n">
        <v>2319114</v>
      </c>
      <c r="H1250" t="inlineStr">
        <is>
          <t>TUB-O-N-AUT-AW-PE-12.70X1.600X0.7000</t>
        </is>
      </c>
    </row>
    <row r="1251">
      <c r="A1251" t="inlineStr">
        <is>
          <t>0000952265</t>
        </is>
      </c>
      <c r="B1251" t="inlineStr">
        <is>
          <t>A R AUTOMOTIVE INDUSTRIES PRIVATE L</t>
        </is>
      </c>
      <c r="C1251" t="inlineStr">
        <is>
          <t>NOS</t>
        </is>
      </c>
      <c r="D1251" t="n">
        <v>2172</v>
      </c>
      <c r="E1251" t="n">
        <v>1521.689</v>
      </c>
      <c r="F1251" t="n">
        <v>666.804</v>
      </c>
      <c r="G1251" t="n">
        <v>2319114</v>
      </c>
      <c r="H1251" t="inlineStr">
        <is>
          <t>TUB-O-N-AUT-AW-PE-12.70X1.600X0.7000</t>
        </is>
      </c>
    </row>
    <row r="1252">
      <c r="A1252" t="inlineStr">
        <is>
          <t>0000952265</t>
        </is>
      </c>
      <c r="B1252" t="inlineStr">
        <is>
          <t>A R AUTOMOTIVE INDUSTRIES PRIVATE L</t>
        </is>
      </c>
      <c r="C1252" t="inlineStr">
        <is>
          <t>NOS</t>
        </is>
      </c>
      <c r="D1252" t="n">
        <v>1469</v>
      </c>
      <c r="E1252" t="n">
        <v>1029.172</v>
      </c>
      <c r="F1252" t="n">
        <v>450.983</v>
      </c>
      <c r="G1252" t="n">
        <v>2319114</v>
      </c>
      <c r="H1252" t="inlineStr">
        <is>
          <t>TUB-O-N-AUT-AW-PE-12.70X1.600X0.7000</t>
        </is>
      </c>
    </row>
    <row r="1253">
      <c r="A1253" t="inlineStr">
        <is>
          <t>0000952265</t>
        </is>
      </c>
      <c r="B1253" t="inlineStr">
        <is>
          <t>A R AUTOMOTIVE INDUSTRIES PRIVATE L</t>
        </is>
      </c>
      <c r="C1253" t="inlineStr">
        <is>
          <t>NOS</t>
        </is>
      </c>
      <c r="D1253" t="n">
        <v>951</v>
      </c>
      <c r="E1253" t="n">
        <v>666.264</v>
      </c>
      <c r="F1253" t="n">
        <v>291.957</v>
      </c>
      <c r="G1253" t="n">
        <v>2319114</v>
      </c>
      <c r="H1253" t="inlineStr">
        <is>
          <t>TUB-O-N-AUT-AW-PE-12.70X1.600X0.7000</t>
        </is>
      </c>
    </row>
    <row r="1254">
      <c r="A1254" t="inlineStr">
        <is>
          <t>0000952265</t>
        </is>
      </c>
      <c r="B1254" t="inlineStr">
        <is>
          <t>A R AUTOMOTIVE INDUSTRIES PRIVATE L</t>
        </is>
      </c>
      <c r="C1254" t="inlineStr">
        <is>
          <t>NOS</t>
        </is>
      </c>
      <c r="D1254" t="n">
        <v>899</v>
      </c>
      <c r="E1254" t="n">
        <v>629.833</v>
      </c>
      <c r="F1254" t="n">
        <v>275.993</v>
      </c>
      <c r="G1254" t="n">
        <v>2319114</v>
      </c>
      <c r="H1254" t="inlineStr">
        <is>
          <t>TUB-O-N-AUT-AW-PE-12.70X1.600X0.7000</t>
        </is>
      </c>
    </row>
    <row r="1255">
      <c r="A1255" t="inlineStr">
        <is>
          <t>0000952265</t>
        </is>
      </c>
      <c r="B1255" t="inlineStr">
        <is>
          <t>A R AUTOMOTIVE INDUSTRIES PRIVATE L</t>
        </is>
      </c>
      <c r="C1255" t="inlineStr">
        <is>
          <t>NOS</t>
        </is>
      </c>
      <c r="D1255" t="n">
        <v>59</v>
      </c>
      <c r="E1255" t="n">
        <v>41.335</v>
      </c>
      <c r="F1255" t="n">
        <v>18.113</v>
      </c>
      <c r="G1255" t="n">
        <v>2319114</v>
      </c>
      <c r="H1255" t="inlineStr">
        <is>
          <t>TUB-O-N-AUT-AW-PE-12.70X1.600X0.7000</t>
        </is>
      </c>
    </row>
    <row r="1256">
      <c r="A1256" t="inlineStr">
        <is>
          <t>0000952265</t>
        </is>
      </c>
      <c r="B1256" t="inlineStr">
        <is>
          <t>A R AUTOMOTIVE INDUSTRIES PRIVATE L</t>
        </is>
      </c>
      <c r="C1256" t="inlineStr">
        <is>
          <t>NOS</t>
        </is>
      </c>
      <c r="D1256" t="n">
        <v>6</v>
      </c>
      <c r="E1256" t="n">
        <v>4.204</v>
      </c>
      <c r="F1256" t="n">
        <v>1.842</v>
      </c>
      <c r="G1256" t="n">
        <v>2319114</v>
      </c>
      <c r="H1256" t="inlineStr">
        <is>
          <t>TUB-O-N-AUT-AW-PE-12.70X1.600X0.7000</t>
        </is>
      </c>
    </row>
    <row r="1257">
      <c r="A1257" t="inlineStr">
        <is>
          <t>0000952265</t>
        </is>
      </c>
      <c r="B1257" t="inlineStr">
        <is>
          <t>A R AUTOMOTIVE INDUSTRIES PRIVATE L</t>
        </is>
      </c>
      <c r="C1257" t="inlineStr">
        <is>
          <t>NOS</t>
        </is>
      </c>
      <c r="D1257" t="n">
        <v>782</v>
      </c>
      <c r="E1257" t="n">
        <v>391.418</v>
      </c>
      <c r="F1257" t="n">
        <v>256.496</v>
      </c>
      <c r="G1257" t="n">
        <v>3442448</v>
      </c>
      <c r="H1257" t="inlineStr">
        <is>
          <t>TUB-O-N-AUT-AW-PE-15.88X2.000X0.5000</t>
        </is>
      </c>
    </row>
    <row r="1258">
      <c r="A1258" t="inlineStr">
        <is>
          <t>0000952265</t>
        </is>
      </c>
      <c r="B1258" t="inlineStr">
        <is>
          <t>A R AUTOMOTIVE INDUSTRIES PRIVATE L</t>
        </is>
      </c>
      <c r="C1258" t="inlineStr">
        <is>
          <t>NOS</t>
        </is>
      </c>
      <c r="D1258" t="n">
        <v>2192</v>
      </c>
      <c r="E1258" t="n">
        <v>1097.171</v>
      </c>
      <c r="F1258" t="n">
        <v>718.976</v>
      </c>
      <c r="G1258" t="n">
        <v>3442448</v>
      </c>
      <c r="H1258" t="inlineStr">
        <is>
          <t>TUB-O-N-AUT-AW-PE-15.88X2.000X0.5000</t>
        </is>
      </c>
    </row>
    <row r="1259">
      <c r="A1259" t="inlineStr">
        <is>
          <t>0000952265</t>
        </is>
      </c>
      <c r="B1259" t="inlineStr">
        <is>
          <t>A R AUTOMOTIVE INDUSTRIES PRIVATE L</t>
        </is>
      </c>
      <c r="C1259" t="inlineStr">
        <is>
          <t>NOS</t>
        </is>
      </c>
      <c r="D1259" t="n">
        <v>1618</v>
      </c>
      <c r="E1259" t="n">
        <v>809.864</v>
      </c>
      <c r="F1259" t="n">
        <v>530.704</v>
      </c>
      <c r="G1259" t="n">
        <v>3442448</v>
      </c>
      <c r="H1259" t="inlineStr">
        <is>
          <t>TUB-O-N-AUT-AW-PE-15.88X2.000X0.5000</t>
        </is>
      </c>
    </row>
    <row r="1260">
      <c r="A1260" t="inlineStr">
        <is>
          <t>0000952265</t>
        </is>
      </c>
      <c r="B1260" t="inlineStr">
        <is>
          <t>A R AUTOMOTIVE INDUSTRIES PRIVATE L</t>
        </is>
      </c>
      <c r="C1260" t="inlineStr">
        <is>
          <t>NOS</t>
        </is>
      </c>
      <c r="D1260" t="n">
        <v>1384</v>
      </c>
      <c r="E1260" t="n">
        <v>692.739</v>
      </c>
      <c r="F1260" t="n">
        <v>453.952</v>
      </c>
      <c r="G1260" t="n">
        <v>3442448</v>
      </c>
      <c r="H1260" t="inlineStr">
        <is>
          <t>TUB-O-N-AUT-AW-PE-15.88X2.000X0.5000</t>
        </is>
      </c>
    </row>
    <row r="1261">
      <c r="A1261" t="inlineStr">
        <is>
          <t>0000952265</t>
        </is>
      </c>
      <c r="B1261" t="inlineStr">
        <is>
          <t>A R AUTOMOTIVE INDUSTRIES PRIVATE L</t>
        </is>
      </c>
      <c r="C1261" t="inlineStr">
        <is>
          <t>NOS</t>
        </is>
      </c>
      <c r="D1261" t="n">
        <v>1201</v>
      </c>
      <c r="E1261" t="n">
        <v>601.141</v>
      </c>
      <c r="F1261" t="n">
        <v>393.928</v>
      </c>
      <c r="G1261" t="n">
        <v>3442448</v>
      </c>
      <c r="H1261" t="inlineStr">
        <is>
          <t>TUB-O-N-AUT-AW-PE-15.88X2.000X0.5000</t>
        </is>
      </c>
    </row>
    <row r="1262">
      <c r="A1262" t="inlineStr">
        <is>
          <t>0000952265</t>
        </is>
      </c>
      <c r="B1262" t="inlineStr">
        <is>
          <t>A R AUTOMOTIVE INDUSTRIES PRIVATE L</t>
        </is>
      </c>
      <c r="C1262" t="inlineStr">
        <is>
          <t>NOS</t>
        </is>
      </c>
      <c r="D1262" t="n">
        <v>1189</v>
      </c>
      <c r="E1262" t="n">
        <v>595.135</v>
      </c>
      <c r="F1262" t="n">
        <v>389.992</v>
      </c>
      <c r="G1262" t="n">
        <v>3442448</v>
      </c>
      <c r="H1262" t="inlineStr">
        <is>
          <t>TUB-O-N-AUT-AW-PE-15.88X2.000X0.5000</t>
        </is>
      </c>
    </row>
    <row r="1263">
      <c r="A1263" t="inlineStr">
        <is>
          <t>0000952265</t>
        </is>
      </c>
      <c r="B1263" t="inlineStr">
        <is>
          <t>A R AUTOMOTIVE INDUSTRIES PRIVATE L</t>
        </is>
      </c>
      <c r="C1263" t="inlineStr">
        <is>
          <t>NOS</t>
        </is>
      </c>
      <c r="D1263" t="n">
        <v>618</v>
      </c>
      <c r="E1263" t="n">
        <v>309.33</v>
      </c>
      <c r="F1263" t="n">
        <v>202.704</v>
      </c>
      <c r="G1263" t="n">
        <v>3442448</v>
      </c>
      <c r="H1263" t="inlineStr">
        <is>
          <t>TUB-O-N-AUT-AW-PE-15.88X2.000X0.5000</t>
        </is>
      </c>
    </row>
    <row r="1264">
      <c r="A1264" t="inlineStr">
        <is>
          <t>0000952265</t>
        </is>
      </c>
      <c r="B1264" t="inlineStr">
        <is>
          <t>A R AUTOMOTIVE INDUSTRIES PRIVATE L</t>
        </is>
      </c>
      <c r="C1264" t="inlineStr">
        <is>
          <t>NOS</t>
        </is>
      </c>
      <c r="D1264" t="n">
        <v>16</v>
      </c>
      <c r="E1264" t="n">
        <v>8.009</v>
      </c>
      <c r="F1264" t="n">
        <v>5.248</v>
      </c>
      <c r="G1264" t="n">
        <v>3442448</v>
      </c>
      <c r="H1264" t="inlineStr">
        <is>
          <t>TUB-O-N-AUT-AW-PE-15.88X2.000X0.5000</t>
        </is>
      </c>
    </row>
    <row r="1265">
      <c r="A1265" t="inlineStr">
        <is>
          <t>0000940085</t>
        </is>
      </c>
      <c r="B1265" t="inlineStr">
        <is>
          <t>TECHNICO INDUSTRIES LIMITED</t>
        </is>
      </c>
      <c r="C1265" t="inlineStr">
        <is>
          <t>NOS</t>
        </is>
      </c>
      <c r="D1265" t="n">
        <v>122</v>
      </c>
      <c r="E1265" t="n">
        <v>96.65900000000001</v>
      </c>
      <c r="F1265" t="n">
        <v>141.886</v>
      </c>
      <c r="G1265" t="n">
        <v>3447256</v>
      </c>
      <c r="H1265" t="inlineStr">
        <is>
          <t>TUB-O-N-AUT-AW-FC-31.75X2.000X0.7920</t>
        </is>
      </c>
    </row>
    <row r="1266">
      <c r="A1266" t="inlineStr">
        <is>
          <t>0000940085</t>
        </is>
      </c>
      <c r="B1266" t="inlineStr">
        <is>
          <t>TECHNICO INDUSTRIES LIMITED</t>
        </is>
      </c>
      <c r="C1266" t="inlineStr">
        <is>
          <t>NOS</t>
        </is>
      </c>
      <c r="D1266" t="n">
        <v>18</v>
      </c>
      <c r="E1266" t="n">
        <v>14.261</v>
      </c>
      <c r="F1266" t="n">
        <v>20.934</v>
      </c>
      <c r="G1266" t="n">
        <v>3447256</v>
      </c>
      <c r="H1266" t="inlineStr">
        <is>
          <t>TUB-O-N-AUT-AW-FC-31.75X2.000X0.7920</t>
        </is>
      </c>
    </row>
    <row r="1267">
      <c r="A1267" t="inlineStr">
        <is>
          <t>0000940085</t>
        </is>
      </c>
      <c r="B1267" t="inlineStr">
        <is>
          <t>TECHNICO INDUSTRIES LIMITED</t>
        </is>
      </c>
      <c r="C1267" t="inlineStr">
        <is>
          <t>NOS</t>
        </is>
      </c>
      <c r="D1267" t="n">
        <v>5</v>
      </c>
      <c r="E1267" t="n">
        <v>3.961</v>
      </c>
      <c r="F1267" t="n">
        <v>5.815</v>
      </c>
      <c r="G1267" t="n">
        <v>3447256</v>
      </c>
      <c r="H1267" t="inlineStr">
        <is>
          <t>TUB-O-N-AUT-AW-FC-31.75X2.000X0.7920</t>
        </is>
      </c>
    </row>
    <row r="1268">
      <c r="A1268" t="inlineStr">
        <is>
          <t>0000940085</t>
        </is>
      </c>
      <c r="B1268" t="inlineStr">
        <is>
          <t>TECHNICO INDUSTRIES LIMITED</t>
        </is>
      </c>
      <c r="C1268" t="inlineStr">
        <is>
          <t>NOS</t>
        </is>
      </c>
      <c r="D1268" t="n">
        <v>5</v>
      </c>
      <c r="E1268" t="n">
        <v>3.961</v>
      </c>
      <c r="F1268" t="n">
        <v>5.815</v>
      </c>
      <c r="G1268" t="n">
        <v>3447256</v>
      </c>
      <c r="H1268" t="inlineStr">
        <is>
          <t>TUB-O-N-AUT-AW-FC-31.75X2.000X0.7920</t>
        </is>
      </c>
    </row>
    <row r="1269">
      <c r="A1269" t="inlineStr">
        <is>
          <t>0000940085</t>
        </is>
      </c>
      <c r="B1269" t="inlineStr">
        <is>
          <t>TECHNICO INDUSTRIES LIMITED</t>
        </is>
      </c>
      <c r="C1269" t="inlineStr">
        <is>
          <t>NOS</t>
        </is>
      </c>
      <c r="D1269" t="n">
        <v>3000</v>
      </c>
      <c r="E1269" t="n">
        <v>3886.332</v>
      </c>
      <c r="F1269" t="n">
        <v>1689</v>
      </c>
      <c r="G1269" t="n">
        <v>3241514</v>
      </c>
      <c r="H1269" t="inlineStr">
        <is>
          <t>TUB-O-N-AUT-AW-PE-15.88X1.200X1.2940</t>
        </is>
      </c>
    </row>
    <row r="1270">
      <c r="A1270" t="inlineStr">
        <is>
          <t>0000940085</t>
        </is>
      </c>
      <c r="B1270" t="inlineStr">
        <is>
          <t>TECHNICO INDUSTRIES LIMITED</t>
        </is>
      </c>
      <c r="C1270" t="inlineStr">
        <is>
          <t>NOS</t>
        </is>
      </c>
      <c r="D1270" t="n">
        <v>2625</v>
      </c>
      <c r="E1270" t="n">
        <v>3291.82</v>
      </c>
      <c r="F1270" t="n">
        <v>1430.625</v>
      </c>
      <c r="G1270" t="n">
        <v>3241515</v>
      </c>
      <c r="H1270" t="inlineStr">
        <is>
          <t>TUB-O-N-AUT-AW-PE-15.88X1.200X1.2540</t>
        </is>
      </c>
    </row>
    <row r="1271">
      <c r="A1271" t="inlineStr">
        <is>
          <t>0000940085</t>
        </is>
      </c>
      <c r="B1271" t="inlineStr">
        <is>
          <t>TECHNICO INDUSTRIES LIMITED</t>
        </is>
      </c>
      <c r="C1271" t="inlineStr">
        <is>
          <t>NOS</t>
        </is>
      </c>
      <c r="D1271" t="n">
        <v>25</v>
      </c>
      <c r="E1271" t="n">
        <v>31.351</v>
      </c>
      <c r="F1271" t="n">
        <v>13.625</v>
      </c>
      <c r="G1271" t="n">
        <v>3241515</v>
      </c>
      <c r="H1271" t="inlineStr">
        <is>
          <t>TUB-O-N-AUT-AW-PE-15.88X1.200X1.2540</t>
        </is>
      </c>
    </row>
    <row r="1272">
      <c r="A1272" t="inlineStr">
        <is>
          <t>0000940085</t>
        </is>
      </c>
      <c r="B1272" t="inlineStr">
        <is>
          <t>TECHNICO INDUSTRIES LIMITED</t>
        </is>
      </c>
      <c r="C1272" t="inlineStr">
        <is>
          <t>NOS</t>
        </is>
      </c>
      <c r="D1272" t="n">
        <v>1497</v>
      </c>
      <c r="E1272" t="n">
        <v>1145.892</v>
      </c>
      <c r="F1272" t="n">
        <v>420.657</v>
      </c>
      <c r="G1272" t="n">
        <v>3241518</v>
      </c>
      <c r="H1272" t="inlineStr">
        <is>
          <t>TUB-O-N-AUT-AW-PE-15.88X1.000X0.7650</t>
        </is>
      </c>
    </row>
    <row r="1273">
      <c r="A1273" t="inlineStr">
        <is>
          <t>0000940085</t>
        </is>
      </c>
      <c r="B1273" t="inlineStr">
        <is>
          <t>TECHNICO INDUSTRIES LIMITED</t>
        </is>
      </c>
      <c r="C1273" t="inlineStr">
        <is>
          <t>NOS</t>
        </is>
      </c>
      <c r="D1273" t="n">
        <v>1000</v>
      </c>
      <c r="E1273" t="n">
        <v>765.4589999999999</v>
      </c>
      <c r="F1273" t="n">
        <v>281</v>
      </c>
      <c r="G1273" t="n">
        <v>3241518</v>
      </c>
      <c r="H1273" t="inlineStr">
        <is>
          <t>TUB-O-N-AUT-AW-PE-15.88X1.000X0.7650</t>
        </is>
      </c>
    </row>
    <row r="1274">
      <c r="A1274" t="inlineStr">
        <is>
          <t>0000940085</t>
        </is>
      </c>
      <c r="B1274" t="inlineStr">
        <is>
          <t>TECHNICO INDUSTRIES LIMITED</t>
        </is>
      </c>
      <c r="C1274" t="inlineStr">
        <is>
          <t>NOS</t>
        </is>
      </c>
      <c r="D1274" t="n">
        <v>701</v>
      </c>
      <c r="E1274" t="n">
        <v>536.587</v>
      </c>
      <c r="F1274" t="n">
        <v>196.981</v>
      </c>
      <c r="G1274" t="n">
        <v>3241518</v>
      </c>
      <c r="H1274" t="inlineStr">
        <is>
          <t>TUB-O-N-AUT-AW-PE-15.88X1.000X0.7650</t>
        </is>
      </c>
    </row>
    <row r="1275">
      <c r="A1275" t="inlineStr">
        <is>
          <t>0000940085</t>
        </is>
      </c>
      <c r="B1275" t="inlineStr">
        <is>
          <t>TECHNICO INDUSTRIES LIMITED</t>
        </is>
      </c>
      <c r="C1275" t="inlineStr">
        <is>
          <t>NOS</t>
        </is>
      </c>
      <c r="D1275" t="n">
        <v>2</v>
      </c>
      <c r="E1275" t="n">
        <v>1.531</v>
      </c>
      <c r="F1275" t="n">
        <v>0.5620000000000001</v>
      </c>
      <c r="G1275" t="n">
        <v>3241518</v>
      </c>
      <c r="H1275" t="inlineStr">
        <is>
          <t>TUB-O-N-AUT-AW-PE-15.88X1.000X0.7650</t>
        </is>
      </c>
    </row>
    <row r="1276">
      <c r="A1276" t="inlineStr">
        <is>
          <t>0000940085</t>
        </is>
      </c>
      <c r="B1276" t="inlineStr">
        <is>
          <t>TECHNICO INDUSTRIES LIMITED</t>
        </is>
      </c>
      <c r="C1276" t="inlineStr">
        <is>
          <t>NOS</t>
        </is>
      </c>
      <c r="D1276" t="n">
        <v>2500</v>
      </c>
      <c r="E1276" t="n">
        <v>1491.419</v>
      </c>
      <c r="F1276" t="n">
        <v>547.5</v>
      </c>
      <c r="G1276" t="n">
        <v>3398266</v>
      </c>
      <c r="H1276" t="inlineStr">
        <is>
          <t>TUB-O-N-AUT-AW-PE-15.88X1.000X0.5940</t>
        </is>
      </c>
    </row>
    <row r="1277">
      <c r="A1277" t="inlineStr">
        <is>
          <t>0000940085</t>
        </is>
      </c>
      <c r="B1277" t="inlineStr">
        <is>
          <t>TECHNICO INDUSTRIES LIMITED</t>
        </is>
      </c>
      <c r="C1277" t="inlineStr">
        <is>
          <t>NOS</t>
        </is>
      </c>
      <c r="D1277" t="n">
        <v>1485</v>
      </c>
      <c r="E1277" t="n">
        <v>1437.452</v>
      </c>
      <c r="F1277" t="n">
        <v>2110.037</v>
      </c>
      <c r="G1277" t="n">
        <v>3776929</v>
      </c>
      <c r="H1277" t="inlineStr">
        <is>
          <t>CUT-O-N-AUT-AW-FC-31.75X2.000X0.9680</t>
        </is>
      </c>
    </row>
    <row r="1278">
      <c r="A1278" t="inlineStr">
        <is>
          <t>0000940085</t>
        </is>
      </c>
      <c r="B1278" t="inlineStr">
        <is>
          <t>TECHNICO INDUSTRIES LIMITED</t>
        </is>
      </c>
      <c r="C1278" t="inlineStr">
        <is>
          <t>NOS</t>
        </is>
      </c>
      <c r="D1278" t="n">
        <v>1105</v>
      </c>
      <c r="E1278" t="n">
        <v>1069.62</v>
      </c>
      <c r="F1278" t="n">
        <v>1570.095</v>
      </c>
      <c r="G1278" t="n">
        <v>3776929</v>
      </c>
      <c r="H1278" t="inlineStr">
        <is>
          <t>CUT-O-N-AUT-AW-FC-31.75X2.000X0.9680</t>
        </is>
      </c>
    </row>
    <row r="1279">
      <c r="A1279" t="inlineStr">
        <is>
          <t>0000948721</t>
        </is>
      </c>
      <c r="B1279" t="inlineStr">
        <is>
          <t>ELKAYEM AUTO ANCILLARIES PRIVATE LI</t>
        </is>
      </c>
      <c r="C1279" t="inlineStr">
        <is>
          <t>NOS</t>
        </is>
      </c>
      <c r="D1279" t="n">
        <v>2130</v>
      </c>
      <c r="E1279" t="n">
        <v>1142.383</v>
      </c>
      <c r="F1279" t="n">
        <v>1789.2</v>
      </c>
      <c r="G1279" t="n">
        <v>1940822</v>
      </c>
      <c r="H1279" t="inlineStr">
        <is>
          <t>TUB-R-AW-RHS-40.00X25.00X1.600X0.5360</t>
        </is>
      </c>
    </row>
    <row r="1280">
      <c r="A1280" t="inlineStr">
        <is>
          <t>0000948721</t>
        </is>
      </c>
      <c r="B1280" t="inlineStr">
        <is>
          <t>ELKAYEM AUTO ANCILLARIES PRIVATE LI</t>
        </is>
      </c>
      <c r="C1280" t="inlineStr">
        <is>
          <t>NOS</t>
        </is>
      </c>
      <c r="D1280" t="n">
        <v>1698</v>
      </c>
      <c r="E1280" t="n">
        <v>910.688</v>
      </c>
      <c r="F1280" t="n">
        <v>1426.32</v>
      </c>
      <c r="G1280" t="n">
        <v>1940822</v>
      </c>
      <c r="H1280" t="inlineStr">
        <is>
          <t>TUB-R-AW-RHS-40.00X25.00X1.600X0.5360</t>
        </is>
      </c>
    </row>
    <row r="1281">
      <c r="A1281" t="inlineStr">
        <is>
          <t>0000948721</t>
        </is>
      </c>
      <c r="B1281" t="inlineStr">
        <is>
          <t>ELKAYEM AUTO ANCILLARIES PRIVATE LI</t>
        </is>
      </c>
      <c r="C1281" t="inlineStr">
        <is>
          <t>NOS</t>
        </is>
      </c>
      <c r="D1281" t="n">
        <v>1385</v>
      </c>
      <c r="E1281" t="n">
        <v>742.817</v>
      </c>
      <c r="F1281" t="n">
        <v>1163.4</v>
      </c>
      <c r="G1281" t="n">
        <v>1940822</v>
      </c>
      <c r="H1281" t="inlineStr">
        <is>
          <t>TUB-R-AW-RHS-40.00X25.00X1.600X0.5360</t>
        </is>
      </c>
    </row>
    <row r="1282">
      <c r="A1282" t="inlineStr">
        <is>
          <t>0000948721</t>
        </is>
      </c>
      <c r="B1282" t="inlineStr">
        <is>
          <t>ELKAYEM AUTO ANCILLARIES PRIVATE LI</t>
        </is>
      </c>
      <c r="C1282" t="inlineStr">
        <is>
          <t>NOS</t>
        </is>
      </c>
      <c r="D1282" t="n">
        <v>204</v>
      </c>
      <c r="E1282" t="n">
        <v>109.411</v>
      </c>
      <c r="F1282" t="n">
        <v>171.36</v>
      </c>
      <c r="G1282" t="n">
        <v>1940822</v>
      </c>
      <c r="H1282" t="inlineStr">
        <is>
          <t>TUB-R-AW-RHS-40.00X25.00X1.600X0.5360</t>
        </is>
      </c>
    </row>
    <row r="1283">
      <c r="A1283" t="inlineStr">
        <is>
          <t>0000948721</t>
        </is>
      </c>
      <c r="B1283" t="inlineStr">
        <is>
          <t>ELKAYEM AUTO ANCILLARIES PRIVATE LI</t>
        </is>
      </c>
      <c r="C1283" t="inlineStr">
        <is>
          <t>NOS</t>
        </is>
      </c>
      <c r="D1283" t="n">
        <v>3</v>
      </c>
      <c r="E1283" t="n">
        <v>1.609</v>
      </c>
      <c r="F1283" t="n">
        <v>2.52</v>
      </c>
      <c r="G1283" t="n">
        <v>1940822</v>
      </c>
      <c r="H1283" t="inlineStr">
        <is>
          <t>TUB-R-AW-RHS-40.00X25.00X1.600X0.5360</t>
        </is>
      </c>
    </row>
    <row r="1284">
      <c r="A1284" t="inlineStr">
        <is>
          <t>0000948721</t>
        </is>
      </c>
      <c r="B1284" t="inlineStr">
        <is>
          <t>ELKAYEM AUTO ANCILLARIES PRIVATE LI</t>
        </is>
      </c>
      <c r="C1284" t="inlineStr">
        <is>
          <t>NOS</t>
        </is>
      </c>
      <c r="D1284" t="n">
        <v>800</v>
      </c>
      <c r="E1284" t="n">
        <v>447.963</v>
      </c>
      <c r="F1284" t="n">
        <v>701.6</v>
      </c>
      <c r="G1284" t="n">
        <v>1940823</v>
      </c>
      <c r="H1284" t="inlineStr">
        <is>
          <t>TUB-R-AW-RHS-40.00X25.00X1.600X0.5600</t>
        </is>
      </c>
    </row>
    <row r="1285">
      <c r="A1285" t="inlineStr">
        <is>
          <t>0000948721</t>
        </is>
      </c>
      <c r="B1285" t="inlineStr">
        <is>
          <t>ELKAYEM AUTO ANCILLARIES PRIVATE LI</t>
        </is>
      </c>
      <c r="C1285" t="inlineStr">
        <is>
          <t>NOS</t>
        </is>
      </c>
      <c r="D1285" t="n">
        <v>633</v>
      </c>
      <c r="E1285" t="n">
        <v>354.451</v>
      </c>
      <c r="F1285" t="n">
        <v>555.141</v>
      </c>
      <c r="G1285" t="n">
        <v>1940823</v>
      </c>
      <c r="H1285" t="inlineStr">
        <is>
          <t>TUB-R-AW-RHS-40.00X25.00X1.600X0.5600</t>
        </is>
      </c>
    </row>
    <row r="1286">
      <c r="A1286" t="inlineStr">
        <is>
          <t>0000948721</t>
        </is>
      </c>
      <c r="B1286" t="inlineStr">
        <is>
          <t>ELKAYEM AUTO ANCILLARIES PRIVATE LI</t>
        </is>
      </c>
      <c r="C1286" t="inlineStr">
        <is>
          <t>NOS</t>
        </is>
      </c>
      <c r="D1286" t="n">
        <v>7</v>
      </c>
      <c r="E1286" t="n">
        <v>3.92</v>
      </c>
      <c r="F1286" t="n">
        <v>6.139</v>
      </c>
      <c r="G1286" t="n">
        <v>1940823</v>
      </c>
      <c r="H1286" t="inlineStr">
        <is>
          <t>TUB-R-AW-RHS-40.00X25.00X1.600X0.5600</t>
        </is>
      </c>
    </row>
    <row r="1287">
      <c r="A1287" t="inlineStr">
        <is>
          <t>0000948721</t>
        </is>
      </c>
      <c r="B1287" t="inlineStr">
        <is>
          <t>ELKAYEM AUTO ANCILLARIES PRIVATE LI</t>
        </is>
      </c>
      <c r="C1287" t="inlineStr">
        <is>
          <t>NOS</t>
        </is>
      </c>
      <c r="D1287" t="n">
        <v>1319</v>
      </c>
      <c r="E1287" t="n">
        <v>796.657</v>
      </c>
      <c r="F1287" t="n">
        <v>1547.187</v>
      </c>
      <c r="G1287" t="n">
        <v>2427158</v>
      </c>
      <c r="H1287" t="inlineStr">
        <is>
          <t>TUB-R-AW-AUT-50.00X30.00X1.600X0.6040</t>
        </is>
      </c>
    </row>
    <row r="1288">
      <c r="A1288" t="inlineStr">
        <is>
          <t>0000948721</t>
        </is>
      </c>
      <c r="B1288" t="inlineStr">
        <is>
          <t>ELKAYEM AUTO ANCILLARIES PRIVATE LI</t>
        </is>
      </c>
      <c r="C1288" t="inlineStr">
        <is>
          <t>NOS</t>
        </is>
      </c>
      <c r="D1288" t="n">
        <v>1314</v>
      </c>
      <c r="E1288" t="n">
        <v>793.6369999999999</v>
      </c>
      <c r="F1288" t="n">
        <v>1541.322</v>
      </c>
      <c r="G1288" t="n">
        <v>2427158</v>
      </c>
      <c r="H1288" t="inlineStr">
        <is>
          <t>TUB-R-AW-AUT-50.00X30.00X1.600X0.6040</t>
        </is>
      </c>
    </row>
    <row r="1289">
      <c r="A1289" t="inlineStr">
        <is>
          <t>0000948721</t>
        </is>
      </c>
      <c r="B1289" t="inlineStr">
        <is>
          <t>ELKAYEM AUTO ANCILLARIES PRIVATE LI</t>
        </is>
      </c>
      <c r="C1289" t="inlineStr">
        <is>
          <t>NOS</t>
        </is>
      </c>
      <c r="D1289" t="n">
        <v>1000</v>
      </c>
      <c r="E1289" t="n">
        <v>603.985</v>
      </c>
      <c r="F1289" t="n">
        <v>1173</v>
      </c>
      <c r="G1289" t="n">
        <v>2427158</v>
      </c>
      <c r="H1289" t="inlineStr">
        <is>
          <t>TUB-R-AW-AUT-50.00X30.00X1.600X0.6040</t>
        </is>
      </c>
    </row>
    <row r="1290">
      <c r="A1290" t="inlineStr">
        <is>
          <t>0000948721</t>
        </is>
      </c>
      <c r="B1290" t="inlineStr">
        <is>
          <t>ELKAYEM AUTO ANCILLARIES PRIVATE LI</t>
        </is>
      </c>
      <c r="C1290" t="inlineStr">
        <is>
          <t>NOS</t>
        </is>
      </c>
      <c r="D1290" t="n">
        <v>305</v>
      </c>
      <c r="E1290" t="n">
        <v>184.216</v>
      </c>
      <c r="F1290" t="n">
        <v>357.765</v>
      </c>
      <c r="G1290" t="n">
        <v>2427158</v>
      </c>
      <c r="H1290" t="inlineStr">
        <is>
          <t>TUB-R-AW-AUT-50.00X30.00X1.600X0.6040</t>
        </is>
      </c>
    </row>
    <row r="1291">
      <c r="A1291" t="inlineStr">
        <is>
          <t>0000948721</t>
        </is>
      </c>
      <c r="B1291" t="inlineStr">
        <is>
          <t>ELKAYEM AUTO ANCILLARIES PRIVATE LI</t>
        </is>
      </c>
      <c r="C1291" t="inlineStr">
        <is>
          <t>NOS</t>
        </is>
      </c>
      <c r="D1291" t="n">
        <v>134</v>
      </c>
      <c r="E1291" t="n">
        <v>80.934</v>
      </c>
      <c r="F1291" t="n">
        <v>157.182</v>
      </c>
      <c r="G1291" t="n">
        <v>2427158</v>
      </c>
      <c r="H1291" t="inlineStr">
        <is>
          <t>TUB-R-AW-AUT-50.00X30.00X1.600X0.6040</t>
        </is>
      </c>
    </row>
    <row r="1292">
      <c r="A1292" t="inlineStr">
        <is>
          <t>0000948721</t>
        </is>
      </c>
      <c r="B1292" t="inlineStr">
        <is>
          <t>ELKAYEM AUTO ANCILLARIES PRIVATE LI</t>
        </is>
      </c>
      <c r="C1292" t="inlineStr">
        <is>
          <t>NOS</t>
        </is>
      </c>
      <c r="D1292" t="n">
        <v>8</v>
      </c>
      <c r="E1292" t="n">
        <v>4.832</v>
      </c>
      <c r="F1292" t="n">
        <v>9.384</v>
      </c>
      <c r="G1292" t="n">
        <v>2427158</v>
      </c>
      <c r="H1292" t="inlineStr">
        <is>
          <t>TUB-R-AW-AUT-50.00X30.00X1.600X0.6040</t>
        </is>
      </c>
    </row>
    <row r="1293">
      <c r="A1293" t="inlineStr">
        <is>
          <t>0000948721</t>
        </is>
      </c>
      <c r="B1293" t="inlineStr">
        <is>
          <t>ELKAYEM AUTO ANCILLARIES PRIVATE LI</t>
        </is>
      </c>
      <c r="C1293" t="inlineStr">
        <is>
          <t>NOS</t>
        </is>
      </c>
      <c r="D1293" t="n">
        <v>2005</v>
      </c>
      <c r="E1293" t="n">
        <v>842.1</v>
      </c>
      <c r="F1293" t="n">
        <v>896.837</v>
      </c>
      <c r="G1293" t="n">
        <v>4185618</v>
      </c>
      <c r="H1293" t="inlineStr">
        <is>
          <t>TUB-O-N-AUT-AW-FC-28.58X1.600X0.4200</t>
        </is>
      </c>
    </row>
    <row r="1294">
      <c r="A1294" t="inlineStr">
        <is>
          <t>0000948721</t>
        </is>
      </c>
      <c r="B1294" t="inlineStr">
        <is>
          <t>ELKAYEM AUTO ANCILLARIES PRIVATE LI</t>
        </is>
      </c>
      <c r="C1294" t="inlineStr">
        <is>
          <t>NOS</t>
        </is>
      </c>
      <c r="D1294" t="n">
        <v>1595</v>
      </c>
      <c r="E1294" t="n">
        <v>669.9</v>
      </c>
      <c r="F1294" t="n">
        <v>713.443</v>
      </c>
      <c r="G1294" t="n">
        <v>4185618</v>
      </c>
      <c r="H1294" t="inlineStr">
        <is>
          <t>TUB-O-N-AUT-AW-FC-28.58X1.600X0.4200</t>
        </is>
      </c>
    </row>
    <row r="1295">
      <c r="A1295" t="inlineStr">
        <is>
          <t>0000944141</t>
        </is>
      </c>
      <c r="B1295" t="inlineStr">
        <is>
          <t>SRIKAM HITECH ENGINEERING PRIVATE L</t>
        </is>
      </c>
      <c r="C1295" t="inlineStr">
        <is>
          <t>M</t>
        </is>
      </c>
      <c r="D1295" t="n">
        <v>513</v>
      </c>
      <c r="E1295" t="n">
        <v>3078</v>
      </c>
      <c r="F1295" t="n">
        <v>2107.814</v>
      </c>
      <c r="G1295" t="n">
        <v>1940120</v>
      </c>
      <c r="H1295" t="inlineStr">
        <is>
          <t>TUB-O-O-AUT-AW-PE-15.88X2.000X6.0000</t>
        </is>
      </c>
    </row>
    <row r="1296">
      <c r="A1296" t="inlineStr">
        <is>
          <t>0000944141</t>
        </is>
      </c>
      <c r="B1296" t="inlineStr">
        <is>
          <t>SRIKAM HITECH ENGINEERING PRIVATE L</t>
        </is>
      </c>
      <c r="C1296" t="inlineStr">
        <is>
          <t>M</t>
        </is>
      </c>
      <c r="D1296" t="n">
        <v>195</v>
      </c>
      <c r="E1296" t="n">
        <v>1170</v>
      </c>
      <c r="F1296" t="n">
        <v>801.216</v>
      </c>
      <c r="G1296" t="n">
        <v>1940120</v>
      </c>
      <c r="H1296" t="inlineStr">
        <is>
          <t>TUB-O-O-AUT-AW-PE-15.88X2.000X6.0000</t>
        </is>
      </c>
    </row>
    <row r="1297">
      <c r="A1297" t="inlineStr">
        <is>
          <t>0000944141</t>
        </is>
      </c>
      <c r="B1297" t="inlineStr">
        <is>
          <t>SRIKAM HITECH ENGINEERING PRIVATE L</t>
        </is>
      </c>
      <c r="C1297" t="inlineStr">
        <is>
          <t>M</t>
        </is>
      </c>
      <c r="D1297" t="n">
        <v>151</v>
      </c>
      <c r="E1297" t="n">
        <v>906</v>
      </c>
      <c r="F1297" t="n">
        <v>510.712</v>
      </c>
      <c r="G1297" t="n">
        <v>1940078</v>
      </c>
      <c r="H1297" t="inlineStr">
        <is>
          <t>TUB-O-O-GEN-AW-PE-15.88X1.600X6.0000</t>
        </is>
      </c>
    </row>
    <row r="1298">
      <c r="A1298" t="inlineStr">
        <is>
          <t>0000944141</t>
        </is>
      </c>
      <c r="B1298" t="inlineStr">
        <is>
          <t>SRIKAM HITECH ENGINEERING PRIVATE L</t>
        </is>
      </c>
      <c r="C1298" t="inlineStr">
        <is>
          <t>M</t>
        </is>
      </c>
      <c r="D1298" t="n">
        <v>244</v>
      </c>
      <c r="E1298" t="n">
        <v>1464</v>
      </c>
      <c r="F1298" t="n">
        <v>825.2569999999999</v>
      </c>
      <c r="G1298" t="n">
        <v>1940078</v>
      </c>
      <c r="H1298" t="inlineStr">
        <is>
          <t>TUB-O-O-GEN-AW-PE-15.88X1.600X6.0000</t>
        </is>
      </c>
    </row>
    <row r="1299">
      <c r="A1299" t="inlineStr">
        <is>
          <t>0000944141</t>
        </is>
      </c>
      <c r="B1299" t="inlineStr">
        <is>
          <t>SRIKAM HITECH ENGINEERING PRIVATE L</t>
        </is>
      </c>
      <c r="C1299" t="inlineStr">
        <is>
          <t>M</t>
        </is>
      </c>
      <c r="D1299" t="n">
        <v>605</v>
      </c>
      <c r="E1299" t="n">
        <v>3630</v>
      </c>
      <c r="F1299" t="n">
        <v>2046.231</v>
      </c>
      <c r="G1299" t="n">
        <v>1940078</v>
      </c>
      <c r="H1299" t="inlineStr">
        <is>
          <t>TUB-O-O-GEN-AW-PE-15.88X1.600X6.0000</t>
        </is>
      </c>
    </row>
    <row r="1300">
      <c r="A1300" t="inlineStr">
        <is>
          <t>0000189270</t>
        </is>
      </c>
      <c r="B1300" t="inlineStr">
        <is>
          <t>Indo Autotech Limited (Unit V)</t>
        </is>
      </c>
      <c r="C1300" t="inlineStr">
        <is>
          <t>NOS</t>
        </is>
      </c>
      <c r="D1300" t="n">
        <v>5487</v>
      </c>
      <c r="E1300" t="n">
        <v>2112.528</v>
      </c>
      <c r="F1300" t="n">
        <v>1404.855</v>
      </c>
      <c r="G1300" t="n">
        <v>4018307</v>
      </c>
      <c r="H1300" t="inlineStr">
        <is>
          <t>CUT-O-N-AUT-AW-PE-19.05X1.600X0.3850</t>
        </is>
      </c>
    </row>
    <row r="1301">
      <c r="A1301" t="inlineStr">
        <is>
          <t>0000189270</t>
        </is>
      </c>
      <c r="B1301" t="inlineStr">
        <is>
          <t>Indo Autotech Limited (Unit V)</t>
        </is>
      </c>
      <c r="C1301" t="inlineStr">
        <is>
          <t>NOS</t>
        </is>
      </c>
      <c r="D1301" t="n">
        <v>726</v>
      </c>
      <c r="E1301" t="n">
        <v>279.514</v>
      </c>
      <c r="F1301" t="n">
        <v>185.88</v>
      </c>
      <c r="G1301" t="n">
        <v>4018307</v>
      </c>
      <c r="H1301" t="inlineStr">
        <is>
          <t>CUT-O-N-AUT-AW-PE-19.05X1.600X0.3850</t>
        </is>
      </c>
    </row>
    <row r="1302">
      <c r="A1302" t="inlineStr">
        <is>
          <t>0000189270</t>
        </is>
      </c>
      <c r="B1302" t="inlineStr">
        <is>
          <t>Indo Autotech Limited (Unit V)</t>
        </is>
      </c>
      <c r="C1302" t="inlineStr">
        <is>
          <t>NOS</t>
        </is>
      </c>
      <c r="D1302" t="n">
        <v>621</v>
      </c>
      <c r="E1302" t="n">
        <v>239.089</v>
      </c>
      <c r="F1302" t="n">
        <v>158.997</v>
      </c>
      <c r="G1302" t="n">
        <v>4018307</v>
      </c>
      <c r="H1302" t="inlineStr">
        <is>
          <t>CUT-O-N-AUT-AW-PE-19.05X1.600X0.3850</t>
        </is>
      </c>
    </row>
    <row r="1303">
      <c r="A1303" t="inlineStr">
        <is>
          <t>0000189270</t>
        </is>
      </c>
      <c r="B1303" t="inlineStr">
        <is>
          <t>Indo Autotech Limited (Unit V)</t>
        </is>
      </c>
      <c r="C1303" t="inlineStr">
        <is>
          <t>NOS</t>
        </is>
      </c>
      <c r="D1303" t="n">
        <v>266</v>
      </c>
      <c r="E1303" t="n">
        <v>102.412</v>
      </c>
      <c r="F1303" t="n">
        <v>68.105</v>
      </c>
      <c r="G1303" t="n">
        <v>4018307</v>
      </c>
      <c r="H1303" t="inlineStr">
        <is>
          <t>CUT-O-N-AUT-AW-PE-19.05X1.600X0.3850</t>
        </is>
      </c>
    </row>
    <row r="1304">
      <c r="A1304" t="inlineStr">
        <is>
          <t>0000189270</t>
        </is>
      </c>
      <c r="B1304" t="inlineStr">
        <is>
          <t>Indo Autotech Limited (Unit V)</t>
        </is>
      </c>
      <c r="C1304" t="inlineStr">
        <is>
          <t>NOS</t>
        </is>
      </c>
      <c r="D1304" t="n">
        <v>900</v>
      </c>
      <c r="E1304" t="n">
        <v>261.82</v>
      </c>
      <c r="F1304" t="n">
        <v>775.8</v>
      </c>
      <c r="G1304" t="n">
        <v>1940857</v>
      </c>
      <c r="H1304" t="inlineStr">
        <is>
          <t>TUB-O-O-AUT-AW-CH-41.28X3.150X0.2910</t>
        </is>
      </c>
    </row>
    <row r="1305">
      <c r="A1305" t="inlineStr">
        <is>
          <t>0000189270</t>
        </is>
      </c>
      <c r="B1305" t="inlineStr">
        <is>
          <t>Indo Autotech Limited (Unit V)</t>
        </is>
      </c>
      <c r="C1305" t="inlineStr">
        <is>
          <t>NOS</t>
        </is>
      </c>
      <c r="D1305" t="n">
        <v>110</v>
      </c>
      <c r="E1305" t="n">
        <v>32</v>
      </c>
      <c r="F1305" t="n">
        <v>94.81999999999999</v>
      </c>
      <c r="G1305" t="n">
        <v>1940857</v>
      </c>
      <c r="H1305" t="inlineStr">
        <is>
          <t>TUB-O-O-AUT-AW-CH-41.28X3.150X0.2910</t>
        </is>
      </c>
    </row>
    <row r="1306">
      <c r="A1306" t="inlineStr">
        <is>
          <t>0000189270</t>
        </is>
      </c>
      <c r="B1306" t="inlineStr">
        <is>
          <t>Indo Autotech Limited (Unit V)</t>
        </is>
      </c>
      <c r="C1306" t="inlineStr">
        <is>
          <t>NOS</t>
        </is>
      </c>
      <c r="D1306" t="n">
        <v>110</v>
      </c>
      <c r="E1306" t="n">
        <v>32</v>
      </c>
      <c r="F1306" t="n">
        <v>94.81999999999999</v>
      </c>
      <c r="G1306" t="n">
        <v>1940857</v>
      </c>
      <c r="H1306" t="inlineStr">
        <is>
          <t>TUB-O-O-AUT-AW-CH-41.28X3.150X0.2910</t>
        </is>
      </c>
    </row>
    <row r="1307">
      <c r="A1307" t="inlineStr">
        <is>
          <t>0000189270</t>
        </is>
      </c>
      <c r="B1307" t="inlineStr">
        <is>
          <t>Indo Autotech Limited (Unit V)</t>
        </is>
      </c>
      <c r="C1307" t="inlineStr">
        <is>
          <t>NOS</t>
        </is>
      </c>
      <c r="D1307" t="n">
        <v>864</v>
      </c>
      <c r="E1307" t="n">
        <v>159.067</v>
      </c>
      <c r="F1307" t="n">
        <v>603.072</v>
      </c>
      <c r="G1307" t="n">
        <v>1940868</v>
      </c>
      <c r="H1307" t="inlineStr">
        <is>
          <t>TUB-O-O-AUT-AW-FC-48.60X3.400X0.1840</t>
        </is>
      </c>
    </row>
    <row r="1308">
      <c r="A1308" t="inlineStr">
        <is>
          <t>0000189270</t>
        </is>
      </c>
      <c r="B1308" t="inlineStr">
        <is>
          <t>Indo Autotech Limited (Unit V)</t>
        </is>
      </c>
      <c r="C1308" t="inlineStr">
        <is>
          <t>NOS</t>
        </is>
      </c>
      <c r="D1308" t="n">
        <v>1699</v>
      </c>
      <c r="E1308" t="n">
        <v>1252.226</v>
      </c>
      <c r="F1308" t="n">
        <v>2166.225</v>
      </c>
      <c r="G1308" t="n">
        <v>1932730</v>
      </c>
      <c r="H1308" t="inlineStr">
        <is>
          <t>TUB-O-N-AUT-AW-FC-50.80X1.420X0.7370</t>
        </is>
      </c>
    </row>
    <row r="1309">
      <c r="A1309" t="inlineStr">
        <is>
          <t>0000189270</t>
        </is>
      </c>
      <c r="B1309" t="inlineStr">
        <is>
          <t>Indo Autotech Limited (Unit V)</t>
        </is>
      </c>
      <c r="C1309" t="inlineStr">
        <is>
          <t>NOS</t>
        </is>
      </c>
      <c r="D1309" t="n">
        <v>1655</v>
      </c>
      <c r="E1309" t="n">
        <v>1219.796</v>
      </c>
      <c r="F1309" t="n">
        <v>2110.125</v>
      </c>
      <c r="G1309" t="n">
        <v>1932730</v>
      </c>
      <c r="H1309" t="inlineStr">
        <is>
          <t>TUB-O-N-AUT-AW-FC-50.80X1.420X0.7370</t>
        </is>
      </c>
    </row>
    <row r="1310">
      <c r="A1310" t="inlineStr">
        <is>
          <t>0000189270</t>
        </is>
      </c>
      <c r="B1310" t="inlineStr">
        <is>
          <t>Indo Autotech Limited (Unit V)</t>
        </is>
      </c>
      <c r="C1310" t="inlineStr">
        <is>
          <t>NOS</t>
        </is>
      </c>
      <c r="D1310" t="n">
        <v>646</v>
      </c>
      <c r="E1310" t="n">
        <v>476.126</v>
      </c>
      <c r="F1310" t="n">
        <v>823.65</v>
      </c>
      <c r="G1310" t="n">
        <v>1932730</v>
      </c>
      <c r="H1310" t="inlineStr">
        <is>
          <t>TUB-O-N-AUT-AW-FC-50.80X1.420X0.7370</t>
        </is>
      </c>
    </row>
    <row r="1311">
      <c r="A1311" t="inlineStr">
        <is>
          <t>0000189270</t>
        </is>
      </c>
      <c r="B1311" t="inlineStr">
        <is>
          <t>Indo Autotech Limited (Unit V)</t>
        </is>
      </c>
      <c r="C1311" t="inlineStr">
        <is>
          <t>NOS</t>
        </is>
      </c>
      <c r="D1311" t="n">
        <v>1325</v>
      </c>
      <c r="E1311" t="n">
        <v>795.027</v>
      </c>
      <c r="F1311" t="n">
        <v>1544.023</v>
      </c>
      <c r="G1311" t="n">
        <v>3676839</v>
      </c>
      <c r="H1311" t="inlineStr">
        <is>
          <t>TUB-R-AW-AUT-50.00X30.00X1.600X0.6000</t>
        </is>
      </c>
    </row>
    <row r="1312">
      <c r="A1312" t="inlineStr">
        <is>
          <t>0000189270</t>
        </is>
      </c>
      <c r="B1312" t="inlineStr">
        <is>
          <t>Indo Autotech Limited (Unit V)</t>
        </is>
      </c>
      <c r="C1312" t="inlineStr">
        <is>
          <t>NOS</t>
        </is>
      </c>
      <c r="D1312" t="n">
        <v>1300</v>
      </c>
      <c r="E1312" t="n">
        <v>780.027</v>
      </c>
      <c r="F1312" t="n">
        <v>1514.89</v>
      </c>
      <c r="G1312" t="n">
        <v>3676839</v>
      </c>
      <c r="H1312" t="inlineStr">
        <is>
          <t>TUB-R-AW-AUT-50.00X30.00X1.600X0.6000</t>
        </is>
      </c>
    </row>
    <row r="1313">
      <c r="A1313" t="inlineStr">
        <is>
          <t>0000189270</t>
        </is>
      </c>
      <c r="B1313" t="inlineStr">
        <is>
          <t>Indo Autotech Limited (Unit V)</t>
        </is>
      </c>
      <c r="C1313" t="inlineStr">
        <is>
          <t>NOS</t>
        </is>
      </c>
      <c r="D1313" t="n">
        <v>675</v>
      </c>
      <c r="E1313" t="n">
        <v>405.014</v>
      </c>
      <c r="F1313" t="n">
        <v>786.577</v>
      </c>
      <c r="G1313" t="n">
        <v>3676839</v>
      </c>
      <c r="H1313" t="inlineStr">
        <is>
          <t>TUB-R-AW-AUT-50.00X30.00X1.600X0.6000</t>
        </is>
      </c>
    </row>
    <row r="1314">
      <c r="A1314" t="inlineStr">
        <is>
          <t>0000952265</t>
        </is>
      </c>
      <c r="B1314" t="inlineStr">
        <is>
          <t>A R AUTOMOTIVE INDUSTRIES PRIVATE L</t>
        </is>
      </c>
      <c r="C1314" t="inlineStr">
        <is>
          <t>NOS</t>
        </is>
      </c>
      <c r="D1314" t="n">
        <v>812</v>
      </c>
      <c r="E1314" t="n">
        <v>495.651</v>
      </c>
      <c r="F1314" t="n">
        <v>324.8</v>
      </c>
      <c r="G1314" t="n">
        <v>1940109</v>
      </c>
      <c r="H1314" t="inlineStr">
        <is>
          <t>TUB-O-O-AUT-AW-PE-15.88X2.000X0.6100</t>
        </is>
      </c>
    </row>
    <row r="1315">
      <c r="A1315" t="inlineStr">
        <is>
          <t>0000952265</t>
        </is>
      </c>
      <c r="B1315" t="inlineStr">
        <is>
          <t>A R AUTOMOTIVE INDUSTRIES PRIVATE L</t>
        </is>
      </c>
      <c r="C1315" t="inlineStr">
        <is>
          <t>NOS</t>
        </is>
      </c>
      <c r="D1315" t="n">
        <v>38</v>
      </c>
      <c r="E1315" t="n">
        <v>23.195</v>
      </c>
      <c r="F1315" t="n">
        <v>15.2</v>
      </c>
      <c r="G1315" t="n">
        <v>1940109</v>
      </c>
      <c r="H1315" t="inlineStr">
        <is>
          <t>TUB-O-O-AUT-AW-PE-15.88X2.000X0.6100</t>
        </is>
      </c>
    </row>
    <row r="1316">
      <c r="A1316" t="inlineStr">
        <is>
          <t>0000952265</t>
        </is>
      </c>
      <c r="B1316" t="inlineStr">
        <is>
          <t>A R AUTOMOTIVE INDUSTRIES PRIVATE L</t>
        </is>
      </c>
      <c r="C1316" t="inlineStr">
        <is>
          <t>NOS</t>
        </is>
      </c>
      <c r="D1316" t="n">
        <v>1919</v>
      </c>
      <c r="E1316" t="n">
        <v>652.513</v>
      </c>
      <c r="F1316" t="n">
        <v>285.931</v>
      </c>
      <c r="G1316" t="n">
        <v>2276261</v>
      </c>
      <c r="H1316" t="inlineStr">
        <is>
          <t>TUB-O-N-AUT-AW-PE-12.70X1.600X0.3380</t>
        </is>
      </c>
    </row>
    <row r="1317">
      <c r="A1317" t="inlineStr">
        <is>
          <t>0000952265</t>
        </is>
      </c>
      <c r="B1317" t="inlineStr">
        <is>
          <t>A R AUTOMOTIVE INDUSTRIES PRIVATE L</t>
        </is>
      </c>
      <c r="C1317" t="inlineStr">
        <is>
          <t>NOS</t>
        </is>
      </c>
      <c r="D1317" t="n">
        <v>503</v>
      </c>
      <c r="E1317" t="n">
        <v>171.034</v>
      </c>
      <c r="F1317" t="n">
        <v>74.947</v>
      </c>
      <c r="G1317" t="n">
        <v>2276261</v>
      </c>
      <c r="H1317" t="inlineStr">
        <is>
          <t>TUB-O-N-AUT-AW-PE-12.70X1.600X0.3380</t>
        </is>
      </c>
    </row>
    <row r="1318">
      <c r="A1318" t="inlineStr">
        <is>
          <t>0000952265</t>
        </is>
      </c>
      <c r="B1318" t="inlineStr">
        <is>
          <t>A R AUTOMOTIVE INDUSTRIES PRIVATE L</t>
        </is>
      </c>
      <c r="C1318" t="inlineStr">
        <is>
          <t>NOS</t>
        </is>
      </c>
      <c r="D1318" t="n">
        <v>78</v>
      </c>
      <c r="E1318" t="n">
        <v>26.522</v>
      </c>
      <c r="F1318" t="n">
        <v>11.622</v>
      </c>
      <c r="G1318" t="n">
        <v>2276261</v>
      </c>
      <c r="H1318" t="inlineStr">
        <is>
          <t>TUB-O-N-AUT-AW-PE-12.70X1.600X0.3380</t>
        </is>
      </c>
    </row>
    <row r="1319">
      <c r="A1319" t="inlineStr">
        <is>
          <t>0000952265</t>
        </is>
      </c>
      <c r="B1319" t="inlineStr">
        <is>
          <t>A R AUTOMOTIVE INDUSTRIES PRIVATE L</t>
        </is>
      </c>
      <c r="C1319" t="inlineStr">
        <is>
          <t>NOS</t>
        </is>
      </c>
      <c r="D1319" t="n">
        <v>3657</v>
      </c>
      <c r="E1319" t="n">
        <v>2142.97</v>
      </c>
      <c r="F1319" t="n">
        <v>1404.288</v>
      </c>
      <c r="G1319" t="n">
        <v>3696704</v>
      </c>
      <c r="H1319" t="inlineStr">
        <is>
          <t>TUB-O-N-AUT-AW-PE-15.88X2.000X0.5850</t>
        </is>
      </c>
    </row>
    <row r="1320">
      <c r="A1320" t="inlineStr">
        <is>
          <t>0000952265</t>
        </is>
      </c>
      <c r="B1320" t="inlineStr">
        <is>
          <t>A R AUTOMOTIVE INDUSTRIES PRIVATE L</t>
        </is>
      </c>
      <c r="C1320" t="inlineStr">
        <is>
          <t>NOS</t>
        </is>
      </c>
      <c r="D1320" t="n">
        <v>2293</v>
      </c>
      <c r="E1320" t="n">
        <v>1343.678</v>
      </c>
      <c r="F1320" t="n">
        <v>880.5119999999999</v>
      </c>
      <c r="G1320" t="n">
        <v>3696704</v>
      </c>
      <c r="H1320" t="inlineStr">
        <is>
          <t>TUB-O-N-AUT-AW-PE-15.88X2.000X0.5850</t>
        </is>
      </c>
    </row>
    <row r="1321">
      <c r="A1321" t="inlineStr">
        <is>
          <t>0000952265</t>
        </is>
      </c>
      <c r="B1321" t="inlineStr">
        <is>
          <t>A R AUTOMOTIVE INDUSTRIES PRIVATE L</t>
        </is>
      </c>
      <c r="C1321" t="inlineStr">
        <is>
          <t>NOS</t>
        </is>
      </c>
      <c r="D1321" t="n">
        <v>3419</v>
      </c>
      <c r="E1321" t="n">
        <v>1737.413</v>
      </c>
      <c r="F1321" t="n">
        <v>1138.527</v>
      </c>
      <c r="G1321" t="n">
        <v>3442449</v>
      </c>
      <c r="H1321" t="inlineStr">
        <is>
          <t>TUB-O-N-AUT-AW-PE-15.88X2.000X0.5070</t>
        </is>
      </c>
    </row>
    <row r="1322">
      <c r="A1322" t="inlineStr">
        <is>
          <t>0000952265</t>
        </is>
      </c>
      <c r="B1322" t="inlineStr">
        <is>
          <t>A R AUTOMOTIVE INDUSTRIES PRIVATE L</t>
        </is>
      </c>
      <c r="C1322" t="inlineStr">
        <is>
          <t>NOS</t>
        </is>
      </c>
      <c r="D1322" t="n">
        <v>2189</v>
      </c>
      <c r="E1322" t="n">
        <v>1112.371</v>
      </c>
      <c r="F1322" t="n">
        <v>728.937</v>
      </c>
      <c r="G1322" t="n">
        <v>3442449</v>
      </c>
      <c r="H1322" t="inlineStr">
        <is>
          <t>TUB-O-N-AUT-AW-PE-15.88X2.000X0.5070</t>
        </is>
      </c>
    </row>
    <row r="1323">
      <c r="A1323" t="inlineStr">
        <is>
          <t>0000952265</t>
        </is>
      </c>
      <c r="B1323" t="inlineStr">
        <is>
          <t>A R AUTOMOTIVE INDUSTRIES PRIVATE L</t>
        </is>
      </c>
      <c r="C1323" t="inlineStr">
        <is>
          <t>NOS</t>
        </is>
      </c>
      <c r="D1323" t="n">
        <v>1990</v>
      </c>
      <c r="E1323" t="n">
        <v>1011.247</v>
      </c>
      <c r="F1323" t="n">
        <v>662.67</v>
      </c>
      <c r="G1323" t="n">
        <v>3442449</v>
      </c>
      <c r="H1323" t="inlineStr">
        <is>
          <t>TUB-O-N-AUT-AW-PE-15.88X2.000X0.5070</t>
        </is>
      </c>
    </row>
    <row r="1324">
      <c r="A1324" t="inlineStr">
        <is>
          <t>0000952265</t>
        </is>
      </c>
      <c r="B1324" t="inlineStr">
        <is>
          <t>A R AUTOMOTIVE INDUSTRIES PRIVATE L</t>
        </is>
      </c>
      <c r="C1324" t="inlineStr">
        <is>
          <t>NOS</t>
        </is>
      </c>
      <c r="D1324" t="n">
        <v>1447</v>
      </c>
      <c r="E1324" t="n">
        <v>735.314</v>
      </c>
      <c r="F1324" t="n">
        <v>481.851</v>
      </c>
      <c r="G1324" t="n">
        <v>3442449</v>
      </c>
      <c r="H1324" t="inlineStr">
        <is>
          <t>TUB-O-N-AUT-AW-PE-15.88X2.000X0.5070</t>
        </is>
      </c>
    </row>
    <row r="1325">
      <c r="A1325" t="inlineStr">
        <is>
          <t>0000952265</t>
        </is>
      </c>
      <c r="B1325" t="inlineStr">
        <is>
          <t>A R AUTOMOTIVE INDUSTRIES PRIVATE L</t>
        </is>
      </c>
      <c r="C1325" t="inlineStr">
        <is>
          <t>NOS</t>
        </is>
      </c>
      <c r="D1325" t="n">
        <v>309</v>
      </c>
      <c r="E1325" t="n">
        <v>157.023</v>
      </c>
      <c r="F1325" t="n">
        <v>102.897</v>
      </c>
      <c r="G1325" t="n">
        <v>3442449</v>
      </c>
      <c r="H1325" t="inlineStr">
        <is>
          <t>TUB-O-N-AUT-AW-PE-15.88X2.000X0.5070</t>
        </is>
      </c>
    </row>
    <row r="1326">
      <c r="A1326" t="inlineStr">
        <is>
          <t>0000952265</t>
        </is>
      </c>
      <c r="B1326" t="inlineStr">
        <is>
          <t>A R AUTOMOTIVE INDUSTRIES PRIVATE L</t>
        </is>
      </c>
      <c r="C1326" t="inlineStr">
        <is>
          <t>NOS</t>
        </is>
      </c>
      <c r="D1326" t="n">
        <v>46</v>
      </c>
      <c r="E1326" t="n">
        <v>23.376</v>
      </c>
      <c r="F1326" t="n">
        <v>15.318</v>
      </c>
      <c r="G1326" t="n">
        <v>3442449</v>
      </c>
      <c r="H1326" t="inlineStr">
        <is>
          <t>TUB-O-N-AUT-AW-PE-15.88X2.000X0.5070</t>
        </is>
      </c>
    </row>
    <row r="1327">
      <c r="A1327" t="inlineStr">
        <is>
          <t>0000189454</t>
        </is>
      </c>
      <c r="B1327" t="inlineStr">
        <is>
          <t>NAHARS ENGINEERING INDIA PRIVATE LI</t>
        </is>
      </c>
      <c r="C1327" t="inlineStr">
        <is>
          <t>NOS</t>
        </is>
      </c>
      <c r="D1327" t="n">
        <v>1331</v>
      </c>
      <c r="E1327" t="n">
        <v>1177.369</v>
      </c>
      <c r="F1327" t="n">
        <v>1122.033</v>
      </c>
      <c r="G1327" t="n">
        <v>1942696</v>
      </c>
      <c r="H1327" t="inlineStr">
        <is>
          <t>TUB-O-N-AUT-AW-PE-22.23X2.000X0.8840</t>
        </is>
      </c>
    </row>
    <row r="1328">
      <c r="A1328" t="inlineStr">
        <is>
          <t>0000189454</t>
        </is>
      </c>
      <c r="B1328" t="inlineStr">
        <is>
          <t>NAHARS ENGINEERING INDIA PRIVATE LI</t>
        </is>
      </c>
      <c r="C1328" t="inlineStr">
        <is>
          <t>NOS</t>
        </is>
      </c>
      <c r="D1328" t="n">
        <v>1200</v>
      </c>
      <c r="E1328" t="n">
        <v>1061.49</v>
      </c>
      <c r="F1328" t="n">
        <v>1011.6</v>
      </c>
      <c r="G1328" t="n">
        <v>1942696</v>
      </c>
      <c r="H1328" t="inlineStr">
        <is>
          <t>TUB-O-N-AUT-AW-PE-22.23X2.000X0.8840</t>
        </is>
      </c>
    </row>
    <row r="1329">
      <c r="A1329" t="inlineStr">
        <is>
          <t>0000189454</t>
        </is>
      </c>
      <c r="B1329" t="inlineStr">
        <is>
          <t>NAHARS ENGINEERING INDIA PRIVATE LI</t>
        </is>
      </c>
      <c r="C1329" t="inlineStr">
        <is>
          <t>NOS</t>
        </is>
      </c>
      <c r="D1329" t="n">
        <v>1175</v>
      </c>
      <c r="E1329" t="n">
        <v>1039.376</v>
      </c>
      <c r="F1329" t="n">
        <v>990.525</v>
      </c>
      <c r="G1329" t="n">
        <v>1942696</v>
      </c>
      <c r="H1329" t="inlineStr">
        <is>
          <t>TUB-O-N-AUT-AW-PE-22.23X2.000X0.8840</t>
        </is>
      </c>
    </row>
    <row r="1330">
      <c r="A1330" t="inlineStr">
        <is>
          <t>0000189454</t>
        </is>
      </c>
      <c r="B1330" t="inlineStr">
        <is>
          <t>NAHARS ENGINEERING INDIA PRIVATE LI</t>
        </is>
      </c>
      <c r="C1330" t="inlineStr">
        <is>
          <t>NOS</t>
        </is>
      </c>
      <c r="D1330" t="n">
        <v>294</v>
      </c>
      <c r="E1330" t="n">
        <v>260.065</v>
      </c>
      <c r="F1330" t="n">
        <v>247.842</v>
      </c>
      <c r="G1330" t="n">
        <v>1942696</v>
      </c>
      <c r="H1330" t="inlineStr">
        <is>
          <t>TUB-O-N-AUT-AW-PE-22.23X2.000X0.8840</t>
        </is>
      </c>
    </row>
    <row r="1331">
      <c r="A1331" t="inlineStr">
        <is>
          <t>0000189454</t>
        </is>
      </c>
      <c r="B1331" t="inlineStr">
        <is>
          <t>NAHARS ENGINEERING INDIA PRIVATE LI</t>
        </is>
      </c>
      <c r="C1331" t="inlineStr">
        <is>
          <t>NOS</t>
        </is>
      </c>
      <c r="D1331" t="n">
        <v>300</v>
      </c>
      <c r="E1331" t="n">
        <v>124.534</v>
      </c>
      <c r="F1331" t="n">
        <v>117</v>
      </c>
      <c r="G1331" t="n">
        <v>3551623</v>
      </c>
      <c r="H1331" t="inlineStr">
        <is>
          <t>TUB-O-N-AUT-AW-FC-25.40X1.600X0.4150</t>
        </is>
      </c>
    </row>
    <row r="1332">
      <c r="A1332" t="inlineStr">
        <is>
          <t>0000189454</t>
        </is>
      </c>
      <c r="B1332" t="inlineStr">
        <is>
          <t>NAHARS ENGINEERING INDIA PRIVATE LI</t>
        </is>
      </c>
      <c r="C1332" t="inlineStr">
        <is>
          <t>NOS</t>
        </is>
      </c>
      <c r="D1332" t="n">
        <v>432</v>
      </c>
      <c r="E1332" t="n">
        <v>315.792</v>
      </c>
      <c r="F1332" t="n">
        <v>760.3630000000001</v>
      </c>
      <c r="G1332" t="n">
        <v>4032113</v>
      </c>
      <c r="H1332" t="inlineStr">
        <is>
          <t>TUB-O-N-AUT-AW-FC-50.80X2.000X0.7310</t>
        </is>
      </c>
    </row>
    <row r="1333">
      <c r="A1333" t="inlineStr">
        <is>
          <t>0000189454</t>
        </is>
      </c>
      <c r="B1333" t="inlineStr">
        <is>
          <t>NAHARS ENGINEERING INDIA PRIVATE LI</t>
        </is>
      </c>
      <c r="C1333" t="inlineStr">
        <is>
          <t>NOS</t>
        </is>
      </c>
      <c r="D1333" t="n">
        <v>710</v>
      </c>
      <c r="E1333" t="n">
        <v>519.009</v>
      </c>
      <c r="F1333" t="n">
        <v>1249.671</v>
      </c>
      <c r="G1333" t="n">
        <v>4032113</v>
      </c>
      <c r="H1333" t="inlineStr">
        <is>
          <t>TUB-O-N-AUT-AW-FC-50.80X2.000X0.7310</t>
        </is>
      </c>
    </row>
    <row r="1334">
      <c r="A1334" t="inlineStr">
        <is>
          <t>0000189454</t>
        </is>
      </c>
      <c r="B1334" t="inlineStr">
        <is>
          <t>NAHARS ENGINEERING INDIA PRIVATE LI</t>
        </is>
      </c>
      <c r="C1334" t="inlineStr">
        <is>
          <t>NOS</t>
        </is>
      </c>
      <c r="D1334" t="n">
        <v>532</v>
      </c>
      <c r="E1334" t="n">
        <v>388.892</v>
      </c>
      <c r="F1334" t="n">
        <v>936.373</v>
      </c>
      <c r="G1334" t="n">
        <v>4032113</v>
      </c>
      <c r="H1334" t="inlineStr">
        <is>
          <t>TUB-O-N-AUT-AW-FC-50.80X2.000X0.7310</t>
        </is>
      </c>
    </row>
    <row r="1335">
      <c r="A1335" t="inlineStr">
        <is>
          <t>0000189454</t>
        </is>
      </c>
      <c r="B1335" t="inlineStr">
        <is>
          <t>NAHARS ENGINEERING INDIA PRIVATE LI</t>
        </is>
      </c>
      <c r="C1335" t="inlineStr">
        <is>
          <t>NOS</t>
        </is>
      </c>
      <c r="D1335" t="n">
        <v>435</v>
      </c>
      <c r="E1335" t="n">
        <v>317.985</v>
      </c>
      <c r="F1335" t="n">
        <v>765.644</v>
      </c>
      <c r="G1335" t="n">
        <v>4032113</v>
      </c>
      <c r="H1335" t="inlineStr">
        <is>
          <t>TUB-O-N-AUT-AW-FC-50.80X2.000X0.7310</t>
        </is>
      </c>
    </row>
    <row r="1336">
      <c r="A1336" t="inlineStr">
        <is>
          <t>0000189454</t>
        </is>
      </c>
      <c r="B1336" t="inlineStr">
        <is>
          <t>NAHARS ENGINEERING INDIA PRIVATE LI</t>
        </is>
      </c>
      <c r="C1336" t="inlineStr">
        <is>
          <t>NOS</t>
        </is>
      </c>
      <c r="D1336" t="n">
        <v>338</v>
      </c>
      <c r="E1336" t="n">
        <v>247.078</v>
      </c>
      <c r="F1336" t="n">
        <v>594.914</v>
      </c>
      <c r="G1336" t="n">
        <v>4032113</v>
      </c>
      <c r="H1336" t="inlineStr">
        <is>
          <t>TUB-O-N-AUT-AW-FC-50.80X2.000X0.7310</t>
        </is>
      </c>
    </row>
    <row r="1337">
      <c r="A1337" t="inlineStr">
        <is>
          <t>0000189454</t>
        </is>
      </c>
      <c r="B1337" t="inlineStr">
        <is>
          <t>NAHARS ENGINEERING INDIA PRIVATE LI</t>
        </is>
      </c>
      <c r="C1337" t="inlineStr">
        <is>
          <t>NOS</t>
        </is>
      </c>
      <c r="D1337" t="n">
        <v>204</v>
      </c>
      <c r="E1337" t="n">
        <v>149.124</v>
      </c>
      <c r="F1337" t="n">
        <v>359.06</v>
      </c>
      <c r="G1337" t="n">
        <v>4032113</v>
      </c>
      <c r="H1337" t="inlineStr">
        <is>
          <t>TUB-O-N-AUT-AW-FC-50.80X2.000X0.7310</t>
        </is>
      </c>
    </row>
    <row r="1338">
      <c r="A1338" t="inlineStr">
        <is>
          <t>0000189454</t>
        </is>
      </c>
      <c r="B1338" t="inlineStr">
        <is>
          <t>NAHARS ENGINEERING INDIA PRIVATE LI</t>
        </is>
      </c>
      <c r="C1338" t="inlineStr">
        <is>
          <t>NOS</t>
        </is>
      </c>
      <c r="D1338" t="n">
        <v>89</v>
      </c>
      <c r="E1338" t="n">
        <v>65.059</v>
      </c>
      <c r="F1338" t="n">
        <v>156.649</v>
      </c>
      <c r="G1338" t="n">
        <v>4032113</v>
      </c>
      <c r="H1338" t="inlineStr">
        <is>
          <t>TUB-O-N-AUT-AW-FC-50.80X2.000X0.7310</t>
        </is>
      </c>
    </row>
    <row r="1339">
      <c r="A1339" t="inlineStr">
        <is>
          <t>0000189454</t>
        </is>
      </c>
      <c r="B1339" t="inlineStr">
        <is>
          <t>NAHARS ENGINEERING INDIA PRIVATE LI</t>
        </is>
      </c>
      <c r="C1339" t="inlineStr">
        <is>
          <t>NOS</t>
        </is>
      </c>
      <c r="D1339" t="n">
        <v>7371</v>
      </c>
      <c r="E1339" t="n">
        <v>4026.499</v>
      </c>
      <c r="F1339" t="n">
        <v>5800.977</v>
      </c>
      <c r="G1339" t="n">
        <v>1940817</v>
      </c>
      <c r="H1339" t="inlineStr">
        <is>
          <t>TUB-R-AW-RHS-40.00X20.00X1.600X0.5460</t>
        </is>
      </c>
    </row>
    <row r="1340">
      <c r="A1340" t="inlineStr">
        <is>
          <t>0000189454</t>
        </is>
      </c>
      <c r="B1340" t="inlineStr">
        <is>
          <t>NAHARS ENGINEERING INDIA PRIVATE LI</t>
        </is>
      </c>
      <c r="C1340" t="inlineStr">
        <is>
          <t>NOS</t>
        </is>
      </c>
      <c r="D1340" t="n">
        <v>1408</v>
      </c>
      <c r="E1340" t="n">
        <v>769.1369999999999</v>
      </c>
      <c r="F1340" t="n">
        <v>1108.096</v>
      </c>
      <c r="G1340" t="n">
        <v>1940817</v>
      </c>
      <c r="H1340" t="inlineStr">
        <is>
          <t>TUB-R-AW-RHS-40.00X20.00X1.600X0.5460</t>
        </is>
      </c>
    </row>
    <row r="1341">
      <c r="A1341" t="inlineStr">
        <is>
          <t>0000189454</t>
        </is>
      </c>
      <c r="B1341" t="inlineStr">
        <is>
          <t>NAHARS ENGINEERING INDIA PRIVATE LI</t>
        </is>
      </c>
      <c r="C1341" t="inlineStr">
        <is>
          <t>NOS</t>
        </is>
      </c>
      <c r="D1341" t="n">
        <v>1081</v>
      </c>
      <c r="E1341" t="n">
        <v>590.509</v>
      </c>
      <c r="F1341" t="n">
        <v>850.747</v>
      </c>
      <c r="G1341" t="n">
        <v>1940817</v>
      </c>
      <c r="H1341" t="inlineStr">
        <is>
          <t>TUB-R-AW-RHS-40.00X20.00X1.600X0.5460</t>
        </is>
      </c>
    </row>
    <row r="1342">
      <c r="A1342" t="inlineStr">
        <is>
          <t>0000188356</t>
        </is>
      </c>
      <c r="B1342" t="inlineStr">
        <is>
          <t>Thai Summit Autoparts India Pvt Ltd</t>
        </is>
      </c>
      <c r="C1342" t="inlineStr">
        <is>
          <t>NOS</t>
        </is>
      </c>
      <c r="D1342" t="n">
        <v>1815</v>
      </c>
      <c r="E1342" t="n">
        <v>1317.313</v>
      </c>
      <c r="F1342" t="n">
        <v>1520.97</v>
      </c>
      <c r="G1342" t="n">
        <v>4027991</v>
      </c>
      <c r="H1342" t="inlineStr">
        <is>
          <t>TUB-O-N-AUT-HR-FC-25.40X2.000X0.7250</t>
        </is>
      </c>
    </row>
    <row r="1343">
      <c r="A1343" t="inlineStr">
        <is>
          <t>0000188356</t>
        </is>
      </c>
      <c r="B1343" t="inlineStr">
        <is>
          <t>Thai Summit Autoparts India Pvt Ltd</t>
        </is>
      </c>
      <c r="C1343" t="inlineStr">
        <is>
          <t>NOS</t>
        </is>
      </c>
      <c r="D1343" t="n">
        <v>1185</v>
      </c>
      <c r="E1343" t="n">
        <v>860.064</v>
      </c>
      <c r="F1343" t="n">
        <v>993.03</v>
      </c>
      <c r="G1343" t="n">
        <v>4027991</v>
      </c>
      <c r="H1343" t="inlineStr">
        <is>
          <t>TUB-O-N-AUT-HR-FC-25.40X2.000X0.7250</t>
        </is>
      </c>
    </row>
    <row r="1344">
      <c r="A1344" t="inlineStr">
        <is>
          <t>0000188356</t>
        </is>
      </c>
      <c r="B1344" t="inlineStr">
        <is>
          <t>Thai Summit Autoparts India Pvt Ltd</t>
        </is>
      </c>
      <c r="C1344" t="inlineStr">
        <is>
          <t>NOS</t>
        </is>
      </c>
      <c r="D1344" t="n">
        <v>975</v>
      </c>
      <c r="E1344" t="n">
        <v>556.557</v>
      </c>
      <c r="F1344" t="n">
        <v>1032.525</v>
      </c>
      <c r="G1344" t="n">
        <v>3781648</v>
      </c>
      <c r="H1344" t="inlineStr">
        <is>
          <t>TUB-E-AW-AUT-59.00X30.00X1.600X0.5710</t>
        </is>
      </c>
    </row>
    <row r="1345">
      <c r="A1345" t="inlineStr">
        <is>
          <t>0000188356</t>
        </is>
      </c>
      <c r="B1345" t="inlineStr">
        <is>
          <t>Thai Summit Autoparts India Pvt Ltd</t>
        </is>
      </c>
      <c r="C1345" t="inlineStr">
        <is>
          <t>NOS</t>
        </is>
      </c>
      <c r="D1345" t="n">
        <v>779</v>
      </c>
      <c r="E1345" t="n">
        <v>444.675</v>
      </c>
      <c r="F1345" t="n">
        <v>824.961</v>
      </c>
      <c r="G1345" t="n">
        <v>3781648</v>
      </c>
      <c r="H1345" t="inlineStr">
        <is>
          <t>TUB-E-AW-AUT-59.00X30.00X1.600X0.5710</t>
        </is>
      </c>
    </row>
    <row r="1346">
      <c r="A1346" t="inlineStr">
        <is>
          <t>0000188356</t>
        </is>
      </c>
      <c r="B1346" t="inlineStr">
        <is>
          <t>Thai Summit Autoparts India Pvt Ltd</t>
        </is>
      </c>
      <c r="C1346" t="inlineStr">
        <is>
          <t>NOS</t>
        </is>
      </c>
      <c r="D1346" t="n">
        <v>246</v>
      </c>
      <c r="E1346" t="n">
        <v>140.424</v>
      </c>
      <c r="F1346" t="n">
        <v>260.514</v>
      </c>
      <c r="G1346" t="n">
        <v>3781648</v>
      </c>
      <c r="H1346" t="inlineStr">
        <is>
          <t>TUB-E-AW-AUT-59.00X30.00X1.600X0.5710</t>
        </is>
      </c>
    </row>
    <row r="1347">
      <c r="A1347" t="inlineStr">
        <is>
          <t>0000188356</t>
        </is>
      </c>
      <c r="B1347" t="inlineStr">
        <is>
          <t>Thai Summit Autoparts India Pvt Ltd</t>
        </is>
      </c>
      <c r="C1347" t="inlineStr">
        <is>
          <t>NOS</t>
        </is>
      </c>
      <c r="D1347" t="n">
        <v>3202</v>
      </c>
      <c r="E1347" t="n">
        <v>842.15</v>
      </c>
      <c r="F1347" t="n">
        <v>579.989</v>
      </c>
      <c r="G1347" t="n">
        <v>2382571</v>
      </c>
      <c r="H1347" t="inlineStr">
        <is>
          <t>TUB-O-N-AUT-AW-PE-19.05X1.600X0.2630</t>
        </is>
      </c>
    </row>
    <row r="1348">
      <c r="A1348" t="inlineStr">
        <is>
          <t>0000188356</t>
        </is>
      </c>
      <c r="B1348" t="inlineStr">
        <is>
          <t>Thai Summit Autoparts India Pvt Ltd</t>
        </is>
      </c>
      <c r="C1348" t="inlineStr">
        <is>
          <t>NOS</t>
        </is>
      </c>
      <c r="D1348" t="n">
        <v>2500</v>
      </c>
      <c r="E1348" t="n">
        <v>657.519</v>
      </c>
      <c r="F1348" t="n">
        <v>452.833</v>
      </c>
      <c r="G1348" t="n">
        <v>2382571</v>
      </c>
      <c r="H1348" t="inlineStr">
        <is>
          <t>TUB-O-N-AUT-AW-PE-19.05X1.600X0.2630</t>
        </is>
      </c>
    </row>
    <row r="1349">
      <c r="A1349" t="inlineStr">
        <is>
          <t>0000188356</t>
        </is>
      </c>
      <c r="B1349" t="inlineStr">
        <is>
          <t>Thai Summit Autoparts India Pvt Ltd</t>
        </is>
      </c>
      <c r="C1349" t="inlineStr">
        <is>
          <t>NOS</t>
        </is>
      </c>
      <c r="D1349" t="n">
        <v>298</v>
      </c>
      <c r="E1349" t="n">
        <v>78.376</v>
      </c>
      <c r="F1349" t="n">
        <v>53.978</v>
      </c>
      <c r="G1349" t="n">
        <v>2382571</v>
      </c>
      <c r="H1349" t="inlineStr">
        <is>
          <t>TUB-O-N-AUT-AW-PE-19.05X1.600X0.2630</t>
        </is>
      </c>
    </row>
    <row r="1350">
      <c r="A1350" t="inlineStr">
        <is>
          <t>0000188356</t>
        </is>
      </c>
      <c r="B1350" t="inlineStr">
        <is>
          <t>Thai Summit Autoparts India Pvt Ltd</t>
        </is>
      </c>
      <c r="C1350" t="inlineStr">
        <is>
          <t>NOS</t>
        </is>
      </c>
      <c r="D1350" t="n">
        <v>3813</v>
      </c>
      <c r="E1350" t="n">
        <v>4578.037</v>
      </c>
      <c r="F1350" t="n">
        <v>2005.638</v>
      </c>
      <c r="G1350" t="n">
        <v>1940013</v>
      </c>
      <c r="H1350" t="inlineStr">
        <is>
          <t>TUB-O-O-AUT-AW-PE-12.70X1.600X1.2000</t>
        </is>
      </c>
    </row>
    <row r="1351">
      <c r="A1351" t="inlineStr">
        <is>
          <t>0000188356</t>
        </is>
      </c>
      <c r="B1351" t="inlineStr">
        <is>
          <t>Thai Summit Autoparts India Pvt Ltd</t>
        </is>
      </c>
      <c r="C1351" t="inlineStr">
        <is>
          <t>NOS</t>
        </is>
      </c>
      <c r="D1351" t="n">
        <v>187</v>
      </c>
      <c r="E1351" t="n">
        <v>224.52</v>
      </c>
      <c r="F1351" t="n">
        <v>98.36199999999999</v>
      </c>
      <c r="G1351" t="n">
        <v>1940013</v>
      </c>
      <c r="H1351" t="inlineStr">
        <is>
          <t>TUB-O-O-AUT-AW-PE-12.70X1.600X1.2000</t>
        </is>
      </c>
    </row>
    <row r="1352">
      <c r="A1352" t="inlineStr">
        <is>
          <t>0000943209</t>
        </is>
      </c>
      <c r="B1352" t="inlineStr">
        <is>
          <t>MEGH STEELS PRIVATE LIMITED - TVS A</t>
        </is>
      </c>
      <c r="C1352" t="inlineStr">
        <is>
          <t>KG</t>
        </is>
      </c>
      <c r="D1352" t="n">
        <v>220</v>
      </c>
      <c r="E1352" t="n">
        <v>1321.678</v>
      </c>
      <c r="F1352" t="n">
        <v>3160</v>
      </c>
      <c r="G1352" t="n">
        <v>3994149</v>
      </c>
      <c r="H1352" t="inlineStr">
        <is>
          <t>TUB-O-N-AUT-AW-FC-41.28X2.600X6.0010</t>
        </is>
      </c>
    </row>
    <row r="1353">
      <c r="A1353" t="inlineStr">
        <is>
          <t>0000943209</t>
        </is>
      </c>
      <c r="B1353" t="inlineStr">
        <is>
          <t>MEGH STEELS PRIVATE LIMITED - TVS A</t>
        </is>
      </c>
      <c r="C1353" t="inlineStr">
        <is>
          <t>KG</t>
        </is>
      </c>
      <c r="D1353" t="n">
        <v>220</v>
      </c>
      <c r="E1353" t="n">
        <v>1317.496</v>
      </c>
      <c r="F1353" t="n">
        <v>3150</v>
      </c>
      <c r="G1353" t="n">
        <v>3994149</v>
      </c>
      <c r="H1353" t="inlineStr">
        <is>
          <t>TUB-O-N-AUT-AW-FC-41.28X2.600X6.0010</t>
        </is>
      </c>
    </row>
    <row r="1354">
      <c r="A1354" t="inlineStr">
        <is>
          <t>0000943209</t>
        </is>
      </c>
      <c r="B1354" t="inlineStr">
        <is>
          <t>MEGH STEELS PRIVATE LIMITED - TVS A</t>
        </is>
      </c>
      <c r="C1354" t="inlineStr">
        <is>
          <t>KG</t>
        </is>
      </c>
      <c r="D1354" t="n">
        <v>208</v>
      </c>
      <c r="E1354" t="n">
        <v>1246.393</v>
      </c>
      <c r="F1354" t="n">
        <v>2980</v>
      </c>
      <c r="G1354" t="n">
        <v>3994149</v>
      </c>
      <c r="H1354" t="inlineStr">
        <is>
          <t>TUB-O-N-AUT-AW-FC-41.28X2.600X6.0010</t>
        </is>
      </c>
    </row>
    <row r="1355">
      <c r="A1355" t="inlineStr">
        <is>
          <t>0000943209</t>
        </is>
      </c>
      <c r="B1355" t="inlineStr">
        <is>
          <t>MEGH STEELS PRIVATE LIMITED - TVS A</t>
        </is>
      </c>
      <c r="C1355" t="inlineStr">
        <is>
          <t>KG</t>
        </is>
      </c>
      <c r="D1355" t="n">
        <v>224</v>
      </c>
      <c r="E1355" t="n">
        <v>1346.773</v>
      </c>
      <c r="F1355" t="n">
        <v>3220</v>
      </c>
      <c r="G1355" t="n">
        <v>3994149</v>
      </c>
      <c r="H1355" t="inlineStr">
        <is>
          <t>TUB-O-N-AUT-AW-FC-41.28X2.600X6.0010</t>
        </is>
      </c>
    </row>
    <row r="1356">
      <c r="A1356" t="inlineStr">
        <is>
          <t>0000943209</t>
        </is>
      </c>
      <c r="B1356" t="inlineStr">
        <is>
          <t>MEGH STEELS PRIVATE LIMITED - TVS A</t>
        </is>
      </c>
      <c r="C1356" t="inlineStr">
        <is>
          <t>KG</t>
        </is>
      </c>
      <c r="D1356" t="n">
        <v>144</v>
      </c>
      <c r="E1356" t="n">
        <v>865.783</v>
      </c>
      <c r="F1356" t="n">
        <v>2070</v>
      </c>
      <c r="G1356" t="n">
        <v>3994149</v>
      </c>
      <c r="H1356" t="inlineStr">
        <is>
          <t>TUB-O-N-AUT-AW-FC-41.28X2.600X6.0010</t>
        </is>
      </c>
    </row>
    <row r="1357">
      <c r="A1357" t="inlineStr">
        <is>
          <t>0000943209</t>
        </is>
      </c>
      <c r="B1357" t="inlineStr">
        <is>
          <t>MEGH STEELS PRIVATE LIMITED - TVS A</t>
        </is>
      </c>
      <c r="C1357" t="inlineStr">
        <is>
          <t>KG</t>
        </is>
      </c>
      <c r="D1357" t="n">
        <v>144</v>
      </c>
      <c r="E1357" t="n">
        <v>865.783</v>
      </c>
      <c r="F1357" t="n">
        <v>2070</v>
      </c>
      <c r="G1357" t="n">
        <v>3994149</v>
      </c>
      <c r="H1357" t="inlineStr">
        <is>
          <t>TUB-O-N-AUT-AW-FC-41.28X2.600X6.0010</t>
        </is>
      </c>
    </row>
    <row r="1358">
      <c r="A1358" t="inlineStr">
        <is>
          <t>0000943209</t>
        </is>
      </c>
      <c r="B1358" t="inlineStr">
        <is>
          <t>MEGH STEELS PRIVATE LIMITED - TVS A</t>
        </is>
      </c>
      <c r="C1358" t="inlineStr">
        <is>
          <t>KG</t>
        </is>
      </c>
      <c r="D1358" t="n">
        <v>142</v>
      </c>
      <c r="E1358" t="n">
        <v>853.235</v>
      </c>
      <c r="F1358" t="n">
        <v>2040</v>
      </c>
      <c r="G1358" t="n">
        <v>3994149</v>
      </c>
      <c r="H1358" t="inlineStr">
        <is>
          <t>TUB-O-N-AUT-AW-FC-41.28X2.600X6.0010</t>
        </is>
      </c>
    </row>
    <row r="1359">
      <c r="A1359" t="inlineStr">
        <is>
          <t>0000943209</t>
        </is>
      </c>
      <c r="B1359" t="inlineStr">
        <is>
          <t>MEGH STEELS PRIVATE LIMITED - TVS A</t>
        </is>
      </c>
      <c r="C1359" t="inlineStr">
        <is>
          <t>KG</t>
        </is>
      </c>
      <c r="D1359" t="n">
        <v>131</v>
      </c>
      <c r="E1359" t="n">
        <v>786.3150000000001</v>
      </c>
      <c r="F1359" t="n">
        <v>1880</v>
      </c>
      <c r="G1359" t="n">
        <v>3994149</v>
      </c>
      <c r="H1359" t="inlineStr">
        <is>
          <t>TUB-O-N-AUT-AW-FC-41.28X2.600X6.0010</t>
        </is>
      </c>
    </row>
    <row r="1360">
      <c r="A1360" t="inlineStr">
        <is>
          <t>0000943209</t>
        </is>
      </c>
      <c r="B1360" t="inlineStr">
        <is>
          <t>MEGH STEELS PRIVATE LIMITED - TVS A</t>
        </is>
      </c>
      <c r="C1360" t="inlineStr">
        <is>
          <t>KG</t>
        </is>
      </c>
      <c r="D1360" t="n">
        <v>150</v>
      </c>
      <c r="E1360" t="n">
        <v>899.2430000000001</v>
      </c>
      <c r="F1360" t="n">
        <v>2150</v>
      </c>
      <c r="G1360" t="n">
        <v>3994149</v>
      </c>
      <c r="H1360" t="inlineStr">
        <is>
          <t>TUB-O-N-AUT-AW-FC-41.28X2.600X6.0010</t>
        </is>
      </c>
    </row>
    <row r="1361">
      <c r="A1361" t="inlineStr">
        <is>
          <t>0000943209</t>
        </is>
      </c>
      <c r="B1361" t="inlineStr">
        <is>
          <t>MEGH STEELS PRIVATE LIMITED - TVS A</t>
        </is>
      </c>
      <c r="C1361" t="inlineStr">
        <is>
          <t>KG</t>
        </is>
      </c>
      <c r="D1361" t="n">
        <v>139</v>
      </c>
      <c r="E1361" t="n">
        <v>836.505</v>
      </c>
      <c r="F1361" t="n">
        <v>2000</v>
      </c>
      <c r="G1361" t="n">
        <v>3994149</v>
      </c>
      <c r="H1361" t="inlineStr">
        <is>
          <t>TUB-O-N-AUT-AW-FC-41.28X2.600X6.0010</t>
        </is>
      </c>
    </row>
    <row r="1362">
      <c r="A1362" t="inlineStr">
        <is>
          <t>0000943209</t>
        </is>
      </c>
      <c r="B1362" t="inlineStr">
        <is>
          <t>MEGH STEELS PRIVATE LIMITED - TVS A</t>
        </is>
      </c>
      <c r="C1362" t="inlineStr">
        <is>
          <t>KG</t>
        </is>
      </c>
      <c r="D1362" t="n">
        <v>121</v>
      </c>
      <c r="E1362" t="n">
        <v>723.577</v>
      </c>
      <c r="F1362" t="n">
        <v>1730</v>
      </c>
      <c r="G1362" t="n">
        <v>3994149</v>
      </c>
      <c r="H1362" t="inlineStr">
        <is>
          <t>TUB-O-N-AUT-AW-FC-41.28X2.600X6.0010</t>
        </is>
      </c>
    </row>
    <row r="1363">
      <c r="A1363" t="inlineStr">
        <is>
          <t>0000188356</t>
        </is>
      </c>
      <c r="B1363" t="inlineStr">
        <is>
          <t>Thai Summit Autoparts India Pvt Ltd</t>
        </is>
      </c>
      <c r="C1363" t="inlineStr">
        <is>
          <t>NOS</t>
        </is>
      </c>
      <c r="D1363" t="n">
        <v>1274</v>
      </c>
      <c r="E1363" t="n">
        <v>727.235</v>
      </c>
      <c r="F1363" t="n">
        <v>1349.166</v>
      </c>
      <c r="G1363" t="n">
        <v>3781648</v>
      </c>
      <c r="H1363" t="inlineStr">
        <is>
          <t>TUB-E-AW-AUT-59.00X30.00X1.600X0.5710</t>
        </is>
      </c>
    </row>
    <row r="1364">
      <c r="A1364" t="inlineStr">
        <is>
          <t>0000188356</t>
        </is>
      </c>
      <c r="B1364" t="inlineStr">
        <is>
          <t>Thai Summit Autoparts India Pvt Ltd</t>
        </is>
      </c>
      <c r="C1364" t="inlineStr">
        <is>
          <t>NOS</t>
        </is>
      </c>
      <c r="D1364" t="n">
        <v>700</v>
      </c>
      <c r="E1364" t="n">
        <v>399.58</v>
      </c>
      <c r="F1364" t="n">
        <v>741.3</v>
      </c>
      <c r="G1364" t="n">
        <v>3781648</v>
      </c>
      <c r="H1364" t="inlineStr">
        <is>
          <t>TUB-E-AW-AUT-59.00X30.00X1.600X0.5710</t>
        </is>
      </c>
    </row>
    <row r="1365">
      <c r="A1365" t="inlineStr">
        <is>
          <t>0000188356</t>
        </is>
      </c>
      <c r="B1365" t="inlineStr">
        <is>
          <t>Thai Summit Autoparts India Pvt Ltd</t>
        </is>
      </c>
      <c r="C1365" t="inlineStr">
        <is>
          <t>NOS</t>
        </is>
      </c>
      <c r="D1365" t="n">
        <v>239</v>
      </c>
      <c r="E1365" t="n">
        <v>136.428</v>
      </c>
      <c r="F1365" t="n">
        <v>253.101</v>
      </c>
      <c r="G1365" t="n">
        <v>3781648</v>
      </c>
      <c r="H1365" t="inlineStr">
        <is>
          <t>TUB-E-AW-AUT-59.00X30.00X1.600X0.5710</t>
        </is>
      </c>
    </row>
    <row r="1366">
      <c r="A1366" t="inlineStr">
        <is>
          <t>0000188356</t>
        </is>
      </c>
      <c r="B1366" t="inlineStr">
        <is>
          <t>Thai Summit Autoparts India Pvt Ltd</t>
        </is>
      </c>
      <c r="C1366" t="inlineStr">
        <is>
          <t>NOS</t>
        </is>
      </c>
      <c r="D1366" t="n">
        <v>178</v>
      </c>
      <c r="E1366" t="n">
        <v>101.607</v>
      </c>
      <c r="F1366" t="n">
        <v>188.502</v>
      </c>
      <c r="G1366" t="n">
        <v>3781648</v>
      </c>
      <c r="H1366" t="inlineStr">
        <is>
          <t>TUB-E-AW-AUT-59.00X30.00X1.600X0.5710</t>
        </is>
      </c>
    </row>
    <row r="1367">
      <c r="A1367" t="inlineStr">
        <is>
          <t>0000188356</t>
        </is>
      </c>
      <c r="B1367" t="inlineStr">
        <is>
          <t>Thai Summit Autoparts India Pvt Ltd</t>
        </is>
      </c>
      <c r="C1367" t="inlineStr">
        <is>
          <t>NOS</t>
        </is>
      </c>
      <c r="D1367" t="n">
        <v>100</v>
      </c>
      <c r="E1367" t="n">
        <v>57.083</v>
      </c>
      <c r="F1367" t="n">
        <v>105.9</v>
      </c>
      <c r="G1367" t="n">
        <v>3781648</v>
      </c>
      <c r="H1367" t="inlineStr">
        <is>
          <t>TUB-E-AW-AUT-59.00X30.00X1.600X0.5710</t>
        </is>
      </c>
    </row>
    <row r="1368">
      <c r="A1368" t="inlineStr">
        <is>
          <t>0000188356</t>
        </is>
      </c>
      <c r="B1368" t="inlineStr">
        <is>
          <t>Thai Summit Autoparts India Pvt Ltd</t>
        </is>
      </c>
      <c r="C1368" t="inlineStr">
        <is>
          <t>NOS</t>
        </is>
      </c>
      <c r="D1368" t="n">
        <v>9</v>
      </c>
      <c r="E1368" t="n">
        <v>5.137</v>
      </c>
      <c r="F1368" t="n">
        <v>9.531000000000001</v>
      </c>
      <c r="G1368" t="n">
        <v>3781648</v>
      </c>
      <c r="H1368" t="inlineStr">
        <is>
          <t>TUB-E-AW-AUT-59.00X30.00X1.600X0.5710</t>
        </is>
      </c>
    </row>
    <row r="1369">
      <c r="A1369" t="inlineStr">
        <is>
          <t>0000188356</t>
        </is>
      </c>
      <c r="B1369" t="inlineStr">
        <is>
          <t>Thai Summit Autoparts India Pvt Ltd</t>
        </is>
      </c>
      <c r="C1369" t="inlineStr">
        <is>
          <t>NOS</t>
        </is>
      </c>
      <c r="D1369" t="n">
        <v>1412</v>
      </c>
      <c r="E1369" t="n">
        <v>1024.819</v>
      </c>
      <c r="F1369" t="n">
        <v>1183.256</v>
      </c>
      <c r="G1369" t="n">
        <v>4027991</v>
      </c>
      <c r="H1369" t="inlineStr">
        <is>
          <t>TUB-O-N-AUT-HR-FC-25.40X2.000X0.7250</t>
        </is>
      </c>
    </row>
    <row r="1370">
      <c r="A1370" t="inlineStr">
        <is>
          <t>0000188356</t>
        </is>
      </c>
      <c r="B1370" t="inlineStr">
        <is>
          <t>Thai Summit Autoparts India Pvt Ltd</t>
        </is>
      </c>
      <c r="C1370" t="inlineStr">
        <is>
          <t>NOS</t>
        </is>
      </c>
      <c r="D1370" t="n">
        <v>273</v>
      </c>
      <c r="E1370" t="n">
        <v>198.141</v>
      </c>
      <c r="F1370" t="n">
        <v>228.774</v>
      </c>
      <c r="G1370" t="n">
        <v>4027991</v>
      </c>
      <c r="H1370" t="inlineStr">
        <is>
          <t>TUB-O-N-AUT-HR-FC-25.40X2.000X0.7250</t>
        </is>
      </c>
    </row>
    <row r="1371">
      <c r="A1371" t="inlineStr">
        <is>
          <t>0000188356</t>
        </is>
      </c>
      <c r="B1371" t="inlineStr">
        <is>
          <t>Thai Summit Autoparts India Pvt Ltd</t>
        </is>
      </c>
      <c r="C1371" t="inlineStr">
        <is>
          <t>NOS</t>
        </is>
      </c>
      <c r="D1371" t="n">
        <v>15</v>
      </c>
      <c r="E1371" t="n">
        <v>10.887</v>
      </c>
      <c r="F1371" t="n">
        <v>12.57</v>
      </c>
      <c r="G1371" t="n">
        <v>4027991</v>
      </c>
      <c r="H1371" t="inlineStr">
        <is>
          <t>TUB-O-N-AUT-HR-FC-25.40X2.000X0.7250</t>
        </is>
      </c>
    </row>
    <row r="1372">
      <c r="A1372" t="inlineStr">
        <is>
          <t>0000943209</t>
        </is>
      </c>
      <c r="B1372" t="inlineStr">
        <is>
          <t>MEGH STEELS PRIVATE LIMITED - TVS A</t>
        </is>
      </c>
      <c r="C1372" t="inlineStr">
        <is>
          <t>NOS</t>
        </is>
      </c>
      <c r="D1372" t="n">
        <v>149</v>
      </c>
      <c r="E1372" t="n">
        <v>163.953</v>
      </c>
      <c r="F1372" t="n">
        <v>318.413</v>
      </c>
      <c r="G1372" t="n">
        <v>2430128</v>
      </c>
      <c r="H1372" t="inlineStr">
        <is>
          <t>TUB-R-AW-AUT-50.00X30.00X1.600X1.1000</t>
        </is>
      </c>
    </row>
    <row r="1373">
      <c r="A1373" t="inlineStr">
        <is>
          <t>0000943209</t>
        </is>
      </c>
      <c r="B1373" t="inlineStr">
        <is>
          <t>MEGH STEELS PRIVATE LIMITED - TVS A</t>
        </is>
      </c>
      <c r="C1373" t="inlineStr">
        <is>
          <t>NOS</t>
        </is>
      </c>
      <c r="D1373" t="n">
        <v>199</v>
      </c>
      <c r="E1373" t="n">
        <v>218.971</v>
      </c>
      <c r="F1373" t="n">
        <v>425.263</v>
      </c>
      <c r="G1373" t="n">
        <v>2430128</v>
      </c>
      <c r="H1373" t="inlineStr">
        <is>
          <t>TUB-R-AW-AUT-50.00X30.00X1.600X1.1000</t>
        </is>
      </c>
    </row>
    <row r="1374">
      <c r="A1374" t="inlineStr">
        <is>
          <t>0000943209</t>
        </is>
      </c>
      <c r="B1374" t="inlineStr">
        <is>
          <t>MEGH STEELS PRIVATE LIMITED - TVS A</t>
        </is>
      </c>
      <c r="C1374" t="inlineStr">
        <is>
          <t>NOS</t>
        </is>
      </c>
      <c r="D1374" t="n">
        <v>102</v>
      </c>
      <c r="E1374" t="n">
        <v>112.236</v>
      </c>
      <c r="F1374" t="n">
        <v>217.974</v>
      </c>
      <c r="G1374" t="n">
        <v>2430128</v>
      </c>
      <c r="H1374" t="inlineStr">
        <is>
          <t>TUB-R-AW-AUT-50.00X30.00X1.600X1.1000</t>
        </is>
      </c>
    </row>
    <row r="1375">
      <c r="A1375" t="inlineStr">
        <is>
          <t>0000943209</t>
        </is>
      </c>
      <c r="B1375" t="inlineStr">
        <is>
          <t>MEGH STEELS PRIVATE LIMITED - TVS A</t>
        </is>
      </c>
      <c r="C1375" t="inlineStr">
        <is>
          <t>NOS</t>
        </is>
      </c>
      <c r="D1375" t="n">
        <v>458</v>
      </c>
      <c r="E1375" t="n">
        <v>1186.559</v>
      </c>
      <c r="F1375" t="n">
        <v>1114.772</v>
      </c>
      <c r="G1375" t="n">
        <v>2409618</v>
      </c>
      <c r="H1375" t="inlineStr">
        <is>
          <t>TUB-O-N-AUT-AW-PE-25.40X1.600X2.5900</t>
        </is>
      </c>
    </row>
    <row r="1376">
      <c r="A1376" t="inlineStr">
        <is>
          <t>0000943209</t>
        </is>
      </c>
      <c r="B1376" t="inlineStr">
        <is>
          <t>MEGH STEELS PRIVATE LIMITED - TVS A</t>
        </is>
      </c>
      <c r="C1376" t="inlineStr">
        <is>
          <t>NOS</t>
        </is>
      </c>
      <c r="D1376" t="n">
        <v>362</v>
      </c>
      <c r="E1376" t="n">
        <v>937.848</v>
      </c>
      <c r="F1376" t="n">
        <v>881.1079999999999</v>
      </c>
      <c r="G1376" t="n">
        <v>2409618</v>
      </c>
      <c r="H1376" t="inlineStr">
        <is>
          <t>TUB-O-N-AUT-AW-PE-25.40X1.600X2.5900</t>
        </is>
      </c>
    </row>
    <row r="1377">
      <c r="A1377" t="inlineStr">
        <is>
          <t>0000943209</t>
        </is>
      </c>
      <c r="B1377" t="inlineStr">
        <is>
          <t>MEGH STEELS PRIVATE LIMITED - TVS A</t>
        </is>
      </c>
      <c r="C1377" t="inlineStr">
        <is>
          <t>NOS</t>
        </is>
      </c>
      <c r="D1377" t="n">
        <v>233</v>
      </c>
      <c r="E1377" t="n">
        <v>263.163</v>
      </c>
      <c r="F1377" t="n">
        <v>109.976</v>
      </c>
      <c r="G1377" t="n">
        <v>1940045</v>
      </c>
      <c r="H1377" t="inlineStr">
        <is>
          <t>TUB-O-O-AUT-AW-PE-15.88X1.200X1.1300</t>
        </is>
      </c>
    </row>
    <row r="1378">
      <c r="A1378" t="inlineStr">
        <is>
          <t>0000943209</t>
        </is>
      </c>
      <c r="B1378" t="inlineStr">
        <is>
          <t>MEGH STEELS PRIVATE LIMITED - TVS A</t>
        </is>
      </c>
      <c r="C1378" t="inlineStr">
        <is>
          <t>NOS</t>
        </is>
      </c>
      <c r="D1378" t="n">
        <v>144</v>
      </c>
      <c r="E1378" t="n">
        <v>162.642</v>
      </c>
      <c r="F1378" t="n">
        <v>67.968</v>
      </c>
      <c r="G1378" t="n">
        <v>1940045</v>
      </c>
      <c r="H1378" t="inlineStr">
        <is>
          <t>TUB-O-O-AUT-AW-PE-15.88X1.200X1.1300</t>
        </is>
      </c>
    </row>
    <row r="1379">
      <c r="A1379" t="inlineStr">
        <is>
          <t>0000943209</t>
        </is>
      </c>
      <c r="B1379" t="inlineStr">
        <is>
          <t>MEGH STEELS PRIVATE LIMITED - TVS A</t>
        </is>
      </c>
      <c r="C1379" t="inlineStr">
        <is>
          <t>NOS</t>
        </is>
      </c>
      <c r="D1379" t="n">
        <v>148</v>
      </c>
      <c r="E1379" t="n">
        <v>167.16</v>
      </c>
      <c r="F1379" t="n">
        <v>69.85599999999999</v>
      </c>
      <c r="G1379" t="n">
        <v>1940045</v>
      </c>
      <c r="H1379" t="inlineStr">
        <is>
          <t>TUB-O-O-AUT-AW-PE-15.88X1.200X1.1300</t>
        </is>
      </c>
    </row>
    <row r="1380">
      <c r="A1380" t="inlineStr">
        <is>
          <t>0000943209</t>
        </is>
      </c>
      <c r="B1380" t="inlineStr">
        <is>
          <t>MEGH STEELS PRIVATE LIMITED - TVS A</t>
        </is>
      </c>
      <c r="C1380" t="inlineStr">
        <is>
          <t>NOS</t>
        </is>
      </c>
      <c r="D1380" t="n">
        <v>25</v>
      </c>
      <c r="E1380" t="n">
        <v>2.744</v>
      </c>
      <c r="F1380" t="n">
        <v>1.45</v>
      </c>
      <c r="G1380" t="n">
        <v>3409366</v>
      </c>
      <c r="H1380" t="inlineStr">
        <is>
          <t>TUB-O-N-AUT-AW-PE-19.05X1.200X0.1090</t>
        </is>
      </c>
    </row>
    <row r="1381">
      <c r="A1381" t="inlineStr">
        <is>
          <t>0000943209</t>
        </is>
      </c>
      <c r="B1381" t="inlineStr">
        <is>
          <t>MEGH STEELS PRIVATE LIMITED - TVS A</t>
        </is>
      </c>
      <c r="C1381" t="inlineStr">
        <is>
          <t>NOS</t>
        </is>
      </c>
      <c r="D1381" t="n">
        <v>2375</v>
      </c>
      <c r="E1381" t="n">
        <v>260.643</v>
      </c>
      <c r="F1381" t="n">
        <v>137.75</v>
      </c>
      <c r="G1381" t="n">
        <v>3409366</v>
      </c>
      <c r="H1381" t="inlineStr">
        <is>
          <t>TUB-O-N-AUT-AW-PE-19.05X1.200X0.1090</t>
        </is>
      </c>
    </row>
    <row r="1382">
      <c r="A1382" t="inlineStr">
        <is>
          <t>0000943209</t>
        </is>
      </c>
      <c r="B1382" t="inlineStr">
        <is>
          <t>MEGH STEELS PRIVATE LIMITED - TVS A</t>
        </is>
      </c>
      <c r="C1382" t="inlineStr">
        <is>
          <t>NOS</t>
        </is>
      </c>
      <c r="D1382" t="n">
        <v>3100</v>
      </c>
      <c r="E1382" t="n">
        <v>3332.478</v>
      </c>
      <c r="F1382" t="n">
        <v>1692.566</v>
      </c>
      <c r="G1382" t="n">
        <v>3229740</v>
      </c>
      <c r="H1382" t="inlineStr">
        <is>
          <t>TUB-O-N-AUT-AW-PE-19.05X1.200X1.0750</t>
        </is>
      </c>
    </row>
    <row r="1383">
      <c r="A1383" t="inlineStr">
        <is>
          <t>0000943209</t>
        </is>
      </c>
      <c r="B1383" t="inlineStr">
        <is>
          <t>MEGH STEELS PRIVATE LIMITED - TVS A</t>
        </is>
      </c>
      <c r="C1383" t="inlineStr">
        <is>
          <t>NOS</t>
        </is>
      </c>
      <c r="D1383" t="n">
        <v>850</v>
      </c>
      <c r="E1383" t="n">
        <v>913.744</v>
      </c>
      <c r="F1383" t="n">
        <v>464.091</v>
      </c>
      <c r="G1383" t="n">
        <v>3229740</v>
      </c>
      <c r="H1383" t="inlineStr">
        <is>
          <t>TUB-O-N-AUT-AW-PE-19.05X1.200X1.0750</t>
        </is>
      </c>
    </row>
    <row r="1384">
      <c r="A1384" t="inlineStr">
        <is>
          <t>0000943209</t>
        </is>
      </c>
      <c r="B1384" t="inlineStr">
        <is>
          <t>MEGH STEELS PRIVATE LIMITED - TVS A</t>
        </is>
      </c>
      <c r="C1384" t="inlineStr">
        <is>
          <t>NOS</t>
        </is>
      </c>
      <c r="D1384" t="n">
        <v>19</v>
      </c>
      <c r="E1384" t="n">
        <v>9.779</v>
      </c>
      <c r="F1384" t="n">
        <v>5.168</v>
      </c>
      <c r="G1384" t="n">
        <v>2409616</v>
      </c>
      <c r="H1384" t="inlineStr">
        <is>
          <t>TUB-O-N-AUT-AW-PE-19.05X1.200X0.5130</t>
        </is>
      </c>
    </row>
    <row r="1385">
      <c r="A1385" t="inlineStr">
        <is>
          <t>0000943209</t>
        </is>
      </c>
      <c r="B1385" t="inlineStr">
        <is>
          <t>MEGH STEELS PRIVATE LIMITED - TVS A</t>
        </is>
      </c>
      <c r="C1385" t="inlineStr">
        <is>
          <t>NOS</t>
        </is>
      </c>
      <c r="D1385" t="n">
        <v>16</v>
      </c>
      <c r="E1385" t="n">
        <v>8.234999999999999</v>
      </c>
      <c r="F1385" t="n">
        <v>4.352</v>
      </c>
      <c r="G1385" t="n">
        <v>2409616</v>
      </c>
      <c r="H1385" t="inlineStr">
        <is>
          <t>TUB-O-N-AUT-AW-PE-19.05X1.200X0.5130</t>
        </is>
      </c>
    </row>
    <row r="1386">
      <c r="A1386" t="inlineStr">
        <is>
          <t>0000943209</t>
        </is>
      </c>
      <c r="B1386" t="inlineStr">
        <is>
          <t>MEGH STEELS PRIVATE LIMITED - TVS A</t>
        </is>
      </c>
      <c r="C1386" t="inlineStr">
        <is>
          <t>NOS</t>
        </is>
      </c>
      <c r="D1386" t="n">
        <v>247</v>
      </c>
      <c r="E1386" t="n">
        <v>127.122</v>
      </c>
      <c r="F1386" t="n">
        <v>67.184</v>
      </c>
      <c r="G1386" t="n">
        <v>2409616</v>
      </c>
      <c r="H1386" t="inlineStr">
        <is>
          <t>TUB-O-N-AUT-AW-PE-19.05X1.200X0.5130</t>
        </is>
      </c>
    </row>
    <row r="1387">
      <c r="A1387" t="inlineStr">
        <is>
          <t>0000943209</t>
        </is>
      </c>
      <c r="B1387" t="inlineStr">
        <is>
          <t>MEGH STEELS PRIVATE LIMITED - TVS A</t>
        </is>
      </c>
      <c r="C1387" t="inlineStr">
        <is>
          <t>NOS</t>
        </is>
      </c>
      <c r="D1387" t="n">
        <v>3918</v>
      </c>
      <c r="E1387" t="n">
        <v>2016.454</v>
      </c>
      <c r="F1387" t="n">
        <v>1065.696</v>
      </c>
      <c r="G1387" t="n">
        <v>2409616</v>
      </c>
      <c r="H1387" t="inlineStr">
        <is>
          <t>TUB-O-N-AUT-AW-PE-19.05X1.200X0.5130</t>
        </is>
      </c>
    </row>
    <row r="1388">
      <c r="A1388" t="inlineStr">
        <is>
          <t>0000943209</t>
        </is>
      </c>
      <c r="B1388" t="inlineStr">
        <is>
          <t>MEGH STEELS PRIVATE LIMITED - TVS A</t>
        </is>
      </c>
      <c r="C1388" t="inlineStr">
        <is>
          <t>NOS</t>
        </is>
      </c>
      <c r="D1388" t="n">
        <v>11373</v>
      </c>
      <c r="E1388" t="n">
        <v>2154.174</v>
      </c>
      <c r="F1388" t="n">
        <v>943.9589999999999</v>
      </c>
      <c r="G1388" t="n">
        <v>3432081</v>
      </c>
      <c r="H1388" t="inlineStr">
        <is>
          <t>TUB-O-N-AUT-AW-PE-12.70X1.600X0.1890</t>
        </is>
      </c>
    </row>
    <row r="1389">
      <c r="A1389" t="inlineStr">
        <is>
          <t>0000943209</t>
        </is>
      </c>
      <c r="B1389" t="inlineStr">
        <is>
          <t>MEGH STEELS PRIVATE LIMITED - TVS A</t>
        </is>
      </c>
      <c r="C1389" t="inlineStr">
        <is>
          <t>NOS</t>
        </is>
      </c>
      <c r="D1389" t="n">
        <v>1227</v>
      </c>
      <c r="E1389" t="n">
        <v>232.408</v>
      </c>
      <c r="F1389" t="n">
        <v>101.841</v>
      </c>
      <c r="G1389" t="n">
        <v>3432081</v>
      </c>
      <c r="H1389" t="inlineStr">
        <is>
          <t>TUB-O-N-AUT-AW-PE-12.70X1.600X0.1890</t>
        </is>
      </c>
    </row>
    <row r="1390">
      <c r="A1390" t="inlineStr">
        <is>
          <t>0000943209</t>
        </is>
      </c>
      <c r="B1390" t="inlineStr">
        <is>
          <t>MEGH STEELS PRIVATE LIMITED - TVS A</t>
        </is>
      </c>
      <c r="C1390" t="inlineStr">
        <is>
          <t>NOS</t>
        </is>
      </c>
      <c r="D1390" t="n">
        <v>6</v>
      </c>
      <c r="E1390" t="n">
        <v>6.87</v>
      </c>
      <c r="F1390" t="n">
        <v>3.629</v>
      </c>
      <c r="G1390" t="n">
        <v>4110464</v>
      </c>
      <c r="H1390" t="inlineStr">
        <is>
          <t>TUB-O-N-AUT-AW-PE-19.05X1.200X1.1450</t>
        </is>
      </c>
    </row>
    <row r="1391">
      <c r="A1391" t="inlineStr">
        <is>
          <t>0000943209</t>
        </is>
      </c>
      <c r="B1391" t="inlineStr">
        <is>
          <t>MEGH STEELS PRIVATE LIMITED - TVS A</t>
        </is>
      </c>
      <c r="C1391" t="inlineStr">
        <is>
          <t>NOS</t>
        </is>
      </c>
      <c r="D1391" t="n">
        <v>30</v>
      </c>
      <c r="E1391" t="n">
        <v>34.35</v>
      </c>
      <c r="F1391" t="n">
        <v>18.145</v>
      </c>
      <c r="G1391" t="n">
        <v>4110464</v>
      </c>
      <c r="H1391" t="inlineStr">
        <is>
          <t>TUB-O-N-AUT-AW-PE-19.05X1.200X1.1450</t>
        </is>
      </c>
    </row>
    <row r="1392">
      <c r="A1392" t="inlineStr">
        <is>
          <t>0000943209</t>
        </is>
      </c>
      <c r="B1392" t="inlineStr">
        <is>
          <t>MEGH STEELS PRIVATE LIMITED - TVS A</t>
        </is>
      </c>
      <c r="C1392" t="inlineStr">
        <is>
          <t>NOS</t>
        </is>
      </c>
      <c r="D1392" t="n">
        <v>210</v>
      </c>
      <c r="E1392" t="n">
        <v>240.452</v>
      </c>
      <c r="F1392" t="n">
        <v>127.017</v>
      </c>
      <c r="G1392" t="n">
        <v>4110464</v>
      </c>
      <c r="H1392" t="inlineStr">
        <is>
          <t>TUB-O-N-AUT-AW-PE-19.05X1.200X1.1450</t>
        </is>
      </c>
    </row>
    <row r="1393">
      <c r="A1393" t="inlineStr">
        <is>
          <t>0000943209</t>
        </is>
      </c>
      <c r="B1393" t="inlineStr">
        <is>
          <t>MEGH STEELS PRIVATE LIMITED - TVS A</t>
        </is>
      </c>
      <c r="C1393" t="inlineStr">
        <is>
          <t>NOS</t>
        </is>
      </c>
      <c r="D1393" t="n">
        <v>2876</v>
      </c>
      <c r="E1393" t="n">
        <v>3293.045</v>
      </c>
      <c r="F1393" t="n">
        <v>1739.533</v>
      </c>
      <c r="G1393" t="n">
        <v>4110464</v>
      </c>
      <c r="H1393" t="inlineStr">
        <is>
          <t>TUB-O-N-AUT-AW-PE-19.05X1.200X1.1450</t>
        </is>
      </c>
    </row>
    <row r="1394">
      <c r="A1394" t="inlineStr">
        <is>
          <t>0000943209</t>
        </is>
      </c>
      <c r="B1394" t="inlineStr">
        <is>
          <t>MEGH STEELS PRIVATE LIMITED - TVS A</t>
        </is>
      </c>
      <c r="C1394" t="inlineStr">
        <is>
          <t>NOS</t>
        </is>
      </c>
      <c r="D1394" t="n">
        <v>928</v>
      </c>
      <c r="E1394" t="n">
        <v>1062.568</v>
      </c>
      <c r="F1394" t="n">
        <v>561.296</v>
      </c>
      <c r="G1394" t="n">
        <v>4110464</v>
      </c>
      <c r="H1394" t="inlineStr">
        <is>
          <t>TUB-O-N-AUT-AW-PE-19.05X1.200X1.1450</t>
        </is>
      </c>
    </row>
    <row r="1395">
      <c r="A1395" t="inlineStr">
        <is>
          <t>0000189287</t>
        </is>
      </c>
      <c r="B1395" t="inlineStr">
        <is>
          <t>BALAJI PRESS PRODUCTS INDIA</t>
        </is>
      </c>
      <c r="C1395" t="inlineStr">
        <is>
          <t>NOS</t>
        </is>
      </c>
      <c r="D1395" t="n">
        <v>5953</v>
      </c>
      <c r="E1395" t="n">
        <v>1127.565</v>
      </c>
      <c r="F1395" t="n">
        <v>494.099</v>
      </c>
      <c r="G1395" t="n">
        <v>3432081</v>
      </c>
      <c r="H1395" t="inlineStr">
        <is>
          <t>TUB-O-N-AUT-AW-PE-12.70X1.600X0.1890</t>
        </is>
      </c>
    </row>
    <row r="1396">
      <c r="A1396" t="inlineStr">
        <is>
          <t>0000189287</t>
        </is>
      </c>
      <c r="B1396" t="inlineStr">
        <is>
          <t>BALAJI PRESS PRODUCTS INDIA</t>
        </is>
      </c>
      <c r="C1396" t="inlineStr">
        <is>
          <t>NOS</t>
        </is>
      </c>
      <c r="D1396" t="n">
        <v>5433</v>
      </c>
      <c r="E1396" t="n">
        <v>1029.071</v>
      </c>
      <c r="F1396" t="n">
        <v>450.939</v>
      </c>
      <c r="G1396" t="n">
        <v>3432081</v>
      </c>
      <c r="H1396" t="inlineStr">
        <is>
          <t>TUB-O-N-AUT-AW-PE-12.70X1.600X0.1890</t>
        </is>
      </c>
    </row>
    <row r="1397">
      <c r="A1397" t="inlineStr">
        <is>
          <t>0000189287</t>
        </is>
      </c>
      <c r="B1397" t="inlineStr">
        <is>
          <t>BALAJI PRESS PRODUCTS INDIA</t>
        </is>
      </c>
      <c r="C1397" t="inlineStr">
        <is>
          <t>NOS</t>
        </is>
      </c>
      <c r="D1397" t="n">
        <v>14</v>
      </c>
      <c r="E1397" t="n">
        <v>2.652</v>
      </c>
      <c r="F1397" t="n">
        <v>1.162</v>
      </c>
      <c r="G1397" t="n">
        <v>3432081</v>
      </c>
      <c r="H1397" t="inlineStr">
        <is>
          <t>TUB-O-N-AUT-AW-PE-12.70X1.600X0.1890</t>
        </is>
      </c>
    </row>
    <row r="1398">
      <c r="A1398" t="inlineStr">
        <is>
          <t>0000189287</t>
        </is>
      </c>
      <c r="B1398" t="inlineStr">
        <is>
          <t>BALAJI PRESS PRODUCTS INDIA</t>
        </is>
      </c>
      <c r="C1398" t="inlineStr">
        <is>
          <t>NOS</t>
        </is>
      </c>
      <c r="D1398" t="n">
        <v>2060</v>
      </c>
      <c r="E1398" t="n">
        <v>2214.485</v>
      </c>
      <c r="F1398" t="n">
        <v>1124.737</v>
      </c>
      <c r="G1398" t="n">
        <v>3229740</v>
      </c>
      <c r="H1398" t="inlineStr">
        <is>
          <t>TUB-O-N-AUT-AW-PE-19.05X1.200X1.0750</t>
        </is>
      </c>
    </row>
    <row r="1399">
      <c r="A1399" t="inlineStr">
        <is>
          <t>0000189287</t>
        </is>
      </c>
      <c r="B1399" t="inlineStr">
        <is>
          <t>BALAJI PRESS PRODUCTS INDIA</t>
        </is>
      </c>
      <c r="C1399" t="inlineStr">
        <is>
          <t>NOS</t>
        </is>
      </c>
      <c r="D1399" t="n">
        <v>631</v>
      </c>
      <c r="E1399" t="n">
        <v>678.321</v>
      </c>
      <c r="F1399" t="n">
        <v>344.519</v>
      </c>
      <c r="G1399" t="n">
        <v>3229740</v>
      </c>
      <c r="H1399" t="inlineStr">
        <is>
          <t>TUB-O-N-AUT-AW-PE-19.05X1.200X1.0750</t>
        </is>
      </c>
    </row>
    <row r="1400">
      <c r="A1400" t="inlineStr">
        <is>
          <t>0000189287</t>
        </is>
      </c>
      <c r="B1400" t="inlineStr">
        <is>
          <t>BALAJI PRESS PRODUCTS INDIA</t>
        </is>
      </c>
      <c r="C1400" t="inlineStr">
        <is>
          <t>NOS</t>
        </is>
      </c>
      <c r="D1400" t="n">
        <v>474</v>
      </c>
      <c r="E1400" t="n">
        <v>509.547</v>
      </c>
      <c r="F1400" t="n">
        <v>258.799</v>
      </c>
      <c r="G1400" t="n">
        <v>3229740</v>
      </c>
      <c r="H1400" t="inlineStr">
        <is>
          <t>TUB-O-N-AUT-AW-PE-19.05X1.200X1.0750</t>
        </is>
      </c>
    </row>
    <row r="1401">
      <c r="A1401" t="inlineStr">
        <is>
          <t>0000189287</t>
        </is>
      </c>
      <c r="B1401" t="inlineStr">
        <is>
          <t>BALAJI PRESS PRODUCTS INDIA</t>
        </is>
      </c>
      <c r="C1401" t="inlineStr">
        <is>
          <t>NOS</t>
        </is>
      </c>
      <c r="D1401" t="n">
        <v>260</v>
      </c>
      <c r="E1401" t="n">
        <v>279.498</v>
      </c>
      <c r="F1401" t="n">
        <v>141.957</v>
      </c>
      <c r="G1401" t="n">
        <v>3229740</v>
      </c>
      <c r="H1401" t="inlineStr">
        <is>
          <t>TUB-O-N-AUT-AW-PE-19.05X1.200X1.0750</t>
        </is>
      </c>
    </row>
    <row r="1402">
      <c r="A1402" t="inlineStr">
        <is>
          <t>0000189287</t>
        </is>
      </c>
      <c r="B1402" t="inlineStr">
        <is>
          <t>BALAJI PRESS PRODUCTS INDIA</t>
        </is>
      </c>
      <c r="C1402" t="inlineStr">
        <is>
          <t>NOS</t>
        </is>
      </c>
      <c r="D1402" t="n">
        <v>150</v>
      </c>
      <c r="E1402" t="n">
        <v>161.249</v>
      </c>
      <c r="F1402" t="n">
        <v>81.898</v>
      </c>
      <c r="G1402" t="n">
        <v>3229740</v>
      </c>
      <c r="H1402" t="inlineStr">
        <is>
          <t>TUB-O-N-AUT-AW-PE-19.05X1.200X1.0750</t>
        </is>
      </c>
    </row>
    <row r="1403">
      <c r="A1403" t="inlineStr">
        <is>
          <t>0000189227</t>
        </is>
      </c>
      <c r="B1403" t="inlineStr">
        <is>
          <t>Neel Metal Products Limited</t>
        </is>
      </c>
      <c r="C1403" t="inlineStr">
        <is>
          <t>NOS</t>
        </is>
      </c>
      <c r="D1403" t="n">
        <v>1020</v>
      </c>
      <c r="E1403" t="n">
        <v>199.92</v>
      </c>
      <c r="F1403" t="n">
        <v>778.249</v>
      </c>
      <c r="G1403" t="n">
        <v>3677062</v>
      </c>
      <c r="H1403" t="inlineStr">
        <is>
          <t>TUB-O-N-AUT-AW-FC-48.60X3.500X0.1960</t>
        </is>
      </c>
    </row>
    <row r="1404">
      <c r="A1404" t="inlineStr">
        <is>
          <t>0000189227</t>
        </is>
      </c>
      <c r="B1404" t="inlineStr">
        <is>
          <t>Neel Metal Products Limited</t>
        </is>
      </c>
      <c r="C1404" t="inlineStr">
        <is>
          <t>NOS</t>
        </is>
      </c>
      <c r="D1404" t="n">
        <v>500</v>
      </c>
      <c r="E1404" t="n">
        <v>98</v>
      </c>
      <c r="F1404" t="n">
        <v>381.494</v>
      </c>
      <c r="G1404" t="n">
        <v>3677062</v>
      </c>
      <c r="H1404" t="inlineStr">
        <is>
          <t>TUB-O-N-AUT-AW-FC-48.60X3.500X0.1960</t>
        </is>
      </c>
    </row>
    <row r="1405">
      <c r="A1405" t="inlineStr">
        <is>
          <t>0000189227</t>
        </is>
      </c>
      <c r="B1405" t="inlineStr">
        <is>
          <t>Neel Metal Products Limited</t>
        </is>
      </c>
      <c r="C1405" t="inlineStr">
        <is>
          <t>NOS</t>
        </is>
      </c>
      <c r="D1405" t="n">
        <v>1190</v>
      </c>
      <c r="E1405" t="n">
        <v>233.24</v>
      </c>
      <c r="F1405" t="n">
        <v>907.957</v>
      </c>
      <c r="G1405" t="n">
        <v>3677062</v>
      </c>
      <c r="H1405" t="inlineStr">
        <is>
          <t>TUB-O-N-AUT-AW-FC-48.60X3.500X0.1960</t>
        </is>
      </c>
    </row>
    <row r="1406">
      <c r="A1406" t="inlineStr">
        <is>
          <t>0000189227</t>
        </is>
      </c>
      <c r="B1406" t="inlineStr">
        <is>
          <t>Neel Metal Products Limited</t>
        </is>
      </c>
      <c r="C1406" t="inlineStr">
        <is>
          <t>NOS</t>
        </is>
      </c>
      <c r="D1406" t="n">
        <v>40</v>
      </c>
      <c r="E1406" t="n">
        <v>7.84</v>
      </c>
      <c r="F1406" t="n">
        <v>30.52</v>
      </c>
      <c r="G1406" t="n">
        <v>3677062</v>
      </c>
      <c r="H1406" t="inlineStr">
        <is>
          <t>TUB-O-N-AUT-AW-FC-48.60X3.500X0.1960</t>
        </is>
      </c>
    </row>
    <row r="1407">
      <c r="A1407" t="inlineStr">
        <is>
          <t>0000948721</t>
        </is>
      </c>
      <c r="B1407" t="inlineStr">
        <is>
          <t>ELKAYEM AUTO ANCILLARIES PRIVATE LI</t>
        </is>
      </c>
      <c r="C1407" t="inlineStr">
        <is>
          <t>NOS</t>
        </is>
      </c>
      <c r="D1407" t="n">
        <v>880</v>
      </c>
      <c r="E1407" t="n">
        <v>492.76</v>
      </c>
      <c r="F1407" t="n">
        <v>771.76</v>
      </c>
      <c r="G1407" t="n">
        <v>1940823</v>
      </c>
      <c r="H1407" t="inlineStr">
        <is>
          <t>TUB-R-AW-RHS-40.00X25.00X1.600X0.5600</t>
        </is>
      </c>
    </row>
    <row r="1408">
      <c r="A1408" t="inlineStr">
        <is>
          <t>0000948721</t>
        </is>
      </c>
      <c r="B1408" t="inlineStr">
        <is>
          <t>ELKAYEM AUTO ANCILLARIES PRIVATE LI</t>
        </is>
      </c>
      <c r="C1408" t="inlineStr">
        <is>
          <t>NOS</t>
        </is>
      </c>
      <c r="D1408" t="n">
        <v>1329</v>
      </c>
      <c r="E1408" t="n">
        <v>802.697</v>
      </c>
      <c r="F1408" t="n">
        <v>1558.917</v>
      </c>
      <c r="G1408" t="n">
        <v>2427158</v>
      </c>
      <c r="H1408" t="inlineStr">
        <is>
          <t>TUB-R-AW-AUT-50.00X30.00X1.600X0.6040</t>
        </is>
      </c>
    </row>
    <row r="1409">
      <c r="A1409" t="inlineStr">
        <is>
          <t>0000948721</t>
        </is>
      </c>
      <c r="B1409" t="inlineStr">
        <is>
          <t>ELKAYEM AUTO ANCILLARIES PRIVATE LI</t>
        </is>
      </c>
      <c r="C1409" t="inlineStr">
        <is>
          <t>NOS</t>
        </is>
      </c>
      <c r="D1409" t="n">
        <v>1324</v>
      </c>
      <c r="E1409" t="n">
        <v>799.677</v>
      </c>
      <c r="F1409" t="n">
        <v>1553.052</v>
      </c>
      <c r="G1409" t="n">
        <v>2427158</v>
      </c>
      <c r="H1409" t="inlineStr">
        <is>
          <t>TUB-R-AW-AUT-50.00X30.00X1.600X0.6040</t>
        </is>
      </c>
    </row>
    <row r="1410">
      <c r="A1410" t="inlineStr">
        <is>
          <t>0000948721</t>
        </is>
      </c>
      <c r="B1410" t="inlineStr">
        <is>
          <t>ELKAYEM AUTO ANCILLARIES PRIVATE LI</t>
        </is>
      </c>
      <c r="C1410" t="inlineStr">
        <is>
          <t>NOS</t>
        </is>
      </c>
      <c r="D1410" t="n">
        <v>827</v>
      </c>
      <c r="E1410" t="n">
        <v>499.496</v>
      </c>
      <c r="F1410" t="n">
        <v>970.071</v>
      </c>
      <c r="G1410" t="n">
        <v>2427158</v>
      </c>
      <c r="H1410" t="inlineStr">
        <is>
          <t>TUB-R-AW-AUT-50.00X30.00X1.600X0.6040</t>
        </is>
      </c>
    </row>
    <row r="1411">
      <c r="A1411" t="inlineStr">
        <is>
          <t>0000952904</t>
        </is>
      </c>
      <c r="B1411" t="inlineStr">
        <is>
          <t>ELKAYEM AUTO ANCILLARIES PRIVATE LI</t>
        </is>
      </c>
      <c r="C1411" t="inlineStr">
        <is>
          <t>NOS</t>
        </is>
      </c>
      <c r="D1411" t="n">
        <v>414</v>
      </c>
      <c r="E1411" t="n">
        <v>117.992</v>
      </c>
      <c r="F1411" t="n">
        <v>110.027</v>
      </c>
      <c r="G1411" t="n">
        <v>2427711</v>
      </c>
      <c r="H1411" t="inlineStr">
        <is>
          <t>TUB-O-N-AUT-AW-PE-19.05X2.300X0.2850</t>
        </is>
      </c>
    </row>
    <row r="1412">
      <c r="A1412" t="inlineStr">
        <is>
          <t>0000952904</t>
        </is>
      </c>
      <c r="B1412" t="inlineStr">
        <is>
          <t>ELKAYEM AUTO ANCILLARIES PRIVATE LI</t>
        </is>
      </c>
      <c r="C1412" t="inlineStr">
        <is>
          <t>NOS</t>
        </is>
      </c>
      <c r="D1412" t="n">
        <v>236</v>
      </c>
      <c r="E1412" t="n">
        <v>67.261</v>
      </c>
      <c r="F1412" t="n">
        <v>62.721</v>
      </c>
      <c r="G1412" t="n">
        <v>2427711</v>
      </c>
      <c r="H1412" t="inlineStr">
        <is>
          <t>TUB-O-N-AUT-AW-PE-19.05X2.300X0.2850</t>
        </is>
      </c>
    </row>
    <row r="1413">
      <c r="A1413" t="inlineStr">
        <is>
          <t>0000952904</t>
        </is>
      </c>
      <c r="B1413" t="inlineStr">
        <is>
          <t>ELKAYEM AUTO ANCILLARIES PRIVATE LI</t>
        </is>
      </c>
      <c r="C1413" t="inlineStr">
        <is>
          <t>NOS</t>
        </is>
      </c>
      <c r="D1413" t="n">
        <v>650</v>
      </c>
      <c r="E1413" t="n">
        <v>165.751</v>
      </c>
      <c r="F1413" t="n">
        <v>151.529</v>
      </c>
      <c r="G1413" t="n">
        <v>2427712</v>
      </c>
      <c r="H1413" t="inlineStr">
        <is>
          <t>TUB-O-N-AUT-AW-PE-19.05X2.300X0.2550</t>
        </is>
      </c>
    </row>
    <row r="1414">
      <c r="A1414" t="inlineStr">
        <is>
          <t>0000952904</t>
        </is>
      </c>
      <c r="B1414" t="inlineStr">
        <is>
          <t>ELKAYEM AUTO ANCILLARIES PRIVATE LI</t>
        </is>
      </c>
      <c r="C1414" t="inlineStr">
        <is>
          <t>NOS</t>
        </is>
      </c>
      <c r="D1414" t="n">
        <v>2444</v>
      </c>
      <c r="E1414" t="n">
        <v>740.525</v>
      </c>
      <c r="F1414" t="n">
        <v>676.9880000000001</v>
      </c>
      <c r="G1414" t="n">
        <v>1940313</v>
      </c>
      <c r="H1414" t="inlineStr">
        <is>
          <t>TUB-O-O-AUT-AW-PE-19.05X2.300X0.3030</t>
        </is>
      </c>
    </row>
    <row r="1415">
      <c r="A1415" t="inlineStr">
        <is>
          <t>0000952904</t>
        </is>
      </c>
      <c r="B1415" t="inlineStr">
        <is>
          <t>ELKAYEM AUTO ANCILLARIES PRIVATE LI</t>
        </is>
      </c>
      <c r="C1415" t="inlineStr">
        <is>
          <t>NOS</t>
        </is>
      </c>
      <c r="D1415" t="n">
        <v>1027</v>
      </c>
      <c r="E1415" t="n">
        <v>311.178</v>
      </c>
      <c r="F1415" t="n">
        <v>284.479</v>
      </c>
      <c r="G1415" t="n">
        <v>1940313</v>
      </c>
      <c r="H1415" t="inlineStr">
        <is>
          <t>TUB-O-O-AUT-AW-PE-19.05X2.300X0.3030</t>
        </is>
      </c>
    </row>
    <row r="1416">
      <c r="A1416" t="inlineStr">
        <is>
          <t>0000952904</t>
        </is>
      </c>
      <c r="B1416" t="inlineStr">
        <is>
          <t>ELKAYEM AUTO ANCILLARIES PRIVATE LI</t>
        </is>
      </c>
      <c r="C1416" t="inlineStr">
        <is>
          <t>NOS</t>
        </is>
      </c>
      <c r="D1416" t="n">
        <v>570</v>
      </c>
      <c r="E1416" t="n">
        <v>172.708</v>
      </c>
      <c r="F1416" t="n">
        <v>157.89</v>
      </c>
      <c r="G1416" t="n">
        <v>1940313</v>
      </c>
      <c r="H1416" t="inlineStr">
        <is>
          <t>TUB-O-O-AUT-AW-PE-19.05X2.300X0.3030</t>
        </is>
      </c>
    </row>
    <row r="1417">
      <c r="A1417" t="inlineStr">
        <is>
          <t>0000952904</t>
        </is>
      </c>
      <c r="B1417" t="inlineStr">
        <is>
          <t>ELKAYEM AUTO ANCILLARIES PRIVATE LI</t>
        </is>
      </c>
      <c r="C1417" t="inlineStr">
        <is>
          <t>NOS</t>
        </is>
      </c>
      <c r="D1417" t="n">
        <v>159</v>
      </c>
      <c r="E1417" t="n">
        <v>48.177</v>
      </c>
      <c r="F1417" t="n">
        <v>44.043</v>
      </c>
      <c r="G1417" t="n">
        <v>1940313</v>
      </c>
      <c r="H1417" t="inlineStr">
        <is>
          <t>TUB-O-O-AUT-AW-PE-19.05X2.300X0.3030</t>
        </is>
      </c>
    </row>
    <row r="1418">
      <c r="A1418" t="inlineStr">
        <is>
          <t>0000129663</t>
        </is>
      </c>
      <c r="B1418" t="inlineStr">
        <is>
          <t>ELKAYEM AUTO ANCILLARIES (PVT) LTD.</t>
        </is>
      </c>
      <c r="C1418" t="inlineStr">
        <is>
          <t>NOS</t>
        </is>
      </c>
      <c r="D1418" t="n">
        <v>5194</v>
      </c>
      <c r="E1418" t="n">
        <v>2120.934</v>
      </c>
      <c r="F1418" t="n">
        <v>721.966</v>
      </c>
      <c r="G1418" t="n">
        <v>1939966</v>
      </c>
      <c r="H1418" t="inlineStr">
        <is>
          <t>TUB-O-O-AUT-AW-PE-12.70X1.200X0.4080</t>
        </is>
      </c>
    </row>
    <row r="1419">
      <c r="A1419" t="inlineStr">
        <is>
          <t>0000129663</t>
        </is>
      </c>
      <c r="B1419" t="inlineStr">
        <is>
          <t>ELKAYEM AUTO ANCILLARIES (PVT) LTD.</t>
        </is>
      </c>
      <c r="C1419" t="inlineStr">
        <is>
          <t>NOS</t>
        </is>
      </c>
      <c r="D1419" t="n">
        <v>2206</v>
      </c>
      <c r="E1419" t="n">
        <v>900.8049999999999</v>
      </c>
      <c r="F1419" t="n">
        <v>306.634</v>
      </c>
      <c r="G1419" t="n">
        <v>1939966</v>
      </c>
      <c r="H1419" t="inlineStr">
        <is>
          <t>TUB-O-O-AUT-AW-PE-12.70X1.200X0.4080</t>
        </is>
      </c>
    </row>
    <row r="1420">
      <c r="A1420" t="inlineStr">
        <is>
          <t>0000948721</t>
        </is>
      </c>
      <c r="B1420" t="inlineStr">
        <is>
          <t>ELKAYEM AUTO ANCILLARIES PRIVATE LI</t>
        </is>
      </c>
      <c r="C1420" t="inlineStr">
        <is>
          <t>NOS</t>
        </is>
      </c>
      <c r="D1420" t="n">
        <v>4287</v>
      </c>
      <c r="E1420" t="n">
        <v>4079.596</v>
      </c>
      <c r="F1420" t="n">
        <v>1787.679</v>
      </c>
      <c r="G1420" t="n">
        <v>3172238</v>
      </c>
      <c r="H1420" t="inlineStr">
        <is>
          <t>TUB-O-N-AUT-AW-PE-12.70X1.600X0.9500</t>
        </is>
      </c>
    </row>
    <row r="1421">
      <c r="A1421" t="inlineStr">
        <is>
          <t>0000948721</t>
        </is>
      </c>
      <c r="B1421" t="inlineStr">
        <is>
          <t>ELKAYEM AUTO ANCILLARIES PRIVATE LI</t>
        </is>
      </c>
      <c r="C1421" t="inlineStr">
        <is>
          <t>NOS</t>
        </is>
      </c>
      <c r="D1421" t="n">
        <v>1470</v>
      </c>
      <c r="E1421" t="n">
        <v>1398.882</v>
      </c>
      <c r="F1421" t="n">
        <v>612.99</v>
      </c>
      <c r="G1421" t="n">
        <v>3620427</v>
      </c>
      <c r="H1421" t="inlineStr">
        <is>
          <t>TUB-O-N-AUT-AW-PE-12.70X1.600X0.9500</t>
        </is>
      </c>
    </row>
    <row r="1422">
      <c r="A1422" t="inlineStr">
        <is>
          <t>0000948721</t>
        </is>
      </c>
      <c r="B1422" t="inlineStr">
        <is>
          <t>ELKAYEM AUTO ANCILLARIES PRIVATE LI</t>
        </is>
      </c>
      <c r="C1422" t="inlineStr">
        <is>
          <t>NOS</t>
        </is>
      </c>
      <c r="D1422" t="n">
        <v>1098</v>
      </c>
      <c r="E1422" t="n">
        <v>1044.879</v>
      </c>
      <c r="F1422" t="n">
        <v>457.866</v>
      </c>
      <c r="G1422" t="n">
        <v>3620427</v>
      </c>
      <c r="H1422" t="inlineStr">
        <is>
          <t>TUB-O-N-AUT-AW-PE-12.70X1.600X0.9500</t>
        </is>
      </c>
    </row>
    <row r="1423">
      <c r="A1423" t="inlineStr">
        <is>
          <t>0000948721</t>
        </is>
      </c>
      <c r="B1423" t="inlineStr">
        <is>
          <t>ELKAYEM AUTO ANCILLARIES PRIVATE LI</t>
        </is>
      </c>
      <c r="C1423" t="inlineStr">
        <is>
          <t>NOS</t>
        </is>
      </c>
      <c r="D1423" t="n">
        <v>472</v>
      </c>
      <c r="E1423" t="n">
        <v>449.165</v>
      </c>
      <c r="F1423" t="n">
        <v>196.824</v>
      </c>
      <c r="G1423" t="n">
        <v>3620427</v>
      </c>
      <c r="H1423" t="inlineStr">
        <is>
          <t>TUB-O-N-AUT-AW-PE-12.70X1.600X0.9500</t>
        </is>
      </c>
    </row>
    <row r="1424">
      <c r="A1424" t="inlineStr">
        <is>
          <t>0000948721</t>
        </is>
      </c>
      <c r="B1424" t="inlineStr">
        <is>
          <t>ELKAYEM AUTO ANCILLARIES PRIVATE LI</t>
        </is>
      </c>
      <c r="C1424" t="inlineStr">
        <is>
          <t>NOS</t>
        </is>
      </c>
      <c r="D1424" t="n">
        <v>273</v>
      </c>
      <c r="E1424" t="n">
        <v>259.792</v>
      </c>
      <c r="F1424" t="n">
        <v>113.841</v>
      </c>
      <c r="G1424" t="n">
        <v>3620427</v>
      </c>
      <c r="H1424" t="inlineStr">
        <is>
          <t>TUB-O-N-AUT-AW-PE-12.70X1.600X0.9500</t>
        </is>
      </c>
    </row>
    <row r="1425">
      <c r="A1425" t="inlineStr">
        <is>
          <t>0000188595</t>
        </is>
      </c>
      <c r="B1425" t="inlineStr">
        <is>
          <t>Sri Balaji Gears</t>
        </is>
      </c>
      <c r="C1425" t="inlineStr">
        <is>
          <t>NOS</t>
        </is>
      </c>
      <c r="D1425" t="n">
        <v>2364</v>
      </c>
      <c r="E1425" t="n">
        <v>1512.954</v>
      </c>
      <c r="F1425" t="n">
        <v>1368.467</v>
      </c>
      <c r="G1425" t="n">
        <v>4151430</v>
      </c>
      <c r="H1425" t="inlineStr">
        <is>
          <t>TUB-S-AW-AUT-25.00X25.00X1.200X0.6400</t>
        </is>
      </c>
    </row>
    <row r="1426">
      <c r="A1426" t="inlineStr">
        <is>
          <t>0000188595</t>
        </is>
      </c>
      <c r="B1426" t="inlineStr">
        <is>
          <t>Sri Balaji Gears</t>
        </is>
      </c>
      <c r="C1426" t="inlineStr">
        <is>
          <t>NOS</t>
        </is>
      </c>
      <c r="D1426" t="n">
        <v>874</v>
      </c>
      <c r="E1426" t="n">
        <v>559.3579999999999</v>
      </c>
      <c r="F1426" t="n">
        <v>505.939</v>
      </c>
      <c r="G1426" t="n">
        <v>4151430</v>
      </c>
      <c r="H1426" t="inlineStr">
        <is>
          <t>TUB-S-AW-AUT-25.00X25.00X1.200X0.6400</t>
        </is>
      </c>
    </row>
    <row r="1427">
      <c r="A1427" t="inlineStr">
        <is>
          <t>0000188595</t>
        </is>
      </c>
      <c r="B1427" t="inlineStr">
        <is>
          <t>Sri Balaji Gears</t>
        </is>
      </c>
      <c r="C1427" t="inlineStr">
        <is>
          <t>NOS</t>
        </is>
      </c>
      <c r="D1427" t="n">
        <v>549</v>
      </c>
      <c r="E1427" t="n">
        <v>351.359</v>
      </c>
      <c r="F1427" t="n">
        <v>317.804</v>
      </c>
      <c r="G1427" t="n">
        <v>4151430</v>
      </c>
      <c r="H1427" t="inlineStr">
        <is>
          <t>TUB-S-AW-AUT-25.00X25.00X1.200X0.6400</t>
        </is>
      </c>
    </row>
    <row r="1428">
      <c r="A1428" t="inlineStr">
        <is>
          <t>0000188595</t>
        </is>
      </c>
      <c r="B1428" t="inlineStr">
        <is>
          <t>Sri Balaji Gears</t>
        </is>
      </c>
      <c r="C1428" t="inlineStr">
        <is>
          <t>NOS</t>
        </is>
      </c>
      <c r="D1428" t="n">
        <v>82</v>
      </c>
      <c r="E1428" t="n">
        <v>52.48</v>
      </c>
      <c r="F1428" t="n">
        <v>47.468</v>
      </c>
      <c r="G1428" t="n">
        <v>4151430</v>
      </c>
      <c r="H1428" t="inlineStr">
        <is>
          <t>TUB-S-AW-AUT-25.00X25.00X1.200X0.6400</t>
        </is>
      </c>
    </row>
    <row r="1429">
      <c r="A1429" t="inlineStr">
        <is>
          <t>0000188595</t>
        </is>
      </c>
      <c r="B1429" t="inlineStr">
        <is>
          <t>Sri Balaji Gears</t>
        </is>
      </c>
      <c r="C1429" t="inlineStr">
        <is>
          <t>NOS</t>
        </is>
      </c>
      <c r="D1429" t="n">
        <v>69</v>
      </c>
      <c r="E1429" t="n">
        <v>44.16</v>
      </c>
      <c r="F1429" t="n">
        <v>39.943</v>
      </c>
      <c r="G1429" t="n">
        <v>4151430</v>
      </c>
      <c r="H1429" t="inlineStr">
        <is>
          <t>TUB-S-AW-AUT-25.00X25.00X1.200X0.6400</t>
        </is>
      </c>
    </row>
    <row r="1430">
      <c r="A1430" t="inlineStr">
        <is>
          <t>0000188595</t>
        </is>
      </c>
      <c r="B1430" t="inlineStr">
        <is>
          <t>Sri Balaji Gears</t>
        </is>
      </c>
      <c r="C1430" t="inlineStr">
        <is>
          <t>NOS</t>
        </is>
      </c>
      <c r="D1430" t="n">
        <v>62</v>
      </c>
      <c r="E1430" t="n">
        <v>39.68</v>
      </c>
      <c r="F1430" t="n">
        <v>35.89</v>
      </c>
      <c r="G1430" t="n">
        <v>4151430</v>
      </c>
      <c r="H1430" t="inlineStr">
        <is>
          <t>TUB-S-AW-AUT-25.00X25.00X1.200X0.6400</t>
        </is>
      </c>
    </row>
    <row r="1431">
      <c r="A1431" t="inlineStr">
        <is>
          <t>0000188595</t>
        </is>
      </c>
      <c r="B1431" t="inlineStr">
        <is>
          <t>Sri Balaji Gears</t>
        </is>
      </c>
      <c r="C1431" t="inlineStr">
        <is>
          <t>NOS</t>
        </is>
      </c>
      <c r="D1431" t="n">
        <v>1025</v>
      </c>
      <c r="E1431" t="n">
        <v>1260.757</v>
      </c>
      <c r="F1431" t="n">
        <v>665.9880000000001</v>
      </c>
      <c r="G1431" t="n">
        <v>3929692</v>
      </c>
      <c r="H1431" t="inlineStr">
        <is>
          <t>CUT-O-N-AUT-AW-PE-19.05X1.200X1.2300</t>
        </is>
      </c>
    </row>
    <row r="1432">
      <c r="A1432" t="inlineStr">
        <is>
          <t>0000188595</t>
        </is>
      </c>
      <c r="B1432" t="inlineStr">
        <is>
          <t>Sri Balaji Gears</t>
        </is>
      </c>
      <c r="C1432" t="inlineStr">
        <is>
          <t>NOS</t>
        </is>
      </c>
      <c r="D1432" t="n">
        <v>576</v>
      </c>
      <c r="E1432" t="n">
        <v>708.484</v>
      </c>
      <c r="F1432" t="n">
        <v>374.253</v>
      </c>
      <c r="G1432" t="n">
        <v>3929692</v>
      </c>
      <c r="H1432" t="inlineStr">
        <is>
          <t>CUT-O-N-AUT-AW-PE-19.05X1.200X1.2300</t>
        </is>
      </c>
    </row>
    <row r="1433">
      <c r="A1433" t="inlineStr">
        <is>
          <t>0000188595</t>
        </is>
      </c>
      <c r="B1433" t="inlineStr">
        <is>
          <t>Sri Balaji Gears</t>
        </is>
      </c>
      <c r="C1433" t="inlineStr">
        <is>
          <t>NOS</t>
        </is>
      </c>
      <c r="D1433" t="n">
        <v>150</v>
      </c>
      <c r="E1433" t="n">
        <v>184.501</v>
      </c>
      <c r="F1433" t="n">
        <v>97.462</v>
      </c>
      <c r="G1433" t="n">
        <v>3929692</v>
      </c>
      <c r="H1433" t="inlineStr">
        <is>
          <t>CUT-O-N-AUT-AW-PE-19.05X1.200X1.2300</t>
        </is>
      </c>
    </row>
    <row r="1434">
      <c r="A1434" t="inlineStr">
        <is>
          <t>0000188595</t>
        </is>
      </c>
      <c r="B1434" t="inlineStr">
        <is>
          <t>Sri Balaji Gears</t>
        </is>
      </c>
      <c r="C1434" t="inlineStr">
        <is>
          <t>NOS</t>
        </is>
      </c>
      <c r="D1434" t="n">
        <v>149</v>
      </c>
      <c r="E1434" t="n">
        <v>183.271</v>
      </c>
      <c r="F1434" t="n">
        <v>96.812</v>
      </c>
      <c r="G1434" t="n">
        <v>3929692</v>
      </c>
      <c r="H1434" t="inlineStr">
        <is>
          <t>CUT-O-N-AUT-AW-PE-19.05X1.200X1.2300</t>
        </is>
      </c>
    </row>
    <row r="1435">
      <c r="A1435" t="inlineStr">
        <is>
          <t>0000188595</t>
        </is>
      </c>
      <c r="B1435" t="inlineStr">
        <is>
          <t>Sri Balaji Gears</t>
        </is>
      </c>
      <c r="C1435" t="inlineStr">
        <is>
          <t>NOS</t>
        </is>
      </c>
      <c r="D1435" t="n">
        <v>76</v>
      </c>
      <c r="E1435" t="n">
        <v>93.48099999999999</v>
      </c>
      <c r="F1435" t="n">
        <v>49.381</v>
      </c>
      <c r="G1435" t="n">
        <v>3929692</v>
      </c>
      <c r="H1435" t="inlineStr">
        <is>
          <t>CUT-O-N-AUT-AW-PE-19.05X1.200X1.2300</t>
        </is>
      </c>
    </row>
    <row r="1436">
      <c r="A1436" t="inlineStr">
        <is>
          <t>0000188595</t>
        </is>
      </c>
      <c r="B1436" t="inlineStr">
        <is>
          <t>Sri Balaji Gears</t>
        </is>
      </c>
      <c r="C1436" t="inlineStr">
        <is>
          <t>NOS</t>
        </is>
      </c>
      <c r="D1436" t="n">
        <v>18</v>
      </c>
      <c r="E1436" t="n">
        <v>22.14</v>
      </c>
      <c r="F1436" t="n">
        <v>11.695</v>
      </c>
      <c r="G1436" t="n">
        <v>3929692</v>
      </c>
      <c r="H1436" t="inlineStr">
        <is>
          <t>CUT-O-N-AUT-AW-PE-19.05X1.200X1.2300</t>
        </is>
      </c>
    </row>
    <row r="1437">
      <c r="A1437" t="inlineStr">
        <is>
          <t>0000188595</t>
        </is>
      </c>
      <c r="B1437" t="inlineStr">
        <is>
          <t>Sri Balaji Gears</t>
        </is>
      </c>
      <c r="C1437" t="inlineStr">
        <is>
          <t>NOS</t>
        </is>
      </c>
      <c r="D1437" t="n">
        <v>6</v>
      </c>
      <c r="E1437" t="n">
        <v>7.38</v>
      </c>
      <c r="F1437" t="n">
        <v>3.898</v>
      </c>
      <c r="G1437" t="n">
        <v>3929692</v>
      </c>
      <c r="H1437" t="inlineStr">
        <is>
          <t>CUT-O-N-AUT-AW-PE-19.05X1.200X1.2300</t>
        </is>
      </c>
    </row>
    <row r="1438">
      <c r="A1438" t="inlineStr">
        <is>
          <t>0000188595</t>
        </is>
      </c>
      <c r="B1438" t="inlineStr">
        <is>
          <t>Sri Balaji Gears</t>
        </is>
      </c>
      <c r="C1438" t="inlineStr">
        <is>
          <t>NOS</t>
        </is>
      </c>
      <c r="D1438" t="n">
        <v>4000</v>
      </c>
      <c r="E1438" t="n">
        <v>600</v>
      </c>
      <c r="F1438" t="n">
        <v>260.667</v>
      </c>
      <c r="G1438" t="n">
        <v>4104140</v>
      </c>
      <c r="H1438" t="inlineStr">
        <is>
          <t>TUB-O-N-AUT-AW-PE-15.88X1.220X0.1500</t>
        </is>
      </c>
    </row>
    <row r="1439">
      <c r="A1439" t="inlineStr">
        <is>
          <t>0000188595</t>
        </is>
      </c>
      <c r="B1439" t="inlineStr">
        <is>
          <t>Sri Balaji Gears</t>
        </is>
      </c>
      <c r="C1439" t="inlineStr">
        <is>
          <t>NOS</t>
        </is>
      </c>
      <c r="D1439" t="n">
        <v>5004</v>
      </c>
      <c r="E1439" t="n">
        <v>794.015</v>
      </c>
      <c r="F1439" t="n">
        <v>1165.932</v>
      </c>
      <c r="G1439" t="n">
        <v>3572055</v>
      </c>
      <c r="H1439" t="inlineStr">
        <is>
          <t>TUB-S-AW-AUT-40.00X40.00X1.200X0.1580</t>
        </is>
      </c>
    </row>
    <row r="1440">
      <c r="A1440" t="inlineStr">
        <is>
          <t>0000188595</t>
        </is>
      </c>
      <c r="B1440" t="inlineStr">
        <is>
          <t>Sri Balaji Gears</t>
        </is>
      </c>
      <c r="C1440" t="inlineStr">
        <is>
          <t>NOS</t>
        </is>
      </c>
      <c r="D1440" t="n">
        <v>1974</v>
      </c>
      <c r="E1440" t="n">
        <v>313.227</v>
      </c>
      <c r="F1440" t="n">
        <v>459.942</v>
      </c>
      <c r="G1440" t="n">
        <v>3572055</v>
      </c>
      <c r="H1440" t="inlineStr">
        <is>
          <t>TUB-S-AW-AUT-40.00X40.00X1.200X0.1580</t>
        </is>
      </c>
    </row>
    <row r="1441">
      <c r="A1441" t="inlineStr">
        <is>
          <t>0000188595</t>
        </is>
      </c>
      <c r="B1441" t="inlineStr">
        <is>
          <t>Sri Balaji Gears</t>
        </is>
      </c>
      <c r="C1441" t="inlineStr">
        <is>
          <t>NOS</t>
        </is>
      </c>
      <c r="D1441" t="n">
        <v>853</v>
      </c>
      <c r="E1441" t="n">
        <v>135.351</v>
      </c>
      <c r="F1441" t="n">
        <v>198.749</v>
      </c>
      <c r="G1441" t="n">
        <v>3572055</v>
      </c>
      <c r="H1441" t="inlineStr">
        <is>
          <t>TUB-S-AW-AUT-40.00X40.00X1.200X0.1580</t>
        </is>
      </c>
    </row>
    <row r="1442">
      <c r="A1442" t="inlineStr">
        <is>
          <t>0000188595</t>
        </is>
      </c>
      <c r="B1442" t="inlineStr">
        <is>
          <t>Sri Balaji Gears</t>
        </is>
      </c>
      <c r="C1442" t="inlineStr">
        <is>
          <t>NOS</t>
        </is>
      </c>
      <c r="D1442" t="n">
        <v>169</v>
      </c>
      <c r="E1442" t="n">
        <v>26.816</v>
      </c>
      <c r="F1442" t="n">
        <v>39.377</v>
      </c>
      <c r="G1442" t="n">
        <v>3572055</v>
      </c>
      <c r="H1442" t="inlineStr">
        <is>
          <t>TUB-S-AW-AUT-40.00X40.00X1.200X0.1580</t>
        </is>
      </c>
    </row>
    <row r="1443">
      <c r="A1443" t="inlineStr">
        <is>
          <t>0000188595</t>
        </is>
      </c>
      <c r="B1443" t="inlineStr">
        <is>
          <t>Sri Balaji Gears</t>
        </is>
      </c>
      <c r="C1443" t="inlineStr">
        <is>
          <t>NOS</t>
        </is>
      </c>
      <c r="D1443" t="n">
        <v>2499</v>
      </c>
      <c r="E1443" t="n">
        <v>287.386</v>
      </c>
      <c r="F1443" t="n">
        <v>421.998</v>
      </c>
      <c r="G1443" t="n">
        <v>4151471</v>
      </c>
      <c r="H1443" t="inlineStr">
        <is>
          <t>TUB-S-AW-SHS-40.00X40.00X1.200X0.1150</t>
        </is>
      </c>
    </row>
    <row r="1444">
      <c r="A1444" t="inlineStr">
        <is>
          <t>0000188595</t>
        </is>
      </c>
      <c r="B1444" t="inlineStr">
        <is>
          <t>Sri Balaji Gears</t>
        </is>
      </c>
      <c r="C1444" t="inlineStr">
        <is>
          <t>NOS</t>
        </is>
      </c>
      <c r="D1444" t="n">
        <v>1501</v>
      </c>
      <c r="E1444" t="n">
        <v>172.616</v>
      </c>
      <c r="F1444" t="n">
        <v>253.469</v>
      </c>
      <c r="G1444" t="n">
        <v>4151471</v>
      </c>
      <c r="H1444" t="inlineStr">
        <is>
          <t>TUB-S-AW-SHS-40.00X40.00X1.200X0.1150</t>
        </is>
      </c>
    </row>
    <row r="1445">
      <c r="A1445" t="inlineStr">
        <is>
          <t>0000188595</t>
        </is>
      </c>
      <c r="B1445" t="inlineStr">
        <is>
          <t>Sri Balaji Gears</t>
        </is>
      </c>
      <c r="C1445" t="inlineStr">
        <is>
          <t>NOS</t>
        </is>
      </c>
      <c r="D1445" t="n">
        <v>2297</v>
      </c>
      <c r="E1445" t="n">
        <v>436.429</v>
      </c>
      <c r="F1445" t="n">
        <v>476.755</v>
      </c>
      <c r="G1445" t="n">
        <v>4151424</v>
      </c>
      <c r="H1445" t="inlineStr">
        <is>
          <t>TUB-S-AW-AUT-30.00X30.00X1.200X0.1900</t>
        </is>
      </c>
    </row>
    <row r="1446">
      <c r="A1446" t="inlineStr">
        <is>
          <t>0000188595</t>
        </is>
      </c>
      <c r="B1446" t="inlineStr">
        <is>
          <t>Sri Balaji Gears</t>
        </is>
      </c>
      <c r="C1446" t="inlineStr">
        <is>
          <t>NOS</t>
        </is>
      </c>
      <c r="D1446" t="n">
        <v>1686</v>
      </c>
      <c r="E1446" t="n">
        <v>320.339</v>
      </c>
      <c r="F1446" t="n">
        <v>349.939</v>
      </c>
      <c r="G1446" t="n">
        <v>4151424</v>
      </c>
      <c r="H1446" t="inlineStr">
        <is>
          <t>TUB-S-AW-AUT-30.00X30.00X1.200X0.1900</t>
        </is>
      </c>
    </row>
    <row r="1447">
      <c r="A1447" t="inlineStr">
        <is>
          <t>0000188595</t>
        </is>
      </c>
      <c r="B1447" t="inlineStr">
        <is>
          <t>Sri Balaji Gears</t>
        </is>
      </c>
      <c r="C1447" t="inlineStr">
        <is>
          <t>NOS</t>
        </is>
      </c>
      <c r="D1447" t="n">
        <v>14</v>
      </c>
      <c r="E1447" t="n">
        <v>2.66</v>
      </c>
      <c r="F1447" t="n">
        <v>2.906</v>
      </c>
      <c r="G1447" t="n">
        <v>4151424</v>
      </c>
      <c r="H1447" t="inlineStr">
        <is>
          <t>TUB-S-AW-AUT-30.00X30.00X1.200X0.1900</t>
        </is>
      </c>
    </row>
    <row r="1448">
      <c r="A1448" t="inlineStr">
        <is>
          <t>0000188595</t>
        </is>
      </c>
      <c r="B1448" t="inlineStr">
        <is>
          <t>Sri Balaji Gears</t>
        </is>
      </c>
      <c r="C1448" t="inlineStr">
        <is>
          <t>NOS</t>
        </is>
      </c>
      <c r="D1448" t="n">
        <v>3</v>
      </c>
      <c r="E1448" t="n">
        <v>0.57</v>
      </c>
      <c r="F1448" t="n">
        <v>0.623</v>
      </c>
      <c r="G1448" t="n">
        <v>4151424</v>
      </c>
      <c r="H1448" t="inlineStr">
        <is>
          <t>TUB-S-AW-AUT-30.00X30.00X1.200X0.1900</t>
        </is>
      </c>
    </row>
    <row r="1449">
      <c r="A1449" t="inlineStr">
        <is>
          <t>0000188595</t>
        </is>
      </c>
      <c r="B1449" t="inlineStr">
        <is>
          <t>Sri Balaji Gears</t>
        </is>
      </c>
      <c r="C1449" t="inlineStr">
        <is>
          <t>NOS</t>
        </is>
      </c>
      <c r="D1449" t="n">
        <v>7515</v>
      </c>
      <c r="E1449" t="n">
        <v>1502.937</v>
      </c>
      <c r="F1449" t="n">
        <v>793.918</v>
      </c>
      <c r="G1449" t="n">
        <v>3929691</v>
      </c>
      <c r="H1449" t="inlineStr">
        <is>
          <t>CUT-O-N-AUT-AW-PE-19.05X1.200X0.2000</t>
        </is>
      </c>
    </row>
    <row r="1450">
      <c r="A1450" t="inlineStr">
        <is>
          <t>0000188595</t>
        </is>
      </c>
      <c r="B1450" t="inlineStr">
        <is>
          <t>Sri Balaji Gears</t>
        </is>
      </c>
      <c r="C1450" t="inlineStr">
        <is>
          <t>NOS</t>
        </is>
      </c>
      <c r="D1450" t="n">
        <v>4301</v>
      </c>
      <c r="E1450" t="n">
        <v>860.164</v>
      </c>
      <c r="F1450" t="n">
        <v>454.377</v>
      </c>
      <c r="G1450" t="n">
        <v>3929691</v>
      </c>
      <c r="H1450" t="inlineStr">
        <is>
          <t>CUT-O-N-AUT-AW-PE-19.05X1.200X0.2000</t>
        </is>
      </c>
    </row>
    <row r="1451">
      <c r="A1451" t="inlineStr">
        <is>
          <t>0000188595</t>
        </is>
      </c>
      <c r="B1451" t="inlineStr">
        <is>
          <t>Sri Balaji Gears</t>
        </is>
      </c>
      <c r="C1451" t="inlineStr">
        <is>
          <t>NOS</t>
        </is>
      </c>
      <c r="D1451" t="n">
        <v>184</v>
      </c>
      <c r="E1451" t="n">
        <v>36.798</v>
      </c>
      <c r="F1451" t="n">
        <v>19.439</v>
      </c>
      <c r="G1451" t="n">
        <v>3929691</v>
      </c>
      <c r="H1451" t="inlineStr">
        <is>
          <t>CUT-O-N-AUT-AW-PE-19.05X1.200X0.2000</t>
        </is>
      </c>
    </row>
    <row r="1452">
      <c r="A1452" t="inlineStr">
        <is>
          <t>0000188595</t>
        </is>
      </c>
      <c r="B1452" t="inlineStr">
        <is>
          <t>Sri Balaji Gears</t>
        </is>
      </c>
      <c r="C1452" t="inlineStr">
        <is>
          <t>NOS</t>
        </is>
      </c>
      <c r="D1452" t="n">
        <v>1330</v>
      </c>
      <c r="E1452" t="n">
        <v>438.887</v>
      </c>
      <c r="F1452" t="n">
        <v>231.908</v>
      </c>
      <c r="G1452" t="n">
        <v>3935313</v>
      </c>
      <c r="H1452" t="inlineStr">
        <is>
          <t>CUT-O-N-AUT-AW-PE-19.05X1.200X0.33</t>
        </is>
      </c>
    </row>
    <row r="1453">
      <c r="A1453" t="inlineStr">
        <is>
          <t>0000188595</t>
        </is>
      </c>
      <c r="B1453" t="inlineStr">
        <is>
          <t>Sri Balaji Gears</t>
        </is>
      </c>
      <c r="C1453" t="inlineStr">
        <is>
          <t>NOS</t>
        </is>
      </c>
      <c r="D1453" t="n">
        <v>652</v>
      </c>
      <c r="E1453" t="n">
        <v>215.153</v>
      </c>
      <c r="F1453" t="n">
        <v>113.687</v>
      </c>
      <c r="G1453" t="n">
        <v>3935313</v>
      </c>
      <c r="H1453" t="inlineStr">
        <is>
          <t>CUT-O-N-AUT-AW-PE-19.05X1.200X0.33</t>
        </is>
      </c>
    </row>
    <row r="1454">
      <c r="A1454" t="inlineStr">
        <is>
          <t>0000188595</t>
        </is>
      </c>
      <c r="B1454" t="inlineStr">
        <is>
          <t>Sri Balaji Gears</t>
        </is>
      </c>
      <c r="C1454" t="inlineStr">
        <is>
          <t>NOS</t>
        </is>
      </c>
      <c r="D1454" t="n">
        <v>18</v>
      </c>
      <c r="E1454" t="n">
        <v>5.94</v>
      </c>
      <c r="F1454" t="n">
        <v>3.139</v>
      </c>
      <c r="G1454" t="n">
        <v>3935313</v>
      </c>
      <c r="H1454" t="inlineStr">
        <is>
          <t>CUT-O-N-AUT-AW-PE-19.05X1.200X0.33</t>
        </is>
      </c>
    </row>
    <row r="1455">
      <c r="A1455" t="inlineStr">
        <is>
          <t>0000943211</t>
        </is>
      </c>
      <c r="B1455" t="inlineStr">
        <is>
          <t>MEGH STEELS PRIVATE LIMITED - RE</t>
        </is>
      </c>
      <c r="C1455" t="inlineStr">
        <is>
          <t>KG</t>
        </is>
      </c>
      <c r="D1455" t="n">
        <v>196</v>
      </c>
      <c r="E1455" t="n">
        <v>1035.727</v>
      </c>
      <c r="F1455" t="n">
        <v>1435</v>
      </c>
      <c r="G1455" t="n">
        <v>4038150</v>
      </c>
      <c r="H1455" t="inlineStr">
        <is>
          <t>TUB-O-N-AUT-AW-FC-48.00X1.200X5.2850</t>
        </is>
      </c>
    </row>
    <row r="1456">
      <c r="A1456" t="inlineStr">
        <is>
          <t>0000943211</t>
        </is>
      </c>
      <c r="B1456" t="inlineStr">
        <is>
          <t>MEGH STEELS PRIVATE LIMITED - RE</t>
        </is>
      </c>
      <c r="C1456" t="inlineStr">
        <is>
          <t>KG</t>
        </is>
      </c>
      <c r="D1456" t="n">
        <v>208</v>
      </c>
      <c r="E1456" t="n">
        <v>1100.686</v>
      </c>
      <c r="F1456" t="n">
        <v>1525</v>
      </c>
      <c r="G1456" t="n">
        <v>4038150</v>
      </c>
      <c r="H1456" t="inlineStr">
        <is>
          <t>TUB-O-N-AUT-AW-FC-48.00X1.200X5.2850</t>
        </is>
      </c>
    </row>
    <row r="1457">
      <c r="A1457" t="inlineStr">
        <is>
          <t>0000943211</t>
        </is>
      </c>
      <c r="B1457" t="inlineStr">
        <is>
          <t>MEGH STEELS PRIVATE LIMITED - RE</t>
        </is>
      </c>
      <c r="C1457" t="inlineStr">
        <is>
          <t>KG</t>
        </is>
      </c>
      <c r="D1457" t="n">
        <v>125</v>
      </c>
      <c r="E1457" t="n">
        <v>659.6900000000001</v>
      </c>
      <c r="F1457" t="n">
        <v>914</v>
      </c>
      <c r="G1457" t="n">
        <v>4038150</v>
      </c>
      <c r="H1457" t="inlineStr">
        <is>
          <t>TUB-O-N-AUT-AW-FC-48.00X1.200X5.2850</t>
        </is>
      </c>
    </row>
    <row r="1458">
      <c r="A1458" t="inlineStr">
        <is>
          <t>0000943211</t>
        </is>
      </c>
      <c r="B1458" t="inlineStr">
        <is>
          <t>MEGH STEELS PRIVATE LIMITED - RE</t>
        </is>
      </c>
      <c r="C1458" t="inlineStr">
        <is>
          <t>KG</t>
        </is>
      </c>
      <c r="D1458" t="n">
        <v>197</v>
      </c>
      <c r="E1458" t="n">
        <v>1040.058</v>
      </c>
      <c r="F1458" t="n">
        <v>1441</v>
      </c>
      <c r="G1458" t="n">
        <v>4038150</v>
      </c>
      <c r="H1458" t="inlineStr">
        <is>
          <t>TUB-O-N-AUT-AW-FC-48.00X1.200X5.2850</t>
        </is>
      </c>
    </row>
    <row r="1459">
      <c r="A1459" t="inlineStr">
        <is>
          <t>0000943211</t>
        </is>
      </c>
      <c r="B1459" t="inlineStr">
        <is>
          <t>MEGH STEELS PRIVATE LIMITED - RE</t>
        </is>
      </c>
      <c r="C1459" t="inlineStr">
        <is>
          <t>KG</t>
        </is>
      </c>
      <c r="D1459" t="n">
        <v>109</v>
      </c>
      <c r="E1459" t="n">
        <v>577.409</v>
      </c>
      <c r="F1459" t="n">
        <v>800</v>
      </c>
      <c r="G1459" t="n">
        <v>4038150</v>
      </c>
      <c r="H1459" t="inlineStr">
        <is>
          <t>TUB-O-N-AUT-AW-FC-48.00X1.200X5.2850</t>
        </is>
      </c>
    </row>
    <row r="1460">
      <c r="A1460" t="inlineStr">
        <is>
          <t>0000943211</t>
        </is>
      </c>
      <c r="B1460" t="inlineStr">
        <is>
          <t>MEGH STEELS PRIVATE LIMITED - RE</t>
        </is>
      </c>
      <c r="C1460" t="inlineStr">
        <is>
          <t>KG</t>
        </is>
      </c>
      <c r="D1460" t="n">
        <v>12</v>
      </c>
      <c r="E1460" t="n">
        <v>62.071</v>
      </c>
      <c r="F1460" t="n">
        <v>86</v>
      </c>
      <c r="G1460" t="n">
        <v>4038150</v>
      </c>
      <c r="H1460" t="inlineStr">
        <is>
          <t>TUB-O-N-AUT-AW-FC-48.00X1.200X5.2850</t>
        </is>
      </c>
    </row>
    <row r="1461">
      <c r="A1461" t="inlineStr">
        <is>
          <t>0000943211</t>
        </is>
      </c>
      <c r="B1461" t="inlineStr">
        <is>
          <t>MEGH STEELS PRIVATE LIMITED - RE</t>
        </is>
      </c>
      <c r="C1461" t="inlineStr">
        <is>
          <t>KG</t>
        </is>
      </c>
      <c r="D1461" t="n">
        <v>106</v>
      </c>
      <c r="E1461" t="n">
        <v>636.146</v>
      </c>
      <c r="F1461" t="n">
        <v>1063</v>
      </c>
      <c r="G1461" t="n">
        <v>1940684</v>
      </c>
      <c r="H1461" t="inlineStr">
        <is>
          <t>TUB-O-O-AUT-AW-FC-31.75X2.300X6.0000</t>
        </is>
      </c>
    </row>
    <row r="1462">
      <c r="A1462" t="inlineStr">
        <is>
          <t>0000943211</t>
        </is>
      </c>
      <c r="B1462" t="inlineStr">
        <is>
          <t>MEGH STEELS PRIVATE LIMITED - RE</t>
        </is>
      </c>
      <c r="C1462" t="inlineStr">
        <is>
          <t>KG</t>
        </is>
      </c>
      <c r="D1462" t="n">
        <v>239</v>
      </c>
      <c r="E1462" t="n">
        <v>1436.266</v>
      </c>
      <c r="F1462" t="n">
        <v>2400</v>
      </c>
      <c r="G1462" t="n">
        <v>1940684</v>
      </c>
      <c r="H1462" t="inlineStr">
        <is>
          <t>TUB-O-O-AUT-AW-FC-31.75X2.300X6.0000</t>
        </is>
      </c>
    </row>
    <row r="1463">
      <c r="A1463" t="inlineStr">
        <is>
          <t>0000943211</t>
        </is>
      </c>
      <c r="B1463" t="inlineStr">
        <is>
          <t>MEGH STEELS PRIVATE LIMITED - RE</t>
        </is>
      </c>
      <c r="C1463" t="inlineStr">
        <is>
          <t>KG</t>
        </is>
      </c>
      <c r="D1463" t="n">
        <v>158</v>
      </c>
      <c r="E1463" t="n">
        <v>949.1319999999999</v>
      </c>
      <c r="F1463" t="n">
        <v>1586</v>
      </c>
      <c r="G1463" t="n">
        <v>1940684</v>
      </c>
      <c r="H1463" t="inlineStr">
        <is>
          <t>TUB-O-O-AUT-AW-FC-31.75X2.300X6.0000</t>
        </is>
      </c>
    </row>
    <row r="1464">
      <c r="A1464" t="inlineStr">
        <is>
          <t>0000943211</t>
        </is>
      </c>
      <c r="B1464" t="inlineStr">
        <is>
          <t>MEGH STEELS PRIVATE LIMITED - RE</t>
        </is>
      </c>
      <c r="C1464" t="inlineStr">
        <is>
          <t>KG</t>
        </is>
      </c>
      <c r="D1464" t="n">
        <v>80</v>
      </c>
      <c r="E1464" t="n">
        <v>478.755</v>
      </c>
      <c r="F1464" t="n">
        <v>800</v>
      </c>
      <c r="G1464" t="n">
        <v>1940684</v>
      </c>
      <c r="H1464" t="inlineStr">
        <is>
          <t>TUB-O-O-AUT-AW-FC-31.75X2.300X6.0000</t>
        </is>
      </c>
    </row>
    <row r="1465">
      <c r="A1465" t="inlineStr">
        <is>
          <t>0000943211</t>
        </is>
      </c>
      <c r="B1465" t="inlineStr">
        <is>
          <t>MEGH STEELS PRIVATE LIMITED - RE</t>
        </is>
      </c>
      <c r="C1465" t="inlineStr">
        <is>
          <t>KG</t>
        </is>
      </c>
      <c r="D1465" t="n">
        <v>234</v>
      </c>
      <c r="E1465" t="n">
        <v>1406.344</v>
      </c>
      <c r="F1465" t="n">
        <v>2350</v>
      </c>
      <c r="G1465" t="n">
        <v>1940684</v>
      </c>
      <c r="H1465" t="inlineStr">
        <is>
          <t>TUB-O-O-AUT-AW-FC-31.75X2.300X6.0000</t>
        </is>
      </c>
    </row>
    <row r="1466">
      <c r="A1466" t="inlineStr">
        <is>
          <t>0000943211</t>
        </is>
      </c>
      <c r="B1466" t="inlineStr">
        <is>
          <t>MEGH STEELS PRIVATE LIMITED - RE</t>
        </is>
      </c>
      <c r="C1466" t="inlineStr">
        <is>
          <t>KG</t>
        </is>
      </c>
      <c r="D1466" t="n">
        <v>239</v>
      </c>
      <c r="E1466" t="n">
        <v>1436.266</v>
      </c>
      <c r="F1466" t="n">
        <v>2400</v>
      </c>
      <c r="G1466" t="n">
        <v>1940684</v>
      </c>
      <c r="H1466" t="inlineStr">
        <is>
          <t>TUB-O-O-AUT-AW-FC-31.75X2.300X6.0000</t>
        </is>
      </c>
    </row>
    <row r="1467">
      <c r="A1467" t="inlineStr">
        <is>
          <t>0000943211</t>
        </is>
      </c>
      <c r="B1467" t="inlineStr">
        <is>
          <t>MEGH STEELS PRIVATE LIMITED - RE</t>
        </is>
      </c>
      <c r="C1467" t="inlineStr">
        <is>
          <t>KG</t>
        </is>
      </c>
      <c r="D1467" t="n">
        <v>237</v>
      </c>
      <c r="E1467" t="n">
        <v>1424.297</v>
      </c>
      <c r="F1467" t="n">
        <v>2380</v>
      </c>
      <c r="G1467" t="n">
        <v>1940684</v>
      </c>
      <c r="H1467" t="inlineStr">
        <is>
          <t>TUB-O-O-AUT-AW-FC-31.75X2.300X6.0000</t>
        </is>
      </c>
    </row>
    <row r="1468">
      <c r="A1468" t="inlineStr">
        <is>
          <t>0000943211</t>
        </is>
      </c>
      <c r="B1468" t="inlineStr">
        <is>
          <t>MEGH STEELS PRIVATE LIMITED - RE</t>
        </is>
      </c>
      <c r="C1468" t="inlineStr">
        <is>
          <t>KG</t>
        </is>
      </c>
      <c r="D1468" t="n">
        <v>230</v>
      </c>
      <c r="E1468" t="n">
        <v>1382.406</v>
      </c>
      <c r="F1468" t="n">
        <v>2310</v>
      </c>
      <c r="G1468" t="n">
        <v>1940684</v>
      </c>
      <c r="H1468" t="inlineStr">
        <is>
          <t>TUB-O-O-AUT-AW-FC-31.75X2.300X6.0000</t>
        </is>
      </c>
    </row>
    <row r="1469">
      <c r="A1469" t="inlineStr">
        <is>
          <t>0000952287</t>
        </is>
      </c>
      <c r="B1469" t="inlineStr">
        <is>
          <t>MYSORE PIPE SUPPLIERS</t>
        </is>
      </c>
      <c r="C1469" t="inlineStr">
        <is>
          <t>KG</t>
        </is>
      </c>
      <c r="D1469" t="n">
        <v>1055</v>
      </c>
      <c r="E1469" t="n">
        <v>5274.66</v>
      </c>
      <c r="F1469" t="n">
        <v>2679</v>
      </c>
      <c r="G1469" t="n">
        <v>3457776</v>
      </c>
      <c r="H1469" t="inlineStr">
        <is>
          <t>TUB-O-N-GEN-AW-PE-19.05X1.150X5.0000</t>
        </is>
      </c>
    </row>
    <row r="1470">
      <c r="A1470" t="inlineStr">
        <is>
          <t>0000952287</t>
        </is>
      </c>
      <c r="B1470" t="inlineStr">
        <is>
          <t>MYSORE PIPE SUPPLIERS</t>
        </is>
      </c>
      <c r="C1470" t="inlineStr">
        <is>
          <t>KG</t>
        </is>
      </c>
      <c r="D1470" t="n">
        <v>879</v>
      </c>
      <c r="E1470" t="n">
        <v>4394.566</v>
      </c>
      <c r="F1470" t="n">
        <v>2232</v>
      </c>
      <c r="G1470" t="n">
        <v>3457776</v>
      </c>
      <c r="H1470" t="inlineStr">
        <is>
          <t>TUB-O-N-GEN-AW-PE-19.05X1.150X5.0000</t>
        </is>
      </c>
    </row>
    <row r="1471">
      <c r="A1471" t="inlineStr">
        <is>
          <t>0000952287</t>
        </is>
      </c>
      <c r="B1471" t="inlineStr">
        <is>
          <t>MYSORE PIPE SUPPLIERS</t>
        </is>
      </c>
      <c r="C1471" t="inlineStr">
        <is>
          <t>KG</t>
        </is>
      </c>
      <c r="D1471" t="n">
        <v>819</v>
      </c>
      <c r="E1471" t="n">
        <v>4095.294</v>
      </c>
      <c r="F1471" t="n">
        <v>2080</v>
      </c>
      <c r="G1471" t="n">
        <v>3457776</v>
      </c>
      <c r="H1471" t="inlineStr">
        <is>
          <t>TUB-O-N-GEN-AW-PE-19.05X1.150X5.0000</t>
        </is>
      </c>
    </row>
    <row r="1472">
      <c r="A1472" t="inlineStr">
        <is>
          <t>0000952287</t>
        </is>
      </c>
      <c r="B1472" t="inlineStr">
        <is>
          <t>MYSORE PIPE SUPPLIERS</t>
        </is>
      </c>
      <c r="C1472" t="inlineStr">
        <is>
          <t>KG</t>
        </is>
      </c>
      <c r="D1472" t="n">
        <v>748</v>
      </c>
      <c r="E1472" t="n">
        <v>3740.894</v>
      </c>
      <c r="F1472" t="n">
        <v>1900</v>
      </c>
      <c r="G1472" t="n">
        <v>3457776</v>
      </c>
      <c r="H1472" t="inlineStr">
        <is>
          <t>TUB-O-N-GEN-AW-PE-19.05X1.150X5.0000</t>
        </is>
      </c>
    </row>
    <row r="1473">
      <c r="A1473" t="inlineStr">
        <is>
          <t>0000952287</t>
        </is>
      </c>
      <c r="B1473" t="inlineStr">
        <is>
          <t>MYSORE PIPE SUPPLIERS</t>
        </is>
      </c>
      <c r="C1473" t="inlineStr">
        <is>
          <t>KG</t>
        </is>
      </c>
      <c r="D1473" t="n">
        <v>325</v>
      </c>
      <c r="E1473" t="n">
        <v>1624.335</v>
      </c>
      <c r="F1473" t="n">
        <v>825</v>
      </c>
      <c r="G1473" t="n">
        <v>3457776</v>
      </c>
      <c r="H1473" t="inlineStr">
        <is>
          <t>TUB-O-N-GEN-AW-PE-19.05X1.150X5.0000</t>
        </is>
      </c>
    </row>
    <row r="1474">
      <c r="A1474" t="inlineStr">
        <is>
          <t>0000952287</t>
        </is>
      </c>
      <c r="B1474" t="inlineStr">
        <is>
          <t>MYSORE PIPE SUPPLIERS</t>
        </is>
      </c>
      <c r="C1474" t="inlineStr">
        <is>
          <t>KG</t>
        </is>
      </c>
      <c r="D1474" t="n">
        <v>603</v>
      </c>
      <c r="E1474" t="n">
        <v>3615.983</v>
      </c>
      <c r="F1474" t="n">
        <v>2000</v>
      </c>
      <c r="G1474" t="n">
        <v>1940146</v>
      </c>
      <c r="H1474" t="inlineStr">
        <is>
          <t>TUB-S-FH-SHS-19.00X19.00X1.000X6.0000</t>
        </is>
      </c>
    </row>
    <row r="1475">
      <c r="A1475" t="inlineStr">
        <is>
          <t>0000952287</t>
        </is>
      </c>
      <c r="B1475" t="inlineStr">
        <is>
          <t>MYSORE PIPE SUPPLIERS</t>
        </is>
      </c>
      <c r="C1475" t="inlineStr">
        <is>
          <t>KG</t>
        </is>
      </c>
      <c r="D1475" t="n">
        <v>603</v>
      </c>
      <c r="E1475" t="n">
        <v>3615.983</v>
      </c>
      <c r="F1475" t="n">
        <v>2000</v>
      </c>
      <c r="G1475" t="n">
        <v>1940146</v>
      </c>
      <c r="H1475" t="inlineStr">
        <is>
          <t>TUB-S-FH-SHS-19.00X19.00X1.000X6.0000</t>
        </is>
      </c>
    </row>
    <row r="1476">
      <c r="A1476" t="inlineStr">
        <is>
          <t>0000952287</t>
        </is>
      </c>
      <c r="B1476" t="inlineStr">
        <is>
          <t>MYSORE PIPE SUPPLIERS</t>
        </is>
      </c>
      <c r="C1476" t="inlineStr">
        <is>
          <t>KG</t>
        </is>
      </c>
      <c r="D1476" t="n">
        <v>618</v>
      </c>
      <c r="E1476" t="n">
        <v>3706.382</v>
      </c>
      <c r="F1476" t="n">
        <v>2050</v>
      </c>
      <c r="G1476" t="n">
        <v>1940146</v>
      </c>
      <c r="H1476" t="inlineStr">
        <is>
          <t>TUB-S-FH-SHS-19.00X19.00X1.000X6.0000</t>
        </is>
      </c>
    </row>
    <row r="1477">
      <c r="A1477" t="inlineStr">
        <is>
          <t>0000952287</t>
        </is>
      </c>
      <c r="B1477" t="inlineStr">
        <is>
          <t>MYSORE PIPE SUPPLIERS</t>
        </is>
      </c>
      <c r="C1477" t="inlineStr">
        <is>
          <t>KG</t>
        </is>
      </c>
      <c r="D1477" t="n">
        <v>6</v>
      </c>
      <c r="E1477" t="n">
        <v>36.16</v>
      </c>
      <c r="F1477" t="n">
        <v>20</v>
      </c>
      <c r="G1477" t="n">
        <v>1940146</v>
      </c>
      <c r="H1477" t="inlineStr">
        <is>
          <t>TUB-S-FH-SHS-19.00X19.00X1.000X6.0000</t>
        </is>
      </c>
    </row>
    <row r="1478">
      <c r="A1478" t="inlineStr">
        <is>
          <t>0000952287</t>
        </is>
      </c>
      <c r="B1478" t="inlineStr">
        <is>
          <t>MYSORE PIPE SUPPLIERS</t>
        </is>
      </c>
      <c r="C1478" t="inlineStr">
        <is>
          <t>KG</t>
        </is>
      </c>
      <c r="D1478" t="n">
        <v>169</v>
      </c>
      <c r="E1478" t="n">
        <v>1014.562</v>
      </c>
      <c r="F1478" t="n">
        <v>641</v>
      </c>
      <c r="G1478" t="n">
        <v>1940148</v>
      </c>
      <c r="H1478" t="inlineStr">
        <is>
          <t>TUB-S-FH-SHS-19.00X19.00X1.150X6.0000</t>
        </is>
      </c>
    </row>
    <row r="1479">
      <c r="A1479" t="inlineStr">
        <is>
          <t>0000952287</t>
        </is>
      </c>
      <c r="B1479" t="inlineStr">
        <is>
          <t>MYSORE PIPE SUPPLIERS</t>
        </is>
      </c>
      <c r="C1479" t="inlineStr">
        <is>
          <t>KG</t>
        </is>
      </c>
      <c r="D1479" t="n">
        <v>188</v>
      </c>
      <c r="E1479" t="n">
        <v>1128.522</v>
      </c>
      <c r="F1479" t="n">
        <v>713</v>
      </c>
      <c r="G1479" t="n">
        <v>1940148</v>
      </c>
      <c r="H1479" t="inlineStr">
        <is>
          <t>TUB-S-FH-SHS-19.00X19.00X1.150X6.0000</t>
        </is>
      </c>
    </row>
    <row r="1480">
      <c r="A1480" t="inlineStr">
        <is>
          <t>0000952287</t>
        </is>
      </c>
      <c r="B1480" t="inlineStr">
        <is>
          <t>MYSORE PIPE SUPPLIERS</t>
        </is>
      </c>
      <c r="C1480" t="inlineStr">
        <is>
          <t>KG</t>
        </is>
      </c>
      <c r="D1480" t="n">
        <v>148</v>
      </c>
      <c r="E1480" t="n">
        <v>886.356</v>
      </c>
      <c r="F1480" t="n">
        <v>560</v>
      </c>
      <c r="G1480" t="n">
        <v>1940148</v>
      </c>
      <c r="H1480" t="inlineStr">
        <is>
          <t>TUB-S-FH-SHS-19.00X19.00X1.150X6.0000</t>
        </is>
      </c>
    </row>
    <row r="1481">
      <c r="A1481" t="inlineStr">
        <is>
          <t>0000952287</t>
        </is>
      </c>
      <c r="B1481" t="inlineStr">
        <is>
          <t>MYSORE PIPE SUPPLIERS</t>
        </is>
      </c>
      <c r="C1481" t="inlineStr">
        <is>
          <t>KG</t>
        </is>
      </c>
      <c r="D1481" t="n">
        <v>205</v>
      </c>
      <c r="E1481" t="n">
        <v>1230.198</v>
      </c>
      <c r="F1481" t="n">
        <v>1126</v>
      </c>
      <c r="G1481" t="n">
        <v>1901357</v>
      </c>
      <c r="H1481" t="inlineStr">
        <is>
          <t>TUB-S-FH-GEN-30.00X30.00X1.000X6.0000</t>
        </is>
      </c>
    </row>
    <row r="1482">
      <c r="A1482" t="inlineStr">
        <is>
          <t>0000952287</t>
        </is>
      </c>
      <c r="B1482" t="inlineStr">
        <is>
          <t>MYSORE PIPE SUPPLIERS</t>
        </is>
      </c>
      <c r="C1482" t="inlineStr">
        <is>
          <t>KG</t>
        </is>
      </c>
      <c r="D1482" t="n">
        <v>165</v>
      </c>
      <c r="E1482" t="n">
        <v>987.654</v>
      </c>
      <c r="F1482" t="n">
        <v>904</v>
      </c>
      <c r="G1482" t="n">
        <v>1901357</v>
      </c>
      <c r="H1482" t="inlineStr">
        <is>
          <t>TUB-S-FH-GEN-30.00X30.00X1.000X6.0000</t>
        </is>
      </c>
    </row>
    <row r="1483">
      <c r="A1483" t="inlineStr">
        <is>
          <t>0000189002</t>
        </is>
      </c>
      <c r="B1483" t="inlineStr">
        <is>
          <t>Marathwada Auto Compo Pvt. Ltd.</t>
        </is>
      </c>
      <c r="C1483" t="inlineStr">
        <is>
          <t>NOS</t>
        </is>
      </c>
      <c r="D1483" t="n">
        <v>799</v>
      </c>
      <c r="E1483" t="n">
        <v>1047.001</v>
      </c>
      <c r="F1483" t="n">
        <v>1152.957</v>
      </c>
      <c r="G1483" t="n">
        <v>1940801</v>
      </c>
      <c r="H1483" t="inlineStr">
        <is>
          <t>TUB-R-AW-RHS-40.00X20.00X1.210X1.3100</t>
        </is>
      </c>
    </row>
    <row r="1484">
      <c r="A1484" t="inlineStr">
        <is>
          <t>0000189002</t>
        </is>
      </c>
      <c r="B1484" t="inlineStr">
        <is>
          <t>Marathwada Auto Compo Pvt. Ltd.</t>
        </is>
      </c>
      <c r="C1484" t="inlineStr">
        <is>
          <t>NOS</t>
        </is>
      </c>
      <c r="D1484" t="n">
        <v>559</v>
      </c>
      <c r="E1484" t="n">
        <v>732.5069999999999</v>
      </c>
      <c r="F1484" t="n">
        <v>806.6369999999999</v>
      </c>
      <c r="G1484" t="n">
        <v>1940801</v>
      </c>
      <c r="H1484" t="inlineStr">
        <is>
          <t>TUB-R-AW-RHS-40.00X20.00X1.210X1.3100</t>
        </is>
      </c>
    </row>
    <row r="1485">
      <c r="A1485" t="inlineStr">
        <is>
          <t>0000189002</t>
        </is>
      </c>
      <c r="B1485" t="inlineStr">
        <is>
          <t>Marathwada Auto Compo Pvt. Ltd.</t>
        </is>
      </c>
      <c r="C1485" t="inlineStr">
        <is>
          <t>NOS</t>
        </is>
      </c>
      <c r="D1485" t="n">
        <v>84</v>
      </c>
      <c r="E1485" t="n">
        <v>110.073</v>
      </c>
      <c r="F1485" t="n">
        <v>121.212</v>
      </c>
      <c r="G1485" t="n">
        <v>1940801</v>
      </c>
      <c r="H1485" t="inlineStr">
        <is>
          <t>TUB-R-AW-RHS-40.00X20.00X1.210X1.3100</t>
        </is>
      </c>
    </row>
    <row r="1486">
      <c r="A1486" t="inlineStr">
        <is>
          <t>0000189002</t>
        </is>
      </c>
      <c r="B1486" t="inlineStr">
        <is>
          <t>Marathwada Auto Compo Pvt. Ltd.</t>
        </is>
      </c>
      <c r="C1486" t="inlineStr">
        <is>
          <t>NOS</t>
        </is>
      </c>
      <c r="D1486" t="n">
        <v>48</v>
      </c>
      <c r="E1486" t="n">
        <v>62.899</v>
      </c>
      <c r="F1486" t="n">
        <v>69.264</v>
      </c>
      <c r="G1486" t="n">
        <v>1940801</v>
      </c>
      <c r="H1486" t="inlineStr">
        <is>
          <t>TUB-R-AW-RHS-40.00X20.00X1.210X1.3100</t>
        </is>
      </c>
    </row>
    <row r="1487">
      <c r="A1487" t="inlineStr">
        <is>
          <t>0000189002</t>
        </is>
      </c>
      <c r="B1487" t="inlineStr">
        <is>
          <t>Marathwada Auto Compo Pvt. Ltd.</t>
        </is>
      </c>
      <c r="C1487" t="inlineStr">
        <is>
          <t>NOS</t>
        </is>
      </c>
      <c r="D1487" t="n">
        <v>10</v>
      </c>
      <c r="E1487" t="n">
        <v>13.104</v>
      </c>
      <c r="F1487" t="n">
        <v>14.43</v>
      </c>
      <c r="G1487" t="n">
        <v>1940801</v>
      </c>
      <c r="H1487" t="inlineStr">
        <is>
          <t>TUB-R-AW-RHS-40.00X20.00X1.210X1.3100</t>
        </is>
      </c>
    </row>
    <row r="1488">
      <c r="A1488" t="inlineStr">
        <is>
          <t>0000189002</t>
        </is>
      </c>
      <c r="B1488" t="inlineStr">
        <is>
          <t>Marathwada Auto Compo Pvt. Ltd.</t>
        </is>
      </c>
      <c r="C1488" t="inlineStr">
        <is>
          <t>NOS</t>
        </is>
      </c>
      <c r="D1488" t="n">
        <v>500</v>
      </c>
      <c r="E1488" t="n">
        <v>623.4109999999999</v>
      </c>
      <c r="F1488" t="n">
        <v>686.5</v>
      </c>
      <c r="G1488" t="n">
        <v>3233554</v>
      </c>
      <c r="H1488" t="inlineStr">
        <is>
          <t>TUB-R-AW-AUT-40.00X20.00X1.210X1.2460</t>
        </is>
      </c>
    </row>
    <row r="1489">
      <c r="A1489" t="inlineStr">
        <is>
          <t>0000189002</t>
        </is>
      </c>
      <c r="B1489" t="inlineStr">
        <is>
          <t>Marathwada Auto Compo Pvt. Ltd.</t>
        </is>
      </c>
      <c r="C1489" t="inlineStr">
        <is>
          <t>NOS</t>
        </is>
      </c>
      <c r="D1489" t="n">
        <v>1404</v>
      </c>
      <c r="E1489" t="n">
        <v>1573.316</v>
      </c>
      <c r="F1489" t="n">
        <v>1732.536</v>
      </c>
      <c r="G1489" t="n">
        <v>3233555</v>
      </c>
      <c r="H1489" t="inlineStr">
        <is>
          <t>TUB-R-AW-AUT-40.00X20.00X1.210X1.1200</t>
        </is>
      </c>
    </row>
    <row r="1490">
      <c r="A1490" t="inlineStr">
        <is>
          <t>0000189002</t>
        </is>
      </c>
      <c r="B1490" t="inlineStr">
        <is>
          <t>Marathwada Auto Compo Pvt. Ltd.</t>
        </is>
      </c>
      <c r="C1490" t="inlineStr">
        <is>
          <t>NOS</t>
        </is>
      </c>
      <c r="D1490" t="n">
        <v>384</v>
      </c>
      <c r="E1490" t="n">
        <v>430.309</v>
      </c>
      <c r="F1490" t="n">
        <v>473.856</v>
      </c>
      <c r="G1490" t="n">
        <v>3233555</v>
      </c>
      <c r="H1490" t="inlineStr">
        <is>
          <t>TUB-R-AW-AUT-40.00X20.00X1.210X1.1200</t>
        </is>
      </c>
    </row>
    <row r="1491">
      <c r="A1491" t="inlineStr">
        <is>
          <t>0000189002</t>
        </is>
      </c>
      <c r="B1491" t="inlineStr">
        <is>
          <t>Marathwada Auto Compo Pvt. Ltd.</t>
        </is>
      </c>
      <c r="C1491" t="inlineStr">
        <is>
          <t>NOS</t>
        </is>
      </c>
      <c r="D1491" t="n">
        <v>167</v>
      </c>
      <c r="E1491" t="n">
        <v>187.139</v>
      </c>
      <c r="F1491" t="n">
        <v>206.078</v>
      </c>
      <c r="G1491" t="n">
        <v>3233555</v>
      </c>
      <c r="H1491" t="inlineStr">
        <is>
          <t>TUB-R-AW-AUT-40.00X20.00X1.210X1.1200</t>
        </is>
      </c>
    </row>
    <row r="1492">
      <c r="A1492" t="inlineStr">
        <is>
          <t>0000189002</t>
        </is>
      </c>
      <c r="B1492" t="inlineStr">
        <is>
          <t>Marathwada Auto Compo Pvt. Ltd.</t>
        </is>
      </c>
      <c r="C1492" t="inlineStr">
        <is>
          <t>NOS</t>
        </is>
      </c>
      <c r="D1492" t="n">
        <v>45</v>
      </c>
      <c r="E1492" t="n">
        <v>50.427</v>
      </c>
      <c r="F1492" t="n">
        <v>55.53</v>
      </c>
      <c r="G1492" t="n">
        <v>3233555</v>
      </c>
      <c r="H1492" t="inlineStr">
        <is>
          <t>TUB-R-AW-AUT-40.00X20.00X1.210X1.1200</t>
        </is>
      </c>
    </row>
    <row r="1493">
      <c r="A1493" t="inlineStr">
        <is>
          <t>0000189002</t>
        </is>
      </c>
      <c r="B1493" t="inlineStr">
        <is>
          <t>Marathwada Auto Compo Pvt. Ltd.</t>
        </is>
      </c>
      <c r="C1493" t="inlineStr">
        <is>
          <t>NOS</t>
        </is>
      </c>
      <c r="D1493" t="n">
        <v>2000</v>
      </c>
      <c r="E1493" t="n">
        <v>1720.981</v>
      </c>
      <c r="F1493" t="n">
        <v>1880</v>
      </c>
      <c r="G1493" t="n">
        <v>3572051</v>
      </c>
      <c r="H1493" t="inlineStr">
        <is>
          <t>TUB-R-AW-AUT-40.00X20.00X1.200X0.8600</t>
        </is>
      </c>
    </row>
    <row r="1494">
      <c r="A1494" t="inlineStr">
        <is>
          <t>0000189002</t>
        </is>
      </c>
      <c r="B1494" t="inlineStr">
        <is>
          <t>Marathwada Auto Compo Pvt. Ltd.</t>
        </is>
      </c>
      <c r="C1494" t="inlineStr">
        <is>
          <t>NOS</t>
        </is>
      </c>
      <c r="D1494" t="n">
        <v>786</v>
      </c>
      <c r="E1494" t="n">
        <v>628.829</v>
      </c>
      <c r="F1494" t="n">
        <v>692.466</v>
      </c>
      <c r="G1494" t="n">
        <v>3233557</v>
      </c>
      <c r="H1494" t="inlineStr">
        <is>
          <t>TUB-R-AW-AUT-40.00X20.00X1.210X0.8000</t>
        </is>
      </c>
    </row>
    <row r="1495">
      <c r="A1495" t="inlineStr">
        <is>
          <t>0000189002</t>
        </is>
      </c>
      <c r="B1495" t="inlineStr">
        <is>
          <t>Marathwada Auto Compo Pvt. Ltd.</t>
        </is>
      </c>
      <c r="C1495" t="inlineStr">
        <is>
          <t>NOS</t>
        </is>
      </c>
      <c r="D1495" t="n">
        <v>87</v>
      </c>
      <c r="E1495" t="n">
        <v>69.60299999999999</v>
      </c>
      <c r="F1495" t="n">
        <v>76.64700000000001</v>
      </c>
      <c r="G1495" t="n">
        <v>3233557</v>
      </c>
      <c r="H1495" t="inlineStr">
        <is>
          <t>TUB-R-AW-AUT-40.00X20.00X1.210X0.8000</t>
        </is>
      </c>
    </row>
    <row r="1496">
      <c r="A1496" t="inlineStr">
        <is>
          <t>0000189002</t>
        </is>
      </c>
      <c r="B1496" t="inlineStr">
        <is>
          <t>Marathwada Auto Compo Pvt. Ltd.</t>
        </is>
      </c>
      <c r="C1496" t="inlineStr">
        <is>
          <t>NOS</t>
        </is>
      </c>
      <c r="D1496" t="n">
        <v>59</v>
      </c>
      <c r="E1496" t="n">
        <v>47.202</v>
      </c>
      <c r="F1496" t="n">
        <v>51.979</v>
      </c>
      <c r="G1496" t="n">
        <v>3233557</v>
      </c>
      <c r="H1496" t="inlineStr">
        <is>
          <t>TUB-R-AW-AUT-40.00X20.00X1.210X0.8000</t>
        </is>
      </c>
    </row>
    <row r="1497">
      <c r="A1497" t="inlineStr">
        <is>
          <t>0000189002</t>
        </is>
      </c>
      <c r="B1497" t="inlineStr">
        <is>
          <t>Marathwada Auto Compo Pvt. Ltd.</t>
        </is>
      </c>
      <c r="C1497" t="inlineStr">
        <is>
          <t>NOS</t>
        </is>
      </c>
      <c r="D1497" t="n">
        <v>58</v>
      </c>
      <c r="E1497" t="n">
        <v>46.402</v>
      </c>
      <c r="F1497" t="n">
        <v>51.098</v>
      </c>
      <c r="G1497" t="n">
        <v>3233557</v>
      </c>
      <c r="H1497" t="inlineStr">
        <is>
          <t>TUB-R-AW-AUT-40.00X20.00X1.210X0.8000</t>
        </is>
      </c>
    </row>
    <row r="1498">
      <c r="A1498" t="inlineStr">
        <is>
          <t>0000189002</t>
        </is>
      </c>
      <c r="B1498" t="inlineStr">
        <is>
          <t>Marathwada Auto Compo Pvt. Ltd.</t>
        </is>
      </c>
      <c r="C1498" t="inlineStr">
        <is>
          <t>NOS</t>
        </is>
      </c>
      <c r="D1498" t="n">
        <v>10</v>
      </c>
      <c r="E1498" t="n">
        <v>8</v>
      </c>
      <c r="F1498" t="n">
        <v>8.81</v>
      </c>
      <c r="G1498" t="n">
        <v>3233557</v>
      </c>
      <c r="H1498" t="inlineStr">
        <is>
          <t>TUB-R-AW-AUT-40.00X20.00X1.210X0.8000</t>
        </is>
      </c>
    </row>
    <row r="1499">
      <c r="A1499" t="inlineStr">
        <is>
          <t>0000189002</t>
        </is>
      </c>
      <c r="B1499" t="inlineStr">
        <is>
          <t>Marathwada Auto Compo Pvt. Ltd.</t>
        </is>
      </c>
      <c r="C1499" t="inlineStr">
        <is>
          <t>NOS</t>
        </is>
      </c>
      <c r="D1499" t="n">
        <v>500</v>
      </c>
      <c r="E1499" t="n">
        <v>622.999</v>
      </c>
      <c r="F1499" t="n">
        <v>339.472</v>
      </c>
      <c r="G1499" t="n">
        <v>3572038</v>
      </c>
      <c r="H1499" t="inlineStr">
        <is>
          <t>TUB-S-AW-AUT-19.00X19.00X1.000X1.2460</t>
        </is>
      </c>
    </row>
    <row r="1500">
      <c r="A1500" t="inlineStr">
        <is>
          <t>0000189002</t>
        </is>
      </c>
      <c r="B1500" t="inlineStr">
        <is>
          <t>Marathwada Auto Compo Pvt. Ltd.</t>
        </is>
      </c>
      <c r="C1500" t="inlineStr">
        <is>
          <t>NOS</t>
        </is>
      </c>
      <c r="D1500" t="n">
        <v>1500</v>
      </c>
      <c r="E1500" t="n">
        <v>1320.499</v>
      </c>
      <c r="F1500" t="n">
        <v>730.5</v>
      </c>
      <c r="G1500" t="n">
        <v>3230492</v>
      </c>
      <c r="H1500" t="inlineStr">
        <is>
          <t>TUB-S-AW-AUT-19.00X19.00X1.000X0.8800</t>
        </is>
      </c>
    </row>
    <row r="1501">
      <c r="A1501" t="inlineStr">
        <is>
          <t>0000189002</t>
        </is>
      </c>
      <c r="B1501" t="inlineStr">
        <is>
          <t>Marathwada Auto Compo Pvt. Ltd.</t>
        </is>
      </c>
      <c r="C1501" t="inlineStr">
        <is>
          <t>NOS</t>
        </is>
      </c>
      <c r="D1501" t="n">
        <v>1000</v>
      </c>
      <c r="E1501" t="n">
        <v>872.135</v>
      </c>
      <c r="F1501" t="n">
        <v>487</v>
      </c>
      <c r="G1501" t="n">
        <v>3605739</v>
      </c>
      <c r="H1501" t="inlineStr">
        <is>
          <t>TUB-S-AW-AUT-19.00X19.00X1.010X0.8710</t>
        </is>
      </c>
    </row>
    <row r="1502">
      <c r="A1502" t="inlineStr">
        <is>
          <t>0000189002</t>
        </is>
      </c>
      <c r="B1502" t="inlineStr">
        <is>
          <t>Marathwada Auto Compo Pvt. Ltd.</t>
        </is>
      </c>
      <c r="C1502" t="inlineStr">
        <is>
          <t>NOS</t>
        </is>
      </c>
      <c r="D1502" t="n">
        <v>1000</v>
      </c>
      <c r="E1502" t="n">
        <v>840.564</v>
      </c>
      <c r="F1502" t="n">
        <v>465</v>
      </c>
      <c r="G1502" t="n">
        <v>3230485</v>
      </c>
      <c r="H1502" t="inlineStr">
        <is>
          <t>TUB-S-AW-AUT-19.00X19.00X1.000X0.8400</t>
        </is>
      </c>
    </row>
    <row r="1503">
      <c r="A1503" t="inlineStr">
        <is>
          <t>0000189002</t>
        </is>
      </c>
      <c r="B1503" t="inlineStr">
        <is>
          <t>Marathwada Auto Compo Pvt. Ltd.</t>
        </is>
      </c>
      <c r="C1503" t="inlineStr">
        <is>
          <t>NOS</t>
        </is>
      </c>
      <c r="D1503" t="n">
        <v>1000</v>
      </c>
      <c r="E1503" t="n">
        <v>800.004</v>
      </c>
      <c r="F1503" t="n">
        <v>436.011</v>
      </c>
      <c r="G1503" t="n">
        <v>3931836</v>
      </c>
      <c r="H1503" t="inlineStr">
        <is>
          <t>CUT-R-AW-AUT-19.00X19.00X1.000X0.8000</t>
        </is>
      </c>
    </row>
    <row r="1504">
      <c r="A1504" t="inlineStr">
        <is>
          <t>0000189002</t>
        </is>
      </c>
      <c r="B1504" t="inlineStr">
        <is>
          <t>Marathwada Auto Compo Pvt. Ltd.</t>
        </is>
      </c>
      <c r="C1504" t="inlineStr">
        <is>
          <t>NOS</t>
        </is>
      </c>
      <c r="D1504" t="n">
        <v>500</v>
      </c>
      <c r="E1504" t="n">
        <v>503.507</v>
      </c>
      <c r="F1504" t="n">
        <v>274.417</v>
      </c>
      <c r="G1504" t="n">
        <v>4100796</v>
      </c>
      <c r="H1504" t="inlineStr">
        <is>
          <t>CUT-R-AW-AUT-19.00X19.00X1.000X1.0070</t>
        </is>
      </c>
    </row>
    <row r="1505">
      <c r="A1505" t="inlineStr">
        <is>
          <t>0000189002</t>
        </is>
      </c>
      <c r="B1505" t="inlineStr">
        <is>
          <t>Marathwada Auto Compo Pvt. Ltd.</t>
        </is>
      </c>
      <c r="C1505" t="inlineStr">
        <is>
          <t>NOS</t>
        </is>
      </c>
      <c r="D1505" t="n">
        <v>1000</v>
      </c>
      <c r="E1505" t="n">
        <v>539.997</v>
      </c>
      <c r="F1505" t="n">
        <v>294.244</v>
      </c>
      <c r="G1505" t="n">
        <v>3571870</v>
      </c>
      <c r="H1505" t="inlineStr">
        <is>
          <t>TUB-S-AW-AUT-19.00X19.00X1.000X0.5400</t>
        </is>
      </c>
    </row>
    <row r="1506">
      <c r="A1506" t="inlineStr">
        <is>
          <t>0000189002</t>
        </is>
      </c>
      <c r="B1506" t="inlineStr">
        <is>
          <t>Marathwada Auto Compo Pvt. Ltd.</t>
        </is>
      </c>
      <c r="C1506" t="inlineStr">
        <is>
          <t>NOS</t>
        </is>
      </c>
      <c r="D1506" t="n">
        <v>1000</v>
      </c>
      <c r="E1506" t="n">
        <v>469.994</v>
      </c>
      <c r="F1506" t="n">
        <v>256.1</v>
      </c>
      <c r="G1506" t="n">
        <v>3230488</v>
      </c>
      <c r="H1506" t="inlineStr">
        <is>
          <t>TUB-S-AW-AUT-19.00X19.00X1.000X0.4700</t>
        </is>
      </c>
    </row>
    <row r="1507">
      <c r="A1507" t="inlineStr">
        <is>
          <t>0000189002</t>
        </is>
      </c>
      <c r="B1507" t="inlineStr">
        <is>
          <t>Marathwada Auto Compo Pvt. Ltd.</t>
        </is>
      </c>
      <c r="C1507" t="inlineStr">
        <is>
          <t>NOS</t>
        </is>
      </c>
      <c r="D1507" t="n">
        <v>3000</v>
      </c>
      <c r="E1507" t="n">
        <v>1198.482</v>
      </c>
      <c r="F1507" t="n">
        <v>663</v>
      </c>
      <c r="G1507" t="n">
        <v>3230487</v>
      </c>
      <c r="H1507" t="inlineStr">
        <is>
          <t>TUB-S-AW-AUT-19.00X19.00X1.000X0.4000</t>
        </is>
      </c>
    </row>
    <row r="1508">
      <c r="A1508" t="inlineStr">
        <is>
          <t>0000189002</t>
        </is>
      </c>
      <c r="B1508" t="inlineStr">
        <is>
          <t>Marathwada Auto Compo Pvt. Ltd.</t>
        </is>
      </c>
      <c r="C1508" t="inlineStr">
        <is>
          <t>NOS</t>
        </is>
      </c>
      <c r="D1508" t="n">
        <v>1000</v>
      </c>
      <c r="E1508" t="n">
        <v>356.11</v>
      </c>
      <c r="F1508" t="n">
        <v>197</v>
      </c>
      <c r="G1508" t="n">
        <v>3230490</v>
      </c>
      <c r="H1508" t="inlineStr">
        <is>
          <t>TUB-S-AW-AUT-19.00X19.00X1.000X0.3550</t>
        </is>
      </c>
    </row>
    <row r="1509">
      <c r="A1509" t="inlineStr">
        <is>
          <t>0000189002</t>
        </is>
      </c>
      <c r="B1509" t="inlineStr">
        <is>
          <t>Marathwada Auto Compo Pvt. Ltd.</t>
        </is>
      </c>
      <c r="C1509" t="inlineStr">
        <is>
          <t>NOS</t>
        </is>
      </c>
      <c r="D1509" t="n">
        <v>500</v>
      </c>
      <c r="E1509" t="n">
        <v>649.006</v>
      </c>
      <c r="F1509" t="n">
        <v>563.15</v>
      </c>
      <c r="G1509" t="n">
        <v>3935311</v>
      </c>
      <c r="H1509" t="inlineStr">
        <is>
          <t>CUT-S-AW-AUT-25.00X25.00X1.200X1.2980</t>
        </is>
      </c>
    </row>
    <row r="1510">
      <c r="A1510" t="inlineStr">
        <is>
          <t>0000189002</t>
        </is>
      </c>
      <c r="B1510" t="inlineStr">
        <is>
          <t>Marathwada Auto Compo Pvt. Ltd.</t>
        </is>
      </c>
      <c r="C1510" t="inlineStr">
        <is>
          <t>NOS</t>
        </is>
      </c>
      <c r="D1510" t="n">
        <v>1000</v>
      </c>
      <c r="E1510" t="n">
        <v>787.175</v>
      </c>
      <c r="F1510" t="n">
        <v>712</v>
      </c>
      <c r="G1510" t="n">
        <v>3230482</v>
      </c>
      <c r="H1510" t="inlineStr">
        <is>
          <t>TUB-S-AW-AUT-25.00X25.00X1.200X0.7870</t>
        </is>
      </c>
    </row>
    <row r="1511">
      <c r="A1511" t="inlineStr">
        <is>
          <t>0000189002</t>
        </is>
      </c>
      <c r="B1511" t="inlineStr">
        <is>
          <t>Marathwada Auto Compo Pvt. Ltd.</t>
        </is>
      </c>
      <c r="C1511" t="inlineStr">
        <is>
          <t>NOS</t>
        </is>
      </c>
      <c r="D1511" t="n">
        <v>500</v>
      </c>
      <c r="E1511" t="n">
        <v>615.004</v>
      </c>
      <c r="F1511" t="n">
        <v>324.872</v>
      </c>
      <c r="G1511" t="n">
        <v>3929692</v>
      </c>
      <c r="H1511" t="inlineStr">
        <is>
          <t>CUT-O-N-AUT-AW-PE-19.05X1.200X1.2300</t>
        </is>
      </c>
    </row>
    <row r="1512">
      <c r="A1512" t="inlineStr">
        <is>
          <t>0000189002</t>
        </is>
      </c>
      <c r="B1512" t="inlineStr">
        <is>
          <t>Marathwada Auto Compo Pvt. Ltd.</t>
        </is>
      </c>
      <c r="C1512" t="inlineStr">
        <is>
          <t>NOS</t>
        </is>
      </c>
      <c r="D1512" t="n">
        <v>1000</v>
      </c>
      <c r="E1512" t="n">
        <v>682.0069999999999</v>
      </c>
      <c r="F1512" t="n">
        <v>360.267</v>
      </c>
      <c r="G1512" t="n">
        <v>3929540</v>
      </c>
      <c r="H1512" t="inlineStr">
        <is>
          <t>CUT-O-N-AUT-AW-PE-19.05X1.200X0.6820</t>
        </is>
      </c>
    </row>
    <row r="1513">
      <c r="A1513" t="inlineStr">
        <is>
          <t>0000189002</t>
        </is>
      </c>
      <c r="B1513" t="inlineStr">
        <is>
          <t>Marathwada Auto Compo Pvt. Ltd.</t>
        </is>
      </c>
      <c r="C1513" t="inlineStr">
        <is>
          <t>NOS</t>
        </is>
      </c>
      <c r="D1513" t="n">
        <v>2000</v>
      </c>
      <c r="E1513" t="n">
        <v>399.983</v>
      </c>
      <c r="F1513" t="n">
        <v>211.289</v>
      </c>
      <c r="G1513" t="n">
        <v>3929691</v>
      </c>
      <c r="H1513" t="inlineStr">
        <is>
          <t>CUT-O-N-AUT-AW-PE-19.05X1.200X0.2000</t>
        </is>
      </c>
    </row>
    <row r="1514">
      <c r="A1514" t="inlineStr">
        <is>
          <t>0000189002</t>
        </is>
      </c>
      <c r="B1514" t="inlineStr">
        <is>
          <t>Marathwada Auto Compo Pvt. Ltd.</t>
        </is>
      </c>
      <c r="C1514" t="inlineStr">
        <is>
          <t>NOS</t>
        </is>
      </c>
      <c r="D1514" t="n">
        <v>1000</v>
      </c>
      <c r="E1514" t="n">
        <v>220.615</v>
      </c>
      <c r="F1514" t="n">
        <v>241</v>
      </c>
      <c r="G1514" t="n">
        <v>3230495</v>
      </c>
      <c r="H1514" t="inlineStr">
        <is>
          <t>TUB-S-AW-AUT-30.00X30.00X1.200X0.2200</t>
        </is>
      </c>
    </row>
    <row r="1515">
      <c r="A1515" t="inlineStr">
        <is>
          <t>0000189002</t>
        </is>
      </c>
      <c r="B1515" t="inlineStr">
        <is>
          <t>Marathwada Auto Compo Pvt. Ltd.</t>
        </is>
      </c>
      <c r="C1515" t="inlineStr">
        <is>
          <t>NOS</t>
        </is>
      </c>
      <c r="D1515" t="n">
        <v>500</v>
      </c>
      <c r="E1515" t="n">
        <v>164.995</v>
      </c>
      <c r="F1515" t="n">
        <v>87.18300000000001</v>
      </c>
      <c r="G1515" t="n">
        <v>3935313</v>
      </c>
      <c r="H1515" t="inlineStr">
        <is>
          <t>CUT-O-N-AUT-AW-PE-19.05X1.200X0.33</t>
        </is>
      </c>
    </row>
    <row r="1516">
      <c r="A1516" t="inlineStr">
        <is>
          <t>0000940921</t>
        </is>
      </c>
      <c r="B1516" t="inlineStr">
        <is>
          <t>ELKAYEM AUTO ANCILLARIES PVT LTD -U</t>
        </is>
      </c>
      <c r="C1516" t="inlineStr">
        <is>
          <t>NOS</t>
        </is>
      </c>
      <c r="D1516" t="n">
        <v>5818</v>
      </c>
      <c r="E1516" t="n">
        <v>2040.785</v>
      </c>
      <c r="F1516" t="n">
        <v>2356.29</v>
      </c>
      <c r="G1516" t="n">
        <v>3616911</v>
      </c>
      <c r="H1516" t="inlineStr">
        <is>
          <t>TUB-O-N-AUT-AW-FC-25.40X2.000X0.3500</t>
        </is>
      </c>
    </row>
    <row r="1517">
      <c r="A1517" t="inlineStr">
        <is>
          <t>0000940921</t>
        </is>
      </c>
      <c r="B1517" t="inlineStr">
        <is>
          <t>ELKAYEM AUTO ANCILLARIES PVT LTD -U</t>
        </is>
      </c>
      <c r="C1517" t="inlineStr">
        <is>
          <t>NOS</t>
        </is>
      </c>
      <c r="D1517" t="n">
        <v>5837</v>
      </c>
      <c r="E1517" t="n">
        <v>2047.449</v>
      </c>
      <c r="F1517" t="n">
        <v>2363.985</v>
      </c>
      <c r="G1517" t="n">
        <v>3616911</v>
      </c>
      <c r="H1517" t="inlineStr">
        <is>
          <t>TUB-O-N-AUT-AW-FC-25.40X2.000X0.3500</t>
        </is>
      </c>
    </row>
    <row r="1518">
      <c r="A1518" t="inlineStr">
        <is>
          <t>0000940921</t>
        </is>
      </c>
      <c r="B1518" t="inlineStr">
        <is>
          <t>ELKAYEM AUTO ANCILLARIES PVT LTD -U</t>
        </is>
      </c>
      <c r="C1518" t="inlineStr">
        <is>
          <t>NOS</t>
        </is>
      </c>
      <c r="D1518" t="n">
        <v>2269</v>
      </c>
      <c r="E1518" t="n">
        <v>795.899</v>
      </c>
      <c r="F1518" t="n">
        <v>918.9450000000001</v>
      </c>
      <c r="G1518" t="n">
        <v>3616911</v>
      </c>
      <c r="H1518" t="inlineStr">
        <is>
          <t>TUB-O-N-AUT-AW-FC-25.40X2.000X0.3500</t>
        </is>
      </c>
    </row>
    <row r="1519">
      <c r="A1519" t="inlineStr">
        <is>
          <t>0000940921</t>
        </is>
      </c>
      <c r="B1519" t="inlineStr">
        <is>
          <t>ELKAYEM AUTO ANCILLARIES PVT LTD -U</t>
        </is>
      </c>
      <c r="C1519" t="inlineStr">
        <is>
          <t>NOS</t>
        </is>
      </c>
      <c r="D1519" t="n">
        <v>1496</v>
      </c>
      <c r="E1519" t="n">
        <v>524.753</v>
      </c>
      <c r="F1519" t="n">
        <v>605.88</v>
      </c>
      <c r="G1519" t="n">
        <v>3616911</v>
      </c>
      <c r="H1519" t="inlineStr">
        <is>
          <t>TUB-O-N-AUT-AW-FC-25.40X2.000X0.3500</t>
        </is>
      </c>
    </row>
    <row r="1520">
      <c r="A1520" t="inlineStr">
        <is>
          <t>0000940921</t>
        </is>
      </c>
      <c r="B1520" t="inlineStr">
        <is>
          <t>ELKAYEM AUTO ANCILLARIES PVT LTD -U</t>
        </is>
      </c>
      <c r="C1520" t="inlineStr">
        <is>
          <t>NOS</t>
        </is>
      </c>
      <c r="D1520" t="n">
        <v>5</v>
      </c>
      <c r="E1520" t="n">
        <v>1.754</v>
      </c>
      <c r="F1520" t="n">
        <v>2.025</v>
      </c>
      <c r="G1520" t="n">
        <v>3616911</v>
      </c>
      <c r="H1520" t="inlineStr">
        <is>
          <t>TUB-O-N-AUT-AW-FC-25.40X2.000X0.3500</t>
        </is>
      </c>
    </row>
    <row r="1521">
      <c r="A1521" t="inlineStr">
        <is>
          <t>0000188415</t>
        </is>
      </c>
      <c r="B1521" t="inlineStr">
        <is>
          <t>Rajsriya Automotive Industries(P)</t>
        </is>
      </c>
      <c r="C1521" t="inlineStr">
        <is>
          <t>NOS</t>
        </is>
      </c>
      <c r="D1521" t="n">
        <v>577</v>
      </c>
      <c r="E1521" t="n">
        <v>496.355</v>
      </c>
      <c r="F1521" t="n">
        <v>839.535</v>
      </c>
      <c r="G1521" t="n">
        <v>1940830</v>
      </c>
      <c r="H1521" t="inlineStr">
        <is>
          <t>TUB-R-AW-RHS-40.00X30.00X1.600X0.8600</t>
        </is>
      </c>
    </row>
    <row r="1522">
      <c r="A1522" t="inlineStr">
        <is>
          <t>0000188415</t>
        </is>
      </c>
      <c r="B1522" t="inlineStr">
        <is>
          <t>Rajsriya Automotive Industries(P)</t>
        </is>
      </c>
      <c r="C1522" t="inlineStr">
        <is>
          <t>NOS</t>
        </is>
      </c>
      <c r="D1522" t="n">
        <v>1274</v>
      </c>
      <c r="E1522" t="n">
        <v>1095.938</v>
      </c>
      <c r="F1522" t="n">
        <v>1853.67</v>
      </c>
      <c r="G1522" t="n">
        <v>1940830</v>
      </c>
      <c r="H1522" t="inlineStr">
        <is>
          <t>TUB-R-AW-RHS-40.00X30.00X1.600X0.8600</t>
        </is>
      </c>
    </row>
    <row r="1523">
      <c r="A1523" t="inlineStr">
        <is>
          <t>0000188415</t>
        </is>
      </c>
      <c r="B1523" t="inlineStr">
        <is>
          <t>Rajsriya Automotive Industries(P)</t>
        </is>
      </c>
      <c r="C1523" t="inlineStr">
        <is>
          <t>NOS</t>
        </is>
      </c>
      <c r="D1523" t="n">
        <v>1149</v>
      </c>
      <c r="E1523" t="n">
        <v>988.409</v>
      </c>
      <c r="F1523" t="n">
        <v>1671.795</v>
      </c>
      <c r="G1523" t="n">
        <v>1940830</v>
      </c>
      <c r="H1523" t="inlineStr">
        <is>
          <t>TUB-R-AW-RHS-40.00X30.00X1.600X0.8600</t>
        </is>
      </c>
    </row>
    <row r="1524">
      <c r="A1524" t="inlineStr">
        <is>
          <t>0000188415</t>
        </is>
      </c>
      <c r="B1524" t="inlineStr">
        <is>
          <t>Rajsriya Automotive Industries(P)</t>
        </is>
      </c>
      <c r="C1524" t="inlineStr">
        <is>
          <t>NOS</t>
        </is>
      </c>
      <c r="D1524" t="n">
        <v>2482</v>
      </c>
      <c r="E1524" t="n">
        <v>1605.804</v>
      </c>
      <c r="F1524" t="n">
        <v>2515.011</v>
      </c>
      <c r="G1524" t="n">
        <v>4229657</v>
      </c>
      <c r="H1524" t="inlineStr">
        <is>
          <t>CUT-R-AW-RHS-40.00X25.00X1.600X0.6470</t>
        </is>
      </c>
    </row>
    <row r="1525">
      <c r="A1525" t="inlineStr">
        <is>
          <t>0000188415</t>
        </is>
      </c>
      <c r="B1525" t="inlineStr">
        <is>
          <t>Rajsriya Automotive Industries(P)</t>
        </is>
      </c>
      <c r="C1525" t="inlineStr">
        <is>
          <t>NOS</t>
        </is>
      </c>
      <c r="D1525" t="n">
        <v>79</v>
      </c>
      <c r="E1525" t="n">
        <v>51.111</v>
      </c>
      <c r="F1525" t="n">
        <v>80.051</v>
      </c>
      <c r="G1525" t="n">
        <v>4229657</v>
      </c>
      <c r="H1525" t="inlineStr">
        <is>
          <t>CUT-R-AW-RHS-40.00X25.00X1.600X0.6470</t>
        </is>
      </c>
    </row>
    <row r="1526">
      <c r="A1526" t="inlineStr">
        <is>
          <t>0000188415</t>
        </is>
      </c>
      <c r="B1526" t="inlineStr">
        <is>
          <t>Rajsriya Automotive Industries(P)</t>
        </is>
      </c>
      <c r="C1526" t="inlineStr">
        <is>
          <t>NOS</t>
        </is>
      </c>
      <c r="D1526" t="n">
        <v>19</v>
      </c>
      <c r="E1526" t="n">
        <v>12.293</v>
      </c>
      <c r="F1526" t="n">
        <v>19.253</v>
      </c>
      <c r="G1526" t="n">
        <v>4229657</v>
      </c>
      <c r="H1526" t="inlineStr">
        <is>
          <t>CUT-R-AW-RHS-40.00X25.00X1.600X0.6470</t>
        </is>
      </c>
    </row>
    <row r="1527">
      <c r="A1527" t="inlineStr">
        <is>
          <t>0000188415</t>
        </is>
      </c>
      <c r="B1527" t="inlineStr">
        <is>
          <t>Rajsriya Automotive Industries(P)</t>
        </is>
      </c>
      <c r="C1527" t="inlineStr">
        <is>
          <t>NOS</t>
        </is>
      </c>
      <c r="D1527" t="n">
        <v>10</v>
      </c>
      <c r="E1527" t="n">
        <v>7.7</v>
      </c>
      <c r="F1527" t="n">
        <v>21.695</v>
      </c>
      <c r="G1527" t="n">
        <v>4141595</v>
      </c>
      <c r="H1527" t="inlineStr">
        <is>
          <t>TUB-R-AW-AUT-50.00X30.00X2.500X0.7700</t>
        </is>
      </c>
    </row>
    <row r="1528">
      <c r="A1528" t="inlineStr">
        <is>
          <t>0000189002</t>
        </is>
      </c>
      <c r="B1528" t="inlineStr">
        <is>
          <t>Marathwada Auto Compo Pvt. Ltd.</t>
        </is>
      </c>
      <c r="C1528" t="inlineStr">
        <is>
          <t>M</t>
        </is>
      </c>
      <c r="D1528" t="n">
        <v>303</v>
      </c>
      <c r="E1528" t="n">
        <v>1774</v>
      </c>
      <c r="F1528" t="n">
        <v>2439.073</v>
      </c>
      <c r="G1528" t="n">
        <v>3929636</v>
      </c>
      <c r="H1528" t="inlineStr">
        <is>
          <t>TUB-R-AW-AUT-40.00X20.00X1.600X5.8600</t>
        </is>
      </c>
    </row>
    <row r="1529">
      <c r="A1529" t="inlineStr">
        <is>
          <t>0000189002</t>
        </is>
      </c>
      <c r="B1529" t="inlineStr">
        <is>
          <t>Marathwada Auto Compo Pvt. Ltd.</t>
        </is>
      </c>
      <c r="C1529" t="inlineStr">
        <is>
          <t>M</t>
        </is>
      </c>
      <c r="D1529" t="n">
        <v>92</v>
      </c>
      <c r="E1529" t="n">
        <v>538</v>
      </c>
      <c r="F1529" t="n">
        <v>739.696</v>
      </c>
      <c r="G1529" t="n">
        <v>3929636</v>
      </c>
      <c r="H1529" t="inlineStr">
        <is>
          <t>TUB-R-AW-AUT-40.00X20.00X1.600X5.8600</t>
        </is>
      </c>
    </row>
    <row r="1530">
      <c r="A1530" t="inlineStr">
        <is>
          <t>0000189002</t>
        </is>
      </c>
      <c r="B1530" t="inlineStr">
        <is>
          <t>Marathwada Auto Compo Pvt. Ltd.</t>
        </is>
      </c>
      <c r="C1530" t="inlineStr">
        <is>
          <t>M</t>
        </is>
      </c>
      <c r="D1530" t="n">
        <v>5</v>
      </c>
      <c r="E1530" t="n">
        <v>32</v>
      </c>
      <c r="F1530" t="n">
        <v>43.997</v>
      </c>
      <c r="G1530" t="n">
        <v>3929636</v>
      </c>
      <c r="H1530" t="inlineStr">
        <is>
          <t>TUB-R-AW-AUT-40.00X20.00X1.600X5.8600</t>
        </is>
      </c>
    </row>
    <row r="1531">
      <c r="A1531" t="inlineStr">
        <is>
          <t>0000189002</t>
        </is>
      </c>
      <c r="B1531" t="inlineStr">
        <is>
          <t>Marathwada Auto Compo Pvt. Ltd.</t>
        </is>
      </c>
      <c r="C1531" t="inlineStr">
        <is>
          <t>M</t>
        </is>
      </c>
      <c r="D1531" t="n">
        <v>813</v>
      </c>
      <c r="E1531" t="n">
        <v>4881</v>
      </c>
      <c r="F1531" t="n">
        <v>2699.681</v>
      </c>
      <c r="G1531" t="n">
        <v>1940146</v>
      </c>
      <c r="H1531" t="inlineStr">
        <is>
          <t>TUB-S-FH-SHS-19.00X19.00X1.000X6.0000</t>
        </is>
      </c>
    </row>
    <row r="1532">
      <c r="A1532" t="inlineStr">
        <is>
          <t>0000189002</t>
        </is>
      </c>
      <c r="B1532" t="inlineStr">
        <is>
          <t>Marathwada Auto Compo Pvt. Ltd.</t>
        </is>
      </c>
      <c r="C1532" t="inlineStr">
        <is>
          <t>M</t>
        </is>
      </c>
      <c r="D1532" t="n">
        <v>674</v>
      </c>
      <c r="E1532" t="n">
        <v>4047</v>
      </c>
      <c r="F1532" t="n">
        <v>2238.396</v>
      </c>
      <c r="G1532" t="n">
        <v>1940146</v>
      </c>
      <c r="H1532" t="inlineStr">
        <is>
          <t>TUB-S-FH-SHS-19.00X19.00X1.000X6.0000</t>
        </is>
      </c>
    </row>
    <row r="1533">
      <c r="A1533" t="inlineStr">
        <is>
          <t>0000189002</t>
        </is>
      </c>
      <c r="B1533" t="inlineStr">
        <is>
          <t>Marathwada Auto Compo Pvt. Ltd.</t>
        </is>
      </c>
      <c r="C1533" t="inlineStr">
        <is>
          <t>M</t>
        </is>
      </c>
      <c r="D1533" t="n">
        <v>300</v>
      </c>
      <c r="E1533" t="n">
        <v>1704</v>
      </c>
      <c r="F1533" t="n">
        <v>1861.45</v>
      </c>
      <c r="G1533" t="n">
        <v>3597714</v>
      </c>
      <c r="H1533" t="inlineStr">
        <is>
          <t>TUB-R-AW-AUT-40.00X20.00X1.200X5.6800</t>
        </is>
      </c>
    </row>
    <row r="1534">
      <c r="A1534" t="inlineStr">
        <is>
          <t>0000189454</t>
        </is>
      </c>
      <c r="B1534" t="inlineStr">
        <is>
          <t>NAHARS ENGINEERING INDIA PRIVATE LI</t>
        </is>
      </c>
      <c r="C1534" t="inlineStr">
        <is>
          <t>NOS</t>
        </is>
      </c>
      <c r="D1534" t="n">
        <v>1125</v>
      </c>
      <c r="E1534" t="n">
        <v>995.147</v>
      </c>
      <c r="F1534" t="n">
        <v>948.375</v>
      </c>
      <c r="G1534" t="n">
        <v>1942696</v>
      </c>
      <c r="H1534" t="inlineStr">
        <is>
          <t>TUB-O-N-AUT-AW-PE-22.23X2.000X0.8840</t>
        </is>
      </c>
    </row>
    <row r="1535">
      <c r="A1535" t="inlineStr">
        <is>
          <t>0000189454</t>
        </is>
      </c>
      <c r="B1535" t="inlineStr">
        <is>
          <t>NAHARS ENGINEERING INDIA PRIVATE LI</t>
        </is>
      </c>
      <c r="C1535" t="inlineStr">
        <is>
          <t>NOS</t>
        </is>
      </c>
      <c r="D1535" t="n">
        <v>1055</v>
      </c>
      <c r="E1535" t="n">
        <v>933.227</v>
      </c>
      <c r="F1535" t="n">
        <v>889.365</v>
      </c>
      <c r="G1535" t="n">
        <v>1942696</v>
      </c>
      <c r="H1535" t="inlineStr">
        <is>
          <t>TUB-O-N-AUT-AW-PE-22.23X2.000X0.8840</t>
        </is>
      </c>
    </row>
    <row r="1536">
      <c r="A1536" t="inlineStr">
        <is>
          <t>0000189454</t>
        </is>
      </c>
      <c r="B1536" t="inlineStr">
        <is>
          <t>NAHARS ENGINEERING INDIA PRIVATE LI</t>
        </is>
      </c>
      <c r="C1536" t="inlineStr">
        <is>
          <t>NOS</t>
        </is>
      </c>
      <c r="D1536" t="n">
        <v>856</v>
      </c>
      <c r="E1536" t="n">
        <v>757.196</v>
      </c>
      <c r="F1536" t="n">
        <v>721.6079999999999</v>
      </c>
      <c r="G1536" t="n">
        <v>1942696</v>
      </c>
      <c r="H1536" t="inlineStr">
        <is>
          <t>TUB-O-N-AUT-AW-PE-22.23X2.000X0.8840</t>
        </is>
      </c>
    </row>
    <row r="1537">
      <c r="A1537" t="inlineStr">
        <is>
          <t>0000189454</t>
        </is>
      </c>
      <c r="B1537" t="inlineStr">
        <is>
          <t>NAHARS ENGINEERING INDIA PRIVATE LI</t>
        </is>
      </c>
      <c r="C1537" t="inlineStr">
        <is>
          <t>NOS</t>
        </is>
      </c>
      <c r="D1537" t="n">
        <v>835</v>
      </c>
      <c r="E1537" t="n">
        <v>738.62</v>
      </c>
      <c r="F1537" t="n">
        <v>703.905</v>
      </c>
      <c r="G1537" t="n">
        <v>1942696</v>
      </c>
      <c r="H1537" t="inlineStr">
        <is>
          <t>TUB-O-N-AUT-AW-PE-22.23X2.000X0.8840</t>
        </is>
      </c>
    </row>
    <row r="1538">
      <c r="A1538" t="inlineStr">
        <is>
          <t>0000189454</t>
        </is>
      </c>
      <c r="B1538" t="inlineStr">
        <is>
          <t>NAHARS ENGINEERING INDIA PRIVATE LI</t>
        </is>
      </c>
      <c r="C1538" t="inlineStr">
        <is>
          <t>NOS</t>
        </is>
      </c>
      <c r="D1538" t="n">
        <v>129</v>
      </c>
      <c r="E1538" t="n">
        <v>114.11</v>
      </c>
      <c r="F1538" t="n">
        <v>108.747</v>
      </c>
      <c r="G1538" t="n">
        <v>1942696</v>
      </c>
      <c r="H1538" t="inlineStr">
        <is>
          <t>TUB-O-N-AUT-AW-PE-22.23X2.000X0.8840</t>
        </is>
      </c>
    </row>
    <row r="1539">
      <c r="A1539" t="inlineStr">
        <is>
          <t>0000189454</t>
        </is>
      </c>
      <c r="B1539" t="inlineStr">
        <is>
          <t>NAHARS ENGINEERING INDIA PRIVATE LI</t>
        </is>
      </c>
      <c r="C1539" t="inlineStr">
        <is>
          <t>NOS</t>
        </is>
      </c>
      <c r="D1539" t="n">
        <v>2500</v>
      </c>
      <c r="E1539" t="n">
        <v>1037.786</v>
      </c>
      <c r="F1539" t="n">
        <v>975</v>
      </c>
      <c r="G1539" t="n">
        <v>3551623</v>
      </c>
      <c r="H1539" t="inlineStr">
        <is>
          <t>TUB-O-N-AUT-AW-FC-25.40X1.600X0.4150</t>
        </is>
      </c>
    </row>
    <row r="1540">
      <c r="A1540" t="inlineStr">
        <is>
          <t>0000189454</t>
        </is>
      </c>
      <c r="B1540" t="inlineStr">
        <is>
          <t>NAHARS ENGINEERING INDIA PRIVATE LI</t>
        </is>
      </c>
      <c r="C1540" t="inlineStr">
        <is>
          <t>NOS</t>
        </is>
      </c>
      <c r="D1540" t="n">
        <v>2949</v>
      </c>
      <c r="E1540" t="n">
        <v>1610.927</v>
      </c>
      <c r="F1540" t="n">
        <v>2320.863</v>
      </c>
      <c r="G1540" t="n">
        <v>1940817</v>
      </c>
      <c r="H1540" t="inlineStr">
        <is>
          <t>TUB-R-AW-RHS-40.00X20.00X1.600X0.5460</t>
        </is>
      </c>
    </row>
    <row r="1541">
      <c r="A1541" t="inlineStr">
        <is>
          <t>0000189454</t>
        </is>
      </c>
      <c r="B1541" t="inlineStr">
        <is>
          <t>NAHARS ENGINEERING INDIA PRIVATE LI</t>
        </is>
      </c>
      <c r="C1541" t="inlineStr">
        <is>
          <t>NOS</t>
        </is>
      </c>
      <c r="D1541" t="n">
        <v>51</v>
      </c>
      <c r="E1541" t="n">
        <v>27.859</v>
      </c>
      <c r="F1541" t="n">
        <v>40.137</v>
      </c>
      <c r="G1541" t="n">
        <v>1940817</v>
      </c>
      <c r="H1541" t="inlineStr">
        <is>
          <t>TUB-R-AW-RHS-40.00X20.00X1.600X0.5460</t>
        </is>
      </c>
    </row>
    <row r="1542">
      <c r="A1542" t="inlineStr">
        <is>
          <t>0000189454</t>
        </is>
      </c>
      <c r="B1542" t="inlineStr">
        <is>
          <t>NAHARS ENGINEERING INDIA PRIVATE LI</t>
        </is>
      </c>
      <c r="C1542" t="inlineStr">
        <is>
          <t>NOS</t>
        </is>
      </c>
      <c r="D1542" t="n">
        <v>3152</v>
      </c>
      <c r="E1542" t="n">
        <v>2821.042</v>
      </c>
      <c r="F1542" t="n">
        <v>2338.644</v>
      </c>
      <c r="G1542" t="n">
        <v>4229937</v>
      </c>
      <c r="H1542" t="inlineStr">
        <is>
          <t>CUT-O-N-AUT-AW-FC-25.40X1.400X0.8950</t>
        </is>
      </c>
    </row>
    <row r="1543">
      <c r="A1543" t="inlineStr">
        <is>
          <t>0000189454</t>
        </is>
      </c>
      <c r="B1543" t="inlineStr">
        <is>
          <t>NAHARS ENGINEERING INDIA PRIVATE LI</t>
        </is>
      </c>
      <c r="C1543" t="inlineStr">
        <is>
          <t>NOS</t>
        </is>
      </c>
      <c r="D1543" t="n">
        <v>1848</v>
      </c>
      <c r="E1543" t="n">
        <v>1653.961</v>
      </c>
      <c r="F1543" t="n">
        <v>1371.134</v>
      </c>
      <c r="G1543" t="n">
        <v>4229937</v>
      </c>
      <c r="H1543" t="inlineStr">
        <is>
          <t>CUT-O-N-AUT-AW-FC-25.40X1.400X0.8950</t>
        </is>
      </c>
    </row>
    <row r="1544">
      <c r="A1544" t="inlineStr">
        <is>
          <t>0000189454</t>
        </is>
      </c>
      <c r="B1544" t="inlineStr">
        <is>
          <t>NAHARS ENGINEERING INDIA PRIVATE LI</t>
        </is>
      </c>
      <c r="C1544" t="inlineStr">
        <is>
          <t>NOS</t>
        </is>
      </c>
      <c r="D1544" t="n">
        <v>3590</v>
      </c>
      <c r="E1544" t="n">
        <v>1672.927</v>
      </c>
      <c r="F1544" t="n">
        <v>1386.857</v>
      </c>
      <c r="G1544" t="n">
        <v>4229936</v>
      </c>
      <c r="H1544" t="inlineStr">
        <is>
          <t>CUT-O-N-AUT-AW-FC-25.40X1.400X0.4660</t>
        </is>
      </c>
    </row>
    <row r="1545">
      <c r="A1545" t="inlineStr">
        <is>
          <t>0000189454</t>
        </is>
      </c>
      <c r="B1545" t="inlineStr">
        <is>
          <t>NAHARS ENGINEERING INDIA PRIVATE LI</t>
        </is>
      </c>
      <c r="C1545" t="inlineStr">
        <is>
          <t>NOS</t>
        </is>
      </c>
      <c r="D1545" t="n">
        <v>1410</v>
      </c>
      <c r="E1545" t="n">
        <v>657.0549999999999</v>
      </c>
      <c r="F1545" t="n">
        <v>544.699</v>
      </c>
      <c r="G1545" t="n">
        <v>4229936</v>
      </c>
      <c r="H1545" t="inlineStr">
        <is>
          <t>CUT-O-N-AUT-AW-FC-25.40X1.400X0.4660</t>
        </is>
      </c>
    </row>
    <row r="1546">
      <c r="A1546" t="inlineStr">
        <is>
          <t>0000947306</t>
        </is>
      </c>
      <c r="B1546" t="inlineStr">
        <is>
          <t>NAHARS ENGINEERING INDIA PRIVATE LI</t>
        </is>
      </c>
      <c r="C1546" t="inlineStr">
        <is>
          <t>NOS</t>
        </is>
      </c>
      <c r="D1546" t="n">
        <v>1617</v>
      </c>
      <c r="E1546" t="n">
        <v>373.485</v>
      </c>
      <c r="F1546" t="n">
        <v>350.889</v>
      </c>
      <c r="G1546" t="n">
        <v>2398620</v>
      </c>
      <c r="H1546" t="inlineStr">
        <is>
          <t>TUB-O-N-AUT-AW-PE-25.40X1.600X0.2300</t>
        </is>
      </c>
    </row>
    <row r="1547">
      <c r="A1547" t="inlineStr">
        <is>
          <t>0000947306</t>
        </is>
      </c>
      <c r="B1547" t="inlineStr">
        <is>
          <t>NAHARS ENGINEERING INDIA PRIVATE LI</t>
        </is>
      </c>
      <c r="C1547" t="inlineStr">
        <is>
          <t>NOS</t>
        </is>
      </c>
      <c r="D1547" t="n">
        <v>8</v>
      </c>
      <c r="E1547" t="n">
        <v>1.848</v>
      </c>
      <c r="F1547" t="n">
        <v>1.736</v>
      </c>
      <c r="G1547" t="n">
        <v>2398620</v>
      </c>
      <c r="H1547" t="inlineStr">
        <is>
          <t>TUB-O-N-AUT-AW-PE-25.40X1.600X0.2300</t>
        </is>
      </c>
    </row>
    <row r="1548">
      <c r="A1548" t="inlineStr">
        <is>
          <t>0000188595</t>
        </is>
      </c>
      <c r="B1548" t="inlineStr">
        <is>
          <t>Sri Balaji Gears</t>
        </is>
      </c>
      <c r="C1548" t="inlineStr">
        <is>
          <t>NOS</t>
        </is>
      </c>
      <c r="D1548" t="n">
        <v>1349</v>
      </c>
      <c r="E1548" t="n">
        <v>1767.714</v>
      </c>
      <c r="F1548" t="n">
        <v>1946.607</v>
      </c>
      <c r="G1548" t="n">
        <v>1940801</v>
      </c>
      <c r="H1548" t="inlineStr">
        <is>
          <t>TUB-R-AW-RHS-40.00X20.00X1.210X1.3100</t>
        </is>
      </c>
    </row>
    <row r="1549">
      <c r="A1549" t="inlineStr">
        <is>
          <t>0000188595</t>
        </is>
      </c>
      <c r="B1549" t="inlineStr">
        <is>
          <t>Sri Balaji Gears</t>
        </is>
      </c>
      <c r="C1549" t="inlineStr">
        <is>
          <t>NOS</t>
        </is>
      </c>
      <c r="D1549" t="n">
        <v>151</v>
      </c>
      <c r="E1549" t="n">
        <v>197.869</v>
      </c>
      <c r="F1549" t="n">
        <v>217.893</v>
      </c>
      <c r="G1549" t="n">
        <v>1940801</v>
      </c>
      <c r="H1549" t="inlineStr">
        <is>
          <t>TUB-R-AW-RHS-40.00X20.00X1.210X1.3100</t>
        </is>
      </c>
    </row>
    <row r="1550">
      <c r="A1550" t="inlineStr">
        <is>
          <t>0000188595</t>
        </is>
      </c>
      <c r="B1550" t="inlineStr">
        <is>
          <t>Sri Balaji Gears</t>
        </is>
      </c>
      <c r="C1550" t="inlineStr">
        <is>
          <t>NOS</t>
        </is>
      </c>
      <c r="D1550" t="n">
        <v>500</v>
      </c>
      <c r="E1550" t="n">
        <v>623.4109999999999</v>
      </c>
      <c r="F1550" t="n">
        <v>686.5</v>
      </c>
      <c r="G1550" t="n">
        <v>3233554</v>
      </c>
      <c r="H1550" t="inlineStr">
        <is>
          <t>TUB-R-AW-AUT-40.00X20.00X1.210X1.2460</t>
        </is>
      </c>
    </row>
    <row r="1551">
      <c r="A1551" t="inlineStr">
        <is>
          <t>0000188595</t>
        </is>
      </c>
      <c r="B1551" t="inlineStr">
        <is>
          <t>Sri Balaji Gears</t>
        </is>
      </c>
      <c r="C1551" t="inlineStr">
        <is>
          <t>NOS</t>
        </is>
      </c>
      <c r="D1551" t="n">
        <v>1898</v>
      </c>
      <c r="E1551" t="n">
        <v>2126.891</v>
      </c>
      <c r="F1551" t="n">
        <v>2342.132</v>
      </c>
      <c r="G1551" t="n">
        <v>3233555</v>
      </c>
      <c r="H1551" t="inlineStr">
        <is>
          <t>TUB-R-AW-AUT-40.00X20.00X1.210X1.1200</t>
        </is>
      </c>
    </row>
    <row r="1552">
      <c r="A1552" t="inlineStr">
        <is>
          <t>0000188595</t>
        </is>
      </c>
      <c r="B1552" t="inlineStr">
        <is>
          <t>Sri Balaji Gears</t>
        </is>
      </c>
      <c r="C1552" t="inlineStr">
        <is>
          <t>NOS</t>
        </is>
      </c>
      <c r="D1552" t="n">
        <v>102</v>
      </c>
      <c r="E1552" t="n">
        <v>114.301</v>
      </c>
      <c r="F1552" t="n">
        <v>125.868</v>
      </c>
      <c r="G1552" t="n">
        <v>3233555</v>
      </c>
      <c r="H1552" t="inlineStr">
        <is>
          <t>TUB-R-AW-AUT-40.00X20.00X1.210X1.1200</t>
        </is>
      </c>
    </row>
    <row r="1553">
      <c r="A1553" t="inlineStr">
        <is>
          <t>0000188595</t>
        </is>
      </c>
      <c r="B1553" t="inlineStr">
        <is>
          <t>Sri Balaji Gears</t>
        </is>
      </c>
      <c r="C1553" t="inlineStr">
        <is>
          <t>NOS</t>
        </is>
      </c>
      <c r="D1553" t="n">
        <v>2000</v>
      </c>
      <c r="E1553" t="n">
        <v>1720.981</v>
      </c>
      <c r="F1553" t="n">
        <v>1880</v>
      </c>
      <c r="G1553" t="n">
        <v>3572051</v>
      </c>
      <c r="H1553" t="inlineStr">
        <is>
          <t>TUB-R-AW-AUT-40.00X20.00X1.200X0.8600</t>
        </is>
      </c>
    </row>
    <row r="1554">
      <c r="A1554" t="inlineStr">
        <is>
          <t>0000188595</t>
        </is>
      </c>
      <c r="B1554" t="inlineStr">
        <is>
          <t>Sri Balaji Gears</t>
        </is>
      </c>
      <c r="C1554" t="inlineStr">
        <is>
          <t>NOS</t>
        </is>
      </c>
      <c r="D1554" t="n">
        <v>949</v>
      </c>
      <c r="E1554" t="n">
        <v>716.489</v>
      </c>
      <c r="F1554" t="n">
        <v>782.693</v>
      </c>
      <c r="G1554" t="n">
        <v>4151472</v>
      </c>
      <c r="H1554" t="inlineStr">
        <is>
          <t>TUB-R-AW-AUT-40.00X20.00X1.200X0.7550</t>
        </is>
      </c>
    </row>
    <row r="1555">
      <c r="A1555" t="inlineStr">
        <is>
          <t>0000188595</t>
        </is>
      </c>
      <c r="B1555" t="inlineStr">
        <is>
          <t>Sri Balaji Gears</t>
        </is>
      </c>
      <c r="C1555" t="inlineStr">
        <is>
          <t>NOS</t>
        </is>
      </c>
      <c r="D1555" t="n">
        <v>25</v>
      </c>
      <c r="E1555" t="n">
        <v>18.875</v>
      </c>
      <c r="F1555" t="n">
        <v>20.619</v>
      </c>
      <c r="G1555" t="n">
        <v>4151472</v>
      </c>
      <c r="H1555" t="inlineStr">
        <is>
          <t>TUB-R-AW-AUT-40.00X20.00X1.200X0.7550</t>
        </is>
      </c>
    </row>
    <row r="1556">
      <c r="A1556" t="inlineStr">
        <is>
          <t>0000188595</t>
        </is>
      </c>
      <c r="B1556" t="inlineStr">
        <is>
          <t>Sri Balaji Gears</t>
        </is>
      </c>
      <c r="C1556" t="inlineStr">
        <is>
          <t>NOS</t>
        </is>
      </c>
      <c r="D1556" t="n">
        <v>17</v>
      </c>
      <c r="E1556" t="n">
        <v>12.835</v>
      </c>
      <c r="F1556" t="n">
        <v>14.021</v>
      </c>
      <c r="G1556" t="n">
        <v>4151472</v>
      </c>
      <c r="H1556" t="inlineStr">
        <is>
          <t>TUB-R-AW-AUT-40.00X20.00X1.200X0.7550</t>
        </is>
      </c>
    </row>
    <row r="1557">
      <c r="A1557" t="inlineStr">
        <is>
          <t>0000188595</t>
        </is>
      </c>
      <c r="B1557" t="inlineStr">
        <is>
          <t>Sri Balaji Gears</t>
        </is>
      </c>
      <c r="C1557" t="inlineStr">
        <is>
          <t>NOS</t>
        </is>
      </c>
      <c r="D1557" t="n">
        <v>9</v>
      </c>
      <c r="E1557" t="n">
        <v>6.795</v>
      </c>
      <c r="F1557" t="n">
        <v>7.423</v>
      </c>
      <c r="G1557" t="n">
        <v>4151472</v>
      </c>
      <c r="H1557" t="inlineStr">
        <is>
          <t>TUB-R-AW-AUT-40.00X20.00X1.200X0.7550</t>
        </is>
      </c>
    </row>
    <row r="1558">
      <c r="A1558" t="inlineStr">
        <is>
          <t>0000188595</t>
        </is>
      </c>
      <c r="B1558" t="inlineStr">
        <is>
          <t>Sri Balaji Gears</t>
        </is>
      </c>
      <c r="C1558" t="inlineStr">
        <is>
          <t>NOS</t>
        </is>
      </c>
      <c r="D1558" t="n">
        <v>1000</v>
      </c>
      <c r="E1558" t="n">
        <v>120.777</v>
      </c>
      <c r="F1558" t="n">
        <v>133</v>
      </c>
      <c r="G1558" t="n">
        <v>3233559</v>
      </c>
      <c r="H1558" t="inlineStr">
        <is>
          <t>TUB-R-AW-AUT-40.00X20.00X1.210X0.1200</t>
        </is>
      </c>
    </row>
    <row r="1559">
      <c r="A1559" t="inlineStr">
        <is>
          <t>0000188595</t>
        </is>
      </c>
      <c r="B1559" t="inlineStr">
        <is>
          <t>Sri Balaji Gears</t>
        </is>
      </c>
      <c r="C1559" t="inlineStr">
        <is>
          <t>NOS</t>
        </is>
      </c>
      <c r="D1559" t="n">
        <v>1000</v>
      </c>
      <c r="E1559" t="n">
        <v>110.765</v>
      </c>
      <c r="F1559" t="n">
        <v>121</v>
      </c>
      <c r="G1559" t="n">
        <v>3572047</v>
      </c>
      <c r="H1559" t="inlineStr">
        <is>
          <t>TUB-R-AW-AUT-40.00X20.00X1.200X0.1100</t>
        </is>
      </c>
    </row>
    <row r="1560">
      <c r="A1560" t="inlineStr">
        <is>
          <t>0000188595</t>
        </is>
      </c>
      <c r="B1560" t="inlineStr">
        <is>
          <t>Sri Balaji Gears</t>
        </is>
      </c>
      <c r="C1560" t="inlineStr">
        <is>
          <t>NOS</t>
        </is>
      </c>
      <c r="D1560" t="n">
        <v>800</v>
      </c>
      <c r="E1560" t="n">
        <v>635.9930000000001</v>
      </c>
      <c r="F1560" t="n">
        <v>351.831</v>
      </c>
      <c r="G1560" t="n">
        <v>4151429</v>
      </c>
      <c r="H1560" t="inlineStr">
        <is>
          <t>TUB-S-AW-AUT-19.00X19.00X1.000X0.7950</t>
        </is>
      </c>
    </row>
    <row r="1561">
      <c r="A1561" t="inlineStr">
        <is>
          <t>0000188595</t>
        </is>
      </c>
      <c r="B1561" t="inlineStr">
        <is>
          <t>Sri Balaji Gears</t>
        </is>
      </c>
      <c r="C1561" t="inlineStr">
        <is>
          <t>NOS</t>
        </is>
      </c>
      <c r="D1561" t="n">
        <v>149</v>
      </c>
      <c r="E1561" t="n">
        <v>118.454</v>
      </c>
      <c r="F1561" t="n">
        <v>65.529</v>
      </c>
      <c r="G1561" t="n">
        <v>4151429</v>
      </c>
      <c r="H1561" t="inlineStr">
        <is>
          <t>TUB-S-AW-AUT-19.00X19.00X1.000X0.7950</t>
        </is>
      </c>
    </row>
    <row r="1562">
      <c r="A1562" t="inlineStr">
        <is>
          <t>0000188595</t>
        </is>
      </c>
      <c r="B1562" t="inlineStr">
        <is>
          <t>Sri Balaji Gears</t>
        </is>
      </c>
      <c r="C1562" t="inlineStr">
        <is>
          <t>NOS</t>
        </is>
      </c>
      <c r="D1562" t="n">
        <v>51</v>
      </c>
      <c r="E1562" t="n">
        <v>40.545</v>
      </c>
      <c r="F1562" t="n">
        <v>22.429</v>
      </c>
      <c r="G1562" t="n">
        <v>4151429</v>
      </c>
      <c r="H1562" t="inlineStr">
        <is>
          <t>TUB-S-AW-AUT-19.00X19.00X1.000X0.7950</t>
        </is>
      </c>
    </row>
    <row r="1563">
      <c r="A1563" t="inlineStr">
        <is>
          <t>0000188595</t>
        </is>
      </c>
      <c r="B1563" t="inlineStr">
        <is>
          <t>Sri Balaji Gears</t>
        </is>
      </c>
      <c r="C1563" t="inlineStr">
        <is>
          <t>NOS</t>
        </is>
      </c>
      <c r="D1563" t="n">
        <v>1000</v>
      </c>
      <c r="E1563" t="n">
        <v>469.994</v>
      </c>
      <c r="F1563" t="n">
        <v>256.1</v>
      </c>
      <c r="G1563" t="n">
        <v>3230488</v>
      </c>
      <c r="H1563" t="inlineStr">
        <is>
          <t>TUB-S-AW-AUT-19.00X19.00X1.000X0.4700</t>
        </is>
      </c>
    </row>
    <row r="1564">
      <c r="A1564" t="inlineStr">
        <is>
          <t>0000188595</t>
        </is>
      </c>
      <c r="B1564" t="inlineStr">
        <is>
          <t>Sri Balaji Gears</t>
        </is>
      </c>
      <c r="C1564" t="inlineStr">
        <is>
          <t>NOS</t>
        </is>
      </c>
      <c r="D1564" t="n">
        <v>4000</v>
      </c>
      <c r="E1564" t="n">
        <v>1597.975</v>
      </c>
      <c r="F1564" t="n">
        <v>884</v>
      </c>
      <c r="G1564" t="n">
        <v>3230487</v>
      </c>
      <c r="H1564" t="inlineStr">
        <is>
          <t>TUB-S-AW-AUT-19.00X19.00X1.000X0.4000</t>
        </is>
      </c>
    </row>
    <row r="1565">
      <c r="A1565" t="inlineStr">
        <is>
          <t>0000188595</t>
        </is>
      </c>
      <c r="B1565" t="inlineStr">
        <is>
          <t>Sri Balaji Gears</t>
        </is>
      </c>
      <c r="C1565" t="inlineStr">
        <is>
          <t>NOS</t>
        </is>
      </c>
      <c r="D1565" t="n">
        <v>2000</v>
      </c>
      <c r="E1565" t="n">
        <v>199.996</v>
      </c>
      <c r="F1565" t="n">
        <v>109</v>
      </c>
      <c r="G1565" t="n">
        <v>3931834</v>
      </c>
      <c r="H1565" t="inlineStr">
        <is>
          <t>CUT-R-AW-AUT-19.00X19.00X1.000X0.1000</t>
        </is>
      </c>
    </row>
    <row r="1566">
      <c r="A1566" t="inlineStr">
        <is>
          <t>0000188595</t>
        </is>
      </c>
      <c r="B1566" t="inlineStr">
        <is>
          <t>Sri Balaji Gears</t>
        </is>
      </c>
      <c r="C1566" t="inlineStr">
        <is>
          <t>NOS</t>
        </is>
      </c>
      <c r="D1566" t="n">
        <v>1000</v>
      </c>
      <c r="E1566" t="n">
        <v>115.006</v>
      </c>
      <c r="F1566" t="n">
        <v>62.667</v>
      </c>
      <c r="G1566" t="n">
        <v>4151428</v>
      </c>
      <c r="H1566" t="inlineStr">
        <is>
          <t>TUB-S-AW-AUT-19.00X19.00X1.000X0.1150</t>
        </is>
      </c>
    </row>
    <row r="1567">
      <c r="A1567" t="inlineStr">
        <is>
          <t>0000188595</t>
        </is>
      </c>
      <c r="B1567" t="inlineStr">
        <is>
          <t>Sri Balaji Gears</t>
        </is>
      </c>
      <c r="C1567" t="inlineStr">
        <is>
          <t>NOS</t>
        </is>
      </c>
      <c r="D1567" t="n">
        <v>1000</v>
      </c>
      <c r="E1567" t="n">
        <v>962.99</v>
      </c>
      <c r="F1567" t="n">
        <v>524.7329999999999</v>
      </c>
      <c r="G1567" t="n">
        <v>4151427</v>
      </c>
      <c r="H1567" t="inlineStr">
        <is>
          <t>TUB-S-AW-AUT-19.00X19.00X1.000X0.9630</t>
        </is>
      </c>
    </row>
    <row r="1568">
      <c r="A1568" t="inlineStr">
        <is>
          <t>0000188595</t>
        </is>
      </c>
      <c r="B1568" t="inlineStr">
        <is>
          <t>Sri Balaji Gears</t>
        </is>
      </c>
      <c r="C1568" t="inlineStr">
        <is>
          <t>NOS</t>
        </is>
      </c>
      <c r="D1568" t="n">
        <v>999</v>
      </c>
      <c r="E1568" t="n">
        <v>754.246</v>
      </c>
      <c r="F1568" t="n">
        <v>410.989</v>
      </c>
      <c r="G1568" t="n">
        <v>4151426</v>
      </c>
      <c r="H1568" t="inlineStr">
        <is>
          <t>TUB-S-AW-AUT-19.00X19.00X1.000X0.7550</t>
        </is>
      </c>
    </row>
    <row r="1569">
      <c r="A1569" t="inlineStr">
        <is>
          <t>0000188595</t>
        </is>
      </c>
      <c r="B1569" t="inlineStr">
        <is>
          <t>Sri Balaji Gears</t>
        </is>
      </c>
      <c r="C1569" t="inlineStr">
        <is>
          <t>NOS</t>
        </is>
      </c>
      <c r="D1569" t="n">
        <v>1</v>
      </c>
      <c r="E1569" t="n">
        <v>0.755</v>
      </c>
      <c r="F1569" t="n">
        <v>0.411</v>
      </c>
      <c r="G1569" t="n">
        <v>4151426</v>
      </c>
      <c r="H1569" t="inlineStr">
        <is>
          <t>TUB-S-AW-AUT-19.00X19.00X1.000X0.7550</t>
        </is>
      </c>
    </row>
    <row r="1570">
      <c r="A1570" t="inlineStr">
        <is>
          <t>0000188595</t>
        </is>
      </c>
      <c r="B1570" t="inlineStr">
        <is>
          <t>Sri Balaji Gears</t>
        </is>
      </c>
      <c r="C1570" t="inlineStr">
        <is>
          <t>NOS</t>
        </is>
      </c>
      <c r="D1570" t="n">
        <v>1000</v>
      </c>
      <c r="E1570" t="n">
        <v>356.11</v>
      </c>
      <c r="F1570" t="n">
        <v>197</v>
      </c>
      <c r="G1570" t="n">
        <v>3230490</v>
      </c>
      <c r="H1570" t="inlineStr">
        <is>
          <t>TUB-S-AW-AUT-19.00X19.00X1.000X0.3550</t>
        </is>
      </c>
    </row>
    <row r="1571">
      <c r="A1571" t="inlineStr">
        <is>
          <t>0000188595</t>
        </is>
      </c>
      <c r="B1571" t="inlineStr">
        <is>
          <t>Sri Balaji Gears</t>
        </is>
      </c>
      <c r="C1571" t="inlineStr">
        <is>
          <t>NOS</t>
        </is>
      </c>
      <c r="D1571" t="n">
        <v>1000</v>
      </c>
      <c r="E1571" t="n">
        <v>1303.991</v>
      </c>
      <c r="F1571" t="n">
        <v>710.544</v>
      </c>
      <c r="G1571" t="n">
        <v>3572039</v>
      </c>
      <c r="H1571" t="inlineStr">
        <is>
          <t>TUB-S-AW-AUT-19.00X19.00X1.000X1.3040</t>
        </is>
      </c>
    </row>
    <row r="1572">
      <c r="A1572" t="inlineStr">
        <is>
          <t>0000188595</t>
        </is>
      </c>
      <c r="B1572" t="inlineStr">
        <is>
          <t>Sri Balaji Gears</t>
        </is>
      </c>
      <c r="C1572" t="inlineStr">
        <is>
          <t>NOS</t>
        </is>
      </c>
      <c r="D1572" t="n">
        <v>500</v>
      </c>
      <c r="E1572" t="n">
        <v>622.999</v>
      </c>
      <c r="F1572" t="n">
        <v>339.472</v>
      </c>
      <c r="G1572" t="n">
        <v>3572038</v>
      </c>
      <c r="H1572" t="inlineStr">
        <is>
          <t>TUB-S-AW-AUT-19.00X19.00X1.000X1.2460</t>
        </is>
      </c>
    </row>
    <row r="1573">
      <c r="A1573" t="inlineStr">
        <is>
          <t>0000188595</t>
        </is>
      </c>
      <c r="B1573" t="inlineStr">
        <is>
          <t>Sri Balaji Gears</t>
        </is>
      </c>
      <c r="C1573" t="inlineStr">
        <is>
          <t>NOS</t>
        </is>
      </c>
      <c r="D1573" t="n">
        <v>699</v>
      </c>
      <c r="E1573" t="n">
        <v>583.665</v>
      </c>
      <c r="F1573" t="n">
        <v>322.884</v>
      </c>
      <c r="G1573" t="n">
        <v>4151425</v>
      </c>
      <c r="H1573" t="inlineStr">
        <is>
          <t>TUB-S-AW-AUT-19.00X19.00X1.000X0.8350</t>
        </is>
      </c>
    </row>
    <row r="1574">
      <c r="A1574" t="inlineStr">
        <is>
          <t>0000188595</t>
        </is>
      </c>
      <c r="B1574" t="inlineStr">
        <is>
          <t>Sri Balaji Gears</t>
        </is>
      </c>
      <c r="C1574" t="inlineStr">
        <is>
          <t>NOS</t>
        </is>
      </c>
      <c r="D1574" t="n">
        <v>301</v>
      </c>
      <c r="E1574" t="n">
        <v>251.335</v>
      </c>
      <c r="F1574" t="n">
        <v>139.039</v>
      </c>
      <c r="G1574" t="n">
        <v>4151425</v>
      </c>
      <c r="H1574" t="inlineStr">
        <is>
          <t>TUB-S-AW-AUT-19.00X19.00X1.000X0.8350</t>
        </is>
      </c>
    </row>
    <row r="1575">
      <c r="A1575" t="inlineStr">
        <is>
          <t>0000188595</t>
        </is>
      </c>
      <c r="B1575" t="inlineStr">
        <is>
          <t>Sri Balaji Gears</t>
        </is>
      </c>
      <c r="C1575" t="inlineStr">
        <is>
          <t>NOS</t>
        </is>
      </c>
      <c r="D1575" t="n">
        <v>595</v>
      </c>
      <c r="E1575" t="n">
        <v>321.298</v>
      </c>
      <c r="F1575" t="n">
        <v>175.075</v>
      </c>
      <c r="G1575" t="n">
        <v>3571870</v>
      </c>
      <c r="H1575" t="inlineStr">
        <is>
          <t>TUB-S-AW-AUT-19.00X19.00X1.000X0.5400</t>
        </is>
      </c>
    </row>
    <row r="1576">
      <c r="A1576" t="inlineStr">
        <is>
          <t>0000188595</t>
        </is>
      </c>
      <c r="B1576" t="inlineStr">
        <is>
          <t>Sri Balaji Gears</t>
        </is>
      </c>
      <c r="C1576" t="inlineStr">
        <is>
          <t>NOS</t>
        </is>
      </c>
      <c r="D1576" t="n">
        <v>405</v>
      </c>
      <c r="E1576" t="n">
        <v>218.699</v>
      </c>
      <c r="F1576" t="n">
        <v>119.169</v>
      </c>
      <c r="G1576" t="n">
        <v>3571870</v>
      </c>
      <c r="H1576" t="inlineStr">
        <is>
          <t>TUB-S-AW-AUT-19.00X19.00X1.000X0.5400</t>
        </is>
      </c>
    </row>
    <row r="1577">
      <c r="A1577" t="inlineStr">
        <is>
          <t>0000188595</t>
        </is>
      </c>
      <c r="B1577" t="inlineStr">
        <is>
          <t>Sri Balaji Gears</t>
        </is>
      </c>
      <c r="C1577" t="inlineStr">
        <is>
          <t>NOS</t>
        </is>
      </c>
      <c r="D1577" t="n">
        <v>835</v>
      </c>
      <c r="E1577" t="n">
        <v>91.857</v>
      </c>
      <c r="F1577" t="n">
        <v>50.063</v>
      </c>
      <c r="G1577" t="n">
        <v>3931835</v>
      </c>
      <c r="H1577" t="inlineStr">
        <is>
          <t>CUT-R-AW-AUT-19.00X19.00X1.000X0.1100</t>
        </is>
      </c>
    </row>
    <row r="1578">
      <c r="A1578" t="inlineStr">
        <is>
          <t>0000188595</t>
        </is>
      </c>
      <c r="B1578" t="inlineStr">
        <is>
          <t>Sri Balaji Gears</t>
        </is>
      </c>
      <c r="C1578" t="inlineStr">
        <is>
          <t>NOS</t>
        </is>
      </c>
      <c r="D1578" t="n">
        <v>165</v>
      </c>
      <c r="E1578" t="n">
        <v>18.151</v>
      </c>
      <c r="F1578" t="n">
        <v>9.893000000000001</v>
      </c>
      <c r="G1578" t="n">
        <v>3931835</v>
      </c>
      <c r="H1578" t="inlineStr">
        <is>
          <t>CUT-R-AW-AUT-19.00X19.00X1.000X0.1100</t>
        </is>
      </c>
    </row>
    <row r="1579">
      <c r="A1579" t="inlineStr">
        <is>
          <t>0000188595</t>
        </is>
      </c>
      <c r="B1579" t="inlineStr">
        <is>
          <t>Sri Balaji Gears</t>
        </is>
      </c>
      <c r="C1579" t="inlineStr">
        <is>
          <t>NOS</t>
        </is>
      </c>
      <c r="D1579" t="n">
        <v>1000</v>
      </c>
      <c r="E1579" t="n">
        <v>639.998</v>
      </c>
      <c r="F1579" t="n">
        <v>578.878</v>
      </c>
      <c r="G1579" t="n">
        <v>4151430</v>
      </c>
      <c r="H1579" t="inlineStr">
        <is>
          <t>TUB-S-AW-AUT-25.00X25.00X1.200X0.6400</t>
        </is>
      </c>
    </row>
    <row r="1580">
      <c r="A1580" t="inlineStr">
        <is>
          <t>0000188595</t>
        </is>
      </c>
      <c r="B1580" t="inlineStr">
        <is>
          <t>Sri Balaji Gears</t>
        </is>
      </c>
      <c r="C1580" t="inlineStr">
        <is>
          <t>NOS</t>
        </is>
      </c>
      <c r="D1580" t="n">
        <v>500</v>
      </c>
      <c r="E1580" t="n">
        <v>615.004</v>
      </c>
      <c r="F1580" t="n">
        <v>324.872</v>
      </c>
      <c r="G1580" t="n">
        <v>3929692</v>
      </c>
      <c r="H1580" t="inlineStr">
        <is>
          <t>CUT-O-N-AUT-AW-PE-19.05X1.200X1.2300</t>
        </is>
      </c>
    </row>
    <row r="1581">
      <c r="A1581" t="inlineStr">
        <is>
          <t>0000188595</t>
        </is>
      </c>
      <c r="B1581" t="inlineStr">
        <is>
          <t>Sri Balaji Gears</t>
        </is>
      </c>
      <c r="C1581" t="inlineStr">
        <is>
          <t>NOS</t>
        </is>
      </c>
      <c r="D1581" t="n">
        <v>2997</v>
      </c>
      <c r="E1581" t="n">
        <v>599.375</v>
      </c>
      <c r="F1581" t="n">
        <v>316.616</v>
      </c>
      <c r="G1581" t="n">
        <v>3929691</v>
      </c>
      <c r="H1581" t="inlineStr">
        <is>
          <t>CUT-O-N-AUT-AW-PE-19.05X1.200X0.2000</t>
        </is>
      </c>
    </row>
    <row r="1582">
      <c r="A1582" t="inlineStr">
        <is>
          <t>0000188595</t>
        </is>
      </c>
      <c r="B1582" t="inlineStr">
        <is>
          <t>Sri Balaji Gears</t>
        </is>
      </c>
      <c r="C1582" t="inlineStr">
        <is>
          <t>NOS</t>
        </is>
      </c>
      <c r="D1582" t="n">
        <v>3</v>
      </c>
      <c r="E1582" t="n">
        <v>0.6</v>
      </c>
      <c r="F1582" t="n">
        <v>0.317</v>
      </c>
      <c r="G1582" t="n">
        <v>3929691</v>
      </c>
      <c r="H1582" t="inlineStr">
        <is>
          <t>CUT-O-N-AUT-AW-PE-19.05X1.200X0.2000</t>
        </is>
      </c>
    </row>
    <row r="1583">
      <c r="A1583" t="inlineStr">
        <is>
          <t>0000188595</t>
        </is>
      </c>
      <c r="B1583" t="inlineStr">
        <is>
          <t>Sri Balaji Gears</t>
        </is>
      </c>
      <c r="C1583" t="inlineStr">
        <is>
          <t>NOS</t>
        </is>
      </c>
      <c r="D1583" t="n">
        <v>1000</v>
      </c>
      <c r="E1583" t="n">
        <v>150</v>
      </c>
      <c r="F1583" t="n">
        <v>65.167</v>
      </c>
      <c r="G1583" t="n">
        <v>4104140</v>
      </c>
      <c r="H1583" t="inlineStr">
        <is>
          <t>TUB-O-N-AUT-AW-PE-15.88X1.220X0.1500</t>
        </is>
      </c>
    </row>
    <row r="1584">
      <c r="A1584" t="inlineStr">
        <is>
          <t>0000188595</t>
        </is>
      </c>
      <c r="B1584" t="inlineStr">
        <is>
          <t>Sri Balaji Gears</t>
        </is>
      </c>
      <c r="C1584" t="inlineStr">
        <is>
          <t>NOS</t>
        </is>
      </c>
      <c r="D1584" t="n">
        <v>2000</v>
      </c>
      <c r="E1584" t="n">
        <v>317.352</v>
      </c>
      <c r="F1584" t="n">
        <v>466</v>
      </c>
      <c r="G1584" t="n">
        <v>3572055</v>
      </c>
      <c r="H1584" t="inlineStr">
        <is>
          <t>TUB-S-AW-AUT-40.00X40.00X1.200X0.1580</t>
        </is>
      </c>
    </row>
    <row r="1585">
      <c r="A1585" t="inlineStr">
        <is>
          <t>0000188595</t>
        </is>
      </c>
      <c r="B1585" t="inlineStr">
        <is>
          <t>Sri Balaji Gears</t>
        </is>
      </c>
      <c r="C1585" t="inlineStr">
        <is>
          <t>NOS</t>
        </is>
      </c>
      <c r="D1585" t="n">
        <v>499</v>
      </c>
      <c r="E1585" t="n">
        <v>57.385</v>
      </c>
      <c r="F1585" t="n">
        <v>84.264</v>
      </c>
      <c r="G1585" t="n">
        <v>4151471</v>
      </c>
      <c r="H1585" t="inlineStr">
        <is>
          <t>TUB-S-AW-SHS-40.00X40.00X1.200X0.1150</t>
        </is>
      </c>
    </row>
    <row r="1586">
      <c r="A1586" t="inlineStr">
        <is>
          <t>0000188595</t>
        </is>
      </c>
      <c r="B1586" t="inlineStr">
        <is>
          <t>Sri Balaji Gears</t>
        </is>
      </c>
      <c r="C1586" t="inlineStr">
        <is>
          <t>NOS</t>
        </is>
      </c>
      <c r="D1586" t="n">
        <v>399</v>
      </c>
      <c r="E1586" t="n">
        <v>45.885</v>
      </c>
      <c r="F1586" t="n">
        <v>67.378</v>
      </c>
      <c r="G1586" t="n">
        <v>4151471</v>
      </c>
      <c r="H1586" t="inlineStr">
        <is>
          <t>TUB-S-AW-SHS-40.00X40.00X1.200X0.1150</t>
        </is>
      </c>
    </row>
    <row r="1587">
      <c r="A1587" t="inlineStr">
        <is>
          <t>0000188595</t>
        </is>
      </c>
      <c r="B1587" t="inlineStr">
        <is>
          <t>Sri Balaji Gears</t>
        </is>
      </c>
      <c r="C1587" t="inlineStr">
        <is>
          <t>NOS</t>
        </is>
      </c>
      <c r="D1587" t="n">
        <v>102</v>
      </c>
      <c r="E1587" t="n">
        <v>11.73</v>
      </c>
      <c r="F1587" t="n">
        <v>17.224</v>
      </c>
      <c r="G1587" t="n">
        <v>4151471</v>
      </c>
      <c r="H1587" t="inlineStr">
        <is>
          <t>TUB-S-AW-SHS-40.00X40.00X1.200X0.1150</t>
        </is>
      </c>
    </row>
    <row r="1588">
      <c r="A1588" t="inlineStr">
        <is>
          <t>0000188595</t>
        </is>
      </c>
      <c r="B1588" t="inlineStr">
        <is>
          <t>Sri Balaji Gears</t>
        </is>
      </c>
      <c r="C1588" t="inlineStr">
        <is>
          <t>NOS</t>
        </is>
      </c>
      <c r="D1588" t="n">
        <v>1000</v>
      </c>
      <c r="E1588" t="n">
        <v>190</v>
      </c>
      <c r="F1588" t="n">
        <v>207.556</v>
      </c>
      <c r="G1588" t="n">
        <v>4151424</v>
      </c>
      <c r="H1588" t="inlineStr">
        <is>
          <t>TUB-S-AW-AUT-30.00X30.00X1.200X0.1900</t>
        </is>
      </c>
    </row>
    <row r="1589">
      <c r="A1589" t="inlineStr">
        <is>
          <t>0000188595</t>
        </is>
      </c>
      <c r="B1589" t="inlineStr">
        <is>
          <t>Sri Balaji Gears</t>
        </is>
      </c>
      <c r="C1589" t="inlineStr">
        <is>
          <t>NOS</t>
        </is>
      </c>
      <c r="D1589" t="n">
        <v>500</v>
      </c>
      <c r="E1589" t="n">
        <v>503.507</v>
      </c>
      <c r="F1589" t="n">
        <v>274.417</v>
      </c>
      <c r="G1589" t="n">
        <v>4100796</v>
      </c>
      <c r="H1589" t="inlineStr">
        <is>
          <t>CUT-R-AW-AUT-19.00X19.00X1.000X1.0070</t>
        </is>
      </c>
    </row>
    <row r="1590">
      <c r="A1590" t="inlineStr">
        <is>
          <t>0000188595</t>
        </is>
      </c>
      <c r="B1590" t="inlineStr">
        <is>
          <t>Sri Balaji Gears</t>
        </is>
      </c>
      <c r="C1590" t="inlineStr">
        <is>
          <t>NOS</t>
        </is>
      </c>
      <c r="D1590" t="n">
        <v>1000</v>
      </c>
      <c r="E1590" t="n">
        <v>129.009</v>
      </c>
      <c r="F1590" t="n">
        <v>70.31100000000001</v>
      </c>
      <c r="G1590" t="n">
        <v>3938687</v>
      </c>
      <c r="H1590" t="inlineStr">
        <is>
          <t>TUB-S-AW-AUT-19.00X19.00X1.000X0.1290</t>
        </is>
      </c>
    </row>
    <row r="1591">
      <c r="A1591" t="inlineStr">
        <is>
          <t>0000188595</t>
        </is>
      </c>
      <c r="B1591" t="inlineStr">
        <is>
          <t>Sri Balaji Gears</t>
        </is>
      </c>
      <c r="C1591" t="inlineStr">
        <is>
          <t>NOS</t>
        </is>
      </c>
      <c r="D1591" t="n">
        <v>500</v>
      </c>
      <c r="E1591" t="n">
        <v>164.995</v>
      </c>
      <c r="F1591" t="n">
        <v>87.18300000000001</v>
      </c>
      <c r="G1591" t="n">
        <v>3935313</v>
      </c>
      <c r="H1591" t="inlineStr">
        <is>
          <t>CUT-O-N-AUT-AW-PE-19.05X1.200X0.33</t>
        </is>
      </c>
    </row>
    <row r="1592">
      <c r="A1592" t="inlineStr">
        <is>
          <t>0000948721</t>
        </is>
      </c>
      <c r="B1592" t="inlineStr">
        <is>
          <t>ELKAYEM AUTO ANCILLARIES PRIVATE LI</t>
        </is>
      </c>
      <c r="C1592" t="inlineStr">
        <is>
          <t>NOS</t>
        </is>
      </c>
      <c r="D1592" t="n">
        <v>1995</v>
      </c>
      <c r="E1592" t="n">
        <v>1117.108</v>
      </c>
      <c r="F1592" t="n">
        <v>1749.615</v>
      </c>
      <c r="G1592" t="n">
        <v>1940823</v>
      </c>
      <c r="H1592" t="inlineStr">
        <is>
          <t>TUB-R-AW-RHS-40.00X25.00X1.600X0.5600</t>
        </is>
      </c>
    </row>
    <row r="1593">
      <c r="A1593" t="inlineStr">
        <is>
          <t>0000948721</t>
        </is>
      </c>
      <c r="B1593" t="inlineStr">
        <is>
          <t>ELKAYEM AUTO ANCILLARIES PRIVATE LI</t>
        </is>
      </c>
      <c r="C1593" t="inlineStr">
        <is>
          <t>NOS</t>
        </is>
      </c>
      <c r="D1593" t="n">
        <v>5</v>
      </c>
      <c r="E1593" t="n">
        <v>2.8</v>
      </c>
      <c r="F1593" t="n">
        <v>4.385</v>
      </c>
      <c r="G1593" t="n">
        <v>1940823</v>
      </c>
      <c r="H1593" t="inlineStr">
        <is>
          <t>TUB-R-AW-RHS-40.00X25.00X1.600X0.5600</t>
        </is>
      </c>
    </row>
    <row r="1594">
      <c r="A1594" t="inlineStr">
        <is>
          <t>0000948721</t>
        </is>
      </c>
      <c r="B1594" t="inlineStr">
        <is>
          <t>ELKAYEM AUTO ANCILLARIES PRIVATE LI</t>
        </is>
      </c>
      <c r="C1594" t="inlineStr">
        <is>
          <t>NOS</t>
        </is>
      </c>
      <c r="D1594" t="n">
        <v>1310</v>
      </c>
      <c r="E1594" t="n">
        <v>791.221</v>
      </c>
      <c r="F1594" t="n">
        <v>1536.63</v>
      </c>
      <c r="G1594" t="n">
        <v>2427158</v>
      </c>
      <c r="H1594" t="inlineStr">
        <is>
          <t>TUB-R-AW-AUT-50.00X30.00X1.600X0.6040</t>
        </is>
      </c>
    </row>
    <row r="1595">
      <c r="A1595" t="inlineStr">
        <is>
          <t>0000948721</t>
        </is>
      </c>
      <c r="B1595" t="inlineStr">
        <is>
          <t>ELKAYEM AUTO ANCILLARIES PRIVATE LI</t>
        </is>
      </c>
      <c r="C1595" t="inlineStr">
        <is>
          <t>NOS</t>
        </is>
      </c>
      <c r="D1595" t="n">
        <v>1300</v>
      </c>
      <c r="E1595" t="n">
        <v>785.181</v>
      </c>
      <c r="F1595" t="n">
        <v>1524.9</v>
      </c>
      <c r="G1595" t="n">
        <v>2427158</v>
      </c>
      <c r="H1595" t="inlineStr">
        <is>
          <t>TUB-R-AW-AUT-50.00X30.00X1.600X0.6040</t>
        </is>
      </c>
    </row>
    <row r="1596">
      <c r="A1596" t="inlineStr">
        <is>
          <t>0000948721</t>
        </is>
      </c>
      <c r="B1596" t="inlineStr">
        <is>
          <t>ELKAYEM AUTO ANCILLARIES PRIVATE LI</t>
        </is>
      </c>
      <c r="C1596" t="inlineStr">
        <is>
          <t>NOS</t>
        </is>
      </c>
      <c r="D1596" t="n">
        <v>390</v>
      </c>
      <c r="E1596" t="n">
        <v>235.554</v>
      </c>
      <c r="F1596" t="n">
        <v>457.47</v>
      </c>
      <c r="G1596" t="n">
        <v>2427158</v>
      </c>
      <c r="H1596" t="inlineStr">
        <is>
          <t>TUB-R-AW-AUT-50.00X30.00X1.600X0.6040</t>
        </is>
      </c>
    </row>
    <row r="1597">
      <c r="A1597" t="inlineStr">
        <is>
          <t>0000943209</t>
        </is>
      </c>
      <c r="B1597" t="inlineStr">
        <is>
          <t>MEGH STEELS PRIVATE LIMITED - TVS A</t>
        </is>
      </c>
      <c r="C1597" t="inlineStr">
        <is>
          <t>KG</t>
        </is>
      </c>
      <c r="D1597" t="n">
        <v>1071</v>
      </c>
      <c r="E1597" t="n">
        <v>6427.732</v>
      </c>
      <c r="F1597" t="n">
        <v>2188</v>
      </c>
      <c r="G1597" t="n">
        <v>1939985</v>
      </c>
      <c r="H1597" t="inlineStr">
        <is>
          <t>TUB-O-O-AUT-AW-PE-12.70X1.200X6.0000</t>
        </is>
      </c>
    </row>
    <row r="1598">
      <c r="A1598" t="inlineStr">
        <is>
          <t>0000943209</t>
        </is>
      </c>
      <c r="B1598" t="inlineStr">
        <is>
          <t>MEGH STEELS PRIVATE LIMITED - TVS A</t>
        </is>
      </c>
      <c r="C1598" t="inlineStr">
        <is>
          <t>KG</t>
        </is>
      </c>
      <c r="D1598" t="n">
        <v>1243</v>
      </c>
      <c r="E1598" t="n">
        <v>7461.81</v>
      </c>
      <c r="F1598" t="n">
        <v>2540</v>
      </c>
      <c r="G1598" t="n">
        <v>1939985</v>
      </c>
      <c r="H1598" t="inlineStr">
        <is>
          <t>TUB-O-O-AUT-AW-PE-12.70X1.200X6.0000</t>
        </is>
      </c>
    </row>
    <row r="1599">
      <c r="A1599" t="inlineStr">
        <is>
          <t>0000943209</t>
        </is>
      </c>
      <c r="B1599" t="inlineStr">
        <is>
          <t>MEGH STEELS PRIVATE LIMITED - TVS A</t>
        </is>
      </c>
      <c r="C1599" t="inlineStr">
        <is>
          <t>KG</t>
        </is>
      </c>
      <c r="D1599" t="n">
        <v>1045</v>
      </c>
      <c r="E1599" t="n">
        <v>6272.033</v>
      </c>
      <c r="F1599" t="n">
        <v>2135</v>
      </c>
      <c r="G1599" t="n">
        <v>1939985</v>
      </c>
      <c r="H1599" t="inlineStr">
        <is>
          <t>TUB-O-O-AUT-AW-PE-12.70X1.200X6.0000</t>
        </is>
      </c>
    </row>
    <row r="1600">
      <c r="A1600" t="inlineStr">
        <is>
          <t>0000943209</t>
        </is>
      </c>
      <c r="B1600" t="inlineStr">
        <is>
          <t>MEGH STEELS PRIVATE LIMITED - TVS A</t>
        </is>
      </c>
      <c r="C1600" t="inlineStr">
        <is>
          <t>KG</t>
        </is>
      </c>
      <c r="D1600" t="n">
        <v>538</v>
      </c>
      <c r="E1600" t="n">
        <v>3231.492</v>
      </c>
      <c r="F1600" t="n">
        <v>1100</v>
      </c>
      <c r="G1600" t="n">
        <v>1939985</v>
      </c>
      <c r="H1600" t="inlineStr">
        <is>
          <t>TUB-O-O-AUT-AW-PE-12.70X1.200X6.0000</t>
        </is>
      </c>
    </row>
    <row r="1601">
      <c r="A1601" t="inlineStr">
        <is>
          <t>0000943209</t>
        </is>
      </c>
      <c r="B1601" t="inlineStr">
        <is>
          <t>MEGH STEELS PRIVATE LIMITED - TVS A</t>
        </is>
      </c>
      <c r="C1601" t="inlineStr">
        <is>
          <t>KG</t>
        </is>
      </c>
      <c r="D1601" t="n">
        <v>550</v>
      </c>
      <c r="E1601" t="n">
        <v>3301.998</v>
      </c>
      <c r="F1601" t="n">
        <v>1124</v>
      </c>
      <c r="G1601" t="n">
        <v>1939985</v>
      </c>
      <c r="H1601" t="inlineStr">
        <is>
          <t>TUB-O-O-AUT-AW-PE-12.70X1.200X6.0000</t>
        </is>
      </c>
    </row>
    <row r="1602">
      <c r="A1602" t="inlineStr">
        <is>
          <t>0000943209</t>
        </is>
      </c>
      <c r="B1602" t="inlineStr">
        <is>
          <t>MEGH STEELS PRIVATE LIMITED - TVS A</t>
        </is>
      </c>
      <c r="C1602" t="inlineStr">
        <is>
          <t>KG</t>
        </is>
      </c>
      <c r="D1602" t="n">
        <v>550</v>
      </c>
      <c r="E1602" t="n">
        <v>3299.06</v>
      </c>
      <c r="F1602" t="n">
        <v>1123</v>
      </c>
      <c r="G1602" t="n">
        <v>1939985</v>
      </c>
      <c r="H1602" t="inlineStr">
        <is>
          <t>TUB-O-O-AUT-AW-PE-12.70X1.200X6.0000</t>
        </is>
      </c>
    </row>
    <row r="1603">
      <c r="A1603" t="inlineStr">
        <is>
          <t>0000943209</t>
        </is>
      </c>
      <c r="B1603" t="inlineStr">
        <is>
          <t>MEGH STEELS PRIVATE LIMITED - TVS A</t>
        </is>
      </c>
      <c r="C1603" t="inlineStr">
        <is>
          <t>KG</t>
        </is>
      </c>
      <c r="D1603" t="n">
        <v>620</v>
      </c>
      <c r="E1603" t="n">
        <v>3286.747</v>
      </c>
      <c r="F1603" t="n">
        <v>2046</v>
      </c>
      <c r="G1603" t="n">
        <v>3929640</v>
      </c>
      <c r="H1603" t="inlineStr">
        <is>
          <t>TUB-O-N-AUT-AW-PE-22.23X1.200X5.3000</t>
        </is>
      </c>
    </row>
    <row r="1604">
      <c r="A1604" t="inlineStr">
        <is>
          <t>0000943209</t>
        </is>
      </c>
      <c r="B1604" t="inlineStr">
        <is>
          <t>MEGH STEELS PRIVATE LIMITED - TVS A</t>
        </is>
      </c>
      <c r="C1604" t="inlineStr">
        <is>
          <t>KG</t>
        </is>
      </c>
      <c r="D1604" t="n">
        <v>576</v>
      </c>
      <c r="E1604" t="n">
        <v>3053.815</v>
      </c>
      <c r="F1604" t="n">
        <v>1901</v>
      </c>
      <c r="G1604" t="n">
        <v>3929640</v>
      </c>
      <c r="H1604" t="inlineStr">
        <is>
          <t>TUB-O-N-AUT-AW-PE-22.23X1.200X5.3000</t>
        </is>
      </c>
    </row>
    <row r="1605">
      <c r="A1605" t="inlineStr">
        <is>
          <t>0000943209</t>
        </is>
      </c>
      <c r="B1605" t="inlineStr">
        <is>
          <t>MEGH STEELS PRIVATE LIMITED - TVS A</t>
        </is>
      </c>
      <c r="C1605" t="inlineStr">
        <is>
          <t>KG</t>
        </is>
      </c>
      <c r="D1605" t="n">
        <v>611</v>
      </c>
      <c r="E1605" t="n">
        <v>3238.554</v>
      </c>
      <c r="F1605" t="n">
        <v>2016</v>
      </c>
      <c r="G1605" t="n">
        <v>3929640</v>
      </c>
      <c r="H1605" t="inlineStr">
        <is>
          <t>TUB-O-N-AUT-AW-PE-22.23X1.200X5.3000</t>
        </is>
      </c>
    </row>
    <row r="1606">
      <c r="A1606" t="inlineStr">
        <is>
          <t>0000943209</t>
        </is>
      </c>
      <c r="B1606" t="inlineStr">
        <is>
          <t>MEGH STEELS PRIVATE LIMITED - TVS A</t>
        </is>
      </c>
      <c r="C1606" t="inlineStr">
        <is>
          <t>KG</t>
        </is>
      </c>
      <c r="D1606" t="n">
        <v>496</v>
      </c>
      <c r="E1606" t="n">
        <v>2629.719</v>
      </c>
      <c r="F1606" t="n">
        <v>1637</v>
      </c>
      <c r="G1606" t="n">
        <v>3929640</v>
      </c>
      <c r="H1606" t="inlineStr">
        <is>
          <t>TUB-O-N-AUT-AW-PE-22.23X1.200X5.3000</t>
        </is>
      </c>
    </row>
    <row r="1607">
      <c r="A1607" t="inlineStr">
        <is>
          <t>0000186864</t>
        </is>
      </c>
      <c r="B1607" t="inlineStr">
        <is>
          <t>INDUSTRIAL STEEL AND TUBES</t>
        </is>
      </c>
      <c r="C1607" t="inlineStr">
        <is>
          <t>KG</t>
        </is>
      </c>
      <c r="D1607" t="n">
        <v>754</v>
      </c>
      <c r="E1607" t="n">
        <v>4525.039</v>
      </c>
      <c r="F1607" t="n">
        <v>2015</v>
      </c>
      <c r="G1607" t="n">
        <v>1940182</v>
      </c>
      <c r="H1607" t="inlineStr">
        <is>
          <t>TUB-O-O-GEN-AW-PE-19.05X1.000X6.0000</t>
        </is>
      </c>
    </row>
    <row r="1608">
      <c r="A1608" t="inlineStr">
        <is>
          <t>0000186864</t>
        </is>
      </c>
      <c r="B1608" t="inlineStr">
        <is>
          <t>INDUSTRIAL STEEL AND TUBES</t>
        </is>
      </c>
      <c r="C1608" t="inlineStr">
        <is>
          <t>KG</t>
        </is>
      </c>
      <c r="D1608" t="n">
        <v>749</v>
      </c>
      <c r="E1608" t="n">
        <v>4493.6</v>
      </c>
      <c r="F1608" t="n">
        <v>2001</v>
      </c>
      <c r="G1608" t="n">
        <v>1940182</v>
      </c>
      <c r="H1608" t="inlineStr">
        <is>
          <t>TUB-O-O-GEN-AW-PE-19.05X1.000X6.0000</t>
        </is>
      </c>
    </row>
    <row r="1609">
      <c r="A1609" t="inlineStr">
        <is>
          <t>0000186864</t>
        </is>
      </c>
      <c r="B1609" t="inlineStr">
        <is>
          <t>INDUSTRIAL STEEL AND TUBES</t>
        </is>
      </c>
      <c r="C1609" t="inlineStr">
        <is>
          <t>KG</t>
        </is>
      </c>
      <c r="D1609" t="n">
        <v>741</v>
      </c>
      <c r="E1609" t="n">
        <v>4446.441</v>
      </c>
      <c r="F1609" t="n">
        <v>1980</v>
      </c>
      <c r="G1609" t="n">
        <v>1940182</v>
      </c>
      <c r="H1609" t="inlineStr">
        <is>
          <t>TUB-O-O-GEN-AW-PE-19.05X1.000X6.0000</t>
        </is>
      </c>
    </row>
    <row r="1610">
      <c r="A1610" t="inlineStr">
        <is>
          <t>0000186864</t>
        </is>
      </c>
      <c r="B1610" t="inlineStr">
        <is>
          <t>INDUSTRIAL STEEL AND TUBES</t>
        </is>
      </c>
      <c r="C1610" t="inlineStr">
        <is>
          <t>KG</t>
        </is>
      </c>
      <c r="D1610" t="n">
        <v>24</v>
      </c>
      <c r="E1610" t="n">
        <v>143.723</v>
      </c>
      <c r="F1610" t="n">
        <v>64</v>
      </c>
      <c r="G1610" t="n">
        <v>1940182</v>
      </c>
      <c r="H1610" t="inlineStr">
        <is>
          <t>TUB-O-O-GEN-AW-PE-19.05X1.000X6.0000</t>
        </is>
      </c>
    </row>
    <row r="1611">
      <c r="A1611" t="inlineStr">
        <is>
          <t>0000186864</t>
        </is>
      </c>
      <c r="B1611" t="inlineStr">
        <is>
          <t>INDUSTRIAL STEEL AND TUBES</t>
        </is>
      </c>
      <c r="C1611" t="inlineStr">
        <is>
          <t>KG</t>
        </is>
      </c>
      <c r="D1611" t="n">
        <v>312</v>
      </c>
      <c r="E1611" t="n">
        <v>1872.025</v>
      </c>
      <c r="F1611" t="n">
        <v>2045</v>
      </c>
      <c r="G1611" t="n">
        <v>3234374</v>
      </c>
      <c r="H1611" t="inlineStr">
        <is>
          <t>TUB-S-AW-AUT-30.00X30.00X1.200X6.0000</t>
        </is>
      </c>
    </row>
    <row r="1612">
      <c r="A1612" t="inlineStr">
        <is>
          <t>0000186864</t>
        </is>
      </c>
      <c r="B1612" t="inlineStr">
        <is>
          <t>INDUSTRIAL STEEL AND TUBES</t>
        </is>
      </c>
      <c r="C1612" t="inlineStr">
        <is>
          <t>KG</t>
        </is>
      </c>
      <c r="D1612" t="n">
        <v>147</v>
      </c>
      <c r="E1612" t="n">
        <v>883.376</v>
      </c>
      <c r="F1612" t="n">
        <v>965</v>
      </c>
      <c r="G1612" t="n">
        <v>3234374</v>
      </c>
      <c r="H1612" t="inlineStr">
        <is>
          <t>TUB-S-AW-AUT-30.00X30.00X1.200X6.0000</t>
        </is>
      </c>
    </row>
    <row r="1613">
      <c r="A1613" t="inlineStr">
        <is>
          <t>0000949971</t>
        </is>
      </c>
      <c r="B1613" t="inlineStr">
        <is>
          <t>SANDHAR ENGINEERING PVTLTD (KA)UIII</t>
        </is>
      </c>
      <c r="C1613" t="inlineStr">
        <is>
          <t>NOS</t>
        </is>
      </c>
      <c r="D1613" t="n">
        <v>75</v>
      </c>
      <c r="E1613" t="n">
        <v>64.128</v>
      </c>
      <c r="F1613" t="n">
        <v>64.01300000000001</v>
      </c>
      <c r="G1613" t="n">
        <v>3943203</v>
      </c>
      <c r="H1613" t="inlineStr">
        <is>
          <t>CUT-O-N-AUT-AW-FC-22.23X2.000X0.8550</t>
        </is>
      </c>
    </row>
    <row r="1614">
      <c r="A1614" t="inlineStr">
        <is>
          <t>0000949971</t>
        </is>
      </c>
      <c r="B1614" t="inlineStr">
        <is>
          <t>SANDHAR ENGINEERING PVTLTD (KA)UIII</t>
        </is>
      </c>
      <c r="C1614" t="inlineStr">
        <is>
          <t>NOS</t>
        </is>
      </c>
      <c r="D1614" t="n">
        <v>2851</v>
      </c>
      <c r="E1614" t="n">
        <v>2650.764</v>
      </c>
      <c r="F1614" t="n">
        <v>2645.728</v>
      </c>
      <c r="G1614" t="n">
        <v>1940479</v>
      </c>
      <c r="H1614" t="inlineStr">
        <is>
          <t>TUB-O-O-AUT-AW-PE-22.23X2.00X0.930-MAHS</t>
        </is>
      </c>
    </row>
    <row r="1615">
      <c r="A1615" t="inlineStr">
        <is>
          <t>0000949971</t>
        </is>
      </c>
      <c r="B1615" t="inlineStr">
        <is>
          <t>SANDHAR ENGINEERING PVTLTD (KA)UIII</t>
        </is>
      </c>
      <c r="C1615" t="inlineStr">
        <is>
          <t>NOS</t>
        </is>
      </c>
      <c r="D1615" t="n">
        <v>2425</v>
      </c>
      <c r="E1615" t="n">
        <v>2254.684</v>
      </c>
      <c r="F1615" t="n">
        <v>2250.4</v>
      </c>
      <c r="G1615" t="n">
        <v>1940479</v>
      </c>
      <c r="H1615" t="inlineStr">
        <is>
          <t>TUB-O-O-AUT-AW-PE-22.23X2.00X0.930-MAHS</t>
        </is>
      </c>
    </row>
    <row r="1616">
      <c r="A1616" t="inlineStr">
        <is>
          <t>0000949971</t>
        </is>
      </c>
      <c r="B1616" t="inlineStr">
        <is>
          <t>SANDHAR ENGINEERING PVTLTD (KA)UIII</t>
        </is>
      </c>
      <c r="C1616" t="inlineStr">
        <is>
          <t>NOS</t>
        </is>
      </c>
      <c r="D1616" t="n">
        <v>574</v>
      </c>
      <c r="E1616" t="n">
        <v>533.686</v>
      </c>
      <c r="F1616" t="n">
        <v>532.672</v>
      </c>
      <c r="G1616" t="n">
        <v>1940479</v>
      </c>
      <c r="H1616" t="inlineStr">
        <is>
          <t>TUB-O-O-AUT-AW-PE-22.23X2.00X0.930-MAHS</t>
        </is>
      </c>
    </row>
    <row r="1617">
      <c r="A1617" t="inlineStr">
        <is>
          <t>0000189002</t>
        </is>
      </c>
      <c r="B1617" t="inlineStr">
        <is>
          <t>Marathwada Auto Compo Pvt. Ltd.</t>
        </is>
      </c>
      <c r="C1617" t="inlineStr">
        <is>
          <t>M</t>
        </is>
      </c>
      <c r="D1617" t="n">
        <v>20</v>
      </c>
      <c r="E1617" t="n">
        <v>117.2</v>
      </c>
      <c r="F1617" t="n">
        <v>161.138</v>
      </c>
      <c r="G1617" t="n">
        <v>3929636</v>
      </c>
      <c r="H1617" t="inlineStr">
        <is>
          <t>TUB-R-AW-AUT-40.00X20.00X1.600X5.8600</t>
        </is>
      </c>
    </row>
    <row r="1618">
      <c r="A1618" t="inlineStr">
        <is>
          <t>0000189002</t>
        </is>
      </c>
      <c r="B1618" t="inlineStr">
        <is>
          <t>Marathwada Auto Compo Pvt. Ltd.</t>
        </is>
      </c>
      <c r="C1618" t="inlineStr">
        <is>
          <t>M</t>
        </is>
      </c>
      <c r="D1618" t="n">
        <v>13</v>
      </c>
      <c r="E1618" t="n">
        <v>78</v>
      </c>
      <c r="F1618" t="n">
        <v>43.142</v>
      </c>
      <c r="G1618" t="n">
        <v>1940146</v>
      </c>
      <c r="H1618" t="inlineStr">
        <is>
          <t>TUB-S-FH-SHS-19.00X19.00X1.000X6.0000</t>
        </is>
      </c>
    </row>
    <row r="1619">
      <c r="A1619" t="inlineStr">
        <is>
          <t>0000189002</t>
        </is>
      </c>
      <c r="B1619" t="inlineStr">
        <is>
          <t>Marathwada Auto Compo Pvt. Ltd.</t>
        </is>
      </c>
      <c r="C1619" t="inlineStr">
        <is>
          <t>NOS</t>
        </is>
      </c>
      <c r="D1619" t="n">
        <v>500</v>
      </c>
      <c r="E1619" t="n">
        <v>164.995</v>
      </c>
      <c r="F1619" t="n">
        <v>87.18300000000001</v>
      </c>
      <c r="G1619" t="n">
        <v>3935313</v>
      </c>
      <c r="H1619" t="inlineStr">
        <is>
          <t>CUT-O-N-AUT-AW-PE-19.05X1.200X0.33</t>
        </is>
      </c>
    </row>
    <row r="1620">
      <c r="A1620" t="inlineStr">
        <is>
          <t>0000189002</t>
        </is>
      </c>
      <c r="B1620" t="inlineStr">
        <is>
          <t>Marathwada Auto Compo Pvt. Ltd.</t>
        </is>
      </c>
      <c r="C1620" t="inlineStr">
        <is>
          <t>NOS</t>
        </is>
      </c>
      <c r="D1620" t="n">
        <v>824</v>
      </c>
      <c r="E1620" t="n">
        <v>1079.76</v>
      </c>
      <c r="F1620" t="n">
        <v>1189.032</v>
      </c>
      <c r="G1620" t="n">
        <v>1940801</v>
      </c>
      <c r="H1620" t="inlineStr">
        <is>
          <t>TUB-R-AW-RHS-40.00X20.00X1.210X1.3100</t>
        </is>
      </c>
    </row>
    <row r="1621">
      <c r="A1621" t="inlineStr">
        <is>
          <t>0000189002</t>
        </is>
      </c>
      <c r="B1621" t="inlineStr">
        <is>
          <t>Marathwada Auto Compo Pvt. Ltd.</t>
        </is>
      </c>
      <c r="C1621" t="inlineStr">
        <is>
          <t>NOS</t>
        </is>
      </c>
      <c r="D1621" t="n">
        <v>676</v>
      </c>
      <c r="E1621" t="n">
        <v>885.823</v>
      </c>
      <c r="F1621" t="n">
        <v>975.468</v>
      </c>
      <c r="G1621" t="n">
        <v>1940801</v>
      </c>
      <c r="H1621" t="inlineStr">
        <is>
          <t>TUB-R-AW-RHS-40.00X20.00X1.210X1.3100</t>
        </is>
      </c>
    </row>
    <row r="1622">
      <c r="A1622" t="inlineStr">
        <is>
          <t>0000189002</t>
        </is>
      </c>
      <c r="B1622" t="inlineStr">
        <is>
          <t>Marathwada Auto Compo Pvt. Ltd.</t>
        </is>
      </c>
      <c r="C1622" t="inlineStr">
        <is>
          <t>NOS</t>
        </is>
      </c>
      <c r="D1622" t="n">
        <v>320</v>
      </c>
      <c r="E1622" t="n">
        <v>398.983</v>
      </c>
      <c r="F1622" t="n">
        <v>439.36</v>
      </c>
      <c r="G1622" t="n">
        <v>3233554</v>
      </c>
      <c r="H1622" t="inlineStr">
        <is>
          <t>TUB-R-AW-AUT-40.00X20.00X1.210X1.2460</t>
        </is>
      </c>
    </row>
    <row r="1623">
      <c r="A1623" t="inlineStr">
        <is>
          <t>0000189002</t>
        </is>
      </c>
      <c r="B1623" t="inlineStr">
        <is>
          <t>Marathwada Auto Compo Pvt. Ltd.</t>
        </is>
      </c>
      <c r="C1623" t="inlineStr">
        <is>
          <t>NOS</t>
        </is>
      </c>
      <c r="D1623" t="n">
        <v>171</v>
      </c>
      <c r="E1623" t="n">
        <v>213.207</v>
      </c>
      <c r="F1623" t="n">
        <v>234.783</v>
      </c>
      <c r="G1623" t="n">
        <v>3233554</v>
      </c>
      <c r="H1623" t="inlineStr">
        <is>
          <t>TUB-R-AW-AUT-40.00X20.00X1.210X1.2460</t>
        </is>
      </c>
    </row>
    <row r="1624">
      <c r="A1624" t="inlineStr">
        <is>
          <t>0000189002</t>
        </is>
      </c>
      <c r="B1624" t="inlineStr">
        <is>
          <t>Marathwada Auto Compo Pvt. Ltd.</t>
        </is>
      </c>
      <c r="C1624" t="inlineStr">
        <is>
          <t>NOS</t>
        </is>
      </c>
      <c r="D1624" t="n">
        <v>9</v>
      </c>
      <c r="E1624" t="n">
        <v>11.221</v>
      </c>
      <c r="F1624" t="n">
        <v>12.357</v>
      </c>
      <c r="G1624" t="n">
        <v>3233554</v>
      </c>
      <c r="H1624" t="inlineStr">
        <is>
          <t>TUB-R-AW-AUT-40.00X20.00X1.210X1.2460</t>
        </is>
      </c>
    </row>
    <row r="1625">
      <c r="A1625" t="inlineStr">
        <is>
          <t>0000189002</t>
        </is>
      </c>
      <c r="B1625" t="inlineStr">
        <is>
          <t>Marathwada Auto Compo Pvt. Ltd.</t>
        </is>
      </c>
      <c r="C1625" t="inlineStr">
        <is>
          <t>NOS</t>
        </is>
      </c>
      <c r="D1625" t="n">
        <v>1898</v>
      </c>
      <c r="E1625" t="n">
        <v>2126.891</v>
      </c>
      <c r="F1625" t="n">
        <v>2342.132</v>
      </c>
      <c r="G1625" t="n">
        <v>3233555</v>
      </c>
      <c r="H1625" t="inlineStr">
        <is>
          <t>TUB-R-AW-AUT-40.00X20.00X1.210X1.1200</t>
        </is>
      </c>
    </row>
    <row r="1626">
      <c r="A1626" t="inlineStr">
        <is>
          <t>0000189002</t>
        </is>
      </c>
      <c r="B1626" t="inlineStr">
        <is>
          <t>Marathwada Auto Compo Pvt. Ltd.</t>
        </is>
      </c>
      <c r="C1626" t="inlineStr">
        <is>
          <t>NOS</t>
        </is>
      </c>
      <c r="D1626" t="n">
        <v>102</v>
      </c>
      <c r="E1626" t="n">
        <v>114.301</v>
      </c>
      <c r="F1626" t="n">
        <v>125.868</v>
      </c>
      <c r="G1626" t="n">
        <v>3233555</v>
      </c>
      <c r="H1626" t="inlineStr">
        <is>
          <t>TUB-R-AW-AUT-40.00X20.00X1.210X1.1200</t>
        </is>
      </c>
    </row>
    <row r="1627">
      <c r="A1627" t="inlineStr">
        <is>
          <t>0000189002</t>
        </is>
      </c>
      <c r="B1627" t="inlineStr">
        <is>
          <t>Marathwada Auto Compo Pvt. Ltd.</t>
        </is>
      </c>
      <c r="C1627" t="inlineStr">
        <is>
          <t>NOS</t>
        </is>
      </c>
      <c r="D1627" t="n">
        <v>2000</v>
      </c>
      <c r="E1627" t="n">
        <v>1720.981</v>
      </c>
      <c r="F1627" t="n">
        <v>1880</v>
      </c>
      <c r="G1627" t="n">
        <v>3572051</v>
      </c>
      <c r="H1627" t="inlineStr">
        <is>
          <t>TUB-R-AW-AUT-40.00X20.00X1.200X0.8600</t>
        </is>
      </c>
    </row>
    <row r="1628">
      <c r="A1628" t="inlineStr">
        <is>
          <t>0000189002</t>
        </is>
      </c>
      <c r="B1628" t="inlineStr">
        <is>
          <t>Marathwada Auto Compo Pvt. Ltd.</t>
        </is>
      </c>
      <c r="C1628" t="inlineStr">
        <is>
          <t>NOS</t>
        </is>
      </c>
      <c r="D1628" t="n">
        <v>1000</v>
      </c>
      <c r="E1628" t="n">
        <v>800.0359999999999</v>
      </c>
      <c r="F1628" t="n">
        <v>881</v>
      </c>
      <c r="G1628" t="n">
        <v>3233557</v>
      </c>
      <c r="H1628" t="inlineStr">
        <is>
          <t>TUB-R-AW-AUT-40.00X20.00X1.210X0.8000</t>
        </is>
      </c>
    </row>
    <row r="1629">
      <c r="A1629" t="inlineStr">
        <is>
          <t>0000189002</t>
        </is>
      </c>
      <c r="B1629" t="inlineStr">
        <is>
          <t>Marathwada Auto Compo Pvt. Ltd.</t>
        </is>
      </c>
      <c r="C1629" t="inlineStr">
        <is>
          <t>NOS</t>
        </is>
      </c>
      <c r="D1629" t="n">
        <v>500</v>
      </c>
      <c r="E1629" t="n">
        <v>622.999</v>
      </c>
      <c r="F1629" t="n">
        <v>339.472</v>
      </c>
      <c r="G1629" t="n">
        <v>3572038</v>
      </c>
      <c r="H1629" t="inlineStr">
        <is>
          <t>TUB-S-AW-AUT-19.00X19.00X1.000X1.2460</t>
        </is>
      </c>
    </row>
    <row r="1630">
      <c r="A1630" t="inlineStr">
        <is>
          <t>0000189002</t>
        </is>
      </c>
      <c r="B1630" t="inlineStr">
        <is>
          <t>Marathwada Auto Compo Pvt. Ltd.</t>
        </is>
      </c>
      <c r="C1630" t="inlineStr">
        <is>
          <t>NOS</t>
        </is>
      </c>
      <c r="D1630" t="n">
        <v>1500</v>
      </c>
      <c r="E1630" t="n">
        <v>1320.499</v>
      </c>
      <c r="F1630" t="n">
        <v>730.5</v>
      </c>
      <c r="G1630" t="n">
        <v>3230492</v>
      </c>
      <c r="H1630" t="inlineStr">
        <is>
          <t>TUB-S-AW-AUT-19.00X19.00X1.000X0.8800</t>
        </is>
      </c>
    </row>
    <row r="1631">
      <c r="A1631" t="inlineStr">
        <is>
          <t>0000189002</t>
        </is>
      </c>
      <c r="B1631" t="inlineStr">
        <is>
          <t>Marathwada Auto Compo Pvt. Ltd.</t>
        </is>
      </c>
      <c r="C1631" t="inlineStr">
        <is>
          <t>NOS</t>
        </is>
      </c>
      <c r="D1631" t="n">
        <v>1000</v>
      </c>
      <c r="E1631" t="n">
        <v>872.135</v>
      </c>
      <c r="F1631" t="n">
        <v>487</v>
      </c>
      <c r="G1631" t="n">
        <v>3605739</v>
      </c>
      <c r="H1631" t="inlineStr">
        <is>
          <t>TUB-S-AW-AUT-19.00X19.00X1.010X0.8710</t>
        </is>
      </c>
    </row>
    <row r="1632">
      <c r="A1632" t="inlineStr">
        <is>
          <t>0000189002</t>
        </is>
      </c>
      <c r="B1632" t="inlineStr">
        <is>
          <t>Marathwada Auto Compo Pvt. Ltd.</t>
        </is>
      </c>
      <c r="C1632" t="inlineStr">
        <is>
          <t>NOS</t>
        </is>
      </c>
      <c r="D1632" t="n">
        <v>1000</v>
      </c>
      <c r="E1632" t="n">
        <v>840.564</v>
      </c>
      <c r="F1632" t="n">
        <v>465</v>
      </c>
      <c r="G1632" t="n">
        <v>3230485</v>
      </c>
      <c r="H1632" t="inlineStr">
        <is>
          <t>TUB-S-AW-AUT-19.00X19.00X1.000X0.8400</t>
        </is>
      </c>
    </row>
    <row r="1633">
      <c r="A1633" t="inlineStr">
        <is>
          <t>0000189002</t>
        </is>
      </c>
      <c r="B1633" t="inlineStr">
        <is>
          <t>Marathwada Auto Compo Pvt. Ltd.</t>
        </is>
      </c>
      <c r="C1633" t="inlineStr">
        <is>
          <t>NOS</t>
        </is>
      </c>
      <c r="D1633" t="n">
        <v>1000</v>
      </c>
      <c r="E1633" t="n">
        <v>800.004</v>
      </c>
      <c r="F1633" t="n">
        <v>436.011</v>
      </c>
      <c r="G1633" t="n">
        <v>3931836</v>
      </c>
      <c r="H1633" t="inlineStr">
        <is>
          <t>CUT-R-AW-AUT-19.00X19.00X1.000X0.8000</t>
        </is>
      </c>
    </row>
    <row r="1634">
      <c r="A1634" t="inlineStr">
        <is>
          <t>0000189002</t>
        </is>
      </c>
      <c r="B1634" t="inlineStr">
        <is>
          <t>Marathwada Auto Compo Pvt. Ltd.</t>
        </is>
      </c>
      <c r="C1634" t="inlineStr">
        <is>
          <t>NOS</t>
        </is>
      </c>
      <c r="D1634" t="n">
        <v>500</v>
      </c>
      <c r="E1634" t="n">
        <v>503.507</v>
      </c>
      <c r="F1634" t="n">
        <v>274.417</v>
      </c>
      <c r="G1634" t="n">
        <v>4100796</v>
      </c>
      <c r="H1634" t="inlineStr">
        <is>
          <t>CUT-R-AW-AUT-19.00X19.00X1.000X1.0070</t>
        </is>
      </c>
    </row>
    <row r="1635">
      <c r="A1635" t="inlineStr">
        <is>
          <t>0000189002</t>
        </is>
      </c>
      <c r="B1635" t="inlineStr">
        <is>
          <t>Marathwada Auto Compo Pvt. Ltd.</t>
        </is>
      </c>
      <c r="C1635" t="inlineStr">
        <is>
          <t>NOS</t>
        </is>
      </c>
      <c r="D1635" t="n">
        <v>1000</v>
      </c>
      <c r="E1635" t="n">
        <v>539.997</v>
      </c>
      <c r="F1635" t="n">
        <v>294.244</v>
      </c>
      <c r="G1635" t="n">
        <v>3571870</v>
      </c>
      <c r="H1635" t="inlineStr">
        <is>
          <t>TUB-S-AW-AUT-19.00X19.00X1.000X0.5400</t>
        </is>
      </c>
    </row>
    <row r="1636">
      <c r="A1636" t="inlineStr">
        <is>
          <t>0000189002</t>
        </is>
      </c>
      <c r="B1636" t="inlineStr">
        <is>
          <t>Marathwada Auto Compo Pvt. Ltd.</t>
        </is>
      </c>
      <c r="C1636" t="inlineStr">
        <is>
          <t>NOS</t>
        </is>
      </c>
      <c r="D1636" t="n">
        <v>800</v>
      </c>
      <c r="E1636" t="n">
        <v>375.996</v>
      </c>
      <c r="F1636" t="n">
        <v>204.88</v>
      </c>
      <c r="G1636" t="n">
        <v>3230488</v>
      </c>
      <c r="H1636" t="inlineStr">
        <is>
          <t>TUB-S-AW-AUT-19.00X19.00X1.000X0.4700</t>
        </is>
      </c>
    </row>
    <row r="1637">
      <c r="A1637" t="inlineStr">
        <is>
          <t>0000189002</t>
        </is>
      </c>
      <c r="B1637" t="inlineStr">
        <is>
          <t>Marathwada Auto Compo Pvt. Ltd.</t>
        </is>
      </c>
      <c r="C1637" t="inlineStr">
        <is>
          <t>NOS</t>
        </is>
      </c>
      <c r="D1637" t="n">
        <v>200</v>
      </c>
      <c r="E1637" t="n">
        <v>93.999</v>
      </c>
      <c r="F1637" t="n">
        <v>51.22</v>
      </c>
      <c r="G1637" t="n">
        <v>3230488</v>
      </c>
      <c r="H1637" t="inlineStr">
        <is>
          <t>TUB-S-AW-AUT-19.00X19.00X1.000X0.4700</t>
        </is>
      </c>
    </row>
    <row r="1638">
      <c r="A1638" t="inlineStr">
        <is>
          <t>0000189002</t>
        </is>
      </c>
      <c r="B1638" t="inlineStr">
        <is>
          <t>Marathwada Auto Compo Pvt. Ltd.</t>
        </is>
      </c>
      <c r="C1638" t="inlineStr">
        <is>
          <t>NOS</t>
        </is>
      </c>
      <c r="D1638" t="n">
        <v>3000</v>
      </c>
      <c r="E1638" t="n">
        <v>1198.482</v>
      </c>
      <c r="F1638" t="n">
        <v>663</v>
      </c>
      <c r="G1638" t="n">
        <v>3230487</v>
      </c>
      <c r="H1638" t="inlineStr">
        <is>
          <t>TUB-S-AW-AUT-19.00X19.00X1.000X0.4000</t>
        </is>
      </c>
    </row>
    <row r="1639">
      <c r="A1639" t="inlineStr">
        <is>
          <t>0000189002</t>
        </is>
      </c>
      <c r="B1639" t="inlineStr">
        <is>
          <t>Marathwada Auto Compo Pvt. Ltd.</t>
        </is>
      </c>
      <c r="C1639" t="inlineStr">
        <is>
          <t>NOS</t>
        </is>
      </c>
      <c r="D1639" t="n">
        <v>1000</v>
      </c>
      <c r="E1639" t="n">
        <v>356.11</v>
      </c>
      <c r="F1639" t="n">
        <v>197</v>
      </c>
      <c r="G1639" t="n">
        <v>3230490</v>
      </c>
      <c r="H1639" t="inlineStr">
        <is>
          <t>TUB-S-AW-AUT-19.00X19.00X1.000X0.3550</t>
        </is>
      </c>
    </row>
    <row r="1640">
      <c r="A1640" t="inlineStr">
        <is>
          <t>0000189002</t>
        </is>
      </c>
      <c r="B1640" t="inlineStr">
        <is>
          <t>Marathwada Auto Compo Pvt. Ltd.</t>
        </is>
      </c>
      <c r="C1640" t="inlineStr">
        <is>
          <t>NOS</t>
        </is>
      </c>
      <c r="D1640" t="n">
        <v>219</v>
      </c>
      <c r="E1640" t="n">
        <v>284.265</v>
      </c>
      <c r="F1640" t="n">
        <v>246.66</v>
      </c>
      <c r="G1640" t="n">
        <v>3935311</v>
      </c>
      <c r="H1640" t="inlineStr">
        <is>
          <t>CUT-S-AW-AUT-25.00X25.00X1.200X1.2980</t>
        </is>
      </c>
    </row>
    <row r="1641">
      <c r="A1641" t="inlineStr">
        <is>
          <t>0000189002</t>
        </is>
      </c>
      <c r="B1641" t="inlineStr">
        <is>
          <t>Marathwada Auto Compo Pvt. Ltd.</t>
        </is>
      </c>
      <c r="C1641" t="inlineStr">
        <is>
          <t>NOS</t>
        </is>
      </c>
      <c r="D1641" t="n">
        <v>125</v>
      </c>
      <c r="E1641" t="n">
        <v>162.252</v>
      </c>
      <c r="F1641" t="n">
        <v>140.788</v>
      </c>
      <c r="G1641" t="n">
        <v>3935311</v>
      </c>
      <c r="H1641" t="inlineStr">
        <is>
          <t>CUT-S-AW-AUT-25.00X25.00X1.200X1.2980</t>
        </is>
      </c>
    </row>
    <row r="1642">
      <c r="A1642" t="inlineStr">
        <is>
          <t>0000189002</t>
        </is>
      </c>
      <c r="B1642" t="inlineStr">
        <is>
          <t>Marathwada Auto Compo Pvt. Ltd.</t>
        </is>
      </c>
      <c r="C1642" t="inlineStr">
        <is>
          <t>NOS</t>
        </is>
      </c>
      <c r="D1642" t="n">
        <v>63</v>
      </c>
      <c r="E1642" t="n">
        <v>81.77500000000001</v>
      </c>
      <c r="F1642" t="n">
        <v>70.95699999999999</v>
      </c>
      <c r="G1642" t="n">
        <v>3935311</v>
      </c>
      <c r="H1642" t="inlineStr">
        <is>
          <t>CUT-S-AW-AUT-25.00X25.00X1.200X1.2980</t>
        </is>
      </c>
    </row>
    <row r="1643">
      <c r="A1643" t="inlineStr">
        <is>
          <t>0000189002</t>
        </is>
      </c>
      <c r="B1643" t="inlineStr">
        <is>
          <t>Marathwada Auto Compo Pvt. Ltd.</t>
        </is>
      </c>
      <c r="C1643" t="inlineStr">
        <is>
          <t>NOS</t>
        </is>
      </c>
      <c r="D1643" t="n">
        <v>47</v>
      </c>
      <c r="E1643" t="n">
        <v>61.007</v>
      </c>
      <c r="F1643" t="n">
        <v>52.936</v>
      </c>
      <c r="G1643" t="n">
        <v>3935311</v>
      </c>
      <c r="H1643" t="inlineStr">
        <is>
          <t>CUT-S-AW-AUT-25.00X25.00X1.200X1.2980</t>
        </is>
      </c>
    </row>
    <row r="1644">
      <c r="A1644" t="inlineStr">
        <is>
          <t>0000189002</t>
        </is>
      </c>
      <c r="B1644" t="inlineStr">
        <is>
          <t>Marathwada Auto Compo Pvt. Ltd.</t>
        </is>
      </c>
      <c r="C1644" t="inlineStr">
        <is>
          <t>NOS</t>
        </is>
      </c>
      <c r="D1644" t="n">
        <v>42</v>
      </c>
      <c r="E1644" t="n">
        <v>54.517</v>
      </c>
      <c r="F1644" t="n">
        <v>47.305</v>
      </c>
      <c r="G1644" t="n">
        <v>3935311</v>
      </c>
      <c r="H1644" t="inlineStr">
        <is>
          <t>CUT-S-AW-AUT-25.00X25.00X1.200X1.2980</t>
        </is>
      </c>
    </row>
    <row r="1645">
      <c r="A1645" t="inlineStr">
        <is>
          <t>0000189002</t>
        </is>
      </c>
      <c r="B1645" t="inlineStr">
        <is>
          <t>Marathwada Auto Compo Pvt. Ltd.</t>
        </is>
      </c>
      <c r="C1645" t="inlineStr">
        <is>
          <t>NOS</t>
        </is>
      </c>
      <c r="D1645" t="n">
        <v>4</v>
      </c>
      <c r="E1645" t="n">
        <v>5.192</v>
      </c>
      <c r="F1645" t="n">
        <v>4.505</v>
      </c>
      <c r="G1645" t="n">
        <v>3935311</v>
      </c>
      <c r="H1645" t="inlineStr">
        <is>
          <t>CUT-S-AW-AUT-25.00X25.00X1.200X1.2980</t>
        </is>
      </c>
    </row>
    <row r="1646">
      <c r="A1646" t="inlineStr">
        <is>
          <t>0000189002</t>
        </is>
      </c>
      <c r="B1646" t="inlineStr">
        <is>
          <t>Marathwada Auto Compo Pvt. Ltd.</t>
        </is>
      </c>
      <c r="C1646" t="inlineStr">
        <is>
          <t>NOS</t>
        </is>
      </c>
      <c r="D1646" t="n">
        <v>1000</v>
      </c>
      <c r="E1646" t="n">
        <v>787.175</v>
      </c>
      <c r="F1646" t="n">
        <v>712</v>
      </c>
      <c r="G1646" t="n">
        <v>3230482</v>
      </c>
      <c r="H1646" t="inlineStr">
        <is>
          <t>TUB-S-AW-AUT-25.00X25.00X1.200X0.7870</t>
        </is>
      </c>
    </row>
    <row r="1647">
      <c r="A1647" t="inlineStr">
        <is>
          <t>0000189002</t>
        </is>
      </c>
      <c r="B1647" t="inlineStr">
        <is>
          <t>Marathwada Auto Compo Pvt. Ltd.</t>
        </is>
      </c>
      <c r="C1647" t="inlineStr">
        <is>
          <t>NOS</t>
        </is>
      </c>
      <c r="D1647" t="n">
        <v>500</v>
      </c>
      <c r="E1647" t="n">
        <v>615.004</v>
      </c>
      <c r="F1647" t="n">
        <v>324.872</v>
      </c>
      <c r="G1647" t="n">
        <v>3929692</v>
      </c>
      <c r="H1647" t="inlineStr">
        <is>
          <t>CUT-O-N-AUT-AW-PE-19.05X1.200X1.2300</t>
        </is>
      </c>
    </row>
    <row r="1648">
      <c r="A1648" t="inlineStr">
        <is>
          <t>0000189002</t>
        </is>
      </c>
      <c r="B1648" t="inlineStr">
        <is>
          <t>Marathwada Auto Compo Pvt. Ltd.</t>
        </is>
      </c>
      <c r="C1648" t="inlineStr">
        <is>
          <t>NOS</t>
        </is>
      </c>
      <c r="D1648" t="n">
        <v>1000</v>
      </c>
      <c r="E1648" t="n">
        <v>682.0069999999999</v>
      </c>
      <c r="F1648" t="n">
        <v>360.267</v>
      </c>
      <c r="G1648" t="n">
        <v>3929540</v>
      </c>
      <c r="H1648" t="inlineStr">
        <is>
          <t>CUT-O-N-AUT-AW-PE-19.05X1.200X0.6820</t>
        </is>
      </c>
    </row>
    <row r="1649">
      <c r="A1649" t="inlineStr">
        <is>
          <t>0000189002</t>
        </is>
      </c>
      <c r="B1649" t="inlineStr">
        <is>
          <t>Marathwada Auto Compo Pvt. Ltd.</t>
        </is>
      </c>
      <c r="C1649" t="inlineStr">
        <is>
          <t>NOS</t>
        </is>
      </c>
      <c r="D1649" t="n">
        <v>2000</v>
      </c>
      <c r="E1649" t="n">
        <v>399.983</v>
      </c>
      <c r="F1649" t="n">
        <v>211.289</v>
      </c>
      <c r="G1649" t="n">
        <v>3929691</v>
      </c>
      <c r="H1649" t="inlineStr">
        <is>
          <t>CUT-O-N-AUT-AW-PE-19.05X1.200X0.2000</t>
        </is>
      </c>
    </row>
    <row r="1650">
      <c r="A1650" t="inlineStr">
        <is>
          <t>0000189002</t>
        </is>
      </c>
      <c r="B1650" t="inlineStr">
        <is>
          <t>Marathwada Auto Compo Pvt. Ltd.</t>
        </is>
      </c>
      <c r="C1650" t="inlineStr">
        <is>
          <t>NOS</t>
        </is>
      </c>
      <c r="D1650" t="n">
        <v>1000</v>
      </c>
      <c r="E1650" t="n">
        <v>220.615</v>
      </c>
      <c r="F1650" t="n">
        <v>241</v>
      </c>
      <c r="G1650" t="n">
        <v>3230495</v>
      </c>
      <c r="H1650" t="inlineStr">
        <is>
          <t>TUB-S-AW-AUT-30.00X30.00X1.200X0.2200</t>
        </is>
      </c>
    </row>
    <row r="1651">
      <c r="A1651" t="inlineStr">
        <is>
          <t>0000129663</t>
        </is>
      </c>
      <c r="B1651" t="inlineStr">
        <is>
          <t>ELKAYEM AUTO ANCILLARIES (PVT) LTD.</t>
        </is>
      </c>
      <c r="C1651" t="inlineStr">
        <is>
          <t>NOS</t>
        </is>
      </c>
      <c r="D1651" t="n">
        <v>2563</v>
      </c>
      <c r="E1651" t="n">
        <v>1046.583</v>
      </c>
      <c r="F1651" t="n">
        <v>356.257</v>
      </c>
      <c r="G1651" t="n">
        <v>1939966</v>
      </c>
      <c r="H1651" t="inlineStr">
        <is>
          <t>TUB-O-O-AUT-AW-PE-12.70X1.200X0.4080</t>
        </is>
      </c>
    </row>
    <row r="1652">
      <c r="A1652" t="inlineStr">
        <is>
          <t>0000129663</t>
        </is>
      </c>
      <c r="B1652" t="inlineStr">
        <is>
          <t>ELKAYEM AUTO ANCILLARIES (PVT) LTD.</t>
        </is>
      </c>
      <c r="C1652" t="inlineStr">
        <is>
          <t>NOS</t>
        </is>
      </c>
      <c r="D1652" t="n">
        <v>32</v>
      </c>
      <c r="E1652" t="n">
        <v>13.067</v>
      </c>
      <c r="F1652" t="n">
        <v>4.448</v>
      </c>
      <c r="G1652" t="n">
        <v>1939966</v>
      </c>
      <c r="H1652" t="inlineStr">
        <is>
          <t>TUB-O-O-AUT-AW-PE-12.70X1.200X0.4080</t>
        </is>
      </c>
    </row>
    <row r="1653">
      <c r="A1653" t="inlineStr">
        <is>
          <t>0000129663</t>
        </is>
      </c>
      <c r="B1653" t="inlineStr">
        <is>
          <t>ELKAYEM AUTO ANCILLARIES (PVT) LTD.</t>
        </is>
      </c>
      <c r="C1653" t="inlineStr">
        <is>
          <t>NOS</t>
        </is>
      </c>
      <c r="D1653" t="n">
        <v>2005</v>
      </c>
      <c r="E1653" t="n">
        <v>818.728</v>
      </c>
      <c r="F1653" t="n">
        <v>278.695</v>
      </c>
      <c r="G1653" t="n">
        <v>1939966</v>
      </c>
      <c r="H1653" t="inlineStr">
        <is>
          <t>TUB-O-O-AUT-AW-PE-12.70X1.200X0.4080</t>
        </is>
      </c>
    </row>
    <row r="1654">
      <c r="A1654" t="inlineStr">
        <is>
          <t>0000948721</t>
        </is>
      </c>
      <c r="B1654" t="inlineStr">
        <is>
          <t>ELKAYEM AUTO ANCILLARIES PRIVATE LI</t>
        </is>
      </c>
      <c r="C1654" t="inlineStr">
        <is>
          <t>NOS</t>
        </is>
      </c>
      <c r="D1654" t="n">
        <v>1200</v>
      </c>
      <c r="E1654" t="n">
        <v>178.09</v>
      </c>
      <c r="F1654" t="n">
        <v>355.2</v>
      </c>
      <c r="G1654" t="n">
        <v>4098592</v>
      </c>
      <c r="H1654" t="inlineStr">
        <is>
          <t>TUB-R-AW-AUT-40.00X30.00X2.000X0.1480</t>
        </is>
      </c>
    </row>
    <row r="1655">
      <c r="A1655" t="inlineStr">
        <is>
          <t>0000948721</t>
        </is>
      </c>
      <c r="B1655" t="inlineStr">
        <is>
          <t>ELKAYEM AUTO ANCILLARIES PRIVATE LI</t>
        </is>
      </c>
      <c r="C1655" t="inlineStr">
        <is>
          <t>NOS</t>
        </is>
      </c>
      <c r="D1655" t="n">
        <v>1294</v>
      </c>
      <c r="E1655" t="n">
        <v>781.557</v>
      </c>
      <c r="F1655" t="n">
        <v>1517.862</v>
      </c>
      <c r="G1655" t="n">
        <v>2427158</v>
      </c>
      <c r="H1655" t="inlineStr">
        <is>
          <t>TUB-R-AW-AUT-50.00X30.00X1.600X0.6040</t>
        </is>
      </c>
    </row>
    <row r="1656">
      <c r="A1656" t="inlineStr">
        <is>
          <t>0000948721</t>
        </is>
      </c>
      <c r="B1656" t="inlineStr">
        <is>
          <t>ELKAYEM AUTO ANCILLARIES PRIVATE LI</t>
        </is>
      </c>
      <c r="C1656" t="inlineStr">
        <is>
          <t>NOS</t>
        </is>
      </c>
      <c r="D1656" t="n">
        <v>910</v>
      </c>
      <c r="E1656" t="n">
        <v>549.627</v>
      </c>
      <c r="F1656" t="n">
        <v>1067.43</v>
      </c>
      <c r="G1656" t="n">
        <v>2427158</v>
      </c>
      <c r="H1656" t="inlineStr">
        <is>
          <t>TUB-R-AW-AUT-50.00X30.00X1.600X0.6040</t>
        </is>
      </c>
    </row>
    <row r="1657">
      <c r="A1657" t="inlineStr">
        <is>
          <t>0000948721</t>
        </is>
      </c>
      <c r="B1657" t="inlineStr">
        <is>
          <t>ELKAYEM AUTO ANCILLARIES PRIVATE LI</t>
        </is>
      </c>
      <c r="C1657" t="inlineStr">
        <is>
          <t>NOS</t>
        </is>
      </c>
      <c r="D1657" t="n">
        <v>900</v>
      </c>
      <c r="E1657" t="n">
        <v>543.587</v>
      </c>
      <c r="F1657" t="n">
        <v>1055.7</v>
      </c>
      <c r="G1657" t="n">
        <v>2427158</v>
      </c>
      <c r="H1657" t="inlineStr">
        <is>
          <t>TUB-R-AW-AUT-50.00X30.00X1.600X0.6040</t>
        </is>
      </c>
    </row>
    <row r="1658">
      <c r="A1658" t="inlineStr">
        <is>
          <t>0000948721</t>
        </is>
      </c>
      <c r="B1658" t="inlineStr">
        <is>
          <t>ELKAYEM AUTO ANCILLARIES PRIVATE LI</t>
        </is>
      </c>
      <c r="C1658" t="inlineStr">
        <is>
          <t>NOS</t>
        </is>
      </c>
      <c r="D1658" t="n">
        <v>525</v>
      </c>
      <c r="E1658" t="n">
        <v>317.092</v>
      </c>
      <c r="F1658" t="n">
        <v>615.825</v>
      </c>
      <c r="G1658" t="n">
        <v>2427158</v>
      </c>
      <c r="H1658" t="inlineStr">
        <is>
          <t>TUB-R-AW-AUT-50.00X30.00X1.600X0.6040</t>
        </is>
      </c>
    </row>
    <row r="1659">
      <c r="A1659" t="inlineStr">
        <is>
          <t>0000948721</t>
        </is>
      </c>
      <c r="B1659" t="inlineStr">
        <is>
          <t>ELKAYEM AUTO ANCILLARIES PRIVATE LI</t>
        </is>
      </c>
      <c r="C1659" t="inlineStr">
        <is>
          <t>NOS</t>
        </is>
      </c>
      <c r="D1659" t="n">
        <v>389</v>
      </c>
      <c r="E1659" t="n">
        <v>234.95</v>
      </c>
      <c r="F1659" t="n">
        <v>456.297</v>
      </c>
      <c r="G1659" t="n">
        <v>2427158</v>
      </c>
      <c r="H1659" t="inlineStr">
        <is>
          <t>TUB-R-AW-AUT-50.00X30.00X1.600X0.6040</t>
        </is>
      </c>
    </row>
    <row r="1660">
      <c r="A1660" t="inlineStr">
        <is>
          <t>0000948721</t>
        </is>
      </c>
      <c r="B1660" t="inlineStr">
        <is>
          <t>ELKAYEM AUTO ANCILLARIES PRIVATE LI</t>
        </is>
      </c>
      <c r="C1660" t="inlineStr">
        <is>
          <t>NOS</t>
        </is>
      </c>
      <c r="D1660" t="n">
        <v>2</v>
      </c>
      <c r="E1660" t="n">
        <v>1.208</v>
      </c>
      <c r="F1660" t="n">
        <v>2.346</v>
      </c>
      <c r="G1660" t="n">
        <v>2427158</v>
      </c>
      <c r="H1660" t="inlineStr">
        <is>
          <t>TUB-R-AW-AUT-50.00X30.00X1.600X0.6040</t>
        </is>
      </c>
    </row>
    <row r="1661">
      <c r="A1661" t="inlineStr">
        <is>
          <t>0000952904</t>
        </is>
      </c>
      <c r="B1661" t="inlineStr">
        <is>
          <t>ELKAYEM AUTO ANCILLARIES PRIVATE LI</t>
        </is>
      </c>
      <c r="C1661" t="inlineStr">
        <is>
          <t>NOS</t>
        </is>
      </c>
      <c r="D1661" t="n">
        <v>5281</v>
      </c>
      <c r="E1661" t="n">
        <v>1600.128</v>
      </c>
      <c r="F1661" t="n">
        <v>1462.837</v>
      </c>
      <c r="G1661" t="n">
        <v>1940313</v>
      </c>
      <c r="H1661" t="inlineStr">
        <is>
          <t>TUB-O-O-AUT-AW-PE-19.05X2.300X0.3030</t>
        </is>
      </c>
    </row>
    <row r="1662">
      <c r="A1662" t="inlineStr">
        <is>
          <t>0000952904</t>
        </is>
      </c>
      <c r="B1662" t="inlineStr">
        <is>
          <t>ELKAYEM AUTO ANCILLARIES PRIVATE LI</t>
        </is>
      </c>
      <c r="C1662" t="inlineStr">
        <is>
          <t>NOS</t>
        </is>
      </c>
      <c r="D1662" t="n">
        <v>2219</v>
      </c>
      <c r="E1662" t="n">
        <v>672.351</v>
      </c>
      <c r="F1662" t="n">
        <v>614.663</v>
      </c>
      <c r="G1662" t="n">
        <v>1940313</v>
      </c>
      <c r="H1662" t="inlineStr">
        <is>
          <t>TUB-O-O-AUT-AW-PE-19.05X2.300X0.3030</t>
        </is>
      </c>
    </row>
    <row r="1663">
      <c r="A1663" t="inlineStr">
        <is>
          <t>0000189270</t>
        </is>
      </c>
      <c r="B1663" t="inlineStr">
        <is>
          <t>Indo Autotech Limited (Unit V)</t>
        </is>
      </c>
      <c r="C1663" t="inlineStr">
        <is>
          <t>NOS</t>
        </is>
      </c>
      <c r="D1663" t="n">
        <v>1088</v>
      </c>
      <c r="E1663" t="n">
        <v>596.182</v>
      </c>
      <c r="F1663" t="n">
        <v>501.568</v>
      </c>
      <c r="G1663" t="n">
        <v>3676836</v>
      </c>
      <c r="H1663" t="inlineStr">
        <is>
          <t>TUB-O-N-AUT-AW-PE-19.05X2.000X0.5470</t>
        </is>
      </c>
    </row>
    <row r="1664">
      <c r="A1664" t="inlineStr">
        <is>
          <t>0000189270</t>
        </is>
      </c>
      <c r="B1664" t="inlineStr">
        <is>
          <t>Indo Autotech Limited (Unit V)</t>
        </is>
      </c>
      <c r="C1664" t="inlineStr">
        <is>
          <t>NOS</t>
        </is>
      </c>
      <c r="D1664" t="n">
        <v>898</v>
      </c>
      <c r="E1664" t="n">
        <v>492.069</v>
      </c>
      <c r="F1664" t="n">
        <v>413.978</v>
      </c>
      <c r="G1664" t="n">
        <v>3676836</v>
      </c>
      <c r="H1664" t="inlineStr">
        <is>
          <t>TUB-O-N-AUT-AW-PE-19.05X2.000X0.5470</t>
        </is>
      </c>
    </row>
    <row r="1665">
      <c r="A1665" t="inlineStr">
        <is>
          <t>0000189270</t>
        </is>
      </c>
      <c r="B1665" t="inlineStr">
        <is>
          <t>Indo Autotech Limited (Unit V)</t>
        </is>
      </c>
      <c r="C1665" t="inlineStr">
        <is>
          <t>NOS</t>
        </is>
      </c>
      <c r="D1665" t="n">
        <v>874</v>
      </c>
      <c r="E1665" t="n">
        <v>478.918</v>
      </c>
      <c r="F1665" t="n">
        <v>402.914</v>
      </c>
      <c r="G1665" t="n">
        <v>3676836</v>
      </c>
      <c r="H1665" t="inlineStr">
        <is>
          <t>TUB-O-N-AUT-AW-PE-19.05X2.000X0.5470</t>
        </is>
      </c>
    </row>
    <row r="1666">
      <c r="A1666" t="inlineStr">
        <is>
          <t>0000189270</t>
        </is>
      </c>
      <c r="B1666" t="inlineStr">
        <is>
          <t>Indo Autotech Limited (Unit V)</t>
        </is>
      </c>
      <c r="C1666" t="inlineStr">
        <is>
          <t>NOS</t>
        </is>
      </c>
      <c r="D1666" t="n">
        <v>848</v>
      </c>
      <c r="E1666" t="n">
        <v>464.671</v>
      </c>
      <c r="F1666" t="n">
        <v>390.928</v>
      </c>
      <c r="G1666" t="n">
        <v>3676836</v>
      </c>
      <c r="H1666" t="inlineStr">
        <is>
          <t>TUB-O-N-AUT-AW-PE-19.05X2.000X0.5470</t>
        </is>
      </c>
    </row>
    <row r="1667">
      <c r="A1667" t="inlineStr">
        <is>
          <t>0000189270</t>
        </is>
      </c>
      <c r="B1667" t="inlineStr">
        <is>
          <t>Indo Autotech Limited (Unit V)</t>
        </is>
      </c>
      <c r="C1667" t="inlineStr">
        <is>
          <t>NOS</t>
        </is>
      </c>
      <c r="D1667" t="n">
        <v>763</v>
      </c>
      <c r="E1667" t="n">
        <v>418.095</v>
      </c>
      <c r="F1667" t="n">
        <v>351.743</v>
      </c>
      <c r="G1667" t="n">
        <v>3676836</v>
      </c>
      <c r="H1667" t="inlineStr">
        <is>
          <t>TUB-O-N-AUT-AW-PE-19.05X2.000X0.5470</t>
        </is>
      </c>
    </row>
    <row r="1668">
      <c r="A1668" t="inlineStr">
        <is>
          <t>0000189270</t>
        </is>
      </c>
      <c r="B1668" t="inlineStr">
        <is>
          <t>Indo Autotech Limited (Unit V)</t>
        </is>
      </c>
      <c r="C1668" t="inlineStr">
        <is>
          <t>NOS</t>
        </is>
      </c>
      <c r="D1668" t="n">
        <v>559</v>
      </c>
      <c r="E1668" t="n">
        <v>306.31</v>
      </c>
      <c r="F1668" t="n">
        <v>257.699</v>
      </c>
      <c r="G1668" t="n">
        <v>3676836</v>
      </c>
      <c r="H1668" t="inlineStr">
        <is>
          <t>TUB-O-N-AUT-AW-PE-19.05X2.000X0.5470</t>
        </is>
      </c>
    </row>
    <row r="1669">
      <c r="A1669" t="inlineStr">
        <is>
          <t>0000189270</t>
        </is>
      </c>
      <c r="B1669" t="inlineStr">
        <is>
          <t>Indo Autotech Limited (Unit V)</t>
        </is>
      </c>
      <c r="C1669" t="inlineStr">
        <is>
          <t>NOS</t>
        </is>
      </c>
      <c r="D1669" t="n">
        <v>488</v>
      </c>
      <c r="E1669" t="n">
        <v>267.405</v>
      </c>
      <c r="F1669" t="n">
        <v>224.968</v>
      </c>
      <c r="G1669" t="n">
        <v>3676836</v>
      </c>
      <c r="H1669" t="inlineStr">
        <is>
          <t>TUB-O-N-AUT-AW-PE-19.05X2.000X0.5470</t>
        </is>
      </c>
    </row>
    <row r="1670">
      <c r="A1670" t="inlineStr">
        <is>
          <t>0000189270</t>
        </is>
      </c>
      <c r="B1670" t="inlineStr">
        <is>
          <t>Indo Autotech Limited (Unit V)</t>
        </is>
      </c>
      <c r="C1670" t="inlineStr">
        <is>
          <t>NOS</t>
        </is>
      </c>
      <c r="D1670" t="n">
        <v>7</v>
      </c>
      <c r="E1670" t="n">
        <v>3.836</v>
      </c>
      <c r="F1670" t="n">
        <v>3.227</v>
      </c>
      <c r="G1670" t="n">
        <v>3676836</v>
      </c>
      <c r="H1670" t="inlineStr">
        <is>
          <t>TUB-O-N-AUT-AW-PE-19.05X2.000X0.5470</t>
        </is>
      </c>
    </row>
    <row r="1671">
      <c r="A1671" t="inlineStr">
        <is>
          <t>0000189270</t>
        </is>
      </c>
      <c r="B1671" t="inlineStr">
        <is>
          <t>Indo Autotech Limited (Unit V)</t>
        </is>
      </c>
      <c r="C1671" t="inlineStr">
        <is>
          <t>NOS</t>
        </is>
      </c>
      <c r="D1671" t="n">
        <v>2270</v>
      </c>
      <c r="E1671" t="n">
        <v>660.369</v>
      </c>
      <c r="F1671" t="n">
        <v>1956.74</v>
      </c>
      <c r="G1671" t="n">
        <v>1940857</v>
      </c>
      <c r="H1671" t="inlineStr">
        <is>
          <t>TUB-O-O-AUT-AW-CH-41.28X3.150X0.2910</t>
        </is>
      </c>
    </row>
    <row r="1672">
      <c r="A1672" t="inlineStr">
        <is>
          <t>0000189270</t>
        </is>
      </c>
      <c r="B1672" t="inlineStr">
        <is>
          <t>Indo Autotech Limited (Unit V)</t>
        </is>
      </c>
      <c r="C1672" t="inlineStr">
        <is>
          <t>NOS</t>
        </is>
      </c>
      <c r="D1672" t="n">
        <v>1700</v>
      </c>
      <c r="E1672" t="n">
        <v>494.55</v>
      </c>
      <c r="F1672" t="n">
        <v>1465.4</v>
      </c>
      <c r="G1672" t="n">
        <v>1940857</v>
      </c>
      <c r="H1672" t="inlineStr">
        <is>
          <t>TUB-O-O-AUT-AW-CH-41.28X3.150X0.2910</t>
        </is>
      </c>
    </row>
    <row r="1673">
      <c r="A1673" t="inlineStr">
        <is>
          <t>0000189270</t>
        </is>
      </c>
      <c r="B1673" t="inlineStr">
        <is>
          <t>Indo Autotech Limited (Unit V)</t>
        </is>
      </c>
      <c r="C1673" t="inlineStr">
        <is>
          <t>NOS</t>
        </is>
      </c>
      <c r="D1673" t="n">
        <v>30</v>
      </c>
      <c r="E1673" t="n">
        <v>8.727</v>
      </c>
      <c r="F1673" t="n">
        <v>25.86</v>
      </c>
      <c r="G1673" t="n">
        <v>1940857</v>
      </c>
      <c r="H1673" t="inlineStr">
        <is>
          <t>TUB-O-O-AUT-AW-CH-41.28X3.150X0.2910</t>
        </is>
      </c>
    </row>
    <row r="1674">
      <c r="A1674" t="inlineStr">
        <is>
          <t>0000189270</t>
        </is>
      </c>
      <c r="B1674" t="inlineStr">
        <is>
          <t>Indo Autotech Limited (Unit V)</t>
        </is>
      </c>
      <c r="C1674" t="inlineStr">
        <is>
          <t>NOS</t>
        </is>
      </c>
      <c r="D1674" t="n">
        <v>1250</v>
      </c>
      <c r="E1674" t="n">
        <v>921.296</v>
      </c>
      <c r="F1674" t="n">
        <v>1593.75</v>
      </c>
      <c r="G1674" t="n">
        <v>1932730</v>
      </c>
      <c r="H1674" t="inlineStr">
        <is>
          <t>TUB-O-N-AUT-AW-FC-50.80X1.420X0.7370</t>
        </is>
      </c>
    </row>
    <row r="1675">
      <c r="A1675" t="inlineStr">
        <is>
          <t>0000189270</t>
        </is>
      </c>
      <c r="B1675" t="inlineStr">
        <is>
          <t>Indo Autotech Limited (Unit V)</t>
        </is>
      </c>
      <c r="C1675" t="inlineStr">
        <is>
          <t>NOS</t>
        </is>
      </c>
      <c r="D1675" t="n">
        <v>1229</v>
      </c>
      <c r="E1675" t="n">
        <v>905.818</v>
      </c>
      <c r="F1675" t="n">
        <v>1566.975</v>
      </c>
      <c r="G1675" t="n">
        <v>1932730</v>
      </c>
      <c r="H1675" t="inlineStr">
        <is>
          <t>TUB-O-N-AUT-AW-FC-50.80X1.420X0.7370</t>
        </is>
      </c>
    </row>
    <row r="1676">
      <c r="A1676" t="inlineStr">
        <is>
          <t>0000189270</t>
        </is>
      </c>
      <c r="B1676" t="inlineStr">
        <is>
          <t>Indo Autotech Limited (Unit V)</t>
        </is>
      </c>
      <c r="C1676" t="inlineStr">
        <is>
          <t>NOS</t>
        </is>
      </c>
      <c r="D1676" t="n">
        <v>1200</v>
      </c>
      <c r="E1676" t="n">
        <v>884.444</v>
      </c>
      <c r="F1676" t="n">
        <v>1530</v>
      </c>
      <c r="G1676" t="n">
        <v>1932730</v>
      </c>
      <c r="H1676" t="inlineStr">
        <is>
          <t>TUB-O-N-AUT-AW-FC-50.80X1.420X0.7370</t>
        </is>
      </c>
    </row>
    <row r="1677">
      <c r="A1677" t="inlineStr">
        <is>
          <t>0000189270</t>
        </is>
      </c>
      <c r="B1677" t="inlineStr">
        <is>
          <t>Indo Autotech Limited (Unit V)</t>
        </is>
      </c>
      <c r="C1677" t="inlineStr">
        <is>
          <t>NOS</t>
        </is>
      </c>
      <c r="D1677" t="n">
        <v>321</v>
      </c>
      <c r="E1677" t="n">
        <v>236.589</v>
      </c>
      <c r="F1677" t="n">
        <v>409.275</v>
      </c>
      <c r="G1677" t="n">
        <v>1932730</v>
      </c>
      <c r="H1677" t="inlineStr">
        <is>
          <t>TUB-O-N-AUT-AW-FC-50.80X1.420X0.7370</t>
        </is>
      </c>
    </row>
    <row r="1678">
      <c r="A1678" t="inlineStr">
        <is>
          <t>0000189270</t>
        </is>
      </c>
      <c r="B1678" t="inlineStr">
        <is>
          <t>Indo Autotech Limited (Unit V)</t>
        </is>
      </c>
      <c r="C1678" t="inlineStr">
        <is>
          <t>NOS</t>
        </is>
      </c>
      <c r="D1678" t="n">
        <v>3000</v>
      </c>
      <c r="E1678" t="n">
        <v>1638.787</v>
      </c>
      <c r="F1678" t="n">
        <v>2361</v>
      </c>
      <c r="G1678" t="n">
        <v>1940817</v>
      </c>
      <c r="H1678" t="inlineStr">
        <is>
          <t>TUB-R-AW-RHS-40.00X20.00X1.600X0.5460</t>
        </is>
      </c>
    </row>
    <row r="1679">
      <c r="A1679" t="inlineStr">
        <is>
          <t>0000189270</t>
        </is>
      </c>
      <c r="B1679" t="inlineStr">
        <is>
          <t>Indo Autotech Limited (Unit V)</t>
        </is>
      </c>
      <c r="C1679" t="inlineStr">
        <is>
          <t>NOS</t>
        </is>
      </c>
      <c r="D1679" t="n">
        <v>1789</v>
      </c>
      <c r="E1679" t="n">
        <v>1068.002</v>
      </c>
      <c r="F1679" t="n">
        <v>2074.167</v>
      </c>
      <c r="G1679" t="n">
        <v>3676838</v>
      </c>
      <c r="H1679" t="inlineStr">
        <is>
          <t>TUB-R-AW-AUT-50.00X30.00X1.600X0.5970</t>
        </is>
      </c>
    </row>
    <row r="1680">
      <c r="A1680" t="inlineStr">
        <is>
          <t>0000189270</t>
        </is>
      </c>
      <c r="B1680" t="inlineStr">
        <is>
          <t>Indo Autotech Limited (Unit V)</t>
        </is>
      </c>
      <c r="C1680" t="inlineStr">
        <is>
          <t>NOS</t>
        </is>
      </c>
      <c r="D1680" t="n">
        <v>1211</v>
      </c>
      <c r="E1680" t="n">
        <v>722.946</v>
      </c>
      <c r="F1680" t="n">
        <v>1404.033</v>
      </c>
      <c r="G1680" t="n">
        <v>3676838</v>
      </c>
      <c r="H1680" t="inlineStr">
        <is>
          <t>TUB-R-AW-AUT-50.00X30.00X1.600X0.5970</t>
        </is>
      </c>
    </row>
    <row r="1681">
      <c r="A1681" t="inlineStr">
        <is>
          <t>0000189002</t>
        </is>
      </c>
      <c r="B1681" t="inlineStr">
        <is>
          <t>Marathwada Auto Compo Pvt. Ltd.</t>
        </is>
      </c>
      <c r="C1681" t="inlineStr">
        <is>
          <t>NOS</t>
        </is>
      </c>
      <c r="D1681" t="n">
        <v>1125</v>
      </c>
      <c r="E1681" t="n">
        <v>1801.961</v>
      </c>
      <c r="F1681" t="n">
        <v>661.5</v>
      </c>
      <c r="G1681" t="n">
        <v>1941846</v>
      </c>
      <c r="H1681" t="inlineStr">
        <is>
          <t>TUB-E-O-AUT-AW-FC-15.88X1.000X1.6030</t>
        </is>
      </c>
    </row>
    <row r="1682">
      <c r="A1682" t="inlineStr">
        <is>
          <t>0000189002</t>
        </is>
      </c>
      <c r="B1682" t="inlineStr">
        <is>
          <t>Marathwada Auto Compo Pvt. Ltd.</t>
        </is>
      </c>
      <c r="C1682" t="inlineStr">
        <is>
          <t>NOS</t>
        </is>
      </c>
      <c r="D1682" t="n">
        <v>2971</v>
      </c>
      <c r="E1682" t="n">
        <v>3569.47</v>
      </c>
      <c r="F1682" t="n">
        <v>1589.485</v>
      </c>
      <c r="G1682" t="n">
        <v>3635694</v>
      </c>
      <c r="H1682" t="inlineStr">
        <is>
          <t>TUB-O-N-AUT-AW-PE-19.05X1.000X1.2000</t>
        </is>
      </c>
    </row>
    <row r="1683">
      <c r="A1683" t="inlineStr">
        <is>
          <t>0000189002</t>
        </is>
      </c>
      <c r="B1683" t="inlineStr">
        <is>
          <t>Marathwada Auto Compo Pvt. Ltd.</t>
        </is>
      </c>
      <c r="C1683" t="inlineStr">
        <is>
          <t>NOS</t>
        </is>
      </c>
      <c r="D1683" t="n">
        <v>1314</v>
      </c>
      <c r="E1683" t="n">
        <v>1578.689</v>
      </c>
      <c r="F1683" t="n">
        <v>702.99</v>
      </c>
      <c r="G1683" t="n">
        <v>3635694</v>
      </c>
      <c r="H1683" t="inlineStr">
        <is>
          <t>TUB-O-N-AUT-AW-PE-19.05X1.000X1.2000</t>
        </is>
      </c>
    </row>
    <row r="1684">
      <c r="A1684" t="inlineStr">
        <is>
          <t>0000189002</t>
        </is>
      </c>
      <c r="B1684" t="inlineStr">
        <is>
          <t>Marathwada Auto Compo Pvt. Ltd.</t>
        </is>
      </c>
      <c r="C1684" t="inlineStr">
        <is>
          <t>NOS</t>
        </is>
      </c>
      <c r="D1684" t="n">
        <v>115</v>
      </c>
      <c r="E1684" t="n">
        <v>138.165</v>
      </c>
      <c r="F1684" t="n">
        <v>61.525</v>
      </c>
      <c r="G1684" t="n">
        <v>3635694</v>
      </c>
      <c r="H1684" t="inlineStr">
        <is>
          <t>TUB-O-N-AUT-AW-PE-19.05X1.000X1.2000</t>
        </is>
      </c>
    </row>
    <row r="1685">
      <c r="A1685" t="inlineStr">
        <is>
          <t>0000189002</t>
        </is>
      </c>
      <c r="B1685" t="inlineStr">
        <is>
          <t>Marathwada Auto Compo Pvt. Ltd.</t>
        </is>
      </c>
      <c r="C1685" t="inlineStr">
        <is>
          <t>M</t>
        </is>
      </c>
      <c r="D1685" t="n">
        <v>350</v>
      </c>
      <c r="E1685" t="n">
        <v>2100</v>
      </c>
      <c r="F1685" t="n">
        <v>1183.77</v>
      </c>
      <c r="G1685" t="n">
        <v>1900224</v>
      </c>
      <c r="H1685" t="inlineStr">
        <is>
          <t>TUB-O-N-AUT-AP-PE-15.88X1.600X6.0000</t>
        </is>
      </c>
    </row>
    <row r="1686">
      <c r="A1686" t="inlineStr">
        <is>
          <t>0000189226</t>
        </is>
      </c>
      <c r="B1686" t="inlineStr">
        <is>
          <t>Neel Metal Products Limited</t>
        </is>
      </c>
      <c r="C1686" t="inlineStr">
        <is>
          <t>NOS</t>
        </is>
      </c>
      <c r="D1686" t="n">
        <v>2600</v>
      </c>
      <c r="E1686" t="n">
        <v>1023.148</v>
      </c>
      <c r="F1686" t="n">
        <v>972.4</v>
      </c>
      <c r="G1686" t="n">
        <v>1940318</v>
      </c>
      <c r="H1686" t="inlineStr">
        <is>
          <t>TUB-O-O-AUT-AW-PE-19.05X2.300X0.3940</t>
        </is>
      </c>
    </row>
    <row r="1687">
      <c r="A1687" t="inlineStr">
        <is>
          <t>0000189226</t>
        </is>
      </c>
      <c r="B1687" t="inlineStr">
        <is>
          <t>Neel Metal Products Limited</t>
        </is>
      </c>
      <c r="C1687" t="inlineStr">
        <is>
          <t>NOS</t>
        </is>
      </c>
      <c r="D1687" t="n">
        <v>10000</v>
      </c>
      <c r="E1687" t="n">
        <v>8154.678</v>
      </c>
      <c r="F1687" t="n">
        <v>8140</v>
      </c>
      <c r="G1687" t="n">
        <v>2413708</v>
      </c>
      <c r="H1687" t="inlineStr">
        <is>
          <t>TUB-O-N-AUT-AW-PE-22.23X2.000X0.8150</t>
        </is>
      </c>
    </row>
    <row r="1688">
      <c r="A1688" t="inlineStr">
        <is>
          <t>0000185499</t>
        </is>
      </c>
      <c r="B1688" t="inlineStr">
        <is>
          <t>Surya Steels</t>
        </is>
      </c>
      <c r="C1688" t="inlineStr">
        <is>
          <t>KG</t>
        </is>
      </c>
      <c r="D1688" t="n">
        <v>263</v>
      </c>
      <c r="E1688" t="n">
        <v>1577.007</v>
      </c>
      <c r="F1688" t="n">
        <v>1369</v>
      </c>
      <c r="G1688" t="n">
        <v>1940520</v>
      </c>
      <c r="H1688" t="inlineStr">
        <is>
          <t>TUB-S-FH-SHS-25.00X25.00X1.150X6.0000</t>
        </is>
      </c>
    </row>
    <row r="1689">
      <c r="A1689" t="inlineStr">
        <is>
          <t>0000185499</t>
        </is>
      </c>
      <c r="B1689" t="inlineStr">
        <is>
          <t>Surya Steels</t>
        </is>
      </c>
      <c r="C1689" t="inlineStr">
        <is>
          <t>KG</t>
        </is>
      </c>
      <c r="D1689" t="n">
        <v>197</v>
      </c>
      <c r="E1689" t="n">
        <v>1179.588</v>
      </c>
      <c r="F1689" t="n">
        <v>1024</v>
      </c>
      <c r="G1689" t="n">
        <v>1940520</v>
      </c>
      <c r="H1689" t="inlineStr">
        <is>
          <t>TUB-S-FH-SHS-25.00X25.00X1.150X6.0000</t>
        </is>
      </c>
    </row>
    <row r="1690">
      <c r="A1690" t="inlineStr">
        <is>
          <t>0000185499</t>
        </is>
      </c>
      <c r="B1690" t="inlineStr">
        <is>
          <t>Surya Steels</t>
        </is>
      </c>
      <c r="C1690" t="inlineStr">
        <is>
          <t>KG</t>
        </is>
      </c>
      <c r="D1690" t="n">
        <v>152</v>
      </c>
      <c r="E1690" t="n">
        <v>912.337</v>
      </c>
      <c r="F1690" t="n">
        <v>792</v>
      </c>
      <c r="G1690" t="n">
        <v>1940520</v>
      </c>
      <c r="H1690" t="inlineStr">
        <is>
          <t>TUB-S-FH-SHS-25.00X25.00X1.150X6.0000</t>
        </is>
      </c>
    </row>
    <row r="1691">
      <c r="A1691" t="inlineStr">
        <is>
          <t>0000185499</t>
        </is>
      </c>
      <c r="B1691" t="inlineStr">
        <is>
          <t>Surya Steels</t>
        </is>
      </c>
      <c r="C1691" t="inlineStr">
        <is>
          <t>KG</t>
        </is>
      </c>
      <c r="D1691" t="n">
        <v>150</v>
      </c>
      <c r="E1691" t="n">
        <v>899.6660000000001</v>
      </c>
      <c r="F1691" t="n">
        <v>781</v>
      </c>
      <c r="G1691" t="n">
        <v>1940520</v>
      </c>
      <c r="H1691" t="inlineStr">
        <is>
          <t>TUB-S-FH-SHS-25.00X25.00X1.150X6.0000</t>
        </is>
      </c>
    </row>
    <row r="1692">
      <c r="A1692" t="inlineStr">
        <is>
          <t>0000185499</t>
        </is>
      </c>
      <c r="B1692" t="inlineStr">
        <is>
          <t>Surya Steels</t>
        </is>
      </c>
      <c r="C1692" t="inlineStr">
        <is>
          <t>KG</t>
        </is>
      </c>
      <c r="D1692" t="n">
        <v>137</v>
      </c>
      <c r="E1692" t="n">
        <v>822.486</v>
      </c>
      <c r="F1692" t="n">
        <v>714</v>
      </c>
      <c r="G1692" t="n">
        <v>1940520</v>
      </c>
      <c r="H1692" t="inlineStr">
        <is>
          <t>TUB-S-FH-SHS-25.00X25.00X1.150X6.0000</t>
        </is>
      </c>
    </row>
    <row r="1693">
      <c r="A1693" t="inlineStr">
        <is>
          <t>0000185499</t>
        </is>
      </c>
      <c r="B1693" t="inlineStr">
        <is>
          <t>Surya Steels</t>
        </is>
      </c>
      <c r="C1693" t="inlineStr">
        <is>
          <t>KG</t>
        </is>
      </c>
      <c r="D1693" t="n">
        <v>130</v>
      </c>
      <c r="E1693" t="n">
        <v>779.864</v>
      </c>
      <c r="F1693" t="n">
        <v>677</v>
      </c>
      <c r="G1693" t="n">
        <v>1940520</v>
      </c>
      <c r="H1693" t="inlineStr">
        <is>
          <t>TUB-S-FH-SHS-25.00X25.00X1.150X6.0000</t>
        </is>
      </c>
    </row>
    <row r="1694">
      <c r="A1694" t="inlineStr">
        <is>
          <t>0000185499</t>
        </is>
      </c>
      <c r="B1694" t="inlineStr">
        <is>
          <t>Surya Steels</t>
        </is>
      </c>
      <c r="C1694" t="inlineStr">
        <is>
          <t>KG</t>
        </is>
      </c>
      <c r="D1694" t="n">
        <v>85</v>
      </c>
      <c r="E1694" t="n">
        <v>510.31</v>
      </c>
      <c r="F1694" t="n">
        <v>443</v>
      </c>
      <c r="G1694" t="n">
        <v>1940520</v>
      </c>
      <c r="H1694" t="inlineStr">
        <is>
          <t>TUB-S-FH-SHS-25.00X25.00X1.150X6.0000</t>
        </is>
      </c>
    </row>
    <row r="1695">
      <c r="A1695" t="inlineStr">
        <is>
          <t>0000185499</t>
        </is>
      </c>
      <c r="B1695" t="inlineStr">
        <is>
          <t>Surya Steels</t>
        </is>
      </c>
      <c r="C1695" t="inlineStr">
        <is>
          <t>KG</t>
        </is>
      </c>
      <c r="D1695" t="n">
        <v>654</v>
      </c>
      <c r="E1695" t="n">
        <v>3926.702</v>
      </c>
      <c r="F1695" t="n">
        <v>2550</v>
      </c>
      <c r="G1695" t="n">
        <v>1940214</v>
      </c>
      <c r="H1695" t="inlineStr">
        <is>
          <t>TUB-O-O-GEN-AW-PE-19.05X1.500X6.0000</t>
        </is>
      </c>
    </row>
    <row r="1696">
      <c r="A1696" t="inlineStr">
        <is>
          <t>0000185499</t>
        </is>
      </c>
      <c r="B1696" t="inlineStr">
        <is>
          <t>Surya Steels</t>
        </is>
      </c>
      <c r="C1696" t="inlineStr">
        <is>
          <t>KG</t>
        </is>
      </c>
      <c r="D1696" t="n">
        <v>642</v>
      </c>
      <c r="E1696" t="n">
        <v>3849.707</v>
      </c>
      <c r="F1696" t="n">
        <v>2500</v>
      </c>
      <c r="G1696" t="n">
        <v>1940214</v>
      </c>
      <c r="H1696" t="inlineStr">
        <is>
          <t>TUB-O-O-GEN-AW-PE-19.05X1.500X6.0000</t>
        </is>
      </c>
    </row>
    <row r="1697">
      <c r="A1697" t="inlineStr">
        <is>
          <t>0000185499</t>
        </is>
      </c>
      <c r="B1697" t="inlineStr">
        <is>
          <t>Surya Steels</t>
        </is>
      </c>
      <c r="C1697" t="inlineStr">
        <is>
          <t>KG</t>
        </is>
      </c>
      <c r="D1697" t="n">
        <v>244</v>
      </c>
      <c r="E1697" t="n">
        <v>1462.889</v>
      </c>
      <c r="F1697" t="n">
        <v>950</v>
      </c>
      <c r="G1697" t="n">
        <v>1940214</v>
      </c>
      <c r="H1697" t="inlineStr">
        <is>
          <t>TUB-O-O-GEN-AW-PE-19.05X1.500X6.0000</t>
        </is>
      </c>
    </row>
    <row r="1698">
      <c r="A1698" t="inlineStr">
        <is>
          <t>0000185499</t>
        </is>
      </c>
      <c r="B1698" t="inlineStr">
        <is>
          <t>Surya Steels</t>
        </is>
      </c>
      <c r="C1698" t="inlineStr">
        <is>
          <t>KG</t>
        </is>
      </c>
      <c r="D1698" t="n">
        <v>692</v>
      </c>
      <c r="E1698" t="n">
        <v>4154.796</v>
      </c>
      <c r="F1698" t="n">
        <v>2625</v>
      </c>
      <c r="G1698" t="n">
        <v>1940148</v>
      </c>
      <c r="H1698" t="inlineStr">
        <is>
          <t>TUB-S-FH-SHS-19.00X19.00X1.150X6.0000</t>
        </is>
      </c>
    </row>
    <row r="1699">
      <c r="A1699" t="inlineStr">
        <is>
          <t>0000185499</t>
        </is>
      </c>
      <c r="B1699" t="inlineStr">
        <is>
          <t>Surya Steels</t>
        </is>
      </c>
      <c r="C1699" t="inlineStr">
        <is>
          <t>KG</t>
        </is>
      </c>
      <c r="D1699" t="n">
        <v>690</v>
      </c>
      <c r="E1699" t="n">
        <v>4142.134</v>
      </c>
      <c r="F1699" t="n">
        <v>2617</v>
      </c>
      <c r="G1699" t="n">
        <v>1940148</v>
      </c>
      <c r="H1699" t="inlineStr">
        <is>
          <t>TUB-S-FH-SHS-19.00X19.00X1.150X6.0000</t>
        </is>
      </c>
    </row>
    <row r="1700">
      <c r="A1700" t="inlineStr">
        <is>
          <t>0000185499</t>
        </is>
      </c>
      <c r="B1700" t="inlineStr">
        <is>
          <t>Surya Steels</t>
        </is>
      </c>
      <c r="C1700" t="inlineStr">
        <is>
          <t>KG</t>
        </is>
      </c>
      <c r="D1700" t="n">
        <v>619</v>
      </c>
      <c r="E1700" t="n">
        <v>3716.366</v>
      </c>
      <c r="F1700" t="n">
        <v>2348</v>
      </c>
      <c r="G1700" t="n">
        <v>1940148</v>
      </c>
      <c r="H1700" t="inlineStr">
        <is>
          <t>TUB-S-FH-SHS-19.00X19.00X1.150X6.0000</t>
        </is>
      </c>
    </row>
    <row r="1701">
      <c r="A1701" t="inlineStr">
        <is>
          <t>0000185014</t>
        </is>
      </c>
      <c r="B1701" t="inlineStr">
        <is>
          <t>YOSHIKA ENGINEERING PVT LTD</t>
        </is>
      </c>
      <c r="C1701" t="inlineStr">
        <is>
          <t>NOS</t>
        </is>
      </c>
      <c r="D1701" t="n">
        <v>1750</v>
      </c>
      <c r="E1701" t="n">
        <v>1627.091</v>
      </c>
      <c r="F1701" t="n">
        <v>1624</v>
      </c>
      <c r="G1701" t="n">
        <v>1940479</v>
      </c>
      <c r="H1701" t="inlineStr">
        <is>
          <t>TUB-O-O-AUT-AW-PE-22.23X2.00X0.930-MAHS</t>
        </is>
      </c>
    </row>
    <row r="1702">
      <c r="A1702" t="inlineStr">
        <is>
          <t>0000185014</t>
        </is>
      </c>
      <c r="B1702" t="inlineStr">
        <is>
          <t>YOSHIKA ENGINEERING PVT LTD</t>
        </is>
      </c>
      <c r="C1702" t="inlineStr">
        <is>
          <t>NOS</t>
        </is>
      </c>
      <c r="D1702" t="n">
        <v>1720</v>
      </c>
      <c r="E1702" t="n">
        <v>1599.198</v>
      </c>
      <c r="F1702" t="n">
        <v>1596.16</v>
      </c>
      <c r="G1702" t="n">
        <v>1940479</v>
      </c>
      <c r="H1702" t="inlineStr">
        <is>
          <t>TUB-O-O-AUT-AW-PE-22.23X2.00X0.930-MAHS</t>
        </is>
      </c>
    </row>
    <row r="1703">
      <c r="A1703" t="inlineStr">
        <is>
          <t>0000185014</t>
        </is>
      </c>
      <c r="B1703" t="inlineStr">
        <is>
          <t>YOSHIKA ENGINEERING PVT LTD</t>
        </is>
      </c>
      <c r="C1703" t="inlineStr">
        <is>
          <t>NOS</t>
        </is>
      </c>
      <c r="D1703" t="n">
        <v>1359</v>
      </c>
      <c r="E1703" t="n">
        <v>1263.553</v>
      </c>
      <c r="F1703" t="n">
        <v>1261.152</v>
      </c>
      <c r="G1703" t="n">
        <v>1940479</v>
      </c>
      <c r="H1703" t="inlineStr">
        <is>
          <t>TUB-O-O-AUT-AW-PE-22.23X2.00X0.930-MAHS</t>
        </is>
      </c>
    </row>
    <row r="1704">
      <c r="A1704" t="inlineStr">
        <is>
          <t>0000185014</t>
        </is>
      </c>
      <c r="B1704" t="inlineStr">
        <is>
          <t>YOSHIKA ENGINEERING PVT LTD</t>
        </is>
      </c>
      <c r="C1704" t="inlineStr">
        <is>
          <t>NOS</t>
        </is>
      </c>
      <c r="D1704" t="n">
        <v>171</v>
      </c>
      <c r="E1704" t="n">
        <v>158.99</v>
      </c>
      <c r="F1704" t="n">
        <v>158.688</v>
      </c>
      <c r="G1704" t="n">
        <v>1940479</v>
      </c>
      <c r="H1704" t="inlineStr">
        <is>
          <t>TUB-O-O-AUT-AW-PE-22.23X2.00X0.930-MAHS</t>
        </is>
      </c>
    </row>
    <row r="1705">
      <c r="A1705" t="inlineStr">
        <is>
          <t>0000188405</t>
        </is>
      </c>
      <c r="B1705" t="inlineStr">
        <is>
          <t>Skb Industries</t>
        </is>
      </c>
      <c r="C1705" t="inlineStr">
        <is>
          <t>NOS</t>
        </is>
      </c>
      <c r="D1705" t="n">
        <v>1286</v>
      </c>
      <c r="E1705" t="n">
        <v>997.224</v>
      </c>
      <c r="F1705" t="n">
        <v>950.354</v>
      </c>
      <c r="G1705" t="n">
        <v>3765171</v>
      </c>
      <c r="H1705" t="inlineStr">
        <is>
          <t>TUB-O-N-AUT-AP-PE-22.23X2.000X0.7750</t>
        </is>
      </c>
    </row>
    <row r="1706">
      <c r="A1706" t="inlineStr">
        <is>
          <t>0000188405</t>
        </is>
      </c>
      <c r="B1706" t="inlineStr">
        <is>
          <t>Skb Industries</t>
        </is>
      </c>
      <c r="C1706" t="inlineStr">
        <is>
          <t>NOS</t>
        </is>
      </c>
      <c r="D1706" t="n">
        <v>6</v>
      </c>
      <c r="E1706" t="n">
        <v>4.653</v>
      </c>
      <c r="F1706" t="n">
        <v>4.434</v>
      </c>
      <c r="G1706" t="n">
        <v>3765171</v>
      </c>
      <c r="H1706" t="inlineStr">
        <is>
          <t>TUB-O-N-AUT-AP-PE-22.23X2.000X0.7750</t>
        </is>
      </c>
    </row>
    <row r="1707">
      <c r="A1707" t="inlineStr">
        <is>
          <t>0000188405</t>
        </is>
      </c>
      <c r="B1707" t="inlineStr">
        <is>
          <t>Skb Industries</t>
        </is>
      </c>
      <c r="C1707" t="inlineStr">
        <is>
          <t>NOS</t>
        </is>
      </c>
      <c r="D1707" t="n">
        <v>916</v>
      </c>
      <c r="E1707" t="n">
        <v>710.308</v>
      </c>
      <c r="F1707" t="n">
        <v>676.924</v>
      </c>
      <c r="G1707" t="n">
        <v>3765171</v>
      </c>
      <c r="H1707" t="inlineStr">
        <is>
          <t>TUB-O-N-AUT-AP-PE-22.23X2.000X0.7750</t>
        </is>
      </c>
    </row>
    <row r="1708">
      <c r="A1708" t="inlineStr">
        <is>
          <t>0000188405</t>
        </is>
      </c>
      <c r="B1708" t="inlineStr">
        <is>
          <t>Skb Industries</t>
        </is>
      </c>
      <c r="C1708" t="inlineStr">
        <is>
          <t>NOS</t>
        </is>
      </c>
      <c r="D1708" t="n">
        <v>843</v>
      </c>
      <c r="E1708" t="n">
        <v>653.701</v>
      </c>
      <c r="F1708" t="n">
        <v>622.977</v>
      </c>
      <c r="G1708" t="n">
        <v>3765171</v>
      </c>
      <c r="H1708" t="inlineStr">
        <is>
          <t>TUB-O-N-AUT-AP-PE-22.23X2.000X0.7750</t>
        </is>
      </c>
    </row>
    <row r="1709">
      <c r="A1709" t="inlineStr">
        <is>
          <t>0000188405</t>
        </is>
      </c>
      <c r="B1709" t="inlineStr">
        <is>
          <t>Skb Industries</t>
        </is>
      </c>
      <c r="C1709" t="inlineStr">
        <is>
          <t>NOS</t>
        </is>
      </c>
      <c r="D1709" t="n">
        <v>209</v>
      </c>
      <c r="E1709" t="n">
        <v>162.068</v>
      </c>
      <c r="F1709" t="n">
        <v>154.451</v>
      </c>
      <c r="G1709" t="n">
        <v>3765171</v>
      </c>
      <c r="H1709" t="inlineStr">
        <is>
          <t>TUB-O-N-AUT-AP-PE-22.23X2.000X0.7750</t>
        </is>
      </c>
    </row>
    <row r="1710">
      <c r="A1710" t="inlineStr">
        <is>
          <t>0000188405</t>
        </is>
      </c>
      <c r="B1710" t="inlineStr">
        <is>
          <t>Skb Industries</t>
        </is>
      </c>
      <c r="C1710" t="inlineStr">
        <is>
          <t>NOS</t>
        </is>
      </c>
      <c r="D1710" t="n">
        <v>190</v>
      </c>
      <c r="E1710" t="n">
        <v>147.335</v>
      </c>
      <c r="F1710" t="n">
        <v>140.41</v>
      </c>
      <c r="G1710" t="n">
        <v>3765171</v>
      </c>
      <c r="H1710" t="inlineStr">
        <is>
          <t>TUB-O-N-AUT-AP-PE-22.23X2.000X0.7750</t>
        </is>
      </c>
    </row>
    <row r="1711">
      <c r="A1711" t="inlineStr">
        <is>
          <t>0000188595</t>
        </is>
      </c>
      <c r="B1711" t="inlineStr">
        <is>
          <t>Sri Balaji Gears</t>
        </is>
      </c>
      <c r="C1711" t="inlineStr">
        <is>
          <t>NOS</t>
        </is>
      </c>
      <c r="D1711" t="n">
        <v>799</v>
      </c>
      <c r="E1711" t="n">
        <v>1047.001</v>
      </c>
      <c r="F1711" t="n">
        <v>1152.957</v>
      </c>
      <c r="G1711" t="n">
        <v>1940801</v>
      </c>
      <c r="H1711" t="inlineStr">
        <is>
          <t>TUB-R-AW-RHS-40.00X20.00X1.210X1.3100</t>
        </is>
      </c>
    </row>
    <row r="1712">
      <c r="A1712" t="inlineStr">
        <is>
          <t>0000188595</t>
        </is>
      </c>
      <c r="B1712" t="inlineStr">
        <is>
          <t>Sri Balaji Gears</t>
        </is>
      </c>
      <c r="C1712" t="inlineStr">
        <is>
          <t>NOS</t>
        </is>
      </c>
      <c r="D1712" t="n">
        <v>701</v>
      </c>
      <c r="E1712" t="n">
        <v>918.582</v>
      </c>
      <c r="F1712" t="n">
        <v>1011.543</v>
      </c>
      <c r="G1712" t="n">
        <v>1940801</v>
      </c>
      <c r="H1712" t="inlineStr">
        <is>
          <t>TUB-R-AW-RHS-40.00X20.00X1.210X1.3100</t>
        </is>
      </c>
    </row>
    <row r="1713">
      <c r="A1713" t="inlineStr">
        <is>
          <t>0000188595</t>
        </is>
      </c>
      <c r="B1713" t="inlineStr">
        <is>
          <t>Sri Balaji Gears</t>
        </is>
      </c>
      <c r="C1713" t="inlineStr">
        <is>
          <t>NOS</t>
        </is>
      </c>
      <c r="D1713" t="n">
        <v>500</v>
      </c>
      <c r="E1713" t="n">
        <v>623.4109999999999</v>
      </c>
      <c r="F1713" t="n">
        <v>686.5</v>
      </c>
      <c r="G1713" t="n">
        <v>3233554</v>
      </c>
      <c r="H1713" t="inlineStr">
        <is>
          <t>TUB-R-AW-AUT-40.00X20.00X1.210X1.2460</t>
        </is>
      </c>
    </row>
    <row r="1714">
      <c r="A1714" t="inlineStr">
        <is>
          <t>0000188595</t>
        </is>
      </c>
      <c r="B1714" t="inlineStr">
        <is>
          <t>Sri Balaji Gears</t>
        </is>
      </c>
      <c r="C1714" t="inlineStr">
        <is>
          <t>NOS</t>
        </is>
      </c>
      <c r="D1714" t="n">
        <v>1898</v>
      </c>
      <c r="E1714" t="n">
        <v>2126.891</v>
      </c>
      <c r="F1714" t="n">
        <v>2342.132</v>
      </c>
      <c r="G1714" t="n">
        <v>3233555</v>
      </c>
      <c r="H1714" t="inlineStr">
        <is>
          <t>TUB-R-AW-AUT-40.00X20.00X1.210X1.1200</t>
        </is>
      </c>
    </row>
    <row r="1715">
      <c r="A1715" t="inlineStr">
        <is>
          <t>0000188595</t>
        </is>
      </c>
      <c r="B1715" t="inlineStr">
        <is>
          <t>Sri Balaji Gears</t>
        </is>
      </c>
      <c r="C1715" t="inlineStr">
        <is>
          <t>NOS</t>
        </is>
      </c>
      <c r="D1715" t="n">
        <v>102</v>
      </c>
      <c r="E1715" t="n">
        <v>114.301</v>
      </c>
      <c r="F1715" t="n">
        <v>125.868</v>
      </c>
      <c r="G1715" t="n">
        <v>3233555</v>
      </c>
      <c r="H1715" t="inlineStr">
        <is>
          <t>TUB-R-AW-AUT-40.00X20.00X1.210X1.1200</t>
        </is>
      </c>
    </row>
    <row r="1716">
      <c r="A1716" t="inlineStr">
        <is>
          <t>0000188595</t>
        </is>
      </c>
      <c r="B1716" t="inlineStr">
        <is>
          <t>Sri Balaji Gears</t>
        </is>
      </c>
      <c r="C1716" t="inlineStr">
        <is>
          <t>NOS</t>
        </is>
      </c>
      <c r="D1716" t="n">
        <v>498</v>
      </c>
      <c r="E1716" t="n">
        <v>428.524</v>
      </c>
      <c r="F1716" t="n">
        <v>468.12</v>
      </c>
      <c r="G1716" t="n">
        <v>3572051</v>
      </c>
      <c r="H1716" t="inlineStr">
        <is>
          <t>TUB-R-AW-AUT-40.00X20.00X1.200X0.8600</t>
        </is>
      </c>
    </row>
    <row r="1717">
      <c r="A1717" t="inlineStr">
        <is>
          <t>0000188595</t>
        </is>
      </c>
      <c r="B1717" t="inlineStr">
        <is>
          <t>Sri Balaji Gears</t>
        </is>
      </c>
      <c r="C1717" t="inlineStr">
        <is>
          <t>NOS</t>
        </is>
      </c>
      <c r="D1717" t="n">
        <v>498</v>
      </c>
      <c r="E1717" t="n">
        <v>428.524</v>
      </c>
      <c r="F1717" t="n">
        <v>468.12</v>
      </c>
      <c r="G1717" t="n">
        <v>3572051</v>
      </c>
      <c r="H1717" t="inlineStr">
        <is>
          <t>TUB-R-AW-AUT-40.00X20.00X1.200X0.8600</t>
        </is>
      </c>
    </row>
    <row r="1718">
      <c r="A1718" t="inlineStr">
        <is>
          <t>0000188595</t>
        </is>
      </c>
      <c r="B1718" t="inlineStr">
        <is>
          <t>Sri Balaji Gears</t>
        </is>
      </c>
      <c r="C1718" t="inlineStr">
        <is>
          <t>NOS</t>
        </is>
      </c>
      <c r="D1718" t="n">
        <v>448</v>
      </c>
      <c r="E1718" t="n">
        <v>385.5</v>
      </c>
      <c r="F1718" t="n">
        <v>421.12</v>
      </c>
      <c r="G1718" t="n">
        <v>3572051</v>
      </c>
      <c r="H1718" t="inlineStr">
        <is>
          <t>TUB-R-AW-AUT-40.00X20.00X1.200X0.8600</t>
        </is>
      </c>
    </row>
    <row r="1719">
      <c r="A1719" t="inlineStr">
        <is>
          <t>0000188595</t>
        </is>
      </c>
      <c r="B1719" t="inlineStr">
        <is>
          <t>Sri Balaji Gears</t>
        </is>
      </c>
      <c r="C1719" t="inlineStr">
        <is>
          <t>NOS</t>
        </is>
      </c>
      <c r="D1719" t="n">
        <v>259</v>
      </c>
      <c r="E1719" t="n">
        <v>222.867</v>
      </c>
      <c r="F1719" t="n">
        <v>243.46</v>
      </c>
      <c r="G1719" t="n">
        <v>3572051</v>
      </c>
      <c r="H1719" t="inlineStr">
        <is>
          <t>TUB-R-AW-AUT-40.00X20.00X1.200X0.8600</t>
        </is>
      </c>
    </row>
    <row r="1720">
      <c r="A1720" t="inlineStr">
        <is>
          <t>0000188595</t>
        </is>
      </c>
      <c r="B1720" t="inlineStr">
        <is>
          <t>Sri Balaji Gears</t>
        </is>
      </c>
      <c r="C1720" t="inlineStr">
        <is>
          <t>NOS</t>
        </is>
      </c>
      <c r="D1720" t="n">
        <v>198</v>
      </c>
      <c r="E1720" t="n">
        <v>170.377</v>
      </c>
      <c r="F1720" t="n">
        <v>186.12</v>
      </c>
      <c r="G1720" t="n">
        <v>3572051</v>
      </c>
      <c r="H1720" t="inlineStr">
        <is>
          <t>TUB-R-AW-AUT-40.00X20.00X1.200X0.8600</t>
        </is>
      </c>
    </row>
    <row r="1721">
      <c r="A1721" t="inlineStr">
        <is>
          <t>0000188595</t>
        </is>
      </c>
      <c r="B1721" t="inlineStr">
        <is>
          <t>Sri Balaji Gears</t>
        </is>
      </c>
      <c r="C1721" t="inlineStr">
        <is>
          <t>NOS</t>
        </is>
      </c>
      <c r="D1721" t="n">
        <v>99</v>
      </c>
      <c r="E1721" t="n">
        <v>85.18899999999999</v>
      </c>
      <c r="F1721" t="n">
        <v>93.06</v>
      </c>
      <c r="G1721" t="n">
        <v>3572051</v>
      </c>
      <c r="H1721" t="inlineStr">
        <is>
          <t>TUB-R-AW-AUT-40.00X20.00X1.200X0.8600</t>
        </is>
      </c>
    </row>
    <row r="1722">
      <c r="A1722" t="inlineStr">
        <is>
          <t>0000188595</t>
        </is>
      </c>
      <c r="B1722" t="inlineStr">
        <is>
          <t>Sri Balaji Gears</t>
        </is>
      </c>
      <c r="C1722" t="inlineStr">
        <is>
          <t>NOS</t>
        </is>
      </c>
      <c r="D1722" t="n">
        <v>1000</v>
      </c>
      <c r="E1722" t="n">
        <v>754.994</v>
      </c>
      <c r="F1722" t="n">
        <v>824.756</v>
      </c>
      <c r="G1722" t="n">
        <v>4151472</v>
      </c>
      <c r="H1722" t="inlineStr">
        <is>
          <t>TUB-R-AW-AUT-40.00X20.00X1.200X0.7550</t>
        </is>
      </c>
    </row>
    <row r="1723">
      <c r="A1723" t="inlineStr">
        <is>
          <t>0000188595</t>
        </is>
      </c>
      <c r="B1723" t="inlineStr">
        <is>
          <t>Sri Balaji Gears</t>
        </is>
      </c>
      <c r="C1723" t="inlineStr">
        <is>
          <t>NOS</t>
        </is>
      </c>
      <c r="D1723" t="n">
        <v>1000</v>
      </c>
      <c r="E1723" t="n">
        <v>120.777</v>
      </c>
      <c r="F1723" t="n">
        <v>133</v>
      </c>
      <c r="G1723" t="n">
        <v>3233559</v>
      </c>
      <c r="H1723" t="inlineStr">
        <is>
          <t>TUB-R-AW-AUT-40.00X20.00X1.210X0.1200</t>
        </is>
      </c>
    </row>
    <row r="1724">
      <c r="A1724" t="inlineStr">
        <is>
          <t>0000188595</t>
        </is>
      </c>
      <c r="B1724" t="inlineStr">
        <is>
          <t>Sri Balaji Gears</t>
        </is>
      </c>
      <c r="C1724" t="inlineStr">
        <is>
          <t>NOS</t>
        </is>
      </c>
      <c r="D1724" t="n">
        <v>876</v>
      </c>
      <c r="E1724" t="n">
        <v>97.03</v>
      </c>
      <c r="F1724" t="n">
        <v>105.996</v>
      </c>
      <c r="G1724" t="n">
        <v>3572047</v>
      </c>
      <c r="H1724" t="inlineStr">
        <is>
          <t>TUB-R-AW-AUT-40.00X20.00X1.200X0.1100</t>
        </is>
      </c>
    </row>
    <row r="1725">
      <c r="A1725" t="inlineStr">
        <is>
          <t>0000188595</t>
        </is>
      </c>
      <c r="B1725" t="inlineStr">
        <is>
          <t>Sri Balaji Gears</t>
        </is>
      </c>
      <c r="C1725" t="inlineStr">
        <is>
          <t>NOS</t>
        </is>
      </c>
      <c r="D1725" t="n">
        <v>124</v>
      </c>
      <c r="E1725" t="n">
        <v>13.735</v>
      </c>
      <c r="F1725" t="n">
        <v>15.004</v>
      </c>
      <c r="G1725" t="n">
        <v>3572047</v>
      </c>
      <c r="H1725" t="inlineStr">
        <is>
          <t>TUB-R-AW-AUT-40.00X20.00X1.200X0.1100</t>
        </is>
      </c>
    </row>
    <row r="1726">
      <c r="A1726" t="inlineStr">
        <is>
          <t>0000188595</t>
        </is>
      </c>
      <c r="B1726" t="inlineStr">
        <is>
          <t>Sri Balaji Gears</t>
        </is>
      </c>
      <c r="C1726" t="inlineStr">
        <is>
          <t>NOS</t>
        </is>
      </c>
      <c r="D1726" t="n">
        <v>1000</v>
      </c>
      <c r="E1726" t="n">
        <v>794.991</v>
      </c>
      <c r="F1726" t="n">
        <v>439.789</v>
      </c>
      <c r="G1726" t="n">
        <v>4151429</v>
      </c>
      <c r="H1726" t="inlineStr">
        <is>
          <t>TUB-S-AW-AUT-19.00X19.00X1.000X0.7950</t>
        </is>
      </c>
    </row>
    <row r="1727">
      <c r="A1727" t="inlineStr">
        <is>
          <t>0000188595</t>
        </is>
      </c>
      <c r="B1727" t="inlineStr">
        <is>
          <t>Sri Balaji Gears</t>
        </is>
      </c>
      <c r="C1727" t="inlineStr">
        <is>
          <t>NOS</t>
        </is>
      </c>
      <c r="D1727" t="n">
        <v>1000</v>
      </c>
      <c r="E1727" t="n">
        <v>469.994</v>
      </c>
      <c r="F1727" t="n">
        <v>256.1</v>
      </c>
      <c r="G1727" t="n">
        <v>3230488</v>
      </c>
      <c r="H1727" t="inlineStr">
        <is>
          <t>TUB-S-AW-AUT-19.00X19.00X1.000X0.4700</t>
        </is>
      </c>
    </row>
    <row r="1728">
      <c r="A1728" t="inlineStr">
        <is>
          <t>0000188595</t>
        </is>
      </c>
      <c r="B1728" t="inlineStr">
        <is>
          <t>Sri Balaji Gears</t>
        </is>
      </c>
      <c r="C1728" t="inlineStr">
        <is>
          <t>NOS</t>
        </is>
      </c>
      <c r="D1728" t="n">
        <v>2590</v>
      </c>
      <c r="E1728" t="n">
        <v>1034.689</v>
      </c>
      <c r="F1728" t="n">
        <v>572.39</v>
      </c>
      <c r="G1728" t="n">
        <v>3230487</v>
      </c>
      <c r="H1728" t="inlineStr">
        <is>
          <t>TUB-S-AW-AUT-19.00X19.00X1.000X0.4000</t>
        </is>
      </c>
    </row>
    <row r="1729">
      <c r="A1729" t="inlineStr">
        <is>
          <t>0000188595</t>
        </is>
      </c>
      <c r="B1729" t="inlineStr">
        <is>
          <t>Sri Balaji Gears</t>
        </is>
      </c>
      <c r="C1729" t="inlineStr">
        <is>
          <t>NOS</t>
        </is>
      </c>
      <c r="D1729" t="n">
        <v>1410</v>
      </c>
      <c r="E1729" t="n">
        <v>563.2859999999999</v>
      </c>
      <c r="F1729" t="n">
        <v>311.61</v>
      </c>
      <c r="G1729" t="n">
        <v>3230487</v>
      </c>
      <c r="H1729" t="inlineStr">
        <is>
          <t>TUB-S-AW-AUT-19.00X19.00X1.000X0.4000</t>
        </is>
      </c>
    </row>
    <row r="1730">
      <c r="A1730" t="inlineStr">
        <is>
          <t>0000188595</t>
        </is>
      </c>
      <c r="B1730" t="inlineStr">
        <is>
          <t>Sri Balaji Gears</t>
        </is>
      </c>
      <c r="C1730" t="inlineStr">
        <is>
          <t>NOS</t>
        </is>
      </c>
      <c r="D1730" t="n">
        <v>2000</v>
      </c>
      <c r="E1730" t="n">
        <v>199.996</v>
      </c>
      <c r="F1730" t="n">
        <v>109</v>
      </c>
      <c r="G1730" t="n">
        <v>3931834</v>
      </c>
      <c r="H1730" t="inlineStr">
        <is>
          <t>CUT-R-AW-AUT-19.00X19.00X1.000X0.1000</t>
        </is>
      </c>
    </row>
    <row r="1731">
      <c r="A1731" t="inlineStr">
        <is>
          <t>0000188595</t>
        </is>
      </c>
      <c r="B1731" t="inlineStr">
        <is>
          <t>Sri Balaji Gears</t>
        </is>
      </c>
      <c r="C1731" t="inlineStr">
        <is>
          <t>NOS</t>
        </is>
      </c>
      <c r="D1731" t="n">
        <v>1000</v>
      </c>
      <c r="E1731" t="n">
        <v>115.006</v>
      </c>
      <c r="F1731" t="n">
        <v>62.667</v>
      </c>
      <c r="G1731" t="n">
        <v>4151428</v>
      </c>
      <c r="H1731" t="inlineStr">
        <is>
          <t>TUB-S-AW-AUT-19.00X19.00X1.000X0.1150</t>
        </is>
      </c>
    </row>
    <row r="1732">
      <c r="A1732" t="inlineStr">
        <is>
          <t>0000188595</t>
        </is>
      </c>
      <c r="B1732" t="inlineStr">
        <is>
          <t>Sri Balaji Gears</t>
        </is>
      </c>
      <c r="C1732" t="inlineStr">
        <is>
          <t>NOS</t>
        </is>
      </c>
      <c r="D1732" t="n">
        <v>1000</v>
      </c>
      <c r="E1732" t="n">
        <v>962.99</v>
      </c>
      <c r="F1732" t="n">
        <v>524.7329999999999</v>
      </c>
      <c r="G1732" t="n">
        <v>4151427</v>
      </c>
      <c r="H1732" t="inlineStr">
        <is>
          <t>TUB-S-AW-AUT-19.00X19.00X1.000X0.9630</t>
        </is>
      </c>
    </row>
    <row r="1733">
      <c r="A1733" t="inlineStr">
        <is>
          <t>0000188595</t>
        </is>
      </c>
      <c r="B1733" t="inlineStr">
        <is>
          <t>Sri Balaji Gears</t>
        </is>
      </c>
      <c r="C1733" t="inlineStr">
        <is>
          <t>NOS</t>
        </is>
      </c>
      <c r="D1733" t="n">
        <v>1000</v>
      </c>
      <c r="E1733" t="n">
        <v>755.001</v>
      </c>
      <c r="F1733" t="n">
        <v>411.4</v>
      </c>
      <c r="G1733" t="n">
        <v>4151426</v>
      </c>
      <c r="H1733" t="inlineStr">
        <is>
          <t>TUB-S-AW-AUT-19.00X19.00X1.000X0.7550</t>
        </is>
      </c>
    </row>
    <row r="1734">
      <c r="A1734" t="inlineStr">
        <is>
          <t>0000188595</t>
        </is>
      </c>
      <c r="B1734" t="inlineStr">
        <is>
          <t>Sri Balaji Gears</t>
        </is>
      </c>
      <c r="C1734" t="inlineStr">
        <is>
          <t>NOS</t>
        </is>
      </c>
      <c r="D1734" t="n">
        <v>979</v>
      </c>
      <c r="E1734" t="n">
        <v>348.632</v>
      </c>
      <c r="F1734" t="n">
        <v>192.863</v>
      </c>
      <c r="G1734" t="n">
        <v>3230490</v>
      </c>
      <c r="H1734" t="inlineStr">
        <is>
          <t>TUB-S-AW-AUT-19.00X19.00X1.000X0.3550</t>
        </is>
      </c>
    </row>
    <row r="1735">
      <c r="A1735" t="inlineStr">
        <is>
          <t>0000188595</t>
        </is>
      </c>
      <c r="B1735" t="inlineStr">
        <is>
          <t>Sri Balaji Gears</t>
        </is>
      </c>
      <c r="C1735" t="inlineStr">
        <is>
          <t>NOS</t>
        </is>
      </c>
      <c r="D1735" t="n">
        <v>21</v>
      </c>
      <c r="E1735" t="n">
        <v>7.478</v>
      </c>
      <c r="F1735" t="n">
        <v>4.137</v>
      </c>
      <c r="G1735" t="n">
        <v>3230490</v>
      </c>
      <c r="H1735" t="inlineStr">
        <is>
          <t>TUB-S-AW-AUT-19.00X19.00X1.000X0.3550</t>
        </is>
      </c>
    </row>
    <row r="1736">
      <c r="A1736" t="inlineStr">
        <is>
          <t>0000188595</t>
        </is>
      </c>
      <c r="B1736" t="inlineStr">
        <is>
          <t>Sri Balaji Gears</t>
        </is>
      </c>
      <c r="C1736" t="inlineStr">
        <is>
          <t>NOS</t>
        </is>
      </c>
      <c r="D1736" t="n">
        <v>1000</v>
      </c>
      <c r="E1736" t="n">
        <v>1303.991</v>
      </c>
      <c r="F1736" t="n">
        <v>710.544</v>
      </c>
      <c r="G1736" t="n">
        <v>3572039</v>
      </c>
      <c r="H1736" t="inlineStr">
        <is>
          <t>TUB-S-AW-AUT-19.00X19.00X1.000X1.3040</t>
        </is>
      </c>
    </row>
    <row r="1737">
      <c r="A1737" t="inlineStr">
        <is>
          <t>0000188595</t>
        </is>
      </c>
      <c r="B1737" t="inlineStr">
        <is>
          <t>Sri Balaji Gears</t>
        </is>
      </c>
      <c r="C1737" t="inlineStr">
        <is>
          <t>NOS</t>
        </is>
      </c>
      <c r="D1737" t="n">
        <v>500</v>
      </c>
      <c r="E1737" t="n">
        <v>622.999</v>
      </c>
      <c r="F1737" t="n">
        <v>339.472</v>
      </c>
      <c r="G1737" t="n">
        <v>3572038</v>
      </c>
      <c r="H1737" t="inlineStr">
        <is>
          <t>TUB-S-AW-AUT-19.00X19.00X1.000X1.2460</t>
        </is>
      </c>
    </row>
    <row r="1738">
      <c r="A1738" t="inlineStr">
        <is>
          <t>0000188595</t>
        </is>
      </c>
      <c r="B1738" t="inlineStr">
        <is>
          <t>Sri Balaji Gears</t>
        </is>
      </c>
      <c r="C1738" t="inlineStr">
        <is>
          <t>NOS</t>
        </is>
      </c>
      <c r="D1738" t="n">
        <v>1000</v>
      </c>
      <c r="E1738" t="n">
        <v>835</v>
      </c>
      <c r="F1738" t="n">
        <v>461.922</v>
      </c>
      <c r="G1738" t="n">
        <v>4151425</v>
      </c>
      <c r="H1738" t="inlineStr">
        <is>
          <t>TUB-S-AW-AUT-19.00X19.00X1.000X0.8350</t>
        </is>
      </c>
    </row>
    <row r="1739">
      <c r="A1739" t="inlineStr">
        <is>
          <t>0000188595</t>
        </is>
      </c>
      <c r="B1739" t="inlineStr">
        <is>
          <t>Sri Balaji Gears</t>
        </is>
      </c>
      <c r="C1739" t="inlineStr">
        <is>
          <t>NOS</t>
        </is>
      </c>
      <c r="D1739" t="n">
        <v>1000</v>
      </c>
      <c r="E1739" t="n">
        <v>539.997</v>
      </c>
      <c r="F1739" t="n">
        <v>294.244</v>
      </c>
      <c r="G1739" t="n">
        <v>3571870</v>
      </c>
      <c r="H1739" t="inlineStr">
        <is>
          <t>TUB-S-AW-AUT-19.00X19.00X1.000X0.5400</t>
        </is>
      </c>
    </row>
    <row r="1740">
      <c r="A1740" t="inlineStr">
        <is>
          <t>0000188595</t>
        </is>
      </c>
      <c r="B1740" t="inlineStr">
        <is>
          <t>Sri Balaji Gears</t>
        </is>
      </c>
      <c r="C1740" t="inlineStr">
        <is>
          <t>NOS</t>
        </is>
      </c>
      <c r="D1740" t="n">
        <v>1000</v>
      </c>
      <c r="E1740" t="n">
        <v>110.008</v>
      </c>
      <c r="F1740" t="n">
        <v>59.956</v>
      </c>
      <c r="G1740" t="n">
        <v>3931835</v>
      </c>
      <c r="H1740" t="inlineStr">
        <is>
          <t>CUT-R-AW-AUT-19.00X19.00X1.000X0.1100</t>
        </is>
      </c>
    </row>
    <row r="1741">
      <c r="A1741" t="inlineStr">
        <is>
          <t>0000188595</t>
        </is>
      </c>
      <c r="B1741" t="inlineStr">
        <is>
          <t>Sri Balaji Gears</t>
        </is>
      </c>
      <c r="C1741" t="inlineStr">
        <is>
          <t>NOS</t>
        </is>
      </c>
      <c r="D1741" t="n">
        <v>1000</v>
      </c>
      <c r="E1741" t="n">
        <v>639.998</v>
      </c>
      <c r="F1741" t="n">
        <v>578.878</v>
      </c>
      <c r="G1741" t="n">
        <v>4151430</v>
      </c>
      <c r="H1741" t="inlineStr">
        <is>
          <t>TUB-S-AW-AUT-25.00X25.00X1.200X0.6400</t>
        </is>
      </c>
    </row>
    <row r="1742">
      <c r="A1742" t="inlineStr">
        <is>
          <t>0000188595</t>
        </is>
      </c>
      <c r="B1742" t="inlineStr">
        <is>
          <t>Sri Balaji Gears</t>
        </is>
      </c>
      <c r="C1742" t="inlineStr">
        <is>
          <t>NOS</t>
        </is>
      </c>
      <c r="D1742" t="n">
        <v>500</v>
      </c>
      <c r="E1742" t="n">
        <v>615.004</v>
      </c>
      <c r="F1742" t="n">
        <v>324.872</v>
      </c>
      <c r="G1742" t="n">
        <v>3929692</v>
      </c>
      <c r="H1742" t="inlineStr">
        <is>
          <t>CUT-O-N-AUT-AW-PE-19.05X1.200X1.2300</t>
        </is>
      </c>
    </row>
    <row r="1743">
      <c r="A1743" t="inlineStr">
        <is>
          <t>0000188595</t>
        </is>
      </c>
      <c r="B1743" t="inlineStr">
        <is>
          <t>Sri Balaji Gears</t>
        </is>
      </c>
      <c r="C1743" t="inlineStr">
        <is>
          <t>NOS</t>
        </is>
      </c>
      <c r="D1743" t="n">
        <v>3000</v>
      </c>
      <c r="E1743" t="n">
        <v>599.975</v>
      </c>
      <c r="F1743" t="n">
        <v>316.933</v>
      </c>
      <c r="G1743" t="n">
        <v>3929691</v>
      </c>
      <c r="H1743" t="inlineStr">
        <is>
          <t>CUT-O-N-AUT-AW-PE-19.05X1.200X0.2000</t>
        </is>
      </c>
    </row>
    <row r="1744">
      <c r="A1744" t="inlineStr">
        <is>
          <t>0000188595</t>
        </is>
      </c>
      <c r="B1744" t="inlineStr">
        <is>
          <t>Sri Balaji Gears</t>
        </is>
      </c>
      <c r="C1744" t="inlineStr">
        <is>
          <t>NOS</t>
        </is>
      </c>
      <c r="D1744" t="n">
        <v>1000</v>
      </c>
      <c r="E1744" t="n">
        <v>150</v>
      </c>
      <c r="F1744" t="n">
        <v>65.167</v>
      </c>
      <c r="G1744" t="n">
        <v>4104140</v>
      </c>
      <c r="H1744" t="inlineStr">
        <is>
          <t>TUB-O-N-AUT-AW-PE-15.88X1.220X0.1500</t>
        </is>
      </c>
    </row>
    <row r="1745">
      <c r="A1745" t="inlineStr">
        <is>
          <t>0000188595</t>
        </is>
      </c>
      <c r="B1745" t="inlineStr">
        <is>
          <t>Sri Balaji Gears</t>
        </is>
      </c>
      <c r="C1745" t="inlineStr">
        <is>
          <t>NOS</t>
        </is>
      </c>
      <c r="D1745" t="n">
        <v>2000</v>
      </c>
      <c r="E1745" t="n">
        <v>317.352</v>
      </c>
      <c r="F1745" t="n">
        <v>466</v>
      </c>
      <c r="G1745" t="n">
        <v>3572055</v>
      </c>
      <c r="H1745" t="inlineStr">
        <is>
          <t>TUB-S-AW-AUT-40.00X40.00X1.200X0.1580</t>
        </is>
      </c>
    </row>
    <row r="1746">
      <c r="A1746" t="inlineStr">
        <is>
          <t>0000188595</t>
        </is>
      </c>
      <c r="B1746" t="inlineStr">
        <is>
          <t>Sri Balaji Gears</t>
        </is>
      </c>
      <c r="C1746" t="inlineStr">
        <is>
          <t>NOS</t>
        </is>
      </c>
      <c r="D1746" t="n">
        <v>1000</v>
      </c>
      <c r="E1746" t="n">
        <v>115</v>
      </c>
      <c r="F1746" t="n">
        <v>168.867</v>
      </c>
      <c r="G1746" t="n">
        <v>4151471</v>
      </c>
      <c r="H1746" t="inlineStr">
        <is>
          <t>TUB-S-AW-SHS-40.00X40.00X1.200X0.1150</t>
        </is>
      </c>
    </row>
    <row r="1747">
      <c r="A1747" t="inlineStr">
        <is>
          <t>0000188595</t>
        </is>
      </c>
      <c r="B1747" t="inlineStr">
        <is>
          <t>Sri Balaji Gears</t>
        </is>
      </c>
      <c r="C1747" t="inlineStr">
        <is>
          <t>NOS</t>
        </is>
      </c>
      <c r="D1747" t="n">
        <v>1000</v>
      </c>
      <c r="E1747" t="n">
        <v>190</v>
      </c>
      <c r="F1747" t="n">
        <v>207.556</v>
      </c>
      <c r="G1747" t="n">
        <v>4151424</v>
      </c>
      <c r="H1747" t="inlineStr">
        <is>
          <t>TUB-S-AW-AUT-30.00X30.00X1.200X0.1900</t>
        </is>
      </c>
    </row>
    <row r="1748">
      <c r="A1748" t="inlineStr">
        <is>
          <t>0000188595</t>
        </is>
      </c>
      <c r="B1748" t="inlineStr">
        <is>
          <t>Sri Balaji Gears</t>
        </is>
      </c>
      <c r="C1748" t="inlineStr">
        <is>
          <t>NOS</t>
        </is>
      </c>
      <c r="D1748" t="n">
        <v>500</v>
      </c>
      <c r="E1748" t="n">
        <v>503.507</v>
      </c>
      <c r="F1748" t="n">
        <v>274.417</v>
      </c>
      <c r="G1748" t="n">
        <v>4100796</v>
      </c>
      <c r="H1748" t="inlineStr">
        <is>
          <t>CUT-R-AW-AUT-19.00X19.00X1.000X1.0070</t>
        </is>
      </c>
    </row>
    <row r="1749">
      <c r="A1749" t="inlineStr">
        <is>
          <t>0000188595</t>
        </is>
      </c>
      <c r="B1749" t="inlineStr">
        <is>
          <t>Sri Balaji Gears</t>
        </is>
      </c>
      <c r="C1749" t="inlineStr">
        <is>
          <t>NOS</t>
        </is>
      </c>
      <c r="D1749" t="n">
        <v>716</v>
      </c>
      <c r="E1749" t="n">
        <v>92.37</v>
      </c>
      <c r="F1749" t="n">
        <v>50.343</v>
      </c>
      <c r="G1749" t="n">
        <v>3938687</v>
      </c>
      <c r="H1749" t="inlineStr">
        <is>
          <t>TUB-S-AW-AUT-19.00X19.00X1.000X0.1290</t>
        </is>
      </c>
    </row>
    <row r="1750">
      <c r="A1750" t="inlineStr">
        <is>
          <t>0000188595</t>
        </is>
      </c>
      <c r="B1750" t="inlineStr">
        <is>
          <t>Sri Balaji Gears</t>
        </is>
      </c>
      <c r="C1750" t="inlineStr">
        <is>
          <t>NOS</t>
        </is>
      </c>
      <c r="D1750" t="n">
        <v>167</v>
      </c>
      <c r="E1750" t="n">
        <v>21.544</v>
      </c>
      <c r="F1750" t="n">
        <v>11.742</v>
      </c>
      <c r="G1750" t="n">
        <v>3938687</v>
      </c>
      <c r="H1750" t="inlineStr">
        <is>
          <t>TUB-S-AW-AUT-19.00X19.00X1.000X0.1290</t>
        </is>
      </c>
    </row>
    <row r="1751">
      <c r="A1751" t="inlineStr">
        <is>
          <t>0000188595</t>
        </is>
      </c>
      <c r="B1751" t="inlineStr">
        <is>
          <t>Sri Balaji Gears</t>
        </is>
      </c>
      <c r="C1751" t="inlineStr">
        <is>
          <t>NOS</t>
        </is>
      </c>
      <c r="D1751" t="n">
        <v>98</v>
      </c>
      <c r="E1751" t="n">
        <v>12.643</v>
      </c>
      <c r="F1751" t="n">
        <v>6.89</v>
      </c>
      <c r="G1751" t="n">
        <v>3938687</v>
      </c>
      <c r="H1751" t="inlineStr">
        <is>
          <t>TUB-S-AW-AUT-19.00X19.00X1.000X0.1290</t>
        </is>
      </c>
    </row>
    <row r="1752">
      <c r="A1752" t="inlineStr">
        <is>
          <t>0000188595</t>
        </is>
      </c>
      <c r="B1752" t="inlineStr">
        <is>
          <t>Sri Balaji Gears</t>
        </is>
      </c>
      <c r="C1752" t="inlineStr">
        <is>
          <t>NOS</t>
        </is>
      </c>
      <c r="D1752" t="n">
        <v>19</v>
      </c>
      <c r="E1752" t="n">
        <v>2.451</v>
      </c>
      <c r="F1752" t="n">
        <v>1.336</v>
      </c>
      <c r="G1752" t="n">
        <v>3938687</v>
      </c>
      <c r="H1752" t="inlineStr">
        <is>
          <t>TUB-S-AW-AUT-19.00X19.00X1.000X0.1290</t>
        </is>
      </c>
    </row>
    <row r="1753">
      <c r="A1753" t="inlineStr">
        <is>
          <t>0000188595</t>
        </is>
      </c>
      <c r="B1753" t="inlineStr">
        <is>
          <t>Sri Balaji Gears</t>
        </is>
      </c>
      <c r="C1753" t="inlineStr">
        <is>
          <t>NOS</t>
        </is>
      </c>
      <c r="D1753" t="n">
        <v>500</v>
      </c>
      <c r="E1753" t="n">
        <v>164.995</v>
      </c>
      <c r="F1753" t="n">
        <v>87.18300000000001</v>
      </c>
      <c r="G1753" t="n">
        <v>3935313</v>
      </c>
      <c r="H1753" t="inlineStr">
        <is>
          <t>CUT-O-N-AUT-AW-PE-19.05X1.200X0.33</t>
        </is>
      </c>
    </row>
    <row r="1754">
      <c r="A1754" t="inlineStr">
        <is>
          <t>0000943209</t>
        </is>
      </c>
      <c r="B1754" t="inlineStr">
        <is>
          <t>MEGH STEELS PRIVATE LIMITED - TVS A</t>
        </is>
      </c>
      <c r="C1754" t="inlineStr">
        <is>
          <t>KG</t>
        </is>
      </c>
      <c r="D1754" t="n">
        <v>80</v>
      </c>
      <c r="E1754" t="n">
        <v>457.337</v>
      </c>
      <c r="F1754" t="n">
        <v>1482</v>
      </c>
      <c r="G1754" t="n">
        <v>3907863</v>
      </c>
      <c r="H1754" t="inlineStr">
        <is>
          <t>TUB-O-N-AUT-AW-FC-57.15X2.500X5.7110</t>
        </is>
      </c>
    </row>
    <row r="1755">
      <c r="A1755" t="inlineStr">
        <is>
          <t>0000943209</t>
        </is>
      </c>
      <c r="B1755" t="inlineStr">
        <is>
          <t>MEGH STEELS PRIVATE LIMITED - TVS A</t>
        </is>
      </c>
      <c r="C1755" t="inlineStr">
        <is>
          <t>KG</t>
        </is>
      </c>
      <c r="D1755" t="n">
        <v>77</v>
      </c>
      <c r="E1755" t="n">
        <v>442.216</v>
      </c>
      <c r="F1755" t="n">
        <v>1433</v>
      </c>
      <c r="G1755" t="n">
        <v>3907863</v>
      </c>
      <c r="H1755" t="inlineStr">
        <is>
          <t>TUB-O-N-AUT-AW-FC-57.15X2.500X5.7110</t>
        </is>
      </c>
    </row>
    <row r="1756">
      <c r="A1756" t="inlineStr">
        <is>
          <t>0000943209</t>
        </is>
      </c>
      <c r="B1756" t="inlineStr">
        <is>
          <t>MEGH STEELS PRIVATE LIMITED - TVS A</t>
        </is>
      </c>
      <c r="C1756" t="inlineStr">
        <is>
          <t>KG</t>
        </is>
      </c>
      <c r="D1756" t="n">
        <v>77</v>
      </c>
      <c r="E1756" t="n">
        <v>439.747</v>
      </c>
      <c r="F1756" t="n">
        <v>1425</v>
      </c>
      <c r="G1756" t="n">
        <v>3907863</v>
      </c>
      <c r="H1756" t="inlineStr">
        <is>
          <t>TUB-O-N-AUT-AW-FC-57.15X2.500X5.7110</t>
        </is>
      </c>
    </row>
    <row r="1757">
      <c r="A1757" t="inlineStr">
        <is>
          <t>0000943209</t>
        </is>
      </c>
      <c r="B1757" t="inlineStr">
        <is>
          <t>MEGH STEELS PRIVATE LIMITED - TVS A</t>
        </is>
      </c>
      <c r="C1757" t="inlineStr">
        <is>
          <t>KG</t>
        </is>
      </c>
      <c r="D1757" t="n">
        <v>80</v>
      </c>
      <c r="E1757" t="n">
        <v>458.263</v>
      </c>
      <c r="F1757" t="n">
        <v>1485</v>
      </c>
      <c r="G1757" t="n">
        <v>3907863</v>
      </c>
      <c r="H1757" t="inlineStr">
        <is>
          <t>TUB-O-N-AUT-AW-FC-57.15X2.500X5.7110</t>
        </is>
      </c>
    </row>
    <row r="1758">
      <c r="A1758" t="inlineStr">
        <is>
          <t>0000943209</t>
        </is>
      </c>
      <c r="B1758" t="inlineStr">
        <is>
          <t>MEGH STEELS PRIVATE LIMITED - TVS A</t>
        </is>
      </c>
      <c r="C1758" t="inlineStr">
        <is>
          <t>KG</t>
        </is>
      </c>
      <c r="D1758" t="n">
        <v>91</v>
      </c>
      <c r="E1758" t="n">
        <v>518.439</v>
      </c>
      <c r="F1758" t="n">
        <v>1680</v>
      </c>
      <c r="G1758" t="n">
        <v>3907863</v>
      </c>
      <c r="H1758" t="inlineStr">
        <is>
          <t>TUB-O-N-AUT-AW-FC-57.15X2.500X5.7110</t>
        </is>
      </c>
    </row>
    <row r="1759">
      <c r="A1759" t="inlineStr">
        <is>
          <t>0000943209</t>
        </is>
      </c>
      <c r="B1759" t="inlineStr">
        <is>
          <t>MEGH STEELS PRIVATE LIMITED - TVS A</t>
        </is>
      </c>
      <c r="C1759" t="inlineStr">
        <is>
          <t>KG</t>
        </is>
      </c>
      <c r="D1759" t="n">
        <v>82</v>
      </c>
      <c r="E1759" t="n">
        <v>465.977</v>
      </c>
      <c r="F1759" t="n">
        <v>1510</v>
      </c>
      <c r="G1759" t="n">
        <v>3907863</v>
      </c>
      <c r="H1759" t="inlineStr">
        <is>
          <t>TUB-O-N-AUT-AW-FC-57.15X2.500X5.7110</t>
        </is>
      </c>
    </row>
    <row r="1760">
      <c r="A1760" t="inlineStr">
        <is>
          <t>0000943209</t>
        </is>
      </c>
      <c r="B1760" t="inlineStr">
        <is>
          <t>MEGH STEELS PRIVATE LIMITED - TVS A</t>
        </is>
      </c>
      <c r="C1760" t="inlineStr">
        <is>
          <t>KG</t>
        </is>
      </c>
      <c r="D1760" t="n">
        <v>76</v>
      </c>
      <c r="E1760" t="n">
        <v>431.723</v>
      </c>
      <c r="F1760" t="n">
        <v>1399</v>
      </c>
      <c r="G1760" t="n">
        <v>3907863</v>
      </c>
      <c r="H1760" t="inlineStr">
        <is>
          <t>TUB-O-N-AUT-AW-FC-57.15X2.500X5.7110</t>
        </is>
      </c>
    </row>
    <row r="1761">
      <c r="A1761" t="inlineStr">
        <is>
          <t>0000943209</t>
        </is>
      </c>
      <c r="B1761" t="inlineStr">
        <is>
          <t>MEGH STEELS PRIVATE LIMITED - TVS A</t>
        </is>
      </c>
      <c r="C1761" t="inlineStr">
        <is>
          <t>KG</t>
        </is>
      </c>
      <c r="D1761" t="n">
        <v>86</v>
      </c>
      <c r="E1761" t="n">
        <v>493.751</v>
      </c>
      <c r="F1761" t="n">
        <v>1600</v>
      </c>
      <c r="G1761" t="n">
        <v>3907863</v>
      </c>
      <c r="H1761" t="inlineStr">
        <is>
          <t>TUB-O-N-AUT-AW-FC-57.15X2.500X5.7110</t>
        </is>
      </c>
    </row>
    <row r="1762">
      <c r="A1762" t="inlineStr">
        <is>
          <t>0000943209</t>
        </is>
      </c>
      <c r="B1762" t="inlineStr">
        <is>
          <t>MEGH STEELS PRIVATE LIMITED - TVS A</t>
        </is>
      </c>
      <c r="C1762" t="inlineStr">
        <is>
          <t>KG</t>
        </is>
      </c>
      <c r="D1762" t="n">
        <v>78</v>
      </c>
      <c r="E1762" t="n">
        <v>447.462</v>
      </c>
      <c r="F1762" t="n">
        <v>1450</v>
      </c>
      <c r="G1762" t="n">
        <v>3907863</v>
      </c>
      <c r="H1762" t="inlineStr">
        <is>
          <t>TUB-O-N-AUT-AW-FC-57.15X2.500X5.7110</t>
        </is>
      </c>
    </row>
    <row r="1763">
      <c r="A1763" t="inlineStr">
        <is>
          <t>0000943209</t>
        </is>
      </c>
      <c r="B1763" t="inlineStr">
        <is>
          <t>MEGH STEELS PRIVATE LIMITED - TVS A</t>
        </is>
      </c>
      <c r="C1763" t="inlineStr">
        <is>
          <t>KG</t>
        </is>
      </c>
      <c r="D1763" t="n">
        <v>80</v>
      </c>
      <c r="E1763" t="n">
        <v>456.72</v>
      </c>
      <c r="F1763" t="n">
        <v>1480</v>
      </c>
      <c r="G1763" t="n">
        <v>3907863</v>
      </c>
      <c r="H1763" t="inlineStr">
        <is>
          <t>TUB-O-N-AUT-AW-FC-57.15X2.500X5.7110</t>
        </is>
      </c>
    </row>
    <row r="1764">
      <c r="A1764" t="inlineStr">
        <is>
          <t>0000943209</t>
        </is>
      </c>
      <c r="B1764" t="inlineStr">
        <is>
          <t>MEGH STEELS PRIVATE LIMITED - TVS A</t>
        </is>
      </c>
      <c r="C1764" t="inlineStr">
        <is>
          <t>KG</t>
        </is>
      </c>
      <c r="D1764" t="n">
        <v>81</v>
      </c>
      <c r="E1764" t="n">
        <v>462.892</v>
      </c>
      <c r="F1764" t="n">
        <v>1500</v>
      </c>
      <c r="G1764" t="n">
        <v>3907863</v>
      </c>
      <c r="H1764" t="inlineStr">
        <is>
          <t>TUB-O-N-AUT-AW-FC-57.15X2.500X5.7110</t>
        </is>
      </c>
    </row>
    <row r="1765">
      <c r="A1765" t="inlineStr">
        <is>
          <t>0000943209</t>
        </is>
      </c>
      <c r="B1765" t="inlineStr">
        <is>
          <t>MEGH STEELS PRIVATE LIMITED - TVS A</t>
        </is>
      </c>
      <c r="C1765" t="inlineStr">
        <is>
          <t>KG</t>
        </is>
      </c>
      <c r="D1765" t="n">
        <v>82</v>
      </c>
      <c r="E1765" t="n">
        <v>467.829</v>
      </c>
      <c r="F1765" t="n">
        <v>1516</v>
      </c>
      <c r="G1765" t="n">
        <v>3907863</v>
      </c>
      <c r="H1765" t="inlineStr">
        <is>
          <t>TUB-O-N-AUT-AW-FC-57.15X2.500X5.7110</t>
        </is>
      </c>
    </row>
    <row r="1766">
      <c r="A1766" t="inlineStr">
        <is>
          <t>0000943209</t>
        </is>
      </c>
      <c r="B1766" t="inlineStr">
        <is>
          <t>MEGH STEELS PRIVATE LIMITED - TVS A</t>
        </is>
      </c>
      <c r="C1766" t="inlineStr">
        <is>
          <t>KG</t>
        </is>
      </c>
      <c r="D1766" t="n">
        <v>76</v>
      </c>
      <c r="E1766" t="n">
        <v>433.575</v>
      </c>
      <c r="F1766" t="n">
        <v>1405</v>
      </c>
      <c r="G1766" t="n">
        <v>3907863</v>
      </c>
      <c r="H1766" t="inlineStr">
        <is>
          <t>TUB-O-N-AUT-AW-FC-57.15X2.500X5.7110</t>
        </is>
      </c>
    </row>
    <row r="1767">
      <c r="A1767" t="inlineStr">
        <is>
          <t>0000943209</t>
        </is>
      </c>
      <c r="B1767" t="inlineStr">
        <is>
          <t>MEGH STEELS PRIVATE LIMITED - TVS A</t>
        </is>
      </c>
      <c r="C1767" t="inlineStr">
        <is>
          <t>KG</t>
        </is>
      </c>
      <c r="D1767" t="n">
        <v>76</v>
      </c>
      <c r="E1767" t="n">
        <v>433.575</v>
      </c>
      <c r="F1767" t="n">
        <v>1405</v>
      </c>
      <c r="G1767" t="n">
        <v>3907863</v>
      </c>
      <c r="H1767" t="inlineStr">
        <is>
          <t>TUB-O-N-AUT-AW-FC-57.15X2.500X5.7110</t>
        </is>
      </c>
    </row>
    <row r="1768">
      <c r="A1768" t="inlineStr">
        <is>
          <t>0000943209</t>
        </is>
      </c>
      <c r="B1768" t="inlineStr">
        <is>
          <t>MEGH STEELS PRIVATE LIMITED - TVS A</t>
        </is>
      </c>
      <c r="C1768" t="inlineStr">
        <is>
          <t>KG</t>
        </is>
      </c>
      <c r="D1768" t="n">
        <v>81</v>
      </c>
      <c r="E1768" t="n">
        <v>462.892</v>
      </c>
      <c r="F1768" t="n">
        <v>1500</v>
      </c>
      <c r="G1768" t="n">
        <v>3907863</v>
      </c>
      <c r="H1768" t="inlineStr">
        <is>
          <t>TUB-O-N-AUT-AW-FC-57.15X2.500X5.7110</t>
        </is>
      </c>
    </row>
    <row r="1769">
      <c r="A1769" t="inlineStr">
        <is>
          <t>0000943209</t>
        </is>
      </c>
      <c r="B1769" t="inlineStr">
        <is>
          <t>MEGH STEELS PRIVATE LIMITED - TVS A</t>
        </is>
      </c>
      <c r="C1769" t="inlineStr">
        <is>
          <t>KG</t>
        </is>
      </c>
      <c r="D1769" t="n">
        <v>77</v>
      </c>
      <c r="E1769" t="n">
        <v>441.29</v>
      </c>
      <c r="F1769" t="n">
        <v>1430</v>
      </c>
      <c r="G1769" t="n">
        <v>3907863</v>
      </c>
      <c r="H1769" t="inlineStr">
        <is>
          <t>TUB-O-N-AUT-AW-FC-57.15X2.500X5.7110</t>
        </is>
      </c>
    </row>
    <row r="1770">
      <c r="A1770" t="inlineStr">
        <is>
          <t>0000948721</t>
        </is>
      </c>
      <c r="B1770" t="inlineStr">
        <is>
          <t>ELKAYEM AUTO ANCILLARIES PRIVATE LI</t>
        </is>
      </c>
      <c r="C1770" t="inlineStr">
        <is>
          <t>NOS</t>
        </is>
      </c>
      <c r="D1770" t="n">
        <v>1535</v>
      </c>
      <c r="E1770" t="n">
        <v>823.2670000000001</v>
      </c>
      <c r="F1770" t="n">
        <v>1289.4</v>
      </c>
      <c r="G1770" t="n">
        <v>1940822</v>
      </c>
      <c r="H1770" t="inlineStr">
        <is>
          <t>TUB-R-AW-RHS-40.00X25.00X1.600X0.5360</t>
        </is>
      </c>
    </row>
    <row r="1771">
      <c r="A1771" t="inlineStr">
        <is>
          <t>0000948721</t>
        </is>
      </c>
      <c r="B1771" t="inlineStr">
        <is>
          <t>ELKAYEM AUTO ANCILLARIES PRIVATE LI</t>
        </is>
      </c>
      <c r="C1771" t="inlineStr">
        <is>
          <t>NOS</t>
        </is>
      </c>
      <c r="D1771" t="n">
        <v>1023</v>
      </c>
      <c r="E1771" t="n">
        <v>548.6660000000001</v>
      </c>
      <c r="F1771" t="n">
        <v>859.3200000000001</v>
      </c>
      <c r="G1771" t="n">
        <v>1940822</v>
      </c>
      <c r="H1771" t="inlineStr">
        <is>
          <t>TUB-R-AW-RHS-40.00X25.00X1.600X0.5360</t>
        </is>
      </c>
    </row>
    <row r="1772">
      <c r="A1772" t="inlineStr">
        <is>
          <t>0000948721</t>
        </is>
      </c>
      <c r="B1772" t="inlineStr">
        <is>
          <t>ELKAYEM AUTO ANCILLARIES PRIVATE LI</t>
        </is>
      </c>
      <c r="C1772" t="inlineStr">
        <is>
          <t>NOS</t>
        </is>
      </c>
      <c r="D1772" t="n">
        <v>359</v>
      </c>
      <c r="E1772" t="n">
        <v>192.542</v>
      </c>
      <c r="F1772" t="n">
        <v>301.56</v>
      </c>
      <c r="G1772" t="n">
        <v>1940822</v>
      </c>
      <c r="H1772" t="inlineStr">
        <is>
          <t>TUB-R-AW-RHS-40.00X25.00X1.600X0.5360</t>
        </is>
      </c>
    </row>
    <row r="1773">
      <c r="A1773" t="inlineStr">
        <is>
          <t>0000948721</t>
        </is>
      </c>
      <c r="B1773" t="inlineStr">
        <is>
          <t>ELKAYEM AUTO ANCILLARIES PRIVATE LI</t>
        </is>
      </c>
      <c r="C1773" t="inlineStr">
        <is>
          <t>NOS</t>
        </is>
      </c>
      <c r="D1773" t="n">
        <v>2</v>
      </c>
      <c r="E1773" t="n">
        <v>1.073</v>
      </c>
      <c r="F1773" t="n">
        <v>1.68</v>
      </c>
      <c r="G1773" t="n">
        <v>1940822</v>
      </c>
      <c r="H1773" t="inlineStr">
        <is>
          <t>TUB-R-AW-RHS-40.00X25.00X1.600X0.5360</t>
        </is>
      </c>
    </row>
    <row r="1774">
      <c r="A1774" t="inlineStr">
        <is>
          <t>0000948721</t>
        </is>
      </c>
      <c r="B1774" t="inlineStr">
        <is>
          <t>ELKAYEM AUTO ANCILLARIES PRIVATE LI</t>
        </is>
      </c>
      <c r="C1774" t="inlineStr">
        <is>
          <t>NOS</t>
        </is>
      </c>
      <c r="D1774" t="n">
        <v>1</v>
      </c>
      <c r="E1774" t="n">
        <v>0.536</v>
      </c>
      <c r="F1774" t="n">
        <v>0.84</v>
      </c>
      <c r="G1774" t="n">
        <v>1940822</v>
      </c>
      <c r="H1774" t="inlineStr">
        <is>
          <t>TUB-R-AW-RHS-40.00X25.00X1.600X0.5360</t>
        </is>
      </c>
    </row>
    <row r="1775">
      <c r="A1775" t="inlineStr">
        <is>
          <t>0000948721</t>
        </is>
      </c>
      <c r="B1775" t="inlineStr">
        <is>
          <t>ELKAYEM AUTO ANCILLARIES PRIVATE LI</t>
        </is>
      </c>
      <c r="C1775" t="inlineStr">
        <is>
          <t>NOS</t>
        </is>
      </c>
      <c r="D1775" t="n">
        <v>2794</v>
      </c>
      <c r="E1775" t="n">
        <v>414.652</v>
      </c>
      <c r="F1775" t="n">
        <v>827.024</v>
      </c>
      <c r="G1775" t="n">
        <v>4098592</v>
      </c>
      <c r="H1775" t="inlineStr">
        <is>
          <t>TUB-R-AW-AUT-40.00X30.00X2.000X0.1480</t>
        </is>
      </c>
    </row>
    <row r="1776">
      <c r="A1776" t="inlineStr">
        <is>
          <t>0000948721</t>
        </is>
      </c>
      <c r="B1776" t="inlineStr">
        <is>
          <t>ELKAYEM AUTO ANCILLARIES PRIVATE LI</t>
        </is>
      </c>
      <c r="C1776" t="inlineStr">
        <is>
          <t>NOS</t>
        </is>
      </c>
      <c r="D1776" t="n">
        <v>642</v>
      </c>
      <c r="E1776" t="n">
        <v>95.27800000000001</v>
      </c>
      <c r="F1776" t="n">
        <v>190.032</v>
      </c>
      <c r="G1776" t="n">
        <v>4098592</v>
      </c>
      <c r="H1776" t="inlineStr">
        <is>
          <t>TUB-R-AW-AUT-40.00X30.00X2.000X0.1480</t>
        </is>
      </c>
    </row>
    <row r="1777">
      <c r="A1777" t="inlineStr">
        <is>
          <t>0000948721</t>
        </is>
      </c>
      <c r="B1777" t="inlineStr">
        <is>
          <t>ELKAYEM AUTO ANCILLARIES PRIVATE LI</t>
        </is>
      </c>
      <c r="C1777" t="inlineStr">
        <is>
          <t>NOS</t>
        </is>
      </c>
      <c r="D1777" t="n">
        <v>56</v>
      </c>
      <c r="E1777" t="n">
        <v>8.311</v>
      </c>
      <c r="F1777" t="n">
        <v>16.576</v>
      </c>
      <c r="G1777" t="n">
        <v>4098592</v>
      </c>
      <c r="H1777" t="inlineStr">
        <is>
          <t>TUB-R-AW-AUT-40.00X30.00X2.000X0.1480</t>
        </is>
      </c>
    </row>
    <row r="1778">
      <c r="A1778" t="inlineStr">
        <is>
          <t>0000948721</t>
        </is>
      </c>
      <c r="B1778" t="inlineStr">
        <is>
          <t>ELKAYEM AUTO ANCILLARIES PRIVATE LI</t>
        </is>
      </c>
      <c r="C1778" t="inlineStr">
        <is>
          <t>NOS</t>
        </is>
      </c>
      <c r="D1778" t="n">
        <v>8</v>
      </c>
      <c r="E1778" t="n">
        <v>1.187</v>
      </c>
      <c r="F1778" t="n">
        <v>2.368</v>
      </c>
      <c r="G1778" t="n">
        <v>4098592</v>
      </c>
      <c r="H1778" t="inlineStr">
        <is>
          <t>TUB-R-AW-AUT-40.00X30.00X2.000X0.1480</t>
        </is>
      </c>
    </row>
    <row r="1779">
      <c r="A1779" t="inlineStr">
        <is>
          <t>0000948721</t>
        </is>
      </c>
      <c r="B1779" t="inlineStr">
        <is>
          <t>ELKAYEM AUTO ANCILLARIES PRIVATE LI</t>
        </is>
      </c>
      <c r="C1779" t="inlineStr">
        <is>
          <t>NOS</t>
        </is>
      </c>
      <c r="D1779" t="n">
        <v>2696</v>
      </c>
      <c r="E1779" t="n">
        <v>1382.255</v>
      </c>
      <c r="F1779" t="n">
        <v>2164.888</v>
      </c>
      <c r="G1779" t="n">
        <v>1940821</v>
      </c>
      <c r="H1779" t="inlineStr">
        <is>
          <t>TUB-R-AW-RHS-40.00X25.00X1.600X0.5130</t>
        </is>
      </c>
    </row>
    <row r="1780">
      <c r="A1780" t="inlineStr">
        <is>
          <t>0000948721</t>
        </is>
      </c>
      <c r="B1780" t="inlineStr">
        <is>
          <t>ELKAYEM AUTO ANCILLARIES PRIVATE LI</t>
        </is>
      </c>
      <c r="C1780" t="inlineStr">
        <is>
          <t>NOS</t>
        </is>
      </c>
      <c r="D1780" t="n">
        <v>1296</v>
      </c>
      <c r="E1780" t="n">
        <v>664.467</v>
      </c>
      <c r="F1780" t="n">
        <v>1040.688</v>
      </c>
      <c r="G1780" t="n">
        <v>1940821</v>
      </c>
      <c r="H1780" t="inlineStr">
        <is>
          <t>TUB-R-AW-RHS-40.00X25.00X1.600X0.5130</t>
        </is>
      </c>
    </row>
    <row r="1781">
      <c r="A1781" t="inlineStr">
        <is>
          <t>0000948721</t>
        </is>
      </c>
      <c r="B1781" t="inlineStr">
        <is>
          <t>ELKAYEM AUTO ANCILLARIES PRIVATE LI</t>
        </is>
      </c>
      <c r="C1781" t="inlineStr">
        <is>
          <t>NOS</t>
        </is>
      </c>
      <c r="D1781" t="n">
        <v>6</v>
      </c>
      <c r="E1781" t="n">
        <v>3.076</v>
      </c>
      <c r="F1781" t="n">
        <v>4.818</v>
      </c>
      <c r="G1781" t="n">
        <v>1940821</v>
      </c>
      <c r="H1781" t="inlineStr">
        <is>
          <t>TUB-R-AW-RHS-40.00X25.00X1.600X0.5130</t>
        </is>
      </c>
    </row>
    <row r="1782">
      <c r="A1782" t="inlineStr">
        <is>
          <t>0000948721</t>
        </is>
      </c>
      <c r="B1782" t="inlineStr">
        <is>
          <t>ELKAYEM AUTO ANCILLARIES PRIVATE LI</t>
        </is>
      </c>
      <c r="C1782" t="inlineStr">
        <is>
          <t>NOS</t>
        </is>
      </c>
      <c r="D1782" t="n">
        <v>2</v>
      </c>
      <c r="E1782" t="n">
        <v>1.025</v>
      </c>
      <c r="F1782" t="n">
        <v>1.606</v>
      </c>
      <c r="G1782" t="n">
        <v>1940821</v>
      </c>
      <c r="H1782" t="inlineStr">
        <is>
          <t>TUB-R-AW-RHS-40.00X25.00X1.600X0.5130</t>
        </is>
      </c>
    </row>
    <row r="1783">
      <c r="A1783" t="inlineStr">
        <is>
          <t>0000952265</t>
        </is>
      </c>
      <c r="B1783" t="inlineStr">
        <is>
          <t>A R AUTOMOTIVE INDUSTRIES PRIVATE L</t>
        </is>
      </c>
      <c r="C1783" t="inlineStr">
        <is>
          <t>NOS</t>
        </is>
      </c>
      <c r="D1783" t="n">
        <v>100</v>
      </c>
      <c r="E1783" t="n">
        <v>61.041</v>
      </c>
      <c r="F1783" t="n">
        <v>40</v>
      </c>
      <c r="G1783" t="n">
        <v>1940109</v>
      </c>
      <c r="H1783" t="inlineStr">
        <is>
          <t>TUB-O-O-AUT-AW-PE-15.88X2.000X0.6100</t>
        </is>
      </c>
    </row>
    <row r="1784">
      <c r="A1784" t="inlineStr">
        <is>
          <t>0000952265</t>
        </is>
      </c>
      <c r="B1784" t="inlineStr">
        <is>
          <t>A R AUTOMOTIVE INDUSTRIES PRIVATE L</t>
        </is>
      </c>
      <c r="C1784" t="inlineStr">
        <is>
          <t>NOS</t>
        </is>
      </c>
      <c r="D1784" t="n">
        <v>1100</v>
      </c>
      <c r="E1784" t="n">
        <v>374.03</v>
      </c>
      <c r="F1784" t="n">
        <v>163.9</v>
      </c>
      <c r="G1784" t="n">
        <v>2276261</v>
      </c>
      <c r="H1784" t="inlineStr">
        <is>
          <t>TUB-O-N-AUT-AW-PE-12.70X1.600X0.3380</t>
        </is>
      </c>
    </row>
    <row r="1785">
      <c r="A1785" t="inlineStr">
        <is>
          <t>0000952265</t>
        </is>
      </c>
      <c r="B1785" t="inlineStr">
        <is>
          <t>A R AUTOMOTIVE INDUSTRIES PRIVATE L</t>
        </is>
      </c>
      <c r="C1785" t="inlineStr">
        <is>
          <t>NOS</t>
        </is>
      </c>
      <c r="D1785" t="n">
        <v>2294</v>
      </c>
      <c r="E1785" t="n">
        <v>1344.264</v>
      </c>
      <c r="F1785" t="n">
        <v>880.896</v>
      </c>
      <c r="G1785" t="n">
        <v>3696704</v>
      </c>
      <c r="H1785" t="inlineStr">
        <is>
          <t>TUB-O-N-AUT-AW-PE-15.88X2.000X0.5850</t>
        </is>
      </c>
    </row>
    <row r="1786">
      <c r="A1786" t="inlineStr">
        <is>
          <t>0000952265</t>
        </is>
      </c>
      <c r="B1786" t="inlineStr">
        <is>
          <t>A R AUTOMOTIVE INDUSTRIES PRIVATE L</t>
        </is>
      </c>
      <c r="C1786" t="inlineStr">
        <is>
          <t>NOS</t>
        </is>
      </c>
      <c r="D1786" t="n">
        <v>1419</v>
      </c>
      <c r="E1786" t="n">
        <v>831.521</v>
      </c>
      <c r="F1786" t="n">
        <v>544.896</v>
      </c>
      <c r="G1786" t="n">
        <v>3696704</v>
      </c>
      <c r="H1786" t="inlineStr">
        <is>
          <t>TUB-O-N-AUT-AW-PE-15.88X2.000X0.5850</t>
        </is>
      </c>
    </row>
    <row r="1787">
      <c r="A1787" t="inlineStr">
        <is>
          <t>0000952265</t>
        </is>
      </c>
      <c r="B1787" t="inlineStr">
        <is>
          <t>A R AUTOMOTIVE INDUSTRIES PRIVATE L</t>
        </is>
      </c>
      <c r="C1787" t="inlineStr">
        <is>
          <t>NOS</t>
        </is>
      </c>
      <c r="D1787" t="n">
        <v>802</v>
      </c>
      <c r="E1787" t="n">
        <v>469.965</v>
      </c>
      <c r="F1787" t="n">
        <v>307.968</v>
      </c>
      <c r="G1787" t="n">
        <v>3696704</v>
      </c>
      <c r="H1787" t="inlineStr">
        <is>
          <t>TUB-O-N-AUT-AW-PE-15.88X2.000X0.5850</t>
        </is>
      </c>
    </row>
    <row r="1788">
      <c r="A1788" t="inlineStr">
        <is>
          <t>0000952265</t>
        </is>
      </c>
      <c r="B1788" t="inlineStr">
        <is>
          <t>A R AUTOMOTIVE INDUSTRIES PRIVATE L</t>
        </is>
      </c>
      <c r="C1788" t="inlineStr">
        <is>
          <t>NOS</t>
        </is>
      </c>
      <c r="D1788" t="n">
        <v>335</v>
      </c>
      <c r="E1788" t="n">
        <v>196.307</v>
      </c>
      <c r="F1788" t="n">
        <v>128.64</v>
      </c>
      <c r="G1788" t="n">
        <v>3696704</v>
      </c>
      <c r="H1788" t="inlineStr">
        <is>
          <t>TUB-O-N-AUT-AW-PE-15.88X2.000X0.5850</t>
        </is>
      </c>
    </row>
    <row r="1789">
      <c r="A1789" t="inlineStr">
        <is>
          <t>0000952265</t>
        </is>
      </c>
      <c r="B1789" t="inlineStr">
        <is>
          <t>A R AUTOMOTIVE INDUSTRIES PRIVATE L</t>
        </is>
      </c>
      <c r="C1789" t="inlineStr">
        <is>
          <t>NOS</t>
        </is>
      </c>
      <c r="D1789" t="n">
        <v>3761</v>
      </c>
      <c r="E1789" t="n">
        <v>1859.551</v>
      </c>
      <c r="F1789" t="n">
        <v>1218.564</v>
      </c>
      <c r="G1789" t="n">
        <v>3436935</v>
      </c>
      <c r="H1789" t="inlineStr">
        <is>
          <t>TUB-O-N-AUT-AW-PE-15.88X2.000X0.4930</t>
        </is>
      </c>
    </row>
    <row r="1790">
      <c r="A1790" t="inlineStr">
        <is>
          <t>0000952265</t>
        </is>
      </c>
      <c r="B1790" t="inlineStr">
        <is>
          <t>A R AUTOMOTIVE INDUSTRIES PRIVATE L</t>
        </is>
      </c>
      <c r="C1790" t="inlineStr">
        <is>
          <t>NOS</t>
        </is>
      </c>
      <c r="D1790" t="n">
        <v>780</v>
      </c>
      <c r="E1790" t="n">
        <v>385.655</v>
      </c>
      <c r="F1790" t="n">
        <v>252.72</v>
      </c>
      <c r="G1790" t="n">
        <v>3436935</v>
      </c>
      <c r="H1790" t="inlineStr">
        <is>
          <t>TUB-O-N-AUT-AW-PE-15.88X2.000X0.4930</t>
        </is>
      </c>
    </row>
    <row r="1791">
      <c r="A1791" t="inlineStr">
        <is>
          <t>0000952265</t>
        </is>
      </c>
      <c r="B1791" t="inlineStr">
        <is>
          <t>A R AUTOMOTIVE INDUSTRIES PRIVATE L</t>
        </is>
      </c>
      <c r="C1791" t="inlineStr">
        <is>
          <t>NOS</t>
        </is>
      </c>
      <c r="D1791" t="n">
        <v>459</v>
      </c>
      <c r="E1791" t="n">
        <v>226.943</v>
      </c>
      <c r="F1791" t="n">
        <v>148.716</v>
      </c>
      <c r="G1791" t="n">
        <v>3436935</v>
      </c>
      <c r="H1791" t="inlineStr">
        <is>
          <t>TUB-O-N-AUT-AW-PE-15.88X2.000X0.4930</t>
        </is>
      </c>
    </row>
    <row r="1792">
      <c r="A1792" t="inlineStr">
        <is>
          <t>0000952265</t>
        </is>
      </c>
      <c r="B1792" t="inlineStr">
        <is>
          <t>A R AUTOMOTIVE INDUSTRIES PRIVATE L</t>
        </is>
      </c>
      <c r="C1792" t="inlineStr">
        <is>
          <t>NOS</t>
        </is>
      </c>
      <c r="D1792" t="n">
        <v>1954</v>
      </c>
      <c r="E1792" t="n">
        <v>992.953</v>
      </c>
      <c r="F1792" t="n">
        <v>650.682</v>
      </c>
      <c r="G1792" t="n">
        <v>3442449</v>
      </c>
      <c r="H1792" t="inlineStr">
        <is>
          <t>TUB-O-N-AUT-AW-PE-15.88X2.000X0.5070</t>
        </is>
      </c>
    </row>
    <row r="1793">
      <c r="A1793" t="inlineStr">
        <is>
          <t>0000952265</t>
        </is>
      </c>
      <c r="B1793" t="inlineStr">
        <is>
          <t>A R AUTOMOTIVE INDUSTRIES PRIVATE L</t>
        </is>
      </c>
      <c r="C1793" t="inlineStr">
        <is>
          <t>NOS</t>
        </is>
      </c>
      <c r="D1793" t="n">
        <v>1699</v>
      </c>
      <c r="E1793" t="n">
        <v>863.371</v>
      </c>
      <c r="F1793" t="n">
        <v>565.7670000000001</v>
      </c>
      <c r="G1793" t="n">
        <v>3442449</v>
      </c>
      <c r="H1793" t="inlineStr">
        <is>
          <t>TUB-O-N-AUT-AW-PE-15.88X2.000X0.5070</t>
        </is>
      </c>
    </row>
    <row r="1794">
      <c r="A1794" t="inlineStr">
        <is>
          <t>0000952265</t>
        </is>
      </c>
      <c r="B1794" t="inlineStr">
        <is>
          <t>A R AUTOMOTIVE INDUSTRIES PRIVATE L</t>
        </is>
      </c>
      <c r="C1794" t="inlineStr">
        <is>
          <t>NOS</t>
        </is>
      </c>
      <c r="D1794" t="n">
        <v>204</v>
      </c>
      <c r="E1794" t="n">
        <v>103.665</v>
      </c>
      <c r="F1794" t="n">
        <v>67.932</v>
      </c>
      <c r="G1794" t="n">
        <v>3442449</v>
      </c>
      <c r="H1794" t="inlineStr">
        <is>
          <t>TUB-O-N-AUT-AW-PE-15.88X2.000X0.5070</t>
        </is>
      </c>
    </row>
    <row r="1795">
      <c r="A1795" t="inlineStr">
        <is>
          <t>0000952265</t>
        </is>
      </c>
      <c r="B1795" t="inlineStr">
        <is>
          <t>A R AUTOMOTIVE INDUSTRIES PRIVATE L</t>
        </is>
      </c>
      <c r="C1795" t="inlineStr">
        <is>
          <t>NOS</t>
        </is>
      </c>
      <c r="D1795" t="n">
        <v>43</v>
      </c>
      <c r="E1795" t="n">
        <v>21.851</v>
      </c>
      <c r="F1795" t="n">
        <v>14.319</v>
      </c>
      <c r="G1795" t="n">
        <v>3442449</v>
      </c>
      <c r="H1795" t="inlineStr">
        <is>
          <t>TUB-O-N-AUT-AW-PE-15.88X2.000X0.5070</t>
        </is>
      </c>
    </row>
    <row r="1796">
      <c r="A1796" t="inlineStr">
        <is>
          <t>0000952265</t>
        </is>
      </c>
      <c r="B1796" t="inlineStr">
        <is>
          <t>A R AUTOMOTIVE INDUSTRIES PRIVATE L</t>
        </is>
      </c>
      <c r="C1796" t="inlineStr">
        <is>
          <t>NOS</t>
        </is>
      </c>
      <c r="D1796" t="n">
        <v>5993</v>
      </c>
      <c r="E1796" t="n">
        <v>4198.656</v>
      </c>
      <c r="F1796" t="n">
        <v>1839.851</v>
      </c>
      <c r="G1796" t="n">
        <v>2319114</v>
      </c>
      <c r="H1796" t="inlineStr">
        <is>
          <t>TUB-O-N-AUT-AW-PE-12.70X1.600X0.7000</t>
        </is>
      </c>
    </row>
    <row r="1797">
      <c r="A1797" t="inlineStr">
        <is>
          <t>0000952265</t>
        </is>
      </c>
      <c r="B1797" t="inlineStr">
        <is>
          <t>A R AUTOMOTIVE INDUSTRIES PRIVATE L</t>
        </is>
      </c>
      <c r="C1797" t="inlineStr">
        <is>
          <t>NOS</t>
        </is>
      </c>
      <c r="D1797" t="n">
        <v>2697</v>
      </c>
      <c r="E1797" t="n">
        <v>1889.5</v>
      </c>
      <c r="F1797" t="n">
        <v>827.979</v>
      </c>
      <c r="G1797" t="n">
        <v>2319114</v>
      </c>
      <c r="H1797" t="inlineStr">
        <is>
          <t>TUB-O-N-AUT-AW-PE-12.70X1.600X0.7000</t>
        </is>
      </c>
    </row>
    <row r="1798">
      <c r="A1798" t="inlineStr">
        <is>
          <t>0000952265</t>
        </is>
      </c>
      <c r="B1798" t="inlineStr">
        <is>
          <t>A R AUTOMOTIVE INDUSTRIES PRIVATE L</t>
        </is>
      </c>
      <c r="C1798" t="inlineStr">
        <is>
          <t>NOS</t>
        </is>
      </c>
      <c r="D1798" t="n">
        <v>60</v>
      </c>
      <c r="E1798" t="n">
        <v>42.036</v>
      </c>
      <c r="F1798" t="n">
        <v>18.42</v>
      </c>
      <c r="G1798" t="n">
        <v>2319114</v>
      </c>
      <c r="H1798" t="inlineStr">
        <is>
          <t>TUB-O-N-AUT-AW-PE-12.70X1.600X0.7000</t>
        </is>
      </c>
    </row>
    <row r="1799">
      <c r="A1799" t="inlineStr">
        <is>
          <t>0000952265</t>
        </is>
      </c>
      <c r="B1799" t="inlineStr">
        <is>
          <t>A R AUTOMOTIVE INDUSTRIES PRIVATE L</t>
        </is>
      </c>
      <c r="C1799" t="inlineStr">
        <is>
          <t>NOS</t>
        </is>
      </c>
      <c r="D1799" t="n">
        <v>3500</v>
      </c>
      <c r="E1799" t="n">
        <v>1751.869</v>
      </c>
      <c r="F1799" t="n">
        <v>1148</v>
      </c>
      <c r="G1799" t="n">
        <v>3442448</v>
      </c>
      <c r="H1799" t="inlineStr">
        <is>
          <t>TUB-O-N-AUT-AW-PE-15.88X2.000X0.5000</t>
        </is>
      </c>
    </row>
    <row r="1800">
      <c r="A1800" t="inlineStr">
        <is>
          <t>0000952265</t>
        </is>
      </c>
      <c r="B1800" t="inlineStr">
        <is>
          <t>A R AUTOMOTIVE INDUSTRIES PRIVATE L</t>
        </is>
      </c>
      <c r="C1800" t="inlineStr">
        <is>
          <t>NOS</t>
        </is>
      </c>
      <c r="D1800" t="n">
        <v>950</v>
      </c>
      <c r="E1800" t="n">
        <v>523.348</v>
      </c>
      <c r="F1800" t="n">
        <v>342.95</v>
      </c>
      <c r="G1800" t="n">
        <v>1940104</v>
      </c>
      <c r="H1800" t="inlineStr">
        <is>
          <t>TUB-O-N-AUT-AW-PE-15.88X2.000X0.5500</t>
        </is>
      </c>
    </row>
    <row r="1801">
      <c r="A1801" t="inlineStr">
        <is>
          <t>0000952265</t>
        </is>
      </c>
      <c r="B1801" t="inlineStr">
        <is>
          <t>A R AUTOMOTIVE INDUSTRIES PRIVATE L</t>
        </is>
      </c>
      <c r="C1801" t="inlineStr">
        <is>
          <t>NOS</t>
        </is>
      </c>
      <c r="D1801" t="n">
        <v>400</v>
      </c>
      <c r="E1801" t="n">
        <v>220.357</v>
      </c>
      <c r="F1801" t="n">
        <v>144.4</v>
      </c>
      <c r="G1801" t="n">
        <v>1940104</v>
      </c>
      <c r="H1801" t="inlineStr">
        <is>
          <t>TUB-O-N-AUT-AW-PE-15.88X2.000X0.5500</t>
        </is>
      </c>
    </row>
    <row r="1802">
      <c r="A1802" t="inlineStr">
        <is>
          <t>0000952265</t>
        </is>
      </c>
      <c r="B1802" t="inlineStr">
        <is>
          <t>A R AUTOMOTIVE INDUSTRIES PRIVATE L</t>
        </is>
      </c>
      <c r="C1802" t="inlineStr">
        <is>
          <t>NOS</t>
        </is>
      </c>
      <c r="D1802" t="n">
        <v>800</v>
      </c>
      <c r="E1802" t="n">
        <v>524.002</v>
      </c>
      <c r="F1802" t="n">
        <v>229.618</v>
      </c>
      <c r="G1802" t="n">
        <v>4167418</v>
      </c>
      <c r="H1802" t="inlineStr">
        <is>
          <t>CUT-O-N-AUT-AW-PE-12.70X1.600X0.6550</t>
        </is>
      </c>
    </row>
    <row r="1803">
      <c r="A1803" t="inlineStr">
        <is>
          <t>0000952265</t>
        </is>
      </c>
      <c r="B1803" t="inlineStr">
        <is>
          <t>A R AUTOMOTIVE INDUSTRIES PRIVATE L</t>
        </is>
      </c>
      <c r="C1803" t="inlineStr">
        <is>
          <t>NOS</t>
        </is>
      </c>
      <c r="D1803" t="n">
        <v>600</v>
      </c>
      <c r="E1803" t="n">
        <v>555.003</v>
      </c>
      <c r="F1803" t="n">
        <v>243.147</v>
      </c>
      <c r="G1803" t="n">
        <v>3517740</v>
      </c>
      <c r="H1803" t="inlineStr">
        <is>
          <t>CUT-O-N-AUT-AW-PE-12.70X1.600X0.9250</t>
        </is>
      </c>
    </row>
    <row r="1804">
      <c r="A1804" t="inlineStr">
        <is>
          <t>0000952265</t>
        </is>
      </c>
      <c r="B1804" t="inlineStr">
        <is>
          <t>A R AUTOMOTIVE INDUSTRIES PRIVATE L</t>
        </is>
      </c>
      <c r="C1804" t="inlineStr">
        <is>
          <t>NOS</t>
        </is>
      </c>
      <c r="D1804" t="n">
        <v>400</v>
      </c>
      <c r="E1804" t="n">
        <v>113.997</v>
      </c>
      <c r="F1804" t="n">
        <v>48.587</v>
      </c>
      <c r="G1804" t="n">
        <v>4269800</v>
      </c>
      <c r="H1804" t="inlineStr">
        <is>
          <t>TUB-O-N-AUT-AW-PE-12.70X1.600X0.2850</t>
        </is>
      </c>
    </row>
    <row r="1805">
      <c r="A1805" t="inlineStr">
        <is>
          <t>0000952265</t>
        </is>
      </c>
      <c r="B1805" t="inlineStr">
        <is>
          <t>A R AUTOMOTIVE INDUSTRIES PRIVATE L</t>
        </is>
      </c>
      <c r="C1805" t="inlineStr">
        <is>
          <t>NOS</t>
        </is>
      </c>
      <c r="D1805" t="n">
        <v>400</v>
      </c>
      <c r="E1805" t="n">
        <v>58.434</v>
      </c>
      <c r="F1805" t="n">
        <v>25.6</v>
      </c>
      <c r="G1805" t="n">
        <v>1939991</v>
      </c>
      <c r="H1805" t="inlineStr">
        <is>
          <t>TUB-O-O-AUT-AW-PE-12.70X1.600X0.1450</t>
        </is>
      </c>
    </row>
    <row r="1806">
      <c r="A1806" t="inlineStr">
        <is>
          <t>0000189270</t>
        </is>
      </c>
      <c r="B1806" t="inlineStr">
        <is>
          <t>Indo Autotech Limited (Unit V)</t>
        </is>
      </c>
      <c r="C1806" t="inlineStr">
        <is>
          <t>NOS</t>
        </is>
      </c>
      <c r="D1806" t="n">
        <v>2891</v>
      </c>
      <c r="E1806" t="n">
        <v>2195.55</v>
      </c>
      <c r="F1806" t="n">
        <v>2191.378</v>
      </c>
      <c r="G1806" t="n">
        <v>2244444</v>
      </c>
      <c r="H1806" t="inlineStr">
        <is>
          <t>TUB-O-N-AUT-AW-PE-22.23X2.000X0.7600</t>
        </is>
      </c>
    </row>
    <row r="1807">
      <c r="A1807" t="inlineStr">
        <is>
          <t>0000189270</t>
        </is>
      </c>
      <c r="B1807" t="inlineStr">
        <is>
          <t>Indo Autotech Limited (Unit V)</t>
        </is>
      </c>
      <c r="C1807" t="inlineStr">
        <is>
          <t>NOS</t>
        </is>
      </c>
      <c r="D1807" t="n">
        <v>1175</v>
      </c>
      <c r="E1807" t="n">
        <v>892.345</v>
      </c>
      <c r="F1807" t="n">
        <v>890.65</v>
      </c>
      <c r="G1807" t="n">
        <v>2244444</v>
      </c>
      <c r="H1807" t="inlineStr">
        <is>
          <t>TUB-O-N-AUT-AW-PE-22.23X2.000X0.7600</t>
        </is>
      </c>
    </row>
    <row r="1808">
      <c r="A1808" t="inlineStr">
        <is>
          <t>0000189270</t>
        </is>
      </c>
      <c r="B1808" t="inlineStr">
        <is>
          <t>Indo Autotech Limited (Unit V)</t>
        </is>
      </c>
      <c r="C1808" t="inlineStr">
        <is>
          <t>NOS</t>
        </is>
      </c>
      <c r="D1808" t="n">
        <v>834</v>
      </c>
      <c r="E1808" t="n">
        <v>633.375</v>
      </c>
      <c r="F1808" t="n">
        <v>632.172</v>
      </c>
      <c r="G1808" t="n">
        <v>2244444</v>
      </c>
      <c r="H1808" t="inlineStr">
        <is>
          <t>TUB-O-N-AUT-AW-PE-22.23X2.000X0.7600</t>
        </is>
      </c>
    </row>
    <row r="1809">
      <c r="A1809" t="inlineStr">
        <is>
          <t>0000189270</t>
        </is>
      </c>
      <c r="B1809" t="inlineStr">
        <is>
          <t>Indo Autotech Limited (Unit V)</t>
        </is>
      </c>
      <c r="C1809" t="inlineStr">
        <is>
          <t>NOS</t>
        </is>
      </c>
      <c r="D1809" t="n">
        <v>850</v>
      </c>
      <c r="E1809" t="n">
        <v>247.275</v>
      </c>
      <c r="F1809" t="n">
        <v>732.7</v>
      </c>
      <c r="G1809" t="n">
        <v>1940857</v>
      </c>
      <c r="H1809" t="inlineStr">
        <is>
          <t>TUB-O-O-AUT-AW-CH-41.28X3.150X0.2910</t>
        </is>
      </c>
    </row>
    <row r="1810">
      <c r="A1810" t="inlineStr">
        <is>
          <t>0000189270</t>
        </is>
      </c>
      <c r="B1810" t="inlineStr">
        <is>
          <t>Indo Autotech Limited (Unit V)</t>
        </is>
      </c>
      <c r="C1810" t="inlineStr">
        <is>
          <t>NOS</t>
        </is>
      </c>
      <c r="D1810" t="n">
        <v>860</v>
      </c>
      <c r="E1810" t="n">
        <v>250.184</v>
      </c>
      <c r="F1810" t="n">
        <v>741.3200000000001</v>
      </c>
      <c r="G1810" t="n">
        <v>1940857</v>
      </c>
      <c r="H1810" t="inlineStr">
        <is>
          <t>TUB-O-O-AUT-AW-CH-41.28X3.150X0.2910</t>
        </is>
      </c>
    </row>
    <row r="1811">
      <c r="A1811" t="inlineStr">
        <is>
          <t>0000189270</t>
        </is>
      </c>
      <c r="B1811" t="inlineStr">
        <is>
          <t>Indo Autotech Limited (Unit V)</t>
        </is>
      </c>
      <c r="C1811" t="inlineStr">
        <is>
          <t>NOS</t>
        </is>
      </c>
      <c r="D1811" t="n">
        <v>270</v>
      </c>
      <c r="E1811" t="n">
        <v>78.54600000000001</v>
      </c>
      <c r="F1811" t="n">
        <v>232.74</v>
      </c>
      <c r="G1811" t="n">
        <v>1940857</v>
      </c>
      <c r="H1811" t="inlineStr">
        <is>
          <t>TUB-O-O-AUT-AW-CH-41.28X3.150X0.2910</t>
        </is>
      </c>
    </row>
    <row r="1812">
      <c r="A1812" t="inlineStr">
        <is>
          <t>0000189270</t>
        </is>
      </c>
      <c r="B1812" t="inlineStr">
        <is>
          <t>Indo Autotech Limited (Unit V)</t>
        </is>
      </c>
      <c r="C1812" t="inlineStr">
        <is>
          <t>NOS</t>
        </is>
      </c>
      <c r="D1812" t="n">
        <v>270</v>
      </c>
      <c r="E1812" t="n">
        <v>78.54600000000001</v>
      </c>
      <c r="F1812" t="n">
        <v>232.74</v>
      </c>
      <c r="G1812" t="n">
        <v>1940857</v>
      </c>
      <c r="H1812" t="inlineStr">
        <is>
          <t>TUB-O-O-AUT-AW-CH-41.28X3.150X0.2910</t>
        </is>
      </c>
    </row>
    <row r="1813">
      <c r="A1813" t="inlineStr">
        <is>
          <t>0000189270</t>
        </is>
      </c>
      <c r="B1813" t="inlineStr">
        <is>
          <t>Indo Autotech Limited (Unit V)</t>
        </is>
      </c>
      <c r="C1813" t="inlineStr">
        <is>
          <t>NOS</t>
        </is>
      </c>
      <c r="D1813" t="n">
        <v>5</v>
      </c>
      <c r="E1813" t="n">
        <v>1.455</v>
      </c>
      <c r="F1813" t="n">
        <v>4.31</v>
      </c>
      <c r="G1813" t="n">
        <v>1940857</v>
      </c>
      <c r="H1813" t="inlineStr">
        <is>
          <t>TUB-O-O-AUT-AW-CH-41.28X3.150X0.2910</t>
        </is>
      </c>
    </row>
    <row r="1814">
      <c r="A1814" t="inlineStr">
        <is>
          <t>0000189270</t>
        </is>
      </c>
      <c r="B1814" t="inlineStr">
        <is>
          <t>Indo Autotech Limited (Unit V)</t>
        </is>
      </c>
      <c r="C1814" t="inlineStr">
        <is>
          <t>NOS</t>
        </is>
      </c>
      <c r="D1814" t="n">
        <v>4</v>
      </c>
      <c r="E1814" t="n">
        <v>1.164</v>
      </c>
      <c r="F1814" t="n">
        <v>3.448</v>
      </c>
      <c r="G1814" t="n">
        <v>1940857</v>
      </c>
      <c r="H1814" t="inlineStr">
        <is>
          <t>TUB-O-O-AUT-AW-CH-41.28X3.150X0.2910</t>
        </is>
      </c>
    </row>
    <row r="1815">
      <c r="A1815" t="inlineStr">
        <is>
          <t>0000189270</t>
        </is>
      </c>
      <c r="B1815" t="inlineStr">
        <is>
          <t>Indo Autotech Limited (Unit V)</t>
        </is>
      </c>
      <c r="C1815" t="inlineStr">
        <is>
          <t>NOS</t>
        </is>
      </c>
      <c r="D1815" t="n">
        <v>1</v>
      </c>
      <c r="E1815" t="n">
        <v>0.291</v>
      </c>
      <c r="F1815" t="n">
        <v>0.862</v>
      </c>
      <c r="G1815" t="n">
        <v>1940857</v>
      </c>
      <c r="H1815" t="inlineStr">
        <is>
          <t>TUB-O-O-AUT-AW-CH-41.28X3.150X0.2910</t>
        </is>
      </c>
    </row>
    <row r="1816">
      <c r="A1816" t="inlineStr">
        <is>
          <t>0000189270</t>
        </is>
      </c>
      <c r="B1816" t="inlineStr">
        <is>
          <t>Indo Autotech Limited (Unit V)</t>
        </is>
      </c>
      <c r="C1816" t="inlineStr">
        <is>
          <t>NOS</t>
        </is>
      </c>
      <c r="D1816" t="n">
        <v>9093</v>
      </c>
      <c r="E1816" t="n">
        <v>4967.162</v>
      </c>
      <c r="F1816" t="n">
        <v>7156.191</v>
      </c>
      <c r="G1816" t="n">
        <v>1940817</v>
      </c>
      <c r="H1816" t="inlineStr">
        <is>
          <t>TUB-R-AW-RHS-40.00X20.00X1.600X0.5460</t>
        </is>
      </c>
    </row>
    <row r="1817">
      <c r="A1817" t="inlineStr">
        <is>
          <t>0000189270</t>
        </is>
      </c>
      <c r="B1817" t="inlineStr">
        <is>
          <t>Indo Autotech Limited (Unit V)</t>
        </is>
      </c>
      <c r="C1817" t="inlineStr">
        <is>
          <t>NOS</t>
        </is>
      </c>
      <c r="D1817" t="n">
        <v>2907</v>
      </c>
      <c r="E1817" t="n">
        <v>1587.984</v>
      </c>
      <c r="F1817" t="n">
        <v>2287.809</v>
      </c>
      <c r="G1817" t="n">
        <v>1940817</v>
      </c>
      <c r="H1817" t="inlineStr">
        <is>
          <t>TUB-R-AW-RHS-40.00X20.00X1.600X0.5460</t>
        </is>
      </c>
    </row>
    <row r="1818">
      <c r="A1818" t="inlineStr">
        <is>
          <t>0000944141</t>
        </is>
      </c>
      <c r="B1818" t="inlineStr">
        <is>
          <t>SRIKAM HITECH ENGINEERING PRIVATE L</t>
        </is>
      </c>
      <c r="C1818" t="inlineStr">
        <is>
          <t>NOS</t>
        </is>
      </c>
      <c r="D1818" t="n">
        <v>2596</v>
      </c>
      <c r="E1818" t="n">
        <v>675.5170000000001</v>
      </c>
      <c r="F1818" t="n">
        <v>295.944</v>
      </c>
      <c r="G1818" t="n">
        <v>1932848</v>
      </c>
      <c r="H1818" t="inlineStr">
        <is>
          <t>TUB-O-N-AUT-AW-PE-12.70X1.600X0.2600</t>
        </is>
      </c>
    </row>
    <row r="1819">
      <c r="A1819" t="inlineStr">
        <is>
          <t>0000944141</t>
        </is>
      </c>
      <c r="B1819" t="inlineStr">
        <is>
          <t>SRIKAM HITECH ENGINEERING PRIVATE L</t>
        </is>
      </c>
      <c r="C1819" t="inlineStr">
        <is>
          <t>NOS</t>
        </is>
      </c>
      <c r="D1819" t="n">
        <v>2105</v>
      </c>
      <c r="E1819" t="n">
        <v>547.752</v>
      </c>
      <c r="F1819" t="n">
        <v>239.97</v>
      </c>
      <c r="G1819" t="n">
        <v>1932848</v>
      </c>
      <c r="H1819" t="inlineStr">
        <is>
          <t>TUB-O-N-AUT-AW-PE-12.70X1.600X0.2600</t>
        </is>
      </c>
    </row>
    <row r="1820">
      <c r="A1820" t="inlineStr">
        <is>
          <t>0000944141</t>
        </is>
      </c>
      <c r="B1820" t="inlineStr">
        <is>
          <t>SRIKAM HITECH ENGINEERING PRIVATE L</t>
        </is>
      </c>
      <c r="C1820" t="inlineStr">
        <is>
          <t>NOS</t>
        </is>
      </c>
      <c r="D1820" t="n">
        <v>299</v>
      </c>
      <c r="E1820" t="n">
        <v>77.804</v>
      </c>
      <c r="F1820" t="n">
        <v>34.086</v>
      </c>
      <c r="G1820" t="n">
        <v>1932848</v>
      </c>
      <c r="H1820" t="inlineStr">
        <is>
          <t>TUB-O-N-AUT-AW-PE-12.70X1.600X0.2600</t>
        </is>
      </c>
    </row>
    <row r="1821">
      <c r="A1821" t="inlineStr">
        <is>
          <t>0000944141</t>
        </is>
      </c>
      <c r="B1821" t="inlineStr">
        <is>
          <t>SRIKAM HITECH ENGINEERING PRIVATE L</t>
        </is>
      </c>
      <c r="C1821" t="inlineStr">
        <is>
          <t>NOS</t>
        </is>
      </c>
      <c r="D1821" t="n">
        <v>2558</v>
      </c>
      <c r="E1821" t="n">
        <v>3423.649</v>
      </c>
      <c r="F1821" t="n">
        <v>2788.22</v>
      </c>
      <c r="G1821" t="n">
        <v>2349249</v>
      </c>
      <c r="H1821" t="inlineStr">
        <is>
          <t>TUB-O-N-AUT-AW--22.23X1.600X1.3380</t>
        </is>
      </c>
    </row>
    <row r="1822">
      <c r="A1822" t="inlineStr">
        <is>
          <t>0000944141</t>
        </is>
      </c>
      <c r="B1822" t="inlineStr">
        <is>
          <t>SRIKAM HITECH ENGINEERING PRIVATE L</t>
        </is>
      </c>
      <c r="C1822" t="inlineStr">
        <is>
          <t>NOS</t>
        </is>
      </c>
      <c r="D1822" t="n">
        <v>1649</v>
      </c>
      <c r="E1822" t="n">
        <v>2207.036</v>
      </c>
      <c r="F1822" t="n">
        <v>1797.41</v>
      </c>
      <c r="G1822" t="n">
        <v>2349249</v>
      </c>
      <c r="H1822" t="inlineStr">
        <is>
          <t>TUB-O-N-AUT-AW--22.23X1.600X1.3380</t>
        </is>
      </c>
    </row>
    <row r="1823">
      <c r="A1823" t="inlineStr">
        <is>
          <t>0000944141</t>
        </is>
      </c>
      <c r="B1823" t="inlineStr">
        <is>
          <t>SRIKAM HITECH ENGINEERING PRIVATE L</t>
        </is>
      </c>
      <c r="C1823" t="inlineStr">
        <is>
          <t>NOS</t>
        </is>
      </c>
      <c r="D1823" t="n">
        <v>43</v>
      </c>
      <c r="E1823" t="n">
        <v>57.552</v>
      </c>
      <c r="F1823" t="n">
        <v>46.87</v>
      </c>
      <c r="G1823" t="n">
        <v>2349249</v>
      </c>
      <c r="H1823" t="inlineStr">
        <is>
          <t>TUB-O-N-AUT-AW--22.23X1.600X1.3380</t>
        </is>
      </c>
    </row>
    <row r="1824">
      <c r="A1824" t="inlineStr">
        <is>
          <t>0000944141</t>
        </is>
      </c>
      <c r="B1824" t="inlineStr">
        <is>
          <t>SRIKAM HITECH ENGINEERING PRIVATE L</t>
        </is>
      </c>
      <c r="C1824" t="inlineStr">
        <is>
          <t>NOS</t>
        </is>
      </c>
      <c r="D1824" t="n">
        <v>6399</v>
      </c>
      <c r="E1824" t="n">
        <v>1798.148</v>
      </c>
      <c r="F1824" t="n">
        <v>2027.772</v>
      </c>
      <c r="G1824" t="n">
        <v>1940584</v>
      </c>
      <c r="H1824" t="inlineStr">
        <is>
          <t>TUB-O-O-AUT-AW-FC-25.40X2.000X0.2810</t>
        </is>
      </c>
    </row>
    <row r="1825">
      <c r="A1825" t="inlineStr">
        <is>
          <t>0000944141</t>
        </is>
      </c>
      <c r="B1825" t="inlineStr">
        <is>
          <t>SRIKAM HITECH ENGINEERING PRIVATE L</t>
        </is>
      </c>
      <c r="C1825" t="inlineStr">
        <is>
          <t>NOS</t>
        </is>
      </c>
      <c r="D1825" t="n">
        <v>1022</v>
      </c>
      <c r="E1825" t="n">
        <v>287.187</v>
      </c>
      <c r="F1825" t="n">
        <v>323.86</v>
      </c>
      <c r="G1825" t="n">
        <v>1940584</v>
      </c>
      <c r="H1825" t="inlineStr">
        <is>
          <t>TUB-O-O-AUT-AW-FC-25.40X2.000X0.2810</t>
        </is>
      </c>
    </row>
    <row r="1826">
      <c r="A1826" t="inlineStr">
        <is>
          <t>0000944141</t>
        </is>
      </c>
      <c r="B1826" t="inlineStr">
        <is>
          <t>SRIKAM HITECH ENGINEERING PRIVATE L</t>
        </is>
      </c>
      <c r="C1826" t="inlineStr">
        <is>
          <t>NOS</t>
        </is>
      </c>
      <c r="D1826" t="n">
        <v>729</v>
      </c>
      <c r="E1826" t="n">
        <v>204.852</v>
      </c>
      <c r="F1826" t="n">
        <v>231.012</v>
      </c>
      <c r="G1826" t="n">
        <v>1940584</v>
      </c>
      <c r="H1826" t="inlineStr">
        <is>
          <t>TUB-O-O-AUT-AW-FC-25.40X2.000X0.2810</t>
        </is>
      </c>
    </row>
    <row r="1827">
      <c r="A1827" t="inlineStr">
        <is>
          <t>0000944141</t>
        </is>
      </c>
      <c r="B1827" t="inlineStr">
        <is>
          <t>SRIKAM HITECH ENGINEERING PRIVATE L</t>
        </is>
      </c>
      <c r="C1827" t="inlineStr">
        <is>
          <t>NOS</t>
        </is>
      </c>
      <c r="D1827" t="n">
        <v>13162</v>
      </c>
      <c r="E1827" t="n">
        <v>3695.334</v>
      </c>
      <c r="F1827" t="n">
        <v>1618.926</v>
      </c>
      <c r="G1827" t="n">
        <v>1939994</v>
      </c>
      <c r="H1827" t="inlineStr">
        <is>
          <t>TUB-O-O-AUT-AW-PE-12.70X1.600X0.2800</t>
        </is>
      </c>
    </row>
    <row r="1828">
      <c r="A1828" t="inlineStr">
        <is>
          <t>0000944141</t>
        </is>
      </c>
      <c r="B1828" t="inlineStr">
        <is>
          <t>SRIKAM HITECH ENGINEERING PRIVATE L</t>
        </is>
      </c>
      <c r="C1828" t="inlineStr">
        <is>
          <t>NOS</t>
        </is>
      </c>
      <c r="D1828" t="n">
        <v>5886</v>
      </c>
      <c r="E1828" t="n">
        <v>1652.541</v>
      </c>
      <c r="F1828" t="n">
        <v>723.978</v>
      </c>
      <c r="G1828" t="n">
        <v>1939994</v>
      </c>
      <c r="H1828" t="inlineStr">
        <is>
          <t>TUB-O-O-AUT-AW-PE-12.70X1.600X0.2800</t>
        </is>
      </c>
    </row>
    <row r="1829">
      <c r="A1829" t="inlineStr">
        <is>
          <t>0000944141</t>
        </is>
      </c>
      <c r="B1829" t="inlineStr">
        <is>
          <t>SRIKAM HITECH ENGINEERING PRIVATE L</t>
        </is>
      </c>
      <c r="C1829" t="inlineStr">
        <is>
          <t>NOS</t>
        </is>
      </c>
      <c r="D1829" t="n">
        <v>1495</v>
      </c>
      <c r="E1829" t="n">
        <v>419.733</v>
      </c>
      <c r="F1829" t="n">
        <v>183.885</v>
      </c>
      <c r="G1829" t="n">
        <v>1939994</v>
      </c>
      <c r="H1829" t="inlineStr">
        <is>
          <t>TUB-O-O-AUT-AW-PE-12.70X1.600X0.2800</t>
        </is>
      </c>
    </row>
    <row r="1830">
      <c r="A1830" t="inlineStr">
        <is>
          <t>0000944141</t>
        </is>
      </c>
      <c r="B1830" t="inlineStr">
        <is>
          <t>SRIKAM HITECH ENGINEERING PRIVATE L</t>
        </is>
      </c>
      <c r="C1830" t="inlineStr">
        <is>
          <t>NOS</t>
        </is>
      </c>
      <c r="D1830" t="n">
        <v>1157</v>
      </c>
      <c r="E1830" t="n">
        <v>324.837</v>
      </c>
      <c r="F1830" t="n">
        <v>142.311</v>
      </c>
      <c r="G1830" t="n">
        <v>1939994</v>
      </c>
      <c r="H1830" t="inlineStr">
        <is>
          <t>TUB-O-O-AUT-AW-PE-12.70X1.600X0.2800</t>
        </is>
      </c>
    </row>
    <row r="1831">
      <c r="A1831" t="inlineStr">
        <is>
          <t>0000949971</t>
        </is>
      </c>
      <c r="B1831" t="inlineStr">
        <is>
          <t>SANDHAR ENGINEERING PVTLTD (KA)UIII</t>
        </is>
      </c>
      <c r="C1831" t="inlineStr">
        <is>
          <t>NOS</t>
        </is>
      </c>
      <c r="D1831" t="n">
        <v>240</v>
      </c>
      <c r="E1831" t="n">
        <v>223.144</v>
      </c>
      <c r="F1831" t="n">
        <v>222.72</v>
      </c>
      <c r="G1831" t="n">
        <v>1940479</v>
      </c>
      <c r="H1831" t="inlineStr">
        <is>
          <t>TUB-O-O-AUT-AW-PE-22.23X2.00X0.930-MAHS</t>
        </is>
      </c>
    </row>
    <row r="1832">
      <c r="A1832" t="inlineStr">
        <is>
          <t>0000949971</t>
        </is>
      </c>
      <c r="B1832" t="inlineStr">
        <is>
          <t>SANDHAR ENGINEERING PVTLTD (KA)UIII</t>
        </is>
      </c>
      <c r="C1832" t="inlineStr">
        <is>
          <t>NOS</t>
        </is>
      </c>
      <c r="D1832" t="n">
        <v>1975</v>
      </c>
      <c r="E1832" t="n">
        <v>1836.289</v>
      </c>
      <c r="F1832" t="n">
        <v>1832.8</v>
      </c>
      <c r="G1832" t="n">
        <v>1940479</v>
      </c>
      <c r="H1832" t="inlineStr">
        <is>
          <t>TUB-O-O-AUT-AW-PE-22.23X2.00X0.930-MAHS</t>
        </is>
      </c>
    </row>
    <row r="1833">
      <c r="A1833" t="inlineStr">
        <is>
          <t>0000949971</t>
        </is>
      </c>
      <c r="B1833" t="inlineStr">
        <is>
          <t>SANDHAR ENGINEERING PVTLTD (KA)UIII</t>
        </is>
      </c>
      <c r="C1833" t="inlineStr">
        <is>
          <t>NOS</t>
        </is>
      </c>
      <c r="D1833" t="n">
        <v>801</v>
      </c>
      <c r="E1833" t="n">
        <v>744.7430000000001</v>
      </c>
      <c r="F1833" t="n">
        <v>743.328</v>
      </c>
      <c r="G1833" t="n">
        <v>1940479</v>
      </c>
      <c r="H1833" t="inlineStr">
        <is>
          <t>TUB-O-O-AUT-AW-PE-22.23X2.00X0.930-MAHS</t>
        </is>
      </c>
    </row>
    <row r="1834">
      <c r="A1834" t="inlineStr">
        <is>
          <t>0000949971</t>
        </is>
      </c>
      <c r="B1834" t="inlineStr">
        <is>
          <t>SANDHAR ENGINEERING PVTLTD (KA)UIII</t>
        </is>
      </c>
      <c r="C1834" t="inlineStr">
        <is>
          <t>NOS</t>
        </is>
      </c>
      <c r="D1834" t="n">
        <v>669</v>
      </c>
      <c r="E1834" t="n">
        <v>622.014</v>
      </c>
      <c r="F1834" t="n">
        <v>620.832</v>
      </c>
      <c r="G1834" t="n">
        <v>1940479</v>
      </c>
      <c r="H1834" t="inlineStr">
        <is>
          <t>TUB-O-O-AUT-AW-PE-22.23X2.00X0.930-MAHS</t>
        </is>
      </c>
    </row>
    <row r="1835">
      <c r="A1835" t="inlineStr">
        <is>
          <t>0000949971</t>
        </is>
      </c>
      <c r="B1835" t="inlineStr">
        <is>
          <t>SANDHAR ENGINEERING PVTLTD (KA)UIII</t>
        </is>
      </c>
      <c r="C1835" t="inlineStr">
        <is>
          <t>NOS</t>
        </is>
      </c>
      <c r="D1835" t="n">
        <v>15</v>
      </c>
      <c r="E1835" t="n">
        <v>13.946</v>
      </c>
      <c r="F1835" t="n">
        <v>13.92</v>
      </c>
      <c r="G1835" t="n">
        <v>1940479</v>
      </c>
      <c r="H1835" t="inlineStr">
        <is>
          <t>TUB-O-O-AUT-AW-PE-22.23X2.00X0.930-MAHS</t>
        </is>
      </c>
    </row>
    <row r="1836">
      <c r="A1836" t="inlineStr">
        <is>
          <t>0000949971</t>
        </is>
      </c>
      <c r="B1836" t="inlineStr">
        <is>
          <t>SANDHAR ENGINEERING PVTLTD (KA)UIII</t>
        </is>
      </c>
      <c r="C1836" t="inlineStr">
        <is>
          <t>NOS</t>
        </is>
      </c>
      <c r="D1836" t="n">
        <v>2420</v>
      </c>
      <c r="E1836" t="n">
        <v>2032.829</v>
      </c>
      <c r="F1836" t="n">
        <v>2029.17</v>
      </c>
      <c r="G1836" t="n">
        <v>3943202</v>
      </c>
      <c r="H1836" t="inlineStr">
        <is>
          <t>CUT-O-N-AUT-AW-FC-22.23X2.000X0.8400</t>
        </is>
      </c>
    </row>
    <row r="1837">
      <c r="A1837" t="inlineStr">
        <is>
          <t>0000949971</t>
        </is>
      </c>
      <c r="B1837" t="inlineStr">
        <is>
          <t>SANDHAR ENGINEERING PVTLTD (KA)UIII</t>
        </is>
      </c>
      <c r="C1837" t="inlineStr">
        <is>
          <t>NOS</t>
        </is>
      </c>
      <c r="D1837" t="n">
        <v>5</v>
      </c>
      <c r="E1837" t="n">
        <v>4.2</v>
      </c>
      <c r="F1837" t="n">
        <v>4.192</v>
      </c>
      <c r="G1837" t="n">
        <v>3943202</v>
      </c>
      <c r="H1837" t="inlineStr">
        <is>
          <t>CUT-O-N-AUT-AW-FC-22.23X2.000X0.8400</t>
        </is>
      </c>
    </row>
    <row r="1838">
      <c r="A1838" t="inlineStr">
        <is>
          <t>0000189239</t>
        </is>
      </c>
      <c r="B1838" t="inlineStr">
        <is>
          <t>Rajsriya Automotive Ind. Pvt Ltd</t>
        </is>
      </c>
      <c r="C1838" t="inlineStr">
        <is>
          <t>NOS</t>
        </is>
      </c>
      <c r="D1838" t="n">
        <v>1368</v>
      </c>
      <c r="E1838" t="n">
        <v>549.35</v>
      </c>
      <c r="F1838" t="n">
        <v>447.336</v>
      </c>
      <c r="G1838" t="n">
        <v>1940399</v>
      </c>
      <c r="H1838" t="inlineStr">
        <is>
          <t>TUB-O-O-AUT-AW-PE-22.23X1.600X0.4010</t>
        </is>
      </c>
    </row>
    <row r="1839">
      <c r="A1839" t="inlineStr">
        <is>
          <t>0000189239</t>
        </is>
      </c>
      <c r="B1839" t="inlineStr">
        <is>
          <t>Rajsriya Automotive Ind. Pvt Ltd</t>
        </is>
      </c>
      <c r="C1839" t="inlineStr">
        <is>
          <t>NOS</t>
        </is>
      </c>
      <c r="D1839" t="n">
        <v>81</v>
      </c>
      <c r="E1839" t="n">
        <v>32.527</v>
      </c>
      <c r="F1839" t="n">
        <v>26.487</v>
      </c>
      <c r="G1839" t="n">
        <v>1940399</v>
      </c>
      <c r="H1839" t="inlineStr">
        <is>
          <t>TUB-O-O-AUT-AW-PE-22.23X1.600X0.4010</t>
        </is>
      </c>
    </row>
    <row r="1840">
      <c r="A1840" t="inlineStr">
        <is>
          <t>0000189239</t>
        </is>
      </c>
      <c r="B1840" t="inlineStr">
        <is>
          <t>Rajsriya Automotive Ind. Pvt Ltd</t>
        </is>
      </c>
      <c r="C1840" t="inlineStr">
        <is>
          <t>NOS</t>
        </is>
      </c>
      <c r="D1840" t="n">
        <v>51</v>
      </c>
      <c r="E1840" t="n">
        <v>20.48</v>
      </c>
      <c r="F1840" t="n">
        <v>16.677</v>
      </c>
      <c r="G1840" t="n">
        <v>1940399</v>
      </c>
      <c r="H1840" t="inlineStr">
        <is>
          <t>TUB-O-O-AUT-AW-PE-22.23X1.600X0.4010</t>
        </is>
      </c>
    </row>
    <row r="1841">
      <c r="A1841" t="inlineStr">
        <is>
          <t>0000189239</t>
        </is>
      </c>
      <c r="B1841" t="inlineStr">
        <is>
          <t>Rajsriya Automotive Ind. Pvt Ltd</t>
        </is>
      </c>
      <c r="C1841" t="inlineStr">
        <is>
          <t>NOS</t>
        </is>
      </c>
      <c r="D1841" t="n">
        <v>2340</v>
      </c>
      <c r="E1841" t="n">
        <v>3101.403</v>
      </c>
      <c r="F1841" t="n">
        <v>3095.82</v>
      </c>
      <c r="G1841" t="n">
        <v>2420106</v>
      </c>
      <c r="H1841" t="inlineStr">
        <is>
          <t>TUB-O-N-AUT-AW-PE-22.23X2.000X1.3250</t>
        </is>
      </c>
    </row>
    <row r="1842">
      <c r="A1842" t="inlineStr">
        <is>
          <t>0000943211</t>
        </is>
      </c>
      <c r="B1842" t="inlineStr">
        <is>
          <t>MEGH STEELS PRIVATE LIMITED - RE</t>
        </is>
      </c>
      <c r="C1842" t="inlineStr">
        <is>
          <t>KG</t>
        </is>
      </c>
      <c r="D1842" t="n">
        <v>61</v>
      </c>
      <c r="E1842" t="n">
        <v>363.256</v>
      </c>
      <c r="F1842" t="n">
        <v>607</v>
      </c>
      <c r="G1842" t="n">
        <v>1940684</v>
      </c>
      <c r="H1842" t="inlineStr">
        <is>
          <t>TUB-O-O-AUT-AW-FC-31.75X2.300X6.0000</t>
        </is>
      </c>
    </row>
    <row r="1843">
      <c r="A1843" t="inlineStr">
        <is>
          <t>0000943211</t>
        </is>
      </c>
      <c r="B1843" t="inlineStr">
        <is>
          <t>MEGH STEELS PRIVATE LIMITED - RE</t>
        </is>
      </c>
      <c r="C1843" t="inlineStr">
        <is>
          <t>KG</t>
        </is>
      </c>
      <c r="D1843" t="n">
        <v>156</v>
      </c>
      <c r="E1843" t="n">
        <v>936.5650000000001</v>
      </c>
      <c r="F1843" t="n">
        <v>1565</v>
      </c>
      <c r="G1843" t="n">
        <v>1940684</v>
      </c>
      <c r="H1843" t="inlineStr">
        <is>
          <t>TUB-O-O-AUT-AW-FC-31.75X2.300X6.0000</t>
        </is>
      </c>
    </row>
    <row r="1844">
      <c r="A1844" t="inlineStr">
        <is>
          <t>0000943211</t>
        </is>
      </c>
      <c r="B1844" t="inlineStr">
        <is>
          <t>MEGH STEELS PRIVATE LIMITED - RE</t>
        </is>
      </c>
      <c r="C1844" t="inlineStr">
        <is>
          <t>KG</t>
        </is>
      </c>
      <c r="D1844" t="n">
        <v>11</v>
      </c>
      <c r="E1844" t="n">
        <v>65.82899999999999</v>
      </c>
      <c r="F1844" t="n">
        <v>110</v>
      </c>
      <c r="G1844" t="n">
        <v>1940684</v>
      </c>
      <c r="H1844" t="inlineStr">
        <is>
          <t>TUB-O-O-AUT-AW-FC-31.75X2.300X6.0000</t>
        </is>
      </c>
    </row>
    <row r="1845">
      <c r="A1845" t="inlineStr">
        <is>
          <t>0000943211</t>
        </is>
      </c>
      <c r="B1845" t="inlineStr">
        <is>
          <t>MEGH STEELS PRIVATE LIMITED - RE</t>
        </is>
      </c>
      <c r="C1845" t="inlineStr">
        <is>
          <t>KG</t>
        </is>
      </c>
      <c r="D1845" t="n">
        <v>160</v>
      </c>
      <c r="E1845" t="n">
        <v>957.51</v>
      </c>
      <c r="F1845" t="n">
        <v>1600</v>
      </c>
      <c r="G1845" t="n">
        <v>1940684</v>
      </c>
      <c r="H1845" t="inlineStr">
        <is>
          <t>TUB-O-O-AUT-AW-FC-31.75X2.300X6.0000</t>
        </is>
      </c>
    </row>
    <row r="1846">
      <c r="A1846" t="inlineStr">
        <is>
          <t>0000943211</t>
        </is>
      </c>
      <c r="B1846" t="inlineStr">
        <is>
          <t>MEGH STEELS PRIVATE LIMITED - RE</t>
        </is>
      </c>
      <c r="C1846" t="inlineStr">
        <is>
          <t>KG</t>
        </is>
      </c>
      <c r="D1846" t="n">
        <v>75</v>
      </c>
      <c r="E1846" t="n">
        <v>447.636</v>
      </c>
      <c r="F1846" t="n">
        <v>748</v>
      </c>
      <c r="G1846" t="n">
        <v>1940684</v>
      </c>
      <c r="H1846" t="inlineStr">
        <is>
          <t>TUB-O-O-AUT-AW-FC-31.75X2.300X6.0000</t>
        </is>
      </c>
    </row>
    <row r="1847">
      <c r="A1847" t="inlineStr">
        <is>
          <t>0000189002</t>
        </is>
      </c>
      <c r="B1847" t="inlineStr">
        <is>
          <t>Marathwada Auto Compo Pvt. Ltd.</t>
        </is>
      </c>
      <c r="C1847" t="inlineStr">
        <is>
          <t>NOS</t>
        </is>
      </c>
      <c r="D1847" t="n">
        <v>1249</v>
      </c>
      <c r="E1847" t="n">
        <v>1636.675</v>
      </c>
      <c r="F1847" t="n">
        <v>1802.307</v>
      </c>
      <c r="G1847" t="n">
        <v>1940801</v>
      </c>
      <c r="H1847" t="inlineStr">
        <is>
          <t>TUB-R-AW-RHS-40.00X20.00X1.210X1.3100</t>
        </is>
      </c>
    </row>
    <row r="1848">
      <c r="A1848" t="inlineStr">
        <is>
          <t>0000189002</t>
        </is>
      </c>
      <c r="B1848" t="inlineStr">
        <is>
          <t>Marathwada Auto Compo Pvt. Ltd.</t>
        </is>
      </c>
      <c r="C1848" t="inlineStr">
        <is>
          <t>NOS</t>
        </is>
      </c>
      <c r="D1848" t="n">
        <v>251</v>
      </c>
      <c r="E1848" t="n">
        <v>328.908</v>
      </c>
      <c r="F1848" t="n">
        <v>362.193</v>
      </c>
      <c r="G1848" t="n">
        <v>1940801</v>
      </c>
      <c r="H1848" t="inlineStr">
        <is>
          <t>TUB-R-AW-RHS-40.00X20.00X1.210X1.3100</t>
        </is>
      </c>
    </row>
    <row r="1849">
      <c r="A1849" t="inlineStr">
        <is>
          <t>0000189002</t>
        </is>
      </c>
      <c r="B1849" t="inlineStr">
        <is>
          <t>Marathwada Auto Compo Pvt. Ltd.</t>
        </is>
      </c>
      <c r="C1849" t="inlineStr">
        <is>
          <t>NOS</t>
        </is>
      </c>
      <c r="D1849" t="n">
        <v>500</v>
      </c>
      <c r="E1849" t="n">
        <v>623.4109999999999</v>
      </c>
      <c r="F1849" t="n">
        <v>686.5</v>
      </c>
      <c r="G1849" t="n">
        <v>3233554</v>
      </c>
      <c r="H1849" t="inlineStr">
        <is>
          <t>TUB-R-AW-AUT-40.00X20.00X1.210X1.2460</t>
        </is>
      </c>
    </row>
    <row r="1850">
      <c r="A1850" t="inlineStr">
        <is>
          <t>0000189002</t>
        </is>
      </c>
      <c r="B1850" t="inlineStr">
        <is>
          <t>Marathwada Auto Compo Pvt. Ltd.</t>
        </is>
      </c>
      <c r="C1850" t="inlineStr">
        <is>
          <t>NOS</t>
        </is>
      </c>
      <c r="D1850" t="n">
        <v>949</v>
      </c>
      <c r="E1850" t="n">
        <v>1063.445</v>
      </c>
      <c r="F1850" t="n">
        <v>1171.066</v>
      </c>
      <c r="G1850" t="n">
        <v>3233555</v>
      </c>
      <c r="H1850" t="inlineStr">
        <is>
          <t>TUB-R-AW-AUT-40.00X20.00X1.210X1.1200</t>
        </is>
      </c>
    </row>
    <row r="1851">
      <c r="A1851" t="inlineStr">
        <is>
          <t>0000189002</t>
        </is>
      </c>
      <c r="B1851" t="inlineStr">
        <is>
          <t>Marathwada Auto Compo Pvt. Ltd.</t>
        </is>
      </c>
      <c r="C1851" t="inlineStr">
        <is>
          <t>NOS</t>
        </is>
      </c>
      <c r="D1851" t="n">
        <v>944</v>
      </c>
      <c r="E1851" t="n">
        <v>1057.842</v>
      </c>
      <c r="F1851" t="n">
        <v>1164.896</v>
      </c>
      <c r="G1851" t="n">
        <v>3233555</v>
      </c>
      <c r="H1851" t="inlineStr">
        <is>
          <t>TUB-R-AW-AUT-40.00X20.00X1.210X1.1200</t>
        </is>
      </c>
    </row>
    <row r="1852">
      <c r="A1852" t="inlineStr">
        <is>
          <t>0000189002</t>
        </is>
      </c>
      <c r="B1852" t="inlineStr">
        <is>
          <t>Marathwada Auto Compo Pvt. Ltd.</t>
        </is>
      </c>
      <c r="C1852" t="inlineStr">
        <is>
          <t>NOS</t>
        </is>
      </c>
      <c r="D1852" t="n">
        <v>107</v>
      </c>
      <c r="E1852" t="n">
        <v>119.904</v>
      </c>
      <c r="F1852" t="n">
        <v>132.038</v>
      </c>
      <c r="G1852" t="n">
        <v>3233555</v>
      </c>
      <c r="H1852" t="inlineStr">
        <is>
          <t>TUB-R-AW-AUT-40.00X20.00X1.210X1.1200</t>
        </is>
      </c>
    </row>
    <row r="1853">
      <c r="A1853" t="inlineStr">
        <is>
          <t>0000189002</t>
        </is>
      </c>
      <c r="B1853" t="inlineStr">
        <is>
          <t>Marathwada Auto Compo Pvt. Ltd.</t>
        </is>
      </c>
      <c r="C1853" t="inlineStr">
        <is>
          <t>NOS</t>
        </is>
      </c>
      <c r="D1853" t="n">
        <v>2000</v>
      </c>
      <c r="E1853" t="n">
        <v>1720.981</v>
      </c>
      <c r="F1853" t="n">
        <v>1880</v>
      </c>
      <c r="G1853" t="n">
        <v>3572051</v>
      </c>
      <c r="H1853" t="inlineStr">
        <is>
          <t>TUB-R-AW-AUT-40.00X20.00X1.200X0.8600</t>
        </is>
      </c>
    </row>
    <row r="1854">
      <c r="A1854" t="inlineStr">
        <is>
          <t>0000189002</t>
        </is>
      </c>
      <c r="B1854" t="inlineStr">
        <is>
          <t>Marathwada Auto Compo Pvt. Ltd.</t>
        </is>
      </c>
      <c r="C1854" t="inlineStr">
        <is>
          <t>NOS</t>
        </is>
      </c>
      <c r="D1854" t="n">
        <v>1000</v>
      </c>
      <c r="E1854" t="n">
        <v>800.0359999999999</v>
      </c>
      <c r="F1854" t="n">
        <v>881</v>
      </c>
      <c r="G1854" t="n">
        <v>3233557</v>
      </c>
      <c r="H1854" t="inlineStr">
        <is>
          <t>TUB-R-AW-AUT-40.00X20.00X1.210X0.8000</t>
        </is>
      </c>
    </row>
    <row r="1855">
      <c r="A1855" t="inlineStr">
        <is>
          <t>0000189002</t>
        </is>
      </c>
      <c r="B1855" t="inlineStr">
        <is>
          <t>Marathwada Auto Compo Pvt. Ltd.</t>
        </is>
      </c>
      <c r="C1855" t="inlineStr">
        <is>
          <t>NOS</t>
        </is>
      </c>
      <c r="D1855" t="n">
        <v>500</v>
      </c>
      <c r="E1855" t="n">
        <v>622.999</v>
      </c>
      <c r="F1855" t="n">
        <v>339.472</v>
      </c>
      <c r="G1855" t="n">
        <v>3572038</v>
      </c>
      <c r="H1855" t="inlineStr">
        <is>
          <t>TUB-S-AW-AUT-19.00X19.00X1.000X1.2460</t>
        </is>
      </c>
    </row>
    <row r="1856">
      <c r="A1856" t="inlineStr">
        <is>
          <t>0000189002</t>
        </is>
      </c>
      <c r="B1856" t="inlineStr">
        <is>
          <t>Marathwada Auto Compo Pvt. Ltd.</t>
        </is>
      </c>
      <c r="C1856" t="inlineStr">
        <is>
          <t>NOS</t>
        </is>
      </c>
      <c r="D1856" t="n">
        <v>899</v>
      </c>
      <c r="E1856" t="n">
        <v>791.419</v>
      </c>
      <c r="F1856" t="n">
        <v>437.813</v>
      </c>
      <c r="G1856" t="n">
        <v>3230492</v>
      </c>
      <c r="H1856" t="inlineStr">
        <is>
          <t>TUB-S-AW-AUT-19.00X19.00X1.000X0.8800</t>
        </is>
      </c>
    </row>
    <row r="1857">
      <c r="A1857" t="inlineStr">
        <is>
          <t>0000189002</t>
        </is>
      </c>
      <c r="B1857" t="inlineStr">
        <is>
          <t>Marathwada Auto Compo Pvt. Ltd.</t>
        </is>
      </c>
      <c r="C1857" t="inlineStr">
        <is>
          <t>NOS</t>
        </is>
      </c>
      <c r="D1857" t="n">
        <v>273</v>
      </c>
      <c r="E1857" t="n">
        <v>240.331</v>
      </c>
      <c r="F1857" t="n">
        <v>132.951</v>
      </c>
      <c r="G1857" t="n">
        <v>3230492</v>
      </c>
      <c r="H1857" t="inlineStr">
        <is>
          <t>TUB-S-AW-AUT-19.00X19.00X1.000X0.8800</t>
        </is>
      </c>
    </row>
    <row r="1858">
      <c r="A1858" t="inlineStr">
        <is>
          <t>0000189002</t>
        </is>
      </c>
      <c r="B1858" t="inlineStr">
        <is>
          <t>Marathwada Auto Compo Pvt. Ltd.</t>
        </is>
      </c>
      <c r="C1858" t="inlineStr">
        <is>
          <t>NOS</t>
        </is>
      </c>
      <c r="D1858" t="n">
        <v>147</v>
      </c>
      <c r="E1858" t="n">
        <v>129.409</v>
      </c>
      <c r="F1858" t="n">
        <v>71.589</v>
      </c>
      <c r="G1858" t="n">
        <v>3230492</v>
      </c>
      <c r="H1858" t="inlineStr">
        <is>
          <t>TUB-S-AW-AUT-19.00X19.00X1.000X0.8800</t>
        </is>
      </c>
    </row>
    <row r="1859">
      <c r="A1859" t="inlineStr">
        <is>
          <t>0000189002</t>
        </is>
      </c>
      <c r="B1859" t="inlineStr">
        <is>
          <t>Marathwada Auto Compo Pvt. Ltd.</t>
        </is>
      </c>
      <c r="C1859" t="inlineStr">
        <is>
          <t>NOS</t>
        </is>
      </c>
      <c r="D1859" t="n">
        <v>71</v>
      </c>
      <c r="E1859" t="n">
        <v>62.504</v>
      </c>
      <c r="F1859" t="n">
        <v>34.577</v>
      </c>
      <c r="G1859" t="n">
        <v>3230492</v>
      </c>
      <c r="H1859" t="inlineStr">
        <is>
          <t>TUB-S-AW-AUT-19.00X19.00X1.000X0.8800</t>
        </is>
      </c>
    </row>
    <row r="1860">
      <c r="A1860" t="inlineStr">
        <is>
          <t>0000189002</t>
        </is>
      </c>
      <c r="B1860" t="inlineStr">
        <is>
          <t>Marathwada Auto Compo Pvt. Ltd.</t>
        </is>
      </c>
      <c r="C1860" t="inlineStr">
        <is>
          <t>NOS</t>
        </is>
      </c>
      <c r="D1860" t="n">
        <v>70</v>
      </c>
      <c r="E1860" t="n">
        <v>61.623</v>
      </c>
      <c r="F1860" t="n">
        <v>34.09</v>
      </c>
      <c r="G1860" t="n">
        <v>3230492</v>
      </c>
      <c r="H1860" t="inlineStr">
        <is>
          <t>TUB-S-AW-AUT-19.00X19.00X1.000X0.8800</t>
        </is>
      </c>
    </row>
    <row r="1861">
      <c r="A1861" t="inlineStr">
        <is>
          <t>0000189002</t>
        </is>
      </c>
      <c r="B1861" t="inlineStr">
        <is>
          <t>Marathwada Auto Compo Pvt. Ltd.</t>
        </is>
      </c>
      <c r="C1861" t="inlineStr">
        <is>
          <t>NOS</t>
        </is>
      </c>
      <c r="D1861" t="n">
        <v>40</v>
      </c>
      <c r="E1861" t="n">
        <v>35.213</v>
      </c>
      <c r="F1861" t="n">
        <v>19.48</v>
      </c>
      <c r="G1861" t="n">
        <v>3230492</v>
      </c>
      <c r="H1861" t="inlineStr">
        <is>
          <t>TUB-S-AW-AUT-19.00X19.00X1.000X0.8800</t>
        </is>
      </c>
    </row>
    <row r="1862">
      <c r="A1862" t="inlineStr">
        <is>
          <t>0000189002</t>
        </is>
      </c>
      <c r="B1862" t="inlineStr">
        <is>
          <t>Marathwada Auto Compo Pvt. Ltd.</t>
        </is>
      </c>
      <c r="C1862" t="inlineStr">
        <is>
          <t>NOS</t>
        </is>
      </c>
      <c r="D1862" t="n">
        <v>1000</v>
      </c>
      <c r="E1862" t="n">
        <v>872.135</v>
      </c>
      <c r="F1862" t="n">
        <v>487</v>
      </c>
      <c r="G1862" t="n">
        <v>3605739</v>
      </c>
      <c r="H1862" t="inlineStr">
        <is>
          <t>TUB-S-AW-AUT-19.00X19.00X1.010X0.8710</t>
        </is>
      </c>
    </row>
    <row r="1863">
      <c r="A1863" t="inlineStr">
        <is>
          <t>0000189002</t>
        </is>
      </c>
      <c r="B1863" t="inlineStr">
        <is>
          <t>Marathwada Auto Compo Pvt. Ltd.</t>
        </is>
      </c>
      <c r="C1863" t="inlineStr">
        <is>
          <t>NOS</t>
        </is>
      </c>
      <c r="D1863" t="n">
        <v>496</v>
      </c>
      <c r="E1863" t="n">
        <v>416.92</v>
      </c>
      <c r="F1863" t="n">
        <v>230.64</v>
      </c>
      <c r="G1863" t="n">
        <v>3230485</v>
      </c>
      <c r="H1863" t="inlineStr">
        <is>
          <t>TUB-S-AW-AUT-19.00X19.00X1.000X0.8400</t>
        </is>
      </c>
    </row>
    <row r="1864">
      <c r="A1864" t="inlineStr">
        <is>
          <t>0000189002</t>
        </is>
      </c>
      <c r="B1864" t="inlineStr">
        <is>
          <t>Marathwada Auto Compo Pvt. Ltd.</t>
        </is>
      </c>
      <c r="C1864" t="inlineStr">
        <is>
          <t>NOS</t>
        </is>
      </c>
      <c r="D1864" t="n">
        <v>496</v>
      </c>
      <c r="E1864" t="n">
        <v>416.92</v>
      </c>
      <c r="F1864" t="n">
        <v>230.64</v>
      </c>
      <c r="G1864" t="n">
        <v>3230485</v>
      </c>
      <c r="H1864" t="inlineStr">
        <is>
          <t>TUB-S-AW-AUT-19.00X19.00X1.000X0.8400</t>
        </is>
      </c>
    </row>
    <row r="1865">
      <c r="A1865" t="inlineStr">
        <is>
          <t>0000189002</t>
        </is>
      </c>
      <c r="B1865" t="inlineStr">
        <is>
          <t>Marathwada Auto Compo Pvt. Ltd.</t>
        </is>
      </c>
      <c r="C1865" t="inlineStr">
        <is>
          <t>NOS</t>
        </is>
      </c>
      <c r="D1865" t="n">
        <v>8</v>
      </c>
      <c r="E1865" t="n">
        <v>6.725</v>
      </c>
      <c r="F1865" t="n">
        <v>3.72</v>
      </c>
      <c r="G1865" t="n">
        <v>3230485</v>
      </c>
      <c r="H1865" t="inlineStr">
        <is>
          <t>TUB-S-AW-AUT-19.00X19.00X1.000X0.8400</t>
        </is>
      </c>
    </row>
    <row r="1866">
      <c r="A1866" t="inlineStr">
        <is>
          <t>0000189002</t>
        </is>
      </c>
      <c r="B1866" t="inlineStr">
        <is>
          <t>Marathwada Auto Compo Pvt. Ltd.</t>
        </is>
      </c>
      <c r="C1866" t="inlineStr">
        <is>
          <t>NOS</t>
        </is>
      </c>
      <c r="D1866" t="n">
        <v>1000</v>
      </c>
      <c r="E1866" t="n">
        <v>800.004</v>
      </c>
      <c r="F1866" t="n">
        <v>436.011</v>
      </c>
      <c r="G1866" t="n">
        <v>3931836</v>
      </c>
      <c r="H1866" t="inlineStr">
        <is>
          <t>CUT-R-AW-AUT-19.00X19.00X1.000X0.8000</t>
        </is>
      </c>
    </row>
    <row r="1867">
      <c r="A1867" t="inlineStr">
        <is>
          <t>0000189002</t>
        </is>
      </c>
      <c r="B1867" t="inlineStr">
        <is>
          <t>Marathwada Auto Compo Pvt. Ltd.</t>
        </is>
      </c>
      <c r="C1867" t="inlineStr">
        <is>
          <t>NOS</t>
        </is>
      </c>
      <c r="D1867" t="n">
        <v>500</v>
      </c>
      <c r="E1867" t="n">
        <v>503.507</v>
      </c>
      <c r="F1867" t="n">
        <v>274.417</v>
      </c>
      <c r="G1867" t="n">
        <v>4100796</v>
      </c>
      <c r="H1867" t="inlineStr">
        <is>
          <t>CUT-R-AW-AUT-19.00X19.00X1.000X1.0070</t>
        </is>
      </c>
    </row>
    <row r="1868">
      <c r="A1868" t="inlineStr">
        <is>
          <t>0000189002</t>
        </is>
      </c>
      <c r="B1868" t="inlineStr">
        <is>
          <t>Marathwada Auto Compo Pvt. Ltd.</t>
        </is>
      </c>
      <c r="C1868" t="inlineStr">
        <is>
          <t>NOS</t>
        </is>
      </c>
      <c r="D1868" t="n">
        <v>1000</v>
      </c>
      <c r="E1868" t="n">
        <v>539.997</v>
      </c>
      <c r="F1868" t="n">
        <v>294.244</v>
      </c>
      <c r="G1868" t="n">
        <v>3571870</v>
      </c>
      <c r="H1868" t="inlineStr">
        <is>
          <t>TUB-S-AW-AUT-19.00X19.00X1.000X0.5400</t>
        </is>
      </c>
    </row>
    <row r="1869">
      <c r="A1869" t="inlineStr">
        <is>
          <t>0000189002</t>
        </is>
      </c>
      <c r="B1869" t="inlineStr">
        <is>
          <t>Marathwada Auto Compo Pvt. Ltd.</t>
        </is>
      </c>
      <c r="C1869" t="inlineStr">
        <is>
          <t>NOS</t>
        </is>
      </c>
      <c r="D1869" t="n">
        <v>1000</v>
      </c>
      <c r="E1869" t="n">
        <v>469.994</v>
      </c>
      <c r="F1869" t="n">
        <v>256.1</v>
      </c>
      <c r="G1869" t="n">
        <v>3230488</v>
      </c>
      <c r="H1869" t="inlineStr">
        <is>
          <t>TUB-S-AW-AUT-19.00X19.00X1.000X0.4700</t>
        </is>
      </c>
    </row>
    <row r="1870">
      <c r="A1870" t="inlineStr">
        <is>
          <t>0000189002</t>
        </is>
      </c>
      <c r="B1870" t="inlineStr">
        <is>
          <t>Marathwada Auto Compo Pvt. Ltd.</t>
        </is>
      </c>
      <c r="C1870" t="inlineStr">
        <is>
          <t>NOS</t>
        </is>
      </c>
      <c r="D1870" t="n">
        <v>3000</v>
      </c>
      <c r="E1870" t="n">
        <v>1198.482</v>
      </c>
      <c r="F1870" t="n">
        <v>663</v>
      </c>
      <c r="G1870" t="n">
        <v>3230487</v>
      </c>
      <c r="H1870" t="inlineStr">
        <is>
          <t>TUB-S-AW-AUT-19.00X19.00X1.000X0.4000</t>
        </is>
      </c>
    </row>
    <row r="1871">
      <c r="A1871" t="inlineStr">
        <is>
          <t>0000189002</t>
        </is>
      </c>
      <c r="B1871" t="inlineStr">
        <is>
          <t>Marathwada Auto Compo Pvt. Ltd.</t>
        </is>
      </c>
      <c r="C1871" t="inlineStr">
        <is>
          <t>NOS</t>
        </is>
      </c>
      <c r="D1871" t="n">
        <v>1000</v>
      </c>
      <c r="E1871" t="n">
        <v>356.11</v>
      </c>
      <c r="F1871" t="n">
        <v>197</v>
      </c>
      <c r="G1871" t="n">
        <v>3230490</v>
      </c>
      <c r="H1871" t="inlineStr">
        <is>
          <t>TUB-S-AW-AUT-19.00X19.00X1.000X0.3550</t>
        </is>
      </c>
    </row>
    <row r="1872">
      <c r="A1872" t="inlineStr">
        <is>
          <t>0000189002</t>
        </is>
      </c>
      <c r="B1872" t="inlineStr">
        <is>
          <t>Marathwada Auto Compo Pvt. Ltd.</t>
        </is>
      </c>
      <c r="C1872" t="inlineStr">
        <is>
          <t>NOS</t>
        </is>
      </c>
      <c r="D1872" t="n">
        <v>500</v>
      </c>
      <c r="E1872" t="n">
        <v>649.006</v>
      </c>
      <c r="F1872" t="n">
        <v>563.15</v>
      </c>
      <c r="G1872" t="n">
        <v>3935311</v>
      </c>
      <c r="H1872" t="inlineStr">
        <is>
          <t>CUT-S-AW-AUT-25.00X25.00X1.200X1.2980</t>
        </is>
      </c>
    </row>
    <row r="1873">
      <c r="A1873" t="inlineStr">
        <is>
          <t>0000189002</t>
        </is>
      </c>
      <c r="B1873" t="inlineStr">
        <is>
          <t>Marathwada Auto Compo Pvt. Ltd.</t>
        </is>
      </c>
      <c r="C1873" t="inlineStr">
        <is>
          <t>NOS</t>
        </is>
      </c>
      <c r="D1873" t="n">
        <v>599</v>
      </c>
      <c r="E1873" t="n">
        <v>471.518</v>
      </c>
      <c r="F1873" t="n">
        <v>426.488</v>
      </c>
      <c r="G1873" t="n">
        <v>3230482</v>
      </c>
      <c r="H1873" t="inlineStr">
        <is>
          <t>TUB-S-AW-AUT-25.00X25.00X1.200X0.7870</t>
        </is>
      </c>
    </row>
    <row r="1874">
      <c r="A1874" t="inlineStr">
        <is>
          <t>0000189002</t>
        </is>
      </c>
      <c r="B1874" t="inlineStr">
        <is>
          <t>Marathwada Auto Compo Pvt. Ltd.</t>
        </is>
      </c>
      <c r="C1874" t="inlineStr">
        <is>
          <t>NOS</t>
        </is>
      </c>
      <c r="D1874" t="n">
        <v>401</v>
      </c>
      <c r="E1874" t="n">
        <v>315.657</v>
      </c>
      <c r="F1874" t="n">
        <v>285.512</v>
      </c>
      <c r="G1874" t="n">
        <v>3230482</v>
      </c>
      <c r="H1874" t="inlineStr">
        <is>
          <t>TUB-S-AW-AUT-25.00X25.00X1.200X0.7870</t>
        </is>
      </c>
    </row>
    <row r="1875">
      <c r="A1875" t="inlineStr">
        <is>
          <t>0000189002</t>
        </is>
      </c>
      <c r="B1875" t="inlineStr">
        <is>
          <t>Marathwada Auto Compo Pvt. Ltd.</t>
        </is>
      </c>
      <c r="C1875" t="inlineStr">
        <is>
          <t>NOS</t>
        </is>
      </c>
      <c r="D1875" t="n">
        <v>500</v>
      </c>
      <c r="E1875" t="n">
        <v>615.004</v>
      </c>
      <c r="F1875" t="n">
        <v>324.872</v>
      </c>
      <c r="G1875" t="n">
        <v>3929692</v>
      </c>
      <c r="H1875" t="inlineStr">
        <is>
          <t>CUT-O-N-AUT-AW-PE-19.05X1.200X1.2300</t>
        </is>
      </c>
    </row>
    <row r="1876">
      <c r="A1876" t="inlineStr">
        <is>
          <t>0000189002</t>
        </is>
      </c>
      <c r="B1876" t="inlineStr">
        <is>
          <t>Marathwada Auto Compo Pvt. Ltd.</t>
        </is>
      </c>
      <c r="C1876" t="inlineStr">
        <is>
          <t>NOS</t>
        </is>
      </c>
      <c r="D1876" t="n">
        <v>1000</v>
      </c>
      <c r="E1876" t="n">
        <v>682.0069999999999</v>
      </c>
      <c r="F1876" t="n">
        <v>360.267</v>
      </c>
      <c r="G1876" t="n">
        <v>3929540</v>
      </c>
      <c r="H1876" t="inlineStr">
        <is>
          <t>CUT-O-N-AUT-AW-PE-19.05X1.200X0.6820</t>
        </is>
      </c>
    </row>
    <row r="1877">
      <c r="A1877" t="inlineStr">
        <is>
          <t>0000189002</t>
        </is>
      </c>
      <c r="B1877" t="inlineStr">
        <is>
          <t>Marathwada Auto Compo Pvt. Ltd.</t>
        </is>
      </c>
      <c r="C1877" t="inlineStr">
        <is>
          <t>NOS</t>
        </is>
      </c>
      <c r="D1877" t="n">
        <v>2000</v>
      </c>
      <c r="E1877" t="n">
        <v>399.983</v>
      </c>
      <c r="F1877" t="n">
        <v>211.289</v>
      </c>
      <c r="G1877" t="n">
        <v>3929691</v>
      </c>
      <c r="H1877" t="inlineStr">
        <is>
          <t>CUT-O-N-AUT-AW-PE-19.05X1.200X0.2000</t>
        </is>
      </c>
    </row>
    <row r="1878">
      <c r="A1878" t="inlineStr">
        <is>
          <t>0000189002</t>
        </is>
      </c>
      <c r="B1878" t="inlineStr">
        <is>
          <t>Marathwada Auto Compo Pvt. Ltd.</t>
        </is>
      </c>
      <c r="C1878" t="inlineStr">
        <is>
          <t>NOS</t>
        </is>
      </c>
      <c r="D1878" t="n">
        <v>887</v>
      </c>
      <c r="E1878" t="n">
        <v>195.686</v>
      </c>
      <c r="F1878" t="n">
        <v>213.767</v>
      </c>
      <c r="G1878" t="n">
        <v>3230495</v>
      </c>
      <c r="H1878" t="inlineStr">
        <is>
          <t>TUB-S-AW-AUT-30.00X30.00X1.200X0.2200</t>
        </is>
      </c>
    </row>
    <row r="1879">
      <c r="A1879" t="inlineStr">
        <is>
          <t>0000189002</t>
        </is>
      </c>
      <c r="B1879" t="inlineStr">
        <is>
          <t>Marathwada Auto Compo Pvt. Ltd.</t>
        </is>
      </c>
      <c r="C1879" t="inlineStr">
        <is>
          <t>NOS</t>
        </is>
      </c>
      <c r="D1879" t="n">
        <v>113</v>
      </c>
      <c r="E1879" t="n">
        <v>24.93</v>
      </c>
      <c r="F1879" t="n">
        <v>27.233</v>
      </c>
      <c r="G1879" t="n">
        <v>3230495</v>
      </c>
      <c r="H1879" t="inlineStr">
        <is>
          <t>TUB-S-AW-AUT-30.00X30.00X1.200X0.2200</t>
        </is>
      </c>
    </row>
    <row r="1880">
      <c r="A1880" t="inlineStr">
        <is>
          <t>0000943209</t>
        </is>
      </c>
      <c r="B1880" t="inlineStr">
        <is>
          <t>MEGH STEELS PRIVATE LIMITED - TVS A</t>
        </is>
      </c>
      <c r="C1880" t="inlineStr">
        <is>
          <t>KG</t>
        </is>
      </c>
      <c r="D1880" t="n">
        <v>416</v>
      </c>
      <c r="E1880" t="n">
        <v>2630.471</v>
      </c>
      <c r="F1880" t="n">
        <v>2500</v>
      </c>
      <c r="G1880" t="n">
        <v>1940337</v>
      </c>
      <c r="H1880" t="inlineStr">
        <is>
          <t>TUB-O-O-AUT-AW-PE-19.05X2.300X6.3200</t>
        </is>
      </c>
    </row>
    <row r="1881">
      <c r="A1881" t="inlineStr">
        <is>
          <t>0000943209</t>
        </is>
      </c>
      <c r="B1881" t="inlineStr">
        <is>
          <t>MEGH STEELS PRIVATE LIMITED - TVS A</t>
        </is>
      </c>
      <c r="C1881" t="inlineStr">
        <is>
          <t>KG</t>
        </is>
      </c>
      <c r="D1881" t="n">
        <v>509</v>
      </c>
      <c r="E1881" t="n">
        <v>3219.697</v>
      </c>
      <c r="F1881" t="n">
        <v>3060</v>
      </c>
      <c r="G1881" t="n">
        <v>1940337</v>
      </c>
      <c r="H1881" t="inlineStr">
        <is>
          <t>TUB-O-O-AUT-AW-PE-19.05X2.300X6.3200</t>
        </is>
      </c>
    </row>
    <row r="1882">
      <c r="A1882" t="inlineStr">
        <is>
          <t>0000943209</t>
        </is>
      </c>
      <c r="B1882" t="inlineStr">
        <is>
          <t>MEGH STEELS PRIVATE LIMITED - TVS A</t>
        </is>
      </c>
      <c r="C1882" t="inlineStr">
        <is>
          <t>KG</t>
        </is>
      </c>
      <c r="D1882" t="n">
        <v>520</v>
      </c>
      <c r="E1882" t="n">
        <v>3288.089</v>
      </c>
      <c r="F1882" t="n">
        <v>3125</v>
      </c>
      <c r="G1882" t="n">
        <v>1940337</v>
      </c>
      <c r="H1882" t="inlineStr">
        <is>
          <t>TUB-O-O-AUT-AW-PE-19.05X2.300X6.3200</t>
        </is>
      </c>
    </row>
    <row r="1883">
      <c r="A1883" t="inlineStr">
        <is>
          <t>0000943209</t>
        </is>
      </c>
      <c r="B1883" t="inlineStr">
        <is>
          <t>MEGH STEELS PRIVATE LIMITED - TVS A</t>
        </is>
      </c>
      <c r="C1883" t="inlineStr">
        <is>
          <t>KG</t>
        </is>
      </c>
      <c r="D1883" t="n">
        <v>167</v>
      </c>
      <c r="E1883" t="n">
        <v>1057.449</v>
      </c>
      <c r="F1883" t="n">
        <v>1005</v>
      </c>
      <c r="G1883" t="n">
        <v>1940337</v>
      </c>
      <c r="H1883" t="inlineStr">
        <is>
          <t>TUB-O-O-AUT-AW-PE-19.05X2.300X6.3200</t>
        </is>
      </c>
    </row>
    <row r="1884">
      <c r="A1884" t="inlineStr">
        <is>
          <t>0000943209</t>
        </is>
      </c>
      <c r="B1884" t="inlineStr">
        <is>
          <t>MEGH STEELS PRIVATE LIMITED - TVS A</t>
        </is>
      </c>
      <c r="C1884" t="inlineStr">
        <is>
          <t>KG</t>
        </is>
      </c>
      <c r="D1884" t="n">
        <v>460</v>
      </c>
      <c r="E1884" t="n">
        <v>2909.301</v>
      </c>
      <c r="F1884" t="n">
        <v>2765</v>
      </c>
      <c r="G1884" t="n">
        <v>1940337</v>
      </c>
      <c r="H1884" t="inlineStr">
        <is>
          <t>TUB-O-O-AUT-AW-PE-19.05X2.300X6.3200</t>
        </is>
      </c>
    </row>
    <row r="1885">
      <c r="A1885" t="inlineStr">
        <is>
          <t>0000943209</t>
        </is>
      </c>
      <c r="B1885" t="inlineStr">
        <is>
          <t>MEGH STEELS PRIVATE LIMITED - TVS A</t>
        </is>
      </c>
      <c r="C1885" t="inlineStr">
        <is>
          <t>KG</t>
        </is>
      </c>
      <c r="D1885" t="n">
        <v>387</v>
      </c>
      <c r="E1885" t="n">
        <v>2446.338</v>
      </c>
      <c r="F1885" t="n">
        <v>2325</v>
      </c>
      <c r="G1885" t="n">
        <v>1940337</v>
      </c>
      <c r="H1885" t="inlineStr">
        <is>
          <t>TUB-O-O-AUT-AW-PE-19.05X2.300X6.3200</t>
        </is>
      </c>
    </row>
    <row r="1886">
      <c r="A1886" t="inlineStr">
        <is>
          <t>0000943209</t>
        </is>
      </c>
      <c r="B1886" t="inlineStr">
        <is>
          <t>MEGH STEELS PRIVATE LIMITED - TVS A</t>
        </is>
      </c>
      <c r="C1886" t="inlineStr">
        <is>
          <t>KG</t>
        </is>
      </c>
      <c r="D1886" t="n">
        <v>293</v>
      </c>
      <c r="E1886" t="n">
        <v>1851.852</v>
      </c>
      <c r="F1886" t="n">
        <v>1760</v>
      </c>
      <c r="G1886" t="n">
        <v>1940337</v>
      </c>
      <c r="H1886" t="inlineStr">
        <is>
          <t>TUB-O-O-AUT-AW-PE-19.05X2.300X6.3200</t>
        </is>
      </c>
    </row>
    <row r="1887">
      <c r="A1887" t="inlineStr">
        <is>
          <t>0000189002</t>
        </is>
      </c>
      <c r="B1887" t="inlineStr">
        <is>
          <t>Marathwada Auto Compo Pvt. Ltd.</t>
        </is>
      </c>
      <c r="C1887" t="inlineStr">
        <is>
          <t>NOS</t>
        </is>
      </c>
      <c r="D1887" t="n">
        <v>500</v>
      </c>
      <c r="E1887" t="n">
        <v>164.995</v>
      </c>
      <c r="F1887" t="n">
        <v>87.18300000000001</v>
      </c>
      <c r="G1887" t="n">
        <v>3935313</v>
      </c>
      <c r="H1887" t="inlineStr">
        <is>
          <t>CUT-O-N-AUT-AW-PE-19.05X1.200X0.33</t>
        </is>
      </c>
    </row>
    <row r="1888">
      <c r="A1888" t="inlineStr">
        <is>
          <t>0000943209</t>
        </is>
      </c>
      <c r="B1888" t="inlineStr">
        <is>
          <t>MEGH STEELS PRIVATE LIMITED - TVS A</t>
        </is>
      </c>
      <c r="C1888" t="inlineStr">
        <is>
          <t>KG</t>
        </is>
      </c>
      <c r="D1888" t="n">
        <v>146</v>
      </c>
      <c r="E1888" t="n">
        <v>877.912</v>
      </c>
      <c r="F1888" t="n">
        <v>2099</v>
      </c>
      <c r="G1888" t="n">
        <v>3994149</v>
      </c>
      <c r="H1888" t="inlineStr">
        <is>
          <t>TUB-O-N-AUT-AW-FC-41.28X2.600X6.0010</t>
        </is>
      </c>
    </row>
    <row r="1889">
      <c r="A1889" t="inlineStr">
        <is>
          <t>0000943209</t>
        </is>
      </c>
      <c r="B1889" t="inlineStr">
        <is>
          <t>MEGH STEELS PRIVATE LIMITED - TVS A</t>
        </is>
      </c>
      <c r="C1889" t="inlineStr">
        <is>
          <t>KG</t>
        </is>
      </c>
      <c r="D1889" t="n">
        <v>142</v>
      </c>
      <c r="E1889" t="n">
        <v>849.471</v>
      </c>
      <c r="F1889" t="n">
        <v>2031</v>
      </c>
      <c r="G1889" t="n">
        <v>3994149</v>
      </c>
      <c r="H1889" t="inlineStr">
        <is>
          <t>TUB-O-N-AUT-AW-FC-41.28X2.600X6.0010</t>
        </is>
      </c>
    </row>
    <row r="1890">
      <c r="A1890" t="inlineStr">
        <is>
          <t>0000952265</t>
        </is>
      </c>
      <c r="B1890" t="inlineStr">
        <is>
          <t>A R AUTOMOTIVE INDUSTRIES PRIVATE L</t>
        </is>
      </c>
      <c r="C1890" t="inlineStr">
        <is>
          <t>NOS</t>
        </is>
      </c>
      <c r="D1890" t="n">
        <v>978</v>
      </c>
      <c r="E1890" t="n">
        <v>573.099</v>
      </c>
      <c r="F1890" t="n">
        <v>375.552</v>
      </c>
      <c r="G1890" t="n">
        <v>3696704</v>
      </c>
      <c r="H1890" t="inlineStr">
        <is>
          <t>TUB-O-N-AUT-AW-PE-15.88X2.000X0.5850</t>
        </is>
      </c>
    </row>
    <row r="1891">
      <c r="A1891" t="inlineStr">
        <is>
          <t>0000952265</t>
        </is>
      </c>
      <c r="B1891" t="inlineStr">
        <is>
          <t>A R AUTOMOTIVE INDUSTRIES PRIVATE L</t>
        </is>
      </c>
      <c r="C1891" t="inlineStr">
        <is>
          <t>NOS</t>
        </is>
      </c>
      <c r="D1891" t="n">
        <v>422</v>
      </c>
      <c r="E1891" t="n">
        <v>247.288</v>
      </c>
      <c r="F1891" t="n">
        <v>162.048</v>
      </c>
      <c r="G1891" t="n">
        <v>3696704</v>
      </c>
      <c r="H1891" t="inlineStr">
        <is>
          <t>TUB-O-N-AUT-AW-PE-15.88X2.000X0.5850</t>
        </is>
      </c>
    </row>
    <row r="1892">
      <c r="A1892" t="inlineStr">
        <is>
          <t>0000952265</t>
        </is>
      </c>
      <c r="B1892" t="inlineStr">
        <is>
          <t>A R AUTOMOTIVE INDUSTRIES PRIVATE L</t>
        </is>
      </c>
      <c r="C1892" t="inlineStr">
        <is>
          <t>NOS</t>
        </is>
      </c>
      <c r="D1892" t="n">
        <v>3751</v>
      </c>
      <c r="E1892" t="n">
        <v>1854.607</v>
      </c>
      <c r="F1892" t="n">
        <v>1215.324</v>
      </c>
      <c r="G1892" t="n">
        <v>3436935</v>
      </c>
      <c r="H1892" t="inlineStr">
        <is>
          <t>TUB-O-N-AUT-AW-PE-15.88X2.000X0.4930</t>
        </is>
      </c>
    </row>
    <row r="1893">
      <c r="A1893" t="inlineStr">
        <is>
          <t>0000952265</t>
        </is>
      </c>
      <c r="B1893" t="inlineStr">
        <is>
          <t>A R AUTOMOTIVE INDUSTRIES PRIVATE L</t>
        </is>
      </c>
      <c r="C1893" t="inlineStr">
        <is>
          <t>NOS</t>
        </is>
      </c>
      <c r="D1893" t="n">
        <v>728</v>
      </c>
      <c r="E1893" t="n">
        <v>359.945</v>
      </c>
      <c r="F1893" t="n">
        <v>235.872</v>
      </c>
      <c r="G1893" t="n">
        <v>3436935</v>
      </c>
      <c r="H1893" t="inlineStr">
        <is>
          <t>TUB-O-N-AUT-AW-PE-15.88X2.000X0.4930</t>
        </is>
      </c>
    </row>
    <row r="1894">
      <c r="A1894" t="inlineStr">
        <is>
          <t>0000952265</t>
        </is>
      </c>
      <c r="B1894" t="inlineStr">
        <is>
          <t>A R AUTOMOTIVE INDUSTRIES PRIVATE L</t>
        </is>
      </c>
      <c r="C1894" t="inlineStr">
        <is>
          <t>NOS</t>
        </is>
      </c>
      <c r="D1894" t="n">
        <v>71</v>
      </c>
      <c r="E1894" t="n">
        <v>35.105</v>
      </c>
      <c r="F1894" t="n">
        <v>23.004</v>
      </c>
      <c r="G1894" t="n">
        <v>3436935</v>
      </c>
      <c r="H1894" t="inlineStr">
        <is>
          <t>TUB-O-N-AUT-AW-PE-15.88X2.000X0.4930</t>
        </is>
      </c>
    </row>
    <row r="1895">
      <c r="A1895" t="inlineStr">
        <is>
          <t>0000952265</t>
        </is>
      </c>
      <c r="B1895" t="inlineStr">
        <is>
          <t>A R AUTOMOTIVE INDUSTRIES PRIVATE L</t>
        </is>
      </c>
      <c r="C1895" t="inlineStr">
        <is>
          <t>NOS</t>
        </is>
      </c>
      <c r="D1895" t="n">
        <v>500</v>
      </c>
      <c r="E1895" t="n">
        <v>532.5</v>
      </c>
      <c r="F1895" t="n">
        <v>269.433</v>
      </c>
      <c r="G1895" t="n">
        <v>4200175</v>
      </c>
      <c r="H1895" t="inlineStr">
        <is>
          <t>TUB-O-N-AUT-AW-PE-12.70X1.600X1.0650</t>
        </is>
      </c>
    </row>
    <row r="1896">
      <c r="A1896" t="inlineStr">
        <is>
          <t>0000952265</t>
        </is>
      </c>
      <c r="B1896" t="inlineStr">
        <is>
          <t>A R AUTOMOTIVE INDUSTRIES PRIVATE L</t>
        </is>
      </c>
      <c r="C1896" t="inlineStr">
        <is>
          <t>NOS</t>
        </is>
      </c>
      <c r="D1896" t="n">
        <v>2000</v>
      </c>
      <c r="E1896" t="n">
        <v>1119.996</v>
      </c>
      <c r="F1896" t="n">
        <v>733.933</v>
      </c>
      <c r="G1896" t="n">
        <v>4269568</v>
      </c>
      <c r="H1896" t="inlineStr">
        <is>
          <t>TUB-O-N-AUT-AW-PE-15.88X2.000X0.5600</t>
        </is>
      </c>
    </row>
    <row r="1897">
      <c r="A1897" t="inlineStr">
        <is>
          <t>0000940329</t>
        </is>
      </c>
      <c r="B1897" t="inlineStr">
        <is>
          <t>ADISHWAR STEELS</t>
        </is>
      </c>
      <c r="C1897" t="inlineStr">
        <is>
          <t>KG</t>
        </is>
      </c>
      <c r="D1897" t="n">
        <v>175</v>
      </c>
      <c r="E1897" t="n">
        <v>1049.066</v>
      </c>
      <c r="F1897" t="n">
        <v>1146</v>
      </c>
      <c r="G1897" t="n">
        <v>3234374</v>
      </c>
      <c r="H1897" t="inlineStr">
        <is>
          <t>TUB-S-AW-AUT-30.00X30.00X1.200X6.0000</t>
        </is>
      </c>
    </row>
    <row r="1898">
      <c r="A1898" t="inlineStr">
        <is>
          <t>0000940329</t>
        </is>
      </c>
      <c r="B1898" t="inlineStr">
        <is>
          <t>ADISHWAR STEELS</t>
        </is>
      </c>
      <c r="C1898" t="inlineStr">
        <is>
          <t>KG</t>
        </is>
      </c>
      <c r="D1898" t="n">
        <v>151</v>
      </c>
      <c r="E1898" t="n">
        <v>906.261</v>
      </c>
      <c r="F1898" t="n">
        <v>990</v>
      </c>
      <c r="G1898" t="n">
        <v>3234374</v>
      </c>
      <c r="H1898" t="inlineStr">
        <is>
          <t>TUB-S-AW-AUT-30.00X30.00X1.200X6.0000</t>
        </is>
      </c>
    </row>
    <row r="1899">
      <c r="A1899" t="inlineStr">
        <is>
          <t>0000940329</t>
        </is>
      </c>
      <c r="B1899" t="inlineStr">
        <is>
          <t>ADISHWAR STEELS</t>
        </is>
      </c>
      <c r="C1899" t="inlineStr">
        <is>
          <t>KG</t>
        </is>
      </c>
      <c r="D1899" t="n">
        <v>144</v>
      </c>
      <c r="E1899" t="n">
        <v>864.152</v>
      </c>
      <c r="F1899" t="n">
        <v>944</v>
      </c>
      <c r="G1899" t="n">
        <v>3234374</v>
      </c>
      <c r="H1899" t="inlineStr">
        <is>
          <t>TUB-S-AW-AUT-30.00X30.00X1.200X6.0000</t>
        </is>
      </c>
    </row>
    <row r="1900">
      <c r="A1900" t="inlineStr">
        <is>
          <t>0000940329</t>
        </is>
      </c>
      <c r="B1900" t="inlineStr">
        <is>
          <t>ADISHWAR STEELS</t>
        </is>
      </c>
      <c r="C1900" t="inlineStr">
        <is>
          <t>KG</t>
        </is>
      </c>
      <c r="D1900" t="n">
        <v>346</v>
      </c>
      <c r="E1900" t="n">
        <v>2073.441</v>
      </c>
      <c r="F1900" t="n">
        <v>1310</v>
      </c>
      <c r="G1900" t="n">
        <v>1940148</v>
      </c>
      <c r="H1900" t="inlineStr">
        <is>
          <t>TUB-S-FH-SHS-19.00X19.00X1.150X6.0000</t>
        </is>
      </c>
    </row>
    <row r="1901">
      <c r="A1901" t="inlineStr">
        <is>
          <t>0000940329</t>
        </is>
      </c>
      <c r="B1901" t="inlineStr">
        <is>
          <t>ADISHWAR STEELS</t>
        </is>
      </c>
      <c r="C1901" t="inlineStr">
        <is>
          <t>KG</t>
        </is>
      </c>
      <c r="D1901" t="n">
        <v>496</v>
      </c>
      <c r="E1901" t="n">
        <v>2975.625</v>
      </c>
      <c r="F1901" t="n">
        <v>1880</v>
      </c>
      <c r="G1901" t="n">
        <v>1940148</v>
      </c>
      <c r="H1901" t="inlineStr">
        <is>
          <t>TUB-S-FH-SHS-19.00X19.00X1.150X6.0000</t>
        </is>
      </c>
    </row>
    <row r="1902">
      <c r="A1902" t="inlineStr">
        <is>
          <t>0000940329</t>
        </is>
      </c>
      <c r="B1902" t="inlineStr">
        <is>
          <t>ADISHWAR STEELS</t>
        </is>
      </c>
      <c r="C1902" t="inlineStr">
        <is>
          <t>KG</t>
        </is>
      </c>
      <c r="D1902" t="n">
        <v>162</v>
      </c>
      <c r="E1902" t="n">
        <v>971.827</v>
      </c>
      <c r="F1902" t="n">
        <v>614</v>
      </c>
      <c r="G1902" t="n">
        <v>1940148</v>
      </c>
      <c r="H1902" t="inlineStr">
        <is>
          <t>TUB-S-FH-SHS-19.00X19.00X1.150X6.0000</t>
        </is>
      </c>
    </row>
    <row r="1903">
      <c r="A1903" t="inlineStr">
        <is>
          <t>0000940329</t>
        </is>
      </c>
      <c r="B1903" t="inlineStr">
        <is>
          <t>ADISHWAR STEELS</t>
        </is>
      </c>
      <c r="C1903" t="inlineStr">
        <is>
          <t>KG</t>
        </is>
      </c>
      <c r="D1903" t="n">
        <v>689</v>
      </c>
      <c r="E1903" t="n">
        <v>4135.802</v>
      </c>
      <c r="F1903" t="n">
        <v>2613</v>
      </c>
      <c r="G1903" t="n">
        <v>1940148</v>
      </c>
      <c r="H1903" t="inlineStr">
        <is>
          <t>TUB-S-FH-SHS-19.00X19.00X1.150X6.0000</t>
        </is>
      </c>
    </row>
    <row r="1904">
      <c r="A1904" t="inlineStr">
        <is>
          <t>0000940329</t>
        </is>
      </c>
      <c r="B1904" t="inlineStr">
        <is>
          <t>ADISHWAR STEELS</t>
        </is>
      </c>
      <c r="C1904" t="inlineStr">
        <is>
          <t>KG</t>
        </is>
      </c>
      <c r="D1904" t="n">
        <v>689</v>
      </c>
      <c r="E1904" t="n">
        <v>4135.802</v>
      </c>
      <c r="F1904" t="n">
        <v>2613</v>
      </c>
      <c r="G1904" t="n">
        <v>1940148</v>
      </c>
      <c r="H1904" t="inlineStr">
        <is>
          <t>TUB-S-FH-SHS-19.00X19.00X1.150X6.0000</t>
        </is>
      </c>
    </row>
    <row r="1905">
      <c r="A1905" t="inlineStr">
        <is>
          <t>0000940329</t>
        </is>
      </c>
      <c r="B1905" t="inlineStr">
        <is>
          <t>ADISHWAR STEELS</t>
        </is>
      </c>
      <c r="C1905" t="inlineStr">
        <is>
          <t>KG</t>
        </is>
      </c>
      <c r="D1905" t="n">
        <v>618</v>
      </c>
      <c r="E1905" t="n">
        <v>3705.286</v>
      </c>
      <c r="F1905" t="n">
        <v>2341</v>
      </c>
      <c r="G1905" t="n">
        <v>1940148</v>
      </c>
      <c r="H1905" t="inlineStr">
        <is>
          <t>TUB-S-FH-SHS-19.00X19.00X1.150X6.0000</t>
        </is>
      </c>
    </row>
    <row r="1906">
      <c r="A1906" t="inlineStr">
        <is>
          <t>0000940329</t>
        </is>
      </c>
      <c r="B1906" t="inlineStr">
        <is>
          <t>ADISHWAR STEELS</t>
        </is>
      </c>
      <c r="C1906" t="inlineStr">
        <is>
          <t>KG</t>
        </is>
      </c>
      <c r="D1906" t="n">
        <v>169</v>
      </c>
      <c r="E1906" t="n">
        <v>1014.562</v>
      </c>
      <c r="F1906" t="n">
        <v>641</v>
      </c>
      <c r="G1906" t="n">
        <v>1940148</v>
      </c>
      <c r="H1906" t="inlineStr">
        <is>
          <t>TUB-S-FH-SHS-19.00X19.00X1.150X6.0000</t>
        </is>
      </c>
    </row>
    <row r="1907">
      <c r="A1907" t="inlineStr">
        <is>
          <t>0000940329</t>
        </is>
      </c>
      <c r="B1907" t="inlineStr">
        <is>
          <t>ADISHWAR STEELS</t>
        </is>
      </c>
      <c r="C1907" t="inlineStr">
        <is>
          <t>KG</t>
        </is>
      </c>
      <c r="D1907" t="n">
        <v>18</v>
      </c>
      <c r="E1907" t="n">
        <v>107.629</v>
      </c>
      <c r="F1907" t="n">
        <v>68</v>
      </c>
      <c r="G1907" t="n">
        <v>1940148</v>
      </c>
      <c r="H1907" t="inlineStr">
        <is>
          <t>TUB-S-FH-SHS-19.00X19.00X1.150X6.0000</t>
        </is>
      </c>
    </row>
    <row r="1908">
      <c r="A1908" t="inlineStr">
        <is>
          <t>0000948721</t>
        </is>
      </c>
      <c r="B1908" t="inlineStr">
        <is>
          <t>ELKAYEM AUTO ANCILLARIES PRIVATE LI</t>
        </is>
      </c>
      <c r="C1908" t="inlineStr">
        <is>
          <t>NOS</t>
        </is>
      </c>
      <c r="D1908" t="n">
        <v>842</v>
      </c>
      <c r="E1908" t="n">
        <v>471.481</v>
      </c>
      <c r="F1908" t="n">
        <v>738.434</v>
      </c>
      <c r="G1908" t="n">
        <v>1940823</v>
      </c>
      <c r="H1908" t="inlineStr">
        <is>
          <t>TUB-R-AW-RHS-40.00X25.00X1.600X0.5600</t>
        </is>
      </c>
    </row>
    <row r="1909">
      <c r="A1909" t="inlineStr">
        <is>
          <t>0000948721</t>
        </is>
      </c>
      <c r="B1909" t="inlineStr">
        <is>
          <t>ELKAYEM AUTO ANCILLARIES PRIVATE LI</t>
        </is>
      </c>
      <c r="C1909" t="inlineStr">
        <is>
          <t>NOS</t>
        </is>
      </c>
      <c r="D1909" t="n">
        <v>299</v>
      </c>
      <c r="E1909" t="n">
        <v>167.426</v>
      </c>
      <c r="F1909" t="n">
        <v>262.223</v>
      </c>
      <c r="G1909" t="n">
        <v>1940823</v>
      </c>
      <c r="H1909" t="inlineStr">
        <is>
          <t>TUB-R-AW-RHS-40.00X25.00X1.600X0.5600</t>
        </is>
      </c>
    </row>
    <row r="1910">
      <c r="A1910" t="inlineStr">
        <is>
          <t>0000948721</t>
        </is>
      </c>
      <c r="B1910" t="inlineStr">
        <is>
          <t>ELKAYEM AUTO ANCILLARIES PRIVATE LI</t>
        </is>
      </c>
      <c r="C1910" t="inlineStr">
        <is>
          <t>NOS</t>
        </is>
      </c>
      <c r="D1910" t="n">
        <v>299</v>
      </c>
      <c r="E1910" t="n">
        <v>167.426</v>
      </c>
      <c r="F1910" t="n">
        <v>262.223</v>
      </c>
      <c r="G1910" t="n">
        <v>1940823</v>
      </c>
      <c r="H1910" t="inlineStr">
        <is>
          <t>TUB-R-AW-RHS-40.00X25.00X1.600X0.5600</t>
        </is>
      </c>
    </row>
    <row r="1911">
      <c r="A1911" t="inlineStr">
        <is>
          <t>0000948721</t>
        </is>
      </c>
      <c r="B1911" t="inlineStr">
        <is>
          <t>ELKAYEM AUTO ANCILLARIES PRIVATE LI</t>
        </is>
      </c>
      <c r="C1911" t="inlineStr">
        <is>
          <t>NOS</t>
        </is>
      </c>
      <c r="D1911" t="n">
        <v>543</v>
      </c>
      <c r="E1911" t="n">
        <v>317.576</v>
      </c>
      <c r="F1911" t="n">
        <v>497.388</v>
      </c>
      <c r="G1911" t="n">
        <v>1940825</v>
      </c>
      <c r="H1911" t="inlineStr">
        <is>
          <t>TUB-R-AW-RHS-40.00X25.00X1.600X0.5850</t>
        </is>
      </c>
    </row>
    <row r="1912">
      <c r="A1912" t="inlineStr">
        <is>
          <t>0000948721</t>
        </is>
      </c>
      <c r="B1912" t="inlineStr">
        <is>
          <t>ELKAYEM AUTO ANCILLARIES PRIVATE LI</t>
        </is>
      </c>
      <c r="C1912" t="inlineStr">
        <is>
          <t>NOS</t>
        </is>
      </c>
      <c r="D1912" t="n">
        <v>319</v>
      </c>
      <c r="E1912" t="n">
        <v>186.569</v>
      </c>
      <c r="F1912" t="n">
        <v>292.204</v>
      </c>
      <c r="G1912" t="n">
        <v>1940825</v>
      </c>
      <c r="H1912" t="inlineStr">
        <is>
          <t>TUB-R-AW-RHS-40.00X25.00X1.600X0.5850</t>
        </is>
      </c>
    </row>
    <row r="1913">
      <c r="A1913" t="inlineStr">
        <is>
          <t>0000948721</t>
        </is>
      </c>
      <c r="B1913" t="inlineStr">
        <is>
          <t>ELKAYEM AUTO ANCILLARIES PRIVATE LI</t>
        </is>
      </c>
      <c r="C1913" t="inlineStr">
        <is>
          <t>NOS</t>
        </is>
      </c>
      <c r="D1913" t="n">
        <v>18</v>
      </c>
      <c r="E1913" t="n">
        <v>10.527</v>
      </c>
      <c r="F1913" t="n">
        <v>16.488</v>
      </c>
      <c r="G1913" t="n">
        <v>1940825</v>
      </c>
      <c r="H1913" t="inlineStr">
        <is>
          <t>TUB-R-AW-RHS-40.00X25.00X1.600X0.5850</t>
        </is>
      </c>
    </row>
    <row r="1914">
      <c r="A1914" t="inlineStr">
        <is>
          <t>0000948721</t>
        </is>
      </c>
      <c r="B1914" t="inlineStr">
        <is>
          <t>ELKAYEM AUTO ANCILLARIES PRIVATE LI</t>
        </is>
      </c>
      <c r="C1914" t="inlineStr">
        <is>
          <t>NOS</t>
        </is>
      </c>
      <c r="D1914" t="n">
        <v>1664</v>
      </c>
      <c r="E1914" t="n">
        <v>246.951</v>
      </c>
      <c r="F1914" t="n">
        <v>492.544</v>
      </c>
      <c r="G1914" t="n">
        <v>4098592</v>
      </c>
      <c r="H1914" t="inlineStr">
        <is>
          <t>TUB-R-AW-AUT-40.00X30.00X2.000X0.1480</t>
        </is>
      </c>
    </row>
    <row r="1915">
      <c r="A1915" t="inlineStr">
        <is>
          <t>0000948721</t>
        </is>
      </c>
      <c r="B1915" t="inlineStr">
        <is>
          <t>ELKAYEM AUTO ANCILLARIES PRIVATE LI</t>
        </is>
      </c>
      <c r="C1915" t="inlineStr">
        <is>
          <t>NOS</t>
        </is>
      </c>
      <c r="D1915" t="n">
        <v>483</v>
      </c>
      <c r="E1915" t="n">
        <v>71.681</v>
      </c>
      <c r="F1915" t="n">
        <v>142.968</v>
      </c>
      <c r="G1915" t="n">
        <v>4098592</v>
      </c>
      <c r="H1915" t="inlineStr">
        <is>
          <t>TUB-R-AW-AUT-40.00X30.00X2.000X0.1480</t>
        </is>
      </c>
    </row>
    <row r="1916">
      <c r="A1916" t="inlineStr">
        <is>
          <t>0000948721</t>
        </is>
      </c>
      <c r="B1916" t="inlineStr">
        <is>
          <t>ELKAYEM AUTO ANCILLARIES PRIVATE LI</t>
        </is>
      </c>
      <c r="C1916" t="inlineStr">
        <is>
          <t>NOS</t>
        </is>
      </c>
      <c r="D1916" t="n">
        <v>13</v>
      </c>
      <c r="E1916" t="n">
        <v>1.929</v>
      </c>
      <c r="F1916" t="n">
        <v>3.848</v>
      </c>
      <c r="G1916" t="n">
        <v>4098592</v>
      </c>
      <c r="H1916" t="inlineStr">
        <is>
          <t>TUB-R-AW-AUT-40.00X30.00X2.000X0.1480</t>
        </is>
      </c>
    </row>
    <row r="1917">
      <c r="A1917" t="inlineStr">
        <is>
          <t>0000189270</t>
        </is>
      </c>
      <c r="B1917" t="inlineStr">
        <is>
          <t>Indo Autotech Limited (Unit V)</t>
        </is>
      </c>
      <c r="C1917" t="inlineStr">
        <is>
          <t>NOS</t>
        </is>
      </c>
      <c r="D1917" t="n">
        <v>5000</v>
      </c>
      <c r="E1917" t="n">
        <v>1365.032</v>
      </c>
      <c r="F1917" t="n">
        <v>809.889</v>
      </c>
      <c r="G1917" t="n">
        <v>3508381</v>
      </c>
      <c r="H1917" t="inlineStr">
        <is>
          <t>CUT-O-N-AUT-AW-PE-19.05X1.400X0.2730</t>
        </is>
      </c>
    </row>
    <row r="1918">
      <c r="A1918" t="inlineStr">
        <is>
          <t>0000189270</t>
        </is>
      </c>
      <c r="B1918" t="inlineStr">
        <is>
          <t>Indo Autotech Limited (Unit V)</t>
        </is>
      </c>
      <c r="C1918" t="inlineStr">
        <is>
          <t>NOS</t>
        </is>
      </c>
      <c r="D1918" t="n">
        <v>365</v>
      </c>
      <c r="E1918" t="n">
        <v>200.006</v>
      </c>
      <c r="F1918" t="n">
        <v>168.265</v>
      </c>
      <c r="G1918" t="n">
        <v>3676836</v>
      </c>
      <c r="H1918" t="inlineStr">
        <is>
          <t>TUB-O-N-AUT-AW-PE-19.05X2.000X0.5470</t>
        </is>
      </c>
    </row>
    <row r="1919">
      <c r="A1919" t="inlineStr">
        <is>
          <t>0000189270</t>
        </is>
      </c>
      <c r="B1919" t="inlineStr">
        <is>
          <t>Indo Autotech Limited (Unit V)</t>
        </is>
      </c>
      <c r="C1919" t="inlineStr">
        <is>
          <t>NOS</t>
        </is>
      </c>
      <c r="D1919" t="n">
        <v>192</v>
      </c>
      <c r="E1919" t="n">
        <v>105.209</v>
      </c>
      <c r="F1919" t="n">
        <v>88.512</v>
      </c>
      <c r="G1919" t="n">
        <v>3676836</v>
      </c>
      <c r="H1919" t="inlineStr">
        <is>
          <t>TUB-O-N-AUT-AW-PE-19.05X2.000X0.5470</t>
        </is>
      </c>
    </row>
    <row r="1920">
      <c r="A1920" t="inlineStr">
        <is>
          <t>0000189270</t>
        </is>
      </c>
      <c r="B1920" t="inlineStr">
        <is>
          <t>Indo Autotech Limited (Unit V)</t>
        </is>
      </c>
      <c r="C1920" t="inlineStr">
        <is>
          <t>NOS</t>
        </is>
      </c>
      <c r="D1920" t="n">
        <v>18</v>
      </c>
      <c r="E1920" t="n">
        <v>9.863</v>
      </c>
      <c r="F1920" t="n">
        <v>8.298</v>
      </c>
      <c r="G1920" t="n">
        <v>3676836</v>
      </c>
      <c r="H1920" t="inlineStr">
        <is>
          <t>TUB-O-N-AUT-AW-PE-19.05X2.000X0.5470</t>
        </is>
      </c>
    </row>
    <row r="1921">
      <c r="A1921" t="inlineStr">
        <is>
          <t>0000189270</t>
        </is>
      </c>
      <c r="B1921" t="inlineStr">
        <is>
          <t>Indo Autotech Limited (Unit V)</t>
        </is>
      </c>
      <c r="C1921" t="inlineStr">
        <is>
          <t>NOS</t>
        </is>
      </c>
      <c r="D1921" t="n">
        <v>240</v>
      </c>
      <c r="E1921" t="n">
        <v>69.819</v>
      </c>
      <c r="F1921" t="n">
        <v>206.88</v>
      </c>
      <c r="G1921" t="n">
        <v>1940857</v>
      </c>
      <c r="H1921" t="inlineStr">
        <is>
          <t>TUB-O-O-AUT-AW-CH-41.28X3.150X0.2910</t>
        </is>
      </c>
    </row>
    <row r="1922">
      <c r="A1922" t="inlineStr">
        <is>
          <t>0000189270</t>
        </is>
      </c>
      <c r="B1922" t="inlineStr">
        <is>
          <t>Indo Autotech Limited (Unit V)</t>
        </is>
      </c>
      <c r="C1922" t="inlineStr">
        <is>
          <t>NOS</t>
        </is>
      </c>
      <c r="D1922" t="n">
        <v>1500</v>
      </c>
      <c r="E1922" t="n">
        <v>1581.014</v>
      </c>
      <c r="F1922" t="n">
        <v>2379.9</v>
      </c>
      <c r="G1922" t="n">
        <v>3605736</v>
      </c>
      <c r="H1922" t="inlineStr">
        <is>
          <t>TUB-O-N-AUT-AW-FC-45.00X1.400X1.0540</t>
        </is>
      </c>
    </row>
    <row r="1923">
      <c r="A1923" t="inlineStr">
        <is>
          <t>0000189270</t>
        </is>
      </c>
      <c r="B1923" t="inlineStr">
        <is>
          <t>Indo Autotech Limited (Unit V)</t>
        </is>
      </c>
      <c r="C1923" t="inlineStr">
        <is>
          <t>NOS</t>
        </is>
      </c>
      <c r="D1923" t="n">
        <v>738</v>
      </c>
      <c r="E1923" t="n">
        <v>135.87</v>
      </c>
      <c r="F1923" t="n">
        <v>515.124</v>
      </c>
      <c r="G1923" t="n">
        <v>1940868</v>
      </c>
      <c r="H1923" t="inlineStr">
        <is>
          <t>TUB-O-O-AUT-AW-FC-48.60X3.400X0.1840</t>
        </is>
      </c>
    </row>
    <row r="1924">
      <c r="A1924" t="inlineStr">
        <is>
          <t>0000189270</t>
        </is>
      </c>
      <c r="B1924" t="inlineStr">
        <is>
          <t>Indo Autotech Limited (Unit V)</t>
        </is>
      </c>
      <c r="C1924" t="inlineStr">
        <is>
          <t>NOS</t>
        </is>
      </c>
      <c r="D1924" t="n">
        <v>749</v>
      </c>
      <c r="E1924" t="n">
        <v>137.895</v>
      </c>
      <c r="F1924" t="n">
        <v>522.802</v>
      </c>
      <c r="G1924" t="n">
        <v>1940868</v>
      </c>
      <c r="H1924" t="inlineStr">
        <is>
          <t>TUB-O-O-AUT-AW-FC-48.60X3.400X0.1840</t>
        </is>
      </c>
    </row>
    <row r="1925">
      <c r="A1925" t="inlineStr">
        <is>
          <t>0000189270</t>
        </is>
      </c>
      <c r="B1925" t="inlineStr">
        <is>
          <t>Indo Autotech Limited (Unit V)</t>
        </is>
      </c>
      <c r="C1925" t="inlineStr">
        <is>
          <t>NOS</t>
        </is>
      </c>
      <c r="D1925" t="n">
        <v>560</v>
      </c>
      <c r="E1925" t="n">
        <v>103.099</v>
      </c>
      <c r="F1925" t="n">
        <v>390.88</v>
      </c>
      <c r="G1925" t="n">
        <v>1940868</v>
      </c>
      <c r="H1925" t="inlineStr">
        <is>
          <t>TUB-O-O-AUT-AW-FC-48.60X3.400X0.1840</t>
        </is>
      </c>
    </row>
    <row r="1926">
      <c r="A1926" t="inlineStr">
        <is>
          <t>0000189270</t>
        </is>
      </c>
      <c r="B1926" t="inlineStr">
        <is>
          <t>Indo Autotech Limited (Unit V)</t>
        </is>
      </c>
      <c r="C1926" t="inlineStr">
        <is>
          <t>NOS</t>
        </is>
      </c>
      <c r="D1926" t="n">
        <v>17</v>
      </c>
      <c r="E1926" t="n">
        <v>3.13</v>
      </c>
      <c r="F1926" t="n">
        <v>11.866</v>
      </c>
      <c r="G1926" t="n">
        <v>1940868</v>
      </c>
      <c r="H1926" t="inlineStr">
        <is>
          <t>TUB-O-O-AUT-AW-FC-48.60X3.400X0.1840</t>
        </is>
      </c>
    </row>
    <row r="1927">
      <c r="A1927" t="inlineStr">
        <is>
          <t>0000189270</t>
        </is>
      </c>
      <c r="B1927" t="inlineStr">
        <is>
          <t>Indo Autotech Limited (Unit V)</t>
        </is>
      </c>
      <c r="C1927" t="inlineStr">
        <is>
          <t>NOS</t>
        </is>
      </c>
      <c r="D1927" t="n">
        <v>1000</v>
      </c>
      <c r="E1927" t="n">
        <v>737.037</v>
      </c>
      <c r="F1927" t="n">
        <v>1275</v>
      </c>
      <c r="G1927" t="n">
        <v>1932730</v>
      </c>
      <c r="H1927" t="inlineStr">
        <is>
          <t>TUB-O-N-AUT-AW-FC-50.80X1.420X0.7370</t>
        </is>
      </c>
    </row>
    <row r="1928">
      <c r="A1928" t="inlineStr">
        <is>
          <t>0000189270</t>
        </is>
      </c>
      <c r="B1928" t="inlineStr">
        <is>
          <t>Indo Autotech Limited (Unit V)</t>
        </is>
      </c>
      <c r="C1928" t="inlineStr">
        <is>
          <t>NOS</t>
        </is>
      </c>
      <c r="D1928" t="n">
        <v>906</v>
      </c>
      <c r="E1928" t="n">
        <v>667.755</v>
      </c>
      <c r="F1928" t="n">
        <v>1155.15</v>
      </c>
      <c r="G1928" t="n">
        <v>1932730</v>
      </c>
      <c r="H1928" t="inlineStr">
        <is>
          <t>TUB-O-N-AUT-AW-FC-50.80X1.420X0.7370</t>
        </is>
      </c>
    </row>
    <row r="1929">
      <c r="A1929" t="inlineStr">
        <is>
          <t>0000189270</t>
        </is>
      </c>
      <c r="B1929" t="inlineStr">
        <is>
          <t>Indo Autotech Limited (Unit V)</t>
        </is>
      </c>
      <c r="C1929" t="inlineStr">
        <is>
          <t>NOS</t>
        </is>
      </c>
      <c r="D1929" t="n">
        <v>899</v>
      </c>
      <c r="E1929" t="n">
        <v>662.596</v>
      </c>
      <c r="F1929" t="n">
        <v>1146.225</v>
      </c>
      <c r="G1929" t="n">
        <v>1932730</v>
      </c>
      <c r="H1929" t="inlineStr">
        <is>
          <t>TUB-O-N-AUT-AW-FC-50.80X1.420X0.7370</t>
        </is>
      </c>
    </row>
    <row r="1930">
      <c r="A1930" t="inlineStr">
        <is>
          <t>0000189270</t>
        </is>
      </c>
      <c r="B1930" t="inlineStr">
        <is>
          <t>Indo Autotech Limited (Unit V)</t>
        </is>
      </c>
      <c r="C1930" t="inlineStr">
        <is>
          <t>NOS</t>
        </is>
      </c>
      <c r="D1930" t="n">
        <v>880</v>
      </c>
      <c r="E1930" t="n">
        <v>648.592</v>
      </c>
      <c r="F1930" t="n">
        <v>1122</v>
      </c>
      <c r="G1930" t="n">
        <v>1932730</v>
      </c>
      <c r="H1930" t="inlineStr">
        <is>
          <t>TUB-O-N-AUT-AW-FC-50.80X1.420X0.7370</t>
        </is>
      </c>
    </row>
    <row r="1931">
      <c r="A1931" t="inlineStr">
        <is>
          <t>0000189270</t>
        </is>
      </c>
      <c r="B1931" t="inlineStr">
        <is>
          <t>Indo Autotech Limited (Unit V)</t>
        </is>
      </c>
      <c r="C1931" t="inlineStr">
        <is>
          <t>NOS</t>
        </is>
      </c>
      <c r="D1931" t="n">
        <v>875</v>
      </c>
      <c r="E1931" t="n">
        <v>644.907</v>
      </c>
      <c r="F1931" t="n">
        <v>1115.625</v>
      </c>
      <c r="G1931" t="n">
        <v>1932730</v>
      </c>
      <c r="H1931" t="inlineStr">
        <is>
          <t>TUB-O-N-AUT-AW-FC-50.80X1.420X0.7370</t>
        </is>
      </c>
    </row>
    <row r="1932">
      <c r="A1932" t="inlineStr">
        <is>
          <t>0000189270</t>
        </is>
      </c>
      <c r="B1932" t="inlineStr">
        <is>
          <t>Indo Autotech Limited (Unit V)</t>
        </is>
      </c>
      <c r="C1932" t="inlineStr">
        <is>
          <t>NOS</t>
        </is>
      </c>
      <c r="D1932" t="n">
        <v>440</v>
      </c>
      <c r="E1932" t="n">
        <v>324.296</v>
      </c>
      <c r="F1932" t="n">
        <v>561</v>
      </c>
      <c r="G1932" t="n">
        <v>1932730</v>
      </c>
      <c r="H1932" t="inlineStr">
        <is>
          <t>TUB-O-N-AUT-AW-FC-50.80X1.420X0.7370</t>
        </is>
      </c>
    </row>
    <row r="1933">
      <c r="A1933" t="inlineStr">
        <is>
          <t>0000189270</t>
        </is>
      </c>
      <c r="B1933" t="inlineStr">
        <is>
          <t>Indo Autotech Limited (Unit V)</t>
        </is>
      </c>
      <c r="C1933" t="inlineStr">
        <is>
          <t>NOS</t>
        </is>
      </c>
      <c r="D1933" t="n">
        <v>3860</v>
      </c>
      <c r="E1933" t="n">
        <v>2108.572</v>
      </c>
      <c r="F1933" t="n">
        <v>3037.82</v>
      </c>
      <c r="G1933" t="n">
        <v>1940817</v>
      </c>
      <c r="H1933" t="inlineStr">
        <is>
          <t>TUB-R-AW-RHS-40.00X20.00X1.600X0.5460</t>
        </is>
      </c>
    </row>
    <row r="1934">
      <c r="A1934" t="inlineStr">
        <is>
          <t>0000189270</t>
        </is>
      </c>
      <c r="B1934" t="inlineStr">
        <is>
          <t>Indo Autotech Limited (Unit V)</t>
        </is>
      </c>
      <c r="C1934" t="inlineStr">
        <is>
          <t>NOS</t>
        </is>
      </c>
      <c r="D1934" t="n">
        <v>1269</v>
      </c>
      <c r="E1934" t="n">
        <v>757.571</v>
      </c>
      <c r="F1934" t="n">
        <v>1471.279</v>
      </c>
      <c r="G1934" t="n">
        <v>3676838</v>
      </c>
      <c r="H1934" t="inlineStr">
        <is>
          <t>TUB-R-AW-AUT-50.00X30.00X1.600X0.5970</t>
        </is>
      </c>
    </row>
    <row r="1935">
      <c r="A1935" t="inlineStr">
        <is>
          <t>0000189270</t>
        </is>
      </c>
      <c r="B1935" t="inlineStr">
        <is>
          <t>Indo Autotech Limited (Unit V)</t>
        </is>
      </c>
      <c r="C1935" t="inlineStr">
        <is>
          <t>NOS</t>
        </is>
      </c>
      <c r="D1935" t="n">
        <v>21</v>
      </c>
      <c r="E1935" t="n">
        <v>12.537</v>
      </c>
      <c r="F1935" t="n">
        <v>24.347</v>
      </c>
      <c r="G1935" t="n">
        <v>3676838</v>
      </c>
      <c r="H1935" t="inlineStr">
        <is>
          <t>TUB-R-AW-AUT-50.00X30.00X1.600X0.5970</t>
        </is>
      </c>
    </row>
    <row r="1936">
      <c r="A1936" t="inlineStr">
        <is>
          <t>0000189270</t>
        </is>
      </c>
      <c r="B1936" t="inlineStr">
        <is>
          <t>Indo Autotech Limited (Unit V)</t>
        </is>
      </c>
      <c r="C1936" t="inlineStr">
        <is>
          <t>NOS</t>
        </is>
      </c>
      <c r="D1936" t="n">
        <v>1500</v>
      </c>
      <c r="E1936" t="n">
        <v>672.5119999999999</v>
      </c>
      <c r="F1936" t="n">
        <v>882</v>
      </c>
      <c r="G1936" t="n">
        <v>1940624</v>
      </c>
      <c r="H1936" t="inlineStr">
        <is>
          <t>TUB-O-O-AUT-AW-FC-28.58X2.000X0.4480</t>
        </is>
      </c>
    </row>
    <row r="1937">
      <c r="A1937" t="inlineStr">
        <is>
          <t>0000943209</t>
        </is>
      </c>
      <c r="B1937" t="inlineStr">
        <is>
          <t>MEGH STEELS PRIVATE LIMITED - TVS A</t>
        </is>
      </c>
      <c r="C1937" t="inlineStr">
        <is>
          <t>NOS</t>
        </is>
      </c>
      <c r="D1937" t="n">
        <v>1164</v>
      </c>
      <c r="E1937" t="n">
        <v>3015.621</v>
      </c>
      <c r="F1937" t="n">
        <v>2833.176</v>
      </c>
      <c r="G1937" t="n">
        <v>2409618</v>
      </c>
      <c r="H1937" t="inlineStr">
        <is>
          <t>TUB-O-N-AUT-AW-PE-25.40X1.600X2.5900</t>
        </is>
      </c>
    </row>
    <row r="1938">
      <c r="A1938" t="inlineStr">
        <is>
          <t>0000943209</t>
        </is>
      </c>
      <c r="B1938" t="inlineStr">
        <is>
          <t>MEGH STEELS PRIVATE LIMITED - TVS A</t>
        </is>
      </c>
      <c r="C1938" t="inlineStr">
        <is>
          <t>NOS</t>
        </is>
      </c>
      <c r="D1938" t="n">
        <v>57</v>
      </c>
      <c r="E1938" t="n">
        <v>147.672</v>
      </c>
      <c r="F1938" t="n">
        <v>138.738</v>
      </c>
      <c r="G1938" t="n">
        <v>2409618</v>
      </c>
      <c r="H1938" t="inlineStr">
        <is>
          <t>TUB-O-N-AUT-AW-PE-25.40X1.600X2.5900</t>
        </is>
      </c>
    </row>
    <row r="1939">
      <c r="A1939" t="inlineStr">
        <is>
          <t>0000943209</t>
        </is>
      </c>
      <c r="B1939" t="inlineStr">
        <is>
          <t>MEGH STEELS PRIVATE LIMITED - TVS A</t>
        </is>
      </c>
      <c r="C1939" t="inlineStr">
        <is>
          <t>NOS</t>
        </is>
      </c>
      <c r="D1939" t="n">
        <v>1209</v>
      </c>
      <c r="E1939" t="n">
        <v>3132.204</v>
      </c>
      <c r="F1939" t="n">
        <v>2942.706</v>
      </c>
      <c r="G1939" t="n">
        <v>2409618</v>
      </c>
      <c r="H1939" t="inlineStr">
        <is>
          <t>TUB-O-N-AUT-AW-PE-25.40X1.600X2.5900</t>
        </is>
      </c>
    </row>
    <row r="1940">
      <c r="A1940" t="inlineStr">
        <is>
          <t>0000943209</t>
        </is>
      </c>
      <c r="B1940" t="inlineStr">
        <is>
          <t>MEGH STEELS PRIVATE LIMITED - TVS A</t>
        </is>
      </c>
      <c r="C1940" t="inlineStr">
        <is>
          <t>NOS</t>
        </is>
      </c>
      <c r="D1940" t="n">
        <v>70</v>
      </c>
      <c r="E1940" t="n">
        <v>181.352</v>
      </c>
      <c r="F1940" t="n">
        <v>170.38</v>
      </c>
      <c r="G1940" t="n">
        <v>2409618</v>
      </c>
      <c r="H1940" t="inlineStr">
        <is>
          <t>TUB-O-N-AUT-AW-PE-25.40X1.600X2.5900</t>
        </is>
      </c>
    </row>
    <row r="1941">
      <c r="A1941" t="inlineStr">
        <is>
          <t>0000943209</t>
        </is>
      </c>
      <c r="B1941" t="inlineStr">
        <is>
          <t>MEGH STEELS PRIVATE LIMITED - TVS A</t>
        </is>
      </c>
      <c r="C1941" t="inlineStr">
        <is>
          <t>NOS</t>
        </is>
      </c>
      <c r="D1941" t="n">
        <v>3538</v>
      </c>
      <c r="E1941" t="n">
        <v>1167.569</v>
      </c>
      <c r="F1941" t="n">
        <v>593.008</v>
      </c>
      <c r="G1941" t="n">
        <v>3239890</v>
      </c>
      <c r="H1941" t="inlineStr">
        <is>
          <t>TUB-O-N-AUT-AW-PE-19.05X1.200X0.3300</t>
        </is>
      </c>
    </row>
    <row r="1942">
      <c r="A1942" t="inlineStr">
        <is>
          <t>0000943209</t>
        </is>
      </c>
      <c r="B1942" t="inlineStr">
        <is>
          <t>MEGH STEELS PRIVATE LIMITED - TVS A</t>
        </is>
      </c>
      <c r="C1942" t="inlineStr">
        <is>
          <t>NOS</t>
        </is>
      </c>
      <c r="D1942" t="n">
        <v>2911</v>
      </c>
      <c r="E1942" t="n">
        <v>960.654</v>
      </c>
      <c r="F1942" t="n">
        <v>487.916</v>
      </c>
      <c r="G1942" t="n">
        <v>3239890</v>
      </c>
      <c r="H1942" t="inlineStr">
        <is>
          <t>TUB-O-N-AUT-AW-PE-19.05X1.200X0.3300</t>
        </is>
      </c>
    </row>
    <row r="1943">
      <c r="A1943" t="inlineStr">
        <is>
          <t>0000943209</t>
        </is>
      </c>
      <c r="B1943" t="inlineStr">
        <is>
          <t>MEGH STEELS PRIVATE LIMITED - TVS A</t>
        </is>
      </c>
      <c r="C1943" t="inlineStr">
        <is>
          <t>NOS</t>
        </is>
      </c>
      <c r="D1943" t="n">
        <v>1199</v>
      </c>
      <c r="E1943" t="n">
        <v>395.68</v>
      </c>
      <c r="F1943" t="n">
        <v>200.966</v>
      </c>
      <c r="G1943" t="n">
        <v>3239890</v>
      </c>
      <c r="H1943" t="inlineStr">
        <is>
          <t>TUB-O-N-AUT-AW-PE-19.05X1.200X0.3300</t>
        </is>
      </c>
    </row>
    <row r="1944">
      <c r="A1944" t="inlineStr">
        <is>
          <t>0000943209</t>
        </is>
      </c>
      <c r="B1944" t="inlineStr">
        <is>
          <t>MEGH STEELS PRIVATE LIMITED - TVS A</t>
        </is>
      </c>
      <c r="C1944" t="inlineStr">
        <is>
          <t>NOS</t>
        </is>
      </c>
      <c r="D1944" t="n">
        <v>52</v>
      </c>
      <c r="E1944" t="n">
        <v>17.16</v>
      </c>
      <c r="F1944" t="n">
        <v>8.715999999999999</v>
      </c>
      <c r="G1944" t="n">
        <v>3239890</v>
      </c>
      <c r="H1944" t="inlineStr">
        <is>
          <t>TUB-O-N-AUT-AW-PE-19.05X1.200X0.3300</t>
        </is>
      </c>
    </row>
    <row r="1945">
      <c r="A1945" t="inlineStr">
        <is>
          <t>0000943209</t>
        </is>
      </c>
      <c r="B1945" t="inlineStr">
        <is>
          <t>MEGH STEELS PRIVATE LIMITED - TVS A</t>
        </is>
      </c>
      <c r="C1945" t="inlineStr">
        <is>
          <t>NOS</t>
        </is>
      </c>
      <c r="D1945" t="n">
        <v>2600</v>
      </c>
      <c r="E1945" t="n">
        <v>1338.127</v>
      </c>
      <c r="F1945" t="n">
        <v>707.2</v>
      </c>
      <c r="G1945" t="n">
        <v>2409616</v>
      </c>
      <c r="H1945" t="inlineStr">
        <is>
          <t>TUB-O-N-AUT-AW-PE-19.05X1.200X0.5130</t>
        </is>
      </c>
    </row>
    <row r="1946">
      <c r="A1946" t="inlineStr">
        <is>
          <t>0000943209</t>
        </is>
      </c>
      <c r="B1946" t="inlineStr">
        <is>
          <t>MEGH STEELS PRIVATE LIMITED - TVS A</t>
        </is>
      </c>
      <c r="C1946" t="inlineStr">
        <is>
          <t>NOS</t>
        </is>
      </c>
      <c r="D1946" t="n">
        <v>1190</v>
      </c>
      <c r="E1946" t="n">
        <v>1429.71</v>
      </c>
      <c r="F1946" t="n">
        <v>636.65</v>
      </c>
      <c r="G1946" t="n">
        <v>3635694</v>
      </c>
      <c r="H1946" t="inlineStr">
        <is>
          <t>TUB-O-N-AUT-AW-PE-19.05X1.000X1.2000</t>
        </is>
      </c>
    </row>
    <row r="1947">
      <c r="A1947" t="inlineStr">
        <is>
          <t>0000943209</t>
        </is>
      </c>
      <c r="B1947" t="inlineStr">
        <is>
          <t>MEGH STEELS PRIVATE LIMITED - TVS A</t>
        </is>
      </c>
      <c r="C1947" t="inlineStr">
        <is>
          <t>NOS</t>
        </is>
      </c>
      <c r="D1947" t="n">
        <v>1117</v>
      </c>
      <c r="E1947" t="n">
        <v>1342.005</v>
      </c>
      <c r="F1947" t="n">
        <v>597.595</v>
      </c>
      <c r="G1947" t="n">
        <v>3635694</v>
      </c>
      <c r="H1947" t="inlineStr">
        <is>
          <t>TUB-O-N-AUT-AW-PE-19.05X1.000X1.2000</t>
        </is>
      </c>
    </row>
    <row r="1948">
      <c r="A1948" t="inlineStr">
        <is>
          <t>0000943209</t>
        </is>
      </c>
      <c r="B1948" t="inlineStr">
        <is>
          <t>MEGH STEELS PRIVATE LIMITED - TVS A</t>
        </is>
      </c>
      <c r="C1948" t="inlineStr">
        <is>
          <t>NOS</t>
        </is>
      </c>
      <c r="D1948" t="n">
        <v>174</v>
      </c>
      <c r="E1948" t="n">
        <v>209.05</v>
      </c>
      <c r="F1948" t="n">
        <v>93.09</v>
      </c>
      <c r="G1948" t="n">
        <v>3635694</v>
      </c>
      <c r="H1948" t="inlineStr">
        <is>
          <t>TUB-O-N-AUT-AW-PE-19.05X1.000X1.2000</t>
        </is>
      </c>
    </row>
    <row r="1949">
      <c r="A1949" t="inlineStr">
        <is>
          <t>0000943209</t>
        </is>
      </c>
      <c r="B1949" t="inlineStr">
        <is>
          <t>MEGH STEELS PRIVATE LIMITED - TVS A</t>
        </is>
      </c>
      <c r="C1949" t="inlineStr">
        <is>
          <t>NOS</t>
        </is>
      </c>
      <c r="D1949" t="n">
        <v>3910</v>
      </c>
      <c r="E1949" t="n">
        <v>4697.62</v>
      </c>
      <c r="F1949" t="n">
        <v>2091.85</v>
      </c>
      <c r="G1949" t="n">
        <v>3635694</v>
      </c>
      <c r="H1949" t="inlineStr">
        <is>
          <t>TUB-O-N-AUT-AW-PE-19.05X1.000X1.2000</t>
        </is>
      </c>
    </row>
    <row r="1950">
      <c r="A1950" t="inlineStr">
        <is>
          <t>0000943209</t>
        </is>
      </c>
      <c r="B1950" t="inlineStr">
        <is>
          <t>MEGH STEELS PRIVATE LIMITED - TVS A</t>
        </is>
      </c>
      <c r="C1950" t="inlineStr">
        <is>
          <t>NOS</t>
        </is>
      </c>
      <c r="D1950" t="n">
        <v>499</v>
      </c>
      <c r="E1950" t="n">
        <v>599.5170000000001</v>
      </c>
      <c r="F1950" t="n">
        <v>266.965</v>
      </c>
      <c r="G1950" t="n">
        <v>3635694</v>
      </c>
      <c r="H1950" t="inlineStr">
        <is>
          <t>TUB-O-N-AUT-AW-PE-19.05X1.000X1.2000</t>
        </is>
      </c>
    </row>
    <row r="1951">
      <c r="A1951" t="inlineStr">
        <is>
          <t>0000943209</t>
        </is>
      </c>
      <c r="B1951" t="inlineStr">
        <is>
          <t>MEGH STEELS PRIVATE LIMITED - TVS A</t>
        </is>
      </c>
      <c r="C1951" t="inlineStr">
        <is>
          <t>NOS</t>
        </is>
      </c>
      <c r="D1951" t="n">
        <v>60</v>
      </c>
      <c r="E1951" t="n">
        <v>72.086</v>
      </c>
      <c r="F1951" t="n">
        <v>32.1</v>
      </c>
      <c r="G1951" t="n">
        <v>3635694</v>
      </c>
      <c r="H1951" t="inlineStr">
        <is>
          <t>TUB-O-N-AUT-AW-PE-19.05X1.000X1.2000</t>
        </is>
      </c>
    </row>
    <row r="1952">
      <c r="A1952" t="inlineStr">
        <is>
          <t>0000948721</t>
        </is>
      </c>
      <c r="B1952" t="inlineStr">
        <is>
          <t>ELKAYEM AUTO ANCILLARIES PRIVATE LI</t>
        </is>
      </c>
      <c r="C1952" t="inlineStr">
        <is>
          <t>NOS</t>
        </is>
      </c>
      <c r="D1952" t="n">
        <v>1210</v>
      </c>
      <c r="E1952" t="n">
        <v>620.374</v>
      </c>
      <c r="F1952" t="n">
        <v>971.63</v>
      </c>
      <c r="G1952" t="n">
        <v>1940821</v>
      </c>
      <c r="H1952" t="inlineStr">
        <is>
          <t>TUB-R-AW-RHS-40.00X25.00X1.600X0.5130</t>
        </is>
      </c>
    </row>
    <row r="1953">
      <c r="A1953" t="inlineStr">
        <is>
          <t>0000948721</t>
        </is>
      </c>
      <c r="B1953" t="inlineStr">
        <is>
          <t>ELKAYEM AUTO ANCILLARIES PRIVATE LI</t>
        </is>
      </c>
      <c r="C1953" t="inlineStr">
        <is>
          <t>NOS</t>
        </is>
      </c>
      <c r="D1953" t="n">
        <v>500</v>
      </c>
      <c r="E1953" t="n">
        <v>256.353</v>
      </c>
      <c r="F1953" t="n">
        <v>401.5</v>
      </c>
      <c r="G1953" t="n">
        <v>1940821</v>
      </c>
      <c r="H1953" t="inlineStr">
        <is>
          <t>TUB-R-AW-RHS-40.00X25.00X1.600X0.5130</t>
        </is>
      </c>
    </row>
    <row r="1954">
      <c r="A1954" t="inlineStr">
        <is>
          <t>0000948721</t>
        </is>
      </c>
      <c r="B1954" t="inlineStr">
        <is>
          <t>ELKAYEM AUTO ANCILLARIES PRIVATE LI</t>
        </is>
      </c>
      <c r="C1954" t="inlineStr">
        <is>
          <t>NOS</t>
        </is>
      </c>
      <c r="D1954" t="n">
        <v>490</v>
      </c>
      <c r="E1954" t="n">
        <v>251.226</v>
      </c>
      <c r="F1954" t="n">
        <v>393.47</v>
      </c>
      <c r="G1954" t="n">
        <v>1940821</v>
      </c>
      <c r="H1954" t="inlineStr">
        <is>
          <t>TUB-R-AW-RHS-40.00X25.00X1.600X0.5130</t>
        </is>
      </c>
    </row>
    <row r="1955">
      <c r="A1955" t="inlineStr">
        <is>
          <t>0000948721</t>
        </is>
      </c>
      <c r="B1955" t="inlineStr">
        <is>
          <t>ELKAYEM AUTO ANCILLARIES PRIVATE LI</t>
        </is>
      </c>
      <c r="C1955" t="inlineStr">
        <is>
          <t>NOS</t>
        </is>
      </c>
      <c r="D1955" t="n">
        <v>161</v>
      </c>
      <c r="E1955" t="n">
        <v>82.54600000000001</v>
      </c>
      <c r="F1955" t="n">
        <v>129.283</v>
      </c>
      <c r="G1955" t="n">
        <v>1940821</v>
      </c>
      <c r="H1955" t="inlineStr">
        <is>
          <t>TUB-R-AW-RHS-40.00X25.00X1.600X0.5130</t>
        </is>
      </c>
    </row>
    <row r="1956">
      <c r="A1956" t="inlineStr">
        <is>
          <t>0000948721</t>
        </is>
      </c>
      <c r="B1956" t="inlineStr">
        <is>
          <t>ELKAYEM AUTO ANCILLARIES PRIVATE LI</t>
        </is>
      </c>
      <c r="C1956" t="inlineStr">
        <is>
          <t>NOS</t>
        </is>
      </c>
      <c r="D1956" t="n">
        <v>99</v>
      </c>
      <c r="E1956" t="n">
        <v>50.758</v>
      </c>
      <c r="F1956" t="n">
        <v>79.497</v>
      </c>
      <c r="G1956" t="n">
        <v>1940821</v>
      </c>
      <c r="H1956" t="inlineStr">
        <is>
          <t>TUB-R-AW-RHS-40.00X25.00X1.600X0.5130</t>
        </is>
      </c>
    </row>
    <row r="1957">
      <c r="A1957" t="inlineStr">
        <is>
          <t>0000948721</t>
        </is>
      </c>
      <c r="B1957" t="inlineStr">
        <is>
          <t>ELKAYEM AUTO ANCILLARIES PRIVATE LI</t>
        </is>
      </c>
      <c r="C1957" t="inlineStr">
        <is>
          <t>NOS</t>
        </is>
      </c>
      <c r="D1957" t="n">
        <v>2118</v>
      </c>
      <c r="E1957" t="n">
        <v>1017.322</v>
      </c>
      <c r="F1957" t="n">
        <v>1465.656</v>
      </c>
      <c r="G1957" t="n">
        <v>1940815</v>
      </c>
      <c r="H1957" t="inlineStr">
        <is>
          <t>TUB-R-AW-RHS-40.00X20.00X1.600X0.4800</t>
        </is>
      </c>
    </row>
    <row r="1958">
      <c r="A1958" t="inlineStr">
        <is>
          <t>0000948721</t>
        </is>
      </c>
      <c r="B1958" t="inlineStr">
        <is>
          <t>ELKAYEM AUTO ANCILLARIES PRIVATE LI</t>
        </is>
      </c>
      <c r="C1958" t="inlineStr">
        <is>
          <t>NOS</t>
        </is>
      </c>
      <c r="D1958" t="n">
        <v>1618</v>
      </c>
      <c r="E1958" t="n">
        <v>777.1609999999999</v>
      </c>
      <c r="F1958" t="n">
        <v>1119.656</v>
      </c>
      <c r="G1958" t="n">
        <v>1940815</v>
      </c>
      <c r="H1958" t="inlineStr">
        <is>
          <t>TUB-R-AW-RHS-40.00X20.00X1.600X0.4800</t>
        </is>
      </c>
    </row>
    <row r="1959">
      <c r="A1959" t="inlineStr">
        <is>
          <t>0000948721</t>
        </is>
      </c>
      <c r="B1959" t="inlineStr">
        <is>
          <t>ELKAYEM AUTO ANCILLARIES PRIVATE LI</t>
        </is>
      </c>
      <c r="C1959" t="inlineStr">
        <is>
          <t>NOS</t>
        </is>
      </c>
      <c r="D1959" t="n">
        <v>424</v>
      </c>
      <c r="E1959" t="n">
        <v>203.657</v>
      </c>
      <c r="F1959" t="n">
        <v>293.408</v>
      </c>
      <c r="G1959" t="n">
        <v>1940815</v>
      </c>
      <c r="H1959" t="inlineStr">
        <is>
          <t>TUB-R-AW-RHS-40.00X20.00X1.600X0.4800</t>
        </is>
      </c>
    </row>
    <row r="1960">
      <c r="A1960" t="inlineStr">
        <is>
          <t>0000948721</t>
        </is>
      </c>
      <c r="B1960" t="inlineStr">
        <is>
          <t>ELKAYEM AUTO ANCILLARIES PRIVATE LI</t>
        </is>
      </c>
      <c r="C1960" t="inlineStr">
        <is>
          <t>NOS</t>
        </is>
      </c>
      <c r="D1960" t="n">
        <v>2090</v>
      </c>
      <c r="E1960" t="n">
        <v>310.173</v>
      </c>
      <c r="F1960" t="n">
        <v>618.64</v>
      </c>
      <c r="G1960" t="n">
        <v>4098592</v>
      </c>
      <c r="H1960" t="inlineStr">
        <is>
          <t>TUB-R-AW-AUT-40.00X30.00X2.000X0.1480</t>
        </is>
      </c>
    </row>
    <row r="1961">
      <c r="A1961" t="inlineStr">
        <is>
          <t>0000948721</t>
        </is>
      </c>
      <c r="B1961" t="inlineStr">
        <is>
          <t>ELKAYEM AUTO ANCILLARIES PRIVATE LI</t>
        </is>
      </c>
      <c r="C1961" t="inlineStr">
        <is>
          <t>NOS</t>
        </is>
      </c>
      <c r="D1961" t="n">
        <v>439</v>
      </c>
      <c r="E1961" t="n">
        <v>65.151</v>
      </c>
      <c r="F1961" t="n">
        <v>129.944</v>
      </c>
      <c r="G1961" t="n">
        <v>4098592</v>
      </c>
      <c r="H1961" t="inlineStr">
        <is>
          <t>TUB-R-AW-AUT-40.00X30.00X2.000X0.1480</t>
        </is>
      </c>
    </row>
    <row r="1962">
      <c r="A1962" t="inlineStr">
        <is>
          <t>0000948721</t>
        </is>
      </c>
      <c r="B1962" t="inlineStr">
        <is>
          <t>ELKAYEM AUTO ANCILLARIES PRIVATE LI</t>
        </is>
      </c>
      <c r="C1962" t="inlineStr">
        <is>
          <t>NOS</t>
        </is>
      </c>
      <c r="D1962" t="n">
        <v>11</v>
      </c>
      <c r="E1962" t="n">
        <v>1.632</v>
      </c>
      <c r="F1962" t="n">
        <v>3.256</v>
      </c>
      <c r="G1962" t="n">
        <v>4098592</v>
      </c>
      <c r="H1962" t="inlineStr">
        <is>
          <t>TUB-R-AW-AUT-40.00X30.00X2.000X0.1480</t>
        </is>
      </c>
    </row>
    <row r="1963">
      <c r="A1963" t="inlineStr">
        <is>
          <t>0000944141</t>
        </is>
      </c>
      <c r="B1963" t="inlineStr">
        <is>
          <t>SRIKAM HITECH ENGINEERING PRIVATE L</t>
        </is>
      </c>
      <c r="C1963" t="inlineStr">
        <is>
          <t>NOS</t>
        </is>
      </c>
      <c r="D1963" t="n">
        <v>10738</v>
      </c>
      <c r="E1963" t="n">
        <v>4686.088</v>
      </c>
      <c r="F1963" t="n">
        <v>2641.548</v>
      </c>
      <c r="G1963" t="n">
        <v>3620428</v>
      </c>
      <c r="H1963" t="inlineStr">
        <is>
          <t>TUB-O-N-AUT-AW-PE-15.88X1.600X0.4350</t>
        </is>
      </c>
    </row>
    <row r="1964">
      <c r="A1964" t="inlineStr">
        <is>
          <t>0000944141</t>
        </is>
      </c>
      <c r="B1964" t="inlineStr">
        <is>
          <t>SRIKAM HITECH ENGINEERING PRIVATE L</t>
        </is>
      </c>
      <c r="C1964" t="inlineStr">
        <is>
          <t>NOS</t>
        </is>
      </c>
      <c r="D1964" t="n">
        <v>5012</v>
      </c>
      <c r="E1964" t="n">
        <v>2187.249</v>
      </c>
      <c r="F1964" t="n">
        <v>1232.952</v>
      </c>
      <c r="G1964" t="n">
        <v>3620428</v>
      </c>
      <c r="H1964" t="inlineStr">
        <is>
          <t>TUB-O-N-AUT-AW-PE-15.88X1.600X0.4350</t>
        </is>
      </c>
    </row>
    <row r="1965">
      <c r="A1965" t="inlineStr">
        <is>
          <t>0000944141</t>
        </is>
      </c>
      <c r="B1965" t="inlineStr">
        <is>
          <t>SRIKAM HITECH ENGINEERING PRIVATE L</t>
        </is>
      </c>
      <c r="C1965" t="inlineStr">
        <is>
          <t>NOS</t>
        </is>
      </c>
      <c r="D1965" t="n">
        <v>3906</v>
      </c>
      <c r="E1965" t="n">
        <v>3469.204</v>
      </c>
      <c r="F1965" t="n">
        <v>1507.716</v>
      </c>
      <c r="G1965" t="n">
        <v>1940043</v>
      </c>
      <c r="H1965" t="inlineStr">
        <is>
          <t>TUB-O-O-AUT-AW-PE-15.88X1.200X0.8880</t>
        </is>
      </c>
    </row>
    <row r="1966">
      <c r="A1966" t="inlineStr">
        <is>
          <t>0000944141</t>
        </is>
      </c>
      <c r="B1966" t="inlineStr">
        <is>
          <t>SRIKAM HITECH ENGINEERING PRIVATE L</t>
        </is>
      </c>
      <c r="C1966" t="inlineStr">
        <is>
          <t>NOS</t>
        </is>
      </c>
      <c r="D1966" t="n">
        <v>3608</v>
      </c>
      <c r="E1966" t="n">
        <v>3204.528</v>
      </c>
      <c r="F1966" t="n">
        <v>1392.688</v>
      </c>
      <c r="G1966" t="n">
        <v>1940043</v>
      </c>
      <c r="H1966" t="inlineStr">
        <is>
          <t>TUB-O-O-AUT-AW-PE-15.88X1.200X0.8880</t>
        </is>
      </c>
    </row>
    <row r="1967">
      <c r="A1967" t="inlineStr">
        <is>
          <t>0000944141</t>
        </is>
      </c>
      <c r="B1967" t="inlineStr">
        <is>
          <t>SRIKAM HITECH ENGINEERING PRIVATE L</t>
        </is>
      </c>
      <c r="C1967" t="inlineStr">
        <is>
          <t>NOS</t>
        </is>
      </c>
      <c r="D1967" t="n">
        <v>2150</v>
      </c>
      <c r="E1967" t="n">
        <v>1909.572</v>
      </c>
      <c r="F1967" t="n">
        <v>829.9</v>
      </c>
      <c r="G1967" t="n">
        <v>1940043</v>
      </c>
      <c r="H1967" t="inlineStr">
        <is>
          <t>TUB-O-O-AUT-AW-PE-15.88X1.200X0.8880</t>
        </is>
      </c>
    </row>
    <row r="1968">
      <c r="A1968" t="inlineStr">
        <is>
          <t>0000944141</t>
        </is>
      </c>
      <c r="B1968" t="inlineStr">
        <is>
          <t>SRIKAM HITECH ENGINEERING PRIVATE L</t>
        </is>
      </c>
      <c r="C1968" t="inlineStr">
        <is>
          <t>NOS</t>
        </is>
      </c>
      <c r="D1968" t="n">
        <v>1468</v>
      </c>
      <c r="E1968" t="n">
        <v>1303.838</v>
      </c>
      <c r="F1968" t="n">
        <v>566.648</v>
      </c>
      <c r="G1968" t="n">
        <v>1940043</v>
      </c>
      <c r="H1968" t="inlineStr">
        <is>
          <t>TUB-O-O-AUT-AW-PE-15.88X1.200X0.8880</t>
        </is>
      </c>
    </row>
    <row r="1969">
      <c r="A1969" t="inlineStr">
        <is>
          <t>0000944141</t>
        </is>
      </c>
      <c r="B1969" t="inlineStr">
        <is>
          <t>SRIKAM HITECH ENGINEERING PRIVATE L</t>
        </is>
      </c>
      <c r="C1969" t="inlineStr">
        <is>
          <t>NOS</t>
        </is>
      </c>
      <c r="D1969" t="n">
        <v>1349</v>
      </c>
      <c r="E1969" t="n">
        <v>1198.145</v>
      </c>
      <c r="F1969" t="n">
        <v>520.7140000000001</v>
      </c>
      <c r="G1969" t="n">
        <v>1940043</v>
      </c>
      <c r="H1969" t="inlineStr">
        <is>
          <t>TUB-O-O-AUT-AW-PE-15.88X1.200X0.8880</t>
        </is>
      </c>
    </row>
    <row r="1970">
      <c r="A1970" t="inlineStr">
        <is>
          <t>0000944141</t>
        </is>
      </c>
      <c r="B1970" t="inlineStr">
        <is>
          <t>SRIKAM HITECH ENGINEERING PRIVATE L</t>
        </is>
      </c>
      <c r="C1970" t="inlineStr">
        <is>
          <t>NOS</t>
        </is>
      </c>
      <c r="D1970" t="n">
        <v>19</v>
      </c>
      <c r="E1970" t="n">
        <v>16.875</v>
      </c>
      <c r="F1970" t="n">
        <v>7.334</v>
      </c>
      <c r="G1970" t="n">
        <v>1940043</v>
      </c>
      <c r="H1970" t="inlineStr">
        <is>
          <t>TUB-O-O-AUT-AW-PE-15.88X1.200X0.8880</t>
        </is>
      </c>
    </row>
    <row r="1971">
      <c r="A1971" t="inlineStr">
        <is>
          <t>0000944141</t>
        </is>
      </c>
      <c r="B1971" t="inlineStr">
        <is>
          <t>SRIKAM HITECH ENGINEERING PRIVATE L</t>
        </is>
      </c>
      <c r="C1971" t="inlineStr">
        <is>
          <t>NOS</t>
        </is>
      </c>
      <c r="D1971" t="n">
        <v>650</v>
      </c>
      <c r="E1971" t="n">
        <v>370.686</v>
      </c>
      <c r="F1971" t="n">
        <v>352.3</v>
      </c>
      <c r="G1971" t="n">
        <v>1940325</v>
      </c>
      <c r="H1971" t="inlineStr">
        <is>
          <t>TUB-O-O-AUT-AW-PE-19.05X2.300X0.5700</t>
        </is>
      </c>
    </row>
    <row r="1972">
      <c r="A1972" t="inlineStr">
        <is>
          <t>0000944141</t>
        </is>
      </c>
      <c r="B1972" t="inlineStr">
        <is>
          <t>SRIKAM HITECH ENGINEERING PRIVATE L</t>
        </is>
      </c>
      <c r="C1972" t="inlineStr">
        <is>
          <t>NOS</t>
        </is>
      </c>
      <c r="D1972" t="n">
        <v>4218</v>
      </c>
      <c r="E1972" t="n">
        <v>1185.277</v>
      </c>
      <c r="F1972" t="n">
        <v>1336.637</v>
      </c>
      <c r="G1972" t="n">
        <v>1940584</v>
      </c>
      <c r="H1972" t="inlineStr">
        <is>
          <t>TUB-O-O-AUT-AW-FC-25.40X2.000X0.2810</t>
        </is>
      </c>
    </row>
    <row r="1973">
      <c r="A1973" t="inlineStr">
        <is>
          <t>0000944141</t>
        </is>
      </c>
      <c r="B1973" t="inlineStr">
        <is>
          <t>SRIKAM HITECH ENGINEERING PRIVATE L</t>
        </is>
      </c>
      <c r="C1973" t="inlineStr">
        <is>
          <t>NOS</t>
        </is>
      </c>
      <c r="D1973" t="n">
        <v>1915</v>
      </c>
      <c r="E1973" t="n">
        <v>538.124</v>
      </c>
      <c r="F1973" t="n">
        <v>606.842</v>
      </c>
      <c r="G1973" t="n">
        <v>1940584</v>
      </c>
      <c r="H1973" t="inlineStr">
        <is>
          <t>TUB-O-O-AUT-AW-FC-25.40X2.000X0.2810</t>
        </is>
      </c>
    </row>
    <row r="1974">
      <c r="A1974" t="inlineStr">
        <is>
          <t>0000944141</t>
        </is>
      </c>
      <c r="B1974" t="inlineStr">
        <is>
          <t>SRIKAM HITECH ENGINEERING PRIVATE L</t>
        </is>
      </c>
      <c r="C1974" t="inlineStr">
        <is>
          <t>NOS</t>
        </is>
      </c>
      <c r="D1974" t="n">
        <v>117</v>
      </c>
      <c r="E1974" t="n">
        <v>32.878</v>
      </c>
      <c r="F1974" t="n">
        <v>37.076</v>
      </c>
      <c r="G1974" t="n">
        <v>1940584</v>
      </c>
      <c r="H1974" t="inlineStr">
        <is>
          <t>TUB-O-O-AUT-AW-FC-25.40X2.000X0.2810</t>
        </is>
      </c>
    </row>
    <row r="1975">
      <c r="A1975" t="inlineStr">
        <is>
          <t>0000949971</t>
        </is>
      </c>
      <c r="B1975" t="inlineStr">
        <is>
          <t>SANDHAR ENGINEERING PVTLTD (KA)UIII</t>
        </is>
      </c>
      <c r="C1975" t="inlineStr">
        <is>
          <t>NOS</t>
        </is>
      </c>
      <c r="D1975" t="n">
        <v>3174</v>
      </c>
      <c r="E1975" t="n">
        <v>2666.198</v>
      </c>
      <c r="F1975" t="n">
        <v>2661.399</v>
      </c>
      <c r="G1975" t="n">
        <v>3943202</v>
      </c>
      <c r="H1975" t="inlineStr">
        <is>
          <t>CUT-O-N-AUT-AW-FC-22.23X2.000X0.8400</t>
        </is>
      </c>
    </row>
    <row r="1976">
      <c r="A1976" t="inlineStr">
        <is>
          <t>0000949971</t>
        </is>
      </c>
      <c r="B1976" t="inlineStr">
        <is>
          <t>SANDHAR ENGINEERING PVTLTD (KA)UIII</t>
        </is>
      </c>
      <c r="C1976" t="inlineStr">
        <is>
          <t>NOS</t>
        </is>
      </c>
      <c r="D1976" t="n">
        <v>1324</v>
      </c>
      <c r="E1976" t="n">
        <v>1112.176</v>
      </c>
      <c r="F1976" t="n">
        <v>1110.174</v>
      </c>
      <c r="G1976" t="n">
        <v>3943202</v>
      </c>
      <c r="H1976" t="inlineStr">
        <is>
          <t>CUT-O-N-AUT-AW-FC-22.23X2.000X0.8400</t>
        </is>
      </c>
    </row>
    <row r="1977">
      <c r="A1977" t="inlineStr">
        <is>
          <t>0000949971</t>
        </is>
      </c>
      <c r="B1977" t="inlineStr">
        <is>
          <t>SANDHAR ENGINEERING PVTLTD (KA)UIII</t>
        </is>
      </c>
      <c r="C1977" t="inlineStr">
        <is>
          <t>NOS</t>
        </is>
      </c>
      <c r="D1977" t="n">
        <v>1049</v>
      </c>
      <c r="E1977" t="n">
        <v>881.173</v>
      </c>
      <c r="F1977" t="n">
        <v>879.587</v>
      </c>
      <c r="G1977" t="n">
        <v>3943202</v>
      </c>
      <c r="H1977" t="inlineStr">
        <is>
          <t>CUT-O-N-AUT-AW-FC-22.23X2.000X0.8400</t>
        </is>
      </c>
    </row>
    <row r="1978">
      <c r="A1978" t="inlineStr">
        <is>
          <t>0000949971</t>
        </is>
      </c>
      <c r="B1978" t="inlineStr">
        <is>
          <t>SANDHAR ENGINEERING PVTLTD (KA)UIII</t>
        </is>
      </c>
      <c r="C1978" t="inlineStr">
        <is>
          <t>NOS</t>
        </is>
      </c>
      <c r="D1978" t="n">
        <v>503</v>
      </c>
      <c r="E1978" t="n">
        <v>422.526</v>
      </c>
      <c r="F1978" t="n">
        <v>421.766</v>
      </c>
      <c r="G1978" t="n">
        <v>3943202</v>
      </c>
      <c r="H1978" t="inlineStr">
        <is>
          <t>CUT-O-N-AUT-AW-FC-22.23X2.000X0.8400</t>
        </is>
      </c>
    </row>
    <row r="1979">
      <c r="A1979" t="inlineStr">
        <is>
          <t>0000949971</t>
        </is>
      </c>
      <c r="B1979" t="inlineStr">
        <is>
          <t>SANDHAR ENGINEERING PVTLTD (KA)UIII</t>
        </is>
      </c>
      <c r="C1979" t="inlineStr">
        <is>
          <t>NOS</t>
        </is>
      </c>
      <c r="D1979" t="n">
        <v>2851</v>
      </c>
      <c r="E1979" t="n">
        <v>2650.764</v>
      </c>
      <c r="F1979" t="n">
        <v>2645.728</v>
      </c>
      <c r="G1979" t="n">
        <v>1940479</v>
      </c>
      <c r="H1979" t="inlineStr">
        <is>
          <t>TUB-O-O-AUT-AW-PE-22.23X2.00X0.930-MAHS</t>
        </is>
      </c>
    </row>
    <row r="1980">
      <c r="A1980" t="inlineStr">
        <is>
          <t>0000949971</t>
        </is>
      </c>
      <c r="B1980" t="inlineStr">
        <is>
          <t>SANDHAR ENGINEERING PVTLTD (KA)UIII</t>
        </is>
      </c>
      <c r="C1980" t="inlineStr">
        <is>
          <t>NOS</t>
        </is>
      </c>
      <c r="D1980" t="n">
        <v>2024</v>
      </c>
      <c r="E1980" t="n">
        <v>1881.848</v>
      </c>
      <c r="F1980" t="n">
        <v>1878.272</v>
      </c>
      <c r="G1980" t="n">
        <v>1940479</v>
      </c>
      <c r="H1980" t="inlineStr">
        <is>
          <t>TUB-O-O-AUT-AW-PE-22.23X2.00X0.930-MAHS</t>
        </is>
      </c>
    </row>
    <row r="1981">
      <c r="A1981" t="inlineStr">
        <is>
          <t>0000949971</t>
        </is>
      </c>
      <c r="B1981" t="inlineStr">
        <is>
          <t>SANDHAR ENGINEERING PVTLTD (KA)UIII</t>
        </is>
      </c>
      <c r="C1981" t="inlineStr">
        <is>
          <t>NOS</t>
        </is>
      </c>
      <c r="D1981" t="n">
        <v>78</v>
      </c>
      <c r="E1981" t="n">
        <v>66.693</v>
      </c>
      <c r="F1981" t="n">
        <v>66.57299999999999</v>
      </c>
      <c r="G1981" t="n">
        <v>3943203</v>
      </c>
      <c r="H1981" t="inlineStr">
        <is>
          <t>CUT-O-N-AUT-AW-FC-22.23X2.000X0.8550</t>
        </is>
      </c>
    </row>
    <row r="1982">
      <c r="A1982" t="inlineStr">
        <is>
          <t>0000949971</t>
        </is>
      </c>
      <c r="B1982" t="inlineStr">
        <is>
          <t>SANDHAR ENGINEERING PVTLTD (KA)UIII</t>
        </is>
      </c>
      <c r="C1982" t="inlineStr">
        <is>
          <t>NOS</t>
        </is>
      </c>
      <c r="D1982" t="n">
        <v>2875</v>
      </c>
      <c r="E1982" t="n">
        <v>2458.237</v>
      </c>
      <c r="F1982" t="n">
        <v>2453.813</v>
      </c>
      <c r="G1982" t="n">
        <v>3943203</v>
      </c>
      <c r="H1982" t="inlineStr">
        <is>
          <t>CUT-O-N-AUT-AW-FC-22.23X2.000X0.8550</t>
        </is>
      </c>
    </row>
    <row r="1983">
      <c r="A1983" t="inlineStr">
        <is>
          <t>0000949971</t>
        </is>
      </c>
      <c r="B1983" t="inlineStr">
        <is>
          <t>SANDHAR ENGINEERING PVTLTD (KA)UIII</t>
        </is>
      </c>
      <c r="C1983" t="inlineStr">
        <is>
          <t>NOS</t>
        </is>
      </c>
      <c r="D1983" t="n">
        <v>466</v>
      </c>
      <c r="E1983" t="n">
        <v>398.448</v>
      </c>
      <c r="F1983" t="n">
        <v>397.731</v>
      </c>
      <c r="G1983" t="n">
        <v>3943203</v>
      </c>
      <c r="H1983" t="inlineStr">
        <is>
          <t>CUT-O-N-AUT-AW-FC-22.23X2.000X0.8550</t>
        </is>
      </c>
    </row>
    <row r="1984">
      <c r="A1984" t="inlineStr">
        <is>
          <t>0000949971</t>
        </is>
      </c>
      <c r="B1984" t="inlineStr">
        <is>
          <t>SANDHAR ENGINEERING PVTLTD (KA)UIII</t>
        </is>
      </c>
      <c r="C1984" t="inlineStr">
        <is>
          <t>NOS</t>
        </is>
      </c>
      <c r="D1984" t="n">
        <v>6</v>
      </c>
      <c r="E1984" t="n">
        <v>5.13</v>
      </c>
      <c r="F1984" t="n">
        <v>5.121</v>
      </c>
      <c r="G1984" t="n">
        <v>3943203</v>
      </c>
      <c r="H1984" t="inlineStr">
        <is>
          <t>CUT-O-N-AUT-AW-FC-22.23X2.000X0.8550</t>
        </is>
      </c>
    </row>
    <row r="1985">
      <c r="A1985" t="inlineStr">
        <is>
          <t>0000949970</t>
        </is>
      </c>
      <c r="B1985" t="inlineStr">
        <is>
          <t>SANDHAR ENGINEERING PVTLTD(KA)U-III</t>
        </is>
      </c>
      <c r="C1985" t="inlineStr">
        <is>
          <t>NOS</t>
        </is>
      </c>
      <c r="D1985" t="n">
        <v>278</v>
      </c>
      <c r="E1985" t="n">
        <v>251.512</v>
      </c>
      <c r="F1985" t="n">
        <v>251.034</v>
      </c>
      <c r="G1985" t="n">
        <v>1940478</v>
      </c>
      <c r="H1985" t="inlineStr">
        <is>
          <t>TUB-O-O-AUT-AW-PE-22.23X2.00X0.905-MAHS</t>
        </is>
      </c>
    </row>
    <row r="1986">
      <c r="A1986" t="inlineStr">
        <is>
          <t>0000949970</t>
        </is>
      </c>
      <c r="B1986" t="inlineStr">
        <is>
          <t>SANDHAR ENGINEERING PVTLTD(KA)U-III</t>
        </is>
      </c>
      <c r="C1986" t="inlineStr">
        <is>
          <t>NOS</t>
        </is>
      </c>
      <c r="D1986" t="n">
        <v>2651</v>
      </c>
      <c r="E1986" t="n">
        <v>2398.41</v>
      </c>
      <c r="F1986" t="n">
        <v>2393.853</v>
      </c>
      <c r="G1986" t="n">
        <v>1940478</v>
      </c>
      <c r="H1986" t="inlineStr">
        <is>
          <t>TUB-O-O-AUT-AW-PE-22.23X2.00X0.905-MAHS</t>
        </is>
      </c>
    </row>
    <row r="1987">
      <c r="A1987" t="inlineStr">
        <is>
          <t>0000949970</t>
        </is>
      </c>
      <c r="B1987" t="inlineStr">
        <is>
          <t>SANDHAR ENGINEERING PVTLTD(KA)U-III</t>
        </is>
      </c>
      <c r="C1987" t="inlineStr">
        <is>
          <t>NOS</t>
        </is>
      </c>
      <c r="D1987" t="n">
        <v>524</v>
      </c>
      <c r="E1987" t="n">
        <v>474.073</v>
      </c>
      <c r="F1987" t="n">
        <v>473.172</v>
      </c>
      <c r="G1987" t="n">
        <v>1940478</v>
      </c>
      <c r="H1987" t="inlineStr">
        <is>
          <t>TUB-O-O-AUT-AW-PE-22.23X2.00X0.905-MAHS</t>
        </is>
      </c>
    </row>
    <row r="1988">
      <c r="A1988" t="inlineStr">
        <is>
          <t>0000949970</t>
        </is>
      </c>
      <c r="B1988" t="inlineStr">
        <is>
          <t>SANDHAR ENGINEERING PVTLTD(KA)U-III</t>
        </is>
      </c>
      <c r="C1988" t="inlineStr">
        <is>
          <t>NOS</t>
        </is>
      </c>
      <c r="D1988" t="n">
        <v>22</v>
      </c>
      <c r="E1988" t="n">
        <v>19.904</v>
      </c>
      <c r="F1988" t="n">
        <v>19.866</v>
      </c>
      <c r="G1988" t="n">
        <v>1940478</v>
      </c>
      <c r="H1988" t="inlineStr">
        <is>
          <t>TUB-O-O-AUT-AW-PE-22.23X2.00X0.905-MAHS</t>
        </is>
      </c>
    </row>
    <row r="1989">
      <c r="A1989" t="inlineStr">
        <is>
          <t>0000188647</t>
        </is>
      </c>
      <c r="B1989" t="inlineStr">
        <is>
          <t>Metalman Auto Private Limited</t>
        </is>
      </c>
      <c r="C1989" t="inlineStr">
        <is>
          <t>NOS</t>
        </is>
      </c>
      <c r="D1989" t="n">
        <v>2449</v>
      </c>
      <c r="E1989" t="n">
        <v>823.721</v>
      </c>
      <c r="F1989" t="n">
        <v>1155.928</v>
      </c>
      <c r="G1989" t="n">
        <v>2325421</v>
      </c>
      <c r="H1989" t="inlineStr">
        <is>
          <t>TUB-O-N-AUT-AW-FC-48.60X1.200X0.3360</t>
        </is>
      </c>
    </row>
    <row r="1990">
      <c r="A1990" t="inlineStr">
        <is>
          <t>0000188647</t>
        </is>
      </c>
      <c r="B1990" t="inlineStr">
        <is>
          <t>Metalman Auto Private Limited</t>
        </is>
      </c>
      <c r="C1990" t="inlineStr">
        <is>
          <t>NOS</t>
        </is>
      </c>
      <c r="D1990" t="n">
        <v>1349</v>
      </c>
      <c r="E1990" t="n">
        <v>453.736</v>
      </c>
      <c r="F1990" t="n">
        <v>636.728</v>
      </c>
      <c r="G1990" t="n">
        <v>2325421</v>
      </c>
      <c r="H1990" t="inlineStr">
        <is>
          <t>TUB-O-N-AUT-AW-FC-48.60X1.200X0.3360</t>
        </is>
      </c>
    </row>
    <row r="1991">
      <c r="A1991" t="inlineStr">
        <is>
          <t>0000188647</t>
        </is>
      </c>
      <c r="B1991" t="inlineStr">
        <is>
          <t>Metalman Auto Private Limited</t>
        </is>
      </c>
      <c r="C1991" t="inlineStr">
        <is>
          <t>NOS</t>
        </is>
      </c>
      <c r="D1991" t="n">
        <v>88</v>
      </c>
      <c r="E1991" t="n">
        <v>29.599</v>
      </c>
      <c r="F1991" t="n">
        <v>41.536</v>
      </c>
      <c r="G1991" t="n">
        <v>2325421</v>
      </c>
      <c r="H1991" t="inlineStr">
        <is>
          <t>TUB-O-N-AUT-AW-FC-48.60X1.200X0.3360</t>
        </is>
      </c>
    </row>
    <row r="1992">
      <c r="A1992" t="inlineStr">
        <is>
          <t>0000188647</t>
        </is>
      </c>
      <c r="B1992" t="inlineStr">
        <is>
          <t>Metalman Auto Private Limited</t>
        </is>
      </c>
      <c r="C1992" t="inlineStr">
        <is>
          <t>NOS</t>
        </is>
      </c>
      <c r="D1992" t="n">
        <v>67</v>
      </c>
      <c r="E1992" t="n">
        <v>22.535</v>
      </c>
      <c r="F1992" t="n">
        <v>31.624</v>
      </c>
      <c r="G1992" t="n">
        <v>2325421</v>
      </c>
      <c r="H1992" t="inlineStr">
        <is>
          <t>TUB-O-N-AUT-AW-FC-48.60X1.200X0.3360</t>
        </is>
      </c>
    </row>
    <row r="1993">
      <c r="A1993" t="inlineStr">
        <is>
          <t>0000188647</t>
        </is>
      </c>
      <c r="B1993" t="inlineStr">
        <is>
          <t>Metalman Auto Private Limited</t>
        </is>
      </c>
      <c r="C1993" t="inlineStr">
        <is>
          <t>NOS</t>
        </is>
      </c>
      <c r="D1993" t="n">
        <v>47</v>
      </c>
      <c r="E1993" t="n">
        <v>15.808</v>
      </c>
      <c r="F1993" t="n">
        <v>22.184</v>
      </c>
      <c r="G1993" t="n">
        <v>2325421</v>
      </c>
      <c r="H1993" t="inlineStr">
        <is>
          <t>TUB-O-N-AUT-AW-FC-48.60X1.200X0.3360</t>
        </is>
      </c>
    </row>
    <row r="1994">
      <c r="A1994" t="inlineStr">
        <is>
          <t>0000188647</t>
        </is>
      </c>
      <c r="B1994" t="inlineStr">
        <is>
          <t>Metalman Auto Private Limited</t>
        </is>
      </c>
      <c r="C1994" t="inlineStr">
        <is>
          <t>NOS</t>
        </is>
      </c>
      <c r="D1994" t="n">
        <v>450</v>
      </c>
      <c r="E1994" t="n">
        <v>110.701</v>
      </c>
      <c r="F1994" t="n">
        <v>332.79</v>
      </c>
      <c r="G1994" t="n">
        <v>3768907</v>
      </c>
      <c r="H1994" t="inlineStr">
        <is>
          <t>CUT-O-N-AUT-AW-FC-41.28X3.200X0.2460</t>
        </is>
      </c>
    </row>
    <row r="1995">
      <c r="A1995" t="inlineStr">
        <is>
          <t>0000188647</t>
        </is>
      </c>
      <c r="B1995" t="inlineStr">
        <is>
          <t>Metalman Auto Private Limited</t>
        </is>
      </c>
      <c r="C1995" t="inlineStr">
        <is>
          <t>NOS</t>
        </is>
      </c>
      <c r="D1995" t="n">
        <v>300</v>
      </c>
      <c r="E1995" t="n">
        <v>73.801</v>
      </c>
      <c r="F1995" t="n">
        <v>221.86</v>
      </c>
      <c r="G1995" t="n">
        <v>3768907</v>
      </c>
      <c r="H1995" t="inlineStr">
        <is>
          <t>CUT-O-N-AUT-AW-FC-41.28X3.200X0.2460</t>
        </is>
      </c>
    </row>
    <row r="1996">
      <c r="A1996" t="inlineStr">
        <is>
          <t>0000188647</t>
        </is>
      </c>
      <c r="B1996" t="inlineStr">
        <is>
          <t>Metalman Auto Private Limited</t>
        </is>
      </c>
      <c r="C1996" t="inlineStr">
        <is>
          <t>NOS</t>
        </is>
      </c>
      <c r="D1996" t="n">
        <v>40</v>
      </c>
      <c r="E1996" t="n">
        <v>9.84</v>
      </c>
      <c r="F1996" t="n">
        <v>29.581</v>
      </c>
      <c r="G1996" t="n">
        <v>3768907</v>
      </c>
      <c r="H1996" t="inlineStr">
        <is>
          <t>CUT-O-N-AUT-AW-FC-41.28X3.200X0.2460</t>
        </is>
      </c>
    </row>
    <row r="1997">
      <c r="A1997" t="inlineStr">
        <is>
          <t>0000188647</t>
        </is>
      </c>
      <c r="B1997" t="inlineStr">
        <is>
          <t>Metalman Auto Private Limited</t>
        </is>
      </c>
      <c r="C1997" t="inlineStr">
        <is>
          <t>NOS</t>
        </is>
      </c>
      <c r="D1997" t="n">
        <v>990</v>
      </c>
      <c r="E1997" t="n">
        <v>870.947</v>
      </c>
      <c r="F1997" t="n">
        <v>1473.12</v>
      </c>
      <c r="G1997" t="n">
        <v>1940831</v>
      </c>
      <c r="H1997" t="inlineStr">
        <is>
          <t>TUB-R-AW-RHS-40.00X30.00X1.600X0.8800</t>
        </is>
      </c>
    </row>
    <row r="1998">
      <c r="A1998" t="inlineStr">
        <is>
          <t>0000189454</t>
        </is>
      </c>
      <c r="B1998" t="inlineStr">
        <is>
          <t>NAHARS ENGINEERING INDIA PRIVATE LI</t>
        </is>
      </c>
      <c r="C1998" t="inlineStr">
        <is>
          <t>NOS</t>
        </is>
      </c>
      <c r="D1998" t="n">
        <v>138</v>
      </c>
      <c r="E1998" t="n">
        <v>122.071</v>
      </c>
      <c r="F1998" t="n">
        <v>116.334</v>
      </c>
      <c r="G1998" t="n">
        <v>1942696</v>
      </c>
      <c r="H1998" t="inlineStr">
        <is>
          <t>TUB-O-N-AUT-AW-PE-22.23X2.000X0.8840</t>
        </is>
      </c>
    </row>
    <row r="1999">
      <c r="A1999" t="inlineStr">
        <is>
          <t>0000189454</t>
        </is>
      </c>
      <c r="B1999" t="inlineStr">
        <is>
          <t>NAHARS ENGINEERING INDIA PRIVATE LI</t>
        </is>
      </c>
      <c r="C1999" t="inlineStr">
        <is>
          <t>NOS</t>
        </is>
      </c>
      <c r="D1999" t="n">
        <v>149</v>
      </c>
      <c r="E1999" t="n">
        <v>131.802</v>
      </c>
      <c r="F1999" t="n">
        <v>125.607</v>
      </c>
      <c r="G1999" t="n">
        <v>1942696</v>
      </c>
      <c r="H1999" t="inlineStr">
        <is>
          <t>TUB-O-N-AUT-AW-PE-22.23X2.000X0.8840</t>
        </is>
      </c>
    </row>
    <row r="2000">
      <c r="A2000" t="inlineStr">
        <is>
          <t>0000189454</t>
        </is>
      </c>
      <c r="B2000" t="inlineStr">
        <is>
          <t>NAHARS ENGINEERING INDIA PRIVATE LI</t>
        </is>
      </c>
      <c r="C2000" t="inlineStr">
        <is>
          <t>NOS</t>
        </is>
      </c>
      <c r="D2000" t="n">
        <v>13</v>
      </c>
      <c r="E2000" t="n">
        <v>11.499</v>
      </c>
      <c r="F2000" t="n">
        <v>10.959</v>
      </c>
      <c r="G2000" t="n">
        <v>1942696</v>
      </c>
      <c r="H2000" t="inlineStr">
        <is>
          <t>TUB-O-N-AUT-AW-PE-22.23X2.000X0.8840</t>
        </is>
      </c>
    </row>
    <row r="2001">
      <c r="A2001" t="inlineStr">
        <is>
          <t>0000189454</t>
        </is>
      </c>
      <c r="B2001" t="inlineStr">
        <is>
          <t>NAHARS ENGINEERING INDIA PRIVATE LI</t>
        </is>
      </c>
      <c r="C2001" t="inlineStr">
        <is>
          <t>NOS</t>
        </is>
      </c>
      <c r="D2001" t="n">
        <v>1175</v>
      </c>
      <c r="E2001" t="n">
        <v>1051.626</v>
      </c>
      <c r="F2001" t="n">
        <v>871.798</v>
      </c>
      <c r="G2001" t="n">
        <v>4229937</v>
      </c>
      <c r="H2001" t="inlineStr">
        <is>
          <t>CUT-O-N-AUT-AW-FC-25.40X1.400X0.8950</t>
        </is>
      </c>
    </row>
    <row r="2002">
      <c r="A2002" t="inlineStr">
        <is>
          <t>0000189454</t>
        </is>
      </c>
      <c r="B2002" t="inlineStr">
        <is>
          <t>NAHARS ENGINEERING INDIA PRIVATE LI</t>
        </is>
      </c>
      <c r="C2002" t="inlineStr">
        <is>
          <t>NOS</t>
        </is>
      </c>
      <c r="D2002" t="n">
        <v>1341</v>
      </c>
      <c r="E2002" t="n">
        <v>624.901</v>
      </c>
      <c r="F2002" t="n">
        <v>518.043</v>
      </c>
      <c r="G2002" t="n">
        <v>4229936</v>
      </c>
      <c r="H2002" t="inlineStr">
        <is>
          <t>CUT-O-N-AUT-AW-FC-25.40X1.400X0.4660</t>
        </is>
      </c>
    </row>
    <row r="2003">
      <c r="A2003" t="inlineStr">
        <is>
          <t>0000189454</t>
        </is>
      </c>
      <c r="B2003" t="inlineStr">
        <is>
          <t>NAHARS ENGINEERING INDIA PRIVATE LI</t>
        </is>
      </c>
      <c r="C2003" t="inlineStr">
        <is>
          <t>NOS</t>
        </is>
      </c>
      <c r="D2003" t="n">
        <v>994</v>
      </c>
      <c r="E2003" t="n">
        <v>463.201</v>
      </c>
      <c r="F2003" t="n">
        <v>383.993</v>
      </c>
      <c r="G2003" t="n">
        <v>4229936</v>
      </c>
      <c r="H2003" t="inlineStr">
        <is>
          <t>CUT-O-N-AUT-AW-FC-25.40X1.400X0.4660</t>
        </is>
      </c>
    </row>
    <row r="2004">
      <c r="A2004" t="inlineStr">
        <is>
          <t>0000189454</t>
        </is>
      </c>
      <c r="B2004" t="inlineStr">
        <is>
          <t>NAHARS ENGINEERING INDIA PRIVATE LI</t>
        </is>
      </c>
      <c r="C2004" t="inlineStr">
        <is>
          <t>NOS</t>
        </is>
      </c>
      <c r="D2004" t="n">
        <v>740</v>
      </c>
      <c r="E2004" t="n">
        <v>344.837</v>
      </c>
      <c r="F2004" t="n">
        <v>285.87</v>
      </c>
      <c r="G2004" t="n">
        <v>4229936</v>
      </c>
      <c r="H2004" t="inlineStr">
        <is>
          <t>CUT-O-N-AUT-AW-FC-25.40X1.400X0.4660</t>
        </is>
      </c>
    </row>
    <row r="2005">
      <c r="A2005" t="inlineStr">
        <is>
          <t>0000947306</t>
        </is>
      </c>
      <c r="B2005" t="inlineStr">
        <is>
          <t>NAHARS ENGINEERING INDIA PRIVATE LI</t>
        </is>
      </c>
      <c r="C2005" t="inlineStr">
        <is>
          <t>NOS</t>
        </is>
      </c>
      <c r="D2005" t="n">
        <v>2559</v>
      </c>
      <c r="E2005" t="n">
        <v>591.062</v>
      </c>
      <c r="F2005" t="n">
        <v>555.303</v>
      </c>
      <c r="G2005" t="n">
        <v>2398620</v>
      </c>
      <c r="H2005" t="inlineStr">
        <is>
          <t>TUB-O-N-AUT-AW-PE-25.40X1.600X0.2300</t>
        </is>
      </c>
    </row>
    <row r="2006">
      <c r="A2006" t="inlineStr">
        <is>
          <t>0000947306</t>
        </is>
      </c>
      <c r="B2006" t="inlineStr">
        <is>
          <t>NAHARS ENGINEERING INDIA PRIVATE LI</t>
        </is>
      </c>
      <c r="C2006" t="inlineStr">
        <is>
          <t>NOS</t>
        </is>
      </c>
      <c r="D2006" t="n">
        <v>1096</v>
      </c>
      <c r="E2006" t="n">
        <v>253.147</v>
      </c>
      <c r="F2006" t="n">
        <v>237.832</v>
      </c>
      <c r="G2006" t="n">
        <v>2398620</v>
      </c>
      <c r="H2006" t="inlineStr">
        <is>
          <t>TUB-O-N-AUT-AW-PE-25.40X1.600X0.2300</t>
        </is>
      </c>
    </row>
    <row r="2007">
      <c r="A2007" t="inlineStr">
        <is>
          <t>0000947306</t>
        </is>
      </c>
      <c r="B2007" t="inlineStr">
        <is>
          <t>NAHARS ENGINEERING INDIA PRIVATE LI</t>
        </is>
      </c>
      <c r="C2007" t="inlineStr">
        <is>
          <t>NOS</t>
        </is>
      </c>
      <c r="D2007" t="n">
        <v>14</v>
      </c>
      <c r="E2007" t="n">
        <v>3.234</v>
      </c>
      <c r="F2007" t="n">
        <v>3.038</v>
      </c>
      <c r="G2007" t="n">
        <v>2398620</v>
      </c>
      <c r="H2007" t="inlineStr">
        <is>
          <t>TUB-O-N-AUT-AW-PE-25.40X1.600X0.2300</t>
        </is>
      </c>
    </row>
    <row r="2008">
      <c r="A2008" t="inlineStr">
        <is>
          <t>0000947306</t>
        </is>
      </c>
      <c r="B2008" t="inlineStr">
        <is>
          <t>NAHARS ENGINEERING INDIA PRIVATE LI</t>
        </is>
      </c>
      <c r="C2008" t="inlineStr">
        <is>
          <t>NOS</t>
        </is>
      </c>
      <c r="D2008" t="n">
        <v>6</v>
      </c>
      <c r="E2008" t="n">
        <v>1.386</v>
      </c>
      <c r="F2008" t="n">
        <v>1.302</v>
      </c>
      <c r="G2008" t="n">
        <v>2398620</v>
      </c>
      <c r="H2008" t="inlineStr">
        <is>
          <t>TUB-O-N-AUT-AW-PE-25.40X1.600X0.2300</t>
        </is>
      </c>
    </row>
    <row r="2009">
      <c r="A2009" t="inlineStr">
        <is>
          <t>0000947306</t>
        </is>
      </c>
      <c r="B2009" t="inlineStr">
        <is>
          <t>NAHARS ENGINEERING INDIA PRIVATE LI</t>
        </is>
      </c>
      <c r="C2009" t="inlineStr">
        <is>
          <t>NOS</t>
        </is>
      </c>
      <c r="D2009" t="n">
        <v>825</v>
      </c>
      <c r="E2009" t="n">
        <v>386.096</v>
      </c>
      <c r="F2009" t="n">
        <v>375.989</v>
      </c>
      <c r="G2009" t="n">
        <v>3620716</v>
      </c>
      <c r="H2009" t="inlineStr">
        <is>
          <t>TUB-O-N-AUT-AW-PE-22.23X2.000X0.4680</t>
        </is>
      </c>
    </row>
    <row r="2010">
      <c r="A2010" t="inlineStr">
        <is>
          <t>0000188356</t>
        </is>
      </c>
      <c r="B2010" t="inlineStr">
        <is>
          <t>Thai Summit Autoparts India Pvt Ltd</t>
        </is>
      </c>
      <c r="C2010" t="inlineStr">
        <is>
          <t>NOS</t>
        </is>
      </c>
      <c r="D2010" t="n">
        <v>365</v>
      </c>
      <c r="E2010" t="n">
        <v>264.914</v>
      </c>
      <c r="F2010" t="n">
        <v>305.87</v>
      </c>
      <c r="G2010" t="n">
        <v>4027991</v>
      </c>
      <c r="H2010" t="inlineStr">
        <is>
          <t>TUB-O-N-AUT-HR-FC-25.40X2.000X0.7250</t>
        </is>
      </c>
    </row>
    <row r="2011">
      <c r="A2011" t="inlineStr">
        <is>
          <t>0000188356</t>
        </is>
      </c>
      <c r="B2011" t="inlineStr">
        <is>
          <t>Thai Summit Autoparts India Pvt Ltd</t>
        </is>
      </c>
      <c r="C2011" t="inlineStr">
        <is>
          <t>NOS</t>
        </is>
      </c>
      <c r="D2011" t="n">
        <v>929</v>
      </c>
      <c r="E2011" t="n">
        <v>674.261</v>
      </c>
      <c r="F2011" t="n">
        <v>778.502</v>
      </c>
      <c r="G2011" t="n">
        <v>4027991</v>
      </c>
      <c r="H2011" t="inlineStr">
        <is>
          <t>TUB-O-N-AUT-HR-FC-25.40X2.000X0.7250</t>
        </is>
      </c>
    </row>
    <row r="2012">
      <c r="A2012" t="inlineStr">
        <is>
          <t>0000188356</t>
        </is>
      </c>
      <c r="B2012" t="inlineStr">
        <is>
          <t>Thai Summit Autoparts India Pvt Ltd</t>
        </is>
      </c>
      <c r="C2012" t="inlineStr">
        <is>
          <t>NOS</t>
        </is>
      </c>
      <c r="D2012" t="n">
        <v>415</v>
      </c>
      <c r="E2012" t="n">
        <v>301.204</v>
      </c>
      <c r="F2012" t="n">
        <v>347.77</v>
      </c>
      <c r="G2012" t="n">
        <v>4027991</v>
      </c>
      <c r="H2012" t="inlineStr">
        <is>
          <t>TUB-O-N-AUT-HR-FC-25.40X2.000X0.7250</t>
        </is>
      </c>
    </row>
    <row r="2013">
      <c r="A2013" t="inlineStr">
        <is>
          <t>0000188356</t>
        </is>
      </c>
      <c r="B2013" t="inlineStr">
        <is>
          <t>Thai Summit Autoparts India Pvt Ltd</t>
        </is>
      </c>
      <c r="C2013" t="inlineStr">
        <is>
          <t>NOS</t>
        </is>
      </c>
      <c r="D2013" t="n">
        <v>279</v>
      </c>
      <c r="E2013" t="n">
        <v>202.496</v>
      </c>
      <c r="F2013" t="n">
        <v>233.802</v>
      </c>
      <c r="G2013" t="n">
        <v>4027991</v>
      </c>
      <c r="H2013" t="inlineStr">
        <is>
          <t>TUB-O-N-AUT-HR-FC-25.40X2.000X0.7250</t>
        </is>
      </c>
    </row>
    <row r="2014">
      <c r="A2014" t="inlineStr">
        <is>
          <t>0000188356</t>
        </is>
      </c>
      <c r="B2014" t="inlineStr">
        <is>
          <t>Thai Summit Autoparts India Pvt Ltd</t>
        </is>
      </c>
      <c r="C2014" t="inlineStr">
        <is>
          <t>NOS</t>
        </is>
      </c>
      <c r="D2014" t="n">
        <v>12</v>
      </c>
      <c r="E2014" t="n">
        <v>8.710000000000001</v>
      </c>
      <c r="F2014" t="n">
        <v>10.056</v>
      </c>
      <c r="G2014" t="n">
        <v>4027991</v>
      </c>
      <c r="H2014" t="inlineStr">
        <is>
          <t>TUB-O-N-AUT-HR-FC-25.40X2.000X0.7250</t>
        </is>
      </c>
    </row>
    <row r="2015">
      <c r="A2015" t="inlineStr">
        <is>
          <t>0000188356</t>
        </is>
      </c>
      <c r="B2015" t="inlineStr">
        <is>
          <t>Thai Summit Autoparts India Pvt Ltd</t>
        </is>
      </c>
      <c r="C2015" t="inlineStr">
        <is>
          <t>NOS</t>
        </is>
      </c>
      <c r="D2015" t="n">
        <v>624</v>
      </c>
      <c r="E2015" t="n">
        <v>356.197</v>
      </c>
      <c r="F2015" t="n">
        <v>660.816</v>
      </c>
      <c r="G2015" t="n">
        <v>3781648</v>
      </c>
      <c r="H2015" t="inlineStr">
        <is>
          <t>TUB-E-AW-AUT-59.00X30.00X1.600X0.5710</t>
        </is>
      </c>
    </row>
    <row r="2016">
      <c r="A2016" t="inlineStr">
        <is>
          <t>0000188356</t>
        </is>
      </c>
      <c r="B2016" t="inlineStr">
        <is>
          <t>Thai Summit Autoparts India Pvt Ltd</t>
        </is>
      </c>
      <c r="C2016" t="inlineStr">
        <is>
          <t>NOS</t>
        </is>
      </c>
      <c r="D2016" t="n">
        <v>870</v>
      </c>
      <c r="E2016" t="n">
        <v>496.62</v>
      </c>
      <c r="F2016" t="n">
        <v>921.33</v>
      </c>
      <c r="G2016" t="n">
        <v>3781648</v>
      </c>
      <c r="H2016" t="inlineStr">
        <is>
          <t>TUB-E-AW-AUT-59.00X30.00X1.600X0.5710</t>
        </is>
      </c>
    </row>
    <row r="2017">
      <c r="A2017" t="inlineStr">
        <is>
          <t>0000188356</t>
        </is>
      </c>
      <c r="B2017" t="inlineStr">
        <is>
          <t>Thai Summit Autoparts India Pvt Ltd</t>
        </is>
      </c>
      <c r="C2017" t="inlineStr">
        <is>
          <t>NOS</t>
        </is>
      </c>
      <c r="D2017" t="n">
        <v>700</v>
      </c>
      <c r="E2017" t="n">
        <v>399.58</v>
      </c>
      <c r="F2017" t="n">
        <v>741.3</v>
      </c>
      <c r="G2017" t="n">
        <v>3781648</v>
      </c>
      <c r="H2017" t="inlineStr">
        <is>
          <t>TUB-E-AW-AUT-59.00X30.00X1.600X0.5710</t>
        </is>
      </c>
    </row>
    <row r="2018">
      <c r="A2018" t="inlineStr">
        <is>
          <t>0000188356</t>
        </is>
      </c>
      <c r="B2018" t="inlineStr">
        <is>
          <t>Thai Summit Autoparts India Pvt Ltd</t>
        </is>
      </c>
      <c r="C2018" t="inlineStr">
        <is>
          <t>NOS</t>
        </is>
      </c>
      <c r="D2018" t="n">
        <v>426</v>
      </c>
      <c r="E2018" t="n">
        <v>243.173</v>
      </c>
      <c r="F2018" t="n">
        <v>451.134</v>
      </c>
      <c r="G2018" t="n">
        <v>3781648</v>
      </c>
      <c r="H2018" t="inlineStr">
        <is>
          <t>TUB-E-AW-AUT-59.00X30.00X1.600X0.5710</t>
        </is>
      </c>
    </row>
    <row r="2019">
      <c r="A2019" t="inlineStr">
        <is>
          <t>0000188356</t>
        </is>
      </c>
      <c r="B2019" t="inlineStr">
        <is>
          <t>Thai Summit Autoparts India Pvt Ltd</t>
        </is>
      </c>
      <c r="C2019" t="inlineStr">
        <is>
          <t>NOS</t>
        </is>
      </c>
      <c r="D2019" t="n">
        <v>380</v>
      </c>
      <c r="E2019" t="n">
        <v>216.915</v>
      </c>
      <c r="F2019" t="n">
        <v>402.42</v>
      </c>
      <c r="G2019" t="n">
        <v>3781648</v>
      </c>
      <c r="H2019" t="inlineStr">
        <is>
          <t>TUB-E-AW-AUT-59.00X30.00X1.600X0.5710</t>
        </is>
      </c>
    </row>
    <row r="2020">
      <c r="A2020" t="inlineStr">
        <is>
          <t>0000188356</t>
        </is>
      </c>
      <c r="B2020" t="inlineStr">
        <is>
          <t>Thai Summit Autoparts India Pvt Ltd</t>
        </is>
      </c>
      <c r="C2020" t="inlineStr">
        <is>
          <t>NOS</t>
        </is>
      </c>
      <c r="D2020" t="n">
        <v>6002</v>
      </c>
      <c r="E2020" t="n">
        <v>1028.087</v>
      </c>
      <c r="F2020" t="n">
        <v>426.142</v>
      </c>
      <c r="G2020" t="n">
        <v>3204542</v>
      </c>
      <c r="H2020" t="inlineStr">
        <is>
          <t>TUB-O-N-AUT-AW-PE-12.70X1.500X0.1703</t>
        </is>
      </c>
    </row>
    <row r="2021">
      <c r="A2021" t="inlineStr">
        <is>
          <t>0000188356</t>
        </is>
      </c>
      <c r="B2021" t="inlineStr">
        <is>
          <t>Thai Summit Autoparts India Pvt Ltd</t>
        </is>
      </c>
      <c r="C2021" t="inlineStr">
        <is>
          <t>NOS</t>
        </is>
      </c>
      <c r="D2021" t="n">
        <v>3802</v>
      </c>
      <c r="E2021" t="n">
        <v>651.247</v>
      </c>
      <c r="F2021" t="n">
        <v>269.942</v>
      </c>
      <c r="G2021" t="n">
        <v>3204542</v>
      </c>
      <c r="H2021" t="inlineStr">
        <is>
          <t>TUB-O-N-AUT-AW-PE-12.70X1.500X0.1703</t>
        </is>
      </c>
    </row>
    <row r="2022">
      <c r="A2022" t="inlineStr">
        <is>
          <t>0000188356</t>
        </is>
      </c>
      <c r="B2022" t="inlineStr">
        <is>
          <t>Thai Summit Autoparts India Pvt Ltd</t>
        </is>
      </c>
      <c r="C2022" t="inlineStr">
        <is>
          <t>NOS</t>
        </is>
      </c>
      <c r="D2022" t="n">
        <v>67</v>
      </c>
      <c r="E2022" t="n">
        <v>11.476</v>
      </c>
      <c r="F2022" t="n">
        <v>4.757</v>
      </c>
      <c r="G2022" t="n">
        <v>3204542</v>
      </c>
      <c r="H2022" t="inlineStr">
        <is>
          <t>TUB-O-N-AUT-AW-PE-12.70X1.500X0.1703</t>
        </is>
      </c>
    </row>
    <row r="2023">
      <c r="A2023" t="inlineStr">
        <is>
          <t>0000188356</t>
        </is>
      </c>
      <c r="B2023" t="inlineStr">
        <is>
          <t>Thai Summit Autoparts India Pvt Ltd</t>
        </is>
      </c>
      <c r="C2023" t="inlineStr">
        <is>
          <t>NOS</t>
        </is>
      </c>
      <c r="D2023" t="n">
        <v>29</v>
      </c>
      <c r="E2023" t="n">
        <v>4.967</v>
      </c>
      <c r="F2023" t="n">
        <v>2.059</v>
      </c>
      <c r="G2023" t="n">
        <v>3204542</v>
      </c>
      <c r="H2023" t="inlineStr">
        <is>
          <t>TUB-O-N-AUT-AW-PE-12.70X1.500X0.1703</t>
        </is>
      </c>
    </row>
    <row r="2024">
      <c r="A2024" t="inlineStr">
        <is>
          <t>0000188356</t>
        </is>
      </c>
      <c r="B2024" t="inlineStr">
        <is>
          <t>Thai Summit Autoparts India Pvt Ltd</t>
        </is>
      </c>
      <c r="C2024" t="inlineStr">
        <is>
          <t>NOS</t>
        </is>
      </c>
      <c r="D2024" t="n">
        <v>1745</v>
      </c>
      <c r="E2024" t="n">
        <v>324.162</v>
      </c>
      <c r="F2024" t="n">
        <v>134.365</v>
      </c>
      <c r="G2024" t="n">
        <v>3204544</v>
      </c>
      <c r="H2024" t="inlineStr">
        <is>
          <t>TUB-O-N-AUT-AW-PE-12.70X1.500X0.1840</t>
        </is>
      </c>
    </row>
    <row r="2025">
      <c r="A2025" t="inlineStr">
        <is>
          <t>0000188356</t>
        </is>
      </c>
      <c r="B2025" t="inlineStr">
        <is>
          <t>Thai Summit Autoparts India Pvt Ltd</t>
        </is>
      </c>
      <c r="C2025" t="inlineStr">
        <is>
          <t>NOS</t>
        </is>
      </c>
      <c r="D2025" t="n">
        <v>4558</v>
      </c>
      <c r="E2025" t="n">
        <v>846.721</v>
      </c>
      <c r="F2025" t="n">
        <v>350.966</v>
      </c>
      <c r="G2025" t="n">
        <v>3204544</v>
      </c>
      <c r="H2025" t="inlineStr">
        <is>
          <t>TUB-O-N-AUT-AW-PE-12.70X1.500X0.1840</t>
        </is>
      </c>
    </row>
    <row r="2026">
      <c r="A2026" t="inlineStr">
        <is>
          <t>0000188356</t>
        </is>
      </c>
      <c r="B2026" t="inlineStr">
        <is>
          <t>Thai Summit Autoparts India Pvt Ltd</t>
        </is>
      </c>
      <c r="C2026" t="inlineStr">
        <is>
          <t>NOS</t>
        </is>
      </c>
      <c r="D2026" t="n">
        <v>3766</v>
      </c>
      <c r="E2026" t="n">
        <v>699.595</v>
      </c>
      <c r="F2026" t="n">
        <v>289.982</v>
      </c>
      <c r="G2026" t="n">
        <v>3204544</v>
      </c>
      <c r="H2026" t="inlineStr">
        <is>
          <t>TUB-O-N-AUT-AW-PE-12.70X1.500X0.1840</t>
        </is>
      </c>
    </row>
    <row r="2027">
      <c r="A2027" t="inlineStr">
        <is>
          <t>0000188356</t>
        </is>
      </c>
      <c r="B2027" t="inlineStr">
        <is>
          <t>Thai Summit Autoparts India Pvt Ltd</t>
        </is>
      </c>
      <c r="C2027" t="inlineStr">
        <is>
          <t>NOS</t>
        </is>
      </c>
      <c r="D2027" t="n">
        <v>131</v>
      </c>
      <c r="E2027" t="n">
        <v>24.335</v>
      </c>
      <c r="F2027" t="n">
        <v>10.087</v>
      </c>
      <c r="G2027" t="n">
        <v>3204544</v>
      </c>
      <c r="H2027" t="inlineStr">
        <is>
          <t>TUB-O-N-AUT-AW-PE-12.70X1.500X0.1840</t>
        </is>
      </c>
    </row>
    <row r="2028">
      <c r="A2028" t="inlineStr">
        <is>
          <t>0000189270</t>
        </is>
      </c>
      <c r="B2028" t="inlineStr">
        <is>
          <t>Indo Autotech Limited (Unit V)</t>
        </is>
      </c>
      <c r="C2028" t="inlineStr">
        <is>
          <t>NOS</t>
        </is>
      </c>
      <c r="D2028" t="n">
        <v>1500</v>
      </c>
      <c r="E2028" t="n">
        <v>821.942</v>
      </c>
      <c r="F2028" t="n">
        <v>691.5</v>
      </c>
      <c r="G2028" t="n">
        <v>3676836</v>
      </c>
      <c r="H2028" t="inlineStr">
        <is>
          <t>TUB-O-N-AUT-AW-PE-19.05X2.000X0.5470</t>
        </is>
      </c>
    </row>
    <row r="2029">
      <c r="A2029" t="inlineStr">
        <is>
          <t>0000189270</t>
        </is>
      </c>
      <c r="B2029" t="inlineStr">
        <is>
          <t>Indo Autotech Limited (Unit V)</t>
        </is>
      </c>
      <c r="C2029" t="inlineStr">
        <is>
          <t>NOS</t>
        </is>
      </c>
      <c r="D2029" t="n">
        <v>2000</v>
      </c>
      <c r="E2029" t="n">
        <v>2108.018</v>
      </c>
      <c r="F2029" t="n">
        <v>3173.2</v>
      </c>
      <c r="G2029" t="n">
        <v>3605736</v>
      </c>
      <c r="H2029" t="inlineStr">
        <is>
          <t>TUB-O-N-AUT-AW-FC-45.00X1.400X1.0540</t>
        </is>
      </c>
    </row>
    <row r="2030">
      <c r="A2030" t="inlineStr">
        <is>
          <t>0000189270</t>
        </is>
      </c>
      <c r="B2030" t="inlineStr">
        <is>
          <t>Indo Autotech Limited (Unit V)</t>
        </is>
      </c>
      <c r="C2030" t="inlineStr">
        <is>
          <t>NOS</t>
        </is>
      </c>
      <c r="D2030" t="n">
        <v>906</v>
      </c>
      <c r="E2030" t="n">
        <v>166.8</v>
      </c>
      <c r="F2030" t="n">
        <v>632.388</v>
      </c>
      <c r="G2030" t="n">
        <v>1940868</v>
      </c>
      <c r="H2030" t="inlineStr">
        <is>
          <t>TUB-O-O-AUT-AW-FC-48.60X3.400X0.1840</t>
        </is>
      </c>
    </row>
    <row r="2031">
      <c r="A2031" t="inlineStr">
        <is>
          <t>0000189270</t>
        </is>
      </c>
      <c r="B2031" t="inlineStr">
        <is>
          <t>Indo Autotech Limited (Unit V)</t>
        </is>
      </c>
      <c r="C2031" t="inlineStr">
        <is>
          <t>NOS</t>
        </is>
      </c>
      <c r="D2031" t="n">
        <v>859</v>
      </c>
      <c r="E2031" t="n">
        <v>633.115</v>
      </c>
      <c r="F2031" t="n">
        <v>1095.225</v>
      </c>
      <c r="G2031" t="n">
        <v>1932730</v>
      </c>
      <c r="H2031" t="inlineStr">
        <is>
          <t>TUB-O-N-AUT-AW-FC-50.80X1.420X0.7370</t>
        </is>
      </c>
    </row>
    <row r="2032">
      <c r="A2032" t="inlineStr">
        <is>
          <t>0000189270</t>
        </is>
      </c>
      <c r="B2032" t="inlineStr">
        <is>
          <t>Indo Autotech Limited (Unit V)</t>
        </is>
      </c>
      <c r="C2032" t="inlineStr">
        <is>
          <t>NOS</t>
        </is>
      </c>
      <c r="D2032" t="n">
        <v>850</v>
      </c>
      <c r="E2032" t="n">
        <v>626.481</v>
      </c>
      <c r="F2032" t="n">
        <v>1083.75</v>
      </c>
      <c r="G2032" t="n">
        <v>1932730</v>
      </c>
      <c r="H2032" t="inlineStr">
        <is>
          <t>TUB-O-N-AUT-AW-FC-50.80X1.420X0.7370</t>
        </is>
      </c>
    </row>
    <row r="2033">
      <c r="A2033" t="inlineStr">
        <is>
          <t>0000189270</t>
        </is>
      </c>
      <c r="B2033" t="inlineStr">
        <is>
          <t>Indo Autotech Limited (Unit V)</t>
        </is>
      </c>
      <c r="C2033" t="inlineStr">
        <is>
          <t>NOS</t>
        </is>
      </c>
      <c r="D2033" t="n">
        <v>791</v>
      </c>
      <c r="E2033" t="n">
        <v>582.996</v>
      </c>
      <c r="F2033" t="n">
        <v>1008.525</v>
      </c>
      <c r="G2033" t="n">
        <v>1932730</v>
      </c>
      <c r="H2033" t="inlineStr">
        <is>
          <t>TUB-O-N-AUT-AW-FC-50.80X1.420X0.7370</t>
        </is>
      </c>
    </row>
    <row r="2034">
      <c r="A2034" t="inlineStr">
        <is>
          <t>0000189270</t>
        </is>
      </c>
      <c r="B2034" t="inlineStr">
        <is>
          <t>Indo Autotech Limited (Unit V)</t>
        </is>
      </c>
      <c r="C2034" t="inlineStr">
        <is>
          <t>NOS</t>
        </is>
      </c>
      <c r="D2034" t="n">
        <v>4493</v>
      </c>
      <c r="E2034" t="n">
        <v>2454.356</v>
      </c>
      <c r="F2034" t="n">
        <v>3535.991</v>
      </c>
      <c r="G2034" t="n">
        <v>1940817</v>
      </c>
      <c r="H2034" t="inlineStr">
        <is>
          <t>TUB-R-AW-RHS-40.00X20.00X1.600X0.5460</t>
        </is>
      </c>
    </row>
    <row r="2035">
      <c r="A2035" t="inlineStr">
        <is>
          <t>0000189270</t>
        </is>
      </c>
      <c r="B2035" t="inlineStr">
        <is>
          <t>Indo Autotech Limited (Unit V)</t>
        </is>
      </c>
      <c r="C2035" t="inlineStr">
        <is>
          <t>NOS</t>
        </is>
      </c>
      <c r="D2035" t="n">
        <v>107</v>
      </c>
      <c r="E2035" t="n">
        <v>58.45</v>
      </c>
      <c r="F2035" t="n">
        <v>84.209</v>
      </c>
      <c r="G2035" t="n">
        <v>1940817</v>
      </c>
      <c r="H2035" t="inlineStr">
        <is>
          <t>TUB-R-AW-RHS-40.00X20.00X1.600X0.5460</t>
        </is>
      </c>
    </row>
    <row r="2036">
      <c r="A2036" t="inlineStr">
        <is>
          <t>0000189270</t>
        </is>
      </c>
      <c r="B2036" t="inlineStr">
        <is>
          <t>Indo Autotech Limited (Unit V)</t>
        </is>
      </c>
      <c r="C2036" t="inlineStr">
        <is>
          <t>NOS</t>
        </is>
      </c>
      <c r="D2036" t="n">
        <v>1000</v>
      </c>
      <c r="E2036" t="n">
        <v>628.79</v>
      </c>
      <c r="F2036" t="n">
        <v>1317</v>
      </c>
      <c r="G2036" t="n">
        <v>1940871</v>
      </c>
      <c r="H2036" t="inlineStr">
        <is>
          <t>TUB-V-AW-AUT-49.00X38.00X2.000X0.6290</t>
        </is>
      </c>
    </row>
    <row r="2037">
      <c r="A2037" t="inlineStr">
        <is>
          <t>0000943209</t>
        </is>
      </c>
      <c r="B2037" t="inlineStr">
        <is>
          <t>MEGH STEELS PRIVATE LIMITED - TVS A</t>
        </is>
      </c>
      <c r="C2037" t="inlineStr">
        <is>
          <t>KG</t>
        </is>
      </c>
      <c r="D2037" t="n">
        <v>5</v>
      </c>
      <c r="E2037" t="n">
        <v>28.649</v>
      </c>
      <c r="F2037" t="n">
        <v>39</v>
      </c>
      <c r="G2037" t="n">
        <v>3502256</v>
      </c>
      <c r="H2037" t="inlineStr">
        <is>
          <t>TUB-O-N-AUT-AW-PE-25.40X2.500X5.5300</t>
        </is>
      </c>
    </row>
    <row r="2038">
      <c r="A2038" t="inlineStr">
        <is>
          <t>0000943209</t>
        </is>
      </c>
      <c r="B2038" t="inlineStr">
        <is>
          <t>MEGH STEELS PRIVATE LIMITED - TVS A</t>
        </is>
      </c>
      <c r="C2038" t="inlineStr">
        <is>
          <t>KG</t>
        </is>
      </c>
      <c r="D2038" t="n">
        <v>360</v>
      </c>
      <c r="E2038" t="n">
        <v>1990.744</v>
      </c>
      <c r="F2038" t="n">
        <v>2710</v>
      </c>
      <c r="G2038" t="n">
        <v>3502256</v>
      </c>
      <c r="H2038" t="inlineStr">
        <is>
          <t>TUB-O-N-AUT-AW-PE-25.40X2.500X5.5300</t>
        </is>
      </c>
    </row>
    <row r="2039">
      <c r="A2039" t="inlineStr">
        <is>
          <t>0000943209</t>
        </is>
      </c>
      <c r="B2039" t="inlineStr">
        <is>
          <t>MEGH STEELS PRIVATE LIMITED - TVS A</t>
        </is>
      </c>
      <c r="C2039" t="inlineStr">
        <is>
          <t>KG</t>
        </is>
      </c>
      <c r="D2039" t="n">
        <v>398</v>
      </c>
      <c r="E2039" t="n">
        <v>2200.837</v>
      </c>
      <c r="F2039" t="n">
        <v>2996</v>
      </c>
      <c r="G2039" t="n">
        <v>3502256</v>
      </c>
      <c r="H2039" t="inlineStr">
        <is>
          <t>TUB-O-N-AUT-AW-PE-25.40X2.500X5.5300</t>
        </is>
      </c>
    </row>
    <row r="2040">
      <c r="A2040" t="inlineStr">
        <is>
          <t>0000943209</t>
        </is>
      </c>
      <c r="B2040" t="inlineStr">
        <is>
          <t>MEGH STEELS PRIVATE LIMITED - TVS A</t>
        </is>
      </c>
      <c r="C2040" t="inlineStr">
        <is>
          <t>KG</t>
        </is>
      </c>
      <c r="D2040" t="n">
        <v>416</v>
      </c>
      <c r="E2040" t="n">
        <v>2302.211</v>
      </c>
      <c r="F2040" t="n">
        <v>3134</v>
      </c>
      <c r="G2040" t="n">
        <v>3502256</v>
      </c>
      <c r="H2040" t="inlineStr">
        <is>
          <t>TUB-O-N-AUT-AW-PE-25.40X2.500X5.5300</t>
        </is>
      </c>
    </row>
    <row r="2041">
      <c r="A2041" t="inlineStr">
        <is>
          <t>0000943209</t>
        </is>
      </c>
      <c r="B2041" t="inlineStr">
        <is>
          <t>MEGH STEELS PRIVATE LIMITED - TVS A</t>
        </is>
      </c>
      <c r="C2041" t="inlineStr">
        <is>
          <t>KG</t>
        </is>
      </c>
      <c r="D2041" t="n">
        <v>357</v>
      </c>
      <c r="E2041" t="n">
        <v>1976.787</v>
      </c>
      <c r="F2041" t="n">
        <v>2691</v>
      </c>
      <c r="G2041" t="n">
        <v>3502256</v>
      </c>
      <c r="H2041" t="inlineStr">
        <is>
          <t>TUB-O-N-AUT-AW-PE-25.40X2.500X5.5300</t>
        </is>
      </c>
    </row>
    <row r="2042">
      <c r="A2042" t="inlineStr">
        <is>
          <t>0000943209</t>
        </is>
      </c>
      <c r="B2042" t="inlineStr">
        <is>
          <t>MEGH STEELS PRIVATE LIMITED - TVS A</t>
        </is>
      </c>
      <c r="C2042" t="inlineStr">
        <is>
          <t>KG</t>
        </is>
      </c>
      <c r="D2042" t="n">
        <v>386</v>
      </c>
      <c r="E2042" t="n">
        <v>2134.724</v>
      </c>
      <c r="F2042" t="n">
        <v>2906</v>
      </c>
      <c r="G2042" t="n">
        <v>3502256</v>
      </c>
      <c r="H2042" t="inlineStr">
        <is>
          <t>TUB-O-N-AUT-AW-PE-25.40X2.500X5.5300</t>
        </is>
      </c>
    </row>
    <row r="2043">
      <c r="A2043" t="inlineStr">
        <is>
          <t>0000943209</t>
        </is>
      </c>
      <c r="B2043" t="inlineStr">
        <is>
          <t>MEGH STEELS PRIVATE LIMITED - TVS A</t>
        </is>
      </c>
      <c r="C2043" t="inlineStr">
        <is>
          <t>KG</t>
        </is>
      </c>
      <c r="D2043" t="n">
        <v>164</v>
      </c>
      <c r="E2043" t="n">
        <v>906.486</v>
      </c>
      <c r="F2043" t="n">
        <v>1234</v>
      </c>
      <c r="G2043" t="n">
        <v>3502256</v>
      </c>
      <c r="H2043" t="inlineStr">
        <is>
          <t>TUB-O-N-AUT-AW-PE-25.40X2.500X5.5300</t>
        </is>
      </c>
    </row>
    <row r="2044">
      <c r="A2044" t="inlineStr">
        <is>
          <t>0000943209</t>
        </is>
      </c>
      <c r="B2044" t="inlineStr">
        <is>
          <t>MEGH STEELS PRIVATE LIMITED - TVS A</t>
        </is>
      </c>
      <c r="C2044" t="inlineStr">
        <is>
          <t>KG</t>
        </is>
      </c>
      <c r="D2044" t="n">
        <v>415</v>
      </c>
      <c r="E2044" t="n">
        <v>2294.865</v>
      </c>
      <c r="F2044" t="n">
        <v>3124</v>
      </c>
      <c r="G2044" t="n">
        <v>3502256</v>
      </c>
      <c r="H2044" t="inlineStr">
        <is>
          <t>TUB-O-N-AUT-AW-PE-25.40X2.500X5.5300</t>
        </is>
      </c>
    </row>
    <row r="2045">
      <c r="A2045" t="inlineStr">
        <is>
          <t>0000943209</t>
        </is>
      </c>
      <c r="B2045" t="inlineStr">
        <is>
          <t>MEGH STEELS PRIVATE LIMITED - TVS A</t>
        </is>
      </c>
      <c r="C2045" t="inlineStr">
        <is>
          <t>KG</t>
        </is>
      </c>
      <c r="D2045" t="n">
        <v>320</v>
      </c>
      <c r="E2045" t="n">
        <v>1767.428</v>
      </c>
      <c r="F2045" t="n">
        <v>2406</v>
      </c>
      <c r="G2045" t="n">
        <v>3502256</v>
      </c>
      <c r="H2045" t="inlineStr">
        <is>
          <t>TUB-O-N-AUT-AW-PE-25.40X2.500X5.5300</t>
        </is>
      </c>
    </row>
    <row r="2046">
      <c r="A2046" t="inlineStr">
        <is>
          <t>0000943209</t>
        </is>
      </c>
      <c r="B2046" t="inlineStr">
        <is>
          <t>MEGH STEELS PRIVATE LIMITED - TVS A</t>
        </is>
      </c>
      <c r="C2046" t="inlineStr">
        <is>
          <t>KG</t>
        </is>
      </c>
      <c r="D2046" t="n">
        <v>339</v>
      </c>
      <c r="E2046" t="n">
        <v>1876.148</v>
      </c>
      <c r="F2046" t="n">
        <v>2554</v>
      </c>
      <c r="G2046" t="n">
        <v>3502256</v>
      </c>
      <c r="H2046" t="inlineStr">
        <is>
          <t>TUB-O-N-AUT-AW-PE-25.40X2.500X5.5300</t>
        </is>
      </c>
    </row>
    <row r="2047">
      <c r="A2047" t="inlineStr">
        <is>
          <t>0000943209</t>
        </is>
      </c>
      <c r="B2047" t="inlineStr">
        <is>
          <t>MEGH STEELS PRIVATE LIMITED - TVS A</t>
        </is>
      </c>
      <c r="C2047" t="inlineStr">
        <is>
          <t>KG</t>
        </is>
      </c>
      <c r="D2047" t="n">
        <v>71</v>
      </c>
      <c r="E2047" t="n">
        <v>393.741</v>
      </c>
      <c r="F2047" t="n">
        <v>536</v>
      </c>
      <c r="G2047" t="n">
        <v>3502256</v>
      </c>
      <c r="H2047" t="inlineStr">
        <is>
          <t>TUB-O-N-AUT-AW-PE-25.40X2.500X5.5300</t>
        </is>
      </c>
    </row>
    <row r="2048">
      <c r="A2048" t="inlineStr">
        <is>
          <t>0000940921</t>
        </is>
      </c>
      <c r="B2048" t="inlineStr">
        <is>
          <t>ELKAYEM AUTO ANCILLARIES PVT LTD -U</t>
        </is>
      </c>
      <c r="C2048" t="inlineStr">
        <is>
          <t>NOS</t>
        </is>
      </c>
      <c r="D2048" t="n">
        <v>3749</v>
      </c>
      <c r="E2048" t="n">
        <v>723.568</v>
      </c>
      <c r="F2048" t="n">
        <v>1281.367</v>
      </c>
      <c r="G2048" t="n">
        <v>3509016</v>
      </c>
      <c r="H2048" t="inlineStr">
        <is>
          <t>CUT-O-N-AUT-AW-PE-31.75X2.500X0.1930</t>
        </is>
      </c>
    </row>
    <row r="2049">
      <c r="A2049" t="inlineStr">
        <is>
          <t>0000940921</t>
        </is>
      </c>
      <c r="B2049" t="inlineStr">
        <is>
          <t>ELKAYEM AUTO ANCILLARIES PVT LTD -U</t>
        </is>
      </c>
      <c r="C2049" t="inlineStr">
        <is>
          <t>NOS</t>
        </is>
      </c>
      <c r="D2049" t="n">
        <v>1242</v>
      </c>
      <c r="E2049" t="n">
        <v>239.71</v>
      </c>
      <c r="F2049" t="n">
        <v>424.502</v>
      </c>
      <c r="G2049" t="n">
        <v>3509016</v>
      </c>
      <c r="H2049" t="inlineStr">
        <is>
          <t>CUT-O-N-AUT-AW-PE-31.75X2.500X0.1930</t>
        </is>
      </c>
    </row>
    <row r="2050">
      <c r="A2050" t="inlineStr">
        <is>
          <t>0000940921</t>
        </is>
      </c>
      <c r="B2050" t="inlineStr">
        <is>
          <t>ELKAYEM AUTO ANCILLARIES PVT LTD -U</t>
        </is>
      </c>
      <c r="C2050" t="inlineStr">
        <is>
          <t>NOS</t>
        </is>
      </c>
      <c r="D2050" t="n">
        <v>49</v>
      </c>
      <c r="E2050" t="n">
        <v>9.457000000000001</v>
      </c>
      <c r="F2050" t="n">
        <v>16.748</v>
      </c>
      <c r="G2050" t="n">
        <v>3509016</v>
      </c>
      <c r="H2050" t="inlineStr">
        <is>
          <t>CUT-O-N-AUT-AW-PE-31.75X2.500X0.1930</t>
        </is>
      </c>
    </row>
    <row r="2051">
      <c r="A2051" t="inlineStr">
        <is>
          <t>0000940921</t>
        </is>
      </c>
      <c r="B2051" t="inlineStr">
        <is>
          <t>ELKAYEM AUTO ANCILLARIES PVT LTD -U</t>
        </is>
      </c>
      <c r="C2051" t="inlineStr">
        <is>
          <t>NOS</t>
        </is>
      </c>
      <c r="D2051" t="n">
        <v>10</v>
      </c>
      <c r="E2051" t="n">
        <v>1.93</v>
      </c>
      <c r="F2051" t="n">
        <v>3.418</v>
      </c>
      <c r="G2051" t="n">
        <v>3509016</v>
      </c>
      <c r="H2051" t="inlineStr">
        <is>
          <t>CUT-O-N-AUT-AW-PE-31.75X2.500X0.1930</t>
        </is>
      </c>
    </row>
    <row r="2052">
      <c r="A2052" t="inlineStr">
        <is>
          <t>0000940921</t>
        </is>
      </c>
      <c r="B2052" t="inlineStr">
        <is>
          <t>ELKAYEM AUTO ANCILLARIES PVT LTD -U</t>
        </is>
      </c>
      <c r="C2052" t="inlineStr">
        <is>
          <t>NOS</t>
        </is>
      </c>
      <c r="D2052" t="n">
        <v>490</v>
      </c>
      <c r="E2052" t="n">
        <v>843.298</v>
      </c>
      <c r="F2052" t="n">
        <v>1686.09</v>
      </c>
      <c r="G2052" t="n">
        <v>1940715</v>
      </c>
      <c r="H2052" t="inlineStr">
        <is>
          <t>TUB-O-O-AUT-AW-FC-34.93X2.500X1.7210</t>
        </is>
      </c>
    </row>
    <row r="2053">
      <c r="A2053" t="inlineStr">
        <is>
          <t>0000940921</t>
        </is>
      </c>
      <c r="B2053" t="inlineStr">
        <is>
          <t>ELKAYEM AUTO ANCILLARIES PVT LTD -U</t>
        </is>
      </c>
      <c r="C2053" t="inlineStr">
        <is>
          <t>NOS</t>
        </is>
      </c>
      <c r="D2053" t="n">
        <v>372</v>
      </c>
      <c r="E2053" t="n">
        <v>640.218</v>
      </c>
      <c r="F2053" t="n">
        <v>1280.052</v>
      </c>
      <c r="G2053" t="n">
        <v>1940715</v>
      </c>
      <c r="H2053" t="inlineStr">
        <is>
          <t>TUB-O-O-AUT-AW-FC-34.93X2.500X1.7210</t>
        </is>
      </c>
    </row>
    <row r="2054">
      <c r="A2054" t="inlineStr">
        <is>
          <t>0000940921</t>
        </is>
      </c>
      <c r="B2054" t="inlineStr">
        <is>
          <t>ELKAYEM AUTO ANCILLARIES PVT LTD -U</t>
        </is>
      </c>
      <c r="C2054" t="inlineStr">
        <is>
          <t>NOS</t>
        </is>
      </c>
      <c r="D2054" t="n">
        <v>138</v>
      </c>
      <c r="E2054" t="n">
        <v>237.5</v>
      </c>
      <c r="F2054" t="n">
        <v>474.858</v>
      </c>
      <c r="G2054" t="n">
        <v>1940715</v>
      </c>
      <c r="H2054" t="inlineStr">
        <is>
          <t>TUB-O-O-AUT-AW-FC-34.93X2.500X1.7210</t>
        </is>
      </c>
    </row>
    <row r="2055">
      <c r="A2055" t="inlineStr">
        <is>
          <t>0000940921</t>
        </is>
      </c>
      <c r="B2055" t="inlineStr">
        <is>
          <t>ELKAYEM AUTO ANCILLARIES PVT LTD -U</t>
        </is>
      </c>
      <c r="C2055" t="inlineStr">
        <is>
          <t>NOS</t>
        </is>
      </c>
      <c r="D2055" t="n">
        <v>1259</v>
      </c>
      <c r="E2055" t="n">
        <v>800.651</v>
      </c>
      <c r="F2055" t="n">
        <v>1554.865</v>
      </c>
      <c r="G2055" t="n">
        <v>1940879</v>
      </c>
      <c r="H2055" t="inlineStr">
        <is>
          <t>TUB-R-AW-RHS-50.00X30.00X1.600X0.6360</t>
        </is>
      </c>
    </row>
    <row r="2056">
      <c r="A2056" t="inlineStr">
        <is>
          <t>0000940921</t>
        </is>
      </c>
      <c r="B2056" t="inlineStr">
        <is>
          <t>ELKAYEM AUTO ANCILLARIES PVT LTD -U</t>
        </is>
      </c>
      <c r="C2056" t="inlineStr">
        <is>
          <t>NOS</t>
        </is>
      </c>
      <c r="D2056" t="n">
        <v>659</v>
      </c>
      <c r="E2056" t="n">
        <v>419.086</v>
      </c>
      <c r="F2056" t="n">
        <v>813.865</v>
      </c>
      <c r="G2056" t="n">
        <v>1940879</v>
      </c>
      <c r="H2056" t="inlineStr">
        <is>
          <t>TUB-R-AW-RHS-50.00X30.00X1.600X0.6360</t>
        </is>
      </c>
    </row>
    <row r="2057">
      <c r="A2057" t="inlineStr">
        <is>
          <t>0000940921</t>
        </is>
      </c>
      <c r="B2057" t="inlineStr">
        <is>
          <t>ELKAYEM AUTO ANCILLARIES PVT LTD -U</t>
        </is>
      </c>
      <c r="C2057" t="inlineStr">
        <is>
          <t>NOS</t>
        </is>
      </c>
      <c r="D2057" t="n">
        <v>510</v>
      </c>
      <c r="E2057" t="n">
        <v>324.331</v>
      </c>
      <c r="F2057" t="n">
        <v>629.85</v>
      </c>
      <c r="G2057" t="n">
        <v>1940879</v>
      </c>
      <c r="H2057" t="inlineStr">
        <is>
          <t>TUB-R-AW-RHS-50.00X30.00X1.600X0.6360</t>
        </is>
      </c>
    </row>
    <row r="2058">
      <c r="A2058" t="inlineStr">
        <is>
          <t>0000940921</t>
        </is>
      </c>
      <c r="B2058" t="inlineStr">
        <is>
          <t>ELKAYEM AUTO ANCILLARIES PVT LTD -U</t>
        </is>
      </c>
      <c r="C2058" t="inlineStr">
        <is>
          <t>NOS</t>
        </is>
      </c>
      <c r="D2058" t="n">
        <v>2</v>
      </c>
      <c r="E2058" t="n">
        <v>1.272</v>
      </c>
      <c r="F2058" t="n">
        <v>2.47</v>
      </c>
      <c r="G2058" t="n">
        <v>1940879</v>
      </c>
      <c r="H2058" t="inlineStr">
        <is>
          <t>TUB-R-AW-RHS-50.00X30.00X1.600X0.6360</t>
        </is>
      </c>
    </row>
    <row r="2059">
      <c r="A2059" t="inlineStr">
        <is>
          <t>0000943211</t>
        </is>
      </c>
      <c r="B2059" t="inlineStr">
        <is>
          <t>MEGH STEELS PRIVATE LIMITED - RE</t>
        </is>
      </c>
      <c r="C2059" t="inlineStr">
        <is>
          <t>NOS</t>
        </is>
      </c>
      <c r="D2059" t="n">
        <v>2504</v>
      </c>
      <c r="E2059" t="n">
        <v>1554.657</v>
      </c>
      <c r="F2059" t="n">
        <v>1552.48</v>
      </c>
      <c r="G2059" t="n">
        <v>2397073</v>
      </c>
      <c r="H2059" t="inlineStr">
        <is>
          <t>TUB-O-N-AUT-AW-FC-34.93X1.200X0.6200</t>
        </is>
      </c>
    </row>
    <row r="2060">
      <c r="A2060" t="inlineStr">
        <is>
          <t>0000943211</t>
        </is>
      </c>
      <c r="B2060" t="inlineStr">
        <is>
          <t>MEGH STEELS PRIVATE LIMITED - RE</t>
        </is>
      </c>
      <c r="C2060" t="inlineStr">
        <is>
          <t>NOS</t>
        </is>
      </c>
      <c r="D2060" t="n">
        <v>2496</v>
      </c>
      <c r="E2060" t="n">
        <v>1549.69</v>
      </c>
      <c r="F2060" t="n">
        <v>1547.52</v>
      </c>
      <c r="G2060" t="n">
        <v>2397073</v>
      </c>
      <c r="H2060" t="inlineStr">
        <is>
          <t>TUB-O-N-AUT-AW-FC-34.93X1.200X0.6200</t>
        </is>
      </c>
    </row>
    <row r="2061">
      <c r="A2061" t="inlineStr">
        <is>
          <t>0000943210</t>
        </is>
      </c>
      <c r="B2061" t="inlineStr">
        <is>
          <t>MEGH STEELS PRIVATE LIMITED - HMSIL</t>
        </is>
      </c>
      <c r="C2061" t="inlineStr">
        <is>
          <t>NOS</t>
        </is>
      </c>
      <c r="D2061" t="n">
        <v>2321</v>
      </c>
      <c r="E2061" t="n">
        <v>965.712</v>
      </c>
      <c r="F2061" t="n">
        <v>1566.675</v>
      </c>
      <c r="G2061" t="n">
        <v>3731691</v>
      </c>
      <c r="H2061" t="inlineStr">
        <is>
          <t>TUB-O-N-AUT-AW-FC-42.70X1.600X0.4160</t>
        </is>
      </c>
    </row>
    <row r="2062">
      <c r="A2062" t="inlineStr">
        <is>
          <t>0000943210</t>
        </is>
      </c>
      <c r="B2062" t="inlineStr">
        <is>
          <t>MEGH STEELS PRIVATE LIMITED - HMSIL</t>
        </is>
      </c>
      <c r="C2062" t="inlineStr">
        <is>
          <t>NOS</t>
        </is>
      </c>
      <c r="D2062" t="n">
        <v>29</v>
      </c>
      <c r="E2062" t="n">
        <v>12.066</v>
      </c>
      <c r="F2062" t="n">
        <v>19.575</v>
      </c>
      <c r="G2062" t="n">
        <v>3731691</v>
      </c>
      <c r="H2062" t="inlineStr">
        <is>
          <t>TUB-O-N-AUT-AW-FC-42.70X1.600X0.4160</t>
        </is>
      </c>
    </row>
    <row r="2063">
      <c r="A2063" t="inlineStr">
        <is>
          <t>0000189287</t>
        </is>
      </c>
      <c r="B2063" t="inlineStr">
        <is>
          <t>BALAJI PRESS PRODUCTS INDIA</t>
        </is>
      </c>
      <c r="C2063" t="inlineStr">
        <is>
          <t>NOS</t>
        </is>
      </c>
      <c r="D2063" t="n">
        <v>2360</v>
      </c>
      <c r="E2063" t="n">
        <v>3009.025</v>
      </c>
      <c r="F2063" t="n">
        <v>1528.284</v>
      </c>
      <c r="G2063" t="n">
        <v>3409367</v>
      </c>
      <c r="H2063" t="inlineStr">
        <is>
          <t>TUB-O-N-AUT-AW-PE-19.05X1.200X1.2750</t>
        </is>
      </c>
    </row>
    <row r="2064">
      <c r="A2064" t="inlineStr">
        <is>
          <t>0000189287</t>
        </is>
      </c>
      <c r="B2064" t="inlineStr">
        <is>
          <t>BALAJI PRESS PRODUCTS INDIA</t>
        </is>
      </c>
      <c r="C2064" t="inlineStr">
        <is>
          <t>NOS</t>
        </is>
      </c>
      <c r="D2064" t="n">
        <v>680</v>
      </c>
      <c r="E2064" t="n">
        <v>867.0069999999999</v>
      </c>
      <c r="F2064" t="n">
        <v>440.353</v>
      </c>
      <c r="G2064" t="n">
        <v>3409367</v>
      </c>
      <c r="H2064" t="inlineStr">
        <is>
          <t>TUB-O-N-AUT-AW-PE-19.05X1.200X1.2750</t>
        </is>
      </c>
    </row>
    <row r="2065">
      <c r="A2065" t="inlineStr">
        <is>
          <t>0000189287</t>
        </is>
      </c>
      <c r="B2065" t="inlineStr">
        <is>
          <t>BALAJI PRESS PRODUCTS INDIA</t>
        </is>
      </c>
      <c r="C2065" t="inlineStr">
        <is>
          <t>NOS</t>
        </is>
      </c>
      <c r="D2065" t="n">
        <v>270</v>
      </c>
      <c r="E2065" t="n">
        <v>344.253</v>
      </c>
      <c r="F2065" t="n">
        <v>174.846</v>
      </c>
      <c r="G2065" t="n">
        <v>3409367</v>
      </c>
      <c r="H2065" t="inlineStr">
        <is>
          <t>TUB-O-N-AUT-AW-PE-19.05X1.200X1.2750</t>
        </is>
      </c>
    </row>
    <row r="2066">
      <c r="A2066" t="inlineStr">
        <is>
          <t>0000189287</t>
        </is>
      </c>
      <c r="B2066" t="inlineStr">
        <is>
          <t>BALAJI PRESS PRODUCTS INDIA</t>
        </is>
      </c>
      <c r="C2066" t="inlineStr">
        <is>
          <t>NOS</t>
        </is>
      </c>
      <c r="D2066" t="n">
        <v>90</v>
      </c>
      <c r="E2066" t="n">
        <v>114.751</v>
      </c>
      <c r="F2066" t="n">
        <v>58.282</v>
      </c>
      <c r="G2066" t="n">
        <v>3409367</v>
      </c>
      <c r="H2066" t="inlineStr">
        <is>
          <t>TUB-O-N-AUT-AW-PE-19.05X1.200X1.2750</t>
        </is>
      </c>
    </row>
    <row r="2067">
      <c r="A2067" t="inlineStr">
        <is>
          <t>0000189287</t>
        </is>
      </c>
      <c r="B2067" t="inlineStr">
        <is>
          <t>BALAJI PRESS PRODUCTS INDIA</t>
        </is>
      </c>
      <c r="C2067" t="inlineStr">
        <is>
          <t>NOS</t>
        </is>
      </c>
      <c r="D2067" t="n">
        <v>88</v>
      </c>
      <c r="E2067" t="n">
        <v>227.985</v>
      </c>
      <c r="F2067" t="n">
        <v>214.192</v>
      </c>
      <c r="G2067" t="n">
        <v>2409618</v>
      </c>
      <c r="H2067" t="inlineStr">
        <is>
          <t>TUB-O-N-AUT-AW-PE-25.40X1.600X2.5900</t>
        </is>
      </c>
    </row>
    <row r="2068">
      <c r="A2068" t="inlineStr">
        <is>
          <t>0000189287</t>
        </is>
      </c>
      <c r="B2068" t="inlineStr">
        <is>
          <t>BALAJI PRESS PRODUCTS INDIA</t>
        </is>
      </c>
      <c r="C2068" t="inlineStr">
        <is>
          <t>NOS</t>
        </is>
      </c>
      <c r="D2068" t="n">
        <v>220</v>
      </c>
      <c r="E2068" t="n">
        <v>569.963</v>
      </c>
      <c r="F2068" t="n">
        <v>535.48</v>
      </c>
      <c r="G2068" t="n">
        <v>2409618</v>
      </c>
      <c r="H2068" t="inlineStr">
        <is>
          <t>TUB-O-N-AUT-AW-PE-25.40X1.600X2.5900</t>
        </is>
      </c>
    </row>
    <row r="2069">
      <c r="A2069" t="inlineStr">
        <is>
          <t>0000189287</t>
        </is>
      </c>
      <c r="B2069" t="inlineStr">
        <is>
          <t>BALAJI PRESS PRODUCTS INDIA</t>
        </is>
      </c>
      <c r="C2069" t="inlineStr">
        <is>
          <t>NOS</t>
        </is>
      </c>
      <c r="D2069" t="n">
        <v>2</v>
      </c>
      <c r="E2069" t="n">
        <v>5.181</v>
      </c>
      <c r="F2069" t="n">
        <v>4.868</v>
      </c>
      <c r="G2069" t="n">
        <v>2409618</v>
      </c>
      <c r="H2069" t="inlineStr">
        <is>
          <t>TUB-O-N-AUT-AW-PE-25.40X1.600X2.5900</t>
        </is>
      </c>
    </row>
    <row r="2070">
      <c r="A2070" t="inlineStr">
        <is>
          <t>0000189287</t>
        </is>
      </c>
      <c r="B2070" t="inlineStr">
        <is>
          <t>BALAJI PRESS PRODUCTS INDIA</t>
        </is>
      </c>
      <c r="C2070" t="inlineStr">
        <is>
          <t>NOS</t>
        </is>
      </c>
      <c r="D2070" t="n">
        <v>1586</v>
      </c>
      <c r="E2070" t="n">
        <v>1815.984</v>
      </c>
      <c r="F2070" t="n">
        <v>959.283</v>
      </c>
      <c r="G2070" t="n">
        <v>4110464</v>
      </c>
      <c r="H2070" t="inlineStr">
        <is>
          <t>TUB-O-N-AUT-AW-PE-19.05X1.200X1.1450</t>
        </is>
      </c>
    </row>
    <row r="2071">
      <c r="A2071" t="inlineStr">
        <is>
          <t>0000189287</t>
        </is>
      </c>
      <c r="B2071" t="inlineStr">
        <is>
          <t>BALAJI PRESS PRODUCTS INDIA</t>
        </is>
      </c>
      <c r="C2071" t="inlineStr">
        <is>
          <t>NOS</t>
        </is>
      </c>
      <c r="D2071" t="n">
        <v>414</v>
      </c>
      <c r="E2071" t="n">
        <v>474.034</v>
      </c>
      <c r="F2071" t="n">
        <v>250.406</v>
      </c>
      <c r="G2071" t="n">
        <v>4110464</v>
      </c>
      <c r="H2071" t="inlineStr">
        <is>
          <t>TUB-O-N-AUT-AW-PE-19.05X1.200X1.1450</t>
        </is>
      </c>
    </row>
    <row r="2072">
      <c r="A2072" t="inlineStr">
        <is>
          <t>0000188595</t>
        </is>
      </c>
      <c r="B2072" t="inlineStr">
        <is>
          <t>Sri Balaji Gears</t>
        </is>
      </c>
      <c r="C2072" t="inlineStr">
        <is>
          <t>NOS</t>
        </is>
      </c>
      <c r="D2072" t="n">
        <v>1500</v>
      </c>
      <c r="E2072" t="n">
        <v>1965.583</v>
      </c>
      <c r="F2072" t="n">
        <v>2164.5</v>
      </c>
      <c r="G2072" t="n">
        <v>1940801</v>
      </c>
      <c r="H2072" t="inlineStr">
        <is>
          <t>TUB-R-AW-RHS-40.00X20.00X1.210X1.3100</t>
        </is>
      </c>
    </row>
    <row r="2073">
      <c r="A2073" t="inlineStr">
        <is>
          <t>0000188595</t>
        </is>
      </c>
      <c r="B2073" t="inlineStr">
        <is>
          <t>Sri Balaji Gears</t>
        </is>
      </c>
      <c r="C2073" t="inlineStr">
        <is>
          <t>NOS</t>
        </is>
      </c>
      <c r="D2073" t="n">
        <v>500</v>
      </c>
      <c r="E2073" t="n">
        <v>623.4109999999999</v>
      </c>
      <c r="F2073" t="n">
        <v>686.5</v>
      </c>
      <c r="G2073" t="n">
        <v>3233554</v>
      </c>
      <c r="H2073" t="inlineStr">
        <is>
          <t>TUB-R-AW-AUT-40.00X20.00X1.210X1.2460</t>
        </is>
      </c>
    </row>
    <row r="2074">
      <c r="A2074" t="inlineStr">
        <is>
          <t>0000188595</t>
        </is>
      </c>
      <c r="B2074" t="inlineStr">
        <is>
          <t>Sri Balaji Gears</t>
        </is>
      </c>
      <c r="C2074" t="inlineStr">
        <is>
          <t>NOS</t>
        </is>
      </c>
      <c r="D2074" t="n">
        <v>2000</v>
      </c>
      <c r="E2074" t="n">
        <v>2241.191</v>
      </c>
      <c r="F2074" t="n">
        <v>2468</v>
      </c>
      <c r="G2074" t="n">
        <v>3233555</v>
      </c>
      <c r="H2074" t="inlineStr">
        <is>
          <t>TUB-R-AW-AUT-40.00X20.00X1.210X1.1200</t>
        </is>
      </c>
    </row>
    <row r="2075">
      <c r="A2075" t="inlineStr">
        <is>
          <t>0000188595</t>
        </is>
      </c>
      <c r="B2075" t="inlineStr">
        <is>
          <t>Sri Balaji Gears</t>
        </is>
      </c>
      <c r="C2075" t="inlineStr">
        <is>
          <t>NOS</t>
        </is>
      </c>
      <c r="D2075" t="n">
        <v>2000</v>
      </c>
      <c r="E2075" t="n">
        <v>1720.981</v>
      </c>
      <c r="F2075" t="n">
        <v>1880</v>
      </c>
      <c r="G2075" t="n">
        <v>3572051</v>
      </c>
      <c r="H2075" t="inlineStr">
        <is>
          <t>TUB-R-AW-AUT-40.00X20.00X1.200X0.8600</t>
        </is>
      </c>
    </row>
    <row r="2076">
      <c r="A2076" t="inlineStr">
        <is>
          <t>0000188595</t>
        </is>
      </c>
      <c r="B2076" t="inlineStr">
        <is>
          <t>Sri Balaji Gears</t>
        </is>
      </c>
      <c r="C2076" t="inlineStr">
        <is>
          <t>NOS</t>
        </is>
      </c>
      <c r="D2076" t="n">
        <v>1000</v>
      </c>
      <c r="E2076" t="n">
        <v>754.994</v>
      </c>
      <c r="F2076" t="n">
        <v>824.756</v>
      </c>
      <c r="G2076" t="n">
        <v>4151472</v>
      </c>
      <c r="H2076" t="inlineStr">
        <is>
          <t>TUB-R-AW-AUT-40.00X20.00X1.200X0.7550</t>
        </is>
      </c>
    </row>
    <row r="2077">
      <c r="A2077" t="inlineStr">
        <is>
          <t>0000188595</t>
        </is>
      </c>
      <c r="B2077" t="inlineStr">
        <is>
          <t>Sri Balaji Gears</t>
        </is>
      </c>
      <c r="C2077" t="inlineStr">
        <is>
          <t>NOS</t>
        </is>
      </c>
      <c r="D2077" t="n">
        <v>1000</v>
      </c>
      <c r="E2077" t="n">
        <v>120.777</v>
      </c>
      <c r="F2077" t="n">
        <v>133</v>
      </c>
      <c r="G2077" t="n">
        <v>3233559</v>
      </c>
      <c r="H2077" t="inlineStr">
        <is>
          <t>TUB-R-AW-AUT-40.00X20.00X1.210X0.1200</t>
        </is>
      </c>
    </row>
    <row r="2078">
      <c r="A2078" t="inlineStr">
        <is>
          <t>0000188595</t>
        </is>
      </c>
      <c r="B2078" t="inlineStr">
        <is>
          <t>Sri Balaji Gears</t>
        </is>
      </c>
      <c r="C2078" t="inlineStr">
        <is>
          <t>NOS</t>
        </is>
      </c>
      <c r="D2078" t="n">
        <v>1000</v>
      </c>
      <c r="E2078" t="n">
        <v>110.765</v>
      </c>
      <c r="F2078" t="n">
        <v>121</v>
      </c>
      <c r="G2078" t="n">
        <v>3572047</v>
      </c>
      <c r="H2078" t="inlineStr">
        <is>
          <t>TUB-R-AW-AUT-40.00X20.00X1.200X0.1100</t>
        </is>
      </c>
    </row>
    <row r="2079">
      <c r="A2079" t="inlineStr">
        <is>
          <t>0000188595</t>
        </is>
      </c>
      <c r="B2079" t="inlineStr">
        <is>
          <t>Sri Balaji Gears</t>
        </is>
      </c>
      <c r="C2079" t="inlineStr">
        <is>
          <t>NOS</t>
        </is>
      </c>
      <c r="D2079" t="n">
        <v>1000</v>
      </c>
      <c r="E2079" t="n">
        <v>794.991</v>
      </c>
      <c r="F2079" t="n">
        <v>439.789</v>
      </c>
      <c r="G2079" t="n">
        <v>4151429</v>
      </c>
      <c r="H2079" t="inlineStr">
        <is>
          <t>TUB-S-AW-AUT-19.00X19.00X1.000X0.7950</t>
        </is>
      </c>
    </row>
    <row r="2080">
      <c r="A2080" t="inlineStr">
        <is>
          <t>0000188595</t>
        </is>
      </c>
      <c r="B2080" t="inlineStr">
        <is>
          <t>Sri Balaji Gears</t>
        </is>
      </c>
      <c r="C2080" t="inlineStr">
        <is>
          <t>NOS</t>
        </is>
      </c>
      <c r="D2080" t="n">
        <v>1000</v>
      </c>
      <c r="E2080" t="n">
        <v>469.994</v>
      </c>
      <c r="F2080" t="n">
        <v>256.1</v>
      </c>
      <c r="G2080" t="n">
        <v>3230488</v>
      </c>
      <c r="H2080" t="inlineStr">
        <is>
          <t>TUB-S-AW-AUT-19.00X19.00X1.000X0.4700</t>
        </is>
      </c>
    </row>
    <row r="2081">
      <c r="A2081" t="inlineStr">
        <is>
          <t>0000188595</t>
        </is>
      </c>
      <c r="B2081" t="inlineStr">
        <is>
          <t>Sri Balaji Gears</t>
        </is>
      </c>
      <c r="C2081" t="inlineStr">
        <is>
          <t>NOS</t>
        </is>
      </c>
      <c r="D2081" t="n">
        <v>4000</v>
      </c>
      <c r="E2081" t="n">
        <v>1597.975</v>
      </c>
      <c r="F2081" t="n">
        <v>884</v>
      </c>
      <c r="G2081" t="n">
        <v>3230487</v>
      </c>
      <c r="H2081" t="inlineStr">
        <is>
          <t>TUB-S-AW-AUT-19.00X19.00X1.000X0.4000</t>
        </is>
      </c>
    </row>
    <row r="2082">
      <c r="A2082" t="inlineStr">
        <is>
          <t>0000188595</t>
        </is>
      </c>
      <c r="B2082" t="inlineStr">
        <is>
          <t>Sri Balaji Gears</t>
        </is>
      </c>
      <c r="C2082" t="inlineStr">
        <is>
          <t>NOS</t>
        </is>
      </c>
      <c r="D2082" t="n">
        <v>2000</v>
      </c>
      <c r="E2082" t="n">
        <v>199.996</v>
      </c>
      <c r="F2082" t="n">
        <v>109</v>
      </c>
      <c r="G2082" t="n">
        <v>3931834</v>
      </c>
      <c r="H2082" t="inlineStr">
        <is>
          <t>CUT-R-AW-AUT-19.00X19.00X1.000X0.1000</t>
        </is>
      </c>
    </row>
    <row r="2083">
      <c r="A2083" t="inlineStr">
        <is>
          <t>0000188595</t>
        </is>
      </c>
      <c r="B2083" t="inlineStr">
        <is>
          <t>Sri Balaji Gears</t>
        </is>
      </c>
      <c r="C2083" t="inlineStr">
        <is>
          <t>NOS</t>
        </is>
      </c>
      <c r="D2083" t="n">
        <v>1000</v>
      </c>
      <c r="E2083" t="n">
        <v>115.006</v>
      </c>
      <c r="F2083" t="n">
        <v>62.667</v>
      </c>
      <c r="G2083" t="n">
        <v>4151428</v>
      </c>
      <c r="H2083" t="inlineStr">
        <is>
          <t>TUB-S-AW-AUT-19.00X19.00X1.000X0.1150</t>
        </is>
      </c>
    </row>
    <row r="2084">
      <c r="A2084" t="inlineStr">
        <is>
          <t>0000188595</t>
        </is>
      </c>
      <c r="B2084" t="inlineStr">
        <is>
          <t>Sri Balaji Gears</t>
        </is>
      </c>
      <c r="C2084" t="inlineStr">
        <is>
          <t>NOS</t>
        </is>
      </c>
      <c r="D2084" t="n">
        <v>1000</v>
      </c>
      <c r="E2084" t="n">
        <v>962.99</v>
      </c>
      <c r="F2084" t="n">
        <v>524.7329999999999</v>
      </c>
      <c r="G2084" t="n">
        <v>4151427</v>
      </c>
      <c r="H2084" t="inlineStr">
        <is>
          <t>TUB-S-AW-AUT-19.00X19.00X1.000X0.9630</t>
        </is>
      </c>
    </row>
    <row r="2085">
      <c r="A2085" t="inlineStr">
        <is>
          <t>0000188595</t>
        </is>
      </c>
      <c r="B2085" t="inlineStr">
        <is>
          <t>Sri Balaji Gears</t>
        </is>
      </c>
      <c r="C2085" t="inlineStr">
        <is>
          <t>NOS</t>
        </is>
      </c>
      <c r="D2085" t="n">
        <v>1000</v>
      </c>
      <c r="E2085" t="n">
        <v>755.001</v>
      </c>
      <c r="F2085" t="n">
        <v>411.4</v>
      </c>
      <c r="G2085" t="n">
        <v>4151426</v>
      </c>
      <c r="H2085" t="inlineStr">
        <is>
          <t>TUB-S-AW-AUT-19.00X19.00X1.000X0.7550</t>
        </is>
      </c>
    </row>
    <row r="2086">
      <c r="A2086" t="inlineStr">
        <is>
          <t>0000188595</t>
        </is>
      </c>
      <c r="B2086" t="inlineStr">
        <is>
          <t>Sri Balaji Gears</t>
        </is>
      </c>
      <c r="C2086" t="inlineStr">
        <is>
          <t>NOS</t>
        </is>
      </c>
      <c r="D2086" t="n">
        <v>1000</v>
      </c>
      <c r="E2086" t="n">
        <v>356.11</v>
      </c>
      <c r="F2086" t="n">
        <v>197</v>
      </c>
      <c r="G2086" t="n">
        <v>3230490</v>
      </c>
      <c r="H2086" t="inlineStr">
        <is>
          <t>TUB-S-AW-AUT-19.00X19.00X1.000X0.3550</t>
        </is>
      </c>
    </row>
    <row r="2087">
      <c r="A2087" t="inlineStr">
        <is>
          <t>0000188595</t>
        </is>
      </c>
      <c r="B2087" t="inlineStr">
        <is>
          <t>Sri Balaji Gears</t>
        </is>
      </c>
      <c r="C2087" t="inlineStr">
        <is>
          <t>NOS</t>
        </is>
      </c>
      <c r="D2087" t="n">
        <v>1000</v>
      </c>
      <c r="E2087" t="n">
        <v>1303.991</v>
      </c>
      <c r="F2087" t="n">
        <v>710.544</v>
      </c>
      <c r="G2087" t="n">
        <v>3572039</v>
      </c>
      <c r="H2087" t="inlineStr">
        <is>
          <t>TUB-S-AW-AUT-19.00X19.00X1.000X1.3040</t>
        </is>
      </c>
    </row>
    <row r="2088">
      <c r="A2088" t="inlineStr">
        <is>
          <t>0000188595</t>
        </is>
      </c>
      <c r="B2088" t="inlineStr">
        <is>
          <t>Sri Balaji Gears</t>
        </is>
      </c>
      <c r="C2088" t="inlineStr">
        <is>
          <t>NOS</t>
        </is>
      </c>
      <c r="D2088" t="n">
        <v>500</v>
      </c>
      <c r="E2088" t="n">
        <v>622.999</v>
      </c>
      <c r="F2088" t="n">
        <v>339.472</v>
      </c>
      <c r="G2088" t="n">
        <v>3572038</v>
      </c>
      <c r="H2088" t="inlineStr">
        <is>
          <t>TUB-S-AW-AUT-19.00X19.00X1.000X1.2460</t>
        </is>
      </c>
    </row>
    <row r="2089">
      <c r="A2089" t="inlineStr">
        <is>
          <t>0000188595</t>
        </is>
      </c>
      <c r="B2089" t="inlineStr">
        <is>
          <t>Sri Balaji Gears</t>
        </is>
      </c>
      <c r="C2089" t="inlineStr">
        <is>
          <t>NOS</t>
        </is>
      </c>
      <c r="D2089" t="n">
        <v>1000</v>
      </c>
      <c r="E2089" t="n">
        <v>835</v>
      </c>
      <c r="F2089" t="n">
        <v>461.922</v>
      </c>
      <c r="G2089" t="n">
        <v>4151425</v>
      </c>
      <c r="H2089" t="inlineStr">
        <is>
          <t>TUB-S-AW-AUT-19.00X19.00X1.000X0.8350</t>
        </is>
      </c>
    </row>
    <row r="2090">
      <c r="A2090" t="inlineStr">
        <is>
          <t>0000188595</t>
        </is>
      </c>
      <c r="B2090" t="inlineStr">
        <is>
          <t>Sri Balaji Gears</t>
        </is>
      </c>
      <c r="C2090" t="inlineStr">
        <is>
          <t>NOS</t>
        </is>
      </c>
      <c r="D2090" t="n">
        <v>1000</v>
      </c>
      <c r="E2090" t="n">
        <v>539.997</v>
      </c>
      <c r="F2090" t="n">
        <v>294.244</v>
      </c>
      <c r="G2090" t="n">
        <v>3571870</v>
      </c>
      <c r="H2090" t="inlineStr">
        <is>
          <t>TUB-S-AW-AUT-19.00X19.00X1.000X0.5400</t>
        </is>
      </c>
    </row>
    <row r="2091">
      <c r="A2091" t="inlineStr">
        <is>
          <t>0000188595</t>
        </is>
      </c>
      <c r="B2091" t="inlineStr">
        <is>
          <t>Sri Balaji Gears</t>
        </is>
      </c>
      <c r="C2091" t="inlineStr">
        <is>
          <t>NOS</t>
        </is>
      </c>
      <c r="D2091" t="n">
        <v>1000</v>
      </c>
      <c r="E2091" t="n">
        <v>110.008</v>
      </c>
      <c r="F2091" t="n">
        <v>59.956</v>
      </c>
      <c r="G2091" t="n">
        <v>3931835</v>
      </c>
      <c r="H2091" t="inlineStr">
        <is>
          <t>CUT-R-AW-AUT-19.00X19.00X1.000X0.1100</t>
        </is>
      </c>
    </row>
    <row r="2092">
      <c r="A2092" t="inlineStr">
        <is>
          <t>0000188595</t>
        </is>
      </c>
      <c r="B2092" t="inlineStr">
        <is>
          <t>Sri Balaji Gears</t>
        </is>
      </c>
      <c r="C2092" t="inlineStr">
        <is>
          <t>NOS</t>
        </is>
      </c>
      <c r="D2092" t="n">
        <v>1000</v>
      </c>
      <c r="E2092" t="n">
        <v>639.998</v>
      </c>
      <c r="F2092" t="n">
        <v>578.878</v>
      </c>
      <c r="G2092" t="n">
        <v>4151430</v>
      </c>
      <c r="H2092" t="inlineStr">
        <is>
          <t>TUB-S-AW-AUT-25.00X25.00X1.200X0.6400</t>
        </is>
      </c>
    </row>
    <row r="2093">
      <c r="A2093" t="inlineStr">
        <is>
          <t>0000188595</t>
        </is>
      </c>
      <c r="B2093" t="inlineStr">
        <is>
          <t>Sri Balaji Gears</t>
        </is>
      </c>
      <c r="C2093" t="inlineStr">
        <is>
          <t>NOS</t>
        </is>
      </c>
      <c r="D2093" t="n">
        <v>500</v>
      </c>
      <c r="E2093" t="n">
        <v>615.004</v>
      </c>
      <c r="F2093" t="n">
        <v>324.872</v>
      </c>
      <c r="G2093" t="n">
        <v>3929692</v>
      </c>
      <c r="H2093" t="inlineStr">
        <is>
          <t>CUT-O-N-AUT-AW-PE-19.05X1.200X1.2300</t>
        </is>
      </c>
    </row>
    <row r="2094">
      <c r="A2094" t="inlineStr">
        <is>
          <t>0000188595</t>
        </is>
      </c>
      <c r="B2094" t="inlineStr">
        <is>
          <t>Sri Balaji Gears</t>
        </is>
      </c>
      <c r="C2094" t="inlineStr">
        <is>
          <t>NOS</t>
        </is>
      </c>
      <c r="D2094" t="n">
        <v>3000</v>
      </c>
      <c r="E2094" t="n">
        <v>599.975</v>
      </c>
      <c r="F2094" t="n">
        <v>316.933</v>
      </c>
      <c r="G2094" t="n">
        <v>3929691</v>
      </c>
      <c r="H2094" t="inlineStr">
        <is>
          <t>CUT-O-N-AUT-AW-PE-19.05X1.200X0.2000</t>
        </is>
      </c>
    </row>
    <row r="2095">
      <c r="A2095" t="inlineStr">
        <is>
          <t>0000188595</t>
        </is>
      </c>
      <c r="B2095" t="inlineStr">
        <is>
          <t>Sri Balaji Gears</t>
        </is>
      </c>
      <c r="C2095" t="inlineStr">
        <is>
          <t>NOS</t>
        </is>
      </c>
      <c r="D2095" t="n">
        <v>1000</v>
      </c>
      <c r="E2095" t="n">
        <v>150</v>
      </c>
      <c r="F2095" t="n">
        <v>65.167</v>
      </c>
      <c r="G2095" t="n">
        <v>4104140</v>
      </c>
      <c r="H2095" t="inlineStr">
        <is>
          <t>TUB-O-N-AUT-AW-PE-15.88X1.220X0.1500</t>
        </is>
      </c>
    </row>
    <row r="2096">
      <c r="A2096" t="inlineStr">
        <is>
          <t>0000188595</t>
        </is>
      </c>
      <c r="B2096" t="inlineStr">
        <is>
          <t>Sri Balaji Gears</t>
        </is>
      </c>
      <c r="C2096" t="inlineStr">
        <is>
          <t>NOS</t>
        </is>
      </c>
      <c r="D2096" t="n">
        <v>2000</v>
      </c>
      <c r="E2096" t="n">
        <v>317.352</v>
      </c>
      <c r="F2096" t="n">
        <v>466</v>
      </c>
      <c r="G2096" t="n">
        <v>3572055</v>
      </c>
      <c r="H2096" t="inlineStr">
        <is>
          <t>TUB-S-AW-AUT-40.00X40.00X1.200X0.1580</t>
        </is>
      </c>
    </row>
    <row r="2097">
      <c r="A2097" t="inlineStr">
        <is>
          <t>0000188595</t>
        </is>
      </c>
      <c r="B2097" t="inlineStr">
        <is>
          <t>Sri Balaji Gears</t>
        </is>
      </c>
      <c r="C2097" t="inlineStr">
        <is>
          <t>NOS</t>
        </is>
      </c>
      <c r="D2097" t="n">
        <v>1000</v>
      </c>
      <c r="E2097" t="n">
        <v>115</v>
      </c>
      <c r="F2097" t="n">
        <v>168.867</v>
      </c>
      <c r="G2097" t="n">
        <v>4151471</v>
      </c>
      <c r="H2097" t="inlineStr">
        <is>
          <t>TUB-S-AW-SHS-40.00X40.00X1.200X0.1150</t>
        </is>
      </c>
    </row>
    <row r="2098">
      <c r="A2098" t="inlineStr">
        <is>
          <t>0000188595</t>
        </is>
      </c>
      <c r="B2098" t="inlineStr">
        <is>
          <t>Sri Balaji Gears</t>
        </is>
      </c>
      <c r="C2098" t="inlineStr">
        <is>
          <t>NOS</t>
        </is>
      </c>
      <c r="D2098" t="n">
        <v>1000</v>
      </c>
      <c r="E2098" t="n">
        <v>190</v>
      </c>
      <c r="F2098" t="n">
        <v>207.556</v>
      </c>
      <c r="G2098" t="n">
        <v>4151424</v>
      </c>
      <c r="H2098" t="inlineStr">
        <is>
          <t>TUB-S-AW-AUT-30.00X30.00X1.200X0.1900</t>
        </is>
      </c>
    </row>
    <row r="2099">
      <c r="A2099" t="inlineStr">
        <is>
          <t>0000188595</t>
        </is>
      </c>
      <c r="B2099" t="inlineStr">
        <is>
          <t>Sri Balaji Gears</t>
        </is>
      </c>
      <c r="C2099" t="inlineStr">
        <is>
          <t>NOS</t>
        </is>
      </c>
      <c r="D2099" t="n">
        <v>500</v>
      </c>
      <c r="E2099" t="n">
        <v>503.507</v>
      </c>
      <c r="F2099" t="n">
        <v>274.417</v>
      </c>
      <c r="G2099" t="n">
        <v>4100796</v>
      </c>
      <c r="H2099" t="inlineStr">
        <is>
          <t>CUT-R-AW-AUT-19.00X19.00X1.000X1.0070</t>
        </is>
      </c>
    </row>
    <row r="2100">
      <c r="A2100" t="inlineStr">
        <is>
          <t>0000188595</t>
        </is>
      </c>
      <c r="B2100" t="inlineStr">
        <is>
          <t>Sri Balaji Gears</t>
        </is>
      </c>
      <c r="C2100" t="inlineStr">
        <is>
          <t>NOS</t>
        </is>
      </c>
      <c r="D2100" t="n">
        <v>1000</v>
      </c>
      <c r="E2100" t="n">
        <v>129.009</v>
      </c>
      <c r="F2100" t="n">
        <v>70.31100000000001</v>
      </c>
      <c r="G2100" t="n">
        <v>3938687</v>
      </c>
      <c r="H2100" t="inlineStr">
        <is>
          <t>TUB-S-AW-AUT-19.00X19.00X1.000X0.1290</t>
        </is>
      </c>
    </row>
    <row r="2101">
      <c r="A2101" t="inlineStr">
        <is>
          <t>0000188595</t>
        </is>
      </c>
      <c r="B2101" t="inlineStr">
        <is>
          <t>Sri Balaji Gears</t>
        </is>
      </c>
      <c r="C2101" t="inlineStr">
        <is>
          <t>NOS</t>
        </is>
      </c>
      <c r="D2101" t="n">
        <v>500</v>
      </c>
      <c r="E2101" t="n">
        <v>164.995</v>
      </c>
      <c r="F2101" t="n">
        <v>87.18300000000001</v>
      </c>
      <c r="G2101" t="n">
        <v>3935313</v>
      </c>
      <c r="H2101" t="inlineStr">
        <is>
          <t>CUT-O-N-AUT-AW-PE-19.05X1.200X0.33</t>
        </is>
      </c>
    </row>
    <row r="2102">
      <c r="A2102" t="inlineStr">
        <is>
          <t>0000188356</t>
        </is>
      </c>
      <c r="B2102" t="inlineStr">
        <is>
          <t>Thai Summit Autoparts India Pvt Ltd</t>
        </is>
      </c>
      <c r="C2102" t="inlineStr">
        <is>
          <t>NOS</t>
        </is>
      </c>
      <c r="D2102" t="n">
        <v>1024</v>
      </c>
      <c r="E2102" t="n">
        <v>584.528</v>
      </c>
      <c r="F2102" t="n">
        <v>1084.416</v>
      </c>
      <c r="G2102" t="n">
        <v>3781648</v>
      </c>
      <c r="H2102" t="inlineStr">
        <is>
          <t>TUB-E-AW-AUT-59.00X30.00X1.600X0.5710</t>
        </is>
      </c>
    </row>
    <row r="2103">
      <c r="A2103" t="inlineStr">
        <is>
          <t>0000188356</t>
        </is>
      </c>
      <c r="B2103" t="inlineStr">
        <is>
          <t>Thai Summit Autoparts India Pvt Ltd</t>
        </is>
      </c>
      <c r="C2103" t="inlineStr">
        <is>
          <t>NOS</t>
        </is>
      </c>
      <c r="D2103" t="n">
        <v>1100</v>
      </c>
      <c r="E2103" t="n">
        <v>627.9109999999999</v>
      </c>
      <c r="F2103" t="n">
        <v>1164.9</v>
      </c>
      <c r="G2103" t="n">
        <v>3781648</v>
      </c>
      <c r="H2103" t="inlineStr">
        <is>
          <t>TUB-E-AW-AUT-59.00X30.00X1.600X0.5710</t>
        </is>
      </c>
    </row>
    <row r="2104">
      <c r="A2104" t="inlineStr">
        <is>
          <t>0000188356</t>
        </is>
      </c>
      <c r="B2104" t="inlineStr">
        <is>
          <t>Thai Summit Autoparts India Pvt Ltd</t>
        </is>
      </c>
      <c r="C2104" t="inlineStr">
        <is>
          <t>NOS</t>
        </is>
      </c>
      <c r="D2104" t="n">
        <v>376</v>
      </c>
      <c r="E2104" t="n">
        <v>214.631</v>
      </c>
      <c r="F2104" t="n">
        <v>398.184</v>
      </c>
      <c r="G2104" t="n">
        <v>3781648</v>
      </c>
      <c r="H2104" t="inlineStr">
        <is>
          <t>TUB-E-AW-AUT-59.00X30.00X1.600X0.5710</t>
        </is>
      </c>
    </row>
    <row r="2105">
      <c r="A2105" t="inlineStr">
        <is>
          <t>0000189270</t>
        </is>
      </c>
      <c r="B2105" t="inlineStr">
        <is>
          <t>Indo Autotech Limited (Unit V)</t>
        </is>
      </c>
      <c r="C2105" t="inlineStr">
        <is>
          <t>NOS</t>
        </is>
      </c>
      <c r="D2105" t="n">
        <v>1150</v>
      </c>
      <c r="E2105" t="n">
        <v>630.1559999999999</v>
      </c>
      <c r="F2105" t="n">
        <v>530.15</v>
      </c>
      <c r="G2105" t="n">
        <v>3676836</v>
      </c>
      <c r="H2105" t="inlineStr">
        <is>
          <t>TUB-O-N-AUT-AW-PE-19.05X2.000X0.5470</t>
        </is>
      </c>
    </row>
    <row r="2106">
      <c r="A2106" t="inlineStr">
        <is>
          <t>0000189270</t>
        </is>
      </c>
      <c r="B2106" t="inlineStr">
        <is>
          <t>Indo Autotech Limited (Unit V)</t>
        </is>
      </c>
      <c r="C2106" t="inlineStr">
        <is>
          <t>NOS</t>
        </is>
      </c>
      <c r="D2106" t="n">
        <v>7000</v>
      </c>
      <c r="E2106" t="n">
        <v>2251.965</v>
      </c>
      <c r="F2106" t="n">
        <v>1834</v>
      </c>
      <c r="G2106" t="n">
        <v>3868655</v>
      </c>
      <c r="H2106" t="inlineStr">
        <is>
          <t>CUT-O-N-AUT-AW-FC-22.23X1.600X0.3210</t>
        </is>
      </c>
    </row>
    <row r="2107">
      <c r="A2107" t="inlineStr">
        <is>
          <t>0000189270</t>
        </is>
      </c>
      <c r="B2107" t="inlineStr">
        <is>
          <t>Indo Autotech Limited (Unit V)</t>
        </is>
      </c>
      <c r="C2107" t="inlineStr">
        <is>
          <t>NOS</t>
        </is>
      </c>
      <c r="D2107" t="n">
        <v>860</v>
      </c>
      <c r="E2107" t="n">
        <v>906.448</v>
      </c>
      <c r="F2107" t="n">
        <v>1364.476</v>
      </c>
      <c r="G2107" t="n">
        <v>3605736</v>
      </c>
      <c r="H2107" t="inlineStr">
        <is>
          <t>TUB-O-N-AUT-AW-FC-45.00X1.400X1.0540</t>
        </is>
      </c>
    </row>
    <row r="2108">
      <c r="A2108" t="inlineStr">
        <is>
          <t>0000189270</t>
        </is>
      </c>
      <c r="B2108" t="inlineStr">
        <is>
          <t>Indo Autotech Limited (Unit V)</t>
        </is>
      </c>
      <c r="C2108" t="inlineStr">
        <is>
          <t>NOS</t>
        </is>
      </c>
      <c r="D2108" t="n">
        <v>600</v>
      </c>
      <c r="E2108" t="n">
        <v>632.4059999999999</v>
      </c>
      <c r="F2108" t="n">
        <v>951.96</v>
      </c>
      <c r="G2108" t="n">
        <v>3605736</v>
      </c>
      <c r="H2108" t="inlineStr">
        <is>
          <t>TUB-O-N-AUT-AW-FC-45.00X1.400X1.0540</t>
        </is>
      </c>
    </row>
    <row r="2109">
      <c r="A2109" t="inlineStr">
        <is>
          <t>0000189270</t>
        </is>
      </c>
      <c r="B2109" t="inlineStr">
        <is>
          <t>Indo Autotech Limited (Unit V)</t>
        </is>
      </c>
      <c r="C2109" t="inlineStr">
        <is>
          <t>NOS</t>
        </is>
      </c>
      <c r="D2109" t="n">
        <v>560</v>
      </c>
      <c r="E2109" t="n">
        <v>590.245</v>
      </c>
      <c r="F2109" t="n">
        <v>888.496</v>
      </c>
      <c r="G2109" t="n">
        <v>3605736</v>
      </c>
      <c r="H2109" t="inlineStr">
        <is>
          <t>TUB-O-N-AUT-AW-FC-45.00X1.400X1.0540</t>
        </is>
      </c>
    </row>
    <row r="2110">
      <c r="A2110" t="inlineStr">
        <is>
          <t>0000189270</t>
        </is>
      </c>
      <c r="B2110" t="inlineStr">
        <is>
          <t>Indo Autotech Limited (Unit V)</t>
        </is>
      </c>
      <c r="C2110" t="inlineStr">
        <is>
          <t>NOS</t>
        </is>
      </c>
      <c r="D2110" t="n">
        <v>480</v>
      </c>
      <c r="E2110" t="n">
        <v>505.924</v>
      </c>
      <c r="F2110" t="n">
        <v>761.568</v>
      </c>
      <c r="G2110" t="n">
        <v>3605736</v>
      </c>
      <c r="H2110" t="inlineStr">
        <is>
          <t>TUB-O-N-AUT-AW-FC-45.00X1.400X1.0540</t>
        </is>
      </c>
    </row>
    <row r="2111">
      <c r="A2111" t="inlineStr">
        <is>
          <t>0000189270</t>
        </is>
      </c>
      <c r="B2111" t="inlineStr">
        <is>
          <t>Indo Autotech Limited (Unit V)</t>
        </is>
      </c>
      <c r="C2111" t="inlineStr">
        <is>
          <t>NOS</t>
        </is>
      </c>
      <c r="D2111" t="n">
        <v>960</v>
      </c>
      <c r="E2111" t="n">
        <v>176.741</v>
      </c>
      <c r="F2111" t="n">
        <v>670.08</v>
      </c>
      <c r="G2111" t="n">
        <v>1940868</v>
      </c>
      <c r="H2111" t="inlineStr">
        <is>
          <t>TUB-O-O-AUT-AW-FC-48.60X3.400X0.1840</t>
        </is>
      </c>
    </row>
    <row r="2112">
      <c r="A2112" t="inlineStr">
        <is>
          <t>0000189270</t>
        </is>
      </c>
      <c r="B2112" t="inlineStr">
        <is>
          <t>Indo Autotech Limited (Unit V)</t>
        </is>
      </c>
      <c r="C2112" t="inlineStr">
        <is>
          <t>NOS</t>
        </is>
      </c>
      <c r="D2112" t="n">
        <v>840</v>
      </c>
      <c r="E2112" t="n">
        <v>619.111</v>
      </c>
      <c r="F2112" t="n">
        <v>1071</v>
      </c>
      <c r="G2112" t="n">
        <v>1932730</v>
      </c>
      <c r="H2112" t="inlineStr">
        <is>
          <t>TUB-O-N-AUT-AW-FC-50.80X1.420X0.7370</t>
        </is>
      </c>
    </row>
    <row r="2113">
      <c r="A2113" t="inlineStr">
        <is>
          <t>0000189270</t>
        </is>
      </c>
      <c r="B2113" t="inlineStr">
        <is>
          <t>Indo Autotech Limited (Unit V)</t>
        </is>
      </c>
      <c r="C2113" t="inlineStr">
        <is>
          <t>NOS</t>
        </is>
      </c>
      <c r="D2113" t="n">
        <v>840</v>
      </c>
      <c r="E2113" t="n">
        <v>619.111</v>
      </c>
      <c r="F2113" t="n">
        <v>1071</v>
      </c>
      <c r="G2113" t="n">
        <v>1932730</v>
      </c>
      <c r="H2113" t="inlineStr">
        <is>
          <t>TUB-O-N-AUT-AW-FC-50.80X1.420X0.7370</t>
        </is>
      </c>
    </row>
    <row r="2114">
      <c r="A2114" t="inlineStr">
        <is>
          <t>0000189270</t>
        </is>
      </c>
      <c r="B2114" t="inlineStr">
        <is>
          <t>Indo Autotech Limited (Unit V)</t>
        </is>
      </c>
      <c r="C2114" t="inlineStr">
        <is>
          <t>NOS</t>
        </is>
      </c>
      <c r="D2114" t="n">
        <v>620</v>
      </c>
      <c r="E2114" t="n">
        <v>456.963</v>
      </c>
      <c r="F2114" t="n">
        <v>790.5</v>
      </c>
      <c r="G2114" t="n">
        <v>1932730</v>
      </c>
      <c r="H2114" t="inlineStr">
        <is>
          <t>TUB-O-N-AUT-AW-FC-50.80X1.420X0.7370</t>
        </is>
      </c>
    </row>
    <row r="2115">
      <c r="A2115" t="inlineStr">
        <is>
          <t>0000189270</t>
        </is>
      </c>
      <c r="B2115" t="inlineStr">
        <is>
          <t>Indo Autotech Limited (Unit V)</t>
        </is>
      </c>
      <c r="C2115" t="inlineStr">
        <is>
          <t>NOS</t>
        </is>
      </c>
      <c r="D2115" t="n">
        <v>1875</v>
      </c>
      <c r="E2115" t="n">
        <v>1119.342</v>
      </c>
      <c r="F2115" t="n">
        <v>2173.875</v>
      </c>
      <c r="G2115" t="n">
        <v>3676838</v>
      </c>
      <c r="H2115" t="inlineStr">
        <is>
          <t>TUB-R-AW-AUT-50.00X30.00X1.600X0.5970</t>
        </is>
      </c>
    </row>
    <row r="2116">
      <c r="A2116" t="inlineStr">
        <is>
          <t>0000189270</t>
        </is>
      </c>
      <c r="B2116" t="inlineStr">
        <is>
          <t>Indo Autotech Limited (Unit V)</t>
        </is>
      </c>
      <c r="C2116" t="inlineStr">
        <is>
          <t>NOS</t>
        </is>
      </c>
      <c r="D2116" t="n">
        <v>615</v>
      </c>
      <c r="E2116" t="n">
        <v>367.144</v>
      </c>
      <c r="F2116" t="n">
        <v>713.0309999999999</v>
      </c>
      <c r="G2116" t="n">
        <v>3676838</v>
      </c>
      <c r="H2116" t="inlineStr">
        <is>
          <t>TUB-R-AW-AUT-50.00X30.00X1.600X0.5970</t>
        </is>
      </c>
    </row>
    <row r="2117">
      <c r="A2117" t="inlineStr">
        <is>
          <t>0000943209</t>
        </is>
      </c>
      <c r="B2117" t="inlineStr">
        <is>
          <t>MEGH STEELS PRIVATE LIMITED - TVS A</t>
        </is>
      </c>
      <c r="C2117" t="inlineStr">
        <is>
          <t>KG</t>
        </is>
      </c>
      <c r="D2117" t="n">
        <v>134</v>
      </c>
      <c r="E2117" t="n">
        <v>806.391</v>
      </c>
      <c r="F2117" t="n">
        <v>1928</v>
      </c>
      <c r="G2117" t="n">
        <v>3994149</v>
      </c>
      <c r="H2117" t="inlineStr">
        <is>
          <t>TUB-O-N-AUT-AW-FC-41.28X2.600X6.0010</t>
        </is>
      </c>
    </row>
    <row r="2118">
      <c r="A2118" t="inlineStr">
        <is>
          <t>0000943209</t>
        </is>
      </c>
      <c r="B2118" t="inlineStr">
        <is>
          <t>MEGH STEELS PRIVATE LIMITED - TVS A</t>
        </is>
      </c>
      <c r="C2118" t="inlineStr">
        <is>
          <t>KG</t>
        </is>
      </c>
      <c r="D2118" t="n">
        <v>143</v>
      </c>
      <c r="E2118" t="n">
        <v>857.836</v>
      </c>
      <c r="F2118" t="n">
        <v>2051</v>
      </c>
      <c r="G2118" t="n">
        <v>3994149</v>
      </c>
      <c r="H2118" t="inlineStr">
        <is>
          <t>TUB-O-N-AUT-AW-FC-41.28X2.600X6.0010</t>
        </is>
      </c>
    </row>
    <row r="2119">
      <c r="A2119" t="inlineStr">
        <is>
          <t>0000943209</t>
        </is>
      </c>
      <c r="B2119" t="inlineStr">
        <is>
          <t>MEGH STEELS PRIVATE LIMITED - TVS A</t>
        </is>
      </c>
      <c r="C2119" t="inlineStr">
        <is>
          <t>KG</t>
        </is>
      </c>
      <c r="D2119" t="n">
        <v>29</v>
      </c>
      <c r="E2119" t="n">
        <v>176.084</v>
      </c>
      <c r="F2119" t="n">
        <v>421</v>
      </c>
      <c r="G2119" t="n">
        <v>3994149</v>
      </c>
      <c r="H2119" t="inlineStr">
        <is>
          <t>TUB-O-N-AUT-AW-FC-41.28X2.600X6.0010</t>
        </is>
      </c>
    </row>
    <row r="2120">
      <c r="A2120" t="inlineStr">
        <is>
          <t>0000943209</t>
        </is>
      </c>
      <c r="B2120" t="inlineStr">
        <is>
          <t>MEGH STEELS PRIVATE LIMITED - TVS A</t>
        </is>
      </c>
      <c r="C2120" t="inlineStr">
        <is>
          <t>KG</t>
        </is>
      </c>
      <c r="D2120" t="n">
        <v>282</v>
      </c>
      <c r="E2120" t="n">
        <v>1493.976</v>
      </c>
      <c r="F2120" t="n">
        <v>930</v>
      </c>
      <c r="G2120" t="n">
        <v>3929640</v>
      </c>
      <c r="H2120" t="inlineStr">
        <is>
          <t>TUB-O-N-AUT-AW-PE-22.23X1.200X5.3000</t>
        </is>
      </c>
    </row>
    <row r="2121">
      <c r="A2121" t="inlineStr">
        <is>
          <t>0000943209</t>
        </is>
      </c>
      <c r="B2121" t="inlineStr">
        <is>
          <t>MEGH STEELS PRIVATE LIMITED - TVS A</t>
        </is>
      </c>
      <c r="C2121" t="inlineStr">
        <is>
          <t>KG</t>
        </is>
      </c>
      <c r="D2121" t="n">
        <v>118</v>
      </c>
      <c r="E2121" t="n">
        <v>700.256</v>
      </c>
      <c r="F2121" t="n">
        <v>2075</v>
      </c>
      <c r="G2121" t="n">
        <v>3597050</v>
      </c>
      <c r="H2121" t="inlineStr">
        <is>
          <t>TUB-O-N-AUT-AW-FC-41.28X3.150X5.9400</t>
        </is>
      </c>
    </row>
    <row r="2122">
      <c r="A2122" t="inlineStr">
        <is>
          <t>0000943209</t>
        </is>
      </c>
      <c r="B2122" t="inlineStr">
        <is>
          <t>MEGH STEELS PRIVATE LIMITED - TVS A</t>
        </is>
      </c>
      <c r="C2122" t="inlineStr">
        <is>
          <t>KG</t>
        </is>
      </c>
      <c r="D2122" t="n">
        <v>31</v>
      </c>
      <c r="E2122" t="n">
        <v>185.61</v>
      </c>
      <c r="F2122" t="n">
        <v>550</v>
      </c>
      <c r="G2122" t="n">
        <v>3597050</v>
      </c>
      <c r="H2122" t="inlineStr">
        <is>
          <t>TUB-O-N-AUT-AW-FC-41.28X3.150X5.9400</t>
        </is>
      </c>
    </row>
    <row r="2123">
      <c r="A2123" t="inlineStr">
        <is>
          <t>0000943209</t>
        </is>
      </c>
      <c r="B2123" t="inlineStr">
        <is>
          <t>MEGH STEELS PRIVATE LIMITED - TVS A</t>
        </is>
      </c>
      <c r="C2123" t="inlineStr">
        <is>
          <t>KG</t>
        </is>
      </c>
      <c r="D2123" t="n">
        <v>3</v>
      </c>
      <c r="E2123" t="n">
        <v>15.186</v>
      </c>
      <c r="F2123" t="n">
        <v>45</v>
      </c>
      <c r="G2123" t="n">
        <v>3597050</v>
      </c>
      <c r="H2123" t="inlineStr">
        <is>
          <t>TUB-O-N-AUT-AW-FC-41.28X3.150X5.9400</t>
        </is>
      </c>
    </row>
    <row r="2124">
      <c r="A2124" t="inlineStr">
        <is>
          <t>0000943209</t>
        </is>
      </c>
      <c r="B2124" t="inlineStr">
        <is>
          <t>MEGH STEELS PRIVATE LIMITED - TVS A</t>
        </is>
      </c>
      <c r="C2124" t="inlineStr">
        <is>
          <t>KG</t>
        </is>
      </c>
      <c r="D2124" t="n">
        <v>458</v>
      </c>
      <c r="E2124" t="n">
        <v>2744.941</v>
      </c>
      <c r="F2124" t="n">
        <v>2740</v>
      </c>
      <c r="G2124" t="n">
        <v>3410966</v>
      </c>
      <c r="H2124" t="inlineStr">
        <is>
          <t>TUB-O-N-AUT-AW-FC-22.23X2.000X6.0000</t>
        </is>
      </c>
    </row>
    <row r="2125">
      <c r="A2125" t="inlineStr">
        <is>
          <t>0000943209</t>
        </is>
      </c>
      <c r="B2125" t="inlineStr">
        <is>
          <t>MEGH STEELS PRIVATE LIMITED - TVS A</t>
        </is>
      </c>
      <c r="C2125" t="inlineStr">
        <is>
          <t>KG</t>
        </is>
      </c>
      <c r="D2125" t="n">
        <v>405</v>
      </c>
      <c r="E2125" t="n">
        <v>2430.375</v>
      </c>
      <c r="F2125" t="n">
        <v>2426</v>
      </c>
      <c r="G2125" t="n">
        <v>3410966</v>
      </c>
      <c r="H2125" t="inlineStr">
        <is>
          <t>TUB-O-N-AUT-AW-FC-22.23X2.000X6.0000</t>
        </is>
      </c>
    </row>
    <row r="2126">
      <c r="A2126" t="inlineStr">
        <is>
          <t>0000943209</t>
        </is>
      </c>
      <c r="B2126" t="inlineStr">
        <is>
          <t>MEGH STEELS PRIVATE LIMITED - TVS A</t>
        </is>
      </c>
      <c r="C2126" t="inlineStr">
        <is>
          <t>KG</t>
        </is>
      </c>
      <c r="D2126" t="n">
        <v>348</v>
      </c>
      <c r="E2126" t="n">
        <v>2087.758</v>
      </c>
      <c r="F2126" t="n">
        <v>2084</v>
      </c>
      <c r="G2126" t="n">
        <v>3410966</v>
      </c>
      <c r="H2126" t="inlineStr">
        <is>
          <t>TUB-O-N-AUT-AW-FC-22.23X2.000X6.0000</t>
        </is>
      </c>
    </row>
    <row r="2127">
      <c r="A2127" t="inlineStr">
        <is>
          <t>0000943209</t>
        </is>
      </c>
      <c r="B2127" t="inlineStr">
        <is>
          <t>MEGH STEELS PRIVATE LIMITED - TVS A</t>
        </is>
      </c>
      <c r="C2127" t="inlineStr">
        <is>
          <t>KG</t>
        </is>
      </c>
      <c r="D2127" t="n">
        <v>439</v>
      </c>
      <c r="E2127" t="n">
        <v>2611.469</v>
      </c>
      <c r="F2127" t="n">
        <v>2484</v>
      </c>
      <c r="G2127" t="n">
        <v>4272693</v>
      </c>
      <c r="H2127" t="inlineStr">
        <is>
          <t>TUB-O-N-AUT-AW-FC-22.20X2.000X5.9500</t>
        </is>
      </c>
    </row>
    <row r="2128">
      <c r="A2128" t="inlineStr">
        <is>
          <t>0000943209</t>
        </is>
      </c>
      <c r="B2128" t="inlineStr">
        <is>
          <t>MEGH STEELS PRIVATE LIMITED - TVS A</t>
        </is>
      </c>
      <c r="C2128" t="inlineStr">
        <is>
          <t>KG</t>
        </is>
      </c>
      <c r="D2128" t="n">
        <v>473</v>
      </c>
      <c r="E2128" t="n">
        <v>2812.27</v>
      </c>
      <c r="F2128" t="n">
        <v>2675</v>
      </c>
      <c r="G2128" t="n">
        <v>4272693</v>
      </c>
      <c r="H2128" t="inlineStr">
        <is>
          <t>TUB-O-N-AUT-AW-FC-22.20X2.000X5.9500</t>
        </is>
      </c>
    </row>
    <row r="2129">
      <c r="A2129" t="inlineStr">
        <is>
          <t>0000943209</t>
        </is>
      </c>
      <c r="B2129" t="inlineStr">
        <is>
          <t>MEGH STEELS PRIVATE LIMITED - TVS A</t>
        </is>
      </c>
      <c r="C2129" t="inlineStr">
        <is>
          <t>KG</t>
        </is>
      </c>
      <c r="D2129" t="n">
        <v>356</v>
      </c>
      <c r="E2129" t="n">
        <v>2118.402</v>
      </c>
      <c r="F2129" t="n">
        <v>2015</v>
      </c>
      <c r="G2129" t="n">
        <v>4272693</v>
      </c>
      <c r="H2129" t="inlineStr">
        <is>
          <t>TUB-O-N-AUT-AW-FC-22.20X2.000X5.9500</t>
        </is>
      </c>
    </row>
    <row r="2130">
      <c r="A2130" t="inlineStr">
        <is>
          <t>0000943209</t>
        </is>
      </c>
      <c r="B2130" t="inlineStr">
        <is>
          <t>MEGH STEELS PRIVATE LIMITED - TVS A</t>
        </is>
      </c>
      <c r="C2130" t="inlineStr">
        <is>
          <t>KG</t>
        </is>
      </c>
      <c r="D2130" t="n">
        <v>326</v>
      </c>
      <c r="E2130" t="n">
        <v>1940.729</v>
      </c>
      <c r="F2130" t="n">
        <v>1846</v>
      </c>
      <c r="G2130" t="n">
        <v>4272693</v>
      </c>
      <c r="H2130" t="inlineStr">
        <is>
          <t>TUB-O-N-AUT-AW-FC-22.20X2.000X5.9500</t>
        </is>
      </c>
    </row>
    <row r="2131">
      <c r="A2131" t="inlineStr">
        <is>
          <t>0000949970</t>
        </is>
      </c>
      <c r="B2131" t="inlineStr">
        <is>
          <t>SANDHAR ENGINEERING PVTLTD(KA)U-III</t>
        </is>
      </c>
      <c r="C2131" t="inlineStr">
        <is>
          <t>NOS</t>
        </is>
      </c>
      <c r="D2131" t="n">
        <v>2649</v>
      </c>
      <c r="E2131" t="n">
        <v>2396.601</v>
      </c>
      <c r="F2131" t="n">
        <v>2392.047</v>
      </c>
      <c r="G2131" t="n">
        <v>1940478</v>
      </c>
      <c r="H2131" t="inlineStr">
        <is>
          <t>TUB-O-O-AUT-AW-PE-22.23X2.00X0.905-MAHS</t>
        </is>
      </c>
    </row>
    <row r="2132">
      <c r="A2132" t="inlineStr">
        <is>
          <t>0000949970</t>
        </is>
      </c>
      <c r="B2132" t="inlineStr">
        <is>
          <t>SANDHAR ENGINEERING PVTLTD(KA)U-III</t>
        </is>
      </c>
      <c r="C2132" t="inlineStr">
        <is>
          <t>NOS</t>
        </is>
      </c>
      <c r="D2132" t="n">
        <v>2476</v>
      </c>
      <c r="E2132" t="n">
        <v>2240.084</v>
      </c>
      <c r="F2132" t="n">
        <v>2235.828</v>
      </c>
      <c r="G2132" t="n">
        <v>1940478</v>
      </c>
      <c r="H2132" t="inlineStr">
        <is>
          <t>TUB-O-O-AUT-AW-PE-22.23X2.00X0.905-MAHS</t>
        </is>
      </c>
    </row>
    <row r="2133">
      <c r="A2133" t="inlineStr">
        <is>
          <t>0000949971</t>
        </is>
      </c>
      <c r="B2133" t="inlineStr">
        <is>
          <t>SANDHAR ENGINEERING PVTLTD (KA)UIII</t>
        </is>
      </c>
      <c r="C2133" t="inlineStr">
        <is>
          <t>NOS</t>
        </is>
      </c>
      <c r="D2133" t="n">
        <v>2600</v>
      </c>
      <c r="E2133" t="n">
        <v>2223.102</v>
      </c>
      <c r="F2133" t="n">
        <v>2219.1</v>
      </c>
      <c r="G2133" t="n">
        <v>3943203</v>
      </c>
      <c r="H2133" t="inlineStr">
        <is>
          <t>CUT-O-N-AUT-AW-FC-22.23X2.000X0.8550</t>
        </is>
      </c>
    </row>
    <row r="2134">
      <c r="A2134" t="inlineStr">
        <is>
          <t>0000947306</t>
        </is>
      </c>
      <c r="B2134" t="inlineStr">
        <is>
          <t>NAHARS ENGINEERING INDIA PRIVATE LI</t>
        </is>
      </c>
      <c r="C2134" t="inlineStr">
        <is>
          <t>NOS</t>
        </is>
      </c>
      <c r="D2134" t="n">
        <v>5723</v>
      </c>
      <c r="E2134" t="n">
        <v>1321.864</v>
      </c>
      <c r="F2134" t="n">
        <v>1241.891</v>
      </c>
      <c r="G2134" t="n">
        <v>2398620</v>
      </c>
      <c r="H2134" t="inlineStr">
        <is>
          <t>TUB-O-N-AUT-AW-PE-25.40X1.600X0.2300</t>
        </is>
      </c>
    </row>
    <row r="2135">
      <c r="A2135" t="inlineStr">
        <is>
          <t>0000947306</t>
        </is>
      </c>
      <c r="B2135" t="inlineStr">
        <is>
          <t>NAHARS ENGINEERING INDIA PRIVATE LI</t>
        </is>
      </c>
      <c r="C2135" t="inlineStr">
        <is>
          <t>NOS</t>
        </is>
      </c>
      <c r="D2135" t="n">
        <v>1077</v>
      </c>
      <c r="E2135" t="n">
        <v>248.759</v>
      </c>
      <c r="F2135" t="n">
        <v>233.709</v>
      </c>
      <c r="G2135" t="n">
        <v>2398620</v>
      </c>
      <c r="H2135" t="inlineStr">
        <is>
          <t>TUB-O-N-AUT-AW-PE-25.40X1.600X0.2300</t>
        </is>
      </c>
    </row>
    <row r="2136">
      <c r="A2136" t="inlineStr">
        <is>
          <t>0000947306</t>
        </is>
      </c>
      <c r="B2136" t="inlineStr">
        <is>
          <t>NAHARS ENGINEERING INDIA PRIVATE LI</t>
        </is>
      </c>
      <c r="C2136" t="inlineStr">
        <is>
          <t>NOS</t>
        </is>
      </c>
      <c r="D2136" t="n">
        <v>4322</v>
      </c>
      <c r="E2136" t="n">
        <v>2022.677</v>
      </c>
      <c r="F2136" t="n">
        <v>1969.727</v>
      </c>
      <c r="G2136" t="n">
        <v>3620716</v>
      </c>
      <c r="H2136" t="inlineStr">
        <is>
          <t>TUB-O-N-AUT-AW-PE-22.23X2.000X0.4680</t>
        </is>
      </c>
    </row>
    <row r="2137">
      <c r="A2137" t="inlineStr">
        <is>
          <t>0000947306</t>
        </is>
      </c>
      <c r="B2137" t="inlineStr">
        <is>
          <t>NAHARS ENGINEERING INDIA PRIVATE LI</t>
        </is>
      </c>
      <c r="C2137" t="inlineStr">
        <is>
          <t>NOS</t>
        </is>
      </c>
      <c r="D2137" t="n">
        <v>1119</v>
      </c>
      <c r="E2137" t="n">
        <v>523.687</v>
      </c>
      <c r="F2137" t="n">
        <v>509.978</v>
      </c>
      <c r="G2137" t="n">
        <v>3620716</v>
      </c>
      <c r="H2137" t="inlineStr">
        <is>
          <t>TUB-O-N-AUT-AW-PE-22.23X2.000X0.4680</t>
        </is>
      </c>
    </row>
    <row r="2138">
      <c r="A2138" t="inlineStr">
        <is>
          <t>0000947306</t>
        </is>
      </c>
      <c r="B2138" t="inlineStr">
        <is>
          <t>NAHARS ENGINEERING INDIA PRIVATE LI</t>
        </is>
      </c>
      <c r="C2138" t="inlineStr">
        <is>
          <t>NOS</t>
        </is>
      </c>
      <c r="D2138" t="n">
        <v>9</v>
      </c>
      <c r="E2138" t="n">
        <v>4.212</v>
      </c>
      <c r="F2138" t="n">
        <v>4.102</v>
      </c>
      <c r="G2138" t="n">
        <v>3620716</v>
      </c>
      <c r="H2138" t="inlineStr">
        <is>
          <t>TUB-O-N-AUT-AW-PE-22.23X2.000X0.4680</t>
        </is>
      </c>
    </row>
    <row r="2139">
      <c r="A2139" t="inlineStr">
        <is>
          <t>0000189454</t>
        </is>
      </c>
      <c r="B2139" t="inlineStr">
        <is>
          <t>NAHARS ENGINEERING INDIA PRIVATE LI</t>
        </is>
      </c>
      <c r="C2139" t="inlineStr">
        <is>
          <t>NOS</t>
        </is>
      </c>
      <c r="D2139" t="n">
        <v>3651</v>
      </c>
      <c r="E2139" t="n">
        <v>3229.583</v>
      </c>
      <c r="F2139" t="n">
        <v>3077.793</v>
      </c>
      <c r="G2139" t="n">
        <v>1942696</v>
      </c>
      <c r="H2139" t="inlineStr">
        <is>
          <t>TUB-O-N-AUT-AW-PE-22.23X2.000X0.8840</t>
        </is>
      </c>
    </row>
    <row r="2140">
      <c r="A2140" t="inlineStr">
        <is>
          <t>0000189454</t>
        </is>
      </c>
      <c r="B2140" t="inlineStr">
        <is>
          <t>NAHARS ENGINEERING INDIA PRIVATE LI</t>
        </is>
      </c>
      <c r="C2140" t="inlineStr">
        <is>
          <t>NOS</t>
        </is>
      </c>
      <c r="D2140" t="n">
        <v>1874</v>
      </c>
      <c r="E2140" t="n">
        <v>1657.694</v>
      </c>
      <c r="F2140" t="n">
        <v>1579.782</v>
      </c>
      <c r="G2140" t="n">
        <v>1942696</v>
      </c>
      <c r="H2140" t="inlineStr">
        <is>
          <t>TUB-O-N-AUT-AW-PE-22.23X2.000X0.8840</t>
        </is>
      </c>
    </row>
    <row r="2141">
      <c r="A2141" t="inlineStr">
        <is>
          <t>0000943209</t>
        </is>
      </c>
      <c r="B2141" t="inlineStr">
        <is>
          <t>MEGH STEELS PRIVATE LIMITED - TVS A</t>
        </is>
      </c>
      <c r="C2141" t="inlineStr">
        <is>
          <t>KG</t>
        </is>
      </c>
      <c r="D2141" t="n">
        <v>509</v>
      </c>
      <c r="E2141" t="n">
        <v>2746.945</v>
      </c>
      <c r="F2141" t="n">
        <v>2742</v>
      </c>
      <c r="G2141" t="n">
        <v>2431251</v>
      </c>
      <c r="H2141" t="inlineStr">
        <is>
          <t>TUB-O-N-AUT-AW-PE-22.23X2.000X5.4000</t>
        </is>
      </c>
    </row>
    <row r="2142">
      <c r="A2142" t="inlineStr">
        <is>
          <t>0000943209</t>
        </is>
      </c>
      <c r="B2142" t="inlineStr">
        <is>
          <t>MEGH STEELS PRIVATE LIMITED - TVS A</t>
        </is>
      </c>
      <c r="C2142" t="inlineStr">
        <is>
          <t>KG</t>
        </is>
      </c>
      <c r="D2142" t="n">
        <v>505</v>
      </c>
      <c r="E2142" t="n">
        <v>2729.914</v>
      </c>
      <c r="F2142" t="n">
        <v>2725</v>
      </c>
      <c r="G2142" t="n">
        <v>2431251</v>
      </c>
      <c r="H2142" t="inlineStr">
        <is>
          <t>TUB-O-N-AUT-AW-PE-22.23X2.000X5.4000</t>
        </is>
      </c>
    </row>
    <row r="2143">
      <c r="A2143" t="inlineStr">
        <is>
          <t>0000943209</t>
        </is>
      </c>
      <c r="B2143" t="inlineStr">
        <is>
          <t>MEGH STEELS PRIVATE LIMITED - TVS A</t>
        </is>
      </c>
      <c r="C2143" t="inlineStr">
        <is>
          <t>KG</t>
        </is>
      </c>
      <c r="D2143" t="n">
        <v>504</v>
      </c>
      <c r="E2143" t="n">
        <v>2719.896</v>
      </c>
      <c r="F2143" t="n">
        <v>2715</v>
      </c>
      <c r="G2143" t="n">
        <v>2431251</v>
      </c>
      <c r="H2143" t="inlineStr">
        <is>
          <t>TUB-O-N-AUT-AW-PE-22.23X2.000X5.4000</t>
        </is>
      </c>
    </row>
    <row r="2144">
      <c r="A2144" t="inlineStr">
        <is>
          <t>0000943209</t>
        </is>
      </c>
      <c r="B2144" t="inlineStr">
        <is>
          <t>MEGH STEELS PRIVATE LIMITED - TVS A</t>
        </is>
      </c>
      <c r="C2144" t="inlineStr">
        <is>
          <t>KG</t>
        </is>
      </c>
      <c r="D2144" t="n">
        <v>501</v>
      </c>
      <c r="E2144" t="n">
        <v>2704.869</v>
      </c>
      <c r="F2144" t="n">
        <v>2700</v>
      </c>
      <c r="G2144" t="n">
        <v>2431251</v>
      </c>
      <c r="H2144" t="inlineStr">
        <is>
          <t>TUB-O-N-AUT-AW-PE-22.23X2.000X5.4000</t>
        </is>
      </c>
    </row>
    <row r="2145">
      <c r="A2145" t="inlineStr">
        <is>
          <t>0000943209</t>
        </is>
      </c>
      <c r="B2145" t="inlineStr">
        <is>
          <t>MEGH STEELS PRIVATE LIMITED - TVS A</t>
        </is>
      </c>
      <c r="C2145" t="inlineStr">
        <is>
          <t>KG</t>
        </is>
      </c>
      <c r="D2145" t="n">
        <v>501</v>
      </c>
      <c r="E2145" t="n">
        <v>2704.869</v>
      </c>
      <c r="F2145" t="n">
        <v>2700</v>
      </c>
      <c r="G2145" t="n">
        <v>2431251</v>
      </c>
      <c r="H2145" t="inlineStr">
        <is>
          <t>TUB-O-N-AUT-AW-PE-22.23X2.000X5.4000</t>
        </is>
      </c>
    </row>
    <row r="2146">
      <c r="A2146" t="inlineStr">
        <is>
          <t>0000943209</t>
        </is>
      </c>
      <c r="B2146" t="inlineStr">
        <is>
          <t>MEGH STEELS PRIVATE LIMITED - TVS A</t>
        </is>
      </c>
      <c r="C2146" t="inlineStr">
        <is>
          <t>KG</t>
        </is>
      </c>
      <c r="D2146" t="n">
        <v>497</v>
      </c>
      <c r="E2146" t="n">
        <v>2682.829</v>
      </c>
      <c r="F2146" t="n">
        <v>2678</v>
      </c>
      <c r="G2146" t="n">
        <v>2431251</v>
      </c>
      <c r="H2146" t="inlineStr">
        <is>
          <t>TUB-O-N-AUT-AW-PE-22.23X2.000X5.4000</t>
        </is>
      </c>
    </row>
    <row r="2147">
      <c r="A2147" t="inlineStr">
        <is>
          <t>0000943209</t>
        </is>
      </c>
      <c r="B2147" t="inlineStr">
        <is>
          <t>MEGH STEELS PRIVATE LIMITED - TVS A</t>
        </is>
      </c>
      <c r="C2147" t="inlineStr">
        <is>
          <t>KG</t>
        </is>
      </c>
      <c r="D2147" t="n">
        <v>492</v>
      </c>
      <c r="E2147" t="n">
        <v>2659.788</v>
      </c>
      <c r="F2147" t="n">
        <v>2655</v>
      </c>
      <c r="G2147" t="n">
        <v>2431251</v>
      </c>
      <c r="H2147" t="inlineStr">
        <is>
          <t>TUB-O-N-AUT-AW-PE-22.23X2.000X5.4000</t>
        </is>
      </c>
    </row>
    <row r="2148">
      <c r="A2148" t="inlineStr">
        <is>
          <t>0000943209</t>
        </is>
      </c>
      <c r="B2148" t="inlineStr">
        <is>
          <t>MEGH STEELS PRIVATE LIMITED - TVS A</t>
        </is>
      </c>
      <c r="C2148" t="inlineStr">
        <is>
          <t>KG</t>
        </is>
      </c>
      <c r="D2148" t="n">
        <v>482</v>
      </c>
      <c r="E2148" t="n">
        <v>2604.688</v>
      </c>
      <c r="F2148" t="n">
        <v>2600</v>
      </c>
      <c r="G2148" t="n">
        <v>2431251</v>
      </c>
      <c r="H2148" t="inlineStr">
        <is>
          <t>TUB-O-N-AUT-AW-PE-22.23X2.000X5.4000</t>
        </is>
      </c>
    </row>
    <row r="2149">
      <c r="A2149" t="inlineStr">
        <is>
          <t>0000943209</t>
        </is>
      </c>
      <c r="B2149" t="inlineStr">
        <is>
          <t>MEGH STEELS PRIVATE LIMITED - TVS A</t>
        </is>
      </c>
      <c r="C2149" t="inlineStr">
        <is>
          <t>KG</t>
        </is>
      </c>
      <c r="D2149" t="n">
        <v>190</v>
      </c>
      <c r="E2149" t="n">
        <v>1026.848</v>
      </c>
      <c r="F2149" t="n">
        <v>1025</v>
      </c>
      <c r="G2149" t="n">
        <v>2431251</v>
      </c>
      <c r="H2149" t="inlineStr">
        <is>
          <t>TUB-O-N-AUT-AW-PE-22.23X2.000X5.4000</t>
        </is>
      </c>
    </row>
    <row r="2150">
      <c r="A2150" t="inlineStr">
        <is>
          <t>0000189002</t>
        </is>
      </c>
      <c r="B2150" t="inlineStr">
        <is>
          <t>Marathwada Auto Compo Pvt. Ltd.</t>
        </is>
      </c>
      <c r="C2150" t="inlineStr">
        <is>
          <t>NOS</t>
        </is>
      </c>
      <c r="D2150" t="n">
        <v>1973</v>
      </c>
      <c r="E2150" t="n">
        <v>3385.971</v>
      </c>
      <c r="F2150" t="n">
        <v>1242.99</v>
      </c>
      <c r="G2150" t="n">
        <v>3672607</v>
      </c>
      <c r="H2150" t="inlineStr">
        <is>
          <t>TUB-O-N-AUT-AW-PE-15.88X1.000X1.7150</t>
        </is>
      </c>
    </row>
    <row r="2151">
      <c r="A2151" t="inlineStr">
        <is>
          <t>0000189002</t>
        </is>
      </c>
      <c r="B2151" t="inlineStr">
        <is>
          <t>Marathwada Auto Compo Pvt. Ltd.</t>
        </is>
      </c>
      <c r="C2151" t="inlineStr">
        <is>
          <t>NOS</t>
        </is>
      </c>
      <c r="D2151" t="n">
        <v>319</v>
      </c>
      <c r="E2151" t="n">
        <v>547.453</v>
      </c>
      <c r="F2151" t="n">
        <v>200.97</v>
      </c>
      <c r="G2151" t="n">
        <v>3672607</v>
      </c>
      <c r="H2151" t="inlineStr">
        <is>
          <t>TUB-O-N-AUT-AW-PE-15.88X1.000X1.7150</t>
        </is>
      </c>
    </row>
    <row r="2152">
      <c r="A2152" t="inlineStr">
        <is>
          <t>0000189002</t>
        </is>
      </c>
      <c r="B2152" t="inlineStr">
        <is>
          <t>Marathwada Auto Compo Pvt. Ltd.</t>
        </is>
      </c>
      <c r="C2152" t="inlineStr">
        <is>
          <t>NOS</t>
        </is>
      </c>
      <c r="D2152" t="n">
        <v>55</v>
      </c>
      <c r="E2152" t="n">
        <v>94.38800000000001</v>
      </c>
      <c r="F2152" t="n">
        <v>34.65</v>
      </c>
      <c r="G2152" t="n">
        <v>3672607</v>
      </c>
      <c r="H2152" t="inlineStr">
        <is>
          <t>TUB-O-N-AUT-AW-PE-15.88X1.000X1.7150</t>
        </is>
      </c>
    </row>
    <row r="2153">
      <c r="A2153" t="inlineStr">
        <is>
          <t>0000189002</t>
        </is>
      </c>
      <c r="B2153" t="inlineStr">
        <is>
          <t>Marathwada Auto Compo Pvt. Ltd.</t>
        </is>
      </c>
      <c r="C2153" t="inlineStr">
        <is>
          <t>NOS</t>
        </is>
      </c>
      <c r="D2153" t="n">
        <v>49</v>
      </c>
      <c r="E2153" t="n">
        <v>84.092</v>
      </c>
      <c r="F2153" t="n">
        <v>30.87</v>
      </c>
      <c r="G2153" t="n">
        <v>3672607</v>
      </c>
      <c r="H2153" t="inlineStr">
        <is>
          <t>TUB-O-N-AUT-AW-PE-15.88X1.000X1.7150</t>
        </is>
      </c>
    </row>
    <row r="2154">
      <c r="A2154" t="inlineStr">
        <is>
          <t>0000189002</t>
        </is>
      </c>
      <c r="B2154" t="inlineStr">
        <is>
          <t>Marathwada Auto Compo Pvt. Ltd.</t>
        </is>
      </c>
      <c r="C2154" t="inlineStr">
        <is>
          <t>NOS</t>
        </is>
      </c>
      <c r="D2154" t="n">
        <v>4</v>
      </c>
      <c r="E2154" t="n">
        <v>6.865</v>
      </c>
      <c r="F2154" t="n">
        <v>2.52</v>
      </c>
      <c r="G2154" t="n">
        <v>3672607</v>
      </c>
      <c r="H2154" t="inlineStr">
        <is>
          <t>TUB-O-N-AUT-AW-PE-15.88X1.000X1.7150</t>
        </is>
      </c>
    </row>
    <row r="2155">
      <c r="A2155" t="inlineStr">
        <is>
          <t>0000189002</t>
        </is>
      </c>
      <c r="B2155" t="inlineStr">
        <is>
          <t>Marathwada Auto Compo Pvt. Ltd.</t>
        </is>
      </c>
      <c r="C2155" t="inlineStr">
        <is>
          <t>NOS</t>
        </is>
      </c>
      <c r="D2155" t="n">
        <v>875</v>
      </c>
      <c r="E2155" t="n">
        <v>2231.158</v>
      </c>
      <c r="F2155" t="n">
        <v>1598.625</v>
      </c>
      <c r="G2155" t="n">
        <v>2426142</v>
      </c>
      <c r="H2155" t="inlineStr">
        <is>
          <t>TUB-O-N-AUT-AW-PE-25.40X1.200X2.5500</t>
        </is>
      </c>
    </row>
    <row r="2156">
      <c r="A2156" t="inlineStr">
        <is>
          <t>0000189002</t>
        </is>
      </c>
      <c r="B2156" t="inlineStr">
        <is>
          <t>Marathwada Auto Compo Pvt. Ltd.</t>
        </is>
      </c>
      <c r="C2156" t="inlineStr">
        <is>
          <t>NOS</t>
        </is>
      </c>
      <c r="D2156" t="n">
        <v>875</v>
      </c>
      <c r="E2156" t="n">
        <v>2231.158</v>
      </c>
      <c r="F2156" t="n">
        <v>1598.625</v>
      </c>
      <c r="G2156" t="n">
        <v>2426142</v>
      </c>
      <c r="H2156" t="inlineStr">
        <is>
          <t>TUB-O-N-AUT-AW-PE-25.40X1.200X2.5500</t>
        </is>
      </c>
    </row>
    <row r="2157">
      <c r="A2157" t="inlineStr">
        <is>
          <t>0000189002</t>
        </is>
      </c>
      <c r="B2157" t="inlineStr">
        <is>
          <t>Marathwada Auto Compo Pvt. Ltd.</t>
        </is>
      </c>
      <c r="C2157" t="inlineStr">
        <is>
          <t>NOS</t>
        </is>
      </c>
      <c r="D2157" t="n">
        <v>620</v>
      </c>
      <c r="E2157" t="n">
        <v>1580.935</v>
      </c>
      <c r="F2157" t="n">
        <v>1132.74</v>
      </c>
      <c r="G2157" t="n">
        <v>2426142</v>
      </c>
      <c r="H2157" t="inlineStr">
        <is>
          <t>TUB-O-N-AUT-AW-PE-25.40X1.200X2.5500</t>
        </is>
      </c>
    </row>
    <row r="2158">
      <c r="A2158" t="inlineStr">
        <is>
          <t>0000189002</t>
        </is>
      </c>
      <c r="B2158" t="inlineStr">
        <is>
          <t>Marathwada Auto Compo Pvt. Ltd.</t>
        </is>
      </c>
      <c r="C2158" t="inlineStr">
        <is>
          <t>NOS</t>
        </is>
      </c>
      <c r="D2158" t="n">
        <v>270</v>
      </c>
      <c r="E2158" t="n">
        <v>688.472</v>
      </c>
      <c r="F2158" t="n">
        <v>493.29</v>
      </c>
      <c r="G2158" t="n">
        <v>2426142</v>
      </c>
      <c r="H2158" t="inlineStr">
        <is>
          <t>TUB-O-N-AUT-AW-PE-25.40X1.200X2.5500</t>
        </is>
      </c>
    </row>
    <row r="2159">
      <c r="A2159" t="inlineStr">
        <is>
          <t>0000189002</t>
        </is>
      </c>
      <c r="B2159" t="inlineStr">
        <is>
          <t>Marathwada Auto Compo Pvt. Ltd.</t>
        </is>
      </c>
      <c r="C2159" t="inlineStr">
        <is>
          <t>NOS</t>
        </is>
      </c>
      <c r="D2159" t="n">
        <v>880</v>
      </c>
      <c r="E2159" t="n">
        <v>1409.534</v>
      </c>
      <c r="F2159" t="n">
        <v>517.4400000000001</v>
      </c>
      <c r="G2159" t="n">
        <v>1941846</v>
      </c>
      <c r="H2159" t="inlineStr">
        <is>
          <t>TUB-E-O-AUT-AW-FC-15.88X1.000X1.6030</t>
        </is>
      </c>
    </row>
    <row r="2160">
      <c r="A2160" t="inlineStr">
        <is>
          <t>0000189002</t>
        </is>
      </c>
      <c r="B2160" t="inlineStr">
        <is>
          <t>Marathwada Auto Compo Pvt. Ltd.</t>
        </is>
      </c>
      <c r="C2160" t="inlineStr">
        <is>
          <t>NOS</t>
        </is>
      </c>
      <c r="D2160" t="n">
        <v>370</v>
      </c>
      <c r="E2160" t="n">
        <v>592.645</v>
      </c>
      <c r="F2160" t="n">
        <v>217.56</v>
      </c>
      <c r="G2160" t="n">
        <v>1941846</v>
      </c>
      <c r="H2160" t="inlineStr">
        <is>
          <t>TUB-E-O-AUT-AW-FC-15.88X1.000X1.6030</t>
        </is>
      </c>
    </row>
    <row r="2161">
      <c r="A2161" t="inlineStr">
        <is>
          <t>0000189002</t>
        </is>
      </c>
      <c r="B2161" t="inlineStr">
        <is>
          <t>Marathwada Auto Compo Pvt. Ltd.</t>
        </is>
      </c>
      <c r="C2161" t="inlineStr">
        <is>
          <t>NOS</t>
        </is>
      </c>
      <c r="D2161" t="n">
        <v>949</v>
      </c>
      <c r="E2161" t="n">
        <v>1140.164</v>
      </c>
      <c r="F2161" t="n">
        <v>507.715</v>
      </c>
      <c r="G2161" t="n">
        <v>3635694</v>
      </c>
      <c r="H2161" t="inlineStr">
        <is>
          <t>TUB-O-N-AUT-AW-PE-19.05X1.000X1.2000</t>
        </is>
      </c>
    </row>
    <row r="2162">
      <c r="A2162" t="inlineStr">
        <is>
          <t>0000189002</t>
        </is>
      </c>
      <c r="B2162" t="inlineStr">
        <is>
          <t>Marathwada Auto Compo Pvt. Ltd.</t>
        </is>
      </c>
      <c r="C2162" t="inlineStr">
        <is>
          <t>NOS</t>
        </is>
      </c>
      <c r="D2162" t="n">
        <v>51</v>
      </c>
      <c r="E2162" t="n">
        <v>61.273</v>
      </c>
      <c r="F2162" t="n">
        <v>27.285</v>
      </c>
      <c r="G2162" t="n">
        <v>3635694</v>
      </c>
      <c r="H2162" t="inlineStr">
        <is>
          <t>TUB-O-N-AUT-AW-PE-19.05X1.000X1.2000</t>
        </is>
      </c>
    </row>
    <row r="2163">
      <c r="A2163" t="inlineStr">
        <is>
          <t>0000188595</t>
        </is>
      </c>
      <c r="B2163" t="inlineStr">
        <is>
          <t>Sri Balaji Gears</t>
        </is>
      </c>
      <c r="C2163" t="inlineStr">
        <is>
          <t>KG</t>
        </is>
      </c>
      <c r="D2163" t="n">
        <v>263</v>
      </c>
      <c r="E2163" t="n">
        <v>1604.613</v>
      </c>
      <c r="F2163" t="n">
        <v>1767</v>
      </c>
      <c r="G2163" t="n">
        <v>4201127</v>
      </c>
      <c r="H2163" t="inlineStr">
        <is>
          <t>TUB-R-AW-RHS-40.00X20.00X1.210X6.1000</t>
        </is>
      </c>
    </row>
    <row r="2164">
      <c r="A2164" t="inlineStr">
        <is>
          <t>0000188595</t>
        </is>
      </c>
      <c r="B2164" t="inlineStr">
        <is>
          <t>Sri Balaji Gears</t>
        </is>
      </c>
      <c r="C2164" t="inlineStr">
        <is>
          <t>KG</t>
        </is>
      </c>
      <c r="D2164" t="n">
        <v>121</v>
      </c>
      <c r="E2164" t="n">
        <v>738.2859999999999</v>
      </c>
      <c r="F2164" t="n">
        <v>813</v>
      </c>
      <c r="G2164" t="n">
        <v>4201127</v>
      </c>
      <c r="H2164" t="inlineStr">
        <is>
          <t>TUB-R-AW-RHS-40.00X20.00X1.210X6.1000</t>
        </is>
      </c>
    </row>
    <row r="2165">
      <c r="A2165" t="inlineStr">
        <is>
          <t>0000188595</t>
        </is>
      </c>
      <c r="B2165" t="inlineStr">
        <is>
          <t>Sri Balaji Gears</t>
        </is>
      </c>
      <c r="C2165" t="inlineStr">
        <is>
          <t>KG</t>
        </is>
      </c>
      <c r="D2165" t="n">
        <v>145</v>
      </c>
      <c r="E2165" t="n">
        <v>885.398</v>
      </c>
      <c r="F2165" t="n">
        <v>975</v>
      </c>
      <c r="G2165" t="n">
        <v>4201127</v>
      </c>
      <c r="H2165" t="inlineStr">
        <is>
          <t>TUB-R-AW-RHS-40.00X20.00X1.210X6.1000</t>
        </is>
      </c>
    </row>
    <row r="2166">
      <c r="A2166" t="inlineStr">
        <is>
          <t>0000188595</t>
        </is>
      </c>
      <c r="B2166" t="inlineStr">
        <is>
          <t>Sri Balaji Gears</t>
        </is>
      </c>
      <c r="C2166" t="inlineStr">
        <is>
          <t>KG</t>
        </is>
      </c>
      <c r="D2166" t="n">
        <v>402</v>
      </c>
      <c r="E2166" t="n">
        <v>2465.654</v>
      </c>
      <c r="F2166" t="n">
        <v>1364</v>
      </c>
      <c r="G2166" t="n">
        <v>3597679</v>
      </c>
      <c r="H2166" t="inlineStr">
        <is>
          <t>TUB-S-AW-AUT-19.00X19.00X1.000X6.1400</t>
        </is>
      </c>
    </row>
    <row r="2167">
      <c r="A2167" t="inlineStr">
        <is>
          <t>0000188595</t>
        </is>
      </c>
      <c r="B2167" t="inlineStr">
        <is>
          <t>Sri Balaji Gears</t>
        </is>
      </c>
      <c r="C2167" t="inlineStr">
        <is>
          <t>KG</t>
        </is>
      </c>
      <c r="D2167" t="n">
        <v>357</v>
      </c>
      <c r="E2167" t="n">
        <v>2142.47</v>
      </c>
      <c r="F2167" t="n">
        <v>1185</v>
      </c>
      <c r="G2167" t="n">
        <v>1940146</v>
      </c>
      <c r="H2167" t="inlineStr">
        <is>
          <t>TUB-S-FH-SHS-19.00X19.00X1.000X6.0000</t>
        </is>
      </c>
    </row>
    <row r="2168">
      <c r="A2168" t="inlineStr">
        <is>
          <t>0000188595</t>
        </is>
      </c>
      <c r="B2168" t="inlineStr">
        <is>
          <t>Sri Balaji Gears</t>
        </is>
      </c>
      <c r="C2168" t="inlineStr">
        <is>
          <t>KG</t>
        </is>
      </c>
      <c r="D2168" t="n">
        <v>246</v>
      </c>
      <c r="E2168" t="n">
        <v>1475.321</v>
      </c>
      <c r="F2168" t="n">
        <v>816</v>
      </c>
      <c r="G2168" t="n">
        <v>1940146</v>
      </c>
      <c r="H2168" t="inlineStr">
        <is>
          <t>TUB-S-FH-SHS-19.00X19.00X1.000X6.0000</t>
        </is>
      </c>
    </row>
    <row r="2169">
      <c r="A2169" t="inlineStr">
        <is>
          <t>0000188595</t>
        </is>
      </c>
      <c r="B2169" t="inlineStr">
        <is>
          <t>Sri Balaji Gears</t>
        </is>
      </c>
      <c r="C2169" t="inlineStr">
        <is>
          <t>KG</t>
        </is>
      </c>
      <c r="D2169" t="n">
        <v>210</v>
      </c>
      <c r="E2169" t="n">
        <v>1116.055</v>
      </c>
      <c r="F2169" t="n">
        <v>1229</v>
      </c>
      <c r="G2169" t="n">
        <v>3731692</v>
      </c>
      <c r="H2169" t="inlineStr">
        <is>
          <t>TUB-R-AW-AUT-40.00X20.00X1.210X5.3100</t>
        </is>
      </c>
    </row>
    <row r="2170">
      <c r="A2170" t="inlineStr">
        <is>
          <t>0000188595</t>
        </is>
      </c>
      <c r="B2170" t="inlineStr">
        <is>
          <t>Sri Balaji Gears</t>
        </is>
      </c>
      <c r="C2170" t="inlineStr">
        <is>
          <t>KG</t>
        </is>
      </c>
      <c r="D2170" t="n">
        <v>361</v>
      </c>
      <c r="E2170" t="n">
        <v>1917</v>
      </c>
      <c r="F2170" t="n">
        <v>2111</v>
      </c>
      <c r="G2170" t="n">
        <v>3731692</v>
      </c>
      <c r="H2170" t="inlineStr">
        <is>
          <t>TUB-R-AW-AUT-40.00X20.00X1.210X5.3100</t>
        </is>
      </c>
    </row>
    <row r="2171">
      <c r="A2171" t="inlineStr">
        <is>
          <t>0000184192</t>
        </is>
      </c>
      <c r="B2171" t="inlineStr">
        <is>
          <t>JBM AUTO LIMITED</t>
        </is>
      </c>
      <c r="C2171" t="inlineStr">
        <is>
          <t>NOS</t>
        </is>
      </c>
      <c r="D2171" t="n">
        <v>3600</v>
      </c>
      <c r="E2171" t="n">
        <v>1624.739</v>
      </c>
      <c r="F2171" t="n">
        <v>1555.2</v>
      </c>
      <c r="G2171" t="n">
        <v>3614495</v>
      </c>
      <c r="H2171" t="inlineStr">
        <is>
          <t>TUB-O-N-AUT-AW-PE-21.40X2.000X0.4510</t>
        </is>
      </c>
    </row>
    <row r="2172">
      <c r="A2172" t="inlineStr">
        <is>
          <t>0000949971</t>
        </is>
      </c>
      <c r="B2172" t="inlineStr">
        <is>
          <t>SANDHAR ENGINEERING PVTLTD (KA)UIII</t>
        </is>
      </c>
      <c r="C2172" t="inlineStr">
        <is>
          <t>NOS</t>
        </is>
      </c>
      <c r="D2172" t="n">
        <v>48</v>
      </c>
      <c r="E2172" t="n">
        <v>41.042</v>
      </c>
      <c r="F2172" t="n">
        <v>40.968</v>
      </c>
      <c r="G2172" t="n">
        <v>3943203</v>
      </c>
      <c r="H2172" t="inlineStr">
        <is>
          <t>CUT-O-N-AUT-AW-FC-22.23X2.000X0.8550</t>
        </is>
      </c>
    </row>
    <row r="2173">
      <c r="A2173" t="inlineStr">
        <is>
          <t>0000949971</t>
        </is>
      </c>
      <c r="B2173" t="inlineStr">
        <is>
          <t>SANDHAR ENGINEERING PVTLTD (KA)UIII</t>
        </is>
      </c>
      <c r="C2173" t="inlineStr">
        <is>
          <t>NOS</t>
        </is>
      </c>
      <c r="D2173" t="n">
        <v>272</v>
      </c>
      <c r="E2173" t="n">
        <v>232.571</v>
      </c>
      <c r="F2173" t="n">
        <v>232.152</v>
      </c>
      <c r="G2173" t="n">
        <v>3943203</v>
      </c>
      <c r="H2173" t="inlineStr">
        <is>
          <t>CUT-O-N-AUT-AW-FC-22.23X2.000X0.8550</t>
        </is>
      </c>
    </row>
    <row r="2174">
      <c r="A2174" t="inlineStr">
        <is>
          <t>0000949971</t>
        </is>
      </c>
      <c r="B2174" t="inlineStr">
        <is>
          <t>SANDHAR ENGINEERING PVTLTD (KA)UIII</t>
        </is>
      </c>
      <c r="C2174" t="inlineStr">
        <is>
          <t>NOS</t>
        </is>
      </c>
      <c r="D2174" t="n">
        <v>5</v>
      </c>
      <c r="E2174" t="n">
        <v>4.275</v>
      </c>
      <c r="F2174" t="n">
        <v>4.268</v>
      </c>
      <c r="G2174" t="n">
        <v>3943203</v>
      </c>
      <c r="H2174" t="inlineStr">
        <is>
          <t>CUT-O-N-AUT-AW-FC-22.23X2.000X0.8550</t>
        </is>
      </c>
    </row>
    <row r="2175">
      <c r="A2175" t="inlineStr">
        <is>
          <t>0000948721</t>
        </is>
      </c>
      <c r="B2175" t="inlineStr">
        <is>
          <t>ELKAYEM AUTO ANCILLARIES PRIVATE LI</t>
        </is>
      </c>
      <c r="C2175" t="inlineStr">
        <is>
          <t>NOS</t>
        </is>
      </c>
      <c r="D2175" t="n">
        <v>4049</v>
      </c>
      <c r="E2175" t="n">
        <v>1676.628</v>
      </c>
      <c r="F2175" t="n">
        <v>1785.609</v>
      </c>
      <c r="G2175" t="n">
        <v>3598957</v>
      </c>
      <c r="H2175" t="inlineStr">
        <is>
          <t>TUB-O-N-AUT-AW-FC-28.58X1.600X0.4140</t>
        </is>
      </c>
    </row>
    <row r="2176">
      <c r="A2176" t="inlineStr">
        <is>
          <t>0000948721</t>
        </is>
      </c>
      <c r="B2176" t="inlineStr">
        <is>
          <t>ELKAYEM AUTO ANCILLARIES PRIVATE LI</t>
        </is>
      </c>
      <c r="C2176" t="inlineStr">
        <is>
          <t>NOS</t>
        </is>
      </c>
      <c r="D2176" t="n">
        <v>1951</v>
      </c>
      <c r="E2176" t="n">
        <v>807.879</v>
      </c>
      <c r="F2176" t="n">
        <v>860.391</v>
      </c>
      <c r="G2176" t="n">
        <v>3598957</v>
      </c>
      <c r="H2176" t="inlineStr">
        <is>
          <t>TUB-O-N-AUT-AW-FC-28.58X1.600X0.4140</t>
        </is>
      </c>
    </row>
    <row r="2177">
      <c r="A2177" t="inlineStr">
        <is>
          <t>0000948721</t>
        </is>
      </c>
      <c r="B2177" t="inlineStr">
        <is>
          <t>ELKAYEM AUTO ANCILLARIES PRIVATE LI</t>
        </is>
      </c>
      <c r="C2177" t="inlineStr">
        <is>
          <t>NOS</t>
        </is>
      </c>
      <c r="D2177" t="n">
        <v>1765</v>
      </c>
      <c r="E2177" t="n">
        <v>1032.269</v>
      </c>
      <c r="F2177" t="n">
        <v>1616.74</v>
      </c>
      <c r="G2177" t="n">
        <v>1940825</v>
      </c>
      <c r="H2177" t="inlineStr">
        <is>
          <t>TUB-R-AW-RHS-40.00X25.00X1.600X0.5850</t>
        </is>
      </c>
    </row>
    <row r="2178">
      <c r="A2178" t="inlineStr">
        <is>
          <t>0000948721</t>
        </is>
      </c>
      <c r="B2178" t="inlineStr">
        <is>
          <t>ELKAYEM AUTO ANCILLARIES PRIVATE LI</t>
        </is>
      </c>
      <c r="C2178" t="inlineStr">
        <is>
          <t>NOS</t>
        </is>
      </c>
      <c r="D2178" t="n">
        <v>95</v>
      </c>
      <c r="E2178" t="n">
        <v>55.561</v>
      </c>
      <c r="F2178" t="n">
        <v>87.02</v>
      </c>
      <c r="G2178" t="n">
        <v>1940825</v>
      </c>
      <c r="H2178" t="inlineStr">
        <is>
          <t>TUB-R-AW-RHS-40.00X25.00X1.600X0.5850</t>
        </is>
      </c>
    </row>
    <row r="2179">
      <c r="A2179" t="inlineStr">
        <is>
          <t>0000948721</t>
        </is>
      </c>
      <c r="B2179" t="inlineStr">
        <is>
          <t>ELKAYEM AUTO ANCILLARIES PRIVATE LI</t>
        </is>
      </c>
      <c r="C2179" t="inlineStr">
        <is>
          <t>NOS</t>
        </is>
      </c>
      <c r="D2179" t="n">
        <v>2998</v>
      </c>
      <c r="E2179" t="n">
        <v>1440.006</v>
      </c>
      <c r="F2179" t="n">
        <v>2074.616</v>
      </c>
      <c r="G2179" t="n">
        <v>1940815</v>
      </c>
      <c r="H2179" t="inlineStr">
        <is>
          <t>TUB-R-AW-RHS-40.00X20.00X1.600X0.4800</t>
        </is>
      </c>
    </row>
    <row r="2180">
      <c r="A2180" t="inlineStr">
        <is>
          <t>0000948721</t>
        </is>
      </c>
      <c r="B2180" t="inlineStr">
        <is>
          <t>ELKAYEM AUTO ANCILLARIES PRIVATE LI</t>
        </is>
      </c>
      <c r="C2180" t="inlineStr">
        <is>
          <t>NOS</t>
        </is>
      </c>
      <c r="D2180" t="n">
        <v>442</v>
      </c>
      <c r="E2180" t="n">
        <v>212.302</v>
      </c>
      <c r="F2180" t="n">
        <v>305.864</v>
      </c>
      <c r="G2180" t="n">
        <v>1940815</v>
      </c>
      <c r="H2180" t="inlineStr">
        <is>
          <t>TUB-R-AW-RHS-40.00X20.00X1.600X0.4800</t>
        </is>
      </c>
    </row>
    <row r="2181">
      <c r="A2181" t="inlineStr">
        <is>
          <t>0000948721</t>
        </is>
      </c>
      <c r="B2181" t="inlineStr">
        <is>
          <t>ELKAYEM AUTO ANCILLARIES PRIVATE LI</t>
        </is>
      </c>
      <c r="C2181" t="inlineStr">
        <is>
          <t>NOS</t>
        </is>
      </c>
      <c r="D2181" t="n">
        <v>1780</v>
      </c>
      <c r="E2181" t="n">
        <v>264.166</v>
      </c>
      <c r="F2181" t="n">
        <v>526.88</v>
      </c>
      <c r="G2181" t="n">
        <v>4098592</v>
      </c>
      <c r="H2181" t="inlineStr">
        <is>
          <t>TUB-R-AW-AUT-40.00X30.00X2.000X0.1480</t>
        </is>
      </c>
    </row>
    <row r="2182">
      <c r="A2182" t="inlineStr">
        <is>
          <t>0000948721</t>
        </is>
      </c>
      <c r="B2182" t="inlineStr">
        <is>
          <t>ELKAYEM AUTO ANCILLARIES PRIVATE LI</t>
        </is>
      </c>
      <c r="C2182" t="inlineStr">
        <is>
          <t>NOS</t>
        </is>
      </c>
      <c r="D2182" t="n">
        <v>380</v>
      </c>
      <c r="E2182" t="n">
        <v>56.395</v>
      </c>
      <c r="F2182" t="n">
        <v>112.48</v>
      </c>
      <c r="G2182" t="n">
        <v>4098592</v>
      </c>
      <c r="H2182" t="inlineStr">
        <is>
          <t>TUB-R-AW-AUT-40.00X30.00X2.000X0.1480</t>
        </is>
      </c>
    </row>
    <row r="2183">
      <c r="A2183" t="inlineStr">
        <is>
          <t>0000948721</t>
        </is>
      </c>
      <c r="B2183" t="inlineStr">
        <is>
          <t>ELKAYEM AUTO ANCILLARIES PRIVATE LI</t>
        </is>
      </c>
      <c r="C2183" t="inlineStr">
        <is>
          <t>NOS</t>
        </is>
      </c>
      <c r="D2183" t="n">
        <v>1385</v>
      </c>
      <c r="E2183" t="n">
        <v>836.52</v>
      </c>
      <c r="F2183" t="n">
        <v>1624.605</v>
      </c>
      <c r="G2183" t="n">
        <v>2427158</v>
      </c>
      <c r="H2183" t="inlineStr">
        <is>
          <t>TUB-R-AW-AUT-50.00X30.00X1.600X0.6040</t>
        </is>
      </c>
    </row>
    <row r="2184">
      <c r="A2184" t="inlineStr">
        <is>
          <t>0000948721</t>
        </is>
      </c>
      <c r="B2184" t="inlineStr">
        <is>
          <t>ELKAYEM AUTO ANCILLARIES PRIVATE LI</t>
        </is>
      </c>
      <c r="C2184" t="inlineStr">
        <is>
          <t>NOS</t>
        </is>
      </c>
      <c r="D2184" t="n">
        <v>1380</v>
      </c>
      <c r="E2184" t="n">
        <v>833.5</v>
      </c>
      <c r="F2184" t="n">
        <v>1618.74</v>
      </c>
      <c r="G2184" t="n">
        <v>2427158</v>
      </c>
      <c r="H2184" t="inlineStr">
        <is>
          <t>TUB-R-AW-AUT-50.00X30.00X1.600X0.6040</t>
        </is>
      </c>
    </row>
    <row r="2185">
      <c r="A2185" t="inlineStr">
        <is>
          <t>0000948721</t>
        </is>
      </c>
      <c r="B2185" t="inlineStr">
        <is>
          <t>ELKAYEM AUTO ANCILLARIES PRIVATE LI</t>
        </is>
      </c>
      <c r="C2185" t="inlineStr">
        <is>
          <t>NOS</t>
        </is>
      </c>
      <c r="D2185" t="n">
        <v>235</v>
      </c>
      <c r="E2185" t="n">
        <v>141.937</v>
      </c>
      <c r="F2185" t="n">
        <v>275.655</v>
      </c>
      <c r="G2185" t="n">
        <v>2427158</v>
      </c>
      <c r="H2185" t="inlineStr">
        <is>
          <t>TUB-R-AW-AUT-50.00X30.00X1.600X0.6040</t>
        </is>
      </c>
    </row>
    <row r="2186">
      <c r="A2186" t="inlineStr">
        <is>
          <t>0000949970</t>
        </is>
      </c>
      <c r="B2186" t="inlineStr">
        <is>
          <t>SANDHAR ENGINEERING PVTLTD(KA)U-III</t>
        </is>
      </c>
      <c r="C2186" t="inlineStr">
        <is>
          <t>NOS</t>
        </is>
      </c>
      <c r="D2186" t="n">
        <v>26</v>
      </c>
      <c r="E2186" t="n">
        <v>23.523</v>
      </c>
      <c r="F2186" t="n">
        <v>23.478</v>
      </c>
      <c r="G2186" t="n">
        <v>1940478</v>
      </c>
      <c r="H2186" t="inlineStr">
        <is>
          <t>TUB-O-O-AUT-AW-PE-22.23X2.00X0.905-MAHS</t>
        </is>
      </c>
    </row>
    <row r="2187">
      <c r="A2187" t="inlineStr">
        <is>
          <t>0000949970</t>
        </is>
      </c>
      <c r="B2187" t="inlineStr">
        <is>
          <t>SANDHAR ENGINEERING PVTLTD(KA)U-III</t>
        </is>
      </c>
      <c r="C2187" t="inlineStr">
        <is>
          <t>NOS</t>
        </is>
      </c>
      <c r="D2187" t="n">
        <v>2100</v>
      </c>
      <c r="E2187" t="n">
        <v>1899.91</v>
      </c>
      <c r="F2187" t="n">
        <v>1896.3</v>
      </c>
      <c r="G2187" t="n">
        <v>1940478</v>
      </c>
      <c r="H2187" t="inlineStr">
        <is>
          <t>TUB-O-O-AUT-AW-PE-22.23X2.00X0.905-MAHS</t>
        </is>
      </c>
    </row>
    <row r="2188">
      <c r="A2188" t="inlineStr">
        <is>
          <t>0000949970</t>
        </is>
      </c>
      <c r="B2188" t="inlineStr">
        <is>
          <t>SANDHAR ENGINEERING PVTLTD(KA)U-III</t>
        </is>
      </c>
      <c r="C2188" t="inlineStr">
        <is>
          <t>NOS</t>
        </is>
      </c>
      <c r="D2188" t="n">
        <v>1950</v>
      </c>
      <c r="E2188" t="n">
        <v>1764.202</v>
      </c>
      <c r="F2188" t="n">
        <v>1760.85</v>
      </c>
      <c r="G2188" t="n">
        <v>1940478</v>
      </c>
      <c r="H2188" t="inlineStr">
        <is>
          <t>TUB-O-O-AUT-AW-PE-22.23X2.00X0.905-MAHS</t>
        </is>
      </c>
    </row>
    <row r="2189">
      <c r="A2189" t="inlineStr">
        <is>
          <t>0000949970</t>
        </is>
      </c>
      <c r="B2189" t="inlineStr">
        <is>
          <t>SANDHAR ENGINEERING PVTLTD(KA)U-III</t>
        </is>
      </c>
      <c r="C2189" t="inlineStr">
        <is>
          <t>NOS</t>
        </is>
      </c>
      <c r="D2189" t="n">
        <v>24</v>
      </c>
      <c r="E2189" t="n">
        <v>21.713</v>
      </c>
      <c r="F2189" t="n">
        <v>21.672</v>
      </c>
      <c r="G2189" t="n">
        <v>1940478</v>
      </c>
      <c r="H2189" t="inlineStr">
        <is>
          <t>TUB-O-O-AUT-AW-PE-22.23X2.00X0.905-MAHS</t>
        </is>
      </c>
    </row>
    <row r="2190">
      <c r="A2190" t="inlineStr">
        <is>
          <t>0000943209</t>
        </is>
      </c>
      <c r="B2190" t="inlineStr">
        <is>
          <t>MEGH STEELS PRIVATE LIMITED - TVS A</t>
        </is>
      </c>
      <c r="C2190" t="inlineStr">
        <is>
          <t>KG</t>
        </is>
      </c>
      <c r="D2190" t="n">
        <v>443</v>
      </c>
      <c r="E2190" t="n">
        <v>2657.784</v>
      </c>
      <c r="F2190" t="n">
        <v>2653</v>
      </c>
      <c r="G2190" t="n">
        <v>3410966</v>
      </c>
      <c r="H2190" t="inlineStr">
        <is>
          <t>TUB-O-N-AUT-AW-FC-22.23X2.000X6.0000</t>
        </is>
      </c>
    </row>
    <row r="2191">
      <c r="A2191" t="inlineStr">
        <is>
          <t>0000943209</t>
        </is>
      </c>
      <c r="B2191" t="inlineStr">
        <is>
          <t>MEGH STEELS PRIVATE LIMITED - TVS A</t>
        </is>
      </c>
      <c r="C2191" t="inlineStr">
        <is>
          <t>KG</t>
        </is>
      </c>
      <c r="D2191" t="n">
        <v>440</v>
      </c>
      <c r="E2191" t="n">
        <v>2639.752</v>
      </c>
      <c r="F2191" t="n">
        <v>2635</v>
      </c>
      <c r="G2191" t="n">
        <v>3410966</v>
      </c>
      <c r="H2191" t="inlineStr">
        <is>
          <t>TUB-O-N-AUT-AW-FC-22.23X2.000X6.0000</t>
        </is>
      </c>
    </row>
    <row r="2192">
      <c r="A2192" t="inlineStr">
        <is>
          <t>0000943209</t>
        </is>
      </c>
      <c r="B2192" t="inlineStr">
        <is>
          <t>MEGH STEELS PRIVATE LIMITED - TVS A</t>
        </is>
      </c>
      <c r="C2192" t="inlineStr">
        <is>
          <t>KG</t>
        </is>
      </c>
      <c r="D2192" t="n">
        <v>416</v>
      </c>
      <c r="E2192" t="n">
        <v>2495.492</v>
      </c>
      <c r="F2192" t="n">
        <v>2491</v>
      </c>
      <c r="G2192" t="n">
        <v>3410966</v>
      </c>
      <c r="H2192" t="inlineStr">
        <is>
          <t>TUB-O-N-AUT-AW-FC-22.23X2.000X6.0000</t>
        </is>
      </c>
    </row>
    <row r="2193">
      <c r="A2193" t="inlineStr">
        <is>
          <t>0000943209</t>
        </is>
      </c>
      <c r="B2193" t="inlineStr">
        <is>
          <t>MEGH STEELS PRIVATE LIMITED - TVS A</t>
        </is>
      </c>
      <c r="C2193" t="inlineStr">
        <is>
          <t>KG</t>
        </is>
      </c>
      <c r="D2193" t="n">
        <v>441</v>
      </c>
      <c r="E2193" t="n">
        <v>2645.762</v>
      </c>
      <c r="F2193" t="n">
        <v>2641</v>
      </c>
      <c r="G2193" t="n">
        <v>3410966</v>
      </c>
      <c r="H2193" t="inlineStr">
        <is>
          <t>TUB-O-N-AUT-AW-FC-22.23X2.000X6.0000</t>
        </is>
      </c>
    </row>
    <row r="2194">
      <c r="A2194" t="inlineStr">
        <is>
          <t>0000943209</t>
        </is>
      </c>
      <c r="B2194" t="inlineStr">
        <is>
          <t>MEGH STEELS PRIVATE LIMITED - TVS A</t>
        </is>
      </c>
      <c r="C2194" t="inlineStr">
        <is>
          <t>KG</t>
        </is>
      </c>
      <c r="D2194" t="n">
        <v>444</v>
      </c>
      <c r="E2194" t="n">
        <v>2663.795</v>
      </c>
      <c r="F2194" t="n">
        <v>2659</v>
      </c>
      <c r="G2194" t="n">
        <v>3410966</v>
      </c>
      <c r="H2194" t="inlineStr">
        <is>
          <t>TUB-O-N-AUT-AW-FC-22.23X2.000X6.0000</t>
        </is>
      </c>
    </row>
    <row r="2195">
      <c r="A2195" t="inlineStr">
        <is>
          <t>0000943209</t>
        </is>
      </c>
      <c r="B2195" t="inlineStr">
        <is>
          <t>MEGH STEELS PRIVATE LIMITED - TVS A</t>
        </is>
      </c>
      <c r="C2195" t="inlineStr">
        <is>
          <t>KG</t>
        </is>
      </c>
      <c r="D2195" t="n">
        <v>421</v>
      </c>
      <c r="E2195" t="n">
        <v>2525.546</v>
      </c>
      <c r="F2195" t="n">
        <v>2521</v>
      </c>
      <c r="G2195" t="n">
        <v>3410966</v>
      </c>
      <c r="H2195" t="inlineStr">
        <is>
          <t>TUB-O-N-AUT-AW-FC-22.23X2.000X6.0000</t>
        </is>
      </c>
    </row>
    <row r="2196">
      <c r="A2196" t="inlineStr">
        <is>
          <t>0000943209</t>
        </is>
      </c>
      <c r="B2196" t="inlineStr">
        <is>
          <t>MEGH STEELS PRIVATE LIMITED - TVS A</t>
        </is>
      </c>
      <c r="C2196" t="inlineStr">
        <is>
          <t>KG</t>
        </is>
      </c>
      <c r="D2196" t="n">
        <v>451</v>
      </c>
      <c r="E2196" t="n">
        <v>2704.869</v>
      </c>
      <c r="F2196" t="n">
        <v>2700</v>
      </c>
      <c r="G2196" t="n">
        <v>3410966</v>
      </c>
      <c r="H2196" t="inlineStr">
        <is>
          <t>TUB-O-N-AUT-AW-FC-22.23X2.000X6.0000</t>
        </is>
      </c>
    </row>
    <row r="2197">
      <c r="A2197" t="inlineStr">
        <is>
          <t>0000943209</t>
        </is>
      </c>
      <c r="B2197" t="inlineStr">
        <is>
          <t>MEGH STEELS PRIVATE LIMITED - TVS A</t>
        </is>
      </c>
      <c r="C2197" t="inlineStr">
        <is>
          <t>KG</t>
        </is>
      </c>
      <c r="D2197" t="n">
        <v>326</v>
      </c>
      <c r="E2197" t="n">
        <v>1953.516</v>
      </c>
      <c r="F2197" t="n">
        <v>1950</v>
      </c>
      <c r="G2197" t="n">
        <v>3410966</v>
      </c>
      <c r="H2197" t="inlineStr">
        <is>
          <t>TUB-O-N-AUT-AW-FC-22.23X2.000X6.0000</t>
        </is>
      </c>
    </row>
    <row r="2198">
      <c r="A2198" t="inlineStr">
        <is>
          <t>0000943209</t>
        </is>
      </c>
      <c r="B2198" t="inlineStr">
        <is>
          <t>MEGH STEELS PRIVATE LIMITED - TVS A</t>
        </is>
      </c>
      <c r="C2198" t="inlineStr">
        <is>
          <t>KG</t>
        </is>
      </c>
      <c r="D2198" t="n">
        <v>410</v>
      </c>
      <c r="E2198" t="n">
        <v>2458.425</v>
      </c>
      <c r="F2198" t="n">
        <v>2454</v>
      </c>
      <c r="G2198" t="n">
        <v>3410966</v>
      </c>
      <c r="H2198" t="inlineStr">
        <is>
          <t>TUB-O-N-AUT-AW-FC-22.23X2.000X6.0000</t>
        </is>
      </c>
    </row>
    <row r="2199">
      <c r="A2199" t="inlineStr">
        <is>
          <t>0000943209</t>
        </is>
      </c>
      <c r="B2199" t="inlineStr">
        <is>
          <t>MEGH STEELS PRIVATE LIMITED - TVS A</t>
        </is>
      </c>
      <c r="C2199" t="inlineStr">
        <is>
          <t>KG</t>
        </is>
      </c>
      <c r="D2199" t="n">
        <v>537</v>
      </c>
      <c r="E2199" t="n">
        <v>3220.797</v>
      </c>
      <c r="F2199" t="n">
        <v>3215</v>
      </c>
      <c r="G2199" t="n">
        <v>3410966</v>
      </c>
      <c r="H2199" t="inlineStr">
        <is>
          <t>TUB-O-N-AUT-AW-FC-22.23X2.000X6.0000</t>
        </is>
      </c>
    </row>
    <row r="2200">
      <c r="A2200" t="inlineStr">
        <is>
          <t>0000943209</t>
        </is>
      </c>
      <c r="B2200" t="inlineStr">
        <is>
          <t>MEGH STEELS PRIVATE LIMITED - TVS A</t>
        </is>
      </c>
      <c r="C2200" t="inlineStr">
        <is>
          <t>KG</t>
        </is>
      </c>
      <c r="D2200" t="n">
        <v>110</v>
      </c>
      <c r="E2200" t="n">
        <v>662.192</v>
      </c>
      <c r="F2200" t="n">
        <v>661</v>
      </c>
      <c r="G2200" t="n">
        <v>3410966</v>
      </c>
      <c r="H2200" t="inlineStr">
        <is>
          <t>TUB-O-N-AUT-AW-FC-22.23X2.000X6.0000</t>
        </is>
      </c>
    </row>
    <row r="2201">
      <c r="A2201" t="inlineStr">
        <is>
          <t>0000188251</t>
        </is>
      </c>
      <c r="B2201" t="inlineStr">
        <is>
          <t>Thirupathi Industries</t>
        </is>
      </c>
      <c r="C2201" t="inlineStr">
        <is>
          <t>NOS</t>
        </is>
      </c>
      <c r="D2201" t="n">
        <v>2292</v>
      </c>
      <c r="E2201" t="n">
        <v>1171.708</v>
      </c>
      <c r="F2201" t="n">
        <v>767.8200000000001</v>
      </c>
      <c r="G2201" t="n">
        <v>2420714</v>
      </c>
      <c r="H2201" t="inlineStr">
        <is>
          <t>TUB-O-N-AUT-AW-PE-15.88X2.000X0.5100</t>
        </is>
      </c>
    </row>
    <row r="2202">
      <c r="A2202" t="inlineStr">
        <is>
          <t>0000188251</t>
        </is>
      </c>
      <c r="B2202" t="inlineStr">
        <is>
          <t>Thirupathi Industries</t>
        </is>
      </c>
      <c r="C2202" t="inlineStr">
        <is>
          <t>NOS</t>
        </is>
      </c>
      <c r="D2202" t="n">
        <v>1926</v>
      </c>
      <c r="E2202" t="n">
        <v>984.602</v>
      </c>
      <c r="F2202" t="n">
        <v>645.21</v>
      </c>
      <c r="G2202" t="n">
        <v>2420714</v>
      </c>
      <c r="H2202" t="inlineStr">
        <is>
          <t>TUB-O-N-AUT-AW-PE-15.88X2.000X0.5100</t>
        </is>
      </c>
    </row>
    <row r="2203">
      <c r="A2203" t="inlineStr">
        <is>
          <t>0000188251</t>
        </is>
      </c>
      <c r="B2203" t="inlineStr">
        <is>
          <t>Thirupathi Industries</t>
        </is>
      </c>
      <c r="C2203" t="inlineStr">
        <is>
          <t>NOS</t>
        </is>
      </c>
      <c r="D2203" t="n">
        <v>1459</v>
      </c>
      <c r="E2203" t="n">
        <v>745.864</v>
      </c>
      <c r="F2203" t="n">
        <v>488.765</v>
      </c>
      <c r="G2203" t="n">
        <v>2420714</v>
      </c>
      <c r="H2203" t="inlineStr">
        <is>
          <t>TUB-O-N-AUT-AW-PE-15.88X2.000X0.5100</t>
        </is>
      </c>
    </row>
    <row r="2204">
      <c r="A2204" t="inlineStr">
        <is>
          <t>0000188251</t>
        </is>
      </c>
      <c r="B2204" t="inlineStr">
        <is>
          <t>Thirupathi Industries</t>
        </is>
      </c>
      <c r="C2204" t="inlineStr">
        <is>
          <t>NOS</t>
        </is>
      </c>
      <c r="D2204" t="n">
        <v>1073</v>
      </c>
      <c r="E2204" t="n">
        <v>548.535</v>
      </c>
      <c r="F2204" t="n">
        <v>359.455</v>
      </c>
      <c r="G2204" t="n">
        <v>2420714</v>
      </c>
      <c r="H2204" t="inlineStr">
        <is>
          <t>TUB-O-N-AUT-AW-PE-15.88X2.000X0.5100</t>
        </is>
      </c>
    </row>
    <row r="2205">
      <c r="A2205" t="inlineStr">
        <is>
          <t>0000184334</t>
        </is>
      </c>
      <c r="B2205" t="inlineStr">
        <is>
          <t>SAKURA AUTOPARTS INDIA PRIVATE LIMI</t>
        </is>
      </c>
      <c r="C2205" t="inlineStr">
        <is>
          <t>NOS</t>
        </is>
      </c>
      <c r="D2205" t="n">
        <v>1796</v>
      </c>
      <c r="E2205" t="n">
        <v>1115.081</v>
      </c>
      <c r="F2205" t="n">
        <v>1113.52</v>
      </c>
      <c r="G2205" t="n">
        <v>2397073</v>
      </c>
      <c r="H2205" t="inlineStr">
        <is>
          <t>TUB-O-N-AUT-AW-FC-34.93X1.200X0.6200</t>
        </is>
      </c>
    </row>
    <row r="2206">
      <c r="A2206" t="inlineStr">
        <is>
          <t>0000184334</t>
        </is>
      </c>
      <c r="B2206" t="inlineStr">
        <is>
          <t>SAKURA AUTOPARTS INDIA PRIVATE LIMI</t>
        </is>
      </c>
      <c r="C2206" t="inlineStr">
        <is>
          <t>NOS</t>
        </is>
      </c>
      <c r="D2206" t="n">
        <v>1617</v>
      </c>
      <c r="E2206" t="n">
        <v>1003.946</v>
      </c>
      <c r="F2206" t="n">
        <v>1002.54</v>
      </c>
      <c r="G2206" t="n">
        <v>2397073</v>
      </c>
      <c r="H2206" t="inlineStr">
        <is>
          <t>TUB-O-N-AUT-AW-FC-34.93X1.200X0.6200</t>
        </is>
      </c>
    </row>
    <row r="2207">
      <c r="A2207" t="inlineStr">
        <is>
          <t>0000184334</t>
        </is>
      </c>
      <c r="B2207" t="inlineStr">
        <is>
          <t>SAKURA AUTOPARTS INDIA PRIVATE LIMI</t>
        </is>
      </c>
      <c r="C2207" t="inlineStr">
        <is>
          <t>NOS</t>
        </is>
      </c>
      <c r="D2207" t="n">
        <v>1138</v>
      </c>
      <c r="E2207" t="n">
        <v>706.549</v>
      </c>
      <c r="F2207" t="n">
        <v>705.5599999999999</v>
      </c>
      <c r="G2207" t="n">
        <v>2397073</v>
      </c>
      <c r="H2207" t="inlineStr">
        <is>
          <t>TUB-O-N-AUT-AW-FC-34.93X1.200X0.6200</t>
        </is>
      </c>
    </row>
    <row r="2208">
      <c r="A2208" t="inlineStr">
        <is>
          <t>0000184334</t>
        </is>
      </c>
      <c r="B2208" t="inlineStr">
        <is>
          <t>SAKURA AUTOPARTS INDIA PRIVATE LIMI</t>
        </is>
      </c>
      <c r="C2208" t="inlineStr">
        <is>
          <t>NOS</t>
        </is>
      </c>
      <c r="D2208" t="n">
        <v>521</v>
      </c>
      <c r="E2208" t="n">
        <v>323.473</v>
      </c>
      <c r="F2208" t="n">
        <v>323.02</v>
      </c>
      <c r="G2208" t="n">
        <v>2397073</v>
      </c>
      <c r="H2208" t="inlineStr">
        <is>
          <t>TUB-O-N-AUT-AW-FC-34.93X1.200X0.6200</t>
        </is>
      </c>
    </row>
    <row r="2209">
      <c r="A2209" t="inlineStr">
        <is>
          <t>0000184334</t>
        </is>
      </c>
      <c r="B2209" t="inlineStr">
        <is>
          <t>SAKURA AUTOPARTS INDIA PRIVATE LIMI</t>
        </is>
      </c>
      <c r="C2209" t="inlineStr">
        <is>
          <t>NOS</t>
        </is>
      </c>
      <c r="D2209" t="n">
        <v>438</v>
      </c>
      <c r="E2209" t="n">
        <v>271.941</v>
      </c>
      <c r="F2209" t="n">
        <v>271.56</v>
      </c>
      <c r="G2209" t="n">
        <v>2397073</v>
      </c>
      <c r="H2209" t="inlineStr">
        <is>
          <t>TUB-O-N-AUT-AW-FC-34.93X1.200X0.6200</t>
        </is>
      </c>
    </row>
    <row r="2210">
      <c r="A2210" t="inlineStr">
        <is>
          <t>0000184334</t>
        </is>
      </c>
      <c r="B2210" t="inlineStr">
        <is>
          <t>SAKURA AUTOPARTS INDIA PRIVATE LIMI</t>
        </is>
      </c>
      <c r="C2210" t="inlineStr">
        <is>
          <t>NOS</t>
        </is>
      </c>
      <c r="D2210" t="n">
        <v>400</v>
      </c>
      <c r="E2210" t="n">
        <v>248.348</v>
      </c>
      <c r="F2210" t="n">
        <v>248</v>
      </c>
      <c r="G2210" t="n">
        <v>2397073</v>
      </c>
      <c r="H2210" t="inlineStr">
        <is>
          <t>TUB-O-N-AUT-AW-FC-34.93X1.200X0.6200</t>
        </is>
      </c>
    </row>
    <row r="2211">
      <c r="A2211" t="inlineStr">
        <is>
          <t>0000184334</t>
        </is>
      </c>
      <c r="B2211" t="inlineStr">
        <is>
          <t>SAKURA AUTOPARTS INDIA PRIVATE LIMI</t>
        </is>
      </c>
      <c r="C2211" t="inlineStr">
        <is>
          <t>NOS</t>
        </is>
      </c>
      <c r="D2211" t="n">
        <v>18</v>
      </c>
      <c r="E2211" t="n">
        <v>11.176</v>
      </c>
      <c r="F2211" t="n">
        <v>11.16</v>
      </c>
      <c r="G2211" t="n">
        <v>2397073</v>
      </c>
      <c r="H2211" t="inlineStr">
        <is>
          <t>TUB-O-N-AUT-AW-FC-34.93X1.200X0.6200</t>
        </is>
      </c>
    </row>
    <row r="2212">
      <c r="A2212" t="inlineStr">
        <is>
          <t>0000184334</t>
        </is>
      </c>
      <c r="B2212" t="inlineStr">
        <is>
          <t>SAKURA AUTOPARTS INDIA PRIVATE LIMI</t>
        </is>
      </c>
      <c r="C2212" t="inlineStr">
        <is>
          <t>NOS</t>
        </is>
      </c>
      <c r="D2212" t="n">
        <v>2</v>
      </c>
      <c r="E2212" t="n">
        <v>1.242</v>
      </c>
      <c r="F2212" t="n">
        <v>1.24</v>
      </c>
      <c r="G2212" t="n">
        <v>2397073</v>
      </c>
      <c r="H2212" t="inlineStr">
        <is>
          <t>TUB-O-N-AUT-AW-FC-34.93X1.200X0.6200</t>
        </is>
      </c>
    </row>
    <row r="2213">
      <c r="A2213" t="inlineStr">
        <is>
          <t>0000188647</t>
        </is>
      </c>
      <c r="B2213" t="inlineStr">
        <is>
          <t>Metalman Auto Private Limited</t>
        </is>
      </c>
      <c r="C2213" t="inlineStr">
        <is>
          <t>NOS</t>
        </is>
      </c>
      <c r="D2213" t="n">
        <v>840</v>
      </c>
      <c r="E2213" t="n">
        <v>739.136</v>
      </c>
      <c r="F2213" t="n">
        <v>1548.12</v>
      </c>
      <c r="G2213" t="n">
        <v>1940838</v>
      </c>
      <c r="H2213" t="inlineStr">
        <is>
          <t>TUB-R-AW-RHS-40.00X30.00X2.000X0.8800</t>
        </is>
      </c>
    </row>
    <row r="2214">
      <c r="A2214" t="inlineStr">
        <is>
          <t>0000949752</t>
        </is>
      </c>
      <c r="B2214" t="inlineStr">
        <is>
          <t>METALMAN AUTO PRIVATE LIMITED</t>
        </is>
      </c>
      <c r="C2214" t="inlineStr">
        <is>
          <t>NOS</t>
        </is>
      </c>
      <c r="D2214" t="n">
        <v>1649</v>
      </c>
      <c r="E2214" t="n">
        <v>1218.725</v>
      </c>
      <c r="F2214" t="n">
        <v>2079.389</v>
      </c>
      <c r="G2214" t="n">
        <v>3531648</v>
      </c>
      <c r="H2214" t="inlineStr">
        <is>
          <t>TUB-O-N-AUT-AW-FC-50.80X1.400X0.7390</t>
        </is>
      </c>
    </row>
    <row r="2215">
      <c r="A2215" t="inlineStr">
        <is>
          <t>0000949752</t>
        </is>
      </c>
      <c r="B2215" t="inlineStr">
        <is>
          <t>METALMAN AUTO PRIVATE LIMITED</t>
        </is>
      </c>
      <c r="C2215" t="inlineStr">
        <is>
          <t>NOS</t>
        </is>
      </c>
      <c r="D2215" t="n">
        <v>111</v>
      </c>
      <c r="E2215" t="n">
        <v>82.03700000000001</v>
      </c>
      <c r="F2215" t="n">
        <v>139.971</v>
      </c>
      <c r="G2215" t="n">
        <v>3531648</v>
      </c>
      <c r="H2215" t="inlineStr">
        <is>
          <t>TUB-O-N-AUT-AW-FC-50.80X1.400X0.7390</t>
        </is>
      </c>
    </row>
    <row r="2216">
      <c r="A2216" t="inlineStr">
        <is>
          <t>0000949752</t>
        </is>
      </c>
      <c r="B2216" t="inlineStr">
        <is>
          <t>METALMAN AUTO PRIVATE LIMITED</t>
        </is>
      </c>
      <c r="C2216" t="inlineStr">
        <is>
          <t>NOS</t>
        </is>
      </c>
      <c r="D2216" t="n">
        <v>2485</v>
      </c>
      <c r="E2216" t="n">
        <v>1036.33</v>
      </c>
      <c r="F2216" t="n">
        <v>1761.865</v>
      </c>
      <c r="G2216" t="n">
        <v>3531649</v>
      </c>
      <c r="H2216" t="inlineStr">
        <is>
          <t>TUB-O-N-AUT-AW-FC-42.70X1.600X0.4170</t>
        </is>
      </c>
    </row>
    <row r="2217">
      <c r="A2217" t="inlineStr">
        <is>
          <t>0000949752</t>
        </is>
      </c>
      <c r="B2217" t="inlineStr">
        <is>
          <t>METALMAN AUTO PRIVATE LIMITED</t>
        </is>
      </c>
      <c r="C2217" t="inlineStr">
        <is>
          <t>NOS</t>
        </is>
      </c>
      <c r="D2217" t="n">
        <v>15</v>
      </c>
      <c r="E2217" t="n">
        <v>6.256</v>
      </c>
      <c r="F2217" t="n">
        <v>10.635</v>
      </c>
      <c r="G2217" t="n">
        <v>3531649</v>
      </c>
      <c r="H2217" t="inlineStr">
        <is>
          <t>TUB-O-N-AUT-AW-FC-42.70X1.600X0.4170</t>
        </is>
      </c>
    </row>
    <row r="2218">
      <c r="A2218" t="inlineStr">
        <is>
          <t>0000941496</t>
        </is>
      </c>
      <c r="B2218" t="inlineStr">
        <is>
          <t>SANDHAR ENGINEERING PVT LTD.(KA) -U</t>
        </is>
      </c>
      <c r="C2218" t="inlineStr">
        <is>
          <t>NOS</t>
        </is>
      </c>
      <c r="D2218" t="n">
        <v>975</v>
      </c>
      <c r="E2218" t="n">
        <v>579.75</v>
      </c>
      <c r="F2218" t="n">
        <v>443.625</v>
      </c>
      <c r="G2218" t="n">
        <v>1940614</v>
      </c>
      <c r="H2218" t="inlineStr">
        <is>
          <t>TUB-O-O-AUT-AW-PE-28.58X1.200X0.5950</t>
        </is>
      </c>
    </row>
    <row r="2219">
      <c r="A2219" t="inlineStr">
        <is>
          <t>0000941496</t>
        </is>
      </c>
      <c r="B2219" t="inlineStr">
        <is>
          <t>SANDHAR ENGINEERING PVT LTD.(KA) -U</t>
        </is>
      </c>
      <c r="C2219" t="inlineStr">
        <is>
          <t>NOS</t>
        </is>
      </c>
      <c r="D2219" t="n">
        <v>1057</v>
      </c>
      <c r="E2219" t="n">
        <v>861.95</v>
      </c>
      <c r="F2219" t="n">
        <v>860.398</v>
      </c>
      <c r="G2219" t="n">
        <v>2413708</v>
      </c>
      <c r="H2219" t="inlineStr">
        <is>
          <t>TUB-O-N-AUT-AW-PE-22.23X2.000X0.8150</t>
        </is>
      </c>
    </row>
    <row r="2220">
      <c r="A2220" t="inlineStr">
        <is>
          <t>0000941496</t>
        </is>
      </c>
      <c r="B2220" t="inlineStr">
        <is>
          <t>SANDHAR ENGINEERING PVT LTD.(KA) -U</t>
        </is>
      </c>
      <c r="C2220" t="inlineStr">
        <is>
          <t>NOS</t>
        </is>
      </c>
      <c r="D2220" t="n">
        <v>808</v>
      </c>
      <c r="E2220" t="n">
        <v>658.898</v>
      </c>
      <c r="F2220" t="n">
        <v>657.712</v>
      </c>
      <c r="G2220" t="n">
        <v>2413708</v>
      </c>
      <c r="H2220" t="inlineStr">
        <is>
          <t>TUB-O-N-AUT-AW-PE-22.23X2.000X0.8150</t>
        </is>
      </c>
    </row>
    <row r="2221">
      <c r="A2221" t="inlineStr">
        <is>
          <t>0000941496</t>
        </is>
      </c>
      <c r="B2221" t="inlineStr">
        <is>
          <t>SANDHAR ENGINEERING PVT LTD.(KA) -U</t>
        </is>
      </c>
      <c r="C2221" t="inlineStr">
        <is>
          <t>NOS</t>
        </is>
      </c>
      <c r="D2221" t="n">
        <v>10</v>
      </c>
      <c r="E2221" t="n">
        <v>8.154999999999999</v>
      </c>
      <c r="F2221" t="n">
        <v>8.140000000000001</v>
      </c>
      <c r="G2221" t="n">
        <v>2413708</v>
      </c>
      <c r="H2221" t="inlineStr">
        <is>
          <t>TUB-O-N-AUT-AW-PE-22.23X2.000X0.8150</t>
        </is>
      </c>
    </row>
    <row r="2222">
      <c r="A2222" t="inlineStr">
        <is>
          <t>0000941496</t>
        </is>
      </c>
      <c r="B2222" t="inlineStr">
        <is>
          <t>SANDHAR ENGINEERING PVT LTD.(KA) -U</t>
        </is>
      </c>
      <c r="C2222" t="inlineStr">
        <is>
          <t>NOS</t>
        </is>
      </c>
      <c r="D2222" t="n">
        <v>2350</v>
      </c>
      <c r="E2222" t="n">
        <v>925.907</v>
      </c>
      <c r="F2222" t="n">
        <v>901.669</v>
      </c>
      <c r="G2222" t="n">
        <v>1940437</v>
      </c>
      <c r="H2222" t="inlineStr">
        <is>
          <t>TUB-O-O-AUT-AW-PE-22.23X2.000X0.3940</t>
        </is>
      </c>
    </row>
    <row r="2223">
      <c r="A2223" t="inlineStr">
        <is>
          <t>0000189002</t>
        </is>
      </c>
      <c r="B2223" t="inlineStr">
        <is>
          <t>Marathwada Auto Compo Pvt. Ltd.</t>
        </is>
      </c>
      <c r="C2223" t="inlineStr">
        <is>
          <t>NOS</t>
        </is>
      </c>
      <c r="D2223" t="n">
        <v>500</v>
      </c>
      <c r="E2223" t="n">
        <v>164.995</v>
      </c>
      <c r="F2223" t="n">
        <v>87.18300000000001</v>
      </c>
      <c r="G2223" t="n">
        <v>3935313</v>
      </c>
      <c r="H2223" t="inlineStr">
        <is>
          <t>CUT-O-N-AUT-AW-PE-19.05X1.200X0.33</t>
        </is>
      </c>
    </row>
    <row r="2224">
      <c r="A2224" t="inlineStr">
        <is>
          <t>0000189002</t>
        </is>
      </c>
      <c r="B2224" t="inlineStr">
        <is>
          <t>Marathwada Auto Compo Pvt. Ltd.</t>
        </is>
      </c>
      <c r="C2224" t="inlineStr">
        <is>
          <t>NOS</t>
        </is>
      </c>
      <c r="D2224" t="n">
        <v>1500</v>
      </c>
      <c r="E2224" t="n">
        <v>1965.583</v>
      </c>
      <c r="F2224" t="n">
        <v>2164.5</v>
      </c>
      <c r="G2224" t="n">
        <v>1940801</v>
      </c>
      <c r="H2224" t="inlineStr">
        <is>
          <t>TUB-R-AW-RHS-40.00X20.00X1.210X1.3100</t>
        </is>
      </c>
    </row>
    <row r="2225">
      <c r="A2225" t="inlineStr">
        <is>
          <t>0000189002</t>
        </is>
      </c>
      <c r="B2225" t="inlineStr">
        <is>
          <t>Marathwada Auto Compo Pvt. Ltd.</t>
        </is>
      </c>
      <c r="C2225" t="inlineStr">
        <is>
          <t>NOS</t>
        </is>
      </c>
      <c r="D2225" t="n">
        <v>859</v>
      </c>
      <c r="E2225" t="n">
        <v>962.592</v>
      </c>
      <c r="F2225" t="n">
        <v>1060.006</v>
      </c>
      <c r="G2225" t="n">
        <v>3233555</v>
      </c>
      <c r="H2225" t="inlineStr">
        <is>
          <t>TUB-R-AW-AUT-40.00X20.00X1.210X1.1200</t>
        </is>
      </c>
    </row>
    <row r="2226">
      <c r="A2226" t="inlineStr">
        <is>
          <t>0000189002</t>
        </is>
      </c>
      <c r="B2226" t="inlineStr">
        <is>
          <t>Marathwada Auto Compo Pvt. Ltd.</t>
        </is>
      </c>
      <c r="C2226" t="inlineStr">
        <is>
          <t>NOS</t>
        </is>
      </c>
      <c r="D2226" t="n">
        <v>790</v>
      </c>
      <c r="E2226" t="n">
        <v>885.271</v>
      </c>
      <c r="F2226" t="n">
        <v>974.86</v>
      </c>
      <c r="G2226" t="n">
        <v>3233555</v>
      </c>
      <c r="H2226" t="inlineStr">
        <is>
          <t>TUB-R-AW-AUT-40.00X20.00X1.210X1.1200</t>
        </is>
      </c>
    </row>
    <row r="2227">
      <c r="A2227" t="inlineStr">
        <is>
          <t>0000189002</t>
        </is>
      </c>
      <c r="B2227" t="inlineStr">
        <is>
          <t>Marathwada Auto Compo Pvt. Ltd.</t>
        </is>
      </c>
      <c r="C2227" t="inlineStr">
        <is>
          <t>NOS</t>
        </is>
      </c>
      <c r="D2227" t="n">
        <v>351</v>
      </c>
      <c r="E2227" t="n">
        <v>393.329</v>
      </c>
      <c r="F2227" t="n">
        <v>433.134</v>
      </c>
      <c r="G2227" t="n">
        <v>3233555</v>
      </c>
      <c r="H2227" t="inlineStr">
        <is>
          <t>TUB-R-AW-AUT-40.00X20.00X1.210X1.1200</t>
        </is>
      </c>
    </row>
    <row r="2228">
      <c r="A2228" t="inlineStr">
        <is>
          <t>0000189002</t>
        </is>
      </c>
      <c r="B2228" t="inlineStr">
        <is>
          <t>Marathwada Auto Compo Pvt. Ltd.</t>
        </is>
      </c>
      <c r="C2228" t="inlineStr">
        <is>
          <t>NOS</t>
        </is>
      </c>
      <c r="D2228" t="n">
        <v>1766</v>
      </c>
      <c r="E2228" t="n">
        <v>213.293</v>
      </c>
      <c r="F2228" t="n">
        <v>234.878</v>
      </c>
      <c r="G2228" t="n">
        <v>3233559</v>
      </c>
      <c r="H2228" t="inlineStr">
        <is>
          <t>TUB-R-AW-AUT-40.00X20.00X1.210X0.1200</t>
        </is>
      </c>
    </row>
    <row r="2229">
      <c r="A2229" t="inlineStr">
        <is>
          <t>0000189002</t>
        </is>
      </c>
      <c r="B2229" t="inlineStr">
        <is>
          <t>Marathwada Auto Compo Pvt. Ltd.</t>
        </is>
      </c>
      <c r="C2229" t="inlineStr">
        <is>
          <t>NOS</t>
        </is>
      </c>
      <c r="D2229" t="n">
        <v>234</v>
      </c>
      <c r="E2229" t="n">
        <v>28.262</v>
      </c>
      <c r="F2229" t="n">
        <v>31.122</v>
      </c>
      <c r="G2229" t="n">
        <v>3233559</v>
      </c>
      <c r="H2229" t="inlineStr">
        <is>
          <t>TUB-R-AW-AUT-40.00X20.00X1.210X0.1200</t>
        </is>
      </c>
    </row>
    <row r="2230">
      <c r="A2230" t="inlineStr">
        <is>
          <t>0000189002</t>
        </is>
      </c>
      <c r="B2230" t="inlineStr">
        <is>
          <t>Marathwada Auto Compo Pvt. Ltd.</t>
        </is>
      </c>
      <c r="C2230" t="inlineStr">
        <is>
          <t>NOS</t>
        </is>
      </c>
      <c r="D2230" t="n">
        <v>487</v>
      </c>
      <c r="E2230" t="n">
        <v>53.943</v>
      </c>
      <c r="F2230" t="n">
        <v>58.927</v>
      </c>
      <c r="G2230" t="n">
        <v>3572047</v>
      </c>
      <c r="H2230" t="inlineStr">
        <is>
          <t>TUB-R-AW-AUT-40.00X20.00X1.200X0.1100</t>
        </is>
      </c>
    </row>
    <row r="2231">
      <c r="A2231" t="inlineStr">
        <is>
          <t>0000189002</t>
        </is>
      </c>
      <c r="B2231" t="inlineStr">
        <is>
          <t>Marathwada Auto Compo Pvt. Ltd.</t>
        </is>
      </c>
      <c r="C2231" t="inlineStr">
        <is>
          <t>NOS</t>
        </is>
      </c>
      <c r="D2231" t="n">
        <v>454</v>
      </c>
      <c r="E2231" t="n">
        <v>50.287</v>
      </c>
      <c r="F2231" t="n">
        <v>54.934</v>
      </c>
      <c r="G2231" t="n">
        <v>3572047</v>
      </c>
      <c r="H2231" t="inlineStr">
        <is>
          <t>TUB-R-AW-AUT-40.00X20.00X1.200X0.1100</t>
        </is>
      </c>
    </row>
    <row r="2232">
      <c r="A2232" t="inlineStr">
        <is>
          <t>0000189002</t>
        </is>
      </c>
      <c r="B2232" t="inlineStr">
        <is>
          <t>Marathwada Auto Compo Pvt. Ltd.</t>
        </is>
      </c>
      <c r="C2232" t="inlineStr">
        <is>
          <t>NOS</t>
        </is>
      </c>
      <c r="D2232" t="n">
        <v>59</v>
      </c>
      <c r="E2232" t="n">
        <v>6.535</v>
      </c>
      <c r="F2232" t="n">
        <v>7.139</v>
      </c>
      <c r="G2232" t="n">
        <v>3572047</v>
      </c>
      <c r="H2232" t="inlineStr">
        <is>
          <t>TUB-R-AW-AUT-40.00X20.00X1.200X0.1100</t>
        </is>
      </c>
    </row>
    <row r="2233">
      <c r="A2233" t="inlineStr">
        <is>
          <t>0000189002</t>
        </is>
      </c>
      <c r="B2233" t="inlineStr">
        <is>
          <t>Marathwada Auto Compo Pvt. Ltd.</t>
        </is>
      </c>
      <c r="C2233" t="inlineStr">
        <is>
          <t>NOS</t>
        </is>
      </c>
      <c r="D2233" t="n">
        <v>1000</v>
      </c>
      <c r="E2233" t="n">
        <v>794.991</v>
      </c>
      <c r="F2233" t="n">
        <v>439.789</v>
      </c>
      <c r="G2233" t="n">
        <v>4151429</v>
      </c>
      <c r="H2233" t="inlineStr">
        <is>
          <t>TUB-S-AW-AUT-19.00X19.00X1.000X0.7950</t>
        </is>
      </c>
    </row>
    <row r="2234">
      <c r="A2234" t="inlineStr">
        <is>
          <t>0000189002</t>
        </is>
      </c>
      <c r="B2234" t="inlineStr">
        <is>
          <t>Marathwada Auto Compo Pvt. Ltd.</t>
        </is>
      </c>
      <c r="C2234" t="inlineStr">
        <is>
          <t>NOS</t>
        </is>
      </c>
      <c r="D2234" t="n">
        <v>1000</v>
      </c>
      <c r="E2234" t="n">
        <v>469.994</v>
      </c>
      <c r="F2234" t="n">
        <v>256.1</v>
      </c>
      <c r="G2234" t="n">
        <v>3230488</v>
      </c>
      <c r="H2234" t="inlineStr">
        <is>
          <t>TUB-S-AW-AUT-19.00X19.00X1.000X0.4700</t>
        </is>
      </c>
    </row>
    <row r="2235">
      <c r="A2235" t="inlineStr">
        <is>
          <t>0000189002</t>
        </is>
      </c>
      <c r="B2235" t="inlineStr">
        <is>
          <t>Marathwada Auto Compo Pvt. Ltd.</t>
        </is>
      </c>
      <c r="C2235" t="inlineStr">
        <is>
          <t>NOS</t>
        </is>
      </c>
      <c r="D2235" t="n">
        <v>4000</v>
      </c>
      <c r="E2235" t="n">
        <v>1597.975</v>
      </c>
      <c r="F2235" t="n">
        <v>884</v>
      </c>
      <c r="G2235" t="n">
        <v>3230487</v>
      </c>
      <c r="H2235" t="inlineStr">
        <is>
          <t>TUB-S-AW-AUT-19.00X19.00X1.000X0.4000</t>
        </is>
      </c>
    </row>
    <row r="2236">
      <c r="A2236" t="inlineStr">
        <is>
          <t>0000189002</t>
        </is>
      </c>
      <c r="B2236" t="inlineStr">
        <is>
          <t>Marathwada Auto Compo Pvt. Ltd.</t>
        </is>
      </c>
      <c r="C2236" t="inlineStr">
        <is>
          <t>NOS</t>
        </is>
      </c>
      <c r="D2236" t="n">
        <v>2000</v>
      </c>
      <c r="E2236" t="n">
        <v>199.996</v>
      </c>
      <c r="F2236" t="n">
        <v>109</v>
      </c>
      <c r="G2236" t="n">
        <v>3931834</v>
      </c>
      <c r="H2236" t="inlineStr">
        <is>
          <t>CUT-R-AW-AUT-19.00X19.00X1.000X0.1000</t>
        </is>
      </c>
    </row>
    <row r="2237">
      <c r="A2237" t="inlineStr">
        <is>
          <t>0000189002</t>
        </is>
      </c>
      <c r="B2237" t="inlineStr">
        <is>
          <t>Marathwada Auto Compo Pvt. Ltd.</t>
        </is>
      </c>
      <c r="C2237" t="inlineStr">
        <is>
          <t>NOS</t>
        </is>
      </c>
      <c r="D2237" t="n">
        <v>1000</v>
      </c>
      <c r="E2237" t="n">
        <v>115.006</v>
      </c>
      <c r="F2237" t="n">
        <v>62.667</v>
      </c>
      <c r="G2237" t="n">
        <v>4151428</v>
      </c>
      <c r="H2237" t="inlineStr">
        <is>
          <t>TUB-S-AW-AUT-19.00X19.00X1.000X0.1150</t>
        </is>
      </c>
    </row>
    <row r="2238">
      <c r="A2238" t="inlineStr">
        <is>
          <t>0000189002</t>
        </is>
      </c>
      <c r="B2238" t="inlineStr">
        <is>
          <t>Marathwada Auto Compo Pvt. Ltd.</t>
        </is>
      </c>
      <c r="C2238" t="inlineStr">
        <is>
          <t>NOS</t>
        </is>
      </c>
      <c r="D2238" t="n">
        <v>1000</v>
      </c>
      <c r="E2238" t="n">
        <v>962.99</v>
      </c>
      <c r="F2238" t="n">
        <v>524.7329999999999</v>
      </c>
      <c r="G2238" t="n">
        <v>4151427</v>
      </c>
      <c r="H2238" t="inlineStr">
        <is>
          <t>TUB-S-AW-AUT-19.00X19.00X1.000X0.9630</t>
        </is>
      </c>
    </row>
    <row r="2239">
      <c r="A2239" t="inlineStr">
        <is>
          <t>0000189002</t>
        </is>
      </c>
      <c r="B2239" t="inlineStr">
        <is>
          <t>Marathwada Auto Compo Pvt. Ltd.</t>
        </is>
      </c>
      <c r="C2239" t="inlineStr">
        <is>
          <t>NOS</t>
        </is>
      </c>
      <c r="D2239" t="n">
        <v>1000</v>
      </c>
      <c r="E2239" t="n">
        <v>755.001</v>
      </c>
      <c r="F2239" t="n">
        <v>411.4</v>
      </c>
      <c r="G2239" t="n">
        <v>4151426</v>
      </c>
      <c r="H2239" t="inlineStr">
        <is>
          <t>TUB-S-AW-AUT-19.00X19.00X1.000X0.7550</t>
        </is>
      </c>
    </row>
    <row r="2240">
      <c r="A2240" t="inlineStr">
        <is>
          <t>0000189002</t>
        </is>
      </c>
      <c r="B2240" t="inlineStr">
        <is>
          <t>Marathwada Auto Compo Pvt. Ltd.</t>
        </is>
      </c>
      <c r="C2240" t="inlineStr">
        <is>
          <t>NOS</t>
        </is>
      </c>
      <c r="D2240" t="n">
        <v>1000</v>
      </c>
      <c r="E2240" t="n">
        <v>356.11</v>
      </c>
      <c r="F2240" t="n">
        <v>197</v>
      </c>
      <c r="G2240" t="n">
        <v>3230490</v>
      </c>
      <c r="H2240" t="inlineStr">
        <is>
          <t>TUB-S-AW-AUT-19.00X19.00X1.000X0.3550</t>
        </is>
      </c>
    </row>
    <row r="2241">
      <c r="A2241" t="inlineStr">
        <is>
          <t>0000189002</t>
        </is>
      </c>
      <c r="B2241" t="inlineStr">
        <is>
          <t>Marathwada Auto Compo Pvt. Ltd.</t>
        </is>
      </c>
      <c r="C2241" t="inlineStr">
        <is>
          <t>NOS</t>
        </is>
      </c>
      <c r="D2241" t="n">
        <v>796</v>
      </c>
      <c r="E2241" t="n">
        <v>1037.976</v>
      </c>
      <c r="F2241" t="n">
        <v>565.593</v>
      </c>
      <c r="G2241" t="n">
        <v>3572039</v>
      </c>
      <c r="H2241" t="inlineStr">
        <is>
          <t>TUB-S-AW-AUT-19.00X19.00X1.000X1.3040</t>
        </is>
      </c>
    </row>
    <row r="2242">
      <c r="A2242" t="inlineStr">
        <is>
          <t>0000189002</t>
        </is>
      </c>
      <c r="B2242" t="inlineStr">
        <is>
          <t>Marathwada Auto Compo Pvt. Ltd.</t>
        </is>
      </c>
      <c r="C2242" t="inlineStr">
        <is>
          <t>NOS</t>
        </is>
      </c>
      <c r="D2242" t="n">
        <v>204</v>
      </c>
      <c r="E2242" t="n">
        <v>266.014</v>
      </c>
      <c r="F2242" t="n">
        <v>144.951</v>
      </c>
      <c r="G2242" t="n">
        <v>3572039</v>
      </c>
      <c r="H2242" t="inlineStr">
        <is>
          <t>TUB-S-AW-AUT-19.00X19.00X1.000X1.3040</t>
        </is>
      </c>
    </row>
    <row r="2243">
      <c r="A2243" t="inlineStr">
        <is>
          <t>0000189002</t>
        </is>
      </c>
      <c r="B2243" t="inlineStr">
        <is>
          <t>Marathwada Auto Compo Pvt. Ltd.</t>
        </is>
      </c>
      <c r="C2243" t="inlineStr">
        <is>
          <t>NOS</t>
        </is>
      </c>
      <c r="D2243" t="n">
        <v>1000</v>
      </c>
      <c r="E2243" t="n">
        <v>835</v>
      </c>
      <c r="F2243" t="n">
        <v>461.922</v>
      </c>
      <c r="G2243" t="n">
        <v>4151425</v>
      </c>
      <c r="H2243" t="inlineStr">
        <is>
          <t>TUB-S-AW-AUT-19.00X19.00X1.000X0.8350</t>
        </is>
      </c>
    </row>
    <row r="2244">
      <c r="A2244" t="inlineStr">
        <is>
          <t>0000189002</t>
        </is>
      </c>
      <c r="B2244" t="inlineStr">
        <is>
          <t>Marathwada Auto Compo Pvt. Ltd.</t>
        </is>
      </c>
      <c r="C2244" t="inlineStr">
        <is>
          <t>NOS</t>
        </is>
      </c>
      <c r="D2244" t="n">
        <v>1000</v>
      </c>
      <c r="E2244" t="n">
        <v>110.008</v>
      </c>
      <c r="F2244" t="n">
        <v>59.956</v>
      </c>
      <c r="G2244" t="n">
        <v>3931835</v>
      </c>
      <c r="H2244" t="inlineStr">
        <is>
          <t>CUT-R-AW-AUT-19.00X19.00X1.000X0.1100</t>
        </is>
      </c>
    </row>
    <row r="2245">
      <c r="A2245" t="inlineStr">
        <is>
          <t>0000189002</t>
        </is>
      </c>
      <c r="B2245" t="inlineStr">
        <is>
          <t>Marathwada Auto Compo Pvt. Ltd.</t>
        </is>
      </c>
      <c r="C2245" t="inlineStr">
        <is>
          <t>NOS</t>
        </is>
      </c>
      <c r="D2245" t="n">
        <v>850</v>
      </c>
      <c r="E2245" t="n">
        <v>543.998</v>
      </c>
      <c r="F2245" t="n">
        <v>492.046</v>
      </c>
      <c r="G2245" t="n">
        <v>4151430</v>
      </c>
      <c r="H2245" t="inlineStr">
        <is>
          <t>TUB-S-AW-AUT-25.00X25.00X1.200X0.6400</t>
        </is>
      </c>
    </row>
    <row r="2246">
      <c r="A2246" t="inlineStr">
        <is>
          <t>0000189002</t>
        </is>
      </c>
      <c r="B2246" t="inlineStr">
        <is>
          <t>Marathwada Auto Compo Pvt. Ltd.</t>
        </is>
      </c>
      <c r="C2246" t="inlineStr">
        <is>
          <t>NOS</t>
        </is>
      </c>
      <c r="D2246" t="n">
        <v>150</v>
      </c>
      <c r="E2246" t="n">
        <v>96</v>
      </c>
      <c r="F2246" t="n">
        <v>86.83199999999999</v>
      </c>
      <c r="G2246" t="n">
        <v>4151430</v>
      </c>
      <c r="H2246" t="inlineStr">
        <is>
          <t>TUB-S-AW-AUT-25.00X25.00X1.200X0.6400</t>
        </is>
      </c>
    </row>
    <row r="2247">
      <c r="A2247" t="inlineStr">
        <is>
          <t>0000189002</t>
        </is>
      </c>
      <c r="B2247" t="inlineStr">
        <is>
          <t>Marathwada Auto Compo Pvt. Ltd.</t>
        </is>
      </c>
      <c r="C2247" t="inlineStr">
        <is>
          <t>NOS</t>
        </is>
      </c>
      <c r="D2247" t="n">
        <v>3000</v>
      </c>
      <c r="E2247" t="n">
        <v>599.975</v>
      </c>
      <c r="F2247" t="n">
        <v>316.933</v>
      </c>
      <c r="G2247" t="n">
        <v>3929691</v>
      </c>
      <c r="H2247" t="inlineStr">
        <is>
          <t>CUT-O-N-AUT-AW-PE-19.05X1.200X0.2000</t>
        </is>
      </c>
    </row>
    <row r="2248">
      <c r="A2248" t="inlineStr">
        <is>
          <t>0000189002</t>
        </is>
      </c>
      <c r="B2248" t="inlineStr">
        <is>
          <t>Marathwada Auto Compo Pvt. Ltd.</t>
        </is>
      </c>
      <c r="C2248" t="inlineStr">
        <is>
          <t>NOS</t>
        </is>
      </c>
      <c r="D2248" t="n">
        <v>1000</v>
      </c>
      <c r="E2248" t="n">
        <v>190</v>
      </c>
      <c r="F2248" t="n">
        <v>207.556</v>
      </c>
      <c r="G2248" t="n">
        <v>4151424</v>
      </c>
      <c r="H2248" t="inlineStr">
        <is>
          <t>TUB-S-AW-AUT-30.00X30.00X1.200X0.1900</t>
        </is>
      </c>
    </row>
    <row r="2249">
      <c r="A2249" t="inlineStr">
        <is>
          <t>0000189002</t>
        </is>
      </c>
      <c r="B2249" t="inlineStr">
        <is>
          <t>Marathwada Auto Compo Pvt. Ltd.</t>
        </is>
      </c>
      <c r="C2249" t="inlineStr">
        <is>
          <t>NOS</t>
        </is>
      </c>
      <c r="D2249" t="n">
        <v>500</v>
      </c>
      <c r="E2249" t="n">
        <v>622.999</v>
      </c>
      <c r="F2249" t="n">
        <v>339.472</v>
      </c>
      <c r="G2249" t="n">
        <v>3572038</v>
      </c>
      <c r="H2249" t="inlineStr">
        <is>
          <t>TUB-S-AW-AUT-19.00X19.00X1.000X1.2460</t>
        </is>
      </c>
    </row>
    <row r="2250">
      <c r="A2250" t="inlineStr">
        <is>
          <t>0000189002</t>
        </is>
      </c>
      <c r="B2250" t="inlineStr">
        <is>
          <t>Marathwada Auto Compo Pvt. Ltd.</t>
        </is>
      </c>
      <c r="C2250" t="inlineStr">
        <is>
          <t>NOS</t>
        </is>
      </c>
      <c r="D2250" t="n">
        <v>457</v>
      </c>
      <c r="E2250" t="n">
        <v>460.205</v>
      </c>
      <c r="F2250" t="n">
        <v>250.817</v>
      </c>
      <c r="G2250" t="n">
        <v>4100796</v>
      </c>
      <c r="H2250" t="inlineStr">
        <is>
          <t>CUT-R-AW-AUT-19.00X19.00X1.000X1.0070</t>
        </is>
      </c>
    </row>
    <row r="2251">
      <c r="A2251" t="inlineStr">
        <is>
          <t>0000189002</t>
        </is>
      </c>
      <c r="B2251" t="inlineStr">
        <is>
          <t>Marathwada Auto Compo Pvt. Ltd.</t>
        </is>
      </c>
      <c r="C2251" t="inlineStr">
        <is>
          <t>NOS</t>
        </is>
      </c>
      <c r="D2251" t="n">
        <v>43</v>
      </c>
      <c r="E2251" t="n">
        <v>43.302</v>
      </c>
      <c r="F2251" t="n">
        <v>23.6</v>
      </c>
      <c r="G2251" t="n">
        <v>4100796</v>
      </c>
      <c r="H2251" t="inlineStr">
        <is>
          <t>CUT-R-AW-AUT-19.00X19.00X1.000X1.0070</t>
        </is>
      </c>
    </row>
    <row r="2252">
      <c r="A2252" t="inlineStr">
        <is>
          <t>0000189002</t>
        </is>
      </c>
      <c r="B2252" t="inlineStr">
        <is>
          <t>Marathwada Auto Compo Pvt. Ltd.</t>
        </is>
      </c>
      <c r="C2252" t="inlineStr">
        <is>
          <t>NOS</t>
        </is>
      </c>
      <c r="D2252" t="n">
        <v>500</v>
      </c>
      <c r="E2252" t="n">
        <v>623.4109999999999</v>
      </c>
      <c r="F2252" t="n">
        <v>686.5</v>
      </c>
      <c r="G2252" t="n">
        <v>3233554</v>
      </c>
      <c r="H2252" t="inlineStr">
        <is>
          <t>TUB-R-AW-AUT-40.00X20.00X1.210X1.2460</t>
        </is>
      </c>
    </row>
    <row r="2253">
      <c r="A2253" t="inlineStr">
        <is>
          <t>0000189002</t>
        </is>
      </c>
      <c r="B2253" t="inlineStr">
        <is>
          <t>Marathwada Auto Compo Pvt. Ltd.</t>
        </is>
      </c>
      <c r="C2253" t="inlineStr">
        <is>
          <t>NOS</t>
        </is>
      </c>
      <c r="D2253" t="n">
        <v>1000</v>
      </c>
      <c r="E2253" t="n">
        <v>129.009</v>
      </c>
      <c r="F2253" t="n">
        <v>70.31100000000001</v>
      </c>
      <c r="G2253" t="n">
        <v>3938687</v>
      </c>
      <c r="H2253" t="inlineStr">
        <is>
          <t>TUB-S-AW-AUT-19.00X19.00X1.000X0.1290</t>
        </is>
      </c>
    </row>
    <row r="2254">
      <c r="A2254" t="inlineStr">
        <is>
          <t>0000189002</t>
        </is>
      </c>
      <c r="B2254" t="inlineStr">
        <is>
          <t>Marathwada Auto Compo Pvt. Ltd.</t>
        </is>
      </c>
      <c r="C2254" t="inlineStr">
        <is>
          <t>NOS</t>
        </is>
      </c>
      <c r="D2254" t="n">
        <v>1000</v>
      </c>
      <c r="E2254" t="n">
        <v>884.997</v>
      </c>
      <c r="F2254" t="n">
        <v>482.333</v>
      </c>
      <c r="G2254" t="n">
        <v>4177673</v>
      </c>
      <c r="H2254" t="inlineStr">
        <is>
          <t>TUB-R-AW-AUT-19.00X19.00X1.000X0.8850</t>
        </is>
      </c>
    </row>
    <row r="2255">
      <c r="A2255" t="inlineStr">
        <is>
          <t>0000189002</t>
        </is>
      </c>
      <c r="B2255" t="inlineStr">
        <is>
          <t>Marathwada Auto Compo Pvt. Ltd.</t>
        </is>
      </c>
      <c r="C2255" t="inlineStr">
        <is>
          <t>NOS</t>
        </is>
      </c>
      <c r="D2255" t="n">
        <v>1000</v>
      </c>
      <c r="E2255" t="n">
        <v>754.994</v>
      </c>
      <c r="F2255" t="n">
        <v>824.756</v>
      </c>
      <c r="G2255" t="n">
        <v>4151472</v>
      </c>
      <c r="H2255" t="inlineStr">
        <is>
          <t>TUB-R-AW-AUT-40.00X20.00X1.200X0.7550</t>
        </is>
      </c>
    </row>
    <row r="2256">
      <c r="A2256" t="inlineStr">
        <is>
          <t>0000189002</t>
        </is>
      </c>
      <c r="B2256" t="inlineStr">
        <is>
          <t>Marathwada Auto Compo Pvt. Ltd.</t>
        </is>
      </c>
      <c r="C2256" t="inlineStr">
        <is>
          <t>NOS</t>
        </is>
      </c>
      <c r="D2256" t="n">
        <v>1000</v>
      </c>
      <c r="E2256" t="n">
        <v>539.997</v>
      </c>
      <c r="F2256" t="n">
        <v>294.244</v>
      </c>
      <c r="G2256" t="n">
        <v>3571870</v>
      </c>
      <c r="H2256" t="inlineStr">
        <is>
          <t>TUB-S-AW-AUT-19.00X19.00X1.000X0.5400</t>
        </is>
      </c>
    </row>
    <row r="2257">
      <c r="A2257" t="inlineStr">
        <is>
          <t>0000189002</t>
        </is>
      </c>
      <c r="B2257" t="inlineStr">
        <is>
          <t>Marathwada Auto Compo Pvt. Ltd.</t>
        </is>
      </c>
      <c r="C2257" t="inlineStr">
        <is>
          <t>NOS</t>
        </is>
      </c>
      <c r="D2257" t="n">
        <v>1000</v>
      </c>
      <c r="E2257" t="n">
        <v>860.491</v>
      </c>
      <c r="F2257" t="n">
        <v>940</v>
      </c>
      <c r="G2257" t="n">
        <v>3572051</v>
      </c>
      <c r="H2257" t="inlineStr">
        <is>
          <t>TUB-R-AW-AUT-40.00X20.00X1.200X0.8600</t>
        </is>
      </c>
    </row>
    <row r="2258">
      <c r="A2258" t="inlineStr">
        <is>
          <t>0000189002</t>
        </is>
      </c>
      <c r="B2258" t="inlineStr">
        <is>
          <t>Marathwada Auto Compo Pvt. Ltd.</t>
        </is>
      </c>
      <c r="C2258" t="inlineStr">
        <is>
          <t>NOS</t>
        </is>
      </c>
      <c r="D2258" t="n">
        <v>500</v>
      </c>
      <c r="E2258" t="n">
        <v>615.004</v>
      </c>
      <c r="F2258" t="n">
        <v>324.872</v>
      </c>
      <c r="G2258" t="n">
        <v>3929692</v>
      </c>
      <c r="H2258" t="inlineStr">
        <is>
          <t>CUT-O-N-AUT-AW-PE-19.05X1.200X1.2300</t>
        </is>
      </c>
    </row>
    <row r="2259">
      <c r="A2259" t="inlineStr">
        <is>
          <t>0000189270</t>
        </is>
      </c>
      <c r="B2259" t="inlineStr">
        <is>
          <t>Indo Autotech Limited (Unit V)</t>
        </is>
      </c>
      <c r="C2259" t="inlineStr">
        <is>
          <t>NOS</t>
        </is>
      </c>
      <c r="D2259" t="n">
        <v>363</v>
      </c>
      <c r="E2259" t="n">
        <v>382.605</v>
      </c>
      <c r="F2259" t="n">
        <v>575.936</v>
      </c>
      <c r="G2259" t="n">
        <v>3605736</v>
      </c>
      <c r="H2259" t="inlineStr">
        <is>
          <t>TUB-O-N-AUT-AW-FC-45.00X1.400X1.0540</t>
        </is>
      </c>
    </row>
    <row r="2260">
      <c r="A2260" t="inlineStr">
        <is>
          <t>0000189270</t>
        </is>
      </c>
      <c r="B2260" t="inlineStr">
        <is>
          <t>Indo Autotech Limited (Unit V)</t>
        </is>
      </c>
      <c r="C2260" t="inlineStr">
        <is>
          <t>NOS</t>
        </is>
      </c>
      <c r="D2260" t="n">
        <v>199</v>
      </c>
      <c r="E2260" t="n">
        <v>209.748</v>
      </c>
      <c r="F2260" t="n">
        <v>315.733</v>
      </c>
      <c r="G2260" t="n">
        <v>3605736</v>
      </c>
      <c r="H2260" t="inlineStr">
        <is>
          <t>TUB-O-N-AUT-AW-FC-45.00X1.400X1.0540</t>
        </is>
      </c>
    </row>
    <row r="2261">
      <c r="A2261" t="inlineStr">
        <is>
          <t>0000189270</t>
        </is>
      </c>
      <c r="B2261" t="inlineStr">
        <is>
          <t>Indo Autotech Limited (Unit V)</t>
        </is>
      </c>
      <c r="C2261" t="inlineStr">
        <is>
          <t>NOS</t>
        </is>
      </c>
      <c r="D2261" t="n">
        <v>199</v>
      </c>
      <c r="E2261" t="n">
        <v>209.748</v>
      </c>
      <c r="F2261" t="n">
        <v>315.733</v>
      </c>
      <c r="G2261" t="n">
        <v>3605736</v>
      </c>
      <c r="H2261" t="inlineStr">
        <is>
          <t>TUB-O-N-AUT-AW-FC-45.00X1.400X1.0540</t>
        </is>
      </c>
    </row>
    <row r="2262">
      <c r="A2262" t="inlineStr">
        <is>
          <t>0000189270</t>
        </is>
      </c>
      <c r="B2262" t="inlineStr">
        <is>
          <t>Indo Autotech Limited (Unit V)</t>
        </is>
      </c>
      <c r="C2262" t="inlineStr">
        <is>
          <t>NOS</t>
        </is>
      </c>
      <c r="D2262" t="n">
        <v>175</v>
      </c>
      <c r="E2262" t="n">
        <v>184.452</v>
      </c>
      <c r="F2262" t="n">
        <v>277.655</v>
      </c>
      <c r="G2262" t="n">
        <v>3605736</v>
      </c>
      <c r="H2262" t="inlineStr">
        <is>
          <t>TUB-O-N-AUT-AW-FC-45.00X1.400X1.0540</t>
        </is>
      </c>
    </row>
    <row r="2263">
      <c r="A2263" t="inlineStr">
        <is>
          <t>0000189270</t>
        </is>
      </c>
      <c r="B2263" t="inlineStr">
        <is>
          <t>Indo Autotech Limited (Unit V)</t>
        </is>
      </c>
      <c r="C2263" t="inlineStr">
        <is>
          <t>NOS</t>
        </is>
      </c>
      <c r="D2263" t="n">
        <v>140</v>
      </c>
      <c r="E2263" t="n">
        <v>147.561</v>
      </c>
      <c r="F2263" t="n">
        <v>222.124</v>
      </c>
      <c r="G2263" t="n">
        <v>3605736</v>
      </c>
      <c r="H2263" t="inlineStr">
        <is>
          <t>TUB-O-N-AUT-AW-FC-45.00X1.400X1.0540</t>
        </is>
      </c>
    </row>
    <row r="2264">
      <c r="A2264" t="inlineStr">
        <is>
          <t>0000189270</t>
        </is>
      </c>
      <c r="B2264" t="inlineStr">
        <is>
          <t>Indo Autotech Limited (Unit V)</t>
        </is>
      </c>
      <c r="C2264" t="inlineStr">
        <is>
          <t>NOS</t>
        </is>
      </c>
      <c r="D2264" t="n">
        <v>105</v>
      </c>
      <c r="E2264" t="n">
        <v>110.671</v>
      </c>
      <c r="F2264" t="n">
        <v>166.593</v>
      </c>
      <c r="G2264" t="n">
        <v>3605736</v>
      </c>
      <c r="H2264" t="inlineStr">
        <is>
          <t>TUB-O-N-AUT-AW-FC-45.00X1.400X1.0540</t>
        </is>
      </c>
    </row>
    <row r="2265">
      <c r="A2265" t="inlineStr">
        <is>
          <t>0000189270</t>
        </is>
      </c>
      <c r="B2265" t="inlineStr">
        <is>
          <t>Indo Autotech Limited (Unit V)</t>
        </is>
      </c>
      <c r="C2265" t="inlineStr">
        <is>
          <t>NOS</t>
        </is>
      </c>
      <c r="D2265" t="n">
        <v>69</v>
      </c>
      <c r="E2265" t="n">
        <v>72.727</v>
      </c>
      <c r="F2265" t="n">
        <v>109.475</v>
      </c>
      <c r="G2265" t="n">
        <v>3605736</v>
      </c>
      <c r="H2265" t="inlineStr">
        <is>
          <t>TUB-O-N-AUT-AW-FC-45.00X1.400X1.0540</t>
        </is>
      </c>
    </row>
    <row r="2266">
      <c r="A2266" t="inlineStr">
        <is>
          <t>0000189270</t>
        </is>
      </c>
      <c r="B2266" t="inlineStr">
        <is>
          <t>Indo Autotech Limited (Unit V)</t>
        </is>
      </c>
      <c r="C2266" t="inlineStr">
        <is>
          <t>NOS</t>
        </is>
      </c>
      <c r="D2266" t="n">
        <v>60</v>
      </c>
      <c r="E2266" t="n">
        <v>63.241</v>
      </c>
      <c r="F2266" t="n">
        <v>95.196</v>
      </c>
      <c r="G2266" t="n">
        <v>3605736</v>
      </c>
      <c r="H2266" t="inlineStr">
        <is>
          <t>TUB-O-N-AUT-AW-FC-45.00X1.400X1.0540</t>
        </is>
      </c>
    </row>
    <row r="2267">
      <c r="A2267" t="inlineStr">
        <is>
          <t>0000189270</t>
        </is>
      </c>
      <c r="B2267" t="inlineStr">
        <is>
          <t>Indo Autotech Limited (Unit V)</t>
        </is>
      </c>
      <c r="C2267" t="inlineStr">
        <is>
          <t>NOS</t>
        </is>
      </c>
      <c r="D2267" t="n">
        <v>980</v>
      </c>
      <c r="E2267" t="n">
        <v>180.424</v>
      </c>
      <c r="F2267" t="n">
        <v>684.04</v>
      </c>
      <c r="G2267" t="n">
        <v>1940868</v>
      </c>
      <c r="H2267" t="inlineStr">
        <is>
          <t>TUB-O-O-AUT-AW-FC-48.60X3.400X0.1840</t>
        </is>
      </c>
    </row>
    <row r="2268">
      <c r="A2268" t="inlineStr">
        <is>
          <t>0000189270</t>
        </is>
      </c>
      <c r="B2268" t="inlineStr">
        <is>
          <t>Indo Autotech Limited (Unit V)</t>
        </is>
      </c>
      <c r="C2268" t="inlineStr">
        <is>
          <t>NOS</t>
        </is>
      </c>
      <c r="D2268" t="n">
        <v>318</v>
      </c>
      <c r="E2268" t="n">
        <v>58.546</v>
      </c>
      <c r="F2268" t="n">
        <v>221.964</v>
      </c>
      <c r="G2268" t="n">
        <v>1940868</v>
      </c>
      <c r="H2268" t="inlineStr">
        <is>
          <t>TUB-O-O-AUT-AW-FC-48.60X3.400X0.1840</t>
        </is>
      </c>
    </row>
    <row r="2269">
      <c r="A2269" t="inlineStr">
        <is>
          <t>0000189270</t>
        </is>
      </c>
      <c r="B2269" t="inlineStr">
        <is>
          <t>Indo Autotech Limited (Unit V)</t>
        </is>
      </c>
      <c r="C2269" t="inlineStr">
        <is>
          <t>NOS</t>
        </is>
      </c>
      <c r="D2269" t="n">
        <v>142</v>
      </c>
      <c r="E2269" t="n">
        <v>26.143</v>
      </c>
      <c r="F2269" t="n">
        <v>99.116</v>
      </c>
      <c r="G2269" t="n">
        <v>1940868</v>
      </c>
      <c r="H2269" t="inlineStr">
        <is>
          <t>TUB-O-O-AUT-AW-FC-48.60X3.400X0.1840</t>
        </is>
      </c>
    </row>
    <row r="2270">
      <c r="A2270" t="inlineStr">
        <is>
          <t>0000189270</t>
        </is>
      </c>
      <c r="B2270" t="inlineStr">
        <is>
          <t>Indo Autotech Limited (Unit V)</t>
        </is>
      </c>
      <c r="C2270" t="inlineStr">
        <is>
          <t>NOS</t>
        </is>
      </c>
      <c r="D2270" t="n">
        <v>879</v>
      </c>
      <c r="E2270" t="n">
        <v>647.855</v>
      </c>
      <c r="F2270" t="n">
        <v>1120.725</v>
      </c>
      <c r="G2270" t="n">
        <v>1932730</v>
      </c>
      <c r="H2270" t="inlineStr">
        <is>
          <t>TUB-O-N-AUT-AW-FC-50.80X1.420X0.7370</t>
        </is>
      </c>
    </row>
    <row r="2271">
      <c r="A2271" t="inlineStr">
        <is>
          <t>0000189270</t>
        </is>
      </c>
      <c r="B2271" t="inlineStr">
        <is>
          <t>Indo Autotech Limited (Unit V)</t>
        </is>
      </c>
      <c r="C2271" t="inlineStr">
        <is>
          <t>NOS</t>
        </is>
      </c>
      <c r="D2271" t="n">
        <v>774</v>
      </c>
      <c r="E2271" t="n">
        <v>570.467</v>
      </c>
      <c r="F2271" t="n">
        <v>986.85</v>
      </c>
      <c r="G2271" t="n">
        <v>1932730</v>
      </c>
      <c r="H2271" t="inlineStr">
        <is>
          <t>TUB-O-N-AUT-AW-FC-50.80X1.420X0.7370</t>
        </is>
      </c>
    </row>
    <row r="2272">
      <c r="A2272" t="inlineStr">
        <is>
          <t>0000189270</t>
        </is>
      </c>
      <c r="B2272" t="inlineStr">
        <is>
          <t>Indo Autotech Limited (Unit V)</t>
        </is>
      </c>
      <c r="C2272" t="inlineStr">
        <is>
          <t>NOS</t>
        </is>
      </c>
      <c r="D2272" t="n">
        <v>727</v>
      </c>
      <c r="E2272" t="n">
        <v>535.826</v>
      </c>
      <c r="F2272" t="n">
        <v>926.925</v>
      </c>
      <c r="G2272" t="n">
        <v>1932730</v>
      </c>
      <c r="H2272" t="inlineStr">
        <is>
          <t>TUB-O-N-AUT-AW-FC-50.80X1.420X0.7370</t>
        </is>
      </c>
    </row>
    <row r="2273">
      <c r="A2273" t="inlineStr">
        <is>
          <t>0000189270</t>
        </is>
      </c>
      <c r="B2273" t="inlineStr">
        <is>
          <t>Indo Autotech Limited (Unit V)</t>
        </is>
      </c>
      <c r="C2273" t="inlineStr">
        <is>
          <t>NOS</t>
        </is>
      </c>
      <c r="D2273" t="n">
        <v>690</v>
      </c>
      <c r="E2273" t="n">
        <v>508.555</v>
      </c>
      <c r="F2273" t="n">
        <v>879.75</v>
      </c>
      <c r="G2273" t="n">
        <v>1932730</v>
      </c>
      <c r="H2273" t="inlineStr">
        <is>
          <t>TUB-O-N-AUT-AW-FC-50.80X1.420X0.7370</t>
        </is>
      </c>
    </row>
    <row r="2274">
      <c r="A2274" t="inlineStr">
        <is>
          <t>0000189270</t>
        </is>
      </c>
      <c r="B2274" t="inlineStr">
        <is>
          <t>Indo Autotech Limited (Unit V)</t>
        </is>
      </c>
      <c r="C2274" t="inlineStr">
        <is>
          <t>NOS</t>
        </is>
      </c>
      <c r="D2274" t="n">
        <v>200</v>
      </c>
      <c r="E2274" t="n">
        <v>147.407</v>
      </c>
      <c r="F2274" t="n">
        <v>255</v>
      </c>
      <c r="G2274" t="n">
        <v>1932730</v>
      </c>
      <c r="H2274" t="inlineStr">
        <is>
          <t>TUB-O-N-AUT-AW-FC-50.80X1.420X0.7370</t>
        </is>
      </c>
    </row>
    <row r="2275">
      <c r="A2275" t="inlineStr">
        <is>
          <t>0000189270</t>
        </is>
      </c>
      <c r="B2275" t="inlineStr">
        <is>
          <t>Indo Autotech Limited (Unit V)</t>
        </is>
      </c>
      <c r="C2275" t="inlineStr">
        <is>
          <t>NOS</t>
        </is>
      </c>
      <c r="D2275" t="n">
        <v>1500</v>
      </c>
      <c r="E2275" t="n">
        <v>1134.011</v>
      </c>
      <c r="F2275" t="n">
        <v>1131.517</v>
      </c>
      <c r="G2275" t="n">
        <v>4027993</v>
      </c>
      <c r="H2275" t="inlineStr">
        <is>
          <t>TUB-O-N-AUT-AW-FC-22.23X2.000X0.7560</t>
        </is>
      </c>
    </row>
    <row r="2276">
      <c r="A2276" t="inlineStr">
        <is>
          <t>0000189226</t>
        </is>
      </c>
      <c r="B2276" t="inlineStr">
        <is>
          <t>Neel Metal Products Limited</t>
        </is>
      </c>
      <c r="C2276" t="inlineStr">
        <is>
          <t>NOS</t>
        </is>
      </c>
      <c r="D2276" t="n">
        <v>1424</v>
      </c>
      <c r="E2276" t="n">
        <v>1039.701</v>
      </c>
      <c r="F2276" t="n">
        <v>2503.392</v>
      </c>
      <c r="G2276" t="n">
        <v>1940881</v>
      </c>
      <c r="H2276" t="inlineStr">
        <is>
          <t>TUB-R-AW-RHS-50.00X30.00X2.000X0.7300</t>
        </is>
      </c>
    </row>
    <row r="2277">
      <c r="A2277" t="inlineStr">
        <is>
          <t>0000189226</t>
        </is>
      </c>
      <c r="B2277" t="inlineStr">
        <is>
          <t>Neel Metal Products Limited</t>
        </is>
      </c>
      <c r="C2277" t="inlineStr">
        <is>
          <t>NOS</t>
        </is>
      </c>
      <c r="D2277" t="n">
        <v>1415</v>
      </c>
      <c r="E2277" t="n">
        <v>1033.13</v>
      </c>
      <c r="F2277" t="n">
        <v>2487.57</v>
      </c>
      <c r="G2277" t="n">
        <v>1940881</v>
      </c>
      <c r="H2277" t="inlineStr">
        <is>
          <t>TUB-R-AW-RHS-50.00X30.00X2.000X0.7300</t>
        </is>
      </c>
    </row>
    <row r="2278">
      <c r="A2278" t="inlineStr">
        <is>
          <t>0000189226</t>
        </is>
      </c>
      <c r="B2278" t="inlineStr">
        <is>
          <t>Neel Metal Products Limited</t>
        </is>
      </c>
      <c r="C2278" t="inlineStr">
        <is>
          <t>NOS</t>
        </is>
      </c>
      <c r="D2278" t="n">
        <v>1399</v>
      </c>
      <c r="E2278" t="n">
        <v>1021.448</v>
      </c>
      <c r="F2278" t="n">
        <v>2459.442</v>
      </c>
      <c r="G2278" t="n">
        <v>1940881</v>
      </c>
      <c r="H2278" t="inlineStr">
        <is>
          <t>TUB-R-AW-RHS-50.00X30.00X2.000X0.7300</t>
        </is>
      </c>
    </row>
    <row r="2279">
      <c r="A2279" t="inlineStr">
        <is>
          <t>0000189226</t>
        </is>
      </c>
      <c r="B2279" t="inlineStr">
        <is>
          <t>Neel Metal Products Limited</t>
        </is>
      </c>
      <c r="C2279" t="inlineStr">
        <is>
          <t>NOS</t>
        </is>
      </c>
      <c r="D2279" t="n">
        <v>1226</v>
      </c>
      <c r="E2279" t="n">
        <v>895.136</v>
      </c>
      <c r="F2279" t="n">
        <v>2155.308</v>
      </c>
      <c r="G2279" t="n">
        <v>1940881</v>
      </c>
      <c r="H2279" t="inlineStr">
        <is>
          <t>TUB-R-AW-RHS-50.00X30.00X2.000X0.7300</t>
        </is>
      </c>
    </row>
    <row r="2280">
      <c r="A2280" t="inlineStr">
        <is>
          <t>0000189226</t>
        </is>
      </c>
      <c r="B2280" t="inlineStr">
        <is>
          <t>Neel Metal Products Limited</t>
        </is>
      </c>
      <c r="C2280" t="inlineStr">
        <is>
          <t>NOS</t>
        </is>
      </c>
      <c r="D2280" t="n">
        <v>1115</v>
      </c>
      <c r="E2280" t="n">
        <v>814.092</v>
      </c>
      <c r="F2280" t="n">
        <v>1960.17</v>
      </c>
      <c r="G2280" t="n">
        <v>1940881</v>
      </c>
      <c r="H2280" t="inlineStr">
        <is>
          <t>TUB-R-AW-RHS-50.00X30.00X2.000X0.7300</t>
        </is>
      </c>
    </row>
    <row r="2281">
      <c r="A2281" t="inlineStr">
        <is>
          <t>0000189226</t>
        </is>
      </c>
      <c r="B2281" t="inlineStr">
        <is>
          <t>Neel Metal Products Limited</t>
        </is>
      </c>
      <c r="C2281" t="inlineStr">
        <is>
          <t>NOS</t>
        </is>
      </c>
      <c r="D2281" t="n">
        <v>699</v>
      </c>
      <c r="E2281" t="n">
        <v>510.359</v>
      </c>
      <c r="F2281" t="n">
        <v>1228.842</v>
      </c>
      <c r="G2281" t="n">
        <v>1940881</v>
      </c>
      <c r="H2281" t="inlineStr">
        <is>
          <t>TUB-R-AW-RHS-50.00X30.00X2.000X0.7300</t>
        </is>
      </c>
    </row>
    <row r="2282">
      <c r="A2282" t="inlineStr">
        <is>
          <t>0000189226</t>
        </is>
      </c>
      <c r="B2282" t="inlineStr">
        <is>
          <t>Neel Metal Products Limited</t>
        </is>
      </c>
      <c r="C2282" t="inlineStr">
        <is>
          <t>NOS</t>
        </is>
      </c>
      <c r="D2282" t="n">
        <v>18</v>
      </c>
      <c r="E2282" t="n">
        <v>13.142</v>
      </c>
      <c r="F2282" t="n">
        <v>31.644</v>
      </c>
      <c r="G2282" t="n">
        <v>1940881</v>
      </c>
      <c r="H2282" t="inlineStr">
        <is>
          <t>TUB-R-AW-RHS-50.00X30.00X2.000X0.7300</t>
        </is>
      </c>
    </row>
    <row r="2283">
      <c r="A2283" t="inlineStr">
        <is>
          <t>0000189481</t>
        </is>
      </c>
      <c r="B2283" t="inlineStr">
        <is>
          <t>Rajsriya Automotive Industries</t>
        </is>
      </c>
      <c r="C2283" t="inlineStr">
        <is>
          <t>NOS</t>
        </is>
      </c>
      <c r="D2283" t="n">
        <v>3826</v>
      </c>
      <c r="E2283" t="n">
        <v>2965.163</v>
      </c>
      <c r="F2283" t="n">
        <v>2438.352</v>
      </c>
      <c r="G2283" t="n">
        <v>3507464</v>
      </c>
      <c r="H2283" t="inlineStr">
        <is>
          <t>CUT-O-N-AUT-AW-PE-19.05X2.000X0.7750</t>
        </is>
      </c>
    </row>
    <row r="2284">
      <c r="A2284" t="inlineStr">
        <is>
          <t>0000189481</t>
        </is>
      </c>
      <c r="B2284" t="inlineStr">
        <is>
          <t>Rajsriya Automotive Industries</t>
        </is>
      </c>
      <c r="C2284" t="inlineStr">
        <is>
          <t>NOS</t>
        </is>
      </c>
      <c r="D2284" t="n">
        <v>3784</v>
      </c>
      <c r="E2284" t="n">
        <v>2932.613</v>
      </c>
      <c r="F2284" t="n">
        <v>2411.585</v>
      </c>
      <c r="G2284" t="n">
        <v>3507464</v>
      </c>
      <c r="H2284" t="inlineStr">
        <is>
          <t>CUT-O-N-AUT-AW-PE-19.05X2.000X0.7750</t>
        </is>
      </c>
    </row>
    <row r="2285">
      <c r="A2285" t="inlineStr">
        <is>
          <t>0000189481</t>
        </is>
      </c>
      <c r="B2285" t="inlineStr">
        <is>
          <t>Rajsriya Automotive Industries</t>
        </is>
      </c>
      <c r="C2285" t="inlineStr">
        <is>
          <t>NOS</t>
        </is>
      </c>
      <c r="D2285" t="n">
        <v>2394</v>
      </c>
      <c r="E2285" t="n">
        <v>1855.358</v>
      </c>
      <c r="F2285" t="n">
        <v>1525.723</v>
      </c>
      <c r="G2285" t="n">
        <v>3507464</v>
      </c>
      <c r="H2285" t="inlineStr">
        <is>
          <t>CUT-O-N-AUT-AW-PE-19.05X2.000X0.7750</t>
        </is>
      </c>
    </row>
    <row r="2286">
      <c r="A2286" t="inlineStr">
        <is>
          <t>0000189481</t>
        </is>
      </c>
      <c r="B2286" t="inlineStr">
        <is>
          <t>Rajsriya Automotive Industries</t>
        </is>
      </c>
      <c r="C2286" t="inlineStr">
        <is>
          <t>NOS</t>
        </is>
      </c>
      <c r="D2286" t="n">
        <v>1749</v>
      </c>
      <c r="E2286" t="n">
        <v>1355.481</v>
      </c>
      <c r="F2286" t="n">
        <v>1114.657</v>
      </c>
      <c r="G2286" t="n">
        <v>3507464</v>
      </c>
      <c r="H2286" t="inlineStr">
        <is>
          <t>CUT-O-N-AUT-AW-PE-19.05X2.000X0.7750</t>
        </is>
      </c>
    </row>
    <row r="2287">
      <c r="A2287" t="inlineStr">
        <is>
          <t>0000189481</t>
        </is>
      </c>
      <c r="B2287" t="inlineStr">
        <is>
          <t>Rajsriya Automotive Industries</t>
        </is>
      </c>
      <c r="C2287" t="inlineStr">
        <is>
          <t>NOS</t>
        </is>
      </c>
      <c r="D2287" t="n">
        <v>1319</v>
      </c>
      <c r="E2287" t="n">
        <v>1022.229</v>
      </c>
      <c r="F2287" t="n">
        <v>840.6130000000001</v>
      </c>
      <c r="G2287" t="n">
        <v>3507464</v>
      </c>
      <c r="H2287" t="inlineStr">
        <is>
          <t>CUT-O-N-AUT-AW-PE-19.05X2.000X0.7750</t>
        </is>
      </c>
    </row>
    <row r="2288">
      <c r="A2288" t="inlineStr">
        <is>
          <t>0000189481</t>
        </is>
      </c>
      <c r="B2288" t="inlineStr">
        <is>
          <t>Rajsriya Automotive Industries</t>
        </is>
      </c>
      <c r="C2288" t="inlineStr">
        <is>
          <t>NOS</t>
        </is>
      </c>
      <c r="D2288" t="n">
        <v>3</v>
      </c>
      <c r="E2288" t="n">
        <v>2.325</v>
      </c>
      <c r="F2288" t="n">
        <v>1.912</v>
      </c>
      <c r="G2288" t="n">
        <v>3507464</v>
      </c>
      <c r="H2288" t="inlineStr">
        <is>
          <t>CUT-O-N-AUT-AW-PE-19.05X2.000X0.7750</t>
        </is>
      </c>
    </row>
    <row r="2289">
      <c r="A2289" t="inlineStr">
        <is>
          <t>0000189481</t>
        </is>
      </c>
      <c r="B2289" t="inlineStr">
        <is>
          <t>Rajsriya Automotive Industries</t>
        </is>
      </c>
      <c r="C2289" t="inlineStr">
        <is>
          <t>NOS</t>
        </is>
      </c>
      <c r="D2289" t="n">
        <v>12806</v>
      </c>
      <c r="E2289" t="n">
        <v>3215.385</v>
      </c>
      <c r="F2289" t="n">
        <v>1408.66</v>
      </c>
      <c r="G2289" t="n">
        <v>1939993</v>
      </c>
      <c r="H2289" t="inlineStr">
        <is>
          <t>TUB-O-O-AUT-AW-PE-12.70X1.600X0.2500</t>
        </is>
      </c>
    </row>
    <row r="2290">
      <c r="A2290" t="inlineStr">
        <is>
          <t>0000189481</t>
        </is>
      </c>
      <c r="B2290" t="inlineStr">
        <is>
          <t>Rajsriya Automotive Industries</t>
        </is>
      </c>
      <c r="C2290" t="inlineStr">
        <is>
          <t>NOS</t>
        </is>
      </c>
      <c r="D2290" t="n">
        <v>5181</v>
      </c>
      <c r="E2290" t="n">
        <v>1300.867</v>
      </c>
      <c r="F2290" t="n">
        <v>569.91</v>
      </c>
      <c r="G2290" t="n">
        <v>1939993</v>
      </c>
      <c r="H2290" t="inlineStr">
        <is>
          <t>TUB-O-O-AUT-AW-PE-12.70X1.600X0.2500</t>
        </is>
      </c>
    </row>
    <row r="2291">
      <c r="A2291" t="inlineStr">
        <is>
          <t>0000189481</t>
        </is>
      </c>
      <c r="B2291" t="inlineStr">
        <is>
          <t>Rajsriya Automotive Industries</t>
        </is>
      </c>
      <c r="C2291" t="inlineStr">
        <is>
          <t>NOS</t>
        </is>
      </c>
      <c r="D2291" t="n">
        <v>1390</v>
      </c>
      <c r="E2291" t="n">
        <v>349.007</v>
      </c>
      <c r="F2291" t="n">
        <v>152.9</v>
      </c>
      <c r="G2291" t="n">
        <v>1939993</v>
      </c>
      <c r="H2291" t="inlineStr">
        <is>
          <t>TUB-O-O-AUT-AW-PE-12.70X1.600X0.2500</t>
        </is>
      </c>
    </row>
    <row r="2292">
      <c r="A2292" t="inlineStr">
        <is>
          <t>0000189481</t>
        </is>
      </c>
      <c r="B2292" t="inlineStr">
        <is>
          <t>Rajsriya Automotive Industries</t>
        </is>
      </c>
      <c r="C2292" t="inlineStr">
        <is>
          <t>NOS</t>
        </is>
      </c>
      <c r="D2292" t="n">
        <v>1490</v>
      </c>
      <c r="E2292" t="n">
        <v>374.115</v>
      </c>
      <c r="F2292" t="n">
        <v>163.9</v>
      </c>
      <c r="G2292" t="n">
        <v>1939993</v>
      </c>
      <c r="H2292" t="inlineStr">
        <is>
          <t>TUB-O-O-AUT-AW-PE-12.70X1.600X0.2500</t>
        </is>
      </c>
    </row>
    <row r="2293">
      <c r="A2293" t="inlineStr">
        <is>
          <t>0000189481</t>
        </is>
      </c>
      <c r="B2293" t="inlineStr">
        <is>
          <t>Rajsriya Automotive Industries</t>
        </is>
      </c>
      <c r="C2293" t="inlineStr">
        <is>
          <t>NOS</t>
        </is>
      </c>
      <c r="D2293" t="n">
        <v>33</v>
      </c>
      <c r="E2293" t="n">
        <v>8.286</v>
      </c>
      <c r="F2293" t="n">
        <v>3.63</v>
      </c>
      <c r="G2293" t="n">
        <v>1939993</v>
      </c>
      <c r="H2293" t="inlineStr">
        <is>
          <t>TUB-O-O-AUT-AW-PE-12.70X1.600X0.2500</t>
        </is>
      </c>
    </row>
    <row r="2294">
      <c r="A2294" t="inlineStr">
        <is>
          <t>0000189481</t>
        </is>
      </c>
      <c r="B2294" t="inlineStr">
        <is>
          <t>Rajsriya Automotive Industries</t>
        </is>
      </c>
      <c r="C2294" t="inlineStr">
        <is>
          <t>NOS</t>
        </is>
      </c>
      <c r="D2294" t="n">
        <v>5731</v>
      </c>
      <c r="E2294" t="n">
        <v>1687.512</v>
      </c>
      <c r="F2294" t="n">
        <v>739.299</v>
      </c>
      <c r="G2294" t="n">
        <v>1939996</v>
      </c>
      <c r="H2294" t="inlineStr">
        <is>
          <t>TUB-O-O-AUT-AW-PE-12.70X1.600X0.2950</t>
        </is>
      </c>
    </row>
    <row r="2295">
      <c r="A2295" t="inlineStr">
        <is>
          <t>0000189481</t>
        </is>
      </c>
      <c r="B2295" t="inlineStr">
        <is>
          <t>Rajsriya Automotive Industries</t>
        </is>
      </c>
      <c r="C2295" t="inlineStr">
        <is>
          <t>NOS</t>
        </is>
      </c>
      <c r="D2295" t="n">
        <v>2705</v>
      </c>
      <c r="E2295" t="n">
        <v>796.496</v>
      </c>
      <c r="F2295" t="n">
        <v>348.945</v>
      </c>
      <c r="G2295" t="n">
        <v>1939996</v>
      </c>
      <c r="H2295" t="inlineStr">
        <is>
          <t>TUB-O-O-AUT-AW-PE-12.70X1.600X0.2950</t>
        </is>
      </c>
    </row>
    <row r="2296">
      <c r="A2296" t="inlineStr">
        <is>
          <t>0000189481</t>
        </is>
      </c>
      <c r="B2296" t="inlineStr">
        <is>
          <t>Rajsriya Automotive Industries</t>
        </is>
      </c>
      <c r="C2296" t="inlineStr">
        <is>
          <t>NOS</t>
        </is>
      </c>
      <c r="D2296" t="n">
        <v>2410</v>
      </c>
      <c r="E2296" t="n">
        <v>709.633</v>
      </c>
      <c r="F2296" t="n">
        <v>310.89</v>
      </c>
      <c r="G2296" t="n">
        <v>1939996</v>
      </c>
      <c r="H2296" t="inlineStr">
        <is>
          <t>TUB-O-O-AUT-AW-PE-12.70X1.600X0.2950</t>
        </is>
      </c>
    </row>
    <row r="2297">
      <c r="A2297" t="inlineStr">
        <is>
          <t>0000189481</t>
        </is>
      </c>
      <c r="B2297" t="inlineStr">
        <is>
          <t>Rajsriya Automotive Industries</t>
        </is>
      </c>
      <c r="C2297" t="inlineStr">
        <is>
          <t>NOS</t>
        </is>
      </c>
      <c r="D2297" t="n">
        <v>154</v>
      </c>
      <c r="E2297" t="n">
        <v>45.346</v>
      </c>
      <c r="F2297" t="n">
        <v>19.866</v>
      </c>
      <c r="G2297" t="n">
        <v>1939996</v>
      </c>
      <c r="H2297" t="inlineStr">
        <is>
          <t>TUB-O-O-AUT-AW-PE-12.70X1.600X0.2950</t>
        </is>
      </c>
    </row>
    <row r="2298">
      <c r="A2298" t="inlineStr">
        <is>
          <t>0000189481</t>
        </is>
      </c>
      <c r="B2298" t="inlineStr">
        <is>
          <t>Rajsriya Automotive Industries</t>
        </is>
      </c>
      <c r="C2298" t="inlineStr">
        <is>
          <t>NOS</t>
        </is>
      </c>
      <c r="D2298" t="n">
        <v>1409</v>
      </c>
      <c r="E2298" t="n">
        <v>410.681</v>
      </c>
      <c r="F2298" t="n">
        <v>269.119</v>
      </c>
      <c r="G2298" t="n">
        <v>1940090</v>
      </c>
      <c r="H2298" t="inlineStr">
        <is>
          <t>TUB-O-O-AUT-AW-PE-15.88X2.000X0.2910</t>
        </is>
      </c>
    </row>
    <row r="2299">
      <c r="A2299" t="inlineStr">
        <is>
          <t>0000189481</t>
        </is>
      </c>
      <c r="B2299" t="inlineStr">
        <is>
          <t>Rajsriya Automotive Industries</t>
        </is>
      </c>
      <c r="C2299" t="inlineStr">
        <is>
          <t>NOS</t>
        </is>
      </c>
      <c r="D2299" t="n">
        <v>43</v>
      </c>
      <c r="E2299" t="n">
        <v>12.533</v>
      </c>
      <c r="F2299" t="n">
        <v>8.212999999999999</v>
      </c>
      <c r="G2299" t="n">
        <v>1940090</v>
      </c>
      <c r="H2299" t="inlineStr">
        <is>
          <t>TUB-O-O-AUT-AW-PE-15.88X2.000X0.2910</t>
        </is>
      </c>
    </row>
    <row r="2300">
      <c r="A2300" t="inlineStr">
        <is>
          <t>0000189481</t>
        </is>
      </c>
      <c r="B2300" t="inlineStr">
        <is>
          <t>Rajsriya Automotive Industries</t>
        </is>
      </c>
      <c r="C2300" t="inlineStr">
        <is>
          <t>NOS</t>
        </is>
      </c>
      <c r="D2300" t="n">
        <v>548</v>
      </c>
      <c r="E2300" t="n">
        <v>159.725</v>
      </c>
      <c r="F2300" t="n">
        <v>104.668</v>
      </c>
      <c r="G2300" t="n">
        <v>1940090</v>
      </c>
      <c r="H2300" t="inlineStr">
        <is>
          <t>TUB-O-O-AUT-AW-PE-15.88X2.000X0.2910</t>
        </is>
      </c>
    </row>
    <row r="2301">
      <c r="A2301" t="inlineStr">
        <is>
          <t>0000188356</t>
        </is>
      </c>
      <c r="B2301" t="inlineStr">
        <is>
          <t>Thai Summit Autoparts India Pvt Ltd</t>
        </is>
      </c>
      <c r="C2301" t="inlineStr">
        <is>
          <t>NOS</t>
        </is>
      </c>
      <c r="D2301" t="n">
        <v>1000</v>
      </c>
      <c r="E2301" t="n">
        <v>725.792</v>
      </c>
      <c r="F2301" t="n">
        <v>838</v>
      </c>
      <c r="G2301" t="n">
        <v>4027991</v>
      </c>
      <c r="H2301" t="inlineStr">
        <is>
          <t>TUB-O-N-AUT-HR-FC-25.40X2.000X0.7250</t>
        </is>
      </c>
    </row>
    <row r="2302">
      <c r="A2302" t="inlineStr">
        <is>
          <t>0000188356</t>
        </is>
      </c>
      <c r="B2302" t="inlineStr">
        <is>
          <t>Thai Summit Autoparts India Pvt Ltd</t>
        </is>
      </c>
      <c r="C2302" t="inlineStr">
        <is>
          <t>NOS</t>
        </is>
      </c>
      <c r="D2302" t="n">
        <v>1184</v>
      </c>
      <c r="E2302" t="n">
        <v>675.86</v>
      </c>
      <c r="F2302" t="n">
        <v>1253.856</v>
      </c>
      <c r="G2302" t="n">
        <v>3781648</v>
      </c>
      <c r="H2302" t="inlineStr">
        <is>
          <t>TUB-E-AW-AUT-59.00X30.00X1.600X0.5710</t>
        </is>
      </c>
    </row>
    <row r="2303">
      <c r="A2303" t="inlineStr">
        <is>
          <t>0000188356</t>
        </is>
      </c>
      <c r="B2303" t="inlineStr">
        <is>
          <t>Thai Summit Autoparts India Pvt Ltd</t>
        </is>
      </c>
      <c r="C2303" t="inlineStr">
        <is>
          <t>NOS</t>
        </is>
      </c>
      <c r="D2303" t="n">
        <v>196</v>
      </c>
      <c r="E2303" t="n">
        <v>111.882</v>
      </c>
      <c r="F2303" t="n">
        <v>207.564</v>
      </c>
      <c r="G2303" t="n">
        <v>3781648</v>
      </c>
      <c r="H2303" t="inlineStr">
        <is>
          <t>TUB-E-AW-AUT-59.00X30.00X1.600X0.5710</t>
        </is>
      </c>
    </row>
    <row r="2304">
      <c r="A2304" t="inlineStr">
        <is>
          <t>0000188356</t>
        </is>
      </c>
      <c r="B2304" t="inlineStr">
        <is>
          <t>Thai Summit Autoparts India Pvt Ltd</t>
        </is>
      </c>
      <c r="C2304" t="inlineStr">
        <is>
          <t>NOS</t>
        </is>
      </c>
      <c r="D2304" t="n">
        <v>53</v>
      </c>
      <c r="E2304" t="n">
        <v>13.939</v>
      </c>
      <c r="F2304" t="n">
        <v>9.6</v>
      </c>
      <c r="G2304" t="n">
        <v>2382571</v>
      </c>
      <c r="H2304" t="inlineStr">
        <is>
          <t>TUB-O-N-AUT-AW-PE-19.05X1.600X0.2630</t>
        </is>
      </c>
    </row>
    <row r="2305">
      <c r="A2305" t="inlineStr">
        <is>
          <t>0000188356</t>
        </is>
      </c>
      <c r="B2305" t="inlineStr">
        <is>
          <t>Thai Summit Autoparts India Pvt Ltd</t>
        </is>
      </c>
      <c r="C2305" t="inlineStr">
        <is>
          <t>NOS</t>
        </is>
      </c>
      <c r="D2305" t="n">
        <v>797</v>
      </c>
      <c r="E2305" t="n">
        <v>209.617</v>
      </c>
      <c r="F2305" t="n">
        <v>144.363</v>
      </c>
      <c r="G2305" t="n">
        <v>2382571</v>
      </c>
      <c r="H2305" t="inlineStr">
        <is>
          <t>TUB-O-N-AUT-AW-PE-19.05X1.600X0.2630</t>
        </is>
      </c>
    </row>
    <row r="2306">
      <c r="A2306" t="inlineStr">
        <is>
          <t>0000188356</t>
        </is>
      </c>
      <c r="B2306" t="inlineStr">
        <is>
          <t>Thai Summit Autoparts India Pvt Ltd</t>
        </is>
      </c>
      <c r="C2306" t="inlineStr">
        <is>
          <t>NOS</t>
        </is>
      </c>
      <c r="D2306" t="n">
        <v>150</v>
      </c>
      <c r="E2306" t="n">
        <v>39.451</v>
      </c>
      <c r="F2306" t="n">
        <v>27.17</v>
      </c>
      <c r="G2306" t="n">
        <v>2382571</v>
      </c>
      <c r="H2306" t="inlineStr">
        <is>
          <t>TUB-O-N-AUT-AW-PE-19.05X1.600X0.2630</t>
        </is>
      </c>
    </row>
    <row r="2307">
      <c r="A2307" t="inlineStr">
        <is>
          <t>0000948721</t>
        </is>
      </c>
      <c r="B2307" t="inlineStr">
        <is>
          <t>ELKAYEM AUTO ANCILLARIES PRIVATE LI</t>
        </is>
      </c>
      <c r="C2307" t="inlineStr">
        <is>
          <t>NOS</t>
        </is>
      </c>
      <c r="D2307" t="n">
        <v>3219</v>
      </c>
      <c r="E2307" t="n">
        <v>1143.071</v>
      </c>
      <c r="F2307" t="n">
        <v>1319.79</v>
      </c>
      <c r="G2307" t="n">
        <v>1940588</v>
      </c>
      <c r="H2307" t="inlineStr">
        <is>
          <t>TUB-O-O-AUT-AW-FC-25.40X2.000X0.3550</t>
        </is>
      </c>
    </row>
    <row r="2308">
      <c r="A2308" t="inlineStr">
        <is>
          <t>0000948721</t>
        </is>
      </c>
      <c r="B2308" t="inlineStr">
        <is>
          <t>ELKAYEM AUTO ANCILLARIES PRIVATE LI</t>
        </is>
      </c>
      <c r="C2308" t="inlineStr">
        <is>
          <t>NOS</t>
        </is>
      </c>
      <c r="D2308" t="n">
        <v>3085</v>
      </c>
      <c r="E2308" t="n">
        <v>1095.488</v>
      </c>
      <c r="F2308" t="n">
        <v>1264.85</v>
      </c>
      <c r="G2308" t="n">
        <v>1940588</v>
      </c>
      <c r="H2308" t="inlineStr">
        <is>
          <t>TUB-O-O-AUT-AW-FC-25.40X2.000X0.3550</t>
        </is>
      </c>
    </row>
    <row r="2309">
      <c r="A2309" t="inlineStr">
        <is>
          <t>0000948721</t>
        </is>
      </c>
      <c r="B2309" t="inlineStr">
        <is>
          <t>ELKAYEM AUTO ANCILLARIES PRIVATE LI</t>
        </is>
      </c>
      <c r="C2309" t="inlineStr">
        <is>
          <t>NOS</t>
        </is>
      </c>
      <c r="D2309" t="n">
        <v>21</v>
      </c>
      <c r="E2309" t="n">
        <v>7.457</v>
      </c>
      <c r="F2309" t="n">
        <v>8.609999999999999</v>
      </c>
      <c r="G2309" t="n">
        <v>1940588</v>
      </c>
      <c r="H2309" t="inlineStr">
        <is>
          <t>TUB-O-O-AUT-AW-FC-25.40X2.000X0.3550</t>
        </is>
      </c>
    </row>
    <row r="2310">
      <c r="A2310" t="inlineStr">
        <is>
          <t>0000948721</t>
        </is>
      </c>
      <c r="B2310" t="inlineStr">
        <is>
          <t>ELKAYEM AUTO ANCILLARIES PRIVATE LI</t>
        </is>
      </c>
      <c r="C2310" t="inlineStr">
        <is>
          <t>NOS</t>
        </is>
      </c>
      <c r="D2310" t="n">
        <v>442</v>
      </c>
      <c r="E2310" t="n">
        <v>266.962</v>
      </c>
      <c r="F2310" t="n">
        <v>518.466</v>
      </c>
      <c r="G2310" t="n">
        <v>2427158</v>
      </c>
      <c r="H2310" t="inlineStr">
        <is>
          <t>TUB-R-AW-AUT-50.00X30.00X1.600X0.6040</t>
        </is>
      </c>
    </row>
    <row r="2311">
      <c r="A2311" t="inlineStr">
        <is>
          <t>0000948721</t>
        </is>
      </c>
      <c r="B2311" t="inlineStr">
        <is>
          <t>ELKAYEM AUTO ANCILLARIES PRIVATE LI</t>
        </is>
      </c>
      <c r="C2311" t="inlineStr">
        <is>
          <t>NOS</t>
        </is>
      </c>
      <c r="D2311" t="n">
        <v>1350</v>
      </c>
      <c r="E2311" t="n">
        <v>815.38</v>
      </c>
      <c r="F2311" t="n">
        <v>1583.55</v>
      </c>
      <c r="G2311" t="n">
        <v>2427158</v>
      </c>
      <c r="H2311" t="inlineStr">
        <is>
          <t>TUB-R-AW-AUT-50.00X30.00X1.600X0.6040</t>
        </is>
      </c>
    </row>
    <row r="2312">
      <c r="A2312" t="inlineStr">
        <is>
          <t>0000948721</t>
        </is>
      </c>
      <c r="B2312" t="inlineStr">
        <is>
          <t>ELKAYEM AUTO ANCILLARIES PRIVATE LI</t>
        </is>
      </c>
      <c r="C2312" t="inlineStr">
        <is>
          <t>NOS</t>
        </is>
      </c>
      <c r="D2312" t="n">
        <v>1140</v>
      </c>
      <c r="E2312" t="n">
        <v>688.543</v>
      </c>
      <c r="F2312" t="n">
        <v>1337.22</v>
      </c>
      <c r="G2312" t="n">
        <v>2427158</v>
      </c>
      <c r="H2312" t="inlineStr">
        <is>
          <t>TUB-R-AW-AUT-50.00X30.00X1.600X0.6040</t>
        </is>
      </c>
    </row>
    <row r="2313">
      <c r="A2313" t="inlineStr">
        <is>
          <t>0000948721</t>
        </is>
      </c>
      <c r="B2313" t="inlineStr">
        <is>
          <t>ELKAYEM AUTO ANCILLARIES PRIVATE LI</t>
        </is>
      </c>
      <c r="C2313" t="inlineStr">
        <is>
          <t>NOS</t>
        </is>
      </c>
      <c r="D2313" t="n">
        <v>570</v>
      </c>
      <c r="E2313" t="n">
        <v>344.272</v>
      </c>
      <c r="F2313" t="n">
        <v>668.61</v>
      </c>
      <c r="G2313" t="n">
        <v>2427158</v>
      </c>
      <c r="H2313" t="inlineStr">
        <is>
          <t>TUB-R-AW-AUT-50.00X30.00X1.600X0.6040</t>
        </is>
      </c>
    </row>
    <row r="2314">
      <c r="A2314" t="inlineStr">
        <is>
          <t>0000948721</t>
        </is>
      </c>
      <c r="B2314" t="inlineStr">
        <is>
          <t>ELKAYEM AUTO ANCILLARIES PRIVATE LI</t>
        </is>
      </c>
      <c r="C2314" t="inlineStr">
        <is>
          <t>NOS</t>
        </is>
      </c>
      <c r="D2314" t="n">
        <v>3</v>
      </c>
      <c r="E2314" t="n">
        <v>1.812</v>
      </c>
      <c r="F2314" t="n">
        <v>3.519</v>
      </c>
      <c r="G2314" t="n">
        <v>2427158</v>
      </c>
      <c r="H2314" t="inlineStr">
        <is>
          <t>TUB-R-AW-AUT-50.00X30.00X1.600X0.6040</t>
        </is>
      </c>
    </row>
    <row r="2315">
      <c r="A2315" t="inlineStr">
        <is>
          <t>0000948721</t>
        </is>
      </c>
      <c r="B2315" t="inlineStr">
        <is>
          <t>ELKAYEM AUTO ANCILLARIES PRIVATE LI</t>
        </is>
      </c>
      <c r="C2315" t="inlineStr">
        <is>
          <t>NOS</t>
        </is>
      </c>
      <c r="D2315" t="n">
        <v>3</v>
      </c>
      <c r="E2315" t="n">
        <v>1.812</v>
      </c>
      <c r="F2315" t="n">
        <v>3.519</v>
      </c>
      <c r="G2315" t="n">
        <v>2427158</v>
      </c>
      <c r="H2315" t="inlineStr">
        <is>
          <t>TUB-R-AW-AUT-50.00X30.00X1.600X0.6040</t>
        </is>
      </c>
    </row>
    <row r="2316">
      <c r="A2316" t="inlineStr">
        <is>
          <t>0000948721</t>
        </is>
      </c>
      <c r="B2316" t="inlineStr">
        <is>
          <t>ELKAYEM AUTO ANCILLARIES PRIVATE LI</t>
        </is>
      </c>
      <c r="C2316" t="inlineStr">
        <is>
          <t>NOS</t>
        </is>
      </c>
      <c r="D2316" t="n">
        <v>1</v>
      </c>
      <c r="E2316" t="n">
        <v>0.604</v>
      </c>
      <c r="F2316" t="n">
        <v>1.173</v>
      </c>
      <c r="G2316" t="n">
        <v>2427158</v>
      </c>
      <c r="H2316" t="inlineStr">
        <is>
          <t>TUB-R-AW-AUT-50.00X30.00X1.600X0.6040</t>
        </is>
      </c>
    </row>
    <row r="2317">
      <c r="A2317" t="inlineStr">
        <is>
          <t>0000948721</t>
        </is>
      </c>
      <c r="B2317" t="inlineStr">
        <is>
          <t>ELKAYEM AUTO ANCILLARIES PRIVATE LI</t>
        </is>
      </c>
      <c r="C2317" t="inlineStr">
        <is>
          <t>NOS</t>
        </is>
      </c>
      <c r="D2317" t="n">
        <v>1</v>
      </c>
      <c r="E2317" t="n">
        <v>0.604</v>
      </c>
      <c r="F2317" t="n">
        <v>1.173</v>
      </c>
      <c r="G2317" t="n">
        <v>2427158</v>
      </c>
      <c r="H2317" t="inlineStr">
        <is>
          <t>TUB-R-AW-AUT-50.00X30.00X1.600X0.6040</t>
        </is>
      </c>
    </row>
    <row r="2318">
      <c r="A2318" t="inlineStr">
        <is>
          <t>0000129663</t>
        </is>
      </c>
      <c r="B2318" t="inlineStr">
        <is>
          <t>ELKAYEM AUTO ANCILLARIES (PVT) LTD.</t>
        </is>
      </c>
      <c r="C2318" t="inlineStr">
        <is>
          <t>NOS</t>
        </is>
      </c>
      <c r="D2318" t="n">
        <v>196</v>
      </c>
      <c r="E2318" t="n">
        <v>80.035</v>
      </c>
      <c r="F2318" t="n">
        <v>27.244</v>
      </c>
      <c r="G2318" t="n">
        <v>1939966</v>
      </c>
      <c r="H2318" t="inlineStr">
        <is>
          <t>TUB-O-O-AUT-AW-PE-12.70X1.200X0.4080</t>
        </is>
      </c>
    </row>
    <row r="2319">
      <c r="A2319" t="inlineStr">
        <is>
          <t>0000129663</t>
        </is>
      </c>
      <c r="B2319" t="inlineStr">
        <is>
          <t>ELKAYEM AUTO ANCILLARIES (PVT) LTD.</t>
        </is>
      </c>
      <c r="C2319" t="inlineStr">
        <is>
          <t>NOS</t>
        </is>
      </c>
      <c r="D2319" t="n">
        <v>1985</v>
      </c>
      <c r="E2319" t="n">
        <v>810.561</v>
      </c>
      <c r="F2319" t="n">
        <v>275.915</v>
      </c>
      <c r="G2319" t="n">
        <v>1939966</v>
      </c>
      <c r="H2319" t="inlineStr">
        <is>
          <t>TUB-O-O-AUT-AW-PE-12.70X1.200X0.4080</t>
        </is>
      </c>
    </row>
    <row r="2320">
      <c r="A2320" t="inlineStr">
        <is>
          <t>0000129663</t>
        </is>
      </c>
      <c r="B2320" t="inlineStr">
        <is>
          <t>ELKAYEM AUTO ANCILLARIES (PVT) LTD.</t>
        </is>
      </c>
      <c r="C2320" t="inlineStr">
        <is>
          <t>NOS</t>
        </is>
      </c>
      <c r="D2320" t="n">
        <v>7219</v>
      </c>
      <c r="E2320" t="n">
        <v>2947.829</v>
      </c>
      <c r="F2320" t="n">
        <v>1003.441</v>
      </c>
      <c r="G2320" t="n">
        <v>1939966</v>
      </c>
      <c r="H2320" t="inlineStr">
        <is>
          <t>TUB-O-O-AUT-AW-PE-12.70X1.200X0.4080</t>
        </is>
      </c>
    </row>
    <row r="2321">
      <c r="A2321" t="inlineStr">
        <is>
          <t>0000941506</t>
        </is>
      </c>
      <c r="B2321" t="inlineStr">
        <is>
          <t>ELKAYEM AUTO ANCILLARIES PRIVATE LI</t>
        </is>
      </c>
      <c r="C2321" t="inlineStr">
        <is>
          <t>NOS</t>
        </is>
      </c>
      <c r="D2321" t="n">
        <v>1800</v>
      </c>
      <c r="E2321" t="n">
        <v>1328.404</v>
      </c>
      <c r="F2321" t="n">
        <v>1325.88</v>
      </c>
      <c r="G2321" t="n">
        <v>4267147</v>
      </c>
      <c r="H2321" t="inlineStr">
        <is>
          <t>TUB-E-O-AUT-AW-FC-22.23X2.000X0.7380</t>
        </is>
      </c>
    </row>
    <row r="2322">
      <c r="A2322" t="inlineStr">
        <is>
          <t>0000941506</t>
        </is>
      </c>
      <c r="B2322" t="inlineStr">
        <is>
          <t>ELKAYEM AUTO ANCILLARIES PRIVATE LI</t>
        </is>
      </c>
      <c r="C2322" t="inlineStr">
        <is>
          <t>NOS</t>
        </is>
      </c>
      <c r="D2322" t="n">
        <v>2049</v>
      </c>
      <c r="E2322" t="n">
        <v>1512.167</v>
      </c>
      <c r="F2322" t="n">
        <v>1509.293</v>
      </c>
      <c r="G2322" t="n">
        <v>4267147</v>
      </c>
      <c r="H2322" t="inlineStr">
        <is>
          <t>TUB-E-O-AUT-AW-FC-22.23X2.000X0.7380</t>
        </is>
      </c>
    </row>
    <row r="2323">
      <c r="A2323" t="inlineStr">
        <is>
          <t>0000941506</t>
        </is>
      </c>
      <c r="B2323" t="inlineStr">
        <is>
          <t>ELKAYEM AUTO ANCILLARIES PRIVATE LI</t>
        </is>
      </c>
      <c r="C2323" t="inlineStr">
        <is>
          <t>NOS</t>
        </is>
      </c>
      <c r="D2323" t="n">
        <v>475</v>
      </c>
      <c r="E2323" t="n">
        <v>350.551</v>
      </c>
      <c r="F2323" t="n">
        <v>349.885</v>
      </c>
      <c r="G2323" t="n">
        <v>4267147</v>
      </c>
      <c r="H2323" t="inlineStr">
        <is>
          <t>TUB-E-O-AUT-AW-FC-22.23X2.000X0.7380</t>
        </is>
      </c>
    </row>
    <row r="2324">
      <c r="A2324" t="inlineStr">
        <is>
          <t>0000941506</t>
        </is>
      </c>
      <c r="B2324" t="inlineStr">
        <is>
          <t>ELKAYEM AUTO ANCILLARIES PRIVATE LI</t>
        </is>
      </c>
      <c r="C2324" t="inlineStr">
        <is>
          <t>NOS</t>
        </is>
      </c>
      <c r="D2324" t="n">
        <v>51</v>
      </c>
      <c r="E2324" t="n">
        <v>37.638</v>
      </c>
      <c r="F2324" t="n">
        <v>37.567</v>
      </c>
      <c r="G2324" t="n">
        <v>4267147</v>
      </c>
      <c r="H2324" t="inlineStr">
        <is>
          <t>TUB-E-O-AUT-AW-FC-22.23X2.000X0.7380</t>
        </is>
      </c>
    </row>
    <row r="2325">
      <c r="A2325" t="inlineStr">
        <is>
          <t>0000130189</t>
        </is>
      </c>
      <c r="B2325" t="inlineStr">
        <is>
          <t>A.V.M. TUBE CO.</t>
        </is>
      </c>
      <c r="C2325" t="inlineStr">
        <is>
          <t>KG</t>
        </is>
      </c>
      <c r="D2325" t="n">
        <v>685</v>
      </c>
      <c r="E2325" t="n">
        <v>4109.983</v>
      </c>
      <c r="F2325" t="n">
        <v>20000</v>
      </c>
      <c r="G2325" t="n">
        <v>1942368</v>
      </c>
      <c r="H2325" t="inlineStr">
        <is>
          <t>COMTUBE-12.70 X 57.15 &amp; THICK UPTO 2.50M</t>
        </is>
      </c>
    </row>
    <row r="2326">
      <c r="A2326" t="inlineStr">
        <is>
          <t>0000130189</t>
        </is>
      </c>
      <c r="B2326" t="inlineStr">
        <is>
          <t>A.V.M. TUBE CO.</t>
        </is>
      </c>
      <c r="C2326" t="inlineStr">
        <is>
          <t>KG</t>
        </is>
      </c>
      <c r="D2326" t="n">
        <v>159</v>
      </c>
      <c r="E2326" t="n">
        <v>953.516</v>
      </c>
      <c r="F2326" t="n">
        <v>4640</v>
      </c>
      <c r="G2326" t="n">
        <v>1942364</v>
      </c>
      <c r="H2326" t="inlineStr">
        <is>
          <t>ERW RND OD SEC.TI THK O.N</t>
        </is>
      </c>
    </row>
    <row r="2327">
      <c r="A2327" t="inlineStr">
        <is>
          <t>0000188415</t>
        </is>
      </c>
      <c r="B2327" t="inlineStr">
        <is>
          <t>Rajsriya Automotive Industries(P)</t>
        </is>
      </c>
      <c r="C2327" t="inlineStr">
        <is>
          <t>NOS</t>
        </is>
      </c>
      <c r="D2327" t="n">
        <v>1976</v>
      </c>
      <c r="E2327" t="n">
        <v>1649.938</v>
      </c>
      <c r="F2327" t="n">
        <v>2790.705</v>
      </c>
      <c r="G2327" t="n">
        <v>3712521</v>
      </c>
      <c r="H2327" t="inlineStr">
        <is>
          <t>CUT-R-AW-RHS-40.00X30.00X1.600X0.8350</t>
        </is>
      </c>
    </row>
    <row r="2328">
      <c r="A2328" t="inlineStr">
        <is>
          <t>0000188415</t>
        </is>
      </c>
      <c r="B2328" t="inlineStr">
        <is>
          <t>Rajsriya Automotive Industries(P)</t>
        </is>
      </c>
      <c r="C2328" t="inlineStr">
        <is>
          <t>NOS</t>
        </is>
      </c>
      <c r="D2328" t="n">
        <v>19</v>
      </c>
      <c r="E2328" t="n">
        <v>15.865</v>
      </c>
      <c r="F2328" t="n">
        <v>26.834</v>
      </c>
      <c r="G2328" t="n">
        <v>3712521</v>
      </c>
      <c r="H2328" t="inlineStr">
        <is>
          <t>CUT-R-AW-RHS-40.00X30.00X1.600X0.8350</t>
        </is>
      </c>
    </row>
    <row r="2329">
      <c r="A2329" t="inlineStr">
        <is>
          <t>0000188415</t>
        </is>
      </c>
      <c r="B2329" t="inlineStr">
        <is>
          <t>Rajsriya Automotive Industries(P)</t>
        </is>
      </c>
      <c r="C2329" t="inlineStr">
        <is>
          <t>NOS</t>
        </is>
      </c>
      <c r="D2329" t="n">
        <v>890</v>
      </c>
      <c r="E2329" t="n">
        <v>765.6079999999999</v>
      </c>
      <c r="F2329" t="n">
        <v>1294.95</v>
      </c>
      <c r="G2329" t="n">
        <v>1940830</v>
      </c>
      <c r="H2329" t="inlineStr">
        <is>
          <t>TUB-R-AW-RHS-40.00X30.00X1.600X0.8600</t>
        </is>
      </c>
    </row>
    <row r="2330">
      <c r="A2330" t="inlineStr">
        <is>
          <t>0000188415</t>
        </is>
      </c>
      <c r="B2330" t="inlineStr">
        <is>
          <t>Rajsriya Automotive Industries(P)</t>
        </is>
      </c>
      <c r="C2330" t="inlineStr">
        <is>
          <t>NOS</t>
        </is>
      </c>
      <c r="D2330" t="n">
        <v>752</v>
      </c>
      <c r="E2330" t="n">
        <v>646.896</v>
      </c>
      <c r="F2330" t="n">
        <v>1094.16</v>
      </c>
      <c r="G2330" t="n">
        <v>1940830</v>
      </c>
      <c r="H2330" t="inlineStr">
        <is>
          <t>TUB-R-AW-RHS-40.00X30.00X1.600X0.8600</t>
        </is>
      </c>
    </row>
    <row r="2331">
      <c r="A2331" t="inlineStr">
        <is>
          <t>0000188415</t>
        </is>
      </c>
      <c r="B2331" t="inlineStr">
        <is>
          <t>Rajsriya Automotive Industries(P)</t>
        </is>
      </c>
      <c r="C2331" t="inlineStr">
        <is>
          <t>NOS</t>
        </is>
      </c>
      <c r="D2331" t="n">
        <v>274</v>
      </c>
      <c r="E2331" t="n">
        <v>235.704</v>
      </c>
      <c r="F2331" t="n">
        <v>398.67</v>
      </c>
      <c r="G2331" t="n">
        <v>1940830</v>
      </c>
      <c r="H2331" t="inlineStr">
        <is>
          <t>TUB-R-AW-RHS-40.00X30.00X1.600X0.8600</t>
        </is>
      </c>
    </row>
    <row r="2332">
      <c r="A2332" t="inlineStr">
        <is>
          <t>0000188415</t>
        </is>
      </c>
      <c r="B2332" t="inlineStr">
        <is>
          <t>Rajsriya Automotive Industries(P)</t>
        </is>
      </c>
      <c r="C2332" t="inlineStr">
        <is>
          <t>NOS</t>
        </is>
      </c>
      <c r="D2332" t="n">
        <v>2</v>
      </c>
      <c r="E2332" t="n">
        <v>1.72</v>
      </c>
      <c r="F2332" t="n">
        <v>2.91</v>
      </c>
      <c r="G2332" t="n">
        <v>1940830</v>
      </c>
      <c r="H2332" t="inlineStr">
        <is>
          <t>TUB-R-AW-RHS-40.00X30.00X1.600X0.8600</t>
        </is>
      </c>
    </row>
    <row r="2333">
      <c r="A2333" t="inlineStr">
        <is>
          <t>0000188415</t>
        </is>
      </c>
      <c r="B2333" t="inlineStr">
        <is>
          <t>Rajsriya Automotive Industries(P)</t>
        </is>
      </c>
      <c r="C2333" t="inlineStr">
        <is>
          <t>NOS</t>
        </is>
      </c>
      <c r="D2333" t="n">
        <v>2</v>
      </c>
      <c r="E2333" t="n">
        <v>1.72</v>
      </c>
      <c r="F2333" t="n">
        <v>2.91</v>
      </c>
      <c r="G2333" t="n">
        <v>1940830</v>
      </c>
      <c r="H2333" t="inlineStr">
        <is>
          <t>TUB-R-AW-RHS-40.00X30.00X1.600X0.8600</t>
        </is>
      </c>
    </row>
    <row r="2334">
      <c r="A2334" t="inlineStr">
        <is>
          <t>0000944141</t>
        </is>
      </c>
      <c r="B2334" t="inlineStr">
        <is>
          <t>SRIKAM HITECH ENGINEERING PRIVATE L</t>
        </is>
      </c>
      <c r="C2334" t="inlineStr">
        <is>
          <t>NOS</t>
        </is>
      </c>
      <c r="D2334" t="n">
        <v>3000</v>
      </c>
      <c r="E2334" t="n">
        <v>837.25</v>
      </c>
      <c r="F2334" t="n">
        <v>285</v>
      </c>
      <c r="G2334" t="n">
        <v>1939963</v>
      </c>
      <c r="H2334" t="inlineStr">
        <is>
          <t>TUB-O-O-AUT-AW-PE-12.70X1.200X0.2780</t>
        </is>
      </c>
    </row>
    <row r="2335">
      <c r="A2335" t="inlineStr">
        <is>
          <t>0000944141</t>
        </is>
      </c>
      <c r="B2335" t="inlineStr">
        <is>
          <t>SRIKAM HITECH ENGINEERING PRIVATE L</t>
        </is>
      </c>
      <c r="C2335" t="inlineStr">
        <is>
          <t>NOS</t>
        </is>
      </c>
      <c r="D2335" t="n">
        <v>1100</v>
      </c>
      <c r="E2335" t="n">
        <v>480.043</v>
      </c>
      <c r="F2335" t="n">
        <v>270.6</v>
      </c>
      <c r="G2335" t="n">
        <v>3620428</v>
      </c>
      <c r="H2335" t="inlineStr">
        <is>
          <t>TUB-O-N-AUT-AW-PE-15.88X1.600X0.4350</t>
        </is>
      </c>
    </row>
    <row r="2336">
      <c r="A2336" t="inlineStr">
        <is>
          <t>0000944141</t>
        </is>
      </c>
      <c r="B2336" t="inlineStr">
        <is>
          <t>SRIKAM HITECH ENGINEERING PRIVATE L</t>
        </is>
      </c>
      <c r="C2336" t="inlineStr">
        <is>
          <t>NOS</t>
        </is>
      </c>
      <c r="D2336" t="n">
        <v>1958</v>
      </c>
      <c r="E2336" t="n">
        <v>430.767</v>
      </c>
      <c r="F2336" t="n">
        <v>419.491</v>
      </c>
      <c r="G2336" t="n">
        <v>1940430</v>
      </c>
      <c r="H2336" t="inlineStr">
        <is>
          <t>TUB-O-O-AUT-AW-PE-22.23X2.000X0.2200</t>
        </is>
      </c>
    </row>
    <row r="2337">
      <c r="A2337" t="inlineStr">
        <is>
          <t>0000944141</t>
        </is>
      </c>
      <c r="B2337" t="inlineStr">
        <is>
          <t>SRIKAM HITECH ENGINEERING PRIVATE L</t>
        </is>
      </c>
      <c r="C2337" t="inlineStr">
        <is>
          <t>NOS</t>
        </is>
      </c>
      <c r="D2337" t="n">
        <v>1300</v>
      </c>
      <c r="E2337" t="n">
        <v>286.005</v>
      </c>
      <c r="F2337" t="n">
        <v>278.518</v>
      </c>
      <c r="G2337" t="n">
        <v>1940430</v>
      </c>
      <c r="H2337" t="inlineStr">
        <is>
          <t>TUB-O-O-AUT-AW-PE-22.23X2.000X0.2200</t>
        </is>
      </c>
    </row>
    <row r="2338">
      <c r="A2338" t="inlineStr">
        <is>
          <t>0000944141</t>
        </is>
      </c>
      <c r="B2338" t="inlineStr">
        <is>
          <t>SRIKAM HITECH ENGINEERING PRIVATE L</t>
        </is>
      </c>
      <c r="C2338" t="inlineStr">
        <is>
          <t>NOS</t>
        </is>
      </c>
      <c r="D2338" t="n">
        <v>924</v>
      </c>
      <c r="E2338" t="n">
        <v>203.283</v>
      </c>
      <c r="F2338" t="n">
        <v>197.962</v>
      </c>
      <c r="G2338" t="n">
        <v>1940430</v>
      </c>
      <c r="H2338" t="inlineStr">
        <is>
          <t>TUB-O-O-AUT-AW-PE-22.23X2.000X0.2200</t>
        </is>
      </c>
    </row>
    <row r="2339">
      <c r="A2339" t="inlineStr">
        <is>
          <t>0000944141</t>
        </is>
      </c>
      <c r="B2339" t="inlineStr">
        <is>
          <t>SRIKAM HITECH ENGINEERING PRIVATE L</t>
        </is>
      </c>
      <c r="C2339" t="inlineStr">
        <is>
          <t>NOS</t>
        </is>
      </c>
      <c r="D2339" t="n">
        <v>18</v>
      </c>
      <c r="E2339" t="n">
        <v>3.96</v>
      </c>
      <c r="F2339" t="n">
        <v>3.856</v>
      </c>
      <c r="G2339" t="n">
        <v>1940430</v>
      </c>
      <c r="H2339" t="inlineStr">
        <is>
          <t>TUB-O-O-AUT-AW-PE-22.23X2.000X0.2200</t>
        </is>
      </c>
    </row>
    <row r="2340">
      <c r="A2340" t="inlineStr">
        <is>
          <t>0000944141</t>
        </is>
      </c>
      <c r="B2340" t="inlineStr">
        <is>
          <t>SRIKAM HITECH ENGINEERING PRIVATE L</t>
        </is>
      </c>
      <c r="C2340" t="inlineStr">
        <is>
          <t>NOS</t>
        </is>
      </c>
      <c r="D2340" t="n">
        <v>5396</v>
      </c>
      <c r="E2340" t="n">
        <v>1430.758</v>
      </c>
      <c r="F2340" t="n">
        <v>1359.792</v>
      </c>
      <c r="G2340" t="n">
        <v>1940309</v>
      </c>
      <c r="H2340" t="inlineStr">
        <is>
          <t>TUB-O-O-AUT-AW-PE-19.05X2.300X0.2650</t>
        </is>
      </c>
    </row>
    <row r="2341">
      <c r="A2341" t="inlineStr">
        <is>
          <t>0000944141</t>
        </is>
      </c>
      <c r="B2341" t="inlineStr">
        <is>
          <t>SRIKAM HITECH ENGINEERING PRIVATE L</t>
        </is>
      </c>
      <c r="C2341" t="inlineStr">
        <is>
          <t>NOS</t>
        </is>
      </c>
      <c r="D2341" t="n">
        <v>3599</v>
      </c>
      <c r="E2341" t="n">
        <v>954.28</v>
      </c>
      <c r="F2341" t="n">
        <v>906.948</v>
      </c>
      <c r="G2341" t="n">
        <v>1940309</v>
      </c>
      <c r="H2341" t="inlineStr">
        <is>
          <t>TUB-O-O-AUT-AW-PE-19.05X2.300X0.2650</t>
        </is>
      </c>
    </row>
    <row r="2342">
      <c r="A2342" t="inlineStr">
        <is>
          <t>0000944141</t>
        </is>
      </c>
      <c r="B2342" t="inlineStr">
        <is>
          <t>SRIKAM HITECH ENGINEERING PRIVATE L</t>
        </is>
      </c>
      <c r="C2342" t="inlineStr">
        <is>
          <t>NOS</t>
        </is>
      </c>
      <c r="D2342" t="n">
        <v>105</v>
      </c>
      <c r="E2342" t="n">
        <v>27.841</v>
      </c>
      <c r="F2342" t="n">
        <v>26.46</v>
      </c>
      <c r="G2342" t="n">
        <v>1940309</v>
      </c>
      <c r="H2342" t="inlineStr">
        <is>
          <t>TUB-O-O-AUT-AW-PE-19.05X2.300X0.2650</t>
        </is>
      </c>
    </row>
    <row r="2343">
      <c r="A2343" t="inlineStr">
        <is>
          <t>0000944141</t>
        </is>
      </c>
      <c r="B2343" t="inlineStr">
        <is>
          <t>SRIKAM HITECH ENGINEERING PRIVATE L</t>
        </is>
      </c>
      <c r="C2343" t="inlineStr">
        <is>
          <t>NOS</t>
        </is>
      </c>
      <c r="D2343" t="n">
        <v>650</v>
      </c>
      <c r="E2343" t="n">
        <v>172.348</v>
      </c>
      <c r="F2343" t="n">
        <v>163.8</v>
      </c>
      <c r="G2343" t="n">
        <v>1940309</v>
      </c>
      <c r="H2343" t="inlineStr">
        <is>
          <t>TUB-O-O-AUT-AW-PE-19.05X2.300X0.2650</t>
        </is>
      </c>
    </row>
    <row r="2344">
      <c r="A2344" t="inlineStr">
        <is>
          <t>0000944141</t>
        </is>
      </c>
      <c r="B2344" t="inlineStr">
        <is>
          <t>SRIKAM HITECH ENGINEERING PRIVATE L</t>
        </is>
      </c>
      <c r="C2344" t="inlineStr">
        <is>
          <t>NOS</t>
        </is>
      </c>
      <c r="D2344" t="n">
        <v>158</v>
      </c>
      <c r="E2344" t="n">
        <v>41.894</v>
      </c>
      <c r="F2344" t="n">
        <v>39.816</v>
      </c>
      <c r="G2344" t="n">
        <v>1940309</v>
      </c>
      <c r="H2344" t="inlineStr">
        <is>
          <t>TUB-O-O-AUT-AW-PE-19.05X2.300X0.2650</t>
        </is>
      </c>
    </row>
    <row r="2345">
      <c r="A2345" t="inlineStr">
        <is>
          <t>0000944141</t>
        </is>
      </c>
      <c r="B2345" t="inlineStr">
        <is>
          <t>SRIKAM HITECH ENGINEERING PRIVATE L</t>
        </is>
      </c>
      <c r="C2345" t="inlineStr">
        <is>
          <t>NOS</t>
        </is>
      </c>
      <c r="D2345" t="n">
        <v>92</v>
      </c>
      <c r="E2345" t="n">
        <v>24.394</v>
      </c>
      <c r="F2345" t="n">
        <v>23.184</v>
      </c>
      <c r="G2345" t="n">
        <v>1940309</v>
      </c>
      <c r="H2345" t="inlineStr">
        <is>
          <t>TUB-O-O-AUT-AW-PE-19.05X2.300X0.2650</t>
        </is>
      </c>
    </row>
    <row r="2346">
      <c r="A2346" t="inlineStr">
        <is>
          <t>0000944141</t>
        </is>
      </c>
      <c r="B2346" t="inlineStr">
        <is>
          <t>SRIKAM HITECH ENGINEERING PRIVATE L</t>
        </is>
      </c>
      <c r="C2346" t="inlineStr">
        <is>
          <t>NOS</t>
        </is>
      </c>
      <c r="D2346" t="n">
        <v>5857</v>
      </c>
      <c r="E2346" t="n">
        <v>1725.547</v>
      </c>
      <c r="F2346" t="n">
        <v>1639.96</v>
      </c>
      <c r="G2346" t="n">
        <v>1940312</v>
      </c>
      <c r="H2346" t="inlineStr">
        <is>
          <t>TUB-O-O-AUT-AW-PE-19.05X2.300X0.2950</t>
        </is>
      </c>
    </row>
    <row r="2347">
      <c r="A2347" t="inlineStr">
        <is>
          <t>0000944141</t>
        </is>
      </c>
      <c r="B2347" t="inlineStr">
        <is>
          <t>SRIKAM HITECH ENGINEERING PRIVATE L</t>
        </is>
      </c>
      <c r="C2347" t="inlineStr">
        <is>
          <t>NOS</t>
        </is>
      </c>
      <c r="D2347" t="n">
        <v>5071</v>
      </c>
      <c r="E2347" t="n">
        <v>1493.981</v>
      </c>
      <c r="F2347" t="n">
        <v>1419.88</v>
      </c>
      <c r="G2347" t="n">
        <v>1940312</v>
      </c>
      <c r="H2347" t="inlineStr">
        <is>
          <t>TUB-O-O-AUT-AW-PE-19.05X2.300X0.2950</t>
        </is>
      </c>
    </row>
    <row r="2348">
      <c r="A2348" t="inlineStr">
        <is>
          <t>0000944141</t>
        </is>
      </c>
      <c r="B2348" t="inlineStr">
        <is>
          <t>SRIKAM HITECH ENGINEERING PRIVATE L</t>
        </is>
      </c>
      <c r="C2348" t="inlineStr">
        <is>
          <t>NOS</t>
        </is>
      </c>
      <c r="D2348" t="n">
        <v>257</v>
      </c>
      <c r="E2348" t="n">
        <v>75.715</v>
      </c>
      <c r="F2348" t="n">
        <v>71.95999999999999</v>
      </c>
      <c r="G2348" t="n">
        <v>1940312</v>
      </c>
      <c r="H2348" t="inlineStr">
        <is>
          <t>TUB-O-O-AUT-AW-PE-19.05X2.300X0.2950</t>
        </is>
      </c>
    </row>
    <row r="2349">
      <c r="A2349" t="inlineStr">
        <is>
          <t>0000944141</t>
        </is>
      </c>
      <c r="B2349" t="inlineStr">
        <is>
          <t>SRIKAM HITECH ENGINEERING PRIVATE L</t>
        </is>
      </c>
      <c r="C2349" t="inlineStr">
        <is>
          <t>NOS</t>
        </is>
      </c>
      <c r="D2349" t="n">
        <v>15</v>
      </c>
      <c r="E2349" t="n">
        <v>4.419</v>
      </c>
      <c r="F2349" t="n">
        <v>4.2</v>
      </c>
      <c r="G2349" t="n">
        <v>1940312</v>
      </c>
      <c r="H2349" t="inlineStr">
        <is>
          <t>TUB-O-O-AUT-AW-PE-19.05X2.300X0.2950</t>
        </is>
      </c>
    </row>
    <row r="2350">
      <c r="A2350" t="inlineStr">
        <is>
          <t>0000944141</t>
        </is>
      </c>
      <c r="B2350" t="inlineStr">
        <is>
          <t>SRIKAM HITECH ENGINEERING PRIVATE L</t>
        </is>
      </c>
      <c r="C2350" t="inlineStr">
        <is>
          <t>NOS</t>
        </is>
      </c>
      <c r="D2350" t="n">
        <v>2170</v>
      </c>
      <c r="E2350" t="n">
        <v>2829.74</v>
      </c>
      <c r="F2350" t="n">
        <v>2304.54</v>
      </c>
      <c r="G2350" t="n">
        <v>3673011</v>
      </c>
      <c r="H2350" t="inlineStr">
        <is>
          <t>TUB-O-N-AUT-AW-PE-22.23X1.600X1.3040</t>
        </is>
      </c>
    </row>
    <row r="2351">
      <c r="A2351" t="inlineStr">
        <is>
          <t>0000944141</t>
        </is>
      </c>
      <c r="B2351" t="inlineStr">
        <is>
          <t>SRIKAM HITECH ENGINEERING PRIVATE L</t>
        </is>
      </c>
      <c r="C2351" t="inlineStr">
        <is>
          <t>NOS</t>
        </is>
      </c>
      <c r="D2351" t="n">
        <v>1149</v>
      </c>
      <c r="E2351" t="n">
        <v>1498.328</v>
      </c>
      <c r="F2351" t="n">
        <v>1220.238</v>
      </c>
      <c r="G2351" t="n">
        <v>3673011</v>
      </c>
      <c r="H2351" t="inlineStr">
        <is>
          <t>TUB-O-N-AUT-AW-PE-22.23X1.600X1.3040</t>
        </is>
      </c>
    </row>
    <row r="2352">
      <c r="A2352" t="inlineStr">
        <is>
          <t>0000944141</t>
        </is>
      </c>
      <c r="B2352" t="inlineStr">
        <is>
          <t>SRIKAM HITECH ENGINEERING PRIVATE L</t>
        </is>
      </c>
      <c r="C2352" t="inlineStr">
        <is>
          <t>NOS</t>
        </is>
      </c>
      <c r="D2352" t="n">
        <v>923</v>
      </c>
      <c r="E2352" t="n">
        <v>1203.617</v>
      </c>
      <c r="F2352" t="n">
        <v>980.226</v>
      </c>
      <c r="G2352" t="n">
        <v>3673011</v>
      </c>
      <c r="H2352" t="inlineStr">
        <is>
          <t>TUB-O-N-AUT-AW-PE-22.23X1.600X1.3040</t>
        </is>
      </c>
    </row>
    <row r="2353">
      <c r="A2353" t="inlineStr">
        <is>
          <t>0000944141</t>
        </is>
      </c>
      <c r="B2353" t="inlineStr">
        <is>
          <t>SRIKAM HITECH ENGINEERING PRIVATE L</t>
        </is>
      </c>
      <c r="C2353" t="inlineStr">
        <is>
          <t>NOS</t>
        </is>
      </c>
      <c r="D2353" t="n">
        <v>564</v>
      </c>
      <c r="E2353" t="n">
        <v>735.472</v>
      </c>
      <c r="F2353" t="n">
        <v>598.968</v>
      </c>
      <c r="G2353" t="n">
        <v>3673011</v>
      </c>
      <c r="H2353" t="inlineStr">
        <is>
          <t>TUB-O-N-AUT-AW-PE-22.23X1.600X1.3040</t>
        </is>
      </c>
    </row>
    <row r="2354">
      <c r="A2354" t="inlineStr">
        <is>
          <t>0000944141</t>
        </is>
      </c>
      <c r="B2354" t="inlineStr">
        <is>
          <t>SRIKAM HITECH ENGINEERING PRIVATE L</t>
        </is>
      </c>
      <c r="C2354" t="inlineStr">
        <is>
          <t>NOS</t>
        </is>
      </c>
      <c r="D2354" t="n">
        <v>387</v>
      </c>
      <c r="E2354" t="n">
        <v>504.659</v>
      </c>
      <c r="F2354" t="n">
        <v>410.994</v>
      </c>
      <c r="G2354" t="n">
        <v>3673011</v>
      </c>
      <c r="H2354" t="inlineStr">
        <is>
          <t>TUB-O-N-AUT-AW-PE-22.23X1.600X1.3040</t>
        </is>
      </c>
    </row>
    <row r="2355">
      <c r="A2355" t="inlineStr">
        <is>
          <t>0000944141</t>
        </is>
      </c>
      <c r="B2355" t="inlineStr">
        <is>
          <t>SRIKAM HITECH ENGINEERING PRIVATE L</t>
        </is>
      </c>
      <c r="C2355" t="inlineStr">
        <is>
          <t>NOS</t>
        </is>
      </c>
      <c r="D2355" t="n">
        <v>161</v>
      </c>
      <c r="E2355" t="n">
        <v>209.948</v>
      </c>
      <c r="F2355" t="n">
        <v>170.982</v>
      </c>
      <c r="G2355" t="n">
        <v>3673011</v>
      </c>
      <c r="H2355" t="inlineStr">
        <is>
          <t>TUB-O-N-AUT-AW-PE-22.23X1.600X1.3040</t>
        </is>
      </c>
    </row>
    <row r="2356">
      <c r="A2356" t="inlineStr">
        <is>
          <t>0000944141</t>
        </is>
      </c>
      <c r="B2356" t="inlineStr">
        <is>
          <t>SRIKAM HITECH ENGINEERING PRIVATE L</t>
        </is>
      </c>
      <c r="C2356" t="inlineStr">
        <is>
          <t>NOS</t>
        </is>
      </c>
      <c r="D2356" t="n">
        <v>83</v>
      </c>
      <c r="E2356" t="n">
        <v>108.234</v>
      </c>
      <c r="F2356" t="n">
        <v>88.146</v>
      </c>
      <c r="G2356" t="n">
        <v>3673011</v>
      </c>
      <c r="H2356" t="inlineStr">
        <is>
          <t>TUB-O-N-AUT-AW-PE-22.23X1.600X1.3040</t>
        </is>
      </c>
    </row>
    <row r="2357">
      <c r="A2357" t="inlineStr">
        <is>
          <t>0000944141</t>
        </is>
      </c>
      <c r="B2357" t="inlineStr">
        <is>
          <t>SRIKAM HITECH ENGINEERING PRIVATE L</t>
        </is>
      </c>
      <c r="C2357" t="inlineStr">
        <is>
          <t>NOS</t>
        </is>
      </c>
      <c r="D2357" t="n">
        <v>13</v>
      </c>
      <c r="E2357" t="n">
        <v>16.952</v>
      </c>
      <c r="F2357" t="n">
        <v>13.806</v>
      </c>
      <c r="G2357" t="n">
        <v>3673011</v>
      </c>
      <c r="H2357" t="inlineStr">
        <is>
          <t>TUB-O-N-AUT-AW-PE-22.23X1.600X1.3040</t>
        </is>
      </c>
    </row>
    <row r="2358">
      <c r="A2358" t="inlineStr">
        <is>
          <t>0000188595</t>
        </is>
      </c>
      <c r="B2358" t="inlineStr">
        <is>
          <t>Sri Balaji Gears</t>
        </is>
      </c>
      <c r="C2358" t="inlineStr">
        <is>
          <t>NOS</t>
        </is>
      </c>
      <c r="D2358" t="n">
        <v>819</v>
      </c>
      <c r="E2358" t="n">
        <v>1073.208</v>
      </c>
      <c r="F2358" t="n">
        <v>1181.817</v>
      </c>
      <c r="G2358" t="n">
        <v>1940801</v>
      </c>
      <c r="H2358" t="inlineStr">
        <is>
          <t>TUB-R-AW-RHS-40.00X20.00X1.210X1.3100</t>
        </is>
      </c>
    </row>
    <row r="2359">
      <c r="A2359" t="inlineStr">
        <is>
          <t>0000188595</t>
        </is>
      </c>
      <c r="B2359" t="inlineStr">
        <is>
          <t>Sri Balaji Gears</t>
        </is>
      </c>
      <c r="C2359" t="inlineStr">
        <is>
          <t>NOS</t>
        </is>
      </c>
      <c r="D2359" t="n">
        <v>648</v>
      </c>
      <c r="E2359" t="n">
        <v>849.1319999999999</v>
      </c>
      <c r="F2359" t="n">
        <v>935.064</v>
      </c>
      <c r="G2359" t="n">
        <v>1940801</v>
      </c>
      <c r="H2359" t="inlineStr">
        <is>
          <t>TUB-R-AW-RHS-40.00X20.00X1.210X1.3100</t>
        </is>
      </c>
    </row>
    <row r="2360">
      <c r="A2360" t="inlineStr">
        <is>
          <t>0000188595</t>
        </is>
      </c>
      <c r="B2360" t="inlineStr">
        <is>
          <t>Sri Balaji Gears</t>
        </is>
      </c>
      <c r="C2360" t="inlineStr">
        <is>
          <t>NOS</t>
        </is>
      </c>
      <c r="D2360" t="n">
        <v>33</v>
      </c>
      <c r="E2360" t="n">
        <v>43.243</v>
      </c>
      <c r="F2360" t="n">
        <v>47.619</v>
      </c>
      <c r="G2360" t="n">
        <v>1940801</v>
      </c>
      <c r="H2360" t="inlineStr">
        <is>
          <t>TUB-R-AW-RHS-40.00X20.00X1.210X1.3100</t>
        </is>
      </c>
    </row>
    <row r="2361">
      <c r="A2361" t="inlineStr">
        <is>
          <t>0000188595</t>
        </is>
      </c>
      <c r="B2361" t="inlineStr">
        <is>
          <t>Sri Balaji Gears</t>
        </is>
      </c>
      <c r="C2361" t="inlineStr">
        <is>
          <t>NOS</t>
        </is>
      </c>
      <c r="D2361" t="n">
        <v>500</v>
      </c>
      <c r="E2361" t="n">
        <v>623.4109999999999</v>
      </c>
      <c r="F2361" t="n">
        <v>686.5</v>
      </c>
      <c r="G2361" t="n">
        <v>3233554</v>
      </c>
      <c r="H2361" t="inlineStr">
        <is>
          <t>TUB-R-AW-AUT-40.00X20.00X1.210X1.2460</t>
        </is>
      </c>
    </row>
    <row r="2362">
      <c r="A2362" t="inlineStr">
        <is>
          <t>0000188595</t>
        </is>
      </c>
      <c r="B2362" t="inlineStr">
        <is>
          <t>Sri Balaji Gears</t>
        </is>
      </c>
      <c r="C2362" t="inlineStr">
        <is>
          <t>NOS</t>
        </is>
      </c>
      <c r="D2362" t="n">
        <v>964</v>
      </c>
      <c r="E2362" t="n">
        <v>1080.254</v>
      </c>
      <c r="F2362" t="n">
        <v>1189.576</v>
      </c>
      <c r="G2362" t="n">
        <v>3233555</v>
      </c>
      <c r="H2362" t="inlineStr">
        <is>
          <t>TUB-R-AW-AUT-40.00X20.00X1.210X1.1200</t>
        </is>
      </c>
    </row>
    <row r="2363">
      <c r="A2363" t="inlineStr">
        <is>
          <t>0000188595</t>
        </is>
      </c>
      <c r="B2363" t="inlineStr">
        <is>
          <t>Sri Balaji Gears</t>
        </is>
      </c>
      <c r="C2363" t="inlineStr">
        <is>
          <t>NOS</t>
        </is>
      </c>
      <c r="D2363" t="n">
        <v>684</v>
      </c>
      <c r="E2363" t="n">
        <v>766.487</v>
      </c>
      <c r="F2363" t="n">
        <v>844.056</v>
      </c>
      <c r="G2363" t="n">
        <v>3233555</v>
      </c>
      <c r="H2363" t="inlineStr">
        <is>
          <t>TUB-R-AW-AUT-40.00X20.00X1.210X1.1200</t>
        </is>
      </c>
    </row>
    <row r="2364">
      <c r="A2364" t="inlineStr">
        <is>
          <t>0000188595</t>
        </is>
      </c>
      <c r="B2364" t="inlineStr">
        <is>
          <t>Sri Balaji Gears</t>
        </is>
      </c>
      <c r="C2364" t="inlineStr">
        <is>
          <t>NOS</t>
        </is>
      </c>
      <c r="D2364" t="n">
        <v>348</v>
      </c>
      <c r="E2364" t="n">
        <v>389.967</v>
      </c>
      <c r="F2364" t="n">
        <v>429.432</v>
      </c>
      <c r="G2364" t="n">
        <v>3233555</v>
      </c>
      <c r="H2364" t="inlineStr">
        <is>
          <t>TUB-R-AW-AUT-40.00X20.00X1.210X1.1200</t>
        </is>
      </c>
    </row>
    <row r="2365">
      <c r="A2365" t="inlineStr">
        <is>
          <t>0000188595</t>
        </is>
      </c>
      <c r="B2365" t="inlineStr">
        <is>
          <t>Sri Balaji Gears</t>
        </is>
      </c>
      <c r="C2365" t="inlineStr">
        <is>
          <t>NOS</t>
        </is>
      </c>
      <c r="D2365" t="n">
        <v>4</v>
      </c>
      <c r="E2365" t="n">
        <v>4.482</v>
      </c>
      <c r="F2365" t="n">
        <v>4.936</v>
      </c>
      <c r="G2365" t="n">
        <v>3233555</v>
      </c>
      <c r="H2365" t="inlineStr">
        <is>
          <t>TUB-R-AW-AUT-40.00X20.00X1.210X1.1200</t>
        </is>
      </c>
    </row>
    <row r="2366">
      <c r="A2366" t="inlineStr">
        <is>
          <t>0000188595</t>
        </is>
      </c>
      <c r="B2366" t="inlineStr">
        <is>
          <t>Sri Balaji Gears</t>
        </is>
      </c>
      <c r="C2366" t="inlineStr">
        <is>
          <t>NOS</t>
        </is>
      </c>
      <c r="D2366" t="n">
        <v>2000</v>
      </c>
      <c r="E2366" t="n">
        <v>1720.981</v>
      </c>
      <c r="F2366" t="n">
        <v>1880</v>
      </c>
      <c r="G2366" t="n">
        <v>3572051</v>
      </c>
      <c r="H2366" t="inlineStr">
        <is>
          <t>TUB-R-AW-AUT-40.00X20.00X1.200X0.8600</t>
        </is>
      </c>
    </row>
    <row r="2367">
      <c r="A2367" t="inlineStr">
        <is>
          <t>0000188595</t>
        </is>
      </c>
      <c r="B2367" t="inlineStr">
        <is>
          <t>Sri Balaji Gears</t>
        </is>
      </c>
      <c r="C2367" t="inlineStr">
        <is>
          <t>NOS</t>
        </is>
      </c>
      <c r="D2367" t="n">
        <v>1000</v>
      </c>
      <c r="E2367" t="n">
        <v>754.994</v>
      </c>
      <c r="F2367" t="n">
        <v>824.756</v>
      </c>
      <c r="G2367" t="n">
        <v>4151472</v>
      </c>
      <c r="H2367" t="inlineStr">
        <is>
          <t>TUB-R-AW-AUT-40.00X20.00X1.200X0.7550</t>
        </is>
      </c>
    </row>
    <row r="2368">
      <c r="A2368" t="inlineStr">
        <is>
          <t>0000188595</t>
        </is>
      </c>
      <c r="B2368" t="inlineStr">
        <is>
          <t>Sri Balaji Gears</t>
        </is>
      </c>
      <c r="C2368" t="inlineStr">
        <is>
          <t>NOS</t>
        </is>
      </c>
      <c r="D2368" t="n">
        <v>1000</v>
      </c>
      <c r="E2368" t="n">
        <v>120.777</v>
      </c>
      <c r="F2368" t="n">
        <v>133</v>
      </c>
      <c r="G2368" t="n">
        <v>3233559</v>
      </c>
      <c r="H2368" t="inlineStr">
        <is>
          <t>TUB-R-AW-AUT-40.00X20.00X1.210X0.1200</t>
        </is>
      </c>
    </row>
    <row r="2369">
      <c r="A2369" t="inlineStr">
        <is>
          <t>0000188595</t>
        </is>
      </c>
      <c r="B2369" t="inlineStr">
        <is>
          <t>Sri Balaji Gears</t>
        </is>
      </c>
      <c r="C2369" t="inlineStr">
        <is>
          <t>NOS</t>
        </is>
      </c>
      <c r="D2369" t="n">
        <v>1000</v>
      </c>
      <c r="E2369" t="n">
        <v>110.765</v>
      </c>
      <c r="F2369" t="n">
        <v>121</v>
      </c>
      <c r="G2369" t="n">
        <v>3572047</v>
      </c>
      <c r="H2369" t="inlineStr">
        <is>
          <t>TUB-R-AW-AUT-40.00X20.00X1.200X0.1100</t>
        </is>
      </c>
    </row>
    <row r="2370">
      <c r="A2370" t="inlineStr">
        <is>
          <t>0000188595</t>
        </is>
      </c>
      <c r="B2370" t="inlineStr">
        <is>
          <t>Sri Balaji Gears</t>
        </is>
      </c>
      <c r="C2370" t="inlineStr">
        <is>
          <t>NOS</t>
        </is>
      </c>
      <c r="D2370" t="n">
        <v>999</v>
      </c>
      <c r="E2370" t="n">
        <v>794.196</v>
      </c>
      <c r="F2370" t="n">
        <v>439.349</v>
      </c>
      <c r="G2370" t="n">
        <v>4151429</v>
      </c>
      <c r="H2370" t="inlineStr">
        <is>
          <t>TUB-S-AW-AUT-19.00X19.00X1.000X0.7950</t>
        </is>
      </c>
    </row>
    <row r="2371">
      <c r="A2371" t="inlineStr">
        <is>
          <t>0000188595</t>
        </is>
      </c>
      <c r="B2371" t="inlineStr">
        <is>
          <t>Sri Balaji Gears</t>
        </is>
      </c>
      <c r="C2371" t="inlineStr">
        <is>
          <t>NOS</t>
        </is>
      </c>
      <c r="D2371" t="n">
        <v>1</v>
      </c>
      <c r="E2371" t="n">
        <v>0.795</v>
      </c>
      <c r="F2371" t="n">
        <v>0.44</v>
      </c>
      <c r="G2371" t="n">
        <v>4151429</v>
      </c>
      <c r="H2371" t="inlineStr">
        <is>
          <t>TUB-S-AW-AUT-19.00X19.00X1.000X0.7950</t>
        </is>
      </c>
    </row>
    <row r="2372">
      <c r="A2372" t="inlineStr">
        <is>
          <t>0000188595</t>
        </is>
      </c>
      <c r="B2372" t="inlineStr">
        <is>
          <t>Sri Balaji Gears</t>
        </is>
      </c>
      <c r="C2372" t="inlineStr">
        <is>
          <t>NOS</t>
        </is>
      </c>
      <c r="D2372" t="n">
        <v>1000</v>
      </c>
      <c r="E2372" t="n">
        <v>469.994</v>
      </c>
      <c r="F2372" t="n">
        <v>256.1</v>
      </c>
      <c r="G2372" t="n">
        <v>3230488</v>
      </c>
      <c r="H2372" t="inlineStr">
        <is>
          <t>TUB-S-AW-AUT-19.00X19.00X1.000X0.4700</t>
        </is>
      </c>
    </row>
    <row r="2373">
      <c r="A2373" t="inlineStr">
        <is>
          <t>0000188595</t>
        </is>
      </c>
      <c r="B2373" t="inlineStr">
        <is>
          <t>Sri Balaji Gears</t>
        </is>
      </c>
      <c r="C2373" t="inlineStr">
        <is>
          <t>NOS</t>
        </is>
      </c>
      <c r="D2373" t="n">
        <v>3675</v>
      </c>
      <c r="E2373" t="n">
        <v>1468.14</v>
      </c>
      <c r="F2373" t="n">
        <v>812.175</v>
      </c>
      <c r="G2373" t="n">
        <v>3230487</v>
      </c>
      <c r="H2373" t="inlineStr">
        <is>
          <t>TUB-S-AW-AUT-19.00X19.00X1.000X0.4000</t>
        </is>
      </c>
    </row>
    <row r="2374">
      <c r="A2374" t="inlineStr">
        <is>
          <t>0000188595</t>
        </is>
      </c>
      <c r="B2374" t="inlineStr">
        <is>
          <t>Sri Balaji Gears</t>
        </is>
      </c>
      <c r="C2374" t="inlineStr">
        <is>
          <t>NOS</t>
        </is>
      </c>
      <c r="D2374" t="n">
        <v>325</v>
      </c>
      <c r="E2374" t="n">
        <v>129.836</v>
      </c>
      <c r="F2374" t="n">
        <v>71.825</v>
      </c>
      <c r="G2374" t="n">
        <v>3230487</v>
      </c>
      <c r="H2374" t="inlineStr">
        <is>
          <t>TUB-S-AW-AUT-19.00X19.00X1.000X0.4000</t>
        </is>
      </c>
    </row>
    <row r="2375">
      <c r="A2375" t="inlineStr">
        <is>
          <t>0000188595</t>
        </is>
      </c>
      <c r="B2375" t="inlineStr">
        <is>
          <t>Sri Balaji Gears</t>
        </is>
      </c>
      <c r="C2375" t="inlineStr">
        <is>
          <t>NOS</t>
        </is>
      </c>
      <c r="D2375" t="n">
        <v>1158</v>
      </c>
      <c r="E2375" t="n">
        <v>115.798</v>
      </c>
      <c r="F2375" t="n">
        <v>63.111</v>
      </c>
      <c r="G2375" t="n">
        <v>3931834</v>
      </c>
      <c r="H2375" t="inlineStr">
        <is>
          <t>CUT-R-AW-AUT-19.00X19.00X1.000X0.1000</t>
        </is>
      </c>
    </row>
    <row r="2376">
      <c r="A2376" t="inlineStr">
        <is>
          <t>0000188595</t>
        </is>
      </c>
      <c r="B2376" t="inlineStr">
        <is>
          <t>Sri Balaji Gears</t>
        </is>
      </c>
      <c r="C2376" t="inlineStr">
        <is>
          <t>NOS</t>
        </is>
      </c>
      <c r="D2376" t="n">
        <v>842</v>
      </c>
      <c r="E2376" t="n">
        <v>84.19799999999999</v>
      </c>
      <c r="F2376" t="n">
        <v>45.889</v>
      </c>
      <c r="G2376" t="n">
        <v>3931834</v>
      </c>
      <c r="H2376" t="inlineStr">
        <is>
          <t>CUT-R-AW-AUT-19.00X19.00X1.000X0.1000</t>
        </is>
      </c>
    </row>
    <row r="2377">
      <c r="A2377" t="inlineStr">
        <is>
          <t>0000188595</t>
        </is>
      </c>
      <c r="B2377" t="inlineStr">
        <is>
          <t>Sri Balaji Gears</t>
        </is>
      </c>
      <c r="C2377" t="inlineStr">
        <is>
          <t>NOS</t>
        </is>
      </c>
      <c r="D2377" t="n">
        <v>1000</v>
      </c>
      <c r="E2377" t="n">
        <v>115.006</v>
      </c>
      <c r="F2377" t="n">
        <v>62.667</v>
      </c>
      <c r="G2377" t="n">
        <v>4151428</v>
      </c>
      <c r="H2377" t="inlineStr">
        <is>
          <t>TUB-S-AW-AUT-19.00X19.00X1.000X0.1150</t>
        </is>
      </c>
    </row>
    <row r="2378">
      <c r="A2378" t="inlineStr">
        <is>
          <t>0000188595</t>
        </is>
      </c>
      <c r="B2378" t="inlineStr">
        <is>
          <t>Sri Balaji Gears</t>
        </is>
      </c>
      <c r="C2378" t="inlineStr">
        <is>
          <t>NOS</t>
        </is>
      </c>
      <c r="D2378" t="n">
        <v>1000</v>
      </c>
      <c r="E2378" t="n">
        <v>962.99</v>
      </c>
      <c r="F2378" t="n">
        <v>524.7329999999999</v>
      </c>
      <c r="G2378" t="n">
        <v>4151427</v>
      </c>
      <c r="H2378" t="inlineStr">
        <is>
          <t>TUB-S-AW-AUT-19.00X19.00X1.000X0.9630</t>
        </is>
      </c>
    </row>
    <row r="2379">
      <c r="A2379" t="inlineStr">
        <is>
          <t>0000188595</t>
        </is>
      </c>
      <c r="B2379" t="inlineStr">
        <is>
          <t>Sri Balaji Gears</t>
        </is>
      </c>
      <c r="C2379" t="inlineStr">
        <is>
          <t>NOS</t>
        </is>
      </c>
      <c r="D2379" t="n">
        <v>1000</v>
      </c>
      <c r="E2379" t="n">
        <v>755.001</v>
      </c>
      <c r="F2379" t="n">
        <v>411.4</v>
      </c>
      <c r="G2379" t="n">
        <v>4151426</v>
      </c>
      <c r="H2379" t="inlineStr">
        <is>
          <t>TUB-S-AW-AUT-19.00X19.00X1.000X0.7550</t>
        </is>
      </c>
    </row>
    <row r="2380">
      <c r="A2380" t="inlineStr">
        <is>
          <t>0000188595</t>
        </is>
      </c>
      <c r="B2380" t="inlineStr">
        <is>
          <t>Sri Balaji Gears</t>
        </is>
      </c>
      <c r="C2380" t="inlineStr">
        <is>
          <t>NOS</t>
        </is>
      </c>
      <c r="D2380" t="n">
        <v>527</v>
      </c>
      <c r="E2380" t="n">
        <v>187.67</v>
      </c>
      <c r="F2380" t="n">
        <v>103.819</v>
      </c>
      <c r="G2380" t="n">
        <v>3230490</v>
      </c>
      <c r="H2380" t="inlineStr">
        <is>
          <t>TUB-S-AW-AUT-19.00X19.00X1.000X0.3550</t>
        </is>
      </c>
    </row>
    <row r="2381">
      <c r="A2381" t="inlineStr">
        <is>
          <t>0000188595</t>
        </is>
      </c>
      <c r="B2381" t="inlineStr">
        <is>
          <t>Sri Balaji Gears</t>
        </is>
      </c>
      <c r="C2381" t="inlineStr">
        <is>
          <t>NOS</t>
        </is>
      </c>
      <c r="D2381" t="n">
        <v>273</v>
      </c>
      <c r="E2381" t="n">
        <v>97.218</v>
      </c>
      <c r="F2381" t="n">
        <v>53.781</v>
      </c>
      <c r="G2381" t="n">
        <v>3230490</v>
      </c>
      <c r="H2381" t="inlineStr">
        <is>
          <t>TUB-S-AW-AUT-19.00X19.00X1.000X0.3550</t>
        </is>
      </c>
    </row>
    <row r="2382">
      <c r="A2382" t="inlineStr">
        <is>
          <t>0000188595</t>
        </is>
      </c>
      <c r="B2382" t="inlineStr">
        <is>
          <t>Sri Balaji Gears</t>
        </is>
      </c>
      <c r="C2382" t="inlineStr">
        <is>
          <t>NOS</t>
        </is>
      </c>
      <c r="D2382" t="n">
        <v>109</v>
      </c>
      <c r="E2382" t="n">
        <v>38.816</v>
      </c>
      <c r="F2382" t="n">
        <v>21.473</v>
      </c>
      <c r="G2382" t="n">
        <v>3230490</v>
      </c>
      <c r="H2382" t="inlineStr">
        <is>
          <t>TUB-S-AW-AUT-19.00X19.00X1.000X0.3550</t>
        </is>
      </c>
    </row>
    <row r="2383">
      <c r="A2383" t="inlineStr">
        <is>
          <t>0000188595</t>
        </is>
      </c>
      <c r="B2383" t="inlineStr">
        <is>
          <t>Sri Balaji Gears</t>
        </is>
      </c>
      <c r="C2383" t="inlineStr">
        <is>
          <t>NOS</t>
        </is>
      </c>
      <c r="D2383" t="n">
        <v>75</v>
      </c>
      <c r="E2383" t="n">
        <v>26.708</v>
      </c>
      <c r="F2383" t="n">
        <v>14.775</v>
      </c>
      <c r="G2383" t="n">
        <v>3230490</v>
      </c>
      <c r="H2383" t="inlineStr">
        <is>
          <t>TUB-S-AW-AUT-19.00X19.00X1.000X0.3550</t>
        </is>
      </c>
    </row>
    <row r="2384">
      <c r="A2384" t="inlineStr">
        <is>
          <t>0000188595</t>
        </is>
      </c>
      <c r="B2384" t="inlineStr">
        <is>
          <t>Sri Balaji Gears</t>
        </is>
      </c>
      <c r="C2384" t="inlineStr">
        <is>
          <t>NOS</t>
        </is>
      </c>
      <c r="D2384" t="n">
        <v>16</v>
      </c>
      <c r="E2384" t="n">
        <v>5.698</v>
      </c>
      <c r="F2384" t="n">
        <v>3.152</v>
      </c>
      <c r="G2384" t="n">
        <v>3230490</v>
      </c>
      <c r="H2384" t="inlineStr">
        <is>
          <t>TUB-S-AW-AUT-19.00X19.00X1.000X0.3550</t>
        </is>
      </c>
    </row>
    <row r="2385">
      <c r="A2385" t="inlineStr">
        <is>
          <t>0000188595</t>
        </is>
      </c>
      <c r="B2385" t="inlineStr">
        <is>
          <t>Sri Balaji Gears</t>
        </is>
      </c>
      <c r="C2385" t="inlineStr">
        <is>
          <t>NOS</t>
        </is>
      </c>
      <c r="D2385" t="n">
        <v>1000</v>
      </c>
      <c r="E2385" t="n">
        <v>1303.991</v>
      </c>
      <c r="F2385" t="n">
        <v>710.544</v>
      </c>
      <c r="G2385" t="n">
        <v>3572039</v>
      </c>
      <c r="H2385" t="inlineStr">
        <is>
          <t>TUB-S-AW-AUT-19.00X19.00X1.000X1.3040</t>
        </is>
      </c>
    </row>
    <row r="2386">
      <c r="A2386" t="inlineStr">
        <is>
          <t>0000188595</t>
        </is>
      </c>
      <c r="B2386" t="inlineStr">
        <is>
          <t>Sri Balaji Gears</t>
        </is>
      </c>
      <c r="C2386" t="inlineStr">
        <is>
          <t>NOS</t>
        </is>
      </c>
      <c r="D2386" t="n">
        <v>500</v>
      </c>
      <c r="E2386" t="n">
        <v>622.999</v>
      </c>
      <c r="F2386" t="n">
        <v>339.472</v>
      </c>
      <c r="G2386" t="n">
        <v>3572038</v>
      </c>
      <c r="H2386" t="inlineStr">
        <is>
          <t>TUB-S-AW-AUT-19.00X19.00X1.000X1.2460</t>
        </is>
      </c>
    </row>
    <row r="2387">
      <c r="A2387" t="inlineStr">
        <is>
          <t>0000188595</t>
        </is>
      </c>
      <c r="B2387" t="inlineStr">
        <is>
          <t>Sri Balaji Gears</t>
        </is>
      </c>
      <c r="C2387" t="inlineStr">
        <is>
          <t>NOS</t>
        </is>
      </c>
      <c r="D2387" t="n">
        <v>898</v>
      </c>
      <c r="E2387" t="n">
        <v>749.83</v>
      </c>
      <c r="F2387" t="n">
        <v>414.806</v>
      </c>
      <c r="G2387" t="n">
        <v>4151425</v>
      </c>
      <c r="H2387" t="inlineStr">
        <is>
          <t>TUB-S-AW-AUT-19.00X19.00X1.000X0.8350</t>
        </is>
      </c>
    </row>
    <row r="2388">
      <c r="A2388" t="inlineStr">
        <is>
          <t>0000188595</t>
        </is>
      </c>
      <c r="B2388" t="inlineStr">
        <is>
          <t>Sri Balaji Gears</t>
        </is>
      </c>
      <c r="C2388" t="inlineStr">
        <is>
          <t>NOS</t>
        </is>
      </c>
      <c r="D2388" t="n">
        <v>102</v>
      </c>
      <c r="E2388" t="n">
        <v>85.17</v>
      </c>
      <c r="F2388" t="n">
        <v>47.116</v>
      </c>
      <c r="G2388" t="n">
        <v>4151425</v>
      </c>
      <c r="H2388" t="inlineStr">
        <is>
          <t>TUB-S-AW-AUT-19.00X19.00X1.000X0.8350</t>
        </is>
      </c>
    </row>
    <row r="2389">
      <c r="A2389" t="inlineStr">
        <is>
          <t>0000188595</t>
        </is>
      </c>
      <c r="B2389" t="inlineStr">
        <is>
          <t>Sri Balaji Gears</t>
        </is>
      </c>
      <c r="C2389" t="inlineStr">
        <is>
          <t>NOS</t>
        </is>
      </c>
      <c r="D2389" t="n">
        <v>989</v>
      </c>
      <c r="E2389" t="n">
        <v>534.057</v>
      </c>
      <c r="F2389" t="n">
        <v>291.008</v>
      </c>
      <c r="G2389" t="n">
        <v>3571870</v>
      </c>
      <c r="H2389" t="inlineStr">
        <is>
          <t>TUB-S-AW-AUT-19.00X19.00X1.000X0.5400</t>
        </is>
      </c>
    </row>
    <row r="2390">
      <c r="A2390" t="inlineStr">
        <is>
          <t>0000188595</t>
        </is>
      </c>
      <c r="B2390" t="inlineStr">
        <is>
          <t>Sri Balaji Gears</t>
        </is>
      </c>
      <c r="C2390" t="inlineStr">
        <is>
          <t>NOS</t>
        </is>
      </c>
      <c r="D2390" t="n">
        <v>11</v>
      </c>
      <c r="E2390" t="n">
        <v>5.94</v>
      </c>
      <c r="F2390" t="n">
        <v>3.237</v>
      </c>
      <c r="G2390" t="n">
        <v>3571870</v>
      </c>
      <c r="H2390" t="inlineStr">
        <is>
          <t>TUB-S-AW-AUT-19.00X19.00X1.000X0.5400</t>
        </is>
      </c>
    </row>
    <row r="2391">
      <c r="A2391" t="inlineStr">
        <is>
          <t>0000188595</t>
        </is>
      </c>
      <c r="B2391" t="inlineStr">
        <is>
          <t>Sri Balaji Gears</t>
        </is>
      </c>
      <c r="C2391" t="inlineStr">
        <is>
          <t>NOS</t>
        </is>
      </c>
      <c r="D2391" t="n">
        <v>1000</v>
      </c>
      <c r="E2391" t="n">
        <v>110.008</v>
      </c>
      <c r="F2391" t="n">
        <v>59.956</v>
      </c>
      <c r="G2391" t="n">
        <v>3931835</v>
      </c>
      <c r="H2391" t="inlineStr">
        <is>
          <t>CUT-R-AW-AUT-19.00X19.00X1.000X0.1100</t>
        </is>
      </c>
    </row>
    <row r="2392">
      <c r="A2392" t="inlineStr">
        <is>
          <t>0000188595</t>
        </is>
      </c>
      <c r="B2392" t="inlineStr">
        <is>
          <t>Sri Balaji Gears</t>
        </is>
      </c>
      <c r="C2392" t="inlineStr">
        <is>
          <t>NOS</t>
        </is>
      </c>
      <c r="D2392" t="n">
        <v>1000</v>
      </c>
      <c r="E2392" t="n">
        <v>639.998</v>
      </c>
      <c r="F2392" t="n">
        <v>578.878</v>
      </c>
      <c r="G2392" t="n">
        <v>4151430</v>
      </c>
      <c r="H2392" t="inlineStr">
        <is>
          <t>TUB-S-AW-AUT-25.00X25.00X1.200X0.6400</t>
        </is>
      </c>
    </row>
    <row r="2393">
      <c r="A2393" t="inlineStr">
        <is>
          <t>0000188595</t>
        </is>
      </c>
      <c r="B2393" t="inlineStr">
        <is>
          <t>Sri Balaji Gears</t>
        </is>
      </c>
      <c r="C2393" t="inlineStr">
        <is>
          <t>NOS</t>
        </is>
      </c>
      <c r="D2393" t="n">
        <v>276</v>
      </c>
      <c r="E2393" t="n">
        <v>339.482</v>
      </c>
      <c r="F2393" t="n">
        <v>179.329</v>
      </c>
      <c r="G2393" t="n">
        <v>3929692</v>
      </c>
      <c r="H2393" t="inlineStr">
        <is>
          <t>CUT-O-N-AUT-AW-PE-19.05X1.200X1.2300</t>
        </is>
      </c>
    </row>
    <row r="2394">
      <c r="A2394" t="inlineStr">
        <is>
          <t>0000188595</t>
        </is>
      </c>
      <c r="B2394" t="inlineStr">
        <is>
          <t>Sri Balaji Gears</t>
        </is>
      </c>
      <c r="C2394" t="inlineStr">
        <is>
          <t>NOS</t>
        </is>
      </c>
      <c r="D2394" t="n">
        <v>217</v>
      </c>
      <c r="E2394" t="n">
        <v>266.912</v>
      </c>
      <c r="F2394" t="n">
        <v>140.995</v>
      </c>
      <c r="G2394" t="n">
        <v>3929692</v>
      </c>
      <c r="H2394" t="inlineStr">
        <is>
          <t>CUT-O-N-AUT-AW-PE-19.05X1.200X1.2300</t>
        </is>
      </c>
    </row>
    <row r="2395">
      <c r="A2395" t="inlineStr">
        <is>
          <t>0000188595</t>
        </is>
      </c>
      <c r="B2395" t="inlineStr">
        <is>
          <t>Sri Balaji Gears</t>
        </is>
      </c>
      <c r="C2395" t="inlineStr">
        <is>
          <t>NOS</t>
        </is>
      </c>
      <c r="D2395" t="n">
        <v>5</v>
      </c>
      <c r="E2395" t="n">
        <v>6.15</v>
      </c>
      <c r="F2395" t="n">
        <v>3.249</v>
      </c>
      <c r="G2395" t="n">
        <v>3929692</v>
      </c>
      <c r="H2395" t="inlineStr">
        <is>
          <t>CUT-O-N-AUT-AW-PE-19.05X1.200X1.2300</t>
        </is>
      </c>
    </row>
    <row r="2396">
      <c r="A2396" t="inlineStr">
        <is>
          <t>0000188595</t>
        </is>
      </c>
      <c r="B2396" t="inlineStr">
        <is>
          <t>Sri Balaji Gears</t>
        </is>
      </c>
      <c r="C2396" t="inlineStr">
        <is>
          <t>NOS</t>
        </is>
      </c>
      <c r="D2396" t="n">
        <v>2</v>
      </c>
      <c r="E2396" t="n">
        <v>2.46</v>
      </c>
      <c r="F2396" t="n">
        <v>1.299</v>
      </c>
      <c r="G2396" t="n">
        <v>3929692</v>
      </c>
      <c r="H2396" t="inlineStr">
        <is>
          <t>CUT-O-N-AUT-AW-PE-19.05X1.200X1.2300</t>
        </is>
      </c>
    </row>
    <row r="2397">
      <c r="A2397" t="inlineStr">
        <is>
          <t>0000188595</t>
        </is>
      </c>
      <c r="B2397" t="inlineStr">
        <is>
          <t>Sri Balaji Gears</t>
        </is>
      </c>
      <c r="C2397" t="inlineStr">
        <is>
          <t>NOS</t>
        </is>
      </c>
      <c r="D2397" t="n">
        <v>3000</v>
      </c>
      <c r="E2397" t="n">
        <v>599.975</v>
      </c>
      <c r="F2397" t="n">
        <v>316.933</v>
      </c>
      <c r="G2397" t="n">
        <v>3929691</v>
      </c>
      <c r="H2397" t="inlineStr">
        <is>
          <t>CUT-O-N-AUT-AW-PE-19.05X1.200X0.2000</t>
        </is>
      </c>
    </row>
    <row r="2398">
      <c r="A2398" t="inlineStr">
        <is>
          <t>0000188595</t>
        </is>
      </c>
      <c r="B2398" t="inlineStr">
        <is>
          <t>Sri Balaji Gears</t>
        </is>
      </c>
      <c r="C2398" t="inlineStr">
        <is>
          <t>NOS</t>
        </is>
      </c>
      <c r="D2398" t="n">
        <v>501</v>
      </c>
      <c r="E2398" t="n">
        <v>75.15000000000001</v>
      </c>
      <c r="F2398" t="n">
        <v>32.648</v>
      </c>
      <c r="G2398" t="n">
        <v>4104140</v>
      </c>
      <c r="H2398" t="inlineStr">
        <is>
          <t>TUB-O-N-AUT-AW-PE-15.88X1.220X0.1500</t>
        </is>
      </c>
    </row>
    <row r="2399">
      <c r="A2399" t="inlineStr">
        <is>
          <t>0000188595</t>
        </is>
      </c>
      <c r="B2399" t="inlineStr">
        <is>
          <t>Sri Balaji Gears</t>
        </is>
      </c>
      <c r="C2399" t="inlineStr">
        <is>
          <t>NOS</t>
        </is>
      </c>
      <c r="D2399" t="n">
        <v>499</v>
      </c>
      <c r="E2399" t="n">
        <v>74.84999999999999</v>
      </c>
      <c r="F2399" t="n">
        <v>32.518</v>
      </c>
      <c r="G2399" t="n">
        <v>4104140</v>
      </c>
      <c r="H2399" t="inlineStr">
        <is>
          <t>TUB-O-N-AUT-AW-PE-15.88X1.220X0.1500</t>
        </is>
      </c>
    </row>
    <row r="2400">
      <c r="A2400" t="inlineStr">
        <is>
          <t>0000188595</t>
        </is>
      </c>
      <c r="B2400" t="inlineStr">
        <is>
          <t>Sri Balaji Gears</t>
        </is>
      </c>
      <c r="C2400" t="inlineStr">
        <is>
          <t>NOS</t>
        </is>
      </c>
      <c r="D2400" t="n">
        <v>1643</v>
      </c>
      <c r="E2400" t="n">
        <v>260.705</v>
      </c>
      <c r="F2400" t="n">
        <v>382.819</v>
      </c>
      <c r="G2400" t="n">
        <v>3572055</v>
      </c>
      <c r="H2400" t="inlineStr">
        <is>
          <t>TUB-S-AW-AUT-40.00X40.00X1.200X0.1580</t>
        </is>
      </c>
    </row>
    <row r="2401">
      <c r="A2401" t="inlineStr">
        <is>
          <t>0000188595</t>
        </is>
      </c>
      <c r="B2401" t="inlineStr">
        <is>
          <t>Sri Balaji Gears</t>
        </is>
      </c>
      <c r="C2401" t="inlineStr">
        <is>
          <t>NOS</t>
        </is>
      </c>
      <c r="D2401" t="n">
        <v>357</v>
      </c>
      <c r="E2401" t="n">
        <v>56.647</v>
      </c>
      <c r="F2401" t="n">
        <v>83.181</v>
      </c>
      <c r="G2401" t="n">
        <v>3572055</v>
      </c>
      <c r="H2401" t="inlineStr">
        <is>
          <t>TUB-S-AW-AUT-40.00X40.00X1.200X0.1580</t>
        </is>
      </c>
    </row>
    <row r="2402">
      <c r="A2402" t="inlineStr">
        <is>
          <t>0000188595</t>
        </is>
      </c>
      <c r="B2402" t="inlineStr">
        <is>
          <t>Sri Balaji Gears</t>
        </is>
      </c>
      <c r="C2402" t="inlineStr">
        <is>
          <t>NOS</t>
        </is>
      </c>
      <c r="D2402" t="n">
        <v>1000</v>
      </c>
      <c r="E2402" t="n">
        <v>115</v>
      </c>
      <c r="F2402" t="n">
        <v>168.867</v>
      </c>
      <c r="G2402" t="n">
        <v>4151471</v>
      </c>
      <c r="H2402" t="inlineStr">
        <is>
          <t>TUB-S-AW-SHS-40.00X40.00X1.200X0.1150</t>
        </is>
      </c>
    </row>
    <row r="2403">
      <c r="A2403" t="inlineStr">
        <is>
          <t>0000188595</t>
        </is>
      </c>
      <c r="B2403" t="inlineStr">
        <is>
          <t>Sri Balaji Gears</t>
        </is>
      </c>
      <c r="C2403" t="inlineStr">
        <is>
          <t>NOS</t>
        </is>
      </c>
      <c r="D2403" t="n">
        <v>1000</v>
      </c>
      <c r="E2403" t="n">
        <v>190</v>
      </c>
      <c r="F2403" t="n">
        <v>207.556</v>
      </c>
      <c r="G2403" t="n">
        <v>4151424</v>
      </c>
      <c r="H2403" t="inlineStr">
        <is>
          <t>TUB-S-AW-AUT-30.00X30.00X1.200X0.1900</t>
        </is>
      </c>
    </row>
    <row r="2404">
      <c r="A2404" t="inlineStr">
        <is>
          <t>0000188595</t>
        </is>
      </c>
      <c r="B2404" t="inlineStr">
        <is>
          <t>Sri Balaji Gears</t>
        </is>
      </c>
      <c r="C2404" t="inlineStr">
        <is>
          <t>NOS</t>
        </is>
      </c>
      <c r="D2404" t="n">
        <v>218</v>
      </c>
      <c r="E2404" t="n">
        <v>219.529</v>
      </c>
      <c r="F2404" t="n">
        <v>119.646</v>
      </c>
      <c r="G2404" t="n">
        <v>4100796</v>
      </c>
      <c r="H2404" t="inlineStr">
        <is>
          <t>CUT-R-AW-AUT-19.00X19.00X1.000X1.0070</t>
        </is>
      </c>
    </row>
    <row r="2405">
      <c r="A2405" t="inlineStr">
        <is>
          <t>0000188595</t>
        </is>
      </c>
      <c r="B2405" t="inlineStr">
        <is>
          <t>Sri Balaji Gears</t>
        </is>
      </c>
      <c r="C2405" t="inlineStr">
        <is>
          <t>NOS</t>
        </is>
      </c>
      <c r="D2405" t="n">
        <v>125</v>
      </c>
      <c r="E2405" t="n">
        <v>125.877</v>
      </c>
      <c r="F2405" t="n">
        <v>68.604</v>
      </c>
      <c r="G2405" t="n">
        <v>4100796</v>
      </c>
      <c r="H2405" t="inlineStr">
        <is>
          <t>CUT-R-AW-AUT-19.00X19.00X1.000X1.0070</t>
        </is>
      </c>
    </row>
    <row r="2406">
      <c r="A2406" t="inlineStr">
        <is>
          <t>0000188595</t>
        </is>
      </c>
      <c r="B2406" t="inlineStr">
        <is>
          <t>Sri Balaji Gears</t>
        </is>
      </c>
      <c r="C2406" t="inlineStr">
        <is>
          <t>NOS</t>
        </is>
      </c>
      <c r="D2406" t="n">
        <v>59</v>
      </c>
      <c r="E2406" t="n">
        <v>59.414</v>
      </c>
      <c r="F2406" t="n">
        <v>32.381</v>
      </c>
      <c r="G2406" t="n">
        <v>4100796</v>
      </c>
      <c r="H2406" t="inlineStr">
        <is>
          <t>CUT-R-AW-AUT-19.00X19.00X1.000X1.0070</t>
        </is>
      </c>
    </row>
    <row r="2407">
      <c r="A2407" t="inlineStr">
        <is>
          <t>0000188595</t>
        </is>
      </c>
      <c r="B2407" t="inlineStr">
        <is>
          <t>Sri Balaji Gears</t>
        </is>
      </c>
      <c r="C2407" t="inlineStr">
        <is>
          <t>NOS</t>
        </is>
      </c>
      <c r="D2407" t="n">
        <v>51</v>
      </c>
      <c r="E2407" t="n">
        <v>51.358</v>
      </c>
      <c r="F2407" t="n">
        <v>27.99</v>
      </c>
      <c r="G2407" t="n">
        <v>4100796</v>
      </c>
      <c r="H2407" t="inlineStr">
        <is>
          <t>CUT-R-AW-AUT-19.00X19.00X1.000X1.0070</t>
        </is>
      </c>
    </row>
    <row r="2408">
      <c r="A2408" t="inlineStr">
        <is>
          <t>0000188595</t>
        </is>
      </c>
      <c r="B2408" t="inlineStr">
        <is>
          <t>Sri Balaji Gears</t>
        </is>
      </c>
      <c r="C2408" t="inlineStr">
        <is>
          <t>NOS</t>
        </is>
      </c>
      <c r="D2408" t="n">
        <v>29</v>
      </c>
      <c r="E2408" t="n">
        <v>29.203</v>
      </c>
      <c r="F2408" t="n">
        <v>15.916</v>
      </c>
      <c r="G2408" t="n">
        <v>4100796</v>
      </c>
      <c r="H2408" t="inlineStr">
        <is>
          <t>CUT-R-AW-AUT-19.00X19.00X1.000X1.0070</t>
        </is>
      </c>
    </row>
    <row r="2409">
      <c r="A2409" t="inlineStr">
        <is>
          <t>0000188595</t>
        </is>
      </c>
      <c r="B2409" t="inlineStr">
        <is>
          <t>Sri Balaji Gears</t>
        </is>
      </c>
      <c r="C2409" t="inlineStr">
        <is>
          <t>NOS</t>
        </is>
      </c>
      <c r="D2409" t="n">
        <v>18</v>
      </c>
      <c r="E2409" t="n">
        <v>18.126</v>
      </c>
      <c r="F2409" t="n">
        <v>9.879</v>
      </c>
      <c r="G2409" t="n">
        <v>4100796</v>
      </c>
      <c r="H2409" t="inlineStr">
        <is>
          <t>CUT-R-AW-AUT-19.00X19.00X1.000X1.0070</t>
        </is>
      </c>
    </row>
    <row r="2410">
      <c r="A2410" t="inlineStr">
        <is>
          <t>0000188595</t>
        </is>
      </c>
      <c r="B2410" t="inlineStr">
        <is>
          <t>Sri Balaji Gears</t>
        </is>
      </c>
      <c r="C2410" t="inlineStr">
        <is>
          <t>NOS</t>
        </is>
      </c>
      <c r="D2410" t="n">
        <v>1000</v>
      </c>
      <c r="E2410" t="n">
        <v>129.009</v>
      </c>
      <c r="F2410" t="n">
        <v>70.31100000000001</v>
      </c>
      <c r="G2410" t="n">
        <v>3938687</v>
      </c>
      <c r="H2410" t="inlineStr">
        <is>
          <t>TUB-S-AW-AUT-19.00X19.00X1.000X0.1290</t>
        </is>
      </c>
    </row>
    <row r="2411">
      <c r="A2411" t="inlineStr">
        <is>
          <t>0000188595</t>
        </is>
      </c>
      <c r="B2411" t="inlineStr">
        <is>
          <t>Sri Balaji Gears</t>
        </is>
      </c>
      <c r="C2411" t="inlineStr">
        <is>
          <t>NOS</t>
        </is>
      </c>
      <c r="D2411" t="n">
        <v>500</v>
      </c>
      <c r="E2411" t="n">
        <v>164.995</v>
      </c>
      <c r="F2411" t="n">
        <v>87.18300000000001</v>
      </c>
      <c r="G2411" t="n">
        <v>3935313</v>
      </c>
      <c r="H2411" t="inlineStr">
        <is>
          <t>CUT-O-N-AUT-AW-PE-19.05X1.200X0.33</t>
        </is>
      </c>
    </row>
    <row r="2412">
      <c r="A2412" t="inlineStr">
        <is>
          <t>0000943209</t>
        </is>
      </c>
      <c r="B2412" t="inlineStr">
        <is>
          <t>MEGH STEELS PRIVATE LIMITED - TVS A</t>
        </is>
      </c>
      <c r="C2412" t="inlineStr">
        <is>
          <t>NOS</t>
        </is>
      </c>
      <c r="D2412" t="n">
        <v>2</v>
      </c>
      <c r="E2412" t="n">
        <v>2.201</v>
      </c>
      <c r="F2412" t="n">
        <v>4.274</v>
      </c>
      <c r="G2412" t="n">
        <v>2430128</v>
      </c>
      <c r="H2412" t="inlineStr">
        <is>
          <t>TUB-R-AW-AUT-50.00X30.00X1.600X1.1000</t>
        </is>
      </c>
    </row>
    <row r="2413">
      <c r="A2413" t="inlineStr">
        <is>
          <t>0000943209</t>
        </is>
      </c>
      <c r="B2413" t="inlineStr">
        <is>
          <t>MEGH STEELS PRIVATE LIMITED - TVS A</t>
        </is>
      </c>
      <c r="C2413" t="inlineStr">
        <is>
          <t>NOS</t>
        </is>
      </c>
      <c r="D2413" t="n">
        <v>1465</v>
      </c>
      <c r="E2413" t="n">
        <v>1612.02</v>
      </c>
      <c r="F2413" t="n">
        <v>3130.705</v>
      </c>
      <c r="G2413" t="n">
        <v>2430128</v>
      </c>
      <c r="H2413" t="inlineStr">
        <is>
          <t>TUB-R-AW-AUT-50.00X30.00X1.600X1.1000</t>
        </is>
      </c>
    </row>
    <row r="2414">
      <c r="A2414" t="inlineStr">
        <is>
          <t>0000943209</t>
        </is>
      </c>
      <c r="B2414" t="inlineStr">
        <is>
          <t>MEGH STEELS PRIVATE LIMITED - TVS A</t>
        </is>
      </c>
      <c r="C2414" t="inlineStr">
        <is>
          <t>NOS</t>
        </is>
      </c>
      <c r="D2414" t="n">
        <v>399</v>
      </c>
      <c r="E2414" t="n">
        <v>1033.705</v>
      </c>
      <c r="F2414" t="n">
        <v>971.1660000000001</v>
      </c>
      <c r="G2414" t="n">
        <v>2409618</v>
      </c>
      <c r="H2414" t="inlineStr">
        <is>
          <t>TUB-O-N-AUT-AW-PE-25.40X1.600X2.5900</t>
        </is>
      </c>
    </row>
    <row r="2415">
      <c r="A2415" t="inlineStr">
        <is>
          <t>0000943209</t>
        </is>
      </c>
      <c r="B2415" t="inlineStr">
        <is>
          <t>MEGH STEELS PRIVATE LIMITED - TVS A</t>
        </is>
      </c>
      <c r="C2415" t="inlineStr">
        <is>
          <t>NOS</t>
        </is>
      </c>
      <c r="D2415" t="n">
        <v>401</v>
      </c>
      <c r="E2415" t="n">
        <v>1038.887</v>
      </c>
      <c r="F2415" t="n">
        <v>976.034</v>
      </c>
      <c r="G2415" t="n">
        <v>2409618</v>
      </c>
      <c r="H2415" t="inlineStr">
        <is>
          <t>TUB-O-N-AUT-AW-PE-25.40X1.600X2.5900</t>
        </is>
      </c>
    </row>
    <row r="2416">
      <c r="A2416" t="inlineStr">
        <is>
          <t>0000943209</t>
        </is>
      </c>
      <c r="B2416" t="inlineStr">
        <is>
          <t>MEGH STEELS PRIVATE LIMITED - TVS A</t>
        </is>
      </c>
      <c r="C2416" t="inlineStr">
        <is>
          <t>NOS</t>
        </is>
      </c>
      <c r="D2416" t="n">
        <v>2275</v>
      </c>
      <c r="E2416" t="n">
        <v>2977.806</v>
      </c>
      <c r="F2416" t="n">
        <v>1244.425</v>
      </c>
      <c r="G2416" t="n">
        <v>1940046</v>
      </c>
      <c r="H2416" t="inlineStr">
        <is>
          <t>TUB-O-O-AUT-AW-PE-15.88X1.200X1.3100</t>
        </is>
      </c>
    </row>
    <row r="2417">
      <c r="A2417" t="inlineStr">
        <is>
          <t>0000943209</t>
        </is>
      </c>
      <c r="B2417" t="inlineStr">
        <is>
          <t>MEGH STEELS PRIVATE LIMITED - TVS A</t>
        </is>
      </c>
      <c r="C2417" t="inlineStr">
        <is>
          <t>NOS</t>
        </is>
      </c>
      <c r="D2417" t="n">
        <v>4800</v>
      </c>
      <c r="E2417" t="n">
        <v>526.774</v>
      </c>
      <c r="F2417" t="n">
        <v>278.4</v>
      </c>
      <c r="G2417" t="n">
        <v>3409366</v>
      </c>
      <c r="H2417" t="inlineStr">
        <is>
          <t>TUB-O-N-AUT-AW-PE-19.05X1.200X0.1090</t>
        </is>
      </c>
    </row>
    <row r="2418">
      <c r="A2418" t="inlineStr">
        <is>
          <t>0000943209</t>
        </is>
      </c>
      <c r="B2418" t="inlineStr">
        <is>
          <t>MEGH STEELS PRIVATE LIMITED - TVS A</t>
        </is>
      </c>
      <c r="C2418" t="inlineStr">
        <is>
          <t>NOS</t>
        </is>
      </c>
      <c r="D2418" t="n">
        <v>1439</v>
      </c>
      <c r="E2418" t="n">
        <v>1647.667</v>
      </c>
      <c r="F2418" t="n">
        <v>870.371</v>
      </c>
      <c r="G2418" t="n">
        <v>4110464</v>
      </c>
      <c r="H2418" t="inlineStr">
        <is>
          <t>TUB-O-N-AUT-AW-PE-19.05X1.200X1.1450</t>
        </is>
      </c>
    </row>
    <row r="2419">
      <c r="A2419" t="inlineStr">
        <is>
          <t>0000943209</t>
        </is>
      </c>
      <c r="B2419" t="inlineStr">
        <is>
          <t>MEGH STEELS PRIVATE LIMITED - TVS A</t>
        </is>
      </c>
      <c r="C2419" t="inlineStr">
        <is>
          <t>NOS</t>
        </is>
      </c>
      <c r="D2419" t="n">
        <v>436</v>
      </c>
      <c r="E2419" t="n">
        <v>499.224</v>
      </c>
      <c r="F2419" t="n">
        <v>263.712</v>
      </c>
      <c r="G2419" t="n">
        <v>4110464</v>
      </c>
      <c r="H2419" t="inlineStr">
        <is>
          <t>TUB-O-N-AUT-AW-PE-19.05X1.200X1.1450</t>
        </is>
      </c>
    </row>
    <row r="2420">
      <c r="A2420" t="inlineStr">
        <is>
          <t>0000943209</t>
        </is>
      </c>
      <c r="B2420" t="inlineStr">
        <is>
          <t>MEGH STEELS PRIVATE LIMITED - TVS A</t>
        </is>
      </c>
      <c r="C2420" t="inlineStr">
        <is>
          <t>NOS</t>
        </is>
      </c>
      <c r="D2420" t="n">
        <v>3550</v>
      </c>
      <c r="E2420" t="n">
        <v>1827.058</v>
      </c>
      <c r="F2420" t="n">
        <v>965.6</v>
      </c>
      <c r="G2420" t="n">
        <v>2409616</v>
      </c>
      <c r="H2420" t="inlineStr">
        <is>
          <t>TUB-O-N-AUT-AW-PE-19.05X1.200X0.5130</t>
        </is>
      </c>
    </row>
    <row r="2421">
      <c r="A2421" t="inlineStr">
        <is>
          <t>0000943209</t>
        </is>
      </c>
      <c r="B2421" t="inlineStr">
        <is>
          <t>MEGH STEELS PRIVATE LIMITED - TVS A</t>
        </is>
      </c>
      <c r="C2421" t="inlineStr">
        <is>
          <t>NOS</t>
        </is>
      </c>
      <c r="D2421" t="n">
        <v>66</v>
      </c>
      <c r="E2421" t="n">
        <v>48.18</v>
      </c>
      <c r="F2421" t="n">
        <v>20.939</v>
      </c>
      <c r="G2421" t="n">
        <v>4241099</v>
      </c>
      <c r="H2421" t="inlineStr">
        <is>
          <t>CUT-O-N-AUT-AW-PE-15.88X1.200X0.7300</t>
        </is>
      </c>
    </row>
    <row r="2422">
      <c r="A2422" t="inlineStr">
        <is>
          <t>0000943209</t>
        </is>
      </c>
      <c r="B2422" t="inlineStr">
        <is>
          <t>MEGH STEELS PRIVATE LIMITED - TVS A</t>
        </is>
      </c>
      <c r="C2422" t="inlineStr">
        <is>
          <t>NOS</t>
        </is>
      </c>
      <c r="D2422" t="n">
        <v>7</v>
      </c>
      <c r="E2422" t="n">
        <v>5.11</v>
      </c>
      <c r="F2422" t="n">
        <v>2.221</v>
      </c>
      <c r="G2422" t="n">
        <v>4241099</v>
      </c>
      <c r="H2422" t="inlineStr">
        <is>
          <t>CUT-O-N-AUT-AW-PE-15.88X1.200X0.7300</t>
        </is>
      </c>
    </row>
    <row r="2423">
      <c r="A2423" t="inlineStr">
        <is>
          <t>0000943209</t>
        </is>
      </c>
      <c r="B2423" t="inlineStr">
        <is>
          <t>MEGH STEELS PRIVATE LIMITED - TVS A</t>
        </is>
      </c>
      <c r="C2423" t="inlineStr">
        <is>
          <t>NOS</t>
        </is>
      </c>
      <c r="D2423" t="n">
        <v>2849</v>
      </c>
      <c r="E2423" t="n">
        <v>2079.754</v>
      </c>
      <c r="F2423" t="n">
        <v>903.861</v>
      </c>
      <c r="G2423" t="n">
        <v>4241099</v>
      </c>
      <c r="H2423" t="inlineStr">
        <is>
          <t>CUT-O-N-AUT-AW-PE-15.88X1.200X0.7300</t>
        </is>
      </c>
    </row>
    <row r="2424">
      <c r="A2424" t="inlineStr">
        <is>
          <t>0000943209</t>
        </is>
      </c>
      <c r="B2424" t="inlineStr">
        <is>
          <t>MEGH STEELS PRIVATE LIMITED - TVS A</t>
        </is>
      </c>
      <c r="C2424" t="inlineStr">
        <is>
          <t>NOS</t>
        </is>
      </c>
      <c r="D2424" t="n">
        <v>3178</v>
      </c>
      <c r="E2424" t="n">
        <v>2319.922</v>
      </c>
      <c r="F2424" t="n">
        <v>1008.238</v>
      </c>
      <c r="G2424" t="n">
        <v>4241099</v>
      </c>
      <c r="H2424" t="inlineStr">
        <is>
          <t>CUT-O-N-AUT-AW-PE-15.88X1.200X0.7300</t>
        </is>
      </c>
    </row>
    <row r="2425">
      <c r="A2425" t="inlineStr">
        <is>
          <t>0000189226</t>
        </is>
      </c>
      <c r="B2425" t="inlineStr">
        <is>
          <t>Neel Metal Products Limited</t>
        </is>
      </c>
      <c r="C2425" t="inlineStr">
        <is>
          <t>NOS</t>
        </is>
      </c>
      <c r="D2425" t="n">
        <v>7588</v>
      </c>
      <c r="E2425" t="n">
        <v>9363.563</v>
      </c>
      <c r="F2425" t="n">
        <v>3437.364</v>
      </c>
      <c r="G2425" t="n">
        <v>1941845</v>
      </c>
      <c r="H2425" t="inlineStr">
        <is>
          <t>TUB-E-O-AUT-AW-FC-15.88X1.000X1.2340</t>
        </is>
      </c>
    </row>
    <row r="2426">
      <c r="A2426" t="inlineStr">
        <is>
          <t>0000189226</t>
        </is>
      </c>
      <c r="B2426" t="inlineStr">
        <is>
          <t>Neel Metal Products Limited</t>
        </is>
      </c>
      <c r="C2426" t="inlineStr">
        <is>
          <t>NOS</t>
        </is>
      </c>
      <c r="D2426" t="n">
        <v>37</v>
      </c>
      <c r="E2426" t="n">
        <v>45.658</v>
      </c>
      <c r="F2426" t="n">
        <v>16.761</v>
      </c>
      <c r="G2426" t="n">
        <v>1941845</v>
      </c>
      <c r="H2426" t="inlineStr">
        <is>
          <t>TUB-E-O-AUT-AW-FC-15.88X1.000X1.2340</t>
        </is>
      </c>
    </row>
    <row r="2427">
      <c r="A2427" t="inlineStr">
        <is>
          <t>0000189226</t>
        </is>
      </c>
      <c r="B2427" t="inlineStr">
        <is>
          <t>Neel Metal Products Limited</t>
        </is>
      </c>
      <c r="C2427" t="inlineStr">
        <is>
          <t>NOS</t>
        </is>
      </c>
      <c r="D2427" t="n">
        <v>1358</v>
      </c>
      <c r="E2427" t="n">
        <v>3947.115</v>
      </c>
      <c r="F2427" t="n">
        <v>1448.986</v>
      </c>
      <c r="G2427" t="n">
        <v>3541434</v>
      </c>
      <c r="H2427" t="inlineStr">
        <is>
          <t>TUB-O-N-AUT-AW-PE-15.88X1.000X2.9050</t>
        </is>
      </c>
    </row>
    <row r="2428">
      <c r="A2428" t="inlineStr">
        <is>
          <t>0000189226</t>
        </is>
      </c>
      <c r="B2428" t="inlineStr">
        <is>
          <t>Neel Metal Products Limited</t>
        </is>
      </c>
      <c r="C2428" t="inlineStr">
        <is>
          <t>NOS</t>
        </is>
      </c>
      <c r="D2428" t="n">
        <v>442</v>
      </c>
      <c r="E2428" t="n">
        <v>1284.702</v>
      </c>
      <c r="F2428" t="n">
        <v>471.614</v>
      </c>
      <c r="G2428" t="n">
        <v>3541434</v>
      </c>
      <c r="H2428" t="inlineStr">
        <is>
          <t>TUB-O-N-AUT-AW-PE-15.88X1.000X2.9050</t>
        </is>
      </c>
    </row>
    <row r="2429">
      <c r="A2429" t="inlineStr">
        <is>
          <t>0000948721</t>
        </is>
      </c>
      <c r="B2429" t="inlineStr">
        <is>
          <t>ELKAYEM AUTO ANCILLARIES PRIVATE LI</t>
        </is>
      </c>
      <c r="C2429" t="inlineStr">
        <is>
          <t>NOS</t>
        </is>
      </c>
      <c r="D2429" t="n">
        <v>1598</v>
      </c>
      <c r="E2429" t="n">
        <v>661.707</v>
      </c>
      <c r="F2429" t="n">
        <v>704.718</v>
      </c>
      <c r="G2429" t="n">
        <v>3598957</v>
      </c>
      <c r="H2429" t="inlineStr">
        <is>
          <t>TUB-O-N-AUT-AW-FC-28.58X1.600X0.4140</t>
        </is>
      </c>
    </row>
    <row r="2430">
      <c r="A2430" t="inlineStr">
        <is>
          <t>0000948721</t>
        </is>
      </c>
      <c r="B2430" t="inlineStr">
        <is>
          <t>ELKAYEM AUTO ANCILLARIES PRIVATE LI</t>
        </is>
      </c>
      <c r="C2430" t="inlineStr">
        <is>
          <t>NOS</t>
        </is>
      </c>
      <c r="D2430" t="n">
        <v>1058</v>
      </c>
      <c r="E2430" t="n">
        <v>438.101</v>
      </c>
      <c r="F2430" t="n">
        <v>466.578</v>
      </c>
      <c r="G2430" t="n">
        <v>3598957</v>
      </c>
      <c r="H2430" t="inlineStr">
        <is>
          <t>TUB-O-N-AUT-AW-FC-28.58X1.600X0.4140</t>
        </is>
      </c>
    </row>
    <row r="2431">
      <c r="A2431" t="inlineStr">
        <is>
          <t>0000948721</t>
        </is>
      </c>
      <c r="B2431" t="inlineStr">
        <is>
          <t>ELKAYEM AUTO ANCILLARIES PRIVATE LI</t>
        </is>
      </c>
      <c r="C2431" t="inlineStr">
        <is>
          <t>NOS</t>
        </is>
      </c>
      <c r="D2431" t="n">
        <v>850</v>
      </c>
      <c r="E2431" t="n">
        <v>351.972</v>
      </c>
      <c r="F2431" t="n">
        <v>374.85</v>
      </c>
      <c r="G2431" t="n">
        <v>3598957</v>
      </c>
      <c r="H2431" t="inlineStr">
        <is>
          <t>TUB-O-N-AUT-AW-FC-28.58X1.600X0.4140</t>
        </is>
      </c>
    </row>
    <row r="2432">
      <c r="A2432" t="inlineStr">
        <is>
          <t>0000948721</t>
        </is>
      </c>
      <c r="B2432" t="inlineStr">
        <is>
          <t>ELKAYEM AUTO ANCILLARIES PRIVATE LI</t>
        </is>
      </c>
      <c r="C2432" t="inlineStr">
        <is>
          <t>NOS</t>
        </is>
      </c>
      <c r="D2432" t="n">
        <v>775</v>
      </c>
      <c r="E2432" t="n">
        <v>320.915</v>
      </c>
      <c r="F2432" t="n">
        <v>341.775</v>
      </c>
      <c r="G2432" t="n">
        <v>3598957</v>
      </c>
      <c r="H2432" t="inlineStr">
        <is>
          <t>TUB-O-N-AUT-AW-FC-28.58X1.600X0.4140</t>
        </is>
      </c>
    </row>
    <row r="2433">
      <c r="A2433" t="inlineStr">
        <is>
          <t>0000948721</t>
        </is>
      </c>
      <c r="B2433" t="inlineStr">
        <is>
          <t>ELKAYEM AUTO ANCILLARIES PRIVATE LI</t>
        </is>
      </c>
      <c r="C2433" t="inlineStr">
        <is>
          <t>NOS</t>
        </is>
      </c>
      <c r="D2433" t="n">
        <v>750</v>
      </c>
      <c r="E2433" t="n">
        <v>310.563</v>
      </c>
      <c r="F2433" t="n">
        <v>330.75</v>
      </c>
      <c r="G2433" t="n">
        <v>3598957</v>
      </c>
      <c r="H2433" t="inlineStr">
        <is>
          <t>TUB-O-N-AUT-AW-FC-28.58X1.600X0.4140</t>
        </is>
      </c>
    </row>
    <row r="2434">
      <c r="A2434" t="inlineStr">
        <is>
          <t>0000948721</t>
        </is>
      </c>
      <c r="B2434" t="inlineStr">
        <is>
          <t>ELKAYEM AUTO ANCILLARIES PRIVATE LI</t>
        </is>
      </c>
      <c r="C2434" t="inlineStr">
        <is>
          <t>NOS</t>
        </is>
      </c>
      <c r="D2434" t="n">
        <v>616</v>
      </c>
      <c r="E2434" t="n">
        <v>255.076</v>
      </c>
      <c r="F2434" t="n">
        <v>271.656</v>
      </c>
      <c r="G2434" t="n">
        <v>3598957</v>
      </c>
      <c r="H2434" t="inlineStr">
        <is>
          <t>TUB-O-N-AUT-AW-FC-28.58X1.600X0.4140</t>
        </is>
      </c>
    </row>
    <row r="2435">
      <c r="A2435" t="inlineStr">
        <is>
          <t>0000948721</t>
        </is>
      </c>
      <c r="B2435" t="inlineStr">
        <is>
          <t>ELKAYEM AUTO ANCILLARIES PRIVATE LI</t>
        </is>
      </c>
      <c r="C2435" t="inlineStr">
        <is>
          <t>NOS</t>
        </is>
      </c>
      <c r="D2435" t="n">
        <v>469</v>
      </c>
      <c r="E2435" t="n">
        <v>194.206</v>
      </c>
      <c r="F2435" t="n">
        <v>206.829</v>
      </c>
      <c r="G2435" t="n">
        <v>3598957</v>
      </c>
      <c r="H2435" t="inlineStr">
        <is>
          <t>TUB-O-N-AUT-AW-FC-28.58X1.600X0.4140</t>
        </is>
      </c>
    </row>
    <row r="2436">
      <c r="A2436" t="inlineStr">
        <is>
          <t>0000948721</t>
        </is>
      </c>
      <c r="B2436" t="inlineStr">
        <is>
          <t>ELKAYEM AUTO ANCILLARIES PRIVATE LI</t>
        </is>
      </c>
      <c r="C2436" t="inlineStr">
        <is>
          <t>NOS</t>
        </is>
      </c>
      <c r="D2436" t="n">
        <v>448</v>
      </c>
      <c r="E2436" t="n">
        <v>185.51</v>
      </c>
      <c r="F2436" t="n">
        <v>197.568</v>
      </c>
      <c r="G2436" t="n">
        <v>3598957</v>
      </c>
      <c r="H2436" t="inlineStr">
        <is>
          <t>TUB-O-N-AUT-AW-FC-28.58X1.600X0.4140</t>
        </is>
      </c>
    </row>
    <row r="2437">
      <c r="A2437" t="inlineStr">
        <is>
          <t>0000948721</t>
        </is>
      </c>
      <c r="B2437" t="inlineStr">
        <is>
          <t>ELKAYEM AUTO ANCILLARIES PRIVATE LI</t>
        </is>
      </c>
      <c r="C2437" t="inlineStr">
        <is>
          <t>NOS</t>
        </is>
      </c>
      <c r="D2437" t="n">
        <v>171</v>
      </c>
      <c r="E2437" t="n">
        <v>70.80800000000001</v>
      </c>
      <c r="F2437" t="n">
        <v>75.411</v>
      </c>
      <c r="G2437" t="n">
        <v>3598957</v>
      </c>
      <c r="H2437" t="inlineStr">
        <is>
          <t>TUB-O-N-AUT-AW-FC-28.58X1.600X0.4140</t>
        </is>
      </c>
    </row>
    <row r="2438">
      <c r="A2438" t="inlineStr">
        <is>
          <t>0000948721</t>
        </is>
      </c>
      <c r="B2438" t="inlineStr">
        <is>
          <t>ELKAYEM AUTO ANCILLARIES PRIVATE LI</t>
        </is>
      </c>
      <c r="C2438" t="inlineStr">
        <is>
          <t>NOS</t>
        </is>
      </c>
      <c r="D2438" t="n">
        <v>127</v>
      </c>
      <c r="E2438" t="n">
        <v>52.589</v>
      </c>
      <c r="F2438" t="n">
        <v>56.007</v>
      </c>
      <c r="G2438" t="n">
        <v>3598957</v>
      </c>
      <c r="H2438" t="inlineStr">
        <is>
          <t>TUB-O-N-AUT-AW-FC-28.58X1.600X0.4140</t>
        </is>
      </c>
    </row>
    <row r="2439">
      <c r="A2439" t="inlineStr">
        <is>
          <t>0000948721</t>
        </is>
      </c>
      <c r="B2439" t="inlineStr">
        <is>
          <t>ELKAYEM AUTO ANCILLARIES PRIVATE LI</t>
        </is>
      </c>
      <c r="C2439" t="inlineStr">
        <is>
          <t>NOS</t>
        </is>
      </c>
      <c r="D2439" t="n">
        <v>13</v>
      </c>
      <c r="E2439" t="n">
        <v>5.383</v>
      </c>
      <c r="F2439" t="n">
        <v>5.733</v>
      </c>
      <c r="G2439" t="n">
        <v>3598957</v>
      </c>
      <c r="H2439" t="inlineStr">
        <is>
          <t>TUB-O-N-AUT-AW-FC-28.58X1.600X0.4140</t>
        </is>
      </c>
    </row>
    <row r="2440">
      <c r="A2440" t="inlineStr">
        <is>
          <t>0000948721</t>
        </is>
      </c>
      <c r="B2440" t="inlineStr">
        <is>
          <t>ELKAYEM AUTO ANCILLARIES PRIVATE LI</t>
        </is>
      </c>
      <c r="C2440" t="inlineStr">
        <is>
          <t>NOS</t>
        </is>
      </c>
      <c r="D2440" t="n">
        <v>1598</v>
      </c>
      <c r="E2440" t="n">
        <v>767.5549999999999</v>
      </c>
      <c r="F2440" t="n">
        <v>1105.816</v>
      </c>
      <c r="G2440" t="n">
        <v>1940815</v>
      </c>
      <c r="H2440" t="inlineStr">
        <is>
          <t>TUB-R-AW-RHS-40.00X20.00X1.600X0.4800</t>
        </is>
      </c>
    </row>
    <row r="2441">
      <c r="A2441" t="inlineStr">
        <is>
          <t>0000948721</t>
        </is>
      </c>
      <c r="B2441" t="inlineStr">
        <is>
          <t>ELKAYEM AUTO ANCILLARIES PRIVATE LI</t>
        </is>
      </c>
      <c r="C2441" t="inlineStr">
        <is>
          <t>NOS</t>
        </is>
      </c>
      <c r="D2441" t="n">
        <v>619</v>
      </c>
      <c r="E2441" t="n">
        <v>297.319</v>
      </c>
      <c r="F2441" t="n">
        <v>428.348</v>
      </c>
      <c r="G2441" t="n">
        <v>1940815</v>
      </c>
      <c r="H2441" t="inlineStr">
        <is>
          <t>TUB-R-AW-RHS-40.00X20.00X1.600X0.4800</t>
        </is>
      </c>
    </row>
    <row r="2442">
      <c r="A2442" t="inlineStr">
        <is>
          <t>0000948721</t>
        </is>
      </c>
      <c r="B2442" t="inlineStr">
        <is>
          <t>ELKAYEM AUTO ANCILLARIES PRIVATE LI</t>
        </is>
      </c>
      <c r="C2442" t="inlineStr">
        <is>
          <t>NOS</t>
        </is>
      </c>
      <c r="D2442" t="n">
        <v>119</v>
      </c>
      <c r="E2442" t="n">
        <v>57.158</v>
      </c>
      <c r="F2442" t="n">
        <v>82.348</v>
      </c>
      <c r="G2442" t="n">
        <v>1940815</v>
      </c>
      <c r="H2442" t="inlineStr">
        <is>
          <t>TUB-R-AW-RHS-40.00X20.00X1.600X0.4800</t>
        </is>
      </c>
    </row>
    <row r="2443">
      <c r="A2443" t="inlineStr">
        <is>
          <t>0000948721</t>
        </is>
      </c>
      <c r="B2443" t="inlineStr">
        <is>
          <t>ELKAYEM AUTO ANCILLARIES PRIVATE LI</t>
        </is>
      </c>
      <c r="C2443" t="inlineStr">
        <is>
          <t>NOS</t>
        </is>
      </c>
      <c r="D2443" t="n">
        <v>4</v>
      </c>
      <c r="E2443" t="n">
        <v>1.921</v>
      </c>
      <c r="F2443" t="n">
        <v>2.768</v>
      </c>
      <c r="G2443" t="n">
        <v>1940815</v>
      </c>
      <c r="H2443" t="inlineStr">
        <is>
          <t>TUB-R-AW-RHS-40.00X20.00X1.600X0.4800</t>
        </is>
      </c>
    </row>
    <row r="2444">
      <c r="A2444" t="inlineStr">
        <is>
          <t>0000948721</t>
        </is>
      </c>
      <c r="B2444" t="inlineStr">
        <is>
          <t>ELKAYEM AUTO ANCILLARIES PRIVATE LI</t>
        </is>
      </c>
      <c r="C2444" t="inlineStr">
        <is>
          <t>NOS</t>
        </is>
      </c>
      <c r="D2444" t="n">
        <v>180</v>
      </c>
      <c r="E2444" t="n">
        <v>29.24</v>
      </c>
      <c r="F2444" t="n">
        <v>58.32</v>
      </c>
      <c r="G2444" t="n">
        <v>4098593</v>
      </c>
      <c r="H2444" t="inlineStr">
        <is>
          <t>TUB-R-AW-AUT-40.00X30.00X2.000X0.1620</t>
        </is>
      </c>
    </row>
    <row r="2445">
      <c r="A2445" t="inlineStr">
        <is>
          <t>0000948721</t>
        </is>
      </c>
      <c r="B2445" t="inlineStr">
        <is>
          <t>ELKAYEM AUTO ANCILLARIES PRIVATE LI</t>
        </is>
      </c>
      <c r="C2445" t="inlineStr">
        <is>
          <t>NOS</t>
        </is>
      </c>
      <c r="D2445" t="n">
        <v>1300</v>
      </c>
      <c r="E2445" t="n">
        <v>785.181</v>
      </c>
      <c r="F2445" t="n">
        <v>1524.9</v>
      </c>
      <c r="G2445" t="n">
        <v>2427158</v>
      </c>
      <c r="H2445" t="inlineStr">
        <is>
          <t>TUB-R-AW-AUT-50.00X30.00X1.600X0.6040</t>
        </is>
      </c>
    </row>
    <row r="2446">
      <c r="A2446" t="inlineStr">
        <is>
          <t>0000948721</t>
        </is>
      </c>
      <c r="B2446" t="inlineStr">
        <is>
          <t>ELKAYEM AUTO ANCILLARIES PRIVATE LI</t>
        </is>
      </c>
      <c r="C2446" t="inlineStr">
        <is>
          <t>NOS</t>
        </is>
      </c>
      <c r="D2446" t="n">
        <v>927</v>
      </c>
      <c r="E2446" t="n">
        <v>559.894</v>
      </c>
      <c r="F2446" t="n">
        <v>1087.371</v>
      </c>
      <c r="G2446" t="n">
        <v>2427158</v>
      </c>
      <c r="H2446" t="inlineStr">
        <is>
          <t>TUB-R-AW-AUT-50.00X30.00X1.600X0.6040</t>
        </is>
      </c>
    </row>
    <row r="2447">
      <c r="A2447" t="inlineStr">
        <is>
          <t>0000948721</t>
        </is>
      </c>
      <c r="B2447" t="inlineStr">
        <is>
          <t>ELKAYEM AUTO ANCILLARIES PRIVATE LI</t>
        </is>
      </c>
      <c r="C2447" t="inlineStr">
        <is>
          <t>NOS</t>
        </is>
      </c>
      <c r="D2447" t="n">
        <v>905</v>
      </c>
      <c r="E2447" t="n">
        <v>546.607</v>
      </c>
      <c r="F2447" t="n">
        <v>1061.565</v>
      </c>
      <c r="G2447" t="n">
        <v>2427158</v>
      </c>
      <c r="H2447" t="inlineStr">
        <is>
          <t>TUB-R-AW-AUT-50.00X30.00X1.600X0.6040</t>
        </is>
      </c>
    </row>
    <row r="2448">
      <c r="A2448" t="inlineStr">
        <is>
          <t>0000948721</t>
        </is>
      </c>
      <c r="B2448" t="inlineStr">
        <is>
          <t>ELKAYEM AUTO ANCILLARIES PRIVATE LI</t>
        </is>
      </c>
      <c r="C2448" t="inlineStr">
        <is>
          <t>NOS</t>
        </is>
      </c>
      <c r="D2448" t="n">
        <v>63</v>
      </c>
      <c r="E2448" t="n">
        <v>38.051</v>
      </c>
      <c r="F2448" t="n">
        <v>73.899</v>
      </c>
      <c r="G2448" t="n">
        <v>2427158</v>
      </c>
      <c r="H2448" t="inlineStr">
        <is>
          <t>TUB-R-AW-AUT-50.00X30.00X1.600X0.6040</t>
        </is>
      </c>
    </row>
    <row r="2449">
      <c r="A2449" t="inlineStr">
        <is>
          <t>0000948721</t>
        </is>
      </c>
      <c r="B2449" t="inlineStr">
        <is>
          <t>ELKAYEM AUTO ANCILLARIES PRIVATE LI</t>
        </is>
      </c>
      <c r="C2449" t="inlineStr">
        <is>
          <t>NOS</t>
        </is>
      </c>
      <c r="D2449" t="n">
        <v>1260</v>
      </c>
      <c r="E2449" t="n">
        <v>186.994</v>
      </c>
      <c r="F2449" t="n">
        <v>372.96</v>
      </c>
      <c r="G2449" t="n">
        <v>4098592</v>
      </c>
      <c r="H2449" t="inlineStr">
        <is>
          <t>TUB-R-AW-AUT-40.00X30.00X2.000X0.1480</t>
        </is>
      </c>
    </row>
    <row r="2450">
      <c r="A2450" t="inlineStr">
        <is>
          <t>0000949970</t>
        </is>
      </c>
      <c r="B2450" t="inlineStr">
        <is>
          <t>SANDHAR ENGINEERING PVTLTD(KA)U-III</t>
        </is>
      </c>
      <c r="C2450" t="inlineStr">
        <is>
          <t>NOS</t>
        </is>
      </c>
      <c r="D2450" t="n">
        <v>2124</v>
      </c>
      <c r="E2450" t="n">
        <v>1921.623</v>
      </c>
      <c r="F2450" t="n">
        <v>1917.972</v>
      </c>
      <c r="G2450" t="n">
        <v>1940478</v>
      </c>
      <c r="H2450" t="inlineStr">
        <is>
          <t>TUB-O-O-AUT-AW-PE-22.23X2.00X0.905-MAHS</t>
        </is>
      </c>
    </row>
    <row r="2451">
      <c r="A2451" t="inlineStr">
        <is>
          <t>0000949970</t>
        </is>
      </c>
      <c r="B2451" t="inlineStr">
        <is>
          <t>SANDHAR ENGINEERING PVTLTD(KA)U-III</t>
        </is>
      </c>
      <c r="C2451" t="inlineStr">
        <is>
          <t>NOS</t>
        </is>
      </c>
      <c r="D2451" t="n">
        <v>651</v>
      </c>
      <c r="E2451" t="n">
        <v>588.972</v>
      </c>
      <c r="F2451" t="n">
        <v>587.853</v>
      </c>
      <c r="G2451" t="n">
        <v>1940478</v>
      </c>
      <c r="H2451" t="inlineStr">
        <is>
          <t>TUB-O-O-AUT-AW-PE-22.23X2.00X0.905-MAHS</t>
        </is>
      </c>
    </row>
    <row r="2452">
      <c r="A2452" t="inlineStr">
        <is>
          <t>0000949970</t>
        </is>
      </c>
      <c r="B2452" t="inlineStr">
        <is>
          <t>SANDHAR ENGINEERING PVTLTD(KA)U-III</t>
        </is>
      </c>
      <c r="C2452" t="inlineStr">
        <is>
          <t>NOS</t>
        </is>
      </c>
      <c r="D2452" t="n">
        <v>1874</v>
      </c>
      <c r="E2452" t="n">
        <v>1453.186</v>
      </c>
      <c r="F2452" t="n">
        <v>1384.886</v>
      </c>
      <c r="G2452" t="n">
        <v>2422186</v>
      </c>
      <c r="H2452" t="inlineStr">
        <is>
          <t>TUB-O-N-AUT-AW-PE-22.23X2.000X0.7750</t>
        </is>
      </c>
    </row>
    <row r="2453">
      <c r="A2453" t="inlineStr">
        <is>
          <t>0000949970</t>
        </is>
      </c>
      <c r="B2453" t="inlineStr">
        <is>
          <t>SANDHAR ENGINEERING PVTLTD(KA)U-III</t>
        </is>
      </c>
      <c r="C2453" t="inlineStr">
        <is>
          <t>NOS</t>
        </is>
      </c>
      <c r="D2453" t="n">
        <v>2098</v>
      </c>
      <c r="E2453" t="n">
        <v>1626.886</v>
      </c>
      <c r="F2453" t="n">
        <v>1550.422</v>
      </c>
      <c r="G2453" t="n">
        <v>2422186</v>
      </c>
      <c r="H2453" t="inlineStr">
        <is>
          <t>TUB-O-N-AUT-AW-PE-22.23X2.000X0.7750</t>
        </is>
      </c>
    </row>
    <row r="2454">
      <c r="A2454" t="inlineStr">
        <is>
          <t>0000949970</t>
        </is>
      </c>
      <c r="B2454" t="inlineStr">
        <is>
          <t>SANDHAR ENGINEERING PVTLTD(KA)U-III</t>
        </is>
      </c>
      <c r="C2454" t="inlineStr">
        <is>
          <t>NOS</t>
        </is>
      </c>
      <c r="D2454" t="n">
        <v>1698</v>
      </c>
      <c r="E2454" t="n">
        <v>1316.707</v>
      </c>
      <c r="F2454" t="n">
        <v>1254.822</v>
      </c>
      <c r="G2454" t="n">
        <v>2422186</v>
      </c>
      <c r="H2454" t="inlineStr">
        <is>
          <t>TUB-O-N-AUT-AW-PE-22.23X2.000X0.7750</t>
        </is>
      </c>
    </row>
    <row r="2455">
      <c r="A2455" t="inlineStr">
        <is>
          <t>0000949970</t>
        </is>
      </c>
      <c r="B2455" t="inlineStr">
        <is>
          <t>SANDHAR ENGINEERING PVTLTD(KA)U-III</t>
        </is>
      </c>
      <c r="C2455" t="inlineStr">
        <is>
          <t>NOS</t>
        </is>
      </c>
      <c r="D2455" t="n">
        <v>775</v>
      </c>
      <c r="E2455" t="n">
        <v>600.971</v>
      </c>
      <c r="F2455" t="n">
        <v>572.725</v>
      </c>
      <c r="G2455" t="n">
        <v>2422186</v>
      </c>
      <c r="H2455" t="inlineStr">
        <is>
          <t>TUB-O-N-AUT-AW-PE-22.23X2.000X0.7750</t>
        </is>
      </c>
    </row>
    <row r="2456">
      <c r="A2456" t="inlineStr">
        <is>
          <t>0000949970</t>
        </is>
      </c>
      <c r="B2456" t="inlineStr">
        <is>
          <t>SANDHAR ENGINEERING PVTLTD(KA)U-III</t>
        </is>
      </c>
      <c r="C2456" t="inlineStr">
        <is>
          <t>NOS</t>
        </is>
      </c>
      <c r="D2456" t="n">
        <v>500</v>
      </c>
      <c r="E2456" t="n">
        <v>387.723</v>
      </c>
      <c r="F2456" t="n">
        <v>369.5</v>
      </c>
      <c r="G2456" t="n">
        <v>2422186</v>
      </c>
      <c r="H2456" t="inlineStr">
        <is>
          <t>TUB-O-N-AUT-AW-PE-22.23X2.000X0.7750</t>
        </is>
      </c>
    </row>
    <row r="2457">
      <c r="A2457" t="inlineStr">
        <is>
          <t>0000949970</t>
        </is>
      </c>
      <c r="B2457" t="inlineStr">
        <is>
          <t>SANDHAR ENGINEERING PVTLTD(KA)U-III</t>
        </is>
      </c>
      <c r="C2457" t="inlineStr">
        <is>
          <t>NOS</t>
        </is>
      </c>
      <c r="D2457" t="n">
        <v>237</v>
      </c>
      <c r="E2457" t="n">
        <v>183.781</v>
      </c>
      <c r="F2457" t="n">
        <v>175.143</v>
      </c>
      <c r="G2457" t="n">
        <v>2422186</v>
      </c>
      <c r="H2457" t="inlineStr">
        <is>
          <t>TUB-O-N-AUT-AW-PE-22.23X2.000X0.7750</t>
        </is>
      </c>
    </row>
    <row r="2458">
      <c r="A2458" t="inlineStr">
        <is>
          <t>0000949970</t>
        </is>
      </c>
      <c r="B2458" t="inlineStr">
        <is>
          <t>SANDHAR ENGINEERING PVTLTD(KA)U-III</t>
        </is>
      </c>
      <c r="C2458" t="inlineStr">
        <is>
          <t>NOS</t>
        </is>
      </c>
      <c r="D2458" t="n">
        <v>18</v>
      </c>
      <c r="E2458" t="n">
        <v>13.958</v>
      </c>
      <c r="F2458" t="n">
        <v>13.302</v>
      </c>
      <c r="G2458" t="n">
        <v>2422186</v>
      </c>
      <c r="H2458" t="inlineStr">
        <is>
          <t>TUB-O-N-AUT-AW-PE-22.23X2.000X0.7750</t>
        </is>
      </c>
    </row>
    <row r="2459">
      <c r="A2459" t="inlineStr">
        <is>
          <t>0000945539</t>
        </is>
      </c>
      <c r="B2459" t="inlineStr">
        <is>
          <t>Sandhar EngineeringPvt.Ltd.(KA)-Uni</t>
        </is>
      </c>
      <c r="C2459" t="inlineStr">
        <is>
          <t>NOS</t>
        </is>
      </c>
      <c r="D2459" t="n">
        <v>2775</v>
      </c>
      <c r="E2459" t="n">
        <v>2172.807</v>
      </c>
      <c r="F2459" t="n">
        <v>3068.873</v>
      </c>
      <c r="G2459" t="n">
        <v>3775636</v>
      </c>
      <c r="H2459" t="inlineStr">
        <is>
          <t>TUB-O-O-AUT-AW-FC-25.40X2.500X0.7830</t>
        </is>
      </c>
    </row>
    <row r="2460">
      <c r="A2460" t="inlineStr">
        <is>
          <t>0000945539</t>
        </is>
      </c>
      <c r="B2460" t="inlineStr">
        <is>
          <t>Sandhar EngineeringPvt.Ltd.(KA)-Uni</t>
        </is>
      </c>
      <c r="C2460" t="inlineStr">
        <is>
          <t>NOS</t>
        </is>
      </c>
      <c r="D2460" t="n">
        <v>2099</v>
      </c>
      <c r="E2460" t="n">
        <v>1643.503</v>
      </c>
      <c r="F2460" t="n">
        <v>2321.284</v>
      </c>
      <c r="G2460" t="n">
        <v>3775636</v>
      </c>
      <c r="H2460" t="inlineStr">
        <is>
          <t>TUB-O-O-AUT-AW-FC-25.40X2.500X0.7830</t>
        </is>
      </c>
    </row>
    <row r="2461">
      <c r="A2461" t="inlineStr">
        <is>
          <t>0000945539</t>
        </is>
      </c>
      <c r="B2461" t="inlineStr">
        <is>
          <t>Sandhar EngineeringPvt.Ltd.(KA)-Uni</t>
        </is>
      </c>
      <c r="C2461" t="inlineStr">
        <is>
          <t>NOS</t>
        </is>
      </c>
      <c r="D2461" t="n">
        <v>126</v>
      </c>
      <c r="E2461" t="n">
        <v>98.657</v>
      </c>
      <c r="F2461" t="n">
        <v>139.343</v>
      </c>
      <c r="G2461" t="n">
        <v>3775636</v>
      </c>
      <c r="H2461" t="inlineStr">
        <is>
          <t>TUB-O-O-AUT-AW-FC-25.40X2.500X0.7830</t>
        </is>
      </c>
    </row>
    <row r="2462">
      <c r="A2462" t="inlineStr">
        <is>
          <t>0000186864</t>
        </is>
      </c>
      <c r="B2462" t="inlineStr">
        <is>
          <t>INDUSTRIAL STEEL AND TUBES</t>
        </is>
      </c>
      <c r="C2462" t="inlineStr">
        <is>
          <t>KG</t>
        </is>
      </c>
      <c r="D2462" t="n">
        <v>337</v>
      </c>
      <c r="E2462" t="n">
        <v>2022.322</v>
      </c>
      <c r="F2462" t="n">
        <v>2120</v>
      </c>
      <c r="G2462" t="n">
        <v>1940790</v>
      </c>
      <c r="H2462" t="inlineStr">
        <is>
          <t>TUB-R-FH-RHS-40.00X20.00X1.150X6.0000</t>
        </is>
      </c>
    </row>
    <row r="2463">
      <c r="A2463" t="inlineStr">
        <is>
          <t>0000186864</t>
        </is>
      </c>
      <c r="B2463" t="inlineStr">
        <is>
          <t>INDUSTRIAL STEEL AND TUBES</t>
        </is>
      </c>
      <c r="C2463" t="inlineStr">
        <is>
          <t>KG</t>
        </is>
      </c>
      <c r="D2463" t="n">
        <v>351</v>
      </c>
      <c r="E2463" t="n">
        <v>2108.175</v>
      </c>
      <c r="F2463" t="n">
        <v>2210</v>
      </c>
      <c r="G2463" t="n">
        <v>1940790</v>
      </c>
      <c r="H2463" t="inlineStr">
        <is>
          <t>TUB-R-FH-RHS-40.00X20.00X1.150X6.0000</t>
        </is>
      </c>
    </row>
    <row r="2464">
      <c r="A2464" t="inlineStr">
        <is>
          <t>0000186864</t>
        </is>
      </c>
      <c r="B2464" t="inlineStr">
        <is>
          <t>INDUSTRIAL STEEL AND TUBES</t>
        </is>
      </c>
      <c r="C2464" t="inlineStr">
        <is>
          <t>KG</t>
        </is>
      </c>
      <c r="D2464" t="n">
        <v>358</v>
      </c>
      <c r="E2464" t="n">
        <v>2146.332</v>
      </c>
      <c r="F2464" t="n">
        <v>2250</v>
      </c>
      <c r="G2464" t="n">
        <v>1940790</v>
      </c>
      <c r="H2464" t="inlineStr">
        <is>
          <t>TUB-R-FH-RHS-40.00X20.00X1.150X6.0000</t>
        </is>
      </c>
    </row>
    <row r="2465">
      <c r="A2465" t="inlineStr">
        <is>
          <t>0000186864</t>
        </is>
      </c>
      <c r="B2465" t="inlineStr">
        <is>
          <t>INDUSTRIAL STEEL AND TUBES</t>
        </is>
      </c>
      <c r="C2465" t="inlineStr">
        <is>
          <t>KG</t>
        </is>
      </c>
      <c r="D2465" t="n">
        <v>367</v>
      </c>
      <c r="E2465" t="n">
        <v>2203.568</v>
      </c>
      <c r="F2465" t="n">
        <v>2310</v>
      </c>
      <c r="G2465" t="n">
        <v>1940790</v>
      </c>
      <c r="H2465" t="inlineStr">
        <is>
          <t>TUB-R-FH-RHS-40.00X20.00X1.150X6.0000</t>
        </is>
      </c>
    </row>
    <row r="2466">
      <c r="A2466" t="inlineStr">
        <is>
          <t>0000186864</t>
        </is>
      </c>
      <c r="B2466" t="inlineStr">
        <is>
          <t>INDUSTRIAL STEEL AND TUBES</t>
        </is>
      </c>
      <c r="C2466" t="inlineStr">
        <is>
          <t>KG</t>
        </is>
      </c>
      <c r="D2466" t="n">
        <v>342</v>
      </c>
      <c r="E2466" t="n">
        <v>2050.94</v>
      </c>
      <c r="F2466" t="n">
        <v>2150</v>
      </c>
      <c r="G2466" t="n">
        <v>1940790</v>
      </c>
      <c r="H2466" t="inlineStr">
        <is>
          <t>TUB-R-FH-RHS-40.00X20.00X1.150X6.0000</t>
        </is>
      </c>
    </row>
    <row r="2467">
      <c r="A2467" t="inlineStr">
        <is>
          <t>0000186864</t>
        </is>
      </c>
      <c r="B2467" t="inlineStr">
        <is>
          <t>INDUSTRIAL STEEL AND TUBES</t>
        </is>
      </c>
      <c r="C2467" t="inlineStr">
        <is>
          <t>KG</t>
        </is>
      </c>
      <c r="D2467" t="n">
        <v>326</v>
      </c>
      <c r="E2467" t="n">
        <v>1955.547</v>
      </c>
      <c r="F2467" t="n">
        <v>2050</v>
      </c>
      <c r="G2467" t="n">
        <v>1940790</v>
      </c>
      <c r="H2467" t="inlineStr">
        <is>
          <t>TUB-R-FH-RHS-40.00X20.00X1.150X6.0000</t>
        </is>
      </c>
    </row>
    <row r="2468">
      <c r="A2468" t="inlineStr">
        <is>
          <t>0000186864</t>
        </is>
      </c>
      <c r="B2468" t="inlineStr">
        <is>
          <t>INDUSTRIAL STEEL AND TUBES</t>
        </is>
      </c>
      <c r="C2468" t="inlineStr">
        <is>
          <t>KG</t>
        </is>
      </c>
      <c r="D2468" t="n">
        <v>322</v>
      </c>
      <c r="E2468" t="n">
        <v>1932.653</v>
      </c>
      <c r="F2468" t="n">
        <v>2026</v>
      </c>
      <c r="G2468" t="n">
        <v>1940790</v>
      </c>
      <c r="H2468" t="inlineStr">
        <is>
          <t>TUB-R-FH-RHS-40.00X20.00X1.150X6.0000</t>
        </is>
      </c>
    </row>
    <row r="2469">
      <c r="A2469" t="inlineStr">
        <is>
          <t>0000186864</t>
        </is>
      </c>
      <c r="B2469" t="inlineStr">
        <is>
          <t>INDUSTRIAL STEEL AND TUBES</t>
        </is>
      </c>
      <c r="C2469" t="inlineStr">
        <is>
          <t>KG</t>
        </is>
      </c>
      <c r="D2469" t="n">
        <v>174</v>
      </c>
      <c r="E2469" t="n">
        <v>1042.631</v>
      </c>
      <c r="F2469" t="n">
        <v>1531</v>
      </c>
      <c r="G2469" t="n">
        <v>1940852</v>
      </c>
      <c r="H2469" t="inlineStr">
        <is>
          <t>TUB-S-AW-SHS-40.00X40.00X1.200X6.0000</t>
        </is>
      </c>
    </row>
    <row r="2470">
      <c r="A2470" t="inlineStr">
        <is>
          <t>0000186864</t>
        </is>
      </c>
      <c r="B2470" t="inlineStr">
        <is>
          <t>INDUSTRIAL STEEL AND TUBES</t>
        </is>
      </c>
      <c r="C2470" t="inlineStr">
        <is>
          <t>KG</t>
        </is>
      </c>
      <c r="D2470" t="n">
        <v>150</v>
      </c>
      <c r="E2470" t="n">
        <v>898.2569999999999</v>
      </c>
      <c r="F2470" t="n">
        <v>1319</v>
      </c>
      <c r="G2470" t="n">
        <v>1940852</v>
      </c>
      <c r="H2470" t="inlineStr">
        <is>
          <t>TUB-S-AW-SHS-40.00X40.00X1.200X6.0000</t>
        </is>
      </c>
    </row>
    <row r="2471">
      <c r="A2471" t="inlineStr">
        <is>
          <t>0000186864</t>
        </is>
      </c>
      <c r="B2471" t="inlineStr">
        <is>
          <t>INDUSTRIAL STEEL AND TUBES</t>
        </is>
      </c>
      <c r="C2471" t="inlineStr">
        <is>
          <t>KG</t>
        </is>
      </c>
      <c r="D2471" t="n">
        <v>211</v>
      </c>
      <c r="E2471" t="n">
        <v>1265.594</v>
      </c>
      <c r="F2471" t="n">
        <v>700</v>
      </c>
      <c r="G2471" t="n">
        <v>1940146</v>
      </c>
      <c r="H2471" t="inlineStr">
        <is>
          <t>TUB-S-FH-SHS-19.00X19.00X1.000X6.0000</t>
        </is>
      </c>
    </row>
    <row r="2472">
      <c r="A2472" t="inlineStr">
        <is>
          <t>0000186864</t>
        </is>
      </c>
      <c r="B2472" t="inlineStr">
        <is>
          <t>INDUSTRIAL STEEL AND TUBES</t>
        </is>
      </c>
      <c r="C2472" t="inlineStr">
        <is>
          <t>KG</t>
        </is>
      </c>
      <c r="D2472" t="n">
        <v>359</v>
      </c>
      <c r="E2472" t="n">
        <v>2151.51</v>
      </c>
      <c r="F2472" t="n">
        <v>1190</v>
      </c>
      <c r="G2472" t="n">
        <v>1940146</v>
      </c>
      <c r="H2472" t="inlineStr">
        <is>
          <t>TUB-S-FH-SHS-19.00X19.00X1.000X6.0000</t>
        </is>
      </c>
    </row>
    <row r="2473">
      <c r="A2473" t="inlineStr">
        <is>
          <t>0000186864</t>
        </is>
      </c>
      <c r="B2473" t="inlineStr">
        <is>
          <t>INDUSTRIAL STEEL AND TUBES</t>
        </is>
      </c>
      <c r="C2473" t="inlineStr">
        <is>
          <t>KG</t>
        </is>
      </c>
      <c r="D2473" t="n">
        <v>40</v>
      </c>
      <c r="E2473" t="n">
        <v>242.271</v>
      </c>
      <c r="F2473" t="n">
        <v>134</v>
      </c>
      <c r="G2473" t="n">
        <v>1940146</v>
      </c>
      <c r="H2473" t="inlineStr">
        <is>
          <t>TUB-S-FH-SHS-19.00X19.00X1.000X6.0000</t>
        </is>
      </c>
    </row>
    <row r="2474">
      <c r="A2474" t="inlineStr">
        <is>
          <t>0000945539</t>
        </is>
      </c>
      <c r="B2474" t="inlineStr">
        <is>
          <t>Sandhar EngineeringPvt.Ltd.(KA)-Uni</t>
        </is>
      </c>
      <c r="C2474" t="inlineStr">
        <is>
          <t>NOS</t>
        </is>
      </c>
      <c r="D2474" t="n">
        <v>1224</v>
      </c>
      <c r="E2474" t="n">
        <v>844.6559999999999</v>
      </c>
      <c r="F2474" t="n">
        <v>687.888</v>
      </c>
      <c r="G2474" t="n">
        <v>3714733</v>
      </c>
      <c r="H2474" t="inlineStr">
        <is>
          <t>TUB-O-N-AUT-AW-PE-22.23X1.600X0.690</t>
        </is>
      </c>
    </row>
    <row r="2475">
      <c r="A2475" t="inlineStr">
        <is>
          <t>0000945539</t>
        </is>
      </c>
      <c r="B2475" t="inlineStr">
        <is>
          <t>Sandhar EngineeringPvt.Ltd.(KA)-Uni</t>
        </is>
      </c>
      <c r="C2475" t="inlineStr">
        <is>
          <t>NOS</t>
        </is>
      </c>
      <c r="D2475" t="n">
        <v>2270</v>
      </c>
      <c r="E2475" t="n">
        <v>1566.478</v>
      </c>
      <c r="F2475" t="n">
        <v>1275.74</v>
      </c>
      <c r="G2475" t="n">
        <v>3714733</v>
      </c>
      <c r="H2475" t="inlineStr">
        <is>
          <t>TUB-O-N-AUT-AW-PE-22.23X1.600X0.690</t>
        </is>
      </c>
    </row>
    <row r="2476">
      <c r="A2476" t="inlineStr">
        <is>
          <t>0000945539</t>
        </is>
      </c>
      <c r="B2476" t="inlineStr">
        <is>
          <t>Sandhar EngineeringPvt.Ltd.(KA)-Uni</t>
        </is>
      </c>
      <c r="C2476" t="inlineStr">
        <is>
          <t>NOS</t>
        </is>
      </c>
      <c r="D2476" t="n">
        <v>619</v>
      </c>
      <c r="E2476" t="n">
        <v>427.159</v>
      </c>
      <c r="F2476" t="n">
        <v>347.878</v>
      </c>
      <c r="G2476" t="n">
        <v>3714733</v>
      </c>
      <c r="H2476" t="inlineStr">
        <is>
          <t>TUB-O-N-AUT-AW-PE-22.23X1.600X0.690</t>
        </is>
      </c>
    </row>
    <row r="2477">
      <c r="A2477" t="inlineStr">
        <is>
          <t>0000945539</t>
        </is>
      </c>
      <c r="B2477" t="inlineStr">
        <is>
          <t>Sandhar EngineeringPvt.Ltd.(KA)-Uni</t>
        </is>
      </c>
      <c r="C2477" t="inlineStr">
        <is>
          <t>NOS</t>
        </is>
      </c>
      <c r="D2477" t="n">
        <v>787</v>
      </c>
      <c r="E2477" t="n">
        <v>543.092</v>
      </c>
      <c r="F2477" t="n">
        <v>442.294</v>
      </c>
      <c r="G2477" t="n">
        <v>3714733</v>
      </c>
      <c r="H2477" t="inlineStr">
        <is>
          <t>TUB-O-N-AUT-AW-PE-22.23X1.600X0.690</t>
        </is>
      </c>
    </row>
    <row r="2478">
      <c r="A2478" t="inlineStr">
        <is>
          <t>0000184334</t>
        </is>
      </c>
      <c r="B2478" t="inlineStr">
        <is>
          <t>SAKURA AUTOPARTS INDIA PRIVATE LIMI</t>
        </is>
      </c>
      <c r="C2478" t="inlineStr">
        <is>
          <t>NOS</t>
        </is>
      </c>
      <c r="D2478" t="n">
        <v>719</v>
      </c>
      <c r="E2478" t="n">
        <v>287.599</v>
      </c>
      <c r="F2478" t="n">
        <v>378.394</v>
      </c>
      <c r="G2478" t="n">
        <v>3863799</v>
      </c>
      <c r="H2478" t="inlineStr">
        <is>
          <t>CUT-O-N-AUT-AW-FC-34.93X1.600X0.4000</t>
        </is>
      </c>
    </row>
    <row r="2479">
      <c r="A2479" t="inlineStr">
        <is>
          <t>0000184334</t>
        </is>
      </c>
      <c r="B2479" t="inlineStr">
        <is>
          <t>SAKURA AUTOPARTS INDIA PRIVATE LIMI</t>
        </is>
      </c>
      <c r="C2479" t="inlineStr">
        <is>
          <t>NOS</t>
        </is>
      </c>
      <c r="D2479" t="n">
        <v>725</v>
      </c>
      <c r="E2479" t="n">
        <v>289.999</v>
      </c>
      <c r="F2479" t="n">
        <v>381.551</v>
      </c>
      <c r="G2479" t="n">
        <v>3863799</v>
      </c>
      <c r="H2479" t="inlineStr">
        <is>
          <t>CUT-O-N-AUT-AW-FC-34.93X1.600X0.4000</t>
        </is>
      </c>
    </row>
    <row r="2480">
      <c r="A2480" t="inlineStr">
        <is>
          <t>0000184334</t>
        </is>
      </c>
      <c r="B2480" t="inlineStr">
        <is>
          <t>SAKURA AUTOPARTS INDIA PRIVATE LIMI</t>
        </is>
      </c>
      <c r="C2480" t="inlineStr">
        <is>
          <t>NOS</t>
        </is>
      </c>
      <c r="D2480" t="n">
        <v>475</v>
      </c>
      <c r="E2480" t="n">
        <v>189.999</v>
      </c>
      <c r="F2480" t="n">
        <v>249.982</v>
      </c>
      <c r="G2480" t="n">
        <v>3863799</v>
      </c>
      <c r="H2480" t="inlineStr">
        <is>
          <t>CUT-O-N-AUT-AW-FC-34.93X1.600X0.4000</t>
        </is>
      </c>
    </row>
    <row r="2481">
      <c r="A2481" t="inlineStr">
        <is>
          <t>0000184334</t>
        </is>
      </c>
      <c r="B2481" t="inlineStr">
        <is>
          <t>SAKURA AUTOPARTS INDIA PRIVATE LIMI</t>
        </is>
      </c>
      <c r="C2481" t="inlineStr">
        <is>
          <t>NOS</t>
        </is>
      </c>
      <c r="D2481" t="n">
        <v>28</v>
      </c>
      <c r="E2481" t="n">
        <v>11.2</v>
      </c>
      <c r="F2481" t="n">
        <v>14.736</v>
      </c>
      <c r="G2481" t="n">
        <v>3863799</v>
      </c>
      <c r="H2481" t="inlineStr">
        <is>
          <t>CUT-O-N-AUT-AW-FC-34.93X1.600X0.4000</t>
        </is>
      </c>
    </row>
    <row r="2482">
      <c r="A2482" t="inlineStr">
        <is>
          <t>0000184334</t>
        </is>
      </c>
      <c r="B2482" t="inlineStr">
        <is>
          <t>SAKURA AUTOPARTS INDIA PRIVATE LIMI</t>
        </is>
      </c>
      <c r="C2482" t="inlineStr">
        <is>
          <t>NOS</t>
        </is>
      </c>
      <c r="D2482" t="n">
        <v>28</v>
      </c>
      <c r="E2482" t="n">
        <v>11.2</v>
      </c>
      <c r="F2482" t="n">
        <v>14.736</v>
      </c>
      <c r="G2482" t="n">
        <v>3863799</v>
      </c>
      <c r="H2482" t="inlineStr">
        <is>
          <t>CUT-O-N-AUT-AW-FC-34.93X1.600X0.4000</t>
        </is>
      </c>
    </row>
    <row r="2483">
      <c r="A2483" t="inlineStr">
        <is>
          <t>0000184334</t>
        </is>
      </c>
      <c r="B2483" t="inlineStr">
        <is>
          <t>SAKURA AUTOPARTS INDIA PRIVATE LIMI</t>
        </is>
      </c>
      <c r="C2483" t="inlineStr">
        <is>
          <t>NOS</t>
        </is>
      </c>
      <c r="D2483" t="n">
        <v>25</v>
      </c>
      <c r="E2483" t="n">
        <v>10</v>
      </c>
      <c r="F2483" t="n">
        <v>13.157</v>
      </c>
      <c r="G2483" t="n">
        <v>3863799</v>
      </c>
      <c r="H2483" t="inlineStr">
        <is>
          <t>CUT-O-N-AUT-AW-FC-34.93X1.600X0.4000</t>
        </is>
      </c>
    </row>
    <row r="2484">
      <c r="A2484" t="inlineStr">
        <is>
          <t>0000184334</t>
        </is>
      </c>
      <c r="B2484" t="inlineStr">
        <is>
          <t>SAKURA AUTOPARTS INDIA PRIVATE LIMI</t>
        </is>
      </c>
      <c r="C2484" t="inlineStr">
        <is>
          <t>NOS</t>
        </is>
      </c>
      <c r="D2484" t="n">
        <v>873</v>
      </c>
      <c r="E2484" t="n">
        <v>506.343</v>
      </c>
      <c r="F2484" t="n">
        <v>666.196</v>
      </c>
      <c r="G2484" t="n">
        <v>3863797</v>
      </c>
      <c r="H2484" t="inlineStr">
        <is>
          <t>CUT-O-N-AUT-AW-FC-34.93X1.600X0.5800</t>
        </is>
      </c>
    </row>
    <row r="2485">
      <c r="A2485" t="inlineStr">
        <is>
          <t>0000184334</t>
        </is>
      </c>
      <c r="B2485" t="inlineStr">
        <is>
          <t>SAKURA AUTOPARTS INDIA PRIVATE LIMI</t>
        </is>
      </c>
      <c r="C2485" t="inlineStr">
        <is>
          <t>NOS</t>
        </is>
      </c>
      <c r="D2485" t="n">
        <v>470</v>
      </c>
      <c r="E2485" t="n">
        <v>272.602</v>
      </c>
      <c r="F2485" t="n">
        <v>358.662</v>
      </c>
      <c r="G2485" t="n">
        <v>3863797</v>
      </c>
      <c r="H2485" t="inlineStr">
        <is>
          <t>CUT-O-N-AUT-AW-FC-34.93X1.600X0.5800</t>
        </is>
      </c>
    </row>
    <row r="2486">
      <c r="A2486" t="inlineStr">
        <is>
          <t>0000184334</t>
        </is>
      </c>
      <c r="B2486" t="inlineStr">
        <is>
          <t>SAKURA AUTOPARTS INDIA PRIVATE LIMI</t>
        </is>
      </c>
      <c r="C2486" t="inlineStr">
        <is>
          <t>NOS</t>
        </is>
      </c>
      <c r="D2486" t="n">
        <v>344</v>
      </c>
      <c r="E2486" t="n">
        <v>199.521</v>
      </c>
      <c r="F2486" t="n">
        <v>262.51</v>
      </c>
      <c r="G2486" t="n">
        <v>3863797</v>
      </c>
      <c r="H2486" t="inlineStr">
        <is>
          <t>CUT-O-N-AUT-AW-FC-34.93X1.600X0.5800</t>
        </is>
      </c>
    </row>
    <row r="2487">
      <c r="A2487" t="inlineStr">
        <is>
          <t>0000184334</t>
        </is>
      </c>
      <c r="B2487" t="inlineStr">
        <is>
          <t>SAKURA AUTOPARTS INDIA PRIVATE LIMI</t>
        </is>
      </c>
      <c r="C2487" t="inlineStr">
        <is>
          <t>NOS</t>
        </is>
      </c>
      <c r="D2487" t="n">
        <v>300</v>
      </c>
      <c r="E2487" t="n">
        <v>174.001</v>
      </c>
      <c r="F2487" t="n">
        <v>228.933</v>
      </c>
      <c r="G2487" t="n">
        <v>3863797</v>
      </c>
      <c r="H2487" t="inlineStr">
        <is>
          <t>CUT-O-N-AUT-AW-FC-34.93X1.600X0.5800</t>
        </is>
      </c>
    </row>
    <row r="2488">
      <c r="A2488" t="inlineStr">
        <is>
          <t>0000184334</t>
        </is>
      </c>
      <c r="B2488" t="inlineStr">
        <is>
          <t>SAKURA AUTOPARTS INDIA PRIVATE LIMI</t>
        </is>
      </c>
      <c r="C2488" t="inlineStr">
        <is>
          <t>NOS</t>
        </is>
      </c>
      <c r="D2488" t="n">
        <v>9</v>
      </c>
      <c r="E2488" t="n">
        <v>5.22</v>
      </c>
      <c r="F2488" t="n">
        <v>6.868</v>
      </c>
      <c r="G2488" t="n">
        <v>3863797</v>
      </c>
      <c r="H2488" t="inlineStr">
        <is>
          <t>CUT-O-N-AUT-AW-FC-34.93X1.600X0.5800</t>
        </is>
      </c>
    </row>
    <row r="2489">
      <c r="A2489" t="inlineStr">
        <is>
          <t>0000184334</t>
        </is>
      </c>
      <c r="B2489" t="inlineStr">
        <is>
          <t>SAKURA AUTOPARTS INDIA PRIVATE LIMI</t>
        </is>
      </c>
      <c r="C2489" t="inlineStr">
        <is>
          <t>NOS</t>
        </is>
      </c>
      <c r="D2489" t="n">
        <v>4</v>
      </c>
      <c r="E2489" t="n">
        <v>2.32</v>
      </c>
      <c r="F2489" t="n">
        <v>3.052</v>
      </c>
      <c r="G2489" t="n">
        <v>3863797</v>
      </c>
      <c r="H2489" t="inlineStr">
        <is>
          <t>CUT-O-N-AUT-AW-FC-34.93X1.600X0.5800</t>
        </is>
      </c>
    </row>
    <row r="2490">
      <c r="A2490" t="inlineStr">
        <is>
          <t>0000184334</t>
        </is>
      </c>
      <c r="B2490" t="inlineStr">
        <is>
          <t>SAKURA AUTOPARTS INDIA PRIVATE LIMI</t>
        </is>
      </c>
      <c r="C2490" t="inlineStr">
        <is>
          <t>NOS</t>
        </is>
      </c>
      <c r="D2490" t="n">
        <v>1842</v>
      </c>
      <c r="E2490" t="n">
        <v>1142.027</v>
      </c>
      <c r="F2490" t="n">
        <v>1582.278</v>
      </c>
      <c r="G2490" t="n">
        <v>2397072</v>
      </c>
      <c r="H2490" t="inlineStr">
        <is>
          <t>TUB-O-N-AUT-AW-FC-48.00X1.200X0.6200</t>
        </is>
      </c>
    </row>
    <row r="2491">
      <c r="A2491" t="inlineStr">
        <is>
          <t>0000184334</t>
        </is>
      </c>
      <c r="B2491" t="inlineStr">
        <is>
          <t>SAKURA AUTOPARTS INDIA PRIVATE LIMI</t>
        </is>
      </c>
      <c r="C2491" t="inlineStr">
        <is>
          <t>NOS</t>
        </is>
      </c>
      <c r="D2491" t="n">
        <v>1849</v>
      </c>
      <c r="E2491" t="n">
        <v>1146.367</v>
      </c>
      <c r="F2491" t="n">
        <v>1588.291</v>
      </c>
      <c r="G2491" t="n">
        <v>2397072</v>
      </c>
      <c r="H2491" t="inlineStr">
        <is>
          <t>TUB-O-N-AUT-AW-FC-48.00X1.200X0.6200</t>
        </is>
      </c>
    </row>
    <row r="2492">
      <c r="A2492" t="inlineStr">
        <is>
          <t>0000184334</t>
        </is>
      </c>
      <c r="B2492" t="inlineStr">
        <is>
          <t>SAKURA AUTOPARTS INDIA PRIVATE LIMI</t>
        </is>
      </c>
      <c r="C2492" t="inlineStr">
        <is>
          <t>NOS</t>
        </is>
      </c>
      <c r="D2492" t="n">
        <v>1265</v>
      </c>
      <c r="E2492" t="n">
        <v>784.2910000000001</v>
      </c>
      <c r="F2492" t="n">
        <v>1086.635</v>
      </c>
      <c r="G2492" t="n">
        <v>2397072</v>
      </c>
      <c r="H2492" t="inlineStr">
        <is>
          <t>TUB-O-N-AUT-AW-FC-48.00X1.200X0.6200</t>
        </is>
      </c>
    </row>
    <row r="2493">
      <c r="A2493" t="inlineStr">
        <is>
          <t>0000184334</t>
        </is>
      </c>
      <c r="B2493" t="inlineStr">
        <is>
          <t>SAKURA AUTOPARTS INDIA PRIVATE LIMI</t>
        </is>
      </c>
      <c r="C2493" t="inlineStr">
        <is>
          <t>NOS</t>
        </is>
      </c>
      <c r="D2493" t="n">
        <v>19</v>
      </c>
      <c r="E2493" t="n">
        <v>11.78</v>
      </c>
      <c r="F2493" t="n">
        <v>16.321</v>
      </c>
      <c r="G2493" t="n">
        <v>2397072</v>
      </c>
      <c r="H2493" t="inlineStr">
        <is>
          <t>TUB-O-N-AUT-AW-FC-48.00X1.200X0.6200</t>
        </is>
      </c>
    </row>
    <row r="2494">
      <c r="A2494" t="inlineStr">
        <is>
          <t>0000184334</t>
        </is>
      </c>
      <c r="B2494" t="inlineStr">
        <is>
          <t>SAKURA AUTOPARTS INDIA PRIVATE LIMI</t>
        </is>
      </c>
      <c r="C2494" t="inlineStr">
        <is>
          <t>NOS</t>
        </is>
      </c>
      <c r="D2494" t="n">
        <v>16</v>
      </c>
      <c r="E2494" t="n">
        <v>9.92</v>
      </c>
      <c r="F2494" t="n">
        <v>13.744</v>
      </c>
      <c r="G2494" t="n">
        <v>2397072</v>
      </c>
      <c r="H2494" t="inlineStr">
        <is>
          <t>TUB-O-N-AUT-AW-FC-48.00X1.200X0.6200</t>
        </is>
      </c>
    </row>
    <row r="2495">
      <c r="A2495" t="inlineStr">
        <is>
          <t>0000184334</t>
        </is>
      </c>
      <c r="B2495" t="inlineStr">
        <is>
          <t>SAKURA AUTOPARTS INDIA PRIVATE LIMI</t>
        </is>
      </c>
      <c r="C2495" t="inlineStr">
        <is>
          <t>NOS</t>
        </is>
      </c>
      <c r="D2495" t="n">
        <v>9</v>
      </c>
      <c r="E2495" t="n">
        <v>5.58</v>
      </c>
      <c r="F2495" t="n">
        <v>7.731</v>
      </c>
      <c r="G2495" t="n">
        <v>2397072</v>
      </c>
      <c r="H2495" t="inlineStr">
        <is>
          <t>TUB-O-N-AUT-AW-FC-48.00X1.200X0.6200</t>
        </is>
      </c>
    </row>
    <row r="2496">
      <c r="A2496" t="inlineStr">
        <is>
          <t>0000184334</t>
        </is>
      </c>
      <c r="B2496" t="inlineStr">
        <is>
          <t>SAKURA AUTOPARTS INDIA PRIVATE LIMI</t>
        </is>
      </c>
      <c r="C2496" t="inlineStr">
        <is>
          <t>NOS</t>
        </is>
      </c>
      <c r="D2496" t="n">
        <v>200</v>
      </c>
      <c r="E2496" t="n">
        <v>80</v>
      </c>
      <c r="F2496" t="n">
        <v>146.529</v>
      </c>
      <c r="G2496" t="n">
        <v>3863798</v>
      </c>
      <c r="H2496" t="inlineStr">
        <is>
          <t>CUT-O-N-AUT-AW-FC-48.00X1.600X0.4000</t>
        </is>
      </c>
    </row>
    <row r="2497">
      <c r="A2497" t="inlineStr">
        <is>
          <t>0000184334</t>
        </is>
      </c>
      <c r="B2497" t="inlineStr">
        <is>
          <t>SAKURA AUTOPARTS INDIA PRIVATE LIMI</t>
        </is>
      </c>
      <c r="C2497" t="inlineStr">
        <is>
          <t>NOS</t>
        </is>
      </c>
      <c r="D2497" t="n">
        <v>1005</v>
      </c>
      <c r="E2497" t="n">
        <v>582.885</v>
      </c>
      <c r="F2497" t="n">
        <v>1067.612</v>
      </c>
      <c r="G2497" t="n">
        <v>3863796</v>
      </c>
      <c r="H2497" t="inlineStr">
        <is>
          <t>CUT-O-N-AUT-AW-FC-48.00X1.600X0.5800</t>
        </is>
      </c>
    </row>
    <row r="2498">
      <c r="A2498" t="inlineStr">
        <is>
          <t>0000184334</t>
        </is>
      </c>
      <c r="B2498" t="inlineStr">
        <is>
          <t>SAKURA AUTOPARTS INDIA PRIVATE LIMI</t>
        </is>
      </c>
      <c r="C2498" t="inlineStr">
        <is>
          <t>NOS</t>
        </is>
      </c>
      <c r="D2498" t="n">
        <v>899</v>
      </c>
      <c r="E2498" t="n">
        <v>521.4059999999999</v>
      </c>
      <c r="F2498" t="n">
        <v>955.008</v>
      </c>
      <c r="G2498" t="n">
        <v>3863796</v>
      </c>
      <c r="H2498" t="inlineStr">
        <is>
          <t>CUT-O-N-AUT-AW-FC-48.00X1.600X0.5800</t>
        </is>
      </c>
    </row>
    <row r="2499">
      <c r="A2499" t="inlineStr">
        <is>
          <t>0000184334</t>
        </is>
      </c>
      <c r="B2499" t="inlineStr">
        <is>
          <t>SAKURA AUTOPARTS INDIA PRIVATE LIMI</t>
        </is>
      </c>
      <c r="C2499" t="inlineStr">
        <is>
          <t>NOS</t>
        </is>
      </c>
      <c r="D2499" t="n">
        <v>199</v>
      </c>
      <c r="E2499" t="n">
        <v>115.417</v>
      </c>
      <c r="F2499" t="n">
        <v>211.398</v>
      </c>
      <c r="G2499" t="n">
        <v>3863796</v>
      </c>
      <c r="H2499" t="inlineStr">
        <is>
          <t>CUT-O-N-AUT-AW-FC-48.00X1.600X0.5800</t>
        </is>
      </c>
    </row>
    <row r="2500">
      <c r="A2500" t="inlineStr">
        <is>
          <t>0000184334</t>
        </is>
      </c>
      <c r="B2500" t="inlineStr">
        <is>
          <t>SAKURA AUTOPARTS INDIA PRIVATE LIMI</t>
        </is>
      </c>
      <c r="C2500" t="inlineStr">
        <is>
          <t>NOS</t>
        </is>
      </c>
      <c r="D2500" t="n">
        <v>17</v>
      </c>
      <c r="E2500" t="n">
        <v>9.859999999999999</v>
      </c>
      <c r="F2500" t="n">
        <v>18.059</v>
      </c>
      <c r="G2500" t="n">
        <v>3863796</v>
      </c>
      <c r="H2500" t="inlineStr">
        <is>
          <t>CUT-O-N-AUT-AW-FC-48.00X1.600X0.5800</t>
        </is>
      </c>
    </row>
    <row r="2501">
      <c r="A2501" t="inlineStr">
        <is>
          <t>0000947306</t>
        </is>
      </c>
      <c r="B2501" t="inlineStr">
        <is>
          <t>NAHARS ENGINEERING INDIA PRIVATE LI</t>
        </is>
      </c>
      <c r="C2501" t="inlineStr">
        <is>
          <t>NOS</t>
        </is>
      </c>
      <c r="D2501" t="n">
        <v>1554</v>
      </c>
      <c r="E2501" t="n">
        <v>358.933</v>
      </c>
      <c r="F2501" t="n">
        <v>337.218</v>
      </c>
      <c r="G2501" t="n">
        <v>2398620</v>
      </c>
      <c r="H2501" t="inlineStr">
        <is>
          <t>TUB-O-N-AUT-AW-PE-25.40X1.600X0.2300</t>
        </is>
      </c>
    </row>
    <row r="2502">
      <c r="A2502" t="inlineStr">
        <is>
          <t>0000947306</t>
        </is>
      </c>
      <c r="B2502" t="inlineStr">
        <is>
          <t>NAHARS ENGINEERING INDIA PRIVATE LI</t>
        </is>
      </c>
      <c r="C2502" t="inlineStr">
        <is>
          <t>NOS</t>
        </is>
      </c>
      <c r="D2502" t="n">
        <v>1096</v>
      </c>
      <c r="E2502" t="n">
        <v>253.147</v>
      </c>
      <c r="F2502" t="n">
        <v>237.832</v>
      </c>
      <c r="G2502" t="n">
        <v>2398620</v>
      </c>
      <c r="H2502" t="inlineStr">
        <is>
          <t>TUB-O-N-AUT-AW-PE-25.40X1.600X0.2300</t>
        </is>
      </c>
    </row>
    <row r="2503">
      <c r="A2503" t="inlineStr">
        <is>
          <t>0000189454</t>
        </is>
      </c>
      <c r="B2503" t="inlineStr">
        <is>
          <t>NAHARS ENGINEERING INDIA PRIVATE LI</t>
        </is>
      </c>
      <c r="C2503" t="inlineStr">
        <is>
          <t>NOS</t>
        </is>
      </c>
      <c r="D2503" t="n">
        <v>2739</v>
      </c>
      <c r="E2503" t="n">
        <v>2422.851</v>
      </c>
      <c r="F2503" t="n">
        <v>2308.977</v>
      </c>
      <c r="G2503" t="n">
        <v>1942696</v>
      </c>
      <c r="H2503" t="inlineStr">
        <is>
          <t>TUB-O-N-AUT-AW-PE-22.23X2.000X0.8840</t>
        </is>
      </c>
    </row>
    <row r="2504">
      <c r="A2504" t="inlineStr">
        <is>
          <t>0000189454</t>
        </is>
      </c>
      <c r="B2504" t="inlineStr">
        <is>
          <t>NAHARS ENGINEERING INDIA PRIVATE LI</t>
        </is>
      </c>
      <c r="C2504" t="inlineStr">
        <is>
          <t>NOS</t>
        </is>
      </c>
      <c r="D2504" t="n">
        <v>2291</v>
      </c>
      <c r="E2504" t="n">
        <v>2026.561</v>
      </c>
      <c r="F2504" t="n">
        <v>1931.313</v>
      </c>
      <c r="G2504" t="n">
        <v>1942696</v>
      </c>
      <c r="H2504" t="inlineStr">
        <is>
          <t>TUB-O-N-AUT-AW-PE-22.23X2.000X0.8840</t>
        </is>
      </c>
    </row>
    <row r="2505">
      <c r="A2505" t="inlineStr">
        <is>
          <t>0000189454</t>
        </is>
      </c>
      <c r="B2505" t="inlineStr">
        <is>
          <t>NAHARS ENGINEERING INDIA PRIVATE LI</t>
        </is>
      </c>
      <c r="C2505" t="inlineStr">
        <is>
          <t>NOS</t>
        </is>
      </c>
      <c r="D2505" t="n">
        <v>1637</v>
      </c>
      <c r="E2505" t="n">
        <v>1448.049</v>
      </c>
      <c r="F2505" t="n">
        <v>1379.991</v>
      </c>
      <c r="G2505" t="n">
        <v>1942696</v>
      </c>
      <c r="H2505" t="inlineStr">
        <is>
          <t>TUB-O-N-AUT-AW-PE-22.23X2.000X0.8840</t>
        </is>
      </c>
    </row>
    <row r="2506">
      <c r="A2506" t="inlineStr">
        <is>
          <t>0000189454</t>
        </is>
      </c>
      <c r="B2506" t="inlineStr">
        <is>
          <t>NAHARS ENGINEERING INDIA PRIVATE LI</t>
        </is>
      </c>
      <c r="C2506" t="inlineStr">
        <is>
          <t>NOS</t>
        </is>
      </c>
      <c r="D2506" t="n">
        <v>1460</v>
      </c>
      <c r="E2506" t="n">
        <v>1291.48</v>
      </c>
      <c r="F2506" t="n">
        <v>1230.78</v>
      </c>
      <c r="G2506" t="n">
        <v>1942696</v>
      </c>
      <c r="H2506" t="inlineStr">
        <is>
          <t>TUB-O-N-AUT-AW-PE-22.23X2.000X0.8840</t>
        </is>
      </c>
    </row>
    <row r="2507">
      <c r="A2507" t="inlineStr">
        <is>
          <t>0000189454</t>
        </is>
      </c>
      <c r="B2507" t="inlineStr">
        <is>
          <t>NAHARS ENGINEERING INDIA PRIVATE LI</t>
        </is>
      </c>
      <c r="C2507" t="inlineStr">
        <is>
          <t>NOS</t>
        </is>
      </c>
      <c r="D2507" t="n">
        <v>698</v>
      </c>
      <c r="E2507" t="n">
        <v>617.433</v>
      </c>
      <c r="F2507" t="n">
        <v>588.414</v>
      </c>
      <c r="G2507" t="n">
        <v>1942696</v>
      </c>
      <c r="H2507" t="inlineStr">
        <is>
          <t>TUB-O-N-AUT-AW-PE-22.23X2.000X0.8840</t>
        </is>
      </c>
    </row>
    <row r="2508">
      <c r="A2508" t="inlineStr">
        <is>
          <t>0000952287</t>
        </is>
      </c>
      <c r="B2508" t="inlineStr">
        <is>
          <t>MYSORE PIPE SUPPLIERS</t>
        </is>
      </c>
      <c r="C2508" t="inlineStr">
        <is>
          <t>KG</t>
        </is>
      </c>
      <c r="D2508" t="n">
        <v>369</v>
      </c>
      <c r="E2508" t="n">
        <v>2212.389</v>
      </c>
      <c r="F2508" t="n">
        <v>2025</v>
      </c>
      <c r="G2508" t="n">
        <v>1940789</v>
      </c>
      <c r="H2508" t="inlineStr">
        <is>
          <t>TUB-R-AW-RHS-40.00X20.00X1.000X6.0000</t>
        </is>
      </c>
    </row>
    <row r="2509">
      <c r="A2509" t="inlineStr">
        <is>
          <t>0000952287</t>
        </is>
      </c>
      <c r="B2509" t="inlineStr">
        <is>
          <t>MYSORE PIPE SUPPLIERS</t>
        </is>
      </c>
      <c r="C2509" t="inlineStr">
        <is>
          <t>KG</t>
        </is>
      </c>
      <c r="D2509" t="n">
        <v>39</v>
      </c>
      <c r="E2509" t="n">
        <v>234.896</v>
      </c>
      <c r="F2509" t="n">
        <v>215</v>
      </c>
      <c r="G2509" t="n">
        <v>1940789</v>
      </c>
      <c r="H2509" t="inlineStr">
        <is>
          <t>TUB-R-AW-RHS-40.00X20.00X1.000X6.0000</t>
        </is>
      </c>
    </row>
    <row r="2510">
      <c r="A2510" t="inlineStr">
        <is>
          <t>0000952287</t>
        </is>
      </c>
      <c r="B2510" t="inlineStr">
        <is>
          <t>MYSORE PIPE SUPPLIERS</t>
        </is>
      </c>
      <c r="C2510" t="inlineStr">
        <is>
          <t>KG</t>
        </is>
      </c>
      <c r="D2510" t="n">
        <v>842</v>
      </c>
      <c r="E2510" t="n">
        <v>4632.714</v>
      </c>
      <c r="F2510" t="n">
        <v>1700</v>
      </c>
      <c r="G2510" t="n">
        <v>4269798</v>
      </c>
      <c r="H2510" t="inlineStr">
        <is>
          <t>TUB-O-N-GEN-AW-PE-15.88X1.000X5.5000</t>
        </is>
      </c>
    </row>
    <row r="2511">
      <c r="A2511" t="inlineStr">
        <is>
          <t>0000952287</t>
        </is>
      </c>
      <c r="B2511" t="inlineStr">
        <is>
          <t>MYSORE PIPE SUPPLIERS</t>
        </is>
      </c>
      <c r="C2511" t="inlineStr">
        <is>
          <t>KG</t>
        </is>
      </c>
      <c r="D2511" t="n">
        <v>1090</v>
      </c>
      <c r="E2511" t="n">
        <v>5995.276</v>
      </c>
      <c r="F2511" t="n">
        <v>2200</v>
      </c>
      <c r="G2511" t="n">
        <v>4269798</v>
      </c>
      <c r="H2511" t="inlineStr">
        <is>
          <t>TUB-O-N-GEN-AW-PE-15.88X1.000X5.5000</t>
        </is>
      </c>
    </row>
    <row r="2512">
      <c r="A2512" t="inlineStr">
        <is>
          <t>0000952287</t>
        </is>
      </c>
      <c r="B2512" t="inlineStr">
        <is>
          <t>MYSORE PIPE SUPPLIERS</t>
        </is>
      </c>
      <c r="C2512" t="inlineStr">
        <is>
          <t>KG</t>
        </is>
      </c>
      <c r="D2512" t="n">
        <v>555</v>
      </c>
      <c r="E2512" t="n">
        <v>3052.141</v>
      </c>
      <c r="F2512" t="n">
        <v>1120</v>
      </c>
      <c r="G2512" t="n">
        <v>4269798</v>
      </c>
      <c r="H2512" t="inlineStr">
        <is>
          <t>TUB-O-N-GEN-AW-PE-15.88X1.000X5.5000</t>
        </is>
      </c>
    </row>
    <row r="2513">
      <c r="A2513" t="inlineStr">
        <is>
          <t>0000952287</t>
        </is>
      </c>
      <c r="B2513" t="inlineStr">
        <is>
          <t>MYSORE PIPE SUPPLIERS</t>
        </is>
      </c>
      <c r="C2513" t="inlineStr">
        <is>
          <t>KG</t>
        </is>
      </c>
      <c r="D2513" t="n">
        <v>736</v>
      </c>
      <c r="E2513" t="n">
        <v>4414.704</v>
      </c>
      <c r="F2513" t="n">
        <v>1620</v>
      </c>
      <c r="G2513" t="n">
        <v>4269799</v>
      </c>
      <c r="H2513" t="inlineStr">
        <is>
          <t>TUB-O-N-GEN-AW-PE-15.88X1.000X6.0000</t>
        </is>
      </c>
    </row>
    <row r="2514">
      <c r="A2514" t="inlineStr">
        <is>
          <t>0000952287</t>
        </is>
      </c>
      <c r="B2514" t="inlineStr">
        <is>
          <t>MYSORE PIPE SUPPLIERS</t>
        </is>
      </c>
      <c r="C2514" t="inlineStr">
        <is>
          <t>KG</t>
        </is>
      </c>
      <c r="D2514" t="n">
        <v>733</v>
      </c>
      <c r="E2514" t="n">
        <v>4401.078</v>
      </c>
      <c r="F2514" t="n">
        <v>1615</v>
      </c>
      <c r="G2514" t="n">
        <v>4269799</v>
      </c>
      <c r="H2514" t="inlineStr">
        <is>
          <t>TUB-O-N-GEN-AW-PE-15.88X1.000X6.0000</t>
        </is>
      </c>
    </row>
    <row r="2515">
      <c r="A2515" t="inlineStr">
        <is>
          <t>0000952287</t>
        </is>
      </c>
      <c r="B2515" t="inlineStr">
        <is>
          <t>MYSORE PIPE SUPPLIERS</t>
        </is>
      </c>
      <c r="C2515" t="inlineStr">
        <is>
          <t>KG</t>
        </is>
      </c>
      <c r="D2515" t="n">
        <v>361</v>
      </c>
      <c r="E2515" t="n">
        <v>2166.475</v>
      </c>
      <c r="F2515" t="n">
        <v>795</v>
      </c>
      <c r="G2515" t="n">
        <v>4269799</v>
      </c>
      <c r="H2515" t="inlineStr">
        <is>
          <t>TUB-O-N-GEN-AW-PE-15.88X1.000X6.0000</t>
        </is>
      </c>
    </row>
    <row r="2516">
      <c r="A2516" t="inlineStr">
        <is>
          <t>0000952287</t>
        </is>
      </c>
      <c r="B2516" t="inlineStr">
        <is>
          <t>MYSORE PIPE SUPPLIERS</t>
        </is>
      </c>
      <c r="C2516" t="inlineStr">
        <is>
          <t>KG</t>
        </is>
      </c>
      <c r="D2516" t="n">
        <v>347</v>
      </c>
      <c r="E2516" t="n">
        <v>2084.721</v>
      </c>
      <c r="F2516" t="n">
        <v>765</v>
      </c>
      <c r="G2516" t="n">
        <v>4269799</v>
      </c>
      <c r="H2516" t="inlineStr">
        <is>
          <t>TUB-O-N-GEN-AW-PE-15.88X1.000X6.0000</t>
        </is>
      </c>
    </row>
    <row r="2517">
      <c r="A2517" t="inlineStr">
        <is>
          <t>0000952287</t>
        </is>
      </c>
      <c r="B2517" t="inlineStr">
        <is>
          <t>MYSORE PIPE SUPPLIERS</t>
        </is>
      </c>
      <c r="C2517" t="inlineStr">
        <is>
          <t>KG</t>
        </is>
      </c>
      <c r="D2517" t="n">
        <v>347</v>
      </c>
      <c r="E2517" t="n">
        <v>2084.721</v>
      </c>
      <c r="F2517" t="n">
        <v>765</v>
      </c>
      <c r="G2517" t="n">
        <v>4269799</v>
      </c>
      <c r="H2517" t="inlineStr">
        <is>
          <t>TUB-O-N-GEN-AW-PE-15.88X1.000X6.0000</t>
        </is>
      </c>
    </row>
    <row r="2518">
      <c r="A2518" t="inlineStr">
        <is>
          <t>0000952287</t>
        </is>
      </c>
      <c r="B2518" t="inlineStr">
        <is>
          <t>MYSORE PIPE SUPPLIERS</t>
        </is>
      </c>
      <c r="C2518" t="inlineStr">
        <is>
          <t>KG</t>
        </is>
      </c>
      <c r="D2518" t="n">
        <v>228</v>
      </c>
      <c r="E2518" t="n">
        <v>1368.305</v>
      </c>
      <c r="F2518" t="n">
        <v>1865</v>
      </c>
      <c r="G2518" t="n">
        <v>1931893</v>
      </c>
      <c r="H2518" t="inlineStr">
        <is>
          <t>TUB-R-FH-GEN-40.00X20.00X1.510X6.0000</t>
        </is>
      </c>
    </row>
    <row r="2519">
      <c r="A2519" t="inlineStr">
        <is>
          <t>0000952287</t>
        </is>
      </c>
      <c r="B2519" t="inlineStr">
        <is>
          <t>MYSORE PIPE SUPPLIERS</t>
        </is>
      </c>
      <c r="C2519" t="inlineStr">
        <is>
          <t>KG</t>
        </is>
      </c>
      <c r="D2519" t="n">
        <v>257</v>
      </c>
      <c r="E2519" t="n">
        <v>1540.719</v>
      </c>
      <c r="F2519" t="n">
        <v>2100</v>
      </c>
      <c r="G2519" t="n">
        <v>1931893</v>
      </c>
      <c r="H2519" t="inlineStr">
        <is>
          <t>TUB-R-FH-GEN-40.00X20.00X1.510X6.0000</t>
        </is>
      </c>
    </row>
    <row r="2520">
      <c r="A2520" t="inlineStr">
        <is>
          <t>0000952287</t>
        </is>
      </c>
      <c r="B2520" t="inlineStr">
        <is>
          <t>MYSORE PIPE SUPPLIERS</t>
        </is>
      </c>
      <c r="C2520" t="inlineStr">
        <is>
          <t>KG</t>
        </is>
      </c>
      <c r="D2520" t="n">
        <v>175</v>
      </c>
      <c r="E2520" t="n">
        <v>1052.825</v>
      </c>
      <c r="F2520" t="n">
        <v>1435</v>
      </c>
      <c r="G2520" t="n">
        <v>1931893</v>
      </c>
      <c r="H2520" t="inlineStr">
        <is>
          <t>TUB-R-FH-GEN-40.00X20.00X1.510X6.0000</t>
        </is>
      </c>
    </row>
    <row r="2521">
      <c r="A2521" t="inlineStr">
        <is>
          <t>0000943209</t>
        </is>
      </c>
      <c r="B2521" t="inlineStr">
        <is>
          <t>MEGH STEELS PRIVATE LIMITED - TVS A</t>
        </is>
      </c>
      <c r="C2521" t="inlineStr">
        <is>
          <t>KG</t>
        </is>
      </c>
      <c r="D2521" t="n">
        <v>26</v>
      </c>
      <c r="E2521" t="n">
        <v>156.646</v>
      </c>
      <c r="F2521" t="n">
        <v>149</v>
      </c>
      <c r="G2521" t="n">
        <v>4272693</v>
      </c>
      <c r="H2521" t="inlineStr">
        <is>
          <t>TUB-O-N-AUT-AW-FC-22.20X2.000X5.9500</t>
        </is>
      </c>
    </row>
    <row r="2522">
      <c r="A2522" t="inlineStr">
        <is>
          <t>0000943209</t>
        </is>
      </c>
      <c r="B2522" t="inlineStr">
        <is>
          <t>MEGH STEELS PRIVATE LIMITED - TVS A</t>
        </is>
      </c>
      <c r="C2522" t="inlineStr">
        <is>
          <t>KG</t>
        </is>
      </c>
      <c r="D2522" t="n">
        <v>233</v>
      </c>
      <c r="E2522" t="n">
        <v>1387.737</v>
      </c>
      <c r="F2522" t="n">
        <v>1320</v>
      </c>
      <c r="G2522" t="n">
        <v>4272693</v>
      </c>
      <c r="H2522" t="inlineStr">
        <is>
          <t>TUB-O-N-AUT-AW-FC-22.20X2.000X5.9500</t>
        </is>
      </c>
    </row>
    <row r="2523">
      <c r="A2523" t="inlineStr">
        <is>
          <t>0000943209</t>
        </is>
      </c>
      <c r="B2523" t="inlineStr">
        <is>
          <t>MEGH STEELS PRIVATE LIMITED - TVS A</t>
        </is>
      </c>
      <c r="C2523" t="inlineStr">
        <is>
          <t>KG</t>
        </is>
      </c>
      <c r="D2523" t="n">
        <v>491</v>
      </c>
      <c r="E2523" t="n">
        <v>2922.658</v>
      </c>
      <c r="F2523" t="n">
        <v>2780</v>
      </c>
      <c r="G2523" t="n">
        <v>4272693</v>
      </c>
      <c r="H2523" t="inlineStr">
        <is>
          <t>TUB-O-N-AUT-AW-FC-22.20X2.000X5.9500</t>
        </is>
      </c>
    </row>
    <row r="2524">
      <c r="A2524" t="inlineStr">
        <is>
          <t>0000943209</t>
        </is>
      </c>
      <c r="B2524" t="inlineStr">
        <is>
          <t>MEGH STEELS PRIVATE LIMITED - TVS A</t>
        </is>
      </c>
      <c r="C2524" t="inlineStr">
        <is>
          <t>KG</t>
        </is>
      </c>
      <c r="D2524" t="n">
        <v>489</v>
      </c>
      <c r="E2524" t="n">
        <v>2906.888</v>
      </c>
      <c r="F2524" t="n">
        <v>2765</v>
      </c>
      <c r="G2524" t="n">
        <v>4272693</v>
      </c>
      <c r="H2524" t="inlineStr">
        <is>
          <t>TUB-O-N-AUT-AW-FC-22.20X2.000X5.9500</t>
        </is>
      </c>
    </row>
    <row r="2525">
      <c r="A2525" t="inlineStr">
        <is>
          <t>0000943209</t>
        </is>
      </c>
      <c r="B2525" t="inlineStr">
        <is>
          <t>MEGH STEELS PRIVATE LIMITED - TVS A</t>
        </is>
      </c>
      <c r="C2525" t="inlineStr">
        <is>
          <t>KG</t>
        </is>
      </c>
      <c r="D2525" t="n">
        <v>495</v>
      </c>
      <c r="E2525" t="n">
        <v>2943.685</v>
      </c>
      <c r="F2525" t="n">
        <v>2800</v>
      </c>
      <c r="G2525" t="n">
        <v>4272693</v>
      </c>
      <c r="H2525" t="inlineStr">
        <is>
          <t>TUB-O-N-AUT-AW-FC-22.20X2.000X5.9500</t>
        </is>
      </c>
    </row>
    <row r="2526">
      <c r="A2526" t="inlineStr">
        <is>
          <t>0000943209</t>
        </is>
      </c>
      <c r="B2526" t="inlineStr">
        <is>
          <t>MEGH STEELS PRIVATE LIMITED - TVS A</t>
        </is>
      </c>
      <c r="C2526" t="inlineStr">
        <is>
          <t>KG</t>
        </is>
      </c>
      <c r="D2526" t="n">
        <v>292</v>
      </c>
      <c r="E2526" t="n">
        <v>1735.723</v>
      </c>
      <c r="F2526" t="n">
        <v>1651</v>
      </c>
      <c r="G2526" t="n">
        <v>4272693</v>
      </c>
      <c r="H2526" t="inlineStr">
        <is>
          <t>TUB-O-N-AUT-AW-FC-22.20X2.000X5.9500</t>
        </is>
      </c>
    </row>
    <row r="2527">
      <c r="A2527" t="inlineStr">
        <is>
          <t>0000943209</t>
        </is>
      </c>
      <c r="B2527" t="inlineStr">
        <is>
          <t>MEGH STEELS PRIVATE LIMITED - TVS A</t>
        </is>
      </c>
      <c r="C2527" t="inlineStr">
        <is>
          <t>KG</t>
        </is>
      </c>
      <c r="D2527" t="n">
        <v>366</v>
      </c>
      <c r="E2527" t="n">
        <v>2176.224</v>
      </c>
      <c r="F2527" t="n">
        <v>2070</v>
      </c>
      <c r="G2527" t="n">
        <v>4272693</v>
      </c>
      <c r="H2527" t="inlineStr">
        <is>
          <t>TUB-O-N-AUT-AW-FC-22.20X2.000X5.9500</t>
        </is>
      </c>
    </row>
    <row r="2528">
      <c r="A2528" t="inlineStr">
        <is>
          <t>0000943209</t>
        </is>
      </c>
      <c r="B2528" t="inlineStr">
        <is>
          <t>MEGH STEELS PRIVATE LIMITED - TVS A</t>
        </is>
      </c>
      <c r="C2528" t="inlineStr">
        <is>
          <t>KG</t>
        </is>
      </c>
      <c r="D2528" t="n">
        <v>402</v>
      </c>
      <c r="E2528" t="n">
        <v>2391.744</v>
      </c>
      <c r="F2528" t="n">
        <v>2275</v>
      </c>
      <c r="G2528" t="n">
        <v>4272693</v>
      </c>
      <c r="H2528" t="inlineStr">
        <is>
          <t>TUB-O-N-AUT-AW-FC-22.20X2.000X5.9500</t>
        </is>
      </c>
    </row>
    <row r="2529">
      <c r="A2529" t="inlineStr">
        <is>
          <t>0000943209</t>
        </is>
      </c>
      <c r="B2529" t="inlineStr">
        <is>
          <t>MEGH STEELS PRIVATE LIMITED - TVS A</t>
        </is>
      </c>
      <c r="C2529" t="inlineStr">
        <is>
          <t>KG</t>
        </is>
      </c>
      <c r="D2529" t="n">
        <v>382</v>
      </c>
      <c r="E2529" t="n">
        <v>2272.945</v>
      </c>
      <c r="F2529" t="n">
        <v>2162</v>
      </c>
      <c r="G2529" t="n">
        <v>4272693</v>
      </c>
      <c r="H2529" t="inlineStr">
        <is>
          <t>TUB-O-N-AUT-AW-FC-22.20X2.000X5.9500</t>
        </is>
      </c>
    </row>
    <row r="2530">
      <c r="A2530" t="inlineStr">
        <is>
          <t>0000943209</t>
        </is>
      </c>
      <c r="B2530" t="inlineStr">
        <is>
          <t>MEGH STEELS PRIVATE LIMITED - TVS A</t>
        </is>
      </c>
      <c r="C2530" t="inlineStr">
        <is>
          <t>KG</t>
        </is>
      </c>
      <c r="D2530" t="n">
        <v>515</v>
      </c>
      <c r="E2530" t="n">
        <v>3063.535</v>
      </c>
      <c r="F2530" t="n">
        <v>2914</v>
      </c>
      <c r="G2530" t="n">
        <v>4272693</v>
      </c>
      <c r="H2530" t="inlineStr">
        <is>
          <t>TUB-O-N-AUT-AW-FC-22.20X2.000X5.9500</t>
        </is>
      </c>
    </row>
    <row r="2531">
      <c r="A2531" t="inlineStr">
        <is>
          <t>0000943209</t>
        </is>
      </c>
      <c r="B2531" t="inlineStr">
        <is>
          <t>MEGH STEELS PRIVATE LIMITED - TVS A</t>
        </is>
      </c>
      <c r="C2531" t="inlineStr">
        <is>
          <t>KG</t>
        </is>
      </c>
      <c r="D2531" t="n">
        <v>48</v>
      </c>
      <c r="E2531" t="n">
        <v>288.061</v>
      </c>
      <c r="F2531" t="n">
        <v>274</v>
      </c>
      <c r="G2531" t="n">
        <v>4272693</v>
      </c>
      <c r="H2531" t="inlineStr">
        <is>
          <t>TUB-O-N-AUT-AW-FC-22.20X2.000X5.9500</t>
        </is>
      </c>
    </row>
    <row r="2532">
      <c r="A2532" t="inlineStr">
        <is>
          <t>0000189002</t>
        </is>
      </c>
      <c r="B2532" t="inlineStr">
        <is>
          <t>Marathwada Auto Compo Pvt. Ltd.</t>
        </is>
      </c>
      <c r="C2532" t="inlineStr">
        <is>
          <t>M</t>
        </is>
      </c>
      <c r="D2532" t="n">
        <v>58</v>
      </c>
      <c r="E2532" t="n">
        <v>348</v>
      </c>
      <c r="F2532" t="n">
        <v>192.479</v>
      </c>
      <c r="G2532" t="n">
        <v>1940146</v>
      </c>
      <c r="H2532" t="inlineStr">
        <is>
          <t>TUB-S-FH-SHS-19.00X19.00X1.000X6.0000</t>
        </is>
      </c>
    </row>
    <row r="2533">
      <c r="A2533" t="inlineStr">
        <is>
          <t>0000189002</t>
        </is>
      </c>
      <c r="B2533" t="inlineStr">
        <is>
          <t>Marathwada Auto Compo Pvt. Ltd.</t>
        </is>
      </c>
      <c r="C2533" t="inlineStr">
        <is>
          <t>M</t>
        </is>
      </c>
      <c r="D2533" t="n">
        <v>155</v>
      </c>
      <c r="E2533" t="n">
        <v>931</v>
      </c>
      <c r="F2533" t="n">
        <v>514.936</v>
      </c>
      <c r="G2533" t="n">
        <v>1940146</v>
      </c>
      <c r="H2533" t="inlineStr">
        <is>
          <t>TUB-S-FH-SHS-19.00X19.00X1.000X6.0000</t>
        </is>
      </c>
    </row>
    <row r="2534">
      <c r="A2534" t="inlineStr">
        <is>
          <t>0000189002</t>
        </is>
      </c>
      <c r="B2534" t="inlineStr">
        <is>
          <t>Marathwada Auto Compo Pvt. Ltd.</t>
        </is>
      </c>
      <c r="C2534" t="inlineStr">
        <is>
          <t>M</t>
        </is>
      </c>
      <c r="D2534" t="n">
        <v>147</v>
      </c>
      <c r="E2534" t="n">
        <v>885</v>
      </c>
      <c r="F2534" t="n">
        <v>489.494</v>
      </c>
      <c r="G2534" t="n">
        <v>1940146</v>
      </c>
      <c r="H2534" t="inlineStr">
        <is>
          <t>TUB-S-FH-SHS-19.00X19.00X1.000X6.0000</t>
        </is>
      </c>
    </row>
    <row r="2535">
      <c r="A2535" t="inlineStr">
        <is>
          <t>0000189002</t>
        </is>
      </c>
      <c r="B2535" t="inlineStr">
        <is>
          <t>Marathwada Auto Compo Pvt. Ltd.</t>
        </is>
      </c>
      <c r="C2535" t="inlineStr">
        <is>
          <t>M</t>
        </is>
      </c>
      <c r="D2535" t="n">
        <v>144</v>
      </c>
      <c r="E2535" t="n">
        <v>865</v>
      </c>
      <c r="F2535" t="n">
        <v>478.432</v>
      </c>
      <c r="G2535" t="n">
        <v>1940146</v>
      </c>
      <c r="H2535" t="inlineStr">
        <is>
          <t>TUB-S-FH-SHS-19.00X19.00X1.000X6.0000</t>
        </is>
      </c>
    </row>
    <row r="2536">
      <c r="A2536" t="inlineStr">
        <is>
          <t>0000189002</t>
        </is>
      </c>
      <c r="B2536" t="inlineStr">
        <is>
          <t>Marathwada Auto Compo Pvt. Ltd.</t>
        </is>
      </c>
      <c r="C2536" t="inlineStr">
        <is>
          <t>M</t>
        </is>
      </c>
      <c r="D2536" t="n">
        <v>126</v>
      </c>
      <c r="E2536" t="n">
        <v>756</v>
      </c>
      <c r="F2536" t="n">
        <v>418.144</v>
      </c>
      <c r="G2536" t="n">
        <v>1940146</v>
      </c>
      <c r="H2536" t="inlineStr">
        <is>
          <t>TUB-S-FH-SHS-19.00X19.00X1.000X6.0000</t>
        </is>
      </c>
    </row>
    <row r="2537">
      <c r="A2537" t="inlineStr">
        <is>
          <t>0000189002</t>
        </is>
      </c>
      <c r="B2537" t="inlineStr">
        <is>
          <t>Marathwada Auto Compo Pvt. Ltd.</t>
        </is>
      </c>
      <c r="C2537" t="inlineStr">
        <is>
          <t>M</t>
        </is>
      </c>
      <c r="D2537" t="n">
        <v>200</v>
      </c>
      <c r="E2537" t="n">
        <v>1200</v>
      </c>
      <c r="F2537" t="n">
        <v>663.72</v>
      </c>
      <c r="G2537" t="n">
        <v>1940146</v>
      </c>
      <c r="H2537" t="inlineStr">
        <is>
          <t>TUB-S-FH-SHS-19.00X19.00X1.000X6.0000</t>
        </is>
      </c>
    </row>
    <row r="2538">
      <c r="A2538" t="inlineStr">
        <is>
          <t>0000189002</t>
        </is>
      </c>
      <c r="B2538" t="inlineStr">
        <is>
          <t>Marathwada Auto Compo Pvt. Ltd.</t>
        </is>
      </c>
      <c r="C2538" t="inlineStr">
        <is>
          <t>M</t>
        </is>
      </c>
      <c r="D2538" t="n">
        <v>115</v>
      </c>
      <c r="E2538" t="n">
        <v>691</v>
      </c>
      <c r="F2538" t="n">
        <v>382.192</v>
      </c>
      <c r="G2538" t="n">
        <v>1940146</v>
      </c>
      <c r="H2538" t="inlineStr">
        <is>
          <t>TUB-S-FH-SHS-19.00X19.00X1.000X6.0000</t>
        </is>
      </c>
    </row>
    <row r="2539">
      <c r="A2539" t="inlineStr">
        <is>
          <t>0000189002</t>
        </is>
      </c>
      <c r="B2539" t="inlineStr">
        <is>
          <t>Marathwada Auto Compo Pvt. Ltd.</t>
        </is>
      </c>
      <c r="C2539" t="inlineStr">
        <is>
          <t>M</t>
        </is>
      </c>
      <c r="D2539" t="n">
        <v>31</v>
      </c>
      <c r="E2539" t="n">
        <v>178</v>
      </c>
      <c r="F2539" t="n">
        <v>194.447</v>
      </c>
      <c r="G2539" t="n">
        <v>3597714</v>
      </c>
      <c r="H2539" t="inlineStr">
        <is>
          <t>TUB-R-AW-AUT-40.00X20.00X1.200X5.6800</t>
        </is>
      </c>
    </row>
    <row r="2540">
      <c r="A2540" t="inlineStr">
        <is>
          <t>0000189002</t>
        </is>
      </c>
      <c r="B2540" t="inlineStr">
        <is>
          <t>Marathwada Auto Compo Pvt. Ltd.</t>
        </is>
      </c>
      <c r="C2540" t="inlineStr">
        <is>
          <t>M</t>
        </is>
      </c>
      <c r="D2540" t="n">
        <v>169</v>
      </c>
      <c r="E2540" t="n">
        <v>958</v>
      </c>
      <c r="F2540" t="n">
        <v>1046.519</v>
      </c>
      <c r="G2540" t="n">
        <v>3597714</v>
      </c>
      <c r="H2540" t="inlineStr">
        <is>
          <t>TUB-R-AW-AUT-40.00X20.00X1.200X5.6800</t>
        </is>
      </c>
    </row>
    <row r="2541">
      <c r="A2541" t="inlineStr">
        <is>
          <t>0000189002</t>
        </is>
      </c>
      <c r="B2541" t="inlineStr">
        <is>
          <t>Marathwada Auto Compo Pvt. Ltd.</t>
        </is>
      </c>
      <c r="C2541" t="inlineStr">
        <is>
          <t>M</t>
        </is>
      </c>
      <c r="D2541" t="n">
        <v>998</v>
      </c>
      <c r="E2541" t="n">
        <v>5988</v>
      </c>
      <c r="F2541" t="n">
        <v>2623.343</v>
      </c>
      <c r="G2541" t="n">
        <v>1940014</v>
      </c>
      <c r="H2541" t="inlineStr">
        <is>
          <t>TUB-O-O-GEN-AW-PE-12.70X1.600X6.0000</t>
        </is>
      </c>
    </row>
    <row r="2542">
      <c r="A2542" t="inlineStr">
        <is>
          <t>0000189002</t>
        </is>
      </c>
      <c r="B2542" t="inlineStr">
        <is>
          <t>Marathwada Auto Compo Pvt. Ltd.</t>
        </is>
      </c>
      <c r="C2542" t="inlineStr">
        <is>
          <t>M</t>
        </is>
      </c>
      <c r="D2542" t="n">
        <v>200</v>
      </c>
      <c r="E2542" t="n">
        <v>1172</v>
      </c>
      <c r="F2542" t="n">
        <v>1611.383</v>
      </c>
      <c r="G2542" t="n">
        <v>3929636</v>
      </c>
      <c r="H2542" t="inlineStr">
        <is>
          <t>TUB-R-AW-AUT-40.00X20.00X1.600X5.8600</t>
        </is>
      </c>
    </row>
    <row r="2543">
      <c r="A2543" t="inlineStr">
        <is>
          <t>0000189002</t>
        </is>
      </c>
      <c r="B2543" t="inlineStr">
        <is>
          <t>Marathwada Auto Compo Pvt. Ltd.</t>
        </is>
      </c>
      <c r="C2543" t="inlineStr">
        <is>
          <t>NOS</t>
        </is>
      </c>
      <c r="D2543" t="n">
        <v>814</v>
      </c>
      <c r="E2543" t="n">
        <v>1066.656</v>
      </c>
      <c r="F2543" t="n">
        <v>1174.602</v>
      </c>
      <c r="G2543" t="n">
        <v>1940801</v>
      </c>
      <c r="H2543" t="inlineStr">
        <is>
          <t>TUB-R-AW-RHS-40.00X20.00X1.210X1.3100</t>
        </is>
      </c>
    </row>
    <row r="2544">
      <c r="A2544" t="inlineStr">
        <is>
          <t>0000189002</t>
        </is>
      </c>
      <c r="B2544" t="inlineStr">
        <is>
          <t>Marathwada Auto Compo Pvt. Ltd.</t>
        </is>
      </c>
      <c r="C2544" t="inlineStr">
        <is>
          <t>NOS</t>
        </is>
      </c>
      <c r="D2544" t="n">
        <v>565</v>
      </c>
      <c r="E2544" t="n">
        <v>740.37</v>
      </c>
      <c r="F2544" t="n">
        <v>815.295</v>
      </c>
      <c r="G2544" t="n">
        <v>1940801</v>
      </c>
      <c r="H2544" t="inlineStr">
        <is>
          <t>TUB-R-AW-RHS-40.00X20.00X1.210X1.3100</t>
        </is>
      </c>
    </row>
    <row r="2545">
      <c r="A2545" t="inlineStr">
        <is>
          <t>0000189002</t>
        </is>
      </c>
      <c r="B2545" t="inlineStr">
        <is>
          <t>Marathwada Auto Compo Pvt. Ltd.</t>
        </is>
      </c>
      <c r="C2545" t="inlineStr">
        <is>
          <t>NOS</t>
        </is>
      </c>
      <c r="D2545" t="n">
        <v>121</v>
      </c>
      <c r="E2545" t="n">
        <v>158.557</v>
      </c>
      <c r="F2545" t="n">
        <v>174.603</v>
      </c>
      <c r="G2545" t="n">
        <v>1940801</v>
      </c>
      <c r="H2545" t="inlineStr">
        <is>
          <t>TUB-R-AW-RHS-40.00X20.00X1.210X1.3100</t>
        </is>
      </c>
    </row>
    <row r="2546">
      <c r="A2546" t="inlineStr">
        <is>
          <t>0000189002</t>
        </is>
      </c>
      <c r="B2546" t="inlineStr">
        <is>
          <t>Marathwada Auto Compo Pvt. Ltd.</t>
        </is>
      </c>
      <c r="C2546" t="inlineStr">
        <is>
          <t>NOS</t>
        </is>
      </c>
      <c r="D2546" t="n">
        <v>449</v>
      </c>
      <c r="E2546" t="n">
        <v>559.823</v>
      </c>
      <c r="F2546" t="n">
        <v>616.477</v>
      </c>
      <c r="G2546" t="n">
        <v>3233554</v>
      </c>
      <c r="H2546" t="inlineStr">
        <is>
          <t>TUB-R-AW-AUT-40.00X20.00X1.210X1.2460</t>
        </is>
      </c>
    </row>
    <row r="2547">
      <c r="A2547" t="inlineStr">
        <is>
          <t>0000189002</t>
        </is>
      </c>
      <c r="B2547" t="inlineStr">
        <is>
          <t>Marathwada Auto Compo Pvt. Ltd.</t>
        </is>
      </c>
      <c r="C2547" t="inlineStr">
        <is>
          <t>NOS</t>
        </is>
      </c>
      <c r="D2547" t="n">
        <v>51</v>
      </c>
      <c r="E2547" t="n">
        <v>63.588</v>
      </c>
      <c r="F2547" t="n">
        <v>70.023</v>
      </c>
      <c r="G2547" t="n">
        <v>3233554</v>
      </c>
      <c r="H2547" t="inlineStr">
        <is>
          <t>TUB-R-AW-AUT-40.00X20.00X1.210X1.2460</t>
        </is>
      </c>
    </row>
    <row r="2548">
      <c r="A2548" t="inlineStr">
        <is>
          <t>0000189002</t>
        </is>
      </c>
      <c r="B2548" t="inlineStr">
        <is>
          <t>Marathwada Auto Compo Pvt. Ltd.</t>
        </is>
      </c>
      <c r="C2548" t="inlineStr">
        <is>
          <t>NOS</t>
        </is>
      </c>
      <c r="D2548" t="n">
        <v>1699</v>
      </c>
      <c r="E2548" t="n">
        <v>1903.892</v>
      </c>
      <c r="F2548" t="n">
        <v>2096.566</v>
      </c>
      <c r="G2548" t="n">
        <v>3233555</v>
      </c>
      <c r="H2548" t="inlineStr">
        <is>
          <t>TUB-R-AW-AUT-40.00X20.00X1.210X1.1200</t>
        </is>
      </c>
    </row>
    <row r="2549">
      <c r="A2549" t="inlineStr">
        <is>
          <t>0000189002</t>
        </is>
      </c>
      <c r="B2549" t="inlineStr">
        <is>
          <t>Marathwada Auto Compo Pvt. Ltd.</t>
        </is>
      </c>
      <c r="C2549" t="inlineStr">
        <is>
          <t>NOS</t>
        </is>
      </c>
      <c r="D2549" t="n">
        <v>301</v>
      </c>
      <c r="E2549" t="n">
        <v>337.299</v>
      </c>
      <c r="F2549" t="n">
        <v>371.434</v>
      </c>
      <c r="G2549" t="n">
        <v>3233555</v>
      </c>
      <c r="H2549" t="inlineStr">
        <is>
          <t>TUB-R-AW-AUT-40.00X20.00X1.210X1.1200</t>
        </is>
      </c>
    </row>
    <row r="2550">
      <c r="A2550" t="inlineStr">
        <is>
          <t>0000189002</t>
        </is>
      </c>
      <c r="B2550" t="inlineStr">
        <is>
          <t>Marathwada Auto Compo Pvt. Ltd.</t>
        </is>
      </c>
      <c r="C2550" t="inlineStr">
        <is>
          <t>NOS</t>
        </is>
      </c>
      <c r="D2550" t="n">
        <v>1797</v>
      </c>
      <c r="E2550" t="n">
        <v>1546.302</v>
      </c>
      <c r="F2550" t="n">
        <v>1689.18</v>
      </c>
      <c r="G2550" t="n">
        <v>3572051</v>
      </c>
      <c r="H2550" t="inlineStr">
        <is>
          <t>TUB-R-AW-AUT-40.00X20.00X1.200X0.8600</t>
        </is>
      </c>
    </row>
    <row r="2551">
      <c r="A2551" t="inlineStr">
        <is>
          <t>0000189002</t>
        </is>
      </c>
      <c r="B2551" t="inlineStr">
        <is>
          <t>Marathwada Auto Compo Pvt. Ltd.</t>
        </is>
      </c>
      <c r="C2551" t="inlineStr">
        <is>
          <t>NOS</t>
        </is>
      </c>
      <c r="D2551" t="n">
        <v>203</v>
      </c>
      <c r="E2551" t="n">
        <v>174.68</v>
      </c>
      <c r="F2551" t="n">
        <v>190.82</v>
      </c>
      <c r="G2551" t="n">
        <v>3572051</v>
      </c>
      <c r="H2551" t="inlineStr">
        <is>
          <t>TUB-R-AW-AUT-40.00X20.00X1.200X0.8600</t>
        </is>
      </c>
    </row>
    <row r="2552">
      <c r="A2552" t="inlineStr">
        <is>
          <t>0000189002</t>
        </is>
      </c>
      <c r="B2552" t="inlineStr">
        <is>
          <t>Marathwada Auto Compo Pvt. Ltd.</t>
        </is>
      </c>
      <c r="C2552" t="inlineStr">
        <is>
          <t>NOS</t>
        </is>
      </c>
      <c r="D2552" t="n">
        <v>1000</v>
      </c>
      <c r="E2552" t="n">
        <v>800.0359999999999</v>
      </c>
      <c r="F2552" t="n">
        <v>881</v>
      </c>
      <c r="G2552" t="n">
        <v>3233557</v>
      </c>
      <c r="H2552" t="inlineStr">
        <is>
          <t>TUB-R-AW-AUT-40.00X20.00X1.210X0.8000</t>
        </is>
      </c>
    </row>
    <row r="2553">
      <c r="A2553" t="inlineStr">
        <is>
          <t>0000189002</t>
        </is>
      </c>
      <c r="B2553" t="inlineStr">
        <is>
          <t>Marathwada Auto Compo Pvt. Ltd.</t>
        </is>
      </c>
      <c r="C2553" t="inlineStr">
        <is>
          <t>NOS</t>
        </is>
      </c>
      <c r="D2553" t="n">
        <v>500</v>
      </c>
      <c r="E2553" t="n">
        <v>622.999</v>
      </c>
      <c r="F2553" t="n">
        <v>339.472</v>
      </c>
      <c r="G2553" t="n">
        <v>3572038</v>
      </c>
      <c r="H2553" t="inlineStr">
        <is>
          <t>TUB-S-AW-AUT-19.00X19.00X1.000X1.2460</t>
        </is>
      </c>
    </row>
    <row r="2554">
      <c r="A2554" t="inlineStr">
        <is>
          <t>0000189002</t>
        </is>
      </c>
      <c r="B2554" t="inlineStr">
        <is>
          <t>Marathwada Auto Compo Pvt. Ltd.</t>
        </is>
      </c>
      <c r="C2554" t="inlineStr">
        <is>
          <t>NOS</t>
        </is>
      </c>
      <c r="D2554" t="n">
        <v>1500</v>
      </c>
      <c r="E2554" t="n">
        <v>1320.499</v>
      </c>
      <c r="F2554" t="n">
        <v>730.5</v>
      </c>
      <c r="G2554" t="n">
        <v>3230492</v>
      </c>
      <c r="H2554" t="inlineStr">
        <is>
          <t>TUB-S-AW-AUT-19.00X19.00X1.000X0.8800</t>
        </is>
      </c>
    </row>
    <row r="2555">
      <c r="A2555" t="inlineStr">
        <is>
          <t>0000189002</t>
        </is>
      </c>
      <c r="B2555" t="inlineStr">
        <is>
          <t>Marathwada Auto Compo Pvt. Ltd.</t>
        </is>
      </c>
      <c r="C2555" t="inlineStr">
        <is>
          <t>NOS</t>
        </is>
      </c>
      <c r="D2555" t="n">
        <v>648</v>
      </c>
      <c r="E2555" t="n">
        <v>565.143</v>
      </c>
      <c r="F2555" t="n">
        <v>315.576</v>
      </c>
      <c r="G2555" t="n">
        <v>3605739</v>
      </c>
      <c r="H2555" t="inlineStr">
        <is>
          <t>TUB-S-AW-AUT-19.00X19.00X1.010X0.8710</t>
        </is>
      </c>
    </row>
    <row r="2556">
      <c r="A2556" t="inlineStr">
        <is>
          <t>0000189002</t>
        </is>
      </c>
      <c r="B2556" t="inlineStr">
        <is>
          <t>Marathwada Auto Compo Pvt. Ltd.</t>
        </is>
      </c>
      <c r="C2556" t="inlineStr">
        <is>
          <t>NOS</t>
        </is>
      </c>
      <c r="D2556" t="n">
        <v>268</v>
      </c>
      <c r="E2556" t="n">
        <v>233.732</v>
      </c>
      <c r="F2556" t="n">
        <v>130.516</v>
      </c>
      <c r="G2556" t="n">
        <v>3605739</v>
      </c>
      <c r="H2556" t="inlineStr">
        <is>
          <t>TUB-S-AW-AUT-19.00X19.00X1.010X0.8710</t>
        </is>
      </c>
    </row>
    <row r="2557">
      <c r="A2557" t="inlineStr">
        <is>
          <t>0000189002</t>
        </is>
      </c>
      <c r="B2557" t="inlineStr">
        <is>
          <t>Marathwada Auto Compo Pvt. Ltd.</t>
        </is>
      </c>
      <c r="C2557" t="inlineStr">
        <is>
          <t>NOS</t>
        </is>
      </c>
      <c r="D2557" t="n">
        <v>32</v>
      </c>
      <c r="E2557" t="n">
        <v>27.908</v>
      </c>
      <c r="F2557" t="n">
        <v>15.584</v>
      </c>
      <c r="G2557" t="n">
        <v>3605739</v>
      </c>
      <c r="H2557" t="inlineStr">
        <is>
          <t>TUB-S-AW-AUT-19.00X19.00X1.010X0.8710</t>
        </is>
      </c>
    </row>
    <row r="2558">
      <c r="A2558" t="inlineStr">
        <is>
          <t>0000189002</t>
        </is>
      </c>
      <c r="B2558" t="inlineStr">
        <is>
          <t>Marathwada Auto Compo Pvt. Ltd.</t>
        </is>
      </c>
      <c r="C2558" t="inlineStr">
        <is>
          <t>NOS</t>
        </is>
      </c>
      <c r="D2558" t="n">
        <v>24</v>
      </c>
      <c r="E2558" t="n">
        <v>20.931</v>
      </c>
      <c r="F2558" t="n">
        <v>11.688</v>
      </c>
      <c r="G2558" t="n">
        <v>3605739</v>
      </c>
      <c r="H2558" t="inlineStr">
        <is>
          <t>TUB-S-AW-AUT-19.00X19.00X1.010X0.8710</t>
        </is>
      </c>
    </row>
    <row r="2559">
      <c r="A2559" t="inlineStr">
        <is>
          <t>0000189002</t>
        </is>
      </c>
      <c r="B2559" t="inlineStr">
        <is>
          <t>Marathwada Auto Compo Pvt. Ltd.</t>
        </is>
      </c>
      <c r="C2559" t="inlineStr">
        <is>
          <t>NOS</t>
        </is>
      </c>
      <c r="D2559" t="n">
        <v>24</v>
      </c>
      <c r="E2559" t="n">
        <v>20.931</v>
      </c>
      <c r="F2559" t="n">
        <v>11.688</v>
      </c>
      <c r="G2559" t="n">
        <v>3605739</v>
      </c>
      <c r="H2559" t="inlineStr">
        <is>
          <t>TUB-S-AW-AUT-19.00X19.00X1.010X0.8710</t>
        </is>
      </c>
    </row>
    <row r="2560">
      <c r="A2560" t="inlineStr">
        <is>
          <t>0000189002</t>
        </is>
      </c>
      <c r="B2560" t="inlineStr">
        <is>
          <t>Marathwada Auto Compo Pvt. Ltd.</t>
        </is>
      </c>
      <c r="C2560" t="inlineStr">
        <is>
          <t>NOS</t>
        </is>
      </c>
      <c r="D2560" t="n">
        <v>4</v>
      </c>
      <c r="E2560" t="n">
        <v>3.489</v>
      </c>
      <c r="F2560" t="n">
        <v>1.948</v>
      </c>
      <c r="G2560" t="n">
        <v>3605739</v>
      </c>
      <c r="H2560" t="inlineStr">
        <is>
          <t>TUB-S-AW-AUT-19.00X19.00X1.010X0.8710</t>
        </is>
      </c>
    </row>
    <row r="2561">
      <c r="A2561" t="inlineStr">
        <is>
          <t>0000189002</t>
        </is>
      </c>
      <c r="B2561" t="inlineStr">
        <is>
          <t>Marathwada Auto Compo Pvt. Ltd.</t>
        </is>
      </c>
      <c r="C2561" t="inlineStr">
        <is>
          <t>NOS</t>
        </is>
      </c>
      <c r="D2561" t="n">
        <v>1000</v>
      </c>
      <c r="E2561" t="n">
        <v>840.564</v>
      </c>
      <c r="F2561" t="n">
        <v>465</v>
      </c>
      <c r="G2561" t="n">
        <v>3230485</v>
      </c>
      <c r="H2561" t="inlineStr">
        <is>
          <t>TUB-S-AW-AUT-19.00X19.00X1.000X0.8400</t>
        </is>
      </c>
    </row>
    <row r="2562">
      <c r="A2562" t="inlineStr">
        <is>
          <t>0000189002</t>
        </is>
      </c>
      <c r="B2562" t="inlineStr">
        <is>
          <t>Marathwada Auto Compo Pvt. Ltd.</t>
        </is>
      </c>
      <c r="C2562" t="inlineStr">
        <is>
          <t>NOS</t>
        </is>
      </c>
      <c r="D2562" t="n">
        <v>1000</v>
      </c>
      <c r="E2562" t="n">
        <v>800.004</v>
      </c>
      <c r="F2562" t="n">
        <v>436.011</v>
      </c>
      <c r="G2562" t="n">
        <v>3931836</v>
      </c>
      <c r="H2562" t="inlineStr">
        <is>
          <t>CUT-R-AW-AUT-19.00X19.00X1.000X0.8000</t>
        </is>
      </c>
    </row>
    <row r="2563">
      <c r="A2563" t="inlineStr">
        <is>
          <t>0000189002</t>
        </is>
      </c>
      <c r="B2563" t="inlineStr">
        <is>
          <t>Marathwada Auto Compo Pvt. Ltd.</t>
        </is>
      </c>
      <c r="C2563" t="inlineStr">
        <is>
          <t>NOS</t>
        </is>
      </c>
      <c r="D2563" t="n">
        <v>500</v>
      </c>
      <c r="E2563" t="n">
        <v>503.507</v>
      </c>
      <c r="F2563" t="n">
        <v>274.417</v>
      </c>
      <c r="G2563" t="n">
        <v>4100796</v>
      </c>
      <c r="H2563" t="inlineStr">
        <is>
          <t>CUT-R-AW-AUT-19.00X19.00X1.000X1.0070</t>
        </is>
      </c>
    </row>
    <row r="2564">
      <c r="A2564" t="inlineStr">
        <is>
          <t>0000189002</t>
        </is>
      </c>
      <c r="B2564" t="inlineStr">
        <is>
          <t>Marathwada Auto Compo Pvt. Ltd.</t>
        </is>
      </c>
      <c r="C2564" t="inlineStr">
        <is>
          <t>NOS</t>
        </is>
      </c>
      <c r="D2564" t="n">
        <v>575</v>
      </c>
      <c r="E2564" t="n">
        <v>310.498</v>
      </c>
      <c r="F2564" t="n">
        <v>169.191</v>
      </c>
      <c r="G2564" t="n">
        <v>3571870</v>
      </c>
      <c r="H2564" t="inlineStr">
        <is>
          <t>TUB-S-AW-AUT-19.00X19.00X1.000X0.5400</t>
        </is>
      </c>
    </row>
    <row r="2565">
      <c r="A2565" t="inlineStr">
        <is>
          <t>0000189002</t>
        </is>
      </c>
      <c r="B2565" t="inlineStr">
        <is>
          <t>Marathwada Auto Compo Pvt. Ltd.</t>
        </is>
      </c>
      <c r="C2565" t="inlineStr">
        <is>
          <t>NOS</t>
        </is>
      </c>
      <c r="D2565" t="n">
        <v>425</v>
      </c>
      <c r="E2565" t="n">
        <v>229.499</v>
      </c>
      <c r="F2565" t="n">
        <v>125.054</v>
      </c>
      <c r="G2565" t="n">
        <v>3571870</v>
      </c>
      <c r="H2565" t="inlineStr">
        <is>
          <t>TUB-S-AW-AUT-19.00X19.00X1.000X0.5400</t>
        </is>
      </c>
    </row>
    <row r="2566">
      <c r="A2566" t="inlineStr">
        <is>
          <t>0000189002</t>
        </is>
      </c>
      <c r="B2566" t="inlineStr">
        <is>
          <t>Marathwada Auto Compo Pvt. Ltd.</t>
        </is>
      </c>
      <c r="C2566" t="inlineStr">
        <is>
          <t>NOS</t>
        </is>
      </c>
      <c r="D2566" t="n">
        <v>1000</v>
      </c>
      <c r="E2566" t="n">
        <v>469.994</v>
      </c>
      <c r="F2566" t="n">
        <v>256.1</v>
      </c>
      <c r="G2566" t="n">
        <v>3230488</v>
      </c>
      <c r="H2566" t="inlineStr">
        <is>
          <t>TUB-S-AW-AUT-19.00X19.00X1.000X0.4700</t>
        </is>
      </c>
    </row>
    <row r="2567">
      <c r="A2567" t="inlineStr">
        <is>
          <t>0000189002</t>
        </is>
      </c>
      <c r="B2567" t="inlineStr">
        <is>
          <t>Marathwada Auto Compo Pvt. Ltd.</t>
        </is>
      </c>
      <c r="C2567" t="inlineStr">
        <is>
          <t>NOS</t>
        </is>
      </c>
      <c r="D2567" t="n">
        <v>2891</v>
      </c>
      <c r="E2567" t="n">
        <v>1154.937</v>
      </c>
      <c r="F2567" t="n">
        <v>638.9109999999999</v>
      </c>
      <c r="G2567" t="n">
        <v>3230487</v>
      </c>
      <c r="H2567" t="inlineStr">
        <is>
          <t>TUB-S-AW-AUT-19.00X19.00X1.000X0.4000</t>
        </is>
      </c>
    </row>
    <row r="2568">
      <c r="A2568" t="inlineStr">
        <is>
          <t>0000189002</t>
        </is>
      </c>
      <c r="B2568" t="inlineStr">
        <is>
          <t>Marathwada Auto Compo Pvt. Ltd.</t>
        </is>
      </c>
      <c r="C2568" t="inlineStr">
        <is>
          <t>NOS</t>
        </is>
      </c>
      <c r="D2568" t="n">
        <v>109</v>
      </c>
      <c r="E2568" t="n">
        <v>43.545</v>
      </c>
      <c r="F2568" t="n">
        <v>24.089</v>
      </c>
      <c r="G2568" t="n">
        <v>3230487</v>
      </c>
      <c r="H2568" t="inlineStr">
        <is>
          <t>TUB-S-AW-AUT-19.00X19.00X1.000X0.4000</t>
        </is>
      </c>
    </row>
    <row r="2569">
      <c r="A2569" t="inlineStr">
        <is>
          <t>0000189002</t>
        </is>
      </c>
      <c r="B2569" t="inlineStr">
        <is>
          <t>Marathwada Auto Compo Pvt. Ltd.</t>
        </is>
      </c>
      <c r="C2569" t="inlineStr">
        <is>
          <t>NOS</t>
        </is>
      </c>
      <c r="D2569" t="n">
        <v>1000</v>
      </c>
      <c r="E2569" t="n">
        <v>356.11</v>
      </c>
      <c r="F2569" t="n">
        <v>197</v>
      </c>
      <c r="G2569" t="n">
        <v>3230490</v>
      </c>
      <c r="H2569" t="inlineStr">
        <is>
          <t>TUB-S-AW-AUT-19.00X19.00X1.000X0.3550</t>
        </is>
      </c>
    </row>
    <row r="2570">
      <c r="A2570" t="inlineStr">
        <is>
          <t>0000189002</t>
        </is>
      </c>
      <c r="B2570" t="inlineStr">
        <is>
          <t>Marathwada Auto Compo Pvt. Ltd.</t>
        </is>
      </c>
      <c r="C2570" t="inlineStr">
        <is>
          <t>NOS</t>
        </is>
      </c>
      <c r="D2570" t="n">
        <v>500</v>
      </c>
      <c r="E2570" t="n">
        <v>649.006</v>
      </c>
      <c r="F2570" t="n">
        <v>563.15</v>
      </c>
      <c r="G2570" t="n">
        <v>3935311</v>
      </c>
      <c r="H2570" t="inlineStr">
        <is>
          <t>CUT-S-AW-AUT-25.00X25.00X1.200X1.2980</t>
        </is>
      </c>
    </row>
    <row r="2571">
      <c r="A2571" t="inlineStr">
        <is>
          <t>0000189002</t>
        </is>
      </c>
      <c r="B2571" t="inlineStr">
        <is>
          <t>Marathwada Auto Compo Pvt. Ltd.</t>
        </is>
      </c>
      <c r="C2571" t="inlineStr">
        <is>
          <t>NOS</t>
        </is>
      </c>
      <c r="D2571" t="n">
        <v>724</v>
      </c>
      <c r="E2571" t="n">
        <v>569.915</v>
      </c>
      <c r="F2571" t="n">
        <v>515.4880000000001</v>
      </c>
      <c r="G2571" t="n">
        <v>3230482</v>
      </c>
      <c r="H2571" t="inlineStr">
        <is>
          <t>TUB-S-AW-AUT-25.00X25.00X1.200X0.7870</t>
        </is>
      </c>
    </row>
    <row r="2572">
      <c r="A2572" t="inlineStr">
        <is>
          <t>0000189002</t>
        </is>
      </c>
      <c r="B2572" t="inlineStr">
        <is>
          <t>Marathwada Auto Compo Pvt. Ltd.</t>
        </is>
      </c>
      <c r="C2572" t="inlineStr">
        <is>
          <t>NOS</t>
        </is>
      </c>
      <c r="D2572" t="n">
        <v>276</v>
      </c>
      <c r="E2572" t="n">
        <v>217.26</v>
      </c>
      <c r="F2572" t="n">
        <v>196.512</v>
      </c>
      <c r="G2572" t="n">
        <v>3230482</v>
      </c>
      <c r="H2572" t="inlineStr">
        <is>
          <t>TUB-S-AW-AUT-25.00X25.00X1.200X0.7870</t>
        </is>
      </c>
    </row>
    <row r="2573">
      <c r="A2573" t="inlineStr">
        <is>
          <t>0000189002</t>
        </is>
      </c>
      <c r="B2573" t="inlineStr">
        <is>
          <t>Marathwada Auto Compo Pvt. Ltd.</t>
        </is>
      </c>
      <c r="C2573" t="inlineStr">
        <is>
          <t>NOS</t>
        </is>
      </c>
      <c r="D2573" t="n">
        <v>500</v>
      </c>
      <c r="E2573" t="n">
        <v>615.004</v>
      </c>
      <c r="F2573" t="n">
        <v>324.872</v>
      </c>
      <c r="G2573" t="n">
        <v>3929692</v>
      </c>
      <c r="H2573" t="inlineStr">
        <is>
          <t>CUT-O-N-AUT-AW-PE-19.05X1.200X1.2300</t>
        </is>
      </c>
    </row>
    <row r="2574">
      <c r="A2574" t="inlineStr">
        <is>
          <t>0000189002</t>
        </is>
      </c>
      <c r="B2574" t="inlineStr">
        <is>
          <t>Marathwada Auto Compo Pvt. Ltd.</t>
        </is>
      </c>
      <c r="C2574" t="inlineStr">
        <is>
          <t>NOS</t>
        </is>
      </c>
      <c r="D2574" t="n">
        <v>800</v>
      </c>
      <c r="E2574" t="n">
        <v>545.606</v>
      </c>
      <c r="F2574" t="n">
        <v>288.213</v>
      </c>
      <c r="G2574" t="n">
        <v>3929540</v>
      </c>
      <c r="H2574" t="inlineStr">
        <is>
          <t>CUT-O-N-AUT-AW-PE-19.05X1.200X0.6820</t>
        </is>
      </c>
    </row>
    <row r="2575">
      <c r="A2575" t="inlineStr">
        <is>
          <t>0000189002</t>
        </is>
      </c>
      <c r="B2575" t="inlineStr">
        <is>
          <t>Marathwada Auto Compo Pvt. Ltd.</t>
        </is>
      </c>
      <c r="C2575" t="inlineStr">
        <is>
          <t>NOS</t>
        </is>
      </c>
      <c r="D2575" t="n">
        <v>200</v>
      </c>
      <c r="E2575" t="n">
        <v>136.401</v>
      </c>
      <c r="F2575" t="n">
        <v>72.053</v>
      </c>
      <c r="G2575" t="n">
        <v>3929540</v>
      </c>
      <c r="H2575" t="inlineStr">
        <is>
          <t>CUT-O-N-AUT-AW-PE-19.05X1.200X0.6820</t>
        </is>
      </c>
    </row>
    <row r="2576">
      <c r="A2576" t="inlineStr">
        <is>
          <t>0000189002</t>
        </is>
      </c>
      <c r="B2576" t="inlineStr">
        <is>
          <t>Marathwada Auto Compo Pvt. Ltd.</t>
        </is>
      </c>
      <c r="C2576" t="inlineStr">
        <is>
          <t>NOS</t>
        </is>
      </c>
      <c r="D2576" t="n">
        <v>2000</v>
      </c>
      <c r="E2576" t="n">
        <v>399.983</v>
      </c>
      <c r="F2576" t="n">
        <v>211.289</v>
      </c>
      <c r="G2576" t="n">
        <v>3929691</v>
      </c>
      <c r="H2576" t="inlineStr">
        <is>
          <t>CUT-O-N-AUT-AW-PE-19.05X1.200X0.2000</t>
        </is>
      </c>
    </row>
    <row r="2577">
      <c r="A2577" t="inlineStr">
        <is>
          <t>0000189002</t>
        </is>
      </c>
      <c r="B2577" t="inlineStr">
        <is>
          <t>Marathwada Auto Compo Pvt. Ltd.</t>
        </is>
      </c>
      <c r="C2577" t="inlineStr">
        <is>
          <t>NOS</t>
        </is>
      </c>
      <c r="D2577" t="n">
        <v>336</v>
      </c>
      <c r="E2577" t="n">
        <v>74.127</v>
      </c>
      <c r="F2577" t="n">
        <v>80.976</v>
      </c>
      <c r="G2577" t="n">
        <v>3230495</v>
      </c>
      <c r="H2577" t="inlineStr">
        <is>
          <t>TUB-S-AW-AUT-30.00X30.00X1.200X0.2200</t>
        </is>
      </c>
    </row>
    <row r="2578">
      <c r="A2578" t="inlineStr">
        <is>
          <t>0000189002</t>
        </is>
      </c>
      <c r="B2578" t="inlineStr">
        <is>
          <t>Marathwada Auto Compo Pvt. Ltd.</t>
        </is>
      </c>
      <c r="C2578" t="inlineStr">
        <is>
          <t>NOS</t>
        </is>
      </c>
      <c r="D2578" t="n">
        <v>293</v>
      </c>
      <c r="E2578" t="n">
        <v>64.64</v>
      </c>
      <c r="F2578" t="n">
        <v>70.613</v>
      </c>
      <c r="G2578" t="n">
        <v>3230495</v>
      </c>
      <c r="H2578" t="inlineStr">
        <is>
          <t>TUB-S-AW-AUT-30.00X30.00X1.200X0.2200</t>
        </is>
      </c>
    </row>
    <row r="2579">
      <c r="A2579" t="inlineStr">
        <is>
          <t>0000189002</t>
        </is>
      </c>
      <c r="B2579" t="inlineStr">
        <is>
          <t>Marathwada Auto Compo Pvt. Ltd.</t>
        </is>
      </c>
      <c r="C2579" t="inlineStr">
        <is>
          <t>NOS</t>
        </is>
      </c>
      <c r="D2579" t="n">
        <v>286</v>
      </c>
      <c r="E2579" t="n">
        <v>63.096</v>
      </c>
      <c r="F2579" t="n">
        <v>68.926</v>
      </c>
      <c r="G2579" t="n">
        <v>3230495</v>
      </c>
      <c r="H2579" t="inlineStr">
        <is>
          <t>TUB-S-AW-AUT-30.00X30.00X1.200X0.2200</t>
        </is>
      </c>
    </row>
    <row r="2580">
      <c r="A2580" t="inlineStr">
        <is>
          <t>0000189002</t>
        </is>
      </c>
      <c r="B2580" t="inlineStr">
        <is>
          <t>Marathwada Auto Compo Pvt. Ltd.</t>
        </is>
      </c>
      <c r="C2580" t="inlineStr">
        <is>
          <t>NOS</t>
        </is>
      </c>
      <c r="D2580" t="n">
        <v>35</v>
      </c>
      <c r="E2580" t="n">
        <v>7.722</v>
      </c>
      <c r="F2580" t="n">
        <v>8.435</v>
      </c>
      <c r="G2580" t="n">
        <v>3230495</v>
      </c>
      <c r="H2580" t="inlineStr">
        <is>
          <t>TUB-S-AW-AUT-30.00X30.00X1.200X0.2200</t>
        </is>
      </c>
    </row>
    <row r="2581">
      <c r="A2581" t="inlineStr">
        <is>
          <t>0000189002</t>
        </is>
      </c>
      <c r="B2581" t="inlineStr">
        <is>
          <t>Marathwada Auto Compo Pvt. Ltd.</t>
        </is>
      </c>
      <c r="C2581" t="inlineStr">
        <is>
          <t>NOS</t>
        </is>
      </c>
      <c r="D2581" t="n">
        <v>15</v>
      </c>
      <c r="E2581" t="n">
        <v>3.309</v>
      </c>
      <c r="F2581" t="n">
        <v>3.615</v>
      </c>
      <c r="G2581" t="n">
        <v>3230495</v>
      </c>
      <c r="H2581" t="inlineStr">
        <is>
          <t>TUB-S-AW-AUT-30.00X30.00X1.200X0.2200</t>
        </is>
      </c>
    </row>
    <row r="2582">
      <c r="A2582" t="inlineStr">
        <is>
          <t>0000189002</t>
        </is>
      </c>
      <c r="B2582" t="inlineStr">
        <is>
          <t>Marathwada Auto Compo Pvt. Ltd.</t>
        </is>
      </c>
      <c r="C2582" t="inlineStr">
        <is>
          <t>NOS</t>
        </is>
      </c>
      <c r="D2582" t="n">
        <v>8</v>
      </c>
      <c r="E2582" t="n">
        <v>1.765</v>
      </c>
      <c r="F2582" t="n">
        <v>1.928</v>
      </c>
      <c r="G2582" t="n">
        <v>3230495</v>
      </c>
      <c r="H2582" t="inlineStr">
        <is>
          <t>TUB-S-AW-AUT-30.00X30.00X1.200X0.2200</t>
        </is>
      </c>
    </row>
    <row r="2583">
      <c r="A2583" t="inlineStr">
        <is>
          <t>0000189002</t>
        </is>
      </c>
      <c r="B2583" t="inlineStr">
        <is>
          <t>Marathwada Auto Compo Pvt. Ltd.</t>
        </is>
      </c>
      <c r="C2583" t="inlineStr">
        <is>
          <t>NOS</t>
        </is>
      </c>
      <c r="D2583" t="n">
        <v>8</v>
      </c>
      <c r="E2583" t="n">
        <v>1.765</v>
      </c>
      <c r="F2583" t="n">
        <v>1.928</v>
      </c>
      <c r="G2583" t="n">
        <v>3230495</v>
      </c>
      <c r="H2583" t="inlineStr">
        <is>
          <t>TUB-S-AW-AUT-30.00X30.00X1.200X0.2200</t>
        </is>
      </c>
    </row>
    <row r="2584">
      <c r="A2584" t="inlineStr">
        <is>
          <t>0000189002</t>
        </is>
      </c>
      <c r="B2584" t="inlineStr">
        <is>
          <t>Marathwada Auto Compo Pvt. Ltd.</t>
        </is>
      </c>
      <c r="C2584" t="inlineStr">
        <is>
          <t>NOS</t>
        </is>
      </c>
      <c r="D2584" t="n">
        <v>8</v>
      </c>
      <c r="E2584" t="n">
        <v>1.765</v>
      </c>
      <c r="F2584" t="n">
        <v>1.928</v>
      </c>
      <c r="G2584" t="n">
        <v>3230495</v>
      </c>
      <c r="H2584" t="inlineStr">
        <is>
          <t>TUB-S-AW-AUT-30.00X30.00X1.200X0.2200</t>
        </is>
      </c>
    </row>
    <row r="2585">
      <c r="A2585" t="inlineStr">
        <is>
          <t>0000189002</t>
        </is>
      </c>
      <c r="B2585" t="inlineStr">
        <is>
          <t>Marathwada Auto Compo Pvt. Ltd.</t>
        </is>
      </c>
      <c r="C2585" t="inlineStr">
        <is>
          <t>NOS</t>
        </is>
      </c>
      <c r="D2585" t="n">
        <v>7</v>
      </c>
      <c r="E2585" t="n">
        <v>1.544</v>
      </c>
      <c r="F2585" t="n">
        <v>1.687</v>
      </c>
      <c r="G2585" t="n">
        <v>3230495</v>
      </c>
      <c r="H2585" t="inlineStr">
        <is>
          <t>TUB-S-AW-AUT-30.00X30.00X1.200X0.2200</t>
        </is>
      </c>
    </row>
    <row r="2586">
      <c r="A2586" t="inlineStr">
        <is>
          <t>0000189002</t>
        </is>
      </c>
      <c r="B2586" t="inlineStr">
        <is>
          <t>Marathwada Auto Compo Pvt. Ltd.</t>
        </is>
      </c>
      <c r="C2586" t="inlineStr">
        <is>
          <t>NOS</t>
        </is>
      </c>
      <c r="D2586" t="n">
        <v>4</v>
      </c>
      <c r="E2586" t="n">
        <v>0.882</v>
      </c>
      <c r="F2586" t="n">
        <v>0.964</v>
      </c>
      <c r="G2586" t="n">
        <v>3230495</v>
      </c>
      <c r="H2586" t="inlineStr">
        <is>
          <t>TUB-S-AW-AUT-30.00X30.00X1.200X0.2200</t>
        </is>
      </c>
    </row>
    <row r="2587">
      <c r="A2587" t="inlineStr">
        <is>
          <t>0000189002</t>
        </is>
      </c>
      <c r="B2587" t="inlineStr">
        <is>
          <t>Marathwada Auto Compo Pvt. Ltd.</t>
        </is>
      </c>
      <c r="C2587" t="inlineStr">
        <is>
          <t>NOS</t>
        </is>
      </c>
      <c r="D2587" t="n">
        <v>500</v>
      </c>
      <c r="E2587" t="n">
        <v>164.995</v>
      </c>
      <c r="F2587" t="n">
        <v>87.18300000000001</v>
      </c>
      <c r="G2587" t="n">
        <v>3935313</v>
      </c>
      <c r="H2587" t="inlineStr">
        <is>
          <t>CUT-O-N-AUT-AW-PE-19.05X1.200X0.33</t>
        </is>
      </c>
    </row>
    <row r="2588">
      <c r="A2588" t="inlineStr">
        <is>
          <t>0000948721</t>
        </is>
      </c>
      <c r="B2588" t="inlineStr">
        <is>
          <t>ELKAYEM AUTO ANCILLARIES PRIVATE LI</t>
        </is>
      </c>
      <c r="C2588" t="inlineStr">
        <is>
          <t>NOS</t>
        </is>
      </c>
      <c r="D2588" t="n">
        <v>1340</v>
      </c>
      <c r="E2588" t="n">
        <v>718.682</v>
      </c>
      <c r="F2588" t="n">
        <v>1125.6</v>
      </c>
      <c r="G2588" t="n">
        <v>1940822</v>
      </c>
      <c r="H2588" t="inlineStr">
        <is>
          <t>TUB-R-AW-RHS-40.00X25.00X1.600X0.5360</t>
        </is>
      </c>
    </row>
    <row r="2589">
      <c r="A2589" t="inlineStr">
        <is>
          <t>0000948721</t>
        </is>
      </c>
      <c r="B2589" t="inlineStr">
        <is>
          <t>ELKAYEM AUTO ANCILLARIES PRIVATE LI</t>
        </is>
      </c>
      <c r="C2589" t="inlineStr">
        <is>
          <t>NOS</t>
        </is>
      </c>
      <c r="D2589" t="n">
        <v>2580</v>
      </c>
      <c r="E2589" t="n">
        <v>1444.681</v>
      </c>
      <c r="F2589" t="n">
        <v>2262.66</v>
      </c>
      <c r="G2589" t="n">
        <v>1940823</v>
      </c>
      <c r="H2589" t="inlineStr">
        <is>
          <t>TUB-R-AW-RHS-40.00X25.00X1.600X0.5600</t>
        </is>
      </c>
    </row>
    <row r="2590">
      <c r="A2590" t="inlineStr">
        <is>
          <t>0000948721</t>
        </is>
      </c>
      <c r="B2590" t="inlineStr">
        <is>
          <t>ELKAYEM AUTO ANCILLARIES PRIVATE LI</t>
        </is>
      </c>
      <c r="C2590" t="inlineStr">
        <is>
          <t>NOS</t>
        </is>
      </c>
      <c r="D2590" t="n">
        <v>1500</v>
      </c>
      <c r="E2590" t="n">
        <v>222.612</v>
      </c>
      <c r="F2590" t="n">
        <v>444</v>
      </c>
      <c r="G2590" t="n">
        <v>4098592</v>
      </c>
      <c r="H2590" t="inlineStr">
        <is>
          <t>TUB-R-AW-AUT-40.00X30.00X2.000X0.1480</t>
        </is>
      </c>
    </row>
    <row r="2591">
      <c r="A2591" t="inlineStr">
        <is>
          <t>0000948721</t>
        </is>
      </c>
      <c r="B2591" t="inlineStr">
        <is>
          <t>ELKAYEM AUTO ANCILLARIES PRIVATE LI</t>
        </is>
      </c>
      <c r="C2591" t="inlineStr">
        <is>
          <t>NOS</t>
        </is>
      </c>
      <c r="D2591" t="n">
        <v>1000</v>
      </c>
      <c r="E2591" t="n">
        <v>162.447</v>
      </c>
      <c r="F2591" t="n">
        <v>324</v>
      </c>
      <c r="G2591" t="n">
        <v>4098593</v>
      </c>
      <c r="H2591" t="inlineStr">
        <is>
          <t>TUB-R-AW-AUT-40.00X30.00X2.000X0.1620</t>
        </is>
      </c>
    </row>
    <row r="2592">
      <c r="A2592" t="inlineStr">
        <is>
          <t>0000189481</t>
        </is>
      </c>
      <c r="B2592" t="inlineStr">
        <is>
          <t>Rajsriya Automotive Industries</t>
        </is>
      </c>
      <c r="C2592" t="inlineStr">
        <is>
          <t>NOS</t>
        </is>
      </c>
      <c r="D2592" t="n">
        <v>2426</v>
      </c>
      <c r="E2592" t="n">
        <v>707.105</v>
      </c>
      <c r="F2592" t="n">
        <v>463.366</v>
      </c>
      <c r="G2592" t="n">
        <v>1940090</v>
      </c>
      <c r="H2592" t="inlineStr">
        <is>
          <t>TUB-O-O-AUT-AW-PE-15.88X2.000X0.2910</t>
        </is>
      </c>
    </row>
    <row r="2593">
      <c r="A2593" t="inlineStr">
        <is>
          <t>0000189481</t>
        </is>
      </c>
      <c r="B2593" t="inlineStr">
        <is>
          <t>Rajsriya Automotive Industries</t>
        </is>
      </c>
      <c r="C2593" t="inlineStr">
        <is>
          <t>NOS</t>
        </is>
      </c>
      <c r="D2593" t="n">
        <v>840</v>
      </c>
      <c r="E2593" t="n">
        <v>244.834</v>
      </c>
      <c r="F2593" t="n">
        <v>160.44</v>
      </c>
      <c r="G2593" t="n">
        <v>1940090</v>
      </c>
      <c r="H2593" t="inlineStr">
        <is>
          <t>TUB-O-O-AUT-AW-PE-15.88X2.000X0.2910</t>
        </is>
      </c>
    </row>
    <row r="2594">
      <c r="A2594" t="inlineStr">
        <is>
          <t>0000189481</t>
        </is>
      </c>
      <c r="B2594" t="inlineStr">
        <is>
          <t>Rajsriya Automotive Industries</t>
        </is>
      </c>
      <c r="C2594" t="inlineStr">
        <is>
          <t>NOS</t>
        </is>
      </c>
      <c r="D2594" t="n">
        <v>159</v>
      </c>
      <c r="E2594" t="n">
        <v>46.344</v>
      </c>
      <c r="F2594" t="n">
        <v>30.369</v>
      </c>
      <c r="G2594" t="n">
        <v>1940090</v>
      </c>
      <c r="H2594" t="inlineStr">
        <is>
          <t>TUB-O-O-AUT-AW-PE-15.88X2.000X0.2910</t>
        </is>
      </c>
    </row>
    <row r="2595">
      <c r="A2595" t="inlineStr">
        <is>
          <t>0000189481</t>
        </is>
      </c>
      <c r="B2595" t="inlineStr">
        <is>
          <t>Rajsriya Automotive Industries</t>
        </is>
      </c>
      <c r="C2595" t="inlineStr">
        <is>
          <t>NOS</t>
        </is>
      </c>
      <c r="D2595" t="n">
        <v>25</v>
      </c>
      <c r="E2595" t="n">
        <v>7.287</v>
      </c>
      <c r="F2595" t="n">
        <v>4.775</v>
      </c>
      <c r="G2595" t="n">
        <v>1940090</v>
      </c>
      <c r="H2595" t="inlineStr">
        <is>
          <t>TUB-O-O-AUT-AW-PE-15.88X2.000X0.2910</t>
        </is>
      </c>
    </row>
    <row r="2596">
      <c r="A2596" t="inlineStr">
        <is>
          <t>0000189481</t>
        </is>
      </c>
      <c r="B2596" t="inlineStr">
        <is>
          <t>Rajsriya Automotive Industries</t>
        </is>
      </c>
      <c r="C2596" t="inlineStr">
        <is>
          <t>NOS</t>
        </is>
      </c>
      <c r="D2596" t="n">
        <v>133</v>
      </c>
      <c r="E2596" t="n">
        <v>115.696</v>
      </c>
      <c r="F2596" t="n">
        <v>242.326</v>
      </c>
      <c r="G2596" t="n">
        <v>1940837</v>
      </c>
      <c r="H2596" t="inlineStr">
        <is>
          <t>TUB-R-AW-RHS-40.00X30.00X2.000X0.8700</t>
        </is>
      </c>
    </row>
    <row r="2597">
      <c r="A2597" t="inlineStr">
        <is>
          <t>0000189481</t>
        </is>
      </c>
      <c r="B2597" t="inlineStr">
        <is>
          <t>Rajsriya Automotive Industries</t>
        </is>
      </c>
      <c r="C2597" t="inlineStr">
        <is>
          <t>NOS</t>
        </is>
      </c>
      <c r="D2597" t="n">
        <v>677</v>
      </c>
      <c r="E2597" t="n">
        <v>588.921</v>
      </c>
      <c r="F2597" t="n">
        <v>1233.494</v>
      </c>
      <c r="G2597" t="n">
        <v>1940837</v>
      </c>
      <c r="H2597" t="inlineStr">
        <is>
          <t>TUB-R-AW-RHS-40.00X30.00X2.000X0.8700</t>
        </is>
      </c>
    </row>
    <row r="2598">
      <c r="A2598" t="inlineStr">
        <is>
          <t>0000189481</t>
        </is>
      </c>
      <c r="B2598" t="inlineStr">
        <is>
          <t>Rajsriya Automotive Industries</t>
        </is>
      </c>
      <c r="C2598" t="inlineStr">
        <is>
          <t>NOS</t>
        </is>
      </c>
      <c r="D2598" t="n">
        <v>655</v>
      </c>
      <c r="E2598" t="n">
        <v>569.783</v>
      </c>
      <c r="F2598" t="n">
        <v>1193.41</v>
      </c>
      <c r="G2598" t="n">
        <v>1940837</v>
      </c>
      <c r="H2598" t="inlineStr">
        <is>
          <t>TUB-R-AW-RHS-40.00X30.00X2.000X0.8700</t>
        </is>
      </c>
    </row>
    <row r="2599">
      <c r="A2599" t="inlineStr">
        <is>
          <t>0000189481</t>
        </is>
      </c>
      <c r="B2599" t="inlineStr">
        <is>
          <t>Rajsriya Automotive Industries</t>
        </is>
      </c>
      <c r="C2599" t="inlineStr">
        <is>
          <t>NOS</t>
        </is>
      </c>
      <c r="D2599" t="n">
        <v>620</v>
      </c>
      <c r="E2599" t="n">
        <v>539.336</v>
      </c>
      <c r="F2599" t="n">
        <v>1129.64</v>
      </c>
      <c r="G2599" t="n">
        <v>1940837</v>
      </c>
      <c r="H2599" t="inlineStr">
        <is>
          <t>TUB-R-AW-RHS-40.00X30.00X2.000X0.8700</t>
        </is>
      </c>
    </row>
    <row r="2600">
      <c r="A2600" t="inlineStr">
        <is>
          <t>0000189481</t>
        </is>
      </c>
      <c r="B2600" t="inlineStr">
        <is>
          <t>Rajsriya Automotive Industries</t>
        </is>
      </c>
      <c r="C2600" t="inlineStr">
        <is>
          <t>NOS</t>
        </is>
      </c>
      <c r="D2600" t="n">
        <v>590</v>
      </c>
      <c r="E2600" t="n">
        <v>513.239</v>
      </c>
      <c r="F2600" t="n">
        <v>1074.98</v>
      </c>
      <c r="G2600" t="n">
        <v>1940837</v>
      </c>
      <c r="H2600" t="inlineStr">
        <is>
          <t>TUB-R-AW-RHS-40.00X30.00X2.000X0.8700</t>
        </is>
      </c>
    </row>
    <row r="2601">
      <c r="A2601" t="inlineStr">
        <is>
          <t>0000189481</t>
        </is>
      </c>
      <c r="B2601" t="inlineStr">
        <is>
          <t>Rajsriya Automotive Industries</t>
        </is>
      </c>
      <c r="C2601" t="inlineStr">
        <is>
          <t>NOS</t>
        </is>
      </c>
      <c r="D2601" t="n">
        <v>549</v>
      </c>
      <c r="E2601" t="n">
        <v>477.574</v>
      </c>
      <c r="F2601" t="n">
        <v>1000.278</v>
      </c>
      <c r="G2601" t="n">
        <v>1940837</v>
      </c>
      <c r="H2601" t="inlineStr">
        <is>
          <t>TUB-R-AW-RHS-40.00X30.00X2.000X0.8700</t>
        </is>
      </c>
    </row>
    <row r="2602">
      <c r="A2602" t="inlineStr">
        <is>
          <t>0000189481</t>
        </is>
      </c>
      <c r="B2602" t="inlineStr">
        <is>
          <t>Rajsriya Automotive Industries</t>
        </is>
      </c>
      <c r="C2602" t="inlineStr">
        <is>
          <t>NOS</t>
        </is>
      </c>
      <c r="D2602" t="n">
        <v>500</v>
      </c>
      <c r="E2602" t="n">
        <v>434.949</v>
      </c>
      <c r="F2602" t="n">
        <v>911</v>
      </c>
      <c r="G2602" t="n">
        <v>1940837</v>
      </c>
      <c r="H2602" t="inlineStr">
        <is>
          <t>TUB-R-AW-RHS-40.00X30.00X2.000X0.8700</t>
        </is>
      </c>
    </row>
    <row r="2603">
      <c r="A2603" t="inlineStr">
        <is>
          <t>0000189481</t>
        </is>
      </c>
      <c r="B2603" t="inlineStr">
        <is>
          <t>Rajsriya Automotive Industries</t>
        </is>
      </c>
      <c r="C2603" t="inlineStr">
        <is>
          <t>NOS</t>
        </is>
      </c>
      <c r="D2603" t="n">
        <v>334</v>
      </c>
      <c r="E2603" t="n">
        <v>290.546</v>
      </c>
      <c r="F2603" t="n">
        <v>608.548</v>
      </c>
      <c r="G2603" t="n">
        <v>1940837</v>
      </c>
      <c r="H2603" t="inlineStr">
        <is>
          <t>TUB-R-AW-RHS-40.00X30.00X2.000X0.8700</t>
        </is>
      </c>
    </row>
    <row r="2604">
      <c r="A2604" t="inlineStr">
        <is>
          <t>0000189481</t>
        </is>
      </c>
      <c r="B2604" t="inlineStr">
        <is>
          <t>Rajsriya Automotive Industries</t>
        </is>
      </c>
      <c r="C2604" t="inlineStr">
        <is>
          <t>NOS</t>
        </is>
      </c>
      <c r="D2604" t="n">
        <v>332</v>
      </c>
      <c r="E2604" t="n">
        <v>288.806</v>
      </c>
      <c r="F2604" t="n">
        <v>604.904</v>
      </c>
      <c r="G2604" t="n">
        <v>1940837</v>
      </c>
      <c r="H2604" t="inlineStr">
        <is>
          <t>TUB-R-AW-RHS-40.00X30.00X2.000X0.8700</t>
        </is>
      </c>
    </row>
    <row r="2605">
      <c r="A2605" t="inlineStr">
        <is>
          <t>0000189481</t>
        </is>
      </c>
      <c r="B2605" t="inlineStr">
        <is>
          <t>Rajsriya Automotive Industries</t>
        </is>
      </c>
      <c r="C2605" t="inlineStr">
        <is>
          <t>NOS</t>
        </is>
      </c>
      <c r="D2605" t="n">
        <v>239</v>
      </c>
      <c r="E2605" t="n">
        <v>207.905</v>
      </c>
      <c r="F2605" t="n">
        <v>435.458</v>
      </c>
      <c r="G2605" t="n">
        <v>1940837</v>
      </c>
      <c r="H2605" t="inlineStr">
        <is>
          <t>TUB-R-AW-RHS-40.00X30.00X2.000X0.8700</t>
        </is>
      </c>
    </row>
    <row r="2606">
      <c r="A2606" t="inlineStr">
        <is>
          <t>0000189481</t>
        </is>
      </c>
      <c r="B2606" t="inlineStr">
        <is>
          <t>Rajsriya Automotive Industries</t>
        </is>
      </c>
      <c r="C2606" t="inlineStr">
        <is>
          <t>NOS</t>
        </is>
      </c>
      <c r="D2606" t="n">
        <v>229</v>
      </c>
      <c r="E2606" t="n">
        <v>199.206</v>
      </c>
      <c r="F2606" t="n">
        <v>417.238</v>
      </c>
      <c r="G2606" t="n">
        <v>1940837</v>
      </c>
      <c r="H2606" t="inlineStr">
        <is>
          <t>TUB-R-AW-RHS-40.00X30.00X2.000X0.8700</t>
        </is>
      </c>
    </row>
    <row r="2607">
      <c r="A2607" t="inlineStr">
        <is>
          <t>0000189481</t>
        </is>
      </c>
      <c r="B2607" t="inlineStr">
        <is>
          <t>Rajsriya Automotive Industries</t>
        </is>
      </c>
      <c r="C2607" t="inlineStr">
        <is>
          <t>NOS</t>
        </is>
      </c>
      <c r="D2607" t="n">
        <v>108</v>
      </c>
      <c r="E2607" t="n">
        <v>93.949</v>
      </c>
      <c r="F2607" t="n">
        <v>196.776</v>
      </c>
      <c r="G2607" t="n">
        <v>1940837</v>
      </c>
      <c r="H2607" t="inlineStr">
        <is>
          <t>TUB-R-AW-RHS-40.00X30.00X2.000X0.8700</t>
        </is>
      </c>
    </row>
    <row r="2608">
      <c r="A2608" t="inlineStr">
        <is>
          <t>0000189481</t>
        </is>
      </c>
      <c r="B2608" t="inlineStr">
        <is>
          <t>Rajsriya Automotive Industries</t>
        </is>
      </c>
      <c r="C2608" t="inlineStr">
        <is>
          <t>NOS</t>
        </is>
      </c>
      <c r="D2608" t="n">
        <v>13</v>
      </c>
      <c r="E2608" t="n">
        <v>11.309</v>
      </c>
      <c r="F2608" t="n">
        <v>23.686</v>
      </c>
      <c r="G2608" t="n">
        <v>1940837</v>
      </c>
      <c r="H2608" t="inlineStr">
        <is>
          <t>TUB-R-AW-RHS-40.00X30.00X2.000X0.8700</t>
        </is>
      </c>
    </row>
    <row r="2609">
      <c r="A2609" t="inlineStr">
        <is>
          <t>0000189481</t>
        </is>
      </c>
      <c r="B2609" t="inlineStr">
        <is>
          <t>Rajsriya Automotive Industries</t>
        </is>
      </c>
      <c r="C2609" t="inlineStr">
        <is>
          <t>NOS</t>
        </is>
      </c>
      <c r="D2609" t="n">
        <v>8</v>
      </c>
      <c r="E2609" t="n">
        <v>6.959</v>
      </c>
      <c r="F2609" t="n">
        <v>14.576</v>
      </c>
      <c r="G2609" t="n">
        <v>1940837</v>
      </c>
      <c r="H2609" t="inlineStr">
        <is>
          <t>TUB-R-AW-RHS-40.00X30.00X2.000X0.8700</t>
        </is>
      </c>
    </row>
    <row r="2610">
      <c r="A2610" t="inlineStr">
        <is>
          <t>0000189481</t>
        </is>
      </c>
      <c r="B2610" t="inlineStr">
        <is>
          <t>Rajsriya Automotive Industries</t>
        </is>
      </c>
      <c r="C2610" t="inlineStr">
        <is>
          <t>NOS</t>
        </is>
      </c>
      <c r="D2610" t="n">
        <v>5</v>
      </c>
      <c r="E2610" t="n">
        <v>4.349</v>
      </c>
      <c r="F2610" t="n">
        <v>9.109999999999999</v>
      </c>
      <c r="G2610" t="n">
        <v>1940837</v>
      </c>
      <c r="H2610" t="inlineStr">
        <is>
          <t>TUB-R-AW-RHS-40.00X30.00X2.000X0.8700</t>
        </is>
      </c>
    </row>
    <row r="2611">
      <c r="A2611" t="inlineStr">
        <is>
          <t>0000943211</t>
        </is>
      </c>
      <c r="B2611" t="inlineStr">
        <is>
          <t>MEGH STEELS PRIVATE LIMITED - RE</t>
        </is>
      </c>
      <c r="C2611" t="inlineStr">
        <is>
          <t>KG</t>
        </is>
      </c>
      <c r="D2611" t="n">
        <v>201</v>
      </c>
      <c r="E2611" t="n">
        <v>1139.661</v>
      </c>
      <c r="F2611" t="n">
        <v>1579</v>
      </c>
      <c r="G2611" t="n">
        <v>3460088</v>
      </c>
      <c r="H2611" t="inlineStr">
        <is>
          <t>TUB-O-N-AUT-AW-FC-48.00X1.200X5.6700</t>
        </is>
      </c>
    </row>
    <row r="2612">
      <c r="A2612" t="inlineStr">
        <is>
          <t>0000943211</t>
        </is>
      </c>
      <c r="B2612" t="inlineStr">
        <is>
          <t>MEGH STEELS PRIVATE LIMITED - RE</t>
        </is>
      </c>
      <c r="C2612" t="inlineStr">
        <is>
          <t>KG</t>
        </is>
      </c>
      <c r="D2612" t="n">
        <v>191</v>
      </c>
      <c r="E2612" t="n">
        <v>1082.642</v>
      </c>
      <c r="F2612" t="n">
        <v>1500</v>
      </c>
      <c r="G2612" t="n">
        <v>3460088</v>
      </c>
      <c r="H2612" t="inlineStr">
        <is>
          <t>TUB-O-N-AUT-AW-FC-48.00X1.200X5.6700</t>
        </is>
      </c>
    </row>
    <row r="2613">
      <c r="A2613" t="inlineStr">
        <is>
          <t>0000943211</t>
        </is>
      </c>
      <c r="B2613" t="inlineStr">
        <is>
          <t>MEGH STEELS PRIVATE LIMITED - RE</t>
        </is>
      </c>
      <c r="C2613" t="inlineStr">
        <is>
          <t>KG</t>
        </is>
      </c>
      <c r="D2613" t="n">
        <v>154</v>
      </c>
      <c r="E2613" t="n">
        <v>873.331</v>
      </c>
      <c r="F2613" t="n">
        <v>1210</v>
      </c>
      <c r="G2613" t="n">
        <v>3460088</v>
      </c>
      <c r="H2613" t="inlineStr">
        <is>
          <t>TUB-O-N-AUT-AW-FC-48.00X1.200X5.6700</t>
        </is>
      </c>
    </row>
    <row r="2614">
      <c r="A2614" t="inlineStr">
        <is>
          <t>0000943211</t>
        </is>
      </c>
      <c r="B2614" t="inlineStr">
        <is>
          <t>MEGH STEELS PRIVATE LIMITED - RE</t>
        </is>
      </c>
      <c r="C2614" t="inlineStr">
        <is>
          <t>KG</t>
        </is>
      </c>
      <c r="D2614" t="n">
        <v>197</v>
      </c>
      <c r="E2614" t="n">
        <v>1118.73</v>
      </c>
      <c r="F2614" t="n">
        <v>1550</v>
      </c>
      <c r="G2614" t="n">
        <v>3460088</v>
      </c>
      <c r="H2614" t="inlineStr">
        <is>
          <t>TUB-O-N-AUT-AW-FC-48.00X1.200X5.6700</t>
        </is>
      </c>
    </row>
    <row r="2615">
      <c r="A2615" t="inlineStr">
        <is>
          <t>0000943211</t>
        </is>
      </c>
      <c r="B2615" t="inlineStr">
        <is>
          <t>MEGH STEELS PRIVATE LIMITED - RE</t>
        </is>
      </c>
      <c r="C2615" t="inlineStr">
        <is>
          <t>KG</t>
        </is>
      </c>
      <c r="D2615" t="n">
        <v>202</v>
      </c>
      <c r="E2615" t="n">
        <v>1143.991</v>
      </c>
      <c r="F2615" t="n">
        <v>1585</v>
      </c>
      <c r="G2615" t="n">
        <v>3460088</v>
      </c>
      <c r="H2615" t="inlineStr">
        <is>
          <t>TUB-O-N-AUT-AW-FC-48.00X1.200X5.6700</t>
        </is>
      </c>
    </row>
    <row r="2616">
      <c r="A2616" t="inlineStr">
        <is>
          <t>0000943211</t>
        </is>
      </c>
      <c r="B2616" t="inlineStr">
        <is>
          <t>MEGH STEELS PRIVATE LIMITED - RE</t>
        </is>
      </c>
      <c r="C2616" t="inlineStr">
        <is>
          <t>KG</t>
        </is>
      </c>
      <c r="D2616" t="n">
        <v>195</v>
      </c>
      <c r="E2616" t="n">
        <v>1104.294</v>
      </c>
      <c r="F2616" t="n">
        <v>1530</v>
      </c>
      <c r="G2616" t="n">
        <v>3460088</v>
      </c>
      <c r="H2616" t="inlineStr">
        <is>
          <t>TUB-O-N-AUT-AW-FC-48.00X1.200X5.6700</t>
        </is>
      </c>
    </row>
    <row r="2617">
      <c r="A2617" t="inlineStr">
        <is>
          <t>0000943211</t>
        </is>
      </c>
      <c r="B2617" t="inlineStr">
        <is>
          <t>MEGH STEELS PRIVATE LIMITED - RE</t>
        </is>
      </c>
      <c r="C2617" t="inlineStr">
        <is>
          <t>KG</t>
        </is>
      </c>
      <c r="D2617" t="n">
        <v>59</v>
      </c>
      <c r="E2617" t="n">
        <v>336.341</v>
      </c>
      <c r="F2617" t="n">
        <v>466</v>
      </c>
      <c r="G2617" t="n">
        <v>3460088</v>
      </c>
      <c r="H2617" t="inlineStr">
        <is>
          <t>TUB-O-N-AUT-AW-FC-48.00X1.200X5.6700</t>
        </is>
      </c>
    </row>
    <row r="2618">
      <c r="A2618" t="inlineStr">
        <is>
          <t>0000941496</t>
        </is>
      </c>
      <c r="B2618" t="inlineStr">
        <is>
          <t>SANDHAR ENGINEERING PVT LTD.(KA) -U</t>
        </is>
      </c>
      <c r="C2618" t="inlineStr">
        <is>
          <t>NOS</t>
        </is>
      </c>
      <c r="D2618" t="n">
        <v>2848</v>
      </c>
      <c r="E2618" t="n">
        <v>1695.238</v>
      </c>
      <c r="F2618" t="n">
        <v>1167.68</v>
      </c>
      <c r="G2618" t="n">
        <v>1940247</v>
      </c>
      <c r="H2618" t="inlineStr">
        <is>
          <t>TUB-O-O-AUT-AW-PE-19.05X1.600X0.5950</t>
        </is>
      </c>
    </row>
    <row r="2619">
      <c r="A2619" t="inlineStr">
        <is>
          <t>0000941496</t>
        </is>
      </c>
      <c r="B2619" t="inlineStr">
        <is>
          <t>SANDHAR ENGINEERING PVT LTD.(KA) -U</t>
        </is>
      </c>
      <c r="C2619" t="inlineStr">
        <is>
          <t>NOS</t>
        </is>
      </c>
      <c r="D2619" t="n">
        <v>700</v>
      </c>
      <c r="E2619" t="n">
        <v>416.667</v>
      </c>
      <c r="F2619" t="n">
        <v>287</v>
      </c>
      <c r="G2619" t="n">
        <v>1940247</v>
      </c>
      <c r="H2619" t="inlineStr">
        <is>
          <t>TUB-O-O-AUT-AW-PE-19.05X1.600X0.5950</t>
        </is>
      </c>
    </row>
    <row r="2620">
      <c r="A2620" t="inlineStr">
        <is>
          <t>0000941496</t>
        </is>
      </c>
      <c r="B2620" t="inlineStr">
        <is>
          <t>SANDHAR ENGINEERING PVT LTD.(KA) -U</t>
        </is>
      </c>
      <c r="C2620" t="inlineStr">
        <is>
          <t>NOS</t>
        </is>
      </c>
      <c r="D2620" t="n">
        <v>685</v>
      </c>
      <c r="E2620" t="n">
        <v>407.738</v>
      </c>
      <c r="F2620" t="n">
        <v>280.85</v>
      </c>
      <c r="G2620" t="n">
        <v>1940247</v>
      </c>
      <c r="H2620" t="inlineStr">
        <is>
          <t>TUB-O-O-AUT-AW-PE-19.05X1.600X0.5950</t>
        </is>
      </c>
    </row>
    <row r="2621">
      <c r="A2621" t="inlineStr">
        <is>
          <t>0000941496</t>
        </is>
      </c>
      <c r="B2621" t="inlineStr">
        <is>
          <t>SANDHAR ENGINEERING PVT LTD.(KA) -U</t>
        </is>
      </c>
      <c r="C2621" t="inlineStr">
        <is>
          <t>NOS</t>
        </is>
      </c>
      <c r="D2621" t="n">
        <v>39</v>
      </c>
      <c r="E2621" t="n">
        <v>23.214</v>
      </c>
      <c r="F2621" t="n">
        <v>15.99</v>
      </c>
      <c r="G2621" t="n">
        <v>1940247</v>
      </c>
      <c r="H2621" t="inlineStr">
        <is>
          <t>TUB-O-O-AUT-AW-PE-19.05X1.600X0.5950</t>
        </is>
      </c>
    </row>
    <row r="2622">
      <c r="A2622" t="inlineStr">
        <is>
          <t>0000941496</t>
        </is>
      </c>
      <c r="B2622" t="inlineStr">
        <is>
          <t>SANDHAR ENGINEERING PVT LTD.(KA) -U</t>
        </is>
      </c>
      <c r="C2622" t="inlineStr">
        <is>
          <t>NOS</t>
        </is>
      </c>
      <c r="D2622" t="n">
        <v>28</v>
      </c>
      <c r="E2622" t="n">
        <v>16.667</v>
      </c>
      <c r="F2622" t="n">
        <v>11.48</v>
      </c>
      <c r="G2622" t="n">
        <v>1940247</v>
      </c>
      <c r="H2622" t="inlineStr">
        <is>
          <t>TUB-O-O-AUT-AW-PE-19.05X1.600X0.5950</t>
        </is>
      </c>
    </row>
    <row r="2623">
      <c r="A2623" t="inlineStr">
        <is>
          <t>0000941496</t>
        </is>
      </c>
      <c r="B2623" t="inlineStr">
        <is>
          <t>SANDHAR ENGINEERING PVT LTD.(KA) -U</t>
        </is>
      </c>
      <c r="C2623" t="inlineStr">
        <is>
          <t>NOS</t>
        </is>
      </c>
      <c r="D2623" t="n">
        <v>1395</v>
      </c>
      <c r="E2623" t="n">
        <v>495.366</v>
      </c>
      <c r="F2623" t="n">
        <v>571.95</v>
      </c>
      <c r="G2623" t="n">
        <v>1940588</v>
      </c>
      <c r="H2623" t="inlineStr">
        <is>
          <t>TUB-O-O-AUT-AW-FC-25.40X2.000X0.3550</t>
        </is>
      </c>
    </row>
    <row r="2624">
      <c r="A2624" t="inlineStr">
        <is>
          <t>0000941496</t>
        </is>
      </c>
      <c r="B2624" t="inlineStr">
        <is>
          <t>SANDHAR ENGINEERING PVT LTD.(KA) -U</t>
        </is>
      </c>
      <c r="C2624" t="inlineStr">
        <is>
          <t>NOS</t>
        </is>
      </c>
      <c r="D2624" t="n">
        <v>105</v>
      </c>
      <c r="E2624" t="n">
        <v>37.286</v>
      </c>
      <c r="F2624" t="n">
        <v>43.05</v>
      </c>
      <c r="G2624" t="n">
        <v>1940588</v>
      </c>
      <c r="H2624" t="inlineStr">
        <is>
          <t>TUB-O-O-AUT-AW-FC-25.40X2.000X0.3550</t>
        </is>
      </c>
    </row>
    <row r="2625">
      <c r="A2625" t="inlineStr">
        <is>
          <t>0000941496</t>
        </is>
      </c>
      <c r="B2625" t="inlineStr">
        <is>
          <t>SANDHAR ENGINEERING PVT LTD.(KA) -U</t>
        </is>
      </c>
      <c r="C2625" t="inlineStr">
        <is>
          <t>NOS</t>
        </is>
      </c>
      <c r="D2625" t="n">
        <v>443</v>
      </c>
      <c r="E2625" t="n">
        <v>121.847</v>
      </c>
      <c r="F2625" t="n">
        <v>99.232</v>
      </c>
      <c r="G2625" t="n">
        <v>3553684</v>
      </c>
      <c r="H2625" t="inlineStr">
        <is>
          <t>TUB-O-N-AUT-AW-PE-22.23X1.600X0.2740</t>
        </is>
      </c>
    </row>
    <row r="2626">
      <c r="A2626" t="inlineStr">
        <is>
          <t>0000941496</t>
        </is>
      </c>
      <c r="B2626" t="inlineStr">
        <is>
          <t>SANDHAR ENGINEERING PVT LTD.(KA) -U</t>
        </is>
      </c>
      <c r="C2626" t="inlineStr">
        <is>
          <t>NOS</t>
        </is>
      </c>
      <c r="D2626" t="n">
        <v>85</v>
      </c>
      <c r="E2626" t="n">
        <v>23.379</v>
      </c>
      <c r="F2626" t="n">
        <v>19.04</v>
      </c>
      <c r="G2626" t="n">
        <v>3553684</v>
      </c>
      <c r="H2626" t="inlineStr">
        <is>
          <t>TUB-O-N-AUT-AW-PE-22.23X1.600X0.2740</t>
        </is>
      </c>
    </row>
    <row r="2627">
      <c r="A2627" t="inlineStr">
        <is>
          <t>0000941496</t>
        </is>
      </c>
      <c r="B2627" t="inlineStr">
        <is>
          <t>SANDHAR ENGINEERING PVT LTD.(KA) -U</t>
        </is>
      </c>
      <c r="C2627" t="inlineStr">
        <is>
          <t>NOS</t>
        </is>
      </c>
      <c r="D2627" t="n">
        <v>72</v>
      </c>
      <c r="E2627" t="n">
        <v>19.804</v>
      </c>
      <c r="F2627" t="n">
        <v>16.128</v>
      </c>
      <c r="G2627" t="n">
        <v>3553684</v>
      </c>
      <c r="H2627" t="inlineStr">
        <is>
          <t>TUB-O-N-AUT-AW-PE-22.23X1.600X0.2740</t>
        </is>
      </c>
    </row>
    <row r="2628">
      <c r="A2628" t="inlineStr">
        <is>
          <t>0000941496</t>
        </is>
      </c>
      <c r="B2628" t="inlineStr">
        <is>
          <t>SANDHAR ENGINEERING PVT LTD.(KA) -U</t>
        </is>
      </c>
      <c r="C2628" t="inlineStr">
        <is>
          <t>NOS</t>
        </is>
      </c>
      <c r="D2628" t="n">
        <v>125</v>
      </c>
      <c r="E2628" t="n">
        <v>101.933</v>
      </c>
      <c r="F2628" t="n">
        <v>101.75</v>
      </c>
      <c r="G2628" t="n">
        <v>2413708</v>
      </c>
      <c r="H2628" t="inlineStr">
        <is>
          <t>TUB-O-N-AUT-AW-PE-22.23X2.000X0.8150</t>
        </is>
      </c>
    </row>
    <row r="2629">
      <c r="A2629" t="inlineStr">
        <is>
          <t>0000941496</t>
        </is>
      </c>
      <c r="B2629" t="inlineStr">
        <is>
          <t>SANDHAR ENGINEERING PVT LTD.(KA) -U</t>
        </is>
      </c>
      <c r="C2629" t="inlineStr">
        <is>
          <t>NOS</t>
        </is>
      </c>
      <c r="D2629" t="n">
        <v>1787</v>
      </c>
      <c r="E2629" t="n">
        <v>704.083</v>
      </c>
      <c r="F2629" t="n">
        <v>685.652</v>
      </c>
      <c r="G2629" t="n">
        <v>1940437</v>
      </c>
      <c r="H2629" t="inlineStr">
        <is>
          <t>TUB-O-O-AUT-AW-PE-22.23X2.000X0.3940</t>
        </is>
      </c>
    </row>
    <row r="2630">
      <c r="A2630" t="inlineStr">
        <is>
          <t>0000941496</t>
        </is>
      </c>
      <c r="B2630" t="inlineStr">
        <is>
          <t>SANDHAR ENGINEERING PVT LTD.(KA) -U</t>
        </is>
      </c>
      <c r="C2630" t="inlineStr">
        <is>
          <t>NOS</t>
        </is>
      </c>
      <c r="D2630" t="n">
        <v>571</v>
      </c>
      <c r="E2630" t="n">
        <v>224.976</v>
      </c>
      <c r="F2630" t="n">
        <v>219.086</v>
      </c>
      <c r="G2630" t="n">
        <v>1940437</v>
      </c>
      <c r="H2630" t="inlineStr">
        <is>
          <t>TUB-O-O-AUT-AW-PE-22.23X2.000X0.3940</t>
        </is>
      </c>
    </row>
    <row r="2631">
      <c r="A2631" t="inlineStr">
        <is>
          <t>0000941496</t>
        </is>
      </c>
      <c r="B2631" t="inlineStr">
        <is>
          <t>SANDHAR ENGINEERING PVT LTD.(KA) -U</t>
        </is>
      </c>
      <c r="C2631" t="inlineStr">
        <is>
          <t>NOS</t>
        </is>
      </c>
      <c r="D2631" t="n">
        <v>17</v>
      </c>
      <c r="E2631" t="n">
        <v>6.698</v>
      </c>
      <c r="F2631" t="n">
        <v>6.523</v>
      </c>
      <c r="G2631" t="n">
        <v>1940437</v>
      </c>
      <c r="H2631" t="inlineStr">
        <is>
          <t>TUB-O-O-AUT-AW-PE-22.23X2.000X0.3940</t>
        </is>
      </c>
    </row>
    <row r="2632">
      <c r="A2632" t="inlineStr">
        <is>
          <t>0000941496</t>
        </is>
      </c>
      <c r="B2632" t="inlineStr">
        <is>
          <t>SANDHAR ENGINEERING PVT LTD.(KA) -U</t>
        </is>
      </c>
      <c r="C2632" t="inlineStr">
        <is>
          <t>NOS</t>
        </is>
      </c>
      <c r="D2632" t="n">
        <v>641</v>
      </c>
      <c r="E2632" t="n">
        <v>134.664</v>
      </c>
      <c r="F2632" t="n">
        <v>121.79</v>
      </c>
      <c r="G2632" t="n">
        <v>2256593</v>
      </c>
      <c r="H2632" t="inlineStr">
        <is>
          <t>TUB-O-N-AUT-AW-FC-31.75X1.200X0.2100</t>
        </is>
      </c>
    </row>
    <row r="2633">
      <c r="A2633" t="inlineStr">
        <is>
          <t>0000941496</t>
        </is>
      </c>
      <c r="B2633" t="inlineStr">
        <is>
          <t>SANDHAR ENGINEERING PVT LTD.(KA) -U</t>
        </is>
      </c>
      <c r="C2633" t="inlineStr">
        <is>
          <t>NOS</t>
        </is>
      </c>
      <c r="D2633" t="n">
        <v>9</v>
      </c>
      <c r="E2633" t="n">
        <v>1.891</v>
      </c>
      <c r="F2633" t="n">
        <v>1.71</v>
      </c>
      <c r="G2633" t="n">
        <v>2256593</v>
      </c>
      <c r="H2633" t="inlineStr">
        <is>
          <t>TUB-O-N-AUT-AW-FC-31.75X1.200X0.2100</t>
        </is>
      </c>
    </row>
    <row r="2634">
      <c r="A2634" t="inlineStr">
        <is>
          <t>0000941496</t>
        </is>
      </c>
      <c r="B2634" t="inlineStr">
        <is>
          <t>SANDHAR ENGINEERING PVT LTD.(KA) -U</t>
        </is>
      </c>
      <c r="C2634" t="inlineStr">
        <is>
          <t>NOS</t>
        </is>
      </c>
      <c r="D2634" t="n">
        <v>1356</v>
      </c>
      <c r="E2634" t="n">
        <v>880.22</v>
      </c>
      <c r="F2634" t="n">
        <v>465.108</v>
      </c>
      <c r="G2634" t="n">
        <v>1937022</v>
      </c>
      <c r="H2634" t="inlineStr">
        <is>
          <t>TUB-O-N-AUT-AW-PE-19.05X1.200X0.6500</t>
        </is>
      </c>
    </row>
    <row r="2635">
      <c r="A2635" t="inlineStr">
        <is>
          <t>0000941496</t>
        </is>
      </c>
      <c r="B2635" t="inlineStr">
        <is>
          <t>SANDHAR ENGINEERING PVT LTD.(KA) -U</t>
        </is>
      </c>
      <c r="C2635" t="inlineStr">
        <is>
          <t>NOS</t>
        </is>
      </c>
      <c r="D2635" t="n">
        <v>1472</v>
      </c>
      <c r="E2635" t="n">
        <v>955.519</v>
      </c>
      <c r="F2635" t="n">
        <v>504.896</v>
      </c>
      <c r="G2635" t="n">
        <v>1937022</v>
      </c>
      <c r="H2635" t="inlineStr">
        <is>
          <t>TUB-O-N-AUT-AW-PE-19.05X1.200X0.6500</t>
        </is>
      </c>
    </row>
    <row r="2636">
      <c r="A2636" t="inlineStr">
        <is>
          <t>0000941496</t>
        </is>
      </c>
      <c r="B2636" t="inlineStr">
        <is>
          <t>SANDHAR ENGINEERING PVT LTD.(KA) -U</t>
        </is>
      </c>
      <c r="C2636" t="inlineStr">
        <is>
          <t>NOS</t>
        </is>
      </c>
      <c r="D2636" t="n">
        <v>1166</v>
      </c>
      <c r="E2636" t="n">
        <v>756.885</v>
      </c>
      <c r="F2636" t="n">
        <v>399.938</v>
      </c>
      <c r="G2636" t="n">
        <v>1937022</v>
      </c>
      <c r="H2636" t="inlineStr">
        <is>
          <t>TUB-O-N-AUT-AW-PE-19.05X1.200X0.6500</t>
        </is>
      </c>
    </row>
    <row r="2637">
      <c r="A2637" t="inlineStr">
        <is>
          <t>0000941496</t>
        </is>
      </c>
      <c r="B2637" t="inlineStr">
        <is>
          <t>SANDHAR ENGINEERING PVT LTD.(KA) -U</t>
        </is>
      </c>
      <c r="C2637" t="inlineStr">
        <is>
          <t>NOS</t>
        </is>
      </c>
      <c r="D2637" t="n">
        <v>6</v>
      </c>
      <c r="E2637" t="n">
        <v>3.895</v>
      </c>
      <c r="F2637" t="n">
        <v>2.058</v>
      </c>
      <c r="G2637" t="n">
        <v>1937022</v>
      </c>
      <c r="H2637" t="inlineStr">
        <is>
          <t>TUB-O-N-AUT-AW-PE-19.05X1.200X0.6500</t>
        </is>
      </c>
    </row>
    <row r="2638">
      <c r="A2638" t="inlineStr">
        <is>
          <t>0000941496</t>
        </is>
      </c>
      <c r="B2638" t="inlineStr">
        <is>
          <t>SANDHAR ENGINEERING PVT LTD.(KA) -U</t>
        </is>
      </c>
      <c r="C2638" t="inlineStr">
        <is>
          <t>NOS</t>
        </is>
      </c>
      <c r="D2638" t="n">
        <v>100</v>
      </c>
      <c r="E2638" t="n">
        <v>67.298</v>
      </c>
      <c r="F2638" t="n">
        <v>41.9</v>
      </c>
      <c r="G2638" t="n">
        <v>3667938</v>
      </c>
      <c r="H2638" t="inlineStr">
        <is>
          <t>CUT-O-N-AUT-AW-PE-22.20X1.200X0.6730</t>
        </is>
      </c>
    </row>
    <row r="2639">
      <c r="A2639" t="inlineStr">
        <is>
          <t>0000940954</t>
        </is>
      </c>
      <c r="B2639" t="inlineStr">
        <is>
          <t>SHREE SIVAM ENTERPRISES</t>
        </is>
      </c>
      <c r="C2639" t="inlineStr">
        <is>
          <t>KG</t>
        </is>
      </c>
      <c r="D2639" t="n">
        <v>29368</v>
      </c>
      <c r="E2639" t="n">
        <v>13591.726</v>
      </c>
      <c r="F2639" t="n">
        <v>13010</v>
      </c>
      <c r="G2639" t="n">
        <v>3482551</v>
      </c>
      <c r="H2639" t="inlineStr">
        <is>
          <t>TUB-O-N-AUT-AW-PE-21.40X2.000X0.4620</t>
        </is>
      </c>
    </row>
    <row r="2640">
      <c r="A2640" t="inlineStr">
        <is>
          <t>0000943209</t>
        </is>
      </c>
      <c r="B2640" t="inlineStr">
        <is>
          <t>MEGH STEELS PRIVATE LIMITED - TVS A</t>
        </is>
      </c>
      <c r="C2640" t="inlineStr">
        <is>
          <t>KG</t>
        </is>
      </c>
      <c r="D2640" t="n">
        <v>464</v>
      </c>
      <c r="E2640" t="n">
        <v>2565.195</v>
      </c>
      <c r="F2640" t="n">
        <v>3492</v>
      </c>
      <c r="G2640" t="n">
        <v>3502256</v>
      </c>
      <c r="H2640" t="inlineStr">
        <is>
          <t>TUB-O-N-AUT-AW-PE-25.40X2.500X5.5300</t>
        </is>
      </c>
    </row>
    <row r="2641">
      <c r="A2641" t="inlineStr">
        <is>
          <t>0000943209</t>
        </is>
      </c>
      <c r="B2641" t="inlineStr">
        <is>
          <t>MEGH STEELS PRIVATE LIMITED - TVS A</t>
        </is>
      </c>
      <c r="C2641" t="inlineStr">
        <is>
          <t>KG</t>
        </is>
      </c>
      <c r="D2641" t="n">
        <v>167</v>
      </c>
      <c r="E2641" t="n">
        <v>924.117</v>
      </c>
      <c r="F2641" t="n">
        <v>1258</v>
      </c>
      <c r="G2641" t="n">
        <v>3502256</v>
      </c>
      <c r="H2641" t="inlineStr">
        <is>
          <t>TUB-O-N-AUT-AW-PE-25.40X2.500X5.5300</t>
        </is>
      </c>
    </row>
    <row r="2642">
      <c r="A2642" t="inlineStr">
        <is>
          <t>0000943209</t>
        </is>
      </c>
      <c r="B2642" t="inlineStr">
        <is>
          <t>MEGH STEELS PRIVATE LIMITED - TVS A</t>
        </is>
      </c>
      <c r="C2642" t="inlineStr">
        <is>
          <t>KG</t>
        </is>
      </c>
      <c r="D2642" t="n">
        <v>316</v>
      </c>
      <c r="E2642" t="n">
        <v>1746.125</v>
      </c>
      <c r="F2642" t="n">
        <v>2377</v>
      </c>
      <c r="G2642" t="n">
        <v>3502256</v>
      </c>
      <c r="H2642" t="inlineStr">
        <is>
          <t>TUB-O-N-AUT-AW-PE-25.40X2.500X5.5300</t>
        </is>
      </c>
    </row>
    <row r="2643">
      <c r="A2643" t="inlineStr">
        <is>
          <t>0000943209</t>
        </is>
      </c>
      <c r="B2643" t="inlineStr">
        <is>
          <t>MEGH STEELS PRIVATE LIMITED - TVS A</t>
        </is>
      </c>
      <c r="C2643" t="inlineStr">
        <is>
          <t>KG</t>
        </is>
      </c>
      <c r="D2643" t="n">
        <v>264</v>
      </c>
      <c r="E2643" t="n">
        <v>1459.634</v>
      </c>
      <c r="F2643" t="n">
        <v>1987</v>
      </c>
      <c r="G2643" t="n">
        <v>3502256</v>
      </c>
      <c r="H2643" t="inlineStr">
        <is>
          <t>TUB-O-N-AUT-AW-PE-25.40X2.500X5.5300</t>
        </is>
      </c>
    </row>
    <row r="2644">
      <c r="A2644" t="inlineStr">
        <is>
          <t>0000943209</t>
        </is>
      </c>
      <c r="B2644" t="inlineStr">
        <is>
          <t>MEGH STEELS PRIVATE LIMITED - TVS A</t>
        </is>
      </c>
      <c r="C2644" t="inlineStr">
        <is>
          <t>KG</t>
        </is>
      </c>
      <c r="D2644" t="n">
        <v>231</v>
      </c>
      <c r="E2644" t="n">
        <v>1275.252</v>
      </c>
      <c r="F2644" t="n">
        <v>1736</v>
      </c>
      <c r="G2644" t="n">
        <v>3502256</v>
      </c>
      <c r="H2644" t="inlineStr">
        <is>
          <t>TUB-O-N-AUT-AW-PE-25.40X2.500X5.5300</t>
        </is>
      </c>
    </row>
    <row r="2645">
      <c r="A2645" t="inlineStr">
        <is>
          <t>0000943209</t>
        </is>
      </c>
      <c r="B2645" t="inlineStr">
        <is>
          <t>MEGH STEELS PRIVATE LIMITED - TVS A</t>
        </is>
      </c>
      <c r="C2645" t="inlineStr">
        <is>
          <t>KG</t>
        </is>
      </c>
      <c r="D2645" t="n">
        <v>129</v>
      </c>
      <c r="E2645" t="n">
        <v>777.478</v>
      </c>
      <c r="F2645" t="n">
        <v>1929</v>
      </c>
      <c r="G2645" t="n">
        <v>3457574</v>
      </c>
      <c r="H2645" t="inlineStr">
        <is>
          <t>TUB-O-N-AUT-AW-PE-41.28X2.600X6.0200</t>
        </is>
      </c>
    </row>
    <row r="2646">
      <c r="A2646" t="inlineStr">
        <is>
          <t>0000943209</t>
        </is>
      </c>
      <c r="B2646" t="inlineStr">
        <is>
          <t>MEGH STEELS PRIVATE LIMITED - TVS A</t>
        </is>
      </c>
      <c r="C2646" t="inlineStr">
        <is>
          <t>KG</t>
        </is>
      </c>
      <c r="D2646" t="n">
        <v>124</v>
      </c>
      <c r="E2646" t="n">
        <v>748.458</v>
      </c>
      <c r="F2646" t="n">
        <v>1857</v>
      </c>
      <c r="G2646" t="n">
        <v>3457574</v>
      </c>
      <c r="H2646" t="inlineStr">
        <is>
          <t>TUB-O-N-AUT-AW-PE-41.28X2.600X6.0200</t>
        </is>
      </c>
    </row>
    <row r="2647">
      <c r="A2647" t="inlineStr">
        <is>
          <t>0000943209</t>
        </is>
      </c>
      <c r="B2647" t="inlineStr">
        <is>
          <t>MEGH STEELS PRIVATE LIMITED - TVS A</t>
        </is>
      </c>
      <c r="C2647" t="inlineStr">
        <is>
          <t>KG</t>
        </is>
      </c>
      <c r="D2647" t="n">
        <v>183</v>
      </c>
      <c r="E2647" t="n">
        <v>1103.14</v>
      </c>
      <c r="F2647" t="n">
        <v>2737</v>
      </c>
      <c r="G2647" t="n">
        <v>3457574</v>
      </c>
      <c r="H2647" t="inlineStr">
        <is>
          <t>TUB-O-N-AUT-AW-PE-41.28X2.600X6.0200</t>
        </is>
      </c>
    </row>
    <row r="2648">
      <c r="A2648" t="inlineStr">
        <is>
          <t>0000943209</t>
        </is>
      </c>
      <c r="B2648" t="inlineStr">
        <is>
          <t>MEGH STEELS PRIVATE LIMITED - TVS A</t>
        </is>
      </c>
      <c r="C2648" t="inlineStr">
        <is>
          <t>KG</t>
        </is>
      </c>
      <c r="D2648" t="n">
        <v>186</v>
      </c>
      <c r="E2648" t="n">
        <v>1119.262</v>
      </c>
      <c r="F2648" t="n">
        <v>2777</v>
      </c>
      <c r="G2648" t="n">
        <v>3457574</v>
      </c>
      <c r="H2648" t="inlineStr">
        <is>
          <t>TUB-O-N-AUT-AW-PE-41.28X2.600X6.0200</t>
        </is>
      </c>
    </row>
    <row r="2649">
      <c r="A2649" t="inlineStr">
        <is>
          <t>0000189270</t>
        </is>
      </c>
      <c r="B2649" t="inlineStr">
        <is>
          <t>Indo Autotech Limited (Unit V)</t>
        </is>
      </c>
      <c r="C2649" t="inlineStr">
        <is>
          <t>NOS</t>
        </is>
      </c>
      <c r="D2649" t="n">
        <v>4597</v>
      </c>
      <c r="E2649" t="n">
        <v>1769.873</v>
      </c>
      <c r="F2649" t="n">
        <v>1176.985</v>
      </c>
      <c r="G2649" t="n">
        <v>4018307</v>
      </c>
      <c r="H2649" t="inlineStr">
        <is>
          <t>CUT-O-N-AUT-AW-PE-19.05X1.600X0.3850</t>
        </is>
      </c>
    </row>
    <row r="2650">
      <c r="A2650" t="inlineStr">
        <is>
          <t>0000189270</t>
        </is>
      </c>
      <c r="B2650" t="inlineStr">
        <is>
          <t>Indo Autotech Limited (Unit V)</t>
        </is>
      </c>
      <c r="C2650" t="inlineStr">
        <is>
          <t>NOS</t>
        </is>
      </c>
      <c r="D2650" t="n">
        <v>2403</v>
      </c>
      <c r="E2650" t="n">
        <v>925.17</v>
      </c>
      <c r="F2650" t="n">
        <v>615.248</v>
      </c>
      <c r="G2650" t="n">
        <v>4018307</v>
      </c>
      <c r="H2650" t="inlineStr">
        <is>
          <t>CUT-O-N-AUT-AW-PE-19.05X1.600X0.3850</t>
        </is>
      </c>
    </row>
    <row r="2651">
      <c r="A2651" t="inlineStr">
        <is>
          <t>0000189270</t>
        </is>
      </c>
      <c r="B2651" t="inlineStr">
        <is>
          <t>Indo Autotech Limited (Unit V)</t>
        </is>
      </c>
      <c r="C2651" t="inlineStr">
        <is>
          <t>NOS</t>
        </is>
      </c>
      <c r="D2651" t="n">
        <v>575</v>
      </c>
      <c r="E2651" t="n">
        <v>167.274</v>
      </c>
      <c r="F2651" t="n">
        <v>495.65</v>
      </c>
      <c r="G2651" t="n">
        <v>1940857</v>
      </c>
      <c r="H2651" t="inlineStr">
        <is>
          <t>TUB-O-O-AUT-AW-CH-41.28X3.150X0.2910</t>
        </is>
      </c>
    </row>
    <row r="2652">
      <c r="A2652" t="inlineStr">
        <is>
          <t>0000189270</t>
        </is>
      </c>
      <c r="B2652" t="inlineStr">
        <is>
          <t>Indo Autotech Limited (Unit V)</t>
        </is>
      </c>
      <c r="C2652" t="inlineStr">
        <is>
          <t>NOS</t>
        </is>
      </c>
      <c r="D2652" t="n">
        <v>195</v>
      </c>
      <c r="E2652" t="n">
        <v>56.728</v>
      </c>
      <c r="F2652" t="n">
        <v>168.09</v>
      </c>
      <c r="G2652" t="n">
        <v>1940857</v>
      </c>
      <c r="H2652" t="inlineStr">
        <is>
          <t>TUB-O-O-AUT-AW-CH-41.28X3.150X0.2910</t>
        </is>
      </c>
    </row>
    <row r="2653">
      <c r="A2653" t="inlineStr">
        <is>
          <t>0000189270</t>
        </is>
      </c>
      <c r="B2653" t="inlineStr">
        <is>
          <t>Indo Autotech Limited (Unit V)</t>
        </is>
      </c>
      <c r="C2653" t="inlineStr">
        <is>
          <t>NOS</t>
        </is>
      </c>
      <c r="D2653" t="n">
        <v>394</v>
      </c>
      <c r="E2653" t="n">
        <v>415.28</v>
      </c>
      <c r="F2653" t="n">
        <v>625.12</v>
      </c>
      <c r="G2653" t="n">
        <v>3605736</v>
      </c>
      <c r="H2653" t="inlineStr">
        <is>
          <t>TUB-O-N-AUT-AW-FC-45.00X1.400X1.0540</t>
        </is>
      </c>
    </row>
    <row r="2654">
      <c r="A2654" t="inlineStr">
        <is>
          <t>0000189270</t>
        </is>
      </c>
      <c r="B2654" t="inlineStr">
        <is>
          <t>Indo Autotech Limited (Unit V)</t>
        </is>
      </c>
      <c r="C2654" t="inlineStr">
        <is>
          <t>NOS</t>
        </is>
      </c>
      <c r="D2654" t="n">
        <v>37</v>
      </c>
      <c r="E2654" t="n">
        <v>38.998</v>
      </c>
      <c r="F2654" t="n">
        <v>58.704</v>
      </c>
      <c r="G2654" t="n">
        <v>3605736</v>
      </c>
      <c r="H2654" t="inlineStr">
        <is>
          <t>TUB-O-N-AUT-AW-FC-45.00X1.400X1.0540</t>
        </is>
      </c>
    </row>
    <row r="2655">
      <c r="A2655" t="inlineStr">
        <is>
          <t>0000189270</t>
        </is>
      </c>
      <c r="B2655" t="inlineStr">
        <is>
          <t>Indo Autotech Limited (Unit V)</t>
        </is>
      </c>
      <c r="C2655" t="inlineStr">
        <is>
          <t>NOS</t>
        </is>
      </c>
      <c r="D2655" t="n">
        <v>9</v>
      </c>
      <c r="E2655" t="n">
        <v>9.486000000000001</v>
      </c>
      <c r="F2655" t="n">
        <v>14.279</v>
      </c>
      <c r="G2655" t="n">
        <v>3605736</v>
      </c>
      <c r="H2655" t="inlineStr">
        <is>
          <t>TUB-O-N-AUT-AW-FC-45.00X1.400X1.0540</t>
        </is>
      </c>
    </row>
    <row r="2656">
      <c r="A2656" t="inlineStr">
        <is>
          <t>0000189270</t>
        </is>
      </c>
      <c r="B2656" t="inlineStr">
        <is>
          <t>Indo Autotech Limited (Unit V)</t>
        </is>
      </c>
      <c r="C2656" t="inlineStr">
        <is>
          <t>NOS</t>
        </is>
      </c>
      <c r="D2656" t="n">
        <v>303</v>
      </c>
      <c r="E2656" t="n">
        <v>319.361</v>
      </c>
      <c r="F2656" t="n">
        <v>547.097</v>
      </c>
      <c r="G2656" t="n">
        <v>3605737</v>
      </c>
      <c r="H2656" t="inlineStr">
        <is>
          <t>CUT-O-N-AUT-AW-FC-45.00X1.600X1.0540</t>
        </is>
      </c>
    </row>
    <row r="2657">
      <c r="A2657" t="inlineStr">
        <is>
          <t>0000189270</t>
        </is>
      </c>
      <c r="B2657" t="inlineStr">
        <is>
          <t>Indo Autotech Limited (Unit V)</t>
        </is>
      </c>
      <c r="C2657" t="inlineStr">
        <is>
          <t>NOS</t>
        </is>
      </c>
      <c r="D2657" t="n">
        <v>219</v>
      </c>
      <c r="E2657" t="n">
        <v>230.825</v>
      </c>
      <c r="F2657" t="n">
        <v>395.426</v>
      </c>
      <c r="G2657" t="n">
        <v>3605737</v>
      </c>
      <c r="H2657" t="inlineStr">
        <is>
          <t>CUT-O-N-AUT-AW-FC-45.00X1.600X1.0540</t>
        </is>
      </c>
    </row>
    <row r="2658">
      <c r="A2658" t="inlineStr">
        <is>
          <t>0000189270</t>
        </is>
      </c>
      <c r="B2658" t="inlineStr">
        <is>
          <t>Indo Autotech Limited (Unit V)</t>
        </is>
      </c>
      <c r="C2658" t="inlineStr">
        <is>
          <t>NOS</t>
        </is>
      </c>
      <c r="D2658" t="n">
        <v>78</v>
      </c>
      <c r="E2658" t="n">
        <v>82.212</v>
      </c>
      <c r="F2658" t="n">
        <v>140.837</v>
      </c>
      <c r="G2658" t="n">
        <v>3605737</v>
      </c>
      <c r="H2658" t="inlineStr">
        <is>
          <t>CUT-O-N-AUT-AW-FC-45.00X1.600X1.0540</t>
        </is>
      </c>
    </row>
    <row r="2659">
      <c r="A2659" t="inlineStr">
        <is>
          <t>0000189270</t>
        </is>
      </c>
      <c r="B2659" t="inlineStr">
        <is>
          <t>Indo Autotech Limited (Unit V)</t>
        </is>
      </c>
      <c r="C2659" t="inlineStr">
        <is>
          <t>NOS</t>
        </is>
      </c>
      <c r="D2659" t="n">
        <v>1349</v>
      </c>
      <c r="E2659" t="n">
        <v>248.359</v>
      </c>
      <c r="F2659" t="n">
        <v>941.602</v>
      </c>
      <c r="G2659" t="n">
        <v>1940868</v>
      </c>
      <c r="H2659" t="inlineStr">
        <is>
          <t>TUB-O-O-AUT-AW-FC-48.60X3.400X0.1840</t>
        </is>
      </c>
    </row>
    <row r="2660">
      <c r="A2660" t="inlineStr">
        <is>
          <t>0000189270</t>
        </is>
      </c>
      <c r="B2660" t="inlineStr">
        <is>
          <t>Indo Autotech Limited (Unit V)</t>
        </is>
      </c>
      <c r="C2660" t="inlineStr">
        <is>
          <t>NOS</t>
        </is>
      </c>
      <c r="D2660" t="n">
        <v>245</v>
      </c>
      <c r="E2660" t="n">
        <v>45.106</v>
      </c>
      <c r="F2660" t="n">
        <v>171.01</v>
      </c>
      <c r="G2660" t="n">
        <v>1940868</v>
      </c>
      <c r="H2660" t="inlineStr">
        <is>
          <t>TUB-O-O-AUT-AW-FC-48.60X3.400X0.1840</t>
        </is>
      </c>
    </row>
    <row r="2661">
      <c r="A2661" t="inlineStr">
        <is>
          <t>0000189270</t>
        </is>
      </c>
      <c r="B2661" t="inlineStr">
        <is>
          <t>Indo Autotech Limited (Unit V)</t>
        </is>
      </c>
      <c r="C2661" t="inlineStr">
        <is>
          <t>NOS</t>
        </is>
      </c>
      <c r="D2661" t="n">
        <v>145</v>
      </c>
      <c r="E2661" t="n">
        <v>26.695</v>
      </c>
      <c r="F2661" t="n">
        <v>101.21</v>
      </c>
      <c r="G2661" t="n">
        <v>1940868</v>
      </c>
      <c r="H2661" t="inlineStr">
        <is>
          <t>TUB-O-O-AUT-AW-FC-48.60X3.400X0.1840</t>
        </is>
      </c>
    </row>
    <row r="2662">
      <c r="A2662" t="inlineStr">
        <is>
          <t>0000189270</t>
        </is>
      </c>
      <c r="B2662" t="inlineStr">
        <is>
          <t>Indo Autotech Limited (Unit V)</t>
        </is>
      </c>
      <c r="C2662" t="inlineStr">
        <is>
          <t>NOS</t>
        </is>
      </c>
      <c r="D2662" t="n">
        <v>101</v>
      </c>
      <c r="E2662" t="n">
        <v>18.595</v>
      </c>
      <c r="F2662" t="n">
        <v>70.498</v>
      </c>
      <c r="G2662" t="n">
        <v>1940868</v>
      </c>
      <c r="H2662" t="inlineStr">
        <is>
          <t>TUB-O-O-AUT-AW-FC-48.60X3.400X0.1840</t>
        </is>
      </c>
    </row>
    <row r="2663">
      <c r="A2663" t="inlineStr">
        <is>
          <t>0000189270</t>
        </is>
      </c>
      <c r="B2663" t="inlineStr">
        <is>
          <t>Indo Autotech Limited (Unit V)</t>
        </is>
      </c>
      <c r="C2663" t="inlineStr">
        <is>
          <t>NOS</t>
        </is>
      </c>
      <c r="D2663" t="n">
        <v>60</v>
      </c>
      <c r="E2663" t="n">
        <v>11.046</v>
      </c>
      <c r="F2663" t="n">
        <v>41.88</v>
      </c>
      <c r="G2663" t="n">
        <v>1940868</v>
      </c>
      <c r="H2663" t="inlineStr">
        <is>
          <t>TUB-O-O-AUT-AW-FC-48.60X3.400X0.1840</t>
        </is>
      </c>
    </row>
    <row r="2664">
      <c r="A2664" t="inlineStr">
        <is>
          <t>0000189270</t>
        </is>
      </c>
      <c r="B2664" t="inlineStr">
        <is>
          <t>Indo Autotech Limited (Unit V)</t>
        </is>
      </c>
      <c r="C2664" t="inlineStr">
        <is>
          <t>NOS</t>
        </is>
      </c>
      <c r="D2664" t="n">
        <v>47</v>
      </c>
      <c r="E2664" t="n">
        <v>8.653</v>
      </c>
      <c r="F2664" t="n">
        <v>32.806</v>
      </c>
      <c r="G2664" t="n">
        <v>1940868</v>
      </c>
      <c r="H2664" t="inlineStr">
        <is>
          <t>TUB-O-O-AUT-AW-FC-48.60X3.400X0.1840</t>
        </is>
      </c>
    </row>
    <row r="2665">
      <c r="A2665" t="inlineStr">
        <is>
          <t>0000189270</t>
        </is>
      </c>
      <c r="B2665" t="inlineStr">
        <is>
          <t>Indo Autotech Limited (Unit V)</t>
        </is>
      </c>
      <c r="C2665" t="inlineStr">
        <is>
          <t>NOS</t>
        </is>
      </c>
      <c r="D2665" t="n">
        <v>21</v>
      </c>
      <c r="E2665" t="n">
        <v>3.866</v>
      </c>
      <c r="F2665" t="n">
        <v>14.658</v>
      </c>
      <c r="G2665" t="n">
        <v>1940868</v>
      </c>
      <c r="H2665" t="inlineStr">
        <is>
          <t>TUB-O-O-AUT-AW-FC-48.60X3.400X0.1840</t>
        </is>
      </c>
    </row>
    <row r="2666">
      <c r="A2666" t="inlineStr">
        <is>
          <t>0000189270</t>
        </is>
      </c>
      <c r="B2666" t="inlineStr">
        <is>
          <t>Indo Autotech Limited (Unit V)</t>
        </is>
      </c>
      <c r="C2666" t="inlineStr">
        <is>
          <t>NOS</t>
        </is>
      </c>
      <c r="D2666" t="n">
        <v>1650</v>
      </c>
      <c r="E2666" t="n">
        <v>1216.111</v>
      </c>
      <c r="F2666" t="n">
        <v>2103.75</v>
      </c>
      <c r="G2666" t="n">
        <v>1932730</v>
      </c>
      <c r="H2666" t="inlineStr">
        <is>
          <t>TUB-O-N-AUT-AW-FC-50.80X1.420X0.7370</t>
        </is>
      </c>
    </row>
    <row r="2667">
      <c r="A2667" t="inlineStr">
        <is>
          <t>0000189270</t>
        </is>
      </c>
      <c r="B2667" t="inlineStr">
        <is>
          <t>Indo Autotech Limited (Unit V)</t>
        </is>
      </c>
      <c r="C2667" t="inlineStr">
        <is>
          <t>NOS</t>
        </is>
      </c>
      <c r="D2667" t="n">
        <v>850</v>
      </c>
      <c r="E2667" t="n">
        <v>626.481</v>
      </c>
      <c r="F2667" t="n">
        <v>1083.75</v>
      </c>
      <c r="G2667" t="n">
        <v>1932730</v>
      </c>
      <c r="H2667" t="inlineStr">
        <is>
          <t>TUB-O-N-AUT-AW-FC-50.80X1.420X0.7370</t>
        </is>
      </c>
    </row>
    <row r="2668">
      <c r="A2668" t="inlineStr">
        <is>
          <t>0000189270</t>
        </is>
      </c>
      <c r="B2668" t="inlineStr">
        <is>
          <t>Indo Autotech Limited (Unit V)</t>
        </is>
      </c>
      <c r="C2668" t="inlineStr">
        <is>
          <t>NOS</t>
        </is>
      </c>
      <c r="D2668" t="n">
        <v>4500</v>
      </c>
      <c r="E2668" t="n">
        <v>2458.18</v>
      </c>
      <c r="F2668" t="n">
        <v>3541.5</v>
      </c>
      <c r="G2668" t="n">
        <v>1940817</v>
      </c>
      <c r="H2668" t="inlineStr">
        <is>
          <t>TUB-R-AW-RHS-40.00X20.00X1.600X0.5460</t>
        </is>
      </c>
    </row>
    <row r="2669">
      <c r="A2669" t="inlineStr">
        <is>
          <t>0000188356</t>
        </is>
      </c>
      <c r="B2669" t="inlineStr">
        <is>
          <t>Thai Summit Autoparts India Pvt Ltd</t>
        </is>
      </c>
      <c r="C2669" t="inlineStr">
        <is>
          <t>NOS</t>
        </is>
      </c>
      <c r="D2669" t="n">
        <v>914</v>
      </c>
      <c r="E2669" t="n">
        <v>521.737</v>
      </c>
      <c r="F2669" t="n">
        <v>967.926</v>
      </c>
      <c r="G2669" t="n">
        <v>3781648</v>
      </c>
      <c r="H2669" t="inlineStr">
        <is>
          <t>TUB-E-AW-AUT-59.00X30.00X1.600X0.5710</t>
        </is>
      </c>
    </row>
    <row r="2670">
      <c r="A2670" t="inlineStr">
        <is>
          <t>0000188356</t>
        </is>
      </c>
      <c r="B2670" t="inlineStr">
        <is>
          <t>Thai Summit Autoparts India Pvt Ltd</t>
        </is>
      </c>
      <c r="C2670" t="inlineStr">
        <is>
          <t>NOS</t>
        </is>
      </c>
      <c r="D2670" t="n">
        <v>346</v>
      </c>
      <c r="E2670" t="n">
        <v>197.506</v>
      </c>
      <c r="F2670" t="n">
        <v>366.414</v>
      </c>
      <c r="G2670" t="n">
        <v>3781648</v>
      </c>
      <c r="H2670" t="inlineStr">
        <is>
          <t>TUB-E-AW-AUT-59.00X30.00X1.600X0.5710</t>
        </is>
      </c>
    </row>
    <row r="2671">
      <c r="A2671" t="inlineStr">
        <is>
          <t>0000188356</t>
        </is>
      </c>
      <c r="B2671" t="inlineStr">
        <is>
          <t>Thai Summit Autoparts India Pvt Ltd</t>
        </is>
      </c>
      <c r="C2671" t="inlineStr">
        <is>
          <t>NOS</t>
        </is>
      </c>
      <c r="D2671" t="n">
        <v>220</v>
      </c>
      <c r="E2671" t="n">
        <v>125.582</v>
      </c>
      <c r="F2671" t="n">
        <v>232.98</v>
      </c>
      <c r="G2671" t="n">
        <v>3781648</v>
      </c>
      <c r="H2671" t="inlineStr">
        <is>
          <t>TUB-E-AW-AUT-59.00X30.00X1.600X0.5710</t>
        </is>
      </c>
    </row>
    <row r="2672">
      <c r="A2672" t="inlineStr">
        <is>
          <t>0000188356</t>
        </is>
      </c>
      <c r="B2672" t="inlineStr">
        <is>
          <t>Thai Summit Autoparts India Pvt Ltd</t>
        </is>
      </c>
      <c r="C2672" t="inlineStr">
        <is>
          <t>NOS</t>
        </is>
      </c>
      <c r="D2672" t="n">
        <v>859</v>
      </c>
      <c r="E2672" t="n">
        <v>416.655</v>
      </c>
      <c r="F2672" t="n">
        <v>611.6079999999999</v>
      </c>
      <c r="G2672" t="n">
        <v>2385283</v>
      </c>
      <c r="H2672" t="inlineStr">
        <is>
          <t>TUB-O-N-AUT-AW-FC-31.75X2.000X0.4850</t>
        </is>
      </c>
    </row>
    <row r="2673">
      <c r="A2673" t="inlineStr">
        <is>
          <t>0000188356</t>
        </is>
      </c>
      <c r="B2673" t="inlineStr">
        <is>
          <t>Thai Summit Autoparts India Pvt Ltd</t>
        </is>
      </c>
      <c r="C2673" t="inlineStr">
        <is>
          <t>NOS</t>
        </is>
      </c>
      <c r="D2673" t="n">
        <v>16</v>
      </c>
      <c r="E2673" t="n">
        <v>7.761</v>
      </c>
      <c r="F2673" t="n">
        <v>11.392</v>
      </c>
      <c r="G2673" t="n">
        <v>2385283</v>
      </c>
      <c r="H2673" t="inlineStr">
        <is>
          <t>TUB-O-N-AUT-AW-FC-31.75X2.000X0.4850</t>
        </is>
      </c>
    </row>
    <row r="2674">
      <c r="A2674" t="inlineStr">
        <is>
          <t>0000948721</t>
        </is>
      </c>
      <c r="B2674" t="inlineStr">
        <is>
          <t>ELKAYEM AUTO ANCILLARIES PRIVATE LI</t>
        </is>
      </c>
      <c r="C2674" t="inlineStr">
        <is>
          <t>NOS</t>
        </is>
      </c>
      <c r="D2674" t="n">
        <v>4620</v>
      </c>
      <c r="E2674" t="n">
        <v>2477.844</v>
      </c>
      <c r="F2674" t="n">
        <v>3880.8</v>
      </c>
      <c r="G2674" t="n">
        <v>1940822</v>
      </c>
      <c r="H2674" t="inlineStr">
        <is>
          <t>TUB-R-AW-RHS-40.00X25.00X1.600X0.5360</t>
        </is>
      </c>
    </row>
    <row r="2675">
      <c r="A2675" t="inlineStr">
        <is>
          <t>0000948721</t>
        </is>
      </c>
      <c r="B2675" t="inlineStr">
        <is>
          <t>ELKAYEM AUTO ANCILLARIES PRIVATE LI</t>
        </is>
      </c>
      <c r="C2675" t="inlineStr">
        <is>
          <t>NOS</t>
        </is>
      </c>
      <c r="D2675" t="n">
        <v>1885</v>
      </c>
      <c r="E2675" t="n">
        <v>279.749</v>
      </c>
      <c r="F2675" t="n">
        <v>557.96</v>
      </c>
      <c r="G2675" t="n">
        <v>4098592</v>
      </c>
      <c r="H2675" t="inlineStr">
        <is>
          <t>TUB-R-AW-AUT-40.00X30.00X2.000X0.1480</t>
        </is>
      </c>
    </row>
    <row r="2676">
      <c r="A2676" t="inlineStr">
        <is>
          <t>0000948721</t>
        </is>
      </c>
      <c r="B2676" t="inlineStr">
        <is>
          <t>ELKAYEM AUTO ANCILLARIES PRIVATE LI</t>
        </is>
      </c>
      <c r="C2676" t="inlineStr">
        <is>
          <t>NOS</t>
        </is>
      </c>
      <c r="D2676" t="n">
        <v>175</v>
      </c>
      <c r="E2676" t="n">
        <v>25.971</v>
      </c>
      <c r="F2676" t="n">
        <v>51.8</v>
      </c>
      <c r="G2676" t="n">
        <v>4098592</v>
      </c>
      <c r="H2676" t="inlineStr">
        <is>
          <t>TUB-R-AW-AUT-40.00X30.00X2.000X0.1480</t>
        </is>
      </c>
    </row>
    <row r="2677">
      <c r="A2677" t="inlineStr">
        <is>
          <t>0000948721</t>
        </is>
      </c>
      <c r="B2677" t="inlineStr">
        <is>
          <t>ELKAYEM AUTO ANCILLARIES PRIVATE LI</t>
        </is>
      </c>
      <c r="C2677" t="inlineStr">
        <is>
          <t>NOS</t>
        </is>
      </c>
      <c r="D2677" t="n">
        <v>120</v>
      </c>
      <c r="E2677" t="n">
        <v>17.809</v>
      </c>
      <c r="F2677" t="n">
        <v>35.52</v>
      </c>
      <c r="G2677" t="n">
        <v>4098592</v>
      </c>
      <c r="H2677" t="inlineStr">
        <is>
          <t>TUB-R-AW-AUT-40.00X30.00X2.000X0.1480</t>
        </is>
      </c>
    </row>
    <row r="2678">
      <c r="A2678" t="inlineStr">
        <is>
          <t>0000948721</t>
        </is>
      </c>
      <c r="B2678" t="inlineStr">
        <is>
          <t>ELKAYEM AUTO ANCILLARIES PRIVATE LI</t>
        </is>
      </c>
      <c r="C2678" t="inlineStr">
        <is>
          <t>NOS</t>
        </is>
      </c>
      <c r="D2678" t="n">
        <v>629</v>
      </c>
      <c r="E2678" t="n">
        <v>102.179</v>
      </c>
      <c r="F2678" t="n">
        <v>203.796</v>
      </c>
      <c r="G2678" t="n">
        <v>4098593</v>
      </c>
      <c r="H2678" t="inlineStr">
        <is>
          <t>TUB-R-AW-AUT-40.00X30.00X2.000X0.1620</t>
        </is>
      </c>
    </row>
    <row r="2679">
      <c r="A2679" t="inlineStr">
        <is>
          <t>0000948721</t>
        </is>
      </c>
      <c r="B2679" t="inlineStr">
        <is>
          <t>ELKAYEM AUTO ANCILLARIES PRIVATE LI</t>
        </is>
      </c>
      <c r="C2679" t="inlineStr">
        <is>
          <t>NOS</t>
        </is>
      </c>
      <c r="D2679" t="n">
        <v>524</v>
      </c>
      <c r="E2679" t="n">
        <v>85.122</v>
      </c>
      <c r="F2679" t="n">
        <v>169.776</v>
      </c>
      <c r="G2679" t="n">
        <v>4098593</v>
      </c>
      <c r="H2679" t="inlineStr">
        <is>
          <t>TUB-R-AW-AUT-40.00X30.00X2.000X0.1620</t>
        </is>
      </c>
    </row>
    <row r="2680">
      <c r="A2680" t="inlineStr">
        <is>
          <t>0000948721</t>
        </is>
      </c>
      <c r="B2680" t="inlineStr">
        <is>
          <t>ELKAYEM AUTO ANCILLARIES PRIVATE LI</t>
        </is>
      </c>
      <c r="C2680" t="inlineStr">
        <is>
          <t>NOS</t>
        </is>
      </c>
      <c r="D2680" t="n">
        <v>426</v>
      </c>
      <c r="E2680" t="n">
        <v>69.202</v>
      </c>
      <c r="F2680" t="n">
        <v>138.024</v>
      </c>
      <c r="G2680" t="n">
        <v>4098593</v>
      </c>
      <c r="H2680" t="inlineStr">
        <is>
          <t>TUB-R-AW-AUT-40.00X30.00X2.000X0.1620</t>
        </is>
      </c>
    </row>
    <row r="2681">
      <c r="A2681" t="inlineStr">
        <is>
          <t>0000948721</t>
        </is>
      </c>
      <c r="B2681" t="inlineStr">
        <is>
          <t>ELKAYEM AUTO ANCILLARIES PRIVATE LI</t>
        </is>
      </c>
      <c r="C2681" t="inlineStr">
        <is>
          <t>NOS</t>
        </is>
      </c>
      <c r="D2681" t="n">
        <v>41</v>
      </c>
      <c r="E2681" t="n">
        <v>6.66</v>
      </c>
      <c r="F2681" t="n">
        <v>13.284</v>
      </c>
      <c r="G2681" t="n">
        <v>4098593</v>
      </c>
      <c r="H2681" t="inlineStr">
        <is>
          <t>TUB-R-AW-AUT-40.00X30.00X2.000X0.1620</t>
        </is>
      </c>
    </row>
    <row r="2682">
      <c r="A2682" t="inlineStr">
        <is>
          <t>0000189002</t>
        </is>
      </c>
      <c r="B2682" t="inlineStr">
        <is>
          <t>Marathwada Auto Compo Pvt. Ltd.</t>
        </is>
      </c>
      <c r="C2682" t="inlineStr">
        <is>
          <t>NOS</t>
        </is>
      </c>
      <c r="D2682" t="n">
        <v>1154</v>
      </c>
      <c r="E2682" t="n">
        <v>2700.316</v>
      </c>
      <c r="F2682" t="n">
        <v>991.2859999999999</v>
      </c>
      <c r="G2682" t="n">
        <v>3672608</v>
      </c>
      <c r="H2682" t="inlineStr">
        <is>
          <t>TUB-O-N-AUT-AW-PE-15.88X1.000X2.3400</t>
        </is>
      </c>
    </row>
    <row r="2683">
      <c r="A2683" t="inlineStr">
        <is>
          <t>0000189002</t>
        </is>
      </c>
      <c r="B2683" t="inlineStr">
        <is>
          <t>Marathwada Auto Compo Pvt. Ltd.</t>
        </is>
      </c>
      <c r="C2683" t="inlineStr">
        <is>
          <t>NOS</t>
        </is>
      </c>
      <c r="D2683" t="n">
        <v>471</v>
      </c>
      <c r="E2683" t="n">
        <v>1102.122</v>
      </c>
      <c r="F2683" t="n">
        <v>404.589</v>
      </c>
      <c r="G2683" t="n">
        <v>3672608</v>
      </c>
      <c r="H2683" t="inlineStr">
        <is>
          <t>TUB-O-N-AUT-AW-PE-15.88X1.000X2.3400</t>
        </is>
      </c>
    </row>
    <row r="2684">
      <c r="A2684" t="inlineStr">
        <is>
          <t>0000189002</t>
        </is>
      </c>
      <c r="B2684" t="inlineStr">
        <is>
          <t>Marathwada Auto Compo Pvt. Ltd.</t>
        </is>
      </c>
      <c r="C2684" t="inlineStr">
        <is>
          <t>NOS</t>
        </is>
      </c>
      <c r="D2684" t="n">
        <v>379</v>
      </c>
      <c r="E2684" t="n">
        <v>966.41</v>
      </c>
      <c r="F2684" t="n">
        <v>692.433</v>
      </c>
      <c r="G2684" t="n">
        <v>2426142</v>
      </c>
      <c r="H2684" t="inlineStr">
        <is>
          <t>TUB-O-N-AUT-AW-PE-25.40X1.200X2.5500</t>
        </is>
      </c>
    </row>
    <row r="2685">
      <c r="A2685" t="inlineStr">
        <is>
          <t>0000189002</t>
        </is>
      </c>
      <c r="B2685" t="inlineStr">
        <is>
          <t>Marathwada Auto Compo Pvt. Ltd.</t>
        </is>
      </c>
      <c r="C2685" t="inlineStr">
        <is>
          <t>NOS</t>
        </is>
      </c>
      <c r="D2685" t="n">
        <v>246</v>
      </c>
      <c r="E2685" t="n">
        <v>627.274</v>
      </c>
      <c r="F2685" t="n">
        <v>449.442</v>
      </c>
      <c r="G2685" t="n">
        <v>2426142</v>
      </c>
      <c r="H2685" t="inlineStr">
        <is>
          <t>TUB-O-N-AUT-AW-PE-25.40X1.200X2.5500</t>
        </is>
      </c>
    </row>
    <row r="2686">
      <c r="A2686" t="inlineStr">
        <is>
          <t>0000189002</t>
        </is>
      </c>
      <c r="B2686" t="inlineStr">
        <is>
          <t>Marathwada Auto Compo Pvt. Ltd.</t>
        </is>
      </c>
      <c r="C2686" t="inlineStr">
        <is>
          <t>NOS</t>
        </is>
      </c>
      <c r="D2686" t="n">
        <v>215</v>
      </c>
      <c r="E2686" t="n">
        <v>548.227</v>
      </c>
      <c r="F2686" t="n">
        <v>392.805</v>
      </c>
      <c r="G2686" t="n">
        <v>2426142</v>
      </c>
      <c r="H2686" t="inlineStr">
        <is>
          <t>TUB-O-N-AUT-AW-PE-25.40X1.200X2.5500</t>
        </is>
      </c>
    </row>
    <row r="2687">
      <c r="A2687" t="inlineStr">
        <is>
          <t>0000189002</t>
        </is>
      </c>
      <c r="B2687" t="inlineStr">
        <is>
          <t>Marathwada Auto Compo Pvt. Ltd.</t>
        </is>
      </c>
      <c r="C2687" t="inlineStr">
        <is>
          <t>NOS</t>
        </is>
      </c>
      <c r="D2687" t="n">
        <v>1971</v>
      </c>
      <c r="E2687" t="n">
        <v>2368.033</v>
      </c>
      <c r="F2687" t="n">
        <v>1054.485</v>
      </c>
      <c r="G2687" t="n">
        <v>3635694</v>
      </c>
      <c r="H2687" t="inlineStr">
        <is>
          <t>TUB-O-N-AUT-AW-PE-19.05X1.000X1.2000</t>
        </is>
      </c>
    </row>
    <row r="2688">
      <c r="A2688" t="inlineStr">
        <is>
          <t>0000189002</t>
        </is>
      </c>
      <c r="B2688" t="inlineStr">
        <is>
          <t>Marathwada Auto Compo Pvt. Ltd.</t>
        </is>
      </c>
      <c r="C2688" t="inlineStr">
        <is>
          <t>NOS</t>
        </is>
      </c>
      <c r="D2688" t="n">
        <v>29</v>
      </c>
      <c r="E2688" t="n">
        <v>34.842</v>
      </c>
      <c r="F2688" t="n">
        <v>15.515</v>
      </c>
      <c r="G2688" t="n">
        <v>3635694</v>
      </c>
      <c r="H2688" t="inlineStr">
        <is>
          <t>TUB-O-N-AUT-AW-PE-19.05X1.000X1.2000</t>
        </is>
      </c>
    </row>
    <row r="2689">
      <c r="A2689" t="inlineStr">
        <is>
          <t>0000189002</t>
        </is>
      </c>
      <c r="B2689" t="inlineStr">
        <is>
          <t>Marathwada Auto Compo Pvt. Ltd.</t>
        </is>
      </c>
      <c r="C2689" t="inlineStr">
        <is>
          <t>NOS</t>
        </is>
      </c>
      <c r="D2689" t="n">
        <v>2375</v>
      </c>
      <c r="E2689" t="n">
        <v>3804.141</v>
      </c>
      <c r="F2689" t="n">
        <v>1396.5</v>
      </c>
      <c r="G2689" t="n">
        <v>1941846</v>
      </c>
      <c r="H2689" t="inlineStr">
        <is>
          <t>TUB-E-O-AUT-AW-FC-15.88X1.000X1.6030</t>
        </is>
      </c>
    </row>
    <row r="2690">
      <c r="A2690" t="inlineStr">
        <is>
          <t>0000189002</t>
        </is>
      </c>
      <c r="B2690" t="inlineStr">
        <is>
          <t>Marathwada Auto Compo Pvt. Ltd.</t>
        </is>
      </c>
      <c r="C2690" t="inlineStr">
        <is>
          <t>NOS</t>
        </is>
      </c>
      <c r="D2690" t="n">
        <v>825</v>
      </c>
      <c r="E2690" t="n">
        <v>1802.37</v>
      </c>
      <c r="F2690" t="n">
        <v>661.65</v>
      </c>
      <c r="G2690" t="n">
        <v>1941847</v>
      </c>
      <c r="H2690" t="inlineStr">
        <is>
          <t>TUB-E-O-AUT-AW-FC-15.88X1.000X2.1850</t>
        </is>
      </c>
    </row>
    <row r="2691">
      <c r="A2691" t="inlineStr">
        <is>
          <t>0000184283</t>
        </is>
      </c>
      <c r="B2691" t="inlineStr">
        <is>
          <t>SM EXHAUST TECHNOLOGY PVT LTD</t>
        </is>
      </c>
      <c r="C2691" t="inlineStr">
        <is>
          <t>NOS</t>
        </is>
      </c>
      <c r="D2691" t="n">
        <v>882</v>
      </c>
      <c r="E2691" t="n">
        <v>657.972</v>
      </c>
      <c r="F2691" t="n">
        <v>657.051</v>
      </c>
      <c r="G2691" t="n">
        <v>3960245</v>
      </c>
      <c r="H2691" t="inlineStr">
        <is>
          <t>CUT-O-N-AUT-AW-FC-34.93X1.200X0.7460</t>
        </is>
      </c>
    </row>
    <row r="2692">
      <c r="A2692" t="inlineStr">
        <is>
          <t>0000184283</t>
        </is>
      </c>
      <c r="B2692" t="inlineStr">
        <is>
          <t>SM EXHAUST TECHNOLOGY PVT LTD</t>
        </is>
      </c>
      <c r="C2692" t="inlineStr">
        <is>
          <t>NOS</t>
        </is>
      </c>
      <c r="D2692" t="n">
        <v>649</v>
      </c>
      <c r="E2692" t="n">
        <v>484.154</v>
      </c>
      <c r="F2692" t="n">
        <v>483.476</v>
      </c>
      <c r="G2692" t="n">
        <v>3960245</v>
      </c>
      <c r="H2692" t="inlineStr">
        <is>
          <t>CUT-O-N-AUT-AW-FC-34.93X1.200X0.7460</t>
        </is>
      </c>
    </row>
    <row r="2693">
      <c r="A2693" t="inlineStr">
        <is>
          <t>0000184283</t>
        </is>
      </c>
      <c r="B2693" t="inlineStr">
        <is>
          <t>SM EXHAUST TECHNOLOGY PVT LTD</t>
        </is>
      </c>
      <c r="C2693" t="inlineStr">
        <is>
          <t>NOS</t>
        </is>
      </c>
      <c r="D2693" t="n">
        <v>9</v>
      </c>
      <c r="E2693" t="n">
        <v>6.714</v>
      </c>
      <c r="F2693" t="n">
        <v>6.705</v>
      </c>
      <c r="G2693" t="n">
        <v>3960245</v>
      </c>
      <c r="H2693" t="inlineStr">
        <is>
          <t>CUT-O-N-AUT-AW-FC-34.93X1.200X0.7460</t>
        </is>
      </c>
    </row>
    <row r="2694">
      <c r="A2694" t="inlineStr">
        <is>
          <t>0000184283</t>
        </is>
      </c>
      <c r="B2694" t="inlineStr">
        <is>
          <t>SM EXHAUST TECHNOLOGY PVT LTD</t>
        </is>
      </c>
      <c r="C2694" t="inlineStr">
        <is>
          <t>NOS</t>
        </is>
      </c>
      <c r="D2694" t="n">
        <v>1660</v>
      </c>
      <c r="E2694" t="n">
        <v>1221.726</v>
      </c>
      <c r="F2694" t="n">
        <v>1692.702</v>
      </c>
      <c r="G2694" t="n">
        <v>3960244</v>
      </c>
      <c r="H2694" t="inlineStr">
        <is>
          <t>CUT-O-N-AUT-AW-FC-48.00X1.200X0.7360</t>
        </is>
      </c>
    </row>
    <row r="2695">
      <c r="A2695" t="inlineStr">
        <is>
          <t>0000184283</t>
        </is>
      </c>
      <c r="B2695" t="inlineStr">
        <is>
          <t>SM EXHAUST TECHNOLOGY PVT LTD</t>
        </is>
      </c>
      <c r="C2695" t="inlineStr">
        <is>
          <t>NOS</t>
        </is>
      </c>
      <c r="D2695" t="n">
        <v>1650</v>
      </c>
      <c r="E2695" t="n">
        <v>1214.367</v>
      </c>
      <c r="F2695" t="n">
        <v>1682.505</v>
      </c>
      <c r="G2695" t="n">
        <v>3960244</v>
      </c>
      <c r="H2695" t="inlineStr">
        <is>
          <t>CUT-O-N-AUT-AW-FC-48.00X1.200X0.7360</t>
        </is>
      </c>
    </row>
    <row r="2696">
      <c r="A2696" t="inlineStr">
        <is>
          <t>0000184283</t>
        </is>
      </c>
      <c r="B2696" t="inlineStr">
        <is>
          <t>SM EXHAUST TECHNOLOGY PVT LTD</t>
        </is>
      </c>
      <c r="C2696" t="inlineStr">
        <is>
          <t>NOS</t>
        </is>
      </c>
      <c r="D2696" t="n">
        <v>1500</v>
      </c>
      <c r="E2696" t="n">
        <v>1103.97</v>
      </c>
      <c r="F2696" t="n">
        <v>1529.55</v>
      </c>
      <c r="G2696" t="n">
        <v>3960244</v>
      </c>
      <c r="H2696" t="inlineStr">
        <is>
          <t>CUT-O-N-AUT-AW-FC-48.00X1.200X0.7360</t>
        </is>
      </c>
    </row>
    <row r="2697">
      <c r="A2697" t="inlineStr">
        <is>
          <t>0000184283</t>
        </is>
      </c>
      <c r="B2697" t="inlineStr">
        <is>
          <t>SM EXHAUST TECHNOLOGY PVT LTD</t>
        </is>
      </c>
      <c r="C2697" t="inlineStr">
        <is>
          <t>NOS</t>
        </is>
      </c>
      <c r="D2697" t="n">
        <v>1470</v>
      </c>
      <c r="E2697" t="n">
        <v>1081.89</v>
      </c>
      <c r="F2697" t="n">
        <v>1498.959</v>
      </c>
      <c r="G2697" t="n">
        <v>3960244</v>
      </c>
      <c r="H2697" t="inlineStr">
        <is>
          <t>CUT-O-N-AUT-AW-FC-48.00X1.200X0.7360</t>
        </is>
      </c>
    </row>
    <row r="2698">
      <c r="A2698" t="inlineStr">
        <is>
          <t>0000184283</t>
        </is>
      </c>
      <c r="B2698" t="inlineStr">
        <is>
          <t>SM EXHAUST TECHNOLOGY PVT LTD</t>
        </is>
      </c>
      <c r="C2698" t="inlineStr">
        <is>
          <t>NOS</t>
        </is>
      </c>
      <c r="D2698" t="n">
        <v>1460</v>
      </c>
      <c r="E2698" t="n">
        <v>1074.53</v>
      </c>
      <c r="F2698" t="n">
        <v>1488.762</v>
      </c>
      <c r="G2698" t="n">
        <v>3960244</v>
      </c>
      <c r="H2698" t="inlineStr">
        <is>
          <t>CUT-O-N-AUT-AW-FC-48.00X1.200X0.7360</t>
        </is>
      </c>
    </row>
    <row r="2699">
      <c r="A2699" t="inlineStr">
        <is>
          <t>0000184283</t>
        </is>
      </c>
      <c r="B2699" t="inlineStr">
        <is>
          <t>SM EXHAUST TECHNOLOGY PVT LTD</t>
        </is>
      </c>
      <c r="C2699" t="inlineStr">
        <is>
          <t>NOS</t>
        </is>
      </c>
      <c r="D2699" t="n">
        <v>320</v>
      </c>
      <c r="E2699" t="n">
        <v>235.514</v>
      </c>
      <c r="F2699" t="n">
        <v>326.304</v>
      </c>
      <c r="G2699" t="n">
        <v>3960244</v>
      </c>
      <c r="H2699" t="inlineStr">
        <is>
          <t>CUT-O-N-AUT-AW-FC-48.00X1.200X0.7360</t>
        </is>
      </c>
    </row>
    <row r="2700">
      <c r="A2700" t="inlineStr">
        <is>
          <t>0000184283</t>
        </is>
      </c>
      <c r="B2700" t="inlineStr">
        <is>
          <t>SM EXHAUST TECHNOLOGY PVT LTD</t>
        </is>
      </c>
      <c r="C2700" t="inlineStr">
        <is>
          <t>NOS</t>
        </is>
      </c>
      <c r="D2700" t="n">
        <v>290</v>
      </c>
      <c r="E2700" t="n">
        <v>188.589</v>
      </c>
      <c r="F2700" t="n">
        <v>261.29</v>
      </c>
      <c r="G2700" t="n">
        <v>2397060</v>
      </c>
      <c r="H2700" t="inlineStr">
        <is>
          <t>TUB-O-N-AUT-AW-FC-48.00X1.200X0.6500</t>
        </is>
      </c>
    </row>
    <row r="2701">
      <c r="A2701" t="inlineStr">
        <is>
          <t>0000188595</t>
        </is>
      </c>
      <c r="B2701" t="inlineStr">
        <is>
          <t>Sri Balaji Gears</t>
        </is>
      </c>
      <c r="C2701" t="inlineStr">
        <is>
          <t>NOS</t>
        </is>
      </c>
      <c r="D2701" t="n">
        <v>1500</v>
      </c>
      <c r="E2701" t="n">
        <v>1965.583</v>
      </c>
      <c r="F2701" t="n">
        <v>2164.5</v>
      </c>
      <c r="G2701" t="n">
        <v>1940801</v>
      </c>
      <c r="H2701" t="inlineStr">
        <is>
          <t>TUB-R-AW-RHS-40.00X20.00X1.210X1.3100</t>
        </is>
      </c>
    </row>
    <row r="2702">
      <c r="A2702" t="inlineStr">
        <is>
          <t>0000188595</t>
        </is>
      </c>
      <c r="B2702" t="inlineStr">
        <is>
          <t>Sri Balaji Gears</t>
        </is>
      </c>
      <c r="C2702" t="inlineStr">
        <is>
          <t>NOS</t>
        </is>
      </c>
      <c r="D2702" t="n">
        <v>500</v>
      </c>
      <c r="E2702" t="n">
        <v>623.4109999999999</v>
      </c>
      <c r="F2702" t="n">
        <v>686.5</v>
      </c>
      <c r="G2702" t="n">
        <v>3233554</v>
      </c>
      <c r="H2702" t="inlineStr">
        <is>
          <t>TUB-R-AW-AUT-40.00X20.00X1.210X1.2460</t>
        </is>
      </c>
    </row>
    <row r="2703">
      <c r="A2703" t="inlineStr">
        <is>
          <t>0000188595</t>
        </is>
      </c>
      <c r="B2703" t="inlineStr">
        <is>
          <t>Sri Balaji Gears</t>
        </is>
      </c>
      <c r="C2703" t="inlineStr">
        <is>
          <t>NOS</t>
        </is>
      </c>
      <c r="D2703" t="n">
        <v>1649</v>
      </c>
      <c r="E2703" t="n">
        <v>1847.862</v>
      </c>
      <c r="F2703" t="n">
        <v>2034.866</v>
      </c>
      <c r="G2703" t="n">
        <v>3233555</v>
      </c>
      <c r="H2703" t="inlineStr">
        <is>
          <t>TUB-R-AW-AUT-40.00X20.00X1.210X1.1200</t>
        </is>
      </c>
    </row>
    <row r="2704">
      <c r="A2704" t="inlineStr">
        <is>
          <t>0000188595</t>
        </is>
      </c>
      <c r="B2704" t="inlineStr">
        <is>
          <t>Sri Balaji Gears</t>
        </is>
      </c>
      <c r="C2704" t="inlineStr">
        <is>
          <t>NOS</t>
        </is>
      </c>
      <c r="D2704" t="n">
        <v>351</v>
      </c>
      <c r="E2704" t="n">
        <v>393.329</v>
      </c>
      <c r="F2704" t="n">
        <v>433.134</v>
      </c>
      <c r="G2704" t="n">
        <v>3233555</v>
      </c>
      <c r="H2704" t="inlineStr">
        <is>
          <t>TUB-R-AW-AUT-40.00X20.00X1.210X1.1200</t>
        </is>
      </c>
    </row>
    <row r="2705">
      <c r="A2705" t="inlineStr">
        <is>
          <t>0000188595</t>
        </is>
      </c>
      <c r="B2705" t="inlineStr">
        <is>
          <t>Sri Balaji Gears</t>
        </is>
      </c>
      <c r="C2705" t="inlineStr">
        <is>
          <t>NOS</t>
        </is>
      </c>
      <c r="D2705" t="n">
        <v>2000</v>
      </c>
      <c r="E2705" t="n">
        <v>1720.981</v>
      </c>
      <c r="F2705" t="n">
        <v>1880</v>
      </c>
      <c r="G2705" t="n">
        <v>3572051</v>
      </c>
      <c r="H2705" t="inlineStr">
        <is>
          <t>TUB-R-AW-AUT-40.00X20.00X1.200X0.8600</t>
        </is>
      </c>
    </row>
    <row r="2706">
      <c r="A2706" t="inlineStr">
        <is>
          <t>0000188595</t>
        </is>
      </c>
      <c r="B2706" t="inlineStr">
        <is>
          <t>Sri Balaji Gears</t>
        </is>
      </c>
      <c r="C2706" t="inlineStr">
        <is>
          <t>NOS</t>
        </is>
      </c>
      <c r="D2706" t="n">
        <v>500</v>
      </c>
      <c r="E2706" t="n">
        <v>377.497</v>
      </c>
      <c r="F2706" t="n">
        <v>412.378</v>
      </c>
      <c r="G2706" t="n">
        <v>4151472</v>
      </c>
      <c r="H2706" t="inlineStr">
        <is>
          <t>TUB-R-AW-AUT-40.00X20.00X1.200X0.7550</t>
        </is>
      </c>
    </row>
    <row r="2707">
      <c r="A2707" t="inlineStr">
        <is>
          <t>0000188595</t>
        </is>
      </c>
      <c r="B2707" t="inlineStr">
        <is>
          <t>Sri Balaji Gears</t>
        </is>
      </c>
      <c r="C2707" t="inlineStr">
        <is>
          <t>NOS</t>
        </is>
      </c>
      <c r="D2707" t="n">
        <v>200</v>
      </c>
      <c r="E2707" t="n">
        <v>150.999</v>
      </c>
      <c r="F2707" t="n">
        <v>164.951</v>
      </c>
      <c r="G2707" t="n">
        <v>4151472</v>
      </c>
      <c r="H2707" t="inlineStr">
        <is>
          <t>TUB-R-AW-AUT-40.00X20.00X1.200X0.7550</t>
        </is>
      </c>
    </row>
    <row r="2708">
      <c r="A2708" t="inlineStr">
        <is>
          <t>0000188595</t>
        </is>
      </c>
      <c r="B2708" t="inlineStr">
        <is>
          <t>Sri Balaji Gears</t>
        </is>
      </c>
      <c r="C2708" t="inlineStr">
        <is>
          <t>NOS</t>
        </is>
      </c>
      <c r="D2708" t="n">
        <v>190</v>
      </c>
      <c r="E2708" t="n">
        <v>143.449</v>
      </c>
      <c r="F2708" t="n">
        <v>156.704</v>
      </c>
      <c r="G2708" t="n">
        <v>4151472</v>
      </c>
      <c r="H2708" t="inlineStr">
        <is>
          <t>TUB-R-AW-AUT-40.00X20.00X1.200X0.7550</t>
        </is>
      </c>
    </row>
    <row r="2709">
      <c r="A2709" t="inlineStr">
        <is>
          <t>0000188595</t>
        </is>
      </c>
      <c r="B2709" t="inlineStr">
        <is>
          <t>Sri Balaji Gears</t>
        </is>
      </c>
      <c r="C2709" t="inlineStr">
        <is>
          <t>NOS</t>
        </is>
      </c>
      <c r="D2709" t="n">
        <v>110</v>
      </c>
      <c r="E2709" t="n">
        <v>83.04900000000001</v>
      </c>
      <c r="F2709" t="n">
        <v>90.723</v>
      </c>
      <c r="G2709" t="n">
        <v>4151472</v>
      </c>
      <c r="H2709" t="inlineStr">
        <is>
          <t>TUB-R-AW-AUT-40.00X20.00X1.200X0.7550</t>
        </is>
      </c>
    </row>
    <row r="2710">
      <c r="A2710" t="inlineStr">
        <is>
          <t>0000188595</t>
        </is>
      </c>
      <c r="B2710" t="inlineStr">
        <is>
          <t>Sri Balaji Gears</t>
        </is>
      </c>
      <c r="C2710" t="inlineStr">
        <is>
          <t>NOS</t>
        </is>
      </c>
      <c r="D2710" t="n">
        <v>1000</v>
      </c>
      <c r="E2710" t="n">
        <v>120.777</v>
      </c>
      <c r="F2710" t="n">
        <v>133</v>
      </c>
      <c r="G2710" t="n">
        <v>3233559</v>
      </c>
      <c r="H2710" t="inlineStr">
        <is>
          <t>TUB-R-AW-AUT-40.00X20.00X1.210X0.1200</t>
        </is>
      </c>
    </row>
    <row r="2711">
      <c r="A2711" t="inlineStr">
        <is>
          <t>0000188595</t>
        </is>
      </c>
      <c r="B2711" t="inlineStr">
        <is>
          <t>Sri Balaji Gears</t>
        </is>
      </c>
      <c r="C2711" t="inlineStr">
        <is>
          <t>NOS</t>
        </is>
      </c>
      <c r="D2711" t="n">
        <v>1000</v>
      </c>
      <c r="E2711" t="n">
        <v>110.765</v>
      </c>
      <c r="F2711" t="n">
        <v>121</v>
      </c>
      <c r="G2711" t="n">
        <v>3572047</v>
      </c>
      <c r="H2711" t="inlineStr">
        <is>
          <t>TUB-R-AW-AUT-40.00X20.00X1.200X0.1100</t>
        </is>
      </c>
    </row>
    <row r="2712">
      <c r="A2712" t="inlineStr">
        <is>
          <t>0000188595</t>
        </is>
      </c>
      <c r="B2712" t="inlineStr">
        <is>
          <t>Sri Balaji Gears</t>
        </is>
      </c>
      <c r="C2712" t="inlineStr">
        <is>
          <t>NOS</t>
        </is>
      </c>
      <c r="D2712" t="n">
        <v>1000</v>
      </c>
      <c r="E2712" t="n">
        <v>794.991</v>
      </c>
      <c r="F2712" t="n">
        <v>439.789</v>
      </c>
      <c r="G2712" t="n">
        <v>4151429</v>
      </c>
      <c r="H2712" t="inlineStr">
        <is>
          <t>TUB-S-AW-AUT-19.00X19.00X1.000X0.7950</t>
        </is>
      </c>
    </row>
    <row r="2713">
      <c r="A2713" t="inlineStr">
        <is>
          <t>0000188595</t>
        </is>
      </c>
      <c r="B2713" t="inlineStr">
        <is>
          <t>Sri Balaji Gears</t>
        </is>
      </c>
      <c r="C2713" t="inlineStr">
        <is>
          <t>NOS</t>
        </is>
      </c>
      <c r="D2713" t="n">
        <v>1000</v>
      </c>
      <c r="E2713" t="n">
        <v>469.994</v>
      </c>
      <c r="F2713" t="n">
        <v>256.1</v>
      </c>
      <c r="G2713" t="n">
        <v>3230488</v>
      </c>
      <c r="H2713" t="inlineStr">
        <is>
          <t>TUB-S-AW-AUT-19.00X19.00X1.000X0.4700</t>
        </is>
      </c>
    </row>
    <row r="2714">
      <c r="A2714" t="inlineStr">
        <is>
          <t>0000188595</t>
        </is>
      </c>
      <c r="B2714" t="inlineStr">
        <is>
          <t>Sri Balaji Gears</t>
        </is>
      </c>
      <c r="C2714" t="inlineStr">
        <is>
          <t>NOS</t>
        </is>
      </c>
      <c r="D2714" t="n">
        <v>4000</v>
      </c>
      <c r="E2714" t="n">
        <v>1597.975</v>
      </c>
      <c r="F2714" t="n">
        <v>884</v>
      </c>
      <c r="G2714" t="n">
        <v>3230487</v>
      </c>
      <c r="H2714" t="inlineStr">
        <is>
          <t>TUB-S-AW-AUT-19.00X19.00X1.000X0.4000</t>
        </is>
      </c>
    </row>
    <row r="2715">
      <c r="A2715" t="inlineStr">
        <is>
          <t>0000188595</t>
        </is>
      </c>
      <c r="B2715" t="inlineStr">
        <is>
          <t>Sri Balaji Gears</t>
        </is>
      </c>
      <c r="C2715" t="inlineStr">
        <is>
          <t>NOS</t>
        </is>
      </c>
      <c r="D2715" t="n">
        <v>2000</v>
      </c>
      <c r="E2715" t="n">
        <v>199.996</v>
      </c>
      <c r="F2715" t="n">
        <v>109</v>
      </c>
      <c r="G2715" t="n">
        <v>3931834</v>
      </c>
      <c r="H2715" t="inlineStr">
        <is>
          <t>CUT-R-AW-AUT-19.00X19.00X1.000X0.1000</t>
        </is>
      </c>
    </row>
    <row r="2716">
      <c r="A2716" t="inlineStr">
        <is>
          <t>0000188595</t>
        </is>
      </c>
      <c r="B2716" t="inlineStr">
        <is>
          <t>Sri Balaji Gears</t>
        </is>
      </c>
      <c r="C2716" t="inlineStr">
        <is>
          <t>NOS</t>
        </is>
      </c>
      <c r="D2716" t="n">
        <v>630</v>
      </c>
      <c r="E2716" t="n">
        <v>72.45399999999999</v>
      </c>
      <c r="F2716" t="n">
        <v>39.48</v>
      </c>
      <c r="G2716" t="n">
        <v>4151428</v>
      </c>
      <c r="H2716" t="inlineStr">
        <is>
          <t>TUB-S-AW-AUT-19.00X19.00X1.000X0.1150</t>
        </is>
      </c>
    </row>
    <row r="2717">
      <c r="A2717" t="inlineStr">
        <is>
          <t>0000188595</t>
        </is>
      </c>
      <c r="B2717" t="inlineStr">
        <is>
          <t>Sri Balaji Gears</t>
        </is>
      </c>
      <c r="C2717" t="inlineStr">
        <is>
          <t>NOS</t>
        </is>
      </c>
      <c r="D2717" t="n">
        <v>370</v>
      </c>
      <c r="E2717" t="n">
        <v>42.552</v>
      </c>
      <c r="F2717" t="n">
        <v>23.187</v>
      </c>
      <c r="G2717" t="n">
        <v>4151428</v>
      </c>
      <c r="H2717" t="inlineStr">
        <is>
          <t>TUB-S-AW-AUT-19.00X19.00X1.000X0.1150</t>
        </is>
      </c>
    </row>
    <row r="2718">
      <c r="A2718" t="inlineStr">
        <is>
          <t>0000188595</t>
        </is>
      </c>
      <c r="B2718" t="inlineStr">
        <is>
          <t>Sri Balaji Gears</t>
        </is>
      </c>
      <c r="C2718" t="inlineStr">
        <is>
          <t>NOS</t>
        </is>
      </c>
      <c r="D2718" t="n">
        <v>1000</v>
      </c>
      <c r="E2718" t="n">
        <v>962.99</v>
      </c>
      <c r="F2718" t="n">
        <v>524.7329999999999</v>
      </c>
      <c r="G2718" t="n">
        <v>4151427</v>
      </c>
      <c r="H2718" t="inlineStr">
        <is>
          <t>TUB-S-AW-AUT-19.00X19.00X1.000X0.9630</t>
        </is>
      </c>
    </row>
    <row r="2719">
      <c r="A2719" t="inlineStr">
        <is>
          <t>0000188595</t>
        </is>
      </c>
      <c r="B2719" t="inlineStr">
        <is>
          <t>Sri Balaji Gears</t>
        </is>
      </c>
      <c r="C2719" t="inlineStr">
        <is>
          <t>NOS</t>
        </is>
      </c>
      <c r="D2719" t="n">
        <v>1000</v>
      </c>
      <c r="E2719" t="n">
        <v>755.001</v>
      </c>
      <c r="F2719" t="n">
        <v>411.4</v>
      </c>
      <c r="G2719" t="n">
        <v>4151426</v>
      </c>
      <c r="H2719" t="inlineStr">
        <is>
          <t>TUB-S-AW-AUT-19.00X19.00X1.000X0.7550</t>
        </is>
      </c>
    </row>
    <row r="2720">
      <c r="A2720" t="inlineStr">
        <is>
          <t>0000188595</t>
        </is>
      </c>
      <c r="B2720" t="inlineStr">
        <is>
          <t>Sri Balaji Gears</t>
        </is>
      </c>
      <c r="C2720" t="inlineStr">
        <is>
          <t>NOS</t>
        </is>
      </c>
      <c r="D2720" t="n">
        <v>1000</v>
      </c>
      <c r="E2720" t="n">
        <v>356.11</v>
      </c>
      <c r="F2720" t="n">
        <v>197</v>
      </c>
      <c r="G2720" t="n">
        <v>3230490</v>
      </c>
      <c r="H2720" t="inlineStr">
        <is>
          <t>TUB-S-AW-AUT-19.00X19.00X1.000X0.3550</t>
        </is>
      </c>
    </row>
    <row r="2721">
      <c r="A2721" t="inlineStr">
        <is>
          <t>0000188595</t>
        </is>
      </c>
      <c r="B2721" t="inlineStr">
        <is>
          <t>Sri Balaji Gears</t>
        </is>
      </c>
      <c r="C2721" t="inlineStr">
        <is>
          <t>NOS</t>
        </is>
      </c>
      <c r="D2721" t="n">
        <v>1000</v>
      </c>
      <c r="E2721" t="n">
        <v>1303.991</v>
      </c>
      <c r="F2721" t="n">
        <v>710.544</v>
      </c>
      <c r="G2721" t="n">
        <v>3572039</v>
      </c>
      <c r="H2721" t="inlineStr">
        <is>
          <t>TUB-S-AW-AUT-19.00X19.00X1.000X1.3040</t>
        </is>
      </c>
    </row>
    <row r="2722">
      <c r="A2722" t="inlineStr">
        <is>
          <t>0000188595</t>
        </is>
      </c>
      <c r="B2722" t="inlineStr">
        <is>
          <t>Sri Balaji Gears</t>
        </is>
      </c>
      <c r="C2722" t="inlineStr">
        <is>
          <t>NOS</t>
        </is>
      </c>
      <c r="D2722" t="n">
        <v>500</v>
      </c>
      <c r="E2722" t="n">
        <v>622.999</v>
      </c>
      <c r="F2722" t="n">
        <v>339.472</v>
      </c>
      <c r="G2722" t="n">
        <v>3572038</v>
      </c>
      <c r="H2722" t="inlineStr">
        <is>
          <t>TUB-S-AW-AUT-19.00X19.00X1.000X1.2460</t>
        </is>
      </c>
    </row>
    <row r="2723">
      <c r="A2723" t="inlineStr">
        <is>
          <t>0000188595</t>
        </is>
      </c>
      <c r="B2723" t="inlineStr">
        <is>
          <t>Sri Balaji Gears</t>
        </is>
      </c>
      <c r="C2723" t="inlineStr">
        <is>
          <t>NOS</t>
        </is>
      </c>
      <c r="D2723" t="n">
        <v>588</v>
      </c>
      <c r="E2723" t="n">
        <v>490.98</v>
      </c>
      <c r="F2723" t="n">
        <v>271.61</v>
      </c>
      <c r="G2723" t="n">
        <v>4151425</v>
      </c>
      <c r="H2723" t="inlineStr">
        <is>
          <t>TUB-S-AW-AUT-19.00X19.00X1.000X0.8350</t>
        </is>
      </c>
    </row>
    <row r="2724">
      <c r="A2724" t="inlineStr">
        <is>
          <t>0000188595</t>
        </is>
      </c>
      <c r="B2724" t="inlineStr">
        <is>
          <t>Sri Balaji Gears</t>
        </is>
      </c>
      <c r="C2724" t="inlineStr">
        <is>
          <t>NOS</t>
        </is>
      </c>
      <c r="D2724" t="n">
        <v>195</v>
      </c>
      <c r="E2724" t="n">
        <v>162.825</v>
      </c>
      <c r="F2724" t="n">
        <v>90.075</v>
      </c>
      <c r="G2724" t="n">
        <v>4151425</v>
      </c>
      <c r="H2724" t="inlineStr">
        <is>
          <t>TUB-S-AW-AUT-19.00X19.00X1.000X0.8350</t>
        </is>
      </c>
    </row>
    <row r="2725">
      <c r="A2725" t="inlineStr">
        <is>
          <t>0000188595</t>
        </is>
      </c>
      <c r="B2725" t="inlineStr">
        <is>
          <t>Sri Balaji Gears</t>
        </is>
      </c>
      <c r="C2725" t="inlineStr">
        <is>
          <t>NOS</t>
        </is>
      </c>
      <c r="D2725" t="n">
        <v>96</v>
      </c>
      <c r="E2725" t="n">
        <v>80.16</v>
      </c>
      <c r="F2725" t="n">
        <v>44.345</v>
      </c>
      <c r="G2725" t="n">
        <v>4151425</v>
      </c>
      <c r="H2725" t="inlineStr">
        <is>
          <t>TUB-S-AW-AUT-19.00X19.00X1.000X0.8350</t>
        </is>
      </c>
    </row>
    <row r="2726">
      <c r="A2726" t="inlineStr">
        <is>
          <t>0000188595</t>
        </is>
      </c>
      <c r="B2726" t="inlineStr">
        <is>
          <t>Sri Balaji Gears</t>
        </is>
      </c>
      <c r="C2726" t="inlineStr">
        <is>
          <t>NOS</t>
        </is>
      </c>
      <c r="D2726" t="n">
        <v>67</v>
      </c>
      <c r="E2726" t="n">
        <v>55.945</v>
      </c>
      <c r="F2726" t="n">
        <v>30.949</v>
      </c>
      <c r="G2726" t="n">
        <v>4151425</v>
      </c>
      <c r="H2726" t="inlineStr">
        <is>
          <t>TUB-S-AW-AUT-19.00X19.00X1.000X0.8350</t>
        </is>
      </c>
    </row>
    <row r="2727">
      <c r="A2727" t="inlineStr">
        <is>
          <t>0000188595</t>
        </is>
      </c>
      <c r="B2727" t="inlineStr">
        <is>
          <t>Sri Balaji Gears</t>
        </is>
      </c>
      <c r="C2727" t="inlineStr">
        <is>
          <t>NOS</t>
        </is>
      </c>
      <c r="D2727" t="n">
        <v>54</v>
      </c>
      <c r="E2727" t="n">
        <v>45.09</v>
      </c>
      <c r="F2727" t="n">
        <v>24.944</v>
      </c>
      <c r="G2727" t="n">
        <v>4151425</v>
      </c>
      <c r="H2727" t="inlineStr">
        <is>
          <t>TUB-S-AW-AUT-19.00X19.00X1.000X0.8350</t>
        </is>
      </c>
    </row>
    <row r="2728">
      <c r="A2728" t="inlineStr">
        <is>
          <t>0000188595</t>
        </is>
      </c>
      <c r="B2728" t="inlineStr">
        <is>
          <t>Sri Balaji Gears</t>
        </is>
      </c>
      <c r="C2728" t="inlineStr">
        <is>
          <t>NOS</t>
        </is>
      </c>
      <c r="D2728" t="n">
        <v>1000</v>
      </c>
      <c r="E2728" t="n">
        <v>539.997</v>
      </c>
      <c r="F2728" t="n">
        <v>294.244</v>
      </c>
      <c r="G2728" t="n">
        <v>3571870</v>
      </c>
      <c r="H2728" t="inlineStr">
        <is>
          <t>TUB-S-AW-AUT-19.00X19.00X1.000X0.5400</t>
        </is>
      </c>
    </row>
    <row r="2729">
      <c r="A2729" t="inlineStr">
        <is>
          <t>0000188595</t>
        </is>
      </c>
      <c r="B2729" t="inlineStr">
        <is>
          <t>Sri Balaji Gears</t>
        </is>
      </c>
      <c r="C2729" t="inlineStr">
        <is>
          <t>NOS</t>
        </is>
      </c>
      <c r="D2729" t="n">
        <v>835</v>
      </c>
      <c r="E2729" t="n">
        <v>91.857</v>
      </c>
      <c r="F2729" t="n">
        <v>50.063</v>
      </c>
      <c r="G2729" t="n">
        <v>3931835</v>
      </c>
      <c r="H2729" t="inlineStr">
        <is>
          <t>CUT-R-AW-AUT-19.00X19.00X1.000X0.1100</t>
        </is>
      </c>
    </row>
    <row r="2730">
      <c r="A2730" t="inlineStr">
        <is>
          <t>0000188595</t>
        </is>
      </c>
      <c r="B2730" t="inlineStr">
        <is>
          <t>Sri Balaji Gears</t>
        </is>
      </c>
      <c r="C2730" t="inlineStr">
        <is>
          <t>NOS</t>
        </is>
      </c>
      <c r="D2730" t="n">
        <v>165</v>
      </c>
      <c r="E2730" t="n">
        <v>18.151</v>
      </c>
      <c r="F2730" t="n">
        <v>9.893000000000001</v>
      </c>
      <c r="G2730" t="n">
        <v>3931835</v>
      </c>
      <c r="H2730" t="inlineStr">
        <is>
          <t>CUT-R-AW-AUT-19.00X19.00X1.000X0.1100</t>
        </is>
      </c>
    </row>
    <row r="2731">
      <c r="A2731" t="inlineStr">
        <is>
          <t>0000188595</t>
        </is>
      </c>
      <c r="B2731" t="inlineStr">
        <is>
          <t>Sri Balaji Gears</t>
        </is>
      </c>
      <c r="C2731" t="inlineStr">
        <is>
          <t>NOS</t>
        </is>
      </c>
      <c r="D2731" t="n">
        <v>670</v>
      </c>
      <c r="E2731" t="n">
        <v>428.798</v>
      </c>
      <c r="F2731" t="n">
        <v>387.848</v>
      </c>
      <c r="G2731" t="n">
        <v>4151430</v>
      </c>
      <c r="H2731" t="inlineStr">
        <is>
          <t>TUB-S-AW-AUT-25.00X25.00X1.200X0.6400</t>
        </is>
      </c>
    </row>
    <row r="2732">
      <c r="A2732" t="inlineStr">
        <is>
          <t>0000188595</t>
        </is>
      </c>
      <c r="B2732" t="inlineStr">
        <is>
          <t>Sri Balaji Gears</t>
        </is>
      </c>
      <c r="C2732" t="inlineStr">
        <is>
          <t>NOS</t>
        </is>
      </c>
      <c r="D2732" t="n">
        <v>330</v>
      </c>
      <c r="E2732" t="n">
        <v>211.199</v>
      </c>
      <c r="F2732" t="n">
        <v>191.03</v>
      </c>
      <c r="G2732" t="n">
        <v>4151430</v>
      </c>
      <c r="H2732" t="inlineStr">
        <is>
          <t>TUB-S-AW-AUT-25.00X25.00X1.200X0.6400</t>
        </is>
      </c>
    </row>
    <row r="2733">
      <c r="A2733" t="inlineStr">
        <is>
          <t>0000188595</t>
        </is>
      </c>
      <c r="B2733" t="inlineStr">
        <is>
          <t>Sri Balaji Gears</t>
        </is>
      </c>
      <c r="C2733" t="inlineStr">
        <is>
          <t>NOS</t>
        </is>
      </c>
      <c r="D2733" t="n">
        <v>500</v>
      </c>
      <c r="E2733" t="n">
        <v>615.004</v>
      </c>
      <c r="F2733" t="n">
        <v>324.872</v>
      </c>
      <c r="G2733" t="n">
        <v>3929692</v>
      </c>
      <c r="H2733" t="inlineStr">
        <is>
          <t>CUT-O-N-AUT-AW-PE-19.05X1.200X1.2300</t>
        </is>
      </c>
    </row>
    <row r="2734">
      <c r="A2734" t="inlineStr">
        <is>
          <t>0000188595</t>
        </is>
      </c>
      <c r="B2734" t="inlineStr">
        <is>
          <t>Sri Balaji Gears</t>
        </is>
      </c>
      <c r="C2734" t="inlineStr">
        <is>
          <t>NOS</t>
        </is>
      </c>
      <c r="D2734" t="n">
        <v>3000</v>
      </c>
      <c r="E2734" t="n">
        <v>599.975</v>
      </c>
      <c r="F2734" t="n">
        <v>316.933</v>
      </c>
      <c r="G2734" t="n">
        <v>3929691</v>
      </c>
      <c r="H2734" t="inlineStr">
        <is>
          <t>CUT-O-N-AUT-AW-PE-19.05X1.200X0.2000</t>
        </is>
      </c>
    </row>
    <row r="2735">
      <c r="A2735" t="inlineStr">
        <is>
          <t>0000188595</t>
        </is>
      </c>
      <c r="B2735" t="inlineStr">
        <is>
          <t>Sri Balaji Gears</t>
        </is>
      </c>
      <c r="C2735" t="inlineStr">
        <is>
          <t>NOS</t>
        </is>
      </c>
      <c r="D2735" t="n">
        <v>1000</v>
      </c>
      <c r="E2735" t="n">
        <v>150</v>
      </c>
      <c r="F2735" t="n">
        <v>65.167</v>
      </c>
      <c r="G2735" t="n">
        <v>4104140</v>
      </c>
      <c r="H2735" t="inlineStr">
        <is>
          <t>TUB-O-N-AUT-AW-PE-15.88X1.220X0.1500</t>
        </is>
      </c>
    </row>
    <row r="2736">
      <c r="A2736" t="inlineStr">
        <is>
          <t>0000188595</t>
        </is>
      </c>
      <c r="B2736" t="inlineStr">
        <is>
          <t>Sri Balaji Gears</t>
        </is>
      </c>
      <c r="C2736" t="inlineStr">
        <is>
          <t>NOS</t>
        </is>
      </c>
      <c r="D2736" t="n">
        <v>2000</v>
      </c>
      <c r="E2736" t="n">
        <v>317.352</v>
      </c>
      <c r="F2736" t="n">
        <v>466</v>
      </c>
      <c r="G2736" t="n">
        <v>3572055</v>
      </c>
      <c r="H2736" t="inlineStr">
        <is>
          <t>TUB-S-AW-AUT-40.00X40.00X1.200X0.1580</t>
        </is>
      </c>
    </row>
    <row r="2737">
      <c r="A2737" t="inlineStr">
        <is>
          <t>0000188595</t>
        </is>
      </c>
      <c r="B2737" t="inlineStr">
        <is>
          <t>Sri Balaji Gears</t>
        </is>
      </c>
      <c r="C2737" t="inlineStr">
        <is>
          <t>NOS</t>
        </is>
      </c>
      <c r="D2737" t="n">
        <v>1000</v>
      </c>
      <c r="E2737" t="n">
        <v>115</v>
      </c>
      <c r="F2737" t="n">
        <v>168.867</v>
      </c>
      <c r="G2737" t="n">
        <v>4151471</v>
      </c>
      <c r="H2737" t="inlineStr">
        <is>
          <t>TUB-S-AW-SHS-40.00X40.00X1.200X0.1150</t>
        </is>
      </c>
    </row>
    <row r="2738">
      <c r="A2738" t="inlineStr">
        <is>
          <t>0000188595</t>
        </is>
      </c>
      <c r="B2738" t="inlineStr">
        <is>
          <t>Sri Balaji Gears</t>
        </is>
      </c>
      <c r="C2738" t="inlineStr">
        <is>
          <t>NOS</t>
        </is>
      </c>
      <c r="D2738" t="n">
        <v>896</v>
      </c>
      <c r="E2738" t="n">
        <v>170.24</v>
      </c>
      <c r="F2738" t="n">
        <v>185.97</v>
      </c>
      <c r="G2738" t="n">
        <v>4151424</v>
      </c>
      <c r="H2738" t="inlineStr">
        <is>
          <t>TUB-S-AW-AUT-30.00X30.00X1.200X0.1900</t>
        </is>
      </c>
    </row>
    <row r="2739">
      <c r="A2739" t="inlineStr">
        <is>
          <t>0000188595</t>
        </is>
      </c>
      <c r="B2739" t="inlineStr">
        <is>
          <t>Sri Balaji Gears</t>
        </is>
      </c>
      <c r="C2739" t="inlineStr">
        <is>
          <t>NOS</t>
        </is>
      </c>
      <c r="D2739" t="n">
        <v>102</v>
      </c>
      <c r="E2739" t="n">
        <v>19.38</v>
      </c>
      <c r="F2739" t="n">
        <v>21.171</v>
      </c>
      <c r="G2739" t="n">
        <v>4151424</v>
      </c>
      <c r="H2739" t="inlineStr">
        <is>
          <t>TUB-S-AW-AUT-30.00X30.00X1.200X0.1900</t>
        </is>
      </c>
    </row>
    <row r="2740">
      <c r="A2740" t="inlineStr">
        <is>
          <t>0000188595</t>
        </is>
      </c>
      <c r="B2740" t="inlineStr">
        <is>
          <t>Sri Balaji Gears</t>
        </is>
      </c>
      <c r="C2740" t="inlineStr">
        <is>
          <t>NOS</t>
        </is>
      </c>
      <c r="D2740" t="n">
        <v>2</v>
      </c>
      <c r="E2740" t="n">
        <v>0.38</v>
      </c>
      <c r="F2740" t="n">
        <v>0.415</v>
      </c>
      <c r="G2740" t="n">
        <v>4151424</v>
      </c>
      <c r="H2740" t="inlineStr">
        <is>
          <t>TUB-S-AW-AUT-30.00X30.00X1.200X0.1900</t>
        </is>
      </c>
    </row>
    <row r="2741">
      <c r="A2741" t="inlineStr">
        <is>
          <t>0000188595</t>
        </is>
      </c>
      <c r="B2741" t="inlineStr">
        <is>
          <t>Sri Balaji Gears</t>
        </is>
      </c>
      <c r="C2741" t="inlineStr">
        <is>
          <t>NOS</t>
        </is>
      </c>
      <c r="D2741" t="n">
        <v>500</v>
      </c>
      <c r="E2741" t="n">
        <v>503.507</v>
      </c>
      <c r="F2741" t="n">
        <v>274.417</v>
      </c>
      <c r="G2741" t="n">
        <v>4100796</v>
      </c>
      <c r="H2741" t="inlineStr">
        <is>
          <t>CUT-R-AW-AUT-19.00X19.00X1.000X1.0070</t>
        </is>
      </c>
    </row>
    <row r="2742">
      <c r="A2742" t="inlineStr">
        <is>
          <t>0000188595</t>
        </is>
      </c>
      <c r="B2742" t="inlineStr">
        <is>
          <t>Sri Balaji Gears</t>
        </is>
      </c>
      <c r="C2742" t="inlineStr">
        <is>
          <t>NOS</t>
        </is>
      </c>
      <c r="D2742" t="n">
        <v>1000</v>
      </c>
      <c r="E2742" t="n">
        <v>129.009</v>
      </c>
      <c r="F2742" t="n">
        <v>70.31100000000001</v>
      </c>
      <c r="G2742" t="n">
        <v>3938687</v>
      </c>
      <c r="H2742" t="inlineStr">
        <is>
          <t>TUB-S-AW-AUT-19.00X19.00X1.000X0.1290</t>
        </is>
      </c>
    </row>
    <row r="2743">
      <c r="A2743" t="inlineStr">
        <is>
          <t>0000188595</t>
        </is>
      </c>
      <c r="B2743" t="inlineStr">
        <is>
          <t>Sri Balaji Gears</t>
        </is>
      </c>
      <c r="C2743" t="inlineStr">
        <is>
          <t>NOS</t>
        </is>
      </c>
      <c r="D2743" t="n">
        <v>500</v>
      </c>
      <c r="E2743" t="n">
        <v>164.995</v>
      </c>
      <c r="F2743" t="n">
        <v>87.18300000000001</v>
      </c>
      <c r="G2743" t="n">
        <v>3935313</v>
      </c>
      <c r="H2743" t="inlineStr">
        <is>
          <t>CUT-O-N-AUT-AW-PE-19.05X1.200X0.33</t>
        </is>
      </c>
    </row>
    <row r="2744">
      <c r="A2744" t="inlineStr">
        <is>
          <t>0000940329</t>
        </is>
      </c>
      <c r="B2744" t="inlineStr">
        <is>
          <t>ADISHWAR STEELS</t>
        </is>
      </c>
      <c r="C2744" t="inlineStr">
        <is>
          <t>KG</t>
        </is>
      </c>
      <c r="D2744" t="n">
        <v>340</v>
      </c>
      <c r="E2744" t="n">
        <v>2040.203</v>
      </c>
      <c r="F2744" t="n">
        <v>1289</v>
      </c>
      <c r="G2744" t="n">
        <v>1940148</v>
      </c>
      <c r="H2744" t="inlineStr">
        <is>
          <t>TUB-S-FH-SHS-19.00X19.00X1.150X6.0000</t>
        </is>
      </c>
    </row>
    <row r="2745">
      <c r="A2745" t="inlineStr">
        <is>
          <t>0000940329</t>
        </is>
      </c>
      <c r="B2745" t="inlineStr">
        <is>
          <t>ADISHWAR STEELS</t>
        </is>
      </c>
      <c r="C2745" t="inlineStr">
        <is>
          <t>KG</t>
        </is>
      </c>
      <c r="D2745" t="n">
        <v>657</v>
      </c>
      <c r="E2745" t="n">
        <v>3941.121</v>
      </c>
      <c r="F2745" t="n">
        <v>2490</v>
      </c>
      <c r="G2745" t="n">
        <v>1940148</v>
      </c>
      <c r="H2745" t="inlineStr">
        <is>
          <t>TUB-S-FH-SHS-19.00X19.00X1.150X6.0000</t>
        </is>
      </c>
    </row>
    <row r="2746">
      <c r="A2746" t="inlineStr">
        <is>
          <t>0000940329</t>
        </is>
      </c>
      <c r="B2746" t="inlineStr">
        <is>
          <t>ADISHWAR STEELS</t>
        </is>
      </c>
      <c r="C2746" t="inlineStr">
        <is>
          <t>KG</t>
        </is>
      </c>
      <c r="D2746" t="n">
        <v>409</v>
      </c>
      <c r="E2746" t="n">
        <v>2453.308</v>
      </c>
      <c r="F2746" t="n">
        <v>1550</v>
      </c>
      <c r="G2746" t="n">
        <v>1940148</v>
      </c>
      <c r="H2746" t="inlineStr">
        <is>
          <t>TUB-S-FH-SHS-19.00X19.00X1.150X6.0000</t>
        </is>
      </c>
    </row>
    <row r="2747">
      <c r="A2747" t="inlineStr">
        <is>
          <t>0000940329</t>
        </is>
      </c>
      <c r="B2747" t="inlineStr">
        <is>
          <t>ADISHWAR STEELS</t>
        </is>
      </c>
      <c r="C2747" t="inlineStr">
        <is>
          <t>KG</t>
        </is>
      </c>
      <c r="D2747" t="n">
        <v>401</v>
      </c>
      <c r="E2747" t="n">
        <v>2405.825</v>
      </c>
      <c r="F2747" t="n">
        <v>1520</v>
      </c>
      <c r="G2747" t="n">
        <v>1940148</v>
      </c>
      <c r="H2747" t="inlineStr">
        <is>
          <t>TUB-S-FH-SHS-19.00X19.00X1.150X6.0000</t>
        </is>
      </c>
    </row>
    <row r="2748">
      <c r="A2748" t="inlineStr">
        <is>
          <t>0000940329</t>
        </is>
      </c>
      <c r="B2748" t="inlineStr">
        <is>
          <t>ADISHWAR STEELS</t>
        </is>
      </c>
      <c r="C2748" t="inlineStr">
        <is>
          <t>KG</t>
        </is>
      </c>
      <c r="D2748" t="n">
        <v>395</v>
      </c>
      <c r="E2748" t="n">
        <v>2371.003</v>
      </c>
      <c r="F2748" t="n">
        <v>1498</v>
      </c>
      <c r="G2748" t="n">
        <v>1940148</v>
      </c>
      <c r="H2748" t="inlineStr">
        <is>
          <t>TUB-S-FH-SHS-19.00X19.00X1.150X6.0000</t>
        </is>
      </c>
    </row>
    <row r="2749">
      <c r="A2749" t="inlineStr">
        <is>
          <t>0000940329</t>
        </is>
      </c>
      <c r="B2749" t="inlineStr">
        <is>
          <t>ADISHWAR STEELS</t>
        </is>
      </c>
      <c r="C2749" t="inlineStr">
        <is>
          <t>KG</t>
        </is>
      </c>
      <c r="D2749" t="n">
        <v>398</v>
      </c>
      <c r="E2749" t="n">
        <v>2389.997</v>
      </c>
      <c r="F2749" t="n">
        <v>1510</v>
      </c>
      <c r="G2749" t="n">
        <v>1940148</v>
      </c>
      <c r="H2749" t="inlineStr">
        <is>
          <t>TUB-S-FH-SHS-19.00X19.00X1.150X6.0000</t>
        </is>
      </c>
    </row>
    <row r="2750">
      <c r="A2750" t="inlineStr">
        <is>
          <t>0000940329</t>
        </is>
      </c>
      <c r="B2750" t="inlineStr">
        <is>
          <t>ADISHWAR STEELS</t>
        </is>
      </c>
      <c r="C2750" t="inlineStr">
        <is>
          <t>KG</t>
        </is>
      </c>
      <c r="D2750" t="n">
        <v>262</v>
      </c>
      <c r="E2750" t="n">
        <v>1571.7</v>
      </c>
      <c r="F2750" t="n">
        <v>993</v>
      </c>
      <c r="G2750" t="n">
        <v>1940148</v>
      </c>
      <c r="H2750" t="inlineStr">
        <is>
          <t>TUB-S-FH-SHS-19.00X19.00X1.150X6.0000</t>
        </is>
      </c>
    </row>
    <row r="2751">
      <c r="A2751" t="inlineStr">
        <is>
          <t>0000940085</t>
        </is>
      </c>
      <c r="B2751" t="inlineStr">
        <is>
          <t>TECHNICO INDUSTRIES LIMITED</t>
        </is>
      </c>
      <c r="C2751" t="inlineStr">
        <is>
          <t>NOS</t>
        </is>
      </c>
      <c r="D2751" t="n">
        <v>786</v>
      </c>
      <c r="E2751" t="n">
        <v>622.739</v>
      </c>
      <c r="F2751" t="n">
        <v>914.1180000000001</v>
      </c>
      <c r="G2751" t="n">
        <v>3447256</v>
      </c>
      <c r="H2751" t="inlineStr">
        <is>
          <t>TUB-O-N-AUT-AW-FC-31.75X2.000X0.7920</t>
        </is>
      </c>
    </row>
    <row r="2752">
      <c r="A2752" t="inlineStr">
        <is>
          <t>0000940085</t>
        </is>
      </c>
      <c r="B2752" t="inlineStr">
        <is>
          <t>TECHNICO INDUSTRIES LIMITED</t>
        </is>
      </c>
      <c r="C2752" t="inlineStr">
        <is>
          <t>NOS</t>
        </is>
      </c>
      <c r="D2752" t="n">
        <v>4</v>
      </c>
      <c r="E2752" t="n">
        <v>3.169</v>
      </c>
      <c r="F2752" t="n">
        <v>4.652</v>
      </c>
      <c r="G2752" t="n">
        <v>3447256</v>
      </c>
      <c r="H2752" t="inlineStr">
        <is>
          <t>TUB-O-N-AUT-AW-FC-31.75X2.000X0.7920</t>
        </is>
      </c>
    </row>
    <row r="2753">
      <c r="A2753" t="inlineStr">
        <is>
          <t>0000940085</t>
        </is>
      </c>
      <c r="B2753" t="inlineStr">
        <is>
          <t>TECHNICO INDUSTRIES LIMITED</t>
        </is>
      </c>
      <c r="C2753" t="inlineStr">
        <is>
          <t>NOS</t>
        </is>
      </c>
      <c r="D2753" t="n">
        <v>955</v>
      </c>
      <c r="E2753" t="n">
        <v>1237.149</v>
      </c>
      <c r="F2753" t="n">
        <v>537.665</v>
      </c>
      <c r="G2753" t="n">
        <v>3241514</v>
      </c>
      <c r="H2753" t="inlineStr">
        <is>
          <t>TUB-O-N-AUT-AW-PE-15.88X1.200X1.2940</t>
        </is>
      </c>
    </row>
    <row r="2754">
      <c r="A2754" t="inlineStr">
        <is>
          <t>0000940085</t>
        </is>
      </c>
      <c r="B2754" t="inlineStr">
        <is>
          <t>TECHNICO INDUSTRIES LIMITED</t>
        </is>
      </c>
      <c r="C2754" t="inlineStr">
        <is>
          <t>NOS</t>
        </is>
      </c>
      <c r="D2754" t="n">
        <v>719</v>
      </c>
      <c r="E2754" t="n">
        <v>931.424</v>
      </c>
      <c r="F2754" t="n">
        <v>404.797</v>
      </c>
      <c r="G2754" t="n">
        <v>3241514</v>
      </c>
      <c r="H2754" t="inlineStr">
        <is>
          <t>TUB-O-N-AUT-AW-PE-15.88X1.200X1.2940</t>
        </is>
      </c>
    </row>
    <row r="2755">
      <c r="A2755" t="inlineStr">
        <is>
          <t>0000940085</t>
        </is>
      </c>
      <c r="B2755" t="inlineStr">
        <is>
          <t>TECHNICO INDUSTRIES LIMITED</t>
        </is>
      </c>
      <c r="C2755" t="inlineStr">
        <is>
          <t>NOS</t>
        </is>
      </c>
      <c r="D2755" t="n">
        <v>545</v>
      </c>
      <c r="E2755" t="n">
        <v>706.0170000000001</v>
      </c>
      <c r="F2755" t="n">
        <v>306.835</v>
      </c>
      <c r="G2755" t="n">
        <v>3241514</v>
      </c>
      <c r="H2755" t="inlineStr">
        <is>
          <t>TUB-O-N-AUT-AW-PE-15.88X1.200X1.2940</t>
        </is>
      </c>
    </row>
    <row r="2756">
      <c r="A2756" t="inlineStr">
        <is>
          <t>0000940085</t>
        </is>
      </c>
      <c r="B2756" t="inlineStr">
        <is>
          <t>TECHNICO INDUSTRIES LIMITED</t>
        </is>
      </c>
      <c r="C2756" t="inlineStr">
        <is>
          <t>NOS</t>
        </is>
      </c>
      <c r="D2756" t="n">
        <v>4</v>
      </c>
      <c r="E2756" t="n">
        <v>5.182</v>
      </c>
      <c r="F2756" t="n">
        <v>2.252</v>
      </c>
      <c r="G2756" t="n">
        <v>3241514</v>
      </c>
      <c r="H2756" t="inlineStr">
        <is>
          <t>TUB-O-N-AUT-AW-PE-15.88X1.200X1.2940</t>
        </is>
      </c>
    </row>
    <row r="2757">
      <c r="A2757" t="inlineStr">
        <is>
          <t>0000940085</t>
        </is>
      </c>
      <c r="B2757" t="inlineStr">
        <is>
          <t>TECHNICO INDUSTRIES LIMITED</t>
        </is>
      </c>
      <c r="C2757" t="inlineStr">
        <is>
          <t>NOS</t>
        </is>
      </c>
      <c r="D2757" t="n">
        <v>2</v>
      </c>
      <c r="E2757" t="n">
        <v>2.591</v>
      </c>
      <c r="F2757" t="n">
        <v>1.126</v>
      </c>
      <c r="G2757" t="n">
        <v>3241514</v>
      </c>
      <c r="H2757" t="inlineStr">
        <is>
          <t>TUB-O-N-AUT-AW-PE-15.88X1.200X1.2940</t>
        </is>
      </c>
    </row>
    <row r="2758">
      <c r="A2758" t="inlineStr">
        <is>
          <t>0000940085</t>
        </is>
      </c>
      <c r="B2758" t="inlineStr">
        <is>
          <t>TECHNICO INDUSTRIES LIMITED</t>
        </is>
      </c>
      <c r="C2758" t="inlineStr">
        <is>
          <t>NOS</t>
        </is>
      </c>
      <c r="D2758" t="n">
        <v>414</v>
      </c>
      <c r="E2758" t="n">
        <v>519.167</v>
      </c>
      <c r="F2758" t="n">
        <v>225.63</v>
      </c>
      <c r="G2758" t="n">
        <v>3241515</v>
      </c>
      <c r="H2758" t="inlineStr">
        <is>
          <t>TUB-O-N-AUT-AW-PE-15.88X1.200X1.2540</t>
        </is>
      </c>
    </row>
    <row r="2759">
      <c r="A2759" t="inlineStr">
        <is>
          <t>0000940085</t>
        </is>
      </c>
      <c r="B2759" t="inlineStr">
        <is>
          <t>TECHNICO INDUSTRIES LIMITED</t>
        </is>
      </c>
      <c r="C2759" t="inlineStr">
        <is>
          <t>NOS</t>
        </is>
      </c>
      <c r="D2759" t="n">
        <v>9</v>
      </c>
      <c r="E2759" t="n">
        <v>11.286</v>
      </c>
      <c r="F2759" t="n">
        <v>4.905</v>
      </c>
      <c r="G2759" t="n">
        <v>3241515</v>
      </c>
      <c r="H2759" t="inlineStr">
        <is>
          <t>TUB-O-N-AUT-AW-PE-15.88X1.200X1.2540</t>
        </is>
      </c>
    </row>
    <row r="2760">
      <c r="A2760" t="inlineStr">
        <is>
          <t>0000940085</t>
        </is>
      </c>
      <c r="B2760" t="inlineStr">
        <is>
          <t>TECHNICO INDUSTRIES LIMITED</t>
        </is>
      </c>
      <c r="C2760" t="inlineStr">
        <is>
          <t>NOS</t>
        </is>
      </c>
      <c r="D2760" t="n">
        <v>2</v>
      </c>
      <c r="E2760" t="n">
        <v>2.508</v>
      </c>
      <c r="F2760" t="n">
        <v>1.09</v>
      </c>
      <c r="G2760" t="n">
        <v>3241515</v>
      </c>
      <c r="H2760" t="inlineStr">
        <is>
          <t>TUB-O-N-AUT-AW-PE-15.88X1.200X1.2540</t>
        </is>
      </c>
    </row>
    <row r="2761">
      <c r="A2761" t="inlineStr">
        <is>
          <t>0000940085</t>
        </is>
      </c>
      <c r="B2761" t="inlineStr">
        <is>
          <t>TECHNICO INDUSTRIES LIMITED</t>
        </is>
      </c>
      <c r="C2761" t="inlineStr">
        <is>
          <t>NOS</t>
        </is>
      </c>
      <c r="D2761" t="n">
        <v>1700</v>
      </c>
      <c r="E2761" t="n">
        <v>860.561</v>
      </c>
      <c r="F2761" t="n">
        <v>374</v>
      </c>
      <c r="G2761" t="n">
        <v>3447258</v>
      </c>
      <c r="H2761" t="inlineStr">
        <is>
          <t>TUB-O-N-AUT-AW-PE-15.88X1.200X0.5050</t>
        </is>
      </c>
    </row>
    <row r="2762">
      <c r="A2762" t="inlineStr">
        <is>
          <t>0000940085</t>
        </is>
      </c>
      <c r="B2762" t="inlineStr">
        <is>
          <t>TECHNICO INDUSTRIES LIMITED</t>
        </is>
      </c>
      <c r="C2762" t="inlineStr">
        <is>
          <t>NOS</t>
        </is>
      </c>
      <c r="D2762" t="n">
        <v>1800</v>
      </c>
      <c r="E2762" t="n">
        <v>873.907</v>
      </c>
      <c r="F2762" t="n">
        <v>379.8</v>
      </c>
      <c r="G2762" t="n">
        <v>3241517</v>
      </c>
      <c r="H2762" t="inlineStr">
        <is>
          <t>TUB-O-N-AUT-AW-PE-15.88X1.200X0.4840</t>
        </is>
      </c>
    </row>
    <row r="2763">
      <c r="A2763" t="inlineStr">
        <is>
          <t>0000940085</t>
        </is>
      </c>
      <c r="B2763" t="inlineStr">
        <is>
          <t>TECHNICO INDUSTRIES LIMITED</t>
        </is>
      </c>
      <c r="C2763" t="inlineStr">
        <is>
          <t>NOS</t>
        </is>
      </c>
      <c r="D2763" t="n">
        <v>500</v>
      </c>
      <c r="E2763" t="n">
        <v>298.284</v>
      </c>
      <c r="F2763" t="n">
        <v>109.5</v>
      </c>
      <c r="G2763" t="n">
        <v>3398266</v>
      </c>
      <c r="H2763" t="inlineStr">
        <is>
          <t>TUB-O-N-AUT-AW-PE-15.88X1.000X0.5940</t>
        </is>
      </c>
    </row>
    <row r="2764">
      <c r="A2764" t="inlineStr">
        <is>
          <t>0000940085</t>
        </is>
      </c>
      <c r="B2764" t="inlineStr">
        <is>
          <t>TECHNICO INDUSTRIES LIMITED</t>
        </is>
      </c>
      <c r="C2764" t="inlineStr">
        <is>
          <t>NOS</t>
        </is>
      </c>
      <c r="D2764" t="n">
        <v>569</v>
      </c>
      <c r="E2764" t="n">
        <v>550.7809999999999</v>
      </c>
      <c r="F2764" t="n">
        <v>808.492</v>
      </c>
      <c r="G2764" t="n">
        <v>3776929</v>
      </c>
      <c r="H2764" t="inlineStr">
        <is>
          <t>CUT-O-N-AUT-AW-FC-31.75X2.000X0.9680</t>
        </is>
      </c>
    </row>
    <row r="2765">
      <c r="A2765" t="inlineStr">
        <is>
          <t>0000940085</t>
        </is>
      </c>
      <c r="B2765" t="inlineStr">
        <is>
          <t>TECHNICO INDUSTRIES LIMITED</t>
        </is>
      </c>
      <c r="C2765" t="inlineStr">
        <is>
          <t>NOS</t>
        </is>
      </c>
      <c r="D2765" t="n">
        <v>21</v>
      </c>
      <c r="E2765" t="n">
        <v>20.328</v>
      </c>
      <c r="F2765" t="n">
        <v>29.839</v>
      </c>
      <c r="G2765" t="n">
        <v>3776929</v>
      </c>
      <c r="H2765" t="inlineStr">
        <is>
          <t>CUT-O-N-AUT-AW-FC-31.75X2.000X0.9680</t>
        </is>
      </c>
    </row>
    <row r="2766">
      <c r="A2766" t="inlineStr">
        <is>
          <t>0000940085</t>
        </is>
      </c>
      <c r="B2766" t="inlineStr">
        <is>
          <t>TECHNICO INDUSTRIES LIMITED</t>
        </is>
      </c>
      <c r="C2766" t="inlineStr">
        <is>
          <t>NOS</t>
        </is>
      </c>
      <c r="D2766" t="n">
        <v>600</v>
      </c>
      <c r="E2766" t="n">
        <v>468.364</v>
      </c>
      <c r="F2766" t="n">
        <v>557.4</v>
      </c>
      <c r="G2766" t="n">
        <v>3447257</v>
      </c>
      <c r="H2766" t="inlineStr">
        <is>
          <t>TUB-O-N-AUT-AW-FC-31.75X1.600X0.7800</t>
        </is>
      </c>
    </row>
    <row r="2767">
      <c r="A2767" t="inlineStr">
        <is>
          <t>0000189270</t>
        </is>
      </c>
      <c r="B2767" t="inlineStr">
        <is>
          <t>Indo Autotech Limited (Unit V)</t>
        </is>
      </c>
      <c r="C2767" t="inlineStr">
        <is>
          <t>NOS</t>
        </is>
      </c>
      <c r="D2767" t="n">
        <v>1656</v>
      </c>
      <c r="E2767" t="n">
        <v>481.75</v>
      </c>
      <c r="F2767" t="n">
        <v>1427.472</v>
      </c>
      <c r="G2767" t="n">
        <v>1940857</v>
      </c>
      <c r="H2767" t="inlineStr">
        <is>
          <t>TUB-O-O-AUT-AW-CH-41.28X3.150X0.2910</t>
        </is>
      </c>
    </row>
    <row r="2768">
      <c r="A2768" t="inlineStr">
        <is>
          <t>0000189270</t>
        </is>
      </c>
      <c r="B2768" t="inlineStr">
        <is>
          <t>Indo Autotech Limited (Unit V)</t>
        </is>
      </c>
      <c r="C2768" t="inlineStr">
        <is>
          <t>NOS</t>
        </is>
      </c>
      <c r="D2768" t="n">
        <v>160</v>
      </c>
      <c r="E2768" t="n">
        <v>46.546</v>
      </c>
      <c r="F2768" t="n">
        <v>137.92</v>
      </c>
      <c r="G2768" t="n">
        <v>1940857</v>
      </c>
      <c r="H2768" t="inlineStr">
        <is>
          <t>TUB-O-O-AUT-AW-CH-41.28X3.150X0.2910</t>
        </is>
      </c>
    </row>
    <row r="2769">
      <c r="A2769" t="inlineStr">
        <is>
          <t>0000189270</t>
        </is>
      </c>
      <c r="B2769" t="inlineStr">
        <is>
          <t>Indo Autotech Limited (Unit V)</t>
        </is>
      </c>
      <c r="C2769" t="inlineStr">
        <is>
          <t>NOS</t>
        </is>
      </c>
      <c r="D2769" t="n">
        <v>4</v>
      </c>
      <c r="E2769" t="n">
        <v>1.164</v>
      </c>
      <c r="F2769" t="n">
        <v>3.448</v>
      </c>
      <c r="G2769" t="n">
        <v>1940857</v>
      </c>
      <c r="H2769" t="inlineStr">
        <is>
          <t>TUB-O-O-AUT-AW-CH-41.28X3.150X0.2910</t>
        </is>
      </c>
    </row>
    <row r="2770">
      <c r="A2770" t="inlineStr">
        <is>
          <t>0000189270</t>
        </is>
      </c>
      <c r="B2770" t="inlineStr">
        <is>
          <t>Indo Autotech Limited (Unit V)</t>
        </is>
      </c>
      <c r="C2770" t="inlineStr">
        <is>
          <t>NOS</t>
        </is>
      </c>
      <c r="D2770" t="n">
        <v>1075</v>
      </c>
      <c r="E2770" t="n">
        <v>197.914</v>
      </c>
      <c r="F2770" t="n">
        <v>750.35</v>
      </c>
      <c r="G2770" t="n">
        <v>1940868</v>
      </c>
      <c r="H2770" t="inlineStr">
        <is>
          <t>TUB-O-O-AUT-AW-FC-48.60X3.400X0.1840</t>
        </is>
      </c>
    </row>
    <row r="2771">
      <c r="A2771" t="inlineStr">
        <is>
          <t>0000189270</t>
        </is>
      </c>
      <c r="B2771" t="inlineStr">
        <is>
          <t>Indo Autotech Limited (Unit V)</t>
        </is>
      </c>
      <c r="C2771" t="inlineStr">
        <is>
          <t>NOS</t>
        </is>
      </c>
      <c r="D2771" t="n">
        <v>1058</v>
      </c>
      <c r="E2771" t="n">
        <v>194.784</v>
      </c>
      <c r="F2771" t="n">
        <v>738.484</v>
      </c>
      <c r="G2771" t="n">
        <v>1940868</v>
      </c>
      <c r="H2771" t="inlineStr">
        <is>
          <t>TUB-O-O-AUT-AW-FC-48.60X3.400X0.1840</t>
        </is>
      </c>
    </row>
    <row r="2772">
      <c r="A2772" t="inlineStr">
        <is>
          <t>0000189270</t>
        </is>
      </c>
      <c r="B2772" t="inlineStr">
        <is>
          <t>Indo Autotech Limited (Unit V)</t>
        </is>
      </c>
      <c r="C2772" t="inlineStr">
        <is>
          <t>NOS</t>
        </is>
      </c>
      <c r="D2772" t="n">
        <v>8</v>
      </c>
      <c r="E2772" t="n">
        <v>1.473</v>
      </c>
      <c r="F2772" t="n">
        <v>5.584</v>
      </c>
      <c r="G2772" t="n">
        <v>1940868</v>
      </c>
      <c r="H2772" t="inlineStr">
        <is>
          <t>TUB-O-O-AUT-AW-FC-48.60X3.400X0.1840</t>
        </is>
      </c>
    </row>
    <row r="2773">
      <c r="A2773" t="inlineStr">
        <is>
          <t>0000189270</t>
        </is>
      </c>
      <c r="B2773" t="inlineStr">
        <is>
          <t>Indo Autotech Limited (Unit V)</t>
        </is>
      </c>
      <c r="C2773" t="inlineStr">
        <is>
          <t>NOS</t>
        </is>
      </c>
      <c r="D2773" t="n">
        <v>7</v>
      </c>
      <c r="E2773" t="n">
        <v>1.289</v>
      </c>
      <c r="F2773" t="n">
        <v>4.886</v>
      </c>
      <c r="G2773" t="n">
        <v>1940868</v>
      </c>
      <c r="H2773" t="inlineStr">
        <is>
          <t>TUB-O-O-AUT-AW-FC-48.60X3.400X0.1840</t>
        </is>
      </c>
    </row>
    <row r="2774">
      <c r="A2774" t="inlineStr">
        <is>
          <t>0000189270</t>
        </is>
      </c>
      <c r="B2774" t="inlineStr">
        <is>
          <t>Indo Autotech Limited (Unit V)</t>
        </is>
      </c>
      <c r="C2774" t="inlineStr">
        <is>
          <t>NOS</t>
        </is>
      </c>
      <c r="D2774" t="n">
        <v>1250</v>
      </c>
      <c r="E2774" t="n">
        <v>921.296</v>
      </c>
      <c r="F2774" t="n">
        <v>1593.75</v>
      </c>
      <c r="G2774" t="n">
        <v>1932730</v>
      </c>
      <c r="H2774" t="inlineStr">
        <is>
          <t>TUB-O-N-AUT-AW-FC-50.80X1.420X0.7370</t>
        </is>
      </c>
    </row>
    <row r="2775">
      <c r="A2775" t="inlineStr">
        <is>
          <t>0000189270</t>
        </is>
      </c>
      <c r="B2775" t="inlineStr">
        <is>
          <t>Indo Autotech Limited (Unit V)</t>
        </is>
      </c>
      <c r="C2775" t="inlineStr">
        <is>
          <t>NOS</t>
        </is>
      </c>
      <c r="D2775" t="n">
        <v>1149</v>
      </c>
      <c r="E2775" t="n">
        <v>846.855</v>
      </c>
      <c r="F2775" t="n">
        <v>1464.975</v>
      </c>
      <c r="G2775" t="n">
        <v>1932730</v>
      </c>
      <c r="H2775" t="inlineStr">
        <is>
          <t>TUB-O-N-AUT-AW-FC-50.80X1.420X0.7370</t>
        </is>
      </c>
    </row>
    <row r="2776">
      <c r="A2776" t="inlineStr">
        <is>
          <t>0000189270</t>
        </is>
      </c>
      <c r="B2776" t="inlineStr">
        <is>
          <t>Indo Autotech Limited (Unit V)</t>
        </is>
      </c>
      <c r="C2776" t="inlineStr">
        <is>
          <t>NOS</t>
        </is>
      </c>
      <c r="D2776" t="n">
        <v>601</v>
      </c>
      <c r="E2776" t="n">
        <v>442.959</v>
      </c>
      <c r="F2776" t="n">
        <v>766.275</v>
      </c>
      <c r="G2776" t="n">
        <v>1932730</v>
      </c>
      <c r="H2776" t="inlineStr">
        <is>
          <t>TUB-O-N-AUT-AW-FC-50.80X1.420X0.7370</t>
        </is>
      </c>
    </row>
    <row r="2777">
      <c r="A2777" t="inlineStr">
        <is>
          <t>0000189270</t>
        </is>
      </c>
      <c r="B2777" t="inlineStr">
        <is>
          <t>Indo Autotech Limited (Unit V)</t>
        </is>
      </c>
      <c r="C2777" t="inlineStr">
        <is>
          <t>NOS</t>
        </is>
      </c>
      <c r="D2777" t="n">
        <v>4176</v>
      </c>
      <c r="E2777" t="n">
        <v>2281.191</v>
      </c>
      <c r="F2777" t="n">
        <v>3286.512</v>
      </c>
      <c r="G2777" t="n">
        <v>1940817</v>
      </c>
      <c r="H2777" t="inlineStr">
        <is>
          <t>TUB-R-AW-RHS-40.00X20.00X1.600X0.5460</t>
        </is>
      </c>
    </row>
    <row r="2778">
      <c r="A2778" t="inlineStr">
        <is>
          <t>0000189270</t>
        </is>
      </c>
      <c r="B2778" t="inlineStr">
        <is>
          <t>Indo Autotech Limited (Unit V)</t>
        </is>
      </c>
      <c r="C2778" t="inlineStr">
        <is>
          <t>NOS</t>
        </is>
      </c>
      <c r="D2778" t="n">
        <v>1644</v>
      </c>
      <c r="E2778" t="n">
        <v>898.0549999999999</v>
      </c>
      <c r="F2778" t="n">
        <v>1293.828</v>
      </c>
      <c r="G2778" t="n">
        <v>1940817</v>
      </c>
      <c r="H2778" t="inlineStr">
        <is>
          <t>TUB-R-AW-RHS-40.00X20.00X1.600X0.5460</t>
        </is>
      </c>
    </row>
    <row r="2779">
      <c r="A2779" t="inlineStr">
        <is>
          <t>0000944141</t>
        </is>
      </c>
      <c r="B2779" t="inlineStr">
        <is>
          <t>SRIKAM HITECH ENGINEERING PRIVATE L</t>
        </is>
      </c>
      <c r="C2779" t="inlineStr">
        <is>
          <t>NOS</t>
        </is>
      </c>
      <c r="D2779" t="n">
        <v>3650</v>
      </c>
      <c r="E2779" t="n">
        <v>3241.832</v>
      </c>
      <c r="F2779" t="n">
        <v>1408.9</v>
      </c>
      <c r="G2779" t="n">
        <v>1940043</v>
      </c>
      <c r="H2779" t="inlineStr">
        <is>
          <t>TUB-O-O-AUT-AW-PE-15.88X1.200X0.8880</t>
        </is>
      </c>
    </row>
    <row r="2780">
      <c r="A2780" t="inlineStr">
        <is>
          <t>0000944141</t>
        </is>
      </c>
      <c r="B2780" t="inlineStr">
        <is>
          <t>SRIKAM HITECH ENGINEERING PRIVATE L</t>
        </is>
      </c>
      <c r="C2780" t="inlineStr">
        <is>
          <t>NOS</t>
        </is>
      </c>
      <c r="D2780" t="n">
        <v>2797</v>
      </c>
      <c r="E2780" t="n">
        <v>741.629</v>
      </c>
      <c r="F2780" t="n">
        <v>704.8440000000001</v>
      </c>
      <c r="G2780" t="n">
        <v>1940309</v>
      </c>
      <c r="H2780" t="inlineStr">
        <is>
          <t>TUB-O-O-AUT-AW-PE-19.05X2.300X0.2650</t>
        </is>
      </c>
    </row>
    <row r="2781">
      <c r="A2781" t="inlineStr">
        <is>
          <t>0000944141</t>
        </is>
      </c>
      <c r="B2781" t="inlineStr">
        <is>
          <t>SRIKAM HITECH ENGINEERING PRIVATE L</t>
        </is>
      </c>
      <c r="C2781" t="inlineStr">
        <is>
          <t>NOS</t>
        </is>
      </c>
      <c r="D2781" t="n">
        <v>2744</v>
      </c>
      <c r="E2781" t="n">
        <v>727.576</v>
      </c>
      <c r="F2781" t="n">
        <v>691.4880000000001</v>
      </c>
      <c r="G2781" t="n">
        <v>1940309</v>
      </c>
      <c r="H2781" t="inlineStr">
        <is>
          <t>TUB-O-O-AUT-AW-PE-19.05X2.300X0.2650</t>
        </is>
      </c>
    </row>
    <row r="2782">
      <c r="A2782" t="inlineStr">
        <is>
          <t>0000944141</t>
        </is>
      </c>
      <c r="B2782" t="inlineStr">
        <is>
          <t>SRIKAM HITECH ENGINEERING PRIVATE L</t>
        </is>
      </c>
      <c r="C2782" t="inlineStr">
        <is>
          <t>NOS</t>
        </is>
      </c>
      <c r="D2782" t="n">
        <v>1609</v>
      </c>
      <c r="E2782" t="n">
        <v>426.629</v>
      </c>
      <c r="F2782" t="n">
        <v>405.468</v>
      </c>
      <c r="G2782" t="n">
        <v>1940309</v>
      </c>
      <c r="H2782" t="inlineStr">
        <is>
          <t>TUB-O-O-AUT-AW-PE-19.05X2.300X0.2650</t>
        </is>
      </c>
    </row>
    <row r="2783">
      <c r="A2783" t="inlineStr">
        <is>
          <t>0000944141</t>
        </is>
      </c>
      <c r="B2783" t="inlineStr">
        <is>
          <t>SRIKAM HITECH ENGINEERING PRIVATE L</t>
        </is>
      </c>
      <c r="C2783" t="inlineStr">
        <is>
          <t>NOS</t>
        </is>
      </c>
      <c r="D2783" t="n">
        <v>2218</v>
      </c>
      <c r="E2783" t="n">
        <v>653.451</v>
      </c>
      <c r="F2783" t="n">
        <v>621.04</v>
      </c>
      <c r="G2783" t="n">
        <v>1940312</v>
      </c>
      <c r="H2783" t="inlineStr">
        <is>
          <t>TUB-O-O-AUT-AW-PE-19.05X2.300X0.2950</t>
        </is>
      </c>
    </row>
    <row r="2784">
      <c r="A2784" t="inlineStr">
        <is>
          <t>0000944141</t>
        </is>
      </c>
      <c r="B2784" t="inlineStr">
        <is>
          <t>SRIKAM HITECH ENGINEERING PRIVATE L</t>
        </is>
      </c>
      <c r="C2784" t="inlineStr">
        <is>
          <t>NOS</t>
        </is>
      </c>
      <c r="D2784" t="n">
        <v>1753</v>
      </c>
      <c r="E2784" t="n">
        <v>516.456</v>
      </c>
      <c r="F2784" t="n">
        <v>490.84</v>
      </c>
      <c r="G2784" t="n">
        <v>1940312</v>
      </c>
      <c r="H2784" t="inlineStr">
        <is>
          <t>TUB-O-O-AUT-AW-PE-19.05X2.300X0.2950</t>
        </is>
      </c>
    </row>
    <row r="2785">
      <c r="A2785" t="inlineStr">
        <is>
          <t>0000944141</t>
        </is>
      </c>
      <c r="B2785" t="inlineStr">
        <is>
          <t>SRIKAM HITECH ENGINEERING PRIVATE L</t>
        </is>
      </c>
      <c r="C2785" t="inlineStr">
        <is>
          <t>NOS</t>
        </is>
      </c>
      <c r="D2785" t="n">
        <v>1653</v>
      </c>
      <c r="E2785" t="n">
        <v>486.995</v>
      </c>
      <c r="F2785" t="n">
        <v>462.84</v>
      </c>
      <c r="G2785" t="n">
        <v>1940312</v>
      </c>
      <c r="H2785" t="inlineStr">
        <is>
          <t>TUB-O-O-AUT-AW-PE-19.05X2.300X0.2950</t>
        </is>
      </c>
    </row>
    <row r="2786">
      <c r="A2786" t="inlineStr">
        <is>
          <t>0000944141</t>
        </is>
      </c>
      <c r="B2786" t="inlineStr">
        <is>
          <t>SRIKAM HITECH ENGINEERING PRIVATE L</t>
        </is>
      </c>
      <c r="C2786" t="inlineStr">
        <is>
          <t>NOS</t>
        </is>
      </c>
      <c r="D2786" t="n">
        <v>1100</v>
      </c>
      <c r="E2786" t="n">
        <v>324.074</v>
      </c>
      <c r="F2786" t="n">
        <v>308</v>
      </c>
      <c r="G2786" t="n">
        <v>1940312</v>
      </c>
      <c r="H2786" t="inlineStr">
        <is>
          <t>TUB-O-O-AUT-AW-PE-19.05X2.300X0.2950</t>
        </is>
      </c>
    </row>
    <row r="2787">
      <c r="A2787" t="inlineStr">
        <is>
          <t>0000944141</t>
        </is>
      </c>
      <c r="B2787" t="inlineStr">
        <is>
          <t>SRIKAM HITECH ENGINEERING PRIVATE L</t>
        </is>
      </c>
      <c r="C2787" t="inlineStr">
        <is>
          <t>NOS</t>
        </is>
      </c>
      <c r="D2787" t="n">
        <v>626</v>
      </c>
      <c r="E2787" t="n">
        <v>184.428</v>
      </c>
      <c r="F2787" t="n">
        <v>175.28</v>
      </c>
      <c r="G2787" t="n">
        <v>1940312</v>
      </c>
      <c r="H2787" t="inlineStr">
        <is>
          <t>TUB-O-O-AUT-AW-PE-19.05X2.300X0.2950</t>
        </is>
      </c>
    </row>
    <row r="2788">
      <c r="A2788" t="inlineStr">
        <is>
          <t>0000944141</t>
        </is>
      </c>
      <c r="B2788" t="inlineStr">
        <is>
          <t>SRIKAM HITECH ENGINEERING PRIVATE L</t>
        </is>
      </c>
      <c r="C2788" t="inlineStr">
        <is>
          <t>NOS</t>
        </is>
      </c>
      <c r="D2788" t="n">
        <v>2218</v>
      </c>
      <c r="E2788" t="n">
        <v>1353.577</v>
      </c>
      <c r="F2788" t="n">
        <v>1286.44</v>
      </c>
      <c r="G2788" t="n">
        <v>1940329</v>
      </c>
      <c r="H2788" t="inlineStr">
        <is>
          <t>TUB-O-O-AUT-AW-PE-19.05X2.300X0.6100</t>
        </is>
      </c>
    </row>
    <row r="2789">
      <c r="A2789" t="inlineStr">
        <is>
          <t>0000944141</t>
        </is>
      </c>
      <c r="B2789" t="inlineStr">
        <is>
          <t>SRIKAM HITECH ENGINEERING PRIVATE L</t>
        </is>
      </c>
      <c r="C2789" t="inlineStr">
        <is>
          <t>NOS</t>
        </is>
      </c>
      <c r="D2789" t="n">
        <v>2129</v>
      </c>
      <c r="E2789" t="n">
        <v>1299.263</v>
      </c>
      <c r="F2789" t="n">
        <v>1234.82</v>
      </c>
      <c r="G2789" t="n">
        <v>1940329</v>
      </c>
      <c r="H2789" t="inlineStr">
        <is>
          <t>TUB-O-O-AUT-AW-PE-19.05X2.300X0.6100</t>
        </is>
      </c>
    </row>
    <row r="2790">
      <c r="A2790" t="inlineStr">
        <is>
          <t>0000944141</t>
        </is>
      </c>
      <c r="B2790" t="inlineStr">
        <is>
          <t>SRIKAM HITECH ENGINEERING PRIVATE L</t>
        </is>
      </c>
      <c r="C2790" t="inlineStr">
        <is>
          <t>NOS</t>
        </is>
      </c>
      <c r="D2790" t="n">
        <v>1600</v>
      </c>
      <c r="E2790" t="n">
        <v>976.431</v>
      </c>
      <c r="F2790" t="n">
        <v>928</v>
      </c>
      <c r="G2790" t="n">
        <v>1940329</v>
      </c>
      <c r="H2790" t="inlineStr">
        <is>
          <t>TUB-O-O-AUT-AW-PE-19.05X2.300X0.6100</t>
        </is>
      </c>
    </row>
    <row r="2791">
      <c r="A2791" t="inlineStr">
        <is>
          <t>0000944141</t>
        </is>
      </c>
      <c r="B2791" t="inlineStr">
        <is>
          <t>SRIKAM HITECH ENGINEERING PRIVATE L</t>
        </is>
      </c>
      <c r="C2791" t="inlineStr">
        <is>
          <t>NOS</t>
        </is>
      </c>
      <c r="D2791" t="n">
        <v>556</v>
      </c>
      <c r="E2791" t="n">
        <v>339.31</v>
      </c>
      <c r="F2791" t="n">
        <v>322.48</v>
      </c>
      <c r="G2791" t="n">
        <v>1940329</v>
      </c>
      <c r="H2791" t="inlineStr">
        <is>
          <t>TUB-O-O-AUT-AW-PE-19.05X2.300X0.6100</t>
        </is>
      </c>
    </row>
    <row r="2792">
      <c r="A2792" t="inlineStr">
        <is>
          <t>0000944141</t>
        </is>
      </c>
      <c r="B2792" t="inlineStr">
        <is>
          <t>SRIKAM HITECH ENGINEERING PRIVATE L</t>
        </is>
      </c>
      <c r="C2792" t="inlineStr">
        <is>
          <t>NOS</t>
        </is>
      </c>
      <c r="D2792" t="n">
        <v>532</v>
      </c>
      <c r="E2792" t="n">
        <v>324.663</v>
      </c>
      <c r="F2792" t="n">
        <v>308.56</v>
      </c>
      <c r="G2792" t="n">
        <v>1940329</v>
      </c>
      <c r="H2792" t="inlineStr">
        <is>
          <t>TUB-O-O-AUT-AW-PE-19.05X2.300X0.6100</t>
        </is>
      </c>
    </row>
    <row r="2793">
      <c r="A2793" t="inlineStr">
        <is>
          <t>0000944141</t>
        </is>
      </c>
      <c r="B2793" t="inlineStr">
        <is>
          <t>SRIKAM HITECH ENGINEERING PRIVATE L</t>
        </is>
      </c>
      <c r="C2793" t="inlineStr">
        <is>
          <t>NOS</t>
        </is>
      </c>
      <c r="D2793" t="n">
        <v>222</v>
      </c>
      <c r="E2793" t="n">
        <v>135.48</v>
      </c>
      <c r="F2793" t="n">
        <v>128.76</v>
      </c>
      <c r="G2793" t="n">
        <v>1940329</v>
      </c>
      <c r="H2793" t="inlineStr">
        <is>
          <t>TUB-O-O-AUT-AW-PE-19.05X2.300X0.6100</t>
        </is>
      </c>
    </row>
    <row r="2794">
      <c r="A2794" t="inlineStr">
        <is>
          <t>0000944141</t>
        </is>
      </c>
      <c r="B2794" t="inlineStr">
        <is>
          <t>SRIKAM HITECH ENGINEERING PRIVATE L</t>
        </is>
      </c>
      <c r="C2794" t="inlineStr">
        <is>
          <t>NOS</t>
        </is>
      </c>
      <c r="D2794" t="n">
        <v>168</v>
      </c>
      <c r="E2794" t="n">
        <v>102.525</v>
      </c>
      <c r="F2794" t="n">
        <v>97.44</v>
      </c>
      <c r="G2794" t="n">
        <v>1940329</v>
      </c>
      <c r="H2794" t="inlineStr">
        <is>
          <t>TUB-O-O-AUT-AW-PE-19.05X2.300X0.6100</t>
        </is>
      </c>
    </row>
    <row r="2795">
      <c r="A2795" t="inlineStr">
        <is>
          <t>0000944141</t>
        </is>
      </c>
      <c r="B2795" t="inlineStr">
        <is>
          <t>SRIKAM HITECH ENGINEERING PRIVATE L</t>
        </is>
      </c>
      <c r="C2795" t="inlineStr">
        <is>
          <t>NOS</t>
        </is>
      </c>
      <c r="D2795" t="n">
        <v>2075</v>
      </c>
      <c r="E2795" t="n">
        <v>583.085</v>
      </c>
      <c r="F2795" t="n">
        <v>657.544</v>
      </c>
      <c r="G2795" t="n">
        <v>1940584</v>
      </c>
      <c r="H2795" t="inlineStr">
        <is>
          <t>TUB-O-O-AUT-AW-FC-25.40X2.000X0.2810</t>
        </is>
      </c>
    </row>
    <row r="2796">
      <c r="A2796" t="inlineStr">
        <is>
          <t>0000944141</t>
        </is>
      </c>
      <c r="B2796" t="inlineStr">
        <is>
          <t>SRIKAM HITECH ENGINEERING PRIVATE L</t>
        </is>
      </c>
      <c r="C2796" t="inlineStr">
        <is>
          <t>NOS</t>
        </is>
      </c>
      <c r="D2796" t="n">
        <v>8000</v>
      </c>
      <c r="E2796" t="n">
        <v>2232.667</v>
      </c>
      <c r="F2796" t="n">
        <v>760</v>
      </c>
      <c r="G2796" t="n">
        <v>1939963</v>
      </c>
      <c r="H2796" t="inlineStr">
        <is>
          <t>TUB-O-O-AUT-AW-PE-12.70X1.200X0.2780</t>
        </is>
      </c>
    </row>
    <row r="2797">
      <c r="A2797" t="inlineStr">
        <is>
          <t>0000184192</t>
        </is>
      </c>
      <c r="B2797" t="inlineStr">
        <is>
          <t>JBM AUTO LIMITED</t>
        </is>
      </c>
      <c r="C2797" t="inlineStr">
        <is>
          <t>NOS</t>
        </is>
      </c>
      <c r="D2797" t="n">
        <v>108</v>
      </c>
      <c r="E2797" t="n">
        <v>23.229</v>
      </c>
      <c r="F2797" t="n">
        <v>100.008</v>
      </c>
      <c r="G2797" t="n">
        <v>3614493</v>
      </c>
      <c r="H2797" t="inlineStr">
        <is>
          <t>TUB-O-C-AUT-AN-FC-47.63X4.000X0.2150</t>
        </is>
      </c>
    </row>
    <row r="2798">
      <c r="A2798" t="inlineStr">
        <is>
          <t>0000184192</t>
        </is>
      </c>
      <c r="B2798" t="inlineStr">
        <is>
          <t>JBM AUTO LIMITED</t>
        </is>
      </c>
      <c r="C2798" t="inlineStr">
        <is>
          <t>NOS</t>
        </is>
      </c>
      <c r="D2798" t="n">
        <v>2532</v>
      </c>
      <c r="E2798" t="n">
        <v>544.579</v>
      </c>
      <c r="F2798" t="n">
        <v>2344.632</v>
      </c>
      <c r="G2798" t="n">
        <v>3614493</v>
      </c>
      <c r="H2798" t="inlineStr">
        <is>
          <t>TUB-O-C-AUT-AN-FC-47.63X4.000X0.2150</t>
        </is>
      </c>
    </row>
    <row r="2799">
      <c r="A2799" t="inlineStr">
        <is>
          <t>0000184192</t>
        </is>
      </c>
      <c r="B2799" t="inlineStr">
        <is>
          <t>JBM AUTO LIMITED</t>
        </is>
      </c>
      <c r="C2799" t="inlineStr">
        <is>
          <t>NOS</t>
        </is>
      </c>
      <c r="D2799" t="n">
        <v>10</v>
      </c>
      <c r="E2799" t="n">
        <v>2.151</v>
      </c>
      <c r="F2799" t="n">
        <v>9.26</v>
      </c>
      <c r="G2799" t="n">
        <v>3614493</v>
      </c>
      <c r="H2799" t="inlineStr">
        <is>
          <t>TUB-O-C-AUT-AN-FC-47.63X4.000X0.2150</t>
        </is>
      </c>
    </row>
    <row r="2800">
      <c r="A2800" t="inlineStr">
        <is>
          <t>0000184192</t>
        </is>
      </c>
      <c r="B2800" t="inlineStr">
        <is>
          <t>JBM AUTO LIMITED</t>
        </is>
      </c>
      <c r="C2800" t="inlineStr">
        <is>
          <t>NOS</t>
        </is>
      </c>
      <c r="D2800" t="n">
        <v>800</v>
      </c>
      <c r="E2800" t="n">
        <v>132.437</v>
      </c>
      <c r="F2800" t="n">
        <v>132</v>
      </c>
      <c r="G2800" t="n">
        <v>3614496</v>
      </c>
      <c r="H2800" t="inlineStr">
        <is>
          <t>TUB-O-N-AUT-AW-PE-22.20X2.000X0.1660</t>
        </is>
      </c>
    </row>
    <row r="2801">
      <c r="A2801" t="inlineStr">
        <is>
          <t>0000184192</t>
        </is>
      </c>
      <c r="B2801" t="inlineStr">
        <is>
          <t>JBM AUTO LIMITED</t>
        </is>
      </c>
      <c r="C2801" t="inlineStr">
        <is>
          <t>NOS</t>
        </is>
      </c>
      <c r="D2801" t="n">
        <v>3000</v>
      </c>
      <c r="E2801" t="n">
        <v>409.351</v>
      </c>
      <c r="F2801" t="n">
        <v>408</v>
      </c>
      <c r="G2801" t="n">
        <v>3614494</v>
      </c>
      <c r="H2801" t="inlineStr">
        <is>
          <t>TUB-O-N-AUT-AW-PE-22.20X2.000X0.1360</t>
        </is>
      </c>
    </row>
    <row r="2802">
      <c r="A2802" t="inlineStr">
        <is>
          <t>0000189002</t>
        </is>
      </c>
      <c r="B2802" t="inlineStr">
        <is>
          <t>Marathwada Auto Compo Pvt. Ltd.</t>
        </is>
      </c>
      <c r="C2802" t="inlineStr">
        <is>
          <t>NOS</t>
        </is>
      </c>
      <c r="D2802" t="n">
        <v>1082.631</v>
      </c>
      <c r="E2802" t="n">
        <v>525.044</v>
      </c>
      <c r="F2802" t="n">
        <v>808.725</v>
      </c>
      <c r="G2802" t="n">
        <v>2359755</v>
      </c>
      <c r="H2802" t="inlineStr">
        <is>
          <t>TUB-O-C-AUT-AD-FC-30.00X2.250X0.4850</t>
        </is>
      </c>
    </row>
    <row r="2803">
      <c r="A2803" t="inlineStr">
        <is>
          <t>0000189002</t>
        </is>
      </c>
      <c r="B2803" t="inlineStr">
        <is>
          <t>Marathwada Auto Compo Pvt. Ltd.</t>
        </is>
      </c>
      <c r="C2803" t="inlineStr">
        <is>
          <t>NOS</t>
        </is>
      </c>
      <c r="D2803" t="n">
        <v>1803.631</v>
      </c>
      <c r="E2803" t="n">
        <v>874.708</v>
      </c>
      <c r="F2803" t="n">
        <v>1347.312</v>
      </c>
      <c r="G2803" t="n">
        <v>2359755</v>
      </c>
      <c r="H2803" t="inlineStr">
        <is>
          <t>TUB-O-C-AUT-AD-FC-30.00X2.250X0.4850</t>
        </is>
      </c>
    </row>
    <row r="2804">
      <c r="A2804" t="inlineStr">
        <is>
          <t>0000189002</t>
        </is>
      </c>
      <c r="B2804" t="inlineStr">
        <is>
          <t>Marathwada Auto Compo Pvt. Ltd.</t>
        </is>
      </c>
      <c r="C2804" t="inlineStr">
        <is>
          <t>NOS</t>
        </is>
      </c>
      <c r="D2804" t="n">
        <v>613.7380000000001</v>
      </c>
      <c r="E2804" t="n">
        <v>297.645</v>
      </c>
      <c r="F2804" t="n">
        <v>458.462</v>
      </c>
      <c r="G2804" t="n">
        <v>2359755</v>
      </c>
      <c r="H2804" t="inlineStr">
        <is>
          <t>TUB-O-C-AUT-AD-FC-30.00X2.250X0.4850</t>
        </is>
      </c>
    </row>
    <row r="2805">
      <c r="A2805" t="inlineStr">
        <is>
          <t>0000189240</t>
        </is>
      </c>
      <c r="B2805" t="inlineStr">
        <is>
          <t>Rajsriya Automotive Ind Pvt Ltd.</t>
        </is>
      </c>
      <c r="C2805" t="inlineStr">
        <is>
          <t>NOS</t>
        </is>
      </c>
      <c r="D2805" t="n">
        <v>1110</v>
      </c>
      <c r="E2805" t="n">
        <v>516.154</v>
      </c>
      <c r="F2805" t="n">
        <v>795.0309999999999</v>
      </c>
      <c r="G2805" t="n">
        <v>3781608</v>
      </c>
      <c r="H2805" t="inlineStr">
        <is>
          <t>CUT-I-C-AUT-AD-CH-25.50X2.320X0.4650</t>
        </is>
      </c>
    </row>
    <row r="2806">
      <c r="A2806" t="inlineStr">
        <is>
          <t>0000189240</t>
        </is>
      </c>
      <c r="B2806" t="inlineStr">
        <is>
          <t>Rajsriya Automotive Ind Pvt Ltd.</t>
        </is>
      </c>
      <c r="C2806" t="inlineStr">
        <is>
          <t>NOS</t>
        </is>
      </c>
      <c r="D2806" t="n">
        <v>300</v>
      </c>
      <c r="E2806" t="n">
        <v>139.501</v>
      </c>
      <c r="F2806" t="n">
        <v>214.873</v>
      </c>
      <c r="G2806" t="n">
        <v>3781608</v>
      </c>
      <c r="H2806" t="inlineStr">
        <is>
          <t>CUT-I-C-AUT-AD-CH-25.50X2.320X0.4650</t>
        </is>
      </c>
    </row>
    <row r="2807">
      <c r="A2807" t="inlineStr">
        <is>
          <t>0000189240</t>
        </is>
      </c>
      <c r="B2807" t="inlineStr">
        <is>
          <t>Rajsriya Automotive Ind Pvt Ltd.</t>
        </is>
      </c>
      <c r="C2807" t="inlineStr">
        <is>
          <t>NOS</t>
        </is>
      </c>
      <c r="D2807" t="n">
        <v>200</v>
      </c>
      <c r="E2807" t="n">
        <v>93.001</v>
      </c>
      <c r="F2807" t="n">
        <v>143.249</v>
      </c>
      <c r="G2807" t="n">
        <v>3781608</v>
      </c>
      <c r="H2807" t="inlineStr">
        <is>
          <t>CUT-I-C-AUT-AD-CH-25.50X2.320X0.4650</t>
        </is>
      </c>
    </row>
    <row r="2808">
      <c r="A2808" t="inlineStr">
        <is>
          <t>0000189240</t>
        </is>
      </c>
      <c r="B2808" t="inlineStr">
        <is>
          <t>Rajsriya Automotive Ind Pvt Ltd.</t>
        </is>
      </c>
      <c r="C2808" t="inlineStr">
        <is>
          <t>NOS</t>
        </is>
      </c>
      <c r="D2808" t="n">
        <v>830</v>
      </c>
      <c r="E2808" t="n">
        <v>385.953</v>
      </c>
      <c r="F2808" t="n">
        <v>594.4829999999999</v>
      </c>
      <c r="G2808" t="n">
        <v>3781608</v>
      </c>
      <c r="H2808" t="inlineStr">
        <is>
          <t>CUT-I-C-AUT-AD-CH-25.50X2.320X0.4650</t>
        </is>
      </c>
    </row>
    <row r="2809">
      <c r="A2809" t="inlineStr">
        <is>
          <t>0000189240</t>
        </is>
      </c>
      <c r="B2809" t="inlineStr">
        <is>
          <t>Rajsriya Automotive Ind Pvt Ltd.</t>
        </is>
      </c>
      <c r="C2809" t="inlineStr">
        <is>
          <t>NOS</t>
        </is>
      </c>
      <c r="D2809" t="n">
        <v>200</v>
      </c>
      <c r="E2809" t="n">
        <v>93.001</v>
      </c>
      <c r="F2809" t="n">
        <v>143.249</v>
      </c>
      <c r="G2809" t="n">
        <v>3781608</v>
      </c>
      <c r="H2809" t="inlineStr">
        <is>
          <t>CUT-I-C-AUT-AD-CH-25.50X2.320X0.4650</t>
        </is>
      </c>
    </row>
    <row r="2810">
      <c r="A2810" t="inlineStr">
        <is>
          <t>0000189240</t>
        </is>
      </c>
      <c r="B2810" t="inlineStr">
        <is>
          <t>Rajsriya Automotive Ind Pvt Ltd.</t>
        </is>
      </c>
      <c r="C2810" t="inlineStr">
        <is>
          <t>NOS</t>
        </is>
      </c>
      <c r="D2810" t="n">
        <v>360</v>
      </c>
      <c r="E2810" t="n">
        <v>167.401</v>
      </c>
      <c r="F2810" t="n">
        <v>257.848</v>
      </c>
      <c r="G2810" t="n">
        <v>3781608</v>
      </c>
      <c r="H2810" t="inlineStr">
        <is>
          <t>CUT-I-C-AUT-AD-CH-25.50X2.320X0.4650</t>
        </is>
      </c>
    </row>
    <row r="2811">
      <c r="A2811" t="inlineStr">
        <is>
          <t>0000189240</t>
        </is>
      </c>
      <c r="B2811" t="inlineStr">
        <is>
          <t>Rajsriya Automotive Ind Pvt Ltd.</t>
        </is>
      </c>
      <c r="C2811" t="inlineStr">
        <is>
          <t>NOS</t>
        </is>
      </c>
      <c r="D2811" t="n">
        <v>531.6319999999999</v>
      </c>
      <c r="E2811" t="n">
        <v>144.533</v>
      </c>
      <c r="F2811" t="n">
        <v>325.359</v>
      </c>
      <c r="G2811" t="n">
        <v>1938125</v>
      </c>
      <c r="H2811" t="inlineStr">
        <is>
          <t>TUB-I-C-AUT-AN-FC-39.00X34.00X0.2720</t>
        </is>
      </c>
    </row>
    <row r="2812">
      <c r="A2812" t="inlineStr">
        <is>
          <t>0000189240</t>
        </is>
      </c>
      <c r="B2812" t="inlineStr">
        <is>
          <t>Rajsriya Automotive Ind Pvt Ltd.</t>
        </is>
      </c>
      <c r="C2812" t="inlineStr">
        <is>
          <t>NOS</t>
        </is>
      </c>
      <c r="D2812" t="n">
        <v>616</v>
      </c>
      <c r="E2812" t="n">
        <v>167.47</v>
      </c>
      <c r="F2812" t="n">
        <v>376.992</v>
      </c>
      <c r="G2812" t="n">
        <v>1938125</v>
      </c>
      <c r="H2812" t="inlineStr">
        <is>
          <t>TUB-I-C-AUT-AN-FC-39.00X34.00X0.2720</t>
        </is>
      </c>
    </row>
    <row r="2813">
      <c r="A2813" t="inlineStr">
        <is>
          <t>0000189240</t>
        </is>
      </c>
      <c r="B2813" t="inlineStr">
        <is>
          <t>Rajsriya Automotive Ind Pvt Ltd.</t>
        </is>
      </c>
      <c r="C2813" t="inlineStr">
        <is>
          <t>NOS</t>
        </is>
      </c>
      <c r="D2813" t="n">
        <v>2852.368</v>
      </c>
      <c r="E2813" t="n">
        <v>775.465</v>
      </c>
      <c r="F2813" t="n">
        <v>1745.649</v>
      </c>
      <c r="G2813" t="n">
        <v>1938125</v>
      </c>
      <c r="H2813" t="inlineStr">
        <is>
          <t>TUB-I-C-AUT-AN-FC-39.00X34.00X0.2720</t>
        </is>
      </c>
    </row>
    <row r="2814">
      <c r="A2814" t="inlineStr">
        <is>
          <t>0000952904</t>
        </is>
      </c>
      <c r="B2814" t="inlineStr">
        <is>
          <t>ELKAYEM AUTO ANCILLARIES PRIVATE LI</t>
        </is>
      </c>
      <c r="C2814" t="inlineStr">
        <is>
          <t>NOS</t>
        </is>
      </c>
      <c r="D2814" t="n">
        <v>3000</v>
      </c>
      <c r="E2814" t="n">
        <v>1424.999</v>
      </c>
      <c r="F2814" t="n">
        <v>1825.567</v>
      </c>
      <c r="G2814" t="n">
        <v>1940626</v>
      </c>
      <c r="H2814" t="inlineStr">
        <is>
          <t>TUB-O-O-AUT-AW-FC-28.58X2.000X0.4750</t>
        </is>
      </c>
    </row>
    <row r="2815">
      <c r="A2815" t="inlineStr">
        <is>
          <t>0000952904</t>
        </is>
      </c>
      <c r="B2815" t="inlineStr">
        <is>
          <t>ELKAYEM AUTO ANCILLARIES PRIVATE LI</t>
        </is>
      </c>
      <c r="C2815" t="inlineStr">
        <is>
          <t>NOS</t>
        </is>
      </c>
      <c r="D2815" t="n">
        <v>586.397</v>
      </c>
      <c r="E2815" t="n">
        <v>177.677</v>
      </c>
      <c r="F2815" t="n">
        <v>162.432</v>
      </c>
      <c r="G2815" t="n">
        <v>1940313</v>
      </c>
      <c r="H2815" t="inlineStr">
        <is>
          <t>TUB-O-O-AUT-AW-PE-19.05X2.300X0.3030</t>
        </is>
      </c>
    </row>
    <row r="2816">
      <c r="A2816" t="inlineStr">
        <is>
          <t>0000952904</t>
        </is>
      </c>
      <c r="B2816" t="inlineStr">
        <is>
          <t>ELKAYEM AUTO ANCILLARIES PRIVATE LI</t>
        </is>
      </c>
      <c r="C2816" t="inlineStr">
        <is>
          <t>NOS</t>
        </is>
      </c>
      <c r="D2816" t="n">
        <v>2237.639</v>
      </c>
      <c r="E2816" t="n">
        <v>677.998</v>
      </c>
      <c r="F2816" t="n">
        <v>619.826</v>
      </c>
      <c r="G2816" t="n">
        <v>1940313</v>
      </c>
      <c r="H2816" t="inlineStr">
        <is>
          <t>TUB-O-O-AUT-AW-PE-19.05X2.300X0.3030</t>
        </is>
      </c>
    </row>
    <row r="2817">
      <c r="A2817" t="inlineStr">
        <is>
          <t>0000952904</t>
        </is>
      </c>
      <c r="B2817" t="inlineStr">
        <is>
          <t>ELKAYEM AUTO ANCILLARIES PRIVATE LI</t>
        </is>
      </c>
      <c r="C2817" t="inlineStr">
        <is>
          <t>NOS</t>
        </is>
      </c>
      <c r="D2817" t="n">
        <v>175.964</v>
      </c>
      <c r="E2817" t="n">
        <v>53.317</v>
      </c>
      <c r="F2817" t="n">
        <v>48.742</v>
      </c>
      <c r="G2817" t="n">
        <v>1940313</v>
      </c>
      <c r="H2817" t="inlineStr">
        <is>
          <t>TUB-O-O-AUT-AW-PE-19.05X2.300X0.3030</t>
        </is>
      </c>
    </row>
    <row r="2818">
      <c r="A2818" t="inlineStr">
        <is>
          <t>0000189226</t>
        </is>
      </c>
      <c r="B2818" t="inlineStr">
        <is>
          <t>Neel Metal Products Limited</t>
        </is>
      </c>
      <c r="C2818" t="inlineStr">
        <is>
          <t>NOS</t>
        </is>
      </c>
      <c r="D2818" t="n">
        <v>500</v>
      </c>
      <c r="E2818" t="n">
        <v>117.998</v>
      </c>
      <c r="F2818" t="n">
        <v>676.4</v>
      </c>
      <c r="G2818" t="n">
        <v>3784473</v>
      </c>
      <c r="H2818" t="inlineStr">
        <is>
          <t>CUT-O-N-AUT-BH-FC-63.50X4.000X0.2360</t>
        </is>
      </c>
    </row>
    <row r="2819">
      <c r="A2819" t="inlineStr">
        <is>
          <t>0000187546</t>
        </is>
      </c>
      <c r="B2819" t="inlineStr">
        <is>
          <t>Narasipur Auto Component(P)Ltd</t>
        </is>
      </c>
      <c r="C2819" t="inlineStr">
        <is>
          <t>KG</t>
        </is>
      </c>
      <c r="D2819" t="n">
        <v>261</v>
      </c>
      <c r="E2819" t="n">
        <v>1462.718</v>
      </c>
      <c r="F2819" t="n">
        <v>2766</v>
      </c>
      <c r="G2819" t="n">
        <v>3770392</v>
      </c>
      <c r="H2819" t="inlineStr">
        <is>
          <t>TUB-O-C-AUT-AD-FC-25.40X3.500X5.6000</t>
        </is>
      </c>
    </row>
    <row r="2820">
      <c r="A2820" t="inlineStr">
        <is>
          <t>0000187546</t>
        </is>
      </c>
      <c r="B2820" t="inlineStr">
        <is>
          <t>Narasipur Auto Component(P)Ltd</t>
        </is>
      </c>
      <c r="C2820" t="inlineStr">
        <is>
          <t>KG</t>
        </is>
      </c>
      <c r="D2820" t="n">
        <v>281</v>
      </c>
      <c r="E2820" t="n">
        <v>1574.299</v>
      </c>
      <c r="F2820" t="n">
        <v>2977</v>
      </c>
      <c r="G2820" t="n">
        <v>3770392</v>
      </c>
      <c r="H2820" t="inlineStr">
        <is>
          <t>TUB-O-C-AUT-AD-FC-25.40X3.500X5.6000</t>
        </is>
      </c>
    </row>
    <row r="2821">
      <c r="A2821" t="inlineStr">
        <is>
          <t>0000187546</t>
        </is>
      </c>
      <c r="B2821" t="inlineStr">
        <is>
          <t>Narasipur Auto Component(P)Ltd</t>
        </is>
      </c>
      <c r="C2821" t="inlineStr">
        <is>
          <t>KG</t>
        </is>
      </c>
      <c r="D2821" t="n">
        <v>213</v>
      </c>
      <c r="E2821" t="n">
        <v>1194.606</v>
      </c>
      <c r="F2821" t="n">
        <v>2259</v>
      </c>
      <c r="G2821" t="n">
        <v>3770392</v>
      </c>
      <c r="H2821" t="inlineStr">
        <is>
          <t>TUB-O-C-AUT-AD-FC-25.40X3.500X5.6000</t>
        </is>
      </c>
    </row>
    <row r="2822">
      <c r="A2822" t="inlineStr">
        <is>
          <t>0000187546</t>
        </is>
      </c>
      <c r="B2822" t="inlineStr">
        <is>
          <t>Narasipur Auto Component(P)Ltd</t>
        </is>
      </c>
      <c r="C2822" t="inlineStr">
        <is>
          <t>KG</t>
        </is>
      </c>
      <c r="D2822" t="n">
        <v>73</v>
      </c>
      <c r="E2822" t="n">
        <v>411.423</v>
      </c>
      <c r="F2822" t="n">
        <v>778</v>
      </c>
      <c r="G2822" t="n">
        <v>3770392</v>
      </c>
      <c r="H2822" t="inlineStr">
        <is>
          <t>TUB-O-C-AUT-AD-FC-25.40X3.500X5.6000</t>
        </is>
      </c>
    </row>
    <row r="2823">
      <c r="A2823" t="inlineStr">
        <is>
          <t>0000187546</t>
        </is>
      </c>
      <c r="B2823" t="inlineStr">
        <is>
          <t>Narasipur Auto Component(P)Ltd</t>
        </is>
      </c>
      <c r="C2823" t="inlineStr">
        <is>
          <t>KG</t>
        </is>
      </c>
      <c r="D2823" t="n">
        <v>122</v>
      </c>
      <c r="E2823" t="n">
        <v>682.179</v>
      </c>
      <c r="F2823" t="n">
        <v>1290</v>
      </c>
      <c r="G2823" t="n">
        <v>3770392</v>
      </c>
      <c r="H2823" t="inlineStr">
        <is>
          <t>TUB-O-C-AUT-AD-FC-25.40X3.500X5.6000</t>
        </is>
      </c>
    </row>
    <row r="2824">
      <c r="A2824" t="inlineStr">
        <is>
          <t>0000943209</t>
        </is>
      </c>
      <c r="B2824" t="inlineStr">
        <is>
          <t>MEGH STEELS PRIVATE LIMITED - TVS A</t>
        </is>
      </c>
      <c r="C2824" t="inlineStr">
        <is>
          <t>KG</t>
        </is>
      </c>
      <c r="D2824" t="n">
        <v>163</v>
      </c>
      <c r="E2824" t="n">
        <v>929.08</v>
      </c>
      <c r="F2824" t="n">
        <v>1330.814</v>
      </c>
      <c r="G2824" t="n">
        <v>3545558</v>
      </c>
      <c r="H2824" t="inlineStr">
        <is>
          <t>TUB-O-N-AUT-AW-FC-45.00X1.400X5.7000</t>
        </is>
      </c>
    </row>
    <row r="2825">
      <c r="A2825" t="inlineStr">
        <is>
          <t>0000943209</t>
        </is>
      </c>
      <c r="B2825" t="inlineStr">
        <is>
          <t>MEGH STEELS PRIVATE LIMITED - TVS A</t>
        </is>
      </c>
      <c r="C2825" t="inlineStr">
        <is>
          <t>KG</t>
        </is>
      </c>
      <c r="D2825" t="n">
        <v>148</v>
      </c>
      <c r="E2825" t="n">
        <v>843.581</v>
      </c>
      <c r="F2825" t="n">
        <v>1208.346</v>
      </c>
      <c r="G2825" t="n">
        <v>3545558</v>
      </c>
      <c r="H2825" t="inlineStr">
        <is>
          <t>TUB-O-N-AUT-AW-FC-45.00X1.400X5.7000</t>
        </is>
      </c>
    </row>
    <row r="2826">
      <c r="A2826" t="inlineStr">
        <is>
          <t>0000943209</t>
        </is>
      </c>
      <c r="B2826" t="inlineStr">
        <is>
          <t>MEGH STEELS PRIVATE LIMITED - TVS A</t>
        </is>
      </c>
      <c r="C2826" t="inlineStr">
        <is>
          <t>KG</t>
        </is>
      </c>
      <c r="D2826" t="n">
        <v>145</v>
      </c>
      <c r="E2826" t="n">
        <v>826.482</v>
      </c>
      <c r="F2826" t="n">
        <v>1183.853</v>
      </c>
      <c r="G2826" t="n">
        <v>3545558</v>
      </c>
      <c r="H2826" t="inlineStr">
        <is>
          <t>TUB-O-N-AUT-AW-FC-45.00X1.400X5.7000</t>
        </is>
      </c>
    </row>
    <row r="2827">
      <c r="A2827" t="inlineStr">
        <is>
          <t>0000943209</t>
        </is>
      </c>
      <c r="B2827" t="inlineStr">
        <is>
          <t>MEGH STEELS PRIVATE LIMITED - TVS A</t>
        </is>
      </c>
      <c r="C2827" t="inlineStr">
        <is>
          <t>KG</t>
        </is>
      </c>
      <c r="D2827" t="n">
        <v>40</v>
      </c>
      <c r="E2827" t="n">
        <v>228.279</v>
      </c>
      <c r="F2827" t="n">
        <v>326.987</v>
      </c>
      <c r="G2827" t="n">
        <v>3545558</v>
      </c>
      <c r="H2827" t="inlineStr">
        <is>
          <t>TUB-O-N-AUT-AW-FC-45.00X1.400X5.7000</t>
        </is>
      </c>
    </row>
    <row r="2828">
      <c r="A2828" t="inlineStr">
        <is>
          <t>0000187884</t>
        </is>
      </c>
      <c r="B2828" t="inlineStr">
        <is>
          <t>Rajsriya Automotive Ind.P.Ltd Unit-</t>
        </is>
      </c>
      <c r="C2828" t="inlineStr">
        <is>
          <t>NOS</t>
        </is>
      </c>
      <c r="D2828" t="n">
        <v>599.9</v>
      </c>
      <c r="E2828" t="n">
        <v>352.966</v>
      </c>
      <c r="F2828" t="n">
        <v>445.726</v>
      </c>
      <c r="G2828" t="n">
        <v>1938191</v>
      </c>
      <c r="H2828" t="inlineStr">
        <is>
          <t>TUB-I-C-AUT-AD-FC-12.50X3.250X0.5880</t>
        </is>
      </c>
    </row>
    <row r="2829">
      <c r="A2829" t="inlineStr">
        <is>
          <t>0000187884</t>
        </is>
      </c>
      <c r="B2829" t="inlineStr">
        <is>
          <t>Rajsriya Automotive Ind.P.Ltd Unit-</t>
        </is>
      </c>
      <c r="C2829" t="inlineStr">
        <is>
          <t>NOS</t>
        </is>
      </c>
      <c r="D2829" t="n">
        <v>608.869</v>
      </c>
      <c r="E2829" t="n">
        <v>358.243</v>
      </c>
      <c r="F2829" t="n">
        <v>452.39</v>
      </c>
      <c r="G2829" t="n">
        <v>1938191</v>
      </c>
      <c r="H2829" t="inlineStr">
        <is>
          <t>TUB-I-C-AUT-AD-FC-12.50X3.250X0.5880</t>
        </is>
      </c>
    </row>
    <row r="2830">
      <c r="A2830" t="inlineStr">
        <is>
          <t>0000187884</t>
        </is>
      </c>
      <c r="B2830" t="inlineStr">
        <is>
          <t>Rajsriya Automotive Ind.P.Ltd Unit-</t>
        </is>
      </c>
      <c r="C2830" t="inlineStr">
        <is>
          <t>NOS</t>
        </is>
      </c>
      <c r="D2830" t="n">
        <v>685.47</v>
      </c>
      <c r="E2830" t="n">
        <v>403.313</v>
      </c>
      <c r="F2830" t="n">
        <v>509.304</v>
      </c>
      <c r="G2830" t="n">
        <v>1938191</v>
      </c>
      <c r="H2830" t="inlineStr">
        <is>
          <t>TUB-I-C-AUT-AD-FC-12.50X3.250X0.5880</t>
        </is>
      </c>
    </row>
    <row r="2831">
      <c r="A2831" t="inlineStr">
        <is>
          <t>0000187884</t>
        </is>
      </c>
      <c r="B2831" t="inlineStr">
        <is>
          <t>Rajsriya Automotive Ind.P.Ltd Unit-</t>
        </is>
      </c>
      <c r="C2831" t="inlineStr">
        <is>
          <t>NOS</t>
        </is>
      </c>
      <c r="D2831" t="n">
        <v>1102.31</v>
      </c>
      <c r="E2831" t="n">
        <v>648.572</v>
      </c>
      <c r="F2831" t="n">
        <v>819.016</v>
      </c>
      <c r="G2831" t="n">
        <v>1938191</v>
      </c>
      <c r="H2831" t="inlineStr">
        <is>
          <t>TUB-I-C-AUT-AD-FC-12.50X3.250X0.5880</t>
        </is>
      </c>
    </row>
    <row r="2832">
      <c r="A2832" t="inlineStr">
        <is>
          <t>0000187884</t>
        </is>
      </c>
      <c r="B2832" t="inlineStr">
        <is>
          <t>Rajsriya Automotive Ind.P.Ltd Unit-</t>
        </is>
      </c>
      <c r="C2832" t="inlineStr">
        <is>
          <t>NOS</t>
        </is>
      </c>
      <c r="D2832" t="n">
        <v>1034.61</v>
      </c>
      <c r="E2832" t="n">
        <v>608.739</v>
      </c>
      <c r="F2832" t="n">
        <v>768.715</v>
      </c>
      <c r="G2832" t="n">
        <v>1938191</v>
      </c>
      <c r="H2832" t="inlineStr">
        <is>
          <t>TUB-I-C-AUT-AD-FC-12.50X3.250X0.5880</t>
        </is>
      </c>
    </row>
    <row r="2833">
      <c r="A2833" t="inlineStr">
        <is>
          <t>0000187884</t>
        </is>
      </c>
      <c r="B2833" t="inlineStr">
        <is>
          <t>Rajsriya Automotive Ind.P.Ltd Unit-</t>
        </is>
      </c>
      <c r="C2833" t="inlineStr">
        <is>
          <t>NOS</t>
        </is>
      </c>
      <c r="D2833" t="n">
        <v>429.645</v>
      </c>
      <c r="E2833" t="n">
        <v>252.792</v>
      </c>
      <c r="F2833" t="n">
        <v>319.226</v>
      </c>
      <c r="G2833" t="n">
        <v>1938191</v>
      </c>
      <c r="H2833" t="inlineStr">
        <is>
          <t>TUB-I-C-AUT-AD-FC-12.50X3.250X0.5880</t>
        </is>
      </c>
    </row>
    <row r="2834">
      <c r="A2834" t="inlineStr">
        <is>
          <t>0000187884</t>
        </is>
      </c>
      <c r="B2834" t="inlineStr">
        <is>
          <t>Rajsriya Automotive Ind.P.Ltd Unit-</t>
        </is>
      </c>
      <c r="C2834" t="inlineStr">
        <is>
          <t>NOS</t>
        </is>
      </c>
      <c r="D2834" t="n">
        <v>826.41</v>
      </c>
      <c r="E2834" t="n">
        <v>486.239</v>
      </c>
      <c r="F2834" t="n">
        <v>614.023</v>
      </c>
      <c r="G2834" t="n">
        <v>1938191</v>
      </c>
      <c r="H2834" t="inlineStr">
        <is>
          <t>TUB-I-C-AUT-AD-FC-12.50X3.250X0.5880</t>
        </is>
      </c>
    </row>
    <row r="2835">
      <c r="A2835" t="inlineStr">
        <is>
          <t>0000187884</t>
        </is>
      </c>
      <c r="B2835" t="inlineStr">
        <is>
          <t>Rajsriya Automotive Ind.P.Ltd Unit-</t>
        </is>
      </c>
      <c r="C2835" t="inlineStr">
        <is>
          <t>NOS</t>
        </is>
      </c>
      <c r="D2835" t="n">
        <v>460.786</v>
      </c>
      <c r="E2835" t="n">
        <v>271.115</v>
      </c>
      <c r="F2835" t="n">
        <v>342.364</v>
      </c>
      <c r="G2835" t="n">
        <v>1938191</v>
      </c>
      <c r="H2835" t="inlineStr">
        <is>
          <t>TUB-I-C-AUT-AD-FC-12.50X3.250X0.5880</t>
        </is>
      </c>
    </row>
    <row r="2836">
      <c r="A2836" t="inlineStr">
        <is>
          <t>0000943209</t>
        </is>
      </c>
      <c r="B2836" t="inlineStr">
        <is>
          <t>MEGH STEELS PRIVATE LIMITED - TVS A</t>
        </is>
      </c>
      <c r="C2836" t="inlineStr">
        <is>
          <t>KG</t>
        </is>
      </c>
      <c r="D2836" t="n">
        <v>407</v>
      </c>
      <c r="E2836" t="n">
        <v>2444.384</v>
      </c>
      <c r="F2836" t="n">
        <v>6062.56</v>
      </c>
      <c r="G2836" t="n">
        <v>3501716</v>
      </c>
      <c r="H2836" t="inlineStr">
        <is>
          <t>TUB-O-N-AUT-AW-FC-41.28X2.600X6.0000</t>
        </is>
      </c>
    </row>
    <row r="2837">
      <c r="A2837" t="inlineStr">
        <is>
          <t>0000943209</t>
        </is>
      </c>
      <c r="B2837" t="inlineStr">
        <is>
          <t>MEGH STEELS PRIVATE LIMITED - TVS A</t>
        </is>
      </c>
      <c r="C2837" t="inlineStr">
        <is>
          <t>KG</t>
        </is>
      </c>
      <c r="D2837" t="n">
        <v>223</v>
      </c>
      <c r="E2837" t="n">
        <v>1335.864</v>
      </c>
      <c r="F2837" t="n">
        <v>3313.21</v>
      </c>
      <c r="G2837" t="n">
        <v>3501716</v>
      </c>
      <c r="H2837" t="inlineStr">
        <is>
          <t>TUB-O-N-AUT-AW-FC-41.28X2.600X6.0000</t>
        </is>
      </c>
    </row>
    <row r="2838">
      <c r="A2838" t="inlineStr">
        <is>
          <t>0000943209</t>
        </is>
      </c>
      <c r="B2838" t="inlineStr">
        <is>
          <t>MEGH STEELS PRIVATE LIMITED - TVS A</t>
        </is>
      </c>
      <c r="C2838" t="inlineStr">
        <is>
          <t>KG</t>
        </is>
      </c>
      <c r="D2838" t="n">
        <v>36</v>
      </c>
      <c r="E2838" t="n">
        <v>214.864</v>
      </c>
      <c r="F2838" t="n">
        <v>532.905</v>
      </c>
      <c r="G2838" t="n">
        <v>3501716</v>
      </c>
      <c r="H2838" t="inlineStr">
        <is>
          <t>TUB-O-N-AUT-AW-FC-41.28X2.600X6.0000</t>
        </is>
      </c>
    </row>
    <row r="2839">
      <c r="A2839" t="inlineStr">
        <is>
          <t>0000943209</t>
        </is>
      </c>
      <c r="B2839" t="inlineStr">
        <is>
          <t>MEGH STEELS PRIVATE LIMITED - TVS A</t>
        </is>
      </c>
      <c r="C2839" t="inlineStr">
        <is>
          <t>KG</t>
        </is>
      </c>
      <c r="D2839" t="n">
        <v>8</v>
      </c>
      <c r="E2839" t="n">
        <v>47.708</v>
      </c>
      <c r="F2839" t="n">
        <v>118.325</v>
      </c>
      <c r="G2839" t="n">
        <v>3501716</v>
      </c>
      <c r="H2839" t="inlineStr">
        <is>
          <t>TUB-O-N-AUT-AW-FC-41.28X2.600X6.0000</t>
        </is>
      </c>
    </row>
    <row r="2840">
      <c r="A2840" t="inlineStr">
        <is>
          <t>0000940921</t>
        </is>
      </c>
      <c r="B2840" t="inlineStr">
        <is>
          <t>ELKAYEM AUTO ANCILLARIES PVT LTD -U</t>
        </is>
      </c>
      <c r="C2840" t="inlineStr">
        <is>
          <t>M</t>
        </is>
      </c>
      <c r="D2840" t="n">
        <v>82</v>
      </c>
      <c r="E2840" t="n">
        <v>407.656</v>
      </c>
      <c r="F2840" t="n">
        <v>371.701</v>
      </c>
      <c r="G2840" t="n">
        <v>3188792</v>
      </c>
      <c r="H2840" t="inlineStr">
        <is>
          <t>TUB-O-C-AUT-AD-FC-16.00X2.800X04-06</t>
        </is>
      </c>
    </row>
    <row r="2841">
      <c r="A2841" t="inlineStr">
        <is>
          <t>0000940921</t>
        </is>
      </c>
      <c r="B2841" t="inlineStr">
        <is>
          <t>ELKAYEM AUTO ANCILLARIES PVT LTD -U</t>
        </is>
      </c>
      <c r="C2841" t="inlineStr">
        <is>
          <t>M</t>
        </is>
      </c>
      <c r="D2841" t="n">
        <v>144</v>
      </c>
      <c r="E2841" t="n">
        <v>720.366</v>
      </c>
      <c r="F2841" t="n">
        <v>656.83</v>
      </c>
      <c r="G2841" t="n">
        <v>3188792</v>
      </c>
      <c r="H2841" t="inlineStr">
        <is>
          <t>TUB-O-C-AUT-AD-FC-16.00X2.800X04-06</t>
        </is>
      </c>
    </row>
    <row r="2842">
      <c r="A2842" t="inlineStr">
        <is>
          <t>0000940921</t>
        </is>
      </c>
      <c r="B2842" t="inlineStr">
        <is>
          <t>ELKAYEM AUTO ANCILLARIES PVT LTD -U</t>
        </is>
      </c>
      <c r="C2842" t="inlineStr">
        <is>
          <t>M</t>
        </is>
      </c>
      <c r="D2842" t="n">
        <v>121</v>
      </c>
      <c r="E2842" t="n">
        <v>604.299</v>
      </c>
      <c r="F2842" t="n">
        <v>551</v>
      </c>
      <c r="G2842" t="n">
        <v>3188792</v>
      </c>
      <c r="H2842" t="inlineStr">
        <is>
          <t>TUB-O-C-AUT-AD-FC-16.00X2.800X04-06</t>
        </is>
      </c>
    </row>
    <row r="2843">
      <c r="A2843" t="inlineStr">
        <is>
          <t>0000940921</t>
        </is>
      </c>
      <c r="B2843" t="inlineStr">
        <is>
          <t>ELKAYEM AUTO ANCILLARIES PVT LTD -U</t>
        </is>
      </c>
      <c r="C2843" t="inlineStr">
        <is>
          <t>M</t>
        </is>
      </c>
      <c r="D2843" t="n">
        <v>156</v>
      </c>
      <c r="E2843" t="n">
        <v>778.021</v>
      </c>
      <c r="F2843" t="n">
        <v>709.4</v>
      </c>
      <c r="G2843" t="n">
        <v>3188792</v>
      </c>
      <c r="H2843" t="inlineStr">
        <is>
          <t>TUB-O-C-AUT-AD-FC-16.00X2.800X04-06</t>
        </is>
      </c>
    </row>
    <row r="2844">
      <c r="A2844" t="inlineStr">
        <is>
          <t>0000940921</t>
        </is>
      </c>
      <c r="B2844" t="inlineStr">
        <is>
          <t>ELKAYEM AUTO ANCILLARIES PVT LTD -U</t>
        </is>
      </c>
      <c r="C2844" t="inlineStr">
        <is>
          <t>M</t>
        </is>
      </c>
      <c r="D2844" t="n">
        <v>311</v>
      </c>
      <c r="E2844" t="n">
        <v>1552.972</v>
      </c>
      <c r="F2844" t="n">
        <v>1416</v>
      </c>
      <c r="G2844" t="n">
        <v>3188792</v>
      </c>
      <c r="H2844" t="inlineStr">
        <is>
          <t>TUB-O-C-AUT-AD-FC-16.00X2.800X04-06</t>
        </is>
      </c>
    </row>
    <row r="2845">
      <c r="A2845" t="inlineStr">
        <is>
          <t>0000940921</t>
        </is>
      </c>
      <c r="B2845" t="inlineStr">
        <is>
          <t>ELKAYEM AUTO ANCILLARIES PVT LTD -U</t>
        </is>
      </c>
      <c r="C2845" t="inlineStr">
        <is>
          <t>M</t>
        </is>
      </c>
      <c r="D2845" t="n">
        <v>584</v>
      </c>
      <c r="E2845" t="n">
        <v>2918.403</v>
      </c>
      <c r="F2845" t="n">
        <v>2661</v>
      </c>
      <c r="G2845" t="n">
        <v>3188792</v>
      </c>
      <c r="H2845" t="inlineStr">
        <is>
          <t>TUB-O-C-AUT-AD-FC-16.00X2.800X04-06</t>
        </is>
      </c>
    </row>
    <row r="2846">
      <c r="A2846" t="inlineStr">
        <is>
          <t>0000940921</t>
        </is>
      </c>
      <c r="B2846" t="inlineStr">
        <is>
          <t>ELKAYEM AUTO ANCILLARIES PVT LTD -U</t>
        </is>
      </c>
      <c r="C2846" t="inlineStr">
        <is>
          <t>M</t>
        </is>
      </c>
      <c r="D2846" t="n">
        <v>104</v>
      </c>
      <c r="E2846" t="n">
        <v>518.283</v>
      </c>
      <c r="F2846" t="n">
        <v>472.57</v>
      </c>
      <c r="G2846" t="n">
        <v>3188792</v>
      </c>
      <c r="H2846" t="inlineStr">
        <is>
          <t>TUB-O-C-AUT-AD-FC-16.00X2.800X04-06</t>
        </is>
      </c>
    </row>
    <row r="2847">
      <c r="A2847" t="inlineStr">
        <is>
          <t>0000943209</t>
        </is>
      </c>
      <c r="B2847" t="inlineStr">
        <is>
          <t>MEGH STEELS PRIVATE LIMITED - TVS A</t>
        </is>
      </c>
      <c r="C2847" t="inlineStr">
        <is>
          <t>KG</t>
        </is>
      </c>
      <c r="D2847" t="n">
        <v>53</v>
      </c>
      <c r="E2847" t="n">
        <v>320.377</v>
      </c>
      <c r="F2847" t="n">
        <v>794.6</v>
      </c>
      <c r="G2847" t="n">
        <v>3501716</v>
      </c>
      <c r="H2847" t="inlineStr">
        <is>
          <t>TUB-O-N-AUT-AW-FC-41.28X2.600X6.0000</t>
        </is>
      </c>
    </row>
    <row r="2848">
      <c r="A2848" t="inlineStr">
        <is>
          <t>0000943209</t>
        </is>
      </c>
      <c r="B2848" t="inlineStr">
        <is>
          <t>MEGH STEELS PRIVATE LIMITED - TVS A</t>
        </is>
      </c>
      <c r="C2848" t="inlineStr">
        <is>
          <t>KG</t>
        </is>
      </c>
      <c r="D2848" t="n">
        <v>47</v>
      </c>
      <c r="E2848" t="n">
        <v>281.389</v>
      </c>
      <c r="F2848" t="n">
        <v>697.9</v>
      </c>
      <c r="G2848" t="n">
        <v>3501716</v>
      </c>
      <c r="H2848" t="inlineStr">
        <is>
          <t>TUB-O-N-AUT-AW-FC-41.28X2.600X6.0000</t>
        </is>
      </c>
    </row>
    <row r="2849">
      <c r="A2849" t="inlineStr">
        <is>
          <t>0000943209</t>
        </is>
      </c>
      <c r="B2849" t="inlineStr">
        <is>
          <t>MEGH STEELS PRIVATE LIMITED - TVS A</t>
        </is>
      </c>
      <c r="C2849" t="inlineStr">
        <is>
          <t>KG</t>
        </is>
      </c>
      <c r="D2849" t="n">
        <v>274</v>
      </c>
      <c r="E2849" t="n">
        <v>1640.997</v>
      </c>
      <c r="F2849" t="n">
        <v>4070</v>
      </c>
      <c r="G2849" t="n">
        <v>3501716</v>
      </c>
      <c r="H2849" t="inlineStr">
        <is>
          <t>TUB-O-N-AUT-AW-FC-41.28X2.600X6.0000</t>
        </is>
      </c>
    </row>
    <row r="2850">
      <c r="A2850" t="inlineStr">
        <is>
          <t>0000943209</t>
        </is>
      </c>
      <c r="B2850" t="inlineStr">
        <is>
          <t>MEGH STEELS PRIVATE LIMITED - TVS A</t>
        </is>
      </c>
      <c r="C2850" t="inlineStr">
        <is>
          <t>KG</t>
        </is>
      </c>
      <c r="D2850" t="n">
        <v>24</v>
      </c>
      <c r="E2850" t="n">
        <v>141.924</v>
      </c>
      <c r="F2850" t="n">
        <v>352</v>
      </c>
      <c r="G2850" t="n">
        <v>3501716</v>
      </c>
      <c r="H2850" t="inlineStr">
        <is>
          <t>TUB-O-N-AUT-AW-FC-41.28X2.600X6.0000</t>
        </is>
      </c>
    </row>
    <row r="2851">
      <c r="A2851" t="inlineStr">
        <is>
          <t>0000943209</t>
        </is>
      </c>
      <c r="B2851" t="inlineStr">
        <is>
          <t>MEGH STEELS PRIVATE LIMITED - TVS A</t>
        </is>
      </c>
      <c r="C2851" t="inlineStr">
        <is>
          <t>KG</t>
        </is>
      </c>
      <c r="D2851" t="n">
        <v>13</v>
      </c>
      <c r="E2851" t="n">
        <v>80.235</v>
      </c>
      <c r="F2851" t="n">
        <v>199</v>
      </c>
      <c r="G2851" t="n">
        <v>3501716</v>
      </c>
      <c r="H2851" t="inlineStr">
        <is>
          <t>TUB-O-N-AUT-AW-FC-41.28X2.600X6.0000</t>
        </is>
      </c>
    </row>
    <row r="2852">
      <c r="A2852" t="inlineStr">
        <is>
          <t>0000943209</t>
        </is>
      </c>
      <c r="B2852" t="inlineStr">
        <is>
          <t>MEGH STEELS PRIVATE LIMITED - TVS A</t>
        </is>
      </c>
      <c r="C2852" t="inlineStr">
        <is>
          <t>KG</t>
        </is>
      </c>
      <c r="D2852" t="n">
        <v>6</v>
      </c>
      <c r="E2852" t="n">
        <v>36.086</v>
      </c>
      <c r="F2852" t="n">
        <v>89.5</v>
      </c>
      <c r="G2852" t="n">
        <v>3501716</v>
      </c>
      <c r="H2852" t="inlineStr">
        <is>
          <t>TUB-O-N-AUT-AW-FC-41.28X2.600X6.0000</t>
        </is>
      </c>
    </row>
    <row r="2853">
      <c r="A2853" t="inlineStr">
        <is>
          <t>0000189002</t>
        </is>
      </c>
      <c r="B2853" t="inlineStr">
        <is>
          <t>Marathwada Auto Compo Pvt. Ltd.</t>
        </is>
      </c>
      <c r="C2853" t="inlineStr">
        <is>
          <t>NOS</t>
        </is>
      </c>
      <c r="D2853" t="n">
        <v>3343.516</v>
      </c>
      <c r="E2853" t="n">
        <v>908.992</v>
      </c>
      <c r="F2853" t="n">
        <v>2046.232</v>
      </c>
      <c r="G2853" t="n">
        <v>1938125</v>
      </c>
      <c r="H2853" t="inlineStr">
        <is>
          <t>TUB-I-C-AUT-AN-FC-39.00X34.00X0.2720</t>
        </is>
      </c>
    </row>
    <row r="2854">
      <c r="A2854" t="inlineStr">
        <is>
          <t>0000189002</t>
        </is>
      </c>
      <c r="B2854" t="inlineStr">
        <is>
          <t>Marathwada Auto Compo Pvt. Ltd.</t>
        </is>
      </c>
      <c r="C2854" t="inlineStr">
        <is>
          <t>NOS</t>
        </is>
      </c>
      <c r="D2854" t="n">
        <v>1656.484</v>
      </c>
      <c r="E2854" t="n">
        <v>450.343</v>
      </c>
      <c r="F2854" t="n">
        <v>1013.768</v>
      </c>
      <c r="G2854" t="n">
        <v>1938125</v>
      </c>
      <c r="H2854" t="inlineStr">
        <is>
          <t>TUB-I-C-AUT-AN-FC-39.00X34.00X0.2720</t>
        </is>
      </c>
    </row>
    <row r="2855">
      <c r="A2855" t="inlineStr">
        <is>
          <t>0000189002</t>
        </is>
      </c>
      <c r="B2855" t="inlineStr">
        <is>
          <t>Marathwada Auto Compo Pvt. Ltd.</t>
        </is>
      </c>
      <c r="C2855" t="inlineStr">
        <is>
          <t>NOS</t>
        </is>
      </c>
      <c r="D2855" t="n">
        <v>6000</v>
      </c>
      <c r="E2855" t="n">
        <v>1299.915</v>
      </c>
      <c r="F2855" t="n">
        <v>1836</v>
      </c>
      <c r="G2855" t="n">
        <v>1939544</v>
      </c>
      <c r="H2855" t="inlineStr">
        <is>
          <t>TUB-O-C-CEW-AD-FC-25.40X2.500X0.2170</t>
        </is>
      </c>
    </row>
    <row r="2856">
      <c r="A2856" t="inlineStr">
        <is>
          <t>0000188934</t>
        </is>
      </c>
      <c r="B2856" t="inlineStr">
        <is>
          <t>KAY JAY FORGINGS LIMITED</t>
        </is>
      </c>
      <c r="C2856" t="inlineStr">
        <is>
          <t>NOS</t>
        </is>
      </c>
      <c r="D2856" t="n">
        <v>108.408</v>
      </c>
      <c r="E2856" t="n">
        <v>38.701</v>
      </c>
      <c r="F2856" t="n">
        <v>116.441</v>
      </c>
      <c r="G2856" t="n">
        <v>3909903</v>
      </c>
      <c r="H2856" t="inlineStr">
        <is>
          <t>CUT-O-C-AUT-AD-FC-29.40X4.500X0.3570</t>
        </is>
      </c>
    </row>
    <row r="2857">
      <c r="A2857" t="inlineStr">
        <is>
          <t>0000188934</t>
        </is>
      </c>
      <c r="B2857" t="inlineStr">
        <is>
          <t>KAY JAY FORGINGS LIMITED</t>
        </is>
      </c>
      <c r="C2857" t="inlineStr">
        <is>
          <t>NOS</t>
        </is>
      </c>
      <c r="D2857" t="n">
        <v>558.576</v>
      </c>
      <c r="E2857" t="n">
        <v>199.411</v>
      </c>
      <c r="F2857" t="n">
        <v>599.966</v>
      </c>
      <c r="G2857" t="n">
        <v>3909903</v>
      </c>
      <c r="H2857" t="inlineStr">
        <is>
          <t>CUT-O-C-AUT-AD-FC-29.40X4.500X0.3570</t>
        </is>
      </c>
    </row>
    <row r="2858">
      <c r="A2858" t="inlineStr">
        <is>
          <t>0000188934</t>
        </is>
      </c>
      <c r="B2858" t="inlineStr">
        <is>
          <t>KAY JAY FORGINGS LIMITED</t>
        </is>
      </c>
      <c r="C2858" t="inlineStr">
        <is>
          <t>NOS</t>
        </is>
      </c>
      <c r="D2858" t="n">
        <v>1499.496</v>
      </c>
      <c r="E2858" t="n">
        <v>535.317</v>
      </c>
      <c r="F2858" t="n">
        <v>1610.609</v>
      </c>
      <c r="G2858" t="n">
        <v>3909903</v>
      </c>
      <c r="H2858" t="inlineStr">
        <is>
          <t>CUT-O-C-AUT-AD-FC-29.40X4.500X0.3570</t>
        </is>
      </c>
    </row>
    <row r="2859">
      <c r="A2859" t="inlineStr">
        <is>
          <t>0000188934</t>
        </is>
      </c>
      <c r="B2859" t="inlineStr">
        <is>
          <t>KAY JAY FORGINGS LIMITED</t>
        </is>
      </c>
      <c r="C2859" t="inlineStr">
        <is>
          <t>NOS</t>
        </is>
      </c>
      <c r="D2859" t="n">
        <v>1696.534</v>
      </c>
      <c r="E2859" t="n">
        <v>605.659</v>
      </c>
      <c r="F2859" t="n">
        <v>1822.247</v>
      </c>
      <c r="G2859" t="n">
        <v>3909903</v>
      </c>
      <c r="H2859" t="inlineStr">
        <is>
          <t>CUT-O-C-AUT-AD-FC-29.40X4.500X0.3570</t>
        </is>
      </c>
    </row>
    <row r="2860">
      <c r="A2860" t="inlineStr">
        <is>
          <t>0000188934</t>
        </is>
      </c>
      <c r="B2860" t="inlineStr">
        <is>
          <t>KAY JAY FORGINGS LIMITED</t>
        </is>
      </c>
      <c r="C2860" t="inlineStr">
        <is>
          <t>NOS</t>
        </is>
      </c>
      <c r="D2860" t="n">
        <v>1986.302</v>
      </c>
      <c r="E2860" t="n">
        <v>709.106</v>
      </c>
      <c r="F2860" t="n">
        <v>2133.487</v>
      </c>
      <c r="G2860" t="n">
        <v>3909903</v>
      </c>
      <c r="H2860" t="inlineStr">
        <is>
          <t>CUT-O-C-AUT-AD-FC-29.40X4.500X0.3570</t>
        </is>
      </c>
    </row>
    <row r="2861">
      <c r="A2861" t="inlineStr">
        <is>
          <t>0000188934</t>
        </is>
      </c>
      <c r="B2861" t="inlineStr">
        <is>
          <t>KAY JAY FORGINGS LIMITED</t>
        </is>
      </c>
      <c r="C2861" t="inlineStr">
        <is>
          <t>NOS</t>
        </is>
      </c>
      <c r="D2861" t="n">
        <v>150.684</v>
      </c>
      <c r="E2861" t="n">
        <v>53.794</v>
      </c>
      <c r="F2861" t="n">
        <v>161.85</v>
      </c>
      <c r="G2861" t="n">
        <v>3909903</v>
      </c>
      <c r="H2861" t="inlineStr">
        <is>
          <t>CUT-O-C-AUT-AD-FC-29.40X4.500X0.3570</t>
        </is>
      </c>
    </row>
    <row r="2862">
      <c r="A2862" t="inlineStr">
        <is>
          <t>0000189240</t>
        </is>
      </c>
      <c r="B2862" t="inlineStr">
        <is>
          <t>Rajsriya Automotive Ind Pvt Ltd.</t>
        </is>
      </c>
      <c r="C2862" t="inlineStr">
        <is>
          <t>NOS</t>
        </is>
      </c>
      <c r="D2862" t="n">
        <v>1000</v>
      </c>
      <c r="E2862" t="n">
        <v>465.003</v>
      </c>
      <c r="F2862" t="n">
        <v>716.244</v>
      </c>
      <c r="G2862" t="n">
        <v>3781608</v>
      </c>
      <c r="H2862" t="inlineStr">
        <is>
          <t>CUT-I-C-AUT-AD-CH-25.50X2.320X0.4650</t>
        </is>
      </c>
    </row>
    <row r="2863">
      <c r="A2863" t="inlineStr">
        <is>
          <t>0000189240</t>
        </is>
      </c>
      <c r="B2863" t="inlineStr">
        <is>
          <t>Rajsriya Automotive Ind Pvt Ltd.</t>
        </is>
      </c>
      <c r="C2863" t="inlineStr">
        <is>
          <t>NOS</t>
        </is>
      </c>
      <c r="D2863" t="n">
        <v>800</v>
      </c>
      <c r="E2863" t="n">
        <v>372.003</v>
      </c>
      <c r="F2863" t="n">
        <v>572.996</v>
      </c>
      <c r="G2863" t="n">
        <v>3781608</v>
      </c>
      <c r="H2863" t="inlineStr">
        <is>
          <t>CUT-I-C-AUT-AD-CH-25.50X2.320X0.4650</t>
        </is>
      </c>
    </row>
    <row r="2864">
      <c r="A2864" t="inlineStr">
        <is>
          <t>0000189240</t>
        </is>
      </c>
      <c r="B2864" t="inlineStr">
        <is>
          <t>Rajsriya Automotive Ind Pvt Ltd.</t>
        </is>
      </c>
      <c r="C2864" t="inlineStr">
        <is>
          <t>NOS</t>
        </is>
      </c>
      <c r="D2864" t="n">
        <v>200</v>
      </c>
      <c r="E2864" t="n">
        <v>93.001</v>
      </c>
      <c r="F2864" t="n">
        <v>143.249</v>
      </c>
      <c r="G2864" t="n">
        <v>3781608</v>
      </c>
      <c r="H2864" t="inlineStr">
        <is>
          <t>CUT-I-C-AUT-AD-CH-25.50X2.320X0.4650</t>
        </is>
      </c>
    </row>
    <row r="2865">
      <c r="A2865" t="inlineStr">
        <is>
          <t>0000189240</t>
        </is>
      </c>
      <c r="B2865" t="inlineStr">
        <is>
          <t>Rajsriya Automotive Ind Pvt Ltd.</t>
        </is>
      </c>
      <c r="C2865" t="inlineStr">
        <is>
          <t>NOS</t>
        </is>
      </c>
      <c r="D2865" t="n">
        <v>110.372</v>
      </c>
      <c r="E2865" t="n">
        <v>53.527</v>
      </c>
      <c r="F2865" t="n">
        <v>82.44799999999999</v>
      </c>
      <c r="G2865" t="n">
        <v>2359755</v>
      </c>
      <c r="H2865" t="inlineStr">
        <is>
          <t>TUB-O-C-AUT-AD-FC-30.00X2.250X0.4850</t>
        </is>
      </c>
    </row>
    <row r="2866">
      <c r="A2866" t="inlineStr">
        <is>
          <t>0000189240</t>
        </is>
      </c>
      <c r="B2866" t="inlineStr">
        <is>
          <t>Rajsriya Automotive Ind Pvt Ltd.</t>
        </is>
      </c>
      <c r="C2866" t="inlineStr">
        <is>
          <t>NOS</t>
        </is>
      </c>
      <c r="D2866" t="n">
        <v>926.703</v>
      </c>
      <c r="E2866" t="n">
        <v>449.424</v>
      </c>
      <c r="F2866" t="n">
        <v>692.247</v>
      </c>
      <c r="G2866" t="n">
        <v>2359755</v>
      </c>
      <c r="H2866" t="inlineStr">
        <is>
          <t>TUB-O-C-AUT-AD-FC-30.00X2.250X0.4850</t>
        </is>
      </c>
    </row>
    <row r="2867">
      <c r="A2867" t="inlineStr">
        <is>
          <t>0000189240</t>
        </is>
      </c>
      <c r="B2867" t="inlineStr">
        <is>
          <t>Rajsriya Automotive Ind Pvt Ltd.</t>
        </is>
      </c>
      <c r="C2867" t="inlineStr">
        <is>
          <t>NOS</t>
        </is>
      </c>
      <c r="D2867" t="n">
        <v>42.854</v>
      </c>
      <c r="E2867" t="n">
        <v>20.783</v>
      </c>
      <c r="F2867" t="n">
        <v>32.012</v>
      </c>
      <c r="G2867" t="n">
        <v>2359755</v>
      </c>
      <c r="H2867" t="inlineStr">
        <is>
          <t>TUB-O-C-AUT-AD-FC-30.00X2.250X0.4850</t>
        </is>
      </c>
    </row>
    <row r="2868">
      <c r="A2868" t="inlineStr">
        <is>
          <t>0000189240</t>
        </is>
      </c>
      <c r="B2868" t="inlineStr">
        <is>
          <t>Rajsriya Automotive Ind Pvt Ltd.</t>
        </is>
      </c>
      <c r="C2868" t="inlineStr">
        <is>
          <t>NOS</t>
        </is>
      </c>
      <c r="D2868" t="n">
        <v>128.676</v>
      </c>
      <c r="E2868" t="n">
        <v>62.404</v>
      </c>
      <c r="F2868" t="n">
        <v>96.121</v>
      </c>
      <c r="G2868" t="n">
        <v>2359755</v>
      </c>
      <c r="H2868" t="inlineStr">
        <is>
          <t>TUB-O-C-AUT-AD-FC-30.00X2.250X0.4850</t>
        </is>
      </c>
    </row>
    <row r="2869">
      <c r="A2869" t="inlineStr">
        <is>
          <t>0000189240</t>
        </is>
      </c>
      <c r="B2869" t="inlineStr">
        <is>
          <t>Rajsriya Automotive Ind Pvt Ltd.</t>
        </is>
      </c>
      <c r="C2869" t="inlineStr">
        <is>
          <t>NOS</t>
        </is>
      </c>
      <c r="D2869" t="n">
        <v>351.395</v>
      </c>
      <c r="E2869" t="n">
        <v>170.416</v>
      </c>
      <c r="F2869" t="n">
        <v>262.492</v>
      </c>
      <c r="G2869" t="n">
        <v>2359755</v>
      </c>
      <c r="H2869" t="inlineStr">
        <is>
          <t>TUB-O-C-AUT-AD-FC-30.00X2.250X0.4850</t>
        </is>
      </c>
    </row>
    <row r="2870">
      <c r="A2870" t="inlineStr">
        <is>
          <t>0000189240</t>
        </is>
      </c>
      <c r="B2870" t="inlineStr">
        <is>
          <t>Rajsriya Automotive Ind Pvt Ltd.</t>
        </is>
      </c>
      <c r="C2870" t="inlineStr">
        <is>
          <t>NOS</t>
        </is>
      </c>
      <c r="D2870" t="n">
        <v>2500</v>
      </c>
      <c r="E2870" t="n">
        <v>679.668</v>
      </c>
      <c r="F2870" t="n">
        <v>1530</v>
      </c>
      <c r="G2870" t="n">
        <v>1938125</v>
      </c>
      <c r="H2870" t="inlineStr">
        <is>
          <t>TUB-I-C-AUT-AN-FC-39.00X34.00X0.2720</t>
        </is>
      </c>
    </row>
    <row r="2871">
      <c r="A2871" t="inlineStr">
        <is>
          <t>0000189240</t>
        </is>
      </c>
      <c r="B2871" t="inlineStr">
        <is>
          <t>Rajsriya Automotive Ind Pvt Ltd.</t>
        </is>
      </c>
      <c r="C2871" t="inlineStr">
        <is>
          <t>NOS</t>
        </is>
      </c>
      <c r="D2871" t="n">
        <v>350</v>
      </c>
      <c r="E2871" t="n">
        <v>95.15300000000001</v>
      </c>
      <c r="F2871" t="n">
        <v>214.2</v>
      </c>
      <c r="G2871" t="n">
        <v>1938125</v>
      </c>
      <c r="H2871" t="inlineStr">
        <is>
          <t>TUB-I-C-AUT-AN-FC-39.00X34.00X0.2720</t>
        </is>
      </c>
    </row>
    <row r="2872">
      <c r="A2872" t="inlineStr">
        <is>
          <t>0000188356</t>
        </is>
      </c>
      <c r="B2872" t="inlineStr">
        <is>
          <t>Thai Summit Autoparts India Pvt Ltd</t>
        </is>
      </c>
      <c r="C2872" t="inlineStr">
        <is>
          <t>NOS</t>
        </is>
      </c>
      <c r="D2872" t="n">
        <v>2000</v>
      </c>
      <c r="E2872" t="n">
        <v>638.0890000000001</v>
      </c>
      <c r="F2872" t="n">
        <v>1758</v>
      </c>
      <c r="G2872" t="n">
        <v>1939479</v>
      </c>
      <c r="H2872" t="inlineStr">
        <is>
          <t>TUB-O-C-CEW-AD-FC-38.10X3.200X0.3190</t>
        </is>
      </c>
    </row>
    <row r="2873">
      <c r="A2873" t="inlineStr">
        <is>
          <t>0000188356</t>
        </is>
      </c>
      <c r="B2873" t="inlineStr">
        <is>
          <t>Thai Summit Autoparts India Pvt Ltd</t>
        </is>
      </c>
      <c r="C2873" t="inlineStr">
        <is>
          <t>NOS</t>
        </is>
      </c>
      <c r="D2873" t="n">
        <v>5850</v>
      </c>
      <c r="E2873" t="n">
        <v>1263.603</v>
      </c>
      <c r="F2873" t="n">
        <v>5438.42</v>
      </c>
      <c r="G2873" t="n">
        <v>4186550</v>
      </c>
      <c r="H2873" t="inlineStr">
        <is>
          <t>CUT-O-C-AUT-BH-FC-47.63X4.000X0.2160</t>
        </is>
      </c>
    </row>
    <row r="2874">
      <c r="A2874" t="inlineStr">
        <is>
          <t>0000184192</t>
        </is>
      </c>
      <c r="B2874" t="inlineStr">
        <is>
          <t>JBM AUTO LIMITED</t>
        </is>
      </c>
      <c r="C2874" t="inlineStr">
        <is>
          <t>NOS</t>
        </is>
      </c>
      <c r="D2874" t="n">
        <v>6000</v>
      </c>
      <c r="E2874" t="n">
        <v>1290.472</v>
      </c>
      <c r="F2874" t="n">
        <v>5556</v>
      </c>
      <c r="G2874" t="n">
        <v>3614493</v>
      </c>
      <c r="H2874" t="inlineStr">
        <is>
          <t>TUB-O-C-AUT-AN-FC-47.63X4.000X0.2150</t>
        </is>
      </c>
    </row>
    <row r="2875">
      <c r="A2875" t="inlineStr">
        <is>
          <t>0000184192</t>
        </is>
      </c>
      <c r="B2875" t="inlineStr">
        <is>
          <t>JBM AUTO LIMITED</t>
        </is>
      </c>
      <c r="C2875" t="inlineStr">
        <is>
          <t>NOS</t>
        </is>
      </c>
      <c r="D2875" t="n">
        <v>4574.194</v>
      </c>
      <c r="E2875" t="n">
        <v>594.7619999999999</v>
      </c>
      <c r="F2875" t="n">
        <v>1838.826</v>
      </c>
      <c r="G2875" t="n">
        <v>3623581</v>
      </c>
      <c r="H2875" t="inlineStr">
        <is>
          <t>TUB-O-N-AUT-AW-FC-50.80X2.600X0.1300</t>
        </is>
      </c>
    </row>
    <row r="2876">
      <c r="A2876" t="inlineStr">
        <is>
          <t>0000184192</t>
        </is>
      </c>
      <c r="B2876" t="inlineStr">
        <is>
          <t>JBM AUTO LIMITED</t>
        </is>
      </c>
      <c r="C2876" t="inlineStr">
        <is>
          <t>NOS</t>
        </is>
      </c>
      <c r="D2876" t="n">
        <v>180.699</v>
      </c>
      <c r="E2876" t="n">
        <v>23.495</v>
      </c>
      <c r="F2876" t="n">
        <v>72.64100000000001</v>
      </c>
      <c r="G2876" t="n">
        <v>3623581</v>
      </c>
      <c r="H2876" t="inlineStr">
        <is>
          <t>TUB-O-N-AUT-AW-FC-50.80X2.600X0.1300</t>
        </is>
      </c>
    </row>
    <row r="2877">
      <c r="A2877" t="inlineStr">
        <is>
          <t>0000184192</t>
        </is>
      </c>
      <c r="B2877" t="inlineStr">
        <is>
          <t>JBM AUTO LIMITED</t>
        </is>
      </c>
      <c r="C2877" t="inlineStr">
        <is>
          <t>NOS</t>
        </is>
      </c>
      <c r="D2877" t="n">
        <v>104.632</v>
      </c>
      <c r="E2877" t="n">
        <v>13.605</v>
      </c>
      <c r="F2877" t="n">
        <v>42.062</v>
      </c>
      <c r="G2877" t="n">
        <v>3623581</v>
      </c>
      <c r="H2877" t="inlineStr">
        <is>
          <t>TUB-O-N-AUT-AW-FC-50.80X2.600X0.1300</t>
        </is>
      </c>
    </row>
    <row r="2878">
      <c r="A2878" t="inlineStr">
        <is>
          <t>0000184192</t>
        </is>
      </c>
      <c r="B2878" t="inlineStr">
        <is>
          <t>JBM AUTO LIMITED</t>
        </is>
      </c>
      <c r="C2878" t="inlineStr">
        <is>
          <t>NOS</t>
        </is>
      </c>
      <c r="D2878" t="n">
        <v>940.475</v>
      </c>
      <c r="E2878" t="n">
        <v>122.286</v>
      </c>
      <c r="F2878" t="n">
        <v>378.071</v>
      </c>
      <c r="G2878" t="n">
        <v>3623581</v>
      </c>
      <c r="H2878" t="inlineStr">
        <is>
          <t>TUB-O-N-AUT-AW-FC-50.80X2.600X0.1300</t>
        </is>
      </c>
    </row>
    <row r="2879">
      <c r="A2879" t="inlineStr">
        <is>
          <t>0000184192</t>
        </is>
      </c>
      <c r="B2879" t="inlineStr">
        <is>
          <t>JBM AUTO LIMITED</t>
        </is>
      </c>
      <c r="C2879" t="inlineStr">
        <is>
          <t>NOS</t>
        </is>
      </c>
      <c r="D2879" t="n">
        <v>1310</v>
      </c>
      <c r="E2879" t="n">
        <v>417.89</v>
      </c>
      <c r="F2879" t="n">
        <v>1150.951</v>
      </c>
      <c r="G2879" t="n">
        <v>4157557</v>
      </c>
      <c r="H2879" t="inlineStr">
        <is>
          <t>PT4-O-N-AUT-AW-FC-38.10X3.200X0.3190</t>
        </is>
      </c>
    </row>
    <row r="2880">
      <c r="A2880" t="inlineStr">
        <is>
          <t>0000189226</t>
        </is>
      </c>
      <c r="B2880" t="inlineStr">
        <is>
          <t>Neel Metal Products Limited</t>
        </is>
      </c>
      <c r="C2880" t="inlineStr">
        <is>
          <t>NOS</t>
        </is>
      </c>
      <c r="D2880" t="n">
        <v>900.394</v>
      </c>
      <c r="E2880" t="n">
        <v>188.873</v>
      </c>
      <c r="F2880" t="n">
        <v>639.28</v>
      </c>
      <c r="G2880" t="n">
        <v>2417648</v>
      </c>
      <c r="H2880" t="inlineStr">
        <is>
          <t>TUB-O-N-AUT-AN-FC-42.70X3.500X0.2100</t>
        </is>
      </c>
    </row>
    <row r="2881">
      <c r="A2881" t="inlineStr">
        <is>
          <t>0000189226</t>
        </is>
      </c>
      <c r="B2881" t="inlineStr">
        <is>
          <t>Neel Metal Products Limited</t>
        </is>
      </c>
      <c r="C2881" t="inlineStr">
        <is>
          <t>NOS</t>
        </is>
      </c>
      <c r="D2881" t="n">
        <v>99.60599999999999</v>
      </c>
      <c r="E2881" t="n">
        <v>20.894</v>
      </c>
      <c r="F2881" t="n">
        <v>70.72</v>
      </c>
      <c r="G2881" t="n">
        <v>2417648</v>
      </c>
      <c r="H2881" t="inlineStr">
        <is>
          <t>TUB-O-N-AUT-AN-FC-42.70X3.500X0.2100</t>
        </is>
      </c>
    </row>
    <row r="2882">
      <c r="A2882" t="inlineStr">
        <is>
          <t>0000188415</t>
        </is>
      </c>
      <c r="B2882" t="inlineStr">
        <is>
          <t>Rajsriya Automotive Industries(P)</t>
        </is>
      </c>
      <c r="C2882" t="inlineStr">
        <is>
          <t>NOS</t>
        </is>
      </c>
      <c r="D2882" t="n">
        <v>1621.436</v>
      </c>
      <c r="E2882" t="n">
        <v>372.934</v>
      </c>
      <c r="F2882" t="n">
        <v>1121.115</v>
      </c>
      <c r="G2882" t="n">
        <v>4010435</v>
      </c>
      <c r="H2882" t="inlineStr">
        <is>
          <t>TUB-O-N-AUT-AW-FC-41.28X3.200X0.2300</t>
        </is>
      </c>
    </row>
    <row r="2883">
      <c r="A2883" t="inlineStr">
        <is>
          <t>0000188415</t>
        </is>
      </c>
      <c r="B2883" t="inlineStr">
        <is>
          <t>Rajsriya Automotive Industries(P)</t>
        </is>
      </c>
      <c r="C2883" t="inlineStr">
        <is>
          <t>NOS</t>
        </is>
      </c>
      <c r="D2883" t="n">
        <v>1398.564</v>
      </c>
      <c r="E2883" t="n">
        <v>321.673</v>
      </c>
      <c r="F2883" t="n">
        <v>967.014</v>
      </c>
      <c r="G2883" t="n">
        <v>4010435</v>
      </c>
      <c r="H2883" t="inlineStr">
        <is>
          <t>TUB-O-N-AUT-AW-FC-41.28X3.200X0.2300</t>
        </is>
      </c>
    </row>
    <row r="2884">
      <c r="A2884" t="inlineStr">
        <is>
          <t>0000944141</t>
        </is>
      </c>
      <c r="B2884" t="inlineStr">
        <is>
          <t>SRIKAM HITECH ENGINEERING PRIVATE L</t>
        </is>
      </c>
      <c r="C2884" t="inlineStr">
        <is>
          <t>NOS</t>
        </is>
      </c>
      <c r="D2884" t="n">
        <v>123.869</v>
      </c>
      <c r="E2884" t="n">
        <v>72.881</v>
      </c>
      <c r="F2884" t="n">
        <v>92.035</v>
      </c>
      <c r="G2884" t="n">
        <v>1938191</v>
      </c>
      <c r="H2884" t="inlineStr">
        <is>
          <t>TUB-I-C-AUT-AD-FC-12.50X3.250X0.5880</t>
        </is>
      </c>
    </row>
    <row r="2885">
      <c r="A2885" t="inlineStr">
        <is>
          <t>0000944141</t>
        </is>
      </c>
      <c r="B2885" t="inlineStr">
        <is>
          <t>SRIKAM HITECH ENGINEERING PRIVATE L</t>
        </is>
      </c>
      <c r="C2885" t="inlineStr">
        <is>
          <t>NOS</t>
        </is>
      </c>
      <c r="D2885" t="n">
        <v>283.873</v>
      </c>
      <c r="E2885" t="n">
        <v>167.024</v>
      </c>
      <c r="F2885" t="n">
        <v>210.918</v>
      </c>
      <c r="G2885" t="n">
        <v>1938191</v>
      </c>
      <c r="H2885" t="inlineStr">
        <is>
          <t>TUB-I-C-AUT-AD-FC-12.50X3.250X0.5880</t>
        </is>
      </c>
    </row>
    <row r="2886">
      <c r="A2886" t="inlineStr">
        <is>
          <t>0000944141</t>
        </is>
      </c>
      <c r="B2886" t="inlineStr">
        <is>
          <t>SRIKAM HITECH ENGINEERING PRIVATE L</t>
        </is>
      </c>
      <c r="C2886" t="inlineStr">
        <is>
          <t>NOS</t>
        </is>
      </c>
      <c r="D2886" t="n">
        <v>592.258</v>
      </c>
      <c r="E2886" t="n">
        <v>348.47</v>
      </c>
      <c r="F2886" t="n">
        <v>440.048</v>
      </c>
      <c r="G2886" t="n">
        <v>1938191</v>
      </c>
      <c r="H2886" t="inlineStr">
        <is>
          <t>TUB-I-C-AUT-AD-FC-12.50X3.250X0.5880</t>
        </is>
      </c>
    </row>
    <row r="2887">
      <c r="A2887" t="inlineStr">
        <is>
          <t>0000189226</t>
        </is>
      </c>
      <c r="B2887" t="inlineStr">
        <is>
          <t>Neel Metal Products Limited</t>
        </is>
      </c>
      <c r="C2887" t="inlineStr">
        <is>
          <t>NOS</t>
        </is>
      </c>
      <c r="D2887" t="n">
        <v>1500</v>
      </c>
      <c r="E2887" t="n">
        <v>314.651</v>
      </c>
      <c r="F2887" t="n">
        <v>1065</v>
      </c>
      <c r="G2887" t="n">
        <v>2417648</v>
      </c>
      <c r="H2887" t="inlineStr">
        <is>
          <t>TUB-O-N-AUT-AN-FC-42.70X3.500X0.2100</t>
        </is>
      </c>
    </row>
    <row r="2888">
      <c r="A2888" t="inlineStr">
        <is>
          <t>0000189226</t>
        </is>
      </c>
      <c r="B2888" t="inlineStr">
        <is>
          <t>Neel Metal Products Limited</t>
        </is>
      </c>
      <c r="C2888" t="inlineStr">
        <is>
          <t>NOS</t>
        </is>
      </c>
      <c r="D2888" t="n">
        <v>1432.244</v>
      </c>
      <c r="E2888" t="n">
        <v>300.438</v>
      </c>
      <c r="F2888" t="n">
        <v>1016.893</v>
      </c>
      <c r="G2888" t="n">
        <v>2417648</v>
      </c>
      <c r="H2888" t="inlineStr">
        <is>
          <t>TUB-O-N-AUT-AN-FC-42.70X3.500X0.2100</t>
        </is>
      </c>
    </row>
    <row r="2889">
      <c r="A2889" t="inlineStr">
        <is>
          <t>0000189226</t>
        </is>
      </c>
      <c r="B2889" t="inlineStr">
        <is>
          <t>Neel Metal Products Limited</t>
        </is>
      </c>
      <c r="C2889" t="inlineStr">
        <is>
          <t>NOS</t>
        </is>
      </c>
      <c r="D2889" t="n">
        <v>1067.756</v>
      </c>
      <c r="E2889" t="n">
        <v>223.98</v>
      </c>
      <c r="F2889" t="n">
        <v>758.107</v>
      </c>
      <c r="G2889" t="n">
        <v>2417648</v>
      </c>
      <c r="H2889" t="inlineStr">
        <is>
          <t>TUB-O-N-AUT-AN-FC-42.70X3.500X0.2100</t>
        </is>
      </c>
    </row>
    <row r="2890">
      <c r="A2890" t="inlineStr">
        <is>
          <t>0000189226</t>
        </is>
      </c>
      <c r="B2890" t="inlineStr">
        <is>
          <t>Neel Metal Products Limited</t>
        </is>
      </c>
      <c r="C2890" t="inlineStr">
        <is>
          <t>NOS</t>
        </is>
      </c>
      <c r="D2890" t="n">
        <v>1519</v>
      </c>
      <c r="E2890" t="n">
        <v>1233.143</v>
      </c>
      <c r="F2890" t="n">
        <v>2196.474</v>
      </c>
      <c r="G2890" t="n">
        <v>1940743</v>
      </c>
      <c r="H2890" t="inlineStr">
        <is>
          <t>TUB-O-O-AUT-AW-FC-38.10X2.000X0.8120</t>
        </is>
      </c>
    </row>
    <row r="2891">
      <c r="A2891" t="inlineStr">
        <is>
          <t>0000189226</t>
        </is>
      </c>
      <c r="B2891" t="inlineStr">
        <is>
          <t>Neel Metal Products Limited</t>
        </is>
      </c>
      <c r="C2891" t="inlineStr">
        <is>
          <t>NOS</t>
        </is>
      </c>
      <c r="D2891" t="n">
        <v>1512</v>
      </c>
      <c r="E2891" t="n">
        <v>1227.46</v>
      </c>
      <c r="F2891" t="n">
        <v>2186.352</v>
      </c>
      <c r="G2891" t="n">
        <v>1940743</v>
      </c>
      <c r="H2891" t="inlineStr">
        <is>
          <t>TUB-O-O-AUT-AW-FC-38.10X2.000X0.8120</t>
        </is>
      </c>
    </row>
    <row r="2892">
      <c r="A2892" t="inlineStr">
        <is>
          <t>0000189226</t>
        </is>
      </c>
      <c r="B2892" t="inlineStr">
        <is>
          <t>Neel Metal Products Limited</t>
        </is>
      </c>
      <c r="C2892" t="inlineStr">
        <is>
          <t>NOS</t>
        </is>
      </c>
      <c r="D2892" t="n">
        <v>1519</v>
      </c>
      <c r="E2892" t="n">
        <v>1233.143</v>
      </c>
      <c r="F2892" t="n">
        <v>2196.474</v>
      </c>
      <c r="G2892" t="n">
        <v>1940743</v>
      </c>
      <c r="H2892" t="inlineStr">
        <is>
          <t>TUB-O-O-AUT-AW-FC-38.10X2.000X0.8120</t>
        </is>
      </c>
    </row>
    <row r="2893">
      <c r="A2893" t="inlineStr">
        <is>
          <t>0000189226</t>
        </is>
      </c>
      <c r="B2893" t="inlineStr">
        <is>
          <t>Neel Metal Products Limited</t>
        </is>
      </c>
      <c r="C2893" t="inlineStr">
        <is>
          <t>NOS</t>
        </is>
      </c>
      <c r="D2893" t="n">
        <v>450</v>
      </c>
      <c r="E2893" t="n">
        <v>365.316</v>
      </c>
      <c r="F2893" t="n">
        <v>650.7</v>
      </c>
      <c r="G2893" t="n">
        <v>1940743</v>
      </c>
      <c r="H2893" t="inlineStr">
        <is>
          <t>TUB-O-O-AUT-AW-FC-38.10X2.000X0.8120</t>
        </is>
      </c>
    </row>
    <row r="2894">
      <c r="A2894" t="inlineStr">
        <is>
          <t>0000188356</t>
        </is>
      </c>
      <c r="B2894" t="inlineStr">
        <is>
          <t>Thai Summit Autoparts India Pvt Ltd</t>
        </is>
      </c>
      <c r="C2894" t="inlineStr">
        <is>
          <t>NOS</t>
        </is>
      </c>
      <c r="D2894" t="n">
        <v>1907.28</v>
      </c>
      <c r="E2894" t="n">
        <v>608.508</v>
      </c>
      <c r="F2894" t="n">
        <v>1676.499</v>
      </c>
      <c r="G2894" t="n">
        <v>1939479</v>
      </c>
      <c r="H2894" t="inlineStr">
        <is>
          <t>TUB-O-C-CEW-AD-FC-38.10X3.200X0.3190</t>
        </is>
      </c>
    </row>
    <row r="2895">
      <c r="A2895" t="inlineStr">
        <is>
          <t>0000188356</t>
        </is>
      </c>
      <c r="B2895" t="inlineStr">
        <is>
          <t>Thai Summit Autoparts India Pvt Ltd</t>
        </is>
      </c>
      <c r="C2895" t="inlineStr">
        <is>
          <t>NOS</t>
        </is>
      </c>
      <c r="D2895" t="n">
        <v>692.72</v>
      </c>
      <c r="E2895" t="n">
        <v>221.009</v>
      </c>
      <c r="F2895" t="n">
        <v>608.901</v>
      </c>
      <c r="G2895" t="n">
        <v>1939479</v>
      </c>
      <c r="H2895" t="inlineStr">
        <is>
          <t>TUB-O-C-CEW-AD-FC-38.10X3.200X0.3190</t>
        </is>
      </c>
    </row>
    <row r="2896">
      <c r="A2896" t="inlineStr">
        <is>
          <t>0000188356</t>
        </is>
      </c>
      <c r="B2896" t="inlineStr">
        <is>
          <t>Thai Summit Autoparts India Pvt Ltd</t>
        </is>
      </c>
      <c r="C2896" t="inlineStr">
        <is>
          <t>NOS</t>
        </is>
      </c>
      <c r="D2896" t="n">
        <v>2370.222</v>
      </c>
      <c r="E2896" t="n">
        <v>511.969</v>
      </c>
      <c r="F2896" t="n">
        <v>2203.464</v>
      </c>
      <c r="G2896" t="n">
        <v>4186550</v>
      </c>
      <c r="H2896" t="inlineStr">
        <is>
          <t>CUT-O-C-AUT-BH-FC-47.63X4.000X0.2160</t>
        </is>
      </c>
    </row>
    <row r="2897">
      <c r="A2897" t="inlineStr">
        <is>
          <t>0000188356</t>
        </is>
      </c>
      <c r="B2897" t="inlineStr">
        <is>
          <t>Thai Summit Autoparts India Pvt Ltd</t>
        </is>
      </c>
      <c r="C2897" t="inlineStr">
        <is>
          <t>NOS</t>
        </is>
      </c>
      <c r="D2897" t="n">
        <v>1129.778</v>
      </c>
      <c r="E2897" t="n">
        <v>244.033</v>
      </c>
      <c r="F2897" t="n">
        <v>1050.292</v>
      </c>
      <c r="G2897" t="n">
        <v>4186550</v>
      </c>
      <c r="H2897" t="inlineStr">
        <is>
          <t>CUT-O-C-AUT-BH-FC-47.63X4.000X0.2160</t>
        </is>
      </c>
    </row>
    <row r="2898">
      <c r="A2898" t="inlineStr">
        <is>
          <t>0000185254</t>
        </is>
      </c>
      <c r="B2898" t="inlineStr">
        <is>
          <t>LAXMI METAL PRESSING WORKS PVT LTD</t>
        </is>
      </c>
      <c r="C2898" t="inlineStr">
        <is>
          <t>NOS</t>
        </is>
      </c>
      <c r="D2898" t="n">
        <v>600</v>
      </c>
      <c r="E2898" t="n">
        <v>140.404</v>
      </c>
      <c r="F2898" t="n">
        <v>804.84</v>
      </c>
      <c r="G2898" t="n">
        <v>3746291</v>
      </c>
      <c r="H2898" t="inlineStr">
        <is>
          <t>CUT-O-N-AUT-BH-FC-63.50X4.000X0.2340</t>
        </is>
      </c>
    </row>
    <row r="2899">
      <c r="A2899" t="inlineStr">
        <is>
          <t>0000185254</t>
        </is>
      </c>
      <c r="B2899" t="inlineStr">
        <is>
          <t>LAXMI METAL PRESSING WORKS PVT LTD</t>
        </is>
      </c>
      <c r="C2899" t="inlineStr">
        <is>
          <t>NOS</t>
        </is>
      </c>
      <c r="D2899" t="n">
        <v>300</v>
      </c>
      <c r="E2899" t="n">
        <v>78.90000000000001</v>
      </c>
      <c r="F2899" t="n">
        <v>452.28</v>
      </c>
      <c r="G2899" t="n">
        <v>4196298</v>
      </c>
      <c r="H2899" t="inlineStr">
        <is>
          <t>CUT-O-N-AUT-BH-FC-63.50X4.000X0.2630</t>
        </is>
      </c>
    </row>
    <row r="2900">
      <c r="A2900" t="inlineStr">
        <is>
          <t>0000189270</t>
        </is>
      </c>
      <c r="B2900" t="inlineStr">
        <is>
          <t>Indo Autotech Limited (Unit V)</t>
        </is>
      </c>
      <c r="C2900" t="inlineStr">
        <is>
          <t>M</t>
        </is>
      </c>
      <c r="D2900" t="n">
        <v>160</v>
      </c>
      <c r="E2900" t="n">
        <v>960</v>
      </c>
      <c r="F2900" t="n">
        <v>1923.168</v>
      </c>
      <c r="G2900" t="n">
        <v>3702207</v>
      </c>
      <c r="H2900" t="inlineStr">
        <is>
          <t>TUB-R-AW-AUT-60.00X30.00X1.600X6.0000</t>
        </is>
      </c>
    </row>
    <row r="2901">
      <c r="A2901" t="inlineStr">
        <is>
          <t>0000184192</t>
        </is>
      </c>
      <c r="B2901" t="inlineStr">
        <is>
          <t>JBM AUTO LIMITED</t>
        </is>
      </c>
      <c r="C2901" t="inlineStr">
        <is>
          <t>NOS</t>
        </is>
      </c>
      <c r="D2901" t="n">
        <v>1890</v>
      </c>
      <c r="E2901" t="n">
        <v>406.499</v>
      </c>
      <c r="F2901" t="n">
        <v>1750.14</v>
      </c>
      <c r="G2901" t="n">
        <v>3614493</v>
      </c>
      <c r="H2901" t="inlineStr">
        <is>
          <t>TUB-O-C-AUT-AN-FC-47.63X4.000X0.2150</t>
        </is>
      </c>
    </row>
    <row r="2902">
      <c r="A2902" t="inlineStr">
        <is>
          <t>0000184192</t>
        </is>
      </c>
      <c r="B2902" t="inlineStr">
        <is>
          <t>JBM AUTO LIMITED</t>
        </is>
      </c>
      <c r="C2902" t="inlineStr">
        <is>
          <t>NOS</t>
        </is>
      </c>
      <c r="D2902" t="n">
        <v>1559.395</v>
      </c>
      <c r="E2902" t="n">
        <v>335.393</v>
      </c>
      <c r="F2902" t="n">
        <v>1444</v>
      </c>
      <c r="G2902" t="n">
        <v>3614493</v>
      </c>
      <c r="H2902" t="inlineStr">
        <is>
          <t>TUB-O-C-AUT-AN-FC-47.63X4.000X0.2150</t>
        </is>
      </c>
    </row>
    <row r="2903">
      <c r="A2903" t="inlineStr">
        <is>
          <t>0000184192</t>
        </is>
      </c>
      <c r="B2903" t="inlineStr">
        <is>
          <t>JBM AUTO LIMITED</t>
        </is>
      </c>
      <c r="C2903" t="inlineStr">
        <is>
          <t>NOS</t>
        </is>
      </c>
      <c r="D2903" t="n">
        <v>175</v>
      </c>
      <c r="E2903" t="n">
        <v>37.639</v>
      </c>
      <c r="F2903" t="n">
        <v>162.05</v>
      </c>
      <c r="G2903" t="n">
        <v>3614493</v>
      </c>
      <c r="H2903" t="inlineStr">
        <is>
          <t>TUB-O-C-AUT-AN-FC-47.63X4.000X0.2150</t>
        </is>
      </c>
    </row>
    <row r="2904">
      <c r="A2904" t="inlineStr">
        <is>
          <t>0000184192</t>
        </is>
      </c>
      <c r="B2904" t="inlineStr">
        <is>
          <t>JBM AUTO LIMITED</t>
        </is>
      </c>
      <c r="C2904" t="inlineStr">
        <is>
          <t>NOS</t>
        </is>
      </c>
      <c r="D2904" t="n">
        <v>15.605</v>
      </c>
      <c r="E2904" t="n">
        <v>3.356</v>
      </c>
      <c r="F2904" t="n">
        <v>14.45</v>
      </c>
      <c r="G2904" t="n">
        <v>3614493</v>
      </c>
      <c r="H2904" t="inlineStr">
        <is>
          <t>TUB-O-C-AUT-AN-FC-47.63X4.000X0.2150</t>
        </is>
      </c>
    </row>
    <row r="2905">
      <c r="A2905" t="inlineStr">
        <is>
          <t>0000184192</t>
        </is>
      </c>
      <c r="B2905" t="inlineStr">
        <is>
          <t>JBM AUTO LIMITED</t>
        </is>
      </c>
      <c r="C2905" t="inlineStr">
        <is>
          <t>NOS</t>
        </is>
      </c>
      <c r="D2905" t="n">
        <v>899.681</v>
      </c>
      <c r="E2905" t="n">
        <v>286.998</v>
      </c>
      <c r="F2905" t="n">
        <v>790.45</v>
      </c>
      <c r="G2905" t="n">
        <v>4157557</v>
      </c>
      <c r="H2905" t="inlineStr">
        <is>
          <t>PT4-O-N-AUT-AW-FC-38.10X3.200X0.3190</t>
        </is>
      </c>
    </row>
    <row r="2906">
      <c r="A2906" t="inlineStr">
        <is>
          <t>0000184192</t>
        </is>
      </c>
      <c r="B2906" t="inlineStr">
        <is>
          <t>JBM AUTO LIMITED</t>
        </is>
      </c>
      <c r="C2906" t="inlineStr">
        <is>
          <t>NOS</t>
        </is>
      </c>
      <c r="D2906" t="n">
        <v>960.319</v>
      </c>
      <c r="E2906" t="n">
        <v>306.341</v>
      </c>
      <c r="F2906" t="n">
        <v>843.726</v>
      </c>
      <c r="G2906" t="n">
        <v>4157557</v>
      </c>
      <c r="H2906" t="inlineStr">
        <is>
          <t>PT4-O-N-AUT-AW-FC-38.10X3.200X0.3190</t>
        </is>
      </c>
    </row>
    <row r="2907">
      <c r="A2907" t="inlineStr">
        <is>
          <t>0000189270</t>
        </is>
      </c>
      <c r="B2907" t="inlineStr">
        <is>
          <t>Indo Autotech Limited (Unit V)</t>
        </is>
      </c>
      <c r="C2907" t="inlineStr">
        <is>
          <t>NOS</t>
        </is>
      </c>
      <c r="D2907" t="n">
        <v>570</v>
      </c>
      <c r="E2907" t="n">
        <v>176.699</v>
      </c>
      <c r="F2907" t="n">
        <v>444.822</v>
      </c>
      <c r="G2907" t="n">
        <v>2244441</v>
      </c>
      <c r="H2907" t="inlineStr">
        <is>
          <t>TUB-O-N-AUT-AW-FC-48.60X2.300X0.3100</t>
        </is>
      </c>
    </row>
    <row r="2908">
      <c r="A2908" t="inlineStr">
        <is>
          <t>0000947788</t>
        </is>
      </c>
      <c r="B2908" t="inlineStr">
        <is>
          <t>INDO AUTOTECH LIMITED UNIT-V</t>
        </is>
      </c>
      <c r="C2908" t="inlineStr">
        <is>
          <t>NOS</t>
        </is>
      </c>
      <c r="D2908" t="n">
        <v>3000</v>
      </c>
      <c r="E2908" t="n">
        <v>612</v>
      </c>
      <c r="F2908" t="n">
        <v>1408.333</v>
      </c>
      <c r="G2908" t="n">
        <v>3557583</v>
      </c>
      <c r="H2908" t="inlineStr">
        <is>
          <t>TUB-O-C-AUT-AD-FC-41.28X2.410X0.2040</t>
        </is>
      </c>
    </row>
    <row r="2909">
      <c r="A2909" t="inlineStr">
        <is>
          <t>0000940921</t>
        </is>
      </c>
      <c r="B2909" t="inlineStr">
        <is>
          <t>ELKAYEM AUTO ANCILLARIES PVT LTD -U</t>
        </is>
      </c>
      <c r="C2909" t="inlineStr">
        <is>
          <t>M</t>
        </is>
      </c>
      <c r="D2909" t="n">
        <v>356</v>
      </c>
      <c r="E2909" t="n">
        <v>2137.06</v>
      </c>
      <c r="F2909" t="n">
        <v>2133</v>
      </c>
      <c r="G2909" t="n">
        <v>1931535</v>
      </c>
      <c r="H2909" t="inlineStr">
        <is>
          <t>TUB-O-N-GEN-AW-PE-22.23X2.000X6.0000</t>
        </is>
      </c>
    </row>
    <row r="2910">
      <c r="A2910" t="inlineStr">
        <is>
          <t>0000940921</t>
        </is>
      </c>
      <c r="B2910" t="inlineStr">
        <is>
          <t>ELKAYEM AUTO ANCILLARIES PVT LTD -U</t>
        </is>
      </c>
      <c r="C2910" t="inlineStr">
        <is>
          <t>M</t>
        </is>
      </c>
      <c r="D2910" t="n">
        <v>338</v>
      </c>
      <c r="E2910" t="n">
        <v>2026.851</v>
      </c>
      <c r="F2910" t="n">
        <v>2023</v>
      </c>
      <c r="G2910" t="n">
        <v>1931535</v>
      </c>
      <c r="H2910" t="inlineStr">
        <is>
          <t>TUB-O-N-GEN-AW-PE-22.23X2.000X6.0000</t>
        </is>
      </c>
    </row>
    <row r="2911">
      <c r="A2911" t="inlineStr">
        <is>
          <t>0000940921</t>
        </is>
      </c>
      <c r="B2911" t="inlineStr">
        <is>
          <t>ELKAYEM AUTO ANCILLARIES PVT LTD -U</t>
        </is>
      </c>
      <c r="C2911" t="inlineStr">
        <is>
          <t>M</t>
        </is>
      </c>
      <c r="D2911" t="n">
        <v>358</v>
      </c>
      <c r="E2911" t="n">
        <v>2149.083</v>
      </c>
      <c r="F2911" t="n">
        <v>2145</v>
      </c>
      <c r="G2911" t="n">
        <v>1931535</v>
      </c>
      <c r="H2911" t="inlineStr">
        <is>
          <t>TUB-O-N-GEN-AW-PE-22.23X2.000X6.0000</t>
        </is>
      </c>
    </row>
    <row r="2912">
      <c r="A2912" t="inlineStr">
        <is>
          <t>0000940921</t>
        </is>
      </c>
      <c r="B2912" t="inlineStr">
        <is>
          <t>ELKAYEM AUTO ANCILLARIES PVT LTD -U</t>
        </is>
      </c>
      <c r="C2912" t="inlineStr">
        <is>
          <t>M</t>
        </is>
      </c>
      <c r="D2912" t="n">
        <v>352</v>
      </c>
      <c r="E2912" t="n">
        <v>2111.762</v>
      </c>
      <c r="F2912" t="n">
        <v>2107.75</v>
      </c>
      <c r="G2912" t="n">
        <v>1931535</v>
      </c>
      <c r="H2912" t="inlineStr">
        <is>
          <t>TUB-O-N-GEN-AW-PE-22.23X2.000X6.0000</t>
        </is>
      </c>
    </row>
    <row r="2913">
      <c r="A2913" t="inlineStr">
        <is>
          <t>0000940921</t>
        </is>
      </c>
      <c r="B2913" t="inlineStr">
        <is>
          <t>ELKAYEM AUTO ANCILLARIES PVT LTD -U</t>
        </is>
      </c>
      <c r="C2913" t="inlineStr">
        <is>
          <t>M</t>
        </is>
      </c>
      <c r="D2913" t="n">
        <v>365</v>
      </c>
      <c r="E2913" t="n">
        <v>2189.911</v>
      </c>
      <c r="F2913" t="n">
        <v>2185.75</v>
      </c>
      <c r="G2913" t="n">
        <v>1931535</v>
      </c>
      <c r="H2913" t="inlineStr">
        <is>
          <t>TUB-O-N-GEN-AW-PE-22.23X2.000X6.0000</t>
        </is>
      </c>
    </row>
    <row r="2914">
      <c r="A2914" t="inlineStr">
        <is>
          <t>0000940921</t>
        </is>
      </c>
      <c r="B2914" t="inlineStr">
        <is>
          <t>ELKAYEM AUTO ANCILLARIES PVT LTD -U</t>
        </is>
      </c>
      <c r="C2914" t="inlineStr">
        <is>
          <t>M</t>
        </is>
      </c>
      <c r="D2914" t="n">
        <v>181</v>
      </c>
      <c r="E2914" t="n">
        <v>1086.815</v>
      </c>
      <c r="F2914" t="n">
        <v>1084.75</v>
      </c>
      <c r="G2914" t="n">
        <v>1931535</v>
      </c>
      <c r="H2914" t="inlineStr">
        <is>
          <t>TUB-O-N-GEN-AW-PE-22.23X2.000X6.0000</t>
        </is>
      </c>
    </row>
    <row r="2915">
      <c r="A2915" t="inlineStr">
        <is>
          <t>0000940921</t>
        </is>
      </c>
      <c r="B2915" t="inlineStr">
        <is>
          <t>ELKAYEM AUTO ANCILLARIES PVT LTD -U</t>
        </is>
      </c>
      <c r="C2915" t="inlineStr">
        <is>
          <t>M</t>
        </is>
      </c>
      <c r="D2915" t="n">
        <v>192</v>
      </c>
      <c r="E2915" t="n">
        <v>1154.193</v>
      </c>
      <c r="F2915" t="n">
        <v>1152</v>
      </c>
      <c r="G2915" t="n">
        <v>1931535</v>
      </c>
      <c r="H2915" t="inlineStr">
        <is>
          <t>TUB-O-N-GEN-AW-PE-22.23X2.000X6.0000</t>
        </is>
      </c>
    </row>
    <row r="2916">
      <c r="A2916" t="inlineStr">
        <is>
          <t>0000940921</t>
        </is>
      </c>
      <c r="B2916" t="inlineStr">
        <is>
          <t>ELKAYEM AUTO ANCILLARIES PVT LTD -U</t>
        </is>
      </c>
      <c r="C2916" t="inlineStr">
        <is>
          <t>M</t>
        </is>
      </c>
      <c r="D2916" t="n">
        <v>12</v>
      </c>
      <c r="E2916" t="n">
        <v>74.325</v>
      </c>
      <c r="F2916" t="n">
        <v>74.184</v>
      </c>
      <c r="G2916" t="n">
        <v>1931535</v>
      </c>
      <c r="H2916" t="inlineStr">
        <is>
          <t>TUB-O-N-GEN-AW-PE-22.23X2.000X6.0000</t>
        </is>
      </c>
    </row>
    <row r="2917">
      <c r="A2917" t="inlineStr">
        <is>
          <t>0000188934</t>
        </is>
      </c>
      <c r="B2917" t="inlineStr">
        <is>
          <t>KAY JAY FORGINGS LIMITED</t>
        </is>
      </c>
      <c r="C2917" t="inlineStr">
        <is>
          <t>NOS</t>
        </is>
      </c>
      <c r="D2917" t="n">
        <v>1476.369</v>
      </c>
      <c r="E2917" t="n">
        <v>527.061</v>
      </c>
      <c r="F2917" t="n">
        <v>1585.768</v>
      </c>
      <c r="G2917" t="n">
        <v>3909903</v>
      </c>
      <c r="H2917" t="inlineStr">
        <is>
          <t>CUT-O-C-AUT-AD-FC-29.40X4.500X0.3570</t>
        </is>
      </c>
    </row>
    <row r="2918">
      <c r="A2918" t="inlineStr">
        <is>
          <t>0000188934</t>
        </is>
      </c>
      <c r="B2918" t="inlineStr">
        <is>
          <t>KAY JAY FORGINGS LIMITED</t>
        </is>
      </c>
      <c r="C2918" t="inlineStr">
        <is>
          <t>NOS</t>
        </is>
      </c>
      <c r="D2918" t="n">
        <v>1398.948</v>
      </c>
      <c r="E2918" t="n">
        <v>499.422</v>
      </c>
      <c r="F2918" t="n">
        <v>1502.61</v>
      </c>
      <c r="G2918" t="n">
        <v>3909903</v>
      </c>
      <c r="H2918" t="inlineStr">
        <is>
          <t>CUT-O-C-AUT-AD-FC-29.40X4.500X0.3570</t>
        </is>
      </c>
    </row>
    <row r="2919">
      <c r="A2919" t="inlineStr">
        <is>
          <t>0000188934</t>
        </is>
      </c>
      <c r="B2919" t="inlineStr">
        <is>
          <t>KAY JAY FORGINGS LIMITED</t>
        </is>
      </c>
      <c r="C2919" t="inlineStr">
        <is>
          <t>NOS</t>
        </is>
      </c>
      <c r="D2919" t="n">
        <v>124.683</v>
      </c>
      <c r="E2919" t="n">
        <v>44.512</v>
      </c>
      <c r="F2919" t="n">
        <v>133.922</v>
      </c>
      <c r="G2919" t="n">
        <v>3909903</v>
      </c>
      <c r="H2919" t="inlineStr">
        <is>
          <t>CUT-O-C-AUT-AD-FC-29.40X4.500X0.3570</t>
        </is>
      </c>
    </row>
    <row r="2920">
      <c r="A2920" t="inlineStr">
        <is>
          <t>0000189454</t>
        </is>
      </c>
      <c r="B2920" t="inlineStr">
        <is>
          <t>NAHARS ENGINEERING INDIA PRIVATE LI</t>
        </is>
      </c>
      <c r="C2920" t="inlineStr">
        <is>
          <t>NOS</t>
        </is>
      </c>
      <c r="D2920" t="n">
        <v>150.846</v>
      </c>
      <c r="E2920" t="n">
        <v>51.739</v>
      </c>
      <c r="F2920" t="n">
        <v>201.787</v>
      </c>
      <c r="G2920" t="n">
        <v>4184750</v>
      </c>
      <c r="H2920" t="inlineStr">
        <is>
          <t>TUB-O-N-AUT-AN-FC-44.45X4.000X0.3430</t>
        </is>
      </c>
    </row>
    <row r="2921">
      <c r="A2921" t="inlineStr">
        <is>
          <t>0000189454</t>
        </is>
      </c>
      <c r="B2921" t="inlineStr">
        <is>
          <t>NAHARS ENGINEERING INDIA PRIVATE LI</t>
        </is>
      </c>
      <c r="C2921" t="inlineStr">
        <is>
          <t>NOS</t>
        </is>
      </c>
      <c r="D2921" t="n">
        <v>2999.154</v>
      </c>
      <c r="E2921" t="n">
        <v>1028.683</v>
      </c>
      <c r="F2921" t="n">
        <v>4011.968</v>
      </c>
      <c r="G2921" t="n">
        <v>4184750</v>
      </c>
      <c r="H2921" t="inlineStr">
        <is>
          <t>TUB-O-N-AUT-AN-FC-44.45X4.000X0.3430</t>
        </is>
      </c>
    </row>
    <row r="2922">
      <c r="A2922" t="inlineStr">
        <is>
          <t>0000941496</t>
        </is>
      </c>
      <c r="B2922" t="inlineStr">
        <is>
          <t>SANDHAR ENGINEERING PVT LTD.(KA) -U</t>
        </is>
      </c>
      <c r="C2922" t="inlineStr">
        <is>
          <t>NOS</t>
        </is>
      </c>
      <c r="D2922" t="n">
        <v>2848.132</v>
      </c>
      <c r="E2922" t="n">
        <v>592.415</v>
      </c>
      <c r="F2922" t="n">
        <v>2005.148</v>
      </c>
      <c r="G2922" t="n">
        <v>3722021</v>
      </c>
      <c r="H2922" t="inlineStr">
        <is>
          <t>TUB-O-N-AUT-AN--42.70X3.500X0.2080</t>
        </is>
      </c>
    </row>
    <row r="2923">
      <c r="A2923" t="inlineStr">
        <is>
          <t>0000941496</t>
        </is>
      </c>
      <c r="B2923" t="inlineStr">
        <is>
          <t>SANDHAR ENGINEERING PVT LTD.(KA) -U</t>
        </is>
      </c>
      <c r="C2923" t="inlineStr">
        <is>
          <t>NOS</t>
        </is>
      </c>
      <c r="D2923" t="n">
        <v>2904.692</v>
      </c>
      <c r="E2923" t="n">
        <v>604.1799999999999</v>
      </c>
      <c r="F2923" t="n">
        <v>2044.968</v>
      </c>
      <c r="G2923" t="n">
        <v>3722021</v>
      </c>
      <c r="H2923" t="inlineStr">
        <is>
          <t>TUB-O-N-AUT-AN--42.70X3.500X0.2080</t>
        </is>
      </c>
    </row>
    <row r="2924">
      <c r="A2924" t="inlineStr">
        <is>
          <t>0000941496</t>
        </is>
      </c>
      <c r="B2924" t="inlineStr">
        <is>
          <t>SANDHAR ENGINEERING PVT LTD.(KA) -U</t>
        </is>
      </c>
      <c r="C2924" t="inlineStr">
        <is>
          <t>NOS</t>
        </is>
      </c>
      <c r="D2924" t="n">
        <v>3035.704</v>
      </c>
      <c r="E2924" t="n">
        <v>631.431</v>
      </c>
      <c r="F2924" t="n">
        <v>2137.203</v>
      </c>
      <c r="G2924" t="n">
        <v>3722021</v>
      </c>
      <c r="H2924" t="inlineStr">
        <is>
          <t>TUB-O-N-AUT-AN--42.70X3.500X0.2080</t>
        </is>
      </c>
    </row>
    <row r="2925">
      <c r="A2925" t="inlineStr">
        <is>
          <t>0000941496</t>
        </is>
      </c>
      <c r="B2925" t="inlineStr">
        <is>
          <t>SANDHAR ENGINEERING PVT LTD.(KA) -U</t>
        </is>
      </c>
      <c r="C2925" t="inlineStr">
        <is>
          <t>NOS</t>
        </is>
      </c>
      <c r="D2925" t="n">
        <v>536.472</v>
      </c>
      <c r="E2925" t="n">
        <v>111.587</v>
      </c>
      <c r="F2925" t="n">
        <v>377.688</v>
      </c>
      <c r="G2925" t="n">
        <v>3722021</v>
      </c>
      <c r="H2925" t="inlineStr">
        <is>
          <t>TUB-O-N-AUT-AN--42.70X3.500X0.2080</t>
        </is>
      </c>
    </row>
    <row r="2926">
      <c r="A2926" t="inlineStr">
        <is>
          <t>0000188356</t>
        </is>
      </c>
      <c r="B2926" t="inlineStr">
        <is>
          <t>Thai Summit Autoparts India Pvt Ltd</t>
        </is>
      </c>
      <c r="C2926" t="inlineStr">
        <is>
          <t>NOS</t>
        </is>
      </c>
      <c r="D2926" t="n">
        <v>2919.906</v>
      </c>
      <c r="E2926" t="n">
        <v>931.58</v>
      </c>
      <c r="F2926" t="n">
        <v>2566.597</v>
      </c>
      <c r="G2926" t="n">
        <v>1939479</v>
      </c>
      <c r="H2926" t="inlineStr">
        <is>
          <t>TUB-O-C-CEW-AD-FC-38.10X3.200X0.3190</t>
        </is>
      </c>
    </row>
    <row r="2927">
      <c r="A2927" t="inlineStr">
        <is>
          <t>0000188356</t>
        </is>
      </c>
      <c r="B2927" t="inlineStr">
        <is>
          <t>Thai Summit Autoparts India Pvt Ltd</t>
        </is>
      </c>
      <c r="C2927" t="inlineStr">
        <is>
          <t>NOS</t>
        </is>
      </c>
      <c r="D2927" t="n">
        <v>1290.094</v>
      </c>
      <c r="E2927" t="n">
        <v>411.598</v>
      </c>
      <c r="F2927" t="n">
        <v>1133.993</v>
      </c>
      <c r="G2927" t="n">
        <v>1939479</v>
      </c>
      <c r="H2927" t="inlineStr">
        <is>
          <t>TUB-O-C-CEW-AD-FC-38.10X3.200X0.3190</t>
        </is>
      </c>
    </row>
    <row r="2928">
      <c r="A2928" t="inlineStr">
        <is>
          <t>0000188356</t>
        </is>
      </c>
      <c r="B2928" t="inlineStr">
        <is>
          <t>Thai Summit Autoparts India Pvt Ltd</t>
        </is>
      </c>
      <c r="C2928" t="inlineStr">
        <is>
          <t>NOS</t>
        </is>
      </c>
      <c r="D2928" t="n">
        <v>635.274</v>
      </c>
      <c r="E2928" t="n">
        <v>137.219</v>
      </c>
      <c r="F2928" t="n">
        <v>590.579</v>
      </c>
      <c r="G2928" t="n">
        <v>4186550</v>
      </c>
      <c r="H2928" t="inlineStr">
        <is>
          <t>CUT-O-C-AUT-BH-FC-47.63X4.000X0.2160</t>
        </is>
      </c>
    </row>
    <row r="2929">
      <c r="A2929" t="inlineStr">
        <is>
          <t>0000188356</t>
        </is>
      </c>
      <c r="B2929" t="inlineStr">
        <is>
          <t>Thai Summit Autoparts India Pvt Ltd</t>
        </is>
      </c>
      <c r="C2929" t="inlineStr">
        <is>
          <t>NOS</t>
        </is>
      </c>
      <c r="D2929" t="n">
        <v>349.539</v>
      </c>
      <c r="E2929" t="n">
        <v>75.501</v>
      </c>
      <c r="F2929" t="n">
        <v>324.947</v>
      </c>
      <c r="G2929" t="n">
        <v>4186550</v>
      </c>
      <c r="H2929" t="inlineStr">
        <is>
          <t>CUT-O-C-AUT-BH-FC-47.63X4.000X0.2160</t>
        </is>
      </c>
    </row>
    <row r="2930">
      <c r="A2930" t="inlineStr">
        <is>
          <t>0000188356</t>
        </is>
      </c>
      <c r="B2930" t="inlineStr">
        <is>
          <t>Thai Summit Autoparts India Pvt Ltd</t>
        </is>
      </c>
      <c r="C2930" t="inlineStr">
        <is>
          <t>NOS</t>
        </is>
      </c>
      <c r="D2930" t="n">
        <v>549.982</v>
      </c>
      <c r="E2930" t="n">
        <v>118.796</v>
      </c>
      <c r="F2930" t="n">
        <v>511.288</v>
      </c>
      <c r="G2930" t="n">
        <v>4186550</v>
      </c>
      <c r="H2930" t="inlineStr">
        <is>
          <t>CUT-O-C-AUT-BH-FC-47.63X4.000X0.2160</t>
        </is>
      </c>
    </row>
    <row r="2931">
      <c r="A2931" t="inlineStr">
        <is>
          <t>0000188356</t>
        </is>
      </c>
      <c r="B2931" t="inlineStr">
        <is>
          <t>Thai Summit Autoparts India Pvt Ltd</t>
        </is>
      </c>
      <c r="C2931" t="inlineStr">
        <is>
          <t>NOS</t>
        </is>
      </c>
      <c r="D2931" t="n">
        <v>554.691</v>
      </c>
      <c r="E2931" t="n">
        <v>119.814</v>
      </c>
      <c r="F2931" t="n">
        <v>515.665</v>
      </c>
      <c r="G2931" t="n">
        <v>4186550</v>
      </c>
      <c r="H2931" t="inlineStr">
        <is>
          <t>CUT-O-C-AUT-BH-FC-47.63X4.000X0.2160</t>
        </is>
      </c>
    </row>
    <row r="2932">
      <c r="A2932" t="inlineStr">
        <is>
          <t>0000188356</t>
        </is>
      </c>
      <c r="B2932" t="inlineStr">
        <is>
          <t>Thai Summit Autoparts India Pvt Ltd</t>
        </is>
      </c>
      <c r="C2932" t="inlineStr">
        <is>
          <t>NOS</t>
        </is>
      </c>
      <c r="D2932" t="n">
        <v>2027.82</v>
      </c>
      <c r="E2932" t="n">
        <v>438.01</v>
      </c>
      <c r="F2932" t="n">
        <v>1885.152</v>
      </c>
      <c r="G2932" t="n">
        <v>4186550</v>
      </c>
      <c r="H2932" t="inlineStr">
        <is>
          <t>CUT-O-C-AUT-BH-FC-47.63X4.000X0.2160</t>
        </is>
      </c>
    </row>
    <row r="2933">
      <c r="A2933" t="inlineStr">
        <is>
          <t>0000188356</t>
        </is>
      </c>
      <c r="B2933" t="inlineStr">
        <is>
          <t>Thai Summit Autoparts India Pvt Ltd</t>
        </is>
      </c>
      <c r="C2933" t="inlineStr">
        <is>
          <t>NOS</t>
        </is>
      </c>
      <c r="D2933" t="n">
        <v>882.694</v>
      </c>
      <c r="E2933" t="n">
        <v>190.662</v>
      </c>
      <c r="F2933" t="n">
        <v>820.592</v>
      </c>
      <c r="G2933" t="n">
        <v>4186550</v>
      </c>
      <c r="H2933" t="inlineStr">
        <is>
          <t>CUT-O-C-AUT-BH-FC-47.63X4.000X0.2160</t>
        </is>
      </c>
    </row>
    <row r="2934">
      <c r="A2934" t="inlineStr">
        <is>
          <t>0000944141</t>
        </is>
      </c>
      <c r="B2934" t="inlineStr">
        <is>
          <t>SRIKAM HITECH ENGINEERING PRIVATE L</t>
        </is>
      </c>
      <c r="C2934" t="inlineStr">
        <is>
          <t>NOS</t>
        </is>
      </c>
      <c r="D2934" t="n">
        <v>3020</v>
      </c>
      <c r="E2934" t="n">
        <v>1776.893</v>
      </c>
      <c r="F2934" t="n">
        <v>2243.86</v>
      </c>
      <c r="G2934" t="n">
        <v>1938191</v>
      </c>
      <c r="H2934" t="inlineStr">
        <is>
          <t>TUB-I-C-AUT-AD-FC-12.50X3.250X0.5880</t>
        </is>
      </c>
    </row>
    <row r="2935">
      <c r="A2935" t="inlineStr">
        <is>
          <t>0000188415</t>
        </is>
      </c>
      <c r="B2935" t="inlineStr">
        <is>
          <t>Rajsriya Automotive Industries(P)</t>
        </is>
      </c>
      <c r="C2935" t="inlineStr">
        <is>
          <t>NOS</t>
        </is>
      </c>
      <c r="D2935" t="n">
        <v>132.839</v>
      </c>
      <c r="E2935" t="n">
        <v>110.919</v>
      </c>
      <c r="F2935" t="n">
        <v>187.609</v>
      </c>
      <c r="G2935" t="n">
        <v>3712521</v>
      </c>
      <c r="H2935" t="inlineStr">
        <is>
          <t>CUT-R-AW-RHS-40.00X30.00X1.600X0.8350</t>
        </is>
      </c>
    </row>
    <row r="2936">
      <c r="A2936" t="inlineStr">
        <is>
          <t>0000188415</t>
        </is>
      </c>
      <c r="B2936" t="inlineStr">
        <is>
          <t>Rajsriya Automotive Industries(P)</t>
        </is>
      </c>
      <c r="C2936" t="inlineStr">
        <is>
          <t>NOS</t>
        </is>
      </c>
      <c r="D2936" t="n">
        <v>354.032</v>
      </c>
      <c r="E2936" t="n">
        <v>295.613</v>
      </c>
      <c r="F2936" t="n">
        <v>499.999</v>
      </c>
      <c r="G2936" t="n">
        <v>3712521</v>
      </c>
      <c r="H2936" t="inlineStr">
        <is>
          <t>CUT-R-AW-RHS-40.00X30.00X1.600X0.8350</t>
        </is>
      </c>
    </row>
    <row r="2937">
      <c r="A2937" t="inlineStr">
        <is>
          <t>0000188415</t>
        </is>
      </c>
      <c r="B2937" t="inlineStr">
        <is>
          <t>Rajsriya Automotive Industries(P)</t>
        </is>
      </c>
      <c r="C2937" t="inlineStr">
        <is>
          <t>NOS</t>
        </is>
      </c>
      <c r="D2937" t="n">
        <v>226.873</v>
      </c>
      <c r="E2937" t="n">
        <v>189.436</v>
      </c>
      <c r="F2937" t="n">
        <v>320.413</v>
      </c>
      <c r="G2937" t="n">
        <v>3712521</v>
      </c>
      <c r="H2937" t="inlineStr">
        <is>
          <t>CUT-R-AW-RHS-40.00X30.00X1.600X0.8350</t>
        </is>
      </c>
    </row>
    <row r="2938">
      <c r="A2938" t="inlineStr">
        <is>
          <t>0000188415</t>
        </is>
      </c>
      <c r="B2938" t="inlineStr">
        <is>
          <t>Rajsriya Automotive Industries(P)</t>
        </is>
      </c>
      <c r="C2938" t="inlineStr">
        <is>
          <t>NOS</t>
        </is>
      </c>
      <c r="D2938" t="n">
        <v>1563.256</v>
      </c>
      <c r="E2938" t="n">
        <v>1305.301</v>
      </c>
      <c r="F2938" t="n">
        <v>2207.786</v>
      </c>
      <c r="G2938" t="n">
        <v>3712521</v>
      </c>
      <c r="H2938" t="inlineStr">
        <is>
          <t>CUT-R-AW-RHS-40.00X30.00X1.600X0.8350</t>
        </is>
      </c>
    </row>
    <row r="2939">
      <c r="A2939" t="inlineStr">
        <is>
          <t>0000185254</t>
        </is>
      </c>
      <c r="B2939" t="inlineStr">
        <is>
          <t>LAXMI METAL PRESSING WORKS PVT LTD</t>
        </is>
      </c>
      <c r="C2939" t="inlineStr">
        <is>
          <t>NOS</t>
        </is>
      </c>
      <c r="D2939" t="n">
        <v>102.725</v>
      </c>
      <c r="E2939" t="n">
        <v>24.038</v>
      </c>
      <c r="F2939" t="n">
        <v>137.795</v>
      </c>
      <c r="G2939" t="n">
        <v>3746291</v>
      </c>
      <c r="H2939" t="inlineStr">
        <is>
          <t>CUT-O-N-AUT-BH-FC-63.50X4.000X0.2340</t>
        </is>
      </c>
    </row>
    <row r="2940">
      <c r="A2940" t="inlineStr">
        <is>
          <t>0000185254</t>
        </is>
      </c>
      <c r="B2940" t="inlineStr">
        <is>
          <t>LAXMI METAL PRESSING WORKS PVT LTD</t>
        </is>
      </c>
      <c r="C2940" t="inlineStr">
        <is>
          <t>NOS</t>
        </is>
      </c>
      <c r="D2940" t="n">
        <v>326.275</v>
      </c>
      <c r="E2940" t="n">
        <v>76.351</v>
      </c>
      <c r="F2940" t="n">
        <v>437.665</v>
      </c>
      <c r="G2940" t="n">
        <v>3746291</v>
      </c>
      <c r="H2940" t="inlineStr">
        <is>
          <t>CUT-O-N-AUT-BH-FC-63.50X4.000X0.2340</t>
        </is>
      </c>
    </row>
    <row r="2941">
      <c r="A2941" t="inlineStr">
        <is>
          <t>0000189226</t>
        </is>
      </c>
      <c r="B2941" t="inlineStr">
        <is>
          <t>Neel Metal Products Limited</t>
        </is>
      </c>
      <c r="C2941" t="inlineStr">
        <is>
          <t>NOS</t>
        </is>
      </c>
      <c r="D2941" t="n">
        <v>1836.907</v>
      </c>
      <c r="E2941" t="n">
        <v>385.323</v>
      </c>
      <c r="F2941" t="n">
        <v>1304.204</v>
      </c>
      <c r="G2941" t="n">
        <v>2417648</v>
      </c>
      <c r="H2941" t="inlineStr">
        <is>
          <t>TUB-O-N-AUT-AN-FC-42.70X3.500X0.2100</t>
        </is>
      </c>
    </row>
    <row r="2942">
      <c r="A2942" t="inlineStr">
        <is>
          <t>0000189226</t>
        </is>
      </c>
      <c r="B2942" t="inlineStr">
        <is>
          <t>Neel Metal Products Limited</t>
        </is>
      </c>
      <c r="C2942" t="inlineStr">
        <is>
          <t>NOS</t>
        </is>
      </c>
      <c r="D2942" t="n">
        <v>3009.496</v>
      </c>
      <c r="E2942" t="n">
        <v>631.294</v>
      </c>
      <c r="F2942" t="n">
        <v>2136.742</v>
      </c>
      <c r="G2942" t="n">
        <v>2417648</v>
      </c>
      <c r="H2942" t="inlineStr">
        <is>
          <t>TUB-O-N-AUT-AN-FC-42.70X3.500X0.2100</t>
        </is>
      </c>
    </row>
    <row r="2943">
      <c r="A2943" t="inlineStr">
        <is>
          <t>0000189226</t>
        </is>
      </c>
      <c r="B2943" t="inlineStr">
        <is>
          <t>Neel Metal Products Limited</t>
        </is>
      </c>
      <c r="C2943" t="inlineStr">
        <is>
          <t>NOS</t>
        </is>
      </c>
      <c r="D2943" t="n">
        <v>1653.597</v>
      </c>
      <c r="E2943" t="n">
        <v>346.871</v>
      </c>
      <c r="F2943" t="n">
        <v>1174.054</v>
      </c>
      <c r="G2943" t="n">
        <v>2417648</v>
      </c>
      <c r="H2943" t="inlineStr">
        <is>
          <t>TUB-O-N-AUT-AN-FC-42.70X3.500X0.2100</t>
        </is>
      </c>
    </row>
    <row r="2944">
      <c r="A2944" t="inlineStr">
        <is>
          <t>0000943209</t>
        </is>
      </c>
      <c r="B2944" t="inlineStr">
        <is>
          <t>MEGH STEELS PRIVATE LIMITED - TVS A</t>
        </is>
      </c>
      <c r="C2944" t="inlineStr">
        <is>
          <t>KG</t>
        </is>
      </c>
      <c r="D2944" t="n">
        <v>150</v>
      </c>
      <c r="E2944" t="n">
        <v>929.6799999999999</v>
      </c>
      <c r="F2944" t="n">
        <v>1174</v>
      </c>
      <c r="G2944" t="n">
        <v>3775569</v>
      </c>
      <c r="H2944" t="inlineStr">
        <is>
          <t>TUB-I-C-AUT-AD-FC-12.50X3.250X6.2000</t>
        </is>
      </c>
    </row>
    <row r="2945">
      <c r="A2945" t="inlineStr">
        <is>
          <t>0000943209</t>
        </is>
      </c>
      <c r="B2945" t="inlineStr">
        <is>
          <t>MEGH STEELS PRIVATE LIMITED - TVS A</t>
        </is>
      </c>
      <c r="C2945" t="inlineStr">
        <is>
          <t>KG</t>
        </is>
      </c>
      <c r="D2945" t="n">
        <v>34</v>
      </c>
      <c r="E2945" t="n">
        <v>210.643</v>
      </c>
      <c r="F2945" t="n">
        <v>266</v>
      </c>
      <c r="G2945" t="n">
        <v>3775569</v>
      </c>
      <c r="H2945" t="inlineStr">
        <is>
          <t>TUB-I-C-AUT-AD-FC-12.50X3.250X6.2000</t>
        </is>
      </c>
    </row>
    <row r="2946">
      <c r="A2946" t="inlineStr">
        <is>
          <t>0000184192</t>
        </is>
      </c>
      <c r="B2946" t="inlineStr">
        <is>
          <t>JBM AUTO LIMITED</t>
        </is>
      </c>
      <c r="C2946" t="inlineStr">
        <is>
          <t>NOS</t>
        </is>
      </c>
      <c r="D2946" t="n">
        <v>1188</v>
      </c>
      <c r="E2946" t="n">
        <v>643.471</v>
      </c>
      <c r="F2946" t="n">
        <v>1531.332</v>
      </c>
      <c r="G2946" t="n">
        <v>3191790</v>
      </c>
      <c r="H2946" t="inlineStr">
        <is>
          <t>TUB-S-AW-AUT-50.00X50.00X1.600X0.5420</t>
        </is>
      </c>
    </row>
    <row r="2947">
      <c r="A2947" t="inlineStr">
        <is>
          <t>0000184192</t>
        </is>
      </c>
      <c r="B2947" t="inlineStr">
        <is>
          <t>JBM AUTO LIMITED</t>
        </is>
      </c>
      <c r="C2947" t="inlineStr">
        <is>
          <t>NOS</t>
        </is>
      </c>
      <c r="D2947" t="n">
        <v>1100</v>
      </c>
      <c r="E2947" t="n">
        <v>595.806</v>
      </c>
      <c r="F2947" t="n">
        <v>1417.9</v>
      </c>
      <c r="G2947" t="n">
        <v>3191790</v>
      </c>
      <c r="H2947" t="inlineStr">
        <is>
          <t>TUB-S-AW-AUT-50.00X50.00X1.600X0.5420</t>
        </is>
      </c>
    </row>
    <row r="2948">
      <c r="A2948" t="inlineStr">
        <is>
          <t>0000184192</t>
        </is>
      </c>
      <c r="B2948" t="inlineStr">
        <is>
          <t>JBM AUTO LIMITED</t>
        </is>
      </c>
      <c r="C2948" t="inlineStr">
        <is>
          <t>NOS</t>
        </is>
      </c>
      <c r="D2948" t="n">
        <v>660</v>
      </c>
      <c r="E2948" t="n">
        <v>357.484</v>
      </c>
      <c r="F2948" t="n">
        <v>850.74</v>
      </c>
      <c r="G2948" t="n">
        <v>3191790</v>
      </c>
      <c r="H2948" t="inlineStr">
        <is>
          <t>TUB-S-AW-AUT-50.00X50.00X1.600X0.5420</t>
        </is>
      </c>
    </row>
    <row r="2949">
      <c r="A2949" t="inlineStr">
        <is>
          <t>0000184192</t>
        </is>
      </c>
      <c r="B2949" t="inlineStr">
        <is>
          <t>JBM AUTO LIMITED</t>
        </is>
      </c>
      <c r="C2949" t="inlineStr">
        <is>
          <t>NOS</t>
        </is>
      </c>
      <c r="D2949" t="n">
        <v>499</v>
      </c>
      <c r="E2949" t="n">
        <v>270.279</v>
      </c>
      <c r="F2949" t="n">
        <v>643.211</v>
      </c>
      <c r="G2949" t="n">
        <v>3191790</v>
      </c>
      <c r="H2949" t="inlineStr">
        <is>
          <t>TUB-S-AW-AUT-50.00X50.00X1.600X0.5420</t>
        </is>
      </c>
    </row>
    <row r="2950">
      <c r="A2950" t="inlineStr">
        <is>
          <t>0000188934</t>
        </is>
      </c>
      <c r="B2950" t="inlineStr">
        <is>
          <t>KAY JAY FORGINGS LIMITED</t>
        </is>
      </c>
      <c r="C2950" t="inlineStr">
        <is>
          <t>NOS</t>
        </is>
      </c>
      <c r="D2950" t="n">
        <v>27</v>
      </c>
      <c r="E2950" t="n">
        <v>10.155</v>
      </c>
      <c r="F2950" t="n">
        <v>28.053</v>
      </c>
      <c r="G2950" t="n">
        <v>2359912</v>
      </c>
      <c r="H2950" t="inlineStr">
        <is>
          <t>TUB-O-C-CEW-AD-FC-29.40X4.500X0.3760</t>
        </is>
      </c>
    </row>
    <row r="2951">
      <c r="A2951" t="inlineStr">
        <is>
          <t>0000188934</t>
        </is>
      </c>
      <c r="B2951" t="inlineStr">
        <is>
          <t>KAY JAY FORGINGS LIMITED</t>
        </is>
      </c>
      <c r="C2951" t="inlineStr">
        <is>
          <t>NOS</t>
        </is>
      </c>
      <c r="D2951" t="n">
        <v>4000</v>
      </c>
      <c r="E2951" t="n">
        <v>1427.992</v>
      </c>
      <c r="F2951" t="n">
        <v>4296.4</v>
      </c>
      <c r="G2951" t="n">
        <v>3909903</v>
      </c>
      <c r="H2951" t="inlineStr">
        <is>
          <t>CUT-O-C-AUT-AD-FC-29.40X4.500X0.3570</t>
        </is>
      </c>
    </row>
    <row r="2952">
      <c r="A2952" t="inlineStr">
        <is>
          <t>0000188647</t>
        </is>
      </c>
      <c r="B2952" t="inlineStr">
        <is>
          <t>Metalman Auto Private Limited</t>
        </is>
      </c>
      <c r="C2952" t="inlineStr">
        <is>
          <t>NOS</t>
        </is>
      </c>
      <c r="D2952" t="n">
        <v>2647.733</v>
      </c>
      <c r="E2952" t="n">
        <v>890.5650000000001</v>
      </c>
      <c r="F2952" t="n">
        <v>1249.73</v>
      </c>
      <c r="G2952" t="n">
        <v>2325421</v>
      </c>
      <c r="H2952" t="inlineStr">
        <is>
          <t>TUB-O-N-AUT-AW-FC-48.60X1.200X0.3360</t>
        </is>
      </c>
    </row>
    <row r="2953">
      <c r="A2953" t="inlineStr">
        <is>
          <t>0000188647</t>
        </is>
      </c>
      <c r="B2953" t="inlineStr">
        <is>
          <t>Metalman Auto Private Limited</t>
        </is>
      </c>
      <c r="C2953" t="inlineStr">
        <is>
          <t>NOS</t>
        </is>
      </c>
      <c r="D2953" t="n">
        <v>163.826</v>
      </c>
      <c r="E2953" t="n">
        <v>55.103</v>
      </c>
      <c r="F2953" t="n">
        <v>77.32599999999999</v>
      </c>
      <c r="G2953" t="n">
        <v>2325421</v>
      </c>
      <c r="H2953" t="inlineStr">
        <is>
          <t>TUB-O-N-AUT-AW-FC-48.60X1.200X0.3360</t>
        </is>
      </c>
    </row>
    <row r="2954">
      <c r="A2954" t="inlineStr">
        <is>
          <t>0000188647</t>
        </is>
      </c>
      <c r="B2954" t="inlineStr">
        <is>
          <t>Metalman Auto Private Limited</t>
        </is>
      </c>
      <c r="C2954" t="inlineStr">
        <is>
          <t>NOS</t>
        </is>
      </c>
      <c r="D2954" t="n">
        <v>406.441</v>
      </c>
      <c r="E2954" t="n">
        <v>136.706</v>
      </c>
      <c r="F2954" t="n">
        <v>191.84</v>
      </c>
      <c r="G2954" t="n">
        <v>2325421</v>
      </c>
      <c r="H2954" t="inlineStr">
        <is>
          <t>TUB-O-N-AUT-AW-FC-48.60X1.200X0.3360</t>
        </is>
      </c>
    </row>
    <row r="2955">
      <c r="A2955" t="inlineStr">
        <is>
          <t>0000188647</t>
        </is>
      </c>
      <c r="B2955" t="inlineStr">
        <is>
          <t>Metalman Auto Private Limited</t>
        </is>
      </c>
      <c r="C2955" t="inlineStr">
        <is>
          <t>NOS</t>
        </is>
      </c>
      <c r="D2955" t="n">
        <v>500</v>
      </c>
      <c r="E2955" t="n">
        <v>104.884</v>
      </c>
      <c r="F2955" t="n">
        <v>355</v>
      </c>
      <c r="G2955" t="n">
        <v>2417648</v>
      </c>
      <c r="H2955" t="inlineStr">
        <is>
          <t>TUB-O-N-AUT-AN-FC-42.70X3.500X0.2100</t>
        </is>
      </c>
    </row>
    <row r="2956">
      <c r="A2956" t="inlineStr">
        <is>
          <t>0000188415</t>
        </is>
      </c>
      <c r="B2956" t="inlineStr">
        <is>
          <t>Rajsriya Automotive Industries(P)</t>
        </is>
      </c>
      <c r="C2956" t="inlineStr">
        <is>
          <t>M</t>
        </is>
      </c>
      <c r="D2956" t="n">
        <v>188</v>
      </c>
      <c r="E2956" t="n">
        <v>1165.664</v>
      </c>
      <c r="F2956" t="n">
        <v>1472</v>
      </c>
      <c r="G2956" t="n">
        <v>3775569</v>
      </c>
      <c r="H2956" t="inlineStr">
        <is>
          <t>TUB-I-C-AUT-AD-FC-12.50X3.250X6.2000</t>
        </is>
      </c>
    </row>
    <row r="2957">
      <c r="A2957" t="inlineStr">
        <is>
          <t>0000188415</t>
        </is>
      </c>
      <c r="B2957" t="inlineStr">
        <is>
          <t>Rajsriya Automotive Industries(P)</t>
        </is>
      </c>
      <c r="C2957" t="inlineStr">
        <is>
          <t>M</t>
        </is>
      </c>
      <c r="D2957" t="n">
        <v>221</v>
      </c>
      <c r="E2957" t="n">
        <v>1369.971</v>
      </c>
      <c r="F2957" t="n">
        <v>1729.999</v>
      </c>
      <c r="G2957" t="n">
        <v>3775569</v>
      </c>
      <c r="H2957" t="inlineStr">
        <is>
          <t>TUB-I-C-AUT-AD-FC-12.50X3.250X6.2000</t>
        </is>
      </c>
    </row>
    <row r="2958">
      <c r="A2958" t="inlineStr">
        <is>
          <t>0000188415</t>
        </is>
      </c>
      <c r="B2958" t="inlineStr">
        <is>
          <t>Rajsriya Automotive Industries(P)</t>
        </is>
      </c>
      <c r="C2958" t="inlineStr">
        <is>
          <t>M</t>
        </is>
      </c>
      <c r="D2958" t="n">
        <v>225</v>
      </c>
      <c r="E2958" t="n">
        <v>1394.52</v>
      </c>
      <c r="F2958" t="n">
        <v>1761</v>
      </c>
      <c r="G2958" t="n">
        <v>3775569</v>
      </c>
      <c r="H2958" t="inlineStr">
        <is>
          <t>TUB-I-C-AUT-AD-FC-12.50X3.250X6.2000</t>
        </is>
      </c>
    </row>
    <row r="2959">
      <c r="A2959" t="inlineStr">
        <is>
          <t>0000188415</t>
        </is>
      </c>
      <c r="B2959" t="inlineStr">
        <is>
          <t>Rajsriya Automotive Industries(P)</t>
        </is>
      </c>
      <c r="C2959" t="inlineStr">
        <is>
          <t>M</t>
        </is>
      </c>
      <c r="D2959" t="n">
        <v>217</v>
      </c>
      <c r="E2959" t="n">
        <v>1344.845</v>
      </c>
      <c r="F2959" t="n">
        <v>1698.27</v>
      </c>
      <c r="G2959" t="n">
        <v>3775569</v>
      </c>
      <c r="H2959" t="inlineStr">
        <is>
          <t>TUB-I-C-AUT-AD-FC-12.50X3.250X6.2000</t>
        </is>
      </c>
    </row>
    <row r="2960">
      <c r="A2960" t="inlineStr">
        <is>
          <t>0000188647</t>
        </is>
      </c>
      <c r="B2960" t="inlineStr">
        <is>
          <t>Metalman Auto Private Limited</t>
        </is>
      </c>
      <c r="C2960" t="inlineStr">
        <is>
          <t>M</t>
        </is>
      </c>
      <c r="D2960" t="n">
        <v>216</v>
      </c>
      <c r="E2960" t="n">
        <v>1337.064</v>
      </c>
      <c r="F2960" t="n">
        <v>1925.64</v>
      </c>
      <c r="G2960" t="n">
        <v>3502254</v>
      </c>
      <c r="H2960" t="inlineStr">
        <is>
          <t>TUB-O-N-AUT-AW-FC-38.10X1.600X6.1900</t>
        </is>
      </c>
    </row>
    <row r="2961">
      <c r="A2961" t="inlineStr">
        <is>
          <t>0000188647</t>
        </is>
      </c>
      <c r="B2961" t="inlineStr">
        <is>
          <t>Metalman Auto Private Limited</t>
        </is>
      </c>
      <c r="C2961" t="inlineStr">
        <is>
          <t>M</t>
        </is>
      </c>
      <c r="D2961" t="n">
        <v>216</v>
      </c>
      <c r="E2961" t="n">
        <v>1337.064</v>
      </c>
      <c r="F2961" t="n">
        <v>1925.64</v>
      </c>
      <c r="G2961" t="n">
        <v>3502254</v>
      </c>
      <c r="H2961" t="inlineStr">
        <is>
          <t>TUB-O-N-AUT-AW-FC-38.10X1.600X6.1900</t>
        </is>
      </c>
    </row>
    <row r="2962">
      <c r="A2962" t="inlineStr">
        <is>
          <t>0000188647</t>
        </is>
      </c>
      <c r="B2962" t="inlineStr">
        <is>
          <t>Metalman Auto Private Limited</t>
        </is>
      </c>
      <c r="C2962" t="inlineStr">
        <is>
          <t>M</t>
        </is>
      </c>
      <c r="D2962" t="n">
        <v>217</v>
      </c>
      <c r="E2962" t="n">
        <v>1342.872</v>
      </c>
      <c r="F2962" t="n">
        <v>1934.004</v>
      </c>
      <c r="G2962" t="n">
        <v>3502254</v>
      </c>
      <c r="H2962" t="inlineStr">
        <is>
          <t>TUB-O-N-AUT-AW-FC-38.10X1.600X6.1900</t>
        </is>
      </c>
    </row>
    <row r="2963">
      <c r="A2963" t="inlineStr">
        <is>
          <t>0000189226</t>
        </is>
      </c>
      <c r="B2963" t="inlineStr">
        <is>
          <t>Neel Metal Products Limited</t>
        </is>
      </c>
      <c r="C2963" t="inlineStr">
        <is>
          <t>NOS</t>
        </is>
      </c>
      <c r="D2963" t="n">
        <v>88.25</v>
      </c>
      <c r="E2963" t="n">
        <v>20.827</v>
      </c>
      <c r="F2963" t="n">
        <v>119.385</v>
      </c>
      <c r="G2963" t="n">
        <v>3784473</v>
      </c>
      <c r="H2963" t="inlineStr">
        <is>
          <t>CUT-O-N-AUT-BH-FC-63.50X4.000X0.2360</t>
        </is>
      </c>
    </row>
    <row r="2964">
      <c r="A2964" t="inlineStr">
        <is>
          <t>0000189226</t>
        </is>
      </c>
      <c r="B2964" t="inlineStr">
        <is>
          <t>Neel Metal Products Limited</t>
        </is>
      </c>
      <c r="C2964" t="inlineStr">
        <is>
          <t>NOS</t>
        </is>
      </c>
      <c r="D2964" t="n">
        <v>60.574</v>
      </c>
      <c r="E2964" t="n">
        <v>14.295</v>
      </c>
      <c r="F2964" t="n">
        <v>81.94499999999999</v>
      </c>
      <c r="G2964" t="n">
        <v>3784473</v>
      </c>
      <c r="H2964" t="inlineStr">
        <is>
          <t>CUT-O-N-AUT-BH-FC-63.50X4.000X0.2360</t>
        </is>
      </c>
    </row>
    <row r="2965">
      <c r="A2965" t="inlineStr">
        <is>
          <t>0000189226</t>
        </is>
      </c>
      <c r="B2965" t="inlineStr">
        <is>
          <t>Neel Metal Products Limited</t>
        </is>
      </c>
      <c r="C2965" t="inlineStr">
        <is>
          <t>NOS</t>
        </is>
      </c>
      <c r="D2965" t="n">
        <v>1091.176</v>
      </c>
      <c r="E2965" t="n">
        <v>257.513</v>
      </c>
      <c r="F2965" t="n">
        <v>1476.143</v>
      </c>
      <c r="G2965" t="n">
        <v>3784473</v>
      </c>
      <c r="H2965" t="inlineStr">
        <is>
          <t>CUT-O-N-AUT-BH-FC-63.50X4.000X0.2360</t>
        </is>
      </c>
    </row>
    <row r="2966">
      <c r="A2966" t="inlineStr">
        <is>
          <t>0000945539</t>
        </is>
      </c>
      <c r="B2966" t="inlineStr">
        <is>
          <t>Sandhar EngineeringPvt.Ltd.(KA)-Uni</t>
        </is>
      </c>
      <c r="C2966" t="inlineStr">
        <is>
          <t>NOS</t>
        </is>
      </c>
      <c r="D2966" t="n">
        <v>1180</v>
      </c>
      <c r="E2966" t="n">
        <v>1002.967</v>
      </c>
      <c r="F2966" t="n">
        <v>2487.558</v>
      </c>
      <c r="G2966" t="n">
        <v>3910648</v>
      </c>
      <c r="H2966" t="inlineStr">
        <is>
          <t>CUT-O-N-AUT-AW-FC-41.28X2.600X0.8500</t>
        </is>
      </c>
    </row>
    <row r="2967">
      <c r="A2967" t="inlineStr">
        <is>
          <t>0000945539</t>
        </is>
      </c>
      <c r="B2967" t="inlineStr">
        <is>
          <t>Sandhar EngineeringPvt.Ltd.(KA)-Uni</t>
        </is>
      </c>
      <c r="C2967" t="inlineStr">
        <is>
          <t>NOS</t>
        </is>
      </c>
      <c r="D2967" t="n">
        <v>1180</v>
      </c>
      <c r="E2967" t="n">
        <v>1002.967</v>
      </c>
      <c r="F2967" t="n">
        <v>2487.558</v>
      </c>
      <c r="G2967" t="n">
        <v>3910648</v>
      </c>
      <c r="H2967" t="inlineStr">
        <is>
          <t>CUT-O-N-AUT-AW-FC-41.28X2.600X0.8500</t>
        </is>
      </c>
    </row>
    <row r="2968">
      <c r="A2968" t="inlineStr">
        <is>
          <t>0000945539</t>
        </is>
      </c>
      <c r="B2968" t="inlineStr">
        <is>
          <t>Sandhar EngineeringPvt.Ltd.(KA)-Uni</t>
        </is>
      </c>
      <c r="C2968" t="inlineStr">
        <is>
          <t>NOS</t>
        </is>
      </c>
      <c r="D2968" t="n">
        <v>1180</v>
      </c>
      <c r="E2968" t="n">
        <v>1002.967</v>
      </c>
      <c r="F2968" t="n">
        <v>2487.558</v>
      </c>
      <c r="G2968" t="n">
        <v>3910648</v>
      </c>
      <c r="H2968" t="inlineStr">
        <is>
          <t>CUT-O-N-AUT-AW-FC-41.28X2.600X0.8500</t>
        </is>
      </c>
    </row>
    <row r="2969">
      <c r="A2969" t="inlineStr">
        <is>
          <t>0000945539</t>
        </is>
      </c>
      <c r="B2969" t="inlineStr">
        <is>
          <t>Sandhar EngineeringPvt.Ltd.(KA)-Uni</t>
        </is>
      </c>
      <c r="C2969" t="inlineStr">
        <is>
          <t>NOS</t>
        </is>
      </c>
      <c r="D2969" t="n">
        <v>1170</v>
      </c>
      <c r="E2969" t="n">
        <v>994.467</v>
      </c>
      <c r="F2969" t="n">
        <v>2466.477</v>
      </c>
      <c r="G2969" t="n">
        <v>3910648</v>
      </c>
      <c r="H2969" t="inlineStr">
        <is>
          <t>CUT-O-N-AUT-AW-FC-41.28X2.600X0.8500</t>
        </is>
      </c>
    </row>
    <row r="2970">
      <c r="A2970" t="inlineStr">
        <is>
          <t>0000945539</t>
        </is>
      </c>
      <c r="B2970" t="inlineStr">
        <is>
          <t>Sandhar EngineeringPvt.Ltd.(KA)-Uni</t>
        </is>
      </c>
      <c r="C2970" t="inlineStr">
        <is>
          <t>NOS</t>
        </is>
      </c>
      <c r="D2970" t="n">
        <v>910</v>
      </c>
      <c r="E2970" t="n">
        <v>773.474</v>
      </c>
      <c r="F2970" t="n">
        <v>1918.371</v>
      </c>
      <c r="G2970" t="n">
        <v>3910648</v>
      </c>
      <c r="H2970" t="inlineStr">
        <is>
          <t>CUT-O-N-AUT-AW-FC-41.28X2.600X0.8500</t>
        </is>
      </c>
    </row>
    <row r="2971">
      <c r="A2971" t="inlineStr">
        <is>
          <t>0000945539</t>
        </is>
      </c>
      <c r="B2971" t="inlineStr">
        <is>
          <t>Sandhar EngineeringPvt.Ltd.(KA)-Uni</t>
        </is>
      </c>
      <c r="C2971" t="inlineStr">
        <is>
          <t>NOS</t>
        </is>
      </c>
      <c r="D2971" t="n">
        <v>20</v>
      </c>
      <c r="E2971" t="n">
        <v>16.999</v>
      </c>
      <c r="F2971" t="n">
        <v>42.162</v>
      </c>
      <c r="G2971" t="n">
        <v>3910648</v>
      </c>
      <c r="H2971" t="inlineStr">
        <is>
          <t>CUT-O-N-AUT-AW-FC-41.28X2.600X0.8500</t>
        </is>
      </c>
    </row>
    <row r="2972">
      <c r="A2972" t="inlineStr">
        <is>
          <t>0000185254</t>
        </is>
      </c>
      <c r="B2972" t="inlineStr">
        <is>
          <t>LAXMI METAL PRESSING WORKS PVT LTD</t>
        </is>
      </c>
      <c r="C2972" t="inlineStr">
        <is>
          <t>NOS</t>
        </is>
      </c>
      <c r="D2972" t="n">
        <v>560</v>
      </c>
      <c r="E2972" t="n">
        <v>131.044</v>
      </c>
      <c r="F2972" t="n">
        <v>751.184</v>
      </c>
      <c r="G2972" t="n">
        <v>3746291</v>
      </c>
      <c r="H2972" t="inlineStr">
        <is>
          <t>CUT-O-N-AUT-BH-FC-63.50X4.000X0.2340</t>
        </is>
      </c>
    </row>
    <row r="2973">
      <c r="A2973" t="inlineStr">
        <is>
          <t>0000188356</t>
        </is>
      </c>
      <c r="B2973" t="inlineStr">
        <is>
          <t>Thai Summit Autoparts India Pvt Ltd</t>
        </is>
      </c>
      <c r="C2973" t="inlineStr">
        <is>
          <t>NOS</t>
        </is>
      </c>
      <c r="D2973" t="n">
        <v>1839.762</v>
      </c>
      <c r="E2973" t="n">
        <v>586.966</v>
      </c>
      <c r="F2973" t="n">
        <v>1617.151</v>
      </c>
      <c r="G2973" t="n">
        <v>1939479</v>
      </c>
      <c r="H2973" t="inlineStr">
        <is>
          <t>TUB-O-C-CEW-AD-FC-38.10X3.200X0.3190</t>
        </is>
      </c>
    </row>
    <row r="2974">
      <c r="A2974" t="inlineStr">
        <is>
          <t>0000188356</t>
        </is>
      </c>
      <c r="B2974" t="inlineStr">
        <is>
          <t>Thai Summit Autoparts India Pvt Ltd</t>
        </is>
      </c>
      <c r="C2974" t="inlineStr">
        <is>
          <t>NOS</t>
        </is>
      </c>
      <c r="D2974" t="n">
        <v>1174.258</v>
      </c>
      <c r="E2974" t="n">
        <v>374.641</v>
      </c>
      <c r="F2974" t="n">
        <v>1032.173</v>
      </c>
      <c r="G2974" t="n">
        <v>1939479</v>
      </c>
      <c r="H2974" t="inlineStr">
        <is>
          <t>TUB-O-C-CEW-AD-FC-38.10X3.200X0.3190</t>
        </is>
      </c>
    </row>
    <row r="2975">
      <c r="A2975" t="inlineStr">
        <is>
          <t>0000188356</t>
        </is>
      </c>
      <c r="B2975" t="inlineStr">
        <is>
          <t>Thai Summit Autoparts India Pvt Ltd</t>
        </is>
      </c>
      <c r="C2975" t="inlineStr">
        <is>
          <t>NOS</t>
        </is>
      </c>
      <c r="D2975" t="n">
        <v>485.98</v>
      </c>
      <c r="E2975" t="n">
        <v>155.049</v>
      </c>
      <c r="F2975" t="n">
        <v>427.176</v>
      </c>
      <c r="G2975" t="n">
        <v>1939479</v>
      </c>
      <c r="H2975" t="inlineStr">
        <is>
          <t>TUB-O-C-CEW-AD-FC-38.10X3.200X0.3190</t>
        </is>
      </c>
    </row>
    <row r="2976">
      <c r="A2976" t="inlineStr">
        <is>
          <t>0000188356</t>
        </is>
      </c>
      <c r="B2976" t="inlineStr">
        <is>
          <t>Thai Summit Autoparts India Pvt Ltd</t>
        </is>
      </c>
      <c r="C2976" t="inlineStr">
        <is>
          <t>NOS</t>
        </is>
      </c>
      <c r="D2976" t="n">
        <v>1833.372</v>
      </c>
      <c r="E2976" t="n">
        <v>396.009</v>
      </c>
      <c r="F2976" t="n">
        <v>1704.384</v>
      </c>
      <c r="G2976" t="n">
        <v>4186550</v>
      </c>
      <c r="H2976" t="inlineStr">
        <is>
          <t>CUT-O-C-AUT-BH-FC-47.63X4.000X0.2160</t>
        </is>
      </c>
    </row>
    <row r="2977">
      <c r="A2977" t="inlineStr">
        <is>
          <t>0000188356</t>
        </is>
      </c>
      <c r="B2977" t="inlineStr">
        <is>
          <t>Thai Summit Autoparts India Pvt Ltd</t>
        </is>
      </c>
      <c r="C2977" t="inlineStr">
        <is>
          <t>NOS</t>
        </is>
      </c>
      <c r="D2977" t="n">
        <v>2166.628</v>
      </c>
      <c r="E2977" t="n">
        <v>467.993</v>
      </c>
      <c r="F2977" t="n">
        <v>2014.194</v>
      </c>
      <c r="G2977" t="n">
        <v>4186550</v>
      </c>
      <c r="H2977" t="inlineStr">
        <is>
          <t>CUT-O-C-AUT-BH-FC-47.63X4.000X0.2160</t>
        </is>
      </c>
    </row>
    <row r="2978">
      <c r="A2978" t="inlineStr">
        <is>
          <t>0000187546</t>
        </is>
      </c>
      <c r="B2978" t="inlineStr">
        <is>
          <t>Narasipur Auto Component(P)Ltd</t>
        </is>
      </c>
      <c r="C2978" t="inlineStr">
        <is>
          <t>KG</t>
        </is>
      </c>
      <c r="D2978" t="n">
        <v>25</v>
      </c>
      <c r="E2978" t="n">
        <v>137.783</v>
      </c>
      <c r="F2978" t="n">
        <v>260.548</v>
      </c>
      <c r="G2978" t="n">
        <v>3770392</v>
      </c>
      <c r="H2978" t="inlineStr">
        <is>
          <t>TUB-O-C-AUT-AD-FC-25.40X3.500X5.6000</t>
        </is>
      </c>
    </row>
    <row r="2979">
      <c r="A2979" t="inlineStr">
        <is>
          <t>0000187546</t>
        </is>
      </c>
      <c r="B2979" t="inlineStr">
        <is>
          <t>Narasipur Auto Component(P)Ltd</t>
        </is>
      </c>
      <c r="C2979" t="inlineStr">
        <is>
          <t>KG</t>
        </is>
      </c>
      <c r="D2979" t="n">
        <v>47</v>
      </c>
      <c r="E2979" t="n">
        <v>264.939</v>
      </c>
      <c r="F2979" t="n">
        <v>501</v>
      </c>
      <c r="G2979" t="n">
        <v>3770392</v>
      </c>
      <c r="H2979" t="inlineStr">
        <is>
          <t>TUB-O-C-AUT-AD-FC-25.40X3.500X5.6000</t>
        </is>
      </c>
    </row>
    <row r="2980">
      <c r="A2980" t="inlineStr">
        <is>
          <t>0000187546</t>
        </is>
      </c>
      <c r="B2980" t="inlineStr">
        <is>
          <t>Narasipur Auto Component(P)Ltd</t>
        </is>
      </c>
      <c r="C2980" t="inlineStr">
        <is>
          <t>KG</t>
        </is>
      </c>
      <c r="D2980" t="n">
        <v>47</v>
      </c>
      <c r="E2980" t="n">
        <v>262.824</v>
      </c>
      <c r="F2980" t="n">
        <v>497</v>
      </c>
      <c r="G2980" t="n">
        <v>3770392</v>
      </c>
      <c r="H2980" t="inlineStr">
        <is>
          <t>TUB-O-C-AUT-AD-FC-25.40X3.500X5.6000</t>
        </is>
      </c>
    </row>
    <row r="2981">
      <c r="A2981" t="inlineStr">
        <is>
          <t>0000187546</t>
        </is>
      </c>
      <c r="B2981" t="inlineStr">
        <is>
          <t>Narasipur Auto Component(P)Ltd</t>
        </is>
      </c>
      <c r="C2981" t="inlineStr">
        <is>
          <t>KG</t>
        </is>
      </c>
      <c r="D2981" t="n">
        <v>19</v>
      </c>
      <c r="E2981" t="n">
        <v>107.879</v>
      </c>
      <c r="F2981" t="n">
        <v>204</v>
      </c>
      <c r="G2981" t="n">
        <v>3770392</v>
      </c>
      <c r="H2981" t="inlineStr">
        <is>
          <t>TUB-O-C-AUT-AD-FC-25.40X3.500X5.6000</t>
        </is>
      </c>
    </row>
    <row r="2982">
      <c r="A2982" t="inlineStr">
        <is>
          <t>0000187546</t>
        </is>
      </c>
      <c r="B2982" t="inlineStr">
        <is>
          <t>Narasipur Auto Component(P)Ltd</t>
        </is>
      </c>
      <c r="C2982" t="inlineStr">
        <is>
          <t>KG</t>
        </is>
      </c>
      <c r="D2982" t="n">
        <v>71</v>
      </c>
      <c r="E2982" t="n">
        <v>397.673</v>
      </c>
      <c r="F2982" t="n">
        <v>752</v>
      </c>
      <c r="G2982" t="n">
        <v>3770392</v>
      </c>
      <c r="H2982" t="inlineStr">
        <is>
          <t>TUB-O-C-AUT-AD-FC-25.40X3.500X5.6000</t>
        </is>
      </c>
    </row>
    <row r="2983">
      <c r="A2983" t="inlineStr">
        <is>
          <t>0000187546</t>
        </is>
      </c>
      <c r="B2983" t="inlineStr">
        <is>
          <t>Narasipur Auto Component(P)Ltd</t>
        </is>
      </c>
      <c r="C2983" t="inlineStr">
        <is>
          <t>KG</t>
        </is>
      </c>
      <c r="D2983" t="n">
        <v>55</v>
      </c>
      <c r="E2983" t="n">
        <v>307.774</v>
      </c>
      <c r="F2983" t="n">
        <v>582</v>
      </c>
      <c r="G2983" t="n">
        <v>3770392</v>
      </c>
      <c r="H2983" t="inlineStr">
        <is>
          <t>TUB-O-C-AUT-AD-FC-25.40X3.500X5.6000</t>
        </is>
      </c>
    </row>
    <row r="2984">
      <c r="A2984" t="inlineStr">
        <is>
          <t>0000187546</t>
        </is>
      </c>
      <c r="B2984" t="inlineStr">
        <is>
          <t>Narasipur Auto Component(P)Ltd</t>
        </is>
      </c>
      <c r="C2984" t="inlineStr">
        <is>
          <t>KG</t>
        </is>
      </c>
      <c r="D2984" t="n">
        <v>138</v>
      </c>
      <c r="E2984" t="n">
        <v>774.194</v>
      </c>
      <c r="F2984" t="n">
        <v>1464</v>
      </c>
      <c r="G2984" t="n">
        <v>3770392</v>
      </c>
      <c r="H2984" t="inlineStr">
        <is>
          <t>TUB-O-C-AUT-AD-FC-25.40X3.500X5.6000</t>
        </is>
      </c>
    </row>
    <row r="2985">
      <c r="A2985" t="inlineStr">
        <is>
          <t>0000187546</t>
        </is>
      </c>
      <c r="B2985" t="inlineStr">
        <is>
          <t>Narasipur Auto Component(P)Ltd</t>
        </is>
      </c>
      <c r="C2985" t="inlineStr">
        <is>
          <t>KG</t>
        </is>
      </c>
      <c r="D2985" t="n">
        <v>125</v>
      </c>
      <c r="E2985" t="n">
        <v>701.745</v>
      </c>
      <c r="F2985" t="n">
        <v>1327</v>
      </c>
      <c r="G2985" t="n">
        <v>3770392</v>
      </c>
      <c r="H2985" t="inlineStr">
        <is>
          <t>TUB-O-C-AUT-AD-FC-25.40X3.500X5.6000</t>
        </is>
      </c>
    </row>
    <row r="2986">
      <c r="A2986" t="inlineStr">
        <is>
          <t>0000187546</t>
        </is>
      </c>
      <c r="B2986" t="inlineStr">
        <is>
          <t>Narasipur Auto Component(P)Ltd</t>
        </is>
      </c>
      <c r="C2986" t="inlineStr">
        <is>
          <t>KG</t>
        </is>
      </c>
      <c r="D2986" t="n">
        <v>139</v>
      </c>
      <c r="E2986" t="n">
        <v>780.011</v>
      </c>
      <c r="F2986" t="n">
        <v>1475</v>
      </c>
      <c r="G2986" t="n">
        <v>3770392</v>
      </c>
      <c r="H2986" t="inlineStr">
        <is>
          <t>TUB-O-C-AUT-AD-FC-25.40X3.500X5.6000</t>
        </is>
      </c>
    </row>
    <row r="2987">
      <c r="A2987" t="inlineStr">
        <is>
          <t>0000187546</t>
        </is>
      </c>
      <c r="B2987" t="inlineStr">
        <is>
          <t>Narasipur Auto Component(P)Ltd</t>
        </is>
      </c>
      <c r="C2987" t="inlineStr">
        <is>
          <t>KG</t>
        </is>
      </c>
      <c r="D2987" t="n">
        <v>157</v>
      </c>
      <c r="E2987" t="n">
        <v>880.487</v>
      </c>
      <c r="F2987" t="n">
        <v>1665</v>
      </c>
      <c r="G2987" t="n">
        <v>3770392</v>
      </c>
      <c r="H2987" t="inlineStr">
        <is>
          <t>TUB-O-C-AUT-AD-FC-25.40X3.500X5.6000</t>
        </is>
      </c>
    </row>
    <row r="2988">
      <c r="A2988" t="inlineStr">
        <is>
          <t>0000187546</t>
        </is>
      </c>
      <c r="B2988" t="inlineStr">
        <is>
          <t>Narasipur Auto Component(P)Ltd</t>
        </is>
      </c>
      <c r="C2988" t="inlineStr">
        <is>
          <t>KG</t>
        </is>
      </c>
      <c r="D2988" t="n">
        <v>151</v>
      </c>
      <c r="E2988" t="n">
        <v>847.7</v>
      </c>
      <c r="F2988" t="n">
        <v>1603</v>
      </c>
      <c r="G2988" t="n">
        <v>3770392</v>
      </c>
      <c r="H2988" t="inlineStr">
        <is>
          <t>TUB-O-C-AUT-AD-FC-25.40X3.500X5.6000</t>
        </is>
      </c>
    </row>
    <row r="2989">
      <c r="A2989" t="inlineStr">
        <is>
          <t>0000187546</t>
        </is>
      </c>
      <c r="B2989" t="inlineStr">
        <is>
          <t>Narasipur Auto Component(P)Ltd</t>
        </is>
      </c>
      <c r="C2989" t="inlineStr">
        <is>
          <t>KG</t>
        </is>
      </c>
      <c r="D2989" t="n">
        <v>139</v>
      </c>
      <c r="E2989" t="n">
        <v>780.539</v>
      </c>
      <c r="F2989" t="n">
        <v>1476</v>
      </c>
      <c r="G2989" t="n">
        <v>3770392</v>
      </c>
      <c r="H2989" t="inlineStr">
        <is>
          <t>TUB-O-C-AUT-AD-FC-25.40X3.500X5.6000</t>
        </is>
      </c>
    </row>
    <row r="2990">
      <c r="A2990" t="inlineStr">
        <is>
          <t>0000187546</t>
        </is>
      </c>
      <c r="B2990" t="inlineStr">
        <is>
          <t>Narasipur Auto Component(P)Ltd</t>
        </is>
      </c>
      <c r="C2990" t="inlineStr">
        <is>
          <t>KG</t>
        </is>
      </c>
      <c r="D2990" t="n">
        <v>108</v>
      </c>
      <c r="E2990" t="n">
        <v>604.681</v>
      </c>
      <c r="F2990" t="n">
        <v>1143.452</v>
      </c>
      <c r="G2990" t="n">
        <v>3770392</v>
      </c>
      <c r="H2990" t="inlineStr">
        <is>
          <t>TUB-O-C-AUT-AD-FC-25.40X3.500X5.6000</t>
        </is>
      </c>
    </row>
    <row r="2991">
      <c r="A2991" t="inlineStr">
        <is>
          <t>0000189226</t>
        </is>
      </c>
      <c r="B2991" t="inlineStr">
        <is>
          <t>Neel Metal Products Limited</t>
        </is>
      </c>
      <c r="C2991" t="inlineStr">
        <is>
          <t>NOS</t>
        </is>
      </c>
      <c r="D2991" t="n">
        <v>230.465</v>
      </c>
      <c r="E2991" t="n">
        <v>48.344</v>
      </c>
      <c r="F2991" t="n">
        <v>163.63</v>
      </c>
      <c r="G2991" t="n">
        <v>2417648</v>
      </c>
      <c r="H2991" t="inlineStr">
        <is>
          <t>TUB-O-N-AUT-AN-FC-42.70X3.500X0.2100</t>
        </is>
      </c>
    </row>
    <row r="2992">
      <c r="A2992" t="inlineStr">
        <is>
          <t>0000189226</t>
        </is>
      </c>
      <c r="B2992" t="inlineStr">
        <is>
          <t>Neel Metal Products Limited</t>
        </is>
      </c>
      <c r="C2992" t="inlineStr">
        <is>
          <t>NOS</t>
        </is>
      </c>
      <c r="D2992" t="n">
        <v>313.48</v>
      </c>
      <c r="E2992" t="n">
        <v>65.758</v>
      </c>
      <c r="F2992" t="n">
        <v>222.571</v>
      </c>
      <c r="G2992" t="n">
        <v>2417648</v>
      </c>
      <c r="H2992" t="inlineStr">
        <is>
          <t>TUB-O-N-AUT-AN-FC-42.70X3.500X0.2100</t>
        </is>
      </c>
    </row>
    <row r="2993">
      <c r="A2993" t="inlineStr">
        <is>
          <t>0000189226</t>
        </is>
      </c>
      <c r="B2993" t="inlineStr">
        <is>
          <t>Neel Metal Products Limited</t>
        </is>
      </c>
      <c r="C2993" t="inlineStr">
        <is>
          <t>NOS</t>
        </is>
      </c>
      <c r="D2993" t="n">
        <v>826.946</v>
      </c>
      <c r="E2993" t="n">
        <v>173.466</v>
      </c>
      <c r="F2993" t="n">
        <v>587.1319999999999</v>
      </c>
      <c r="G2993" t="n">
        <v>2417648</v>
      </c>
      <c r="H2993" t="inlineStr">
        <is>
          <t>TUB-O-N-AUT-AN-FC-42.70X3.500X0.2100</t>
        </is>
      </c>
    </row>
    <row r="2994">
      <c r="A2994" t="inlineStr">
        <is>
          <t>0000189226</t>
        </is>
      </c>
      <c r="B2994" t="inlineStr">
        <is>
          <t>Neel Metal Products Limited</t>
        </is>
      </c>
      <c r="C2994" t="inlineStr">
        <is>
          <t>NOS</t>
        </is>
      </c>
      <c r="D2994" t="n">
        <v>68.81999999999999</v>
      </c>
      <c r="E2994" t="n">
        <v>14.436</v>
      </c>
      <c r="F2994" t="n">
        <v>48.862</v>
      </c>
      <c r="G2994" t="n">
        <v>2417648</v>
      </c>
      <c r="H2994" t="inlineStr">
        <is>
          <t>TUB-O-N-AUT-AN-FC-42.70X3.500X0.2100</t>
        </is>
      </c>
    </row>
    <row r="2995">
      <c r="A2995" t="inlineStr">
        <is>
          <t>0000189226</t>
        </is>
      </c>
      <c r="B2995" t="inlineStr">
        <is>
          <t>Neel Metal Products Limited</t>
        </is>
      </c>
      <c r="C2995" t="inlineStr">
        <is>
          <t>NOS</t>
        </is>
      </c>
      <c r="D2995" t="n">
        <v>2897.776</v>
      </c>
      <c r="E2995" t="n">
        <v>607.859</v>
      </c>
      <c r="F2995" t="n">
        <v>2057.421</v>
      </c>
      <c r="G2995" t="n">
        <v>2417648</v>
      </c>
      <c r="H2995" t="inlineStr">
        <is>
          <t>TUB-O-N-AUT-AN-FC-42.70X3.500X0.2100</t>
        </is>
      </c>
    </row>
    <row r="2996">
      <c r="A2996" t="inlineStr">
        <is>
          <t>0000189226</t>
        </is>
      </c>
      <c r="B2996" t="inlineStr">
        <is>
          <t>Neel Metal Products Limited</t>
        </is>
      </c>
      <c r="C2996" t="inlineStr">
        <is>
          <t>NOS</t>
        </is>
      </c>
      <c r="D2996" t="n">
        <v>1292.513</v>
      </c>
      <c r="E2996" t="n">
        <v>271.127</v>
      </c>
      <c r="F2996" t="n">
        <v>917.684</v>
      </c>
      <c r="G2996" t="n">
        <v>2417648</v>
      </c>
      <c r="H2996" t="inlineStr">
        <is>
          <t>TUB-O-N-AUT-AN-FC-42.70X3.500X0.2100</t>
        </is>
      </c>
    </row>
    <row r="2997">
      <c r="A2997" t="inlineStr">
        <is>
          <t>0000183569</t>
        </is>
      </c>
      <c r="B2997" t="inlineStr">
        <is>
          <t>TUBE INVESTMENTS OF INDIA LIMITED</t>
        </is>
      </c>
      <c r="C2997" t="inlineStr">
        <is>
          <t>M</t>
        </is>
      </c>
      <c r="D2997" t="n">
        <v>161</v>
      </c>
      <c r="E2997" t="n">
        <v>886</v>
      </c>
      <c r="F2997" t="n">
        <v>1725.839</v>
      </c>
      <c r="G2997" t="n">
        <v>3770405</v>
      </c>
      <c r="H2997" t="inlineStr">
        <is>
          <t>TUB-O-C-AUT-AD-FC-67.00X1.20X5.500-HDPE</t>
        </is>
      </c>
    </row>
    <row r="2998">
      <c r="A2998" t="inlineStr">
        <is>
          <t>0000183569</t>
        </is>
      </c>
      <c r="B2998" t="inlineStr">
        <is>
          <t>TUBE INVESTMENTS OF INDIA LIMITED</t>
        </is>
      </c>
      <c r="C2998" t="inlineStr">
        <is>
          <t>M</t>
        </is>
      </c>
      <c r="D2998" t="n">
        <v>153</v>
      </c>
      <c r="E2998" t="n">
        <v>842</v>
      </c>
      <c r="F2998" t="n">
        <v>1640.132</v>
      </c>
      <c r="G2998" t="n">
        <v>3770405</v>
      </c>
      <c r="H2998" t="inlineStr">
        <is>
          <t>TUB-O-C-AUT-AD-FC-67.00X1.20X5.500-HDPE</t>
        </is>
      </c>
    </row>
    <row r="2999">
      <c r="A2999" t="inlineStr">
        <is>
          <t>0000183569</t>
        </is>
      </c>
      <c r="B2999" t="inlineStr">
        <is>
          <t>TUBE INVESTMENTS OF INDIA LIMITED</t>
        </is>
      </c>
      <c r="C2999" t="inlineStr">
        <is>
          <t>M</t>
        </is>
      </c>
      <c r="D2999" t="n">
        <v>140</v>
      </c>
      <c r="E2999" t="n">
        <v>769</v>
      </c>
      <c r="F2999" t="n">
        <v>1497.935</v>
      </c>
      <c r="G2999" t="n">
        <v>3770405</v>
      </c>
      <c r="H2999" t="inlineStr">
        <is>
          <t>TUB-O-C-AUT-AD-FC-67.00X1.20X5.500-HDPE</t>
        </is>
      </c>
    </row>
    <row r="3000">
      <c r="A3000" t="inlineStr">
        <is>
          <t>0000189002</t>
        </is>
      </c>
      <c r="B3000" t="inlineStr">
        <is>
          <t>Marathwada Auto Compo Pvt. Ltd.</t>
        </is>
      </c>
      <c r="C3000" t="inlineStr">
        <is>
          <t>NOS</t>
        </is>
      </c>
      <c r="D3000" t="n">
        <v>1000</v>
      </c>
      <c r="E3000" t="n">
        <v>484.97</v>
      </c>
      <c r="F3000" t="n">
        <v>747</v>
      </c>
      <c r="G3000" t="n">
        <v>2359755</v>
      </c>
      <c r="H3000" t="inlineStr">
        <is>
          <t>TUB-O-C-AUT-AD-FC-30.00X2.250X0.4850</t>
        </is>
      </c>
    </row>
    <row r="3001">
      <c r="A3001" t="inlineStr">
        <is>
          <t>0000189226</t>
        </is>
      </c>
      <c r="B3001" t="inlineStr">
        <is>
          <t>Neel Metal Products Limited</t>
        </is>
      </c>
      <c r="C3001" t="inlineStr">
        <is>
          <t>NOS</t>
        </is>
      </c>
      <c r="D3001" t="n">
        <v>2800</v>
      </c>
      <c r="E3001" t="n">
        <v>1190.221</v>
      </c>
      <c r="F3001" t="n">
        <v>2069.2</v>
      </c>
      <c r="G3001" t="n">
        <v>1940738</v>
      </c>
      <c r="H3001" t="inlineStr">
        <is>
          <t>TUB-O-O-AUT-AW-FC-38.10X2.000X0.4250</t>
        </is>
      </c>
    </row>
    <row r="3002">
      <c r="A3002" t="inlineStr">
        <is>
          <t>0000189226</t>
        </is>
      </c>
      <c r="B3002" t="inlineStr">
        <is>
          <t>Neel Metal Products Limited</t>
        </is>
      </c>
      <c r="C3002" t="inlineStr">
        <is>
          <t>NOS</t>
        </is>
      </c>
      <c r="D3002" t="n">
        <v>2800</v>
      </c>
      <c r="E3002" t="n">
        <v>1190.221</v>
      </c>
      <c r="F3002" t="n">
        <v>2069.2</v>
      </c>
      <c r="G3002" t="n">
        <v>1940738</v>
      </c>
      <c r="H3002" t="inlineStr">
        <is>
          <t>TUB-O-O-AUT-AW-FC-38.10X2.000X0.4250</t>
        </is>
      </c>
    </row>
    <row r="3003">
      <c r="A3003" t="inlineStr">
        <is>
          <t>0000189226</t>
        </is>
      </c>
      <c r="B3003" t="inlineStr">
        <is>
          <t>Neel Metal Products Limited</t>
        </is>
      </c>
      <c r="C3003" t="inlineStr">
        <is>
          <t>NOS</t>
        </is>
      </c>
      <c r="D3003" t="n">
        <v>400</v>
      </c>
      <c r="E3003" t="n">
        <v>170.032</v>
      </c>
      <c r="F3003" t="n">
        <v>295.6</v>
      </c>
      <c r="G3003" t="n">
        <v>1940738</v>
      </c>
      <c r="H3003" t="inlineStr">
        <is>
          <t>TUB-O-O-AUT-AW-FC-38.10X2.000X0.4250</t>
        </is>
      </c>
    </row>
    <row r="3004">
      <c r="A3004" t="inlineStr">
        <is>
          <t>0000189226</t>
        </is>
      </c>
      <c r="B3004" t="inlineStr">
        <is>
          <t>Neel Metal Products Limited</t>
        </is>
      </c>
      <c r="C3004" t="inlineStr">
        <is>
          <t>NOS</t>
        </is>
      </c>
      <c r="D3004" t="n">
        <v>300</v>
      </c>
      <c r="E3004" t="n">
        <v>127.524</v>
      </c>
      <c r="F3004" t="n">
        <v>221.7</v>
      </c>
      <c r="G3004" t="n">
        <v>1940738</v>
      </c>
      <c r="H3004" t="inlineStr">
        <is>
          <t>TUB-O-O-AUT-AW-FC-38.10X2.000X0.4250</t>
        </is>
      </c>
    </row>
    <row r="3005">
      <c r="A3005" t="inlineStr">
        <is>
          <t>0000189226</t>
        </is>
      </c>
      <c r="B3005" t="inlineStr">
        <is>
          <t>Neel Metal Products Limited</t>
        </is>
      </c>
      <c r="C3005" t="inlineStr">
        <is>
          <t>NOS</t>
        </is>
      </c>
      <c r="D3005" t="n">
        <v>700</v>
      </c>
      <c r="E3005" t="n">
        <v>297.555</v>
      </c>
      <c r="F3005" t="n">
        <v>517.3</v>
      </c>
      <c r="G3005" t="n">
        <v>1940738</v>
      </c>
      <c r="H3005" t="inlineStr">
        <is>
          <t>TUB-O-O-AUT-AW-FC-38.10X2.000X0.4250</t>
        </is>
      </c>
    </row>
    <row r="3006">
      <c r="A3006" t="inlineStr">
        <is>
          <t>0000187546</t>
        </is>
      </c>
      <c r="B3006" t="inlineStr">
        <is>
          <t>Narasipur Auto Component(P)Ltd</t>
        </is>
      </c>
      <c r="C3006" t="inlineStr">
        <is>
          <t>KG</t>
        </is>
      </c>
      <c r="D3006" t="n">
        <v>72</v>
      </c>
      <c r="E3006" t="n">
        <v>405.352</v>
      </c>
      <c r="F3006" t="n">
        <v>766.52</v>
      </c>
      <c r="G3006" t="n">
        <v>3770392</v>
      </c>
      <c r="H3006" t="inlineStr">
        <is>
          <t>TUB-O-C-AUT-AD-FC-25.40X3.500X5.6000</t>
        </is>
      </c>
    </row>
    <row r="3007">
      <c r="A3007" t="inlineStr">
        <is>
          <t>0000187546</t>
        </is>
      </c>
      <c r="B3007" t="inlineStr">
        <is>
          <t>Narasipur Auto Component(P)Ltd</t>
        </is>
      </c>
      <c r="C3007" t="inlineStr">
        <is>
          <t>KG</t>
        </is>
      </c>
      <c r="D3007" t="n">
        <v>8</v>
      </c>
      <c r="E3007" t="n">
        <v>43.363</v>
      </c>
      <c r="F3007" t="n">
        <v>82</v>
      </c>
      <c r="G3007" t="n">
        <v>3770392</v>
      </c>
      <c r="H3007" t="inlineStr">
        <is>
          <t>TUB-O-C-AUT-AD-FC-25.40X3.500X5.6000</t>
        </is>
      </c>
    </row>
    <row r="3008">
      <c r="A3008" t="inlineStr">
        <is>
          <t>0000187546</t>
        </is>
      </c>
      <c r="B3008" t="inlineStr">
        <is>
          <t>Narasipur Auto Component(P)Ltd</t>
        </is>
      </c>
      <c r="C3008" t="inlineStr">
        <is>
          <t>KG</t>
        </is>
      </c>
      <c r="D3008" t="n">
        <v>33</v>
      </c>
      <c r="E3008" t="n">
        <v>185.087</v>
      </c>
      <c r="F3008" t="n">
        <v>350</v>
      </c>
      <c r="G3008" t="n">
        <v>3770392</v>
      </c>
      <c r="H3008" t="inlineStr">
        <is>
          <t>TUB-O-C-AUT-AD-FC-25.40X3.500X5.6000</t>
        </is>
      </c>
    </row>
    <row r="3009">
      <c r="A3009" t="inlineStr">
        <is>
          <t>0000187546</t>
        </is>
      </c>
      <c r="B3009" t="inlineStr">
        <is>
          <t>Narasipur Auto Component(P)Ltd</t>
        </is>
      </c>
      <c r="C3009" t="inlineStr">
        <is>
          <t>KG</t>
        </is>
      </c>
      <c r="D3009" t="n">
        <v>38</v>
      </c>
      <c r="E3009" t="n">
        <v>211.528</v>
      </c>
      <c r="F3009" t="n">
        <v>400</v>
      </c>
      <c r="G3009" t="n">
        <v>3770392</v>
      </c>
      <c r="H3009" t="inlineStr">
        <is>
          <t>TUB-O-C-AUT-AD-FC-25.40X3.500X5.6000</t>
        </is>
      </c>
    </row>
    <row r="3010">
      <c r="A3010" t="inlineStr">
        <is>
          <t>0000187546</t>
        </is>
      </c>
      <c r="B3010" t="inlineStr">
        <is>
          <t>Narasipur Auto Component(P)Ltd</t>
        </is>
      </c>
      <c r="C3010" t="inlineStr">
        <is>
          <t>KG</t>
        </is>
      </c>
      <c r="D3010" t="n">
        <v>128</v>
      </c>
      <c r="E3010" t="n">
        <v>714.188</v>
      </c>
      <c r="F3010" t="n">
        <v>1350.529</v>
      </c>
      <c r="G3010" t="n">
        <v>3770392</v>
      </c>
      <c r="H3010" t="inlineStr">
        <is>
          <t>TUB-O-C-AUT-AD-FC-25.40X3.500X5.6000</t>
        </is>
      </c>
    </row>
    <row r="3011">
      <c r="A3011" t="inlineStr">
        <is>
          <t>0000187546</t>
        </is>
      </c>
      <c r="B3011" t="inlineStr">
        <is>
          <t>Narasipur Auto Component(P)Ltd</t>
        </is>
      </c>
      <c r="C3011" t="inlineStr">
        <is>
          <t>KG</t>
        </is>
      </c>
      <c r="D3011" t="n">
        <v>23</v>
      </c>
      <c r="E3011" t="n">
        <v>130.909</v>
      </c>
      <c r="F3011" t="n">
        <v>247.548</v>
      </c>
      <c r="G3011" t="n">
        <v>3770392</v>
      </c>
      <c r="H3011" t="inlineStr">
        <is>
          <t>TUB-O-C-AUT-AD-FC-25.40X3.500X5.6000</t>
        </is>
      </c>
    </row>
    <row r="3012">
      <c r="A3012" t="inlineStr">
        <is>
          <t>0000187546</t>
        </is>
      </c>
      <c r="B3012" t="inlineStr">
        <is>
          <t>Narasipur Auto Component(P)Ltd</t>
        </is>
      </c>
      <c r="C3012" t="inlineStr">
        <is>
          <t>KG</t>
        </is>
      </c>
      <c r="D3012" t="n">
        <v>19</v>
      </c>
      <c r="E3012" t="n">
        <v>107.564</v>
      </c>
      <c r="F3012" t="n">
        <v>203.403</v>
      </c>
      <c r="G3012" t="n">
        <v>3770392</v>
      </c>
      <c r="H3012" t="inlineStr">
        <is>
          <t>TUB-O-C-AUT-AD-FC-25.40X3.500X5.6000</t>
        </is>
      </c>
    </row>
    <row r="3013">
      <c r="A3013" t="inlineStr">
        <is>
          <t>0000189240</t>
        </is>
      </c>
      <c r="B3013" t="inlineStr">
        <is>
          <t>Rajsriya Automotive Ind Pvt Ltd.</t>
        </is>
      </c>
      <c r="C3013" t="inlineStr">
        <is>
          <t>NOS</t>
        </is>
      </c>
      <c r="D3013" t="n">
        <v>2654.064</v>
      </c>
      <c r="E3013" t="n">
        <v>1287.143</v>
      </c>
      <c r="F3013" t="n">
        <v>1982.586</v>
      </c>
      <c r="G3013" t="n">
        <v>2359755</v>
      </c>
      <c r="H3013" t="inlineStr">
        <is>
          <t>TUB-O-C-AUT-AD-FC-30.00X2.250X0.4850</t>
        </is>
      </c>
    </row>
    <row r="3014">
      <c r="A3014" t="inlineStr">
        <is>
          <t>0000189240</t>
        </is>
      </c>
      <c r="B3014" t="inlineStr">
        <is>
          <t>Rajsriya Automotive Ind Pvt Ltd.</t>
        </is>
      </c>
      <c r="C3014" t="inlineStr">
        <is>
          <t>NOS</t>
        </is>
      </c>
      <c r="D3014" t="n">
        <v>1085.936</v>
      </c>
      <c r="E3014" t="n">
        <v>526.647</v>
      </c>
      <c r="F3014" t="n">
        <v>811.194</v>
      </c>
      <c r="G3014" t="n">
        <v>2359755</v>
      </c>
      <c r="H3014" t="inlineStr">
        <is>
          <t>TUB-O-C-AUT-AD-FC-30.00X2.250X0.4850</t>
        </is>
      </c>
    </row>
    <row r="3015">
      <c r="A3015" t="inlineStr">
        <is>
          <t>0000189240</t>
        </is>
      </c>
      <c r="B3015" t="inlineStr">
        <is>
          <t>Rajsriya Automotive Ind Pvt Ltd.</t>
        </is>
      </c>
      <c r="C3015" t="inlineStr">
        <is>
          <t>NOS</t>
        </is>
      </c>
      <c r="D3015" t="n">
        <v>1000</v>
      </c>
      <c r="E3015" t="n">
        <v>271.867</v>
      </c>
      <c r="F3015" t="n">
        <v>612</v>
      </c>
      <c r="G3015" t="n">
        <v>1938125</v>
      </c>
      <c r="H3015" t="inlineStr">
        <is>
          <t>TUB-I-C-AUT-AN-FC-39.00X34.00X0.2720</t>
        </is>
      </c>
    </row>
    <row r="3016">
      <c r="A3016" t="inlineStr">
        <is>
          <t>0000185254</t>
        </is>
      </c>
      <c r="B3016" t="inlineStr">
        <is>
          <t>LAXMI METAL PRESSING WORKS PVT LTD</t>
        </is>
      </c>
      <c r="C3016" t="inlineStr">
        <is>
          <t>NOS</t>
        </is>
      </c>
      <c r="D3016" t="n">
        <v>307.2</v>
      </c>
      <c r="E3016" t="n">
        <v>71.887</v>
      </c>
      <c r="F3016" t="n">
        <v>412.078</v>
      </c>
      <c r="G3016" t="n">
        <v>3746291</v>
      </c>
      <c r="H3016" t="inlineStr">
        <is>
          <t>CUT-O-N-AUT-BH-FC-63.50X4.000X0.2340</t>
        </is>
      </c>
    </row>
    <row r="3017">
      <c r="A3017" t="inlineStr">
        <is>
          <t>0000185254</t>
        </is>
      </c>
      <c r="B3017" t="inlineStr">
        <is>
          <t>LAXMI METAL PRESSING WORKS PVT LTD</t>
        </is>
      </c>
      <c r="C3017" t="inlineStr">
        <is>
          <t>NOS</t>
        </is>
      </c>
      <c r="D3017" t="n">
        <v>192.8</v>
      </c>
      <c r="E3017" t="n">
        <v>45.117</v>
      </c>
      <c r="F3017" t="n">
        <v>258.622</v>
      </c>
      <c r="G3017" t="n">
        <v>3746291</v>
      </c>
      <c r="H3017" t="inlineStr">
        <is>
          <t>CUT-O-N-AUT-BH-FC-63.50X4.000X0.2340</t>
        </is>
      </c>
    </row>
    <row r="3018">
      <c r="A3018" t="inlineStr">
        <is>
          <t>0000185254</t>
        </is>
      </c>
      <c r="B3018" t="inlineStr">
        <is>
          <t>LAXMI METAL PRESSING WORKS PVT LTD</t>
        </is>
      </c>
      <c r="C3018" t="inlineStr">
        <is>
          <t>NOS</t>
        </is>
      </c>
      <c r="D3018" t="n">
        <v>220</v>
      </c>
      <c r="E3018" t="n">
        <v>57.86</v>
      </c>
      <c r="F3018" t="n">
        <v>331.672</v>
      </c>
      <c r="G3018" t="n">
        <v>4196298</v>
      </c>
      <c r="H3018" t="inlineStr">
        <is>
          <t>CUT-O-N-AUT-BH-FC-63.50X4.000X0.2630</t>
        </is>
      </c>
    </row>
    <row r="3019">
      <c r="A3019" t="inlineStr">
        <is>
          <t>0000189002</t>
        </is>
      </c>
      <c r="B3019" t="inlineStr">
        <is>
          <t>Marathwada Auto Compo Pvt. Ltd.</t>
        </is>
      </c>
      <c r="C3019" t="inlineStr">
        <is>
          <t>NOS</t>
        </is>
      </c>
      <c r="D3019" t="n">
        <v>3100.394</v>
      </c>
      <c r="E3019" t="n">
        <v>842.895</v>
      </c>
      <c r="F3019" t="n">
        <v>1897.441</v>
      </c>
      <c r="G3019" t="n">
        <v>1938125</v>
      </c>
      <c r="H3019" t="inlineStr">
        <is>
          <t>TUB-I-C-AUT-AN-FC-39.00X34.00X0.2720</t>
        </is>
      </c>
    </row>
    <row r="3020">
      <c r="A3020" t="inlineStr">
        <is>
          <t>0000189002</t>
        </is>
      </c>
      <c r="B3020" t="inlineStr">
        <is>
          <t>Marathwada Auto Compo Pvt. Ltd.</t>
        </is>
      </c>
      <c r="C3020" t="inlineStr">
        <is>
          <t>NOS</t>
        </is>
      </c>
      <c r="D3020" t="n">
        <v>160.636</v>
      </c>
      <c r="E3020" t="n">
        <v>43.672</v>
      </c>
      <c r="F3020" t="n">
        <v>98.309</v>
      </c>
      <c r="G3020" t="n">
        <v>1938125</v>
      </c>
      <c r="H3020" t="inlineStr">
        <is>
          <t>TUB-I-C-AUT-AN-FC-39.00X34.00X0.2720</t>
        </is>
      </c>
    </row>
    <row r="3021">
      <c r="A3021" t="inlineStr">
        <is>
          <t>0000189002</t>
        </is>
      </c>
      <c r="B3021" t="inlineStr">
        <is>
          <t>Marathwada Auto Compo Pvt. Ltd.</t>
        </is>
      </c>
      <c r="C3021" t="inlineStr">
        <is>
          <t>NOS</t>
        </is>
      </c>
      <c r="D3021" t="n">
        <v>98.66800000000001</v>
      </c>
      <c r="E3021" t="n">
        <v>26.825</v>
      </c>
      <c r="F3021" t="n">
        <v>60.385</v>
      </c>
      <c r="G3021" t="n">
        <v>1938125</v>
      </c>
      <c r="H3021" t="inlineStr">
        <is>
          <t>TUB-I-C-AUT-AN-FC-39.00X34.00X0.2720</t>
        </is>
      </c>
    </row>
    <row r="3022">
      <c r="A3022" t="inlineStr">
        <is>
          <t>0000189002</t>
        </is>
      </c>
      <c r="B3022" t="inlineStr">
        <is>
          <t>Marathwada Auto Compo Pvt. Ltd.</t>
        </is>
      </c>
      <c r="C3022" t="inlineStr">
        <is>
          <t>NOS</t>
        </is>
      </c>
      <c r="D3022" t="n">
        <v>70.30200000000001</v>
      </c>
      <c r="E3022" t="n">
        <v>19.113</v>
      </c>
      <c r="F3022" t="n">
        <v>43.025</v>
      </c>
      <c r="G3022" t="n">
        <v>1938125</v>
      </c>
      <c r="H3022" t="inlineStr">
        <is>
          <t>TUB-I-C-AUT-AN-FC-39.00X34.00X0.2720</t>
        </is>
      </c>
    </row>
    <row r="3023">
      <c r="A3023" t="inlineStr">
        <is>
          <t>0000189002</t>
        </is>
      </c>
      <c r="B3023" t="inlineStr">
        <is>
          <t>Marathwada Auto Compo Pvt. Ltd.</t>
        </is>
      </c>
      <c r="C3023" t="inlineStr">
        <is>
          <t>NOS</t>
        </is>
      </c>
      <c r="D3023" t="n">
        <v>65.35599999999999</v>
      </c>
      <c r="E3023" t="n">
        <v>14.16</v>
      </c>
      <c r="F3023" t="n">
        <v>19.999</v>
      </c>
      <c r="G3023" t="n">
        <v>1939544</v>
      </c>
      <c r="H3023" t="inlineStr">
        <is>
          <t>TUB-O-C-CEW-AD-FC-25.40X2.500X0.2170</t>
        </is>
      </c>
    </row>
    <row r="3024">
      <c r="A3024" t="inlineStr">
        <is>
          <t>0000189002</t>
        </is>
      </c>
      <c r="B3024" t="inlineStr">
        <is>
          <t>Marathwada Auto Compo Pvt. Ltd.</t>
        </is>
      </c>
      <c r="C3024" t="inlineStr">
        <is>
          <t>NOS</t>
        </is>
      </c>
      <c r="D3024" t="n">
        <v>339</v>
      </c>
      <c r="E3024" t="n">
        <v>73.44499999999999</v>
      </c>
      <c r="F3024" t="n">
        <v>103.734</v>
      </c>
      <c r="G3024" t="n">
        <v>1939544</v>
      </c>
      <c r="H3024" t="inlineStr">
        <is>
          <t>TUB-O-C-CEW-AD-FC-25.40X2.500X0.2170</t>
        </is>
      </c>
    </row>
    <row r="3025">
      <c r="A3025" t="inlineStr">
        <is>
          <t>0000189002</t>
        </is>
      </c>
      <c r="B3025" t="inlineStr">
        <is>
          <t>Marathwada Auto Compo Pvt. Ltd.</t>
        </is>
      </c>
      <c r="C3025" t="inlineStr">
        <is>
          <t>NOS</t>
        </is>
      </c>
      <c r="D3025" t="n">
        <v>1946.722</v>
      </c>
      <c r="E3025" t="n">
        <v>421.762</v>
      </c>
      <c r="F3025" t="n">
        <v>595.697</v>
      </c>
      <c r="G3025" t="n">
        <v>1939544</v>
      </c>
      <c r="H3025" t="inlineStr">
        <is>
          <t>TUB-O-C-CEW-AD-FC-25.40X2.500X0.2170</t>
        </is>
      </c>
    </row>
    <row r="3026">
      <c r="A3026" t="inlineStr">
        <is>
          <t>0000189002</t>
        </is>
      </c>
      <c r="B3026" t="inlineStr">
        <is>
          <t>Marathwada Auto Compo Pvt. Ltd.</t>
        </is>
      </c>
      <c r="C3026" t="inlineStr">
        <is>
          <t>NOS</t>
        </is>
      </c>
      <c r="D3026" t="n">
        <v>932.039</v>
      </c>
      <c r="E3026" t="n">
        <v>201.929</v>
      </c>
      <c r="F3026" t="n">
        <v>285.204</v>
      </c>
      <c r="G3026" t="n">
        <v>1939544</v>
      </c>
      <c r="H3026" t="inlineStr">
        <is>
          <t>TUB-O-C-CEW-AD-FC-25.40X2.500X0.2170</t>
        </is>
      </c>
    </row>
    <row r="3027">
      <c r="A3027" t="inlineStr">
        <is>
          <t>0000189002</t>
        </is>
      </c>
      <c r="B3027" t="inlineStr">
        <is>
          <t>Marathwada Auto Compo Pvt. Ltd.</t>
        </is>
      </c>
      <c r="C3027" t="inlineStr">
        <is>
          <t>NOS</t>
        </is>
      </c>
      <c r="D3027" t="n">
        <v>166.883</v>
      </c>
      <c r="E3027" t="n">
        <v>36.156</v>
      </c>
      <c r="F3027" t="n">
        <v>51.066</v>
      </c>
      <c r="G3027" t="n">
        <v>1939544</v>
      </c>
      <c r="H3027" t="inlineStr">
        <is>
          <t>TUB-O-C-CEW-AD-FC-25.40X2.500X0.2170</t>
        </is>
      </c>
    </row>
    <row r="3028">
      <c r="A3028" t="inlineStr">
        <is>
          <t>0000184192</t>
        </is>
      </c>
      <c r="B3028" t="inlineStr">
        <is>
          <t>JBM AUTO LIMITED</t>
        </is>
      </c>
      <c r="C3028" t="inlineStr">
        <is>
          <t>NOS</t>
        </is>
      </c>
      <c r="D3028" t="n">
        <v>124.78</v>
      </c>
      <c r="E3028" t="n">
        <v>67.586</v>
      </c>
      <c r="F3028" t="n">
        <v>160.841</v>
      </c>
      <c r="G3028" t="n">
        <v>3191790</v>
      </c>
      <c r="H3028" t="inlineStr">
        <is>
          <t>TUB-S-AW-AUT-50.00X50.00X1.600X0.5420</t>
        </is>
      </c>
    </row>
    <row r="3029">
      <c r="A3029" t="inlineStr">
        <is>
          <t>0000184192</t>
        </is>
      </c>
      <c r="B3029" t="inlineStr">
        <is>
          <t>JBM AUTO LIMITED</t>
        </is>
      </c>
      <c r="C3029" t="inlineStr">
        <is>
          <t>NOS</t>
        </is>
      </c>
      <c r="D3029" t="n">
        <v>124</v>
      </c>
      <c r="E3029" t="n">
        <v>67.164</v>
      </c>
      <c r="F3029" t="n">
        <v>159.836</v>
      </c>
      <c r="G3029" t="n">
        <v>3191790</v>
      </c>
      <c r="H3029" t="inlineStr">
        <is>
          <t>TUB-S-AW-AUT-50.00X50.00X1.600X0.5420</t>
        </is>
      </c>
    </row>
    <row r="3030">
      <c r="A3030" t="inlineStr">
        <is>
          <t>0000184192</t>
        </is>
      </c>
      <c r="B3030" t="inlineStr">
        <is>
          <t>JBM AUTO LIMITED</t>
        </is>
      </c>
      <c r="C3030" t="inlineStr">
        <is>
          <t>NOS</t>
        </is>
      </c>
      <c r="D3030" t="n">
        <v>461</v>
      </c>
      <c r="E3030" t="n">
        <v>249.697</v>
      </c>
      <c r="F3030" t="n">
        <v>594.229</v>
      </c>
      <c r="G3030" t="n">
        <v>3191790</v>
      </c>
      <c r="H3030" t="inlineStr">
        <is>
          <t>TUB-S-AW-AUT-50.00X50.00X1.600X0.5420</t>
        </is>
      </c>
    </row>
    <row r="3031">
      <c r="A3031" t="inlineStr">
        <is>
          <t>0000184192</t>
        </is>
      </c>
      <c r="B3031" t="inlineStr">
        <is>
          <t>JBM AUTO LIMITED</t>
        </is>
      </c>
      <c r="C3031" t="inlineStr">
        <is>
          <t>NOS</t>
        </is>
      </c>
      <c r="D3031" t="n">
        <v>992.563</v>
      </c>
      <c r="E3031" t="n">
        <v>537.614</v>
      </c>
      <c r="F3031" t="n">
        <v>1279.414</v>
      </c>
      <c r="G3031" t="n">
        <v>3191790</v>
      </c>
      <c r="H3031" t="inlineStr">
        <is>
          <t>TUB-S-AW-AUT-50.00X50.00X1.600X0.5420</t>
        </is>
      </c>
    </row>
    <row r="3032">
      <c r="A3032" t="inlineStr">
        <is>
          <t>0000184192</t>
        </is>
      </c>
      <c r="B3032" t="inlineStr">
        <is>
          <t>JBM AUTO LIMITED</t>
        </is>
      </c>
      <c r="C3032" t="inlineStr">
        <is>
          <t>NOS</t>
        </is>
      </c>
      <c r="D3032" t="n">
        <v>992.563</v>
      </c>
      <c r="E3032" t="n">
        <v>537.614</v>
      </c>
      <c r="F3032" t="n">
        <v>1279.414</v>
      </c>
      <c r="G3032" t="n">
        <v>3191790</v>
      </c>
      <c r="H3032" t="inlineStr">
        <is>
          <t>TUB-S-AW-AUT-50.00X50.00X1.600X0.5420</t>
        </is>
      </c>
    </row>
    <row r="3033">
      <c r="A3033" t="inlineStr">
        <is>
          <t>0000184192</t>
        </is>
      </c>
      <c r="B3033" t="inlineStr">
        <is>
          <t>JBM AUTO LIMITED</t>
        </is>
      </c>
      <c r="C3033" t="inlineStr">
        <is>
          <t>NOS</t>
        </is>
      </c>
      <c r="D3033" t="n">
        <v>329.094</v>
      </c>
      <c r="E3033" t="n">
        <v>178.251</v>
      </c>
      <c r="F3033" t="n">
        <v>424.202</v>
      </c>
      <c r="G3033" t="n">
        <v>3191790</v>
      </c>
      <c r="H3033" t="inlineStr">
        <is>
          <t>TUB-S-AW-AUT-50.00X50.00X1.600X0.5420</t>
        </is>
      </c>
    </row>
    <row r="3034">
      <c r="A3034" t="inlineStr">
        <is>
          <t>0000189002</t>
        </is>
      </c>
      <c r="B3034" t="inlineStr">
        <is>
          <t>Marathwada Auto Compo Pvt. Ltd.</t>
        </is>
      </c>
      <c r="C3034" t="inlineStr">
        <is>
          <t>NOS</t>
        </is>
      </c>
      <c r="D3034" t="n">
        <v>2582.052</v>
      </c>
      <c r="E3034" t="n">
        <v>1252.219</v>
      </c>
      <c r="F3034" t="n">
        <v>1928.793</v>
      </c>
      <c r="G3034" t="n">
        <v>2359755</v>
      </c>
      <c r="H3034" t="inlineStr">
        <is>
          <t>TUB-O-C-AUT-AD-FC-30.00X2.250X0.4850</t>
        </is>
      </c>
    </row>
    <row r="3035">
      <c r="A3035" t="inlineStr">
        <is>
          <t>0000189002</t>
        </is>
      </c>
      <c r="B3035" t="inlineStr">
        <is>
          <t>Marathwada Auto Compo Pvt. Ltd.</t>
        </is>
      </c>
      <c r="C3035" t="inlineStr">
        <is>
          <t>NOS</t>
        </is>
      </c>
      <c r="D3035" t="n">
        <v>600</v>
      </c>
      <c r="E3035" t="n">
        <v>290.982</v>
      </c>
      <c r="F3035" t="n">
        <v>448.2</v>
      </c>
      <c r="G3035" t="n">
        <v>2359755</v>
      </c>
      <c r="H3035" t="inlineStr">
        <is>
          <t>TUB-O-C-AUT-AD-FC-30.00X2.250X0.4850</t>
        </is>
      </c>
    </row>
    <row r="3036">
      <c r="A3036" t="inlineStr">
        <is>
          <t>0000189002</t>
        </is>
      </c>
      <c r="B3036" t="inlineStr">
        <is>
          <t>Marathwada Auto Compo Pvt. Ltd.</t>
        </is>
      </c>
      <c r="C3036" t="inlineStr">
        <is>
          <t>NOS</t>
        </is>
      </c>
      <c r="D3036" t="n">
        <v>114.064</v>
      </c>
      <c r="E3036" t="n">
        <v>55.318</v>
      </c>
      <c r="F3036" t="n">
        <v>85.206</v>
      </c>
      <c r="G3036" t="n">
        <v>2359755</v>
      </c>
      <c r="H3036" t="inlineStr">
        <is>
          <t>TUB-O-C-AUT-AD-FC-30.00X2.250X0.4850</t>
        </is>
      </c>
    </row>
    <row r="3037">
      <c r="A3037" t="inlineStr">
        <is>
          <t>0000189002</t>
        </is>
      </c>
      <c r="B3037" t="inlineStr">
        <is>
          <t>Marathwada Auto Compo Pvt. Ltd.</t>
        </is>
      </c>
      <c r="C3037" t="inlineStr">
        <is>
          <t>NOS</t>
        </is>
      </c>
      <c r="D3037" t="n">
        <v>200</v>
      </c>
      <c r="E3037" t="n">
        <v>96.994</v>
      </c>
      <c r="F3037" t="n">
        <v>149.4</v>
      </c>
      <c r="G3037" t="n">
        <v>2359755</v>
      </c>
      <c r="H3037" t="inlineStr">
        <is>
          <t>TUB-O-C-AUT-AD-FC-30.00X2.250X0.4850</t>
        </is>
      </c>
    </row>
    <row r="3038">
      <c r="A3038" t="inlineStr">
        <is>
          <t>0000189002</t>
        </is>
      </c>
      <c r="B3038" t="inlineStr">
        <is>
          <t>Marathwada Auto Compo Pvt. Ltd.</t>
        </is>
      </c>
      <c r="C3038" t="inlineStr">
        <is>
          <t>NOS</t>
        </is>
      </c>
      <c r="D3038" t="n">
        <v>503.884</v>
      </c>
      <c r="E3038" t="n">
        <v>244.369</v>
      </c>
      <c r="F3038" t="n">
        <v>376.401</v>
      </c>
      <c r="G3038" t="n">
        <v>2359755</v>
      </c>
      <c r="H3038" t="inlineStr">
        <is>
          <t>TUB-O-C-AUT-AD-FC-30.00X2.250X0.4850</t>
        </is>
      </c>
    </row>
    <row r="3039">
      <c r="A3039" t="inlineStr">
        <is>
          <t>0000944141</t>
        </is>
      </c>
      <c r="B3039" t="inlineStr">
        <is>
          <t>SRIKAM HITECH ENGINEERING PRIVATE L</t>
        </is>
      </c>
      <c r="C3039" t="inlineStr">
        <is>
          <t>M</t>
        </is>
      </c>
      <c r="D3039" t="n">
        <v>505</v>
      </c>
      <c r="E3039" t="n">
        <v>2272</v>
      </c>
      <c r="F3039" t="n">
        <v>2920.883</v>
      </c>
      <c r="G3039" t="n">
        <v>2410999</v>
      </c>
      <c r="H3039" t="inlineStr">
        <is>
          <t>TUB-O-C-AUT-AD-FC-21.70X2.750X04-05</t>
        </is>
      </c>
    </row>
    <row r="3040">
      <c r="A3040" t="inlineStr">
        <is>
          <t>0000189270</t>
        </is>
      </c>
      <c r="B3040" t="inlineStr">
        <is>
          <t>Indo Autotech Limited (Unit V)</t>
        </is>
      </c>
      <c r="C3040" t="inlineStr">
        <is>
          <t>NOS</t>
        </is>
      </c>
      <c r="D3040" t="n">
        <v>2478.279</v>
      </c>
      <c r="E3040" t="n">
        <v>767.456</v>
      </c>
      <c r="F3040" t="n">
        <v>1764.535</v>
      </c>
      <c r="G3040" t="n">
        <v>2244440</v>
      </c>
      <c r="H3040" t="inlineStr">
        <is>
          <t>TUB-O-N-AUT-AW-FC-48.60X2.000X0.3100</t>
        </is>
      </c>
    </row>
    <row r="3041">
      <c r="A3041" t="inlineStr">
        <is>
          <t>0000189270</t>
        </is>
      </c>
      <c r="B3041" t="inlineStr">
        <is>
          <t>Indo Autotech Limited (Unit V)</t>
        </is>
      </c>
      <c r="C3041" t="inlineStr">
        <is>
          <t>NOS</t>
        </is>
      </c>
      <c r="D3041" t="n">
        <v>521.721</v>
      </c>
      <c r="E3041" t="n">
        <v>161.563</v>
      </c>
      <c r="F3041" t="n">
        <v>371.465</v>
      </c>
      <c r="G3041" t="n">
        <v>2244440</v>
      </c>
      <c r="H3041" t="inlineStr">
        <is>
          <t>TUB-O-N-AUT-AW-FC-48.60X2.000X0.3100</t>
        </is>
      </c>
    </row>
    <row r="3042">
      <c r="A3042" t="inlineStr">
        <is>
          <t>0000189270</t>
        </is>
      </c>
      <c r="B3042" t="inlineStr">
        <is>
          <t>Indo Autotech Limited (Unit V)</t>
        </is>
      </c>
      <c r="C3042" t="inlineStr">
        <is>
          <t>NOS</t>
        </is>
      </c>
      <c r="D3042" t="n">
        <v>159.1</v>
      </c>
      <c r="E3042" t="n">
        <v>49.321</v>
      </c>
      <c r="F3042" t="n">
        <v>129.571</v>
      </c>
      <c r="G3042" t="n">
        <v>3508035</v>
      </c>
      <c r="H3042" t="inlineStr">
        <is>
          <t>CUT-O-N-AUT-AW-FC-48.60X2.30X0.310 ERW 2</t>
        </is>
      </c>
    </row>
    <row r="3043">
      <c r="A3043" t="inlineStr">
        <is>
          <t>0000189270</t>
        </is>
      </c>
      <c r="B3043" t="inlineStr">
        <is>
          <t>Indo Autotech Limited (Unit V)</t>
        </is>
      </c>
      <c r="C3043" t="inlineStr">
        <is>
          <t>NOS</t>
        </is>
      </c>
      <c r="D3043" t="n">
        <v>2740.56</v>
      </c>
      <c r="E3043" t="n">
        <v>849.573</v>
      </c>
      <c r="F3043" t="n">
        <v>2231.912</v>
      </c>
      <c r="G3043" t="n">
        <v>3508035</v>
      </c>
      <c r="H3043" t="inlineStr">
        <is>
          <t>CUT-O-N-AUT-AW-FC-48.60X2.30X0.310 ERW 2</t>
        </is>
      </c>
    </row>
    <row r="3044">
      <c r="A3044" t="inlineStr">
        <is>
          <t>0000189270</t>
        </is>
      </c>
      <c r="B3044" t="inlineStr">
        <is>
          <t>Indo Autotech Limited (Unit V)</t>
        </is>
      </c>
      <c r="C3044" t="inlineStr">
        <is>
          <t>NOS</t>
        </is>
      </c>
      <c r="D3044" t="n">
        <v>100.34</v>
      </c>
      <c r="E3044" t="n">
        <v>31.105</v>
      </c>
      <c r="F3044" t="n">
        <v>81.717</v>
      </c>
      <c r="G3044" t="n">
        <v>3508035</v>
      </c>
      <c r="H3044" t="inlineStr">
        <is>
          <t>CUT-O-N-AUT-AW-FC-48.60X2.30X0.310 ERW 2</t>
        </is>
      </c>
    </row>
    <row r="3045">
      <c r="A3045" t="inlineStr">
        <is>
          <t>0000189227</t>
        </is>
      </c>
      <c r="B3045" t="inlineStr">
        <is>
          <t>Neel Metal Products Limited</t>
        </is>
      </c>
      <c r="C3045" t="inlineStr">
        <is>
          <t>M</t>
        </is>
      </c>
      <c r="D3045" t="n">
        <v>202</v>
      </c>
      <c r="E3045" t="n">
        <v>909.506</v>
      </c>
      <c r="F3045" t="n">
        <v>1594</v>
      </c>
      <c r="G3045" t="n">
        <v>2410997</v>
      </c>
      <c r="H3045" t="inlineStr">
        <is>
          <t>TUB-O-C-AUT-AD-FC-25.40X3.200X04-05</t>
        </is>
      </c>
    </row>
    <row r="3046">
      <c r="A3046" t="inlineStr">
        <is>
          <t>0000189227</t>
        </is>
      </c>
      <c r="B3046" t="inlineStr">
        <is>
          <t>Neel Metal Products Limited</t>
        </is>
      </c>
      <c r="C3046" t="inlineStr">
        <is>
          <t>M</t>
        </is>
      </c>
      <c r="D3046" t="n">
        <v>66</v>
      </c>
      <c r="E3046" t="n">
        <v>298.77</v>
      </c>
      <c r="F3046" t="n">
        <v>523.624</v>
      </c>
      <c r="G3046" t="n">
        <v>2410997</v>
      </c>
      <c r="H3046" t="inlineStr">
        <is>
          <t>TUB-O-C-AUT-AD-FC-25.40X3.200X04-05</t>
        </is>
      </c>
    </row>
    <row r="3047">
      <c r="A3047" t="inlineStr">
        <is>
          <t>0000189227</t>
        </is>
      </c>
      <c r="B3047" t="inlineStr">
        <is>
          <t>Neel Metal Products Limited</t>
        </is>
      </c>
      <c r="C3047" t="inlineStr">
        <is>
          <t>M</t>
        </is>
      </c>
      <c r="D3047" t="n">
        <v>201</v>
      </c>
      <c r="E3047" t="n">
        <v>905.5119999999999</v>
      </c>
      <c r="F3047" t="n">
        <v>1587</v>
      </c>
      <c r="G3047" t="n">
        <v>2410997</v>
      </c>
      <c r="H3047" t="inlineStr">
        <is>
          <t>TUB-O-C-AUT-AD-FC-25.40X3.200X04-05</t>
        </is>
      </c>
    </row>
    <row r="3048">
      <c r="A3048" t="inlineStr">
        <is>
          <t>0000189227</t>
        </is>
      </c>
      <c r="B3048" t="inlineStr">
        <is>
          <t>Neel Metal Products Limited</t>
        </is>
      </c>
      <c r="C3048" t="inlineStr">
        <is>
          <t>M</t>
        </is>
      </c>
      <c r="D3048" t="n">
        <v>64</v>
      </c>
      <c r="E3048" t="n">
        <v>286.212</v>
      </c>
      <c r="F3048" t="n">
        <v>501.615</v>
      </c>
      <c r="G3048" t="n">
        <v>2410997</v>
      </c>
      <c r="H3048" t="inlineStr">
        <is>
          <t>TUB-O-C-AUT-AD-FC-25.40X3.200X04-05</t>
        </is>
      </c>
    </row>
    <row r="3049">
      <c r="A3049" t="inlineStr">
        <is>
          <t>0000188415</t>
        </is>
      </c>
      <c r="B3049" t="inlineStr">
        <is>
          <t>Rajsriya Automotive Industries(P)</t>
        </is>
      </c>
      <c r="C3049" t="inlineStr">
        <is>
          <t>NOS</t>
        </is>
      </c>
      <c r="D3049" t="n">
        <v>1290</v>
      </c>
      <c r="E3049" t="n">
        <v>1077.136</v>
      </c>
      <c r="F3049" t="n">
        <v>1821.867</v>
      </c>
      <c r="G3049" t="n">
        <v>3712521</v>
      </c>
      <c r="H3049" t="inlineStr">
        <is>
          <t>CUT-R-AW-RHS-40.00X30.00X1.600X0.8350</t>
        </is>
      </c>
    </row>
    <row r="3050">
      <c r="A3050" t="inlineStr">
        <is>
          <t>0000188415</t>
        </is>
      </c>
      <c r="B3050" t="inlineStr">
        <is>
          <t>Rajsriya Automotive Industries(P)</t>
        </is>
      </c>
      <c r="C3050" t="inlineStr">
        <is>
          <t>NOS</t>
        </is>
      </c>
      <c r="D3050" t="n">
        <v>760</v>
      </c>
      <c r="E3050" t="n">
        <v>193.04</v>
      </c>
      <c r="F3050" t="n">
        <v>737.2</v>
      </c>
      <c r="G3050" t="n">
        <v>1938358</v>
      </c>
      <c r="H3050" t="inlineStr">
        <is>
          <t>TUB-O-N-AUT-AN-FC-42.70X4.000X0.2540</t>
        </is>
      </c>
    </row>
    <row r="3051">
      <c r="A3051" t="inlineStr">
        <is>
          <t>0000183569</t>
        </is>
      </c>
      <c r="B3051" t="inlineStr">
        <is>
          <t>TUBE INVESTMENTS OF INDIA LIMITED</t>
        </is>
      </c>
      <c r="C3051" t="inlineStr">
        <is>
          <t>M</t>
        </is>
      </c>
      <c r="D3051" t="n">
        <v>151</v>
      </c>
      <c r="E3051" t="n">
        <v>828</v>
      </c>
      <c r="F3051" t="n">
        <v>1612.861</v>
      </c>
      <c r="G3051" t="n">
        <v>3770405</v>
      </c>
      <c r="H3051" t="inlineStr">
        <is>
          <t>TUB-O-C-AUT-AD-FC-67.00X1.20X5.500-HDPE</t>
        </is>
      </c>
    </row>
    <row r="3052">
      <c r="A3052" t="inlineStr">
        <is>
          <t>0000183569</t>
        </is>
      </c>
      <c r="B3052" t="inlineStr">
        <is>
          <t>TUBE INVESTMENTS OF INDIA LIMITED</t>
        </is>
      </c>
      <c r="C3052" t="inlineStr">
        <is>
          <t>M</t>
        </is>
      </c>
      <c r="D3052" t="n">
        <v>151</v>
      </c>
      <c r="E3052" t="n">
        <v>828</v>
      </c>
      <c r="F3052" t="n">
        <v>1612.861</v>
      </c>
      <c r="G3052" t="n">
        <v>3770405</v>
      </c>
      <c r="H3052" t="inlineStr">
        <is>
          <t>TUB-O-C-AUT-AD-FC-67.00X1.20X5.500-HDPE</t>
        </is>
      </c>
    </row>
    <row r="3053">
      <c r="A3053" t="inlineStr">
        <is>
          <t>0000183569</t>
        </is>
      </c>
      <c r="B3053" t="inlineStr">
        <is>
          <t>TUBE INVESTMENTS OF INDIA LIMITED</t>
        </is>
      </c>
      <c r="C3053" t="inlineStr">
        <is>
          <t>M</t>
        </is>
      </c>
      <c r="D3053" t="n">
        <v>147</v>
      </c>
      <c r="E3053" t="n">
        <v>806</v>
      </c>
      <c r="F3053" t="n">
        <v>1570.007</v>
      </c>
      <c r="G3053" t="n">
        <v>3770405</v>
      </c>
      <c r="H3053" t="inlineStr">
        <is>
          <t>TUB-O-C-AUT-AD-FC-67.00X1.20X5.500-HDPE</t>
        </is>
      </c>
    </row>
    <row r="3054">
      <c r="A3054" t="inlineStr">
        <is>
          <t>0000183569</t>
        </is>
      </c>
      <c r="B3054" t="inlineStr">
        <is>
          <t>TUBE INVESTMENTS OF INDIA LIMITED</t>
        </is>
      </c>
      <c r="C3054" t="inlineStr">
        <is>
          <t>M</t>
        </is>
      </c>
      <c r="D3054" t="n">
        <v>80</v>
      </c>
      <c r="E3054" t="n">
        <v>442</v>
      </c>
      <c r="F3054" t="n">
        <v>860.972</v>
      </c>
      <c r="G3054" t="n">
        <v>3770405</v>
      </c>
      <c r="H3054" t="inlineStr">
        <is>
          <t>TUB-O-C-AUT-AD-FC-67.00X1.20X5.500-HDPE</t>
        </is>
      </c>
    </row>
    <row r="3055">
      <c r="A3055" t="inlineStr">
        <is>
          <t>0000188356</t>
        </is>
      </c>
      <c r="B3055" t="inlineStr">
        <is>
          <t>Thai Summit Autoparts India Pvt Ltd</t>
        </is>
      </c>
      <c r="C3055" t="inlineStr">
        <is>
          <t>NOS</t>
        </is>
      </c>
      <c r="D3055" t="n">
        <v>987</v>
      </c>
      <c r="E3055" t="n">
        <v>314.897</v>
      </c>
      <c r="F3055" t="n">
        <v>867.573</v>
      </c>
      <c r="G3055" t="n">
        <v>1939479</v>
      </c>
      <c r="H3055" t="inlineStr">
        <is>
          <t>TUB-O-C-CEW-AD-FC-38.10X3.200X0.3190</t>
        </is>
      </c>
    </row>
    <row r="3056">
      <c r="A3056" t="inlineStr">
        <is>
          <t>0000188356</t>
        </is>
      </c>
      <c r="B3056" t="inlineStr">
        <is>
          <t>Thai Summit Autoparts India Pvt Ltd</t>
        </is>
      </c>
      <c r="C3056" t="inlineStr">
        <is>
          <t>NOS</t>
        </is>
      </c>
      <c r="D3056" t="n">
        <v>1755</v>
      </c>
      <c r="E3056" t="n">
        <v>379.081</v>
      </c>
      <c r="F3056" t="n">
        <v>1631.526</v>
      </c>
      <c r="G3056" t="n">
        <v>4186550</v>
      </c>
      <c r="H3056" t="inlineStr">
        <is>
          <t>CUT-O-C-AUT-BH-FC-47.63X4.000X0.2160</t>
        </is>
      </c>
    </row>
    <row r="3057">
      <c r="A3057" t="inlineStr">
        <is>
          <t>0000188356</t>
        </is>
      </c>
      <c r="B3057" t="inlineStr">
        <is>
          <t>Thai Summit Autoparts India Pvt Ltd</t>
        </is>
      </c>
      <c r="C3057" t="inlineStr">
        <is>
          <t>NOS</t>
        </is>
      </c>
      <c r="D3057" t="n">
        <v>2419.173</v>
      </c>
      <c r="E3057" t="n">
        <v>522.543</v>
      </c>
      <c r="F3057" t="n">
        <v>2248.971</v>
      </c>
      <c r="G3057" t="n">
        <v>4186550</v>
      </c>
      <c r="H3057" t="inlineStr">
        <is>
          <t>CUT-O-C-AUT-BH-FC-47.63X4.000X0.2160</t>
        </is>
      </c>
    </row>
    <row r="3058">
      <c r="A3058" t="inlineStr">
        <is>
          <t>0000188356</t>
        </is>
      </c>
      <c r="B3058" t="inlineStr">
        <is>
          <t>Thai Summit Autoparts India Pvt Ltd</t>
        </is>
      </c>
      <c r="C3058" t="inlineStr">
        <is>
          <t>NOS</t>
        </is>
      </c>
      <c r="D3058" t="n">
        <v>2325.827</v>
      </c>
      <c r="E3058" t="n">
        <v>502.38</v>
      </c>
      <c r="F3058" t="n">
        <v>2162.192</v>
      </c>
      <c r="G3058" t="n">
        <v>4186550</v>
      </c>
      <c r="H3058" t="inlineStr">
        <is>
          <t>CUT-O-C-AUT-BH-FC-47.63X4.000X0.2160</t>
        </is>
      </c>
    </row>
    <row r="3059">
      <c r="A3059" t="inlineStr">
        <is>
          <t>0000185254</t>
        </is>
      </c>
      <c r="B3059" t="inlineStr">
        <is>
          <t>LAXMI METAL PRESSING WORKS PVT LTD</t>
        </is>
      </c>
      <c r="C3059" t="inlineStr">
        <is>
          <t>NOS</t>
        </is>
      </c>
      <c r="D3059" t="n">
        <v>3000</v>
      </c>
      <c r="E3059" t="n">
        <v>815.919</v>
      </c>
      <c r="F3059" t="n">
        <v>531</v>
      </c>
      <c r="G3059" t="n">
        <v>3228788</v>
      </c>
      <c r="H3059" t="inlineStr">
        <is>
          <t>TUB-O-C-AUT-AD-FC-20.00X1.420X0.2730</t>
        </is>
      </c>
    </row>
    <row r="3060">
      <c r="A3060" t="inlineStr">
        <is>
          <t>0000185254</t>
        </is>
      </c>
      <c r="B3060" t="inlineStr">
        <is>
          <t>LAXMI METAL PRESSING WORKS PVT LTD</t>
        </is>
      </c>
      <c r="C3060" t="inlineStr">
        <is>
          <t>NOS</t>
        </is>
      </c>
      <c r="D3060" t="n">
        <v>795</v>
      </c>
      <c r="E3060" t="n">
        <v>186.036</v>
      </c>
      <c r="F3060" t="n">
        <v>1066.413</v>
      </c>
      <c r="G3060" t="n">
        <v>3746291</v>
      </c>
      <c r="H3060" t="inlineStr">
        <is>
          <t>CUT-O-N-AUT-BH-FC-63.50X4.000X0.2340</t>
        </is>
      </c>
    </row>
    <row r="3061">
      <c r="A3061" t="inlineStr">
        <is>
          <t>0000189240</t>
        </is>
      </c>
      <c r="B3061" t="inlineStr">
        <is>
          <t>Rajsriya Automotive Ind Pvt Ltd.</t>
        </is>
      </c>
      <c r="C3061" t="inlineStr">
        <is>
          <t>NOS</t>
        </is>
      </c>
      <c r="D3061" t="n">
        <v>2630.497</v>
      </c>
      <c r="E3061" t="n">
        <v>1275.713</v>
      </c>
      <c r="F3061" t="n">
        <v>1964.981</v>
      </c>
      <c r="G3061" t="n">
        <v>2359755</v>
      </c>
      <c r="H3061" t="inlineStr">
        <is>
          <t>TUB-O-C-AUT-AD-FC-30.00X2.250X0.4850</t>
        </is>
      </c>
    </row>
    <row r="3062">
      <c r="A3062" t="inlineStr">
        <is>
          <t>0000189240</t>
        </is>
      </c>
      <c r="B3062" t="inlineStr">
        <is>
          <t>Rajsriya Automotive Ind Pvt Ltd.</t>
        </is>
      </c>
      <c r="C3062" t="inlineStr">
        <is>
          <t>NOS</t>
        </is>
      </c>
      <c r="D3062" t="n">
        <v>1369.503</v>
      </c>
      <c r="E3062" t="n">
        <v>664.169</v>
      </c>
      <c r="F3062" t="n">
        <v>1023.019</v>
      </c>
      <c r="G3062" t="n">
        <v>2359755</v>
      </c>
      <c r="H3062" t="inlineStr">
        <is>
          <t>TUB-O-C-AUT-AD-FC-30.00X2.250X0.4850</t>
        </is>
      </c>
    </row>
    <row r="3063">
      <c r="A3063" t="inlineStr">
        <is>
          <t>0000189240</t>
        </is>
      </c>
      <c r="B3063" t="inlineStr">
        <is>
          <t>Rajsriya Automotive Ind Pvt Ltd.</t>
        </is>
      </c>
      <c r="C3063" t="inlineStr">
        <is>
          <t>NOS</t>
        </is>
      </c>
      <c r="D3063" t="n">
        <v>1000</v>
      </c>
      <c r="E3063" t="n">
        <v>271.867</v>
      </c>
      <c r="F3063" t="n">
        <v>612</v>
      </c>
      <c r="G3063" t="n">
        <v>1938125</v>
      </c>
      <c r="H3063" t="inlineStr">
        <is>
          <t>TUB-I-C-AUT-AN-FC-39.00X34.00X0.2720</t>
        </is>
      </c>
    </row>
    <row r="3064">
      <c r="A3064" t="inlineStr">
        <is>
          <t>0000947788</t>
        </is>
      </c>
      <c r="B3064" t="inlineStr">
        <is>
          <t>INDO AUTOTECH LIMITED UNIT-V</t>
        </is>
      </c>
      <c r="C3064" t="inlineStr">
        <is>
          <t>NOS</t>
        </is>
      </c>
      <c r="D3064" t="n">
        <v>3000</v>
      </c>
      <c r="E3064" t="n">
        <v>612</v>
      </c>
      <c r="F3064" t="n">
        <v>1408.333</v>
      </c>
      <c r="G3064" t="n">
        <v>3557583</v>
      </c>
      <c r="H3064" t="inlineStr">
        <is>
          <t>TUB-O-C-AUT-AD-FC-41.28X2.410X0.2040</t>
        </is>
      </c>
    </row>
    <row r="3065">
      <c r="A3065" t="inlineStr">
        <is>
          <t>0000189270</t>
        </is>
      </c>
      <c r="B3065" t="inlineStr">
        <is>
          <t>Indo Autotech Limited (Unit V)</t>
        </is>
      </c>
      <c r="C3065" t="inlineStr">
        <is>
          <t>NOS</t>
        </is>
      </c>
      <c r="D3065" t="n">
        <v>1000</v>
      </c>
      <c r="E3065" t="n">
        <v>309.673</v>
      </c>
      <c r="F3065" t="n">
        <v>712</v>
      </c>
      <c r="G3065" t="n">
        <v>2244440</v>
      </c>
      <c r="H3065" t="inlineStr">
        <is>
          <t>TUB-O-N-AUT-AW-FC-48.60X2.000X0.3100</t>
        </is>
      </c>
    </row>
    <row r="3066">
      <c r="A3066" t="inlineStr">
        <is>
          <t>0000189270</t>
        </is>
      </c>
      <c r="B3066" t="inlineStr">
        <is>
          <t>Indo Autotech Limited (Unit V)</t>
        </is>
      </c>
      <c r="C3066" t="inlineStr">
        <is>
          <t>NOS</t>
        </is>
      </c>
      <c r="D3066" t="n">
        <v>1000</v>
      </c>
      <c r="E3066" t="n">
        <v>309.998</v>
      </c>
      <c r="F3066" t="n">
        <v>780.389</v>
      </c>
      <c r="G3066" t="n">
        <v>2244441</v>
      </c>
      <c r="H3066" t="inlineStr">
        <is>
          <t>TUB-O-N-AUT-AW-FC-48.60X2.300X0.3100</t>
        </is>
      </c>
    </row>
    <row r="3067">
      <c r="A3067" t="inlineStr">
        <is>
          <t>0000184192</t>
        </is>
      </c>
      <c r="B3067" t="inlineStr">
        <is>
          <t>JBM AUTO LIMITED</t>
        </is>
      </c>
      <c r="C3067" t="inlineStr">
        <is>
          <t>NOS</t>
        </is>
      </c>
      <c r="D3067" t="n">
        <v>1100</v>
      </c>
      <c r="E3067" t="n">
        <v>595.806</v>
      </c>
      <c r="F3067" t="n">
        <v>1417.9</v>
      </c>
      <c r="G3067" t="n">
        <v>3191790</v>
      </c>
      <c r="H3067" t="inlineStr">
        <is>
          <t>TUB-S-AW-AUT-50.00X50.00X1.600X0.5420</t>
        </is>
      </c>
    </row>
    <row r="3068">
      <c r="A3068" t="inlineStr">
        <is>
          <t>0000184192</t>
        </is>
      </c>
      <c r="B3068" t="inlineStr">
        <is>
          <t>JBM AUTO LIMITED</t>
        </is>
      </c>
      <c r="C3068" t="inlineStr">
        <is>
          <t>NOS</t>
        </is>
      </c>
      <c r="D3068" t="n">
        <v>1087.476</v>
      </c>
      <c r="E3068" t="n">
        <v>589.023</v>
      </c>
      <c r="F3068" t="n">
        <v>1401.757</v>
      </c>
      <c r="G3068" t="n">
        <v>3191790</v>
      </c>
      <c r="H3068" t="inlineStr">
        <is>
          <t>TUB-S-AW-AUT-50.00X50.00X1.600X0.5420</t>
        </is>
      </c>
    </row>
    <row r="3069">
      <c r="A3069" t="inlineStr">
        <is>
          <t>0000184192</t>
        </is>
      </c>
      <c r="B3069" t="inlineStr">
        <is>
          <t>JBM AUTO LIMITED</t>
        </is>
      </c>
      <c r="C3069" t="inlineStr">
        <is>
          <t>NOS</t>
        </is>
      </c>
      <c r="D3069" t="n">
        <v>836.524</v>
      </c>
      <c r="E3069" t="n">
        <v>453.097</v>
      </c>
      <c r="F3069" t="n">
        <v>1078.279</v>
      </c>
      <c r="G3069" t="n">
        <v>3191790</v>
      </c>
      <c r="H3069" t="inlineStr">
        <is>
          <t>TUB-S-AW-AUT-50.00X50.00X1.600X0.5420</t>
        </is>
      </c>
    </row>
    <row r="3070">
      <c r="A3070" t="inlineStr">
        <is>
          <t>0000184192</t>
        </is>
      </c>
      <c r="B3070" t="inlineStr">
        <is>
          <t>JBM AUTO LIMITED</t>
        </is>
      </c>
      <c r="C3070" t="inlineStr">
        <is>
          <t>NOS</t>
        </is>
      </c>
      <c r="D3070" t="n">
        <v>989.4</v>
      </c>
      <c r="E3070" t="n">
        <v>212.799</v>
      </c>
      <c r="F3070" t="n">
        <v>916.184</v>
      </c>
      <c r="G3070" t="n">
        <v>3614493</v>
      </c>
      <c r="H3070" t="inlineStr">
        <is>
          <t>TUB-O-C-AUT-AN-FC-47.63X4.000X0.2150</t>
        </is>
      </c>
    </row>
    <row r="3071">
      <c r="A3071" t="inlineStr">
        <is>
          <t>0000184192</t>
        </is>
      </c>
      <c r="B3071" t="inlineStr">
        <is>
          <t>JBM AUTO LIMITED</t>
        </is>
      </c>
      <c r="C3071" t="inlineStr">
        <is>
          <t>NOS</t>
        </is>
      </c>
      <c r="D3071" t="n">
        <v>1020.085</v>
      </c>
      <c r="E3071" t="n">
        <v>219.399</v>
      </c>
      <c r="F3071" t="n">
        <v>944.599</v>
      </c>
      <c r="G3071" t="n">
        <v>3614493</v>
      </c>
      <c r="H3071" t="inlineStr">
        <is>
          <t>TUB-O-C-AUT-AN-FC-47.63X4.000X0.2150</t>
        </is>
      </c>
    </row>
    <row r="3072">
      <c r="A3072" t="inlineStr">
        <is>
          <t>0000184192</t>
        </is>
      </c>
      <c r="B3072" t="inlineStr">
        <is>
          <t>JBM AUTO LIMITED</t>
        </is>
      </c>
      <c r="C3072" t="inlineStr">
        <is>
          <t>NOS</t>
        </is>
      </c>
      <c r="D3072" t="n">
        <v>940.515</v>
      </c>
      <c r="E3072" t="n">
        <v>202.285</v>
      </c>
      <c r="F3072" t="n">
        <v>870.917</v>
      </c>
      <c r="G3072" t="n">
        <v>3614493</v>
      </c>
      <c r="H3072" t="inlineStr">
        <is>
          <t>TUB-O-C-AUT-AN-FC-47.63X4.000X0.2150</t>
        </is>
      </c>
    </row>
    <row r="3073">
      <c r="A3073" t="inlineStr">
        <is>
          <t>0000184192</t>
        </is>
      </c>
      <c r="B3073" t="inlineStr">
        <is>
          <t>JBM AUTO LIMITED</t>
        </is>
      </c>
      <c r="C3073" t="inlineStr">
        <is>
          <t>NOS</t>
        </is>
      </c>
      <c r="D3073" t="n">
        <v>1434</v>
      </c>
      <c r="E3073" t="n">
        <v>203.629</v>
      </c>
      <c r="F3073" t="n">
        <v>629.335</v>
      </c>
      <c r="G3073" t="n">
        <v>4157556</v>
      </c>
      <c r="H3073" t="inlineStr">
        <is>
          <t>PT4-O-N-AUT-AW-FC-50.80X2.600X0.1420</t>
        </is>
      </c>
    </row>
    <row r="3074">
      <c r="A3074" t="inlineStr">
        <is>
          <t>0000188934</t>
        </is>
      </c>
      <c r="B3074" t="inlineStr">
        <is>
          <t>KAY JAY FORGINGS LIMITED</t>
        </is>
      </c>
      <c r="C3074" t="inlineStr">
        <is>
          <t>NOS</t>
        </is>
      </c>
      <c r="D3074" t="n">
        <v>154.621</v>
      </c>
      <c r="E3074" t="n">
        <v>55.199</v>
      </c>
      <c r="F3074" t="n">
        <v>166.078</v>
      </c>
      <c r="G3074" t="n">
        <v>3909903</v>
      </c>
      <c r="H3074" t="inlineStr">
        <is>
          <t>CUT-O-C-AUT-AD-FC-29.40X4.500X0.3570</t>
        </is>
      </c>
    </row>
    <row r="3075">
      <c r="A3075" t="inlineStr">
        <is>
          <t>0000188934</t>
        </is>
      </c>
      <c r="B3075" t="inlineStr">
        <is>
          <t>KAY JAY FORGINGS LIMITED</t>
        </is>
      </c>
      <c r="C3075" t="inlineStr">
        <is>
          <t>NOS</t>
        </is>
      </c>
      <c r="D3075" t="n">
        <v>589.785</v>
      </c>
      <c r="E3075" t="n">
        <v>210.552</v>
      </c>
      <c r="F3075" t="n">
        <v>633.4880000000001</v>
      </c>
      <c r="G3075" t="n">
        <v>3909903</v>
      </c>
      <c r="H3075" t="inlineStr">
        <is>
          <t>CUT-O-C-AUT-AD-FC-29.40X4.500X0.3570</t>
        </is>
      </c>
    </row>
    <row r="3076">
      <c r="A3076" t="inlineStr">
        <is>
          <t>0000188934</t>
        </is>
      </c>
      <c r="B3076" t="inlineStr">
        <is>
          <t>KAY JAY FORGINGS LIMITED</t>
        </is>
      </c>
      <c r="C3076" t="inlineStr">
        <is>
          <t>NOS</t>
        </is>
      </c>
      <c r="D3076" t="n">
        <v>2041</v>
      </c>
      <c r="E3076" t="n">
        <v>728.633</v>
      </c>
      <c r="F3076" t="n">
        <v>2192.238</v>
      </c>
      <c r="G3076" t="n">
        <v>3909903</v>
      </c>
      <c r="H3076" t="inlineStr">
        <is>
          <t>CUT-O-C-AUT-AD-FC-29.40X4.500X0.3570</t>
        </is>
      </c>
    </row>
    <row r="3077">
      <c r="A3077" t="inlineStr">
        <is>
          <t>0000188934</t>
        </is>
      </c>
      <c r="B3077" t="inlineStr">
        <is>
          <t>KAY JAY FORGINGS LIMITED</t>
        </is>
      </c>
      <c r="C3077" t="inlineStr">
        <is>
          <t>NOS</t>
        </is>
      </c>
      <c r="D3077" t="n">
        <v>1944.594</v>
      </c>
      <c r="E3077" t="n">
        <v>694.216</v>
      </c>
      <c r="F3077" t="n">
        <v>2088.688</v>
      </c>
      <c r="G3077" t="n">
        <v>3909903</v>
      </c>
      <c r="H3077" t="inlineStr">
        <is>
          <t>CUT-O-C-AUT-AD-FC-29.40X4.500X0.3570</t>
        </is>
      </c>
    </row>
    <row r="3078">
      <c r="A3078" t="inlineStr">
        <is>
          <t>0000943209</t>
        </is>
      </c>
      <c r="B3078" t="inlineStr">
        <is>
          <t>MEGH STEELS PRIVATE LIMITED - TVS A</t>
        </is>
      </c>
      <c r="C3078" t="inlineStr">
        <is>
          <t>KG</t>
        </is>
      </c>
      <c r="D3078" t="n">
        <v>104</v>
      </c>
      <c r="E3078" t="n">
        <v>623.798</v>
      </c>
      <c r="F3078" t="n">
        <v>1751</v>
      </c>
      <c r="G3078" t="n">
        <v>3702875</v>
      </c>
      <c r="H3078" t="inlineStr">
        <is>
          <t>TUB-O-N-AUT-AW-FC-60.30X2.000X6.0000</t>
        </is>
      </c>
    </row>
    <row r="3079">
      <c r="A3079" t="inlineStr">
        <is>
          <t>0000943209</t>
        </is>
      </c>
      <c r="B3079" t="inlineStr">
        <is>
          <t>MEGH STEELS PRIVATE LIMITED - TVS A</t>
        </is>
      </c>
      <c r="C3079" t="inlineStr">
        <is>
          <t>KG</t>
        </is>
      </c>
      <c r="D3079" t="n">
        <v>108</v>
      </c>
      <c r="E3079" t="n">
        <v>648.379</v>
      </c>
      <c r="F3079" t="n">
        <v>1820</v>
      </c>
      <c r="G3079" t="n">
        <v>3702875</v>
      </c>
      <c r="H3079" t="inlineStr">
        <is>
          <t>TUB-O-N-AUT-AW-FC-60.30X2.000X6.0000</t>
        </is>
      </c>
    </row>
    <row r="3080">
      <c r="A3080" t="inlineStr">
        <is>
          <t>0000943209</t>
        </is>
      </c>
      <c r="B3080" t="inlineStr">
        <is>
          <t>MEGH STEELS PRIVATE LIMITED - TVS A</t>
        </is>
      </c>
      <c r="C3080" t="inlineStr">
        <is>
          <t>KG</t>
        </is>
      </c>
      <c r="D3080" t="n">
        <v>132</v>
      </c>
      <c r="E3080" t="n">
        <v>792.6609999999999</v>
      </c>
      <c r="F3080" t="n">
        <v>2225</v>
      </c>
      <c r="G3080" t="n">
        <v>3702875</v>
      </c>
      <c r="H3080" t="inlineStr">
        <is>
          <t>TUB-O-N-AUT-AW-FC-60.30X2.000X6.0000</t>
        </is>
      </c>
    </row>
    <row r="3081">
      <c r="A3081" t="inlineStr">
        <is>
          <t>0000943209</t>
        </is>
      </c>
      <c r="B3081" t="inlineStr">
        <is>
          <t>MEGH STEELS PRIVATE LIMITED - TVS A</t>
        </is>
      </c>
      <c r="C3081" t="inlineStr">
        <is>
          <t>KG</t>
        </is>
      </c>
      <c r="D3081" t="n">
        <v>159</v>
      </c>
      <c r="E3081" t="n">
        <v>955.468</v>
      </c>
      <c r="F3081" t="n">
        <v>2682</v>
      </c>
      <c r="G3081" t="n">
        <v>3702875</v>
      </c>
      <c r="H3081" t="inlineStr">
        <is>
          <t>TUB-O-N-AUT-AW-FC-60.30X2.000X6.0000</t>
        </is>
      </c>
    </row>
    <row r="3082">
      <c r="A3082" t="inlineStr">
        <is>
          <t>0000943209</t>
        </is>
      </c>
      <c r="B3082" t="inlineStr">
        <is>
          <t>MEGH STEELS PRIVATE LIMITED - TVS A</t>
        </is>
      </c>
      <c r="C3082" t="inlineStr">
        <is>
          <t>KG</t>
        </is>
      </c>
      <c r="D3082" t="n">
        <v>101</v>
      </c>
      <c r="E3082" t="n">
        <v>608.123</v>
      </c>
      <c r="F3082" t="n">
        <v>1707</v>
      </c>
      <c r="G3082" t="n">
        <v>3702875</v>
      </c>
      <c r="H3082" t="inlineStr">
        <is>
          <t>TUB-O-N-AUT-AW-FC-60.30X2.000X6.0000</t>
        </is>
      </c>
    </row>
    <row r="3083">
      <c r="A3083" t="inlineStr">
        <is>
          <t>0000943209</t>
        </is>
      </c>
      <c r="B3083" t="inlineStr">
        <is>
          <t>MEGH STEELS PRIVATE LIMITED - TVS A</t>
        </is>
      </c>
      <c r="C3083" t="inlineStr">
        <is>
          <t>KG</t>
        </is>
      </c>
      <c r="D3083" t="n">
        <v>112</v>
      </c>
      <c r="E3083" t="n">
        <v>669.754</v>
      </c>
      <c r="F3083" t="n">
        <v>1880</v>
      </c>
      <c r="G3083" t="n">
        <v>3702875</v>
      </c>
      <c r="H3083" t="inlineStr">
        <is>
          <t>TUB-O-N-AUT-AW-FC-60.30X2.000X6.0000</t>
        </is>
      </c>
    </row>
    <row r="3084">
      <c r="A3084" t="inlineStr">
        <is>
          <t>0000943209</t>
        </is>
      </c>
      <c r="B3084" t="inlineStr">
        <is>
          <t>MEGH STEELS PRIVATE LIMITED - TVS A</t>
        </is>
      </c>
      <c r="C3084" t="inlineStr">
        <is>
          <t>KG</t>
        </is>
      </c>
      <c r="D3084" t="n">
        <v>29</v>
      </c>
      <c r="E3084" t="n">
        <v>172.782</v>
      </c>
      <c r="F3084" t="n">
        <v>485</v>
      </c>
      <c r="G3084" t="n">
        <v>3702875</v>
      </c>
      <c r="H3084" t="inlineStr">
        <is>
          <t>TUB-O-N-AUT-AW-FC-60.30X2.000X6.0000</t>
        </is>
      </c>
    </row>
    <row r="3085">
      <c r="A3085" t="inlineStr">
        <is>
          <t>0000943209</t>
        </is>
      </c>
      <c r="B3085" t="inlineStr">
        <is>
          <t>MEGH STEELS PRIVATE LIMITED - TVS A</t>
        </is>
      </c>
      <c r="C3085" t="inlineStr">
        <is>
          <t>KG</t>
        </is>
      </c>
      <c r="D3085" t="n">
        <v>41</v>
      </c>
      <c r="E3085" t="n">
        <v>243.447</v>
      </c>
      <c r="F3085" t="n">
        <v>683.357</v>
      </c>
      <c r="G3085" t="n">
        <v>3702875</v>
      </c>
      <c r="H3085" t="inlineStr">
        <is>
          <t>TUB-O-N-AUT-AW-FC-60.30X2.000X6.0000</t>
        </is>
      </c>
    </row>
    <row r="3086">
      <c r="A3086" t="inlineStr">
        <is>
          <t>0000943209</t>
        </is>
      </c>
      <c r="B3086" t="inlineStr">
        <is>
          <t>MEGH STEELS PRIVATE LIMITED - TVS A</t>
        </is>
      </c>
      <c r="C3086" t="inlineStr">
        <is>
          <t>KG</t>
        </is>
      </c>
      <c r="D3086" t="n">
        <v>4</v>
      </c>
      <c r="E3086" t="n">
        <v>25.436</v>
      </c>
      <c r="F3086" t="n">
        <v>71.40000000000001</v>
      </c>
      <c r="G3086" t="n">
        <v>3702875</v>
      </c>
      <c r="H3086" t="inlineStr">
        <is>
          <t>TUB-O-N-AUT-AW-FC-60.30X2.000X6.0000</t>
        </is>
      </c>
    </row>
    <row r="3087">
      <c r="A3087" t="inlineStr">
        <is>
          <t>0000943209</t>
        </is>
      </c>
      <c r="B3087" t="inlineStr">
        <is>
          <t>MEGH STEELS PRIVATE LIMITED - TVS A</t>
        </is>
      </c>
      <c r="C3087" t="inlineStr">
        <is>
          <t>KG</t>
        </is>
      </c>
      <c r="D3087" t="n">
        <v>6</v>
      </c>
      <c r="E3087" t="n">
        <v>35.02</v>
      </c>
      <c r="F3087" t="n">
        <v>98.3</v>
      </c>
      <c r="G3087" t="n">
        <v>3702875</v>
      </c>
      <c r="H3087" t="inlineStr">
        <is>
          <t>TUB-O-N-AUT-AW-FC-60.30X2.000X6.0000</t>
        </is>
      </c>
    </row>
    <row r="3088">
      <c r="A3088" t="inlineStr">
        <is>
          <t>0000943209</t>
        </is>
      </c>
      <c r="B3088" t="inlineStr">
        <is>
          <t>MEGH STEELS PRIVATE LIMITED - TVS A</t>
        </is>
      </c>
      <c r="C3088" t="inlineStr">
        <is>
          <t>KG</t>
        </is>
      </c>
      <c r="D3088" t="n">
        <v>71</v>
      </c>
      <c r="E3088" t="n">
        <v>427.503</v>
      </c>
      <c r="F3088" t="n">
        <v>1200</v>
      </c>
      <c r="G3088" t="n">
        <v>3702875</v>
      </c>
      <c r="H3088" t="inlineStr">
        <is>
          <t>TUB-O-N-AUT-AW-FC-60.30X2.000X6.0000</t>
        </is>
      </c>
    </row>
    <row r="3089">
      <c r="A3089" t="inlineStr">
        <is>
          <t>0000943209</t>
        </is>
      </c>
      <c r="B3089" t="inlineStr">
        <is>
          <t>MEGH STEELS PRIVATE LIMITED - TVS A</t>
        </is>
      </c>
      <c r="C3089" t="inlineStr">
        <is>
          <t>KG</t>
        </is>
      </c>
      <c r="D3089" t="n">
        <v>5</v>
      </c>
      <c r="E3089" t="n">
        <v>27.411</v>
      </c>
      <c r="F3089" t="n">
        <v>76.943</v>
      </c>
      <c r="G3089" t="n">
        <v>3702875</v>
      </c>
      <c r="H3089" t="inlineStr">
        <is>
          <t>TUB-O-N-AUT-AW-FC-60.30X2.000X6.0000</t>
        </is>
      </c>
    </row>
    <row r="3090">
      <c r="A3090" t="inlineStr">
        <is>
          <t>0000943209</t>
        </is>
      </c>
      <c r="B3090" t="inlineStr">
        <is>
          <t>MEGH STEELS PRIVATE LIMITED - TVS A</t>
        </is>
      </c>
      <c r="C3090" t="inlineStr">
        <is>
          <t>KG</t>
        </is>
      </c>
      <c r="D3090" t="n">
        <v>216</v>
      </c>
      <c r="E3090" t="n">
        <v>1337.064</v>
      </c>
      <c r="F3090" t="n">
        <v>1925.64</v>
      </c>
      <c r="G3090" t="n">
        <v>3502254</v>
      </c>
      <c r="H3090" t="inlineStr">
        <is>
          <t>TUB-O-N-AUT-AW-FC-38.10X1.600X6.1900</t>
        </is>
      </c>
    </row>
    <row r="3091">
      <c r="A3091" t="inlineStr">
        <is>
          <t>0000943209</t>
        </is>
      </c>
      <c r="B3091" t="inlineStr">
        <is>
          <t>MEGH STEELS PRIVATE LIMITED - TVS A</t>
        </is>
      </c>
      <c r="C3091" t="inlineStr">
        <is>
          <t>KG</t>
        </is>
      </c>
      <c r="D3091" t="n">
        <v>217</v>
      </c>
      <c r="E3091" t="n">
        <v>1343.254</v>
      </c>
      <c r="F3091" t="n">
        <v>1934.555</v>
      </c>
      <c r="G3091" t="n">
        <v>3502254</v>
      </c>
      <c r="H3091" t="inlineStr">
        <is>
          <t>TUB-O-N-AUT-AW-FC-38.10X1.600X6.1900</t>
        </is>
      </c>
    </row>
    <row r="3092">
      <c r="A3092" t="inlineStr">
        <is>
          <t>0000943209</t>
        </is>
      </c>
      <c r="B3092" t="inlineStr">
        <is>
          <t>MEGH STEELS PRIVATE LIMITED - TVS A</t>
        </is>
      </c>
      <c r="C3092" t="inlineStr">
        <is>
          <t>KG</t>
        </is>
      </c>
      <c r="D3092" t="n">
        <v>214</v>
      </c>
      <c r="E3092" t="n">
        <v>1324.684</v>
      </c>
      <c r="F3092" t="n">
        <v>1907.81</v>
      </c>
      <c r="G3092" t="n">
        <v>3502254</v>
      </c>
      <c r="H3092" t="inlineStr">
        <is>
          <t>TUB-O-N-AUT-AW-FC-38.10X1.600X6.1900</t>
        </is>
      </c>
    </row>
    <row r="3093">
      <c r="A3093" t="inlineStr">
        <is>
          <t>0000943209</t>
        </is>
      </c>
      <c r="B3093" t="inlineStr">
        <is>
          <t>MEGH STEELS PRIVATE LIMITED - TVS A</t>
        </is>
      </c>
      <c r="C3093" t="inlineStr">
        <is>
          <t>KG</t>
        </is>
      </c>
      <c r="D3093" t="n">
        <v>216</v>
      </c>
      <c r="E3093" t="n">
        <v>1337.064</v>
      </c>
      <c r="F3093" t="n">
        <v>1925.64</v>
      </c>
      <c r="G3093" t="n">
        <v>3502254</v>
      </c>
      <c r="H3093" t="inlineStr">
        <is>
          <t>TUB-O-N-AUT-AW-FC-38.10X1.600X6.1900</t>
        </is>
      </c>
    </row>
    <row r="3094">
      <c r="A3094" t="inlineStr">
        <is>
          <t>0000943209</t>
        </is>
      </c>
      <c r="B3094" t="inlineStr">
        <is>
          <t>MEGH STEELS PRIVATE LIMITED - TVS A</t>
        </is>
      </c>
      <c r="C3094" t="inlineStr">
        <is>
          <t>KG</t>
        </is>
      </c>
      <c r="D3094" t="n">
        <v>217</v>
      </c>
      <c r="E3094" t="n">
        <v>1343.254</v>
      </c>
      <c r="F3094" t="n">
        <v>1934.555</v>
      </c>
      <c r="G3094" t="n">
        <v>3502254</v>
      </c>
      <c r="H3094" t="inlineStr">
        <is>
          <t>TUB-O-N-AUT-AW-FC-38.10X1.600X6.1900</t>
        </is>
      </c>
    </row>
    <row r="3095">
      <c r="A3095" t="inlineStr">
        <is>
          <t>0000943209</t>
        </is>
      </c>
      <c r="B3095" t="inlineStr">
        <is>
          <t>MEGH STEELS PRIVATE LIMITED - TVS A</t>
        </is>
      </c>
      <c r="C3095" t="inlineStr">
        <is>
          <t>KG</t>
        </is>
      </c>
      <c r="D3095" t="n">
        <v>216</v>
      </c>
      <c r="E3095" t="n">
        <v>1337.064</v>
      </c>
      <c r="F3095" t="n">
        <v>1925.64</v>
      </c>
      <c r="G3095" t="n">
        <v>3502254</v>
      </c>
      <c r="H3095" t="inlineStr">
        <is>
          <t>TUB-O-N-AUT-AW-FC-38.10X1.600X6.1900</t>
        </is>
      </c>
    </row>
    <row r="3096">
      <c r="A3096" t="inlineStr">
        <is>
          <t>0000943209</t>
        </is>
      </c>
      <c r="B3096" t="inlineStr">
        <is>
          <t>MEGH STEELS PRIVATE LIMITED - TVS A</t>
        </is>
      </c>
      <c r="C3096" t="inlineStr">
        <is>
          <t>KG</t>
        </is>
      </c>
      <c r="D3096" t="n">
        <v>216</v>
      </c>
      <c r="E3096" t="n">
        <v>1337.064</v>
      </c>
      <c r="F3096" t="n">
        <v>1925.64</v>
      </c>
      <c r="G3096" t="n">
        <v>3502254</v>
      </c>
      <c r="H3096" t="inlineStr">
        <is>
          <t>TUB-O-N-AUT-AW-FC-38.10X1.600X6.1900</t>
        </is>
      </c>
    </row>
    <row r="3097">
      <c r="A3097" t="inlineStr">
        <is>
          <t>0000943209</t>
        </is>
      </c>
      <c r="B3097" t="inlineStr">
        <is>
          <t>MEGH STEELS PRIVATE LIMITED - TVS A</t>
        </is>
      </c>
      <c r="C3097" t="inlineStr">
        <is>
          <t>KG</t>
        </is>
      </c>
      <c r="D3097" t="n">
        <v>7</v>
      </c>
      <c r="E3097" t="n">
        <v>42.022</v>
      </c>
      <c r="F3097" t="n">
        <v>60.52</v>
      </c>
      <c r="G3097" t="n">
        <v>3502254</v>
      </c>
      <c r="H3097" t="inlineStr">
        <is>
          <t>TUB-O-N-AUT-AW-FC-38.10X1.600X6.1900</t>
        </is>
      </c>
    </row>
    <row r="3098">
      <c r="A3098" t="inlineStr">
        <is>
          <t>0000189454</t>
        </is>
      </c>
      <c r="B3098" t="inlineStr">
        <is>
          <t>NAHARS ENGINEERING INDIA PRIVATE LI</t>
        </is>
      </c>
      <c r="C3098" t="inlineStr">
        <is>
          <t>NOS</t>
        </is>
      </c>
      <c r="D3098" t="n">
        <v>5000</v>
      </c>
      <c r="E3098" t="n">
        <v>2039.998</v>
      </c>
      <c r="F3098" t="n">
        <v>1610.556</v>
      </c>
      <c r="G3098" t="n">
        <v>3723531</v>
      </c>
      <c r="H3098" t="inlineStr">
        <is>
          <t>CUT-O-N-AUT-AW-FC-25.40X1.400X0.4080</t>
        </is>
      </c>
    </row>
    <row r="3099">
      <c r="A3099" t="inlineStr">
        <is>
          <t>0000189454</t>
        </is>
      </c>
      <c r="B3099" t="inlineStr">
        <is>
          <t>NAHARS ENGINEERING INDIA PRIVATE LI</t>
        </is>
      </c>
      <c r="C3099" t="inlineStr">
        <is>
          <t>NOS</t>
        </is>
      </c>
      <c r="D3099" t="n">
        <v>6225</v>
      </c>
      <c r="E3099" t="n">
        <v>4873.959</v>
      </c>
      <c r="F3099" t="n">
        <v>4040.025</v>
      </c>
      <c r="G3099" t="n">
        <v>2371410</v>
      </c>
      <c r="H3099" t="inlineStr">
        <is>
          <t>TUB-O-O-AUT-AP-PE-25.40X1.400X0.7830</t>
        </is>
      </c>
    </row>
    <row r="3100">
      <c r="A3100" t="inlineStr">
        <is>
          <t>0000189481</t>
        </is>
      </c>
      <c r="B3100" t="inlineStr">
        <is>
          <t>Rajsriya Automotive Industries</t>
        </is>
      </c>
      <c r="C3100" t="inlineStr">
        <is>
          <t>M</t>
        </is>
      </c>
      <c r="D3100" t="n">
        <v>410</v>
      </c>
      <c r="E3100" t="n">
        <v>2550</v>
      </c>
      <c r="F3100" t="n">
        <v>2767.005</v>
      </c>
      <c r="G3100" t="n">
        <v>3500367</v>
      </c>
      <c r="H3100" t="inlineStr">
        <is>
          <t>TUB-O-N-AUT-AW-PE-22.20X2.30X6.220-ERW 1</t>
        </is>
      </c>
    </row>
    <row r="3101">
      <c r="A3101" t="inlineStr">
        <is>
          <t>0000189481</t>
        </is>
      </c>
      <c r="B3101" t="inlineStr">
        <is>
          <t>Rajsriya Automotive Industries</t>
        </is>
      </c>
      <c r="C3101" t="inlineStr">
        <is>
          <t>M</t>
        </is>
      </c>
      <c r="D3101" t="n">
        <v>155</v>
      </c>
      <c r="E3101" t="n">
        <v>928.343</v>
      </c>
      <c r="F3101" t="n">
        <v>1644.003</v>
      </c>
      <c r="G3101" t="n">
        <v>3702361</v>
      </c>
      <c r="H3101" t="inlineStr">
        <is>
          <t>TUB-O-N-AUT-AW-FC-31.75X2.500X6.0000</t>
        </is>
      </c>
    </row>
    <row r="3102">
      <c r="A3102" t="inlineStr">
        <is>
          <t>0000189481</t>
        </is>
      </c>
      <c r="B3102" t="inlineStr">
        <is>
          <t>Rajsriya Automotive Industries</t>
        </is>
      </c>
      <c r="C3102" t="inlineStr">
        <is>
          <t>M</t>
        </is>
      </c>
      <c r="D3102" t="n">
        <v>141</v>
      </c>
      <c r="E3102" t="n">
        <v>846.657</v>
      </c>
      <c r="F3102" t="n">
        <v>1499.345</v>
      </c>
      <c r="G3102" t="n">
        <v>3702361</v>
      </c>
      <c r="H3102" t="inlineStr">
        <is>
          <t>TUB-O-N-AUT-AW-FC-31.75X2.500X6.0000</t>
        </is>
      </c>
    </row>
    <row r="3103">
      <c r="A3103" t="inlineStr">
        <is>
          <t>0000943209</t>
        </is>
      </c>
      <c r="B3103" t="inlineStr">
        <is>
          <t>MEGH STEELS PRIVATE LIMITED - TVS A</t>
        </is>
      </c>
      <c r="C3103" t="inlineStr">
        <is>
          <t>KG</t>
        </is>
      </c>
      <c r="D3103" t="n">
        <v>217</v>
      </c>
      <c r="E3103" t="n">
        <v>1343.254</v>
      </c>
      <c r="F3103" t="n">
        <v>1934.555</v>
      </c>
      <c r="G3103" t="n">
        <v>3502254</v>
      </c>
      <c r="H3103" t="inlineStr">
        <is>
          <t>TUB-O-N-AUT-AW-FC-38.10X1.600X6.1900</t>
        </is>
      </c>
    </row>
    <row r="3104">
      <c r="A3104" t="inlineStr">
        <is>
          <t>0000943209</t>
        </is>
      </c>
      <c r="B3104" t="inlineStr">
        <is>
          <t>MEGH STEELS PRIVATE LIMITED - TVS A</t>
        </is>
      </c>
      <c r="C3104" t="inlineStr">
        <is>
          <t>KG</t>
        </is>
      </c>
      <c r="D3104" t="n">
        <v>5</v>
      </c>
      <c r="E3104" t="n">
        <v>31.555</v>
      </c>
      <c r="F3104" t="n">
        <v>45.445</v>
      </c>
      <c r="G3104" t="n">
        <v>3502254</v>
      </c>
      <c r="H3104" t="inlineStr">
        <is>
          <t>TUB-O-N-AUT-AW-FC-38.10X1.600X6.1900</t>
        </is>
      </c>
    </row>
    <row r="3105">
      <c r="A3105" t="inlineStr">
        <is>
          <t>0000948721</t>
        </is>
      </c>
      <c r="B3105" t="inlineStr">
        <is>
          <t>ELKAYEM AUTO ANCILLARIES PRIVATE LI</t>
        </is>
      </c>
      <c r="C3105" t="inlineStr">
        <is>
          <t>M</t>
        </is>
      </c>
      <c r="D3105" t="n">
        <v>3</v>
      </c>
      <c r="E3105" t="n">
        <v>12.154</v>
      </c>
      <c r="F3105" t="n">
        <v>20.619</v>
      </c>
      <c r="G3105" t="n">
        <v>2410388</v>
      </c>
      <c r="H3105" t="inlineStr">
        <is>
          <t>TUB-O-C-AUT-AD-FC-28.60X2.650X04-05</t>
        </is>
      </c>
    </row>
    <row r="3106">
      <c r="A3106" t="inlineStr">
        <is>
          <t>0000948721</t>
        </is>
      </c>
      <c r="B3106" t="inlineStr">
        <is>
          <t>ELKAYEM AUTO ANCILLARIES PRIVATE LI</t>
        </is>
      </c>
      <c r="C3106" t="inlineStr">
        <is>
          <t>M</t>
        </is>
      </c>
      <c r="D3106" t="n">
        <v>209</v>
      </c>
      <c r="E3106" t="n">
        <v>939.581</v>
      </c>
      <c r="F3106" t="n">
        <v>1593.999</v>
      </c>
      <c r="G3106" t="n">
        <v>2410388</v>
      </c>
      <c r="H3106" t="inlineStr">
        <is>
          <t>TUB-O-C-AUT-AD-FC-28.60X2.650X04-05</t>
        </is>
      </c>
    </row>
    <row r="3107">
      <c r="A3107" t="inlineStr">
        <is>
          <t>0000948721</t>
        </is>
      </c>
      <c r="B3107" t="inlineStr">
        <is>
          <t>ELKAYEM AUTO ANCILLARIES PRIVATE LI</t>
        </is>
      </c>
      <c r="C3107" t="inlineStr">
        <is>
          <t>M</t>
        </is>
      </c>
      <c r="D3107" t="n">
        <v>97</v>
      </c>
      <c r="E3107" t="n">
        <v>434.265</v>
      </c>
      <c r="F3107" t="n">
        <v>736.731</v>
      </c>
      <c r="G3107" t="n">
        <v>2410388</v>
      </c>
      <c r="H3107" t="inlineStr">
        <is>
          <t>TUB-O-C-AUT-AD-FC-28.60X2.650X04-05</t>
        </is>
      </c>
    </row>
    <row r="3108">
      <c r="A3108" t="inlineStr">
        <is>
          <t>0000189226</t>
        </is>
      </c>
      <c r="B3108" t="inlineStr">
        <is>
          <t>Neel Metal Products Limited</t>
        </is>
      </c>
      <c r="C3108" t="inlineStr">
        <is>
          <t>NOS</t>
        </is>
      </c>
      <c r="D3108" t="n">
        <v>2542</v>
      </c>
      <c r="E3108" t="n">
        <v>599.62</v>
      </c>
      <c r="F3108" t="n">
        <v>3520.67</v>
      </c>
      <c r="G3108" t="n">
        <v>2429059</v>
      </c>
      <c r="H3108" t="inlineStr">
        <is>
          <t>TUB-O-N-AUT-AN-FC-63.50X4.000X0.2360</t>
        </is>
      </c>
    </row>
    <row r="3109">
      <c r="A3109" t="inlineStr">
        <is>
          <t>0000189454</t>
        </is>
      </c>
      <c r="B3109" t="inlineStr">
        <is>
          <t>NAHARS ENGINEERING INDIA PRIVATE LI</t>
        </is>
      </c>
      <c r="C3109" t="inlineStr">
        <is>
          <t>NOS</t>
        </is>
      </c>
      <c r="D3109" t="n">
        <v>3000</v>
      </c>
      <c r="E3109" t="n">
        <v>1223.999</v>
      </c>
      <c r="F3109" t="n">
        <v>966.333</v>
      </c>
      <c r="G3109" t="n">
        <v>3723531</v>
      </c>
      <c r="H3109" t="inlineStr">
        <is>
          <t>CUT-O-N-AUT-AW-FC-25.40X1.400X0.4080</t>
        </is>
      </c>
    </row>
    <row r="3110">
      <c r="A3110" t="inlineStr">
        <is>
          <t>0000189002</t>
        </is>
      </c>
      <c r="B3110" t="inlineStr">
        <is>
          <t>Marathwada Auto Compo Pvt. Ltd.</t>
        </is>
      </c>
      <c r="C3110" t="inlineStr">
        <is>
          <t>NOS</t>
        </is>
      </c>
      <c r="D3110" t="n">
        <v>1841.366</v>
      </c>
      <c r="E3110" t="n">
        <v>500.607</v>
      </c>
      <c r="F3110" t="n">
        <v>1126.916</v>
      </c>
      <c r="G3110" t="n">
        <v>1938125</v>
      </c>
      <c r="H3110" t="inlineStr">
        <is>
          <t>TUB-I-C-AUT-AN-FC-39.00X34.00X0.2720</t>
        </is>
      </c>
    </row>
    <row r="3111">
      <c r="A3111" t="inlineStr">
        <is>
          <t>0000189002</t>
        </is>
      </c>
      <c r="B3111" t="inlineStr">
        <is>
          <t>Marathwada Auto Compo Pvt. Ltd.</t>
        </is>
      </c>
      <c r="C3111" t="inlineStr">
        <is>
          <t>NOS</t>
        </is>
      </c>
      <c r="D3111" t="n">
        <v>2795.297</v>
      </c>
      <c r="E3111" t="n">
        <v>759.949</v>
      </c>
      <c r="F3111" t="n">
        <v>1710.722</v>
      </c>
      <c r="G3111" t="n">
        <v>1938125</v>
      </c>
      <c r="H3111" t="inlineStr">
        <is>
          <t>TUB-I-C-AUT-AN-FC-39.00X34.00X0.2720</t>
        </is>
      </c>
    </row>
    <row r="3112">
      <c r="A3112" t="inlineStr">
        <is>
          <t>0000189002</t>
        </is>
      </c>
      <c r="B3112" t="inlineStr">
        <is>
          <t>Marathwada Auto Compo Pvt. Ltd.</t>
        </is>
      </c>
      <c r="C3112" t="inlineStr">
        <is>
          <t>NOS</t>
        </is>
      </c>
      <c r="D3112" t="n">
        <v>1936</v>
      </c>
      <c r="E3112" t="n">
        <v>526.335</v>
      </c>
      <c r="F3112" t="n">
        <v>1184.832</v>
      </c>
      <c r="G3112" t="n">
        <v>1938125</v>
      </c>
      <c r="H3112" t="inlineStr">
        <is>
          <t>TUB-I-C-AUT-AN-FC-39.00X34.00X0.2720</t>
        </is>
      </c>
    </row>
    <row r="3113">
      <c r="A3113" t="inlineStr">
        <is>
          <t>0000189002</t>
        </is>
      </c>
      <c r="B3113" t="inlineStr">
        <is>
          <t>Marathwada Auto Compo Pvt. Ltd.</t>
        </is>
      </c>
      <c r="C3113" t="inlineStr">
        <is>
          <t>NOS</t>
        </is>
      </c>
      <c r="D3113" t="n">
        <v>2378.926</v>
      </c>
      <c r="E3113" t="n">
        <v>646.752</v>
      </c>
      <c r="F3113" t="n">
        <v>1455.903</v>
      </c>
      <c r="G3113" t="n">
        <v>1938125</v>
      </c>
      <c r="H3113" t="inlineStr">
        <is>
          <t>TUB-I-C-AUT-AN-FC-39.00X34.00X0.2720</t>
        </is>
      </c>
    </row>
    <row r="3114">
      <c r="A3114" t="inlineStr">
        <is>
          <t>0000189002</t>
        </is>
      </c>
      <c r="B3114" t="inlineStr">
        <is>
          <t>Marathwada Auto Compo Pvt. Ltd.</t>
        </is>
      </c>
      <c r="C3114" t="inlineStr">
        <is>
          <t>NOS</t>
        </is>
      </c>
      <c r="D3114" t="n">
        <v>966.306</v>
      </c>
      <c r="E3114" t="n">
        <v>262.707</v>
      </c>
      <c r="F3114" t="n">
        <v>591.379</v>
      </c>
      <c r="G3114" t="n">
        <v>1938125</v>
      </c>
      <c r="H3114" t="inlineStr">
        <is>
          <t>TUB-I-C-AUT-AN-FC-39.00X34.00X0.2720</t>
        </is>
      </c>
    </row>
    <row r="3115">
      <c r="A3115" t="inlineStr">
        <is>
          <t>0000189002</t>
        </is>
      </c>
      <c r="B3115" t="inlineStr">
        <is>
          <t>Marathwada Auto Compo Pvt. Ltd.</t>
        </is>
      </c>
      <c r="C3115" t="inlineStr">
        <is>
          <t>NOS</t>
        </is>
      </c>
      <c r="D3115" t="n">
        <v>232.105</v>
      </c>
      <c r="E3115" t="n">
        <v>63.102</v>
      </c>
      <c r="F3115" t="n">
        <v>142.048</v>
      </c>
      <c r="G3115" t="n">
        <v>1938125</v>
      </c>
      <c r="H3115" t="inlineStr">
        <is>
          <t>TUB-I-C-AUT-AN-FC-39.00X34.00X0.2720</t>
        </is>
      </c>
    </row>
    <row r="3116">
      <c r="A3116" t="inlineStr">
        <is>
          <t>0000189002</t>
        </is>
      </c>
      <c r="B3116" t="inlineStr">
        <is>
          <t>Marathwada Auto Compo Pvt. Ltd.</t>
        </is>
      </c>
      <c r="C3116" t="inlineStr">
        <is>
          <t>NOS</t>
        </is>
      </c>
      <c r="D3116" t="n">
        <v>8500</v>
      </c>
      <c r="E3116" t="n">
        <v>1841.546</v>
      </c>
      <c r="F3116" t="n">
        <v>2601</v>
      </c>
      <c r="G3116" t="n">
        <v>1939544</v>
      </c>
      <c r="H3116" t="inlineStr">
        <is>
          <t>TUB-O-C-CEW-AD-FC-25.40X2.500X0.2170</t>
        </is>
      </c>
    </row>
    <row r="3117">
      <c r="A3117" t="inlineStr">
        <is>
          <t>0000185254</t>
        </is>
      </c>
      <c r="B3117" t="inlineStr">
        <is>
          <t>LAXMI METAL PRESSING WORKS PVT LTD</t>
        </is>
      </c>
      <c r="C3117" t="inlineStr">
        <is>
          <t>NOS</t>
        </is>
      </c>
      <c r="D3117" t="n">
        <v>377</v>
      </c>
      <c r="E3117" t="n">
        <v>319.321</v>
      </c>
      <c r="F3117" t="n">
        <v>733.001</v>
      </c>
      <c r="G3117" t="n">
        <v>3781664</v>
      </c>
      <c r="H3117" t="inlineStr">
        <is>
          <t>CUT-S-AW-SHS-50.00X50.00X1.600X0.8470</t>
        </is>
      </c>
    </row>
    <row r="3118">
      <c r="A3118" t="inlineStr">
        <is>
          <t>0000185254</t>
        </is>
      </c>
      <c r="B3118" t="inlineStr">
        <is>
          <t>LAXMI METAL PRESSING WORKS PVT LTD</t>
        </is>
      </c>
      <c r="C3118" t="inlineStr">
        <is>
          <t>NOS</t>
        </is>
      </c>
      <c r="D3118" t="n">
        <v>631</v>
      </c>
      <c r="E3118" t="n">
        <v>534.46</v>
      </c>
      <c r="F3118" t="n">
        <v>1226.853</v>
      </c>
      <c r="G3118" t="n">
        <v>3781664</v>
      </c>
      <c r="H3118" t="inlineStr">
        <is>
          <t>CUT-S-AW-SHS-50.00X50.00X1.600X0.8470</t>
        </is>
      </c>
    </row>
    <row r="3119">
      <c r="A3119" t="inlineStr">
        <is>
          <t>0000185254</t>
        </is>
      </c>
      <c r="B3119" t="inlineStr">
        <is>
          <t>LAXMI METAL PRESSING WORKS PVT LTD</t>
        </is>
      </c>
      <c r="C3119" t="inlineStr">
        <is>
          <t>NOS</t>
        </is>
      </c>
      <c r="D3119" t="n">
        <v>100</v>
      </c>
      <c r="E3119" t="n">
        <v>23.401</v>
      </c>
      <c r="F3119" t="n">
        <v>134.14</v>
      </c>
      <c r="G3119" t="n">
        <v>3746291</v>
      </c>
      <c r="H3119" t="inlineStr">
        <is>
          <t>CUT-O-N-AUT-BH-FC-63.50X4.000X0.2340</t>
        </is>
      </c>
    </row>
    <row r="3120">
      <c r="A3120" t="inlineStr">
        <is>
          <t>0000185254</t>
        </is>
      </c>
      <c r="B3120" t="inlineStr">
        <is>
          <t>LAXMI METAL PRESSING WORKS PVT LTD</t>
        </is>
      </c>
      <c r="C3120" t="inlineStr">
        <is>
          <t>NOS</t>
        </is>
      </c>
      <c r="D3120" t="n">
        <v>550</v>
      </c>
      <c r="E3120" t="n">
        <v>144.65</v>
      </c>
      <c r="F3120" t="n">
        <v>829.1799999999999</v>
      </c>
      <c r="G3120" t="n">
        <v>4196298</v>
      </c>
      <c r="H3120" t="inlineStr">
        <is>
          <t>CUT-O-N-AUT-BH-FC-63.50X4.000X0.2630</t>
        </is>
      </c>
    </row>
    <row r="3121">
      <c r="A3121" t="inlineStr">
        <is>
          <t>0000184192</t>
        </is>
      </c>
      <c r="B3121" t="inlineStr">
        <is>
          <t>JBM AUTO LIMITED</t>
        </is>
      </c>
      <c r="C3121" t="inlineStr">
        <is>
          <t>NOS</t>
        </is>
      </c>
      <c r="D3121" t="n">
        <v>1782</v>
      </c>
      <c r="E3121" t="n">
        <v>383.27</v>
      </c>
      <c r="F3121" t="n">
        <v>1650.132</v>
      </c>
      <c r="G3121" t="n">
        <v>3614493</v>
      </c>
      <c r="H3121" t="inlineStr">
        <is>
          <t>TUB-O-C-AUT-AN-FC-47.63X4.000X0.2150</t>
        </is>
      </c>
    </row>
    <row r="3122">
      <c r="A3122" t="inlineStr">
        <is>
          <t>0000184192</t>
        </is>
      </c>
      <c r="B3122" t="inlineStr">
        <is>
          <t>JBM AUTO LIMITED</t>
        </is>
      </c>
      <c r="C3122" t="inlineStr">
        <is>
          <t>NOS</t>
        </is>
      </c>
      <c r="D3122" t="n">
        <v>2348.19</v>
      </c>
      <c r="E3122" t="n">
        <v>505.046</v>
      </c>
      <c r="F3122" t="n">
        <v>2174.424</v>
      </c>
      <c r="G3122" t="n">
        <v>3614493</v>
      </c>
      <c r="H3122" t="inlineStr">
        <is>
          <t>TUB-O-C-AUT-AN-FC-47.63X4.000X0.2150</t>
        </is>
      </c>
    </row>
    <row r="3123">
      <c r="A3123" t="inlineStr">
        <is>
          <t>0000184192</t>
        </is>
      </c>
      <c r="B3123" t="inlineStr">
        <is>
          <t>JBM AUTO LIMITED</t>
        </is>
      </c>
      <c r="C3123" t="inlineStr">
        <is>
          <t>NOS</t>
        </is>
      </c>
      <c r="D3123" t="n">
        <v>399.81</v>
      </c>
      <c r="E3123" t="n">
        <v>85.991</v>
      </c>
      <c r="F3123" t="n">
        <v>370.224</v>
      </c>
      <c r="G3123" t="n">
        <v>3614493</v>
      </c>
      <c r="H3123" t="inlineStr">
        <is>
          <t>TUB-O-C-AUT-AN-FC-47.63X4.000X0.2150</t>
        </is>
      </c>
    </row>
    <row r="3124">
      <c r="A3124" t="inlineStr">
        <is>
          <t>0000184192</t>
        </is>
      </c>
      <c r="B3124" t="inlineStr">
        <is>
          <t>JBM AUTO LIMITED</t>
        </is>
      </c>
      <c r="C3124" t="inlineStr">
        <is>
          <t>NOS</t>
        </is>
      </c>
      <c r="D3124" t="n">
        <v>1440.674</v>
      </c>
      <c r="E3124" t="n">
        <v>459.575</v>
      </c>
      <c r="F3124" t="n">
        <v>1265.76</v>
      </c>
      <c r="G3124" t="n">
        <v>4157557</v>
      </c>
      <c r="H3124" t="inlineStr">
        <is>
          <t>PT4-O-N-AUT-AW-FC-38.10X3.200X0.3190</t>
        </is>
      </c>
    </row>
    <row r="3125">
      <c r="A3125" t="inlineStr">
        <is>
          <t>0000184192</t>
        </is>
      </c>
      <c r="B3125" t="inlineStr">
        <is>
          <t>JBM AUTO LIMITED</t>
        </is>
      </c>
      <c r="C3125" t="inlineStr">
        <is>
          <t>NOS</t>
        </is>
      </c>
      <c r="D3125" t="n">
        <v>289.196</v>
      </c>
      <c r="E3125" t="n">
        <v>92.253</v>
      </c>
      <c r="F3125" t="n">
        <v>254.084</v>
      </c>
      <c r="G3125" t="n">
        <v>4157557</v>
      </c>
      <c r="H3125" t="inlineStr">
        <is>
          <t>PT4-O-N-AUT-AW-FC-38.10X3.200X0.3190</t>
        </is>
      </c>
    </row>
    <row r="3126">
      <c r="A3126" t="inlineStr">
        <is>
          <t>0000184192</t>
        </is>
      </c>
      <c r="B3126" t="inlineStr">
        <is>
          <t>JBM AUTO LIMITED</t>
        </is>
      </c>
      <c r="C3126" t="inlineStr">
        <is>
          <t>NOS</t>
        </is>
      </c>
      <c r="D3126" t="n">
        <v>398.306</v>
      </c>
      <c r="E3126" t="n">
        <v>127.059</v>
      </c>
      <c r="F3126" t="n">
        <v>349.947</v>
      </c>
      <c r="G3126" t="n">
        <v>4157557</v>
      </c>
      <c r="H3126" t="inlineStr">
        <is>
          <t>PT4-O-N-AUT-AW-FC-38.10X3.200X0.3190</t>
        </is>
      </c>
    </row>
    <row r="3127">
      <c r="A3127" t="inlineStr">
        <is>
          <t>0000184192</t>
        </is>
      </c>
      <c r="B3127" t="inlineStr">
        <is>
          <t>JBM AUTO LIMITED</t>
        </is>
      </c>
      <c r="C3127" t="inlineStr">
        <is>
          <t>NOS</t>
        </is>
      </c>
      <c r="D3127" t="n">
        <v>219.522</v>
      </c>
      <c r="E3127" t="n">
        <v>70.027</v>
      </c>
      <c r="F3127" t="n">
        <v>192.87</v>
      </c>
      <c r="G3127" t="n">
        <v>4157557</v>
      </c>
      <c r="H3127" t="inlineStr">
        <is>
          <t>PT4-O-N-AUT-AW-FC-38.10X3.200X0.3190</t>
        </is>
      </c>
    </row>
    <row r="3128">
      <c r="A3128" t="inlineStr">
        <is>
          <t>0000184192</t>
        </is>
      </c>
      <c r="B3128" t="inlineStr">
        <is>
          <t>JBM AUTO LIMITED</t>
        </is>
      </c>
      <c r="C3128" t="inlineStr">
        <is>
          <t>NOS</t>
        </is>
      </c>
      <c r="D3128" t="n">
        <v>205.318</v>
      </c>
      <c r="E3128" t="n">
        <v>65.496</v>
      </c>
      <c r="F3128" t="n">
        <v>180.39</v>
      </c>
      <c r="G3128" t="n">
        <v>4157557</v>
      </c>
      <c r="H3128" t="inlineStr">
        <is>
          <t>PT4-O-N-AUT-AW-FC-38.10X3.200X0.3190</t>
        </is>
      </c>
    </row>
    <row r="3129">
      <c r="A3129" t="inlineStr">
        <is>
          <t>0000184192</t>
        </is>
      </c>
      <c r="B3129" t="inlineStr">
        <is>
          <t>JBM AUTO LIMITED</t>
        </is>
      </c>
      <c r="C3129" t="inlineStr">
        <is>
          <t>NOS</t>
        </is>
      </c>
      <c r="D3129" t="n">
        <v>193.877</v>
      </c>
      <c r="E3129" t="n">
        <v>61.847</v>
      </c>
      <c r="F3129" t="n">
        <v>170.338</v>
      </c>
      <c r="G3129" t="n">
        <v>4157557</v>
      </c>
      <c r="H3129" t="inlineStr">
        <is>
          <t>PT4-O-N-AUT-AW-FC-38.10X3.200X0.3190</t>
        </is>
      </c>
    </row>
    <row r="3130">
      <c r="A3130" t="inlineStr">
        <is>
          <t>0000184192</t>
        </is>
      </c>
      <c r="B3130" t="inlineStr">
        <is>
          <t>JBM AUTO LIMITED</t>
        </is>
      </c>
      <c r="C3130" t="inlineStr">
        <is>
          <t>NOS</t>
        </is>
      </c>
      <c r="D3130" t="n">
        <v>83.107</v>
      </c>
      <c r="E3130" t="n">
        <v>26.511</v>
      </c>
      <c r="F3130" t="n">
        <v>73.017</v>
      </c>
      <c r="G3130" t="n">
        <v>4157557</v>
      </c>
      <c r="H3130" t="inlineStr">
        <is>
          <t>PT4-O-N-AUT-AW-FC-38.10X3.200X0.3190</t>
        </is>
      </c>
    </row>
    <row r="3131">
      <c r="A3131" t="inlineStr">
        <is>
          <t>0000188356</t>
        </is>
      </c>
      <c r="B3131" t="inlineStr">
        <is>
          <t>Thai Summit Autoparts India Pvt Ltd</t>
        </is>
      </c>
      <c r="C3131" t="inlineStr">
        <is>
          <t>NOS</t>
        </is>
      </c>
      <c r="D3131" t="n">
        <v>950.677</v>
      </c>
      <c r="E3131" t="n">
        <v>205.347</v>
      </c>
      <c r="F3131" t="n">
        <v>883.792</v>
      </c>
      <c r="G3131" t="n">
        <v>4186550</v>
      </c>
      <c r="H3131" t="inlineStr">
        <is>
          <t>CUT-O-C-AUT-BH-FC-47.63X4.000X0.2160</t>
        </is>
      </c>
    </row>
    <row r="3132">
      <c r="A3132" t="inlineStr">
        <is>
          <t>0000188356</t>
        </is>
      </c>
      <c r="B3132" t="inlineStr">
        <is>
          <t>Thai Summit Autoparts India Pvt Ltd</t>
        </is>
      </c>
      <c r="C3132" t="inlineStr">
        <is>
          <t>NOS</t>
        </is>
      </c>
      <c r="D3132" t="n">
        <v>1942.623</v>
      </c>
      <c r="E3132" t="n">
        <v>419.607</v>
      </c>
      <c r="F3132" t="n">
        <v>1805.949</v>
      </c>
      <c r="G3132" t="n">
        <v>4186550</v>
      </c>
      <c r="H3132" t="inlineStr">
        <is>
          <t>CUT-O-C-AUT-BH-FC-47.63X4.000X0.2160</t>
        </is>
      </c>
    </row>
    <row r="3133">
      <c r="A3133" t="inlineStr">
        <is>
          <t>0000188356</t>
        </is>
      </c>
      <c r="B3133" t="inlineStr">
        <is>
          <t>Thai Summit Autoparts India Pvt Ltd</t>
        </is>
      </c>
      <c r="C3133" t="inlineStr">
        <is>
          <t>NOS</t>
        </is>
      </c>
      <c r="D3133" t="n">
        <v>2166.7</v>
      </c>
      <c r="E3133" t="n">
        <v>468.008</v>
      </c>
      <c r="F3133" t="n">
        <v>2014.261</v>
      </c>
      <c r="G3133" t="n">
        <v>4186550</v>
      </c>
      <c r="H3133" t="inlineStr">
        <is>
          <t>CUT-O-C-AUT-BH-FC-47.63X4.000X0.2160</t>
        </is>
      </c>
    </row>
    <row r="3134">
      <c r="A3134" t="inlineStr">
        <is>
          <t>0000189240</t>
        </is>
      </c>
      <c r="B3134" t="inlineStr">
        <is>
          <t>Rajsriya Automotive Ind Pvt Ltd.</t>
        </is>
      </c>
      <c r="C3134" t="inlineStr">
        <is>
          <t>NOS</t>
        </is>
      </c>
      <c r="D3134" t="n">
        <v>44.605</v>
      </c>
      <c r="E3134" t="n">
        <v>21.632</v>
      </c>
      <c r="F3134" t="n">
        <v>33.32</v>
      </c>
      <c r="G3134" t="n">
        <v>2359755</v>
      </c>
      <c r="H3134" t="inlineStr">
        <is>
          <t>TUB-O-C-AUT-AD-FC-30.00X2.250X0.4850</t>
        </is>
      </c>
    </row>
    <row r="3135">
      <c r="A3135" t="inlineStr">
        <is>
          <t>0000189240</t>
        </is>
      </c>
      <c r="B3135" t="inlineStr">
        <is>
          <t>Rajsriya Automotive Ind Pvt Ltd.</t>
        </is>
      </c>
      <c r="C3135" t="inlineStr">
        <is>
          <t>NOS</t>
        </is>
      </c>
      <c r="D3135" t="n">
        <v>240</v>
      </c>
      <c r="E3135" t="n">
        <v>116.393</v>
      </c>
      <c r="F3135" t="n">
        <v>179.28</v>
      </c>
      <c r="G3135" t="n">
        <v>2359755</v>
      </c>
      <c r="H3135" t="inlineStr">
        <is>
          <t>TUB-O-C-AUT-AD-FC-30.00X2.250X0.4850</t>
        </is>
      </c>
    </row>
    <row r="3136">
      <c r="A3136" t="inlineStr">
        <is>
          <t>0000189240</t>
        </is>
      </c>
      <c r="B3136" t="inlineStr">
        <is>
          <t>Rajsriya Automotive Ind Pvt Ltd.</t>
        </is>
      </c>
      <c r="C3136" t="inlineStr">
        <is>
          <t>NOS</t>
        </is>
      </c>
      <c r="D3136" t="n">
        <v>70.497</v>
      </c>
      <c r="E3136" t="n">
        <v>34.189</v>
      </c>
      <c r="F3136" t="n">
        <v>52.661</v>
      </c>
      <c r="G3136" t="n">
        <v>2359755</v>
      </c>
      <c r="H3136" t="inlineStr">
        <is>
          <t>TUB-O-C-AUT-AD-FC-30.00X2.250X0.4850</t>
        </is>
      </c>
    </row>
    <row r="3137">
      <c r="A3137" t="inlineStr">
        <is>
          <t>0000189240</t>
        </is>
      </c>
      <c r="B3137" t="inlineStr">
        <is>
          <t>Rajsriya Automotive Ind Pvt Ltd.</t>
        </is>
      </c>
      <c r="C3137" t="inlineStr">
        <is>
          <t>NOS</t>
        </is>
      </c>
      <c r="D3137" t="n">
        <v>96.116</v>
      </c>
      <c r="E3137" t="n">
        <v>46.613</v>
      </c>
      <c r="F3137" t="n">
        <v>71.79900000000001</v>
      </c>
      <c r="G3137" t="n">
        <v>2359755</v>
      </c>
      <c r="H3137" t="inlineStr">
        <is>
          <t>TUB-O-C-AUT-AD-FC-30.00X2.250X0.4850</t>
        </is>
      </c>
    </row>
    <row r="3138">
      <c r="A3138" t="inlineStr">
        <is>
          <t>0000189240</t>
        </is>
      </c>
      <c r="B3138" t="inlineStr">
        <is>
          <t>Rajsriya Automotive Ind Pvt Ltd.</t>
        </is>
      </c>
      <c r="C3138" t="inlineStr">
        <is>
          <t>NOS</t>
        </is>
      </c>
      <c r="D3138" t="n">
        <v>2548.782</v>
      </c>
      <c r="E3138" t="n">
        <v>1236.084</v>
      </c>
      <c r="F3138" t="n">
        <v>1903.94</v>
      </c>
      <c r="G3138" t="n">
        <v>2359755</v>
      </c>
      <c r="H3138" t="inlineStr">
        <is>
          <t>TUB-O-C-AUT-AD-FC-30.00X2.250X0.4850</t>
        </is>
      </c>
    </row>
    <row r="3139">
      <c r="A3139" t="inlineStr">
        <is>
          <t>0000189240</t>
        </is>
      </c>
      <c r="B3139" t="inlineStr">
        <is>
          <t>Rajsriya Automotive Ind Pvt Ltd.</t>
        </is>
      </c>
      <c r="C3139" t="inlineStr">
        <is>
          <t>NOS</t>
        </is>
      </c>
      <c r="D3139" t="n">
        <v>2000</v>
      </c>
      <c r="E3139" t="n">
        <v>543.734</v>
      </c>
      <c r="F3139" t="n">
        <v>1224</v>
      </c>
      <c r="G3139" t="n">
        <v>1938125</v>
      </c>
      <c r="H3139" t="inlineStr">
        <is>
          <t>TUB-I-C-AUT-AN-FC-39.00X34.00X0.2720</t>
        </is>
      </c>
    </row>
    <row r="3140">
      <c r="A3140" t="inlineStr">
        <is>
          <t>0000189270</t>
        </is>
      </c>
      <c r="B3140" t="inlineStr">
        <is>
          <t>Indo Autotech Limited (Unit V)</t>
        </is>
      </c>
      <c r="C3140" t="inlineStr">
        <is>
          <t>NOS</t>
        </is>
      </c>
      <c r="D3140" t="n">
        <v>1860</v>
      </c>
      <c r="E3140" t="n">
        <v>575.992</v>
      </c>
      <c r="F3140" t="n">
        <v>1324.32</v>
      </c>
      <c r="G3140" t="n">
        <v>2244440</v>
      </c>
      <c r="H3140" t="inlineStr">
        <is>
          <t>TUB-O-N-AUT-AW-FC-48.60X2.000X0.3100</t>
        </is>
      </c>
    </row>
    <row r="3141">
      <c r="A3141" t="inlineStr">
        <is>
          <t>0000189270</t>
        </is>
      </c>
      <c r="B3141" t="inlineStr">
        <is>
          <t>Indo Autotech Limited (Unit V)</t>
        </is>
      </c>
      <c r="C3141" t="inlineStr">
        <is>
          <t>NOS</t>
        </is>
      </c>
      <c r="D3141" t="n">
        <v>515.418</v>
      </c>
      <c r="E3141" t="n">
        <v>237.151</v>
      </c>
      <c r="F3141" t="n">
        <v>950.431</v>
      </c>
      <c r="G3141" t="n">
        <v>3136139</v>
      </c>
      <c r="H3141" t="inlineStr">
        <is>
          <t>TUB-O-N-AUT-AW-FC-57.15X3.000X0.4600</t>
        </is>
      </c>
    </row>
    <row r="3142">
      <c r="A3142" t="inlineStr">
        <is>
          <t>0000189270</t>
        </is>
      </c>
      <c r="B3142" t="inlineStr">
        <is>
          <t>Indo Autotech Limited (Unit V)</t>
        </is>
      </c>
      <c r="C3142" t="inlineStr">
        <is>
          <t>NOS</t>
        </is>
      </c>
      <c r="D3142" t="n">
        <v>1276.582</v>
      </c>
      <c r="E3142" t="n">
        <v>587.374</v>
      </c>
      <c r="F3142" t="n">
        <v>2354.017</v>
      </c>
      <c r="G3142" t="n">
        <v>3136139</v>
      </c>
      <c r="H3142" t="inlineStr">
        <is>
          <t>TUB-O-N-AUT-AW-FC-57.15X3.000X0.4600</t>
        </is>
      </c>
    </row>
    <row r="3143">
      <c r="A3143" t="inlineStr">
        <is>
          <t>0000189227</t>
        </is>
      </c>
      <c r="B3143" t="inlineStr">
        <is>
          <t>Neel Metal Products Limited</t>
        </is>
      </c>
      <c r="C3143" t="inlineStr">
        <is>
          <t>NOS</t>
        </is>
      </c>
      <c r="D3143" t="n">
        <v>1000</v>
      </c>
      <c r="E3143" t="n">
        <v>196</v>
      </c>
      <c r="F3143" t="n">
        <v>762.989</v>
      </c>
      <c r="G3143" t="n">
        <v>3781594</v>
      </c>
      <c r="H3143" t="inlineStr">
        <is>
          <t>CUT-O-N-AUT-AW-FC-48.60X3.500X0.1960</t>
        </is>
      </c>
    </row>
    <row r="3144">
      <c r="A3144" t="inlineStr">
        <is>
          <t>0000189226</t>
        </is>
      </c>
      <c r="B3144" t="inlineStr">
        <is>
          <t>Neel Metal Products Limited</t>
        </is>
      </c>
      <c r="C3144" t="inlineStr">
        <is>
          <t>NOS</t>
        </is>
      </c>
      <c r="D3144" t="n">
        <v>540</v>
      </c>
      <c r="E3144" t="n">
        <v>127.438</v>
      </c>
      <c r="F3144" t="n">
        <v>730.5119999999999</v>
      </c>
      <c r="G3144" t="n">
        <v>3784473</v>
      </c>
      <c r="H3144" t="inlineStr">
        <is>
          <t>CUT-O-N-AUT-BH-FC-63.50X4.000X0.2360</t>
        </is>
      </c>
    </row>
    <row r="3145">
      <c r="A3145" t="inlineStr">
        <is>
          <t>0000189240</t>
        </is>
      </c>
      <c r="B3145" t="inlineStr">
        <is>
          <t>Rajsriya Automotive Ind Pvt Ltd.</t>
        </is>
      </c>
      <c r="C3145" t="inlineStr">
        <is>
          <t>NOS</t>
        </is>
      </c>
      <c r="D3145" t="n">
        <v>2642.28</v>
      </c>
      <c r="E3145" t="n">
        <v>1281.428</v>
      </c>
      <c r="F3145" t="n">
        <v>1973.783</v>
      </c>
      <c r="G3145" t="n">
        <v>2359755</v>
      </c>
      <c r="H3145" t="inlineStr">
        <is>
          <t>TUB-O-C-AUT-AD-FC-30.00X2.250X0.4850</t>
        </is>
      </c>
    </row>
    <row r="3146">
      <c r="A3146" t="inlineStr">
        <is>
          <t>0000189240</t>
        </is>
      </c>
      <c r="B3146" t="inlineStr">
        <is>
          <t>Rajsriya Automotive Ind Pvt Ltd.</t>
        </is>
      </c>
      <c r="C3146" t="inlineStr">
        <is>
          <t>NOS</t>
        </is>
      </c>
      <c r="D3146" t="n">
        <v>1357.72</v>
      </c>
      <c r="E3146" t="n">
        <v>658.454</v>
      </c>
      <c r="F3146" t="n">
        <v>1014.217</v>
      </c>
      <c r="G3146" t="n">
        <v>2359755</v>
      </c>
      <c r="H3146" t="inlineStr">
        <is>
          <t>TUB-O-C-AUT-AD-FC-30.00X2.250X0.4850</t>
        </is>
      </c>
    </row>
    <row r="3147">
      <c r="A3147" t="inlineStr">
        <is>
          <t>0000189226</t>
        </is>
      </c>
      <c r="B3147" t="inlineStr">
        <is>
          <t>Neel Metal Products Limited</t>
        </is>
      </c>
      <c r="C3147" t="inlineStr">
        <is>
          <t>NOS</t>
        </is>
      </c>
      <c r="D3147" t="n">
        <v>680</v>
      </c>
      <c r="E3147" t="n">
        <v>160.477</v>
      </c>
      <c r="F3147" t="n">
        <v>919.904</v>
      </c>
      <c r="G3147" t="n">
        <v>3784473</v>
      </c>
      <c r="H3147" t="inlineStr">
        <is>
          <t>CUT-O-N-AUT-BH-FC-63.50X4.000X0.2360</t>
        </is>
      </c>
    </row>
    <row r="3148">
      <c r="A3148" t="inlineStr">
        <is>
          <t>0000189240</t>
        </is>
      </c>
      <c r="B3148" t="inlineStr">
        <is>
          <t>Rajsriya Automotive Ind Pvt Ltd.</t>
        </is>
      </c>
      <c r="C3148" t="inlineStr">
        <is>
          <t>NOS</t>
        </is>
      </c>
      <c r="D3148" t="n">
        <v>1500</v>
      </c>
      <c r="E3148" t="n">
        <v>407.801</v>
      </c>
      <c r="F3148" t="n">
        <v>918</v>
      </c>
      <c r="G3148" t="n">
        <v>1938125</v>
      </c>
      <c r="H3148" t="inlineStr">
        <is>
          <t>TUB-I-C-AUT-AN-FC-39.00X34.00X0.2720</t>
        </is>
      </c>
    </row>
    <row r="3149">
      <c r="A3149" t="inlineStr">
        <is>
          <t>0000189240</t>
        </is>
      </c>
      <c r="B3149" t="inlineStr">
        <is>
          <t>Rajsriya Automotive Ind Pvt Ltd.</t>
        </is>
      </c>
      <c r="C3149" t="inlineStr">
        <is>
          <t>NOS</t>
        </is>
      </c>
      <c r="D3149" t="n">
        <v>3940</v>
      </c>
      <c r="E3149" t="n">
        <v>853.611</v>
      </c>
      <c r="F3149" t="n">
        <v>1205.64</v>
      </c>
      <c r="G3149" t="n">
        <v>1939544</v>
      </c>
      <c r="H3149" t="inlineStr">
        <is>
          <t>TUB-O-C-CEW-AD-FC-25.40X2.500X0.2170</t>
        </is>
      </c>
    </row>
    <row r="3150">
      <c r="A3150" t="inlineStr">
        <is>
          <t>0000187884</t>
        </is>
      </c>
      <c r="B3150" t="inlineStr">
        <is>
          <t>Rajsriya Automotive Ind.P.Ltd Unit-</t>
        </is>
      </c>
      <c r="C3150" t="inlineStr">
        <is>
          <t>NOS</t>
        </is>
      </c>
      <c r="D3150" t="n">
        <v>480</v>
      </c>
      <c r="E3150" t="n">
        <v>282.42</v>
      </c>
      <c r="F3150" t="n">
        <v>356.64</v>
      </c>
      <c r="G3150" t="n">
        <v>1938191</v>
      </c>
      <c r="H3150" t="inlineStr">
        <is>
          <t>TUB-I-C-AUT-AD-FC-12.50X3.250X0.5880</t>
        </is>
      </c>
    </row>
    <row r="3151">
      <c r="A3151" t="inlineStr">
        <is>
          <t>0000187884</t>
        </is>
      </c>
      <c r="B3151" t="inlineStr">
        <is>
          <t>Rajsriya Automotive Ind.P.Ltd Unit-</t>
        </is>
      </c>
      <c r="C3151" t="inlineStr">
        <is>
          <t>NOS</t>
        </is>
      </c>
      <c r="D3151" t="n">
        <v>1470.17</v>
      </c>
      <c r="E3151" t="n">
        <v>865.011</v>
      </c>
      <c r="F3151" t="n">
        <v>1092.336</v>
      </c>
      <c r="G3151" t="n">
        <v>1938191</v>
      </c>
      <c r="H3151" t="inlineStr">
        <is>
          <t>TUB-I-C-AUT-AD-FC-12.50X3.250X0.5880</t>
        </is>
      </c>
    </row>
    <row r="3152">
      <c r="A3152" t="inlineStr">
        <is>
          <t>0000187884</t>
        </is>
      </c>
      <c r="B3152" t="inlineStr">
        <is>
          <t>Rajsriya Automotive Ind.P.Ltd Unit-</t>
        </is>
      </c>
      <c r="C3152" t="inlineStr">
        <is>
          <t>NOS</t>
        </is>
      </c>
      <c r="D3152" t="n">
        <v>49.83</v>
      </c>
      <c r="E3152" t="n">
        <v>29.319</v>
      </c>
      <c r="F3152" t="n">
        <v>37.024</v>
      </c>
      <c r="G3152" t="n">
        <v>1938191</v>
      </c>
      <c r="H3152" t="inlineStr">
        <is>
          <t>TUB-I-C-AUT-AD-FC-12.50X3.250X0.5880</t>
        </is>
      </c>
    </row>
    <row r="3153">
      <c r="A3153" t="inlineStr">
        <is>
          <t>0000188356</t>
        </is>
      </c>
      <c r="B3153" t="inlineStr">
        <is>
          <t>Thai Summit Autoparts India Pvt Ltd</t>
        </is>
      </c>
      <c r="C3153" t="inlineStr">
        <is>
          <t>NOS</t>
        </is>
      </c>
      <c r="D3153" t="n">
        <v>1809</v>
      </c>
      <c r="E3153" t="n">
        <v>390.745</v>
      </c>
      <c r="F3153" t="n">
        <v>1681.727</v>
      </c>
      <c r="G3153" t="n">
        <v>4186550</v>
      </c>
      <c r="H3153" t="inlineStr">
        <is>
          <t>CUT-O-C-AUT-BH-FC-47.63X4.000X0.2160</t>
        </is>
      </c>
    </row>
    <row r="3154">
      <c r="A3154" t="inlineStr">
        <is>
          <t>0000188356</t>
        </is>
      </c>
      <c r="B3154" t="inlineStr">
        <is>
          <t>Thai Summit Autoparts India Pvt Ltd</t>
        </is>
      </c>
      <c r="C3154" t="inlineStr">
        <is>
          <t>NOS</t>
        </is>
      </c>
      <c r="D3154" t="n">
        <v>256.892</v>
      </c>
      <c r="E3154" t="n">
        <v>55.489</v>
      </c>
      <c r="F3154" t="n">
        <v>238.818</v>
      </c>
      <c r="G3154" t="n">
        <v>4186550</v>
      </c>
      <c r="H3154" t="inlineStr">
        <is>
          <t>CUT-O-C-AUT-BH-FC-47.63X4.000X0.2160</t>
        </is>
      </c>
    </row>
    <row r="3155">
      <c r="A3155" t="inlineStr">
        <is>
          <t>0000188356</t>
        </is>
      </c>
      <c r="B3155" t="inlineStr">
        <is>
          <t>Thai Summit Autoparts India Pvt Ltd</t>
        </is>
      </c>
      <c r="C3155" t="inlineStr">
        <is>
          <t>NOS</t>
        </is>
      </c>
      <c r="D3155" t="n">
        <v>1284.108</v>
      </c>
      <c r="E3155" t="n">
        <v>277.368</v>
      </c>
      <c r="F3155" t="n">
        <v>1193.764</v>
      </c>
      <c r="G3155" t="n">
        <v>4186550</v>
      </c>
      <c r="H3155" t="inlineStr">
        <is>
          <t>CUT-O-C-AUT-BH-FC-47.63X4.000X0.2160</t>
        </is>
      </c>
    </row>
    <row r="3156">
      <c r="A3156" t="inlineStr">
        <is>
          <t>0000189227</t>
        </is>
      </c>
      <c r="B3156" t="inlineStr">
        <is>
          <t>Neel Metal Products Limited</t>
        </is>
      </c>
      <c r="C3156" t="inlineStr">
        <is>
          <t>NOS</t>
        </is>
      </c>
      <c r="D3156" t="n">
        <v>1660.732</v>
      </c>
      <c r="E3156" t="n">
        <v>325.504</v>
      </c>
      <c r="F3156" t="n">
        <v>1267.12</v>
      </c>
      <c r="G3156" t="n">
        <v>3781594</v>
      </c>
      <c r="H3156" t="inlineStr">
        <is>
          <t>CUT-O-N-AUT-AW-FC-48.60X3.500X0.1960</t>
        </is>
      </c>
    </row>
    <row r="3157">
      <c r="A3157" t="inlineStr">
        <is>
          <t>0000189227</t>
        </is>
      </c>
      <c r="B3157" t="inlineStr">
        <is>
          <t>Neel Metal Products Limited</t>
        </is>
      </c>
      <c r="C3157" t="inlineStr">
        <is>
          <t>NOS</t>
        </is>
      </c>
      <c r="D3157" t="n">
        <v>469.268</v>
      </c>
      <c r="E3157" t="n">
        <v>91.977</v>
      </c>
      <c r="F3157" t="n">
        <v>358.046</v>
      </c>
      <c r="G3157" t="n">
        <v>3781594</v>
      </c>
      <c r="H3157" t="inlineStr">
        <is>
          <t>CUT-O-N-AUT-AW-FC-48.60X3.500X0.1960</t>
        </is>
      </c>
    </row>
    <row r="3158">
      <c r="A3158" t="inlineStr">
        <is>
          <t>0000189002</t>
        </is>
      </c>
      <c r="B3158" t="inlineStr">
        <is>
          <t>Marathwada Auto Compo Pvt. Ltd.</t>
        </is>
      </c>
      <c r="C3158" t="inlineStr">
        <is>
          <t>NOS</t>
        </is>
      </c>
      <c r="D3158" t="n">
        <v>2293.992</v>
      </c>
      <c r="E3158" t="n">
        <v>1112.518</v>
      </c>
      <c r="F3158" t="n">
        <v>1713.612</v>
      </c>
      <c r="G3158" t="n">
        <v>2359755</v>
      </c>
      <c r="H3158" t="inlineStr">
        <is>
          <t>TUB-O-C-AUT-AD-FC-30.00X2.250X0.4850</t>
        </is>
      </c>
    </row>
    <row r="3159">
      <c r="A3159" t="inlineStr">
        <is>
          <t>0000189002</t>
        </is>
      </c>
      <c r="B3159" t="inlineStr">
        <is>
          <t>Marathwada Auto Compo Pvt. Ltd.</t>
        </is>
      </c>
      <c r="C3159" t="inlineStr">
        <is>
          <t>NOS</t>
        </is>
      </c>
      <c r="D3159" t="n">
        <v>1706.008</v>
      </c>
      <c r="E3159" t="n">
        <v>827.3630000000001</v>
      </c>
      <c r="F3159" t="n">
        <v>1274.388</v>
      </c>
      <c r="G3159" t="n">
        <v>2359755</v>
      </c>
      <c r="H3159" t="inlineStr">
        <is>
          <t>TUB-O-C-AUT-AD-FC-30.00X2.250X0.4850</t>
        </is>
      </c>
    </row>
    <row r="3160">
      <c r="A3160" t="inlineStr">
        <is>
          <t>0000184192</t>
        </is>
      </c>
      <c r="B3160" t="inlineStr">
        <is>
          <t>JBM AUTO LIMITED</t>
        </is>
      </c>
      <c r="C3160" t="inlineStr">
        <is>
          <t>NOS</t>
        </is>
      </c>
      <c r="D3160" t="n">
        <v>3000</v>
      </c>
      <c r="E3160" t="n">
        <v>426.001</v>
      </c>
      <c r="F3160" t="n">
        <v>1316.6</v>
      </c>
      <c r="G3160" t="n">
        <v>4157556</v>
      </c>
      <c r="H3160" t="inlineStr">
        <is>
          <t>PT4-O-N-AUT-AW-FC-50.80X2.600X0.1420</t>
        </is>
      </c>
    </row>
    <row r="3161">
      <c r="A3161" t="inlineStr">
        <is>
          <t>0000185254</t>
        </is>
      </c>
      <c r="B3161" t="inlineStr">
        <is>
          <t>LAXMI METAL PRESSING WORKS PVT LTD</t>
        </is>
      </c>
      <c r="C3161" t="inlineStr">
        <is>
          <t>NOS</t>
        </is>
      </c>
      <c r="D3161" t="n">
        <v>1325.158</v>
      </c>
      <c r="E3161" t="n">
        <v>360.407</v>
      </c>
      <c r="F3161" t="n">
        <v>234.553</v>
      </c>
      <c r="G3161" t="n">
        <v>3228788</v>
      </c>
      <c r="H3161" t="inlineStr">
        <is>
          <t>TUB-O-C-AUT-AD-FC-20.00X1.420X0.2730</t>
        </is>
      </c>
    </row>
    <row r="3162">
      <c r="A3162" t="inlineStr">
        <is>
          <t>0000185254</t>
        </is>
      </c>
      <c r="B3162" t="inlineStr">
        <is>
          <t>LAXMI METAL PRESSING WORKS PVT LTD</t>
        </is>
      </c>
      <c r="C3162" t="inlineStr">
        <is>
          <t>NOS</t>
        </is>
      </c>
      <c r="D3162" t="n">
        <v>93.48</v>
      </c>
      <c r="E3162" t="n">
        <v>25.424</v>
      </c>
      <c r="F3162" t="n">
        <v>16.546</v>
      </c>
      <c r="G3162" t="n">
        <v>3228788</v>
      </c>
      <c r="H3162" t="inlineStr">
        <is>
          <t>TUB-O-C-AUT-AD-FC-20.00X1.420X0.2730</t>
        </is>
      </c>
    </row>
    <row r="3163">
      <c r="A3163" t="inlineStr">
        <is>
          <t>0000185254</t>
        </is>
      </c>
      <c r="B3163" t="inlineStr">
        <is>
          <t>LAXMI METAL PRESSING WORKS PVT LTD</t>
        </is>
      </c>
      <c r="C3163" t="inlineStr">
        <is>
          <t>NOS</t>
        </is>
      </c>
      <c r="D3163" t="n">
        <v>779.525</v>
      </c>
      <c r="E3163" t="n">
        <v>212.01</v>
      </c>
      <c r="F3163" t="n">
        <v>137.976</v>
      </c>
      <c r="G3163" t="n">
        <v>3228788</v>
      </c>
      <c r="H3163" t="inlineStr">
        <is>
          <t>TUB-O-C-AUT-AD-FC-20.00X1.420X0.2730</t>
        </is>
      </c>
    </row>
    <row r="3164">
      <c r="A3164" t="inlineStr">
        <is>
          <t>0000185254</t>
        </is>
      </c>
      <c r="B3164" t="inlineStr">
        <is>
          <t>LAXMI METAL PRESSING WORKS PVT LTD</t>
        </is>
      </c>
      <c r="C3164" t="inlineStr">
        <is>
          <t>NOS</t>
        </is>
      </c>
      <c r="D3164" t="n">
        <v>2752.102</v>
      </c>
      <c r="E3164" t="n">
        <v>748.497</v>
      </c>
      <c r="F3164" t="n">
        <v>487.122</v>
      </c>
      <c r="G3164" t="n">
        <v>3228788</v>
      </c>
      <c r="H3164" t="inlineStr">
        <is>
          <t>TUB-O-C-AUT-AD-FC-20.00X1.420X0.2730</t>
        </is>
      </c>
    </row>
    <row r="3165">
      <c r="A3165" t="inlineStr">
        <is>
          <t>0000185254</t>
        </is>
      </c>
      <c r="B3165" t="inlineStr">
        <is>
          <t>LAXMI METAL PRESSING WORKS PVT LTD</t>
        </is>
      </c>
      <c r="C3165" t="inlineStr">
        <is>
          <t>NOS</t>
        </is>
      </c>
      <c r="D3165" t="n">
        <v>1049.735</v>
      </c>
      <c r="E3165" t="n">
        <v>285.5</v>
      </c>
      <c r="F3165" t="n">
        <v>185.803</v>
      </c>
      <c r="G3165" t="n">
        <v>3228788</v>
      </c>
      <c r="H3165" t="inlineStr">
        <is>
          <t>TUB-O-C-AUT-AD-FC-20.00X1.420X0.2730</t>
        </is>
      </c>
    </row>
    <row r="3166">
      <c r="A3166" t="inlineStr">
        <is>
          <t>0000185254</t>
        </is>
      </c>
      <c r="B3166" t="inlineStr">
        <is>
          <t>LAXMI METAL PRESSING WORKS PVT LTD</t>
        </is>
      </c>
      <c r="C3166" t="inlineStr">
        <is>
          <t>NOS</t>
        </is>
      </c>
      <c r="D3166" t="n">
        <v>99.917</v>
      </c>
      <c r="E3166" t="n">
        <v>84.63</v>
      </c>
      <c r="F3166" t="n">
        <v>194.269</v>
      </c>
      <c r="G3166" t="n">
        <v>3781664</v>
      </c>
      <c r="H3166" t="inlineStr">
        <is>
          <t>CUT-S-AW-SHS-50.00X50.00X1.600X0.8470</t>
        </is>
      </c>
    </row>
    <row r="3167">
      <c r="A3167" t="inlineStr">
        <is>
          <t>0000185254</t>
        </is>
      </c>
      <c r="B3167" t="inlineStr">
        <is>
          <t>LAXMI METAL PRESSING WORKS PVT LTD</t>
        </is>
      </c>
      <c r="C3167" t="inlineStr">
        <is>
          <t>NOS</t>
        </is>
      </c>
      <c r="D3167" t="n">
        <v>453.888</v>
      </c>
      <c r="E3167" t="n">
        <v>384.445</v>
      </c>
      <c r="F3167" t="n">
        <v>882.494</v>
      </c>
      <c r="G3167" t="n">
        <v>3781664</v>
      </c>
      <c r="H3167" t="inlineStr">
        <is>
          <t>CUT-S-AW-SHS-50.00X50.00X1.600X0.8470</t>
        </is>
      </c>
    </row>
    <row r="3168">
      <c r="A3168" t="inlineStr">
        <is>
          <t>0000185254</t>
        </is>
      </c>
      <c r="B3168" t="inlineStr">
        <is>
          <t>LAXMI METAL PRESSING WORKS PVT LTD</t>
        </is>
      </c>
      <c r="C3168" t="inlineStr">
        <is>
          <t>NOS</t>
        </is>
      </c>
      <c r="D3168" t="n">
        <v>553.1950000000001</v>
      </c>
      <c r="E3168" t="n">
        <v>468.559</v>
      </c>
      <c r="F3168" t="n">
        <v>1075.577</v>
      </c>
      <c r="G3168" t="n">
        <v>3781664</v>
      </c>
      <c r="H3168" t="inlineStr">
        <is>
          <t>CUT-S-AW-SHS-50.00X50.00X1.600X0.8470</t>
        </is>
      </c>
    </row>
    <row r="3169">
      <c r="A3169" t="inlineStr">
        <is>
          <t>0000185254</t>
        </is>
      </c>
      <c r="B3169" t="inlineStr">
        <is>
          <t>LAXMI METAL PRESSING WORKS PVT LTD</t>
        </is>
      </c>
      <c r="C3169" t="inlineStr">
        <is>
          <t>NOS</t>
        </is>
      </c>
      <c r="D3169" t="n">
        <v>555</v>
      </c>
      <c r="E3169" t="n">
        <v>129.874</v>
      </c>
      <c r="F3169" t="n">
        <v>744.477</v>
      </c>
      <c r="G3169" t="n">
        <v>3746291</v>
      </c>
      <c r="H3169" t="inlineStr">
        <is>
          <t>CUT-O-N-AUT-BH-FC-63.50X4.000X0.2340</t>
        </is>
      </c>
    </row>
    <row r="3170">
      <c r="A3170" t="inlineStr">
        <is>
          <t>0000185254</t>
        </is>
      </c>
      <c r="B3170" t="inlineStr">
        <is>
          <t>LAXMI METAL PRESSING WORKS PVT LTD</t>
        </is>
      </c>
      <c r="C3170" t="inlineStr">
        <is>
          <t>NOS</t>
        </is>
      </c>
      <c r="D3170" t="n">
        <v>35</v>
      </c>
      <c r="E3170" t="n">
        <v>9.205</v>
      </c>
      <c r="F3170" t="n">
        <v>52.766</v>
      </c>
      <c r="G3170" t="n">
        <v>4196298</v>
      </c>
      <c r="H3170" t="inlineStr">
        <is>
          <t>CUT-O-N-AUT-BH-FC-63.50X4.000X0.2630</t>
        </is>
      </c>
    </row>
    <row r="3171">
      <c r="A3171" t="inlineStr">
        <is>
          <t>0000948721</t>
        </is>
      </c>
      <c r="B3171" t="inlineStr">
        <is>
          <t>ELKAYEM AUTO ANCILLARIES PRIVATE LI</t>
        </is>
      </c>
      <c r="C3171" t="inlineStr">
        <is>
          <t>NOS</t>
        </is>
      </c>
      <c r="D3171" t="n">
        <v>1347</v>
      </c>
      <c r="E3171" t="n">
        <v>478.321</v>
      </c>
      <c r="F3171" t="n">
        <v>552.27</v>
      </c>
      <c r="G3171" t="n">
        <v>1940588</v>
      </c>
      <c r="H3171" t="inlineStr">
        <is>
          <t>TUB-O-O-AUT-AW-FC-25.40X2.000X0.3550</t>
        </is>
      </c>
    </row>
    <row r="3172">
      <c r="A3172" t="inlineStr">
        <is>
          <t>0000948721</t>
        </is>
      </c>
      <c r="B3172" t="inlineStr">
        <is>
          <t>ELKAYEM AUTO ANCILLARIES PRIVATE LI</t>
        </is>
      </c>
      <c r="C3172" t="inlineStr">
        <is>
          <t>NOS</t>
        </is>
      </c>
      <c r="D3172" t="n">
        <v>613.151</v>
      </c>
      <c r="E3172" t="n">
        <v>217.731</v>
      </c>
      <c r="F3172" t="n">
        <v>251.392</v>
      </c>
      <c r="G3172" t="n">
        <v>1940588</v>
      </c>
      <c r="H3172" t="inlineStr">
        <is>
          <t>TUB-O-O-AUT-AW-FC-25.40X2.000X0.3550</t>
        </is>
      </c>
    </row>
    <row r="3173">
      <c r="A3173" t="inlineStr">
        <is>
          <t>0000948721</t>
        </is>
      </c>
      <c r="B3173" t="inlineStr">
        <is>
          <t>ELKAYEM AUTO ANCILLARIES PRIVATE LI</t>
        </is>
      </c>
      <c r="C3173" t="inlineStr">
        <is>
          <t>NOS</t>
        </is>
      </c>
      <c r="D3173" t="n">
        <v>3039.849</v>
      </c>
      <c r="E3173" t="n">
        <v>1079.454</v>
      </c>
      <c r="F3173" t="n">
        <v>1246.338</v>
      </c>
      <c r="G3173" t="n">
        <v>1940588</v>
      </c>
      <c r="H3173" t="inlineStr">
        <is>
          <t>TUB-O-O-AUT-AW-FC-25.40X2.000X0.3550</t>
        </is>
      </c>
    </row>
    <row r="3174">
      <c r="A3174" t="inlineStr">
        <is>
          <t>0000948721</t>
        </is>
      </c>
      <c r="B3174" t="inlineStr">
        <is>
          <t>ELKAYEM AUTO ANCILLARIES PRIVATE LI</t>
        </is>
      </c>
      <c r="C3174" t="inlineStr">
        <is>
          <t>NOS</t>
        </is>
      </c>
      <c r="D3174" t="n">
        <v>560</v>
      </c>
      <c r="E3174" t="n">
        <v>231.887</v>
      </c>
      <c r="F3174" t="n">
        <v>246.96</v>
      </c>
      <c r="G3174" t="n">
        <v>3598957</v>
      </c>
      <c r="H3174" t="inlineStr">
        <is>
          <t>TUB-O-N-AUT-AW-FC-28.58X1.600X0.4140</t>
        </is>
      </c>
    </row>
    <row r="3175">
      <c r="A3175" t="inlineStr">
        <is>
          <t>0000952904</t>
        </is>
      </c>
      <c r="B3175" t="inlineStr">
        <is>
          <t>ELKAYEM AUTO ANCILLARIES PRIVATE LI</t>
        </is>
      </c>
      <c r="C3175" t="inlineStr">
        <is>
          <t>NOS</t>
        </is>
      </c>
      <c r="D3175" t="n">
        <v>207.828</v>
      </c>
      <c r="E3175" t="n">
        <v>98.718</v>
      </c>
      <c r="F3175" t="n">
        <v>126.468</v>
      </c>
      <c r="G3175" t="n">
        <v>1940626</v>
      </c>
      <c r="H3175" t="inlineStr">
        <is>
          <t>TUB-O-O-AUT-AW-FC-28.58X2.000X0.4750</t>
        </is>
      </c>
    </row>
    <row r="3176">
      <c r="A3176" t="inlineStr">
        <is>
          <t>0000952904</t>
        </is>
      </c>
      <c r="B3176" t="inlineStr">
        <is>
          <t>ELKAYEM AUTO ANCILLARIES PRIVATE LI</t>
        </is>
      </c>
      <c r="C3176" t="inlineStr">
        <is>
          <t>NOS</t>
        </is>
      </c>
      <c r="D3176" t="n">
        <v>659.999</v>
      </c>
      <c r="E3176" t="n">
        <v>313.499</v>
      </c>
      <c r="F3176" t="n">
        <v>401.624</v>
      </c>
      <c r="G3176" t="n">
        <v>1940626</v>
      </c>
      <c r="H3176" t="inlineStr">
        <is>
          <t>TUB-O-O-AUT-AW-FC-28.58X2.000X0.4750</t>
        </is>
      </c>
    </row>
    <row r="3177">
      <c r="A3177" t="inlineStr">
        <is>
          <t>0000952904</t>
        </is>
      </c>
      <c r="B3177" t="inlineStr">
        <is>
          <t>ELKAYEM AUTO ANCILLARIES PRIVATE LI</t>
        </is>
      </c>
      <c r="C3177" t="inlineStr">
        <is>
          <t>NOS</t>
        </is>
      </c>
      <c r="D3177" t="n">
        <v>1143.296</v>
      </c>
      <c r="E3177" t="n">
        <v>543.0650000000001</v>
      </c>
      <c r="F3177" t="n">
        <v>695.721</v>
      </c>
      <c r="G3177" t="n">
        <v>1940626</v>
      </c>
      <c r="H3177" t="inlineStr">
        <is>
          <t>TUB-O-O-AUT-AW-FC-28.58X2.000X0.4750</t>
        </is>
      </c>
    </row>
    <row r="3178">
      <c r="A3178" t="inlineStr">
        <is>
          <t>0000952904</t>
        </is>
      </c>
      <c r="B3178" t="inlineStr">
        <is>
          <t>ELKAYEM AUTO ANCILLARIES PRIVATE LI</t>
        </is>
      </c>
      <c r="C3178" t="inlineStr">
        <is>
          <t>NOS</t>
        </is>
      </c>
      <c r="D3178" t="n">
        <v>988.877</v>
      </c>
      <c r="E3178" t="n">
        <v>469.716</v>
      </c>
      <c r="F3178" t="n">
        <v>601.754</v>
      </c>
      <c r="G3178" t="n">
        <v>1940626</v>
      </c>
      <c r="H3178" t="inlineStr">
        <is>
          <t>TUB-O-O-AUT-AW-FC-28.58X2.000X0.4750</t>
        </is>
      </c>
    </row>
    <row r="3179">
      <c r="A3179" t="inlineStr">
        <is>
          <t>0000952904</t>
        </is>
      </c>
      <c r="B3179" t="inlineStr">
        <is>
          <t>ELKAYEM AUTO ANCILLARIES PRIVATE LI</t>
        </is>
      </c>
      <c r="C3179" t="inlineStr">
        <is>
          <t>NOS</t>
        </is>
      </c>
      <c r="D3179" t="n">
        <v>3000</v>
      </c>
      <c r="E3179" t="n">
        <v>908.991</v>
      </c>
      <c r="F3179" t="n">
        <v>831</v>
      </c>
      <c r="G3179" t="n">
        <v>1940313</v>
      </c>
      <c r="H3179" t="inlineStr">
        <is>
          <t>TUB-O-O-AUT-AW-PE-19.05X2.300X0.3030</t>
        </is>
      </c>
    </row>
    <row r="3180">
      <c r="A3180" t="inlineStr">
        <is>
          <t>0000129663</t>
        </is>
      </c>
      <c r="B3180" t="inlineStr">
        <is>
          <t>ELKAYEM AUTO ANCILLARIES (PVT) LTD.</t>
        </is>
      </c>
      <c r="C3180" t="inlineStr">
        <is>
          <t>NOS</t>
        </is>
      </c>
      <c r="D3180" t="n">
        <v>112.199</v>
      </c>
      <c r="E3180" t="n">
        <v>37.475</v>
      </c>
      <c r="F3180" t="n">
        <v>66.548</v>
      </c>
      <c r="G3180" t="n">
        <v>3911992</v>
      </c>
      <c r="H3180" t="inlineStr">
        <is>
          <t>CUT-O-N-AUT-AW-FC-34.93X2.300X0.3340</t>
        </is>
      </c>
    </row>
    <row r="3181">
      <c r="A3181" t="inlineStr">
        <is>
          <t>0000129663</t>
        </is>
      </c>
      <c r="B3181" t="inlineStr">
        <is>
          <t>ELKAYEM AUTO ANCILLARIES (PVT) LTD.</t>
        </is>
      </c>
      <c r="C3181" t="inlineStr">
        <is>
          <t>NOS</t>
        </is>
      </c>
      <c r="D3181" t="n">
        <v>757.801</v>
      </c>
      <c r="E3181" t="n">
        <v>253.108</v>
      </c>
      <c r="F3181" t="n">
        <v>449.469</v>
      </c>
      <c r="G3181" t="n">
        <v>3911992</v>
      </c>
      <c r="H3181" t="inlineStr">
        <is>
          <t>CUT-O-N-AUT-AW-FC-34.93X2.300X0.3340</t>
        </is>
      </c>
    </row>
    <row r="3182">
      <c r="A3182" t="inlineStr">
        <is>
          <t>0000189454</t>
        </is>
      </c>
      <c r="B3182" t="inlineStr">
        <is>
          <t>NAHARS ENGINEERING INDIA PRIVATE LI</t>
        </is>
      </c>
      <c r="C3182" t="inlineStr">
        <is>
          <t>NOS</t>
        </is>
      </c>
      <c r="D3182" t="n">
        <v>534.523</v>
      </c>
      <c r="E3182" t="n">
        <v>183.337</v>
      </c>
      <c r="F3182" t="n">
        <v>715.0309999999999</v>
      </c>
      <c r="G3182" t="n">
        <v>4184750</v>
      </c>
      <c r="H3182" t="inlineStr">
        <is>
          <t>TUB-O-N-AUT-AN-FC-44.45X4.000X0.3430</t>
        </is>
      </c>
    </row>
    <row r="3183">
      <c r="A3183" t="inlineStr">
        <is>
          <t>0000189454</t>
        </is>
      </c>
      <c r="B3183" t="inlineStr">
        <is>
          <t>NAHARS ENGINEERING INDIA PRIVATE LI</t>
        </is>
      </c>
      <c r="C3183" t="inlineStr">
        <is>
          <t>NOS</t>
        </is>
      </c>
      <c r="D3183" t="n">
        <v>226.037</v>
      </c>
      <c r="E3183" t="n">
        <v>77.529</v>
      </c>
      <c r="F3183" t="n">
        <v>302.37</v>
      </c>
      <c r="G3183" t="n">
        <v>4184750</v>
      </c>
      <c r="H3183" t="inlineStr">
        <is>
          <t>TUB-O-N-AUT-AN-FC-44.45X4.000X0.3430</t>
        </is>
      </c>
    </row>
    <row r="3184">
      <c r="A3184" t="inlineStr">
        <is>
          <t>0000189454</t>
        </is>
      </c>
      <c r="B3184" t="inlineStr">
        <is>
          <t>NAHARS ENGINEERING INDIA PRIVATE LI</t>
        </is>
      </c>
      <c r="C3184" t="inlineStr">
        <is>
          <t>NOS</t>
        </is>
      </c>
      <c r="D3184" t="n">
        <v>2239.44</v>
      </c>
      <c r="E3184" t="n">
        <v>768.1079999999999</v>
      </c>
      <c r="F3184" t="n">
        <v>2995.699</v>
      </c>
      <c r="G3184" t="n">
        <v>4184750</v>
      </c>
      <c r="H3184" t="inlineStr">
        <is>
          <t>TUB-O-N-AUT-AN-FC-44.45X4.000X0.3430</t>
        </is>
      </c>
    </row>
    <row r="3185">
      <c r="A3185" t="inlineStr">
        <is>
          <t>0000189454</t>
        </is>
      </c>
      <c r="B3185" t="inlineStr">
        <is>
          <t>NAHARS ENGINEERING INDIA PRIVATE LI</t>
        </is>
      </c>
      <c r="C3185" t="inlineStr">
        <is>
          <t>NOS</t>
        </is>
      </c>
      <c r="D3185" t="n">
        <v>2530.431</v>
      </c>
      <c r="E3185" t="n">
        <v>1032.415</v>
      </c>
      <c r="F3185" t="n">
        <v>815.08</v>
      </c>
      <c r="G3185" t="n">
        <v>3723531</v>
      </c>
      <c r="H3185" t="inlineStr">
        <is>
          <t>CUT-O-N-AUT-AW-FC-25.40X1.400X0.4080</t>
        </is>
      </c>
    </row>
    <row r="3186">
      <c r="A3186" t="inlineStr">
        <is>
          <t>0000189454</t>
        </is>
      </c>
      <c r="B3186" t="inlineStr">
        <is>
          <t>NAHARS ENGINEERING INDIA PRIVATE LI</t>
        </is>
      </c>
      <c r="C3186" t="inlineStr">
        <is>
          <t>NOS</t>
        </is>
      </c>
      <c r="D3186" t="n">
        <v>179.569</v>
      </c>
      <c r="E3186" t="n">
        <v>73.264</v>
      </c>
      <c r="F3186" t="n">
        <v>57.841</v>
      </c>
      <c r="G3186" t="n">
        <v>3723531</v>
      </c>
      <c r="H3186" t="inlineStr">
        <is>
          <t>CUT-O-N-AUT-AW-FC-25.40X1.400X0.4080</t>
        </is>
      </c>
    </row>
    <row r="3187">
      <c r="A3187" t="inlineStr">
        <is>
          <t>0000189226</t>
        </is>
      </c>
      <c r="B3187" t="inlineStr">
        <is>
          <t>Neel Metal Products Limited</t>
        </is>
      </c>
      <c r="C3187" t="inlineStr">
        <is>
          <t>NOS</t>
        </is>
      </c>
      <c r="D3187" t="n">
        <v>875</v>
      </c>
      <c r="E3187" t="n">
        <v>206.497</v>
      </c>
      <c r="F3187" t="n">
        <v>1183.7</v>
      </c>
      <c r="G3187" t="n">
        <v>3784473</v>
      </c>
      <c r="H3187" t="inlineStr">
        <is>
          <t>CUT-O-N-AUT-BH-FC-63.50X4.000X0.2360</t>
        </is>
      </c>
    </row>
    <row r="3188">
      <c r="A3188" t="inlineStr">
        <is>
          <t>0000129663</t>
        </is>
      </c>
      <c r="B3188" t="inlineStr">
        <is>
          <t>ELKAYEM AUTO ANCILLARIES (PVT) LTD.</t>
        </is>
      </c>
      <c r="C3188" t="inlineStr">
        <is>
          <t>NOS</t>
        </is>
      </c>
      <c r="D3188" t="n">
        <v>281.639</v>
      </c>
      <c r="E3188" t="n">
        <v>104.202</v>
      </c>
      <c r="F3188" t="n">
        <v>117.8</v>
      </c>
      <c r="G3188" t="n">
        <v>3926424</v>
      </c>
      <c r="H3188" t="inlineStr">
        <is>
          <t>TUB-O-N-AUT-AW-PE-22.23X2.300X0.37</t>
        </is>
      </c>
    </row>
    <row r="3189">
      <c r="A3189" t="inlineStr">
        <is>
          <t>0000129663</t>
        </is>
      </c>
      <c r="B3189" t="inlineStr">
        <is>
          <t>ELKAYEM AUTO ANCILLARIES (PVT) LTD.</t>
        </is>
      </c>
      <c r="C3189" t="inlineStr">
        <is>
          <t>NOS</t>
        </is>
      </c>
      <c r="D3189" t="n">
        <v>318.361</v>
      </c>
      <c r="E3189" t="n">
        <v>117.788</v>
      </c>
      <c r="F3189" t="n">
        <v>133.16</v>
      </c>
      <c r="G3189" t="n">
        <v>3926424</v>
      </c>
      <c r="H3189" t="inlineStr">
        <is>
          <t>TUB-O-N-AUT-AW-PE-22.23X2.300X0.37</t>
        </is>
      </c>
    </row>
    <row r="3190">
      <c r="A3190" t="inlineStr">
        <is>
          <t>0000129663</t>
        </is>
      </c>
      <c r="B3190" t="inlineStr">
        <is>
          <t>ELKAYEM AUTO ANCILLARIES (PVT) LTD.</t>
        </is>
      </c>
      <c r="C3190" t="inlineStr">
        <is>
          <t>NOS</t>
        </is>
      </c>
      <c r="D3190" t="n">
        <v>389.999</v>
      </c>
      <c r="E3190" t="n">
        <v>155.998</v>
      </c>
      <c r="F3190" t="n">
        <v>96.672</v>
      </c>
      <c r="G3190" t="n">
        <v>1938119</v>
      </c>
      <c r="H3190" t="inlineStr">
        <is>
          <t>TUB-O-N-AUT-AW-PE-17.30X1.600X0.4000</t>
        </is>
      </c>
    </row>
    <row r="3191">
      <c r="A3191" t="inlineStr">
        <is>
          <t>0000129663</t>
        </is>
      </c>
      <c r="B3191" t="inlineStr">
        <is>
          <t>ELKAYEM AUTO ANCILLARIES (PVT) LTD.</t>
        </is>
      </c>
      <c r="C3191" t="inlineStr">
        <is>
          <t>NOS</t>
        </is>
      </c>
      <c r="D3191" t="n">
        <v>146.29</v>
      </c>
      <c r="E3191" t="n">
        <v>58.515</v>
      </c>
      <c r="F3191" t="n">
        <v>36.262</v>
      </c>
      <c r="G3191" t="n">
        <v>1938119</v>
      </c>
      <c r="H3191" t="inlineStr">
        <is>
          <t>TUB-O-N-AUT-AW-PE-17.30X1.600X0.4000</t>
        </is>
      </c>
    </row>
    <row r="3192">
      <c r="A3192" t="inlineStr">
        <is>
          <t>0000129663</t>
        </is>
      </c>
      <c r="B3192" t="inlineStr">
        <is>
          <t>ELKAYEM AUTO ANCILLARIES (PVT) LTD.</t>
        </is>
      </c>
      <c r="C3192" t="inlineStr">
        <is>
          <t>NOS</t>
        </is>
      </c>
      <c r="D3192" t="n">
        <v>463.711</v>
      </c>
      <c r="E3192" t="n">
        <v>185.483</v>
      </c>
      <c r="F3192" t="n">
        <v>114.944</v>
      </c>
      <c r="G3192" t="n">
        <v>1938119</v>
      </c>
      <c r="H3192" t="inlineStr">
        <is>
          <t>TUB-O-N-AUT-AW-PE-17.30X1.600X0.4000</t>
        </is>
      </c>
    </row>
    <row r="3193">
      <c r="A3193" t="inlineStr">
        <is>
          <t>0000188415</t>
        </is>
      </c>
      <c r="B3193" t="inlineStr">
        <is>
          <t>Rajsriya Automotive Industries(P)</t>
        </is>
      </c>
      <c r="C3193" t="inlineStr">
        <is>
          <t>NOS</t>
        </is>
      </c>
      <c r="D3193" t="n">
        <v>2842</v>
      </c>
      <c r="E3193" t="n">
        <v>2373.038</v>
      </c>
      <c r="F3193" t="n">
        <v>4013.757</v>
      </c>
      <c r="G3193" t="n">
        <v>3712521</v>
      </c>
      <c r="H3193" t="inlineStr">
        <is>
          <t>CUT-R-AW-RHS-40.00X30.00X1.600X0.8350</t>
        </is>
      </c>
    </row>
    <row r="3194">
      <c r="A3194" t="inlineStr">
        <is>
          <t>0000188415</t>
        </is>
      </c>
      <c r="B3194" t="inlineStr">
        <is>
          <t>Rajsriya Automotive Industries(P)</t>
        </is>
      </c>
      <c r="C3194" t="inlineStr">
        <is>
          <t>NOS</t>
        </is>
      </c>
      <c r="D3194" t="n">
        <v>158</v>
      </c>
      <c r="E3194" t="n">
        <v>131.928</v>
      </c>
      <c r="F3194" t="n">
        <v>223.143</v>
      </c>
      <c r="G3194" t="n">
        <v>3712521</v>
      </c>
      <c r="H3194" t="inlineStr">
        <is>
          <t>CUT-R-AW-RHS-40.00X30.00X1.600X0.8350</t>
        </is>
      </c>
    </row>
    <row r="3195">
      <c r="A3195" t="inlineStr">
        <is>
          <t>0000189270</t>
        </is>
      </c>
      <c r="B3195" t="inlineStr">
        <is>
          <t>Indo Autotech Limited (Unit V)</t>
        </is>
      </c>
      <c r="C3195" t="inlineStr">
        <is>
          <t>NOS</t>
        </is>
      </c>
      <c r="D3195" t="n">
        <v>2579.961</v>
      </c>
      <c r="E3195" t="n">
        <v>798.944</v>
      </c>
      <c r="F3195" t="n">
        <v>1836.932</v>
      </c>
      <c r="G3195" t="n">
        <v>2244440</v>
      </c>
      <c r="H3195" t="inlineStr">
        <is>
          <t>TUB-O-N-AUT-AW-FC-48.60X2.000X0.3100</t>
        </is>
      </c>
    </row>
    <row r="3196">
      <c r="A3196" t="inlineStr">
        <is>
          <t>0000189270</t>
        </is>
      </c>
      <c r="B3196" t="inlineStr">
        <is>
          <t>Indo Autotech Limited (Unit V)</t>
        </is>
      </c>
      <c r="C3196" t="inlineStr">
        <is>
          <t>NOS</t>
        </is>
      </c>
      <c r="D3196" t="n">
        <v>0.039</v>
      </c>
      <c r="E3196" t="n">
        <v>0.012</v>
      </c>
      <c r="F3196" t="n">
        <v>0.028</v>
      </c>
      <c r="G3196" t="n">
        <v>2244440</v>
      </c>
      <c r="H3196" t="inlineStr">
        <is>
          <t>TUB-O-N-AUT-AW-FC-48.60X2.000X0.3100</t>
        </is>
      </c>
    </row>
    <row r="3197">
      <c r="A3197" t="inlineStr">
        <is>
          <t>0000189270</t>
        </is>
      </c>
      <c r="B3197" t="inlineStr">
        <is>
          <t>Indo Autotech Limited (Unit V)</t>
        </is>
      </c>
      <c r="C3197" t="inlineStr">
        <is>
          <t>NOS</t>
        </is>
      </c>
      <c r="D3197" t="n">
        <v>1430</v>
      </c>
      <c r="E3197" t="n">
        <v>443.297</v>
      </c>
      <c r="F3197" t="n">
        <v>1115.956</v>
      </c>
      <c r="G3197" t="n">
        <v>2244441</v>
      </c>
      <c r="H3197" t="inlineStr">
        <is>
          <t>TUB-O-N-AUT-AW-FC-48.60X2.300X0.3100</t>
        </is>
      </c>
    </row>
    <row r="3198">
      <c r="A3198" t="inlineStr">
        <is>
          <t>0000189270</t>
        </is>
      </c>
      <c r="B3198" t="inlineStr">
        <is>
          <t>Indo Autotech Limited (Unit V)</t>
        </is>
      </c>
      <c r="C3198" t="inlineStr">
        <is>
          <t>NOS</t>
        </is>
      </c>
      <c r="D3198" t="n">
        <v>1133</v>
      </c>
      <c r="E3198" t="n">
        <v>351.228</v>
      </c>
      <c r="F3198" t="n">
        <v>884.181</v>
      </c>
      <c r="G3198" t="n">
        <v>2244441</v>
      </c>
      <c r="H3198" t="inlineStr">
        <is>
          <t>TUB-O-N-AUT-AW-FC-48.60X2.300X0.3100</t>
        </is>
      </c>
    </row>
    <row r="3199">
      <c r="A3199" t="inlineStr">
        <is>
          <t>0000188934</t>
        </is>
      </c>
      <c r="B3199" t="inlineStr">
        <is>
          <t>KAY JAY FORGINGS LIMITED</t>
        </is>
      </c>
      <c r="C3199" t="inlineStr">
        <is>
          <t>NOS</t>
        </is>
      </c>
      <c r="D3199" t="n">
        <v>1501.836</v>
      </c>
      <c r="E3199" t="n">
        <v>536.153</v>
      </c>
      <c r="F3199" t="n">
        <v>1613.122</v>
      </c>
      <c r="G3199" t="n">
        <v>3909903</v>
      </c>
      <c r="H3199" t="inlineStr">
        <is>
          <t>CUT-O-C-AUT-AD-FC-29.40X4.500X0.3570</t>
        </is>
      </c>
    </row>
    <row r="3200">
      <c r="A3200" t="inlineStr">
        <is>
          <t>0000188934</t>
        </is>
      </c>
      <c r="B3200" t="inlineStr">
        <is>
          <t>KAY JAY FORGINGS LIMITED</t>
        </is>
      </c>
      <c r="C3200" t="inlineStr">
        <is>
          <t>NOS</t>
        </is>
      </c>
      <c r="D3200" t="n">
        <v>1498.164</v>
      </c>
      <c r="E3200" t="n">
        <v>534.842</v>
      </c>
      <c r="F3200" t="n">
        <v>1609.178</v>
      </c>
      <c r="G3200" t="n">
        <v>3909903</v>
      </c>
      <c r="H3200" t="inlineStr">
        <is>
          <t>CUT-O-C-AUT-AD-FC-29.40X4.500X0.3570</t>
        </is>
      </c>
    </row>
    <row r="3201">
      <c r="A3201" t="inlineStr">
        <is>
          <t>0000943209</t>
        </is>
      </c>
      <c r="B3201" t="inlineStr">
        <is>
          <t>MEGH STEELS PRIVATE LIMITED - TVS A</t>
        </is>
      </c>
      <c r="C3201" t="inlineStr">
        <is>
          <t>KG</t>
        </is>
      </c>
      <c r="D3201" t="n">
        <v>127</v>
      </c>
      <c r="E3201" t="n">
        <v>730.255</v>
      </c>
      <c r="F3201" t="n">
        <v>2366.391</v>
      </c>
      <c r="G3201" t="n">
        <v>3501047</v>
      </c>
      <c r="H3201" t="inlineStr">
        <is>
          <t>TUB-O-N-AUT-AW-FC-57.15X2.50X5.750-ERW 1</t>
        </is>
      </c>
    </row>
    <row r="3202">
      <c r="A3202" t="inlineStr">
        <is>
          <t>0000943209</t>
        </is>
      </c>
      <c r="B3202" t="inlineStr">
        <is>
          <t>MEGH STEELS PRIVATE LIMITED - TVS A</t>
        </is>
      </c>
      <c r="C3202" t="inlineStr">
        <is>
          <t>KG</t>
        </is>
      </c>
      <c r="D3202" t="n">
        <v>127</v>
      </c>
      <c r="E3202" t="n">
        <v>730.255</v>
      </c>
      <c r="F3202" t="n">
        <v>2366.391</v>
      </c>
      <c r="G3202" t="n">
        <v>3501047</v>
      </c>
      <c r="H3202" t="inlineStr">
        <is>
          <t>TUB-O-N-AUT-AW-FC-57.15X2.50X5.750-ERW 1</t>
        </is>
      </c>
    </row>
    <row r="3203">
      <c r="A3203" t="inlineStr">
        <is>
          <t>0000943209</t>
        </is>
      </c>
      <c r="B3203" t="inlineStr">
        <is>
          <t>MEGH STEELS PRIVATE LIMITED - TVS A</t>
        </is>
      </c>
      <c r="C3203" t="inlineStr">
        <is>
          <t>KG</t>
        </is>
      </c>
      <c r="D3203" t="n">
        <v>126</v>
      </c>
      <c r="E3203" t="n">
        <v>724.505</v>
      </c>
      <c r="F3203" t="n">
        <v>2347.758</v>
      </c>
      <c r="G3203" t="n">
        <v>3501047</v>
      </c>
      <c r="H3203" t="inlineStr">
        <is>
          <t>TUB-O-N-AUT-AW-FC-57.15X2.50X5.750-ERW 1</t>
        </is>
      </c>
    </row>
    <row r="3204">
      <c r="A3204" t="inlineStr">
        <is>
          <t>0000943209</t>
        </is>
      </c>
      <c r="B3204" t="inlineStr">
        <is>
          <t>MEGH STEELS PRIVATE LIMITED - TVS A</t>
        </is>
      </c>
      <c r="C3204" t="inlineStr">
        <is>
          <t>KG</t>
        </is>
      </c>
      <c r="D3204" t="n">
        <v>127</v>
      </c>
      <c r="E3204" t="n">
        <v>730.255</v>
      </c>
      <c r="F3204" t="n">
        <v>2366.391</v>
      </c>
      <c r="G3204" t="n">
        <v>3501047</v>
      </c>
      <c r="H3204" t="inlineStr">
        <is>
          <t>TUB-O-N-AUT-AW-FC-57.15X2.50X5.750-ERW 1</t>
        </is>
      </c>
    </row>
    <row r="3205">
      <c r="A3205" t="inlineStr">
        <is>
          <t>0000943209</t>
        </is>
      </c>
      <c r="B3205" t="inlineStr">
        <is>
          <t>MEGH STEELS PRIVATE LIMITED - TVS A</t>
        </is>
      </c>
      <c r="C3205" t="inlineStr">
        <is>
          <t>KG</t>
        </is>
      </c>
      <c r="D3205" t="n">
        <v>127</v>
      </c>
      <c r="E3205" t="n">
        <v>730.255</v>
      </c>
      <c r="F3205" t="n">
        <v>2366.391</v>
      </c>
      <c r="G3205" t="n">
        <v>3501047</v>
      </c>
      <c r="H3205" t="inlineStr">
        <is>
          <t>TUB-O-N-AUT-AW-FC-57.15X2.50X5.750-ERW 1</t>
        </is>
      </c>
    </row>
    <row r="3206">
      <c r="A3206" t="inlineStr">
        <is>
          <t>0000943209</t>
        </is>
      </c>
      <c r="B3206" t="inlineStr">
        <is>
          <t>MEGH STEELS PRIVATE LIMITED - TVS A</t>
        </is>
      </c>
      <c r="C3206" t="inlineStr">
        <is>
          <t>KG</t>
        </is>
      </c>
      <c r="D3206" t="n">
        <v>127</v>
      </c>
      <c r="E3206" t="n">
        <v>730.255</v>
      </c>
      <c r="F3206" t="n">
        <v>2366.391</v>
      </c>
      <c r="G3206" t="n">
        <v>3501047</v>
      </c>
      <c r="H3206" t="inlineStr">
        <is>
          <t>TUB-O-N-AUT-AW-FC-57.15X2.50X5.750-ERW 1</t>
        </is>
      </c>
    </row>
    <row r="3207">
      <c r="A3207" t="inlineStr">
        <is>
          <t>0000943209</t>
        </is>
      </c>
      <c r="B3207" t="inlineStr">
        <is>
          <t>MEGH STEELS PRIVATE LIMITED - TVS A</t>
        </is>
      </c>
      <c r="C3207" t="inlineStr">
        <is>
          <t>KG</t>
        </is>
      </c>
      <c r="D3207" t="n">
        <v>1</v>
      </c>
      <c r="E3207" t="n">
        <v>3.175</v>
      </c>
      <c r="F3207" t="n">
        <v>10.287</v>
      </c>
      <c r="G3207" t="n">
        <v>3501047</v>
      </c>
      <c r="H3207" t="inlineStr">
        <is>
          <t>TUB-O-N-AUT-AW-FC-57.15X2.50X5.750-ERW 1</t>
        </is>
      </c>
    </row>
    <row r="3208">
      <c r="A3208" t="inlineStr">
        <is>
          <t>0000943209</t>
        </is>
      </c>
      <c r="B3208" t="inlineStr">
        <is>
          <t>MEGH STEELS PRIVATE LIMITED - TVS A</t>
        </is>
      </c>
      <c r="C3208" t="inlineStr">
        <is>
          <t>KG</t>
        </is>
      </c>
      <c r="D3208" t="n">
        <v>83</v>
      </c>
      <c r="E3208" t="n">
        <v>478.321</v>
      </c>
      <c r="F3208" t="n">
        <v>1550</v>
      </c>
      <c r="G3208" t="n">
        <v>3501047</v>
      </c>
      <c r="H3208" t="inlineStr">
        <is>
          <t>TUB-O-N-AUT-AW-FC-57.15X2.50X5.750-ERW 1</t>
        </is>
      </c>
    </row>
    <row r="3209">
      <c r="A3209" t="inlineStr">
        <is>
          <t>0000952287</t>
        </is>
      </c>
      <c r="B3209" t="inlineStr">
        <is>
          <t>MYSORE PIPE SUPPLIERS</t>
        </is>
      </c>
      <c r="C3209" t="inlineStr">
        <is>
          <t>KG</t>
        </is>
      </c>
      <c r="D3209" t="n">
        <v>313</v>
      </c>
      <c r="E3209" t="n">
        <v>1880.267</v>
      </c>
      <c r="F3209" t="n">
        <v>1985.75</v>
      </c>
      <c r="G3209" t="n">
        <v>3656419</v>
      </c>
      <c r="H3209" t="inlineStr">
        <is>
          <t>TUB-R-FH-RHS-40.00X20.00X1.200X6.0000</t>
        </is>
      </c>
    </row>
    <row r="3210">
      <c r="A3210" t="inlineStr">
        <is>
          <t>0000952287</t>
        </is>
      </c>
      <c r="B3210" t="inlineStr">
        <is>
          <t>MYSORE PIPE SUPPLIERS</t>
        </is>
      </c>
      <c r="C3210" t="inlineStr">
        <is>
          <t>KG</t>
        </is>
      </c>
      <c r="D3210" t="n">
        <v>297</v>
      </c>
      <c r="E3210" t="n">
        <v>1780.845</v>
      </c>
      <c r="F3210" t="n">
        <v>1880.75</v>
      </c>
      <c r="G3210" t="n">
        <v>3656419</v>
      </c>
      <c r="H3210" t="inlineStr">
        <is>
          <t>TUB-R-FH-RHS-40.00X20.00X1.200X6.0000</t>
        </is>
      </c>
    </row>
    <row r="3211">
      <c r="A3211" t="inlineStr">
        <is>
          <t>0000952287</t>
        </is>
      </c>
      <c r="B3211" t="inlineStr">
        <is>
          <t>MYSORE PIPE SUPPLIERS</t>
        </is>
      </c>
      <c r="C3211" t="inlineStr">
        <is>
          <t>KG</t>
        </is>
      </c>
      <c r="D3211" t="n">
        <v>296</v>
      </c>
      <c r="E3211" t="n">
        <v>1775.163</v>
      </c>
      <c r="F3211" t="n">
        <v>1874.75</v>
      </c>
      <c r="G3211" t="n">
        <v>3656419</v>
      </c>
      <c r="H3211" t="inlineStr">
        <is>
          <t>TUB-R-FH-RHS-40.00X20.00X1.200X6.0000</t>
        </is>
      </c>
    </row>
    <row r="3212">
      <c r="A3212" t="inlineStr">
        <is>
          <t>0000952287</t>
        </is>
      </c>
      <c r="B3212" t="inlineStr">
        <is>
          <t>MYSORE PIPE SUPPLIERS</t>
        </is>
      </c>
      <c r="C3212" t="inlineStr">
        <is>
          <t>KG</t>
        </is>
      </c>
      <c r="D3212" t="n">
        <v>265</v>
      </c>
      <c r="E3212" t="n">
        <v>1589.575</v>
      </c>
      <c r="F3212" t="n">
        <v>1678.75</v>
      </c>
      <c r="G3212" t="n">
        <v>3656419</v>
      </c>
      <c r="H3212" t="inlineStr">
        <is>
          <t>TUB-R-FH-RHS-40.00X20.00X1.200X6.0000</t>
        </is>
      </c>
    </row>
    <row r="3213">
      <c r="A3213" t="inlineStr">
        <is>
          <t>0000952287</t>
        </is>
      </c>
      <c r="B3213" t="inlineStr">
        <is>
          <t>MYSORE PIPE SUPPLIERS</t>
        </is>
      </c>
      <c r="C3213" t="inlineStr">
        <is>
          <t>KG</t>
        </is>
      </c>
      <c r="D3213" t="n">
        <v>17</v>
      </c>
      <c r="E3213" t="n">
        <v>103.92</v>
      </c>
      <c r="F3213" t="n">
        <v>109.75</v>
      </c>
      <c r="G3213" t="n">
        <v>3656419</v>
      </c>
      <c r="H3213" t="inlineStr">
        <is>
          <t>TUB-R-FH-RHS-40.00X20.00X1.200X6.0000</t>
        </is>
      </c>
    </row>
    <row r="3214">
      <c r="A3214" t="inlineStr">
        <is>
          <t>0000952287</t>
        </is>
      </c>
      <c r="B3214" t="inlineStr">
        <is>
          <t>MYSORE PIPE SUPPLIERS</t>
        </is>
      </c>
      <c r="C3214" t="inlineStr">
        <is>
          <t>KG</t>
        </is>
      </c>
      <c r="D3214" t="n">
        <v>71</v>
      </c>
      <c r="E3214" t="n">
        <v>426.333</v>
      </c>
      <c r="F3214" t="n">
        <v>450.25</v>
      </c>
      <c r="G3214" t="n">
        <v>3656419</v>
      </c>
      <c r="H3214" t="inlineStr">
        <is>
          <t>TUB-R-FH-RHS-40.00X20.00X1.200X6.0000</t>
        </is>
      </c>
    </row>
    <row r="3215">
      <c r="A3215" t="inlineStr">
        <is>
          <t>0000189002</t>
        </is>
      </c>
      <c r="B3215" t="inlineStr">
        <is>
          <t>Marathwada Auto Compo Pvt. Ltd.</t>
        </is>
      </c>
      <c r="C3215" t="inlineStr">
        <is>
          <t>NOS</t>
        </is>
      </c>
      <c r="D3215" t="n">
        <v>2365.62</v>
      </c>
      <c r="E3215" t="n">
        <v>1147.256</v>
      </c>
      <c r="F3215" t="n">
        <v>1767.118</v>
      </c>
      <c r="G3215" t="n">
        <v>2359755</v>
      </c>
      <c r="H3215" t="inlineStr">
        <is>
          <t>TUB-O-C-AUT-AD-FC-30.00X2.250X0.4850</t>
        </is>
      </c>
    </row>
    <row r="3216">
      <c r="A3216" t="inlineStr">
        <is>
          <t>0000189002</t>
        </is>
      </c>
      <c r="B3216" t="inlineStr">
        <is>
          <t>Marathwada Auto Compo Pvt. Ltd.</t>
        </is>
      </c>
      <c r="C3216" t="inlineStr">
        <is>
          <t>NOS</t>
        </is>
      </c>
      <c r="D3216" t="n">
        <v>634.38</v>
      </c>
      <c r="E3216" t="n">
        <v>307.656</v>
      </c>
      <c r="F3216" t="n">
        <v>473.882</v>
      </c>
      <c r="G3216" t="n">
        <v>2359755</v>
      </c>
      <c r="H3216" t="inlineStr">
        <is>
          <t>TUB-O-C-AUT-AD-FC-30.00X2.250X0.4850</t>
        </is>
      </c>
    </row>
    <row r="3217">
      <c r="A3217" t="inlineStr">
        <is>
          <t>0000189226</t>
        </is>
      </c>
      <c r="B3217" t="inlineStr">
        <is>
          <t>Neel Metal Products Limited</t>
        </is>
      </c>
      <c r="C3217" t="inlineStr">
        <is>
          <t>NOS</t>
        </is>
      </c>
      <c r="D3217" t="n">
        <v>1000</v>
      </c>
      <c r="E3217" t="n">
        <v>235.996</v>
      </c>
      <c r="F3217" t="n">
        <v>1352.8</v>
      </c>
      <c r="G3217" t="n">
        <v>3784473</v>
      </c>
      <c r="H3217" t="inlineStr">
        <is>
          <t>CUT-O-N-AUT-BH-FC-63.50X4.000X0.2360</t>
        </is>
      </c>
    </row>
    <row r="3218">
      <c r="A3218" t="inlineStr">
        <is>
          <t>0000952287</t>
        </is>
      </c>
      <c r="B3218" t="inlineStr">
        <is>
          <t>MYSORE PIPE SUPPLIERS</t>
        </is>
      </c>
      <c r="C3218" t="inlineStr">
        <is>
          <t>KG</t>
        </is>
      </c>
      <c r="D3218" t="n">
        <v>183</v>
      </c>
      <c r="E3218" t="n">
        <v>1100</v>
      </c>
      <c r="F3218" t="n">
        <v>1161.71</v>
      </c>
      <c r="G3218" t="n">
        <v>3656419</v>
      </c>
      <c r="H3218" t="inlineStr">
        <is>
          <t>TUB-R-FH-RHS-40.00X20.00X1.200X6.0000</t>
        </is>
      </c>
    </row>
    <row r="3219">
      <c r="A3219" t="inlineStr">
        <is>
          <t>0000952287</t>
        </is>
      </c>
      <c r="B3219" t="inlineStr">
        <is>
          <t>MYSORE PIPE SUPPLIERS</t>
        </is>
      </c>
      <c r="C3219" t="inlineStr">
        <is>
          <t>KG</t>
        </is>
      </c>
      <c r="D3219" t="n">
        <v>236</v>
      </c>
      <c r="E3219" t="n">
        <v>1418.701</v>
      </c>
      <c r="F3219" t="n">
        <v>1498.29</v>
      </c>
      <c r="G3219" t="n">
        <v>3656419</v>
      </c>
      <c r="H3219" t="inlineStr">
        <is>
          <t>TUB-R-FH-RHS-40.00X20.00X1.200X6.0000</t>
        </is>
      </c>
    </row>
    <row r="3220">
      <c r="A3220" t="inlineStr">
        <is>
          <t>0000943210</t>
        </is>
      </c>
      <c r="B3220" t="inlineStr">
        <is>
          <t>MEGH STEELS PRIVATE LIMITED - HMSIL</t>
        </is>
      </c>
      <c r="C3220" t="inlineStr">
        <is>
          <t>KG</t>
        </is>
      </c>
      <c r="D3220" t="n">
        <v>161</v>
      </c>
      <c r="E3220" t="n">
        <v>917.6799999999999</v>
      </c>
      <c r="F3220" t="n">
        <v>1314.485</v>
      </c>
      <c r="G3220" t="n">
        <v>3545558</v>
      </c>
      <c r="H3220" t="inlineStr">
        <is>
          <t>TUB-O-N-AUT-AW-FC-45.00X1.400X5.7000</t>
        </is>
      </c>
    </row>
    <row r="3221">
      <c r="A3221" t="inlineStr">
        <is>
          <t>0000943210</t>
        </is>
      </c>
      <c r="B3221" t="inlineStr">
        <is>
          <t>MEGH STEELS PRIVATE LIMITED - HMSIL</t>
        </is>
      </c>
      <c r="C3221" t="inlineStr">
        <is>
          <t>KG</t>
        </is>
      </c>
      <c r="D3221" t="n">
        <v>136</v>
      </c>
      <c r="E3221" t="n">
        <v>775.183</v>
      </c>
      <c r="F3221" t="n">
        <v>1110.372</v>
      </c>
      <c r="G3221" t="n">
        <v>3545558</v>
      </c>
      <c r="H3221" t="inlineStr">
        <is>
          <t>TUB-O-N-AUT-AW-FC-45.00X1.400X5.7000</t>
        </is>
      </c>
    </row>
    <row r="3222">
      <c r="A3222" t="inlineStr">
        <is>
          <t>0000943210</t>
        </is>
      </c>
      <c r="B3222" t="inlineStr">
        <is>
          <t>MEGH STEELS PRIVATE LIMITED - HMSIL</t>
        </is>
      </c>
      <c r="C3222" t="inlineStr">
        <is>
          <t>KG</t>
        </is>
      </c>
      <c r="D3222" t="n">
        <v>103</v>
      </c>
      <c r="E3222" t="n">
        <v>586.803</v>
      </c>
      <c r="F3222" t="n">
        <v>840.537</v>
      </c>
      <c r="G3222" t="n">
        <v>3545558</v>
      </c>
      <c r="H3222" t="inlineStr">
        <is>
          <t>TUB-O-N-AUT-AW-FC-45.00X1.400X5.7000</t>
        </is>
      </c>
    </row>
    <row r="3223">
      <c r="A3223" t="inlineStr">
        <is>
          <t>0000943210</t>
        </is>
      </c>
      <c r="B3223" t="inlineStr">
        <is>
          <t>MEGH STEELS PRIVATE LIMITED - HMSIL</t>
        </is>
      </c>
      <c r="C3223" t="inlineStr">
        <is>
          <t>KG</t>
        </is>
      </c>
      <c r="D3223" t="n">
        <v>4</v>
      </c>
      <c r="E3223" t="n">
        <v>24.159</v>
      </c>
      <c r="F3223" t="n">
        <v>34.606</v>
      </c>
      <c r="G3223" t="n">
        <v>3545558</v>
      </c>
      <c r="H3223" t="inlineStr">
        <is>
          <t>TUB-O-N-AUT-AW-FC-45.00X1.400X5.7000</t>
        </is>
      </c>
    </row>
    <row r="3224">
      <c r="A3224" t="inlineStr">
        <is>
          <t>0000943210</t>
        </is>
      </c>
      <c r="B3224" t="inlineStr">
        <is>
          <t>MEGH STEELS PRIVATE LIMITED - HMSIL</t>
        </is>
      </c>
      <c r="C3224" t="inlineStr">
        <is>
          <t>KG</t>
        </is>
      </c>
      <c r="D3224" t="n">
        <v>117</v>
      </c>
      <c r="E3224" t="n">
        <v>709.722</v>
      </c>
      <c r="F3224" t="n">
        <v>1422</v>
      </c>
      <c r="G3224" t="n">
        <v>3701546</v>
      </c>
      <c r="H3224" t="inlineStr">
        <is>
          <t>TUB-O-N-AUT-AW-FC-28.58X3.250X6.0600</t>
        </is>
      </c>
    </row>
    <row r="3225">
      <c r="A3225" t="inlineStr">
        <is>
          <t>0000943210</t>
        </is>
      </c>
      <c r="B3225" t="inlineStr">
        <is>
          <t>MEGH STEELS PRIVATE LIMITED - HMSIL</t>
        </is>
      </c>
      <c r="C3225" t="inlineStr">
        <is>
          <t>KG</t>
        </is>
      </c>
      <c r="D3225" t="n">
        <v>113</v>
      </c>
      <c r="E3225" t="n">
        <v>687.7619999999999</v>
      </c>
      <c r="F3225" t="n">
        <v>1378</v>
      </c>
      <c r="G3225" t="n">
        <v>3701546</v>
      </c>
      <c r="H3225" t="inlineStr">
        <is>
          <t>TUB-O-N-AUT-AW-FC-28.58X3.250X6.0600</t>
        </is>
      </c>
    </row>
    <row r="3226">
      <c r="A3226" t="inlineStr">
        <is>
          <t>0000943211</t>
        </is>
      </c>
      <c r="B3226" t="inlineStr">
        <is>
          <t>MEGH STEELS PRIVATE LIMITED - RE</t>
        </is>
      </c>
      <c r="C3226" t="inlineStr">
        <is>
          <t>KG</t>
        </is>
      </c>
      <c r="D3226" t="n">
        <v>169</v>
      </c>
      <c r="E3226" t="n">
        <v>999.761</v>
      </c>
      <c r="F3226" t="n">
        <v>1670</v>
      </c>
      <c r="G3226" t="n">
        <v>4072797</v>
      </c>
      <c r="H3226" t="inlineStr">
        <is>
          <t>TUB-O-N-AUT-AW-FC-31.75X2.300X5.9200</t>
        </is>
      </c>
    </row>
    <row r="3227">
      <c r="A3227" t="inlineStr">
        <is>
          <t>0000189270</t>
        </is>
      </c>
      <c r="B3227" t="inlineStr">
        <is>
          <t>Indo Autotech Limited (Unit V)</t>
        </is>
      </c>
      <c r="C3227" t="inlineStr">
        <is>
          <t>NOS</t>
        </is>
      </c>
      <c r="D3227" t="n">
        <v>1394.143</v>
      </c>
      <c r="E3227" t="n">
        <v>641.465</v>
      </c>
      <c r="F3227" t="n">
        <v>2570.8</v>
      </c>
      <c r="G3227" t="n">
        <v>3136139</v>
      </c>
      <c r="H3227" t="inlineStr">
        <is>
          <t>TUB-O-N-AUT-AW-FC-57.15X3.000X0.4600</t>
        </is>
      </c>
    </row>
    <row r="3228">
      <c r="A3228" t="inlineStr">
        <is>
          <t>0000189270</t>
        </is>
      </c>
      <c r="B3228" t="inlineStr">
        <is>
          <t>Indo Autotech Limited (Unit V)</t>
        </is>
      </c>
      <c r="C3228" t="inlineStr">
        <is>
          <t>NOS</t>
        </is>
      </c>
      <c r="D3228" t="n">
        <v>1105.857</v>
      </c>
      <c r="E3228" t="n">
        <v>508.821</v>
      </c>
      <c r="F3228" t="n">
        <v>2039.2</v>
      </c>
      <c r="G3228" t="n">
        <v>3136139</v>
      </c>
      <c r="H3228" t="inlineStr">
        <is>
          <t>TUB-O-N-AUT-AW-FC-57.15X3.000X0.4600</t>
        </is>
      </c>
    </row>
    <row r="3229">
      <c r="A3229" t="inlineStr">
        <is>
          <t>0000188356</t>
        </is>
      </c>
      <c r="B3229" t="inlineStr">
        <is>
          <t>Thai Summit Autoparts India Pvt Ltd</t>
        </is>
      </c>
      <c r="C3229" t="inlineStr">
        <is>
          <t>NOS</t>
        </is>
      </c>
      <c r="D3229" t="n">
        <v>2514</v>
      </c>
      <c r="E3229" t="n">
        <v>802.078</v>
      </c>
      <c r="F3229" t="n">
        <v>2209.806</v>
      </c>
      <c r="G3229" t="n">
        <v>1939479</v>
      </c>
      <c r="H3229" t="inlineStr">
        <is>
          <t>TUB-O-C-CEW-AD-FC-38.10X3.200X0.3190</t>
        </is>
      </c>
    </row>
    <row r="3230">
      <c r="A3230" t="inlineStr">
        <is>
          <t>0000188356</t>
        </is>
      </c>
      <c r="B3230" t="inlineStr">
        <is>
          <t>Thai Summit Autoparts India Pvt Ltd</t>
        </is>
      </c>
      <c r="C3230" t="inlineStr">
        <is>
          <t>NOS</t>
        </is>
      </c>
      <c r="D3230" t="n">
        <v>2370</v>
      </c>
      <c r="E3230" t="n">
        <v>756.136</v>
      </c>
      <c r="F3230" t="n">
        <v>2083.23</v>
      </c>
      <c r="G3230" t="n">
        <v>1939479</v>
      </c>
      <c r="H3230" t="inlineStr">
        <is>
          <t>TUB-O-C-CEW-AD-FC-38.10X3.200X0.3190</t>
        </is>
      </c>
    </row>
    <row r="3231">
      <c r="A3231" t="inlineStr">
        <is>
          <t>0000188356</t>
        </is>
      </c>
      <c r="B3231" t="inlineStr">
        <is>
          <t>Thai Summit Autoparts India Pvt Ltd</t>
        </is>
      </c>
      <c r="C3231" t="inlineStr">
        <is>
          <t>NOS</t>
        </is>
      </c>
      <c r="D3231" t="n">
        <v>115</v>
      </c>
      <c r="E3231" t="n">
        <v>36.69</v>
      </c>
      <c r="F3231" t="n">
        <v>101.085</v>
      </c>
      <c r="G3231" t="n">
        <v>1939479</v>
      </c>
      <c r="H3231" t="inlineStr">
        <is>
          <t>TUB-O-C-CEW-AD-FC-38.10X3.200X0.3190</t>
        </is>
      </c>
    </row>
    <row r="3232">
      <c r="A3232" t="inlineStr">
        <is>
          <t>0000188356</t>
        </is>
      </c>
      <c r="B3232" t="inlineStr">
        <is>
          <t>Thai Summit Autoparts India Pvt Ltd</t>
        </is>
      </c>
      <c r="C3232" t="inlineStr">
        <is>
          <t>NOS</t>
        </is>
      </c>
      <c r="D3232" t="n">
        <v>1</v>
      </c>
      <c r="E3232" t="n">
        <v>0.319</v>
      </c>
      <c r="F3232" t="n">
        <v>0.879</v>
      </c>
      <c r="G3232" t="n">
        <v>1939479</v>
      </c>
      <c r="H3232" t="inlineStr">
        <is>
          <t>TUB-O-C-CEW-AD-FC-38.10X3.200X0.3190</t>
        </is>
      </c>
    </row>
    <row r="3233">
      <c r="A3233" t="inlineStr">
        <is>
          <t>0000943209</t>
        </is>
      </c>
      <c r="B3233" t="inlineStr">
        <is>
          <t>MEGH STEELS PRIVATE LIMITED - TVS A</t>
        </is>
      </c>
      <c r="C3233" t="inlineStr">
        <is>
          <t>KG</t>
        </is>
      </c>
      <c r="D3233" t="n">
        <v>117</v>
      </c>
      <c r="E3233" t="n">
        <v>702.292</v>
      </c>
      <c r="F3233" t="n">
        <v>1100</v>
      </c>
      <c r="G3233" t="n">
        <v>3597718</v>
      </c>
      <c r="H3233" t="inlineStr">
        <is>
          <t>TUB-R-AW-RHS-40.00X25.00X1.600X5.9900</t>
        </is>
      </c>
    </row>
    <row r="3234">
      <c r="A3234" t="inlineStr">
        <is>
          <t>0000943209</t>
        </is>
      </c>
      <c r="B3234" t="inlineStr">
        <is>
          <t>MEGH STEELS PRIVATE LIMITED - TVS A</t>
        </is>
      </c>
      <c r="C3234" t="inlineStr">
        <is>
          <t>KG</t>
        </is>
      </c>
      <c r="D3234" t="n">
        <v>42</v>
      </c>
      <c r="E3234" t="n">
        <v>236.63</v>
      </c>
      <c r="F3234" t="n">
        <v>500</v>
      </c>
      <c r="G3234" t="n">
        <v>3500240</v>
      </c>
      <c r="H3234" t="inlineStr">
        <is>
          <t>TUB-O-N-AUT-AH-FC-38.10X2.5X5.65 HSTERW2</t>
        </is>
      </c>
    </row>
    <row r="3235">
      <c r="A3235" t="inlineStr">
        <is>
          <t>0000952905</t>
        </is>
      </c>
      <c r="B3235" t="inlineStr">
        <is>
          <t>NAHARS ENGINEERING INDIA PRIVATE LI</t>
        </is>
      </c>
      <c r="C3235" t="inlineStr">
        <is>
          <t>NOS</t>
        </is>
      </c>
      <c r="D3235" t="n">
        <v>730</v>
      </c>
      <c r="E3235" t="n">
        <v>250.384</v>
      </c>
      <c r="F3235" t="n">
        <v>976.521</v>
      </c>
      <c r="G3235" t="n">
        <v>4184750</v>
      </c>
      <c r="H3235" t="inlineStr">
        <is>
          <t>TUB-O-N-AUT-AN-FC-44.45X4.000X0.3430</t>
        </is>
      </c>
    </row>
    <row r="3236">
      <c r="A3236" t="inlineStr">
        <is>
          <t>0000952905</t>
        </is>
      </c>
      <c r="B3236" t="inlineStr">
        <is>
          <t>NAHARS ENGINEERING INDIA PRIVATE LI</t>
        </is>
      </c>
      <c r="C3236" t="inlineStr">
        <is>
          <t>NOS</t>
        </is>
      </c>
      <c r="D3236" t="n">
        <v>935</v>
      </c>
      <c r="E3236" t="n">
        <v>320.697</v>
      </c>
      <c r="F3236" t="n">
        <v>1250.749</v>
      </c>
      <c r="G3236" t="n">
        <v>4184750</v>
      </c>
      <c r="H3236" t="inlineStr">
        <is>
          <t>TUB-O-N-AUT-AN-FC-44.45X4.000X0.3430</t>
        </is>
      </c>
    </row>
    <row r="3237">
      <c r="A3237" t="inlineStr">
        <is>
          <t>0000189227</t>
        </is>
      </c>
      <c r="B3237" t="inlineStr">
        <is>
          <t>Neel Metal Products Limited</t>
        </is>
      </c>
      <c r="C3237" t="inlineStr">
        <is>
          <t>NOS</t>
        </is>
      </c>
      <c r="D3237" t="n">
        <v>801</v>
      </c>
      <c r="E3237" t="n">
        <v>1093.372</v>
      </c>
      <c r="F3237" t="n">
        <v>3259.669</v>
      </c>
      <c r="G3237" t="n">
        <v>3781680</v>
      </c>
      <c r="H3237" t="inlineStr">
        <is>
          <t>CUT-O-N-AUT-AW-FC-57.15X2.300X1.3650</t>
        </is>
      </c>
    </row>
    <row r="3238">
      <c r="A3238" t="inlineStr">
        <is>
          <t>0000129663</t>
        </is>
      </c>
      <c r="B3238" t="inlineStr">
        <is>
          <t>ELKAYEM AUTO ANCILLARIES (PVT) LTD.</t>
        </is>
      </c>
      <c r="C3238" t="inlineStr">
        <is>
          <t>NOS</t>
        </is>
      </c>
      <c r="D3238" t="n">
        <v>1615</v>
      </c>
      <c r="E3238" t="n">
        <v>481.27</v>
      </c>
      <c r="F3238" t="n">
        <v>854.64</v>
      </c>
      <c r="G3238" t="n">
        <v>3910451</v>
      </c>
      <c r="H3238" t="inlineStr">
        <is>
          <t>CUT-O-N-AUT-AW-FC-34.93X2.300X0.2980</t>
        </is>
      </c>
    </row>
    <row r="3239">
      <c r="A3239" t="inlineStr">
        <is>
          <t>0000189227</t>
        </is>
      </c>
      <c r="B3239" t="inlineStr">
        <is>
          <t>Neel Metal Products Limited</t>
        </is>
      </c>
      <c r="C3239" t="inlineStr">
        <is>
          <t>NOS</t>
        </is>
      </c>
      <c r="D3239" t="n">
        <v>1016</v>
      </c>
      <c r="E3239" t="n">
        <v>1386.849</v>
      </c>
      <c r="F3239" t="n">
        <v>4134.612</v>
      </c>
      <c r="G3239" t="n">
        <v>3781680</v>
      </c>
      <c r="H3239" t="inlineStr">
        <is>
          <t>CUT-O-N-AUT-AW-FC-57.15X2.300X1.3650</t>
        </is>
      </c>
    </row>
    <row r="3240">
      <c r="A3240" t="inlineStr">
        <is>
          <t>0000952904</t>
        </is>
      </c>
      <c r="B3240" t="inlineStr">
        <is>
          <t>ELKAYEM AUTO ANCILLARIES PRIVATE LI</t>
        </is>
      </c>
      <c r="C3240" t="inlineStr">
        <is>
          <t>NOS</t>
        </is>
      </c>
      <c r="D3240" t="n">
        <v>1513.966</v>
      </c>
      <c r="E3240" t="n">
        <v>504.156</v>
      </c>
      <c r="F3240" t="n">
        <v>933.444</v>
      </c>
      <c r="G3240" t="n">
        <v>3729146</v>
      </c>
      <c r="H3240" t="inlineStr">
        <is>
          <t>CUT-O-N-AUT-AW-FC-34.93X2.300X0.3330</t>
        </is>
      </c>
    </row>
    <row r="3241">
      <c r="A3241" t="inlineStr">
        <is>
          <t>0000952904</t>
        </is>
      </c>
      <c r="B3241" t="inlineStr">
        <is>
          <t>ELKAYEM AUTO ANCILLARIES PRIVATE LI</t>
        </is>
      </c>
      <c r="C3241" t="inlineStr">
        <is>
          <t>NOS</t>
        </is>
      </c>
      <c r="D3241" t="n">
        <v>1251.034</v>
      </c>
      <c r="E3241" t="n">
        <v>416.598</v>
      </c>
      <c r="F3241" t="n">
        <v>771.332</v>
      </c>
      <c r="G3241" t="n">
        <v>3729146</v>
      </c>
      <c r="H3241" t="inlineStr">
        <is>
          <t>CUT-O-N-AUT-AW-FC-34.93X2.300X0.3330</t>
        </is>
      </c>
    </row>
    <row r="3242">
      <c r="A3242" t="inlineStr">
        <is>
          <t>0000941506</t>
        </is>
      </c>
      <c r="B3242" t="inlineStr">
        <is>
          <t>ELKAYEM AUTO ANCILLARIES PRIVATE LI</t>
        </is>
      </c>
      <c r="C3242" t="inlineStr">
        <is>
          <t>NOS</t>
        </is>
      </c>
      <c r="D3242" t="n">
        <v>1260</v>
      </c>
      <c r="E3242" t="n">
        <v>1891.277</v>
      </c>
      <c r="F3242" t="n">
        <v>3358.53</v>
      </c>
      <c r="G3242" t="n">
        <v>3911993</v>
      </c>
      <c r="H3242" t="inlineStr">
        <is>
          <t>CUT-O-N-AUT-AW-FC-34.93X2.300X1.5010</t>
        </is>
      </c>
    </row>
    <row r="3243">
      <c r="A3243" t="inlineStr">
        <is>
          <t>0000189227</t>
        </is>
      </c>
      <c r="B3243" t="inlineStr">
        <is>
          <t>Neel Metal Products Limited</t>
        </is>
      </c>
      <c r="C3243" t="inlineStr">
        <is>
          <t>NOS</t>
        </is>
      </c>
      <c r="D3243" t="n">
        <v>6950</v>
      </c>
      <c r="E3243" t="n">
        <v>5622.55</v>
      </c>
      <c r="F3243" t="n">
        <v>5475.364</v>
      </c>
      <c r="G3243" t="n">
        <v>1940466</v>
      </c>
      <c r="H3243" t="inlineStr">
        <is>
          <t>TUB-O-O-AUT-AW-PE-22.23X2.000X0.8090</t>
        </is>
      </c>
    </row>
    <row r="3244">
      <c r="A3244" t="inlineStr">
        <is>
          <t>0000189227</t>
        </is>
      </c>
      <c r="B3244" t="inlineStr">
        <is>
          <t>Neel Metal Products Limited</t>
        </is>
      </c>
      <c r="C3244" t="inlineStr">
        <is>
          <t>NOS</t>
        </is>
      </c>
      <c r="D3244" t="n">
        <v>3000</v>
      </c>
      <c r="E3244" t="n">
        <v>446.916</v>
      </c>
      <c r="F3244" t="n">
        <v>213</v>
      </c>
      <c r="G3244" t="n">
        <v>1938195</v>
      </c>
      <c r="H3244" t="inlineStr">
        <is>
          <t>TUB-O-N-AUT-AW-PE-17.30X1.200X0.1500</t>
        </is>
      </c>
    </row>
    <row r="3245">
      <c r="A3245" t="inlineStr">
        <is>
          <t>0000189227</t>
        </is>
      </c>
      <c r="B3245" t="inlineStr">
        <is>
          <t>Neel Metal Products Limited</t>
        </is>
      </c>
      <c r="C3245" t="inlineStr">
        <is>
          <t>NOS</t>
        </is>
      </c>
      <c r="D3245" t="n">
        <v>5000</v>
      </c>
      <c r="E3245" t="n">
        <v>1970.015</v>
      </c>
      <c r="F3245" t="n">
        <v>1918.444</v>
      </c>
      <c r="G3245" t="n">
        <v>1940437</v>
      </c>
      <c r="H3245" t="inlineStr">
        <is>
          <t>TUB-O-O-AUT-AW-PE-22.23X2.000X0.3940</t>
        </is>
      </c>
    </row>
    <row r="3246">
      <c r="A3246" t="inlineStr">
        <is>
          <t>0000189226</t>
        </is>
      </c>
      <c r="B3246" t="inlineStr">
        <is>
          <t>Neel Metal Products Limited</t>
        </is>
      </c>
      <c r="C3246" t="inlineStr">
        <is>
          <t>NOS</t>
        </is>
      </c>
      <c r="D3246" t="n">
        <v>2500</v>
      </c>
      <c r="E3246" t="n">
        <v>1825.318</v>
      </c>
      <c r="F3246" t="n">
        <v>4395</v>
      </c>
      <c r="G3246" t="n">
        <v>1940881</v>
      </c>
      <c r="H3246" t="inlineStr">
        <is>
          <t>TUB-R-AW-RHS-50.00X30.00X2.000X0.7300</t>
        </is>
      </c>
    </row>
    <row r="3247">
      <c r="A3247" t="inlineStr">
        <is>
          <t>0000129663</t>
        </is>
      </c>
      <c r="B3247" t="inlineStr">
        <is>
          <t>ELKAYEM AUTO ANCILLARIES (PVT) LTD.</t>
        </is>
      </c>
      <c r="C3247" t="inlineStr">
        <is>
          <t>NOS</t>
        </is>
      </c>
      <c r="D3247" t="n">
        <v>700</v>
      </c>
      <c r="E3247" t="n">
        <v>202.999</v>
      </c>
      <c r="F3247" t="n">
        <v>774.97</v>
      </c>
      <c r="G3247" t="n">
        <v>3781701</v>
      </c>
      <c r="H3247" t="inlineStr">
        <is>
          <t>CUT-O-N-AUT-BH-FC-42.70X4.000X0.2900</t>
        </is>
      </c>
    </row>
    <row r="3248">
      <c r="A3248" t="inlineStr">
        <is>
          <t>0000129663</t>
        </is>
      </c>
      <c r="B3248" t="inlineStr">
        <is>
          <t>ELKAYEM AUTO ANCILLARIES (PVT) LTD.</t>
        </is>
      </c>
      <c r="C3248" t="inlineStr">
        <is>
          <t>NOS</t>
        </is>
      </c>
      <c r="D3248" t="n">
        <v>2500</v>
      </c>
      <c r="E3248" t="n">
        <v>724.997</v>
      </c>
      <c r="F3248" t="n">
        <v>2767.75</v>
      </c>
      <c r="G3248" t="n">
        <v>3781701</v>
      </c>
      <c r="H3248" t="inlineStr">
        <is>
          <t>CUT-O-N-AUT-BH-FC-42.70X4.000X0.2900</t>
        </is>
      </c>
    </row>
    <row r="3249">
      <c r="A3249" t="inlineStr">
        <is>
          <t>0000129663</t>
        </is>
      </c>
      <c r="B3249" t="inlineStr">
        <is>
          <t>ELKAYEM AUTO ANCILLARIES (PVT) LTD.</t>
        </is>
      </c>
      <c r="C3249" t="inlineStr">
        <is>
          <t>NOS</t>
        </is>
      </c>
      <c r="D3249" t="n">
        <v>8000</v>
      </c>
      <c r="E3249" t="n">
        <v>2959.87</v>
      </c>
      <c r="F3249" t="n">
        <v>3346.133</v>
      </c>
      <c r="G3249" t="n">
        <v>3926424</v>
      </c>
      <c r="H3249" t="inlineStr">
        <is>
          <t>TUB-O-N-AUT-AW-PE-22.23X2.300X0.37</t>
        </is>
      </c>
    </row>
    <row r="3250">
      <c r="A3250" t="inlineStr">
        <is>
          <t>0000129663</t>
        </is>
      </c>
      <c r="B3250" t="inlineStr">
        <is>
          <t>ELKAYEM AUTO ANCILLARIES (PVT) LTD.</t>
        </is>
      </c>
      <c r="C3250" t="inlineStr">
        <is>
          <t>NOS</t>
        </is>
      </c>
      <c r="D3250" t="n">
        <v>2000</v>
      </c>
      <c r="E3250" t="n">
        <v>449.995</v>
      </c>
      <c r="F3250" t="n">
        <v>499.044</v>
      </c>
      <c r="G3250" t="n">
        <v>3484652</v>
      </c>
      <c r="H3250" t="inlineStr">
        <is>
          <t>TUB-O-N-AUT-AW-PE-22.20X2.300X0.2250</t>
        </is>
      </c>
    </row>
    <row r="3251">
      <c r="A3251" t="inlineStr">
        <is>
          <t>0000188415</t>
        </is>
      </c>
      <c r="B3251" t="inlineStr">
        <is>
          <t>Rajsriya Automotive Industries(P)</t>
        </is>
      </c>
      <c r="C3251" t="inlineStr">
        <is>
          <t>NOS</t>
        </is>
      </c>
      <c r="D3251" t="n">
        <v>834.485</v>
      </c>
      <c r="E3251" t="n">
        <v>341.294</v>
      </c>
      <c r="F3251" t="n">
        <v>906</v>
      </c>
      <c r="G3251" t="n">
        <v>4020857</v>
      </c>
      <c r="H3251" t="inlineStr">
        <is>
          <t>TUB-O-N-AUT-AW-FC-57.15X2.000X0.4090</t>
        </is>
      </c>
    </row>
    <row r="3252">
      <c r="A3252" t="inlineStr">
        <is>
          <t>0000188415</t>
        </is>
      </c>
      <c r="B3252" t="inlineStr">
        <is>
          <t>Rajsriya Automotive Industries(P)</t>
        </is>
      </c>
      <c r="C3252" t="inlineStr">
        <is>
          <t>NOS</t>
        </is>
      </c>
      <c r="D3252" t="n">
        <v>180.515</v>
      </c>
      <c r="E3252" t="n">
        <v>73.828</v>
      </c>
      <c r="F3252" t="n">
        <v>195.985</v>
      </c>
      <c r="G3252" t="n">
        <v>4020857</v>
      </c>
      <c r="H3252" t="inlineStr">
        <is>
          <t>TUB-O-N-AUT-AW-FC-57.15X2.000X0.4090</t>
        </is>
      </c>
    </row>
    <row r="3253">
      <c r="A3253" t="inlineStr">
        <is>
          <t>0000189226</t>
        </is>
      </c>
      <c r="B3253" t="inlineStr">
        <is>
          <t>Neel Metal Products Limited</t>
        </is>
      </c>
      <c r="C3253" t="inlineStr">
        <is>
          <t>NOS</t>
        </is>
      </c>
      <c r="D3253" t="n">
        <v>5000</v>
      </c>
      <c r="E3253" t="n">
        <v>3650.635</v>
      </c>
      <c r="F3253" t="n">
        <v>8790</v>
      </c>
      <c r="G3253" t="n">
        <v>1940881</v>
      </c>
      <c r="H3253" t="inlineStr">
        <is>
          <t>TUB-R-AW-RHS-50.00X30.00X2.000X0.7300</t>
        </is>
      </c>
    </row>
    <row r="3254">
      <c r="A3254" t="inlineStr">
        <is>
          <t>0000940921</t>
        </is>
      </c>
      <c r="B3254" t="inlineStr">
        <is>
          <t>ELKAYEM AUTO ANCILLARIES PVT LTD -U</t>
        </is>
      </c>
      <c r="C3254" t="inlineStr">
        <is>
          <t>NOS</t>
        </is>
      </c>
      <c r="D3254" t="n">
        <v>1250</v>
      </c>
      <c r="E3254" t="n">
        <v>891.236</v>
      </c>
      <c r="F3254" t="n">
        <v>2365.875</v>
      </c>
      <c r="G3254" t="n">
        <v>3783938</v>
      </c>
      <c r="H3254" t="inlineStr">
        <is>
          <t>CUT-O-N-AUT-NR-AG-57.15X2.000X0.7130</t>
        </is>
      </c>
    </row>
    <row r="3255">
      <c r="A3255" t="inlineStr">
        <is>
          <t>0000940921</t>
        </is>
      </c>
      <c r="B3255" t="inlineStr">
        <is>
          <t>ELKAYEM AUTO ANCILLARIES PVT LTD -U</t>
        </is>
      </c>
      <c r="C3255" t="inlineStr">
        <is>
          <t>NOS</t>
        </is>
      </c>
      <c r="D3255" t="n">
        <v>2938</v>
      </c>
      <c r="E3255" t="n">
        <v>567.043</v>
      </c>
      <c r="F3255" t="n">
        <v>1004.176</v>
      </c>
      <c r="G3255" t="n">
        <v>3509016</v>
      </c>
      <c r="H3255" t="inlineStr">
        <is>
          <t>CUT-O-N-AUT-AW-PE-31.75X2.500X0.1930</t>
        </is>
      </c>
    </row>
    <row r="3256">
      <c r="A3256" t="inlineStr">
        <is>
          <t>0000189226</t>
        </is>
      </c>
      <c r="B3256" t="inlineStr">
        <is>
          <t>Neel Metal Products Limited</t>
        </is>
      </c>
      <c r="C3256" t="inlineStr">
        <is>
          <t>NOS</t>
        </is>
      </c>
      <c r="D3256" t="n">
        <v>460.002</v>
      </c>
      <c r="E3256" t="n">
        <v>96.59999999999999</v>
      </c>
      <c r="F3256" t="n">
        <v>326.857</v>
      </c>
      <c r="G3256" t="n">
        <v>3690546</v>
      </c>
      <c r="H3256" t="inlineStr">
        <is>
          <t>CUT-O-N-AUT-NR-FC-42.70X3.500X0.2100</t>
        </is>
      </c>
    </row>
    <row r="3257">
      <c r="A3257" t="inlineStr">
        <is>
          <t>0000189226</t>
        </is>
      </c>
      <c r="B3257" t="inlineStr">
        <is>
          <t>Neel Metal Products Limited</t>
        </is>
      </c>
      <c r="C3257" t="inlineStr">
        <is>
          <t>NOS</t>
        </is>
      </c>
      <c r="D3257" t="n">
        <v>539.998</v>
      </c>
      <c r="E3257" t="n">
        <v>113.4</v>
      </c>
      <c r="F3257" t="n">
        <v>383.699</v>
      </c>
      <c r="G3257" t="n">
        <v>3690546</v>
      </c>
      <c r="H3257" t="inlineStr">
        <is>
          <t>CUT-O-N-AUT-NR-FC-42.70X3.500X0.2100</t>
        </is>
      </c>
    </row>
    <row r="3258">
      <c r="A3258" t="inlineStr">
        <is>
          <t>0000189226</t>
        </is>
      </c>
      <c r="B3258" t="inlineStr">
        <is>
          <t>Neel Metal Products Limited</t>
        </is>
      </c>
      <c r="C3258" t="inlineStr">
        <is>
          <t>NOS</t>
        </is>
      </c>
      <c r="D3258" t="n">
        <v>999</v>
      </c>
      <c r="E3258" t="n">
        <v>209.79</v>
      </c>
      <c r="F3258" t="n">
        <v>709.845</v>
      </c>
      <c r="G3258" t="n">
        <v>3690546</v>
      </c>
      <c r="H3258" t="inlineStr">
        <is>
          <t>CUT-O-N-AUT-NR-FC-42.70X3.500X0.2100</t>
        </is>
      </c>
    </row>
    <row r="3259">
      <c r="A3259" t="inlineStr">
        <is>
          <t>0000129663</t>
        </is>
      </c>
      <c r="B3259" t="inlineStr">
        <is>
          <t>ELKAYEM AUTO ANCILLARIES (PVT) LTD.</t>
        </is>
      </c>
      <c r="C3259" t="inlineStr">
        <is>
          <t>NOS</t>
        </is>
      </c>
      <c r="D3259" t="n">
        <v>4000</v>
      </c>
      <c r="E3259" t="n">
        <v>1479.935</v>
      </c>
      <c r="F3259" t="n">
        <v>1673.067</v>
      </c>
      <c r="G3259" t="n">
        <v>3926424</v>
      </c>
      <c r="H3259" t="inlineStr">
        <is>
          <t>TUB-O-N-AUT-AW-PE-22.23X2.300X0.37</t>
        </is>
      </c>
    </row>
    <row r="3260">
      <c r="A3260" t="inlineStr">
        <is>
          <t>0000129663</t>
        </is>
      </c>
      <c r="B3260" t="inlineStr">
        <is>
          <t>ELKAYEM AUTO ANCILLARIES (PVT) LTD.</t>
        </is>
      </c>
      <c r="C3260" t="inlineStr">
        <is>
          <t>NOS</t>
        </is>
      </c>
      <c r="D3260" t="n">
        <v>1999</v>
      </c>
      <c r="E3260" t="n">
        <v>449.77</v>
      </c>
      <c r="F3260" t="n">
        <v>498.795</v>
      </c>
      <c r="G3260" t="n">
        <v>3484652</v>
      </c>
      <c r="H3260" t="inlineStr">
        <is>
          <t>TUB-O-N-AUT-AW-PE-22.20X2.300X0.2250</t>
        </is>
      </c>
    </row>
    <row r="3261">
      <c r="A3261" t="inlineStr">
        <is>
          <t>0000129663</t>
        </is>
      </c>
      <c r="B3261" t="inlineStr">
        <is>
          <t>ELKAYEM AUTO ANCILLARIES (PVT) LTD.</t>
        </is>
      </c>
      <c r="C3261" t="inlineStr">
        <is>
          <t>NOS</t>
        </is>
      </c>
      <c r="D3261" t="n">
        <v>500</v>
      </c>
      <c r="E3261" t="n">
        <v>184.992</v>
      </c>
      <c r="F3261" t="n">
        <v>209.133</v>
      </c>
      <c r="G3261" t="n">
        <v>3926424</v>
      </c>
      <c r="H3261" t="inlineStr">
        <is>
          <t>TUB-O-N-AUT-AW-PE-22.23X2.300X0.37</t>
        </is>
      </c>
    </row>
    <row r="3262">
      <c r="A3262" t="inlineStr">
        <is>
          <t>0000129663</t>
        </is>
      </c>
      <c r="B3262" t="inlineStr">
        <is>
          <t>ELKAYEM AUTO ANCILLARIES (PVT) LTD.</t>
        </is>
      </c>
      <c r="C3262" t="inlineStr">
        <is>
          <t>NOS</t>
        </is>
      </c>
      <c r="D3262" t="n">
        <v>2000</v>
      </c>
      <c r="E3262" t="n">
        <v>449.995</v>
      </c>
      <c r="F3262" t="n">
        <v>499.044</v>
      </c>
      <c r="G3262" t="n">
        <v>3484652</v>
      </c>
      <c r="H3262" t="inlineStr">
        <is>
          <t>TUB-O-N-AUT-AW-PE-22.20X2.300X0.2250</t>
        </is>
      </c>
    </row>
    <row r="3263">
      <c r="A3263" t="inlineStr">
        <is>
          <t>0000189226</t>
        </is>
      </c>
      <c r="B3263" t="inlineStr">
        <is>
          <t>Neel Metal Products Limited</t>
        </is>
      </c>
      <c r="C3263" t="inlineStr">
        <is>
          <t>NOS</t>
        </is>
      </c>
      <c r="D3263" t="n">
        <v>3000</v>
      </c>
      <c r="E3263" t="n">
        <v>2445.005</v>
      </c>
      <c r="F3263" t="n">
        <v>2381</v>
      </c>
      <c r="G3263" t="n">
        <v>3781605</v>
      </c>
      <c r="H3263" t="inlineStr">
        <is>
          <t>CUT-O-N-AUT-AW-PE-22.20X2.000X0.8150</t>
        </is>
      </c>
    </row>
    <row r="3264">
      <c r="A3264" t="inlineStr">
        <is>
          <t>0000189226</t>
        </is>
      </c>
      <c r="B3264" t="inlineStr">
        <is>
          <t>Neel Metal Products Limited</t>
        </is>
      </c>
      <c r="C3264" t="inlineStr">
        <is>
          <t>NOS</t>
        </is>
      </c>
      <c r="D3264" t="n">
        <v>2000</v>
      </c>
      <c r="E3264" t="n">
        <v>420</v>
      </c>
      <c r="F3264" t="n">
        <v>1421.111</v>
      </c>
      <c r="G3264" t="n">
        <v>3690546</v>
      </c>
      <c r="H3264" t="inlineStr">
        <is>
          <t>CUT-O-N-AUT-NR-FC-42.70X3.500X0.2100</t>
        </is>
      </c>
    </row>
    <row r="3265">
      <c r="A3265" t="inlineStr">
        <is>
          <t>0000189226</t>
        </is>
      </c>
      <c r="B3265" t="inlineStr">
        <is>
          <t>Neel Metal Products Limited</t>
        </is>
      </c>
      <c r="C3265" t="inlineStr">
        <is>
          <t>NOS</t>
        </is>
      </c>
      <c r="D3265" t="n">
        <v>660</v>
      </c>
      <c r="E3265" t="n">
        <v>323.399</v>
      </c>
      <c r="F3265" t="n">
        <v>1654.026</v>
      </c>
      <c r="G3265" t="n">
        <v>3781610</v>
      </c>
      <c r="H3265" t="inlineStr">
        <is>
          <t>CUT-O-N-AUT-AN-AG-70.00X3.200X0.490 HST</t>
        </is>
      </c>
    </row>
    <row r="3266">
      <c r="A3266" t="inlineStr">
        <is>
          <t>0000949970</t>
        </is>
      </c>
      <c r="B3266" t="inlineStr">
        <is>
          <t>SANDHAR ENGINEERING PVTLTD(KA)U-III</t>
        </is>
      </c>
      <c r="C3266" t="inlineStr">
        <is>
          <t>NOS</t>
        </is>
      </c>
      <c r="D3266" t="n">
        <v>2000</v>
      </c>
      <c r="E3266" t="n">
        <v>2769.262</v>
      </c>
      <c r="F3266" t="n">
        <v>2764</v>
      </c>
      <c r="G3266" t="n">
        <v>1940489</v>
      </c>
      <c r="H3266" t="inlineStr">
        <is>
          <t>TUB-O-O-AUT-AW-PE-22.23X2.000X1.3850</t>
        </is>
      </c>
    </row>
    <row r="3267">
      <c r="A3267" t="inlineStr">
        <is>
          <t>0000941496</t>
        </is>
      </c>
      <c r="B3267" t="inlineStr">
        <is>
          <t>SANDHAR ENGINEERING PVT LTD.(KA) -U</t>
        </is>
      </c>
      <c r="C3267" t="inlineStr">
        <is>
          <t>NOS</t>
        </is>
      </c>
      <c r="D3267" t="n">
        <v>4567</v>
      </c>
      <c r="E3267" t="n">
        <v>3722.112</v>
      </c>
      <c r="F3267" t="n">
        <v>3624.676</v>
      </c>
      <c r="G3267" t="n">
        <v>3781605</v>
      </c>
      <c r="H3267" t="inlineStr">
        <is>
          <t>CUT-O-N-AUT-AW-PE-22.20X2.000X0.8150</t>
        </is>
      </c>
    </row>
    <row r="3268">
      <c r="A3268" t="inlineStr">
        <is>
          <t>0000941496</t>
        </is>
      </c>
      <c r="B3268" t="inlineStr">
        <is>
          <t>SANDHAR ENGINEERING PVT LTD.(KA) -U</t>
        </is>
      </c>
      <c r="C3268" t="inlineStr">
        <is>
          <t>NOS</t>
        </is>
      </c>
      <c r="D3268" t="n">
        <v>1000</v>
      </c>
      <c r="E3268" t="n">
        <v>208.001</v>
      </c>
      <c r="F3268" t="n">
        <v>704.022</v>
      </c>
      <c r="G3268" t="n">
        <v>3722021</v>
      </c>
      <c r="H3268" t="inlineStr">
        <is>
          <t>TUB-O-N-AUT-AN--42.70X3.500X0.2080</t>
        </is>
      </c>
    </row>
    <row r="3269">
      <c r="A3269" t="inlineStr">
        <is>
          <t>0000943209</t>
        </is>
      </c>
      <c r="B3269" t="inlineStr">
        <is>
          <t>MEGH STEELS PRIVATE LIMITED - TVS A</t>
        </is>
      </c>
      <c r="C3269" t="inlineStr">
        <is>
          <t>NOS</t>
        </is>
      </c>
      <c r="D3269" t="n">
        <v>5900</v>
      </c>
      <c r="E3269" t="n">
        <v>2118.111</v>
      </c>
      <c r="F3269" t="n">
        <v>5855.094</v>
      </c>
      <c r="G3269" t="n">
        <v>3948187</v>
      </c>
      <c r="H3269" t="inlineStr">
        <is>
          <t>CUT-O-C-AUT-AD-FC-29.40X4.500X0.3590</t>
        </is>
      </c>
    </row>
    <row r="3270">
      <c r="A3270" t="inlineStr">
        <is>
          <t>0000188405</t>
        </is>
      </c>
      <c r="B3270" t="inlineStr">
        <is>
          <t>Skb Industries</t>
        </is>
      </c>
      <c r="C3270" t="inlineStr">
        <is>
          <t>NOS</t>
        </is>
      </c>
      <c r="D3270" t="n">
        <v>7255</v>
      </c>
      <c r="E3270" t="n">
        <v>5999.883</v>
      </c>
      <c r="F3270" t="n">
        <v>5989.083</v>
      </c>
      <c r="G3270" t="n">
        <v>3915667</v>
      </c>
      <c r="H3270" t="inlineStr">
        <is>
          <t>CUT-O-N-AUT-AW-CH-22.23X2.000X0.8270</t>
        </is>
      </c>
    </row>
    <row r="3271">
      <c r="A3271" t="inlineStr">
        <is>
          <t>0000188405</t>
        </is>
      </c>
      <c r="B3271" t="inlineStr">
        <is>
          <t>Skb Industries</t>
        </is>
      </c>
      <c r="C3271" t="inlineStr">
        <is>
          <t>NOS</t>
        </is>
      </c>
      <c r="D3271" t="n">
        <v>2516</v>
      </c>
      <c r="E3271" t="n">
        <v>2054.238</v>
      </c>
      <c r="F3271" t="n">
        <v>2050.54</v>
      </c>
      <c r="G3271" t="n">
        <v>2332780</v>
      </c>
      <c r="H3271" t="inlineStr">
        <is>
          <t>TUB-O-N-AUT-AW-CH-22.23X2.000X0.8160</t>
        </is>
      </c>
    </row>
    <row r="3272">
      <c r="A3272" t="inlineStr">
        <is>
          <t>0000188251</t>
        </is>
      </c>
      <c r="B3272" t="inlineStr">
        <is>
          <t>Thirupathi Industries</t>
        </is>
      </c>
      <c r="C3272" t="inlineStr">
        <is>
          <t>M</t>
        </is>
      </c>
      <c r="D3272" t="n">
        <v>150</v>
      </c>
      <c r="E3272" t="n">
        <v>826.018</v>
      </c>
      <c r="F3272" t="n">
        <v>1609</v>
      </c>
      <c r="G3272" t="n">
        <v>3770405</v>
      </c>
      <c r="H3272" t="inlineStr">
        <is>
          <t>TUB-O-C-AUT-AD-FC-67.00X1.20X5.500-HDPE</t>
        </is>
      </c>
    </row>
    <row r="3273">
      <c r="A3273" t="inlineStr">
        <is>
          <t>0000188251</t>
        </is>
      </c>
      <c r="B3273" t="inlineStr">
        <is>
          <t>Thirupathi Industries</t>
        </is>
      </c>
      <c r="C3273" t="inlineStr">
        <is>
          <t>M</t>
        </is>
      </c>
      <c r="D3273" t="n">
        <v>150</v>
      </c>
      <c r="E3273" t="n">
        <v>826.018</v>
      </c>
      <c r="F3273" t="n">
        <v>1609</v>
      </c>
      <c r="G3273" t="n">
        <v>3770405</v>
      </c>
      <c r="H3273" t="inlineStr">
        <is>
          <t>TUB-O-C-AUT-AD-FC-67.00X1.20X5.500-HDPE</t>
        </is>
      </c>
    </row>
    <row r="3274">
      <c r="A3274" t="inlineStr">
        <is>
          <t>0000188251</t>
        </is>
      </c>
      <c r="B3274" t="inlineStr">
        <is>
          <t>Thirupathi Industries</t>
        </is>
      </c>
      <c r="C3274" t="inlineStr">
        <is>
          <t>M</t>
        </is>
      </c>
      <c r="D3274" t="n">
        <v>148</v>
      </c>
      <c r="E3274" t="n">
        <v>811.9640000000001</v>
      </c>
      <c r="F3274" t="n">
        <v>1581.625</v>
      </c>
      <c r="G3274" t="n">
        <v>3770405</v>
      </c>
      <c r="H3274" t="inlineStr">
        <is>
          <t>TUB-O-C-AUT-AD-FC-67.00X1.20X5.500-HDPE</t>
        </is>
      </c>
    </row>
    <row r="3275">
      <c r="A3275" t="inlineStr">
        <is>
          <t>0000948721</t>
        </is>
      </c>
      <c r="B3275" t="inlineStr">
        <is>
          <t>ELKAYEM AUTO ANCILLARIES PRIVATE LI</t>
        </is>
      </c>
      <c r="C3275" t="inlineStr">
        <is>
          <t>M</t>
        </is>
      </c>
      <c r="D3275" t="n">
        <v>187</v>
      </c>
      <c r="E3275" t="n">
        <v>839.374</v>
      </c>
      <c r="F3275" t="n">
        <v>1423.998</v>
      </c>
      <c r="G3275" t="n">
        <v>2410388</v>
      </c>
      <c r="H3275" t="inlineStr">
        <is>
          <t>TUB-O-C-AUT-AD-FC-28.60X2.650X04-05</t>
        </is>
      </c>
    </row>
    <row r="3276">
      <c r="A3276" t="inlineStr">
        <is>
          <t>0000948721</t>
        </is>
      </c>
      <c r="B3276" t="inlineStr">
        <is>
          <t>ELKAYEM AUTO ANCILLARIES PRIVATE LI</t>
        </is>
      </c>
      <c r="C3276" t="inlineStr">
        <is>
          <t>M</t>
        </is>
      </c>
      <c r="D3276" t="n">
        <v>208</v>
      </c>
      <c r="E3276" t="n">
        <v>934.275</v>
      </c>
      <c r="F3276" t="n">
        <v>1584.998</v>
      </c>
      <c r="G3276" t="n">
        <v>2410388</v>
      </c>
      <c r="H3276" t="inlineStr">
        <is>
          <t>TUB-O-C-AUT-AD-FC-28.60X2.650X04-05</t>
        </is>
      </c>
    </row>
    <row r="3277">
      <c r="A3277" t="inlineStr">
        <is>
          <t>0000948721</t>
        </is>
      </c>
      <c r="B3277" t="inlineStr">
        <is>
          <t>ELKAYEM AUTO ANCILLARIES PRIVATE LI</t>
        </is>
      </c>
      <c r="C3277" t="inlineStr">
        <is>
          <t>M</t>
        </is>
      </c>
      <c r="D3277" t="n">
        <v>233</v>
      </c>
      <c r="E3277" t="n">
        <v>1047.45</v>
      </c>
      <c r="F3277" t="n">
        <v>1776.999</v>
      </c>
      <c r="G3277" t="n">
        <v>2410388</v>
      </c>
      <c r="H3277" t="inlineStr">
        <is>
          <t>TUB-O-C-AUT-AD-FC-28.60X2.650X04-05</t>
        </is>
      </c>
    </row>
    <row r="3278">
      <c r="A3278" t="inlineStr">
        <is>
          <t>0000948721</t>
        </is>
      </c>
      <c r="B3278" t="inlineStr">
        <is>
          <t>ELKAYEM AUTO ANCILLARIES PRIVATE LI</t>
        </is>
      </c>
      <c r="C3278" t="inlineStr">
        <is>
          <t>M</t>
        </is>
      </c>
      <c r="D3278" t="n">
        <v>226</v>
      </c>
      <c r="E3278" t="n">
        <v>1016.798</v>
      </c>
      <c r="F3278" t="n">
        <v>1724.998</v>
      </c>
      <c r="G3278" t="n">
        <v>2410388</v>
      </c>
      <c r="H3278" t="inlineStr">
        <is>
          <t>TUB-O-C-AUT-AD-FC-28.60X2.650X04-05</t>
        </is>
      </c>
    </row>
    <row r="3279">
      <c r="A3279" t="inlineStr">
        <is>
          <t>0000948721</t>
        </is>
      </c>
      <c r="B3279" t="inlineStr">
        <is>
          <t>ELKAYEM AUTO ANCILLARIES PRIVATE LI</t>
        </is>
      </c>
      <c r="C3279" t="inlineStr">
        <is>
          <t>M</t>
        </is>
      </c>
      <c r="D3279" t="n">
        <v>223</v>
      </c>
      <c r="E3279" t="n">
        <v>1003.83</v>
      </c>
      <c r="F3279" t="n">
        <v>1702.998</v>
      </c>
      <c r="G3279" t="n">
        <v>2410388</v>
      </c>
      <c r="H3279" t="inlineStr">
        <is>
          <t>TUB-O-C-AUT-AD-FC-28.60X2.650X04-05</t>
        </is>
      </c>
    </row>
    <row r="3280">
      <c r="A3280" t="inlineStr">
        <is>
          <t>0000948721</t>
        </is>
      </c>
      <c r="B3280" t="inlineStr">
        <is>
          <t>ELKAYEM AUTO ANCILLARIES PRIVATE LI</t>
        </is>
      </c>
      <c r="C3280" t="inlineStr">
        <is>
          <t>M</t>
        </is>
      </c>
      <c r="D3280" t="n">
        <v>179</v>
      </c>
      <c r="E3280" t="n">
        <v>806.954</v>
      </c>
      <c r="F3280" t="n">
        <v>1368.997</v>
      </c>
      <c r="G3280" t="n">
        <v>2410388</v>
      </c>
      <c r="H3280" t="inlineStr">
        <is>
          <t>TUB-O-C-AUT-AD-FC-28.60X2.650X04-05</t>
        </is>
      </c>
    </row>
    <row r="3281">
      <c r="A3281" t="inlineStr">
        <is>
          <t>0000948721</t>
        </is>
      </c>
      <c r="B3281" t="inlineStr">
        <is>
          <t>ELKAYEM AUTO ANCILLARIES PRIVATE LI</t>
        </is>
      </c>
      <c r="C3281" t="inlineStr">
        <is>
          <t>M</t>
        </is>
      </c>
      <c r="D3281" t="n">
        <v>205</v>
      </c>
      <c r="E3281" t="n">
        <v>924.255</v>
      </c>
      <c r="F3281" t="n">
        <v>1567.999</v>
      </c>
      <c r="G3281" t="n">
        <v>2410388</v>
      </c>
      <c r="H3281" t="inlineStr">
        <is>
          <t>TUB-O-C-AUT-AD-FC-28.60X2.650X04-05</t>
        </is>
      </c>
    </row>
    <row r="3282">
      <c r="A3282" t="inlineStr">
        <is>
          <t>0000948721</t>
        </is>
      </c>
      <c r="B3282" t="inlineStr">
        <is>
          <t>ELKAYEM AUTO ANCILLARIES PRIVATE LI</t>
        </is>
      </c>
      <c r="C3282" t="inlineStr">
        <is>
          <t>M</t>
        </is>
      </c>
      <c r="D3282" t="n">
        <v>180</v>
      </c>
      <c r="E3282" t="n">
        <v>811.67</v>
      </c>
      <c r="F3282" t="n">
        <v>1376.998</v>
      </c>
      <c r="G3282" t="n">
        <v>2410388</v>
      </c>
      <c r="H3282" t="inlineStr">
        <is>
          <t>TUB-O-C-AUT-AD-FC-28.60X2.650X04-05</t>
        </is>
      </c>
    </row>
    <row r="3283">
      <c r="A3283" t="inlineStr">
        <is>
          <t>0000948721</t>
        </is>
      </c>
      <c r="B3283" t="inlineStr">
        <is>
          <t>ELKAYEM AUTO ANCILLARIES PRIVATE LI</t>
        </is>
      </c>
      <c r="C3283" t="inlineStr">
        <is>
          <t>M</t>
        </is>
      </c>
      <c r="D3283" t="n">
        <v>58</v>
      </c>
      <c r="E3283" t="n">
        <v>261.392</v>
      </c>
      <c r="F3283" t="n">
        <v>443.452</v>
      </c>
      <c r="G3283" t="n">
        <v>2410388</v>
      </c>
      <c r="H3283" t="inlineStr">
        <is>
          <t>TUB-O-C-AUT-AD-FC-28.60X2.650X04-05</t>
        </is>
      </c>
    </row>
    <row r="3284">
      <c r="A3284" t="inlineStr">
        <is>
          <t>0000948721</t>
        </is>
      </c>
      <c r="B3284" t="inlineStr">
        <is>
          <t>ELKAYEM AUTO ANCILLARIES PRIVATE LI</t>
        </is>
      </c>
      <c r="C3284" t="inlineStr">
        <is>
          <t>M</t>
        </is>
      </c>
      <c r="D3284" t="n">
        <v>169</v>
      </c>
      <c r="E3284" t="n">
        <v>760.211</v>
      </c>
      <c r="F3284" t="n">
        <v>1795.998</v>
      </c>
      <c r="G3284" t="n">
        <v>2410960</v>
      </c>
      <c r="H3284" t="inlineStr">
        <is>
          <t>TUB-O-C-AUT-AD-FC-31.75X3.375X04-05</t>
        </is>
      </c>
    </row>
    <row r="3285">
      <c r="A3285" t="inlineStr">
        <is>
          <t>0000948721</t>
        </is>
      </c>
      <c r="B3285" t="inlineStr">
        <is>
          <t>ELKAYEM AUTO ANCILLARIES PRIVATE LI</t>
        </is>
      </c>
      <c r="C3285" t="inlineStr">
        <is>
          <t>M</t>
        </is>
      </c>
      <c r="D3285" t="n">
        <v>167</v>
      </c>
      <c r="E3285" t="n">
        <v>751.322</v>
      </c>
      <c r="F3285" t="n">
        <v>1774.998</v>
      </c>
      <c r="G3285" t="n">
        <v>2410960</v>
      </c>
      <c r="H3285" t="inlineStr">
        <is>
          <t>TUB-O-C-AUT-AD-FC-31.75X3.375X04-05</t>
        </is>
      </c>
    </row>
    <row r="3286">
      <c r="A3286" t="inlineStr">
        <is>
          <t>0000948721</t>
        </is>
      </c>
      <c r="B3286" t="inlineStr">
        <is>
          <t>ELKAYEM AUTO ANCILLARIES PRIVATE LI</t>
        </is>
      </c>
      <c r="C3286" t="inlineStr">
        <is>
          <t>M</t>
        </is>
      </c>
      <c r="D3286" t="n">
        <v>163</v>
      </c>
      <c r="E3286" t="n">
        <v>734.391</v>
      </c>
      <c r="F3286" t="n">
        <v>1734.999</v>
      </c>
      <c r="G3286" t="n">
        <v>2410960</v>
      </c>
      <c r="H3286" t="inlineStr">
        <is>
          <t>TUB-O-C-AUT-AD-FC-31.75X3.375X04-05</t>
        </is>
      </c>
    </row>
    <row r="3287">
      <c r="A3287" t="inlineStr">
        <is>
          <t>0000948721</t>
        </is>
      </c>
      <c r="B3287" t="inlineStr">
        <is>
          <t>ELKAYEM AUTO ANCILLARIES PRIVATE LI</t>
        </is>
      </c>
      <c r="C3287" t="inlineStr">
        <is>
          <t>M</t>
        </is>
      </c>
      <c r="D3287" t="n">
        <v>150</v>
      </c>
      <c r="E3287" t="n">
        <v>673.861</v>
      </c>
      <c r="F3287" t="n">
        <v>1591.997</v>
      </c>
      <c r="G3287" t="n">
        <v>2410960</v>
      </c>
      <c r="H3287" t="inlineStr">
        <is>
          <t>TUB-O-C-AUT-AD-FC-31.75X3.375X04-05</t>
        </is>
      </c>
    </row>
    <row r="3288">
      <c r="A3288" t="inlineStr">
        <is>
          <t>0000948721</t>
        </is>
      </c>
      <c r="B3288" t="inlineStr">
        <is>
          <t>ELKAYEM AUTO ANCILLARIES PRIVATE LI</t>
        </is>
      </c>
      <c r="C3288" t="inlineStr">
        <is>
          <t>M</t>
        </is>
      </c>
      <c r="D3288" t="n">
        <v>156</v>
      </c>
      <c r="E3288" t="n">
        <v>701.41</v>
      </c>
      <c r="F3288" t="n">
        <v>1657.081</v>
      </c>
      <c r="G3288" t="n">
        <v>2410960</v>
      </c>
      <c r="H3288" t="inlineStr">
        <is>
          <t>TUB-O-C-AUT-AD-FC-31.75X3.375X04-05</t>
        </is>
      </c>
    </row>
    <row r="3289">
      <c r="A3289" t="inlineStr">
        <is>
          <t>0000189226</t>
        </is>
      </c>
      <c r="B3289" t="inlineStr">
        <is>
          <t>Neel Metal Products Limited</t>
        </is>
      </c>
      <c r="C3289" t="inlineStr">
        <is>
          <t>NOS</t>
        </is>
      </c>
      <c r="D3289" t="n">
        <v>2615</v>
      </c>
      <c r="E3289" t="n">
        <v>549.15</v>
      </c>
      <c r="F3289" t="n">
        <v>1858.103</v>
      </c>
      <c r="G3289" t="n">
        <v>3690546</v>
      </c>
      <c r="H3289" t="inlineStr">
        <is>
          <t>CUT-O-N-AUT-NR-FC-42.70X3.500X0.2100</t>
        </is>
      </c>
    </row>
    <row r="3290">
      <c r="A3290" t="inlineStr">
        <is>
          <t>0000189226</t>
        </is>
      </c>
      <c r="B3290" t="inlineStr">
        <is>
          <t>Neel Metal Products Limited</t>
        </is>
      </c>
      <c r="C3290" t="inlineStr">
        <is>
          <t>NOS</t>
        </is>
      </c>
      <c r="D3290" t="n">
        <v>2711.604</v>
      </c>
      <c r="E3290" t="n">
        <v>1979.816</v>
      </c>
      <c r="F3290" t="n">
        <v>4767</v>
      </c>
      <c r="G3290" t="n">
        <v>1940881</v>
      </c>
      <c r="H3290" t="inlineStr">
        <is>
          <t>TUB-R-AW-RHS-50.00X30.00X2.000X0.7300</t>
        </is>
      </c>
    </row>
    <row r="3291">
      <c r="A3291" t="inlineStr">
        <is>
          <t>0000189226</t>
        </is>
      </c>
      <c r="B3291" t="inlineStr">
        <is>
          <t>Neel Metal Products Limited</t>
        </is>
      </c>
      <c r="C3291" t="inlineStr">
        <is>
          <t>NOS</t>
        </is>
      </c>
      <c r="D3291" t="n">
        <v>402.396</v>
      </c>
      <c r="E3291" t="n">
        <v>293.8</v>
      </c>
      <c r="F3291" t="n">
        <v>707.412</v>
      </c>
      <c r="G3291" t="n">
        <v>1940881</v>
      </c>
      <c r="H3291" t="inlineStr">
        <is>
          <t>TUB-R-AW-RHS-50.00X30.00X2.000X0.7300</t>
        </is>
      </c>
    </row>
    <row r="3292">
      <c r="A3292" t="inlineStr">
        <is>
          <t>0000819045</t>
        </is>
      </c>
      <c r="B3292" t="inlineStr">
        <is>
          <t>KNITVEL NEEDLES P LTD</t>
        </is>
      </c>
      <c r="C3292" t="inlineStr">
        <is>
          <t>NOS</t>
        </is>
      </c>
      <c r="D3292" t="n">
        <v>2595</v>
      </c>
      <c r="E3292" t="n">
        <v>3171.083</v>
      </c>
      <c r="F3292" t="n">
        <v>2488.173</v>
      </c>
      <c r="G3292" t="n">
        <v>3533249</v>
      </c>
      <c r="H3292" t="inlineStr">
        <is>
          <t>CUT-O-N-AUT-AW-PE-22.20X1.600X1.2220</t>
        </is>
      </c>
    </row>
    <row r="3293">
      <c r="A3293" t="inlineStr">
        <is>
          <t>0000819045</t>
        </is>
      </c>
      <c r="B3293" t="inlineStr">
        <is>
          <t>KNITVEL NEEDLES P LTD</t>
        </is>
      </c>
      <c r="C3293" t="inlineStr">
        <is>
          <t>NOS</t>
        </is>
      </c>
      <c r="D3293" t="n">
        <v>2170</v>
      </c>
      <c r="E3293" t="n">
        <v>2799.324</v>
      </c>
      <c r="F3293" t="n">
        <v>2196.474</v>
      </c>
      <c r="G3293" t="n">
        <v>3533248</v>
      </c>
      <c r="H3293" t="inlineStr">
        <is>
          <t>CUT-O-N-AUT-AW-PE-22.20X1.600X1.2900</t>
        </is>
      </c>
    </row>
    <row r="3294">
      <c r="A3294" t="inlineStr">
        <is>
          <t>0000948721</t>
        </is>
      </c>
      <c r="B3294" t="inlineStr">
        <is>
          <t>ELKAYEM AUTO ANCILLARIES PRIVATE LI</t>
        </is>
      </c>
      <c r="C3294" t="inlineStr">
        <is>
          <t>NOS</t>
        </is>
      </c>
      <c r="D3294" t="n">
        <v>584.763</v>
      </c>
      <c r="E3294" t="n">
        <v>122.364</v>
      </c>
      <c r="F3294" t="n">
        <v>207.591</v>
      </c>
      <c r="G3294" t="n">
        <v>3617058</v>
      </c>
      <c r="H3294" t="inlineStr">
        <is>
          <t>TUB-O-C-AUT-AD-FC-28.60X2.650X0.2090</t>
        </is>
      </c>
    </row>
    <row r="3295">
      <c r="A3295" t="inlineStr">
        <is>
          <t>0000948721</t>
        </is>
      </c>
      <c r="B3295" t="inlineStr">
        <is>
          <t>ELKAYEM AUTO ANCILLARIES PRIVATE LI</t>
        </is>
      </c>
      <c r="C3295" t="inlineStr">
        <is>
          <t>NOS</t>
        </is>
      </c>
      <c r="D3295" t="n">
        <v>1415.237</v>
      </c>
      <c r="E3295" t="n">
        <v>296.144</v>
      </c>
      <c r="F3295" t="n">
        <v>502.409</v>
      </c>
      <c r="G3295" t="n">
        <v>3617058</v>
      </c>
      <c r="H3295" t="inlineStr">
        <is>
          <t>TUB-O-C-AUT-AD-FC-28.60X2.650X0.2090</t>
        </is>
      </c>
    </row>
    <row r="3296">
      <c r="A3296" t="inlineStr">
        <is>
          <t>0000941496</t>
        </is>
      </c>
      <c r="B3296" t="inlineStr">
        <is>
          <t>SANDHAR ENGINEERING PVT LTD.(KA) -U</t>
        </is>
      </c>
      <c r="C3296" t="inlineStr">
        <is>
          <t>NOS</t>
        </is>
      </c>
      <c r="D3296" t="n">
        <v>2000</v>
      </c>
      <c r="E3296" t="n">
        <v>1072.66</v>
      </c>
      <c r="F3296" t="n">
        <v>1680</v>
      </c>
      <c r="G3296" t="n">
        <v>1940822</v>
      </c>
      <c r="H3296" t="inlineStr">
        <is>
          <t>TUB-R-AW-RHS-40.00X25.00X1.600X0.5360</t>
        </is>
      </c>
    </row>
    <row r="3297">
      <c r="A3297" t="inlineStr">
        <is>
          <t>0000941496</t>
        </is>
      </c>
      <c r="B3297" t="inlineStr">
        <is>
          <t>SANDHAR ENGINEERING PVT LTD.(KA) -U</t>
        </is>
      </c>
      <c r="C3297" t="inlineStr">
        <is>
          <t>NOS</t>
        </is>
      </c>
      <c r="D3297" t="n">
        <v>2000</v>
      </c>
      <c r="E3297" t="n">
        <v>416.003</v>
      </c>
      <c r="F3297" t="n">
        <v>1408.044</v>
      </c>
      <c r="G3297" t="n">
        <v>3722021</v>
      </c>
      <c r="H3297" t="inlineStr">
        <is>
          <t>TUB-O-N-AUT-AN--42.70X3.500X0.2080</t>
        </is>
      </c>
    </row>
    <row r="3298">
      <c r="A3298" t="inlineStr">
        <is>
          <t>0000941496</t>
        </is>
      </c>
      <c r="B3298" t="inlineStr">
        <is>
          <t>SANDHAR ENGINEERING PVT LTD.(KA) -U</t>
        </is>
      </c>
      <c r="C3298" t="inlineStr">
        <is>
          <t>NOS</t>
        </is>
      </c>
      <c r="D3298" t="n">
        <v>2000</v>
      </c>
      <c r="E3298" t="n">
        <v>1025.412</v>
      </c>
      <c r="F3298" t="n">
        <v>1606</v>
      </c>
      <c r="G3298" t="n">
        <v>1940821</v>
      </c>
      <c r="H3298" t="inlineStr">
        <is>
          <t>TUB-R-AW-RHS-40.00X25.00X1.600X0.5130</t>
        </is>
      </c>
    </row>
    <row r="3299">
      <c r="A3299" t="inlineStr">
        <is>
          <t>0000183569</t>
        </is>
      </c>
      <c r="B3299" t="inlineStr">
        <is>
          <t>TUBE INVESTMENTS OF INDIA LIMITED</t>
        </is>
      </c>
      <c r="C3299" t="inlineStr">
        <is>
          <t>M</t>
        </is>
      </c>
      <c r="D3299" t="n">
        <v>136</v>
      </c>
      <c r="E3299" t="n">
        <v>749.525</v>
      </c>
      <c r="F3299" t="n">
        <v>1460</v>
      </c>
      <c r="G3299" t="n">
        <v>3770405</v>
      </c>
      <c r="H3299" t="inlineStr">
        <is>
          <t>TUB-O-C-AUT-AD-FC-67.00X1.20X5.500-HDPE</t>
        </is>
      </c>
    </row>
    <row r="3300">
      <c r="A3300" t="inlineStr">
        <is>
          <t>0000183569</t>
        </is>
      </c>
      <c r="B3300" t="inlineStr">
        <is>
          <t>TUBE INVESTMENTS OF INDIA LIMITED</t>
        </is>
      </c>
      <c r="C3300" t="inlineStr">
        <is>
          <t>M</t>
        </is>
      </c>
      <c r="D3300" t="n">
        <v>158</v>
      </c>
      <c r="E3300" t="n">
        <v>870.168</v>
      </c>
      <c r="F3300" t="n">
        <v>1695</v>
      </c>
      <c r="G3300" t="n">
        <v>3770405</v>
      </c>
      <c r="H3300" t="inlineStr">
        <is>
          <t>TUB-O-C-AUT-AD-FC-67.00X1.20X5.500-HDPE</t>
        </is>
      </c>
    </row>
    <row r="3301">
      <c r="A3301" t="inlineStr">
        <is>
          <t>0000183569</t>
        </is>
      </c>
      <c r="B3301" t="inlineStr">
        <is>
          <t>TUBE INVESTMENTS OF INDIA LIMITED</t>
        </is>
      </c>
      <c r="C3301" t="inlineStr">
        <is>
          <t>M</t>
        </is>
      </c>
      <c r="D3301" t="n">
        <v>116</v>
      </c>
      <c r="E3301" t="n">
        <v>635.307</v>
      </c>
      <c r="F3301" t="n">
        <v>1237.515</v>
      </c>
      <c r="G3301" t="n">
        <v>3770405</v>
      </c>
      <c r="H3301" t="inlineStr">
        <is>
          <t>TUB-O-C-AUT-AD-FC-67.00X1.20X5.500-HDPE</t>
        </is>
      </c>
    </row>
    <row r="3302">
      <c r="A3302" t="inlineStr">
        <is>
          <t>0000941496</t>
        </is>
      </c>
      <c r="B3302" t="inlineStr">
        <is>
          <t>SANDHAR ENGINEERING PVT LTD.(KA) -U</t>
        </is>
      </c>
      <c r="C3302" t="inlineStr">
        <is>
          <t>NOS</t>
        </is>
      </c>
      <c r="D3302" t="n">
        <v>1240</v>
      </c>
      <c r="E3302" t="n">
        <v>635.755</v>
      </c>
      <c r="F3302" t="n">
        <v>995.72</v>
      </c>
      <c r="G3302" t="n">
        <v>1940821</v>
      </c>
      <c r="H3302" t="inlineStr">
        <is>
          <t>TUB-R-AW-RHS-40.00X25.00X1.600X0.5130</t>
        </is>
      </c>
    </row>
    <row r="3303">
      <c r="A3303" t="inlineStr">
        <is>
          <t>0000941496</t>
        </is>
      </c>
      <c r="B3303" t="inlineStr">
        <is>
          <t>SANDHAR ENGINEERING PVT LTD.(KA) -U</t>
        </is>
      </c>
      <c r="C3303" t="inlineStr">
        <is>
          <t>NOS</t>
        </is>
      </c>
      <c r="D3303" t="n">
        <v>1867</v>
      </c>
      <c r="E3303" t="n">
        <v>957.222</v>
      </c>
      <c r="F3303" t="n">
        <v>1499.201</v>
      </c>
      <c r="G3303" t="n">
        <v>1940821</v>
      </c>
      <c r="H3303" t="inlineStr">
        <is>
          <t>TUB-R-AW-RHS-40.00X25.00X1.600X0.5130</t>
        </is>
      </c>
    </row>
    <row r="3304">
      <c r="A3304" t="inlineStr">
        <is>
          <t>0000941496</t>
        </is>
      </c>
      <c r="B3304" t="inlineStr">
        <is>
          <t>SANDHAR ENGINEERING PVT LTD.(KA) -U</t>
        </is>
      </c>
      <c r="C3304" t="inlineStr">
        <is>
          <t>NOS</t>
        </is>
      </c>
      <c r="D3304" t="n">
        <v>1097.619</v>
      </c>
      <c r="E3304" t="n">
        <v>588.686</v>
      </c>
      <c r="F3304" t="n">
        <v>922</v>
      </c>
      <c r="G3304" t="n">
        <v>1940822</v>
      </c>
      <c r="H3304" t="inlineStr">
        <is>
          <t>TUB-R-AW-RHS-40.00X25.00X1.600X0.5360</t>
        </is>
      </c>
    </row>
    <row r="3305">
      <c r="A3305" t="inlineStr">
        <is>
          <t>0000941496</t>
        </is>
      </c>
      <c r="B3305" t="inlineStr">
        <is>
          <t>SANDHAR ENGINEERING PVT LTD.(KA) -U</t>
        </is>
      </c>
      <c r="C3305" t="inlineStr">
        <is>
          <t>NOS</t>
        </is>
      </c>
      <c r="D3305" t="n">
        <v>2352.381</v>
      </c>
      <c r="E3305" t="n">
        <v>1261.652</v>
      </c>
      <c r="F3305" t="n">
        <v>1976</v>
      </c>
      <c r="G3305" t="n">
        <v>1940822</v>
      </c>
      <c r="H3305" t="inlineStr">
        <is>
          <t>TUB-R-AW-RHS-40.00X25.00X1.600X0.5360</t>
        </is>
      </c>
    </row>
    <row r="3306">
      <c r="A3306" t="inlineStr">
        <is>
          <t>0000129663</t>
        </is>
      </c>
      <c r="B3306" t="inlineStr">
        <is>
          <t>ELKAYEM AUTO ANCILLARIES (PVT) LTD.</t>
        </is>
      </c>
      <c r="C3306" t="inlineStr">
        <is>
          <t>NOS</t>
        </is>
      </c>
      <c r="D3306" t="n">
        <v>4660</v>
      </c>
      <c r="E3306" t="n">
        <v>2595.561</v>
      </c>
      <c r="F3306" t="n">
        <v>11158.836</v>
      </c>
      <c r="G3306" t="n">
        <v>4079374</v>
      </c>
      <c r="H3306" t="inlineStr">
        <is>
          <t>CUT-O-N-AUT-AW-FC-48.60X4.000X0.5570</t>
        </is>
      </c>
    </row>
    <row r="3307">
      <c r="A3307" t="inlineStr">
        <is>
          <t>0000185254</t>
        </is>
      </c>
      <c r="B3307" t="inlineStr">
        <is>
          <t>LAXMI METAL PRESSING WORKS PVT LTD</t>
        </is>
      </c>
      <c r="C3307" t="inlineStr">
        <is>
          <t>NOS</t>
        </is>
      </c>
      <c r="D3307" t="n">
        <v>2500</v>
      </c>
      <c r="E3307" t="n">
        <v>2849.384</v>
      </c>
      <c r="F3307" t="n">
        <v>10755</v>
      </c>
      <c r="G3307" t="n">
        <v>2396464</v>
      </c>
      <c r="H3307" t="inlineStr">
        <is>
          <t>TUB-O-N-AUT-AN-FC-54.00X3.000X1.1400</t>
        </is>
      </c>
    </row>
    <row r="3308">
      <c r="A3308" t="inlineStr">
        <is>
          <t>0000185254</t>
        </is>
      </c>
      <c r="B3308" t="inlineStr">
        <is>
          <t>LAXMI METAL PRESSING WORKS PVT LTD</t>
        </is>
      </c>
      <c r="C3308" t="inlineStr">
        <is>
          <t>NOS</t>
        </is>
      </c>
      <c r="D3308" t="n">
        <v>250</v>
      </c>
      <c r="E3308" t="n">
        <v>128.002</v>
      </c>
      <c r="F3308" t="n">
        <v>674.775</v>
      </c>
      <c r="G3308" t="n">
        <v>3801263</v>
      </c>
      <c r="H3308" t="inlineStr">
        <is>
          <t>CUT-N-AUT-AN-FC-70.00X3.200X0.5120</t>
        </is>
      </c>
    </row>
    <row r="3309">
      <c r="A3309" t="inlineStr">
        <is>
          <t>0000948721</t>
        </is>
      </c>
      <c r="B3309" t="inlineStr">
        <is>
          <t>ELKAYEM AUTO ANCILLARIES PRIVATE LI</t>
        </is>
      </c>
      <c r="C3309" t="inlineStr">
        <is>
          <t>NOS</t>
        </is>
      </c>
      <c r="D3309" t="n">
        <v>3000</v>
      </c>
      <c r="E3309" t="n">
        <v>627.763</v>
      </c>
      <c r="F3309" t="n">
        <v>1065</v>
      </c>
      <c r="G3309" t="n">
        <v>3617058</v>
      </c>
      <c r="H3309" t="inlineStr">
        <is>
          <t>TUB-O-C-AUT-AD-FC-28.60X2.650X0.2090</t>
        </is>
      </c>
    </row>
    <row r="3310">
      <c r="A3310" t="inlineStr">
        <is>
          <t>0000189226</t>
        </is>
      </c>
      <c r="B3310" t="inlineStr">
        <is>
          <t>Neel Metal Products Limited</t>
        </is>
      </c>
      <c r="C3310" t="inlineStr">
        <is>
          <t>NOS</t>
        </is>
      </c>
      <c r="D3310" t="n">
        <v>1480</v>
      </c>
      <c r="E3310" t="n">
        <v>310.8</v>
      </c>
      <c r="F3310" t="n">
        <v>1051.622</v>
      </c>
      <c r="G3310" t="n">
        <v>3690546</v>
      </c>
      <c r="H3310" t="inlineStr">
        <is>
          <t>CUT-O-N-AUT-NR-FC-42.70X3.500X0.2100</t>
        </is>
      </c>
    </row>
    <row r="3311">
      <c r="A3311" t="inlineStr">
        <is>
          <t>0000189226</t>
        </is>
      </c>
      <c r="B3311" t="inlineStr">
        <is>
          <t>Neel Metal Products Limited</t>
        </is>
      </c>
      <c r="C3311" t="inlineStr">
        <is>
          <t>NOS</t>
        </is>
      </c>
      <c r="D3311" t="n">
        <v>2000</v>
      </c>
      <c r="E3311" t="n">
        <v>2280.022</v>
      </c>
      <c r="F3311" t="n">
        <v>8468</v>
      </c>
      <c r="G3311" t="n">
        <v>3711330</v>
      </c>
      <c r="H3311" t="inlineStr">
        <is>
          <t>CUT-O-N-AUT-AW-FC-54.00X3.000X1.1400</t>
        </is>
      </c>
    </row>
    <row r="3312">
      <c r="A3312" t="inlineStr">
        <is>
          <t>0000189226</t>
        </is>
      </c>
      <c r="B3312" t="inlineStr">
        <is>
          <t>Neel Metal Products Limited</t>
        </is>
      </c>
      <c r="C3312" t="inlineStr">
        <is>
          <t>NOS</t>
        </is>
      </c>
      <c r="D3312" t="n">
        <v>725</v>
      </c>
      <c r="E3312" t="n">
        <v>586.525</v>
      </c>
      <c r="F3312" t="n">
        <v>571.171</v>
      </c>
      <c r="G3312" t="n">
        <v>1940466</v>
      </c>
      <c r="H3312" t="inlineStr">
        <is>
          <t>TUB-O-O-AUT-AW-PE-22.23X2.000X0.8090</t>
        </is>
      </c>
    </row>
    <row r="3313">
      <c r="A3313" t="inlineStr">
        <is>
          <t>0000189226</t>
        </is>
      </c>
      <c r="B3313" t="inlineStr">
        <is>
          <t>Neel Metal Products Limited</t>
        </is>
      </c>
      <c r="C3313" t="inlineStr">
        <is>
          <t>NOS</t>
        </is>
      </c>
      <c r="D3313" t="n">
        <v>4000</v>
      </c>
      <c r="E3313" t="n">
        <v>3247.249</v>
      </c>
      <c r="F3313" t="n">
        <v>5784</v>
      </c>
      <c r="G3313" t="n">
        <v>1940743</v>
      </c>
      <c r="H3313" t="inlineStr">
        <is>
          <t>TUB-O-O-AUT-AW-FC-38.10X2.000X0.8120</t>
        </is>
      </c>
    </row>
    <row r="3314">
      <c r="A3314" t="inlineStr">
        <is>
          <t>0000189481</t>
        </is>
      </c>
      <c r="B3314" t="inlineStr">
        <is>
          <t>Rajsriya Automotive Industries</t>
        </is>
      </c>
      <c r="C3314" t="inlineStr">
        <is>
          <t>NOS</t>
        </is>
      </c>
      <c r="D3314" t="n">
        <v>600</v>
      </c>
      <c r="E3314" t="n">
        <v>463.206</v>
      </c>
      <c r="F3314" t="n">
        <v>1501.02</v>
      </c>
      <c r="G3314" t="n">
        <v>3784472</v>
      </c>
      <c r="H3314" t="inlineStr">
        <is>
          <t>CUT-O-N-AUT-AW-PE-57.15X2.500X0.7720</t>
        </is>
      </c>
    </row>
    <row r="3315">
      <c r="A3315" t="inlineStr">
        <is>
          <t>0000944141</t>
        </is>
      </c>
      <c r="B3315" t="inlineStr">
        <is>
          <t>SRIKAM HITECH ENGINEERING PRIVATE L</t>
        </is>
      </c>
      <c r="C3315" t="inlineStr">
        <is>
          <t>NOS</t>
        </is>
      </c>
      <c r="D3315" t="n">
        <v>7000</v>
      </c>
      <c r="E3315" t="n">
        <v>2988.972</v>
      </c>
      <c r="F3315" t="n">
        <v>3243.333</v>
      </c>
      <c r="G3315" t="n">
        <v>3629057</v>
      </c>
      <c r="H3315" t="inlineStr">
        <is>
          <t>PT2-O-N-AUT-NR-PE-22.20X2.300X0.4270</t>
        </is>
      </c>
    </row>
    <row r="3316">
      <c r="A3316" t="inlineStr">
        <is>
          <t>0000185254</t>
        </is>
      </c>
      <c r="B3316" t="inlineStr">
        <is>
          <t>LAXMI METAL PRESSING WORKS PVT LTD</t>
        </is>
      </c>
      <c r="C3316" t="inlineStr">
        <is>
          <t>NOS</t>
        </is>
      </c>
      <c r="D3316" t="n">
        <v>630</v>
      </c>
      <c r="E3316" t="n">
        <v>718.045</v>
      </c>
      <c r="F3316" t="n">
        <v>2710.26</v>
      </c>
      <c r="G3316" t="n">
        <v>2396464</v>
      </c>
      <c r="H3316" t="inlineStr">
        <is>
          <t>TUB-O-N-AUT-AN-FC-54.00X3.000X1.1400</t>
        </is>
      </c>
    </row>
    <row r="3317">
      <c r="A3317" t="inlineStr">
        <is>
          <t>0000185254</t>
        </is>
      </c>
      <c r="B3317" t="inlineStr">
        <is>
          <t>LAXMI METAL PRESSING WORKS PVT LTD</t>
        </is>
      </c>
      <c r="C3317" t="inlineStr">
        <is>
          <t>NOS</t>
        </is>
      </c>
      <c r="D3317" t="n">
        <v>500</v>
      </c>
      <c r="E3317" t="n">
        <v>256.004</v>
      </c>
      <c r="F3317" t="n">
        <v>1349.55</v>
      </c>
      <c r="G3317" t="n">
        <v>3801263</v>
      </c>
      <c r="H3317" t="inlineStr">
        <is>
          <t>CUT-N-AUT-AN-FC-70.00X3.200X0.5120</t>
        </is>
      </c>
    </row>
    <row r="3318">
      <c r="A3318" t="inlineStr">
        <is>
          <t>0000945539</t>
        </is>
      </c>
      <c r="B3318" t="inlineStr">
        <is>
          <t>Sandhar EngineeringPvt.Ltd.(KA)-Uni</t>
        </is>
      </c>
      <c r="C3318" t="inlineStr">
        <is>
          <t>NOS</t>
        </is>
      </c>
      <c r="D3318" t="n">
        <v>1441.281</v>
      </c>
      <c r="E3318" t="n">
        <v>994.597</v>
      </c>
      <c r="F3318" t="n">
        <v>810</v>
      </c>
      <c r="G3318" t="n">
        <v>3714733</v>
      </c>
      <c r="H3318" t="inlineStr">
        <is>
          <t>TUB-O-N-AUT-AW-PE-22.23X1.600X0.690</t>
        </is>
      </c>
    </row>
    <row r="3319">
      <c r="A3319" t="inlineStr">
        <is>
          <t>0000945539</t>
        </is>
      </c>
      <c r="B3319" t="inlineStr">
        <is>
          <t>Sandhar EngineeringPvt.Ltd.(KA)-Uni</t>
        </is>
      </c>
      <c r="C3319" t="inlineStr">
        <is>
          <t>NOS</t>
        </is>
      </c>
      <c r="D3319" t="n">
        <v>3558.719</v>
      </c>
      <c r="E3319" t="n">
        <v>2455.796</v>
      </c>
      <c r="F3319" t="n">
        <v>2000</v>
      </c>
      <c r="G3319" t="n">
        <v>3714733</v>
      </c>
      <c r="H3319" t="inlineStr">
        <is>
          <t>TUB-O-N-AUT-AW-PE-22.23X1.600X0.690</t>
        </is>
      </c>
    </row>
    <row r="3320">
      <c r="A3320" t="inlineStr">
        <is>
          <t>0000944141</t>
        </is>
      </c>
      <c r="B3320" t="inlineStr">
        <is>
          <t>SRIKAM HITECH ENGINEERING PRIVATE L</t>
        </is>
      </c>
      <c r="C3320" t="inlineStr">
        <is>
          <t>NOS</t>
        </is>
      </c>
      <c r="D3320" t="n">
        <v>35617</v>
      </c>
      <c r="E3320" t="n">
        <v>10008.312</v>
      </c>
      <c r="F3320" t="n">
        <v>10860.019</v>
      </c>
      <c r="G3320" t="n">
        <v>3508156</v>
      </c>
      <c r="H3320" t="inlineStr">
        <is>
          <t>CUT-O-N-AUT-AW-PE-22.20X2.300X0.2810</t>
        </is>
      </c>
    </row>
    <row r="3321">
      <c r="A3321" t="inlineStr">
        <is>
          <t>0000189226</t>
        </is>
      </c>
      <c r="B3321" t="inlineStr">
        <is>
          <t>Neel Metal Products Limited</t>
        </is>
      </c>
      <c r="C3321" t="inlineStr">
        <is>
          <t>NOS</t>
        </is>
      </c>
      <c r="D3321" t="n">
        <v>500</v>
      </c>
      <c r="E3321" t="n">
        <v>245</v>
      </c>
      <c r="F3321" t="n">
        <v>1253.05</v>
      </c>
      <c r="G3321" t="n">
        <v>3781610</v>
      </c>
      <c r="H3321" t="inlineStr">
        <is>
          <t>CUT-O-N-AUT-AN-AG-70.00X3.200X0.490 HST</t>
        </is>
      </c>
    </row>
    <row r="3322">
      <c r="A3322" t="inlineStr">
        <is>
          <t>0000189226</t>
        </is>
      </c>
      <c r="B3322" t="inlineStr">
        <is>
          <t>Neel Metal Products Limited</t>
        </is>
      </c>
      <c r="C3322" t="inlineStr">
        <is>
          <t>NOS</t>
        </is>
      </c>
      <c r="D3322" t="n">
        <v>540.3390000000001</v>
      </c>
      <c r="E3322" t="n">
        <v>438.654</v>
      </c>
      <c r="F3322" t="n">
        <v>781.33</v>
      </c>
      <c r="G3322" t="n">
        <v>1940743</v>
      </c>
      <c r="H3322" t="inlineStr">
        <is>
          <t>TUB-O-O-AUT-AW-FC-38.10X2.000X0.8120</t>
        </is>
      </c>
    </row>
    <row r="3323">
      <c r="A3323" t="inlineStr">
        <is>
          <t>0000189226</t>
        </is>
      </c>
      <c r="B3323" t="inlineStr">
        <is>
          <t>Neel Metal Products Limited</t>
        </is>
      </c>
      <c r="C3323" t="inlineStr">
        <is>
          <t>NOS</t>
        </is>
      </c>
      <c r="D3323" t="n">
        <v>417.661</v>
      </c>
      <c r="E3323" t="n">
        <v>339.062</v>
      </c>
      <c r="F3323" t="n">
        <v>603.938</v>
      </c>
      <c r="G3323" t="n">
        <v>1940743</v>
      </c>
      <c r="H3323" t="inlineStr">
        <is>
          <t>TUB-O-O-AUT-AW-FC-38.10X2.000X0.8120</t>
        </is>
      </c>
    </row>
    <row r="3324">
      <c r="A3324" t="inlineStr">
        <is>
          <t>0000189481</t>
        </is>
      </c>
      <c r="B3324" t="inlineStr">
        <is>
          <t>Rajsriya Automotive Industries</t>
        </is>
      </c>
      <c r="C3324" t="inlineStr">
        <is>
          <t>NOS</t>
        </is>
      </c>
      <c r="D3324" t="n">
        <v>1030.928</v>
      </c>
      <c r="E3324" t="n">
        <v>261.856</v>
      </c>
      <c r="F3324" t="n">
        <v>1000</v>
      </c>
      <c r="G3324" t="n">
        <v>1938358</v>
      </c>
      <c r="H3324" t="inlineStr">
        <is>
          <t>TUB-O-N-AUT-AN-FC-42.70X4.000X0.2540</t>
        </is>
      </c>
    </row>
    <row r="3325">
      <c r="A3325" t="inlineStr">
        <is>
          <t>0000189481</t>
        </is>
      </c>
      <c r="B3325" t="inlineStr">
        <is>
          <t>Rajsriya Automotive Industries</t>
        </is>
      </c>
      <c r="C3325" t="inlineStr">
        <is>
          <t>NOS</t>
        </is>
      </c>
      <c r="D3325" t="n">
        <v>824.072</v>
      </c>
      <c r="E3325" t="n">
        <v>209.314</v>
      </c>
      <c r="F3325" t="n">
        <v>799.35</v>
      </c>
      <c r="G3325" t="n">
        <v>1938358</v>
      </c>
      <c r="H3325" t="inlineStr">
        <is>
          <t>TUB-O-N-AUT-AN-FC-42.70X4.000X0.2540</t>
        </is>
      </c>
    </row>
    <row r="3326">
      <c r="A3326" t="inlineStr">
        <is>
          <t>0000189481</t>
        </is>
      </c>
      <c r="B3326" t="inlineStr">
        <is>
          <t>Rajsriya Automotive Industries</t>
        </is>
      </c>
      <c r="C3326" t="inlineStr">
        <is>
          <t>NOS</t>
        </is>
      </c>
      <c r="D3326" t="n">
        <v>799</v>
      </c>
      <c r="E3326" t="n">
        <v>616.836</v>
      </c>
      <c r="F3326" t="n">
        <v>1998.858</v>
      </c>
      <c r="G3326" t="n">
        <v>3784472</v>
      </c>
      <c r="H3326" t="inlineStr">
        <is>
          <t>CUT-O-N-AUT-AW-PE-57.15X2.500X0.7720</t>
        </is>
      </c>
    </row>
    <row r="3327">
      <c r="A3327" t="inlineStr">
        <is>
          <t>0000189481</t>
        </is>
      </c>
      <c r="B3327" t="inlineStr">
        <is>
          <t>Rajsriya Automotive Industries</t>
        </is>
      </c>
      <c r="C3327" t="inlineStr">
        <is>
          <t>NOS</t>
        </is>
      </c>
      <c r="D3327" t="n">
        <v>215</v>
      </c>
      <c r="E3327" t="n">
        <v>165.982</v>
      </c>
      <c r="F3327" t="n">
        <v>537.866</v>
      </c>
      <c r="G3327" t="n">
        <v>3784472</v>
      </c>
      <c r="H3327" t="inlineStr">
        <is>
          <t>CUT-O-N-AUT-AW-PE-57.15X2.500X0.7720</t>
        </is>
      </c>
    </row>
    <row r="3328">
      <c r="A3328" t="inlineStr">
        <is>
          <t>0000189481</t>
        </is>
      </c>
      <c r="B3328" t="inlineStr">
        <is>
          <t>Rajsriya Automotive Industries</t>
        </is>
      </c>
      <c r="C3328" t="inlineStr">
        <is>
          <t>NOS</t>
        </is>
      </c>
      <c r="D3328" t="n">
        <v>185</v>
      </c>
      <c r="E3328" t="n">
        <v>142.822</v>
      </c>
      <c r="F3328" t="n">
        <v>462.815</v>
      </c>
      <c r="G3328" t="n">
        <v>3784472</v>
      </c>
      <c r="H3328" t="inlineStr">
        <is>
          <t>CUT-O-N-AUT-AW-PE-57.15X2.500X0.7720</t>
        </is>
      </c>
    </row>
    <row r="3329">
      <c r="A3329" t="inlineStr">
        <is>
          <t>0000187884</t>
        </is>
      </c>
      <c r="B3329" t="inlineStr">
        <is>
          <t>Rajsriya Automotive Ind.P.Ltd Unit-</t>
        </is>
      </c>
      <c r="C3329" t="inlineStr">
        <is>
          <t>NOS</t>
        </is>
      </c>
      <c r="D3329" t="n">
        <v>2077</v>
      </c>
      <c r="E3329" t="n">
        <v>2440.471</v>
      </c>
      <c r="F3329" t="n">
        <v>1914.902</v>
      </c>
      <c r="G3329" t="n">
        <v>3781609</v>
      </c>
      <c r="H3329" t="inlineStr">
        <is>
          <t>CUT-O-N-AUT-AW-PE-22.20X1.600X1.1750</t>
        </is>
      </c>
    </row>
    <row r="3330">
      <c r="A3330" t="inlineStr">
        <is>
          <t>0000944141</t>
        </is>
      </c>
      <c r="B3330" t="inlineStr">
        <is>
          <t>SRIKAM HITECH ENGINEERING PRIVATE L</t>
        </is>
      </c>
      <c r="C3330" t="inlineStr">
        <is>
          <t>NOS</t>
        </is>
      </c>
      <c r="D3330" t="n">
        <v>1000</v>
      </c>
      <c r="E3330" t="n">
        <v>426.996</v>
      </c>
      <c r="F3330" t="n">
        <v>463.333</v>
      </c>
      <c r="G3330" t="n">
        <v>3629057</v>
      </c>
      <c r="H3330" t="inlineStr">
        <is>
          <t>PT2-O-N-AUT-NR-PE-22.20X2.300X0.4270</t>
        </is>
      </c>
    </row>
    <row r="3331">
      <c r="A3331" t="inlineStr">
        <is>
          <t>0000819045</t>
        </is>
      </c>
      <c r="B3331" t="inlineStr">
        <is>
          <t>KNITVEL NEEDLES P LTD</t>
        </is>
      </c>
      <c r="C3331" t="inlineStr">
        <is>
          <t>NOS</t>
        </is>
      </c>
      <c r="D3331" t="n">
        <v>323.677</v>
      </c>
      <c r="E3331" t="n">
        <v>395.532</v>
      </c>
      <c r="F3331" t="n">
        <v>310.352</v>
      </c>
      <c r="G3331" t="n">
        <v>3533249</v>
      </c>
      <c r="H3331" t="inlineStr">
        <is>
          <t>CUT-O-N-AUT-AW-PE-22.20X1.600X1.2220</t>
        </is>
      </c>
    </row>
    <row r="3332">
      <c r="A3332" t="inlineStr">
        <is>
          <t>0000819045</t>
        </is>
      </c>
      <c r="B3332" t="inlineStr">
        <is>
          <t>KNITVEL NEEDLES P LTD</t>
        </is>
      </c>
      <c r="C3332" t="inlineStr">
        <is>
          <t>NOS</t>
        </is>
      </c>
      <c r="D3332" t="n">
        <v>922.323</v>
      </c>
      <c r="E3332" t="n">
        <v>1127.076</v>
      </c>
      <c r="F3332" t="n">
        <v>884.354</v>
      </c>
      <c r="G3332" t="n">
        <v>3533249</v>
      </c>
      <c r="H3332" t="inlineStr">
        <is>
          <t>CUT-O-N-AUT-AW-PE-22.20X1.600X1.2220</t>
        </is>
      </c>
    </row>
    <row r="3333">
      <c r="A3333" t="inlineStr">
        <is>
          <t>0000819045</t>
        </is>
      </c>
      <c r="B3333" t="inlineStr">
        <is>
          <t>KNITVEL NEEDLES P LTD</t>
        </is>
      </c>
      <c r="C3333" t="inlineStr">
        <is>
          <t>NOS</t>
        </is>
      </c>
      <c r="D3333" t="n">
        <v>1223</v>
      </c>
      <c r="E3333" t="n">
        <v>1577.684</v>
      </c>
      <c r="F3333" t="n">
        <v>1237.921</v>
      </c>
      <c r="G3333" t="n">
        <v>3533248</v>
      </c>
      <c r="H3333" t="inlineStr">
        <is>
          <t>CUT-O-N-AUT-AW-PE-22.20X1.600X1.2900</t>
        </is>
      </c>
    </row>
    <row r="3334">
      <c r="A3334" t="inlineStr">
        <is>
          <t>0000948721</t>
        </is>
      </c>
      <c r="B3334" t="inlineStr">
        <is>
          <t>ELKAYEM AUTO ANCILLARIES PRIVATE LI</t>
        </is>
      </c>
      <c r="C3334" t="inlineStr">
        <is>
          <t>NOS</t>
        </is>
      </c>
      <c r="D3334" t="n">
        <v>170.679</v>
      </c>
      <c r="E3334" t="n">
        <v>35.715</v>
      </c>
      <c r="F3334" t="n">
        <v>60.591</v>
      </c>
      <c r="G3334" t="n">
        <v>3617058</v>
      </c>
      <c r="H3334" t="inlineStr">
        <is>
          <t>TUB-O-C-AUT-AD-FC-28.60X2.650X0.2090</t>
        </is>
      </c>
    </row>
    <row r="3335">
      <c r="A3335" t="inlineStr">
        <is>
          <t>0000948721</t>
        </is>
      </c>
      <c r="B3335" t="inlineStr">
        <is>
          <t>ELKAYEM AUTO ANCILLARIES PRIVATE LI</t>
        </is>
      </c>
      <c r="C3335" t="inlineStr">
        <is>
          <t>NOS</t>
        </is>
      </c>
      <c r="D3335" t="n">
        <v>4017.321</v>
      </c>
      <c r="E3335" t="n">
        <v>840.6420000000001</v>
      </c>
      <c r="F3335" t="n">
        <v>1426.149</v>
      </c>
      <c r="G3335" t="n">
        <v>3617058</v>
      </c>
      <c r="H3335" t="inlineStr">
        <is>
          <t>TUB-O-C-AUT-AD-FC-28.60X2.650X0.2090</t>
        </is>
      </c>
    </row>
    <row r="3336">
      <c r="A3336" t="inlineStr">
        <is>
          <t>0000189227</t>
        </is>
      </c>
      <c r="B3336" t="inlineStr">
        <is>
          <t>Neel Metal Products Limited</t>
        </is>
      </c>
      <c r="C3336" t="inlineStr">
        <is>
          <t>NOS</t>
        </is>
      </c>
      <c r="D3336" t="n">
        <v>630.03</v>
      </c>
      <c r="E3336" t="n">
        <v>859.996</v>
      </c>
      <c r="F3336" t="n">
        <v>2563.907</v>
      </c>
      <c r="G3336" t="n">
        <v>3781680</v>
      </c>
      <c r="H3336" t="inlineStr">
        <is>
          <t>CUT-O-N-AUT-AW-FC-57.15X2.300X1.3650</t>
        </is>
      </c>
    </row>
    <row r="3337">
      <c r="A3337" t="inlineStr">
        <is>
          <t>0000189227</t>
        </is>
      </c>
      <c r="B3337" t="inlineStr">
        <is>
          <t>Neel Metal Products Limited</t>
        </is>
      </c>
      <c r="C3337" t="inlineStr">
        <is>
          <t>NOS</t>
        </is>
      </c>
      <c r="D3337" t="n">
        <v>1120.97</v>
      </c>
      <c r="E3337" t="n">
        <v>1530.134</v>
      </c>
      <c r="F3337" t="n">
        <v>4561.787</v>
      </c>
      <c r="G3337" t="n">
        <v>3781680</v>
      </c>
      <c r="H3337" t="inlineStr">
        <is>
          <t>CUT-O-N-AUT-AW-FC-57.15X2.300X1.3650</t>
        </is>
      </c>
    </row>
    <row r="3338">
      <c r="A3338" t="inlineStr">
        <is>
          <t>0000189227</t>
        </is>
      </c>
      <c r="B3338" t="inlineStr">
        <is>
          <t>Neel Metal Products Limited</t>
        </is>
      </c>
      <c r="C3338" t="inlineStr">
        <is>
          <t>NOS</t>
        </is>
      </c>
      <c r="D3338" t="n">
        <v>5000</v>
      </c>
      <c r="E3338" t="n">
        <v>744.859</v>
      </c>
      <c r="F3338" t="n">
        <v>355</v>
      </c>
      <c r="G3338" t="n">
        <v>1938195</v>
      </c>
      <c r="H3338" t="inlineStr">
        <is>
          <t>TUB-O-N-AUT-AW-PE-17.30X1.200X0.1500</t>
        </is>
      </c>
    </row>
    <row r="3339">
      <c r="A3339" t="inlineStr">
        <is>
          <t>0000945539</t>
        </is>
      </c>
      <c r="B3339" t="inlineStr">
        <is>
          <t>Sandhar EngineeringPvt.Ltd.(KA)-Uni</t>
        </is>
      </c>
      <c r="C3339" t="inlineStr">
        <is>
          <t>NOS</t>
        </is>
      </c>
      <c r="D3339" t="n">
        <v>2064</v>
      </c>
      <c r="E3339" t="n">
        <v>847.0599999999999</v>
      </c>
      <c r="F3339" t="n">
        <v>1508.784</v>
      </c>
      <c r="G3339" t="n">
        <v>3508742</v>
      </c>
      <c r="H3339" t="inlineStr">
        <is>
          <t>CUT-O-N-AUT-AW-FC-38.10X2.000X0.4100</t>
        </is>
      </c>
    </row>
    <row r="3340">
      <c r="A3340" t="inlineStr">
        <is>
          <t>0000945539</t>
        </is>
      </c>
      <c r="B3340" t="inlineStr">
        <is>
          <t>Sandhar EngineeringPvt.Ltd.(KA)-Uni</t>
        </is>
      </c>
      <c r="C3340" t="inlineStr">
        <is>
          <t>NOS</t>
        </is>
      </c>
      <c r="D3340" t="n">
        <v>4898</v>
      </c>
      <c r="E3340" t="n">
        <v>3835.102</v>
      </c>
      <c r="F3340" t="n">
        <v>5416.698</v>
      </c>
      <c r="G3340" t="n">
        <v>3775636</v>
      </c>
      <c r="H3340" t="inlineStr">
        <is>
          <t>TUB-O-O-AUT-AW-FC-25.40X2.500X0.7830</t>
        </is>
      </c>
    </row>
    <row r="3341">
      <c r="A3341" t="inlineStr">
        <is>
          <t>0000945539</t>
        </is>
      </c>
      <c r="B3341" t="inlineStr">
        <is>
          <t>Sandhar EngineeringPvt.Ltd.(KA)-Uni</t>
        </is>
      </c>
      <c r="C3341" t="inlineStr">
        <is>
          <t>NOS</t>
        </is>
      </c>
      <c r="D3341" t="n">
        <v>2375.297</v>
      </c>
      <c r="E3341" t="n">
        <v>1441.813</v>
      </c>
      <c r="F3341" t="n">
        <v>2800</v>
      </c>
      <c r="G3341" t="n">
        <v>3775637</v>
      </c>
      <c r="H3341" t="inlineStr">
        <is>
          <t>TUB-R-AW-RHS-50.00X30.00X1.600X0.6070</t>
        </is>
      </c>
    </row>
    <row r="3342">
      <c r="A3342" t="inlineStr">
        <is>
          <t>0000945539</t>
        </is>
      </c>
      <c r="B3342" t="inlineStr">
        <is>
          <t>Sandhar EngineeringPvt.Ltd.(KA)-Uni</t>
        </is>
      </c>
      <c r="C3342" t="inlineStr">
        <is>
          <t>NOS</t>
        </is>
      </c>
      <c r="D3342" t="n">
        <v>1224.703</v>
      </c>
      <c r="E3342" t="n">
        <v>743.399</v>
      </c>
      <c r="F3342" t="n">
        <v>1443.68</v>
      </c>
      <c r="G3342" t="n">
        <v>3775637</v>
      </c>
      <c r="H3342" t="inlineStr">
        <is>
          <t>TUB-R-AW-RHS-50.00X30.00X1.600X0.6070</t>
        </is>
      </c>
    </row>
    <row r="3343">
      <c r="A3343" t="inlineStr">
        <is>
          <t>0000945539</t>
        </is>
      </c>
      <c r="B3343" t="inlineStr">
        <is>
          <t>Sandhar EngineeringPvt.Ltd.(KA)-Uni</t>
        </is>
      </c>
      <c r="C3343" t="inlineStr">
        <is>
          <t>NOS</t>
        </is>
      </c>
      <c r="D3343" t="n">
        <v>5741.647</v>
      </c>
      <c r="E3343" t="n">
        <v>1234.445</v>
      </c>
      <c r="F3343" t="n">
        <v>4712.616</v>
      </c>
      <c r="G3343" t="n">
        <v>3901714</v>
      </c>
      <c r="H3343" t="inlineStr">
        <is>
          <t>CUT-N-AUT-AN-FC-42.70X4.000X0.2150</t>
        </is>
      </c>
    </row>
    <row r="3344">
      <c r="A3344" t="inlineStr">
        <is>
          <t>0000945539</t>
        </is>
      </c>
      <c r="B3344" t="inlineStr">
        <is>
          <t>Sandhar EngineeringPvt.Ltd.(KA)-Uni</t>
        </is>
      </c>
      <c r="C3344" t="inlineStr">
        <is>
          <t>NOS</t>
        </is>
      </c>
      <c r="D3344" t="n">
        <v>4258.353</v>
      </c>
      <c r="E3344" t="n">
        <v>915.539</v>
      </c>
      <c r="F3344" t="n">
        <v>3495.162</v>
      </c>
      <c r="G3344" t="n">
        <v>3901714</v>
      </c>
      <c r="H3344" t="inlineStr">
        <is>
          <t>CUT-N-AUT-AN-FC-42.70X4.000X0.2150</t>
        </is>
      </c>
    </row>
    <row r="3345">
      <c r="A3345" t="inlineStr">
        <is>
          <t>0000185254</t>
        </is>
      </c>
      <c r="B3345" t="inlineStr">
        <is>
          <t>LAXMI METAL PRESSING WORKS PVT LTD</t>
        </is>
      </c>
      <c r="C3345" t="inlineStr">
        <is>
          <t>NOS</t>
        </is>
      </c>
      <c r="D3345" t="n">
        <v>441.98</v>
      </c>
      <c r="E3345" t="n">
        <v>226.297</v>
      </c>
      <c r="F3345" t="n">
        <v>1192.948</v>
      </c>
      <c r="G3345" t="n">
        <v>3801263</v>
      </c>
      <c r="H3345" t="inlineStr">
        <is>
          <t>CUT-N-AUT-AN-FC-70.00X3.200X0.5120</t>
        </is>
      </c>
    </row>
    <row r="3346">
      <c r="A3346" t="inlineStr">
        <is>
          <t>0000185254</t>
        </is>
      </c>
      <c r="B3346" t="inlineStr">
        <is>
          <t>LAXMI METAL PRESSING WORKS PVT LTD</t>
        </is>
      </c>
      <c r="C3346" t="inlineStr">
        <is>
          <t>NOS</t>
        </is>
      </c>
      <c r="D3346" t="n">
        <v>58.02</v>
      </c>
      <c r="E3346" t="n">
        <v>29.707</v>
      </c>
      <c r="F3346" t="n">
        <v>156.602</v>
      </c>
      <c r="G3346" t="n">
        <v>3801263</v>
      </c>
      <c r="H3346" t="inlineStr">
        <is>
          <t>CUT-N-AUT-AN-FC-70.00X3.200X0.5120</t>
        </is>
      </c>
    </row>
    <row r="3347">
      <c r="A3347" t="inlineStr">
        <is>
          <t>0000941496</t>
        </is>
      </c>
      <c r="B3347" t="inlineStr">
        <is>
          <t>SANDHAR ENGINEERING PVT LTD.(KA) -U</t>
        </is>
      </c>
      <c r="C3347" t="inlineStr">
        <is>
          <t>NOS</t>
        </is>
      </c>
      <c r="D3347" t="n">
        <v>3650</v>
      </c>
      <c r="E3347" t="n">
        <v>2481.758</v>
      </c>
      <c r="F3347" t="n">
        <v>2244.75</v>
      </c>
      <c r="G3347" t="n">
        <v>3819143</v>
      </c>
      <c r="H3347" t="inlineStr">
        <is>
          <t>CUT-O-N-AUT-AW-PE-31.75X1.200X0.6800</t>
        </is>
      </c>
    </row>
    <row r="3348">
      <c r="A3348" t="inlineStr">
        <is>
          <t>0000941496</t>
        </is>
      </c>
      <c r="B3348" t="inlineStr">
        <is>
          <t>SANDHAR ENGINEERING PVT LTD.(KA) -U</t>
        </is>
      </c>
      <c r="C3348" t="inlineStr">
        <is>
          <t>NOS</t>
        </is>
      </c>
      <c r="D3348" t="n">
        <v>2900</v>
      </c>
      <c r="E3348" t="n">
        <v>2354.256</v>
      </c>
      <c r="F3348" t="n">
        <v>4193.4</v>
      </c>
      <c r="G3348" t="n">
        <v>1940743</v>
      </c>
      <c r="H3348" t="inlineStr">
        <is>
          <t>TUB-O-O-AUT-AW-FC-38.10X2.000X0.8120</t>
        </is>
      </c>
    </row>
    <row r="3349">
      <c r="A3349" t="inlineStr">
        <is>
          <t>0000184192</t>
        </is>
      </c>
      <c r="B3349" t="inlineStr">
        <is>
          <t>JBM AUTO LIMITED</t>
        </is>
      </c>
      <c r="C3349" t="inlineStr">
        <is>
          <t>NOS</t>
        </is>
      </c>
      <c r="D3349" t="n">
        <v>3000</v>
      </c>
      <c r="E3349" t="n">
        <v>956.999</v>
      </c>
      <c r="F3349" t="n">
        <v>2635.767</v>
      </c>
      <c r="G3349" t="n">
        <v>4157557</v>
      </c>
      <c r="H3349" t="inlineStr">
        <is>
          <t>PT4-O-N-AUT-AW-FC-38.10X3.200X0.3190</t>
        </is>
      </c>
    </row>
    <row r="3350">
      <c r="A3350" t="inlineStr">
        <is>
          <t>0000944141</t>
        </is>
      </c>
      <c r="B3350" t="inlineStr">
        <is>
          <t>SRIKAM HITECH ENGINEERING PRIVATE L</t>
        </is>
      </c>
      <c r="C3350" t="inlineStr">
        <is>
          <t>NOS</t>
        </is>
      </c>
      <c r="D3350" t="n">
        <v>3000</v>
      </c>
      <c r="E3350" t="n">
        <v>883.838</v>
      </c>
      <c r="F3350" t="n">
        <v>840</v>
      </c>
      <c r="G3350" t="n">
        <v>1940312</v>
      </c>
      <c r="H3350" t="inlineStr">
        <is>
          <t>TUB-O-O-AUT-AW-PE-19.05X2.300X0.2950</t>
        </is>
      </c>
    </row>
    <row r="3351">
      <c r="A3351" t="inlineStr">
        <is>
          <t>0000944141</t>
        </is>
      </c>
      <c r="B3351" t="inlineStr">
        <is>
          <t>SRIKAM HITECH ENGINEERING PRIVATE L</t>
        </is>
      </c>
      <c r="C3351" t="inlineStr">
        <is>
          <t>NOS</t>
        </is>
      </c>
      <c r="D3351" t="n">
        <v>3000</v>
      </c>
      <c r="E3351" t="n">
        <v>1709.983</v>
      </c>
      <c r="F3351" t="n">
        <v>1563.267</v>
      </c>
      <c r="G3351" t="n">
        <v>3507077</v>
      </c>
      <c r="H3351" t="inlineStr">
        <is>
          <t>CUT-O-N-AUT-AW-PE-19.05X2.300X0.570</t>
        </is>
      </c>
    </row>
    <row r="3352">
      <c r="A3352" t="inlineStr">
        <is>
          <t>0000189227</t>
        </is>
      </c>
      <c r="B3352" t="inlineStr">
        <is>
          <t>Neel Metal Products Limited</t>
        </is>
      </c>
      <c r="C3352" t="inlineStr">
        <is>
          <t>NOS</t>
        </is>
      </c>
      <c r="D3352" t="n">
        <v>2400</v>
      </c>
      <c r="E3352" t="n">
        <v>3276.021</v>
      </c>
      <c r="F3352" t="n">
        <v>9766.799999999999</v>
      </c>
      <c r="G3352" t="n">
        <v>3781680</v>
      </c>
      <c r="H3352" t="inlineStr">
        <is>
          <t>CUT-O-N-AUT-AW-FC-57.15X2.300X1.3650</t>
        </is>
      </c>
    </row>
    <row r="3353">
      <c r="A3353" t="inlineStr">
        <is>
          <t>0000189227</t>
        </is>
      </c>
      <c r="B3353" t="inlineStr">
        <is>
          <t>Neel Metal Products Limited</t>
        </is>
      </c>
      <c r="C3353" t="inlineStr">
        <is>
          <t>NOS</t>
        </is>
      </c>
      <c r="D3353" t="n">
        <v>2000</v>
      </c>
      <c r="E3353" t="n">
        <v>823.998</v>
      </c>
      <c r="F3353" t="n">
        <v>929.222</v>
      </c>
      <c r="G3353" t="n">
        <v>3863819</v>
      </c>
      <c r="H3353" t="inlineStr">
        <is>
          <t>CUT-O-N-AUT-AW-FC-25.40X2.000X0.4120</t>
        </is>
      </c>
    </row>
    <row r="3354">
      <c r="A3354" t="inlineStr">
        <is>
          <t>0000188415</t>
        </is>
      </c>
      <c r="B3354" t="inlineStr">
        <is>
          <t>Rajsriya Automotive Industries(P)</t>
        </is>
      </c>
      <c r="C3354" t="inlineStr">
        <is>
          <t>NOS</t>
        </is>
      </c>
      <c r="D3354" t="n">
        <v>3218</v>
      </c>
      <c r="E3354" t="n">
        <v>1316.124</v>
      </c>
      <c r="F3354" t="n">
        <v>3493.783</v>
      </c>
      <c r="G3354" t="n">
        <v>4020857</v>
      </c>
      <c r="H3354" t="inlineStr">
        <is>
          <t>TUB-O-N-AUT-AW-FC-57.15X2.000X0.4090</t>
        </is>
      </c>
    </row>
    <row r="3355">
      <c r="A3355" t="inlineStr">
        <is>
          <t>0000189239</t>
        </is>
      </c>
      <c r="B3355" t="inlineStr">
        <is>
          <t>Rajsriya Automotive Ind. Pvt Ltd</t>
        </is>
      </c>
      <c r="C3355" t="inlineStr">
        <is>
          <t>NOS</t>
        </is>
      </c>
      <c r="D3355" t="n">
        <v>4835</v>
      </c>
      <c r="E3355" t="n">
        <v>2755.923</v>
      </c>
      <c r="F3355" t="n">
        <v>2519.465</v>
      </c>
      <c r="G3355" t="n">
        <v>3781672</v>
      </c>
      <c r="H3355" t="inlineStr">
        <is>
          <t>CUT-O-N-AUT-AW-PE-19.05X2.300X0.5700</t>
        </is>
      </c>
    </row>
    <row r="3356">
      <c r="A3356" t="inlineStr">
        <is>
          <t>0000189239</t>
        </is>
      </c>
      <c r="B3356" t="inlineStr">
        <is>
          <t>Rajsriya Automotive Ind. Pvt Ltd</t>
        </is>
      </c>
      <c r="C3356" t="inlineStr">
        <is>
          <t>NOS</t>
        </is>
      </c>
      <c r="D3356" t="n">
        <v>5784.692</v>
      </c>
      <c r="E3356" t="n">
        <v>3384.142</v>
      </c>
      <c r="F3356" t="n">
        <v>3216.289</v>
      </c>
      <c r="G3356" t="n">
        <v>1940327</v>
      </c>
      <c r="H3356" t="inlineStr">
        <is>
          <t>TUB-O-O-AUT-AW-PE-19.05X2.300X0.5850</t>
        </is>
      </c>
    </row>
    <row r="3357">
      <c r="A3357" t="inlineStr">
        <is>
          <t>0000189239</t>
        </is>
      </c>
      <c r="B3357" t="inlineStr">
        <is>
          <t>Rajsriya Automotive Ind. Pvt Ltd</t>
        </is>
      </c>
      <c r="C3357" t="inlineStr">
        <is>
          <t>NOS</t>
        </is>
      </c>
      <c r="D3357" t="n">
        <v>1215.308</v>
      </c>
      <c r="E3357" t="n">
        <v>710.976</v>
      </c>
      <c r="F3357" t="n">
        <v>675.711</v>
      </c>
      <c r="G3357" t="n">
        <v>1940327</v>
      </c>
      <c r="H3357" t="inlineStr">
        <is>
          <t>TUB-O-O-AUT-AW-PE-19.05X2.300X0.5850</t>
        </is>
      </c>
    </row>
    <row r="3358">
      <c r="A3358" t="inlineStr">
        <is>
          <t>0000129695</t>
        </is>
      </c>
      <c r="B3358" t="inlineStr">
        <is>
          <t>RAJSRIYA AUTOMOTIVE IND. P LTD</t>
        </is>
      </c>
      <c r="C3358" t="inlineStr">
        <is>
          <t>NOS</t>
        </is>
      </c>
      <c r="D3358" t="n">
        <v>1723</v>
      </c>
      <c r="E3358" t="n">
        <v>1030.562</v>
      </c>
      <c r="F3358" t="n">
        <v>932.143</v>
      </c>
      <c r="G3358" t="n">
        <v>4082199</v>
      </c>
      <c r="H3358" t="inlineStr">
        <is>
          <t>CUT-O-N-AUT-AW-FC-31.75X1.200X0.5980</t>
        </is>
      </c>
    </row>
    <row r="3359">
      <c r="A3359" t="inlineStr">
        <is>
          <t>0000189226</t>
        </is>
      </c>
      <c r="B3359" t="inlineStr">
        <is>
          <t>Neel Metal Products Limited</t>
        </is>
      </c>
      <c r="C3359" t="inlineStr">
        <is>
          <t>NOS</t>
        </is>
      </c>
      <c r="D3359" t="n">
        <v>100</v>
      </c>
      <c r="E3359" t="n">
        <v>23.6</v>
      </c>
      <c r="F3359" t="n">
        <v>135.28</v>
      </c>
      <c r="G3359" t="n">
        <v>3784473</v>
      </c>
      <c r="H3359" t="inlineStr">
        <is>
          <t>CUT-O-N-AUT-BH-FC-63.50X4.000X0.2360</t>
        </is>
      </c>
    </row>
    <row r="3360">
      <c r="A3360" t="inlineStr">
        <is>
          <t>0000945539</t>
        </is>
      </c>
      <c r="B3360" t="inlineStr">
        <is>
          <t>Sandhar EngineeringPvt.Ltd.(KA)-Uni</t>
        </is>
      </c>
      <c r="C3360" t="inlineStr">
        <is>
          <t>NOS</t>
        </is>
      </c>
      <c r="D3360" t="n">
        <v>220.005</v>
      </c>
      <c r="E3360" t="n">
        <v>172.262</v>
      </c>
      <c r="F3360" t="n">
        <v>243.304</v>
      </c>
      <c r="G3360" t="n">
        <v>3775636</v>
      </c>
      <c r="H3360" t="inlineStr">
        <is>
          <t>TUB-O-O-AUT-AW-FC-25.40X2.500X0.7830</t>
        </is>
      </c>
    </row>
    <row r="3361">
      <c r="A3361" t="inlineStr">
        <is>
          <t>0000945539</t>
        </is>
      </c>
      <c r="B3361" t="inlineStr">
        <is>
          <t>Sandhar EngineeringPvt.Ltd.(KA)-Uni</t>
        </is>
      </c>
      <c r="C3361" t="inlineStr">
        <is>
          <t>NOS</t>
        </is>
      </c>
      <c r="D3361" t="n">
        <v>6279.995</v>
      </c>
      <c r="E3361" t="n">
        <v>4917.195</v>
      </c>
      <c r="F3361" t="n">
        <v>6945.046</v>
      </c>
      <c r="G3361" t="n">
        <v>3775636</v>
      </c>
      <c r="H3361" t="inlineStr">
        <is>
          <t>TUB-O-O-AUT-AW-FC-25.40X2.500X0.7830</t>
        </is>
      </c>
    </row>
    <row r="3362">
      <c r="A3362" t="inlineStr">
        <is>
          <t>0000945539</t>
        </is>
      </c>
      <c r="B3362" t="inlineStr">
        <is>
          <t>Sandhar EngineeringPvt.Ltd.(KA)-Uni</t>
        </is>
      </c>
      <c r="C3362" t="inlineStr">
        <is>
          <t>NOS</t>
        </is>
      </c>
      <c r="D3362" t="n">
        <v>500</v>
      </c>
      <c r="E3362" t="n">
        <v>107.499</v>
      </c>
      <c r="F3362" t="n">
        <v>410.389</v>
      </c>
      <c r="G3362" t="n">
        <v>3901714</v>
      </c>
      <c r="H3362" t="inlineStr">
        <is>
          <t>CUT-N-AUT-AN-FC-42.70X4.000X0.2150</t>
        </is>
      </c>
    </row>
    <row r="3363">
      <c r="A3363" t="inlineStr">
        <is>
          <t>0000945539</t>
        </is>
      </c>
      <c r="B3363" t="inlineStr">
        <is>
          <t>Sandhar EngineeringPvt.Ltd.(KA)-Uni</t>
        </is>
      </c>
      <c r="C3363" t="inlineStr">
        <is>
          <t>NOS</t>
        </is>
      </c>
      <c r="D3363" t="n">
        <v>4000</v>
      </c>
      <c r="E3363" t="n">
        <v>1671.997</v>
      </c>
      <c r="F3363" t="n">
        <v>1885.511</v>
      </c>
      <c r="G3363" t="n">
        <v>3926270</v>
      </c>
      <c r="H3363" t="inlineStr">
        <is>
          <t>CUT-O-N-AUT-AW-FC-25.40X2.000X0.4180</t>
        </is>
      </c>
    </row>
    <row r="3364">
      <c r="A3364" t="inlineStr">
        <is>
          <t>0000940921</t>
        </is>
      </c>
      <c r="B3364" t="inlineStr">
        <is>
          <t>ELKAYEM AUTO ANCILLARIES PVT LTD -U</t>
        </is>
      </c>
      <c r="C3364" t="inlineStr">
        <is>
          <t>NOS</t>
        </is>
      </c>
      <c r="D3364" t="n">
        <v>800</v>
      </c>
      <c r="E3364" t="n">
        <v>570.391</v>
      </c>
      <c r="F3364" t="n">
        <v>1514.16</v>
      </c>
      <c r="G3364" t="n">
        <v>3783938</v>
      </c>
      <c r="H3364" t="inlineStr">
        <is>
          <t>CUT-O-N-AUT-NR-AG-57.15X2.000X0.7130</t>
        </is>
      </c>
    </row>
    <row r="3365">
      <c r="A3365" t="inlineStr">
        <is>
          <t>0000940921</t>
        </is>
      </c>
      <c r="B3365" t="inlineStr">
        <is>
          <t>ELKAYEM AUTO ANCILLARIES PVT LTD -U</t>
        </is>
      </c>
      <c r="C3365" t="inlineStr">
        <is>
          <t>NOS</t>
        </is>
      </c>
      <c r="D3365" t="n">
        <v>292.578</v>
      </c>
      <c r="E3365" t="n">
        <v>56.468</v>
      </c>
      <c r="F3365" t="n">
        <v>100</v>
      </c>
      <c r="G3365" t="n">
        <v>3509016</v>
      </c>
      <c r="H3365" t="inlineStr">
        <is>
          <t>CUT-O-N-AUT-AW-PE-31.75X2.500X0.1930</t>
        </is>
      </c>
    </row>
    <row r="3366">
      <c r="A3366" t="inlineStr">
        <is>
          <t>0000940921</t>
        </is>
      </c>
      <c r="B3366" t="inlineStr">
        <is>
          <t>ELKAYEM AUTO ANCILLARIES PVT LTD -U</t>
        </is>
      </c>
      <c r="C3366" t="inlineStr">
        <is>
          <t>NOS</t>
        </is>
      </c>
      <c r="D3366" t="n">
        <v>707.422</v>
      </c>
      <c r="E3366" t="n">
        <v>136.535</v>
      </c>
      <c r="F3366" t="n">
        <v>241.789</v>
      </c>
      <c r="G3366" t="n">
        <v>3509016</v>
      </c>
      <c r="H3366" t="inlineStr">
        <is>
          <t>CUT-O-N-AUT-AW-PE-31.75X2.500X0.1930</t>
        </is>
      </c>
    </row>
    <row r="3367">
      <c r="A3367" t="inlineStr">
        <is>
          <t>0000945539</t>
        </is>
      </c>
      <c r="B3367" t="inlineStr">
        <is>
          <t>Sandhar EngineeringPvt.Ltd.(KA)-Uni</t>
        </is>
      </c>
      <c r="C3367" t="inlineStr">
        <is>
          <t>NOS</t>
        </is>
      </c>
      <c r="D3367" t="n">
        <v>772</v>
      </c>
      <c r="E3367" t="n">
        <v>604.471</v>
      </c>
      <c r="F3367" t="n">
        <v>853.755</v>
      </c>
      <c r="G3367" t="n">
        <v>3775636</v>
      </c>
      <c r="H3367" t="inlineStr">
        <is>
          <t>TUB-O-O-AUT-AW-FC-25.40X2.500X0.7830</t>
        </is>
      </c>
    </row>
    <row r="3368">
      <c r="A3368" t="inlineStr">
        <is>
          <t>0000945539</t>
        </is>
      </c>
      <c r="B3368" t="inlineStr">
        <is>
          <t>Sandhar EngineeringPvt.Ltd.(KA)-Uni</t>
        </is>
      </c>
      <c r="C3368" t="inlineStr">
        <is>
          <t>NOS</t>
        </is>
      </c>
      <c r="D3368" t="n">
        <v>1500</v>
      </c>
      <c r="E3368" t="n">
        <v>841.793</v>
      </c>
      <c r="F3368" t="n">
        <v>1318.5</v>
      </c>
      <c r="G3368" t="n">
        <v>3801265</v>
      </c>
      <c r="H3368" t="inlineStr">
        <is>
          <t>CUT-AW-AUT-40.00X25.00X1.600X0.5610</t>
        </is>
      </c>
    </row>
    <row r="3369">
      <c r="A3369" t="inlineStr">
        <is>
          <t>0000945539</t>
        </is>
      </c>
      <c r="B3369" t="inlineStr">
        <is>
          <t>Sandhar EngineeringPvt.Ltd.(KA)-Uni</t>
        </is>
      </c>
      <c r="C3369" t="inlineStr">
        <is>
          <t>NOS</t>
        </is>
      </c>
      <c r="D3369" t="n">
        <v>685.02</v>
      </c>
      <c r="E3369" t="n">
        <v>147.278</v>
      </c>
      <c r="F3369" t="n">
        <v>562.249</v>
      </c>
      <c r="G3369" t="n">
        <v>3901714</v>
      </c>
      <c r="H3369" t="inlineStr">
        <is>
          <t>CUT-N-AUT-AN-FC-42.70X4.000X0.2150</t>
        </is>
      </c>
    </row>
    <row r="3370">
      <c r="A3370" t="inlineStr">
        <is>
          <t>0000945539</t>
        </is>
      </c>
      <c r="B3370" t="inlineStr">
        <is>
          <t>Sandhar EngineeringPvt.Ltd.(KA)-Uni</t>
        </is>
      </c>
      <c r="C3370" t="inlineStr">
        <is>
          <t>NOS</t>
        </is>
      </c>
      <c r="D3370" t="n">
        <v>814.98</v>
      </c>
      <c r="E3370" t="n">
        <v>175.219</v>
      </c>
      <c r="F3370" t="n">
        <v>668.917</v>
      </c>
      <c r="G3370" t="n">
        <v>3901714</v>
      </c>
      <c r="H3370" t="inlineStr">
        <is>
          <t>CUT-N-AUT-AN-FC-42.70X4.000X0.2150</t>
        </is>
      </c>
    </row>
    <row r="3371">
      <c r="A3371" t="inlineStr">
        <is>
          <t>0000945539</t>
        </is>
      </c>
      <c r="B3371" t="inlineStr">
        <is>
          <t>Sandhar EngineeringPvt.Ltd.(KA)-Uni</t>
        </is>
      </c>
      <c r="C3371" t="inlineStr">
        <is>
          <t>NOS</t>
        </is>
      </c>
      <c r="D3371" t="n">
        <v>3499</v>
      </c>
      <c r="E3371" t="n">
        <v>1462.579</v>
      </c>
      <c r="F3371" t="n">
        <v>1649.351</v>
      </c>
      <c r="G3371" t="n">
        <v>3926270</v>
      </c>
      <c r="H3371" t="inlineStr">
        <is>
          <t>CUT-O-N-AUT-AW-FC-25.40X2.000X0.4180</t>
        </is>
      </c>
    </row>
    <row r="3372">
      <c r="A3372" t="inlineStr">
        <is>
          <t>0000189226</t>
        </is>
      </c>
      <c r="B3372" t="inlineStr">
        <is>
          <t>Neel Metal Products Limited</t>
        </is>
      </c>
      <c r="C3372" t="inlineStr">
        <is>
          <t>NOS</t>
        </is>
      </c>
      <c r="D3372" t="n">
        <v>500</v>
      </c>
      <c r="E3372" t="n">
        <v>117.998</v>
      </c>
      <c r="F3372" t="n">
        <v>676.4</v>
      </c>
      <c r="G3372" t="n">
        <v>3784473</v>
      </c>
      <c r="H3372" t="inlineStr">
        <is>
          <t>CUT-O-N-AUT-BH-FC-63.50X4.000X0.2360</t>
        </is>
      </c>
    </row>
    <row r="3373">
      <c r="A3373" t="inlineStr">
        <is>
          <t>0000188415</t>
        </is>
      </c>
      <c r="B3373" t="inlineStr">
        <is>
          <t>Rajsriya Automotive Industries(P)</t>
        </is>
      </c>
      <c r="C3373" t="inlineStr">
        <is>
          <t>NOS</t>
        </is>
      </c>
      <c r="D3373" t="n">
        <v>1819.727</v>
      </c>
      <c r="E3373" t="n">
        <v>1519.452</v>
      </c>
      <c r="F3373" t="n">
        <v>2570</v>
      </c>
      <c r="G3373" t="n">
        <v>3712521</v>
      </c>
      <c r="H3373" t="inlineStr">
        <is>
          <t>CUT-R-AW-RHS-40.00X30.00X1.600X0.8350</t>
        </is>
      </c>
    </row>
    <row r="3374">
      <c r="A3374" t="inlineStr">
        <is>
          <t>0000188415</t>
        </is>
      </c>
      <c r="B3374" t="inlineStr">
        <is>
          <t>Rajsriya Automotive Industries(P)</t>
        </is>
      </c>
      <c r="C3374" t="inlineStr">
        <is>
          <t>NOS</t>
        </is>
      </c>
      <c r="D3374" t="n">
        <v>3180.273</v>
      </c>
      <c r="E3374" t="n">
        <v>2655.492</v>
      </c>
      <c r="F3374" t="n">
        <v>4491.5</v>
      </c>
      <c r="G3374" t="n">
        <v>3712521</v>
      </c>
      <c r="H3374" t="inlineStr">
        <is>
          <t>CUT-R-AW-RHS-40.00X30.00X1.600X0.8350</t>
        </is>
      </c>
    </row>
    <row r="3375">
      <c r="A3375" t="inlineStr">
        <is>
          <t>0000189226</t>
        </is>
      </c>
      <c r="B3375" t="inlineStr">
        <is>
          <t>Neel Metal Products Limited</t>
        </is>
      </c>
      <c r="C3375" t="inlineStr">
        <is>
          <t>NOS</t>
        </is>
      </c>
      <c r="D3375" t="n">
        <v>400</v>
      </c>
      <c r="E3375" t="n">
        <v>94.398</v>
      </c>
      <c r="F3375" t="n">
        <v>541.12</v>
      </c>
      <c r="G3375" t="n">
        <v>3784473</v>
      </c>
      <c r="H3375" t="inlineStr">
        <is>
          <t>CUT-O-N-AUT-BH-FC-63.50X4.000X0.2360</t>
        </is>
      </c>
    </row>
    <row r="3376">
      <c r="A3376" t="inlineStr">
        <is>
          <t>0000188415</t>
        </is>
      </c>
      <c r="B3376" t="inlineStr">
        <is>
          <t>Rajsriya Automotive Industries(P)</t>
        </is>
      </c>
      <c r="C3376" t="inlineStr">
        <is>
          <t>NOS</t>
        </is>
      </c>
      <c r="D3376" t="n">
        <v>1329</v>
      </c>
      <c r="E3376" t="n">
        <v>1109.7</v>
      </c>
      <c r="F3376" t="n">
        <v>1876.947</v>
      </c>
      <c r="G3376" t="n">
        <v>3712521</v>
      </c>
      <c r="H3376" t="inlineStr">
        <is>
          <t>CUT-R-AW-RHS-40.00X30.00X1.600X0.8350</t>
        </is>
      </c>
    </row>
    <row r="3377">
      <c r="A3377" t="inlineStr">
        <is>
          <t>0000944141</t>
        </is>
      </c>
      <c r="B3377" t="inlineStr">
        <is>
          <t>SRIKAM HITECH ENGINEERING PRIVATE L</t>
        </is>
      </c>
      <c r="C3377" t="inlineStr">
        <is>
          <t>NOS</t>
        </is>
      </c>
      <c r="D3377" t="n">
        <v>5000</v>
      </c>
      <c r="E3377" t="n">
        <v>2849.972</v>
      </c>
      <c r="F3377" t="n">
        <v>2605.444</v>
      </c>
      <c r="G3377" t="n">
        <v>3507077</v>
      </c>
      <c r="H3377" t="inlineStr">
        <is>
          <t>CUT-O-N-AUT-AW-PE-19.05X2.300X0.570</t>
        </is>
      </c>
    </row>
    <row r="3378">
      <c r="A3378" t="inlineStr">
        <is>
          <t>0000189226</t>
        </is>
      </c>
      <c r="B3378" t="inlineStr">
        <is>
          <t>Neel Metal Products Limited</t>
        </is>
      </c>
      <c r="C3378" t="inlineStr">
        <is>
          <t>NOS</t>
        </is>
      </c>
      <c r="D3378" t="n">
        <v>1500</v>
      </c>
      <c r="E3378" t="n">
        <v>1710.016</v>
      </c>
      <c r="F3378" t="n">
        <v>6351</v>
      </c>
      <c r="G3378" t="n">
        <v>3711330</v>
      </c>
      <c r="H3378" t="inlineStr">
        <is>
          <t>CUT-O-N-AUT-AW-FC-54.00X3.000X1.1400</t>
        </is>
      </c>
    </row>
    <row r="3379">
      <c r="A3379" t="inlineStr">
        <is>
          <t>0000189226</t>
        </is>
      </c>
      <c r="B3379" t="inlineStr">
        <is>
          <t>Neel Metal Products Limited</t>
        </is>
      </c>
      <c r="C3379" t="inlineStr">
        <is>
          <t>NOS</t>
        </is>
      </c>
      <c r="D3379" t="n">
        <v>516.1319999999999</v>
      </c>
      <c r="E3379" t="n">
        <v>419.002</v>
      </c>
      <c r="F3379" t="n">
        <v>746.327</v>
      </c>
      <c r="G3379" t="n">
        <v>1940743</v>
      </c>
      <c r="H3379" t="inlineStr">
        <is>
          <t>TUB-O-O-AUT-AW-FC-38.10X2.000X0.8120</t>
        </is>
      </c>
    </row>
    <row r="3380">
      <c r="A3380" t="inlineStr">
        <is>
          <t>0000189226</t>
        </is>
      </c>
      <c r="B3380" t="inlineStr">
        <is>
          <t>Neel Metal Products Limited</t>
        </is>
      </c>
      <c r="C3380" t="inlineStr">
        <is>
          <t>NOS</t>
        </is>
      </c>
      <c r="D3380" t="n">
        <v>1513.447</v>
      </c>
      <c r="E3380" t="n">
        <v>1228.635</v>
      </c>
      <c r="F3380" t="n">
        <v>2188.444</v>
      </c>
      <c r="G3380" t="n">
        <v>1940743</v>
      </c>
      <c r="H3380" t="inlineStr">
        <is>
          <t>TUB-O-O-AUT-AW-FC-38.10X2.000X0.8120</t>
        </is>
      </c>
    </row>
    <row r="3381">
      <c r="A3381" t="inlineStr">
        <is>
          <t>0000189226</t>
        </is>
      </c>
      <c r="B3381" t="inlineStr">
        <is>
          <t>Neel Metal Products Limited</t>
        </is>
      </c>
      <c r="C3381" t="inlineStr">
        <is>
          <t>NOS</t>
        </is>
      </c>
      <c r="D3381" t="n">
        <v>3970.421</v>
      </c>
      <c r="E3381" t="n">
        <v>3223.236</v>
      </c>
      <c r="F3381" t="n">
        <v>5741.229</v>
      </c>
      <c r="G3381" t="n">
        <v>1940743</v>
      </c>
      <c r="H3381" t="inlineStr">
        <is>
          <t>TUB-O-O-AUT-AW-FC-38.10X2.000X0.8120</t>
        </is>
      </c>
    </row>
    <row r="3382">
      <c r="A3382" t="inlineStr">
        <is>
          <t>0000189226</t>
        </is>
      </c>
      <c r="B3382" t="inlineStr">
        <is>
          <t>Neel Metal Products Limited</t>
        </is>
      </c>
      <c r="C3382" t="inlineStr">
        <is>
          <t>NOS</t>
        </is>
      </c>
      <c r="D3382" t="n">
        <v>10000</v>
      </c>
      <c r="E3382" t="n">
        <v>3935.185</v>
      </c>
      <c r="F3382" t="n">
        <v>3740</v>
      </c>
      <c r="G3382" t="n">
        <v>1940318</v>
      </c>
      <c r="H3382" t="inlineStr">
        <is>
          <t>TUB-O-O-AUT-AW-PE-19.05X2.300X0.3940</t>
        </is>
      </c>
    </row>
    <row r="3383">
      <c r="A3383" t="inlineStr">
        <is>
          <t>0000185254</t>
        </is>
      </c>
      <c r="B3383" t="inlineStr">
        <is>
          <t>LAXMI METAL PRESSING WORKS PVT LTD</t>
        </is>
      </c>
      <c r="C3383" t="inlineStr">
        <is>
          <t>NOS</t>
        </is>
      </c>
      <c r="D3383" t="n">
        <v>175.671</v>
      </c>
      <c r="E3383" t="n">
        <v>200.222</v>
      </c>
      <c r="F3383" t="n">
        <v>755.737</v>
      </c>
      <c r="G3383" t="n">
        <v>2396464</v>
      </c>
      <c r="H3383" t="inlineStr">
        <is>
          <t>TUB-O-N-AUT-AN-FC-54.00X3.000X1.1400</t>
        </is>
      </c>
    </row>
    <row r="3384">
      <c r="A3384" t="inlineStr">
        <is>
          <t>0000185254</t>
        </is>
      </c>
      <c r="B3384" t="inlineStr">
        <is>
          <t>LAXMI METAL PRESSING WORKS PVT LTD</t>
        </is>
      </c>
      <c r="C3384" t="inlineStr">
        <is>
          <t>NOS</t>
        </is>
      </c>
      <c r="D3384" t="n">
        <v>1824.329</v>
      </c>
      <c r="E3384" t="n">
        <v>2079.286</v>
      </c>
      <c r="F3384" t="n">
        <v>7848.263</v>
      </c>
      <c r="G3384" t="n">
        <v>2396464</v>
      </c>
      <c r="H3384" t="inlineStr">
        <is>
          <t>TUB-O-N-AUT-AN-FC-54.00X3.000X1.1400</t>
        </is>
      </c>
    </row>
    <row r="3385">
      <c r="A3385" t="inlineStr">
        <is>
          <t>0000185254</t>
        </is>
      </c>
      <c r="B3385" t="inlineStr">
        <is>
          <t>LAXMI METAL PRESSING WORKS PVT LTD</t>
        </is>
      </c>
      <c r="C3385" t="inlineStr">
        <is>
          <t>NOS</t>
        </is>
      </c>
      <c r="D3385" t="n">
        <v>259.345</v>
      </c>
      <c r="E3385" t="n">
        <v>132.787</v>
      </c>
      <c r="F3385" t="n">
        <v>699.998</v>
      </c>
      <c r="G3385" t="n">
        <v>3801263</v>
      </c>
      <c r="H3385" t="inlineStr">
        <is>
          <t>CUT-N-AUT-AN-FC-70.00X3.200X0.5120</t>
        </is>
      </c>
    </row>
    <row r="3386">
      <c r="A3386" t="inlineStr">
        <is>
          <t>0000185254</t>
        </is>
      </c>
      <c r="B3386" t="inlineStr">
        <is>
          <t>LAXMI METAL PRESSING WORKS PVT LTD</t>
        </is>
      </c>
      <c r="C3386" t="inlineStr">
        <is>
          <t>NOS</t>
        </is>
      </c>
      <c r="D3386" t="n">
        <v>340.655</v>
      </c>
      <c r="E3386" t="n">
        <v>174.418</v>
      </c>
      <c r="F3386" t="n">
        <v>919.462</v>
      </c>
      <c r="G3386" t="n">
        <v>3801263</v>
      </c>
      <c r="H3386" t="inlineStr">
        <is>
          <t>CUT-N-AUT-AN-FC-70.00X3.200X0.5120</t>
        </is>
      </c>
    </row>
    <row r="3387">
      <c r="A3387" t="inlineStr">
        <is>
          <t>0000941506</t>
        </is>
      </c>
      <c r="B3387" t="inlineStr">
        <is>
          <t>ELKAYEM AUTO ANCILLARIES PRIVATE LI</t>
        </is>
      </c>
      <c r="C3387" t="inlineStr">
        <is>
          <t>NOS</t>
        </is>
      </c>
      <c r="D3387" t="n">
        <v>1043</v>
      </c>
      <c r="E3387" t="n">
        <v>1565.557</v>
      </c>
      <c r="F3387" t="n">
        <v>2780.117</v>
      </c>
      <c r="G3387" t="n">
        <v>3911993</v>
      </c>
      <c r="H3387" t="inlineStr">
        <is>
          <t>CUT-O-N-AUT-AW-FC-34.93X2.300X1.5010</t>
        </is>
      </c>
    </row>
    <row r="3388">
      <c r="A3388" t="inlineStr">
        <is>
          <t>0000184192</t>
        </is>
      </c>
      <c r="B3388" t="inlineStr">
        <is>
          <t>JBM AUTO LIMITED</t>
        </is>
      </c>
      <c r="C3388" t="inlineStr">
        <is>
          <t>NOS</t>
        </is>
      </c>
      <c r="D3388" t="n">
        <v>1198.778</v>
      </c>
      <c r="E3388" t="n">
        <v>382.41</v>
      </c>
      <c r="F3388" t="n">
        <v>1053.233</v>
      </c>
      <c r="G3388" t="n">
        <v>4157557</v>
      </c>
      <c r="H3388" t="inlineStr">
        <is>
          <t>PT4-O-N-AUT-AW-FC-38.10X3.200X0.3190</t>
        </is>
      </c>
    </row>
    <row r="3389">
      <c r="A3389" t="inlineStr">
        <is>
          <t>0000184192</t>
        </is>
      </c>
      <c r="B3389" t="inlineStr">
        <is>
          <t>JBM AUTO LIMITED</t>
        </is>
      </c>
      <c r="C3389" t="inlineStr">
        <is>
          <t>NOS</t>
        </is>
      </c>
      <c r="D3389" t="n">
        <v>4801.222</v>
      </c>
      <c r="E3389" t="n">
        <v>1531.588</v>
      </c>
      <c r="F3389" t="n">
        <v>4218.3</v>
      </c>
      <c r="G3389" t="n">
        <v>4157557</v>
      </c>
      <c r="H3389" t="inlineStr">
        <is>
          <t>PT4-O-N-AUT-AW-FC-38.10X3.200X0.3190</t>
        </is>
      </c>
    </row>
    <row r="3390">
      <c r="A3390" t="inlineStr">
        <is>
          <t>0000189226</t>
        </is>
      </c>
      <c r="B3390" t="inlineStr">
        <is>
          <t>Neel Metal Products Limited</t>
        </is>
      </c>
      <c r="C3390" t="inlineStr">
        <is>
          <t>NOS</t>
        </is>
      </c>
      <c r="D3390" t="n">
        <v>1800</v>
      </c>
      <c r="E3390" t="n">
        <v>1314.229</v>
      </c>
      <c r="F3390" t="n">
        <v>3164.4</v>
      </c>
      <c r="G3390" t="n">
        <v>1940881</v>
      </c>
      <c r="H3390" t="inlineStr">
        <is>
          <t>TUB-R-AW-RHS-50.00X30.00X2.000X0.7300</t>
        </is>
      </c>
    </row>
    <row r="3391">
      <c r="A3391" t="inlineStr">
        <is>
          <t>0000189002</t>
        </is>
      </c>
      <c r="B3391" t="inlineStr">
        <is>
          <t>Marathwada Auto Compo Pvt. Ltd.</t>
        </is>
      </c>
      <c r="C3391" t="inlineStr">
        <is>
          <t>NOS</t>
        </is>
      </c>
      <c r="D3391" t="n">
        <v>610</v>
      </c>
      <c r="E3391" t="n">
        <v>1574.296</v>
      </c>
      <c r="F3391" t="n">
        <v>1504.87</v>
      </c>
      <c r="G3391" t="n">
        <v>3605861</v>
      </c>
      <c r="H3391" t="inlineStr">
        <is>
          <t>TUB-O-N-AUT-AW-PE-25.40X1.630X2.5800</t>
        </is>
      </c>
    </row>
    <row r="3392">
      <c r="A3392" t="inlineStr">
        <is>
          <t>0000189002</t>
        </is>
      </c>
      <c r="B3392" t="inlineStr">
        <is>
          <t>Marathwada Auto Compo Pvt. Ltd.</t>
        </is>
      </c>
      <c r="C3392" t="inlineStr">
        <is>
          <t>NOS</t>
        </is>
      </c>
      <c r="D3392" t="n">
        <v>3389</v>
      </c>
      <c r="E3392" t="n">
        <v>8746.378000000001</v>
      </c>
      <c r="F3392" t="n">
        <v>8360.663</v>
      </c>
      <c r="G3392" t="n">
        <v>3605861</v>
      </c>
      <c r="H3392" t="inlineStr">
        <is>
          <t>TUB-O-N-AUT-AW-PE-25.40X1.630X2.5800</t>
        </is>
      </c>
    </row>
    <row r="3393">
      <c r="A3393" t="inlineStr">
        <is>
          <t>0000944141</t>
        </is>
      </c>
      <c r="B3393" t="inlineStr">
        <is>
          <t>SRIKAM HITECH ENGINEERING PRIVATE L</t>
        </is>
      </c>
      <c r="C3393" t="inlineStr">
        <is>
          <t>NOS</t>
        </is>
      </c>
      <c r="D3393" t="n">
        <v>181.458</v>
      </c>
      <c r="E3393" t="n">
        <v>103.43</v>
      </c>
      <c r="F3393" t="n">
        <v>94.556</v>
      </c>
      <c r="G3393" t="n">
        <v>3507077</v>
      </c>
      <c r="H3393" t="inlineStr">
        <is>
          <t>CUT-O-N-AUT-AW-PE-19.05X2.300X0.570</t>
        </is>
      </c>
    </row>
    <row r="3394">
      <c r="A3394" t="inlineStr">
        <is>
          <t>0000944141</t>
        </is>
      </c>
      <c r="B3394" t="inlineStr">
        <is>
          <t>SRIKAM HITECH ENGINEERING PRIVATE L</t>
        </is>
      </c>
      <c r="C3394" t="inlineStr">
        <is>
          <t>NOS</t>
        </is>
      </c>
      <c r="D3394" t="n">
        <v>4818.542</v>
      </c>
      <c r="E3394" t="n">
        <v>2746.542</v>
      </c>
      <c r="F3394" t="n">
        <v>2510.889</v>
      </c>
      <c r="G3394" t="n">
        <v>3507077</v>
      </c>
      <c r="H3394" t="inlineStr">
        <is>
          <t>CUT-O-N-AUT-AW-PE-19.05X2.300X0.570</t>
        </is>
      </c>
    </row>
    <row r="3395">
      <c r="A3395" t="inlineStr">
        <is>
          <t>0000189226</t>
        </is>
      </c>
      <c r="B3395" t="inlineStr">
        <is>
          <t>Neel Metal Products Limited</t>
        </is>
      </c>
      <c r="C3395" t="inlineStr">
        <is>
          <t>NOS</t>
        </is>
      </c>
      <c r="D3395" t="n">
        <v>300</v>
      </c>
      <c r="E3395" t="n">
        <v>70.79900000000001</v>
      </c>
      <c r="F3395" t="n">
        <v>405.84</v>
      </c>
      <c r="G3395" t="n">
        <v>3784473</v>
      </c>
      <c r="H3395" t="inlineStr">
        <is>
          <t>CUT-O-N-AUT-BH-FC-63.50X4.000X0.2360</t>
        </is>
      </c>
    </row>
    <row r="3396">
      <c r="A3396" t="inlineStr">
        <is>
          <t>0000189226</t>
        </is>
      </c>
      <c r="B3396" t="inlineStr">
        <is>
          <t>Neel Metal Products Limited</t>
        </is>
      </c>
      <c r="C3396" t="inlineStr">
        <is>
          <t>NOS</t>
        </is>
      </c>
      <c r="D3396" t="n">
        <v>300</v>
      </c>
      <c r="E3396" t="n">
        <v>70.79900000000001</v>
      </c>
      <c r="F3396" t="n">
        <v>405.84</v>
      </c>
      <c r="G3396" t="n">
        <v>3784473</v>
      </c>
      <c r="H3396" t="inlineStr">
        <is>
          <t>CUT-O-N-AUT-BH-FC-63.50X4.000X0.2360</t>
        </is>
      </c>
    </row>
    <row r="3397">
      <c r="A3397" t="inlineStr">
        <is>
          <t>0000188405</t>
        </is>
      </c>
      <c r="B3397" t="inlineStr">
        <is>
          <t>Skb Industries</t>
        </is>
      </c>
      <c r="C3397" t="inlineStr">
        <is>
          <t>NOS</t>
        </is>
      </c>
      <c r="D3397" t="n">
        <v>981.667</v>
      </c>
      <c r="E3397" t="n">
        <v>811.838</v>
      </c>
      <c r="F3397" t="n">
        <v>810.377</v>
      </c>
      <c r="G3397" t="n">
        <v>3915667</v>
      </c>
      <c r="H3397" t="inlineStr">
        <is>
          <t>CUT-O-N-AUT-AW-CH-22.23X2.000X0.8270</t>
        </is>
      </c>
    </row>
    <row r="3398">
      <c r="A3398" t="inlineStr">
        <is>
          <t>0000188405</t>
        </is>
      </c>
      <c r="B3398" t="inlineStr">
        <is>
          <t>Skb Industries</t>
        </is>
      </c>
      <c r="C3398" t="inlineStr">
        <is>
          <t>NOS</t>
        </is>
      </c>
      <c r="D3398" t="n">
        <v>1518.333</v>
      </c>
      <c r="E3398" t="n">
        <v>1255.661</v>
      </c>
      <c r="F3398" t="n">
        <v>1253.401</v>
      </c>
      <c r="G3398" t="n">
        <v>3915667</v>
      </c>
      <c r="H3398" t="inlineStr">
        <is>
          <t>CUT-O-N-AUT-AW-CH-22.23X2.000X0.8270</t>
        </is>
      </c>
    </row>
    <row r="3399">
      <c r="A3399" t="inlineStr">
        <is>
          <t>0000941496</t>
        </is>
      </c>
      <c r="B3399" t="inlineStr">
        <is>
          <t>SANDHAR ENGINEERING PVT LTD.(KA) -U</t>
        </is>
      </c>
      <c r="C3399" t="inlineStr">
        <is>
          <t>NOS</t>
        </is>
      </c>
      <c r="D3399" t="n">
        <v>3000</v>
      </c>
      <c r="E3399" t="n">
        <v>2445.005</v>
      </c>
      <c r="F3399" t="n">
        <v>2381</v>
      </c>
      <c r="G3399" t="n">
        <v>3781605</v>
      </c>
      <c r="H3399" t="inlineStr">
        <is>
          <t>CUT-O-N-AUT-AW-PE-22.20X2.000X0.8150</t>
        </is>
      </c>
    </row>
    <row r="3400">
      <c r="A3400" t="inlineStr">
        <is>
          <t>0000941496</t>
        </is>
      </c>
      <c r="B3400" t="inlineStr">
        <is>
          <t>SANDHAR ENGINEERING PVT LTD.(KA) -U</t>
        </is>
      </c>
      <c r="C3400" t="inlineStr">
        <is>
          <t>NOS</t>
        </is>
      </c>
      <c r="D3400" t="n">
        <v>1000</v>
      </c>
      <c r="E3400" t="n">
        <v>431.998</v>
      </c>
      <c r="F3400" t="n">
        <v>732.756</v>
      </c>
      <c r="G3400" t="n">
        <v>1903849</v>
      </c>
      <c r="H3400" t="inlineStr">
        <is>
          <t>TUB-O-N-AUT-AW-FC-38.10X2.000X0.4320</t>
        </is>
      </c>
    </row>
    <row r="3401">
      <c r="A3401" t="inlineStr">
        <is>
          <t>0000941496</t>
        </is>
      </c>
      <c r="B3401" t="inlineStr">
        <is>
          <t>SANDHAR ENGINEERING PVT LTD.(KA) -U</t>
        </is>
      </c>
      <c r="C3401" t="inlineStr">
        <is>
          <t>NOS</t>
        </is>
      </c>
      <c r="D3401" t="n">
        <v>2950</v>
      </c>
      <c r="E3401" t="n">
        <v>619.498</v>
      </c>
      <c r="F3401" t="n">
        <v>537.621</v>
      </c>
      <c r="G3401" t="n">
        <v>3508456</v>
      </c>
      <c r="H3401" t="inlineStr">
        <is>
          <t>CUT-O-N-AUT-AW-PE-31.75X1.200X0.2100</t>
        </is>
      </c>
    </row>
    <row r="3402">
      <c r="A3402" t="inlineStr">
        <is>
          <t>0000941496</t>
        </is>
      </c>
      <c r="B3402" t="inlineStr">
        <is>
          <t>SANDHAR ENGINEERING PVT LTD.(KA) -U</t>
        </is>
      </c>
      <c r="C3402" t="inlineStr">
        <is>
          <t>NOS</t>
        </is>
      </c>
      <c r="D3402" t="n">
        <v>1020.649</v>
      </c>
      <c r="E3402" t="n">
        <v>828.575</v>
      </c>
      <c r="F3402" t="n">
        <v>1475.858</v>
      </c>
      <c r="G3402" t="n">
        <v>1940743</v>
      </c>
      <c r="H3402" t="inlineStr">
        <is>
          <t>TUB-O-O-AUT-AW-FC-38.10X2.000X0.8120</t>
        </is>
      </c>
    </row>
    <row r="3403">
      <c r="A3403" t="inlineStr">
        <is>
          <t>0000941496</t>
        </is>
      </c>
      <c r="B3403" t="inlineStr">
        <is>
          <t>SANDHAR ENGINEERING PVT LTD.(KA) -U</t>
        </is>
      </c>
      <c r="C3403" t="inlineStr">
        <is>
          <t>NOS</t>
        </is>
      </c>
      <c r="D3403" t="n">
        <v>979.351</v>
      </c>
      <c r="E3403" t="n">
        <v>795.049</v>
      </c>
      <c r="F3403" t="n">
        <v>1416.142</v>
      </c>
      <c r="G3403" t="n">
        <v>1940743</v>
      </c>
      <c r="H3403" t="inlineStr">
        <is>
          <t>TUB-O-O-AUT-AW-FC-38.10X2.000X0.8120</t>
        </is>
      </c>
    </row>
    <row r="3404">
      <c r="A3404" t="inlineStr">
        <is>
          <t>0000188415</t>
        </is>
      </c>
      <c r="B3404" t="inlineStr">
        <is>
          <t>Rajsriya Automotive Industries(P)</t>
        </is>
      </c>
      <c r="C3404" t="inlineStr">
        <is>
          <t>NOS</t>
        </is>
      </c>
      <c r="D3404" t="n">
        <v>5000</v>
      </c>
      <c r="E3404" t="n">
        <v>1150.012</v>
      </c>
      <c r="F3404" t="n">
        <v>3457.167</v>
      </c>
      <c r="G3404" t="n">
        <v>4010435</v>
      </c>
      <c r="H3404" t="inlineStr">
        <is>
          <t>TUB-O-N-AUT-AW-FC-41.28X3.200X0.2300</t>
        </is>
      </c>
    </row>
    <row r="3405">
      <c r="A3405" t="inlineStr">
        <is>
          <t>0000189227</t>
        </is>
      </c>
      <c r="B3405" t="inlineStr">
        <is>
          <t>Neel Metal Products Limited</t>
        </is>
      </c>
      <c r="C3405" t="inlineStr">
        <is>
          <t>NOS</t>
        </is>
      </c>
      <c r="D3405" t="n">
        <v>563.297</v>
      </c>
      <c r="E3405" t="n">
        <v>768.905</v>
      </c>
      <c r="F3405" t="n">
        <v>2292.337</v>
      </c>
      <c r="G3405" t="n">
        <v>3781680</v>
      </c>
      <c r="H3405" t="inlineStr">
        <is>
          <t>CUT-O-N-AUT-AW-FC-57.15X2.300X1.3650</t>
        </is>
      </c>
    </row>
    <row r="3406">
      <c r="A3406" t="inlineStr">
        <is>
          <t>0000189227</t>
        </is>
      </c>
      <c r="B3406" t="inlineStr">
        <is>
          <t>Neel Metal Products Limited</t>
        </is>
      </c>
      <c r="C3406" t="inlineStr">
        <is>
          <t>NOS</t>
        </is>
      </c>
      <c r="D3406" t="n">
        <v>646.625</v>
      </c>
      <c r="E3406" t="n">
        <v>882.649</v>
      </c>
      <c r="F3406" t="n">
        <v>2631.44</v>
      </c>
      <c r="G3406" t="n">
        <v>3781680</v>
      </c>
      <c r="H3406" t="inlineStr">
        <is>
          <t>CUT-O-N-AUT-AW-FC-57.15X2.300X1.3650</t>
        </is>
      </c>
    </row>
    <row r="3407">
      <c r="A3407" t="inlineStr">
        <is>
          <t>0000189227</t>
        </is>
      </c>
      <c r="B3407" t="inlineStr">
        <is>
          <t>Neel Metal Products Limited</t>
        </is>
      </c>
      <c r="C3407" t="inlineStr">
        <is>
          <t>NOS</t>
        </is>
      </c>
      <c r="D3407" t="n">
        <v>1190.078</v>
      </c>
      <c r="E3407" t="n">
        <v>1624.467</v>
      </c>
      <c r="F3407" t="n">
        <v>4843.022</v>
      </c>
      <c r="G3407" t="n">
        <v>3781680</v>
      </c>
      <c r="H3407" t="inlineStr">
        <is>
          <t>CUT-O-N-AUT-AW-FC-57.15X2.300X1.3650</t>
        </is>
      </c>
    </row>
    <row r="3408">
      <c r="A3408" t="inlineStr">
        <is>
          <t>0000184192</t>
        </is>
      </c>
      <c r="B3408" t="inlineStr">
        <is>
          <t>JBM AUTO LIMITED</t>
        </is>
      </c>
      <c r="C3408" t="inlineStr">
        <is>
          <t>NOS</t>
        </is>
      </c>
      <c r="D3408" t="n">
        <v>1000</v>
      </c>
      <c r="E3408" t="n">
        <v>319</v>
      </c>
      <c r="F3408" t="n">
        <v>878.5890000000001</v>
      </c>
      <c r="G3408" t="n">
        <v>4157557</v>
      </c>
      <c r="H3408" t="inlineStr">
        <is>
          <t>PT4-O-N-AUT-AW-FC-38.10X3.200X0.3190</t>
        </is>
      </c>
    </row>
    <row r="3409">
      <c r="A3409" t="inlineStr">
        <is>
          <t>0000184192</t>
        </is>
      </c>
      <c r="B3409" t="inlineStr">
        <is>
          <t>JBM AUTO LIMITED</t>
        </is>
      </c>
      <c r="C3409" t="inlineStr">
        <is>
          <t>NOS</t>
        </is>
      </c>
      <c r="D3409" t="n">
        <v>1500</v>
      </c>
      <c r="E3409" t="n">
        <v>478.5</v>
      </c>
      <c r="F3409" t="n">
        <v>1317.883</v>
      </c>
      <c r="G3409" t="n">
        <v>4157557</v>
      </c>
      <c r="H3409" t="inlineStr">
        <is>
          <t>PT4-O-N-AUT-AW-FC-38.10X3.200X0.3190</t>
        </is>
      </c>
    </row>
    <row r="3410">
      <c r="A3410" t="inlineStr">
        <is>
          <t>0000185254</t>
        </is>
      </c>
      <c r="B3410" t="inlineStr">
        <is>
          <t>LAXMI METAL PRESSING WORKS PVT LTD</t>
        </is>
      </c>
      <c r="C3410" t="inlineStr">
        <is>
          <t>NOS</t>
        </is>
      </c>
      <c r="D3410" t="n">
        <v>159.514</v>
      </c>
      <c r="E3410" t="n">
        <v>81.672</v>
      </c>
      <c r="F3410" t="n">
        <v>430.544</v>
      </c>
      <c r="G3410" t="n">
        <v>3801263</v>
      </c>
      <c r="H3410" t="inlineStr">
        <is>
          <t>CUT-N-AUT-AN-FC-70.00X3.200X0.5120</t>
        </is>
      </c>
    </row>
    <row r="3411">
      <c r="A3411" t="inlineStr">
        <is>
          <t>0000185254</t>
        </is>
      </c>
      <c r="B3411" t="inlineStr">
        <is>
          <t>LAXMI METAL PRESSING WORKS PVT LTD</t>
        </is>
      </c>
      <c r="C3411" t="inlineStr">
        <is>
          <t>NOS</t>
        </is>
      </c>
      <c r="D3411" t="n">
        <v>740.486</v>
      </c>
      <c r="E3411" t="n">
        <v>379.135</v>
      </c>
      <c r="F3411" t="n">
        <v>1998.646</v>
      </c>
      <c r="G3411" t="n">
        <v>3801263</v>
      </c>
      <c r="H3411" t="inlineStr">
        <is>
          <t>CUT-N-AUT-AN-FC-70.00X3.200X0.5120</t>
        </is>
      </c>
    </row>
    <row r="3412">
      <c r="A3412" t="inlineStr">
        <is>
          <t>0000943209</t>
        </is>
      </c>
      <c r="B3412" t="inlineStr">
        <is>
          <t>MEGH STEELS PRIVATE LIMITED - TVS A</t>
        </is>
      </c>
      <c r="C3412" t="inlineStr">
        <is>
          <t>NOS</t>
        </is>
      </c>
      <c r="D3412" t="n">
        <v>6720</v>
      </c>
      <c r="E3412" t="n">
        <v>4968.801</v>
      </c>
      <c r="F3412" t="n">
        <v>4959.36</v>
      </c>
      <c r="G3412" t="n">
        <v>1940458</v>
      </c>
      <c r="H3412" t="inlineStr">
        <is>
          <t>TUB-O-O-AUT-AW-PE-22.23X2.000X0.7390</t>
        </is>
      </c>
    </row>
    <row r="3413">
      <c r="A3413" t="inlineStr">
        <is>
          <t>0000188405</t>
        </is>
      </c>
      <c r="B3413" t="inlineStr">
        <is>
          <t>Skb Industries</t>
        </is>
      </c>
      <c r="C3413" t="inlineStr">
        <is>
          <t>NOS</t>
        </is>
      </c>
      <c r="D3413" t="n">
        <v>2543.879</v>
      </c>
      <c r="E3413" t="n">
        <v>2103.787</v>
      </c>
      <c r="F3413" t="n">
        <v>2100</v>
      </c>
      <c r="G3413" t="n">
        <v>3915667</v>
      </c>
      <c r="H3413" t="inlineStr">
        <is>
          <t>CUT-O-N-AUT-AW-CH-22.23X2.000X0.8270</t>
        </is>
      </c>
    </row>
    <row r="3414">
      <c r="A3414" t="inlineStr">
        <is>
          <t>0000188405</t>
        </is>
      </c>
      <c r="B3414" t="inlineStr">
        <is>
          <t>Skb Industries</t>
        </is>
      </c>
      <c r="C3414" t="inlineStr">
        <is>
          <t>NOS</t>
        </is>
      </c>
      <c r="D3414" t="n">
        <v>84.79600000000001</v>
      </c>
      <c r="E3414" t="n">
        <v>70.126</v>
      </c>
      <c r="F3414" t="n">
        <v>70</v>
      </c>
      <c r="G3414" t="n">
        <v>3915667</v>
      </c>
      <c r="H3414" t="inlineStr">
        <is>
          <t>CUT-O-N-AUT-AW-CH-22.23X2.000X0.8270</t>
        </is>
      </c>
    </row>
    <row r="3415">
      <c r="A3415" t="inlineStr">
        <is>
          <t>0000188405</t>
        </is>
      </c>
      <c r="B3415" t="inlineStr">
        <is>
          <t>Skb Industries</t>
        </is>
      </c>
      <c r="C3415" t="inlineStr">
        <is>
          <t>NOS</t>
        </is>
      </c>
      <c r="D3415" t="n">
        <v>2240.55</v>
      </c>
      <c r="E3415" t="n">
        <v>1852.934</v>
      </c>
      <c r="F3415" t="n">
        <v>1849.599</v>
      </c>
      <c r="G3415" t="n">
        <v>3915667</v>
      </c>
      <c r="H3415" t="inlineStr">
        <is>
          <t>CUT-O-N-AUT-AW-CH-22.23X2.000X0.8270</t>
        </is>
      </c>
    </row>
    <row r="3416">
      <c r="A3416" t="inlineStr">
        <is>
          <t>0000188405</t>
        </is>
      </c>
      <c r="B3416" t="inlineStr">
        <is>
          <t>Skb Industries</t>
        </is>
      </c>
      <c r="C3416" t="inlineStr">
        <is>
          <t>NOS</t>
        </is>
      </c>
      <c r="D3416" t="n">
        <v>2266.775</v>
      </c>
      <c r="E3416" t="n">
        <v>1874.622</v>
      </c>
      <c r="F3416" t="n">
        <v>1871.248</v>
      </c>
      <c r="G3416" t="n">
        <v>3915667</v>
      </c>
      <c r="H3416" t="inlineStr">
        <is>
          <t>CUT-O-N-AUT-AW-CH-22.23X2.000X0.8270</t>
        </is>
      </c>
    </row>
    <row r="3417">
      <c r="A3417" t="inlineStr">
        <is>
          <t>0000188405</t>
        </is>
      </c>
      <c r="B3417" t="inlineStr">
        <is>
          <t>Skb Industries</t>
        </is>
      </c>
      <c r="C3417" t="inlineStr">
        <is>
          <t>NOS</t>
        </is>
      </c>
      <c r="D3417" t="n">
        <v>1000</v>
      </c>
      <c r="E3417" t="n">
        <v>816.47</v>
      </c>
      <c r="F3417" t="n">
        <v>815</v>
      </c>
      <c r="G3417" t="n">
        <v>2332780</v>
      </c>
      <c r="H3417" t="inlineStr">
        <is>
          <t>TUB-O-N-AUT-AW-CH-22.23X2.000X0.8160</t>
        </is>
      </c>
    </row>
    <row r="3418">
      <c r="A3418" t="inlineStr">
        <is>
          <t>0000944141</t>
        </is>
      </c>
      <c r="B3418" t="inlineStr">
        <is>
          <t>SRIKAM HITECH ENGINEERING PRIVATE L</t>
        </is>
      </c>
      <c r="C3418" t="inlineStr">
        <is>
          <t>NOS</t>
        </is>
      </c>
      <c r="D3418" t="n">
        <v>1000</v>
      </c>
      <c r="E3418" t="n">
        <v>588.375</v>
      </c>
      <c r="F3418" t="n">
        <v>743</v>
      </c>
      <c r="G3418" t="n">
        <v>1938191</v>
      </c>
      <c r="H3418" t="inlineStr">
        <is>
          <t>TUB-I-C-AUT-AD-FC-12.50X3.250X0.5880</t>
        </is>
      </c>
    </row>
    <row r="3419">
      <c r="A3419" t="inlineStr">
        <is>
          <t>0000944141</t>
        </is>
      </c>
      <c r="B3419" t="inlineStr">
        <is>
          <t>SRIKAM HITECH ENGINEERING PRIVATE L</t>
        </is>
      </c>
      <c r="C3419" t="inlineStr">
        <is>
          <t>NOS</t>
        </is>
      </c>
      <c r="D3419" t="n">
        <v>6000</v>
      </c>
      <c r="E3419" t="n">
        <v>3659.958</v>
      </c>
      <c r="F3419" t="n">
        <v>3345.933</v>
      </c>
      <c r="G3419" t="n">
        <v>3508521</v>
      </c>
      <c r="H3419" t="inlineStr">
        <is>
          <t>CUT-O-N-AUT-AW-PE-19.05X2.300X0.6100</t>
        </is>
      </c>
    </row>
    <row r="3420">
      <c r="A3420" t="inlineStr">
        <is>
          <t>0000945539</t>
        </is>
      </c>
      <c r="B3420" t="inlineStr">
        <is>
          <t>Sandhar EngineeringPvt.Ltd.(KA)-Uni</t>
        </is>
      </c>
      <c r="C3420" t="inlineStr">
        <is>
          <t>NOS</t>
        </is>
      </c>
      <c r="D3420" t="n">
        <v>145.763</v>
      </c>
      <c r="E3420" t="n">
        <v>114.131</v>
      </c>
      <c r="F3420" t="n">
        <v>161.199</v>
      </c>
      <c r="G3420" t="n">
        <v>3775636</v>
      </c>
      <c r="H3420" t="inlineStr">
        <is>
          <t>TUB-O-O-AUT-AW-FC-25.40X2.500X0.7830</t>
        </is>
      </c>
    </row>
    <row r="3421">
      <c r="A3421" t="inlineStr">
        <is>
          <t>0000945539</t>
        </is>
      </c>
      <c r="B3421" t="inlineStr">
        <is>
          <t>Sandhar EngineeringPvt.Ltd.(KA)-Uni</t>
        </is>
      </c>
      <c r="C3421" t="inlineStr">
        <is>
          <t>NOS</t>
        </is>
      </c>
      <c r="D3421" t="n">
        <v>4754.237</v>
      </c>
      <c r="E3421" t="n">
        <v>3722.537</v>
      </c>
      <c r="F3421" t="n">
        <v>5257.711</v>
      </c>
      <c r="G3421" t="n">
        <v>3775636</v>
      </c>
      <c r="H3421" t="inlineStr">
        <is>
          <t>TUB-O-O-AUT-AW-FC-25.40X2.500X0.7830</t>
        </is>
      </c>
    </row>
    <row r="3422">
      <c r="A3422" t="inlineStr">
        <is>
          <t>0000189226</t>
        </is>
      </c>
      <c r="B3422" t="inlineStr">
        <is>
          <t>Neel Metal Products Limited</t>
        </is>
      </c>
      <c r="C3422" t="inlineStr">
        <is>
          <t>NOS</t>
        </is>
      </c>
      <c r="D3422" t="n">
        <v>666</v>
      </c>
      <c r="E3422" t="n">
        <v>486.265</v>
      </c>
      <c r="F3422" t="n">
        <v>1170.828</v>
      </c>
      <c r="G3422" t="n">
        <v>1940881</v>
      </c>
      <c r="H3422" t="inlineStr">
        <is>
          <t>TUB-R-AW-RHS-50.00X30.00X2.000X0.7300</t>
        </is>
      </c>
    </row>
    <row r="3423">
      <c r="A3423" t="inlineStr">
        <is>
          <t>0000188415</t>
        </is>
      </c>
      <c r="B3423" t="inlineStr">
        <is>
          <t>Rajsriya Automotive Industries(P)</t>
        </is>
      </c>
      <c r="C3423" t="inlineStr">
        <is>
          <t>NOS</t>
        </is>
      </c>
      <c r="D3423" t="n">
        <v>3176</v>
      </c>
      <c r="E3423" t="n">
        <v>730.4880000000001</v>
      </c>
      <c r="F3423" t="n">
        <v>2195.992</v>
      </c>
      <c r="G3423" t="n">
        <v>4010435</v>
      </c>
      <c r="H3423" t="inlineStr">
        <is>
          <t>TUB-O-N-AUT-AW-FC-41.28X3.200X0.2300</t>
        </is>
      </c>
    </row>
    <row r="3424">
      <c r="A3424" t="inlineStr">
        <is>
          <t>0000189226</t>
        </is>
      </c>
      <c r="B3424" t="inlineStr">
        <is>
          <t>Neel Metal Products Limited</t>
        </is>
      </c>
      <c r="C3424" t="inlineStr">
        <is>
          <t>NOS</t>
        </is>
      </c>
      <c r="D3424" t="n">
        <v>1400</v>
      </c>
      <c r="E3424" t="n">
        <v>330.394</v>
      </c>
      <c r="F3424" t="n">
        <v>1893.92</v>
      </c>
      <c r="G3424" t="n">
        <v>3784473</v>
      </c>
      <c r="H3424" t="inlineStr">
        <is>
          <t>CUT-O-N-AUT-BH-FC-63.50X4.000X0.2360</t>
        </is>
      </c>
    </row>
    <row r="3425">
      <c r="A3425" t="inlineStr">
        <is>
          <t>0000819045</t>
        </is>
      </c>
      <c r="B3425" t="inlineStr">
        <is>
          <t>KNITVEL NEEDLES P LTD</t>
        </is>
      </c>
      <c r="C3425" t="inlineStr">
        <is>
          <t>NOS</t>
        </is>
      </c>
      <c r="D3425" t="n">
        <v>500</v>
      </c>
      <c r="E3425" t="n">
        <v>405.771</v>
      </c>
      <c r="F3425" t="n">
        <v>405</v>
      </c>
      <c r="G3425" t="n">
        <v>1940467</v>
      </c>
      <c r="H3425" t="inlineStr">
        <is>
          <t>TUB-O-O-AUT-AW-PE-22.23X2.00X0.812-MAHS</t>
        </is>
      </c>
    </row>
    <row r="3426">
      <c r="A3426" t="inlineStr">
        <is>
          <t>0000819045</t>
        </is>
      </c>
      <c r="B3426" t="inlineStr">
        <is>
          <t>KNITVEL NEEDLES P LTD</t>
        </is>
      </c>
      <c r="C3426" t="inlineStr">
        <is>
          <t>NOS</t>
        </is>
      </c>
      <c r="D3426" t="n">
        <v>1000</v>
      </c>
      <c r="E3426" t="n">
        <v>1290.011</v>
      </c>
      <c r="F3426" t="n">
        <v>1012.2</v>
      </c>
      <c r="G3426" t="n">
        <v>3533248</v>
      </c>
      <c r="H3426" t="inlineStr">
        <is>
          <t>CUT-O-N-AUT-AW-PE-22.20X1.600X1.2900</t>
        </is>
      </c>
    </row>
    <row r="3427">
      <c r="A3427" t="inlineStr">
        <is>
          <t>0000943210</t>
        </is>
      </c>
      <c r="B3427" t="inlineStr">
        <is>
          <t>MEGH STEELS PRIVATE LIMITED - HMSIL</t>
        </is>
      </c>
      <c r="C3427" t="inlineStr">
        <is>
          <t>KG</t>
        </is>
      </c>
      <c r="D3427" t="n">
        <v>116</v>
      </c>
      <c r="E3427" t="n">
        <v>702.152</v>
      </c>
      <c r="F3427" t="n">
        <v>1426</v>
      </c>
      <c r="G3427" t="n">
        <v>1931046</v>
      </c>
      <c r="H3427" t="inlineStr">
        <is>
          <t>TUB-O-N-AUT-AW-FC-28.58X3.250X6.0600</t>
        </is>
      </c>
    </row>
    <row r="3428">
      <c r="A3428" t="inlineStr">
        <is>
          <t>0000943210</t>
        </is>
      </c>
      <c r="B3428" t="inlineStr">
        <is>
          <t>MEGH STEELS PRIVATE LIMITED - HMSIL</t>
        </is>
      </c>
      <c r="C3428" t="inlineStr">
        <is>
          <t>KG</t>
        </is>
      </c>
      <c r="D3428" t="n">
        <v>223</v>
      </c>
      <c r="E3428" t="n">
        <v>1350.14</v>
      </c>
      <c r="F3428" t="n">
        <v>2742</v>
      </c>
      <c r="G3428" t="n">
        <v>1931046</v>
      </c>
      <c r="H3428" t="inlineStr">
        <is>
          <t>TUB-O-N-AUT-AW-FC-28.58X3.250X6.0600</t>
        </is>
      </c>
    </row>
    <row r="3429">
      <c r="A3429" t="inlineStr">
        <is>
          <t>0000943210</t>
        </is>
      </c>
      <c r="B3429" t="inlineStr">
        <is>
          <t>MEGH STEELS PRIVATE LIMITED - HMSIL</t>
        </is>
      </c>
      <c r="C3429" t="inlineStr">
        <is>
          <t>KG</t>
        </is>
      </c>
      <c r="D3429" t="n">
        <v>230</v>
      </c>
      <c r="E3429" t="n">
        <v>1392.486</v>
      </c>
      <c r="F3429" t="n">
        <v>2828</v>
      </c>
      <c r="G3429" t="n">
        <v>1931046</v>
      </c>
      <c r="H3429" t="inlineStr">
        <is>
          <t>TUB-O-N-AUT-AW-FC-28.58X3.250X6.0600</t>
        </is>
      </c>
    </row>
    <row r="3430">
      <c r="A3430" t="inlineStr">
        <is>
          <t>0000941159</t>
        </is>
      </c>
      <c r="B3430" t="inlineStr">
        <is>
          <t>SHREE SIVAM ENTERPRISES</t>
        </is>
      </c>
      <c r="C3430" t="inlineStr">
        <is>
          <t>KG</t>
        </is>
      </c>
      <c r="D3430" t="n">
        <v>89</v>
      </c>
      <c r="E3430" t="n">
        <v>553.831</v>
      </c>
      <c r="F3430" t="n">
        <v>1160</v>
      </c>
      <c r="G3430" t="n">
        <v>3569652</v>
      </c>
      <c r="H3430" t="inlineStr">
        <is>
          <t>TUB-R-AW-RHS-40.00X30.00X2.000X6.2400</t>
        </is>
      </c>
    </row>
    <row r="3431">
      <c r="A3431" t="inlineStr">
        <is>
          <t>0000941159</t>
        </is>
      </c>
      <c r="B3431" t="inlineStr">
        <is>
          <t>SHREE SIVAM ENTERPRISES</t>
        </is>
      </c>
      <c r="C3431" t="inlineStr">
        <is>
          <t>KG</t>
        </is>
      </c>
      <c r="D3431" t="n">
        <v>172</v>
      </c>
      <c r="E3431" t="n">
        <v>1074.242</v>
      </c>
      <c r="F3431" t="n">
        <v>2250</v>
      </c>
      <c r="G3431" t="n">
        <v>3569652</v>
      </c>
      <c r="H3431" t="inlineStr">
        <is>
          <t>TUB-R-AW-RHS-40.00X30.00X2.000X6.2400</t>
        </is>
      </c>
    </row>
    <row r="3432">
      <c r="A3432" t="inlineStr">
        <is>
          <t>0000941159</t>
        </is>
      </c>
      <c r="B3432" t="inlineStr">
        <is>
          <t>SHREE SIVAM ENTERPRISES</t>
        </is>
      </c>
      <c r="C3432" t="inlineStr">
        <is>
          <t>KG</t>
        </is>
      </c>
      <c r="D3432" t="n">
        <v>164</v>
      </c>
      <c r="E3432" t="n">
        <v>1026.975</v>
      </c>
      <c r="F3432" t="n">
        <v>2151</v>
      </c>
      <c r="G3432" t="n">
        <v>3569652</v>
      </c>
      <c r="H3432" t="inlineStr">
        <is>
          <t>TUB-R-AW-RHS-40.00X30.00X2.000X6.2400</t>
        </is>
      </c>
    </row>
    <row r="3433">
      <c r="A3433" t="inlineStr">
        <is>
          <t>0000941159</t>
        </is>
      </c>
      <c r="B3433" t="inlineStr">
        <is>
          <t>SHREE SIVAM ENTERPRISES</t>
        </is>
      </c>
      <c r="C3433" t="inlineStr">
        <is>
          <t>KG</t>
        </is>
      </c>
      <c r="D3433" t="n">
        <v>116</v>
      </c>
      <c r="E3433" t="n">
        <v>725.2329999999999</v>
      </c>
      <c r="F3433" t="n">
        <v>1519</v>
      </c>
      <c r="G3433" t="n">
        <v>3569652</v>
      </c>
      <c r="H3433" t="inlineStr">
        <is>
          <t>TUB-R-AW-RHS-40.00X30.00X2.000X6.2400</t>
        </is>
      </c>
    </row>
    <row r="3434">
      <c r="A3434" t="inlineStr">
        <is>
          <t>0000188415</t>
        </is>
      </c>
      <c r="B3434" t="inlineStr">
        <is>
          <t>Rajsriya Automotive Industries(P)</t>
        </is>
      </c>
      <c r="C3434" t="inlineStr">
        <is>
          <t>NOS</t>
        </is>
      </c>
      <c r="D3434" t="n">
        <v>1038</v>
      </c>
      <c r="E3434" t="n">
        <v>424.53</v>
      </c>
      <c r="F3434" t="n">
        <v>1126.957</v>
      </c>
      <c r="G3434" t="n">
        <v>4020857</v>
      </c>
      <c r="H3434" t="inlineStr">
        <is>
          <t>TUB-O-N-AUT-AW-FC-57.15X2.000X0.4090</t>
        </is>
      </c>
    </row>
    <row r="3435">
      <c r="A3435" t="inlineStr">
        <is>
          <t>0000189226</t>
        </is>
      </c>
      <c r="B3435" t="inlineStr">
        <is>
          <t>Neel Metal Products Limited</t>
        </is>
      </c>
      <c r="C3435" t="inlineStr">
        <is>
          <t>NOS</t>
        </is>
      </c>
      <c r="D3435" t="n">
        <v>500</v>
      </c>
      <c r="E3435" t="n">
        <v>117.998</v>
      </c>
      <c r="F3435" t="n">
        <v>676.4</v>
      </c>
      <c r="G3435" t="n">
        <v>3784473</v>
      </c>
      <c r="H3435" t="inlineStr">
        <is>
          <t>CUT-O-N-AUT-BH-FC-63.50X4.000X0.2360</t>
        </is>
      </c>
    </row>
    <row r="3436">
      <c r="A3436" t="inlineStr">
        <is>
          <t>0000189227</t>
        </is>
      </c>
      <c r="B3436" t="inlineStr">
        <is>
          <t>Neel Metal Products Limited</t>
        </is>
      </c>
      <c r="C3436" t="inlineStr">
        <is>
          <t>NOS</t>
        </is>
      </c>
      <c r="D3436" t="n">
        <v>931</v>
      </c>
      <c r="E3436" t="n">
        <v>753.179</v>
      </c>
      <c r="F3436" t="n">
        <v>733.462</v>
      </c>
      <c r="G3436" t="n">
        <v>1940466</v>
      </c>
      <c r="H3436" t="inlineStr">
        <is>
          <t>TUB-O-O-AUT-AW-PE-22.23X2.000X0.8090</t>
        </is>
      </c>
    </row>
    <row r="3437">
      <c r="A3437" t="inlineStr">
        <is>
          <t>0000189227</t>
        </is>
      </c>
      <c r="B3437" t="inlineStr">
        <is>
          <t>Neel Metal Products Limited</t>
        </is>
      </c>
      <c r="C3437" t="inlineStr">
        <is>
          <t>NOS</t>
        </is>
      </c>
      <c r="D3437" t="n">
        <v>2500</v>
      </c>
      <c r="E3437" t="n">
        <v>985.008</v>
      </c>
      <c r="F3437" t="n">
        <v>959.222</v>
      </c>
      <c r="G3437" t="n">
        <v>1940437</v>
      </c>
      <c r="H3437" t="inlineStr">
        <is>
          <t>TUB-O-O-AUT-AW-PE-22.23X2.000X0.3940</t>
        </is>
      </c>
    </row>
    <row r="3438">
      <c r="A3438" t="inlineStr">
        <is>
          <t>0000941496</t>
        </is>
      </c>
      <c r="B3438" t="inlineStr">
        <is>
          <t>SANDHAR ENGINEERING PVT LTD.(KA) -U</t>
        </is>
      </c>
      <c r="C3438" t="inlineStr">
        <is>
          <t>NOS</t>
        </is>
      </c>
      <c r="D3438" t="n">
        <v>1220</v>
      </c>
      <c r="E3438" t="n">
        <v>990.4109999999999</v>
      </c>
      <c r="F3438" t="n">
        <v>1764.12</v>
      </c>
      <c r="G3438" t="n">
        <v>1940743</v>
      </c>
      <c r="H3438" t="inlineStr">
        <is>
          <t>TUB-O-O-AUT-AW-FC-38.10X2.000X0.8120</t>
        </is>
      </c>
    </row>
    <row r="3439">
      <c r="A3439" t="inlineStr">
        <is>
          <t>0000941496</t>
        </is>
      </c>
      <c r="B3439" t="inlineStr">
        <is>
          <t>SANDHAR ENGINEERING PVT LTD.(KA) -U</t>
        </is>
      </c>
      <c r="C3439" t="inlineStr">
        <is>
          <t>NOS</t>
        </is>
      </c>
      <c r="D3439" t="n">
        <v>244</v>
      </c>
      <c r="E3439" t="n">
        <v>105.408</v>
      </c>
      <c r="F3439" t="n">
        <v>178.792</v>
      </c>
      <c r="G3439" t="n">
        <v>1903849</v>
      </c>
      <c r="H3439" t="inlineStr">
        <is>
          <t>TUB-O-N-AUT-AW-FC-38.10X2.000X0.4320</t>
        </is>
      </c>
    </row>
    <row r="3440">
      <c r="A3440" t="inlineStr">
        <is>
          <t>0000941496</t>
        </is>
      </c>
      <c r="B3440" t="inlineStr">
        <is>
          <t>SANDHAR ENGINEERING PVT LTD.(KA) -U</t>
        </is>
      </c>
      <c r="C3440" t="inlineStr">
        <is>
          <t>NOS</t>
        </is>
      </c>
      <c r="D3440" t="n">
        <v>4500</v>
      </c>
      <c r="E3440" t="n">
        <v>936.006</v>
      </c>
      <c r="F3440" t="n">
        <v>3168.1</v>
      </c>
      <c r="G3440" t="n">
        <v>3722021</v>
      </c>
      <c r="H3440" t="inlineStr">
        <is>
          <t>TUB-O-N-AUT-AN--42.70X3.500X0.2080</t>
        </is>
      </c>
    </row>
    <row r="3441">
      <c r="A3441" t="inlineStr">
        <is>
          <t>0000941496</t>
        </is>
      </c>
      <c r="B3441" t="inlineStr">
        <is>
          <t>SANDHAR ENGINEERING PVT LTD.(KA) -U</t>
        </is>
      </c>
      <c r="C3441" t="inlineStr">
        <is>
          <t>NOS</t>
        </is>
      </c>
      <c r="D3441" t="n">
        <v>546</v>
      </c>
      <c r="E3441" t="n">
        <v>113.569</v>
      </c>
      <c r="F3441" t="n">
        <v>384.396</v>
      </c>
      <c r="G3441" t="n">
        <v>3722021</v>
      </c>
      <c r="H3441" t="inlineStr">
        <is>
          <t>TUB-O-N-AUT-AN--42.70X3.500X0.2080</t>
        </is>
      </c>
    </row>
    <row r="3442">
      <c r="A3442" t="inlineStr">
        <is>
          <t>0000941496</t>
        </is>
      </c>
      <c r="B3442" t="inlineStr">
        <is>
          <t>SANDHAR ENGINEERING PVT LTD.(KA) -U</t>
        </is>
      </c>
      <c r="C3442" t="inlineStr">
        <is>
          <t>NOS</t>
        </is>
      </c>
      <c r="D3442" t="n">
        <v>2000</v>
      </c>
      <c r="E3442" t="n">
        <v>1609.99</v>
      </c>
      <c r="F3442" t="n">
        <v>1603.711</v>
      </c>
      <c r="G3442" t="n">
        <v>3694069</v>
      </c>
      <c r="H3442" t="inlineStr">
        <is>
          <t>CUT-O-N-AUT-AW-PE-22.20X2.000X0.8050</t>
        </is>
      </c>
    </row>
    <row r="3443">
      <c r="A3443" t="inlineStr">
        <is>
          <t>0000941496</t>
        </is>
      </c>
      <c r="B3443" t="inlineStr">
        <is>
          <t>SANDHAR ENGINEERING PVT LTD.(KA) -U</t>
        </is>
      </c>
      <c r="C3443" t="inlineStr">
        <is>
          <t>NOS</t>
        </is>
      </c>
      <c r="D3443" t="n">
        <v>153</v>
      </c>
      <c r="E3443" t="n">
        <v>123.164</v>
      </c>
      <c r="F3443" t="n">
        <v>122.684</v>
      </c>
      <c r="G3443" t="n">
        <v>3694069</v>
      </c>
      <c r="H3443" t="inlineStr">
        <is>
          <t>CUT-O-N-AUT-AW-PE-22.20X2.000X0.8050</t>
        </is>
      </c>
    </row>
    <row r="3444">
      <c r="A3444" t="inlineStr">
        <is>
          <t>0000184192</t>
        </is>
      </c>
      <c r="B3444" t="inlineStr">
        <is>
          <t>JBM AUTO LIMITED</t>
        </is>
      </c>
      <c r="C3444" t="inlineStr">
        <is>
          <t>NOS</t>
        </is>
      </c>
      <c r="D3444" t="n">
        <v>1920</v>
      </c>
      <c r="E3444" t="n">
        <v>612.479</v>
      </c>
      <c r="F3444" t="n">
        <v>1686.891</v>
      </c>
      <c r="G3444" t="n">
        <v>4157557</v>
      </c>
      <c r="H3444" t="inlineStr">
        <is>
          <t>PT4-O-N-AUT-AW-FC-38.10X3.200X0.3190</t>
        </is>
      </c>
    </row>
    <row r="3445">
      <c r="A3445" t="inlineStr">
        <is>
          <t>0000940921</t>
        </is>
      </c>
      <c r="B3445" t="inlineStr">
        <is>
          <t>ELKAYEM AUTO ANCILLARIES PVT LTD -U</t>
        </is>
      </c>
      <c r="C3445" t="inlineStr">
        <is>
          <t>NOS</t>
        </is>
      </c>
      <c r="D3445" t="n">
        <v>289</v>
      </c>
      <c r="E3445" t="n">
        <v>206.054</v>
      </c>
      <c r="F3445" t="n">
        <v>546.99</v>
      </c>
      <c r="G3445" t="n">
        <v>3783938</v>
      </c>
      <c r="H3445" t="inlineStr">
        <is>
          <t>CUT-O-N-AUT-NR-AG-57.15X2.000X0.7130</t>
        </is>
      </c>
    </row>
    <row r="3446">
      <c r="A3446" t="inlineStr">
        <is>
          <t>0000940921</t>
        </is>
      </c>
      <c r="B3446" t="inlineStr">
        <is>
          <t>ELKAYEM AUTO ANCILLARIES PVT LTD -U</t>
        </is>
      </c>
      <c r="C3446" t="inlineStr">
        <is>
          <t>NOS</t>
        </is>
      </c>
      <c r="D3446" t="n">
        <v>49.376</v>
      </c>
      <c r="E3446" t="n">
        <v>9.529999999999999</v>
      </c>
      <c r="F3446" t="n">
        <v>16.876</v>
      </c>
      <c r="G3446" t="n">
        <v>3509016</v>
      </c>
      <c r="H3446" t="inlineStr">
        <is>
          <t>CUT-O-N-AUT-AW-PE-31.75X2.500X0.1930</t>
        </is>
      </c>
    </row>
    <row r="3447">
      <c r="A3447" t="inlineStr">
        <is>
          <t>0000940921</t>
        </is>
      </c>
      <c r="B3447" t="inlineStr">
        <is>
          <t>ELKAYEM AUTO ANCILLARIES PVT LTD -U</t>
        </is>
      </c>
      <c r="C3447" t="inlineStr">
        <is>
          <t>NOS</t>
        </is>
      </c>
      <c r="D3447" t="n">
        <v>900.624</v>
      </c>
      <c r="E3447" t="n">
        <v>173.823</v>
      </c>
      <c r="F3447" t="n">
        <v>307.823</v>
      </c>
      <c r="G3447" t="n">
        <v>3509016</v>
      </c>
      <c r="H3447" t="inlineStr">
        <is>
          <t>CUT-O-N-AUT-AW-PE-31.75X2.500X0.1930</t>
        </is>
      </c>
    </row>
    <row r="3448">
      <c r="A3448" t="inlineStr">
        <is>
          <t>0000944141</t>
        </is>
      </c>
      <c r="B3448" t="inlineStr">
        <is>
          <t>SRIKAM HITECH ENGINEERING PRIVATE L</t>
        </is>
      </c>
      <c r="C3448" t="inlineStr">
        <is>
          <t>NOS</t>
        </is>
      </c>
      <c r="D3448" t="n">
        <v>1148.048</v>
      </c>
      <c r="E3448" t="n">
        <v>675.4829999999999</v>
      </c>
      <c r="F3448" t="n">
        <v>853</v>
      </c>
      <c r="G3448" t="n">
        <v>1938191</v>
      </c>
      <c r="H3448" t="inlineStr">
        <is>
          <t>TUB-I-C-AUT-AD-FC-12.50X3.250X0.5880</t>
        </is>
      </c>
    </row>
    <row r="3449">
      <c r="A3449" t="inlineStr">
        <is>
          <t>0000944141</t>
        </is>
      </c>
      <c r="B3449" t="inlineStr">
        <is>
          <t>SRIKAM HITECH ENGINEERING PRIVATE L</t>
        </is>
      </c>
      <c r="C3449" t="inlineStr">
        <is>
          <t>NOS</t>
        </is>
      </c>
      <c r="D3449" t="n">
        <v>5212.651</v>
      </c>
      <c r="E3449" t="n">
        <v>3066.994</v>
      </c>
      <c r="F3449" t="n">
        <v>3873</v>
      </c>
      <c r="G3449" t="n">
        <v>1938191</v>
      </c>
      <c r="H3449" t="inlineStr">
        <is>
          <t>TUB-I-C-AUT-AD-FC-12.50X3.250X0.5880</t>
        </is>
      </c>
    </row>
    <row r="3450">
      <c r="A3450" t="inlineStr">
        <is>
          <t>0000944141</t>
        </is>
      </c>
      <c r="B3450" t="inlineStr">
        <is>
          <t>SRIKAM HITECH ENGINEERING PRIVATE L</t>
        </is>
      </c>
      <c r="C3450" t="inlineStr">
        <is>
          <t>NOS</t>
        </is>
      </c>
      <c r="D3450" t="n">
        <v>2639.301</v>
      </c>
      <c r="E3450" t="n">
        <v>1552.899</v>
      </c>
      <c r="F3450" t="n">
        <v>1961.001</v>
      </c>
      <c r="G3450" t="n">
        <v>1938191</v>
      </c>
      <c r="H3450" t="inlineStr">
        <is>
          <t>TUB-I-C-AUT-AD-FC-12.50X3.250X0.5880</t>
        </is>
      </c>
    </row>
    <row r="3451">
      <c r="A3451" t="inlineStr">
        <is>
          <t>0000944141</t>
        </is>
      </c>
      <c r="B3451" t="inlineStr">
        <is>
          <t>SRIKAM HITECH ENGINEERING PRIVATE L</t>
        </is>
      </c>
      <c r="C3451" t="inlineStr">
        <is>
          <t>NOS</t>
        </is>
      </c>
      <c r="D3451" t="n">
        <v>3000</v>
      </c>
      <c r="E3451" t="n">
        <v>1829.979</v>
      </c>
      <c r="F3451" t="n">
        <v>1672.967</v>
      </c>
      <c r="G3451" t="n">
        <v>3508521</v>
      </c>
      <c r="H3451" t="inlineStr">
        <is>
          <t>CUT-O-N-AUT-AW-PE-19.05X2.300X0.6100</t>
        </is>
      </c>
    </row>
    <row r="3452">
      <c r="A3452" t="inlineStr">
        <is>
          <t>0000944141</t>
        </is>
      </c>
      <c r="B3452" t="inlineStr">
        <is>
          <t>SRIKAM HITECH ENGINEERING PRIVATE L</t>
        </is>
      </c>
      <c r="C3452" t="inlineStr">
        <is>
          <t>NOS</t>
        </is>
      </c>
      <c r="D3452" t="n">
        <v>450</v>
      </c>
      <c r="E3452" t="n">
        <v>274.497</v>
      </c>
      <c r="F3452" t="n">
        <v>250.945</v>
      </c>
      <c r="G3452" t="n">
        <v>3508521</v>
      </c>
      <c r="H3452" t="inlineStr">
        <is>
          <t>CUT-O-N-AUT-AW-PE-19.05X2.300X0.6100</t>
        </is>
      </c>
    </row>
    <row r="3453">
      <c r="A3453" t="inlineStr">
        <is>
          <t>0000945539</t>
        </is>
      </c>
      <c r="B3453" t="inlineStr">
        <is>
          <t>Sandhar EngineeringPvt.Ltd.(KA)-Uni</t>
        </is>
      </c>
      <c r="C3453" t="inlineStr">
        <is>
          <t>NOS</t>
        </is>
      </c>
      <c r="D3453" t="n">
        <v>1321.388</v>
      </c>
      <c r="E3453" t="n">
        <v>741.557</v>
      </c>
      <c r="F3453" t="n">
        <v>1161.5</v>
      </c>
      <c r="G3453" t="n">
        <v>3801265</v>
      </c>
      <c r="H3453" t="inlineStr">
        <is>
          <t>CUT-AW-AUT-40.00X25.00X1.600X0.5610</t>
        </is>
      </c>
    </row>
    <row r="3454">
      <c r="A3454" t="inlineStr">
        <is>
          <t>0000945539</t>
        </is>
      </c>
      <c r="B3454" t="inlineStr">
        <is>
          <t>Sandhar EngineeringPvt.Ltd.(KA)-Uni</t>
        </is>
      </c>
      <c r="C3454" t="inlineStr">
        <is>
          <t>NOS</t>
        </is>
      </c>
      <c r="D3454" t="n">
        <v>58.612</v>
      </c>
      <c r="E3454" t="n">
        <v>32.893</v>
      </c>
      <c r="F3454" t="n">
        <v>51.52</v>
      </c>
      <c r="G3454" t="n">
        <v>3801265</v>
      </c>
      <c r="H3454" t="inlineStr">
        <is>
          <t>CUT-AW-AUT-40.00X25.00X1.600X0.5610</t>
        </is>
      </c>
    </row>
    <row r="3455">
      <c r="A3455" t="inlineStr">
        <is>
          <t>0000945539</t>
        </is>
      </c>
      <c r="B3455" t="inlineStr">
        <is>
          <t>Sandhar EngineeringPvt.Ltd.(KA)-Uni</t>
        </is>
      </c>
      <c r="C3455" t="inlineStr">
        <is>
          <t>NOS</t>
        </is>
      </c>
      <c r="D3455" t="n">
        <v>1725</v>
      </c>
      <c r="E3455" t="n">
        <v>370.872</v>
      </c>
      <c r="F3455" t="n">
        <v>1415.842</v>
      </c>
      <c r="G3455" t="n">
        <v>3901714</v>
      </c>
      <c r="H3455" t="inlineStr">
        <is>
          <t>CUT-N-AUT-AN-FC-42.70X4.000X0.2150</t>
        </is>
      </c>
    </row>
    <row r="3456">
      <c r="A3456" t="inlineStr">
        <is>
          <t>0000945539</t>
        </is>
      </c>
      <c r="B3456" t="inlineStr">
        <is>
          <t>Sandhar EngineeringPvt.Ltd.(KA)-Uni</t>
        </is>
      </c>
      <c r="C3456" t="inlineStr">
        <is>
          <t>NOS</t>
        </is>
      </c>
      <c r="D3456" t="n">
        <v>2610</v>
      </c>
      <c r="E3456" t="n">
        <v>2253.877</v>
      </c>
      <c r="F3456" t="n">
        <v>2249.82</v>
      </c>
      <c r="G3456" t="n">
        <v>3910649</v>
      </c>
      <c r="H3456" t="inlineStr">
        <is>
          <t>CUT-O-N-AUT-AW-FC-22.23X2.000X0.8630</t>
        </is>
      </c>
    </row>
    <row r="3457">
      <c r="A3457" t="inlineStr">
        <is>
          <t>0000945539</t>
        </is>
      </c>
      <c r="B3457" t="inlineStr">
        <is>
          <t>Sandhar EngineeringPvt.Ltd.(KA)-Uni</t>
        </is>
      </c>
      <c r="C3457" t="inlineStr">
        <is>
          <t>NOS</t>
        </is>
      </c>
      <c r="D3457" t="n">
        <v>2497</v>
      </c>
      <c r="E3457" t="n">
        <v>2136.283</v>
      </c>
      <c r="F3457" t="n">
        <v>2132.438</v>
      </c>
      <c r="G3457" t="n">
        <v>3910650</v>
      </c>
      <c r="H3457" t="inlineStr">
        <is>
          <t>CUT-O-N-AUT-AS-FC-22.23X2.000X0.8550</t>
        </is>
      </c>
    </row>
    <row r="3458">
      <c r="A3458" t="inlineStr">
        <is>
          <t>0000945539</t>
        </is>
      </c>
      <c r="B3458" t="inlineStr">
        <is>
          <t>Sandhar EngineeringPvt.Ltd.(KA)-Uni</t>
        </is>
      </c>
      <c r="C3458" t="inlineStr">
        <is>
          <t>NOS</t>
        </is>
      </c>
      <c r="D3458" t="n">
        <v>2000</v>
      </c>
      <c r="E3458" t="n">
        <v>1699.944</v>
      </c>
      <c r="F3458" t="n">
        <v>4216.2</v>
      </c>
      <c r="G3458" t="n">
        <v>3910648</v>
      </c>
      <c r="H3458" t="inlineStr">
        <is>
          <t>CUT-O-N-AUT-AW-FC-41.28X2.600X0.8500</t>
        </is>
      </c>
    </row>
    <row r="3459">
      <c r="A3459" t="inlineStr">
        <is>
          <t>0000129663</t>
        </is>
      </c>
      <c r="B3459" t="inlineStr">
        <is>
          <t>ELKAYEM AUTO ANCILLARIES (PVT) LTD.</t>
        </is>
      </c>
      <c r="C3459" t="inlineStr">
        <is>
          <t>NOS</t>
        </is>
      </c>
      <c r="D3459" t="n">
        <v>1000</v>
      </c>
      <c r="E3459" t="n">
        <v>302.997</v>
      </c>
      <c r="F3459" t="n">
        <v>277</v>
      </c>
      <c r="G3459" t="n">
        <v>3781671</v>
      </c>
      <c r="H3459" t="inlineStr">
        <is>
          <t>CUT-O-N-AUT-AW-PE-19.05X2.300X0.3030</t>
        </is>
      </c>
    </row>
    <row r="3460">
      <c r="A3460" t="inlineStr">
        <is>
          <t>0000129663</t>
        </is>
      </c>
      <c r="B3460" t="inlineStr">
        <is>
          <t>ELKAYEM AUTO ANCILLARIES (PVT) LTD.</t>
        </is>
      </c>
      <c r="C3460" t="inlineStr">
        <is>
          <t>NOS</t>
        </is>
      </c>
      <c r="D3460" t="n">
        <v>1000</v>
      </c>
      <c r="E3460" t="n">
        <v>254.994</v>
      </c>
      <c r="F3460" t="n">
        <v>242.267</v>
      </c>
      <c r="G3460" t="n">
        <v>3508993</v>
      </c>
      <c r="H3460" t="inlineStr">
        <is>
          <t>CUT-O-N-AUT-AW-PE-19.05X2.300X0.2550</t>
        </is>
      </c>
    </row>
    <row r="3461">
      <c r="A3461" t="inlineStr">
        <is>
          <t>0000129663</t>
        </is>
      </c>
      <c r="B3461" t="inlineStr">
        <is>
          <t>ELKAYEM AUTO ANCILLARIES (PVT) LTD.</t>
        </is>
      </c>
      <c r="C3461" t="inlineStr">
        <is>
          <t>NOS</t>
        </is>
      </c>
      <c r="D3461" t="n">
        <v>1000</v>
      </c>
      <c r="E3461" t="n">
        <v>285.004</v>
      </c>
      <c r="F3461" t="n">
        <v>265.767</v>
      </c>
      <c r="G3461" t="n">
        <v>2427711</v>
      </c>
      <c r="H3461" t="inlineStr">
        <is>
          <t>TUB-O-N-AUT-AW-PE-19.05X2.300X0.2850</t>
        </is>
      </c>
    </row>
    <row r="3462">
      <c r="A3462" t="inlineStr">
        <is>
          <t>0000944141</t>
        </is>
      </c>
      <c r="B3462" t="inlineStr">
        <is>
          <t>SRIKAM HITECH ENGINEERING PRIVATE L</t>
        </is>
      </c>
      <c r="C3462" t="inlineStr">
        <is>
          <t>NOS</t>
        </is>
      </c>
      <c r="D3462" t="n">
        <v>1600</v>
      </c>
      <c r="E3462" t="n">
        <v>941.4</v>
      </c>
      <c r="F3462" t="n">
        <v>1188.8</v>
      </c>
      <c r="G3462" t="n">
        <v>1938191</v>
      </c>
      <c r="H3462" t="inlineStr">
        <is>
          <t>TUB-I-C-AUT-AD-FC-12.50X3.250X0.5880</t>
        </is>
      </c>
    </row>
    <row r="3463">
      <c r="A3463" t="inlineStr">
        <is>
          <t>0000189226</t>
        </is>
      </c>
      <c r="B3463" t="inlineStr">
        <is>
          <t>Neel Metal Products Limited</t>
        </is>
      </c>
      <c r="C3463" t="inlineStr">
        <is>
          <t>NOS</t>
        </is>
      </c>
      <c r="D3463" t="n">
        <v>480</v>
      </c>
      <c r="E3463" t="n">
        <v>113.278</v>
      </c>
      <c r="F3463" t="n">
        <v>649.3440000000001</v>
      </c>
      <c r="G3463" t="n">
        <v>3784473</v>
      </c>
      <c r="H3463" t="inlineStr">
        <is>
          <t>CUT-O-N-AUT-BH-FC-63.50X4.000X0.2360</t>
        </is>
      </c>
    </row>
    <row r="3464">
      <c r="A3464" t="inlineStr">
        <is>
          <t>0000189226</t>
        </is>
      </c>
      <c r="B3464" t="inlineStr">
        <is>
          <t>Neel Metal Products Limited</t>
        </is>
      </c>
      <c r="C3464" t="inlineStr">
        <is>
          <t>NOS</t>
        </is>
      </c>
      <c r="D3464" t="n">
        <v>2441.508</v>
      </c>
      <c r="E3464" t="n">
        <v>1782.611</v>
      </c>
      <c r="F3464" t="n">
        <v>4292.171</v>
      </c>
      <c r="G3464" t="n">
        <v>1940881</v>
      </c>
      <c r="H3464" t="inlineStr">
        <is>
          <t>TUB-R-AW-RHS-50.00X30.00X2.000X0.7300</t>
        </is>
      </c>
    </row>
    <row r="3465">
      <c r="A3465" t="inlineStr">
        <is>
          <t>0000189226</t>
        </is>
      </c>
      <c r="B3465" t="inlineStr">
        <is>
          <t>Neel Metal Products Limited</t>
        </is>
      </c>
      <c r="C3465" t="inlineStr">
        <is>
          <t>NOS</t>
        </is>
      </c>
      <c r="D3465" t="n">
        <v>9.444000000000001</v>
      </c>
      <c r="E3465" t="n">
        <v>6.895</v>
      </c>
      <c r="F3465" t="n">
        <v>16.603</v>
      </c>
      <c r="G3465" t="n">
        <v>1940881</v>
      </c>
      <c r="H3465" t="inlineStr">
        <is>
          <t>TUB-R-AW-RHS-50.00X30.00X2.000X0.7300</t>
        </is>
      </c>
    </row>
    <row r="3466">
      <c r="A3466" t="inlineStr">
        <is>
          <t>0000189226</t>
        </is>
      </c>
      <c r="B3466" t="inlineStr">
        <is>
          <t>Neel Metal Products Limited</t>
        </is>
      </c>
      <c r="C3466" t="inlineStr">
        <is>
          <t>NOS</t>
        </is>
      </c>
      <c r="D3466" t="n">
        <v>239.048</v>
      </c>
      <c r="E3466" t="n">
        <v>174.535</v>
      </c>
      <c r="F3466" t="n">
        <v>420.246</v>
      </c>
      <c r="G3466" t="n">
        <v>1940881</v>
      </c>
      <c r="H3466" t="inlineStr">
        <is>
          <t>TUB-R-AW-RHS-50.00X30.00X2.000X0.7300</t>
        </is>
      </c>
    </row>
    <row r="3467">
      <c r="A3467" t="inlineStr">
        <is>
          <t>0000189227</t>
        </is>
      </c>
      <c r="B3467" t="inlineStr">
        <is>
          <t>Neel Metal Products Limited</t>
        </is>
      </c>
      <c r="C3467" t="inlineStr">
        <is>
          <t>NOS</t>
        </is>
      </c>
      <c r="D3467" t="n">
        <v>97.706</v>
      </c>
      <c r="E3467" t="n">
        <v>133.37</v>
      </c>
      <c r="F3467" t="n">
        <v>397.615</v>
      </c>
      <c r="G3467" t="n">
        <v>3781680</v>
      </c>
      <c r="H3467" t="inlineStr">
        <is>
          <t>CUT-O-N-AUT-AW-FC-57.15X2.300X1.3650</t>
        </is>
      </c>
    </row>
    <row r="3468">
      <c r="A3468" t="inlineStr">
        <is>
          <t>0000189227</t>
        </is>
      </c>
      <c r="B3468" t="inlineStr">
        <is>
          <t>Neel Metal Products Limited</t>
        </is>
      </c>
      <c r="C3468" t="inlineStr">
        <is>
          <t>NOS</t>
        </is>
      </c>
      <c r="D3468" t="n">
        <v>646.624</v>
      </c>
      <c r="E3468" t="n">
        <v>882.647</v>
      </c>
      <c r="F3468" t="n">
        <v>2631.436</v>
      </c>
      <c r="G3468" t="n">
        <v>3781680</v>
      </c>
      <c r="H3468" t="inlineStr">
        <is>
          <t>CUT-O-N-AUT-AW-FC-57.15X2.300X1.3650</t>
        </is>
      </c>
    </row>
    <row r="3469">
      <c r="A3469" t="inlineStr">
        <is>
          <t>0000189227</t>
        </is>
      </c>
      <c r="B3469" t="inlineStr">
        <is>
          <t>Neel Metal Products Limited</t>
        </is>
      </c>
      <c r="C3469" t="inlineStr">
        <is>
          <t>NOS</t>
        </is>
      </c>
      <c r="D3469" t="n">
        <v>1055.67</v>
      </c>
      <c r="E3469" t="n">
        <v>1440.999</v>
      </c>
      <c r="F3469" t="n">
        <v>4296.049</v>
      </c>
      <c r="G3469" t="n">
        <v>3781680</v>
      </c>
      <c r="H3469" t="inlineStr">
        <is>
          <t>CUT-O-N-AUT-AW-FC-57.15X2.300X1.3650</t>
        </is>
      </c>
    </row>
    <row r="3470">
      <c r="A3470" t="inlineStr">
        <is>
          <t>0000189227</t>
        </is>
      </c>
      <c r="B3470" t="inlineStr">
        <is>
          <t>Neel Metal Products Limited</t>
        </is>
      </c>
      <c r="C3470" t="inlineStr">
        <is>
          <t>NOS</t>
        </is>
      </c>
      <c r="D3470" t="n">
        <v>2063</v>
      </c>
      <c r="E3470" t="n">
        <v>422.919</v>
      </c>
      <c r="F3470" t="n">
        <v>1430.988</v>
      </c>
      <c r="G3470" t="n">
        <v>4114991</v>
      </c>
      <c r="H3470" t="inlineStr">
        <is>
          <t>CUT-O-N-AUT-BH-FC-42.70X3.500X0.2050</t>
        </is>
      </c>
    </row>
    <row r="3471">
      <c r="A3471" t="inlineStr">
        <is>
          <t>0000129663</t>
        </is>
      </c>
      <c r="B3471" t="inlineStr">
        <is>
          <t>ELKAYEM AUTO ANCILLARIES (PVT) LTD.</t>
        </is>
      </c>
      <c r="C3471" t="inlineStr">
        <is>
          <t>NOS</t>
        </is>
      </c>
      <c r="D3471" t="n">
        <v>583.4640000000001</v>
      </c>
      <c r="E3471" t="n">
        <v>324.982</v>
      </c>
      <c r="F3471" t="n">
        <v>1397.163</v>
      </c>
      <c r="G3471" t="n">
        <v>4079374</v>
      </c>
      <c r="H3471" t="inlineStr">
        <is>
          <t>CUT-O-N-AUT-AW-FC-48.60X4.000X0.5570</t>
        </is>
      </c>
    </row>
    <row r="3472">
      <c r="A3472" t="inlineStr">
        <is>
          <t>0000129663</t>
        </is>
      </c>
      <c r="B3472" t="inlineStr">
        <is>
          <t>ELKAYEM AUTO ANCILLARIES (PVT) LTD.</t>
        </is>
      </c>
      <c r="C3472" t="inlineStr">
        <is>
          <t>NOS</t>
        </is>
      </c>
      <c r="D3472" t="n">
        <v>686.5359999999999</v>
      </c>
      <c r="E3472" t="n">
        <v>382.392</v>
      </c>
      <c r="F3472" t="n">
        <v>1643.979</v>
      </c>
      <c r="G3472" t="n">
        <v>4079374</v>
      </c>
      <c r="H3472" t="inlineStr">
        <is>
          <t>CUT-O-N-AUT-AW-FC-48.60X4.000X0.5570</t>
        </is>
      </c>
    </row>
    <row r="3473">
      <c r="A3473" t="inlineStr">
        <is>
          <t>0000819045</t>
        </is>
      </c>
      <c r="B3473" t="inlineStr">
        <is>
          <t>KNITVEL NEEDLES P LTD</t>
        </is>
      </c>
      <c r="C3473" t="inlineStr">
        <is>
          <t>NOS</t>
        </is>
      </c>
      <c r="D3473" t="n">
        <v>467.05</v>
      </c>
      <c r="E3473" t="n">
        <v>570.734</v>
      </c>
      <c r="F3473" t="n">
        <v>447.823</v>
      </c>
      <c r="G3473" t="n">
        <v>3533249</v>
      </c>
      <c r="H3473" t="inlineStr">
        <is>
          <t>CUT-O-N-AUT-AW-PE-22.20X1.600X1.2220</t>
        </is>
      </c>
    </row>
    <row r="3474">
      <c r="A3474" t="inlineStr">
        <is>
          <t>0000819045</t>
        </is>
      </c>
      <c r="B3474" t="inlineStr">
        <is>
          <t>KNITVEL NEEDLES P LTD</t>
        </is>
      </c>
      <c r="C3474" t="inlineStr">
        <is>
          <t>NOS</t>
        </is>
      </c>
      <c r="D3474" t="n">
        <v>585.95</v>
      </c>
      <c r="E3474" t="n">
        <v>716.029</v>
      </c>
      <c r="F3474" t="n">
        <v>561.828</v>
      </c>
      <c r="G3474" t="n">
        <v>3533249</v>
      </c>
      <c r="H3474" t="inlineStr">
        <is>
          <t>CUT-O-N-AUT-AW-PE-22.20X1.600X1.2220</t>
        </is>
      </c>
    </row>
    <row r="3475">
      <c r="A3475" t="inlineStr">
        <is>
          <t>0000189226</t>
        </is>
      </c>
      <c r="B3475" t="inlineStr">
        <is>
          <t>Neel Metal Products Limited</t>
        </is>
      </c>
      <c r="C3475" t="inlineStr">
        <is>
          <t>NOS</t>
        </is>
      </c>
      <c r="D3475" t="n">
        <v>1700</v>
      </c>
      <c r="E3475" t="n">
        <v>357</v>
      </c>
      <c r="F3475" t="n">
        <v>1207.944</v>
      </c>
      <c r="G3475" t="n">
        <v>3690546</v>
      </c>
      <c r="H3475" t="inlineStr">
        <is>
          <t>CUT-O-N-AUT-NR-FC-42.70X3.500X0.2100</t>
        </is>
      </c>
    </row>
    <row r="3476">
      <c r="A3476" t="inlineStr">
        <is>
          <t>0000189226</t>
        </is>
      </c>
      <c r="B3476" t="inlineStr">
        <is>
          <t>Neel Metal Products Limited</t>
        </is>
      </c>
      <c r="C3476" t="inlineStr">
        <is>
          <t>NOS</t>
        </is>
      </c>
      <c r="D3476" t="n">
        <v>6590</v>
      </c>
      <c r="E3476" t="n">
        <v>2593.287</v>
      </c>
      <c r="F3476" t="n">
        <v>2464.66</v>
      </c>
      <c r="G3476" t="n">
        <v>1940318</v>
      </c>
      <c r="H3476" t="inlineStr">
        <is>
          <t>TUB-O-O-AUT-AW-PE-19.05X2.300X0.3940</t>
        </is>
      </c>
    </row>
    <row r="3477">
      <c r="A3477" t="inlineStr">
        <is>
          <t>0000188934</t>
        </is>
      </c>
      <c r="B3477" t="inlineStr">
        <is>
          <t>KAY JAY FORGINGS LIMITED</t>
        </is>
      </c>
      <c r="C3477" t="inlineStr">
        <is>
          <t>NOS</t>
        </is>
      </c>
      <c r="D3477" t="n">
        <v>1108</v>
      </c>
      <c r="E3477" t="n">
        <v>416.743</v>
      </c>
      <c r="F3477" t="n">
        <v>1151.212</v>
      </c>
      <c r="G3477" t="n">
        <v>2359912</v>
      </c>
      <c r="H3477" t="inlineStr">
        <is>
          <t>TUB-O-C-CEW-AD-FC-29.40X4.500X0.3760</t>
        </is>
      </c>
    </row>
    <row r="3478">
      <c r="A3478" t="inlineStr">
        <is>
          <t>0000189287</t>
        </is>
      </c>
      <c r="B3478" t="inlineStr">
        <is>
          <t>BALAJI PRESS PRODUCTS INDIA</t>
        </is>
      </c>
      <c r="C3478" t="inlineStr">
        <is>
          <t>NOS</t>
        </is>
      </c>
      <c r="D3478" t="n">
        <v>935.95</v>
      </c>
      <c r="E3478" t="n">
        <v>2424.803</v>
      </c>
      <c r="F3478" t="n">
        <v>2278.102</v>
      </c>
      <c r="G3478" t="n">
        <v>2409618</v>
      </c>
      <c r="H3478" t="inlineStr">
        <is>
          <t>TUB-O-N-AUT-AW-PE-25.40X1.600X2.5900</t>
        </is>
      </c>
    </row>
    <row r="3479">
      <c r="A3479" t="inlineStr">
        <is>
          <t>0000189287</t>
        </is>
      </c>
      <c r="B3479" t="inlineStr">
        <is>
          <t>BALAJI PRESS PRODUCTS INDIA</t>
        </is>
      </c>
      <c r="C3479" t="inlineStr">
        <is>
          <t>NOS</t>
        </is>
      </c>
      <c r="D3479" t="n">
        <v>1064.05</v>
      </c>
      <c r="E3479" t="n">
        <v>2756.677</v>
      </c>
      <c r="F3479" t="n">
        <v>2589.898</v>
      </c>
      <c r="G3479" t="n">
        <v>2409618</v>
      </c>
      <c r="H3479" t="inlineStr">
        <is>
          <t>TUB-O-N-AUT-AW-PE-25.40X1.600X2.5900</t>
        </is>
      </c>
    </row>
    <row r="3480">
      <c r="A3480" t="inlineStr">
        <is>
          <t>0000944141</t>
        </is>
      </c>
      <c r="B3480" t="inlineStr">
        <is>
          <t>SRIKAM HITECH ENGINEERING PRIVATE L</t>
        </is>
      </c>
      <c r="C3480" t="inlineStr">
        <is>
          <t>NOS</t>
        </is>
      </c>
      <c r="D3480" t="n">
        <v>9606</v>
      </c>
      <c r="E3480" t="n">
        <v>2545.633</v>
      </c>
      <c r="F3480" t="n">
        <v>2418.577</v>
      </c>
      <c r="G3480" t="n">
        <v>3507718</v>
      </c>
      <c r="H3480" t="inlineStr">
        <is>
          <t>CUT-O-N-AUT-AW-PE-19.05X2.300X0.2650</t>
        </is>
      </c>
    </row>
    <row r="3481">
      <c r="A3481" t="inlineStr">
        <is>
          <t>0000941496</t>
        </is>
      </c>
      <c r="B3481" t="inlineStr">
        <is>
          <t>SANDHAR ENGINEERING PVT LTD.(KA) -U</t>
        </is>
      </c>
      <c r="C3481" t="inlineStr">
        <is>
          <t>NOS</t>
        </is>
      </c>
      <c r="D3481" t="n">
        <v>2000</v>
      </c>
      <c r="E3481" t="n">
        <v>1623.625</v>
      </c>
      <c r="F3481" t="n">
        <v>2892</v>
      </c>
      <c r="G3481" t="n">
        <v>1940743</v>
      </c>
      <c r="H3481" t="inlineStr">
        <is>
          <t>TUB-O-O-AUT-AW-FC-38.10X2.000X0.8120</t>
        </is>
      </c>
    </row>
    <row r="3482">
      <c r="A3482" t="inlineStr">
        <is>
          <t>0000941496</t>
        </is>
      </c>
      <c r="B3482" t="inlineStr">
        <is>
          <t>SANDHAR ENGINEERING PVT LTD.(KA) -U</t>
        </is>
      </c>
      <c r="C3482" t="inlineStr">
        <is>
          <t>NOS</t>
        </is>
      </c>
      <c r="D3482" t="n">
        <v>497</v>
      </c>
      <c r="E3482" t="n">
        <v>214.703</v>
      </c>
      <c r="F3482" t="n">
        <v>364.18</v>
      </c>
      <c r="G3482" t="n">
        <v>1903849</v>
      </c>
      <c r="H3482" t="inlineStr">
        <is>
          <t>TUB-O-N-AUT-AW-FC-38.10X2.000X0.4320</t>
        </is>
      </c>
    </row>
    <row r="3483">
      <c r="A3483" t="inlineStr">
        <is>
          <t>0000941496</t>
        </is>
      </c>
      <c r="B3483" t="inlineStr">
        <is>
          <t>SANDHAR ENGINEERING PVT LTD.(KA) -U</t>
        </is>
      </c>
      <c r="C3483" t="inlineStr">
        <is>
          <t>NOS</t>
        </is>
      </c>
      <c r="D3483" t="n">
        <v>1343</v>
      </c>
      <c r="E3483" t="n">
        <v>279.346</v>
      </c>
      <c r="F3483" t="n">
        <v>945.502</v>
      </c>
      <c r="G3483" t="n">
        <v>3722021</v>
      </c>
      <c r="H3483" t="inlineStr">
        <is>
          <t>TUB-O-N-AUT-AN--42.70X3.500X0.2080</t>
        </is>
      </c>
    </row>
    <row r="3484">
      <c r="A3484" t="inlineStr">
        <is>
          <t>0000819045</t>
        </is>
      </c>
      <c r="B3484" t="inlineStr">
        <is>
          <t>KNITVEL NEEDLES P LTD</t>
        </is>
      </c>
      <c r="C3484" t="inlineStr">
        <is>
          <t>NOS</t>
        </is>
      </c>
      <c r="D3484" t="n">
        <v>31.288</v>
      </c>
      <c r="E3484" t="n">
        <v>38.234</v>
      </c>
      <c r="F3484" t="n">
        <v>30</v>
      </c>
      <c r="G3484" t="n">
        <v>3533249</v>
      </c>
      <c r="H3484" t="inlineStr">
        <is>
          <t>CUT-O-N-AUT-AW-PE-22.20X1.600X1.2220</t>
        </is>
      </c>
    </row>
    <row r="3485">
      <c r="A3485" t="inlineStr">
        <is>
          <t>0000819045</t>
        </is>
      </c>
      <c r="B3485" t="inlineStr">
        <is>
          <t>KNITVEL NEEDLES P LTD</t>
        </is>
      </c>
      <c r="C3485" t="inlineStr">
        <is>
          <t>NOS</t>
        </is>
      </c>
      <c r="D3485" t="n">
        <v>1928.712</v>
      </c>
      <c r="E3485" t="n">
        <v>2356.881</v>
      </c>
      <c r="F3485" t="n">
        <v>1849.313</v>
      </c>
      <c r="G3485" t="n">
        <v>3533249</v>
      </c>
      <c r="H3485" t="inlineStr">
        <is>
          <t>CUT-O-N-AUT-AW-PE-22.20X1.600X1.2220</t>
        </is>
      </c>
    </row>
    <row r="3486">
      <c r="A3486" t="inlineStr">
        <is>
          <t>0000819045</t>
        </is>
      </c>
      <c r="B3486" t="inlineStr">
        <is>
          <t>KNITVEL NEEDLES P LTD</t>
        </is>
      </c>
      <c r="C3486" t="inlineStr">
        <is>
          <t>NOS</t>
        </is>
      </c>
      <c r="D3486" t="n">
        <v>1620</v>
      </c>
      <c r="E3486" t="n">
        <v>2089.818</v>
      </c>
      <c r="F3486" t="n">
        <v>1639.764</v>
      </c>
      <c r="G3486" t="n">
        <v>3533248</v>
      </c>
      <c r="H3486" t="inlineStr">
        <is>
          <t>CUT-O-N-AUT-AW-PE-22.20X1.600X1.2900</t>
        </is>
      </c>
    </row>
    <row r="3487">
      <c r="A3487" t="inlineStr">
        <is>
          <t>0000189287</t>
        </is>
      </c>
      <c r="B3487" t="inlineStr">
        <is>
          <t>BALAJI PRESS PRODUCTS INDIA</t>
        </is>
      </c>
      <c r="C3487" t="inlineStr">
        <is>
          <t>NOS</t>
        </is>
      </c>
      <c r="D3487" t="n">
        <v>687.2910000000001</v>
      </c>
      <c r="E3487" t="n">
        <v>1780.592</v>
      </c>
      <c r="F3487" t="n">
        <v>1672.866</v>
      </c>
      <c r="G3487" t="n">
        <v>2409618</v>
      </c>
      <c r="H3487" t="inlineStr">
        <is>
          <t>TUB-O-N-AUT-AW-PE-25.40X1.600X2.5900</t>
        </is>
      </c>
    </row>
    <row r="3488">
      <c r="A3488" t="inlineStr">
        <is>
          <t>0000189287</t>
        </is>
      </c>
      <c r="B3488" t="inlineStr">
        <is>
          <t>BALAJI PRESS PRODUCTS INDIA</t>
        </is>
      </c>
      <c r="C3488" t="inlineStr">
        <is>
          <t>NOS</t>
        </is>
      </c>
      <c r="D3488" t="n">
        <v>266.709</v>
      </c>
      <c r="E3488" t="n">
        <v>690.974</v>
      </c>
      <c r="F3488" t="n">
        <v>649.17</v>
      </c>
      <c r="G3488" t="n">
        <v>2409618</v>
      </c>
      <c r="H3488" t="inlineStr">
        <is>
          <t>TUB-O-N-AUT-AW-PE-25.40X1.600X2.5900</t>
        </is>
      </c>
    </row>
    <row r="3489">
      <c r="A3489" t="inlineStr">
        <is>
          <t>0000185014</t>
        </is>
      </c>
      <c r="B3489" t="inlineStr">
        <is>
          <t>YOSHIKA ENGINEERING PVT LTD</t>
        </is>
      </c>
      <c r="C3489" t="inlineStr">
        <is>
          <t>NOS</t>
        </is>
      </c>
      <c r="D3489" t="n">
        <v>2877.962</v>
      </c>
      <c r="E3489" t="n">
        <v>2433.38</v>
      </c>
      <c r="F3489" t="n">
        <v>2429</v>
      </c>
      <c r="G3489" t="n">
        <v>2409619</v>
      </c>
      <c r="H3489" t="inlineStr">
        <is>
          <t>TUB-O-N-AUT-AW-PE-22.23X2.00X0.845-MAHS</t>
        </is>
      </c>
    </row>
    <row r="3490">
      <c r="A3490" t="inlineStr">
        <is>
          <t>0000185014</t>
        </is>
      </c>
      <c r="B3490" t="inlineStr">
        <is>
          <t>YOSHIKA ENGINEERING PVT LTD</t>
        </is>
      </c>
      <c r="C3490" t="inlineStr">
        <is>
          <t>NOS</t>
        </is>
      </c>
      <c r="D3490" t="n">
        <v>1920.652</v>
      </c>
      <c r="E3490" t="n">
        <v>1623.953</v>
      </c>
      <c r="F3490" t="n">
        <v>1621.03</v>
      </c>
      <c r="G3490" t="n">
        <v>2409619</v>
      </c>
      <c r="H3490" t="inlineStr">
        <is>
          <t>TUB-O-N-AUT-AW-PE-22.23X2.00X0.845-MAHS</t>
        </is>
      </c>
    </row>
    <row r="3491">
      <c r="A3491" t="inlineStr">
        <is>
          <t>0000185014</t>
        </is>
      </c>
      <c r="B3491" t="inlineStr">
        <is>
          <t>YOSHIKA ENGINEERING PVT LTD</t>
        </is>
      </c>
      <c r="C3491" t="inlineStr">
        <is>
          <t>NOS</t>
        </is>
      </c>
      <c r="D3491" t="n">
        <v>2201.386</v>
      </c>
      <c r="E3491" t="n">
        <v>1861.32</v>
      </c>
      <c r="F3491" t="n">
        <v>1857.97</v>
      </c>
      <c r="G3491" t="n">
        <v>2409619</v>
      </c>
      <c r="H3491" t="inlineStr">
        <is>
          <t>TUB-O-N-AUT-AW-PE-22.23X2.00X0.845-MAHS</t>
        </is>
      </c>
    </row>
    <row r="3492">
      <c r="A3492" t="inlineStr">
        <is>
          <t>0000185014</t>
        </is>
      </c>
      <c r="B3492" t="inlineStr">
        <is>
          <t>YOSHIKA ENGINEERING PVT LTD</t>
        </is>
      </c>
      <c r="C3492" t="inlineStr">
        <is>
          <t>NOS</t>
        </is>
      </c>
      <c r="D3492" t="n">
        <v>3487</v>
      </c>
      <c r="E3492" t="n">
        <v>3242.096</v>
      </c>
      <c r="F3492" t="n">
        <v>3235.936</v>
      </c>
      <c r="G3492" t="n">
        <v>1940479</v>
      </c>
      <c r="H3492" t="inlineStr">
        <is>
          <t>TUB-O-O-AUT-AW-PE-22.23X2.00X0.930-MAHS</t>
        </is>
      </c>
    </row>
    <row r="3493">
      <c r="A3493" t="inlineStr">
        <is>
          <t>0000189226</t>
        </is>
      </c>
      <c r="B3493" t="inlineStr">
        <is>
          <t>Neel Metal Products Limited</t>
        </is>
      </c>
      <c r="C3493" t="inlineStr">
        <is>
          <t>NOS</t>
        </is>
      </c>
      <c r="D3493" t="n">
        <v>3710.474</v>
      </c>
      <c r="E3493" t="n">
        <v>779.199</v>
      </c>
      <c r="F3493" t="n">
        <v>2636.498</v>
      </c>
      <c r="G3493" t="n">
        <v>3690546</v>
      </c>
      <c r="H3493" t="inlineStr">
        <is>
          <t>CUT-O-N-AUT-NR-FC-42.70X3.500X0.2100</t>
        </is>
      </c>
    </row>
    <row r="3494">
      <c r="A3494" t="inlineStr">
        <is>
          <t>0000189226</t>
        </is>
      </c>
      <c r="B3494" t="inlineStr">
        <is>
          <t>Neel Metal Products Limited</t>
        </is>
      </c>
      <c r="C3494" t="inlineStr">
        <is>
          <t>NOS</t>
        </is>
      </c>
      <c r="D3494" t="n">
        <v>765.526</v>
      </c>
      <c r="E3494" t="n">
        <v>160.76</v>
      </c>
      <c r="F3494" t="n">
        <v>543.949</v>
      </c>
      <c r="G3494" t="n">
        <v>3690546</v>
      </c>
      <c r="H3494" t="inlineStr">
        <is>
          <t>CUT-O-N-AUT-NR-FC-42.70X3.500X0.2100</t>
        </is>
      </c>
    </row>
    <row r="3495">
      <c r="A3495" t="inlineStr">
        <is>
          <t>0000189226</t>
        </is>
      </c>
      <c r="B3495" t="inlineStr">
        <is>
          <t>Neel Metal Products Limited</t>
        </is>
      </c>
      <c r="C3495" t="inlineStr">
        <is>
          <t>NOS</t>
        </is>
      </c>
      <c r="D3495" t="n">
        <v>1100</v>
      </c>
      <c r="E3495" t="n">
        <v>1254.012</v>
      </c>
      <c r="F3495" t="n">
        <v>4657.4</v>
      </c>
      <c r="G3495" t="n">
        <v>3711330</v>
      </c>
      <c r="H3495" t="inlineStr">
        <is>
          <t>CUT-O-N-AUT-AW-FC-54.00X3.000X1.1400</t>
        </is>
      </c>
    </row>
    <row r="3496">
      <c r="A3496" t="inlineStr">
        <is>
          <t>0000189226</t>
        </is>
      </c>
      <c r="B3496" t="inlineStr">
        <is>
          <t>Neel Metal Products Limited</t>
        </is>
      </c>
      <c r="C3496" t="inlineStr">
        <is>
          <t>NOS</t>
        </is>
      </c>
      <c r="D3496" t="n">
        <v>300</v>
      </c>
      <c r="E3496" t="n">
        <v>147</v>
      </c>
      <c r="F3496" t="n">
        <v>751.83</v>
      </c>
      <c r="G3496" t="n">
        <v>3781610</v>
      </c>
      <c r="H3496" t="inlineStr">
        <is>
          <t>CUT-O-N-AUT-AN-AG-70.00X3.200X0.490 HST</t>
        </is>
      </c>
    </row>
    <row r="3497">
      <c r="A3497" t="inlineStr">
        <is>
          <t>0000189226</t>
        </is>
      </c>
      <c r="B3497" t="inlineStr">
        <is>
          <t>Neel Metal Products Limited</t>
        </is>
      </c>
      <c r="C3497" t="inlineStr">
        <is>
          <t>NOS</t>
        </is>
      </c>
      <c r="D3497" t="n">
        <v>2500</v>
      </c>
      <c r="E3497" t="n">
        <v>2029.531</v>
      </c>
      <c r="F3497" t="n">
        <v>3615</v>
      </c>
      <c r="G3497" t="n">
        <v>1940743</v>
      </c>
      <c r="H3497" t="inlineStr">
        <is>
          <t>TUB-O-O-AUT-AW-FC-38.10X2.000X0.8120</t>
        </is>
      </c>
    </row>
    <row r="3498">
      <c r="A3498" t="inlineStr">
        <is>
          <t>0000941506</t>
        </is>
      </c>
      <c r="B3498" t="inlineStr">
        <is>
          <t>ELKAYEM AUTO ANCILLARIES PRIVATE LI</t>
        </is>
      </c>
      <c r="C3498" t="inlineStr">
        <is>
          <t>NOS</t>
        </is>
      </c>
      <c r="D3498" t="n">
        <v>1936</v>
      </c>
      <c r="E3498" t="n">
        <v>2249.643</v>
      </c>
      <c r="F3498" t="n">
        <v>1354.06</v>
      </c>
      <c r="G3498" t="n">
        <v>3781676</v>
      </c>
      <c r="H3498" t="inlineStr">
        <is>
          <t>CUT-O-N-AUT-AW-PE-22.20X1.200X1.1620</t>
        </is>
      </c>
    </row>
    <row r="3499">
      <c r="A3499" t="inlineStr">
        <is>
          <t>0000129663</t>
        </is>
      </c>
      <c r="B3499" t="inlineStr">
        <is>
          <t>ELKAYEM AUTO ANCILLARIES (PVT) LTD.</t>
        </is>
      </c>
      <c r="C3499" t="inlineStr">
        <is>
          <t>NOS</t>
        </is>
      </c>
      <c r="D3499" t="n">
        <v>1000</v>
      </c>
      <c r="E3499" t="n">
        <v>302.997</v>
      </c>
      <c r="F3499" t="n">
        <v>277</v>
      </c>
      <c r="G3499" t="n">
        <v>3781671</v>
      </c>
      <c r="H3499" t="inlineStr">
        <is>
          <t>CUT-O-N-AUT-AW-PE-19.05X2.300X0.3030</t>
        </is>
      </c>
    </row>
    <row r="3500">
      <c r="A3500" t="inlineStr">
        <is>
          <t>0000129663</t>
        </is>
      </c>
      <c r="B3500" t="inlineStr">
        <is>
          <t>ELKAYEM AUTO ANCILLARIES (PVT) LTD.</t>
        </is>
      </c>
      <c r="C3500" t="inlineStr">
        <is>
          <t>NOS</t>
        </is>
      </c>
      <c r="D3500" t="n">
        <v>1000</v>
      </c>
      <c r="E3500" t="n">
        <v>285.004</v>
      </c>
      <c r="F3500" t="n">
        <v>265.767</v>
      </c>
      <c r="G3500" t="n">
        <v>2427711</v>
      </c>
      <c r="H3500" t="inlineStr">
        <is>
          <t>TUB-O-N-AUT-AW-PE-19.05X2.300X0.2850</t>
        </is>
      </c>
    </row>
    <row r="3501">
      <c r="A3501" t="inlineStr">
        <is>
          <t>0000819045</t>
        </is>
      </c>
      <c r="B3501" t="inlineStr">
        <is>
          <t>KNITVEL NEEDLES P LTD</t>
        </is>
      </c>
      <c r="C3501" t="inlineStr">
        <is>
          <t>NOS</t>
        </is>
      </c>
      <c r="D3501" t="n">
        <v>526</v>
      </c>
      <c r="E3501" t="n">
        <v>642.771</v>
      </c>
      <c r="F3501" t="n">
        <v>504.346</v>
      </c>
      <c r="G3501" t="n">
        <v>3533249</v>
      </c>
      <c r="H3501" t="inlineStr">
        <is>
          <t>CUT-O-N-AUT-AW-PE-22.20X1.600X1.2220</t>
        </is>
      </c>
    </row>
    <row r="3502">
      <c r="A3502" t="inlineStr">
        <is>
          <t>0000189227</t>
        </is>
      </c>
      <c r="B3502" t="inlineStr">
        <is>
          <t>Neel Metal Products Limited</t>
        </is>
      </c>
      <c r="C3502" t="inlineStr">
        <is>
          <t>NOS</t>
        </is>
      </c>
      <c r="D3502" t="n">
        <v>1800</v>
      </c>
      <c r="E3502" t="n">
        <v>2457.015</v>
      </c>
      <c r="F3502" t="n">
        <v>7325.1</v>
      </c>
      <c r="G3502" t="n">
        <v>3781680</v>
      </c>
      <c r="H3502" t="inlineStr">
        <is>
          <t>CUT-O-N-AUT-AW-FC-57.15X2.300X1.3650</t>
        </is>
      </c>
    </row>
    <row r="3503">
      <c r="A3503" t="inlineStr">
        <is>
          <t>0000941496</t>
        </is>
      </c>
      <c r="B3503" t="inlineStr">
        <is>
          <t>SANDHAR ENGINEERING PVT LTD.(KA) -U</t>
        </is>
      </c>
      <c r="C3503" t="inlineStr">
        <is>
          <t>NOS</t>
        </is>
      </c>
      <c r="D3503" t="n">
        <v>1147.669</v>
      </c>
      <c r="E3503" t="n">
        <v>931.692</v>
      </c>
      <c r="F3503" t="n">
        <v>1659.529</v>
      </c>
      <c r="G3503" t="n">
        <v>1940743</v>
      </c>
      <c r="H3503" t="inlineStr">
        <is>
          <t>TUB-O-O-AUT-AW-FC-38.10X2.000X0.8120</t>
        </is>
      </c>
    </row>
    <row r="3504">
      <c r="A3504" t="inlineStr">
        <is>
          <t>0000941496</t>
        </is>
      </c>
      <c r="B3504" t="inlineStr">
        <is>
          <t>SANDHAR ENGINEERING PVT LTD.(KA) -U</t>
        </is>
      </c>
      <c r="C3504" t="inlineStr">
        <is>
          <t>NOS</t>
        </is>
      </c>
      <c r="D3504" t="n">
        <v>2852.331</v>
      </c>
      <c r="E3504" t="n">
        <v>2315.557</v>
      </c>
      <c r="F3504" t="n">
        <v>4124.471</v>
      </c>
      <c r="G3504" t="n">
        <v>1940743</v>
      </c>
      <c r="H3504" t="inlineStr">
        <is>
          <t>TUB-O-O-AUT-AW-FC-38.10X2.000X0.8120</t>
        </is>
      </c>
    </row>
    <row r="3505">
      <c r="A3505" t="inlineStr">
        <is>
          <t>0000941496</t>
        </is>
      </c>
      <c r="B3505" t="inlineStr">
        <is>
          <t>SANDHAR ENGINEERING PVT LTD.(KA) -U</t>
        </is>
      </c>
      <c r="C3505" t="inlineStr">
        <is>
          <t>NOS</t>
        </is>
      </c>
      <c r="D3505" t="n">
        <v>2000</v>
      </c>
      <c r="E3505" t="n">
        <v>710.203</v>
      </c>
      <c r="F3505" t="n">
        <v>820</v>
      </c>
      <c r="G3505" t="n">
        <v>1940588</v>
      </c>
      <c r="H3505" t="inlineStr">
        <is>
          <t>TUB-O-O-AUT-AW-FC-25.40X2.000X0.3550</t>
        </is>
      </c>
    </row>
    <row r="3506">
      <c r="A3506" t="inlineStr">
        <is>
          <t>0000941496</t>
        </is>
      </c>
      <c r="B3506" t="inlineStr">
        <is>
          <t>SANDHAR ENGINEERING PVT LTD.(KA) -U</t>
        </is>
      </c>
      <c r="C3506" t="inlineStr">
        <is>
          <t>NOS</t>
        </is>
      </c>
      <c r="D3506" t="n">
        <v>783.998</v>
      </c>
      <c r="E3506" t="n">
        <v>338.686</v>
      </c>
      <c r="F3506" t="n">
        <v>574.479</v>
      </c>
      <c r="G3506" t="n">
        <v>1903849</v>
      </c>
      <c r="H3506" t="inlineStr">
        <is>
          <t>TUB-O-N-AUT-AW-FC-38.10X2.000X0.4320</t>
        </is>
      </c>
    </row>
    <row r="3507">
      <c r="A3507" t="inlineStr">
        <is>
          <t>0000941496</t>
        </is>
      </c>
      <c r="B3507" t="inlineStr">
        <is>
          <t>SANDHAR ENGINEERING PVT LTD.(KA) -U</t>
        </is>
      </c>
      <c r="C3507" t="inlineStr">
        <is>
          <t>NOS</t>
        </is>
      </c>
      <c r="D3507" t="n">
        <v>1216.002</v>
      </c>
      <c r="E3507" t="n">
        <v>525.311</v>
      </c>
      <c r="F3507" t="n">
        <v>891.032</v>
      </c>
      <c r="G3507" t="n">
        <v>1903849</v>
      </c>
      <c r="H3507" t="inlineStr">
        <is>
          <t>TUB-O-N-AUT-AW-FC-38.10X2.000X0.4320</t>
        </is>
      </c>
    </row>
    <row r="3508">
      <c r="A3508" t="inlineStr">
        <is>
          <t>0000944141</t>
        </is>
      </c>
      <c r="B3508" t="inlineStr">
        <is>
          <t>SRIKAM HITECH ENGINEERING PRIVATE L</t>
        </is>
      </c>
      <c r="C3508" t="inlineStr">
        <is>
          <t>NOS</t>
        </is>
      </c>
      <c r="D3508" t="n">
        <v>4000</v>
      </c>
      <c r="E3508" t="n">
        <v>1178.451</v>
      </c>
      <c r="F3508" t="n">
        <v>1120</v>
      </c>
      <c r="G3508" t="n">
        <v>1940312</v>
      </c>
      <c r="H3508" t="inlineStr">
        <is>
          <t>TUB-O-O-AUT-AW-PE-19.05X2.300X0.2950</t>
        </is>
      </c>
    </row>
    <row r="3509">
      <c r="A3509" t="inlineStr">
        <is>
          <t>0000944141</t>
        </is>
      </c>
      <c r="B3509" t="inlineStr">
        <is>
          <t>SRIKAM HITECH ENGINEERING PRIVATE L</t>
        </is>
      </c>
      <c r="C3509" t="inlineStr">
        <is>
          <t>NOS</t>
        </is>
      </c>
      <c r="D3509" t="n">
        <v>2780</v>
      </c>
      <c r="E3509" t="n">
        <v>1635.683</v>
      </c>
      <c r="F3509" t="n">
        <v>2065.54</v>
      </c>
      <c r="G3509" t="n">
        <v>1938191</v>
      </c>
      <c r="H3509" t="inlineStr">
        <is>
          <t>TUB-I-C-AUT-AD-FC-12.50X3.250X0.5880</t>
        </is>
      </c>
    </row>
    <row r="3510">
      <c r="A3510" t="inlineStr">
        <is>
          <t>0000189226</t>
        </is>
      </c>
      <c r="B3510" t="inlineStr">
        <is>
          <t>Neel Metal Products Limited</t>
        </is>
      </c>
      <c r="C3510" t="inlineStr">
        <is>
          <t>NOS</t>
        </is>
      </c>
      <c r="D3510" t="n">
        <v>4990</v>
      </c>
      <c r="E3510" t="n">
        <v>2121.145</v>
      </c>
      <c r="F3510" t="n">
        <v>3687.61</v>
      </c>
      <c r="G3510" t="n">
        <v>1940738</v>
      </c>
      <c r="H3510" t="inlineStr">
        <is>
          <t>TUB-O-O-AUT-AW-FC-38.10X2.000X0.4250</t>
        </is>
      </c>
    </row>
    <row r="3511">
      <c r="A3511" t="inlineStr">
        <is>
          <t>0000189226</t>
        </is>
      </c>
      <c r="B3511" t="inlineStr">
        <is>
          <t>Neel Metal Products Limited</t>
        </is>
      </c>
      <c r="C3511" t="inlineStr">
        <is>
          <t>NOS</t>
        </is>
      </c>
      <c r="D3511" t="n">
        <v>10</v>
      </c>
      <c r="E3511" t="n">
        <v>4.251</v>
      </c>
      <c r="F3511" t="n">
        <v>7.39</v>
      </c>
      <c r="G3511" t="n">
        <v>1940738</v>
      </c>
      <c r="H3511" t="inlineStr">
        <is>
          <t>TUB-O-O-AUT-AW-FC-38.10X2.000X0.4250</t>
        </is>
      </c>
    </row>
    <row r="3512">
      <c r="A3512" t="inlineStr">
        <is>
          <t>0000941496</t>
        </is>
      </c>
      <c r="B3512" t="inlineStr">
        <is>
          <t>SANDHAR ENGINEERING PVT LTD.(KA) -U</t>
        </is>
      </c>
      <c r="C3512" t="inlineStr">
        <is>
          <t>NOS</t>
        </is>
      </c>
      <c r="D3512" t="n">
        <v>3999.559</v>
      </c>
      <c r="E3512" t="n">
        <v>1727.803</v>
      </c>
      <c r="F3512" t="n">
        <v>2930.699</v>
      </c>
      <c r="G3512" t="n">
        <v>1903849</v>
      </c>
      <c r="H3512" t="inlineStr">
        <is>
          <t>TUB-O-N-AUT-AW-FC-38.10X2.000X0.4320</t>
        </is>
      </c>
    </row>
    <row r="3513">
      <c r="A3513" t="inlineStr">
        <is>
          <t>0000941496</t>
        </is>
      </c>
      <c r="B3513" t="inlineStr">
        <is>
          <t>SANDHAR ENGINEERING PVT LTD.(KA) -U</t>
        </is>
      </c>
      <c r="C3513" t="inlineStr">
        <is>
          <t>NOS</t>
        </is>
      </c>
      <c r="D3513" t="n">
        <v>1000.441</v>
      </c>
      <c r="E3513" t="n">
        <v>432.189</v>
      </c>
      <c r="F3513" t="n">
        <v>733.079</v>
      </c>
      <c r="G3513" t="n">
        <v>1903849</v>
      </c>
      <c r="H3513" t="inlineStr">
        <is>
          <t>TUB-O-N-AUT-AW-FC-38.10X2.000X0.4320</t>
        </is>
      </c>
    </row>
    <row r="3514">
      <c r="A3514" t="inlineStr">
        <is>
          <t>0000941496</t>
        </is>
      </c>
      <c r="B3514" t="inlineStr">
        <is>
          <t>SANDHAR ENGINEERING PVT LTD.(KA) -U</t>
        </is>
      </c>
      <c r="C3514" t="inlineStr">
        <is>
          <t>NOS</t>
        </is>
      </c>
      <c r="D3514" t="n">
        <v>3000</v>
      </c>
      <c r="E3514" t="n">
        <v>1065.304</v>
      </c>
      <c r="F3514" t="n">
        <v>1230</v>
      </c>
      <c r="G3514" t="n">
        <v>1940588</v>
      </c>
      <c r="H3514" t="inlineStr">
        <is>
          <t>TUB-O-O-AUT-AW-FC-25.40X2.000X0.3550</t>
        </is>
      </c>
    </row>
    <row r="3515">
      <c r="A3515" t="inlineStr">
        <is>
          <t>0000189226</t>
        </is>
      </c>
      <c r="B3515" t="inlineStr">
        <is>
          <t>Neel Metal Products Limited</t>
        </is>
      </c>
      <c r="C3515" t="inlineStr">
        <is>
          <t>NOS</t>
        </is>
      </c>
      <c r="D3515" t="n">
        <v>460</v>
      </c>
      <c r="E3515" t="n">
        <v>225.4</v>
      </c>
      <c r="F3515" t="n">
        <v>1152.806</v>
      </c>
      <c r="G3515" t="n">
        <v>3781610</v>
      </c>
      <c r="H3515" t="inlineStr">
        <is>
          <t>CUT-O-N-AUT-AN-AG-70.00X3.200X0.490 HST</t>
        </is>
      </c>
    </row>
    <row r="3516">
      <c r="A3516" t="inlineStr">
        <is>
          <t>0000189226</t>
        </is>
      </c>
      <c r="B3516" t="inlineStr">
        <is>
          <t>Neel Metal Products Limited</t>
        </is>
      </c>
      <c r="C3516" t="inlineStr">
        <is>
          <t>NOS</t>
        </is>
      </c>
      <c r="D3516" t="n">
        <v>3000</v>
      </c>
      <c r="E3516" t="n">
        <v>2435.437</v>
      </c>
      <c r="F3516" t="n">
        <v>4338</v>
      </c>
      <c r="G3516" t="n">
        <v>1940743</v>
      </c>
      <c r="H3516" t="inlineStr">
        <is>
          <t>TUB-O-O-AUT-AW-FC-38.10X2.000X0.8120</t>
        </is>
      </c>
    </row>
    <row r="3517">
      <c r="A3517" t="inlineStr">
        <is>
          <t>0000945539</t>
        </is>
      </c>
      <c r="B3517" t="inlineStr">
        <is>
          <t>Sandhar EngineeringPvt.Ltd.(KA)-Uni</t>
        </is>
      </c>
      <c r="C3517" t="inlineStr">
        <is>
          <t>NOS</t>
        </is>
      </c>
      <c r="D3517" t="n">
        <v>2000</v>
      </c>
      <c r="E3517" t="n">
        <v>429.997</v>
      </c>
      <c r="F3517" t="n">
        <v>1641.556</v>
      </c>
      <c r="G3517" t="n">
        <v>3901714</v>
      </c>
      <c r="H3517" t="inlineStr">
        <is>
          <t>CUT-N-AUT-AN-FC-42.70X4.000X0.2150</t>
        </is>
      </c>
    </row>
    <row r="3518">
      <c r="A3518" t="inlineStr">
        <is>
          <t>0000945539</t>
        </is>
      </c>
      <c r="B3518" t="inlineStr">
        <is>
          <t>Sandhar EngineeringPvt.Ltd.(KA)-Uni</t>
        </is>
      </c>
      <c r="C3518" t="inlineStr">
        <is>
          <t>NOS</t>
        </is>
      </c>
      <c r="D3518" t="n">
        <v>1500</v>
      </c>
      <c r="E3518" t="n">
        <v>1274.958</v>
      </c>
      <c r="F3518" t="n">
        <v>3162.15</v>
      </c>
      <c r="G3518" t="n">
        <v>3910648</v>
      </c>
      <c r="H3518" t="inlineStr">
        <is>
          <t>CUT-O-N-AUT-AW-FC-41.28X2.600X0.8500</t>
        </is>
      </c>
    </row>
    <row r="3519">
      <c r="A3519" t="inlineStr">
        <is>
          <t>0000945539</t>
        </is>
      </c>
      <c r="B3519" t="inlineStr">
        <is>
          <t>Sandhar EngineeringPvt.Ltd.(KA)-Uni</t>
        </is>
      </c>
      <c r="C3519" t="inlineStr">
        <is>
          <t>NOS</t>
        </is>
      </c>
      <c r="D3519" t="n">
        <v>1000</v>
      </c>
      <c r="E3519" t="n">
        <v>863.554</v>
      </c>
      <c r="F3519" t="n">
        <v>862</v>
      </c>
      <c r="G3519" t="n">
        <v>3910649</v>
      </c>
      <c r="H3519" t="inlineStr">
        <is>
          <t>CUT-O-N-AUT-AW-FC-22.23X2.000X0.8630</t>
        </is>
      </c>
    </row>
    <row r="3520">
      <c r="A3520" t="inlineStr">
        <is>
          <t>0000945539</t>
        </is>
      </c>
      <c r="B3520" t="inlineStr">
        <is>
          <t>Sandhar EngineeringPvt.Ltd.(KA)-Uni</t>
        </is>
      </c>
      <c r="C3520" t="inlineStr">
        <is>
          <t>NOS</t>
        </is>
      </c>
      <c r="D3520" t="n">
        <v>2000</v>
      </c>
      <c r="E3520" t="n">
        <v>1711.08</v>
      </c>
      <c r="F3520" t="n">
        <v>1708</v>
      </c>
      <c r="G3520" t="n">
        <v>3910650</v>
      </c>
      <c r="H3520" t="inlineStr">
        <is>
          <t>CUT-O-N-AUT-AS-FC-22.23X2.000X0.8550</t>
        </is>
      </c>
    </row>
    <row r="3521">
      <c r="A3521" t="inlineStr">
        <is>
          <t>0000945539</t>
        </is>
      </c>
      <c r="B3521" t="inlineStr">
        <is>
          <t>Sandhar EngineeringPvt.Ltd.(KA)-Uni</t>
        </is>
      </c>
      <c r="C3521" t="inlineStr">
        <is>
          <t>NOS</t>
        </is>
      </c>
      <c r="D3521" t="n">
        <v>3000</v>
      </c>
      <c r="E3521" t="n">
        <v>1253.998</v>
      </c>
      <c r="F3521" t="n">
        <v>1414.133</v>
      </c>
      <c r="G3521" t="n">
        <v>3926270</v>
      </c>
      <c r="H3521" t="inlineStr">
        <is>
          <t>CUT-O-N-AUT-AW-FC-25.40X2.000X0.4180</t>
        </is>
      </c>
    </row>
    <row r="3522">
      <c r="A3522" t="inlineStr">
        <is>
          <t>0000940921</t>
        </is>
      </c>
      <c r="B3522" t="inlineStr">
        <is>
          <t>ELKAYEM AUTO ANCILLARIES PVT LTD -U</t>
        </is>
      </c>
      <c r="C3522" t="inlineStr">
        <is>
          <t>NOS</t>
        </is>
      </c>
      <c r="D3522" t="n">
        <v>975</v>
      </c>
      <c r="E3522" t="n">
        <v>695.164</v>
      </c>
      <c r="F3522" t="n">
        <v>1845.382</v>
      </c>
      <c r="G3522" t="n">
        <v>3783938</v>
      </c>
      <c r="H3522" t="inlineStr">
        <is>
          <t>CUT-O-N-AUT-NR-AG-57.15X2.000X0.7130</t>
        </is>
      </c>
    </row>
    <row r="3523">
      <c r="A3523" t="inlineStr">
        <is>
          <t>0000943209</t>
        </is>
      </c>
      <c r="B3523" t="inlineStr">
        <is>
          <t>MEGH STEELS PRIVATE LIMITED - TVS A</t>
        </is>
      </c>
      <c r="C3523" t="inlineStr">
        <is>
          <t>NOS</t>
        </is>
      </c>
      <c r="D3523" t="n">
        <v>3000</v>
      </c>
      <c r="E3523" t="n">
        <v>2544.033</v>
      </c>
      <c r="F3523" t="n">
        <v>6312</v>
      </c>
      <c r="G3523" t="n">
        <v>3186831</v>
      </c>
      <c r="H3523" t="inlineStr">
        <is>
          <t>TUB-O-N-AUT-AW-FC-41.28X2.600X0.8480</t>
        </is>
      </c>
    </row>
    <row r="3524">
      <c r="A3524" t="inlineStr">
        <is>
          <t>0000188405</t>
        </is>
      </c>
      <c r="B3524" t="inlineStr">
        <is>
          <t>Skb Industries</t>
        </is>
      </c>
      <c r="C3524" t="inlineStr">
        <is>
          <t>NOS</t>
        </is>
      </c>
      <c r="D3524" t="n">
        <v>5000</v>
      </c>
      <c r="E3524" t="n">
        <v>4134.999</v>
      </c>
      <c r="F3524" t="n">
        <v>4127.556</v>
      </c>
      <c r="G3524" t="n">
        <v>3915667</v>
      </c>
      <c r="H3524" t="inlineStr">
        <is>
          <t>CUT-O-N-AUT-AW-CH-22.23X2.000X0.8270</t>
        </is>
      </c>
    </row>
    <row r="3525">
      <c r="A3525" t="inlineStr">
        <is>
          <t>0000188405</t>
        </is>
      </c>
      <c r="B3525" t="inlineStr">
        <is>
          <t>Skb Industries</t>
        </is>
      </c>
      <c r="C3525" t="inlineStr">
        <is>
          <t>NOS</t>
        </is>
      </c>
      <c r="D3525" t="n">
        <v>7274</v>
      </c>
      <c r="E3525" t="n">
        <v>5717.391</v>
      </c>
      <c r="F3525" t="n">
        <v>5707.1</v>
      </c>
      <c r="G3525" t="n">
        <v>3915668</v>
      </c>
      <c r="H3525" t="inlineStr">
        <is>
          <t>CUT-O-N-AUT-AW-CH-22.23X2.000X0.7860</t>
        </is>
      </c>
    </row>
    <row r="3526">
      <c r="A3526" t="inlineStr">
        <is>
          <t>0000819045</t>
        </is>
      </c>
      <c r="B3526" t="inlineStr">
        <is>
          <t>KNITVEL NEEDLES P LTD</t>
        </is>
      </c>
      <c r="C3526" t="inlineStr">
        <is>
          <t>NOS</t>
        </is>
      </c>
      <c r="D3526" t="n">
        <v>1000</v>
      </c>
      <c r="E3526" t="n">
        <v>739.004</v>
      </c>
      <c r="F3526" t="n">
        <v>702.111</v>
      </c>
      <c r="G3526" t="n">
        <v>3984123</v>
      </c>
      <c r="H3526" t="inlineStr">
        <is>
          <t>TUB-O-N-AUT-AW-PE-19.05X2.300X0.7390</t>
        </is>
      </c>
    </row>
    <row r="3527">
      <c r="A3527" t="inlineStr">
        <is>
          <t>0000819045</t>
        </is>
      </c>
      <c r="B3527" t="inlineStr">
        <is>
          <t>KNITVEL NEEDLES P LTD</t>
        </is>
      </c>
      <c r="C3527" t="inlineStr">
        <is>
          <t>NOS</t>
        </is>
      </c>
      <c r="D3527" t="n">
        <v>1000</v>
      </c>
      <c r="E3527" t="n">
        <v>887.003</v>
      </c>
      <c r="F3527" t="n">
        <v>842.722</v>
      </c>
      <c r="G3527" t="n">
        <v>3984124</v>
      </c>
      <c r="H3527" t="inlineStr">
        <is>
          <t>TUB-O-N-AUT-AW-PE-19.05X2.300X0.8870</t>
        </is>
      </c>
    </row>
    <row r="3528">
      <c r="A3528" t="inlineStr">
        <is>
          <t>0000189226</t>
        </is>
      </c>
      <c r="B3528" t="inlineStr">
        <is>
          <t>Neel Metal Products Limited</t>
        </is>
      </c>
      <c r="C3528" t="inlineStr">
        <is>
          <t>NOS</t>
        </is>
      </c>
      <c r="D3528" t="n">
        <v>500</v>
      </c>
      <c r="E3528" t="n">
        <v>117.998</v>
      </c>
      <c r="F3528" t="n">
        <v>676.4</v>
      </c>
      <c r="G3528" t="n">
        <v>3784473</v>
      </c>
      <c r="H3528" t="inlineStr">
        <is>
          <t>CUT-O-N-AUT-BH-FC-63.50X4.000X0.2360</t>
        </is>
      </c>
    </row>
    <row r="3529">
      <c r="A3529" t="inlineStr">
        <is>
          <t>0000944141</t>
        </is>
      </c>
      <c r="B3529" t="inlineStr">
        <is>
          <t>SRIKAM HITECH ENGINEERING PRIVATE L</t>
        </is>
      </c>
      <c r="C3529" t="inlineStr">
        <is>
          <t>NOS</t>
        </is>
      </c>
      <c r="D3529" t="n">
        <v>5183</v>
      </c>
      <c r="E3529" t="n">
        <v>1526.978</v>
      </c>
      <c r="F3529" t="n">
        <v>1451.24</v>
      </c>
      <c r="G3529" t="n">
        <v>1940312</v>
      </c>
      <c r="H3529" t="inlineStr">
        <is>
          <t>TUB-O-O-AUT-AW-PE-19.05X2.300X0.2950</t>
        </is>
      </c>
    </row>
    <row r="3530">
      <c r="A3530" t="inlineStr">
        <is>
          <t>0000944141</t>
        </is>
      </c>
      <c r="B3530" t="inlineStr">
        <is>
          <t>SRIKAM HITECH ENGINEERING PRIVATE L</t>
        </is>
      </c>
      <c r="C3530" t="inlineStr">
        <is>
          <t>NOS</t>
        </is>
      </c>
      <c r="D3530" t="n">
        <v>643.759</v>
      </c>
      <c r="E3530" t="n">
        <v>180.899</v>
      </c>
      <c r="F3530" t="n">
        <v>204</v>
      </c>
      <c r="G3530" t="n">
        <v>1940584</v>
      </c>
      <c r="H3530" t="inlineStr">
        <is>
          <t>TUB-O-O-AUT-AW-FC-25.40X2.000X0.2810</t>
        </is>
      </c>
    </row>
    <row r="3531">
      <c r="A3531" t="inlineStr">
        <is>
          <t>0000944141</t>
        </is>
      </c>
      <c r="B3531" t="inlineStr">
        <is>
          <t>SRIKAM HITECH ENGINEERING PRIVATE L</t>
        </is>
      </c>
      <c r="C3531" t="inlineStr">
        <is>
          <t>NOS</t>
        </is>
      </c>
      <c r="D3531" t="n">
        <v>1356.241</v>
      </c>
      <c r="E3531" t="n">
        <v>381.11</v>
      </c>
      <c r="F3531" t="n">
        <v>429.778</v>
      </c>
      <c r="G3531" t="n">
        <v>1940584</v>
      </c>
      <c r="H3531" t="inlineStr">
        <is>
          <t>TUB-O-O-AUT-AW-FC-25.40X2.000X0.2810</t>
        </is>
      </c>
    </row>
    <row r="3532">
      <c r="A3532" t="inlineStr">
        <is>
          <t>0000941496</t>
        </is>
      </c>
      <c r="B3532" t="inlineStr">
        <is>
          <t>SANDHAR ENGINEERING PVT LTD.(KA) -U</t>
        </is>
      </c>
      <c r="C3532" t="inlineStr">
        <is>
          <t>NOS</t>
        </is>
      </c>
      <c r="D3532" t="n">
        <v>2000</v>
      </c>
      <c r="E3532" t="n">
        <v>1623.625</v>
      </c>
      <c r="F3532" t="n">
        <v>2892</v>
      </c>
      <c r="G3532" t="n">
        <v>1940743</v>
      </c>
      <c r="H3532" t="inlineStr">
        <is>
          <t>TUB-O-O-AUT-AW-FC-38.10X2.000X0.8120</t>
        </is>
      </c>
    </row>
    <row r="3533">
      <c r="A3533" t="inlineStr">
        <is>
          <t>0000941496</t>
        </is>
      </c>
      <c r="B3533" t="inlineStr">
        <is>
          <t>SANDHAR ENGINEERING PVT LTD.(KA) -U</t>
        </is>
      </c>
      <c r="C3533" t="inlineStr">
        <is>
          <t>NOS</t>
        </is>
      </c>
      <c r="D3533" t="n">
        <v>2004</v>
      </c>
      <c r="E3533" t="n">
        <v>711.623</v>
      </c>
      <c r="F3533" t="n">
        <v>821.64</v>
      </c>
      <c r="G3533" t="n">
        <v>1940588</v>
      </c>
      <c r="H3533" t="inlineStr">
        <is>
          <t>TUB-O-O-AUT-AW-FC-25.40X2.000X0.3550</t>
        </is>
      </c>
    </row>
    <row r="3534">
      <c r="A3534" t="inlineStr">
        <is>
          <t>0000941496</t>
        </is>
      </c>
      <c r="B3534" t="inlineStr">
        <is>
          <t>SANDHAR ENGINEERING PVT LTD.(KA) -U</t>
        </is>
      </c>
      <c r="C3534" t="inlineStr">
        <is>
          <t>NOS</t>
        </is>
      </c>
      <c r="D3534" t="n">
        <v>1925</v>
      </c>
      <c r="E3534" t="n">
        <v>1549.615</v>
      </c>
      <c r="F3534" t="n">
        <v>1543.572</v>
      </c>
      <c r="G3534" t="n">
        <v>3694069</v>
      </c>
      <c r="H3534" t="inlineStr">
        <is>
          <t>CUT-O-N-AUT-AW-PE-22.20X2.000X0.8050</t>
        </is>
      </c>
    </row>
    <row r="3535">
      <c r="A3535" t="inlineStr">
        <is>
          <t>0000944141</t>
        </is>
      </c>
      <c r="B3535" t="inlineStr">
        <is>
          <t>SRIKAM HITECH ENGINEERING PRIVATE L</t>
        </is>
      </c>
      <c r="C3535" t="inlineStr">
        <is>
          <t>NOS</t>
        </is>
      </c>
      <c r="D3535" t="n">
        <v>3500</v>
      </c>
      <c r="E3535" t="n">
        <v>1031.145</v>
      </c>
      <c r="F3535" t="n">
        <v>980</v>
      </c>
      <c r="G3535" t="n">
        <v>1940312</v>
      </c>
      <c r="H3535" t="inlineStr">
        <is>
          <t>TUB-O-O-AUT-AW-PE-19.05X2.300X0.2950</t>
        </is>
      </c>
    </row>
    <row r="3536">
      <c r="A3536" t="inlineStr">
        <is>
          <t>0000944141</t>
        </is>
      </c>
      <c r="B3536" t="inlineStr">
        <is>
          <t>SRIKAM HITECH ENGINEERING PRIVATE L</t>
        </is>
      </c>
      <c r="C3536" t="inlineStr">
        <is>
          <t>NOS</t>
        </is>
      </c>
      <c r="D3536" t="n">
        <v>2862.903</v>
      </c>
      <c r="E3536" t="n">
        <v>804.489</v>
      </c>
      <c r="F3536" t="n">
        <v>907.222</v>
      </c>
      <c r="G3536" t="n">
        <v>1940584</v>
      </c>
      <c r="H3536" t="inlineStr">
        <is>
          <t>TUB-O-O-AUT-AW-FC-25.40X2.000X0.2810</t>
        </is>
      </c>
    </row>
    <row r="3537">
      <c r="A3537" t="inlineStr">
        <is>
          <t>0000944141</t>
        </is>
      </c>
      <c r="B3537" t="inlineStr">
        <is>
          <t>SRIKAM HITECH ENGINEERING PRIVATE L</t>
        </is>
      </c>
      <c r="C3537" t="inlineStr">
        <is>
          <t>NOS</t>
        </is>
      </c>
      <c r="D3537" t="n">
        <v>380.097</v>
      </c>
      <c r="E3537" t="n">
        <v>106.809</v>
      </c>
      <c r="F3537" t="n">
        <v>120.449</v>
      </c>
      <c r="G3537" t="n">
        <v>1940584</v>
      </c>
      <c r="H3537" t="inlineStr">
        <is>
          <t>TUB-O-O-AUT-AW-FC-25.40X2.000X0.2810</t>
        </is>
      </c>
    </row>
    <row r="3538">
      <c r="A3538" t="inlineStr"/>
      <c r="B3538" t="inlineStr"/>
      <c r="C3538" t="inlineStr"/>
      <c r="D3538" t="n">
        <v>3264461</v>
      </c>
      <c r="F3538" t="n">
        <v>3765452.268</v>
      </c>
      <c r="H3538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 codeName="Sheet26" filterMode="1">
    <outlinePr summaryBelow="1" summaryRight="1"/>
    <pageSetUpPr/>
  </sheetPr>
  <dimension ref="A1:W148"/>
  <sheetViews>
    <sheetView topLeftCell="F46" zoomScale="70" zoomScaleNormal="70" workbookViewId="0">
      <selection activeCell="W148" sqref="W148"/>
    </sheetView>
  </sheetViews>
  <sheetFormatPr baseColWidth="8" defaultRowHeight="15"/>
  <cols>
    <col width="13.42578125" customWidth="1" style="584" min="1" max="2"/>
    <col width="11.85546875" customWidth="1" style="584" min="4" max="5"/>
    <col width="10.42578125" customWidth="1" style="584" min="6" max="6"/>
    <col width="37.140625" bestFit="1" customWidth="1" style="584" min="7" max="7"/>
    <col hidden="1" outlineLevel="1" width="10.42578125" customWidth="1" style="584" min="8" max="8"/>
    <col hidden="1" outlineLevel="1" width="13.7109375" customWidth="1" style="584" min="9" max="9"/>
    <col collapsed="1" width="15" customWidth="1" style="584" min="10" max="10"/>
    <col width="16" customWidth="1" style="584" min="11" max="11"/>
    <col width="18.140625" customWidth="1" style="584" min="12" max="12"/>
    <col width="18.28515625" customWidth="1" style="584" min="13" max="13"/>
    <col outlineLevel="1" width="12.140625" customWidth="1" style="584" min="14" max="14"/>
    <col outlineLevel="1" width="9.140625" customWidth="1" style="584" min="15" max="16"/>
    <col outlineLevel="1" width="31.140625" bestFit="1" customWidth="1" style="584" min="17" max="17"/>
    <col width="16.42578125" bestFit="1" customWidth="1" style="584" min="18" max="18"/>
    <col width="12.42578125" bestFit="1" customWidth="1" style="584" min="19" max="19"/>
    <col width="12.85546875" bestFit="1" customWidth="1" style="584" min="20" max="23"/>
  </cols>
  <sheetData>
    <row r="1">
      <c r="A1" s="178" t="inlineStr">
        <is>
          <t>Grade</t>
        </is>
      </c>
      <c r="B1" s="38" t="inlineStr">
        <is>
          <t>ACTUAL OD</t>
        </is>
      </c>
      <c r="C1" s="38" t="inlineStr">
        <is>
          <t>OD</t>
        </is>
      </c>
      <c r="D1" s="38" t="inlineStr">
        <is>
          <t>ID</t>
        </is>
      </c>
      <c r="E1" s="38" t="inlineStr">
        <is>
          <t>TICKNESS</t>
        </is>
      </c>
      <c r="F1" s="38" t="inlineStr">
        <is>
          <t>LENGTH</t>
        </is>
      </c>
      <c r="G1" s="38" t="inlineStr">
        <is>
          <t>Machine</t>
        </is>
      </c>
      <c r="H1" s="38" t="inlineStr">
        <is>
          <t>CTL Bucket</t>
        </is>
      </c>
      <c r="I1" s="38" t="inlineStr">
        <is>
          <t>Material codes</t>
        </is>
      </c>
      <c r="J1" s="38" t="inlineStr">
        <is>
          <t>UoM</t>
        </is>
      </c>
      <c r="K1" s="39" t="inlineStr">
        <is>
          <t>SCHEDULE</t>
        </is>
      </c>
      <c r="L1" s="40" t="inlineStr">
        <is>
          <t>DISPATCH</t>
        </is>
      </c>
      <c r="M1" s="41" t="inlineStr">
        <is>
          <t>BAL IN NOS</t>
        </is>
      </c>
      <c r="N1" s="39" t="inlineStr">
        <is>
          <t>SCHEDULE in MT</t>
        </is>
      </c>
      <c r="O1" s="40" t="inlineStr">
        <is>
          <t>Dispached in MT</t>
        </is>
      </c>
      <c r="P1" s="179" t="inlineStr">
        <is>
          <t>BAL in MT</t>
        </is>
      </c>
      <c r="Q1" s="206" t="inlineStr">
        <is>
          <t>Customer</t>
        </is>
      </c>
      <c r="R1" s="205" t="inlineStr">
        <is>
          <t>Minimum Quantity Required</t>
        </is>
      </c>
    </row>
    <row r="2">
      <c r="A2" s="176" t="inlineStr">
        <is>
          <t>ERW</t>
        </is>
      </c>
      <c r="B2" s="599" t="n">
        <v>22.23</v>
      </c>
      <c r="C2" s="599" t="n">
        <v>22.23</v>
      </c>
      <c r="D2" s="599" t="n">
        <v>0</v>
      </c>
      <c r="E2" s="599" t="n">
        <v>2</v>
      </c>
      <c r="F2" s="600" t="n">
        <v>845</v>
      </c>
      <c r="G2" s="600" t="inlineStr">
        <is>
          <t>DEC</t>
        </is>
      </c>
      <c r="H2" s="600" t="n"/>
      <c r="I2" s="600" t="n">
        <v>2409619</v>
      </c>
      <c r="J2" s="22" t="inlineStr">
        <is>
          <t>NOS</t>
        </is>
      </c>
      <c r="K2" s="601" t="n">
        <v>60000</v>
      </c>
      <c r="L2" s="601">
        <f t="array" ref="L2">SUM(_xlfn.MAP(_xlfn.TEXTSPLIT(chamfering[[#This Row],[Material codes]],"|"),_xlfn.LAMBDA(_xlpm.a,SUMIFS(salesALL[qty in no],salesALL[MATERAIL NUMBER],_xlpm.a))))</f>
        <v/>
      </c>
      <c r="M2" s="602">
        <f>chamfering[[#This Row],[SCHEDULE]]-chamfering[[#This Row],[DISPATCH]]</f>
        <v/>
      </c>
      <c r="N2" s="598">
        <f>(3.14*(C2-E2)*E2*F2*7.85)/1000000*K2/1000</f>
        <v/>
      </c>
      <c r="O2" s="598">
        <f>(3.14*(C2-E2)*E2*F2*7.85)/1000000*L2/1000</f>
        <v/>
      </c>
      <c r="P2" s="177">
        <f>(3.14*(C2-E2)*E2*F2*7.85)/1000000*M2/1000</f>
        <v/>
      </c>
      <c r="Q2" s="15" t="inlineStr">
        <is>
          <t>Yoshika</t>
        </is>
      </c>
      <c r="R2" s="15" t="n">
        <v>15000</v>
      </c>
    </row>
    <row r="3">
      <c r="A3" s="176" t="inlineStr">
        <is>
          <t>ERW</t>
        </is>
      </c>
      <c r="B3" s="599" t="n">
        <v>22.23</v>
      </c>
      <c r="C3" s="599" t="n">
        <v>22.23</v>
      </c>
      <c r="D3" s="599" t="n">
        <v>0</v>
      </c>
      <c r="E3" s="599" t="n">
        <v>2.6</v>
      </c>
      <c r="F3" s="600" t="n">
        <v>872</v>
      </c>
      <c r="G3" s="600" t="inlineStr">
        <is>
          <t>DEC</t>
        </is>
      </c>
      <c r="H3" s="600" t="n"/>
      <c r="I3" s="600" t="n">
        <v>3515988</v>
      </c>
      <c r="J3" s="22" t="inlineStr">
        <is>
          <t>NOS</t>
        </is>
      </c>
      <c r="K3" s="601" t="n">
        <v>1000</v>
      </c>
      <c r="L3" s="601">
        <f t="array" ref="L3">SUM(_xlfn.MAP(_xlfn.TEXTSPLIT(chamfering[[#This Row],[Material codes]],"|"),_xlfn.LAMBDA(_xlpm.a,SUMIFS(salesALL[qty in no],salesALL[MATERAIL NUMBER],_xlpm.a))))</f>
        <v/>
      </c>
      <c r="M3" s="602">
        <f>chamfering[[#This Row],[SCHEDULE]]-chamfering[[#This Row],[DISPATCH]]</f>
        <v/>
      </c>
      <c r="N3" s="598">
        <f>(3.14*(C3-E3)*E3*F3*7.85)/1000000*K3/1000</f>
        <v/>
      </c>
      <c r="O3" s="598">
        <f>(3.14*(C3-E3)*E3*F3*7.85)/1000000*L3/1000</f>
        <v/>
      </c>
      <c r="P3" s="177">
        <f>(3.14*(C3-E3)*E3*F3*7.85)/1000000*M3/1000</f>
        <v/>
      </c>
      <c r="Q3" s="15" t="inlineStr">
        <is>
          <t>SKB</t>
        </is>
      </c>
      <c r="R3" s="15" t="n">
        <v>250</v>
      </c>
    </row>
    <row r="4">
      <c r="A4" s="176" t="inlineStr">
        <is>
          <t>ERW</t>
        </is>
      </c>
      <c r="B4" s="599" t="n">
        <v>22.23</v>
      </c>
      <c r="C4" s="599" t="n">
        <v>22.23</v>
      </c>
      <c r="D4" s="599" t="n">
        <v>0</v>
      </c>
      <c r="E4" s="599" t="n">
        <v>2.6</v>
      </c>
      <c r="F4" s="600" t="n">
        <v>896</v>
      </c>
      <c r="G4" s="600" t="inlineStr">
        <is>
          <t>DEC</t>
        </is>
      </c>
      <c r="H4" s="600" t="n"/>
      <c r="I4" s="600" t="n">
        <v>3765472</v>
      </c>
      <c r="J4" s="22" t="inlineStr">
        <is>
          <t>NOS</t>
        </is>
      </c>
      <c r="K4" s="601" t="n">
        <v>3000</v>
      </c>
      <c r="L4" s="601">
        <f t="array" ref="L4">SUM(_xlfn.MAP(_xlfn.TEXTSPLIT(chamfering[[#This Row],[Material codes]],"|"),_xlfn.LAMBDA(_xlpm.a,SUMIFS(salesALL[qty in no],salesALL[MATERAIL NUMBER],_xlpm.a))))</f>
        <v/>
      </c>
      <c r="M4" s="602">
        <f>chamfering[[#This Row],[SCHEDULE]]-chamfering[[#This Row],[DISPATCH]]</f>
        <v/>
      </c>
      <c r="N4" s="598">
        <f>(3.14*(C4-E4)*E4*F4*7.85)/1000000*K4/1000</f>
        <v/>
      </c>
      <c r="O4" s="598">
        <f>(3.14*(C4-E4)*E4*F4*7.85)/1000000*L4/1000</f>
        <v/>
      </c>
      <c r="P4" s="177">
        <f>(3.14*(C4-E4)*E4*F4*7.85)/1000000*M4/1000</f>
        <v/>
      </c>
      <c r="Q4" s="15" t="inlineStr">
        <is>
          <t>Yoshika</t>
        </is>
      </c>
      <c r="R4" s="15" t="n">
        <v>750</v>
      </c>
    </row>
    <row r="5">
      <c r="A5" s="176" t="inlineStr">
        <is>
          <t>ERW</t>
        </is>
      </c>
      <c r="B5" s="599" t="n">
        <v>22.23</v>
      </c>
      <c r="C5" s="599" t="n">
        <v>22.23</v>
      </c>
      <c r="D5" s="599" t="n">
        <v>0</v>
      </c>
      <c r="E5" s="599" t="n">
        <v>2.6</v>
      </c>
      <c r="F5" s="600" t="n">
        <v>907</v>
      </c>
      <c r="G5" s="600" t="inlineStr">
        <is>
          <t>DEC</t>
        </is>
      </c>
      <c r="H5" s="600" t="n"/>
      <c r="I5" s="600" t="n">
        <v>3765473</v>
      </c>
      <c r="J5" s="22" t="inlineStr">
        <is>
          <t>NOS</t>
        </is>
      </c>
      <c r="K5" s="601" t="n">
        <v>1000</v>
      </c>
      <c r="L5" s="601">
        <f t="array" ref="L5">SUM(_xlfn.MAP(_xlfn.TEXTSPLIT(chamfering[[#This Row],[Material codes]],"|"),_xlfn.LAMBDA(_xlpm.a,SUMIFS(salesALL[qty in no],salesALL[MATERAIL NUMBER],_xlpm.a))))</f>
        <v/>
      </c>
      <c r="M5" s="602">
        <f>chamfering[[#This Row],[SCHEDULE]]-chamfering[[#This Row],[DISPATCH]]</f>
        <v/>
      </c>
      <c r="N5" s="598">
        <f>(3.14*(C5-E5)*E5*F5*7.85)/1000000*K5/1000</f>
        <v/>
      </c>
      <c r="O5" s="598">
        <f>(3.14*(C5-E5)*E5*F5*7.85)/1000000*L5/1000</f>
        <v/>
      </c>
      <c r="P5" s="177">
        <f>(3.14*(C5-E5)*E5*F5*7.85)/1000000*M5/1000</f>
        <v/>
      </c>
      <c r="Q5" s="15" t="inlineStr">
        <is>
          <t>Yoshika</t>
        </is>
      </c>
      <c r="R5" s="15" t="n">
        <v>250</v>
      </c>
    </row>
    <row r="6">
      <c r="A6" s="176" t="inlineStr">
        <is>
          <t>STKM 13 C</t>
        </is>
      </c>
      <c r="B6" s="599" t="n">
        <v>29.4</v>
      </c>
      <c r="C6" s="599" t="n">
        <v>29.4</v>
      </c>
      <c r="D6" s="599" t="n">
        <v>20.4</v>
      </c>
      <c r="E6" s="599" t="n">
        <v>4.5</v>
      </c>
      <c r="F6" s="600" t="n">
        <v>376</v>
      </c>
      <c r="G6" s="600" t="inlineStr">
        <is>
          <t>Lathe</t>
        </is>
      </c>
      <c r="H6" s="600" t="inlineStr">
        <is>
          <t>29.4-20.4-4.5-CEW STKM 13C-CEW-0.376</t>
        </is>
      </c>
      <c r="I6" s="600" t="n">
        <v>2359912</v>
      </c>
      <c r="J6" s="22" t="inlineStr">
        <is>
          <t>NOS</t>
        </is>
      </c>
      <c r="K6" s="601" t="n">
        <v>5000</v>
      </c>
      <c r="L6" s="601">
        <f t="array" ref="L6">SUM(_xlfn.MAP(_xlfn.TEXTSPLIT(chamfering[[#This Row],[Material codes]],"|"),_xlfn.LAMBDA(_xlpm.a,SUMIFS(salesALL[qty in no],salesALL[MATERAIL NUMBER],_xlpm.a))))</f>
        <v/>
      </c>
      <c r="M6" s="602">
        <f>chamfering[[#This Row],[SCHEDULE]]-chamfering[[#This Row],[DISPATCH]]</f>
        <v/>
      </c>
      <c r="N6" s="598">
        <f>(3.14*(C6-E6)*E6*F6*7.85)/1000000*K6/1000</f>
        <v/>
      </c>
      <c r="O6" s="598">
        <f>(3.14*(C6-E6)*E6*F6*7.85)/1000000*L6/1000</f>
        <v/>
      </c>
      <c r="P6" s="177">
        <f>(3.14*(C6-E6)*E6*F6*7.85)/1000000*M6/1000</f>
        <v/>
      </c>
      <c r="Q6" s="15" t="inlineStr">
        <is>
          <t>Kayjay/Narsipur</t>
        </is>
      </c>
      <c r="R6" s="15" t="n">
        <v>1250</v>
      </c>
      <c r="T6" s="18">
        <f t="array" ref="T6:T9">_xlfn.UNIQUE(G1:G30)</f>
        <v/>
      </c>
      <c r="U6" s="18" t="inlineStr">
        <is>
          <t>Nos</t>
        </is>
      </c>
      <c r="V6" s="18" t="inlineStr">
        <is>
          <t>MT</t>
        </is>
      </c>
    </row>
    <row r="7">
      <c r="A7" s="176" t="inlineStr">
        <is>
          <t>CEW 1</t>
        </is>
      </c>
      <c r="B7" s="599" t="n">
        <v>29.4</v>
      </c>
      <c r="C7" s="599" t="n">
        <v>29.4</v>
      </c>
      <c r="D7" s="599" t="n">
        <v>20.4</v>
      </c>
      <c r="E7" s="599" t="n">
        <v>4.5</v>
      </c>
      <c r="F7" s="600" t="n">
        <v>360</v>
      </c>
      <c r="G7" s="600" t="inlineStr">
        <is>
          <t>Lathe</t>
        </is>
      </c>
      <c r="H7" s="600" t="inlineStr">
        <is>
          <t>29.4-20.4-4.5-CEW-CEW-0.36</t>
        </is>
      </c>
      <c r="I7" s="600" t="n">
        <v>3940551</v>
      </c>
      <c r="J7" s="22" t="inlineStr">
        <is>
          <t>NOS</t>
        </is>
      </c>
      <c r="K7" s="601" t="n">
        <v>22000</v>
      </c>
      <c r="L7" s="601">
        <f t="array" ref="L7">SUM(_xlfn.MAP(_xlfn.TEXTSPLIT(chamfering[[#This Row],[Material codes]],"|"),_xlfn.LAMBDA(_xlpm.a,SUMIFS(salesALL[qty in no],salesALL[MATERAIL NUMBER],_xlpm.a))))</f>
        <v/>
      </c>
      <c r="M7" s="602">
        <f>chamfering[[#This Row],[SCHEDULE]]-chamfering[[#This Row],[DISPATCH]]</f>
        <v/>
      </c>
      <c r="N7" s="598">
        <f>(3.14*(C7-E7)*E7*F7*7.85)/1000000*K7/1000</f>
        <v/>
      </c>
      <c r="O7" s="598">
        <f>(3.14*(C7-E7)*E7*F7*7.85)/1000000*L7/1000</f>
        <v/>
      </c>
      <c r="P7" s="177">
        <f>(3.14*(C7-E7)*E7*F7*7.85)/1000000*M7/1000</f>
        <v/>
      </c>
      <c r="Q7" s="15" t="inlineStr">
        <is>
          <t>Kayjay/Narsipur</t>
        </is>
      </c>
      <c r="R7" s="15" t="n">
        <v>5500</v>
      </c>
      <c r="T7" s="15" t="inlineStr">
        <is>
          <t>DEC</t>
        </is>
      </c>
      <c r="U7" s="109">
        <f>SUMIFS($K$2:$K$30,$G$2:$G$30,T7)</f>
        <v/>
      </c>
      <c r="V7" s="62">
        <f>SUMIFS($N$2:$N$30,$G$2:$G$30,T7)</f>
        <v/>
      </c>
      <c r="W7" t="n">
        <v>70</v>
      </c>
    </row>
    <row r="8">
      <c r="A8" s="176" t="inlineStr">
        <is>
          <t>STKM 13 C</t>
        </is>
      </c>
      <c r="B8" s="599" t="n">
        <v>29.4</v>
      </c>
      <c r="C8" s="599" t="n">
        <v>29.4</v>
      </c>
      <c r="D8" s="599" t="n">
        <v>20.4</v>
      </c>
      <c r="E8" s="599" t="n">
        <v>4.5</v>
      </c>
      <c r="F8" s="600" t="n">
        <v>361</v>
      </c>
      <c r="G8" s="600" t="inlineStr">
        <is>
          <t>Lathe</t>
        </is>
      </c>
      <c r="H8" s="600" t="inlineStr">
        <is>
          <t>29.4-20.4-4.5-CEW STKM 13C-CEW-0.361</t>
        </is>
      </c>
      <c r="I8" s="600" t="inlineStr">
        <is>
          <t>1939285|1941303</t>
        </is>
      </c>
      <c r="J8" s="22" t="inlineStr">
        <is>
          <t>NOS</t>
        </is>
      </c>
      <c r="K8" s="601" t="n">
        <v>5000</v>
      </c>
      <c r="L8" s="601">
        <f t="array" ref="L8">SUM(_xlfn.MAP(_xlfn.TEXTSPLIT(chamfering[[#This Row],[Material codes]],"|"),_xlfn.LAMBDA(_xlpm.a,SUMIFS(salesALL[qty in no],salesALL[MATERAIL NUMBER],_xlpm.a))))</f>
        <v/>
      </c>
      <c r="M8" s="602">
        <f>chamfering[[#This Row],[SCHEDULE]]-chamfering[[#This Row],[DISPATCH]]</f>
        <v/>
      </c>
      <c r="N8" s="598">
        <f>(3.14*(C8-E8)*E8*F8*7.85)/1000000*K8/1000</f>
        <v/>
      </c>
      <c r="O8" s="598">
        <f>(3.14*(C8-E8)*E8*F8*7.85)/1000000*L8/1000</f>
        <v/>
      </c>
      <c r="P8" s="177">
        <f>(3.14*(C8-E8)*E8*F8*7.85)/1000000*M8/1000</f>
        <v/>
      </c>
      <c r="Q8" s="15" t="inlineStr">
        <is>
          <t>Kayjay/Narsipur</t>
        </is>
      </c>
      <c r="R8" s="15" t="n">
        <v>1250</v>
      </c>
      <c r="T8" s="15" t="inlineStr">
        <is>
          <t>Lathe</t>
        </is>
      </c>
      <c r="U8" s="109">
        <f>SUMIFS($K$2:$K$30,$G$2:$G$30,T8)</f>
        <v/>
      </c>
      <c r="V8" s="62">
        <f>SUMIFS($N$2:$N$30,$G$2:$G$30,T8)</f>
        <v/>
      </c>
      <c r="W8" t="n">
        <v>100</v>
      </c>
    </row>
    <row r="9">
      <c r="A9" s="176" t="inlineStr">
        <is>
          <t>CEW 1</t>
        </is>
      </c>
      <c r="B9" s="599" t="n">
        <v>29.4</v>
      </c>
      <c r="C9" s="599" t="n">
        <v>29.4</v>
      </c>
      <c r="D9" s="599" t="n">
        <v>20.4</v>
      </c>
      <c r="E9" s="599" t="n">
        <v>4.5</v>
      </c>
      <c r="F9" s="23" t="n">
        <v>357</v>
      </c>
      <c r="G9" s="600" t="inlineStr">
        <is>
          <t>Lathe</t>
        </is>
      </c>
      <c r="H9" s="600" t="inlineStr">
        <is>
          <t>29.4-20.4-4.5-CEW-CEW-0.357</t>
        </is>
      </c>
      <c r="I9" s="600" t="inlineStr">
        <is>
          <t>3909903</t>
        </is>
      </c>
      <c r="J9" s="22" t="inlineStr">
        <is>
          <t>NOS</t>
        </is>
      </c>
      <c r="K9" s="601" t="n">
        <v>8000</v>
      </c>
      <c r="L9" s="601">
        <f t="array" ref="L9">SUM(_xlfn.MAP(_xlfn.TEXTSPLIT(chamfering[[#This Row],[Material codes]],"|"),_xlfn.LAMBDA(_xlpm.a,SUMIFS(salesALL[qty in no],salesALL[MATERAIL NUMBER],_xlpm.a))))</f>
        <v/>
      </c>
      <c r="M9" s="602">
        <f>chamfering[[#This Row],[SCHEDULE]]-chamfering[[#This Row],[DISPATCH]]</f>
        <v/>
      </c>
      <c r="N9" s="598">
        <f>(3.14*(C9-E9)*E9*F9*7.85)/1000000*K9/1000</f>
        <v/>
      </c>
      <c r="O9" s="598">
        <f>(3.14*(C9-E9)*E9*F9*7.85)/1000000*L9/1000</f>
        <v/>
      </c>
      <c r="P9" s="177">
        <f>(3.14*(C9-E9)*E9*F9*7.85)/1000000*M9/1000</f>
        <v/>
      </c>
      <c r="Q9" s="15" t="inlineStr">
        <is>
          <t>Kayjay/Narsipur</t>
        </is>
      </c>
      <c r="R9" s="15" t="n">
        <v>2000</v>
      </c>
      <c r="T9" s="15" t="inlineStr">
        <is>
          <t>SEC</t>
        </is>
      </c>
      <c r="U9" s="109">
        <f>SUMIFS($K$2:$K$30,$G$2:$G$30,T9)</f>
        <v/>
      </c>
      <c r="V9" s="62">
        <f>SUMIFS($N$2:$N$30,$G$2:$G$30,T9)</f>
        <v/>
      </c>
      <c r="W9" t="n">
        <v>35</v>
      </c>
    </row>
    <row r="10">
      <c r="A10" s="176" t="inlineStr">
        <is>
          <t>CEW</t>
        </is>
      </c>
      <c r="B10" s="599" t="n">
        <v>30.15</v>
      </c>
      <c r="C10" s="599" t="n">
        <v>30</v>
      </c>
      <c r="D10" s="599" t="n">
        <v>25.5</v>
      </c>
      <c r="E10" s="599" t="n">
        <v>2.25</v>
      </c>
      <c r="F10" s="600" t="n">
        <v>465</v>
      </c>
      <c r="G10" s="600" t="inlineStr">
        <is>
          <t>SEC</t>
        </is>
      </c>
      <c r="H10" s="600" t="inlineStr">
        <is>
          <t>30-25.5-2.25-CEW-CEW-0.465</t>
        </is>
      </c>
      <c r="I10" s="600" t="inlineStr">
        <is>
          <t>403040</t>
        </is>
      </c>
      <c r="J10" s="22" t="inlineStr">
        <is>
          <t>NOS</t>
        </is>
      </c>
      <c r="K10" s="601" t="n">
        <v>3000</v>
      </c>
      <c r="L10" s="601">
        <f t="array" ref="L10">SUM(_xlfn.MAP(_xlfn.TEXTSPLIT(chamfering[[#This Row],[Material codes]],"|"),_xlfn.LAMBDA(_xlpm.a,SUMIFS(salesALL[qty in no],salesALL[MATERAIL NUMBER],_xlpm.a))))</f>
        <v/>
      </c>
      <c r="M10" s="602">
        <f>chamfering[[#This Row],[SCHEDULE]]-chamfering[[#This Row],[DISPATCH]]</f>
        <v/>
      </c>
      <c r="N10" s="598">
        <f>(3.14*(C10-E10)*E10*F10*7.85)/1000000*K10/1000</f>
        <v/>
      </c>
      <c r="O10" s="598">
        <f>(3.14*(C10-E10)*E10*F10*7.85)/1000000*L10/1000</f>
        <v/>
      </c>
      <c r="P10" s="177">
        <f>(3.14*(C10-E10)*E10*F10*7.85)/1000000*M10/1000</f>
        <v/>
      </c>
      <c r="Q10" s="15" t="inlineStr">
        <is>
          <t>Rajsriya</t>
        </is>
      </c>
      <c r="R10" s="15" t="n">
        <v>1000</v>
      </c>
      <c r="U10" s="108">
        <f>SUBTOTAL(9,U7:U9)</f>
        <v/>
      </c>
      <c r="V10" s="585">
        <f>SUBTOTAL(9,V7:V9)</f>
        <v/>
      </c>
      <c r="W10">
        <f>SUM(W7:W9)</f>
        <v/>
      </c>
    </row>
    <row r="11">
      <c r="A11" s="176" t="inlineStr">
        <is>
          <t>CEW</t>
        </is>
      </c>
      <c r="B11" s="599" t="n">
        <v>30.15</v>
      </c>
      <c r="C11" s="599" t="n">
        <v>30</v>
      </c>
      <c r="D11" s="599" t="n">
        <v>25.5</v>
      </c>
      <c r="E11" s="599" t="n">
        <v>2.25</v>
      </c>
      <c r="F11" s="600" t="n">
        <v>485</v>
      </c>
      <c r="G11" s="600" t="inlineStr">
        <is>
          <t>SEC</t>
        </is>
      </c>
      <c r="H11" s="600" t="inlineStr">
        <is>
          <t>30-25.5-2.25-CEW-CEW-0.485</t>
        </is>
      </c>
      <c r="I11" s="600" t="inlineStr">
        <is>
          <t>2359755|1938121|503108</t>
        </is>
      </c>
      <c r="J11" s="22" t="inlineStr">
        <is>
          <t>NOS</t>
        </is>
      </c>
      <c r="K11" s="601" t="n">
        <v>39450</v>
      </c>
      <c r="L11" s="601">
        <f t="array" ref="L11">SUM(_xlfn.MAP(_xlfn.TEXTSPLIT(chamfering[[#This Row],[Material codes]],"|"),_xlfn.LAMBDA(_xlpm.a,SUMIFS(salesALL[qty in no],salesALL[MATERAIL NUMBER],_xlpm.a))))</f>
        <v/>
      </c>
      <c r="M11" s="602">
        <f>chamfering[[#This Row],[SCHEDULE]]-chamfering[[#This Row],[DISPATCH]]</f>
        <v/>
      </c>
      <c r="N11" s="598">
        <f>(3.14*(C11-E11)*E11*F11*7.85)/1000000*K11/1000</f>
        <v/>
      </c>
      <c r="O11" s="598">
        <f>(3.14*(C11-E11)*E11*F11*7.85)/1000000*L11/1000</f>
        <v/>
      </c>
      <c r="P11" s="177">
        <f>(3.14*(C11-E11)*E11*F11*7.85)/1000000*M11/1000</f>
        <v/>
      </c>
      <c r="Q11" s="15" t="inlineStr">
        <is>
          <t>Rajsriya/Marathawada</t>
        </is>
      </c>
      <c r="R11" s="15" t="n">
        <v>10000</v>
      </c>
    </row>
    <row r="12">
      <c r="A12" s="176" t="inlineStr">
        <is>
          <t>CEW</t>
        </is>
      </c>
      <c r="B12" s="599" t="n">
        <v>37.6</v>
      </c>
      <c r="C12" s="599" t="n">
        <v>37.6</v>
      </c>
      <c r="D12" s="599" t="n">
        <v>0</v>
      </c>
      <c r="E12" s="599" t="n">
        <v>3.2</v>
      </c>
      <c r="F12" s="600" t="n">
        <v>295</v>
      </c>
      <c r="G12" s="600" t="inlineStr">
        <is>
          <t>SEC</t>
        </is>
      </c>
      <c r="H12" s="600" t="inlineStr">
        <is>
          <t>37.6-31.2-3.2-CEW-CEW-0.295</t>
        </is>
      </c>
      <c r="I12" s="600" t="inlineStr">
        <is>
          <t>403039</t>
        </is>
      </c>
      <c r="J12" s="22" t="inlineStr">
        <is>
          <t>NOS</t>
        </is>
      </c>
      <c r="K12" s="601" t="n">
        <v>4700</v>
      </c>
      <c r="L12" s="601">
        <f t="array" ref="L12">SUM(_xlfn.MAP(_xlfn.TEXTSPLIT(chamfering[[#This Row],[Material codes]],"|"),_xlfn.LAMBDA(_xlpm.a,SUMIFS(salesALL[qty in no],salesALL[MATERAIL NUMBER],_xlpm.a))))</f>
        <v/>
      </c>
      <c r="M12" s="602">
        <f>chamfering[[#This Row],[SCHEDULE]]-chamfering[[#This Row],[DISPATCH]]</f>
        <v/>
      </c>
      <c r="N12" s="598">
        <f>(3.14*(C12-E12)*E12*F12*7.85)/1000000*K12/1000</f>
        <v/>
      </c>
      <c r="O12" s="598">
        <f>(3.14*(C12-E12)*E12*F12*7.85)/1000000*L12/1000</f>
        <v/>
      </c>
      <c r="P12" s="177">
        <f>(3.14*(C12-E12)*E12*F12*7.85)/1000000*M12/1000</f>
        <v/>
      </c>
      <c r="Q12" s="15" t="inlineStr">
        <is>
          <t>Elkayem</t>
        </is>
      </c>
      <c r="R12" s="15" t="n">
        <v>1200</v>
      </c>
    </row>
    <row r="13">
      <c r="A13" s="176" t="inlineStr">
        <is>
          <t>CEW</t>
        </is>
      </c>
      <c r="B13" s="599" t="n">
        <v>39</v>
      </c>
      <c r="C13" s="599" t="n">
        <v>39</v>
      </c>
      <c r="D13" s="599" t="n">
        <v>34</v>
      </c>
      <c r="E13" s="599" t="n">
        <v>2.5</v>
      </c>
      <c r="F13" s="600" t="n">
        <v>272</v>
      </c>
      <c r="G13" s="600" t="inlineStr">
        <is>
          <t>SEC</t>
        </is>
      </c>
      <c r="H13" s="600" t="inlineStr">
        <is>
          <t>39-34-2.5-CEW-CEW-0.272</t>
        </is>
      </c>
      <c r="I13" s="600" t="inlineStr">
        <is>
          <t>1938125|1130592</t>
        </is>
      </c>
      <c r="J13" s="22" t="inlineStr">
        <is>
          <t>NOS</t>
        </is>
      </c>
      <c r="K13" s="601" t="n">
        <v>38800</v>
      </c>
      <c r="L13" s="601">
        <f t="array" ref="L13">SUM(_xlfn.MAP(_xlfn.TEXTSPLIT(chamfering[[#This Row],[Material codes]],"|"),_xlfn.LAMBDA(_xlpm.a,SUMIFS(salesALL[qty in no],salesALL[MATERAIL NUMBER],_xlpm.a))))</f>
        <v/>
      </c>
      <c r="M13" s="602">
        <f>chamfering[[#This Row],[SCHEDULE]]-chamfering[[#This Row],[DISPATCH]]</f>
        <v/>
      </c>
      <c r="N13" s="598">
        <f>(3.14*(C13-E13)*E13*F13*7.85)/1000000*K13/1000</f>
        <v/>
      </c>
      <c r="O13" s="598">
        <f>(3.14*(C13-E13)*E13*F13*7.85)/1000000*L13/1000</f>
        <v/>
      </c>
      <c r="P13" s="177">
        <f>(3.14*(C13-E13)*E13*F13*7.85)/1000000*M13/1000</f>
        <v/>
      </c>
      <c r="Q13" s="15" t="inlineStr">
        <is>
          <t>Rajsriya/Marathawada</t>
        </is>
      </c>
      <c r="R13" s="15" t="n">
        <v>10000</v>
      </c>
    </row>
    <row r="14">
      <c r="A14" s="176" t="inlineStr">
        <is>
          <t>ERW</t>
        </is>
      </c>
      <c r="B14" s="599" t="n">
        <v>41.28</v>
      </c>
      <c r="C14" s="599" t="n">
        <v>41.28</v>
      </c>
      <c r="D14" s="599" t="n">
        <v>0</v>
      </c>
      <c r="E14" s="599" t="n">
        <v>2.4</v>
      </c>
      <c r="F14" s="600" t="n">
        <v>204.5</v>
      </c>
      <c r="G14" s="600" t="inlineStr">
        <is>
          <t>Lathe</t>
        </is>
      </c>
      <c r="H14" s="600" t="inlineStr">
        <is>
          <t>Indo</t>
        </is>
      </c>
      <c r="I14" s="600" t="n">
        <v>3557583</v>
      </c>
      <c r="J14" s="22" t="inlineStr">
        <is>
          <t>NOS</t>
        </is>
      </c>
      <c r="K14" s="601" t="n">
        <v>4000</v>
      </c>
      <c r="L14" s="601">
        <f t="array" ref="L14">SUM(_xlfn.MAP(_xlfn.TEXTSPLIT(chamfering[[#This Row],[Material codes]],"|"),_xlfn.LAMBDA(_xlpm.a,SUMIFS(salesALL[qty in no],salesALL[MATERAIL NUMBER],_xlpm.a))))</f>
        <v/>
      </c>
      <c r="M14" s="602">
        <f>chamfering[[#This Row],[SCHEDULE]]-chamfering[[#This Row],[DISPATCH]]</f>
        <v/>
      </c>
      <c r="N14" s="598">
        <f>(3.14*(C14-E14)*E14*F14*7.85)/1000000*K14/1000</f>
        <v/>
      </c>
      <c r="O14" s="598">
        <f>(3.14*(C14-E14)*E14*F14*7.85)/1000000*L14/1000</f>
        <v/>
      </c>
      <c r="P14" s="177">
        <f>(3.14*(C14-E14)*E14*F14*7.85)/1000000*M14/1000</f>
        <v/>
      </c>
      <c r="Q14" s="15" t="inlineStr">
        <is>
          <t>Indo</t>
        </is>
      </c>
      <c r="R14" s="15" t="n">
        <v>1000</v>
      </c>
    </row>
    <row r="15">
      <c r="A15" s="176" t="inlineStr">
        <is>
          <t>ERW</t>
        </is>
      </c>
      <c r="B15" s="599" t="n">
        <v>41.28</v>
      </c>
      <c r="C15" s="599" t="n">
        <v>41.28</v>
      </c>
      <c r="D15" s="599" t="n">
        <v>0</v>
      </c>
      <c r="E15" s="599" t="n">
        <v>3.2</v>
      </c>
      <c r="F15" s="600" t="n">
        <v>230</v>
      </c>
      <c r="G15" s="600" t="inlineStr">
        <is>
          <t>Lathe</t>
        </is>
      </c>
      <c r="H15" s="600" t="inlineStr">
        <is>
          <t>41.28-0-3.2-ERW 1-FC-0.23</t>
        </is>
      </c>
      <c r="I15" s="600" t="inlineStr">
        <is>
          <t>3605867</t>
        </is>
      </c>
      <c r="J15" s="22" t="inlineStr">
        <is>
          <t>NOS</t>
        </is>
      </c>
      <c r="K15" s="601" t="n">
        <v>10000</v>
      </c>
      <c r="L15" s="601">
        <f t="array" ref="L15">SUM(_xlfn.MAP(_xlfn.TEXTSPLIT(chamfering[[#This Row],[Material codes]],"|"),_xlfn.LAMBDA(_xlpm.a,SUMIFS(salesALL[qty in no],salesALL[MATERAIL NUMBER],_xlpm.a))))</f>
        <v/>
      </c>
      <c r="M15" s="602">
        <f>chamfering[[#This Row],[SCHEDULE]]-chamfering[[#This Row],[DISPATCH]]</f>
        <v/>
      </c>
      <c r="N15" s="598">
        <f>(3.14*(C15-E15)*E15*F15*7.85)/1000000*K15/1000</f>
        <v/>
      </c>
      <c r="O15" s="598">
        <f>(3.14*(C15-E15)*E15*F15*7.85)/1000000*L15/1000</f>
        <v/>
      </c>
      <c r="P15" s="177">
        <f>(3.14*(C15-E15)*E15*F15*7.85)/1000000*M15/1000</f>
        <v/>
      </c>
      <c r="Q15" s="15" t="inlineStr">
        <is>
          <t>Rajsriya</t>
        </is>
      </c>
      <c r="R15" s="15" t="n">
        <v>2500</v>
      </c>
    </row>
    <row r="16">
      <c r="A16" s="176" t="inlineStr">
        <is>
          <t>ERW</t>
        </is>
      </c>
      <c r="B16" s="599" t="n">
        <v>41.28</v>
      </c>
      <c r="C16" s="599" t="n">
        <v>41.28</v>
      </c>
      <c r="D16" s="599" t="n">
        <v>0</v>
      </c>
      <c r="E16" s="599" t="n">
        <v>3.2</v>
      </c>
      <c r="F16" s="600" t="n">
        <v>246</v>
      </c>
      <c r="G16" s="600" t="inlineStr">
        <is>
          <t>Lathe</t>
        </is>
      </c>
      <c r="H16" s="600" t="inlineStr">
        <is>
          <t>41.28-0-3.2-ERW 1-FC-0.246</t>
        </is>
      </c>
      <c r="I16" s="600" t="inlineStr">
        <is>
          <t>3768907</t>
        </is>
      </c>
      <c r="J16" s="22" t="inlineStr">
        <is>
          <t>NOS</t>
        </is>
      </c>
      <c r="K16" s="601" t="n">
        <v>8000</v>
      </c>
      <c r="L16" s="601">
        <f t="array" ref="L16">SUM(_xlfn.MAP(_xlfn.TEXTSPLIT(chamfering[[#This Row],[Material codes]],"|"),_xlfn.LAMBDA(_xlpm.a,SUMIFS(salesALL[qty in no],salesALL[MATERAIL NUMBER],_xlpm.a))))</f>
        <v/>
      </c>
      <c r="M16" s="602">
        <f>chamfering[[#This Row],[SCHEDULE]]-chamfering[[#This Row],[DISPATCH]]</f>
        <v/>
      </c>
      <c r="N16" s="598">
        <f>(3.14*(C16-E16)*E16*F16*7.85)/1000000*K16/1000</f>
        <v/>
      </c>
      <c r="O16" s="598">
        <f>(3.14*(C16-E16)*E16*F16*7.85)/1000000*L16/1000</f>
        <v/>
      </c>
      <c r="P16" s="177">
        <f>(3.14*(C16-E16)*E16*F16*7.85)/1000000*M16/1000</f>
        <v/>
      </c>
      <c r="Q16" s="15" t="inlineStr">
        <is>
          <t>Metalman</t>
        </is>
      </c>
      <c r="R16" s="15" t="n">
        <v>2000</v>
      </c>
    </row>
    <row r="17">
      <c r="A17" s="176" t="inlineStr">
        <is>
          <t>ERW</t>
        </is>
      </c>
      <c r="B17" s="599" t="n">
        <v>42.7</v>
      </c>
      <c r="C17" s="599" t="n">
        <v>42.7</v>
      </c>
      <c r="D17" s="599" t="n">
        <v>0</v>
      </c>
      <c r="E17" s="599" t="n">
        <v>3.5</v>
      </c>
      <c r="F17" s="22" t="n">
        <v>210</v>
      </c>
      <c r="G17" s="600" t="inlineStr">
        <is>
          <t>Lathe</t>
        </is>
      </c>
      <c r="H17" s="600" t="inlineStr">
        <is>
          <t>42.7-0-3.5-ERW 1-FC-0.21</t>
        </is>
      </c>
      <c r="I17" s="600" t="inlineStr">
        <is>
          <t>2417649|2417648|1310731</t>
        </is>
      </c>
      <c r="J17" s="22" t="inlineStr">
        <is>
          <t>NOS</t>
        </is>
      </c>
      <c r="K17" s="601" t="n">
        <v>40000</v>
      </c>
      <c r="L17" s="601">
        <f t="array" ref="L17">SUM(_xlfn.MAP(_xlfn.TEXTSPLIT(chamfering[[#This Row],[Material codes]],"|"),_xlfn.LAMBDA(_xlpm.a,SUMIFS(salesALL[qty in no],salesALL[MATERAIL NUMBER],_xlpm.a))))</f>
        <v/>
      </c>
      <c r="M17" s="602">
        <f>chamfering[[#This Row],[SCHEDULE]]-chamfering[[#This Row],[DISPATCH]]</f>
        <v/>
      </c>
      <c r="N17" s="598">
        <f>(3.14*(C17-E17)*E17*F17*7.85)/1000000*K17/1000</f>
        <v/>
      </c>
      <c r="O17" s="598">
        <f>(3.14*(C17-E17)*E17*F17*7.85)/1000000*L17/1000</f>
        <v/>
      </c>
      <c r="P17" s="177">
        <f>(3.14*(C17-E17)*E17*F17*7.85)/1000000*M17/1000</f>
        <v/>
      </c>
      <c r="Q17" s="15" t="inlineStr">
        <is>
          <t>NMPL</t>
        </is>
      </c>
      <c r="R17" s="15" t="n">
        <v>7500</v>
      </c>
    </row>
    <row r="18">
      <c r="A18" s="176" t="inlineStr">
        <is>
          <t>ERW</t>
        </is>
      </c>
      <c r="B18" s="599" t="n">
        <v>42.7</v>
      </c>
      <c r="C18" s="599" t="n">
        <v>42.7</v>
      </c>
      <c r="D18" s="599" t="n">
        <v>0</v>
      </c>
      <c r="E18" s="599" t="n">
        <v>3.5</v>
      </c>
      <c r="F18" s="600" t="n">
        <v>208</v>
      </c>
      <c r="G18" s="600" t="inlineStr">
        <is>
          <t>Lathe</t>
        </is>
      </c>
      <c r="H18" s="600" t="inlineStr">
        <is>
          <t>42.7-0-3.5-ERW 1-FC-0.208</t>
        </is>
      </c>
      <c r="I18" s="600" t="inlineStr">
        <is>
          <t>3722021</t>
        </is>
      </c>
      <c r="J18" s="22" t="inlineStr">
        <is>
          <t>NOS</t>
        </is>
      </c>
      <c r="K18" s="601" t="n">
        <v>40000</v>
      </c>
      <c r="L18" s="601">
        <f t="array" ref="L18">SUM(_xlfn.MAP(_xlfn.TEXTSPLIT(chamfering[[#This Row],[Material codes]],"|"),_xlfn.LAMBDA(_xlpm.a,SUMIFS(salesALL[qty in no],salesALL[MATERAIL NUMBER],_xlpm.a))))</f>
        <v/>
      </c>
      <c r="M18" s="602">
        <f>chamfering[[#This Row],[SCHEDULE]]-chamfering[[#This Row],[DISPATCH]]</f>
        <v/>
      </c>
      <c r="N18" s="598">
        <f>(3.14*(C18-E18)*E18*F18*7.85)/1000000*K18/1000</f>
        <v/>
      </c>
      <c r="O18" s="598">
        <f>(3.14*(C18-E18)*E18*F18*7.85)/1000000*L18/1000</f>
        <v/>
      </c>
      <c r="P18" s="177">
        <f>(3.14*(C18-E18)*E18*F18*7.85)/1000000*M18/1000</f>
        <v/>
      </c>
      <c r="Q18" s="15" t="inlineStr">
        <is>
          <t>Sandhar</t>
        </is>
      </c>
      <c r="R18" s="15" t="n">
        <v>7000</v>
      </c>
    </row>
    <row r="19">
      <c r="A19" s="176" t="inlineStr">
        <is>
          <t>ERW</t>
        </is>
      </c>
      <c r="B19" s="599" t="n">
        <v>42.7</v>
      </c>
      <c r="C19" s="599" t="n">
        <v>42.7</v>
      </c>
      <c r="D19" s="599" t="n">
        <v>0</v>
      </c>
      <c r="E19" s="599" t="n">
        <v>3.5</v>
      </c>
      <c r="F19" s="600" t="n">
        <v>247</v>
      </c>
      <c r="G19" s="600" t="inlineStr">
        <is>
          <t>Lathe</t>
        </is>
      </c>
      <c r="H19" s="600" t="inlineStr">
        <is>
          <t>42.7-0-3.5-ERW 1-FC-0.247</t>
        </is>
      </c>
      <c r="I19" s="600" t="inlineStr">
        <is>
          <t>3433148</t>
        </is>
      </c>
      <c r="J19" s="22" t="inlineStr">
        <is>
          <t>NOS</t>
        </is>
      </c>
      <c r="K19" s="601" t="n">
        <v>11170</v>
      </c>
      <c r="L19" s="601">
        <f t="array" ref="L19">SUM(_xlfn.MAP(_xlfn.TEXTSPLIT(chamfering[[#This Row],[Material codes]],"|"),_xlfn.LAMBDA(_xlpm.a,SUMIFS(salesALL[qty in no],salesALL[MATERAIL NUMBER],_xlpm.a))))</f>
        <v/>
      </c>
      <c r="M19" s="602">
        <f>chamfering[[#This Row],[SCHEDULE]]-chamfering[[#This Row],[DISPATCH]]</f>
        <v/>
      </c>
      <c r="N19" s="598">
        <f>(3.14*(C19-E19)*E19*F19*7.85)/1000000*K19/1000</f>
        <v/>
      </c>
      <c r="O19" s="598">
        <f>(3.14*(C19-E19)*E19*F19*7.85)/1000000*L19/1000</f>
        <v/>
      </c>
      <c r="P19" s="177">
        <f>(3.14*(C19-E19)*E19*F19*7.85)/1000000*M19/1000</f>
        <v/>
      </c>
      <c r="Q19" s="15" t="inlineStr">
        <is>
          <t>Rucha</t>
        </is>
      </c>
      <c r="R19" s="15" t="n">
        <v>3000</v>
      </c>
    </row>
    <row r="20">
      <c r="A20" s="176" t="inlineStr">
        <is>
          <t>ERW</t>
        </is>
      </c>
      <c r="B20" s="599" t="n">
        <v>42.7</v>
      </c>
      <c r="C20" s="599" t="n">
        <v>42.7</v>
      </c>
      <c r="D20" s="599" t="n">
        <v>0</v>
      </c>
      <c r="E20" s="599" t="n">
        <v>4</v>
      </c>
      <c r="F20" s="23" t="n">
        <v>254</v>
      </c>
      <c r="G20" s="600" t="inlineStr">
        <is>
          <t>Lathe</t>
        </is>
      </c>
      <c r="H20" s="600" t="inlineStr">
        <is>
          <t>42.7-0-4-ERW 1-FC-0.254</t>
        </is>
      </c>
      <c r="I20" s="600" t="inlineStr">
        <is>
          <t>1938358|1311453</t>
        </is>
      </c>
      <c r="J20" s="22" t="inlineStr">
        <is>
          <t>NOS</t>
        </is>
      </c>
      <c r="K20" s="601" t="n">
        <v>10000</v>
      </c>
      <c r="L20" s="601">
        <f t="array" ref="L20">SUM(_xlfn.MAP(_xlfn.TEXTSPLIT(chamfering[[#This Row],[Material codes]],"|"),_xlfn.LAMBDA(_xlpm.a,SUMIFS(salesALL[qty in no],salesALL[MATERAIL NUMBER],_xlpm.a))))</f>
        <v/>
      </c>
      <c r="M20" s="602">
        <f>chamfering[[#This Row],[SCHEDULE]]-chamfering[[#This Row],[DISPATCH]]</f>
        <v/>
      </c>
      <c r="N20" s="598">
        <f>(3.14*(C20-E20)*E20*F20*7.85)/1000000*K20/1000</f>
        <v/>
      </c>
      <c r="O20" s="598">
        <f>(3.14*(C20-E20)*E20*F20*7.85)/1000000*L20/1000</f>
        <v/>
      </c>
      <c r="P20" s="177">
        <f>(3.14*(C20-E20)*E20*F20*7.85)/1000000*M20/1000</f>
        <v/>
      </c>
      <c r="Q20" s="15" t="inlineStr">
        <is>
          <t>Rajsriya</t>
        </is>
      </c>
      <c r="R20" s="15" t="n">
        <v>2500</v>
      </c>
    </row>
    <row r="21">
      <c r="A21" s="176" t="inlineStr">
        <is>
          <t>ERW</t>
        </is>
      </c>
      <c r="B21" s="599" t="n">
        <v>42.7</v>
      </c>
      <c r="C21" s="599" t="n">
        <v>42.7</v>
      </c>
      <c r="D21" s="599" t="n">
        <v>0</v>
      </c>
      <c r="E21" s="599" t="n">
        <v>4</v>
      </c>
      <c r="F21" s="600" t="n">
        <v>235</v>
      </c>
      <c r="G21" s="600" t="inlineStr">
        <is>
          <t>Lathe</t>
        </is>
      </c>
      <c r="H21" s="600" t="inlineStr">
        <is>
          <t>42.7-0-4-ERW 1-FC-0.235</t>
        </is>
      </c>
      <c r="I21" s="600" t="inlineStr">
        <is>
          <t>2428441|1399335</t>
        </is>
      </c>
      <c r="J21" s="22" t="inlineStr">
        <is>
          <t>NOS</t>
        </is>
      </c>
      <c r="K21" s="601" t="n">
        <v>3000</v>
      </c>
      <c r="L21" s="601">
        <f t="array" ref="L21">SUM(_xlfn.MAP(_xlfn.TEXTSPLIT(chamfering[[#This Row],[Material codes]],"|"),_xlfn.LAMBDA(_xlpm.a,SUMIFS(salesALL[qty in no],salesALL[MATERAIL NUMBER],_xlpm.a))))</f>
        <v/>
      </c>
      <c r="M21" s="602">
        <f>chamfering[[#This Row],[SCHEDULE]]-chamfering[[#This Row],[DISPATCH]]</f>
        <v/>
      </c>
      <c r="N21" s="598">
        <f>(3.14*(C21-E21)*E21*F21*7.85)/1000000*K21/1000</f>
        <v/>
      </c>
      <c r="O21" s="598">
        <f>(3.14*(C21-E21)*E21*F21*7.85)/1000000*L21/1000</f>
        <v/>
      </c>
      <c r="P21" s="177">
        <f>(3.14*(C21-E21)*E21*F21*7.85)/1000000*M21/1000</f>
        <v/>
      </c>
      <c r="Q21" s="15" t="inlineStr">
        <is>
          <t>Metalman</t>
        </is>
      </c>
      <c r="R21" s="15" t="n">
        <v>1000</v>
      </c>
    </row>
    <row r="22">
      <c r="A22" s="176" t="inlineStr">
        <is>
          <t>ERW</t>
        </is>
      </c>
      <c r="B22" s="599" t="n">
        <v>42.7</v>
      </c>
      <c r="C22" s="599" t="n">
        <v>42.7</v>
      </c>
      <c r="D22" s="599" t="n">
        <v>0</v>
      </c>
      <c r="E22" s="599" t="n">
        <v>4</v>
      </c>
      <c r="F22" s="600" t="n">
        <v>215</v>
      </c>
      <c r="G22" s="600" t="inlineStr">
        <is>
          <t>Lathe</t>
        </is>
      </c>
      <c r="H22" s="600" t="inlineStr">
        <is>
          <t>42.7-0-4-ERW 1-FC-0.215</t>
        </is>
      </c>
      <c r="I22" s="600" t="inlineStr">
        <is>
          <t>3901714</t>
        </is>
      </c>
      <c r="J22" s="22" t="inlineStr">
        <is>
          <t>NOS</t>
        </is>
      </c>
      <c r="K22" s="601" t="n">
        <v>40000</v>
      </c>
      <c r="L22" s="601">
        <f t="array" ref="L22">SUM(_xlfn.MAP(_xlfn.TEXTSPLIT(chamfering[[#This Row],[Material codes]],"|"),_xlfn.LAMBDA(_xlpm.a,SUMIFS(salesALL[qty in no],salesALL[MATERAIL NUMBER],_xlpm.a))))</f>
        <v/>
      </c>
      <c r="M22" s="602">
        <f>chamfering[[#This Row],[SCHEDULE]]-chamfering[[#This Row],[DISPATCH]]</f>
        <v/>
      </c>
      <c r="N22" s="598">
        <f>(3.14*(C22-E22)*E22*F22*7.85)/1000000*K22/1000</f>
        <v/>
      </c>
      <c r="O22" s="598">
        <f>(3.14*(C22-E22)*E22*F22*7.85)/1000000*L22/1000</f>
        <v/>
      </c>
      <c r="P22" s="177">
        <f>(3.14*(C22-E22)*E22*F22*7.85)/1000000*M22/1000</f>
        <v/>
      </c>
      <c r="Q22" s="15" t="inlineStr">
        <is>
          <t>Sandhar Mysore</t>
        </is>
      </c>
      <c r="R22" s="15" t="n">
        <v>8000</v>
      </c>
    </row>
    <row r="23">
      <c r="A23" s="176" t="inlineStr">
        <is>
          <t>ERW</t>
        </is>
      </c>
      <c r="B23" s="599" t="n">
        <v>42.7</v>
      </c>
      <c r="C23" s="599" t="n">
        <v>42.7</v>
      </c>
      <c r="D23" s="599" t="n">
        <v>0</v>
      </c>
      <c r="E23" s="599" t="n">
        <v>4</v>
      </c>
      <c r="F23" s="600" t="n">
        <v>290</v>
      </c>
      <c r="G23" s="600" t="inlineStr">
        <is>
          <t>Lathe</t>
        </is>
      </c>
      <c r="H23" s="600" t="inlineStr">
        <is>
          <t>42.7-0-4-ERW 1-FC-Ampere-0.29</t>
        </is>
      </c>
      <c r="I23" s="600" t="inlineStr">
        <is>
          <t>3499121</t>
        </is>
      </c>
      <c r="J23" s="22" t="inlineStr">
        <is>
          <t>NOS</t>
        </is>
      </c>
      <c r="K23" s="601" t="n">
        <v>6000</v>
      </c>
      <c r="L23" s="601">
        <f t="array" ref="L23">SUM(_xlfn.MAP(_xlfn.TEXTSPLIT(chamfering[[#This Row],[Material codes]],"|"),_xlfn.LAMBDA(_xlpm.a,SUMIFS(salesALL[qty in no],salesALL[MATERAIL NUMBER],_xlpm.a))))</f>
        <v/>
      </c>
      <c r="M23" s="602">
        <f>chamfering[[#This Row],[SCHEDULE]]-chamfering[[#This Row],[DISPATCH]]</f>
        <v/>
      </c>
      <c r="N23" s="598">
        <f>(3.14*(C23-E23)*E23*F23*7.85)/1000000*K23/1000</f>
        <v/>
      </c>
      <c r="O23" s="598">
        <f>(3.14*(C23-E23)*E23*F23*7.85)/1000000*L23/1000</f>
        <v/>
      </c>
      <c r="P23" s="177">
        <f>(3.14*(C23-E23)*E23*F23*7.85)/1000000*M23/1000</f>
        <v/>
      </c>
      <c r="Q23" s="15" t="inlineStr">
        <is>
          <t>Elkayem</t>
        </is>
      </c>
      <c r="R23" s="15" t="n">
        <v>1500</v>
      </c>
    </row>
    <row r="24">
      <c r="A24" s="176" t="inlineStr">
        <is>
          <t>CEW</t>
        </is>
      </c>
      <c r="B24" s="599" t="n">
        <v>47.63</v>
      </c>
      <c r="C24" s="599" t="n">
        <v>47.63</v>
      </c>
      <c r="D24" s="599" t="n">
        <v>0</v>
      </c>
      <c r="E24" s="599" t="n">
        <v>4</v>
      </c>
      <c r="F24" s="103" t="n">
        <v>212</v>
      </c>
      <c r="G24" s="600" t="inlineStr">
        <is>
          <t>Lathe</t>
        </is>
      </c>
      <c r="H24" s="600" t="inlineStr">
        <is>
          <t>Indo</t>
        </is>
      </c>
      <c r="I24" s="600" t="n">
        <v>1938350</v>
      </c>
      <c r="J24" s="22" t="inlineStr">
        <is>
          <t>NOS</t>
        </is>
      </c>
      <c r="K24" s="601" t="n">
        <v>60000</v>
      </c>
      <c r="L24" s="601">
        <f t="array" ref="L24">SUM(_xlfn.MAP(_xlfn.TEXTSPLIT(chamfering[[#This Row],[Material codes]],"|"),_xlfn.LAMBDA(_xlpm.a,SUMIFS(salesALL[qty in no],salesALL[MATERAIL NUMBER],_xlpm.a))))</f>
        <v/>
      </c>
      <c r="M24" s="602">
        <f>chamfering[[#This Row],[SCHEDULE]]-chamfering[[#This Row],[DISPATCH]]</f>
        <v/>
      </c>
      <c r="N24" s="598">
        <f>(3.14*(C24-E24)*E24*F24*7.85)/1000000*K24/1000</f>
        <v/>
      </c>
      <c r="O24" s="598">
        <f>(3.14*(C24-E24)*E24*F24*7.85)/1000000*L24/1000</f>
        <v/>
      </c>
      <c r="P24" s="177">
        <f>(3.14*(C24-E24)*E24*F24*7.85)/1000000*M24/1000</f>
        <v/>
      </c>
      <c r="Q24" s="15" t="inlineStr">
        <is>
          <t>Thai Submit</t>
        </is>
      </c>
      <c r="R24" s="15" t="n">
        <v>15000</v>
      </c>
    </row>
    <row r="25">
      <c r="A25" s="176" t="inlineStr">
        <is>
          <t>CEW</t>
        </is>
      </c>
      <c r="B25" s="599" t="n">
        <v>47.63</v>
      </c>
      <c r="C25" s="599" t="n">
        <v>47.63</v>
      </c>
      <c r="D25" s="599" t="n">
        <v>0</v>
      </c>
      <c r="E25" s="599" t="n">
        <v>4</v>
      </c>
      <c r="F25" s="103" t="n">
        <v>215</v>
      </c>
      <c r="G25" s="600" t="inlineStr">
        <is>
          <t>Lathe</t>
        </is>
      </c>
      <c r="H25" s="600" t="inlineStr">
        <is>
          <t>Indo</t>
        </is>
      </c>
      <c r="I25" s="600" t="n">
        <v>3614493</v>
      </c>
      <c r="J25" s="22" t="inlineStr">
        <is>
          <t>NOS</t>
        </is>
      </c>
      <c r="K25" s="601" t="n">
        <v>20000</v>
      </c>
      <c r="L25" s="601">
        <f t="array" ref="L25">SUM(_xlfn.MAP(_xlfn.TEXTSPLIT(chamfering[[#This Row],[Material codes]],"|"),_xlfn.LAMBDA(_xlpm.a,SUMIFS(salesALL[qty in no],salesALL[MATERAIL NUMBER],_xlpm.a))))</f>
        <v/>
      </c>
      <c r="M25" s="602">
        <f>chamfering[[#This Row],[SCHEDULE]]-chamfering[[#This Row],[DISPATCH]]</f>
        <v/>
      </c>
      <c r="N25" s="598">
        <f>(3.14*(C25-E25)*E25*F25*7.85)/1000000*K25/1000</f>
        <v/>
      </c>
      <c r="O25" s="598">
        <f>(3.14*(C25-E25)*E25*F25*7.85)/1000000*L25/1000</f>
        <v/>
      </c>
      <c r="P25" s="177">
        <f>(3.14*(C25-E25)*E25*F25*7.85)/1000000*M25/1000</f>
        <v/>
      </c>
      <c r="Q25" s="15" t="inlineStr">
        <is>
          <t>JBM</t>
        </is>
      </c>
      <c r="R25" s="15" t="n">
        <v>5000</v>
      </c>
    </row>
    <row r="26">
      <c r="A26" s="176" t="inlineStr">
        <is>
          <t>ERW</t>
        </is>
      </c>
      <c r="B26" s="599" t="n">
        <v>48.6</v>
      </c>
      <c r="C26" s="599" t="n">
        <v>48.6</v>
      </c>
      <c r="D26" s="599" t="n">
        <v>0</v>
      </c>
      <c r="E26" s="599" t="n">
        <v>3.5</v>
      </c>
      <c r="F26" s="600" t="n">
        <v>185</v>
      </c>
      <c r="G26" s="600" t="inlineStr">
        <is>
          <t>Lathe</t>
        </is>
      </c>
      <c r="H26" s="600" t="inlineStr">
        <is>
          <t>48.6-0-3.5-ERW 1-FC-0.185</t>
        </is>
      </c>
      <c r="I26" s="600" t="inlineStr">
        <is>
          <t>3238860|3531650</t>
        </is>
      </c>
      <c r="J26" s="22" t="inlineStr">
        <is>
          <t>NOS</t>
        </is>
      </c>
      <c r="K26" s="601" t="n">
        <v>12000</v>
      </c>
      <c r="L26" s="601">
        <f t="array" ref="L26">SUM(_xlfn.MAP(_xlfn.TEXTSPLIT(chamfering[[#This Row],[Material codes]],"|"),_xlfn.LAMBDA(_xlpm.a,SUMIFS(salesALL[qty in no],salesALL[MATERAIL NUMBER],_xlpm.a))))</f>
        <v/>
      </c>
      <c r="M26" s="602">
        <f>chamfering[[#This Row],[SCHEDULE]]-chamfering[[#This Row],[DISPATCH]]</f>
        <v/>
      </c>
      <c r="N26" s="598">
        <f>(3.14*(C26-E26)*E26*F26*7.85)/1000000*K26/1000</f>
        <v/>
      </c>
      <c r="O26" s="598">
        <f>(3.14*(C26-E26)*E26*F26*7.85)/1000000*L26/1000</f>
        <v/>
      </c>
      <c r="P26" s="177">
        <f>(3.14*(C26-E26)*E26*F26*7.85)/1000000*M26/1000</f>
        <v/>
      </c>
      <c r="Q26" s="15" t="inlineStr">
        <is>
          <t>Metalman</t>
        </is>
      </c>
      <c r="R26" s="15" t="n">
        <v>3000</v>
      </c>
    </row>
    <row r="27">
      <c r="A27" s="176" t="inlineStr">
        <is>
          <t>ERW</t>
        </is>
      </c>
      <c r="B27" s="599" t="n">
        <v>48.6</v>
      </c>
      <c r="C27" s="599" t="n">
        <v>48.6</v>
      </c>
      <c r="D27" s="599" t="n">
        <v>0</v>
      </c>
      <c r="E27" s="599" t="n">
        <v>3.5</v>
      </c>
      <c r="F27" s="22" t="n">
        <v>196</v>
      </c>
      <c r="G27" s="600" t="inlineStr">
        <is>
          <t>Lathe</t>
        </is>
      </c>
      <c r="H27" s="600" t="inlineStr">
        <is>
          <t>48.6-0-3.5-ERW 1-FC-0.196</t>
        </is>
      </c>
      <c r="I27" s="600" t="inlineStr">
        <is>
          <t xml:space="preserve">1568170|281785|3677062 </t>
        </is>
      </c>
      <c r="J27" s="22" t="inlineStr">
        <is>
          <t>NOS</t>
        </is>
      </c>
      <c r="K27" s="601" t="n">
        <v>10000</v>
      </c>
      <c r="L27" s="601">
        <f t="array" ref="L27">SUM(_xlfn.MAP(_xlfn.TEXTSPLIT(chamfering[[#This Row],[Material codes]],"|"),_xlfn.LAMBDA(_xlpm.a,SUMIFS(salesALL[qty in no],salesALL[MATERAIL NUMBER],_xlpm.a))))</f>
        <v/>
      </c>
      <c r="M27" s="602">
        <f>chamfering[[#This Row],[SCHEDULE]]-chamfering[[#This Row],[DISPATCH]]</f>
        <v/>
      </c>
      <c r="N27" s="598">
        <f>(3.14*(C27-E27)*E27*F27*7.85)/1000000*K27/1000</f>
        <v/>
      </c>
      <c r="O27" s="598">
        <f>(3.14*(C27-E27)*E27*F27*7.85)/1000000*L27/1000</f>
        <v/>
      </c>
      <c r="P27" s="177">
        <f>(3.14*(C27-E27)*E27*F27*7.85)/1000000*M27/1000</f>
        <v/>
      </c>
      <c r="Q27" s="15" t="inlineStr">
        <is>
          <t>NMPL</t>
        </is>
      </c>
      <c r="R27" s="15" t="n">
        <v>2500</v>
      </c>
    </row>
    <row r="28">
      <c r="A28" s="176" t="inlineStr">
        <is>
          <t>ERW</t>
        </is>
      </c>
      <c r="B28" s="599" t="n">
        <v>48.6</v>
      </c>
      <c r="C28" s="599" t="n">
        <v>48.6</v>
      </c>
      <c r="D28" s="599" t="n">
        <v>0</v>
      </c>
      <c r="E28" s="599" t="n">
        <v>3.5</v>
      </c>
      <c r="F28" s="600" t="n">
        <v>202.5</v>
      </c>
      <c r="G28" s="600" t="inlineStr">
        <is>
          <t>Lathe</t>
        </is>
      </c>
      <c r="H28" s="600" t="inlineStr">
        <is>
          <t>48.6-0-3.5-ERW 1-FC-0.204</t>
        </is>
      </c>
      <c r="I28" s="600" t="inlineStr">
        <is>
          <t>3718726</t>
        </is>
      </c>
      <c r="J28" s="22" t="inlineStr">
        <is>
          <t>NOS</t>
        </is>
      </c>
      <c r="K28" s="601" t="n">
        <v>7389</v>
      </c>
      <c r="L28" s="601">
        <f t="array" ref="L28">SUM(_xlfn.MAP(_xlfn.TEXTSPLIT(chamfering[[#This Row],[Material codes]],"|"),_xlfn.LAMBDA(_xlpm.a,SUMIFS(salesALL[qty in no],salesALL[MATERAIL NUMBER],_xlpm.a))))</f>
        <v/>
      </c>
      <c r="M28" s="602">
        <f>chamfering[[#This Row],[SCHEDULE]]-chamfering[[#This Row],[DISPATCH]]</f>
        <v/>
      </c>
      <c r="N28" s="598">
        <f>(3.14*(C28-E28)*E28*F28*7.85)/1000000*K28/1000</f>
        <v/>
      </c>
      <c r="O28" s="598">
        <f>(3.14*(C28-E28)*E28*F28*7.85)/1000000*L28/1000</f>
        <v/>
      </c>
      <c r="P28" s="177">
        <f>(3.14*(C28-E28)*E28*F28*7.85)/1000000*M28/1000</f>
        <v/>
      </c>
      <c r="Q28" s="15" t="inlineStr">
        <is>
          <t>NMPL</t>
        </is>
      </c>
      <c r="R28" s="15" t="n">
        <v>2000</v>
      </c>
    </row>
    <row r="29" customFormat="1" s="74">
      <c r="A29" s="207" t="inlineStr">
        <is>
          <t>CEW</t>
        </is>
      </c>
      <c r="B29" s="208" t="n">
        <v>50.8</v>
      </c>
      <c r="C29" s="208" t="n">
        <v>50.8</v>
      </c>
      <c r="D29" s="208" t="n">
        <v>0</v>
      </c>
      <c r="E29" s="208" t="n">
        <v>2.6</v>
      </c>
      <c r="F29" s="209" t="n">
        <v>142</v>
      </c>
      <c r="G29" s="209" t="inlineStr">
        <is>
          <t>Lathe</t>
        </is>
      </c>
      <c r="H29" s="209" t="inlineStr">
        <is>
          <t>Indo</t>
        </is>
      </c>
      <c r="I29" s="209" t="inlineStr">
        <is>
          <t>1342575|3784470</t>
        </is>
      </c>
      <c r="J29" s="210" t="inlineStr">
        <is>
          <t>NOS</t>
        </is>
      </c>
      <c r="K29" s="209" t="n">
        <v>7000</v>
      </c>
      <c r="L29" s="209">
        <f t="array" ref="L29">SUM(_xlfn.MAP(_xlfn.TEXTSPLIT(chamfering[[#This Row],[Material codes]],"|"),_xlfn.LAMBDA(_xlpm.a,SUMIFS(salesALL[qty in no],salesALL[MATERAIL NUMBER],_xlpm.a))))</f>
        <v/>
      </c>
      <c r="M29" s="211">
        <f>chamfering[[#This Row],[SCHEDULE]]-chamfering[[#This Row],[DISPATCH]]</f>
        <v/>
      </c>
      <c r="N29" s="210">
        <f>(3.14*(C29-E29)*E29*F29*7.85)/1000000*K29/1000</f>
        <v/>
      </c>
      <c r="O29" s="210">
        <f>(3.14*(C29-E29)*E29*F29*7.85)/1000000*L29/1000</f>
        <v/>
      </c>
      <c r="P29" s="212">
        <f>(3.14*(C29-E29)*E29*F29*7.85)/1000000*M29/1000</f>
        <v/>
      </c>
      <c r="Q29" s="213" t="inlineStr">
        <is>
          <t>Indo</t>
        </is>
      </c>
      <c r="R29" s="213" t="n">
        <v>2000</v>
      </c>
    </row>
    <row r="30">
      <c r="A30" s="180" t="inlineStr">
        <is>
          <t>ERW</t>
        </is>
      </c>
      <c r="B30" s="129" t="n">
        <v>50.8</v>
      </c>
      <c r="C30" s="129" t="n">
        <v>50.8</v>
      </c>
      <c r="D30" s="129" t="n">
        <v>0</v>
      </c>
      <c r="E30" s="129" t="n">
        <v>2.6</v>
      </c>
      <c r="F30" s="181" t="n">
        <v>130</v>
      </c>
      <c r="G30" s="181" t="inlineStr">
        <is>
          <t>Lathe</t>
        </is>
      </c>
      <c r="H30" s="181" t="inlineStr">
        <is>
          <t>Indo</t>
        </is>
      </c>
      <c r="I30" s="600" t="n">
        <v>3623581</v>
      </c>
      <c r="J30" s="182" t="inlineStr">
        <is>
          <t>NOS</t>
        </is>
      </c>
      <c r="K30" s="100" t="n">
        <v>5000</v>
      </c>
      <c r="L30" s="601">
        <f t="array" ref="L30">SUM(_xlfn.MAP(_xlfn.TEXTSPLIT(chamfering[[#This Row],[Material codes]],"|"),_xlfn.LAMBDA(_xlpm.a,SUMIFS(salesALL[qty in no],salesALL[MATERAIL NUMBER],_xlpm.a))))</f>
        <v/>
      </c>
      <c r="M30" s="602">
        <f>chamfering[[#This Row],[SCHEDULE]]-chamfering[[#This Row],[DISPATCH]]</f>
        <v/>
      </c>
      <c r="N30" s="183">
        <f>(3.14*(C30-E30)*E30*F30*7.85)/1000000*K30/1000</f>
        <v/>
      </c>
      <c r="O30" s="183">
        <f>(3.14*(C30-E30)*E30*F30*7.85)/1000000*L30/1000</f>
        <v/>
      </c>
      <c r="P30" s="184">
        <f>(3.14*(C30-E30)*E30*F30*7.85)/1000000*M30/1000</f>
        <v/>
      </c>
      <c r="Q30" s="15" t="inlineStr">
        <is>
          <t>Indo</t>
        </is>
      </c>
      <c r="R30" s="15" t="n">
        <v>1500</v>
      </c>
    </row>
    <row r="31">
      <c r="A31" s="180" t="n"/>
      <c r="B31" s="129" t="n"/>
      <c r="C31" s="129" t="n"/>
      <c r="D31" s="129" t="n"/>
      <c r="E31" s="129" t="n"/>
      <c r="F31" s="181" t="n"/>
      <c r="G31" s="181" t="n"/>
      <c r="H31" s="181" t="n"/>
      <c r="I31" s="181" t="n"/>
      <c r="J31" s="186" t="n"/>
      <c r="K31" s="182">
        <f>SUBTOTAL(9,K2:K30)</f>
        <v/>
      </c>
      <c r="L31" s="182">
        <f>SUBTOTAL(9,L2:L30)</f>
        <v/>
      </c>
      <c r="M31" s="182">
        <f>SUBTOTAL(9,M2:M30)</f>
        <v/>
      </c>
      <c r="N31" s="182">
        <f>SUBTOTAL(9,N2:N30)</f>
        <v/>
      </c>
      <c r="O31" s="182">
        <f>SUBTOTAL(9,O2:O30)</f>
        <v/>
      </c>
      <c r="P31" s="182">
        <f>SUBTOTAL(9,P2:P30)</f>
        <v/>
      </c>
      <c r="Q31" s="601" t="n"/>
      <c r="R31" s="186" t="n"/>
    </row>
    <row r="32">
      <c r="L32" s="193">
        <f>chamfering[[#Totals],[DISPATCH]]/chamfering[[#Totals],[SCHEDULE]]</f>
        <v/>
      </c>
    </row>
    <row r="35">
      <c r="A35" s="178" t="inlineStr">
        <is>
          <t>ACTUAL OD</t>
        </is>
      </c>
      <c r="B35" s="38" t="inlineStr">
        <is>
          <t>OD</t>
        </is>
      </c>
      <c r="C35" s="38" t="inlineStr">
        <is>
          <t>ID</t>
        </is>
      </c>
      <c r="D35" s="38" t="inlineStr">
        <is>
          <t>TICKNESS</t>
        </is>
      </c>
      <c r="E35" s="38" t="inlineStr">
        <is>
          <t>LENGTH</t>
        </is>
      </c>
      <c r="F35" s="38" t="inlineStr">
        <is>
          <t>UoM</t>
        </is>
      </c>
      <c r="G35" s="38" t="inlineStr">
        <is>
          <t>CTL Buckets</t>
        </is>
      </c>
      <c r="H35" s="38" t="inlineStr">
        <is>
          <t>Material Codes</t>
        </is>
      </c>
      <c r="I35" s="39" t="inlineStr">
        <is>
          <t>SCHEDULE</t>
        </is>
      </c>
      <c r="J35" s="40" t="inlineStr">
        <is>
          <t>DISPATCH</t>
        </is>
      </c>
      <c r="K35" s="179" t="inlineStr">
        <is>
          <t>BAL IN NOS</t>
        </is>
      </c>
    </row>
    <row r="36">
      <c r="A36" s="176" t="n">
        <v>22.23</v>
      </c>
      <c r="B36" s="599" t="n">
        <v>22.23</v>
      </c>
      <c r="C36" s="6" t="n">
        <v>0</v>
      </c>
      <c r="D36" s="599" t="n">
        <v>1.6</v>
      </c>
      <c r="E36" s="22" t="n">
        <v>675</v>
      </c>
      <c r="F36" s="22" t="inlineStr">
        <is>
          <t>NOS</t>
        </is>
      </c>
      <c r="G36" s="22" t="inlineStr">
        <is>
          <t>22.23-0-1.6-ERW 1-PE-0.675</t>
        </is>
      </c>
      <c r="H36" s="600" t="inlineStr">
        <is>
          <t>1399344|2427939</t>
        </is>
      </c>
      <c r="I36" s="601" t="n">
        <v>14000</v>
      </c>
      <c r="J36" s="601">
        <f t="array" ref="J36">SUM(_xlfn.MAP(_xlfn.TEXTSPLIT(anglecut[[#This Row],[Material Codes]],"|"),_xlfn.LAMBDA(_xlpm.a,SUMIFS(salesALL[qty in no],salesALL[MATERAIL NUMBER],_xlpm.a))))</f>
        <v/>
      </c>
      <c r="K36" s="177" t="n">
        <v>14000</v>
      </c>
    </row>
    <row r="37">
      <c r="A37" s="176" t="n">
        <v>25.4</v>
      </c>
      <c r="B37" s="599" t="n">
        <v>25.4</v>
      </c>
      <c r="C37" s="599" t="n">
        <v>0</v>
      </c>
      <c r="D37" s="599" t="n">
        <v>1.2</v>
      </c>
      <c r="E37" s="22" t="n">
        <v>845</v>
      </c>
      <c r="F37" s="22" t="inlineStr">
        <is>
          <t>NOS</t>
        </is>
      </c>
      <c r="G37" s="22" t="inlineStr">
        <is>
          <t>25.4-0-1.2-ERW 1-PE-0.845</t>
        </is>
      </c>
      <c r="H37" s="600" t="inlineStr">
        <is>
          <t>1940538|435963</t>
        </is>
      </c>
      <c r="I37" s="601" t="n">
        <v>9000</v>
      </c>
      <c r="J37" s="601">
        <f t="array" ref="J37">SUM(_xlfn.MAP(_xlfn.TEXTSPLIT(anglecut[[#This Row],[Material Codes]],"|"),_xlfn.LAMBDA(_xlpm.a,SUMIFS(salesALL[qty in no],salesALL[MATERAIL NUMBER],_xlpm.a))))</f>
        <v/>
      </c>
      <c r="K37" s="177" t="n">
        <v>7676</v>
      </c>
    </row>
    <row r="38">
      <c r="A38" s="176" t="n">
        <v>50.8</v>
      </c>
      <c r="B38" s="599" t="n">
        <v>50.8</v>
      </c>
      <c r="C38" s="6" t="n">
        <v>0</v>
      </c>
      <c r="D38" s="599" t="n">
        <v>1.6</v>
      </c>
      <c r="E38" s="22" t="n">
        <v>385</v>
      </c>
      <c r="F38" s="22" t="inlineStr">
        <is>
          <t>NOS</t>
        </is>
      </c>
      <c r="G38" s="22" t="inlineStr">
        <is>
          <t>50.8-0-1.6-ERW 1-FC-0.385</t>
        </is>
      </c>
      <c r="H38" s="600" t="inlineStr">
        <is>
          <t>3508740|2353927|1399336</t>
        </is>
      </c>
      <c r="I38" s="601" t="n">
        <v>6000</v>
      </c>
      <c r="J38" s="601">
        <f t="array" ref="J38">SUM(_xlfn.MAP(_xlfn.TEXTSPLIT(anglecut[[#This Row],[Material Codes]],"|"),_xlfn.LAMBDA(_xlpm.a,SUMIFS(salesALL[qty in no],salesALL[MATERAIL NUMBER],_xlpm.a))))</f>
        <v/>
      </c>
      <c r="K38" s="177" t="n">
        <v>3127</v>
      </c>
    </row>
    <row r="39">
      <c r="A39" s="176" t="n">
        <v>57.15</v>
      </c>
      <c r="B39" s="599" t="n">
        <v>57.15</v>
      </c>
      <c r="C39" s="6" t="n">
        <v>0</v>
      </c>
      <c r="D39" s="599" t="n">
        <v>2.3</v>
      </c>
      <c r="E39" s="22" t="n">
        <v>1365</v>
      </c>
      <c r="F39" s="22" t="inlineStr">
        <is>
          <t>NOS</t>
        </is>
      </c>
      <c r="G39" s="22" t="inlineStr">
        <is>
          <t>57.15-0-2.3-ERW 2-FC-1.365</t>
        </is>
      </c>
      <c r="H39" s="600" t="inlineStr">
        <is>
          <t>3182342|3157631</t>
        </is>
      </c>
      <c r="I39" s="601" t="n">
        <v>15000</v>
      </c>
      <c r="J39" s="601">
        <f t="array" ref="J39">SUM(_xlfn.MAP(_xlfn.TEXTSPLIT(anglecut[[#This Row],[Material Codes]],"|"),_xlfn.LAMBDA(_xlpm.a,SUMIFS(salesALL[qty in no],salesALL[MATERAIL NUMBER],_xlpm.a))))</f>
        <v/>
      </c>
      <c r="K39" s="177" t="n">
        <v>4200</v>
      </c>
    </row>
    <row r="40">
      <c r="A40" s="176" t="n">
        <v>19.05</v>
      </c>
      <c r="B40" s="599" t="n">
        <v>19.05</v>
      </c>
      <c r="C40" s="599" t="n">
        <v>0</v>
      </c>
      <c r="D40" s="599" t="n">
        <v>1.6</v>
      </c>
      <c r="E40" s="600" t="n">
        <v>394</v>
      </c>
      <c r="F40" s="22" t="inlineStr">
        <is>
          <t>NOS</t>
        </is>
      </c>
      <c r="G40" s="22" t="inlineStr">
        <is>
          <t>19.05-0-1.6-ERW 2 MAHS-PE-0.394</t>
        </is>
      </c>
      <c r="H40" s="600" t="inlineStr">
        <is>
          <t>3122347</t>
        </is>
      </c>
      <c r="I40" s="601" t="n">
        <v>70000</v>
      </c>
      <c r="J40" s="601">
        <f t="array" ref="J40">SUM(_xlfn.MAP(_xlfn.TEXTSPLIT(anglecut[[#This Row],[Material Codes]],"|"),_xlfn.LAMBDA(_xlpm.a,SUMIFS(salesALL[qty in no],salesALL[MATERAIL NUMBER],_xlpm.a))))</f>
        <v/>
      </c>
      <c r="K40" s="177" t="n">
        <v>25000</v>
      </c>
    </row>
    <row r="41">
      <c r="A41" s="176" t="n">
        <v>19.05</v>
      </c>
      <c r="B41" s="599" t="n">
        <v>19.05</v>
      </c>
      <c r="C41" s="599" t="n">
        <v>0</v>
      </c>
      <c r="D41" s="599" t="n">
        <v>1.6</v>
      </c>
      <c r="E41" s="600" t="n">
        <v>775</v>
      </c>
      <c r="F41" s="22" t="inlineStr">
        <is>
          <t>NOS</t>
        </is>
      </c>
      <c r="G41" s="22" t="inlineStr">
        <is>
          <t>19.05-0-1.6-ERW 2 MAHS-PE-0.775</t>
        </is>
      </c>
      <c r="H41" s="600" t="inlineStr">
        <is>
          <t>2425969|1908799</t>
        </is>
      </c>
      <c r="I41" s="601" t="n">
        <v>5000</v>
      </c>
      <c r="J41" s="601">
        <f t="array" ref="J41">SUM(_xlfn.MAP(_xlfn.TEXTSPLIT(anglecut[[#This Row],[Material Codes]],"|"),_xlfn.LAMBDA(_xlpm.a,SUMIFS(salesALL[qty in no],salesALL[MATERAIL NUMBER],_xlpm.a))))</f>
        <v/>
      </c>
      <c r="K41" s="177" t="n">
        <v>-2000</v>
      </c>
    </row>
    <row r="42">
      <c r="A42" s="176" t="n">
        <v>57.15</v>
      </c>
      <c r="B42" s="599" t="n">
        <v>57.15</v>
      </c>
      <c r="C42" s="599" t="n">
        <v>0</v>
      </c>
      <c r="D42" s="599" t="n">
        <v>2.5</v>
      </c>
      <c r="E42" s="600" t="n">
        <v>772</v>
      </c>
      <c r="F42" s="22" t="inlineStr">
        <is>
          <t>NOS</t>
        </is>
      </c>
      <c r="G42" s="22" t="inlineStr">
        <is>
          <t>57.15-0-2.5-ERW 1-FC-0.772</t>
        </is>
      </c>
      <c r="H42" s="600" t="inlineStr">
        <is>
          <t>1174860|1940911</t>
        </is>
      </c>
      <c r="I42" s="601" t="n">
        <v>6000</v>
      </c>
      <c r="J42" s="601">
        <f t="array" ref="J42">SUM(_xlfn.MAP(_xlfn.TEXTSPLIT(anglecut[[#This Row],[Material Codes]],"|"),_xlfn.LAMBDA(_xlpm.a,SUMIFS(salesALL[qty in no],salesALL[MATERAIL NUMBER],_xlpm.a))))</f>
        <v/>
      </c>
      <c r="K42" s="177" t="n">
        <v>3000</v>
      </c>
    </row>
    <row r="43">
      <c r="A43" s="176" t="n">
        <v>60.3</v>
      </c>
      <c r="B43" s="599" t="n">
        <v>60.3</v>
      </c>
      <c r="C43" s="599" t="n">
        <v>0</v>
      </c>
      <c r="D43" s="599" t="n">
        <v>2</v>
      </c>
      <c r="E43" s="600" t="n">
        <v>491</v>
      </c>
      <c r="F43" s="22" t="inlineStr">
        <is>
          <t>NOS</t>
        </is>
      </c>
      <c r="G43" s="22" t="inlineStr">
        <is>
          <t>60.3-0-2-ERW 1-FC-0.493</t>
        </is>
      </c>
      <c r="H43" s="600" t="inlineStr">
        <is>
          <t>3662752</t>
        </is>
      </c>
      <c r="I43" s="601" t="n">
        <v>3000</v>
      </c>
      <c r="J43" s="601">
        <f t="array" ref="J43">SUM(_xlfn.MAP(_xlfn.TEXTSPLIT(anglecut[[#This Row],[Material Codes]],"|"),_xlfn.LAMBDA(_xlpm.a,SUMIFS(salesALL[qty in no],salesALL[MATERAIL NUMBER],_xlpm.a))))</f>
        <v/>
      </c>
      <c r="K43" s="177" t="n">
        <v>3000</v>
      </c>
    </row>
    <row r="44">
      <c r="A44" s="176" t="n">
        <v>60.3</v>
      </c>
      <c r="B44" s="599" t="n">
        <v>60.3</v>
      </c>
      <c r="C44" s="599" t="n">
        <v>0</v>
      </c>
      <c r="D44" s="599" t="n">
        <v>2</v>
      </c>
      <c r="E44" s="600" t="n">
        <v>525</v>
      </c>
      <c r="F44" s="22" t="inlineStr">
        <is>
          <t>NOS</t>
        </is>
      </c>
      <c r="G44" s="22" t="inlineStr">
        <is>
          <t>60.3-0-2-ERW 1-FC-0.525</t>
        </is>
      </c>
      <c r="H44" s="600" t="inlineStr">
        <is>
          <t>3768903</t>
        </is>
      </c>
      <c r="I44" s="601" t="n">
        <v>6000</v>
      </c>
      <c r="J44" s="601">
        <f t="array" ref="J44">SUM(_xlfn.MAP(_xlfn.TEXTSPLIT(anglecut[[#This Row],[Material Codes]],"|"),_xlfn.LAMBDA(_xlpm.a,SUMIFS(salesALL[qty in no],salesALL[MATERAIL NUMBER],_xlpm.a))))</f>
        <v/>
      </c>
      <c r="K44" s="177" t="n">
        <v>6000</v>
      </c>
    </row>
    <row r="45">
      <c r="A45" s="176" t="n">
        <v>57.15</v>
      </c>
      <c r="B45" s="599" t="n">
        <v>57.15</v>
      </c>
      <c r="C45" s="599" t="n">
        <v>0</v>
      </c>
      <c r="D45" s="599" t="n">
        <v>2.5</v>
      </c>
      <c r="E45" s="600" t="n">
        <v>346</v>
      </c>
      <c r="F45" s="600" t="inlineStr">
        <is>
          <t>NOS</t>
        </is>
      </c>
      <c r="G45" s="600" t="inlineStr">
        <is>
          <t>57.15-0-2.5-ERW 1-FC-0.346</t>
        </is>
      </c>
      <c r="H45" s="600" t="inlineStr">
        <is>
          <t>3768906</t>
        </is>
      </c>
      <c r="I45" s="601" t="n">
        <v>0</v>
      </c>
      <c r="J45" s="601">
        <f t="array" ref="J45">SUM(_xlfn.MAP(_xlfn.TEXTSPLIT(anglecut[[#This Row],[Material Codes]],"|"),_xlfn.LAMBDA(_xlpm.a,SUMIFS(salesALL[qty in no],salesALL[MATERAIL NUMBER],_xlpm.a))))</f>
        <v/>
      </c>
      <c r="K45" s="177" t="n">
        <v>0</v>
      </c>
    </row>
    <row r="46">
      <c r="A46" s="176" t="n">
        <v>70</v>
      </c>
      <c r="B46" s="599" t="n">
        <v>70</v>
      </c>
      <c r="C46" s="599" t="n">
        <v>0</v>
      </c>
      <c r="D46" s="599" t="n">
        <v>3.2</v>
      </c>
      <c r="E46" s="22" t="n">
        <v>490</v>
      </c>
      <c r="F46" s="22" t="inlineStr">
        <is>
          <t>NOS</t>
        </is>
      </c>
      <c r="G46" s="22" t="inlineStr">
        <is>
          <t>70-0-3.2-ERW 2-FC-0.49</t>
        </is>
      </c>
      <c r="H46" s="600" t="inlineStr">
        <is>
          <t>3801263|424601|1931860</t>
        </is>
      </c>
      <c r="I46" s="601" t="n">
        <v>2000</v>
      </c>
      <c r="J46" s="601">
        <f t="array" ref="J46">SUM(_xlfn.MAP(_xlfn.TEXTSPLIT(anglecut[[#This Row],[Material Codes]],"|"),_xlfn.LAMBDA(_xlpm.a,SUMIFS(salesALL[qty in no],salesALL[MATERAIL NUMBER],_xlpm.a))))</f>
        <v/>
      </c>
      <c r="K46" s="177" t="n">
        <v>940</v>
      </c>
    </row>
    <row r="47">
      <c r="A47" s="176" t="n">
        <v>57.15</v>
      </c>
      <c r="B47" s="599" t="n">
        <v>57.15</v>
      </c>
      <c r="C47" s="599" t="n">
        <v>0</v>
      </c>
      <c r="D47" s="599" t="n">
        <v>2</v>
      </c>
      <c r="E47" s="600" t="n">
        <v>713</v>
      </c>
      <c r="F47" s="22" t="inlineStr">
        <is>
          <t>NOS</t>
        </is>
      </c>
      <c r="G47" s="22" t="inlineStr">
        <is>
          <t>57.15-0-2-ERW 1-FC-0.713</t>
        </is>
      </c>
      <c r="H47" s="600" t="inlineStr">
        <is>
          <t>460176|1940908</t>
        </is>
      </c>
      <c r="I47" s="601" t="n">
        <v>4550</v>
      </c>
      <c r="J47" s="601">
        <f t="array" ref="J47">SUM(_xlfn.MAP(_xlfn.TEXTSPLIT(anglecut[[#This Row],[Material Codes]],"|"),_xlfn.LAMBDA(_xlpm.a,SUMIFS(salesALL[qty in no],salesALL[MATERAIL NUMBER],_xlpm.a))))</f>
        <v/>
      </c>
      <c r="K47" s="177" t="n">
        <v>286</v>
      </c>
    </row>
    <row r="48">
      <c r="A48" s="176" t="n">
        <v>57.15</v>
      </c>
      <c r="B48" s="599" t="n">
        <v>57.15</v>
      </c>
      <c r="C48" s="599" t="n">
        <v>0</v>
      </c>
      <c r="D48" s="599" t="n">
        <v>2.5</v>
      </c>
      <c r="E48" s="600" t="n">
        <v>326</v>
      </c>
      <c r="F48" s="22" t="inlineStr">
        <is>
          <t>NOS</t>
        </is>
      </c>
      <c r="G48" s="22" t="inlineStr">
        <is>
          <t>57.15-0-2.5-ERW 1-FC-0.326</t>
        </is>
      </c>
      <c r="H48" s="600" t="inlineStr">
        <is>
          <t>3732177</t>
        </is>
      </c>
      <c r="I48" s="601" t="n">
        <v>10553</v>
      </c>
      <c r="J48" s="601">
        <f t="array" ref="J48">SUM(_xlfn.MAP(_xlfn.TEXTSPLIT(anglecut[[#This Row],[Material Codes]],"|"),_xlfn.LAMBDA(_xlpm.a,SUMIFS(salesALL[qty in no],salesALL[MATERAIL NUMBER],_xlpm.a))))</f>
        <v/>
      </c>
      <c r="K48" s="177" t="n">
        <v>10553</v>
      </c>
    </row>
    <row r="49">
      <c r="A49" s="180" t="n">
        <v>57.15</v>
      </c>
      <c r="B49" s="129" t="n">
        <v>57.15</v>
      </c>
      <c r="C49" s="129" t="n">
        <v>0</v>
      </c>
      <c r="D49" s="129" t="n">
        <v>2.5</v>
      </c>
      <c r="E49" s="181" t="n">
        <v>526</v>
      </c>
      <c r="F49" s="182" t="inlineStr">
        <is>
          <t>NOS</t>
        </is>
      </c>
      <c r="G49" s="182" t="inlineStr">
        <is>
          <t>57.15-0-2.5-ERW 1-FC-0.526</t>
        </is>
      </c>
      <c r="H49" s="600" t="inlineStr">
        <is>
          <t>3731697</t>
        </is>
      </c>
      <c r="I49" s="100" t="n">
        <v>6837</v>
      </c>
      <c r="J49" s="601">
        <f t="array" ref="J49">SUM(_xlfn.MAP(_xlfn.TEXTSPLIT(anglecut[[#This Row],[Material Codes]],"|"),_xlfn.LAMBDA(_xlpm.a,SUMIFS(salesALL[qty in no],salesALL[MATERAIL NUMBER],_xlpm.a))))</f>
        <v/>
      </c>
      <c r="K49" s="184" t="n">
        <v>6837</v>
      </c>
    </row>
    <row r="52">
      <c r="G52" t="n">
        <v>3801263</v>
      </c>
      <c r="H52">
        <f>_xlfn.TEXTJOIN("|",TRUE,G52:G57)</f>
        <v/>
      </c>
    </row>
    <row r="53">
      <c r="G53" t="n">
        <v>424601</v>
      </c>
    </row>
    <row r="54">
      <c r="G54" t="n">
        <v>1931860</v>
      </c>
    </row>
    <row r="68">
      <c r="J68" s="107" t="n">
        <v>45710</v>
      </c>
      <c r="K68" s="107">
        <f>J68+1</f>
        <v/>
      </c>
      <c r="L68" s="107">
        <f>K68+1</f>
        <v/>
      </c>
    </row>
    <row r="69">
      <c r="A69" s="101" t="inlineStr">
        <is>
          <t>Grade</t>
        </is>
      </c>
      <c r="B69" s="101" t="inlineStr">
        <is>
          <t>ACTUAL OD</t>
        </is>
      </c>
      <c r="C69" s="101" t="inlineStr">
        <is>
          <t>OD</t>
        </is>
      </c>
      <c r="D69" s="101" t="inlineStr">
        <is>
          <t>ID</t>
        </is>
      </c>
      <c r="E69" s="101" t="inlineStr">
        <is>
          <t>TICKNESS</t>
        </is>
      </c>
      <c r="F69" s="101" t="inlineStr">
        <is>
          <t>LENGTH</t>
        </is>
      </c>
      <c r="G69" s="101" t="n"/>
      <c r="H69" s="101" t="inlineStr">
        <is>
          <t>UoM</t>
        </is>
      </c>
      <c r="I69" s="102" t="inlineStr">
        <is>
          <t>SCHEDULE</t>
        </is>
      </c>
      <c r="J69" s="101" t="inlineStr">
        <is>
          <t>Saturday</t>
        </is>
      </c>
      <c r="K69" s="101" t="inlineStr">
        <is>
          <t>Sunday</t>
        </is>
      </c>
      <c r="L69" s="101" t="inlineStr">
        <is>
          <t>Monday</t>
        </is>
      </c>
    </row>
    <row r="70">
      <c r="A70" s="599" t="inlineStr">
        <is>
          <t>ERW</t>
        </is>
      </c>
      <c r="B70" s="599" t="n">
        <v>22.23</v>
      </c>
      <c r="C70" s="599" t="n">
        <v>22.23</v>
      </c>
      <c r="D70" s="599" t="n">
        <v>0</v>
      </c>
      <c r="E70" s="599" t="n">
        <v>2</v>
      </c>
      <c r="F70" s="600" t="n">
        <v>845</v>
      </c>
      <c r="G70" s="600" t="n"/>
      <c r="H70" s="22" t="inlineStr">
        <is>
          <t>NOS</t>
        </is>
      </c>
      <c r="I70" s="601" t="n"/>
      <c r="J70" s="15" t="n"/>
      <c r="K70" s="15" t="n"/>
      <c r="L70" s="15" t="n"/>
    </row>
    <row r="71">
      <c r="A71" s="599" t="inlineStr">
        <is>
          <t>ERW</t>
        </is>
      </c>
      <c r="B71" s="599" t="n">
        <v>22.23</v>
      </c>
      <c r="C71" s="599" t="n">
        <v>22.23</v>
      </c>
      <c r="D71" s="599" t="n">
        <v>0</v>
      </c>
      <c r="E71" s="599" t="n">
        <v>2.6</v>
      </c>
      <c r="F71" s="600" t="n">
        <v>872</v>
      </c>
      <c r="G71" s="600" t="n"/>
      <c r="H71" s="22" t="inlineStr">
        <is>
          <t>NOS</t>
        </is>
      </c>
      <c r="I71" s="601" t="n"/>
      <c r="J71" s="15" t="n"/>
      <c r="K71" s="15" t="n"/>
      <c r="L71" s="15" t="n"/>
    </row>
    <row r="72">
      <c r="A72" s="599" t="inlineStr">
        <is>
          <t>ERW</t>
        </is>
      </c>
      <c r="B72" s="599" t="n">
        <v>22.23</v>
      </c>
      <c r="C72" s="599" t="n">
        <v>22.23</v>
      </c>
      <c r="D72" s="599" t="n">
        <v>0</v>
      </c>
      <c r="E72" s="599" t="n">
        <v>2.6</v>
      </c>
      <c r="F72" s="600" t="n">
        <v>896</v>
      </c>
      <c r="G72" s="600" t="n"/>
      <c r="H72" s="22" t="inlineStr">
        <is>
          <t>NOS</t>
        </is>
      </c>
      <c r="I72" s="601" t="n"/>
      <c r="J72" s="15" t="n"/>
      <c r="K72" s="15" t="n"/>
      <c r="L72" s="15" t="n"/>
    </row>
    <row r="73">
      <c r="A73" s="599" t="inlineStr">
        <is>
          <t>ERW</t>
        </is>
      </c>
      <c r="B73" s="599" t="n">
        <v>22.23</v>
      </c>
      <c r="C73" s="599" t="n">
        <v>22.23</v>
      </c>
      <c r="D73" s="599" t="n">
        <v>0</v>
      </c>
      <c r="E73" s="599" t="n">
        <v>2.6</v>
      </c>
      <c r="F73" s="600" t="n">
        <v>907</v>
      </c>
      <c r="G73" s="600" t="n"/>
      <c r="H73" s="22" t="inlineStr">
        <is>
          <t>NOS</t>
        </is>
      </c>
      <c r="I73" s="601" t="n"/>
      <c r="J73" s="15" t="n"/>
      <c r="K73" s="15" t="n"/>
      <c r="L73" s="15" t="n"/>
    </row>
    <row r="74">
      <c r="A74" s="599" t="inlineStr">
        <is>
          <t>ERW</t>
        </is>
      </c>
      <c r="B74" s="599" t="n">
        <v>29.4</v>
      </c>
      <c r="C74" s="599" t="n">
        <v>29.4</v>
      </c>
      <c r="D74" s="599" t="n">
        <v>20.4</v>
      </c>
      <c r="E74" s="599" t="n">
        <v>4.5</v>
      </c>
      <c r="F74" s="600" t="n">
        <v>376</v>
      </c>
      <c r="G74" s="600" t="n"/>
      <c r="H74" s="22" t="inlineStr">
        <is>
          <t>NOS</t>
        </is>
      </c>
      <c r="I74" s="601" t="n"/>
      <c r="J74" s="15" t="n"/>
      <c r="K74" s="15" t="n"/>
      <c r="L74" s="15" t="n"/>
    </row>
    <row r="75">
      <c r="A75" s="599" t="inlineStr">
        <is>
          <t>CEW 1</t>
        </is>
      </c>
      <c r="B75" s="599" t="n">
        <v>29.4</v>
      </c>
      <c r="C75" s="599" t="n">
        <v>29.4</v>
      </c>
      <c r="D75" s="599" t="n">
        <v>20.4</v>
      </c>
      <c r="E75" s="599" t="n">
        <v>4.5</v>
      </c>
      <c r="F75" s="600" t="n">
        <v>360</v>
      </c>
      <c r="G75" s="600" t="n"/>
      <c r="H75" s="22" t="inlineStr">
        <is>
          <t>NOS</t>
        </is>
      </c>
      <c r="I75" s="601" t="n">
        <v>5000</v>
      </c>
      <c r="J75" s="15" t="n"/>
      <c r="K75" s="15" t="n"/>
      <c r="L75" s="15" t="n"/>
    </row>
    <row r="76">
      <c r="A76" s="599" t="inlineStr">
        <is>
          <t>STKM 13 C</t>
        </is>
      </c>
      <c r="B76" s="599" t="n">
        <v>29.4</v>
      </c>
      <c r="C76" s="599" t="n">
        <v>29.4</v>
      </c>
      <c r="D76" s="599" t="n">
        <v>20.4</v>
      </c>
      <c r="E76" s="599" t="n">
        <v>4.5</v>
      </c>
      <c r="F76" s="600" t="n">
        <v>361</v>
      </c>
      <c r="G76" s="600" t="n"/>
      <c r="H76" s="22" t="inlineStr">
        <is>
          <t>NOS</t>
        </is>
      </c>
      <c r="I76" s="601" t="n"/>
      <c r="J76" s="15" t="n"/>
      <c r="K76" s="15" t="n"/>
      <c r="L76" s="15" t="n"/>
    </row>
    <row r="77">
      <c r="A77" s="599" t="inlineStr">
        <is>
          <t>STKM 13 C</t>
        </is>
      </c>
      <c r="B77" s="599" t="n">
        <v>29.4</v>
      </c>
      <c r="C77" s="599" t="n">
        <v>29.4</v>
      </c>
      <c r="D77" s="599" t="n">
        <v>20.4</v>
      </c>
      <c r="E77" s="599" t="n">
        <v>4.5</v>
      </c>
      <c r="F77" s="600" t="n">
        <v>361</v>
      </c>
      <c r="G77" s="600" t="n"/>
      <c r="H77" s="22" t="inlineStr">
        <is>
          <t>NOS</t>
        </is>
      </c>
      <c r="I77" s="601" t="n"/>
      <c r="J77" s="15" t="n"/>
      <c r="K77" s="15" t="n"/>
      <c r="L77" s="15" t="n"/>
      <c r="M77" t="inlineStr">
        <is>
          <t>Lathe</t>
        </is>
      </c>
    </row>
    <row r="78">
      <c r="A78" s="599" t="inlineStr">
        <is>
          <t>CEW 1</t>
        </is>
      </c>
      <c r="B78" s="599" t="n">
        <v>29.4</v>
      </c>
      <c r="C78" s="599" t="n">
        <v>29.4</v>
      </c>
      <c r="D78" s="599" t="n">
        <v>20.4</v>
      </c>
      <c r="E78" s="599" t="n">
        <v>4.5</v>
      </c>
      <c r="F78" s="23" t="n">
        <v>357</v>
      </c>
      <c r="G78" s="23" t="n"/>
      <c r="H78" s="22" t="inlineStr">
        <is>
          <t>NOS</t>
        </is>
      </c>
      <c r="I78" s="601" t="n">
        <v>8000</v>
      </c>
      <c r="J78" s="15" t="n"/>
      <c r="K78" s="15" t="n"/>
      <c r="L78" s="15" t="n"/>
    </row>
    <row r="79">
      <c r="A79" s="599" t="inlineStr">
        <is>
          <t>CEW</t>
        </is>
      </c>
      <c r="B79" s="599" t="n">
        <v>30.15</v>
      </c>
      <c r="C79" s="599" t="n">
        <v>30</v>
      </c>
      <c r="D79" s="599" t="n">
        <v>25.5</v>
      </c>
      <c r="E79" s="599" t="n">
        <v>2.25</v>
      </c>
      <c r="F79" s="600" t="n">
        <v>465</v>
      </c>
      <c r="G79" s="600" t="n"/>
      <c r="H79" s="22" t="inlineStr">
        <is>
          <t>NOS</t>
        </is>
      </c>
      <c r="I79" s="601" t="n">
        <v>10000</v>
      </c>
      <c r="J79" s="15" t="n"/>
      <c r="K79" s="15" t="n"/>
      <c r="L79" s="15" t="n"/>
    </row>
    <row r="80">
      <c r="A80" s="599" t="inlineStr">
        <is>
          <t>CEW</t>
        </is>
      </c>
      <c r="B80" s="599" t="n">
        <v>30.15</v>
      </c>
      <c r="C80" s="599" t="n">
        <v>30</v>
      </c>
      <c r="D80" s="599" t="n">
        <v>25.5</v>
      </c>
      <c r="E80" s="599" t="n">
        <v>2.25</v>
      </c>
      <c r="F80" s="600" t="n">
        <v>485</v>
      </c>
      <c r="G80" s="600" t="n"/>
      <c r="H80" s="22" t="inlineStr">
        <is>
          <t>NOS</t>
        </is>
      </c>
      <c r="I80" s="601" t="n">
        <v>20000</v>
      </c>
      <c r="J80" s="15" t="n"/>
      <c r="K80" s="15" t="n"/>
      <c r="L80" s="15" t="n"/>
    </row>
    <row r="81">
      <c r="A81" s="599" t="inlineStr">
        <is>
          <t>CEW</t>
        </is>
      </c>
      <c r="B81" s="599" t="n">
        <v>30.15</v>
      </c>
      <c r="C81" s="599" t="n">
        <v>30</v>
      </c>
      <c r="D81" s="599" t="n">
        <v>25.5</v>
      </c>
      <c r="E81" s="599" t="n">
        <v>2.25</v>
      </c>
      <c r="F81" s="600" t="n">
        <v>485</v>
      </c>
      <c r="G81" s="600" t="n"/>
      <c r="H81" s="22" t="inlineStr">
        <is>
          <t>NOS</t>
        </is>
      </c>
      <c r="I81" s="601" t="n"/>
      <c r="J81" s="15" t="n"/>
      <c r="K81" s="15" t="n"/>
      <c r="L81" s="15" t="n"/>
    </row>
    <row r="82">
      <c r="A82" s="599" t="inlineStr">
        <is>
          <t>CEW</t>
        </is>
      </c>
      <c r="B82" s="599" t="n">
        <v>37.6</v>
      </c>
      <c r="C82" s="599" t="n">
        <v>37.6</v>
      </c>
      <c r="D82" s="599" t="n">
        <v>0</v>
      </c>
      <c r="E82" s="599" t="n">
        <v>3.2</v>
      </c>
      <c r="F82" s="600" t="n">
        <v>295</v>
      </c>
      <c r="G82" s="600" t="n"/>
      <c r="H82" s="22" t="inlineStr">
        <is>
          <t>NOS</t>
        </is>
      </c>
      <c r="I82" s="601" t="n">
        <v>5000</v>
      </c>
      <c r="J82" s="15" t="n"/>
      <c r="K82" s="15" t="n"/>
      <c r="L82" s="15" t="n"/>
    </row>
    <row r="83">
      <c r="A83" s="599" t="inlineStr">
        <is>
          <t>CEW</t>
        </is>
      </c>
      <c r="B83" s="599" t="n">
        <v>39</v>
      </c>
      <c r="C83" s="599" t="n">
        <v>39</v>
      </c>
      <c r="D83" s="599" t="n">
        <v>34</v>
      </c>
      <c r="E83" s="599" t="n">
        <v>2.5</v>
      </c>
      <c r="F83" s="600" t="n">
        <v>271.5</v>
      </c>
      <c r="G83" s="600" t="n"/>
      <c r="H83" s="22" t="inlineStr">
        <is>
          <t>NOS</t>
        </is>
      </c>
      <c r="I83" s="601" t="n">
        <v>5000</v>
      </c>
      <c r="J83" s="15" t="n"/>
      <c r="K83" s="15" t="n"/>
      <c r="L83" s="15" t="n"/>
    </row>
    <row r="84">
      <c r="A84" s="599" t="inlineStr">
        <is>
          <t>CEW</t>
        </is>
      </c>
      <c r="B84" s="599" t="n">
        <v>39</v>
      </c>
      <c r="C84" s="599" t="n">
        <v>39</v>
      </c>
      <c r="D84" s="599" t="n">
        <v>34</v>
      </c>
      <c r="E84" s="599" t="n">
        <v>2.5</v>
      </c>
      <c r="F84" s="600" t="n">
        <v>272</v>
      </c>
      <c r="G84" s="600" t="n"/>
      <c r="H84" s="22" t="inlineStr">
        <is>
          <t>NOS</t>
        </is>
      </c>
      <c r="I84" s="601" t="n">
        <v>5000</v>
      </c>
      <c r="J84" s="15" t="n"/>
      <c r="K84" s="15" t="n"/>
      <c r="L84" s="15" t="n"/>
    </row>
    <row r="85">
      <c r="A85" s="599" t="inlineStr">
        <is>
          <t>ERW</t>
        </is>
      </c>
      <c r="B85" s="599" t="n">
        <v>41.28</v>
      </c>
      <c r="C85" s="599" t="n">
        <v>41.28</v>
      </c>
      <c r="D85" s="599" t="n">
        <v>0</v>
      </c>
      <c r="E85" s="599" t="n">
        <v>2.4</v>
      </c>
      <c r="F85" s="600" t="n">
        <v>204.5</v>
      </c>
      <c r="G85" s="600" t="n"/>
      <c r="H85" s="22" t="inlineStr">
        <is>
          <t>NOS</t>
        </is>
      </c>
      <c r="I85" s="601" t="n"/>
      <c r="J85" s="15" t="n"/>
      <c r="K85" s="15" t="n"/>
      <c r="L85" s="15" t="n"/>
    </row>
    <row r="86">
      <c r="A86" s="599" t="inlineStr">
        <is>
          <t>ERW</t>
        </is>
      </c>
      <c r="B86" s="599" t="n">
        <v>41.28</v>
      </c>
      <c r="C86" s="599" t="n">
        <v>41.28</v>
      </c>
      <c r="D86" s="599" t="n">
        <v>0</v>
      </c>
      <c r="E86" s="599" t="n">
        <v>3.2</v>
      </c>
      <c r="F86" s="600" t="n">
        <v>230</v>
      </c>
      <c r="G86" s="600" t="n"/>
      <c r="H86" s="22" t="inlineStr">
        <is>
          <t>NOS</t>
        </is>
      </c>
      <c r="I86" s="601" t="n"/>
      <c r="J86" s="15" t="n"/>
      <c r="K86" s="15" t="n"/>
      <c r="L86" s="15" t="n"/>
    </row>
    <row r="87">
      <c r="A87" s="599" t="inlineStr">
        <is>
          <t>ERW</t>
        </is>
      </c>
      <c r="B87" s="599" t="n">
        <v>41.28</v>
      </c>
      <c r="C87" s="599" t="n">
        <v>41.28</v>
      </c>
      <c r="D87" s="599" t="n">
        <v>0</v>
      </c>
      <c r="E87" s="599" t="n">
        <v>3.2</v>
      </c>
      <c r="F87" s="600" t="n">
        <v>246</v>
      </c>
      <c r="G87" s="600" t="n"/>
      <c r="H87" s="22" t="inlineStr">
        <is>
          <t>NOS</t>
        </is>
      </c>
      <c r="I87" s="601" t="n"/>
      <c r="J87" s="15" t="n"/>
      <c r="K87" s="15" t="n"/>
      <c r="L87" s="15" t="n"/>
    </row>
    <row r="88">
      <c r="A88" s="599" t="inlineStr">
        <is>
          <t>ERW</t>
        </is>
      </c>
      <c r="B88" s="599" t="n">
        <v>42.7</v>
      </c>
      <c r="C88" s="599" t="n">
        <v>42.7</v>
      </c>
      <c r="D88" s="599" t="n">
        <v>0</v>
      </c>
      <c r="E88" s="599" t="n">
        <v>3.5</v>
      </c>
      <c r="F88" s="22" t="n">
        <v>210</v>
      </c>
      <c r="G88" s="22" t="n"/>
      <c r="H88" s="22" t="inlineStr">
        <is>
          <t>NOS</t>
        </is>
      </c>
      <c r="I88" s="601" t="n">
        <v>6000</v>
      </c>
      <c r="J88" s="15" t="n"/>
      <c r="K88" s="15" t="n"/>
      <c r="L88" s="15" t="n"/>
    </row>
    <row r="89">
      <c r="A89" s="599" t="inlineStr">
        <is>
          <t>ERW</t>
        </is>
      </c>
      <c r="B89" s="599" t="n">
        <v>42.7</v>
      </c>
      <c r="C89" s="599" t="n">
        <v>42.7</v>
      </c>
      <c r="D89" s="599" t="n">
        <v>0</v>
      </c>
      <c r="E89" s="599" t="n">
        <v>3.5</v>
      </c>
      <c r="F89" s="600" t="n">
        <v>208</v>
      </c>
      <c r="G89" s="600" t="n"/>
      <c r="H89" s="22" t="inlineStr">
        <is>
          <t>NOS</t>
        </is>
      </c>
      <c r="I89" s="601" t="n">
        <v>5000</v>
      </c>
      <c r="J89" s="15" t="n"/>
      <c r="K89" s="15" t="n"/>
      <c r="L89" s="15" t="n"/>
    </row>
    <row r="90">
      <c r="A90" s="599" t="inlineStr">
        <is>
          <t>ERW</t>
        </is>
      </c>
      <c r="B90" s="599" t="n">
        <v>42.7</v>
      </c>
      <c r="C90" s="599" t="n">
        <v>42.7</v>
      </c>
      <c r="D90" s="599" t="n">
        <v>0</v>
      </c>
      <c r="E90" s="599" t="n">
        <v>3.5</v>
      </c>
      <c r="F90" s="600" t="n">
        <v>247</v>
      </c>
      <c r="G90" s="600" t="n"/>
      <c r="H90" s="22" t="inlineStr">
        <is>
          <t>NOS</t>
        </is>
      </c>
      <c r="I90" s="601" t="n"/>
      <c r="J90" s="15" t="n"/>
      <c r="K90" s="15" t="n"/>
      <c r="L90" s="15" t="n"/>
    </row>
    <row r="91">
      <c r="A91" s="599" t="inlineStr">
        <is>
          <t>ERW</t>
        </is>
      </c>
      <c r="B91" s="599" t="n">
        <v>42.7</v>
      </c>
      <c r="C91" s="599" t="n">
        <v>42.7</v>
      </c>
      <c r="D91" s="599" t="n">
        <v>0</v>
      </c>
      <c r="E91" s="599" t="n">
        <v>4</v>
      </c>
      <c r="F91" s="23" t="n">
        <v>254</v>
      </c>
      <c r="G91" s="23" t="n"/>
      <c r="H91" s="22" t="inlineStr">
        <is>
          <t>NOS</t>
        </is>
      </c>
      <c r="I91" s="601" t="n">
        <v>5000</v>
      </c>
      <c r="J91" s="15" t="n"/>
      <c r="K91" s="15" t="n"/>
      <c r="L91" s="15" t="n"/>
    </row>
    <row r="92">
      <c r="A92" s="599" t="inlineStr">
        <is>
          <t>ERW</t>
        </is>
      </c>
      <c r="B92" s="599" t="n">
        <v>42.7</v>
      </c>
      <c r="C92" s="599" t="n">
        <v>42.7</v>
      </c>
      <c r="D92" s="599" t="n">
        <v>0</v>
      </c>
      <c r="E92" s="599" t="n">
        <v>4</v>
      </c>
      <c r="F92" s="600" t="n">
        <v>235</v>
      </c>
      <c r="G92" s="600" t="n"/>
      <c r="H92" s="22" t="inlineStr">
        <is>
          <t>NOS</t>
        </is>
      </c>
      <c r="I92" s="601" t="n">
        <v>3000</v>
      </c>
      <c r="J92" s="15" t="n"/>
      <c r="K92" s="15" t="n"/>
      <c r="L92" s="15" t="n"/>
    </row>
    <row r="93">
      <c r="A93" s="599" t="inlineStr">
        <is>
          <t>ERW</t>
        </is>
      </c>
      <c r="B93" s="599" t="n">
        <v>42.7</v>
      </c>
      <c r="C93" s="599" t="n">
        <v>42.7</v>
      </c>
      <c r="D93" s="599" t="n">
        <v>0</v>
      </c>
      <c r="E93" s="599" t="n">
        <v>4</v>
      </c>
      <c r="F93" s="600" t="n">
        <v>215</v>
      </c>
      <c r="G93" s="600" t="n"/>
      <c r="H93" s="22" t="inlineStr">
        <is>
          <t>NOS</t>
        </is>
      </c>
      <c r="I93" s="601" t="n">
        <v>7000</v>
      </c>
      <c r="J93" s="15" t="n"/>
      <c r="K93" s="15" t="n"/>
      <c r="L93" s="15" t="n"/>
    </row>
    <row r="94">
      <c r="A94" s="599" t="inlineStr">
        <is>
          <t>ERW</t>
        </is>
      </c>
      <c r="B94" s="599" t="n">
        <v>42.7</v>
      </c>
      <c r="C94" s="599" t="n">
        <v>42.7</v>
      </c>
      <c r="D94" s="599" t="n">
        <v>0</v>
      </c>
      <c r="E94" s="599" t="n">
        <v>4</v>
      </c>
      <c r="F94" s="600" t="n">
        <v>290</v>
      </c>
      <c r="G94" s="600" t="n"/>
      <c r="H94" s="22" t="inlineStr">
        <is>
          <t>NOS</t>
        </is>
      </c>
      <c r="I94" s="601" t="n">
        <v>2000</v>
      </c>
      <c r="J94" s="15" t="n"/>
      <c r="K94" s="15" t="n"/>
      <c r="L94" s="15" t="n"/>
    </row>
    <row r="95">
      <c r="A95" s="599" t="inlineStr">
        <is>
          <t>CEW</t>
        </is>
      </c>
      <c r="B95" s="599" t="n">
        <v>47.63</v>
      </c>
      <c r="C95" s="599" t="n">
        <v>47.63</v>
      </c>
      <c r="D95" s="599" t="n">
        <v>0</v>
      </c>
      <c r="E95" s="599" t="n">
        <v>4</v>
      </c>
      <c r="F95" s="103" t="n">
        <v>0.212</v>
      </c>
      <c r="G95" s="103" t="n"/>
      <c r="H95" s="22" t="inlineStr">
        <is>
          <t>NOS</t>
        </is>
      </c>
      <c r="I95" s="601" t="n"/>
      <c r="J95" s="15" t="n"/>
      <c r="K95" s="15" t="n"/>
      <c r="L95" s="15" t="n"/>
    </row>
    <row r="96">
      <c r="A96" s="599" t="inlineStr">
        <is>
          <t>CEW</t>
        </is>
      </c>
      <c r="B96" s="599" t="n">
        <v>47.63</v>
      </c>
      <c r="C96" s="599" t="n">
        <v>47.63</v>
      </c>
      <c r="D96" s="599" t="n">
        <v>0</v>
      </c>
      <c r="E96" s="599" t="n">
        <v>4</v>
      </c>
      <c r="F96" s="103" t="n">
        <v>0.215</v>
      </c>
      <c r="G96" s="103" t="n"/>
      <c r="H96" s="22" t="inlineStr">
        <is>
          <t>NOS</t>
        </is>
      </c>
      <c r="I96" s="601" t="n"/>
      <c r="J96" s="15" t="n"/>
      <c r="K96" s="15" t="n"/>
      <c r="L96" s="15" t="n"/>
    </row>
    <row r="97">
      <c r="A97" s="599" t="inlineStr">
        <is>
          <t>ERW</t>
        </is>
      </c>
      <c r="B97" s="599" t="n">
        <v>48.6</v>
      </c>
      <c r="C97" s="599" t="n">
        <v>48.6</v>
      </c>
      <c r="D97" s="599" t="n">
        <v>0</v>
      </c>
      <c r="E97" s="599" t="n">
        <v>3.5</v>
      </c>
      <c r="F97" s="600" t="n">
        <v>185</v>
      </c>
      <c r="G97" s="600" t="n"/>
      <c r="H97" s="22" t="inlineStr">
        <is>
          <t>NOS</t>
        </is>
      </c>
      <c r="I97" s="601" t="n">
        <v>4000</v>
      </c>
      <c r="J97" s="15" t="n"/>
      <c r="K97" s="15" t="n"/>
      <c r="L97" s="15" t="n"/>
    </row>
    <row r="98">
      <c r="A98" s="599" t="inlineStr">
        <is>
          <t>ERW</t>
        </is>
      </c>
      <c r="B98" s="599" t="n">
        <v>48.6</v>
      </c>
      <c r="C98" s="599" t="n">
        <v>48.6</v>
      </c>
      <c r="D98" s="599" t="n">
        <v>0</v>
      </c>
      <c r="E98" s="599" t="n">
        <v>3.5</v>
      </c>
      <c r="F98" s="22" t="n">
        <v>196</v>
      </c>
      <c r="G98" s="22" t="n"/>
      <c r="H98" s="22" t="inlineStr">
        <is>
          <t>NOS</t>
        </is>
      </c>
      <c r="I98" s="601" t="n"/>
      <c r="J98" s="15" t="n"/>
      <c r="K98" s="15" t="n"/>
      <c r="L98" s="15" t="n"/>
    </row>
    <row r="99">
      <c r="A99" s="599" t="inlineStr">
        <is>
          <t>ERW</t>
        </is>
      </c>
      <c r="B99" s="599" t="n">
        <v>48.6</v>
      </c>
      <c r="C99" s="599" t="n">
        <v>48.6</v>
      </c>
      <c r="D99" s="599" t="n">
        <v>0</v>
      </c>
      <c r="E99" s="599" t="n">
        <v>3.5</v>
      </c>
      <c r="F99" s="600" t="n">
        <v>202.5</v>
      </c>
      <c r="G99" s="600" t="n"/>
      <c r="H99" s="22" t="inlineStr">
        <is>
          <t>NOS</t>
        </is>
      </c>
      <c r="I99" s="601" t="n"/>
      <c r="J99" s="15" t="n"/>
      <c r="K99" s="15" t="n"/>
      <c r="L99" s="15" t="n"/>
    </row>
    <row r="100">
      <c r="A100" s="599" t="inlineStr">
        <is>
          <t>CEW</t>
        </is>
      </c>
      <c r="B100" s="599" t="n">
        <v>50.8</v>
      </c>
      <c r="C100" s="599" t="n">
        <v>50.8</v>
      </c>
      <c r="D100" s="599" t="n">
        <v>0</v>
      </c>
      <c r="E100" s="599" t="n">
        <v>2.6</v>
      </c>
      <c r="F100" s="600" t="n">
        <v>142</v>
      </c>
      <c r="G100" s="600" t="n"/>
      <c r="H100" s="22" t="inlineStr">
        <is>
          <t>NOS</t>
        </is>
      </c>
      <c r="I100" s="601" t="n"/>
      <c r="J100" s="15" t="n"/>
      <c r="K100" s="15" t="n"/>
      <c r="L100" s="15" t="n"/>
    </row>
    <row r="101">
      <c r="A101" s="599" t="inlineStr">
        <is>
          <t>ERW</t>
        </is>
      </c>
      <c r="B101" s="599" t="n">
        <v>50.8</v>
      </c>
      <c r="C101" s="599" t="n">
        <v>50.8</v>
      </c>
      <c r="D101" s="599" t="n">
        <v>0</v>
      </c>
      <c r="E101" s="599" t="n">
        <v>2.6</v>
      </c>
      <c r="F101" s="600" t="n">
        <v>130</v>
      </c>
      <c r="G101" s="600" t="n"/>
      <c r="H101" s="22" t="inlineStr">
        <is>
          <t>NOS</t>
        </is>
      </c>
      <c r="I101" s="601" t="n"/>
      <c r="J101" s="15" t="n"/>
      <c r="K101" s="15" t="n"/>
      <c r="L101" s="15" t="n"/>
    </row>
    <row r="104">
      <c r="A104" s="101" t="inlineStr">
        <is>
          <t>Grade</t>
        </is>
      </c>
      <c r="B104" s="101" t="inlineStr">
        <is>
          <t>ACTUAL OD</t>
        </is>
      </c>
      <c r="C104" s="101" t="inlineStr">
        <is>
          <t>OD</t>
        </is>
      </c>
      <c r="D104" s="101" t="inlineStr">
        <is>
          <t>ID</t>
        </is>
      </c>
      <c r="E104" s="101" t="inlineStr">
        <is>
          <t>TICKNESS</t>
        </is>
      </c>
      <c r="F104" s="101" t="inlineStr">
        <is>
          <t>LENGTH</t>
        </is>
      </c>
      <c r="G104" s="101" t="inlineStr">
        <is>
          <t>Customer</t>
        </is>
      </c>
      <c r="H104" s="101" t="inlineStr">
        <is>
          <t>Machine</t>
        </is>
      </c>
      <c r="I104" s="101" t="inlineStr">
        <is>
          <t>UoM</t>
        </is>
      </c>
      <c r="J104" s="101" t="inlineStr">
        <is>
          <t>SCHEDULE</t>
        </is>
      </c>
      <c r="K104" s="102" t="inlineStr">
        <is>
          <t>DISPATCH</t>
        </is>
      </c>
      <c r="L104" s="191" t="inlineStr">
        <is>
          <t>BAL IN NOS</t>
        </is>
      </c>
      <c r="M104" s="101" t="inlineStr">
        <is>
          <t>Plant</t>
        </is>
      </c>
      <c r="N104" s="194" t="n">
        <v>45757</v>
      </c>
      <c r="O104" s="194">
        <f>N104+1</f>
        <v/>
      </c>
      <c r="P104" s="194">
        <f>O104+1</f>
        <v/>
      </c>
      <c r="Q104" s="194">
        <f>P104+1</f>
        <v/>
      </c>
      <c r="R104" s="194" t="inlineStr">
        <is>
          <t>Total Plan 10-13</t>
        </is>
      </c>
      <c r="S104" s="194" t="inlineStr">
        <is>
          <t>Actual 10-13</t>
        </is>
      </c>
      <c r="T104" s="194" t="n">
        <v>45762</v>
      </c>
      <c r="U104" s="194" t="n">
        <v>45763</v>
      </c>
      <c r="V104" s="194" t="n">
        <v>45794</v>
      </c>
      <c r="W104" s="194" t="n">
        <v>45795</v>
      </c>
    </row>
    <row r="105">
      <c r="A105" s="599" t="inlineStr">
        <is>
          <t>STKM 13 C</t>
        </is>
      </c>
      <c r="B105" s="599" t="n">
        <v>29.4</v>
      </c>
      <c r="C105" s="599" t="n">
        <v>29.4</v>
      </c>
      <c r="D105" s="599" t="n">
        <v>20.4</v>
      </c>
      <c r="E105" s="599" t="n">
        <v>4.5</v>
      </c>
      <c r="F105" s="599" t="n">
        <v>376</v>
      </c>
      <c r="G105" s="599" t="inlineStr">
        <is>
          <t>Kayjay</t>
        </is>
      </c>
      <c r="H105" s="600" t="inlineStr">
        <is>
          <t>Lathe</t>
        </is>
      </c>
      <c r="I105" s="600" t="inlineStr">
        <is>
          <t>NOS</t>
        </is>
      </c>
      <c r="J105" s="22" t="n">
        <v>5000</v>
      </c>
      <c r="K105" s="601" t="n">
        <v>0</v>
      </c>
      <c r="L105" s="602" t="n">
        <v>5000</v>
      </c>
      <c r="M105" s="15" t="n">
        <v>4731</v>
      </c>
      <c r="N105" s="15" t="n"/>
      <c r="O105" s="15" t="n"/>
      <c r="P105" s="15" t="n"/>
      <c r="Q105" s="15" t="n"/>
      <c r="R105" s="15" t="n">
        <v>1500</v>
      </c>
    </row>
    <row r="106">
      <c r="A106" s="599" t="inlineStr">
        <is>
          <t>CEW 1</t>
        </is>
      </c>
      <c r="B106" s="599" t="n">
        <v>29.4</v>
      </c>
      <c r="C106" s="599" t="n">
        <v>29.4</v>
      </c>
      <c r="D106" s="599" t="n">
        <v>20.4</v>
      </c>
      <c r="E106" s="599" t="n">
        <v>4.5</v>
      </c>
      <c r="F106" s="599" t="n">
        <v>360</v>
      </c>
      <c r="G106" s="599" t="inlineStr">
        <is>
          <t>Kayjay</t>
        </is>
      </c>
      <c r="H106" s="600" t="inlineStr">
        <is>
          <t>Lathe</t>
        </is>
      </c>
      <c r="I106" s="600" t="inlineStr">
        <is>
          <t>NOS</t>
        </is>
      </c>
      <c r="J106" s="22" t="n">
        <v>22000</v>
      </c>
      <c r="K106" s="601" t="n">
        <v>0</v>
      </c>
      <c r="L106" s="602" t="n">
        <v>22000</v>
      </c>
      <c r="M106" s="15" t="n">
        <v>4731</v>
      </c>
      <c r="N106" s="15" t="n"/>
      <c r="O106" s="15" t="n"/>
      <c r="P106" s="15" t="n"/>
      <c r="Q106" s="15" t="n"/>
      <c r="R106" s="15" t="n">
        <v>2000</v>
      </c>
    </row>
    <row r="107">
      <c r="A107" s="599" t="inlineStr">
        <is>
          <t>STKM 13 C</t>
        </is>
      </c>
      <c r="B107" s="599" t="n">
        <v>29.4</v>
      </c>
      <c r="C107" s="599" t="n">
        <v>29.4</v>
      </c>
      <c r="D107" s="599" t="n">
        <v>20.4</v>
      </c>
      <c r="E107" s="599" t="n">
        <v>4.5</v>
      </c>
      <c r="F107" s="599" t="n">
        <v>361</v>
      </c>
      <c r="G107" s="599" t="inlineStr">
        <is>
          <t>Kayjay/Narsipur</t>
        </is>
      </c>
      <c r="H107" s="600" t="inlineStr">
        <is>
          <t>Lathe</t>
        </is>
      </c>
      <c r="I107" s="600" t="inlineStr">
        <is>
          <t>NOS</t>
        </is>
      </c>
      <c r="J107" s="22" t="n">
        <v>5000</v>
      </c>
      <c r="K107" s="601" t="n">
        <v>0</v>
      </c>
      <c r="L107" s="602" t="n">
        <v>5000</v>
      </c>
      <c r="M107" s="15" t="n">
        <v>4731</v>
      </c>
      <c r="N107" s="15" t="n"/>
      <c r="O107" s="15" t="n"/>
      <c r="P107" s="15" t="n"/>
      <c r="Q107" s="15" t="n"/>
      <c r="R107" s="15" t="n"/>
    </row>
    <row r="108">
      <c r="A108" s="599" t="inlineStr">
        <is>
          <t>CEW 1</t>
        </is>
      </c>
      <c r="B108" s="599" t="n">
        <v>29.4</v>
      </c>
      <c r="C108" s="599" t="n">
        <v>29.4</v>
      </c>
      <c r="D108" s="599" t="n">
        <v>20.4</v>
      </c>
      <c r="E108" s="599" t="n">
        <v>4.5</v>
      </c>
      <c r="F108" s="599" t="n">
        <v>357</v>
      </c>
      <c r="G108" s="599" t="inlineStr">
        <is>
          <t>Kayjay/Narsipur</t>
        </is>
      </c>
      <c r="H108" s="23" t="inlineStr">
        <is>
          <t>Lathe</t>
        </is>
      </c>
      <c r="I108" s="600" t="inlineStr">
        <is>
          <t>NOS</t>
        </is>
      </c>
      <c r="J108" s="22" t="n">
        <v>8000</v>
      </c>
      <c r="K108" s="601" t="n">
        <v>0</v>
      </c>
      <c r="L108" s="602" t="n">
        <v>8000</v>
      </c>
      <c r="M108" s="15" t="n">
        <v>4731</v>
      </c>
      <c r="N108" s="15" t="n"/>
      <c r="O108" s="15" t="n"/>
      <c r="P108" s="15" t="n"/>
      <c r="Q108" s="15" t="n"/>
      <c r="R108" s="15" t="n"/>
    </row>
    <row r="109">
      <c r="A109" s="599" t="inlineStr">
        <is>
          <t>ERW</t>
        </is>
      </c>
      <c r="B109" s="599" t="n">
        <v>41.28</v>
      </c>
      <c r="C109" s="599" t="n">
        <v>41.28</v>
      </c>
      <c r="D109" s="599" t="n">
        <v>0</v>
      </c>
      <c r="E109" s="599" t="n">
        <v>2.4</v>
      </c>
      <c r="F109" s="599" t="n">
        <v>204.5</v>
      </c>
      <c r="G109" s="599" t="inlineStr">
        <is>
          <t>Indo</t>
        </is>
      </c>
      <c r="H109" s="600" t="inlineStr">
        <is>
          <t>Lathe</t>
        </is>
      </c>
      <c r="I109" s="600" t="inlineStr">
        <is>
          <t>NOS</t>
        </is>
      </c>
      <c r="J109" s="22" t="n">
        <v>4000</v>
      </c>
      <c r="K109" s="601" t="n">
        <v>4000</v>
      </c>
      <c r="L109" s="602" t="n">
        <v>0</v>
      </c>
      <c r="M109" s="15" t="n">
        <v>4731</v>
      </c>
      <c r="N109" s="15" t="n"/>
      <c r="O109" s="15" t="n"/>
      <c r="P109" s="15" t="n"/>
      <c r="Q109" s="15" t="n"/>
      <c r="R109" s="15" t="n"/>
    </row>
    <row r="110">
      <c r="A110" s="599" t="inlineStr">
        <is>
          <t>ERW</t>
        </is>
      </c>
      <c r="B110" s="599" t="n">
        <v>41.28</v>
      </c>
      <c r="C110" s="599" t="n">
        <v>41.28</v>
      </c>
      <c r="D110" s="599" t="n">
        <v>0</v>
      </c>
      <c r="E110" s="599" t="n">
        <v>3.2</v>
      </c>
      <c r="F110" s="599" t="n">
        <v>230</v>
      </c>
      <c r="G110" s="599" t="inlineStr">
        <is>
          <t>Rajsriya</t>
        </is>
      </c>
      <c r="H110" s="600" t="inlineStr">
        <is>
          <t>Lathe</t>
        </is>
      </c>
      <c r="I110" s="600" t="inlineStr">
        <is>
          <t>NOS</t>
        </is>
      </c>
      <c r="J110" s="22" t="n">
        <v>10000</v>
      </c>
      <c r="K110" s="601" t="n">
        <v>0</v>
      </c>
      <c r="L110" s="602" t="n">
        <v>10000</v>
      </c>
      <c r="M110" s="15" t="n">
        <v>4731</v>
      </c>
      <c r="N110" s="15" t="n"/>
      <c r="O110" s="15" t="n"/>
      <c r="P110" s="15" t="n"/>
      <c r="Q110" s="15" t="n"/>
      <c r="R110" s="15" t="n">
        <v>2500</v>
      </c>
    </row>
    <row r="111">
      <c r="A111" s="599" t="inlineStr">
        <is>
          <t>ERW</t>
        </is>
      </c>
      <c r="B111" s="599" t="n">
        <v>41.28</v>
      </c>
      <c r="C111" s="599" t="n">
        <v>41.28</v>
      </c>
      <c r="D111" s="599" t="n">
        <v>0</v>
      </c>
      <c r="E111" s="599" t="n">
        <v>3.2</v>
      </c>
      <c r="F111" s="599" t="n">
        <v>246</v>
      </c>
      <c r="G111" s="599" t="inlineStr">
        <is>
          <t>Metalman</t>
        </is>
      </c>
      <c r="H111" s="600" t="inlineStr">
        <is>
          <t>Lathe</t>
        </is>
      </c>
      <c r="I111" s="600" t="inlineStr">
        <is>
          <t>NOS</t>
        </is>
      </c>
      <c r="J111" s="22" t="n">
        <v>8000</v>
      </c>
      <c r="K111" s="601" t="n">
        <v>2359</v>
      </c>
      <c r="L111" s="602" t="n">
        <v>5641</v>
      </c>
      <c r="M111" s="15" t="n">
        <v>4731</v>
      </c>
      <c r="N111" s="15" t="n"/>
      <c r="O111" s="15" t="n"/>
      <c r="P111" s="15" t="n"/>
      <c r="Q111" s="15" t="n"/>
      <c r="R111" s="15" t="n"/>
    </row>
    <row r="112">
      <c r="A112" s="599" t="inlineStr">
        <is>
          <t>ERW</t>
        </is>
      </c>
      <c r="B112" s="599" t="n">
        <v>42.7</v>
      </c>
      <c r="C112" s="599" t="n">
        <v>42.7</v>
      </c>
      <c r="D112" s="599" t="n">
        <v>0</v>
      </c>
      <c r="E112" s="599" t="n">
        <v>3.5</v>
      </c>
      <c r="F112" s="79" t="n">
        <v>210</v>
      </c>
      <c r="G112" s="79" t="inlineStr">
        <is>
          <t>NMPL</t>
        </is>
      </c>
      <c r="H112" s="22" t="inlineStr">
        <is>
          <t>Lathe</t>
        </is>
      </c>
      <c r="I112" s="600" t="inlineStr">
        <is>
          <t>NOS</t>
        </is>
      </c>
      <c r="J112" s="22" t="n">
        <v>30000</v>
      </c>
      <c r="K112" s="601" t="n">
        <v>2520</v>
      </c>
      <c r="L112" s="602">
        <f>J112-K112</f>
        <v/>
      </c>
      <c r="M112" s="15" t="n">
        <v>4318</v>
      </c>
      <c r="N112" s="15" t="n">
        <v>1000</v>
      </c>
      <c r="O112" s="15" t="n">
        <v>1500</v>
      </c>
      <c r="P112" s="15" t="n">
        <v>1500</v>
      </c>
      <c r="Q112" s="15" t="n">
        <v>1500</v>
      </c>
      <c r="R112" s="15">
        <f>SUM(N112:Q112)</f>
        <v/>
      </c>
      <c r="S112" s="15" t="n">
        <v>1450</v>
      </c>
      <c r="T112" s="15" t="n">
        <v>1000</v>
      </c>
      <c r="U112" s="15" t="n">
        <v>1000</v>
      </c>
      <c r="V112" s="15" t="n">
        <v>1000</v>
      </c>
      <c r="W112" s="15" t="n">
        <v>1000</v>
      </c>
    </row>
    <row r="113">
      <c r="A113" s="599" t="inlineStr">
        <is>
          <t>ERW</t>
        </is>
      </c>
      <c r="B113" s="599" t="n">
        <v>42.7</v>
      </c>
      <c r="C113" s="599" t="n">
        <v>42.7</v>
      </c>
      <c r="D113" s="599" t="n">
        <v>0</v>
      </c>
      <c r="E113" s="599" t="n">
        <v>3.5</v>
      </c>
      <c r="F113" s="79" t="n">
        <v>208</v>
      </c>
      <c r="G113" s="599" t="inlineStr">
        <is>
          <t>Sandhar</t>
        </is>
      </c>
      <c r="H113" s="600" t="inlineStr">
        <is>
          <t>Lathe</t>
        </is>
      </c>
      <c r="I113" s="600" t="inlineStr">
        <is>
          <t>NOS</t>
        </is>
      </c>
      <c r="J113" s="22" t="n">
        <v>28000</v>
      </c>
      <c r="K113" s="601" t="n">
        <v>10700</v>
      </c>
      <c r="L113" s="602">
        <f>J113-K113</f>
        <v/>
      </c>
      <c r="M113" s="15" t="n">
        <v>4318</v>
      </c>
      <c r="N113" s="15" t="n"/>
      <c r="O113" s="15" t="n">
        <v>1000</v>
      </c>
      <c r="P113" s="15" t="n">
        <v>1500</v>
      </c>
      <c r="Q113" s="15" t="n">
        <v>2000</v>
      </c>
      <c r="R113" s="15">
        <f>SUM(N113:Q113)</f>
        <v/>
      </c>
      <c r="S113" s="15" t="n">
        <v>500</v>
      </c>
      <c r="T113" s="15" t="n">
        <v>2000</v>
      </c>
      <c r="U113" s="15" t="n">
        <v>2000</v>
      </c>
      <c r="V113" s="15" t="n">
        <v>1000</v>
      </c>
      <c r="W113" s="15" t="n">
        <v>2000</v>
      </c>
    </row>
    <row r="114">
      <c r="A114" s="599" t="inlineStr">
        <is>
          <t>ERW</t>
        </is>
      </c>
      <c r="B114" s="599" t="n">
        <v>42.7</v>
      </c>
      <c r="C114" s="599" t="n">
        <v>42.7</v>
      </c>
      <c r="D114" s="599" t="n">
        <v>0</v>
      </c>
      <c r="E114" s="599" t="n">
        <v>3.5</v>
      </c>
      <c r="F114" s="599" t="n">
        <v>247</v>
      </c>
      <c r="G114" s="599" t="inlineStr">
        <is>
          <t>Rucha</t>
        </is>
      </c>
      <c r="H114" s="600" t="inlineStr">
        <is>
          <t>Lathe</t>
        </is>
      </c>
      <c r="I114" s="600" t="inlineStr">
        <is>
          <t>NOS</t>
        </is>
      </c>
      <c r="J114" s="22" t="n">
        <v>11170</v>
      </c>
      <c r="K114" s="601" t="n">
        <v>2690</v>
      </c>
      <c r="L114" s="602">
        <f>J114-K114</f>
        <v/>
      </c>
      <c r="M114" s="15" t="n">
        <v>4318</v>
      </c>
      <c r="N114" s="15" t="n"/>
      <c r="O114" s="15" t="n"/>
      <c r="P114" s="15" t="n"/>
      <c r="Q114" s="15" t="n"/>
      <c r="R114" s="15">
        <f>SUM(N114:Q114)</f>
        <v/>
      </c>
      <c r="S114" s="15" t="n">
        <v>0</v>
      </c>
      <c r="T114" s="15" t="n"/>
      <c r="U114" s="15" t="n"/>
      <c r="V114" s="15" t="n"/>
      <c r="W114" s="15" t="n"/>
    </row>
    <row r="115">
      <c r="A115" s="599" t="inlineStr">
        <is>
          <t>ERW</t>
        </is>
      </c>
      <c r="B115" s="599" t="n">
        <v>42.7</v>
      </c>
      <c r="C115" s="599" t="n">
        <v>42.7</v>
      </c>
      <c r="D115" s="599" t="n">
        <v>0</v>
      </c>
      <c r="E115" s="599" t="n">
        <v>4</v>
      </c>
      <c r="F115" s="599" t="n">
        <v>254</v>
      </c>
      <c r="G115" s="599" t="inlineStr">
        <is>
          <t>Rajsriya</t>
        </is>
      </c>
      <c r="H115" s="23" t="inlineStr">
        <is>
          <t>Lathe</t>
        </is>
      </c>
      <c r="I115" s="600" t="inlineStr">
        <is>
          <t>NOS</t>
        </is>
      </c>
      <c r="J115" s="22" t="n">
        <v>10000</v>
      </c>
      <c r="K115" s="601" t="n">
        <v>0</v>
      </c>
      <c r="L115" s="602">
        <f>J115-K115</f>
        <v/>
      </c>
      <c r="M115" s="15" t="n">
        <v>4318</v>
      </c>
      <c r="N115" s="15" t="n"/>
      <c r="O115" s="15" t="n"/>
      <c r="P115" s="15" t="n"/>
      <c r="Q115" s="15" t="n"/>
      <c r="R115" s="15">
        <f>SUM(N115:Q115)</f>
        <v/>
      </c>
      <c r="S115" s="15" t="n">
        <v>0</v>
      </c>
      <c r="T115" s="15" t="n"/>
      <c r="U115" s="15" t="n"/>
      <c r="V115" s="15" t="n"/>
      <c r="W115" s="15" t="n"/>
    </row>
    <row r="116">
      <c r="A116" s="599" t="inlineStr">
        <is>
          <t>ERW</t>
        </is>
      </c>
      <c r="B116" s="599" t="n">
        <v>42.7</v>
      </c>
      <c r="C116" s="599" t="n">
        <v>42.7</v>
      </c>
      <c r="D116" s="599" t="n">
        <v>0</v>
      </c>
      <c r="E116" s="599" t="n">
        <v>4</v>
      </c>
      <c r="F116" s="599" t="n">
        <v>235</v>
      </c>
      <c r="G116" s="599" t="inlineStr">
        <is>
          <t>Metalman</t>
        </is>
      </c>
      <c r="H116" s="600" t="inlineStr">
        <is>
          <t>Lathe</t>
        </is>
      </c>
      <c r="I116" s="600" t="inlineStr">
        <is>
          <t>NOS</t>
        </is>
      </c>
      <c r="J116" s="22" t="n">
        <v>3000</v>
      </c>
      <c r="K116" s="601" t="n">
        <v>0</v>
      </c>
      <c r="L116" s="602">
        <f>J116-K116</f>
        <v/>
      </c>
      <c r="M116" s="15" t="n">
        <v>4318</v>
      </c>
      <c r="N116" s="15" t="n"/>
      <c r="O116" s="15" t="n"/>
      <c r="P116" s="15" t="n"/>
      <c r="Q116" s="15" t="n"/>
      <c r="R116" s="15">
        <f>SUM(N116:Q116)</f>
        <v/>
      </c>
      <c r="S116" s="15" t="n">
        <v>0</v>
      </c>
      <c r="T116" s="15" t="n"/>
      <c r="U116" s="15" t="n"/>
      <c r="V116" s="15" t="n"/>
      <c r="W116" s="15" t="n"/>
    </row>
    <row r="117">
      <c r="A117" s="599" t="inlineStr">
        <is>
          <t>ERW</t>
        </is>
      </c>
      <c r="B117" s="599" t="n">
        <v>42.7</v>
      </c>
      <c r="C117" s="599" t="n">
        <v>42.7</v>
      </c>
      <c r="D117" s="599" t="n">
        <v>0</v>
      </c>
      <c r="E117" s="599" t="n">
        <v>4</v>
      </c>
      <c r="F117" s="599" t="n">
        <v>215</v>
      </c>
      <c r="G117" s="599" t="inlineStr">
        <is>
          <t>Sandhar Mysore</t>
        </is>
      </c>
      <c r="H117" s="600" t="inlineStr">
        <is>
          <t>Lathe</t>
        </is>
      </c>
      <c r="I117" s="600" t="inlineStr">
        <is>
          <t>NOS</t>
        </is>
      </c>
      <c r="J117" s="22" t="n">
        <v>27167</v>
      </c>
      <c r="K117" s="601" t="n">
        <v>17041</v>
      </c>
      <c r="L117" s="602">
        <f>J117-K117</f>
        <v/>
      </c>
      <c r="M117" s="15" t="n">
        <v>4318</v>
      </c>
      <c r="N117" s="15" t="n">
        <v>1000</v>
      </c>
      <c r="O117" s="15" t="n">
        <v>1500</v>
      </c>
      <c r="P117" s="15" t="n">
        <v>3000</v>
      </c>
      <c r="Q117" s="15" t="n">
        <v>2500</v>
      </c>
      <c r="R117" s="15">
        <f>SUM(N117:Q117)</f>
        <v/>
      </c>
      <c r="S117" s="15" t="n">
        <v>5500</v>
      </c>
      <c r="T117" s="15" t="n">
        <v>2000</v>
      </c>
      <c r="U117" s="15" t="n">
        <v>2000</v>
      </c>
      <c r="V117" s="15" t="n">
        <v>2000</v>
      </c>
      <c r="W117" s="15" t="n">
        <v>1000</v>
      </c>
    </row>
    <row r="118">
      <c r="A118" s="599" t="inlineStr">
        <is>
          <t>ERW</t>
        </is>
      </c>
      <c r="B118" s="599" t="n">
        <v>42.7</v>
      </c>
      <c r="C118" s="599" t="n">
        <v>42.7</v>
      </c>
      <c r="D118" s="599" t="n">
        <v>0</v>
      </c>
      <c r="E118" s="599" t="n">
        <v>4</v>
      </c>
      <c r="F118" s="599" t="n">
        <v>290</v>
      </c>
      <c r="G118" s="599" t="inlineStr">
        <is>
          <t>Elkayem</t>
        </is>
      </c>
      <c r="H118" s="600" t="inlineStr">
        <is>
          <t>Lathe</t>
        </is>
      </c>
      <c r="I118" s="600" t="inlineStr">
        <is>
          <t>NOS</t>
        </is>
      </c>
      <c r="J118" s="22" t="n">
        <v>6000</v>
      </c>
      <c r="K118" s="601" t="n">
        <v>0</v>
      </c>
      <c r="L118" s="602">
        <f>J118-K118</f>
        <v/>
      </c>
      <c r="M118" s="15" t="n">
        <v>4318</v>
      </c>
      <c r="N118" s="15" t="n"/>
      <c r="O118" s="15" t="n"/>
      <c r="P118" s="15" t="n"/>
      <c r="Q118" s="15" t="n"/>
      <c r="R118" s="15">
        <f>SUM(N118:Q118)</f>
        <v/>
      </c>
      <c r="S118" s="15" t="n">
        <v>0</v>
      </c>
      <c r="T118" s="15" t="n"/>
      <c r="U118" s="15" t="n"/>
      <c r="V118" s="15" t="n"/>
      <c r="W118" s="15" t="n"/>
    </row>
    <row r="119">
      <c r="A119" s="599" t="inlineStr">
        <is>
          <t>ERW</t>
        </is>
      </c>
      <c r="B119" s="599" t="n">
        <v>42.7</v>
      </c>
      <c r="C119" s="599" t="n">
        <v>42.7</v>
      </c>
      <c r="D119" s="599" t="n">
        <v>0</v>
      </c>
      <c r="E119" s="599" t="n">
        <v>4</v>
      </c>
      <c r="F119" s="599" t="n">
        <v>344</v>
      </c>
      <c r="G119" s="599" t="inlineStr">
        <is>
          <t>Nahar</t>
        </is>
      </c>
      <c r="H119" s="600" t="inlineStr">
        <is>
          <t>Lathe</t>
        </is>
      </c>
      <c r="I119" s="600" t="inlineStr">
        <is>
          <t>NOS</t>
        </is>
      </c>
      <c r="J119" s="22" t="n">
        <v>2000</v>
      </c>
      <c r="K119" s="601" t="n">
        <v>0</v>
      </c>
      <c r="L119" s="602">
        <f>J119-K119</f>
        <v/>
      </c>
      <c r="M119" s="15" t="n">
        <v>4318</v>
      </c>
      <c r="N119" s="15" t="n"/>
      <c r="O119" s="15" t="n"/>
      <c r="P119" s="15" t="n"/>
      <c r="Q119" s="15" t="n"/>
      <c r="R119" s="15" t="n">
        <v>0</v>
      </c>
      <c r="S119" s="15" t="n">
        <v>0</v>
      </c>
      <c r="T119" s="15" t="n">
        <v>1000</v>
      </c>
      <c r="U119" s="15" t="n">
        <v>1000</v>
      </c>
      <c r="V119" s="15" t="n"/>
      <c r="W119" s="15" t="n"/>
    </row>
    <row r="120">
      <c r="A120" s="599" t="inlineStr">
        <is>
          <t>CEW</t>
        </is>
      </c>
      <c r="B120" s="599" t="n">
        <v>47.63</v>
      </c>
      <c r="C120" s="599" t="n">
        <v>47.63</v>
      </c>
      <c r="D120" s="599" t="n">
        <v>0</v>
      </c>
      <c r="E120" s="599" t="n">
        <v>4</v>
      </c>
      <c r="F120" s="79" t="n">
        <v>212</v>
      </c>
      <c r="G120" s="600" t="inlineStr">
        <is>
          <t>Thai Summit</t>
        </is>
      </c>
      <c r="H120" s="103" t="inlineStr">
        <is>
          <t>Lathe</t>
        </is>
      </c>
      <c r="I120" s="600" t="inlineStr">
        <is>
          <t>NOS</t>
        </is>
      </c>
      <c r="J120" s="22" t="n">
        <v>60000</v>
      </c>
      <c r="K120" s="601" t="n">
        <v>8030</v>
      </c>
      <c r="L120" s="602">
        <f>J120-K120</f>
        <v/>
      </c>
      <c r="M120" s="15" t="n">
        <v>4318</v>
      </c>
      <c r="N120" s="15" t="n">
        <v>2000</v>
      </c>
      <c r="O120" s="15" t="n">
        <v>2000</v>
      </c>
      <c r="P120" s="15" t="n"/>
      <c r="Q120" s="15" t="n"/>
      <c r="R120" s="15">
        <f>SUM(N120:Q120)</f>
        <v/>
      </c>
      <c r="S120" s="15" t="n">
        <v>4000</v>
      </c>
      <c r="T120" s="15" t="n"/>
      <c r="U120" s="15" t="n"/>
      <c r="V120" s="15" t="n">
        <v>2000</v>
      </c>
      <c r="W120" s="15" t="n">
        <v>2000</v>
      </c>
    </row>
    <row r="121">
      <c r="A121" s="599" t="inlineStr">
        <is>
          <t>CEW</t>
        </is>
      </c>
      <c r="B121" s="599" t="n">
        <v>47.63</v>
      </c>
      <c r="C121" s="599" t="n">
        <v>47.63</v>
      </c>
      <c r="D121" s="599" t="n">
        <v>0</v>
      </c>
      <c r="E121" s="599" t="n">
        <v>4</v>
      </c>
      <c r="F121" s="599" t="n">
        <v>215</v>
      </c>
      <c r="G121" s="600" t="inlineStr">
        <is>
          <t>JBM</t>
        </is>
      </c>
      <c r="H121" s="103" t="inlineStr">
        <is>
          <t>Lathe</t>
        </is>
      </c>
      <c r="I121" s="600" t="inlineStr">
        <is>
          <t>NOS</t>
        </is>
      </c>
      <c r="J121" s="22" t="n">
        <v>20000</v>
      </c>
      <c r="K121" s="601" t="n">
        <v>4800</v>
      </c>
      <c r="L121" s="602">
        <f>J121-K121</f>
        <v/>
      </c>
      <c r="M121" s="15" t="n">
        <v>4318</v>
      </c>
      <c r="N121" s="15" t="n"/>
      <c r="O121" s="15" t="n"/>
      <c r="P121" s="15" t="n"/>
      <c r="Q121" s="15" t="n"/>
      <c r="R121" s="15">
        <f>SUM(N121:Q121)</f>
        <v/>
      </c>
      <c r="S121" s="15" t="n"/>
      <c r="T121" s="15" t="n"/>
      <c r="U121" s="15" t="n"/>
      <c r="V121" s="15" t="n"/>
      <c r="W121" s="15" t="n"/>
    </row>
    <row r="122">
      <c r="A122" s="599" t="inlineStr">
        <is>
          <t>ERW</t>
        </is>
      </c>
      <c r="B122" s="599" t="n">
        <v>48.6</v>
      </c>
      <c r="C122" s="599" t="n">
        <v>48.6</v>
      </c>
      <c r="D122" s="599" t="n">
        <v>0</v>
      </c>
      <c r="E122" s="599" t="n">
        <v>3.5</v>
      </c>
      <c r="F122" s="599" t="n">
        <v>185</v>
      </c>
      <c r="G122" s="600" t="inlineStr">
        <is>
          <t>Metalman</t>
        </is>
      </c>
      <c r="H122" s="600" t="inlineStr">
        <is>
          <t>Lathe</t>
        </is>
      </c>
      <c r="I122" s="600" t="inlineStr">
        <is>
          <t>NOS</t>
        </is>
      </c>
      <c r="J122" s="22" t="n">
        <v>12000</v>
      </c>
      <c r="K122" s="601" t="n">
        <v>0</v>
      </c>
      <c r="L122" s="602" t="n">
        <v>12000</v>
      </c>
      <c r="M122" s="15" t="n">
        <v>4731</v>
      </c>
      <c r="N122" s="15" t="n"/>
      <c r="O122" s="15" t="n"/>
      <c r="P122" s="15" t="n"/>
      <c r="Q122" s="15" t="n"/>
    </row>
    <row r="123">
      <c r="A123" s="599" t="inlineStr">
        <is>
          <t>ERW</t>
        </is>
      </c>
      <c r="B123" s="599" t="n">
        <v>48.6</v>
      </c>
      <c r="C123" s="599" t="n">
        <v>48.6</v>
      </c>
      <c r="D123" s="599" t="n">
        <v>0</v>
      </c>
      <c r="E123" s="599" t="n">
        <v>3.5</v>
      </c>
      <c r="F123" s="599" t="n">
        <v>196</v>
      </c>
      <c r="G123" s="600" t="inlineStr">
        <is>
          <t>NMPL HUB</t>
        </is>
      </c>
      <c r="H123" s="22" t="inlineStr">
        <is>
          <t>Lathe</t>
        </is>
      </c>
      <c r="I123" s="600" t="inlineStr">
        <is>
          <t>NOS</t>
        </is>
      </c>
      <c r="J123" s="22" t="n">
        <v>10000</v>
      </c>
      <c r="K123" s="601" t="n">
        <v>3600</v>
      </c>
      <c r="L123" s="602" t="n">
        <v>6400</v>
      </c>
      <c r="M123" s="15" t="n">
        <v>4731</v>
      </c>
      <c r="N123" s="15" t="n"/>
      <c r="O123" s="15" t="n"/>
      <c r="P123" s="15" t="n"/>
      <c r="Q123" s="15" t="n"/>
    </row>
    <row r="124">
      <c r="A124" s="599" t="inlineStr">
        <is>
          <t>ERW</t>
        </is>
      </c>
      <c r="B124" s="599" t="n">
        <v>48.6</v>
      </c>
      <c r="C124" s="599" t="n">
        <v>48.6</v>
      </c>
      <c r="D124" s="599" t="n">
        <v>0</v>
      </c>
      <c r="E124" s="599" t="n">
        <v>3.5</v>
      </c>
      <c r="F124" s="599" t="n">
        <v>202.5</v>
      </c>
      <c r="G124" s="600" t="inlineStr">
        <is>
          <t>Sandhar Mysore</t>
        </is>
      </c>
      <c r="H124" s="600" t="inlineStr">
        <is>
          <t>Lathe</t>
        </is>
      </c>
      <c r="I124" s="600" t="inlineStr">
        <is>
          <t>NOS</t>
        </is>
      </c>
      <c r="J124" s="22" t="n">
        <v>7389</v>
      </c>
      <c r="K124" s="601" t="n">
        <v>0</v>
      </c>
      <c r="L124" s="602" t="n">
        <v>7389</v>
      </c>
      <c r="M124" s="15" t="n">
        <v>4731</v>
      </c>
      <c r="N124" s="15" t="n"/>
      <c r="O124" s="15" t="n"/>
      <c r="P124" s="15" t="n"/>
      <c r="Q124" s="15" t="n"/>
    </row>
    <row r="125">
      <c r="A125" s="599" t="inlineStr">
        <is>
          <t>CEW</t>
        </is>
      </c>
      <c r="B125" s="599" t="n">
        <v>50.8</v>
      </c>
      <c r="C125" s="599" t="n">
        <v>50.8</v>
      </c>
      <c r="D125" s="599" t="n">
        <v>0</v>
      </c>
      <c r="E125" s="599" t="n">
        <v>2.6</v>
      </c>
      <c r="F125" s="599" t="n">
        <v>142</v>
      </c>
      <c r="G125" s="600" t="inlineStr">
        <is>
          <t>Indo</t>
        </is>
      </c>
      <c r="H125" s="600" t="inlineStr">
        <is>
          <t>Lathe</t>
        </is>
      </c>
      <c r="I125" s="600" t="inlineStr">
        <is>
          <t>NOS</t>
        </is>
      </c>
      <c r="J125" s="22" t="n">
        <v>7000</v>
      </c>
      <c r="K125" s="601" t="n">
        <v>0</v>
      </c>
      <c r="L125" s="602" t="n">
        <v>7000</v>
      </c>
      <c r="M125" s="15" t="n">
        <v>4731</v>
      </c>
      <c r="N125" s="15" t="n"/>
      <c r="O125" s="15" t="n"/>
      <c r="P125" s="15" t="n"/>
      <c r="Q125" s="15" t="n"/>
    </row>
    <row r="126">
      <c r="A126" s="599" t="inlineStr">
        <is>
          <t>ERW</t>
        </is>
      </c>
      <c r="B126" s="599" t="n">
        <v>50.8</v>
      </c>
      <c r="C126" s="599" t="n">
        <v>50.8</v>
      </c>
      <c r="D126" s="599" t="n">
        <v>0</v>
      </c>
      <c r="E126" s="599" t="n">
        <v>2.6</v>
      </c>
      <c r="F126" s="599" t="n">
        <v>130</v>
      </c>
      <c r="G126" s="181" t="inlineStr">
        <is>
          <t>Indo</t>
        </is>
      </c>
      <c r="H126" s="600" t="inlineStr">
        <is>
          <t>Lathe</t>
        </is>
      </c>
      <c r="I126" s="600" t="inlineStr">
        <is>
          <t>NOS</t>
        </is>
      </c>
      <c r="J126" s="22" t="n">
        <v>5000</v>
      </c>
      <c r="K126" s="601" t="n">
        <v>0</v>
      </c>
      <c r="L126" s="602" t="n">
        <v>5000</v>
      </c>
      <c r="M126" s="15" t="n">
        <v>4731</v>
      </c>
      <c r="N126" s="15" t="n"/>
      <c r="O126" s="15" t="n"/>
      <c r="P126" s="15" t="n"/>
      <c r="Q126" s="15" t="n"/>
    </row>
    <row r="127">
      <c r="J127" s="585">
        <f>SUM(J105:J126)</f>
        <v/>
      </c>
      <c r="K127" s="192">
        <f>SUM(K105:K126)</f>
        <v/>
      </c>
      <c r="N127">
        <f>SUBTOTAL(9,N112:N121)</f>
        <v/>
      </c>
      <c r="O127">
        <f>SUBTOTAL(9,O112:O121)</f>
        <v/>
      </c>
      <c r="P127">
        <f>SUBTOTAL(9,P112:P121)</f>
        <v/>
      </c>
      <c r="Q127">
        <f>SUBTOTAL(9,Q112:Q121)</f>
        <v/>
      </c>
      <c r="R127">
        <f>SUBTOTAL(9,R112:R121)</f>
        <v/>
      </c>
      <c r="S127">
        <f>SUBTOTAL(9,S112:S121)</f>
        <v/>
      </c>
      <c r="T127">
        <f>SUBTOTAL(9,T112:T126)</f>
        <v/>
      </c>
      <c r="U127">
        <f>SUBTOTAL(9,U112:U126)</f>
        <v/>
      </c>
      <c r="V127">
        <f>SUBTOTAL(9,V112:V126)</f>
        <v/>
      </c>
      <c r="W127">
        <f>SUBTOTAL(9,W112:W126)</f>
        <v/>
      </c>
    </row>
    <row r="128">
      <c r="K128" s="193">
        <f>K127/J127</f>
        <v/>
      </c>
      <c r="M128" t="inlineStr">
        <is>
          <t>Capacity</t>
        </is>
      </c>
      <c r="N128" t="n">
        <v>4000</v>
      </c>
      <c r="O128" t="n">
        <v>6000</v>
      </c>
      <c r="P128" t="n">
        <v>6000</v>
      </c>
      <c r="Q128" t="n">
        <v>6000</v>
      </c>
    </row>
    <row r="134">
      <c r="A134" s="101" t="inlineStr">
        <is>
          <t>Grade</t>
        </is>
      </c>
      <c r="B134" s="101" t="inlineStr">
        <is>
          <t>ACTUAL OD</t>
        </is>
      </c>
      <c r="C134" s="101" t="inlineStr">
        <is>
          <t>OD</t>
        </is>
      </c>
      <c r="D134" s="101" t="inlineStr">
        <is>
          <t>ID</t>
        </is>
      </c>
      <c r="E134" s="101" t="inlineStr">
        <is>
          <t>TICKNESS</t>
        </is>
      </c>
      <c r="F134" s="101" t="inlineStr">
        <is>
          <t>LENGTH</t>
        </is>
      </c>
      <c r="G134" s="101" t="inlineStr">
        <is>
          <t>Customer</t>
        </is>
      </c>
      <c r="H134" s="101" t="inlineStr">
        <is>
          <t>UoM</t>
        </is>
      </c>
      <c r="I134" s="101" t="inlineStr">
        <is>
          <t>SCHEDULE</t>
        </is>
      </c>
    </row>
    <row r="135">
      <c r="A135" s="599" t="inlineStr">
        <is>
          <t>ERW</t>
        </is>
      </c>
      <c r="B135" s="599" t="n">
        <v>42.7</v>
      </c>
      <c r="C135" s="599" t="n">
        <v>42.7</v>
      </c>
      <c r="D135" s="599" t="n">
        <v>0</v>
      </c>
      <c r="E135" s="599" t="n">
        <v>3.5</v>
      </c>
      <c r="F135" s="599" t="n">
        <v>210</v>
      </c>
      <c r="G135" s="599" t="inlineStr">
        <is>
          <t>NMPL</t>
        </is>
      </c>
      <c r="H135" s="600" t="inlineStr">
        <is>
          <t>NOS</t>
        </is>
      </c>
      <c r="I135" s="22" t="n">
        <v>8000</v>
      </c>
    </row>
    <row r="136">
      <c r="A136" s="599" t="inlineStr">
        <is>
          <t>ERW</t>
        </is>
      </c>
      <c r="B136" s="599" t="n">
        <v>42.7</v>
      </c>
      <c r="C136" s="599" t="n">
        <v>42.7</v>
      </c>
      <c r="D136" s="599" t="n">
        <v>0</v>
      </c>
      <c r="E136" s="599" t="n">
        <v>3.5</v>
      </c>
      <c r="F136" s="599" t="n">
        <v>208</v>
      </c>
      <c r="G136" s="599" t="inlineStr">
        <is>
          <t>Sandhar</t>
        </is>
      </c>
      <c r="H136" s="600" t="inlineStr">
        <is>
          <t>NOS</t>
        </is>
      </c>
      <c r="I136" s="22" t="n">
        <v>8000</v>
      </c>
    </row>
    <row r="137" hidden="1" s="584">
      <c r="A137" s="599" t="inlineStr">
        <is>
          <t>ERW</t>
        </is>
      </c>
      <c r="B137" s="599" t="n">
        <v>42.7</v>
      </c>
      <c r="C137" s="599" t="n">
        <v>42.7</v>
      </c>
      <c r="D137" s="599" t="n">
        <v>0</v>
      </c>
      <c r="E137" s="599" t="n">
        <v>3.5</v>
      </c>
      <c r="F137" s="599" t="n">
        <v>247</v>
      </c>
      <c r="G137" s="599" t="inlineStr">
        <is>
          <t>Rucha</t>
        </is>
      </c>
      <c r="H137" s="600" t="inlineStr">
        <is>
          <t>NOS</t>
        </is>
      </c>
      <c r="I137" s="22" t="n">
        <v>0</v>
      </c>
    </row>
    <row r="138" hidden="1" s="584">
      <c r="A138" s="599" t="inlineStr">
        <is>
          <t>ERW</t>
        </is>
      </c>
      <c r="B138" s="599" t="n">
        <v>42.7</v>
      </c>
      <c r="C138" s="599" t="n">
        <v>42.7</v>
      </c>
      <c r="D138" s="599" t="n">
        <v>0</v>
      </c>
      <c r="E138" s="599" t="n">
        <v>4</v>
      </c>
      <c r="F138" s="599" t="n">
        <v>254</v>
      </c>
      <c r="G138" s="599" t="inlineStr">
        <is>
          <t>Rajsriya</t>
        </is>
      </c>
      <c r="H138" s="600" t="inlineStr">
        <is>
          <t>NOS</t>
        </is>
      </c>
      <c r="I138" s="22" t="n">
        <v>0</v>
      </c>
    </row>
    <row r="139" hidden="1" s="584">
      <c r="A139" s="599" t="inlineStr">
        <is>
          <t>ERW</t>
        </is>
      </c>
      <c r="B139" s="599" t="n">
        <v>42.7</v>
      </c>
      <c r="C139" s="599" t="n">
        <v>42.7</v>
      </c>
      <c r="D139" s="599" t="n">
        <v>0</v>
      </c>
      <c r="E139" s="599" t="n">
        <v>4</v>
      </c>
      <c r="F139" s="599" t="n">
        <v>235</v>
      </c>
      <c r="G139" s="599" t="inlineStr">
        <is>
          <t>Metalman</t>
        </is>
      </c>
      <c r="H139" s="600" t="inlineStr">
        <is>
          <t>NOS</t>
        </is>
      </c>
      <c r="I139" s="22" t="n">
        <v>0</v>
      </c>
    </row>
    <row r="140">
      <c r="A140" s="599" t="inlineStr">
        <is>
          <t>ERW</t>
        </is>
      </c>
      <c r="B140" s="599" t="n">
        <v>42.7</v>
      </c>
      <c r="C140" s="599" t="n">
        <v>42.7</v>
      </c>
      <c r="D140" s="599" t="n">
        <v>0</v>
      </c>
      <c r="E140" s="599" t="n">
        <v>3.5</v>
      </c>
      <c r="F140" s="599" t="n">
        <v>202.5</v>
      </c>
      <c r="G140" s="599" t="inlineStr">
        <is>
          <t>NMPL</t>
        </is>
      </c>
      <c r="H140" s="600" t="inlineStr">
        <is>
          <t>NOS</t>
        </is>
      </c>
      <c r="I140" s="22" t="n">
        <v>2000</v>
      </c>
    </row>
    <row r="141">
      <c r="A141" s="599" t="inlineStr">
        <is>
          <t>ERW</t>
        </is>
      </c>
      <c r="B141" s="599" t="n">
        <v>42.7</v>
      </c>
      <c r="C141" s="599" t="n">
        <v>42.7</v>
      </c>
      <c r="D141" s="599" t="n">
        <v>0</v>
      </c>
      <c r="E141" s="599" t="n">
        <v>4</v>
      </c>
      <c r="F141" s="599" t="n">
        <v>215</v>
      </c>
      <c r="G141" s="599" t="inlineStr">
        <is>
          <t>Sandhar Mysore</t>
        </is>
      </c>
      <c r="H141" s="600" t="inlineStr">
        <is>
          <t>NOS</t>
        </is>
      </c>
      <c r="I141" s="22" t="n">
        <v>8000</v>
      </c>
    </row>
    <row r="142">
      <c r="A142" s="599" t="inlineStr">
        <is>
          <t>ERW</t>
        </is>
      </c>
      <c r="B142" s="599" t="n">
        <v>42.7</v>
      </c>
      <c r="C142" s="599" t="n">
        <v>42.7</v>
      </c>
      <c r="D142" s="599" t="n">
        <v>0</v>
      </c>
      <c r="E142" s="599" t="n">
        <v>4</v>
      </c>
      <c r="F142" s="599" t="n">
        <v>290</v>
      </c>
      <c r="G142" s="599" t="inlineStr">
        <is>
          <t>Elkayem</t>
        </is>
      </c>
      <c r="H142" s="600" t="inlineStr">
        <is>
          <t>NOS</t>
        </is>
      </c>
      <c r="I142" s="22" t="n">
        <v>2000</v>
      </c>
    </row>
    <row r="143" hidden="1" s="584">
      <c r="A143" s="599" t="inlineStr">
        <is>
          <t>ERW</t>
        </is>
      </c>
      <c r="B143" s="599" t="n">
        <v>42.7</v>
      </c>
      <c r="C143" s="599" t="n">
        <v>42.7</v>
      </c>
      <c r="D143" s="599" t="n">
        <v>0</v>
      </c>
      <c r="E143" s="599" t="n">
        <v>4</v>
      </c>
      <c r="F143" s="599" t="n">
        <v>344</v>
      </c>
      <c r="G143" s="599" t="inlineStr">
        <is>
          <t>Nahar</t>
        </is>
      </c>
      <c r="H143" s="600" t="inlineStr">
        <is>
          <t>NOS</t>
        </is>
      </c>
      <c r="I143" s="22" t="n">
        <v>0</v>
      </c>
    </row>
    <row r="144">
      <c r="A144" s="599" t="inlineStr">
        <is>
          <t>CEW</t>
        </is>
      </c>
      <c r="B144" s="599" t="n">
        <v>47.63</v>
      </c>
      <c r="C144" s="599" t="n">
        <v>47.63</v>
      </c>
      <c r="D144" s="599" t="n">
        <v>0</v>
      </c>
      <c r="E144" s="599" t="n">
        <v>4</v>
      </c>
      <c r="F144" s="599" t="n">
        <v>212</v>
      </c>
      <c r="G144" s="599" t="inlineStr">
        <is>
          <t>Thai Summit</t>
        </is>
      </c>
      <c r="H144" s="600" t="inlineStr">
        <is>
          <t>NOS</t>
        </is>
      </c>
      <c r="I144" s="22" t="n">
        <v>10000</v>
      </c>
    </row>
    <row r="145">
      <c r="A145" s="599" t="inlineStr">
        <is>
          <t>CEW</t>
        </is>
      </c>
      <c r="B145" s="599" t="n">
        <v>47.63</v>
      </c>
      <c r="C145" s="599" t="n">
        <v>47.63</v>
      </c>
      <c r="D145" s="599" t="n">
        <v>0</v>
      </c>
      <c r="E145" s="599" t="n">
        <v>4</v>
      </c>
      <c r="F145" s="599" t="n">
        <v>215</v>
      </c>
      <c r="G145" s="600" t="inlineStr">
        <is>
          <t>JBM</t>
        </is>
      </c>
      <c r="H145" s="600" t="inlineStr">
        <is>
          <t>NOS</t>
        </is>
      </c>
      <c r="I145" s="22" t="n">
        <v>8000</v>
      </c>
    </row>
    <row r="146">
      <c r="A146" s="599" t="inlineStr">
        <is>
          <t>CEW</t>
        </is>
      </c>
      <c r="B146" s="599" t="n">
        <v>30.15</v>
      </c>
      <c r="C146" s="599" t="n">
        <v>30</v>
      </c>
      <c r="D146" s="599" t="n">
        <v>25.5</v>
      </c>
      <c r="E146" s="599" t="n">
        <v>2.25</v>
      </c>
      <c r="F146" s="600" t="n">
        <v>485</v>
      </c>
      <c r="G146" s="600" t="inlineStr">
        <is>
          <t>Marathawada</t>
        </is>
      </c>
      <c r="H146" s="600" t="inlineStr">
        <is>
          <t>NOS</t>
        </is>
      </c>
      <c r="I146" s="22" t="n">
        <v>10000</v>
      </c>
    </row>
    <row r="147">
      <c r="A147" s="599" t="inlineStr">
        <is>
          <t>CEW</t>
        </is>
      </c>
      <c r="B147" s="599" t="n">
        <v>39</v>
      </c>
      <c r="C147" s="599" t="n">
        <v>39</v>
      </c>
      <c r="D147" s="599" t="n">
        <v>34</v>
      </c>
      <c r="E147" s="599" t="n">
        <v>2.5</v>
      </c>
      <c r="F147" s="600" t="n">
        <v>272</v>
      </c>
      <c r="G147" s="599" t="inlineStr">
        <is>
          <t>Marathawada</t>
        </is>
      </c>
      <c r="H147" s="600" t="inlineStr">
        <is>
          <t>NOS</t>
        </is>
      </c>
      <c r="I147" s="22" t="n">
        <v>10000</v>
      </c>
    </row>
    <row r="148">
      <c r="I148">
        <f>SUBTOTAL(9,I135:I147)</f>
        <v/>
      </c>
    </row>
  </sheetData>
  <autoFilter ref="A134:J145">
    <filterColumn colId="9" hiddenButton="0" showButton="1">
      <filters>
        <filter val="2000"/>
        <filter val="8000"/>
      </filters>
    </filterColumn>
  </autoFilter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4.xml><?xml version="1.0" encoding="utf-8"?>
<worksheet xmlns="http://schemas.openxmlformats.org/spreadsheetml/2006/main">
  <sheetPr codeName="Sheet27">
    <outlinePr summaryBelow="1" summaryRight="1"/>
    <pageSetUpPr/>
  </sheetPr>
  <dimension ref="A1:W29"/>
  <sheetViews>
    <sheetView workbookViewId="0">
      <selection activeCell="B2" sqref="B2"/>
    </sheetView>
  </sheetViews>
  <sheetFormatPr baseColWidth="8" defaultRowHeight="15"/>
  <cols>
    <col width="12.140625" bestFit="1" customWidth="1" style="584" min="1" max="1"/>
  </cols>
  <sheetData>
    <row r="1">
      <c r="A1" s="61" t="inlineStr">
        <is>
          <t>0789</t>
        </is>
      </c>
      <c r="B1" s="15">
        <f t="array" ref="B1:K1">TRANSPOSE(_xlfn._xlws.SORT(_xlfn.UNIQUE(_xlfn._xlws.FILTER(salesforecast[TICKNESS],salesforecast[Plant]=$A$1))))</f>
        <v/>
      </c>
      <c r="C1" s="15" t="n">
        <v>1.2</v>
      </c>
      <c r="D1" s="15" t="n">
        <v>1.4</v>
      </c>
      <c r="E1" s="15" t="n">
        <v>1.6</v>
      </c>
      <c r="F1" s="15" t="n">
        <v>2</v>
      </c>
      <c r="G1" s="15" t="n">
        <v>2.3</v>
      </c>
      <c r="H1" s="15" t="n">
        <v>2.5</v>
      </c>
      <c r="I1" s="15" t="n">
        <v>2.6</v>
      </c>
      <c r="J1" s="15" t="n">
        <v>3.2</v>
      </c>
      <c r="K1" s="15" t="n">
        <v>3.5</v>
      </c>
    </row>
    <row r="2">
      <c r="A2" s="15">
        <f t="array" ref="A2:A5">_xlfn._xlws.SORT(_xlfn.UNIQUE(_xlfn._xlws.FILTER(salesforecast[GRADE],salesforecast[Plant]=$A$1)))</f>
        <v/>
      </c>
      <c r="B2" s="62">
        <f>SUMIFS(salesforecast[[July Schedule]:[July Schedule]],salesforecast[[GRADE]:[GRADE]],'rm types'!$A2,salesforecast[[TICKNESS]:[TICKNESS]],'rm types'!B$1,salesforecast[[Plant]:[Plant]],'rm types'!$A$1)</f>
        <v/>
      </c>
      <c r="C2" s="62">
        <f>SUMIFS(salesforecast[[July Schedule]:[July Schedule]],salesforecast[[GRADE]:[GRADE]],'rm types'!$A2,salesforecast[[TICKNESS]:[TICKNESS]],'rm types'!C$1,salesforecast[[Plant]:[Plant]],'rm types'!$A$1)</f>
        <v/>
      </c>
      <c r="D2" s="62">
        <f>SUMIFS(salesforecast[[July Schedule]:[July Schedule]],salesforecast[[GRADE]:[GRADE]],'rm types'!$A2,salesforecast[[TICKNESS]:[TICKNESS]],'rm types'!D$1,salesforecast[[Plant]:[Plant]],'rm types'!$A$1)</f>
        <v/>
      </c>
      <c r="E2" s="62">
        <f>SUMIFS(salesforecast[[July Schedule]:[July Schedule]],salesforecast[[GRADE]:[GRADE]],'rm types'!$A2,salesforecast[[TICKNESS]:[TICKNESS]],'rm types'!E$1,salesforecast[[Plant]:[Plant]],'rm types'!$A$1)</f>
        <v/>
      </c>
      <c r="F2" s="62">
        <f>SUMIFS(salesforecast[[July Schedule]:[July Schedule]],salesforecast[[GRADE]:[GRADE]],'rm types'!$A2,salesforecast[[TICKNESS]:[TICKNESS]],'rm types'!F$1,salesforecast[[Plant]:[Plant]],'rm types'!$A$1)</f>
        <v/>
      </c>
      <c r="G2" s="62">
        <f>SUMIFS(salesforecast[[July Schedule]:[July Schedule]],salesforecast[[GRADE]:[GRADE]],'rm types'!$A2,salesforecast[[TICKNESS]:[TICKNESS]],'rm types'!G$1,salesforecast[[Plant]:[Plant]],'rm types'!$A$1)</f>
        <v/>
      </c>
      <c r="H2" s="62">
        <f>SUMIFS(salesforecast[[July Schedule]:[July Schedule]],salesforecast[[GRADE]:[GRADE]],'rm types'!$A2,salesforecast[[TICKNESS]:[TICKNESS]],'rm types'!H$1,salesforecast[[Plant]:[Plant]],'rm types'!$A$1)</f>
        <v/>
      </c>
      <c r="I2" s="62">
        <f>SUMIFS(salesforecast[[July Schedule]:[July Schedule]],salesforecast[[GRADE]:[GRADE]],'rm types'!$A2,salesforecast[[TICKNESS]:[TICKNESS]],'rm types'!I$1,salesforecast[[Plant]:[Plant]],'rm types'!$A$1)</f>
        <v/>
      </c>
      <c r="J2" s="62">
        <f>SUMIFS(salesforecast[[July Schedule]:[July Schedule]],salesforecast[[GRADE]:[GRADE]],'rm types'!$A2,salesforecast[[TICKNESS]:[TICKNESS]],'rm types'!J$1,salesforecast[[Plant]:[Plant]],'rm types'!$A$1)</f>
        <v/>
      </c>
      <c r="K2" s="62">
        <f>SUMIFS(salesforecast[[July Schedule]:[July Schedule]],salesforecast[[GRADE]:[GRADE]],'rm types'!$A2,salesforecast[[TICKNESS]:[TICKNESS]],'rm types'!K$1,salesforecast[[Plant]:[Plant]],'rm types'!$A$1)</f>
        <v/>
      </c>
      <c r="L2" s="585">
        <f>SUMIFS(salesforecast[[July Schedule]:[July Schedule]],salesforecast[[GRADE]:[GRADE]],'rm types'!$A2,salesforecast[[TICKNESS]:[TICKNESS]],'rm types'!L$1,salesforecast[[Plant]:[Plant]],'rm types'!$A$1)</f>
        <v/>
      </c>
      <c r="M2" s="585">
        <f>SUMIFS(salesforecast[[July Schedule]:[July Schedule]],salesforecast[[GRADE]:[GRADE]],'rm types'!$A2,salesforecast[[TICKNESS]:[TICKNESS]],'rm types'!M$1,salesforecast[[Plant]:[Plant]],'rm types'!$A$1)</f>
        <v/>
      </c>
      <c r="N2" s="585">
        <f>SUMIFS(salesforecast[[July Schedule]:[July Schedule]],salesforecast[[GRADE]:[GRADE]],'rm types'!$A2,salesforecast[[TICKNESS]:[TICKNESS]],'rm types'!N$1,salesforecast[[Plant]:[Plant]],'rm types'!$A$1)</f>
        <v/>
      </c>
      <c r="O2" s="585">
        <f>SUMIFS(salesforecast[[July Schedule]:[July Schedule]],salesforecast[[GRADE]:[GRADE]],'rm types'!$A2,salesforecast[[TICKNESS]:[TICKNESS]],'rm types'!O$1,salesforecast[[Plant]:[Plant]],'rm types'!$A$1)</f>
        <v/>
      </c>
      <c r="P2" s="585">
        <f>SUMIFS(salesforecast[[July Schedule]:[July Schedule]],salesforecast[[GRADE]:[GRADE]],'rm types'!$A2,salesforecast[[TICKNESS]:[TICKNESS]],'rm types'!P$1,salesforecast[[Plant]:[Plant]],'rm types'!$A$1)</f>
        <v/>
      </c>
      <c r="Q2" s="585">
        <f>SUMIFS(salesforecast[[July Schedule]:[July Schedule]],salesforecast[[GRADE]:[GRADE]],'rm types'!$A2,salesforecast[[TICKNESS]:[TICKNESS]],'rm types'!Q$1,salesforecast[[Plant]:[Plant]],'rm types'!$A$1)</f>
        <v/>
      </c>
      <c r="R2" s="585">
        <f>SUMIFS(salesforecast[[July Schedule]:[July Schedule]],salesforecast[[GRADE]:[GRADE]],'rm types'!$A2,salesforecast[[TICKNESS]:[TICKNESS]],'rm types'!R$1,salesforecast[[Plant]:[Plant]],'rm types'!$A$1)</f>
        <v/>
      </c>
      <c r="S2" s="585">
        <f>SUMIFS(salesforecast[[July Schedule]:[July Schedule]],salesforecast[[GRADE]:[GRADE]],'rm types'!$A2,salesforecast[[TICKNESS]:[TICKNESS]],'rm types'!S$1,salesforecast[[Plant]:[Plant]],'rm types'!$A$1)</f>
        <v/>
      </c>
      <c r="T2" s="585">
        <f>SUMIFS(salesforecast[[July Schedule]:[July Schedule]],salesforecast[[GRADE]:[GRADE]],'rm types'!$A2,salesforecast[[TICKNESS]:[TICKNESS]],'rm types'!T$1,salesforecast[[Plant]:[Plant]],'rm types'!$A$1)</f>
        <v/>
      </c>
      <c r="U2" s="585">
        <f>SUMIFS(salesforecast[[July Schedule]:[July Schedule]],salesforecast[[GRADE]:[GRADE]],'rm types'!$A2,salesforecast[[TICKNESS]:[TICKNESS]],'rm types'!U$1,salesforecast[[Plant]:[Plant]],'rm types'!$A$1)</f>
        <v/>
      </c>
      <c r="V2" s="585">
        <f>SUMIFS(salesforecast[[July Schedule]:[July Schedule]],salesforecast[[GRADE]:[GRADE]],'rm types'!$A2,salesforecast[[TICKNESS]:[TICKNESS]],'rm types'!V$1,salesforecast[[Plant]:[Plant]],'rm types'!$A$1)</f>
        <v/>
      </c>
      <c r="W2" s="585">
        <f>SUMIFS(salesforecast[[July Schedule]:[July Schedule]],salesforecast[[GRADE]:[GRADE]],'rm types'!$A2,salesforecast[[TICKNESS]:[TICKNESS]],'rm types'!W$1,salesforecast[[Plant]:[Plant]],'rm types'!$A$1)</f>
        <v/>
      </c>
    </row>
    <row r="3">
      <c r="A3" s="15" t="inlineStr">
        <is>
          <t>ERW 1</t>
        </is>
      </c>
      <c r="B3" s="62">
        <f>SUMIFS(salesforecast[[July Schedule]:[July Schedule]],salesforecast[[GRADE]:[GRADE]],'rm types'!$A3,salesforecast[[TICKNESS]:[TICKNESS]],'rm types'!B$1,salesforecast[[Plant]:[Plant]],'rm types'!$A$1)</f>
        <v/>
      </c>
      <c r="C3" s="62">
        <f>SUMIFS(salesforecast[[July Schedule]:[July Schedule]],salesforecast[[GRADE]:[GRADE]],'rm types'!$A3,salesforecast[[TICKNESS]:[TICKNESS]],'rm types'!C$1,salesforecast[[Plant]:[Plant]],'rm types'!$A$1)</f>
        <v/>
      </c>
      <c r="D3" s="62">
        <f>SUMIFS(salesforecast[[July Schedule]:[July Schedule]],salesforecast[[GRADE]:[GRADE]],'rm types'!$A3,salesforecast[[TICKNESS]:[TICKNESS]],'rm types'!D$1,salesforecast[[Plant]:[Plant]],'rm types'!$A$1)</f>
        <v/>
      </c>
      <c r="E3" s="62">
        <f>SUMIFS(salesforecast[[July Schedule]:[July Schedule]],salesforecast[[GRADE]:[GRADE]],'rm types'!$A3,salesforecast[[TICKNESS]:[TICKNESS]],'rm types'!E$1,salesforecast[[Plant]:[Plant]],'rm types'!$A$1)</f>
        <v/>
      </c>
      <c r="F3" s="62">
        <f>SUMIFS(salesforecast[[July Schedule]:[July Schedule]],salesforecast[[GRADE]:[GRADE]],'rm types'!$A3,salesforecast[[TICKNESS]:[TICKNESS]],'rm types'!F$1,salesforecast[[Plant]:[Plant]],'rm types'!$A$1)</f>
        <v/>
      </c>
      <c r="G3" s="62">
        <f>SUMIFS(salesforecast[[July Schedule]:[July Schedule]],salesforecast[[GRADE]:[GRADE]],'rm types'!$A3,salesforecast[[TICKNESS]:[TICKNESS]],'rm types'!G$1,salesforecast[[Plant]:[Plant]],'rm types'!$A$1)</f>
        <v/>
      </c>
      <c r="H3" s="62">
        <f>SUMIFS(salesforecast[[July Schedule]:[July Schedule]],salesforecast[[GRADE]:[GRADE]],'rm types'!$A3,salesforecast[[TICKNESS]:[TICKNESS]],'rm types'!H$1,salesforecast[[Plant]:[Plant]],'rm types'!$A$1)</f>
        <v/>
      </c>
      <c r="I3" s="62">
        <f>SUMIFS(salesforecast[[July Schedule]:[July Schedule]],salesforecast[[GRADE]:[GRADE]],'rm types'!$A3,salesforecast[[TICKNESS]:[TICKNESS]],'rm types'!I$1,salesforecast[[Plant]:[Plant]],'rm types'!$A$1)</f>
        <v/>
      </c>
      <c r="J3" s="62">
        <f>SUMIFS(salesforecast[[July Schedule]:[July Schedule]],salesforecast[[GRADE]:[GRADE]],'rm types'!$A3,salesforecast[[TICKNESS]:[TICKNESS]],'rm types'!J$1,salesforecast[[Plant]:[Plant]],'rm types'!$A$1)</f>
        <v/>
      </c>
      <c r="K3" s="62">
        <f>SUMIFS(salesforecast[[July Schedule]:[July Schedule]],salesforecast[[GRADE]:[GRADE]],'rm types'!$A3,salesforecast[[TICKNESS]:[TICKNESS]],'rm types'!K$1,salesforecast[[Plant]:[Plant]],'rm types'!$A$1)</f>
        <v/>
      </c>
      <c r="L3" s="585">
        <f>SUMIFS(salesforecast[[July Schedule]:[July Schedule]],salesforecast[[GRADE]:[GRADE]],'rm types'!$A3,salesforecast[[TICKNESS]:[TICKNESS]],'rm types'!L$1,salesforecast[[Plant]:[Plant]],'rm types'!$A$1)</f>
        <v/>
      </c>
      <c r="M3" s="585">
        <f>SUMIFS(salesforecast[[July Schedule]:[July Schedule]],salesforecast[[GRADE]:[GRADE]],'rm types'!$A3,salesforecast[[TICKNESS]:[TICKNESS]],'rm types'!M$1,salesforecast[[Plant]:[Plant]],'rm types'!$A$1)</f>
        <v/>
      </c>
      <c r="N3" s="585">
        <f>SUMIFS(salesforecast[[July Schedule]:[July Schedule]],salesforecast[[GRADE]:[GRADE]],'rm types'!$A3,salesforecast[[TICKNESS]:[TICKNESS]],'rm types'!N$1,salesforecast[[Plant]:[Plant]],'rm types'!$A$1)</f>
        <v/>
      </c>
      <c r="O3" s="585">
        <f>SUMIFS(salesforecast[[July Schedule]:[July Schedule]],salesforecast[[GRADE]:[GRADE]],'rm types'!$A3,salesforecast[[TICKNESS]:[TICKNESS]],'rm types'!O$1,salesforecast[[Plant]:[Plant]],'rm types'!$A$1)</f>
        <v/>
      </c>
      <c r="P3" s="585">
        <f>SUMIFS(salesforecast[[July Schedule]:[July Schedule]],salesforecast[[GRADE]:[GRADE]],'rm types'!$A3,salesforecast[[TICKNESS]:[TICKNESS]],'rm types'!P$1,salesforecast[[Plant]:[Plant]],'rm types'!$A$1)</f>
        <v/>
      </c>
      <c r="Q3" s="585">
        <f>SUMIFS(salesforecast[[July Schedule]:[July Schedule]],salesforecast[[GRADE]:[GRADE]],'rm types'!$A3,salesforecast[[TICKNESS]:[TICKNESS]],'rm types'!Q$1,salesforecast[[Plant]:[Plant]],'rm types'!$A$1)</f>
        <v/>
      </c>
      <c r="R3" s="585">
        <f>SUMIFS(salesforecast[[July Schedule]:[July Schedule]],salesforecast[[GRADE]:[GRADE]],'rm types'!$A3,salesforecast[[TICKNESS]:[TICKNESS]],'rm types'!R$1,salesforecast[[Plant]:[Plant]],'rm types'!$A$1)</f>
        <v/>
      </c>
      <c r="S3" s="585">
        <f>SUMIFS(salesforecast[[July Schedule]:[July Schedule]],salesforecast[[GRADE]:[GRADE]],'rm types'!$A3,salesforecast[[TICKNESS]:[TICKNESS]],'rm types'!S$1,salesforecast[[Plant]:[Plant]],'rm types'!$A$1)</f>
        <v/>
      </c>
      <c r="T3" s="585">
        <f>SUMIFS(salesforecast[[July Schedule]:[July Schedule]],salesforecast[[GRADE]:[GRADE]],'rm types'!$A3,salesforecast[[TICKNESS]:[TICKNESS]],'rm types'!T$1,salesforecast[[Plant]:[Plant]],'rm types'!$A$1)</f>
        <v/>
      </c>
      <c r="U3" s="585">
        <f>SUMIFS(salesforecast[[July Schedule]:[July Schedule]],salesforecast[[GRADE]:[GRADE]],'rm types'!$A3,salesforecast[[TICKNESS]:[TICKNESS]],'rm types'!U$1,salesforecast[[Plant]:[Plant]],'rm types'!$A$1)</f>
        <v/>
      </c>
      <c r="V3" s="585">
        <f>SUMIFS(salesforecast[[July Schedule]:[July Schedule]],salesforecast[[GRADE]:[GRADE]],'rm types'!$A3,salesforecast[[TICKNESS]:[TICKNESS]],'rm types'!V$1,salesforecast[[Plant]:[Plant]],'rm types'!$A$1)</f>
        <v/>
      </c>
      <c r="W3" s="585">
        <f>SUMIFS(salesforecast[[July Schedule]:[July Schedule]],salesforecast[[GRADE]:[GRADE]],'rm types'!$A3,salesforecast[[TICKNESS]:[TICKNESS]],'rm types'!W$1,salesforecast[[Plant]:[Plant]],'rm types'!$A$1)</f>
        <v/>
      </c>
    </row>
    <row r="4">
      <c r="A4" s="15" t="inlineStr">
        <is>
          <t>ERW 2</t>
        </is>
      </c>
      <c r="B4" s="62">
        <f>SUMIFS(salesforecast[[July Schedule]:[July Schedule]],salesforecast[[GRADE]:[GRADE]],'rm types'!$A4,salesforecast[[TICKNESS]:[TICKNESS]],'rm types'!B$1,salesforecast[[Plant]:[Plant]],'rm types'!$A$1)</f>
        <v/>
      </c>
      <c r="C4" s="62">
        <f>SUMIFS(salesforecast[[July Schedule]:[July Schedule]],salesforecast[[GRADE]:[GRADE]],'rm types'!$A4,salesforecast[[TICKNESS]:[TICKNESS]],'rm types'!C$1,salesforecast[[Plant]:[Plant]],'rm types'!$A$1)</f>
        <v/>
      </c>
      <c r="D4" s="62">
        <f>SUMIFS(salesforecast[[July Schedule]:[July Schedule]],salesforecast[[GRADE]:[GRADE]],'rm types'!$A4,salesforecast[[TICKNESS]:[TICKNESS]],'rm types'!D$1,salesforecast[[Plant]:[Plant]],'rm types'!$A$1)</f>
        <v/>
      </c>
      <c r="E4" s="62">
        <f>SUMIFS(salesforecast[[July Schedule]:[July Schedule]],salesforecast[[GRADE]:[GRADE]],'rm types'!$A4,salesforecast[[TICKNESS]:[TICKNESS]],'rm types'!E$1,salesforecast[[Plant]:[Plant]],'rm types'!$A$1)</f>
        <v/>
      </c>
      <c r="F4" s="62">
        <f>SUMIFS(salesforecast[[July Schedule]:[July Schedule]],salesforecast[[GRADE]:[GRADE]],'rm types'!$A4,salesforecast[[TICKNESS]:[TICKNESS]],'rm types'!F$1,salesforecast[[Plant]:[Plant]],'rm types'!$A$1)</f>
        <v/>
      </c>
      <c r="G4" s="62">
        <f>SUMIFS(salesforecast[[July Schedule]:[July Schedule]],salesforecast[[GRADE]:[GRADE]],'rm types'!$A4,salesforecast[[TICKNESS]:[TICKNESS]],'rm types'!G$1,salesforecast[[Plant]:[Plant]],'rm types'!$A$1)</f>
        <v/>
      </c>
      <c r="H4" s="62">
        <f>SUMIFS(salesforecast[[July Schedule]:[July Schedule]],salesforecast[[GRADE]:[GRADE]],'rm types'!$A4,salesforecast[[TICKNESS]:[TICKNESS]],'rm types'!H$1,salesforecast[[Plant]:[Plant]],'rm types'!$A$1)</f>
        <v/>
      </c>
      <c r="I4" s="62">
        <f>SUMIFS(salesforecast[[July Schedule]:[July Schedule]],salesforecast[[GRADE]:[GRADE]],'rm types'!$A4,salesforecast[[TICKNESS]:[TICKNESS]],'rm types'!I$1,salesforecast[[Plant]:[Plant]],'rm types'!$A$1)</f>
        <v/>
      </c>
      <c r="J4" s="62">
        <f>SUMIFS(salesforecast[[July Schedule]:[July Schedule]],salesforecast[[GRADE]:[GRADE]],'rm types'!$A4,salesforecast[[TICKNESS]:[TICKNESS]],'rm types'!J$1,salesforecast[[Plant]:[Plant]],'rm types'!$A$1)</f>
        <v/>
      </c>
      <c r="K4" s="62">
        <f>SUMIFS(salesforecast[[July Schedule]:[July Schedule]],salesforecast[[GRADE]:[GRADE]],'rm types'!$A4,salesforecast[[TICKNESS]:[TICKNESS]],'rm types'!K$1,salesforecast[[Plant]:[Plant]],'rm types'!$A$1)</f>
        <v/>
      </c>
      <c r="L4" s="585">
        <f>SUMIFS(salesforecast[[July Schedule]:[July Schedule]],salesforecast[[GRADE]:[GRADE]],'rm types'!$A4,salesforecast[[TICKNESS]:[TICKNESS]],'rm types'!L$1,salesforecast[[Plant]:[Plant]],'rm types'!$A$1)</f>
        <v/>
      </c>
      <c r="M4" s="585">
        <f>SUMIFS(salesforecast[[July Schedule]:[July Schedule]],salesforecast[[GRADE]:[GRADE]],'rm types'!$A4,salesforecast[[TICKNESS]:[TICKNESS]],'rm types'!M$1,salesforecast[[Plant]:[Plant]],'rm types'!$A$1)</f>
        <v/>
      </c>
      <c r="N4" s="585">
        <f>SUMIFS(salesforecast[[July Schedule]:[July Schedule]],salesforecast[[GRADE]:[GRADE]],'rm types'!$A4,salesforecast[[TICKNESS]:[TICKNESS]],'rm types'!N$1,salesforecast[[Plant]:[Plant]],'rm types'!$A$1)</f>
        <v/>
      </c>
      <c r="O4" s="585">
        <f>SUMIFS(salesforecast[[July Schedule]:[July Schedule]],salesforecast[[GRADE]:[GRADE]],'rm types'!$A4,salesforecast[[TICKNESS]:[TICKNESS]],'rm types'!O$1,salesforecast[[Plant]:[Plant]],'rm types'!$A$1)</f>
        <v/>
      </c>
      <c r="P4" s="585">
        <f>SUMIFS(salesforecast[[July Schedule]:[July Schedule]],salesforecast[[GRADE]:[GRADE]],'rm types'!$A4,salesforecast[[TICKNESS]:[TICKNESS]],'rm types'!P$1,salesforecast[[Plant]:[Plant]],'rm types'!$A$1)</f>
        <v/>
      </c>
      <c r="Q4" s="585">
        <f>SUMIFS(salesforecast[[July Schedule]:[July Schedule]],salesforecast[[GRADE]:[GRADE]],'rm types'!$A4,salesforecast[[TICKNESS]:[TICKNESS]],'rm types'!Q$1,salesforecast[[Plant]:[Plant]],'rm types'!$A$1)</f>
        <v/>
      </c>
      <c r="R4" s="585">
        <f>SUMIFS(salesforecast[[July Schedule]:[July Schedule]],salesforecast[[GRADE]:[GRADE]],'rm types'!$A4,salesforecast[[TICKNESS]:[TICKNESS]],'rm types'!R$1,salesforecast[[Plant]:[Plant]],'rm types'!$A$1)</f>
        <v/>
      </c>
      <c r="S4" s="585">
        <f>SUMIFS(salesforecast[[July Schedule]:[July Schedule]],salesforecast[[GRADE]:[GRADE]],'rm types'!$A4,salesforecast[[TICKNESS]:[TICKNESS]],'rm types'!S$1,salesforecast[[Plant]:[Plant]],'rm types'!$A$1)</f>
        <v/>
      </c>
      <c r="T4" s="585">
        <f>SUMIFS(salesforecast[[July Schedule]:[July Schedule]],salesforecast[[GRADE]:[GRADE]],'rm types'!$A4,salesforecast[[TICKNESS]:[TICKNESS]],'rm types'!T$1,salesforecast[[Plant]:[Plant]],'rm types'!$A$1)</f>
        <v/>
      </c>
      <c r="U4" s="585">
        <f>SUMIFS(salesforecast[[July Schedule]:[July Schedule]],salesforecast[[GRADE]:[GRADE]],'rm types'!$A4,salesforecast[[TICKNESS]:[TICKNESS]],'rm types'!U$1,salesforecast[[Plant]:[Plant]],'rm types'!$A$1)</f>
        <v/>
      </c>
      <c r="V4" s="585">
        <f>SUMIFS(salesforecast[[July Schedule]:[July Schedule]],salesforecast[[GRADE]:[GRADE]],'rm types'!$A4,salesforecast[[TICKNESS]:[TICKNESS]],'rm types'!V$1,salesforecast[[Plant]:[Plant]],'rm types'!$A$1)</f>
        <v/>
      </c>
      <c r="W4" s="585">
        <f>SUMIFS(salesforecast[[July Schedule]:[July Schedule]],salesforecast[[GRADE]:[GRADE]],'rm types'!$A4,salesforecast[[TICKNESS]:[TICKNESS]],'rm types'!W$1,salesforecast[[Plant]:[Plant]],'rm types'!$A$1)</f>
        <v/>
      </c>
    </row>
    <row r="5">
      <c r="A5" s="15" t="inlineStr">
        <is>
          <t>ERW 2 MAHS</t>
        </is>
      </c>
      <c r="B5" s="62">
        <f>SUMIFS(salesforecast[[July Schedule]:[July Schedule]],salesforecast[[GRADE]:[GRADE]],'rm types'!$A5,salesforecast[[TICKNESS]:[TICKNESS]],'rm types'!B$1,salesforecast[[Plant]:[Plant]],'rm types'!$A$1)</f>
        <v/>
      </c>
      <c r="C5" s="62">
        <f>SUMIFS(salesforecast[[July Schedule]:[July Schedule]],salesforecast[[GRADE]:[GRADE]],'rm types'!$A5,salesforecast[[TICKNESS]:[TICKNESS]],'rm types'!C$1,salesforecast[[Plant]:[Plant]],'rm types'!$A$1)</f>
        <v/>
      </c>
      <c r="D5" s="62">
        <f>SUMIFS(salesforecast[[July Schedule]:[July Schedule]],salesforecast[[GRADE]:[GRADE]],'rm types'!$A5,salesforecast[[TICKNESS]:[TICKNESS]],'rm types'!D$1,salesforecast[[Plant]:[Plant]],'rm types'!$A$1)</f>
        <v/>
      </c>
      <c r="E5" s="62">
        <f>SUMIFS(salesforecast[[July Schedule]:[July Schedule]],salesforecast[[GRADE]:[GRADE]],'rm types'!$A5,salesforecast[[TICKNESS]:[TICKNESS]],'rm types'!E$1,salesforecast[[Plant]:[Plant]],'rm types'!$A$1)</f>
        <v/>
      </c>
      <c r="F5" s="62">
        <f>SUMIFS(salesforecast[[July Schedule]:[July Schedule]],salesforecast[[GRADE]:[GRADE]],'rm types'!$A5,salesforecast[[TICKNESS]:[TICKNESS]],'rm types'!F$1,salesforecast[[Plant]:[Plant]],'rm types'!$A$1)</f>
        <v/>
      </c>
      <c r="G5" s="62">
        <f>SUMIFS(salesforecast[[July Schedule]:[July Schedule]],salesforecast[[GRADE]:[GRADE]],'rm types'!$A5,salesforecast[[TICKNESS]:[TICKNESS]],'rm types'!G$1,salesforecast[[Plant]:[Plant]],'rm types'!$A$1)</f>
        <v/>
      </c>
      <c r="H5" s="62">
        <f>SUMIFS(salesforecast[[July Schedule]:[July Schedule]],salesforecast[[GRADE]:[GRADE]],'rm types'!$A5,salesforecast[[TICKNESS]:[TICKNESS]],'rm types'!H$1,salesforecast[[Plant]:[Plant]],'rm types'!$A$1)</f>
        <v/>
      </c>
      <c r="I5" s="62">
        <f>SUMIFS(salesforecast[[July Schedule]:[July Schedule]],salesforecast[[GRADE]:[GRADE]],'rm types'!$A5,salesforecast[[TICKNESS]:[TICKNESS]],'rm types'!I$1,salesforecast[[Plant]:[Plant]],'rm types'!$A$1)</f>
        <v/>
      </c>
      <c r="J5" s="62">
        <f>SUMIFS(salesforecast[[July Schedule]:[July Schedule]],salesforecast[[GRADE]:[GRADE]],'rm types'!$A5,salesforecast[[TICKNESS]:[TICKNESS]],'rm types'!J$1,salesforecast[[Plant]:[Plant]],'rm types'!$A$1)</f>
        <v/>
      </c>
      <c r="K5" s="62">
        <f>SUMIFS(salesforecast[[July Schedule]:[July Schedule]],salesforecast[[GRADE]:[GRADE]],'rm types'!$A5,salesforecast[[TICKNESS]:[TICKNESS]],'rm types'!K$1,salesforecast[[Plant]:[Plant]],'rm types'!$A$1)</f>
        <v/>
      </c>
      <c r="L5" s="585">
        <f>SUMIFS(salesforecast[[July Schedule]:[July Schedule]],salesforecast[[GRADE]:[GRADE]],'rm types'!$A5,salesforecast[[TICKNESS]:[TICKNESS]],'rm types'!L$1,salesforecast[[Plant]:[Plant]],'rm types'!$A$1)</f>
        <v/>
      </c>
      <c r="M5" s="585">
        <f>SUMIFS(salesforecast[[July Schedule]:[July Schedule]],salesforecast[[GRADE]:[GRADE]],'rm types'!$A5,salesforecast[[TICKNESS]:[TICKNESS]],'rm types'!M$1,salesforecast[[Plant]:[Plant]],'rm types'!$A$1)</f>
        <v/>
      </c>
      <c r="N5" s="585">
        <f>SUMIFS(salesforecast[[July Schedule]:[July Schedule]],salesforecast[[GRADE]:[GRADE]],'rm types'!$A5,salesforecast[[TICKNESS]:[TICKNESS]],'rm types'!N$1,salesforecast[[Plant]:[Plant]],'rm types'!$A$1)</f>
        <v/>
      </c>
      <c r="O5" s="585">
        <f>SUMIFS(salesforecast[[July Schedule]:[July Schedule]],salesforecast[[GRADE]:[GRADE]],'rm types'!$A5,salesforecast[[TICKNESS]:[TICKNESS]],'rm types'!O$1,salesforecast[[Plant]:[Plant]],'rm types'!$A$1)</f>
        <v/>
      </c>
      <c r="P5" s="585">
        <f>SUMIFS(salesforecast[[July Schedule]:[July Schedule]],salesforecast[[GRADE]:[GRADE]],'rm types'!$A5,salesforecast[[TICKNESS]:[TICKNESS]],'rm types'!P$1,salesforecast[[Plant]:[Plant]],'rm types'!$A$1)</f>
        <v/>
      </c>
      <c r="Q5" s="585">
        <f>SUMIFS(salesforecast[[July Schedule]:[July Schedule]],salesforecast[[GRADE]:[GRADE]],'rm types'!$A5,salesforecast[[TICKNESS]:[TICKNESS]],'rm types'!Q$1,salesforecast[[Plant]:[Plant]],'rm types'!$A$1)</f>
        <v/>
      </c>
      <c r="R5" s="585">
        <f>SUMIFS(salesforecast[[July Schedule]:[July Schedule]],salesforecast[[GRADE]:[GRADE]],'rm types'!$A5,salesforecast[[TICKNESS]:[TICKNESS]],'rm types'!R$1,salesforecast[[Plant]:[Plant]],'rm types'!$A$1)</f>
        <v/>
      </c>
      <c r="S5" s="585">
        <f>SUMIFS(salesforecast[[July Schedule]:[July Schedule]],salesforecast[[GRADE]:[GRADE]],'rm types'!$A5,salesforecast[[TICKNESS]:[TICKNESS]],'rm types'!S$1,salesforecast[[Plant]:[Plant]],'rm types'!$A$1)</f>
        <v/>
      </c>
      <c r="T5" s="585">
        <f>SUMIFS(salesforecast[[July Schedule]:[July Schedule]],salesforecast[[GRADE]:[GRADE]],'rm types'!$A5,salesforecast[[TICKNESS]:[TICKNESS]],'rm types'!T$1,salesforecast[[Plant]:[Plant]],'rm types'!$A$1)</f>
        <v/>
      </c>
      <c r="U5" s="585">
        <f>SUMIFS(salesforecast[[July Schedule]:[July Schedule]],salesforecast[[GRADE]:[GRADE]],'rm types'!$A5,salesforecast[[TICKNESS]:[TICKNESS]],'rm types'!U$1,salesforecast[[Plant]:[Plant]],'rm types'!$A$1)</f>
        <v/>
      </c>
      <c r="V5" s="585">
        <f>SUMIFS(salesforecast[[July Schedule]:[July Schedule]],salesforecast[[GRADE]:[GRADE]],'rm types'!$A5,salesforecast[[TICKNESS]:[TICKNESS]],'rm types'!V$1,salesforecast[[Plant]:[Plant]],'rm types'!$A$1)</f>
        <v/>
      </c>
      <c r="W5" s="585">
        <f>SUMIFS(salesforecast[[July Schedule]:[July Schedule]],salesforecast[[GRADE]:[GRADE]],'rm types'!$A5,salesforecast[[TICKNESS]:[TICKNESS]],'rm types'!W$1,salesforecast[[Plant]:[Plant]],'rm types'!$A$1)</f>
        <v/>
      </c>
    </row>
    <row r="8">
      <c r="A8" t="inlineStr">
        <is>
          <t>Grade</t>
        </is>
      </c>
      <c r="B8" t="inlineStr">
        <is>
          <t>ERW 1</t>
        </is>
      </c>
    </row>
    <row r="9">
      <c r="A9" t="inlineStr">
        <is>
          <t>Plant</t>
        </is>
      </c>
      <c r="B9" s="47" t="inlineStr">
        <is>
          <t>0789</t>
        </is>
      </c>
    </row>
    <row r="10">
      <c r="B10">
        <f t="array" ref="B10:J10">TRANSPOSE(_xlfn._xlws.SORT(_xlfn.UNIQUE(_xlfn._xlws.FILTER(salesforecast[TICKNESS],(salesforecast[Plant]=$B$9)*(salesforecast[GRADE]=$B$8)))))</f>
        <v/>
      </c>
      <c r="C10" t="n">
        <v>1.2</v>
      </c>
      <c r="D10" t="n">
        <v>1.6</v>
      </c>
      <c r="E10" t="n">
        <v>2</v>
      </c>
      <c r="F10" t="n">
        <v>2.3</v>
      </c>
      <c r="G10" t="n">
        <v>2.5</v>
      </c>
      <c r="H10" t="n">
        <v>2.6</v>
      </c>
      <c r="I10" t="n">
        <v>3.2</v>
      </c>
      <c r="J10" t="n">
        <v>3.5</v>
      </c>
    </row>
    <row r="11">
      <c r="A11">
        <f t="array" ref="A11:A29">_xlfn._xlws.SORT(_xlfn.UNIQUE(_xlfn._xlws.FILTER(salesforecast[OD],salesforecast[Plant]=$A$1)))</f>
        <v/>
      </c>
      <c r="B11" s="585">
        <f>SUMIFS(salesforecast[Schedule],salesforecast[OD],'rm types'!$A11,salesforecast[TICKNESS],'rm types'!B$10,salesforecast[Plant],'rm types'!$B$9,salesforecast[GRADE],$B$8)</f>
        <v/>
      </c>
      <c r="C11" s="585">
        <f>SUMIFS(salesforecast[Schedule],salesforecast[OD],'rm types'!$A11,salesforecast[TICKNESS],'rm types'!C$10,salesforecast[Plant],'rm types'!$B$9,salesforecast[GRADE],$B$8)</f>
        <v/>
      </c>
      <c r="D11" s="585">
        <f>SUMIFS(salesforecast[Schedule],salesforecast[OD],'rm types'!$A11,salesforecast[TICKNESS],'rm types'!D$10,salesforecast[Plant],'rm types'!$B$9,salesforecast[GRADE],$B$8)</f>
        <v/>
      </c>
      <c r="E11" s="585">
        <f>SUMIFS(salesforecast[Schedule],salesforecast[OD],'rm types'!$A11,salesforecast[TICKNESS],'rm types'!E$10,salesforecast[Plant],'rm types'!$B$9,salesforecast[GRADE],$B$8)</f>
        <v/>
      </c>
      <c r="F11" s="585">
        <f>SUMIFS(salesforecast[Schedule],salesforecast[OD],'rm types'!$A11,salesforecast[TICKNESS],'rm types'!F$10,salesforecast[Plant],'rm types'!$B$9,salesforecast[GRADE],$B$8)</f>
        <v/>
      </c>
      <c r="G11" s="585">
        <f>SUMIFS(salesforecast[Schedule],salesforecast[OD],'rm types'!$A11,salesforecast[TICKNESS],'rm types'!G$10,salesforecast[Plant],'rm types'!$B$9,salesforecast[GRADE],$B$8)</f>
        <v/>
      </c>
      <c r="H11" s="585">
        <f>SUMIFS(salesforecast[Schedule],salesforecast[OD],'rm types'!$A11,salesforecast[TICKNESS],'rm types'!H$10,salesforecast[Plant],'rm types'!$B$9,salesforecast[GRADE],$B$8)</f>
        <v/>
      </c>
      <c r="I11" s="585">
        <f>SUMIFS(salesforecast[Schedule],salesforecast[OD],'rm types'!$A11,salesforecast[TICKNESS],'rm types'!I$10,salesforecast[Plant],'rm types'!$B$9,salesforecast[GRADE],$B$8)</f>
        <v/>
      </c>
      <c r="J11" s="585">
        <f>SUMIFS(salesforecast[Schedule],salesforecast[OD],'rm types'!$A11,salesforecast[TICKNESS],'rm types'!J$10,salesforecast[Plant],'rm types'!$B$9,salesforecast[GRADE],$B$8)</f>
        <v/>
      </c>
    </row>
    <row r="12">
      <c r="A12" t="n">
        <v>15.88</v>
      </c>
      <c r="B12" s="585">
        <f>SUMIFS(salesforecast[Schedule],salesforecast[OD],'rm types'!$A12,salesforecast[TICKNESS],'rm types'!B$10,salesforecast[Plant],'rm types'!$B$9,salesforecast[GRADE],$B$8)</f>
        <v/>
      </c>
      <c r="C12" s="585">
        <f>SUMIFS(salesforecast[Schedule],salesforecast[OD],'rm types'!$A12,salesforecast[TICKNESS],'rm types'!C$10,salesforecast[Plant],'rm types'!$B$9,salesforecast[GRADE],$B$8)</f>
        <v/>
      </c>
      <c r="D12" s="585">
        <f>SUMIFS(salesforecast[Schedule],salesforecast[OD],'rm types'!$A12,salesforecast[TICKNESS],'rm types'!D$10,salesforecast[Plant],'rm types'!$B$9,salesforecast[GRADE],$B$8)</f>
        <v/>
      </c>
      <c r="E12" s="585">
        <f>SUMIFS(salesforecast[Schedule],salesforecast[OD],'rm types'!$A12,salesforecast[TICKNESS],'rm types'!E$10,salesforecast[Plant],'rm types'!$B$9,salesforecast[GRADE],$B$8)</f>
        <v/>
      </c>
      <c r="F12" s="585">
        <f>SUMIFS(salesforecast[Schedule],salesforecast[OD],'rm types'!$A12,salesforecast[TICKNESS],'rm types'!F$10,salesforecast[Plant],'rm types'!$B$9,salesforecast[GRADE],$B$8)</f>
        <v/>
      </c>
      <c r="G12" s="585">
        <f>SUMIFS(salesforecast[Schedule],salesforecast[OD],'rm types'!$A12,salesforecast[TICKNESS],'rm types'!G$10,salesforecast[Plant],'rm types'!$B$9,salesforecast[GRADE],$B$8)</f>
        <v/>
      </c>
      <c r="H12" s="585">
        <f>SUMIFS(salesforecast[Schedule],salesforecast[OD],'rm types'!$A12,salesforecast[TICKNESS],'rm types'!H$10,salesforecast[Plant],'rm types'!$B$9,salesforecast[GRADE],$B$8)</f>
        <v/>
      </c>
      <c r="I12" s="585">
        <f>SUMIFS(salesforecast[Schedule],salesforecast[OD],'rm types'!$A12,salesforecast[TICKNESS],'rm types'!I$10,salesforecast[Plant],'rm types'!$B$9,salesforecast[GRADE],$B$8)</f>
        <v/>
      </c>
      <c r="J12" s="585">
        <f>SUMIFS(salesforecast[Schedule],salesforecast[OD],'rm types'!$A12,salesforecast[TICKNESS],'rm types'!J$10,salesforecast[Plant],'rm types'!$B$9,salesforecast[GRADE],$B$8)</f>
        <v/>
      </c>
    </row>
    <row r="13">
      <c r="A13" t="n">
        <v>19</v>
      </c>
      <c r="B13" s="585">
        <f>SUMIFS(salesforecast[Schedule],salesforecast[OD],'rm types'!$A13,salesforecast[TICKNESS],'rm types'!B$10,salesforecast[Plant],'rm types'!$B$9,salesforecast[GRADE],$B$8)</f>
        <v/>
      </c>
      <c r="C13" s="585">
        <f>SUMIFS(salesforecast[Schedule],salesforecast[OD],'rm types'!$A13,salesforecast[TICKNESS],'rm types'!C$10,salesforecast[Plant],'rm types'!$B$9,salesforecast[GRADE],$B$8)</f>
        <v/>
      </c>
      <c r="D13" s="585">
        <f>SUMIFS(salesforecast[Schedule],salesforecast[OD],'rm types'!$A13,salesforecast[TICKNESS],'rm types'!D$10,salesforecast[Plant],'rm types'!$B$9,salesforecast[GRADE],$B$8)</f>
        <v/>
      </c>
      <c r="E13" s="585">
        <f>SUMIFS(salesforecast[Schedule],salesforecast[OD],'rm types'!$A13,salesforecast[TICKNESS],'rm types'!E$10,salesforecast[Plant],'rm types'!$B$9,salesforecast[GRADE],$B$8)</f>
        <v/>
      </c>
      <c r="F13" s="585">
        <f>SUMIFS(salesforecast[Schedule],salesforecast[OD],'rm types'!$A13,salesforecast[TICKNESS],'rm types'!F$10,salesforecast[Plant],'rm types'!$B$9,salesforecast[GRADE],$B$8)</f>
        <v/>
      </c>
      <c r="G13" s="585">
        <f>SUMIFS(salesforecast[Schedule],salesforecast[OD],'rm types'!$A13,salesforecast[TICKNESS],'rm types'!G$10,salesforecast[Plant],'rm types'!$B$9,salesforecast[GRADE],$B$8)</f>
        <v/>
      </c>
      <c r="H13" s="585">
        <f>SUMIFS(salesforecast[Schedule],salesforecast[OD],'rm types'!$A13,salesforecast[TICKNESS],'rm types'!H$10,salesforecast[Plant],'rm types'!$B$9,salesforecast[GRADE],$B$8)</f>
        <v/>
      </c>
      <c r="I13" s="585">
        <f>SUMIFS(salesforecast[Schedule],salesforecast[OD],'rm types'!$A13,salesforecast[TICKNESS],'rm types'!I$10,salesforecast[Plant],'rm types'!$B$9,salesforecast[GRADE],$B$8)</f>
        <v/>
      </c>
      <c r="J13" s="585">
        <f>SUMIFS(salesforecast[Schedule],salesforecast[OD],'rm types'!$A13,salesforecast[TICKNESS],'rm types'!J$10,salesforecast[Plant],'rm types'!$B$9,salesforecast[GRADE],$B$8)</f>
        <v/>
      </c>
    </row>
    <row r="14">
      <c r="A14" t="n">
        <v>19.05</v>
      </c>
      <c r="B14" s="585">
        <f>SUMIFS(salesforecast[Schedule],salesforecast[OD],'rm types'!$A14,salesforecast[TICKNESS],'rm types'!B$10,salesforecast[Plant],'rm types'!$B$9,salesforecast[GRADE],$B$8)</f>
        <v/>
      </c>
      <c r="C14" s="585">
        <f>SUMIFS(salesforecast[Schedule],salesforecast[OD],'rm types'!$A14,salesforecast[TICKNESS],'rm types'!C$10,salesforecast[Plant],'rm types'!$B$9,salesforecast[GRADE],$B$8)</f>
        <v/>
      </c>
      <c r="D14" s="585">
        <f>SUMIFS(salesforecast[Schedule],salesforecast[OD],'rm types'!$A14,salesforecast[TICKNESS],'rm types'!D$10,salesforecast[Plant],'rm types'!$B$9,salesforecast[GRADE],$B$8)</f>
        <v/>
      </c>
      <c r="E14" s="585">
        <f>SUMIFS(salesforecast[Schedule],salesforecast[OD],'rm types'!$A14,salesforecast[TICKNESS],'rm types'!E$10,salesforecast[Plant],'rm types'!$B$9,salesforecast[GRADE],$B$8)</f>
        <v/>
      </c>
      <c r="F14" s="585">
        <f>SUMIFS(salesforecast[Schedule],salesforecast[OD],'rm types'!$A14,salesforecast[TICKNESS],'rm types'!F$10,salesforecast[Plant],'rm types'!$B$9,salesforecast[GRADE],$B$8)</f>
        <v/>
      </c>
      <c r="G14" s="585">
        <f>SUMIFS(salesforecast[Schedule],salesforecast[OD],'rm types'!$A14,salesforecast[TICKNESS],'rm types'!G$10,salesforecast[Plant],'rm types'!$B$9,salesforecast[GRADE],$B$8)</f>
        <v/>
      </c>
      <c r="H14" s="585">
        <f>SUMIFS(salesforecast[Schedule],salesforecast[OD],'rm types'!$A14,salesforecast[TICKNESS],'rm types'!H$10,salesforecast[Plant],'rm types'!$B$9,salesforecast[GRADE],$B$8)</f>
        <v/>
      </c>
      <c r="I14" s="585">
        <f>SUMIFS(salesforecast[Schedule],salesforecast[OD],'rm types'!$A14,salesforecast[TICKNESS],'rm types'!I$10,salesforecast[Plant],'rm types'!$B$9,salesforecast[GRADE],$B$8)</f>
        <v/>
      </c>
      <c r="J14" s="585">
        <f>SUMIFS(salesforecast[Schedule],salesforecast[OD],'rm types'!$A14,salesforecast[TICKNESS],'rm types'!J$10,salesforecast[Plant],'rm types'!$B$9,salesforecast[GRADE],$B$8)</f>
        <v/>
      </c>
    </row>
    <row r="15">
      <c r="A15" t="n">
        <v>22.23</v>
      </c>
      <c r="B15" s="585">
        <f>SUMIFS(salesforecast[Schedule],salesforecast[OD],'rm types'!$A15,salesforecast[TICKNESS],'rm types'!B$10,salesforecast[Plant],'rm types'!$B$9,salesforecast[GRADE],$B$8)</f>
        <v/>
      </c>
      <c r="C15" s="585">
        <f>SUMIFS(salesforecast[Schedule],salesforecast[OD],'rm types'!$A15,salesforecast[TICKNESS],'rm types'!C$10,salesforecast[Plant],'rm types'!$B$9,salesforecast[GRADE],$B$8)</f>
        <v/>
      </c>
      <c r="D15" s="585">
        <f>SUMIFS(salesforecast[Schedule],salesforecast[OD],'rm types'!$A15,salesforecast[TICKNESS],'rm types'!D$10,salesforecast[Plant],'rm types'!$B$9,salesforecast[GRADE],$B$8)</f>
        <v/>
      </c>
      <c r="E15" s="585">
        <f>SUMIFS(salesforecast[Schedule],salesforecast[OD],'rm types'!$A15,salesforecast[TICKNESS],'rm types'!E$10,salesforecast[Plant],'rm types'!$B$9,salesforecast[GRADE],$B$8)</f>
        <v/>
      </c>
      <c r="F15" s="585">
        <f>SUMIFS(salesforecast[Schedule],salesforecast[OD],'rm types'!$A15,salesforecast[TICKNESS],'rm types'!F$10,salesforecast[Plant],'rm types'!$B$9,salesforecast[GRADE],$B$8)</f>
        <v/>
      </c>
      <c r="G15" s="585">
        <f>SUMIFS(salesforecast[Schedule],salesforecast[OD],'rm types'!$A15,salesforecast[TICKNESS],'rm types'!G$10,salesforecast[Plant],'rm types'!$B$9,salesforecast[GRADE],$B$8)</f>
        <v/>
      </c>
      <c r="H15" s="585">
        <f>SUMIFS(salesforecast[Schedule],salesforecast[OD],'rm types'!$A15,salesforecast[TICKNESS],'rm types'!H$10,salesforecast[Plant],'rm types'!$B$9,salesforecast[GRADE],$B$8)</f>
        <v/>
      </c>
      <c r="I15" s="585">
        <f>SUMIFS(salesforecast[Schedule],salesforecast[OD],'rm types'!$A15,salesforecast[TICKNESS],'rm types'!I$10,salesforecast[Plant],'rm types'!$B$9,salesforecast[GRADE],$B$8)</f>
        <v/>
      </c>
      <c r="J15" s="585">
        <f>SUMIFS(salesforecast[Schedule],salesforecast[OD],'rm types'!$A15,salesforecast[TICKNESS],'rm types'!J$10,salesforecast[Plant],'rm types'!$B$9,salesforecast[GRADE],$B$8)</f>
        <v/>
      </c>
    </row>
    <row r="16">
      <c r="A16" t="n">
        <v>25</v>
      </c>
      <c r="B16" s="585">
        <f>SUMIFS(salesforecast[Schedule],salesforecast[OD],'rm types'!$A16,salesforecast[TICKNESS],'rm types'!B$10,salesforecast[Plant],'rm types'!$B$9,salesforecast[GRADE],$B$8)</f>
        <v/>
      </c>
      <c r="C16" s="585">
        <f>SUMIFS(salesforecast[Schedule],salesforecast[OD],'rm types'!$A16,salesforecast[TICKNESS],'rm types'!C$10,salesforecast[Plant],'rm types'!$B$9,salesforecast[GRADE],$B$8)</f>
        <v/>
      </c>
      <c r="D16" s="585">
        <f>SUMIFS(salesforecast[Schedule],salesforecast[OD],'rm types'!$A16,salesforecast[TICKNESS],'rm types'!D$10,salesforecast[Plant],'rm types'!$B$9,salesforecast[GRADE],$B$8)</f>
        <v/>
      </c>
      <c r="E16" s="585">
        <f>SUMIFS(salesforecast[Schedule],salesforecast[OD],'rm types'!$A16,salesforecast[TICKNESS],'rm types'!E$10,salesforecast[Plant],'rm types'!$B$9,salesforecast[GRADE],$B$8)</f>
        <v/>
      </c>
      <c r="F16" s="585">
        <f>SUMIFS(salesforecast[Schedule],salesforecast[OD],'rm types'!$A16,salesforecast[TICKNESS],'rm types'!F$10,salesforecast[Plant],'rm types'!$B$9,salesforecast[GRADE],$B$8)</f>
        <v/>
      </c>
      <c r="G16" s="585">
        <f>SUMIFS(salesforecast[Schedule],salesforecast[OD],'rm types'!$A16,salesforecast[TICKNESS],'rm types'!G$10,salesforecast[Plant],'rm types'!$B$9,salesforecast[GRADE],$B$8)</f>
        <v/>
      </c>
      <c r="H16" s="585">
        <f>SUMIFS(salesforecast[Schedule],salesforecast[OD],'rm types'!$A16,salesforecast[TICKNESS],'rm types'!H$10,salesforecast[Plant],'rm types'!$B$9,salesforecast[GRADE],$B$8)</f>
        <v/>
      </c>
      <c r="I16" s="585">
        <f>SUMIFS(salesforecast[Schedule],salesforecast[OD],'rm types'!$A16,salesforecast[TICKNESS],'rm types'!I$10,salesforecast[Plant],'rm types'!$B$9,salesforecast[GRADE],$B$8)</f>
        <v/>
      </c>
      <c r="J16" s="585">
        <f>SUMIFS(salesforecast[Schedule],salesforecast[OD],'rm types'!$A16,salesforecast[TICKNESS],'rm types'!J$10,salesforecast[Plant],'rm types'!$B$9,salesforecast[GRADE],$B$8)</f>
        <v/>
      </c>
    </row>
    <row r="17">
      <c r="A17" t="n">
        <v>25.4</v>
      </c>
      <c r="B17" s="585">
        <f>SUMIFS(salesforecast[Schedule],salesforecast[OD],'rm types'!$A17,salesforecast[TICKNESS],'rm types'!B$10,salesforecast[Plant],'rm types'!$B$9,salesforecast[GRADE],$B$8)</f>
        <v/>
      </c>
      <c r="C17" s="585">
        <f>SUMIFS(salesforecast[Schedule],salesforecast[OD],'rm types'!$A17,salesforecast[TICKNESS],'rm types'!C$10,salesforecast[Plant],'rm types'!$B$9,salesforecast[GRADE],$B$8)</f>
        <v/>
      </c>
      <c r="D17" s="585">
        <f>SUMIFS(salesforecast[Schedule],salesforecast[OD],'rm types'!$A17,salesforecast[TICKNESS],'rm types'!D$10,salesforecast[Plant],'rm types'!$B$9,salesforecast[GRADE],$B$8)</f>
        <v/>
      </c>
      <c r="E17" s="585">
        <f>SUMIFS(salesforecast[Schedule],salesforecast[OD],'rm types'!$A17,salesforecast[TICKNESS],'rm types'!E$10,salesforecast[Plant],'rm types'!$B$9,salesforecast[GRADE],$B$8)</f>
        <v/>
      </c>
      <c r="F17" s="585">
        <f>SUMIFS(salesforecast[Schedule],salesforecast[OD],'rm types'!$A17,salesforecast[TICKNESS],'rm types'!F$10,salesforecast[Plant],'rm types'!$B$9,salesforecast[GRADE],$B$8)</f>
        <v/>
      </c>
      <c r="G17" s="585">
        <f>SUMIFS(salesforecast[Schedule],salesforecast[OD],'rm types'!$A17,salesforecast[TICKNESS],'rm types'!G$10,salesforecast[Plant],'rm types'!$B$9,salesforecast[GRADE],$B$8)</f>
        <v/>
      </c>
      <c r="H17" s="585">
        <f>SUMIFS(salesforecast[Schedule],salesforecast[OD],'rm types'!$A17,salesforecast[TICKNESS],'rm types'!H$10,salesforecast[Plant],'rm types'!$B$9,salesforecast[GRADE],$B$8)</f>
        <v/>
      </c>
      <c r="I17" s="585">
        <f>SUMIFS(salesforecast[Schedule],salesforecast[OD],'rm types'!$A17,salesforecast[TICKNESS],'rm types'!I$10,salesforecast[Plant],'rm types'!$B$9,salesforecast[GRADE],$B$8)</f>
        <v/>
      </c>
      <c r="J17" s="585">
        <f>SUMIFS(salesforecast[Schedule],salesforecast[OD],'rm types'!$A17,salesforecast[TICKNESS],'rm types'!J$10,salesforecast[Plant],'rm types'!$B$9,salesforecast[GRADE],$B$8)</f>
        <v/>
      </c>
    </row>
    <row r="18">
      <c r="A18" t="n">
        <v>28.58</v>
      </c>
      <c r="B18" s="585">
        <f>SUMIFS(salesforecast[Schedule],salesforecast[OD],'rm types'!$A18,salesforecast[TICKNESS],'rm types'!B$10,salesforecast[Plant],'rm types'!$B$9,salesforecast[GRADE],$B$8)</f>
        <v/>
      </c>
      <c r="C18" s="585">
        <f>SUMIFS(salesforecast[Schedule],salesforecast[OD],'rm types'!$A18,salesforecast[TICKNESS],'rm types'!C$10,salesforecast[Plant],'rm types'!$B$9,salesforecast[GRADE],$B$8)</f>
        <v/>
      </c>
      <c r="D18" s="585">
        <f>SUMIFS(salesforecast[Schedule],salesforecast[OD],'rm types'!$A18,salesforecast[TICKNESS],'rm types'!D$10,salesforecast[Plant],'rm types'!$B$9,salesforecast[GRADE],$B$8)</f>
        <v/>
      </c>
      <c r="E18" s="585">
        <f>SUMIFS(salesforecast[Schedule],salesforecast[OD],'rm types'!$A18,salesforecast[TICKNESS],'rm types'!E$10,salesforecast[Plant],'rm types'!$B$9,salesforecast[GRADE],$B$8)</f>
        <v/>
      </c>
      <c r="F18" s="585">
        <f>SUMIFS(salesforecast[Schedule],salesforecast[OD],'rm types'!$A18,salesforecast[TICKNESS],'rm types'!F$10,salesforecast[Plant],'rm types'!$B$9,salesforecast[GRADE],$B$8)</f>
        <v/>
      </c>
      <c r="G18" s="585">
        <f>SUMIFS(salesforecast[Schedule],salesforecast[OD],'rm types'!$A18,salesforecast[TICKNESS],'rm types'!G$10,salesforecast[Plant],'rm types'!$B$9,salesforecast[GRADE],$B$8)</f>
        <v/>
      </c>
      <c r="H18" s="585">
        <f>SUMIFS(salesforecast[Schedule],salesforecast[OD],'rm types'!$A18,salesforecast[TICKNESS],'rm types'!H$10,salesforecast[Plant],'rm types'!$B$9,salesforecast[GRADE],$B$8)</f>
        <v/>
      </c>
      <c r="I18" s="585">
        <f>SUMIFS(salesforecast[Schedule],salesforecast[OD],'rm types'!$A18,salesforecast[TICKNESS],'rm types'!I$10,salesforecast[Plant],'rm types'!$B$9,salesforecast[GRADE],$B$8)</f>
        <v/>
      </c>
      <c r="J18" s="585">
        <f>SUMIFS(salesforecast[Schedule],salesforecast[OD],'rm types'!$A18,salesforecast[TICKNESS],'rm types'!J$10,salesforecast[Plant],'rm types'!$B$9,salesforecast[GRADE],$B$8)</f>
        <v/>
      </c>
    </row>
    <row r="19">
      <c r="A19" t="n">
        <v>30</v>
      </c>
      <c r="B19" s="585">
        <f>SUMIFS(salesforecast[Schedule],salesforecast[OD],'rm types'!$A19,salesforecast[TICKNESS],'rm types'!B$10,salesforecast[Plant],'rm types'!$B$9,salesforecast[GRADE],$B$8)</f>
        <v/>
      </c>
      <c r="C19" s="585">
        <f>SUMIFS(salesforecast[Schedule],salesforecast[OD],'rm types'!$A19,salesforecast[TICKNESS],'rm types'!C$10,salesforecast[Plant],'rm types'!$B$9,salesforecast[GRADE],$B$8)</f>
        <v/>
      </c>
      <c r="D19" s="585">
        <f>SUMIFS(salesforecast[Schedule],salesforecast[OD],'rm types'!$A19,salesforecast[TICKNESS],'rm types'!D$10,salesforecast[Plant],'rm types'!$B$9,salesforecast[GRADE],$B$8)</f>
        <v/>
      </c>
      <c r="E19" s="585">
        <f>SUMIFS(salesforecast[Schedule],salesforecast[OD],'rm types'!$A19,salesforecast[TICKNESS],'rm types'!E$10,salesforecast[Plant],'rm types'!$B$9,salesforecast[GRADE],$B$8)</f>
        <v/>
      </c>
      <c r="F19" s="585">
        <f>SUMIFS(salesforecast[Schedule],salesforecast[OD],'rm types'!$A19,salesforecast[TICKNESS],'rm types'!F$10,salesforecast[Plant],'rm types'!$B$9,salesforecast[GRADE],$B$8)</f>
        <v/>
      </c>
      <c r="G19" s="585">
        <f>SUMIFS(salesforecast[Schedule],salesforecast[OD],'rm types'!$A19,salesforecast[TICKNESS],'rm types'!G$10,salesforecast[Plant],'rm types'!$B$9,salesforecast[GRADE],$B$8)</f>
        <v/>
      </c>
      <c r="H19" s="585">
        <f>SUMIFS(salesforecast[Schedule],salesforecast[OD],'rm types'!$A19,salesforecast[TICKNESS],'rm types'!H$10,salesforecast[Plant],'rm types'!$B$9,salesforecast[GRADE],$B$8)</f>
        <v/>
      </c>
      <c r="I19" s="585">
        <f>SUMIFS(salesforecast[Schedule],salesforecast[OD],'rm types'!$A19,salesforecast[TICKNESS],'rm types'!I$10,salesforecast[Plant],'rm types'!$B$9,salesforecast[GRADE],$B$8)</f>
        <v/>
      </c>
      <c r="J19" s="585">
        <f>SUMIFS(salesforecast[Schedule],salesforecast[OD],'rm types'!$A19,salesforecast[TICKNESS],'rm types'!J$10,salesforecast[Plant],'rm types'!$B$9,salesforecast[GRADE],$B$8)</f>
        <v/>
      </c>
    </row>
    <row r="20">
      <c r="A20" t="n">
        <v>31.75</v>
      </c>
      <c r="B20" s="585">
        <f>SUMIFS(salesforecast[Schedule],salesforecast[OD],'rm types'!$A20,salesforecast[TICKNESS],'rm types'!B$10,salesforecast[Plant],'rm types'!$B$9,salesforecast[GRADE],$B$8)</f>
        <v/>
      </c>
      <c r="C20" s="585">
        <f>SUMIFS(salesforecast[Schedule],salesforecast[OD],'rm types'!$A20,salesforecast[TICKNESS],'rm types'!C$10,salesforecast[Plant],'rm types'!$B$9,salesforecast[GRADE],$B$8)</f>
        <v/>
      </c>
      <c r="D20" s="585">
        <f>SUMIFS(salesforecast[Schedule],salesforecast[OD],'rm types'!$A20,salesforecast[TICKNESS],'rm types'!D$10,salesforecast[Plant],'rm types'!$B$9,salesforecast[GRADE],$B$8)</f>
        <v/>
      </c>
      <c r="E20" s="585">
        <f>SUMIFS(salesforecast[Schedule],salesforecast[OD],'rm types'!$A20,salesforecast[TICKNESS],'rm types'!E$10,salesforecast[Plant],'rm types'!$B$9,salesforecast[GRADE],$B$8)</f>
        <v/>
      </c>
      <c r="F20" s="585">
        <f>SUMIFS(salesforecast[Schedule],salesforecast[OD],'rm types'!$A20,salesforecast[TICKNESS],'rm types'!F$10,salesforecast[Plant],'rm types'!$B$9,salesforecast[GRADE],$B$8)</f>
        <v/>
      </c>
      <c r="G20" s="585">
        <f>SUMIFS(salesforecast[Schedule],salesforecast[OD],'rm types'!$A20,salesforecast[TICKNESS],'rm types'!G$10,salesforecast[Plant],'rm types'!$B$9,salesforecast[GRADE],$B$8)</f>
        <v/>
      </c>
      <c r="H20" s="585">
        <f>SUMIFS(salesforecast[Schedule],salesforecast[OD],'rm types'!$A20,salesforecast[TICKNESS],'rm types'!H$10,salesforecast[Plant],'rm types'!$B$9,salesforecast[GRADE],$B$8)</f>
        <v/>
      </c>
      <c r="I20" s="585">
        <f>SUMIFS(salesforecast[Schedule],salesforecast[OD],'rm types'!$A20,salesforecast[TICKNESS],'rm types'!I$10,salesforecast[Plant],'rm types'!$B$9,salesforecast[GRADE],$B$8)</f>
        <v/>
      </c>
      <c r="J20" s="585">
        <f>SUMIFS(salesforecast[Schedule],salesforecast[OD],'rm types'!$A20,salesforecast[TICKNESS],'rm types'!J$10,salesforecast[Plant],'rm types'!$B$9,salesforecast[GRADE],$B$8)</f>
        <v/>
      </c>
    </row>
    <row r="21">
      <c r="A21" t="n">
        <v>34.93</v>
      </c>
      <c r="B21" s="585">
        <f>SUMIFS(salesforecast[Schedule],salesforecast[OD],'rm types'!$A21,salesforecast[TICKNESS],'rm types'!B$10,salesforecast[Plant],'rm types'!$B$9,salesforecast[GRADE],$B$8)</f>
        <v/>
      </c>
      <c r="C21" s="585">
        <f>SUMIFS(salesforecast[Schedule],salesforecast[OD],'rm types'!$A21,salesforecast[TICKNESS],'rm types'!C$10,salesforecast[Plant],'rm types'!$B$9,salesforecast[GRADE],$B$8)</f>
        <v/>
      </c>
      <c r="D21" s="585">
        <f>SUMIFS(salesforecast[Schedule],salesforecast[OD],'rm types'!$A21,salesforecast[TICKNESS],'rm types'!D$10,salesforecast[Plant],'rm types'!$B$9,salesforecast[GRADE],$B$8)</f>
        <v/>
      </c>
      <c r="E21" s="585">
        <f>SUMIFS(salesforecast[Schedule],salesforecast[OD],'rm types'!$A21,salesforecast[TICKNESS],'rm types'!E$10,salesforecast[Plant],'rm types'!$B$9,salesforecast[GRADE],$B$8)</f>
        <v/>
      </c>
      <c r="F21" s="585">
        <f>SUMIFS(salesforecast[Schedule],salesforecast[OD],'rm types'!$A21,salesforecast[TICKNESS],'rm types'!F$10,salesforecast[Plant],'rm types'!$B$9,salesforecast[GRADE],$B$8)</f>
        <v/>
      </c>
      <c r="G21" s="585">
        <f>SUMIFS(salesforecast[Schedule],salesforecast[OD],'rm types'!$A21,salesforecast[TICKNESS],'rm types'!G$10,salesforecast[Plant],'rm types'!$B$9,salesforecast[GRADE],$B$8)</f>
        <v/>
      </c>
      <c r="H21" s="585">
        <f>SUMIFS(salesforecast[Schedule],salesforecast[OD],'rm types'!$A21,salesforecast[TICKNESS],'rm types'!H$10,salesforecast[Plant],'rm types'!$B$9,salesforecast[GRADE],$B$8)</f>
        <v/>
      </c>
      <c r="I21" s="585">
        <f>SUMIFS(salesforecast[Schedule],salesforecast[OD],'rm types'!$A21,salesforecast[TICKNESS],'rm types'!I$10,salesforecast[Plant],'rm types'!$B$9,salesforecast[GRADE],$B$8)</f>
        <v/>
      </c>
      <c r="J21" s="585">
        <f>SUMIFS(salesforecast[Schedule],salesforecast[OD],'rm types'!$A21,salesforecast[TICKNESS],'rm types'!J$10,salesforecast[Plant],'rm types'!$B$9,salesforecast[GRADE],$B$8)</f>
        <v/>
      </c>
    </row>
    <row r="22">
      <c r="A22" t="n">
        <v>38.1</v>
      </c>
      <c r="B22" s="585">
        <f>SUMIFS(salesforecast[Schedule],salesforecast[OD],'rm types'!$A22,salesforecast[TICKNESS],'rm types'!B$10,salesforecast[Plant],'rm types'!$B$9,salesforecast[GRADE],$B$8)</f>
        <v/>
      </c>
      <c r="C22" s="585">
        <f>SUMIFS(salesforecast[Schedule],salesforecast[OD],'rm types'!$A22,salesforecast[TICKNESS],'rm types'!C$10,salesforecast[Plant],'rm types'!$B$9,salesforecast[GRADE],$B$8)</f>
        <v/>
      </c>
      <c r="D22" s="585">
        <f>SUMIFS(salesforecast[Schedule],salesforecast[OD],'rm types'!$A22,salesforecast[TICKNESS],'rm types'!D$10,salesforecast[Plant],'rm types'!$B$9,salesforecast[GRADE],$B$8)</f>
        <v/>
      </c>
      <c r="E22" s="585">
        <f>SUMIFS(salesforecast[Schedule],salesforecast[OD],'rm types'!$A22,salesforecast[TICKNESS],'rm types'!E$10,salesforecast[Plant],'rm types'!$B$9,salesforecast[GRADE],$B$8)</f>
        <v/>
      </c>
      <c r="F22" s="585">
        <f>SUMIFS(salesforecast[Schedule],salesforecast[OD],'rm types'!$A22,salesforecast[TICKNESS],'rm types'!F$10,salesforecast[Plant],'rm types'!$B$9,salesforecast[GRADE],$B$8)</f>
        <v/>
      </c>
      <c r="G22" s="585">
        <f>SUMIFS(salesforecast[Schedule],salesforecast[OD],'rm types'!$A22,salesforecast[TICKNESS],'rm types'!G$10,salesforecast[Plant],'rm types'!$B$9,salesforecast[GRADE],$B$8)</f>
        <v/>
      </c>
      <c r="H22" s="585">
        <f>SUMIFS(salesforecast[Schedule],salesforecast[OD],'rm types'!$A22,salesforecast[TICKNESS],'rm types'!H$10,salesforecast[Plant],'rm types'!$B$9,salesforecast[GRADE],$B$8)</f>
        <v/>
      </c>
      <c r="I22" s="585">
        <f>SUMIFS(salesforecast[Schedule],salesforecast[OD],'rm types'!$A22,salesforecast[TICKNESS],'rm types'!I$10,salesforecast[Plant],'rm types'!$B$9,salesforecast[GRADE],$B$8)</f>
        <v/>
      </c>
      <c r="J22" s="585">
        <f>SUMIFS(salesforecast[Schedule],salesforecast[OD],'rm types'!$A22,salesforecast[TICKNESS],'rm types'!J$10,salesforecast[Plant],'rm types'!$B$9,salesforecast[GRADE],$B$8)</f>
        <v/>
      </c>
    </row>
    <row r="23">
      <c r="A23" t="n">
        <v>40</v>
      </c>
      <c r="B23" s="585">
        <f>SUMIFS(salesforecast[Schedule],salesforecast[OD],'rm types'!$A23,salesforecast[TICKNESS],'rm types'!B$10,salesforecast[Plant],'rm types'!$B$9,salesforecast[GRADE],$B$8)</f>
        <v/>
      </c>
      <c r="C23" s="585">
        <f>SUMIFS(salesforecast[Schedule],salesforecast[OD],'rm types'!$A23,salesforecast[TICKNESS],'rm types'!C$10,salesforecast[Plant],'rm types'!$B$9,salesforecast[GRADE],$B$8)</f>
        <v/>
      </c>
      <c r="D23" s="585">
        <f>SUMIFS(salesforecast[Schedule],salesforecast[OD],'rm types'!$A23,salesforecast[TICKNESS],'rm types'!D$10,salesforecast[Plant],'rm types'!$B$9,salesforecast[GRADE],$B$8)</f>
        <v/>
      </c>
      <c r="E23" s="585">
        <f>SUMIFS(salesforecast[Schedule],salesforecast[OD],'rm types'!$A23,salesforecast[TICKNESS],'rm types'!E$10,salesforecast[Plant],'rm types'!$B$9,salesforecast[GRADE],$B$8)</f>
        <v/>
      </c>
      <c r="F23" s="585">
        <f>SUMIFS(salesforecast[Schedule],salesforecast[OD],'rm types'!$A23,salesforecast[TICKNESS],'rm types'!F$10,salesforecast[Plant],'rm types'!$B$9,salesforecast[GRADE],$B$8)</f>
        <v/>
      </c>
      <c r="G23" s="585">
        <f>SUMIFS(salesforecast[Schedule],salesforecast[OD],'rm types'!$A23,salesforecast[TICKNESS],'rm types'!G$10,salesforecast[Plant],'rm types'!$B$9,salesforecast[GRADE],$B$8)</f>
        <v/>
      </c>
      <c r="H23" s="585">
        <f>SUMIFS(salesforecast[Schedule],salesforecast[OD],'rm types'!$A23,salesforecast[TICKNESS],'rm types'!H$10,salesforecast[Plant],'rm types'!$B$9,salesforecast[GRADE],$B$8)</f>
        <v/>
      </c>
      <c r="I23" s="585">
        <f>SUMIFS(salesforecast[Schedule],salesforecast[OD],'rm types'!$A23,salesforecast[TICKNESS],'rm types'!I$10,salesforecast[Plant],'rm types'!$B$9,salesforecast[GRADE],$B$8)</f>
        <v/>
      </c>
      <c r="J23" s="585">
        <f>SUMIFS(salesforecast[Schedule],salesforecast[OD],'rm types'!$A23,salesforecast[TICKNESS],'rm types'!J$10,salesforecast[Plant],'rm types'!$B$9,salesforecast[GRADE],$B$8)</f>
        <v/>
      </c>
    </row>
    <row r="24">
      <c r="A24" t="n">
        <v>41.28</v>
      </c>
      <c r="B24" s="585">
        <f>SUMIFS(salesforecast[Schedule],salesforecast[OD],'rm types'!$A24,salesforecast[TICKNESS],'rm types'!B$10,salesforecast[Plant],'rm types'!$B$9,salesforecast[GRADE],$B$8)</f>
        <v/>
      </c>
      <c r="C24" s="585">
        <f>SUMIFS(salesforecast[Schedule],salesforecast[OD],'rm types'!$A24,salesforecast[TICKNESS],'rm types'!C$10,salesforecast[Plant],'rm types'!$B$9,salesforecast[GRADE],$B$8)</f>
        <v/>
      </c>
      <c r="D24" s="585">
        <f>SUMIFS(salesforecast[Schedule],salesforecast[OD],'rm types'!$A24,salesforecast[TICKNESS],'rm types'!D$10,salesforecast[Plant],'rm types'!$B$9,salesforecast[GRADE],$B$8)</f>
        <v/>
      </c>
      <c r="E24" s="585">
        <f>SUMIFS(salesforecast[Schedule],salesforecast[OD],'rm types'!$A24,salesforecast[TICKNESS],'rm types'!E$10,salesforecast[Plant],'rm types'!$B$9,salesforecast[GRADE],$B$8)</f>
        <v/>
      </c>
      <c r="F24" s="585">
        <f>SUMIFS(salesforecast[Schedule],salesforecast[OD],'rm types'!$A24,salesforecast[TICKNESS],'rm types'!F$10,salesforecast[Plant],'rm types'!$B$9,salesforecast[GRADE],$B$8)</f>
        <v/>
      </c>
      <c r="G24" s="585">
        <f>SUMIFS(salesforecast[Schedule],salesforecast[OD],'rm types'!$A24,salesforecast[TICKNESS],'rm types'!G$10,salesforecast[Plant],'rm types'!$B$9,salesforecast[GRADE],$B$8)</f>
        <v/>
      </c>
      <c r="H24" s="585">
        <f>SUMIFS(salesforecast[Schedule],salesforecast[OD],'rm types'!$A24,salesforecast[TICKNESS],'rm types'!H$10,salesforecast[Plant],'rm types'!$B$9,salesforecast[GRADE],$B$8)</f>
        <v/>
      </c>
      <c r="I24" s="585">
        <f>SUMIFS(salesforecast[Schedule],salesforecast[OD],'rm types'!$A24,salesforecast[TICKNESS],'rm types'!I$10,salesforecast[Plant],'rm types'!$B$9,salesforecast[GRADE],$B$8)</f>
        <v/>
      </c>
      <c r="J24" s="585">
        <f>SUMIFS(salesforecast[Schedule],salesforecast[OD],'rm types'!$A24,salesforecast[TICKNESS],'rm types'!J$10,salesforecast[Plant],'rm types'!$B$9,salesforecast[GRADE],$B$8)</f>
        <v/>
      </c>
    </row>
    <row r="25">
      <c r="A25" t="n">
        <v>48.6</v>
      </c>
      <c r="B25" s="585">
        <f>SUMIFS(salesforecast[Schedule],salesforecast[OD],'rm types'!$A25,salesforecast[TICKNESS],'rm types'!B$10,salesforecast[Plant],'rm types'!$B$9,salesforecast[GRADE],$B$8)</f>
        <v/>
      </c>
      <c r="C25" s="585">
        <f>SUMIFS(salesforecast[Schedule],salesforecast[OD],'rm types'!$A25,salesforecast[TICKNESS],'rm types'!C$10,salesforecast[Plant],'rm types'!$B$9,salesforecast[GRADE],$B$8)</f>
        <v/>
      </c>
      <c r="D25" s="585">
        <f>SUMIFS(salesforecast[Schedule],salesforecast[OD],'rm types'!$A25,salesforecast[TICKNESS],'rm types'!D$10,salesforecast[Plant],'rm types'!$B$9,salesforecast[GRADE],$B$8)</f>
        <v/>
      </c>
      <c r="E25" s="585">
        <f>SUMIFS(salesforecast[Schedule],salesforecast[OD],'rm types'!$A25,salesforecast[TICKNESS],'rm types'!E$10,salesforecast[Plant],'rm types'!$B$9,salesforecast[GRADE],$B$8)</f>
        <v/>
      </c>
      <c r="F25" s="585">
        <f>SUMIFS(salesforecast[Schedule],salesforecast[OD],'rm types'!$A25,salesforecast[TICKNESS],'rm types'!F$10,salesforecast[Plant],'rm types'!$B$9,salesforecast[GRADE],$B$8)</f>
        <v/>
      </c>
      <c r="G25" s="585">
        <f>SUMIFS(salesforecast[Schedule],salesforecast[OD],'rm types'!$A25,salesforecast[TICKNESS],'rm types'!G$10,salesforecast[Plant],'rm types'!$B$9,salesforecast[GRADE],$B$8)</f>
        <v/>
      </c>
      <c r="H25" s="585">
        <f>SUMIFS(salesforecast[Schedule],salesforecast[OD],'rm types'!$A25,salesforecast[TICKNESS],'rm types'!H$10,salesforecast[Plant],'rm types'!$B$9,salesforecast[GRADE],$B$8)</f>
        <v/>
      </c>
      <c r="I25" s="585">
        <f>SUMIFS(salesforecast[Schedule],salesforecast[OD],'rm types'!$A25,salesforecast[TICKNESS],'rm types'!I$10,salesforecast[Plant],'rm types'!$B$9,salesforecast[GRADE],$B$8)</f>
        <v/>
      </c>
      <c r="J25" s="585">
        <f>SUMIFS(salesforecast[Schedule],salesforecast[OD],'rm types'!$A25,salesforecast[TICKNESS],'rm types'!J$10,salesforecast[Plant],'rm types'!$B$9,salesforecast[GRADE],$B$8)</f>
        <v/>
      </c>
    </row>
    <row r="26">
      <c r="A26" t="n">
        <v>50</v>
      </c>
      <c r="B26" s="585">
        <f>SUMIFS(salesforecast[Schedule],salesforecast[OD],'rm types'!$A26,salesforecast[TICKNESS],'rm types'!B$10,salesforecast[Plant],'rm types'!$B$9,salesforecast[GRADE],$B$8)</f>
        <v/>
      </c>
      <c r="C26" s="585">
        <f>SUMIFS(salesforecast[Schedule],salesforecast[OD],'rm types'!$A26,salesforecast[TICKNESS],'rm types'!C$10,salesforecast[Plant],'rm types'!$B$9,salesforecast[GRADE],$B$8)</f>
        <v/>
      </c>
      <c r="D26" s="585">
        <f>SUMIFS(salesforecast[Schedule],salesforecast[OD],'rm types'!$A26,salesforecast[TICKNESS],'rm types'!D$10,salesforecast[Plant],'rm types'!$B$9,salesforecast[GRADE],$B$8)</f>
        <v/>
      </c>
      <c r="E26" s="585">
        <f>SUMIFS(salesforecast[Schedule],salesforecast[OD],'rm types'!$A26,salesforecast[TICKNESS],'rm types'!E$10,salesforecast[Plant],'rm types'!$B$9,salesforecast[GRADE],$B$8)</f>
        <v/>
      </c>
      <c r="F26" s="585">
        <f>SUMIFS(salesforecast[Schedule],salesforecast[OD],'rm types'!$A26,salesforecast[TICKNESS],'rm types'!F$10,salesforecast[Plant],'rm types'!$B$9,salesforecast[GRADE],$B$8)</f>
        <v/>
      </c>
      <c r="G26" s="585">
        <f>SUMIFS(salesforecast[Schedule],salesforecast[OD],'rm types'!$A26,salesforecast[TICKNESS],'rm types'!G$10,salesforecast[Plant],'rm types'!$B$9,salesforecast[GRADE],$B$8)</f>
        <v/>
      </c>
      <c r="H26" s="585">
        <f>SUMIFS(salesforecast[Schedule],salesforecast[OD],'rm types'!$A26,salesforecast[TICKNESS],'rm types'!H$10,salesforecast[Plant],'rm types'!$B$9,salesforecast[GRADE],$B$8)</f>
        <v/>
      </c>
      <c r="I26" s="585">
        <f>SUMIFS(salesforecast[Schedule],salesforecast[OD],'rm types'!$A26,salesforecast[TICKNESS],'rm types'!I$10,salesforecast[Plant],'rm types'!$B$9,salesforecast[GRADE],$B$8)</f>
        <v/>
      </c>
      <c r="J26" s="585">
        <f>SUMIFS(salesforecast[Schedule],salesforecast[OD],'rm types'!$A26,salesforecast[TICKNESS],'rm types'!J$10,salesforecast[Plant],'rm types'!$B$9,salesforecast[GRADE],$B$8)</f>
        <v/>
      </c>
    </row>
    <row r="27">
      <c r="A27" t="n">
        <v>50.8</v>
      </c>
      <c r="B27" s="585">
        <f>SUMIFS(salesforecast[Schedule],salesforecast[OD],'rm types'!$A27,salesforecast[TICKNESS],'rm types'!B$10,salesforecast[Plant],'rm types'!$B$9,salesforecast[GRADE],$B$8)</f>
        <v/>
      </c>
      <c r="C27" s="585">
        <f>SUMIFS(salesforecast[Schedule],salesforecast[OD],'rm types'!$A27,salesforecast[TICKNESS],'rm types'!C$10,salesforecast[Plant],'rm types'!$B$9,salesforecast[GRADE],$B$8)</f>
        <v/>
      </c>
      <c r="D27" s="585">
        <f>SUMIFS(salesforecast[Schedule],salesforecast[OD],'rm types'!$A27,salesforecast[TICKNESS],'rm types'!D$10,salesforecast[Plant],'rm types'!$B$9,salesforecast[GRADE],$B$8)</f>
        <v/>
      </c>
      <c r="E27" s="585">
        <f>SUMIFS(salesforecast[Schedule],salesforecast[OD],'rm types'!$A27,salesforecast[TICKNESS],'rm types'!E$10,salesforecast[Plant],'rm types'!$B$9,salesforecast[GRADE],$B$8)</f>
        <v/>
      </c>
      <c r="F27" s="585">
        <f>SUMIFS(salesforecast[Schedule],salesforecast[OD],'rm types'!$A27,salesforecast[TICKNESS],'rm types'!F$10,salesforecast[Plant],'rm types'!$B$9,salesforecast[GRADE],$B$8)</f>
        <v/>
      </c>
      <c r="G27" s="585">
        <f>SUMIFS(salesforecast[Schedule],salesforecast[OD],'rm types'!$A27,salesforecast[TICKNESS],'rm types'!G$10,salesforecast[Plant],'rm types'!$B$9,salesforecast[GRADE],$B$8)</f>
        <v/>
      </c>
      <c r="H27" s="585">
        <f>SUMIFS(salesforecast[Schedule],salesforecast[OD],'rm types'!$A27,salesforecast[TICKNESS],'rm types'!H$10,salesforecast[Plant],'rm types'!$B$9,salesforecast[GRADE],$B$8)</f>
        <v/>
      </c>
      <c r="I27" s="585">
        <f>SUMIFS(salesforecast[Schedule],salesforecast[OD],'rm types'!$A27,salesforecast[TICKNESS],'rm types'!I$10,salesforecast[Plant],'rm types'!$B$9,salesforecast[GRADE],$B$8)</f>
        <v/>
      </c>
      <c r="J27" s="585">
        <f>SUMIFS(salesforecast[Schedule],salesforecast[OD],'rm types'!$A27,salesforecast[TICKNESS],'rm types'!J$10,salesforecast[Plant],'rm types'!$B$9,salesforecast[GRADE],$B$8)</f>
        <v/>
      </c>
    </row>
    <row r="28">
      <c r="A28" t="n">
        <v>57.15</v>
      </c>
      <c r="B28" s="585">
        <f>SUMIFS(salesforecast[Schedule],salesforecast[OD],'rm types'!$A28,salesforecast[TICKNESS],'rm types'!B$10,salesforecast[Plant],'rm types'!$B$9,salesforecast[GRADE],$B$8)</f>
        <v/>
      </c>
      <c r="C28" s="585">
        <f>SUMIFS(salesforecast[Schedule],salesforecast[OD],'rm types'!$A28,salesforecast[TICKNESS],'rm types'!C$10,salesforecast[Plant],'rm types'!$B$9,salesforecast[GRADE],$B$8)</f>
        <v/>
      </c>
      <c r="D28" s="585">
        <f>SUMIFS(salesforecast[Schedule],salesforecast[OD],'rm types'!$A28,salesforecast[TICKNESS],'rm types'!D$10,salesforecast[Plant],'rm types'!$B$9,salesforecast[GRADE],$B$8)</f>
        <v/>
      </c>
      <c r="E28" s="585">
        <f>SUMIFS(salesforecast[Schedule],salesforecast[OD],'rm types'!$A28,salesforecast[TICKNESS],'rm types'!E$10,salesforecast[Plant],'rm types'!$B$9,salesforecast[GRADE],$B$8)</f>
        <v/>
      </c>
      <c r="F28" s="585">
        <f>SUMIFS(salesforecast[Schedule],salesforecast[OD],'rm types'!$A28,salesforecast[TICKNESS],'rm types'!F$10,salesforecast[Plant],'rm types'!$B$9,salesforecast[GRADE],$B$8)</f>
        <v/>
      </c>
      <c r="G28" s="585">
        <f>SUMIFS(salesforecast[Schedule],salesforecast[OD],'rm types'!$A28,salesforecast[TICKNESS],'rm types'!G$10,salesforecast[Plant],'rm types'!$B$9,salesforecast[GRADE],$B$8)</f>
        <v/>
      </c>
      <c r="H28" s="585">
        <f>SUMIFS(salesforecast[Schedule],salesforecast[OD],'rm types'!$A28,salesforecast[TICKNESS],'rm types'!H$10,salesforecast[Plant],'rm types'!$B$9,salesforecast[GRADE],$B$8)</f>
        <v/>
      </c>
      <c r="I28" s="585">
        <f>SUMIFS(salesforecast[Schedule],salesforecast[OD],'rm types'!$A28,salesforecast[TICKNESS],'rm types'!I$10,salesforecast[Plant],'rm types'!$B$9,salesforecast[GRADE],$B$8)</f>
        <v/>
      </c>
      <c r="J28" s="585">
        <f>SUMIFS(salesforecast[Schedule],salesforecast[OD],'rm types'!$A28,salesforecast[TICKNESS],'rm types'!J$10,salesforecast[Plant],'rm types'!$B$9,salesforecast[GRADE],$B$8)</f>
        <v/>
      </c>
    </row>
    <row r="29">
      <c r="A29" t="n">
        <v>59</v>
      </c>
      <c r="B29" s="585">
        <f>SUMIFS(salesforecast[Schedule],salesforecast[OD],'rm types'!$A29,salesforecast[TICKNESS],'rm types'!B$10,salesforecast[Plant],'rm types'!$B$9,salesforecast[GRADE],$B$8)</f>
        <v/>
      </c>
      <c r="C29" s="585">
        <f>SUMIFS(salesforecast[Schedule],salesforecast[OD],'rm types'!$A29,salesforecast[TICKNESS],'rm types'!C$10,salesforecast[Plant],'rm types'!$B$9,salesforecast[GRADE],$B$8)</f>
        <v/>
      </c>
      <c r="D29" s="585">
        <f>SUMIFS(salesforecast[Schedule],salesforecast[OD],'rm types'!$A29,salesforecast[TICKNESS],'rm types'!D$10,salesforecast[Plant],'rm types'!$B$9,salesforecast[GRADE],$B$8)</f>
        <v/>
      </c>
      <c r="E29" s="585">
        <f>SUMIFS(salesforecast[Schedule],salesforecast[OD],'rm types'!$A29,salesforecast[TICKNESS],'rm types'!E$10,salesforecast[Plant],'rm types'!$B$9,salesforecast[GRADE],$B$8)</f>
        <v/>
      </c>
      <c r="F29" s="585">
        <f>SUMIFS(salesforecast[Schedule],salesforecast[OD],'rm types'!$A29,salesforecast[TICKNESS],'rm types'!F$10,salesforecast[Plant],'rm types'!$B$9,salesforecast[GRADE],$B$8)</f>
        <v/>
      </c>
      <c r="G29" s="585">
        <f>SUMIFS(salesforecast[Schedule],salesforecast[OD],'rm types'!$A29,salesforecast[TICKNESS],'rm types'!G$10,salesforecast[Plant],'rm types'!$B$9,salesforecast[GRADE],$B$8)</f>
        <v/>
      </c>
      <c r="H29" s="585">
        <f>SUMIFS(salesforecast[Schedule],salesforecast[OD],'rm types'!$A29,salesforecast[TICKNESS],'rm types'!H$10,salesforecast[Plant],'rm types'!$B$9,salesforecast[GRADE],$B$8)</f>
        <v/>
      </c>
      <c r="I29" s="585">
        <f>SUMIFS(salesforecast[Schedule],salesforecast[OD],'rm types'!$A29,salesforecast[TICKNESS],'rm types'!I$10,salesforecast[Plant],'rm types'!$B$9,salesforecast[GRADE],$B$8)</f>
        <v/>
      </c>
      <c r="J29" s="585">
        <f>SUMIFS(salesforecast[Schedule],salesforecast[OD],'rm types'!$A29,salesforecast[TICKNESS],'rm types'!J$10,salesforecast[Plant],'rm types'!$B$9,salesforecast[GRADE],$B$8)</f>
        <v/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 codeName="Sheet28">
    <tabColor rgb="FFFFC000"/>
    <outlinePr summaryBelow="1" summaryRight="1"/>
    <pageSetUpPr/>
  </sheetPr>
  <dimension ref="A1:G70"/>
  <sheetViews>
    <sheetView view="pageBreakPreview" zoomScale="60" zoomScaleNormal="100" workbookViewId="0">
      <selection activeCell="J16" sqref="J16"/>
    </sheetView>
  </sheetViews>
  <sheetFormatPr baseColWidth="8" defaultRowHeight="15"/>
  <cols>
    <col width="8.42578125" bestFit="1" customWidth="1" style="584" min="1" max="1"/>
    <col width="37" customWidth="1" style="66" min="2" max="3"/>
    <col width="31.140625" bestFit="1" customWidth="1" style="48" min="4" max="4"/>
    <col width="12.5703125" bestFit="1" customWidth="1" style="584" min="5" max="7"/>
  </cols>
  <sheetData>
    <row r="1">
      <c r="A1" s="71" t="inlineStr">
        <is>
          <t>Plant</t>
        </is>
      </c>
      <c r="B1" s="214" t="inlineStr">
        <is>
          <t>Customer</t>
        </is>
      </c>
      <c r="C1" s="214" t="inlineStr">
        <is>
          <t>CTL Size</t>
        </is>
      </c>
      <c r="D1" s="71" t="inlineStr">
        <is>
          <t>Bucket2</t>
        </is>
      </c>
      <c r="E1" s="71" t="inlineStr">
        <is>
          <t>Schedule</t>
        </is>
      </c>
      <c r="F1" s="71" t="inlineStr">
        <is>
          <t>Stock LL</t>
        </is>
      </c>
      <c r="G1" s="71" t="inlineStr">
        <is>
          <t>WIP</t>
        </is>
      </c>
    </row>
    <row r="2" ht="30" customHeight="1" s="584">
      <c r="A2" s="601">
        <f t="array" ref="A2:G70">_xlfn._xlws.FILTER(_xlfn.CHOOSECOLS(salesforecast[],_xlfn.XMATCH('Sales Forecast For Printing'!A1:G1,salesforecast[#Headers])),salesforecast[Plant]="0789")</f>
        <v/>
      </c>
      <c r="B2" s="5" t="inlineStr">
        <is>
          <t>ELKAYEM AUTO|Sandhar Automach|SRIKAM HITECH</t>
        </is>
      </c>
      <c r="C2" s="5" t="inlineStr">
        <is>
          <t>278|408|600|772|1000</t>
        </is>
      </c>
      <c r="D2" s="601" t="inlineStr">
        <is>
          <t>12.7-0-1.2-ERW 1-PE</t>
        </is>
      </c>
      <c r="E2" s="599" t="n">
        <v>6.714683388</v>
      </c>
      <c r="F2" s="599" t="n">
        <v>20.176453</v>
      </c>
      <c r="G2" s="599" t="n">
        <v>0</v>
      </c>
    </row>
    <row r="3" ht="75" customHeight="1" s="584">
      <c r="A3" s="601" t="inlineStr">
        <is>
          <t>0789</t>
        </is>
      </c>
      <c r="B3" s="5" t="inlineStr">
        <is>
          <t>Balaji press product|ELKAYEM AUTO|NMPL TVSM|Rajsriya Unit 2|Rajsriya Unit 5|Rajsriya Automotive|Rajsriya Mysore |SRIKAM HITECH</t>
        </is>
      </c>
      <c r="C3" s="5" t="inlineStr">
        <is>
          <t>145|187|189|250|252|255|257|260|280|295|320|393|907|950|1000|6000</t>
        </is>
      </c>
      <c r="D3" s="601" t="inlineStr">
        <is>
          <t>12.7-0-1.6-ERW 1-PE</t>
        </is>
      </c>
      <c r="E3" s="599" t="n">
        <v>13.62722528496</v>
      </c>
      <c r="F3" s="599" t="n">
        <v>0.06565699999999985</v>
      </c>
      <c r="G3" s="599" t="n">
        <v>8.986000000000001</v>
      </c>
    </row>
    <row r="4" ht="30" customHeight="1" s="584">
      <c r="A4" s="601" t="inlineStr">
        <is>
          <t>0789</t>
        </is>
      </c>
      <c r="B4" s="5" t="inlineStr">
        <is>
          <t>Marathwada|NMPL HUB|NMPL TVSM</t>
        </is>
      </c>
      <c r="C4" s="5" t="inlineStr">
        <is>
          <t>140|592|1234|1603|1715|1745|2185|2340|2490|2905</t>
        </is>
      </c>
      <c r="D4" s="601" t="inlineStr">
        <is>
          <t>15.88-0-1-ERW 1-PE</t>
        </is>
      </c>
      <c r="E4" s="599" t="n">
        <v>20.5826150316</v>
      </c>
      <c r="F4" s="599" t="n">
        <v>0.1790000000000003</v>
      </c>
      <c r="G4" s="599" t="n">
        <v>0</v>
      </c>
    </row>
    <row r="5" ht="45" customHeight="1" s="584">
      <c r="A5" s="601" t="inlineStr">
        <is>
          <t>0789</t>
        </is>
      </c>
      <c r="B5" s="5" t="inlineStr">
        <is>
          <t>Balaji press product|RUCHA|SRI BALAJI GEARS V4|Balaji Gears V3|SRI BALAJI GEARS V7|SRIKAM HITECH</t>
        </is>
      </c>
      <c r="C5" s="5" t="inlineStr">
        <is>
          <t>150|540|680|730|755|888|1130|1310</t>
        </is>
      </c>
      <c r="D5" s="601" t="inlineStr">
        <is>
          <t>15.88-0-1.2-ERW 1-PE</t>
        </is>
      </c>
      <c r="E5" s="599" t="n">
        <v>5.640476024160002</v>
      </c>
      <c r="F5" s="599" t="n">
        <v>6.069591000000001</v>
      </c>
      <c r="G5" s="599" t="n">
        <v>7.386</v>
      </c>
    </row>
    <row r="6" ht="60" customHeight="1" s="584">
      <c r="A6" s="601" t="inlineStr">
        <is>
          <t>0789</t>
        </is>
      </c>
      <c r="B6" s="5" t="inlineStr">
        <is>
          <t>ELKAYEM AUTO|ELKAYEM AUTO MYSORE |Marathwada|Rajsriya Unit 2|Rajsriya Unit 5|Rajsriya Automotive|SRIKAM HITECH</t>
        </is>
      </c>
      <c r="C6" s="5" t="inlineStr">
        <is>
          <t>150|154|435|442|1000|6000</t>
        </is>
      </c>
      <c r="D6" s="601" t="inlineStr">
        <is>
          <t>15.88-0-1.6-ERW 1-PE</t>
        </is>
      </c>
      <c r="E6" s="599" t="n">
        <v>6.690582581759999</v>
      </c>
      <c r="F6" s="599" t="n">
        <v>0</v>
      </c>
      <c r="G6" s="599" t="n">
        <v>3.888</v>
      </c>
    </row>
    <row r="7" ht="60" customHeight="1" s="584">
      <c r="A7" s="601" t="inlineStr">
        <is>
          <t>0789</t>
        </is>
      </c>
      <c r="B7" s="5" t="inlineStr">
        <is>
          <t>ELKAYEM AUTO|ELKAYEM AUTO MYSORE |Rajsriya Unit 8|Rajsriya Unit 1|Rajsriya Mysore |RUCHA|SRIKAM HITECH</t>
        </is>
      </c>
      <c r="C7" s="5" t="inlineStr">
        <is>
          <t>155|160|291|442|537</t>
        </is>
      </c>
      <c r="D7" s="601" t="inlineStr">
        <is>
          <t>15.88-0-2-ERW 1-PE</t>
        </is>
      </c>
      <c r="E7" s="599" t="n">
        <v>2.150480511072</v>
      </c>
      <c r="F7" s="599" t="n">
        <v>0</v>
      </c>
      <c r="G7" s="599" t="n">
        <v>0.244</v>
      </c>
    </row>
    <row r="8" ht="60" customHeight="1" s="584">
      <c r="A8" s="601" t="inlineStr">
        <is>
          <t>0789</t>
        </is>
      </c>
      <c r="B8" s="5" t="inlineStr">
        <is>
          <t>Marathwada v7|Marathwada|SRI BALAJI GEARS V7|SRI BALAJI GEARS V4|Balaji Gears V3</t>
        </is>
      </c>
      <c r="C8" s="5" t="inlineStr">
        <is>
          <t>100|110|115|129|150|290|330|355|392|400|470|486|540|675|682|710|750|755|790|795|800|835|840|871|875|880|890|962|963|1000|1007|1246|1304</t>
        </is>
      </c>
      <c r="D8" s="601" t="inlineStr">
        <is>
          <t>19-19-1-CRFH-PE</t>
        </is>
      </c>
      <c r="E8" s="599" t="n">
        <v>128.0583211505</v>
      </c>
      <c r="F8" s="599" t="n">
        <v>15.867808</v>
      </c>
      <c r="G8" s="599" t="n">
        <v>41.765</v>
      </c>
    </row>
    <row r="9">
      <c r="A9" s="601" t="inlineStr">
        <is>
          <t>0789</t>
        </is>
      </c>
      <c r="B9" s="5" t="e">
        <v>#VALUE!</v>
      </c>
      <c r="C9" s="5" t="e">
        <v>#VALUE!</v>
      </c>
      <c r="D9" s="601" t="inlineStr">
        <is>
          <t>19-19-1.2-CRFH-PE</t>
        </is>
      </c>
      <c r="E9" s="599" t="n">
        <v>0</v>
      </c>
      <c r="F9" s="599" t="n">
        <v>0</v>
      </c>
      <c r="G9" s="599" t="n">
        <v>3.465</v>
      </c>
    </row>
    <row r="10" ht="30" customHeight="1" s="584">
      <c r="A10" s="601" t="inlineStr">
        <is>
          <t>0789</t>
        </is>
      </c>
      <c r="B10" s="5" t="inlineStr">
        <is>
          <t>Balaji press product|Marathwada|NMPL TVSM</t>
        </is>
      </c>
      <c r="C10" s="5" t="inlineStr">
        <is>
          <t>1095|1200</t>
        </is>
      </c>
      <c r="D10" s="601" t="inlineStr">
        <is>
          <t>19.05-0-1-ERW 1-PE</t>
        </is>
      </c>
      <c r="E10" s="599" t="n">
        <v>8.542357440000002</v>
      </c>
      <c r="F10" s="599" t="n">
        <v>0</v>
      </c>
      <c r="G10" s="599" t="n">
        <v>18.324</v>
      </c>
    </row>
    <row r="11" ht="60" customHeight="1" s="584">
      <c r="A11" s="601" t="inlineStr">
        <is>
          <t>0789</t>
        </is>
      </c>
      <c r="B11" s="5" t="inlineStr">
        <is>
          <t>Balaji press product|Marathwada|NMPL TVSM|SANDHAR ENGINEERING PVT LTD.|Balaji Gears V3</t>
        </is>
      </c>
      <c r="C11" s="5" t="inlineStr">
        <is>
          <t>109|200|258|330|403|513|631|650|680|682|1075|1130|1145|1230|1275|1615</t>
        </is>
      </c>
      <c r="D11" s="601" t="inlineStr">
        <is>
          <t>19.05-0-1.2-ERW 1-PE</t>
        </is>
      </c>
      <c r="E11" s="599" t="n">
        <v>19.53162258894</v>
      </c>
      <c r="F11" s="599" t="n">
        <v>0</v>
      </c>
      <c r="G11" s="599" t="n">
        <v>20.588</v>
      </c>
    </row>
    <row r="12" ht="30" customHeight="1" s="584">
      <c r="A12" s="601" t="inlineStr">
        <is>
          <t>0789</t>
        </is>
      </c>
      <c r="B12" s="5" t="inlineStr">
        <is>
          <t>Marathwada v7|SRI BALAJI GEARS V4|SRI BALAJI GEARS V7</t>
        </is>
      </c>
      <c r="C12" s="5" t="inlineStr">
        <is>
          <t>200|220|320|330|377|682|1230</t>
        </is>
      </c>
      <c r="D12" s="601" t="inlineStr">
        <is>
          <t>19.05-0-1.2-CRFH-PE</t>
        </is>
      </c>
      <c r="E12" s="599" t="n">
        <v>19.57306914297001</v>
      </c>
      <c r="F12" s="599" t="n">
        <v>2.249096</v>
      </c>
      <c r="G12" s="599" t="n">
        <v>16.086</v>
      </c>
    </row>
    <row r="13" ht="30" customHeight="1" s="584">
      <c r="A13" s="601" t="inlineStr">
        <is>
          <t>0789</t>
        </is>
      </c>
      <c r="B13" s="5" t="inlineStr">
        <is>
          <t>Metalman|NMPL TVSM|SANDHAR ENGINEERING PVT LTD.|SRIKAM HITECH</t>
        </is>
      </c>
      <c r="C13" s="5" t="inlineStr">
        <is>
          <t>258|268|275|595|610|1405</t>
        </is>
      </c>
      <c r="D13" s="601" t="inlineStr">
        <is>
          <t>19.05-0-1.6-ERW 1-PE</t>
        </is>
      </c>
      <c r="E13" s="599" t="n">
        <v>0</v>
      </c>
      <c r="F13" s="599" t="n">
        <v>0</v>
      </c>
      <c r="G13" s="599" t="n">
        <v>2.886</v>
      </c>
    </row>
    <row r="14">
      <c r="A14" s="601" t="inlineStr">
        <is>
          <t>0789</t>
        </is>
      </c>
      <c r="B14" s="5" t="inlineStr">
        <is>
          <t>Rajsriya Unit 8</t>
        </is>
      </c>
      <c r="C14" s="5" t="inlineStr">
        <is>
          <t>394</t>
        </is>
      </c>
      <c r="D14" s="601" t="inlineStr">
        <is>
          <t>19.05-0-1.6-ERW 2 MAHS-PE</t>
        </is>
      </c>
      <c r="E14" s="599" t="n">
        <v>0</v>
      </c>
      <c r="F14" s="599" t="n">
        <v>0</v>
      </c>
      <c r="G14" s="599" t="n">
        <v>2.986</v>
      </c>
    </row>
    <row r="15" ht="75" customHeight="1" s="584">
      <c r="A15" s="601" t="inlineStr">
        <is>
          <t>0789</t>
        </is>
      </c>
      <c r="B15" s="5" t="inlineStr">
        <is>
          <t>ELKAYEM AUTO|KNITVEL NEEDLES P LTD|Rajsriya Unit 2|Rajsriya Unit 1|Rajsriya Unit 5|Rajsriya Unit 8|Rajsriya Mysore |RUCHA|SRIKAM HITECH</t>
        </is>
      </c>
      <c r="C15" s="5" t="inlineStr">
        <is>
          <t>104|213|240|259|265|358|394|475|775|785|815|820|830|900|1000</t>
        </is>
      </c>
      <c r="D15" s="601" t="inlineStr">
        <is>
          <t>19.05-0-2-ERW 1-PE</t>
        </is>
      </c>
      <c r="E15" s="599" t="n">
        <v>4.0723722105</v>
      </c>
      <c r="F15" s="599" t="n">
        <v>0</v>
      </c>
      <c r="G15" s="599" t="n">
        <v>11.189</v>
      </c>
    </row>
    <row r="16" ht="75" customHeight="1" s="584">
      <c r="A16" s="601" t="inlineStr">
        <is>
          <t>0789</t>
        </is>
      </c>
      <c r="B16" s="5" t="inlineStr">
        <is>
          <t>ELKAYEM AUTO|NMPL TVSM|Rajsriya Unit 2|Rajsriya Unit 5|Rajsriya Unit 1|Rajsriya Automotive|RUCHA|SANDHAR ENGINEERING PVT LTD.|SRIKAM HITECH</t>
        </is>
      </c>
      <c r="C16" s="5" t="inlineStr">
        <is>
          <t>195|210|236|250|252|255|265|278|281|285|295|303|394|400|554|570|585|600|610|1000</t>
        </is>
      </c>
      <c r="D16" s="601" t="inlineStr">
        <is>
          <t>19.05-0-2.3-ERW 1-PE</t>
        </is>
      </c>
      <c r="E16" s="599" t="n">
        <v>7.086410335312499</v>
      </c>
      <c r="F16" s="599" t="n">
        <v>73.95584600000001</v>
      </c>
      <c r="G16" s="599" t="n">
        <v>6.015</v>
      </c>
    </row>
    <row r="17" ht="60" customHeight="1" s="584">
      <c r="A17" s="601" t="inlineStr">
        <is>
          <t>0789</t>
        </is>
      </c>
      <c r="B17" s="5" t="inlineStr">
        <is>
          <t>ELKAYEM AUTO|NMPL HUB|Rajsriya Unit 4|Rajsriya Unit 2|SANDHAR ENGINEERING PVT LTD.|Sandhar Automach|SRIKAM HITECH</t>
        </is>
      </c>
      <c r="C17" s="5" t="inlineStr">
        <is>
          <t>140|297|600|673|681|1162|1308|1328</t>
        </is>
      </c>
      <c r="D17" s="601" t="inlineStr">
        <is>
          <t>22.23-0-1.2-ERW 1-PE</t>
        </is>
      </c>
      <c r="E17" s="599" t="n">
        <v>5.782503956544</v>
      </c>
      <c r="F17" s="599" t="n">
        <v>0.08499999999999996</v>
      </c>
      <c r="G17" s="599" t="n">
        <v>3.104</v>
      </c>
    </row>
    <row r="18" ht="90" customHeight="1" s="584">
      <c r="A18" s="601" t="inlineStr">
        <is>
          <t>0789</t>
        </is>
      </c>
      <c r="B18" s="5" t="inlineStr">
        <is>
          <t>ELKAYEM AUTO|KNITVEL NEEDLES P LTD|Marathwada|Metalman|NMPL TVSM|NMPL HUB|Rajsriya Unit 2|Rajsriya Unit 5|SANDHAR ENGINEERING PVT LTD.|Sandhar Engg Mysore |SRIKAM HITECH</t>
        </is>
      </c>
      <c r="C18" s="5" t="inlineStr">
        <is>
          <t>210|274|283|285|394|401|640|670|675|690|700|740|809|880|945|949|967|1175|1210|1222|1290|1304|1337</t>
        </is>
      </c>
      <c r="D18" s="601" t="inlineStr">
        <is>
          <t>22.23-0-1.6-ERW 1-PE</t>
        </is>
      </c>
      <c r="E18" s="599" t="n">
        <v>6.26076120744</v>
      </c>
      <c r="F18" s="599" t="n">
        <v>62.74216200000001</v>
      </c>
      <c r="G18" s="599" t="n">
        <v>0</v>
      </c>
    </row>
    <row r="19">
      <c r="A19" s="601" t="inlineStr">
        <is>
          <t>0789</t>
        </is>
      </c>
      <c r="B19" s="5" t="inlineStr">
        <is>
          <t>Sandhar Automach</t>
        </is>
      </c>
      <c r="C19" s="5" t="inlineStr">
        <is>
          <t>935</t>
        </is>
      </c>
      <c r="D19" s="601" t="inlineStr">
        <is>
          <t>22.23-0-1.6-ERW 2 MAHS-PE</t>
        </is>
      </c>
      <c r="E19" s="599" t="n">
        <v>0</v>
      </c>
      <c r="F19" s="599" t="n">
        <v>0</v>
      </c>
      <c r="G19" s="599" t="n">
        <v>0</v>
      </c>
    </row>
    <row r="20" ht="30" customHeight="1" s="584">
      <c r="A20" s="601" t="inlineStr">
        <is>
          <t>0789</t>
        </is>
      </c>
      <c r="B20" s="5" t="inlineStr">
        <is>
          <t xml:space="preserve">ELKAYEM AUTO|ELKAYEM AUTO MYSORE |Sandhar Engg Mysore </t>
        </is>
      </c>
      <c r="C20" s="5" t="inlineStr">
        <is>
          <t>706|715|855|863|1000</t>
        </is>
      </c>
      <c r="D20" s="601" t="inlineStr">
        <is>
          <t>22.23-0-2-ERW 1-FC</t>
        </is>
      </c>
      <c r="E20" s="599" t="n">
        <v>14.52016809313</v>
      </c>
      <c r="F20" s="599" t="n">
        <v>7.636460999999999</v>
      </c>
      <c r="G20" s="599" t="n">
        <v>2.713</v>
      </c>
    </row>
    <row r="21">
      <c r="A21" s="601" t="inlineStr">
        <is>
          <t>0789</t>
        </is>
      </c>
      <c r="B21" s="5" t="inlineStr">
        <is>
          <t>Sandhar Automach</t>
        </is>
      </c>
      <c r="C21" s="5" t="inlineStr">
        <is>
          <t>840|855|865</t>
        </is>
      </c>
      <c r="D21" s="601" t="inlineStr">
        <is>
          <t>22.23-0-2-ERW 2 MAHS-FC</t>
        </is>
      </c>
      <c r="E21" s="599" t="n">
        <v>0</v>
      </c>
      <c r="F21" s="599" t="n">
        <v>1.634469</v>
      </c>
      <c r="G21" s="599" t="n">
        <v>0</v>
      </c>
    </row>
    <row r="22" ht="75" customHeight="1" s="584">
      <c r="A22" s="601" t="inlineStr">
        <is>
          <t>0789</t>
        </is>
      </c>
      <c r="B22" s="5" t="inlineStr">
        <is>
          <t>ELKAYEM AUTO MYSORE |NMPL TVSM|NMPL HUB|Rajsriya Unit 2|Rajsriya Unit 5|SANDHAR ENGINEERING PVT LTD.|Sandhar Automach|SRIKAM HITECH</t>
        </is>
      </c>
      <c r="C22" s="5" t="inlineStr">
        <is>
          <t>180|220|236|394|775|805|809|815|1000|1325|1385</t>
        </is>
      </c>
      <c r="D22" s="601" t="inlineStr">
        <is>
          <t>22.23-0-2-ERW 1-PE</t>
        </is>
      </c>
      <c r="E22" s="599" t="n">
        <v>0</v>
      </c>
      <c r="F22" s="599" t="n">
        <v>11.690147</v>
      </c>
      <c r="G22" s="599" t="n">
        <v>1.629</v>
      </c>
    </row>
    <row r="23" ht="30" customHeight="1" s="584">
      <c r="A23" s="601" t="inlineStr">
        <is>
          <t>0789</t>
        </is>
      </c>
      <c r="B23" s="5" t="inlineStr">
        <is>
          <t>NMPL HUB|SANDHAR ENGINEERING PVT LTD.</t>
        </is>
      </c>
      <c r="C23" s="5" t="inlineStr">
        <is>
          <t>394|855|863</t>
        </is>
      </c>
      <c r="D23" s="601" t="inlineStr">
        <is>
          <t>22.23-0-2-ERW 2-FC</t>
        </is>
      </c>
      <c r="E23" s="599" t="n">
        <v>0</v>
      </c>
      <c r="F23" s="599" t="n">
        <v>0</v>
      </c>
      <c r="G23" s="599" t="n">
        <v>15.21</v>
      </c>
    </row>
    <row r="24" ht="30" customHeight="1" s="584">
      <c r="A24" s="601" t="inlineStr">
        <is>
          <t>0789</t>
        </is>
      </c>
      <c r="B24" s="5" t="inlineStr">
        <is>
          <t>KNITVEL NEEDLES P LTD|Sandhar Automach|SRIKAM HITECH</t>
        </is>
      </c>
      <c r="C24" s="5" t="inlineStr">
        <is>
          <t>604|812|905|925</t>
        </is>
      </c>
      <c r="D24" s="601" t="inlineStr">
        <is>
          <t>22.23-0-2-ERW 2 MAHS-PE</t>
        </is>
      </c>
      <c r="E24" s="599" t="n">
        <v>0</v>
      </c>
      <c r="F24" s="599" t="n">
        <v>5.82791</v>
      </c>
      <c r="G24" s="599" t="n">
        <v>0</v>
      </c>
    </row>
    <row r="25" ht="60" customHeight="1" s="584">
      <c r="A25" s="601" t="inlineStr">
        <is>
          <t>0789</t>
        </is>
      </c>
      <c r="B25" s="5" t="inlineStr">
        <is>
          <t>ELKAYEM AUTO|Marathwada|NMPL TVSM|Rajsriya Automotive|Rajsriya Unit 2|Rajsriya Unit 5|Rajsriya Mysore |SRIKAM HITECH</t>
        </is>
      </c>
      <c r="C25" s="5" t="inlineStr">
        <is>
          <t>188|220|281|295|350|425|427|430|499|1000</t>
        </is>
      </c>
      <c r="D25" s="601" t="inlineStr">
        <is>
          <t>22.23-0-2.3-ERW 1-PE</t>
        </is>
      </c>
      <c r="E25" s="599" t="n">
        <v>0</v>
      </c>
      <c r="F25" s="599" t="n">
        <v>6.810974000000001</v>
      </c>
      <c r="G25" s="599" t="n">
        <v>0</v>
      </c>
    </row>
    <row r="26" ht="30" customHeight="1" s="584">
      <c r="A26" s="601" t="inlineStr">
        <is>
          <t>0789</t>
        </is>
      </c>
      <c r="B26" s="5" t="inlineStr">
        <is>
          <t>Marathwada v7|SRI BALAJI GEARS V7|SRI BALAJI GEARS V4|Balaji Gears V3</t>
        </is>
      </c>
      <c r="C26" s="5" t="inlineStr">
        <is>
          <t>330|640|642|787|1298</t>
        </is>
      </c>
      <c r="D26" s="601" t="inlineStr">
        <is>
          <t>25-25-1.2-CRFH-PE</t>
        </is>
      </c>
      <c r="E26" s="599" t="n">
        <v>26.98426893708</v>
      </c>
      <c r="F26" s="599" t="n">
        <v>2.545999999999999</v>
      </c>
      <c r="G26" s="599" t="n">
        <v>25.729</v>
      </c>
    </row>
    <row r="27">
      <c r="A27" s="601" t="inlineStr">
        <is>
          <t>0789</t>
        </is>
      </c>
      <c r="B27" s="5" t="inlineStr">
        <is>
          <t>Marathwada|NMPL TVSM|NMPL HUB</t>
        </is>
      </c>
      <c r="C27" s="5" t="inlineStr">
        <is>
          <t>845|1000|2550|2585</t>
        </is>
      </c>
      <c r="D27" s="601" t="inlineStr">
        <is>
          <t>25.4-0-1.2-ERW 1-PE</t>
        </is>
      </c>
      <c r="E27" s="599" t="n">
        <v>9.1766452272</v>
      </c>
      <c r="F27" s="599" t="n">
        <v>0</v>
      </c>
      <c r="G27" s="599" t="n">
        <v>18.564</v>
      </c>
    </row>
    <row r="28">
      <c r="A28" s="601" t="inlineStr">
        <is>
          <t>0789</t>
        </is>
      </c>
      <c r="B28" s="5" t="e">
        <v>#VALUE!</v>
      </c>
      <c r="C28" s="5" t="e">
        <v>#VALUE!</v>
      </c>
      <c r="D28" s="601" t="inlineStr">
        <is>
          <t>25.4-0-1.4-ERW 2-PE</t>
        </is>
      </c>
      <c r="E28" s="599" t="n">
        <v>0</v>
      </c>
      <c r="F28" s="599" t="n">
        <v>0</v>
      </c>
      <c r="G28" s="599" t="n">
        <v>0</v>
      </c>
    </row>
    <row r="29">
      <c r="A29" s="601" t="inlineStr">
        <is>
          <t>0789</t>
        </is>
      </c>
      <c r="B29" s="5" t="inlineStr">
        <is>
          <t>Metalman|Rajsriya Mysore |RUCHA</t>
        </is>
      </c>
      <c r="C29" s="5" t="inlineStr">
        <is>
          <t>208|360</t>
        </is>
      </c>
      <c r="D29" s="601" t="inlineStr">
        <is>
          <t>25.4-0-1.6-ERW 1-FC</t>
        </is>
      </c>
      <c r="E29" s="599" t="n">
        <v>0</v>
      </c>
      <c r="F29" s="599" t="n">
        <v>0</v>
      </c>
      <c r="G29" s="599" t="n">
        <v>0</v>
      </c>
    </row>
    <row r="30" ht="45" customHeight="1" s="584">
      <c r="A30" s="601" t="inlineStr">
        <is>
          <t>0789</t>
        </is>
      </c>
      <c r="B30" s="5" t="inlineStr">
        <is>
          <t>Balaji press product|Marathwada|NMPL TVSM|Rajsriya Automotive</t>
        </is>
      </c>
      <c r="C30" s="5" t="inlineStr">
        <is>
          <t>360|512|2580|2590</t>
        </is>
      </c>
      <c r="D30" s="601" t="inlineStr">
        <is>
          <t>25.4-0-1.6-ERW 1-PE</t>
        </is>
      </c>
      <c r="E30" s="599" t="n">
        <v>12.1365365856</v>
      </c>
      <c r="F30" s="599" t="n">
        <v>0</v>
      </c>
      <c r="G30" s="599" t="n">
        <v>3.646</v>
      </c>
    </row>
    <row r="31" ht="30" customHeight="1" s="584">
      <c r="A31" s="601" t="inlineStr">
        <is>
          <t>0789</t>
        </is>
      </c>
      <c r="B31" s="5" t="inlineStr">
        <is>
          <t xml:space="preserve">NMPL HUB|Rajsriya Unit 2|Sandhar Engg Mysore </t>
        </is>
      </c>
      <c r="C31" s="5" t="inlineStr">
        <is>
          <t>412|470|567</t>
        </is>
      </c>
      <c r="D31" s="601" t="inlineStr">
        <is>
          <t>25.4-0-2-ERW 1-PE</t>
        </is>
      </c>
      <c r="E31" s="599" t="n">
        <v>0</v>
      </c>
      <c r="F31" s="599" t="n">
        <v>1.14823</v>
      </c>
      <c r="G31" s="599" t="n">
        <v>5.56</v>
      </c>
    </row>
    <row r="32" ht="75" customHeight="1" s="584">
      <c r="A32" s="601" t="inlineStr">
        <is>
          <t>0789</t>
        </is>
      </c>
      <c r="B32" s="5" t="inlineStr">
        <is>
          <t>ELKAYEM AUTO|ELKAYEM AUTO MYSORE |Marathwada|Rajsriya Unit 8|Rajsriya Automotive|SANDHAR ENGINEERING PVT LTD.|Sandhar Engg Mysore |SRIKAM HITECH</t>
        </is>
      </c>
      <c r="C32" s="5" t="inlineStr">
        <is>
          <t>281|290|315|323|350|355|418|660</t>
        </is>
      </c>
      <c r="D32" s="601" t="inlineStr">
        <is>
          <t>25.4-0-2-ERW 1-FC</t>
        </is>
      </c>
      <c r="E32" s="599" t="n">
        <v>14.39082567</v>
      </c>
      <c r="F32" s="599" t="n">
        <v>10.739</v>
      </c>
      <c r="G32" s="599" t="n">
        <v>25.931</v>
      </c>
    </row>
    <row r="33">
      <c r="A33" s="601" t="inlineStr">
        <is>
          <t>0789</t>
        </is>
      </c>
      <c r="B33" s="5" t="inlineStr">
        <is>
          <t xml:space="preserve">Sandhar Engg Mysore </t>
        </is>
      </c>
      <c r="C33" s="5" t="inlineStr">
        <is>
          <t>783</t>
        </is>
      </c>
      <c r="D33" s="601" t="inlineStr">
        <is>
          <t>25.4-0-2.5-ERW 1-FC</t>
        </is>
      </c>
      <c r="E33" s="599" t="n">
        <v>0</v>
      </c>
      <c r="F33" s="599" t="n">
        <v>8.227514999999997</v>
      </c>
      <c r="G33" s="599" t="n">
        <v>11.911</v>
      </c>
    </row>
    <row r="34" ht="30" customHeight="1" s="584">
      <c r="A34" s="601" t="inlineStr">
        <is>
          <t>0789</t>
        </is>
      </c>
      <c r="B34" s="5" t="inlineStr">
        <is>
          <t>NMPL TVSM|SANDHAR ENGINEERING PVT LTD.</t>
        </is>
      </c>
      <c r="C34" s="5" t="inlineStr">
        <is>
          <t>595|610</t>
        </is>
      </c>
      <c r="D34" s="601" t="inlineStr">
        <is>
          <t>28.58-0-1.2-ERW 1-PE</t>
        </is>
      </c>
      <c r="E34" s="599" t="n">
        <v>0</v>
      </c>
      <c r="F34" s="599" t="n">
        <v>0.1009000000000002</v>
      </c>
      <c r="G34" s="599" t="n">
        <v>5.888</v>
      </c>
    </row>
    <row r="35">
      <c r="A35" s="601" t="inlineStr">
        <is>
          <t>0789</t>
        </is>
      </c>
      <c r="B35" s="5" t="inlineStr">
        <is>
          <t>ELKAYEM AUTO</t>
        </is>
      </c>
      <c r="C35" s="5" t="inlineStr">
        <is>
          <t>215|414</t>
        </is>
      </c>
      <c r="D35" s="601" t="inlineStr">
        <is>
          <t>28.58-0-1.6-ERW 1-FC</t>
        </is>
      </c>
      <c r="E35" s="599" t="n">
        <v>8.454925662271998</v>
      </c>
      <c r="F35" s="599" t="n">
        <v>0</v>
      </c>
      <c r="G35" s="599" t="n">
        <v>11.99</v>
      </c>
    </row>
    <row r="36">
      <c r="A36" s="601" t="inlineStr">
        <is>
          <t>0789</t>
        </is>
      </c>
      <c r="B36" s="5" t="inlineStr">
        <is>
          <t>SRIKAM HITECH</t>
        </is>
      </c>
      <c r="C36" s="5" t="inlineStr">
        <is>
          <t>6000</t>
        </is>
      </c>
      <c r="D36" s="601" t="inlineStr">
        <is>
          <t>28.58-0-1.6-ERW 1-PE</t>
        </is>
      </c>
      <c r="E36" s="599" t="n">
        <v>0</v>
      </c>
      <c r="F36" s="599" t="n">
        <v>0</v>
      </c>
      <c r="G36" s="599" t="n">
        <v>0</v>
      </c>
    </row>
    <row r="37">
      <c r="A37" s="601" t="inlineStr">
        <is>
          <t>0789</t>
        </is>
      </c>
      <c r="B37" s="5" t="inlineStr">
        <is>
          <t>ELKAYEM AUTO</t>
        </is>
      </c>
      <c r="C37" s="5" t="inlineStr">
        <is>
          <t>469|475</t>
        </is>
      </c>
      <c r="D37" s="601" t="inlineStr">
        <is>
          <t>28.58-0-2-ERW 1-FC</t>
        </is>
      </c>
      <c r="E37" s="599" t="n">
        <v>6.224118989999998</v>
      </c>
      <c r="F37" s="599" t="n">
        <v>4.677461</v>
      </c>
      <c r="G37" s="599" t="n">
        <v>7.87</v>
      </c>
    </row>
    <row r="38">
      <c r="A38" s="601" t="inlineStr">
        <is>
          <t>0789</t>
        </is>
      </c>
      <c r="B38" s="5" t="e">
        <v>#VALUE!</v>
      </c>
      <c r="C38" s="5" t="e">
        <v>#VALUE!</v>
      </c>
      <c r="D38" s="601" t="inlineStr">
        <is>
          <t>28.58-0-3.2-ERW 1-FC</t>
        </is>
      </c>
      <c r="E38" s="599" t="n">
        <v>0</v>
      </c>
      <c r="F38" s="599" t="n">
        <v>0</v>
      </c>
      <c r="G38" s="599" t="n">
        <v>0</v>
      </c>
    </row>
    <row r="39" ht="30" customHeight="1" s="584">
      <c r="A39" s="601" t="inlineStr">
        <is>
          <t>0789</t>
        </is>
      </c>
      <c r="B39" s="5" t="inlineStr">
        <is>
          <t>Marathwada v7|SRI BALAJI GEARS V4|SRI BALAJI GEARS V7|Balaji Gears V3</t>
        </is>
      </c>
      <c r="C39" s="5" t="inlineStr">
        <is>
          <t>140|190|220</t>
        </is>
      </c>
      <c r="D39" s="601" t="inlineStr">
        <is>
          <t>30-30-1.2-CRFH-PE</t>
        </is>
      </c>
      <c r="E39" s="599" t="n">
        <v>6.2431381584</v>
      </c>
      <c r="F39" s="599" t="n">
        <v>0</v>
      </c>
      <c r="G39" s="599" t="n">
        <v>22.942</v>
      </c>
    </row>
    <row r="40" ht="45" customHeight="1" s="584">
      <c r="A40" s="601" t="inlineStr">
        <is>
          <t>0789</t>
        </is>
      </c>
      <c r="B40" s="5" t="inlineStr">
        <is>
          <t>NMPL TVSM|Rajsriya Unit 4|Rajsriya Unit 2|Rajsriya Automotive|SANDHAR ENGINEERING PVT LTD.</t>
        </is>
      </c>
      <c r="C40" s="5" t="inlineStr">
        <is>
          <t>210|598|600|657|670|680|1000</t>
        </is>
      </c>
      <c r="D40" s="601" t="inlineStr">
        <is>
          <t>31.75-0-1.2-ERW 1-FC</t>
        </is>
      </c>
      <c r="E40" s="599" t="n">
        <v>0</v>
      </c>
      <c r="F40" s="599" t="n">
        <v>0</v>
      </c>
      <c r="G40" s="599" t="n">
        <v>0</v>
      </c>
    </row>
    <row r="41">
      <c r="A41" s="601" t="inlineStr">
        <is>
          <t>0789</t>
        </is>
      </c>
      <c r="B41" s="5" t="e">
        <v>#VALUE!</v>
      </c>
      <c r="C41" s="5" t="e">
        <v>#VALUE!</v>
      </c>
      <c r="D41" s="601" t="inlineStr">
        <is>
          <t>31.75-0-1.2-ERW 1-PE</t>
        </is>
      </c>
      <c r="E41" s="599" t="n">
        <v>0</v>
      </c>
      <c r="F41" s="599" t="n">
        <v>16.84588</v>
      </c>
      <c r="G41" s="599" t="n">
        <v>0</v>
      </c>
    </row>
    <row r="42">
      <c r="A42" s="601" t="inlineStr">
        <is>
          <t>0789</t>
        </is>
      </c>
      <c r="B42" s="5" t="inlineStr">
        <is>
          <t>SANDHAR ENGINEERING PVT LTD.</t>
        </is>
      </c>
      <c r="C42" s="5" t="inlineStr">
        <is>
          <t>658</t>
        </is>
      </c>
      <c r="D42" s="601" t="inlineStr">
        <is>
          <t>31.75-0-1.6-ERW 1-FC</t>
        </is>
      </c>
      <c r="E42" s="599" t="n">
        <v>0</v>
      </c>
      <c r="F42" s="599" t="n">
        <v>0</v>
      </c>
      <c r="G42" s="599" t="n">
        <v>1.961</v>
      </c>
    </row>
    <row r="43">
      <c r="A43" s="601" t="inlineStr">
        <is>
          <t>0789</t>
        </is>
      </c>
      <c r="B43" s="5" t="inlineStr">
        <is>
          <t xml:space="preserve">Rajsriya Unit 5|Rajsriya Mysore </t>
        </is>
      </c>
      <c r="C43" s="5" t="inlineStr">
        <is>
          <t>1000</t>
        </is>
      </c>
      <c r="D43" s="601" t="inlineStr">
        <is>
          <t>31.75-0-2.5-ERW 1-FC</t>
        </is>
      </c>
      <c r="E43" s="599" t="n">
        <v>0</v>
      </c>
      <c r="F43" s="599" t="n">
        <v>5.039681999999999</v>
      </c>
      <c r="G43" s="599" t="n">
        <v>0</v>
      </c>
    </row>
    <row r="44">
      <c r="A44" s="601" t="inlineStr">
        <is>
          <t>0789</t>
        </is>
      </c>
      <c r="B44" s="5" t="inlineStr">
        <is>
          <t>KNITVEL NEEDLES P LTD|NMPL HUB</t>
        </is>
      </c>
      <c r="C44" s="5" t="inlineStr">
        <is>
          <t>390|1000</t>
        </is>
      </c>
      <c r="D44" s="601" t="inlineStr">
        <is>
          <t>34.93-0-1.2-ERW 1-FC</t>
        </is>
      </c>
      <c r="E44" s="599" t="n">
        <v>0</v>
      </c>
      <c r="F44" s="599" t="n">
        <v>0</v>
      </c>
      <c r="G44" s="599" t="n">
        <v>0</v>
      </c>
    </row>
    <row r="45" ht="30" customHeight="1" s="584">
      <c r="A45" s="601" t="inlineStr">
        <is>
          <t>0789</t>
        </is>
      </c>
      <c r="B45" s="5" t="inlineStr">
        <is>
          <t xml:space="preserve">ELKAYEM AUTO|ELKAYEM AUTO MYSORE </t>
        </is>
      </c>
      <c r="C45" s="5" t="inlineStr">
        <is>
          <t>1726</t>
        </is>
      </c>
      <c r="D45" s="601" t="inlineStr">
        <is>
          <t>34.93-0-1.6-ERW 1-FC</t>
        </is>
      </c>
      <c r="E45" s="599" t="n">
        <v>7.260146275430399</v>
      </c>
      <c r="F45" s="599" t="n">
        <v>0</v>
      </c>
      <c r="G45" s="599" t="n">
        <v>0</v>
      </c>
    </row>
    <row r="46">
      <c r="A46" s="601" t="inlineStr">
        <is>
          <t>0789</t>
        </is>
      </c>
      <c r="B46" s="5" t="inlineStr">
        <is>
          <t xml:space="preserve">ELKAYEM AUTO MYSORE </t>
        </is>
      </c>
      <c r="C46" s="5" t="inlineStr">
        <is>
          <t>1721</t>
        </is>
      </c>
      <c r="D46" s="601" t="inlineStr">
        <is>
          <t>34.93-0-2.6-ERW 1-FC</t>
        </is>
      </c>
      <c r="E46" s="599" t="n">
        <v>12.8369464195752</v>
      </c>
      <c r="F46" s="599" t="n">
        <v>0.7590000000000003</v>
      </c>
      <c r="G46" s="599" t="n">
        <v>0</v>
      </c>
    </row>
    <row r="47">
      <c r="A47" s="601" t="inlineStr">
        <is>
          <t>0789</t>
        </is>
      </c>
      <c r="B47" s="5" t="inlineStr">
        <is>
          <t>Metalman|RUCHA</t>
        </is>
      </c>
      <c r="C47" s="5" t="inlineStr">
        <is>
          <t>875|878|930|1000</t>
        </is>
      </c>
      <c r="D47" s="601" t="inlineStr">
        <is>
          <t>38.1-0-1.6-ERW 2 MAHS-FC</t>
        </is>
      </c>
      <c r="E47" s="599" t="n">
        <v>10.1110592384</v>
      </c>
      <c r="F47" s="599" t="n">
        <v>0.371211</v>
      </c>
      <c r="G47" s="599" t="n">
        <v>3.142</v>
      </c>
    </row>
    <row r="48">
      <c r="A48" s="601" t="inlineStr">
        <is>
          <t>0789</t>
        </is>
      </c>
      <c r="B48" s="5" t="inlineStr">
        <is>
          <t>Metalman|NMPL TVSM|NMPL HUB</t>
        </is>
      </c>
      <c r="C48" s="5" t="inlineStr">
        <is>
          <t>488|812|815|821</t>
        </is>
      </c>
      <c r="D48" s="601" t="inlineStr">
        <is>
          <t>38.1-0-1.6-ERW 1-FC</t>
        </is>
      </c>
      <c r="E48" s="599" t="n">
        <v>3.5454924408</v>
      </c>
      <c r="F48" s="599" t="n">
        <v>8.149357000000002</v>
      </c>
      <c r="G48" s="599" t="n">
        <v>0</v>
      </c>
    </row>
    <row r="49" ht="45" customHeight="1" s="584">
      <c r="A49" s="601" t="inlineStr">
        <is>
          <t>0789</t>
        </is>
      </c>
      <c r="B49" s="5" t="inlineStr">
        <is>
          <t xml:space="preserve">NMPL HUB|NMPL TVSM|RUCHA|SANDHAR ENGINEERING PVT LTD.|Sandhar Engg Mysore </t>
        </is>
      </c>
      <c r="C49" s="5" t="inlineStr">
        <is>
          <t>278|406|410|425|432|488|494|812|1000</t>
        </is>
      </c>
      <c r="D49" s="601" t="inlineStr">
        <is>
          <t>38.1-0-2-ERW 1-FC</t>
        </is>
      </c>
      <c r="E49" s="599" t="n">
        <v>0</v>
      </c>
      <c r="F49" s="599" t="n">
        <v>85.28179600000001</v>
      </c>
      <c r="G49" s="599" t="n">
        <v>1.995</v>
      </c>
    </row>
    <row r="50" ht="45" customHeight="1" s="584">
      <c r="A50" s="601" t="inlineStr">
        <is>
          <t>0789</t>
        </is>
      </c>
      <c r="B50" s="5" t="inlineStr">
        <is>
          <t>Marathwada v7|Marathwada|SRI BALAJI GEARS V4|SRI BALAJI GEARS V7|Balaji Gears V3</t>
        </is>
      </c>
      <c r="C50" s="5" t="inlineStr">
        <is>
          <t>95|110|120|130|140|710|755|800|860|1000|1120|1246|1298|1310</t>
        </is>
      </c>
      <c r="D50" s="601" t="inlineStr">
        <is>
          <t>40-20-1.2-CRFH-PE</t>
        </is>
      </c>
      <c r="E50" s="599" t="n">
        <v>227.66607435708</v>
      </c>
      <c r="F50" s="599" t="n">
        <v>31.07967100000001</v>
      </c>
      <c r="G50" s="599" t="n">
        <v>129.152</v>
      </c>
    </row>
    <row r="51" ht="30" customHeight="1" s="584">
      <c r="A51" s="601" t="inlineStr">
        <is>
          <t>0789</t>
        </is>
      </c>
      <c r="B51" s="5" t="inlineStr">
        <is>
          <t>Marathwada|SRI BALAJI GEARS V4|SRI BALAJI GEARS V7|Balaji Gears V3</t>
        </is>
      </c>
      <c r="C51" s="5" t="inlineStr">
        <is>
          <t>85|115|125|140|158|1000</t>
        </is>
      </c>
      <c r="D51" s="601" t="inlineStr">
        <is>
          <t>40-40-1.2-CRFH-PE</t>
        </is>
      </c>
      <c r="E51" s="599" t="n">
        <v>8.17619555904</v>
      </c>
      <c r="F51" s="599" t="n">
        <v>1.450949</v>
      </c>
      <c r="G51" s="599" t="n">
        <v>10.451</v>
      </c>
    </row>
    <row r="52">
      <c r="A52" s="601" t="inlineStr">
        <is>
          <t>0789</t>
        </is>
      </c>
      <c r="B52" s="5" t="inlineStr">
        <is>
          <t>ELKAYEM AUTO|Marathwada</t>
        </is>
      </c>
      <c r="C52" s="5" t="inlineStr">
        <is>
          <t>356|480|1000</t>
        </is>
      </c>
      <c r="D52" s="601" t="inlineStr">
        <is>
          <t>40-20-1.6-ERW 1-FC</t>
        </is>
      </c>
      <c r="E52" s="599" t="n">
        <v>16.1339339328</v>
      </c>
      <c r="F52" s="599" t="n">
        <v>0.2749949999999997</v>
      </c>
      <c r="G52" s="599" t="n">
        <v>1.27</v>
      </c>
    </row>
    <row r="53">
      <c r="A53" s="601" t="inlineStr">
        <is>
          <t>0789</t>
        </is>
      </c>
      <c r="B53" s="5" t="e">
        <v>#VALUE!</v>
      </c>
      <c r="C53" s="5" t="e">
        <v>#VALUE!</v>
      </c>
      <c r="D53" s="601" t="inlineStr">
        <is>
          <t>40-25-1.6-CRFH-FC</t>
        </is>
      </c>
      <c r="E53" s="599" t="n">
        <v>0</v>
      </c>
      <c r="F53" s="599" t="n">
        <v>0</v>
      </c>
      <c r="G53" s="599" t="n">
        <v>0</v>
      </c>
    </row>
    <row r="54">
      <c r="A54" s="601" t="inlineStr">
        <is>
          <t>0789</t>
        </is>
      </c>
      <c r="B54" s="5" t="e">
        <v>#VALUE!</v>
      </c>
      <c r="C54" s="5" t="e">
        <v>#VALUE!</v>
      </c>
      <c r="D54" s="601" t="inlineStr">
        <is>
          <t>40-25-1.6-ERW 2-FC</t>
        </is>
      </c>
      <c r="E54" s="599" t="n">
        <v>0</v>
      </c>
      <c r="F54" s="599" t="n">
        <v>0</v>
      </c>
      <c r="G54" s="599" t="n">
        <v>0</v>
      </c>
    </row>
    <row r="55" ht="60" customHeight="1" s="584">
      <c r="A55" s="601" t="inlineStr">
        <is>
          <t>0789</t>
        </is>
      </c>
      <c r="B55" s="5" t="inlineStr">
        <is>
          <t xml:space="preserve">ELKAYEM AUTO|Marathwada|Metalman|RUCHA|SANDHAR ENGINEERING PVT LTD.|Sandhar Engg Mysore </t>
        </is>
      </c>
      <c r="C55" s="5" t="inlineStr">
        <is>
          <t>318|322|513|514|536|538|560|561|585|587</t>
        </is>
      </c>
      <c r="D55" s="601" t="inlineStr">
        <is>
          <t>40-25-1.6-ERW 1-FC</t>
        </is>
      </c>
      <c r="E55" s="599" t="n">
        <v>87.86062773452802</v>
      </c>
      <c r="F55" s="599" t="n">
        <v>0.618274</v>
      </c>
      <c r="G55" s="599" t="n">
        <v>0</v>
      </c>
    </row>
    <row r="56" ht="45" customHeight="1" s="584">
      <c r="A56" s="601" t="inlineStr">
        <is>
          <t>0789</t>
        </is>
      </c>
      <c r="B56" s="5" t="inlineStr">
        <is>
          <t>ELKAYEM AUTO|Metalman|Rajsriya Unit 8|Rajsriya Mysore |TVS MOTOR COMPANY LIMITED</t>
        </is>
      </c>
      <c r="C56" s="5" t="inlineStr">
        <is>
          <t>400|835|860|880|1000</t>
        </is>
      </c>
      <c r="D56" s="601" t="inlineStr">
        <is>
          <t>40-30-1.6-ERW 1-FC</t>
        </is>
      </c>
      <c r="E56" s="599" t="n">
        <v>27.1910612296</v>
      </c>
      <c r="F56" s="599" t="n">
        <v>0.9578629999999999</v>
      </c>
      <c r="G56" s="599" t="n">
        <v>0</v>
      </c>
    </row>
    <row r="57">
      <c r="A57" s="601" t="inlineStr">
        <is>
          <t>0789</t>
        </is>
      </c>
      <c r="B57" s="5" t="inlineStr">
        <is>
          <t>ELKAYEM AUTO</t>
        </is>
      </c>
      <c r="C57" s="5" t="inlineStr">
        <is>
          <t>1000</t>
        </is>
      </c>
      <c r="D57" s="601" t="inlineStr">
        <is>
          <t>40-25-2-ERW 1-FC</t>
        </is>
      </c>
      <c r="E57" s="599" t="n">
        <v>0</v>
      </c>
      <c r="F57" s="599" t="n">
        <v>0</v>
      </c>
      <c r="G57" s="599" t="n">
        <v>0</v>
      </c>
    </row>
    <row r="58" ht="60" customHeight="1" s="584">
      <c r="A58" s="601" t="inlineStr">
        <is>
          <t>0789</t>
        </is>
      </c>
      <c r="B58" s="5" t="inlineStr">
        <is>
          <t xml:space="preserve">ELKAYEM AUTO|ELKAYEM AUTO MYSORE |Marathwada|Metalman|Rajsriya Unit 8|Rajsriya Mysore </t>
        </is>
      </c>
      <c r="C58" s="5" t="inlineStr">
        <is>
          <t>149|162|870|880|1000</t>
        </is>
      </c>
      <c r="D58" s="601" t="inlineStr">
        <is>
          <t>40-30-2-ERW 1-FC</t>
        </is>
      </c>
      <c r="E58" s="599" t="n">
        <v>25.320520224945</v>
      </c>
      <c r="F58" s="599" t="n">
        <v>0</v>
      </c>
      <c r="G58" s="599" t="n">
        <v>26.636</v>
      </c>
    </row>
    <row r="59" ht="30" customHeight="1" s="584">
      <c r="A59" s="601" t="inlineStr">
        <is>
          <t>0789</t>
        </is>
      </c>
      <c r="B59" s="5" t="inlineStr">
        <is>
          <t xml:space="preserve">Rajsriya Automotive|Rajsriya Mysore |Sandhar Engg Mysore </t>
        </is>
      </c>
      <c r="C59" s="5" t="inlineStr">
        <is>
          <t>848|850</t>
        </is>
      </c>
      <c r="D59" s="601" t="inlineStr">
        <is>
          <t>41.28-0-2.6-ERW 1-FC</t>
        </is>
      </c>
      <c r="E59" s="599" t="n">
        <v>0</v>
      </c>
      <c r="F59" s="599" t="n">
        <v>0</v>
      </c>
      <c r="G59" s="599" t="n">
        <v>0</v>
      </c>
    </row>
    <row r="60">
      <c r="A60" s="601" t="inlineStr">
        <is>
          <t>0789</t>
        </is>
      </c>
      <c r="B60" s="5" t="inlineStr">
        <is>
          <t>Metalman|Rajsriya Unit 8</t>
        </is>
      </c>
      <c r="C60" s="5" t="inlineStr">
        <is>
          <t>230|246</t>
        </is>
      </c>
      <c r="D60" s="601" t="inlineStr">
        <is>
          <t>41.28-0-3.2-ERW 1-FC</t>
        </is>
      </c>
      <c r="E60" s="599" t="n">
        <v>7.388926218240002</v>
      </c>
      <c r="F60" s="599" t="n">
        <v>0</v>
      </c>
      <c r="G60" s="599" t="n">
        <v>7.141</v>
      </c>
    </row>
    <row r="61" ht="30" customHeight="1" s="584">
      <c r="A61" s="601" t="inlineStr">
        <is>
          <t>0789</t>
        </is>
      </c>
      <c r="B61" s="5" t="inlineStr">
        <is>
          <t>Metalman|SANDHAR ENGINEERING PVT LTD.</t>
        </is>
      </c>
      <c r="C61" s="5" t="inlineStr">
        <is>
          <t>336</t>
        </is>
      </c>
      <c r="D61" s="601" t="inlineStr">
        <is>
          <t>48.6-0-1.2-ERW 1-FC</t>
        </is>
      </c>
      <c r="E61" s="599" t="n">
        <v>7.066257004800001</v>
      </c>
      <c r="F61" s="599" t="n">
        <v>3.946783000000001</v>
      </c>
      <c r="G61" s="599" t="n">
        <v>17.024</v>
      </c>
    </row>
    <row r="62">
      <c r="A62" s="601" t="inlineStr">
        <is>
          <t>0789</t>
        </is>
      </c>
      <c r="B62" s="5" t="inlineStr">
        <is>
          <t xml:space="preserve">NMPL HUB|Sandhar Engg Mysore </t>
        </is>
      </c>
      <c r="C62" s="5" t="inlineStr">
        <is>
          <t>196|202.5</t>
        </is>
      </c>
      <c r="D62" s="601" t="inlineStr">
        <is>
          <t>48.6-0-3.5-ERW 1-FC</t>
        </is>
      </c>
      <c r="E62" s="599" t="n">
        <v>0</v>
      </c>
      <c r="F62" s="599" t="n">
        <v>8.774311999999998</v>
      </c>
      <c r="G62" s="599" t="n">
        <v>0</v>
      </c>
    </row>
    <row r="63">
      <c r="A63" s="601" t="inlineStr">
        <is>
          <t>0789</t>
        </is>
      </c>
      <c r="B63" s="5" t="e">
        <v>#VALUE!</v>
      </c>
      <c r="C63" s="5" t="e">
        <v>#VALUE!</v>
      </c>
      <c r="D63" s="601" t="inlineStr">
        <is>
          <t>50-30-1.6-ERW 2-FC</t>
        </is>
      </c>
      <c r="E63" s="599" t="n">
        <v>0</v>
      </c>
      <c r="F63" s="599" t="n">
        <v>0</v>
      </c>
      <c r="G63" s="599" t="n">
        <v>11.55</v>
      </c>
    </row>
    <row r="64" ht="45" customHeight="1" s="584">
      <c r="A64" s="601" t="inlineStr">
        <is>
          <t>0789</t>
        </is>
      </c>
      <c r="B64" s="5" t="inlineStr">
        <is>
          <t xml:space="preserve">Balaji press product|ELKAYEM AUTO|ELKAYEM AUTO MYSORE |Sandhar Engg Mysore </t>
        </is>
      </c>
      <c r="C64" s="5" t="inlineStr">
        <is>
          <t>604|607|636|638|1100</t>
        </is>
      </c>
      <c r="D64" s="601" t="inlineStr">
        <is>
          <t>50-30-1.6-ERW 1-FC</t>
        </is>
      </c>
      <c r="E64" s="599" t="n">
        <v>67.99636067904</v>
      </c>
      <c r="F64" s="599" t="n">
        <v>0</v>
      </c>
      <c r="G64" s="599" t="n">
        <v>24.911</v>
      </c>
    </row>
    <row r="65">
      <c r="A65" s="601" t="inlineStr">
        <is>
          <t>0789</t>
        </is>
      </c>
      <c r="B65" s="5" t="inlineStr">
        <is>
          <t>NMPL TVSM</t>
        </is>
      </c>
      <c r="C65" s="5" t="inlineStr">
        <is>
          <t>140|730</t>
        </is>
      </c>
      <c r="D65" s="601" t="inlineStr">
        <is>
          <t>50-30-2-ERW 1-FC</t>
        </is>
      </c>
      <c r="E65" s="599" t="n">
        <v>0</v>
      </c>
      <c r="F65" s="599" t="n">
        <v>0</v>
      </c>
      <c r="G65" s="599" t="n">
        <v>0</v>
      </c>
    </row>
    <row r="66">
      <c r="A66" s="601" t="inlineStr">
        <is>
          <t>0789</t>
        </is>
      </c>
      <c r="B66" s="5" t="e">
        <v>#VALUE!</v>
      </c>
      <c r="C66" s="5" t="e">
        <v>#VALUE!</v>
      </c>
      <c r="D66" s="601" t="inlineStr">
        <is>
          <t>50.8-0-1.4-ERW 2-FC</t>
        </is>
      </c>
      <c r="E66" s="599" t="n">
        <v>0</v>
      </c>
      <c r="F66" s="599" t="n">
        <v>0</v>
      </c>
      <c r="G66" s="599" t="n">
        <v>0</v>
      </c>
    </row>
    <row r="67">
      <c r="A67" s="601" t="inlineStr">
        <is>
          <t>0789</t>
        </is>
      </c>
      <c r="B67" s="5" t="inlineStr">
        <is>
          <t xml:space="preserve">NMPL HUB|Sandhar Engg Mysore </t>
        </is>
      </c>
      <c r="C67" s="5" t="inlineStr">
        <is>
          <t>385|753</t>
        </is>
      </c>
      <c r="D67" s="601" t="inlineStr">
        <is>
          <t>50.8-0-1.6-ERW 1-FC</t>
        </is>
      </c>
      <c r="E67" s="599" t="n">
        <v>0</v>
      </c>
      <c r="F67" s="599" t="n">
        <v>0</v>
      </c>
      <c r="G67" s="599" t="n">
        <v>1.456</v>
      </c>
    </row>
    <row r="68">
      <c r="A68" s="601" t="inlineStr">
        <is>
          <t>0789</t>
        </is>
      </c>
      <c r="B68" s="5" t="inlineStr">
        <is>
          <t>ELKAYEM AUTO MYSORE |Rajsriya Unit 8</t>
        </is>
      </c>
      <c r="C68" s="5" t="inlineStr">
        <is>
          <t>409|713</t>
        </is>
      </c>
      <c r="D68" s="601" t="inlineStr">
        <is>
          <t>57.15-0-2-ERW 1-FC</t>
        </is>
      </c>
      <c r="E68" s="599" t="n">
        <v>16.47719467435</v>
      </c>
      <c r="F68" s="599" t="n">
        <v>2.455098</v>
      </c>
      <c r="G68" s="599" t="n">
        <v>0</v>
      </c>
    </row>
    <row r="69" ht="30" customHeight="1" s="584">
      <c r="A69" s="601" t="inlineStr">
        <is>
          <t>0789</t>
        </is>
      </c>
      <c r="B69" s="5" t="inlineStr">
        <is>
          <t>Metalman|Rajsriya Unit 8|Rajsriya Mysore |RUCHA</t>
        </is>
      </c>
      <c r="C69" s="5" t="inlineStr">
        <is>
          <t>326|346|375|376|526|772</t>
        </is>
      </c>
      <c r="D69" s="601" t="inlineStr">
        <is>
          <t>57.15-0-2.5-ERW 1-FC</t>
        </is>
      </c>
      <c r="E69" s="599" t="n">
        <v>0</v>
      </c>
      <c r="F69" s="599" t="n">
        <v>18.554922</v>
      </c>
      <c r="G69" s="599" t="n">
        <v>0</v>
      </c>
    </row>
    <row r="70" ht="30" customHeight="1" s="584">
      <c r="A70" s="601" t="inlineStr">
        <is>
          <t>0789</t>
        </is>
      </c>
      <c r="B70" s="5" t="inlineStr">
        <is>
          <t>ELKAYEM AUTO|ELKAYEM AUTO MYSORE |Laxmi</t>
        </is>
      </c>
      <c r="C70" s="5" t="inlineStr">
        <is>
          <t>641|645</t>
        </is>
      </c>
      <c r="D70" s="601" t="inlineStr">
        <is>
          <t>59-30-1.6-ERW 1-FIN CUT</t>
        </is>
      </c>
      <c r="E70" s="599" t="n">
        <v>30.29809725840001</v>
      </c>
      <c r="F70" s="599" t="n">
        <v>0</v>
      </c>
      <c r="G70" s="599" t="n">
        <v>0.951</v>
      </c>
    </row>
  </sheetData>
  <pageMargins left="0.7" right="0.7" top="0.75" bottom="0.75" header="0.3" footer="0.3"/>
  <pageSetup orientation="portrait" scale="59"/>
</worksheet>
</file>

<file path=xl/worksheets/sheet36.xml><?xml version="1.0" encoding="utf-8"?>
<worksheet xmlns="http://schemas.openxmlformats.org/spreadsheetml/2006/main">
  <sheetPr codeName="Sheet29">
    <outlinePr summaryBelow="1" summaryRight="1"/>
    <pageSetUpPr/>
  </sheetPr>
  <dimension ref="A1:AB97"/>
  <sheetViews>
    <sheetView workbookViewId="0">
      <pane ySplit="1" topLeftCell="A59" activePane="bottomLeft" state="frozen"/>
      <selection activeCell="X3" sqref="X3"/>
      <selection pane="bottomLeft" activeCell="X3" sqref="X3"/>
    </sheetView>
  </sheetViews>
  <sheetFormatPr baseColWidth="8" defaultRowHeight="15"/>
  <cols>
    <col width="16.42578125" bestFit="1" customWidth="1" style="584" min="2" max="2"/>
    <col width="10.42578125" customWidth="1" style="584" min="3" max="3"/>
    <col width="7.7109375" customWidth="1" style="584" min="6" max="7"/>
    <col width="5.7109375" customWidth="1" style="584" min="8" max="8"/>
    <col width="7.28515625" bestFit="1" customWidth="1" style="584" min="9" max="9"/>
    <col width="8.85546875" customWidth="1" style="584" min="10" max="10"/>
    <col width="16.140625" customWidth="1" style="584" min="11" max="12"/>
    <col width="14.7109375" customWidth="1" style="161" min="13" max="13"/>
    <col width="22.42578125" bestFit="1" customWidth="1" style="161" min="14" max="14"/>
    <col width="23.140625" customWidth="1" style="161" min="15" max="15"/>
    <col hidden="1" outlineLevel="1" width="11.28515625" customWidth="1" style="584" min="16" max="16"/>
    <col hidden="1" outlineLevel="1" width="8" customWidth="1" style="584" min="17" max="17"/>
    <col hidden="1" outlineLevel="1" width="8.28515625" customWidth="1" style="584" min="18" max="18"/>
    <col hidden="1" outlineLevel="1" width="8.85546875" customWidth="1" style="584" min="19" max="19"/>
    <col hidden="1" outlineLevel="1" width="12.28515625" customWidth="1" style="584" min="20" max="20"/>
    <col hidden="1" outlineLevel="1" width="9.140625" customWidth="1" style="584" min="21" max="22"/>
    <col collapsed="1" width="12.5703125" customWidth="1" style="162" min="23" max="23"/>
    <col width="16.85546875" customWidth="1" style="174" min="24" max="25"/>
    <col width="9.140625" customWidth="1" style="584" min="26" max="27"/>
  </cols>
  <sheetData>
    <row r="1" ht="63.75" customHeight="1" s="584">
      <c r="A1" s="138" t="n"/>
      <c r="B1" s="138" t="inlineStr">
        <is>
          <t>Customer</t>
        </is>
      </c>
      <c r="C1" s="615" t="inlineStr">
        <is>
          <t>Metallurgy condition</t>
        </is>
      </c>
      <c r="D1" s="140" t="inlineStr">
        <is>
          <t>Material Type</t>
        </is>
      </c>
      <c r="E1" s="138" t="inlineStr">
        <is>
          <t>GRADE</t>
        </is>
      </c>
      <c r="F1" s="141" t="inlineStr">
        <is>
          <t>OD</t>
        </is>
      </c>
      <c r="G1" s="141" t="inlineStr">
        <is>
          <t>ID</t>
        </is>
      </c>
      <c r="H1" s="141" t="inlineStr">
        <is>
          <t>THK</t>
        </is>
      </c>
      <c r="I1" s="138" t="inlineStr">
        <is>
          <t>LENGTH</t>
        </is>
      </c>
      <c r="J1" s="140" t="inlineStr">
        <is>
          <t>Length in Mtrs</t>
        </is>
      </c>
      <c r="K1" s="138" t="inlineStr">
        <is>
          <t>Key</t>
        </is>
      </c>
      <c r="L1" s="138" t="inlineStr">
        <is>
          <t>plant</t>
        </is>
      </c>
      <c r="M1" s="142" t="inlineStr">
        <is>
          <t>TSL Material Code</t>
        </is>
      </c>
      <c r="N1" s="142" t="inlineStr">
        <is>
          <t>Buckets</t>
        </is>
      </c>
      <c r="O1" s="142" t="inlineStr">
        <is>
          <t>Length Buckets</t>
        </is>
      </c>
      <c r="P1" s="143" t="inlineStr">
        <is>
          <t>SCH MAR- 25</t>
        </is>
      </c>
      <c r="Q1" s="140" t="inlineStr">
        <is>
          <t>BALANCE TO BE SUPPLY</t>
        </is>
      </c>
      <c r="R1" s="144" t="inlineStr">
        <is>
          <t>Stock     22-03-25</t>
        </is>
      </c>
      <c r="S1" s="140" t="inlineStr">
        <is>
          <t xml:space="preserve">intransist </t>
        </is>
      </c>
      <c r="T1" s="140" t="inlineStr">
        <is>
          <t>OPENIG STOCK FOR APR-2025</t>
        </is>
      </c>
      <c r="U1" s="140" t="inlineStr">
        <is>
          <t xml:space="preserve">order logg </t>
        </is>
      </c>
      <c r="V1" s="140" t="inlineStr">
        <is>
          <t>Opening stock including order logger</t>
        </is>
      </c>
      <c r="W1" s="145" t="inlineStr">
        <is>
          <t xml:space="preserve">    INDENT  FOR APR-25 as per VSM</t>
        </is>
      </c>
      <c r="X1" s="145" t="inlineStr">
        <is>
          <t xml:space="preserve"> INDENT  FOR APR-25 recommended</t>
        </is>
      </c>
      <c r="Y1" s="145" t="inlineStr">
        <is>
          <t>Order + Indent</t>
        </is>
      </c>
      <c r="Z1" s="146" t="inlineStr">
        <is>
          <t>in Mar</t>
        </is>
      </c>
      <c r="AA1" s="146" t="inlineStr">
        <is>
          <t>in Apr</t>
        </is>
      </c>
      <c r="AB1" s="146" t="inlineStr">
        <is>
          <t>Pending</t>
        </is>
      </c>
    </row>
    <row r="2">
      <c r="A2" s="147" t="inlineStr">
        <is>
          <t>TVS</t>
        </is>
      </c>
      <c r="B2" s="147" t="inlineStr">
        <is>
          <t>RUCHA</t>
        </is>
      </c>
      <c r="C2" s="147" t="inlineStr">
        <is>
          <t>CEW AN</t>
        </is>
      </c>
      <c r="D2" s="147" t="inlineStr">
        <is>
          <t>NON FIN</t>
        </is>
      </c>
      <c r="E2" s="147" t="inlineStr">
        <is>
          <t xml:space="preserve">CEW </t>
        </is>
      </c>
      <c r="F2" s="148" t="n">
        <v>11</v>
      </c>
      <c r="G2" s="148" t="n"/>
      <c r="H2" s="148" t="n">
        <v>1.5</v>
      </c>
      <c r="I2" s="147" t="n">
        <v>6000</v>
      </c>
      <c r="J2" s="147" t="n">
        <v>6</v>
      </c>
      <c r="K2" s="147" t="inlineStr">
        <is>
          <t xml:space="preserve">111.56CEW </t>
        </is>
      </c>
      <c r="L2" s="151" t="inlineStr">
        <is>
          <t>0789</t>
        </is>
      </c>
      <c r="M2" s="150" t="n">
        <v>2442390</v>
      </c>
      <c r="N2" s="150" t="inlineStr">
        <is>
          <t>No Key</t>
        </is>
      </c>
      <c r="O2" s="150" t="inlineStr">
        <is>
          <t>No Key</t>
        </is>
      </c>
      <c r="P2" s="19" t="n">
        <v>1</v>
      </c>
      <c r="Q2" s="147" t="n">
        <v>0</v>
      </c>
      <c r="R2" s="147" t="n">
        <v>0</v>
      </c>
      <c r="S2" s="147" t="n">
        <v>0</v>
      </c>
      <c r="T2" s="147">
        <f>R2-Q2</f>
        <v/>
      </c>
      <c r="U2" s="147" t="n">
        <v>0</v>
      </c>
      <c r="V2" s="147">
        <f>U2+T2+S2</f>
        <v/>
      </c>
      <c r="W2" s="19">
        <f>P2*1.5-V2</f>
        <v/>
      </c>
      <c r="X2" s="167">
        <f>IF(W2&gt;0,W2,0)</f>
        <v/>
      </c>
      <c r="Y2" s="167">
        <f>X2+U2</f>
        <v/>
      </c>
      <c r="Z2" s="185">
        <f>SUMIFS(meghsteelsales_previousmonth[Quantity],meghsteelsales_previousmonth[Length Bucket],O2)/1000</f>
        <v/>
      </c>
      <c r="AA2" s="185">
        <f>SUMIFS(meghsteelsales_currentmonth[Quantity],meghsteelsales_currentmonth[Length Bucket],O2)/1000</f>
        <v/>
      </c>
      <c r="AB2" s="185">
        <f>IF((Z2+AA2-Y2)&lt;0,(Z2+AA2-Y2),"")</f>
        <v/>
      </c>
    </row>
    <row r="3">
      <c r="A3" s="147" t="inlineStr">
        <is>
          <t>TVS</t>
        </is>
      </c>
      <c r="B3" s="147" t="inlineStr">
        <is>
          <t>RUCHA</t>
        </is>
      </c>
      <c r="C3" s="147" t="inlineStr">
        <is>
          <t>ERW1</t>
        </is>
      </c>
      <c r="D3" s="147" t="inlineStr">
        <is>
          <t>NON FIN</t>
        </is>
      </c>
      <c r="E3" s="147" t="inlineStr">
        <is>
          <t>ERW</t>
        </is>
      </c>
      <c r="F3" s="148" t="n">
        <v>12.7</v>
      </c>
      <c r="G3" s="148" t="n"/>
      <c r="H3" s="148" t="n">
        <v>1.2</v>
      </c>
      <c r="I3" s="147" t="n">
        <v>6000</v>
      </c>
      <c r="J3" s="147" t="n">
        <v>6</v>
      </c>
      <c r="K3" s="147" t="inlineStr">
        <is>
          <t>12.71.26ERW</t>
        </is>
      </c>
      <c r="L3" s="151" t="inlineStr">
        <is>
          <t>0789</t>
        </is>
      </c>
      <c r="M3" s="150" t="n">
        <v>1939985</v>
      </c>
      <c r="N3" s="150" t="inlineStr">
        <is>
          <t>12.7-0-1.2-ERW 1-PE</t>
        </is>
      </c>
      <c r="O3" s="150" t="inlineStr">
        <is>
          <t>12.7-0-1.2-ERW 1-PE-6</t>
        </is>
      </c>
      <c r="P3" s="19" t="n">
        <v>8</v>
      </c>
      <c r="Q3" s="147" t="n">
        <v>5</v>
      </c>
      <c r="R3" s="147" t="n">
        <v>5</v>
      </c>
      <c r="S3" s="147" t="n">
        <v>0</v>
      </c>
      <c r="T3" s="147">
        <f>R3-Q3</f>
        <v/>
      </c>
      <c r="U3" s="147" t="n">
        <v>0</v>
      </c>
      <c r="V3" s="147">
        <f>U3+T3+S3</f>
        <v/>
      </c>
      <c r="W3" s="19">
        <f>P3*1.5-V3</f>
        <v/>
      </c>
      <c r="X3" s="167">
        <f>IF(W3&gt;0,W3,0)</f>
        <v/>
      </c>
      <c r="Y3" s="167">
        <f>X3+U3</f>
        <v/>
      </c>
      <c r="Z3" s="185">
        <f>SUMIFS(meghsteelsales_previousmonth[Quantity],meghsteelsales_previousmonth[Length Bucket],O3)/1000</f>
        <v/>
      </c>
      <c r="AA3" s="185">
        <f>SUMIFS(meghsteelsales_currentmonth[Quantity],meghsteelsales_currentmonth[Length Bucket],O3)/1000</f>
        <v/>
      </c>
      <c r="AB3" s="185">
        <f>IF((Z3+AA3-Y3)&lt;0,(Z3+AA3-Y3),"")</f>
        <v/>
      </c>
    </row>
    <row r="4">
      <c r="A4" s="147" t="inlineStr">
        <is>
          <t>HMSI</t>
        </is>
      </c>
      <c r="B4" s="147" t="inlineStr">
        <is>
          <t>BADVE</t>
        </is>
      </c>
      <c r="C4" s="147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12.7</v>
      </c>
      <c r="G4" s="148" t="n"/>
      <c r="H4" s="148" t="n">
        <v>1.4</v>
      </c>
      <c r="I4" s="147" t="n">
        <v>6000</v>
      </c>
      <c r="J4" s="147" t="n">
        <v>6</v>
      </c>
      <c r="K4" s="147" t="inlineStr">
        <is>
          <t>12.71.46ERW</t>
        </is>
      </c>
      <c r="L4" s="151" t="inlineStr">
        <is>
          <t>0789</t>
        </is>
      </c>
      <c r="M4" s="150" t="n">
        <v>1931117</v>
      </c>
      <c r="N4" s="150" t="inlineStr">
        <is>
          <t>No Key</t>
        </is>
      </c>
      <c r="O4" s="150" t="inlineStr">
        <is>
          <t>No Key</t>
        </is>
      </c>
      <c r="P4" s="19" t="n">
        <v>5</v>
      </c>
      <c r="Q4" s="147" t="n">
        <v>0</v>
      </c>
      <c r="R4" s="147" t="n">
        <v>8</v>
      </c>
      <c r="S4" s="147" t="n">
        <v>0</v>
      </c>
      <c r="T4" s="147">
        <f>R4-Q4</f>
        <v/>
      </c>
      <c r="U4" s="147" t="n">
        <v>0</v>
      </c>
      <c r="V4" s="147">
        <f>U4+T4+S4</f>
        <v/>
      </c>
      <c r="W4" s="19">
        <f>P4*1.5-V4</f>
        <v/>
      </c>
      <c r="X4" s="167">
        <f>IF(W4&gt;0,W4,0)</f>
        <v/>
      </c>
      <c r="Y4" s="167">
        <f>X4+U4</f>
        <v/>
      </c>
      <c r="Z4" s="185">
        <f>SUMIFS(meghsteelsales_previousmonth[Quantity],meghsteelsales_previousmonth[Length Bucket],O4)/1000</f>
        <v/>
      </c>
      <c r="AA4" s="185">
        <f>SUMIFS(meghsteelsales_currentmonth[Quantity],meghsteelsales_currentmonth[Length Bucket],O4)/1000</f>
        <v/>
      </c>
      <c r="AB4" s="185">
        <f>IF((Z4+AA4-Y4)&lt;0,(Z4+AA4-Y4),"")</f>
        <v/>
      </c>
    </row>
    <row r="5">
      <c r="A5" s="147" t="inlineStr">
        <is>
          <t>HMSI</t>
        </is>
      </c>
      <c r="B5" s="147" t="inlineStr">
        <is>
          <t>BADVE</t>
        </is>
      </c>
      <c r="C5" s="147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12.7</v>
      </c>
      <c r="G5" s="148" t="n"/>
      <c r="H5" s="148" t="n">
        <v>1.6</v>
      </c>
      <c r="I5" s="147" t="n">
        <v>6000</v>
      </c>
      <c r="J5" s="147" t="n">
        <v>6</v>
      </c>
      <c r="K5" s="147" t="inlineStr">
        <is>
          <t>12.71.66ERW</t>
        </is>
      </c>
      <c r="L5" s="151" t="inlineStr">
        <is>
          <t>0789</t>
        </is>
      </c>
      <c r="M5" s="150" t="n">
        <v>1931154</v>
      </c>
      <c r="N5" s="150" t="inlineStr">
        <is>
          <t>No Key</t>
        </is>
      </c>
      <c r="O5" s="150" t="inlineStr">
        <is>
          <t>No Key</t>
        </is>
      </c>
      <c r="P5" s="19" t="n">
        <v>2</v>
      </c>
      <c r="Q5" s="147" t="n">
        <v>0</v>
      </c>
      <c r="R5" s="147" t="n">
        <v>4</v>
      </c>
      <c r="S5" s="147" t="n">
        <v>0</v>
      </c>
      <c r="T5" s="147">
        <f>R5-Q5</f>
        <v/>
      </c>
      <c r="U5" s="147" t="n">
        <v>0</v>
      </c>
      <c r="V5" s="147">
        <f>U5+T5+S5</f>
        <v/>
      </c>
      <c r="W5" s="19">
        <f>P5*1.5-V5</f>
        <v/>
      </c>
      <c r="X5" s="167">
        <f>IF(W5&gt;0,W5,0)</f>
        <v/>
      </c>
      <c r="Y5" s="167">
        <f>X5+U5</f>
        <v/>
      </c>
      <c r="Z5" s="185">
        <f>SUMIFS(meghsteelsales_previousmonth[Quantity],meghsteelsales_previousmonth[Length Bucket],O5)/1000</f>
        <v/>
      </c>
      <c r="AA5" s="185">
        <f>SUMIFS(meghsteelsales_currentmonth[Quantity],meghsteelsales_currentmonth[Length Bucket],O5)/1000</f>
        <v/>
      </c>
      <c r="AB5" s="185">
        <f>IF((Z5+AA5-Y5)&lt;0,(Z5+AA5-Y5),"")</f>
        <v/>
      </c>
    </row>
    <row r="6">
      <c r="A6" s="147" t="inlineStr">
        <is>
          <t>TVS</t>
        </is>
      </c>
      <c r="B6" s="147" t="inlineStr">
        <is>
          <t>RUCHA</t>
        </is>
      </c>
      <c r="C6" s="147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12.7</v>
      </c>
      <c r="G6" s="148" t="n"/>
      <c r="H6" s="148" t="n">
        <v>2</v>
      </c>
      <c r="I6" s="147" t="n">
        <v>6000</v>
      </c>
      <c r="J6" s="147" t="n">
        <v>6</v>
      </c>
      <c r="K6" s="147" t="inlineStr">
        <is>
          <t>12.726ERW</t>
        </is>
      </c>
      <c r="L6" s="151" t="inlineStr">
        <is>
          <t>0789</t>
        </is>
      </c>
      <c r="M6" s="149" t="n"/>
      <c r="N6" s="150" t="n"/>
      <c r="O6" s="150" t="n"/>
      <c r="P6" s="19" t="n">
        <v>3</v>
      </c>
      <c r="Q6" s="147" t="n">
        <v>0</v>
      </c>
      <c r="R6" s="147" t="n">
        <v>0</v>
      </c>
      <c r="S6" s="147" t="n">
        <v>0</v>
      </c>
      <c r="T6" s="147">
        <f>R6-Q6</f>
        <v/>
      </c>
      <c r="U6" s="147" t="n">
        <v>0</v>
      </c>
      <c r="V6" s="147">
        <f>U6+T6+S6</f>
        <v/>
      </c>
      <c r="W6" s="19">
        <f>P6*1.5-V6</f>
        <v/>
      </c>
      <c r="X6" s="167">
        <f>IF(W6&gt;0,W6,0)</f>
        <v/>
      </c>
      <c r="Y6" s="167">
        <f>X6+U6</f>
        <v/>
      </c>
      <c r="Z6" s="185">
        <f>SUMIFS(meghsteelsales_previousmonth[Quantity],meghsteelsales_previousmonth[Length Bucket],O6)/1000</f>
        <v/>
      </c>
      <c r="AA6" s="185">
        <f>SUMIFS(meghsteelsales_currentmonth[Quantity],meghsteelsales_currentmonth[Length Bucket],O6)/1000</f>
        <v/>
      </c>
      <c r="AB6" s="185">
        <f>IF((Z6+AA6-Y6)&lt;0,(Z6+AA6-Y6),"")</f>
        <v/>
      </c>
    </row>
    <row r="7">
      <c r="A7" s="147" t="inlineStr">
        <is>
          <t>HMSI</t>
        </is>
      </c>
      <c r="B7" s="147" t="inlineStr">
        <is>
          <t>BADVE</t>
        </is>
      </c>
      <c r="C7" s="147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48" t="n">
        <v>15.88</v>
      </c>
      <c r="G7" s="148" t="n"/>
      <c r="H7" s="148" t="n">
        <v>1</v>
      </c>
      <c r="I7" s="147" t="n">
        <v>6000</v>
      </c>
      <c r="J7" s="147" t="n">
        <v>6</v>
      </c>
      <c r="K7" s="147" t="inlineStr">
        <is>
          <t>15.8816ERW</t>
        </is>
      </c>
      <c r="L7" s="151" t="inlineStr">
        <is>
          <t>0789</t>
        </is>
      </c>
      <c r="M7" s="150" t="n">
        <v>1940054</v>
      </c>
      <c r="N7" s="150" t="inlineStr">
        <is>
          <t>15.88-0-1-ERW 1-PE</t>
        </is>
      </c>
      <c r="O7" s="150" t="inlineStr">
        <is>
          <t>15.88-0-1-ERW 1-PE-6</t>
        </is>
      </c>
      <c r="P7" s="19" t="n">
        <v>1</v>
      </c>
      <c r="Q7" s="147" t="n">
        <v>0</v>
      </c>
      <c r="R7" s="147" t="n">
        <v>1.5</v>
      </c>
      <c r="S7" s="147" t="n">
        <v>0</v>
      </c>
      <c r="T7" s="147">
        <f>R7-Q7</f>
        <v/>
      </c>
      <c r="U7" s="147" t="n">
        <v>0</v>
      </c>
      <c r="V7" s="147">
        <f>U7+T7+S7</f>
        <v/>
      </c>
      <c r="W7" s="19">
        <f>P7*1.5-V7</f>
        <v/>
      </c>
      <c r="X7" s="167">
        <f>IF(W7&gt;0,W7,0)</f>
        <v/>
      </c>
      <c r="Y7" s="167">
        <f>X7+U7</f>
        <v/>
      </c>
      <c r="Z7" s="185">
        <f>SUMIFS(meghsteelsales_previousmonth[Quantity],meghsteelsales_previousmonth[Length Bucket],O7)/1000</f>
        <v/>
      </c>
      <c r="AA7" s="185">
        <f>SUMIFS(meghsteelsales_currentmonth[Quantity],meghsteelsales_currentmonth[Length Bucket],O7)/1000</f>
        <v/>
      </c>
      <c r="AB7" s="185">
        <f>IF((Z7+AA7-Y7)&lt;0,(Z7+AA7-Y7),"")</f>
        <v/>
      </c>
    </row>
    <row r="8">
      <c r="A8" s="147" t="inlineStr">
        <is>
          <t>TVS</t>
        </is>
      </c>
      <c r="B8" s="147" t="inlineStr">
        <is>
          <t>RUCHA</t>
        </is>
      </c>
      <c r="C8" s="147" t="inlineStr">
        <is>
          <t>ERW1</t>
        </is>
      </c>
      <c r="D8" s="147" t="inlineStr">
        <is>
          <t>NON FIN</t>
        </is>
      </c>
      <c r="E8" s="147" t="inlineStr">
        <is>
          <t>ERW</t>
        </is>
      </c>
      <c r="F8" s="148" t="n">
        <v>15.88</v>
      </c>
      <c r="G8" s="148" t="n"/>
      <c r="H8" s="148" t="n">
        <v>1.2</v>
      </c>
      <c r="I8" s="147" t="n">
        <v>6000</v>
      </c>
      <c r="J8" s="147" t="n">
        <v>6</v>
      </c>
      <c r="K8" s="147" t="inlineStr">
        <is>
          <t>15.881.26ERW</t>
        </is>
      </c>
      <c r="L8" s="151" t="inlineStr">
        <is>
          <t>0789</t>
        </is>
      </c>
      <c r="M8" s="150" t="n">
        <v>1940054</v>
      </c>
      <c r="N8" s="150" t="inlineStr">
        <is>
          <t>15.88-0-1.2-ERW 1-PE</t>
        </is>
      </c>
      <c r="O8" s="150" t="inlineStr">
        <is>
          <t>15.88-0-1.2-ERW 1-PE-6</t>
        </is>
      </c>
      <c r="P8" s="19" t="n">
        <v>5</v>
      </c>
      <c r="Q8" s="147" t="n">
        <v>2</v>
      </c>
      <c r="R8" s="147" t="n">
        <v>5</v>
      </c>
      <c r="S8" s="147" t="n">
        <v>0</v>
      </c>
      <c r="T8" s="147">
        <f>R8-Q8</f>
        <v/>
      </c>
      <c r="U8" s="147" t="n">
        <v>0</v>
      </c>
      <c r="V8" s="147">
        <f>U8+T8+S8</f>
        <v/>
      </c>
      <c r="W8" s="19">
        <f>P8*1.5-V8</f>
        <v/>
      </c>
      <c r="X8" s="167">
        <f>IF(W8&gt;0,W8,0)</f>
        <v/>
      </c>
      <c r="Y8" s="167">
        <f>X8+U8</f>
        <v/>
      </c>
      <c r="Z8" s="185">
        <f>SUMIFS(meghsteelsales_previousmonth[Quantity],meghsteelsales_previousmonth[Length Bucket],O8)/1000</f>
        <v/>
      </c>
      <c r="AA8" s="185">
        <f>SUMIFS(meghsteelsales_currentmonth[Quantity],meghsteelsales_currentmonth[Length Bucket],O8)/1000</f>
        <v/>
      </c>
      <c r="AB8" s="185">
        <f>IF((Z8+AA8-Y8)&lt;0,(Z8+AA8-Y8),"")</f>
        <v/>
      </c>
    </row>
    <row r="9">
      <c r="A9" s="147" t="inlineStr">
        <is>
          <t>HMSI</t>
        </is>
      </c>
      <c r="B9" s="147" t="inlineStr">
        <is>
          <t>BADVE</t>
        </is>
      </c>
      <c r="C9" s="147" t="inlineStr">
        <is>
          <t>ERW1</t>
        </is>
      </c>
      <c r="D9" s="147" t="inlineStr">
        <is>
          <t>NON FIN</t>
        </is>
      </c>
      <c r="E9" s="147" t="inlineStr">
        <is>
          <t>ERW</t>
        </is>
      </c>
      <c r="F9" s="148" t="n">
        <v>15.88</v>
      </c>
      <c r="G9" s="148" t="n"/>
      <c r="H9" s="148" t="n">
        <v>1.6</v>
      </c>
      <c r="I9" s="147" t="n">
        <v>6000</v>
      </c>
      <c r="J9" s="147" t="n">
        <v>6</v>
      </c>
      <c r="K9" s="147" t="inlineStr">
        <is>
          <t>15.881.66ERW</t>
        </is>
      </c>
      <c r="L9" s="151" t="inlineStr">
        <is>
          <t>0789</t>
        </is>
      </c>
      <c r="M9" s="150" t="n">
        <v>1900224</v>
      </c>
      <c r="N9" s="150" t="inlineStr">
        <is>
          <t>15.88-0-1.6-ERW 1-PE</t>
        </is>
      </c>
      <c r="O9" s="150" t="inlineStr">
        <is>
          <t>15.88-0-1.6-ERW 1-PE-6</t>
        </is>
      </c>
      <c r="P9" s="19" t="n">
        <v>2</v>
      </c>
      <c r="Q9" s="147" t="n">
        <v>1</v>
      </c>
      <c r="R9" s="147" t="n">
        <v>3</v>
      </c>
      <c r="S9" s="147" t="n">
        <v>0</v>
      </c>
      <c r="T9" s="147">
        <f>R9-Q9</f>
        <v/>
      </c>
      <c r="U9" s="147" t="n">
        <v>0</v>
      </c>
      <c r="V9" s="147">
        <f>U9+T9+S9</f>
        <v/>
      </c>
      <c r="W9" s="19">
        <f>P9*1.5-V9</f>
        <v/>
      </c>
      <c r="X9" s="167">
        <f>IF(W9&gt;0,W9,0)</f>
        <v/>
      </c>
      <c r="Y9" s="167">
        <f>X9+U9</f>
        <v/>
      </c>
      <c r="Z9" s="185">
        <f>SUMIFS(meghsteelsales_previousmonth[Quantity],meghsteelsales_previousmonth[Length Bucket],O9)/1000</f>
        <v/>
      </c>
      <c r="AA9" s="185">
        <f>SUMIFS(meghsteelsales_currentmonth[Quantity],meghsteelsales_currentmonth[Length Bucket],O9)/1000</f>
        <v/>
      </c>
      <c r="AB9" s="185">
        <f>IF((Z9+AA9-Y9)&lt;0,(Z9+AA9-Y9),"")</f>
        <v/>
      </c>
    </row>
    <row r="10">
      <c r="A10" s="147" t="inlineStr">
        <is>
          <t>HMSI</t>
        </is>
      </c>
      <c r="B10" s="147" t="inlineStr">
        <is>
          <t>BADVE</t>
        </is>
      </c>
      <c r="C10" s="147" t="inlineStr">
        <is>
          <t>ERW1</t>
        </is>
      </c>
      <c r="D10" s="147" t="inlineStr">
        <is>
          <t>NON FIN</t>
        </is>
      </c>
      <c r="E10" s="147" t="inlineStr">
        <is>
          <t>ERW</t>
        </is>
      </c>
      <c r="F10" s="148" t="n">
        <v>15.88</v>
      </c>
      <c r="G10" s="148" t="n"/>
      <c r="H10" s="148" t="n">
        <v>2</v>
      </c>
      <c r="I10" s="147" t="n">
        <v>6000</v>
      </c>
      <c r="J10" s="147" t="n">
        <v>6</v>
      </c>
      <c r="K10" s="147" t="inlineStr">
        <is>
          <t>15.8826ERW</t>
        </is>
      </c>
      <c r="L10" s="151" t="inlineStr">
        <is>
          <t>0789</t>
        </is>
      </c>
      <c r="M10" s="150" t="n">
        <v>1940120</v>
      </c>
      <c r="N10" s="150" t="inlineStr">
        <is>
          <t>15.88-0-2-ERW 1-PE</t>
        </is>
      </c>
      <c r="O10" s="150" t="inlineStr">
        <is>
          <t>15.88-0-2-ERW 1-PE-6</t>
        </is>
      </c>
      <c r="P10" s="19" t="n">
        <v>0</v>
      </c>
      <c r="Q10" s="147" t="n">
        <v>0</v>
      </c>
      <c r="R10" s="147" t="n">
        <v>0</v>
      </c>
      <c r="S10" s="147" t="n">
        <v>0</v>
      </c>
      <c r="T10" s="147">
        <f>R10-Q10</f>
        <v/>
      </c>
      <c r="U10" s="147" t="n">
        <v>0</v>
      </c>
      <c r="V10" s="147">
        <f>U10+T10+S10</f>
        <v/>
      </c>
      <c r="W10" s="19">
        <f>P10*1.5-V10</f>
        <v/>
      </c>
      <c r="X10" s="167">
        <f>IF(W10&gt;0,W10,0)</f>
        <v/>
      </c>
      <c r="Y10" s="167">
        <f>X10+U10</f>
        <v/>
      </c>
      <c r="Z10" s="185">
        <f>SUMIFS(meghsteelsales_previousmonth[Quantity],meghsteelsales_previousmonth[Length Bucket],O10)/1000</f>
        <v/>
      </c>
      <c r="AA10" s="185">
        <f>SUMIFS(meghsteelsales_currentmonth[Quantity],meghsteelsales_currentmonth[Length Bucket],O10)/1000</f>
        <v/>
      </c>
      <c r="AB10" s="185">
        <f>IF((Z10+AA10-Y10)&lt;0,(Z10+AA10-Y10),"")</f>
        <v/>
      </c>
    </row>
    <row r="11">
      <c r="A11" s="147" t="inlineStr">
        <is>
          <t>TVS</t>
        </is>
      </c>
      <c r="B11" s="147" t="inlineStr">
        <is>
          <t>Rucha</t>
        </is>
      </c>
      <c r="C11" s="147" t="inlineStr">
        <is>
          <t>ERW1</t>
        </is>
      </c>
      <c r="D11" s="147" t="inlineStr">
        <is>
          <t>NON FIN</t>
        </is>
      </c>
      <c r="E11" s="147" t="inlineStr">
        <is>
          <t>ERW</t>
        </is>
      </c>
      <c r="F11" s="148" t="n">
        <v>18.3</v>
      </c>
      <c r="G11" s="148" t="n"/>
      <c r="H11" s="148" t="n">
        <v>1</v>
      </c>
      <c r="I11" s="147" t="n">
        <v>6000</v>
      </c>
      <c r="J11" s="147" t="n">
        <v>6</v>
      </c>
      <c r="K11" s="147" t="inlineStr">
        <is>
          <t>18.316ERW</t>
        </is>
      </c>
      <c r="L11" s="151" t="inlineStr">
        <is>
          <t>0789</t>
        </is>
      </c>
      <c r="M11" s="150" t="n"/>
      <c r="N11" s="150" t="inlineStr">
        <is>
          <t>18.2-0-1-ERW 1-PE</t>
        </is>
      </c>
      <c r="O11" s="150" t="inlineStr">
        <is>
          <t>18.2-0-1-ERW 1-PE-6</t>
        </is>
      </c>
      <c r="P11" s="19" t="n">
        <v>3</v>
      </c>
      <c r="Q11" s="147" t="n">
        <v>3</v>
      </c>
      <c r="R11" s="147" t="n">
        <v>1</v>
      </c>
      <c r="S11" s="147" t="n">
        <v>0</v>
      </c>
      <c r="T11" s="147">
        <f>R11-Q11</f>
        <v/>
      </c>
      <c r="U11" s="147" t="n">
        <v>0</v>
      </c>
      <c r="V11" s="147">
        <f>U11+T11+S11</f>
        <v/>
      </c>
      <c r="W11" s="19">
        <f>P11*1.5-V11</f>
        <v/>
      </c>
      <c r="X11" s="167">
        <f>IF(W11&gt;0,W11,0)</f>
        <v/>
      </c>
      <c r="Y11" s="167">
        <f>X11+U11</f>
        <v/>
      </c>
      <c r="Z11" s="185">
        <f>SUMIFS(meghsteelsales_previousmonth[Quantity],meghsteelsales_previousmonth[Length Bucket],O11)/1000</f>
        <v/>
      </c>
      <c r="AA11" s="185">
        <f>SUMIFS(meghsteelsales_currentmonth[Quantity],meghsteelsales_currentmonth[Length Bucket],O11)/1000</f>
        <v/>
      </c>
      <c r="AB11" s="185">
        <f>IF((Z11+AA11-Y11)&lt;0,(Z11+AA11-Y11),"")</f>
        <v/>
      </c>
    </row>
    <row r="12">
      <c r="A12" s="147" t="inlineStr">
        <is>
          <t>HMSI</t>
        </is>
      </c>
      <c r="B12" s="147" t="inlineStr">
        <is>
          <t>BADVE</t>
        </is>
      </c>
      <c r="C12" s="153" t="inlineStr">
        <is>
          <t>ERW1</t>
        </is>
      </c>
      <c r="D12" s="147" t="inlineStr">
        <is>
          <t>NON FIN</t>
        </is>
      </c>
      <c r="E12" s="147" t="inlineStr">
        <is>
          <t>ERW</t>
        </is>
      </c>
      <c r="F12" s="148" t="n">
        <v>19.05</v>
      </c>
      <c r="G12" s="148" t="n"/>
      <c r="H12" s="148" t="n">
        <v>1.6</v>
      </c>
      <c r="I12" s="147" t="n">
        <v>6000</v>
      </c>
      <c r="J12" s="147" t="n">
        <v>6</v>
      </c>
      <c r="K12" s="147" t="inlineStr">
        <is>
          <t>19.051.66ERW</t>
        </is>
      </c>
      <c r="L12" s="151" t="inlineStr">
        <is>
          <t>056</t>
        </is>
      </c>
      <c r="M12" s="150" t="n">
        <v>3498997</v>
      </c>
      <c r="N12" s="150" t="inlineStr">
        <is>
          <t>19.05-0-1.6-ERW 1-PE</t>
        </is>
      </c>
      <c r="O12" s="150" t="inlineStr">
        <is>
          <t>19.05-0-1.6-ERW 1-PE-6</t>
        </is>
      </c>
      <c r="P12" s="19" t="n">
        <v>5</v>
      </c>
      <c r="Q12" s="147" t="n">
        <v>2</v>
      </c>
      <c r="R12" s="147" t="n">
        <v>0</v>
      </c>
      <c r="S12" s="147" t="n">
        <v>0</v>
      </c>
      <c r="T12" s="147">
        <f>R12-Q12</f>
        <v/>
      </c>
      <c r="U12" s="147" t="n">
        <v>1</v>
      </c>
      <c r="V12" s="147">
        <f>U12+T12+S12</f>
        <v/>
      </c>
      <c r="W12" s="19">
        <f>P12*1.5-V12</f>
        <v/>
      </c>
      <c r="X12" s="167">
        <f>IF(W12&gt;0,W12,0)</f>
        <v/>
      </c>
      <c r="Y12" s="167">
        <f>X12+U12</f>
        <v/>
      </c>
      <c r="Z12" s="185">
        <f>SUMIFS(meghsteelsales_previousmonth[Quantity],meghsteelsales_previousmonth[Length Bucket],O12)/1000</f>
        <v/>
      </c>
      <c r="AA12" s="185">
        <f>SUMIFS(meghsteelsales_currentmonth[Quantity],meghsteelsales_currentmonth[Length Bucket],O12)/1000</f>
        <v/>
      </c>
      <c r="AB12" s="185">
        <f>IF((Z12+AA12-Y12)&lt;0,(Z12+AA12-Y12),"")</f>
        <v/>
      </c>
    </row>
    <row r="13">
      <c r="A13" s="147" t="inlineStr">
        <is>
          <t>HMSI</t>
        </is>
      </c>
      <c r="B13" s="147" t="inlineStr">
        <is>
          <t>BADVE</t>
        </is>
      </c>
      <c r="C13" s="147" t="inlineStr">
        <is>
          <t>ERW2</t>
        </is>
      </c>
      <c r="D13" s="147" t="inlineStr">
        <is>
          <t>NON FIN</t>
        </is>
      </c>
      <c r="E13" s="147" t="inlineStr">
        <is>
          <t>ERW2</t>
        </is>
      </c>
      <c r="F13" s="148" t="n">
        <v>19.05</v>
      </c>
      <c r="G13" s="148" t="n"/>
      <c r="H13" s="148" t="n">
        <v>1.4</v>
      </c>
      <c r="I13" s="147" t="n">
        <v>6000</v>
      </c>
      <c r="J13" s="147" t="n">
        <v>6</v>
      </c>
      <c r="K13" s="147" t="inlineStr">
        <is>
          <t>19.051.46ERW2</t>
        </is>
      </c>
      <c r="L13" s="151" t="inlineStr">
        <is>
          <t>056</t>
        </is>
      </c>
      <c r="M13" s="149" t="n">
        <v>3891285</v>
      </c>
      <c r="N13" s="150" t="inlineStr">
        <is>
          <t>No Key</t>
        </is>
      </c>
      <c r="O13" s="150" t="inlineStr">
        <is>
          <t>No Key</t>
        </is>
      </c>
      <c r="P13" s="19" t="n">
        <v>0</v>
      </c>
      <c r="Q13" s="147" t="n">
        <v>2</v>
      </c>
      <c r="R13" s="147" t="n">
        <v>7</v>
      </c>
      <c r="S13" s="147" t="n">
        <v>0</v>
      </c>
      <c r="T13" s="147">
        <f>R13-Q13</f>
        <v/>
      </c>
      <c r="U13" s="147" t="n">
        <v>0.8</v>
      </c>
      <c r="V13" s="147">
        <f>U13+T13+S13</f>
        <v/>
      </c>
      <c r="W13" s="19">
        <f>P13*1.5-V13</f>
        <v/>
      </c>
      <c r="X13" s="167">
        <f>IF(W13&gt;0,W13,0)</f>
        <v/>
      </c>
      <c r="Y13" s="167">
        <f>X13+U13</f>
        <v/>
      </c>
      <c r="Z13" s="185">
        <f>SUMIFS(meghsteelsales_previousmonth[Quantity],meghsteelsales_previousmonth[Length Bucket],O13)/1000</f>
        <v/>
      </c>
      <c r="AA13" s="185">
        <f>SUMIFS(meghsteelsales_currentmonth[Quantity],meghsteelsales_currentmonth[Length Bucket],O13)/1000</f>
        <v/>
      </c>
      <c r="AB13" s="185">
        <f>IF((Z13+AA13-Y13)&lt;0,(Z13+AA13-Y13),"")</f>
        <v/>
      </c>
    </row>
    <row r="14">
      <c r="A14" s="147" t="inlineStr">
        <is>
          <t>TVS</t>
        </is>
      </c>
      <c r="B14" s="147" t="inlineStr">
        <is>
          <t>RUCHA</t>
        </is>
      </c>
      <c r="C14" s="153" t="inlineStr">
        <is>
          <t>ERW1</t>
        </is>
      </c>
      <c r="D14" s="147" t="inlineStr">
        <is>
          <t>NON FIN</t>
        </is>
      </c>
      <c r="E14" s="147" t="inlineStr">
        <is>
          <t>ERW</t>
        </is>
      </c>
      <c r="F14" s="154" t="n">
        <v>19.05</v>
      </c>
      <c r="G14" s="154" t="n"/>
      <c r="H14" s="154" t="n">
        <v>2</v>
      </c>
      <c r="I14" s="155" t="n">
        <v>5841</v>
      </c>
      <c r="J14" s="147" t="n">
        <v>5.84</v>
      </c>
      <c r="K14" s="147" t="inlineStr">
        <is>
          <t>19.0525.84ERW</t>
        </is>
      </c>
      <c r="L14" s="151" t="inlineStr">
        <is>
          <t>056</t>
        </is>
      </c>
      <c r="M14" s="150" t="n">
        <v>3673888</v>
      </c>
      <c r="N14" s="150" t="inlineStr">
        <is>
          <t>19.05-0-2-ERW 1-PE</t>
        </is>
      </c>
      <c r="O14" s="150" t="inlineStr">
        <is>
          <t>19.05-0-2-ERW 1-PE-5.841</t>
        </is>
      </c>
      <c r="P14" s="19" t="n">
        <v>30</v>
      </c>
      <c r="Q14" s="147" t="n">
        <v>0</v>
      </c>
      <c r="R14" s="147" t="n">
        <v>0</v>
      </c>
      <c r="S14" s="147" t="n">
        <v>12</v>
      </c>
      <c r="T14" s="147">
        <f>R14-Q14</f>
        <v/>
      </c>
      <c r="U14" s="147" t="n">
        <v>20</v>
      </c>
      <c r="V14" s="147">
        <f>U14+T14+S14</f>
        <v/>
      </c>
      <c r="W14" s="19">
        <f>P14*1.5-V14</f>
        <v/>
      </c>
      <c r="X14" s="167">
        <f>IF(W14&gt;0,W14,0)</f>
        <v/>
      </c>
      <c r="Y14" s="167">
        <f>X14+U14</f>
        <v/>
      </c>
      <c r="Z14" s="185">
        <f>SUMIFS(meghsteelsales_previousmonth[Quantity],meghsteelsales_previousmonth[Length Bucket],O14)/1000</f>
        <v/>
      </c>
      <c r="AA14" s="185">
        <f>SUMIFS(meghsteelsales_currentmonth[Quantity],meghsteelsales_currentmonth[Length Bucket],O14)/1000</f>
        <v/>
      </c>
      <c r="AB14" s="185">
        <f>IF((Z14+AA14-Y14)&lt;0,(Z14+AA14-Y14),"")</f>
        <v/>
      </c>
    </row>
    <row r="15">
      <c r="A15" s="147" t="inlineStr">
        <is>
          <t>TVS</t>
        </is>
      </c>
      <c r="B15" s="147" t="inlineStr">
        <is>
          <t>RUCHA,METALMAN</t>
        </is>
      </c>
      <c r="C15" s="153" t="inlineStr">
        <is>
          <t>ERW1</t>
        </is>
      </c>
      <c r="D15" s="147" t="inlineStr">
        <is>
          <t>NON FIN</t>
        </is>
      </c>
      <c r="E15" s="147" t="inlineStr">
        <is>
          <t>ERW</t>
        </is>
      </c>
      <c r="F15" s="148" t="n">
        <v>19.05</v>
      </c>
      <c r="G15" s="148" t="n"/>
      <c r="H15" s="148" t="n">
        <v>2.3</v>
      </c>
      <c r="I15" s="147" t="n">
        <v>7000</v>
      </c>
      <c r="J15" s="147" t="n">
        <v>7</v>
      </c>
      <c r="K15" s="147" t="inlineStr">
        <is>
          <t>19.052.37ERW</t>
        </is>
      </c>
      <c r="L15" s="151" t="inlineStr">
        <is>
          <t>056</t>
        </is>
      </c>
      <c r="M15" s="150" t="n">
        <v>3500582</v>
      </c>
      <c r="N15" s="150" t="inlineStr">
        <is>
          <t>19.05-0-2.3-ERW 1-PE</t>
        </is>
      </c>
      <c r="O15" s="150" t="inlineStr">
        <is>
          <t>19.05-0-2.3-ERW 1-PE-7</t>
        </is>
      </c>
      <c r="P15" s="19" t="n">
        <v>18</v>
      </c>
      <c r="Q15" s="147" t="n">
        <v>4</v>
      </c>
      <c r="R15" s="147" t="n">
        <v>3</v>
      </c>
      <c r="S15" s="147" t="n">
        <v>25</v>
      </c>
      <c r="T15" s="147">
        <f>R15-Q15</f>
        <v/>
      </c>
      <c r="U15" s="147" t="n">
        <v>31</v>
      </c>
      <c r="V15" s="147">
        <f>U15+T15+S15</f>
        <v/>
      </c>
      <c r="W15" s="19">
        <f>P15*1.5-V15</f>
        <v/>
      </c>
      <c r="X15" s="167">
        <f>IF(W15&gt;0,W15,0)</f>
        <v/>
      </c>
      <c r="Y15" s="167">
        <f>X15+U15</f>
        <v/>
      </c>
      <c r="Z15" s="185">
        <f>SUMIFS(meghsteelsales_previousmonth[Quantity],meghsteelsales_previousmonth[Length Bucket],O15)/1000</f>
        <v/>
      </c>
      <c r="AA15" s="185">
        <f>SUMIFS(meghsteelsales_currentmonth[Quantity],meghsteelsales_currentmonth[Length Bucket],O15)/1000</f>
        <v/>
      </c>
      <c r="AB15" s="185">
        <f>IF((Z15+AA15-Y15)&lt;0,(Z15+AA15-Y15),"")</f>
        <v/>
      </c>
    </row>
    <row r="16">
      <c r="A16" s="147" t="inlineStr">
        <is>
          <t>TVS</t>
        </is>
      </c>
      <c r="B16" s="147" t="inlineStr">
        <is>
          <t>RUCHA</t>
        </is>
      </c>
      <c r="C16" s="147" t="inlineStr">
        <is>
          <t>ERW1</t>
        </is>
      </c>
      <c r="D16" s="147" t="inlineStr">
        <is>
          <t>NON FIN</t>
        </is>
      </c>
      <c r="E16" s="147" t="inlineStr">
        <is>
          <t>ERW</t>
        </is>
      </c>
      <c r="F16" s="148" t="n">
        <v>21.4</v>
      </c>
      <c r="G16" s="148" t="n"/>
      <c r="H16" s="148" t="n">
        <v>1.6</v>
      </c>
      <c r="I16" s="147" t="n">
        <v>6000</v>
      </c>
      <c r="J16" s="147" t="n">
        <v>6</v>
      </c>
      <c r="K16" s="147" t="inlineStr">
        <is>
          <t>21.41.66ERW</t>
        </is>
      </c>
      <c r="L16" s="149" t="n"/>
      <c r="M16" s="150" t="n">
        <v>3219710</v>
      </c>
      <c r="N16" s="150" t="inlineStr">
        <is>
          <t>No Key</t>
        </is>
      </c>
      <c r="O16" s="150" t="inlineStr">
        <is>
          <t>No Key</t>
        </is>
      </c>
      <c r="P16" s="19" t="n">
        <v>3</v>
      </c>
      <c r="Q16" s="147" t="n">
        <v>2</v>
      </c>
      <c r="R16" s="147" t="n">
        <v>23</v>
      </c>
      <c r="S16" s="147" t="n">
        <v>0</v>
      </c>
      <c r="T16" s="147">
        <f>R16-Q16</f>
        <v/>
      </c>
      <c r="U16" s="147" t="n"/>
      <c r="V16" s="147">
        <f>U16+T16+S16</f>
        <v/>
      </c>
      <c r="W16" s="19">
        <f>P16*1.5-V16</f>
        <v/>
      </c>
      <c r="X16" s="167">
        <f>IF(W16&gt;0,W16,0)</f>
        <v/>
      </c>
      <c r="Y16" s="167">
        <f>X16+U16</f>
        <v/>
      </c>
      <c r="Z16" s="185">
        <f>SUMIFS(meghsteelsales_previousmonth[Quantity],meghsteelsales_previousmonth[Length Bucket],O16)/1000</f>
        <v/>
      </c>
      <c r="AA16" s="185">
        <f>SUMIFS(meghsteelsales_currentmonth[Quantity],meghsteelsales_currentmonth[Length Bucket],O16)/1000</f>
        <v/>
      </c>
      <c r="AB16" s="185">
        <f>IF((Z16+AA16-Y16)&lt;0,(Z16+AA16-Y16),"")</f>
        <v/>
      </c>
    </row>
    <row r="17">
      <c r="A17" s="147" t="inlineStr">
        <is>
          <t>TVS</t>
        </is>
      </c>
      <c r="B17" s="147" t="inlineStr">
        <is>
          <t>RUCHA</t>
        </is>
      </c>
      <c r="C17" s="153" t="inlineStr">
        <is>
          <t>ERW1</t>
        </is>
      </c>
      <c r="D17" s="147" t="inlineStr">
        <is>
          <t>NON FIN</t>
        </is>
      </c>
      <c r="E17" s="147" t="inlineStr">
        <is>
          <t>ERW</t>
        </is>
      </c>
      <c r="F17" s="148" t="n">
        <v>22.2</v>
      </c>
      <c r="G17" s="148" t="n"/>
      <c r="H17" s="148" t="n">
        <v>1.2</v>
      </c>
      <c r="I17" s="147" t="n">
        <v>5870</v>
      </c>
      <c r="J17" s="147" t="n">
        <v>5.87</v>
      </c>
      <c r="K17" s="147" t="inlineStr">
        <is>
          <t>22.21.25.87ERW</t>
        </is>
      </c>
      <c r="L17" s="151" t="inlineStr">
        <is>
          <t>056</t>
        </is>
      </c>
      <c r="M17" s="150" t="n">
        <v>3974562</v>
      </c>
      <c r="N17" s="150" t="inlineStr">
        <is>
          <t>22.23-0-1.2-ERW 1-PE</t>
        </is>
      </c>
      <c r="O17" s="150" t="inlineStr">
        <is>
          <t>22.23-0-1.2-ERW 1-PE-5.87</t>
        </is>
      </c>
      <c r="P17" s="19" t="n">
        <v>15</v>
      </c>
      <c r="Q17" s="147" t="n">
        <v>0</v>
      </c>
      <c r="R17" s="147" t="n">
        <v>0</v>
      </c>
      <c r="S17" s="147" t="n">
        <v>0</v>
      </c>
      <c r="T17" s="147">
        <f>R17-Q17</f>
        <v/>
      </c>
      <c r="U17" s="147" t="n">
        <v>20</v>
      </c>
      <c r="V17" s="147">
        <f>U17+T17+S17</f>
        <v/>
      </c>
      <c r="W17" s="19">
        <f>P17*1.5-V17</f>
        <v/>
      </c>
      <c r="X17" s="167">
        <f>IF(W17&gt;0,W17,0)</f>
        <v/>
      </c>
      <c r="Y17" s="167">
        <f>X17+U17</f>
        <v/>
      </c>
      <c r="Z17" s="185">
        <f>SUMIFS(meghsteelsales_previousmonth[Quantity],meghsteelsales_previousmonth[Length Bucket],O17)/1000</f>
        <v/>
      </c>
      <c r="AA17" s="185">
        <f>SUMIFS(meghsteelsales_currentmonth[Quantity],meghsteelsales_currentmonth[Length Bucket],O17)/1000</f>
        <v/>
      </c>
      <c r="AB17" s="185">
        <f>IF((Z17+AA17-Y17)&lt;0,(Z17+AA17-Y17),"")</f>
        <v/>
      </c>
    </row>
    <row r="18">
      <c r="A18" s="147" t="inlineStr">
        <is>
          <t>HMSI</t>
        </is>
      </c>
      <c r="B18" s="147" t="inlineStr">
        <is>
          <t>BADVE</t>
        </is>
      </c>
      <c r="C18" s="153" t="inlineStr">
        <is>
          <t>ERW2</t>
        </is>
      </c>
      <c r="D18" s="147" t="inlineStr">
        <is>
          <t>NON FIN</t>
        </is>
      </c>
      <c r="E18" s="147" t="inlineStr">
        <is>
          <t>ERW-2</t>
        </is>
      </c>
      <c r="F18" s="148" t="n">
        <v>22.2</v>
      </c>
      <c r="G18" s="148" t="n"/>
      <c r="H18" s="148" t="n">
        <v>1.4</v>
      </c>
      <c r="I18" s="147" t="n">
        <v>6000</v>
      </c>
      <c r="J18" s="147" t="n">
        <v>6</v>
      </c>
      <c r="K18" s="147" t="inlineStr">
        <is>
          <t>22.21.46ERW-2</t>
        </is>
      </c>
      <c r="L18" s="151" t="inlineStr">
        <is>
          <t>056</t>
        </is>
      </c>
      <c r="M18" s="150" t="n">
        <v>3829175</v>
      </c>
      <c r="N18" s="150" t="inlineStr">
        <is>
          <t>No Key</t>
        </is>
      </c>
      <c r="O18" s="150" t="inlineStr">
        <is>
          <t>No Key</t>
        </is>
      </c>
      <c r="P18" s="19" t="n">
        <v>0</v>
      </c>
      <c r="Q18" s="147" t="n">
        <v>0</v>
      </c>
      <c r="R18" s="147" t="n">
        <v>20</v>
      </c>
      <c r="S18" s="147" t="n">
        <v>0</v>
      </c>
      <c r="T18" s="147">
        <f>R18-Q18</f>
        <v/>
      </c>
      <c r="U18" s="147" t="n"/>
      <c r="V18" s="147">
        <f>U18+T18+S18</f>
        <v/>
      </c>
      <c r="W18" s="19">
        <f>P18*1.5-V18</f>
        <v/>
      </c>
      <c r="X18" s="167">
        <f>IF(W18&gt;0,W18,0)</f>
        <v/>
      </c>
      <c r="Y18" s="167">
        <f>X18+U18</f>
        <v/>
      </c>
      <c r="Z18" s="185">
        <f>SUMIFS(meghsteelsales_previousmonth[Quantity],meghsteelsales_previousmonth[Length Bucket],O18)/1000</f>
        <v/>
      </c>
      <c r="AA18" s="185">
        <f>SUMIFS(meghsteelsales_currentmonth[Quantity],meghsteelsales_currentmonth[Length Bucket],O18)/1000</f>
        <v/>
      </c>
      <c r="AB18" s="185">
        <f>IF((Z18+AA18-Y18)&lt;0,(Z18+AA18-Y18),"")</f>
        <v/>
      </c>
    </row>
    <row r="19" customFormat="1" s="45">
      <c r="A19" s="156" t="inlineStr">
        <is>
          <t>TVS</t>
        </is>
      </c>
      <c r="B19" s="156" t="inlineStr">
        <is>
          <t>RUCHA</t>
        </is>
      </c>
      <c r="C19" s="157" t="inlineStr">
        <is>
          <t>ERW1</t>
        </is>
      </c>
      <c r="D19" s="147" t="inlineStr">
        <is>
          <t>NON FIN</t>
        </is>
      </c>
      <c r="E19" s="147" t="inlineStr">
        <is>
          <t>ERW</t>
        </is>
      </c>
      <c r="F19" s="148" t="n">
        <v>22.2</v>
      </c>
      <c r="G19" s="148" t="n"/>
      <c r="H19" s="148" t="n">
        <v>1.6</v>
      </c>
      <c r="I19" s="147" t="n">
        <v>5670</v>
      </c>
      <c r="J19" s="147" t="n">
        <v>6</v>
      </c>
      <c r="K19" s="147" t="inlineStr">
        <is>
          <t>22.21.66ERW</t>
        </is>
      </c>
      <c r="L19" s="165" t="inlineStr">
        <is>
          <t>056</t>
        </is>
      </c>
      <c r="M19" s="150" t="n">
        <v>3534935</v>
      </c>
      <c r="N19" s="150" t="inlineStr">
        <is>
          <t>22.23-0-1.6-ERW 1-PE</t>
        </is>
      </c>
      <c r="O19" s="150" t="inlineStr">
        <is>
          <t>22.23-0-1.6-ERW 1-PE-5.67</t>
        </is>
      </c>
      <c r="P19" s="19" t="n">
        <v>55</v>
      </c>
      <c r="Q19" s="147" t="n">
        <v>20</v>
      </c>
      <c r="R19" s="147" t="n">
        <v>75</v>
      </c>
      <c r="S19" s="147" t="n">
        <v>0</v>
      </c>
      <c r="T19" s="147">
        <f>R19-Q19</f>
        <v/>
      </c>
      <c r="U19" s="147" t="n">
        <v>0.5</v>
      </c>
      <c r="V19" s="147">
        <f>U19+T19+S19</f>
        <v/>
      </c>
      <c r="W19" s="19">
        <f>P19*1.5-V19</f>
        <v/>
      </c>
      <c r="X19" s="167">
        <f>IF(W19&gt;0,W19,0)</f>
        <v/>
      </c>
      <c r="Y19" s="167">
        <f>X19+U19</f>
        <v/>
      </c>
      <c r="Z19" s="185">
        <f>SUMIFS(meghsteelsales_previousmonth[Quantity],meghsteelsales_previousmonth[Length Bucket],O19)/1000</f>
        <v/>
      </c>
      <c r="AA19" s="185">
        <f>SUMIFS(meghsteelsales_currentmonth[Quantity],meghsteelsales_currentmonth[Length Bucket],O19)/1000</f>
        <v/>
      </c>
      <c r="AB19" s="185">
        <f>IF((Z19+AA19-Y19)&lt;0,(Z19+AA19-Y19),"")</f>
        <v/>
      </c>
    </row>
    <row r="20">
      <c r="A20" s="147" t="inlineStr">
        <is>
          <t>TVS</t>
        </is>
      </c>
      <c r="B20" s="147" t="inlineStr">
        <is>
          <t>RUCHA</t>
        </is>
      </c>
      <c r="C20" s="155" t="inlineStr">
        <is>
          <t>ERW1</t>
        </is>
      </c>
      <c r="D20" s="147" t="inlineStr">
        <is>
          <t>NON FIN</t>
        </is>
      </c>
      <c r="E20" s="147" t="inlineStr">
        <is>
          <t>ERW</t>
        </is>
      </c>
      <c r="F20" s="154" t="n">
        <v>22.2</v>
      </c>
      <c r="G20" s="154" t="n"/>
      <c r="H20" s="154" t="n">
        <v>2</v>
      </c>
      <c r="I20" s="155" t="n">
        <v>5950</v>
      </c>
      <c r="J20" s="147" t="n">
        <v>5.95</v>
      </c>
      <c r="K20" s="147" t="n"/>
      <c r="L20" s="151" t="inlineStr">
        <is>
          <t>056</t>
        </is>
      </c>
      <c r="M20" s="150" t="n">
        <v>3905466</v>
      </c>
      <c r="N20" s="150" t="inlineStr">
        <is>
          <t>22.23-0-2-ERW 1-PE</t>
        </is>
      </c>
      <c r="O20" s="150" t="inlineStr">
        <is>
          <t>22.23-0-2-ERW 1-PE-5.951</t>
        </is>
      </c>
      <c r="P20" s="19" t="n">
        <v>50</v>
      </c>
      <c r="Q20" s="147" t="n">
        <v>20</v>
      </c>
      <c r="R20" s="147" t="n">
        <v>42</v>
      </c>
      <c r="S20" s="147" t="n">
        <v>4</v>
      </c>
      <c r="T20" s="147">
        <f>R20-Q20</f>
        <v/>
      </c>
      <c r="U20" s="147" t="n">
        <v>70</v>
      </c>
      <c r="V20" s="147">
        <f>U20+T20+S20</f>
        <v/>
      </c>
      <c r="W20" s="19" t="n">
        <v>50</v>
      </c>
      <c r="X20" s="167">
        <f>IF(W20&gt;0,W20,0)</f>
        <v/>
      </c>
      <c r="Y20" s="167">
        <f>X20+U20</f>
        <v/>
      </c>
      <c r="Z20" s="185">
        <f>SUMIFS(meghsteelsales_previousmonth[Quantity],meghsteelsales_previousmonth[Length Bucket],O20)/1000</f>
        <v/>
      </c>
      <c r="AA20" s="185">
        <f>SUMIFS(meghsteelsales_currentmonth[Quantity],meghsteelsales_currentmonth[Length Bucket],O20)/1000</f>
        <v/>
      </c>
      <c r="AB20" s="185">
        <f>IF((Z20+AA20-Y20)&lt;0,(Z20+AA20-Y20),"")</f>
        <v/>
      </c>
    </row>
    <row r="21">
      <c r="A21" s="147" t="inlineStr">
        <is>
          <t>TVS</t>
        </is>
      </c>
      <c r="B21" s="147" t="inlineStr">
        <is>
          <t>RUCHA</t>
        </is>
      </c>
      <c r="C21" s="155" t="inlineStr">
        <is>
          <t>ERW1</t>
        </is>
      </c>
      <c r="D21" s="147" t="inlineStr">
        <is>
          <t>NON FIN</t>
        </is>
      </c>
      <c r="E21" s="147" t="inlineStr">
        <is>
          <t>ERW</t>
        </is>
      </c>
      <c r="F21" s="154" t="n">
        <v>22.2</v>
      </c>
      <c r="G21" s="154" t="n"/>
      <c r="H21" s="154" t="n">
        <v>2</v>
      </c>
      <c r="I21" s="155" t="n">
        <v>5100</v>
      </c>
      <c r="J21" s="147" t="n">
        <v>5.95</v>
      </c>
      <c r="K21" s="147" t="n"/>
      <c r="L21" s="151" t="inlineStr">
        <is>
          <t>056</t>
        </is>
      </c>
      <c r="M21" s="150" t="n">
        <v>3500554</v>
      </c>
      <c r="N21" s="150" t="inlineStr">
        <is>
          <t>22.23-0-2-ERW 1-PE</t>
        </is>
      </c>
      <c r="O21" s="150" t="inlineStr">
        <is>
          <t>22.23-0-2-ERW 1-PE-5.1</t>
        </is>
      </c>
      <c r="P21" s="19" t="n">
        <v>20</v>
      </c>
      <c r="Q21" s="147" t="n">
        <v>0</v>
      </c>
      <c r="R21" s="147" t="n">
        <v>0</v>
      </c>
      <c r="S21" s="147" t="n">
        <v>0</v>
      </c>
      <c r="T21" s="147">
        <f>R21-Q21</f>
        <v/>
      </c>
      <c r="U21" s="147" t="n">
        <v>0</v>
      </c>
      <c r="V21" s="147">
        <f>U21+T21+S21</f>
        <v/>
      </c>
      <c r="W21" s="19">
        <f>P21*1.5-V21</f>
        <v/>
      </c>
      <c r="X21" s="167">
        <f>IF(W21&gt;0,W21,0)</f>
        <v/>
      </c>
      <c r="Y21" s="167">
        <f>X21+U21</f>
        <v/>
      </c>
      <c r="Z21" s="185">
        <f>SUMIFS(meghsteelsales_previousmonth[Quantity],meghsteelsales_previousmonth[Length Bucket],O21)/1000</f>
        <v/>
      </c>
      <c r="AA21" s="185">
        <f>SUMIFS(meghsteelsales_currentmonth[Quantity],meghsteelsales_currentmonth[Length Bucket],O21)/1000</f>
        <v/>
      </c>
      <c r="AB21" s="185">
        <f>IF((Z21+AA21-Y21)&lt;0,(Z21+AA21-Y21),"")</f>
        <v/>
      </c>
    </row>
    <row r="22">
      <c r="A22" s="147" t="inlineStr">
        <is>
          <t>TVS</t>
        </is>
      </c>
      <c r="B22" s="147" t="inlineStr">
        <is>
          <t>RUCHA</t>
        </is>
      </c>
      <c r="C22" s="147" t="inlineStr">
        <is>
          <t>ERW2</t>
        </is>
      </c>
      <c r="D22" s="147" t="inlineStr">
        <is>
          <t>FIN CUT</t>
        </is>
      </c>
      <c r="E22" s="147" t="inlineStr">
        <is>
          <t>HST</t>
        </is>
      </c>
      <c r="F22" s="148" t="n">
        <v>22.2</v>
      </c>
      <c r="G22" s="148" t="n"/>
      <c r="H22" s="148" t="n">
        <v>2</v>
      </c>
      <c r="I22" s="147" t="n">
        <v>6000</v>
      </c>
      <c r="J22" s="147" t="n">
        <v>6000</v>
      </c>
      <c r="K22" s="147" t="inlineStr">
        <is>
          <t>22.226.15HST</t>
        </is>
      </c>
      <c r="L22" s="151" t="inlineStr">
        <is>
          <t>056</t>
        </is>
      </c>
      <c r="M22" s="150" t="n">
        <v>3502494</v>
      </c>
      <c r="N22" s="150" t="inlineStr">
        <is>
          <t>22.23-0-2-ERW 2 MAHS-FC</t>
        </is>
      </c>
      <c r="O22" s="150" t="inlineStr">
        <is>
          <t>22.23-0-2-ERW 2 MAHS-FC-6.001</t>
        </is>
      </c>
      <c r="P22" s="19" t="n">
        <v>50</v>
      </c>
      <c r="Q22" s="147" t="n">
        <v>0</v>
      </c>
      <c r="R22" s="147" t="n">
        <v>0</v>
      </c>
      <c r="S22" s="147" t="n">
        <v>0</v>
      </c>
      <c r="T22" s="147">
        <f>R22-Q22</f>
        <v/>
      </c>
      <c r="U22" s="147" t="n">
        <v>0</v>
      </c>
      <c r="V22" s="147">
        <f>U22+T22+S22</f>
        <v/>
      </c>
      <c r="W22" s="19">
        <f>P22*1.5-V22</f>
        <v/>
      </c>
      <c r="X22" s="167">
        <f>IF(W22&gt;0,W22,0)</f>
        <v/>
      </c>
      <c r="Y22" s="167">
        <f>X22+U22</f>
        <v/>
      </c>
      <c r="Z22" s="185">
        <f>SUMIFS(meghsteelsales_previousmonth[Quantity],meghsteelsales_previousmonth[Length Bucket],O22)/1000</f>
        <v/>
      </c>
      <c r="AA22" s="185">
        <f>SUMIFS(meghsteelsales_currentmonth[Quantity],meghsteelsales_currentmonth[Length Bucket],O22)/1000</f>
        <v/>
      </c>
      <c r="AB22" s="185">
        <f>IF((Z22+AA22-Y22)&lt;0,(Z22+AA22-Y22),"")</f>
        <v/>
      </c>
    </row>
    <row r="23">
      <c r="A23" s="147" t="inlineStr">
        <is>
          <t>HMSI</t>
        </is>
      </c>
      <c r="B23" s="147" t="inlineStr">
        <is>
          <t>BADVE</t>
        </is>
      </c>
      <c r="C23" s="147" t="inlineStr">
        <is>
          <t>CR ERW 1</t>
        </is>
      </c>
      <c r="D23" s="147" t="inlineStr">
        <is>
          <t>FIN CUT</t>
        </is>
      </c>
      <c r="E23" s="147" t="inlineStr">
        <is>
          <t xml:space="preserve">CR ERW </t>
        </is>
      </c>
      <c r="F23" s="148" t="n">
        <v>22.2</v>
      </c>
      <c r="G23" s="148" t="n"/>
      <c r="H23" s="148" t="n">
        <v>2</v>
      </c>
      <c r="I23" s="147" t="n">
        <v>5390</v>
      </c>
      <c r="J23" s="147" t="n">
        <v>5.39</v>
      </c>
      <c r="K23" s="147" t="inlineStr">
        <is>
          <t xml:space="preserve">22.225.39CR ERW </t>
        </is>
      </c>
      <c r="L23" s="151" t="inlineStr">
        <is>
          <t>056</t>
        </is>
      </c>
      <c r="M23" s="149" t="n">
        <v>3568328</v>
      </c>
      <c r="N23" s="150" t="inlineStr">
        <is>
          <t>22.23-0-2-ERW 1-FC</t>
        </is>
      </c>
      <c r="O23" s="150" t="inlineStr">
        <is>
          <t>22.23-0-2-ERW 1-PE-5.39</t>
        </is>
      </c>
      <c r="P23" s="19" t="n">
        <v>20</v>
      </c>
      <c r="Q23" s="147" t="n">
        <v>15</v>
      </c>
      <c r="R23" s="147" t="n">
        <v>0</v>
      </c>
      <c r="S23" s="147" t="n">
        <v>6</v>
      </c>
      <c r="T23" s="147">
        <f>R23-Q23</f>
        <v/>
      </c>
      <c r="U23" s="147" t="n">
        <v>33</v>
      </c>
      <c r="V23" s="147">
        <f>U23+T23+S23</f>
        <v/>
      </c>
      <c r="W23" s="19">
        <f>P23*1.5-V23</f>
        <v/>
      </c>
      <c r="X23" s="167">
        <f>IF(W23&gt;0,W23,0)</f>
        <v/>
      </c>
      <c r="Y23" s="167">
        <f>X23+U23</f>
        <v/>
      </c>
      <c r="Z23" s="185">
        <f>SUMIFS(meghsteelsales_previousmonth[Quantity],meghsteelsales_previousmonth[Length Bucket],O23)/1000</f>
        <v/>
      </c>
      <c r="AA23" s="185">
        <f>SUMIFS(meghsteelsales_currentmonth[Quantity],meghsteelsales_currentmonth[Length Bucket],O23)/1000</f>
        <v/>
      </c>
      <c r="AB23" s="185">
        <f>IF((Z23+AA23-Y23)&lt;0,(Z23+AA23-Y23),"")</f>
        <v/>
      </c>
    </row>
    <row r="24">
      <c r="A24" s="147" t="inlineStr">
        <is>
          <t>HMSI</t>
        </is>
      </c>
      <c r="B24" s="147" t="inlineStr">
        <is>
          <t>BADVE</t>
        </is>
      </c>
      <c r="C24" s="153" t="inlineStr">
        <is>
          <t>ERW2</t>
        </is>
      </c>
      <c r="D24" s="147" t="inlineStr">
        <is>
          <t>FIN CUT</t>
        </is>
      </c>
      <c r="E24" s="147" t="inlineStr">
        <is>
          <t>HST</t>
        </is>
      </c>
      <c r="F24" s="148" t="n">
        <v>25.4</v>
      </c>
      <c r="G24" s="148" t="n"/>
      <c r="H24" s="148" t="n">
        <v>1.4</v>
      </c>
      <c r="I24" s="147" t="n">
        <v>5531</v>
      </c>
      <c r="J24" s="147" t="n">
        <v>5.531</v>
      </c>
      <c r="K24" s="147" t="inlineStr">
        <is>
          <t>25.41.45.531HST</t>
        </is>
      </c>
      <c r="L24" s="151" t="inlineStr">
        <is>
          <t>056</t>
        </is>
      </c>
      <c r="M24" s="150" t="n">
        <v>3501900</v>
      </c>
      <c r="N24" s="150" t="inlineStr">
        <is>
          <t>No Key</t>
        </is>
      </c>
      <c r="O24" s="150" t="inlineStr">
        <is>
          <t>No Key</t>
        </is>
      </c>
      <c r="P24" s="19" t="n">
        <v>10</v>
      </c>
      <c r="Q24" s="147" t="n">
        <v>2</v>
      </c>
      <c r="R24" s="147" t="n">
        <v>25</v>
      </c>
      <c r="S24" s="147" t="n">
        <v>0</v>
      </c>
      <c r="T24" s="147">
        <f>R24-Q24</f>
        <v/>
      </c>
      <c r="U24" s="147" t="n"/>
      <c r="V24" s="147">
        <f>U24+T24+S24</f>
        <v/>
      </c>
      <c r="W24" s="19">
        <f>P24*1.5-V24</f>
        <v/>
      </c>
      <c r="X24" s="167">
        <f>IF(W24&gt;0,W24,0)</f>
        <v/>
      </c>
      <c r="Y24" s="167">
        <f>X24+U24</f>
        <v/>
      </c>
      <c r="Z24" s="185">
        <f>SUMIFS(meghsteelsales_previousmonth[Quantity],meghsteelsales_previousmonth[Length Bucket],O24)/1000</f>
        <v/>
      </c>
      <c r="AA24" s="185">
        <f>SUMIFS(meghsteelsales_currentmonth[Quantity],meghsteelsales_currentmonth[Length Bucket],O24)/1000</f>
        <v/>
      </c>
      <c r="AB24" s="185">
        <f>IF((Z24+AA24-Y24)&lt;0,(Z24+AA24-Y24),"")</f>
        <v/>
      </c>
    </row>
    <row r="25">
      <c r="A25" s="147" t="inlineStr">
        <is>
          <t>HMSI</t>
        </is>
      </c>
      <c r="B25" s="147" t="inlineStr">
        <is>
          <t>BADVE</t>
        </is>
      </c>
      <c r="C25" s="153" t="inlineStr">
        <is>
          <t>ERW1</t>
        </is>
      </c>
      <c r="D25" s="147" t="inlineStr">
        <is>
          <t>FIN CUT</t>
        </is>
      </c>
      <c r="E25" s="147" t="inlineStr">
        <is>
          <t>ERW</t>
        </is>
      </c>
      <c r="F25" s="148" t="n">
        <v>25.4</v>
      </c>
      <c r="G25" s="148" t="n"/>
      <c r="H25" s="148" t="n">
        <v>1.4</v>
      </c>
      <c r="I25" s="147" t="n">
        <v>6060</v>
      </c>
      <c r="J25" s="147" t="n">
        <v>6.06</v>
      </c>
      <c r="K25" s="147" t="inlineStr">
        <is>
          <t>25.41.46.06ERW</t>
        </is>
      </c>
      <c r="L25" s="151" t="n"/>
      <c r="M25" s="149" t="n">
        <v>3557792</v>
      </c>
      <c r="N25" s="150" t="inlineStr">
        <is>
          <t>No Key</t>
        </is>
      </c>
      <c r="O25" s="150" t="inlineStr">
        <is>
          <t>No Key</t>
        </is>
      </c>
      <c r="P25" s="19" t="n">
        <v>0</v>
      </c>
      <c r="Q25" s="147" t="n">
        <v>1</v>
      </c>
      <c r="R25" s="147" t="n">
        <v>22</v>
      </c>
      <c r="S25" s="147" t="n">
        <v>0</v>
      </c>
      <c r="T25" s="147">
        <f>R25-Q25</f>
        <v/>
      </c>
      <c r="U25" s="147" t="n"/>
      <c r="V25" s="147">
        <f>U25+T25+S25</f>
        <v/>
      </c>
      <c r="W25" s="19">
        <f>P25*1.5-V25</f>
        <v/>
      </c>
      <c r="X25" s="167">
        <f>IF(W25&gt;0,W25,0)</f>
        <v/>
      </c>
      <c r="Y25" s="167">
        <f>X25+U25</f>
        <v/>
      </c>
      <c r="Z25" s="185">
        <f>SUMIFS(meghsteelsales_previousmonth[Quantity],meghsteelsales_previousmonth[Length Bucket],O25)/1000</f>
        <v/>
      </c>
      <c r="AA25" s="185">
        <f>SUMIFS(meghsteelsales_currentmonth[Quantity],meghsteelsales_currentmonth[Length Bucket],O25)/1000</f>
        <v/>
      </c>
      <c r="AB25" s="185">
        <f>IF((Z25+AA25-Y25)&lt;0,(Z25+AA25-Y25),"")</f>
        <v/>
      </c>
    </row>
    <row r="26">
      <c r="A26" s="147" t="inlineStr">
        <is>
          <t>TVS</t>
        </is>
      </c>
      <c r="B26" s="147" t="inlineStr">
        <is>
          <t>RUCHA</t>
        </is>
      </c>
      <c r="C26" s="153" t="inlineStr">
        <is>
          <t>ERW1</t>
        </is>
      </c>
      <c r="D26" s="147" t="inlineStr">
        <is>
          <t>NON FIN</t>
        </is>
      </c>
      <c r="E26" s="147" t="inlineStr">
        <is>
          <t>ERW</t>
        </is>
      </c>
      <c r="F26" s="148" t="n">
        <v>25.4</v>
      </c>
      <c r="G26" s="148" t="n"/>
      <c r="H26" s="148" t="n">
        <v>1.6</v>
      </c>
      <c r="I26" s="147" t="n">
        <v>6000</v>
      </c>
      <c r="J26" s="147" t="n">
        <v>6</v>
      </c>
      <c r="K26" s="147" t="inlineStr">
        <is>
          <t>25.41.66ERW</t>
        </is>
      </c>
      <c r="L26" s="151" t="inlineStr">
        <is>
          <t>056</t>
        </is>
      </c>
      <c r="M26" s="150" t="n">
        <v>3500097</v>
      </c>
      <c r="N26" s="150" t="inlineStr">
        <is>
          <t>25.4-0-1.6-ERW 1-PE</t>
        </is>
      </c>
      <c r="O26" s="150" t="inlineStr">
        <is>
          <t>25.4-0-1.6-ERW 1-PE-6</t>
        </is>
      </c>
      <c r="P26" s="19" t="n">
        <v>25</v>
      </c>
      <c r="Q26" s="147" t="n">
        <v>3</v>
      </c>
      <c r="R26" s="147" t="n">
        <v>30</v>
      </c>
      <c r="S26" s="147" t="n">
        <v>0</v>
      </c>
      <c r="T26" s="147">
        <f>R26-Q26</f>
        <v/>
      </c>
      <c r="U26" s="147" t="n"/>
      <c r="V26" s="147">
        <f>U26+T26+S26</f>
        <v/>
      </c>
      <c r="W26" s="19">
        <f>P26*1.5-V26</f>
        <v/>
      </c>
      <c r="X26" s="167">
        <f>IF(W26&gt;0,W26,0)</f>
        <v/>
      </c>
      <c r="Y26" s="167">
        <f>X26+U26</f>
        <v/>
      </c>
      <c r="Z26" s="185">
        <f>SUMIFS(meghsteelsales_previousmonth[Quantity],meghsteelsales_previousmonth[Length Bucket],O26)/1000</f>
        <v/>
      </c>
      <c r="AA26" s="185">
        <f>SUMIFS(meghsteelsales_currentmonth[Quantity],meghsteelsales_currentmonth[Length Bucket],O26)/1000</f>
        <v/>
      </c>
      <c r="AB26" s="185">
        <f>IF((Z26+AA26-Y26)&lt;0,(Z26+AA26-Y26),"")</f>
        <v/>
      </c>
    </row>
    <row r="27">
      <c r="A27" s="147" t="inlineStr">
        <is>
          <t>TVS</t>
        </is>
      </c>
      <c r="B27" s="147" t="inlineStr">
        <is>
          <t>RUCHA</t>
        </is>
      </c>
      <c r="C27" s="153" t="inlineStr">
        <is>
          <t>ERW1</t>
        </is>
      </c>
      <c r="D27" s="147" t="inlineStr">
        <is>
          <t>NON FIN</t>
        </is>
      </c>
      <c r="E27" s="147" t="inlineStr">
        <is>
          <t>ERW</t>
        </is>
      </c>
      <c r="F27" s="148" t="n">
        <v>25.4</v>
      </c>
      <c r="G27" s="148" t="n"/>
      <c r="H27" s="148" t="n">
        <v>2</v>
      </c>
      <c r="I27" s="147" t="n">
        <v>5840</v>
      </c>
      <c r="J27" s="147" t="n">
        <v>5.82</v>
      </c>
      <c r="K27" s="147" t="inlineStr">
        <is>
          <t>25.425.82ERW</t>
        </is>
      </c>
      <c r="L27" s="151" t="inlineStr">
        <is>
          <t>056</t>
        </is>
      </c>
      <c r="M27" s="149" t="n">
        <v>3240023</v>
      </c>
      <c r="N27" s="150" t="inlineStr">
        <is>
          <t>25.4-0-2-ERW 1-PE</t>
        </is>
      </c>
      <c r="O27" s="150" t="inlineStr">
        <is>
          <t>25.4-0-2-ERW 1-PE-5.82</t>
        </is>
      </c>
      <c r="P27" s="19" t="n">
        <v>10</v>
      </c>
      <c r="Q27" s="147" t="n">
        <v>3</v>
      </c>
      <c r="R27" s="147" t="n">
        <v>0</v>
      </c>
      <c r="S27" s="147" t="n">
        <v>0</v>
      </c>
      <c r="T27" s="147">
        <f>R27-Q27</f>
        <v/>
      </c>
      <c r="U27" s="147" t="n"/>
      <c r="V27" s="147">
        <f>U27+T27+S27</f>
        <v/>
      </c>
      <c r="W27" s="19">
        <f>P27*1.5-V27</f>
        <v/>
      </c>
      <c r="X27" s="167">
        <f>IF(W27&gt;0,W27,0)</f>
        <v/>
      </c>
      <c r="Y27" s="167">
        <f>X27+U27</f>
        <v/>
      </c>
      <c r="Z27" s="185">
        <f>SUMIFS(meghsteelsales_previousmonth[Quantity],meghsteelsales_previousmonth[Length Bucket],O27)/1000</f>
        <v/>
      </c>
      <c r="AA27" s="185">
        <f>SUMIFS(meghsteelsales_currentmonth[Quantity],meghsteelsales_currentmonth[Length Bucket],O27)/1000</f>
        <v/>
      </c>
      <c r="AB27" s="185">
        <f>IF((Z27+AA27-Y27)&lt;0,(Z27+AA27-Y27),"")</f>
        <v/>
      </c>
    </row>
    <row r="28">
      <c r="A28" s="147" t="inlineStr">
        <is>
          <t>TVS</t>
        </is>
      </c>
      <c r="B28" s="147" t="inlineStr">
        <is>
          <t>RUCHA</t>
        </is>
      </c>
      <c r="C28" s="153" t="inlineStr">
        <is>
          <t>ERW1</t>
        </is>
      </c>
      <c r="D28" s="147" t="inlineStr">
        <is>
          <t>NON FIN</t>
        </is>
      </c>
      <c r="E28" s="147" t="inlineStr">
        <is>
          <t>ERW</t>
        </is>
      </c>
      <c r="F28" s="148" t="n">
        <v>25.4</v>
      </c>
      <c r="G28" s="148" t="n"/>
      <c r="H28" s="148" t="n">
        <v>2.5</v>
      </c>
      <c r="I28" s="147" t="n">
        <v>5530</v>
      </c>
      <c r="J28" s="147" t="n">
        <v>5.53</v>
      </c>
      <c r="K28" s="147" t="inlineStr">
        <is>
          <t>25.42.55.53ERW</t>
        </is>
      </c>
      <c r="L28" s="151" t="inlineStr">
        <is>
          <t>056</t>
        </is>
      </c>
      <c r="M28" s="150" t="n">
        <v>3502256</v>
      </c>
      <c r="N28" s="150" t="inlineStr">
        <is>
          <t>25.4-0-2.5-ERW 1-PE</t>
        </is>
      </c>
      <c r="O28" s="150" t="inlineStr">
        <is>
          <t>25.4-0-2.5-ERW 1-PE-5.53</t>
        </is>
      </c>
      <c r="P28" s="19" t="n">
        <v>50</v>
      </c>
      <c r="Q28" s="147" t="n">
        <v>10</v>
      </c>
      <c r="R28" s="147" t="n">
        <v>10</v>
      </c>
      <c r="S28" s="147" t="n">
        <v>0</v>
      </c>
      <c r="T28" s="147">
        <f>R28-Q28</f>
        <v/>
      </c>
      <c r="U28" s="147" t="n">
        <v>17</v>
      </c>
      <c r="V28" s="147">
        <f>U28+T28+S28</f>
        <v/>
      </c>
      <c r="W28" s="19">
        <f>P28*1.5-V28</f>
        <v/>
      </c>
      <c r="X28" s="167">
        <f>IF(W28&gt;0,W28,0)</f>
        <v/>
      </c>
      <c r="Y28" s="167">
        <f>X28+U28</f>
        <v/>
      </c>
      <c r="Z28" s="185">
        <f>SUMIFS(meghsteelsales_previousmonth[Quantity],meghsteelsales_previousmonth[Length Bucket],O28)/1000</f>
        <v/>
      </c>
      <c r="AA28" s="185">
        <f>SUMIFS(meghsteelsales_currentmonth[Quantity],meghsteelsales_currentmonth[Length Bucket],O28)/1000</f>
        <v/>
      </c>
      <c r="AB28" s="185">
        <f>IF((Z28+AA28-Y28)&lt;0,(Z28+AA28-Y28),"")</f>
        <v/>
      </c>
    </row>
    <row r="29">
      <c r="A29" s="147" t="inlineStr">
        <is>
          <t>RE</t>
        </is>
      </c>
      <c r="B29" s="147" t="inlineStr">
        <is>
          <t>KUNAL</t>
        </is>
      </c>
      <c r="C29" s="155" t="inlineStr">
        <is>
          <t>CEW1</t>
        </is>
      </c>
      <c r="D29" s="147" t="inlineStr">
        <is>
          <t>FIN CUT</t>
        </is>
      </c>
      <c r="E29" s="147" t="inlineStr">
        <is>
          <t>CEW</t>
        </is>
      </c>
      <c r="F29" s="154" t="n">
        <v>25.4</v>
      </c>
      <c r="G29" s="154" t="n"/>
      <c r="H29" s="154" t="n">
        <v>2.6</v>
      </c>
      <c r="I29" s="155" t="n">
        <v>6000</v>
      </c>
      <c r="J29" s="147" t="n">
        <v>6</v>
      </c>
      <c r="K29" s="147" t="inlineStr">
        <is>
          <t>25.42.66CEW</t>
        </is>
      </c>
      <c r="L29" s="151" t="inlineStr">
        <is>
          <t>056</t>
        </is>
      </c>
      <c r="M29" s="150" t="n">
        <v>3441355</v>
      </c>
      <c r="N29" s="150" t="inlineStr">
        <is>
          <t>No Key</t>
        </is>
      </c>
      <c r="O29" s="150" t="inlineStr">
        <is>
          <t>No Key</t>
        </is>
      </c>
      <c r="P29" s="19" t="n">
        <v>0</v>
      </c>
      <c r="Q29" s="147" t="n">
        <v>0</v>
      </c>
      <c r="R29" s="147" t="n">
        <v>2.5</v>
      </c>
      <c r="S29" s="147" t="n">
        <v>0</v>
      </c>
      <c r="T29" s="147">
        <f>R29-Q29</f>
        <v/>
      </c>
      <c r="U29" s="147" t="n"/>
      <c r="V29" s="147">
        <f>U29+T29+S29</f>
        <v/>
      </c>
      <c r="W29" s="19">
        <f>P29*1.5-V29</f>
        <v/>
      </c>
      <c r="X29" s="167">
        <f>IF(W29&gt;0,W29,0)</f>
        <v/>
      </c>
      <c r="Y29" s="167">
        <f>X29+U29</f>
        <v/>
      </c>
      <c r="Z29" s="185">
        <f>SUMIFS(meghsteelsales_previousmonth[Quantity],meghsteelsales_previousmonth[Length Bucket],O29)/1000</f>
        <v/>
      </c>
      <c r="AA29" s="185">
        <f>SUMIFS(meghsteelsales_currentmonth[Quantity],meghsteelsales_currentmonth[Length Bucket],O29)/1000</f>
        <v/>
      </c>
      <c r="AB29" s="185">
        <f>IF((Z29+AA29-Y29)&lt;0,(Z29+AA29-Y29),"")</f>
        <v/>
      </c>
    </row>
    <row r="30">
      <c r="A30" s="147" t="inlineStr">
        <is>
          <t>TVS</t>
        </is>
      </c>
      <c r="B30" s="147" t="inlineStr">
        <is>
          <t>RUCHA</t>
        </is>
      </c>
      <c r="C30" s="155" t="inlineStr">
        <is>
          <t>CEW1</t>
        </is>
      </c>
      <c r="D30" s="147" t="inlineStr">
        <is>
          <t>FIN CUT</t>
        </is>
      </c>
      <c r="E30" s="147" t="inlineStr">
        <is>
          <t>CEW</t>
        </is>
      </c>
      <c r="F30" s="154" t="n">
        <v>25.4</v>
      </c>
      <c r="G30" s="154" t="n"/>
      <c r="H30" s="154" t="n">
        <v>4</v>
      </c>
      <c r="I30" s="155" t="n">
        <v>6000</v>
      </c>
      <c r="J30" s="147" t="n">
        <v>6</v>
      </c>
      <c r="K30" s="147" t="inlineStr">
        <is>
          <t>25.446CEW</t>
        </is>
      </c>
      <c r="L30" s="151" t="inlineStr">
        <is>
          <t>056</t>
        </is>
      </c>
      <c r="M30" s="150" t="n">
        <v>2432009</v>
      </c>
      <c r="N30" s="150" t="inlineStr">
        <is>
          <t>No Key</t>
        </is>
      </c>
      <c r="O30" s="150" t="inlineStr">
        <is>
          <t>No Key</t>
        </is>
      </c>
      <c r="P30" s="19" t="n">
        <v>0</v>
      </c>
      <c r="Q30" s="147" t="n">
        <v>0</v>
      </c>
      <c r="R30" s="147" t="n">
        <v>0</v>
      </c>
      <c r="S30" s="147" t="n">
        <v>0</v>
      </c>
      <c r="T30" s="147">
        <f>R30-Q30</f>
        <v/>
      </c>
      <c r="U30" s="147" t="n"/>
      <c r="V30" s="147">
        <f>U30+T30+S30</f>
        <v/>
      </c>
      <c r="W30" s="19">
        <f>P30*1.5-V30</f>
        <v/>
      </c>
      <c r="X30" s="167">
        <f>IF(W30&gt;0,W30,0)</f>
        <v/>
      </c>
      <c r="Y30" s="167">
        <f>X30+U30</f>
        <v/>
      </c>
      <c r="Z30" s="185">
        <f>SUMIFS(meghsteelsales_previousmonth[Quantity],meghsteelsales_previousmonth[Length Bucket],O30)/1000</f>
        <v/>
      </c>
      <c r="AA30" s="185">
        <f>SUMIFS(meghsteelsales_currentmonth[Quantity],meghsteelsales_currentmonth[Length Bucket],O30)/1000</f>
        <v/>
      </c>
      <c r="AB30" s="185">
        <f>IF((Z30+AA30-Y30)&lt;0,(Z30+AA30-Y30),"")</f>
        <v/>
      </c>
    </row>
    <row r="31">
      <c r="A31" s="147" t="inlineStr">
        <is>
          <t>TVS</t>
        </is>
      </c>
      <c r="B31" s="147" t="inlineStr">
        <is>
          <t>RUCHA,METALMAN</t>
        </is>
      </c>
      <c r="C31" s="153" t="inlineStr">
        <is>
          <t>ERW1</t>
        </is>
      </c>
      <c r="D31" s="147" t="inlineStr">
        <is>
          <t>FIN CUT</t>
        </is>
      </c>
      <c r="E31" s="147" t="inlineStr">
        <is>
          <t>ERW</t>
        </is>
      </c>
      <c r="F31" s="148" t="n">
        <v>28.6</v>
      </c>
      <c r="G31" s="148" t="n"/>
      <c r="H31" s="148" t="n">
        <v>1.2</v>
      </c>
      <c r="I31" s="147" t="n">
        <v>6000</v>
      </c>
      <c r="J31" s="147" t="n">
        <v>6</v>
      </c>
      <c r="K31" s="147" t="inlineStr">
        <is>
          <t>28.61.26ERW</t>
        </is>
      </c>
      <c r="L31" s="158" t="inlineStr">
        <is>
          <t>0789</t>
        </is>
      </c>
      <c r="M31" s="150" t="n">
        <v>1940616</v>
      </c>
      <c r="N31" s="150" t="e">
        <v>#N/A</v>
      </c>
      <c r="O31" s="150" t="e">
        <v>#N/A</v>
      </c>
      <c r="P31" s="19" t="n">
        <v>3</v>
      </c>
      <c r="Q31" s="147" t="n">
        <v>0</v>
      </c>
      <c r="R31" s="147" t="n">
        <v>0</v>
      </c>
      <c r="S31" s="147" t="n">
        <v>0</v>
      </c>
      <c r="T31" s="147">
        <f>R31-Q31</f>
        <v/>
      </c>
      <c r="U31" s="147" t="n"/>
      <c r="V31" s="147">
        <f>U31+T31+S31</f>
        <v/>
      </c>
      <c r="W31" s="19">
        <f>P31*1.5-V31</f>
        <v/>
      </c>
      <c r="X31" s="167">
        <f>IF(W31&gt;0,W31,0)</f>
        <v/>
      </c>
      <c r="Y31" s="167">
        <f>X31+U31</f>
        <v/>
      </c>
      <c r="Z31" s="185">
        <f>SUMIFS(meghsteelsales_previousmonth[Quantity],meghsteelsales_previousmonth[Length Bucket],O31)/1000</f>
        <v/>
      </c>
      <c r="AA31" s="185">
        <f>SUMIFS(meghsteelsales_currentmonth[Quantity],meghsteelsales_currentmonth[Length Bucket],O31)/1000</f>
        <v/>
      </c>
      <c r="AB31" s="185">
        <f>IF((Z31+AA31-Y31)&lt;0,(Z31+AA31-Y31),"")</f>
        <v/>
      </c>
    </row>
    <row r="32">
      <c r="A32" s="147" t="inlineStr">
        <is>
          <t>TVS</t>
        </is>
      </c>
      <c r="B32" s="147" t="inlineStr">
        <is>
          <t>RUCHA</t>
        </is>
      </c>
      <c r="C32" s="159" t="inlineStr">
        <is>
          <t>CEW1</t>
        </is>
      </c>
      <c r="D32" s="147" t="inlineStr">
        <is>
          <t>FIN CUT</t>
        </is>
      </c>
      <c r="E32" s="147" t="inlineStr">
        <is>
          <t>CEW</t>
        </is>
      </c>
      <c r="F32" s="168" t="n">
        <v>28.6</v>
      </c>
      <c r="G32" s="168" t="n"/>
      <c r="H32" s="168" t="n">
        <v>2.65</v>
      </c>
      <c r="I32" s="169" t="n">
        <v>6000</v>
      </c>
      <c r="J32" s="147" t="n">
        <v>6</v>
      </c>
      <c r="K32" s="147" t="inlineStr">
        <is>
          <t>28.62.656CEW</t>
        </is>
      </c>
      <c r="L32" s="151" t="inlineStr">
        <is>
          <t>0788</t>
        </is>
      </c>
      <c r="M32" s="150" t="n">
        <v>2410388</v>
      </c>
      <c r="N32" s="150" t="inlineStr">
        <is>
          <t>No Key</t>
        </is>
      </c>
      <c r="O32" s="150" t="inlineStr">
        <is>
          <t>No Key</t>
        </is>
      </c>
      <c r="P32" s="19" t="n">
        <v>10</v>
      </c>
      <c r="Q32" s="147" t="n">
        <v>0</v>
      </c>
      <c r="R32" s="147" t="n">
        <v>32</v>
      </c>
      <c r="S32" s="147" t="n">
        <v>0</v>
      </c>
      <c r="T32" s="147">
        <f>R32-Q32</f>
        <v/>
      </c>
      <c r="U32" s="147" t="n">
        <v>7</v>
      </c>
      <c r="V32" s="147">
        <f>U32+T32+S32</f>
        <v/>
      </c>
      <c r="W32" s="19">
        <f>P32*1.5-V32</f>
        <v/>
      </c>
      <c r="X32" s="167">
        <f>IF(W32&gt;0,W32,0)</f>
        <v/>
      </c>
      <c r="Y32" s="167">
        <f>X32+U32</f>
        <v/>
      </c>
      <c r="Z32" s="185">
        <f>SUMIFS(meghsteelsales_previousmonth[Quantity],meghsteelsales_previousmonth[Length Bucket],O32)/1000</f>
        <v/>
      </c>
      <c r="AA32" s="185">
        <f>SUMIFS(meghsteelsales_currentmonth[Quantity],meghsteelsales_currentmonth[Length Bucket],O32)/1000</f>
        <v/>
      </c>
      <c r="AB32" s="185">
        <f>IF((Z32+AA32-Y32)&lt;0,(Z32+AA32-Y32),"")</f>
        <v/>
      </c>
    </row>
    <row r="33">
      <c r="A33" s="147" t="inlineStr">
        <is>
          <t>TVS</t>
        </is>
      </c>
      <c r="B33" s="147" t="inlineStr">
        <is>
          <t>RUCHA,METALMAN</t>
        </is>
      </c>
      <c r="C33" s="153" t="inlineStr">
        <is>
          <t>ERW1</t>
        </is>
      </c>
      <c r="D33" s="147" t="inlineStr">
        <is>
          <t>FIN CUT</t>
        </is>
      </c>
      <c r="E33" s="147" t="inlineStr">
        <is>
          <t>ERW</t>
        </is>
      </c>
      <c r="F33" s="148" t="n">
        <v>31.75</v>
      </c>
      <c r="G33" s="148" t="n"/>
      <c r="H33" s="148" t="n">
        <v>1.2</v>
      </c>
      <c r="I33" s="147" t="n">
        <v>6000</v>
      </c>
      <c r="J33" s="147" t="n">
        <v>6</v>
      </c>
      <c r="K33" s="147" t="inlineStr">
        <is>
          <t>31.751.26ERW</t>
        </is>
      </c>
      <c r="L33" s="151" t="inlineStr">
        <is>
          <t>056</t>
        </is>
      </c>
      <c r="M33" s="150" t="n">
        <v>3884381</v>
      </c>
      <c r="N33" s="150" t="inlineStr">
        <is>
          <t>31.75-0-1.2-ERW 1-PE</t>
        </is>
      </c>
      <c r="O33" s="150" t="inlineStr">
        <is>
          <t>31.75-0-1.2-ERW 1-PE-6</t>
        </is>
      </c>
      <c r="P33" s="19" t="n">
        <v>3</v>
      </c>
      <c r="Q33" s="147" t="n">
        <v>0</v>
      </c>
      <c r="R33" s="147" t="n">
        <v>0</v>
      </c>
      <c r="S33" s="147" t="n">
        <v>0</v>
      </c>
      <c r="T33" s="147">
        <f>R33-Q33</f>
        <v/>
      </c>
      <c r="U33" s="147" t="n">
        <v>1.5</v>
      </c>
      <c r="V33" s="147">
        <f>U33+T33+S33</f>
        <v/>
      </c>
      <c r="W33" s="19">
        <f>P33*1.5-V33</f>
        <v/>
      </c>
      <c r="X33" s="167">
        <f>IF(W33&gt;0,W33,0)</f>
        <v/>
      </c>
      <c r="Y33" s="167">
        <f>X33+U33</f>
        <v/>
      </c>
      <c r="Z33" s="185">
        <f>SUMIFS(meghsteelsales_previousmonth[Quantity],meghsteelsales_previousmonth[Length Bucket],O33)/1000</f>
        <v/>
      </c>
      <c r="AA33" s="185">
        <f>SUMIFS(meghsteelsales_currentmonth[Quantity],meghsteelsales_currentmonth[Length Bucket],O33)/1000</f>
        <v/>
      </c>
      <c r="AB33" s="185">
        <f>IF((Z33+AA33-Y33)&lt;0,(Z33+AA33-Y33),"")</f>
        <v/>
      </c>
    </row>
    <row r="34">
      <c r="A34" s="147" t="inlineStr">
        <is>
          <t>TVS</t>
        </is>
      </c>
      <c r="B34" s="147" t="inlineStr">
        <is>
          <t>RUCHA</t>
        </is>
      </c>
      <c r="C34" s="153" t="inlineStr">
        <is>
          <t>ERW1</t>
        </is>
      </c>
      <c r="D34" s="147" t="inlineStr">
        <is>
          <t>FIN CUT</t>
        </is>
      </c>
      <c r="E34" s="147" t="inlineStr">
        <is>
          <t>ERW</t>
        </is>
      </c>
      <c r="F34" s="148" t="n">
        <v>31.75</v>
      </c>
      <c r="G34" s="148" t="n"/>
      <c r="H34" s="148" t="n">
        <v>2.3</v>
      </c>
      <c r="I34" s="147" t="n">
        <v>6000</v>
      </c>
      <c r="J34" s="147" t="n">
        <v>6</v>
      </c>
      <c r="K34" s="147" t="inlineStr">
        <is>
          <t>31.752.36ERW</t>
        </is>
      </c>
      <c r="L34" s="151" t="inlineStr">
        <is>
          <t>056</t>
        </is>
      </c>
      <c r="M34" s="150" t="n">
        <v>3500081</v>
      </c>
      <c r="N34" s="150" t="inlineStr">
        <is>
          <t>31.75--2.3-ERW 1-FIN CUT</t>
        </is>
      </c>
      <c r="O34" s="150" t="inlineStr">
        <is>
          <t>31.75--2.3-ERW 1-FIN CUT-6</t>
        </is>
      </c>
      <c r="P34" s="19" t="n">
        <v>13</v>
      </c>
      <c r="Q34" s="147" t="n">
        <v>5</v>
      </c>
      <c r="R34" s="147" t="n">
        <v>12</v>
      </c>
      <c r="S34" s="147" t="n">
        <v>0</v>
      </c>
      <c r="T34" s="147">
        <f>R34-Q34</f>
        <v/>
      </c>
      <c r="U34" s="147" t="n"/>
      <c r="V34" s="147">
        <f>U34+T34+S34</f>
        <v/>
      </c>
      <c r="W34" s="19">
        <f>P34*1.5-V34</f>
        <v/>
      </c>
      <c r="X34" s="167">
        <f>IF(W34&gt;0,W34,0)</f>
        <v/>
      </c>
      <c r="Y34" s="167">
        <f>X34+U34</f>
        <v/>
      </c>
      <c r="Z34" s="185">
        <f>SUMIFS(meghsteelsales_previousmonth[Quantity],meghsteelsales_previousmonth[Length Bucket],O34)/1000</f>
        <v/>
      </c>
      <c r="AA34" s="185">
        <f>SUMIFS(meghsteelsales_currentmonth[Quantity],meghsteelsales_currentmonth[Length Bucket],O34)/1000</f>
        <v/>
      </c>
      <c r="AB34" s="185">
        <f>IF((Z34+AA34-Y34)&lt;0,(Z34+AA34-Y34),"")</f>
        <v/>
      </c>
    </row>
    <row r="35">
      <c r="A35" s="147" t="n"/>
      <c r="B35" s="147" t="n"/>
      <c r="C35" s="153" t="inlineStr">
        <is>
          <t>ERW1</t>
        </is>
      </c>
      <c r="D35" s="147" t="inlineStr">
        <is>
          <t>FIN CUT</t>
        </is>
      </c>
      <c r="E35" s="147" t="inlineStr">
        <is>
          <t>ERW</t>
        </is>
      </c>
      <c r="F35" s="148" t="n">
        <v>31.75</v>
      </c>
      <c r="G35" s="148" t="n"/>
      <c r="H35" s="148" t="n">
        <v>3.65</v>
      </c>
      <c r="I35" s="147" t="n">
        <v>6000</v>
      </c>
      <c r="J35" s="147" t="n">
        <v>6</v>
      </c>
      <c r="K35" s="147" t="inlineStr">
        <is>
          <t>31.753.656ERW</t>
        </is>
      </c>
      <c r="L35" s="158" t="inlineStr">
        <is>
          <t>0789</t>
        </is>
      </c>
      <c r="M35" s="150" t="n">
        <v>3702203</v>
      </c>
      <c r="N35" s="150" t="inlineStr">
        <is>
          <t>31.75--3.65-ERW 1-FC</t>
        </is>
      </c>
      <c r="O35" s="150" t="inlineStr">
        <is>
          <t>31.75--3.65-ERW 1-FC-6</t>
        </is>
      </c>
      <c r="P35" s="19" t="n"/>
      <c r="Q35" s="147" t="n"/>
      <c r="R35" s="147" t="n"/>
      <c r="S35" s="147" t="n"/>
      <c r="T35" s="147" t="n"/>
      <c r="U35" s="147" t="n"/>
      <c r="V35" s="147" t="n"/>
      <c r="W35" s="19" t="n"/>
      <c r="X35" s="167" t="n"/>
      <c r="Y35" s="167" t="n"/>
      <c r="Z35" s="185" t="n"/>
      <c r="AA35" s="185">
        <f>SUMIFS(meghsteelsales_currentmonth[Quantity],meghsteelsales_currentmonth[Length Bucket],O35)/1000</f>
        <v/>
      </c>
      <c r="AB35" s="185">
        <f>IF((Z35+AA35-Y35)&lt;0,(Z35+AA35-Y35),"")</f>
        <v/>
      </c>
    </row>
    <row r="36">
      <c r="A36" s="147" t="n">
        <v>0</v>
      </c>
      <c r="B36" s="147" t="inlineStr">
        <is>
          <t>RUCHA,METALMAN</t>
        </is>
      </c>
      <c r="C36" s="153" t="inlineStr">
        <is>
          <t>ERW1</t>
        </is>
      </c>
      <c r="D36" s="147" t="inlineStr">
        <is>
          <t>FIN CUT</t>
        </is>
      </c>
      <c r="E36" s="147" t="inlineStr">
        <is>
          <t>ERW</t>
        </is>
      </c>
      <c r="F36" s="148" t="n">
        <v>34.93</v>
      </c>
      <c r="G36" s="148" t="n"/>
      <c r="H36" s="148" t="n">
        <v>1.2</v>
      </c>
      <c r="I36" s="147" t="n">
        <v>6000</v>
      </c>
      <c r="J36" s="147" t="n">
        <v>6</v>
      </c>
      <c r="K36" s="147" t="inlineStr">
        <is>
          <t>34.931.26ERW</t>
        </is>
      </c>
      <c r="L36" s="149" t="n"/>
      <c r="M36" s="150" t="n">
        <v>1940701</v>
      </c>
      <c r="N36" s="150" t="inlineStr">
        <is>
          <t>No Key</t>
        </is>
      </c>
      <c r="O36" s="150" t="inlineStr">
        <is>
          <t>No Key</t>
        </is>
      </c>
      <c r="P36" s="19" t="n">
        <v>3</v>
      </c>
      <c r="Q36" s="147" t="n">
        <v>1</v>
      </c>
      <c r="R36" s="147" t="n">
        <v>16</v>
      </c>
      <c r="S36" s="147" t="n">
        <v>0</v>
      </c>
      <c r="T36" s="147">
        <f>R36-Q36</f>
        <v/>
      </c>
      <c r="U36" s="147" t="n"/>
      <c r="V36" s="147">
        <f>U36+T36+S36</f>
        <v/>
      </c>
      <c r="W36" s="19">
        <f>P36*1.5-V36</f>
        <v/>
      </c>
      <c r="X36" s="167">
        <f>IF(W36&gt;0,W36,0)</f>
        <v/>
      </c>
      <c r="Y36" s="167">
        <f>X36+U36</f>
        <v/>
      </c>
      <c r="Z36" s="185">
        <f>SUMIFS(meghsteelsales_previousmonth[Quantity],meghsteelsales_previousmonth[Length Bucket],O36)/1000</f>
        <v/>
      </c>
      <c r="AA36" s="185">
        <f>SUMIFS(meghsteelsales_currentmonth[Quantity],meghsteelsales_currentmonth[Length Bucket],O36)/1000</f>
        <v/>
      </c>
      <c r="AB36" s="185">
        <f>IF((Z36+AA36-Y36)&lt;0,(Z36+AA36-Y36),"")</f>
        <v/>
      </c>
    </row>
    <row r="37">
      <c r="A37" s="147" t="inlineStr">
        <is>
          <t>RE</t>
        </is>
      </c>
      <c r="B37" s="147" t="inlineStr">
        <is>
          <t>BELRISE</t>
        </is>
      </c>
      <c r="C37" s="153" t="inlineStr">
        <is>
          <t>ERW1</t>
        </is>
      </c>
      <c r="D37" s="147" t="inlineStr">
        <is>
          <t>FIN CUT</t>
        </is>
      </c>
      <c r="E37" s="147" t="inlineStr">
        <is>
          <t>ERW</t>
        </is>
      </c>
      <c r="F37" s="148" t="n">
        <v>34.93</v>
      </c>
      <c r="G37" s="148" t="n"/>
      <c r="H37" s="148" t="n">
        <v>1.2</v>
      </c>
      <c r="I37" s="147" t="n">
        <v>620</v>
      </c>
      <c r="J37" s="147" t="n">
        <v>0.62</v>
      </c>
      <c r="K37" s="147" t="n"/>
      <c r="L37" s="151" t="inlineStr">
        <is>
          <t>0789</t>
        </is>
      </c>
      <c r="M37" s="150" t="n">
        <v>2397073</v>
      </c>
      <c r="N37" s="150" t="inlineStr">
        <is>
          <t>34.93-0-1.2-ERW 1-FC</t>
        </is>
      </c>
      <c r="O37" s="150" t="inlineStr">
        <is>
          <t>34.93-0-1.2-ERW 1-FC-0.620</t>
        </is>
      </c>
      <c r="P37" s="19" t="n">
        <v>10</v>
      </c>
      <c r="Q37" s="147" t="n">
        <v>0</v>
      </c>
      <c r="R37" s="147" t="n">
        <v>0</v>
      </c>
      <c r="S37" s="147" t="n">
        <v>0</v>
      </c>
      <c r="T37" s="147">
        <f>R37-Q37</f>
        <v/>
      </c>
      <c r="U37" s="147" t="n"/>
      <c r="V37" s="147">
        <f>U37+T37+S37</f>
        <v/>
      </c>
      <c r="W37" s="19">
        <f>P37*1.5-V37</f>
        <v/>
      </c>
      <c r="X37" s="167">
        <f>IF(W37&gt;0,W37,0)</f>
        <v/>
      </c>
      <c r="Y37" s="167">
        <f>X37+U37</f>
        <v/>
      </c>
      <c r="Z37" s="185">
        <f>SUMIFS(meghsteelsales_previousmonth[Quantity],meghsteelsales_previousmonth[Length Bucket],O37)/1000</f>
        <v/>
      </c>
      <c r="AA37" s="185">
        <f>SUMIFS(meghsteelsales_currentmonth[Quantity],meghsteelsales_currentmonth[Length Bucket],O37)/1000</f>
        <v/>
      </c>
      <c r="AB37" s="185">
        <f>IF((Z37+AA37-Y37)&lt;0,(Z37+AA37-Y37),"")</f>
        <v/>
      </c>
    </row>
    <row r="38">
      <c r="A38" s="147" t="inlineStr">
        <is>
          <t>RE</t>
        </is>
      </c>
      <c r="B38" s="147" t="inlineStr">
        <is>
          <t>RAJSRIYA</t>
        </is>
      </c>
      <c r="C38" s="153" t="inlineStr">
        <is>
          <t>ERW1</t>
        </is>
      </c>
      <c r="D38" s="147" t="inlineStr">
        <is>
          <t>FIN CUT</t>
        </is>
      </c>
      <c r="E38" s="147" t="inlineStr">
        <is>
          <t>ERW</t>
        </is>
      </c>
      <c r="F38" s="148" t="n">
        <v>34.93</v>
      </c>
      <c r="G38" s="148" t="n"/>
      <c r="H38" s="148" t="n">
        <v>1.2</v>
      </c>
      <c r="I38" s="147" t="n">
        <v>700</v>
      </c>
      <c r="J38" s="147" t="n">
        <v>0.7</v>
      </c>
      <c r="K38" s="147" t="n"/>
      <c r="L38" s="151" t="inlineStr">
        <is>
          <t>0789</t>
        </is>
      </c>
      <c r="M38" s="150" t="n">
        <v>3649699</v>
      </c>
      <c r="N38" s="150" t="inlineStr">
        <is>
          <t>34.93-0-1.2-ERW 1-FC</t>
        </is>
      </c>
      <c r="O38" s="150" t="inlineStr">
        <is>
          <t>34.93-0-1.2-ERW 1-FC-0.7</t>
        </is>
      </c>
      <c r="P38" s="19" t="n">
        <v>8</v>
      </c>
      <c r="Q38" s="147" t="n">
        <v>0</v>
      </c>
      <c r="R38" s="147" t="n">
        <v>0</v>
      </c>
      <c r="S38" s="147" t="n">
        <v>0</v>
      </c>
      <c r="T38" s="147">
        <f>R38-Q38</f>
        <v/>
      </c>
      <c r="U38" s="147" t="n"/>
      <c r="V38" s="147">
        <f>U38+T38+S38</f>
        <v/>
      </c>
      <c r="W38" s="19">
        <f>P38*1.5-V38</f>
        <v/>
      </c>
      <c r="X38" s="167">
        <f>IF(W38&gt;0,W38,0)</f>
        <v/>
      </c>
      <c r="Y38" s="167">
        <f>X38+U38</f>
        <v/>
      </c>
      <c r="Z38" s="185">
        <f>SUMIFS(meghsteelsales_previousmonth[Quantity],meghsteelsales_previousmonth[Length Bucket],O38)/1000</f>
        <v/>
      </c>
      <c r="AA38" s="185">
        <f>SUMIFS(meghsteelsales_currentmonth[Quantity],meghsteelsales_currentmonth[Length Bucket],O38)/1000</f>
        <v/>
      </c>
      <c r="AB38" s="185">
        <f>IF((Z38+AA38-Y38)&lt;0,(Z38+AA38-Y38),"")</f>
        <v/>
      </c>
    </row>
    <row r="39">
      <c r="A39" s="147" t="inlineStr">
        <is>
          <t>HMSI</t>
        </is>
      </c>
      <c r="B39" s="147" t="inlineStr">
        <is>
          <t>BADVE</t>
        </is>
      </c>
      <c r="C39" s="155" t="inlineStr">
        <is>
          <t>ERW2</t>
        </is>
      </c>
      <c r="D39" s="147" t="inlineStr">
        <is>
          <t>FIN CUT</t>
        </is>
      </c>
      <c r="E39" s="147" t="inlineStr">
        <is>
          <t>ERW</t>
        </is>
      </c>
      <c r="F39" s="154" t="n">
        <v>34</v>
      </c>
      <c r="G39" s="154" t="n"/>
      <c r="H39" s="154" t="n">
        <v>1.4</v>
      </c>
      <c r="I39" s="155" t="n">
        <v>5660</v>
      </c>
      <c r="J39" s="147" t="n">
        <v>5.66</v>
      </c>
      <c r="K39" s="147" t="inlineStr">
        <is>
          <t>341.45.66ERW</t>
        </is>
      </c>
      <c r="L39" s="151" t="inlineStr">
        <is>
          <t>0788</t>
        </is>
      </c>
      <c r="M39" s="150" t="n">
        <v>3702855</v>
      </c>
      <c r="N39" s="150" t="inlineStr">
        <is>
          <t>No Key</t>
        </is>
      </c>
      <c r="O39" s="150" t="inlineStr">
        <is>
          <t>No Key</t>
        </is>
      </c>
      <c r="P39" s="19" t="n">
        <v>0</v>
      </c>
      <c r="Q39" s="147" t="n">
        <v>0</v>
      </c>
      <c r="R39" s="147" t="n">
        <v>0</v>
      </c>
      <c r="S39" s="147" t="n">
        <v>0</v>
      </c>
      <c r="T39" s="147">
        <f>R39-Q39</f>
        <v/>
      </c>
      <c r="U39" s="147" t="n">
        <v>7.5</v>
      </c>
      <c r="V39" s="147">
        <f>U39+T39+S39</f>
        <v/>
      </c>
      <c r="W39" s="19">
        <f>P39*1.5-V39</f>
        <v/>
      </c>
      <c r="X39" s="167">
        <f>IF(W39&gt;0,W39,0)</f>
        <v/>
      </c>
      <c r="Y39" s="167">
        <f>X39+U39</f>
        <v/>
      </c>
      <c r="Z39" s="185">
        <f>SUMIFS(meghsteelsales_previousmonth[Quantity],meghsteelsales_previousmonth[Length Bucket],O39)/1000</f>
        <v/>
      </c>
      <c r="AA39" s="185">
        <f>SUMIFS(meghsteelsales_currentmonth[Quantity],meghsteelsales_currentmonth[Length Bucket],O39)/1000</f>
        <v/>
      </c>
      <c r="AB39" s="185">
        <f>IF((Z39+AA39-Y39)&lt;0,(Z39+AA39-Y39),"")</f>
        <v/>
      </c>
    </row>
    <row r="40">
      <c r="A40" s="147" t="inlineStr">
        <is>
          <t>TVS</t>
        </is>
      </c>
      <c r="B40" s="147" t="inlineStr">
        <is>
          <t>RUCHA,METALMAN</t>
        </is>
      </c>
      <c r="C40" s="153" t="inlineStr">
        <is>
          <t>ERW370</t>
        </is>
      </c>
      <c r="D40" s="147" t="inlineStr">
        <is>
          <t>FIN CUT</t>
        </is>
      </c>
      <c r="E40" s="147" t="inlineStr">
        <is>
          <t>HST</t>
        </is>
      </c>
      <c r="F40" s="148" t="n">
        <v>38.1</v>
      </c>
      <c r="G40" s="148" t="n"/>
      <c r="H40" s="148" t="n">
        <v>1.6</v>
      </c>
      <c r="I40" s="147" t="n">
        <v>6190</v>
      </c>
      <c r="J40" s="147" t="n">
        <v>6.19</v>
      </c>
      <c r="K40" s="147" t="inlineStr">
        <is>
          <t>38.11.66.19HST</t>
        </is>
      </c>
      <c r="L40" s="151" t="inlineStr">
        <is>
          <t>056</t>
        </is>
      </c>
      <c r="M40" s="150" t="n">
        <v>3502254</v>
      </c>
      <c r="N40" s="150" t="inlineStr">
        <is>
          <t>38.1-0-1.6-ERW 1-FC</t>
        </is>
      </c>
      <c r="O40" s="150" t="inlineStr">
        <is>
          <t>38.1-0-1.6-ERW 1-FC-6.19</t>
        </is>
      </c>
      <c r="P40" s="19" t="n">
        <v>40</v>
      </c>
      <c r="Q40" s="147" t="n">
        <v>15</v>
      </c>
      <c r="R40" s="147" t="n">
        <v>20</v>
      </c>
      <c r="S40" s="147" t="n">
        <v>0</v>
      </c>
      <c r="T40" s="147">
        <f>R40-Q40</f>
        <v/>
      </c>
      <c r="U40" s="147" t="n">
        <v>25</v>
      </c>
      <c r="V40" s="147">
        <f>U40+T40+S40</f>
        <v/>
      </c>
      <c r="W40" s="19">
        <f>P40*1.5-V40</f>
        <v/>
      </c>
      <c r="X40" s="167">
        <f>IF(W40&gt;0,W40,0)</f>
        <v/>
      </c>
      <c r="Y40" s="167">
        <f>X40+U40</f>
        <v/>
      </c>
      <c r="Z40" s="185">
        <f>SUMIFS(meghsteelsales_previousmonth[Quantity],meghsteelsales_previousmonth[Length Bucket],O40)/1000</f>
        <v/>
      </c>
      <c r="AA40" s="185">
        <f>SUMIFS(meghsteelsales_currentmonth[Quantity],meghsteelsales_currentmonth[Length Bucket],O40)/1000</f>
        <v/>
      </c>
      <c r="AB40" s="185">
        <f>IF((Z40+AA40-Y40)&lt;0,(Z40+AA40-Y40),"")</f>
        <v/>
      </c>
    </row>
    <row r="41">
      <c r="A41" s="147" t="inlineStr">
        <is>
          <t>TVS</t>
        </is>
      </c>
      <c r="B41" s="147" t="inlineStr">
        <is>
          <t>RUCHA,METALMAN</t>
        </is>
      </c>
      <c r="C41" s="153" t="inlineStr">
        <is>
          <t>ERW1</t>
        </is>
      </c>
      <c r="D41" s="147" t="inlineStr">
        <is>
          <t>FIN CUT</t>
        </is>
      </c>
      <c r="E41" s="147" t="inlineStr">
        <is>
          <t>ERW</t>
        </is>
      </c>
      <c r="F41" s="148" t="n">
        <v>38.1</v>
      </c>
      <c r="G41" s="148" t="n"/>
      <c r="H41" s="148" t="n">
        <v>2</v>
      </c>
      <c r="I41" s="147" t="n">
        <v>5650</v>
      </c>
      <c r="J41" s="147" t="n">
        <v>5.65</v>
      </c>
      <c r="K41" s="147" t="inlineStr">
        <is>
          <t>38.125.65ERW</t>
        </is>
      </c>
      <c r="L41" s="151" t="inlineStr">
        <is>
          <t>056</t>
        </is>
      </c>
      <c r="M41" s="150" t="n">
        <v>3500959</v>
      </c>
      <c r="N41" s="150" t="inlineStr">
        <is>
          <t>38.1-0-2-ERW 1-FC</t>
        </is>
      </c>
      <c r="O41" s="150" t="inlineStr">
        <is>
          <t>38.1-0-2-ERW 1-FC-5.65</t>
        </is>
      </c>
      <c r="P41" s="19" t="n">
        <v>25</v>
      </c>
      <c r="Q41" s="147" t="n">
        <v>5</v>
      </c>
      <c r="R41" s="147" t="n">
        <v>23</v>
      </c>
      <c r="S41" s="147" t="n">
        <v>0</v>
      </c>
      <c r="T41" s="147">
        <f>R41-Q41</f>
        <v/>
      </c>
      <c r="U41" s="147" t="n">
        <v>9</v>
      </c>
      <c r="V41" s="147">
        <f>U41+T41+S41</f>
        <v/>
      </c>
      <c r="W41" s="19">
        <f>P41*1.5-V41</f>
        <v/>
      </c>
      <c r="X41" s="167">
        <f>IF(W41&gt;0,W41,0)</f>
        <v/>
      </c>
      <c r="Y41" s="167">
        <f>X41+U41</f>
        <v/>
      </c>
      <c r="Z41" s="185">
        <f>SUMIFS(meghsteelsales_previousmonth[Quantity],meghsteelsales_previousmonth[Length Bucket],O41)/1000</f>
        <v/>
      </c>
      <c r="AA41" s="185">
        <f>SUMIFS(meghsteelsales_currentmonth[Quantity],meghsteelsales_currentmonth[Length Bucket],O41)/1000</f>
        <v/>
      </c>
      <c r="AB41" s="185">
        <f>IF((Z41+AA41-Y41)&lt;0,(Z41+AA41-Y41),"")</f>
        <v/>
      </c>
    </row>
    <row r="42">
      <c r="A42" s="147" t="inlineStr">
        <is>
          <t>TVS</t>
        </is>
      </c>
      <c r="B42" s="147" t="inlineStr">
        <is>
          <t>RUCHA,METALMAN</t>
        </is>
      </c>
      <c r="C42" s="153" t="inlineStr">
        <is>
          <t>ERW2</t>
        </is>
      </c>
      <c r="D42" s="147" t="inlineStr">
        <is>
          <t>FIN CUT</t>
        </is>
      </c>
      <c r="E42" s="147" t="inlineStr">
        <is>
          <t>HST</t>
        </is>
      </c>
      <c r="F42" s="148" t="n">
        <v>38.1</v>
      </c>
      <c r="G42" s="148" t="n"/>
      <c r="H42" s="148" t="n">
        <v>2.5</v>
      </c>
      <c r="I42" s="147" t="n">
        <v>6190</v>
      </c>
      <c r="J42" s="147" t="n">
        <v>6.19</v>
      </c>
      <c r="K42" s="147" t="inlineStr">
        <is>
          <t>38.12.56.19HST</t>
        </is>
      </c>
      <c r="L42" s="151" t="inlineStr">
        <is>
          <t>056</t>
        </is>
      </c>
      <c r="M42" s="150" t="n">
        <v>3502007</v>
      </c>
      <c r="N42" s="150" t="inlineStr">
        <is>
          <t>38.1-0-2.5-ERW 2 MAHS-FC</t>
        </is>
      </c>
      <c r="O42" s="150" t="inlineStr">
        <is>
          <t>38.1-0-2.5-ERW 2 MAHS-FC-6.19</t>
        </is>
      </c>
      <c r="P42" s="19" t="n">
        <v>50</v>
      </c>
      <c r="Q42" s="147" t="n">
        <v>15</v>
      </c>
      <c r="R42" s="147" t="n">
        <v>43</v>
      </c>
      <c r="S42" s="147" t="n">
        <v>0</v>
      </c>
      <c r="T42" s="147">
        <f>R42-Q42</f>
        <v/>
      </c>
      <c r="U42" s="147" t="n">
        <v>18</v>
      </c>
      <c r="V42" s="147">
        <f>U42+T42+S42</f>
        <v/>
      </c>
      <c r="W42" s="19">
        <f>P42*1.5-V42</f>
        <v/>
      </c>
      <c r="X42" s="167">
        <f>IF(W42&gt;0,W42,0)</f>
        <v/>
      </c>
      <c r="Y42" s="167">
        <f>X42+U42</f>
        <v/>
      </c>
      <c r="Z42" s="185">
        <f>SUMIFS(meghsteelsales_previousmonth[Quantity],meghsteelsales_previousmonth[Length Bucket],O42)/1000</f>
        <v/>
      </c>
      <c r="AA42" s="185">
        <f>SUMIFS(meghsteelsales_currentmonth[Quantity],meghsteelsales_currentmonth[Length Bucket],O42)/1000</f>
        <v/>
      </c>
      <c r="AB42" s="185">
        <f>IF((Z42+AA42-Y42)&lt;0,(Z42+AA42-Y42),"")</f>
        <v/>
      </c>
    </row>
    <row r="43" customFormat="1" s="171">
      <c r="A43" s="170" t="inlineStr">
        <is>
          <t>TVS</t>
        </is>
      </c>
      <c r="B43" s="170" t="inlineStr">
        <is>
          <t>RUCHA</t>
        </is>
      </c>
      <c r="C43" s="170" t="inlineStr">
        <is>
          <t>ERW1</t>
        </is>
      </c>
      <c r="D43" s="147" t="inlineStr">
        <is>
          <t>FIN CUT</t>
        </is>
      </c>
      <c r="E43" s="147" t="inlineStr">
        <is>
          <t>ERW</t>
        </is>
      </c>
      <c r="F43" s="148" t="n">
        <v>41.28</v>
      </c>
      <c r="G43" s="148" t="n"/>
      <c r="H43" s="148" t="n">
        <v>2.6</v>
      </c>
      <c r="I43" s="147" t="n">
        <v>6000</v>
      </c>
      <c r="J43" s="147" t="n">
        <v>6</v>
      </c>
      <c r="K43" s="147" t="inlineStr">
        <is>
          <t>41.282.66.08ERW</t>
        </is>
      </c>
      <c r="L43" s="151" t="inlineStr">
        <is>
          <t>0789</t>
        </is>
      </c>
      <c r="M43" s="150" t="n"/>
      <c r="N43" s="150" t="inlineStr">
        <is>
          <t>41.28-0-2.6-ERW 1-FC</t>
        </is>
      </c>
      <c r="O43" s="150" t="inlineStr">
        <is>
          <t>41.28-0-2.6-ERW 1-FC-6</t>
        </is>
      </c>
      <c r="P43" s="19" t="n">
        <v>45</v>
      </c>
      <c r="Q43" s="147" t="n">
        <v>10</v>
      </c>
      <c r="R43" s="147" t="n">
        <v>60</v>
      </c>
      <c r="S43" s="147" t="n">
        <v>0</v>
      </c>
      <c r="T43" s="147">
        <f>R43-Q43</f>
        <v/>
      </c>
      <c r="U43" s="147" t="n">
        <v>83</v>
      </c>
      <c r="V43" s="147">
        <f>U43+T43+S43</f>
        <v/>
      </c>
      <c r="W43" s="19">
        <f>P43*1.5-V43</f>
        <v/>
      </c>
      <c r="X43" s="167">
        <f>IF(W43&gt;0,W43,0)</f>
        <v/>
      </c>
      <c r="Y43" s="167">
        <f>X43+U43</f>
        <v/>
      </c>
      <c r="Z43" s="185">
        <f>SUMIFS(meghsteelsales_previousmonth[Quantity],meghsteelsales_previousmonth[Length Bucket],O43)/1000</f>
        <v/>
      </c>
      <c r="AA43" s="185">
        <f>SUMIFS(meghsteelsales_currentmonth[Quantity],meghsteelsales_currentmonth[Length Bucket],O43)/1000</f>
        <v/>
      </c>
      <c r="AB43" s="185">
        <f>IF((Z43+AA43-Y43)&lt;0,(Z43+AA43-Y43),"")</f>
        <v/>
      </c>
    </row>
    <row r="44">
      <c r="A44" s="147" t="inlineStr">
        <is>
          <t>TVS</t>
        </is>
      </c>
      <c r="B44" s="147" t="inlineStr">
        <is>
          <t>METALMAN</t>
        </is>
      </c>
      <c r="C44" s="159" t="inlineStr">
        <is>
          <t>ERW1</t>
        </is>
      </c>
      <c r="D44" s="147" t="inlineStr">
        <is>
          <t>FIN CUT</t>
        </is>
      </c>
      <c r="E44" s="147" t="inlineStr">
        <is>
          <t>ERW</t>
        </is>
      </c>
      <c r="F44" s="168" t="inlineStr">
        <is>
          <t>40x25</t>
        </is>
      </c>
      <c r="G44" s="168" t="n"/>
      <c r="H44" s="168" t="n">
        <v>1.6</v>
      </c>
      <c r="I44" s="169" t="n">
        <v>5880</v>
      </c>
      <c r="J44" s="147" t="n">
        <v>5.88</v>
      </c>
      <c r="K44" s="147" t="n"/>
      <c r="L44" s="151" t="inlineStr">
        <is>
          <t>0789</t>
        </is>
      </c>
      <c r="M44" s="150" t="n">
        <v>3919145</v>
      </c>
      <c r="N44" s="150" t="inlineStr">
        <is>
          <t>40-25-1.6-ERW 1-FC</t>
        </is>
      </c>
      <c r="O44" s="150" t="inlineStr">
        <is>
          <t>40-25-1.6-ERW 1-FC-5.88</t>
        </is>
      </c>
      <c r="P44" s="19" t="n">
        <v>6</v>
      </c>
      <c r="Q44" s="147" t="n">
        <v>3</v>
      </c>
      <c r="R44" s="147" t="n">
        <v>5</v>
      </c>
      <c r="S44" s="147" t="n">
        <v>0</v>
      </c>
      <c r="T44" s="147">
        <f>R44-Q44</f>
        <v/>
      </c>
      <c r="U44" s="147" t="n"/>
      <c r="V44" s="147">
        <f>U44+T44+S44</f>
        <v/>
      </c>
      <c r="W44" s="19">
        <f>P44*1.5-V44</f>
        <v/>
      </c>
      <c r="X44" s="167">
        <f>IF(W44&gt;0,W44,0)</f>
        <v/>
      </c>
      <c r="Y44" s="167">
        <f>X44+U44</f>
        <v/>
      </c>
      <c r="Z44" s="185">
        <f>SUMIFS(meghsteelsales_previousmonth[Quantity],meghsteelsales_previousmonth[Length Bucket],O44)/1000</f>
        <v/>
      </c>
      <c r="AA44" s="185">
        <f>SUMIFS(meghsteelsales_currentmonth[Quantity],meghsteelsales_currentmonth[Length Bucket],O44)/1000</f>
        <v/>
      </c>
      <c r="AB44" s="185">
        <f>IF((Z44+AA44-Y44)&lt;0,(Z44+AA44-Y44),"")</f>
        <v/>
      </c>
    </row>
    <row r="45">
      <c r="A45" s="147" t="inlineStr">
        <is>
          <t>TVS</t>
        </is>
      </c>
      <c r="B45" s="147" t="inlineStr">
        <is>
          <t>RUCHA</t>
        </is>
      </c>
      <c r="C45" s="159" t="inlineStr">
        <is>
          <t>ERW1</t>
        </is>
      </c>
      <c r="D45" s="147" t="inlineStr">
        <is>
          <t>FIN CUT</t>
        </is>
      </c>
      <c r="E45" s="147" t="inlineStr">
        <is>
          <t>ERW</t>
        </is>
      </c>
      <c r="F45" s="168" t="inlineStr">
        <is>
          <t>40x25</t>
        </is>
      </c>
      <c r="G45" s="168" t="n"/>
      <c r="H45" s="168" t="n">
        <v>1.6</v>
      </c>
      <c r="I45" s="169" t="n">
        <v>6130</v>
      </c>
      <c r="J45" s="147" t="n">
        <v>6.13</v>
      </c>
      <c r="K45" s="147" t="n"/>
      <c r="L45" s="151" t="inlineStr">
        <is>
          <t>0789</t>
        </is>
      </c>
      <c r="M45" s="150" t="n">
        <v>3919144</v>
      </c>
      <c r="N45" s="150" t="inlineStr">
        <is>
          <t>40-25-1.6-ERW 1-FC</t>
        </is>
      </c>
      <c r="O45" s="150" t="inlineStr">
        <is>
          <t>40-25-1.6-ERW 1-FC-6.13</t>
        </is>
      </c>
      <c r="P45" s="19" t="n">
        <v>10</v>
      </c>
      <c r="Q45" s="147" t="n">
        <v>2</v>
      </c>
      <c r="R45" s="147" t="n">
        <v>13</v>
      </c>
      <c r="S45" s="147" t="n">
        <v>0</v>
      </c>
      <c r="T45" s="147">
        <f>R45-Q45</f>
        <v/>
      </c>
      <c r="U45" s="147" t="n"/>
      <c r="V45" s="147">
        <f>U45+T45+S45</f>
        <v/>
      </c>
      <c r="W45" s="19">
        <f>P45*1.5-V45</f>
        <v/>
      </c>
      <c r="X45" s="167">
        <f>IF(W45&gt;0,W45,0)</f>
        <v/>
      </c>
      <c r="Y45" s="167">
        <f>X45+U45</f>
        <v/>
      </c>
      <c r="Z45" s="185">
        <f>SUMIFS(meghsteelsales_previousmonth[Quantity],meghsteelsales_previousmonth[Length Bucket],O45)/1000</f>
        <v/>
      </c>
      <c r="AA45" s="185">
        <f>SUMIFS(meghsteelsales_currentmonth[Quantity],meghsteelsales_currentmonth[Length Bucket],O45)/1000</f>
        <v/>
      </c>
      <c r="AB45" s="185">
        <f>IF((Z45+AA45-Y45)&lt;0,(Z45+AA45-Y45),"")</f>
        <v/>
      </c>
    </row>
    <row r="46">
      <c r="A46" s="147" t="inlineStr">
        <is>
          <t>HMSI</t>
        </is>
      </c>
      <c r="B46" s="147" t="inlineStr">
        <is>
          <t>BADVE</t>
        </is>
      </c>
      <c r="C46" s="153" t="inlineStr">
        <is>
          <t>ERW1</t>
        </is>
      </c>
      <c r="D46" s="147" t="inlineStr">
        <is>
          <t>FIN CUT</t>
        </is>
      </c>
      <c r="E46" s="147" t="inlineStr">
        <is>
          <t>ERW</t>
        </is>
      </c>
      <c r="F46" s="148" t="n">
        <v>41.28</v>
      </c>
      <c r="G46" s="148" t="n"/>
      <c r="H46" s="148" t="n">
        <v>3.15</v>
      </c>
      <c r="I46" s="147" t="n">
        <v>5860</v>
      </c>
      <c r="J46" s="147" t="n">
        <v>5.86</v>
      </c>
      <c r="K46" s="147" t="inlineStr">
        <is>
          <t>41.283.155.86ERW</t>
        </is>
      </c>
      <c r="L46" s="158" t="inlineStr">
        <is>
          <t>056</t>
        </is>
      </c>
      <c r="M46" s="150" t="n">
        <v>3673889</v>
      </c>
      <c r="N46" s="150" t="inlineStr">
        <is>
          <t>41.28-0-3.15-ERW 1-FC</t>
        </is>
      </c>
      <c r="O46" s="150" t="inlineStr">
        <is>
          <t>41.28-0-3.15-ERW 1-FC-5.86</t>
        </is>
      </c>
      <c r="P46" s="19" t="n">
        <v>40</v>
      </c>
      <c r="Q46" s="147" t="n">
        <v>5</v>
      </c>
      <c r="R46" s="147" t="n">
        <v>40</v>
      </c>
      <c r="S46" s="147" t="n">
        <v>0</v>
      </c>
      <c r="T46" s="147">
        <f>R46-Q46</f>
        <v/>
      </c>
      <c r="U46" s="147" t="n">
        <v>34</v>
      </c>
      <c r="V46" s="147">
        <f>U46+T46+S46</f>
        <v/>
      </c>
      <c r="W46" s="19">
        <f>P46*1.5-V46</f>
        <v/>
      </c>
      <c r="X46" s="167">
        <f>IF(W46&gt;0,W46,0)</f>
        <v/>
      </c>
      <c r="Y46" s="167">
        <f>X46+U46</f>
        <v/>
      </c>
      <c r="Z46" s="185">
        <f>SUMIFS(meghsteelsales_previousmonth[Quantity],meghsteelsales_previousmonth[Length Bucket],O46)/1000</f>
        <v/>
      </c>
      <c r="AA46" s="185">
        <f>SUMIFS(meghsteelsales_currentmonth[Quantity],meghsteelsales_currentmonth[Length Bucket],O46)/1000</f>
        <v/>
      </c>
      <c r="AB46" s="185">
        <f>IF((Z46+AA46-Y46)&lt;0,(Z46+AA46-Y46),"")</f>
        <v/>
      </c>
    </row>
    <row r="47">
      <c r="A47" s="147" t="inlineStr">
        <is>
          <t>TVS</t>
        </is>
      </c>
      <c r="B47" s="147" t="inlineStr">
        <is>
          <t>RUCHA,METALMAN</t>
        </is>
      </c>
      <c r="C47" s="153" t="inlineStr">
        <is>
          <t>ERW AN</t>
        </is>
      </c>
      <c r="D47" s="147" t="inlineStr">
        <is>
          <t>FIN CUT</t>
        </is>
      </c>
      <c r="E47" s="147" t="inlineStr">
        <is>
          <t>ERW</t>
        </is>
      </c>
      <c r="F47" s="148" t="n">
        <v>42.7</v>
      </c>
      <c r="G47" s="148" t="n"/>
      <c r="H47" s="148" t="n">
        <v>3.5</v>
      </c>
      <c r="I47" s="147" t="n">
        <v>6000</v>
      </c>
      <c r="J47" s="147" t="n">
        <v>6</v>
      </c>
      <c r="K47" s="147" t="inlineStr">
        <is>
          <t>42.73.56ERW</t>
        </is>
      </c>
      <c r="L47" s="151" t="inlineStr">
        <is>
          <t>0788</t>
        </is>
      </c>
      <c r="M47" s="150" t="n">
        <v>3500650</v>
      </c>
      <c r="N47" s="150" t="inlineStr">
        <is>
          <t>42.7-0-3.5-ERW 1-FC</t>
        </is>
      </c>
      <c r="O47" s="150" t="inlineStr">
        <is>
          <t>42.7-0-3.5-ERW 1-FC-6</t>
        </is>
      </c>
      <c r="P47" s="19" t="n">
        <v>15</v>
      </c>
      <c r="Q47" s="147" t="n">
        <v>0</v>
      </c>
      <c r="R47" s="147" t="n">
        <v>0</v>
      </c>
      <c r="S47" s="147" t="n">
        <v>0</v>
      </c>
      <c r="T47" s="147">
        <f>R47-Q47</f>
        <v/>
      </c>
      <c r="U47" s="147" t="n"/>
      <c r="V47" s="147">
        <f>U47+T47+S47</f>
        <v/>
      </c>
      <c r="W47" s="19">
        <f>P47*1.5-V47</f>
        <v/>
      </c>
      <c r="X47" s="167">
        <f>IF(W47&gt;0,W47,0)</f>
        <v/>
      </c>
      <c r="Y47" s="167">
        <f>X47+U47</f>
        <v/>
      </c>
      <c r="Z47" s="185">
        <f>SUMIFS(meghsteelsales_previousmonth[Quantity],meghsteelsales_previousmonth[Length Bucket],O47)/1000</f>
        <v/>
      </c>
      <c r="AA47" s="185">
        <f>SUMIFS(meghsteelsales_currentmonth[Quantity],meghsteelsales_currentmonth[Length Bucket],O47)/1000</f>
        <v/>
      </c>
      <c r="AB47" s="185">
        <f>IF((Z47+AA47-Y47)&lt;0,(Z47+AA47-Y47),"")</f>
        <v/>
      </c>
    </row>
    <row r="48">
      <c r="A48" s="147" t="inlineStr">
        <is>
          <t>TVS</t>
        </is>
      </c>
      <c r="B48" s="147" t="inlineStr">
        <is>
          <t>RUCHA,METALMAN</t>
        </is>
      </c>
      <c r="C48" s="153" t="inlineStr">
        <is>
          <t>ERW AN</t>
        </is>
      </c>
      <c r="D48" s="147" t="inlineStr">
        <is>
          <t>FIN CUT</t>
        </is>
      </c>
      <c r="E48" s="147" t="inlineStr">
        <is>
          <t>ERW</t>
        </is>
      </c>
      <c r="F48" s="148" t="n">
        <v>42.7</v>
      </c>
      <c r="G48" s="148" t="n"/>
      <c r="H48" s="148" t="n">
        <v>4</v>
      </c>
      <c r="I48" s="147" t="n">
        <v>6000</v>
      </c>
      <c r="J48" s="147" t="n">
        <v>6</v>
      </c>
      <c r="K48" s="147" t="inlineStr">
        <is>
          <t>42.746ERW</t>
        </is>
      </c>
      <c r="L48" s="151" t="inlineStr">
        <is>
          <t>0788</t>
        </is>
      </c>
      <c r="M48" s="150" t="n">
        <v>3500714</v>
      </c>
      <c r="N48" s="150" t="inlineStr">
        <is>
          <t>42.7-0-4-ERW 1-FC</t>
        </is>
      </c>
      <c r="O48" s="150" t="inlineStr">
        <is>
          <t>42.7-0-4-ERW 1-FC-6</t>
        </is>
      </c>
      <c r="P48" s="19" t="n">
        <v>30</v>
      </c>
      <c r="Q48" s="147" t="n">
        <v>5</v>
      </c>
      <c r="R48" s="147" t="n">
        <v>18</v>
      </c>
      <c r="S48" s="147" t="n">
        <v>0</v>
      </c>
      <c r="T48" s="147">
        <f>R48-Q48</f>
        <v/>
      </c>
      <c r="U48" s="147" t="n"/>
      <c r="V48" s="147">
        <f>U48+T48+S48</f>
        <v/>
      </c>
      <c r="W48" s="19">
        <f>P48*1.5-V48</f>
        <v/>
      </c>
      <c r="X48" s="167">
        <f>IF(W48&gt;0,W48,0)</f>
        <v/>
      </c>
      <c r="Y48" s="167">
        <f>X48+U48</f>
        <v/>
      </c>
      <c r="Z48" s="185">
        <f>SUMIFS(meghsteelsales_previousmonth[Quantity],meghsteelsales_previousmonth[Length Bucket],O48)/1000</f>
        <v/>
      </c>
      <c r="AA48" s="185">
        <f>SUMIFS(meghsteelsales_currentmonth[Quantity],meghsteelsales_currentmonth[Length Bucket],O48)/1000</f>
        <v/>
      </c>
      <c r="AB48" s="185">
        <f>IF((Z48+AA48-Y48)&lt;0,(Z48+AA48-Y48),"")</f>
        <v/>
      </c>
    </row>
    <row r="49">
      <c r="A49" s="147" t="inlineStr">
        <is>
          <t>TVS</t>
        </is>
      </c>
      <c r="B49" s="147" t="inlineStr">
        <is>
          <t>RUCHA,METALMAN</t>
        </is>
      </c>
      <c r="C49" s="155" t="inlineStr">
        <is>
          <t>ERW1</t>
        </is>
      </c>
      <c r="D49" s="147" t="inlineStr">
        <is>
          <t>FIN CUT</t>
        </is>
      </c>
      <c r="E49" s="147" t="inlineStr">
        <is>
          <t>ERW</t>
        </is>
      </c>
      <c r="F49" s="154" t="inlineStr">
        <is>
          <t>40x30</t>
        </is>
      </c>
      <c r="G49" s="154" t="n"/>
      <c r="H49" s="154" t="n">
        <v>1.6</v>
      </c>
      <c r="I49" s="155" t="n">
        <v>5900</v>
      </c>
      <c r="J49" s="147" t="n">
        <v>5.9</v>
      </c>
      <c r="K49" s="147" t="n"/>
      <c r="L49" s="151" t="inlineStr">
        <is>
          <t>0789</t>
        </is>
      </c>
      <c r="M49" s="150" t="n">
        <v>3925391</v>
      </c>
      <c r="N49" s="150" t="inlineStr">
        <is>
          <t>40-30-1.6-ERW 1-FC</t>
        </is>
      </c>
      <c r="O49" s="150" t="inlineStr">
        <is>
          <t>40-30-1.6-ERW 1-FC-5.9</t>
        </is>
      </c>
      <c r="P49" s="19" t="n">
        <v>10</v>
      </c>
      <c r="Q49" s="147" t="n">
        <v>3</v>
      </c>
      <c r="R49" s="147" t="n">
        <v>12</v>
      </c>
      <c r="S49" s="147" t="n">
        <v>0</v>
      </c>
      <c r="T49" s="147">
        <f>R49-Q49</f>
        <v/>
      </c>
      <c r="U49" s="147" t="n"/>
      <c r="V49" s="147">
        <f>U49+T49+S49</f>
        <v/>
      </c>
      <c r="W49" s="19">
        <f>P49*1.5-V49</f>
        <v/>
      </c>
      <c r="X49" s="167">
        <f>IF(W49&gt;0,W49,0)</f>
        <v/>
      </c>
      <c r="Y49" s="167">
        <f>X49+U49</f>
        <v/>
      </c>
      <c r="Z49" s="185">
        <f>SUMIFS(meghsteelsales_previousmonth[Quantity],meghsteelsales_previousmonth[Length Bucket],O49)/1000</f>
        <v/>
      </c>
      <c r="AA49" s="185">
        <f>SUMIFS(meghsteelsales_currentmonth[Quantity],meghsteelsales_currentmonth[Length Bucket],O49)/1000</f>
        <v/>
      </c>
      <c r="AB49" s="185">
        <f>IF((Z49+AA49-Y49)&lt;0,(Z49+AA49-Y49),"")</f>
        <v/>
      </c>
    </row>
    <row r="50">
      <c r="A50" s="147" t="inlineStr">
        <is>
          <t>HMSI</t>
        </is>
      </c>
      <c r="B50" s="147" t="inlineStr">
        <is>
          <t>BADVE</t>
        </is>
      </c>
      <c r="C50" s="153" t="inlineStr">
        <is>
          <t>ERW2</t>
        </is>
      </c>
      <c r="D50" s="147" t="inlineStr">
        <is>
          <t>FIN CUT</t>
        </is>
      </c>
      <c r="E50" s="147" t="inlineStr">
        <is>
          <t>HST</t>
        </is>
      </c>
      <c r="F50" s="148" t="n">
        <v>45</v>
      </c>
      <c r="G50" s="148" t="n"/>
      <c r="H50" s="148" t="n">
        <v>1.4</v>
      </c>
      <c r="I50" s="147" t="n">
        <v>6400</v>
      </c>
      <c r="J50" s="147" t="n">
        <v>6.42</v>
      </c>
      <c r="K50" s="147" t="inlineStr">
        <is>
          <t>451.46.42HST</t>
        </is>
      </c>
      <c r="L50" s="149" t="n"/>
      <c r="M50" s="150" t="n">
        <v>3502343</v>
      </c>
      <c r="N50" s="150" t="inlineStr">
        <is>
          <t>45--1.4-ERW 2-FIN CUT</t>
        </is>
      </c>
      <c r="O50" s="150" t="inlineStr">
        <is>
          <t>45--1.4-ERW 2-FIN CUT-6.4</t>
        </is>
      </c>
      <c r="P50" s="19" t="n">
        <v>0</v>
      </c>
      <c r="Q50" s="147" t="n">
        <v>0</v>
      </c>
      <c r="R50" s="147" t="n">
        <v>11</v>
      </c>
      <c r="S50" s="147" t="n">
        <v>0</v>
      </c>
      <c r="T50" s="147">
        <f>R50-Q50</f>
        <v/>
      </c>
      <c r="U50" s="147" t="n"/>
      <c r="V50" s="147">
        <f>U50+T50+S50</f>
        <v/>
      </c>
      <c r="W50" s="19">
        <f>P50*1.5-V50</f>
        <v/>
      </c>
      <c r="X50" s="167">
        <f>IF(W50&gt;0,W50,0)</f>
        <v/>
      </c>
      <c r="Y50" s="167">
        <f>X50+U50</f>
        <v/>
      </c>
      <c r="Z50" s="185">
        <f>SUMIFS(meghsteelsales_previousmonth[Quantity],meghsteelsales_previousmonth[Length Bucket],O50)/1000</f>
        <v/>
      </c>
      <c r="AA50" s="185">
        <f>SUMIFS(meghsteelsales_currentmonth[Quantity],meghsteelsales_currentmonth[Length Bucket],O50)/1000</f>
        <v/>
      </c>
      <c r="AB50" s="185">
        <f>IF((Z50+AA50-Y50)&lt;0,(Z50+AA50-Y50),"")</f>
        <v/>
      </c>
    </row>
    <row r="51">
      <c r="A51" s="147" t="inlineStr">
        <is>
          <t>HMSI</t>
        </is>
      </c>
      <c r="B51" s="147" t="inlineStr">
        <is>
          <t>BADVE</t>
        </is>
      </c>
      <c r="C51" s="153" t="inlineStr">
        <is>
          <t>ERW1</t>
        </is>
      </c>
      <c r="D51" s="147" t="inlineStr">
        <is>
          <t>FIN CUT</t>
        </is>
      </c>
      <c r="E51" s="147" t="inlineStr">
        <is>
          <t>ERW</t>
        </is>
      </c>
      <c r="F51" s="148" t="n">
        <v>45</v>
      </c>
      <c r="G51" s="148" t="n"/>
      <c r="H51" s="148" t="n">
        <v>1.4</v>
      </c>
      <c r="I51" s="147" t="n">
        <v>5700</v>
      </c>
      <c r="J51" s="147" t="n">
        <v>5.7</v>
      </c>
      <c r="K51" s="147" t="inlineStr">
        <is>
          <t>451.45.7ERW</t>
        </is>
      </c>
      <c r="L51" s="151" t="inlineStr">
        <is>
          <t>056</t>
        </is>
      </c>
      <c r="M51" s="150" t="n">
        <v>3545558</v>
      </c>
      <c r="N51" s="150" t="inlineStr">
        <is>
          <t>45--1.4-ERW 1-FIN CUT</t>
        </is>
      </c>
      <c r="O51" s="150" t="inlineStr">
        <is>
          <t>45--1.4-ERW 1-FIN CUT-5.7</t>
        </is>
      </c>
      <c r="P51" s="19" t="n">
        <v>0</v>
      </c>
      <c r="Q51" s="147" t="n">
        <v>0</v>
      </c>
      <c r="R51" s="147" t="n">
        <v>1</v>
      </c>
      <c r="S51" s="147" t="n">
        <v>0</v>
      </c>
      <c r="T51" s="147">
        <f>R51-Q51</f>
        <v/>
      </c>
      <c r="U51" s="147" t="n">
        <v>22</v>
      </c>
      <c r="V51" s="147">
        <f>U51+T51+S51</f>
        <v/>
      </c>
      <c r="W51" s="19">
        <f>P51*1.5-V51</f>
        <v/>
      </c>
      <c r="X51" s="167">
        <f>IF(W51&gt;0,W51,0)</f>
        <v/>
      </c>
      <c r="Y51" s="167">
        <f>X51+U51</f>
        <v/>
      </c>
      <c r="Z51" s="185">
        <f>SUMIFS(meghsteelsales_previousmonth[Quantity],meghsteelsales_previousmonth[Length Bucket],O51)/1000</f>
        <v/>
      </c>
      <c r="AA51" s="185">
        <f>SUMIFS(meghsteelsales_currentmonth[Quantity],meghsteelsales_currentmonth[Length Bucket],O51)/1000</f>
        <v/>
      </c>
      <c r="AB51" s="185">
        <f>IF((Z51+AA51-Y51)&lt;0,(Z51+AA51-Y51),"")</f>
        <v/>
      </c>
    </row>
    <row r="52">
      <c r="A52" s="147" t="inlineStr">
        <is>
          <t>HMSI</t>
        </is>
      </c>
      <c r="B52" s="147" t="inlineStr">
        <is>
          <t>BADVE</t>
        </is>
      </c>
      <c r="C52" s="153" t="inlineStr">
        <is>
          <t>ERW2</t>
        </is>
      </c>
      <c r="D52" s="147" t="inlineStr">
        <is>
          <t>FIN CUT</t>
        </is>
      </c>
      <c r="E52" s="147" t="inlineStr">
        <is>
          <t>HST</t>
        </is>
      </c>
      <c r="F52" s="148" t="n">
        <v>45</v>
      </c>
      <c r="G52" s="148" t="n"/>
      <c r="H52" s="148" t="n">
        <v>1.6</v>
      </c>
      <c r="I52" s="147" t="n">
        <v>6400</v>
      </c>
      <c r="J52" s="147" t="n">
        <v>6.42</v>
      </c>
      <c r="K52" s="147" t="inlineStr">
        <is>
          <t>451.66.42HST</t>
        </is>
      </c>
      <c r="L52" s="149" t="n"/>
      <c r="M52" s="150" t="n">
        <v>3502388</v>
      </c>
      <c r="N52" s="150" t="inlineStr">
        <is>
          <t>No Key</t>
        </is>
      </c>
      <c r="O52" s="150" t="inlineStr">
        <is>
          <t>No Key</t>
        </is>
      </c>
      <c r="P52" s="19" t="n">
        <v>0</v>
      </c>
      <c r="Q52" s="147" t="n">
        <v>0</v>
      </c>
      <c r="R52" s="147" t="n">
        <v>16</v>
      </c>
      <c r="S52" s="147" t="n">
        <v>0</v>
      </c>
      <c r="T52" s="147">
        <f>R52-Q52</f>
        <v/>
      </c>
      <c r="U52" s="147" t="n"/>
      <c r="V52" s="147">
        <f>U52+T52+S52</f>
        <v/>
      </c>
      <c r="W52" s="19">
        <f>P52*1.5-V52</f>
        <v/>
      </c>
      <c r="X52" s="167">
        <f>IF(W52&gt;0,W52,0)</f>
        <v/>
      </c>
      <c r="Y52" s="167">
        <f>X52+U52</f>
        <v/>
      </c>
      <c r="Z52" s="185">
        <f>SUMIFS(meghsteelsales_previousmonth[Quantity],meghsteelsales_previousmonth[Length Bucket],O52)/1000</f>
        <v/>
      </c>
      <c r="AA52" s="185">
        <f>SUMIFS(meghsteelsales_currentmonth[Quantity],meghsteelsales_currentmonth[Length Bucket],O52)/1000</f>
        <v/>
      </c>
      <c r="AB52" s="185">
        <f>IF((Z52+AA52-Y52)&lt;0,(Z52+AA52-Y52),"")</f>
        <v/>
      </c>
    </row>
    <row r="53">
      <c r="A53" s="147" t="inlineStr">
        <is>
          <t>RE</t>
        </is>
      </c>
      <c r="B53" s="147" t="inlineStr">
        <is>
          <t>BELRISE</t>
        </is>
      </c>
      <c r="C53" s="153" t="inlineStr">
        <is>
          <t>ERW1</t>
        </is>
      </c>
      <c r="D53" s="147" t="inlineStr">
        <is>
          <t>FIN CUT</t>
        </is>
      </c>
      <c r="E53" s="147" t="inlineStr">
        <is>
          <t>ERW</t>
        </is>
      </c>
      <c r="F53" s="148" t="n">
        <v>48</v>
      </c>
      <c r="G53" s="148" t="n"/>
      <c r="H53" s="148" t="n">
        <v>1.2</v>
      </c>
      <c r="I53" s="147" t="n">
        <v>620</v>
      </c>
      <c r="J53" s="147" t="n">
        <v>0.62</v>
      </c>
      <c r="K53" s="147" t="n"/>
      <c r="L53" s="151" t="inlineStr">
        <is>
          <t>0789</t>
        </is>
      </c>
      <c r="M53" s="150" t="n">
        <v>2397072</v>
      </c>
      <c r="N53" s="150" t="inlineStr">
        <is>
          <t>48--1.2-ERW 1-FIN CUT</t>
        </is>
      </c>
      <c r="O53" s="150" t="inlineStr">
        <is>
          <t>48--1.2-ERW 1-FIN CUT-0.620</t>
        </is>
      </c>
      <c r="P53" s="19" t="n">
        <v>10</v>
      </c>
      <c r="Q53" s="147" t="n">
        <v>0</v>
      </c>
      <c r="R53" s="147" t="n">
        <v>0</v>
      </c>
      <c r="S53" s="147" t="n">
        <v>0</v>
      </c>
      <c r="T53" s="147">
        <f>R53-Q53</f>
        <v/>
      </c>
      <c r="U53" s="147" t="n"/>
      <c r="V53" s="147">
        <f>U53+T53+S53</f>
        <v/>
      </c>
      <c r="W53" s="19" t="n">
        <v>12</v>
      </c>
      <c r="X53" s="167">
        <f>IF(W53&gt;0,W53,0)</f>
        <v/>
      </c>
      <c r="Y53" s="167">
        <f>X53+U53</f>
        <v/>
      </c>
      <c r="Z53" s="185">
        <f>SUMIFS(meghsteelsales_previousmonth[Quantity],meghsteelsales_previousmonth[Length Bucket],O53)/1000</f>
        <v/>
      </c>
      <c r="AA53" s="185">
        <f>SUMIFS(meghsteelsales_currentmonth[Quantity],meghsteelsales_currentmonth[Length Bucket],O53)/1000</f>
        <v/>
      </c>
      <c r="AB53" s="185">
        <f>IF((Z53+AA53-Y53)&lt;0,(Z53+AA53-Y53),"")</f>
        <v/>
      </c>
    </row>
    <row r="54">
      <c r="A54" s="147" t="inlineStr">
        <is>
          <t>RE</t>
        </is>
      </c>
      <c r="B54" s="147" t="inlineStr">
        <is>
          <t>RAJSRIYA</t>
        </is>
      </c>
      <c r="C54" s="153" t="inlineStr">
        <is>
          <t>ERW1</t>
        </is>
      </c>
      <c r="D54" s="147" t="inlineStr">
        <is>
          <t>FIN CUT</t>
        </is>
      </c>
      <c r="E54" s="147" t="inlineStr">
        <is>
          <t>ERW</t>
        </is>
      </c>
      <c r="F54" s="148" t="n">
        <v>48</v>
      </c>
      <c r="G54" s="148" t="n"/>
      <c r="H54" s="148" t="n">
        <v>1.2</v>
      </c>
      <c r="I54" s="147" t="n">
        <v>700</v>
      </c>
      <c r="J54" s="147" t="n">
        <v>0.7</v>
      </c>
      <c r="K54" s="147" t="n"/>
      <c r="L54" s="151" t="inlineStr">
        <is>
          <t>0789</t>
        </is>
      </c>
      <c r="M54" s="150" t="n">
        <v>3649700</v>
      </c>
      <c r="N54" s="150" t="inlineStr">
        <is>
          <t>48--1.2-ERW 1-FIN CUT</t>
        </is>
      </c>
      <c r="O54" s="150" t="inlineStr">
        <is>
          <t>48--1.2-ERW 1-FIN CUT-0.7</t>
        </is>
      </c>
      <c r="P54" s="19" t="n">
        <v>12</v>
      </c>
      <c r="Q54" s="147" t="n">
        <v>0</v>
      </c>
      <c r="R54" s="147" t="n">
        <v>0</v>
      </c>
      <c r="S54" s="147" t="n">
        <v>0</v>
      </c>
      <c r="T54" s="147">
        <f>R54-Q54</f>
        <v/>
      </c>
      <c r="U54" s="147" t="n"/>
      <c r="V54" s="147">
        <f>U54+T54+S54</f>
        <v/>
      </c>
      <c r="W54" s="19" t="n">
        <v>10</v>
      </c>
      <c r="X54" s="167">
        <f>IF(W54&gt;0,W54,0)</f>
        <v/>
      </c>
      <c r="Y54" s="167">
        <f>X54+U54</f>
        <v/>
      </c>
      <c r="Z54" s="185">
        <f>SUMIFS(meghsteelsales_previousmonth[Quantity],meghsteelsales_previousmonth[Length Bucket],O54)/1000</f>
        <v/>
      </c>
      <c r="AA54" s="185">
        <f>SUMIFS(meghsteelsales_currentmonth[Quantity],meghsteelsales_currentmonth[Length Bucket],O54)/1000</f>
        <v/>
      </c>
      <c r="AB54" s="185">
        <f>IF((Z54+AA54-Y54)&lt;0,(Z54+AA54-Y54),"")</f>
        <v/>
      </c>
    </row>
    <row r="55">
      <c r="A55" s="147" t="inlineStr">
        <is>
          <t>HMSI</t>
        </is>
      </c>
      <c r="B55" s="147" t="inlineStr">
        <is>
          <t>BADVE</t>
        </is>
      </c>
      <c r="C55" s="153" t="inlineStr">
        <is>
          <t>ERW2</t>
        </is>
      </c>
      <c r="D55" s="147" t="inlineStr">
        <is>
          <t>FIN CUT</t>
        </is>
      </c>
      <c r="E55" s="147" t="inlineStr">
        <is>
          <t>HST</t>
        </is>
      </c>
      <c r="F55" s="148" t="n">
        <v>48.6</v>
      </c>
      <c r="G55" s="148" t="n"/>
      <c r="H55" s="148" t="n">
        <v>2</v>
      </c>
      <c r="I55" s="147" t="n">
        <v>6270</v>
      </c>
      <c r="J55" s="147" t="n">
        <v>6.27</v>
      </c>
      <c r="K55" s="147" t="inlineStr">
        <is>
          <t>48.626.27HST</t>
        </is>
      </c>
      <c r="L55" s="158" t="inlineStr">
        <is>
          <t>056</t>
        </is>
      </c>
      <c r="M55" s="150" t="n">
        <v>3502301</v>
      </c>
      <c r="N55" s="150" t="inlineStr">
        <is>
          <t>No Key</t>
        </is>
      </c>
      <c r="O55" s="150" t="inlineStr">
        <is>
          <t>No Key</t>
        </is>
      </c>
      <c r="P55" s="19" t="n">
        <v>0</v>
      </c>
      <c r="Q55" s="147" t="n">
        <v>0</v>
      </c>
      <c r="R55" s="147" t="n">
        <v>56</v>
      </c>
      <c r="S55" s="147" t="n">
        <v>0</v>
      </c>
      <c r="T55" s="147">
        <f>R55-Q55</f>
        <v/>
      </c>
      <c r="U55" s="147" t="n"/>
      <c r="V55" s="147">
        <f>U55+T55+S55</f>
        <v/>
      </c>
      <c r="W55" s="19">
        <f>P55*1.5-V55</f>
        <v/>
      </c>
      <c r="X55" s="167">
        <f>IF(W55&gt;0,W55,0)</f>
        <v/>
      </c>
      <c r="Y55" s="167">
        <f>X55+U55</f>
        <v/>
      </c>
      <c r="Z55" s="185">
        <f>SUMIFS(meghsteelsales_previousmonth[Quantity],meghsteelsales_previousmonth[Length Bucket],O55)/1000</f>
        <v/>
      </c>
      <c r="AA55" s="185">
        <f>SUMIFS(meghsteelsales_currentmonth[Quantity],meghsteelsales_currentmonth[Length Bucket],O55)/1000</f>
        <v/>
      </c>
      <c r="AB55" s="185">
        <f>IF((Z55+AA55-Y55)&lt;0,(Z55+AA55-Y55),"")</f>
        <v/>
      </c>
    </row>
    <row r="56">
      <c r="A56" s="147" t="inlineStr">
        <is>
          <t>HMSI</t>
        </is>
      </c>
      <c r="B56" s="147" t="inlineStr">
        <is>
          <t>BADVE</t>
        </is>
      </c>
      <c r="C56" s="153" t="inlineStr">
        <is>
          <t>ERW2</t>
        </is>
      </c>
      <c r="D56" s="147" t="inlineStr">
        <is>
          <t>FIN CUT</t>
        </is>
      </c>
      <c r="E56" s="147" t="inlineStr">
        <is>
          <t>HST</t>
        </is>
      </c>
      <c r="F56" s="148" t="n">
        <v>48.6</v>
      </c>
      <c r="G56" s="148" t="n"/>
      <c r="H56" s="148" t="n">
        <v>2.3</v>
      </c>
      <c r="I56" s="147" t="n">
        <v>6270</v>
      </c>
      <c r="J56" s="147" t="n">
        <v>6.27</v>
      </c>
      <c r="K56" s="147" t="inlineStr">
        <is>
          <t>48.62.36.27HST</t>
        </is>
      </c>
      <c r="L56" s="149" t="n"/>
      <c r="M56" s="150" t="n">
        <v>3549720</v>
      </c>
      <c r="N56" s="150" t="inlineStr">
        <is>
          <t>48.6-0-2.3-ERW 2-FC</t>
        </is>
      </c>
      <c r="O56" s="150" t="inlineStr">
        <is>
          <t>48.6-0-2.3-ERW 2-FC-6.27</t>
        </is>
      </c>
      <c r="P56" s="19" t="n">
        <v>0</v>
      </c>
      <c r="Q56" s="147" t="n">
        <v>0</v>
      </c>
      <c r="R56" s="147" t="n">
        <v>0</v>
      </c>
      <c r="S56" s="147" t="n">
        <v>0</v>
      </c>
      <c r="T56" s="147">
        <f>R56-Q56</f>
        <v/>
      </c>
      <c r="U56" s="147" t="n"/>
      <c r="V56" s="147">
        <f>U56+T56+S56</f>
        <v/>
      </c>
      <c r="W56" s="19">
        <f>P56*1.5-V56</f>
        <v/>
      </c>
      <c r="X56" s="167">
        <f>IF(W56&gt;0,W56,0)</f>
        <v/>
      </c>
      <c r="Y56" s="167">
        <f>X56+U56</f>
        <v/>
      </c>
      <c r="Z56" s="185">
        <f>SUMIFS(meghsteelsales_previousmonth[Quantity],meghsteelsales_previousmonth[Length Bucket],O56)/1000</f>
        <v/>
      </c>
      <c r="AA56" s="185">
        <f>SUMIFS(meghsteelsales_currentmonth[Quantity],meghsteelsales_currentmonth[Length Bucket],O56)/1000</f>
        <v/>
      </c>
      <c r="AB56" s="185">
        <f>IF((Z56+AA56-Y56)&lt;0,(Z56+AA56-Y56),"")</f>
        <v/>
      </c>
    </row>
    <row r="57">
      <c r="A57" s="147" t="inlineStr">
        <is>
          <t>HMSI</t>
        </is>
      </c>
      <c r="B57" s="147" t="inlineStr">
        <is>
          <t>BADVE</t>
        </is>
      </c>
      <c r="C57" s="153" t="inlineStr">
        <is>
          <t>ERW1</t>
        </is>
      </c>
      <c r="D57" s="147" t="inlineStr">
        <is>
          <t>FIN CUT</t>
        </is>
      </c>
      <c r="E57" s="147" t="inlineStr">
        <is>
          <t>ERW</t>
        </is>
      </c>
      <c r="F57" s="148" t="n">
        <v>48.6</v>
      </c>
      <c r="G57" s="148" t="n"/>
      <c r="H57" s="148" t="n">
        <v>3.5</v>
      </c>
      <c r="I57" s="147" t="n">
        <v>6000</v>
      </c>
      <c r="J57" s="147" t="n">
        <v>6</v>
      </c>
      <c r="K57" s="147" t="inlineStr">
        <is>
          <t>48.63.56ERW</t>
        </is>
      </c>
      <c r="L57" s="158" t="inlineStr">
        <is>
          <t>0789</t>
        </is>
      </c>
      <c r="M57" s="150" t="n">
        <v>3502422</v>
      </c>
      <c r="N57" s="150" t="inlineStr">
        <is>
          <t>48.6-0-3.5-ERW 1-FC</t>
        </is>
      </c>
      <c r="O57" s="150" t="inlineStr">
        <is>
          <t>48.6-0-3.5-ERW 1-FC-6</t>
        </is>
      </c>
      <c r="P57" s="19" t="n">
        <v>0</v>
      </c>
      <c r="Q57" s="147" t="n">
        <v>2</v>
      </c>
      <c r="R57" s="147" t="n">
        <v>8</v>
      </c>
      <c r="S57" s="147" t="n">
        <v>0</v>
      </c>
      <c r="T57" s="147">
        <f>R57-Q57</f>
        <v/>
      </c>
      <c r="U57" s="147" t="n"/>
      <c r="V57" s="147">
        <f>U57+T57+S57</f>
        <v/>
      </c>
      <c r="W57" s="19">
        <f>P57*1.5-V57</f>
        <v/>
      </c>
      <c r="X57" s="167">
        <f>IF(W57&gt;0,W57,0)</f>
        <v/>
      </c>
      <c r="Y57" s="167">
        <f>X57+U57</f>
        <v/>
      </c>
      <c r="Z57" s="185">
        <f>SUMIFS(meghsteelsales_previousmonth[Quantity],meghsteelsales_previousmonth[Length Bucket],O57)/1000</f>
        <v/>
      </c>
      <c r="AA57" s="185">
        <f>SUMIFS(meghsteelsales_currentmonth[Quantity],meghsteelsales_currentmonth[Length Bucket],O57)/1000</f>
        <v/>
      </c>
      <c r="AB57" s="185">
        <f>IF((Z57+AA57-Y57)&lt;0,(Z57+AA57-Y57),"")</f>
        <v/>
      </c>
    </row>
    <row r="58">
      <c r="A58" s="147" t="inlineStr">
        <is>
          <t>TVS</t>
        </is>
      </c>
      <c r="B58" s="147" t="inlineStr">
        <is>
          <t>RUCHA</t>
        </is>
      </c>
      <c r="C58" s="153" t="inlineStr">
        <is>
          <t>ERW1</t>
        </is>
      </c>
      <c r="D58" s="147" t="inlineStr">
        <is>
          <t>FIN CUT</t>
        </is>
      </c>
      <c r="E58" s="147" t="inlineStr">
        <is>
          <t>ERW</t>
        </is>
      </c>
      <c r="F58" s="168" t="inlineStr">
        <is>
          <t>59x30</t>
        </is>
      </c>
      <c r="G58" s="168" t="n"/>
      <c r="H58" s="168" t="n">
        <v>1.6</v>
      </c>
      <c r="I58" s="147" t="n">
        <v>6000</v>
      </c>
      <c r="J58" s="147" t="n"/>
      <c r="K58" s="147" t="n"/>
      <c r="L58" s="151" t="inlineStr">
        <is>
          <t>0789</t>
        </is>
      </c>
      <c r="M58" s="150" t="n">
        <v>1940925</v>
      </c>
      <c r="N58" s="150" t="inlineStr">
        <is>
          <t>59-30-1.6-ERW 1-FIN CUT</t>
        </is>
      </c>
      <c r="O58" s="150" t="inlineStr">
        <is>
          <t>59-30-1.6-ERW 1-FIN CUT-6</t>
        </is>
      </c>
      <c r="P58" s="19" t="n">
        <v>5</v>
      </c>
      <c r="Q58" s="147" t="n">
        <v>1</v>
      </c>
      <c r="R58" s="147" t="n">
        <v>6</v>
      </c>
      <c r="S58" s="147" t="n">
        <v>0</v>
      </c>
      <c r="T58" s="147">
        <f>R58-Q58</f>
        <v/>
      </c>
      <c r="U58" s="147" t="n"/>
      <c r="V58" s="147">
        <f>U58+T58+S58</f>
        <v/>
      </c>
      <c r="W58" s="19">
        <f>P58*1.5-V58</f>
        <v/>
      </c>
      <c r="X58" s="167" t="n">
        <v>5</v>
      </c>
      <c r="Y58" s="167">
        <f>X58+U58</f>
        <v/>
      </c>
      <c r="Z58" s="185">
        <f>SUMIFS(meghsteelsales_previousmonth[Quantity],meghsteelsales_previousmonth[Length Bucket],O58)/1000</f>
        <v/>
      </c>
      <c r="AA58" s="185">
        <f>SUMIFS(meghsteelsales_currentmonth[Quantity],meghsteelsales_currentmonth[Length Bucket],O58)/1000</f>
        <v/>
      </c>
      <c r="AB58" s="185">
        <f>IF((Z58+AA58-Y58)&lt;0,(Z58+AA58-Y58),"")</f>
        <v/>
      </c>
    </row>
    <row r="59">
      <c r="A59" s="147" t="inlineStr">
        <is>
          <t>RE</t>
        </is>
      </c>
      <c r="B59" s="147" t="inlineStr">
        <is>
          <t>KUNAL</t>
        </is>
      </c>
      <c r="C59" s="153" t="inlineStr">
        <is>
          <t>ERW1</t>
        </is>
      </c>
      <c r="D59" s="147" t="inlineStr">
        <is>
          <t>FIN CUT</t>
        </is>
      </c>
      <c r="E59" s="147" t="inlineStr">
        <is>
          <t>ERW</t>
        </is>
      </c>
      <c r="F59" s="168" t="inlineStr">
        <is>
          <t>59x30</t>
        </is>
      </c>
      <c r="G59" s="168" t="n"/>
      <c r="H59" s="168" t="n">
        <v>1.6</v>
      </c>
      <c r="I59" s="169" t="n">
        <v>572.5</v>
      </c>
      <c r="J59" s="147" t="n">
        <v>0.5725</v>
      </c>
      <c r="K59" s="147" t="inlineStr">
        <is>
          <t>59x301.60.5725ERW</t>
        </is>
      </c>
      <c r="L59" s="151" t="inlineStr">
        <is>
          <t>0789</t>
        </is>
      </c>
      <c r="M59" s="150" t="n">
        <v>3781647</v>
      </c>
      <c r="N59" s="150" t="inlineStr">
        <is>
          <t>59-30-1.6-ERW 1-FIN CUT</t>
        </is>
      </c>
      <c r="O59" s="150" t="inlineStr">
        <is>
          <t>59-30-1.6-ERW 1-FIN CUT-0.573</t>
        </is>
      </c>
      <c r="P59" s="19" t="n">
        <v>15</v>
      </c>
      <c r="Q59" s="147" t="n">
        <v>0</v>
      </c>
      <c r="R59" s="147" t="n">
        <v>0</v>
      </c>
      <c r="S59" s="147" t="n">
        <v>0</v>
      </c>
      <c r="T59" s="147">
        <f>R59-Q59</f>
        <v/>
      </c>
      <c r="U59" s="147" t="n"/>
      <c r="V59" s="147">
        <f>U59+T59+S59</f>
        <v/>
      </c>
      <c r="W59" s="19">
        <f>P59*1.5-V59</f>
        <v/>
      </c>
      <c r="X59" s="167">
        <f>IF(W59&gt;0,W59,0)</f>
        <v/>
      </c>
      <c r="Y59" s="167">
        <f>X59+U59</f>
        <v/>
      </c>
      <c r="Z59" s="185">
        <f>SUMIFS(meghsteelsales_previousmonth[Quantity],meghsteelsales_previousmonth[Length Bucket],O59)/1000</f>
        <v/>
      </c>
      <c r="AA59" s="185">
        <f>SUMIFS(meghsteelsales_currentmonth[Quantity],meghsteelsales_currentmonth[Length Bucket],O59)/1000</f>
        <v/>
      </c>
      <c r="AB59" s="185">
        <f>IF((Z59+AA59-Y59)&lt;0,(Z59+AA59-Y59),"")</f>
        <v/>
      </c>
    </row>
    <row r="60">
      <c r="A60" s="147" t="inlineStr">
        <is>
          <t>TVS</t>
        </is>
      </c>
      <c r="B60" s="147" t="inlineStr">
        <is>
          <t>RUCHA,METALMAN</t>
        </is>
      </c>
      <c r="C60" s="153" t="inlineStr">
        <is>
          <t>ERW1</t>
        </is>
      </c>
      <c r="D60" s="147" t="inlineStr">
        <is>
          <t>FIN CUT</t>
        </is>
      </c>
      <c r="E60" s="147" t="inlineStr">
        <is>
          <t>ERW</t>
        </is>
      </c>
      <c r="F60" s="148" t="n">
        <v>57.15</v>
      </c>
      <c r="G60" s="148" t="n"/>
      <c r="H60" s="148" t="n">
        <v>2.5</v>
      </c>
      <c r="I60" s="147" t="n">
        <v>5710</v>
      </c>
      <c r="J60" s="147" t="n">
        <v>5.71</v>
      </c>
      <c r="K60" s="147" t="n"/>
      <c r="L60" s="165" t="inlineStr">
        <is>
          <t>0789</t>
        </is>
      </c>
      <c r="M60" s="150" t="n">
        <v>3907863</v>
      </c>
      <c r="N60" s="150" t="inlineStr">
        <is>
          <t>57.15-0-2.5-ERW 1-FC</t>
        </is>
      </c>
      <c r="O60" s="150" t="inlineStr">
        <is>
          <t>57.15-0-2.5-ERW 1-FC-5.711</t>
        </is>
      </c>
      <c r="P60" s="19" t="n">
        <v>50</v>
      </c>
      <c r="Q60" s="147" t="n">
        <v>15</v>
      </c>
      <c r="R60" s="147" t="n">
        <v>12</v>
      </c>
      <c r="S60" s="147" t="n">
        <v>0</v>
      </c>
      <c r="T60" s="147">
        <f>R60-Q60</f>
        <v/>
      </c>
      <c r="U60" s="147" t="n">
        <v>65</v>
      </c>
      <c r="V60" s="147">
        <f>U60+T60+S60</f>
        <v/>
      </c>
      <c r="W60" s="19">
        <f>P60*1.5-V60</f>
        <v/>
      </c>
      <c r="X60" s="167">
        <f>IF(W60&gt;0,W60,0)</f>
        <v/>
      </c>
      <c r="Y60" s="167">
        <f>X60+U60</f>
        <v/>
      </c>
      <c r="Z60" s="185">
        <f>SUMIFS(meghsteelsales_previousmonth[Quantity],meghsteelsales_previousmonth[Length Bucket],O60)/1000</f>
        <v/>
      </c>
      <c r="AA60" s="185">
        <f>SUMIFS(meghsteelsales_currentmonth[Quantity],meghsteelsales_currentmonth[Length Bucket],O60)/1000</f>
        <v/>
      </c>
      <c r="AB60" s="185">
        <f>IF((Z60+AA60-Y60)&lt;0,(Z60+AA60-Y60),"")</f>
        <v/>
      </c>
    </row>
    <row r="61">
      <c r="A61" s="147" t="inlineStr">
        <is>
          <t>TVS</t>
        </is>
      </c>
      <c r="B61" s="147" t="inlineStr">
        <is>
          <t>RUCHA,METALMAN</t>
        </is>
      </c>
      <c r="C61" s="153" t="inlineStr">
        <is>
          <t>ERW1</t>
        </is>
      </c>
      <c r="D61" s="147" t="inlineStr">
        <is>
          <t>FIN CUT</t>
        </is>
      </c>
      <c r="E61" s="147" t="inlineStr">
        <is>
          <t>ERW</t>
        </is>
      </c>
      <c r="F61" s="148" t="n">
        <v>57.15</v>
      </c>
      <c r="G61" s="148" t="n"/>
      <c r="H61" s="148" t="n">
        <v>2.5</v>
      </c>
      <c r="I61" s="147" t="n">
        <v>6100</v>
      </c>
      <c r="J61" s="147" t="n">
        <v>6.75</v>
      </c>
      <c r="K61" s="147" t="n"/>
      <c r="L61" s="165" t="inlineStr">
        <is>
          <t>0789</t>
        </is>
      </c>
      <c r="M61" s="150" t="n">
        <v>3910001</v>
      </c>
      <c r="N61" s="150" t="inlineStr">
        <is>
          <t>57.15-0-2.5-ERW 1-FC</t>
        </is>
      </c>
      <c r="O61" s="150" t="inlineStr">
        <is>
          <t>57.15-0-2.5-ERW 1-FC-6.1</t>
        </is>
      </c>
      <c r="P61" s="19" t="n">
        <v>60</v>
      </c>
      <c r="Q61" s="147" t="n">
        <v>15</v>
      </c>
      <c r="R61" s="147" t="n">
        <v>10</v>
      </c>
      <c r="S61" s="147" t="n">
        <v>0</v>
      </c>
      <c r="T61" s="147">
        <f>R61-Q61</f>
        <v/>
      </c>
      <c r="U61" s="147" t="n">
        <v>46</v>
      </c>
      <c r="V61" s="147">
        <f>U61+T61+S61</f>
        <v/>
      </c>
      <c r="W61" s="19">
        <f>P61*1.5-V61</f>
        <v/>
      </c>
      <c r="X61" s="167">
        <f>IF(W61&gt;0,W61,0)</f>
        <v/>
      </c>
      <c r="Y61" s="167">
        <f>X61+U61</f>
        <v/>
      </c>
      <c r="Z61" s="185">
        <f>SUMIFS(meghsteelsales_previousmonth[Quantity],meghsteelsales_previousmonth[Length Bucket],O61)/1000</f>
        <v/>
      </c>
      <c r="AA61" s="185">
        <f>SUMIFS(meghsteelsales_currentmonth[Quantity],meghsteelsales_currentmonth[Length Bucket],O61)/1000</f>
        <v/>
      </c>
      <c r="AB61" s="185">
        <f>IF((Z61+AA61-Y61)&lt;0,(Z61+AA61-Y61),"")</f>
        <v/>
      </c>
    </row>
    <row r="62">
      <c r="A62" s="147" t="inlineStr">
        <is>
          <t>TVS</t>
        </is>
      </c>
      <c r="B62" s="147" t="inlineStr">
        <is>
          <t>RUCHA,METALMAN</t>
        </is>
      </c>
      <c r="C62" s="147" t="inlineStr">
        <is>
          <t>ERW1</t>
        </is>
      </c>
      <c r="D62" s="147" t="inlineStr">
        <is>
          <t>FIN CUT</t>
        </is>
      </c>
      <c r="E62" s="147" t="inlineStr">
        <is>
          <t>ERW</t>
        </is>
      </c>
      <c r="F62" s="148" t="n">
        <v>57.15</v>
      </c>
      <c r="G62" s="148" t="n"/>
      <c r="H62" s="148" t="n">
        <v>2.5</v>
      </c>
      <c r="I62" s="147" t="n">
        <v>5750</v>
      </c>
      <c r="J62" s="147" t="n">
        <v>6.75</v>
      </c>
      <c r="K62" s="147" t="n"/>
      <c r="L62" s="165" t="inlineStr">
        <is>
          <t>0789</t>
        </is>
      </c>
      <c r="M62" s="150" t="n">
        <v>3501047</v>
      </c>
      <c r="N62" s="150" t="inlineStr">
        <is>
          <t>57.15-0-2.5-ERW 1-FC</t>
        </is>
      </c>
      <c r="O62" s="150" t="inlineStr">
        <is>
          <t>57.15-0-2.5-ERW 1-FC-5.75</t>
        </is>
      </c>
      <c r="P62" s="19" t="n">
        <v>30</v>
      </c>
      <c r="Q62" s="147" t="n">
        <v>5</v>
      </c>
      <c r="R62" s="147" t="n">
        <v>10</v>
      </c>
      <c r="S62" s="147" t="n">
        <v>0</v>
      </c>
      <c r="T62" s="147">
        <f>R62-Q62</f>
        <v/>
      </c>
      <c r="U62" s="147" t="n">
        <v>36</v>
      </c>
      <c r="V62" s="147">
        <f>U62+T62+S62</f>
        <v/>
      </c>
      <c r="W62" s="19">
        <f>P62*1.5-V62</f>
        <v/>
      </c>
      <c r="X62" s="167">
        <f>IF(W62&gt;0,W62,0)</f>
        <v/>
      </c>
      <c r="Y62" s="167">
        <f>X62+U62</f>
        <v/>
      </c>
      <c r="Z62" s="185">
        <f>SUMIFS(meghsteelsales_previousmonth[Quantity],meghsteelsales_previousmonth[Length Bucket],O62)/1000</f>
        <v/>
      </c>
      <c r="AA62" s="185">
        <f>SUMIFS(meghsteelsales_currentmonth[Quantity],meghsteelsales_currentmonth[Length Bucket],O62)/1000</f>
        <v/>
      </c>
      <c r="AB62" s="185">
        <f>IF((Z62+AA62-Y62)&lt;0,(Z62+AA62-Y62),"")</f>
        <v/>
      </c>
    </row>
    <row r="63">
      <c r="A63" s="147" t="inlineStr">
        <is>
          <t>HMSI</t>
        </is>
      </c>
      <c r="B63" s="147" t="inlineStr">
        <is>
          <t>BADVE</t>
        </is>
      </c>
      <c r="C63" s="153" t="inlineStr">
        <is>
          <t>ERW1</t>
        </is>
      </c>
      <c r="D63" s="147" t="inlineStr">
        <is>
          <t>FIN CUT</t>
        </is>
      </c>
      <c r="E63" s="147" t="inlineStr">
        <is>
          <t>ERW</t>
        </is>
      </c>
      <c r="F63" s="148" t="n">
        <v>57.15</v>
      </c>
      <c r="G63" s="148" t="n"/>
      <c r="H63" s="148" t="n">
        <v>3</v>
      </c>
      <c r="I63" s="147" t="n">
        <v>5650</v>
      </c>
      <c r="J63" s="147" t="n">
        <v>5.65</v>
      </c>
      <c r="K63" s="147" t="inlineStr">
        <is>
          <t>57.1535.65ERW</t>
        </is>
      </c>
      <c r="L63" s="151" t="inlineStr">
        <is>
          <t>056</t>
        </is>
      </c>
      <c r="M63" s="150" t="n">
        <v>3501105</v>
      </c>
      <c r="N63" s="150" t="inlineStr">
        <is>
          <t>No Key</t>
        </is>
      </c>
      <c r="O63" s="150" t="inlineStr">
        <is>
          <t>No Key</t>
        </is>
      </c>
      <c r="P63" s="19" t="n">
        <v>0</v>
      </c>
      <c r="Q63" s="147" t="n">
        <v>0</v>
      </c>
      <c r="R63" s="147" t="n">
        <v>12</v>
      </c>
      <c r="S63" s="147" t="n">
        <v>0</v>
      </c>
      <c r="T63" s="147">
        <f>R63-Q63</f>
        <v/>
      </c>
      <c r="U63" s="147" t="n"/>
      <c r="V63" s="147">
        <f>U63+T63+S63</f>
        <v/>
      </c>
      <c r="W63" s="19">
        <f>P63*1.5-V63</f>
        <v/>
      </c>
      <c r="X63" s="167">
        <f>IF(W63&gt;0,W63,0)</f>
        <v/>
      </c>
      <c r="Y63" s="167">
        <f>X63+U63</f>
        <v/>
      </c>
      <c r="Z63" s="185">
        <f>SUMIFS(meghsteelsales_previousmonth[Quantity],meghsteelsales_previousmonth[Length Bucket],O63)/1000</f>
        <v/>
      </c>
      <c r="AA63" s="185">
        <f>SUMIFS(meghsteelsales_currentmonth[Quantity],meghsteelsales_currentmonth[Length Bucket],O63)/1000</f>
        <v/>
      </c>
      <c r="AB63" s="185">
        <f>IF((Z63+AA63-Y63)&lt;0,(Z63+AA63-Y63),"")</f>
        <v/>
      </c>
    </row>
    <row r="64">
      <c r="A64" s="147" t="inlineStr">
        <is>
          <t>TVS</t>
        </is>
      </c>
      <c r="B64" s="147" t="inlineStr">
        <is>
          <t>METALMAN</t>
        </is>
      </c>
      <c r="C64" s="153" t="inlineStr">
        <is>
          <t>ERW1</t>
        </is>
      </c>
      <c r="D64" s="147" t="inlineStr">
        <is>
          <t>FIN CUT</t>
        </is>
      </c>
      <c r="E64" s="147" t="inlineStr">
        <is>
          <t>ERW</t>
        </is>
      </c>
      <c r="F64" s="148" t="n">
        <v>60.3</v>
      </c>
      <c r="G64" s="148" t="n"/>
      <c r="H64" s="148" t="n">
        <v>2</v>
      </c>
      <c r="I64" s="147" t="n">
        <v>5900</v>
      </c>
      <c r="J64" s="147" t="n">
        <v>5.9</v>
      </c>
      <c r="K64" s="147" t="n"/>
      <c r="L64" s="151" t="inlineStr">
        <is>
          <t>0788</t>
        </is>
      </c>
      <c r="M64" s="150" t="n">
        <v>3905049</v>
      </c>
      <c r="N64" s="150" t="inlineStr">
        <is>
          <t>60.3-0-2-ERW 1-FC</t>
        </is>
      </c>
      <c r="O64" s="150" t="inlineStr">
        <is>
          <t>60.3-0-2-ERW 1-FC-5.9</t>
        </is>
      </c>
      <c r="P64" s="19" t="n">
        <v>30</v>
      </c>
      <c r="Q64" s="147" t="n">
        <v>6</v>
      </c>
      <c r="R64" s="147" t="n">
        <v>30</v>
      </c>
      <c r="S64" s="147" t="n">
        <v>0</v>
      </c>
      <c r="T64" s="147">
        <f>R64-Q64</f>
        <v/>
      </c>
      <c r="U64" s="160" t="n"/>
      <c r="V64" s="147">
        <f>U64+T64+S64</f>
        <v/>
      </c>
      <c r="W64" s="19">
        <f>P64*1.5-V64</f>
        <v/>
      </c>
      <c r="X64" s="167">
        <f>IF(W64&gt;0,W64,0)</f>
        <v/>
      </c>
      <c r="Y64" s="167">
        <f>X64+U64</f>
        <v/>
      </c>
      <c r="Z64" s="185">
        <f>SUMIFS(meghsteelsales_previousmonth[Quantity],meghsteelsales_previousmonth[Length Bucket],O64)/1000</f>
        <v/>
      </c>
      <c r="AA64" s="185">
        <f>SUMIFS(meghsteelsales_currentmonth[Quantity],meghsteelsales_currentmonth[Length Bucket],O64)/1000</f>
        <v/>
      </c>
      <c r="AB64" s="185">
        <f>IF((Z64+AA64-Y64)&lt;0,(Z64+AA64-Y64),"")</f>
        <v/>
      </c>
    </row>
    <row r="65">
      <c r="A65" s="147" t="inlineStr">
        <is>
          <t>HMSI</t>
        </is>
      </c>
      <c r="B65" s="147" t="inlineStr">
        <is>
          <t>INDO</t>
        </is>
      </c>
      <c r="C65" s="153" t="inlineStr">
        <is>
          <t>CEW</t>
        </is>
      </c>
      <c r="D65" s="147" t="inlineStr">
        <is>
          <t>FIN CUT</t>
        </is>
      </c>
      <c r="E65" s="147" t="inlineStr">
        <is>
          <t>CEW</t>
        </is>
      </c>
      <c r="F65" s="148" t="n">
        <v>30</v>
      </c>
      <c r="G65" s="148" t="n">
        <v>23.9</v>
      </c>
      <c r="H65" s="148" t="n">
        <v>3.025</v>
      </c>
      <c r="I65" s="147" t="n">
        <v>6000</v>
      </c>
      <c r="J65" s="147" t="n">
        <v>6</v>
      </c>
      <c r="K65" s="147" t="n"/>
      <c r="L65" s="151" t="inlineStr">
        <is>
          <t>0788</t>
        </is>
      </c>
      <c r="M65" s="150" t="n">
        <v>3411883</v>
      </c>
      <c r="N65" s="150" t="inlineStr">
        <is>
          <t>No Key</t>
        </is>
      </c>
      <c r="O65" s="150" t="inlineStr">
        <is>
          <t>No Key</t>
        </is>
      </c>
      <c r="P65" s="19" t="n">
        <v>0</v>
      </c>
      <c r="Q65" s="147" t="n">
        <v>0</v>
      </c>
      <c r="R65" s="147" t="n">
        <v>16</v>
      </c>
      <c r="S65" s="147" t="n">
        <v>0</v>
      </c>
      <c r="T65" s="147">
        <f>R65-Q65</f>
        <v/>
      </c>
      <c r="U65" s="160" t="n">
        <v>4</v>
      </c>
      <c r="V65" s="147">
        <f>U65+T65+S65</f>
        <v/>
      </c>
      <c r="W65" s="19">
        <f>P65*1.5-V65</f>
        <v/>
      </c>
      <c r="X65" s="167">
        <f>IF(W65&gt;0,W65,0)</f>
        <v/>
      </c>
      <c r="Y65" s="167">
        <f>X65+U65</f>
        <v/>
      </c>
      <c r="Z65" s="185">
        <f>SUMIFS(meghsteelsales_previousmonth[Quantity],meghsteelsales_previousmonth[Length Bucket],O65)/1000</f>
        <v/>
      </c>
      <c r="AA65" s="185">
        <f>SUMIFS(meghsteelsales_currentmonth[Quantity],meghsteelsales_currentmonth[Length Bucket],O65)/1000</f>
        <v/>
      </c>
      <c r="AB65" s="185">
        <f>IF((Z65+AA65-Y65)&lt;0,(Z65+AA65-Y65),"")</f>
        <v/>
      </c>
    </row>
    <row r="66">
      <c r="A66" s="147" t="inlineStr">
        <is>
          <t>HMSI</t>
        </is>
      </c>
      <c r="B66" s="147" t="inlineStr">
        <is>
          <t>INDO</t>
        </is>
      </c>
      <c r="C66" s="153" t="inlineStr">
        <is>
          <t>CEW</t>
        </is>
      </c>
      <c r="D66" s="147" t="inlineStr">
        <is>
          <t>FIN CUT</t>
        </is>
      </c>
      <c r="E66" s="147" t="inlineStr">
        <is>
          <t>CEW</t>
        </is>
      </c>
      <c r="F66" s="148" t="n">
        <v>18</v>
      </c>
      <c r="G66" s="148" t="n">
        <v>10.8</v>
      </c>
      <c r="H66" s="148">
        <f>((F66-G66)/2)</f>
        <v/>
      </c>
      <c r="I66" s="147" t="n">
        <v>5000</v>
      </c>
      <c r="J66" s="147" t="n">
        <v>5</v>
      </c>
      <c r="K66" s="147" t="n"/>
      <c r="L66" s="151" t="inlineStr">
        <is>
          <t>0788</t>
        </is>
      </c>
      <c r="M66" s="150" t="n">
        <v>2397481</v>
      </c>
      <c r="N66" s="150" t="inlineStr">
        <is>
          <t>No Key</t>
        </is>
      </c>
      <c r="O66" s="150" t="inlineStr">
        <is>
          <t>No Key</t>
        </is>
      </c>
      <c r="P66" s="19" t="n">
        <v>10</v>
      </c>
      <c r="Q66" s="147" t="n">
        <v>0</v>
      </c>
      <c r="R66" s="147" t="n">
        <v>0</v>
      </c>
      <c r="S66" s="147" t="n">
        <v>0</v>
      </c>
      <c r="T66" s="147">
        <f>R66-Q66</f>
        <v/>
      </c>
      <c r="U66" s="160" t="n"/>
      <c r="V66" s="147">
        <f>U66+T66+S66</f>
        <v/>
      </c>
      <c r="W66" s="19">
        <f>P66*1.5-V66</f>
        <v/>
      </c>
      <c r="X66" s="167">
        <f>IF(W66&gt;0,W66,0)</f>
        <v/>
      </c>
      <c r="Y66" s="167">
        <f>X66+U66</f>
        <v/>
      </c>
      <c r="Z66" s="185">
        <f>SUMIFS(meghsteelsales_previousmonth[Quantity],meghsteelsales_previousmonth[Length Bucket],O66)/1000</f>
        <v/>
      </c>
      <c r="AA66" s="185">
        <f>SUMIFS(meghsteelsales_currentmonth[Quantity],meghsteelsales_currentmonth[Length Bucket],O66)/1000</f>
        <v/>
      </c>
      <c r="AB66" s="185">
        <f>IF((Z66+AA66-Y66)&lt;0,(Z66+AA66-Y66),"")</f>
        <v/>
      </c>
    </row>
    <row r="67">
      <c r="A67" s="147" t="inlineStr">
        <is>
          <t>HMSI</t>
        </is>
      </c>
      <c r="B67" s="147" t="inlineStr">
        <is>
          <t>INDO</t>
        </is>
      </c>
      <c r="C67" s="153" t="inlineStr">
        <is>
          <t>CEW2</t>
        </is>
      </c>
      <c r="D67" s="147" t="inlineStr">
        <is>
          <t>FIN CUT</t>
        </is>
      </c>
      <c r="E67" s="147" t="inlineStr">
        <is>
          <t>CEW2</t>
        </is>
      </c>
      <c r="F67" s="148" t="n">
        <v>15</v>
      </c>
      <c r="G67" s="148" t="n">
        <v>10.3</v>
      </c>
      <c r="H67" s="148">
        <f>((F67-G67)/2)</f>
        <v/>
      </c>
      <c r="I67" s="147" t="n">
        <v>6000</v>
      </c>
      <c r="J67" s="147" t="n">
        <v>6</v>
      </c>
      <c r="K67" s="147" t="n"/>
      <c r="L67" s="151" t="inlineStr">
        <is>
          <t>0788</t>
        </is>
      </c>
      <c r="M67" s="150" t="n">
        <v>3634582</v>
      </c>
      <c r="N67" s="150" t="inlineStr">
        <is>
          <t>No Key</t>
        </is>
      </c>
      <c r="O67" s="150" t="inlineStr">
        <is>
          <t>No Key</t>
        </is>
      </c>
      <c r="P67" s="19" t="n">
        <v>7</v>
      </c>
      <c r="Q67" s="147" t="n">
        <v>0</v>
      </c>
      <c r="R67" s="147" t="n">
        <v>0</v>
      </c>
      <c r="S67" s="147" t="n">
        <v>0</v>
      </c>
      <c r="T67" s="147">
        <f>R67-Q67</f>
        <v/>
      </c>
      <c r="U67" s="160" t="n"/>
      <c r="V67" s="147">
        <f>U67+T67+S67</f>
        <v/>
      </c>
      <c r="W67" s="19">
        <f>P67*1.5-V67</f>
        <v/>
      </c>
      <c r="X67" s="167">
        <f>IF(W67&gt;0,W67,0)</f>
        <v/>
      </c>
      <c r="Y67" s="167">
        <f>X67+U67</f>
        <v/>
      </c>
      <c r="Z67" s="185">
        <f>SUMIFS(meghsteelsales_previousmonth[Quantity],meghsteelsales_previousmonth[Length Bucket],O67)/1000</f>
        <v/>
      </c>
      <c r="AA67" s="185">
        <f>SUMIFS(meghsteelsales_currentmonth[Quantity],meghsteelsales_currentmonth[Length Bucket],O67)/1000</f>
        <v/>
      </c>
      <c r="AB67" s="185">
        <f>IF((Z67+AA67-Y67)&lt;0,(Z67+AA67-Y67),"")</f>
        <v/>
      </c>
    </row>
    <row r="68">
      <c r="A68" s="147" t="inlineStr">
        <is>
          <t>HMSI</t>
        </is>
      </c>
      <c r="B68" s="147" t="inlineStr">
        <is>
          <t>INDO</t>
        </is>
      </c>
      <c r="C68" s="153" t="inlineStr">
        <is>
          <t>CEW</t>
        </is>
      </c>
      <c r="D68" s="147" t="inlineStr">
        <is>
          <t>FIN CUT</t>
        </is>
      </c>
      <c r="E68" s="147" t="inlineStr">
        <is>
          <t>CEW</t>
        </is>
      </c>
      <c r="F68" s="148" t="n">
        <v>19.1</v>
      </c>
      <c r="G68" s="148" t="n">
        <v>16.1</v>
      </c>
      <c r="H68" s="148">
        <f>((F68-G68)/2)</f>
        <v/>
      </c>
      <c r="I68" s="147" t="n">
        <v>4400</v>
      </c>
      <c r="J68" s="147" t="n">
        <v>6</v>
      </c>
      <c r="K68" s="147" t="n"/>
      <c r="L68" s="151" t="inlineStr">
        <is>
          <t>0788</t>
        </is>
      </c>
      <c r="M68" s="150" t="n"/>
      <c r="N68" s="150" t="e">
        <v>#N/A</v>
      </c>
      <c r="O68" s="150" t="e">
        <v>#N/A</v>
      </c>
      <c r="P68" s="19" t="n">
        <v>8</v>
      </c>
      <c r="Q68" s="147" t="n">
        <v>0</v>
      </c>
      <c r="R68" s="147" t="n">
        <v>0</v>
      </c>
      <c r="S68" s="147" t="n">
        <v>0</v>
      </c>
      <c r="T68" s="147">
        <f>R68-Q68</f>
        <v/>
      </c>
      <c r="U68" s="160" t="n"/>
      <c r="V68" s="147">
        <f>U68+T68+S68</f>
        <v/>
      </c>
      <c r="W68" s="19">
        <f>P68*1.5-V68</f>
        <v/>
      </c>
      <c r="X68" s="167">
        <f>IF(W68&gt;0,W68,0)</f>
        <v/>
      </c>
      <c r="Y68" s="167">
        <f>X68+U68</f>
        <v/>
      </c>
      <c r="Z68" s="185">
        <f>SUMIFS(meghsteelsales_previousmonth[Quantity],meghsteelsales_previousmonth[Length Bucket],O68)/1000</f>
        <v/>
      </c>
      <c r="AA68" s="185">
        <f>SUMIFS(meghsteelsales_currentmonth[Quantity],meghsteelsales_currentmonth[Length Bucket],O68)/1000</f>
        <v/>
      </c>
      <c r="AB68" s="185">
        <f>IF((Z68+AA68-Y68)&lt;0,(Z68+AA68-Y68),"")</f>
        <v/>
      </c>
    </row>
    <row r="69">
      <c r="A69" s="147" t="inlineStr">
        <is>
          <t>HMSI</t>
        </is>
      </c>
      <c r="B69" s="147" t="inlineStr">
        <is>
          <t>INDO</t>
        </is>
      </c>
      <c r="C69" s="153" t="inlineStr">
        <is>
          <t>CEW</t>
        </is>
      </c>
      <c r="D69" s="147" t="inlineStr">
        <is>
          <t>FIN CUT</t>
        </is>
      </c>
      <c r="E69" s="147" t="inlineStr">
        <is>
          <t>CEW</t>
        </is>
      </c>
      <c r="F69" s="148" t="n">
        <v>21.7</v>
      </c>
      <c r="G69" s="148" t="n">
        <v>16.8</v>
      </c>
      <c r="H69" s="148">
        <f>((F69-G69)/2)</f>
        <v/>
      </c>
      <c r="I69" s="147" t="n">
        <v>6000</v>
      </c>
      <c r="J69" s="147" t="n">
        <v>6</v>
      </c>
      <c r="K69" s="147" t="n"/>
      <c r="L69" s="151" t="inlineStr">
        <is>
          <t>0788</t>
        </is>
      </c>
      <c r="M69" s="150" t="n">
        <v>1938393</v>
      </c>
      <c r="N69" s="150" t="inlineStr">
        <is>
          <t>No Key</t>
        </is>
      </c>
      <c r="O69" s="150" t="inlineStr">
        <is>
          <t>No Key</t>
        </is>
      </c>
      <c r="P69" s="19" t="n">
        <v>2</v>
      </c>
      <c r="Q69" s="147" t="n">
        <v>0</v>
      </c>
      <c r="R69" s="147" t="n">
        <v>0</v>
      </c>
      <c r="S69" s="147" t="n">
        <v>0</v>
      </c>
      <c r="T69" s="147">
        <f>R69-Q69</f>
        <v/>
      </c>
      <c r="U69" s="160" t="n"/>
      <c r="V69" s="147">
        <f>U69+T69+S69</f>
        <v/>
      </c>
      <c r="W69" s="19">
        <f>P69*1.5-V69</f>
        <v/>
      </c>
      <c r="X69" s="167">
        <f>IF(W69&gt;0,W69,0)</f>
        <v/>
      </c>
      <c r="Y69" s="167">
        <f>X69+U69</f>
        <v/>
      </c>
      <c r="Z69" s="185">
        <f>SUMIFS(meghsteelsales_previousmonth[Quantity],meghsteelsales_previousmonth[Length Bucket],O69)/1000</f>
        <v/>
      </c>
      <c r="AA69" s="185">
        <f>SUMIFS(meghsteelsales_currentmonth[Quantity],meghsteelsales_currentmonth[Length Bucket],O69)/1000</f>
        <v/>
      </c>
      <c r="AB69" s="185">
        <f>IF((Z69+AA69-Y69)&lt;0,(Z69+AA69-Y69),"")</f>
        <v/>
      </c>
    </row>
    <row r="70">
      <c r="A70" s="147" t="inlineStr">
        <is>
          <t>HMSI</t>
        </is>
      </c>
      <c r="B70" s="147" t="inlineStr">
        <is>
          <t>INDO</t>
        </is>
      </c>
      <c r="C70" s="153" t="inlineStr">
        <is>
          <t>ERW</t>
        </is>
      </c>
      <c r="D70" s="147" t="inlineStr">
        <is>
          <t>FIN CUT</t>
        </is>
      </c>
      <c r="E70" s="147" t="inlineStr">
        <is>
          <t>ERW</t>
        </is>
      </c>
      <c r="F70" s="148" t="n">
        <v>28.6</v>
      </c>
      <c r="G70" s="148" t="n"/>
      <c r="H70" s="148" t="n">
        <v>3.2</v>
      </c>
      <c r="I70" s="147" t="n">
        <v>6000</v>
      </c>
      <c r="J70" s="147" t="n">
        <v>6</v>
      </c>
      <c r="K70" s="147" t="n"/>
      <c r="L70" s="151" t="n"/>
      <c r="M70" s="150" t="n">
        <v>1940627</v>
      </c>
      <c r="N70" s="150" t="inlineStr">
        <is>
          <t>No Key</t>
        </is>
      </c>
      <c r="O70" s="150" t="inlineStr">
        <is>
          <t>No Key</t>
        </is>
      </c>
      <c r="P70" s="19" t="n">
        <v>10</v>
      </c>
      <c r="Q70" s="147" t="n">
        <v>0</v>
      </c>
      <c r="R70" s="147" t="n">
        <v>34</v>
      </c>
      <c r="S70" s="147" t="n">
        <v>0</v>
      </c>
      <c r="T70" s="147">
        <f>R70-Q70</f>
        <v/>
      </c>
      <c r="U70" s="160" t="n"/>
      <c r="V70" s="147">
        <f>U70+T70+S70</f>
        <v/>
      </c>
      <c r="W70" s="19">
        <f>P70*1.5-V70</f>
        <v/>
      </c>
      <c r="X70" s="167">
        <f>IF(W70&gt;0,W70,0)</f>
        <v/>
      </c>
      <c r="Y70" s="167">
        <f>X70+U70</f>
        <v/>
      </c>
      <c r="Z70" s="185">
        <f>SUMIFS(meghsteelsales_previousmonth[Quantity],meghsteelsales_previousmonth[Length Bucket],O70)/1000</f>
        <v/>
      </c>
      <c r="AA70" s="185">
        <f>SUMIFS(meghsteelsales_currentmonth[Quantity],meghsteelsales_currentmonth[Length Bucket],O70)/1000</f>
        <v/>
      </c>
      <c r="AB70" s="185">
        <f>IF((Z70+AA70-Y70)&lt;0,(Z70+AA70-Y70),"")</f>
        <v/>
      </c>
    </row>
    <row r="71">
      <c r="A71" s="187" t="n"/>
      <c r="B71" s="187" t="n"/>
      <c r="C71" s="188" t="n"/>
      <c r="D71" s="187" t="n"/>
      <c r="E71" s="187" t="n"/>
      <c r="F71" s="189" t="n"/>
      <c r="G71" s="189" t="n"/>
      <c r="H71" s="189" t="n"/>
      <c r="I71" s="147" t="n"/>
      <c r="J71" s="147" t="n"/>
      <c r="K71" s="147" t="n"/>
      <c r="L71" s="151" t="n"/>
      <c r="M71" s="150" t="n"/>
      <c r="N71" s="150" t="inlineStr">
        <is>
          <t>50-6-SLT</t>
        </is>
      </c>
      <c r="O71" s="150" t="inlineStr">
        <is>
          <t>50-6-SLT-4.775</t>
        </is>
      </c>
      <c r="P71" s="19" t="n"/>
      <c r="Q71" s="147" t="n"/>
      <c r="R71" s="147" t="n"/>
      <c r="S71" s="147" t="n"/>
      <c r="T71" s="147" t="n"/>
      <c r="U71" s="160" t="n"/>
      <c r="V71" s="147" t="n"/>
      <c r="W71" s="19" t="n"/>
      <c r="X71" s="167" t="n"/>
      <c r="Y71" s="167" t="n"/>
      <c r="Z71" s="185">
        <f>SUMIFS(meghsteelsales_previousmonth[Quantity],meghsteelsales_previousmonth[Length Bucket],O71)/1000</f>
        <v/>
      </c>
      <c r="AA71" s="185" t="n"/>
      <c r="AB71" s="185">
        <f>IF((Z71+AA71-Y71)&lt;0,(Z71+AA71-Y71),"")</f>
        <v/>
      </c>
    </row>
    <row r="72">
      <c r="I72" s="152" t="inlineStr">
        <is>
          <t>TOTAL</t>
        </is>
      </c>
      <c r="J72" s="152" t="n"/>
      <c r="K72" s="152" t="n"/>
      <c r="L72" s="152" t="n"/>
      <c r="M72" s="152" t="n"/>
      <c r="N72" s="152" t="n"/>
      <c r="O72" s="152" t="n"/>
      <c r="P72" s="152">
        <f>SUM(P2:P70)</f>
        <v/>
      </c>
      <c r="Q72" s="152">
        <f>SUM(Q2:Q70)</f>
        <v/>
      </c>
      <c r="R72" s="152">
        <f>SUM(R2:R70)</f>
        <v/>
      </c>
      <c r="S72" s="152">
        <f>SUM(S2:S70)</f>
        <v/>
      </c>
      <c r="T72" s="152">
        <f>SUM(T2:T64)</f>
        <v/>
      </c>
      <c r="U72" s="152">
        <f>SUM(U2:U64)</f>
        <v/>
      </c>
      <c r="V72" s="152">
        <f>SUM(V2:V70)</f>
        <v/>
      </c>
      <c r="W72" s="152">
        <f>SUM(W2:W70)</f>
        <v/>
      </c>
      <c r="X72" s="172">
        <f>SUM(X2:X70)</f>
        <v/>
      </c>
      <c r="Y72" s="172" t="n"/>
      <c r="Z72" s="62">
        <f>SUM(Z2:Z71)</f>
        <v/>
      </c>
      <c r="AA72" s="15">
        <f>SUM(AA2:AA70)</f>
        <v/>
      </c>
      <c r="AB72" s="15" t="n"/>
    </row>
    <row r="73">
      <c r="X73" s="173" t="n"/>
      <c r="Y73" s="173" t="n"/>
    </row>
    <row r="74">
      <c r="X74" s="173" t="n"/>
      <c r="Y74" s="173" t="n"/>
    </row>
    <row r="75">
      <c r="X75" s="173" t="n"/>
      <c r="Y75" s="173" t="n"/>
    </row>
    <row r="76">
      <c r="X76" s="173" t="n"/>
      <c r="Y76" s="173" t="n"/>
    </row>
    <row r="77">
      <c r="X77" s="173" t="n"/>
      <c r="Y77" s="173" t="n"/>
    </row>
    <row r="78">
      <c r="X78" s="173" t="n"/>
      <c r="Y78" s="173" t="n"/>
    </row>
    <row r="79">
      <c r="X79" s="173" t="n"/>
      <c r="Y79" s="173" t="n"/>
    </row>
    <row r="80">
      <c r="X80" s="173" t="n"/>
      <c r="Y80" s="173" t="n"/>
    </row>
    <row r="81">
      <c r="X81" s="173" t="n"/>
      <c r="Y81" s="173" t="n"/>
    </row>
    <row r="82">
      <c r="X82" s="173" t="n"/>
      <c r="Y82" s="173" t="n"/>
    </row>
    <row r="83">
      <c r="X83" s="173" t="n"/>
      <c r="Y83" s="173" t="n"/>
    </row>
    <row r="84">
      <c r="L84" t="n">
        <v>0.6919999999999999</v>
      </c>
      <c r="X84" s="173" t="n"/>
      <c r="Y84" s="173" t="n"/>
    </row>
    <row r="85">
      <c r="L85" t="n">
        <v>1.24</v>
      </c>
      <c r="X85" s="173" t="n"/>
      <c r="Y85" s="173" t="n"/>
    </row>
    <row r="86">
      <c r="L86" t="n">
        <v>1.497</v>
      </c>
      <c r="X86" s="173" t="n"/>
      <c r="Y86" s="173" t="n"/>
    </row>
    <row r="87">
      <c r="L87" t="n">
        <v>1.533</v>
      </c>
      <c r="X87" s="173" t="n"/>
      <c r="Y87" s="173" t="n"/>
    </row>
    <row r="88">
      <c r="L88" t="n">
        <v>1.288</v>
      </c>
      <c r="X88" s="173" t="n"/>
      <c r="Y88" s="173" t="n"/>
    </row>
    <row r="89">
      <c r="L89" t="n">
        <v>1.405</v>
      </c>
      <c r="X89" s="173" t="n"/>
      <c r="Y89" s="173" t="n"/>
    </row>
    <row r="90">
      <c r="X90" s="173" t="n"/>
      <c r="Y90" s="173" t="n"/>
    </row>
    <row r="91">
      <c r="X91" s="173" t="n"/>
      <c r="Y91" s="173" t="n"/>
    </row>
    <row r="92">
      <c r="X92" s="173" t="n"/>
      <c r="Y92" s="173" t="n"/>
    </row>
    <row r="93">
      <c r="X93" s="173" t="n"/>
      <c r="Y93" s="173" t="n"/>
    </row>
    <row r="94">
      <c r="X94" s="173" t="n"/>
      <c r="Y94" s="173" t="n"/>
    </row>
    <row r="95">
      <c r="X95" s="173" t="n"/>
      <c r="Y95" s="173" t="n"/>
    </row>
    <row r="96">
      <c r="X96" s="173" t="n"/>
      <c r="Y96" s="173" t="n"/>
    </row>
    <row r="97">
      <c r="X97" s="173" t="n"/>
      <c r="Y97" s="173" t="n"/>
    </row>
  </sheetData>
  <autoFilter ref="A1:AA72"/>
  <conditionalFormatting sqref="O11">
    <cfRule type="duplicateValues" priority="1" dxfId="0"/>
  </conditionalFormatting>
  <conditionalFormatting sqref="O49">
    <cfRule type="duplicateValues" priority="2" dxfId="0"/>
  </conditionalFormatting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 codeName="Sheet30">
    <outlinePr summaryBelow="1" summaryRight="1"/>
    <pageSetUpPr/>
  </sheetPr>
  <dimension ref="A1:AA87"/>
  <sheetViews>
    <sheetView topLeftCell="C1" workbookViewId="0">
      <pane ySplit="1" topLeftCell="A2" activePane="bottomLeft" state="frozen"/>
      <selection activeCell="X3" sqref="X3"/>
      <selection pane="bottomLeft" activeCell="Y2" sqref="Y2:AA2"/>
    </sheetView>
  </sheetViews>
  <sheetFormatPr baseColWidth="8" defaultRowHeight="15"/>
  <cols>
    <col width="10.42578125" customWidth="1" style="584" min="2" max="3"/>
    <col width="5.7109375" customWidth="1" style="584" min="5" max="5"/>
    <col width="7.7109375" customWidth="1" style="584" min="6" max="6"/>
    <col width="6.140625" customWidth="1" style="584" min="7" max="7"/>
    <col width="6.7109375" customWidth="1" style="584" min="8" max="8"/>
    <col width="7.85546875" customWidth="1" style="584" min="9" max="9"/>
    <col width="7.7109375" customWidth="1" style="584" min="10" max="10"/>
    <col width="12.28515625" customWidth="1" style="584" min="11" max="12"/>
    <col width="12.28515625" customWidth="1" style="199" min="13" max="14"/>
    <col width="24.140625" customWidth="1" style="199" min="15" max="15"/>
    <col hidden="1" outlineLevel="1" width="12.28515625" customWidth="1" style="584" min="16" max="17"/>
    <col hidden="1" outlineLevel="1" width="8.28515625" customWidth="1" style="584" min="18" max="18"/>
    <col hidden="1" outlineLevel="1" width="8.85546875" customWidth="1" style="584" min="19" max="19"/>
    <col hidden="1" outlineLevel="1" width="12.28515625" customWidth="1" style="584" min="20" max="20"/>
    <col hidden="1" outlineLevel="1" width="9.140625" customWidth="1" style="584" min="21" max="22"/>
    <col hidden="1" outlineLevel="1" width="12.5703125" customWidth="1" style="162" min="23" max="23"/>
    <col collapsed="1" width="15.5703125" customWidth="1" style="174" min="24" max="24"/>
    <col width="9.140625" customWidth="1" style="584" min="25" max="26"/>
  </cols>
  <sheetData>
    <row r="1" ht="63.75" customHeight="1" s="584">
      <c r="A1" s="138" t="n"/>
      <c r="B1" s="138" t="inlineStr">
        <is>
          <t>Customer</t>
        </is>
      </c>
      <c r="C1" s="615" t="inlineStr">
        <is>
          <t>Metallurgy condition</t>
        </is>
      </c>
      <c r="D1" s="140" t="inlineStr">
        <is>
          <t>Material Type</t>
        </is>
      </c>
      <c r="E1" s="138" t="inlineStr">
        <is>
          <t>GRADE</t>
        </is>
      </c>
      <c r="F1" s="141" t="inlineStr">
        <is>
          <t>OD</t>
        </is>
      </c>
      <c r="G1" s="141" t="inlineStr">
        <is>
          <t>ID</t>
        </is>
      </c>
      <c r="H1" s="141" t="inlineStr">
        <is>
          <t>THK</t>
        </is>
      </c>
      <c r="I1" s="138" t="inlineStr">
        <is>
          <t>LENGTH</t>
        </is>
      </c>
      <c r="J1" s="140" t="inlineStr">
        <is>
          <t>Length in Mtrs</t>
        </is>
      </c>
      <c r="K1" s="138" t="inlineStr">
        <is>
          <t>Key</t>
        </is>
      </c>
      <c r="L1" s="138" t="inlineStr">
        <is>
          <t>plant</t>
        </is>
      </c>
      <c r="M1" s="195" t="inlineStr">
        <is>
          <t>TSL Material Code</t>
        </is>
      </c>
      <c r="N1" s="195" t="inlineStr">
        <is>
          <t>Bucket</t>
        </is>
      </c>
      <c r="O1" s="195" t="inlineStr">
        <is>
          <t>CTL Bucket</t>
        </is>
      </c>
      <c r="P1" s="143" t="inlineStr">
        <is>
          <t>SCH MAR- 25</t>
        </is>
      </c>
      <c r="Q1" s="140" t="inlineStr">
        <is>
          <t>BALANCE TO BE SUPPLY</t>
        </is>
      </c>
      <c r="R1" s="144" t="inlineStr">
        <is>
          <t>Stock     22-03-25</t>
        </is>
      </c>
      <c r="S1" s="140" t="inlineStr">
        <is>
          <t xml:space="preserve">intransist </t>
        </is>
      </c>
      <c r="T1" s="140" t="inlineStr">
        <is>
          <t>OPENIG STOCK FOR APR-2025</t>
        </is>
      </c>
      <c r="U1" s="140" t="inlineStr">
        <is>
          <t xml:space="preserve">order logg </t>
        </is>
      </c>
      <c r="V1" s="140" t="inlineStr">
        <is>
          <t>Opening stock including order logger</t>
        </is>
      </c>
      <c r="W1" s="145" t="inlineStr">
        <is>
          <t xml:space="preserve">    INDENT  FOR APR-25 as per VSM</t>
        </is>
      </c>
      <c r="X1" s="145" t="inlineStr">
        <is>
          <t xml:space="preserve"> INDENT  FOR May-25 recommended</t>
        </is>
      </c>
      <c r="Y1" s="146" t="inlineStr">
        <is>
          <t>in Apr</t>
        </is>
      </c>
      <c r="Z1" s="146" t="inlineStr">
        <is>
          <t>in May</t>
        </is>
      </c>
      <c r="AA1" s="146" t="inlineStr">
        <is>
          <t>Gap</t>
        </is>
      </c>
    </row>
    <row r="2">
      <c r="A2" s="147" t="inlineStr">
        <is>
          <t>TVS</t>
        </is>
      </c>
      <c r="B2" s="147" t="inlineStr">
        <is>
          <t>RUCHA</t>
        </is>
      </c>
      <c r="C2" s="147" t="inlineStr">
        <is>
          <t>CEW AN</t>
        </is>
      </c>
      <c r="D2" s="147" t="inlineStr">
        <is>
          <t>NON FIN</t>
        </is>
      </c>
      <c r="E2" s="147" t="inlineStr">
        <is>
          <t xml:space="preserve">CEW </t>
        </is>
      </c>
      <c r="F2" s="148" t="n">
        <v>11</v>
      </c>
      <c r="G2" s="148" t="n"/>
      <c r="H2" s="148" t="n">
        <v>1.5</v>
      </c>
      <c r="I2" s="147" t="n">
        <v>6000</v>
      </c>
      <c r="J2" s="147" t="n">
        <v>6</v>
      </c>
      <c r="K2" s="147">
        <f>_xlfn.CONCAT(F2,H2,J2,E2,D2)</f>
        <v/>
      </c>
      <c r="L2" s="149" t="n">
        <v>789</v>
      </c>
      <c r="M2" s="150" t="n">
        <v>2442390</v>
      </c>
      <c r="N2" s="150" t="inlineStr">
        <is>
          <t>No Key</t>
        </is>
      </c>
      <c r="O2" s="150" t="inlineStr">
        <is>
          <t>No Key</t>
        </is>
      </c>
      <c r="P2" s="19" t="n">
        <v>1</v>
      </c>
      <c r="Q2" s="147" t="n">
        <v>0</v>
      </c>
      <c r="R2" s="147" t="n">
        <v>0</v>
      </c>
      <c r="S2" s="147" t="n">
        <v>0</v>
      </c>
      <c r="T2" s="147">
        <f>R2-Q2</f>
        <v/>
      </c>
      <c r="U2" s="147">
        <f>S2-R2</f>
        <v/>
      </c>
      <c r="V2" s="147">
        <f>U2+T2+S2</f>
        <v/>
      </c>
      <c r="W2" s="19">
        <f>P2*1.1-V2</f>
        <v/>
      </c>
      <c r="X2" s="167">
        <f>IF(W2&gt;0,W2,0)</f>
        <v/>
      </c>
      <c r="Y2" s="185">
        <f>SUMIFS(meghsteelsales_previousmonth[Quantity],meghsteelsales_previousmonth[Length Bucket],O2)/1000</f>
        <v/>
      </c>
      <c r="Z2" s="185">
        <f>SUMIFS(meghsteelsales_currentmonth[Quantity],meghsteelsales_currentmonth[Length Bucket],O2)/1000</f>
        <v/>
      </c>
      <c r="AA2" s="185">
        <f>IF((X2-Y2-Z2)&lt;0,0,(X2-Y2-Z2))</f>
        <v/>
      </c>
    </row>
    <row r="3">
      <c r="A3" s="147" t="inlineStr">
        <is>
          <t>TVS</t>
        </is>
      </c>
      <c r="B3" s="147" t="inlineStr">
        <is>
          <t>RUCHA</t>
        </is>
      </c>
      <c r="C3" s="147" t="inlineStr">
        <is>
          <t>ERW1</t>
        </is>
      </c>
      <c r="D3" s="147" t="inlineStr">
        <is>
          <t>NON FIN</t>
        </is>
      </c>
      <c r="E3" s="147" t="inlineStr">
        <is>
          <t>ERW</t>
        </is>
      </c>
      <c r="F3" s="148" t="n">
        <v>12.7</v>
      </c>
      <c r="G3" s="148" t="n"/>
      <c r="H3" s="148" t="n">
        <v>1.2</v>
      </c>
      <c r="I3" s="147" t="n">
        <v>6000</v>
      </c>
      <c r="J3" s="147" t="n">
        <v>6</v>
      </c>
      <c r="K3" s="147">
        <f>_xlfn.CONCAT(F3,H3,J3,E3,D3)</f>
        <v/>
      </c>
      <c r="L3" s="151" t="inlineStr">
        <is>
          <t>0789</t>
        </is>
      </c>
      <c r="M3" s="150" t="n">
        <v>1939985</v>
      </c>
      <c r="N3" s="150" t="inlineStr">
        <is>
          <t>No Key</t>
        </is>
      </c>
      <c r="O3" s="150" t="inlineStr">
        <is>
          <t>No Key</t>
        </is>
      </c>
      <c r="P3" s="19" t="n">
        <v>8</v>
      </c>
      <c r="Q3" s="147" t="n">
        <v>3</v>
      </c>
      <c r="R3" s="147" t="n">
        <v>11</v>
      </c>
      <c r="S3" s="147" t="n">
        <v>0</v>
      </c>
      <c r="T3" s="147">
        <f>R3-Q3</f>
        <v/>
      </c>
      <c r="U3" s="147">
        <f>S3-R3</f>
        <v/>
      </c>
      <c r="V3" s="147">
        <f>U3+T3+S3</f>
        <v/>
      </c>
      <c r="W3" s="19">
        <f>P3*1.1-V3</f>
        <v/>
      </c>
      <c r="X3" s="167">
        <f>IF(W3&gt;0,W3,0)</f>
        <v/>
      </c>
      <c r="Y3" s="185">
        <f>SUMIFS(meghsteelsales_previousmonth[Quantity],meghsteelsales_previousmonth[Length Bucket],O3)/1000</f>
        <v/>
      </c>
      <c r="Z3" s="185">
        <f>SUMIFS(meghsteelsales_currentmonth[Quantity],meghsteelsales_currentmonth[Length Bucket],O3)/1000</f>
        <v/>
      </c>
      <c r="AA3" s="185">
        <f>IF((X3-Y3-Z3)&lt;0,0,(X3-Y3-Z3))</f>
        <v/>
      </c>
    </row>
    <row r="4">
      <c r="A4" s="147" t="inlineStr">
        <is>
          <t>HMSI</t>
        </is>
      </c>
      <c r="B4" s="147" t="inlineStr">
        <is>
          <t>BADVE</t>
        </is>
      </c>
      <c r="C4" s="147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12.7</v>
      </c>
      <c r="G4" s="148" t="n"/>
      <c r="H4" s="148" t="n">
        <v>1.4</v>
      </c>
      <c r="I4" s="147" t="n">
        <v>6000</v>
      </c>
      <c r="J4" s="147" t="n">
        <v>6</v>
      </c>
      <c r="K4" s="147">
        <f>_xlfn.CONCAT(F4,H4,J4,E4,D4)</f>
        <v/>
      </c>
      <c r="L4" s="151" t="inlineStr">
        <is>
          <t>0789</t>
        </is>
      </c>
      <c r="M4" s="150" t="n">
        <v>1931117</v>
      </c>
      <c r="N4" s="150" t="inlineStr">
        <is>
          <t>No Key</t>
        </is>
      </c>
      <c r="O4" s="150" t="inlineStr">
        <is>
          <t>No Key</t>
        </is>
      </c>
      <c r="P4" s="19" t="n">
        <v>5</v>
      </c>
      <c r="Q4" s="147" t="n">
        <v>0</v>
      </c>
      <c r="R4" s="147" t="n">
        <v>9</v>
      </c>
      <c r="S4" s="147" t="n">
        <v>0</v>
      </c>
      <c r="T4" s="147">
        <f>R4-Q4</f>
        <v/>
      </c>
      <c r="U4" s="147">
        <f>S4-R4</f>
        <v/>
      </c>
      <c r="V4" s="147">
        <f>U4+T4+S4</f>
        <v/>
      </c>
      <c r="W4" s="19">
        <f>P4*1.1-V4</f>
        <v/>
      </c>
      <c r="X4" s="167">
        <f>IF(W4&gt;0,W4,0)</f>
        <v/>
      </c>
      <c r="Y4" s="185">
        <f>SUMIFS(meghsteelsales_previousmonth[Quantity],meghsteelsales_previousmonth[Length Bucket],O4)/1000</f>
        <v/>
      </c>
      <c r="Z4" s="185">
        <f>SUMIFS(meghsteelsales_currentmonth[Quantity],meghsteelsales_currentmonth[Length Bucket],O4)/1000</f>
        <v/>
      </c>
      <c r="AA4" s="185">
        <f>IF((X4-Y4-Z4)&lt;0,0,(X4-Y4-Z4))</f>
        <v/>
      </c>
    </row>
    <row r="5">
      <c r="A5" s="147" t="inlineStr">
        <is>
          <t>HMSI</t>
        </is>
      </c>
      <c r="B5" s="147" t="inlineStr">
        <is>
          <t>BADVE</t>
        </is>
      </c>
      <c r="C5" s="147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12.7</v>
      </c>
      <c r="G5" s="148" t="n"/>
      <c r="H5" s="148" t="n">
        <v>1.6</v>
      </c>
      <c r="I5" s="147" t="n">
        <v>6000</v>
      </c>
      <c r="J5" s="147" t="n">
        <v>6</v>
      </c>
      <c r="K5" s="147">
        <f>_xlfn.CONCAT(F5,H5,J5,E5,D5)</f>
        <v/>
      </c>
      <c r="L5" s="151" t="inlineStr">
        <is>
          <t>0789</t>
        </is>
      </c>
      <c r="M5" s="150" t="n">
        <v>1931154</v>
      </c>
      <c r="N5" s="150" t="inlineStr">
        <is>
          <t>No Key</t>
        </is>
      </c>
      <c r="O5" s="150" t="inlineStr">
        <is>
          <t>No Key</t>
        </is>
      </c>
      <c r="P5" s="19" t="n">
        <v>2</v>
      </c>
      <c r="Q5" s="147" t="n">
        <v>0</v>
      </c>
      <c r="R5" s="147" t="n">
        <v>4</v>
      </c>
      <c r="S5" s="147" t="n">
        <v>0</v>
      </c>
      <c r="T5" s="147">
        <f>R5-Q5</f>
        <v/>
      </c>
      <c r="U5" s="147">
        <f>S5-R5</f>
        <v/>
      </c>
      <c r="V5" s="147">
        <f>U5+T5+S5</f>
        <v/>
      </c>
      <c r="W5" s="19">
        <f>P5*1.1-V5</f>
        <v/>
      </c>
      <c r="X5" s="167">
        <f>IF(W5&gt;0,W5,0)</f>
        <v/>
      </c>
      <c r="Y5" s="185">
        <f>SUMIFS(meghsteelsales_previousmonth[Quantity],meghsteelsales_previousmonth[Length Bucket],O5)/1000</f>
        <v/>
      </c>
      <c r="Z5" s="185">
        <f>SUMIFS(meghsteelsales_currentmonth[Quantity],meghsteelsales_currentmonth[Length Bucket],O5)/1000</f>
        <v/>
      </c>
      <c r="AA5" s="185">
        <f>IF((X5-Y5-Z5)&lt;0,0,(X5-Y5-Z5))</f>
        <v/>
      </c>
    </row>
    <row r="6">
      <c r="A6" s="147" t="inlineStr">
        <is>
          <t>TVS</t>
        </is>
      </c>
      <c r="B6" s="147" t="inlineStr">
        <is>
          <t>RUCHA</t>
        </is>
      </c>
      <c r="C6" s="147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12.7</v>
      </c>
      <c r="G6" s="148" t="n"/>
      <c r="H6" s="148" t="n">
        <v>2</v>
      </c>
      <c r="I6" s="147" t="n">
        <v>6000</v>
      </c>
      <c r="J6" s="147" t="n">
        <v>6</v>
      </c>
      <c r="K6" s="147">
        <f>_xlfn.CONCAT(F6,H6,J6,E6,D6)</f>
        <v/>
      </c>
      <c r="L6" s="151" t="inlineStr">
        <is>
          <t>0789</t>
        </is>
      </c>
      <c r="M6" s="149" t="inlineStr">
        <is>
          <t>Not Available</t>
        </is>
      </c>
      <c r="N6" s="150" t="n"/>
      <c r="O6" s="150" t="e">
        <v>#N/A</v>
      </c>
      <c r="P6" s="19" t="n">
        <v>3</v>
      </c>
      <c r="Q6" s="147" t="n">
        <v>0</v>
      </c>
      <c r="R6" s="147" t="n">
        <v>0</v>
      </c>
      <c r="S6" s="147" t="n">
        <v>0</v>
      </c>
      <c r="T6" s="147">
        <f>R6-Q6</f>
        <v/>
      </c>
      <c r="U6" s="147">
        <f>S6-R6</f>
        <v/>
      </c>
      <c r="V6" s="147">
        <f>U6+T6+S6</f>
        <v/>
      </c>
      <c r="W6" s="19">
        <f>P6*1.1-V6</f>
        <v/>
      </c>
      <c r="X6" s="167">
        <f>IF(W6&gt;0,W6,0)</f>
        <v/>
      </c>
      <c r="Y6" s="185">
        <f>SUMIFS(meghsteelsales_previousmonth[Quantity],meghsteelsales_previousmonth[Length Bucket],O6)/1000</f>
        <v/>
      </c>
      <c r="Z6" s="185">
        <f>SUMIFS(meghsteelsales_currentmonth[Quantity],meghsteelsales_currentmonth[Length Bucket],O6)/1000</f>
        <v/>
      </c>
      <c r="AA6" s="185">
        <f>IF((X6-Y6-Z6)&lt;0,0,(X6-Y6-Z6))</f>
        <v/>
      </c>
    </row>
    <row r="7">
      <c r="A7" s="147" t="inlineStr">
        <is>
          <t>HMSI</t>
        </is>
      </c>
      <c r="B7" s="147" t="inlineStr">
        <is>
          <t>BADVE</t>
        </is>
      </c>
      <c r="C7" s="147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48" t="n">
        <v>15.88</v>
      </c>
      <c r="G7" s="148" t="n"/>
      <c r="H7" s="148" t="n">
        <v>1</v>
      </c>
      <c r="I7" s="147" t="n">
        <v>6000</v>
      </c>
      <c r="J7" s="147" t="n">
        <v>6</v>
      </c>
      <c r="K7" s="147">
        <f>_xlfn.CONCAT(F7,H7,J7,E7,D7)</f>
        <v/>
      </c>
      <c r="L7" s="151" t="inlineStr">
        <is>
          <t>0789</t>
        </is>
      </c>
      <c r="M7" s="150" t="n">
        <v>1940054</v>
      </c>
      <c r="N7" s="150" t="inlineStr">
        <is>
          <t>15.88-0-1-ERW 1-PE</t>
        </is>
      </c>
      <c r="O7" s="150" t="inlineStr">
        <is>
          <t>15.88-0-1-ERW 1-PE-6</t>
        </is>
      </c>
      <c r="P7" s="19" t="n">
        <v>1</v>
      </c>
      <c r="Q7" s="147" t="n">
        <v>0</v>
      </c>
      <c r="R7" s="147" t="n">
        <v>1.5</v>
      </c>
      <c r="S7" s="147" t="n">
        <v>0</v>
      </c>
      <c r="T7" s="147">
        <f>R7-Q7</f>
        <v/>
      </c>
      <c r="U7" s="147">
        <f>S7-R7</f>
        <v/>
      </c>
      <c r="V7" s="147">
        <f>U7+T7+S7</f>
        <v/>
      </c>
      <c r="W7" s="19">
        <f>P7*1.1-V7</f>
        <v/>
      </c>
      <c r="X7" s="167">
        <f>IF(W7&gt;0,W7,0)</f>
        <v/>
      </c>
      <c r="Y7" s="185">
        <f>SUMIFS(meghsteelsales_previousmonth[Quantity],meghsteelsales_previousmonth[Length Bucket],O7)/1000</f>
        <v/>
      </c>
      <c r="Z7" s="185">
        <f>SUMIFS(meghsteelsales_currentmonth[Quantity],meghsteelsales_currentmonth[Length Bucket],O7)/1000</f>
        <v/>
      </c>
      <c r="AA7" s="185">
        <f>IF((X7-Y7-Z7)&lt;0,0,(X7-Y7-Z7))</f>
        <v/>
      </c>
    </row>
    <row r="8">
      <c r="A8" s="147" t="inlineStr">
        <is>
          <t>TVS</t>
        </is>
      </c>
      <c r="B8" s="147" t="inlineStr">
        <is>
          <t>RUCHA</t>
        </is>
      </c>
      <c r="C8" s="147" t="inlineStr">
        <is>
          <t>ERW1</t>
        </is>
      </c>
      <c r="D8" s="147" t="inlineStr">
        <is>
          <t>NON FIN</t>
        </is>
      </c>
      <c r="E8" s="147" t="inlineStr">
        <is>
          <t>ERW</t>
        </is>
      </c>
      <c r="F8" s="148" t="n">
        <v>15.88</v>
      </c>
      <c r="G8" s="148" t="n"/>
      <c r="H8" s="148" t="n">
        <v>1.2</v>
      </c>
      <c r="I8" s="147" t="n">
        <v>6000</v>
      </c>
      <c r="J8" s="147" t="n">
        <v>6</v>
      </c>
      <c r="K8" s="147">
        <f>_xlfn.CONCAT(F8,H8,J8,E8,D8)</f>
        <v/>
      </c>
      <c r="L8" s="151" t="inlineStr">
        <is>
          <t>0789</t>
        </is>
      </c>
      <c r="M8" s="150" t="n">
        <v>1940054</v>
      </c>
      <c r="N8" s="150" t="inlineStr">
        <is>
          <t>15.88-0-1-ERW 1-PE</t>
        </is>
      </c>
      <c r="O8" s="150" t="inlineStr">
        <is>
          <t>15.88-0-1-ERW 1-PE-6</t>
        </is>
      </c>
      <c r="P8" s="19" t="n">
        <v>5</v>
      </c>
      <c r="Q8" s="147" t="n">
        <v>1</v>
      </c>
      <c r="R8" s="147" t="n">
        <v>10</v>
      </c>
      <c r="S8" s="147" t="n">
        <v>0</v>
      </c>
      <c r="T8" s="147">
        <f>R8-Q8</f>
        <v/>
      </c>
      <c r="U8" s="147">
        <f>S8-R8</f>
        <v/>
      </c>
      <c r="V8" s="147">
        <f>U8+T8+S8</f>
        <v/>
      </c>
      <c r="W8" s="19">
        <f>P8*1.1-V8</f>
        <v/>
      </c>
      <c r="X8" s="167">
        <f>IF(W8&gt;0,W8,0)</f>
        <v/>
      </c>
      <c r="Y8" s="185">
        <f>SUMIFS(meghsteelsales_previousmonth[Quantity],meghsteelsales_previousmonth[Length Bucket],O8)/1000</f>
        <v/>
      </c>
      <c r="Z8" s="185">
        <f>SUMIFS(meghsteelsales_currentmonth[Quantity],meghsteelsales_currentmonth[Length Bucket],O8)/1000</f>
        <v/>
      </c>
      <c r="AA8" s="185">
        <f>IF((X8-Y8-Z8)&lt;0,0,(X8-Y8-Z8))</f>
        <v/>
      </c>
    </row>
    <row r="9">
      <c r="A9" s="147" t="inlineStr">
        <is>
          <t>HMSI</t>
        </is>
      </c>
      <c r="B9" s="147" t="inlineStr">
        <is>
          <t>BADVE</t>
        </is>
      </c>
      <c r="C9" s="147" t="inlineStr">
        <is>
          <t>ERW1</t>
        </is>
      </c>
      <c r="D9" s="147" t="inlineStr">
        <is>
          <t>NON FIN</t>
        </is>
      </c>
      <c r="E9" s="147" t="inlineStr">
        <is>
          <t>ERW</t>
        </is>
      </c>
      <c r="F9" s="148" t="n">
        <v>15.88</v>
      </c>
      <c r="G9" s="148" t="n"/>
      <c r="H9" s="148" t="n">
        <v>1.6</v>
      </c>
      <c r="I9" s="147" t="n">
        <v>6000</v>
      </c>
      <c r="J9" s="147" t="n">
        <v>6</v>
      </c>
      <c r="K9" s="147">
        <f>_xlfn.CONCAT(F9,H9,J9,E9,D9)</f>
        <v/>
      </c>
      <c r="L9" s="151" t="inlineStr">
        <is>
          <t>0789</t>
        </is>
      </c>
      <c r="M9" s="150" t="n">
        <v>1900224</v>
      </c>
      <c r="N9" s="150" t="inlineStr">
        <is>
          <t>15.88-0-1.6-ERW 1-PE</t>
        </is>
      </c>
      <c r="O9" s="150" t="inlineStr">
        <is>
          <t>15.88-0-1.6-ERW 1-PE-6</t>
        </is>
      </c>
      <c r="P9" s="19" t="n">
        <v>2</v>
      </c>
      <c r="Q9" s="147" t="n">
        <v>0</v>
      </c>
      <c r="R9" s="147" t="n">
        <v>1.5</v>
      </c>
      <c r="S9" s="147" t="n">
        <v>0</v>
      </c>
      <c r="T9" s="147">
        <f>R9-Q9</f>
        <v/>
      </c>
      <c r="U9" s="147">
        <f>S9-R9</f>
        <v/>
      </c>
      <c r="V9" s="147">
        <f>U9+T9+S9</f>
        <v/>
      </c>
      <c r="W9" s="19">
        <f>P9*1.1-V9</f>
        <v/>
      </c>
      <c r="X9" s="167">
        <f>IF(W9&gt;0,W9,0)</f>
        <v/>
      </c>
      <c r="Y9" s="185">
        <f>SUMIFS(meghsteelsales_previousmonth[Quantity],meghsteelsales_previousmonth[Length Bucket],O9)/1000</f>
        <v/>
      </c>
      <c r="Z9" s="185">
        <f>SUMIFS(meghsteelsales_currentmonth[Quantity],meghsteelsales_currentmonth[Length Bucket],O9)/1000</f>
        <v/>
      </c>
      <c r="AA9" s="185">
        <f>IF((X9-Y9-Z9)&lt;0,0,(X9-Y9-Z9))</f>
        <v/>
      </c>
    </row>
    <row r="10">
      <c r="A10" s="147" t="inlineStr">
        <is>
          <t>HMSI</t>
        </is>
      </c>
      <c r="B10" s="147" t="inlineStr">
        <is>
          <t>BADVE</t>
        </is>
      </c>
      <c r="C10" s="147" t="inlineStr">
        <is>
          <t>ERW1</t>
        </is>
      </c>
      <c r="D10" s="147" t="inlineStr">
        <is>
          <t>NON FIN</t>
        </is>
      </c>
      <c r="E10" s="147" t="inlineStr">
        <is>
          <t>ERW</t>
        </is>
      </c>
      <c r="F10" s="148" t="n">
        <v>15.88</v>
      </c>
      <c r="G10" s="148" t="n"/>
      <c r="H10" s="148" t="n">
        <v>2</v>
      </c>
      <c r="I10" s="147" t="n">
        <v>6000</v>
      </c>
      <c r="J10" s="147" t="n">
        <v>6</v>
      </c>
      <c r="K10" s="147">
        <f>_xlfn.CONCAT(F10,H10,J10,E10,D10)</f>
        <v/>
      </c>
      <c r="L10" s="151" t="inlineStr">
        <is>
          <t>0789</t>
        </is>
      </c>
      <c r="M10" s="150" t="n">
        <v>1940120</v>
      </c>
      <c r="N10" s="150" t="inlineStr">
        <is>
          <t>15.88-0-2-ERW 1-PE</t>
        </is>
      </c>
      <c r="O10" s="150" t="inlineStr">
        <is>
          <t>15.88-0-2-ERW 1-PE-6</t>
        </is>
      </c>
      <c r="P10" s="19" t="n">
        <v>0</v>
      </c>
      <c r="Q10" s="147" t="n">
        <v>0</v>
      </c>
      <c r="R10" s="147" t="n">
        <v>1.2</v>
      </c>
      <c r="S10" s="147" t="n">
        <v>0</v>
      </c>
      <c r="T10" s="147">
        <f>R10-Q10</f>
        <v/>
      </c>
      <c r="U10" s="147">
        <f>S10-R10</f>
        <v/>
      </c>
      <c r="V10" s="147">
        <f>U10+T10+S10</f>
        <v/>
      </c>
      <c r="W10" s="19">
        <f>P10*1.1-V10</f>
        <v/>
      </c>
      <c r="X10" s="167">
        <f>IF(W10&gt;0,W10,0)</f>
        <v/>
      </c>
      <c r="Y10" s="185">
        <f>SUMIFS(meghsteelsales_previousmonth[Quantity],meghsteelsales_previousmonth[Length Bucket],O10)/1000</f>
        <v/>
      </c>
      <c r="Z10" s="185">
        <f>SUMIFS(meghsteelsales_currentmonth[Quantity],meghsteelsales_currentmonth[Length Bucket],O10)/1000</f>
        <v/>
      </c>
      <c r="AA10" s="185">
        <f>IF((X10-Y10-Z10)&lt;0,0,(X10-Y10-Z10))</f>
        <v/>
      </c>
    </row>
    <row r="11">
      <c r="A11" s="147" t="inlineStr">
        <is>
          <t>TVS</t>
        </is>
      </c>
      <c r="B11" s="147" t="inlineStr">
        <is>
          <t>Rucha</t>
        </is>
      </c>
      <c r="C11" s="147" t="inlineStr">
        <is>
          <t>ERW1</t>
        </is>
      </c>
      <c r="D11" s="147" t="inlineStr">
        <is>
          <t>NON FIN</t>
        </is>
      </c>
      <c r="E11" s="147" t="inlineStr">
        <is>
          <t>ERW</t>
        </is>
      </c>
      <c r="F11" s="148" t="n">
        <v>18.3</v>
      </c>
      <c r="G11" s="148" t="n"/>
      <c r="H11" s="148" t="n">
        <v>1</v>
      </c>
      <c r="I11" s="147" t="n">
        <v>6000</v>
      </c>
      <c r="J11" s="147" t="n">
        <v>6</v>
      </c>
      <c r="K11" s="147">
        <f>_xlfn.CONCAT(F11,H11,J11,E11,D11)</f>
        <v/>
      </c>
      <c r="L11" s="151" t="inlineStr">
        <is>
          <t>0789</t>
        </is>
      </c>
      <c r="M11" s="150" t="n"/>
      <c r="N11" s="150" t="n"/>
      <c r="O11" s="150" t="e">
        <v>#N/A</v>
      </c>
      <c r="P11" s="19" t="n">
        <v>3</v>
      </c>
      <c r="Q11" s="147" t="n">
        <v>1</v>
      </c>
      <c r="R11" s="147" t="n">
        <v>2.2</v>
      </c>
      <c r="S11" s="147" t="n">
        <v>0</v>
      </c>
      <c r="T11" s="147">
        <f>R11-Q11</f>
        <v/>
      </c>
      <c r="U11" s="147">
        <f>S11-R11</f>
        <v/>
      </c>
      <c r="V11" s="147">
        <f>U11+T11+S11</f>
        <v/>
      </c>
      <c r="W11" s="19">
        <f>P11*1.1-V11</f>
        <v/>
      </c>
      <c r="X11" s="167">
        <f>IF(W11&gt;0,W11,0)</f>
        <v/>
      </c>
      <c r="Y11" s="185">
        <f>SUMIFS(meghsteelsales_previousmonth[Quantity],meghsteelsales_previousmonth[Length Bucket],O11)/1000</f>
        <v/>
      </c>
      <c r="Z11" s="185">
        <f>SUMIFS(meghsteelsales_currentmonth[Quantity],meghsteelsales_currentmonth[Length Bucket],O11)/1000</f>
        <v/>
      </c>
      <c r="AA11" s="185">
        <f>IF((X11-Y11-Z11)&lt;0,0,(X11-Y11-Z11))</f>
        <v/>
      </c>
    </row>
    <row r="12">
      <c r="A12" s="147" t="inlineStr">
        <is>
          <t>HMSI</t>
        </is>
      </c>
      <c r="B12" s="147" t="inlineStr">
        <is>
          <t>BADVE</t>
        </is>
      </c>
      <c r="C12" s="153" t="inlineStr">
        <is>
          <t>ERW1</t>
        </is>
      </c>
      <c r="D12" s="147" t="inlineStr">
        <is>
          <t>NON FIN</t>
        </is>
      </c>
      <c r="E12" s="147" t="inlineStr">
        <is>
          <t>ERW</t>
        </is>
      </c>
      <c r="F12" s="148" t="n">
        <v>19.05</v>
      </c>
      <c r="G12" s="148" t="n"/>
      <c r="H12" s="148" t="n">
        <v>1.6</v>
      </c>
      <c r="I12" s="147" t="n">
        <v>6000</v>
      </c>
      <c r="J12" s="147" t="n">
        <v>6</v>
      </c>
      <c r="K12" s="147">
        <f>_xlfn.CONCAT(F12,H12,J12,E12,D12)</f>
        <v/>
      </c>
      <c r="L12" s="149" t="n">
        <v>56</v>
      </c>
      <c r="M12" s="150" t="n">
        <v>3498997</v>
      </c>
      <c r="N12" s="150" t="inlineStr">
        <is>
          <t>19.05-0-1.6-ERW 1-PE</t>
        </is>
      </c>
      <c r="O12" s="150" t="inlineStr">
        <is>
          <t>19.05-0-1.6-ERW 1-PE-6</t>
        </is>
      </c>
      <c r="P12" s="19" t="n">
        <v>10</v>
      </c>
      <c r="Q12" s="147" t="n">
        <v>1</v>
      </c>
      <c r="R12" s="147" t="n">
        <v>2</v>
      </c>
      <c r="S12" s="147" t="n">
        <v>2.4</v>
      </c>
      <c r="T12" s="147">
        <f>R12-Q12</f>
        <v/>
      </c>
      <c r="U12" s="147" t="n">
        <v>9</v>
      </c>
      <c r="V12" s="147">
        <f>U12+T12+S12</f>
        <v/>
      </c>
      <c r="W12" s="19">
        <f>P12*1.1-V12</f>
        <v/>
      </c>
      <c r="X12" s="167">
        <f>IF(W12&gt;0,W12,0)</f>
        <v/>
      </c>
      <c r="Y12" s="185">
        <f>SUMIFS(meghsteelsales_previousmonth[Quantity],meghsteelsales_previousmonth[Length Bucket],O12)/1000</f>
        <v/>
      </c>
      <c r="Z12" s="185">
        <f>SUMIFS(meghsteelsales_currentmonth[Quantity],meghsteelsales_currentmonth[Length Bucket],O12)/1000</f>
        <v/>
      </c>
      <c r="AA12" s="185">
        <f>IF((X12-Y12-Z12)&lt;0,0,(X12-Y12-Z12))</f>
        <v/>
      </c>
    </row>
    <row r="13">
      <c r="A13" s="147" t="inlineStr">
        <is>
          <t>HMSI</t>
        </is>
      </c>
      <c r="B13" s="147" t="inlineStr">
        <is>
          <t>BADVE</t>
        </is>
      </c>
      <c r="C13" s="147" t="inlineStr">
        <is>
          <t>ERW2</t>
        </is>
      </c>
      <c r="D13" s="147" t="inlineStr">
        <is>
          <t>NON FIN</t>
        </is>
      </c>
      <c r="E13" s="147" t="inlineStr">
        <is>
          <t>ERW2</t>
        </is>
      </c>
      <c r="F13" s="148" t="n">
        <v>19.05</v>
      </c>
      <c r="G13" s="148" t="n"/>
      <c r="H13" s="148" t="n">
        <v>1.4</v>
      </c>
      <c r="I13" s="147" t="n">
        <v>6000</v>
      </c>
      <c r="J13" s="147" t="n">
        <v>6</v>
      </c>
      <c r="K13" s="147">
        <f>_xlfn.CONCAT(F13,H13,J13,E13,D13)</f>
        <v/>
      </c>
      <c r="L13" s="151" t="inlineStr">
        <is>
          <t>056</t>
        </is>
      </c>
      <c r="M13" s="149" t="n">
        <v>3891285</v>
      </c>
      <c r="N13" s="150" t="inlineStr">
        <is>
          <t>No Key</t>
        </is>
      </c>
      <c r="O13" s="150" t="inlineStr">
        <is>
          <t>No Key</t>
        </is>
      </c>
      <c r="P13" s="19" t="n">
        <v>0</v>
      </c>
      <c r="Q13" s="147" t="n">
        <v>0</v>
      </c>
      <c r="R13" s="147" t="n">
        <v>4.3</v>
      </c>
      <c r="S13" s="147" t="n">
        <v>0</v>
      </c>
      <c r="T13" s="147">
        <f>R13-Q13</f>
        <v/>
      </c>
      <c r="U13" s="147">
        <f>S13-R13</f>
        <v/>
      </c>
      <c r="V13" s="147">
        <f>U13+T13+S13</f>
        <v/>
      </c>
      <c r="W13" s="19">
        <f>P13*1.1-V13</f>
        <v/>
      </c>
      <c r="X13" s="167">
        <f>IF(W13&gt;0,W13,0)</f>
        <v/>
      </c>
      <c r="Y13" s="185">
        <f>SUMIFS(meghsteelsales_previousmonth[Quantity],meghsteelsales_previousmonth[Length Bucket],O13)/1000</f>
        <v/>
      </c>
      <c r="Z13" s="185">
        <f>SUMIFS(meghsteelsales_currentmonth[Quantity],meghsteelsales_currentmonth[Length Bucket],O13)/1000</f>
        <v/>
      </c>
      <c r="AA13" s="185">
        <f>IF((X13-Y13-Z13)&lt;0,0,(X13-Y13-Z13))</f>
        <v/>
      </c>
    </row>
    <row r="14">
      <c r="A14" s="147" t="inlineStr">
        <is>
          <t>TVS</t>
        </is>
      </c>
      <c r="B14" s="147" t="inlineStr">
        <is>
          <t>RUCHA</t>
        </is>
      </c>
      <c r="C14" s="153" t="inlineStr">
        <is>
          <t>ERW1</t>
        </is>
      </c>
      <c r="D14" s="147" t="inlineStr">
        <is>
          <t>NON FIN</t>
        </is>
      </c>
      <c r="E14" s="147" t="inlineStr">
        <is>
          <t>ERW</t>
        </is>
      </c>
      <c r="F14" s="154" t="n">
        <v>19.05</v>
      </c>
      <c r="G14" s="154" t="n"/>
      <c r="H14" s="154" t="n">
        <v>2</v>
      </c>
      <c r="I14" s="155" t="n">
        <v>5841</v>
      </c>
      <c r="J14" s="147" t="n">
        <v>5.84</v>
      </c>
      <c r="K14" s="147">
        <f>_xlfn.CONCAT(F14,H14,J14,E14,D14)</f>
        <v/>
      </c>
      <c r="L14" s="151" t="inlineStr">
        <is>
          <t>056</t>
        </is>
      </c>
      <c r="M14" s="150" t="n">
        <v>3673888</v>
      </c>
      <c r="N14" s="150" t="inlineStr">
        <is>
          <t>19.05-0-2-ERW 1-PE</t>
        </is>
      </c>
      <c r="O14" s="150" t="inlineStr">
        <is>
          <t>19.05-0-2-ERW 1-PE-5.841</t>
        </is>
      </c>
      <c r="P14" s="19" t="n">
        <v>35</v>
      </c>
      <c r="Q14" s="147" t="n">
        <v>15</v>
      </c>
      <c r="R14" s="147" t="n">
        <v>25</v>
      </c>
      <c r="S14" s="147" t="n">
        <v>0</v>
      </c>
      <c r="T14" s="147">
        <f>R14-Q14</f>
        <v/>
      </c>
      <c r="U14" s="147">
        <f>S14-R14</f>
        <v/>
      </c>
      <c r="V14" s="147">
        <f>U14+T14+S14</f>
        <v/>
      </c>
      <c r="W14" s="19">
        <f>P14*1.1-V14</f>
        <v/>
      </c>
      <c r="X14" s="167">
        <f>IF(W14&gt;0,W14,0)</f>
        <v/>
      </c>
      <c r="Y14" s="185">
        <f>SUMIFS(meghsteelsales_previousmonth[Quantity],meghsteelsales_previousmonth[Length Bucket],O14)/1000</f>
        <v/>
      </c>
      <c r="Z14" s="185">
        <f>SUMIFS(meghsteelsales_currentmonth[Quantity],meghsteelsales_currentmonth[Length Bucket],O14)/1000</f>
        <v/>
      </c>
      <c r="AA14" s="185">
        <f>IF((X14-Y14-Z14)&lt;0,0,(X14-Y14-Z14))</f>
        <v/>
      </c>
    </row>
    <row r="15">
      <c r="A15" s="147" t="inlineStr">
        <is>
          <t>TVS</t>
        </is>
      </c>
      <c r="B15" s="147" t="inlineStr">
        <is>
          <t>RUCHA,METALMAN</t>
        </is>
      </c>
      <c r="C15" s="153" t="inlineStr">
        <is>
          <t>ERW1</t>
        </is>
      </c>
      <c r="D15" s="147" t="inlineStr">
        <is>
          <t>NON FIN</t>
        </is>
      </c>
      <c r="E15" s="147" t="inlineStr">
        <is>
          <t>ERW</t>
        </is>
      </c>
      <c r="F15" s="148" t="n">
        <v>19.05</v>
      </c>
      <c r="G15" s="148" t="n"/>
      <c r="H15" s="148" t="n">
        <v>2.3</v>
      </c>
      <c r="I15" s="147" t="n">
        <v>7000</v>
      </c>
      <c r="J15" s="147" t="n">
        <v>7</v>
      </c>
      <c r="K15" s="147">
        <f>_xlfn.CONCAT(F15,H15,J15,E15,D15)</f>
        <v/>
      </c>
      <c r="L15" s="151" t="inlineStr">
        <is>
          <t>056</t>
        </is>
      </c>
      <c r="M15" s="150" t="n">
        <v>3500582</v>
      </c>
      <c r="N15" s="150" t="inlineStr">
        <is>
          <t>19.05-0-2.3-ERW 1-PE</t>
        </is>
      </c>
      <c r="O15" s="150" t="inlineStr">
        <is>
          <t>19.05-0-2.3-ERW 1-PE-7</t>
        </is>
      </c>
      <c r="P15" s="19" t="n">
        <v>20</v>
      </c>
      <c r="Q15" s="147" t="n">
        <v>6</v>
      </c>
      <c r="R15" s="147" t="n">
        <v>11</v>
      </c>
      <c r="S15" s="147" t="n">
        <v>0</v>
      </c>
      <c r="T15" s="147">
        <f>R15-Q15</f>
        <v/>
      </c>
      <c r="U15" s="147">
        <f>S15-R15</f>
        <v/>
      </c>
      <c r="V15" s="147">
        <f>U15+T15+S15</f>
        <v/>
      </c>
      <c r="W15" s="19">
        <f>P15*1.1-V15</f>
        <v/>
      </c>
      <c r="X15" s="167">
        <f>IF(W15&gt;0,W15,0)</f>
        <v/>
      </c>
      <c r="Y15" s="185">
        <f>SUMIFS(meghsteelsales_previousmonth[Quantity],meghsteelsales_previousmonth[Length Bucket],O15)/1000</f>
        <v/>
      </c>
      <c r="Z15" s="185">
        <f>SUMIFS(meghsteelsales_currentmonth[Quantity],meghsteelsales_currentmonth[Length Bucket],O15)/1000</f>
        <v/>
      </c>
      <c r="AA15" s="185">
        <f>IF((X15-Y15-Z15)&lt;0,0,(X15-Y15-Z15))</f>
        <v/>
      </c>
    </row>
    <row r="16">
      <c r="A16" s="147" t="inlineStr">
        <is>
          <t>TVS</t>
        </is>
      </c>
      <c r="B16" s="147" t="inlineStr">
        <is>
          <t>RUCHA</t>
        </is>
      </c>
      <c r="C16" s="147" t="inlineStr">
        <is>
          <t>ERW1</t>
        </is>
      </c>
      <c r="D16" s="147" t="inlineStr">
        <is>
          <t>NON FIN</t>
        </is>
      </c>
      <c r="E16" s="147" t="inlineStr">
        <is>
          <t>ERW</t>
        </is>
      </c>
      <c r="F16" s="148" t="n">
        <v>21.4</v>
      </c>
      <c r="G16" s="148" t="n"/>
      <c r="H16" s="148" t="n">
        <v>1.6</v>
      </c>
      <c r="I16" s="147" t="n">
        <v>6000</v>
      </c>
      <c r="J16" s="147" t="n">
        <v>6</v>
      </c>
      <c r="K16" s="147">
        <f>_xlfn.CONCAT(F16,H16,J16,E16,D16)</f>
        <v/>
      </c>
      <c r="L16" s="158" t="inlineStr">
        <is>
          <t>0789</t>
        </is>
      </c>
      <c r="M16" s="150" t="n">
        <v>3219710</v>
      </c>
      <c r="N16" s="150" t="inlineStr">
        <is>
          <t>21.4-0-1.6-ERW 1-PE</t>
        </is>
      </c>
      <c r="O16" s="150" t="inlineStr">
        <is>
          <t>21.4-0-1.6-ERW 1-PE-6</t>
        </is>
      </c>
      <c r="P16" s="19" t="n">
        <v>3</v>
      </c>
      <c r="Q16" s="147" t="n">
        <v>2</v>
      </c>
      <c r="R16" s="147" t="n">
        <v>6.3</v>
      </c>
      <c r="S16" s="147" t="n">
        <v>0</v>
      </c>
      <c r="T16" s="147">
        <f>R16-Q16</f>
        <v/>
      </c>
      <c r="U16" s="147">
        <f>S16-R16</f>
        <v/>
      </c>
      <c r="V16" s="147">
        <f>U16+T16+S16</f>
        <v/>
      </c>
      <c r="W16" s="19">
        <f>P16*1.1-V16</f>
        <v/>
      </c>
      <c r="X16" s="167">
        <f>IF(W16&gt;0,W16,0)</f>
        <v/>
      </c>
      <c r="Y16" s="185">
        <f>SUMIFS(meghsteelsales_previousmonth[Quantity],meghsteelsales_previousmonth[Length Bucket],O16)/1000</f>
        <v/>
      </c>
      <c r="Z16" s="185">
        <f>SUMIFS(meghsteelsales_currentmonth[Quantity],meghsteelsales_currentmonth[Length Bucket],O16)/1000</f>
        <v/>
      </c>
      <c r="AA16" s="185">
        <f>IF((X16-Y16-Z16)&lt;0,0,(X16-Y16-Z16))</f>
        <v/>
      </c>
    </row>
    <row r="17">
      <c r="A17" s="147" t="inlineStr">
        <is>
          <t>TVS</t>
        </is>
      </c>
      <c r="B17" s="147" t="inlineStr">
        <is>
          <t>RUCHA</t>
        </is>
      </c>
      <c r="C17" s="153" t="inlineStr">
        <is>
          <t>ERW1</t>
        </is>
      </c>
      <c r="D17" s="147" t="inlineStr">
        <is>
          <t>NON FIN</t>
        </is>
      </c>
      <c r="E17" s="147" t="inlineStr">
        <is>
          <t>ERW</t>
        </is>
      </c>
      <c r="F17" s="148" t="n">
        <v>22.2</v>
      </c>
      <c r="G17" s="148" t="n"/>
      <c r="H17" s="148" t="n">
        <v>1.2</v>
      </c>
      <c r="I17" s="147" t="n">
        <v>5870</v>
      </c>
      <c r="J17" s="147" t="n">
        <v>5.87</v>
      </c>
      <c r="K17" s="147">
        <f>_xlfn.CONCAT(F17,H17,J17,E17,D17)</f>
        <v/>
      </c>
      <c r="L17" s="151" t="inlineStr">
        <is>
          <t>056</t>
        </is>
      </c>
      <c r="M17" s="196" t="n">
        <v>3974562</v>
      </c>
      <c r="N17" s="150" t="inlineStr">
        <is>
          <t>22.23-0-1.2-ERW 1-PE</t>
        </is>
      </c>
      <c r="O17" s="150" t="inlineStr">
        <is>
          <t>22.23-0-1.2-ERW 1-PE-5.87</t>
        </is>
      </c>
      <c r="P17" s="19" t="n">
        <v>18</v>
      </c>
      <c r="Q17" s="147" t="n">
        <v>6</v>
      </c>
      <c r="R17" s="147" t="n">
        <v>11</v>
      </c>
      <c r="S17" s="147" t="n">
        <v>0</v>
      </c>
      <c r="T17" s="147">
        <f>R17-Q17</f>
        <v/>
      </c>
      <c r="U17" s="147" t="n">
        <v>22.8</v>
      </c>
      <c r="V17" s="147">
        <f>U17+T17+S17</f>
        <v/>
      </c>
      <c r="W17" s="19">
        <f>P17*1.1-V17</f>
        <v/>
      </c>
      <c r="X17" s="167">
        <f>IF(W17&gt;0,W17,0)</f>
        <v/>
      </c>
      <c r="Y17" s="185">
        <f>SUMIFS(meghsteelsales_previousmonth[Quantity],meghsteelsales_previousmonth[Length Bucket],O17)/1000</f>
        <v/>
      </c>
      <c r="Z17" s="185">
        <f>SUMIFS(meghsteelsales_currentmonth[Quantity],meghsteelsales_currentmonth[Length Bucket],O17)/1000</f>
        <v/>
      </c>
      <c r="AA17" s="185">
        <f>IF((X17-Y17-Z17)&lt;0,0,(X17-Y17-Z17))</f>
        <v/>
      </c>
    </row>
    <row r="18">
      <c r="A18" s="147" t="inlineStr">
        <is>
          <t>HMSI</t>
        </is>
      </c>
      <c r="B18" s="147" t="inlineStr">
        <is>
          <t>BADVE</t>
        </is>
      </c>
      <c r="C18" s="153" t="inlineStr">
        <is>
          <t>ERW2</t>
        </is>
      </c>
      <c r="D18" s="147" t="inlineStr">
        <is>
          <t>NON FIN</t>
        </is>
      </c>
      <c r="E18" s="147" t="inlineStr">
        <is>
          <t>ERW-2</t>
        </is>
      </c>
      <c r="F18" s="148" t="n">
        <v>22.2</v>
      </c>
      <c r="G18" s="148" t="n"/>
      <c r="H18" s="148" t="n">
        <v>1.4</v>
      </c>
      <c r="I18" s="147" t="n">
        <v>6000</v>
      </c>
      <c r="J18" s="147" t="n">
        <v>6</v>
      </c>
      <c r="K18" s="147">
        <f>_xlfn.CONCAT(F18,H18,J18,E18,D18)</f>
        <v/>
      </c>
      <c r="L18" s="151" t="inlineStr">
        <is>
          <t>056</t>
        </is>
      </c>
      <c r="M18" s="150" t="n">
        <v>3829175</v>
      </c>
      <c r="N18" s="150" t="inlineStr">
        <is>
          <t>No Key</t>
        </is>
      </c>
      <c r="O18" s="150" t="inlineStr">
        <is>
          <t>No Key</t>
        </is>
      </c>
      <c r="P18" s="19" t="n">
        <v>0</v>
      </c>
      <c r="Q18" s="147" t="n">
        <v>0</v>
      </c>
      <c r="R18" s="147" t="n">
        <v>15</v>
      </c>
      <c r="S18" s="147" t="n">
        <v>0</v>
      </c>
      <c r="T18" s="147">
        <f>R18-Q18</f>
        <v/>
      </c>
      <c r="U18" s="147">
        <f>S18-R18</f>
        <v/>
      </c>
      <c r="V18" s="147">
        <f>U18+T18+S18</f>
        <v/>
      </c>
      <c r="W18" s="19">
        <f>P18*1.1-V18</f>
        <v/>
      </c>
      <c r="X18" s="167">
        <f>IF(W18&gt;0,W18,0)</f>
        <v/>
      </c>
      <c r="Y18" s="185">
        <f>SUMIFS(meghsteelsales_previousmonth[Quantity],meghsteelsales_previousmonth[Length Bucket],O18)/1000</f>
        <v/>
      </c>
      <c r="Z18" s="185">
        <f>SUMIFS(meghsteelsales_currentmonth[Quantity],meghsteelsales_currentmonth[Length Bucket],O18)/1000</f>
        <v/>
      </c>
      <c r="AA18" s="185">
        <f>IF((X18-Y18-Z18)&lt;0,0,(X18-Y18-Z18))</f>
        <v/>
      </c>
    </row>
    <row r="19" customFormat="1" s="45">
      <c r="A19" s="156" t="inlineStr">
        <is>
          <t>TVS</t>
        </is>
      </c>
      <c r="B19" s="156" t="inlineStr">
        <is>
          <t>RUCHA</t>
        </is>
      </c>
      <c r="C19" s="157" t="inlineStr">
        <is>
          <t>ERW1</t>
        </is>
      </c>
      <c r="D19" s="147" t="inlineStr">
        <is>
          <t>NON FIN</t>
        </is>
      </c>
      <c r="E19" s="147" t="inlineStr">
        <is>
          <t>ERW</t>
        </is>
      </c>
      <c r="F19" s="148" t="n">
        <v>22.2</v>
      </c>
      <c r="G19" s="148" t="n"/>
      <c r="H19" s="148" t="n">
        <v>1.6</v>
      </c>
      <c r="I19" s="147" t="n">
        <v>5670</v>
      </c>
      <c r="J19" s="147" t="n">
        <v>6</v>
      </c>
      <c r="K19" s="147">
        <f>_xlfn.CONCAT(F19,H19,J19,E19,D19)</f>
        <v/>
      </c>
      <c r="L19" s="151" t="inlineStr">
        <is>
          <t>056</t>
        </is>
      </c>
      <c r="M19" s="150" t="n">
        <v>3534935</v>
      </c>
      <c r="N19" s="150" t="inlineStr">
        <is>
          <t>22.23-0-1.6-ERW 1-PE</t>
        </is>
      </c>
      <c r="O19" s="150" t="inlineStr">
        <is>
          <t>22.23-0-1.6-ERW 1-PE-5.67</t>
        </is>
      </c>
      <c r="P19" s="19" t="n">
        <v>55</v>
      </c>
      <c r="Q19" s="147" t="n">
        <v>15</v>
      </c>
      <c r="R19" s="147" t="n">
        <v>95</v>
      </c>
      <c r="S19" s="147" t="n">
        <v>0</v>
      </c>
      <c r="T19" s="147">
        <f>R19-Q19</f>
        <v/>
      </c>
      <c r="U19" s="147">
        <f>S19-R19</f>
        <v/>
      </c>
      <c r="V19" s="147">
        <f>U19+T19+S19</f>
        <v/>
      </c>
      <c r="W19" s="19">
        <f>P19*1.1-V19</f>
        <v/>
      </c>
      <c r="X19" s="167">
        <f>IF(W19&gt;0,W19,0)</f>
        <v/>
      </c>
      <c r="Y19" s="185">
        <f>SUMIFS(meghsteelsales_previousmonth[Quantity],meghsteelsales_previousmonth[Length Bucket],O19)/1000</f>
        <v/>
      </c>
      <c r="Z19" s="185">
        <f>SUMIFS(meghsteelsales_currentmonth[Quantity],meghsteelsales_currentmonth[Length Bucket],O19)/1000</f>
        <v/>
      </c>
      <c r="AA19" s="185">
        <f>IF((X19-Y19-Z19)&lt;0,0,(X19-Y19-Z19))</f>
        <v/>
      </c>
    </row>
    <row r="20">
      <c r="A20" s="147" t="inlineStr">
        <is>
          <t>TVS</t>
        </is>
      </c>
      <c r="B20" s="147" t="inlineStr">
        <is>
          <t>RUCHA</t>
        </is>
      </c>
      <c r="C20" s="155" t="inlineStr">
        <is>
          <t>ERW1</t>
        </is>
      </c>
      <c r="D20" s="147" t="inlineStr">
        <is>
          <t>NON FIN</t>
        </is>
      </c>
      <c r="E20" s="147" t="inlineStr">
        <is>
          <t>ERW</t>
        </is>
      </c>
      <c r="F20" s="154" t="n">
        <v>22.2</v>
      </c>
      <c r="G20" s="154" t="n"/>
      <c r="H20" s="154" t="n">
        <v>2</v>
      </c>
      <c r="I20" s="155" t="n">
        <v>5950</v>
      </c>
      <c r="J20" s="147" t="n">
        <v>5.95</v>
      </c>
      <c r="K20" s="147">
        <f>_xlfn.CONCAT(F20,H20,J20,E20,D20)</f>
        <v/>
      </c>
      <c r="L20" s="151" t="inlineStr">
        <is>
          <t>056</t>
        </is>
      </c>
      <c r="M20" s="196" t="n">
        <v>3905466</v>
      </c>
      <c r="N20" s="150" t="inlineStr">
        <is>
          <t>22.23-0-2-ERW 1-PE</t>
        </is>
      </c>
      <c r="O20" s="150" t="inlineStr">
        <is>
          <t>22.23-0-2-ERW 1-PE-5.951</t>
        </is>
      </c>
      <c r="P20" s="19" t="n">
        <v>50</v>
      </c>
      <c r="Q20" s="147" t="n">
        <v>10</v>
      </c>
      <c r="R20" s="147" t="n">
        <v>15</v>
      </c>
      <c r="S20" s="147" t="n">
        <v>10</v>
      </c>
      <c r="T20" s="147">
        <f>R20-Q20</f>
        <v/>
      </c>
      <c r="U20" s="147" t="n">
        <v>49</v>
      </c>
      <c r="V20" s="147">
        <f>U20+T20+S20</f>
        <v/>
      </c>
      <c r="W20" s="19">
        <f>P20*1.1-V20</f>
        <v/>
      </c>
      <c r="X20" s="167">
        <f>IF(W20&gt;0,W20,0)</f>
        <v/>
      </c>
      <c r="Y20" s="185">
        <f>SUMIFS(meghsteelsales_previousmonth[Quantity],meghsteelsales_previousmonth[Length Bucket],O20)/1000</f>
        <v/>
      </c>
      <c r="Z20" s="185">
        <f>SUMIFS(meghsteelsales_currentmonth[Quantity],meghsteelsales_currentmonth[Length Bucket],O20)/1000</f>
        <v/>
      </c>
      <c r="AA20" s="185">
        <f>IF((X20-Y20-Z20)&lt;0,0,(X20-Y20-Z20))</f>
        <v/>
      </c>
    </row>
    <row r="21">
      <c r="A21" s="147" t="inlineStr">
        <is>
          <t>TVS</t>
        </is>
      </c>
      <c r="B21" s="147" t="inlineStr">
        <is>
          <t>RUCHA</t>
        </is>
      </c>
      <c r="C21" s="155" t="inlineStr">
        <is>
          <t>ERW1</t>
        </is>
      </c>
      <c r="D21" s="147" t="inlineStr">
        <is>
          <t>NON FIN</t>
        </is>
      </c>
      <c r="E21" s="147" t="inlineStr">
        <is>
          <t>ERW</t>
        </is>
      </c>
      <c r="F21" s="154" t="n">
        <v>22.2</v>
      </c>
      <c r="G21" s="154" t="n"/>
      <c r="H21" s="154" t="n">
        <v>2</v>
      </c>
      <c r="I21" s="155" t="n">
        <v>5100</v>
      </c>
      <c r="J21" s="147" t="n">
        <v>5.1</v>
      </c>
      <c r="K21" s="147">
        <f>_xlfn.CONCAT(F21,H21,J21,E21,D21)</f>
        <v/>
      </c>
      <c r="L21" s="151" t="inlineStr">
        <is>
          <t>056</t>
        </is>
      </c>
      <c r="M21" s="150" t="n">
        <v>3500554</v>
      </c>
      <c r="N21" s="150" t="inlineStr">
        <is>
          <t>22.23-0-2-ERW 1-PE</t>
        </is>
      </c>
      <c r="O21" s="150" t="inlineStr">
        <is>
          <t>22.23-0-2-ERW 1-PE-5.1</t>
        </is>
      </c>
      <c r="P21" s="19" t="n">
        <v>20</v>
      </c>
      <c r="Q21" s="147" t="n">
        <v>5</v>
      </c>
      <c r="R21" s="147" t="n">
        <v>18</v>
      </c>
      <c r="S21" s="147" t="n">
        <v>0</v>
      </c>
      <c r="T21" s="147">
        <f>R21-Q21</f>
        <v/>
      </c>
      <c r="U21" s="147">
        <f>S21-R21</f>
        <v/>
      </c>
      <c r="V21" s="147">
        <f>U21+T21+S21</f>
        <v/>
      </c>
      <c r="W21" s="19">
        <f>P21*1.1-V21</f>
        <v/>
      </c>
      <c r="X21" s="167">
        <f>IF(W21&gt;0,W21,0)</f>
        <v/>
      </c>
      <c r="Y21" s="185">
        <f>SUMIFS(meghsteelsales_previousmonth[Quantity],meghsteelsales_previousmonth[Length Bucket],O21)/1000</f>
        <v/>
      </c>
      <c r="Z21" s="185">
        <f>SUMIFS(meghsteelsales_currentmonth[Quantity],meghsteelsales_currentmonth[Length Bucket],O21)/1000</f>
        <v/>
      </c>
      <c r="AA21" s="185">
        <f>IF((X21-Y21-Z21)&lt;0,0,(X21-Y21-Z21))</f>
        <v/>
      </c>
    </row>
    <row r="22">
      <c r="A22" s="147" t="inlineStr">
        <is>
          <t>TVS</t>
        </is>
      </c>
      <c r="B22" s="147" t="inlineStr">
        <is>
          <t>RUCHA</t>
        </is>
      </c>
      <c r="C22" s="147" t="inlineStr">
        <is>
          <t>ERW2</t>
        </is>
      </c>
      <c r="D22" s="147" t="inlineStr">
        <is>
          <t>FIN CUT</t>
        </is>
      </c>
      <c r="E22" s="147" t="inlineStr">
        <is>
          <t>HST</t>
        </is>
      </c>
      <c r="F22" s="148" t="n">
        <v>22.2</v>
      </c>
      <c r="G22" s="148" t="n"/>
      <c r="H22" s="148" t="n">
        <v>2</v>
      </c>
      <c r="I22" s="147" t="n">
        <v>6000</v>
      </c>
      <c r="J22" s="147" t="n">
        <v>6000</v>
      </c>
      <c r="K22" s="147">
        <f>_xlfn.CONCAT(F22,H22,J22,E22,D22)</f>
        <v/>
      </c>
      <c r="L22" s="151" t="inlineStr">
        <is>
          <t>056</t>
        </is>
      </c>
      <c r="M22" s="150" t="n">
        <v>3502494</v>
      </c>
      <c r="N22" s="150" t="inlineStr">
        <is>
          <t>22.23-0-2-ERW 2 MAHS-FC</t>
        </is>
      </c>
      <c r="O22" s="150" t="inlineStr">
        <is>
          <t>22.23-0-2-ERW 2 MAHS-FC-6.001</t>
        </is>
      </c>
      <c r="P22" s="19" t="n">
        <v>50</v>
      </c>
      <c r="Q22" s="147" t="n">
        <v>10</v>
      </c>
      <c r="R22" s="147" t="n">
        <v>10</v>
      </c>
      <c r="S22" s="147" t="n">
        <v>43</v>
      </c>
      <c r="T22" s="147">
        <f>R22-Q22</f>
        <v/>
      </c>
      <c r="U22" s="147" t="n">
        <v>31</v>
      </c>
      <c r="V22" s="147">
        <f>U22+T22+S22</f>
        <v/>
      </c>
      <c r="W22" s="19">
        <f>P22*1.1-V22</f>
        <v/>
      </c>
      <c r="X22" s="167">
        <f>IF(W22&gt;0,W22,0)</f>
        <v/>
      </c>
      <c r="Y22" s="185">
        <f>SUMIFS(meghsteelsales_previousmonth[Quantity],meghsteelsales_previousmonth[Length Bucket],O22)/1000</f>
        <v/>
      </c>
      <c r="Z22" s="185">
        <f>SUMIFS(meghsteelsales_currentmonth[Quantity],meghsteelsales_currentmonth[Length Bucket],O22)/1000</f>
        <v/>
      </c>
      <c r="AA22" s="185">
        <f>IF((X22-Y22-Z22)&lt;0,0,(X22-Y22-Z22))</f>
        <v/>
      </c>
    </row>
    <row r="23">
      <c r="A23" s="147" t="inlineStr">
        <is>
          <t>HMSI</t>
        </is>
      </c>
      <c r="B23" s="147" t="inlineStr">
        <is>
          <t>BADVE</t>
        </is>
      </c>
      <c r="C23" s="147" t="inlineStr">
        <is>
          <t>CR ERW 1</t>
        </is>
      </c>
      <c r="D23" s="147" t="inlineStr">
        <is>
          <t>FIN CUT</t>
        </is>
      </c>
      <c r="E23" s="147" t="inlineStr">
        <is>
          <t xml:space="preserve">CR ERW </t>
        </is>
      </c>
      <c r="F23" s="148" t="n">
        <v>22.2</v>
      </c>
      <c r="G23" s="148" t="n"/>
      <c r="H23" s="148" t="n">
        <v>2</v>
      </c>
      <c r="I23" s="147" t="n">
        <v>5390</v>
      </c>
      <c r="J23" s="147" t="n">
        <v>5.39</v>
      </c>
      <c r="K23" s="147">
        <f>_xlfn.CONCAT(F23,H23,J23,E23,D23)</f>
        <v/>
      </c>
      <c r="L23" s="165" t="inlineStr">
        <is>
          <t>0789</t>
        </is>
      </c>
      <c r="M23" s="149" t="n">
        <v>3568328</v>
      </c>
      <c r="N23" s="150" t="inlineStr">
        <is>
          <t>22.23-0-2-ERW 1-FC</t>
        </is>
      </c>
      <c r="O23" s="150" t="inlineStr">
        <is>
          <t>22.23-0-2-ERW 1-PE-5.39</t>
        </is>
      </c>
      <c r="P23" s="19" t="n">
        <v>20</v>
      </c>
      <c r="Q23" s="147" t="n">
        <v>0</v>
      </c>
      <c r="R23" s="147" t="n">
        <v>0</v>
      </c>
      <c r="S23" s="147" t="n">
        <v>0</v>
      </c>
      <c r="T23" s="147">
        <f>R23-Q23</f>
        <v/>
      </c>
      <c r="U23" s="147" t="n">
        <v>6</v>
      </c>
      <c r="V23" s="147">
        <f>U23+T23+S23</f>
        <v/>
      </c>
      <c r="W23" s="19">
        <f>P23*1.1-V23</f>
        <v/>
      </c>
      <c r="X23" s="167">
        <f>IF(W23&gt;0,W23,0)</f>
        <v/>
      </c>
      <c r="Y23" s="185">
        <f>SUMIFS(meghsteelsales_previousmonth[Quantity],meghsteelsales_previousmonth[Length Bucket],O23)/1000</f>
        <v/>
      </c>
      <c r="Z23" s="185">
        <f>SUMIFS(meghsteelsales_currentmonth[Quantity],meghsteelsales_currentmonth[Length Bucket],O23)/1000</f>
        <v/>
      </c>
      <c r="AA23" s="185">
        <f>IF((X23-Y23-Z23)&lt;0,0,(X23-Y23-Z23))</f>
        <v/>
      </c>
    </row>
    <row r="24">
      <c r="A24" s="147" t="inlineStr">
        <is>
          <t>HMSI</t>
        </is>
      </c>
      <c r="B24" s="147" t="inlineStr">
        <is>
          <t>BADVE</t>
        </is>
      </c>
      <c r="C24" s="153" t="inlineStr">
        <is>
          <t>ERW2</t>
        </is>
      </c>
      <c r="D24" s="147" t="inlineStr">
        <is>
          <t>FIN CUT</t>
        </is>
      </c>
      <c r="E24" s="147" t="inlineStr">
        <is>
          <t>HST</t>
        </is>
      </c>
      <c r="F24" s="148" t="n">
        <v>25.4</v>
      </c>
      <c r="G24" s="148" t="n"/>
      <c r="H24" s="148" t="n">
        <v>1.4</v>
      </c>
      <c r="I24" s="147" t="n">
        <v>5531</v>
      </c>
      <c r="J24" s="147" t="n">
        <v>5.531</v>
      </c>
      <c r="K24" s="147">
        <f>_xlfn.CONCAT(F24,H24,J24,E24,D24)</f>
        <v/>
      </c>
      <c r="L24" s="151" t="inlineStr">
        <is>
          <t>056</t>
        </is>
      </c>
      <c r="M24" s="150" t="n">
        <v>3501900</v>
      </c>
      <c r="N24" s="150" t="inlineStr">
        <is>
          <t>25.4-0-1.4-ERW 2-PE</t>
        </is>
      </c>
      <c r="O24" s="150" t="inlineStr">
        <is>
          <t>25.4-0-1.4-ERW 2-PE-5.531</t>
        </is>
      </c>
      <c r="P24" s="19" t="n">
        <v>0</v>
      </c>
      <c r="Q24" s="147" t="n">
        <v>0</v>
      </c>
      <c r="R24" s="147" t="n">
        <v>16.5</v>
      </c>
      <c r="S24" s="147" t="n">
        <v>0</v>
      </c>
      <c r="T24" s="147">
        <f>R24-Q24</f>
        <v/>
      </c>
      <c r="U24" s="147">
        <f>S24-R24</f>
        <v/>
      </c>
      <c r="V24" s="147">
        <f>U24+T24+S24</f>
        <v/>
      </c>
      <c r="W24" s="19">
        <f>P24*1.1-V24</f>
        <v/>
      </c>
      <c r="X24" s="167">
        <f>IF(W24&gt;0,W24,0)</f>
        <v/>
      </c>
      <c r="Y24" s="185">
        <f>SUMIFS(meghsteelsales_previousmonth[Quantity],meghsteelsales_previousmonth[Length Bucket],O24)/1000</f>
        <v/>
      </c>
      <c r="Z24" s="185">
        <f>SUMIFS(meghsteelsales_currentmonth[Quantity],meghsteelsales_currentmonth[Length Bucket],O24)/1000</f>
        <v/>
      </c>
      <c r="AA24" s="185">
        <f>IF((X24-Y24-Z24)&lt;0,0,(X24-Y24-Z24))</f>
        <v/>
      </c>
    </row>
    <row r="25">
      <c r="A25" s="147" t="inlineStr">
        <is>
          <t>HMSI</t>
        </is>
      </c>
      <c r="B25" s="147" t="inlineStr">
        <is>
          <t>BADVE</t>
        </is>
      </c>
      <c r="C25" s="153" t="inlineStr">
        <is>
          <t>ERW1</t>
        </is>
      </c>
      <c r="D25" s="147" t="inlineStr">
        <is>
          <t>FIN CUT</t>
        </is>
      </c>
      <c r="E25" s="147" t="inlineStr">
        <is>
          <t>ERW</t>
        </is>
      </c>
      <c r="F25" s="148" t="n">
        <v>25.4</v>
      </c>
      <c r="G25" s="148" t="n"/>
      <c r="H25" s="148" t="n">
        <v>1.4</v>
      </c>
      <c r="I25" s="147" t="n">
        <v>6060</v>
      </c>
      <c r="J25" s="147" t="n">
        <v>6.06</v>
      </c>
      <c r="K25" s="147">
        <f>_xlfn.CONCAT(F25,H25,J25,E25,D25)</f>
        <v/>
      </c>
      <c r="L25" s="165" t="inlineStr">
        <is>
          <t>0789</t>
        </is>
      </c>
      <c r="M25" s="149" t="n">
        <v>3557792</v>
      </c>
      <c r="N25" s="150" t="inlineStr">
        <is>
          <t>No Key</t>
        </is>
      </c>
      <c r="O25" s="150" t="inlineStr">
        <is>
          <t>No Key</t>
        </is>
      </c>
      <c r="P25" s="19" t="n">
        <v>10</v>
      </c>
      <c r="Q25" s="147" t="n">
        <v>0</v>
      </c>
      <c r="R25" s="147" t="n">
        <v>0</v>
      </c>
      <c r="S25" s="147" t="n">
        <v>0</v>
      </c>
      <c r="T25" s="147">
        <f>R25-Q25</f>
        <v/>
      </c>
      <c r="U25" s="147">
        <f>S25-R25</f>
        <v/>
      </c>
      <c r="V25" s="147">
        <f>U25+T25+S25</f>
        <v/>
      </c>
      <c r="W25" s="19">
        <f>P25*1.1-V25</f>
        <v/>
      </c>
      <c r="X25" s="167">
        <f>IF(W25&gt;0,W25,0)</f>
        <v/>
      </c>
      <c r="Y25" s="185">
        <f>SUMIFS(meghsteelsales_previousmonth[Quantity],meghsteelsales_previousmonth[Length Bucket],O25)/1000</f>
        <v/>
      </c>
      <c r="Z25" s="185">
        <f>SUMIFS(meghsteelsales_currentmonth[Quantity],meghsteelsales_currentmonth[Length Bucket],O25)/1000</f>
        <v/>
      </c>
      <c r="AA25" s="185">
        <f>IF((X25-Y25-Z25)&lt;0,0,(X25-Y25-Z25))</f>
        <v/>
      </c>
    </row>
    <row r="26">
      <c r="A26" s="147" t="inlineStr">
        <is>
          <t>TVS</t>
        </is>
      </c>
      <c r="B26" s="147" t="inlineStr">
        <is>
          <t>RUCHA</t>
        </is>
      </c>
      <c r="C26" s="153" t="inlineStr">
        <is>
          <t>ERW1</t>
        </is>
      </c>
      <c r="D26" s="147" t="inlineStr">
        <is>
          <t>NON FIN</t>
        </is>
      </c>
      <c r="E26" s="147" t="inlineStr">
        <is>
          <t>ERW</t>
        </is>
      </c>
      <c r="F26" s="148" t="n">
        <v>25.4</v>
      </c>
      <c r="G26" s="148" t="n"/>
      <c r="H26" s="148" t="n">
        <v>1.6</v>
      </c>
      <c r="I26" s="147" t="n">
        <v>6000</v>
      </c>
      <c r="J26" s="147" t="n">
        <v>6</v>
      </c>
      <c r="K26" s="147">
        <f>_xlfn.CONCAT(F26,H26,J26,E26,D26)</f>
        <v/>
      </c>
      <c r="L26" s="151" t="inlineStr">
        <is>
          <t>056</t>
        </is>
      </c>
      <c r="M26" s="150" t="n">
        <v>3500097</v>
      </c>
      <c r="N26" s="150" t="inlineStr">
        <is>
          <t>25.4-0-1.6-ERW 1-PE</t>
        </is>
      </c>
      <c r="O26" s="150" t="inlineStr">
        <is>
          <t>25.4-0-1.6-ERW 1-PE-6</t>
        </is>
      </c>
      <c r="P26" s="19" t="n">
        <v>25</v>
      </c>
      <c r="Q26" s="147" t="n">
        <v>6</v>
      </c>
      <c r="R26" s="147" t="n">
        <v>9</v>
      </c>
      <c r="S26" s="147" t="n">
        <v>2.2</v>
      </c>
      <c r="T26" s="147">
        <f>R26-Q26</f>
        <v/>
      </c>
      <c r="U26" s="147">
        <f>S26-R26</f>
        <v/>
      </c>
      <c r="V26" s="147">
        <f>U26+T26+S26</f>
        <v/>
      </c>
      <c r="W26" s="19">
        <f>P26*1.1-V26</f>
        <v/>
      </c>
      <c r="X26" s="167">
        <f>IF(W26&gt;0,W26,0)</f>
        <v/>
      </c>
      <c r="Y26" s="185">
        <f>SUMIFS(meghsteelsales_previousmonth[Quantity],meghsteelsales_previousmonth[Length Bucket],O26)/1000</f>
        <v/>
      </c>
      <c r="Z26" s="185">
        <f>SUMIFS(meghsteelsales_currentmonth[Quantity],meghsteelsales_currentmonth[Length Bucket],O26)/1000</f>
        <v/>
      </c>
      <c r="AA26" s="185">
        <f>IF((X26-Y26-Z26)&lt;0,0,(X26-Y26-Z26))</f>
        <v/>
      </c>
    </row>
    <row r="27">
      <c r="A27" s="147" t="inlineStr">
        <is>
          <t>TVS</t>
        </is>
      </c>
      <c r="B27" s="147" t="inlineStr">
        <is>
          <t>RUCHA</t>
        </is>
      </c>
      <c r="C27" s="153" t="inlineStr">
        <is>
          <t>ERW1</t>
        </is>
      </c>
      <c r="D27" s="147" t="inlineStr">
        <is>
          <t>NON FIN</t>
        </is>
      </c>
      <c r="E27" s="147" t="inlineStr">
        <is>
          <t>ERW</t>
        </is>
      </c>
      <c r="F27" s="148" t="n">
        <v>25.4</v>
      </c>
      <c r="G27" s="148" t="n"/>
      <c r="H27" s="148" t="n">
        <v>2</v>
      </c>
      <c r="I27" s="147" t="n">
        <v>5840</v>
      </c>
      <c r="J27" s="147" t="n">
        <v>5.82</v>
      </c>
      <c r="K27" s="147">
        <f>_xlfn.CONCAT(F27,H27,J27,E27,D27)</f>
        <v/>
      </c>
      <c r="L27" s="151" t="inlineStr">
        <is>
          <t>056</t>
        </is>
      </c>
      <c r="M27" s="149" t="n">
        <v>3240023</v>
      </c>
      <c r="N27" s="150" t="inlineStr">
        <is>
          <t>25.4-0-2-ERW 1-PE</t>
        </is>
      </c>
      <c r="O27" s="150" t="inlineStr">
        <is>
          <t>25.4-0-2-ERW 1-PE-5.82</t>
        </is>
      </c>
      <c r="P27" s="19" t="n">
        <v>12</v>
      </c>
      <c r="Q27" s="147" t="n">
        <v>0</v>
      </c>
      <c r="R27" s="147" t="n">
        <v>0</v>
      </c>
      <c r="S27" s="147" t="n">
        <v>0</v>
      </c>
      <c r="T27" s="147">
        <f>R27-Q27</f>
        <v/>
      </c>
      <c r="U27" s="147" t="n">
        <v>18</v>
      </c>
      <c r="V27" s="147">
        <f>U27+T27+S27</f>
        <v/>
      </c>
      <c r="W27" s="19">
        <f>P27*1.1-V27</f>
        <v/>
      </c>
      <c r="X27" s="167">
        <f>IF(W27&gt;0,W27,0)</f>
        <v/>
      </c>
      <c r="Y27" s="185">
        <f>SUMIFS(meghsteelsales_previousmonth[Quantity],meghsteelsales_previousmonth[Length Bucket],O27)/1000</f>
        <v/>
      </c>
      <c r="Z27" s="185">
        <f>SUMIFS(meghsteelsales_currentmonth[Quantity],meghsteelsales_currentmonth[Length Bucket],O27)/1000</f>
        <v/>
      </c>
      <c r="AA27" s="185">
        <f>IF((X27-Y27-Z27)&lt;0,0,(X27-Y27-Z27))</f>
        <v/>
      </c>
    </row>
    <row r="28">
      <c r="A28" s="147" t="inlineStr">
        <is>
          <t>TVS</t>
        </is>
      </c>
      <c r="B28" s="147" t="inlineStr">
        <is>
          <t>RUCHA</t>
        </is>
      </c>
      <c r="C28" s="153" t="inlineStr">
        <is>
          <t>ERW1</t>
        </is>
      </c>
      <c r="D28" s="147" t="inlineStr">
        <is>
          <t>NON FIN</t>
        </is>
      </c>
      <c r="E28" s="147" t="inlineStr">
        <is>
          <t>ERW</t>
        </is>
      </c>
      <c r="F28" s="148" t="n">
        <v>25.4</v>
      </c>
      <c r="G28" s="148" t="n"/>
      <c r="H28" s="148" t="n">
        <v>2.5</v>
      </c>
      <c r="I28" s="147" t="n">
        <v>5530</v>
      </c>
      <c r="J28" s="147" t="n">
        <v>5.53</v>
      </c>
      <c r="K28" s="147">
        <f>_xlfn.CONCAT(F28,H28,J28,E28,D28)</f>
        <v/>
      </c>
      <c r="L28" s="151" t="inlineStr">
        <is>
          <t>056</t>
        </is>
      </c>
      <c r="M28" s="150" t="n">
        <v>3502256</v>
      </c>
      <c r="N28" s="150" t="inlineStr">
        <is>
          <t>25.4-0-2.5-ERW 1-PE</t>
        </is>
      </c>
      <c r="O28" s="150" t="inlineStr">
        <is>
          <t>25.4-0-2.5-ERW 1-PE-5.53</t>
        </is>
      </c>
      <c r="P28" s="19" t="n">
        <v>50</v>
      </c>
      <c r="Q28" s="147" t="n">
        <v>15</v>
      </c>
      <c r="R28" s="147" t="n">
        <v>30</v>
      </c>
      <c r="S28" s="147" t="n">
        <v>1.8</v>
      </c>
      <c r="T28" s="147">
        <f>R28-Q28</f>
        <v/>
      </c>
      <c r="U28" s="147" t="n">
        <v>6.5</v>
      </c>
      <c r="V28" s="147">
        <f>U28+T28+S28</f>
        <v/>
      </c>
      <c r="W28" s="19">
        <f>P28*1.1-V28</f>
        <v/>
      </c>
      <c r="X28" s="167">
        <f>IF(W28&gt;0,W28,0)</f>
        <v/>
      </c>
      <c r="Y28" s="185">
        <f>SUMIFS(meghsteelsales_previousmonth[Quantity],meghsteelsales_previousmonth[Length Bucket],O28)/1000</f>
        <v/>
      </c>
      <c r="Z28" s="185">
        <f>SUMIFS(meghsteelsales_currentmonth[Quantity],meghsteelsales_currentmonth[Length Bucket],O28)/1000</f>
        <v/>
      </c>
      <c r="AA28" s="185">
        <f>IF((X28-Y28-Z28)&lt;0,0,(X28-Y28-Z28))</f>
        <v/>
      </c>
    </row>
    <row r="29">
      <c r="A29" s="147" t="inlineStr">
        <is>
          <t>TVS</t>
        </is>
      </c>
      <c r="B29" s="147" t="inlineStr">
        <is>
          <t>RUCHA,METALMAN</t>
        </is>
      </c>
      <c r="C29" s="153" t="inlineStr">
        <is>
          <t>ERW1</t>
        </is>
      </c>
      <c r="D29" s="147" t="inlineStr">
        <is>
          <t>FIN CUT</t>
        </is>
      </c>
      <c r="E29" s="147" t="inlineStr">
        <is>
          <t>ERW</t>
        </is>
      </c>
      <c r="F29" s="148" t="n">
        <v>28.6</v>
      </c>
      <c r="G29" s="148" t="n"/>
      <c r="H29" s="148" t="n">
        <v>1.2</v>
      </c>
      <c r="I29" s="147" t="n">
        <v>6000</v>
      </c>
      <c r="J29" s="147" t="n">
        <v>6</v>
      </c>
      <c r="K29" s="147">
        <f>_xlfn.CONCAT(F29,H29,J29,E29,D29)</f>
        <v/>
      </c>
      <c r="L29" s="158" t="inlineStr">
        <is>
          <t>0789</t>
        </is>
      </c>
      <c r="M29" s="150" t="n">
        <v>1940616</v>
      </c>
      <c r="N29" s="150" t="e">
        <v>#N/A</v>
      </c>
      <c r="O29" s="150" t="e">
        <v>#N/A</v>
      </c>
      <c r="P29" s="19" t="n">
        <v>3</v>
      </c>
      <c r="Q29" s="147" t="n">
        <v>0</v>
      </c>
      <c r="R29" s="147" t="n">
        <v>0</v>
      </c>
      <c r="S29" s="147" t="n">
        <v>0</v>
      </c>
      <c r="T29" s="147">
        <f>R29-Q29</f>
        <v/>
      </c>
      <c r="U29" s="147">
        <f>S29-R29</f>
        <v/>
      </c>
      <c r="V29" s="147">
        <f>U29+T29+S29</f>
        <v/>
      </c>
      <c r="W29" s="19">
        <f>P29*1.1-V29</f>
        <v/>
      </c>
      <c r="X29" s="167">
        <f>IF(W29&gt;0,W29,0)</f>
        <v/>
      </c>
      <c r="Y29" s="185">
        <f>SUMIFS(meghsteelsales_previousmonth[Quantity],meghsteelsales_previousmonth[Length Bucket],O29)/1000</f>
        <v/>
      </c>
      <c r="Z29" s="185">
        <f>SUMIFS(meghsteelsales_currentmonth[Quantity],meghsteelsales_currentmonth[Length Bucket],O29)/1000</f>
        <v/>
      </c>
      <c r="AA29" s="185">
        <f>IF((X29-Y29-Z29)&lt;0,0,(X29-Y29-Z29))</f>
        <v/>
      </c>
    </row>
    <row r="30">
      <c r="A30" s="147" t="inlineStr">
        <is>
          <t>TVS</t>
        </is>
      </c>
      <c r="B30" s="147" t="inlineStr">
        <is>
          <t>RUCHA</t>
        </is>
      </c>
      <c r="C30" s="159" t="inlineStr">
        <is>
          <t>CEW1</t>
        </is>
      </c>
      <c r="D30" s="147" t="inlineStr">
        <is>
          <t>FIN CUT</t>
        </is>
      </c>
      <c r="E30" s="147" t="inlineStr">
        <is>
          <t>CEW</t>
        </is>
      </c>
      <c r="F30" s="168" t="n">
        <v>28.6</v>
      </c>
      <c r="G30" s="168" t="n"/>
      <c r="H30" s="168" t="n">
        <v>2.65</v>
      </c>
      <c r="I30" s="169" t="n">
        <v>6000</v>
      </c>
      <c r="J30" s="147" t="n">
        <v>6</v>
      </c>
      <c r="K30" s="147">
        <f>_xlfn.CONCAT(F30,H30,J30,E30,D30)</f>
        <v/>
      </c>
      <c r="L30" s="151" t="inlineStr">
        <is>
          <t>0788</t>
        </is>
      </c>
      <c r="M30" s="150" t="n">
        <v>2410388</v>
      </c>
      <c r="N30" s="150" t="inlineStr">
        <is>
          <t>No Key</t>
        </is>
      </c>
      <c r="O30" s="150" t="inlineStr">
        <is>
          <t>No Key</t>
        </is>
      </c>
      <c r="P30" s="19" t="n">
        <v>10</v>
      </c>
      <c r="Q30" s="147" t="n">
        <v>0</v>
      </c>
      <c r="R30" s="147" t="n">
        <v>20</v>
      </c>
      <c r="S30" s="147" t="n">
        <v>0</v>
      </c>
      <c r="T30" s="147">
        <f>R30-Q30</f>
        <v/>
      </c>
      <c r="U30" s="147">
        <f>S30-R30</f>
        <v/>
      </c>
      <c r="V30" s="147">
        <f>U30+T30+S30</f>
        <v/>
      </c>
      <c r="W30" s="19">
        <f>P30*1.1-V30</f>
        <v/>
      </c>
      <c r="X30" s="167">
        <f>IF(W30&gt;0,W30,0)</f>
        <v/>
      </c>
      <c r="Y30" s="185">
        <f>SUMIFS(meghsteelsales_previousmonth[Quantity],meghsteelsales_previousmonth[Length Bucket],O30)/1000</f>
        <v/>
      </c>
      <c r="Z30" s="185">
        <f>SUMIFS(meghsteelsales_currentmonth[Quantity],meghsteelsales_currentmonth[Length Bucket],O30)/1000</f>
        <v/>
      </c>
      <c r="AA30" s="185">
        <f>IF((X30-Y30-Z30)&lt;0,0,(X30-Y30-Z30))</f>
        <v/>
      </c>
    </row>
    <row r="31">
      <c r="A31" s="147" t="inlineStr">
        <is>
          <t>TVS</t>
        </is>
      </c>
      <c r="B31" s="147" t="inlineStr">
        <is>
          <t>RUCHA,METALMAN</t>
        </is>
      </c>
      <c r="C31" s="153" t="inlineStr">
        <is>
          <t>ERW1</t>
        </is>
      </c>
      <c r="D31" s="147" t="inlineStr">
        <is>
          <t>FIN CUT</t>
        </is>
      </c>
      <c r="E31" s="147" t="inlineStr">
        <is>
          <t>ERW</t>
        </is>
      </c>
      <c r="F31" s="148" t="n">
        <v>31.75</v>
      </c>
      <c r="G31" s="148" t="n"/>
      <c r="H31" s="148" t="n">
        <v>1.2</v>
      </c>
      <c r="I31" s="147" t="n">
        <v>6000</v>
      </c>
      <c r="J31" s="147" t="n">
        <v>6</v>
      </c>
      <c r="K31" s="147">
        <f>_xlfn.CONCAT(F31,H31,J31,E31,D31)</f>
        <v/>
      </c>
      <c r="L31" s="151" t="inlineStr">
        <is>
          <t>056</t>
        </is>
      </c>
      <c r="M31" s="150" t="n">
        <v>3884381</v>
      </c>
      <c r="N31" s="150" t="inlineStr">
        <is>
          <t>31.75-0-1.2-ERW 1-PE</t>
        </is>
      </c>
      <c r="O31" s="150" t="inlineStr">
        <is>
          <t>31.75-0-1.2-ERW 1-PE-6</t>
        </is>
      </c>
      <c r="P31" s="19" t="n">
        <v>3</v>
      </c>
      <c r="Q31" s="147" t="n">
        <v>0</v>
      </c>
      <c r="R31" s="147" t="n">
        <v>0</v>
      </c>
      <c r="S31" s="147" t="n">
        <v>0</v>
      </c>
      <c r="T31" s="147">
        <f>R31-Q31</f>
        <v/>
      </c>
      <c r="U31" s="147" t="n">
        <v>3</v>
      </c>
      <c r="V31" s="147">
        <f>U31+T31+S31</f>
        <v/>
      </c>
      <c r="W31" s="19">
        <f>P31*1.1-V31</f>
        <v/>
      </c>
      <c r="X31" s="167">
        <f>IF(W31&gt;0,W31,0)</f>
        <v/>
      </c>
      <c r="Y31" s="185">
        <f>SUMIFS(meghsteelsales_previousmonth[Quantity],meghsteelsales_previousmonth[Length Bucket],O31)/1000</f>
        <v/>
      </c>
      <c r="Z31" s="185">
        <f>SUMIFS(meghsteelsales_currentmonth[Quantity],meghsteelsales_currentmonth[Length Bucket],O31)/1000</f>
        <v/>
      </c>
      <c r="AA31" s="185">
        <f>IF((X31-Y31-Z31)&lt;0,0,(X31-Y31-Z31))</f>
        <v/>
      </c>
    </row>
    <row r="32">
      <c r="A32" s="147" t="inlineStr">
        <is>
          <t>TVS</t>
        </is>
      </c>
      <c r="B32" s="147" t="inlineStr">
        <is>
          <t>RUCHA</t>
        </is>
      </c>
      <c r="C32" s="153" t="inlineStr">
        <is>
          <t>ERW1</t>
        </is>
      </c>
      <c r="D32" s="147" t="inlineStr">
        <is>
          <t>FIN CUT</t>
        </is>
      </c>
      <c r="E32" s="147" t="inlineStr">
        <is>
          <t>ERW</t>
        </is>
      </c>
      <c r="F32" s="148" t="n">
        <v>31.75</v>
      </c>
      <c r="G32" s="148" t="n"/>
      <c r="H32" s="148" t="n">
        <v>2.3</v>
      </c>
      <c r="I32" s="147" t="n">
        <v>6000</v>
      </c>
      <c r="J32" s="147" t="n">
        <v>6</v>
      </c>
      <c r="K32" s="147">
        <f>_xlfn.CONCAT(F32,H32,J32,E32,D32)</f>
        <v/>
      </c>
      <c r="L32" s="158" t="inlineStr">
        <is>
          <t>056</t>
        </is>
      </c>
      <c r="M32" s="150" t="n">
        <v>3500081</v>
      </c>
      <c r="N32" s="150" t="inlineStr">
        <is>
          <t>31.75--2.3-ERW 1-FIN CUT</t>
        </is>
      </c>
      <c r="O32" s="150" t="inlineStr">
        <is>
          <t>31.75--2.3-ERW 1-FIN CUT-6</t>
        </is>
      </c>
      <c r="P32" s="19" t="n">
        <v>13</v>
      </c>
      <c r="Q32" s="147" t="n">
        <v>3</v>
      </c>
      <c r="R32" s="147" t="n">
        <v>25</v>
      </c>
      <c r="S32" s="147" t="n">
        <v>0</v>
      </c>
      <c r="T32" s="147">
        <f>R32-Q32</f>
        <v/>
      </c>
      <c r="U32" s="147">
        <f>S32-R32</f>
        <v/>
      </c>
      <c r="V32" s="147">
        <f>U32+T32+S32</f>
        <v/>
      </c>
      <c r="W32" s="19">
        <f>P32*1.1-V32</f>
        <v/>
      </c>
      <c r="X32" s="167">
        <f>IF(W32&gt;0,W32,0)</f>
        <v/>
      </c>
      <c r="Y32" s="185">
        <f>SUMIFS(meghsteelsales_previousmonth[Quantity],meghsteelsales_previousmonth[Length Bucket],O32)/1000</f>
        <v/>
      </c>
      <c r="Z32" s="185">
        <f>SUMIFS(meghsteelsales_currentmonth[Quantity],meghsteelsales_currentmonth[Length Bucket],O32)/1000</f>
        <v/>
      </c>
      <c r="AA32" s="185">
        <f>IF((X32-Y32-Z32)&lt;0,0,(X32-Y32-Z32))</f>
        <v/>
      </c>
    </row>
    <row r="33">
      <c r="A33" s="147" t="n">
        <v>0</v>
      </c>
      <c r="B33" s="147" t="inlineStr">
        <is>
          <t>RUCHA,METALMAN</t>
        </is>
      </c>
      <c r="C33" s="153" t="inlineStr">
        <is>
          <t>ERW1</t>
        </is>
      </c>
      <c r="D33" s="147" t="inlineStr">
        <is>
          <t>FIN CUT</t>
        </is>
      </c>
      <c r="E33" s="147" t="inlineStr">
        <is>
          <t>ERW</t>
        </is>
      </c>
      <c r="F33" s="148" t="n">
        <v>34.93</v>
      </c>
      <c r="G33" s="148" t="n"/>
      <c r="H33" s="148" t="n">
        <v>1.2</v>
      </c>
      <c r="I33" s="147" t="n">
        <v>6000</v>
      </c>
      <c r="J33" s="147" t="n">
        <v>6</v>
      </c>
      <c r="K33" s="147">
        <f>_xlfn.CONCAT(F33,H33,J33,E33,D33)</f>
        <v/>
      </c>
      <c r="L33" s="149" t="n"/>
      <c r="M33" s="150" t="n">
        <v>1940701</v>
      </c>
      <c r="N33" s="150" t="inlineStr">
        <is>
          <t>No Key</t>
        </is>
      </c>
      <c r="O33" s="150" t="inlineStr">
        <is>
          <t>No Key</t>
        </is>
      </c>
      <c r="P33" s="19" t="n">
        <v>3</v>
      </c>
      <c r="Q33" s="147" t="n">
        <v>0</v>
      </c>
      <c r="R33" s="147" t="n">
        <v>15</v>
      </c>
      <c r="S33" s="147" t="n">
        <v>2.8</v>
      </c>
      <c r="T33" s="147">
        <f>R33-Q33</f>
        <v/>
      </c>
      <c r="U33" s="147">
        <f>S33-R33</f>
        <v/>
      </c>
      <c r="V33" s="147">
        <f>U33+T33+S33</f>
        <v/>
      </c>
      <c r="W33" s="19">
        <f>P33*1.1-V33</f>
        <v/>
      </c>
      <c r="X33" s="167">
        <f>IF(W33&gt;0,W33,0)</f>
        <v/>
      </c>
      <c r="Y33" s="185">
        <f>SUMIFS(meghsteelsales_previousmonth[Quantity],meghsteelsales_previousmonth[Length Bucket],O33)/1000</f>
        <v/>
      </c>
      <c r="Z33" s="185">
        <f>SUMIFS(meghsteelsales_currentmonth[Quantity],meghsteelsales_currentmonth[Length Bucket],O33)/1000</f>
        <v/>
      </c>
      <c r="AA33" s="185">
        <f>IF((X33-Y33-Z33)&lt;0,0,(X33-Y33-Z33))</f>
        <v/>
      </c>
    </row>
    <row r="34">
      <c r="A34" s="147" t="inlineStr">
        <is>
          <t>RE</t>
        </is>
      </c>
      <c r="B34" s="147" t="inlineStr">
        <is>
          <t>BELRISE</t>
        </is>
      </c>
      <c r="C34" s="153" t="inlineStr">
        <is>
          <t>ERW1</t>
        </is>
      </c>
      <c r="D34" s="147" t="inlineStr">
        <is>
          <t>FIN CUT</t>
        </is>
      </c>
      <c r="E34" s="147" t="inlineStr">
        <is>
          <t>ERW</t>
        </is>
      </c>
      <c r="F34" s="148" t="n">
        <v>34.93</v>
      </c>
      <c r="G34" s="148" t="n"/>
      <c r="H34" s="148" t="n">
        <v>1.2</v>
      </c>
      <c r="I34" s="147" t="n">
        <v>620</v>
      </c>
      <c r="J34" s="147" t="n">
        <v>0.62</v>
      </c>
      <c r="K34" s="147">
        <f>_xlfn.CONCAT(F34,H34,J34,E34,D34)</f>
        <v/>
      </c>
      <c r="L34" s="151" t="inlineStr">
        <is>
          <t>0789</t>
        </is>
      </c>
      <c r="M34" s="150" t="n">
        <v>2397073</v>
      </c>
      <c r="N34" s="150" t="inlineStr">
        <is>
          <t>34.93-0-1.2-ERW 1-FC</t>
        </is>
      </c>
      <c r="O34" s="150" t="inlineStr">
        <is>
          <t>34.93-0-1.2-ERW 1-FC-0.620</t>
        </is>
      </c>
      <c r="P34" s="19" t="n">
        <v>10</v>
      </c>
      <c r="Q34" s="147" t="n">
        <v>0</v>
      </c>
      <c r="R34" s="147" t="n">
        <v>0</v>
      </c>
      <c r="S34" s="147" t="n">
        <v>0</v>
      </c>
      <c r="T34" s="147">
        <f>R34-Q34</f>
        <v/>
      </c>
      <c r="U34" s="147">
        <f>S34-R34</f>
        <v/>
      </c>
      <c r="V34" s="147">
        <f>U34+T34+S34</f>
        <v/>
      </c>
      <c r="W34" s="19">
        <f>P34*1.1-V34</f>
        <v/>
      </c>
      <c r="X34" s="167">
        <f>IF(W34&gt;0,W34,0)</f>
        <v/>
      </c>
      <c r="Y34" s="185">
        <f>SUMIFS(meghsteelsales_previousmonth[Quantity],meghsteelsales_previousmonth[Length Bucket],O34)/1000</f>
        <v/>
      </c>
      <c r="Z34" s="185">
        <f>SUMIFS(meghsteelsales_currentmonth[Quantity],meghsteelsales_currentmonth[Length Bucket],O34)/1000</f>
        <v/>
      </c>
      <c r="AA34" s="185">
        <f>IF((X34-Y34-Z34)&lt;0,0,(X34-Y34-Z34))</f>
        <v/>
      </c>
    </row>
    <row r="35">
      <c r="A35" s="147" t="inlineStr">
        <is>
          <t>RE</t>
        </is>
      </c>
      <c r="B35" s="147" t="inlineStr">
        <is>
          <t>RAJSRIYA</t>
        </is>
      </c>
      <c r="C35" s="153" t="inlineStr">
        <is>
          <t>ERW1</t>
        </is>
      </c>
      <c r="D35" s="147" t="inlineStr">
        <is>
          <t>FIN CUT</t>
        </is>
      </c>
      <c r="E35" s="147" t="inlineStr">
        <is>
          <t>ERW</t>
        </is>
      </c>
      <c r="F35" s="148" t="n">
        <v>34.93</v>
      </c>
      <c r="G35" s="148" t="n"/>
      <c r="H35" s="148" t="n">
        <v>1.2</v>
      </c>
      <c r="I35" s="147" t="n">
        <v>700</v>
      </c>
      <c r="J35" s="147" t="n">
        <v>0.7</v>
      </c>
      <c r="K35" s="147">
        <f>_xlfn.CONCAT(F35,H35,J35,E35,D35)</f>
        <v/>
      </c>
      <c r="L35" s="151" t="inlineStr">
        <is>
          <t>0789</t>
        </is>
      </c>
      <c r="M35" s="150" t="n">
        <v>3649699</v>
      </c>
      <c r="N35" s="150" t="inlineStr">
        <is>
          <t>34.93-0-1.2-ERW 1-FC</t>
        </is>
      </c>
      <c r="O35" s="150" t="inlineStr">
        <is>
          <t>34.93-0-1.2-ERW 1-FC-0.7</t>
        </is>
      </c>
      <c r="P35" s="19" t="n">
        <v>10</v>
      </c>
      <c r="Q35" s="147" t="n">
        <v>0</v>
      </c>
      <c r="R35" s="147" t="n">
        <v>0</v>
      </c>
      <c r="S35" s="147" t="n">
        <v>0</v>
      </c>
      <c r="T35" s="147">
        <f>R35-Q35</f>
        <v/>
      </c>
      <c r="U35" s="147">
        <f>S35-R35</f>
        <v/>
      </c>
      <c r="V35" s="147">
        <f>U35+T35+S35</f>
        <v/>
      </c>
      <c r="W35" s="19">
        <f>P35*1.1-V35</f>
        <v/>
      </c>
      <c r="X35" s="167">
        <f>IF(W35&gt;0,W35,0)</f>
        <v/>
      </c>
      <c r="Y35" s="185">
        <f>SUMIFS(meghsteelsales_previousmonth[Quantity],meghsteelsales_previousmonth[Length Bucket],O35)/1000</f>
        <v/>
      </c>
      <c r="Z35" s="185">
        <f>SUMIFS(meghsteelsales_currentmonth[Quantity],meghsteelsales_currentmonth[Length Bucket],O35)/1000</f>
        <v/>
      </c>
      <c r="AA35" s="185">
        <f>IF((X35-Y35-Z35)&lt;0,0,(X35-Y35-Z35))</f>
        <v/>
      </c>
    </row>
    <row r="36">
      <c r="A36" s="147" t="inlineStr">
        <is>
          <t>HMSI</t>
        </is>
      </c>
      <c r="B36" s="147" t="inlineStr">
        <is>
          <t>BADVE</t>
        </is>
      </c>
      <c r="C36" s="155" t="inlineStr">
        <is>
          <t>ERW2</t>
        </is>
      </c>
      <c r="D36" s="147" t="inlineStr">
        <is>
          <t>FIN CUT</t>
        </is>
      </c>
      <c r="E36" s="147" t="inlineStr">
        <is>
          <t>ERW</t>
        </is>
      </c>
      <c r="F36" s="154" t="n">
        <v>34</v>
      </c>
      <c r="G36" s="154" t="n"/>
      <c r="H36" s="154" t="n">
        <v>1.4</v>
      </c>
      <c r="I36" s="155" t="n">
        <v>5660</v>
      </c>
      <c r="J36" s="147" t="n">
        <v>5.66</v>
      </c>
      <c r="K36" s="147">
        <f>_xlfn.CONCAT(F36,H36,J36,E36,D36)</f>
        <v/>
      </c>
      <c r="L36" s="151" t="inlineStr">
        <is>
          <t>0788</t>
        </is>
      </c>
      <c r="M36" s="150" t="n">
        <v>3702855</v>
      </c>
      <c r="N36" s="150" t="inlineStr">
        <is>
          <t>No Key</t>
        </is>
      </c>
      <c r="O36" s="150" t="inlineStr">
        <is>
          <t>No Key</t>
        </is>
      </c>
      <c r="P36" s="19" t="n">
        <v>0</v>
      </c>
      <c r="Q36" s="147" t="n">
        <v>0</v>
      </c>
      <c r="R36" s="147" t="n">
        <v>0</v>
      </c>
      <c r="S36" s="147" t="n">
        <v>0</v>
      </c>
      <c r="T36" s="147">
        <f>R36-Q36</f>
        <v/>
      </c>
      <c r="U36" s="147">
        <f>S36-R36</f>
        <v/>
      </c>
      <c r="V36" s="147">
        <f>U36+T36+S36</f>
        <v/>
      </c>
      <c r="W36" s="19">
        <f>P36*1.1-V36</f>
        <v/>
      </c>
      <c r="X36" s="167">
        <f>IF(W36&gt;0,W36,0)</f>
        <v/>
      </c>
      <c r="Y36" s="185">
        <f>SUMIFS(meghsteelsales_previousmonth[Quantity],meghsteelsales_previousmonth[Length Bucket],O36)/1000</f>
        <v/>
      </c>
      <c r="Z36" s="185">
        <f>SUMIFS(meghsteelsales_currentmonth[Quantity],meghsteelsales_currentmonth[Length Bucket],O36)/1000</f>
        <v/>
      </c>
      <c r="AA36" s="185">
        <f>IF((X36-Y36-Z36)&lt;0,0,(X36-Y36-Z36))</f>
        <v/>
      </c>
    </row>
    <row r="37">
      <c r="A37" s="147" t="inlineStr">
        <is>
          <t>TVS</t>
        </is>
      </c>
      <c r="B37" s="147" t="inlineStr">
        <is>
          <t>RUCHA,METALMAN</t>
        </is>
      </c>
      <c r="C37" s="153" t="inlineStr">
        <is>
          <t>ERW370</t>
        </is>
      </c>
      <c r="D37" s="147" t="inlineStr">
        <is>
          <t>FIN CUT</t>
        </is>
      </c>
      <c r="E37" s="147" t="inlineStr">
        <is>
          <t>HST</t>
        </is>
      </c>
      <c r="F37" s="148" t="n">
        <v>38.1</v>
      </c>
      <c r="G37" s="148" t="n"/>
      <c r="H37" s="148" t="n">
        <v>1.6</v>
      </c>
      <c r="I37" s="147" t="n">
        <v>6190</v>
      </c>
      <c r="J37" s="147" t="n">
        <v>6.19</v>
      </c>
      <c r="K37" s="147">
        <f>_xlfn.CONCAT(F37,H37,J37,E37,D37)</f>
        <v/>
      </c>
      <c r="L37" s="151" t="inlineStr">
        <is>
          <t>056</t>
        </is>
      </c>
      <c r="M37" s="150" t="n">
        <v>3502254</v>
      </c>
      <c r="N37" s="150" t="inlineStr">
        <is>
          <t>38.1-0-1.6-ERW 1-FC</t>
        </is>
      </c>
      <c r="O37" s="150" t="inlineStr">
        <is>
          <t>38.1-0-1.6-ERW 1-FC-6.19</t>
        </is>
      </c>
      <c r="P37" s="19" t="n">
        <v>40</v>
      </c>
      <c r="Q37" s="147" t="n">
        <v>0</v>
      </c>
      <c r="R37" s="147" t="n">
        <v>0</v>
      </c>
      <c r="S37" s="147" t="n">
        <v>17</v>
      </c>
      <c r="T37" s="147">
        <f>R37-Q37</f>
        <v/>
      </c>
      <c r="U37" s="147" t="n">
        <v>12</v>
      </c>
      <c r="V37" s="147">
        <f>U37+T37+S37</f>
        <v/>
      </c>
      <c r="W37" s="19">
        <f>P37*1.1-V37</f>
        <v/>
      </c>
      <c r="X37" s="167">
        <f>IF(W37&gt;0,W37,0)</f>
        <v/>
      </c>
      <c r="Y37" s="185">
        <f>SUMIFS(meghsteelsales_previousmonth[Quantity],meghsteelsales_previousmonth[Length Bucket],O37)/1000</f>
        <v/>
      </c>
      <c r="Z37" s="185">
        <f>SUMIFS(meghsteelsales_currentmonth[Quantity],meghsteelsales_currentmonth[Length Bucket],O37)/1000</f>
        <v/>
      </c>
      <c r="AA37" s="185">
        <f>IF((X37-Y37-Z37)&lt;0,0,(X37-Y37-Z37))</f>
        <v/>
      </c>
    </row>
    <row r="38">
      <c r="A38" s="147" t="inlineStr">
        <is>
          <t>TVS</t>
        </is>
      </c>
      <c r="B38" s="147" t="inlineStr">
        <is>
          <t>RUCHA,METALMAN</t>
        </is>
      </c>
      <c r="C38" s="153" t="inlineStr">
        <is>
          <t>ERW1</t>
        </is>
      </c>
      <c r="D38" s="147" t="inlineStr">
        <is>
          <t>FIN CUT</t>
        </is>
      </c>
      <c r="E38" s="147" t="inlineStr">
        <is>
          <t>ERW</t>
        </is>
      </c>
      <c r="F38" s="148" t="n">
        <v>38.1</v>
      </c>
      <c r="G38" s="148" t="n"/>
      <c r="H38" s="148" t="n">
        <v>2</v>
      </c>
      <c r="I38" s="147" t="n">
        <v>5650</v>
      </c>
      <c r="J38" s="147" t="n">
        <v>5.65</v>
      </c>
      <c r="K38" s="147">
        <f>_xlfn.CONCAT(F38,H38,J38,E38,D38)</f>
        <v/>
      </c>
      <c r="L38" s="151" t="inlineStr">
        <is>
          <t>056</t>
        </is>
      </c>
      <c r="M38" s="150" t="n">
        <v>3500959</v>
      </c>
      <c r="N38" s="150" t="inlineStr">
        <is>
          <t>38.1-0-2-ERW 1-FC</t>
        </is>
      </c>
      <c r="O38" s="150" t="inlineStr">
        <is>
          <t>38.1-0-2-ERW 1-FC-5.65</t>
        </is>
      </c>
      <c r="P38" s="19" t="n">
        <v>25</v>
      </c>
      <c r="Q38" s="147" t="n">
        <v>5</v>
      </c>
      <c r="R38" s="147" t="n">
        <v>47</v>
      </c>
      <c r="S38" s="147" t="n">
        <v>0</v>
      </c>
      <c r="T38" s="147">
        <f>R38-Q38</f>
        <v/>
      </c>
      <c r="U38" s="147" t="n">
        <v>11</v>
      </c>
      <c r="V38" s="147">
        <f>U38+T38+S38</f>
        <v/>
      </c>
      <c r="W38" s="19">
        <f>P38*1.1-V38</f>
        <v/>
      </c>
      <c r="X38" s="167">
        <f>IF(W38&gt;0,W38,0)</f>
        <v/>
      </c>
      <c r="Y38" s="185">
        <f>SUMIFS(meghsteelsales_previousmonth[Quantity],meghsteelsales_previousmonth[Length Bucket],O38)/1000</f>
        <v/>
      </c>
      <c r="Z38" s="185">
        <f>SUMIFS(meghsteelsales_currentmonth[Quantity],meghsteelsales_currentmonth[Length Bucket],O38)/1000</f>
        <v/>
      </c>
      <c r="AA38" s="185">
        <f>IF((X38-Y38-Z38)&lt;0,0,(X38-Y38-Z38))</f>
        <v/>
      </c>
    </row>
    <row r="39">
      <c r="A39" s="147" t="inlineStr">
        <is>
          <t>TVS</t>
        </is>
      </c>
      <c r="B39" s="147" t="inlineStr">
        <is>
          <t>RUCHA,METALMAN</t>
        </is>
      </c>
      <c r="C39" s="153" t="inlineStr">
        <is>
          <t>ERW2</t>
        </is>
      </c>
      <c r="D39" s="147" t="inlineStr">
        <is>
          <t>FIN CUT</t>
        </is>
      </c>
      <c r="E39" s="147" t="inlineStr">
        <is>
          <t>HST</t>
        </is>
      </c>
      <c r="F39" s="148" t="n">
        <v>38.1</v>
      </c>
      <c r="G39" s="148" t="n"/>
      <c r="H39" s="148" t="n">
        <v>2.5</v>
      </c>
      <c r="I39" s="147" t="n">
        <v>6190</v>
      </c>
      <c r="J39" s="147" t="n">
        <v>6.19</v>
      </c>
      <c r="K39" s="147">
        <f>_xlfn.CONCAT(F39,H39,J39,E39,D39)</f>
        <v/>
      </c>
      <c r="L39" s="151" t="inlineStr">
        <is>
          <t>056</t>
        </is>
      </c>
      <c r="M39" s="150" t="n">
        <v>3502007</v>
      </c>
      <c r="N39" s="150" t="inlineStr">
        <is>
          <t>38.1-0-2.5-ERW 2 MAHS-FC</t>
        </is>
      </c>
      <c r="O39" s="150" t="inlineStr">
        <is>
          <t>38.1-0-2.5-ERW 2 MAHS-FC-6.19</t>
        </is>
      </c>
      <c r="P39" s="19" t="n">
        <v>50</v>
      </c>
      <c r="Q39" s="147" t="n">
        <v>0</v>
      </c>
      <c r="R39" s="147" t="n">
        <v>0</v>
      </c>
      <c r="S39" s="147" t="n">
        <v>0</v>
      </c>
      <c r="T39" s="147">
        <f>R39-Q39</f>
        <v/>
      </c>
      <c r="U39" s="147" t="n">
        <v>25</v>
      </c>
      <c r="V39" s="147">
        <f>U39+T39+S39</f>
        <v/>
      </c>
      <c r="W39" s="19">
        <f>P39*1.1-V39</f>
        <v/>
      </c>
      <c r="X39" s="167">
        <f>IF(W39&gt;0,W39,0)</f>
        <v/>
      </c>
      <c r="Y39" s="185">
        <f>SUMIFS(meghsteelsales_previousmonth[Quantity],meghsteelsales_previousmonth[Length Bucket],O39)/1000</f>
        <v/>
      </c>
      <c r="Z39" s="185">
        <f>SUMIFS(meghsteelsales_currentmonth[Quantity],meghsteelsales_currentmonth[Length Bucket],O39)/1000</f>
        <v/>
      </c>
      <c r="AA39" s="185">
        <f>IF((X39-Y39-Z39)&lt;0,0,(X39-Y39-Z39))</f>
        <v/>
      </c>
    </row>
    <row r="40" customFormat="1" s="171">
      <c r="A40" s="170" t="inlineStr">
        <is>
          <t>TVS</t>
        </is>
      </c>
      <c r="B40" s="170" t="inlineStr">
        <is>
          <t>RUCHA</t>
        </is>
      </c>
      <c r="C40" s="170" t="inlineStr">
        <is>
          <t>ERW1</t>
        </is>
      </c>
      <c r="D40" s="147" t="inlineStr">
        <is>
          <t>FIN CUT</t>
        </is>
      </c>
      <c r="E40" s="147" t="inlineStr">
        <is>
          <t>ERW</t>
        </is>
      </c>
      <c r="F40" s="148" t="n">
        <v>41.28</v>
      </c>
      <c r="G40" s="148" t="n"/>
      <c r="H40" s="148" t="n">
        <v>2.6</v>
      </c>
      <c r="I40" s="147" t="n">
        <v>6000</v>
      </c>
      <c r="J40" s="147" t="n">
        <v>6</v>
      </c>
      <c r="K40" s="147">
        <f>_xlfn.CONCAT(F40,H40,J40,E40,D40)</f>
        <v/>
      </c>
      <c r="L40" s="151" t="inlineStr">
        <is>
          <t>0789</t>
        </is>
      </c>
      <c r="M40" s="150" t="n">
        <v>3994149</v>
      </c>
      <c r="N40" s="150" t="inlineStr">
        <is>
          <t>41.28-0-2.6-ERW 1-FC</t>
        </is>
      </c>
      <c r="O40" s="150" t="inlineStr">
        <is>
          <t>41.28-0-2.6-ERW 1-FC-6</t>
        </is>
      </c>
      <c r="P40" s="19" t="n">
        <v>45</v>
      </c>
      <c r="Q40" s="147" t="n">
        <v>20</v>
      </c>
      <c r="R40" s="147" t="n">
        <v>76</v>
      </c>
      <c r="S40" s="147" t="n">
        <v>0</v>
      </c>
      <c r="T40" s="147">
        <f>R40-Q40</f>
        <v/>
      </c>
      <c r="U40" s="147">
        <f>S40-R40</f>
        <v/>
      </c>
      <c r="V40" s="147">
        <f>U40+T40+S40</f>
        <v/>
      </c>
      <c r="W40" s="19">
        <f>P40*1.1-V40</f>
        <v/>
      </c>
      <c r="X40" s="167">
        <f>IF(W40&gt;0,W40,0)</f>
        <v/>
      </c>
      <c r="Y40" s="185">
        <f>SUMIFS(meghsteelsales_previousmonth[Quantity],meghsteelsales_previousmonth[Length Bucket],O40)/1000</f>
        <v/>
      </c>
      <c r="Z40" s="185">
        <f>SUMIFS(meghsteelsales_currentmonth[Quantity],meghsteelsales_currentmonth[Length Bucket],O40)/1000</f>
        <v/>
      </c>
      <c r="AA40" s="185">
        <f>IF((X40-Y40-Z40)&lt;0,0,(X40-Y40-Z40))</f>
        <v/>
      </c>
    </row>
    <row r="41">
      <c r="A41" s="147" t="inlineStr">
        <is>
          <t>TVS</t>
        </is>
      </c>
      <c r="B41" s="147" t="inlineStr">
        <is>
          <t>METALMAN</t>
        </is>
      </c>
      <c r="C41" s="159" t="inlineStr">
        <is>
          <t>ERW1</t>
        </is>
      </c>
      <c r="D41" s="147" t="inlineStr">
        <is>
          <t>FIN CUT</t>
        </is>
      </c>
      <c r="E41" s="147" t="inlineStr">
        <is>
          <t>ERW</t>
        </is>
      </c>
      <c r="F41" s="168" t="inlineStr">
        <is>
          <t>40x25</t>
        </is>
      </c>
      <c r="G41" s="168" t="n"/>
      <c r="H41" s="168" t="n">
        <v>1.6</v>
      </c>
      <c r="I41" s="169" t="n">
        <v>5880</v>
      </c>
      <c r="J41" s="147" t="n">
        <v>5.88</v>
      </c>
      <c r="K41" s="147">
        <f>_xlfn.CONCAT(F41,H41,J41,E41,D41)</f>
        <v/>
      </c>
      <c r="L41" s="151" t="inlineStr">
        <is>
          <t>0789</t>
        </is>
      </c>
      <c r="M41" s="150" t="n">
        <v>3919145</v>
      </c>
      <c r="N41" s="150" t="inlineStr">
        <is>
          <t>40-25-1.6-ERW 1-FC</t>
        </is>
      </c>
      <c r="O41" s="150" t="inlineStr">
        <is>
          <t>40-25-1.6-ERW 1-FC-5.88</t>
        </is>
      </c>
      <c r="P41" s="19" t="n">
        <v>4</v>
      </c>
      <c r="Q41" s="147" t="n">
        <v>0</v>
      </c>
      <c r="R41" s="147" t="n">
        <v>2.5</v>
      </c>
      <c r="S41" s="147" t="n">
        <v>0</v>
      </c>
      <c r="T41" s="147">
        <f>R41-Q41</f>
        <v/>
      </c>
      <c r="U41" s="147">
        <f>S41-R41</f>
        <v/>
      </c>
      <c r="V41" s="147">
        <f>U41+T41+S41</f>
        <v/>
      </c>
      <c r="W41" s="19">
        <f>P41*1.1-V41</f>
        <v/>
      </c>
      <c r="X41" s="167">
        <f>IF(W41&gt;0,W41,0)</f>
        <v/>
      </c>
      <c r="Y41" s="185">
        <f>SUMIFS(meghsteelsales_previousmonth[Quantity],meghsteelsales_previousmonth[Length Bucket],O41)/1000</f>
        <v/>
      </c>
      <c r="Z41" s="185">
        <f>SUMIFS(meghsteelsales_currentmonth[Quantity],meghsteelsales_currentmonth[Length Bucket],O41)/1000</f>
        <v/>
      </c>
      <c r="AA41" s="185">
        <f>IF((X41-Y41-Z41)&lt;0,0,(X41-Y41-Z41))</f>
        <v/>
      </c>
    </row>
    <row r="42">
      <c r="A42" s="147" t="inlineStr">
        <is>
          <t>TVS</t>
        </is>
      </c>
      <c r="B42" s="147" t="inlineStr">
        <is>
          <t>RUCHA</t>
        </is>
      </c>
      <c r="C42" s="159" t="inlineStr">
        <is>
          <t>ERW1</t>
        </is>
      </c>
      <c r="D42" s="147" t="inlineStr">
        <is>
          <t>FIN CUT</t>
        </is>
      </c>
      <c r="E42" s="147" t="inlineStr">
        <is>
          <t>ERW</t>
        </is>
      </c>
      <c r="F42" s="168" t="inlineStr">
        <is>
          <t>40x25</t>
        </is>
      </c>
      <c r="G42" s="168" t="n"/>
      <c r="H42" s="168" t="n">
        <v>1.6</v>
      </c>
      <c r="I42" s="169" t="n">
        <v>6130</v>
      </c>
      <c r="J42" s="147" t="n">
        <v>6.13</v>
      </c>
      <c r="K42" s="147">
        <f>_xlfn.CONCAT(F42,H42,J42,E42,D42)</f>
        <v/>
      </c>
      <c r="L42" s="151" t="inlineStr">
        <is>
          <t>0789</t>
        </is>
      </c>
      <c r="M42" s="150" t="n">
        <v>3919144</v>
      </c>
      <c r="N42" s="150" t="inlineStr">
        <is>
          <t>40-25-1.6-ERW 1-FC</t>
        </is>
      </c>
      <c r="O42" s="150" t="inlineStr">
        <is>
          <t>40-25-1.6-ERW 1-FC-6.13</t>
        </is>
      </c>
      <c r="P42" s="19" t="n">
        <v>3</v>
      </c>
      <c r="Q42" s="147" t="n">
        <v>2</v>
      </c>
      <c r="R42" s="147" t="n">
        <v>11</v>
      </c>
      <c r="S42" s="147" t="n">
        <v>0</v>
      </c>
      <c r="T42" s="147">
        <f>R42-Q42</f>
        <v/>
      </c>
      <c r="U42" s="147">
        <f>S42-R42</f>
        <v/>
      </c>
      <c r="V42" s="147">
        <f>U42+T42+S42</f>
        <v/>
      </c>
      <c r="W42" s="19">
        <f>P42*1.1-V42</f>
        <v/>
      </c>
      <c r="X42" s="167">
        <f>IF(W42&gt;0,W42,0)</f>
        <v/>
      </c>
      <c r="Y42" s="185">
        <f>SUMIFS(meghsteelsales_previousmonth[Quantity],meghsteelsales_previousmonth[Length Bucket],O42)/1000</f>
        <v/>
      </c>
      <c r="Z42" s="185">
        <f>SUMIFS(meghsteelsales_currentmonth[Quantity],meghsteelsales_currentmonth[Length Bucket],O42)/1000</f>
        <v/>
      </c>
      <c r="AA42" s="185">
        <f>IF((X42-Y42-Z42)&lt;0,0,(X42-Y42-Z42))</f>
        <v/>
      </c>
    </row>
    <row r="43">
      <c r="A43" s="147" t="inlineStr">
        <is>
          <t>HMSI</t>
        </is>
      </c>
      <c r="B43" s="147" t="inlineStr">
        <is>
          <t>BADVE</t>
        </is>
      </c>
      <c r="C43" s="153" t="inlineStr">
        <is>
          <t>ERW1</t>
        </is>
      </c>
      <c r="D43" s="147" t="inlineStr">
        <is>
          <t>FIN CUT</t>
        </is>
      </c>
      <c r="E43" s="147" t="inlineStr">
        <is>
          <t>ERW</t>
        </is>
      </c>
      <c r="F43" s="148" t="n">
        <v>41.28</v>
      </c>
      <c r="G43" s="148" t="n"/>
      <c r="H43" s="148" t="n">
        <v>3.15</v>
      </c>
      <c r="I43" s="147" t="n">
        <v>5860</v>
      </c>
      <c r="J43" s="147" t="n">
        <v>5.86</v>
      </c>
      <c r="K43" s="147">
        <f>_xlfn.CONCAT(F43,H43,J43,E43,D43)</f>
        <v/>
      </c>
      <c r="L43" s="158" t="inlineStr">
        <is>
          <t>056</t>
        </is>
      </c>
      <c r="M43" s="150" t="n">
        <v>3673889</v>
      </c>
      <c r="N43" s="150" t="inlineStr">
        <is>
          <t>41.28-0-3.15-ERW 1-FC</t>
        </is>
      </c>
      <c r="O43" s="150" t="inlineStr">
        <is>
          <t>41.28-0-3.15-ERW 1-FC-5.86</t>
        </is>
      </c>
      <c r="P43" s="19" t="n">
        <v>20</v>
      </c>
      <c r="Q43" s="147" t="n">
        <v>5</v>
      </c>
      <c r="R43" s="147" t="n">
        <v>11</v>
      </c>
      <c r="S43" s="147" t="n">
        <v>0</v>
      </c>
      <c r="T43" s="147">
        <f>R43-Q43</f>
        <v/>
      </c>
      <c r="U43" s="147" t="n">
        <v>34</v>
      </c>
      <c r="V43" s="147">
        <f>U43+T43+S43</f>
        <v/>
      </c>
      <c r="W43" s="19">
        <f>P43*1.1-V43</f>
        <v/>
      </c>
      <c r="X43" s="167">
        <f>IF(W43&gt;0,W43,0)</f>
        <v/>
      </c>
      <c r="Y43" s="185">
        <f>SUMIFS(meghsteelsales_previousmonth[Quantity],meghsteelsales_previousmonth[Length Bucket],O43)/1000</f>
        <v/>
      </c>
      <c r="Z43" s="185">
        <f>SUMIFS(meghsteelsales_currentmonth[Quantity],meghsteelsales_currentmonth[Length Bucket],O43)/1000</f>
        <v/>
      </c>
      <c r="AA43" s="185">
        <f>IF((X43-Y43-Z43)&lt;0,0,(X43-Y43-Z43))</f>
        <v/>
      </c>
    </row>
    <row r="44">
      <c r="A44" s="147" t="inlineStr">
        <is>
          <t>TVS</t>
        </is>
      </c>
      <c r="B44" s="147" t="inlineStr">
        <is>
          <t>RUCHA,METALMAN</t>
        </is>
      </c>
      <c r="C44" s="153" t="inlineStr">
        <is>
          <t>ERW AN</t>
        </is>
      </c>
      <c r="D44" s="147" t="inlineStr">
        <is>
          <t>FIN CUT</t>
        </is>
      </c>
      <c r="E44" s="147" t="inlineStr">
        <is>
          <t>ERW</t>
        </is>
      </c>
      <c r="F44" s="148" t="n">
        <v>42.7</v>
      </c>
      <c r="G44" s="148" t="n"/>
      <c r="H44" s="148" t="n">
        <v>3.5</v>
      </c>
      <c r="I44" s="147" t="n">
        <v>6000</v>
      </c>
      <c r="J44" s="147" t="n">
        <v>6</v>
      </c>
      <c r="K44" s="147">
        <f>_xlfn.CONCAT(F44,H44,J44,E44,D44)</f>
        <v/>
      </c>
      <c r="L44" s="151" t="inlineStr">
        <is>
          <t>0788</t>
        </is>
      </c>
      <c r="M44" s="150" t="n">
        <v>3500650</v>
      </c>
      <c r="N44" s="150" t="inlineStr">
        <is>
          <t>42.7-0-3.5-ERW 1-FC</t>
        </is>
      </c>
      <c r="O44" s="150" t="inlineStr">
        <is>
          <t>42.7-0-3.5-ERW 1-FC-6</t>
        </is>
      </c>
      <c r="P44" s="19" t="n">
        <v>15</v>
      </c>
      <c r="Q44" s="147" t="n">
        <v>15</v>
      </c>
      <c r="R44" s="147" t="n">
        <v>25</v>
      </c>
      <c r="S44" s="147" t="n">
        <v>0</v>
      </c>
      <c r="T44" s="147">
        <f>R44-Q44</f>
        <v/>
      </c>
      <c r="U44" s="147">
        <f>S44-R44</f>
        <v/>
      </c>
      <c r="V44" s="147">
        <f>U44+T44+S44</f>
        <v/>
      </c>
      <c r="W44" s="19">
        <f>P44*1.1-V44</f>
        <v/>
      </c>
      <c r="X44" s="167">
        <f>IF(W44&gt;0,W44,0)</f>
        <v/>
      </c>
      <c r="Y44" s="185">
        <f>SUMIFS(meghsteelsales_previousmonth[Quantity],meghsteelsales_previousmonth[Length Bucket],O44)/1000</f>
        <v/>
      </c>
      <c r="Z44" s="185">
        <f>SUMIFS(meghsteelsales_currentmonth[Quantity],meghsteelsales_currentmonth[Length Bucket],O44)/1000</f>
        <v/>
      </c>
      <c r="AA44" s="185">
        <f>IF((X44-Y44-Z44)&lt;0,0,(X44-Y44-Z44))</f>
        <v/>
      </c>
    </row>
    <row r="45">
      <c r="A45" s="147" t="inlineStr">
        <is>
          <t>TVS</t>
        </is>
      </c>
      <c r="B45" s="147" t="inlineStr">
        <is>
          <t>RUCHA,METALMAN</t>
        </is>
      </c>
      <c r="C45" s="153" t="inlineStr">
        <is>
          <t>ERW AN</t>
        </is>
      </c>
      <c r="D45" s="147" t="inlineStr">
        <is>
          <t>FIN CUT</t>
        </is>
      </c>
      <c r="E45" s="147" t="inlineStr">
        <is>
          <t>ERW</t>
        </is>
      </c>
      <c r="F45" s="148" t="n">
        <v>42.7</v>
      </c>
      <c r="G45" s="148" t="n"/>
      <c r="H45" s="148" t="n">
        <v>4</v>
      </c>
      <c r="I45" s="147" t="n">
        <v>6000</v>
      </c>
      <c r="J45" s="147" t="n">
        <v>6</v>
      </c>
      <c r="K45" s="147">
        <f>_xlfn.CONCAT(F45,H45,J45,E45,D45)</f>
        <v/>
      </c>
      <c r="L45" s="149" t="inlineStr">
        <is>
          <t>0788</t>
        </is>
      </c>
      <c r="M45" s="150" t="n">
        <v>3500714</v>
      </c>
      <c r="N45" s="150" t="inlineStr">
        <is>
          <t>42.7-0-4-ERW 1-FC</t>
        </is>
      </c>
      <c r="O45" s="150" t="inlineStr">
        <is>
          <t>42.7-0-4-ERW 1-FC-6</t>
        </is>
      </c>
      <c r="P45" s="19" t="n">
        <v>30</v>
      </c>
      <c r="Q45" s="147" t="n">
        <v>10</v>
      </c>
      <c r="R45" s="147" t="n">
        <v>19</v>
      </c>
      <c r="S45" s="147" t="n">
        <v>0</v>
      </c>
      <c r="T45" s="147">
        <f>R45-Q45</f>
        <v/>
      </c>
      <c r="U45" s="147">
        <f>S45-R45</f>
        <v/>
      </c>
      <c r="V45" s="147">
        <f>U45+T45+S45</f>
        <v/>
      </c>
      <c r="W45" s="19">
        <f>P45*1.1-V45</f>
        <v/>
      </c>
      <c r="X45" s="167">
        <f>IF(W45&gt;0,W45,0)</f>
        <v/>
      </c>
      <c r="Y45" s="185">
        <f>SUMIFS(meghsteelsales_previousmonth[Quantity],meghsteelsales_previousmonth[Length Bucket],O45)/1000</f>
        <v/>
      </c>
      <c r="Z45" s="185">
        <f>SUMIFS(meghsteelsales_currentmonth[Quantity],meghsteelsales_currentmonth[Length Bucket],O45)/1000</f>
        <v/>
      </c>
      <c r="AA45" s="185">
        <f>IF((X45-Y45-Z45)&lt;0,0,(X45-Y45-Z45))</f>
        <v/>
      </c>
    </row>
    <row r="46">
      <c r="A46" s="147" t="inlineStr">
        <is>
          <t>TVS</t>
        </is>
      </c>
      <c r="B46" s="147" t="inlineStr">
        <is>
          <t>RUCHA,METALMAN</t>
        </is>
      </c>
      <c r="C46" s="155" t="inlineStr">
        <is>
          <t>ERW1</t>
        </is>
      </c>
      <c r="D46" s="147" t="inlineStr">
        <is>
          <t>FIN CUT</t>
        </is>
      </c>
      <c r="E46" s="147" t="inlineStr">
        <is>
          <t>ERW</t>
        </is>
      </c>
      <c r="F46" s="154" t="inlineStr">
        <is>
          <t>40x30</t>
        </is>
      </c>
      <c r="G46" s="154" t="n"/>
      <c r="H46" s="154" t="n">
        <v>1.6</v>
      </c>
      <c r="I46" s="155" t="n">
        <v>5900</v>
      </c>
      <c r="J46" s="147" t="n">
        <v>5.9</v>
      </c>
      <c r="K46" s="147">
        <f>_xlfn.CONCAT(F46,H46,J46,E46,D46)</f>
        <v/>
      </c>
      <c r="L46" s="151" t="inlineStr">
        <is>
          <t>0789</t>
        </is>
      </c>
      <c r="M46" s="150" t="n">
        <v>3925391</v>
      </c>
      <c r="N46" s="150" t="inlineStr">
        <is>
          <t>40-30-1.6-ERW 1-FC</t>
        </is>
      </c>
      <c r="O46" s="150" t="inlineStr">
        <is>
          <t>40-30-1.6-ERW 1-FC-5.9</t>
        </is>
      </c>
      <c r="P46" s="19" t="n">
        <v>10</v>
      </c>
      <c r="Q46" s="147" t="n">
        <v>3</v>
      </c>
      <c r="R46" s="147" t="n">
        <v>7</v>
      </c>
      <c r="S46" s="147" t="n">
        <v>0</v>
      </c>
      <c r="T46" s="147">
        <f>R46-Q46</f>
        <v/>
      </c>
      <c r="U46" s="147">
        <f>S46-R46</f>
        <v/>
      </c>
      <c r="V46" s="147">
        <f>U46+T46+S46</f>
        <v/>
      </c>
      <c r="W46" s="19">
        <f>P46*1.1-V46</f>
        <v/>
      </c>
      <c r="X46" s="167">
        <f>IF(W46&gt;0,W46,0)</f>
        <v/>
      </c>
      <c r="Y46" s="185">
        <f>SUMIFS(meghsteelsales_previousmonth[Quantity],meghsteelsales_previousmonth[Length Bucket],O46)/1000</f>
        <v/>
      </c>
      <c r="Z46" s="185">
        <f>SUMIFS(meghsteelsales_currentmonth[Quantity],meghsteelsales_currentmonth[Length Bucket],O46)/1000</f>
        <v/>
      </c>
      <c r="AA46" s="185">
        <f>IF((X46-Y46-Z46)&lt;0,0,(X46-Y46-Z46))</f>
        <v/>
      </c>
    </row>
    <row r="47">
      <c r="A47" s="147" t="inlineStr">
        <is>
          <t>HMSI</t>
        </is>
      </c>
      <c r="B47" s="147" t="inlineStr">
        <is>
          <t>BADVE</t>
        </is>
      </c>
      <c r="C47" s="153" t="inlineStr">
        <is>
          <t>ERW2</t>
        </is>
      </c>
      <c r="D47" s="147" t="inlineStr">
        <is>
          <t>FIN CUT</t>
        </is>
      </c>
      <c r="E47" s="147" t="inlineStr">
        <is>
          <t>HST</t>
        </is>
      </c>
      <c r="F47" s="148" t="n">
        <v>45</v>
      </c>
      <c r="G47" s="148" t="n"/>
      <c r="H47" s="148" t="n">
        <v>1.4</v>
      </c>
      <c r="I47" s="147" t="n">
        <v>6400</v>
      </c>
      <c r="J47" s="147" t="n">
        <v>6.42</v>
      </c>
      <c r="K47" s="147">
        <f>_xlfn.CONCAT(F47,H47,J47,E47,D47)</f>
        <v/>
      </c>
      <c r="L47" s="200" t="n"/>
      <c r="M47" s="150" t="n">
        <v>3502343</v>
      </c>
      <c r="N47" s="150" t="inlineStr">
        <is>
          <t>45--1.4-ERW 2-FIN CUT</t>
        </is>
      </c>
      <c r="O47" s="150" t="inlineStr">
        <is>
          <t>45--1.4-ERW 2-FIN CUT-6.4</t>
        </is>
      </c>
      <c r="P47" s="19" t="n">
        <v>0</v>
      </c>
      <c r="Q47" s="147" t="n">
        <v>0</v>
      </c>
      <c r="R47" s="147" t="n">
        <v>5</v>
      </c>
      <c r="S47" s="147" t="n">
        <v>0</v>
      </c>
      <c r="T47" s="147">
        <f>R47-Q47</f>
        <v/>
      </c>
      <c r="U47" s="147">
        <f>S47-R47</f>
        <v/>
      </c>
      <c r="V47" s="147">
        <f>U47+T47+S47</f>
        <v/>
      </c>
      <c r="W47" s="19">
        <f>P47*1.1-V47</f>
        <v/>
      </c>
      <c r="X47" s="167">
        <f>IF(W47&gt;0,W47,0)</f>
        <v/>
      </c>
      <c r="Y47" s="185">
        <f>SUMIFS(meghsteelsales_previousmonth[Quantity],meghsteelsales_previousmonth[Length Bucket],O47)/1000</f>
        <v/>
      </c>
      <c r="Z47" s="185">
        <f>SUMIFS(meghsteelsales_currentmonth[Quantity],meghsteelsales_currentmonth[Length Bucket],O47)/1000</f>
        <v/>
      </c>
      <c r="AA47" s="185">
        <f>IF((X47-Y47-Z47)&lt;0,0,(X47-Y47-Z47))</f>
        <v/>
      </c>
    </row>
    <row r="48">
      <c r="A48" s="147" t="inlineStr">
        <is>
          <t>HMSI</t>
        </is>
      </c>
      <c r="B48" s="147" t="inlineStr">
        <is>
          <t>BADVE</t>
        </is>
      </c>
      <c r="C48" s="153" t="inlineStr">
        <is>
          <t>ERW1</t>
        </is>
      </c>
      <c r="D48" s="147" t="inlineStr">
        <is>
          <t>FIN CUT</t>
        </is>
      </c>
      <c r="E48" s="147" t="inlineStr">
        <is>
          <t>ERW</t>
        </is>
      </c>
      <c r="F48" s="148" t="n">
        <v>45</v>
      </c>
      <c r="G48" s="148" t="n"/>
      <c r="H48" s="148" t="n">
        <v>1.4</v>
      </c>
      <c r="I48" s="147" t="n">
        <v>5700</v>
      </c>
      <c r="J48" s="147" t="n">
        <v>5.7</v>
      </c>
      <c r="K48" s="147">
        <f>_xlfn.CONCAT(F48,H48,J48,E48,D48)</f>
        <v/>
      </c>
      <c r="L48" s="201" t="inlineStr">
        <is>
          <t>056</t>
        </is>
      </c>
      <c r="M48" s="150" t="n">
        <v>3545558</v>
      </c>
      <c r="N48" s="150" t="inlineStr">
        <is>
          <t>45--1.4-ERW 1-FIN CUT</t>
        </is>
      </c>
      <c r="O48" s="150" t="inlineStr">
        <is>
          <t>45--1.4-ERW 1-FIN CUT-5.7</t>
        </is>
      </c>
      <c r="P48" s="19" t="n">
        <v>0</v>
      </c>
      <c r="Q48" s="147" t="n">
        <v>0</v>
      </c>
      <c r="R48" s="147" t="n">
        <v>1</v>
      </c>
      <c r="S48" s="147" t="n">
        <v>16</v>
      </c>
      <c r="T48" s="147">
        <f>R48-Q48</f>
        <v/>
      </c>
      <c r="U48" s="147">
        <f>S48-R48</f>
        <v/>
      </c>
      <c r="V48" s="147">
        <f>U48+T48+S48</f>
        <v/>
      </c>
      <c r="W48" s="19">
        <f>P48*1.1-V48</f>
        <v/>
      </c>
      <c r="X48" s="167">
        <f>IF(W48&gt;0,W48,0)</f>
        <v/>
      </c>
      <c r="Y48" s="185">
        <f>SUMIFS(meghsteelsales_previousmonth[Quantity],meghsteelsales_previousmonth[Length Bucket],O48)/1000</f>
        <v/>
      </c>
      <c r="Z48" s="185">
        <f>SUMIFS(meghsteelsales_currentmonth[Quantity],meghsteelsales_currentmonth[Length Bucket],O48)/1000</f>
        <v/>
      </c>
      <c r="AA48" s="185">
        <f>IF((X48-Y48-Z48)&lt;0,0,(X48-Y48-Z48))</f>
        <v/>
      </c>
    </row>
    <row r="49">
      <c r="A49" s="147" t="inlineStr">
        <is>
          <t>HMSI</t>
        </is>
      </c>
      <c r="B49" s="147" t="inlineStr">
        <is>
          <t>BADVE</t>
        </is>
      </c>
      <c r="C49" s="153" t="inlineStr">
        <is>
          <t>ERW2</t>
        </is>
      </c>
      <c r="D49" s="147" t="inlineStr">
        <is>
          <t>FIN CUT</t>
        </is>
      </c>
      <c r="E49" s="147" t="inlineStr">
        <is>
          <t>HST</t>
        </is>
      </c>
      <c r="F49" s="148" t="n">
        <v>45</v>
      </c>
      <c r="G49" s="148" t="n"/>
      <c r="H49" s="148" t="n">
        <v>1.6</v>
      </c>
      <c r="I49" s="147" t="n">
        <v>6400</v>
      </c>
      <c r="J49" s="147" t="n">
        <v>6.42</v>
      </c>
      <c r="K49" s="147">
        <f>_xlfn.CONCAT(F49,H49,J49,E49,D49)</f>
        <v/>
      </c>
      <c r="L49" s="200" t="n"/>
      <c r="M49" s="150" t="n">
        <v>3502388</v>
      </c>
      <c r="N49" s="150" t="inlineStr">
        <is>
          <t>No Key</t>
        </is>
      </c>
      <c r="O49" s="150" t="inlineStr">
        <is>
          <t>No Key</t>
        </is>
      </c>
      <c r="P49" s="19" t="n">
        <v>0</v>
      </c>
      <c r="Q49" s="147" t="n">
        <v>0</v>
      </c>
      <c r="R49" s="147" t="n">
        <v>8</v>
      </c>
      <c r="S49" s="147" t="n">
        <v>0</v>
      </c>
      <c r="T49" s="147">
        <f>R49-Q49</f>
        <v/>
      </c>
      <c r="U49" s="147">
        <f>S49-R49</f>
        <v/>
      </c>
      <c r="V49" s="147">
        <f>U49+T49+S49</f>
        <v/>
      </c>
      <c r="W49" s="19">
        <f>P49*1.1-V49</f>
        <v/>
      </c>
      <c r="X49" s="167">
        <f>IF(W49&gt;0,W49,0)</f>
        <v/>
      </c>
      <c r="Y49" s="185">
        <f>SUMIFS(meghsteelsales_previousmonth[Quantity],meghsteelsales_previousmonth[Length Bucket],O49)/1000</f>
        <v/>
      </c>
      <c r="Z49" s="185">
        <f>SUMIFS(meghsteelsales_currentmonth[Quantity],meghsteelsales_currentmonth[Length Bucket],O49)/1000</f>
        <v/>
      </c>
      <c r="AA49" s="185">
        <f>IF((X49-Y49-Z49)&lt;0,0,(X49-Y49-Z49))</f>
        <v/>
      </c>
    </row>
    <row r="50">
      <c r="A50" s="147" t="inlineStr">
        <is>
          <t>RE</t>
        </is>
      </c>
      <c r="B50" s="147" t="inlineStr">
        <is>
          <t>BELRISE</t>
        </is>
      </c>
      <c r="C50" s="153" t="inlineStr">
        <is>
          <t>ERW1</t>
        </is>
      </c>
      <c r="D50" s="147" t="inlineStr">
        <is>
          <t>FIN CUT</t>
        </is>
      </c>
      <c r="E50" s="147" t="inlineStr">
        <is>
          <t>ERW</t>
        </is>
      </c>
      <c r="F50" s="148" t="n">
        <v>48</v>
      </c>
      <c r="G50" s="148" t="n"/>
      <c r="H50" s="148" t="n">
        <v>1.2</v>
      </c>
      <c r="I50" s="147" t="n">
        <v>620</v>
      </c>
      <c r="J50" s="147" t="n">
        <v>0.62</v>
      </c>
      <c r="K50" s="147">
        <f>_xlfn.CONCAT(F50,H50,J50,E50,D50)</f>
        <v/>
      </c>
      <c r="L50" s="151" t="inlineStr">
        <is>
          <t>0789</t>
        </is>
      </c>
      <c r="M50" s="150" t="n">
        <v>2397072</v>
      </c>
      <c r="N50" s="150" t="inlineStr">
        <is>
          <t>48--1.2-ERW 1-FIN CUT</t>
        </is>
      </c>
      <c r="O50" s="150" t="inlineStr">
        <is>
          <t>48--1.2-ERW 1-FIN CUT-0.620</t>
        </is>
      </c>
      <c r="P50" s="19" t="n">
        <v>10</v>
      </c>
      <c r="Q50" s="147" t="n">
        <v>0</v>
      </c>
      <c r="R50" s="147" t="n">
        <v>0</v>
      </c>
      <c r="S50" s="147" t="n">
        <v>0</v>
      </c>
      <c r="T50" s="147">
        <f>R50-Q50</f>
        <v/>
      </c>
      <c r="U50" s="147">
        <f>S50-R50</f>
        <v/>
      </c>
      <c r="V50" s="147">
        <f>U50+T50+S50</f>
        <v/>
      </c>
      <c r="W50" s="19">
        <f>P50*1.1-V50</f>
        <v/>
      </c>
      <c r="X50" s="167">
        <f>IF(W50&gt;0,W50,0)</f>
        <v/>
      </c>
      <c r="Y50" s="185">
        <f>SUMIFS(meghsteelsales_previousmonth[Quantity],meghsteelsales_previousmonth[Length Bucket],O50)/1000</f>
        <v/>
      </c>
      <c r="Z50" s="185">
        <f>SUMIFS(meghsteelsales_currentmonth[Quantity],meghsteelsales_currentmonth[Length Bucket],O50)/1000</f>
        <v/>
      </c>
      <c r="AA50" s="185">
        <f>IF((X50-Y50-Z50)&lt;0,0,(X50-Y50-Z50))</f>
        <v/>
      </c>
    </row>
    <row r="51">
      <c r="A51" s="147" t="inlineStr">
        <is>
          <t>RE</t>
        </is>
      </c>
      <c r="B51" s="147" t="inlineStr">
        <is>
          <t>RAJSRIYA</t>
        </is>
      </c>
      <c r="C51" s="153" t="inlineStr">
        <is>
          <t>ERW1</t>
        </is>
      </c>
      <c r="D51" s="147" t="inlineStr">
        <is>
          <t>FIN CUT</t>
        </is>
      </c>
      <c r="E51" s="147" t="inlineStr">
        <is>
          <t>ERW</t>
        </is>
      </c>
      <c r="F51" s="148" t="n">
        <v>48</v>
      </c>
      <c r="G51" s="148" t="n"/>
      <c r="H51" s="148" t="n">
        <v>1.2</v>
      </c>
      <c r="I51" s="147" t="n">
        <v>700</v>
      </c>
      <c r="J51" s="147" t="n">
        <v>0.7</v>
      </c>
      <c r="K51" s="147">
        <f>_xlfn.CONCAT(F51,H51,J51,E51,D51)</f>
        <v/>
      </c>
      <c r="L51" s="151" t="inlineStr">
        <is>
          <t>0789</t>
        </is>
      </c>
      <c r="M51" s="150" t="n">
        <v>3649700</v>
      </c>
      <c r="N51" s="150" t="inlineStr">
        <is>
          <t>48--1.2-ERW 1-FIN CUT</t>
        </is>
      </c>
      <c r="O51" s="150" t="inlineStr">
        <is>
          <t>48--1.2-ERW 1-FIN CUT-0.7</t>
        </is>
      </c>
      <c r="P51" s="19" t="n">
        <v>12</v>
      </c>
      <c r="Q51" s="147" t="n">
        <v>0</v>
      </c>
      <c r="R51" s="147" t="n">
        <v>0</v>
      </c>
      <c r="S51" s="147" t="n">
        <v>0</v>
      </c>
      <c r="T51" s="147">
        <f>R51-Q51</f>
        <v/>
      </c>
      <c r="U51" s="147">
        <f>S51-R51</f>
        <v/>
      </c>
      <c r="V51" s="147">
        <f>U51+T51+S51</f>
        <v/>
      </c>
      <c r="W51" s="19">
        <f>P51*1.1-V51</f>
        <v/>
      </c>
      <c r="X51" s="167">
        <f>IF(W51&gt;0,W51,0)</f>
        <v/>
      </c>
      <c r="Y51" s="185">
        <f>SUMIFS(meghsteelsales_previousmonth[Quantity],meghsteelsales_previousmonth[Length Bucket],O51)/1000</f>
        <v/>
      </c>
      <c r="Z51" s="185">
        <f>SUMIFS(meghsteelsales_currentmonth[Quantity],meghsteelsales_currentmonth[Length Bucket],O51)/1000</f>
        <v/>
      </c>
      <c r="AA51" s="185">
        <f>IF((X51-Y51-Z51)&lt;0,0,(X51-Y51-Z51))</f>
        <v/>
      </c>
    </row>
    <row r="52">
      <c r="A52" s="147" t="inlineStr">
        <is>
          <t>HMSI</t>
        </is>
      </c>
      <c r="B52" s="147" t="inlineStr">
        <is>
          <t>BADVE</t>
        </is>
      </c>
      <c r="C52" s="153" t="inlineStr">
        <is>
          <t>ERW2</t>
        </is>
      </c>
      <c r="D52" s="147" t="inlineStr">
        <is>
          <t>FIN CUT</t>
        </is>
      </c>
      <c r="E52" s="147" t="inlineStr">
        <is>
          <t>HST</t>
        </is>
      </c>
      <c r="F52" s="148" t="n">
        <v>48.6</v>
      </c>
      <c r="G52" s="148" t="n"/>
      <c r="H52" s="148" t="n">
        <v>2</v>
      </c>
      <c r="I52" s="147" t="n">
        <v>6270</v>
      </c>
      <c r="J52" s="147" t="n">
        <v>6.27</v>
      </c>
      <c r="K52" s="147">
        <f>_xlfn.CONCAT(F52,H52,J52,E52,D52)</f>
        <v/>
      </c>
      <c r="L52" s="149" t="n"/>
      <c r="M52" s="150" t="n">
        <v>3502301</v>
      </c>
      <c r="N52" s="150" t="inlineStr">
        <is>
          <t>No Key</t>
        </is>
      </c>
      <c r="O52" s="150" t="inlineStr">
        <is>
          <t>No Key</t>
        </is>
      </c>
      <c r="P52" s="19" t="n">
        <v>0</v>
      </c>
      <c r="Q52" s="147" t="n">
        <v>0</v>
      </c>
      <c r="R52" s="147" t="n">
        <v>41</v>
      </c>
      <c r="S52" s="147" t="n">
        <v>0</v>
      </c>
      <c r="T52" s="147">
        <f>R52-Q52</f>
        <v/>
      </c>
      <c r="U52" s="147">
        <f>S52-R52</f>
        <v/>
      </c>
      <c r="V52" s="147">
        <f>U52+T52+S52</f>
        <v/>
      </c>
      <c r="W52" s="19">
        <f>P52*1.1-V52</f>
        <v/>
      </c>
      <c r="X52" s="167">
        <f>IF(W52&gt;0,W52,0)</f>
        <v/>
      </c>
      <c r="Y52" s="185">
        <f>SUMIFS(meghsteelsales_previousmonth[Quantity],meghsteelsales_previousmonth[Length Bucket],O52)/1000</f>
        <v/>
      </c>
      <c r="Z52" s="185">
        <f>SUMIFS(meghsteelsales_currentmonth[Quantity],meghsteelsales_currentmonth[Length Bucket],O52)/1000</f>
        <v/>
      </c>
      <c r="AA52" s="185">
        <f>IF((X52-Y52-Z52)&lt;0,0,(X52-Y52-Z52))</f>
        <v/>
      </c>
    </row>
    <row r="53">
      <c r="A53" s="147" t="inlineStr">
        <is>
          <t>HMSI</t>
        </is>
      </c>
      <c r="B53" s="147" t="inlineStr">
        <is>
          <t>BADVE</t>
        </is>
      </c>
      <c r="C53" s="153" t="inlineStr">
        <is>
          <t>ERW2</t>
        </is>
      </c>
      <c r="D53" s="147" t="inlineStr">
        <is>
          <t>FIN CUT</t>
        </is>
      </c>
      <c r="E53" s="147" t="inlineStr">
        <is>
          <t>HST</t>
        </is>
      </c>
      <c r="F53" s="148" t="n">
        <v>48.6</v>
      </c>
      <c r="G53" s="148" t="n"/>
      <c r="H53" s="148" t="n">
        <v>2.3</v>
      </c>
      <c r="I53" s="147" t="n">
        <v>6270</v>
      </c>
      <c r="J53" s="147" t="n">
        <v>6.27</v>
      </c>
      <c r="K53" s="147">
        <f>_xlfn.CONCAT(F53,H53,J53,E53,D53)</f>
        <v/>
      </c>
      <c r="L53" s="149" t="n"/>
      <c r="M53" s="150" t="n">
        <v>3549720</v>
      </c>
      <c r="N53" s="150" t="inlineStr">
        <is>
          <t>48.6-0-2.3-ERW 2-FC</t>
        </is>
      </c>
      <c r="O53" s="150" t="inlineStr">
        <is>
          <t>48.6-0-2.3-ERW 2-FC-6.27</t>
        </is>
      </c>
      <c r="P53" s="19" t="n">
        <v>0</v>
      </c>
      <c r="Q53" s="147" t="n">
        <v>0</v>
      </c>
      <c r="R53" s="147" t="n">
        <v>10</v>
      </c>
      <c r="S53" s="147" t="n">
        <v>0</v>
      </c>
      <c r="T53" s="147">
        <f>R53-Q53</f>
        <v/>
      </c>
      <c r="U53" s="147">
        <f>S53-R53</f>
        <v/>
      </c>
      <c r="V53" s="147">
        <f>U53+T53+S53</f>
        <v/>
      </c>
      <c r="W53" s="19">
        <f>P53*1.1-V53</f>
        <v/>
      </c>
      <c r="X53" s="167">
        <f>IF(W53&gt;0,W53,0)</f>
        <v/>
      </c>
      <c r="Y53" s="185">
        <f>SUMIFS(meghsteelsales_previousmonth[Quantity],meghsteelsales_previousmonth[Length Bucket],O53)/1000</f>
        <v/>
      </c>
      <c r="Z53" s="185">
        <f>SUMIFS(meghsteelsales_currentmonth[Quantity],meghsteelsales_currentmonth[Length Bucket],O53)/1000</f>
        <v/>
      </c>
      <c r="AA53" s="185">
        <f>IF((X53-Y53-Z53)&lt;0,0,(X53-Y53-Z53))</f>
        <v/>
      </c>
    </row>
    <row r="54">
      <c r="A54" s="147" t="inlineStr">
        <is>
          <t>HMSI</t>
        </is>
      </c>
      <c r="B54" s="147" t="inlineStr">
        <is>
          <t>BADVE</t>
        </is>
      </c>
      <c r="C54" s="153" t="inlineStr">
        <is>
          <t>ERW1</t>
        </is>
      </c>
      <c r="D54" s="147" t="inlineStr">
        <is>
          <t>FIN CUT</t>
        </is>
      </c>
      <c r="E54" s="147" t="inlineStr">
        <is>
          <t>ERW</t>
        </is>
      </c>
      <c r="F54" s="148" t="n">
        <v>48.6</v>
      </c>
      <c r="G54" s="148" t="n"/>
      <c r="H54" s="148" t="n">
        <v>3.5</v>
      </c>
      <c r="I54" s="147" t="n">
        <v>6000</v>
      </c>
      <c r="J54" s="147" t="n">
        <v>6</v>
      </c>
      <c r="K54" s="147">
        <f>_xlfn.CONCAT(F54,H54,J54,E54,D54)</f>
        <v/>
      </c>
      <c r="L54" s="158" t="inlineStr">
        <is>
          <t>0789</t>
        </is>
      </c>
      <c r="M54" s="150" t="n">
        <v>3502422</v>
      </c>
      <c r="N54" s="150" t="inlineStr">
        <is>
          <t>48.6-0-3.5-ERW 1-FC</t>
        </is>
      </c>
      <c r="O54" s="150" t="inlineStr">
        <is>
          <t>48.6-0-3.5-ERW 1-FC-6</t>
        </is>
      </c>
      <c r="P54" s="19" t="n">
        <v>0</v>
      </c>
      <c r="Q54" s="147" t="n">
        <v>3</v>
      </c>
      <c r="R54" s="147" t="n">
        <v>8</v>
      </c>
      <c r="S54" s="147" t="n">
        <v>0</v>
      </c>
      <c r="T54" s="147">
        <f>R54-Q54</f>
        <v/>
      </c>
      <c r="U54" s="147">
        <f>S54-R54</f>
        <v/>
      </c>
      <c r="V54" s="147">
        <f>U54+T54+S54</f>
        <v/>
      </c>
      <c r="W54" s="19">
        <f>P54*1.1-V54</f>
        <v/>
      </c>
      <c r="X54" s="167">
        <f>IF(W54&gt;0,W54,0)</f>
        <v/>
      </c>
      <c r="Y54" s="185">
        <f>SUMIFS(meghsteelsales_previousmonth[Quantity],meghsteelsales_previousmonth[Length Bucket],O54)/1000</f>
        <v/>
      </c>
      <c r="Z54" s="185">
        <f>SUMIFS(meghsteelsales_currentmonth[Quantity],meghsteelsales_currentmonth[Length Bucket],O54)/1000</f>
        <v/>
      </c>
      <c r="AA54" s="185">
        <f>IF((X54-Y54-Z54)&lt;0,0,(X54-Y54-Z54))</f>
        <v/>
      </c>
    </row>
    <row r="55">
      <c r="A55" s="147" t="inlineStr">
        <is>
          <t>TVS</t>
        </is>
      </c>
      <c r="B55" s="147" t="inlineStr">
        <is>
          <t>RUCHA</t>
        </is>
      </c>
      <c r="C55" s="153" t="inlineStr">
        <is>
          <t>ERW1</t>
        </is>
      </c>
      <c r="D55" s="147" t="inlineStr">
        <is>
          <t>FIN CUT</t>
        </is>
      </c>
      <c r="E55" s="147" t="inlineStr">
        <is>
          <t>ERW</t>
        </is>
      </c>
      <c r="F55" s="168" t="inlineStr">
        <is>
          <t>59x30</t>
        </is>
      </c>
      <c r="G55" s="168" t="n"/>
      <c r="H55" s="168" t="n">
        <v>1.6</v>
      </c>
      <c r="I55" s="147" t="n">
        <v>6000</v>
      </c>
      <c r="J55" s="147" t="n">
        <v>6</v>
      </c>
      <c r="K55" s="147">
        <f>_xlfn.CONCAT(F55,H55,J55,E55,D55)</f>
        <v/>
      </c>
      <c r="L55" s="151" t="inlineStr">
        <is>
          <t>0789</t>
        </is>
      </c>
      <c r="M55" s="150" t="n">
        <v>1940925</v>
      </c>
      <c r="N55" s="150" t="inlineStr">
        <is>
          <t>59-30-1.6-ERW 1-FIN CUT</t>
        </is>
      </c>
      <c r="O55" s="150" t="inlineStr">
        <is>
          <t>59-30-1.6-ERW 1-FIN CUT-6</t>
        </is>
      </c>
      <c r="P55" s="19" t="n">
        <v>5</v>
      </c>
      <c r="Q55" s="147" t="n">
        <v>0</v>
      </c>
      <c r="R55" s="147" t="n">
        <v>8</v>
      </c>
      <c r="S55" s="147" t="n">
        <v>0</v>
      </c>
      <c r="T55" s="147">
        <f>R55-Q55</f>
        <v/>
      </c>
      <c r="U55" s="147">
        <f>S55-R55</f>
        <v/>
      </c>
      <c r="V55" s="147">
        <f>U55+T55+S55</f>
        <v/>
      </c>
      <c r="W55" s="19">
        <f>P55*1.1-V55</f>
        <v/>
      </c>
      <c r="X55" s="167" t="n">
        <v>5</v>
      </c>
      <c r="Y55" s="185">
        <f>SUMIFS(meghsteelsales_previousmonth[Quantity],meghsteelsales_previousmonth[Length Bucket],O55)/1000</f>
        <v/>
      </c>
      <c r="Z55" s="185">
        <f>SUMIFS(meghsteelsales_currentmonth[Quantity],meghsteelsales_currentmonth[Length Bucket],O55)/1000</f>
        <v/>
      </c>
      <c r="AA55" s="185">
        <f>IF((X55-Y55-Z55)&lt;0,0,(X55-Y55-Z55))</f>
        <v/>
      </c>
    </row>
    <row r="56">
      <c r="A56" s="147" t="inlineStr">
        <is>
          <t>RE</t>
        </is>
      </c>
      <c r="B56" s="147" t="inlineStr">
        <is>
          <t>KUNAL</t>
        </is>
      </c>
      <c r="C56" s="153" t="inlineStr">
        <is>
          <t>ERW1</t>
        </is>
      </c>
      <c r="D56" s="147" t="inlineStr">
        <is>
          <t>FIN CUT</t>
        </is>
      </c>
      <c r="E56" s="147" t="inlineStr">
        <is>
          <t>ERW</t>
        </is>
      </c>
      <c r="F56" s="168" t="inlineStr">
        <is>
          <t>59x30</t>
        </is>
      </c>
      <c r="G56" s="168" t="n"/>
      <c r="H56" s="168" t="n">
        <v>1.6</v>
      </c>
      <c r="I56" s="169" t="n">
        <v>572.5</v>
      </c>
      <c r="J56" s="147" t="n">
        <v>0.5725</v>
      </c>
      <c r="K56" s="147">
        <f>_xlfn.CONCAT(F56,H56,J56,E56,D56)</f>
        <v/>
      </c>
      <c r="L56" s="151" t="inlineStr">
        <is>
          <t>0789</t>
        </is>
      </c>
      <c r="M56" s="150" t="n">
        <v>3781647</v>
      </c>
      <c r="N56" s="150" t="inlineStr">
        <is>
          <t>59-30-1.6-ERW 1-FIN CUT</t>
        </is>
      </c>
      <c r="O56" s="150" t="inlineStr">
        <is>
          <t>59-30-1.6-ERW 1-FIN CUT-0.573</t>
        </is>
      </c>
      <c r="P56" s="19" t="n">
        <v>15</v>
      </c>
      <c r="Q56" s="147" t="n">
        <v>0</v>
      </c>
      <c r="R56" s="147" t="n">
        <v>0</v>
      </c>
      <c r="S56" s="147" t="n">
        <v>0</v>
      </c>
      <c r="T56" s="147">
        <f>R56-Q56</f>
        <v/>
      </c>
      <c r="U56" s="147">
        <f>S56-R56</f>
        <v/>
      </c>
      <c r="V56" s="147">
        <f>U56+T56+S56</f>
        <v/>
      </c>
      <c r="W56" s="19">
        <f>P56*1.1-V56</f>
        <v/>
      </c>
      <c r="X56" s="167">
        <f>IF(W56&gt;0,W56,0)</f>
        <v/>
      </c>
      <c r="Y56" s="185">
        <f>SUMIFS(meghsteelsales_previousmonth[Quantity],meghsteelsales_previousmonth[Length Bucket],O56)/1000</f>
        <v/>
      </c>
      <c r="Z56" s="185">
        <f>SUMIFS(meghsteelsales_currentmonth[Quantity],meghsteelsales_currentmonth[Length Bucket],O56)/1000</f>
        <v/>
      </c>
      <c r="AA56" s="185">
        <f>IF((X56-Y56-Z56)&lt;0,0,(X56-Y56-Z56))</f>
        <v/>
      </c>
    </row>
    <row r="57">
      <c r="A57" s="147" t="inlineStr">
        <is>
          <t>TVS</t>
        </is>
      </c>
      <c r="B57" s="147" t="inlineStr">
        <is>
          <t>RUCHA,METALMAN</t>
        </is>
      </c>
      <c r="C57" s="153" t="inlineStr">
        <is>
          <t>ERW1</t>
        </is>
      </c>
      <c r="D57" s="147" t="inlineStr">
        <is>
          <t>FIN CUT</t>
        </is>
      </c>
      <c r="E57" s="147" t="inlineStr">
        <is>
          <t>ERW</t>
        </is>
      </c>
      <c r="F57" s="148" t="n">
        <v>57.15</v>
      </c>
      <c r="G57" s="148" t="n"/>
      <c r="H57" s="148" t="n">
        <v>2.5</v>
      </c>
      <c r="I57" s="147" t="n">
        <v>5710</v>
      </c>
      <c r="J57" s="147" t="n">
        <v>5.71</v>
      </c>
      <c r="K57" s="147">
        <f>_xlfn.CONCAT(F57,H57,J57,E57,D57)</f>
        <v/>
      </c>
      <c r="L57" s="165" t="inlineStr">
        <is>
          <t>0789</t>
        </is>
      </c>
      <c r="M57" s="150" t="n">
        <v>3907863</v>
      </c>
      <c r="N57" s="150" t="inlineStr">
        <is>
          <t>57.15-0-2.5-ERW 1-FC</t>
        </is>
      </c>
      <c r="O57" s="150" t="inlineStr">
        <is>
          <t>57.15-0-2.5-ERW 1-FC-5.711</t>
        </is>
      </c>
      <c r="P57" s="19" t="n">
        <v>60</v>
      </c>
      <c r="Q57" s="147" t="n">
        <v>15</v>
      </c>
      <c r="R57" s="147" t="n">
        <v>28.5</v>
      </c>
      <c r="S57" s="147" t="n">
        <v>0</v>
      </c>
      <c r="T57" s="147">
        <f>R57-Q57</f>
        <v/>
      </c>
      <c r="U57" s="147">
        <f>S57-R57</f>
        <v/>
      </c>
      <c r="V57" s="147">
        <f>U57+T57+S57</f>
        <v/>
      </c>
      <c r="W57" s="19">
        <f>P57*1.1-V57</f>
        <v/>
      </c>
      <c r="X57" s="167">
        <f>IF(W57&gt;0,W57,0)</f>
        <v/>
      </c>
      <c r="Y57" s="185">
        <f>SUMIFS(meghsteelsales_previousmonth[Quantity],meghsteelsales_previousmonth[Length Bucket],O57)/1000</f>
        <v/>
      </c>
      <c r="Z57" s="185">
        <f>SUMIFS(meghsteelsales_currentmonth[Quantity],meghsteelsales_currentmonth[Length Bucket],O57)/1000</f>
        <v/>
      </c>
      <c r="AA57" s="185">
        <f>IF((X57-Y57-Z57)&lt;0,0,(X57-Y57-Z57))</f>
        <v/>
      </c>
    </row>
    <row r="58">
      <c r="A58" s="147" t="inlineStr">
        <is>
          <t>TVS</t>
        </is>
      </c>
      <c r="B58" s="147" t="inlineStr">
        <is>
          <t>RUCHA,METALMAN</t>
        </is>
      </c>
      <c r="C58" s="153" t="inlineStr">
        <is>
          <t>ERW1</t>
        </is>
      </c>
      <c r="D58" s="147" t="inlineStr">
        <is>
          <t>FIN CUT</t>
        </is>
      </c>
      <c r="E58" s="147" t="inlineStr">
        <is>
          <t>ERW</t>
        </is>
      </c>
      <c r="F58" s="148" t="n">
        <v>57.15</v>
      </c>
      <c r="G58" s="148" t="n"/>
      <c r="H58" s="148" t="n">
        <v>2.5</v>
      </c>
      <c r="I58" s="147" t="n">
        <v>6100</v>
      </c>
      <c r="J58" s="147" t="n">
        <v>6.1</v>
      </c>
      <c r="K58" s="147">
        <f>_xlfn.CONCAT(F58,H58,J58,E58,D58)</f>
        <v/>
      </c>
      <c r="L58" s="165" t="inlineStr">
        <is>
          <t>0789</t>
        </is>
      </c>
      <c r="M58" s="150" t="n">
        <v>3910001</v>
      </c>
      <c r="N58" s="150" t="inlineStr">
        <is>
          <t>57.15-0-2.5-ERW 1-FC</t>
        </is>
      </c>
      <c r="O58" s="150" t="inlineStr">
        <is>
          <t>57.15-0-2.5-ERW 1-FC-6.1</t>
        </is>
      </c>
      <c r="P58" s="19" t="n">
        <v>65</v>
      </c>
      <c r="Q58" s="147" t="n">
        <v>15</v>
      </c>
      <c r="R58" s="147" t="n">
        <v>3</v>
      </c>
      <c r="S58" s="147" t="n">
        <v>0</v>
      </c>
      <c r="T58" s="147">
        <f>R58-Q58</f>
        <v/>
      </c>
      <c r="U58" s="147">
        <f>S58-R58</f>
        <v/>
      </c>
      <c r="V58" s="147">
        <f>U58+T58+S58</f>
        <v/>
      </c>
      <c r="W58" s="19">
        <f>P58*1.1-V58</f>
        <v/>
      </c>
      <c r="X58" s="167">
        <f>IF(W58&gt;0,W58,0)</f>
        <v/>
      </c>
      <c r="Y58" s="185">
        <f>SUMIFS(meghsteelsales_previousmonth[Quantity],meghsteelsales_previousmonth[Length Bucket],O58)/1000</f>
        <v/>
      </c>
      <c r="Z58" s="185">
        <f>SUMIFS(meghsteelsales_currentmonth[Quantity],meghsteelsales_currentmonth[Length Bucket],O58)/1000</f>
        <v/>
      </c>
      <c r="AA58" s="185">
        <f>IF((X58-Y58-Z58)&lt;0,0,(X58-Y58-Z58))</f>
        <v/>
      </c>
    </row>
    <row r="59">
      <c r="A59" s="147" t="inlineStr">
        <is>
          <t>TVS</t>
        </is>
      </c>
      <c r="B59" s="147" t="inlineStr">
        <is>
          <t>RUCHA,METALMAN</t>
        </is>
      </c>
      <c r="C59" s="147" t="inlineStr">
        <is>
          <t>ERW1</t>
        </is>
      </c>
      <c r="D59" s="147" t="inlineStr">
        <is>
          <t>FIN CUT</t>
        </is>
      </c>
      <c r="E59" s="147" t="inlineStr">
        <is>
          <t>ERW</t>
        </is>
      </c>
      <c r="F59" s="148" t="n">
        <v>57.15</v>
      </c>
      <c r="G59" s="148" t="n"/>
      <c r="H59" s="148" t="n">
        <v>2.5</v>
      </c>
      <c r="I59" s="147" t="n">
        <v>5750</v>
      </c>
      <c r="J59" s="147" t="n">
        <v>5.75</v>
      </c>
      <c r="K59" s="147">
        <f>_xlfn.CONCAT(F59,H59,J59,E59,D59)</f>
        <v/>
      </c>
      <c r="L59" s="165" t="inlineStr">
        <is>
          <t>0789</t>
        </is>
      </c>
      <c r="M59" s="150" t="n">
        <v>3501047</v>
      </c>
      <c r="N59" s="150" t="inlineStr">
        <is>
          <t>57.15-0-2.5-ERW 1-FC</t>
        </is>
      </c>
      <c r="O59" s="150" t="inlineStr">
        <is>
          <t>57.15-0-2.5-ERW 1-FC-5.75</t>
        </is>
      </c>
      <c r="P59" s="19" t="n">
        <v>10</v>
      </c>
      <c r="Q59" s="147" t="n">
        <v>0</v>
      </c>
      <c r="R59" s="147" t="n">
        <v>17</v>
      </c>
      <c r="S59" s="147" t="n">
        <v>0</v>
      </c>
      <c r="T59" s="147">
        <f>R59-Q59</f>
        <v/>
      </c>
      <c r="U59" s="147">
        <f>S59-R59</f>
        <v/>
      </c>
      <c r="V59" s="147">
        <f>U59+T59+S59</f>
        <v/>
      </c>
      <c r="W59" s="19">
        <f>P59*1.1-V59</f>
        <v/>
      </c>
      <c r="X59" s="167">
        <f>IF(W59&gt;0,W59,0)</f>
        <v/>
      </c>
      <c r="Y59" s="185">
        <f>SUMIFS(meghsteelsales_previousmonth[Quantity],meghsteelsales_previousmonth[Length Bucket],O59)/1000</f>
        <v/>
      </c>
      <c r="Z59" s="185">
        <f>SUMIFS(meghsteelsales_currentmonth[Quantity],meghsteelsales_currentmonth[Length Bucket],O59)/1000</f>
        <v/>
      </c>
      <c r="AA59" s="185">
        <f>IF((X59-Y59-Z59)&lt;0,0,(X59-Y59-Z59))</f>
        <v/>
      </c>
    </row>
    <row r="60">
      <c r="A60" s="147" t="inlineStr">
        <is>
          <t>HMSI</t>
        </is>
      </c>
      <c r="B60" s="147" t="inlineStr">
        <is>
          <t>BADVE</t>
        </is>
      </c>
      <c r="C60" s="153" t="inlineStr">
        <is>
          <t>ERW1</t>
        </is>
      </c>
      <c r="D60" s="147" t="inlineStr">
        <is>
          <t>FIN CUT</t>
        </is>
      </c>
      <c r="E60" s="147" t="inlineStr">
        <is>
          <t>ERW</t>
        </is>
      </c>
      <c r="F60" s="148" t="n">
        <v>57.15</v>
      </c>
      <c r="G60" s="148" t="n"/>
      <c r="H60" s="148" t="n">
        <v>3</v>
      </c>
      <c r="I60" s="147" t="n">
        <v>5650</v>
      </c>
      <c r="J60" s="147" t="n">
        <v>5.65</v>
      </c>
      <c r="K60" s="147">
        <f>_xlfn.CONCAT(F60,H60,J60,E60,D60)</f>
        <v/>
      </c>
      <c r="L60" s="151" t="inlineStr">
        <is>
          <t>056</t>
        </is>
      </c>
      <c r="M60" s="150" t="n">
        <v>3501105</v>
      </c>
      <c r="N60" s="150" t="inlineStr">
        <is>
          <t>No Key</t>
        </is>
      </c>
      <c r="O60" s="150" t="inlineStr">
        <is>
          <t>No Key</t>
        </is>
      </c>
      <c r="P60" s="19" t="n">
        <v>0</v>
      </c>
      <c r="Q60" s="147" t="n">
        <v>0</v>
      </c>
      <c r="R60" s="147" t="n">
        <v>5.5</v>
      </c>
      <c r="S60" s="147" t="n">
        <v>0</v>
      </c>
      <c r="T60" s="147">
        <f>R60-Q60</f>
        <v/>
      </c>
      <c r="U60" s="147">
        <f>S60-R60</f>
        <v/>
      </c>
      <c r="V60" s="147">
        <f>U60+T60+S60</f>
        <v/>
      </c>
      <c r="W60" s="19">
        <f>P60*1.1-V60</f>
        <v/>
      </c>
      <c r="X60" s="167">
        <f>IF(W60&gt;0,W60,0)</f>
        <v/>
      </c>
      <c r="Y60" s="185">
        <f>SUMIFS(meghsteelsales_previousmonth[Quantity],meghsteelsales_previousmonth[Length Bucket],O60)/1000</f>
        <v/>
      </c>
      <c r="Z60" s="185">
        <f>SUMIFS(meghsteelsales_currentmonth[Quantity],meghsteelsales_currentmonth[Length Bucket],O60)/1000</f>
        <v/>
      </c>
      <c r="AA60" s="185">
        <f>IF((X60-Y60-Z60)&lt;0,0,(X60-Y60-Z60))</f>
        <v/>
      </c>
    </row>
    <row r="61">
      <c r="A61" s="147" t="inlineStr">
        <is>
          <t>TVS</t>
        </is>
      </c>
      <c r="B61" s="147" t="inlineStr">
        <is>
          <t>METALMAN</t>
        </is>
      </c>
      <c r="C61" s="153" t="inlineStr">
        <is>
          <t>ERW1</t>
        </is>
      </c>
      <c r="D61" s="147" t="inlineStr">
        <is>
          <t>FIN CUT</t>
        </is>
      </c>
      <c r="E61" s="147" t="inlineStr">
        <is>
          <t>ERW</t>
        </is>
      </c>
      <c r="F61" s="148" t="n">
        <v>60.3</v>
      </c>
      <c r="G61" s="148" t="n"/>
      <c r="H61" s="148" t="n">
        <v>2</v>
      </c>
      <c r="I61" s="147" t="n">
        <v>5900</v>
      </c>
      <c r="J61" s="147" t="n">
        <v>5.9</v>
      </c>
      <c r="K61" s="147">
        <f>_xlfn.CONCAT(F61,H61,J61,E61,D61)</f>
        <v/>
      </c>
      <c r="L61" s="151" t="inlineStr">
        <is>
          <t>0788</t>
        </is>
      </c>
      <c r="M61" s="150" t="n">
        <v>3905049</v>
      </c>
      <c r="N61" s="150" t="inlineStr">
        <is>
          <t>60.3-0-2-ERW 1-FC</t>
        </is>
      </c>
      <c r="O61" s="150" t="inlineStr">
        <is>
          <t>60.3-0-2-ERW 1-FC-5.9</t>
        </is>
      </c>
      <c r="P61" s="19" t="n">
        <v>30</v>
      </c>
      <c r="Q61" s="147" t="n">
        <v>5</v>
      </c>
      <c r="R61" s="147" t="n">
        <v>23</v>
      </c>
      <c r="S61" s="147" t="n">
        <v>0</v>
      </c>
      <c r="T61" s="147">
        <f>R61-Q61</f>
        <v/>
      </c>
      <c r="U61" s="147">
        <f>S61-R61</f>
        <v/>
      </c>
      <c r="V61" s="147">
        <f>U61+T61+S61</f>
        <v/>
      </c>
      <c r="W61" s="19">
        <f>P61*1.1-V61</f>
        <v/>
      </c>
      <c r="X61" s="167">
        <f>IF(W61&gt;0,W61,0)</f>
        <v/>
      </c>
      <c r="Y61" s="185">
        <f>SUMIFS(meghsteelsales_previousmonth[Quantity],meghsteelsales_previousmonth[Length Bucket],O61)/1000</f>
        <v/>
      </c>
      <c r="Z61" s="185">
        <f>SUMIFS(meghsteelsales_currentmonth[Quantity],meghsteelsales_currentmonth[Length Bucket],O61)/1000</f>
        <v/>
      </c>
      <c r="AA61" s="185">
        <f>IF((X61-Y61-Z61)&lt;0,0,(X61-Y61-Z61))</f>
        <v/>
      </c>
    </row>
    <row r="62">
      <c r="I62" s="152" t="inlineStr">
        <is>
          <t>TOTAL</t>
        </is>
      </c>
      <c r="J62" s="152" t="n"/>
      <c r="K62" s="152" t="n"/>
      <c r="L62" s="152" t="n"/>
      <c r="M62" s="197" t="n"/>
      <c r="N62" s="197" t="n"/>
      <c r="O62" s="197" t="n"/>
      <c r="P62" s="152">
        <f>SUM(P2:P61)</f>
        <v/>
      </c>
      <c r="Q62" s="152">
        <f>SUM(Q2:Q61)</f>
        <v/>
      </c>
      <c r="R62" s="152">
        <f>SUM(R2:R61)</f>
        <v/>
      </c>
      <c r="S62" s="152">
        <f>SUM(S2:S61)</f>
        <v/>
      </c>
      <c r="T62" s="152">
        <f>SUM(T2:T61)</f>
        <v/>
      </c>
      <c r="U62" s="152">
        <f>SUM(U2:U61)</f>
        <v/>
      </c>
      <c r="V62" s="152">
        <f>SUM(V2:V61)</f>
        <v/>
      </c>
      <c r="W62" s="152">
        <f>SUM(W2:W61)</f>
        <v/>
      </c>
      <c r="X62" s="172">
        <f>SUM(X2:X61)</f>
        <v/>
      </c>
      <c r="Y62" s="15">
        <f>SUM(Y2:Y61)</f>
        <v/>
      </c>
      <c r="Z62" s="15">
        <f>SUM(Z2:Z61)</f>
        <v/>
      </c>
      <c r="AA62" s="15" t="n"/>
    </row>
    <row r="63">
      <c r="M63" s="198" t="n"/>
      <c r="N63" s="198" t="n"/>
      <c r="O63" s="198" t="n"/>
      <c r="X63" s="173" t="n"/>
    </row>
    <row r="64">
      <c r="M64" s="198" t="n"/>
      <c r="N64" s="198" t="n"/>
      <c r="O64" s="198" t="n"/>
      <c r="X64" s="173" t="n"/>
    </row>
    <row r="65">
      <c r="M65" s="198" t="n"/>
      <c r="N65" s="198" t="n"/>
      <c r="O65" s="198" t="n"/>
      <c r="X65" s="173" t="n"/>
    </row>
    <row r="66">
      <c r="M66" s="198" t="n"/>
      <c r="N66" s="198" t="n"/>
      <c r="O66" s="198" t="n"/>
      <c r="X66" s="173" t="n"/>
    </row>
    <row r="67">
      <c r="M67" s="198" t="n"/>
      <c r="N67" s="198" t="n"/>
      <c r="O67" s="198" t="n"/>
      <c r="X67" s="173" t="n"/>
    </row>
    <row r="68">
      <c r="M68" s="198" t="n"/>
      <c r="N68" s="198" t="n"/>
      <c r="O68" s="198" t="n"/>
      <c r="X68" s="173" t="n"/>
    </row>
    <row r="69">
      <c r="M69" s="198" t="n"/>
      <c r="N69" s="198" t="n"/>
      <c r="O69" s="198" t="n"/>
      <c r="X69" s="173" t="n"/>
    </row>
    <row r="70">
      <c r="M70" s="198" t="n"/>
      <c r="N70" s="198" t="n"/>
      <c r="O70" s="198" t="n"/>
      <c r="X70" s="173" t="n"/>
    </row>
    <row r="71">
      <c r="M71" s="198" t="n"/>
      <c r="N71" s="198" t="n"/>
      <c r="O71" s="198" t="n"/>
      <c r="X71" s="173" t="n"/>
    </row>
    <row r="72">
      <c r="M72" s="198" t="n"/>
      <c r="N72" s="198" t="n"/>
      <c r="O72" s="198" t="n"/>
      <c r="X72" s="173" t="n"/>
    </row>
    <row r="73">
      <c r="M73" s="198" t="n"/>
      <c r="N73" s="198" t="n"/>
      <c r="O73" s="198" t="n"/>
      <c r="X73" s="173" t="n"/>
    </row>
    <row r="74">
      <c r="M74" s="198" t="n"/>
      <c r="N74" s="198" t="n"/>
      <c r="O74" s="198" t="n"/>
      <c r="X74" s="173" t="n"/>
    </row>
    <row r="75">
      <c r="M75" s="198" t="n"/>
      <c r="N75" s="198" t="n"/>
      <c r="O75" s="198" t="n"/>
      <c r="X75" s="173" t="n"/>
    </row>
    <row r="76">
      <c r="M76" s="198" t="n"/>
      <c r="N76" s="198" t="n"/>
      <c r="O76" s="198" t="n"/>
      <c r="X76" s="173" t="n"/>
    </row>
    <row r="77">
      <c r="M77" s="198" t="n"/>
      <c r="N77" s="198" t="n"/>
      <c r="O77" s="198" t="n"/>
      <c r="X77" s="173" t="n"/>
    </row>
    <row r="78">
      <c r="M78" s="198" t="n"/>
      <c r="N78" s="198" t="n"/>
      <c r="O78" s="198" t="n"/>
      <c r="X78" s="173" t="n"/>
    </row>
    <row r="79">
      <c r="M79" s="198" t="n"/>
      <c r="N79" s="198" t="n"/>
      <c r="O79" s="198" t="n"/>
      <c r="X79" s="173" t="n"/>
    </row>
    <row r="80">
      <c r="M80" s="198" t="n"/>
      <c r="N80" s="198" t="n"/>
      <c r="O80" s="198" t="n"/>
      <c r="X80" s="173" t="n"/>
    </row>
    <row r="81">
      <c r="M81" s="198" t="n"/>
      <c r="N81" s="198" t="n"/>
      <c r="O81" s="198" t="n"/>
      <c r="X81" s="173" t="n"/>
    </row>
    <row r="82">
      <c r="M82" s="198" t="n"/>
      <c r="N82" s="198" t="n"/>
      <c r="O82" s="198" t="n"/>
      <c r="X82" s="173" t="n"/>
    </row>
    <row r="83">
      <c r="M83" s="198" t="n"/>
      <c r="N83" s="198" t="n"/>
      <c r="O83" s="198" t="n"/>
      <c r="X83" s="173" t="n"/>
    </row>
    <row r="84">
      <c r="M84" s="198" t="n"/>
      <c r="N84" s="198" t="n"/>
      <c r="O84" s="198" t="n"/>
      <c r="X84" s="173" t="n"/>
    </row>
    <row r="85">
      <c r="M85" s="198" t="n"/>
      <c r="N85" s="198" t="n"/>
      <c r="O85" s="198" t="n"/>
      <c r="X85" s="173" t="n"/>
    </row>
    <row r="86">
      <c r="M86" s="198" t="n"/>
      <c r="N86" s="198" t="n"/>
      <c r="O86" s="198" t="n"/>
      <c r="X86" s="173" t="n"/>
    </row>
    <row r="87">
      <c r="M87" s="198" t="n"/>
      <c r="N87" s="198" t="n"/>
      <c r="O87" s="198" t="n"/>
      <c r="X87" s="173" t="n"/>
    </row>
  </sheetData>
  <autoFilter ref="A1:Z62"/>
  <conditionalFormatting sqref="K1:K1048576">
    <cfRule type="duplicateValues" priority="1" dxfId="0"/>
  </conditionalFormatting>
  <conditionalFormatting sqref="O46">
    <cfRule type="duplicateValues" priority="2" dxfId="0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>
  <sheetPr codeName="Sheet31">
    <tabColor rgb="FF00B0F0"/>
    <outlinePr summaryBelow="1" summaryRight="1"/>
    <pageSetUpPr/>
  </sheetPr>
  <dimension ref="A1:AG105"/>
  <sheetViews>
    <sheetView topLeftCell="I28" zoomScale="80" zoomScaleNormal="80" workbookViewId="0">
      <selection activeCell="O45" sqref="O45"/>
    </sheetView>
  </sheetViews>
  <sheetFormatPr baseColWidth="8" defaultRowHeight="15"/>
  <cols>
    <col width="13.7109375" customWidth="1" style="584" min="2" max="2"/>
    <col width="8.7109375" customWidth="1" style="584" min="3" max="3"/>
    <col width="10.7109375" customWidth="1" style="584" min="4" max="4"/>
    <col width="11.42578125" customWidth="1" style="584" min="5" max="5"/>
    <col width="7.7109375" customWidth="1" style="584" min="6" max="6"/>
    <col width="6.140625" customWidth="1" style="584" min="7" max="7"/>
    <col width="8" customWidth="1" style="584" min="8" max="8"/>
    <col width="12.42578125" customWidth="1" style="584" min="9" max="9"/>
    <col width="6.7109375" customWidth="1" style="584" min="10" max="10"/>
    <col outlineLevel="1" width="25.85546875" customWidth="1" style="584" min="11" max="13"/>
    <col width="12.28515625" customWidth="1" style="584" min="14" max="14"/>
    <col width="22.85546875" customWidth="1" style="199" min="15" max="15"/>
    <col outlineLevel="1" width="12.28515625" customWidth="1" style="584" min="16" max="17"/>
    <col outlineLevel="1" width="8.28515625" customWidth="1" style="584" min="18" max="18"/>
    <col outlineLevel="1" width="8.85546875" customWidth="1" style="584" min="19" max="19"/>
    <col outlineLevel="1" width="12.28515625" customWidth="1" style="584" min="20" max="20"/>
    <col outlineLevel="1" width="9.140625" customWidth="1" style="304" min="21" max="21"/>
    <col outlineLevel="1" width="9.140625" customWidth="1" style="584" min="22" max="22"/>
    <col outlineLevel="1" width="12.5703125" customWidth="1" style="162" min="23" max="23"/>
    <col width="10.5703125" customWidth="1" style="174" min="24" max="24"/>
    <col width="8" customWidth="1" style="174" min="25" max="25"/>
    <col width="15.7109375" customWidth="1" style="584" min="26" max="26"/>
    <col width="13.7109375" customWidth="1" style="584" min="27" max="27"/>
    <col width="4.85546875" customWidth="1" style="584" min="28" max="28"/>
    <col width="6.28515625" customWidth="1" style="584" min="29" max="29"/>
    <col width="23.140625" bestFit="1" customWidth="1" style="584" min="30" max="30"/>
    <col width="13.140625" bestFit="1" customWidth="1" style="584" min="31" max="31"/>
  </cols>
  <sheetData>
    <row r="1" ht="63.75" customHeight="1" s="584">
      <c r="A1" s="268" t="inlineStr">
        <is>
          <t>OEM</t>
        </is>
      </c>
      <c r="B1" s="269" t="inlineStr">
        <is>
          <t>Customer</t>
        </is>
      </c>
      <c r="C1" s="616" t="inlineStr">
        <is>
          <t>Metallurgy condition</t>
        </is>
      </c>
      <c r="D1" s="271" t="inlineStr">
        <is>
          <t>Material Type</t>
        </is>
      </c>
      <c r="E1" s="269" t="inlineStr">
        <is>
          <t>GRADE</t>
        </is>
      </c>
      <c r="F1" s="272" t="inlineStr">
        <is>
          <t>OD</t>
        </is>
      </c>
      <c r="G1" s="272" t="inlineStr">
        <is>
          <t>ID</t>
        </is>
      </c>
      <c r="H1" s="272" t="inlineStr">
        <is>
          <t>THK</t>
        </is>
      </c>
      <c r="I1" s="269" t="inlineStr">
        <is>
          <t>LENGTH</t>
        </is>
      </c>
      <c r="J1" s="271" t="inlineStr">
        <is>
          <t>Length in Mtrs</t>
        </is>
      </c>
      <c r="K1" s="269" t="inlineStr">
        <is>
          <t> </t>
        </is>
      </c>
      <c r="L1" s="273" t="inlineStr">
        <is>
          <t>Bucket</t>
        </is>
      </c>
      <c r="M1" s="273" t="inlineStr">
        <is>
          <t>Bucket CTL</t>
        </is>
      </c>
      <c r="N1" s="269" t="inlineStr">
        <is>
          <t>plant</t>
        </is>
      </c>
      <c r="O1" s="273" t="inlineStr">
        <is>
          <t>TSL Material Code</t>
        </is>
      </c>
      <c r="P1" s="274" t="inlineStr">
        <is>
          <t>SCH jun- 25</t>
        </is>
      </c>
      <c r="Q1" s="271" t="inlineStr">
        <is>
          <t>BALANCE TO BE SUPPLY</t>
        </is>
      </c>
      <c r="R1" s="275" t="inlineStr">
        <is>
          <t>Stock     22-05-25</t>
        </is>
      </c>
      <c r="S1" s="271" t="inlineStr">
        <is>
          <t xml:space="preserve">intransist </t>
        </is>
      </c>
      <c r="T1" s="271" t="inlineStr">
        <is>
          <t>OPENIG STOCK FOR jun-2025</t>
        </is>
      </c>
      <c r="U1" s="300" t="inlineStr">
        <is>
          <t xml:space="preserve">order logg </t>
        </is>
      </c>
      <c r="V1" s="271" t="inlineStr">
        <is>
          <t>Opening stock including order logger</t>
        </is>
      </c>
      <c r="W1" s="276" t="inlineStr">
        <is>
          <t xml:space="preserve">    INDENT  FOR jun-25 as per VSM</t>
        </is>
      </c>
      <c r="X1" s="296" t="inlineStr">
        <is>
          <t xml:space="preserve"> INDENT  FOR jun-25 recommended</t>
        </is>
      </c>
      <c r="Y1" s="276" t="inlineStr">
        <is>
          <t>Total Order Log</t>
        </is>
      </c>
      <c r="Z1" s="277" t="inlineStr">
        <is>
          <t>Before 20th</t>
        </is>
      </c>
      <c r="AA1" s="277" t="inlineStr">
        <is>
          <t>ofter 20th</t>
        </is>
      </c>
      <c r="AB1" s="278" t="inlineStr">
        <is>
          <t>Gap</t>
        </is>
      </c>
      <c r="AC1" s="279" t="inlineStr">
        <is>
          <t>Pending Orders</t>
        </is>
      </c>
      <c r="AD1" s="280" t="inlineStr">
        <is>
          <t>Order logged</t>
        </is>
      </c>
      <c r="AE1" s="280" t="inlineStr">
        <is>
          <t>SO Number</t>
        </is>
      </c>
      <c r="AF1" s="205" t="inlineStr">
        <is>
          <t>Column1</t>
        </is>
      </c>
      <c r="AG1" s="205" t="inlineStr">
        <is>
          <t>Column2</t>
        </is>
      </c>
    </row>
    <row r="2">
      <c r="A2" s="265" t="inlineStr">
        <is>
          <t>TVS</t>
        </is>
      </c>
      <c r="B2" s="147" t="inlineStr">
        <is>
          <t>RUCHA</t>
        </is>
      </c>
      <c r="C2" s="147" t="inlineStr">
        <is>
          <t>CEW</t>
        </is>
      </c>
      <c r="D2" s="147" t="inlineStr">
        <is>
          <t>NON FIN</t>
        </is>
      </c>
      <c r="E2" s="147" t="inlineStr">
        <is>
          <t xml:space="preserve">CEW </t>
        </is>
      </c>
      <c r="F2" s="148" t="n">
        <v>11</v>
      </c>
      <c r="G2" s="148" t="n"/>
      <c r="H2" s="148" t="n">
        <v>1.5</v>
      </c>
      <c r="I2" s="147" t="n">
        <v>6000</v>
      </c>
      <c r="J2" s="147" t="n">
        <v>6</v>
      </c>
      <c r="K2" s="147">
        <f>_xlfn.CONCAT(F2,H2,J2,E2,D2)</f>
        <v/>
      </c>
      <c r="L2" s="147">
        <f>VLOOKUP(K2,'VSM May Indent'!$K$1:$O$61,4,0)</f>
        <v/>
      </c>
      <c r="M2" s="147">
        <f>VLOOKUP(K2,'VSM May Indent'!$K$1:$O$61,5,0)</f>
        <v/>
      </c>
      <c r="N2" s="158" t="inlineStr">
        <is>
          <t>0789</t>
        </is>
      </c>
      <c r="O2" s="150" t="n">
        <v>2442390</v>
      </c>
      <c r="P2" s="19" t="n">
        <v>1</v>
      </c>
      <c r="Q2" s="147" t="n">
        <v>0</v>
      </c>
      <c r="R2" s="147" t="n">
        <v>0</v>
      </c>
      <c r="S2" s="147" t="n"/>
      <c r="T2" s="147">
        <f>R2-Q2</f>
        <v/>
      </c>
      <c r="U2" s="301" t="n"/>
      <c r="V2" s="147">
        <f>U2+T2+S2</f>
        <v/>
      </c>
      <c r="W2" s="19">
        <f>P2*1.1-V2</f>
        <v/>
      </c>
      <c r="X2" s="297">
        <f>IF(W2&gt;0,W2,0)</f>
        <v/>
      </c>
      <c r="Y2" s="167">
        <f>X2+U2</f>
        <v/>
      </c>
      <c r="Z2" s="185">
        <f>SUMIFS(meghsteelsales_previousmonth[Quantity],meghsteelsales_previousmonth[Length Bucket],M2)/1000</f>
        <v/>
      </c>
      <c r="AA2" s="185">
        <f>SUMIFS(meghsteelsales_currentmonth[Quantity],meghsteelsales_currentmonth[Length Bucket],M2)/1000</f>
        <v/>
      </c>
      <c r="AB2" s="185">
        <f>IF((X2-Z2-AA2)&lt;0,0,(X2-Z2-AA2))</f>
        <v/>
      </c>
      <c r="AC2" s="185">
        <f>Y2-Z2-AA2</f>
        <v/>
      </c>
      <c r="AD2" s="267" t="inlineStr">
        <is>
          <t>No Commitment</t>
        </is>
      </c>
      <c r="AE2" s="294" t="n"/>
      <c r="AF2" s="294" t="n"/>
      <c r="AG2" s="294" t="n"/>
    </row>
    <row r="3">
      <c r="A3" s="265" t="inlineStr">
        <is>
          <t>TVS</t>
        </is>
      </c>
      <c r="B3" s="147" t="inlineStr">
        <is>
          <t>RUCHA</t>
        </is>
      </c>
      <c r="C3" s="147" t="inlineStr">
        <is>
          <t>ERW1</t>
        </is>
      </c>
      <c r="D3" s="147" t="inlineStr">
        <is>
          <t>NON FIN</t>
        </is>
      </c>
      <c r="E3" s="147" t="inlineStr">
        <is>
          <t>ERW</t>
        </is>
      </c>
      <c r="F3" s="148" t="n">
        <v>12.7</v>
      </c>
      <c r="G3" s="148" t="n"/>
      <c r="H3" s="148" t="n">
        <v>1.2</v>
      </c>
      <c r="I3" s="147" t="n">
        <v>6000</v>
      </c>
      <c r="J3" s="147" t="n">
        <v>6</v>
      </c>
      <c r="K3" s="147">
        <f>_xlfn.CONCAT(F3,H3,J3,E3,D3)</f>
        <v/>
      </c>
      <c r="L3" s="147">
        <f>VLOOKUP(K3,'VSM May Indent'!$K$1:$O$61,4,0)</f>
        <v/>
      </c>
      <c r="M3" s="147">
        <f>VLOOKUP(K3,'VSM May Indent'!$K$1:$O$61,5,0)</f>
        <v/>
      </c>
      <c r="N3" s="151" t="inlineStr">
        <is>
          <t>0789</t>
        </is>
      </c>
      <c r="O3" s="150" t="n">
        <v>1939985</v>
      </c>
      <c r="P3" s="19" t="n">
        <v>8</v>
      </c>
      <c r="Q3" s="147" t="n">
        <v>3</v>
      </c>
      <c r="R3" s="147" t="n">
        <v>7</v>
      </c>
      <c r="S3" s="147" t="n"/>
      <c r="T3" s="147">
        <f>R3-Q3</f>
        <v/>
      </c>
      <c r="U3" s="301" t="n"/>
      <c r="V3" s="147">
        <f>U3+T3+S3</f>
        <v/>
      </c>
      <c r="W3" s="19">
        <f>P3*1.1-V3</f>
        <v/>
      </c>
      <c r="X3" s="297">
        <f>IF(W3&gt;0,W3,0)</f>
        <v/>
      </c>
      <c r="Y3" s="167">
        <f>X3+U3</f>
        <v/>
      </c>
      <c r="Z3" s="185">
        <f>SUMIFS(meghsteelsales_previousmonth[Quantity],meghsteelsales_previousmonth[Length Bucket],M3)/1000</f>
        <v/>
      </c>
      <c r="AA3" s="185">
        <f>SUMIFS(meghsteelsales_currentmonth[Quantity],meghsteelsales_currentmonth[Length Bucket],M3)/1000</f>
        <v/>
      </c>
      <c r="AB3" s="185">
        <f>IF((X3-Z3-AA3)&lt;0,0,(X3-Z3-AA3))</f>
        <v/>
      </c>
      <c r="AC3" s="185">
        <f>Y3-Z3-AA3</f>
        <v/>
      </c>
      <c r="AD3" s="267">
        <f>Table25[[#This Row],[Pending Orders]]</f>
        <v/>
      </c>
      <c r="AE3" s="185">
        <f>M72</f>
        <v/>
      </c>
      <c r="AF3" s="185" t="n"/>
      <c r="AG3" s="185" t="n"/>
    </row>
    <row r="4">
      <c r="A4" s="265" t="inlineStr">
        <is>
          <t>HMSI</t>
        </is>
      </c>
      <c r="B4" s="147" t="inlineStr">
        <is>
          <t>BADVE</t>
        </is>
      </c>
      <c r="C4" s="147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12.7</v>
      </c>
      <c r="G4" s="148" t="n"/>
      <c r="H4" s="148" t="n">
        <v>1.4</v>
      </c>
      <c r="I4" s="147" t="n">
        <v>6000</v>
      </c>
      <c r="J4" s="147" t="n">
        <v>6</v>
      </c>
      <c r="K4" s="147">
        <f>_xlfn.CONCAT(F4,H4,J4,E4,D4)</f>
        <v/>
      </c>
      <c r="L4" s="147">
        <f>VLOOKUP(K4,'VSM May Indent'!$K$1:$O$61,4,0)</f>
        <v/>
      </c>
      <c r="M4" s="147">
        <f>VLOOKUP(K4,'VSM May Indent'!$K$1:$O$61,5,0)</f>
        <v/>
      </c>
      <c r="N4" s="151" t="inlineStr">
        <is>
          <t>0789</t>
        </is>
      </c>
      <c r="O4" s="150" t="n">
        <v>1931117</v>
      </c>
      <c r="P4" s="19" t="n">
        <v>5</v>
      </c>
      <c r="Q4" s="147" t="n">
        <v>0</v>
      </c>
      <c r="R4" s="147" t="n">
        <v>10</v>
      </c>
      <c r="S4" s="147" t="n"/>
      <c r="T4" s="147">
        <f>R4-Q4</f>
        <v/>
      </c>
      <c r="U4" s="147" t="n"/>
      <c r="V4" s="147">
        <f>U4+T4+S4</f>
        <v/>
      </c>
      <c r="W4" s="19">
        <f>P4*1.1-V4</f>
        <v/>
      </c>
      <c r="X4" s="167">
        <f>IF(W4&gt;0,W4,0)</f>
        <v/>
      </c>
      <c r="Y4" s="167">
        <f>X4+U4</f>
        <v/>
      </c>
      <c r="Z4" s="185">
        <f>SUMIFS(meghsteelsales_previousmonth[Quantity],meghsteelsales_previousmonth[Length Bucket],M4)/1000</f>
        <v/>
      </c>
      <c r="AA4" s="185">
        <f>SUMIFS(meghsteelsales_currentmonth[Quantity],meghsteelsales_currentmonth[Length Bucket],M4)/1000</f>
        <v/>
      </c>
      <c r="AB4" s="185">
        <f>IF((X4-Z4-AA4)&lt;0,0,(X4-Z4-AA4))</f>
        <v/>
      </c>
      <c r="AC4" s="185">
        <f>Y4-Z4-AA4</f>
        <v/>
      </c>
      <c r="AD4" s="267" t="n"/>
      <c r="AE4" s="185" t="n"/>
      <c r="AF4" s="185" t="n"/>
      <c r="AG4" s="185" t="n"/>
    </row>
    <row r="5">
      <c r="A5" s="265" t="inlineStr">
        <is>
          <t>HMSI</t>
        </is>
      </c>
      <c r="B5" s="147" t="inlineStr">
        <is>
          <t>BADVE</t>
        </is>
      </c>
      <c r="C5" s="147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12.7</v>
      </c>
      <c r="G5" s="148" t="n"/>
      <c r="H5" s="148" t="n">
        <v>1.6</v>
      </c>
      <c r="I5" s="147" t="n">
        <v>6000</v>
      </c>
      <c r="J5" s="147" t="n">
        <v>6</v>
      </c>
      <c r="K5" s="147">
        <f>_xlfn.CONCAT(F5,H5,J5,E5,D5)</f>
        <v/>
      </c>
      <c r="L5" s="147">
        <f>VLOOKUP(K5,'VSM May Indent'!$K$1:$O$61,4,0)</f>
        <v/>
      </c>
      <c r="M5" s="147">
        <f>VLOOKUP(K5,'VSM May Indent'!$K$1:$O$61,5,0)</f>
        <v/>
      </c>
      <c r="N5" s="151" t="inlineStr">
        <is>
          <t>0789</t>
        </is>
      </c>
      <c r="O5" s="150" t="n">
        <v>1931154</v>
      </c>
      <c r="P5" s="19" t="n">
        <v>2</v>
      </c>
      <c r="Q5" s="147" t="n">
        <v>1</v>
      </c>
      <c r="R5" s="147" t="n">
        <v>4</v>
      </c>
      <c r="S5" s="147" t="n"/>
      <c r="T5" s="147">
        <f>R5-Q5</f>
        <v/>
      </c>
      <c r="U5" s="147" t="n"/>
      <c r="V5" s="147">
        <f>U5+T5+S5</f>
        <v/>
      </c>
      <c r="W5" s="19">
        <f>P5*1.1-V5</f>
        <v/>
      </c>
      <c r="X5" s="167">
        <f>IF(W5&gt;0,W5,0)</f>
        <v/>
      </c>
      <c r="Y5" s="167">
        <f>X5+U5</f>
        <v/>
      </c>
      <c r="Z5" s="185">
        <f>SUMIFS(meghsteelsales_previousmonth[Quantity],meghsteelsales_previousmonth[Length Bucket],M5)/1000</f>
        <v/>
      </c>
      <c r="AA5" s="185">
        <f>SUMIFS(meghsteelsales_currentmonth[Quantity],meghsteelsales_currentmonth[Length Bucket],M5)/1000</f>
        <v/>
      </c>
      <c r="AB5" s="185">
        <f>IF((X5-Z5-AA5)&lt;0,0,(X5-Z5-AA5))</f>
        <v/>
      </c>
      <c r="AC5" s="185">
        <f>Y5-Z5-AA5</f>
        <v/>
      </c>
      <c r="AD5" s="267" t="n"/>
      <c r="AE5" s="185" t="n"/>
      <c r="AF5" s="185" t="n"/>
      <c r="AG5" s="185" t="n"/>
    </row>
    <row r="6">
      <c r="A6" s="265" t="inlineStr">
        <is>
          <t>TVS</t>
        </is>
      </c>
      <c r="B6" s="147" t="inlineStr">
        <is>
          <t>RUCHA</t>
        </is>
      </c>
      <c r="C6" s="147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12.7</v>
      </c>
      <c r="G6" s="148" t="n"/>
      <c r="H6" s="148" t="n">
        <v>2</v>
      </c>
      <c r="I6" s="147" t="n">
        <v>6000</v>
      </c>
      <c r="J6" s="147" t="n">
        <v>6</v>
      </c>
      <c r="K6" s="147">
        <f>_xlfn.CONCAT(F6,H6,J6,E6,D6)</f>
        <v/>
      </c>
      <c r="L6" s="147">
        <f>VLOOKUP(K6,'VSM May Indent'!$K$1:$O$61,4,0)</f>
        <v/>
      </c>
      <c r="M6" s="147">
        <f>VLOOKUP(K6,'VSM May Indent'!$K$1:$O$61,5,0)</f>
        <v/>
      </c>
      <c r="N6" s="151" t="inlineStr">
        <is>
          <t>0789</t>
        </is>
      </c>
      <c r="O6" s="149" t="n">
        <v>236166</v>
      </c>
      <c r="P6" s="19" t="n">
        <v>3</v>
      </c>
      <c r="Q6" s="147" t="n">
        <v>0</v>
      </c>
      <c r="R6" s="147" t="n">
        <v>0</v>
      </c>
      <c r="S6" s="147" t="n"/>
      <c r="T6" s="147">
        <f>R6-Q6</f>
        <v/>
      </c>
      <c r="U6" s="301" t="n"/>
      <c r="V6" s="147">
        <f>U6+T6+S6</f>
        <v/>
      </c>
      <c r="W6" s="19">
        <f>P6*1.1-V6</f>
        <v/>
      </c>
      <c r="X6" s="297">
        <f>IF(W6&gt;0,W6,0)</f>
        <v/>
      </c>
      <c r="Y6" s="167">
        <f>X6+U6</f>
        <v/>
      </c>
      <c r="Z6" s="185">
        <f>SUMIFS(meghsteelsales_previousmonth[Quantity],meghsteelsales_previousmonth[Length Bucket],M6)/1000</f>
        <v/>
      </c>
      <c r="AA6" s="185">
        <f>SUMIFS(meghsteelsales_currentmonth[Quantity],meghsteelsales_currentmonth[Length Bucket],M6)/1000</f>
        <v/>
      </c>
      <c r="AB6" s="185">
        <f>IF((X6-Z6-AA6)&lt;0,0,(X6-Z6-AA6))</f>
        <v/>
      </c>
      <c r="AC6" s="185">
        <f>Y6-Z6-AA6</f>
        <v/>
      </c>
      <c r="AD6" s="267">
        <f>Table25[[#This Row],[Pending Orders]]</f>
        <v/>
      </c>
      <c r="AE6" s="185" t="inlineStr">
        <is>
          <t>No order logged</t>
        </is>
      </c>
      <c r="AF6" s="185" t="n"/>
      <c r="AG6" s="185" t="n"/>
    </row>
    <row r="7">
      <c r="A7" s="265" t="inlineStr">
        <is>
          <t>HMSI</t>
        </is>
      </c>
      <c r="B7" s="147" t="inlineStr">
        <is>
          <t>BADVE</t>
        </is>
      </c>
      <c r="C7" s="147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48" t="n">
        <v>15.88</v>
      </c>
      <c r="G7" s="148" t="n"/>
      <c r="H7" s="148" t="n">
        <v>1</v>
      </c>
      <c r="I7" s="147" t="n">
        <v>6000</v>
      </c>
      <c r="J7" s="147" t="n">
        <v>6</v>
      </c>
      <c r="K7" s="147">
        <f>_xlfn.CONCAT(F7,H7,J7,E7,D7)</f>
        <v/>
      </c>
      <c r="L7" s="147">
        <f>VLOOKUP(K7,'VSM May Indent'!$K$1:$O$61,4,0)</f>
        <v/>
      </c>
      <c r="M7" s="147">
        <f>VLOOKUP(K7,'VSM May Indent'!$K$1:$O$61,5,0)</f>
        <v/>
      </c>
      <c r="N7" s="151" t="inlineStr">
        <is>
          <t>0789</t>
        </is>
      </c>
      <c r="O7" s="150" t="n">
        <v>1940054</v>
      </c>
      <c r="P7" s="19" t="n">
        <v>1</v>
      </c>
      <c r="Q7" s="147" t="n">
        <v>0</v>
      </c>
      <c r="R7" s="147" t="n">
        <v>2</v>
      </c>
      <c r="S7" s="147" t="n"/>
      <c r="T7" s="147">
        <f>R7-Q7</f>
        <v/>
      </c>
      <c r="U7" s="147" t="n"/>
      <c r="V7" s="147">
        <f>U7+T7+S7</f>
        <v/>
      </c>
      <c r="W7" s="19">
        <f>P7*1.1-V7</f>
        <v/>
      </c>
      <c r="X7" s="167">
        <f>IF(W7&gt;0,W7,0)</f>
        <v/>
      </c>
      <c r="Y7" s="167">
        <f>X7+U7</f>
        <v/>
      </c>
      <c r="Z7" s="185">
        <f>SUMIFS(meghsteelsales_previousmonth[Quantity],meghsteelsales_previousmonth[Length Bucket],M7)/1000</f>
        <v/>
      </c>
      <c r="AA7" s="185">
        <f>SUMIFS(meghsteelsales_currentmonth[Quantity],meghsteelsales_currentmonth[Length Bucket],M7)/1000</f>
        <v/>
      </c>
      <c r="AB7" s="185">
        <f>IF((X7-Z7-AA7)&lt;0,0,(X7-Z7-AA7))</f>
        <v/>
      </c>
      <c r="AC7" s="185">
        <f>Y7-Z7-AA7</f>
        <v/>
      </c>
      <c r="AD7" s="267" t="n"/>
      <c r="AE7" s="185" t="n"/>
      <c r="AF7" s="185" t="n"/>
      <c r="AG7" s="185" t="n"/>
    </row>
    <row r="8">
      <c r="A8" s="265" t="inlineStr">
        <is>
          <t>TVS</t>
        </is>
      </c>
      <c r="B8" s="147" t="inlineStr">
        <is>
          <t>RUCHA</t>
        </is>
      </c>
      <c r="C8" s="147" t="inlineStr">
        <is>
          <t>ERW1</t>
        </is>
      </c>
      <c r="D8" s="147" t="inlineStr">
        <is>
          <t>NON FIN</t>
        </is>
      </c>
      <c r="E8" s="147" t="inlineStr">
        <is>
          <t>ERW</t>
        </is>
      </c>
      <c r="F8" s="148" t="n">
        <v>15.88</v>
      </c>
      <c r="G8" s="148" t="n"/>
      <c r="H8" s="148" t="n">
        <v>1.2</v>
      </c>
      <c r="I8" s="147" t="n">
        <v>6000</v>
      </c>
      <c r="J8" s="147" t="n">
        <v>6</v>
      </c>
      <c r="K8" s="147">
        <f>_xlfn.CONCAT(F8,H8,J8,E8,D8)</f>
        <v/>
      </c>
      <c r="L8" s="147">
        <f>VLOOKUP(K8,'VSM May Indent'!$K$1:$O$61,4,0)</f>
        <v/>
      </c>
      <c r="M8" s="147">
        <f>VLOOKUP(K8,'VSM May Indent'!$K$1:$O$61,5,0)</f>
        <v/>
      </c>
      <c r="N8" s="151" t="inlineStr">
        <is>
          <t>0789</t>
        </is>
      </c>
      <c r="O8" s="150" t="n">
        <v>1940054</v>
      </c>
      <c r="P8" s="19" t="n">
        <v>5</v>
      </c>
      <c r="Q8" s="147" t="n">
        <v>2</v>
      </c>
      <c r="R8" s="147" t="n">
        <v>2</v>
      </c>
      <c r="S8" s="147" t="n"/>
      <c r="T8" s="147">
        <f>R8-Q8</f>
        <v/>
      </c>
      <c r="U8" s="301" t="n"/>
      <c r="V8" s="147">
        <f>U8+T8+S8</f>
        <v/>
      </c>
      <c r="W8" s="19">
        <f>P8*1.1-V8</f>
        <v/>
      </c>
      <c r="X8" s="297">
        <f>IF(W8&gt;0,W8,0)</f>
        <v/>
      </c>
      <c r="Y8" s="167">
        <f>X8+U8</f>
        <v/>
      </c>
      <c r="Z8" s="185">
        <f>SUMIFS(meghsteelsales_previousmonth[Quantity],meghsteelsales_previousmonth[Length Bucket],M8)/1000</f>
        <v/>
      </c>
      <c r="AA8" s="185">
        <f>SUMIFS(meghsteelsales_currentmonth[Quantity],meghsteelsales_currentmonth[Length Bucket],M8)/1000</f>
        <v/>
      </c>
      <c r="AB8" s="185">
        <f>IF((X8-Z8-AA8)&lt;0,0,(X8-Z8-AA8))</f>
        <v/>
      </c>
      <c r="AC8" s="185">
        <f>Y8-Z8-AA8</f>
        <v/>
      </c>
      <c r="AD8" s="267" t="n"/>
      <c r="AE8" s="185" t="n"/>
      <c r="AF8" s="185" t="n"/>
      <c r="AG8" s="185" t="n"/>
    </row>
    <row r="9">
      <c r="A9" s="265" t="inlineStr">
        <is>
          <t>HMSI</t>
        </is>
      </c>
      <c r="B9" s="147" t="inlineStr">
        <is>
          <t>BADVE</t>
        </is>
      </c>
      <c r="C9" s="147" t="inlineStr">
        <is>
          <t>ERW1</t>
        </is>
      </c>
      <c r="D9" s="147" t="inlineStr">
        <is>
          <t>NON FIN</t>
        </is>
      </c>
      <c r="E9" s="147" t="inlineStr">
        <is>
          <t>ERW</t>
        </is>
      </c>
      <c r="F9" s="148" t="n">
        <v>15.88</v>
      </c>
      <c r="G9" s="148" t="n"/>
      <c r="H9" s="148" t="n">
        <v>1.6</v>
      </c>
      <c r="I9" s="147" t="n">
        <v>6000</v>
      </c>
      <c r="J9" s="147" t="n">
        <v>6</v>
      </c>
      <c r="K9" s="147">
        <f>_xlfn.CONCAT(F9,H9,J9,E9,D9)</f>
        <v/>
      </c>
      <c r="L9" s="147">
        <f>VLOOKUP(K9,'VSM May Indent'!$K$1:$O$61,4,0)</f>
        <v/>
      </c>
      <c r="M9" s="147">
        <f>VLOOKUP(K9,'VSM May Indent'!$K$1:$O$61,5,0)</f>
        <v/>
      </c>
      <c r="N9" s="151" t="inlineStr">
        <is>
          <t>0789</t>
        </is>
      </c>
      <c r="O9" s="150" t="n">
        <v>1900224</v>
      </c>
      <c r="P9" s="19" t="n">
        <v>2</v>
      </c>
      <c r="Q9" s="147" t="n">
        <v>0</v>
      </c>
      <c r="R9" s="147" t="n">
        <v>0</v>
      </c>
      <c r="S9" s="147" t="n"/>
      <c r="T9" s="147">
        <f>R9-Q9</f>
        <v/>
      </c>
      <c r="U9" s="301" t="n"/>
      <c r="V9" s="147">
        <f>U9+T9+S9</f>
        <v/>
      </c>
      <c r="W9" s="19">
        <f>P9*1.1-V9</f>
        <v/>
      </c>
      <c r="X9" s="297">
        <f>IF(W9&gt;0,W9,0)</f>
        <v/>
      </c>
      <c r="Y9" s="167">
        <f>X9+U9</f>
        <v/>
      </c>
      <c r="Z9" s="185">
        <f>SUMIFS(meghsteelsales_previousmonth[Quantity],meghsteelsales_previousmonth[Length Bucket],M9)/1000</f>
        <v/>
      </c>
      <c r="AA9" s="185">
        <f>SUMIFS(meghsteelsales_currentmonth[Quantity],meghsteelsales_currentmonth[Length Bucket],M9)/1000</f>
        <v/>
      </c>
      <c r="AB9" s="185">
        <f>IF((X9-Z9-AA9)&lt;0,0,(X9-Z9-AA9))</f>
        <v/>
      </c>
      <c r="AC9" s="185">
        <f>Y9-Z9-AA9</f>
        <v/>
      </c>
      <c r="AD9" s="267" t="n"/>
      <c r="AE9" s="185" t="n"/>
      <c r="AF9" s="185" t="n"/>
      <c r="AG9" s="185" t="n"/>
    </row>
    <row r="10">
      <c r="A10" s="265" t="inlineStr">
        <is>
          <t>HMSI</t>
        </is>
      </c>
      <c r="B10" s="147" t="inlineStr">
        <is>
          <t>BADVE</t>
        </is>
      </c>
      <c r="C10" s="147" t="inlineStr">
        <is>
          <t>ERW1</t>
        </is>
      </c>
      <c r="D10" s="147" t="inlineStr">
        <is>
          <t>NON FIN</t>
        </is>
      </c>
      <c r="E10" s="147" t="inlineStr">
        <is>
          <t>ERW</t>
        </is>
      </c>
      <c r="F10" s="148" t="n">
        <v>15.88</v>
      </c>
      <c r="G10" s="148" t="n"/>
      <c r="H10" s="148" t="n">
        <v>2</v>
      </c>
      <c r="I10" s="147" t="n">
        <v>6000</v>
      </c>
      <c r="J10" s="147" t="n">
        <v>6</v>
      </c>
      <c r="K10" s="147">
        <f>_xlfn.CONCAT(F10,H10,J10,E10,D10)</f>
        <v/>
      </c>
      <c r="L10" s="147">
        <f>VLOOKUP(K10,'VSM May Indent'!$K$1:$O$61,4,0)</f>
        <v/>
      </c>
      <c r="M10" s="147">
        <f>VLOOKUP(K10,'VSM May Indent'!$K$1:$O$61,5,0)</f>
        <v/>
      </c>
      <c r="N10" s="151" t="inlineStr">
        <is>
          <t>0789</t>
        </is>
      </c>
      <c r="O10" s="150" t="n">
        <v>1940120</v>
      </c>
      <c r="P10" s="19" t="n">
        <v>0</v>
      </c>
      <c r="Q10" s="147" t="n">
        <v>0.5</v>
      </c>
      <c r="R10" s="147" t="n">
        <v>0</v>
      </c>
      <c r="S10" s="147" t="n"/>
      <c r="T10" s="147">
        <f>R10-Q10</f>
        <v/>
      </c>
      <c r="U10" s="301" t="n"/>
      <c r="V10" s="147">
        <f>U10+T10+S10</f>
        <v/>
      </c>
      <c r="W10" s="19">
        <f>P10*1.1-V10</f>
        <v/>
      </c>
      <c r="X10" s="297">
        <f>IF(W10&gt;0,W10,0)</f>
        <v/>
      </c>
      <c r="Y10" s="167">
        <f>X10+U10</f>
        <v/>
      </c>
      <c r="Z10" s="185">
        <f>SUMIFS(meghsteelsales_previousmonth[Quantity],meghsteelsales_previousmonth[Length Bucket],M10)/1000</f>
        <v/>
      </c>
      <c r="AA10" s="185">
        <f>SUMIFS(meghsteelsales_currentmonth[Quantity],meghsteelsales_currentmonth[Length Bucket],M10)/1000</f>
        <v/>
      </c>
      <c r="AB10" s="185">
        <f>IF((X10-Z10-AA10)&lt;0,0,(X10-Z10-AA10))</f>
        <v/>
      </c>
      <c r="AC10" s="185">
        <f>Y10-Z10-AA10</f>
        <v/>
      </c>
      <c r="AD10" s="267" t="n"/>
      <c r="AE10" s="185" t="n"/>
      <c r="AF10" s="185" t="n"/>
      <c r="AG10" s="185" t="n"/>
    </row>
    <row r="11">
      <c r="A11" s="265" t="inlineStr">
        <is>
          <t>TVS</t>
        </is>
      </c>
      <c r="B11" s="147" t="inlineStr">
        <is>
          <t>Rucha</t>
        </is>
      </c>
      <c r="C11" s="147" t="inlineStr">
        <is>
          <t>ERW1</t>
        </is>
      </c>
      <c r="D11" s="147" t="inlineStr">
        <is>
          <t>NON FIN</t>
        </is>
      </c>
      <c r="E11" s="147" t="inlineStr">
        <is>
          <t>ERW</t>
        </is>
      </c>
      <c r="F11" s="148" t="n">
        <v>18.3</v>
      </c>
      <c r="G11" s="148" t="n"/>
      <c r="H11" s="148" t="n">
        <v>1</v>
      </c>
      <c r="I11" s="147" t="n">
        <v>6000</v>
      </c>
      <c r="J11" s="147" t="n">
        <v>6</v>
      </c>
      <c r="K11" s="147">
        <f>_xlfn.CONCAT(F11,H11,J11,E11,D11)</f>
        <v/>
      </c>
      <c r="L11" s="147">
        <f>VLOOKUP(K11,'VSM May Indent'!$K$1:$O$61,4,0)</f>
        <v/>
      </c>
      <c r="M11" s="147">
        <f>VLOOKUP(K11,'VSM May Indent'!$K$1:$O$61,5,0)</f>
        <v/>
      </c>
      <c r="N11" s="151" t="inlineStr">
        <is>
          <t>0789</t>
        </is>
      </c>
      <c r="O11" s="150" t="n">
        <v>2288945</v>
      </c>
      <c r="P11" s="19" t="n">
        <v>5</v>
      </c>
      <c r="Q11" s="147" t="n"/>
      <c r="R11" s="147" t="n">
        <v>0</v>
      </c>
      <c r="S11" s="147" t="n"/>
      <c r="T11" s="147">
        <f>R11-Q11</f>
        <v/>
      </c>
      <c r="U11" s="301" t="n"/>
      <c r="V11" s="147">
        <f>U11+T11+S11</f>
        <v/>
      </c>
      <c r="W11" s="19">
        <f>P11*1.1-V11</f>
        <v/>
      </c>
      <c r="X11" s="297">
        <f>IF(W11&gt;0,W11,0)</f>
        <v/>
      </c>
      <c r="Y11" s="167">
        <f>X11+U11</f>
        <v/>
      </c>
      <c r="Z11" s="185">
        <f>SUMIFS(meghsteelsales_previousmonth[Quantity],meghsteelsales_previousmonth[Length Bucket],M11)/1000</f>
        <v/>
      </c>
      <c r="AA11" s="185">
        <f>SUMIFS(meghsteelsales_currentmonth[Quantity],meghsteelsales_currentmonth[Length Bucket],M11)/1000</f>
        <v/>
      </c>
      <c r="AB11" s="185">
        <f>IF((X11-Z11-AA11)&lt;0,0,(X11-Z11-AA11))</f>
        <v/>
      </c>
      <c r="AC11" s="185">
        <f>Y11-Z11-AA11</f>
        <v/>
      </c>
      <c r="AD11" s="267" t="n"/>
      <c r="AE11" s="185" t="n"/>
      <c r="AF11" s="185" t="n"/>
      <c r="AG11" s="185" t="n"/>
    </row>
    <row r="12">
      <c r="A12" s="265" t="inlineStr">
        <is>
          <t>HMSI</t>
        </is>
      </c>
      <c r="B12" s="147" t="inlineStr">
        <is>
          <t>BADVE</t>
        </is>
      </c>
      <c r="C12" s="153" t="inlineStr">
        <is>
          <t>ERW1</t>
        </is>
      </c>
      <c r="D12" s="147" t="inlineStr">
        <is>
          <t>NON FIN</t>
        </is>
      </c>
      <c r="E12" s="147" t="inlineStr">
        <is>
          <t>ERW</t>
        </is>
      </c>
      <c r="F12" s="148" t="n">
        <v>19.05</v>
      </c>
      <c r="G12" s="148" t="n"/>
      <c r="H12" s="148" t="n">
        <v>1.6</v>
      </c>
      <c r="I12" s="147" t="n">
        <v>6000</v>
      </c>
      <c r="J12" s="147" t="n">
        <v>6</v>
      </c>
      <c r="K12" s="147">
        <f>_xlfn.CONCAT(F12,H12,J12,E12,D12)</f>
        <v/>
      </c>
      <c r="L12" s="147">
        <f>VLOOKUP(K12,'VSM May Indent'!$K$1:$O$61,4,0)</f>
        <v/>
      </c>
      <c r="M12" s="147">
        <f>VLOOKUP(K12,'VSM May Indent'!$K$1:$O$61,5,0)</f>
        <v/>
      </c>
      <c r="N12" s="158" t="inlineStr">
        <is>
          <t>056</t>
        </is>
      </c>
      <c r="O12" s="150" t="n">
        <v>3498997</v>
      </c>
      <c r="P12" s="19" t="n">
        <v>10</v>
      </c>
      <c r="Q12" s="147" t="n">
        <v>2</v>
      </c>
      <c r="R12" s="147" t="n">
        <v>1</v>
      </c>
      <c r="S12" s="147" t="n"/>
      <c r="T12" s="147">
        <f>R12-Q12</f>
        <v/>
      </c>
      <c r="U12" s="301" t="n">
        <v>9</v>
      </c>
      <c r="V12" s="147">
        <f>U12+T12+S12</f>
        <v/>
      </c>
      <c r="W12" s="19">
        <f>P12*1.1-V12</f>
        <v/>
      </c>
      <c r="X12" s="297">
        <f>IF(W12&gt;0,W12,0)</f>
        <v/>
      </c>
      <c r="Y12" s="167">
        <f>X12+U12</f>
        <v/>
      </c>
      <c r="Z12" s="185">
        <f>SUMIFS(meghsteelsales_previousmonth[Quantity],meghsteelsales_previousmonth[Length Bucket],M12)/1000</f>
        <v/>
      </c>
      <c r="AA12" s="185">
        <f>SUMIFS(meghsteelsales_currentmonth[Quantity],meghsteelsales_currentmonth[Length Bucket],M12)/1000</f>
        <v/>
      </c>
      <c r="AB12" s="185">
        <f>IF((X12-Z12-AA12)&lt;0,0,(X12-Z12-AA12))</f>
        <v/>
      </c>
      <c r="AC12" s="185">
        <f>Y12-Z12-AA12</f>
        <v/>
      </c>
      <c r="AD12" s="267" t="n"/>
      <c r="AE12" s="185" t="inlineStr">
        <is>
          <t>order to be logged</t>
        </is>
      </c>
      <c r="AF12" s="185">
        <f>Table25[[#This Row],[OEM]]</f>
        <v/>
      </c>
      <c r="AG12" s="185">
        <f>Table25[[#This Row],[plant]]</f>
        <v/>
      </c>
    </row>
    <row r="13">
      <c r="A13" s="265" t="inlineStr">
        <is>
          <t>HMSI</t>
        </is>
      </c>
      <c r="B13" s="147" t="inlineStr">
        <is>
          <t>BADVE</t>
        </is>
      </c>
      <c r="C13" s="147" t="inlineStr">
        <is>
          <t>ERW2</t>
        </is>
      </c>
      <c r="D13" s="147" t="inlineStr">
        <is>
          <t>NON FIN</t>
        </is>
      </c>
      <c r="E13" s="147" t="inlineStr">
        <is>
          <t>ERW2</t>
        </is>
      </c>
      <c r="F13" s="148" t="n">
        <v>19.05</v>
      </c>
      <c r="G13" s="148" t="n"/>
      <c r="H13" s="148" t="n">
        <v>1.4</v>
      </c>
      <c r="I13" s="147" t="n">
        <v>6000</v>
      </c>
      <c r="J13" s="147" t="n">
        <v>6</v>
      </c>
      <c r="K13" s="147">
        <f>_xlfn.CONCAT(F13,H13,J13,E13,D13)</f>
        <v/>
      </c>
      <c r="L13" s="147">
        <f>VLOOKUP(K13,'VSM May Indent'!$K$1:$O$61,4,0)</f>
        <v/>
      </c>
      <c r="M13" s="147">
        <f>VLOOKUP(K13,'VSM May Indent'!$K$1:$O$61,5,0)</f>
        <v/>
      </c>
      <c r="N13" s="151" t="inlineStr">
        <is>
          <t>056</t>
        </is>
      </c>
      <c r="O13" s="149" t="n">
        <v>3891285</v>
      </c>
      <c r="P13" s="19" t="n">
        <v>0</v>
      </c>
      <c r="Q13" s="147" t="n">
        <v>0</v>
      </c>
      <c r="R13" s="147" t="n">
        <v>1</v>
      </c>
      <c r="S13" s="147" t="n"/>
      <c r="T13" s="147">
        <f>R13-Q13</f>
        <v/>
      </c>
      <c r="U13" s="147" t="n"/>
      <c r="V13" s="147">
        <f>U13+T13+S13</f>
        <v/>
      </c>
      <c r="W13" s="19">
        <f>P13*1.1-V13</f>
        <v/>
      </c>
      <c r="X13" s="167">
        <f>IF(W13&gt;0,W13,0)</f>
        <v/>
      </c>
      <c r="Y13" s="167">
        <f>X13+U13</f>
        <v/>
      </c>
      <c r="Z13" s="185">
        <f>SUMIFS(meghsteelsales_previousmonth[Quantity],meghsteelsales_previousmonth[Length Bucket],M13)/1000</f>
        <v/>
      </c>
      <c r="AA13" s="185">
        <f>SUMIFS(meghsteelsales_currentmonth[Quantity],meghsteelsales_currentmonth[Length Bucket],M13)/1000</f>
        <v/>
      </c>
      <c r="AB13" s="185">
        <f>IF((X13-Z13-AA13)&lt;0,0,(X13-Z13-AA13))</f>
        <v/>
      </c>
      <c r="AC13" s="185">
        <f>Y13-Z13-AA13</f>
        <v/>
      </c>
      <c r="AD13" s="267" t="n"/>
      <c r="AE13" s="185" t="n"/>
      <c r="AF13" s="185" t="n"/>
      <c r="AG13" s="185" t="n"/>
    </row>
    <row r="14">
      <c r="A14" s="265" t="inlineStr">
        <is>
          <t>TVS</t>
        </is>
      </c>
      <c r="B14" s="147" t="inlineStr">
        <is>
          <t>RUCHA</t>
        </is>
      </c>
      <c r="C14" s="153" t="inlineStr">
        <is>
          <t>ERW1</t>
        </is>
      </c>
      <c r="D14" s="147" t="inlineStr">
        <is>
          <t>NON FIN</t>
        </is>
      </c>
      <c r="E14" s="147" t="inlineStr">
        <is>
          <t>ERW</t>
        </is>
      </c>
      <c r="F14" s="154" t="n">
        <v>19.05</v>
      </c>
      <c r="G14" s="154" t="n"/>
      <c r="H14" s="154" t="n">
        <v>2</v>
      </c>
      <c r="I14" s="155" t="n">
        <v>5841</v>
      </c>
      <c r="J14" s="147" t="n">
        <v>5.84</v>
      </c>
      <c r="K14" s="147">
        <f>_xlfn.CONCAT(F14,H14,J14,E14,D14)</f>
        <v/>
      </c>
      <c r="L14" s="147">
        <f>VLOOKUP(K14,'VSM May Indent'!$K$1:$O$61,4,0)</f>
        <v/>
      </c>
      <c r="M14" s="147">
        <f>VLOOKUP(K14,'VSM May Indent'!$K$1:$O$61,5,0)</f>
        <v/>
      </c>
      <c r="N14" s="151" t="inlineStr">
        <is>
          <t>056</t>
        </is>
      </c>
      <c r="O14" s="150" t="n">
        <v>3673888</v>
      </c>
      <c r="P14" s="19" t="n">
        <v>0</v>
      </c>
      <c r="Q14" s="147" t="n">
        <v>10</v>
      </c>
      <c r="R14" s="147" t="n">
        <v>39</v>
      </c>
      <c r="S14" s="147" t="n">
        <v>7</v>
      </c>
      <c r="T14" s="147">
        <f>R14-Q14</f>
        <v/>
      </c>
      <c r="U14" s="301" t="n">
        <v>54</v>
      </c>
      <c r="V14" s="147">
        <f>U14+T14+S14</f>
        <v/>
      </c>
      <c r="W14" s="19">
        <f>P14*1.1-V14</f>
        <v/>
      </c>
      <c r="X14" s="297">
        <f>IF(W14&gt;0,W14,0)</f>
        <v/>
      </c>
      <c r="Y14" s="167">
        <f>X14+U14</f>
        <v/>
      </c>
      <c r="Z14" s="185">
        <f>SUMIFS(meghsteelsales_previousmonth[Quantity],meghsteelsales_previousmonth[Length Bucket],M14)/1000</f>
        <v/>
      </c>
      <c r="AA14" s="185">
        <f>SUMIFS(meghsteelsales_currentmonth[Quantity],meghsteelsales_currentmonth[Length Bucket],M14)/1000</f>
        <v/>
      </c>
      <c r="AB14" s="185">
        <f>IF((X14-Z14-AA14)&lt;0,0,(X14-Z14-AA14))</f>
        <v/>
      </c>
      <c r="AC14" s="185">
        <f>Y14-Z14-AA14</f>
        <v/>
      </c>
      <c r="AD14" s="267" t="n"/>
      <c r="AE14" s="185" t="inlineStr">
        <is>
          <t>order to be logged</t>
        </is>
      </c>
      <c r="AF14" s="185">
        <f>Table25[[#This Row],[OEM]]</f>
        <v/>
      </c>
      <c r="AG14" s="185">
        <f>Table25[[#This Row],[plant]]</f>
        <v/>
      </c>
    </row>
    <row r="15" customFormat="1" s="45">
      <c r="A15" s="266" t="inlineStr">
        <is>
          <t>TVS</t>
        </is>
      </c>
      <c r="B15" s="156" t="inlineStr">
        <is>
          <t>RUCHA</t>
        </is>
      </c>
      <c r="C15" s="157" t="inlineStr">
        <is>
          <t>ERW1</t>
        </is>
      </c>
      <c r="D15" s="156" t="inlineStr">
        <is>
          <t>NON FIN</t>
        </is>
      </c>
      <c r="E15" s="156" t="inlineStr">
        <is>
          <t>ERW</t>
        </is>
      </c>
      <c r="F15" s="243" t="n">
        <v>19.05</v>
      </c>
      <c r="G15" s="243" t="n"/>
      <c r="H15" s="243" t="n">
        <v>2</v>
      </c>
      <c r="I15" s="244" t="n">
        <v>5800</v>
      </c>
      <c r="J15" s="156" t="n">
        <v>5.8</v>
      </c>
      <c r="K15" s="147">
        <f>_xlfn.CONCAT(F15,H15,J15,E15,D15)</f>
        <v/>
      </c>
      <c r="L15" s="147">
        <f>VLOOKUP(K15,'VSM May Indent'!$K$1:$O$61,4,0)</f>
        <v/>
      </c>
      <c r="M15" s="147">
        <f>VLOOKUP(K15,'VSM May Indent'!$K$1:$O$61,5,0)</f>
        <v/>
      </c>
      <c r="N15" s="249" t="inlineStr">
        <is>
          <t>0789</t>
        </is>
      </c>
      <c r="O15" s="249" t="n">
        <v>1940292</v>
      </c>
      <c r="P15" s="246" t="n">
        <v>35</v>
      </c>
      <c r="Q15" s="156" t="n"/>
      <c r="R15" s="156" t="n"/>
      <c r="S15" s="156" t="n"/>
      <c r="T15" s="156" t="n"/>
      <c r="U15" s="301" t="n"/>
      <c r="V15" s="156" t="n"/>
      <c r="W15" s="246" t="n"/>
      <c r="X15" s="297" t="n">
        <v>35</v>
      </c>
      <c r="Y15" s="247">
        <f>X15+U15</f>
        <v/>
      </c>
      <c r="Z15" s="185">
        <f>SUMIFS(meghsteelsales_previousmonth[Quantity],meghsteelsales_previousmonth[Length Bucket],M15)/1000</f>
        <v/>
      </c>
      <c r="AA15" s="185">
        <f>SUMIFS(meghsteelsales_currentmonth[Quantity],meghsteelsales_currentmonth[Length Bucket],M15)/1000</f>
        <v/>
      </c>
      <c r="AB15" s="185">
        <f>IF((X15-Z15-AA15)&lt;0,0,(X15-Z15-AA15))</f>
        <v/>
      </c>
      <c r="AC15" s="185">
        <f>Y15-Z15-AA15</f>
        <v/>
      </c>
      <c r="AD15" s="267" t="n"/>
      <c r="AE15" s="292" t="n"/>
      <c r="AF15" s="292" t="n"/>
      <c r="AG15" s="292" t="n"/>
    </row>
    <row r="16">
      <c r="A16" s="265" t="inlineStr">
        <is>
          <t>TVS</t>
        </is>
      </c>
      <c r="B16" s="147" t="inlineStr">
        <is>
          <t>RUCHA,METALMAN</t>
        </is>
      </c>
      <c r="C16" s="153" t="inlineStr">
        <is>
          <t>ERW1</t>
        </is>
      </c>
      <c r="D16" s="147" t="inlineStr">
        <is>
          <t>NON FIN</t>
        </is>
      </c>
      <c r="E16" s="147" t="inlineStr">
        <is>
          <t>ERW</t>
        </is>
      </c>
      <c r="F16" s="148" t="n">
        <v>19.05</v>
      </c>
      <c r="G16" s="148" t="n"/>
      <c r="H16" s="148" t="n">
        <v>2.3</v>
      </c>
      <c r="I16" s="147" t="n">
        <v>7000</v>
      </c>
      <c r="J16" s="147" t="n">
        <v>7</v>
      </c>
      <c r="K16" s="147">
        <f>_xlfn.CONCAT(F16,H16,J16,E16,D16)</f>
        <v/>
      </c>
      <c r="L16" s="147">
        <f>VLOOKUP(K16,'VSM May Indent'!$K$1:$O$61,4,0)</f>
        <v/>
      </c>
      <c r="M16" s="147">
        <f>VLOOKUP(K16,'VSM May Indent'!$K$1:$O$61,5,0)</f>
        <v/>
      </c>
      <c r="N16" s="151" t="inlineStr">
        <is>
          <t>056</t>
        </is>
      </c>
      <c r="O16" s="150" t="n">
        <v>3500582</v>
      </c>
      <c r="P16" s="19" t="n">
        <v>20</v>
      </c>
      <c r="Q16" s="147" t="n">
        <v>5</v>
      </c>
      <c r="R16" s="147" t="n">
        <v>2</v>
      </c>
      <c r="S16" s="147" t="n">
        <v>24</v>
      </c>
      <c r="T16" s="147">
        <f>R16-Q16</f>
        <v/>
      </c>
      <c r="U16" s="301" t="n">
        <v>28</v>
      </c>
      <c r="V16" s="147">
        <f>U16+T16+S16</f>
        <v/>
      </c>
      <c r="W16" s="19">
        <f>P16*1.1-V16</f>
        <v/>
      </c>
      <c r="X16" s="297">
        <f>IF(W16&gt;0,W16,0)</f>
        <v/>
      </c>
      <c r="Y16" s="167">
        <f>X16+U16</f>
        <v/>
      </c>
      <c r="Z16" s="185">
        <f>SUMIFS(meghsteelsales_previousmonth[Quantity],meghsteelsales_previousmonth[Length Bucket],M16)/1000</f>
        <v/>
      </c>
      <c r="AA16" s="185">
        <f>SUMIFS(meghsteelsales_currentmonth[Quantity],meghsteelsales_currentmonth[Length Bucket],M16)/1000</f>
        <v/>
      </c>
      <c r="AB16" s="185">
        <f>IF((X16-Z16-AA16)&lt;0,0,(X16-Z16-AA16))</f>
        <v/>
      </c>
      <c r="AC16" s="185">
        <f>Y16-Z16-AA16</f>
        <v/>
      </c>
      <c r="AD16" s="267" t="n"/>
      <c r="AE16" s="185" t="inlineStr">
        <is>
          <t>order to be logged</t>
        </is>
      </c>
      <c r="AF16" s="185">
        <f>Table25[[#This Row],[OEM]]</f>
        <v/>
      </c>
      <c r="AG16" s="185">
        <f>Table25[[#This Row],[plant]]</f>
        <v/>
      </c>
    </row>
    <row r="17">
      <c r="A17" s="265" t="inlineStr">
        <is>
          <t>TVS</t>
        </is>
      </c>
      <c r="B17" s="147" t="inlineStr">
        <is>
          <t>RUCHA</t>
        </is>
      </c>
      <c r="C17" s="147" t="inlineStr">
        <is>
          <t>ERW1</t>
        </is>
      </c>
      <c r="D17" s="147" t="inlineStr">
        <is>
          <t>NON FIN</t>
        </is>
      </c>
      <c r="E17" s="147" t="inlineStr">
        <is>
          <t>ERW</t>
        </is>
      </c>
      <c r="F17" s="148" t="n">
        <v>21.4</v>
      </c>
      <c r="G17" s="148" t="n"/>
      <c r="H17" s="148" t="n">
        <v>1.6</v>
      </c>
      <c r="I17" s="147" t="n">
        <v>6000</v>
      </c>
      <c r="J17" s="147" t="n">
        <v>6</v>
      </c>
      <c r="K17" s="147">
        <f>_xlfn.CONCAT(F17,H17,J17,E17,D17)</f>
        <v/>
      </c>
      <c r="L17" s="147">
        <f>VLOOKUP(K17,'VSM May Indent'!$K$1:$O$61,4,0)</f>
        <v/>
      </c>
      <c r="M17" s="147">
        <f>VLOOKUP(K17,'VSM May Indent'!$K$1:$O$61,5,0)</f>
        <v/>
      </c>
      <c r="N17" s="149" t="n"/>
      <c r="O17" s="150" t="n">
        <v>3219710</v>
      </c>
      <c r="P17" s="19" t="n">
        <v>5</v>
      </c>
      <c r="Q17" s="147" t="n"/>
      <c r="R17" s="147" t="n">
        <v>6</v>
      </c>
      <c r="S17" s="147" t="n"/>
      <c r="T17" s="147">
        <f>R17-Q17</f>
        <v/>
      </c>
      <c r="U17" s="147" t="n"/>
      <c r="V17" s="147">
        <f>U17+T17+S17</f>
        <v/>
      </c>
      <c r="W17" s="19">
        <f>P17*1.1-V17</f>
        <v/>
      </c>
      <c r="X17" s="167">
        <f>IF(W17&gt;0,W17,0)</f>
        <v/>
      </c>
      <c r="Y17" s="167">
        <f>X17+U17</f>
        <v/>
      </c>
      <c r="Z17" s="185">
        <f>SUMIFS(meghsteelsales_previousmonth[Quantity],meghsteelsales_previousmonth[Length Bucket],M17)/1000</f>
        <v/>
      </c>
      <c r="AA17" s="185">
        <f>SUMIFS(meghsteelsales_currentmonth[Quantity],meghsteelsales_currentmonth[Length Bucket],M17)/1000</f>
        <v/>
      </c>
      <c r="AB17" s="185">
        <f>IF((X17-Z17-AA17)&lt;0,0,(X17-Z17-AA17))</f>
        <v/>
      </c>
      <c r="AC17" s="185">
        <f>Y17-Z17-AA17</f>
        <v/>
      </c>
      <c r="AD17" s="267" t="n"/>
      <c r="AE17" s="185" t="n"/>
      <c r="AF17" s="185" t="n"/>
      <c r="AG17" s="185" t="n"/>
    </row>
    <row r="18">
      <c r="A18" s="265" t="inlineStr">
        <is>
          <t>TVS</t>
        </is>
      </c>
      <c r="B18" s="147" t="inlineStr">
        <is>
          <t>RUCHA</t>
        </is>
      </c>
      <c r="C18" s="153" t="inlineStr">
        <is>
          <t>ERW1</t>
        </is>
      </c>
      <c r="D18" s="147" t="inlineStr">
        <is>
          <t>NON FIN</t>
        </is>
      </c>
      <c r="E18" s="147" t="inlineStr">
        <is>
          <t>ERW</t>
        </is>
      </c>
      <c r="F18" s="148" t="n">
        <v>22.2</v>
      </c>
      <c r="G18" s="148" t="n"/>
      <c r="H18" s="148" t="n">
        <v>1.2</v>
      </c>
      <c r="I18" s="147" t="n">
        <v>5870</v>
      </c>
      <c r="J18" s="147" t="n">
        <v>5.87</v>
      </c>
      <c r="K18" s="147">
        <f>_xlfn.CONCAT(F18,H18,J18,E18,D18)</f>
        <v/>
      </c>
      <c r="L18" s="147">
        <f>VLOOKUP(K18,'VSM May Indent'!$K$1:$O$61,4,0)</f>
        <v/>
      </c>
      <c r="M18" s="147">
        <f>VLOOKUP(K18,'VSM May Indent'!$K$1:$O$61,5,0)</f>
        <v/>
      </c>
      <c r="N18" s="151" t="inlineStr">
        <is>
          <t>056</t>
        </is>
      </c>
      <c r="O18" s="196" t="n">
        <v>3882110</v>
      </c>
      <c r="P18" s="19" t="n">
        <v>20</v>
      </c>
      <c r="Q18" s="147" t="n"/>
      <c r="R18" s="147" t="n">
        <v>0</v>
      </c>
      <c r="S18" s="147" t="n"/>
      <c r="T18" s="147">
        <f>R18-Q18</f>
        <v/>
      </c>
      <c r="U18" s="301" t="n">
        <v>9.800000000000001</v>
      </c>
      <c r="V18" s="147">
        <f>U18+T18+S18</f>
        <v/>
      </c>
      <c r="W18" s="19">
        <f>P18*1.1-V18</f>
        <v/>
      </c>
      <c r="X18" s="297">
        <f>IF(W18&gt;0,W18,0)</f>
        <v/>
      </c>
      <c r="Y18" s="167">
        <f>X18+U18</f>
        <v/>
      </c>
      <c r="Z18" s="185">
        <f>SUMIFS(meghsteelsales_previousmonth[Quantity],meghsteelsales_previousmonth[Length Bucket],M18)/1000</f>
        <v/>
      </c>
      <c r="AA18" s="185">
        <f>SUMIFS(meghsteelsales_currentmonth[Quantity],meghsteelsales_currentmonth[Length Bucket],M18)/1000</f>
        <v/>
      </c>
      <c r="AB18" s="185">
        <f>IF((X18-Z18-AA18)&lt;0,0,(X18-Z18-AA18))</f>
        <v/>
      </c>
      <c r="AC18" s="185">
        <f>Y18-Z18-AA18</f>
        <v/>
      </c>
      <c r="AD18" s="267" t="n"/>
      <c r="AE18" s="185" t="inlineStr">
        <is>
          <t>order to be logged</t>
        </is>
      </c>
      <c r="AF18" s="185">
        <f>Table25[[#This Row],[OEM]]</f>
        <v/>
      </c>
      <c r="AG18" s="185">
        <f>Table25[[#This Row],[plant]]</f>
        <v/>
      </c>
    </row>
    <row r="19">
      <c r="A19" s="265" t="inlineStr">
        <is>
          <t>HMSI</t>
        </is>
      </c>
      <c r="B19" s="147" t="inlineStr">
        <is>
          <t>BADVE</t>
        </is>
      </c>
      <c r="C19" s="153" t="inlineStr">
        <is>
          <t>ERW2</t>
        </is>
      </c>
      <c r="D19" s="147" t="inlineStr">
        <is>
          <t>NON FIN</t>
        </is>
      </c>
      <c r="E19" s="147" t="inlineStr">
        <is>
          <t>ERW-2</t>
        </is>
      </c>
      <c r="F19" s="148" t="n">
        <v>22.2</v>
      </c>
      <c r="G19" s="148" t="n"/>
      <c r="H19" s="148" t="n">
        <v>1.4</v>
      </c>
      <c r="I19" s="147" t="n">
        <v>6000</v>
      </c>
      <c r="J19" s="147" t="n">
        <v>6</v>
      </c>
      <c r="K19" s="147">
        <f>_xlfn.CONCAT(F19,H19,J19,E19,D19)</f>
        <v/>
      </c>
      <c r="L19" s="147">
        <f>VLOOKUP(K19,'VSM May Indent'!$K$1:$O$61,4,0)</f>
        <v/>
      </c>
      <c r="M19" s="147">
        <f>VLOOKUP(K19,'VSM May Indent'!$K$1:$O$61,5,0)</f>
        <v/>
      </c>
      <c r="N19" s="151" t="inlineStr">
        <is>
          <t>056</t>
        </is>
      </c>
      <c r="O19" s="150" t="n">
        <v>3829175</v>
      </c>
      <c r="P19" s="19" t="n">
        <v>0</v>
      </c>
      <c r="Q19" s="147" t="n"/>
      <c r="R19" s="147" t="n">
        <v>9.5</v>
      </c>
      <c r="S19" s="147" t="n"/>
      <c r="T19" s="147">
        <f>R19-Q19</f>
        <v/>
      </c>
      <c r="U19" s="147" t="n"/>
      <c r="V19" s="147">
        <f>U19+T19+S19</f>
        <v/>
      </c>
      <c r="W19" s="19">
        <f>P19*1.1-V19</f>
        <v/>
      </c>
      <c r="X19" s="167">
        <f>IF(W19&gt;0,W19,0)</f>
        <v/>
      </c>
      <c r="Y19" s="167">
        <f>X19+U19</f>
        <v/>
      </c>
      <c r="Z19" s="185">
        <f>SUMIFS(meghsteelsales_previousmonth[Quantity],meghsteelsales_previousmonth[Length Bucket],M19)/1000</f>
        <v/>
      </c>
      <c r="AA19" s="185">
        <f>SUMIFS(meghsteelsales_currentmonth[Quantity],meghsteelsales_currentmonth[Length Bucket],M19)/1000</f>
        <v/>
      </c>
      <c r="AB19" s="185">
        <f>IF((X19-Z19-AA19)&lt;0,0,(X19-Z19-AA19))</f>
        <v/>
      </c>
      <c r="AC19" s="185">
        <f>Y19-Z19-AA19</f>
        <v/>
      </c>
      <c r="AD19" s="267" t="n"/>
      <c r="AE19" s="185" t="n"/>
      <c r="AF19" s="185" t="n"/>
      <c r="AG19" s="185" t="n"/>
    </row>
    <row r="20">
      <c r="A20" s="265" t="inlineStr">
        <is>
          <t>TVS</t>
        </is>
      </c>
      <c r="B20" s="147" t="inlineStr">
        <is>
          <t>RUCHA</t>
        </is>
      </c>
      <c r="C20" s="153" t="inlineStr">
        <is>
          <t>ERW1</t>
        </is>
      </c>
      <c r="D20" s="147" t="inlineStr">
        <is>
          <t>NON FIN</t>
        </is>
      </c>
      <c r="E20" s="147" t="inlineStr">
        <is>
          <t>ERW</t>
        </is>
      </c>
      <c r="F20" s="148" t="n">
        <v>22.2</v>
      </c>
      <c r="G20" s="148" t="n"/>
      <c r="H20" s="148" t="n">
        <v>1.6</v>
      </c>
      <c r="I20" s="147" t="n">
        <v>5800</v>
      </c>
      <c r="J20" s="147" t="n">
        <v>5.8</v>
      </c>
      <c r="K20" s="147">
        <f>_xlfn.CONCAT(F20,H20,J20,E20,D20)</f>
        <v/>
      </c>
      <c r="L20" s="147">
        <f>VLOOKUP(K20,'VSM May Indent'!$K$1:$O$61,4,0)</f>
        <v/>
      </c>
      <c r="M20" s="147">
        <f>VLOOKUP(K20,'VSM May Indent'!$K$1:$O$61,5,0)</f>
        <v/>
      </c>
      <c r="N20" s="151" t="inlineStr">
        <is>
          <t>056</t>
        </is>
      </c>
      <c r="O20" s="150" t="n"/>
      <c r="P20" s="19" t="n">
        <v>40</v>
      </c>
      <c r="Q20" s="147" t="n">
        <v>10</v>
      </c>
      <c r="R20" s="147" t="n">
        <v>94</v>
      </c>
      <c r="S20" s="147" t="n"/>
      <c r="T20" s="147">
        <f>R20-Q20</f>
        <v/>
      </c>
      <c r="U20" s="147" t="n"/>
      <c r="V20" s="147">
        <f>U20+T20+S20</f>
        <v/>
      </c>
      <c r="W20" s="19">
        <f>P20*1.1-V20</f>
        <v/>
      </c>
      <c r="X20" s="167">
        <f>IF(W20&gt;0,W20,0)</f>
        <v/>
      </c>
      <c r="Y20" s="167">
        <f>X20+U20</f>
        <v/>
      </c>
      <c r="Z20" s="185">
        <f>SUMIFS(meghsteelsales_previousmonth[Quantity],meghsteelsales_previousmonth[Length Bucket],M20)/1000</f>
        <v/>
      </c>
      <c r="AA20" s="185">
        <f>SUMIFS(meghsteelsales_currentmonth[Quantity],meghsteelsales_currentmonth[Length Bucket],M20)/1000</f>
        <v/>
      </c>
      <c r="AB20" s="185">
        <f>IF((X20-Z20-AA20)&lt;0,0,(X20-Z20-AA20))</f>
        <v/>
      </c>
      <c r="AC20" s="185">
        <f>Y20-Z20-AA20</f>
        <v/>
      </c>
      <c r="AD20" s="267" t="n"/>
      <c r="AE20" s="185" t="n"/>
      <c r="AF20" s="185" t="n"/>
      <c r="AG20" s="185" t="n"/>
    </row>
    <row r="21" customFormat="1" s="45">
      <c r="A21" s="266" t="inlineStr">
        <is>
          <t>TVS</t>
        </is>
      </c>
      <c r="B21" s="156" t="inlineStr">
        <is>
          <t>RUCHA</t>
        </is>
      </c>
      <c r="C21" s="157" t="inlineStr">
        <is>
          <t>ERW1</t>
        </is>
      </c>
      <c r="D21" s="156" t="inlineStr">
        <is>
          <t>NON FIN</t>
        </is>
      </c>
      <c r="E21" s="156" t="inlineStr">
        <is>
          <t>ERW</t>
        </is>
      </c>
      <c r="F21" s="248" t="n">
        <v>22.2</v>
      </c>
      <c r="G21" s="248" t="n"/>
      <c r="H21" s="248" t="n">
        <v>1.6</v>
      </c>
      <c r="I21" s="156" t="n">
        <v>5270</v>
      </c>
      <c r="J21" s="156" t="n">
        <v>5.27</v>
      </c>
      <c r="K21" s="147">
        <f>_xlfn.CONCAT(F21,H21,J21,E21,D21)</f>
        <v/>
      </c>
      <c r="L21" s="147">
        <f>VLOOKUP(K21,'VSM May Indent'!$K$1:$O$61,4,0)</f>
        <v/>
      </c>
      <c r="M21" s="147">
        <f>VLOOKUP(K21,'VSM May Indent'!$K$1:$O$61,5,0)</f>
        <v/>
      </c>
      <c r="N21" s="250" t="inlineStr">
        <is>
          <t>0789</t>
        </is>
      </c>
      <c r="O21" s="245" t="n">
        <v>3575894</v>
      </c>
      <c r="P21" s="246" t="n">
        <v>25</v>
      </c>
      <c r="Q21" s="156" t="n"/>
      <c r="R21" s="156" t="n"/>
      <c r="S21" s="156" t="n"/>
      <c r="T21" s="156" t="n"/>
      <c r="U21" s="301" t="n"/>
      <c r="V21" s="156" t="n"/>
      <c r="W21" s="246" t="n"/>
      <c r="X21" s="297" t="n">
        <v>25</v>
      </c>
      <c r="Y21" s="247">
        <f>X21+U21</f>
        <v/>
      </c>
      <c r="Z21" s="185">
        <f>SUMIFS(meghsteelsales_previousmonth[Quantity],meghsteelsales_previousmonth[Length Bucket],M21)/1000</f>
        <v/>
      </c>
      <c r="AA21" s="185">
        <f>SUMIFS(meghsteelsales_currentmonth[Quantity],meghsteelsales_currentmonth[Length Bucket],M21)/1000</f>
        <v/>
      </c>
      <c r="AB21" s="185">
        <f>IF((X21-Z21-AA21)&lt;0,0,(X21-Z21-AA21))</f>
        <v/>
      </c>
      <c r="AC21" s="185">
        <f>Y21-Z21-AA21</f>
        <v/>
      </c>
      <c r="AD21" s="267" t="n"/>
      <c r="AE21" s="292" t="n"/>
      <c r="AF21" s="292" t="n"/>
      <c r="AG21" s="292" t="n"/>
    </row>
    <row r="22" customFormat="1" s="45">
      <c r="A22" s="266" t="inlineStr">
        <is>
          <t>TVS</t>
        </is>
      </c>
      <c r="B22" s="156" t="inlineStr">
        <is>
          <t>RUCHA</t>
        </is>
      </c>
      <c r="C22" s="157" t="inlineStr">
        <is>
          <t>ERW1</t>
        </is>
      </c>
      <c r="D22" s="156" t="inlineStr">
        <is>
          <t>NON FIN</t>
        </is>
      </c>
      <c r="E22" s="156" t="inlineStr">
        <is>
          <t>ERW</t>
        </is>
      </c>
      <c r="F22" s="248" t="n">
        <v>22.2</v>
      </c>
      <c r="G22" s="248" t="n"/>
      <c r="H22" s="248" t="n">
        <v>1.6</v>
      </c>
      <c r="I22" s="156" t="n">
        <v>5670</v>
      </c>
      <c r="J22" s="156" t="n">
        <v>5.67</v>
      </c>
      <c r="K22" s="147">
        <f>_xlfn.CONCAT(F22,H22,J22,E22,D22)</f>
        <v/>
      </c>
      <c r="L22" s="147">
        <f>VLOOKUP(K22,'VSM May Indent'!$K$1:$O$61,4,0)</f>
        <v/>
      </c>
      <c r="M22" s="147">
        <f>VLOOKUP(K22,'VSM May Indent'!$K$1:$O$61,5,0)</f>
        <v/>
      </c>
      <c r="N22" s="201" t="inlineStr">
        <is>
          <t>056</t>
        </is>
      </c>
      <c r="O22" s="245" t="inlineStr">
        <is>
          <t>MCR 42134</t>
        </is>
      </c>
      <c r="P22" s="246" t="n">
        <v>40</v>
      </c>
      <c r="Q22" s="156" t="n"/>
      <c r="R22" s="156" t="n"/>
      <c r="S22" s="156" t="n"/>
      <c r="T22" s="156" t="n"/>
      <c r="U22" s="301" t="n"/>
      <c r="V22" s="156" t="n"/>
      <c r="W22" s="246" t="n"/>
      <c r="X22" s="297" t="n">
        <v>40</v>
      </c>
      <c r="Y22" s="247">
        <f>X22+U22</f>
        <v/>
      </c>
      <c r="Z22" s="185">
        <f>SUMIFS(meghsteelsales_previousmonth[Quantity],meghsteelsales_previousmonth[Length Bucket],M22)/1000</f>
        <v/>
      </c>
      <c r="AA22" s="185">
        <f>SUMIFS(meghsteelsales_currentmonth[Quantity],meghsteelsales_currentmonth[Length Bucket],M22)/1000</f>
        <v/>
      </c>
      <c r="AB22" s="185">
        <f>IF((X22-Z22-AA22)&lt;0,0,(X22-Z22-AA22))</f>
        <v/>
      </c>
      <c r="AC22" s="185">
        <f>Y22-Z22-AA22</f>
        <v/>
      </c>
      <c r="AD22" s="267" t="n"/>
      <c r="AE22" s="292" t="n"/>
      <c r="AF22" s="292" t="n"/>
      <c r="AG22" s="292" t="n"/>
    </row>
    <row r="23">
      <c r="A23" s="265" t="inlineStr">
        <is>
          <t>TVS</t>
        </is>
      </c>
      <c r="B23" s="147" t="inlineStr">
        <is>
          <t>RUCHA</t>
        </is>
      </c>
      <c r="C23" s="155" t="inlineStr">
        <is>
          <t>ERW1</t>
        </is>
      </c>
      <c r="D23" s="147" t="inlineStr">
        <is>
          <t>NON FIN</t>
        </is>
      </c>
      <c r="E23" s="147" t="inlineStr">
        <is>
          <t>ERW</t>
        </is>
      </c>
      <c r="F23" s="154" t="n">
        <v>22.2</v>
      </c>
      <c r="G23" s="154" t="n"/>
      <c r="H23" s="154" t="n">
        <v>2</v>
      </c>
      <c r="I23" s="155" t="n">
        <v>5950</v>
      </c>
      <c r="J23" s="147" t="n">
        <v>5.95</v>
      </c>
      <c r="K23" s="147">
        <f>_xlfn.CONCAT(F23,H23,J23,E23,D23)</f>
        <v/>
      </c>
      <c r="L23" s="147">
        <f>VLOOKUP(K23,'VSM May Indent'!$K$1:$O$61,4,0)</f>
        <v/>
      </c>
      <c r="M23" s="147">
        <f>VLOOKUP(K23,'VSM May Indent'!$K$1:$O$61,5,0)</f>
        <v/>
      </c>
      <c r="N23" s="151" t="inlineStr">
        <is>
          <t>056</t>
        </is>
      </c>
      <c r="O23" s="196" t="n">
        <v>3905466</v>
      </c>
      <c r="P23" s="19" t="n">
        <v>50</v>
      </c>
      <c r="Q23" s="147" t="n">
        <v>20</v>
      </c>
      <c r="R23" s="147" t="n">
        <v>23</v>
      </c>
      <c r="S23" s="147" t="n"/>
      <c r="T23" s="147">
        <f>R23-Q23</f>
        <v/>
      </c>
      <c r="U23" s="301" t="n"/>
      <c r="V23" s="147">
        <f>U23+T23+S23</f>
        <v/>
      </c>
      <c r="W23" s="19">
        <f>P23*1.1-V23</f>
        <v/>
      </c>
      <c r="X23" s="297">
        <f>IF(W23&gt;0,W23,0)</f>
        <v/>
      </c>
      <c r="Y23" s="167">
        <f>X23+U23</f>
        <v/>
      </c>
      <c r="Z23" s="185">
        <f>SUMIFS(meghsteelsales_previousmonth[Quantity],meghsteelsales_previousmonth[Length Bucket],M23)/1000</f>
        <v/>
      </c>
      <c r="AA23" s="185">
        <f>SUMIFS(meghsteelsales_currentmonth[Quantity],meghsteelsales_currentmonth[Length Bucket],M23)/1000</f>
        <v/>
      </c>
      <c r="AB23" s="185">
        <f>IF((X23-Z23-AA23)&lt;0,0,(X23-Z23-AA23))</f>
        <v/>
      </c>
      <c r="AC23" s="185">
        <f>Y23-Z23-AA23</f>
        <v/>
      </c>
      <c r="AD23" s="267" t="n"/>
      <c r="AE23" s="185" t="n"/>
      <c r="AF23" s="185" t="n"/>
      <c r="AG23" s="185" t="n"/>
    </row>
    <row r="24">
      <c r="A24" s="265" t="inlineStr">
        <is>
          <t>TVS</t>
        </is>
      </c>
      <c r="B24" s="147" t="inlineStr">
        <is>
          <t>RUCHA</t>
        </is>
      </c>
      <c r="C24" s="155" t="inlineStr">
        <is>
          <t>ERW1</t>
        </is>
      </c>
      <c r="D24" s="147" t="inlineStr">
        <is>
          <t>NON FIN</t>
        </is>
      </c>
      <c r="E24" s="147" t="inlineStr">
        <is>
          <t>ERW</t>
        </is>
      </c>
      <c r="F24" s="154" t="n">
        <v>22.2</v>
      </c>
      <c r="G24" s="154" t="n"/>
      <c r="H24" s="154" t="n">
        <v>2</v>
      </c>
      <c r="I24" s="155" t="n">
        <v>5100</v>
      </c>
      <c r="J24" s="147" t="n">
        <v>5.1</v>
      </c>
      <c r="K24" s="147">
        <f>_xlfn.CONCAT(F24,H24,J24,E24,D24)</f>
        <v/>
      </c>
      <c r="L24" s="147">
        <f>VLOOKUP(K24,'VSM May Indent'!$K$1:$O$61,4,0)</f>
        <v/>
      </c>
      <c r="M24" s="147">
        <f>VLOOKUP(K24,'VSM May Indent'!$K$1:$O$61,5,0)</f>
        <v/>
      </c>
      <c r="N24" s="151" t="inlineStr">
        <is>
          <t>056</t>
        </is>
      </c>
      <c r="O24" s="150" t="n">
        <v>3500554</v>
      </c>
      <c r="P24" s="19" t="n">
        <v>20</v>
      </c>
      <c r="Q24" s="147" t="n">
        <v>4</v>
      </c>
      <c r="R24" s="147" t="n">
        <v>15</v>
      </c>
      <c r="S24" s="147" t="n"/>
      <c r="T24" s="147">
        <f>R24-Q24</f>
        <v/>
      </c>
      <c r="U24" s="301" t="n"/>
      <c r="V24" s="147">
        <f>U24+T24+S24</f>
        <v/>
      </c>
      <c r="W24" s="19">
        <f>P24*1.1-V24</f>
        <v/>
      </c>
      <c r="X24" s="297">
        <f>IF(W24&gt;0,W24,0)</f>
        <v/>
      </c>
      <c r="Y24" s="167">
        <f>X24+U24</f>
        <v/>
      </c>
      <c r="Z24" s="185">
        <f>SUMIFS(meghsteelsales_previousmonth[Quantity],meghsteelsales_previousmonth[Length Bucket],M24)/1000</f>
        <v/>
      </c>
      <c r="AA24" s="185">
        <f>SUMIFS(meghsteelsales_currentmonth[Quantity],meghsteelsales_currentmonth[Length Bucket],M24)/1000</f>
        <v/>
      </c>
      <c r="AB24" s="185">
        <f>IF((X24-Z24-AA24)&lt;0,0,(X24-Z24-AA24))</f>
        <v/>
      </c>
      <c r="AC24" s="185">
        <f>Y24-Z24-AA24</f>
        <v/>
      </c>
      <c r="AD24" s="267" t="n"/>
      <c r="AE24" s="185" t="n"/>
      <c r="AF24" s="185" t="n"/>
      <c r="AG24" s="185" t="n"/>
    </row>
    <row r="25">
      <c r="A25" s="265" t="inlineStr">
        <is>
          <t>TVS</t>
        </is>
      </c>
      <c r="B25" s="147" t="inlineStr">
        <is>
          <t>RUCHA</t>
        </is>
      </c>
      <c r="C25" s="147" t="inlineStr">
        <is>
          <t>ERW2</t>
        </is>
      </c>
      <c r="D25" s="147" t="inlineStr">
        <is>
          <t>FIN CUT</t>
        </is>
      </c>
      <c r="E25" s="147" t="inlineStr">
        <is>
          <t>HST</t>
        </is>
      </c>
      <c r="F25" s="148" t="n">
        <v>22.2</v>
      </c>
      <c r="G25" s="148" t="n"/>
      <c r="H25" s="148" t="n">
        <v>2</v>
      </c>
      <c r="I25" s="147" t="n">
        <v>6000</v>
      </c>
      <c r="J25" s="147" t="n">
        <v>6000</v>
      </c>
      <c r="K25" s="147">
        <f>_xlfn.CONCAT(F25,H25,J25,E25,D25)</f>
        <v/>
      </c>
      <c r="L25" s="147">
        <f>VLOOKUP(K25,'VSM May Indent'!$K$1:$O$61,4,0)</f>
        <v/>
      </c>
      <c r="M25" s="147">
        <f>VLOOKUP(K25,'VSM May Indent'!$K$1:$O$61,5,0)</f>
        <v/>
      </c>
      <c r="N25" s="151" t="inlineStr">
        <is>
          <t>056</t>
        </is>
      </c>
      <c r="O25" s="150" t="n">
        <v>3502494</v>
      </c>
      <c r="P25" s="19" t="n">
        <v>50</v>
      </c>
      <c r="Q25" s="147" t="n">
        <v>30</v>
      </c>
      <c r="R25" s="147" t="n">
        <v>22</v>
      </c>
      <c r="S25" s="147" t="n"/>
      <c r="T25" s="147">
        <f>R25-Q25</f>
        <v/>
      </c>
      <c r="U25" s="301" t="n">
        <v>60</v>
      </c>
      <c r="V25" s="147">
        <f>U25+T25+S25</f>
        <v/>
      </c>
      <c r="W25" s="19">
        <f>P25*1.1-V25</f>
        <v/>
      </c>
      <c r="X25" s="297">
        <f>IF(W25&gt;0,W25,0)</f>
        <v/>
      </c>
      <c r="Y25" s="167">
        <f>X25+U25</f>
        <v/>
      </c>
      <c r="Z25" s="185">
        <f>SUMIFS(meghsteelsales_previousmonth[Quantity],meghsteelsales_previousmonth[Length Bucket],M25)/1000</f>
        <v/>
      </c>
      <c r="AA25" s="185">
        <f>SUMIFS(meghsteelsales_currentmonth[Quantity],meghsteelsales_currentmonth[Length Bucket],M25)/1000</f>
        <v/>
      </c>
      <c r="AB25" s="185">
        <f>IF((X25-Z25-AA25)&lt;0,0,(X25-Z25-AA25))</f>
        <v/>
      </c>
      <c r="AC25" s="185">
        <f>Y25-Z25-AA25</f>
        <v/>
      </c>
      <c r="AD25" s="267" t="n">
        <v>50</v>
      </c>
      <c r="AE25" s="185" t="n">
        <v>9518828196</v>
      </c>
      <c r="AF25" s="185">
        <f>Table25[[#This Row],[OEM]]</f>
        <v/>
      </c>
      <c r="AG25" s="185">
        <f>Table25[[#This Row],[plant]]</f>
        <v/>
      </c>
    </row>
    <row r="26">
      <c r="A26" s="265" t="inlineStr">
        <is>
          <t>HMSI</t>
        </is>
      </c>
      <c r="B26" s="147" t="inlineStr">
        <is>
          <t>BADVE</t>
        </is>
      </c>
      <c r="C26" s="147" t="inlineStr">
        <is>
          <t>CR ERW 1</t>
        </is>
      </c>
      <c r="D26" s="147" t="inlineStr">
        <is>
          <t>FIN CUT</t>
        </is>
      </c>
      <c r="E26" s="147" t="inlineStr">
        <is>
          <t xml:space="preserve">CR ERW </t>
        </is>
      </c>
      <c r="F26" s="148" t="n">
        <v>22.2</v>
      </c>
      <c r="G26" s="148" t="n"/>
      <c r="H26" s="148" t="n">
        <v>2</v>
      </c>
      <c r="I26" s="147" t="n">
        <v>5390</v>
      </c>
      <c r="J26" s="147" t="n">
        <v>5.39</v>
      </c>
      <c r="K26" s="147">
        <f>_xlfn.CONCAT(F26,H26,J26,E26,D26)</f>
        <v/>
      </c>
      <c r="L26" s="147">
        <f>VLOOKUP(K26,'VSM May Indent'!$K$1:$O$61,4,0)</f>
        <v/>
      </c>
      <c r="M26" s="147">
        <f>VLOOKUP(K26,'VSM May Indent'!$K$1:$O$61,5,0)</f>
        <v/>
      </c>
      <c r="N26" s="165" t="inlineStr">
        <is>
          <t>0789</t>
        </is>
      </c>
      <c r="O26" s="260" t="n">
        <v>2431251</v>
      </c>
      <c r="P26" s="19" t="n">
        <v>20</v>
      </c>
      <c r="Q26" s="147" t="n">
        <v>10</v>
      </c>
      <c r="R26" s="147" t="n">
        <v>8</v>
      </c>
      <c r="S26" s="147" t="n"/>
      <c r="T26" s="147">
        <f>R26-Q26</f>
        <v/>
      </c>
      <c r="U26" s="301" t="n"/>
      <c r="V26" s="147">
        <f>U26+T26+S26</f>
        <v/>
      </c>
      <c r="W26" s="19">
        <f>P26*1.1-V26</f>
        <v/>
      </c>
      <c r="X26" s="297">
        <f>IF(W26&gt;0,W26,0)</f>
        <v/>
      </c>
      <c r="Y26" s="167">
        <f>X26+U26</f>
        <v/>
      </c>
      <c r="Z26" s="185">
        <f>SUMIFS(meghsteelsales_previousmonth[Quantity],meghsteelsales_previousmonth[Length Bucket],M26)/1000</f>
        <v/>
      </c>
      <c r="AA26" s="185">
        <f>SUMIFS(meghsteelsales_currentmonth[Quantity],meghsteelsales_currentmonth[Length Bucket],M26)/1000</f>
        <v/>
      </c>
      <c r="AB26" s="185">
        <f>IF((X26-Z26-AA26)&lt;0,0,(X26-Z26-AA26))</f>
        <v/>
      </c>
      <c r="AC26" s="185">
        <f>Y26-Z26-AA26</f>
        <v/>
      </c>
      <c r="AD26" s="267" t="n">
        <v>24</v>
      </c>
      <c r="AE26" s="185" t="n">
        <v>9518797070</v>
      </c>
      <c r="AF26" s="185">
        <f>Table25[[#This Row],[OEM]]</f>
        <v/>
      </c>
      <c r="AG26" s="185">
        <f>Table25[[#This Row],[plant]]</f>
        <v/>
      </c>
    </row>
    <row r="27">
      <c r="A27" s="265" t="inlineStr">
        <is>
          <t>HMSI</t>
        </is>
      </c>
      <c r="B27" s="147" t="inlineStr">
        <is>
          <t>BADVE</t>
        </is>
      </c>
      <c r="C27" s="153" t="inlineStr">
        <is>
          <t>ERW2</t>
        </is>
      </c>
      <c r="D27" s="147" t="inlineStr">
        <is>
          <t>FIN CUT</t>
        </is>
      </c>
      <c r="E27" s="147" t="inlineStr">
        <is>
          <t>HST</t>
        </is>
      </c>
      <c r="F27" s="148" t="n">
        <v>25.4</v>
      </c>
      <c r="G27" s="148" t="n"/>
      <c r="H27" s="148" t="n">
        <v>1.4</v>
      </c>
      <c r="I27" s="147" t="n">
        <v>5531</v>
      </c>
      <c r="J27" s="147" t="n">
        <v>5.531</v>
      </c>
      <c r="K27" s="147">
        <f>_xlfn.CONCAT(F27,H27,J27,E27,D27)</f>
        <v/>
      </c>
      <c r="L27" s="147">
        <f>VLOOKUP(K27,'VSM May Indent'!$K$1:$O$61,4,0)</f>
        <v/>
      </c>
      <c r="M27" s="147">
        <f>VLOOKUP(K27,'VSM May Indent'!$K$1:$O$61,5,0)</f>
        <v/>
      </c>
      <c r="N27" s="151" t="inlineStr">
        <is>
          <t>056</t>
        </is>
      </c>
      <c r="O27" s="150" t="n">
        <v>3501900</v>
      </c>
      <c r="P27" s="19" t="n">
        <v>0</v>
      </c>
      <c r="Q27" s="147" t="n"/>
      <c r="R27" s="147" t="n">
        <v>6.5</v>
      </c>
      <c r="S27" s="147" t="n"/>
      <c r="T27" s="147">
        <f>R27-Q27</f>
        <v/>
      </c>
      <c r="U27" s="147" t="n"/>
      <c r="V27" s="147">
        <f>U27+T27+S27</f>
        <v/>
      </c>
      <c r="W27" s="19">
        <f>P27*1.1-V27</f>
        <v/>
      </c>
      <c r="X27" s="167">
        <f>IF(W27&gt;0,W27,0)</f>
        <v/>
      </c>
      <c r="Y27" s="167">
        <f>X27+U27</f>
        <v/>
      </c>
      <c r="Z27" s="185">
        <f>SUMIFS(meghsteelsales_previousmonth[Quantity],meghsteelsales_previousmonth[Length Bucket],M27)/1000</f>
        <v/>
      </c>
      <c r="AA27" s="185">
        <f>SUMIFS(meghsteelsales_currentmonth[Quantity],meghsteelsales_currentmonth[Length Bucket],M27)/1000</f>
        <v/>
      </c>
      <c r="AB27" s="185">
        <f>IF((X27-Z27-AA27)&lt;0,0,(X27-Z27-AA27))</f>
        <v/>
      </c>
      <c r="AC27" s="185">
        <f>Y27-Z27-AA27</f>
        <v/>
      </c>
      <c r="AD27" s="267" t="n"/>
      <c r="AE27" s="185" t="n"/>
      <c r="AF27" s="185" t="n"/>
      <c r="AG27" s="185" t="n"/>
    </row>
    <row r="28">
      <c r="A28" s="265" t="inlineStr">
        <is>
          <t>HMSI</t>
        </is>
      </c>
      <c r="B28" s="147" t="inlineStr">
        <is>
          <t>BADVE</t>
        </is>
      </c>
      <c r="C28" s="153" t="inlineStr">
        <is>
          <t>ERW1</t>
        </is>
      </c>
      <c r="D28" s="147" t="inlineStr">
        <is>
          <t>FIN CUT</t>
        </is>
      </c>
      <c r="E28" s="147" t="inlineStr">
        <is>
          <t>ERW</t>
        </is>
      </c>
      <c r="F28" s="148" t="n">
        <v>25.4</v>
      </c>
      <c r="G28" s="148" t="n"/>
      <c r="H28" s="148" t="n">
        <v>1.4</v>
      </c>
      <c r="I28" s="147" t="n">
        <v>6060</v>
      </c>
      <c r="J28" s="147" t="n">
        <v>6.06</v>
      </c>
      <c r="K28" s="147">
        <f>_xlfn.CONCAT(F28,H28,J28,E28,D28)</f>
        <v/>
      </c>
      <c r="L28" s="147">
        <f>VLOOKUP(K28,'VSM May Indent'!$K$1:$O$61,4,0)</f>
        <v/>
      </c>
      <c r="M28" s="147">
        <f>VLOOKUP(K28,'VSM May Indent'!$K$1:$O$61,5,0)</f>
        <v/>
      </c>
      <c r="N28" s="151" t="n"/>
      <c r="O28" s="149" t="n">
        <v>3557792</v>
      </c>
      <c r="P28" s="19" t="n">
        <v>10</v>
      </c>
      <c r="Q28" s="147" t="n"/>
      <c r="R28" s="147" t="n">
        <v>0</v>
      </c>
      <c r="S28" s="147" t="n"/>
      <c r="T28" s="147">
        <f>R28-Q28</f>
        <v/>
      </c>
      <c r="U28" s="301" t="n"/>
      <c r="V28" s="147">
        <f>U28+T28+S28</f>
        <v/>
      </c>
      <c r="W28" s="19">
        <f>P28*1.1-V28</f>
        <v/>
      </c>
      <c r="X28" s="297">
        <f>IF(W28&gt;0,W28,0)</f>
        <v/>
      </c>
      <c r="Y28" s="167">
        <f>X28+U28</f>
        <v/>
      </c>
      <c r="Z28" s="185">
        <f>SUMIFS(meghsteelsales_previousmonth[Quantity],meghsteelsales_previousmonth[Length Bucket],M28)/1000</f>
        <v/>
      </c>
      <c r="AA28" s="185">
        <f>SUMIFS(meghsteelsales_currentmonth[Quantity],meghsteelsales_currentmonth[Length Bucket],M28)/1000</f>
        <v/>
      </c>
      <c r="AB28" s="185">
        <f>IF((X28-Z28-AA28)&lt;0,0,(X28-Z28-AA28))</f>
        <v/>
      </c>
      <c r="AC28" s="185">
        <f>Y28-Z28-AA28</f>
        <v/>
      </c>
      <c r="AD28" s="267" t="n"/>
      <c r="AE28" s="185" t="n"/>
      <c r="AF28" s="185" t="n"/>
      <c r="AG28" s="185" t="n"/>
    </row>
    <row r="29">
      <c r="A29" s="265" t="inlineStr">
        <is>
          <t>TVS</t>
        </is>
      </c>
      <c r="B29" s="147" t="inlineStr">
        <is>
          <t>RUCHA</t>
        </is>
      </c>
      <c r="C29" s="153" t="inlineStr">
        <is>
          <t>ERW1</t>
        </is>
      </c>
      <c r="D29" s="147" t="inlineStr">
        <is>
          <t>NON FIN</t>
        </is>
      </c>
      <c r="E29" s="147" t="inlineStr">
        <is>
          <t>ERW</t>
        </is>
      </c>
      <c r="F29" s="148" t="n">
        <v>25.4</v>
      </c>
      <c r="G29" s="148" t="n"/>
      <c r="H29" s="148" t="n">
        <v>1.6</v>
      </c>
      <c r="I29" s="147" t="n">
        <v>6000</v>
      </c>
      <c r="J29" s="147" t="n">
        <v>6</v>
      </c>
      <c r="K29" s="147">
        <f>_xlfn.CONCAT(F29,H29,J29,E29,D29)</f>
        <v/>
      </c>
      <c r="L29" s="147">
        <f>VLOOKUP(K29,'VSM May Indent'!$K$1:$O$61,4,0)</f>
        <v/>
      </c>
      <c r="M29" s="147">
        <f>VLOOKUP(K29,'VSM May Indent'!$K$1:$O$61,5,0)</f>
        <v/>
      </c>
      <c r="N29" s="151" t="inlineStr">
        <is>
          <t>056</t>
        </is>
      </c>
      <c r="O29" s="150" t="n">
        <v>3500097</v>
      </c>
      <c r="P29" s="19" t="n">
        <v>25</v>
      </c>
      <c r="Q29" s="147" t="n">
        <v>8</v>
      </c>
      <c r="R29" s="147" t="n">
        <v>25</v>
      </c>
      <c r="S29" s="147" t="n"/>
      <c r="T29" s="147">
        <f>R29-Q29</f>
        <v/>
      </c>
      <c r="U29" s="301" t="n">
        <v>29</v>
      </c>
      <c r="V29" s="147">
        <f>U29+T29+S29</f>
        <v/>
      </c>
      <c r="W29" s="19">
        <f>P29*1.1-V29</f>
        <v/>
      </c>
      <c r="X29" s="297">
        <f>IF(W29&gt;0,W29,0)</f>
        <v/>
      </c>
      <c r="Y29" s="167">
        <f>X29+U29</f>
        <v/>
      </c>
      <c r="Z29" s="185">
        <f>SUMIFS(meghsteelsales_previousmonth[Quantity],meghsteelsales_previousmonth[Length Bucket],M29)/1000</f>
        <v/>
      </c>
      <c r="AA29" s="185">
        <f>SUMIFS(meghsteelsales_currentmonth[Quantity],meghsteelsales_currentmonth[Length Bucket],M29)/1000</f>
        <v/>
      </c>
      <c r="AB29" s="185">
        <f>IF((X29-Z29-AA29)&lt;0,0,(X29-Z29-AA29))</f>
        <v/>
      </c>
      <c r="AC29" s="185">
        <f>Y29-Z29-AA29</f>
        <v/>
      </c>
      <c r="AD29" s="267" t="n"/>
      <c r="AE29" s="185" t="inlineStr">
        <is>
          <t>order to be logged</t>
        </is>
      </c>
      <c r="AF29" s="185">
        <f>Table25[[#This Row],[OEM]]</f>
        <v/>
      </c>
      <c r="AG29" s="185">
        <f>Table25[[#This Row],[plant]]</f>
        <v/>
      </c>
    </row>
    <row r="30">
      <c r="A30" s="265" t="inlineStr">
        <is>
          <t>TVS</t>
        </is>
      </c>
      <c r="B30" s="147" t="inlineStr">
        <is>
          <t>RUCHA</t>
        </is>
      </c>
      <c r="C30" s="153" t="inlineStr">
        <is>
          <t>ERW1</t>
        </is>
      </c>
      <c r="D30" s="147" t="inlineStr">
        <is>
          <t>NON FIN</t>
        </is>
      </c>
      <c r="E30" s="147" t="inlineStr">
        <is>
          <t>ERW</t>
        </is>
      </c>
      <c r="F30" s="148" t="n">
        <v>25.4</v>
      </c>
      <c r="G30" s="148" t="n"/>
      <c r="H30" s="148" t="n">
        <v>2</v>
      </c>
      <c r="I30" s="147" t="n">
        <v>5840</v>
      </c>
      <c r="J30" s="147" t="n">
        <v>5.82</v>
      </c>
      <c r="K30" s="147">
        <f>_xlfn.CONCAT(F30,H30,J30,E30,D30)</f>
        <v/>
      </c>
      <c r="L30" s="147">
        <f>VLOOKUP(K30,'VSM May Indent'!$K$1:$O$61,4,0)</f>
        <v/>
      </c>
      <c r="M30" s="147">
        <f>VLOOKUP(K30,'VSM May Indent'!$K$1:$O$61,5,0)</f>
        <v/>
      </c>
      <c r="N30" s="151" t="inlineStr">
        <is>
          <t>056</t>
        </is>
      </c>
      <c r="O30" s="149" t="n">
        <v>3240023</v>
      </c>
      <c r="P30" s="19" t="n">
        <v>0</v>
      </c>
      <c r="Q30" s="147" t="n">
        <v>5</v>
      </c>
      <c r="R30" s="147" t="n">
        <v>25</v>
      </c>
      <c r="S30" s="147" t="n"/>
      <c r="T30" s="147">
        <f>R30-Q30</f>
        <v/>
      </c>
      <c r="U30" s="147" t="n"/>
      <c r="V30" s="147">
        <f>U30+T30+S30</f>
        <v/>
      </c>
      <c r="W30" s="19">
        <f>P30*1.1-V30</f>
        <v/>
      </c>
      <c r="X30" s="167">
        <f>IF(W30&gt;0,W30,0)</f>
        <v/>
      </c>
      <c r="Y30" s="167">
        <f>X30+U30</f>
        <v/>
      </c>
      <c r="Z30" s="185">
        <f>SUMIFS(meghsteelsales_previousmonth[Quantity],meghsteelsales_previousmonth[Length Bucket],M30)/1000</f>
        <v/>
      </c>
      <c r="AA30" s="185">
        <f>SUMIFS(meghsteelsales_currentmonth[Quantity],meghsteelsales_currentmonth[Length Bucket],M30)/1000</f>
        <v/>
      </c>
      <c r="AB30" s="185">
        <f>IF((X30-Z30-AA30)&lt;0,0,(X30-Z30-AA30))</f>
        <v/>
      </c>
      <c r="AC30" s="185">
        <f>Y30-Z30-AA30</f>
        <v/>
      </c>
      <c r="AD30" s="267" t="n"/>
      <c r="AE30" s="185" t="n"/>
      <c r="AF30" s="185" t="n"/>
      <c r="AG30" s="185" t="n"/>
    </row>
    <row r="31" customFormat="1" s="45">
      <c r="A31" s="266" t="inlineStr">
        <is>
          <t>TVS</t>
        </is>
      </c>
      <c r="B31" s="156" t="inlineStr">
        <is>
          <t>RUCHA</t>
        </is>
      </c>
      <c r="C31" s="157" t="inlineStr">
        <is>
          <t>ERW1</t>
        </is>
      </c>
      <c r="D31" s="156" t="inlineStr">
        <is>
          <t>NON FIN</t>
        </is>
      </c>
      <c r="E31" s="156" t="inlineStr">
        <is>
          <t>ERW</t>
        </is>
      </c>
      <c r="F31" s="248" t="n">
        <v>25.4</v>
      </c>
      <c r="G31" s="248" t="n"/>
      <c r="H31" s="248" t="n">
        <v>2</v>
      </c>
      <c r="I31" s="156" t="n">
        <v>6050</v>
      </c>
      <c r="J31" s="156" t="n">
        <v>6.05</v>
      </c>
      <c r="K31" s="147">
        <f>_xlfn.CONCAT(F31,H31,J31,E31,D31)</f>
        <v/>
      </c>
      <c r="L31" s="147">
        <f>VLOOKUP(K31,'VSM May Indent'!$K$1:$O$61,4,0)</f>
        <v/>
      </c>
      <c r="M31" s="147">
        <f>VLOOKUP(K31,'VSM May Indent'!$K$1:$O$61,5,0)</f>
        <v/>
      </c>
      <c r="N31" s="251" t="inlineStr">
        <is>
          <t>0789</t>
        </is>
      </c>
      <c r="O31" s="200" t="inlineStr">
        <is>
          <t>MCR 42135</t>
        </is>
      </c>
      <c r="P31" s="246" t="n">
        <v>15</v>
      </c>
      <c r="Q31" s="156" t="n"/>
      <c r="R31" s="156" t="n"/>
      <c r="S31" s="156" t="n"/>
      <c r="T31" s="156" t="n"/>
      <c r="U31" s="301" t="n"/>
      <c r="V31" s="156" t="n"/>
      <c r="W31" s="246" t="n"/>
      <c r="X31" s="297" t="n">
        <v>15</v>
      </c>
      <c r="Y31" s="247">
        <f>X31+U31</f>
        <v/>
      </c>
      <c r="Z31" s="185">
        <f>SUMIFS(meghsteelsales_previousmonth[Quantity],meghsteelsales_previousmonth[Length Bucket],M31)/1000</f>
        <v/>
      </c>
      <c r="AA31" s="185">
        <f>SUMIFS(meghsteelsales_currentmonth[Quantity],meghsteelsales_currentmonth[Length Bucket],M31)/1000</f>
        <v/>
      </c>
      <c r="AB31" s="185">
        <f>IF((X31-Z31-AA31)&lt;0,0,(X31-Z31-AA31))</f>
        <v/>
      </c>
      <c r="AC31" s="185">
        <f>Y31-Z31-AA31</f>
        <v/>
      </c>
      <c r="AD31" s="267" t="n"/>
      <c r="AE31" s="292" t="n"/>
      <c r="AF31" s="292" t="n"/>
      <c r="AG31" s="292" t="n"/>
    </row>
    <row r="32">
      <c r="A32" s="265" t="inlineStr">
        <is>
          <t>TVS</t>
        </is>
      </c>
      <c r="B32" s="147" t="inlineStr">
        <is>
          <t>RUCHA</t>
        </is>
      </c>
      <c r="C32" s="153" t="inlineStr">
        <is>
          <t>ERW1</t>
        </is>
      </c>
      <c r="D32" s="147" t="inlineStr">
        <is>
          <t>NON FIN</t>
        </is>
      </c>
      <c r="E32" s="147" t="inlineStr">
        <is>
          <t>ERW</t>
        </is>
      </c>
      <c r="F32" s="148" t="n">
        <v>25.4</v>
      </c>
      <c r="G32" s="148" t="n"/>
      <c r="H32" s="148" t="n">
        <v>2.5</v>
      </c>
      <c r="I32" s="147" t="n">
        <v>5530</v>
      </c>
      <c r="J32" s="147" t="n">
        <v>5.53</v>
      </c>
      <c r="K32" s="147">
        <f>_xlfn.CONCAT(F32,H32,J32,E32,D32)</f>
        <v/>
      </c>
      <c r="L32" s="147">
        <f>VLOOKUP(K32,'VSM May Indent'!$K$1:$O$61,4,0)</f>
        <v/>
      </c>
      <c r="M32" s="147">
        <f>VLOOKUP(K32,'VSM May Indent'!$K$1:$O$61,5,0)</f>
        <v/>
      </c>
      <c r="N32" s="151" t="inlineStr">
        <is>
          <t>056</t>
        </is>
      </c>
      <c r="O32" s="150" t="n">
        <v>3502256</v>
      </c>
      <c r="P32" s="19" t="n">
        <v>50</v>
      </c>
      <c r="Q32" s="147" t="n">
        <v>10</v>
      </c>
      <c r="R32" s="147" t="n">
        <v>0</v>
      </c>
      <c r="S32" s="147" t="n">
        <v>13</v>
      </c>
      <c r="T32" s="147">
        <f>R32-Q32</f>
        <v/>
      </c>
      <c r="U32" s="301" t="n">
        <v>64</v>
      </c>
      <c r="V32" s="147">
        <f>U32+T32+S32</f>
        <v/>
      </c>
      <c r="W32" s="19">
        <f>P32*1.1-V32</f>
        <v/>
      </c>
      <c r="X32" s="297">
        <f>IF(W32&gt;0,W32,0)</f>
        <v/>
      </c>
      <c r="Y32" s="167">
        <f>X32+U32</f>
        <v/>
      </c>
      <c r="Z32" s="185">
        <f>SUMIFS(meghsteelsales_previousmonth[Quantity],meghsteelsales_previousmonth[Length Bucket],M32)/1000</f>
        <v/>
      </c>
      <c r="AA32" s="185">
        <f>SUMIFS(meghsteelsales_currentmonth[Quantity],meghsteelsales_currentmonth[Length Bucket],M32)/1000</f>
        <v/>
      </c>
      <c r="AB32" s="185">
        <f>IF((X32-Z32-AA32)&lt;0,0,(X32-Z32-AA32))</f>
        <v/>
      </c>
      <c r="AC32" s="185">
        <f>Y32-Z32-AA32</f>
        <v/>
      </c>
      <c r="AD32" s="267" t="n"/>
      <c r="AE32" s="185" t="inlineStr">
        <is>
          <t>order to be logged</t>
        </is>
      </c>
      <c r="AF32" s="185">
        <f>Table25[[#This Row],[OEM]]</f>
        <v/>
      </c>
      <c r="AG32" s="185">
        <f>Table25[[#This Row],[plant]]</f>
        <v/>
      </c>
    </row>
    <row r="33">
      <c r="A33" s="265" t="inlineStr">
        <is>
          <t>TVS</t>
        </is>
      </c>
      <c r="B33" s="147" t="inlineStr">
        <is>
          <t>RUCHA,METALMAN</t>
        </is>
      </c>
      <c r="C33" s="153" t="inlineStr">
        <is>
          <t>ERW1</t>
        </is>
      </c>
      <c r="D33" s="147" t="inlineStr">
        <is>
          <t>FIN CUT</t>
        </is>
      </c>
      <c r="E33" s="147" t="inlineStr">
        <is>
          <t>ERW</t>
        </is>
      </c>
      <c r="F33" s="148" t="n">
        <v>28.6</v>
      </c>
      <c r="G33" s="148" t="n"/>
      <c r="H33" s="148" t="n">
        <v>1.2</v>
      </c>
      <c r="I33" s="147" t="n">
        <v>6000</v>
      </c>
      <c r="J33" s="147" t="n">
        <v>6</v>
      </c>
      <c r="K33" s="147">
        <f>_xlfn.CONCAT(F33,H33,J33,E33,D33)</f>
        <v/>
      </c>
      <c r="L33" s="147">
        <f>VLOOKUP(K33,'VSM May Indent'!$K$1:$O$61,4,0)</f>
        <v/>
      </c>
      <c r="M33" s="147">
        <f>VLOOKUP(K33,'VSM May Indent'!$K$1:$O$61,5,0)</f>
        <v/>
      </c>
      <c r="N33" s="149" t="n"/>
      <c r="O33" s="150" t="n">
        <v>3702101</v>
      </c>
      <c r="P33" s="19" t="n">
        <v>3</v>
      </c>
      <c r="Q33" s="147" t="n"/>
      <c r="R33" s="147" t="n">
        <v>0</v>
      </c>
      <c r="S33" s="147" t="n"/>
      <c r="T33" s="147">
        <f>R33-Q33</f>
        <v/>
      </c>
      <c r="U33" s="301" t="n"/>
      <c r="V33" s="147">
        <f>U33+T33+S33</f>
        <v/>
      </c>
      <c r="W33" s="19">
        <f>P33*1.1-V33</f>
        <v/>
      </c>
      <c r="X33" s="297">
        <f>IF(W33&gt;0,W33,0)</f>
        <v/>
      </c>
      <c r="Y33" s="167">
        <f>X33+U33</f>
        <v/>
      </c>
      <c r="Z33" s="185">
        <f>SUMIFS(meghsteelsales_previousmonth[Quantity],meghsteelsales_previousmonth[Length Bucket],M33)/1000</f>
        <v/>
      </c>
      <c r="AA33" s="185">
        <f>SUMIFS(meghsteelsales_currentmonth[Quantity],meghsteelsales_currentmonth[Length Bucket],M33)/1000</f>
        <v/>
      </c>
      <c r="AB33" s="185">
        <f>IF((X33-Z33-AA33)&lt;0,0,(X33-Z33-AA33))</f>
        <v/>
      </c>
      <c r="AC33" s="185">
        <f>Y33-Z33-AA33</f>
        <v/>
      </c>
      <c r="AD33" s="267" t="n"/>
      <c r="AE33" s="185" t="n"/>
      <c r="AF33" s="185" t="n"/>
      <c r="AG33" s="185" t="n"/>
    </row>
    <row r="34">
      <c r="A34" s="265" t="inlineStr">
        <is>
          <t>TVS</t>
        </is>
      </c>
      <c r="B34" s="147" t="inlineStr">
        <is>
          <t>RUCHA</t>
        </is>
      </c>
      <c r="C34" s="159" t="inlineStr">
        <is>
          <t>CEW1</t>
        </is>
      </c>
      <c r="D34" s="147" t="inlineStr">
        <is>
          <t>FIN CUT</t>
        </is>
      </c>
      <c r="E34" s="147" t="inlineStr">
        <is>
          <t>CEW</t>
        </is>
      </c>
      <c r="F34" s="168" t="n">
        <v>28.6</v>
      </c>
      <c r="G34" s="168" t="n"/>
      <c r="H34" s="168" t="n">
        <v>2.65</v>
      </c>
      <c r="I34" s="169" t="n">
        <v>6000</v>
      </c>
      <c r="J34" s="147" t="n">
        <v>6</v>
      </c>
      <c r="K34" s="147">
        <f>_xlfn.CONCAT(F34,H34,J34,E34,D34)</f>
        <v/>
      </c>
      <c r="L34" s="147">
        <f>VLOOKUP(K34,'VSM May Indent'!$K$1:$O$61,4,0)</f>
        <v/>
      </c>
      <c r="M34" s="147">
        <f>VLOOKUP(K34,'VSM May Indent'!$K$1:$O$61,5,0)</f>
        <v/>
      </c>
      <c r="N34" s="151" t="inlineStr">
        <is>
          <t>0788</t>
        </is>
      </c>
      <c r="O34" s="150" t="n">
        <v>2410388</v>
      </c>
      <c r="P34" s="19" t="n">
        <v>10</v>
      </c>
      <c r="Q34" s="147" t="n">
        <v>2</v>
      </c>
      <c r="R34" s="147" t="n">
        <v>14</v>
      </c>
      <c r="S34" s="147" t="n"/>
      <c r="T34" s="147">
        <f>R34-Q34</f>
        <v/>
      </c>
      <c r="U34" s="147" t="n"/>
      <c r="V34" s="147">
        <f>U34+T34+S34</f>
        <v/>
      </c>
      <c r="W34" s="19">
        <f>P34*1.1-V34</f>
        <v/>
      </c>
      <c r="X34" s="167">
        <f>IF(W34&gt;0,W34,0)</f>
        <v/>
      </c>
      <c r="Y34" s="167">
        <f>X34+U34</f>
        <v/>
      </c>
      <c r="Z34" s="185">
        <f>SUMIFS(meghsteelsales_previousmonth[Quantity],meghsteelsales_previousmonth[Length Bucket],M34)/1000</f>
        <v/>
      </c>
      <c r="AA34" s="185">
        <f>SUMIFS(meghsteelsales_currentmonth[Quantity],meghsteelsales_currentmonth[Length Bucket],M34)/1000</f>
        <v/>
      </c>
      <c r="AB34" s="185">
        <f>IF((X34-Z34-AA34)&lt;0,0,(X34-Z34-AA34))</f>
        <v/>
      </c>
      <c r="AC34" s="185">
        <f>Y34-Z34-AA34</f>
        <v/>
      </c>
      <c r="AD34" s="267" t="n"/>
      <c r="AE34" s="185" t="n"/>
      <c r="AF34" s="185" t="n"/>
      <c r="AG34" s="185" t="n"/>
    </row>
    <row r="35">
      <c r="A35" s="265" t="inlineStr">
        <is>
          <t>TVS</t>
        </is>
      </c>
      <c r="B35" s="147" t="inlineStr">
        <is>
          <t>RUCHA,METALMAN</t>
        </is>
      </c>
      <c r="C35" s="153" t="inlineStr">
        <is>
          <t>ERW1</t>
        </is>
      </c>
      <c r="D35" s="147" t="inlineStr">
        <is>
          <t>FIN CUT</t>
        </is>
      </c>
      <c r="E35" s="147" t="inlineStr">
        <is>
          <t>ERW</t>
        </is>
      </c>
      <c r="F35" s="148" t="n">
        <v>31.75</v>
      </c>
      <c r="G35" s="148" t="n"/>
      <c r="H35" s="148" t="n">
        <v>1.2</v>
      </c>
      <c r="I35" s="147" t="n">
        <v>6000</v>
      </c>
      <c r="J35" s="147" t="n">
        <v>6</v>
      </c>
      <c r="K35" s="147">
        <f>_xlfn.CONCAT(F35,H35,J35,E35,D35)</f>
        <v/>
      </c>
      <c r="L35" s="147">
        <f>VLOOKUP(K35,'VSM May Indent'!$K$1:$O$61,4,0)</f>
        <v/>
      </c>
      <c r="M35" s="147">
        <f>VLOOKUP(K35,'VSM May Indent'!$K$1:$O$61,5,0)</f>
        <v/>
      </c>
      <c r="N35" s="151" t="inlineStr">
        <is>
          <t>056</t>
        </is>
      </c>
      <c r="O35" s="150" t="n">
        <v>3884381</v>
      </c>
      <c r="P35" s="19" t="n">
        <v>3</v>
      </c>
      <c r="Q35" s="147" t="n"/>
      <c r="R35" s="147" t="n">
        <v>0</v>
      </c>
      <c r="S35" s="147" t="n"/>
      <c r="T35" s="147">
        <f>R35-Q35</f>
        <v/>
      </c>
      <c r="U35" s="301" t="n">
        <v>3</v>
      </c>
      <c r="V35" s="147">
        <f>U35+T35+S35</f>
        <v/>
      </c>
      <c r="W35" s="19">
        <f>P35*1.1-V35</f>
        <v/>
      </c>
      <c r="X35" s="297">
        <f>IF(W35&gt;0,W35,0)</f>
        <v/>
      </c>
      <c r="Y35" s="167">
        <f>X35+U35</f>
        <v/>
      </c>
      <c r="Z35" s="185">
        <f>SUMIFS(meghsteelsales_previousmonth[Quantity],meghsteelsales_previousmonth[Length Bucket],M35)/1000</f>
        <v/>
      </c>
      <c r="AA35" s="185">
        <f>SUMIFS(meghsteelsales_currentmonth[Quantity],meghsteelsales_currentmonth[Length Bucket],M35)/1000</f>
        <v/>
      </c>
      <c r="AB35" s="185">
        <f>IF((X35-Z35-AA35)&lt;0,0,(X35-Z35-AA35))</f>
        <v/>
      </c>
      <c r="AC35" s="185">
        <f>Y35-Z35-AA35</f>
        <v/>
      </c>
      <c r="AD35" s="267" t="n"/>
      <c r="AE35" s="185" t="inlineStr">
        <is>
          <t>order to be logged</t>
        </is>
      </c>
      <c r="AF35" s="185">
        <f>Table25[[#This Row],[OEM]]</f>
        <v/>
      </c>
      <c r="AG35" s="185">
        <f>Table25[[#This Row],[plant]]</f>
        <v/>
      </c>
    </row>
    <row r="36">
      <c r="A36" s="265" t="inlineStr">
        <is>
          <t>TVS</t>
        </is>
      </c>
      <c r="B36" s="147" t="inlineStr">
        <is>
          <t>RUCHA</t>
        </is>
      </c>
      <c r="C36" s="153" t="inlineStr">
        <is>
          <t>ERW1</t>
        </is>
      </c>
      <c r="D36" s="147" t="inlineStr">
        <is>
          <t>FIN CUT</t>
        </is>
      </c>
      <c r="E36" s="147" t="inlineStr">
        <is>
          <t>ERW</t>
        </is>
      </c>
      <c r="F36" s="148" t="n">
        <v>31.75</v>
      </c>
      <c r="G36" s="148" t="n"/>
      <c r="H36" s="148" t="n">
        <v>2.3</v>
      </c>
      <c r="I36" s="147" t="n">
        <v>6000</v>
      </c>
      <c r="J36" s="147" t="n">
        <v>6</v>
      </c>
      <c r="K36" s="147">
        <f>_xlfn.CONCAT(F36,H36,J36,E36,D36)</f>
        <v/>
      </c>
      <c r="L36" s="147">
        <f>VLOOKUP(K36,'VSM May Indent'!$K$1:$O$61,4,0)</f>
        <v/>
      </c>
      <c r="M36" s="147">
        <f>VLOOKUP(K36,'VSM May Indent'!$K$1:$O$61,5,0)</f>
        <v/>
      </c>
      <c r="N36" s="158" t="inlineStr">
        <is>
          <t>056</t>
        </is>
      </c>
      <c r="O36" s="150" t="n">
        <v>3500081</v>
      </c>
      <c r="P36" s="19" t="n">
        <v>0</v>
      </c>
      <c r="Q36" s="147" t="n">
        <v>3</v>
      </c>
      <c r="R36" s="147" t="n">
        <v>16</v>
      </c>
      <c r="S36" s="147" t="n"/>
      <c r="T36" s="147">
        <f>R36-Q36</f>
        <v/>
      </c>
      <c r="U36" s="301" t="n">
        <v>21</v>
      </c>
      <c r="V36" s="147">
        <f>U36+T36+S36</f>
        <v/>
      </c>
      <c r="W36" s="19">
        <f>P36*1.1-V36</f>
        <v/>
      </c>
      <c r="X36" s="297">
        <f>IF(W36&gt;0,W36,0)</f>
        <v/>
      </c>
      <c r="Y36" s="167">
        <f>X36+U36</f>
        <v/>
      </c>
      <c r="Z36" s="185">
        <f>SUMIFS(meghsteelsales_previousmonth[Quantity],meghsteelsales_previousmonth[Length Bucket],M36)/1000</f>
        <v/>
      </c>
      <c r="AA36" s="185">
        <f>SUMIFS(meghsteelsales_currentmonth[Quantity],meghsteelsales_currentmonth[Length Bucket],M36)/1000</f>
        <v/>
      </c>
      <c r="AB36" s="185">
        <f>IF((X36-Z36-AA36)&lt;0,0,(X36-Z36-AA36))</f>
        <v/>
      </c>
      <c r="AC36" s="185">
        <f>Y36-Z36-AA36</f>
        <v/>
      </c>
      <c r="AD36" s="267" t="n"/>
      <c r="AE36" s="185" t="inlineStr">
        <is>
          <t>order to be logged</t>
        </is>
      </c>
      <c r="AF36" s="185">
        <f>Table25[[#This Row],[OEM]]</f>
        <v/>
      </c>
      <c r="AG36" s="185">
        <f>Table25[[#This Row],[plant]]</f>
        <v/>
      </c>
    </row>
    <row r="37" customFormat="1" s="45">
      <c r="A37" s="266" t="inlineStr">
        <is>
          <t>TVS</t>
        </is>
      </c>
      <c r="B37" s="156" t="inlineStr">
        <is>
          <t>RUCHA</t>
        </is>
      </c>
      <c r="C37" s="157" t="inlineStr">
        <is>
          <t>ERW1</t>
        </is>
      </c>
      <c r="D37" s="156" t="inlineStr">
        <is>
          <t>FIN CUT</t>
        </is>
      </c>
      <c r="E37" s="156" t="inlineStr">
        <is>
          <t>ERW</t>
        </is>
      </c>
      <c r="F37" s="248" t="n">
        <v>31.75</v>
      </c>
      <c r="G37" s="248" t="n"/>
      <c r="H37" s="248" t="n">
        <v>2.3</v>
      </c>
      <c r="I37" s="156" t="n">
        <v>5920</v>
      </c>
      <c r="J37" s="156" t="n">
        <v>5.92</v>
      </c>
      <c r="K37" s="147">
        <f>_xlfn.CONCAT(F37,H37,J37,E37,D37)</f>
        <v/>
      </c>
      <c r="L37" s="147">
        <f>VLOOKUP(K37,'VSM May Indent'!$K$1:$O$61,4,0)</f>
        <v/>
      </c>
      <c r="M37" s="147">
        <f>VLOOKUP(K37,'VSM May Indent'!$K$1:$O$61,5,0)</f>
        <v/>
      </c>
      <c r="N37" s="251" t="inlineStr">
        <is>
          <t>0789</t>
        </is>
      </c>
      <c r="O37" s="245" t="inlineStr">
        <is>
          <t>MCR 42136</t>
        </is>
      </c>
      <c r="P37" s="246" t="n">
        <v>15</v>
      </c>
      <c r="Q37" s="156" t="n"/>
      <c r="R37" s="156" t="n"/>
      <c r="S37" s="156" t="n"/>
      <c r="T37" s="156" t="n"/>
      <c r="U37" s="301" t="n"/>
      <c r="V37" s="156" t="n"/>
      <c r="W37" s="246" t="n"/>
      <c r="X37" s="297" t="n">
        <v>15</v>
      </c>
      <c r="Y37" s="247">
        <f>X37+U37</f>
        <v/>
      </c>
      <c r="Z37" s="185">
        <f>SUMIFS(meghsteelsales_previousmonth[Quantity],meghsteelsales_previousmonth[Length Bucket],M37)/1000</f>
        <v/>
      </c>
      <c r="AA37" s="185">
        <f>SUMIFS(meghsteelsales_currentmonth[Quantity],meghsteelsales_currentmonth[Length Bucket],M37)/1000</f>
        <v/>
      </c>
      <c r="AB37" s="185">
        <f>IF((X37-Z37-AA37)&lt;0,0,(X37-Z37-AA37))</f>
        <v/>
      </c>
      <c r="AC37" s="185">
        <f>Y37-Z37-AA37</f>
        <v/>
      </c>
      <c r="AD37" s="267" t="n"/>
      <c r="AE37" s="292" t="n"/>
      <c r="AF37" s="292" t="n"/>
      <c r="AG37" s="292" t="n"/>
    </row>
    <row r="38">
      <c r="A38" s="265" t="n">
        <v>0</v>
      </c>
      <c r="B38" s="147" t="inlineStr">
        <is>
          <t>RUCHA,METALMAN</t>
        </is>
      </c>
      <c r="C38" s="153" t="inlineStr">
        <is>
          <t>ERW1</t>
        </is>
      </c>
      <c r="D38" s="147" t="inlineStr">
        <is>
          <t>FIN CUT</t>
        </is>
      </c>
      <c r="E38" s="147" t="inlineStr">
        <is>
          <t>ERW</t>
        </is>
      </c>
      <c r="F38" s="148" t="n">
        <v>34.93</v>
      </c>
      <c r="G38" s="148" t="n"/>
      <c r="H38" s="148" t="n">
        <v>1.2</v>
      </c>
      <c r="I38" s="147" t="n">
        <v>6000</v>
      </c>
      <c r="J38" s="147" t="n">
        <v>6</v>
      </c>
      <c r="K38" s="147">
        <f>_xlfn.CONCAT(F38,H38,J38,E38,D38)</f>
        <v/>
      </c>
      <c r="L38" s="147">
        <f>VLOOKUP(K38,'VSM May Indent'!$K$1:$O$61,4,0)</f>
        <v/>
      </c>
      <c r="M38" s="147">
        <f>VLOOKUP(K38,'VSM May Indent'!$K$1:$O$61,5,0)</f>
        <v/>
      </c>
      <c r="N38" s="149" t="n"/>
      <c r="O38" s="150" t="n">
        <v>1940701</v>
      </c>
      <c r="P38" s="19" t="n">
        <v>3</v>
      </c>
      <c r="Q38" s="147" t="n"/>
      <c r="R38" s="147" t="n">
        <v>12</v>
      </c>
      <c r="S38" s="147" t="n"/>
      <c r="T38" s="147">
        <f>R38-Q38</f>
        <v/>
      </c>
      <c r="U38" s="147" t="n"/>
      <c r="V38" s="147">
        <f>U38+T38+S38</f>
        <v/>
      </c>
      <c r="W38" s="19">
        <f>P38*1.1-V38</f>
        <v/>
      </c>
      <c r="X38" s="167">
        <f>IF(W38&gt;0,W38,0)</f>
        <v/>
      </c>
      <c r="Y38" s="167">
        <f>X38+U38</f>
        <v/>
      </c>
      <c r="Z38" s="185">
        <f>SUMIFS(meghsteelsales_previousmonth[Quantity],meghsteelsales_previousmonth[Length Bucket],M38)/1000</f>
        <v/>
      </c>
      <c r="AA38" s="185">
        <f>SUMIFS(meghsteelsales_currentmonth[Quantity],meghsteelsales_currentmonth[Length Bucket],M38)/1000</f>
        <v/>
      </c>
      <c r="AB38" s="185">
        <f>IF((X38-Z38-AA38)&lt;0,0,(X38-Z38-AA38))</f>
        <v/>
      </c>
      <c r="AC38" s="185">
        <f>Y38-Z38-AA38</f>
        <v/>
      </c>
      <c r="AD38" s="267" t="n"/>
      <c r="AE38" s="185" t="n"/>
      <c r="AF38" s="185" t="n"/>
      <c r="AG38" s="185" t="n"/>
    </row>
    <row r="39">
      <c r="A39" s="265" t="inlineStr">
        <is>
          <t>RE</t>
        </is>
      </c>
      <c r="B39" s="147" t="inlineStr">
        <is>
          <t>BELRISE</t>
        </is>
      </c>
      <c r="C39" s="153" t="inlineStr">
        <is>
          <t>ERW1</t>
        </is>
      </c>
      <c r="D39" s="147" t="inlineStr">
        <is>
          <t>FIN CUT</t>
        </is>
      </c>
      <c r="E39" s="147" t="inlineStr">
        <is>
          <t>ERW</t>
        </is>
      </c>
      <c r="F39" s="148" t="n">
        <v>34.93</v>
      </c>
      <c r="G39" s="148" t="n"/>
      <c r="H39" s="148" t="n">
        <v>1.2</v>
      </c>
      <c r="I39" s="147" t="n">
        <v>620</v>
      </c>
      <c r="J39" s="147" t="n">
        <v>0.62</v>
      </c>
      <c r="K39" s="147">
        <f>_xlfn.CONCAT(F39,H39,J39,E39,D39)</f>
        <v/>
      </c>
      <c r="L39" s="147">
        <f>VLOOKUP(K39,'VSM May Indent'!$K$1:$O$61,4,0)</f>
        <v/>
      </c>
      <c r="M39" s="147">
        <f>VLOOKUP(K39,'VSM May Indent'!$K$1:$O$61,5,0)</f>
        <v/>
      </c>
      <c r="N39" s="151" t="inlineStr">
        <is>
          <t>0789</t>
        </is>
      </c>
      <c r="O39" s="150" t="n">
        <v>2397073</v>
      </c>
      <c r="P39" s="19" t="n">
        <v>10</v>
      </c>
      <c r="Q39" s="147" t="n"/>
      <c r="R39" s="147" t="n">
        <v>0</v>
      </c>
      <c r="S39" s="147" t="n"/>
      <c r="T39" s="147">
        <f>R39-Q39</f>
        <v/>
      </c>
      <c r="U39" s="301" t="n"/>
      <c r="V39" s="147">
        <f>U39+T39+S39</f>
        <v/>
      </c>
      <c r="W39" s="19">
        <f>P39*1.1-V39</f>
        <v/>
      </c>
      <c r="X39" s="297">
        <f>IF(W39&gt;0,W39,0)</f>
        <v/>
      </c>
      <c r="Y39" s="167">
        <f>X39+U39</f>
        <v/>
      </c>
      <c r="Z39" s="185">
        <f>SUMIFS(meghsteelsales_previousmonth[Quantity],meghsteelsales_previousmonth[Length Bucket],M39)/1000</f>
        <v/>
      </c>
      <c r="AA39" s="185">
        <f>SUMIFS(meghsteelsales_currentmonth[Quantity],meghsteelsales_currentmonth[Length Bucket],M39)/1000</f>
        <v/>
      </c>
      <c r="AB39" s="185">
        <f>IF((X39-Z39-AA39)&lt;0,0,(X39-Z39-AA39))</f>
        <v/>
      </c>
      <c r="AC39" s="185">
        <f>Y39-Z39-AA39</f>
        <v/>
      </c>
      <c r="AD39" s="267" t="n"/>
      <c r="AE39" s="185" t="n"/>
      <c r="AF39" s="185" t="n"/>
      <c r="AG39" s="185" t="n"/>
    </row>
    <row r="40">
      <c r="A40" s="265" t="inlineStr">
        <is>
          <t>RE</t>
        </is>
      </c>
      <c r="B40" s="147" t="inlineStr">
        <is>
          <t>RAJSRIYA</t>
        </is>
      </c>
      <c r="C40" s="153" t="inlineStr">
        <is>
          <t>ERW1</t>
        </is>
      </c>
      <c r="D40" s="147" t="inlineStr">
        <is>
          <t>FIN CUT</t>
        </is>
      </c>
      <c r="E40" s="147" t="inlineStr">
        <is>
          <t>ERW</t>
        </is>
      </c>
      <c r="F40" s="148" t="n">
        <v>34.93</v>
      </c>
      <c r="G40" s="148" t="n"/>
      <c r="H40" s="148" t="n">
        <v>1.2</v>
      </c>
      <c r="I40" s="147" t="n">
        <v>700</v>
      </c>
      <c r="J40" s="147" t="n">
        <v>0.7</v>
      </c>
      <c r="K40" s="147">
        <f>_xlfn.CONCAT(F40,H40,J40,E40,D40)</f>
        <v/>
      </c>
      <c r="L40" s="147">
        <f>VLOOKUP(K40,'VSM May Indent'!$K$1:$O$61,4,0)</f>
        <v/>
      </c>
      <c r="M40" s="147">
        <f>VLOOKUP(K40,'VSM May Indent'!$K$1:$O$61,5,0)</f>
        <v/>
      </c>
      <c r="N40" s="151" t="inlineStr">
        <is>
          <t>0789</t>
        </is>
      </c>
      <c r="O40" s="150" t="n">
        <v>3649699</v>
      </c>
      <c r="P40" s="19" t="n">
        <v>10</v>
      </c>
      <c r="Q40" s="147" t="n"/>
      <c r="R40" s="147" t="n">
        <v>0</v>
      </c>
      <c r="S40" s="147" t="n"/>
      <c r="T40" s="147">
        <f>R40-Q40</f>
        <v/>
      </c>
      <c r="U40" s="301" t="n"/>
      <c r="V40" s="147">
        <f>U40+T40+S40</f>
        <v/>
      </c>
      <c r="W40" s="19">
        <f>P40*1.1-V40</f>
        <v/>
      </c>
      <c r="X40" s="297">
        <f>IF(W40&gt;0,W40,0)</f>
        <v/>
      </c>
      <c r="Y40" s="167">
        <f>X40+U40</f>
        <v/>
      </c>
      <c r="Z40" s="185">
        <f>SUMIFS(meghsteelsales_previousmonth[Quantity],meghsteelsales_previousmonth[Length Bucket],M40)/1000</f>
        <v/>
      </c>
      <c r="AA40" s="185">
        <f>SUMIFS(meghsteelsales_currentmonth[Quantity],meghsteelsales_currentmonth[Length Bucket],M40)/1000</f>
        <v/>
      </c>
      <c r="AB40" s="185">
        <f>IF((X40-Z40-AA40)&lt;0,0,(X40-Z40-AA40))</f>
        <v/>
      </c>
      <c r="AC40" s="185">
        <f>Y40-Z40-AA40</f>
        <v/>
      </c>
      <c r="AD40" s="267" t="n"/>
      <c r="AE40" s="185" t="n"/>
      <c r="AF40" s="185" t="n"/>
      <c r="AG40" s="185" t="n"/>
    </row>
    <row r="41">
      <c r="A41" s="265" t="inlineStr">
        <is>
          <t>HMSI</t>
        </is>
      </c>
      <c r="B41" s="147" t="inlineStr">
        <is>
          <t>BADVE</t>
        </is>
      </c>
      <c r="C41" s="155" t="inlineStr">
        <is>
          <t>ERW2</t>
        </is>
      </c>
      <c r="D41" s="147" t="inlineStr">
        <is>
          <t>FIN CUT</t>
        </is>
      </c>
      <c r="E41" s="147" t="inlineStr">
        <is>
          <t>ERW</t>
        </is>
      </c>
      <c r="F41" s="154" t="n">
        <v>34</v>
      </c>
      <c r="G41" s="154" t="n"/>
      <c r="H41" s="154" t="n">
        <v>1.4</v>
      </c>
      <c r="I41" s="155" t="n">
        <v>5660</v>
      </c>
      <c r="J41" s="147" t="n">
        <v>5.66</v>
      </c>
      <c r="K41" s="147">
        <f>_xlfn.CONCAT(F41,H41,J41,E41,D41)</f>
        <v/>
      </c>
      <c r="L41" s="147">
        <f>VLOOKUP(K41,'VSM May Indent'!$K$1:$O$61,4,0)</f>
        <v/>
      </c>
      <c r="M41" s="147">
        <f>VLOOKUP(K41,'VSM May Indent'!$K$1:$O$61,5,0)</f>
        <v/>
      </c>
      <c r="N41" s="151" t="inlineStr">
        <is>
          <t>0788</t>
        </is>
      </c>
      <c r="O41" s="150" t="n">
        <v>3702855</v>
      </c>
      <c r="P41" s="19" t="n">
        <v>0</v>
      </c>
      <c r="Q41" s="147" t="n"/>
      <c r="R41" s="147" t="n">
        <v>0</v>
      </c>
      <c r="S41" s="147" t="n"/>
      <c r="T41" s="147">
        <f>R41-Q41</f>
        <v/>
      </c>
      <c r="U41" s="147" t="n"/>
      <c r="V41" s="147">
        <f>U41+T41+S41</f>
        <v/>
      </c>
      <c r="W41" s="19">
        <f>P41*1.1-V41</f>
        <v/>
      </c>
      <c r="X41" s="167">
        <f>IF(W41&gt;0,W41,0)</f>
        <v/>
      </c>
      <c r="Y41" s="167">
        <f>X41+U41</f>
        <v/>
      </c>
      <c r="Z41" s="185">
        <f>SUMIFS(meghsteelsales_previousmonth[Quantity],meghsteelsales_previousmonth[Length Bucket],M41)/1000</f>
        <v/>
      </c>
      <c r="AA41" s="185">
        <f>SUMIFS(meghsteelsales_currentmonth[Quantity],meghsteelsales_currentmonth[Length Bucket],M41)/1000</f>
        <v/>
      </c>
      <c r="AB41" s="185">
        <f>IF((X41-Z41-AA41)&lt;0,0,(X41-Z41-AA41))</f>
        <v/>
      </c>
      <c r="AC41" s="185">
        <f>Y41-Z41-AA41</f>
        <v/>
      </c>
      <c r="AD41" s="267" t="n"/>
      <c r="AE41" s="185" t="n"/>
      <c r="AF41" s="185" t="n"/>
      <c r="AG41" s="185" t="n"/>
    </row>
    <row r="42">
      <c r="A42" s="265" t="inlineStr">
        <is>
          <t>TVS</t>
        </is>
      </c>
      <c r="B42" s="147" t="inlineStr">
        <is>
          <t>RUCHA,METALMAN</t>
        </is>
      </c>
      <c r="C42" s="153" t="inlineStr">
        <is>
          <t>ERW370</t>
        </is>
      </c>
      <c r="D42" s="147" t="inlineStr">
        <is>
          <t>FIN CUT</t>
        </is>
      </c>
      <c r="E42" s="147" t="inlineStr">
        <is>
          <t>HST</t>
        </is>
      </c>
      <c r="F42" s="148" t="n">
        <v>38.1</v>
      </c>
      <c r="G42" s="148" t="n"/>
      <c r="H42" s="148" t="n">
        <v>1.6</v>
      </c>
      <c r="I42" s="147" t="n">
        <v>6190</v>
      </c>
      <c r="J42" s="147" t="n">
        <v>6.19</v>
      </c>
      <c r="K42" s="147">
        <f>_xlfn.CONCAT(F42,H42,J42,E42,D42)</f>
        <v/>
      </c>
      <c r="L42" s="147">
        <f>VLOOKUP(K42,'VSM May Indent'!$K$1:$O$61,4,0)</f>
        <v/>
      </c>
      <c r="M42" s="147">
        <f>VLOOKUP(K42,'VSM May Indent'!$K$1:$O$61,5,0)</f>
        <v/>
      </c>
      <c r="N42" s="151" t="inlineStr">
        <is>
          <t>056</t>
        </is>
      </c>
      <c r="O42" s="150" t="n">
        <v>3502254</v>
      </c>
      <c r="P42" s="19" t="n">
        <v>40</v>
      </c>
      <c r="Q42" s="147" t="n">
        <v>20</v>
      </c>
      <c r="R42" s="147" t="n">
        <v>30</v>
      </c>
      <c r="S42" s="147" t="n"/>
      <c r="T42" s="147">
        <f>R42-Q42</f>
        <v/>
      </c>
      <c r="U42" s="301" t="n">
        <v>1</v>
      </c>
      <c r="V42" s="147">
        <f>U42+T42+S42</f>
        <v/>
      </c>
      <c r="W42" s="19">
        <f>P42*1.1-V42</f>
        <v/>
      </c>
      <c r="X42" s="297">
        <f>IF(W42&gt;0,W42,0)</f>
        <v/>
      </c>
      <c r="Y42" s="167">
        <f>X42+U42</f>
        <v/>
      </c>
      <c r="Z42" s="185">
        <f>SUMIFS(meghsteelsales_previousmonth[Quantity],meghsteelsales_previousmonth[Length Bucket],M42)/1000</f>
        <v/>
      </c>
      <c r="AA42" s="185">
        <f>SUMIFS(meghsteelsales_currentmonth[Quantity],meghsteelsales_currentmonth[Length Bucket],M42)/1000</f>
        <v/>
      </c>
      <c r="AB42" s="185">
        <f>IF((X42-Z42-AA42)&lt;0,0,(X42-Z42-AA42))</f>
        <v/>
      </c>
      <c r="AC42" s="185">
        <f>Y42-Z42-AA42</f>
        <v/>
      </c>
      <c r="AD42" s="267" t="n">
        <v>33</v>
      </c>
      <c r="AE42" s="260" t="n">
        <v>9518796894</v>
      </c>
      <c r="AF42" s="185" t="n"/>
      <c r="AG42" s="185" t="n"/>
    </row>
    <row r="43">
      <c r="A43" s="265" t="inlineStr">
        <is>
          <t>TVS</t>
        </is>
      </c>
      <c r="B43" s="147" t="inlineStr">
        <is>
          <t>RUCHA,METALMAN</t>
        </is>
      </c>
      <c r="C43" s="153" t="inlineStr">
        <is>
          <t>ERW1</t>
        </is>
      </c>
      <c r="D43" s="147" t="inlineStr">
        <is>
          <t>FIN CUT</t>
        </is>
      </c>
      <c r="E43" s="147" t="inlineStr">
        <is>
          <t>ERW</t>
        </is>
      </c>
      <c r="F43" s="148" t="n">
        <v>38.1</v>
      </c>
      <c r="G43" s="148" t="n"/>
      <c r="H43" s="148" t="n">
        <v>2</v>
      </c>
      <c r="I43" s="147" t="n">
        <v>5650</v>
      </c>
      <c r="J43" s="147" t="n">
        <v>5.65</v>
      </c>
      <c r="K43" s="147">
        <f>_xlfn.CONCAT(F43,H43,J43,E43,D43)</f>
        <v/>
      </c>
      <c r="L43" s="147">
        <f>VLOOKUP(K43,'VSM May Indent'!$K$1:$O$61,4,0)</f>
        <v/>
      </c>
      <c r="M43" s="147">
        <f>VLOOKUP(K43,'VSM May Indent'!$K$1:$O$61,5,0)</f>
        <v/>
      </c>
      <c r="N43" s="151" t="inlineStr">
        <is>
          <t>056</t>
        </is>
      </c>
      <c r="O43" s="150" t="n">
        <v>3500959</v>
      </c>
      <c r="P43" s="19" t="n">
        <v>0</v>
      </c>
      <c r="Q43" s="147" t="n">
        <v>7</v>
      </c>
      <c r="R43" s="147" t="n">
        <v>15</v>
      </c>
      <c r="S43" s="147" t="n"/>
      <c r="T43" s="147">
        <f>R43-Q43</f>
        <v/>
      </c>
      <c r="U43" s="301" t="n">
        <v>11</v>
      </c>
      <c r="V43" s="147">
        <f>U43+T43+S43</f>
        <v/>
      </c>
      <c r="W43" s="19">
        <f>P43*1.1-V43</f>
        <v/>
      </c>
      <c r="X43" s="297">
        <f>IF(W43&gt;0,W43,0)</f>
        <v/>
      </c>
      <c r="Y43" s="167">
        <f>X43+U43</f>
        <v/>
      </c>
      <c r="Z43" s="185">
        <f>SUMIFS(meghsteelsales_previousmonth[Quantity],meghsteelsales_previousmonth[Length Bucket],M43)/1000</f>
        <v/>
      </c>
      <c r="AA43" s="185">
        <f>SUMIFS(meghsteelsales_currentmonth[Quantity],meghsteelsales_currentmonth[Length Bucket],M43)/1000</f>
        <v/>
      </c>
      <c r="AB43" s="185">
        <f>IF((X43-Z43-AA43)&lt;0,0,(X43-Z43-AA43))</f>
        <v/>
      </c>
      <c r="AC43" s="185">
        <f>Y43-Z43-AA43</f>
        <v/>
      </c>
      <c r="AD43" s="267" t="n"/>
      <c r="AE43" s="185" t="inlineStr">
        <is>
          <t>order to be logged</t>
        </is>
      </c>
      <c r="AF43" s="185">
        <f>Table25[[#This Row],[OEM]]</f>
        <v/>
      </c>
      <c r="AG43" s="185">
        <f>Table25[[#This Row],[plant]]</f>
        <v/>
      </c>
    </row>
    <row r="44" customFormat="1" s="45">
      <c r="A44" s="266" t="inlineStr">
        <is>
          <t>TVS</t>
        </is>
      </c>
      <c r="B44" s="156" t="inlineStr">
        <is>
          <t>RUCHA,METALMAN</t>
        </is>
      </c>
      <c r="C44" s="157" t="inlineStr">
        <is>
          <t>ERW1</t>
        </is>
      </c>
      <c r="D44" s="156" t="inlineStr">
        <is>
          <t>FIN CUT</t>
        </is>
      </c>
      <c r="E44" s="156" t="inlineStr">
        <is>
          <t>ERW</t>
        </is>
      </c>
      <c r="F44" s="248" t="n">
        <v>38.1</v>
      </c>
      <c r="G44" s="248" t="n"/>
      <c r="H44" s="248" t="n">
        <v>2</v>
      </c>
      <c r="I44" s="156" t="n">
        <v>5950</v>
      </c>
      <c r="J44" s="156" t="n">
        <v>5.95</v>
      </c>
      <c r="K44" s="147">
        <f>_xlfn.CONCAT(F44,H44,J44,E44,D44)</f>
        <v/>
      </c>
      <c r="L44" s="147">
        <f>VLOOKUP(K44,'VSM May Indent'!$K$1:$O$61,4,0)</f>
        <v/>
      </c>
      <c r="M44" s="147">
        <f>VLOOKUP(K44,'VSM May Indent'!$K$1:$O$61,5,0)</f>
        <v/>
      </c>
      <c r="N44" s="250" t="inlineStr">
        <is>
          <t>0789</t>
        </is>
      </c>
      <c r="O44" s="245" t="n">
        <v>3533165</v>
      </c>
      <c r="P44" s="246" t="n">
        <v>25</v>
      </c>
      <c r="Q44" s="156" t="n"/>
      <c r="R44" s="156" t="n"/>
      <c r="S44" s="156" t="n"/>
      <c r="T44" s="156" t="n"/>
      <c r="U44" s="301" t="n"/>
      <c r="V44" s="156" t="n"/>
      <c r="W44" s="246" t="n"/>
      <c r="X44" s="297" t="n">
        <v>25</v>
      </c>
      <c r="Y44" s="247">
        <f>X44+U44</f>
        <v/>
      </c>
      <c r="Z44" s="185">
        <f>SUMIFS(meghsteelsales_previousmonth[Quantity],meghsteelsales_previousmonth[Length Bucket],M44)/1000</f>
        <v/>
      </c>
      <c r="AA44" s="185">
        <f>SUMIFS(meghsteelsales_currentmonth[Quantity],meghsteelsales_currentmonth[Length Bucket],M44)/1000</f>
        <v/>
      </c>
      <c r="AB44" s="185">
        <f>IF((X44-Z44-AA44)&lt;0,0,(X44-Z44-AA44))</f>
        <v/>
      </c>
      <c r="AC44" s="185">
        <f>Y44-Z44-AA44</f>
        <v/>
      </c>
      <c r="AD44" s="267" t="n">
        <v>25</v>
      </c>
      <c r="AE44" s="292" t="n">
        <v>9518796938</v>
      </c>
      <c r="AF44" s="292" t="n"/>
      <c r="AG44" s="292" t="n"/>
    </row>
    <row r="45">
      <c r="A45" s="265" t="inlineStr">
        <is>
          <t>TVS</t>
        </is>
      </c>
      <c r="B45" s="147" t="inlineStr">
        <is>
          <t>RUCHA,METALMAN</t>
        </is>
      </c>
      <c r="C45" s="153" t="inlineStr">
        <is>
          <t>ERW2</t>
        </is>
      </c>
      <c r="D45" s="147" t="inlineStr">
        <is>
          <t>FIN CUT</t>
        </is>
      </c>
      <c r="E45" s="147" t="inlineStr">
        <is>
          <t>HST</t>
        </is>
      </c>
      <c r="F45" s="148" t="n">
        <v>38.1</v>
      </c>
      <c r="G45" s="148" t="n"/>
      <c r="H45" s="148" t="n">
        <v>2.5</v>
      </c>
      <c r="I45" s="147" t="n">
        <v>6190</v>
      </c>
      <c r="J45" s="147" t="n">
        <v>6.19</v>
      </c>
      <c r="K45" s="147">
        <f>_xlfn.CONCAT(F45,H45,J45,E45,D45)</f>
        <v/>
      </c>
      <c r="L45" s="147">
        <f>VLOOKUP(K45,'VSM May Indent'!$K$1:$O$61,4,0)</f>
        <v/>
      </c>
      <c r="M45" s="147">
        <f>VLOOKUP(K45,'VSM May Indent'!$K$1:$O$61,5,0)</f>
        <v/>
      </c>
      <c r="N45" s="151" t="inlineStr">
        <is>
          <t>056</t>
        </is>
      </c>
      <c r="O45" s="150" t="n">
        <v>3502007</v>
      </c>
      <c r="P45" s="19" t="n">
        <v>50</v>
      </c>
      <c r="Q45" s="147" t="n">
        <v>25</v>
      </c>
      <c r="R45" s="147" t="n">
        <v>25</v>
      </c>
      <c r="S45" s="147" t="n"/>
      <c r="T45" s="147">
        <f>R45-Q45</f>
        <v/>
      </c>
      <c r="U45" s="301" t="n">
        <v>59</v>
      </c>
      <c r="V45" s="147">
        <f>U45+T45+S45</f>
        <v/>
      </c>
      <c r="W45" s="19">
        <f>P45*1.1-V45</f>
        <v/>
      </c>
      <c r="X45" s="297">
        <f>IF(W45&gt;0,W45,0)</f>
        <v/>
      </c>
      <c r="Y45" s="167">
        <f>X45+U45</f>
        <v/>
      </c>
      <c r="Z45" s="185">
        <f>SUMIFS(meghsteelsales_previousmonth[Quantity],meghsteelsales_previousmonth[Length Bucket],M45)/1000</f>
        <v/>
      </c>
      <c r="AA45" s="185">
        <f>SUMIFS(meghsteelsales_currentmonth[Quantity],meghsteelsales_currentmonth[Length Bucket],M45)/1000</f>
        <v/>
      </c>
      <c r="AB45" s="185">
        <f>IF((X45-Z45-AA45)&lt;0,0,(X45-Z45-AA45))</f>
        <v/>
      </c>
      <c r="AC45" s="185">
        <f>Y45-Z45-AA45</f>
        <v/>
      </c>
      <c r="AD45" s="267" t="n">
        <v>30</v>
      </c>
      <c r="AE45" s="185" t="n">
        <v>9518828196</v>
      </c>
      <c r="AF45" s="185" t="n"/>
      <c r="AG45" s="185" t="n"/>
    </row>
    <row r="46" customFormat="1" s="171">
      <c r="A46" s="266" t="inlineStr">
        <is>
          <t>TVS</t>
        </is>
      </c>
      <c r="B46" s="156" t="inlineStr">
        <is>
          <t>RUCHA</t>
        </is>
      </c>
      <c r="C46" s="156" t="inlineStr">
        <is>
          <t>ERW1</t>
        </is>
      </c>
      <c r="D46" s="156" t="inlineStr">
        <is>
          <t>FIN CUT</t>
        </is>
      </c>
      <c r="E46" s="156" t="inlineStr">
        <is>
          <t>ERW</t>
        </is>
      </c>
      <c r="F46" s="248" t="n">
        <v>41.28</v>
      </c>
      <c r="G46" s="248" t="n"/>
      <c r="H46" s="248" t="n">
        <v>2.6</v>
      </c>
      <c r="I46" s="156" t="n">
        <v>6000</v>
      </c>
      <c r="J46" s="156" t="n">
        <v>6</v>
      </c>
      <c r="K46" s="147">
        <f>_xlfn.CONCAT(F46,H46,J46,E46,D46)</f>
        <v/>
      </c>
      <c r="L46" s="147">
        <f>VLOOKUP(K46,'VSM May Indent'!$K$1:$O$61,4,0)</f>
        <v/>
      </c>
      <c r="M46" s="147">
        <f>VLOOKUP(K46,'VSM May Indent'!$K$1:$O$61,5,0)</f>
        <v/>
      </c>
      <c r="N46" s="201" t="inlineStr">
        <is>
          <t>0789</t>
        </is>
      </c>
      <c r="O46" s="245" t="n">
        <v>3974563</v>
      </c>
      <c r="P46" s="246" t="n">
        <v>45</v>
      </c>
      <c r="Q46" s="156" t="n">
        <v>15</v>
      </c>
      <c r="R46" s="156" t="n">
        <v>38</v>
      </c>
      <c r="S46" s="156" t="n"/>
      <c r="T46" s="156">
        <f>R46-Q46</f>
        <v/>
      </c>
      <c r="U46" s="301" t="n"/>
      <c r="V46" s="156">
        <f>U46+T46+S46</f>
        <v/>
      </c>
      <c r="W46" s="246">
        <f>P46*1.1-V46</f>
        <v/>
      </c>
      <c r="X46" s="297">
        <f>IF(W46&gt;0,W46,0)</f>
        <v/>
      </c>
      <c r="Y46" s="247">
        <f>X46+U46</f>
        <v/>
      </c>
      <c r="Z46" s="185">
        <f>SUMIFS(meghsteelsales_previousmonth[Quantity],meghsteelsales_previousmonth[Length Bucket],M46)/1000</f>
        <v/>
      </c>
      <c r="AA46" s="185">
        <f>SUMIFS(meghsteelsales_currentmonth[Quantity],meghsteelsales_currentmonth[Length Bucket],M46)/1000</f>
        <v/>
      </c>
      <c r="AB46" s="185">
        <f>IF((X46-Z46-AA46)&lt;0,0,(X46-Z46-AA46))</f>
        <v/>
      </c>
      <c r="AC46" s="185">
        <f>Y46-Z46-AA46</f>
        <v/>
      </c>
      <c r="AD46" s="267" t="n">
        <v>25</v>
      </c>
      <c r="AE46" s="293" t="n">
        <v>9518796938</v>
      </c>
      <c r="AF46" s="293" t="n"/>
      <c r="AG46" s="293" t="n"/>
    </row>
    <row r="47">
      <c r="A47" s="265" t="inlineStr">
        <is>
          <t>TVS</t>
        </is>
      </c>
      <c r="B47" s="147" t="inlineStr">
        <is>
          <t>METALMAN</t>
        </is>
      </c>
      <c r="C47" s="159" t="inlineStr">
        <is>
          <t>ERW1</t>
        </is>
      </c>
      <c r="D47" s="147" t="inlineStr">
        <is>
          <t>FIN CUT</t>
        </is>
      </c>
      <c r="E47" s="147" t="inlineStr">
        <is>
          <t>ERW</t>
        </is>
      </c>
      <c r="F47" s="168" t="inlineStr">
        <is>
          <t>40x25</t>
        </is>
      </c>
      <c r="G47" s="168" t="n"/>
      <c r="H47" s="168" t="n">
        <v>1.6</v>
      </c>
      <c r="I47" s="169" t="n">
        <v>5880</v>
      </c>
      <c r="J47" s="147" t="n">
        <v>5.88</v>
      </c>
      <c r="K47" s="147">
        <f>_xlfn.CONCAT(F47,H47,J47,E47,D47)</f>
        <v/>
      </c>
      <c r="L47" s="147">
        <f>VLOOKUP(K47,'VSM May Indent'!$K$1:$O$61,4,0)</f>
        <v/>
      </c>
      <c r="M47" s="147">
        <f>VLOOKUP(K47,'VSM May Indent'!$K$1:$O$61,5,0)</f>
        <v/>
      </c>
      <c r="N47" s="151" t="inlineStr">
        <is>
          <t>0789</t>
        </is>
      </c>
      <c r="O47" s="150" t="n"/>
      <c r="P47" s="19" t="n">
        <v>4</v>
      </c>
      <c r="Q47" s="147" t="n">
        <v>1</v>
      </c>
      <c r="R47" s="147" t="n">
        <v>2.4</v>
      </c>
      <c r="S47" s="147" t="n"/>
      <c r="T47" s="147">
        <f>R47-Q47</f>
        <v/>
      </c>
      <c r="U47" s="301" t="n"/>
      <c r="V47" s="147">
        <f>U47+T47+S47</f>
        <v/>
      </c>
      <c r="W47" s="19">
        <f>P47*1.1-V47</f>
        <v/>
      </c>
      <c r="X47" s="297">
        <f>IF(W47&gt;0,W47,0)</f>
        <v/>
      </c>
      <c r="Y47" s="167">
        <f>X47+U47</f>
        <v/>
      </c>
      <c r="Z47" s="185">
        <f>SUMIFS(meghsteelsales_previousmonth[Quantity],meghsteelsales_previousmonth[Length Bucket],M47)/1000</f>
        <v/>
      </c>
      <c r="AA47" s="185">
        <f>SUMIFS(meghsteelsales_currentmonth[Quantity],meghsteelsales_currentmonth[Length Bucket],M47)/1000</f>
        <v/>
      </c>
      <c r="AB47" s="185">
        <f>IF((X47-Z47-AA47)&lt;0,0,(X47-Z47-AA47))</f>
        <v/>
      </c>
      <c r="AC47" s="185">
        <f>Y47-Z47-AA47</f>
        <v/>
      </c>
      <c r="AD47" s="267" t="n"/>
      <c r="AE47" s="185" t="n"/>
      <c r="AF47" s="185" t="n"/>
      <c r="AG47" s="185" t="n"/>
    </row>
    <row r="48">
      <c r="A48" s="265" t="inlineStr">
        <is>
          <t>TVS</t>
        </is>
      </c>
      <c r="B48" s="147" t="inlineStr">
        <is>
          <t>RUCHA</t>
        </is>
      </c>
      <c r="C48" s="159" t="inlineStr">
        <is>
          <t>ERW1</t>
        </is>
      </c>
      <c r="D48" s="147" t="inlineStr">
        <is>
          <t>FIN CUT</t>
        </is>
      </c>
      <c r="E48" s="147" t="inlineStr">
        <is>
          <t>ERW</t>
        </is>
      </c>
      <c r="F48" s="168" t="inlineStr">
        <is>
          <t>40x25</t>
        </is>
      </c>
      <c r="G48" s="168" t="n"/>
      <c r="H48" s="168" t="n">
        <v>1.6</v>
      </c>
      <c r="I48" s="169" t="n">
        <v>6130</v>
      </c>
      <c r="J48" s="147" t="n">
        <v>6.13</v>
      </c>
      <c r="K48" s="147">
        <f>_xlfn.CONCAT(F48,H48,J48,E48,D48)</f>
        <v/>
      </c>
      <c r="L48" s="147">
        <f>VLOOKUP(K48,'VSM May Indent'!$K$1:$O$61,4,0)</f>
        <v/>
      </c>
      <c r="M48" s="147">
        <f>VLOOKUP(K48,'VSM May Indent'!$K$1:$O$61,5,0)</f>
        <v/>
      </c>
      <c r="N48" s="151" t="inlineStr">
        <is>
          <t>0789</t>
        </is>
      </c>
      <c r="O48" s="150" t="n"/>
      <c r="P48" s="19" t="n">
        <v>3</v>
      </c>
      <c r="Q48" s="147" t="n">
        <v>1</v>
      </c>
      <c r="R48" s="147" t="n">
        <v>5.9</v>
      </c>
      <c r="S48" s="147" t="n"/>
      <c r="T48" s="147">
        <f>R48-Q48</f>
        <v/>
      </c>
      <c r="U48" s="147" t="n"/>
      <c r="V48" s="147">
        <f>U48+T48+S48</f>
        <v/>
      </c>
      <c r="W48" s="19">
        <f>P48*1.1-V48</f>
        <v/>
      </c>
      <c r="X48" s="167">
        <f>IF(W48&gt;0,W48,0)</f>
        <v/>
      </c>
      <c r="Y48" s="167">
        <f>X48+U48</f>
        <v/>
      </c>
      <c r="Z48" s="185">
        <f>SUMIFS(meghsteelsales_previousmonth[Quantity],meghsteelsales_previousmonth[Length Bucket],M48)/1000</f>
        <v/>
      </c>
      <c r="AA48" s="185">
        <f>SUMIFS(meghsteelsales_currentmonth[Quantity],meghsteelsales_currentmonth[Length Bucket],M48)/1000</f>
        <v/>
      </c>
      <c r="AB48" s="185">
        <f>IF((X48-Z48-AA48)&lt;0,0,(X48-Z48-AA48))</f>
        <v/>
      </c>
      <c r="AC48" s="185">
        <f>Y48-Z48-AA48</f>
        <v/>
      </c>
      <c r="AD48" s="267" t="n"/>
      <c r="AE48" s="185" t="n"/>
      <c r="AF48" s="185" t="n"/>
      <c r="AG48" s="185" t="n"/>
    </row>
    <row r="49">
      <c r="A49" s="265" t="inlineStr">
        <is>
          <t>HMSI</t>
        </is>
      </c>
      <c r="B49" s="147" t="inlineStr">
        <is>
          <t>BADVE</t>
        </is>
      </c>
      <c r="C49" s="153" t="inlineStr">
        <is>
          <t>ERW1</t>
        </is>
      </c>
      <c r="D49" s="147" t="inlineStr">
        <is>
          <t>FIN CUT</t>
        </is>
      </c>
      <c r="E49" s="147" t="inlineStr">
        <is>
          <t>ERW</t>
        </is>
      </c>
      <c r="F49" s="148" t="n">
        <v>41.28</v>
      </c>
      <c r="G49" s="148" t="n"/>
      <c r="H49" s="148" t="n">
        <v>3.15</v>
      </c>
      <c r="I49" s="147" t="n">
        <v>5860</v>
      </c>
      <c r="J49" s="147" t="n">
        <v>5.86</v>
      </c>
      <c r="K49" s="147">
        <f>_xlfn.CONCAT(F49,H49,J49,E49,D49)</f>
        <v/>
      </c>
      <c r="L49" s="147">
        <f>VLOOKUP(K49,'VSM May Indent'!$K$1:$O$61,4,0)</f>
        <v/>
      </c>
      <c r="M49" s="147">
        <f>VLOOKUP(K49,'VSM May Indent'!$K$1:$O$61,5,0)</f>
        <v/>
      </c>
      <c r="N49" s="149" t="n"/>
      <c r="O49" s="150" t="n">
        <v>3673889</v>
      </c>
      <c r="P49" s="19" t="n">
        <v>20</v>
      </c>
      <c r="Q49" s="147" t="n">
        <v>4</v>
      </c>
      <c r="R49" s="147" t="n">
        <v>22</v>
      </c>
      <c r="S49" s="147" t="n"/>
      <c r="T49" s="147">
        <f>R49-Q49</f>
        <v/>
      </c>
      <c r="U49" s="301" t="n"/>
      <c r="V49" s="147">
        <f>U49+T49+S49</f>
        <v/>
      </c>
      <c r="W49" s="19">
        <f>P49*1.1-V49</f>
        <v/>
      </c>
      <c r="X49" s="297">
        <f>IF(W49&gt;0,W49,0)</f>
        <v/>
      </c>
      <c r="Y49" s="167">
        <f>X49+U49</f>
        <v/>
      </c>
      <c r="Z49" s="185">
        <f>SUMIFS(meghsteelsales_previousmonth[Quantity],meghsteelsales_previousmonth[Length Bucket],M49)/1000</f>
        <v/>
      </c>
      <c r="AA49" s="185">
        <f>SUMIFS(meghsteelsales_currentmonth[Quantity],meghsteelsales_currentmonth[Length Bucket],M49)/1000</f>
        <v/>
      </c>
      <c r="AB49" s="185">
        <f>IF((X49-Z49-AA49)&lt;0,0,(X49-Z49-AA49))</f>
        <v/>
      </c>
      <c r="AC49" s="185">
        <f>Y49-Z49-AA49</f>
        <v/>
      </c>
      <c r="AD49" s="267" t="n"/>
      <c r="AE49" s="185" t="n"/>
      <c r="AF49" s="185" t="n"/>
      <c r="AG49" s="185" t="n"/>
    </row>
    <row r="50">
      <c r="A50" s="265" t="inlineStr">
        <is>
          <t>TVS</t>
        </is>
      </c>
      <c r="B50" s="147" t="inlineStr">
        <is>
          <t>RUCHA,METALMAN</t>
        </is>
      </c>
      <c r="C50" s="153" t="inlineStr">
        <is>
          <t>ERW AN</t>
        </is>
      </c>
      <c r="D50" s="147" t="inlineStr">
        <is>
          <t>FIN CUT</t>
        </is>
      </c>
      <c r="E50" s="147" t="inlineStr">
        <is>
          <t>ERW</t>
        </is>
      </c>
      <c r="F50" s="148" t="n">
        <v>42.7</v>
      </c>
      <c r="G50" s="148" t="n"/>
      <c r="H50" s="148" t="n">
        <v>3.5</v>
      </c>
      <c r="I50" s="147" t="n">
        <v>6000</v>
      </c>
      <c r="J50" s="147" t="n">
        <v>6</v>
      </c>
      <c r="K50" s="147">
        <f>_xlfn.CONCAT(F50,H50,J50,E50,D50)</f>
        <v/>
      </c>
      <c r="L50" s="147">
        <f>VLOOKUP(K50,'VSM May Indent'!$K$1:$O$61,4,0)</f>
        <v/>
      </c>
      <c r="M50" s="147">
        <f>VLOOKUP(K50,'VSM May Indent'!$K$1:$O$61,5,0)</f>
        <v/>
      </c>
      <c r="N50" s="151" t="inlineStr">
        <is>
          <t>0788</t>
        </is>
      </c>
      <c r="O50" s="150" t="n">
        <v>2396465</v>
      </c>
      <c r="P50" s="19" t="n">
        <v>25</v>
      </c>
      <c r="Q50" s="147" t="n">
        <v>7</v>
      </c>
      <c r="R50" s="147" t="n">
        <v>14</v>
      </c>
      <c r="S50" s="147" t="n"/>
      <c r="T50" s="147">
        <f>R50-Q50</f>
        <v/>
      </c>
      <c r="U50" s="301" t="n"/>
      <c r="V50" s="147">
        <f>U50+T50+S50</f>
        <v/>
      </c>
      <c r="W50" s="19">
        <f>P50*1.1-V50</f>
        <v/>
      </c>
      <c r="X50" s="297">
        <f>IF(W50&gt;0,W50,0)</f>
        <v/>
      </c>
      <c r="Y50" s="167">
        <f>X50+U50</f>
        <v/>
      </c>
      <c r="Z50" s="185">
        <f>SUMIFS(meghsteelsales_previousmonth[Quantity],meghsteelsales_previousmonth[Length Bucket],M50)/1000</f>
        <v/>
      </c>
      <c r="AA50" s="185">
        <f>SUMIFS(meghsteelsales_currentmonth[Quantity],meghsteelsales_currentmonth[Length Bucket],M50)/1000</f>
        <v/>
      </c>
      <c r="AB50" s="185">
        <f>IF((X50-Z50-AA50)&lt;0,0,(X50-Z50-AA50))</f>
        <v/>
      </c>
      <c r="AC50" s="185">
        <f>Y50-Z50-AA50</f>
        <v/>
      </c>
      <c r="AD50" s="267" t="n"/>
      <c r="AE50" s="185" t="n"/>
      <c r="AF50" s="185" t="n"/>
      <c r="AG50" s="185" t="n"/>
    </row>
    <row r="51">
      <c r="A51" s="265" t="inlineStr">
        <is>
          <t>TVS</t>
        </is>
      </c>
      <c r="B51" s="147" t="inlineStr">
        <is>
          <t>RUCHA,METALMAN</t>
        </is>
      </c>
      <c r="C51" s="153" t="inlineStr">
        <is>
          <t>ERW AN</t>
        </is>
      </c>
      <c r="D51" s="147" t="inlineStr">
        <is>
          <t>FIN CUT</t>
        </is>
      </c>
      <c r="E51" s="147" t="inlineStr">
        <is>
          <t>ERW</t>
        </is>
      </c>
      <c r="F51" s="148" t="n">
        <v>42.7</v>
      </c>
      <c r="G51" s="148" t="n"/>
      <c r="H51" s="148" t="n">
        <v>4</v>
      </c>
      <c r="I51" s="147" t="n">
        <v>6000</v>
      </c>
      <c r="J51" s="147" t="n">
        <v>6</v>
      </c>
      <c r="K51" s="147">
        <f>_xlfn.CONCAT(F51,H51,J51,E51,D51)</f>
        <v/>
      </c>
      <c r="L51" s="147">
        <f>VLOOKUP(K51,'VSM May Indent'!$K$1:$O$61,4,0)</f>
        <v/>
      </c>
      <c r="M51" s="147">
        <f>VLOOKUP(K51,'VSM May Indent'!$K$1:$O$61,5,0)</f>
        <v/>
      </c>
      <c r="N51" s="149" t="n"/>
      <c r="O51" s="150" t="n">
        <v>3501985</v>
      </c>
      <c r="P51" s="19" t="n">
        <v>30</v>
      </c>
      <c r="Q51" s="147" t="n">
        <v>8</v>
      </c>
      <c r="R51" s="147" t="n">
        <v>8</v>
      </c>
      <c r="S51" s="147" t="n"/>
      <c r="T51" s="147">
        <f>R51-Q51</f>
        <v/>
      </c>
      <c r="U51" s="301" t="n"/>
      <c r="V51" s="147">
        <f>U51+T51+S51</f>
        <v/>
      </c>
      <c r="W51" s="19">
        <f>P51*1.1-V51</f>
        <v/>
      </c>
      <c r="X51" s="297">
        <f>IF(W51&gt;0,W51,0)</f>
        <v/>
      </c>
      <c r="Y51" s="167">
        <f>X51+U51</f>
        <v/>
      </c>
      <c r="Z51" s="185">
        <f>SUMIFS(meghsteelsales_previousmonth[Quantity],meghsteelsales_previousmonth[Length Bucket],M51)/1000</f>
        <v/>
      </c>
      <c r="AA51" s="185">
        <f>SUMIFS(meghsteelsales_currentmonth[Quantity],meghsteelsales_currentmonth[Length Bucket],M51)/1000</f>
        <v/>
      </c>
      <c r="AB51" s="185">
        <f>IF((X51-Z51-AA51)&lt;0,0,(X51-Z51-AA51))</f>
        <v/>
      </c>
      <c r="AC51" s="185">
        <f>Y51-Z51-AA51</f>
        <v/>
      </c>
      <c r="AD51" s="267" t="n"/>
      <c r="AE51" s="185" t="n"/>
      <c r="AF51" s="185" t="n"/>
      <c r="AG51" s="185" t="n"/>
    </row>
    <row r="52">
      <c r="A52" s="265" t="inlineStr">
        <is>
          <t>TVS</t>
        </is>
      </c>
      <c r="B52" s="147" t="inlineStr">
        <is>
          <t>RUCHA,METALMAN</t>
        </is>
      </c>
      <c r="C52" s="155" t="inlineStr">
        <is>
          <t>ERW1</t>
        </is>
      </c>
      <c r="D52" s="147" t="inlineStr">
        <is>
          <t>FIN CUT</t>
        </is>
      </c>
      <c r="E52" s="147" t="inlineStr">
        <is>
          <t>ERW</t>
        </is>
      </c>
      <c r="F52" s="154" t="inlineStr">
        <is>
          <t>40x30</t>
        </is>
      </c>
      <c r="G52" s="154" t="n"/>
      <c r="H52" s="154" t="n">
        <v>1.6</v>
      </c>
      <c r="I52" s="155" t="n">
        <v>5900</v>
      </c>
      <c r="J52" s="147" t="n">
        <v>5.9</v>
      </c>
      <c r="K52" s="147">
        <f>_xlfn.CONCAT(F52,H52,J52,E52,D52)</f>
        <v/>
      </c>
      <c r="L52" s="147">
        <f>VLOOKUP(K52,'VSM May Indent'!$K$1:$O$61,4,0)</f>
        <v/>
      </c>
      <c r="M52" s="147">
        <f>VLOOKUP(K52,'VSM May Indent'!$K$1:$O$61,5,0)</f>
        <v/>
      </c>
      <c r="N52" s="151" t="inlineStr">
        <is>
          <t>0788</t>
        </is>
      </c>
      <c r="O52" s="150" t="n">
        <v>3836440</v>
      </c>
      <c r="P52" s="19" t="n">
        <v>10</v>
      </c>
      <c r="Q52" s="147" t="n">
        <v>4</v>
      </c>
      <c r="R52" s="147" t="n">
        <v>9</v>
      </c>
      <c r="S52" s="147" t="n"/>
      <c r="T52" s="147">
        <f>R52-Q52</f>
        <v/>
      </c>
      <c r="U52" s="301" t="n"/>
      <c r="V52" s="147">
        <f>U52+T52+S52</f>
        <v/>
      </c>
      <c r="W52" s="19">
        <f>P52*1.1-V52</f>
        <v/>
      </c>
      <c r="X52" s="297">
        <f>IF(W52&gt;0,W52,0)</f>
        <v/>
      </c>
      <c r="Y52" s="167">
        <f>X52+U52</f>
        <v/>
      </c>
      <c r="Z52" s="185">
        <f>SUMIFS(meghsteelsales_previousmonth[Quantity],meghsteelsales_previousmonth[Length Bucket],M52)/1000</f>
        <v/>
      </c>
      <c r="AA52" s="185">
        <f>SUMIFS(meghsteelsales_currentmonth[Quantity],meghsteelsales_currentmonth[Length Bucket],M52)/1000</f>
        <v/>
      </c>
      <c r="AB52" s="185">
        <f>IF((X52-Z52-AA52)&lt;0,0,(X52-Z52-AA52))</f>
        <v/>
      </c>
      <c r="AC52" s="185">
        <f>Y52-Z52-AA52</f>
        <v/>
      </c>
      <c r="AD52" s="267" t="n"/>
      <c r="AE52" s="185" t="n"/>
      <c r="AF52" s="185" t="n"/>
      <c r="AG52" s="185" t="n"/>
    </row>
    <row r="53">
      <c r="A53" s="265" t="inlineStr">
        <is>
          <t>HMSI</t>
        </is>
      </c>
      <c r="B53" s="147" t="inlineStr">
        <is>
          <t>BADVE</t>
        </is>
      </c>
      <c r="C53" s="153" t="inlineStr">
        <is>
          <t>ERW2</t>
        </is>
      </c>
      <c r="D53" s="147" t="inlineStr">
        <is>
          <t>FIN CUT</t>
        </is>
      </c>
      <c r="E53" s="147" t="inlineStr">
        <is>
          <t>HST</t>
        </is>
      </c>
      <c r="F53" s="148" t="n">
        <v>45</v>
      </c>
      <c r="G53" s="148" t="n"/>
      <c r="H53" s="148" t="n">
        <v>1.4</v>
      </c>
      <c r="I53" s="147" t="n">
        <v>6400</v>
      </c>
      <c r="J53" s="147" t="n">
        <v>6.42</v>
      </c>
      <c r="K53" s="147">
        <f>_xlfn.CONCAT(F53,H53,J53,E53,D53)</f>
        <v/>
      </c>
      <c r="L53" s="147">
        <f>VLOOKUP(K53,'VSM May Indent'!$K$1:$O$61,4,0)</f>
        <v/>
      </c>
      <c r="M53" s="147">
        <f>VLOOKUP(K53,'VSM May Indent'!$K$1:$O$61,5,0)</f>
        <v/>
      </c>
      <c r="N53" s="149" t="n"/>
      <c r="O53" s="150" t="n">
        <v>3502343</v>
      </c>
      <c r="P53" s="19" t="n">
        <v>0</v>
      </c>
      <c r="Q53" s="147" t="n">
        <v>0</v>
      </c>
      <c r="R53" s="147" t="n">
        <v>10</v>
      </c>
      <c r="S53" s="147" t="n"/>
      <c r="T53" s="147">
        <f>R53-Q53</f>
        <v/>
      </c>
      <c r="U53" s="147" t="n"/>
      <c r="V53" s="147">
        <f>U53+T53+S53</f>
        <v/>
      </c>
      <c r="W53" s="19">
        <f>P53*1.1-V53</f>
        <v/>
      </c>
      <c r="X53" s="167">
        <f>IF(W53&gt;0,W53,0)</f>
        <v/>
      </c>
      <c r="Y53" s="167">
        <f>X53+U53</f>
        <v/>
      </c>
      <c r="Z53" s="185">
        <f>SUMIFS(meghsteelsales_previousmonth[Quantity],meghsteelsales_previousmonth[Length Bucket],M53)/1000</f>
        <v/>
      </c>
      <c r="AA53" s="185">
        <f>SUMIFS(meghsteelsales_currentmonth[Quantity],meghsteelsales_currentmonth[Length Bucket],M53)/1000</f>
        <v/>
      </c>
      <c r="AB53" s="185">
        <f>IF((X53-Z53-AA53)&lt;0,0,(X53-Z53-AA53))</f>
        <v/>
      </c>
      <c r="AC53" s="185">
        <f>Y53-Z53-AA53</f>
        <v/>
      </c>
      <c r="AD53" s="267" t="n"/>
      <c r="AE53" s="185" t="n"/>
      <c r="AF53" s="185" t="n"/>
      <c r="AG53" s="185" t="n"/>
    </row>
    <row r="54">
      <c r="A54" s="265" t="inlineStr">
        <is>
          <t>HMSI</t>
        </is>
      </c>
      <c r="B54" s="147" t="inlineStr">
        <is>
          <t>BADVE</t>
        </is>
      </c>
      <c r="C54" s="153" t="inlineStr">
        <is>
          <t>ERW1</t>
        </is>
      </c>
      <c r="D54" s="147" t="inlineStr">
        <is>
          <t>FIN CUT</t>
        </is>
      </c>
      <c r="E54" s="147" t="inlineStr">
        <is>
          <t>ERW</t>
        </is>
      </c>
      <c r="F54" s="148" t="n">
        <v>45</v>
      </c>
      <c r="G54" s="148" t="n"/>
      <c r="H54" s="148" t="n">
        <v>1.4</v>
      </c>
      <c r="I54" s="147" t="n">
        <v>5700</v>
      </c>
      <c r="J54" s="147" t="n">
        <v>5.7</v>
      </c>
      <c r="K54" s="147">
        <f>_xlfn.CONCAT(F54,H54,J54,E54,D54)</f>
        <v/>
      </c>
      <c r="L54" s="147">
        <f>VLOOKUP(K54,'VSM May Indent'!$K$1:$O$61,4,0)</f>
        <v/>
      </c>
      <c r="M54" s="147">
        <f>VLOOKUP(K54,'VSM May Indent'!$K$1:$O$61,5,0)</f>
        <v/>
      </c>
      <c r="N54" s="151" t="inlineStr">
        <is>
          <t>056</t>
        </is>
      </c>
      <c r="O54" s="150" t="n">
        <v>3545558</v>
      </c>
      <c r="P54" s="19" t="n">
        <v>0</v>
      </c>
      <c r="Q54" s="147" t="n">
        <v>0</v>
      </c>
      <c r="R54" s="147" t="n">
        <v>16</v>
      </c>
      <c r="S54" s="147" t="n"/>
      <c r="T54" s="147">
        <f>R54-Q54</f>
        <v/>
      </c>
      <c r="U54" s="147" t="n"/>
      <c r="V54" s="147">
        <f>U54+T54+S54</f>
        <v/>
      </c>
      <c r="W54" s="19">
        <f>P54*1.1-V54</f>
        <v/>
      </c>
      <c r="X54" s="167">
        <f>IF(W54&gt;0,W54,0)</f>
        <v/>
      </c>
      <c r="Y54" s="167">
        <f>X54+U54</f>
        <v/>
      </c>
      <c r="Z54" s="185">
        <f>SUMIFS(meghsteelsales_previousmonth[Quantity],meghsteelsales_previousmonth[Length Bucket],M54)/1000</f>
        <v/>
      </c>
      <c r="AA54" s="185">
        <f>SUMIFS(meghsteelsales_currentmonth[Quantity],meghsteelsales_currentmonth[Length Bucket],M54)/1000</f>
        <v/>
      </c>
      <c r="AB54" s="185">
        <f>IF((X54-Z54-AA54)&lt;0,0,(X54-Z54-AA54))</f>
        <v/>
      </c>
      <c r="AC54" s="185">
        <f>Y54-Z54-AA54</f>
        <v/>
      </c>
      <c r="AD54" s="267" t="n"/>
      <c r="AE54" s="185" t="n"/>
      <c r="AF54" s="185" t="n"/>
      <c r="AG54" s="185" t="n"/>
    </row>
    <row r="55">
      <c r="A55" s="265" t="inlineStr">
        <is>
          <t>HMSI</t>
        </is>
      </c>
      <c r="B55" s="147" t="inlineStr">
        <is>
          <t>BADVE</t>
        </is>
      </c>
      <c r="C55" s="153" t="inlineStr">
        <is>
          <t>ERW2</t>
        </is>
      </c>
      <c r="D55" s="147" t="inlineStr">
        <is>
          <t>FIN CUT</t>
        </is>
      </c>
      <c r="E55" s="147" t="inlineStr">
        <is>
          <t>HST</t>
        </is>
      </c>
      <c r="F55" s="148" t="n">
        <v>45</v>
      </c>
      <c r="G55" s="148" t="n"/>
      <c r="H55" s="148" t="n">
        <v>1.6</v>
      </c>
      <c r="I55" s="147" t="n">
        <v>6400</v>
      </c>
      <c r="J55" s="147" t="n">
        <v>6.42</v>
      </c>
      <c r="K55" s="147">
        <f>_xlfn.CONCAT(F55,H55,J55,E55,D55)</f>
        <v/>
      </c>
      <c r="L55" s="147">
        <f>VLOOKUP(K55,'VSM May Indent'!$K$1:$O$61,4,0)</f>
        <v/>
      </c>
      <c r="M55" s="147">
        <f>VLOOKUP(K55,'VSM May Indent'!$K$1:$O$61,5,0)</f>
        <v/>
      </c>
      <c r="N55" s="149" t="n"/>
      <c r="O55" s="150" t="n">
        <v>3502388</v>
      </c>
      <c r="P55" s="19" t="n">
        <v>10</v>
      </c>
      <c r="Q55" s="147" t="n">
        <v>0</v>
      </c>
      <c r="R55" s="147" t="n">
        <v>0</v>
      </c>
      <c r="S55" s="147" t="n"/>
      <c r="T55" s="147">
        <f>R55-Q55</f>
        <v/>
      </c>
      <c r="U55" s="301" t="n"/>
      <c r="V55" s="147">
        <f>U55+T55+S55</f>
        <v/>
      </c>
      <c r="W55" s="19">
        <f>P55*1.1-V55</f>
        <v/>
      </c>
      <c r="X55" s="297">
        <f>IF(W55&gt;0,W55,0)</f>
        <v/>
      </c>
      <c r="Y55" s="167">
        <f>X55+U55</f>
        <v/>
      </c>
      <c r="Z55" s="185">
        <f>SUMIFS(meghsteelsales_previousmonth[Quantity],meghsteelsales_previousmonth[Length Bucket],M55)/1000</f>
        <v/>
      </c>
      <c r="AA55" s="185">
        <f>SUMIFS(meghsteelsales_currentmonth[Quantity],meghsteelsales_currentmonth[Length Bucket],M55)/1000</f>
        <v/>
      </c>
      <c r="AB55" s="185">
        <f>IF((X55-Z55-AA55)&lt;0,0,(X55-Z55-AA55))</f>
        <v/>
      </c>
      <c r="AC55" s="185">
        <f>Y55-Z55-AA55</f>
        <v/>
      </c>
      <c r="AD55" s="267" t="n"/>
      <c r="AE55" s="185" t="n"/>
      <c r="AF55" s="185" t="n"/>
      <c r="AG55" s="185" t="n"/>
    </row>
    <row r="56">
      <c r="A56" s="265" t="inlineStr">
        <is>
          <t>RE</t>
        </is>
      </c>
      <c r="B56" s="147" t="inlineStr">
        <is>
          <t>BELRISE</t>
        </is>
      </c>
      <c r="C56" s="153" t="inlineStr">
        <is>
          <t>ERW1</t>
        </is>
      </c>
      <c r="D56" s="147" t="inlineStr">
        <is>
          <t>FIN CUT</t>
        </is>
      </c>
      <c r="E56" s="147" t="inlineStr">
        <is>
          <t>ERW</t>
        </is>
      </c>
      <c r="F56" s="148" t="n">
        <v>48</v>
      </c>
      <c r="G56" s="148" t="n"/>
      <c r="H56" s="148" t="n">
        <v>1.2</v>
      </c>
      <c r="I56" s="147" t="n">
        <v>620</v>
      </c>
      <c r="J56" s="147" t="n">
        <v>0.62</v>
      </c>
      <c r="K56" s="147">
        <f>_xlfn.CONCAT(F56,H56,J56,E56,D56)</f>
        <v/>
      </c>
      <c r="L56" s="147">
        <f>VLOOKUP(K56,'VSM May Indent'!$K$1:$O$61,4,0)</f>
        <v/>
      </c>
      <c r="M56" s="147">
        <f>VLOOKUP(K56,'VSM May Indent'!$K$1:$O$61,5,0)</f>
        <v/>
      </c>
      <c r="N56" s="151" t="inlineStr">
        <is>
          <t>0789</t>
        </is>
      </c>
      <c r="O56" s="150" t="n">
        <v>2397072</v>
      </c>
      <c r="P56" s="19" t="n">
        <v>10</v>
      </c>
      <c r="Q56" s="147" t="n">
        <v>0</v>
      </c>
      <c r="R56" s="147" t="n">
        <v>0</v>
      </c>
      <c r="S56" s="147" t="n"/>
      <c r="T56" s="147">
        <f>R56-Q56</f>
        <v/>
      </c>
      <c r="U56" s="301" t="n"/>
      <c r="V56" s="147">
        <f>U56+T56+S56</f>
        <v/>
      </c>
      <c r="W56" s="19">
        <f>P56*1.1-V56</f>
        <v/>
      </c>
      <c r="X56" s="297">
        <f>IF(W56&gt;0,W56,0)</f>
        <v/>
      </c>
      <c r="Y56" s="167">
        <f>X56+U56</f>
        <v/>
      </c>
      <c r="Z56" s="185">
        <f>SUMIFS(meghsteelsales_previousmonth[Quantity],meghsteelsales_previousmonth[Length Bucket],M56)/1000</f>
        <v/>
      </c>
      <c r="AA56" s="185">
        <f>SUMIFS(meghsteelsales_currentmonth[Quantity],meghsteelsales_currentmonth[Length Bucket],M56)/1000</f>
        <v/>
      </c>
      <c r="AB56" s="185">
        <f>IF((X56-Z56-AA56)&lt;0,0,(X56-Z56-AA56))</f>
        <v/>
      </c>
      <c r="AC56" s="185">
        <f>Y56-Z56-AA56</f>
        <v/>
      </c>
      <c r="AD56" s="267" t="n"/>
      <c r="AE56" s="185" t="n"/>
      <c r="AF56" s="185" t="n"/>
      <c r="AG56" s="185" t="n"/>
    </row>
    <row r="57">
      <c r="A57" s="265" t="inlineStr">
        <is>
          <t>RE</t>
        </is>
      </c>
      <c r="B57" s="147" t="inlineStr">
        <is>
          <t>RAJSRIYA</t>
        </is>
      </c>
      <c r="C57" s="153" t="inlineStr">
        <is>
          <t>ERW1</t>
        </is>
      </c>
      <c r="D57" s="147" t="inlineStr">
        <is>
          <t>FIN CUT</t>
        </is>
      </c>
      <c r="E57" s="147" t="inlineStr">
        <is>
          <t>ERW</t>
        </is>
      </c>
      <c r="F57" s="148" t="n">
        <v>48</v>
      </c>
      <c r="G57" s="148" t="n"/>
      <c r="H57" s="148" t="n">
        <v>1.2</v>
      </c>
      <c r="I57" s="147" t="n">
        <v>700</v>
      </c>
      <c r="J57" s="147" t="n">
        <v>0.7</v>
      </c>
      <c r="K57" s="147">
        <f>_xlfn.CONCAT(F57,H57,J57,E57,D57)</f>
        <v/>
      </c>
      <c r="L57" s="147">
        <f>VLOOKUP(K57,'VSM May Indent'!$K$1:$O$61,4,0)</f>
        <v/>
      </c>
      <c r="M57" s="147">
        <f>VLOOKUP(K57,'VSM May Indent'!$K$1:$O$61,5,0)</f>
        <v/>
      </c>
      <c r="N57" s="151" t="inlineStr">
        <is>
          <t>0789</t>
        </is>
      </c>
      <c r="O57" s="150" t="n">
        <v>3649700</v>
      </c>
      <c r="P57" s="19" t="n">
        <v>14</v>
      </c>
      <c r="Q57" s="147" t="n">
        <v>0</v>
      </c>
      <c r="R57" s="147" t="n">
        <v>0</v>
      </c>
      <c r="S57" s="147" t="n"/>
      <c r="T57" s="147">
        <f>R57-Q57</f>
        <v/>
      </c>
      <c r="U57" s="301" t="n"/>
      <c r="V57" s="147">
        <f>U57+T57+S57</f>
        <v/>
      </c>
      <c r="W57" s="19">
        <f>P57*1.1-V57</f>
        <v/>
      </c>
      <c r="X57" s="297">
        <f>IF(W57&gt;0,W57,0)</f>
        <v/>
      </c>
      <c r="Y57" s="167">
        <f>X57+U57</f>
        <v/>
      </c>
      <c r="Z57" s="185">
        <f>SUMIFS(meghsteelsales_previousmonth[Quantity],meghsteelsales_previousmonth[Length Bucket],M57)/1000</f>
        <v/>
      </c>
      <c r="AA57" s="185">
        <f>SUMIFS(meghsteelsales_currentmonth[Quantity],meghsteelsales_currentmonth[Length Bucket],M57)/1000</f>
        <v/>
      </c>
      <c r="AB57" s="185">
        <f>IF((X57-Z57-AA57)&lt;0,0,(X57-Z57-AA57))</f>
        <v/>
      </c>
      <c r="AC57" s="185">
        <f>Y57-Z57-AA57</f>
        <v/>
      </c>
      <c r="AD57" s="267" t="n"/>
      <c r="AE57" s="185" t="n"/>
      <c r="AF57" s="185" t="n"/>
      <c r="AG57" s="185" t="n"/>
    </row>
    <row r="58">
      <c r="A58" s="265" t="inlineStr">
        <is>
          <t>HMSI</t>
        </is>
      </c>
      <c r="B58" s="147" t="inlineStr">
        <is>
          <t>BADVE</t>
        </is>
      </c>
      <c r="C58" s="153" t="inlineStr">
        <is>
          <t>ERW2</t>
        </is>
      </c>
      <c r="D58" s="147" t="inlineStr">
        <is>
          <t>FIN CUT</t>
        </is>
      </c>
      <c r="E58" s="147" t="inlineStr">
        <is>
          <t>HST</t>
        </is>
      </c>
      <c r="F58" s="148" t="n">
        <v>48.6</v>
      </c>
      <c r="G58" s="148" t="n"/>
      <c r="H58" s="148" t="n">
        <v>2</v>
      </c>
      <c r="I58" s="147" t="n">
        <v>6270</v>
      </c>
      <c r="J58" s="147" t="n">
        <v>6.27</v>
      </c>
      <c r="K58" s="147">
        <f>_xlfn.CONCAT(F58,H58,J58,E58,D58)</f>
        <v/>
      </c>
      <c r="L58" s="147">
        <f>VLOOKUP(K58,'VSM May Indent'!$K$1:$O$61,4,0)</f>
        <v/>
      </c>
      <c r="M58" s="147">
        <f>VLOOKUP(K58,'VSM May Indent'!$K$1:$O$61,5,0)</f>
        <v/>
      </c>
      <c r="N58" s="149" t="n"/>
      <c r="O58" s="150" t="n">
        <v>3502301</v>
      </c>
      <c r="P58" s="19" t="n">
        <v>0</v>
      </c>
      <c r="Q58" s="147" t="n">
        <v>0</v>
      </c>
      <c r="R58" s="147" t="n">
        <v>23</v>
      </c>
      <c r="S58" s="147" t="n"/>
      <c r="T58" s="147">
        <f>R58-Q58</f>
        <v/>
      </c>
      <c r="U58" s="147" t="n"/>
      <c r="V58" s="147">
        <f>U58+T58+S58</f>
        <v/>
      </c>
      <c r="W58" s="19">
        <f>P58*1.1-V58</f>
        <v/>
      </c>
      <c r="X58" s="167">
        <f>IF(W58&gt;0,W58,0)</f>
        <v/>
      </c>
      <c r="Y58" s="167">
        <f>X58+U58</f>
        <v/>
      </c>
      <c r="Z58" s="185">
        <f>SUMIFS(meghsteelsales_previousmonth[Quantity],meghsteelsales_previousmonth[Length Bucket],M58)/1000</f>
        <v/>
      </c>
      <c r="AA58" s="185">
        <f>SUMIFS(meghsteelsales_currentmonth[Quantity],meghsteelsales_currentmonth[Length Bucket],M58)/1000</f>
        <v/>
      </c>
      <c r="AB58" s="185">
        <f>IF((X58-Z58-AA58)&lt;0,0,(X58-Z58-AA58))</f>
        <v/>
      </c>
      <c r="AC58" s="185">
        <f>Y58-Z58-AA58</f>
        <v/>
      </c>
      <c r="AD58" s="267" t="n"/>
      <c r="AE58" s="185" t="n"/>
      <c r="AF58" s="185" t="n"/>
      <c r="AG58" s="185" t="n"/>
    </row>
    <row r="59">
      <c r="A59" s="265" t="inlineStr">
        <is>
          <t>HMSI</t>
        </is>
      </c>
      <c r="B59" s="147" t="inlineStr">
        <is>
          <t>BADVE</t>
        </is>
      </c>
      <c r="C59" s="153" t="inlineStr">
        <is>
          <t>ERW2</t>
        </is>
      </c>
      <c r="D59" s="147" t="inlineStr">
        <is>
          <t>FIN CUT</t>
        </is>
      </c>
      <c r="E59" s="147" t="inlineStr">
        <is>
          <t>HST</t>
        </is>
      </c>
      <c r="F59" s="148" t="n">
        <v>48.6</v>
      </c>
      <c r="G59" s="148" t="n"/>
      <c r="H59" s="148" t="n">
        <v>2.3</v>
      </c>
      <c r="I59" s="147" t="n">
        <v>6270</v>
      </c>
      <c r="J59" s="147" t="n">
        <v>6.27</v>
      </c>
      <c r="K59" s="147">
        <f>_xlfn.CONCAT(F59,H59,J59,E59,D59)</f>
        <v/>
      </c>
      <c r="L59" s="147">
        <f>VLOOKUP(K59,'VSM May Indent'!$K$1:$O$61,4,0)</f>
        <v/>
      </c>
      <c r="M59" s="147">
        <f>VLOOKUP(K59,'VSM May Indent'!$K$1:$O$61,5,0)</f>
        <v/>
      </c>
      <c r="N59" s="149" t="n"/>
      <c r="O59" s="150" t="n">
        <v>3549720</v>
      </c>
      <c r="P59" s="19" t="n">
        <v>10</v>
      </c>
      <c r="Q59" s="147" t="n">
        <v>0</v>
      </c>
      <c r="R59" s="147" t="n">
        <v>0</v>
      </c>
      <c r="S59" s="147" t="n"/>
      <c r="T59" s="147">
        <f>R59-Q59</f>
        <v/>
      </c>
      <c r="U59" s="301" t="n"/>
      <c r="V59" s="147">
        <f>U59+T59+S59</f>
        <v/>
      </c>
      <c r="W59" s="19">
        <f>P59*1.1-V59</f>
        <v/>
      </c>
      <c r="X59" s="297">
        <f>IF(W59&gt;0,W59,0)</f>
        <v/>
      </c>
      <c r="Y59" s="167">
        <f>X59+U59</f>
        <v/>
      </c>
      <c r="Z59" s="185">
        <f>SUMIFS(meghsteelsales_previousmonth[Quantity],meghsteelsales_previousmonth[Length Bucket],M59)/1000</f>
        <v/>
      </c>
      <c r="AA59" s="185">
        <f>SUMIFS(meghsteelsales_currentmonth[Quantity],meghsteelsales_currentmonth[Length Bucket],M59)/1000</f>
        <v/>
      </c>
      <c r="AB59" s="185">
        <f>IF((X59-Z59-AA59)&lt;0,0,(X59-Z59-AA59))</f>
        <v/>
      </c>
      <c r="AC59" s="185">
        <f>Y59-Z59-AA59</f>
        <v/>
      </c>
      <c r="AD59" s="267" t="n"/>
      <c r="AE59" s="185" t="n"/>
      <c r="AF59" s="185" t="n"/>
      <c r="AG59" s="185" t="n"/>
    </row>
    <row r="60">
      <c r="A60" s="265" t="inlineStr">
        <is>
          <t>HMSI</t>
        </is>
      </c>
      <c r="B60" s="147" t="inlineStr">
        <is>
          <t>BADVE</t>
        </is>
      </c>
      <c r="C60" s="153" t="inlineStr">
        <is>
          <t>ERW1</t>
        </is>
      </c>
      <c r="D60" s="147" t="inlineStr">
        <is>
          <t>FIN CUT</t>
        </is>
      </c>
      <c r="E60" s="147" t="inlineStr">
        <is>
          <t>ERW</t>
        </is>
      </c>
      <c r="F60" s="148" t="n">
        <v>48.6</v>
      </c>
      <c r="G60" s="148" t="n"/>
      <c r="H60" s="148" t="n">
        <v>3.5</v>
      </c>
      <c r="I60" s="147" t="n">
        <v>6000</v>
      </c>
      <c r="J60" s="147" t="n">
        <v>6</v>
      </c>
      <c r="K60" s="147">
        <f>_xlfn.CONCAT(F60,H60,J60,E60,D60)</f>
        <v/>
      </c>
      <c r="L60" s="147">
        <f>VLOOKUP(K60,'VSM May Indent'!$K$1:$O$61,4,0)</f>
        <v/>
      </c>
      <c r="M60" s="147">
        <f>VLOOKUP(K60,'VSM May Indent'!$K$1:$O$61,5,0)</f>
        <v/>
      </c>
      <c r="N60" s="149" t="n"/>
      <c r="O60" s="150" t="n">
        <v>3502422</v>
      </c>
      <c r="P60" s="19" t="n">
        <v>10</v>
      </c>
      <c r="Q60" s="147" t="n">
        <v>3</v>
      </c>
      <c r="R60" s="147" t="n">
        <v>7</v>
      </c>
      <c r="S60" s="147" t="n"/>
      <c r="T60" s="147">
        <f>R60-Q60</f>
        <v/>
      </c>
      <c r="U60" s="301" t="n"/>
      <c r="V60" s="147">
        <f>U60+T60+S60</f>
        <v/>
      </c>
      <c r="W60" s="19">
        <f>P60*1.1-V60</f>
        <v/>
      </c>
      <c r="X60" s="297">
        <f>IF(W60&gt;0,W60,0)</f>
        <v/>
      </c>
      <c r="Y60" s="167">
        <f>X60+U60</f>
        <v/>
      </c>
      <c r="Z60" s="185">
        <f>SUMIFS(meghsteelsales_previousmonth[Quantity],meghsteelsales_previousmonth[Length Bucket],M60)/1000</f>
        <v/>
      </c>
      <c r="AA60" s="185">
        <f>SUMIFS(meghsteelsales_currentmonth[Quantity],meghsteelsales_currentmonth[Length Bucket],M60)/1000</f>
        <v/>
      </c>
      <c r="AB60" s="185">
        <f>IF((X60-Z60-AA60)&lt;0,0,(X60-Z60-AA60))</f>
        <v/>
      </c>
      <c r="AC60" s="185">
        <f>Y60-Z60-AA60</f>
        <v/>
      </c>
      <c r="AD60" s="267" t="n"/>
      <c r="AE60" s="185" t="n"/>
      <c r="AF60" s="185" t="n"/>
      <c r="AG60" s="185" t="n"/>
    </row>
    <row r="61">
      <c r="A61" s="265" t="inlineStr">
        <is>
          <t>TVS</t>
        </is>
      </c>
      <c r="B61" s="147" t="inlineStr">
        <is>
          <t>RUCHA</t>
        </is>
      </c>
      <c r="C61" s="153" t="inlineStr">
        <is>
          <t>ERW1</t>
        </is>
      </c>
      <c r="D61" s="147" t="inlineStr">
        <is>
          <t>FIN CUT</t>
        </is>
      </c>
      <c r="E61" s="147" t="inlineStr">
        <is>
          <t>ERW</t>
        </is>
      </c>
      <c r="F61" s="168" t="inlineStr">
        <is>
          <t>59x30</t>
        </is>
      </c>
      <c r="G61" s="168" t="n"/>
      <c r="H61" s="168" t="n">
        <v>1.6</v>
      </c>
      <c r="I61" s="147" t="n">
        <v>6000</v>
      </c>
      <c r="J61" s="147" t="n">
        <v>6</v>
      </c>
      <c r="K61" s="147">
        <f>_xlfn.CONCAT(F61,H61,J61,E61,D61)</f>
        <v/>
      </c>
      <c r="L61" s="147">
        <f>VLOOKUP(K61,'VSM May Indent'!$K$1:$O$61,4,0)</f>
        <v/>
      </c>
      <c r="M61" s="147">
        <f>VLOOKUP(K61,'VSM May Indent'!$K$1:$O$61,5,0)</f>
        <v/>
      </c>
      <c r="N61" s="151" t="inlineStr">
        <is>
          <t>0789</t>
        </is>
      </c>
      <c r="O61" s="150" t="n"/>
      <c r="P61" s="19" t="n">
        <v>5</v>
      </c>
      <c r="Q61" s="147" t="n">
        <v>1</v>
      </c>
      <c r="R61" s="147" t="n">
        <v>0</v>
      </c>
      <c r="S61" s="147" t="n"/>
      <c r="T61" s="147">
        <f>R61-Q61</f>
        <v/>
      </c>
      <c r="U61" s="301" t="n"/>
      <c r="V61" s="147">
        <f>U61+T61+S61</f>
        <v/>
      </c>
      <c r="W61" s="19">
        <f>P61*1.1-V61</f>
        <v/>
      </c>
      <c r="X61" s="297" t="n">
        <v>5</v>
      </c>
      <c r="Y61" s="167">
        <f>X61+U61</f>
        <v/>
      </c>
      <c r="Z61" s="185">
        <f>SUMIFS(meghsteelsales_previousmonth[Quantity],meghsteelsales_previousmonth[Length Bucket],M61)/1000</f>
        <v/>
      </c>
      <c r="AA61" s="185">
        <f>SUMIFS(meghsteelsales_currentmonth[Quantity],meghsteelsales_currentmonth[Length Bucket],M61)/1000</f>
        <v/>
      </c>
      <c r="AB61" s="185">
        <f>IF((X61-Z61-AA61)&lt;0,0,(X61-Z61-AA61))</f>
        <v/>
      </c>
      <c r="AC61" s="185">
        <f>Y61-Z61-AA61</f>
        <v/>
      </c>
      <c r="AD61" s="267" t="n"/>
      <c r="AE61" s="185" t="n"/>
      <c r="AF61" s="185" t="n"/>
      <c r="AG61" s="185" t="n"/>
    </row>
    <row r="62">
      <c r="A62" s="265" t="inlineStr">
        <is>
          <t>RE</t>
        </is>
      </c>
      <c r="B62" s="147" t="inlineStr">
        <is>
          <t>KUNAL</t>
        </is>
      </c>
      <c r="C62" s="153" t="inlineStr">
        <is>
          <t>ERW1</t>
        </is>
      </c>
      <c r="D62" s="147" t="inlineStr">
        <is>
          <t>FIN CUT</t>
        </is>
      </c>
      <c r="E62" s="147" t="inlineStr">
        <is>
          <t>ERW</t>
        </is>
      </c>
      <c r="F62" s="168" t="inlineStr">
        <is>
          <t>59x30</t>
        </is>
      </c>
      <c r="G62" s="168" t="n"/>
      <c r="H62" s="168" t="n">
        <v>1.6</v>
      </c>
      <c r="I62" s="169" t="n">
        <v>572.5</v>
      </c>
      <c r="J62" s="147" t="n">
        <v>0.5725</v>
      </c>
      <c r="K62" s="147">
        <f>_xlfn.CONCAT(F62,H62,J62,E62,D62)</f>
        <v/>
      </c>
      <c r="L62" s="147">
        <f>VLOOKUP(K62,'VSM May Indent'!$K$1:$O$61,4,0)</f>
        <v/>
      </c>
      <c r="M62" s="147">
        <f>VLOOKUP(K62,'VSM May Indent'!$K$1:$O$61,5,0)</f>
        <v/>
      </c>
      <c r="N62" s="151" t="inlineStr">
        <is>
          <t>0789</t>
        </is>
      </c>
      <c r="O62" s="150" t="n">
        <v>2420716</v>
      </c>
      <c r="P62" s="19" t="n">
        <v>15</v>
      </c>
      <c r="Q62" s="147" t="n">
        <v>0</v>
      </c>
      <c r="R62" s="147" t="n">
        <v>0</v>
      </c>
      <c r="S62" s="147" t="n"/>
      <c r="T62" s="147">
        <f>R62-Q62</f>
        <v/>
      </c>
      <c r="U62" s="301" t="n"/>
      <c r="V62" s="147">
        <f>U62+T62+S62</f>
        <v/>
      </c>
      <c r="W62" s="19">
        <f>P62*1.1-V62</f>
        <v/>
      </c>
      <c r="X62" s="297">
        <f>IF(W62&gt;0,W62,0)</f>
        <v/>
      </c>
      <c r="Y62" s="167">
        <f>X62+U62</f>
        <v/>
      </c>
      <c r="Z62" s="185">
        <f>SUMIFS(meghsteelsales_previousmonth[Quantity],meghsteelsales_previousmonth[Length Bucket],M62)/1000</f>
        <v/>
      </c>
      <c r="AA62" s="185">
        <f>SUMIFS(meghsteelsales_currentmonth[Quantity],meghsteelsales_currentmonth[Length Bucket],M62)/1000</f>
        <v/>
      </c>
      <c r="AB62" s="185">
        <f>IF((X62-Z62-AA62)&lt;0,0,(X62-Z62-AA62))</f>
        <v/>
      </c>
      <c r="AC62" s="185">
        <f>Y62-Z62-AA62</f>
        <v/>
      </c>
      <c r="AD62" s="267" t="n"/>
      <c r="AE62" s="185" t="n"/>
      <c r="AF62" s="185" t="n"/>
      <c r="AG62" s="185" t="n"/>
    </row>
    <row r="63">
      <c r="A63" s="265" t="inlineStr">
        <is>
          <t>TVS</t>
        </is>
      </c>
      <c r="B63" s="147" t="inlineStr">
        <is>
          <t>RUCHA,METALMAN</t>
        </is>
      </c>
      <c r="C63" s="153" t="inlineStr">
        <is>
          <t>ERW1</t>
        </is>
      </c>
      <c r="D63" s="147" t="inlineStr">
        <is>
          <t>FIN CUT</t>
        </is>
      </c>
      <c r="E63" s="147" t="inlineStr">
        <is>
          <t>ERW</t>
        </is>
      </c>
      <c r="F63" s="148" t="n">
        <v>57.15</v>
      </c>
      <c r="G63" s="148" t="n"/>
      <c r="H63" s="148" t="n">
        <v>2.5</v>
      </c>
      <c r="I63" s="147" t="n">
        <v>5710</v>
      </c>
      <c r="J63" s="147" t="n">
        <v>5.71</v>
      </c>
      <c r="K63" s="147">
        <f>_xlfn.CONCAT(F63,H63,J63,E63,D63)</f>
        <v/>
      </c>
      <c r="L63" s="147">
        <f>VLOOKUP(K63,'VSM May Indent'!$K$1:$O$61,4,0)</f>
        <v/>
      </c>
      <c r="M63" s="147">
        <f>VLOOKUP(K63,'VSM May Indent'!$K$1:$O$61,5,0)</f>
        <v/>
      </c>
      <c r="N63" s="151" t="inlineStr">
        <is>
          <t>056</t>
        </is>
      </c>
      <c r="O63" s="150" t="n">
        <v>3907863</v>
      </c>
      <c r="P63" s="19" t="n">
        <v>40</v>
      </c>
      <c r="Q63" s="147" t="n">
        <v>25</v>
      </c>
      <c r="R63" s="147" t="n">
        <v>6</v>
      </c>
      <c r="S63" s="147" t="n"/>
      <c r="T63" s="147">
        <f>R63-Q63</f>
        <v/>
      </c>
      <c r="U63" s="301" t="n"/>
      <c r="V63" s="147">
        <f>U63+T63+S63</f>
        <v/>
      </c>
      <c r="W63" s="19">
        <f>P63*1.1-V63</f>
        <v/>
      </c>
      <c r="X63" s="297">
        <f>IF(W63&gt;0,W63,0)</f>
        <v/>
      </c>
      <c r="Y63" s="167">
        <f>X63+U63</f>
        <v/>
      </c>
      <c r="Z63" s="185">
        <f>SUMIFS(meghsteelsales_previousmonth[Quantity],meghsteelsales_previousmonth[Length Bucket],M63)/1000</f>
        <v/>
      </c>
      <c r="AA63" s="185">
        <f>SUMIFS(meghsteelsales_currentmonth[Quantity],meghsteelsales_currentmonth[Length Bucket],M63)/1000</f>
        <v/>
      </c>
      <c r="AB63" s="185">
        <f>IF((X63-Z63-AA63)&lt;0,0,(X63-Z63-AA63))</f>
        <v/>
      </c>
      <c r="AC63" s="185">
        <f>Y63-Z63-AA63</f>
        <v/>
      </c>
      <c r="AD63" s="267" t="n"/>
      <c r="AE63" s="185" t="n"/>
      <c r="AF63" s="185" t="n"/>
      <c r="AG63" s="185" t="n"/>
    </row>
    <row r="64" customFormat="1" s="45">
      <c r="A64" s="266" t="inlineStr">
        <is>
          <t>TVS</t>
        </is>
      </c>
      <c r="B64" s="156" t="inlineStr">
        <is>
          <t>RUCHA,METALMAN</t>
        </is>
      </c>
      <c r="C64" s="157" t="inlineStr">
        <is>
          <t>ERW1</t>
        </is>
      </c>
      <c r="D64" s="156" t="inlineStr">
        <is>
          <t>FIN CUT</t>
        </is>
      </c>
      <c r="E64" s="156" t="inlineStr">
        <is>
          <t>ERW</t>
        </is>
      </c>
      <c r="F64" s="248" t="n">
        <v>57.15</v>
      </c>
      <c r="G64" s="248" t="n"/>
      <c r="H64" s="248" t="n">
        <v>2.5</v>
      </c>
      <c r="I64" s="156" t="n">
        <v>5950</v>
      </c>
      <c r="J64" s="156" t="n"/>
      <c r="K64" s="147">
        <f>_xlfn.CONCAT(F64,H64,J64,E64,D64)</f>
        <v/>
      </c>
      <c r="L64" s="147">
        <f>VLOOKUP(K64,'VSM May Indent'!$K$1:$O$61,4,0)</f>
        <v/>
      </c>
      <c r="M64" s="147">
        <f>VLOOKUP(K64,'VSM May Indent'!$K$1:$O$61,5,0)</f>
        <v/>
      </c>
      <c r="N64" s="201" t="inlineStr">
        <is>
          <t>056</t>
        </is>
      </c>
      <c r="O64" s="245" t="inlineStr">
        <is>
          <t>MCR 42137</t>
        </is>
      </c>
      <c r="P64" s="246" t="n">
        <v>30</v>
      </c>
      <c r="Q64" s="156" t="n"/>
      <c r="R64" s="156" t="n"/>
      <c r="S64" s="156" t="n"/>
      <c r="T64" s="156" t="n"/>
      <c r="U64" s="301" t="n"/>
      <c r="V64" s="156" t="n"/>
      <c r="W64" s="246" t="n"/>
      <c r="X64" s="297" t="n">
        <v>30</v>
      </c>
      <c r="Y64" s="247">
        <f>X64+U64</f>
        <v/>
      </c>
      <c r="Z64" s="185">
        <f>SUMIFS(meghsteelsales_previousmonth[Quantity],meghsteelsales_previousmonth[Length Bucket],M64)/1000</f>
        <v/>
      </c>
      <c r="AA64" s="185">
        <f>SUMIFS(meghsteelsales_currentmonth[Quantity],meghsteelsales_currentmonth[Length Bucket],M64)/1000</f>
        <v/>
      </c>
      <c r="AB64" s="185">
        <f>IF((X64-Z64-AA64)&lt;0,0,(X64-Z64-AA64))</f>
        <v/>
      </c>
      <c r="AC64" s="185">
        <f>Y64-Z64-AA64</f>
        <v/>
      </c>
      <c r="AD64" s="267" t="n"/>
      <c r="AE64" s="292" t="inlineStr">
        <is>
          <t>order to be logged</t>
        </is>
      </c>
      <c r="AF64" s="185">
        <f>Table25[[#This Row],[OEM]]</f>
        <v/>
      </c>
      <c r="AG64" s="185">
        <f>Table25[[#This Row],[plant]]</f>
        <v/>
      </c>
    </row>
    <row r="65">
      <c r="A65" s="265" t="inlineStr">
        <is>
          <t>TVS</t>
        </is>
      </c>
      <c r="B65" s="147" t="inlineStr">
        <is>
          <t>RUCHA,METALMAN</t>
        </is>
      </c>
      <c r="C65" s="153" t="inlineStr">
        <is>
          <t>ERW1</t>
        </is>
      </c>
      <c r="D65" s="147" t="inlineStr">
        <is>
          <t>FIN CUT</t>
        </is>
      </c>
      <c r="E65" s="147" t="inlineStr">
        <is>
          <t>ERW</t>
        </is>
      </c>
      <c r="F65" s="148" t="n">
        <v>57.15</v>
      </c>
      <c r="G65" s="148" t="n"/>
      <c r="H65" s="148" t="n">
        <v>2.5</v>
      </c>
      <c r="I65" s="147" t="n">
        <v>6100</v>
      </c>
      <c r="J65" s="147" t="n">
        <v>6.1</v>
      </c>
      <c r="K65" s="147">
        <f>_xlfn.CONCAT(F65,H65,J65,E65,D65)</f>
        <v/>
      </c>
      <c r="L65" s="147">
        <f>VLOOKUP(K65,'VSM May Indent'!$K$1:$O$61,4,0)</f>
        <v/>
      </c>
      <c r="M65" s="147">
        <f>VLOOKUP(K65,'VSM May Indent'!$K$1:$O$61,5,0)</f>
        <v/>
      </c>
      <c r="N65" s="151" t="inlineStr">
        <is>
          <t>056</t>
        </is>
      </c>
      <c r="O65" s="150" t="n">
        <v>3910001</v>
      </c>
      <c r="P65" s="19" t="n">
        <v>65</v>
      </c>
      <c r="Q65" s="147" t="n">
        <v>25</v>
      </c>
      <c r="R65" s="147" t="n">
        <v>59</v>
      </c>
      <c r="S65" s="147" t="n"/>
      <c r="T65" s="147">
        <f>R65-Q65</f>
        <v/>
      </c>
      <c r="U65" s="301" t="n"/>
      <c r="V65" s="147">
        <f>U65+T65+S65</f>
        <v/>
      </c>
      <c r="W65" s="19">
        <f>P65*1.1-V65</f>
        <v/>
      </c>
      <c r="X65" s="297">
        <f>IF(W65&gt;0,W65,0)</f>
        <v/>
      </c>
      <c r="Y65" s="167">
        <f>X65+U65</f>
        <v/>
      </c>
      <c r="Z65" s="185">
        <f>SUMIFS(meghsteelsales_previousmonth[Quantity],meghsteelsales_previousmonth[Length Bucket],M65)/1000</f>
        <v/>
      </c>
      <c r="AA65" s="185">
        <f>SUMIFS(meghsteelsales_currentmonth[Quantity],meghsteelsales_currentmonth[Length Bucket],M65)/1000</f>
        <v/>
      </c>
      <c r="AB65" s="185">
        <f>IF((X65-Z65-AA65)&lt;0,0,(X65-Z65-AA65))</f>
        <v/>
      </c>
      <c r="AC65" s="185">
        <f>Y65-Z65-AA65</f>
        <v/>
      </c>
      <c r="AD65" s="267">
        <f>L97</f>
        <v/>
      </c>
      <c r="AE65" s="185">
        <f>M97</f>
        <v/>
      </c>
      <c r="AF65" s="185" t="n"/>
      <c r="AG65" s="185" t="n"/>
    </row>
    <row r="66">
      <c r="A66" s="265" t="inlineStr">
        <is>
          <t>TVS</t>
        </is>
      </c>
      <c r="B66" s="147" t="inlineStr">
        <is>
          <t>RUCHA,METALMAN</t>
        </is>
      </c>
      <c r="C66" s="147" t="inlineStr">
        <is>
          <t>ERW1</t>
        </is>
      </c>
      <c r="D66" s="147" t="inlineStr">
        <is>
          <t>FIN CUT</t>
        </is>
      </c>
      <c r="E66" s="147" t="inlineStr">
        <is>
          <t>ERW</t>
        </is>
      </c>
      <c r="F66" s="148" t="n">
        <v>57.15</v>
      </c>
      <c r="G66" s="148" t="n"/>
      <c r="H66" s="148" t="n">
        <v>2.5</v>
      </c>
      <c r="I66" s="147" t="n">
        <v>5750</v>
      </c>
      <c r="J66" s="147" t="n">
        <v>5.75</v>
      </c>
      <c r="K66" s="147">
        <f>_xlfn.CONCAT(F66,H66,J66,E66,D66)</f>
        <v/>
      </c>
      <c r="L66" s="147">
        <f>VLOOKUP(K66,'VSM May Indent'!$K$1:$O$61,4,0)</f>
        <v/>
      </c>
      <c r="M66" s="147">
        <f>VLOOKUP(K66,'VSM May Indent'!$K$1:$O$61,5,0)</f>
        <v/>
      </c>
      <c r="N66" s="151" t="inlineStr">
        <is>
          <t>056</t>
        </is>
      </c>
      <c r="O66" s="150" t="n">
        <v>3501047</v>
      </c>
      <c r="P66" s="19" t="n">
        <v>30</v>
      </c>
      <c r="Q66" s="147" t="n">
        <v>0</v>
      </c>
      <c r="R66" s="147" t="n">
        <v>0</v>
      </c>
      <c r="S66" s="147" t="n"/>
      <c r="T66" s="147">
        <f>R66-Q66</f>
        <v/>
      </c>
      <c r="U66" s="301" t="n"/>
      <c r="V66" s="147">
        <f>U66+T66+S66</f>
        <v/>
      </c>
      <c r="W66" s="19">
        <f>P66*1.1-V66</f>
        <v/>
      </c>
      <c r="X66" s="297">
        <f>IF(W66&gt;0,W66,0)</f>
        <v/>
      </c>
      <c r="Y66" s="167">
        <f>X66+U66</f>
        <v/>
      </c>
      <c r="Z66" s="185">
        <f>SUMIFS(meghsteelsales_previousmonth[Quantity],meghsteelsales_previousmonth[Length Bucket],M66)/1000</f>
        <v/>
      </c>
      <c r="AA66" s="185">
        <f>SUMIFS(meghsteelsales_currentmonth[Quantity],meghsteelsales_currentmonth[Length Bucket],M66)/1000</f>
        <v/>
      </c>
      <c r="AB66" s="185">
        <f>IF((X66-Z66-AA66)&lt;0,0,(X66-Z66-AA66))</f>
        <v/>
      </c>
      <c r="AC66" s="185">
        <f>Y66-Z66-AA66</f>
        <v/>
      </c>
      <c r="AD66" s="267" t="n">
        <v>24</v>
      </c>
      <c r="AE66" s="185">
        <f>M99</f>
        <v/>
      </c>
      <c r="AF66" s="185" t="n"/>
      <c r="AG66" s="185" t="n"/>
    </row>
    <row r="67">
      <c r="A67" s="265" t="inlineStr">
        <is>
          <t>HMSI</t>
        </is>
      </c>
      <c r="B67" s="147" t="inlineStr">
        <is>
          <t>BADVE</t>
        </is>
      </c>
      <c r="C67" s="153" t="inlineStr">
        <is>
          <t>ERW1</t>
        </is>
      </c>
      <c r="D67" s="147" t="inlineStr">
        <is>
          <t>FIN CUT</t>
        </is>
      </c>
      <c r="E67" s="147" t="inlineStr">
        <is>
          <t>ERW</t>
        </is>
      </c>
      <c r="F67" s="148" t="n">
        <v>57.15</v>
      </c>
      <c r="G67" s="148" t="n"/>
      <c r="H67" s="148" t="n">
        <v>3</v>
      </c>
      <c r="I67" s="147" t="n">
        <v>5650</v>
      </c>
      <c r="J67" s="147" t="n">
        <v>5.65</v>
      </c>
      <c r="K67" s="147">
        <f>_xlfn.CONCAT(F67,H67,J67,E67,D67)</f>
        <v/>
      </c>
      <c r="L67" s="147">
        <f>VLOOKUP(K67,'VSM May Indent'!$K$1:$O$61,4,0)</f>
        <v/>
      </c>
      <c r="M67" s="147">
        <f>VLOOKUP(K67,'VSM May Indent'!$K$1:$O$61,5,0)</f>
        <v/>
      </c>
      <c r="N67" s="151" t="inlineStr">
        <is>
          <t>056</t>
        </is>
      </c>
      <c r="O67" s="150" t="n">
        <v>3501105</v>
      </c>
      <c r="P67" s="19" t="n">
        <v>0</v>
      </c>
      <c r="Q67" s="147" t="n">
        <v>0</v>
      </c>
      <c r="R67" s="147" t="n">
        <v>0</v>
      </c>
      <c r="S67" s="147" t="n"/>
      <c r="T67" s="147">
        <f>R67-Q67</f>
        <v/>
      </c>
      <c r="U67" s="147" t="n"/>
      <c r="V67" s="147">
        <f>U67+T67+S67</f>
        <v/>
      </c>
      <c r="W67" s="19">
        <f>P67*1.1-V67</f>
        <v/>
      </c>
      <c r="X67" s="167">
        <f>IF(W67&gt;0,W67,0)</f>
        <v/>
      </c>
      <c r="Y67" s="167">
        <f>X67+U67</f>
        <v/>
      </c>
      <c r="Z67" s="185">
        <f>SUMIFS(meghsteelsales_previousmonth[Quantity],meghsteelsales_previousmonth[Length Bucket],M67)/1000</f>
        <v/>
      </c>
      <c r="AA67" s="185">
        <f>SUMIFS(meghsteelsales_currentmonth[Quantity],meghsteelsales_currentmonth[Length Bucket],M67)/1000</f>
        <v/>
      </c>
      <c r="AB67" s="185">
        <f>IF((X67-Z67-AA67)&lt;0,0,(X67-Z67-AA67))</f>
        <v/>
      </c>
      <c r="AC67" s="185">
        <f>Y67-Z67-AA67</f>
        <v/>
      </c>
      <c r="AD67" s="267" t="n"/>
      <c r="AE67" s="185" t="n"/>
      <c r="AF67" s="185" t="n"/>
      <c r="AG67" s="185" t="n"/>
    </row>
    <row r="68" customFormat="1" s="45">
      <c r="A68" s="281" t="inlineStr">
        <is>
          <t>TVS</t>
        </is>
      </c>
      <c r="B68" s="282" t="inlineStr">
        <is>
          <t>METALMAN</t>
        </is>
      </c>
      <c r="C68" s="283" t="inlineStr">
        <is>
          <t>ERW1</t>
        </is>
      </c>
      <c r="D68" s="282" t="inlineStr">
        <is>
          <t>FIN CUT</t>
        </is>
      </c>
      <c r="E68" s="282" t="inlineStr">
        <is>
          <t>ERW</t>
        </is>
      </c>
      <c r="F68" s="284" t="n">
        <v>60.3</v>
      </c>
      <c r="G68" s="284" t="n"/>
      <c r="H68" s="284" t="n">
        <v>2</v>
      </c>
      <c r="I68" s="282" t="n">
        <v>5900</v>
      </c>
      <c r="J68" s="282" t="n">
        <v>5.9</v>
      </c>
      <c r="K68" s="285">
        <f>_xlfn.CONCAT(F68,H68,J68,E68,D68)</f>
        <v/>
      </c>
      <c r="L68" s="285">
        <f>VLOOKUP(K68,'VSM May Indent'!$K$1:$O$61,4,0)</f>
        <v/>
      </c>
      <c r="M68" s="285">
        <f>VLOOKUP(K68,'VSM May Indent'!$K$1:$O$61,5,0)</f>
        <v/>
      </c>
      <c r="N68" s="286" t="inlineStr">
        <is>
          <t>0788</t>
        </is>
      </c>
      <c r="O68" s="287" t="n">
        <v>3905049</v>
      </c>
      <c r="P68" s="288" t="n">
        <v>30</v>
      </c>
      <c r="Q68" s="282" t="n">
        <v>5</v>
      </c>
      <c r="R68" s="282" t="n">
        <v>29</v>
      </c>
      <c r="S68" s="282" t="n"/>
      <c r="T68" s="282">
        <f>R68-Q68</f>
        <v/>
      </c>
      <c r="U68" s="302" t="n"/>
      <c r="V68" s="282">
        <f>U68+T68+S68</f>
        <v/>
      </c>
      <c r="W68" s="288">
        <f>P68*1.1-V68</f>
        <v/>
      </c>
      <c r="X68" s="298">
        <f>IF(W68&gt;0,W68,0)</f>
        <v/>
      </c>
      <c r="Y68" s="289">
        <f>X68+U68</f>
        <v/>
      </c>
      <c r="Z68" s="290">
        <f>SUMIFS(meghsteelsales_previousmonth[Quantity],meghsteelsales_previousmonth[Length Bucket],M68)/1000</f>
        <v/>
      </c>
      <c r="AA68" s="290">
        <f>SUMIFS(meghsteelsales_currentmonth[Quantity],meghsteelsales_currentmonth[Length Bucket],M68)/1000</f>
        <v/>
      </c>
      <c r="AB68" s="290">
        <f>IF((X68-Z68-AA68)&lt;0,0,(X68-Z68-AA68))</f>
        <v/>
      </c>
      <c r="AC68" s="290">
        <f>Y68-Z68-AA68</f>
        <v/>
      </c>
      <c r="AD68" s="291" t="n"/>
      <c r="AE68" s="295" t="n"/>
      <c r="AF68" s="295" t="n"/>
      <c r="AG68" s="295" t="n"/>
    </row>
    <row r="69">
      <c r="I69" s="152" t="inlineStr">
        <is>
          <t>TOTAL</t>
        </is>
      </c>
      <c r="J69" s="152" t="n"/>
      <c r="K69" s="152" t="n"/>
      <c r="L69" s="152" t="n"/>
      <c r="M69" s="147" t="n"/>
      <c r="N69" s="152" t="n"/>
      <c r="O69" s="197" t="n"/>
      <c r="P69" s="152">
        <f>SUM(P2:P68)</f>
        <v/>
      </c>
      <c r="Q69" s="152">
        <f>SUM(Q2:Q68)</f>
        <v/>
      </c>
      <c r="R69" s="152">
        <f>SUM(R2:R68)</f>
        <v/>
      </c>
      <c r="S69" s="152">
        <f>SUM(S2:S68)</f>
        <v/>
      </c>
      <c r="T69" s="152">
        <f>SUM(T2:T68)</f>
        <v/>
      </c>
      <c r="U69" s="303">
        <f>SUM(U2:U68)</f>
        <v/>
      </c>
      <c r="V69" s="152">
        <f>SUM(V2:V68)</f>
        <v/>
      </c>
      <c r="W69" s="152">
        <f>SUM(W2:W68)</f>
        <v/>
      </c>
      <c r="X69" s="299">
        <f>SUM(X2:X68)</f>
        <v/>
      </c>
      <c r="Y69" s="172" t="n"/>
      <c r="Z69" s="185">
        <f>SUM(Z2:Z68)</f>
        <v/>
      </c>
      <c r="AA69" s="185">
        <f>SUM(AA2:AA68)</f>
        <v/>
      </c>
      <c r="AC69" s="185">
        <f>SUM(AC2:AC68)</f>
        <v/>
      </c>
    </row>
    <row r="70">
      <c r="O70" s="198" t="n"/>
      <c r="Y70" s="173" t="n"/>
    </row>
    <row r="71" ht="38.25" customHeight="1" s="584">
      <c r="A71" s="255" t="inlineStr">
        <is>
          <t>OEM</t>
        </is>
      </c>
      <c r="B71" s="255" t="inlineStr">
        <is>
          <t>Customer</t>
        </is>
      </c>
      <c r="C71" s="256" t="inlineStr">
        <is>
          <t xml:space="preserve">Metallurgy condition </t>
        </is>
      </c>
      <c r="D71" s="256" t="inlineStr">
        <is>
          <t>Material Type</t>
        </is>
      </c>
      <c r="E71" s="255" t="inlineStr">
        <is>
          <t>GRADE</t>
        </is>
      </c>
      <c r="F71" s="255" t="inlineStr">
        <is>
          <t>OD</t>
        </is>
      </c>
      <c r="G71" s="255" t="inlineStr">
        <is>
          <t>ID</t>
        </is>
      </c>
      <c r="H71" s="255" t="inlineStr">
        <is>
          <t>THK</t>
        </is>
      </c>
      <c r="I71" s="255" t="inlineStr">
        <is>
          <t>LENGTH</t>
        </is>
      </c>
      <c r="J71" s="255" t="inlineStr">
        <is>
          <t>plant</t>
        </is>
      </c>
      <c r="K71" s="257" t="inlineStr">
        <is>
          <t>TSL Material Code</t>
        </is>
      </c>
      <c r="L71" s="258" t="inlineStr">
        <is>
          <t>Indent to be placed</t>
        </is>
      </c>
      <c r="M71" s="259" t="inlineStr">
        <is>
          <t>S.O. REF</t>
        </is>
      </c>
      <c r="N71" s="259" t="inlineStr">
        <is>
          <t>STATUS</t>
        </is>
      </c>
      <c r="O71" s="198" t="n"/>
      <c r="Y71" s="173" t="n"/>
    </row>
    <row r="72">
      <c r="A72" s="260" t="inlineStr">
        <is>
          <t>TVS</t>
        </is>
      </c>
      <c r="B72" s="260" t="inlineStr">
        <is>
          <t>RUCHA</t>
        </is>
      </c>
      <c r="C72" s="260" t="inlineStr">
        <is>
          <t>ERW1</t>
        </is>
      </c>
      <c r="D72" s="260" t="inlineStr">
        <is>
          <t>NON FIN</t>
        </is>
      </c>
      <c r="E72" s="260" t="inlineStr">
        <is>
          <t>ERW</t>
        </is>
      </c>
      <c r="F72" s="260" t="n">
        <v>12.7</v>
      </c>
      <c r="G72" s="261" t="n"/>
      <c r="H72" s="260" t="n">
        <v>1.2</v>
      </c>
      <c r="I72" s="260" t="n">
        <v>6000</v>
      </c>
      <c r="J72" s="260" t="n">
        <v>789</v>
      </c>
      <c r="K72" s="260" t="n">
        <v>1939985</v>
      </c>
      <c r="L72" s="262" t="n">
        <v>5</v>
      </c>
      <c r="M72" s="260" t="n">
        <v>9518796938</v>
      </c>
      <c r="N72" s="260" t="inlineStr">
        <is>
          <t>LOADED / RELEASED</t>
        </is>
      </c>
      <c r="O72" s="198" t="n"/>
      <c r="Y72" s="173" t="n"/>
      <c r="AB72">
        <f t="array" ref="AB72:AB81">_xlfn.UNIQUE(M72:M104)</f>
        <v/>
      </c>
    </row>
    <row r="73">
      <c r="A73" s="260" t="inlineStr">
        <is>
          <t>TVS</t>
        </is>
      </c>
      <c r="B73" s="260" t="inlineStr">
        <is>
          <t>RUCHA</t>
        </is>
      </c>
      <c r="C73" s="260" t="inlineStr">
        <is>
          <t>ERW1</t>
        </is>
      </c>
      <c r="D73" s="260" t="inlineStr">
        <is>
          <t>NON FIN</t>
        </is>
      </c>
      <c r="E73" s="260" t="inlineStr">
        <is>
          <t>ERW</t>
        </is>
      </c>
      <c r="F73" s="260" t="n">
        <v>15.88</v>
      </c>
      <c r="G73" s="261" t="n"/>
      <c r="H73" s="260" t="n">
        <v>1.2</v>
      </c>
      <c r="I73" s="260" t="n">
        <v>6000</v>
      </c>
      <c r="J73" s="260" t="n">
        <v>789</v>
      </c>
      <c r="K73" s="260" t="n">
        <v>1940054</v>
      </c>
      <c r="L73" s="262" t="n">
        <v>6</v>
      </c>
      <c r="M73" s="260" t="n">
        <v>9518796938</v>
      </c>
      <c r="N73" s="260" t="inlineStr">
        <is>
          <t>LOADED / RELEASED</t>
        </is>
      </c>
      <c r="O73" s="198" t="n"/>
      <c r="Y73" s="173" t="n"/>
      <c r="AB73" t="n">
        <v>9518797070</v>
      </c>
    </row>
    <row r="74">
      <c r="A74" s="260" t="inlineStr">
        <is>
          <t>HMSI</t>
        </is>
      </c>
      <c r="B74" s="260" t="inlineStr">
        <is>
          <t>BADVE</t>
        </is>
      </c>
      <c r="C74" s="260" t="inlineStr">
        <is>
          <t>ERW1</t>
        </is>
      </c>
      <c r="D74" s="260" t="inlineStr">
        <is>
          <t>NON FIN</t>
        </is>
      </c>
      <c r="E74" s="260" t="inlineStr">
        <is>
          <t>ERW</t>
        </is>
      </c>
      <c r="F74" s="260" t="n">
        <v>15.88</v>
      </c>
      <c r="G74" s="261" t="n"/>
      <c r="H74" s="260" t="n">
        <v>1.6</v>
      </c>
      <c r="I74" s="260" t="n">
        <v>6000</v>
      </c>
      <c r="J74" s="260" t="n">
        <v>789</v>
      </c>
      <c r="K74" s="260" t="n">
        <v>1900224</v>
      </c>
      <c r="L74" s="262" t="n">
        <v>6</v>
      </c>
      <c r="M74" s="260" t="n">
        <v>9518797070</v>
      </c>
      <c r="N74" s="260" t="inlineStr">
        <is>
          <t>LOADED / RELEASED</t>
        </is>
      </c>
      <c r="O74" s="198" t="n"/>
      <c r="Y74" s="173" t="n"/>
      <c r="AB74" t="n">
        <v>9518797028</v>
      </c>
    </row>
    <row r="75">
      <c r="A75" s="260" t="inlineStr">
        <is>
          <t>TVS</t>
        </is>
      </c>
      <c r="B75" s="260" t="inlineStr">
        <is>
          <t>Rucha</t>
        </is>
      </c>
      <c r="C75" s="260" t="inlineStr">
        <is>
          <t>ERW1</t>
        </is>
      </c>
      <c r="D75" s="260" t="inlineStr">
        <is>
          <t>NON FIN</t>
        </is>
      </c>
      <c r="E75" s="260" t="inlineStr">
        <is>
          <t>ERW</t>
        </is>
      </c>
      <c r="F75" s="260" t="n">
        <v>18.3</v>
      </c>
      <c r="G75" s="261" t="n"/>
      <c r="H75" s="260" t="n">
        <v>1</v>
      </c>
      <c r="I75" s="260" t="n">
        <v>6000</v>
      </c>
      <c r="J75" s="260" t="n">
        <v>789</v>
      </c>
      <c r="K75" s="260" t="n">
        <v>2288945</v>
      </c>
      <c r="L75" s="262" t="n">
        <v>10</v>
      </c>
      <c r="M75" s="260" t="n">
        <v>9518796938</v>
      </c>
      <c r="N75" s="260" t="inlineStr">
        <is>
          <t>LOADED / RELEASED</t>
        </is>
      </c>
      <c r="O75" s="198" t="n"/>
      <c r="Y75" s="173" t="n"/>
      <c r="AB75" t="n">
        <v>9518796894</v>
      </c>
    </row>
    <row r="76">
      <c r="A76" s="260" t="inlineStr">
        <is>
          <t>HMSI</t>
        </is>
      </c>
      <c r="B76" s="260" t="inlineStr">
        <is>
          <t>BADVE</t>
        </is>
      </c>
      <c r="C76" s="260" t="inlineStr">
        <is>
          <t>ERW1</t>
        </is>
      </c>
      <c r="D76" s="260" t="inlineStr">
        <is>
          <t>NON FIN</t>
        </is>
      </c>
      <c r="E76" s="260" t="inlineStr">
        <is>
          <t>ERW</t>
        </is>
      </c>
      <c r="F76" s="260" t="n">
        <v>19.05</v>
      </c>
      <c r="G76" s="261" t="n"/>
      <c r="H76" s="260" t="n">
        <v>1.6</v>
      </c>
      <c r="I76" s="260" t="n">
        <v>6000</v>
      </c>
      <c r="J76" s="260" t="n">
        <v>56</v>
      </c>
      <c r="K76" s="260" t="n">
        <v>3498997</v>
      </c>
      <c r="L76" s="262" t="n">
        <v>5</v>
      </c>
      <c r="M76" s="260" t="n">
        <v>9518797028</v>
      </c>
      <c r="N76" s="260" t="inlineStr">
        <is>
          <t>LOADED / RELEASED</t>
        </is>
      </c>
      <c r="O76" s="198" t="n"/>
      <c r="Y76" s="173" t="n"/>
      <c r="AB76" t="n">
        <v>9518797094</v>
      </c>
    </row>
    <row r="77">
      <c r="A77" s="260" t="inlineStr">
        <is>
          <t>TVS</t>
        </is>
      </c>
      <c r="B77" s="260" t="inlineStr">
        <is>
          <t>RUCHA</t>
        </is>
      </c>
      <c r="C77" s="260" t="inlineStr">
        <is>
          <t>ERW1</t>
        </is>
      </c>
      <c r="D77" s="260" t="inlineStr">
        <is>
          <t>NON FIN</t>
        </is>
      </c>
      <c r="E77" s="260" t="inlineStr">
        <is>
          <t>ERW</t>
        </is>
      </c>
      <c r="F77" s="260" t="n">
        <v>22.2</v>
      </c>
      <c r="G77" s="261" t="n"/>
      <c r="H77" s="260" t="n">
        <v>1.2</v>
      </c>
      <c r="I77" s="260" t="n">
        <v>5870</v>
      </c>
      <c r="J77" s="260" t="n">
        <v>56</v>
      </c>
      <c r="K77" s="260" t="n">
        <v>3882110</v>
      </c>
      <c r="L77" s="262" t="n">
        <v>12</v>
      </c>
      <c r="M77" s="260" t="n">
        <v>9518796894</v>
      </c>
      <c r="N77" s="260" t="inlineStr">
        <is>
          <t>LOADED / RELEASED</t>
        </is>
      </c>
      <c r="O77" s="198" t="n"/>
      <c r="Y77" s="173" t="n"/>
      <c r="AB77" t="n">
        <v>9518797132</v>
      </c>
    </row>
    <row r="78">
      <c r="A78" s="260" t="inlineStr">
        <is>
          <t>TVS</t>
        </is>
      </c>
      <c r="B78" s="260" t="inlineStr">
        <is>
          <t>RUCHA</t>
        </is>
      </c>
      <c r="C78" s="260" t="inlineStr">
        <is>
          <t>ERW1</t>
        </is>
      </c>
      <c r="D78" s="260" t="inlineStr">
        <is>
          <t>NON FIN</t>
        </is>
      </c>
      <c r="E78" s="260" t="inlineStr">
        <is>
          <t>ERW</t>
        </is>
      </c>
      <c r="F78" s="260" t="n">
        <v>22.2</v>
      </c>
      <c r="G78" s="261" t="n"/>
      <c r="H78" s="260" t="n">
        <v>2</v>
      </c>
      <c r="I78" s="260" t="n">
        <v>5950</v>
      </c>
      <c r="J78" s="260" t="n">
        <v>56</v>
      </c>
      <c r="K78" s="260" t="n">
        <v>3905466</v>
      </c>
      <c r="L78" s="262" t="n">
        <v>52</v>
      </c>
      <c r="M78" s="260" t="n">
        <v>9518796894</v>
      </c>
      <c r="N78" s="260" t="inlineStr">
        <is>
          <t>LOADED / RELEASED</t>
        </is>
      </c>
      <c r="O78" s="198" t="n"/>
      <c r="Y78" s="173" t="n"/>
      <c r="AB78" t="n">
        <v>9518799539</v>
      </c>
    </row>
    <row r="79">
      <c r="A79" s="260" t="inlineStr">
        <is>
          <t>TVS</t>
        </is>
      </c>
      <c r="B79" s="260" t="inlineStr">
        <is>
          <t>RUCHA</t>
        </is>
      </c>
      <c r="C79" s="260" t="inlineStr">
        <is>
          <t>ERW1</t>
        </is>
      </c>
      <c r="D79" s="260" t="inlineStr">
        <is>
          <t>NON FIN</t>
        </is>
      </c>
      <c r="E79" s="260" t="inlineStr">
        <is>
          <t>ERW</t>
        </is>
      </c>
      <c r="F79" s="260" t="n">
        <v>22.2</v>
      </c>
      <c r="G79" s="261" t="n"/>
      <c r="H79" s="260" t="n">
        <v>2</v>
      </c>
      <c r="I79" s="260" t="n">
        <v>5100</v>
      </c>
      <c r="J79" s="260" t="n">
        <v>56</v>
      </c>
      <c r="K79" s="260" t="n">
        <v>3500554</v>
      </c>
      <c r="L79" s="262" t="n">
        <v>7</v>
      </c>
      <c r="M79" s="260" t="n">
        <v>9518796894</v>
      </c>
      <c r="N79" s="260" t="inlineStr">
        <is>
          <t>LOADED / RELEASED</t>
        </is>
      </c>
      <c r="O79" s="198" t="n"/>
      <c r="Y79" s="173" t="n"/>
      <c r="AB79" t="inlineStr">
        <is>
          <t>MCR - 1485036</t>
        </is>
      </c>
    </row>
    <row r="80">
      <c r="A80" s="260" t="inlineStr">
        <is>
          <t>TVS</t>
        </is>
      </c>
      <c r="B80" s="260" t="inlineStr">
        <is>
          <t>RUCHA</t>
        </is>
      </c>
      <c r="C80" s="260" t="inlineStr">
        <is>
          <t>ERW2</t>
        </is>
      </c>
      <c r="D80" s="260" t="inlineStr">
        <is>
          <t>FIN CUT</t>
        </is>
      </c>
      <c r="E80" s="260" t="inlineStr">
        <is>
          <t>HST</t>
        </is>
      </c>
      <c r="F80" s="260" t="n">
        <v>22.2</v>
      </c>
      <c r="G80" s="261" t="n"/>
      <c r="H80" s="260" t="n">
        <v>2</v>
      </c>
      <c r="I80" s="260" t="n">
        <v>6000</v>
      </c>
      <c r="J80" s="260" t="n">
        <v>56</v>
      </c>
      <c r="K80" s="260" t="n">
        <v>3502494</v>
      </c>
      <c r="L80" s="262" t="n">
        <v>10</v>
      </c>
      <c r="M80" s="260" t="n">
        <v>9518796894</v>
      </c>
      <c r="N80" s="260" t="inlineStr">
        <is>
          <t>LOADED / RELEASED</t>
        </is>
      </c>
      <c r="O80" s="198" t="n"/>
      <c r="Y80" s="173" t="n"/>
      <c r="AB80" t="inlineStr">
        <is>
          <t>MCR - 1485035</t>
        </is>
      </c>
    </row>
    <row r="81">
      <c r="A81" s="260" t="inlineStr">
        <is>
          <t>HMSI</t>
        </is>
      </c>
      <c r="B81" s="260" t="inlineStr">
        <is>
          <t>BADVE</t>
        </is>
      </c>
      <c r="C81" s="260" t="inlineStr">
        <is>
          <t>CR ERW 1</t>
        </is>
      </c>
      <c r="D81" s="260" t="inlineStr">
        <is>
          <t>FIN CUT</t>
        </is>
      </c>
      <c r="E81" s="260" t="inlineStr">
        <is>
          <t>CR ERW</t>
        </is>
      </c>
      <c r="F81" s="260" t="n">
        <v>22.2</v>
      </c>
      <c r="G81" s="261" t="n"/>
      <c r="H81" s="260" t="n">
        <v>2</v>
      </c>
      <c r="I81" s="260" t="n">
        <v>5390</v>
      </c>
      <c r="J81" s="260" t="n">
        <v>789</v>
      </c>
      <c r="K81" s="260" t="n">
        <v>2431251</v>
      </c>
      <c r="L81" s="262" t="n">
        <v>24</v>
      </c>
      <c r="M81" s="260" t="n">
        <v>9518797070</v>
      </c>
      <c r="N81" s="260" t="inlineStr">
        <is>
          <t>LOADED / RELEASED</t>
        </is>
      </c>
      <c r="O81" s="198" t="n"/>
      <c r="Y81" s="173" t="n"/>
      <c r="AB81" t="inlineStr">
        <is>
          <t>MCR - 42107</t>
        </is>
      </c>
    </row>
    <row r="82">
      <c r="A82" s="260" t="inlineStr">
        <is>
          <t>HMSI</t>
        </is>
      </c>
      <c r="B82" s="260" t="inlineStr">
        <is>
          <t>BADVE</t>
        </is>
      </c>
      <c r="C82" s="260" t="inlineStr">
        <is>
          <t>ERW1</t>
        </is>
      </c>
      <c r="D82" s="260" t="inlineStr">
        <is>
          <t>FIN CUT</t>
        </is>
      </c>
      <c r="E82" s="260" t="inlineStr">
        <is>
          <t>ERW</t>
        </is>
      </c>
      <c r="F82" s="260" t="n">
        <v>25.4</v>
      </c>
      <c r="G82" s="261" t="n"/>
      <c r="H82" s="260" t="n">
        <v>1.4</v>
      </c>
      <c r="I82" s="260" t="n">
        <v>6060</v>
      </c>
      <c r="J82" s="260" t="n">
        <v>789</v>
      </c>
      <c r="K82" s="260" t="n">
        <v>3557792</v>
      </c>
      <c r="L82" s="262" t="n">
        <v>11</v>
      </c>
      <c r="M82" s="260" t="n">
        <v>9518797070</v>
      </c>
      <c r="N82" s="260" t="inlineStr">
        <is>
          <t>LOADED / RELEASED</t>
        </is>
      </c>
      <c r="O82" s="198" t="n"/>
      <c r="Y82" s="173" t="n"/>
    </row>
    <row r="83">
      <c r="A83" s="260" t="inlineStr">
        <is>
          <t>TVS</t>
        </is>
      </c>
      <c r="B83" s="260" t="inlineStr">
        <is>
          <t>RUCHA,METALMAN</t>
        </is>
      </c>
      <c r="C83" s="260" t="inlineStr">
        <is>
          <t>ERW1</t>
        </is>
      </c>
      <c r="D83" s="260" t="inlineStr">
        <is>
          <t>FIN CUT</t>
        </is>
      </c>
      <c r="E83" s="260" t="inlineStr">
        <is>
          <t>ERW</t>
        </is>
      </c>
      <c r="F83" s="260" t="n">
        <v>28.6</v>
      </c>
      <c r="G83" s="261" t="n"/>
      <c r="H83" s="260" t="n">
        <v>1.2</v>
      </c>
      <c r="I83" s="260" t="n">
        <v>6000</v>
      </c>
      <c r="J83" s="260" t="n">
        <v>789</v>
      </c>
      <c r="K83" s="255" t="n">
        <v>3702101</v>
      </c>
      <c r="L83" s="262" t="n">
        <v>3</v>
      </c>
      <c r="M83" s="260" t="n">
        <v>9518797070</v>
      </c>
      <c r="N83" s="260" t="inlineStr">
        <is>
          <t>LOADED / RELEASED</t>
        </is>
      </c>
      <c r="O83" s="198" t="n"/>
      <c r="Y83" s="173" t="n"/>
    </row>
    <row r="84">
      <c r="A84" s="260" t="inlineStr">
        <is>
          <t>RE</t>
        </is>
      </c>
      <c r="B84" s="260" t="inlineStr">
        <is>
          <t>BELRISE</t>
        </is>
      </c>
      <c r="C84" s="260" t="inlineStr">
        <is>
          <t>ERW1</t>
        </is>
      </c>
      <c r="D84" s="260" t="inlineStr">
        <is>
          <t>FIN CUT</t>
        </is>
      </c>
      <c r="E84" s="260" t="inlineStr">
        <is>
          <t>ERW</t>
        </is>
      </c>
      <c r="F84" s="260" t="n">
        <v>34.93</v>
      </c>
      <c r="G84" s="261" t="n"/>
      <c r="H84" s="260" t="n">
        <v>1.2</v>
      </c>
      <c r="I84" s="260" t="n">
        <v>620</v>
      </c>
      <c r="J84" s="260" t="n">
        <v>789</v>
      </c>
      <c r="K84" s="260" t="n">
        <v>2397073</v>
      </c>
      <c r="L84" s="262" t="n">
        <v>11</v>
      </c>
      <c r="M84" s="260" t="n">
        <v>9518797094</v>
      </c>
      <c r="N84" s="260" t="inlineStr">
        <is>
          <t>LOADED / RELEASED</t>
        </is>
      </c>
      <c r="O84" s="198" t="n"/>
      <c r="Y84" s="173" t="n"/>
    </row>
    <row r="85">
      <c r="A85" s="260" t="inlineStr">
        <is>
          <t>RE</t>
        </is>
      </c>
      <c r="B85" s="260" t="inlineStr">
        <is>
          <t>RAJSRIYA</t>
        </is>
      </c>
      <c r="C85" s="260" t="inlineStr">
        <is>
          <t>ERW1</t>
        </is>
      </c>
      <c r="D85" s="260" t="inlineStr">
        <is>
          <t>FIN CUT</t>
        </is>
      </c>
      <c r="E85" s="260" t="inlineStr">
        <is>
          <t>ERW</t>
        </is>
      </c>
      <c r="F85" s="260" t="n">
        <v>34.93</v>
      </c>
      <c r="G85" s="261" t="n"/>
      <c r="H85" s="260" t="n">
        <v>1.2</v>
      </c>
      <c r="I85" s="260" t="n">
        <v>700</v>
      </c>
      <c r="J85" s="260" t="n">
        <v>789</v>
      </c>
      <c r="K85" s="260" t="n">
        <v>3649699</v>
      </c>
      <c r="L85" s="262" t="n">
        <v>11</v>
      </c>
      <c r="M85" s="260" t="n">
        <v>9518797094</v>
      </c>
      <c r="N85" s="260" t="inlineStr">
        <is>
          <t>LOADED / RELEASED</t>
        </is>
      </c>
      <c r="O85" s="198" t="n"/>
      <c r="Y85" s="173" t="n"/>
    </row>
    <row r="86">
      <c r="A86" s="260" t="inlineStr">
        <is>
          <t>TVS</t>
        </is>
      </c>
      <c r="B86" s="260" t="inlineStr">
        <is>
          <t>RUCHA,METALMAN</t>
        </is>
      </c>
      <c r="C86" s="260" t="inlineStr">
        <is>
          <t>ERW370</t>
        </is>
      </c>
      <c r="D86" s="260" t="inlineStr">
        <is>
          <t>FIN CUT</t>
        </is>
      </c>
      <c r="E86" s="260" t="inlineStr">
        <is>
          <t>HST</t>
        </is>
      </c>
      <c r="F86" s="260" t="n">
        <v>38.1</v>
      </c>
      <c r="G86" s="261" t="n"/>
      <c r="H86" s="260" t="n">
        <v>1.6</v>
      </c>
      <c r="I86" s="260" t="n">
        <v>6190</v>
      </c>
      <c r="J86" s="260" t="n">
        <v>56</v>
      </c>
      <c r="K86" s="260" t="n">
        <v>3502254</v>
      </c>
      <c r="L86" s="262" t="n">
        <v>33</v>
      </c>
      <c r="M86" s="260" t="n">
        <v>9518796894</v>
      </c>
      <c r="N86" s="260" t="inlineStr">
        <is>
          <t>LOADED / RELEASED</t>
        </is>
      </c>
      <c r="O86" s="198" t="n"/>
      <c r="Y86" s="173" t="n"/>
    </row>
    <row r="87">
      <c r="A87" s="260" t="inlineStr">
        <is>
          <t>TVS</t>
        </is>
      </c>
      <c r="B87" s="260" t="inlineStr">
        <is>
          <t>METALMAN</t>
        </is>
      </c>
      <c r="C87" s="260" t="inlineStr">
        <is>
          <t>ERW1</t>
        </is>
      </c>
      <c r="D87" s="260" t="inlineStr">
        <is>
          <t>FIN CUT</t>
        </is>
      </c>
      <c r="E87" s="260" t="inlineStr">
        <is>
          <t>ERW</t>
        </is>
      </c>
      <c r="F87" s="260" t="inlineStr">
        <is>
          <t>40x25</t>
        </is>
      </c>
      <c r="G87" s="261" t="n"/>
      <c r="H87" s="260" t="n">
        <v>1.6</v>
      </c>
      <c r="I87" s="260" t="n">
        <v>5880</v>
      </c>
      <c r="J87" s="260" t="n">
        <v>789</v>
      </c>
      <c r="K87" s="260" t="n">
        <v>3919145</v>
      </c>
      <c r="L87" s="262" t="n">
        <v>5</v>
      </c>
      <c r="M87" s="260" t="n">
        <v>9518796938</v>
      </c>
      <c r="N87" s="260" t="inlineStr">
        <is>
          <t>LOADED / RELEASED</t>
        </is>
      </c>
      <c r="O87" s="198" t="n"/>
      <c r="Y87" s="173" t="n"/>
    </row>
    <row r="88">
      <c r="A88" s="260" t="inlineStr">
        <is>
          <t>HMSI</t>
        </is>
      </c>
      <c r="B88" s="260" t="inlineStr">
        <is>
          <t>BADVE</t>
        </is>
      </c>
      <c r="C88" s="260" t="inlineStr">
        <is>
          <t>ERW1</t>
        </is>
      </c>
      <c r="D88" s="260" t="inlineStr">
        <is>
          <t>FIN CUT</t>
        </is>
      </c>
      <c r="E88" s="260" t="inlineStr">
        <is>
          <t>ERW</t>
        </is>
      </c>
      <c r="F88" s="260" t="n">
        <v>41.28</v>
      </c>
      <c r="G88" s="261" t="n"/>
      <c r="H88" s="260" t="n">
        <v>3.15</v>
      </c>
      <c r="I88" s="260" t="n">
        <v>5860</v>
      </c>
      <c r="J88" s="260" t="n">
        <v>789</v>
      </c>
      <c r="K88" s="255" t="n">
        <v>3673889</v>
      </c>
      <c r="L88" s="262" t="n">
        <v>4</v>
      </c>
      <c r="M88" s="260" t="n">
        <v>9518797132</v>
      </c>
      <c r="N88" s="260" t="inlineStr">
        <is>
          <t>LOADED / RELEASED</t>
        </is>
      </c>
      <c r="O88" s="198" t="n"/>
      <c r="Y88" s="173" t="n"/>
    </row>
    <row r="89">
      <c r="A89" s="260" t="inlineStr">
        <is>
          <t>TVS</t>
        </is>
      </c>
      <c r="B89" s="260" t="inlineStr">
        <is>
          <t>RUCHA,METALMAN</t>
        </is>
      </c>
      <c r="C89" s="260" t="inlineStr">
        <is>
          <t>ERW1</t>
        </is>
      </c>
      <c r="D89" s="260" t="inlineStr">
        <is>
          <t>FIN CUT</t>
        </is>
      </c>
      <c r="E89" s="260" t="inlineStr">
        <is>
          <t>ERW</t>
        </is>
      </c>
      <c r="F89" s="260" t="inlineStr">
        <is>
          <t>40x30</t>
        </is>
      </c>
      <c r="G89" s="261" t="n"/>
      <c r="H89" s="260" t="n">
        <v>1.6</v>
      </c>
      <c r="I89" s="260" t="n">
        <v>5900</v>
      </c>
      <c r="J89" s="260" t="n">
        <v>789</v>
      </c>
      <c r="K89" s="255" t="n">
        <v>3925391</v>
      </c>
      <c r="L89" s="262" t="n">
        <v>6</v>
      </c>
      <c r="M89" s="260" t="n">
        <v>9518799539</v>
      </c>
      <c r="N89" s="260" t="inlineStr">
        <is>
          <t>LOADED / RELEASED</t>
        </is>
      </c>
      <c r="O89" s="198" t="n"/>
      <c r="Y89" s="173" t="n"/>
    </row>
    <row r="90">
      <c r="A90" s="260" t="inlineStr">
        <is>
          <t>HMSI</t>
        </is>
      </c>
      <c r="B90" s="260" t="inlineStr">
        <is>
          <t>BADVE</t>
        </is>
      </c>
      <c r="C90" s="260" t="inlineStr">
        <is>
          <t>ERW2</t>
        </is>
      </c>
      <c r="D90" s="260" t="inlineStr">
        <is>
          <t>FIN CUT</t>
        </is>
      </c>
      <c r="E90" s="260" t="inlineStr">
        <is>
          <t>HST</t>
        </is>
      </c>
      <c r="F90" s="260" t="n">
        <v>45</v>
      </c>
      <c r="G90" s="261" t="n"/>
      <c r="H90" s="260" t="n">
        <v>1.6</v>
      </c>
      <c r="I90" s="260" t="n">
        <v>6400</v>
      </c>
      <c r="J90" s="260" t="n">
        <v>789</v>
      </c>
      <c r="K90" s="255" t="n">
        <v>3502388</v>
      </c>
      <c r="L90" s="262" t="n">
        <v>11</v>
      </c>
      <c r="M90" s="263" t="inlineStr">
        <is>
          <t>MCR - 1485036</t>
        </is>
      </c>
      <c r="N90" s="260" t="n"/>
      <c r="O90" s="198" t="n"/>
      <c r="Y90" s="173" t="n"/>
    </row>
    <row r="91">
      <c r="A91" s="260" t="inlineStr">
        <is>
          <t>RE</t>
        </is>
      </c>
      <c r="B91" s="260" t="inlineStr">
        <is>
          <t>BELRISE</t>
        </is>
      </c>
      <c r="C91" s="260" t="inlineStr">
        <is>
          <t>ERW1</t>
        </is>
      </c>
      <c r="D91" s="260" t="inlineStr">
        <is>
          <t>FIN CUT</t>
        </is>
      </c>
      <c r="E91" s="260" t="inlineStr">
        <is>
          <t>ERW</t>
        </is>
      </c>
      <c r="F91" s="260" t="n">
        <v>48</v>
      </c>
      <c r="G91" s="261" t="n"/>
      <c r="H91" s="260" t="n">
        <v>1.2</v>
      </c>
      <c r="I91" s="260" t="n">
        <v>620</v>
      </c>
      <c r="J91" s="260" t="n">
        <v>789</v>
      </c>
      <c r="K91" s="260" t="n">
        <v>2397072</v>
      </c>
      <c r="L91" s="262" t="n">
        <v>11</v>
      </c>
      <c r="M91" s="260" t="n">
        <v>9518797094</v>
      </c>
      <c r="N91" s="260" t="inlineStr">
        <is>
          <t>LOADED / RELEASED</t>
        </is>
      </c>
      <c r="O91" s="198" t="n"/>
      <c r="Y91" s="173" t="n"/>
    </row>
    <row r="92">
      <c r="A92" s="260" t="inlineStr">
        <is>
          <t>RE</t>
        </is>
      </c>
      <c r="B92" s="260" t="inlineStr">
        <is>
          <t>RAJSRIYA</t>
        </is>
      </c>
      <c r="C92" s="260" t="inlineStr">
        <is>
          <t>ERW1</t>
        </is>
      </c>
      <c r="D92" s="260" t="inlineStr">
        <is>
          <t>FIN CUT</t>
        </is>
      </c>
      <c r="E92" s="260" t="inlineStr">
        <is>
          <t>ERW</t>
        </is>
      </c>
      <c r="F92" s="260" t="n">
        <v>48</v>
      </c>
      <c r="G92" s="261" t="n"/>
      <c r="H92" s="260" t="n">
        <v>1.2</v>
      </c>
      <c r="I92" s="260" t="n">
        <v>700</v>
      </c>
      <c r="J92" s="260" t="n">
        <v>789</v>
      </c>
      <c r="K92" s="260" t="n">
        <v>3649700</v>
      </c>
      <c r="L92" s="262" t="n">
        <v>15</v>
      </c>
      <c r="M92" s="260" t="n">
        <v>9518797094</v>
      </c>
      <c r="N92" s="260" t="inlineStr">
        <is>
          <t>LOADED / RELEASED</t>
        </is>
      </c>
      <c r="O92" s="198" t="n"/>
      <c r="Y92" s="173" t="n"/>
    </row>
    <row r="93">
      <c r="A93" s="260" t="inlineStr">
        <is>
          <t>HMSI</t>
        </is>
      </c>
      <c r="B93" s="260" t="inlineStr">
        <is>
          <t>BADVE</t>
        </is>
      </c>
      <c r="C93" s="260" t="inlineStr">
        <is>
          <t>ERW2</t>
        </is>
      </c>
      <c r="D93" s="260" t="inlineStr">
        <is>
          <t>FIN CUT</t>
        </is>
      </c>
      <c r="E93" s="260" t="inlineStr">
        <is>
          <t>HST</t>
        </is>
      </c>
      <c r="F93" s="260" t="n">
        <v>48.6</v>
      </c>
      <c r="G93" s="261" t="n"/>
      <c r="H93" s="260" t="n">
        <v>2.3</v>
      </c>
      <c r="I93" s="260" t="n">
        <v>6270</v>
      </c>
      <c r="J93" s="260" t="n">
        <v>789</v>
      </c>
      <c r="K93" s="255" t="n">
        <v>3549720</v>
      </c>
      <c r="L93" s="262" t="n">
        <v>11</v>
      </c>
      <c r="M93" s="263" t="inlineStr">
        <is>
          <t>MCR - 1485035</t>
        </is>
      </c>
      <c r="N93" s="260" t="n"/>
      <c r="O93" s="198" t="n"/>
      <c r="Y93" s="173" t="n"/>
    </row>
    <row r="94">
      <c r="A94" s="260" t="inlineStr">
        <is>
          <t>HMSI</t>
        </is>
      </c>
      <c r="B94" s="260" t="inlineStr">
        <is>
          <t>BADVE</t>
        </is>
      </c>
      <c r="C94" s="260" t="inlineStr">
        <is>
          <t>ERW1</t>
        </is>
      </c>
      <c r="D94" s="260" t="inlineStr">
        <is>
          <t>FIN CUT</t>
        </is>
      </c>
      <c r="E94" s="260" t="inlineStr">
        <is>
          <t>ERW</t>
        </is>
      </c>
      <c r="F94" s="260" t="n">
        <v>48.6</v>
      </c>
      <c r="G94" s="261" t="n"/>
      <c r="H94" s="260" t="n">
        <v>3.5</v>
      </c>
      <c r="I94" s="260" t="n">
        <v>6000</v>
      </c>
      <c r="J94" s="260" t="n">
        <v>789</v>
      </c>
      <c r="K94" s="260" t="n">
        <v>3502422</v>
      </c>
      <c r="L94" s="262" t="n">
        <v>10</v>
      </c>
      <c r="M94" s="260" t="n">
        <v>9518797070</v>
      </c>
      <c r="N94" s="260" t="inlineStr">
        <is>
          <t>LOADED / RELEASED</t>
        </is>
      </c>
      <c r="O94" s="198" t="n"/>
      <c r="Y94" s="173" t="n"/>
    </row>
    <row r="95">
      <c r="A95" s="260" t="inlineStr">
        <is>
          <t>TVS</t>
        </is>
      </c>
      <c r="B95" s="260" t="inlineStr">
        <is>
          <t>RUCHA</t>
        </is>
      </c>
      <c r="C95" s="260" t="inlineStr">
        <is>
          <t>ERW1</t>
        </is>
      </c>
      <c r="D95" s="260" t="inlineStr">
        <is>
          <t>FIN CUT</t>
        </is>
      </c>
      <c r="E95" s="260" t="inlineStr">
        <is>
          <t>ERW</t>
        </is>
      </c>
      <c r="F95" s="260" t="inlineStr">
        <is>
          <t>59x30</t>
        </is>
      </c>
      <c r="G95" s="261" t="n"/>
      <c r="H95" s="260" t="n">
        <v>1.6</v>
      </c>
      <c r="I95" s="260" t="n">
        <v>6000</v>
      </c>
      <c r="J95" s="260" t="n">
        <v>789</v>
      </c>
      <c r="K95" s="260" t="n">
        <v>1940925</v>
      </c>
      <c r="L95" s="262" t="n">
        <v>5</v>
      </c>
      <c r="M95" s="260" t="n">
        <v>9518796938</v>
      </c>
      <c r="N95" s="260" t="inlineStr">
        <is>
          <t>LOADED / RELEASED</t>
        </is>
      </c>
    </row>
    <row r="96">
      <c r="A96" s="260" t="inlineStr">
        <is>
          <t>RE</t>
        </is>
      </c>
      <c r="B96" s="260" t="inlineStr">
        <is>
          <t>KUNAL</t>
        </is>
      </c>
      <c r="C96" s="260" t="inlineStr">
        <is>
          <t>ERW1</t>
        </is>
      </c>
      <c r="D96" s="260" t="inlineStr">
        <is>
          <t>FIN CUT</t>
        </is>
      </c>
      <c r="E96" s="260" t="inlineStr">
        <is>
          <t>ERW</t>
        </is>
      </c>
      <c r="F96" s="260" t="inlineStr">
        <is>
          <t>59x30</t>
        </is>
      </c>
      <c r="G96" s="261" t="n"/>
      <c r="H96" s="260" t="n">
        <v>1.6</v>
      </c>
      <c r="I96" s="260" t="n">
        <v>572.5</v>
      </c>
      <c r="J96" s="260" t="n">
        <v>789</v>
      </c>
      <c r="K96" s="260" t="n">
        <v>2420716</v>
      </c>
      <c r="L96" s="262" t="n">
        <v>16</v>
      </c>
      <c r="M96" s="260" t="n">
        <v>9518797094</v>
      </c>
      <c r="N96" s="260" t="inlineStr">
        <is>
          <t>LOADED / RELEASED</t>
        </is>
      </c>
    </row>
    <row r="97">
      <c r="A97" s="260" t="inlineStr">
        <is>
          <t>TVS</t>
        </is>
      </c>
      <c r="B97" s="260" t="inlineStr">
        <is>
          <t>RUCHA,METALMAN</t>
        </is>
      </c>
      <c r="C97" s="260" t="inlineStr">
        <is>
          <t>ERW1</t>
        </is>
      </c>
      <c r="D97" s="260" t="inlineStr">
        <is>
          <t>FIN CUT</t>
        </is>
      </c>
      <c r="E97" s="260" t="inlineStr">
        <is>
          <t>ERW</t>
        </is>
      </c>
      <c r="F97" s="260" t="n">
        <v>57.15</v>
      </c>
      <c r="G97" s="261" t="n"/>
      <c r="H97" s="260" t="n">
        <v>2.5</v>
      </c>
      <c r="I97" s="260" t="n">
        <v>5710</v>
      </c>
      <c r="J97" s="260" t="n">
        <v>56</v>
      </c>
      <c r="K97" s="260" t="n">
        <v>3907863</v>
      </c>
      <c r="L97" s="262" t="n">
        <v>35</v>
      </c>
      <c r="M97" s="260" t="n">
        <v>9518796894</v>
      </c>
      <c r="N97" s="260" t="inlineStr">
        <is>
          <t>LOADED / RELEASED</t>
        </is>
      </c>
    </row>
    <row r="98">
      <c r="A98" s="260" t="inlineStr">
        <is>
          <t>TVS</t>
        </is>
      </c>
      <c r="B98" s="260" t="inlineStr">
        <is>
          <t>RUCHA,METALMAN</t>
        </is>
      </c>
      <c r="C98" s="260" t="inlineStr">
        <is>
          <t>ERW1</t>
        </is>
      </c>
      <c r="D98" s="260" t="inlineStr">
        <is>
          <t>FIN CUT</t>
        </is>
      </c>
      <c r="E98" s="260" t="inlineStr">
        <is>
          <t>ERW</t>
        </is>
      </c>
      <c r="F98" s="260" t="n">
        <v>57.15</v>
      </c>
      <c r="G98" s="261" t="n"/>
      <c r="H98" s="260" t="n">
        <v>2.5</v>
      </c>
      <c r="I98" s="260" t="n">
        <v>6100</v>
      </c>
      <c r="J98" s="260" t="n">
        <v>56</v>
      </c>
      <c r="K98" s="260" t="n">
        <v>3910001</v>
      </c>
      <c r="L98" s="262" t="n">
        <v>24</v>
      </c>
      <c r="M98" s="260" t="n">
        <v>9518796894</v>
      </c>
      <c r="N98" s="260" t="inlineStr">
        <is>
          <t>LOADED / RELEASED</t>
        </is>
      </c>
    </row>
    <row r="99">
      <c r="A99" s="260" t="inlineStr">
        <is>
          <t>TVS</t>
        </is>
      </c>
      <c r="B99" s="260" t="inlineStr">
        <is>
          <t>RUCHA,METALMAN</t>
        </is>
      </c>
      <c r="C99" s="260" t="inlineStr">
        <is>
          <t>ERW1</t>
        </is>
      </c>
      <c r="D99" s="260" t="inlineStr">
        <is>
          <t>FIN CUT</t>
        </is>
      </c>
      <c r="E99" s="260" t="inlineStr">
        <is>
          <t>ERW</t>
        </is>
      </c>
      <c r="F99" s="260" t="n">
        <v>57.15</v>
      </c>
      <c r="G99" s="261" t="n"/>
      <c r="H99" s="260" t="n">
        <v>2.5</v>
      </c>
      <c r="I99" s="260" t="n">
        <v>5750</v>
      </c>
      <c r="J99" s="260" t="n">
        <v>56</v>
      </c>
      <c r="K99" s="260" t="n">
        <v>3501047</v>
      </c>
      <c r="L99" s="262" t="n">
        <v>24</v>
      </c>
      <c r="M99" s="260" t="n">
        <v>9518796894</v>
      </c>
      <c r="N99" s="260" t="inlineStr">
        <is>
          <t>LOADED / RELEASED</t>
        </is>
      </c>
    </row>
    <row r="100">
      <c r="A100" s="260" t="inlineStr">
        <is>
          <t>TVS</t>
        </is>
      </c>
      <c r="B100" s="260" t="inlineStr">
        <is>
          <t>RUCHA</t>
        </is>
      </c>
      <c r="C100" s="260" t="inlineStr">
        <is>
          <t>ERW1</t>
        </is>
      </c>
      <c r="D100" s="260" t="inlineStr">
        <is>
          <t>NON FIN</t>
        </is>
      </c>
      <c r="E100" s="260" t="inlineStr">
        <is>
          <t>ERW</t>
        </is>
      </c>
      <c r="F100" s="260" t="n">
        <v>19.05</v>
      </c>
      <c r="G100" s="260" t="n"/>
      <c r="H100" s="260" t="n">
        <v>2</v>
      </c>
      <c r="I100" s="260" t="n">
        <v>5800</v>
      </c>
      <c r="J100" s="260" t="n">
        <v>789</v>
      </c>
      <c r="K100" s="260" t="n">
        <v>1940292</v>
      </c>
      <c r="L100" s="262" t="n">
        <v>35</v>
      </c>
      <c r="M100" s="260" t="n">
        <v>9518796938</v>
      </c>
      <c r="N100" s="260" t="inlineStr">
        <is>
          <t>LOADED / RELEASED</t>
        </is>
      </c>
    </row>
    <row r="101">
      <c r="A101" s="260" t="inlineStr">
        <is>
          <t>TVS</t>
        </is>
      </c>
      <c r="B101" s="260" t="inlineStr">
        <is>
          <t>RUCHA</t>
        </is>
      </c>
      <c r="C101" s="260" t="inlineStr">
        <is>
          <t>ERW1</t>
        </is>
      </c>
      <c r="D101" s="260" t="inlineStr">
        <is>
          <t>NON FIN</t>
        </is>
      </c>
      <c r="E101" s="260" t="inlineStr">
        <is>
          <t>ERW</t>
        </is>
      </c>
      <c r="F101" s="260" t="n">
        <v>22.2</v>
      </c>
      <c r="G101" s="260" t="n"/>
      <c r="H101" s="260" t="n">
        <v>1.6</v>
      </c>
      <c r="I101" s="260" t="n">
        <v>5270</v>
      </c>
      <c r="J101" s="260" t="n">
        <v>56</v>
      </c>
      <c r="K101" s="260" t="n">
        <v>3501116</v>
      </c>
      <c r="L101" s="262" t="n">
        <v>25</v>
      </c>
      <c r="M101" s="260" t="n">
        <v>9518796894</v>
      </c>
      <c r="N101" s="260" t="inlineStr">
        <is>
          <t>LOADED / RELEASED</t>
        </is>
      </c>
    </row>
    <row r="102">
      <c r="A102" s="260" t="inlineStr">
        <is>
          <t>TVS</t>
        </is>
      </c>
      <c r="B102" s="260" t="inlineStr">
        <is>
          <t>RUCHA,METALMAN</t>
        </is>
      </c>
      <c r="C102" s="260" t="inlineStr">
        <is>
          <t>ERW1</t>
        </is>
      </c>
      <c r="D102" s="260" t="inlineStr">
        <is>
          <t>FIN CUT</t>
        </is>
      </c>
      <c r="E102" s="260" t="inlineStr">
        <is>
          <t>ERW</t>
        </is>
      </c>
      <c r="F102" s="260" t="n">
        <v>38.1</v>
      </c>
      <c r="G102" s="260" t="n"/>
      <c r="H102" s="260" t="n">
        <v>2</v>
      </c>
      <c r="I102" s="260" t="n">
        <v>5950</v>
      </c>
      <c r="J102" s="260" t="n">
        <v>789</v>
      </c>
      <c r="K102" s="260" t="n">
        <v>3533165</v>
      </c>
      <c r="L102" s="262" t="n">
        <v>25</v>
      </c>
      <c r="M102" s="260" t="n">
        <v>9518796938</v>
      </c>
      <c r="N102" s="260" t="inlineStr">
        <is>
          <t>LOADED / RELEASED</t>
        </is>
      </c>
    </row>
    <row r="103">
      <c r="A103" s="260" t="inlineStr">
        <is>
          <t>TVS</t>
        </is>
      </c>
      <c r="B103" s="260" t="inlineStr">
        <is>
          <t>RUCHA</t>
        </is>
      </c>
      <c r="C103" s="260" t="inlineStr">
        <is>
          <t>ERW1</t>
        </is>
      </c>
      <c r="D103" s="260" t="inlineStr">
        <is>
          <t>FIN CUT</t>
        </is>
      </c>
      <c r="E103" s="260" t="inlineStr">
        <is>
          <t>ERW</t>
        </is>
      </c>
      <c r="F103" s="260" t="n">
        <v>41.28</v>
      </c>
      <c r="G103" s="260" t="n"/>
      <c r="H103" s="260" t="n">
        <v>2.6</v>
      </c>
      <c r="I103" s="260" t="n">
        <v>6000</v>
      </c>
      <c r="J103" s="260" t="n">
        <v>789</v>
      </c>
      <c r="K103" s="260" t="n">
        <v>3994149</v>
      </c>
      <c r="L103" s="262" t="n">
        <v>25</v>
      </c>
      <c r="M103" s="260" t="n">
        <v>9518796938</v>
      </c>
      <c r="N103" s="260" t="inlineStr">
        <is>
          <t>LOADED / RELEASED</t>
        </is>
      </c>
    </row>
    <row r="104">
      <c r="A104" s="260" t="inlineStr">
        <is>
          <t>TVS</t>
        </is>
      </c>
      <c r="B104" s="260" t="inlineStr">
        <is>
          <t>RUCHA,METALMAN</t>
        </is>
      </c>
      <c r="C104" s="260" t="inlineStr">
        <is>
          <t>ERW1</t>
        </is>
      </c>
      <c r="D104" s="260" t="inlineStr">
        <is>
          <t>FIN CUT</t>
        </is>
      </c>
      <c r="E104" s="260" t="inlineStr">
        <is>
          <t>ERW</t>
        </is>
      </c>
      <c r="F104" s="260" t="n">
        <v>57.15</v>
      </c>
      <c r="G104" s="260" t="n"/>
      <c r="H104" s="260" t="n">
        <v>2.5</v>
      </c>
      <c r="I104" s="260" t="n">
        <v>5950</v>
      </c>
      <c r="J104" s="260" t="n">
        <v>56</v>
      </c>
      <c r="K104" s="255" t="n">
        <v>3515489</v>
      </c>
      <c r="L104" s="262" t="n">
        <v>30</v>
      </c>
      <c r="M104" s="263" t="inlineStr">
        <is>
          <t>MCR - 42107</t>
        </is>
      </c>
      <c r="N104" s="260" t="n"/>
    </row>
    <row r="105">
      <c r="A105" s="221" t="n"/>
      <c r="B105" s="221" t="n"/>
      <c r="C105" s="221" t="n"/>
      <c r="D105" s="221" t="n"/>
      <c r="E105" s="221" t="n"/>
      <c r="F105" s="221" t="n"/>
      <c r="G105" s="221" t="n"/>
      <c r="H105" s="221" t="n"/>
      <c r="I105" s="264" t="inlineStr">
        <is>
          <t>TOTAL</t>
        </is>
      </c>
      <c r="J105" s="264" t="n"/>
      <c r="K105" s="264" t="n"/>
      <c r="L105" s="264" t="n">
        <v>521</v>
      </c>
      <c r="M105" s="221" t="n"/>
      <c r="N105" s="221" t="n"/>
    </row>
  </sheetData>
  <autoFilter ref="A71:AG105"/>
  <conditionalFormatting sqref="K2:M2 K3:L68 M3:M69">
    <cfRule type="duplicateValues" priority="1" dxfId="0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 codeName="Sheet32">
    <tabColor rgb="FF00B0F0"/>
    <outlinePr summaryBelow="1" summaryRight="1"/>
    <pageSetUpPr/>
  </sheetPr>
  <dimension ref="A2:AH153"/>
  <sheetViews>
    <sheetView topLeftCell="C1" zoomScale="80" zoomScaleNormal="80" workbookViewId="0">
      <selection activeCell="O45" sqref="O45"/>
    </sheetView>
  </sheetViews>
  <sheetFormatPr baseColWidth="8" defaultRowHeight="15"/>
  <cols>
    <col width="13.7109375" customWidth="1" style="584" min="2" max="2"/>
    <col width="8.7109375" customWidth="1" style="584" min="3" max="3"/>
    <col width="10.7109375" customWidth="1" style="584" min="4" max="4"/>
    <col width="11.42578125" customWidth="1" style="584" min="5" max="5"/>
    <col width="7.7109375" customWidth="1" style="584" min="6" max="6"/>
    <col width="6.140625" customWidth="1" style="584" min="7" max="7"/>
    <col width="8" customWidth="1" style="584" min="8" max="8"/>
    <col width="12.42578125" customWidth="1" style="584" min="9" max="9"/>
    <col width="6.7109375" customWidth="1" style="584" min="10" max="10"/>
    <col outlineLevel="1" width="25.85546875" customWidth="1" style="584" min="11" max="13"/>
    <col width="12.28515625" customWidth="1" style="584" min="14" max="14"/>
    <col width="22.85546875" customWidth="1" style="199" min="15" max="15"/>
    <col hidden="1" outlineLevel="1" width="12.28515625" customWidth="1" style="584" min="16" max="17"/>
    <col hidden="1" outlineLevel="1" width="8.28515625" customWidth="1" style="584" min="18" max="18"/>
    <col hidden="1" outlineLevel="1" width="8.85546875" customWidth="1" style="584" min="19" max="19"/>
    <col hidden="1" outlineLevel="1" width="12.28515625" customWidth="1" style="584" min="20" max="20"/>
    <col hidden="1" outlineLevel="1" width="9.140625" customWidth="1" style="304" min="21" max="21"/>
    <col hidden="1" outlineLevel="1" width="9.140625" customWidth="1" style="584" min="22" max="22"/>
    <col hidden="1" outlineLevel="1" width="12.5703125" customWidth="1" style="162" min="23" max="23"/>
    <col collapsed="1" width="10.5703125" customWidth="1" style="174" min="24" max="24"/>
    <col outlineLevel="2" width="8" customWidth="1" style="174" min="25" max="25"/>
    <col outlineLevel="2" width="15.7109375" customWidth="1" style="584" min="26" max="26"/>
    <col outlineLevel="2" width="13.7109375" customWidth="1" style="584" min="27" max="27"/>
    <col outlineLevel="2" width="4.85546875" customWidth="1" style="584" min="28" max="28"/>
    <col outlineLevel="2" width="6.28515625" customWidth="1" style="584" min="29" max="29"/>
    <col outlineLevel="2" width="23.140625" customWidth="1" style="584" min="30" max="30"/>
    <col outlineLevel="2" width="13.140625" customWidth="1" style="584" min="31" max="31"/>
    <col outlineLevel="2" width="9.140625" customWidth="1" style="584" min="32" max="33"/>
    <col width="20.7109375" bestFit="1" customWidth="1" style="584" min="34" max="34"/>
  </cols>
  <sheetData>
    <row r="1" ht="155.25" customHeight="1" s="584"/>
    <row r="2" ht="63.75" customHeight="1" s="584">
      <c r="A2" s="268" t="inlineStr">
        <is>
          <t>OEM</t>
        </is>
      </c>
      <c r="B2" s="269" t="inlineStr">
        <is>
          <t>Customer</t>
        </is>
      </c>
      <c r="C2" s="616" t="inlineStr">
        <is>
          <t>Metallurgy condition</t>
        </is>
      </c>
      <c r="D2" s="271" t="inlineStr">
        <is>
          <t>Material Type</t>
        </is>
      </c>
      <c r="E2" s="269" t="inlineStr">
        <is>
          <t>GRADE</t>
        </is>
      </c>
      <c r="F2" s="272" t="inlineStr">
        <is>
          <t>OD</t>
        </is>
      </c>
      <c r="G2" s="272" t="inlineStr">
        <is>
          <t>ID</t>
        </is>
      </c>
      <c r="H2" s="272" t="inlineStr">
        <is>
          <t>THK</t>
        </is>
      </c>
      <c r="I2" s="269" t="inlineStr">
        <is>
          <t>LENGTH</t>
        </is>
      </c>
      <c r="J2" s="271" t="inlineStr">
        <is>
          <t>Length in Mtrs</t>
        </is>
      </c>
      <c r="K2" s="269" t="inlineStr">
        <is>
          <t> </t>
        </is>
      </c>
      <c r="L2" s="273" t="inlineStr">
        <is>
          <t>Bucket</t>
        </is>
      </c>
      <c r="M2" s="273" t="inlineStr">
        <is>
          <t>Bucket CTL</t>
        </is>
      </c>
      <c r="N2" s="269" t="inlineStr">
        <is>
          <t>plant</t>
        </is>
      </c>
      <c r="O2" s="273" t="inlineStr">
        <is>
          <t>TSL Material Code</t>
        </is>
      </c>
      <c r="P2" s="274" t="inlineStr">
        <is>
          <t>SCH jun- 25</t>
        </is>
      </c>
      <c r="Q2" s="271" t="inlineStr">
        <is>
          <t>BALANCE TO BE SUPPLY</t>
        </is>
      </c>
      <c r="R2" s="275" t="inlineStr">
        <is>
          <t>Stock     12-06-25</t>
        </is>
      </c>
      <c r="S2" s="271" t="inlineStr">
        <is>
          <t xml:space="preserve">intransist </t>
        </is>
      </c>
      <c r="T2" s="271" t="inlineStr">
        <is>
          <t>OPENIG STOCK FOR jun-2025</t>
        </is>
      </c>
      <c r="U2" s="300" t="inlineStr">
        <is>
          <t xml:space="preserve">order logg </t>
        </is>
      </c>
      <c r="V2" s="271" t="inlineStr">
        <is>
          <t>Opening stock including order logger</t>
        </is>
      </c>
      <c r="W2" s="276" t="inlineStr">
        <is>
          <t xml:space="preserve">    INDENT  FOR jun-25 as per VSM</t>
        </is>
      </c>
      <c r="X2" s="296" t="inlineStr">
        <is>
          <t xml:space="preserve"> INDENT  FOR jun-25 recommended</t>
        </is>
      </c>
      <c r="Y2" s="276" t="inlineStr">
        <is>
          <t>Total Order Log</t>
        </is>
      </c>
      <c r="Z2" s="277" t="inlineStr">
        <is>
          <t>Before 20th</t>
        </is>
      </c>
      <c r="AA2" s="277" t="inlineStr">
        <is>
          <t>ofter 20th</t>
        </is>
      </c>
      <c r="AB2" s="278" t="inlineStr">
        <is>
          <t>Gap</t>
        </is>
      </c>
      <c r="AC2" s="279" t="inlineStr">
        <is>
          <t>Excess Order Logged</t>
        </is>
      </c>
      <c r="AD2" s="280" t="inlineStr">
        <is>
          <t>Order logged</t>
        </is>
      </c>
      <c r="AE2" s="280" t="inlineStr">
        <is>
          <t>SO Number</t>
        </is>
      </c>
      <c r="AF2" s="205" t="inlineStr">
        <is>
          <t>Column1</t>
        </is>
      </c>
      <c r="AG2" s="205" t="inlineStr">
        <is>
          <t>Column2</t>
        </is>
      </c>
      <c r="AH2" s="315" t="inlineStr">
        <is>
          <t>Remark</t>
        </is>
      </c>
    </row>
    <row r="3">
      <c r="A3" s="265" t="inlineStr">
        <is>
          <t>TVS</t>
        </is>
      </c>
      <c r="B3" s="147" t="inlineStr">
        <is>
          <t>RUCHA</t>
        </is>
      </c>
      <c r="C3" s="147" t="inlineStr">
        <is>
          <t>CEW</t>
        </is>
      </c>
      <c r="D3" s="147" t="inlineStr">
        <is>
          <t>NON FIN</t>
        </is>
      </c>
      <c r="E3" s="147" t="inlineStr">
        <is>
          <t xml:space="preserve">CEW </t>
        </is>
      </c>
      <c r="F3" s="148" t="n">
        <v>11</v>
      </c>
      <c r="G3" s="148" t="n"/>
      <c r="H3" s="148" t="n">
        <v>1.5</v>
      </c>
      <c r="I3" s="147" t="n">
        <v>6000</v>
      </c>
      <c r="J3" s="147" t="n">
        <v>6</v>
      </c>
      <c r="K3" s="147">
        <f>_xlfn.CONCAT(F3,H3,J3,E3,D3)</f>
        <v/>
      </c>
      <c r="L3" s="147">
        <f>VLOOKUP(K3,'VSM May Indent'!$K$1:$O$61,4,0)</f>
        <v/>
      </c>
      <c r="M3" s="147">
        <f>VLOOKUP(K3,'VSM May Indent'!$K$1:$O$61,5,0)</f>
        <v/>
      </c>
      <c r="N3" s="158" t="inlineStr">
        <is>
          <t>0788</t>
        </is>
      </c>
      <c r="O3" s="150" t="n">
        <v>2442390</v>
      </c>
      <c r="P3" s="19" t="n">
        <v>1</v>
      </c>
      <c r="Q3" s="147">
        <f>Table2527[[#This Row],[SCH jun- 25]]</f>
        <v/>
      </c>
      <c r="R3" s="147" t="n">
        <v>0</v>
      </c>
      <c r="S3" s="147" t="n"/>
      <c r="T3" s="147">
        <f>_xlfn.LET(_xlpm.c,Q3-Table2527[[#This Row],[Stock     12-06-25]]-Table2527[[#This Row],[intransist ]],IF(_xlpm.c&gt;0,0,-_xlpm.c))</f>
        <v/>
      </c>
      <c r="U3" s="301" t="n"/>
      <c r="V3" s="147">
        <f>U3+T3+S3</f>
        <v/>
      </c>
      <c r="W3" s="19">
        <f>_xlfn.LET(_xlpm.c,P3*1.5-V3,IF(_xlpm.c&lt;0,0,_xlpm.c))</f>
        <v/>
      </c>
      <c r="X3" s="297">
        <f>Table2527[[#This Row],[    INDENT  FOR jun-25 as per VSM]]</f>
        <v/>
      </c>
      <c r="Y3" s="167">
        <f>X3+U3</f>
        <v/>
      </c>
      <c r="Z3" s="185">
        <f>SUMIFS(meghsteelsales_previousmonth[Quantity],meghsteelsales_previousmonth[Length Bucket],M3)/1000</f>
        <v/>
      </c>
      <c r="AA3" s="185">
        <f>SUMIFS(meghsteelsales_currentmonth[Quantity],meghsteelsales_currentmonth[Length Bucket],M3)/1000</f>
        <v/>
      </c>
      <c r="AB3" s="185">
        <f>IF((X3-Z3-AA3)&lt;0,0,(X3-Z3-AA3))</f>
        <v/>
      </c>
      <c r="AC3" s="185" t="n"/>
      <c r="AD3" s="267" t="n"/>
      <c r="AE3" s="294" t="n"/>
      <c r="AF3" s="294" t="n"/>
      <c r="AG3" s="294" t="n"/>
      <c r="AH3" s="294" t="n"/>
    </row>
    <row r="4">
      <c r="A4" s="265" t="inlineStr">
        <is>
          <t>HMSI</t>
        </is>
      </c>
      <c r="B4" s="147" t="inlineStr">
        <is>
          <t>BADVE</t>
        </is>
      </c>
      <c r="C4" s="147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15.88</v>
      </c>
      <c r="G4" s="148" t="n"/>
      <c r="H4" s="148" t="n">
        <v>2</v>
      </c>
      <c r="I4" s="147" t="n">
        <v>6000</v>
      </c>
      <c r="J4" s="147" t="n">
        <v>6</v>
      </c>
      <c r="K4" s="147">
        <f>_xlfn.CONCAT(F4,H4,J4,E4,D4)</f>
        <v/>
      </c>
      <c r="L4" s="147">
        <f>VLOOKUP(K4,'VSM May Indent'!$K$1:$O$61,4,0)</f>
        <v/>
      </c>
      <c r="M4" s="147">
        <f>VLOOKUP(K4,'VSM May Indent'!$K$1:$O$61,5,0)</f>
        <v/>
      </c>
      <c r="N4" s="151" t="inlineStr">
        <is>
          <t>0789</t>
        </is>
      </c>
      <c r="O4" s="150" t="n">
        <v>1940120</v>
      </c>
      <c r="P4" s="19" t="n">
        <v>5</v>
      </c>
      <c r="Q4" s="147">
        <f>Table2527[[#This Row],[SCH jun- 25]]</f>
        <v/>
      </c>
      <c r="R4" s="147" t="n">
        <v>0</v>
      </c>
      <c r="S4" s="147" t="n"/>
      <c r="T4" s="147">
        <f>_xlfn.LET(_xlpm.c,Q4-Table2527[[#This Row],[Stock     12-06-25]]-Table2527[[#This Row],[intransist ]],IF(_xlpm.c&gt;0,0,-_xlpm.c))</f>
        <v/>
      </c>
      <c r="U4" s="301" t="n"/>
      <c r="V4" s="147">
        <f>U4+T4+S4</f>
        <v/>
      </c>
      <c r="W4" s="19">
        <f>_xlfn.LET(_xlpm.c,P4*1.5-V4,IF(_xlpm.c&lt;0,0,_xlpm.c))</f>
        <v/>
      </c>
      <c r="X4" s="297">
        <f>Table2527[[#This Row],[    INDENT  FOR jun-25 as per VSM]]</f>
        <v/>
      </c>
      <c r="Y4" s="167">
        <f>X4+U4</f>
        <v/>
      </c>
      <c r="Z4" s="185">
        <f>SUMIFS(meghsteelsales_previousmonth[Quantity],meghsteelsales_previousmonth[Length Bucket],M4)/1000</f>
        <v/>
      </c>
      <c r="AA4" s="185">
        <f>SUMIFS(meghsteelsales_currentmonth[Quantity],meghsteelsales_currentmonth[Length Bucket],M4)/1000</f>
        <v/>
      </c>
      <c r="AB4" s="185">
        <f>IF((X4-Z4-AA4)&lt;0,0,(X4-Z4-AA4))</f>
        <v/>
      </c>
      <c r="AC4" s="185" t="n"/>
      <c r="AD4" s="267" t="n"/>
      <c r="AE4" s="185" t="n"/>
      <c r="AF4" s="185" t="n"/>
      <c r="AG4" s="185" t="n"/>
      <c r="AH4" s="185" t="n"/>
    </row>
    <row r="5">
      <c r="A5" s="265" t="inlineStr">
        <is>
          <t>HMSI</t>
        </is>
      </c>
      <c r="B5" s="147" t="inlineStr">
        <is>
          <t>BADVE</t>
        </is>
      </c>
      <c r="C5" s="147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12.7</v>
      </c>
      <c r="G5" s="148" t="n"/>
      <c r="H5" s="148" t="n">
        <v>1.4</v>
      </c>
      <c r="I5" s="147" t="n">
        <v>6000</v>
      </c>
      <c r="J5" s="147" t="n">
        <v>6</v>
      </c>
      <c r="K5" s="147">
        <f>_xlfn.CONCAT(F5,H5,J5,E5,D5)</f>
        <v/>
      </c>
      <c r="L5" s="147">
        <f>VLOOKUP(K5,'VSM May Indent'!$K$1:$O$61,4,0)</f>
        <v/>
      </c>
      <c r="M5" s="147">
        <f>VLOOKUP(K5,'VSM May Indent'!$K$1:$O$61,5,0)</f>
        <v/>
      </c>
      <c r="N5" s="151" t="inlineStr">
        <is>
          <t>0789</t>
        </is>
      </c>
      <c r="O5" s="150" t="n">
        <v>1931117</v>
      </c>
      <c r="P5" s="19" t="n">
        <v>5</v>
      </c>
      <c r="Q5" s="147">
        <f>Table2527[[#This Row],[SCH jun- 25]]</f>
        <v/>
      </c>
      <c r="R5" s="147" t="n">
        <v>8</v>
      </c>
      <c r="S5" s="147" t="n"/>
      <c r="T5" s="147">
        <f>_xlfn.LET(_xlpm.c,Q5-Table2527[[#This Row],[Stock     12-06-25]]-Table2527[[#This Row],[intransist ]],IF(_xlpm.c&gt;0,0,-_xlpm.c))</f>
        <v/>
      </c>
      <c r="U5" s="301" t="n"/>
      <c r="V5" s="147">
        <f>U5+T5+S5</f>
        <v/>
      </c>
      <c r="W5" s="19">
        <f>_xlfn.LET(_xlpm.c,P5*1.5-V5,IF(_xlpm.c&lt;0,0,_xlpm.c))</f>
        <v/>
      </c>
      <c r="X5" s="297">
        <f>Table2527[[#This Row],[    INDENT  FOR jun-25 as per VSM]]</f>
        <v/>
      </c>
      <c r="Y5" s="167">
        <f>X5+U5</f>
        <v/>
      </c>
      <c r="Z5" s="185">
        <f>SUMIFS(meghsteelsales_previousmonth[Quantity],meghsteelsales_previousmonth[Length Bucket],M5)/1000</f>
        <v/>
      </c>
      <c r="AA5" s="185">
        <f>SUMIFS(meghsteelsales_currentmonth[Quantity],meghsteelsales_currentmonth[Length Bucket],M5)/1000</f>
        <v/>
      </c>
      <c r="AB5" s="185">
        <f>IF((X5-Z5-AA5)&lt;0,0,(X5-Z5-AA5))</f>
        <v/>
      </c>
      <c r="AC5" s="185" t="n"/>
      <c r="AD5" s="267" t="n"/>
      <c r="AE5" s="185" t="n"/>
      <c r="AF5" s="185" t="n"/>
      <c r="AG5" s="185" t="n"/>
      <c r="AH5" s="185" t="n"/>
    </row>
    <row r="6">
      <c r="A6" s="265" t="inlineStr">
        <is>
          <t>HMSI</t>
        </is>
      </c>
      <c r="B6" s="147" t="inlineStr">
        <is>
          <t>BADVE</t>
        </is>
      </c>
      <c r="C6" s="147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12.7</v>
      </c>
      <c r="G6" s="148" t="n"/>
      <c r="H6" s="148" t="n">
        <v>1.6</v>
      </c>
      <c r="I6" s="147" t="n">
        <v>6000</v>
      </c>
      <c r="J6" s="147" t="n">
        <v>6</v>
      </c>
      <c r="K6" s="147">
        <f>_xlfn.CONCAT(F6,H6,J6,E6,D6)</f>
        <v/>
      </c>
      <c r="L6" s="147">
        <f>VLOOKUP(K6,'VSM May Indent'!$K$1:$O$61,4,0)</f>
        <v/>
      </c>
      <c r="M6" s="147">
        <f>VLOOKUP(K6,'VSM May Indent'!$K$1:$O$61,5,0)</f>
        <v/>
      </c>
      <c r="N6" s="151" t="inlineStr">
        <is>
          <t>0789</t>
        </is>
      </c>
      <c r="O6" s="150" t="n">
        <v>1931154</v>
      </c>
      <c r="P6" s="19" t="n">
        <v>2</v>
      </c>
      <c r="Q6" s="147">
        <f>Table2527[[#This Row],[SCH jun- 25]]</f>
        <v/>
      </c>
      <c r="R6" s="147" t="n">
        <v>4</v>
      </c>
      <c r="S6" s="147" t="n"/>
      <c r="T6" s="147">
        <f>_xlfn.LET(_xlpm.c,Q6-Table2527[[#This Row],[Stock     12-06-25]]-Table2527[[#This Row],[intransist ]],IF(_xlpm.c&gt;0,0,-_xlpm.c))</f>
        <v/>
      </c>
      <c r="U6" s="301" t="n"/>
      <c r="V6" s="147">
        <f>U6+T6+S6</f>
        <v/>
      </c>
      <c r="W6" s="19">
        <f>_xlfn.LET(_xlpm.c,P6*1.5-V6,IF(_xlpm.c&lt;0,0,_xlpm.c))</f>
        <v/>
      </c>
      <c r="X6" s="297">
        <f>Table2527[[#This Row],[    INDENT  FOR jun-25 as per VSM]]</f>
        <v/>
      </c>
      <c r="Y6" s="167">
        <f>X6+U6</f>
        <v/>
      </c>
      <c r="Z6" s="185">
        <f>SUMIFS(meghsteelsales_previousmonth[Quantity],meghsteelsales_previousmonth[Length Bucket],M6)/1000</f>
        <v/>
      </c>
      <c r="AA6" s="185">
        <f>SUMIFS(meghsteelsales_currentmonth[Quantity],meghsteelsales_currentmonth[Length Bucket],M6)/1000</f>
        <v/>
      </c>
      <c r="AB6" s="185">
        <f>IF((X6-Z6-AA6)&lt;0,0,(X6-Z6-AA6))</f>
        <v/>
      </c>
      <c r="AC6" s="185" t="n"/>
      <c r="AD6" s="267" t="n"/>
      <c r="AE6" s="185" t="n"/>
      <c r="AF6" s="185" t="n"/>
      <c r="AG6" s="185" t="n"/>
      <c r="AH6" s="185" t="inlineStr">
        <is>
          <t>Minimum 3 MT moq</t>
        </is>
      </c>
    </row>
    <row r="7">
      <c r="A7" s="265" t="inlineStr">
        <is>
          <t>TVS</t>
        </is>
      </c>
      <c r="B7" s="147" t="inlineStr">
        <is>
          <t>RUCHA</t>
        </is>
      </c>
      <c r="C7" s="147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48" t="n">
        <v>12.7</v>
      </c>
      <c r="G7" s="148" t="n"/>
      <c r="H7" s="148" t="n">
        <v>2</v>
      </c>
      <c r="I7" s="147" t="n">
        <v>6000</v>
      </c>
      <c r="J7" s="147" t="n">
        <v>6</v>
      </c>
      <c r="K7" s="147">
        <f>_xlfn.CONCAT(F7,H7,J7,E7,D7)</f>
        <v/>
      </c>
      <c r="L7" s="147">
        <f>VLOOKUP(K7,'VSM May Indent'!$K$1:$O$61,4,0)</f>
        <v/>
      </c>
      <c r="M7" s="147">
        <f>VLOOKUP(K7,'VSM May Indent'!$K$1:$O$61,5,0)</f>
        <v/>
      </c>
      <c r="N7" s="151" t="inlineStr">
        <is>
          <t>0789</t>
        </is>
      </c>
      <c r="O7" s="149" t="n">
        <v>236166</v>
      </c>
      <c r="P7" s="19" t="n">
        <v>3</v>
      </c>
      <c r="Q7" s="147">
        <f>Table2527[[#This Row],[SCH jun- 25]]</f>
        <v/>
      </c>
      <c r="R7" s="147" t="n">
        <v>0</v>
      </c>
      <c r="S7" s="147" t="n"/>
      <c r="T7" s="147">
        <f>_xlfn.LET(_xlpm.c,Q7-Table2527[[#This Row],[Stock     12-06-25]]-Table2527[[#This Row],[intransist ]],IF(_xlpm.c&gt;0,0,-_xlpm.c))</f>
        <v/>
      </c>
      <c r="U7" s="301" t="n"/>
      <c r="V7" s="147">
        <f>U7+T7+S7</f>
        <v/>
      </c>
      <c r="W7" s="19">
        <f>_xlfn.LET(_xlpm.c,P7*1.5-V7,IF(_xlpm.c&lt;0,0,_xlpm.c))</f>
        <v/>
      </c>
      <c r="X7" s="297">
        <f>Table2527[[#This Row],[    INDENT  FOR jun-25 as per VSM]]</f>
        <v/>
      </c>
      <c r="Y7" s="167">
        <f>X7+U7</f>
        <v/>
      </c>
      <c r="Z7" s="185">
        <f>SUMIFS(meghsteelsales_previousmonth[Quantity],meghsteelsales_previousmonth[Length Bucket],M7)/1000</f>
        <v/>
      </c>
      <c r="AA7" s="185">
        <f>SUMIFS(meghsteelsales_currentmonth[Quantity],meghsteelsales_currentmonth[Length Bucket],M7)/1000</f>
        <v/>
      </c>
      <c r="AB7" s="185">
        <f>IF((X7-Z7-AA7)&lt;0,0,(X7-Z7-AA7))</f>
        <v/>
      </c>
      <c r="AC7" s="185" t="n"/>
      <c r="AD7" s="267" t="n"/>
      <c r="AE7" s="185" t="n"/>
      <c r="AF7" s="185" t="n"/>
      <c r="AG7" s="185" t="n"/>
      <c r="AH7" s="185" t="n"/>
    </row>
    <row r="8">
      <c r="A8" s="265" t="inlineStr">
        <is>
          <t>HMSI</t>
        </is>
      </c>
      <c r="B8" s="147" t="inlineStr">
        <is>
          <t>BADVE</t>
        </is>
      </c>
      <c r="C8" s="147" t="inlineStr">
        <is>
          <t>ERW1</t>
        </is>
      </c>
      <c r="D8" s="147" t="inlineStr">
        <is>
          <t>NON FIN</t>
        </is>
      </c>
      <c r="E8" s="147" t="inlineStr">
        <is>
          <t>ERW</t>
        </is>
      </c>
      <c r="F8" s="148" t="n">
        <v>15.88</v>
      </c>
      <c r="G8" s="148" t="n"/>
      <c r="H8" s="148" t="n">
        <v>1</v>
      </c>
      <c r="I8" s="147" t="n">
        <v>6000</v>
      </c>
      <c r="J8" s="147" t="n">
        <v>6</v>
      </c>
      <c r="K8" s="147">
        <f>_xlfn.CONCAT(F8,H8,J8,E8,D8)</f>
        <v/>
      </c>
      <c r="L8" s="147">
        <f>VLOOKUP(K8,'VSM May Indent'!$K$1:$O$61,4,0)</f>
        <v/>
      </c>
      <c r="M8" s="147">
        <f>VLOOKUP(K8,'VSM May Indent'!$K$1:$O$61,5,0)</f>
        <v/>
      </c>
      <c r="N8" s="151" t="inlineStr">
        <is>
          <t>0789</t>
        </is>
      </c>
      <c r="O8" s="150" t="n">
        <v>1940054</v>
      </c>
      <c r="P8" s="19" t="n">
        <v>1</v>
      </c>
      <c r="Q8" s="147">
        <f>Table2527[[#This Row],[SCH jun- 25]]</f>
        <v/>
      </c>
      <c r="R8" s="147" t="n">
        <v>1</v>
      </c>
      <c r="S8" s="147" t="n"/>
      <c r="T8" s="147">
        <f>_xlfn.LET(_xlpm.c,Q8-Table2527[[#This Row],[Stock     12-06-25]]-Table2527[[#This Row],[intransist ]],IF(_xlpm.c&gt;0,0,-_xlpm.c))</f>
        <v/>
      </c>
      <c r="U8" s="301" t="n"/>
      <c r="V8" s="147">
        <f>U8+T8+S8</f>
        <v/>
      </c>
      <c r="W8" s="19">
        <f>_xlfn.LET(_xlpm.c,P8*1.5-V8,IF(_xlpm.c&lt;0,0,_xlpm.c))</f>
        <v/>
      </c>
      <c r="X8" s="297">
        <f>Table2527[[#This Row],[    INDENT  FOR jun-25 as per VSM]]</f>
        <v/>
      </c>
      <c r="Y8" s="167">
        <f>X8+U8</f>
        <v/>
      </c>
      <c r="Z8" s="185">
        <f>SUMIFS(meghsteelsales_previousmonth[Quantity],meghsteelsales_previousmonth[Length Bucket],M8)/1000</f>
        <v/>
      </c>
      <c r="AA8" s="185">
        <f>SUMIFS(meghsteelsales_currentmonth[Quantity],meghsteelsales_currentmonth[Length Bucket],M8)/1000</f>
        <v/>
      </c>
      <c r="AB8" s="185">
        <f>IF((X8-Z8-AA8)&lt;0,0,(X8-Z8-AA8))</f>
        <v/>
      </c>
      <c r="AC8" s="185" t="n"/>
      <c r="AD8" s="267" t="n"/>
      <c r="AE8" s="185" t="n"/>
      <c r="AF8" s="185" t="n"/>
      <c r="AG8" s="185" t="n"/>
      <c r="AH8" s="185" t="inlineStr">
        <is>
          <t>Minimum 3 MT moq</t>
        </is>
      </c>
    </row>
    <row r="9">
      <c r="A9" s="265" t="inlineStr">
        <is>
          <t>TVS</t>
        </is>
      </c>
      <c r="B9" s="147" t="inlineStr">
        <is>
          <t>RUCHA</t>
        </is>
      </c>
      <c r="C9" s="147" t="inlineStr">
        <is>
          <t>ERW1</t>
        </is>
      </c>
      <c r="D9" s="147" t="inlineStr">
        <is>
          <t>NON FIN</t>
        </is>
      </c>
      <c r="E9" s="147" t="inlineStr">
        <is>
          <t>ERW</t>
        </is>
      </c>
      <c r="F9" s="148" t="n">
        <v>15.88</v>
      </c>
      <c r="G9" s="148" t="n"/>
      <c r="H9" s="148" t="n">
        <v>1.2</v>
      </c>
      <c r="I9" s="147" t="n">
        <v>6000</v>
      </c>
      <c r="J9" s="147" t="n">
        <v>6</v>
      </c>
      <c r="K9" s="147">
        <f>_xlfn.CONCAT(F9,H9,J9,E9,D9)</f>
        <v/>
      </c>
      <c r="L9" s="147">
        <f>VLOOKUP(K9,'VSM May Indent'!$K$1:$O$61,4,0)</f>
        <v/>
      </c>
      <c r="M9" s="147">
        <f>VLOOKUP(K9,'VSM May Indent'!$K$1:$O$61,5,0)</f>
        <v/>
      </c>
      <c r="N9" s="151" t="inlineStr">
        <is>
          <t>0789</t>
        </is>
      </c>
      <c r="O9" s="150" t="n">
        <v>1940054</v>
      </c>
      <c r="P9" s="19" t="n">
        <v>5</v>
      </c>
      <c r="Q9" s="147">
        <f>Table2527[[#This Row],[SCH jun- 25]]</f>
        <v/>
      </c>
      <c r="R9" s="147" t="n">
        <v>0</v>
      </c>
      <c r="S9" s="147" t="n"/>
      <c r="T9" s="147">
        <f>_xlfn.LET(_xlpm.c,Q9-Table2527[[#This Row],[Stock     12-06-25]]-Table2527[[#This Row],[intransist ]],IF(_xlpm.c&gt;0,0,-_xlpm.c))</f>
        <v/>
      </c>
      <c r="U9" s="301" t="n">
        <v>6</v>
      </c>
      <c r="V9" s="147">
        <f>U9+T9+S9</f>
        <v/>
      </c>
      <c r="W9" s="19">
        <f>_xlfn.LET(_xlpm.c,P9*1.5-V9,IF(_xlpm.c&lt;0,0,_xlpm.c))</f>
        <v/>
      </c>
      <c r="X9" s="297">
        <f>Table2527[[#This Row],[    INDENT  FOR jun-25 as per VSM]]</f>
        <v/>
      </c>
      <c r="Y9" s="167">
        <f>X9+U9</f>
        <v/>
      </c>
      <c r="Z9" s="185">
        <f>SUMIFS(meghsteelsales_previousmonth[Quantity],meghsteelsales_previousmonth[Length Bucket],M9)/1000</f>
        <v/>
      </c>
      <c r="AA9" s="185">
        <f>SUMIFS(meghsteelsales_currentmonth[Quantity],meghsteelsales_currentmonth[Length Bucket],M9)/1000</f>
        <v/>
      </c>
      <c r="AB9" s="185">
        <f>IF((X9-Z9-AA9)&lt;0,0,(X9-Z9-AA9))</f>
        <v/>
      </c>
      <c r="AC9" s="185" t="n"/>
      <c r="AD9" s="267" t="n"/>
      <c r="AE9" s="185" t="n"/>
      <c r="AF9" s="185" t="n"/>
      <c r="AG9" s="185" t="n"/>
      <c r="AH9" s="185" t="inlineStr">
        <is>
          <t>Minimum 3 MT moq</t>
        </is>
      </c>
    </row>
    <row r="10">
      <c r="A10" s="265" t="inlineStr">
        <is>
          <t>HMSI</t>
        </is>
      </c>
      <c r="B10" s="147" t="inlineStr">
        <is>
          <t>BADVE</t>
        </is>
      </c>
      <c r="C10" s="147" t="inlineStr">
        <is>
          <t>ERW1</t>
        </is>
      </c>
      <c r="D10" s="147" t="inlineStr">
        <is>
          <t>NON FIN</t>
        </is>
      </c>
      <c r="E10" s="147" t="inlineStr">
        <is>
          <t>ERW</t>
        </is>
      </c>
      <c r="F10" s="148" t="n">
        <v>15.88</v>
      </c>
      <c r="G10" s="148" t="n"/>
      <c r="H10" s="148" t="n">
        <v>1.6</v>
      </c>
      <c r="I10" s="147" t="n">
        <v>6000</v>
      </c>
      <c r="J10" s="147" t="n">
        <v>6</v>
      </c>
      <c r="K10" s="147">
        <f>_xlfn.CONCAT(F10,H10,J10,E10,D10)</f>
        <v/>
      </c>
      <c r="L10" s="147">
        <f>VLOOKUP(K10,'VSM May Indent'!$K$1:$O$61,4,0)</f>
        <v/>
      </c>
      <c r="M10" s="147">
        <f>VLOOKUP(K10,'VSM May Indent'!$K$1:$O$61,5,0)</f>
        <v/>
      </c>
      <c r="N10" s="151" t="inlineStr">
        <is>
          <t>0789</t>
        </is>
      </c>
      <c r="O10" s="150" t="n">
        <v>1900224</v>
      </c>
      <c r="P10" s="19" t="n">
        <v>2</v>
      </c>
      <c r="Q10" s="147">
        <f>Table2527[[#This Row],[SCH jun- 25]]</f>
        <v/>
      </c>
      <c r="R10" s="147" t="n">
        <v>0</v>
      </c>
      <c r="S10" s="147" t="n"/>
      <c r="T10" s="147">
        <f>_xlfn.LET(_xlpm.c,Q10-Table2527[[#This Row],[Stock     12-06-25]]-Table2527[[#This Row],[intransist ]],IF(_xlpm.c&gt;0,0,-_xlpm.c))</f>
        <v/>
      </c>
      <c r="U10" s="301" t="n">
        <v>6</v>
      </c>
      <c r="V10" s="147">
        <f>U10+T10+S10</f>
        <v/>
      </c>
      <c r="W10" s="19">
        <f>_xlfn.LET(_xlpm.c,P10*1.5-V10,IF(_xlpm.c&lt;0,0,_xlpm.c))</f>
        <v/>
      </c>
      <c r="X10" s="297">
        <f>Table2527[[#This Row],[    INDENT  FOR jun-25 as per VSM]]</f>
        <v/>
      </c>
      <c r="Y10" s="167">
        <f>X10+U10</f>
        <v/>
      </c>
      <c r="Z10" s="185">
        <f>SUMIFS(meghsteelsales_previousmonth[Quantity],meghsteelsales_previousmonth[Length Bucket],M10)/1000</f>
        <v/>
      </c>
      <c r="AA10" s="185">
        <f>SUMIFS(meghsteelsales_currentmonth[Quantity],meghsteelsales_currentmonth[Length Bucket],M10)/1000</f>
        <v/>
      </c>
      <c r="AB10" s="185">
        <f>IF((X10-Z10-AA10)&lt;0,0,(X10-Z10-AA10))</f>
        <v/>
      </c>
      <c r="AC10" s="185" t="n"/>
      <c r="AD10" s="267" t="n"/>
      <c r="AE10" s="185" t="n"/>
      <c r="AF10" s="185" t="n"/>
      <c r="AG10" s="185" t="n"/>
      <c r="AH10" s="185" t="n"/>
    </row>
    <row r="11">
      <c r="A11" s="265" t="inlineStr">
        <is>
          <t>HMSI</t>
        </is>
      </c>
      <c r="B11" s="147" t="inlineStr">
        <is>
          <t>BADVE</t>
        </is>
      </c>
      <c r="C11" s="147" t="inlineStr">
        <is>
          <t>CR ERW 1</t>
        </is>
      </c>
      <c r="D11" s="147" t="inlineStr">
        <is>
          <t>FIN CUT</t>
        </is>
      </c>
      <c r="E11" s="147" t="inlineStr">
        <is>
          <t xml:space="preserve">CR ERW </t>
        </is>
      </c>
      <c r="F11" s="148" t="n">
        <v>22.2</v>
      </c>
      <c r="G11" s="148" t="n"/>
      <c r="H11" s="148" t="n">
        <v>2</v>
      </c>
      <c r="I11" s="147" t="n">
        <v>5390</v>
      </c>
      <c r="J11" s="147" t="n">
        <v>5.39</v>
      </c>
      <c r="K11" s="147">
        <f>_xlfn.CONCAT(F11,H11,J11,E11,D11)</f>
        <v/>
      </c>
      <c r="L11" s="147">
        <f>VLOOKUP(K11,'VSM May Indent'!$K$1:$O$61,4,0)</f>
        <v/>
      </c>
      <c r="M11" s="147">
        <f>VLOOKUP(K11,'VSM May Indent'!$K$1:$O$61,5,0)</f>
        <v/>
      </c>
      <c r="N11" s="165" t="inlineStr">
        <is>
          <t>0789</t>
        </is>
      </c>
      <c r="O11" s="260" t="n">
        <v>2431251</v>
      </c>
      <c r="P11" s="19" t="n">
        <v>50</v>
      </c>
      <c r="Q11" s="147">
        <f>Table2527[[#This Row],[SCH jun- 25]]</f>
        <v/>
      </c>
      <c r="R11" s="147" t="n">
        <v>0</v>
      </c>
      <c r="S11" s="147" t="n"/>
      <c r="T11" s="147">
        <f>_xlfn.LET(_xlpm.c,Q11-Table2527[[#This Row],[Stock     12-06-25]]-Table2527[[#This Row],[intransist ]],IF(_xlpm.c&gt;0,0,-_xlpm.c))</f>
        <v/>
      </c>
      <c r="U11" s="301" t="n">
        <v>24</v>
      </c>
      <c r="V11" s="147">
        <f>U11+T11+S11</f>
        <v/>
      </c>
      <c r="W11" s="19">
        <f>_xlfn.LET(_xlpm.c,P11*1.5-V11,IF(_xlpm.c&lt;0,0,_xlpm.c))</f>
        <v/>
      </c>
      <c r="X11" s="297">
        <f>Table2527[[#This Row],[    INDENT  FOR jun-25 as per VSM]]</f>
        <v/>
      </c>
      <c r="Y11" s="167">
        <f>X11+U11</f>
        <v/>
      </c>
      <c r="Z11" s="185">
        <f>SUMIFS(meghsteelsales_previousmonth[Quantity],meghsteelsales_previousmonth[Length Bucket],M11)/1000</f>
        <v/>
      </c>
      <c r="AA11" s="185">
        <f>SUMIFS(meghsteelsales_currentmonth[Quantity],meghsteelsales_currentmonth[Length Bucket],M11)/1000</f>
        <v/>
      </c>
      <c r="AB11" s="185">
        <f>IF((X11-Z11-AA11)&lt;0,0,(X11-Z11-AA11))</f>
        <v/>
      </c>
      <c r="AC11" s="185" t="n"/>
      <c r="AD11" s="267" t="n"/>
      <c r="AE11" s="185" t="n"/>
      <c r="AF11" s="185" t="n"/>
      <c r="AG11" s="185">
        <f>Table2527[[#This Row],[plant]]</f>
        <v/>
      </c>
      <c r="AH11" s="185" t="n"/>
    </row>
    <row r="12">
      <c r="A12" s="265" t="inlineStr">
        <is>
          <t>HMSI</t>
        </is>
      </c>
      <c r="B12" s="147" t="inlineStr">
        <is>
          <t>BADVE</t>
        </is>
      </c>
      <c r="C12" s="153" t="inlineStr">
        <is>
          <t>ERW2</t>
        </is>
      </c>
      <c r="D12" s="147" t="inlineStr">
        <is>
          <t>FIN CUT</t>
        </is>
      </c>
      <c r="E12" s="147" t="inlineStr">
        <is>
          <t>HST</t>
        </is>
      </c>
      <c r="F12" s="148" t="n">
        <v>45</v>
      </c>
      <c r="G12" s="148" t="n"/>
      <c r="H12" s="148" t="n">
        <v>1.4</v>
      </c>
      <c r="I12" s="147" t="n">
        <v>6400</v>
      </c>
      <c r="J12" s="147" t="n">
        <v>6.42</v>
      </c>
      <c r="K12" s="147">
        <f>_xlfn.CONCAT(F12,H12,J12,E12,D12)</f>
        <v/>
      </c>
      <c r="L12" s="147">
        <f>VLOOKUP(K12,'VSM May Indent'!$K$1:$O$61,4,0)</f>
        <v/>
      </c>
      <c r="M12" s="147">
        <f>VLOOKUP(K12,'VSM May Indent'!$K$1:$O$61,5,0)</f>
        <v/>
      </c>
      <c r="N12" s="158" t="inlineStr">
        <is>
          <t>0789</t>
        </is>
      </c>
      <c r="O12" s="150" t="n">
        <v>3502343</v>
      </c>
      <c r="P12" s="19" t="n">
        <v>10</v>
      </c>
      <c r="Q12" s="147">
        <f>Table2527[[#This Row],[SCH jun- 25]]</f>
        <v/>
      </c>
      <c r="R12" s="147" t="n">
        <v>0</v>
      </c>
      <c r="S12" s="147" t="n"/>
      <c r="T12" s="147">
        <f>_xlfn.LET(_xlpm.c,Q12-Table2527[[#This Row],[Stock     12-06-25]]-Table2527[[#This Row],[intransist ]],IF(_xlpm.c&gt;0,0,-_xlpm.c))</f>
        <v/>
      </c>
      <c r="U12" s="301" t="n"/>
      <c r="V12" s="147">
        <f>U12+T12+S12</f>
        <v/>
      </c>
      <c r="W12" s="19">
        <f>_xlfn.LET(_xlpm.c,P12*1.5-V12,IF(_xlpm.c&lt;0,0,_xlpm.c))</f>
        <v/>
      </c>
      <c r="X12" s="297">
        <f>Table2527[[#This Row],[    INDENT  FOR jun-25 as per VSM]]</f>
        <v/>
      </c>
      <c r="Y12" s="167">
        <f>X12+U12</f>
        <v/>
      </c>
      <c r="Z12" s="185">
        <f>SUMIFS(meghsteelsales_previousmonth[Quantity],meghsteelsales_previousmonth[Length Bucket],M12)/1000</f>
        <v/>
      </c>
      <c r="AA12" s="185">
        <f>SUMIFS(meghsteelsales_currentmonth[Quantity],meghsteelsales_currentmonth[Length Bucket],M12)/1000</f>
        <v/>
      </c>
      <c r="AB12" s="185">
        <f>IF((X12-Z12-AA12)&lt;0,0,(X12-Z12-AA12))</f>
        <v/>
      </c>
      <c r="AC12" s="185" t="n"/>
      <c r="AD12" s="267" t="n"/>
      <c r="AE12" s="185" t="n"/>
      <c r="AF12" s="185" t="n"/>
      <c r="AG12" s="185" t="n"/>
      <c r="AH12" s="185" t="n"/>
    </row>
    <row r="13">
      <c r="A13" s="265" t="inlineStr">
        <is>
          <t>HMSI</t>
        </is>
      </c>
      <c r="B13" s="147" t="inlineStr">
        <is>
          <t>BADVE</t>
        </is>
      </c>
      <c r="C13" s="153" t="inlineStr">
        <is>
          <t>ERW1</t>
        </is>
      </c>
      <c r="D13" s="147" t="inlineStr">
        <is>
          <t>NON FIN</t>
        </is>
      </c>
      <c r="E13" s="147" t="inlineStr">
        <is>
          <t>ERW</t>
        </is>
      </c>
      <c r="F13" s="148" t="n">
        <v>19.05</v>
      </c>
      <c r="G13" s="148" t="n"/>
      <c r="H13" s="148" t="n">
        <v>1.6</v>
      </c>
      <c r="I13" s="147" t="n">
        <v>6000</v>
      </c>
      <c r="J13" s="147" t="n">
        <v>6</v>
      </c>
      <c r="K13" s="147">
        <f>_xlfn.CONCAT(F13,H13,J13,E13,D13)</f>
        <v/>
      </c>
      <c r="L13" s="147">
        <f>VLOOKUP(K13,'VSM May Indent'!$K$1:$O$61,4,0)</f>
        <v/>
      </c>
      <c r="M13" s="147">
        <f>VLOOKUP(K13,'VSM May Indent'!$K$1:$O$61,5,0)</f>
        <v/>
      </c>
      <c r="N13" s="158" t="inlineStr">
        <is>
          <t>056</t>
        </is>
      </c>
      <c r="O13" s="150" t="n">
        <v>3498997</v>
      </c>
      <c r="P13" s="19" t="n">
        <v>10</v>
      </c>
      <c r="Q13" s="147">
        <f>Table2527[[#This Row],[SCH jun- 25]]</f>
        <v/>
      </c>
      <c r="R13" s="147" t="n">
        <v>0</v>
      </c>
      <c r="S13" s="147" t="n"/>
      <c r="T13" s="147">
        <f>_xlfn.LET(_xlpm.c,Q13-Table2527[[#This Row],[Stock     12-06-25]]-Table2527[[#This Row],[intransist ]],IF(_xlpm.c&gt;0,0,-_xlpm.c))</f>
        <v/>
      </c>
      <c r="U13" s="301" t="n">
        <v>23</v>
      </c>
      <c r="V13" s="147">
        <f>U13+T13+S13</f>
        <v/>
      </c>
      <c r="W13" s="19">
        <f>_xlfn.LET(_xlpm.c,P13*1.5-V13,IF(_xlpm.c&lt;0,0,_xlpm.c))</f>
        <v/>
      </c>
      <c r="X13" s="297">
        <f>Table2527[[#This Row],[    INDENT  FOR jun-25 as per VSM]]</f>
        <v/>
      </c>
      <c r="Y13" s="167">
        <f>X13+U13</f>
        <v/>
      </c>
      <c r="Z13" s="185">
        <f>SUMIFS(meghsteelsales_previousmonth[Quantity],meghsteelsales_previousmonth[Length Bucket],M13)/1000</f>
        <v/>
      </c>
      <c r="AA13" s="185">
        <f>SUMIFS(meghsteelsales_currentmonth[Quantity],meghsteelsales_currentmonth[Length Bucket],M13)/1000</f>
        <v/>
      </c>
      <c r="AB13" s="185">
        <f>IF((X13-Z13-AA13)&lt;0,0,(X13-Z13-AA13))</f>
        <v/>
      </c>
      <c r="AC13" s="185" t="n"/>
      <c r="AD13" s="267" t="n"/>
      <c r="AE13" s="185" t="n"/>
      <c r="AF13" s="185" t="n"/>
      <c r="AG13" s="185">
        <f>Table2527[[#This Row],[plant]]</f>
        <v/>
      </c>
      <c r="AH13" s="185" t="n"/>
    </row>
    <row r="14">
      <c r="A14" s="265" t="inlineStr">
        <is>
          <t>HMSI</t>
        </is>
      </c>
      <c r="B14" s="147" t="inlineStr">
        <is>
          <t>BADVE</t>
        </is>
      </c>
      <c r="C14" s="147" t="inlineStr">
        <is>
          <t>ERW2</t>
        </is>
      </c>
      <c r="D14" s="147" t="inlineStr">
        <is>
          <t>NON FIN</t>
        </is>
      </c>
      <c r="E14" s="147" t="inlineStr">
        <is>
          <t>ERW2</t>
        </is>
      </c>
      <c r="F14" s="148" t="n">
        <v>19.05</v>
      </c>
      <c r="G14" s="148" t="n"/>
      <c r="H14" s="148" t="n">
        <v>1.4</v>
      </c>
      <c r="I14" s="147" t="n">
        <v>6000</v>
      </c>
      <c r="J14" s="147" t="n">
        <v>6</v>
      </c>
      <c r="K14" s="147">
        <f>_xlfn.CONCAT(F14,H14,J14,E14,D14)</f>
        <v/>
      </c>
      <c r="L14" s="147">
        <f>VLOOKUP(K14,'VSM May Indent'!$K$1:$O$61,4,0)</f>
        <v/>
      </c>
      <c r="M14" s="147">
        <f>VLOOKUP(K14,'VSM May Indent'!$K$1:$O$61,5,0)</f>
        <v/>
      </c>
      <c r="N14" s="151" t="inlineStr">
        <is>
          <t>056</t>
        </is>
      </c>
      <c r="O14" s="149" t="n">
        <v>3891285</v>
      </c>
      <c r="P14" s="19" t="n">
        <v>5</v>
      </c>
      <c r="Q14" s="147">
        <f>Table2527[[#This Row],[SCH jun- 25]]</f>
        <v/>
      </c>
      <c r="R14" s="147" t="n">
        <v>0</v>
      </c>
      <c r="S14" s="147" t="n"/>
      <c r="T14" s="147">
        <f>_xlfn.LET(_xlpm.c,Q14-Table2527[[#This Row],[Stock     12-06-25]]-Table2527[[#This Row],[intransist ]],IF(_xlpm.c&gt;0,0,-_xlpm.c))</f>
        <v/>
      </c>
      <c r="U14" s="301" t="n"/>
      <c r="V14" s="147">
        <f>U14+T14+S14</f>
        <v/>
      </c>
      <c r="W14" s="19">
        <f>_xlfn.LET(_xlpm.c,P14*1.5-V14,IF(_xlpm.c&lt;0,0,_xlpm.c))</f>
        <v/>
      </c>
      <c r="X14" s="297">
        <f>Table2527[[#This Row],[    INDENT  FOR jun-25 as per VSM]]</f>
        <v/>
      </c>
      <c r="Y14" s="167">
        <f>X14+U14</f>
        <v/>
      </c>
      <c r="Z14" s="185">
        <f>SUMIFS(meghsteelsales_previousmonth[Quantity],meghsteelsales_previousmonth[Length Bucket],M14)/1000</f>
        <v/>
      </c>
      <c r="AA14" s="185">
        <f>SUMIFS(meghsteelsales_currentmonth[Quantity],meghsteelsales_currentmonth[Length Bucket],M14)/1000</f>
        <v/>
      </c>
      <c r="AB14" s="185">
        <f>IF((X14-Z14-AA14)&lt;0,0,(X14-Z14-AA14))</f>
        <v/>
      </c>
      <c r="AC14" s="185" t="n"/>
      <c r="AD14" s="267" t="n"/>
      <c r="AE14" s="185" t="n"/>
      <c r="AF14" s="185" t="n"/>
      <c r="AG14" s="185" t="n"/>
      <c r="AH14" s="185" t="n"/>
    </row>
    <row r="15">
      <c r="A15" s="265" t="inlineStr">
        <is>
          <t>TVS</t>
        </is>
      </c>
      <c r="B15" s="147" t="inlineStr">
        <is>
          <t>RUCHA</t>
        </is>
      </c>
      <c r="C15" s="153" t="inlineStr">
        <is>
          <t>ERW1</t>
        </is>
      </c>
      <c r="D15" s="147" t="inlineStr">
        <is>
          <t>NON FIN</t>
        </is>
      </c>
      <c r="E15" s="147" t="inlineStr">
        <is>
          <t>ERW</t>
        </is>
      </c>
      <c r="F15" s="154" t="n">
        <v>19.05</v>
      </c>
      <c r="G15" s="154" t="n"/>
      <c r="H15" s="154" t="n">
        <v>2</v>
      </c>
      <c r="I15" s="155" t="n">
        <v>5841</v>
      </c>
      <c r="J15" s="147" t="n">
        <v>5.84</v>
      </c>
      <c r="K15" s="147">
        <f>_xlfn.CONCAT(F15,H15,J15,E15,D15)</f>
        <v/>
      </c>
      <c r="L15" s="147">
        <f>VLOOKUP(K15,'VSM May Indent'!$K$1:$O$61,4,0)</f>
        <v/>
      </c>
      <c r="M15" s="147">
        <f>VLOOKUP(K15,'VSM May Indent'!$K$1:$O$61,5,0)</f>
        <v/>
      </c>
      <c r="N15" s="151" t="inlineStr">
        <is>
          <t>056</t>
        </is>
      </c>
      <c r="O15" s="150" t="n">
        <v>3673888</v>
      </c>
      <c r="P15" s="19" t="n">
        <v>0</v>
      </c>
      <c r="Q15" s="147">
        <f>Table2527[[#This Row],[SCH jun- 25]]</f>
        <v/>
      </c>
      <c r="R15" s="147" t="n">
        <v>20</v>
      </c>
      <c r="S15" s="147" t="n"/>
      <c r="T15" s="147">
        <f>_xlfn.LET(_xlpm.c,Q15-Table2527[[#This Row],[Stock     12-06-25]]-Table2527[[#This Row],[intransist ]],IF(_xlpm.c&gt;0,0,-_xlpm.c))</f>
        <v/>
      </c>
      <c r="U15" s="301" t="n">
        <v>54</v>
      </c>
      <c r="V15" s="147">
        <f>U15+T15+S15</f>
        <v/>
      </c>
      <c r="W15" s="19">
        <f>_xlfn.LET(_xlpm.c,P15*1.5-V15,IF(_xlpm.c&lt;0,0,_xlpm.c))</f>
        <v/>
      </c>
      <c r="X15" s="297">
        <f>Table2527[[#This Row],[    INDENT  FOR jun-25 as per VSM]]</f>
        <v/>
      </c>
      <c r="Y15" s="167">
        <f>X15+U15</f>
        <v/>
      </c>
      <c r="Z15" s="185">
        <f>SUMIFS(meghsteelsales_previousmonth[Quantity],meghsteelsales_previousmonth[Length Bucket],M15)/1000</f>
        <v/>
      </c>
      <c r="AA15" s="185">
        <f>SUMIFS(meghsteelsales_currentmonth[Quantity],meghsteelsales_currentmonth[Length Bucket],M15)/1000</f>
        <v/>
      </c>
      <c r="AB15" s="185">
        <f>IF((X15-Z15-AA15)&lt;0,0,(X15-Z15-AA15))</f>
        <v/>
      </c>
      <c r="AC15" s="185" t="n"/>
      <c r="AD15" s="267" t="n"/>
      <c r="AE15" s="185" t="n"/>
      <c r="AF15" s="185" t="n"/>
      <c r="AG15" s="185">
        <f>Table2527[[#This Row],[plant]]</f>
        <v/>
      </c>
      <c r="AH15" s="185" t="n"/>
    </row>
    <row r="16" customFormat="1" s="45">
      <c r="A16" s="265" t="inlineStr">
        <is>
          <t>HMSI</t>
        </is>
      </c>
      <c r="B16" s="147" t="inlineStr">
        <is>
          <t>BADVE</t>
        </is>
      </c>
      <c r="C16" s="153" t="inlineStr">
        <is>
          <t>ERW2</t>
        </is>
      </c>
      <c r="D16" s="147" t="inlineStr">
        <is>
          <t>NON FIN</t>
        </is>
      </c>
      <c r="E16" s="147" t="inlineStr">
        <is>
          <t>ERW-2</t>
        </is>
      </c>
      <c r="F16" s="148" t="n">
        <v>22.2</v>
      </c>
      <c r="G16" s="148" t="n"/>
      <c r="H16" s="148" t="n">
        <v>1.4</v>
      </c>
      <c r="I16" s="147" t="n">
        <v>6000</v>
      </c>
      <c r="J16" s="147" t="n">
        <v>6</v>
      </c>
      <c r="K16" s="147">
        <f>_xlfn.CONCAT(F16,H16,J16,E16,D16)</f>
        <v/>
      </c>
      <c r="L16" s="147">
        <f>VLOOKUP(K16,'VSM May Indent'!$K$1:$O$61,4,0)</f>
        <v/>
      </c>
      <c r="M16" s="147">
        <f>VLOOKUP(K16,'VSM May Indent'!$K$1:$O$61,5,0)</f>
        <v/>
      </c>
      <c r="N16" s="151" t="inlineStr">
        <is>
          <t>056</t>
        </is>
      </c>
      <c r="O16" s="150" t="n">
        <v>3829175</v>
      </c>
      <c r="P16" s="19" t="n">
        <v>5</v>
      </c>
      <c r="Q16" s="147">
        <f>Table2527[[#This Row],[SCH jun- 25]]</f>
        <v/>
      </c>
      <c r="R16" s="147" t="n">
        <v>7</v>
      </c>
      <c r="S16" s="147" t="n"/>
      <c r="T16" s="147">
        <f>_xlfn.LET(_xlpm.c,Q16-Table2527[[#This Row],[Stock     12-06-25]]-Table2527[[#This Row],[intransist ]],IF(_xlpm.c&gt;0,0,-_xlpm.c))</f>
        <v/>
      </c>
      <c r="U16" s="301" t="n"/>
      <c r="V16" s="147">
        <f>U16+T16+S16</f>
        <v/>
      </c>
      <c r="W16" s="19">
        <f>_xlfn.LET(_xlpm.c,P16*1.5-V16,IF(_xlpm.c&lt;0,0,_xlpm.c))</f>
        <v/>
      </c>
      <c r="X16" s="297">
        <f>Table2527[[#This Row],[    INDENT  FOR jun-25 as per VSM]]</f>
        <v/>
      </c>
      <c r="Y16" s="167">
        <f>X16+U16</f>
        <v/>
      </c>
      <c r="Z16" s="185">
        <f>SUMIFS(meghsteelsales_previousmonth[Quantity],meghsteelsales_previousmonth[Length Bucket],M16)/1000</f>
        <v/>
      </c>
      <c r="AA16" s="185">
        <f>SUMIFS(meghsteelsales_currentmonth[Quantity],meghsteelsales_currentmonth[Length Bucket],M16)/1000</f>
        <v/>
      </c>
      <c r="AB16" s="185">
        <f>IF((X16-Z16-AA16)&lt;0,0,(X16-Z16-AA16))</f>
        <v/>
      </c>
      <c r="AC16" s="185" t="n"/>
      <c r="AD16" s="267" t="n"/>
      <c r="AE16" s="185" t="n"/>
      <c r="AF16" s="185" t="n"/>
      <c r="AG16" s="185" t="n"/>
      <c r="AH16" s="185" t="n"/>
    </row>
    <row r="17">
      <c r="A17" s="265" t="inlineStr">
        <is>
          <t>HMSI</t>
        </is>
      </c>
      <c r="B17" s="147" t="inlineStr">
        <is>
          <t>BADVE</t>
        </is>
      </c>
      <c r="C17" s="153" t="inlineStr">
        <is>
          <t>ERW2</t>
        </is>
      </c>
      <c r="D17" s="147" t="inlineStr">
        <is>
          <t>FIN CUT</t>
        </is>
      </c>
      <c r="E17" s="147" t="inlineStr">
        <is>
          <t>HST</t>
        </is>
      </c>
      <c r="F17" s="148" t="n">
        <v>25.4</v>
      </c>
      <c r="G17" s="148" t="n"/>
      <c r="H17" s="148" t="n">
        <v>1.4</v>
      </c>
      <c r="I17" s="147" t="n">
        <v>5531</v>
      </c>
      <c r="J17" s="147" t="n">
        <v>5.531</v>
      </c>
      <c r="K17" s="147">
        <f>_xlfn.CONCAT(F17,H17,J17,E17,D17)</f>
        <v/>
      </c>
      <c r="L17" s="147" t="inlineStr">
        <is>
          <t>25.4-0-1.4-ERW 2-FC</t>
        </is>
      </c>
      <c r="M17" s="147" t="inlineStr">
        <is>
          <t>25.4-0-1.4-ERW 2-FC-5.531</t>
        </is>
      </c>
      <c r="N17" s="151" t="inlineStr">
        <is>
          <t>056</t>
        </is>
      </c>
      <c r="O17" s="150" t="n">
        <v>3501900</v>
      </c>
      <c r="P17" s="19" t="n">
        <v>15</v>
      </c>
      <c r="Q17" s="147">
        <f>Table2527[[#This Row],[SCH jun- 25]]</f>
        <v/>
      </c>
      <c r="R17" s="147" t="n">
        <v>25</v>
      </c>
      <c r="S17" s="147" t="n"/>
      <c r="T17" s="147">
        <f>_xlfn.LET(_xlpm.c,Q17-Table2527[[#This Row],[Stock     12-06-25]]-Table2527[[#This Row],[intransist ]],IF(_xlpm.c&gt;0,0,-_xlpm.c))</f>
        <v/>
      </c>
      <c r="U17" s="301" t="n"/>
      <c r="V17" s="147">
        <f>U17+T17+S17</f>
        <v/>
      </c>
      <c r="W17" s="19">
        <f>_xlfn.LET(_xlpm.c,P17*1.5-V17,IF(_xlpm.c&lt;0,0,_xlpm.c))</f>
        <v/>
      </c>
      <c r="X17" s="297">
        <f>Table2527[[#This Row],[    INDENT  FOR jun-25 as per VSM]]</f>
        <v/>
      </c>
      <c r="Y17" s="167">
        <f>X17+U17</f>
        <v/>
      </c>
      <c r="Z17" s="185">
        <f>SUMIFS(meghsteelsales_previousmonth[Quantity],meghsteelsales_previousmonth[Length Bucket],M17)/1000</f>
        <v/>
      </c>
      <c r="AA17" s="185">
        <f>SUMIFS(meghsteelsales_currentmonth[Quantity],meghsteelsales_currentmonth[Length Bucket],M17)/1000</f>
        <v/>
      </c>
      <c r="AB17" s="185">
        <f>IF((X17-Z17-AA17)&lt;0,0,(X17-Z17-AA17))</f>
        <v/>
      </c>
      <c r="AC17" s="185" t="n"/>
      <c r="AD17" s="267" t="n"/>
      <c r="AE17" s="185" t="n"/>
      <c r="AF17" s="185" t="n"/>
      <c r="AG17" s="185" t="n"/>
      <c r="AH17" s="185" t="n"/>
    </row>
    <row r="18">
      <c r="A18" s="265" t="inlineStr">
        <is>
          <t>TVS</t>
        </is>
      </c>
      <c r="B18" s="147" t="inlineStr">
        <is>
          <t>RUCHA</t>
        </is>
      </c>
      <c r="C18" s="147" t="inlineStr">
        <is>
          <t>ERW1</t>
        </is>
      </c>
      <c r="D18" s="147" t="inlineStr">
        <is>
          <t>NON FIN</t>
        </is>
      </c>
      <c r="E18" s="147" t="inlineStr">
        <is>
          <t>ERW</t>
        </is>
      </c>
      <c r="F18" s="148" t="n">
        <v>21.4</v>
      </c>
      <c r="G18" s="148" t="n"/>
      <c r="H18" s="148" t="n">
        <v>1.6</v>
      </c>
      <c r="I18" s="147" t="n">
        <v>6000</v>
      </c>
      <c r="J18" s="147" t="n">
        <v>6</v>
      </c>
      <c r="K18" s="147">
        <f>_xlfn.CONCAT(F18,H18,J18,E18,D18)</f>
        <v/>
      </c>
      <c r="L18" s="147">
        <f>VLOOKUP(K18,'VSM May Indent'!$K$1:$O$61,4,0)</f>
        <v/>
      </c>
      <c r="M18" s="147">
        <f>VLOOKUP(K18,'VSM May Indent'!$K$1:$O$61,5,0)</f>
        <v/>
      </c>
      <c r="N18" s="158" t="inlineStr">
        <is>
          <t>0789</t>
        </is>
      </c>
      <c r="O18" s="150" t="n">
        <v>3219710</v>
      </c>
      <c r="P18" s="19" t="n">
        <v>10</v>
      </c>
      <c r="Q18" s="147">
        <f>Table2527[[#This Row],[SCH jun- 25]]</f>
        <v/>
      </c>
      <c r="R18" s="147" t="n">
        <v>2</v>
      </c>
      <c r="S18" s="147" t="n"/>
      <c r="T18" s="147">
        <f>_xlfn.LET(_xlpm.c,Q18-Table2527[[#This Row],[Stock     12-06-25]]-Table2527[[#This Row],[intransist ]],IF(_xlpm.c&gt;0,0,-_xlpm.c))</f>
        <v/>
      </c>
      <c r="U18" s="301" t="n">
        <v>22</v>
      </c>
      <c r="V18" s="147">
        <f>U18+T18+S18</f>
        <v/>
      </c>
      <c r="W18" s="19">
        <f>_xlfn.LET(_xlpm.c,P18*1.5-V18,IF(_xlpm.c&lt;0,0,_xlpm.c))</f>
        <v/>
      </c>
      <c r="X18" s="297">
        <f>Table2527[[#This Row],[    INDENT  FOR jun-25 as per VSM]]</f>
        <v/>
      </c>
      <c r="Y18" s="167">
        <f>X18+U18</f>
        <v/>
      </c>
      <c r="Z18" s="185">
        <f>SUMIFS(meghsteelsales_previousmonth[Quantity],meghsteelsales_previousmonth[Length Bucket],M18)/1000</f>
        <v/>
      </c>
      <c r="AA18" s="185">
        <f>SUMIFS(meghsteelsales_currentmonth[Quantity],meghsteelsales_currentmonth[Length Bucket],M18)/1000</f>
        <v/>
      </c>
      <c r="AB18" s="185">
        <f>IF((X18-Z18-AA18)&lt;0,0,(X18-Z18-AA18))</f>
        <v/>
      </c>
      <c r="AC18" s="185" t="n"/>
      <c r="AD18" s="267" t="n"/>
      <c r="AE18" s="185" t="n"/>
      <c r="AF18" s="185" t="n"/>
      <c r="AG18" s="185" t="n"/>
      <c r="AH18" s="185" t="n"/>
    </row>
    <row r="19">
      <c r="A19" s="265" t="inlineStr">
        <is>
          <t>HMSI</t>
        </is>
      </c>
      <c r="B19" s="147" t="inlineStr">
        <is>
          <t>BADVE</t>
        </is>
      </c>
      <c r="C19" s="153" t="inlineStr">
        <is>
          <t>ERW1</t>
        </is>
      </c>
      <c r="D19" s="147" t="inlineStr">
        <is>
          <t>FIN CUT</t>
        </is>
      </c>
      <c r="E19" s="147" t="inlineStr">
        <is>
          <t>ERW</t>
        </is>
      </c>
      <c r="F19" s="148" t="n">
        <v>41.28</v>
      </c>
      <c r="G19" s="148" t="n"/>
      <c r="H19" s="148" t="n">
        <v>3.15</v>
      </c>
      <c r="I19" s="147" t="n">
        <v>5860</v>
      </c>
      <c r="J19" s="147" t="n">
        <v>5.86</v>
      </c>
      <c r="K19" s="147">
        <f>_xlfn.CONCAT(F19,H19,J19,E19,D19)</f>
        <v/>
      </c>
      <c r="L19" s="147">
        <f>VLOOKUP(K19,'VSM May Indent'!$K$1:$O$61,4,0)</f>
        <v/>
      </c>
      <c r="M19" s="147">
        <f>VLOOKUP(K19,'VSM May Indent'!$K$1:$O$61,5,0)</f>
        <v/>
      </c>
      <c r="N19" s="158" t="inlineStr">
        <is>
          <t>056</t>
        </is>
      </c>
      <c r="O19" s="317" t="n">
        <v>3673889</v>
      </c>
      <c r="P19" s="19" t="n">
        <v>35</v>
      </c>
      <c r="Q19" s="147">
        <f>Table2527[[#This Row],[SCH jun- 25]]</f>
        <v/>
      </c>
      <c r="R19" s="147" t="n">
        <v>0</v>
      </c>
      <c r="S19" s="147" t="n"/>
      <c r="T19" s="147">
        <f>_xlfn.LET(_xlpm.c,Q19-Table2527[[#This Row],[Stock     12-06-25]]-Table2527[[#This Row],[intransist ]],IF(_xlpm.c&gt;0,0,-_xlpm.c))</f>
        <v/>
      </c>
      <c r="U19" s="301" t="n">
        <v>4</v>
      </c>
      <c r="V19" s="147">
        <f>U19+T19+S19</f>
        <v/>
      </c>
      <c r="W19" s="19">
        <f>_xlfn.LET(_xlpm.c,P19*1.5-V19,IF(_xlpm.c&lt;0,0,_xlpm.c))</f>
        <v/>
      </c>
      <c r="X19" s="297">
        <f>Table2527[[#This Row],[    INDENT  FOR jun-25 as per VSM]]</f>
        <v/>
      </c>
      <c r="Y19" s="167">
        <f>X19+U19</f>
        <v/>
      </c>
      <c r="Z19" s="185">
        <f>SUMIFS(meghsteelsales_previousmonth[Quantity],meghsteelsales_previousmonth[Length Bucket],M19)/1000</f>
        <v/>
      </c>
      <c r="AA19" s="185">
        <f>SUMIFS(meghsteelsales_currentmonth[Quantity],meghsteelsales_currentmonth[Length Bucket],M19)/1000</f>
        <v/>
      </c>
      <c r="AB19" s="185">
        <f>IF((X19-Z19-AA19)&lt;0,0,(X19-Z19-AA19))</f>
        <v/>
      </c>
      <c r="AC19" s="185" t="n"/>
      <c r="AD19" s="267" t="n"/>
      <c r="AE19" s="185" t="n"/>
      <c r="AF19" s="185" t="n"/>
      <c r="AG19" s="185" t="n"/>
      <c r="AH19" s="185" t="n"/>
    </row>
    <row r="20">
      <c r="A20" s="265" t="inlineStr">
        <is>
          <t>HMSI</t>
        </is>
      </c>
      <c r="B20" s="147" t="inlineStr">
        <is>
          <t>BADVE</t>
        </is>
      </c>
      <c r="C20" s="153" t="inlineStr">
        <is>
          <t>ERW2</t>
        </is>
      </c>
      <c r="D20" s="147" t="inlineStr">
        <is>
          <t>FIN CUT</t>
        </is>
      </c>
      <c r="E20" s="147" t="inlineStr">
        <is>
          <t>HST</t>
        </is>
      </c>
      <c r="F20" s="148" t="n">
        <v>48.6</v>
      </c>
      <c r="G20" s="148" t="n"/>
      <c r="H20" s="148" t="n">
        <v>2.3</v>
      </c>
      <c r="I20" s="147" t="n">
        <v>6270</v>
      </c>
      <c r="J20" s="147" t="n">
        <v>6.27</v>
      </c>
      <c r="K20" s="147">
        <f>_xlfn.CONCAT(F20,H20,J20,E20,D20)</f>
        <v/>
      </c>
      <c r="L20" s="147">
        <f>VLOOKUP(K20,'VSM May Indent'!$K$1:$O$61,4,0)</f>
        <v/>
      </c>
      <c r="M20" s="147">
        <f>VLOOKUP(K20,'VSM May Indent'!$K$1:$O$61,5,0)</f>
        <v/>
      </c>
      <c r="N20" s="158" t="inlineStr">
        <is>
          <t>056</t>
        </is>
      </c>
      <c r="O20" s="150" t="n">
        <v>3549720</v>
      </c>
      <c r="P20" s="19" t="n">
        <v>15</v>
      </c>
      <c r="Q20" s="147">
        <f>Table2527[[#This Row],[SCH jun- 25]]</f>
        <v/>
      </c>
      <c r="R20" s="147" t="n">
        <v>0</v>
      </c>
      <c r="S20" s="147" t="n"/>
      <c r="T20" s="147">
        <f>_xlfn.LET(_xlpm.c,Q20-Table2527[[#This Row],[Stock     12-06-25]]-Table2527[[#This Row],[intransist ]],IF(_xlpm.c&gt;0,0,-_xlpm.c))</f>
        <v/>
      </c>
      <c r="U20" s="301" t="n"/>
      <c r="V20" s="147">
        <f>U20+T20+S20</f>
        <v/>
      </c>
      <c r="W20" s="19">
        <f>_xlfn.LET(_xlpm.c,P20*1.5-V20,IF(_xlpm.c&lt;0,0,_xlpm.c))</f>
        <v/>
      </c>
      <c r="X20" s="297">
        <f>Table2527[[#This Row],[    INDENT  FOR jun-25 as per VSM]]</f>
        <v/>
      </c>
      <c r="Y20" s="167">
        <f>X20+U20</f>
        <v/>
      </c>
      <c r="Z20" s="185">
        <f>SUMIFS(meghsteelsales_previousmonth[Quantity],meghsteelsales_previousmonth[Length Bucket],M20)/1000</f>
        <v/>
      </c>
      <c r="AA20" s="185">
        <f>SUMIFS(meghsteelsales_currentmonth[Quantity],meghsteelsales_currentmonth[Length Bucket],M20)/1000</f>
        <v/>
      </c>
      <c r="AB20" s="185">
        <f>IF((X20-Z20-AA20)&lt;0,0,(X20-Z20-AA20))</f>
        <v/>
      </c>
      <c r="AC20" s="185" t="n"/>
      <c r="AD20" s="267" t="n"/>
      <c r="AE20" s="185" t="n"/>
      <c r="AF20" s="185" t="n"/>
      <c r="AG20" s="185" t="n"/>
      <c r="AH20" s="185" t="n"/>
    </row>
    <row r="21" customFormat="1" s="45">
      <c r="A21" s="265" t="inlineStr">
        <is>
          <t>HMSI</t>
        </is>
      </c>
      <c r="B21" s="147" t="inlineStr">
        <is>
          <t>BADVE</t>
        </is>
      </c>
      <c r="C21" s="153" t="inlineStr">
        <is>
          <t>ERW2</t>
        </is>
      </c>
      <c r="D21" s="147" t="inlineStr">
        <is>
          <t>FIN CUT</t>
        </is>
      </c>
      <c r="E21" s="147" t="inlineStr">
        <is>
          <t>HST</t>
        </is>
      </c>
      <c r="F21" s="148" t="n">
        <v>45</v>
      </c>
      <c r="G21" s="148" t="n"/>
      <c r="H21" s="148" t="n">
        <v>1.6</v>
      </c>
      <c r="I21" s="147" t="n">
        <v>6400</v>
      </c>
      <c r="J21" s="147" t="n">
        <v>6.42</v>
      </c>
      <c r="K21" s="147">
        <f>_xlfn.CONCAT(F21,H21,J21,E21,D21)</f>
        <v/>
      </c>
      <c r="L21" s="147">
        <f>VLOOKUP(K21,'VSM May Indent'!$K$1:$O$61,4,0)</f>
        <v/>
      </c>
      <c r="M21" s="147">
        <f>VLOOKUP(K21,'VSM May Indent'!$K$1:$O$61,5,0)</f>
        <v/>
      </c>
      <c r="N21" s="158" t="inlineStr">
        <is>
          <t>0789</t>
        </is>
      </c>
      <c r="O21" s="150" t="n">
        <v>3502388</v>
      </c>
      <c r="P21" s="19" t="n">
        <v>10</v>
      </c>
      <c r="Q21" s="147">
        <f>Table2527[[#This Row],[SCH jun- 25]]</f>
        <v/>
      </c>
      <c r="R21" s="147" t="n">
        <v>0</v>
      </c>
      <c r="S21" s="147" t="n"/>
      <c r="T21" s="147">
        <f>_xlfn.LET(_xlpm.c,Q21-Table2527[[#This Row],[Stock     12-06-25]]-Table2527[[#This Row],[intransist ]],IF(_xlpm.c&gt;0,0,-_xlpm.c))</f>
        <v/>
      </c>
      <c r="U21" s="301" t="n"/>
      <c r="V21" s="147">
        <f>U21+T21+S21</f>
        <v/>
      </c>
      <c r="W21" s="19">
        <f>_xlfn.LET(_xlpm.c,P21*1.5-V21,IF(_xlpm.c&lt;0,0,_xlpm.c))</f>
        <v/>
      </c>
      <c r="X21" s="297">
        <f>Table2527[[#This Row],[    INDENT  FOR jun-25 as per VSM]]</f>
        <v/>
      </c>
      <c r="Y21" s="167">
        <f>X21+U21</f>
        <v/>
      </c>
      <c r="Z21" s="185">
        <f>SUMIFS(meghsteelsales_previousmonth[Quantity],meghsteelsales_previousmonth[Length Bucket],M21)/1000</f>
        <v/>
      </c>
      <c r="AA21" s="185">
        <f>SUMIFS(meghsteelsales_currentmonth[Quantity],meghsteelsales_currentmonth[Length Bucket],M21)/1000</f>
        <v/>
      </c>
      <c r="AB21" s="185">
        <f>IF((X21-Z21-AA21)&lt;0,0,(X21-Z21-AA21))</f>
        <v/>
      </c>
      <c r="AC21" s="185" t="n"/>
      <c r="AD21" s="267" t="n"/>
      <c r="AE21" s="185" t="n"/>
      <c r="AF21" s="185" t="n"/>
      <c r="AG21" s="185" t="n"/>
      <c r="AH21" s="185" t="n"/>
    </row>
    <row r="22" customFormat="1" s="45">
      <c r="A22" s="265" t="inlineStr">
        <is>
          <t>HMSI</t>
        </is>
      </c>
      <c r="B22" s="147" t="inlineStr">
        <is>
          <t>BADVE</t>
        </is>
      </c>
      <c r="C22" s="153" t="inlineStr">
        <is>
          <t>ERW1</t>
        </is>
      </c>
      <c r="D22" s="147" t="inlineStr">
        <is>
          <t>FIN CUT</t>
        </is>
      </c>
      <c r="E22" s="147" t="inlineStr">
        <is>
          <t>ERW</t>
        </is>
      </c>
      <c r="F22" s="148" t="n">
        <v>57.15</v>
      </c>
      <c r="G22" s="148" t="n"/>
      <c r="H22" s="148" t="n">
        <v>3</v>
      </c>
      <c r="I22" s="147" t="n">
        <v>5650</v>
      </c>
      <c r="J22" s="147" t="n">
        <v>5.65</v>
      </c>
      <c r="K22" s="147">
        <f>_xlfn.CONCAT(F22,H22,J22,E22,D22)</f>
        <v/>
      </c>
      <c r="L22" s="147">
        <f>VLOOKUP(K22,'VSM May Indent'!$K$1:$O$61,4,0)</f>
        <v/>
      </c>
      <c r="M22" s="147">
        <f>VLOOKUP(K22,'VSM May Indent'!$K$1:$O$61,5,0)</f>
        <v/>
      </c>
      <c r="N22" s="151" t="inlineStr">
        <is>
          <t>056</t>
        </is>
      </c>
      <c r="O22" s="150" t="n">
        <v>3501105</v>
      </c>
      <c r="P22" s="19" t="n">
        <v>15</v>
      </c>
      <c r="Q22" s="147">
        <f>Table2527[[#This Row],[SCH jun- 25]]</f>
        <v/>
      </c>
      <c r="R22" s="147" t="n">
        <v>0</v>
      </c>
      <c r="S22" s="147" t="n"/>
      <c r="T22" s="147">
        <f>_xlfn.LET(_xlpm.c,Q22-Table2527[[#This Row],[Stock     12-06-25]]-Table2527[[#This Row],[intransist ]],IF(_xlpm.c&gt;0,0,-_xlpm.c))</f>
        <v/>
      </c>
      <c r="U22" s="301" t="n"/>
      <c r="V22" s="147">
        <f>U22+T22+S22</f>
        <v/>
      </c>
      <c r="W22" s="19">
        <f>_xlfn.LET(_xlpm.c,P22*1.5-V22,IF(_xlpm.c&lt;0,0,_xlpm.c))</f>
        <v/>
      </c>
      <c r="X22" s="297">
        <f>Table2527[[#This Row],[    INDENT  FOR jun-25 as per VSM]]</f>
        <v/>
      </c>
      <c r="Y22" s="167">
        <f>X22+U22</f>
        <v/>
      </c>
      <c r="Z22" s="185">
        <f>SUMIFS(meghsteelsales_previousmonth[Quantity],meghsteelsales_previousmonth[Length Bucket],M22)/1000</f>
        <v/>
      </c>
      <c r="AA22" s="185">
        <f>SUMIFS(meghsteelsales_currentmonth[Quantity],meghsteelsales_currentmonth[Length Bucket],M22)/1000</f>
        <v/>
      </c>
      <c r="AB22" s="185">
        <f>IF((X22-Z22-AA22)&lt;0,0,(X22-Z22-AA22))</f>
        <v/>
      </c>
      <c r="AC22" s="185" t="n"/>
      <c r="AD22" s="267" t="n"/>
      <c r="AE22" s="185" t="n"/>
      <c r="AF22" s="185" t="n"/>
      <c r="AG22" s="185" t="n"/>
      <c r="AH22" s="185" t="n"/>
    </row>
    <row r="23">
      <c r="A23" s="266" t="inlineStr">
        <is>
          <t>TVS</t>
        </is>
      </c>
      <c r="B23" s="156" t="inlineStr">
        <is>
          <t>RUCHA</t>
        </is>
      </c>
      <c r="C23" s="157" t="inlineStr">
        <is>
          <t>ERW1</t>
        </is>
      </c>
      <c r="D23" s="156" t="inlineStr">
        <is>
          <t>NON FIN</t>
        </is>
      </c>
      <c r="E23" s="156" t="inlineStr">
        <is>
          <t>ERW</t>
        </is>
      </c>
      <c r="F23" s="243" t="n">
        <v>19.05</v>
      </c>
      <c r="G23" s="243" t="n"/>
      <c r="H23" s="243" t="n">
        <v>2</v>
      </c>
      <c r="I23" s="244" t="n">
        <v>5800</v>
      </c>
      <c r="J23" s="156" t="n">
        <v>5.8</v>
      </c>
      <c r="K23" s="147">
        <f>_xlfn.CONCAT(F23,H23,J23,E23,D23)</f>
        <v/>
      </c>
      <c r="L23" s="147">
        <f>VLOOKUP(K23,'VSM May Indent'!$K$1:$O$61,4,0)</f>
        <v/>
      </c>
      <c r="M23" s="147">
        <f>VLOOKUP(K23,'VSM May Indent'!$K$1:$O$61,5,0)</f>
        <v/>
      </c>
      <c r="N23" s="249" t="inlineStr">
        <is>
          <t>056</t>
        </is>
      </c>
      <c r="O23" s="318" t="n">
        <v>3212868</v>
      </c>
      <c r="P23" s="246" t="n">
        <v>35</v>
      </c>
      <c r="Q23" s="156">
        <f>Table2527[[#This Row],[SCH jun- 25]]</f>
        <v/>
      </c>
      <c r="R23" s="156" t="n"/>
      <c r="S23" s="156" t="n"/>
      <c r="T23" s="156">
        <f>_xlfn.LET(_xlpm.c,Q23-Table2527[[#This Row],[Stock     12-06-25]]-Table2527[[#This Row],[intransist ]],IF(_xlpm.c&gt;0,0,-_xlpm.c))</f>
        <v/>
      </c>
      <c r="U23" s="301" t="n"/>
      <c r="V23" s="156">
        <f>U23+T23+S23</f>
        <v/>
      </c>
      <c r="W23" s="246">
        <f>_xlfn.LET(_xlpm.c,P23*1.5-V23,IF(_xlpm.c&lt;0,0,_xlpm.c))</f>
        <v/>
      </c>
      <c r="X23" s="297">
        <f>Table2527[[#This Row],[    INDENT  FOR jun-25 as per VSM]]</f>
        <v/>
      </c>
      <c r="Y23" s="247">
        <f>X23+U23</f>
        <v/>
      </c>
      <c r="Z23" s="185">
        <f>SUMIFS(meghsteelsales_previousmonth[Quantity],meghsteelsales_previousmonth[Length Bucket],M23)/1000</f>
        <v/>
      </c>
      <c r="AA23" s="185">
        <f>SUMIFS(meghsteelsales_currentmonth[Quantity],meghsteelsales_currentmonth[Length Bucket],M23)/1000</f>
        <v/>
      </c>
      <c r="AB23" s="185">
        <f>IF((X23-Z23-AA23)&lt;0,0,(X23-Z23-AA23))</f>
        <v/>
      </c>
      <c r="AC23" s="185" t="n"/>
      <c r="AD23" s="267" t="n"/>
      <c r="AE23" s="292" t="n"/>
      <c r="AF23" s="292" t="n"/>
      <c r="AG23" s="292" t="n"/>
      <c r="AH23" s="292" t="n"/>
    </row>
    <row r="24">
      <c r="A24" s="265" t="inlineStr">
        <is>
          <t>TVS</t>
        </is>
      </c>
      <c r="B24" s="147" t="inlineStr">
        <is>
          <t>RUCHA,METALMAN</t>
        </is>
      </c>
      <c r="C24" s="153" t="inlineStr">
        <is>
          <t>ERW1</t>
        </is>
      </c>
      <c r="D24" s="147" t="inlineStr">
        <is>
          <t>NON FIN</t>
        </is>
      </c>
      <c r="E24" s="147" t="inlineStr">
        <is>
          <t>ERW</t>
        </is>
      </c>
      <c r="F24" s="148" t="n">
        <v>19.05</v>
      </c>
      <c r="G24" s="148" t="n"/>
      <c r="H24" s="148" t="n">
        <v>2.3</v>
      </c>
      <c r="I24" s="147" t="n">
        <v>7000</v>
      </c>
      <c r="J24" s="147" t="n">
        <v>7</v>
      </c>
      <c r="K24" s="147">
        <f>_xlfn.CONCAT(F24,H24,J24,E24,D24)</f>
        <v/>
      </c>
      <c r="L24" s="147">
        <f>VLOOKUP(K24,'VSM May Indent'!$K$1:$O$61,4,0)</f>
        <v/>
      </c>
      <c r="M24" s="147">
        <f>VLOOKUP(K24,'VSM May Indent'!$K$1:$O$61,5,0)</f>
        <v/>
      </c>
      <c r="N24" s="151" t="inlineStr">
        <is>
          <t>056</t>
        </is>
      </c>
      <c r="O24" s="150" t="n">
        <v>3500582</v>
      </c>
      <c r="P24" s="19" t="n">
        <v>20</v>
      </c>
      <c r="Q24" s="147">
        <f>Table2527[[#This Row],[SCH jun- 25]]</f>
        <v/>
      </c>
      <c r="R24" s="147" t="n">
        <v>15</v>
      </c>
      <c r="S24" s="147" t="n"/>
      <c r="T24" s="147">
        <f>_xlfn.LET(_xlpm.c,Q24-Table2527[[#This Row],[Stock     12-06-25]]-Table2527[[#This Row],[intransist ]],IF(_xlpm.c&gt;0,0,-_xlpm.c))</f>
        <v/>
      </c>
      <c r="U24" s="301" t="n">
        <v>23</v>
      </c>
      <c r="V24" s="147">
        <f>U24+T24+S24</f>
        <v/>
      </c>
      <c r="W24" s="19">
        <f>_xlfn.LET(_xlpm.c,P24*1.5-V24,IF(_xlpm.c&lt;0,0,_xlpm.c))</f>
        <v/>
      </c>
      <c r="X24" s="297">
        <f>Table2527[[#This Row],[    INDENT  FOR jun-25 as per VSM]]</f>
        <v/>
      </c>
      <c r="Y24" s="167">
        <f>X24+U24</f>
        <v/>
      </c>
      <c r="Z24" s="185">
        <f>SUMIFS(meghsteelsales_previousmonth[Quantity],meghsteelsales_previousmonth[Length Bucket],M24)/1000</f>
        <v/>
      </c>
      <c r="AA24" s="185">
        <f>SUMIFS(meghsteelsales_currentmonth[Quantity],meghsteelsales_currentmonth[Length Bucket],M24)/1000</f>
        <v/>
      </c>
      <c r="AB24" s="185">
        <f>IF((X24-Z24-AA24)&lt;0,0,(X24-Z24-AA24))</f>
        <v/>
      </c>
      <c r="AC24" s="185" t="n"/>
      <c r="AD24" s="267" t="n"/>
      <c r="AE24" s="185" t="n"/>
      <c r="AF24" s="185" t="n"/>
      <c r="AG24" s="185">
        <f>Table2527[[#This Row],[plant]]</f>
        <v/>
      </c>
      <c r="AH24" s="185" t="n"/>
    </row>
    <row r="25">
      <c r="A25" s="265" t="inlineStr">
        <is>
          <t>TVS</t>
        </is>
      </c>
      <c r="B25" s="147" t="inlineStr">
        <is>
          <t>RUCHA</t>
        </is>
      </c>
      <c r="C25" s="153" t="inlineStr">
        <is>
          <t>ERW1</t>
        </is>
      </c>
      <c r="D25" s="147" t="inlineStr">
        <is>
          <t>NON FIN</t>
        </is>
      </c>
      <c r="E25" s="147" t="inlineStr">
        <is>
          <t>ERW</t>
        </is>
      </c>
      <c r="F25" s="148" t="n">
        <v>22.2</v>
      </c>
      <c r="G25" s="148" t="n"/>
      <c r="H25" s="148" t="n">
        <v>1.2</v>
      </c>
      <c r="I25" s="147" t="n">
        <v>5870</v>
      </c>
      <c r="J25" s="147" t="n">
        <v>5.87</v>
      </c>
      <c r="K25" s="147">
        <f>_xlfn.CONCAT(F25,H25,J25,E25,D25)</f>
        <v/>
      </c>
      <c r="L25" s="147">
        <f>VLOOKUP(K25,'VSM May Indent'!$K$1:$O$61,4,0)</f>
        <v/>
      </c>
      <c r="M25" s="147">
        <f>VLOOKUP(K25,'VSM May Indent'!$K$1:$O$61,5,0)</f>
        <v/>
      </c>
      <c r="N25" s="151" t="inlineStr">
        <is>
          <t>056</t>
        </is>
      </c>
      <c r="O25" s="316" t="n">
        <v>3882110</v>
      </c>
      <c r="P25" s="19" t="n">
        <v>20</v>
      </c>
      <c r="Q25" s="147">
        <f>Table2527[[#This Row],[SCH jun- 25]]</f>
        <v/>
      </c>
      <c r="R25" s="147" t="n">
        <v>0</v>
      </c>
      <c r="S25" s="147" t="n"/>
      <c r="T25" s="147">
        <f>_xlfn.LET(_xlpm.c,Q25-Table2527[[#This Row],[Stock     12-06-25]]-Table2527[[#This Row],[intransist ]],IF(_xlpm.c&gt;0,0,-_xlpm.c))</f>
        <v/>
      </c>
      <c r="U25" s="301" t="n">
        <v>24</v>
      </c>
      <c r="V25" s="147">
        <f>U25+T25+S25</f>
        <v/>
      </c>
      <c r="W25" s="19">
        <f>_xlfn.LET(_xlpm.c,P25*1.5-V25,IF(_xlpm.c&lt;0,0,_xlpm.c))</f>
        <v/>
      </c>
      <c r="X25" s="297">
        <f>Table2527[[#This Row],[    INDENT  FOR jun-25 as per VSM]]</f>
        <v/>
      </c>
      <c r="Y25" s="167">
        <f>X25+U25</f>
        <v/>
      </c>
      <c r="Z25" s="185">
        <f>SUMIFS(meghsteelsales_previousmonth[Quantity],meghsteelsales_previousmonth[Length Bucket],M25)/1000</f>
        <v/>
      </c>
      <c r="AA25" s="185">
        <f>SUMIFS(meghsteelsales_currentmonth[Quantity],meghsteelsales_currentmonth[Length Bucket],M25)/1000</f>
        <v/>
      </c>
      <c r="AB25" s="185">
        <f>IF((X25-Z25-AA25)&lt;0,0,(X25-Z25-AA25))</f>
        <v/>
      </c>
      <c r="AC25" s="185" t="n"/>
      <c r="AD25" s="267" t="n"/>
      <c r="AE25" s="185" t="n"/>
      <c r="AF25" s="185" t="n"/>
      <c r="AG25" s="185">
        <f>Table2527[[#This Row],[plant]]</f>
        <v/>
      </c>
      <c r="AH25" s="185" t="n"/>
    </row>
    <row r="26">
      <c r="A26" s="265" t="inlineStr">
        <is>
          <t>HMSI</t>
        </is>
      </c>
      <c r="B26" s="147" t="inlineStr">
        <is>
          <t>BADVE</t>
        </is>
      </c>
      <c r="C26" s="153" t="inlineStr">
        <is>
          <t>ERW1</t>
        </is>
      </c>
      <c r="D26" s="147" t="inlineStr">
        <is>
          <t>FIN CUT</t>
        </is>
      </c>
      <c r="E26" s="147" t="inlineStr">
        <is>
          <t>ERW</t>
        </is>
      </c>
      <c r="F26" s="148" t="n">
        <v>48.6</v>
      </c>
      <c r="G26" s="148" t="n"/>
      <c r="H26" s="148" t="n">
        <v>3.5</v>
      </c>
      <c r="I26" s="147" t="n">
        <v>6000</v>
      </c>
      <c r="J26" s="147" t="n">
        <v>6</v>
      </c>
      <c r="K26" s="147">
        <f>_xlfn.CONCAT(F26,H26,J26,E26,D26)</f>
        <v/>
      </c>
      <c r="L26" s="147">
        <f>VLOOKUP(K26,'VSM May Indent'!$K$1:$O$61,4,0)</f>
        <v/>
      </c>
      <c r="M26" s="147">
        <f>VLOOKUP(K26,'VSM May Indent'!$K$1:$O$61,5,0)</f>
        <v/>
      </c>
      <c r="N26" s="158" t="inlineStr">
        <is>
          <t>0789</t>
        </is>
      </c>
      <c r="O26" s="150" t="n">
        <v>3502422</v>
      </c>
      <c r="P26" s="19" t="n">
        <v>20</v>
      </c>
      <c r="Q26" s="147">
        <f>Table2527[[#This Row],[SCH jun- 25]]</f>
        <v/>
      </c>
      <c r="R26" s="147" t="n">
        <v>8</v>
      </c>
      <c r="S26" s="147" t="n"/>
      <c r="T26" s="147">
        <f>_xlfn.LET(_xlpm.c,Q26-Table2527[[#This Row],[Stock     12-06-25]]-Table2527[[#This Row],[intransist ]],IF(_xlpm.c&gt;0,0,-_xlpm.c))</f>
        <v/>
      </c>
      <c r="U26" s="301" t="n">
        <v>10</v>
      </c>
      <c r="V26" s="147">
        <f>U26+T26+S26</f>
        <v/>
      </c>
      <c r="W26" s="19">
        <f>_xlfn.LET(_xlpm.c,P26*1.5-V26,IF(_xlpm.c&lt;0,0,_xlpm.c))</f>
        <v/>
      </c>
      <c r="X26" s="297">
        <f>Table2527[[#This Row],[    INDENT  FOR jun-25 as per VSM]]</f>
        <v/>
      </c>
      <c r="Y26" s="167">
        <f>X26+U26</f>
        <v/>
      </c>
      <c r="Z26" s="185">
        <f>SUMIFS(meghsteelsales_previousmonth[Quantity],meghsteelsales_previousmonth[Length Bucket],M26)/1000</f>
        <v/>
      </c>
      <c r="AA26" s="185">
        <f>SUMIFS(meghsteelsales_currentmonth[Quantity],meghsteelsales_currentmonth[Length Bucket],M26)/1000</f>
        <v/>
      </c>
      <c r="AB26" s="185">
        <f>IF((X26-Z26-AA26)&lt;0,0,(X26-Z26-AA26))</f>
        <v/>
      </c>
      <c r="AC26" s="185" t="n"/>
      <c r="AD26" s="267" t="n"/>
      <c r="AE26" s="185" t="n"/>
      <c r="AF26" s="185" t="n"/>
      <c r="AG26" s="185" t="n"/>
      <c r="AH26" s="185" t="n"/>
    </row>
    <row r="27">
      <c r="A27" s="266" t="inlineStr">
        <is>
          <t>TVS</t>
        </is>
      </c>
      <c r="B27" s="156" t="inlineStr">
        <is>
          <t>RUCHA</t>
        </is>
      </c>
      <c r="C27" s="157" t="inlineStr">
        <is>
          <t>ERW1</t>
        </is>
      </c>
      <c r="D27" s="156" t="inlineStr">
        <is>
          <t>NON FIN</t>
        </is>
      </c>
      <c r="E27" s="156" t="inlineStr">
        <is>
          <t>ERW</t>
        </is>
      </c>
      <c r="F27" s="248" t="n">
        <v>22.2</v>
      </c>
      <c r="G27" s="248" t="n"/>
      <c r="H27" s="248" t="n">
        <v>1.6</v>
      </c>
      <c r="I27" s="156" t="n">
        <v>5670</v>
      </c>
      <c r="J27" s="156" t="n">
        <v>5.67</v>
      </c>
      <c r="K27" s="147">
        <f>_xlfn.CONCAT(F27,H27,J27,E27,D27)</f>
        <v/>
      </c>
      <c r="L27" s="147">
        <f>VLOOKUP(K27,'VSM May Indent'!$K$1:$O$61,4,0)</f>
        <v/>
      </c>
      <c r="M27" s="147">
        <f>VLOOKUP(K27,'VSM May Indent'!$K$1:$O$61,5,0)</f>
        <v/>
      </c>
      <c r="N27" s="201" t="inlineStr">
        <is>
          <t>056</t>
        </is>
      </c>
      <c r="O27" s="245" t="n">
        <v>4055022</v>
      </c>
      <c r="P27" s="246" t="n">
        <v>40</v>
      </c>
      <c r="Q27" s="156">
        <f>Table2527[[#This Row],[SCH jun- 25]]</f>
        <v/>
      </c>
      <c r="R27" s="156" t="n"/>
      <c r="S27" s="156" t="n"/>
      <c r="T27" s="156">
        <f>_xlfn.LET(_xlpm.c,Q27-Table2527[[#This Row],[Stock     12-06-25]]-Table2527[[#This Row],[intransist ]],IF(_xlpm.c&gt;0,0,-_xlpm.c))</f>
        <v/>
      </c>
      <c r="U27" s="301" t="n"/>
      <c r="V27" s="156">
        <f>U27+T27+S27</f>
        <v/>
      </c>
      <c r="W27" s="246">
        <f>_xlfn.LET(_xlpm.c,P27*1.5-V27,IF(_xlpm.c&lt;0,0,_xlpm.c))</f>
        <v/>
      </c>
      <c r="X27" s="297">
        <f>Table2527[[#This Row],[    INDENT  FOR jun-25 as per VSM]]</f>
        <v/>
      </c>
      <c r="Y27" s="247">
        <f>X27+U27</f>
        <v/>
      </c>
      <c r="Z27" s="185">
        <f>SUMIFS(meghsteelsales_previousmonth[Quantity],meghsteelsales_previousmonth[Length Bucket],M27)/1000</f>
        <v/>
      </c>
      <c r="AA27" s="185">
        <f>SUMIFS(meghsteelsales_currentmonth[Quantity],meghsteelsales_currentmonth[Length Bucket],M27)/1000</f>
        <v/>
      </c>
      <c r="AB27" s="185">
        <f>IF((X27-Z27-AA27)&lt;0,0,(X27-Z27-AA27))</f>
        <v/>
      </c>
      <c r="AC27" s="185" t="n"/>
      <c r="AD27" s="267" t="n"/>
      <c r="AE27" s="292" t="n"/>
      <c r="AF27" s="292" t="n"/>
      <c r="AG27" s="292" t="n"/>
      <c r="AH27" s="292" t="n"/>
    </row>
    <row r="28">
      <c r="A28" s="265" t="inlineStr">
        <is>
          <t>HMSI</t>
        </is>
      </c>
      <c r="B28" s="147" t="inlineStr">
        <is>
          <t>BADVE</t>
        </is>
      </c>
      <c r="C28" s="153" t="inlineStr">
        <is>
          <t>ERW1</t>
        </is>
      </c>
      <c r="D28" s="147" t="inlineStr">
        <is>
          <t>FIN CUT</t>
        </is>
      </c>
      <c r="E28" s="147" t="inlineStr">
        <is>
          <t>ERW</t>
        </is>
      </c>
      <c r="F28" s="148" t="n">
        <v>25.4</v>
      </c>
      <c r="G28" s="148" t="n"/>
      <c r="H28" s="148" t="n">
        <v>1.4</v>
      </c>
      <c r="I28" s="147" t="n">
        <v>6060</v>
      </c>
      <c r="J28" s="147" t="n">
        <v>6.06</v>
      </c>
      <c r="K28" s="147">
        <f>_xlfn.CONCAT(F28,H28,J28,E28,D28)</f>
        <v/>
      </c>
      <c r="L28" s="147" t="inlineStr">
        <is>
          <t>25.4-0-1.4-ERW 1-FC</t>
        </is>
      </c>
      <c r="M28" s="147" t="inlineStr">
        <is>
          <t>25.4-0-1.4-ERW 1-FC-6.06</t>
        </is>
      </c>
      <c r="N28" s="165" t="inlineStr">
        <is>
          <t>0789</t>
        </is>
      </c>
      <c r="O28" s="149" t="n">
        <v>3557792</v>
      </c>
      <c r="P28" s="19" t="n">
        <v>10</v>
      </c>
      <c r="Q28" s="147">
        <f>Table2527[[#This Row],[SCH jun- 25]]</f>
        <v/>
      </c>
      <c r="R28" s="147" t="n">
        <v>5</v>
      </c>
      <c r="S28" s="147" t="n"/>
      <c r="T28" s="147">
        <f>_xlfn.LET(_xlpm.c,Q28-Table2527[[#This Row],[Stock     12-06-25]]-Table2527[[#This Row],[intransist ]],IF(_xlpm.c&gt;0,0,-_xlpm.c))</f>
        <v/>
      </c>
      <c r="U28" s="301" t="n">
        <v>11</v>
      </c>
      <c r="V28" s="147">
        <f>U28+T28+S28</f>
        <v/>
      </c>
      <c r="W28" s="19">
        <f>_xlfn.LET(_xlpm.c,P28*1.5-V28,IF(_xlpm.c&lt;0,0,_xlpm.c))</f>
        <v/>
      </c>
      <c r="X28" s="297">
        <f>Table2527[[#This Row],[    INDENT  FOR jun-25 as per VSM]]</f>
        <v/>
      </c>
      <c r="Y28" s="167">
        <f>X28+U28</f>
        <v/>
      </c>
      <c r="Z28" s="185">
        <f>SUMIFS(meghsteelsales_previousmonth[Quantity],meghsteelsales_previousmonth[Length Bucket],M28)/1000</f>
        <v/>
      </c>
      <c r="AA28" s="185">
        <f>SUMIFS(meghsteelsales_currentmonth[Quantity],meghsteelsales_currentmonth[Length Bucket],M28)/1000</f>
        <v/>
      </c>
      <c r="AB28" s="185">
        <f>IF((X28-Z28-AA28)&lt;0,0,(X28-Z28-AA28))</f>
        <v/>
      </c>
      <c r="AC28" s="185" t="n"/>
      <c r="AD28" s="267" t="n"/>
      <c r="AE28" s="185" t="n"/>
      <c r="AF28" s="185" t="n"/>
      <c r="AG28" s="185" t="n"/>
      <c r="AH28" s="185" t="n"/>
    </row>
    <row r="29">
      <c r="A29" s="265" t="inlineStr">
        <is>
          <t>TVS</t>
        </is>
      </c>
      <c r="B29" s="147" t="inlineStr">
        <is>
          <t>RUCHA</t>
        </is>
      </c>
      <c r="C29" s="155" t="inlineStr">
        <is>
          <t>ERW1</t>
        </is>
      </c>
      <c r="D29" s="147" t="inlineStr">
        <is>
          <t>NON FIN</t>
        </is>
      </c>
      <c r="E29" s="147" t="inlineStr">
        <is>
          <t>ERW</t>
        </is>
      </c>
      <c r="F29" s="154" t="n">
        <v>22.2</v>
      </c>
      <c r="G29" s="154" t="n"/>
      <c r="H29" s="154" t="n">
        <v>2</v>
      </c>
      <c r="I29" s="155" t="n">
        <v>5950</v>
      </c>
      <c r="J29" s="147" t="n">
        <v>5.95</v>
      </c>
      <c r="K29" s="147">
        <f>_xlfn.CONCAT(F29,H29,J29,E29,D29)</f>
        <v/>
      </c>
      <c r="L29" s="147">
        <f>VLOOKUP(K29,'VSM May Indent'!$K$1:$O$61,4,0)</f>
        <v/>
      </c>
      <c r="M29" s="147">
        <f>VLOOKUP(K29,'VSM May Indent'!$K$1:$O$61,5,0)</f>
        <v/>
      </c>
      <c r="N29" s="151" t="inlineStr">
        <is>
          <t>056</t>
        </is>
      </c>
      <c r="O29" s="316" t="n">
        <v>3905466</v>
      </c>
      <c r="P29" s="19" t="n">
        <v>50</v>
      </c>
      <c r="Q29" s="147">
        <f>Table2527[[#This Row],[SCH jun- 25]]</f>
        <v/>
      </c>
      <c r="R29" s="147" t="n">
        <v>0</v>
      </c>
      <c r="S29" s="147" t="n"/>
      <c r="T29" s="147">
        <f>_xlfn.LET(_xlpm.c,Q29-Table2527[[#This Row],[Stock     12-06-25]]-Table2527[[#This Row],[intransist ]],IF(_xlpm.c&gt;0,0,-_xlpm.c))</f>
        <v/>
      </c>
      <c r="U29" s="301" t="n">
        <v>36</v>
      </c>
      <c r="V29" s="147">
        <f>U29+T29+S29</f>
        <v/>
      </c>
      <c r="W29" s="19">
        <f>_xlfn.LET(_xlpm.c,P29*1.5-V29,IF(_xlpm.c&lt;0,0,_xlpm.c))</f>
        <v/>
      </c>
      <c r="X29" s="297">
        <f>Table2527[[#This Row],[    INDENT  FOR jun-25 as per VSM]]</f>
        <v/>
      </c>
      <c r="Y29" s="167">
        <f>X29+U29</f>
        <v/>
      </c>
      <c r="Z29" s="185">
        <f>SUMIFS(meghsteelsales_previousmonth[Quantity],meghsteelsales_previousmonth[Length Bucket],M29)/1000</f>
        <v/>
      </c>
      <c r="AA29" s="185">
        <f>SUMIFS(meghsteelsales_currentmonth[Quantity],meghsteelsales_currentmonth[Length Bucket],M29)/1000</f>
        <v/>
      </c>
      <c r="AB29" s="185">
        <f>IF((X29-Z29-AA29)&lt;0,0,(X29-Z29-AA29))</f>
        <v/>
      </c>
      <c r="AC29" s="185" t="n"/>
      <c r="AD29" s="267" t="n"/>
      <c r="AE29" s="185" t="n"/>
      <c r="AF29" s="185" t="n"/>
      <c r="AG29" s="185" t="n"/>
      <c r="AH29" s="185" t="n"/>
    </row>
    <row r="30">
      <c r="A30" s="265" t="inlineStr">
        <is>
          <t>TVS</t>
        </is>
      </c>
      <c r="B30" s="147" t="inlineStr">
        <is>
          <t>RUCHA</t>
        </is>
      </c>
      <c r="C30" s="153" t="inlineStr">
        <is>
          <t>ERW1</t>
        </is>
      </c>
      <c r="D30" s="147" t="inlineStr">
        <is>
          <t>NON FIN</t>
        </is>
      </c>
      <c r="E30" s="147" t="inlineStr">
        <is>
          <t>ERW</t>
        </is>
      </c>
      <c r="F30" s="148" t="n">
        <v>25.4</v>
      </c>
      <c r="G30" s="148" t="n"/>
      <c r="H30" s="148" t="n">
        <v>2</v>
      </c>
      <c r="I30" s="147" t="n">
        <v>5840</v>
      </c>
      <c r="J30" s="147" t="n">
        <v>5.82</v>
      </c>
      <c r="K30" s="147">
        <f>_xlfn.CONCAT(F30,H30,J30,E30,D30)</f>
        <v/>
      </c>
      <c r="L30" s="147">
        <f>VLOOKUP(K30,'VSM May Indent'!$K$1:$O$61,4,0)</f>
        <v/>
      </c>
      <c r="M30" s="147">
        <f>VLOOKUP(K30,'VSM May Indent'!$K$1:$O$61,5,0)</f>
        <v/>
      </c>
      <c r="N30" s="151" t="inlineStr">
        <is>
          <t>056</t>
        </is>
      </c>
      <c r="O30" s="149" t="n">
        <v>3240023</v>
      </c>
      <c r="P30" s="19" t="n">
        <v>0</v>
      </c>
      <c r="Q30" s="147">
        <f>Table2527[[#This Row],[SCH jun- 25]]</f>
        <v/>
      </c>
      <c r="R30" s="147" t="n">
        <v>10</v>
      </c>
      <c r="S30" s="147" t="n"/>
      <c r="T30" s="147">
        <f>_xlfn.LET(_xlpm.c,Q30-Table2527[[#This Row],[Stock     12-06-25]]-Table2527[[#This Row],[intransist ]],IF(_xlpm.c&gt;0,0,-_xlpm.c))</f>
        <v/>
      </c>
      <c r="U30" s="301" t="n"/>
      <c r="V30" s="147">
        <f>U30+T30+S30</f>
        <v/>
      </c>
      <c r="W30" s="19">
        <f>_xlfn.LET(_xlpm.c,P30*1.5-V30,IF(_xlpm.c&lt;0,0,_xlpm.c))</f>
        <v/>
      </c>
      <c r="X30" s="297">
        <f>Table2527[[#This Row],[    INDENT  FOR jun-25 as per VSM]]</f>
        <v/>
      </c>
      <c r="Y30" s="167">
        <f>X30+U30</f>
        <v/>
      </c>
      <c r="Z30" s="185">
        <f>SUMIFS(meghsteelsales_previousmonth[Quantity],meghsteelsales_previousmonth[Length Bucket],M30)/1000</f>
        <v/>
      </c>
      <c r="AA30" s="185">
        <f>SUMIFS(meghsteelsales_currentmonth[Quantity],meghsteelsales_currentmonth[Length Bucket],M30)/1000</f>
        <v/>
      </c>
      <c r="AB30" s="185">
        <f>IF((X30-Z30-AA30)&lt;0,0,(X30-Z30-AA30))</f>
        <v/>
      </c>
      <c r="AC30" s="185" t="n"/>
      <c r="AD30" s="267" t="n"/>
      <c r="AE30" s="185" t="n"/>
      <c r="AF30" s="185" t="n"/>
      <c r="AG30" s="185" t="n"/>
      <c r="AH30" s="185" t="n"/>
    </row>
    <row r="31" customFormat="1" s="45">
      <c r="A31" s="265" t="inlineStr">
        <is>
          <t>RE</t>
        </is>
      </c>
      <c r="B31" s="147" t="inlineStr">
        <is>
          <t>BELRISE</t>
        </is>
      </c>
      <c r="C31" s="153" t="inlineStr">
        <is>
          <t>ERW1</t>
        </is>
      </c>
      <c r="D31" s="147" t="inlineStr">
        <is>
          <t>FIN CUT</t>
        </is>
      </c>
      <c r="E31" s="147" t="inlineStr">
        <is>
          <t>ERW</t>
        </is>
      </c>
      <c r="F31" s="148" t="n">
        <v>34.93</v>
      </c>
      <c r="G31" s="148" t="n"/>
      <c r="H31" s="148" t="n">
        <v>1.2</v>
      </c>
      <c r="I31" s="147" t="n">
        <v>620</v>
      </c>
      <c r="J31" s="147" t="n">
        <v>0.62</v>
      </c>
      <c r="K31" s="147">
        <f>_xlfn.CONCAT(F31,H31,J31,E31,D31)</f>
        <v/>
      </c>
      <c r="L31" s="147">
        <f>VLOOKUP(K31,'VSM May Indent'!$K$1:$O$61,4,0)</f>
        <v/>
      </c>
      <c r="M31" s="147">
        <f>VLOOKUP(K31,'VSM May Indent'!$K$1:$O$61,5,0)</f>
        <v/>
      </c>
      <c r="N31" s="151" t="inlineStr">
        <is>
          <t>0789</t>
        </is>
      </c>
      <c r="O31" s="150" t="n">
        <v>2397073</v>
      </c>
      <c r="P31" s="19" t="n">
        <v>10</v>
      </c>
      <c r="Q31" s="147">
        <f>Table2527[[#This Row],[SCH jun- 25]]</f>
        <v/>
      </c>
      <c r="R31" s="147" t="n">
        <v>0</v>
      </c>
      <c r="S31" s="147" t="n"/>
      <c r="T31" s="147">
        <f>_xlfn.LET(_xlpm.c,Q31-Table2527[[#This Row],[Stock     12-06-25]]-Table2527[[#This Row],[intransist ]],IF(_xlpm.c&gt;0,0,-_xlpm.c))</f>
        <v/>
      </c>
      <c r="U31" s="301" t="n"/>
      <c r="V31" s="147">
        <f>U31+T31+S31</f>
        <v/>
      </c>
      <c r="W31" s="19">
        <f>_xlfn.LET(_xlpm.c,P31*1.5-V31,IF(_xlpm.c&lt;0,0,_xlpm.c))</f>
        <v/>
      </c>
      <c r="X31" s="297">
        <f>Table2527[[#This Row],[    INDENT  FOR jun-25 as per VSM]]</f>
        <v/>
      </c>
      <c r="Y31" s="167">
        <f>X31+U31</f>
        <v/>
      </c>
      <c r="Z31" s="185">
        <f>SUMIFS(meghsteelsales_previousmonth[Quantity],meghsteelsales_previousmonth[Length Bucket],M31)/1000</f>
        <v/>
      </c>
      <c r="AA31" s="185">
        <f>SUMIFS(meghsteelsales_currentmonth[Quantity],meghsteelsales_currentmonth[Length Bucket],M31)/1000</f>
        <v/>
      </c>
      <c r="AB31" s="185">
        <f>IF((X31-Z31-AA31)&lt;0,0,(X31-Z31-AA31))</f>
        <v/>
      </c>
      <c r="AC31" s="185" t="n"/>
      <c r="AD31" s="267" t="n"/>
      <c r="AE31" s="185" t="n"/>
      <c r="AF31" s="185" t="n"/>
      <c r="AG31" s="185" t="n"/>
      <c r="AH31" s="185" t="n"/>
    </row>
    <row r="32">
      <c r="A32" s="265" t="inlineStr">
        <is>
          <t>TVS</t>
        </is>
      </c>
      <c r="B32" s="147" t="inlineStr">
        <is>
          <t>RUCHA</t>
        </is>
      </c>
      <c r="C32" s="155" t="inlineStr">
        <is>
          <t>ERW1</t>
        </is>
      </c>
      <c r="D32" s="147" t="inlineStr">
        <is>
          <t>NON FIN</t>
        </is>
      </c>
      <c r="E32" s="147" t="inlineStr">
        <is>
          <t>ERW</t>
        </is>
      </c>
      <c r="F32" s="154" t="n">
        <v>22.2</v>
      </c>
      <c r="G32" s="154" t="n"/>
      <c r="H32" s="154" t="n">
        <v>2</v>
      </c>
      <c r="I32" s="155" t="n">
        <v>5100</v>
      </c>
      <c r="J32" s="147" t="n">
        <v>5.1</v>
      </c>
      <c r="K32" s="147">
        <f>_xlfn.CONCAT(F32,H32,J32,E32,D32)</f>
        <v/>
      </c>
      <c r="L32" s="147">
        <f>VLOOKUP(K32,'VSM May Indent'!$K$1:$O$61,4,0)</f>
        <v/>
      </c>
      <c r="M32" s="147">
        <f>VLOOKUP(K32,'VSM May Indent'!$K$1:$O$61,5,0)</f>
        <v/>
      </c>
      <c r="N32" s="151" t="inlineStr">
        <is>
          <t>056</t>
        </is>
      </c>
      <c r="O32" s="150" t="n">
        <v>3500554</v>
      </c>
      <c r="P32" s="19" t="n">
        <v>20</v>
      </c>
      <c r="Q32" s="147">
        <f>Table2527[[#This Row],[SCH jun- 25]]</f>
        <v/>
      </c>
      <c r="R32" s="147" t="n">
        <v>0</v>
      </c>
      <c r="S32" s="147" t="n"/>
      <c r="T32" s="147">
        <f>_xlfn.LET(_xlpm.c,Q32-Table2527[[#This Row],[Stock     12-06-25]]-Table2527[[#This Row],[intransist ]],IF(_xlpm.c&gt;0,0,-_xlpm.c))</f>
        <v/>
      </c>
      <c r="U32" s="301" t="n"/>
      <c r="V32" s="147">
        <f>U32+T32+S32</f>
        <v/>
      </c>
      <c r="W32" s="19">
        <f>_xlfn.LET(_xlpm.c,P32*1.5-V32,IF(_xlpm.c&lt;0,0,_xlpm.c))</f>
        <v/>
      </c>
      <c r="X32" s="297">
        <f>Table2527[[#This Row],[    INDENT  FOR jun-25 as per VSM]]</f>
        <v/>
      </c>
      <c r="Y32" s="167">
        <f>X32+U32</f>
        <v/>
      </c>
      <c r="Z32" s="185">
        <f>SUMIFS(meghsteelsales_previousmonth[Quantity],meghsteelsales_previousmonth[Length Bucket],M32)/1000</f>
        <v/>
      </c>
      <c r="AA32" s="185">
        <f>SUMIFS(meghsteelsales_currentmonth[Quantity],meghsteelsales_currentmonth[Length Bucket],M32)/1000</f>
        <v/>
      </c>
      <c r="AB32" s="185">
        <f>IF((X32-Z32-AA32)&lt;0,0,(X32-Z32-AA32))</f>
        <v/>
      </c>
      <c r="AC32" s="185" t="n"/>
      <c r="AD32" s="267" t="n"/>
      <c r="AE32" s="185" t="n"/>
      <c r="AF32" s="185" t="n"/>
      <c r="AG32" s="185" t="n"/>
      <c r="AH32" s="185" t="n"/>
    </row>
    <row r="33">
      <c r="A33" s="265" t="inlineStr">
        <is>
          <t>TVS</t>
        </is>
      </c>
      <c r="B33" s="147" t="inlineStr">
        <is>
          <t>RUCHA,METALMAN</t>
        </is>
      </c>
      <c r="C33" s="153" t="inlineStr">
        <is>
          <t>ERW1</t>
        </is>
      </c>
      <c r="D33" s="147" t="inlineStr">
        <is>
          <t>FIN CUT</t>
        </is>
      </c>
      <c r="E33" s="147" t="inlineStr">
        <is>
          <t>ERW</t>
        </is>
      </c>
      <c r="F33" s="148" t="n">
        <v>28.6</v>
      </c>
      <c r="G33" s="148" t="n"/>
      <c r="H33" s="148" t="n">
        <v>1.2</v>
      </c>
      <c r="I33" s="147" t="n">
        <v>6000</v>
      </c>
      <c r="J33" s="147" t="n">
        <v>6</v>
      </c>
      <c r="K33" s="147">
        <f>_xlfn.CONCAT(F33,H33,J33,E33,D33)</f>
        <v/>
      </c>
      <c r="L33" s="147">
        <f>VLOOKUP(K33,'VSM May Indent'!$K$1:$O$61,4,0)</f>
        <v/>
      </c>
      <c r="M33" s="147">
        <f>VLOOKUP(K33,'VSM May Indent'!$K$1:$O$61,5,0)</f>
        <v/>
      </c>
      <c r="N33" s="158" t="inlineStr">
        <is>
          <t>0789</t>
        </is>
      </c>
      <c r="O33" s="150" t="n">
        <v>3702101</v>
      </c>
      <c r="P33" s="19" t="n">
        <v>3</v>
      </c>
      <c r="Q33" s="147">
        <f>Table2527[[#This Row],[SCH jun- 25]]</f>
        <v/>
      </c>
      <c r="R33" s="147" t="n">
        <v>3</v>
      </c>
      <c r="S33" s="147" t="n"/>
      <c r="T33" s="147">
        <f>_xlfn.LET(_xlpm.c,Q33-Table2527[[#This Row],[Stock     12-06-25]]-Table2527[[#This Row],[intransist ]],IF(_xlpm.c&gt;0,0,-_xlpm.c))</f>
        <v/>
      </c>
      <c r="U33" s="301" t="n"/>
      <c r="V33" s="147">
        <f>U33+T33+S33</f>
        <v/>
      </c>
      <c r="W33" s="19">
        <f>_xlfn.LET(_xlpm.c,P33*1.5-V33,IF(_xlpm.c&lt;0,0,_xlpm.c))</f>
        <v/>
      </c>
      <c r="X33" s="297">
        <f>Table2527[[#This Row],[    INDENT  FOR jun-25 as per VSM]]</f>
        <v/>
      </c>
      <c r="Y33" s="167">
        <f>X33+U33</f>
        <v/>
      </c>
      <c r="Z33" s="185">
        <f>SUMIFS(meghsteelsales_previousmonth[Quantity],meghsteelsales_previousmonth[Length Bucket],M33)/1000</f>
        <v/>
      </c>
      <c r="AA33" s="185">
        <f>SUMIFS(meghsteelsales_currentmonth[Quantity],meghsteelsales_currentmonth[Length Bucket],M33)/1000</f>
        <v/>
      </c>
      <c r="AB33" s="185">
        <f>IF((X33-Z33-AA33)&lt;0,0,(X33-Z33-AA33))</f>
        <v/>
      </c>
      <c r="AC33" s="185" t="n"/>
      <c r="AD33" s="267" t="n"/>
      <c r="AE33" s="185" t="n"/>
      <c r="AF33" s="185" t="n"/>
      <c r="AG33" s="185" t="n"/>
      <c r="AH33" s="185" t="n"/>
    </row>
    <row r="34">
      <c r="A34" s="265" t="inlineStr">
        <is>
          <t>TVS</t>
        </is>
      </c>
      <c r="B34" s="147" t="inlineStr">
        <is>
          <t>RUCHA</t>
        </is>
      </c>
      <c r="C34" s="159" t="inlineStr">
        <is>
          <t>CEW1</t>
        </is>
      </c>
      <c r="D34" s="147" t="inlineStr">
        <is>
          <t>FIN CUT</t>
        </is>
      </c>
      <c r="E34" s="147" t="inlineStr">
        <is>
          <t>CEW</t>
        </is>
      </c>
      <c r="F34" s="168" t="n">
        <v>28.6</v>
      </c>
      <c r="G34" s="168" t="n"/>
      <c r="H34" s="168" t="n">
        <v>2.65</v>
      </c>
      <c r="I34" s="169" t="n">
        <v>6000</v>
      </c>
      <c r="J34" s="147" t="n">
        <v>6</v>
      </c>
      <c r="K34" s="147">
        <f>_xlfn.CONCAT(F34,H34,J34,E34,D34)</f>
        <v/>
      </c>
      <c r="L34" s="147">
        <f>VLOOKUP(K34,'VSM May Indent'!$K$1:$O$61,4,0)</f>
        <v/>
      </c>
      <c r="M34" s="147">
        <f>VLOOKUP(K34,'VSM May Indent'!$K$1:$O$61,5,0)</f>
        <v/>
      </c>
      <c r="N34" s="151" t="inlineStr">
        <is>
          <t>0788</t>
        </is>
      </c>
      <c r="O34" s="150" t="n">
        <v>2410388</v>
      </c>
      <c r="P34" s="19" t="n">
        <v>10</v>
      </c>
      <c r="Q34" s="147">
        <f>Table2527[[#This Row],[SCH jun- 25]]</f>
        <v/>
      </c>
      <c r="R34" s="147" t="n">
        <v>23</v>
      </c>
      <c r="S34" s="147" t="n"/>
      <c r="T34" s="147">
        <f>_xlfn.LET(_xlpm.c,Q34-Table2527[[#This Row],[Stock     12-06-25]]-Table2527[[#This Row],[intransist ]],IF(_xlpm.c&gt;0,0,-_xlpm.c))</f>
        <v/>
      </c>
      <c r="U34" s="301" t="n"/>
      <c r="V34" s="147">
        <f>U34+T34+S34</f>
        <v/>
      </c>
      <c r="W34" s="19">
        <f>_xlfn.LET(_xlpm.c,P34*1.5-V34,IF(_xlpm.c&lt;0,0,_xlpm.c))</f>
        <v/>
      </c>
      <c r="X34" s="297">
        <f>Table2527[[#This Row],[    INDENT  FOR jun-25 as per VSM]]</f>
        <v/>
      </c>
      <c r="Y34" s="167">
        <f>X34+U34</f>
        <v/>
      </c>
      <c r="Z34" s="185">
        <f>SUMIFS(meghsteelsales_previousmonth[Quantity],meghsteelsales_previousmonth[Length Bucket],M34)/1000</f>
        <v/>
      </c>
      <c r="AA34" s="185">
        <f>SUMIFS(meghsteelsales_currentmonth[Quantity],meghsteelsales_currentmonth[Length Bucket],M34)/1000</f>
        <v/>
      </c>
      <c r="AB34" s="185">
        <f>IF((X34-Z34-AA34)&lt;0,0,(X34-Z34-AA34))</f>
        <v/>
      </c>
      <c r="AC34" s="185" t="n"/>
      <c r="AD34" s="267" t="n"/>
      <c r="AE34" s="185" t="n"/>
      <c r="AF34" s="185" t="n"/>
      <c r="AG34" s="185" t="n"/>
      <c r="AH34" s="185" t="inlineStr">
        <is>
          <t>Minimum 3 MT moq</t>
        </is>
      </c>
    </row>
    <row r="35">
      <c r="A35" s="265" t="inlineStr">
        <is>
          <t>TVS</t>
        </is>
      </c>
      <c r="B35" s="147" t="inlineStr">
        <is>
          <t>RUCHA,METALMAN</t>
        </is>
      </c>
      <c r="C35" s="153" t="inlineStr">
        <is>
          <t>ERW1</t>
        </is>
      </c>
      <c r="D35" s="147" t="inlineStr">
        <is>
          <t>FIN CUT</t>
        </is>
      </c>
      <c r="E35" s="147" t="inlineStr">
        <is>
          <t>ERW</t>
        </is>
      </c>
      <c r="F35" s="148" t="n">
        <v>31.75</v>
      </c>
      <c r="G35" s="148" t="n"/>
      <c r="H35" s="148" t="n">
        <v>1.2</v>
      </c>
      <c r="I35" s="147" t="n">
        <v>6000</v>
      </c>
      <c r="J35" s="147" t="n">
        <v>6</v>
      </c>
      <c r="K35" s="147">
        <f>_xlfn.CONCAT(F35,H35,J35,E35,D35)</f>
        <v/>
      </c>
      <c r="L35" s="147">
        <f>VLOOKUP(K35,'VSM May Indent'!$K$1:$O$61,4,0)</f>
        <v/>
      </c>
      <c r="M35" s="147">
        <f>VLOOKUP(K35,'VSM May Indent'!$K$1:$O$61,5,0)</f>
        <v/>
      </c>
      <c r="N35" s="151" t="inlineStr">
        <is>
          <t>056</t>
        </is>
      </c>
      <c r="O35" s="150" t="n">
        <v>3884381</v>
      </c>
      <c r="P35" s="19" t="n">
        <v>3</v>
      </c>
      <c r="Q35" s="147">
        <f>Table2527[[#This Row],[SCH jun- 25]]</f>
        <v/>
      </c>
      <c r="R35" s="147" t="n">
        <v>0</v>
      </c>
      <c r="S35" s="147" t="n"/>
      <c r="T35" s="147">
        <f>_xlfn.LET(_xlpm.c,Q35-Table2527[[#This Row],[Stock     12-06-25]]-Table2527[[#This Row],[intransist ]],IF(_xlpm.c&gt;0,0,-_xlpm.c))</f>
        <v/>
      </c>
      <c r="U35" s="301" t="n">
        <v>8</v>
      </c>
      <c r="V35" s="147">
        <f>U35+T35+S35</f>
        <v/>
      </c>
      <c r="W35" s="19">
        <f>_xlfn.LET(_xlpm.c,P35*1.5-V35,IF(_xlpm.c&lt;0,0,_xlpm.c))</f>
        <v/>
      </c>
      <c r="X35" s="297">
        <f>Table2527[[#This Row],[    INDENT  FOR jun-25 as per VSM]]</f>
        <v/>
      </c>
      <c r="Y35" s="167">
        <f>X35+U35</f>
        <v/>
      </c>
      <c r="Z35" s="185">
        <f>SUMIFS(meghsteelsales_previousmonth[Quantity],meghsteelsales_previousmonth[Length Bucket],M35)/1000</f>
        <v/>
      </c>
      <c r="AA35" s="185">
        <f>SUMIFS(meghsteelsales_currentmonth[Quantity],meghsteelsales_currentmonth[Length Bucket],M35)/1000</f>
        <v/>
      </c>
      <c r="AB35" s="185">
        <f>IF((X35-Z35-AA35)&lt;0,0,(X35-Z35-AA35))</f>
        <v/>
      </c>
      <c r="AC35" s="185" t="n"/>
      <c r="AD35" s="267" t="n"/>
      <c r="AE35" s="185" t="n"/>
      <c r="AF35" s="185" t="n"/>
      <c r="AG35" s="185">
        <f>Table2527[[#This Row],[plant]]</f>
        <v/>
      </c>
      <c r="AH35" s="185" t="n"/>
    </row>
    <row r="36">
      <c r="A36" s="265" t="inlineStr">
        <is>
          <t>TVS</t>
        </is>
      </c>
      <c r="B36" s="147" t="inlineStr">
        <is>
          <t>RUCHA</t>
        </is>
      </c>
      <c r="C36" s="153" t="inlineStr">
        <is>
          <t>ERW1</t>
        </is>
      </c>
      <c r="D36" s="147" t="inlineStr">
        <is>
          <t>FIN CUT</t>
        </is>
      </c>
      <c r="E36" s="147" t="inlineStr">
        <is>
          <t>ERW</t>
        </is>
      </c>
      <c r="F36" s="148" t="n">
        <v>31.75</v>
      </c>
      <c r="G36" s="148" t="n"/>
      <c r="H36" s="148" t="n">
        <v>2.3</v>
      </c>
      <c r="I36" s="147" t="n">
        <v>6000</v>
      </c>
      <c r="J36" s="147" t="n">
        <v>6</v>
      </c>
      <c r="K36" s="147">
        <f>_xlfn.CONCAT(F36,H36,J36,E36,D36)</f>
        <v/>
      </c>
      <c r="L36" s="147">
        <f>VLOOKUP(K36,'VSM May Indent'!$K$1:$O$61,4,0)</f>
        <v/>
      </c>
      <c r="M36" s="147">
        <f>VLOOKUP(K36,'VSM May Indent'!$K$1:$O$61,5,0)</f>
        <v/>
      </c>
      <c r="N36" s="158" t="inlineStr">
        <is>
          <t>056</t>
        </is>
      </c>
      <c r="O36" s="150" t="n">
        <v>3500081</v>
      </c>
      <c r="P36" s="19" t="n">
        <v>0</v>
      </c>
      <c r="Q36" s="147">
        <f>Table2527[[#This Row],[SCH jun- 25]]</f>
        <v/>
      </c>
      <c r="R36" s="147" t="n">
        <v>29</v>
      </c>
      <c r="S36" s="147" t="n"/>
      <c r="T36" s="147">
        <f>_xlfn.LET(_xlpm.c,Q36-Table2527[[#This Row],[Stock     12-06-25]]-Table2527[[#This Row],[intransist ]],IF(_xlpm.c&gt;0,0,-_xlpm.c))</f>
        <v/>
      </c>
      <c r="U36" s="301" t="n">
        <v>23</v>
      </c>
      <c r="V36" s="147">
        <f>U36+T36+S36</f>
        <v/>
      </c>
      <c r="W36" s="19">
        <f>_xlfn.LET(_xlpm.c,P36*1.5-V36,IF(_xlpm.c&lt;0,0,_xlpm.c))</f>
        <v/>
      </c>
      <c r="X36" s="297">
        <f>Table2527[[#This Row],[    INDENT  FOR jun-25 as per VSM]]</f>
        <v/>
      </c>
      <c r="Y36" s="167">
        <f>X36+U36</f>
        <v/>
      </c>
      <c r="Z36" s="185">
        <f>SUMIFS(meghsteelsales_previousmonth[Quantity],meghsteelsales_previousmonth[Length Bucket],M36)/1000</f>
        <v/>
      </c>
      <c r="AA36" s="185">
        <f>SUMIFS(meghsteelsales_currentmonth[Quantity],meghsteelsales_currentmonth[Length Bucket],M36)/1000</f>
        <v/>
      </c>
      <c r="AB36" s="185">
        <f>IF((X36-Z36-AA36)&lt;0,0,(X36-Z36-AA36))</f>
        <v/>
      </c>
      <c r="AC36" s="185" t="n"/>
      <c r="AD36" s="267" t="n"/>
      <c r="AE36" s="185" t="n"/>
      <c r="AF36" s="185" t="n"/>
      <c r="AG36" s="185">
        <f>Table2527[[#This Row],[plant]]</f>
        <v/>
      </c>
      <c r="AH36" s="185" t="n"/>
    </row>
    <row r="37" customFormat="1" s="45">
      <c r="A37" s="265" t="inlineStr">
        <is>
          <t>RE</t>
        </is>
      </c>
      <c r="B37" s="147" t="inlineStr">
        <is>
          <t>RAJSRIYA</t>
        </is>
      </c>
      <c r="C37" s="153" t="inlineStr">
        <is>
          <t>ERW1</t>
        </is>
      </c>
      <c r="D37" s="147" t="inlineStr">
        <is>
          <t>FIN CUT</t>
        </is>
      </c>
      <c r="E37" s="147" t="inlineStr">
        <is>
          <t>ERW</t>
        </is>
      </c>
      <c r="F37" s="148" t="n">
        <v>34.93</v>
      </c>
      <c r="G37" s="148" t="n"/>
      <c r="H37" s="148" t="n">
        <v>1.2</v>
      </c>
      <c r="I37" s="147" t="n">
        <v>700</v>
      </c>
      <c r="J37" s="147" t="n">
        <v>0.7</v>
      </c>
      <c r="K37" s="147">
        <f>_xlfn.CONCAT(F37,H37,J37,E37,D37)</f>
        <v/>
      </c>
      <c r="L37" s="147">
        <f>VLOOKUP(K37,'VSM May Indent'!$K$1:$O$61,4,0)</f>
        <v/>
      </c>
      <c r="M37" s="147">
        <f>VLOOKUP(K37,'VSM May Indent'!$K$1:$O$61,5,0)</f>
        <v/>
      </c>
      <c r="N37" s="151" t="inlineStr">
        <is>
          <t>0789</t>
        </is>
      </c>
      <c r="O37" s="150" t="n">
        <v>3649699</v>
      </c>
      <c r="P37" s="19" t="n">
        <v>10</v>
      </c>
      <c r="Q37" s="147">
        <f>Table2527[[#This Row],[SCH jun- 25]]</f>
        <v/>
      </c>
      <c r="R37" s="147" t="n">
        <v>0</v>
      </c>
      <c r="S37" s="147" t="n"/>
      <c r="T37" s="147">
        <f>_xlfn.LET(_xlpm.c,Q37-Table2527[[#This Row],[Stock     12-06-25]]-Table2527[[#This Row],[intransist ]],IF(_xlpm.c&gt;0,0,-_xlpm.c))</f>
        <v/>
      </c>
      <c r="U37" s="301" t="n"/>
      <c r="V37" s="147">
        <f>U37+T37+S37</f>
        <v/>
      </c>
      <c r="W37" s="19">
        <f>_xlfn.LET(_xlpm.c,P37*1.5-V37,IF(_xlpm.c&lt;0,0,_xlpm.c))</f>
        <v/>
      </c>
      <c r="X37" s="297">
        <f>Table2527[[#This Row],[    INDENT  FOR jun-25 as per VSM]]</f>
        <v/>
      </c>
      <c r="Y37" s="167">
        <f>X37+U37</f>
        <v/>
      </c>
      <c r="Z37" s="185">
        <f>SUMIFS(meghsteelsales_previousmonth[Quantity],meghsteelsales_previousmonth[Length Bucket],M37)/1000</f>
        <v/>
      </c>
      <c r="AA37" s="185">
        <f>SUMIFS(meghsteelsales_currentmonth[Quantity],meghsteelsales_currentmonth[Length Bucket],M37)/1000</f>
        <v/>
      </c>
      <c r="AB37" s="185">
        <f>IF((X37-Z37-AA37)&lt;0,0,(X37-Z37-AA37))</f>
        <v/>
      </c>
      <c r="AC37" s="185" t="n"/>
      <c r="AD37" s="267" t="n"/>
      <c r="AE37" s="185" t="n"/>
      <c r="AF37" s="185" t="n"/>
      <c r="AG37" s="185" t="n"/>
      <c r="AH37" s="185" t="n"/>
    </row>
    <row r="38">
      <c r="A38" s="265" t="inlineStr">
        <is>
          <t>TVS</t>
        </is>
      </c>
      <c r="B38" s="147" t="inlineStr">
        <is>
          <t>RUCHA,METALMAN</t>
        </is>
      </c>
      <c r="C38" s="153" t="inlineStr">
        <is>
          <t>ERW1</t>
        </is>
      </c>
      <c r="D38" s="147" t="inlineStr">
        <is>
          <t>FIN CUT</t>
        </is>
      </c>
      <c r="E38" s="147" t="inlineStr">
        <is>
          <t>ERW</t>
        </is>
      </c>
      <c r="F38" s="148" t="n">
        <v>34.93</v>
      </c>
      <c r="G38" s="148" t="n"/>
      <c r="H38" s="148" t="n">
        <v>1.2</v>
      </c>
      <c r="I38" s="147" t="n">
        <v>6000</v>
      </c>
      <c r="J38" s="147" t="n">
        <v>6</v>
      </c>
      <c r="K38" s="147">
        <f>_xlfn.CONCAT(F38,H38,J38,E38,D38)</f>
        <v/>
      </c>
      <c r="L38" s="147">
        <f>VLOOKUP(K38,'VSM May Indent'!$K$1:$O$61,4,0)</f>
        <v/>
      </c>
      <c r="M38" s="147">
        <f>VLOOKUP(K38,'VSM May Indent'!$K$1:$O$61,5,0)</f>
        <v/>
      </c>
      <c r="N38" s="158" t="inlineStr">
        <is>
          <t>0789</t>
        </is>
      </c>
      <c r="O38" s="150" t="n">
        <v>1940701</v>
      </c>
      <c r="P38" s="19" t="n">
        <v>3</v>
      </c>
      <c r="Q38" s="147">
        <f>Table2527[[#This Row],[SCH jun- 25]]</f>
        <v/>
      </c>
      <c r="R38" s="147" t="n">
        <v>10</v>
      </c>
      <c r="S38" s="147" t="n"/>
      <c r="T38" s="147">
        <f>_xlfn.LET(_xlpm.c,Q38-Table2527[[#This Row],[Stock     12-06-25]]-Table2527[[#This Row],[intransist ]],IF(_xlpm.c&gt;0,0,-_xlpm.c))</f>
        <v/>
      </c>
      <c r="U38" s="301" t="n"/>
      <c r="V38" s="147">
        <f>U38+T38+S38</f>
        <v/>
      </c>
      <c r="W38" s="19">
        <f>_xlfn.LET(_xlpm.c,P38*1.5-V38,IF(_xlpm.c&lt;0,0,_xlpm.c))</f>
        <v/>
      </c>
      <c r="X38" s="297">
        <f>Table2527[[#This Row],[    INDENT  FOR jun-25 as per VSM]]</f>
        <v/>
      </c>
      <c r="Y38" s="167">
        <f>X38+U38</f>
        <v/>
      </c>
      <c r="Z38" s="185">
        <f>SUMIFS(meghsteelsales_previousmonth[Quantity],meghsteelsales_previousmonth[Length Bucket],M38)/1000</f>
        <v/>
      </c>
      <c r="AA38" s="185">
        <f>SUMIFS(meghsteelsales_currentmonth[Quantity],meghsteelsales_currentmonth[Length Bucket],M38)/1000</f>
        <v/>
      </c>
      <c r="AB38" s="185">
        <f>IF((X38-Z38-AA38)&lt;0,0,(X38-Z38-AA38))</f>
        <v/>
      </c>
      <c r="AC38" s="185" t="n"/>
      <c r="AD38" s="267" t="n"/>
      <c r="AE38" s="185" t="n"/>
      <c r="AF38" s="185" t="n"/>
      <c r="AG38" s="185" t="n"/>
      <c r="AH38" s="185" t="n"/>
    </row>
    <row r="39">
      <c r="A39" s="265" t="inlineStr">
        <is>
          <t>RE</t>
        </is>
      </c>
      <c r="B39" s="147" t="inlineStr">
        <is>
          <t>BELRISE</t>
        </is>
      </c>
      <c r="C39" s="153" t="inlineStr">
        <is>
          <t>ERW1</t>
        </is>
      </c>
      <c r="D39" s="147" t="inlineStr">
        <is>
          <t>FIN CUT</t>
        </is>
      </c>
      <c r="E39" s="147" t="inlineStr">
        <is>
          <t>ERW</t>
        </is>
      </c>
      <c r="F39" s="148" t="n">
        <v>48</v>
      </c>
      <c r="G39" s="148" t="n"/>
      <c r="H39" s="148" t="n">
        <v>1.2</v>
      </c>
      <c r="I39" s="147" t="n">
        <v>620</v>
      </c>
      <c r="J39" s="147" t="n">
        <v>0.62</v>
      </c>
      <c r="K39" s="147">
        <f>_xlfn.CONCAT(F39,H39,J39,E39,D39)</f>
        <v/>
      </c>
      <c r="L39" s="147">
        <f>VLOOKUP(K39,'VSM May Indent'!$K$1:$O$61,4,0)</f>
        <v/>
      </c>
      <c r="M39" s="147">
        <f>VLOOKUP(K39,'VSM May Indent'!$K$1:$O$61,5,0)</f>
        <v/>
      </c>
      <c r="N39" s="151" t="inlineStr">
        <is>
          <t>0789</t>
        </is>
      </c>
      <c r="O39" s="150" t="n">
        <v>2397072</v>
      </c>
      <c r="P39" s="19" t="n">
        <v>10</v>
      </c>
      <c r="Q39" s="147">
        <f>Table2527[[#This Row],[SCH jun- 25]]</f>
        <v/>
      </c>
      <c r="R39" s="147" t="n">
        <v>0</v>
      </c>
      <c r="S39" s="147" t="n"/>
      <c r="T39" s="147">
        <f>_xlfn.LET(_xlpm.c,Q39-Table2527[[#This Row],[Stock     12-06-25]]-Table2527[[#This Row],[intransist ]],IF(_xlpm.c&gt;0,0,-_xlpm.c))</f>
        <v/>
      </c>
      <c r="U39" s="301" t="n"/>
      <c r="V39" s="147">
        <f>U39+T39+S39</f>
        <v/>
      </c>
      <c r="W39" s="19">
        <f>_xlfn.LET(_xlpm.c,P39*1.5-V39,IF(_xlpm.c&lt;0,0,_xlpm.c))</f>
        <v/>
      </c>
      <c r="X39" s="297">
        <f>Table2527[[#This Row],[    INDENT  FOR jun-25 as per VSM]]</f>
        <v/>
      </c>
      <c r="Y39" s="167">
        <f>X39+U39</f>
        <v/>
      </c>
      <c r="Z39" s="185">
        <f>SUMIFS(meghsteelsales_previousmonth[Quantity],meghsteelsales_previousmonth[Length Bucket],M39)/1000</f>
        <v/>
      </c>
      <c r="AA39" s="185">
        <f>SUMIFS(meghsteelsales_currentmonth[Quantity],meghsteelsales_currentmonth[Length Bucket],M39)/1000</f>
        <v/>
      </c>
      <c r="AB39" s="185">
        <f>IF((X39-Z39-AA39)&lt;0,0,(X39-Z39-AA39))</f>
        <v/>
      </c>
      <c r="AC39" s="185" t="n"/>
      <c r="AD39" s="267" t="n"/>
      <c r="AE39" s="185" t="n"/>
      <c r="AF39" s="185" t="n"/>
      <c r="AG39" s="185" t="n"/>
      <c r="AH39" s="185" t="n"/>
    </row>
    <row r="40">
      <c r="A40" s="265" t="inlineStr">
        <is>
          <t>RE</t>
        </is>
      </c>
      <c r="B40" s="147" t="inlineStr">
        <is>
          <t>RAJSRIYA</t>
        </is>
      </c>
      <c r="C40" s="153" t="inlineStr">
        <is>
          <t>ERW1</t>
        </is>
      </c>
      <c r="D40" s="147" t="inlineStr">
        <is>
          <t>FIN CUT</t>
        </is>
      </c>
      <c r="E40" s="147" t="inlineStr">
        <is>
          <t>ERW</t>
        </is>
      </c>
      <c r="F40" s="148" t="n">
        <v>48</v>
      </c>
      <c r="G40" s="148" t="n"/>
      <c r="H40" s="148" t="n">
        <v>1.2</v>
      </c>
      <c r="I40" s="147" t="n">
        <v>700</v>
      </c>
      <c r="J40" s="147" t="n">
        <v>0.7</v>
      </c>
      <c r="K40" s="147">
        <f>_xlfn.CONCAT(F40,H40,J40,E40,D40)</f>
        <v/>
      </c>
      <c r="L40" s="147">
        <f>VLOOKUP(K40,'VSM May Indent'!$K$1:$O$61,4,0)</f>
        <v/>
      </c>
      <c r="M40" s="147">
        <f>VLOOKUP(K40,'VSM May Indent'!$K$1:$O$61,5,0)</f>
        <v/>
      </c>
      <c r="N40" s="151" t="inlineStr">
        <is>
          <t>0789</t>
        </is>
      </c>
      <c r="O40" s="150" t="n">
        <v>3649700</v>
      </c>
      <c r="P40" s="19" t="n">
        <v>14</v>
      </c>
      <c r="Q40" s="147">
        <f>Table2527[[#This Row],[SCH jun- 25]]</f>
        <v/>
      </c>
      <c r="R40" s="147" t="n">
        <v>0</v>
      </c>
      <c r="S40" s="147" t="n"/>
      <c r="T40" s="147">
        <f>_xlfn.LET(_xlpm.c,Q40-Table2527[[#This Row],[Stock     12-06-25]]-Table2527[[#This Row],[intransist ]],IF(_xlpm.c&gt;0,0,-_xlpm.c))</f>
        <v/>
      </c>
      <c r="U40" s="301" t="n"/>
      <c r="V40" s="147">
        <f>U40+T40+S40</f>
        <v/>
      </c>
      <c r="W40" s="19">
        <f>_xlfn.LET(_xlpm.c,P40*1.5-V40,IF(_xlpm.c&lt;0,0,_xlpm.c))</f>
        <v/>
      </c>
      <c r="X40" s="297">
        <f>Table2527[[#This Row],[    INDENT  FOR jun-25 as per VSM]]</f>
        <v/>
      </c>
      <c r="Y40" s="167">
        <f>X40+U40</f>
        <v/>
      </c>
      <c r="Z40" s="185">
        <f>SUMIFS(meghsteelsales_previousmonth[Quantity],meghsteelsales_previousmonth[Length Bucket],M40)/1000</f>
        <v/>
      </c>
      <c r="AA40" s="185">
        <f>SUMIFS(meghsteelsales_currentmonth[Quantity],meghsteelsales_currentmonth[Length Bucket],M40)/1000</f>
        <v/>
      </c>
      <c r="AB40" s="185">
        <f>IF((X40-Z40-AA40)&lt;0,0,(X40-Z40-AA40))</f>
        <v/>
      </c>
      <c r="AC40" s="185" t="n"/>
      <c r="AD40" s="267" t="n"/>
      <c r="AE40" s="185" t="n"/>
      <c r="AF40" s="185" t="n"/>
      <c r="AG40" s="185" t="n"/>
      <c r="AH40" s="185" t="n"/>
    </row>
    <row r="41">
      <c r="A41" s="265" t="inlineStr">
        <is>
          <t>HMSI</t>
        </is>
      </c>
      <c r="B41" s="147" t="inlineStr">
        <is>
          <t>BADVE</t>
        </is>
      </c>
      <c r="C41" s="155" t="inlineStr">
        <is>
          <t>ERW2</t>
        </is>
      </c>
      <c r="D41" s="147" t="inlineStr">
        <is>
          <t>FIN CUT</t>
        </is>
      </c>
      <c r="E41" s="147" t="inlineStr">
        <is>
          <t>ERW</t>
        </is>
      </c>
      <c r="F41" s="154" t="n">
        <v>34</v>
      </c>
      <c r="G41" s="154" t="n"/>
      <c r="H41" s="154" t="n">
        <v>1.4</v>
      </c>
      <c r="I41" s="155" t="n">
        <v>5660</v>
      </c>
      <c r="J41" s="147" t="n">
        <v>5.66</v>
      </c>
      <c r="K41" s="147">
        <f>_xlfn.CONCAT(F41,H41,J41,E41,D41)</f>
        <v/>
      </c>
      <c r="L41" s="147">
        <f>VLOOKUP(K41,'VSM May Indent'!$K$1:$O$61,4,0)</f>
        <v/>
      </c>
      <c r="M41" s="147">
        <f>VLOOKUP(K41,'VSM May Indent'!$K$1:$O$61,5,0)</f>
        <v/>
      </c>
      <c r="N41" s="151" t="inlineStr">
        <is>
          <t>0788</t>
        </is>
      </c>
      <c r="O41" s="150" t="n">
        <v>3702855</v>
      </c>
      <c r="P41" s="19" t="n">
        <v>10</v>
      </c>
      <c r="Q41" s="147">
        <f>Table2527[[#This Row],[SCH jun- 25]]</f>
        <v/>
      </c>
      <c r="R41" s="147" t="n">
        <v>0</v>
      </c>
      <c r="S41" s="147" t="n"/>
      <c r="T41" s="147">
        <f>_xlfn.LET(_xlpm.c,Q41-Table2527[[#This Row],[Stock     12-06-25]]-Table2527[[#This Row],[intransist ]],IF(_xlpm.c&gt;0,0,-_xlpm.c))</f>
        <v/>
      </c>
      <c r="U41" s="301" t="n"/>
      <c r="V41" s="147">
        <f>U41+T41+S41</f>
        <v/>
      </c>
      <c r="W41" s="19">
        <f>_xlfn.LET(_xlpm.c,P41*1.5-V41,IF(_xlpm.c&lt;0,0,_xlpm.c))</f>
        <v/>
      </c>
      <c r="X41" s="297">
        <f>Table2527[[#This Row],[    INDENT  FOR jun-25 as per VSM]]</f>
        <v/>
      </c>
      <c r="Y41" s="167">
        <f>X41+U41</f>
        <v/>
      </c>
      <c r="Z41" s="185">
        <f>SUMIFS(meghsteelsales_previousmonth[Quantity],meghsteelsales_previousmonth[Length Bucket],M41)/1000</f>
        <v/>
      </c>
      <c r="AA41" s="185">
        <f>SUMIFS(meghsteelsales_currentmonth[Quantity],meghsteelsales_currentmonth[Length Bucket],M41)/1000</f>
        <v/>
      </c>
      <c r="AB41" s="185">
        <f>IF((X41-Z41-AA41)&lt;0,0,(X41-Z41-AA41))</f>
        <v/>
      </c>
      <c r="AC41" s="185" t="n"/>
      <c r="AD41" s="267" t="n"/>
      <c r="AE41" s="185" t="n"/>
      <c r="AF41" s="185" t="n"/>
      <c r="AG41" s="185" t="n"/>
      <c r="AH41" s="185" t="n"/>
    </row>
    <row r="42">
      <c r="A42" s="265" t="inlineStr">
        <is>
          <t>TVS</t>
        </is>
      </c>
      <c r="B42" s="147" t="inlineStr">
        <is>
          <t>RUCHA</t>
        </is>
      </c>
      <c r="C42" s="147" t="inlineStr">
        <is>
          <t>ERW2</t>
        </is>
      </c>
      <c r="D42" s="147" t="inlineStr">
        <is>
          <t>FIN CUT</t>
        </is>
      </c>
      <c r="E42" s="147" t="inlineStr">
        <is>
          <t>HST</t>
        </is>
      </c>
      <c r="F42" s="148" t="n">
        <v>22.2</v>
      </c>
      <c r="G42" s="148" t="n"/>
      <c r="H42" s="148" t="n">
        <v>2</v>
      </c>
      <c r="I42" s="147" t="n">
        <v>6000</v>
      </c>
      <c r="J42" s="147" t="n">
        <v>6000</v>
      </c>
      <c r="K42" s="147">
        <f>_xlfn.CONCAT(F42,H42,J42,E42,D42)</f>
        <v/>
      </c>
      <c r="L42" s="147">
        <f>VLOOKUP(K42,'VSM May Indent'!$K$1:$O$61,4,0)</f>
        <v/>
      </c>
      <c r="M42" s="147">
        <f>VLOOKUP(K42,'VSM May Indent'!$K$1:$O$61,5,0)</f>
        <v/>
      </c>
      <c r="N42" s="151" t="inlineStr">
        <is>
          <t>056</t>
        </is>
      </c>
      <c r="O42" s="150" t="n">
        <v>3502494</v>
      </c>
      <c r="P42" s="19" t="n">
        <v>50</v>
      </c>
      <c r="Q42" s="147">
        <f>Table2527[[#This Row],[SCH jun- 25]]</f>
        <v/>
      </c>
      <c r="R42" s="147" t="n">
        <v>0</v>
      </c>
      <c r="S42" s="147" t="n"/>
      <c r="T42" s="147">
        <f>_xlfn.LET(_xlpm.c,Q42-Table2527[[#This Row],[Stock     12-06-25]]-Table2527[[#This Row],[intransist ]],IF(_xlpm.c&gt;0,0,-_xlpm.c))</f>
        <v/>
      </c>
      <c r="U42" s="301" t="n">
        <v>50</v>
      </c>
      <c r="V42" s="147">
        <f>U42+T42+S42</f>
        <v/>
      </c>
      <c r="W42" s="19">
        <f>_xlfn.LET(_xlpm.c,P42*1.5-V42,IF(_xlpm.c&lt;0,0,_xlpm.c))</f>
        <v/>
      </c>
      <c r="X42" s="297">
        <f>Table2527[[#This Row],[    INDENT  FOR jun-25 as per VSM]]</f>
        <v/>
      </c>
      <c r="Y42" s="167">
        <f>X42+U42</f>
        <v/>
      </c>
      <c r="Z42" s="185">
        <f>SUMIFS(meghsteelsales_previousmonth[Quantity],meghsteelsales_previousmonth[Length Bucket],M42)/1000</f>
        <v/>
      </c>
      <c r="AA42" s="185">
        <f>SUMIFS(meghsteelsales_currentmonth[Quantity],meghsteelsales_currentmonth[Length Bucket],M42)/1000</f>
        <v/>
      </c>
      <c r="AB42" s="185">
        <f>IF((X42-Z42-AA42)&lt;0,0,(X42-Z42-AA42))</f>
        <v/>
      </c>
      <c r="AC42" s="185" t="n"/>
      <c r="AD42" s="267" t="n"/>
      <c r="AE42" s="185" t="n"/>
      <c r="AF42" s="185" t="n"/>
      <c r="AG42" s="185">
        <f>Table2527[[#This Row],[plant]]</f>
        <v/>
      </c>
      <c r="AH42" s="185" t="n"/>
    </row>
    <row r="43">
      <c r="A43" s="265" t="inlineStr">
        <is>
          <t>TVS</t>
        </is>
      </c>
      <c r="B43" s="147" t="inlineStr">
        <is>
          <t>RUCHA,METALMAN</t>
        </is>
      </c>
      <c r="C43" s="153" t="inlineStr">
        <is>
          <t>ERW1</t>
        </is>
      </c>
      <c r="D43" s="147" t="inlineStr">
        <is>
          <t>FIN CUT</t>
        </is>
      </c>
      <c r="E43" s="147" t="inlineStr">
        <is>
          <t>ERW</t>
        </is>
      </c>
      <c r="F43" s="148" t="n">
        <v>38.1</v>
      </c>
      <c r="G43" s="148" t="n"/>
      <c r="H43" s="148" t="n">
        <v>2</v>
      </c>
      <c r="I43" s="147" t="n">
        <v>5650</v>
      </c>
      <c r="J43" s="147" t="n">
        <v>5.65</v>
      </c>
      <c r="K43" s="147">
        <f>_xlfn.CONCAT(F43,H43,J43,E43,D43)</f>
        <v/>
      </c>
      <c r="L43" s="147">
        <f>VLOOKUP(K43,'VSM May Indent'!$K$1:$O$61,4,0)</f>
        <v/>
      </c>
      <c r="M43" s="147">
        <f>VLOOKUP(K43,'VSM May Indent'!$K$1:$O$61,5,0)</f>
        <v/>
      </c>
      <c r="N43" s="151" t="inlineStr">
        <is>
          <t>056</t>
        </is>
      </c>
      <c r="O43" s="150" t="n">
        <v>3500959</v>
      </c>
      <c r="P43" s="19" t="n">
        <v>0</v>
      </c>
      <c r="Q43" s="147">
        <f>Table2527[[#This Row],[SCH jun- 25]]</f>
        <v/>
      </c>
      <c r="R43" s="147" t="n">
        <v>5</v>
      </c>
      <c r="S43" s="147" t="n"/>
      <c r="T43" s="147">
        <f>_xlfn.LET(_xlpm.c,Q43-Table2527[[#This Row],[Stock     12-06-25]]-Table2527[[#This Row],[intransist ]],IF(_xlpm.c&gt;0,0,-_xlpm.c))</f>
        <v/>
      </c>
      <c r="U43" s="301" t="n">
        <v>22</v>
      </c>
      <c r="V43" s="147">
        <f>U43+T43+S43</f>
        <v/>
      </c>
      <c r="W43" s="19">
        <f>_xlfn.LET(_xlpm.c,P43*1.5-V43,IF(_xlpm.c&lt;0,0,_xlpm.c))</f>
        <v/>
      </c>
      <c r="X43" s="297">
        <f>Table2527[[#This Row],[    INDENT  FOR jun-25 as per VSM]]</f>
        <v/>
      </c>
      <c r="Y43" s="167">
        <f>X43+U43</f>
        <v/>
      </c>
      <c r="Z43" s="185">
        <f>SUMIFS(meghsteelsales_previousmonth[Quantity],meghsteelsales_previousmonth[Length Bucket],M43)/1000</f>
        <v/>
      </c>
      <c r="AA43" s="185">
        <f>SUMIFS(meghsteelsales_currentmonth[Quantity],meghsteelsales_currentmonth[Length Bucket],M43)/1000</f>
        <v/>
      </c>
      <c r="AB43" s="185">
        <f>IF((X43-Z43-AA43)&lt;0,0,(X43-Z43-AA43))</f>
        <v/>
      </c>
      <c r="AC43" s="185" t="n"/>
      <c r="AD43" s="267" t="n"/>
      <c r="AE43" s="185" t="n"/>
      <c r="AF43" s="185" t="n"/>
      <c r="AG43" s="185">
        <f>Table2527[[#This Row],[plant]]</f>
        <v/>
      </c>
      <c r="AH43" s="185" t="n"/>
    </row>
    <row r="44" customFormat="1" s="45">
      <c r="A44" s="265" t="inlineStr">
        <is>
          <t>RE</t>
        </is>
      </c>
      <c r="B44" s="147" t="inlineStr">
        <is>
          <t>KUNAL</t>
        </is>
      </c>
      <c r="C44" s="153" t="inlineStr">
        <is>
          <t>ERW1</t>
        </is>
      </c>
      <c r="D44" s="147" t="inlineStr">
        <is>
          <t>FIN CUT</t>
        </is>
      </c>
      <c r="E44" s="147" t="inlineStr">
        <is>
          <t>ERW</t>
        </is>
      </c>
      <c r="F44" s="168" t="inlineStr">
        <is>
          <t>59x30</t>
        </is>
      </c>
      <c r="G44" s="168" t="n"/>
      <c r="H44" s="168" t="n">
        <v>1.6</v>
      </c>
      <c r="I44" s="169" t="n">
        <v>572.5</v>
      </c>
      <c r="J44" s="147" t="n">
        <v>0.5725</v>
      </c>
      <c r="K44" s="147">
        <f>_xlfn.CONCAT(F44,H44,J44,E44,D44)</f>
        <v/>
      </c>
      <c r="L44" s="147">
        <f>VLOOKUP(K44,'VSM May Indent'!$K$1:$O$61,4,0)</f>
        <v/>
      </c>
      <c r="M44" s="147">
        <f>VLOOKUP(K44,'VSM May Indent'!$K$1:$O$61,5,0)</f>
        <v/>
      </c>
      <c r="N44" s="151" t="inlineStr">
        <is>
          <t>0789</t>
        </is>
      </c>
      <c r="O44" s="150" t="n">
        <v>2420716</v>
      </c>
      <c r="P44" s="19" t="n">
        <v>30</v>
      </c>
      <c r="Q44" s="147">
        <f>Table2527[[#This Row],[SCH jun- 25]]</f>
        <v/>
      </c>
      <c r="R44" s="147" t="n">
        <v>0</v>
      </c>
      <c r="S44" s="147" t="n"/>
      <c r="T44" s="147">
        <f>_xlfn.LET(_xlpm.c,Q44-Table2527[[#This Row],[Stock     12-06-25]]-Table2527[[#This Row],[intransist ]],IF(_xlpm.c&gt;0,0,-_xlpm.c))</f>
        <v/>
      </c>
      <c r="U44" s="301" t="n"/>
      <c r="V44" s="147">
        <f>U44+T44+S44</f>
        <v/>
      </c>
      <c r="W44" s="19">
        <f>_xlfn.LET(_xlpm.c,P44*1.5-V44,IF(_xlpm.c&lt;0,0,_xlpm.c))</f>
        <v/>
      </c>
      <c r="X44" s="297">
        <f>Table2527[[#This Row],[    INDENT  FOR jun-25 as per VSM]]</f>
        <v/>
      </c>
      <c r="Y44" s="167">
        <f>X44+U44</f>
        <v/>
      </c>
      <c r="Z44" s="185">
        <f>SUMIFS(meghsteelsales_previousmonth[Quantity],meghsteelsales_previousmonth[Length Bucket],M44)/1000</f>
        <v/>
      </c>
      <c r="AA44" s="185">
        <f>SUMIFS(meghsteelsales_currentmonth[Quantity],meghsteelsales_currentmonth[Length Bucket],M44)/1000</f>
        <v/>
      </c>
      <c r="AB44" s="185">
        <f>IF((X44-Z44-AA44)&lt;0,0,(X44-Z44-AA44))</f>
        <v/>
      </c>
      <c r="AC44" s="185" t="n"/>
      <c r="AD44" s="267" t="n"/>
      <c r="AE44" s="185" t="n"/>
      <c r="AF44" s="185" t="n"/>
      <c r="AG44" s="185" t="n"/>
      <c r="AH44" s="185" t="n"/>
    </row>
    <row r="45">
      <c r="A45" s="265" t="inlineStr">
        <is>
          <t>TVS</t>
        </is>
      </c>
      <c r="B45" s="147" t="inlineStr">
        <is>
          <t>RUCHA</t>
        </is>
      </c>
      <c r="C45" s="153" t="inlineStr">
        <is>
          <t>ERW1</t>
        </is>
      </c>
      <c r="D45" s="147" t="inlineStr">
        <is>
          <t>NON FIN</t>
        </is>
      </c>
      <c r="E45" s="147" t="inlineStr">
        <is>
          <t>ERW</t>
        </is>
      </c>
      <c r="F45" s="148" t="n">
        <v>25.4</v>
      </c>
      <c r="G45" s="148" t="n"/>
      <c r="H45" s="148" t="n">
        <v>1.6</v>
      </c>
      <c r="I45" s="147" t="n">
        <v>6000</v>
      </c>
      <c r="J45" s="147" t="n">
        <v>6</v>
      </c>
      <c r="K45" s="147">
        <f>_xlfn.CONCAT(F45,H45,J45,E45,D45)</f>
        <v/>
      </c>
      <c r="L45" s="147">
        <f>VLOOKUP(K45,'VSM May Indent'!$K$1:$O$61,4,0)</f>
        <v/>
      </c>
      <c r="M45" s="147">
        <f>VLOOKUP(K45,'VSM May Indent'!$K$1:$O$61,5,0)</f>
        <v/>
      </c>
      <c r="N45" s="151" t="inlineStr">
        <is>
          <t>056</t>
        </is>
      </c>
      <c r="O45" s="150" t="n">
        <v>3500097</v>
      </c>
      <c r="P45" s="19" t="n">
        <v>25</v>
      </c>
      <c r="Q45" s="147">
        <f>Table2527[[#This Row],[SCH jun- 25]]</f>
        <v/>
      </c>
      <c r="R45" s="147" t="n">
        <v>12</v>
      </c>
      <c r="S45" s="147" t="n"/>
      <c r="T45" s="147">
        <f>_xlfn.LET(_xlpm.c,Q45-Table2527[[#This Row],[Stock     12-06-25]]-Table2527[[#This Row],[intransist ]],IF(_xlpm.c&gt;0,0,-_xlpm.c))</f>
        <v/>
      </c>
      <c r="U45" s="301" t="n">
        <v>32</v>
      </c>
      <c r="V45" s="147">
        <f>U45+T45+S45</f>
        <v/>
      </c>
      <c r="W45" s="19">
        <f>_xlfn.LET(_xlpm.c,P45*1.5-V45,IF(_xlpm.c&lt;0,0,_xlpm.c))</f>
        <v/>
      </c>
      <c r="X45" s="297">
        <f>Table2527[[#This Row],[    INDENT  FOR jun-25 as per VSM]]</f>
        <v/>
      </c>
      <c r="Y45" s="167">
        <f>X45+U45</f>
        <v/>
      </c>
      <c r="Z45" s="185">
        <f>SUMIFS(meghsteelsales_previousmonth[Quantity],meghsteelsales_previousmonth[Length Bucket],M45)/1000</f>
        <v/>
      </c>
      <c r="AA45" s="185">
        <f>SUMIFS(meghsteelsales_currentmonth[Quantity],meghsteelsales_currentmonth[Length Bucket],M45)/1000</f>
        <v/>
      </c>
      <c r="AB45" s="185">
        <f>IF((X45-Z45-AA45)&lt;0,0,(X45-Z45-AA45))</f>
        <v/>
      </c>
      <c r="AC45" s="185" t="n"/>
      <c r="AD45" s="267" t="n"/>
      <c r="AE45" s="185" t="n"/>
      <c r="AF45" s="185" t="n"/>
      <c r="AG45" s="185">
        <f>Table2527[[#This Row],[plant]]</f>
        <v/>
      </c>
      <c r="AH45" s="185" t="n"/>
    </row>
    <row r="46" customFormat="1" s="171">
      <c r="A46" s="265" t="inlineStr">
        <is>
          <t>TVS</t>
        </is>
      </c>
      <c r="B46" s="147" t="inlineStr">
        <is>
          <t>RUCHA</t>
        </is>
      </c>
      <c r="C46" s="147" t="inlineStr">
        <is>
          <t>ERW1</t>
        </is>
      </c>
      <c r="D46" s="147" t="inlineStr">
        <is>
          <t>NON FIN</t>
        </is>
      </c>
      <c r="E46" s="147" t="inlineStr">
        <is>
          <t>ERW</t>
        </is>
      </c>
      <c r="F46" s="148" t="n">
        <v>12.7</v>
      </c>
      <c r="G46" s="148" t="n"/>
      <c r="H46" s="148" t="n">
        <v>1.2</v>
      </c>
      <c r="I46" s="147" t="n">
        <v>6000</v>
      </c>
      <c r="J46" s="147" t="n">
        <v>6</v>
      </c>
      <c r="K46" s="147">
        <f>_xlfn.CONCAT(F46,H46,J46,E46,D46)</f>
        <v/>
      </c>
      <c r="L46" s="147">
        <f>VLOOKUP(K46,'VSM May Indent'!$K$1:$O$61,4,0)</f>
        <v/>
      </c>
      <c r="M46" s="147">
        <f>VLOOKUP(K46,'VSM May Indent'!$K$1:$O$61,5,0)</f>
        <v/>
      </c>
      <c r="N46" s="151" t="inlineStr">
        <is>
          <t>0789</t>
        </is>
      </c>
      <c r="O46" s="150" t="n">
        <v>1939985</v>
      </c>
      <c r="P46" s="19" t="n">
        <v>8</v>
      </c>
      <c r="Q46" s="147">
        <f>Table2527[[#This Row],[SCH jun- 25]]</f>
        <v/>
      </c>
      <c r="R46" s="147" t="n">
        <v>4</v>
      </c>
      <c r="S46" s="147" t="n"/>
      <c r="T46" s="147">
        <f>_xlfn.LET(_xlpm.c,Q46-Table2527[[#This Row],[Stock     12-06-25]]-Table2527[[#This Row],[intransist ]],IF(_xlpm.c&gt;0,0,-_xlpm.c))</f>
        <v/>
      </c>
      <c r="U46" s="301" t="n">
        <v>5</v>
      </c>
      <c r="V46" s="147">
        <f>U46+T46+S46</f>
        <v/>
      </c>
      <c r="W46" s="19">
        <f>_xlfn.LET(_xlpm.c,P46*1.5-V46,IF(_xlpm.c&lt;0,0,_xlpm.c))</f>
        <v/>
      </c>
      <c r="X46" s="297">
        <f>Table2527[[#This Row],[    INDENT  FOR jun-25 as per VSM]]</f>
        <v/>
      </c>
      <c r="Y46" s="167">
        <f>X46+U46</f>
        <v/>
      </c>
      <c r="Z46" s="185">
        <f>SUMIFS(meghsteelsales_previousmonth[Quantity],meghsteelsales_previousmonth[Length Bucket],M46)/1000</f>
        <v/>
      </c>
      <c r="AA46" s="185">
        <f>SUMIFS(meghsteelsales_currentmonth[Quantity],meghsteelsales_currentmonth[Length Bucket],M46)/1000</f>
        <v/>
      </c>
      <c r="AB46" s="185">
        <f>IF((X46-Z46-AA46)&lt;0,0,(X46-Z46-AA46))</f>
        <v/>
      </c>
      <c r="AC46" s="185" t="n"/>
      <c r="AD46" s="267" t="n"/>
      <c r="AE46" s="185" t="n"/>
      <c r="AF46" s="185" t="n"/>
      <c r="AG46" s="185" t="n"/>
      <c r="AH46" s="185" t="n"/>
    </row>
    <row r="47">
      <c r="A47" s="265" t="inlineStr">
        <is>
          <t>TVS</t>
        </is>
      </c>
      <c r="B47" s="147" t="inlineStr">
        <is>
          <t>METALMAN</t>
        </is>
      </c>
      <c r="C47" s="159" t="inlineStr">
        <is>
          <t>ERW1</t>
        </is>
      </c>
      <c r="D47" s="147" t="inlineStr">
        <is>
          <t>FIN CUT</t>
        </is>
      </c>
      <c r="E47" s="147" t="inlineStr">
        <is>
          <t>ERW</t>
        </is>
      </c>
      <c r="F47" s="168" t="inlineStr">
        <is>
          <t>40x25</t>
        </is>
      </c>
      <c r="G47" s="168" t="n"/>
      <c r="H47" s="168" t="n">
        <v>1.6</v>
      </c>
      <c r="I47" s="169" t="n">
        <v>5880</v>
      </c>
      <c r="J47" s="147" t="n">
        <v>5.88</v>
      </c>
      <c r="K47" s="147">
        <f>_xlfn.CONCAT(F47,H47,J47,E47,D47)</f>
        <v/>
      </c>
      <c r="L47" s="147">
        <f>VLOOKUP(K47,'VSM May Indent'!$K$1:$O$61,4,0)</f>
        <v/>
      </c>
      <c r="M47" s="147">
        <f>VLOOKUP(K47,'VSM May Indent'!$K$1:$O$61,5,0)</f>
        <v/>
      </c>
      <c r="N47" s="151" t="inlineStr">
        <is>
          <t>0789</t>
        </is>
      </c>
      <c r="O47" s="151" t="n">
        <v>3919145</v>
      </c>
      <c r="P47" s="19" t="n">
        <v>0</v>
      </c>
      <c r="Q47" s="147">
        <f>Table2527[[#This Row],[SCH jun- 25]]</f>
        <v/>
      </c>
      <c r="R47" s="147" t="n">
        <v>0</v>
      </c>
      <c r="S47" s="147" t="n"/>
      <c r="T47" s="147">
        <f>_xlfn.LET(_xlpm.c,Q47-Table2527[[#This Row],[Stock     12-06-25]]-Table2527[[#This Row],[intransist ]],IF(_xlpm.c&gt;0,0,-_xlpm.c))</f>
        <v/>
      </c>
      <c r="U47" s="301" t="n"/>
      <c r="V47" s="147">
        <f>U47+T47+S47</f>
        <v/>
      </c>
      <c r="W47" s="19">
        <f>_xlfn.LET(_xlpm.c,P47*1.5-V47,IF(_xlpm.c&lt;0,0,_xlpm.c))</f>
        <v/>
      </c>
      <c r="X47" s="297">
        <f>Table2527[[#This Row],[    INDENT  FOR jun-25 as per VSM]]</f>
        <v/>
      </c>
      <c r="Y47" s="167">
        <f>X47+U47</f>
        <v/>
      </c>
      <c r="Z47" s="185">
        <f>SUMIFS(meghsteelsales_previousmonth[Quantity],meghsteelsales_previousmonth[Length Bucket],M47)/1000</f>
        <v/>
      </c>
      <c r="AA47" s="185">
        <f>SUMIFS(meghsteelsales_currentmonth[Quantity],meghsteelsales_currentmonth[Length Bucket],M47)/1000</f>
        <v/>
      </c>
      <c r="AB47" s="185">
        <f>IF((X47-Z47-AA47)&lt;0,0,(X47-Z47-AA47))</f>
        <v/>
      </c>
      <c r="AC47" s="185" t="n"/>
      <c r="AD47" s="267" t="n"/>
      <c r="AE47" s="185" t="n"/>
      <c r="AF47" s="185" t="n"/>
      <c r="AG47" s="185" t="n"/>
      <c r="AH47" s="185" t="n"/>
    </row>
    <row r="48">
      <c r="A48" s="265" t="inlineStr">
        <is>
          <t>TVS</t>
        </is>
      </c>
      <c r="B48" s="147" t="inlineStr">
        <is>
          <t>Rucha</t>
        </is>
      </c>
      <c r="C48" s="147" t="inlineStr">
        <is>
          <t>ERW1</t>
        </is>
      </c>
      <c r="D48" s="147" t="inlineStr">
        <is>
          <t>NON FIN</t>
        </is>
      </c>
      <c r="E48" s="147" t="inlineStr">
        <is>
          <t>ERW</t>
        </is>
      </c>
      <c r="F48" s="148" t="n">
        <v>18.3</v>
      </c>
      <c r="G48" s="148" t="n"/>
      <c r="H48" s="148" t="n">
        <v>1</v>
      </c>
      <c r="I48" s="147" t="n">
        <v>6000</v>
      </c>
      <c r="J48" s="147" t="n">
        <v>6</v>
      </c>
      <c r="K48" s="147">
        <f>_xlfn.CONCAT(F48,H48,J48,E48,D48)</f>
        <v/>
      </c>
      <c r="L48" s="147">
        <f>VLOOKUP(K48,'VSM May Indent'!$K$1:$O$61,4,0)</f>
        <v/>
      </c>
      <c r="M48" s="147">
        <f>VLOOKUP(K48,'VSM May Indent'!$K$1:$O$61,5,0)</f>
        <v/>
      </c>
      <c r="N48" s="151" t="inlineStr">
        <is>
          <t>0789</t>
        </is>
      </c>
      <c r="O48" s="150" t="n">
        <v>2288945</v>
      </c>
      <c r="P48" s="19" t="n">
        <v>10</v>
      </c>
      <c r="Q48" s="147">
        <f>Table2527[[#This Row],[SCH jun- 25]]</f>
        <v/>
      </c>
      <c r="R48" s="147" t="n">
        <v>1</v>
      </c>
      <c r="S48" s="147" t="n"/>
      <c r="T48" s="147">
        <f>_xlfn.LET(_xlpm.c,Q48-Table2527[[#This Row],[Stock     12-06-25]]-Table2527[[#This Row],[intransist ]],IF(_xlpm.c&gt;0,0,-_xlpm.c))</f>
        <v/>
      </c>
      <c r="U48" s="301" t="n">
        <v>10</v>
      </c>
      <c r="V48" s="147">
        <f>U48+T48+S48</f>
        <v/>
      </c>
      <c r="W48" s="19">
        <f>_xlfn.LET(_xlpm.c,P48*1.5-V48,IF(_xlpm.c&lt;0,0,_xlpm.c))</f>
        <v/>
      </c>
      <c r="X48" s="297">
        <f>Table2527[[#This Row],[    INDENT  FOR jun-25 as per VSM]]</f>
        <v/>
      </c>
      <c r="Y48" s="167">
        <f>X48+U48</f>
        <v/>
      </c>
      <c r="Z48" s="185">
        <f>SUMIFS(meghsteelsales_previousmonth[Quantity],meghsteelsales_previousmonth[Length Bucket],M48)/1000</f>
        <v/>
      </c>
      <c r="AA48" s="185">
        <f>SUMIFS(meghsteelsales_currentmonth[Quantity],meghsteelsales_currentmonth[Length Bucket],M48)/1000</f>
        <v/>
      </c>
      <c r="AB48" s="185">
        <f>IF((X48-Z48-AA48)&lt;0,0,(X48-Z48-AA48))</f>
        <v/>
      </c>
      <c r="AC48" s="185" t="n"/>
      <c r="AD48" s="267" t="n"/>
      <c r="AE48" s="185" t="n"/>
      <c r="AF48" s="185" t="n"/>
      <c r="AG48" s="185" t="n"/>
      <c r="AH48" s="185" t="n"/>
    </row>
    <row r="49">
      <c r="A49" s="265" t="inlineStr">
        <is>
          <t>TVS</t>
        </is>
      </c>
      <c r="B49" s="147" t="inlineStr">
        <is>
          <t>RUCHA</t>
        </is>
      </c>
      <c r="C49" s="153" t="inlineStr">
        <is>
          <t>ERW1</t>
        </is>
      </c>
      <c r="D49" s="147" t="inlineStr">
        <is>
          <t>NON FIN</t>
        </is>
      </c>
      <c r="E49" s="147" t="inlineStr">
        <is>
          <t>ERW</t>
        </is>
      </c>
      <c r="F49" s="148" t="n">
        <v>25.4</v>
      </c>
      <c r="G49" s="148" t="n"/>
      <c r="H49" s="148" t="n">
        <v>2.5</v>
      </c>
      <c r="I49" s="147" t="n">
        <v>5530</v>
      </c>
      <c r="J49" s="147" t="n">
        <v>5.53</v>
      </c>
      <c r="K49" s="147">
        <f>_xlfn.CONCAT(F49,H49,J49,E49,D49)</f>
        <v/>
      </c>
      <c r="L49" s="147">
        <f>VLOOKUP(K49,'VSM May Indent'!$K$1:$O$61,4,0)</f>
        <v/>
      </c>
      <c r="M49" s="147">
        <f>VLOOKUP(K49,'VSM May Indent'!$K$1:$O$61,5,0)</f>
        <v/>
      </c>
      <c r="N49" s="151" t="inlineStr">
        <is>
          <t>056</t>
        </is>
      </c>
      <c r="O49" s="150" t="n">
        <v>3502256</v>
      </c>
      <c r="P49" s="19" t="n">
        <v>50</v>
      </c>
      <c r="Q49" s="147">
        <f>Table2527[[#This Row],[SCH jun- 25]]</f>
        <v/>
      </c>
      <c r="R49" s="147" t="n">
        <v>0</v>
      </c>
      <c r="S49" s="147" t="n"/>
      <c r="T49" s="147">
        <f>_xlfn.LET(_xlpm.c,Q49-Table2527[[#This Row],[Stock     12-06-25]]-Table2527[[#This Row],[intransist ]],IF(_xlpm.c&gt;0,0,-_xlpm.c))</f>
        <v/>
      </c>
      <c r="U49" s="301" t="n">
        <v>64</v>
      </c>
      <c r="V49" s="147">
        <f>U49+T49+S49</f>
        <v/>
      </c>
      <c r="W49" s="19">
        <f>_xlfn.LET(_xlpm.c,P49*1.5-V49,IF(_xlpm.c&lt;0,0,_xlpm.c))</f>
        <v/>
      </c>
      <c r="X49" s="297">
        <f>Table2527[[#This Row],[    INDENT  FOR jun-25 as per VSM]]</f>
        <v/>
      </c>
      <c r="Y49" s="167">
        <f>X49+U49</f>
        <v/>
      </c>
      <c r="Z49" s="185">
        <f>SUMIFS(meghsteelsales_previousmonth[Quantity],meghsteelsales_previousmonth[Length Bucket],M49)/1000</f>
        <v/>
      </c>
      <c r="AA49" s="185">
        <f>SUMIFS(meghsteelsales_currentmonth[Quantity],meghsteelsales_currentmonth[Length Bucket],M49)/1000</f>
        <v/>
      </c>
      <c r="AB49" s="185">
        <f>IF((X49-Z49-AA49)&lt;0,0,(X49-Z49-AA49))</f>
        <v/>
      </c>
      <c r="AC49" s="185" t="n"/>
      <c r="AD49" s="267" t="n"/>
      <c r="AE49" s="185" t="n"/>
      <c r="AF49" s="185" t="n"/>
      <c r="AG49" s="185">
        <f>Table2527[[#This Row],[plant]]</f>
        <v/>
      </c>
      <c r="AH49" s="185" t="n"/>
    </row>
    <row r="50">
      <c r="A50" s="265" t="inlineStr">
        <is>
          <t>TVS</t>
        </is>
      </c>
      <c r="B50" s="147" t="inlineStr">
        <is>
          <t>RUCHA,METALMAN</t>
        </is>
      </c>
      <c r="C50" s="153" t="inlineStr">
        <is>
          <t>ERW AN</t>
        </is>
      </c>
      <c r="D50" s="147" t="inlineStr">
        <is>
          <t>FIN CUT</t>
        </is>
      </c>
      <c r="E50" s="147" t="inlineStr">
        <is>
          <t>ERW</t>
        </is>
      </c>
      <c r="F50" s="148" t="n">
        <v>42.7</v>
      </c>
      <c r="G50" s="148" t="n"/>
      <c r="H50" s="148" t="n">
        <v>3.5</v>
      </c>
      <c r="I50" s="147" t="n">
        <v>6000</v>
      </c>
      <c r="J50" s="147" t="n">
        <v>6</v>
      </c>
      <c r="K50" s="147">
        <f>_xlfn.CONCAT(F50,H50,J50,E50,D50)</f>
        <v/>
      </c>
      <c r="L50" s="147">
        <f>VLOOKUP(K50,'VSM May Indent'!$K$1:$O$61,4,0)</f>
        <v/>
      </c>
      <c r="M50" s="147">
        <f>VLOOKUP(K50,'VSM May Indent'!$K$1:$O$61,5,0)</f>
        <v/>
      </c>
      <c r="N50" s="151" t="inlineStr">
        <is>
          <t>0788</t>
        </is>
      </c>
      <c r="O50" s="150" t="n">
        <v>2396465</v>
      </c>
      <c r="P50" s="19" t="n">
        <v>25</v>
      </c>
      <c r="Q50" s="147">
        <f>Table2527[[#This Row],[SCH jun- 25]]</f>
        <v/>
      </c>
      <c r="R50" s="147" t="n">
        <v>12</v>
      </c>
      <c r="S50" s="147" t="n"/>
      <c r="T50" s="147">
        <f>_xlfn.LET(_xlpm.c,Q50-Table2527[[#This Row],[Stock     12-06-25]]-Table2527[[#This Row],[intransist ]],IF(_xlpm.c&gt;0,0,-_xlpm.c))</f>
        <v/>
      </c>
      <c r="U50" s="301" t="n">
        <v>32</v>
      </c>
      <c r="V50" s="147">
        <f>U50+T50+S50</f>
        <v/>
      </c>
      <c r="W50" s="19">
        <f>_xlfn.LET(_xlpm.c,P50*1.5-V50,IF(_xlpm.c&lt;0,0,_xlpm.c))</f>
        <v/>
      </c>
      <c r="X50" s="297">
        <f>Table2527[[#This Row],[    INDENT  FOR jun-25 as per VSM]]</f>
        <v/>
      </c>
      <c r="Y50" s="167">
        <f>X50+U50</f>
        <v/>
      </c>
      <c r="Z50" s="185">
        <f>SUMIFS(meghsteelsales_previousmonth[Quantity],meghsteelsales_previousmonth[Length Bucket],M50)/1000</f>
        <v/>
      </c>
      <c r="AA50" s="185">
        <f>SUMIFS(meghsteelsales_currentmonth[Quantity],meghsteelsales_currentmonth[Length Bucket],M50)/1000</f>
        <v/>
      </c>
      <c r="AB50" s="185">
        <f>IF((X50-Z50-AA50)&lt;0,0,(X50-Z50-AA50))</f>
        <v/>
      </c>
      <c r="AC50" s="185" t="n"/>
      <c r="AD50" s="267" t="n"/>
      <c r="AE50" s="185" t="n"/>
      <c r="AF50" s="185" t="n"/>
      <c r="AG50" s="185" t="n"/>
      <c r="AH50" s="185" t="n"/>
    </row>
    <row r="51">
      <c r="A51" s="265" t="inlineStr">
        <is>
          <t>TVS</t>
        </is>
      </c>
      <c r="B51" s="147" t="inlineStr">
        <is>
          <t>RUCHA,METALMAN</t>
        </is>
      </c>
      <c r="C51" s="153" t="inlineStr">
        <is>
          <t>ERW AN</t>
        </is>
      </c>
      <c r="D51" s="147" t="inlineStr">
        <is>
          <t>FIN CUT</t>
        </is>
      </c>
      <c r="E51" s="147" t="inlineStr">
        <is>
          <t>ERW</t>
        </is>
      </c>
      <c r="F51" s="148" t="n">
        <v>42.7</v>
      </c>
      <c r="G51" s="148" t="n"/>
      <c r="H51" s="148" t="n">
        <v>4</v>
      </c>
      <c r="I51" s="147" t="n">
        <v>6000</v>
      </c>
      <c r="J51" s="147" t="n">
        <v>6</v>
      </c>
      <c r="K51" s="147">
        <f>_xlfn.CONCAT(F51,H51,J51,E51,D51)</f>
        <v/>
      </c>
      <c r="L51" s="147">
        <f>VLOOKUP(K51,'VSM May Indent'!$K$1:$O$61,4,0)</f>
        <v/>
      </c>
      <c r="M51" s="147">
        <f>VLOOKUP(K51,'VSM May Indent'!$K$1:$O$61,5,0)</f>
        <v/>
      </c>
      <c r="N51" s="158" t="inlineStr">
        <is>
          <t>0788</t>
        </is>
      </c>
      <c r="O51" s="150" t="n">
        <v>3501985</v>
      </c>
      <c r="P51" s="19" t="n">
        <v>30</v>
      </c>
      <c r="Q51" s="147">
        <f>Table2527[[#This Row],[SCH jun- 25]]</f>
        <v/>
      </c>
      <c r="R51" s="147" t="n">
        <v>15</v>
      </c>
      <c r="S51" s="147" t="n"/>
      <c r="T51" s="147">
        <f>_xlfn.LET(_xlpm.c,Q51-Table2527[[#This Row],[Stock     12-06-25]]-Table2527[[#This Row],[intransist ]],IF(_xlpm.c&gt;0,0,-_xlpm.c))</f>
        <v/>
      </c>
      <c r="U51" s="301" t="n">
        <v>43</v>
      </c>
      <c r="V51" s="147">
        <f>U51+T51+S51</f>
        <v/>
      </c>
      <c r="W51" s="19">
        <f>_xlfn.LET(_xlpm.c,P51*1.5-V51,IF(_xlpm.c&lt;0,0,_xlpm.c))</f>
        <v/>
      </c>
      <c r="X51" s="297">
        <f>Table2527[[#This Row],[    INDENT  FOR jun-25 as per VSM]]</f>
        <v/>
      </c>
      <c r="Y51" s="167">
        <f>X51+U51</f>
        <v/>
      </c>
      <c r="Z51" s="185">
        <f>SUMIFS(meghsteelsales_previousmonth[Quantity],meghsteelsales_previousmonth[Length Bucket],M51)/1000</f>
        <v/>
      </c>
      <c r="AA51" s="185">
        <f>SUMIFS(meghsteelsales_currentmonth[Quantity],meghsteelsales_currentmonth[Length Bucket],M51)/1000</f>
        <v/>
      </c>
      <c r="AB51" s="185">
        <f>IF((X51-Z51-AA51)&lt;0,0,(X51-Z51-AA51))</f>
        <v/>
      </c>
      <c r="AC51" s="185" t="n"/>
      <c r="AD51" s="267" t="n"/>
      <c r="AE51" s="185" t="n"/>
      <c r="AF51" s="185" t="n"/>
      <c r="AG51" s="185" t="n"/>
      <c r="AH51" s="185" t="n"/>
    </row>
    <row r="52">
      <c r="A52" s="265" t="inlineStr">
        <is>
          <t>TVS</t>
        </is>
      </c>
      <c r="B52" s="147" t="inlineStr">
        <is>
          <t>RUCHA,METALMAN</t>
        </is>
      </c>
      <c r="C52" s="155" t="inlineStr">
        <is>
          <t>ERW1</t>
        </is>
      </c>
      <c r="D52" s="147" t="inlineStr">
        <is>
          <t>FIN CUT</t>
        </is>
      </c>
      <c r="E52" s="147" t="inlineStr">
        <is>
          <t>ERW</t>
        </is>
      </c>
      <c r="F52" s="154" t="inlineStr">
        <is>
          <t>40x30</t>
        </is>
      </c>
      <c r="G52" s="154" t="n"/>
      <c r="H52" s="154" t="n">
        <v>1.6</v>
      </c>
      <c r="I52" s="155" t="n">
        <v>5900</v>
      </c>
      <c r="J52" s="147" t="n">
        <v>5.9</v>
      </c>
      <c r="K52" s="147">
        <f>_xlfn.CONCAT(F52,H52,J52,E52,D52)</f>
        <v/>
      </c>
      <c r="L52" s="147">
        <f>VLOOKUP(K52,'VSM May Indent'!$K$1:$O$61,4,0)</f>
        <v/>
      </c>
      <c r="M52" s="147">
        <f>VLOOKUP(K52,'VSM May Indent'!$K$1:$O$61,5,0)</f>
        <v/>
      </c>
      <c r="N52" s="151" t="inlineStr">
        <is>
          <t>0788</t>
        </is>
      </c>
      <c r="O52" s="150" t="n">
        <v>3836440</v>
      </c>
      <c r="P52" s="19" t="n">
        <v>10</v>
      </c>
      <c r="Q52" s="147">
        <f>Table2527[[#This Row],[SCH jun- 25]]</f>
        <v/>
      </c>
      <c r="R52" s="147" t="n">
        <v>8</v>
      </c>
      <c r="S52" s="147" t="n"/>
      <c r="T52" s="147">
        <f>_xlfn.LET(_xlpm.c,Q52-Table2527[[#This Row],[Stock     12-06-25]]-Table2527[[#This Row],[intransist ]],IF(_xlpm.c&gt;0,0,-_xlpm.c))</f>
        <v/>
      </c>
      <c r="U52" s="301" t="n">
        <v>6</v>
      </c>
      <c r="V52" s="147">
        <f>U52+T52+S52</f>
        <v/>
      </c>
      <c r="W52" s="19">
        <f>_xlfn.LET(_xlpm.c,P52*1.5-V52,IF(_xlpm.c&lt;0,0,_xlpm.c))</f>
        <v/>
      </c>
      <c r="X52" s="297">
        <f>Table2527[[#This Row],[    INDENT  FOR jun-25 as per VSM]]</f>
        <v/>
      </c>
      <c r="Y52" s="167">
        <f>X52+U52</f>
        <v/>
      </c>
      <c r="Z52" s="185">
        <f>SUMIFS(meghsteelsales_previousmonth[Quantity],meghsteelsales_previousmonth[Length Bucket],M52)/1000</f>
        <v/>
      </c>
      <c r="AA52" s="185">
        <f>SUMIFS(meghsteelsales_currentmonth[Quantity],meghsteelsales_currentmonth[Length Bucket],M52)/1000</f>
        <v/>
      </c>
      <c r="AB52" s="185">
        <f>IF((X52-Z52-AA52)&lt;0,0,(X52-Z52-AA52))</f>
        <v/>
      </c>
      <c r="AC52" s="185" t="n"/>
      <c r="AD52" s="267" t="n"/>
      <c r="AE52" s="185" t="n"/>
      <c r="AF52" s="185" t="n"/>
      <c r="AG52" s="185" t="n"/>
      <c r="AH52" s="185" t="n"/>
    </row>
    <row r="53">
      <c r="A53" s="266" t="inlineStr">
        <is>
          <t>TVS</t>
        </is>
      </c>
      <c r="B53" s="156" t="inlineStr">
        <is>
          <t>RUCHA</t>
        </is>
      </c>
      <c r="C53" s="157" t="inlineStr">
        <is>
          <t>ERW1</t>
        </is>
      </c>
      <c r="D53" s="156" t="inlineStr">
        <is>
          <t>NON FIN</t>
        </is>
      </c>
      <c r="E53" s="156" t="inlineStr">
        <is>
          <t>ERW</t>
        </is>
      </c>
      <c r="F53" s="248" t="n">
        <v>22.2</v>
      </c>
      <c r="G53" s="248" t="n"/>
      <c r="H53" s="248" t="n">
        <v>1.6</v>
      </c>
      <c r="I53" s="156" t="n">
        <v>5270</v>
      </c>
      <c r="J53" s="156" t="n">
        <v>5.27</v>
      </c>
      <c r="K53" s="147">
        <f>_xlfn.CONCAT(F53,H53,J53,E53,D53)</f>
        <v/>
      </c>
      <c r="L53" s="147" t="inlineStr">
        <is>
          <t>22.23-0-1.6-ERW 1-PE</t>
        </is>
      </c>
      <c r="M53" s="147" t="inlineStr">
        <is>
          <t>22.23-0-1.6-ERW 1-PE-5.27</t>
        </is>
      </c>
      <c r="N53" s="250" t="inlineStr">
        <is>
          <t>0789</t>
        </is>
      </c>
      <c r="O53" s="245" t="n">
        <v>3575894</v>
      </c>
      <c r="P53" s="246" t="n">
        <v>25</v>
      </c>
      <c r="Q53" s="156">
        <f>Table2527[[#This Row],[SCH jun- 25]]</f>
        <v/>
      </c>
      <c r="R53" s="156" t="n"/>
      <c r="S53" s="156" t="n"/>
      <c r="T53" s="156">
        <f>_xlfn.LET(_xlpm.c,Q53-Table2527[[#This Row],[Stock     12-06-25]]-Table2527[[#This Row],[intransist ]],IF(_xlpm.c&gt;0,0,-_xlpm.c))</f>
        <v/>
      </c>
      <c r="U53" s="301" t="n">
        <v>25</v>
      </c>
      <c r="V53" s="156">
        <f>U53+T53+S53</f>
        <v/>
      </c>
      <c r="W53" s="246">
        <f>_xlfn.LET(_xlpm.c,P53*1.5-V53,IF(_xlpm.c&lt;0,0,_xlpm.c))</f>
        <v/>
      </c>
      <c r="X53" s="297">
        <f>Table2527[[#This Row],[    INDENT  FOR jun-25 as per VSM]]</f>
        <v/>
      </c>
      <c r="Y53" s="247">
        <f>X53+U53</f>
        <v/>
      </c>
      <c r="Z53" s="185">
        <f>SUMIFS(meghsteelsales_previousmonth[Quantity],meghsteelsales_previousmonth[Length Bucket],M53)/1000</f>
        <v/>
      </c>
      <c r="AA53" s="185">
        <f>SUMIFS(meghsteelsales_currentmonth[Quantity],meghsteelsales_currentmonth[Length Bucket],M53)/1000</f>
        <v/>
      </c>
      <c r="AB53" s="185">
        <f>IF((X53-Z53-AA53)&lt;0,0,(X53-Z53-AA53))</f>
        <v/>
      </c>
      <c r="AC53" s="185" t="n"/>
      <c r="AD53" s="267" t="n"/>
      <c r="AE53" s="292" t="n"/>
      <c r="AF53" s="292" t="n"/>
      <c r="AG53" s="292" t="n"/>
      <c r="AH53" s="292" t="n"/>
    </row>
    <row r="54">
      <c r="A54" s="265" t="inlineStr">
        <is>
          <t>HMSI</t>
        </is>
      </c>
      <c r="B54" s="147" t="inlineStr">
        <is>
          <t>BADVE</t>
        </is>
      </c>
      <c r="C54" s="153" t="inlineStr">
        <is>
          <t>ERW1</t>
        </is>
      </c>
      <c r="D54" s="147" t="inlineStr">
        <is>
          <t>FIN CUT</t>
        </is>
      </c>
      <c r="E54" s="147" t="inlineStr">
        <is>
          <t>ERW</t>
        </is>
      </c>
      <c r="F54" s="148" t="n">
        <v>45</v>
      </c>
      <c r="G54" s="148" t="n"/>
      <c r="H54" s="148" t="n">
        <v>1.4</v>
      </c>
      <c r="I54" s="147" t="n">
        <v>5700</v>
      </c>
      <c r="J54" s="147" t="n">
        <v>5.7</v>
      </c>
      <c r="K54" s="147">
        <f>_xlfn.CONCAT(F54,H54,J54,E54,D54)</f>
        <v/>
      </c>
      <c r="L54" s="147">
        <f>VLOOKUP(K54,'VSM May Indent'!$K$1:$O$61,4,0)</f>
        <v/>
      </c>
      <c r="M54" s="147">
        <f>VLOOKUP(K54,'VSM May Indent'!$K$1:$O$61,5,0)</f>
        <v/>
      </c>
      <c r="N54" s="151" t="inlineStr">
        <is>
          <t>056</t>
        </is>
      </c>
      <c r="O54" s="150" t="n">
        <v>3545558</v>
      </c>
      <c r="P54" s="19" t="n">
        <v>0</v>
      </c>
      <c r="Q54" s="147">
        <f>Table2527[[#This Row],[SCH jun- 25]]</f>
        <v/>
      </c>
      <c r="R54" s="147" t="n">
        <v>0</v>
      </c>
      <c r="S54" s="147" t="n"/>
      <c r="T54" s="147">
        <f>_xlfn.LET(_xlpm.c,Q54-Table2527[[#This Row],[Stock     12-06-25]]-Table2527[[#This Row],[intransist ]],IF(_xlpm.c&gt;0,0,-_xlpm.c))</f>
        <v/>
      </c>
      <c r="U54" s="301" t="n"/>
      <c r="V54" s="147">
        <f>U54+T54+S54</f>
        <v/>
      </c>
      <c r="W54" s="19">
        <f>_xlfn.LET(_xlpm.c,P54*1.5-V54,IF(_xlpm.c&lt;0,0,_xlpm.c))</f>
        <v/>
      </c>
      <c r="X54" s="297">
        <f>Table2527[[#This Row],[    INDENT  FOR jun-25 as per VSM]]</f>
        <v/>
      </c>
      <c r="Y54" s="167">
        <f>X54+U54</f>
        <v/>
      </c>
      <c r="Z54" s="185">
        <f>SUMIFS(meghsteelsales_previousmonth[Quantity],meghsteelsales_previousmonth[Length Bucket],M54)/1000</f>
        <v/>
      </c>
      <c r="AA54" s="185">
        <f>SUMIFS(meghsteelsales_currentmonth[Quantity],meghsteelsales_currentmonth[Length Bucket],M54)/1000</f>
        <v/>
      </c>
      <c r="AB54" s="185">
        <f>IF((X54-Z54-AA54)&lt;0,0,(X54-Z54-AA54))</f>
        <v/>
      </c>
      <c r="AC54" s="185" t="n"/>
      <c r="AD54" s="267" t="n"/>
      <c r="AE54" s="185" t="n"/>
      <c r="AF54" s="185" t="n"/>
      <c r="AG54" s="185" t="n"/>
      <c r="AH54" s="185" t="n"/>
    </row>
    <row r="55">
      <c r="A55" s="266" t="inlineStr">
        <is>
          <t>TVS</t>
        </is>
      </c>
      <c r="B55" s="156" t="inlineStr">
        <is>
          <t>RUCHA</t>
        </is>
      </c>
      <c r="C55" s="157" t="inlineStr">
        <is>
          <t>ERW1</t>
        </is>
      </c>
      <c r="D55" s="156" t="inlineStr">
        <is>
          <t>NON FIN</t>
        </is>
      </c>
      <c r="E55" s="156" t="inlineStr">
        <is>
          <t>ERW</t>
        </is>
      </c>
      <c r="F55" s="248" t="n">
        <v>25.4</v>
      </c>
      <c r="G55" s="248" t="n"/>
      <c r="H55" s="248" t="n">
        <v>2</v>
      </c>
      <c r="I55" s="156" t="n">
        <v>6050</v>
      </c>
      <c r="J55" s="156" t="n">
        <v>6.05</v>
      </c>
      <c r="K55" s="147">
        <f>_xlfn.CONCAT(F55,H55,J55,E55,D55)</f>
        <v/>
      </c>
      <c r="L55" s="147" t="inlineStr">
        <is>
          <t>25.4-0-2-ERW 1-PE</t>
        </is>
      </c>
      <c r="M55" s="147" t="inlineStr">
        <is>
          <t>25.4-0-2-ERW 1-PE-6.05</t>
        </is>
      </c>
      <c r="N55" s="251" t="inlineStr">
        <is>
          <t>0789</t>
        </is>
      </c>
      <c r="O55" s="245" t="n">
        <v>4055021</v>
      </c>
      <c r="P55" s="246" t="n">
        <v>15</v>
      </c>
      <c r="Q55" s="156">
        <f>Table2527[[#This Row],[SCH jun- 25]]</f>
        <v/>
      </c>
      <c r="R55" s="156" t="n"/>
      <c r="S55" s="156" t="n"/>
      <c r="T55" s="156">
        <f>_xlfn.LET(_xlpm.c,Q55-Table2527[[#This Row],[Stock     12-06-25]]-Table2527[[#This Row],[intransist ]],IF(_xlpm.c&gt;0,0,-_xlpm.c))</f>
        <v/>
      </c>
      <c r="U55" s="301" t="n"/>
      <c r="V55" s="156">
        <f>U55+T55+S55</f>
        <v/>
      </c>
      <c r="W55" s="246">
        <f>_xlfn.LET(_xlpm.c,P55*1.5-V55,IF(_xlpm.c&lt;0,0,_xlpm.c))</f>
        <v/>
      </c>
      <c r="X55" s="297">
        <f>Table2527[[#This Row],[    INDENT  FOR jun-25 as per VSM]]</f>
        <v/>
      </c>
      <c r="Y55" s="247">
        <f>X55+U55</f>
        <v/>
      </c>
      <c r="Z55" s="185">
        <f>SUMIFS(meghsteelsales_previousmonth[Quantity],meghsteelsales_previousmonth[Length Bucket],M55)/1000</f>
        <v/>
      </c>
      <c r="AA55" s="185">
        <f>SUMIFS(meghsteelsales_currentmonth[Quantity],meghsteelsales_currentmonth[Length Bucket],M55)/1000</f>
        <v/>
      </c>
      <c r="AB55" s="185">
        <f>IF((X55-Z55-AA55)&lt;0,0,(X55-Z55-AA55))</f>
        <v/>
      </c>
      <c r="AC55" s="185" t="n"/>
      <c r="AD55" s="267" t="n"/>
      <c r="AE55" s="292" t="n"/>
      <c r="AF55" s="292" t="n"/>
      <c r="AG55" s="292" t="n"/>
      <c r="AH55" s="292" t="n"/>
    </row>
    <row r="56">
      <c r="A56" s="266" t="inlineStr">
        <is>
          <t>TVS</t>
        </is>
      </c>
      <c r="B56" s="156" t="inlineStr">
        <is>
          <t>RUCHA</t>
        </is>
      </c>
      <c r="C56" s="157" t="inlineStr">
        <is>
          <t>ERW1</t>
        </is>
      </c>
      <c r="D56" s="156" t="inlineStr">
        <is>
          <t>FIN CUT</t>
        </is>
      </c>
      <c r="E56" s="156" t="inlineStr">
        <is>
          <t>ERW</t>
        </is>
      </c>
      <c r="F56" s="248" t="n">
        <v>31.75</v>
      </c>
      <c r="G56" s="248" t="n"/>
      <c r="H56" s="248" t="n">
        <v>2.3</v>
      </c>
      <c r="I56" s="156" t="n">
        <v>5920</v>
      </c>
      <c r="J56" s="156" t="n">
        <v>5.92</v>
      </c>
      <c r="K56" s="147">
        <f>_xlfn.CONCAT(F56,H56,J56,E56,D56)</f>
        <v/>
      </c>
      <c r="L56" s="147">
        <f>VLOOKUP(K56,'VSM May Indent'!$K$1:$O$61,4,0)</f>
        <v/>
      </c>
      <c r="M56" s="147">
        <f>VLOOKUP(K56,'VSM May Indent'!$K$1:$O$61,5,0)</f>
        <v/>
      </c>
      <c r="N56" s="251" t="inlineStr">
        <is>
          <t>0789</t>
        </is>
      </c>
      <c r="O56" s="245" t="inlineStr">
        <is>
          <t>MCR 42136</t>
        </is>
      </c>
      <c r="P56" s="246" t="n">
        <v>15</v>
      </c>
      <c r="Q56" s="156">
        <f>Table2527[[#This Row],[SCH jun- 25]]</f>
        <v/>
      </c>
      <c r="R56" s="156" t="n"/>
      <c r="S56" s="156" t="n"/>
      <c r="T56" s="156">
        <f>_xlfn.LET(_xlpm.c,Q56-Table2527[[#This Row],[Stock     12-06-25]]-Table2527[[#This Row],[intransist ]],IF(_xlpm.c&gt;0,0,-_xlpm.c))</f>
        <v/>
      </c>
      <c r="U56" s="301" t="n"/>
      <c r="V56" s="156">
        <f>U56+T56+S56</f>
        <v/>
      </c>
      <c r="W56" s="246">
        <f>_xlfn.LET(_xlpm.c,P56*1.5-V56,IF(_xlpm.c&lt;0,0,_xlpm.c))</f>
        <v/>
      </c>
      <c r="X56" s="297">
        <f>Table2527[[#This Row],[    INDENT  FOR jun-25 as per VSM]]</f>
        <v/>
      </c>
      <c r="Y56" s="247">
        <f>X56+U56</f>
        <v/>
      </c>
      <c r="Z56" s="185">
        <f>SUMIFS(meghsteelsales_previousmonth[Quantity],meghsteelsales_previousmonth[Length Bucket],M56)/1000</f>
        <v/>
      </c>
      <c r="AA56" s="185">
        <f>SUMIFS(meghsteelsales_currentmonth[Quantity],meghsteelsales_currentmonth[Length Bucket],M56)/1000</f>
        <v/>
      </c>
      <c r="AB56" s="185">
        <f>IF((X56-Z56-AA56)&lt;0,0,(X56-Z56-AA56))</f>
        <v/>
      </c>
      <c r="AC56" s="185" t="n"/>
      <c r="AD56" s="267" t="n"/>
      <c r="AE56" s="292" t="n"/>
      <c r="AF56" s="292" t="n"/>
      <c r="AG56" s="292" t="n"/>
      <c r="AH56" s="292" t="n"/>
    </row>
    <row r="57">
      <c r="A57" s="266" t="inlineStr">
        <is>
          <t>TVS</t>
        </is>
      </c>
      <c r="B57" s="156" t="inlineStr">
        <is>
          <t>RUCHA,METALMAN</t>
        </is>
      </c>
      <c r="C57" s="157" t="inlineStr">
        <is>
          <t>ERW1</t>
        </is>
      </c>
      <c r="D57" s="156" t="inlineStr">
        <is>
          <t>FIN CUT</t>
        </is>
      </c>
      <c r="E57" s="156" t="inlineStr">
        <is>
          <t>ERW</t>
        </is>
      </c>
      <c r="F57" s="248" t="n">
        <v>38.1</v>
      </c>
      <c r="G57" s="248" t="n"/>
      <c r="H57" s="248" t="n">
        <v>2</v>
      </c>
      <c r="I57" s="156" t="n">
        <v>5950</v>
      </c>
      <c r="J57" s="156" t="n">
        <v>5.95</v>
      </c>
      <c r="K57" s="147">
        <f>_xlfn.CONCAT(F57,H57,J57,E57,D57)</f>
        <v/>
      </c>
      <c r="L57" s="147">
        <f>VLOOKUP(K57,'VSM May Indent'!$K$1:$O$61,4,0)</f>
        <v/>
      </c>
      <c r="M57" s="147">
        <f>VLOOKUP(K57,'VSM May Indent'!$K$1:$O$61,5,0)</f>
        <v/>
      </c>
      <c r="N57" s="250" t="inlineStr">
        <is>
          <t>0789</t>
        </is>
      </c>
      <c r="O57" s="245" t="n">
        <v>3533165</v>
      </c>
      <c r="P57" s="246" t="n">
        <v>30</v>
      </c>
      <c r="Q57" s="156">
        <f>Table2527[[#This Row],[SCH jun- 25]]</f>
        <v/>
      </c>
      <c r="R57" s="156" t="n">
        <v>19</v>
      </c>
      <c r="S57" s="156" t="n"/>
      <c r="T57" s="156">
        <f>_xlfn.LET(_xlpm.c,Q57-Table2527[[#This Row],[Stock     12-06-25]]-Table2527[[#This Row],[intransist ]],IF(_xlpm.c&gt;0,0,-_xlpm.c))</f>
        <v/>
      </c>
      <c r="U57" s="301" t="n">
        <v>25</v>
      </c>
      <c r="V57" s="156">
        <f>U57+T57+S57</f>
        <v/>
      </c>
      <c r="W57" s="246">
        <f>_xlfn.LET(_xlpm.c,P57*1.5-V57,IF(_xlpm.c&lt;0,0,_xlpm.c))</f>
        <v/>
      </c>
      <c r="X57" s="297">
        <f>Table2527[[#This Row],[    INDENT  FOR jun-25 as per VSM]]</f>
        <v/>
      </c>
      <c r="Y57" s="247">
        <f>X57+U57</f>
        <v/>
      </c>
      <c r="Z57" s="185">
        <f>SUMIFS(meghsteelsales_previousmonth[Quantity],meghsteelsales_previousmonth[Length Bucket],M57)/1000</f>
        <v/>
      </c>
      <c r="AA57" s="185">
        <f>SUMIFS(meghsteelsales_currentmonth[Quantity],meghsteelsales_currentmonth[Length Bucket],M57)/1000</f>
        <v/>
      </c>
      <c r="AB57" s="185">
        <f>IF((X57-Z57-AA57)&lt;0,0,(X57-Z57-AA57))</f>
        <v/>
      </c>
      <c r="AC57" s="185" t="n"/>
      <c r="AD57" s="267" t="n"/>
      <c r="AE57" s="292" t="n"/>
      <c r="AF57" s="292" t="n"/>
      <c r="AG57" s="292" t="n"/>
      <c r="AH57" s="292" t="n"/>
    </row>
    <row r="58">
      <c r="A58" s="265" t="inlineStr">
        <is>
          <t>HMSI</t>
        </is>
      </c>
      <c r="B58" s="147" t="inlineStr">
        <is>
          <t>BADVE</t>
        </is>
      </c>
      <c r="C58" s="153" t="inlineStr">
        <is>
          <t>ERW2</t>
        </is>
      </c>
      <c r="D58" s="147" t="inlineStr">
        <is>
          <t>FIN CUT</t>
        </is>
      </c>
      <c r="E58" s="147" t="inlineStr">
        <is>
          <t>HST</t>
        </is>
      </c>
      <c r="F58" s="148" t="n">
        <v>48.6</v>
      </c>
      <c r="G58" s="148" t="n"/>
      <c r="H58" s="148" t="n">
        <v>2</v>
      </c>
      <c r="I58" s="147" t="n">
        <v>6270</v>
      </c>
      <c r="J58" s="147" t="n">
        <v>6.27</v>
      </c>
      <c r="K58" s="147">
        <f>_xlfn.CONCAT(F58,H58,J58,E58,D58)</f>
        <v/>
      </c>
      <c r="L58" s="147">
        <f>VLOOKUP(K58,'VSM May Indent'!$K$1:$O$61,4,0)</f>
        <v/>
      </c>
      <c r="M58" s="147">
        <f>VLOOKUP(K58,'VSM May Indent'!$K$1:$O$61,5,0)</f>
        <v/>
      </c>
      <c r="N58" s="158" t="inlineStr">
        <is>
          <t>056</t>
        </is>
      </c>
      <c r="O58" s="150" t="n">
        <v>3502301</v>
      </c>
      <c r="P58" s="19" t="n">
        <v>0</v>
      </c>
      <c r="Q58" s="147">
        <f>Table2527[[#This Row],[SCH jun- 25]]</f>
        <v/>
      </c>
      <c r="R58" s="147" t="n">
        <v>20</v>
      </c>
      <c r="S58" s="147" t="n"/>
      <c r="T58" s="147">
        <f>_xlfn.LET(_xlpm.c,Q58-Table2527[[#This Row],[Stock     12-06-25]]-Table2527[[#This Row],[intransist ]],IF(_xlpm.c&gt;0,0,-_xlpm.c))</f>
        <v/>
      </c>
      <c r="U58" s="301" t="n"/>
      <c r="V58" s="147">
        <f>U58+T58+S58</f>
        <v/>
      </c>
      <c r="W58" s="19">
        <f>_xlfn.LET(_xlpm.c,P58*1.5-V58,IF(_xlpm.c&lt;0,0,_xlpm.c))</f>
        <v/>
      </c>
      <c r="X58" s="297">
        <f>Table2527[[#This Row],[    INDENT  FOR jun-25 as per VSM]]</f>
        <v/>
      </c>
      <c r="Y58" s="167">
        <f>X58+U58</f>
        <v/>
      </c>
      <c r="Z58" s="185">
        <f>SUMIFS(meghsteelsales_previousmonth[Quantity],meghsteelsales_previousmonth[Length Bucket],M58)/1000</f>
        <v/>
      </c>
      <c r="AA58" s="185">
        <f>SUMIFS(meghsteelsales_currentmonth[Quantity],meghsteelsales_currentmonth[Length Bucket],M58)/1000</f>
        <v/>
      </c>
      <c r="AB58" s="185">
        <f>IF((X58-Z58-AA58)&lt;0,0,(X58-Z58-AA58))</f>
        <v/>
      </c>
      <c r="AC58" s="185" t="n"/>
      <c r="AD58" s="267" t="n"/>
      <c r="AE58" s="185" t="n"/>
      <c r="AF58" s="185" t="n"/>
      <c r="AG58" s="185" t="n"/>
      <c r="AH58" s="185" t="n"/>
    </row>
    <row r="59">
      <c r="A59" s="265" t="inlineStr">
        <is>
          <t>TVS</t>
        </is>
      </c>
      <c r="B59" s="147" t="inlineStr">
        <is>
          <t>RUCHA,METALMAN</t>
        </is>
      </c>
      <c r="C59" s="153" t="inlineStr">
        <is>
          <t>ERW370</t>
        </is>
      </c>
      <c r="D59" s="147" t="inlineStr">
        <is>
          <t>FIN CUT</t>
        </is>
      </c>
      <c r="E59" s="147" t="inlineStr">
        <is>
          <t>HST</t>
        </is>
      </c>
      <c r="F59" s="148" t="n">
        <v>38.1</v>
      </c>
      <c r="G59" s="148" t="n"/>
      <c r="H59" s="148" t="n">
        <v>1.6</v>
      </c>
      <c r="I59" s="147" t="n">
        <v>6190</v>
      </c>
      <c r="J59" s="147" t="n">
        <v>6.19</v>
      </c>
      <c r="K59" s="147">
        <f>_xlfn.CONCAT(F59,H59,J59,E59,D59)</f>
        <v/>
      </c>
      <c r="L59" s="147">
        <f>VLOOKUP(K59,'VSM May Indent'!$K$1:$O$61,4,0)</f>
        <v/>
      </c>
      <c r="M59" s="147">
        <f>VLOOKUP(K59,'VSM May Indent'!$K$1:$O$61,5,0)</f>
        <v/>
      </c>
      <c r="N59" s="151" t="inlineStr">
        <is>
          <t>056</t>
        </is>
      </c>
      <c r="O59" s="150" t="n">
        <v>3502254</v>
      </c>
      <c r="P59" s="19" t="n">
        <v>40</v>
      </c>
      <c r="Q59" s="147">
        <f>Table2527[[#This Row],[SCH jun- 25]]</f>
        <v/>
      </c>
      <c r="R59" s="147" t="n">
        <v>20</v>
      </c>
      <c r="S59" s="147" t="n"/>
      <c r="T59" s="147">
        <f>_xlfn.LET(_xlpm.c,Q59-Table2527[[#This Row],[Stock     12-06-25]]-Table2527[[#This Row],[intransist ]],IF(_xlpm.c&gt;0,0,-_xlpm.c))</f>
        <v/>
      </c>
      <c r="U59" s="301" t="n">
        <v>23</v>
      </c>
      <c r="V59" s="147">
        <f>U59+T59+S59</f>
        <v/>
      </c>
      <c r="W59" s="19">
        <f>_xlfn.LET(_xlpm.c,P59*1.5-V59,IF(_xlpm.c&lt;0,0,_xlpm.c))</f>
        <v/>
      </c>
      <c r="X59" s="297">
        <f>Table2527[[#This Row],[    INDENT  FOR jun-25 as per VSM]]</f>
        <v/>
      </c>
      <c r="Y59" s="167">
        <f>X59+U59</f>
        <v/>
      </c>
      <c r="Z59" s="185">
        <f>SUMIFS(meghsteelsales_previousmonth[Quantity],meghsteelsales_previousmonth[Length Bucket],M59)/1000</f>
        <v/>
      </c>
      <c r="AA59" s="185">
        <f>SUMIFS(meghsteelsales_currentmonth[Quantity],meghsteelsales_currentmonth[Length Bucket],M59)/1000</f>
        <v/>
      </c>
      <c r="AB59" s="185">
        <f>IF((X59-Z59-AA59)&lt;0,0,(X59-Z59-AA59))</f>
        <v/>
      </c>
      <c r="AC59" s="185" t="n"/>
      <c r="AD59" s="267" t="n"/>
      <c r="AE59" s="260" t="n"/>
      <c r="AF59" s="185" t="n"/>
      <c r="AG59" s="185" t="n"/>
      <c r="AH59" s="185" t="n"/>
    </row>
    <row r="60">
      <c r="A60" s="266" t="inlineStr">
        <is>
          <t>TVS</t>
        </is>
      </c>
      <c r="B60" s="156" t="inlineStr">
        <is>
          <t>RUCHA</t>
        </is>
      </c>
      <c r="C60" s="156" t="inlineStr">
        <is>
          <t>ERW1</t>
        </is>
      </c>
      <c r="D60" s="156" t="inlineStr">
        <is>
          <t>FIN CUT</t>
        </is>
      </c>
      <c r="E60" s="156" t="inlineStr">
        <is>
          <t>ERW</t>
        </is>
      </c>
      <c r="F60" s="248" t="n">
        <v>41.28</v>
      </c>
      <c r="G60" s="248" t="n"/>
      <c r="H60" s="248" t="n">
        <v>2.6</v>
      </c>
      <c r="I60" s="156" t="n">
        <v>6000</v>
      </c>
      <c r="J60" s="156" t="n">
        <v>6</v>
      </c>
      <c r="K60" s="147">
        <f>_xlfn.CONCAT(F60,H60,J60,E60,D60)</f>
        <v/>
      </c>
      <c r="L60" s="147">
        <f>VLOOKUP(K60,'VSM May Indent'!$K$1:$O$61,4,0)</f>
        <v/>
      </c>
      <c r="M60" s="147">
        <f>VLOOKUP(K60,'VSM May Indent'!$K$1:$O$61,5,0)</f>
        <v/>
      </c>
      <c r="N60" s="201" t="inlineStr">
        <is>
          <t>0789</t>
        </is>
      </c>
      <c r="O60" s="245" t="n">
        <v>3974563</v>
      </c>
      <c r="P60" s="246" t="n">
        <v>45</v>
      </c>
      <c r="Q60" s="156">
        <f>Table2527[[#This Row],[SCH jun- 25]]</f>
        <v/>
      </c>
      <c r="R60" s="156" t="n">
        <v>25</v>
      </c>
      <c r="S60" s="156" t="n"/>
      <c r="T60" s="156">
        <f>_xlfn.LET(_xlpm.c,Q60-Table2527[[#This Row],[Stock     12-06-25]]-Table2527[[#This Row],[intransist ]],IF(_xlpm.c&gt;0,0,-_xlpm.c))</f>
        <v/>
      </c>
      <c r="U60" s="301" t="n">
        <v>10</v>
      </c>
      <c r="V60" s="156">
        <f>U60+T60+S60</f>
        <v/>
      </c>
      <c r="W60" s="246">
        <f>_xlfn.LET(_xlpm.c,P60*1.5-V60,IF(_xlpm.c&lt;0,0,_xlpm.c))</f>
        <v/>
      </c>
      <c r="X60" s="297">
        <f>Table2527[[#This Row],[    INDENT  FOR jun-25 as per VSM]]</f>
        <v/>
      </c>
      <c r="Y60" s="247">
        <f>X60+U60</f>
        <v/>
      </c>
      <c r="Z60" s="185">
        <f>SUMIFS(meghsteelsales_previousmonth[Quantity],meghsteelsales_previousmonth[Length Bucket],M60)/1000</f>
        <v/>
      </c>
      <c r="AA60" s="185">
        <f>SUMIFS(meghsteelsales_currentmonth[Quantity],meghsteelsales_currentmonth[Length Bucket],M60)/1000</f>
        <v/>
      </c>
      <c r="AB60" s="185">
        <f>IF((X60-Z60-AA60)&lt;0,0,(X60-Z60-AA60))</f>
        <v/>
      </c>
      <c r="AC60" s="185" t="n"/>
      <c r="AD60" s="267" t="n"/>
      <c r="AE60" s="293" t="n"/>
      <c r="AF60" s="293" t="n"/>
      <c r="AG60" s="293" t="n"/>
      <c r="AH60" s="293" t="n"/>
    </row>
    <row r="61">
      <c r="A61" s="265" t="inlineStr">
        <is>
          <t>TVS</t>
        </is>
      </c>
      <c r="B61" s="147" t="inlineStr">
        <is>
          <t>RUCHA</t>
        </is>
      </c>
      <c r="C61" s="159" t="inlineStr">
        <is>
          <t>ERW1</t>
        </is>
      </c>
      <c r="D61" s="147" t="inlineStr">
        <is>
          <t>FIN CUT</t>
        </is>
      </c>
      <c r="E61" s="147" t="inlineStr">
        <is>
          <t>ERW</t>
        </is>
      </c>
      <c r="F61" s="168" t="inlineStr">
        <is>
          <t>40x25</t>
        </is>
      </c>
      <c r="G61" s="168" t="n"/>
      <c r="H61" s="168" t="n">
        <v>1.6</v>
      </c>
      <c r="I61" s="169" t="n">
        <v>6130</v>
      </c>
      <c r="J61" s="147" t="n">
        <v>6.13</v>
      </c>
      <c r="K61" s="147">
        <f>_xlfn.CONCAT(F61,H61,J61,E61,D61)</f>
        <v/>
      </c>
      <c r="L61" s="147">
        <f>VLOOKUP(K61,'VSM May Indent'!$K$1:$O$61,4,0)</f>
        <v/>
      </c>
      <c r="M61" s="147">
        <f>VLOOKUP(K61,'VSM May Indent'!$K$1:$O$61,5,0)</f>
        <v/>
      </c>
      <c r="N61" s="151" t="inlineStr">
        <is>
          <t>0789</t>
        </is>
      </c>
      <c r="O61" s="151" t="n">
        <v>3919144</v>
      </c>
      <c r="P61" s="19" t="n">
        <v>6</v>
      </c>
      <c r="Q61" s="147">
        <f>Table2527[[#This Row],[SCH jun- 25]]</f>
        <v/>
      </c>
      <c r="R61" s="147" t="n">
        <v>0</v>
      </c>
      <c r="S61" s="147" t="n"/>
      <c r="T61" s="147">
        <f>_xlfn.LET(_xlpm.c,Q61-Table2527[[#This Row],[Stock     12-06-25]]-Table2527[[#This Row],[intransist ]],IF(_xlpm.c&gt;0,0,-_xlpm.c))</f>
        <v/>
      </c>
      <c r="U61" s="301" t="n"/>
      <c r="V61" s="147">
        <f>U61+T61+S61</f>
        <v/>
      </c>
      <c r="W61" s="19">
        <f>_xlfn.LET(_xlpm.c,P61*1.5-V61,IF(_xlpm.c&lt;0,0,_xlpm.c))</f>
        <v/>
      </c>
      <c r="X61" s="297">
        <f>Table2527[[#This Row],[    INDENT  FOR jun-25 as per VSM]]</f>
        <v/>
      </c>
      <c r="Y61" s="167">
        <f>X61+U61</f>
        <v/>
      </c>
      <c r="Z61" s="185">
        <f>SUMIFS(meghsteelsales_previousmonth[Quantity],meghsteelsales_previousmonth[Length Bucket],M61)/1000</f>
        <v/>
      </c>
      <c r="AA61" s="185">
        <f>SUMIFS(meghsteelsales_currentmonth[Quantity],meghsteelsales_currentmonth[Length Bucket],M61)/1000</f>
        <v/>
      </c>
      <c r="AB61" s="185">
        <f>IF((X61-Z61-AA61)&lt;0,0,(X61-Z61-AA61))</f>
        <v/>
      </c>
      <c r="AC61" s="185" t="n"/>
      <c r="AD61" s="267" t="n"/>
      <c r="AE61" s="185" t="n"/>
      <c r="AF61" s="185" t="n"/>
      <c r="AG61" s="185" t="n"/>
      <c r="AH61" s="185" t="n"/>
    </row>
    <row r="62">
      <c r="A62" s="265" t="inlineStr">
        <is>
          <t>TVS</t>
        </is>
      </c>
      <c r="B62" s="147" t="inlineStr">
        <is>
          <t>RUCHA</t>
        </is>
      </c>
      <c r="C62" s="153" t="inlineStr">
        <is>
          <t>ERW1</t>
        </is>
      </c>
      <c r="D62" s="147" t="inlineStr">
        <is>
          <t>FIN CUT</t>
        </is>
      </c>
      <c r="E62" s="147" t="inlineStr">
        <is>
          <t>ERW</t>
        </is>
      </c>
      <c r="F62" s="168" t="inlineStr">
        <is>
          <t>59x30</t>
        </is>
      </c>
      <c r="G62" s="168" t="n"/>
      <c r="H62" s="168" t="n">
        <v>1.6</v>
      </c>
      <c r="I62" s="147" t="n">
        <v>6000</v>
      </c>
      <c r="J62" s="147" t="n">
        <v>6</v>
      </c>
      <c r="K62" s="147">
        <f>_xlfn.CONCAT(F62,H62,J62,E62,D62)</f>
        <v/>
      </c>
      <c r="L62" s="147">
        <f>VLOOKUP(K62,'VSM May Indent'!$K$1:$O$61,4,0)</f>
        <v/>
      </c>
      <c r="M62" s="147">
        <f>VLOOKUP(K62,'VSM May Indent'!$K$1:$O$61,5,0)</f>
        <v/>
      </c>
      <c r="N62" s="151" t="inlineStr">
        <is>
          <t>0789</t>
        </is>
      </c>
      <c r="O62" s="150" t="n">
        <v>1940925</v>
      </c>
      <c r="P62" s="19" t="n">
        <v>5</v>
      </c>
      <c r="Q62" s="147">
        <f>Table2527[[#This Row],[SCH jun- 25]]</f>
        <v/>
      </c>
      <c r="R62" s="147" t="n">
        <v>0</v>
      </c>
      <c r="S62" s="147" t="n"/>
      <c r="T62" s="147">
        <f>_xlfn.LET(_xlpm.c,Q62-Table2527[[#This Row],[Stock     12-06-25]]-Table2527[[#This Row],[intransist ]],IF(_xlpm.c&gt;0,0,-_xlpm.c))</f>
        <v/>
      </c>
      <c r="U62" s="301" t="n"/>
      <c r="V62" s="147">
        <f>U62+T62+S62</f>
        <v/>
      </c>
      <c r="W62" s="19">
        <f>_xlfn.LET(_xlpm.c,P62*1.5-V62,IF(_xlpm.c&lt;0,0,_xlpm.c))</f>
        <v/>
      </c>
      <c r="X62" s="297">
        <f>Table2527[[#This Row],[    INDENT  FOR jun-25 as per VSM]]</f>
        <v/>
      </c>
      <c r="Y62" s="167">
        <f>X62+U62</f>
        <v/>
      </c>
      <c r="Z62" s="185">
        <f>SUMIFS(meghsteelsales_previousmonth[Quantity],meghsteelsales_previousmonth[Length Bucket],M62)/1000</f>
        <v/>
      </c>
      <c r="AA62" s="185">
        <f>SUMIFS(meghsteelsales_currentmonth[Quantity],meghsteelsales_currentmonth[Length Bucket],M62)/1000</f>
        <v/>
      </c>
      <c r="AB62" s="185">
        <f>IF((X62-Z62-AA62)&lt;0,0,(X62-Z62-AA62))</f>
        <v/>
      </c>
      <c r="AC62" s="185" t="n"/>
      <c r="AD62" s="267" t="n"/>
      <c r="AE62" s="185" t="n"/>
      <c r="AF62" s="185" t="n"/>
      <c r="AG62" s="185" t="n"/>
      <c r="AH62" s="185" t="n"/>
    </row>
    <row r="63">
      <c r="A63" s="265" t="inlineStr">
        <is>
          <t>TVS</t>
        </is>
      </c>
      <c r="B63" s="147" t="inlineStr">
        <is>
          <t>RUCHA,METALMAN</t>
        </is>
      </c>
      <c r="C63" s="153" t="inlineStr">
        <is>
          <t>ERW2</t>
        </is>
      </c>
      <c r="D63" s="147" t="inlineStr">
        <is>
          <t>FIN CUT</t>
        </is>
      </c>
      <c r="E63" s="147" t="inlineStr">
        <is>
          <t>HST</t>
        </is>
      </c>
      <c r="F63" s="148" t="n">
        <v>38.1</v>
      </c>
      <c r="G63" s="148" t="n"/>
      <c r="H63" s="148" t="n">
        <v>2.5</v>
      </c>
      <c r="I63" s="147" t="n">
        <v>6190</v>
      </c>
      <c r="J63" s="147" t="n">
        <v>6.19</v>
      </c>
      <c r="K63" s="147">
        <f>_xlfn.CONCAT(F63,H63,J63,E63,D63)</f>
        <v/>
      </c>
      <c r="L63" s="147">
        <f>VLOOKUP(K63,'VSM May Indent'!$K$1:$O$61,4,0)</f>
        <v/>
      </c>
      <c r="M63" s="147">
        <f>VLOOKUP(K63,'VSM May Indent'!$K$1:$O$61,5,0)</f>
        <v/>
      </c>
      <c r="N63" s="151" t="inlineStr">
        <is>
          <t>056</t>
        </is>
      </c>
      <c r="O63" s="150" t="n">
        <v>3502007</v>
      </c>
      <c r="P63" s="19" t="n">
        <v>60</v>
      </c>
      <c r="Q63" s="147">
        <f>Table2527[[#This Row],[SCH jun- 25]]</f>
        <v/>
      </c>
      <c r="R63" s="147" t="n">
        <v>3</v>
      </c>
      <c r="S63" s="147" t="n"/>
      <c r="T63" s="147">
        <f>_xlfn.LET(_xlpm.c,Q63-Table2527[[#This Row],[Stock     12-06-25]]-Table2527[[#This Row],[intransist ]],IF(_xlpm.c&gt;0,0,-_xlpm.c))</f>
        <v/>
      </c>
      <c r="U63" s="301" t="n">
        <v>32</v>
      </c>
      <c r="V63" s="147">
        <f>U63+T63+S63</f>
        <v/>
      </c>
      <c r="W63" s="19">
        <f>_xlfn.LET(_xlpm.c,P63*1.5-V63,IF(_xlpm.c&lt;0,0,_xlpm.c))</f>
        <v/>
      </c>
      <c r="X63" s="297">
        <f>Table2527[[#This Row],[    INDENT  FOR jun-25 as per VSM]]</f>
        <v/>
      </c>
      <c r="Y63" s="167">
        <f>X63+U63</f>
        <v/>
      </c>
      <c r="Z63" s="185">
        <f>SUMIFS(meghsteelsales_previousmonth[Quantity],meghsteelsales_previousmonth[Length Bucket],M63)/1000</f>
        <v/>
      </c>
      <c r="AA63" s="185">
        <f>SUMIFS(meghsteelsales_currentmonth[Quantity],meghsteelsales_currentmonth[Length Bucket],M63)/1000</f>
        <v/>
      </c>
      <c r="AB63" s="185">
        <f>IF((X63-Z63-AA63)&lt;0,0,(X63-Z63-AA63))</f>
        <v/>
      </c>
      <c r="AC63" s="185" t="n"/>
      <c r="AD63" s="267" t="n"/>
      <c r="AE63" s="185" t="n"/>
      <c r="AF63" s="185" t="n"/>
      <c r="AG63" s="185" t="n"/>
      <c r="AH63" s="185" t="n"/>
    </row>
    <row r="64" customFormat="1" s="45">
      <c r="A64" s="265" t="inlineStr">
        <is>
          <t>TVS</t>
        </is>
      </c>
      <c r="B64" s="147" t="inlineStr">
        <is>
          <t>RUCHA,METALMAN</t>
        </is>
      </c>
      <c r="C64" s="153" t="inlineStr">
        <is>
          <t>ERW1</t>
        </is>
      </c>
      <c r="D64" s="147" t="inlineStr">
        <is>
          <t>FIN CUT</t>
        </is>
      </c>
      <c r="E64" s="147" t="inlineStr">
        <is>
          <t>ERW</t>
        </is>
      </c>
      <c r="F64" s="148" t="n">
        <v>57.15</v>
      </c>
      <c r="G64" s="148" t="n"/>
      <c r="H64" s="148" t="n">
        <v>2.5</v>
      </c>
      <c r="I64" s="147" t="n">
        <v>5710</v>
      </c>
      <c r="J64" s="147" t="n">
        <v>5.71</v>
      </c>
      <c r="K64" s="147">
        <f>_xlfn.CONCAT(F64,H64,J64,E64,D64)</f>
        <v/>
      </c>
      <c r="L64" s="147">
        <f>VLOOKUP(K64,'VSM May Indent'!$K$1:$O$61,4,0)</f>
        <v/>
      </c>
      <c r="M64" s="147">
        <f>VLOOKUP(K64,'VSM May Indent'!$K$1:$O$61,5,0)</f>
        <v/>
      </c>
      <c r="N64" s="151" t="inlineStr">
        <is>
          <t>056</t>
        </is>
      </c>
      <c r="O64" s="150" t="n">
        <v>3907863</v>
      </c>
      <c r="P64" s="19" t="n">
        <v>40</v>
      </c>
      <c r="Q64" s="147">
        <f>Table2527[[#This Row],[SCH jun- 25]]</f>
        <v/>
      </c>
      <c r="R64" s="147" t="n">
        <v>7</v>
      </c>
      <c r="S64" s="147" t="n"/>
      <c r="T64" s="147">
        <f>_xlfn.LET(_xlpm.c,Q64-Table2527[[#This Row],[Stock     12-06-25]]-Table2527[[#This Row],[intransist ]],IF(_xlpm.c&gt;0,0,-_xlpm.c))</f>
        <v/>
      </c>
      <c r="U64" s="301" t="n">
        <v>30</v>
      </c>
      <c r="V64" s="147">
        <f>U64+T64+S64</f>
        <v/>
      </c>
      <c r="W64" s="19">
        <f>_xlfn.LET(_xlpm.c,P64*1.5-V64,IF(_xlpm.c&lt;0,0,_xlpm.c))</f>
        <v/>
      </c>
      <c r="X64" s="297">
        <f>Table2527[[#This Row],[    INDENT  FOR jun-25 as per VSM]]</f>
        <v/>
      </c>
      <c r="Y64" s="167">
        <f>X64+U64</f>
        <v/>
      </c>
      <c r="Z64" s="185">
        <f>SUMIFS(meghsteelsales_previousmonth[Quantity],meghsteelsales_previousmonth[Length Bucket],M64)/1000</f>
        <v/>
      </c>
      <c r="AA64" s="185">
        <f>SUMIFS(meghsteelsales_currentmonth[Quantity],meghsteelsales_currentmonth[Length Bucket],M64)/1000</f>
        <v/>
      </c>
      <c r="AB64" s="185">
        <f>IF((X64-Z64-AA64)&lt;0,0,(X64-Z64-AA64))</f>
        <v/>
      </c>
      <c r="AC64" s="185" t="n"/>
      <c r="AD64" s="267" t="n"/>
      <c r="AE64" s="185" t="n"/>
      <c r="AF64" s="185" t="n"/>
      <c r="AG64" s="185" t="n"/>
      <c r="AH64" s="185" t="n"/>
    </row>
    <row r="65">
      <c r="A65" s="265" t="inlineStr">
        <is>
          <t>TVS</t>
        </is>
      </c>
      <c r="B65" s="147" t="inlineStr">
        <is>
          <t>RUCHA,METALMAN</t>
        </is>
      </c>
      <c r="C65" s="153" t="inlineStr">
        <is>
          <t>ERW1</t>
        </is>
      </c>
      <c r="D65" s="147" t="inlineStr">
        <is>
          <t>FIN CUT</t>
        </is>
      </c>
      <c r="E65" s="147" t="inlineStr">
        <is>
          <t>ERW</t>
        </is>
      </c>
      <c r="F65" s="148" t="n">
        <v>57.15</v>
      </c>
      <c r="G65" s="148" t="n"/>
      <c r="H65" s="148" t="n">
        <v>2.5</v>
      </c>
      <c r="I65" s="147" t="n">
        <v>6100</v>
      </c>
      <c r="J65" s="147" t="n">
        <v>6.1</v>
      </c>
      <c r="K65" s="147">
        <f>_xlfn.CONCAT(F65,H65,J65,E65,D65)</f>
        <v/>
      </c>
      <c r="L65" s="147">
        <f>VLOOKUP(K65,'VSM May Indent'!$K$1:$O$61,4,0)</f>
        <v/>
      </c>
      <c r="M65" s="147">
        <f>VLOOKUP(K65,'VSM May Indent'!$K$1:$O$61,5,0)</f>
        <v/>
      </c>
      <c r="N65" s="151" t="inlineStr">
        <is>
          <t>056</t>
        </is>
      </c>
      <c r="O65" s="150" t="n">
        <v>3910001</v>
      </c>
      <c r="P65" s="19" t="n">
        <v>0</v>
      </c>
      <c r="Q65" s="147">
        <f>Table2527[[#This Row],[SCH jun- 25]]</f>
        <v/>
      </c>
      <c r="R65" s="147" t="n">
        <v>0</v>
      </c>
      <c r="S65" s="147" t="n"/>
      <c r="T65" s="147">
        <f>_xlfn.LET(_xlpm.c,Q65-Table2527[[#This Row],[Stock     12-06-25]]-Table2527[[#This Row],[intransist ]],IF(_xlpm.c&gt;0,0,-_xlpm.c))</f>
        <v/>
      </c>
      <c r="U65" s="301" t="n">
        <v>24</v>
      </c>
      <c r="V65" s="147">
        <f>U65+T65+S65</f>
        <v/>
      </c>
      <c r="W65" s="19">
        <f>_xlfn.LET(_xlpm.c,P65*1.5-V65,IF(_xlpm.c&lt;0,0,_xlpm.c))</f>
        <v/>
      </c>
      <c r="X65" s="297">
        <f>Table2527[[#This Row],[    INDENT  FOR jun-25 as per VSM]]</f>
        <v/>
      </c>
      <c r="Y65" s="167">
        <f>X65+U65</f>
        <v/>
      </c>
      <c r="Z65" s="185">
        <f>SUMIFS(meghsteelsales_previousmonth[Quantity],meghsteelsales_previousmonth[Length Bucket],M65)/1000</f>
        <v/>
      </c>
      <c r="AA65" s="185">
        <f>SUMIFS(meghsteelsales_currentmonth[Quantity],meghsteelsales_currentmonth[Length Bucket],M65)/1000</f>
        <v/>
      </c>
      <c r="AB65" s="185">
        <f>IF((X65-Z65-AA65)&lt;0,0,(X65-Z65-AA65))</f>
        <v/>
      </c>
      <c r="AC65" s="185" t="n"/>
      <c r="AD65" s="267" t="n"/>
      <c r="AE65" s="185" t="n"/>
      <c r="AF65" s="185" t="n"/>
      <c r="AG65" s="185" t="n"/>
      <c r="AH65" s="185" t="n"/>
    </row>
    <row r="66">
      <c r="A66" s="266" t="inlineStr">
        <is>
          <t>TVS</t>
        </is>
      </c>
      <c r="B66" s="156" t="inlineStr">
        <is>
          <t>RUCHA,METALMAN</t>
        </is>
      </c>
      <c r="C66" s="157" t="inlineStr">
        <is>
          <t>ERW1</t>
        </is>
      </c>
      <c r="D66" s="156" t="inlineStr">
        <is>
          <t>FIN CUT</t>
        </is>
      </c>
      <c r="E66" s="156" t="inlineStr">
        <is>
          <t>ERW</t>
        </is>
      </c>
      <c r="F66" s="248" t="n">
        <v>57.15</v>
      </c>
      <c r="G66" s="248" t="n"/>
      <c r="H66" s="248" t="n">
        <v>2.5</v>
      </c>
      <c r="I66" s="156" t="n">
        <v>5950</v>
      </c>
      <c r="J66" s="156" t="n"/>
      <c r="K66" s="147">
        <f>_xlfn.CONCAT(F66,H66,J66,E66,D66)</f>
        <v/>
      </c>
      <c r="L66" s="147" t="inlineStr">
        <is>
          <t>57.15-0-2.5-ERW 1-FC</t>
        </is>
      </c>
      <c r="M66" s="147" t="inlineStr">
        <is>
          <t>57.15-0-2.5-ERW 1-FC-5.95</t>
        </is>
      </c>
      <c r="N66" s="201" t="inlineStr">
        <is>
          <t>056</t>
        </is>
      </c>
      <c r="O66" s="245" t="n">
        <v>4054700</v>
      </c>
      <c r="P66" s="246" t="n">
        <v>50</v>
      </c>
      <c r="Q66" s="156">
        <f>Table2527[[#This Row],[SCH jun- 25]]</f>
        <v/>
      </c>
      <c r="R66" s="156" t="n"/>
      <c r="S66" s="156" t="n"/>
      <c r="T66" s="156">
        <f>_xlfn.LET(_xlpm.c,Q66-Table2527[[#This Row],[Stock     12-06-25]]-Table2527[[#This Row],[intransist ]],IF(_xlpm.c&gt;0,0,-_xlpm.c))</f>
        <v/>
      </c>
      <c r="U66" s="301" t="n">
        <v>50</v>
      </c>
      <c r="V66" s="156">
        <f>U66+T66+S66</f>
        <v/>
      </c>
      <c r="W66" s="246">
        <f>_xlfn.LET(_xlpm.c,P66*1.5-V66,IF(_xlpm.c&lt;0,0,_xlpm.c))</f>
        <v/>
      </c>
      <c r="X66" s="297">
        <f>Table2527[[#This Row],[    INDENT  FOR jun-25 as per VSM]]</f>
        <v/>
      </c>
      <c r="Y66" s="247">
        <f>X66+U66</f>
        <v/>
      </c>
      <c r="Z66" s="185">
        <f>SUMIFS(meghsteelsales_previousmonth[Quantity],meghsteelsales_previousmonth[Length Bucket],M66)/1000</f>
        <v/>
      </c>
      <c r="AA66" s="185">
        <f>SUMIFS(meghsteelsales_currentmonth[Quantity],meghsteelsales_currentmonth[Length Bucket],M66)/1000</f>
        <v/>
      </c>
      <c r="AB66" s="185">
        <f>IF((X66-Z66-AA66)&lt;0,0,(X66-Z66-AA66))</f>
        <v/>
      </c>
      <c r="AC66" s="185" t="n"/>
      <c r="AD66" s="267" t="n"/>
      <c r="AE66" s="292" t="n"/>
      <c r="AF66" s="185" t="n"/>
      <c r="AG66" s="185">
        <f>Table2527[[#This Row],[plant]]</f>
        <v/>
      </c>
      <c r="AH66" s="292" t="n"/>
    </row>
    <row r="67">
      <c r="A67" s="265" t="inlineStr">
        <is>
          <t>TVS</t>
        </is>
      </c>
      <c r="B67" s="147" t="inlineStr">
        <is>
          <t>RUCHA,METALMAN</t>
        </is>
      </c>
      <c r="C67" s="147" t="inlineStr">
        <is>
          <t>ERW1</t>
        </is>
      </c>
      <c r="D67" s="147" t="inlineStr">
        <is>
          <t>FIN CUT</t>
        </is>
      </c>
      <c r="E67" s="147" t="inlineStr">
        <is>
          <t>ERW</t>
        </is>
      </c>
      <c r="F67" s="148" t="n">
        <v>57.15</v>
      </c>
      <c r="G67" s="148" t="n"/>
      <c r="H67" s="148" t="n">
        <v>2.5</v>
      </c>
      <c r="I67" s="147" t="n">
        <v>5750</v>
      </c>
      <c r="J67" s="147" t="n">
        <v>5.75</v>
      </c>
      <c r="K67" s="147">
        <f>_xlfn.CONCAT(F67,H67,J67,E67,D67)</f>
        <v/>
      </c>
      <c r="L67" s="147">
        <f>VLOOKUP(K67,'VSM May Indent'!$K$1:$O$61,4,0)</f>
        <v/>
      </c>
      <c r="M67" s="147">
        <f>VLOOKUP(K67,'VSM May Indent'!$K$1:$O$61,5,0)</f>
        <v/>
      </c>
      <c r="N67" s="151" t="inlineStr">
        <is>
          <t>056</t>
        </is>
      </c>
      <c r="O67" s="150" t="n">
        <v>3501047</v>
      </c>
      <c r="P67" s="19" t="n">
        <v>70</v>
      </c>
      <c r="Q67" s="147">
        <f>Table2527[[#This Row],[SCH jun- 25]]</f>
        <v/>
      </c>
      <c r="R67" s="147" t="n">
        <v>4</v>
      </c>
      <c r="S67" s="147" t="n"/>
      <c r="T67" s="147">
        <f>_xlfn.LET(_xlpm.c,Q67-Table2527[[#This Row],[Stock     12-06-25]]-Table2527[[#This Row],[intransist ]],IF(_xlpm.c&gt;0,0,-_xlpm.c))</f>
        <v/>
      </c>
      <c r="U67" s="301" t="n">
        <v>24</v>
      </c>
      <c r="V67" s="147">
        <f>U67+T67+S67</f>
        <v/>
      </c>
      <c r="W67" s="19">
        <f>_xlfn.LET(_xlpm.c,P67*1.5-V67,IF(_xlpm.c&lt;0,0,_xlpm.c))</f>
        <v/>
      </c>
      <c r="X67" s="297">
        <f>Table2527[[#This Row],[    INDENT  FOR jun-25 as per VSM]]</f>
        <v/>
      </c>
      <c r="Y67" s="167">
        <f>X67+U67</f>
        <v/>
      </c>
      <c r="Z67" s="185">
        <f>SUMIFS(meghsteelsales_previousmonth[Quantity],meghsteelsales_previousmonth[Length Bucket],M67)/1000</f>
        <v/>
      </c>
      <c r="AA67" s="185">
        <f>SUMIFS(meghsteelsales_currentmonth[Quantity],meghsteelsales_currentmonth[Length Bucket],M67)/1000</f>
        <v/>
      </c>
      <c r="AB67" s="185">
        <f>IF((X67-Z67-AA67)&lt;0,0,(X67-Z67-AA67))</f>
        <v/>
      </c>
      <c r="AC67" s="185" t="n"/>
      <c r="AD67" s="267" t="n"/>
      <c r="AE67" s="185" t="n"/>
      <c r="AF67" s="185" t="n"/>
      <c r="AG67" s="185" t="n"/>
      <c r="AH67" s="185" t="n"/>
    </row>
    <row r="68" customFormat="1" s="45">
      <c r="A68" s="281" t="inlineStr">
        <is>
          <t>TVS</t>
        </is>
      </c>
      <c r="B68" s="282" t="inlineStr">
        <is>
          <t>METALMAN</t>
        </is>
      </c>
      <c r="C68" s="283" t="inlineStr">
        <is>
          <t>ERW1</t>
        </is>
      </c>
      <c r="D68" s="282" t="inlineStr">
        <is>
          <t>FIN CUT</t>
        </is>
      </c>
      <c r="E68" s="282" t="inlineStr">
        <is>
          <t>ERW</t>
        </is>
      </c>
      <c r="F68" s="284" t="n">
        <v>60.3</v>
      </c>
      <c r="G68" s="284" t="n"/>
      <c r="H68" s="284" t="n">
        <v>2</v>
      </c>
      <c r="I68" s="282" t="n">
        <v>5900</v>
      </c>
      <c r="J68" s="282" t="n">
        <v>5.9</v>
      </c>
      <c r="K68" s="285">
        <f>_xlfn.CONCAT(F68,H68,J68,E68,D68)</f>
        <v/>
      </c>
      <c r="L68" s="285">
        <f>VLOOKUP(K68,'VSM May Indent'!$K$1:$O$61,4,0)</f>
        <v/>
      </c>
      <c r="M68" s="285">
        <f>VLOOKUP(K68,'VSM May Indent'!$K$1:$O$61,5,0)</f>
        <v/>
      </c>
      <c r="N68" s="286" t="inlineStr">
        <is>
          <t>0788</t>
        </is>
      </c>
      <c r="O68" s="287" t="n">
        <v>3905049</v>
      </c>
      <c r="P68" s="288" t="n">
        <v>30</v>
      </c>
      <c r="Q68" s="282">
        <f>Table2527[[#This Row],[SCH jun- 25]]</f>
        <v/>
      </c>
      <c r="R68" s="282" t="n">
        <v>28</v>
      </c>
      <c r="S68" s="282" t="n"/>
      <c r="T68" s="282">
        <f>_xlfn.LET(_xlpm.c,Q68-Table2527[[#This Row],[Stock     12-06-25]]-Table2527[[#This Row],[intransist ]],IF(_xlpm.c&gt;0,0,-_xlpm.c))</f>
        <v/>
      </c>
      <c r="U68" s="301" t="n">
        <v>38</v>
      </c>
      <c r="V68" s="282">
        <f>U68+T68+S68</f>
        <v/>
      </c>
      <c r="W68" s="288">
        <f>_xlfn.LET(_xlpm.c,P68*1.5-V68,IF(_xlpm.c&lt;0,0,_xlpm.c))</f>
        <v/>
      </c>
      <c r="X68" s="297">
        <f>Table2527[[#This Row],[    INDENT  FOR jun-25 as per VSM]]</f>
        <v/>
      </c>
      <c r="Y68" s="289">
        <f>X68+U68</f>
        <v/>
      </c>
      <c r="Z68" s="290">
        <f>SUMIFS(meghsteelsales_previousmonth[Quantity],meghsteelsales_previousmonth[Length Bucket],M68)/1000</f>
        <v/>
      </c>
      <c r="AA68" s="290">
        <f>SUMIFS(meghsteelsales_currentmonth[Quantity],meghsteelsales_currentmonth[Length Bucket],M68)/1000</f>
        <v/>
      </c>
      <c r="AB68" s="290">
        <f>IF((X68-Z68-AA68)&lt;0,0,(X68-Z68-AA68))</f>
        <v/>
      </c>
      <c r="AC68" s="290" t="n"/>
      <c r="AD68" s="291" t="n"/>
      <c r="AE68" s="295" t="n"/>
      <c r="AF68" s="295" t="n"/>
      <c r="AG68" s="295" t="n"/>
      <c r="AH68" s="295" t="n"/>
    </row>
    <row r="69">
      <c r="I69" s="152" t="inlineStr">
        <is>
          <t>TOTAL</t>
        </is>
      </c>
      <c r="J69" s="152" t="n"/>
      <c r="K69" s="152" t="n"/>
      <c r="L69" s="152" t="n"/>
      <c r="M69" s="147" t="n"/>
      <c r="N69" s="152" t="n"/>
      <c r="O69" s="197" t="n"/>
      <c r="P69" s="152">
        <f>SUBTOTAL(9,P3:P68)</f>
        <v/>
      </c>
      <c r="Q69" s="152">
        <f>SUBTOTAL(9,Q3:Q68)</f>
        <v/>
      </c>
      <c r="R69" s="152">
        <f>SUBTOTAL(9,R3:R68)</f>
        <v/>
      </c>
      <c r="S69" s="152">
        <f>SUBTOTAL(9,S3:S68)</f>
        <v/>
      </c>
      <c r="T69" s="152">
        <f>SUBTOTAL(9,T3:T68)</f>
        <v/>
      </c>
      <c r="U69" s="152">
        <f>SUBTOTAL(9,U3:U68)</f>
        <v/>
      </c>
      <c r="V69" s="152">
        <f>SUBTOTAL(9,V3:V68)</f>
        <v/>
      </c>
      <c r="W69" s="152">
        <f>SUBTOTAL(9,W3:W68)</f>
        <v/>
      </c>
      <c r="X69" s="152">
        <f>SUBTOTAL(9,X3:X68)</f>
        <v/>
      </c>
      <c r="Y69" s="152">
        <f>SUBTOTAL(9,Y3:Y68)</f>
        <v/>
      </c>
      <c r="Z69" s="185">
        <f>SUM(Z3:Z68)</f>
        <v/>
      </c>
      <c r="AA69" s="185">
        <f>SUM(AA3:AA68)</f>
        <v/>
      </c>
      <c r="AC69" s="185">
        <f>SUM(AC3:AC68)</f>
        <v/>
      </c>
    </row>
    <row r="70">
      <c r="O70" s="198" t="n"/>
      <c r="Y70" s="173" t="n"/>
    </row>
    <row r="71" ht="21" customHeight="1" s="584">
      <c r="C71" s="319" t="n">
        <v>56</v>
      </c>
    </row>
    <row r="72">
      <c r="C72" s="173" t="n"/>
    </row>
    <row r="73" ht="15.75" customHeight="1" s="584" thickBot="1">
      <c r="C73" s="173" t="n"/>
    </row>
    <row r="74" ht="39" customHeight="1" s="584" thickBot="1">
      <c r="C74" s="320" t="inlineStr">
        <is>
          <t>OEM</t>
        </is>
      </c>
      <c r="D74" s="321" t="inlineStr">
        <is>
          <t>Customer</t>
        </is>
      </c>
      <c r="E74" s="322" t="inlineStr">
        <is>
          <t xml:space="preserve">Metallurgy condition </t>
        </is>
      </c>
      <c r="F74" s="322" t="inlineStr">
        <is>
          <t>Material Type</t>
        </is>
      </c>
      <c r="G74" s="321" t="inlineStr">
        <is>
          <t>GRADE</t>
        </is>
      </c>
      <c r="H74" s="321" t="inlineStr">
        <is>
          <t>OD</t>
        </is>
      </c>
      <c r="I74" s="321" t="inlineStr">
        <is>
          <t>THK</t>
        </is>
      </c>
      <c r="J74" s="321" t="inlineStr">
        <is>
          <t>LENGTH</t>
        </is>
      </c>
      <c r="K74" s="322" t="inlineStr">
        <is>
          <t>Length in Mtrs</t>
        </is>
      </c>
      <c r="L74" s="321" t="inlineStr">
        <is>
          <t>plant</t>
        </is>
      </c>
      <c r="M74" s="323" t="inlineStr">
        <is>
          <t>TSL Material Code</t>
        </is>
      </c>
      <c r="N74" s="324" t="inlineStr">
        <is>
          <t>INDENT  FOR jun-25 recommended</t>
        </is>
      </c>
      <c r="O74" s="325" t="inlineStr">
        <is>
          <t>S.O.</t>
        </is>
      </c>
      <c r="P74" s="326" t="inlineStr">
        <is>
          <t>STATUS</t>
        </is>
      </c>
    </row>
    <row r="75" ht="15.75" customHeight="1" s="584" thickBot="1">
      <c r="C75" s="327" t="inlineStr">
        <is>
          <t>HMSI</t>
        </is>
      </c>
      <c r="D75" s="328" t="inlineStr">
        <is>
          <t>BADVE</t>
        </is>
      </c>
      <c r="E75" s="328" t="inlineStr">
        <is>
          <t>ERW2</t>
        </is>
      </c>
      <c r="F75" s="328" t="inlineStr">
        <is>
          <t>NON FIN</t>
        </is>
      </c>
      <c r="G75" s="328" t="inlineStr">
        <is>
          <t>ERW2</t>
        </is>
      </c>
      <c r="H75" s="328" t="n">
        <v>19.05</v>
      </c>
      <c r="I75" s="328" t="n">
        <v>1.4</v>
      </c>
      <c r="J75" s="328" t="n">
        <v>6000</v>
      </c>
      <c r="K75" s="328" t="n">
        <v>6</v>
      </c>
      <c r="L75" s="328" t="n">
        <v>56</v>
      </c>
      <c r="M75" s="328" t="n">
        <v>3891285</v>
      </c>
      <c r="N75" s="329" t="n">
        <v>7.5</v>
      </c>
      <c r="O75" s="330" t="n">
        <v>9518845944</v>
      </c>
      <c r="P75" s="328" t="inlineStr">
        <is>
          <t>LOADED / RELEASED</t>
        </is>
      </c>
    </row>
    <row r="76" ht="15.75" customHeight="1" s="584" thickBot="1">
      <c r="C76" s="327" t="inlineStr">
        <is>
          <t>HMSI</t>
        </is>
      </c>
      <c r="D76" s="328" t="inlineStr">
        <is>
          <t>BADVE</t>
        </is>
      </c>
      <c r="E76" s="328" t="inlineStr">
        <is>
          <t>ERW2</t>
        </is>
      </c>
      <c r="F76" s="328" t="inlineStr">
        <is>
          <t>NON FIN</t>
        </is>
      </c>
      <c r="G76" s="328" t="inlineStr">
        <is>
          <t>ERW-2</t>
        </is>
      </c>
      <c r="H76" s="328" t="n">
        <v>22.2</v>
      </c>
      <c r="I76" s="328" t="n">
        <v>1.4</v>
      </c>
      <c r="J76" s="328" t="n">
        <v>6000</v>
      </c>
      <c r="K76" s="328" t="n">
        <v>6</v>
      </c>
      <c r="L76" s="328" t="n">
        <v>56</v>
      </c>
      <c r="M76" s="328" t="n">
        <v>3829175</v>
      </c>
      <c r="N76" s="329" t="n">
        <v>5.5</v>
      </c>
      <c r="O76" s="330" t="n">
        <v>9518845944</v>
      </c>
      <c r="P76" s="328" t="inlineStr">
        <is>
          <t>LOADED / RELEASED</t>
        </is>
      </c>
    </row>
    <row r="77" ht="15.75" customHeight="1" s="584" thickBot="1">
      <c r="C77" s="327" t="inlineStr">
        <is>
          <t>HMSI</t>
        </is>
      </c>
      <c r="D77" s="328" t="inlineStr">
        <is>
          <t>BADVE</t>
        </is>
      </c>
      <c r="E77" s="328" t="inlineStr">
        <is>
          <t>ERW2</t>
        </is>
      </c>
      <c r="F77" s="328" t="inlineStr">
        <is>
          <t>FIN CUT</t>
        </is>
      </c>
      <c r="G77" s="328" t="inlineStr">
        <is>
          <t>HST</t>
        </is>
      </c>
      <c r="H77" s="328" t="n">
        <v>25.4</v>
      </c>
      <c r="I77" s="328" t="n">
        <v>1.4</v>
      </c>
      <c r="J77" s="328" t="n">
        <v>5531</v>
      </c>
      <c r="K77" s="328" t="n">
        <v>5.531</v>
      </c>
      <c r="L77" s="328" t="n">
        <v>56</v>
      </c>
      <c r="M77" s="328" t="n">
        <v>3501900</v>
      </c>
      <c r="N77" s="329" t="n">
        <v>12.5</v>
      </c>
      <c r="O77" s="330" t="n">
        <v>9518845944</v>
      </c>
      <c r="P77" s="328" t="inlineStr">
        <is>
          <t>LOADED / RELEASED</t>
        </is>
      </c>
    </row>
    <row r="78" ht="15.75" customHeight="1" s="584" thickBot="1">
      <c r="C78" s="327" t="inlineStr">
        <is>
          <t>HMSI</t>
        </is>
      </c>
      <c r="D78" s="328" t="inlineStr">
        <is>
          <t>BADVE</t>
        </is>
      </c>
      <c r="E78" s="328" t="inlineStr">
        <is>
          <t>ERW1</t>
        </is>
      </c>
      <c r="F78" s="328" t="inlineStr">
        <is>
          <t>FIN CUT</t>
        </is>
      </c>
      <c r="G78" s="328" t="inlineStr">
        <is>
          <t>ERW</t>
        </is>
      </c>
      <c r="H78" s="328" t="n">
        <v>41.28</v>
      </c>
      <c r="I78" s="328" t="n">
        <v>3.15</v>
      </c>
      <c r="J78" s="328" t="n">
        <v>5860</v>
      </c>
      <c r="K78" s="328" t="n">
        <v>5.86</v>
      </c>
      <c r="L78" s="328" t="n">
        <v>56</v>
      </c>
      <c r="M78" s="331" t="n">
        <v>3673889</v>
      </c>
      <c r="N78" s="329" t="n">
        <v>48.5</v>
      </c>
      <c r="O78" s="330" t="n">
        <v>9518845944</v>
      </c>
      <c r="P78" s="328" t="inlineStr">
        <is>
          <t>LOADED / RELEASED</t>
        </is>
      </c>
    </row>
    <row r="79" ht="15.75" customHeight="1" s="584" thickBot="1">
      <c r="C79" s="327" t="inlineStr">
        <is>
          <t>HMSI</t>
        </is>
      </c>
      <c r="D79" s="328" t="inlineStr">
        <is>
          <t>BADVE</t>
        </is>
      </c>
      <c r="E79" s="328" t="inlineStr">
        <is>
          <t>ERW2</t>
        </is>
      </c>
      <c r="F79" s="328" t="inlineStr">
        <is>
          <t>FIN CUT</t>
        </is>
      </c>
      <c r="G79" s="328" t="inlineStr">
        <is>
          <t>HST</t>
        </is>
      </c>
      <c r="H79" s="328" t="n">
        <v>48.6</v>
      </c>
      <c r="I79" s="328" t="n">
        <v>2.3</v>
      </c>
      <c r="J79" s="328" t="n">
        <v>6270</v>
      </c>
      <c r="K79" s="328" t="n">
        <v>6.27</v>
      </c>
      <c r="L79" s="328" t="n">
        <v>56</v>
      </c>
      <c r="M79" s="332" t="n">
        <v>3502301</v>
      </c>
      <c r="N79" s="329" t="n">
        <v>22.5</v>
      </c>
      <c r="O79" s="330" t="n">
        <v>9518845944</v>
      </c>
      <c r="P79" s="328" t="inlineStr">
        <is>
          <t>LOADED / RELEASED</t>
        </is>
      </c>
    </row>
    <row r="80" ht="15.75" customHeight="1" s="584" thickBot="1">
      <c r="C80" s="327" t="inlineStr">
        <is>
          <t>HMSI</t>
        </is>
      </c>
      <c r="D80" s="328" t="inlineStr">
        <is>
          <t>BADVE</t>
        </is>
      </c>
      <c r="E80" s="328" t="inlineStr">
        <is>
          <t>ERW1</t>
        </is>
      </c>
      <c r="F80" s="328" t="inlineStr">
        <is>
          <t>FIN CUT</t>
        </is>
      </c>
      <c r="G80" s="328" t="inlineStr">
        <is>
          <t>ERW</t>
        </is>
      </c>
      <c r="H80" s="328" t="n">
        <v>57.15</v>
      </c>
      <c r="I80" s="328" t="n">
        <v>3</v>
      </c>
      <c r="J80" s="328" t="n">
        <v>5650</v>
      </c>
      <c r="K80" s="328" t="n">
        <v>5.65</v>
      </c>
      <c r="L80" s="328" t="n">
        <v>56</v>
      </c>
      <c r="M80" s="328" t="n">
        <v>3501105</v>
      </c>
      <c r="N80" s="329" t="n">
        <v>22.5</v>
      </c>
      <c r="O80" s="330" t="n">
        <v>9518845944</v>
      </c>
      <c r="P80" s="328" t="inlineStr">
        <is>
          <t>LOADED / RELEASED</t>
        </is>
      </c>
      <c r="AD80" t="n">
        <v>6190</v>
      </c>
    </row>
    <row r="81" ht="15.75" customHeight="1" s="584" thickBot="1">
      <c r="C81" s="333" t="inlineStr">
        <is>
          <t>TVS</t>
        </is>
      </c>
      <c r="D81" s="334" t="inlineStr">
        <is>
          <t>RUCHA</t>
        </is>
      </c>
      <c r="E81" s="334" t="inlineStr">
        <is>
          <t>ERW1</t>
        </is>
      </c>
      <c r="F81" s="334" t="inlineStr">
        <is>
          <t>NON FIN</t>
        </is>
      </c>
      <c r="G81" s="334" t="inlineStr">
        <is>
          <t>ERW</t>
        </is>
      </c>
      <c r="H81" s="334" t="n">
        <v>19.05</v>
      </c>
      <c r="I81" s="334" t="n">
        <v>2</v>
      </c>
      <c r="J81" s="334" t="n">
        <v>5800</v>
      </c>
      <c r="K81" s="334" t="n">
        <v>5.8</v>
      </c>
      <c r="L81" s="334" t="n">
        <v>56</v>
      </c>
      <c r="M81" s="335" t="n"/>
      <c r="N81" s="336" t="n">
        <v>52.5</v>
      </c>
      <c r="O81" s="590" t="n"/>
      <c r="P81" s="338" t="inlineStr">
        <is>
          <t>MCR # - 42321</t>
        </is>
      </c>
      <c r="AD81" t="n">
        <v>878</v>
      </c>
    </row>
    <row r="82" ht="15.75" customHeight="1" s="584" thickBot="1">
      <c r="C82" s="333" t="inlineStr">
        <is>
          <t>TVS</t>
        </is>
      </c>
      <c r="D82" s="334" t="inlineStr">
        <is>
          <t>RUCHA,METALMAN</t>
        </is>
      </c>
      <c r="E82" s="334" t="inlineStr">
        <is>
          <t>ERW1</t>
        </is>
      </c>
      <c r="F82" s="334" t="inlineStr">
        <is>
          <t>NON FIN</t>
        </is>
      </c>
      <c r="G82" s="334" t="inlineStr">
        <is>
          <t>ERW</t>
        </is>
      </c>
      <c r="H82" s="334" t="n">
        <v>19.05</v>
      </c>
      <c r="I82" s="334" t="n">
        <v>2.3</v>
      </c>
      <c r="J82" s="334" t="n">
        <v>7000</v>
      </c>
      <c r="K82" s="334" t="n">
        <v>7</v>
      </c>
      <c r="L82" s="334" t="n">
        <v>56</v>
      </c>
      <c r="M82" s="339" t="n">
        <v>3500582</v>
      </c>
      <c r="N82" s="329" t="n">
        <v>7</v>
      </c>
      <c r="O82" s="340" t="n">
        <v>9518845919</v>
      </c>
      <c r="P82" s="332" t="inlineStr">
        <is>
          <t>LOADED / RELEASED</t>
        </is>
      </c>
      <c r="AD82">
        <f>AD81+3</f>
        <v/>
      </c>
    </row>
    <row r="83" ht="15.75" customHeight="1" s="584" thickBot="1">
      <c r="C83" s="333" t="inlineStr">
        <is>
          <t>TVS</t>
        </is>
      </c>
      <c r="D83" s="334" t="inlineStr">
        <is>
          <t>RUCHA</t>
        </is>
      </c>
      <c r="E83" s="334" t="inlineStr">
        <is>
          <t>ERW1</t>
        </is>
      </c>
      <c r="F83" s="334" t="inlineStr">
        <is>
          <t>NON FIN</t>
        </is>
      </c>
      <c r="G83" s="334" t="inlineStr">
        <is>
          <t>ERW</t>
        </is>
      </c>
      <c r="H83" s="334" t="n">
        <v>22.2</v>
      </c>
      <c r="I83" s="334" t="n">
        <v>1.2</v>
      </c>
      <c r="J83" s="334" t="n">
        <v>5870</v>
      </c>
      <c r="K83" s="334" t="n">
        <v>5.87</v>
      </c>
      <c r="L83" s="334" t="n">
        <v>56</v>
      </c>
      <c r="M83" s="334" t="n">
        <v>3882110</v>
      </c>
      <c r="N83" s="329" t="n">
        <v>6</v>
      </c>
      <c r="O83" s="330" t="n">
        <v>9518845919</v>
      </c>
      <c r="P83" s="328" t="inlineStr">
        <is>
          <t>LOADED / RELEASED</t>
        </is>
      </c>
      <c r="AD83">
        <f>AD80/AD82</f>
        <v/>
      </c>
    </row>
    <row r="84" ht="15.75" customHeight="1" s="584" thickBot="1">
      <c r="C84" s="333" t="inlineStr">
        <is>
          <t>TVS</t>
        </is>
      </c>
      <c r="D84" s="334" t="inlineStr">
        <is>
          <t>RUCHA</t>
        </is>
      </c>
      <c r="E84" s="334" t="inlineStr">
        <is>
          <t>ERW1</t>
        </is>
      </c>
      <c r="F84" s="334" t="inlineStr">
        <is>
          <t>NON FIN</t>
        </is>
      </c>
      <c r="G84" s="334" t="inlineStr">
        <is>
          <t>ERW</t>
        </is>
      </c>
      <c r="H84" s="334" t="n">
        <v>22.2</v>
      </c>
      <c r="I84" s="334" t="n">
        <v>1.6</v>
      </c>
      <c r="J84" s="334" t="n">
        <v>5670</v>
      </c>
      <c r="K84" s="334" t="n">
        <v>5.67</v>
      </c>
      <c r="L84" s="334" t="n">
        <v>56</v>
      </c>
      <c r="M84" s="328" t="n">
        <v>3954021</v>
      </c>
      <c r="N84" s="329" t="n">
        <v>60</v>
      </c>
      <c r="O84" s="330" t="n">
        <v>9518845919</v>
      </c>
      <c r="P84" s="328" t="inlineStr">
        <is>
          <t>LOADED / RELEASED</t>
        </is>
      </c>
      <c r="AD84">
        <f>6*AD82</f>
        <v/>
      </c>
    </row>
    <row r="85" ht="15.75" customHeight="1" s="584" thickBot="1">
      <c r="C85" s="333" t="inlineStr">
        <is>
          <t>TVS</t>
        </is>
      </c>
      <c r="D85" s="334" t="inlineStr">
        <is>
          <t>RUCHA</t>
        </is>
      </c>
      <c r="E85" s="334" t="inlineStr">
        <is>
          <t>ERW1</t>
        </is>
      </c>
      <c r="F85" s="334" t="inlineStr">
        <is>
          <t>NON FIN</t>
        </is>
      </c>
      <c r="G85" s="334" t="inlineStr">
        <is>
          <t>ERW</t>
        </is>
      </c>
      <c r="H85" s="334" t="n">
        <v>22.2</v>
      </c>
      <c r="I85" s="334" t="n">
        <v>2</v>
      </c>
      <c r="J85" s="334" t="n">
        <v>5950</v>
      </c>
      <c r="K85" s="334" t="n">
        <v>5.95</v>
      </c>
      <c r="L85" s="334" t="n">
        <v>56</v>
      </c>
      <c r="M85" s="334" t="n">
        <v>3905466</v>
      </c>
      <c r="N85" s="329" t="n">
        <v>39</v>
      </c>
      <c r="O85" s="330" t="n">
        <v>9518845919</v>
      </c>
      <c r="P85" s="328" t="inlineStr">
        <is>
          <t>LOADED / RELEASED</t>
        </is>
      </c>
    </row>
    <row r="86" ht="15.75" customHeight="1" s="584" thickBot="1">
      <c r="C86" s="333" t="inlineStr">
        <is>
          <t>TVS</t>
        </is>
      </c>
      <c r="D86" s="334" t="inlineStr">
        <is>
          <t>RUCHA</t>
        </is>
      </c>
      <c r="E86" s="334" t="inlineStr">
        <is>
          <t>ERW1</t>
        </is>
      </c>
      <c r="F86" s="334" t="inlineStr">
        <is>
          <t>NON FIN</t>
        </is>
      </c>
      <c r="G86" s="334" t="inlineStr">
        <is>
          <t>ERW</t>
        </is>
      </c>
      <c r="H86" s="334" t="n">
        <v>22.2</v>
      </c>
      <c r="I86" s="334" t="n">
        <v>2</v>
      </c>
      <c r="J86" s="334" t="n">
        <v>5100</v>
      </c>
      <c r="K86" s="334" t="n">
        <v>5.1</v>
      </c>
      <c r="L86" s="334" t="n">
        <v>56</v>
      </c>
      <c r="M86" s="334" t="n">
        <v>3500554</v>
      </c>
      <c r="N86" s="329" t="n">
        <v>30</v>
      </c>
      <c r="O86" s="330" t="n">
        <v>9518845919</v>
      </c>
      <c r="P86" s="328" t="inlineStr">
        <is>
          <t>LOADED / RELEASED</t>
        </is>
      </c>
    </row>
    <row r="87" ht="15.75" customHeight="1" s="584" thickBot="1">
      <c r="C87" s="333" t="inlineStr">
        <is>
          <t>TVS</t>
        </is>
      </c>
      <c r="D87" s="334" t="inlineStr">
        <is>
          <t>RUCHA</t>
        </is>
      </c>
      <c r="E87" s="334" t="inlineStr">
        <is>
          <t>ERW2</t>
        </is>
      </c>
      <c r="F87" s="334" t="inlineStr">
        <is>
          <t>FIN CUT</t>
        </is>
      </c>
      <c r="G87" s="334" t="inlineStr">
        <is>
          <t>HST</t>
        </is>
      </c>
      <c r="H87" s="334" t="n">
        <v>22.2</v>
      </c>
      <c r="I87" s="334" t="n">
        <v>2</v>
      </c>
      <c r="J87" s="334" t="n">
        <v>6000</v>
      </c>
      <c r="K87" s="334" t="n">
        <v>6000</v>
      </c>
      <c r="L87" s="334" t="n">
        <v>56</v>
      </c>
      <c r="M87" s="334" t="n">
        <v>3502494</v>
      </c>
      <c r="N87" s="329" t="n">
        <v>25</v>
      </c>
      <c r="O87" s="330" t="n">
        <v>9518845919</v>
      </c>
      <c r="P87" s="328" t="inlineStr">
        <is>
          <t>LOADED / RELEASED</t>
        </is>
      </c>
    </row>
    <row r="88" ht="15.75" customHeight="1" s="584" thickBot="1">
      <c r="C88" s="333" t="inlineStr">
        <is>
          <t>TVS</t>
        </is>
      </c>
      <c r="D88" s="334" t="inlineStr">
        <is>
          <t>RUCHA</t>
        </is>
      </c>
      <c r="E88" s="334" t="inlineStr">
        <is>
          <t>ERW1</t>
        </is>
      </c>
      <c r="F88" s="334" t="inlineStr">
        <is>
          <t>NON FIN</t>
        </is>
      </c>
      <c r="G88" s="334" t="inlineStr">
        <is>
          <t>ERW</t>
        </is>
      </c>
      <c r="H88" s="334" t="n">
        <v>25.4</v>
      </c>
      <c r="I88" s="334" t="n">
        <v>1.6</v>
      </c>
      <c r="J88" s="334" t="n">
        <v>6000</v>
      </c>
      <c r="K88" s="334" t="n">
        <v>6</v>
      </c>
      <c r="L88" s="334" t="n">
        <v>56</v>
      </c>
      <c r="M88" s="334" t="n">
        <v>3500097</v>
      </c>
      <c r="N88" s="329" t="n">
        <v>5.5</v>
      </c>
      <c r="O88" s="330" t="n">
        <v>9518845919</v>
      </c>
      <c r="P88" s="328" t="inlineStr">
        <is>
          <t>LOADED / RELEASED</t>
        </is>
      </c>
    </row>
    <row r="89" ht="15.75" customHeight="1" s="584" thickBot="1">
      <c r="C89" s="333" t="inlineStr">
        <is>
          <t>TVS</t>
        </is>
      </c>
      <c r="D89" s="334" t="inlineStr">
        <is>
          <t>RUCHA</t>
        </is>
      </c>
      <c r="E89" s="334" t="inlineStr">
        <is>
          <t>ERW1</t>
        </is>
      </c>
      <c r="F89" s="334" t="inlineStr">
        <is>
          <t>NON FIN</t>
        </is>
      </c>
      <c r="G89" s="334" t="inlineStr">
        <is>
          <t>ERW</t>
        </is>
      </c>
      <c r="H89" s="334" t="n">
        <v>25.4</v>
      </c>
      <c r="I89" s="334" t="n">
        <v>2.5</v>
      </c>
      <c r="J89" s="334" t="n">
        <v>5530</v>
      </c>
      <c r="K89" s="334" t="n">
        <v>5.53</v>
      </c>
      <c r="L89" s="334" t="n">
        <v>56</v>
      </c>
      <c r="M89" s="334" t="n">
        <v>3502256</v>
      </c>
      <c r="N89" s="329" t="n">
        <v>11</v>
      </c>
      <c r="O89" s="330" t="n">
        <v>9518845919</v>
      </c>
      <c r="P89" s="328" t="inlineStr">
        <is>
          <t>LOADED / RELEASED</t>
        </is>
      </c>
    </row>
    <row r="90" ht="15.75" customHeight="1" s="584" thickBot="1">
      <c r="C90" s="333" t="inlineStr">
        <is>
          <t>TVS</t>
        </is>
      </c>
      <c r="D90" s="334" t="inlineStr">
        <is>
          <t>RUCHA,METALMAN</t>
        </is>
      </c>
      <c r="E90" s="334" t="inlineStr">
        <is>
          <t>ERW370</t>
        </is>
      </c>
      <c r="F90" s="334" t="inlineStr">
        <is>
          <t>FIN CUT</t>
        </is>
      </c>
      <c r="G90" s="334" t="inlineStr">
        <is>
          <t>HST</t>
        </is>
      </c>
      <c r="H90" s="334" t="n">
        <v>38.1</v>
      </c>
      <c r="I90" s="334" t="n">
        <v>1.6</v>
      </c>
      <c r="J90" s="334" t="n">
        <v>6190</v>
      </c>
      <c r="K90" s="334" t="n">
        <v>6.19</v>
      </c>
      <c r="L90" s="334" t="n">
        <v>56</v>
      </c>
      <c r="M90" s="334" t="n">
        <v>3502254</v>
      </c>
      <c r="N90" s="329" t="n">
        <v>37</v>
      </c>
      <c r="O90" s="330" t="n">
        <v>9518845919</v>
      </c>
      <c r="P90" s="328" t="inlineStr">
        <is>
          <t>LOADED / RELEASED</t>
        </is>
      </c>
    </row>
    <row r="91" ht="15.75" customHeight="1" s="584" thickBot="1">
      <c r="C91" s="333" t="inlineStr">
        <is>
          <t>TVS</t>
        </is>
      </c>
      <c r="D91" s="334" t="inlineStr">
        <is>
          <t>RUCHA,METALMAN</t>
        </is>
      </c>
      <c r="E91" s="334" t="inlineStr">
        <is>
          <t>ERW2</t>
        </is>
      </c>
      <c r="F91" s="334" t="inlineStr">
        <is>
          <t>FIN CUT</t>
        </is>
      </c>
      <c r="G91" s="334" t="inlineStr">
        <is>
          <t>HST</t>
        </is>
      </c>
      <c r="H91" s="334" t="n">
        <v>38.1</v>
      </c>
      <c r="I91" s="334" t="n">
        <v>2.5</v>
      </c>
      <c r="J91" s="334" t="n">
        <v>6190</v>
      </c>
      <c r="K91" s="334" t="n">
        <v>6.19</v>
      </c>
      <c r="L91" s="334" t="n">
        <v>56</v>
      </c>
      <c r="M91" s="334" t="n">
        <v>3502007</v>
      </c>
      <c r="N91" s="329" t="n">
        <v>58</v>
      </c>
      <c r="O91" s="330" t="n">
        <v>9518845919</v>
      </c>
      <c r="P91" s="328" t="inlineStr">
        <is>
          <t>LOADED / RELEASED</t>
        </is>
      </c>
    </row>
    <row r="92" ht="15.75" customHeight="1" s="584" thickBot="1">
      <c r="C92" s="333" t="inlineStr">
        <is>
          <t>TVS</t>
        </is>
      </c>
      <c r="D92" s="334" t="inlineStr">
        <is>
          <t>RUCHA,METALMAN</t>
        </is>
      </c>
      <c r="E92" s="334" t="inlineStr">
        <is>
          <t>ERW1</t>
        </is>
      </c>
      <c r="F92" s="334" t="inlineStr">
        <is>
          <t>FIN CUT</t>
        </is>
      </c>
      <c r="G92" s="334" t="inlineStr">
        <is>
          <t>ERW</t>
        </is>
      </c>
      <c r="H92" s="334" t="n">
        <v>57.15</v>
      </c>
      <c r="I92" s="334" t="n">
        <v>2.5</v>
      </c>
      <c r="J92" s="334" t="n">
        <v>5710</v>
      </c>
      <c r="K92" s="334" t="n">
        <v>5.71</v>
      </c>
      <c r="L92" s="334" t="n">
        <v>56</v>
      </c>
      <c r="M92" s="334" t="n">
        <v>3907863</v>
      </c>
      <c r="N92" s="329" t="n">
        <v>30</v>
      </c>
      <c r="O92" s="330" t="n">
        <v>9518845919</v>
      </c>
      <c r="P92" s="328" t="inlineStr">
        <is>
          <t>LOADED / RELEASED</t>
        </is>
      </c>
    </row>
    <row r="93" ht="15.75" customHeight="1" s="584" thickBot="1">
      <c r="C93" s="333" t="inlineStr">
        <is>
          <t>TVS</t>
        </is>
      </c>
      <c r="D93" s="334" t="inlineStr">
        <is>
          <t>RUCHA,METALMAN</t>
        </is>
      </c>
      <c r="E93" s="334" t="inlineStr">
        <is>
          <t>ERW1</t>
        </is>
      </c>
      <c r="F93" s="334" t="inlineStr">
        <is>
          <t>FIN CUT</t>
        </is>
      </c>
      <c r="G93" s="334" t="inlineStr">
        <is>
          <t>ERW</t>
        </is>
      </c>
      <c r="H93" s="334" t="n">
        <v>57.15</v>
      </c>
      <c r="I93" s="334" t="n">
        <v>2.5</v>
      </c>
      <c r="J93" s="334" t="n">
        <v>5950</v>
      </c>
      <c r="K93" s="334" t="n"/>
      <c r="L93" s="334" t="n">
        <v>56</v>
      </c>
      <c r="M93" s="341" t="n">
        <v>4045220</v>
      </c>
      <c r="N93" s="329" t="n">
        <v>25</v>
      </c>
      <c r="O93" s="330" t="n">
        <v>9518845919</v>
      </c>
      <c r="P93" s="328" t="inlineStr">
        <is>
          <t>LOADED / RELEASED</t>
        </is>
      </c>
    </row>
    <row r="94" ht="15.75" customHeight="1" s="584" thickBot="1">
      <c r="C94" s="342" t="inlineStr">
        <is>
          <t>TVS</t>
        </is>
      </c>
      <c r="D94" s="343" t="inlineStr">
        <is>
          <t>RUCHA,METALMAN</t>
        </is>
      </c>
      <c r="E94" s="343" t="inlineStr">
        <is>
          <t>ERW1</t>
        </is>
      </c>
      <c r="F94" s="343" t="inlineStr">
        <is>
          <t>FIN CUT</t>
        </is>
      </c>
      <c r="G94" s="343" t="inlineStr">
        <is>
          <t>ERW</t>
        </is>
      </c>
      <c r="H94" s="343" t="n">
        <v>57.15</v>
      </c>
      <c r="I94" s="343" t="n">
        <v>2.5</v>
      </c>
      <c r="J94" s="343" t="n">
        <v>5750</v>
      </c>
      <c r="K94" s="343" t="n">
        <v>5.75</v>
      </c>
      <c r="L94" s="343" t="n">
        <v>56</v>
      </c>
      <c r="M94" s="343" t="n">
        <v>3501047</v>
      </c>
      <c r="N94" s="344" t="n">
        <v>81</v>
      </c>
      <c r="O94" s="330" t="n">
        <v>9518845919</v>
      </c>
      <c r="P94" s="328" t="inlineStr">
        <is>
          <t>LOADED / RELEASED</t>
        </is>
      </c>
    </row>
    <row r="95" ht="15.75" customHeight="1" s="584" thickBot="1">
      <c r="C95" s="590" t="n"/>
      <c r="D95" s="590" t="n"/>
      <c r="E95" s="590" t="n"/>
      <c r="F95" s="590" t="n"/>
      <c r="G95" s="590" t="n"/>
      <c r="H95" s="590" t="n"/>
      <c r="I95" s="590" t="n"/>
      <c r="J95" s="345" t="inlineStr">
        <is>
          <t>TOTAL</t>
        </is>
      </c>
      <c r="K95" s="346" t="n"/>
      <c r="L95" s="346" t="n"/>
      <c r="M95" s="346" t="n"/>
      <c r="N95" s="346" t="n">
        <v>586</v>
      </c>
      <c r="O95" s="590" t="n"/>
      <c r="P95" s="590" t="n"/>
    </row>
    <row r="96">
      <c r="C96" s="593" t="n"/>
      <c r="D96" s="590" t="n"/>
      <c r="E96" s="590" t="n"/>
      <c r="F96" s="590" t="n"/>
      <c r="G96" s="590" t="n"/>
      <c r="H96" s="590" t="n"/>
      <c r="I96" s="590" t="n"/>
      <c r="J96" s="592" t="n"/>
      <c r="K96" s="592" t="n"/>
      <c r="L96" s="592" t="n"/>
      <c r="M96" s="592" t="n"/>
      <c r="N96" s="592" t="n"/>
      <c r="O96" s="590" t="n"/>
      <c r="P96" s="591" t="n"/>
    </row>
    <row r="97"/>
    <row r="98"/>
    <row r="99" ht="15.75" customHeight="1" s="584">
      <c r="C99" s="348" t="inlineStr">
        <is>
          <t xml:space="preserve">0789 – </t>
        </is>
      </c>
      <c r="D99" s="590" t="n"/>
      <c r="E99" s="590" t="n"/>
      <c r="F99" s="590" t="n"/>
      <c r="G99" s="590" t="n"/>
      <c r="H99" s="590" t="n"/>
      <c r="I99" s="590" t="n"/>
      <c r="J99" s="590" t="n"/>
      <c r="K99" s="590" t="n"/>
      <c r="L99" s="590" t="n"/>
      <c r="M99" s="590" t="n"/>
      <c r="N99" s="590" t="n"/>
      <c r="O99" s="590" t="n"/>
      <c r="P99" s="590" t="n"/>
    </row>
    <row r="100" ht="15.75" customHeight="1" s="584" thickBot="1">
      <c r="C100" s="593" t="n"/>
      <c r="D100" s="590" t="n"/>
      <c r="E100" s="590" t="n"/>
      <c r="F100" s="590" t="n"/>
      <c r="G100" s="590" t="n"/>
      <c r="H100" s="590" t="n"/>
      <c r="I100" s="590" t="n"/>
      <c r="J100" s="590" t="n"/>
      <c r="K100" s="590" t="n"/>
      <c r="L100" s="590" t="n"/>
      <c r="M100" s="590" t="n"/>
      <c r="N100" s="590" t="n"/>
      <c r="O100" s="590" t="n"/>
      <c r="P100" s="590" t="n"/>
    </row>
    <row r="101" ht="39" customHeight="1" s="584" thickBot="1">
      <c r="C101" s="320" t="inlineStr">
        <is>
          <t>OEM</t>
        </is>
      </c>
      <c r="D101" s="321" t="inlineStr">
        <is>
          <t>Customer</t>
        </is>
      </c>
      <c r="E101" s="322" t="inlineStr">
        <is>
          <t xml:space="preserve">Metallurgy condition </t>
        </is>
      </c>
      <c r="F101" s="322" t="inlineStr">
        <is>
          <t>Material Type</t>
        </is>
      </c>
      <c r="G101" s="321" t="inlineStr">
        <is>
          <t>GRADE</t>
        </is>
      </c>
      <c r="H101" s="321" t="inlineStr">
        <is>
          <t>OD</t>
        </is>
      </c>
      <c r="I101" s="321" t="inlineStr">
        <is>
          <t>THK</t>
        </is>
      </c>
      <c r="J101" s="321" t="inlineStr">
        <is>
          <t>LENGTH</t>
        </is>
      </c>
      <c r="K101" s="322" t="inlineStr">
        <is>
          <t>Length in Mtrs</t>
        </is>
      </c>
      <c r="L101" s="321" t="inlineStr">
        <is>
          <t>plant</t>
        </is>
      </c>
      <c r="M101" s="323" t="inlineStr">
        <is>
          <t>TSL Material Code</t>
        </is>
      </c>
      <c r="N101" s="349" t="inlineStr">
        <is>
          <t>INDENT  FOR jun-25 recommended</t>
        </is>
      </c>
      <c r="O101" s="326" t="inlineStr">
        <is>
          <t>S.O.</t>
        </is>
      </c>
      <c r="P101" s="326" t="inlineStr">
        <is>
          <t>STATUS</t>
        </is>
      </c>
    </row>
    <row r="102" ht="15.75" customHeight="1" s="584" thickBot="1">
      <c r="C102" s="327" t="inlineStr">
        <is>
          <t>HMSI</t>
        </is>
      </c>
      <c r="D102" s="328" t="inlineStr">
        <is>
          <t>BADVE</t>
        </is>
      </c>
      <c r="E102" s="328" t="inlineStr">
        <is>
          <t>ERW1</t>
        </is>
      </c>
      <c r="F102" s="328" t="inlineStr">
        <is>
          <t>NON FIN</t>
        </is>
      </c>
      <c r="G102" s="328" t="inlineStr">
        <is>
          <t>ERW</t>
        </is>
      </c>
      <c r="H102" s="328" t="n">
        <v>15.88</v>
      </c>
      <c r="I102" s="328" t="n">
        <v>2</v>
      </c>
      <c r="J102" s="328" t="n">
        <v>6000</v>
      </c>
      <c r="K102" s="328" t="n">
        <v>6</v>
      </c>
      <c r="L102" s="328" t="n">
        <v>789</v>
      </c>
      <c r="M102" s="328" t="n">
        <v>1940120</v>
      </c>
      <c r="N102" s="329" t="n">
        <v>7.5</v>
      </c>
      <c r="O102" s="330" t="n">
        <v>9518845985</v>
      </c>
      <c r="P102" s="328" t="inlineStr">
        <is>
          <t>LOADED / RELEASED</t>
        </is>
      </c>
    </row>
    <row r="103" ht="15.75" customHeight="1" s="584" thickBot="1">
      <c r="C103" s="327" t="inlineStr">
        <is>
          <t>HMSI</t>
        </is>
      </c>
      <c r="D103" s="328" t="inlineStr">
        <is>
          <t>BADVE</t>
        </is>
      </c>
      <c r="E103" s="328" t="inlineStr">
        <is>
          <t>CR ERW 1</t>
        </is>
      </c>
      <c r="F103" s="328" t="inlineStr">
        <is>
          <t>FIN CUT</t>
        </is>
      </c>
      <c r="G103" s="328" t="inlineStr">
        <is>
          <t xml:space="preserve">CR ERW </t>
        </is>
      </c>
      <c r="H103" s="328" t="n">
        <v>22.2</v>
      </c>
      <c r="I103" s="328" t="n">
        <v>2</v>
      </c>
      <c r="J103" s="328" t="n">
        <v>5390</v>
      </c>
      <c r="K103" s="328" t="n">
        <v>5.39</v>
      </c>
      <c r="L103" s="328" t="n">
        <v>789</v>
      </c>
      <c r="M103" s="328" t="n">
        <v>2431251</v>
      </c>
      <c r="N103" s="329" t="n">
        <v>51</v>
      </c>
      <c r="O103" s="330" t="n">
        <v>9518845985</v>
      </c>
      <c r="P103" s="328" t="inlineStr">
        <is>
          <t>LOADED / RELEASED</t>
        </is>
      </c>
    </row>
    <row r="104" ht="15.75" customHeight="1" s="584" thickBot="1">
      <c r="C104" s="327" t="inlineStr">
        <is>
          <t>HMSI</t>
        </is>
      </c>
      <c r="D104" s="328" t="inlineStr">
        <is>
          <t>BADVE</t>
        </is>
      </c>
      <c r="E104" s="328" t="inlineStr">
        <is>
          <t>ERW2</t>
        </is>
      </c>
      <c r="F104" s="328" t="inlineStr">
        <is>
          <t>FIN CUT</t>
        </is>
      </c>
      <c r="G104" s="328" t="inlineStr">
        <is>
          <t>HST</t>
        </is>
      </c>
      <c r="H104" s="328" t="n">
        <v>45</v>
      </c>
      <c r="I104" s="328" t="n">
        <v>1.4</v>
      </c>
      <c r="J104" s="328" t="n">
        <v>6400</v>
      </c>
      <c r="K104" s="328" t="n">
        <v>6.42</v>
      </c>
      <c r="L104" s="328" t="n">
        <v>789</v>
      </c>
      <c r="M104" s="328" t="n">
        <v>3502343</v>
      </c>
      <c r="N104" s="329" t="n">
        <v>15</v>
      </c>
      <c r="O104" s="330" t="n">
        <v>9518845985</v>
      </c>
      <c r="P104" s="328" t="inlineStr">
        <is>
          <t>LOADED / RELEASED</t>
        </is>
      </c>
    </row>
    <row r="105" ht="15.75" customHeight="1" s="584" thickBot="1">
      <c r="C105" s="327" t="inlineStr">
        <is>
          <t>HMSI</t>
        </is>
      </c>
      <c r="D105" s="328" t="inlineStr">
        <is>
          <t>BADVE</t>
        </is>
      </c>
      <c r="E105" s="328" t="inlineStr">
        <is>
          <t>ERW2</t>
        </is>
      </c>
      <c r="F105" s="328" t="inlineStr">
        <is>
          <t>FIN CUT</t>
        </is>
      </c>
      <c r="G105" s="328" t="inlineStr">
        <is>
          <t>HST</t>
        </is>
      </c>
      <c r="H105" s="328" t="n">
        <v>45</v>
      </c>
      <c r="I105" s="328" t="n">
        <v>1.6</v>
      </c>
      <c r="J105" s="328" t="n">
        <v>6400</v>
      </c>
      <c r="K105" s="328" t="n">
        <v>6.42</v>
      </c>
      <c r="L105" s="328" t="n">
        <v>789</v>
      </c>
      <c r="M105" s="328" t="n">
        <v>3502388</v>
      </c>
      <c r="N105" s="329" t="n">
        <v>15</v>
      </c>
      <c r="O105" s="330" t="n">
        <v>9518845985</v>
      </c>
      <c r="P105" s="328" t="inlineStr">
        <is>
          <t>LOADED / RELEASED</t>
        </is>
      </c>
    </row>
    <row r="106" ht="15.75" customHeight="1" s="584" thickBot="1">
      <c r="C106" s="327" t="inlineStr">
        <is>
          <t>HMSI</t>
        </is>
      </c>
      <c r="D106" s="328" t="inlineStr">
        <is>
          <t>BADVE</t>
        </is>
      </c>
      <c r="E106" s="328" t="inlineStr">
        <is>
          <t>ERW1</t>
        </is>
      </c>
      <c r="F106" s="328" t="inlineStr">
        <is>
          <t>FIN CUT</t>
        </is>
      </c>
      <c r="G106" s="328" t="inlineStr">
        <is>
          <t>ERW</t>
        </is>
      </c>
      <c r="H106" s="328" t="n">
        <v>48.6</v>
      </c>
      <c r="I106" s="328" t="n">
        <v>3.5</v>
      </c>
      <c r="J106" s="328" t="n">
        <v>6000</v>
      </c>
      <c r="K106" s="328" t="n">
        <v>6</v>
      </c>
      <c r="L106" s="328" t="n">
        <v>789</v>
      </c>
      <c r="M106" s="328" t="n">
        <v>3502422</v>
      </c>
      <c r="N106" s="329" t="n">
        <v>20</v>
      </c>
      <c r="O106" s="330" t="n">
        <v>9518845985</v>
      </c>
      <c r="P106" s="328" t="inlineStr">
        <is>
          <t>LOADED / RELEASED</t>
        </is>
      </c>
    </row>
    <row r="107" ht="15.75" customHeight="1" s="584" thickBot="1">
      <c r="C107" s="327" t="inlineStr">
        <is>
          <t>RE</t>
        </is>
      </c>
      <c r="D107" s="328" t="inlineStr">
        <is>
          <t>BELRISE</t>
        </is>
      </c>
      <c r="E107" s="328" t="inlineStr">
        <is>
          <t>ERW1</t>
        </is>
      </c>
      <c r="F107" s="328" t="inlineStr">
        <is>
          <t>FIN CUT</t>
        </is>
      </c>
      <c r="G107" s="328" t="inlineStr">
        <is>
          <t>ERW</t>
        </is>
      </c>
      <c r="H107" s="328" t="n">
        <v>34.93</v>
      </c>
      <c r="I107" s="328" t="n">
        <v>1.2</v>
      </c>
      <c r="J107" s="328" t="n">
        <v>620</v>
      </c>
      <c r="K107" s="328" t="n">
        <v>0.62</v>
      </c>
      <c r="L107" s="328" t="n">
        <v>789</v>
      </c>
      <c r="M107" s="328" t="n">
        <v>2397073</v>
      </c>
      <c r="N107" s="329" t="n">
        <v>15</v>
      </c>
      <c r="O107" s="330" t="n">
        <v>9518846005</v>
      </c>
      <c r="P107" s="328" t="inlineStr">
        <is>
          <t>LOADED / RELEASED</t>
        </is>
      </c>
    </row>
    <row r="108" ht="15.75" customHeight="1" s="584" thickBot="1">
      <c r="C108" s="327" t="inlineStr">
        <is>
          <t>RE</t>
        </is>
      </c>
      <c r="D108" s="328" t="inlineStr">
        <is>
          <t>RAJSRIYA</t>
        </is>
      </c>
      <c r="E108" s="328" t="inlineStr">
        <is>
          <t>ERW1</t>
        </is>
      </c>
      <c r="F108" s="328" t="inlineStr">
        <is>
          <t>FIN CUT</t>
        </is>
      </c>
      <c r="G108" s="328" t="inlineStr">
        <is>
          <t>ERW</t>
        </is>
      </c>
      <c r="H108" s="328" t="n">
        <v>34.93</v>
      </c>
      <c r="I108" s="328" t="n">
        <v>1.2</v>
      </c>
      <c r="J108" s="328" t="n">
        <v>700</v>
      </c>
      <c r="K108" s="328" t="n">
        <v>0.7</v>
      </c>
      <c r="L108" s="328" t="n">
        <v>789</v>
      </c>
      <c r="M108" s="328" t="n">
        <v>3649699</v>
      </c>
      <c r="N108" s="329" t="n">
        <v>15</v>
      </c>
      <c r="O108" s="330" t="n">
        <v>9518846005</v>
      </c>
      <c r="P108" s="328" t="inlineStr">
        <is>
          <t>LOADED / RELEASED</t>
        </is>
      </c>
    </row>
    <row r="109" ht="15.75" customHeight="1" s="584" thickBot="1">
      <c r="C109" s="327" t="inlineStr">
        <is>
          <t>RE</t>
        </is>
      </c>
      <c r="D109" s="328" t="inlineStr">
        <is>
          <t>BELRISE</t>
        </is>
      </c>
      <c r="E109" s="328" t="inlineStr">
        <is>
          <t>ERW1</t>
        </is>
      </c>
      <c r="F109" s="328" t="inlineStr">
        <is>
          <t>FIN CUT</t>
        </is>
      </c>
      <c r="G109" s="328" t="inlineStr">
        <is>
          <t>ERW</t>
        </is>
      </c>
      <c r="H109" s="328" t="n">
        <v>48</v>
      </c>
      <c r="I109" s="328" t="n">
        <v>1.2</v>
      </c>
      <c r="J109" s="328" t="n">
        <v>620</v>
      </c>
      <c r="K109" s="328" t="n">
        <v>0.62</v>
      </c>
      <c r="L109" s="328" t="n">
        <v>789</v>
      </c>
      <c r="M109" s="328" t="n">
        <v>2397072</v>
      </c>
      <c r="N109" s="329" t="n">
        <v>15</v>
      </c>
      <c r="O109" s="330" t="n">
        <v>9518846005</v>
      </c>
      <c r="P109" s="328" t="inlineStr">
        <is>
          <t>LOADED / RELEASED</t>
        </is>
      </c>
    </row>
    <row r="110" ht="15.75" customHeight="1" s="584" thickBot="1">
      <c r="C110" s="327" t="inlineStr">
        <is>
          <t>RE</t>
        </is>
      </c>
      <c r="D110" s="328" t="inlineStr">
        <is>
          <t>RAJSRIYA</t>
        </is>
      </c>
      <c r="E110" s="328" t="inlineStr">
        <is>
          <t>ERW1</t>
        </is>
      </c>
      <c r="F110" s="328" t="inlineStr">
        <is>
          <t>FIN CUT</t>
        </is>
      </c>
      <c r="G110" s="328" t="inlineStr">
        <is>
          <t>ERW</t>
        </is>
      </c>
      <c r="H110" s="328" t="n">
        <v>48</v>
      </c>
      <c r="I110" s="328" t="n">
        <v>1.2</v>
      </c>
      <c r="J110" s="328" t="n">
        <v>700</v>
      </c>
      <c r="K110" s="328" t="n">
        <v>0.7</v>
      </c>
      <c r="L110" s="328" t="n">
        <v>789</v>
      </c>
      <c r="M110" s="328" t="n">
        <v>3649700</v>
      </c>
      <c r="N110" s="329" t="n">
        <v>21</v>
      </c>
      <c r="O110" s="330" t="n">
        <v>9518846005</v>
      </c>
      <c r="P110" s="328" t="inlineStr">
        <is>
          <t>LOADED / RELEASED</t>
        </is>
      </c>
    </row>
    <row r="111" ht="15.75" customHeight="1" s="584" thickBot="1">
      <c r="C111" s="327" t="inlineStr">
        <is>
          <t>RE</t>
        </is>
      </c>
      <c r="D111" s="328" t="inlineStr">
        <is>
          <t>KUNAL</t>
        </is>
      </c>
      <c r="E111" s="328" t="inlineStr">
        <is>
          <t>ERW1</t>
        </is>
      </c>
      <c r="F111" s="328" t="inlineStr">
        <is>
          <t>FIN CUT</t>
        </is>
      </c>
      <c r="G111" s="328" t="inlineStr">
        <is>
          <t>ERW</t>
        </is>
      </c>
      <c r="H111" s="328" t="inlineStr">
        <is>
          <t>59x30</t>
        </is>
      </c>
      <c r="I111" s="328" t="n">
        <v>1.6</v>
      </c>
      <c r="J111" s="328" t="n">
        <v>572.5</v>
      </c>
      <c r="K111" s="328" t="n">
        <v>0.5725</v>
      </c>
      <c r="L111" s="328" t="n">
        <v>789</v>
      </c>
      <c r="M111" s="328" t="n">
        <v>2420716</v>
      </c>
      <c r="N111" s="329" t="n">
        <v>45</v>
      </c>
      <c r="O111" s="330" t="n">
        <v>9518846005</v>
      </c>
      <c r="P111" s="328" t="inlineStr">
        <is>
          <t>LOADED / RELEASED</t>
        </is>
      </c>
    </row>
    <row r="112" ht="15.75" customHeight="1" s="584" thickBot="1">
      <c r="C112" s="327" t="inlineStr">
        <is>
          <t>TVS</t>
        </is>
      </c>
      <c r="D112" s="328" t="inlineStr">
        <is>
          <t>RUCHA</t>
        </is>
      </c>
      <c r="E112" s="328" t="inlineStr">
        <is>
          <t>ERW1</t>
        </is>
      </c>
      <c r="F112" s="328" t="inlineStr">
        <is>
          <t>NON FIN</t>
        </is>
      </c>
      <c r="G112" s="328" t="inlineStr">
        <is>
          <t>ERW</t>
        </is>
      </c>
      <c r="H112" s="328" t="n">
        <v>12.7</v>
      </c>
      <c r="I112" s="328" t="n">
        <v>1.2</v>
      </c>
      <c r="J112" s="328" t="n">
        <v>6000</v>
      </c>
      <c r="K112" s="328" t="n">
        <v>6</v>
      </c>
      <c r="L112" s="328" t="n">
        <v>789</v>
      </c>
      <c r="M112" s="328" t="n">
        <v>1939985</v>
      </c>
      <c r="N112" s="329" t="n">
        <v>7</v>
      </c>
      <c r="O112" s="330" t="n">
        <v>9518845970</v>
      </c>
      <c r="P112" s="328" t="inlineStr">
        <is>
          <t>LOADED / RELEASED</t>
        </is>
      </c>
    </row>
    <row r="113" ht="15.75" customHeight="1" s="584" thickBot="1">
      <c r="C113" s="327" t="inlineStr">
        <is>
          <t>TVS</t>
        </is>
      </c>
      <c r="D113" s="328" t="inlineStr">
        <is>
          <t>Rucha</t>
        </is>
      </c>
      <c r="E113" s="328" t="inlineStr">
        <is>
          <t>ERW1</t>
        </is>
      </c>
      <c r="F113" s="328" t="inlineStr">
        <is>
          <t>NON FIN</t>
        </is>
      </c>
      <c r="G113" s="328" t="inlineStr">
        <is>
          <t>ERW</t>
        </is>
      </c>
      <c r="H113" s="328" t="n">
        <v>18.3</v>
      </c>
      <c r="I113" s="328" t="n">
        <v>1</v>
      </c>
      <c r="J113" s="328" t="n">
        <v>6000</v>
      </c>
      <c r="K113" s="328" t="n">
        <v>6</v>
      </c>
      <c r="L113" s="328" t="n">
        <v>789</v>
      </c>
      <c r="M113" s="328" t="n">
        <v>2288945</v>
      </c>
      <c r="N113" s="329" t="n">
        <v>5</v>
      </c>
      <c r="O113" s="330" t="n">
        <v>9518845970</v>
      </c>
      <c r="P113" s="328" t="inlineStr">
        <is>
          <t>LOADED / RELEASED</t>
        </is>
      </c>
    </row>
    <row r="114" ht="15.75" customHeight="1" s="584" thickBot="1">
      <c r="C114" s="333" t="inlineStr">
        <is>
          <t>TVS</t>
        </is>
      </c>
      <c r="D114" s="334" t="inlineStr">
        <is>
          <t>RUCHA</t>
        </is>
      </c>
      <c r="E114" s="334" t="inlineStr">
        <is>
          <t>ERW1</t>
        </is>
      </c>
      <c r="F114" s="334" t="inlineStr">
        <is>
          <t>NON FIN</t>
        </is>
      </c>
      <c r="G114" s="334" t="inlineStr">
        <is>
          <t>ERW</t>
        </is>
      </c>
      <c r="H114" s="334" t="n">
        <v>22.2</v>
      </c>
      <c r="I114" s="334" t="n">
        <v>1.6</v>
      </c>
      <c r="J114" s="334" t="n">
        <v>5270</v>
      </c>
      <c r="K114" s="334" t="n">
        <v>5.27</v>
      </c>
      <c r="L114" s="334" t="n">
        <v>789</v>
      </c>
      <c r="M114" s="334" t="n">
        <v>3575894</v>
      </c>
      <c r="N114" s="329" t="n">
        <v>12.5</v>
      </c>
      <c r="O114" s="330" t="n">
        <v>9518845970</v>
      </c>
      <c r="P114" s="328" t="inlineStr">
        <is>
          <t>LOADED / RELEASED</t>
        </is>
      </c>
    </row>
    <row r="115" ht="15.75" customHeight="1" s="584" thickBot="1">
      <c r="C115" s="333" t="inlineStr">
        <is>
          <t>TVS</t>
        </is>
      </c>
      <c r="D115" s="334" t="inlineStr">
        <is>
          <t>RUCHA</t>
        </is>
      </c>
      <c r="E115" s="334" t="inlineStr">
        <is>
          <t>ERW1</t>
        </is>
      </c>
      <c r="F115" s="334" t="inlineStr">
        <is>
          <t>NON FIN</t>
        </is>
      </c>
      <c r="G115" s="334" t="inlineStr">
        <is>
          <t>ERW</t>
        </is>
      </c>
      <c r="H115" s="334" t="n">
        <v>25.4</v>
      </c>
      <c r="I115" s="334" t="n">
        <v>2</v>
      </c>
      <c r="J115" s="334" t="n">
        <v>6050</v>
      </c>
      <c r="K115" s="334" t="n">
        <v>6.05</v>
      </c>
      <c r="L115" s="334" t="n">
        <v>789</v>
      </c>
      <c r="M115" s="334" t="n">
        <v>4055021</v>
      </c>
      <c r="N115" s="329" t="n">
        <v>22.5</v>
      </c>
      <c r="O115" s="330" t="n">
        <v>9518845970</v>
      </c>
      <c r="P115" s="328" t="inlineStr">
        <is>
          <t>LOADED / RELEASED</t>
        </is>
      </c>
    </row>
    <row r="116" ht="15.75" customHeight="1" s="584" thickBot="1">
      <c r="C116" s="333" t="inlineStr">
        <is>
          <t>TVS</t>
        </is>
      </c>
      <c r="D116" s="334" t="inlineStr">
        <is>
          <t>RUCHA</t>
        </is>
      </c>
      <c r="E116" s="334" t="inlineStr">
        <is>
          <t>ERW1</t>
        </is>
      </c>
      <c r="F116" s="334" t="inlineStr">
        <is>
          <t>FIN CUT</t>
        </is>
      </c>
      <c r="G116" s="334" t="inlineStr">
        <is>
          <t>ERW</t>
        </is>
      </c>
      <c r="H116" s="334" t="n">
        <v>31.75</v>
      </c>
      <c r="I116" s="334" t="n">
        <v>2.3</v>
      </c>
      <c r="J116" s="334" t="n">
        <v>5920</v>
      </c>
      <c r="K116" s="334" t="n">
        <v>5.92</v>
      </c>
      <c r="L116" s="334" t="n">
        <v>789</v>
      </c>
      <c r="M116" s="334" t="inlineStr">
        <is>
          <t>MCR 42136</t>
        </is>
      </c>
      <c r="N116" s="329" t="n">
        <v>22.5</v>
      </c>
      <c r="O116" s="330" t="n"/>
      <c r="P116" s="350" t="inlineStr">
        <is>
          <t>MCR # - 42322</t>
        </is>
      </c>
    </row>
    <row r="117" ht="15.75" customHeight="1" s="584" thickBot="1">
      <c r="C117" s="333" t="inlineStr">
        <is>
          <t>TVS</t>
        </is>
      </c>
      <c r="D117" s="334" t="inlineStr">
        <is>
          <t>RUCHA,METALMAN</t>
        </is>
      </c>
      <c r="E117" s="334" t="inlineStr">
        <is>
          <t>ERW1</t>
        </is>
      </c>
      <c r="F117" s="334" t="inlineStr">
        <is>
          <t>FIN CUT</t>
        </is>
      </c>
      <c r="G117" s="334" t="inlineStr">
        <is>
          <t>ERW</t>
        </is>
      </c>
      <c r="H117" s="334" t="n">
        <v>38.1</v>
      </c>
      <c r="I117" s="334" t="n">
        <v>2</v>
      </c>
      <c r="J117" s="334" t="n">
        <v>5950</v>
      </c>
      <c r="K117" s="334" t="n">
        <v>5.95</v>
      </c>
      <c r="L117" s="334" t="n">
        <v>789</v>
      </c>
      <c r="M117" s="334" t="n">
        <v>3533165</v>
      </c>
      <c r="N117" s="329" t="n">
        <v>20</v>
      </c>
      <c r="O117" s="330" t="n">
        <v>9518845970</v>
      </c>
      <c r="P117" s="328" t="inlineStr">
        <is>
          <t>LOADED / RELEASED</t>
        </is>
      </c>
    </row>
    <row r="118" ht="15.75" customHeight="1" s="584" thickBot="1">
      <c r="C118" s="333" t="inlineStr">
        <is>
          <t>TVS</t>
        </is>
      </c>
      <c r="D118" s="334" t="inlineStr">
        <is>
          <t>RUCHA</t>
        </is>
      </c>
      <c r="E118" s="334" t="inlineStr">
        <is>
          <t>ERW1</t>
        </is>
      </c>
      <c r="F118" s="334" t="inlineStr">
        <is>
          <t>FIN CUT</t>
        </is>
      </c>
      <c r="G118" s="334" t="inlineStr">
        <is>
          <t>ERW</t>
        </is>
      </c>
      <c r="H118" s="334" t="n">
        <v>41.28</v>
      </c>
      <c r="I118" s="334" t="n">
        <v>2.6</v>
      </c>
      <c r="J118" s="334" t="n">
        <v>6000</v>
      </c>
      <c r="K118" s="334" t="n">
        <v>6</v>
      </c>
      <c r="L118" s="334" t="n">
        <v>789</v>
      </c>
      <c r="M118" s="334" t="n">
        <v>3974563</v>
      </c>
      <c r="N118" s="329" t="n">
        <v>57.5</v>
      </c>
      <c r="O118" s="330" t="n">
        <v>9518845970</v>
      </c>
      <c r="P118" s="328" t="inlineStr">
        <is>
          <t>LOADED / RELEASED</t>
        </is>
      </c>
    </row>
    <row r="119" ht="15.75" customHeight="1" s="584" thickBot="1">
      <c r="C119" s="327" t="inlineStr">
        <is>
          <t>TVS</t>
        </is>
      </c>
      <c r="D119" s="328" t="inlineStr">
        <is>
          <t>RUCHA</t>
        </is>
      </c>
      <c r="E119" s="328" t="inlineStr">
        <is>
          <t>ERW1</t>
        </is>
      </c>
      <c r="F119" s="328" t="inlineStr">
        <is>
          <t>FIN CUT</t>
        </is>
      </c>
      <c r="G119" s="328" t="inlineStr">
        <is>
          <t>ERW</t>
        </is>
      </c>
      <c r="H119" s="328" t="inlineStr">
        <is>
          <t>40x25</t>
        </is>
      </c>
      <c r="I119" s="328" t="n">
        <v>1.6</v>
      </c>
      <c r="J119" s="328" t="n">
        <v>6130</v>
      </c>
      <c r="K119" s="328" t="n">
        <v>6.13</v>
      </c>
      <c r="L119" s="328" t="n">
        <v>789</v>
      </c>
      <c r="M119" s="328" t="n">
        <v>3919144</v>
      </c>
      <c r="N119" s="329" t="n">
        <v>9</v>
      </c>
      <c r="O119" s="330" t="n">
        <v>9518845970</v>
      </c>
      <c r="P119" s="328" t="inlineStr">
        <is>
          <t>LOADED / RELEASED</t>
        </is>
      </c>
    </row>
    <row r="120" ht="15.75" customHeight="1" s="584" thickBot="1">
      <c r="C120" s="342" t="inlineStr">
        <is>
          <t>TVS</t>
        </is>
      </c>
      <c r="D120" s="343" t="inlineStr">
        <is>
          <t>RUCHA</t>
        </is>
      </c>
      <c r="E120" s="343" t="inlineStr">
        <is>
          <t>ERW1</t>
        </is>
      </c>
      <c r="F120" s="343" t="inlineStr">
        <is>
          <t>FIN CUT</t>
        </is>
      </c>
      <c r="G120" s="343" t="inlineStr">
        <is>
          <t>ERW</t>
        </is>
      </c>
      <c r="H120" s="343" t="inlineStr">
        <is>
          <t>59x30</t>
        </is>
      </c>
      <c r="I120" s="343" t="n">
        <v>1.6</v>
      </c>
      <c r="J120" s="343" t="n">
        <v>6000</v>
      </c>
      <c r="K120" s="343" t="n">
        <v>6</v>
      </c>
      <c r="L120" s="343" t="n">
        <v>789</v>
      </c>
      <c r="M120" s="343" t="n">
        <v>1940925</v>
      </c>
      <c r="N120" s="344" t="n">
        <v>7.5</v>
      </c>
      <c r="O120" s="330" t="n">
        <v>9518845970</v>
      </c>
      <c r="P120" s="328" t="inlineStr">
        <is>
          <t>LOADED / RELEASED</t>
        </is>
      </c>
    </row>
    <row r="121" ht="15.75" customHeight="1" s="584" thickBot="1">
      <c r="C121" s="590" t="n"/>
      <c r="D121" s="590" t="n"/>
      <c r="E121" s="590" t="n"/>
      <c r="F121" s="590" t="n"/>
      <c r="G121" s="590" t="n"/>
      <c r="H121" s="590" t="n"/>
      <c r="I121" s="590" t="n"/>
      <c r="J121" s="345" t="inlineStr">
        <is>
          <t>TOTAL</t>
        </is>
      </c>
      <c r="K121" s="346" t="n"/>
      <c r="L121" s="346" t="n"/>
      <c r="M121" s="346" t="n"/>
      <c r="N121" s="346" t="n">
        <v>383</v>
      </c>
      <c r="O121" s="590" t="n"/>
      <c r="P121" s="590" t="n"/>
    </row>
    <row r="126" ht="15.75" customHeight="1" s="584" thickBot="1"/>
    <row r="127" ht="51.75" customHeight="1" s="584" thickBot="1">
      <c r="C127" s="376" t="inlineStr">
        <is>
          <t>OEM</t>
        </is>
      </c>
      <c r="D127" s="377" t="n"/>
      <c r="E127" s="377" t="inlineStr">
        <is>
          <t>Customer</t>
        </is>
      </c>
      <c r="F127" s="378" t="inlineStr">
        <is>
          <t xml:space="preserve">Metallurgy condition </t>
        </is>
      </c>
      <c r="G127" s="378" t="inlineStr">
        <is>
          <t>Material Type</t>
        </is>
      </c>
      <c r="H127" s="377" t="inlineStr">
        <is>
          <t>GRADE</t>
        </is>
      </c>
      <c r="I127" s="377" t="inlineStr">
        <is>
          <t>OD</t>
        </is>
      </c>
      <c r="J127" s="377" t="inlineStr">
        <is>
          <t>THK</t>
        </is>
      </c>
      <c r="K127" s="377" t="inlineStr">
        <is>
          <t>LENGTH</t>
        </is>
      </c>
      <c r="L127" s="378" t="inlineStr">
        <is>
          <t>Length in Mtrs</t>
        </is>
      </c>
      <c r="M127" s="377" t="inlineStr">
        <is>
          <t>plant</t>
        </is>
      </c>
      <c r="N127" s="326" t="inlineStr">
        <is>
          <t>TSL Material Code</t>
        </is>
      </c>
      <c r="O127" s="379" t="inlineStr">
        <is>
          <t>Addl Order</t>
        </is>
      </c>
      <c r="P127" s="379" t="inlineStr">
        <is>
          <t>S.O.NO</t>
        </is>
      </c>
      <c r="Q127" s="379" t="inlineStr">
        <is>
          <t>STATUS</t>
        </is>
      </c>
    </row>
    <row r="128" ht="15.75" customHeight="1" s="584" thickBot="1">
      <c r="C128" s="330" t="inlineStr">
        <is>
          <t>HMSI</t>
        </is>
      </c>
      <c r="D128" s="328" t="n">
        <v>943210</v>
      </c>
      <c r="E128" s="328" t="inlineStr">
        <is>
          <t>BADVE</t>
        </is>
      </c>
      <c r="F128" s="328" t="inlineStr">
        <is>
          <t>ERW2</t>
        </is>
      </c>
      <c r="G128" s="328" t="inlineStr">
        <is>
          <t>FIN CUT</t>
        </is>
      </c>
      <c r="H128" s="328" t="inlineStr">
        <is>
          <t>HST</t>
        </is>
      </c>
      <c r="I128" s="328" t="n">
        <v>45</v>
      </c>
      <c r="J128" s="328" t="n">
        <v>1.4</v>
      </c>
      <c r="K128" s="328" t="n">
        <v>6400</v>
      </c>
      <c r="L128" s="328" t="n">
        <v>6.42</v>
      </c>
      <c r="M128" s="328" t="n">
        <v>789</v>
      </c>
      <c r="N128" s="328" t="n">
        <v>3502343</v>
      </c>
      <c r="O128" s="336" t="n">
        <v>15</v>
      </c>
      <c r="P128" s="346" t="n">
        <v>9518879720</v>
      </c>
      <c r="Q128" s="328" t="inlineStr">
        <is>
          <t>LOADED / RELEASED</t>
        </is>
      </c>
    </row>
    <row r="129" ht="15.75" customHeight="1" s="584" thickBot="1">
      <c r="C129" s="330" t="inlineStr">
        <is>
          <t>HMSI</t>
        </is>
      </c>
      <c r="D129" s="328" t="n">
        <v>943210</v>
      </c>
      <c r="E129" s="328" t="inlineStr">
        <is>
          <t>BADVE</t>
        </is>
      </c>
      <c r="F129" s="328" t="inlineStr">
        <is>
          <t>ERW2</t>
        </is>
      </c>
      <c r="G129" s="328" t="inlineStr">
        <is>
          <t>FIN CUT</t>
        </is>
      </c>
      <c r="H129" s="328" t="inlineStr">
        <is>
          <t>HST</t>
        </is>
      </c>
      <c r="I129" s="328" t="n">
        <v>45</v>
      </c>
      <c r="J129" s="328" t="n">
        <v>1.6</v>
      </c>
      <c r="K129" s="328" t="n">
        <v>6400</v>
      </c>
      <c r="L129" s="328" t="n">
        <v>6.42</v>
      </c>
      <c r="M129" s="328" t="n">
        <v>789</v>
      </c>
      <c r="N129" s="328" t="n">
        <v>3502388</v>
      </c>
      <c r="O129" s="336" t="n">
        <v>15</v>
      </c>
      <c r="P129" s="346" t="n">
        <v>9518879720</v>
      </c>
      <c r="Q129" s="328" t="inlineStr">
        <is>
          <t>LOADED / RELEASED</t>
        </is>
      </c>
    </row>
    <row r="130" ht="15.75" customHeight="1" s="584" thickBot="1">
      <c r="C130" s="330" t="inlineStr">
        <is>
          <t>TVS</t>
        </is>
      </c>
      <c r="D130" s="328" t="n">
        <v>943209</v>
      </c>
      <c r="E130" s="328" t="inlineStr">
        <is>
          <t>RUCHA</t>
        </is>
      </c>
      <c r="F130" s="328" t="inlineStr">
        <is>
          <t>ERW1</t>
        </is>
      </c>
      <c r="G130" s="328" t="inlineStr">
        <is>
          <t>NON FIN</t>
        </is>
      </c>
      <c r="H130" s="328" t="inlineStr">
        <is>
          <t>ERW</t>
        </is>
      </c>
      <c r="I130" s="328" t="n">
        <v>12.7</v>
      </c>
      <c r="J130" s="328" t="n">
        <v>1.2</v>
      </c>
      <c r="K130" s="328" t="n">
        <v>6000</v>
      </c>
      <c r="L130" s="328" t="n">
        <v>6</v>
      </c>
      <c r="M130" s="328" t="n">
        <v>789</v>
      </c>
      <c r="N130" s="328" t="n">
        <v>1939985</v>
      </c>
      <c r="O130" s="336" t="n">
        <v>10</v>
      </c>
      <c r="P130" s="346" t="n">
        <v>9518879708</v>
      </c>
      <c r="Q130" s="328" t="inlineStr">
        <is>
          <t>LOADED / RELEASED</t>
        </is>
      </c>
    </row>
    <row r="131" ht="15.75" customHeight="1" s="584" thickBot="1">
      <c r="C131" s="330" t="inlineStr">
        <is>
          <t>TVS</t>
        </is>
      </c>
      <c r="D131" s="328" t="n">
        <v>943209</v>
      </c>
      <c r="E131" s="328" t="inlineStr">
        <is>
          <t>Rucha</t>
        </is>
      </c>
      <c r="F131" s="328" t="inlineStr">
        <is>
          <t>ERW1</t>
        </is>
      </c>
      <c r="G131" s="328" t="inlineStr">
        <is>
          <t>NON FIN</t>
        </is>
      </c>
      <c r="H131" s="328" t="inlineStr">
        <is>
          <t>ERW</t>
        </is>
      </c>
      <c r="I131" s="328" t="n">
        <v>18.2</v>
      </c>
      <c r="J131" s="328" t="n">
        <v>1</v>
      </c>
      <c r="K131" s="328" t="n">
        <v>6000</v>
      </c>
      <c r="L131" s="328" t="n">
        <v>6</v>
      </c>
      <c r="M131" s="328" t="n">
        <v>789</v>
      </c>
      <c r="N131" s="328" t="n">
        <v>2288945</v>
      </c>
      <c r="O131" s="336" t="n">
        <v>10</v>
      </c>
      <c r="P131" s="346" t="n">
        <v>9518879708</v>
      </c>
      <c r="Q131" s="328" t="inlineStr">
        <is>
          <t>LOADED / RELEASED</t>
        </is>
      </c>
    </row>
    <row r="132" ht="15.75" customHeight="1" s="584" thickBot="1">
      <c r="C132" s="330" t="inlineStr">
        <is>
          <t>TVS</t>
        </is>
      </c>
      <c r="D132" s="328" t="n">
        <v>943209</v>
      </c>
      <c r="E132" s="328" t="n"/>
      <c r="F132" s="328" t="inlineStr">
        <is>
          <t>ERW1</t>
        </is>
      </c>
      <c r="G132" s="328" t="inlineStr">
        <is>
          <t>NON FIN</t>
        </is>
      </c>
      <c r="H132" s="328" t="inlineStr">
        <is>
          <t>ERW</t>
        </is>
      </c>
      <c r="I132" s="328" t="n">
        <v>21.4</v>
      </c>
      <c r="J132" s="328" t="n">
        <v>1.6</v>
      </c>
      <c r="K132" s="328" t="n">
        <v>6000</v>
      </c>
      <c r="L132" s="328" t="n"/>
      <c r="M132" s="328" t="n">
        <v>789</v>
      </c>
      <c r="N132" s="328" t="n">
        <v>3219710</v>
      </c>
      <c r="O132" s="336" t="n">
        <v>10</v>
      </c>
      <c r="P132" s="346" t="n">
        <v>9518879708</v>
      </c>
      <c r="Q132" s="328" t="inlineStr">
        <is>
          <t>LOADED / RELEASED</t>
        </is>
      </c>
    </row>
    <row r="133" ht="15.75" customHeight="1" s="584" thickBot="1">
      <c r="C133" s="380" t="inlineStr">
        <is>
          <t>TVS</t>
        </is>
      </c>
      <c r="D133" s="328" t="n">
        <v>943209</v>
      </c>
      <c r="E133" s="334" t="inlineStr">
        <is>
          <t>RUCHA</t>
        </is>
      </c>
      <c r="F133" s="334" t="inlineStr">
        <is>
          <t>ERW1</t>
        </is>
      </c>
      <c r="G133" s="334" t="inlineStr">
        <is>
          <t>FIN CUT</t>
        </is>
      </c>
      <c r="H133" s="334" t="inlineStr">
        <is>
          <t>ERW</t>
        </is>
      </c>
      <c r="I133" s="334" t="n">
        <v>31.75</v>
      </c>
      <c r="J133" s="334" t="n">
        <v>1.2</v>
      </c>
      <c r="K133" s="334" t="n">
        <v>6070</v>
      </c>
      <c r="L133" s="334" t="n">
        <v>5.92</v>
      </c>
      <c r="M133" s="334" t="n">
        <v>56</v>
      </c>
      <c r="N133" s="328" t="n">
        <v>3884381</v>
      </c>
      <c r="O133" s="350" t="n">
        <v>10</v>
      </c>
      <c r="P133" s="346" t="n">
        <v>9518879765</v>
      </c>
      <c r="Q133" s="328" t="inlineStr">
        <is>
          <t>LOADED / RELEASED</t>
        </is>
      </c>
    </row>
    <row r="134" ht="15.75" customHeight="1" s="584" thickBot="1">
      <c r="C134" s="380" t="inlineStr">
        <is>
          <t>TVS</t>
        </is>
      </c>
      <c r="D134" s="328" t="n">
        <v>943209</v>
      </c>
      <c r="E134" s="334" t="inlineStr">
        <is>
          <t>RUCHA,METALMAN</t>
        </is>
      </c>
      <c r="F134" s="334" t="inlineStr">
        <is>
          <t>ERW1</t>
        </is>
      </c>
      <c r="G134" s="334" t="inlineStr">
        <is>
          <t>FIN CUT</t>
        </is>
      </c>
      <c r="H134" s="334" t="inlineStr">
        <is>
          <t>ERW</t>
        </is>
      </c>
      <c r="I134" s="334" t="n">
        <v>38.1</v>
      </c>
      <c r="J134" s="334" t="n">
        <v>2</v>
      </c>
      <c r="K134" s="334" t="n">
        <v>5950</v>
      </c>
      <c r="L134" s="334" t="n">
        <v>5.95</v>
      </c>
      <c r="M134" s="334" t="n">
        <v>789</v>
      </c>
      <c r="N134" s="334" t="n">
        <v>3533165</v>
      </c>
      <c r="O134" s="336" t="n">
        <v>10</v>
      </c>
      <c r="P134" s="346" t="n">
        <v>9518879708</v>
      </c>
      <c r="Q134" s="328" t="inlineStr">
        <is>
          <t>LOADED / RELEASED</t>
        </is>
      </c>
    </row>
    <row r="135" ht="15.75" customHeight="1" s="584" thickBot="1">
      <c r="C135" s="330" t="inlineStr">
        <is>
          <t>TVS</t>
        </is>
      </c>
      <c r="D135" s="328" t="n">
        <v>943209</v>
      </c>
      <c r="E135" s="328" t="n"/>
      <c r="F135" s="328" t="inlineStr">
        <is>
          <t>ERW</t>
        </is>
      </c>
      <c r="G135" s="328" t="n"/>
      <c r="H135" s="328" t="inlineStr">
        <is>
          <t>ERW</t>
        </is>
      </c>
      <c r="I135" s="328" t="inlineStr">
        <is>
          <t>40x30</t>
        </is>
      </c>
      <c r="J135" s="328" t="n">
        <v>1.6</v>
      </c>
      <c r="K135" s="328" t="n">
        <v>5930</v>
      </c>
      <c r="L135" s="328" t="n"/>
      <c r="M135" s="328" t="n">
        <v>789</v>
      </c>
      <c r="N135" s="328" t="n">
        <v>3925391</v>
      </c>
      <c r="O135" s="336" t="n">
        <v>20</v>
      </c>
      <c r="P135" s="346" t="n">
        <v>9518879708</v>
      </c>
      <c r="Q135" s="328" t="inlineStr">
        <is>
          <t>LOADED / RELEASED</t>
        </is>
      </c>
    </row>
    <row r="136" ht="15.75" customHeight="1" s="584" thickBot="1">
      <c r="C136" s="381" t="n"/>
      <c r="D136" s="382" t="n"/>
      <c r="E136" s="382" t="n"/>
      <c r="F136" s="382" t="n"/>
      <c r="G136" s="382" t="n"/>
      <c r="H136" s="382" t="n"/>
      <c r="I136" s="382" t="n"/>
      <c r="J136" s="382" t="n"/>
      <c r="K136" s="346" t="inlineStr">
        <is>
          <t>TOTAL</t>
        </is>
      </c>
      <c r="L136" s="346" t="n"/>
      <c r="M136" s="346" t="n"/>
      <c r="N136" s="346" t="n"/>
      <c r="O136" s="346" t="n">
        <v>100</v>
      </c>
      <c r="P136" s="590" t="n"/>
      <c r="Q136" s="590" t="n"/>
    </row>
    <row r="137">
      <c r="C137" s="593" t="n"/>
      <c r="D137" s="593" t="n"/>
      <c r="E137" s="590" t="n"/>
      <c r="F137" s="590" t="n"/>
      <c r="G137" s="590" t="n"/>
      <c r="H137" s="590" t="n"/>
      <c r="I137" s="590" t="n"/>
      <c r="J137" s="590" t="n"/>
      <c r="K137" s="590" t="n"/>
      <c r="L137" s="590" t="n"/>
      <c r="M137" s="590" t="n"/>
      <c r="N137" s="590" t="n"/>
      <c r="O137" s="590" t="n"/>
      <c r="P137" s="590" t="n"/>
      <c r="Q137" s="590" t="n"/>
    </row>
    <row r="138" ht="15.75" customHeight="1" s="584" thickBot="1">
      <c r="C138" s="593" t="n"/>
      <c r="D138" s="593" t="n"/>
      <c r="E138" s="590" t="n"/>
      <c r="F138" s="590" t="n"/>
      <c r="G138" s="590" t="n"/>
      <c r="H138" s="590" t="n"/>
      <c r="I138" s="590" t="n"/>
      <c r="J138" s="590" t="n"/>
      <c r="K138" s="590" t="n"/>
      <c r="L138" s="590" t="n"/>
      <c r="M138" s="590" t="n"/>
      <c r="N138" s="590" t="n"/>
      <c r="O138" s="590" t="n"/>
      <c r="P138" s="590" t="n"/>
      <c r="Q138" s="590" t="n"/>
    </row>
    <row r="139" ht="51.75" customHeight="1" s="584" thickBot="1">
      <c r="C139" s="376" t="inlineStr">
        <is>
          <t>OEM</t>
        </is>
      </c>
      <c r="D139" s="377" t="n"/>
      <c r="E139" s="377" t="inlineStr">
        <is>
          <t>Customer</t>
        </is>
      </c>
      <c r="F139" s="378" t="inlineStr">
        <is>
          <t xml:space="preserve">Metallurgy condition </t>
        </is>
      </c>
      <c r="G139" s="378" t="inlineStr">
        <is>
          <t>Material Type</t>
        </is>
      </c>
      <c r="H139" s="377" t="inlineStr">
        <is>
          <t>GRADE</t>
        </is>
      </c>
      <c r="I139" s="377" t="inlineStr">
        <is>
          <t>OD</t>
        </is>
      </c>
      <c r="J139" s="377" t="inlineStr">
        <is>
          <t>THK</t>
        </is>
      </c>
      <c r="K139" s="377" t="inlineStr">
        <is>
          <t>LENGTH</t>
        </is>
      </c>
      <c r="L139" s="378" t="inlineStr">
        <is>
          <t>Length in Mtrs</t>
        </is>
      </c>
      <c r="M139" s="377" t="inlineStr">
        <is>
          <t>plant</t>
        </is>
      </c>
      <c r="N139" s="326" t="inlineStr">
        <is>
          <t>TSL Material Code</t>
        </is>
      </c>
      <c r="O139" s="379" t="inlineStr">
        <is>
          <t>Addl Order to log</t>
        </is>
      </c>
      <c r="P139" s="379" t="inlineStr">
        <is>
          <t>S.O.NO</t>
        </is>
      </c>
      <c r="Q139" s="379" t="inlineStr">
        <is>
          <t>STATUS</t>
        </is>
      </c>
    </row>
    <row r="140" ht="15.75" customHeight="1" s="584" thickBot="1">
      <c r="C140" s="383" t="inlineStr">
        <is>
          <t>HMSI</t>
        </is>
      </c>
      <c r="D140" s="328" t="n">
        <v>943210</v>
      </c>
      <c r="E140" s="384" t="inlineStr">
        <is>
          <t>ERW1</t>
        </is>
      </c>
      <c r="F140" s="384" t="inlineStr">
        <is>
          <t>ERW1</t>
        </is>
      </c>
      <c r="G140" s="384" t="inlineStr">
        <is>
          <t>FIN CUT</t>
        </is>
      </c>
      <c r="H140" s="384" t="inlineStr">
        <is>
          <t>ERW1</t>
        </is>
      </c>
      <c r="I140" s="384" t="n">
        <v>25.4</v>
      </c>
      <c r="J140" s="384" t="n">
        <v>1.4</v>
      </c>
      <c r="K140" s="384" t="n">
        <v>5531</v>
      </c>
      <c r="L140" s="384" t="n">
        <v>5.531</v>
      </c>
      <c r="M140" s="384" t="n">
        <v>789</v>
      </c>
      <c r="N140" s="384" t="n">
        <v>3557792</v>
      </c>
      <c r="O140" s="328" t="n">
        <v>20</v>
      </c>
      <c r="P140" s="346" t="n">
        <v>9518879672</v>
      </c>
      <c r="Q140" s="328" t="inlineStr">
        <is>
          <t>LOADED / RELEASED</t>
        </is>
      </c>
    </row>
    <row r="141" ht="15.75" customHeight="1" s="584" thickBot="1">
      <c r="C141" s="380" t="inlineStr">
        <is>
          <t>TVS</t>
        </is>
      </c>
      <c r="D141" s="328" t="n">
        <v>943209</v>
      </c>
      <c r="E141" s="334" t="inlineStr">
        <is>
          <t>RUCHA,METALMAN</t>
        </is>
      </c>
      <c r="F141" s="334" t="inlineStr">
        <is>
          <t>ERW1</t>
        </is>
      </c>
      <c r="G141" s="334" t="inlineStr">
        <is>
          <t>NON FIN</t>
        </is>
      </c>
      <c r="H141" s="334" t="inlineStr">
        <is>
          <t>ERW</t>
        </is>
      </c>
      <c r="I141" s="334" t="n">
        <v>19.05</v>
      </c>
      <c r="J141" s="334" t="n">
        <v>2.3</v>
      </c>
      <c r="K141" s="334" t="n">
        <v>7000</v>
      </c>
      <c r="L141" s="334" t="n">
        <v>7</v>
      </c>
      <c r="M141" s="334" t="n">
        <v>56</v>
      </c>
      <c r="N141" s="334" t="n">
        <v>3500582</v>
      </c>
      <c r="O141" s="328" t="n">
        <v>20</v>
      </c>
      <c r="P141" s="346" t="n">
        <v>9518879623</v>
      </c>
      <c r="Q141" s="328" t="inlineStr">
        <is>
          <t>LOADED / RELEASED</t>
        </is>
      </c>
    </row>
    <row r="142" ht="15.75" customHeight="1" s="584" thickBot="1">
      <c r="C142" s="380" t="inlineStr">
        <is>
          <t>TVS</t>
        </is>
      </c>
      <c r="D142" s="328" t="n">
        <v>943209</v>
      </c>
      <c r="E142" s="334" t="inlineStr">
        <is>
          <t>RUCHA</t>
        </is>
      </c>
      <c r="F142" s="334" t="inlineStr">
        <is>
          <t>ERW1</t>
        </is>
      </c>
      <c r="G142" s="334" t="inlineStr">
        <is>
          <t>NON FIN</t>
        </is>
      </c>
      <c r="H142" s="334" t="inlineStr">
        <is>
          <t>ERW</t>
        </is>
      </c>
      <c r="I142" s="334" t="n">
        <v>22.2</v>
      </c>
      <c r="J142" s="334" t="n">
        <v>1.2</v>
      </c>
      <c r="K142" s="334" t="n">
        <v>5870</v>
      </c>
      <c r="L142" s="334" t="n">
        <v>5.87</v>
      </c>
      <c r="M142" s="334" t="n">
        <v>56</v>
      </c>
      <c r="N142" s="334" t="n">
        <v>3882110</v>
      </c>
      <c r="O142" s="328" t="n">
        <v>20</v>
      </c>
      <c r="P142" s="346" t="n">
        <v>9518879623</v>
      </c>
      <c r="Q142" s="328" t="inlineStr">
        <is>
          <t>LOADED / RELEASED</t>
        </is>
      </c>
    </row>
    <row r="143" ht="15.75" customHeight="1" s="584" thickBot="1">
      <c r="C143" s="380" t="inlineStr">
        <is>
          <t>TVS</t>
        </is>
      </c>
      <c r="D143" s="328" t="n">
        <v>943209</v>
      </c>
      <c r="E143" s="334" t="inlineStr">
        <is>
          <t>RUCHA</t>
        </is>
      </c>
      <c r="F143" s="334" t="inlineStr">
        <is>
          <t>ERW1</t>
        </is>
      </c>
      <c r="G143" s="334" t="inlineStr">
        <is>
          <t>NON FIN</t>
        </is>
      </c>
      <c r="H143" s="334" t="inlineStr">
        <is>
          <t>ERW</t>
        </is>
      </c>
      <c r="I143" s="334" t="n">
        <v>22.2</v>
      </c>
      <c r="J143" s="334" t="n">
        <v>2</v>
      </c>
      <c r="K143" s="334" t="n">
        <v>5950</v>
      </c>
      <c r="L143" s="334" t="n">
        <v>5.95</v>
      </c>
      <c r="M143" s="334" t="n">
        <v>56</v>
      </c>
      <c r="N143" s="334" t="n">
        <v>3905466</v>
      </c>
      <c r="O143" s="328" t="n">
        <v>30</v>
      </c>
      <c r="P143" s="346" t="n">
        <v>9518879623</v>
      </c>
      <c r="Q143" s="328" t="inlineStr">
        <is>
          <t>LOADED / RELEASED</t>
        </is>
      </c>
    </row>
    <row r="144" ht="15.75" customHeight="1" s="584" thickBot="1">
      <c r="C144" s="380" t="inlineStr">
        <is>
          <t>TVS</t>
        </is>
      </c>
      <c r="D144" s="328" t="n">
        <v>943209</v>
      </c>
      <c r="E144" s="334" t="inlineStr">
        <is>
          <t>RUCHA</t>
        </is>
      </c>
      <c r="F144" s="334" t="inlineStr">
        <is>
          <t>ERW1</t>
        </is>
      </c>
      <c r="G144" s="334" t="inlineStr">
        <is>
          <t>NON FIN</t>
        </is>
      </c>
      <c r="H144" s="334" t="inlineStr">
        <is>
          <t>ERW</t>
        </is>
      </c>
      <c r="I144" s="334" t="n">
        <v>22.2</v>
      </c>
      <c r="J144" s="334" t="n">
        <v>2</v>
      </c>
      <c r="K144" s="334" t="n">
        <v>5100</v>
      </c>
      <c r="L144" s="334" t="n">
        <v>5.1</v>
      </c>
      <c r="M144" s="334" t="n">
        <v>56</v>
      </c>
      <c r="N144" s="334" t="n">
        <v>3500554</v>
      </c>
      <c r="O144" s="328" t="n">
        <v>20</v>
      </c>
      <c r="P144" s="346" t="n">
        <v>9518879623</v>
      </c>
      <c r="Q144" s="328" t="inlineStr">
        <is>
          <t>LOADED / RELEASED</t>
        </is>
      </c>
    </row>
    <row r="145" ht="15.75" customHeight="1" s="584" thickBot="1">
      <c r="C145" s="380" t="inlineStr">
        <is>
          <t>TVS</t>
        </is>
      </c>
      <c r="D145" s="328" t="n">
        <v>943209</v>
      </c>
      <c r="E145" s="334" t="inlineStr">
        <is>
          <t>RUCHA</t>
        </is>
      </c>
      <c r="F145" s="334" t="inlineStr">
        <is>
          <t>ERW2</t>
        </is>
      </c>
      <c r="G145" s="334" t="inlineStr">
        <is>
          <t>FIN CUT</t>
        </is>
      </c>
      <c r="H145" s="334" t="inlineStr">
        <is>
          <t>HST</t>
        </is>
      </c>
      <c r="I145" s="334" t="n">
        <v>22.2</v>
      </c>
      <c r="J145" s="334" t="n">
        <v>2</v>
      </c>
      <c r="K145" s="334" t="n">
        <v>6000</v>
      </c>
      <c r="L145" s="334" t="n">
        <v>6000</v>
      </c>
      <c r="M145" s="334" t="n">
        <v>56</v>
      </c>
      <c r="N145" s="334" t="n">
        <v>3502494</v>
      </c>
      <c r="O145" s="328" t="n">
        <v>30</v>
      </c>
      <c r="P145" s="346" t="n">
        <v>9518879623</v>
      </c>
      <c r="Q145" s="328" t="inlineStr">
        <is>
          <t>LOADED / RELEASED</t>
        </is>
      </c>
    </row>
    <row r="146" ht="15.75" customHeight="1" s="584" thickBot="1">
      <c r="C146" s="380" t="inlineStr">
        <is>
          <t>TVS</t>
        </is>
      </c>
      <c r="D146" s="328" t="n">
        <v>943209</v>
      </c>
      <c r="E146" s="334" t="inlineStr">
        <is>
          <t>RUCHA</t>
        </is>
      </c>
      <c r="F146" s="334" t="inlineStr">
        <is>
          <t>ERW1</t>
        </is>
      </c>
      <c r="G146" s="334" t="inlineStr">
        <is>
          <t>NON FIN</t>
        </is>
      </c>
      <c r="H146" s="334" t="inlineStr">
        <is>
          <t>ERW</t>
        </is>
      </c>
      <c r="I146" s="334" t="n">
        <v>25.4</v>
      </c>
      <c r="J146" s="334" t="n">
        <v>1.6</v>
      </c>
      <c r="K146" s="334" t="n">
        <v>6000</v>
      </c>
      <c r="L146" s="334" t="n">
        <v>6</v>
      </c>
      <c r="M146" s="334" t="n">
        <v>56</v>
      </c>
      <c r="N146" s="334" t="n">
        <v>3500097</v>
      </c>
      <c r="O146" s="328" t="n">
        <v>20</v>
      </c>
      <c r="P146" s="346" t="n">
        <v>9518879623</v>
      </c>
      <c r="Q146" s="328" t="inlineStr">
        <is>
          <t>LOADED / RELEASED</t>
        </is>
      </c>
    </row>
    <row r="147" ht="15.75" customHeight="1" s="584" thickBot="1">
      <c r="C147" s="380" t="inlineStr">
        <is>
          <t>TVS</t>
        </is>
      </c>
      <c r="D147" s="328" t="n">
        <v>943209</v>
      </c>
      <c r="E147" s="334" t="inlineStr">
        <is>
          <t>RUCHA</t>
        </is>
      </c>
      <c r="F147" s="334" t="inlineStr">
        <is>
          <t>ERW1</t>
        </is>
      </c>
      <c r="G147" s="334" t="inlineStr">
        <is>
          <t>NON FIN</t>
        </is>
      </c>
      <c r="H147" s="334" t="inlineStr">
        <is>
          <t>ERW</t>
        </is>
      </c>
      <c r="I147" s="334" t="n">
        <v>25.4</v>
      </c>
      <c r="J147" s="334" t="n">
        <v>2.5</v>
      </c>
      <c r="K147" s="334" t="n">
        <v>5530</v>
      </c>
      <c r="L147" s="334" t="n">
        <v>5.53</v>
      </c>
      <c r="M147" s="334" t="n">
        <v>56</v>
      </c>
      <c r="N147" s="334" t="n">
        <v>3502256</v>
      </c>
      <c r="O147" s="328" t="n">
        <v>40</v>
      </c>
      <c r="P147" s="346" t="n">
        <v>9518879623</v>
      </c>
      <c r="Q147" s="328" t="inlineStr">
        <is>
          <t>LOADED / RELEASED</t>
        </is>
      </c>
    </row>
    <row r="148" ht="15.75" customHeight="1" s="584" thickBot="1">
      <c r="C148" s="380" t="inlineStr">
        <is>
          <t>TVS</t>
        </is>
      </c>
      <c r="D148" s="328" t="n">
        <v>943209</v>
      </c>
      <c r="E148" s="334" t="inlineStr">
        <is>
          <t>RUCHA,METALMAN</t>
        </is>
      </c>
      <c r="F148" s="334" t="inlineStr">
        <is>
          <t>ERW370</t>
        </is>
      </c>
      <c r="G148" s="334" t="inlineStr">
        <is>
          <t>FIN CUT</t>
        </is>
      </c>
      <c r="H148" s="334" t="inlineStr">
        <is>
          <t>HST</t>
        </is>
      </c>
      <c r="I148" s="334" t="n">
        <v>38.1</v>
      </c>
      <c r="J148" s="334" t="n">
        <v>1.6</v>
      </c>
      <c r="K148" s="334" t="n">
        <v>6190</v>
      </c>
      <c r="L148" s="334" t="n">
        <v>6.19</v>
      </c>
      <c r="M148" s="334" t="n">
        <v>56</v>
      </c>
      <c r="N148" s="334" t="n">
        <v>3502254</v>
      </c>
      <c r="O148" s="328" t="n">
        <v>10</v>
      </c>
      <c r="P148" s="346" t="n">
        <v>9518879623</v>
      </c>
      <c r="Q148" s="328" t="inlineStr">
        <is>
          <t>LOADED / RELEASED</t>
        </is>
      </c>
    </row>
    <row r="149" ht="15.75" customHeight="1" s="584" thickBot="1">
      <c r="C149" s="380" t="inlineStr">
        <is>
          <t>TVS</t>
        </is>
      </c>
      <c r="D149" s="328" t="n">
        <v>943209</v>
      </c>
      <c r="E149" s="334" t="inlineStr">
        <is>
          <t>RUCHA,METALMAN</t>
        </is>
      </c>
      <c r="F149" s="334" t="inlineStr">
        <is>
          <t>ERW2</t>
        </is>
      </c>
      <c r="G149" s="334" t="inlineStr">
        <is>
          <t>FIN CUT</t>
        </is>
      </c>
      <c r="H149" s="334" t="inlineStr">
        <is>
          <t>HST</t>
        </is>
      </c>
      <c r="I149" s="334" t="n">
        <v>38.1</v>
      </c>
      <c r="J149" s="334" t="n">
        <v>2.5</v>
      </c>
      <c r="K149" s="334" t="n">
        <v>6190</v>
      </c>
      <c r="L149" s="334" t="n">
        <v>6.19</v>
      </c>
      <c r="M149" s="334" t="n">
        <v>56</v>
      </c>
      <c r="N149" s="334" t="n">
        <v>3502007</v>
      </c>
      <c r="O149" s="328" t="n">
        <v>10</v>
      </c>
      <c r="P149" s="346" t="n">
        <v>9518879623</v>
      </c>
      <c r="Q149" s="328" t="inlineStr">
        <is>
          <t>LOADED / RELEASED</t>
        </is>
      </c>
    </row>
    <row r="150" ht="15.75" customHeight="1" s="584" thickBot="1">
      <c r="C150" s="380" t="inlineStr">
        <is>
          <t>TVS</t>
        </is>
      </c>
      <c r="D150" s="328" t="n">
        <v>943209</v>
      </c>
      <c r="E150" s="334" t="inlineStr">
        <is>
          <t>RUCHA,METALMAN</t>
        </is>
      </c>
      <c r="F150" s="334" t="inlineStr">
        <is>
          <t>ERW1</t>
        </is>
      </c>
      <c r="G150" s="334" t="inlineStr">
        <is>
          <t>FIN CUT</t>
        </is>
      </c>
      <c r="H150" s="334" t="inlineStr">
        <is>
          <t>ERW</t>
        </is>
      </c>
      <c r="I150" s="334" t="n">
        <v>57.15</v>
      </c>
      <c r="J150" s="334" t="n">
        <v>2.5</v>
      </c>
      <c r="K150" s="334" t="n">
        <v>5710</v>
      </c>
      <c r="L150" s="334" t="n">
        <v>5.71</v>
      </c>
      <c r="M150" s="334" t="n">
        <v>56</v>
      </c>
      <c r="N150" s="334" t="n">
        <v>3907863</v>
      </c>
      <c r="O150" s="328" t="n">
        <v>20</v>
      </c>
      <c r="P150" s="346" t="n">
        <v>9518879623</v>
      </c>
      <c r="Q150" s="328" t="inlineStr">
        <is>
          <t>LOADED / RELEASED</t>
        </is>
      </c>
    </row>
    <row r="151" ht="15.75" customHeight="1" s="584" thickBot="1">
      <c r="C151" s="380" t="inlineStr">
        <is>
          <t>TVS</t>
        </is>
      </c>
      <c r="D151" s="328" t="n">
        <v>943209</v>
      </c>
      <c r="E151" s="334" t="inlineStr">
        <is>
          <t>RUCHA,METALMAN</t>
        </is>
      </c>
      <c r="F151" s="334" t="inlineStr">
        <is>
          <t>ERW1</t>
        </is>
      </c>
      <c r="G151" s="334" t="inlineStr">
        <is>
          <t>FIN CUT</t>
        </is>
      </c>
      <c r="H151" s="334" t="inlineStr">
        <is>
          <t>ERW</t>
        </is>
      </c>
      <c r="I151" s="334" t="n">
        <v>57.15</v>
      </c>
      <c r="J151" s="334" t="n">
        <v>2.5</v>
      </c>
      <c r="K151" s="334" t="n">
        <v>5950</v>
      </c>
      <c r="L151" s="334" t="n"/>
      <c r="M151" s="334" t="n">
        <v>56</v>
      </c>
      <c r="N151" s="341" t="n">
        <v>4045220</v>
      </c>
      <c r="O151" s="328" t="n">
        <v>20</v>
      </c>
      <c r="P151" s="346" t="n">
        <v>9518879623</v>
      </c>
      <c r="Q151" s="328" t="inlineStr">
        <is>
          <t>LOADED / RELEASED</t>
        </is>
      </c>
    </row>
    <row r="152" ht="15.75" customHeight="1" s="584" thickBot="1">
      <c r="C152" s="330" t="inlineStr">
        <is>
          <t>TVS</t>
        </is>
      </c>
      <c r="D152" s="328" t="n">
        <v>943209</v>
      </c>
      <c r="E152" s="328" t="inlineStr">
        <is>
          <t>RUCHA,METALMAN</t>
        </is>
      </c>
      <c r="F152" s="328" t="inlineStr">
        <is>
          <t>ERW1</t>
        </is>
      </c>
      <c r="G152" s="328" t="inlineStr">
        <is>
          <t>FIN CUT</t>
        </is>
      </c>
      <c r="H152" s="328" t="inlineStr">
        <is>
          <t>ERW</t>
        </is>
      </c>
      <c r="I152" s="328" t="n">
        <v>57.15</v>
      </c>
      <c r="J152" s="328" t="n">
        <v>2.5</v>
      </c>
      <c r="K152" s="328" t="n">
        <v>5750</v>
      </c>
      <c r="L152" s="328" t="n">
        <v>5.75</v>
      </c>
      <c r="M152" s="328" t="n">
        <v>56</v>
      </c>
      <c r="N152" s="328" t="n">
        <v>3501047</v>
      </c>
      <c r="O152" s="328" t="n">
        <v>20</v>
      </c>
      <c r="P152" s="346" t="n">
        <v>9518879623</v>
      </c>
      <c r="Q152" s="328" t="inlineStr">
        <is>
          <t>LOADED / RELEASED</t>
        </is>
      </c>
    </row>
    <row r="153" ht="15.75" customHeight="1" s="584" thickBot="1">
      <c r="C153" s="381" t="n"/>
      <c r="D153" s="382" t="n"/>
      <c r="E153" s="382" t="n"/>
      <c r="F153" s="382" t="n"/>
      <c r="G153" s="382" t="n"/>
      <c r="H153" s="382" t="n"/>
      <c r="I153" s="382" t="n"/>
      <c r="J153" s="382" t="n"/>
      <c r="K153" s="346" t="inlineStr">
        <is>
          <t>TOTAL</t>
        </is>
      </c>
      <c r="L153" s="346" t="n"/>
      <c r="M153" s="346" t="n"/>
      <c r="N153" s="346" t="n"/>
      <c r="O153" s="346" t="n">
        <v>280</v>
      </c>
      <c r="P153" s="590" t="n"/>
      <c r="Q153" s="590" t="n"/>
    </row>
  </sheetData>
  <mergeCells count="14">
    <mergeCell ref="G96:G98"/>
    <mergeCell ref="J96:J98"/>
    <mergeCell ref="K96:K98"/>
    <mergeCell ref="N96:N98"/>
    <mergeCell ref="L96:L98"/>
    <mergeCell ref="P96:P98"/>
    <mergeCell ref="M96:M98"/>
    <mergeCell ref="C96:C98"/>
    <mergeCell ref="F96:F98"/>
    <mergeCell ref="D96:D98"/>
    <mergeCell ref="O96:O98"/>
    <mergeCell ref="H96:H98"/>
    <mergeCell ref="I96:I98"/>
    <mergeCell ref="E96:E98"/>
  </mergeCells>
  <conditionalFormatting sqref="K3:K68">
    <cfRule type="duplicateValues" priority="1" dxfId="0"/>
  </conditionalFormatting>
  <conditionalFormatting sqref="K3:M3 K4:L68 M4:M69">
    <cfRule type="duplicateValues" priority="292" dxfId="0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 codeName="Sheet48">
    <tabColor rgb="FF00B0F0"/>
    <outlinePr summaryBelow="1" summaryRight="1"/>
    <pageSetUpPr/>
  </sheetPr>
  <dimension ref="A1:AS255"/>
  <sheetViews>
    <sheetView topLeftCell="G1" workbookViewId="0">
      <pane ySplit="1" topLeftCell="A59" activePane="bottomLeft" state="frozen"/>
      <selection activeCell="M1" sqref="M1:U1"/>
      <selection pane="bottomLeft" activeCell="M1" sqref="M1:U1"/>
    </sheetView>
  </sheetViews>
  <sheetFormatPr baseColWidth="8" defaultColWidth="8" defaultRowHeight="15"/>
  <cols>
    <col width="7.28515625" customWidth="1" style="584" min="6" max="6"/>
    <col width="19.140625" bestFit="1" customWidth="1" style="584" min="7" max="7"/>
    <col width="42.85546875" bestFit="1" customWidth="1" style="584" min="8" max="8"/>
    <col width="5.42578125" customWidth="1" style="584" min="10" max="10"/>
    <col outlineLevel="1" width="6.140625" customWidth="1" style="584" min="11" max="11"/>
    <col outlineLevel="1" width="12.28515625" customWidth="1" style="584" min="12" max="12"/>
    <col outlineLevel="1" width="23.7109375" customWidth="1" style="584" min="13" max="13"/>
    <col outlineLevel="1" width="22.42578125" customWidth="1" style="584" min="14" max="14"/>
    <col outlineLevel="1" width="27.140625" customWidth="1" style="584" min="15" max="15"/>
    <col width="11" customWidth="1" style="584" min="16" max="16"/>
    <col outlineLevel="1" width="8" customWidth="1" style="584" min="17" max="18"/>
    <col outlineLevel="1" width="8" customWidth="1" style="199" min="19" max="19"/>
    <col width="8" customWidth="1" style="584" min="22" max="22"/>
    <col outlineLevel="1" width="8" customWidth="1" style="584" min="23" max="26"/>
    <col outlineLevel="1" width="8" customWidth="1" style="162" min="27" max="27"/>
    <col outlineLevel="1" width="8" customWidth="1" style="174" min="28" max="28"/>
    <col outlineLevel="1" width="8" customWidth="1" style="584" min="29" max="32"/>
  </cols>
  <sheetData>
    <row r="1" ht="24" customHeight="1" s="584">
      <c r="A1" s="410" t="inlineStr">
        <is>
          <t>OEM</t>
        </is>
      </c>
      <c r="B1" s="395" t="inlineStr">
        <is>
          <t>Customer</t>
        </is>
      </c>
      <c r="C1" s="617" t="inlineStr">
        <is>
          <t>Metallurgy condition</t>
        </is>
      </c>
      <c r="D1" s="395" t="inlineStr">
        <is>
          <t>Material Type</t>
        </is>
      </c>
      <c r="E1" s="395" t="inlineStr">
        <is>
          <t>GRADE</t>
        </is>
      </c>
      <c r="F1" s="411" t="inlineStr">
        <is>
          <t>OD</t>
        </is>
      </c>
      <c r="G1" s="411" t="inlineStr">
        <is>
          <t>ID</t>
        </is>
      </c>
      <c r="H1" s="411" t="inlineStr">
        <is>
          <t>THK</t>
        </is>
      </c>
      <c r="I1" s="395" t="inlineStr">
        <is>
          <t>LENGTH</t>
        </is>
      </c>
      <c r="J1" s="395" t="inlineStr">
        <is>
          <t>Length in Mtrs</t>
        </is>
      </c>
      <c r="K1" s="395" t="inlineStr">
        <is>
          <t xml:space="preserve">count of </t>
        </is>
      </c>
      <c r="L1" s="395" t="inlineStr">
        <is>
          <t>Column1</t>
        </is>
      </c>
      <c r="M1" s="395" t="inlineStr">
        <is>
          <t>Key</t>
        </is>
      </c>
      <c r="N1" s="395" t="inlineStr">
        <is>
          <t>Bucket</t>
        </is>
      </c>
      <c r="O1" s="395" t="inlineStr">
        <is>
          <t>Bucket CTL</t>
        </is>
      </c>
      <c r="P1" s="395" t="inlineStr">
        <is>
          <t>Value added</t>
        </is>
      </c>
      <c r="Q1" s="395" t="inlineStr">
        <is>
          <t>plant july</t>
        </is>
      </c>
      <c r="R1" s="395" t="inlineStr">
        <is>
          <t>Material code july</t>
        </is>
      </c>
      <c r="S1" s="395" t="inlineStr">
        <is>
          <t>Exact</t>
        </is>
      </c>
      <c r="T1" s="395" t="inlineStr">
        <is>
          <t>plant</t>
        </is>
      </c>
      <c r="U1" s="412" t="inlineStr">
        <is>
          <t>TSL Material Code</t>
        </is>
      </c>
      <c r="V1" s="413" t="inlineStr">
        <is>
          <t>SCH AUG- 25</t>
        </is>
      </c>
      <c r="W1" s="395" t="inlineStr">
        <is>
          <t>BALANCE TO BE SUPPLY</t>
        </is>
      </c>
      <c r="X1" s="395" t="inlineStr">
        <is>
          <t>Stock     22-07-25</t>
        </is>
      </c>
      <c r="Y1" s="395" t="inlineStr">
        <is>
          <t xml:space="preserve">intransist </t>
        </is>
      </c>
      <c r="Z1" s="395" t="inlineStr">
        <is>
          <t>OPENIG STOCK FOR AUG-2025</t>
        </is>
      </c>
      <c r="AA1" s="395" t="inlineStr">
        <is>
          <t xml:space="preserve">order logg </t>
        </is>
      </c>
      <c r="AB1" s="395" t="inlineStr">
        <is>
          <t>Opening stock including order logger</t>
        </is>
      </c>
      <c r="AC1" s="396" t="inlineStr">
        <is>
          <t xml:space="preserve">    INDENT  FOR AUG-25 as per VSM</t>
        </is>
      </c>
      <c r="AD1" s="397" t="inlineStr">
        <is>
          <t xml:space="preserve"> INDENT  FOR AUG-25 recommended</t>
        </is>
      </c>
      <c r="AE1" s="395" t="inlineStr">
        <is>
          <t>Before 20th</t>
        </is>
      </c>
      <c r="AF1" s="395" t="inlineStr">
        <is>
          <t>ofter 20th</t>
        </is>
      </c>
      <c r="AG1" s="395" t="inlineStr">
        <is>
          <t>Total Indent</t>
        </is>
      </c>
      <c r="AH1" s="395" t="inlineStr">
        <is>
          <t>Total Delivered</t>
        </is>
      </c>
      <c r="AI1" s="395" t="inlineStr">
        <is>
          <t>GAP</t>
        </is>
      </c>
      <c r="AJ1" s="395" t="inlineStr">
        <is>
          <t>Todays Stock</t>
        </is>
      </c>
    </row>
    <row r="2">
      <c r="A2" s="265" t="inlineStr">
        <is>
          <t>TVS</t>
        </is>
      </c>
      <c r="B2" s="147" t="inlineStr">
        <is>
          <t>RUCHA</t>
        </is>
      </c>
      <c r="C2" s="147" t="inlineStr">
        <is>
          <t>CEW AN</t>
        </is>
      </c>
      <c r="D2" s="147" t="inlineStr">
        <is>
          <t>NON FIN</t>
        </is>
      </c>
      <c r="E2" s="147" t="inlineStr">
        <is>
          <t xml:space="preserve">CEW </t>
        </is>
      </c>
      <c r="F2" s="148" t="n">
        <v>11</v>
      </c>
      <c r="G2" s="148" t="n"/>
      <c r="H2" s="148" t="n">
        <v>1.5</v>
      </c>
      <c r="I2" s="147" t="n">
        <v>6000</v>
      </c>
      <c r="J2" s="147" t="n">
        <v>6</v>
      </c>
      <c r="K2" s="147">
        <f>COUNTIF(_xlfn.ANCHORARRAY(A$74),M2)</f>
        <v/>
      </c>
      <c r="L2" s="147" t="n"/>
      <c r="M2" s="147">
        <f>_xlfn.CONCAT(F2,H2,J2,E2,D2)</f>
        <v/>
      </c>
      <c r="N2" s="147">
        <f>VLOOKUP(aug[[#This Row],[Key]],Table2527[[#All],[ ]:[Bucket CTL]],2,0)</f>
        <v/>
      </c>
      <c r="O2" s="147">
        <f>VLOOKUP(aug[[#This Row],[Key]],Table2527[[#All],[ ]:[Bucket CTL]],3,0)</f>
        <v/>
      </c>
      <c r="P2" s="147" t="n"/>
      <c r="Q2" s="147">
        <f>VLOOKUP(aug[[#This Row],[Key]],Table2527[[#All],[ ]:[TSL Material Code]],4,0)</f>
        <v/>
      </c>
      <c r="R2" s="147">
        <f>VLOOKUP(aug[[#This Row],[Key]],Table2527[[#All],[ ]:[TSL Material Code]],5,0)</f>
        <v/>
      </c>
      <c r="S2" s="147">
        <f>EXACT(aug[[#This Row],[Material code july]],aug[[#This Row],[TSL Material Code]])</f>
        <v/>
      </c>
      <c r="T2" s="151" t="inlineStr">
        <is>
          <t>0788</t>
        </is>
      </c>
      <c r="U2" s="150" t="n">
        <v>2442390</v>
      </c>
      <c r="V2" s="19" t="n">
        <v>1</v>
      </c>
      <c r="W2" s="147" t="n">
        <v>0</v>
      </c>
      <c r="X2" s="147" t="n">
        <v>0</v>
      </c>
      <c r="Y2" s="147" t="n"/>
      <c r="Z2" s="147">
        <f>X2-W2</f>
        <v/>
      </c>
      <c r="AA2" s="147" t="n">
        <v>0</v>
      </c>
      <c r="AB2" s="147">
        <f>Z2+AA2</f>
        <v/>
      </c>
      <c r="AC2" s="19">
        <f>V2-AB2</f>
        <v/>
      </c>
      <c r="AD2" s="387">
        <f>IF(AC2&gt;0,AC2,0)</f>
        <v/>
      </c>
      <c r="AE2" s="415">
        <f>SUMIFS(meghsteelsales_previousmonth[Quantity],meghsteelsales_previousmonth[Length Bucket],aug[[#This Row],[Bucket CTL]])/1000</f>
        <v/>
      </c>
      <c r="AF2" s="160">
        <f>SUMIFS(meghsteelsales_currentmonth[Quantity],meghsteelsales_currentmonth[Length Bucket],aug[[#This Row],[Bucket CTL]])/1000</f>
        <v/>
      </c>
      <c r="AG2" s="187">
        <f>aug[[#This Row],[order logg ]]+aug[[#This Row],[ INDENT  FOR AUG-25 recommended]]</f>
        <v/>
      </c>
      <c r="AH2" s="427">
        <f>aug[[#This Row],[Before 20th]]+aug[[#This Row],[ofter 20th]]</f>
        <v/>
      </c>
      <c r="AI2" s="427">
        <f>IF((aug[[#This Row],[Total Indent]]-aug[[#This Row],[Total Delivered]])&lt;0,0,aug[[#This Row],[Total Indent]]-aug[[#This Row],[Total Delivered]])</f>
        <v/>
      </c>
      <c r="AJ2" s="187" t="n"/>
    </row>
    <row r="3">
      <c r="A3" s="265" t="inlineStr">
        <is>
          <t>TVS</t>
        </is>
      </c>
      <c r="B3" s="147" t="inlineStr">
        <is>
          <t>RUCHA</t>
        </is>
      </c>
      <c r="C3" s="147" t="inlineStr">
        <is>
          <t>ERW1</t>
        </is>
      </c>
      <c r="D3" s="147" t="inlineStr">
        <is>
          <t>NON FIN</t>
        </is>
      </c>
      <c r="E3" s="147" t="inlineStr">
        <is>
          <t>ERW</t>
        </is>
      </c>
      <c r="F3" s="148" t="n">
        <v>12.7</v>
      </c>
      <c r="G3" s="148" t="n"/>
      <c r="H3" s="148" t="n">
        <v>1.2</v>
      </c>
      <c r="I3" s="147" t="n">
        <v>6000</v>
      </c>
      <c r="J3" s="147" t="n">
        <v>6</v>
      </c>
      <c r="K3" s="147">
        <f>COUNTIF(_xlfn.ANCHORARRAY(A$74),M3)</f>
        <v/>
      </c>
      <c r="L3" s="147" t="n"/>
      <c r="M3" s="147">
        <f>_xlfn.CONCAT(F3,H3,J3,E3,D3)</f>
        <v/>
      </c>
      <c r="N3" s="147">
        <f>VLOOKUP(aug[[#This Row],[Key]],Table2527[[#All],[ ]:[Bucket CTL]],2,0)</f>
        <v/>
      </c>
      <c r="O3" s="147">
        <f>VLOOKUP(aug[[#This Row],[Key]],Table2527[[#All],[ ]:[Bucket CTL]],3,0)</f>
        <v/>
      </c>
      <c r="P3" s="147" t="inlineStr">
        <is>
          <t>Value Added</t>
        </is>
      </c>
      <c r="Q3" s="147">
        <f>VLOOKUP(aug[[#This Row],[Key]],Table2527[[#All],[ ]:[TSL Material Code]],4,0)</f>
        <v/>
      </c>
      <c r="R3" s="147">
        <f>VLOOKUP(aug[[#This Row],[Key]],Table2527[[#All],[ ]:[TSL Material Code]],5,0)</f>
        <v/>
      </c>
      <c r="S3" s="147">
        <f>EXACT(aug[[#This Row],[Material code july]],aug[[#This Row],[TSL Material Code]])</f>
        <v/>
      </c>
      <c r="T3" s="151" t="inlineStr">
        <is>
          <t>0789</t>
        </is>
      </c>
      <c r="U3" s="150" t="n">
        <v>1939985</v>
      </c>
      <c r="V3" s="19" t="n">
        <v>8</v>
      </c>
      <c r="W3" s="147" t="n">
        <v>0</v>
      </c>
      <c r="X3" s="147" t="n">
        <v>7</v>
      </c>
      <c r="Y3" s="147" t="n"/>
      <c r="Z3" s="147">
        <f>X3-W3</f>
        <v/>
      </c>
      <c r="AA3" s="147" t="n">
        <v>0</v>
      </c>
      <c r="AB3" s="147">
        <f>Z3+AA3</f>
        <v/>
      </c>
      <c r="AC3" s="19">
        <f>V3-AB3</f>
        <v/>
      </c>
      <c r="AD3" s="387">
        <f>IF(AC3&gt;0,AC3,0)</f>
        <v/>
      </c>
      <c r="AE3" s="416">
        <f>SUMIFS(meghsteelsales_previousmonth[Quantity],meghsteelsales_previousmonth[Length Bucket],aug[[#This Row],[Bucket CTL]])/1000</f>
        <v/>
      </c>
      <c r="AF3" s="160">
        <f>SUMIFS(meghsteelsales_currentmonth[Quantity],meghsteelsales_currentmonth[Length Bucket],aug[[#This Row],[Bucket CTL]])/1000</f>
        <v/>
      </c>
      <c r="AG3" s="147">
        <f>aug[[#This Row],[order logg ]]+aug[[#This Row],[ INDENT  FOR AUG-25 recommended]]</f>
        <v/>
      </c>
      <c r="AH3" s="416">
        <f>aug[[#This Row],[Before 20th]]+aug[[#This Row],[ofter 20th]]</f>
        <v/>
      </c>
      <c r="AI3" s="416">
        <f>IF((aug[[#This Row],[Total Indent]]-aug[[#This Row],[Total Delivered]])&lt;0,0,aug[[#This Row],[Total Indent]]-aug[[#This Row],[Total Delivered]])</f>
        <v/>
      </c>
      <c r="AJ3" s="147" t="n">
        <v>4</v>
      </c>
    </row>
    <row r="4">
      <c r="A4" s="265" t="inlineStr">
        <is>
          <t>HMSI</t>
        </is>
      </c>
      <c r="B4" s="147" t="inlineStr">
        <is>
          <t>BADVE</t>
        </is>
      </c>
      <c r="C4" s="147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12.7</v>
      </c>
      <c r="G4" s="148" t="n"/>
      <c r="H4" s="148" t="n">
        <v>1.4</v>
      </c>
      <c r="I4" s="147" t="n">
        <v>6000</v>
      </c>
      <c r="J4" s="147" t="n">
        <v>6</v>
      </c>
      <c r="K4" s="147">
        <f>COUNTIF(_xlfn.ANCHORARRAY(A$74),M4)</f>
        <v/>
      </c>
      <c r="L4" s="147" t="n"/>
      <c r="M4" s="147">
        <f>_xlfn.CONCAT(F4,H4,J4,E4,D4)</f>
        <v/>
      </c>
      <c r="N4" s="147">
        <f>VLOOKUP(aug[[#This Row],[Key]],Table2527[[#All],[ ]:[Bucket CTL]],2,0)</f>
        <v/>
      </c>
      <c r="O4" s="147">
        <f>VLOOKUP(aug[[#This Row],[Key]],Table2527[[#All],[ ]:[Bucket CTL]],3,0)</f>
        <v/>
      </c>
      <c r="P4" s="147" t="n"/>
      <c r="Q4" s="147">
        <f>VLOOKUP(aug[[#This Row],[Key]],Table2527[[#All],[ ]:[TSL Material Code]],4,0)</f>
        <v/>
      </c>
      <c r="R4" s="147">
        <f>VLOOKUP(aug[[#This Row],[Key]],Table2527[[#All],[ ]:[TSL Material Code]],5,0)</f>
        <v/>
      </c>
      <c r="S4" s="147">
        <f>EXACT(aug[[#This Row],[Material code july]],aug[[#This Row],[TSL Material Code]])</f>
        <v/>
      </c>
      <c r="T4" s="151" t="inlineStr">
        <is>
          <t>0789</t>
        </is>
      </c>
      <c r="U4" s="150" t="n">
        <v>1931117</v>
      </c>
      <c r="V4" s="19" t="n">
        <v>5</v>
      </c>
      <c r="W4" s="147" t="n">
        <v>0</v>
      </c>
      <c r="X4" s="147" t="n">
        <v>7</v>
      </c>
      <c r="Y4" s="147" t="n"/>
      <c r="Z4" s="147">
        <f>X4-W4</f>
        <v/>
      </c>
      <c r="AA4" s="147" t="n">
        <v>0</v>
      </c>
      <c r="AB4" s="147">
        <f>Z4+AA4</f>
        <v/>
      </c>
      <c r="AC4" s="19">
        <f>V4-AB4</f>
        <v/>
      </c>
      <c r="AD4" s="387">
        <f>IF(AC4&gt;0,AC4,0)</f>
        <v/>
      </c>
      <c r="AE4" s="416">
        <f>SUMIFS(meghsteelsales_previousmonth[Quantity],meghsteelsales_previousmonth[Length Bucket],aug[[#This Row],[Bucket CTL]])/1000</f>
        <v/>
      </c>
      <c r="AF4" s="160">
        <f>SUMIFS(meghsteelsales_currentmonth[Quantity],meghsteelsales_currentmonth[Length Bucket],aug[[#This Row],[Bucket CTL]])/1000</f>
        <v/>
      </c>
      <c r="AG4" s="187">
        <f>aug[[#This Row],[order logg ]]+aug[[#This Row],[ INDENT  FOR AUG-25 recommended]]</f>
        <v/>
      </c>
      <c r="AH4" s="427">
        <f>aug[[#This Row],[Before 20th]]+aug[[#This Row],[ofter 20th]]</f>
        <v/>
      </c>
      <c r="AI4" s="427">
        <f>IF((aug[[#This Row],[Total Indent]]-aug[[#This Row],[Total Delivered]])&lt;0,0,aug[[#This Row],[Total Indent]]-aug[[#This Row],[Total Delivered]])</f>
        <v/>
      </c>
      <c r="AJ4" s="187" t="n"/>
    </row>
    <row r="5">
      <c r="A5" s="265" t="inlineStr">
        <is>
          <t>HMSI</t>
        </is>
      </c>
      <c r="B5" s="147" t="inlineStr">
        <is>
          <t>BADVE</t>
        </is>
      </c>
      <c r="C5" s="147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12.7</v>
      </c>
      <c r="G5" s="148" t="n"/>
      <c r="H5" s="148" t="n">
        <v>1.6</v>
      </c>
      <c r="I5" s="147" t="n">
        <v>6000</v>
      </c>
      <c r="J5" s="147" t="n">
        <v>6</v>
      </c>
      <c r="K5" s="147">
        <f>COUNTIF(_xlfn.ANCHORARRAY(A$74),M5)</f>
        <v/>
      </c>
      <c r="L5" s="147" t="n"/>
      <c r="M5" s="147">
        <f>_xlfn.CONCAT(F5,H5,J5,E5,D5)</f>
        <v/>
      </c>
      <c r="N5" s="147">
        <f>VLOOKUP(aug[[#This Row],[Key]],Table2527[[#All],[ ]:[Bucket CTL]],2,0)</f>
        <v/>
      </c>
      <c r="O5" s="147">
        <f>VLOOKUP(aug[[#This Row],[Key]],Table2527[[#All],[ ]:[Bucket CTL]],3,0)</f>
        <v/>
      </c>
      <c r="P5" s="147" t="n"/>
      <c r="Q5" s="147">
        <f>VLOOKUP(aug[[#This Row],[Key]],Table2527[[#All],[ ]:[TSL Material Code]],4,0)</f>
        <v/>
      </c>
      <c r="R5" s="147">
        <f>VLOOKUP(aug[[#This Row],[Key]],Table2527[[#All],[ ]:[TSL Material Code]],5,0)</f>
        <v/>
      </c>
      <c r="S5" s="147">
        <f>EXACT(aug[[#This Row],[Material code july]],aug[[#This Row],[TSL Material Code]])</f>
        <v/>
      </c>
      <c r="T5" s="151" t="inlineStr">
        <is>
          <t>0789</t>
        </is>
      </c>
      <c r="U5" s="150" t="n">
        <v>1931154</v>
      </c>
      <c r="V5" s="19" t="n">
        <v>2</v>
      </c>
      <c r="W5" s="147" t="n">
        <v>0</v>
      </c>
      <c r="X5" s="147" t="n">
        <v>4</v>
      </c>
      <c r="Y5" s="147" t="n"/>
      <c r="Z5" s="147">
        <f>X5-W5</f>
        <v/>
      </c>
      <c r="AA5" s="147" t="n">
        <v>0</v>
      </c>
      <c r="AB5" s="147">
        <f>Z5+AA5</f>
        <v/>
      </c>
      <c r="AC5" s="19">
        <f>V5-AB5</f>
        <v/>
      </c>
      <c r="AD5" s="387">
        <f>IF(AC5&gt;0,AC5,0)</f>
        <v/>
      </c>
      <c r="AE5" s="416">
        <f>SUMIFS(meghsteelsales_previousmonth[Quantity],meghsteelsales_previousmonth[Length Bucket],aug[[#This Row],[Bucket CTL]])/1000</f>
        <v/>
      </c>
      <c r="AF5" s="160">
        <f>SUMIFS(meghsteelsales_currentmonth[Quantity],meghsteelsales_currentmonth[Length Bucket],aug[[#This Row],[Bucket CTL]])/1000</f>
        <v/>
      </c>
      <c r="AG5" s="187">
        <f>aug[[#This Row],[order logg ]]+aug[[#This Row],[ INDENT  FOR AUG-25 recommended]]</f>
        <v/>
      </c>
      <c r="AH5" s="427">
        <f>aug[[#This Row],[Before 20th]]+aug[[#This Row],[ofter 20th]]</f>
        <v/>
      </c>
      <c r="AI5" s="427">
        <f>IF((aug[[#This Row],[Total Indent]]-aug[[#This Row],[Total Delivered]])&lt;0,0,aug[[#This Row],[Total Indent]]-aug[[#This Row],[Total Delivered]])</f>
        <v/>
      </c>
      <c r="AJ5" s="187" t="n"/>
    </row>
    <row r="6">
      <c r="A6" s="265" t="inlineStr">
        <is>
          <t>TVS</t>
        </is>
      </c>
      <c r="B6" s="147" t="inlineStr">
        <is>
          <t>RUCHA</t>
        </is>
      </c>
      <c r="C6" s="147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12.7</v>
      </c>
      <c r="G6" s="148" t="n"/>
      <c r="H6" s="148" t="n">
        <v>2</v>
      </c>
      <c r="I6" s="147" t="n">
        <v>6000</v>
      </c>
      <c r="J6" s="147" t="n">
        <v>6</v>
      </c>
      <c r="K6" s="147">
        <f>COUNTIF(_xlfn.ANCHORARRAY(A$74),M6)</f>
        <v/>
      </c>
      <c r="L6" s="147" t="n"/>
      <c r="M6" s="147">
        <f>_xlfn.CONCAT(F6,H6,J6,E6,D6)</f>
        <v/>
      </c>
      <c r="N6" s="147">
        <f>VLOOKUP(aug[[#This Row],[Key]],Table2527[[#All],[ ]:[Bucket CTL]],2,0)</f>
        <v/>
      </c>
      <c r="O6" s="147">
        <f>VLOOKUP(aug[[#This Row],[Key]],Table2527[[#All],[ ]:[Bucket CTL]],3,0)</f>
        <v/>
      </c>
      <c r="P6" s="147" t="n"/>
      <c r="Q6" s="147">
        <f>VLOOKUP(aug[[#This Row],[Key]],Table2527[[#All],[ ]:[TSL Material Code]],4,0)</f>
        <v/>
      </c>
      <c r="R6" s="147">
        <f>VLOOKUP(aug[[#This Row],[Key]],Table2527[[#All],[ ]:[TSL Material Code]],5,0)</f>
        <v/>
      </c>
      <c r="S6" s="147">
        <f>EXACT(aug[[#This Row],[Material code july]],aug[[#This Row],[TSL Material Code]])</f>
        <v/>
      </c>
      <c r="T6" s="151" t="inlineStr">
        <is>
          <t>0789</t>
        </is>
      </c>
      <c r="U6" s="149" t="n">
        <v>236166</v>
      </c>
      <c r="V6" s="19" t="n">
        <v>3</v>
      </c>
      <c r="W6" s="147" t="n">
        <v>0</v>
      </c>
      <c r="X6" s="147" t="n">
        <v>0</v>
      </c>
      <c r="Y6" s="147" t="n"/>
      <c r="Z6" s="147">
        <f>X6-W6</f>
        <v/>
      </c>
      <c r="AA6" s="147" t="n">
        <v>0</v>
      </c>
      <c r="AB6" s="147">
        <f>Z6+AA6</f>
        <v/>
      </c>
      <c r="AC6" s="19">
        <f>V6-AB6</f>
        <v/>
      </c>
      <c r="AD6" s="387">
        <f>IF(AC6&gt;0,AC6,0)</f>
        <v/>
      </c>
      <c r="AE6" s="416">
        <f>SUMIFS(meghsteelsales_previousmonth[Quantity],meghsteelsales_previousmonth[Length Bucket],aug[[#This Row],[Bucket CTL]])/1000</f>
        <v/>
      </c>
      <c r="AF6" s="160">
        <f>SUMIFS(meghsteelsales_currentmonth[Quantity],meghsteelsales_currentmonth[Length Bucket],aug[[#This Row],[Bucket CTL]])/1000</f>
        <v/>
      </c>
      <c r="AG6" s="187">
        <f>aug[[#This Row],[order logg ]]+aug[[#This Row],[ INDENT  FOR AUG-25 recommended]]</f>
        <v/>
      </c>
      <c r="AH6" s="427">
        <f>aug[[#This Row],[Before 20th]]+aug[[#This Row],[ofter 20th]]</f>
        <v/>
      </c>
      <c r="AI6" s="427">
        <f>IF((aug[[#This Row],[Total Indent]]-aug[[#This Row],[Total Delivered]])&lt;0,0,aug[[#This Row],[Total Indent]]-aug[[#This Row],[Total Delivered]])</f>
        <v/>
      </c>
      <c r="AJ6" s="187" t="n"/>
    </row>
    <row r="7">
      <c r="A7" s="265" t="inlineStr">
        <is>
          <t>HMSI</t>
        </is>
      </c>
      <c r="B7" s="147" t="inlineStr">
        <is>
          <t>BADVE</t>
        </is>
      </c>
      <c r="C7" s="147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48" t="n">
        <v>15.88</v>
      </c>
      <c r="G7" s="148" t="n"/>
      <c r="H7" s="148" t="n">
        <v>1</v>
      </c>
      <c r="I7" s="147" t="n">
        <v>6000</v>
      </c>
      <c r="J7" s="147" t="n">
        <v>6</v>
      </c>
      <c r="K7" s="147">
        <f>COUNTIF(_xlfn.ANCHORARRAY(A$74),M7)</f>
        <v/>
      </c>
      <c r="L7" s="147" t="n"/>
      <c r="M7" s="147">
        <f>_xlfn.CONCAT(F7,H7,J7,E7,D7)</f>
        <v/>
      </c>
      <c r="N7" s="147">
        <f>VLOOKUP(aug[[#This Row],[Key]],Table2527[[#All],[ ]:[Bucket CTL]],2,0)</f>
        <v/>
      </c>
      <c r="O7" s="147">
        <f>VLOOKUP(aug[[#This Row],[Key]],Table2527[[#All],[ ]:[Bucket CTL]],3,0)</f>
        <v/>
      </c>
      <c r="P7" s="147" t="n"/>
      <c r="Q7" s="147">
        <f>VLOOKUP(aug[[#This Row],[Key]],Table2527[[#All],[ ]:[TSL Material Code]],4,0)</f>
        <v/>
      </c>
      <c r="R7" s="147">
        <f>VLOOKUP(aug[[#This Row],[Key]],Table2527[[#All],[ ]:[TSL Material Code]],5,0)</f>
        <v/>
      </c>
      <c r="S7" s="147">
        <f>EXACT(aug[[#This Row],[Material code july]],aug[[#This Row],[TSL Material Code]])</f>
        <v/>
      </c>
      <c r="T7" s="151" t="inlineStr">
        <is>
          <t>0789</t>
        </is>
      </c>
      <c r="U7" s="150" t="n">
        <v>1940054</v>
      </c>
      <c r="V7" s="19" t="n">
        <v>1</v>
      </c>
      <c r="W7" s="147" t="n">
        <v>0</v>
      </c>
      <c r="X7" s="147" t="n">
        <v>1.4</v>
      </c>
      <c r="Y7" s="147" t="n"/>
      <c r="Z7" s="147">
        <f>X7-W7</f>
        <v/>
      </c>
      <c r="AA7" s="147" t="n">
        <v>0</v>
      </c>
      <c r="AB7" s="147">
        <f>Z7+AA7</f>
        <v/>
      </c>
      <c r="AC7" s="19">
        <f>V7-AB7</f>
        <v/>
      </c>
      <c r="AD7" s="387">
        <f>IF(AC7&gt;0,AC7,0)</f>
        <v/>
      </c>
      <c r="AE7" s="416">
        <f>SUMIFS(meghsteelsales_previousmonth[Quantity],meghsteelsales_previousmonth[Length Bucket],aug[[#This Row],[Bucket CTL]])/1000</f>
        <v/>
      </c>
      <c r="AF7" s="160">
        <f>SUMIFS(meghsteelsales_currentmonth[Quantity],meghsteelsales_currentmonth[Length Bucket],aug[[#This Row],[Bucket CTL]])/1000</f>
        <v/>
      </c>
      <c r="AG7" s="187">
        <f>aug[[#This Row],[order logg ]]+aug[[#This Row],[ INDENT  FOR AUG-25 recommended]]</f>
        <v/>
      </c>
      <c r="AH7" s="427">
        <f>aug[[#This Row],[Before 20th]]+aug[[#This Row],[ofter 20th]]</f>
        <v/>
      </c>
      <c r="AI7" s="427">
        <f>IF((aug[[#This Row],[Total Indent]]-aug[[#This Row],[Total Delivered]])&lt;0,0,aug[[#This Row],[Total Indent]]-aug[[#This Row],[Total Delivered]])</f>
        <v/>
      </c>
      <c r="AJ7" s="187" t="n"/>
    </row>
    <row r="8">
      <c r="A8" s="265" t="inlineStr">
        <is>
          <t>TVS</t>
        </is>
      </c>
      <c r="B8" s="147" t="inlineStr">
        <is>
          <t>RUCHA</t>
        </is>
      </c>
      <c r="C8" s="147" t="inlineStr">
        <is>
          <t>ERW1</t>
        </is>
      </c>
      <c r="D8" s="147" t="inlineStr">
        <is>
          <t>NON FIN</t>
        </is>
      </c>
      <c r="E8" s="147" t="inlineStr">
        <is>
          <t>ERW</t>
        </is>
      </c>
      <c r="F8" s="148" t="n">
        <v>15.88</v>
      </c>
      <c r="G8" s="148" t="n"/>
      <c r="H8" s="148" t="n">
        <v>1.2</v>
      </c>
      <c r="I8" s="147" t="n">
        <v>6000</v>
      </c>
      <c r="J8" s="147" t="n">
        <v>6</v>
      </c>
      <c r="K8" s="147">
        <f>COUNTIF(_xlfn.ANCHORARRAY(A$74),M8)</f>
        <v/>
      </c>
      <c r="L8" s="147" t="n"/>
      <c r="M8" s="147">
        <f>_xlfn.CONCAT(F8,H8,J8,E8,D8)</f>
        <v/>
      </c>
      <c r="N8" s="147">
        <f>VLOOKUP(aug[[#This Row],[Key]],Table2527[[#All],[ ]:[Bucket CTL]],2,0)</f>
        <v/>
      </c>
      <c r="O8" s="147">
        <f>VLOOKUP(aug[[#This Row],[Key]],Table2527[[#All],[ ]:[Bucket CTL]],3,0)</f>
        <v/>
      </c>
      <c r="P8" s="147" t="n"/>
      <c r="Q8" s="147">
        <f>VLOOKUP(aug[[#This Row],[Key]],Table2527[[#All],[ ]:[TSL Material Code]],4,0)</f>
        <v/>
      </c>
      <c r="R8" s="147">
        <f>VLOOKUP(aug[[#This Row],[Key]],Table2527[[#All],[ ]:[TSL Material Code]],5,0)</f>
        <v/>
      </c>
      <c r="S8" s="147">
        <f>EXACT(aug[[#This Row],[Material code july]],aug[[#This Row],[TSL Material Code]])</f>
        <v/>
      </c>
      <c r="T8" s="151" t="inlineStr">
        <is>
          <t>0789</t>
        </is>
      </c>
      <c r="U8" s="150" t="n">
        <v>1940054</v>
      </c>
      <c r="V8" s="19" t="n">
        <v>5</v>
      </c>
      <c r="W8" s="147" t="n">
        <v>2</v>
      </c>
      <c r="X8" s="147" t="n">
        <v>0</v>
      </c>
      <c r="Y8" s="147" t="n"/>
      <c r="Z8" s="147">
        <f>X8-W8</f>
        <v/>
      </c>
      <c r="AA8" s="147" t="n">
        <v>0</v>
      </c>
      <c r="AB8" s="147">
        <f>Z8+AA8</f>
        <v/>
      </c>
      <c r="AC8" s="19">
        <f>V8-AB8</f>
        <v/>
      </c>
      <c r="AD8" s="387">
        <f>IF(AC8&gt;0,AC8,0)</f>
        <v/>
      </c>
      <c r="AE8" s="416">
        <f>SUMIFS(meghsteelsales_previousmonth[Quantity],meghsteelsales_previousmonth[Length Bucket],aug[[#This Row],[Bucket CTL]])/1000</f>
        <v/>
      </c>
      <c r="AF8" s="160">
        <f>SUMIFS(meghsteelsales_currentmonth[Quantity],meghsteelsales_currentmonth[Length Bucket],aug[[#This Row],[Bucket CTL]])/1000</f>
        <v/>
      </c>
      <c r="AG8" s="187">
        <f>aug[[#This Row],[order logg ]]+aug[[#This Row],[ INDENT  FOR AUG-25 recommended]]</f>
        <v/>
      </c>
      <c r="AH8" s="427">
        <f>aug[[#This Row],[Before 20th]]+aug[[#This Row],[ofter 20th]]</f>
        <v/>
      </c>
      <c r="AI8" s="427">
        <f>IF((aug[[#This Row],[Total Indent]]-aug[[#This Row],[Total Delivered]])&lt;0,0,aug[[#This Row],[Total Indent]]-aug[[#This Row],[Total Delivered]])</f>
        <v/>
      </c>
      <c r="AJ8" s="187" t="n"/>
    </row>
    <row r="9">
      <c r="A9" s="265" t="inlineStr">
        <is>
          <t>HMSI</t>
        </is>
      </c>
      <c r="B9" s="147" t="inlineStr">
        <is>
          <t>BADVE</t>
        </is>
      </c>
      <c r="C9" s="147" t="inlineStr">
        <is>
          <t>ERW1</t>
        </is>
      </c>
      <c r="D9" s="147" t="inlineStr">
        <is>
          <t>NON FIN</t>
        </is>
      </c>
      <c r="E9" s="147" t="inlineStr">
        <is>
          <t>ERW</t>
        </is>
      </c>
      <c r="F9" s="148" t="n">
        <v>15.88</v>
      </c>
      <c r="G9" s="148" t="n"/>
      <c r="H9" s="148" t="n">
        <v>1.6</v>
      </c>
      <c r="I9" s="147" t="n">
        <v>6000</v>
      </c>
      <c r="J9" s="147" t="n">
        <v>6</v>
      </c>
      <c r="K9" s="147">
        <f>COUNTIF(_xlfn.ANCHORARRAY(A$74),M9)</f>
        <v/>
      </c>
      <c r="L9" s="147" t="n"/>
      <c r="M9" s="147">
        <f>_xlfn.CONCAT(F9,H9,J9,E9,D9)</f>
        <v/>
      </c>
      <c r="N9" s="147">
        <f>VLOOKUP(aug[[#This Row],[Key]],Table2527[[#All],[ ]:[Bucket CTL]],2,0)</f>
        <v/>
      </c>
      <c r="O9" s="147">
        <f>VLOOKUP(aug[[#This Row],[Key]],Table2527[[#All],[ ]:[Bucket CTL]],3,0)</f>
        <v/>
      </c>
      <c r="P9" s="147" t="n"/>
      <c r="Q9" s="147">
        <f>VLOOKUP(aug[[#This Row],[Key]],Table2527[[#All],[ ]:[TSL Material Code]],4,0)</f>
        <v/>
      </c>
      <c r="R9" s="147">
        <f>VLOOKUP(aug[[#This Row],[Key]],Table2527[[#All],[ ]:[TSL Material Code]],5,0)</f>
        <v/>
      </c>
      <c r="S9" s="147">
        <f>EXACT(aug[[#This Row],[Material code july]],aug[[#This Row],[TSL Material Code]])</f>
        <v/>
      </c>
      <c r="T9" s="151" t="inlineStr">
        <is>
          <t>0789</t>
        </is>
      </c>
      <c r="U9" s="150" t="n">
        <v>1900224</v>
      </c>
      <c r="V9" s="19" t="n">
        <v>2</v>
      </c>
      <c r="W9" s="147" t="n">
        <v>0</v>
      </c>
      <c r="X9" s="147" t="n">
        <v>4</v>
      </c>
      <c r="Y9" s="147" t="n"/>
      <c r="Z9" s="147">
        <f>X9-W9</f>
        <v/>
      </c>
      <c r="AA9" s="147" t="n">
        <v>0</v>
      </c>
      <c r="AB9" s="147">
        <f>Z9+AA9</f>
        <v/>
      </c>
      <c r="AC9" s="19">
        <f>V9-AB9</f>
        <v/>
      </c>
      <c r="AD9" s="387">
        <f>IF(AC9&gt;0,AC9,0)</f>
        <v/>
      </c>
      <c r="AE9" s="416">
        <f>SUMIFS(meghsteelsales_previousmonth[Quantity],meghsteelsales_previousmonth[Length Bucket],aug[[#This Row],[Bucket CTL]])/1000</f>
        <v/>
      </c>
      <c r="AF9" s="160">
        <f>SUMIFS(meghsteelsales_currentmonth[Quantity],meghsteelsales_currentmonth[Length Bucket],aug[[#This Row],[Bucket CTL]])/1000</f>
        <v/>
      </c>
      <c r="AG9" s="187">
        <f>aug[[#This Row],[order logg ]]+aug[[#This Row],[ INDENT  FOR AUG-25 recommended]]</f>
        <v/>
      </c>
      <c r="AH9" s="427">
        <f>aug[[#This Row],[Before 20th]]+aug[[#This Row],[ofter 20th]]</f>
        <v/>
      </c>
      <c r="AI9" s="427">
        <f>IF((aug[[#This Row],[Total Indent]]-aug[[#This Row],[Total Delivered]])&lt;0,0,aug[[#This Row],[Total Indent]]-aug[[#This Row],[Total Delivered]])</f>
        <v/>
      </c>
      <c r="AJ9" s="187" t="n"/>
    </row>
    <row r="10">
      <c r="A10" s="265" t="inlineStr">
        <is>
          <t>HMSI</t>
        </is>
      </c>
      <c r="B10" s="147" t="inlineStr">
        <is>
          <t>BADVE</t>
        </is>
      </c>
      <c r="C10" s="147" t="inlineStr">
        <is>
          <t>ERW1</t>
        </is>
      </c>
      <c r="D10" s="147" t="inlineStr">
        <is>
          <t>NON FIN</t>
        </is>
      </c>
      <c r="E10" s="147" t="inlineStr">
        <is>
          <t>ERW</t>
        </is>
      </c>
      <c r="F10" s="148" t="n">
        <v>15.88</v>
      </c>
      <c r="G10" s="148" t="n"/>
      <c r="H10" s="148" t="n">
        <v>2</v>
      </c>
      <c r="I10" s="147" t="n">
        <v>6000</v>
      </c>
      <c r="J10" s="147" t="n">
        <v>6</v>
      </c>
      <c r="K10" s="147">
        <f>COUNTIF(_xlfn.ANCHORARRAY(A$74),M10)</f>
        <v/>
      </c>
      <c r="L10" s="147" t="n"/>
      <c r="M10" s="147">
        <f>_xlfn.CONCAT(F10,H10,J10,E10,D10)</f>
        <v/>
      </c>
      <c r="N10" s="147">
        <f>VLOOKUP(aug[[#This Row],[Key]],Table2527[[#All],[ ]:[Bucket CTL]],2,0)</f>
        <v/>
      </c>
      <c r="O10" s="147">
        <f>VLOOKUP(aug[[#This Row],[Key]],Table2527[[#All],[ ]:[Bucket CTL]],3,0)</f>
        <v/>
      </c>
      <c r="P10" s="147" t="n"/>
      <c r="Q10" s="147">
        <f>VLOOKUP(aug[[#This Row],[Key]],Table2527[[#All],[ ]:[TSL Material Code]],4,0)</f>
        <v/>
      </c>
      <c r="R10" s="147">
        <f>VLOOKUP(aug[[#This Row],[Key]],Table2527[[#All],[ ]:[TSL Material Code]],5,0)</f>
        <v/>
      </c>
      <c r="S10" s="147">
        <f>EXACT(aug[[#This Row],[Material code july]],aug[[#This Row],[TSL Material Code]])</f>
        <v/>
      </c>
      <c r="T10" s="151" t="inlineStr">
        <is>
          <t>0789</t>
        </is>
      </c>
      <c r="U10" s="150" t="n">
        <v>1940120</v>
      </c>
      <c r="V10" s="19" t="n">
        <v>5</v>
      </c>
      <c r="W10" s="147" t="n">
        <v>0</v>
      </c>
      <c r="X10" s="147" t="n">
        <v>2</v>
      </c>
      <c r="Y10" s="147" t="n"/>
      <c r="Z10" s="147">
        <f>X10-W10</f>
        <v/>
      </c>
      <c r="AA10" s="147" t="n">
        <v>0</v>
      </c>
      <c r="AB10" s="147">
        <f>Z10+AA10</f>
        <v/>
      </c>
      <c r="AC10" s="19">
        <f>V10-AB10</f>
        <v/>
      </c>
      <c r="AD10" s="387">
        <f>IF(AC10&gt;0,AC10,0)</f>
        <v/>
      </c>
      <c r="AE10" s="416">
        <f>SUMIFS(meghsteelsales_previousmonth[Quantity],meghsteelsales_previousmonth[Length Bucket],aug[[#This Row],[Bucket CTL]])/1000</f>
        <v/>
      </c>
      <c r="AF10" s="160">
        <f>SUMIFS(meghsteelsales_currentmonth[Quantity],meghsteelsales_currentmonth[Length Bucket],aug[[#This Row],[Bucket CTL]])/1000</f>
        <v/>
      </c>
      <c r="AG10" s="187">
        <f>aug[[#This Row],[order logg ]]+aug[[#This Row],[ INDENT  FOR AUG-25 recommended]]</f>
        <v/>
      </c>
      <c r="AH10" s="427">
        <f>aug[[#This Row],[Before 20th]]+aug[[#This Row],[ofter 20th]]</f>
        <v/>
      </c>
      <c r="AI10" s="427">
        <f>IF((aug[[#This Row],[Total Indent]]-aug[[#This Row],[Total Delivered]])&lt;0,0,aug[[#This Row],[Total Indent]]-aug[[#This Row],[Total Delivered]])</f>
        <v/>
      </c>
      <c r="AJ10" s="187" t="n"/>
    </row>
    <row r="11">
      <c r="A11" s="265" t="inlineStr">
        <is>
          <t>TVS</t>
        </is>
      </c>
      <c r="B11" s="147" t="inlineStr">
        <is>
          <t>Rucha</t>
        </is>
      </c>
      <c r="C11" s="147" t="inlineStr">
        <is>
          <t>ERW1</t>
        </is>
      </c>
      <c r="D11" s="147" t="inlineStr">
        <is>
          <t>NON FIN</t>
        </is>
      </c>
      <c r="E11" s="147" t="inlineStr">
        <is>
          <t>ERW</t>
        </is>
      </c>
      <c r="F11" s="148" t="n">
        <v>18.3</v>
      </c>
      <c r="G11" s="148" t="n"/>
      <c r="H11" s="148" t="n">
        <v>1</v>
      </c>
      <c r="I11" s="147" t="n">
        <v>6000</v>
      </c>
      <c r="J11" s="147" t="n">
        <v>6</v>
      </c>
      <c r="K11" s="147">
        <f>COUNTIF(_xlfn.ANCHORARRAY(A$74),M11)</f>
        <v/>
      </c>
      <c r="L11" s="147" t="n"/>
      <c r="M11" s="147">
        <f>_xlfn.CONCAT(F11,H11,J11,E11,D11)</f>
        <v/>
      </c>
      <c r="N11" s="147">
        <f>VLOOKUP(aug[[#This Row],[Key]],Table2527[[#All],[ ]:[Bucket CTL]],2,0)</f>
        <v/>
      </c>
      <c r="O11" s="147">
        <f>VLOOKUP(aug[[#This Row],[Key]],Table2527[[#All],[ ]:[Bucket CTL]],3,0)</f>
        <v/>
      </c>
      <c r="P11" s="147" t="n"/>
      <c r="Q11" s="147">
        <f>VLOOKUP(aug[[#This Row],[Key]],Table2527[[#All],[ ]:[TSL Material Code]],4,0)</f>
        <v/>
      </c>
      <c r="R11" s="147">
        <f>VLOOKUP(aug[[#This Row],[Key]],Table2527[[#All],[ ]:[TSL Material Code]],5,0)</f>
        <v/>
      </c>
      <c r="S11" s="147">
        <f>EXACT(aug[[#This Row],[Material code july]],aug[[#This Row],[TSL Material Code]])</f>
        <v/>
      </c>
      <c r="T11" s="151" t="inlineStr">
        <is>
          <t>0789</t>
        </is>
      </c>
      <c r="U11" s="150" t="n">
        <v>2288945</v>
      </c>
      <c r="V11" s="19" t="n">
        <v>10</v>
      </c>
      <c r="W11" s="147" t="n">
        <v>2</v>
      </c>
      <c r="X11" s="147" t="n">
        <v>6</v>
      </c>
      <c r="Y11" s="147" t="n"/>
      <c r="Z11" s="147">
        <f>X11-W11</f>
        <v/>
      </c>
      <c r="AA11" s="147" t="n">
        <v>0</v>
      </c>
      <c r="AB11" s="147">
        <f>Z11+AA11</f>
        <v/>
      </c>
      <c r="AC11" s="19">
        <f>V11-AB11</f>
        <v/>
      </c>
      <c r="AD11" s="387">
        <f>IF(AC11&gt;0,AC11,0)</f>
        <v/>
      </c>
      <c r="AE11" s="416">
        <f>SUMIFS(meghsteelsales_previousmonth[Quantity],meghsteelsales_previousmonth[Length Bucket],aug[[#This Row],[Bucket CTL]])/1000</f>
        <v/>
      </c>
      <c r="AF11" s="160">
        <f>SUMIFS(meghsteelsales_currentmonth[Quantity],meghsteelsales_currentmonth[Length Bucket],aug[[#This Row],[Bucket CTL]])/1000</f>
        <v/>
      </c>
      <c r="AG11" s="187">
        <f>aug[[#This Row],[order logg ]]+aug[[#This Row],[ INDENT  FOR AUG-25 recommended]]</f>
        <v/>
      </c>
      <c r="AH11" s="427">
        <f>aug[[#This Row],[Before 20th]]+aug[[#This Row],[ofter 20th]]</f>
        <v/>
      </c>
      <c r="AI11" s="427">
        <f>IF((aug[[#This Row],[Total Indent]]-aug[[#This Row],[Total Delivered]])&lt;0,0,aug[[#This Row],[Total Indent]]-aug[[#This Row],[Total Delivered]])</f>
        <v/>
      </c>
      <c r="AJ11" s="187" t="n"/>
    </row>
    <row r="12">
      <c r="A12" s="265" t="inlineStr">
        <is>
          <t>HMSI</t>
        </is>
      </c>
      <c r="B12" s="147" t="inlineStr">
        <is>
          <t>BADVE</t>
        </is>
      </c>
      <c r="C12" s="153" t="inlineStr">
        <is>
          <t>ERW1</t>
        </is>
      </c>
      <c r="D12" s="147" t="inlineStr">
        <is>
          <t>NON FIN</t>
        </is>
      </c>
      <c r="E12" s="147" t="inlineStr">
        <is>
          <t>ERW</t>
        </is>
      </c>
      <c r="F12" s="148" t="n">
        <v>19.05</v>
      </c>
      <c r="G12" s="148" t="n"/>
      <c r="H12" s="148" t="n">
        <v>1.6</v>
      </c>
      <c r="I12" s="147" t="n">
        <v>6000</v>
      </c>
      <c r="J12" s="147" t="n">
        <v>6</v>
      </c>
      <c r="K12" s="147">
        <f>COUNTIF(_xlfn.ANCHORARRAY(A$74),M12)</f>
        <v/>
      </c>
      <c r="L12" s="147" t="n"/>
      <c r="M12" s="147">
        <f>_xlfn.CONCAT(F12,H12,J12,E12,D12)</f>
        <v/>
      </c>
      <c r="N12" s="147">
        <f>VLOOKUP(aug[[#This Row],[Key]],Table2527[[#All],[ ]:[Bucket CTL]],2,0)</f>
        <v/>
      </c>
      <c r="O12" s="147">
        <f>VLOOKUP(aug[[#This Row],[Key]],Table2527[[#All],[ ]:[Bucket CTL]],3,0)</f>
        <v/>
      </c>
      <c r="P12" s="147" t="n"/>
      <c r="Q12" s="147">
        <f>VLOOKUP(aug[[#This Row],[Key]],Table2527[[#All],[ ]:[TSL Material Code]],4,0)</f>
        <v/>
      </c>
      <c r="R12" s="147">
        <f>VLOOKUP(aug[[#This Row],[Key]],Table2527[[#All],[ ]:[TSL Material Code]],5,0)</f>
        <v/>
      </c>
      <c r="S12" s="147">
        <f>EXACT(aug[[#This Row],[Material code july]],aug[[#This Row],[TSL Material Code]])</f>
        <v/>
      </c>
      <c r="T12" s="151" t="inlineStr">
        <is>
          <t>056</t>
        </is>
      </c>
      <c r="U12" s="150" t="n">
        <v>3498997</v>
      </c>
      <c r="V12" s="19" t="n">
        <v>10</v>
      </c>
      <c r="W12" s="147" t="n">
        <v>2</v>
      </c>
      <c r="X12" s="147" t="n">
        <v>1</v>
      </c>
      <c r="Y12" s="147" t="n"/>
      <c r="Z12" s="147">
        <f>X12-W12</f>
        <v/>
      </c>
      <c r="AA12" s="147" t="n">
        <v>6.4</v>
      </c>
      <c r="AB12" s="147">
        <f>Z12+AA12</f>
        <v/>
      </c>
      <c r="AC12" s="19">
        <f>V12-AB12</f>
        <v/>
      </c>
      <c r="AD12" s="387">
        <f>IF(AC12&gt;0,AC12,0)</f>
        <v/>
      </c>
      <c r="AE12" s="416">
        <f>SUMIFS(meghsteelsales_previousmonth[Quantity],meghsteelsales_previousmonth[Length Bucket],aug[[#This Row],[Bucket CTL]])/1000</f>
        <v/>
      </c>
      <c r="AF12" s="160">
        <f>SUMIFS(meghsteelsales_currentmonth[Quantity],meghsteelsales_currentmonth[Length Bucket],aug[[#This Row],[Bucket CTL]])/1000</f>
        <v/>
      </c>
      <c r="AG12" s="187">
        <f>aug[[#This Row],[order logg ]]+aug[[#This Row],[ INDENT  FOR AUG-25 recommended]]</f>
        <v/>
      </c>
      <c r="AH12" s="427">
        <f>aug[[#This Row],[Before 20th]]+aug[[#This Row],[ofter 20th]]</f>
        <v/>
      </c>
      <c r="AI12" s="427">
        <f>IF((aug[[#This Row],[Total Indent]]-aug[[#This Row],[Total Delivered]])&lt;0,0,aug[[#This Row],[Total Indent]]-aug[[#This Row],[Total Delivered]])</f>
        <v/>
      </c>
      <c r="AJ12" s="187" t="n"/>
    </row>
    <row r="13">
      <c r="A13" s="265" t="inlineStr">
        <is>
          <t>HMSI</t>
        </is>
      </c>
      <c r="B13" s="147" t="inlineStr">
        <is>
          <t>BADVE</t>
        </is>
      </c>
      <c r="C13" s="147" t="inlineStr">
        <is>
          <t>ERW2</t>
        </is>
      </c>
      <c r="D13" s="147" t="inlineStr">
        <is>
          <t>NON FIN</t>
        </is>
      </c>
      <c r="E13" s="147" t="inlineStr">
        <is>
          <t>ERW2</t>
        </is>
      </c>
      <c r="F13" s="148" t="n">
        <v>19.05</v>
      </c>
      <c r="G13" s="148" t="n"/>
      <c r="H13" s="148" t="n">
        <v>1.4</v>
      </c>
      <c r="I13" s="147" t="n">
        <v>6000</v>
      </c>
      <c r="J13" s="147" t="n">
        <v>6</v>
      </c>
      <c r="K13" s="147">
        <f>COUNTIF(_xlfn.ANCHORARRAY(A$74),M13)</f>
        <v/>
      </c>
      <c r="L13" s="147" t="n"/>
      <c r="M13" s="147">
        <f>_xlfn.CONCAT(F13,H13,J13,E13,D13)</f>
        <v/>
      </c>
      <c r="N13" s="147">
        <f>VLOOKUP(aug[[#This Row],[Key]],Table2527[[#All],[ ]:[Bucket CTL]],2,0)</f>
        <v/>
      </c>
      <c r="O13" s="147">
        <f>VLOOKUP(aug[[#This Row],[Key]],Table2527[[#All],[ ]:[Bucket CTL]],3,0)</f>
        <v/>
      </c>
      <c r="P13" s="147" t="n"/>
      <c r="Q13" s="147">
        <f>VLOOKUP(aug[[#This Row],[Key]],Table2527[[#All],[ ]:[TSL Material Code]],4,0)</f>
        <v/>
      </c>
      <c r="R13" s="147">
        <f>VLOOKUP(aug[[#This Row],[Key]],Table2527[[#All],[ ]:[TSL Material Code]],5,0)</f>
        <v/>
      </c>
      <c r="S13" s="147">
        <f>EXACT(aug[[#This Row],[Material code july]],aug[[#This Row],[TSL Material Code]])</f>
        <v/>
      </c>
      <c r="T13" s="151" t="inlineStr">
        <is>
          <t>056</t>
        </is>
      </c>
      <c r="U13" s="149" t="n">
        <v>3891285</v>
      </c>
      <c r="V13" s="19" t="n">
        <v>5</v>
      </c>
      <c r="W13" s="147" t="n">
        <v>0</v>
      </c>
      <c r="X13" s="147" t="n">
        <v>0</v>
      </c>
      <c r="Y13" s="147" t="n"/>
      <c r="Z13" s="147">
        <f>X13-W13</f>
        <v/>
      </c>
      <c r="AA13" s="147" t="n">
        <v>7.5</v>
      </c>
      <c r="AB13" s="147">
        <f>Z13+AA13</f>
        <v/>
      </c>
      <c r="AC13" s="19">
        <f>V13-AB13</f>
        <v/>
      </c>
      <c r="AD13" s="387">
        <f>IF(AC13&gt;0,AC13,0)</f>
        <v/>
      </c>
      <c r="AE13" s="416">
        <f>SUMIFS(meghsteelsales_previousmonth[Quantity],meghsteelsales_previousmonth[Length Bucket],aug[[#This Row],[Bucket CTL]])/1000</f>
        <v/>
      </c>
      <c r="AF13" s="160">
        <f>SUMIFS(meghsteelsales_currentmonth[Quantity],meghsteelsales_currentmonth[Length Bucket],aug[[#This Row],[Bucket CTL]])/1000</f>
        <v/>
      </c>
      <c r="AG13" s="187">
        <f>aug[[#This Row],[order logg ]]+aug[[#This Row],[ INDENT  FOR AUG-25 recommended]]</f>
        <v/>
      </c>
      <c r="AH13" s="427">
        <f>aug[[#This Row],[Before 20th]]+aug[[#This Row],[ofter 20th]]</f>
        <v/>
      </c>
      <c r="AI13" s="427">
        <f>IF((aug[[#This Row],[Total Indent]]-aug[[#This Row],[Total Delivered]])&lt;0,0,aug[[#This Row],[Total Indent]]-aug[[#This Row],[Total Delivered]])</f>
        <v/>
      </c>
      <c r="AJ13" s="187" t="n"/>
    </row>
    <row r="14">
      <c r="A14" s="265" t="inlineStr">
        <is>
          <t>TVS</t>
        </is>
      </c>
      <c r="B14" s="147" t="inlineStr">
        <is>
          <t>RUCHA</t>
        </is>
      </c>
      <c r="C14" s="153" t="inlineStr">
        <is>
          <t>ERW1</t>
        </is>
      </c>
      <c r="D14" s="147" t="inlineStr">
        <is>
          <t>NON FIN</t>
        </is>
      </c>
      <c r="E14" s="147" t="inlineStr">
        <is>
          <t>ERW</t>
        </is>
      </c>
      <c r="F14" s="154" t="n">
        <v>19.05</v>
      </c>
      <c r="G14" s="154" t="n"/>
      <c r="H14" s="154" t="n">
        <v>2</v>
      </c>
      <c r="I14" s="155" t="n">
        <v>5800</v>
      </c>
      <c r="J14" s="147" t="n">
        <v>5.8</v>
      </c>
      <c r="K14" s="147">
        <f>COUNTIF(_xlfn.ANCHORARRAY(A$74),M14)</f>
        <v/>
      </c>
      <c r="L14" s="147" t="n"/>
      <c r="M14" s="147">
        <f>_xlfn.CONCAT(F14,H14,J14,E14,D14)</f>
        <v/>
      </c>
      <c r="N14" s="147" t="inlineStr">
        <is>
          <t>19.05-0-2-ERW 1-PE</t>
        </is>
      </c>
      <c r="O14" s="147">
        <f>_xlfn.CONCAT(aug[[#This Row],[Bucket]],"-",aug[[#This Row],[Length in Mtrs]])</f>
        <v/>
      </c>
      <c r="P14" s="147" t="inlineStr">
        <is>
          <t>Value Added</t>
        </is>
      </c>
      <c r="Q14" s="147">
        <f>VLOOKUP(aug[[#This Row],[Key]],Table2527[[#All],[ ]:[TSL Material Code]],4,0)</f>
        <v/>
      </c>
      <c r="R14" s="147">
        <f>VLOOKUP(aug[[#This Row],[Key]],Table2527[[#All],[ ]:[TSL Material Code]],5,0)</f>
        <v/>
      </c>
      <c r="S14" s="147">
        <f>EXACT(aug[[#This Row],[Material code july]],aug[[#This Row],[TSL Material Code]])</f>
        <v/>
      </c>
      <c r="T14" s="151" t="inlineStr">
        <is>
          <t>056</t>
        </is>
      </c>
      <c r="U14" s="150">
        <f>aug[[#This Row],[Material code july]]</f>
        <v/>
      </c>
      <c r="V14" s="19" t="n">
        <v>35</v>
      </c>
      <c r="W14" s="147" t="n">
        <v>6</v>
      </c>
      <c r="X14" s="147" t="n">
        <v>50</v>
      </c>
      <c r="Y14" s="147" t="n"/>
      <c r="Z14" s="147">
        <f>X14-W14</f>
        <v/>
      </c>
      <c r="AA14" s="147" t="n">
        <v>17.5</v>
      </c>
      <c r="AB14" s="147">
        <f>Z14+AA14</f>
        <v/>
      </c>
      <c r="AC14" s="19">
        <f>V14-AB14</f>
        <v/>
      </c>
      <c r="AD14" s="387">
        <f>IF(AC14&gt;0,AC14,0)</f>
        <v/>
      </c>
      <c r="AE14" s="416">
        <f>SUMIFS(meghsteelsales_previousmonth[Quantity],meghsteelsales_previousmonth[Length Bucket],aug[[#This Row],[Bucket CTL]])/1000</f>
        <v/>
      </c>
      <c r="AF14" s="160">
        <f>SUMIFS(meghsteelsales_currentmonth[Quantity],meghsteelsales_currentmonth[Length Bucket],aug[[#This Row],[Bucket CTL]])/1000</f>
        <v/>
      </c>
      <c r="AG14" s="147">
        <f>aug[[#This Row],[order logg ]]+aug[[#This Row],[ INDENT  FOR AUG-25 recommended]]</f>
        <v/>
      </c>
      <c r="AH14" s="416">
        <f>aug[[#This Row],[Before 20th]]+aug[[#This Row],[ofter 20th]]</f>
        <v/>
      </c>
      <c r="AI14" s="416">
        <f>IF((aug[[#This Row],[Total Indent]]-aug[[#This Row],[Total Delivered]])&lt;0,0,aug[[#This Row],[Total Indent]]-aug[[#This Row],[Total Delivered]])</f>
        <v/>
      </c>
      <c r="AJ14" s="147" t="n">
        <v>50</v>
      </c>
    </row>
    <row r="15">
      <c r="A15" s="265" t="inlineStr">
        <is>
          <t>TVS</t>
        </is>
      </c>
      <c r="B15" s="147" t="inlineStr">
        <is>
          <t>RUCHA,METALMAN</t>
        </is>
      </c>
      <c r="C15" s="153" t="inlineStr">
        <is>
          <t>ERW1</t>
        </is>
      </c>
      <c r="D15" s="147" t="inlineStr">
        <is>
          <t>NON FIN</t>
        </is>
      </c>
      <c r="E15" s="147" t="inlineStr">
        <is>
          <t>ERW</t>
        </is>
      </c>
      <c r="F15" s="148" t="n">
        <v>19.05</v>
      </c>
      <c r="G15" s="148" t="n"/>
      <c r="H15" s="148" t="n">
        <v>2.3</v>
      </c>
      <c r="I15" s="147" t="n">
        <v>7000</v>
      </c>
      <c r="J15" s="147" t="n">
        <v>7</v>
      </c>
      <c r="K15" s="147">
        <f>COUNTIF(_xlfn.ANCHORARRAY(A$74),M15)</f>
        <v/>
      </c>
      <c r="L15" s="147" t="n"/>
      <c r="M15" s="147">
        <f>_xlfn.CONCAT(F15,H15,J15,E15,D15)</f>
        <v/>
      </c>
      <c r="N15" s="147">
        <f>VLOOKUP(aug[[#This Row],[Key]],Table2527[[#All],[ ]:[Bucket CTL]],2,0)</f>
        <v/>
      </c>
      <c r="O15" s="147">
        <f>VLOOKUP(aug[[#This Row],[Key]],Table2527[[#All],[ ]:[Bucket CTL]],3,0)</f>
        <v/>
      </c>
      <c r="P15" s="147" t="n"/>
      <c r="Q15" s="147">
        <f>VLOOKUP(aug[[#This Row],[Key]],Table2527[[#All],[ ]:[TSL Material Code]],4,0)</f>
        <v/>
      </c>
      <c r="R15" s="147">
        <f>VLOOKUP(aug[[#This Row],[Key]],Table2527[[#All],[ ]:[TSL Material Code]],5,0)</f>
        <v/>
      </c>
      <c r="S15" s="147">
        <f>EXACT(aug[[#This Row],[Material code july]],aug[[#This Row],[TSL Material Code]])</f>
        <v/>
      </c>
      <c r="T15" s="151" t="inlineStr">
        <is>
          <t>056</t>
        </is>
      </c>
      <c r="U15" s="150" t="n">
        <v>3500582</v>
      </c>
      <c r="V15" s="19" t="n">
        <v>20</v>
      </c>
      <c r="W15" s="147" t="n">
        <v>3</v>
      </c>
      <c r="X15" s="147" t="n">
        <v>4</v>
      </c>
      <c r="Y15" s="147" t="n"/>
      <c r="Z15" s="147">
        <f>X15-W15</f>
        <v/>
      </c>
      <c r="AA15" s="147" t="n">
        <v>29.7</v>
      </c>
      <c r="AB15" s="147">
        <f>Z15+AA15</f>
        <v/>
      </c>
      <c r="AC15" s="19">
        <f>V15-AB15</f>
        <v/>
      </c>
      <c r="AD15" s="387">
        <f>IF(AC15&gt;0,AC15,0)</f>
        <v/>
      </c>
      <c r="AE15" s="416">
        <f>SUMIFS(meghsteelsales_previousmonth[Quantity],meghsteelsales_previousmonth[Length Bucket],aug[[#This Row],[Bucket CTL]])/1000</f>
        <v/>
      </c>
      <c r="AF15" s="160">
        <f>SUMIFS(meghsteelsales_currentmonth[Quantity],meghsteelsales_currentmonth[Length Bucket],aug[[#This Row],[Bucket CTL]])/1000</f>
        <v/>
      </c>
      <c r="AG15" s="187">
        <f>aug[[#This Row],[order logg ]]+aug[[#This Row],[ INDENT  FOR AUG-25 recommended]]</f>
        <v/>
      </c>
      <c r="AH15" s="427">
        <f>aug[[#This Row],[Before 20th]]+aug[[#This Row],[ofter 20th]]</f>
        <v/>
      </c>
      <c r="AI15" s="427">
        <f>IF((aug[[#This Row],[Total Indent]]-aug[[#This Row],[Total Delivered]])&lt;0,0,aug[[#This Row],[Total Indent]]-aug[[#This Row],[Total Delivered]])</f>
        <v/>
      </c>
      <c r="AJ15" s="187" t="n"/>
    </row>
    <row r="16">
      <c r="A16" s="265" t="inlineStr">
        <is>
          <t>TVS</t>
        </is>
      </c>
      <c r="B16" s="147" t="inlineStr">
        <is>
          <t>RUCHA</t>
        </is>
      </c>
      <c r="C16" s="147" t="inlineStr">
        <is>
          <t>ERW1</t>
        </is>
      </c>
      <c r="D16" s="147" t="inlineStr">
        <is>
          <t>NON FIN</t>
        </is>
      </c>
      <c r="E16" s="147" t="inlineStr">
        <is>
          <t>ERW</t>
        </is>
      </c>
      <c r="F16" s="148" t="n">
        <v>21.4</v>
      </c>
      <c r="G16" s="148" t="n"/>
      <c r="H16" s="148" t="n">
        <v>1.6</v>
      </c>
      <c r="I16" s="147" t="n">
        <v>6000</v>
      </c>
      <c r="J16" s="147" t="n">
        <v>6</v>
      </c>
      <c r="K16" s="147">
        <f>COUNTIF(_xlfn.ANCHORARRAY(A$74),M16)</f>
        <v/>
      </c>
      <c r="L16" s="147" t="n"/>
      <c r="M16" s="147">
        <f>_xlfn.CONCAT(F16,H16,J16,E16,D16)</f>
        <v/>
      </c>
      <c r="N16" s="147">
        <f>VLOOKUP(aug[[#This Row],[Key]],Table2527[[#All],[ ]:[Bucket CTL]],2,0)</f>
        <v/>
      </c>
      <c r="O16" s="147">
        <f>VLOOKUP(aug[[#This Row],[Key]],Table2527[[#All],[ ]:[Bucket CTL]],3,0)</f>
        <v/>
      </c>
      <c r="P16" s="147" t="n"/>
      <c r="Q16" s="147">
        <f>VLOOKUP(aug[[#This Row],[Key]],Table2527[[#All],[ ]:[TSL Material Code]],4,0)</f>
        <v/>
      </c>
      <c r="R16" s="147">
        <f>VLOOKUP(aug[[#This Row],[Key]],Table2527[[#All],[ ]:[TSL Material Code]],5,0)</f>
        <v/>
      </c>
      <c r="S16" s="147">
        <f>EXACT(aug[[#This Row],[Material code july]],aug[[#This Row],[TSL Material Code]])</f>
        <v/>
      </c>
      <c r="T16" s="151" t="inlineStr">
        <is>
          <t>0789</t>
        </is>
      </c>
      <c r="U16" s="150" t="n">
        <v>3219710</v>
      </c>
      <c r="V16" s="19" t="n">
        <v>10</v>
      </c>
      <c r="W16" s="147" t="n">
        <v>1</v>
      </c>
      <c r="X16" s="147" t="n">
        <v>8</v>
      </c>
      <c r="Y16" s="147" t="n"/>
      <c r="Z16" s="147">
        <f>X16-W16</f>
        <v/>
      </c>
      <c r="AA16" s="147" t="n">
        <v>0</v>
      </c>
      <c r="AB16" s="147">
        <f>Z16+AA16</f>
        <v/>
      </c>
      <c r="AC16" s="19">
        <f>V16-AB16</f>
        <v/>
      </c>
      <c r="AD16" s="387">
        <f>IF(AC16&gt;0,AC16,0)</f>
        <v/>
      </c>
      <c r="AE16" s="416">
        <f>SUMIFS(meghsteelsales_previousmonth[Quantity],meghsteelsales_previousmonth[Length Bucket],aug[[#This Row],[Bucket CTL]])/1000</f>
        <v/>
      </c>
      <c r="AF16" s="160">
        <f>SUMIFS(meghsteelsales_currentmonth[Quantity],meghsteelsales_currentmonth[Length Bucket],aug[[#This Row],[Bucket CTL]])/1000</f>
        <v/>
      </c>
      <c r="AG16" s="187">
        <f>aug[[#This Row],[order logg ]]+aug[[#This Row],[ INDENT  FOR AUG-25 recommended]]</f>
        <v/>
      </c>
      <c r="AH16" s="427">
        <f>aug[[#This Row],[Before 20th]]+aug[[#This Row],[ofter 20th]]</f>
        <v/>
      </c>
      <c r="AI16" s="427">
        <f>IF((aug[[#This Row],[Total Indent]]-aug[[#This Row],[Total Delivered]])&lt;0,0,aug[[#This Row],[Total Indent]]-aug[[#This Row],[Total Delivered]])</f>
        <v/>
      </c>
      <c r="AJ16" s="187" t="n"/>
    </row>
    <row r="17">
      <c r="A17" s="265" t="inlineStr">
        <is>
          <t>TVS</t>
        </is>
      </c>
      <c r="B17" s="147" t="inlineStr">
        <is>
          <t>RUCHA</t>
        </is>
      </c>
      <c r="C17" s="153" t="inlineStr">
        <is>
          <t>ERW1</t>
        </is>
      </c>
      <c r="D17" s="147" t="inlineStr">
        <is>
          <t>NON FIN</t>
        </is>
      </c>
      <c r="E17" s="147" t="inlineStr">
        <is>
          <t>ERW</t>
        </is>
      </c>
      <c r="F17" s="148" t="n">
        <v>22.2</v>
      </c>
      <c r="G17" s="148" t="n"/>
      <c r="H17" s="148" t="n">
        <v>1.2</v>
      </c>
      <c r="I17" s="147" t="n">
        <v>5870</v>
      </c>
      <c r="J17" s="147" t="n">
        <v>5.87</v>
      </c>
      <c r="K17" s="147">
        <f>COUNTIF(_xlfn.ANCHORARRAY(A$74),M17)</f>
        <v/>
      </c>
      <c r="L17" s="147" t="n"/>
      <c r="M17" s="147">
        <f>_xlfn.CONCAT(F17,H17,J17,E17,D17)</f>
        <v/>
      </c>
      <c r="N17" s="147">
        <f>VLOOKUP(aug[[#This Row],[Key]],Table2527[[#All],[ ]:[Bucket CTL]],2,0)</f>
        <v/>
      </c>
      <c r="O17" s="147">
        <f>VLOOKUP(aug[[#This Row],[Key]],Table2527[[#All],[ ]:[Bucket CTL]],3,0)</f>
        <v/>
      </c>
      <c r="P17" s="147" t="inlineStr">
        <is>
          <t>Value Added</t>
        </is>
      </c>
      <c r="Q17" s="147">
        <f>VLOOKUP(aug[[#This Row],[Key]],Table2527[[#All],[ ]:[TSL Material Code]],4,0)</f>
        <v/>
      </c>
      <c r="R17" s="147">
        <f>VLOOKUP(aug[[#This Row],[Key]],Table2527[[#All],[ ]:[TSL Material Code]],5,0)</f>
        <v/>
      </c>
      <c r="S17" s="147">
        <f>EXACT(aug[[#This Row],[Material code july]],aug[[#This Row],[TSL Material Code]])</f>
        <v/>
      </c>
      <c r="T17" s="151" t="inlineStr">
        <is>
          <t>056</t>
        </is>
      </c>
      <c r="U17" s="385" t="n">
        <v>3882110</v>
      </c>
      <c r="V17" s="19" t="n">
        <v>20</v>
      </c>
      <c r="W17" s="147" t="n">
        <v>3</v>
      </c>
      <c r="X17" s="147" t="n">
        <v>17</v>
      </c>
      <c r="Y17" s="147" t="n"/>
      <c r="Z17" s="147">
        <f>X17-W17</f>
        <v/>
      </c>
      <c r="AA17" s="147" t="n">
        <v>17</v>
      </c>
      <c r="AB17" s="147">
        <f>Z17+AA17</f>
        <v/>
      </c>
      <c r="AC17" s="19">
        <f>V17-AB17</f>
        <v/>
      </c>
      <c r="AD17" s="387">
        <f>IF(AC17&gt;0,AC17,0)</f>
        <v/>
      </c>
      <c r="AE17" s="416">
        <f>SUMIFS(meghsteelsales_previousmonth[Quantity],meghsteelsales_previousmonth[Length Bucket],aug[[#This Row],[Bucket CTL]])/1000</f>
        <v/>
      </c>
      <c r="AF17" s="160">
        <f>SUMIFS(meghsteelsales_currentmonth[Quantity],meghsteelsales_currentmonth[Length Bucket],aug[[#This Row],[Bucket CTL]])/1000</f>
        <v/>
      </c>
      <c r="AG17" s="147">
        <f>aug[[#This Row],[order logg ]]+aug[[#This Row],[ INDENT  FOR AUG-25 recommended]]</f>
        <v/>
      </c>
      <c r="AH17" s="416">
        <f>aug[[#This Row],[Before 20th]]+aug[[#This Row],[ofter 20th]]</f>
        <v/>
      </c>
      <c r="AI17" s="416">
        <f>IF((aug[[#This Row],[Total Indent]]-aug[[#This Row],[Total Delivered]])&lt;0,0,aug[[#This Row],[Total Indent]]-aug[[#This Row],[Total Delivered]])</f>
        <v/>
      </c>
      <c r="AJ17" s="147" t="n">
        <v>35</v>
      </c>
    </row>
    <row r="18">
      <c r="A18" s="265" t="inlineStr">
        <is>
          <t>HMSI</t>
        </is>
      </c>
      <c r="B18" s="147" t="inlineStr">
        <is>
          <t>BADVE</t>
        </is>
      </c>
      <c r="C18" s="153" t="inlineStr">
        <is>
          <t>ERW2</t>
        </is>
      </c>
      <c r="D18" s="147" t="inlineStr">
        <is>
          <t>NON FIN</t>
        </is>
      </c>
      <c r="E18" s="147" t="inlineStr">
        <is>
          <t>ERW-2</t>
        </is>
      </c>
      <c r="F18" s="148" t="n">
        <v>22.2</v>
      </c>
      <c r="G18" s="148" t="n"/>
      <c r="H18" s="148" t="n">
        <v>1.4</v>
      </c>
      <c r="I18" s="147" t="n">
        <v>6000</v>
      </c>
      <c r="J18" s="147" t="n">
        <v>6</v>
      </c>
      <c r="K18" s="147">
        <f>COUNTIF(_xlfn.ANCHORARRAY(A$74),M18)</f>
        <v/>
      </c>
      <c r="L18" s="147" t="n"/>
      <c r="M18" s="147">
        <f>_xlfn.CONCAT(F18,H18,J18,E18,D18)</f>
        <v/>
      </c>
      <c r="N18" s="147">
        <f>VLOOKUP(aug[[#This Row],[Key]],Table2527[[#All],[ ]:[Bucket CTL]],2,0)</f>
        <v/>
      </c>
      <c r="O18" s="147">
        <f>VLOOKUP(aug[[#This Row],[Key]],Table2527[[#All],[ ]:[Bucket CTL]],3,0)</f>
        <v/>
      </c>
      <c r="P18" s="147" t="n"/>
      <c r="Q18" s="147">
        <f>VLOOKUP(aug[[#This Row],[Key]],Table2527[[#All],[ ]:[TSL Material Code]],4,0)</f>
        <v/>
      </c>
      <c r="R18" s="147">
        <f>VLOOKUP(aug[[#This Row],[Key]],Table2527[[#All],[ ]:[TSL Material Code]],5,0)</f>
        <v/>
      </c>
      <c r="S18" s="147">
        <f>EXACT(aug[[#This Row],[Material code july]],aug[[#This Row],[TSL Material Code]])</f>
        <v/>
      </c>
      <c r="T18" s="151" t="inlineStr">
        <is>
          <t>056</t>
        </is>
      </c>
      <c r="U18" s="150" t="n">
        <v>3829175</v>
      </c>
      <c r="V18" s="19" t="n">
        <v>5</v>
      </c>
      <c r="W18" s="147" t="n">
        <v>0</v>
      </c>
      <c r="X18" s="147" t="n">
        <v>6</v>
      </c>
      <c r="Y18" s="147" t="n"/>
      <c r="Z18" s="147">
        <f>X18-W18</f>
        <v/>
      </c>
      <c r="AA18" s="147" t="n">
        <v>5.5</v>
      </c>
      <c r="AB18" s="147">
        <f>Z18+AA18</f>
        <v/>
      </c>
      <c r="AC18" s="19">
        <f>V18-AB18</f>
        <v/>
      </c>
      <c r="AD18" s="387">
        <f>IF(AC18&gt;0,AC18,0)</f>
        <v/>
      </c>
      <c r="AE18" s="416">
        <f>SUMIFS(meghsteelsales_previousmonth[Quantity],meghsteelsales_previousmonth[Length Bucket],aug[[#This Row],[Bucket CTL]])/1000</f>
        <v/>
      </c>
      <c r="AF18" s="160">
        <f>SUMIFS(meghsteelsales_currentmonth[Quantity],meghsteelsales_currentmonth[Length Bucket],aug[[#This Row],[Bucket CTL]])/1000</f>
        <v/>
      </c>
      <c r="AG18" s="187">
        <f>aug[[#This Row],[order logg ]]+aug[[#This Row],[ INDENT  FOR AUG-25 recommended]]</f>
        <v/>
      </c>
      <c r="AH18" s="427">
        <f>aug[[#This Row],[Before 20th]]+aug[[#This Row],[ofter 20th]]</f>
        <v/>
      </c>
      <c r="AI18" s="427">
        <f>IF((aug[[#This Row],[Total Indent]]-aug[[#This Row],[Total Delivered]])&lt;0,0,aug[[#This Row],[Total Indent]]-aug[[#This Row],[Total Delivered]])</f>
        <v/>
      </c>
      <c r="AJ18" s="187" t="n"/>
    </row>
    <row r="19">
      <c r="A19" s="265" t="inlineStr">
        <is>
          <t>TVS</t>
        </is>
      </c>
      <c r="B19" s="147" t="inlineStr">
        <is>
          <t>RUCHA</t>
        </is>
      </c>
      <c r="C19" s="153" t="inlineStr">
        <is>
          <t>ERW1</t>
        </is>
      </c>
      <c r="D19" s="147" t="inlineStr">
        <is>
          <t>NON FIN</t>
        </is>
      </c>
      <c r="E19" s="147" t="inlineStr">
        <is>
          <t>ERW</t>
        </is>
      </c>
      <c r="F19" s="148" t="n">
        <v>22.2</v>
      </c>
      <c r="G19" s="148" t="n"/>
      <c r="H19" s="148" t="n">
        <v>1.6</v>
      </c>
      <c r="I19" s="147" t="n">
        <v>5270</v>
      </c>
      <c r="J19" s="147" t="n">
        <v>5.27</v>
      </c>
      <c r="K19" s="147">
        <f>COUNTIF(_xlfn.ANCHORARRAY(A$74),M19)</f>
        <v/>
      </c>
      <c r="L19" s="147" t="n"/>
      <c r="M19" s="147">
        <f>_xlfn.CONCAT(F19,H19,J19,E19,D19)</f>
        <v/>
      </c>
      <c r="N19" s="147">
        <f>VLOOKUP(aug[[#This Row],[Key]],Table2527[[#All],[ ]:[Bucket CTL]],2,0)</f>
        <v/>
      </c>
      <c r="O19" s="147">
        <f>VLOOKUP(aug[[#This Row],[Key]],Table2527[[#All],[ ]:[Bucket CTL]],3,0)</f>
        <v/>
      </c>
      <c r="P19" s="147" t="inlineStr">
        <is>
          <t>Value Added</t>
        </is>
      </c>
      <c r="Q19" s="147">
        <f>VLOOKUP(aug[[#This Row],[Key]],Table2527[[#All],[ ]:[TSL Material Code]],4,0)</f>
        <v/>
      </c>
      <c r="R19" s="147">
        <f>VLOOKUP(aug[[#This Row],[Key]],Table2527[[#All],[ ]:[TSL Material Code]],5,0)</f>
        <v/>
      </c>
      <c r="S19" s="147">
        <f>EXACT(aug[[#This Row],[Material code july]],aug[[#This Row],[TSL Material Code]])</f>
        <v/>
      </c>
      <c r="T19" s="151" t="inlineStr">
        <is>
          <t>0789</t>
        </is>
      </c>
      <c r="U19" s="150">
        <f>aug[[#This Row],[Material code july]]</f>
        <v/>
      </c>
      <c r="V19" s="19" t="n">
        <v>25</v>
      </c>
      <c r="W19" s="147" t="n">
        <v>3</v>
      </c>
      <c r="X19" s="147" t="n">
        <v>10</v>
      </c>
      <c r="Y19" s="147" t="n"/>
      <c r="Z19" s="147">
        <f>X19-W19</f>
        <v/>
      </c>
      <c r="AA19" s="147" t="n">
        <v>0</v>
      </c>
      <c r="AB19" s="147">
        <f>Z19+AA19</f>
        <v/>
      </c>
      <c r="AC19" s="19">
        <f>V19-AB19</f>
        <v/>
      </c>
      <c r="AD19" s="387">
        <f>IF(AC19&gt;0,AC19,0)</f>
        <v/>
      </c>
      <c r="AE19" s="416">
        <f>SUMIFS(meghsteelsales_previousmonth[Quantity],meghsteelsales_previousmonth[Length Bucket],aug[[#This Row],[Bucket CTL]])/1000</f>
        <v/>
      </c>
      <c r="AF19" s="160">
        <f>SUMIFS(meghsteelsales_currentmonth[Quantity],meghsteelsales_currentmonth[Length Bucket],aug[[#This Row],[Bucket CTL]])/1000</f>
        <v/>
      </c>
      <c r="AG19" s="147">
        <f>aug[[#This Row],[order logg ]]+aug[[#This Row],[ INDENT  FOR AUG-25 recommended]]</f>
        <v/>
      </c>
      <c r="AH19" s="416">
        <f>aug[[#This Row],[Before 20th]]+aug[[#This Row],[ofter 20th]]</f>
        <v/>
      </c>
      <c r="AI19" s="416">
        <f>IF((aug[[#This Row],[Total Indent]]-aug[[#This Row],[Total Delivered]])&lt;0,0,aug[[#This Row],[Total Indent]]-aug[[#This Row],[Total Delivered]])</f>
        <v/>
      </c>
      <c r="AJ19" s="147" t="n">
        <v>3</v>
      </c>
    </row>
    <row r="20">
      <c r="A20" s="265" t="inlineStr">
        <is>
          <t>TVS</t>
        </is>
      </c>
      <c r="B20" s="147" t="inlineStr">
        <is>
          <t>RUCHA</t>
        </is>
      </c>
      <c r="C20" s="153" t="inlineStr">
        <is>
          <t>ERW1</t>
        </is>
      </c>
      <c r="D20" s="147" t="inlineStr">
        <is>
          <t>NON FIN</t>
        </is>
      </c>
      <c r="E20" s="147" t="inlineStr">
        <is>
          <t>ERW</t>
        </is>
      </c>
      <c r="F20" s="148" t="n">
        <v>22.2</v>
      </c>
      <c r="G20" s="148" t="n"/>
      <c r="H20" s="148" t="n">
        <v>1.6</v>
      </c>
      <c r="I20" s="147" t="n">
        <v>5670</v>
      </c>
      <c r="J20" s="147" t="n">
        <v>5.67</v>
      </c>
      <c r="K20" s="147">
        <f>COUNTIF(_xlfn.ANCHORARRAY(A$74),M20)</f>
        <v/>
      </c>
      <c r="L20" s="147" t="n"/>
      <c r="M20" s="147">
        <f>_xlfn.CONCAT(F20,H20,J20,E20,D20)</f>
        <v/>
      </c>
      <c r="N20" s="147" t="inlineStr">
        <is>
          <t>22.23-0-1.6-ERW 1-PE</t>
        </is>
      </c>
      <c r="O20" s="147">
        <f>_xlfn.CONCAT(aug[[#This Row],[Bucket]],"-",aug[[#This Row],[Length in Mtrs]])</f>
        <v/>
      </c>
      <c r="P20" s="147" t="inlineStr">
        <is>
          <t>Value Added</t>
        </is>
      </c>
      <c r="Q20" s="147">
        <f>VLOOKUP(aug[[#This Row],[Key]],Table2527[[#All],[ ]:[TSL Material Code]],4,0)</f>
        <v/>
      </c>
      <c r="R20" s="147">
        <f>VLOOKUP(aug[[#This Row],[Key]],Table2527[[#All],[ ]:[TSL Material Code]],5,0)</f>
        <v/>
      </c>
      <c r="S20" s="147">
        <f>EXACT(aug[[#This Row],[Material code july]],aug[[#This Row],[TSL Material Code]])</f>
        <v/>
      </c>
      <c r="T20" s="151" t="inlineStr">
        <is>
          <t>056</t>
        </is>
      </c>
      <c r="U20" s="150">
        <f>aug[[#This Row],[Material code july]]</f>
        <v/>
      </c>
      <c r="V20" s="19" t="n">
        <v>40</v>
      </c>
      <c r="W20" s="147" t="n">
        <v>10</v>
      </c>
      <c r="X20" s="147" t="n">
        <v>59</v>
      </c>
      <c r="Y20" s="147" t="n"/>
      <c r="Z20" s="147">
        <f>X20-W20</f>
        <v/>
      </c>
      <c r="AA20" s="147" t="n">
        <v>0</v>
      </c>
      <c r="AB20" s="147">
        <f>Z20+AA20</f>
        <v/>
      </c>
      <c r="AC20" s="19">
        <f>V20-AB20</f>
        <v/>
      </c>
      <c r="AD20" s="387">
        <f>IF(AC20&gt;0,AC20,0)</f>
        <v/>
      </c>
      <c r="AE20" s="416">
        <f>SUMIFS(meghsteelsales_previousmonth[Quantity],meghsteelsales_previousmonth[Length Bucket],aug[[#This Row],[Bucket CTL]])/1000</f>
        <v/>
      </c>
      <c r="AF20" s="160">
        <f>SUMIFS(meghsteelsales_currentmonth[Quantity],meghsteelsales_currentmonth[Length Bucket],aug[[#This Row],[Bucket CTL]])/1000</f>
        <v/>
      </c>
      <c r="AG20" s="147">
        <f>aug[[#This Row],[order logg ]]+aug[[#This Row],[ INDENT  FOR AUG-25 recommended]]</f>
        <v/>
      </c>
      <c r="AH20" s="416">
        <f>aug[[#This Row],[Before 20th]]+aug[[#This Row],[ofter 20th]]</f>
        <v/>
      </c>
      <c r="AI20" s="416">
        <f>IF((aug[[#This Row],[Total Indent]]-aug[[#This Row],[Total Delivered]])&lt;0,0,aug[[#This Row],[Total Indent]]-aug[[#This Row],[Total Delivered]])</f>
        <v/>
      </c>
      <c r="AJ20" s="147" t="n">
        <v>38</v>
      </c>
    </row>
    <row r="21">
      <c r="A21" s="265" t="inlineStr">
        <is>
          <t>TVS</t>
        </is>
      </c>
      <c r="B21" s="147" t="inlineStr">
        <is>
          <t>RUCHA</t>
        </is>
      </c>
      <c r="C21" s="155" t="inlineStr">
        <is>
          <t>ERW1</t>
        </is>
      </c>
      <c r="D21" s="147" t="inlineStr">
        <is>
          <t>NON FIN</t>
        </is>
      </c>
      <c r="E21" s="147" t="inlineStr">
        <is>
          <t>ERW</t>
        </is>
      </c>
      <c r="F21" s="154" t="n">
        <v>22.2</v>
      </c>
      <c r="G21" s="154" t="n"/>
      <c r="H21" s="154" t="n">
        <v>2</v>
      </c>
      <c r="I21" s="155" t="n">
        <v>5950</v>
      </c>
      <c r="J21" s="147" t="n">
        <v>5.95</v>
      </c>
      <c r="K21" s="147">
        <f>COUNTIF(_xlfn.ANCHORARRAY(A$74),M21)</f>
        <v/>
      </c>
      <c r="L21" s="147" t="n"/>
      <c r="M21" s="147">
        <f>_xlfn.CONCAT(F21,H21,J21,E21,D21)</f>
        <v/>
      </c>
      <c r="N21" s="147">
        <f>VLOOKUP(aug[[#This Row],[Key]],Table2527[[#All],[ ]:[Bucket CTL]],2,0)</f>
        <v/>
      </c>
      <c r="O21" s="147">
        <f>VLOOKUP(aug[[#This Row],[Key]],Table2527[[#All],[ ]:[Bucket CTL]],3,0)</f>
        <v/>
      </c>
      <c r="P21" s="147" t="inlineStr">
        <is>
          <t>Value Added</t>
        </is>
      </c>
      <c r="Q21" s="147">
        <f>VLOOKUP(aug[[#This Row],[Key]],Table2527[[#All],[ ]:[TSL Material Code]],4,0)</f>
        <v/>
      </c>
      <c r="R21" s="147">
        <f>VLOOKUP(aug[[#This Row],[Key]],Table2527[[#All],[ ]:[TSL Material Code]],5,0)</f>
        <v/>
      </c>
      <c r="S21" s="147">
        <f>EXACT(aug[[#This Row],[Material code july]],aug[[#This Row],[TSL Material Code]])</f>
        <v/>
      </c>
      <c r="T21" s="151" t="inlineStr">
        <is>
          <t>056</t>
        </is>
      </c>
      <c r="U21" s="385" t="n">
        <v>3905466</v>
      </c>
      <c r="V21" s="19" t="n">
        <v>50</v>
      </c>
      <c r="W21" s="147" t="n">
        <v>10</v>
      </c>
      <c r="X21" s="147" t="n">
        <v>0</v>
      </c>
      <c r="Y21" s="147" t="n"/>
      <c r="Z21" s="147">
        <f>X21-W21</f>
        <v/>
      </c>
      <c r="AA21" s="147" t="n">
        <v>3.7</v>
      </c>
      <c r="AB21" s="147">
        <f>Z21+AA21</f>
        <v/>
      </c>
      <c r="AC21" s="19">
        <f>V21-AB21</f>
        <v/>
      </c>
      <c r="AD21" s="387">
        <f>IF(AC21&gt;0,AC21,0)</f>
        <v/>
      </c>
      <c r="AE21" s="416">
        <f>SUMIFS(meghsteelsales_previousmonth[Quantity],meghsteelsales_previousmonth[Length Bucket],aug[[#This Row],[Bucket CTL]])/1000</f>
        <v/>
      </c>
      <c r="AF21" s="160">
        <f>SUMIFS(meghsteelsales_currentmonth[Quantity],meghsteelsales_currentmonth[Length Bucket],aug[[#This Row],[Bucket CTL]])/1000</f>
        <v/>
      </c>
      <c r="AG21" s="147">
        <f>aug[[#This Row],[order logg ]]+aug[[#This Row],[ INDENT  FOR AUG-25 recommended]]</f>
        <v/>
      </c>
      <c r="AH21" s="416">
        <f>aug[[#This Row],[Before 20th]]+aug[[#This Row],[ofter 20th]]</f>
        <v/>
      </c>
      <c r="AI21" s="416">
        <f>IF((aug[[#This Row],[Total Indent]]-aug[[#This Row],[Total Delivered]])&lt;0,0,aug[[#This Row],[Total Indent]]-aug[[#This Row],[Total Delivered]])</f>
        <v/>
      </c>
      <c r="AJ21" s="147" t="n">
        <v>0</v>
      </c>
    </row>
    <row r="22">
      <c r="A22" s="265" t="inlineStr">
        <is>
          <t>TVS</t>
        </is>
      </c>
      <c r="B22" s="147" t="inlineStr">
        <is>
          <t>RUCHA</t>
        </is>
      </c>
      <c r="C22" s="155" t="inlineStr">
        <is>
          <t>ERW1</t>
        </is>
      </c>
      <c r="D22" s="147" t="inlineStr">
        <is>
          <t>NON FIN</t>
        </is>
      </c>
      <c r="E22" s="147" t="inlineStr">
        <is>
          <t>ERW</t>
        </is>
      </c>
      <c r="F22" s="154" t="n">
        <v>22.2</v>
      </c>
      <c r="G22" s="154" t="n"/>
      <c r="H22" s="154" t="n">
        <v>2</v>
      </c>
      <c r="I22" s="155" t="n">
        <v>5100</v>
      </c>
      <c r="J22" s="147" t="n">
        <v>5.1</v>
      </c>
      <c r="K22" s="147">
        <f>COUNTIF(_xlfn.ANCHORARRAY(A$74),M22)</f>
        <v/>
      </c>
      <c r="L22" s="147" t="n"/>
      <c r="M22" s="147">
        <f>_xlfn.CONCAT(F22,H22,J22,E22,D22)</f>
        <v/>
      </c>
      <c r="N22" s="147">
        <f>VLOOKUP(aug[[#This Row],[Key]],Table2527[[#All],[ ]:[Bucket CTL]],2,0)</f>
        <v/>
      </c>
      <c r="O22" s="147">
        <f>VLOOKUP(aug[[#This Row],[Key]],Table2527[[#All],[ ]:[Bucket CTL]],3,0)</f>
        <v/>
      </c>
      <c r="P22" s="147" t="n"/>
      <c r="Q22" s="147">
        <f>VLOOKUP(aug[[#This Row],[Key]],Table2527[[#All],[ ]:[TSL Material Code]],4,0)</f>
        <v/>
      </c>
      <c r="R22" s="147">
        <f>VLOOKUP(aug[[#This Row],[Key]],Table2527[[#All],[ ]:[TSL Material Code]],5,0)</f>
        <v/>
      </c>
      <c r="S22" s="147">
        <f>EXACT(aug[[#This Row],[Material code july]],aug[[#This Row],[TSL Material Code]])</f>
        <v/>
      </c>
      <c r="T22" s="151" t="inlineStr">
        <is>
          <t>056</t>
        </is>
      </c>
      <c r="U22" s="150" t="n">
        <v>3500554</v>
      </c>
      <c r="V22" s="19" t="n">
        <v>20</v>
      </c>
      <c r="W22" s="147" t="n">
        <v>5</v>
      </c>
      <c r="X22" s="147" t="n">
        <v>5</v>
      </c>
      <c r="Y22" s="147" t="n"/>
      <c r="Z22" s="147">
        <f>X22-W22</f>
        <v/>
      </c>
      <c r="AA22" s="147" t="n">
        <v>2.6</v>
      </c>
      <c r="AB22" s="147">
        <f>Z22+AA22</f>
        <v/>
      </c>
      <c r="AC22" s="19">
        <f>V22-AB22</f>
        <v/>
      </c>
      <c r="AD22" s="387">
        <f>IF(AC22&gt;0,AC22,0)</f>
        <v/>
      </c>
      <c r="AE22" s="416">
        <f>SUMIFS(meghsteelsales_previousmonth[Quantity],meghsteelsales_previousmonth[Length Bucket],aug[[#This Row],[Bucket CTL]])/1000</f>
        <v/>
      </c>
      <c r="AF22" s="160">
        <f>SUMIFS(meghsteelsales_currentmonth[Quantity],meghsteelsales_currentmonth[Length Bucket],aug[[#This Row],[Bucket CTL]])/1000</f>
        <v/>
      </c>
      <c r="AG22" s="187">
        <f>aug[[#This Row],[order logg ]]+aug[[#This Row],[ INDENT  FOR AUG-25 recommended]]</f>
        <v/>
      </c>
      <c r="AH22" s="427">
        <f>aug[[#This Row],[Before 20th]]+aug[[#This Row],[ofter 20th]]</f>
        <v/>
      </c>
      <c r="AI22" s="427">
        <f>IF((aug[[#This Row],[Total Indent]]-aug[[#This Row],[Total Delivered]])&lt;0,0,aug[[#This Row],[Total Indent]]-aug[[#This Row],[Total Delivered]])</f>
        <v/>
      </c>
      <c r="AJ22" s="187" t="n"/>
    </row>
    <row r="23">
      <c r="A23" s="265" t="inlineStr">
        <is>
          <t>TVS</t>
        </is>
      </c>
      <c r="B23" s="147" t="inlineStr">
        <is>
          <t>RUCHA</t>
        </is>
      </c>
      <c r="C23" s="147" t="inlineStr">
        <is>
          <t>ERW2</t>
        </is>
      </c>
      <c r="D23" s="147" t="inlineStr">
        <is>
          <t>FIN CUT</t>
        </is>
      </c>
      <c r="E23" s="147" t="inlineStr">
        <is>
          <t>HST</t>
        </is>
      </c>
      <c r="F23" s="148" t="n">
        <v>22.2</v>
      </c>
      <c r="G23" s="148" t="n"/>
      <c r="H23" s="148" t="n">
        <v>2</v>
      </c>
      <c r="I23" s="147" t="n">
        <v>6000</v>
      </c>
      <c r="J23" s="147" t="n">
        <v>6000</v>
      </c>
      <c r="K23" s="147">
        <f>COUNTIF(_xlfn.ANCHORARRAY(A$74),M23)</f>
        <v/>
      </c>
      <c r="L23" s="147" t="n"/>
      <c r="M23" s="147">
        <f>_xlfn.CONCAT(F23,H23,J23,E23,D23)</f>
        <v/>
      </c>
      <c r="N23" s="147">
        <f>VLOOKUP(aug[[#This Row],[Key]],Table2527[[#All],[ ]:[Bucket CTL]],2,0)</f>
        <v/>
      </c>
      <c r="O23" s="147">
        <f>VLOOKUP(aug[[#This Row],[Key]],Table2527[[#All],[ ]:[Bucket CTL]],3,0)</f>
        <v/>
      </c>
      <c r="P23" s="147" t="inlineStr">
        <is>
          <t>Value Added</t>
        </is>
      </c>
      <c r="Q23" s="147">
        <f>VLOOKUP(aug[[#This Row],[Key]],Table2527[[#All],[ ]:[TSL Material Code]],4,0)</f>
        <v/>
      </c>
      <c r="R23" s="147">
        <f>VLOOKUP(aug[[#This Row],[Key]],Table2527[[#All],[ ]:[TSL Material Code]],5,0)</f>
        <v/>
      </c>
      <c r="S23" s="147">
        <f>EXACT(aug[[#This Row],[Material code july]],aug[[#This Row],[TSL Material Code]])</f>
        <v/>
      </c>
      <c r="T23" s="151" t="inlineStr">
        <is>
          <t>056</t>
        </is>
      </c>
      <c r="U23" s="150">
        <f>aug[[#This Row],[Material code july]]</f>
        <v/>
      </c>
      <c r="V23" s="19" t="n">
        <v>50</v>
      </c>
      <c r="W23" s="147" t="n">
        <v>10</v>
      </c>
      <c r="X23" s="147" t="n">
        <v>0</v>
      </c>
      <c r="Y23" s="147" t="n">
        <v>101</v>
      </c>
      <c r="Z23" s="147">
        <f>X23-W23</f>
        <v/>
      </c>
      <c r="AA23" s="147" t="n">
        <v>30</v>
      </c>
      <c r="AB23" s="147">
        <f>Z23+AA23</f>
        <v/>
      </c>
      <c r="AC23" s="19">
        <f>V23-AB23</f>
        <v/>
      </c>
      <c r="AD23" s="387">
        <f>IF(AC23&gt;0,AC23,0)</f>
        <v/>
      </c>
      <c r="AE23" s="416">
        <f>SUMIFS(meghsteelsales_previousmonth[Quantity],meghsteelsales_previousmonth[Length Bucket],aug[[#This Row],[Bucket CTL]])/1000</f>
        <v/>
      </c>
      <c r="AF23" s="160">
        <f>SUMIFS(meghsteelsales_currentmonth[Quantity],meghsteelsales_currentmonth[Length Bucket],aug[[#This Row],[Bucket CTL]])/1000</f>
        <v/>
      </c>
      <c r="AG23" s="147">
        <f>aug[[#This Row],[order logg ]]+aug[[#This Row],[ INDENT  FOR AUG-25 recommended]]</f>
        <v/>
      </c>
      <c r="AH23" s="416">
        <f>aug[[#This Row],[Before 20th]]+aug[[#This Row],[ofter 20th]]</f>
        <v/>
      </c>
      <c r="AI23" s="416">
        <f>IF((aug[[#This Row],[Total Indent]]-aug[[#This Row],[Total Delivered]])&lt;0,0,aug[[#This Row],[Total Indent]]-aug[[#This Row],[Total Delivered]])</f>
        <v/>
      </c>
      <c r="AJ23" s="147" t="n">
        <v>5</v>
      </c>
    </row>
    <row r="24">
      <c r="A24" s="265" t="inlineStr">
        <is>
          <t>HMSI</t>
        </is>
      </c>
      <c r="B24" s="147" t="inlineStr">
        <is>
          <t>BADVE</t>
        </is>
      </c>
      <c r="C24" s="147" t="inlineStr">
        <is>
          <t>CR ERW 1</t>
        </is>
      </c>
      <c r="D24" s="147" t="inlineStr">
        <is>
          <t>FIN CUT</t>
        </is>
      </c>
      <c r="E24" s="147" t="inlineStr">
        <is>
          <t xml:space="preserve">CR ERW </t>
        </is>
      </c>
      <c r="F24" s="148" t="n">
        <v>22.2</v>
      </c>
      <c r="G24" s="148" t="n"/>
      <c r="H24" s="148" t="n">
        <v>2</v>
      </c>
      <c r="I24" s="147" t="n">
        <v>5390</v>
      </c>
      <c r="J24" s="147" t="n">
        <v>5.39</v>
      </c>
      <c r="K24" s="147">
        <f>COUNTIF(_xlfn.ANCHORARRAY(A$74),M24)</f>
        <v/>
      </c>
      <c r="L24" s="147" t="n"/>
      <c r="M24" s="147">
        <f>_xlfn.CONCAT(F24,H24,J24,E24,D24)</f>
        <v/>
      </c>
      <c r="N24" s="147">
        <f>VLOOKUP(aug[[#This Row],[Key]],Table2527[[#All],[ ]:[Bucket CTL]],2,0)</f>
        <v/>
      </c>
      <c r="O24" s="147">
        <f>VLOOKUP(aug[[#This Row],[Key]],Table2527[[#All],[ ]:[Bucket CTL]],3,0)</f>
        <v/>
      </c>
      <c r="P24" s="147" t="n"/>
      <c r="Q24" s="147">
        <f>VLOOKUP(aug[[#This Row],[Key]],Table2527[[#All],[ ]:[TSL Material Code]],4,0)</f>
        <v/>
      </c>
      <c r="R24" s="147">
        <f>VLOOKUP(aug[[#This Row],[Key]],Table2527[[#All],[ ]:[TSL Material Code]],5,0)</f>
        <v/>
      </c>
      <c r="S24" s="147">
        <f>EXACT(aug[[#This Row],[Material code july]],aug[[#This Row],[TSL Material Code]])</f>
        <v/>
      </c>
      <c r="T24" s="151" t="inlineStr">
        <is>
          <t>0789</t>
        </is>
      </c>
      <c r="U24" s="147">
        <f>VLOOKUP(aug[[#This Row],[Key]],Table2527[[#All],[ ]:[TSL Material Code]],5,0)</f>
        <v/>
      </c>
      <c r="V24" s="19" t="n">
        <v>50</v>
      </c>
      <c r="W24" s="147" t="n">
        <v>3</v>
      </c>
      <c r="X24" s="147" t="n">
        <v>0</v>
      </c>
      <c r="Y24" s="147" t="n"/>
      <c r="Z24" s="147">
        <f>X24-W24</f>
        <v/>
      </c>
      <c r="AA24" s="147" t="n">
        <v>0</v>
      </c>
      <c r="AB24" s="147">
        <f>Z24+AA24</f>
        <v/>
      </c>
      <c r="AC24" s="19">
        <f>V24-AB24</f>
        <v/>
      </c>
      <c r="AD24" s="387">
        <f>IF(AC24&gt;0,AC24,0)</f>
        <v/>
      </c>
      <c r="AE24" s="416">
        <f>SUMIFS(meghsteelsales_previousmonth[Quantity],meghsteelsales_previousmonth[Length Bucket],aug[[#This Row],[Bucket CTL]])/1000</f>
        <v/>
      </c>
      <c r="AF24" s="160">
        <f>SUMIFS(meghsteelsales_currentmonth[Quantity],meghsteelsales_currentmonth[Length Bucket],aug[[#This Row],[Bucket CTL]])/1000</f>
        <v/>
      </c>
      <c r="AG24" s="187">
        <f>aug[[#This Row],[order logg ]]+aug[[#This Row],[ INDENT  FOR AUG-25 recommended]]</f>
        <v/>
      </c>
      <c r="AH24" s="427">
        <f>aug[[#This Row],[Before 20th]]+aug[[#This Row],[ofter 20th]]</f>
        <v/>
      </c>
      <c r="AI24" s="427">
        <f>IF((aug[[#This Row],[Total Indent]]-aug[[#This Row],[Total Delivered]])&lt;0,0,aug[[#This Row],[Total Indent]]-aug[[#This Row],[Total Delivered]])</f>
        <v/>
      </c>
      <c r="AJ24" s="187" t="n"/>
    </row>
    <row r="25">
      <c r="A25" s="265" t="inlineStr">
        <is>
          <t>HMSI</t>
        </is>
      </c>
      <c r="B25" s="147" t="inlineStr">
        <is>
          <t>BADVE</t>
        </is>
      </c>
      <c r="C25" s="153" t="inlineStr">
        <is>
          <t>ERW2</t>
        </is>
      </c>
      <c r="D25" s="147" t="inlineStr">
        <is>
          <t>FIN CUT</t>
        </is>
      </c>
      <c r="E25" s="147" t="inlineStr">
        <is>
          <t>HST</t>
        </is>
      </c>
      <c r="F25" s="148" t="n">
        <v>25.4</v>
      </c>
      <c r="G25" s="148" t="n"/>
      <c r="H25" s="148" t="n">
        <v>1.4</v>
      </c>
      <c r="I25" s="147" t="n">
        <v>5531</v>
      </c>
      <c r="J25" s="147" t="n">
        <v>5.531</v>
      </c>
      <c r="K25" s="147">
        <f>COUNTIF(_xlfn.ANCHORARRAY(A$74),M25)</f>
        <v/>
      </c>
      <c r="L25" s="147" t="n"/>
      <c r="M25" s="147">
        <f>_xlfn.CONCAT(F25,H25,J25,E25,D25)</f>
        <v/>
      </c>
      <c r="N25" s="147">
        <f>VLOOKUP(aug[[#This Row],[Key]],Table2527[[#All],[ ]:[Bucket CTL]],2,0)</f>
        <v/>
      </c>
      <c r="O25" s="147">
        <f>VLOOKUP(aug[[#This Row],[Key]],Table2527[[#All],[ ]:[Bucket CTL]],3,0)</f>
        <v/>
      </c>
      <c r="P25" s="147" t="n"/>
      <c r="Q25" s="147">
        <f>VLOOKUP(aug[[#This Row],[Key]],Table2527[[#All],[ ]:[TSL Material Code]],4,0)</f>
        <v/>
      </c>
      <c r="R25" s="147">
        <f>VLOOKUP(aug[[#This Row],[Key]],Table2527[[#All],[ ]:[TSL Material Code]],5,0)</f>
        <v/>
      </c>
      <c r="S25" s="147">
        <f>EXACT(aug[[#This Row],[Material code july]],aug[[#This Row],[TSL Material Code]])</f>
        <v/>
      </c>
      <c r="T25" s="151" t="inlineStr">
        <is>
          <t>056</t>
        </is>
      </c>
      <c r="U25" s="150" t="n">
        <v>3501900</v>
      </c>
      <c r="V25" s="19" t="n">
        <v>15</v>
      </c>
      <c r="W25" s="147" t="n">
        <v>3</v>
      </c>
      <c r="X25" s="147" t="n">
        <v>0</v>
      </c>
      <c r="Y25" s="147" t="n"/>
      <c r="Z25" s="147">
        <f>X25-W25</f>
        <v/>
      </c>
      <c r="AA25" s="147" t="n">
        <v>12.5</v>
      </c>
      <c r="AB25" s="147">
        <f>Z25+AA25</f>
        <v/>
      </c>
      <c r="AC25" s="19">
        <f>V25-AB25</f>
        <v/>
      </c>
      <c r="AD25" s="387">
        <f>IF(AC25&gt;0,AC25,0)</f>
        <v/>
      </c>
      <c r="AE25" s="416">
        <f>SUMIFS(meghsteelsales_previousmonth[Quantity],meghsteelsales_previousmonth[Length Bucket],aug[[#This Row],[Bucket CTL]])/1000</f>
        <v/>
      </c>
      <c r="AF25" s="160">
        <f>SUMIFS(meghsteelsales_currentmonth[Quantity],meghsteelsales_currentmonth[Length Bucket],aug[[#This Row],[Bucket CTL]])/1000</f>
        <v/>
      </c>
      <c r="AG25" s="187">
        <f>aug[[#This Row],[order logg ]]+aug[[#This Row],[ INDENT  FOR AUG-25 recommended]]</f>
        <v/>
      </c>
      <c r="AH25" s="427">
        <f>aug[[#This Row],[Before 20th]]+aug[[#This Row],[ofter 20th]]</f>
        <v/>
      </c>
      <c r="AI25" s="427">
        <f>IF((aug[[#This Row],[Total Indent]]-aug[[#This Row],[Total Delivered]])&lt;0,0,aug[[#This Row],[Total Indent]]-aug[[#This Row],[Total Delivered]])</f>
        <v/>
      </c>
      <c r="AJ25" s="187" t="n"/>
    </row>
    <row r="26">
      <c r="A26" s="265" t="inlineStr">
        <is>
          <t>HMSI</t>
        </is>
      </c>
      <c r="B26" s="147" t="inlineStr">
        <is>
          <t>BADVE</t>
        </is>
      </c>
      <c r="C26" s="153" t="inlineStr">
        <is>
          <t>ERW1</t>
        </is>
      </c>
      <c r="D26" s="147" t="inlineStr">
        <is>
          <t>FIN CUT</t>
        </is>
      </c>
      <c r="E26" s="147" t="inlineStr">
        <is>
          <t>ERW</t>
        </is>
      </c>
      <c r="F26" s="148" t="n">
        <v>25.4</v>
      </c>
      <c r="G26" s="148" t="n"/>
      <c r="H26" s="148" t="n">
        <v>1.4</v>
      </c>
      <c r="I26" s="147" t="n">
        <v>6060</v>
      </c>
      <c r="J26" s="147" t="n">
        <v>6.06</v>
      </c>
      <c r="K26" s="147">
        <f>COUNTIF(_xlfn.ANCHORARRAY(A$74),M26)</f>
        <v/>
      </c>
      <c r="L26" s="147" t="n"/>
      <c r="M26" s="147">
        <f>_xlfn.CONCAT(F26,H26,J26,E26,D26)</f>
        <v/>
      </c>
      <c r="N26" s="147">
        <f>VLOOKUP(aug[[#This Row],[Key]],Table2527[[#All],[ ]:[Bucket CTL]],2,0)</f>
        <v/>
      </c>
      <c r="O26" s="147">
        <f>VLOOKUP(aug[[#This Row],[Key]],Table2527[[#All],[ ]:[Bucket CTL]],3,0)</f>
        <v/>
      </c>
      <c r="P26" s="147" t="n"/>
      <c r="Q26" s="147">
        <f>VLOOKUP(aug[[#This Row],[Key]],Table2527[[#All],[ ]:[TSL Material Code]],4,0)</f>
        <v/>
      </c>
      <c r="R26" s="147">
        <f>VLOOKUP(aug[[#This Row],[Key]],Table2527[[#All],[ ]:[TSL Material Code]],5,0)</f>
        <v/>
      </c>
      <c r="S26" s="147">
        <f>EXACT(aug[[#This Row],[Material code july]],aug[[#This Row],[TSL Material Code]])</f>
        <v/>
      </c>
      <c r="T26" s="151" t="inlineStr">
        <is>
          <t>0789</t>
        </is>
      </c>
      <c r="U26" s="149" t="n">
        <v>3557792</v>
      </c>
      <c r="V26" s="19" t="n">
        <v>10</v>
      </c>
      <c r="W26" s="147" t="n">
        <v>0</v>
      </c>
      <c r="X26" s="147" t="n">
        <v>0</v>
      </c>
      <c r="Y26" s="147" t="n"/>
      <c r="Z26" s="147">
        <f>X26-W26</f>
        <v/>
      </c>
      <c r="AA26" s="147" t="n">
        <v>0</v>
      </c>
      <c r="AB26" s="147">
        <f>Z26+AA26</f>
        <v/>
      </c>
      <c r="AC26" s="19">
        <f>V26-AB26</f>
        <v/>
      </c>
      <c r="AD26" s="387">
        <f>IF(AC26&gt;0,AC26,0)</f>
        <v/>
      </c>
      <c r="AE26" s="416">
        <f>SUMIFS(meghsteelsales_previousmonth[Quantity],meghsteelsales_previousmonth[Length Bucket],aug[[#This Row],[Bucket CTL]])/1000</f>
        <v/>
      </c>
      <c r="AF26" s="160">
        <f>SUMIFS(meghsteelsales_currentmonth[Quantity],meghsteelsales_currentmonth[Length Bucket],aug[[#This Row],[Bucket CTL]])/1000</f>
        <v/>
      </c>
      <c r="AG26" s="187">
        <f>aug[[#This Row],[order logg ]]+aug[[#This Row],[ INDENT  FOR AUG-25 recommended]]</f>
        <v/>
      </c>
      <c r="AH26" s="427">
        <f>aug[[#This Row],[Before 20th]]+aug[[#This Row],[ofter 20th]]</f>
        <v/>
      </c>
      <c r="AI26" s="427">
        <f>IF((aug[[#This Row],[Total Indent]]-aug[[#This Row],[Total Delivered]])&lt;0,0,aug[[#This Row],[Total Indent]]-aug[[#This Row],[Total Delivered]])</f>
        <v/>
      </c>
      <c r="AJ26" s="187" t="n"/>
    </row>
    <row r="27">
      <c r="A27" s="265" t="inlineStr">
        <is>
          <t>TVS</t>
        </is>
      </c>
      <c r="B27" s="147" t="inlineStr">
        <is>
          <t>RUCHA</t>
        </is>
      </c>
      <c r="C27" s="153" t="inlineStr">
        <is>
          <t>ERW1</t>
        </is>
      </c>
      <c r="D27" s="147" t="inlineStr">
        <is>
          <t>NON FIN</t>
        </is>
      </c>
      <c r="E27" s="147" t="inlineStr">
        <is>
          <t>ERW</t>
        </is>
      </c>
      <c r="F27" s="148" t="n">
        <v>25.4</v>
      </c>
      <c r="G27" s="148" t="n"/>
      <c r="H27" s="148" t="n">
        <v>1.6</v>
      </c>
      <c r="I27" s="147" t="n">
        <v>6000</v>
      </c>
      <c r="J27" s="147" t="n">
        <v>6</v>
      </c>
      <c r="K27" s="147">
        <f>COUNTIF(_xlfn.ANCHORARRAY(A$74),M27)</f>
        <v/>
      </c>
      <c r="L27" s="147" t="n"/>
      <c r="M27" s="147">
        <f>_xlfn.CONCAT(F27,H27,J27,E27,D27)</f>
        <v/>
      </c>
      <c r="N27" s="147">
        <f>VLOOKUP(aug[[#This Row],[Key]],Table2527[[#All],[ ]:[Bucket CTL]],2,0)</f>
        <v/>
      </c>
      <c r="O27" s="147">
        <f>VLOOKUP(aug[[#This Row],[Key]],Table2527[[#All],[ ]:[Bucket CTL]],3,0)</f>
        <v/>
      </c>
      <c r="P27" s="147" t="n"/>
      <c r="Q27" s="147">
        <f>VLOOKUP(aug[[#This Row],[Key]],Table2527[[#All],[ ]:[TSL Material Code]],4,0)</f>
        <v/>
      </c>
      <c r="R27" s="147">
        <f>VLOOKUP(aug[[#This Row],[Key]],Table2527[[#All],[ ]:[TSL Material Code]],5,0)</f>
        <v/>
      </c>
      <c r="S27" s="147">
        <f>EXACT(aug[[#This Row],[Material code july]],aug[[#This Row],[TSL Material Code]])</f>
        <v/>
      </c>
      <c r="T27" s="151" t="inlineStr">
        <is>
          <t>056</t>
        </is>
      </c>
      <c r="U27" s="150" t="n">
        <v>3500097</v>
      </c>
      <c r="V27" s="19" t="n">
        <v>35</v>
      </c>
      <c r="W27" s="147" t="n">
        <v>15</v>
      </c>
      <c r="X27" s="147" t="n">
        <v>2</v>
      </c>
      <c r="Y27" s="147" t="n"/>
      <c r="Z27" s="147">
        <f>X27-W27</f>
        <v/>
      </c>
      <c r="AA27" s="147" t="n">
        <v>58.5</v>
      </c>
      <c r="AB27" s="147">
        <f>Z27+AA27</f>
        <v/>
      </c>
      <c r="AC27" s="19">
        <f>V27-AB27</f>
        <v/>
      </c>
      <c r="AD27" s="387">
        <f>IF(AC27&gt;0,AC27,0)</f>
        <v/>
      </c>
      <c r="AE27" s="416">
        <f>SUMIFS(meghsteelsales_previousmonth[Quantity],meghsteelsales_previousmonth[Length Bucket],aug[[#This Row],[Bucket CTL]])/1000</f>
        <v/>
      </c>
      <c r="AF27" s="160">
        <f>SUMIFS(meghsteelsales_currentmonth[Quantity],meghsteelsales_currentmonth[Length Bucket],aug[[#This Row],[Bucket CTL]])/1000</f>
        <v/>
      </c>
      <c r="AG27" s="187">
        <f>aug[[#This Row],[order logg ]]+aug[[#This Row],[ INDENT  FOR AUG-25 recommended]]</f>
        <v/>
      </c>
      <c r="AH27" s="427">
        <f>aug[[#This Row],[Before 20th]]+aug[[#This Row],[ofter 20th]]</f>
        <v/>
      </c>
      <c r="AI27" s="427">
        <f>IF((aug[[#This Row],[Total Indent]]-aug[[#This Row],[Total Delivered]])&lt;0,0,aug[[#This Row],[Total Indent]]-aug[[#This Row],[Total Delivered]])</f>
        <v/>
      </c>
      <c r="AJ27" s="187" t="n"/>
    </row>
    <row r="28">
      <c r="A28" s="265" t="inlineStr">
        <is>
          <t>TVS</t>
        </is>
      </c>
      <c r="B28" s="147" t="inlineStr">
        <is>
          <t>RUCHA</t>
        </is>
      </c>
      <c r="C28" s="153" t="inlineStr">
        <is>
          <t>ERW1</t>
        </is>
      </c>
      <c r="D28" s="147" t="inlineStr">
        <is>
          <t>NON FIN</t>
        </is>
      </c>
      <c r="E28" s="147" t="inlineStr">
        <is>
          <t>ERW</t>
        </is>
      </c>
      <c r="F28" s="148" t="n">
        <v>25.4</v>
      </c>
      <c r="G28" s="148" t="n"/>
      <c r="H28" s="148" t="n">
        <v>2</v>
      </c>
      <c r="I28" s="147" t="n">
        <v>5840</v>
      </c>
      <c r="J28" s="147" t="n">
        <v>5.82</v>
      </c>
      <c r="K28" s="147">
        <f>COUNTIF(_xlfn.ANCHORARRAY(A$74),M28)</f>
        <v/>
      </c>
      <c r="L28" s="147" t="n"/>
      <c r="M28" s="147">
        <f>_xlfn.CONCAT(F28,H28,J28,E28,D28)</f>
        <v/>
      </c>
      <c r="N28" s="147">
        <f>VLOOKUP(aug[[#This Row],[Key]],Table2527[[#All],[ ]:[Bucket CTL]],2,0)</f>
        <v/>
      </c>
      <c r="O28" s="147">
        <f>VLOOKUP(aug[[#This Row],[Key]],Table2527[[#All],[ ]:[Bucket CTL]],3,0)</f>
        <v/>
      </c>
      <c r="P28" s="147" t="n"/>
      <c r="Q28" s="147">
        <f>VLOOKUP(aug[[#This Row],[Key]],Table2527[[#All],[ ]:[TSL Material Code]],4,0)</f>
        <v/>
      </c>
      <c r="R28" s="147">
        <f>VLOOKUP(aug[[#This Row],[Key]],Table2527[[#All],[ ]:[TSL Material Code]],5,0)</f>
        <v/>
      </c>
      <c r="S28" s="147">
        <f>EXACT(aug[[#This Row],[Material code july]],aug[[#This Row],[TSL Material Code]])</f>
        <v/>
      </c>
      <c r="T28" s="151" t="inlineStr">
        <is>
          <t>056</t>
        </is>
      </c>
      <c r="U28" s="149" t="n">
        <v>3240023</v>
      </c>
      <c r="V28" s="19" t="n">
        <v>20</v>
      </c>
      <c r="W28" s="147" t="n">
        <v>0</v>
      </c>
      <c r="X28" s="147" t="n">
        <v>0</v>
      </c>
      <c r="Y28" s="147" t="n"/>
      <c r="Z28" s="147">
        <f>X28-W28</f>
        <v/>
      </c>
      <c r="AA28" s="147" t="n">
        <v>2.8</v>
      </c>
      <c r="AB28" s="147">
        <f>Z28+AA28</f>
        <v/>
      </c>
      <c r="AC28" s="19">
        <f>V28-AB28</f>
        <v/>
      </c>
      <c r="AD28" s="387">
        <f>IF(AC28&gt;0,AC28,0)</f>
        <v/>
      </c>
      <c r="AE28" s="416">
        <f>SUMIFS(meghsteelsales_previousmonth[Quantity],meghsteelsales_previousmonth[Length Bucket],aug[[#This Row],[Bucket CTL]])/1000</f>
        <v/>
      </c>
      <c r="AF28" s="160">
        <f>SUMIFS(meghsteelsales_currentmonth[Quantity],meghsteelsales_currentmonth[Length Bucket],aug[[#This Row],[Bucket CTL]])/1000</f>
        <v/>
      </c>
      <c r="AG28" s="187">
        <f>aug[[#This Row],[order logg ]]+aug[[#This Row],[ INDENT  FOR AUG-25 recommended]]</f>
        <v/>
      </c>
      <c r="AH28" s="427">
        <f>aug[[#This Row],[Before 20th]]+aug[[#This Row],[ofter 20th]]</f>
        <v/>
      </c>
      <c r="AI28" s="427">
        <f>IF((aug[[#This Row],[Total Indent]]-aug[[#This Row],[Total Delivered]])&lt;0,0,aug[[#This Row],[Total Indent]]-aug[[#This Row],[Total Delivered]])</f>
        <v/>
      </c>
      <c r="AJ28" s="187" t="n"/>
    </row>
    <row r="29">
      <c r="A29" s="265" t="inlineStr">
        <is>
          <t>TVS</t>
        </is>
      </c>
      <c r="B29" s="147" t="inlineStr">
        <is>
          <t>RUCHA</t>
        </is>
      </c>
      <c r="C29" s="153" t="inlineStr">
        <is>
          <t>ERW1</t>
        </is>
      </c>
      <c r="D29" s="147" t="inlineStr">
        <is>
          <t>NON FIN</t>
        </is>
      </c>
      <c r="E29" s="147" t="inlineStr">
        <is>
          <t>ERW</t>
        </is>
      </c>
      <c r="F29" s="148" t="n">
        <v>25.4</v>
      </c>
      <c r="G29" s="148" t="n"/>
      <c r="H29" s="148" t="n">
        <v>2</v>
      </c>
      <c r="I29" s="147" t="n">
        <v>6050</v>
      </c>
      <c r="J29" s="147" t="n">
        <v>6.05</v>
      </c>
      <c r="K29" s="147">
        <f>COUNTIF(_xlfn.ANCHORARRAY(A$74),M29)</f>
        <v/>
      </c>
      <c r="L29" s="147" t="n"/>
      <c r="M29" s="147">
        <f>_xlfn.CONCAT(F29,H29,J29,E29,D29)</f>
        <v/>
      </c>
      <c r="N29" s="147">
        <f>VLOOKUP(aug[[#This Row],[Key]],Table2527[[#All],[ ]:[Bucket CTL]],2,0)</f>
        <v/>
      </c>
      <c r="O29" s="147">
        <f>VLOOKUP(aug[[#This Row],[Key]],Table2527[[#All],[ ]:[Bucket CTL]],3,0)</f>
        <v/>
      </c>
      <c r="P29" s="147" t="n"/>
      <c r="Q29" s="147">
        <f>VLOOKUP(aug[[#This Row],[Key]],Table2527[[#All],[ ]:[TSL Material Code]],4,0)</f>
        <v/>
      </c>
      <c r="R29" s="147">
        <f>VLOOKUP(aug[[#This Row],[Key]],Table2527[[#All],[ ]:[TSL Material Code]],5,0)</f>
        <v/>
      </c>
      <c r="S29" s="147">
        <f>EXACT(aug[[#This Row],[Material code july]],aug[[#This Row],[TSL Material Code]])</f>
        <v/>
      </c>
      <c r="T29" s="151" t="inlineStr">
        <is>
          <t>0789</t>
        </is>
      </c>
      <c r="U29" s="150">
        <f>aug[[#This Row],[Material code july]]</f>
        <v/>
      </c>
      <c r="V29" s="19" t="n">
        <v>15</v>
      </c>
      <c r="W29" s="147" t="n">
        <v>3</v>
      </c>
      <c r="X29" s="147" t="n">
        <v>12</v>
      </c>
      <c r="Y29" s="147" t="n"/>
      <c r="Z29" s="147">
        <f>X29-W29</f>
        <v/>
      </c>
      <c r="AA29" s="147" t="n">
        <v>0</v>
      </c>
      <c r="AB29" s="147">
        <f>Z29+AA29</f>
        <v/>
      </c>
      <c r="AC29" s="19">
        <f>V29-AB29</f>
        <v/>
      </c>
      <c r="AD29" s="387">
        <f>IF(AC29&gt;0,AC29,0)</f>
        <v/>
      </c>
      <c r="AE29" s="416">
        <f>SUMIFS(meghsteelsales_previousmonth[Quantity],meghsteelsales_previousmonth[Length Bucket],aug[[#This Row],[Bucket CTL]])/1000</f>
        <v/>
      </c>
      <c r="AF29" s="160">
        <f>SUMIFS(meghsteelsales_currentmonth[Quantity],meghsteelsales_currentmonth[Length Bucket],aug[[#This Row],[Bucket CTL]])/1000</f>
        <v/>
      </c>
      <c r="AG29" s="187">
        <f>aug[[#This Row],[order logg ]]+aug[[#This Row],[ INDENT  FOR AUG-25 recommended]]</f>
        <v/>
      </c>
      <c r="AH29" s="427">
        <f>aug[[#This Row],[Before 20th]]+aug[[#This Row],[ofter 20th]]</f>
        <v/>
      </c>
      <c r="AI29" s="427">
        <f>IF((aug[[#This Row],[Total Indent]]-aug[[#This Row],[Total Delivered]])&lt;0,0,aug[[#This Row],[Total Indent]]-aug[[#This Row],[Total Delivered]])</f>
        <v/>
      </c>
      <c r="AJ29" s="187" t="n"/>
    </row>
    <row r="30">
      <c r="A30" s="265" t="inlineStr">
        <is>
          <t>TVS</t>
        </is>
      </c>
      <c r="B30" s="147" t="inlineStr">
        <is>
          <t>RUCHA</t>
        </is>
      </c>
      <c r="C30" s="153" t="inlineStr">
        <is>
          <t>ERW1</t>
        </is>
      </c>
      <c r="D30" s="147" t="inlineStr">
        <is>
          <t>NON FIN</t>
        </is>
      </c>
      <c r="E30" s="147" t="inlineStr">
        <is>
          <t>ERW</t>
        </is>
      </c>
      <c r="F30" s="148" t="n">
        <v>25.4</v>
      </c>
      <c r="G30" s="148" t="n"/>
      <c r="H30" s="148" t="n">
        <v>2.5</v>
      </c>
      <c r="I30" s="147" t="n">
        <v>5530</v>
      </c>
      <c r="J30" s="147" t="n">
        <v>5.53</v>
      </c>
      <c r="K30" s="147">
        <f>COUNTIF(_xlfn.ANCHORARRAY(A$74),M30)</f>
        <v/>
      </c>
      <c r="L30" s="147" t="n"/>
      <c r="M30" s="147">
        <f>_xlfn.CONCAT(F30,H30,J30,E30,D30)</f>
        <v/>
      </c>
      <c r="N30" s="147">
        <f>VLOOKUP(aug[[#This Row],[Key]],Table2527[[#All],[ ]:[Bucket CTL]],2,0)</f>
        <v/>
      </c>
      <c r="O30" s="147">
        <f>VLOOKUP(aug[[#This Row],[Key]],Table2527[[#All],[ ]:[Bucket CTL]],3,0)</f>
        <v/>
      </c>
      <c r="P30" s="147" t="n"/>
      <c r="Q30" s="147">
        <f>VLOOKUP(aug[[#This Row],[Key]],Table2527[[#All],[ ]:[TSL Material Code]],4,0)</f>
        <v/>
      </c>
      <c r="R30" s="147">
        <f>VLOOKUP(aug[[#This Row],[Key]],Table2527[[#All],[ ]:[TSL Material Code]],5,0)</f>
        <v/>
      </c>
      <c r="S30" s="147">
        <f>EXACT(aug[[#This Row],[Material code july]],aug[[#This Row],[TSL Material Code]])</f>
        <v/>
      </c>
      <c r="T30" s="151" t="inlineStr">
        <is>
          <t>056</t>
        </is>
      </c>
      <c r="U30" s="150" t="n">
        <v>3502256</v>
      </c>
      <c r="V30" s="19" t="n">
        <v>60</v>
      </c>
      <c r="W30" s="147" t="n">
        <v>30</v>
      </c>
      <c r="X30" s="147" t="n">
        <v>0</v>
      </c>
      <c r="Y30" s="147" t="n"/>
      <c r="Z30" s="147">
        <f>X30-W30</f>
        <v/>
      </c>
      <c r="AA30" s="147" t="n">
        <v>72</v>
      </c>
      <c r="AB30" s="147">
        <f>Z30+AA30</f>
        <v/>
      </c>
      <c r="AC30" s="19">
        <f>V30-AB30</f>
        <v/>
      </c>
      <c r="AD30" s="387">
        <f>IF(AC30&gt;0,AC30,0)</f>
        <v/>
      </c>
      <c r="AE30" s="416">
        <f>SUMIFS(meghsteelsales_previousmonth[Quantity],meghsteelsales_previousmonth[Length Bucket],aug[[#This Row],[Bucket CTL]])/1000</f>
        <v/>
      </c>
      <c r="AF30" s="160">
        <f>SUMIFS(meghsteelsales_currentmonth[Quantity],meghsteelsales_currentmonth[Length Bucket],aug[[#This Row],[Bucket CTL]])/1000</f>
        <v/>
      </c>
      <c r="AG30" s="187">
        <f>aug[[#This Row],[order logg ]]+aug[[#This Row],[ INDENT  FOR AUG-25 recommended]]</f>
        <v/>
      </c>
      <c r="AH30" s="427">
        <f>aug[[#This Row],[Before 20th]]+aug[[#This Row],[ofter 20th]]</f>
        <v/>
      </c>
      <c r="AI30" s="427">
        <f>IF((aug[[#This Row],[Total Indent]]-aug[[#This Row],[Total Delivered]])&lt;0,0,aug[[#This Row],[Total Indent]]-aug[[#This Row],[Total Delivered]])</f>
        <v/>
      </c>
      <c r="AJ30" s="187" t="n"/>
    </row>
    <row r="31">
      <c r="A31" s="265" t="inlineStr">
        <is>
          <t>TVS</t>
        </is>
      </c>
      <c r="B31" s="147" t="inlineStr">
        <is>
          <t>RUCHA,METALMAN</t>
        </is>
      </c>
      <c r="C31" s="153" t="inlineStr">
        <is>
          <t>ERW1</t>
        </is>
      </c>
      <c r="D31" s="147" t="inlineStr">
        <is>
          <t>FIN CUT</t>
        </is>
      </c>
      <c r="E31" s="147" t="inlineStr">
        <is>
          <t>ERW</t>
        </is>
      </c>
      <c r="F31" s="148" t="n">
        <v>28.6</v>
      </c>
      <c r="G31" s="148" t="n"/>
      <c r="H31" s="148" t="n">
        <v>1.2</v>
      </c>
      <c r="I31" s="147" t="n">
        <v>6000</v>
      </c>
      <c r="J31" s="147" t="n">
        <v>6</v>
      </c>
      <c r="K31" s="147">
        <f>COUNTIF(_xlfn.ANCHORARRAY(A$74),M31)</f>
        <v/>
      </c>
      <c r="L31" s="147" t="n"/>
      <c r="M31" s="147">
        <f>_xlfn.CONCAT(F31,H31,J31,E31,D31)</f>
        <v/>
      </c>
      <c r="N31" s="147">
        <f>VLOOKUP(aug[[#This Row],[Key]],Table2527[[#All],[ ]:[Bucket CTL]],2,0)</f>
        <v/>
      </c>
      <c r="O31" s="147">
        <f>VLOOKUP(aug[[#This Row],[Key]],Table2527[[#All],[ ]:[Bucket CTL]],3,0)</f>
        <v/>
      </c>
      <c r="P31" s="147" t="n"/>
      <c r="Q31" s="147">
        <f>VLOOKUP(aug[[#This Row],[Key]],Table2527[[#All],[ ]:[TSL Material Code]],4,0)</f>
        <v/>
      </c>
      <c r="R31" s="147">
        <f>VLOOKUP(aug[[#This Row],[Key]],Table2527[[#All],[ ]:[TSL Material Code]],5,0)</f>
        <v/>
      </c>
      <c r="S31" s="147">
        <f>EXACT(aug[[#This Row],[Material code july]],aug[[#This Row],[TSL Material Code]])</f>
        <v/>
      </c>
      <c r="T31" s="151" t="inlineStr">
        <is>
          <t>0789</t>
        </is>
      </c>
      <c r="U31" s="150" t="n">
        <v>3702101</v>
      </c>
      <c r="V31" s="19" t="n">
        <v>3</v>
      </c>
      <c r="W31" s="147" t="n">
        <v>0</v>
      </c>
      <c r="X31" s="147" t="n">
        <v>3</v>
      </c>
      <c r="Y31" s="147" t="n"/>
      <c r="Z31" s="147">
        <f>X31-W31</f>
        <v/>
      </c>
      <c r="AA31" s="147" t="n">
        <v>0</v>
      </c>
      <c r="AB31" s="147">
        <f>Z31+AA31</f>
        <v/>
      </c>
      <c r="AC31" s="19">
        <f>V31-AB31</f>
        <v/>
      </c>
      <c r="AD31" s="387">
        <f>IF(AC31&gt;0,AC31,0)</f>
        <v/>
      </c>
      <c r="AE31" s="416">
        <f>SUMIFS(meghsteelsales_previousmonth[Quantity],meghsteelsales_previousmonth[Length Bucket],aug[[#This Row],[Bucket CTL]])/1000</f>
        <v/>
      </c>
      <c r="AF31" s="160">
        <f>SUMIFS(meghsteelsales_currentmonth[Quantity],meghsteelsales_currentmonth[Length Bucket],aug[[#This Row],[Bucket CTL]])/1000</f>
        <v/>
      </c>
      <c r="AG31" s="187">
        <f>aug[[#This Row],[order logg ]]+aug[[#This Row],[ INDENT  FOR AUG-25 recommended]]</f>
        <v/>
      </c>
      <c r="AH31" s="427">
        <f>aug[[#This Row],[Before 20th]]+aug[[#This Row],[ofter 20th]]</f>
        <v/>
      </c>
      <c r="AI31" s="427">
        <f>IF((aug[[#This Row],[Total Indent]]-aug[[#This Row],[Total Delivered]])&lt;0,0,aug[[#This Row],[Total Indent]]-aug[[#This Row],[Total Delivered]])</f>
        <v/>
      </c>
      <c r="AJ31" s="187" t="n"/>
    </row>
    <row r="32">
      <c r="A32" s="265" t="inlineStr">
        <is>
          <t>TVS</t>
        </is>
      </c>
      <c r="B32" s="147" t="inlineStr">
        <is>
          <t>RUCHA</t>
        </is>
      </c>
      <c r="C32" s="159" t="inlineStr">
        <is>
          <t>CEW1</t>
        </is>
      </c>
      <c r="D32" s="147" t="inlineStr">
        <is>
          <t>FIN CUT</t>
        </is>
      </c>
      <c r="E32" s="147" t="inlineStr">
        <is>
          <t>CEW</t>
        </is>
      </c>
      <c r="F32" s="168" t="n">
        <v>28.6</v>
      </c>
      <c r="G32" s="168" t="n"/>
      <c r="H32" s="168" t="n">
        <v>2.65</v>
      </c>
      <c r="I32" s="169" t="n">
        <v>6000</v>
      </c>
      <c r="J32" s="147" t="n">
        <v>6</v>
      </c>
      <c r="K32" s="147">
        <f>COUNTIF(_xlfn.ANCHORARRAY(A$74),M32)</f>
        <v/>
      </c>
      <c r="L32" s="147" t="n"/>
      <c r="M32" s="147">
        <f>_xlfn.CONCAT(F32,H32,J32,E32,D32)</f>
        <v/>
      </c>
      <c r="N32" s="147">
        <f>VLOOKUP(aug[[#This Row],[Key]],Table2527[[#All],[ ]:[Bucket CTL]],2,0)</f>
        <v/>
      </c>
      <c r="O32" s="147">
        <f>VLOOKUP(aug[[#This Row],[Key]],Table2527[[#All],[ ]:[Bucket CTL]],3,0)</f>
        <v/>
      </c>
      <c r="P32" s="147" t="n"/>
      <c r="Q32" s="147">
        <f>VLOOKUP(aug[[#This Row],[Key]],Table2527[[#All],[ ]:[TSL Material Code]],4,0)</f>
        <v/>
      </c>
      <c r="R32" s="147">
        <f>VLOOKUP(aug[[#This Row],[Key]],Table2527[[#All],[ ]:[TSL Material Code]],5,0)</f>
        <v/>
      </c>
      <c r="S32" s="147">
        <f>EXACT(aug[[#This Row],[Material code july]],aug[[#This Row],[TSL Material Code]])</f>
        <v/>
      </c>
      <c r="T32" s="151" t="inlineStr">
        <is>
          <t>0788</t>
        </is>
      </c>
      <c r="U32" s="150" t="n">
        <v>2410388</v>
      </c>
      <c r="V32" s="19" t="n">
        <v>10</v>
      </c>
      <c r="W32" s="147" t="n">
        <v>3</v>
      </c>
      <c r="X32" s="147" t="n">
        <v>15</v>
      </c>
      <c r="Y32" s="147" t="n"/>
      <c r="Z32" s="147">
        <f>X32-W32</f>
        <v/>
      </c>
      <c r="AA32" s="147" t="n">
        <v>0</v>
      </c>
      <c r="AB32" s="147">
        <f>Z32+AA32</f>
        <v/>
      </c>
      <c r="AC32" s="19">
        <f>V32-AB32</f>
        <v/>
      </c>
      <c r="AD32" s="387">
        <f>IF(AC32&gt;0,AC32,0)</f>
        <v/>
      </c>
      <c r="AE32" s="416">
        <f>SUMIFS(meghsteelsales_previousmonth[Quantity],meghsteelsales_previousmonth[Length Bucket],aug[[#This Row],[Bucket CTL]])/1000</f>
        <v/>
      </c>
      <c r="AF32" s="160">
        <f>SUMIFS(meghsteelsales_currentmonth[Quantity],meghsteelsales_currentmonth[Length Bucket],aug[[#This Row],[Bucket CTL]])/1000</f>
        <v/>
      </c>
      <c r="AG32" s="187">
        <f>aug[[#This Row],[order logg ]]+aug[[#This Row],[ INDENT  FOR AUG-25 recommended]]</f>
        <v/>
      </c>
      <c r="AH32" s="427">
        <f>aug[[#This Row],[Before 20th]]+aug[[#This Row],[ofter 20th]]</f>
        <v/>
      </c>
      <c r="AI32" s="427">
        <f>IF((aug[[#This Row],[Total Indent]]-aug[[#This Row],[Total Delivered]])&lt;0,0,aug[[#This Row],[Total Indent]]-aug[[#This Row],[Total Delivered]])</f>
        <v/>
      </c>
      <c r="AJ32" s="187" t="n"/>
    </row>
    <row r="33">
      <c r="A33" s="265" t="inlineStr">
        <is>
          <t>TVS</t>
        </is>
      </c>
      <c r="B33" s="147" t="inlineStr">
        <is>
          <t>RUCHA,METALMAN</t>
        </is>
      </c>
      <c r="C33" s="153" t="inlineStr">
        <is>
          <t>ERW1</t>
        </is>
      </c>
      <c r="D33" s="147" t="inlineStr">
        <is>
          <t>FIN CUT</t>
        </is>
      </c>
      <c r="E33" s="147" t="inlineStr">
        <is>
          <t>ERW</t>
        </is>
      </c>
      <c r="F33" s="148" t="n">
        <v>31.75</v>
      </c>
      <c r="G33" s="148" t="n"/>
      <c r="H33" s="148" t="n">
        <v>1.2</v>
      </c>
      <c r="I33" s="147" t="n">
        <v>6000</v>
      </c>
      <c r="J33" s="147" t="n">
        <v>6</v>
      </c>
      <c r="K33" s="147">
        <f>COUNTIF(_xlfn.ANCHORARRAY(A$74),M33)</f>
        <v/>
      </c>
      <c r="L33" s="147" t="n"/>
      <c r="M33" s="147">
        <f>_xlfn.CONCAT(F33,H33,J33,E33,D33)</f>
        <v/>
      </c>
      <c r="N33" s="147" t="inlineStr">
        <is>
          <t>31.75-0-1.2-ERW 1-FC</t>
        </is>
      </c>
      <c r="O33" s="147" t="inlineStr">
        <is>
          <t>31.75-0-2-ERW 1-FC-6</t>
        </is>
      </c>
      <c r="P33" s="147" t="n"/>
      <c r="Q33" s="147">
        <f>VLOOKUP(aug[[#This Row],[Key]],Table2527[[#All],[ ]:[TSL Material Code]],4,0)</f>
        <v/>
      </c>
      <c r="R33" s="147">
        <f>VLOOKUP(aug[[#This Row],[Key]],Table2527[[#All],[ ]:[TSL Material Code]],5,0)</f>
        <v/>
      </c>
      <c r="S33" s="147">
        <f>EXACT(aug[[#This Row],[Material code july]],aug[[#This Row],[TSL Material Code]])</f>
        <v/>
      </c>
      <c r="T33" s="151" t="inlineStr">
        <is>
          <t>056</t>
        </is>
      </c>
      <c r="U33" s="150" t="n">
        <v>3884381</v>
      </c>
      <c r="V33" s="19" t="n">
        <v>3</v>
      </c>
      <c r="W33" s="147" t="n">
        <v>1</v>
      </c>
      <c r="X33" s="147" t="n">
        <v>0</v>
      </c>
      <c r="Y33" s="147" t="n"/>
      <c r="Z33" s="147">
        <f>X33-W33</f>
        <v/>
      </c>
      <c r="AA33" s="147" t="n">
        <v>8</v>
      </c>
      <c r="AB33" s="147">
        <f>Z33+AA33</f>
        <v/>
      </c>
      <c r="AC33" s="19">
        <f>V33-AB33</f>
        <v/>
      </c>
      <c r="AD33" s="387">
        <f>IF(AC33&gt;0,AC33,0)</f>
        <v/>
      </c>
      <c r="AE33" s="416">
        <f>SUMIFS(meghsteelsales_previousmonth[Quantity],meghsteelsales_previousmonth[Length Bucket],aug[[#This Row],[Bucket CTL]])/1000</f>
        <v/>
      </c>
      <c r="AF33" s="160">
        <f>SUMIFS(meghsteelsales_currentmonth[Quantity],meghsteelsales_currentmonth[Length Bucket],aug[[#This Row],[Bucket CTL]])/1000</f>
        <v/>
      </c>
      <c r="AG33" s="187">
        <f>aug[[#This Row],[order logg ]]+aug[[#This Row],[ INDENT  FOR AUG-25 recommended]]</f>
        <v/>
      </c>
      <c r="AH33" s="427">
        <f>aug[[#This Row],[Before 20th]]+aug[[#This Row],[ofter 20th]]</f>
        <v/>
      </c>
      <c r="AI33" s="427">
        <f>IF((aug[[#This Row],[Total Indent]]-aug[[#This Row],[Total Delivered]])&lt;0,0,aug[[#This Row],[Total Indent]]-aug[[#This Row],[Total Delivered]])</f>
        <v/>
      </c>
      <c r="AJ33" s="187" t="n"/>
    </row>
    <row r="34">
      <c r="A34" s="265" t="inlineStr">
        <is>
          <t>TVS</t>
        </is>
      </c>
      <c r="B34" s="147" t="inlineStr">
        <is>
          <t>RUCHA,METALMAN</t>
        </is>
      </c>
      <c r="C34" s="153" t="inlineStr">
        <is>
          <t>ERW1</t>
        </is>
      </c>
      <c r="D34" s="147" t="inlineStr">
        <is>
          <t>FIN CUT</t>
        </is>
      </c>
      <c r="E34" s="147" t="inlineStr">
        <is>
          <t>ERW</t>
        </is>
      </c>
      <c r="F34" s="148" t="n">
        <v>31.75</v>
      </c>
      <c r="G34" s="148" t="n"/>
      <c r="H34" s="148" t="n">
        <v>2</v>
      </c>
      <c r="I34" s="147" t="n">
        <v>6000</v>
      </c>
      <c r="J34" s="147" t="n">
        <v>6</v>
      </c>
      <c r="K34" s="147">
        <f>COUNTIF(_xlfn.ANCHORARRAY(A$74),M34)</f>
        <v/>
      </c>
      <c r="L34" s="147" t="n"/>
      <c r="M34" s="147">
        <f>_xlfn.CONCAT(F34,H34,J34,E34,D34)</f>
        <v/>
      </c>
      <c r="N34" s="147" t="inlineStr">
        <is>
          <t>31.75-0-2-ERW 1-FC</t>
        </is>
      </c>
      <c r="O34" s="147">
        <f>VLOOKUP(aug[[#This Row],[Key]],Table2527[[#All],[ ]:[Bucket CTL]],3,0)</f>
        <v/>
      </c>
      <c r="P34" s="147" t="n"/>
      <c r="Q34" s="147">
        <f>VLOOKUP(aug[[#This Row],[Key]],Table2527[[#All],[ ]:[TSL Material Code]],4,0)</f>
        <v/>
      </c>
      <c r="R34" s="147" t="n"/>
      <c r="S34" s="147" t="n"/>
      <c r="T34" s="165" t="inlineStr">
        <is>
          <t>0789</t>
        </is>
      </c>
      <c r="U34" s="150" t="n">
        <v>1931387</v>
      </c>
      <c r="V34" s="19" t="n">
        <v>15</v>
      </c>
      <c r="W34" s="147" t="n">
        <v>0</v>
      </c>
      <c r="X34" s="147" t="n">
        <v>0</v>
      </c>
      <c r="Y34" s="147" t="n"/>
      <c r="Z34" s="147">
        <f>X34-W34</f>
        <v/>
      </c>
      <c r="AA34" s="147" t="n">
        <v>0</v>
      </c>
      <c r="AB34" s="147">
        <f>Z34+AA34</f>
        <v/>
      </c>
      <c r="AC34" s="19">
        <f>V34-AB34</f>
        <v/>
      </c>
      <c r="AD34" s="387">
        <f>IF(AC34&gt;0,AC34,0)</f>
        <v/>
      </c>
      <c r="AE34" s="416">
        <f>SUMIFS(meghsteelsales_previousmonth[Quantity],meghsteelsales_previousmonth[Length Bucket],aug[[#This Row],[Bucket CTL]])/1000</f>
        <v/>
      </c>
      <c r="AF34" s="160">
        <f>SUMIFS(meghsteelsales_currentmonth[Quantity],meghsteelsales_currentmonth[Length Bucket],aug[[#This Row],[Bucket CTL]])/1000</f>
        <v/>
      </c>
      <c r="AG34" s="187">
        <f>aug[[#This Row],[order logg ]]+aug[[#This Row],[ INDENT  FOR AUG-25 recommended]]</f>
        <v/>
      </c>
      <c r="AH34" s="427">
        <f>aug[[#This Row],[Before 20th]]+aug[[#This Row],[ofter 20th]]</f>
        <v/>
      </c>
      <c r="AI34" s="427">
        <f>IF((aug[[#This Row],[Total Indent]]-aug[[#This Row],[Total Delivered]])&lt;0,0,aug[[#This Row],[Total Indent]]-aug[[#This Row],[Total Delivered]])</f>
        <v/>
      </c>
      <c r="AJ34" s="187" t="n"/>
    </row>
    <row r="35">
      <c r="A35" s="265" t="inlineStr">
        <is>
          <t>RE</t>
        </is>
      </c>
      <c r="B35" s="147" t="inlineStr">
        <is>
          <t>BELRISE</t>
        </is>
      </c>
      <c r="C35" s="153" t="inlineStr">
        <is>
          <t>ERW1</t>
        </is>
      </c>
      <c r="D35" s="147" t="inlineStr">
        <is>
          <t>FIN CUT</t>
        </is>
      </c>
      <c r="E35" s="147" t="inlineStr">
        <is>
          <t>ERW</t>
        </is>
      </c>
      <c r="F35" s="148" t="n">
        <v>31.75</v>
      </c>
      <c r="G35" s="148" t="n"/>
      <c r="H35" s="148" t="n">
        <v>2.3</v>
      </c>
      <c r="I35" s="147" t="n">
        <v>5920</v>
      </c>
      <c r="J35" s="147" t="n">
        <v>5.92</v>
      </c>
      <c r="K35" s="147">
        <f>COUNTIF(_xlfn.ANCHORARRAY(A$74),M35)</f>
        <v/>
      </c>
      <c r="L35" s="147" t="n"/>
      <c r="M35" s="147">
        <f>_xlfn.CONCAT(F35,H35,J35,E35,D35)</f>
        <v/>
      </c>
      <c r="N35" s="147">
        <f>VLOOKUP(aug[[#This Row],[Key]],Table2527[[#All],[ ]:[Bucket CTL]],2,0)</f>
        <v/>
      </c>
      <c r="O35" s="147">
        <f>VLOOKUP(aug[[#This Row],[Key]],Table2527[[#All],[ ]:[Bucket CTL]],3,0)</f>
        <v/>
      </c>
      <c r="P35" s="147" t="n"/>
      <c r="Q35" s="147">
        <f>VLOOKUP(aug[[#This Row],[Key]],Table2527[[#All],[ ]:[TSL Material Code]],4,0)</f>
        <v/>
      </c>
      <c r="R35" s="147">
        <f>VLOOKUP(aug[[#This Row],[Key]],Table2527[[#All],[ ]:[TSL Material Code]],5,0)</f>
        <v/>
      </c>
      <c r="S35" s="147">
        <f>EXACT(aug[[#This Row],[Material code july]],aug[[#This Row],[TSL Material Code]])</f>
        <v/>
      </c>
      <c r="T35" s="151" t="inlineStr">
        <is>
          <t>0789</t>
        </is>
      </c>
      <c r="U35" s="150">
        <f>aug[[#This Row],[Material code july]]</f>
        <v/>
      </c>
      <c r="V35" s="19" t="n">
        <v>15</v>
      </c>
      <c r="W35" s="147" t="n">
        <v>5</v>
      </c>
      <c r="X35" s="147" t="n">
        <v>44</v>
      </c>
      <c r="Y35" s="147" t="n"/>
      <c r="Z35" s="147">
        <f>X35-W35</f>
        <v/>
      </c>
      <c r="AA35" s="147" t="n">
        <v>0</v>
      </c>
      <c r="AB35" s="147">
        <f>Z35+AA35</f>
        <v/>
      </c>
      <c r="AC35" s="19">
        <f>V35-AB35</f>
        <v/>
      </c>
      <c r="AD35" s="387">
        <f>IF(AC35&gt;0,AC35,0)</f>
        <v/>
      </c>
      <c r="AE35" s="416">
        <f>SUMIFS(meghsteelsales_previousmonth[Quantity],meghsteelsales_previousmonth[Length Bucket],aug[[#This Row],[Bucket CTL]])/1000</f>
        <v/>
      </c>
      <c r="AF35" s="160">
        <f>SUMIFS(meghsteelsales_currentmonth[Quantity],meghsteelsales_currentmonth[Length Bucket],aug[[#This Row],[Bucket CTL]])/1000</f>
        <v/>
      </c>
      <c r="AG35" s="187">
        <f>aug[[#This Row],[order logg ]]+aug[[#This Row],[ INDENT  FOR AUG-25 recommended]]</f>
        <v/>
      </c>
      <c r="AH35" s="427">
        <f>aug[[#This Row],[Before 20th]]+aug[[#This Row],[ofter 20th]]</f>
        <v/>
      </c>
      <c r="AI35" s="427">
        <f>IF((aug[[#This Row],[Total Indent]]-aug[[#This Row],[Total Delivered]])&lt;0,0,aug[[#This Row],[Total Indent]]-aug[[#This Row],[Total Delivered]])</f>
        <v/>
      </c>
      <c r="AJ35" s="187" t="n"/>
    </row>
    <row r="36">
      <c r="A36" s="265" t="n">
        <v>0</v>
      </c>
      <c r="B36" s="147" t="inlineStr">
        <is>
          <t>RUCHA,METALMAN</t>
        </is>
      </c>
      <c r="C36" s="153" t="inlineStr">
        <is>
          <t>ERW1</t>
        </is>
      </c>
      <c r="D36" s="147" t="inlineStr">
        <is>
          <t>FIN CUT</t>
        </is>
      </c>
      <c r="E36" s="147" t="inlineStr">
        <is>
          <t>ERW</t>
        </is>
      </c>
      <c r="F36" s="148" t="n">
        <v>34.93</v>
      </c>
      <c r="G36" s="148" t="n"/>
      <c r="H36" s="148" t="n">
        <v>1.2</v>
      </c>
      <c r="I36" s="147" t="n">
        <v>6000</v>
      </c>
      <c r="J36" s="147" t="n">
        <v>6</v>
      </c>
      <c r="K36" s="147">
        <f>COUNTIF(_xlfn.ANCHORARRAY(A$74),M36)</f>
        <v/>
      </c>
      <c r="L36" s="147" t="n"/>
      <c r="M36" s="147">
        <f>_xlfn.CONCAT(F36,H36,J36,E36,D36)</f>
        <v/>
      </c>
      <c r="N36" s="147">
        <f>VLOOKUP(aug[[#This Row],[Key]],Table2527[[#All],[ ]:[Bucket CTL]],2,0)</f>
        <v/>
      </c>
      <c r="O36" s="147">
        <f>VLOOKUP(aug[[#This Row],[Key]],Table2527[[#All],[ ]:[Bucket CTL]],3,0)</f>
        <v/>
      </c>
      <c r="P36" s="147" t="n"/>
      <c r="Q36" s="147">
        <f>VLOOKUP(aug[[#This Row],[Key]],Table2527[[#All],[ ]:[TSL Material Code]],4,0)</f>
        <v/>
      </c>
      <c r="R36" s="147">
        <f>VLOOKUP(aug[[#This Row],[Key]],Table2527[[#All],[ ]:[TSL Material Code]],5,0)</f>
        <v/>
      </c>
      <c r="S36" s="147">
        <f>EXACT(aug[[#This Row],[Material code july]],aug[[#This Row],[TSL Material Code]])</f>
        <v/>
      </c>
      <c r="T36" s="151" t="inlineStr">
        <is>
          <t>0789</t>
        </is>
      </c>
      <c r="U36" s="150" t="n">
        <v>1940701</v>
      </c>
      <c r="V36" s="19" t="n">
        <v>3</v>
      </c>
      <c r="W36" s="147" t="n">
        <v>0</v>
      </c>
      <c r="X36" s="147" t="n">
        <v>7</v>
      </c>
      <c r="Y36" s="147" t="n"/>
      <c r="Z36" s="147">
        <f>X36-W36</f>
        <v/>
      </c>
      <c r="AA36" s="147" t="n">
        <v>0</v>
      </c>
      <c r="AB36" s="147">
        <f>Z36+AA36</f>
        <v/>
      </c>
      <c r="AC36" s="19">
        <f>V36-AB36</f>
        <v/>
      </c>
      <c r="AD36" s="387">
        <f>IF(AC36&gt;0,AC36,0)</f>
        <v/>
      </c>
      <c r="AE36" s="416">
        <f>SUMIFS(meghsteelsales_previousmonth[Quantity],meghsteelsales_previousmonth[Length Bucket],aug[[#This Row],[Bucket CTL]])/1000</f>
        <v/>
      </c>
      <c r="AF36" s="160">
        <f>SUMIFS(meghsteelsales_currentmonth[Quantity],meghsteelsales_currentmonth[Length Bucket],aug[[#This Row],[Bucket CTL]])/1000</f>
        <v/>
      </c>
      <c r="AG36" s="187">
        <f>aug[[#This Row],[order logg ]]+aug[[#This Row],[ INDENT  FOR AUG-25 recommended]]</f>
        <v/>
      </c>
      <c r="AH36" s="427">
        <f>aug[[#This Row],[Before 20th]]+aug[[#This Row],[ofter 20th]]</f>
        <v/>
      </c>
      <c r="AI36" s="427">
        <f>IF((aug[[#This Row],[Total Indent]]-aug[[#This Row],[Total Delivered]])&lt;0,0,aug[[#This Row],[Total Indent]]-aug[[#This Row],[Total Delivered]])</f>
        <v/>
      </c>
      <c r="AJ36" s="187" t="n"/>
    </row>
    <row r="37">
      <c r="A37" s="265" t="inlineStr">
        <is>
          <t>RE</t>
        </is>
      </c>
      <c r="B37" s="147" t="inlineStr">
        <is>
          <t>BELRISE</t>
        </is>
      </c>
      <c r="C37" s="153" t="inlineStr">
        <is>
          <t>ERW1</t>
        </is>
      </c>
      <c r="D37" s="147" t="inlineStr">
        <is>
          <t>FIN CUT</t>
        </is>
      </c>
      <c r="E37" s="147" t="inlineStr">
        <is>
          <t>ERW</t>
        </is>
      </c>
      <c r="F37" s="148" t="n">
        <v>34.93</v>
      </c>
      <c r="G37" s="148" t="n"/>
      <c r="H37" s="148" t="n">
        <v>1.2</v>
      </c>
      <c r="I37" s="147" t="n">
        <v>620</v>
      </c>
      <c r="J37" s="147" t="n">
        <v>0.62</v>
      </c>
      <c r="K37" s="147">
        <f>COUNTIF(_xlfn.ANCHORARRAY(A$74),M37)</f>
        <v/>
      </c>
      <c r="L37" s="147" t="n"/>
      <c r="M37" s="147">
        <f>_xlfn.CONCAT(F37,H37,J37,E37,D37)</f>
        <v/>
      </c>
      <c r="N37" s="147">
        <f>VLOOKUP(aug[[#This Row],[Key]],Table2527[[#All],[ ]:[Bucket CTL]],2,0)</f>
        <v/>
      </c>
      <c r="O37" s="147">
        <f>VLOOKUP(aug[[#This Row],[Key]],Table2527[[#All],[ ]:[Bucket CTL]],3,0)</f>
        <v/>
      </c>
      <c r="P37" s="147" t="n"/>
      <c r="Q37" s="147">
        <f>VLOOKUP(aug[[#This Row],[Key]],Table2527[[#All],[ ]:[TSL Material Code]],4,0)</f>
        <v/>
      </c>
      <c r="R37" s="147">
        <f>VLOOKUP(aug[[#This Row],[Key]],Table2527[[#All],[ ]:[TSL Material Code]],5,0)</f>
        <v/>
      </c>
      <c r="S37" s="147">
        <f>EXACT(aug[[#This Row],[Material code july]],aug[[#This Row],[TSL Material Code]])</f>
        <v/>
      </c>
      <c r="T37" s="151" t="inlineStr">
        <is>
          <t>0789</t>
        </is>
      </c>
      <c r="U37" s="150" t="n">
        <v>2397073</v>
      </c>
      <c r="V37" s="19" t="n">
        <v>10</v>
      </c>
      <c r="W37" s="147" t="n">
        <v>3</v>
      </c>
      <c r="X37" s="147" t="n">
        <v>0</v>
      </c>
      <c r="Y37" s="147" t="n"/>
      <c r="Z37" s="147">
        <f>X37-W37</f>
        <v/>
      </c>
      <c r="AA37" s="147" t="n">
        <v>0</v>
      </c>
      <c r="AB37" s="147">
        <f>Z37+AA37</f>
        <v/>
      </c>
      <c r="AC37" s="19">
        <f>V37-AB37</f>
        <v/>
      </c>
      <c r="AD37" s="387">
        <f>IF(AC37&gt;0,AC37,0)</f>
        <v/>
      </c>
      <c r="AE37" s="416">
        <f>SUMIFS(meghsteelsales_previousmonth[Quantity],meghsteelsales_previousmonth[Length Bucket],aug[[#This Row],[Bucket CTL]])/1000</f>
        <v/>
      </c>
      <c r="AF37" s="160">
        <f>SUMIFS(meghsteelsales_currentmonth[Quantity],meghsteelsales_currentmonth[Length Bucket],aug[[#This Row],[Bucket CTL]])/1000</f>
        <v/>
      </c>
      <c r="AG37" s="187">
        <f>aug[[#This Row],[order logg ]]+aug[[#This Row],[ INDENT  FOR AUG-25 recommended]]</f>
        <v/>
      </c>
      <c r="AH37" s="427">
        <f>aug[[#This Row],[Before 20th]]+aug[[#This Row],[ofter 20th]]</f>
        <v/>
      </c>
      <c r="AI37" s="427">
        <f>IF((aug[[#This Row],[Total Indent]]-aug[[#This Row],[Total Delivered]])&lt;0,0,aug[[#This Row],[Total Indent]]-aug[[#This Row],[Total Delivered]])</f>
        <v/>
      </c>
      <c r="AJ37" s="187" t="n"/>
    </row>
    <row r="38">
      <c r="A38" s="265" t="inlineStr">
        <is>
          <t>RE</t>
        </is>
      </c>
      <c r="B38" s="147" t="inlineStr">
        <is>
          <t>RAJSRIYA</t>
        </is>
      </c>
      <c r="C38" s="153" t="inlineStr">
        <is>
          <t>ERW1</t>
        </is>
      </c>
      <c r="D38" s="147" t="inlineStr">
        <is>
          <t>FIN CUT</t>
        </is>
      </c>
      <c r="E38" s="147" t="inlineStr">
        <is>
          <t>ERW</t>
        </is>
      </c>
      <c r="F38" s="148" t="n">
        <v>34.93</v>
      </c>
      <c r="G38" s="148" t="n"/>
      <c r="H38" s="148" t="n">
        <v>1.2</v>
      </c>
      <c r="I38" s="147" t="n">
        <v>700</v>
      </c>
      <c r="J38" s="147" t="n">
        <v>0.7</v>
      </c>
      <c r="K38" s="147">
        <f>COUNTIF(_xlfn.ANCHORARRAY(A$74),M38)</f>
        <v/>
      </c>
      <c r="L38" s="147" t="n"/>
      <c r="M38" s="147">
        <f>_xlfn.CONCAT(F38,H38,J38,E38,D38)</f>
        <v/>
      </c>
      <c r="N38" s="147">
        <f>VLOOKUP(aug[[#This Row],[Key]],Table2527[[#All],[ ]:[Bucket CTL]],2,0)</f>
        <v/>
      </c>
      <c r="O38" s="147">
        <f>VLOOKUP(aug[[#This Row],[Key]],Table2527[[#All],[ ]:[Bucket CTL]],3,0)</f>
        <v/>
      </c>
      <c r="P38" s="147" t="n"/>
      <c r="Q38" s="147">
        <f>VLOOKUP(aug[[#This Row],[Key]],Table2527[[#All],[ ]:[TSL Material Code]],4,0)</f>
        <v/>
      </c>
      <c r="R38" s="147">
        <f>VLOOKUP(aug[[#This Row],[Key]],Table2527[[#All],[ ]:[TSL Material Code]],5,0)</f>
        <v/>
      </c>
      <c r="S38" s="147">
        <f>EXACT(aug[[#This Row],[Material code july]],aug[[#This Row],[TSL Material Code]])</f>
        <v/>
      </c>
      <c r="T38" s="151" t="inlineStr">
        <is>
          <t>0789</t>
        </is>
      </c>
      <c r="U38" s="150" t="n">
        <v>3649699</v>
      </c>
      <c r="V38" s="19" t="n">
        <v>10</v>
      </c>
      <c r="W38" s="147" t="n">
        <v>3</v>
      </c>
      <c r="X38" s="147" t="n">
        <v>0</v>
      </c>
      <c r="Y38" s="147" t="n"/>
      <c r="Z38" s="147">
        <f>X38-W38</f>
        <v/>
      </c>
      <c r="AA38" s="147" t="n">
        <v>0</v>
      </c>
      <c r="AB38" s="147">
        <f>Z38+AA38</f>
        <v/>
      </c>
      <c r="AC38" s="19">
        <f>V38-AB38</f>
        <v/>
      </c>
      <c r="AD38" s="387">
        <f>IF(AC38&gt;0,AC38,0)</f>
        <v/>
      </c>
      <c r="AE38" s="416">
        <f>SUMIFS(meghsteelsales_previousmonth[Quantity],meghsteelsales_previousmonth[Length Bucket],aug[[#This Row],[Bucket CTL]])/1000</f>
        <v/>
      </c>
      <c r="AF38" s="160">
        <f>SUMIFS(meghsteelsales_currentmonth[Quantity],meghsteelsales_currentmonth[Length Bucket],aug[[#This Row],[Bucket CTL]])/1000</f>
        <v/>
      </c>
      <c r="AG38" s="187">
        <f>aug[[#This Row],[order logg ]]+aug[[#This Row],[ INDENT  FOR AUG-25 recommended]]</f>
        <v/>
      </c>
      <c r="AH38" s="427">
        <f>aug[[#This Row],[Before 20th]]+aug[[#This Row],[ofter 20th]]</f>
        <v/>
      </c>
      <c r="AI38" s="427">
        <f>IF((aug[[#This Row],[Total Indent]]-aug[[#This Row],[Total Delivered]])&lt;0,0,aug[[#This Row],[Total Indent]]-aug[[#This Row],[Total Delivered]])</f>
        <v/>
      </c>
      <c r="AJ38" s="187" t="n"/>
    </row>
    <row r="39">
      <c r="A39" s="265" t="inlineStr">
        <is>
          <t>HMSI</t>
        </is>
      </c>
      <c r="B39" s="147" t="inlineStr">
        <is>
          <t>BADVE</t>
        </is>
      </c>
      <c r="C39" s="155" t="inlineStr">
        <is>
          <t>ERW2</t>
        </is>
      </c>
      <c r="D39" s="147" t="inlineStr">
        <is>
          <t>FIN CUT</t>
        </is>
      </c>
      <c r="E39" s="147" t="inlineStr">
        <is>
          <t>ERW</t>
        </is>
      </c>
      <c r="F39" s="154" t="n">
        <v>34</v>
      </c>
      <c r="G39" s="154" t="n"/>
      <c r="H39" s="154" t="n">
        <v>1.4</v>
      </c>
      <c r="I39" s="155" t="n">
        <v>5660</v>
      </c>
      <c r="J39" s="147" t="n">
        <v>5.66</v>
      </c>
      <c r="K39" s="147">
        <f>COUNTIF(_xlfn.ANCHORARRAY(A$74),M39)</f>
        <v/>
      </c>
      <c r="L39" s="147" t="n"/>
      <c r="M39" s="147">
        <f>_xlfn.CONCAT(F39,H39,J39,E39,D39)</f>
        <v/>
      </c>
      <c r="N39" s="147">
        <f>VLOOKUP(aug[[#This Row],[Key]],Table2527[[#All],[ ]:[Bucket CTL]],2,0)</f>
        <v/>
      </c>
      <c r="O39" s="147">
        <f>VLOOKUP(aug[[#This Row],[Key]],Table2527[[#All],[ ]:[Bucket CTL]],3,0)</f>
        <v/>
      </c>
      <c r="P39" s="147" t="n"/>
      <c r="Q39" s="147">
        <f>VLOOKUP(aug[[#This Row],[Key]],Table2527[[#All],[ ]:[TSL Material Code]],4,0)</f>
        <v/>
      </c>
      <c r="R39" s="147">
        <f>VLOOKUP(aug[[#This Row],[Key]],Table2527[[#All],[ ]:[TSL Material Code]],5,0)</f>
        <v/>
      </c>
      <c r="S39" s="147">
        <f>EXACT(aug[[#This Row],[Material code july]],aug[[#This Row],[TSL Material Code]])</f>
        <v/>
      </c>
      <c r="T39" s="151" t="inlineStr">
        <is>
          <t>0788</t>
        </is>
      </c>
      <c r="U39" s="150" t="n">
        <v>3702855</v>
      </c>
      <c r="V39" s="19" t="n">
        <v>3</v>
      </c>
      <c r="W39" s="147" t="n">
        <v>0</v>
      </c>
      <c r="X39" s="147" t="n">
        <v>0</v>
      </c>
      <c r="Y39" s="147" t="n"/>
      <c r="Z39" s="147">
        <f>X39-W39</f>
        <v/>
      </c>
      <c r="AA39" s="147" t="n">
        <v>0</v>
      </c>
      <c r="AB39" s="147">
        <f>Z39+AA39</f>
        <v/>
      </c>
      <c r="AC39" s="19">
        <f>V39-AB39</f>
        <v/>
      </c>
      <c r="AD39" s="387">
        <f>IF(AC39&gt;0,AC39,0)</f>
        <v/>
      </c>
      <c r="AE39" s="416">
        <f>SUMIFS(meghsteelsales_previousmonth[Quantity],meghsteelsales_previousmonth[Length Bucket],aug[[#This Row],[Bucket CTL]])/1000</f>
        <v/>
      </c>
      <c r="AF39" s="160">
        <f>SUMIFS(meghsteelsales_currentmonth[Quantity],meghsteelsales_currentmonth[Length Bucket],aug[[#This Row],[Bucket CTL]])/1000</f>
        <v/>
      </c>
      <c r="AG39" s="187">
        <f>aug[[#This Row],[order logg ]]+aug[[#This Row],[ INDENT  FOR AUG-25 recommended]]</f>
        <v/>
      </c>
      <c r="AH39" s="427">
        <f>aug[[#This Row],[Before 20th]]+aug[[#This Row],[ofter 20th]]</f>
        <v/>
      </c>
      <c r="AI39" s="427">
        <f>IF((aug[[#This Row],[Total Indent]]-aug[[#This Row],[Total Delivered]])&lt;0,0,aug[[#This Row],[Total Indent]]-aug[[#This Row],[Total Delivered]])</f>
        <v/>
      </c>
      <c r="AJ39" s="187" t="n"/>
    </row>
    <row r="40">
      <c r="A40" s="265" t="inlineStr">
        <is>
          <t>TVS</t>
        </is>
      </c>
      <c r="B40" s="147" t="inlineStr">
        <is>
          <t>RUCHA,METALMAN</t>
        </is>
      </c>
      <c r="C40" s="153" t="inlineStr">
        <is>
          <t>ERW370</t>
        </is>
      </c>
      <c r="D40" s="147" t="inlineStr">
        <is>
          <t>FIN CUT</t>
        </is>
      </c>
      <c r="E40" s="147" t="inlineStr">
        <is>
          <t>HST</t>
        </is>
      </c>
      <c r="F40" s="148" t="n">
        <v>38.1</v>
      </c>
      <c r="G40" s="148" t="n"/>
      <c r="H40" s="148" t="n">
        <v>1.6</v>
      </c>
      <c r="I40" s="147" t="n">
        <v>6190</v>
      </c>
      <c r="J40" s="147" t="n">
        <v>6.19</v>
      </c>
      <c r="K40" s="147">
        <f>COUNTIF(_xlfn.ANCHORARRAY(A$74),M40)</f>
        <v/>
      </c>
      <c r="L40" s="147" t="n"/>
      <c r="M40" s="147">
        <f>_xlfn.CONCAT(F40,H40,J40,E40,D40)</f>
        <v/>
      </c>
      <c r="N40" s="147">
        <f>VLOOKUP(aug[[#This Row],[Key]],Table2527[[#All],[ ]:[Bucket CTL]],2,0)</f>
        <v/>
      </c>
      <c r="O40" s="147">
        <f>VLOOKUP(aug[[#This Row],[Key]],Table2527[[#All],[ ]:[Bucket CTL]],3,0)</f>
        <v/>
      </c>
      <c r="P40" s="147" t="n"/>
      <c r="Q40" s="147">
        <f>VLOOKUP(aug[[#This Row],[Key]],Table2527[[#All],[ ]:[TSL Material Code]],4,0)</f>
        <v/>
      </c>
      <c r="R40" s="147">
        <f>VLOOKUP(aug[[#This Row],[Key]],Table2527[[#All],[ ]:[TSL Material Code]],5,0)</f>
        <v/>
      </c>
      <c r="S40" s="147">
        <f>EXACT(aug[[#This Row],[Material code july]],aug[[#This Row],[TSL Material Code]])</f>
        <v/>
      </c>
      <c r="T40" s="151" t="inlineStr">
        <is>
          <t>056</t>
        </is>
      </c>
      <c r="U40" s="150" t="n">
        <v>3502254</v>
      </c>
      <c r="V40" s="19" t="n">
        <v>40</v>
      </c>
      <c r="W40" s="147" t="n">
        <v>15</v>
      </c>
      <c r="X40" s="147" t="n">
        <v>69</v>
      </c>
      <c r="Y40" s="147" t="n"/>
      <c r="Z40" s="147">
        <f>X40-W40</f>
        <v/>
      </c>
      <c r="AA40" s="147" t="n">
        <v>50</v>
      </c>
      <c r="AB40" s="147">
        <f>Z40+AA40</f>
        <v/>
      </c>
      <c r="AC40" s="19">
        <f>V40-AB40</f>
        <v/>
      </c>
      <c r="AD40" s="387">
        <f>IF(AC40&gt;0,AC40,0)</f>
        <v/>
      </c>
      <c r="AE40" s="416">
        <f>SUMIFS(meghsteelsales_previousmonth[Quantity],meghsteelsales_previousmonth[Length Bucket],aug[[#This Row],[Bucket CTL]])/1000</f>
        <v/>
      </c>
      <c r="AF40" s="160">
        <f>SUMIFS(meghsteelsales_currentmonth[Quantity],meghsteelsales_currentmonth[Length Bucket],aug[[#This Row],[Bucket CTL]])/1000</f>
        <v/>
      </c>
      <c r="AG40" s="187">
        <f>aug[[#This Row],[order logg ]]+aug[[#This Row],[ INDENT  FOR AUG-25 recommended]]</f>
        <v/>
      </c>
      <c r="AH40" s="427">
        <f>aug[[#This Row],[Before 20th]]+aug[[#This Row],[ofter 20th]]</f>
        <v/>
      </c>
      <c r="AI40" s="427">
        <f>IF((aug[[#This Row],[Total Indent]]-aug[[#This Row],[Total Delivered]])&lt;0,0,aug[[#This Row],[Total Indent]]-aug[[#This Row],[Total Delivered]])</f>
        <v/>
      </c>
      <c r="AJ40" s="187" t="n"/>
    </row>
    <row r="41">
      <c r="A41" s="265" t="inlineStr">
        <is>
          <t>TVS</t>
        </is>
      </c>
      <c r="B41" s="147" t="inlineStr">
        <is>
          <t>RUCHA,METALMAN</t>
        </is>
      </c>
      <c r="C41" s="153" t="inlineStr">
        <is>
          <t>ERW1</t>
        </is>
      </c>
      <c r="D41" s="147" t="inlineStr">
        <is>
          <t>FIN CUT</t>
        </is>
      </c>
      <c r="E41" s="147" t="inlineStr">
        <is>
          <t>ERW</t>
        </is>
      </c>
      <c r="F41" s="148" t="n">
        <v>38.1</v>
      </c>
      <c r="G41" s="148" t="n"/>
      <c r="H41" s="148" t="n">
        <v>2</v>
      </c>
      <c r="I41" s="147" t="n">
        <v>5650</v>
      </c>
      <c r="J41" s="147" t="n">
        <v>5.65</v>
      </c>
      <c r="K41" s="147">
        <f>COUNTIF(_xlfn.ANCHORARRAY(A$74),M41)</f>
        <v/>
      </c>
      <c r="L41" s="147" t="n"/>
      <c r="M41" s="147">
        <f>_xlfn.CONCAT(F41,H41,J41,E41,D41)</f>
        <v/>
      </c>
      <c r="N41" s="147">
        <f>VLOOKUP(aug[[#This Row],[Key]],Table2527[[#All],[ ]:[Bucket CTL]],2,0)</f>
        <v/>
      </c>
      <c r="O41" s="147">
        <f>VLOOKUP(aug[[#This Row],[Key]],Table2527[[#All],[ ]:[Bucket CTL]],3,0)</f>
        <v/>
      </c>
      <c r="P41" s="147" t="inlineStr">
        <is>
          <t>Value Added</t>
        </is>
      </c>
      <c r="Q41" s="147">
        <f>VLOOKUP(aug[[#This Row],[Key]],Table2527[[#All],[ ]:[TSL Material Code]],4,0)</f>
        <v/>
      </c>
      <c r="R41" s="147">
        <f>VLOOKUP(aug[[#This Row],[Key]],Table2527[[#All],[ ]:[TSL Material Code]],5,0)</f>
        <v/>
      </c>
      <c r="S41" s="147">
        <f>EXACT(aug[[#This Row],[Material code july]],aug[[#This Row],[TSL Material Code]])</f>
        <v/>
      </c>
      <c r="T41" s="151" t="inlineStr">
        <is>
          <t>056</t>
        </is>
      </c>
      <c r="U41" s="150" t="n">
        <v>3500959</v>
      </c>
      <c r="V41" s="19" t="n">
        <v>30</v>
      </c>
      <c r="W41" s="147" t="n">
        <v>8</v>
      </c>
      <c r="X41" s="147" t="n">
        <v>15</v>
      </c>
      <c r="Y41" s="147" t="n"/>
      <c r="Z41" s="147">
        <f>X41-W41</f>
        <v/>
      </c>
      <c r="AA41" s="147" t="n">
        <v>11</v>
      </c>
      <c r="AB41" s="147">
        <f>Z41+AA41</f>
        <v/>
      </c>
      <c r="AC41" s="19">
        <f>V41-AB41</f>
        <v/>
      </c>
      <c r="AD41" s="387">
        <f>IF(AC41&gt;0,AC41,0)</f>
        <v/>
      </c>
      <c r="AE41" s="416">
        <f>SUMIFS(meghsteelsales_previousmonth[Quantity],meghsteelsales_previousmonth[Length Bucket],aug[[#This Row],[Bucket CTL]])/1000</f>
        <v/>
      </c>
      <c r="AF41" s="160">
        <f>SUMIFS(meghsteelsales_currentmonth[Quantity],meghsteelsales_currentmonth[Length Bucket],aug[[#This Row],[Bucket CTL]])/1000</f>
        <v/>
      </c>
      <c r="AG41" s="147">
        <f>aug[[#This Row],[order logg ]]+aug[[#This Row],[ INDENT  FOR AUG-25 recommended]]</f>
        <v/>
      </c>
      <c r="AH41" s="416">
        <f>aug[[#This Row],[Before 20th]]+aug[[#This Row],[ofter 20th]]</f>
        <v/>
      </c>
      <c r="AI41" s="416">
        <f>IF((aug[[#This Row],[Total Indent]]-aug[[#This Row],[Total Delivered]])&lt;0,0,aug[[#This Row],[Total Indent]]-aug[[#This Row],[Total Delivered]])</f>
        <v/>
      </c>
      <c r="AJ41" s="147" t="n">
        <v>28</v>
      </c>
    </row>
    <row r="42">
      <c r="A42" s="265" t="inlineStr">
        <is>
          <t>TVS</t>
        </is>
      </c>
      <c r="B42" s="147" t="inlineStr">
        <is>
          <t>RUCHA,METALMAN</t>
        </is>
      </c>
      <c r="C42" s="153" t="inlineStr">
        <is>
          <t>ERW2</t>
        </is>
      </c>
      <c r="D42" s="147" t="inlineStr">
        <is>
          <t>FIN CUT</t>
        </is>
      </c>
      <c r="E42" s="147" t="inlineStr">
        <is>
          <t>HST</t>
        </is>
      </c>
      <c r="F42" s="148" t="n">
        <v>38.1</v>
      </c>
      <c r="G42" s="148" t="n"/>
      <c r="H42" s="148" t="n">
        <v>2.5</v>
      </c>
      <c r="I42" s="147" t="n">
        <v>6190</v>
      </c>
      <c r="J42" s="147" t="n">
        <v>6.19</v>
      </c>
      <c r="K42" s="147">
        <f>COUNTIF(_xlfn.ANCHORARRAY(A$74),M42)</f>
        <v/>
      </c>
      <c r="L42" s="147" t="n"/>
      <c r="M42" s="147">
        <f>_xlfn.CONCAT(F42,H42,J42,E42,D42)</f>
        <v/>
      </c>
      <c r="N42" s="147">
        <f>VLOOKUP(aug[[#This Row],[Key]],Table2527[[#All],[ ]:[Bucket CTL]],2,0)</f>
        <v/>
      </c>
      <c r="O42" s="147">
        <f>VLOOKUP(aug[[#This Row],[Key]],Table2527[[#All],[ ]:[Bucket CTL]],3,0)</f>
        <v/>
      </c>
      <c r="P42" s="147" t="n"/>
      <c r="Q42" s="147">
        <f>VLOOKUP(aug[[#This Row],[Key]],Table2527[[#All],[ ]:[TSL Material Code]],4,0)</f>
        <v/>
      </c>
      <c r="R42" s="147">
        <f>VLOOKUP(aug[[#This Row],[Key]],Table2527[[#All],[ ]:[TSL Material Code]],5,0)</f>
        <v/>
      </c>
      <c r="S42" s="147">
        <f>EXACT(aug[[#This Row],[Material code july]],aug[[#This Row],[TSL Material Code]])</f>
        <v/>
      </c>
      <c r="T42" s="151" t="inlineStr">
        <is>
          <t>056</t>
        </is>
      </c>
      <c r="U42" s="150" t="n">
        <v>3502007</v>
      </c>
      <c r="V42" s="19" t="n">
        <v>60</v>
      </c>
      <c r="W42" s="147" t="n">
        <v>15</v>
      </c>
      <c r="X42" s="147" t="n">
        <v>6</v>
      </c>
      <c r="Y42" s="147" t="n"/>
      <c r="Z42" s="147">
        <f>X42-W42</f>
        <v/>
      </c>
      <c r="AA42" s="147" t="n">
        <v>71</v>
      </c>
      <c r="AB42" s="147">
        <f>Z42+AA42</f>
        <v/>
      </c>
      <c r="AC42" s="19">
        <f>V42-AB42</f>
        <v/>
      </c>
      <c r="AD42" s="387">
        <f>IF(AC42&gt;0,AC42,0)</f>
        <v/>
      </c>
      <c r="AE42" s="416">
        <f>SUMIFS(meghsteelsales_previousmonth[Quantity],meghsteelsales_previousmonth[Length Bucket],aug[[#This Row],[Bucket CTL]])/1000</f>
        <v/>
      </c>
      <c r="AF42" s="160">
        <f>SUMIFS(meghsteelsales_currentmonth[Quantity],meghsteelsales_currentmonth[Length Bucket],aug[[#This Row],[Bucket CTL]])/1000</f>
        <v/>
      </c>
      <c r="AG42" s="187">
        <f>aug[[#This Row],[order logg ]]+aug[[#This Row],[ INDENT  FOR AUG-25 recommended]]</f>
        <v/>
      </c>
      <c r="AH42" s="427">
        <f>aug[[#This Row],[Before 20th]]+aug[[#This Row],[ofter 20th]]</f>
        <v/>
      </c>
      <c r="AI42" s="427">
        <f>IF((aug[[#This Row],[Total Indent]]-aug[[#This Row],[Total Delivered]])&lt;0,0,aug[[#This Row],[Total Indent]]-aug[[#This Row],[Total Delivered]])</f>
        <v/>
      </c>
      <c r="AJ42" s="187" t="n"/>
    </row>
    <row r="43" customFormat="1" s="45">
      <c r="A43" s="266" t="inlineStr">
        <is>
          <t>RE</t>
        </is>
      </c>
      <c r="B43" s="156" t="inlineStr">
        <is>
          <t>BELRISE</t>
        </is>
      </c>
      <c r="C43" s="157" t="inlineStr">
        <is>
          <t>CEW-1</t>
        </is>
      </c>
      <c r="D43" s="156" t="inlineStr">
        <is>
          <t>FIN CUT</t>
        </is>
      </c>
      <c r="E43" s="156" t="inlineStr">
        <is>
          <t>ERW</t>
        </is>
      </c>
      <c r="F43" s="248" t="n">
        <v>38.1</v>
      </c>
      <c r="G43" s="248" t="n"/>
      <c r="H43" s="248" t="n">
        <v>2.6</v>
      </c>
      <c r="I43" s="156" t="n">
        <v>6000</v>
      </c>
      <c r="J43" s="156" t="n">
        <v>6</v>
      </c>
      <c r="K43" s="156">
        <f>COUNTIF(_xlfn.ANCHORARRAY(A$74),M43)</f>
        <v/>
      </c>
      <c r="L43" s="156" t="n"/>
      <c r="M43" s="156">
        <f>_xlfn.CONCAT(F43,H43,J43,E43,D43)</f>
        <v/>
      </c>
      <c r="N43" s="147">
        <f>VLOOKUP(aug[[#This Row],[Key]],Table2527[[#All],[ ]:[Bucket CTL]],2,0)</f>
        <v/>
      </c>
      <c r="O43" s="147">
        <f>VLOOKUP(aug[[#This Row],[Key]],Table2527[[#All],[ ]:[Bucket CTL]],3,0)</f>
        <v/>
      </c>
      <c r="P43" s="147" t="n"/>
      <c r="Q43" s="400" t="inlineStr">
        <is>
          <t>0788</t>
        </is>
      </c>
      <c r="R43" s="156" t="n">
        <v>3500699</v>
      </c>
      <c r="S43" s="147">
        <f>EXACT(aug[[#This Row],[Material code july]],aug[[#This Row],[TSL Material Code]])</f>
        <v/>
      </c>
      <c r="T43" s="250" t="inlineStr">
        <is>
          <t>0788</t>
        </is>
      </c>
      <c r="U43" s="245" t="n">
        <v>3500699</v>
      </c>
      <c r="V43" s="246" t="n">
        <v>5</v>
      </c>
      <c r="W43" s="156" t="n">
        <v>0</v>
      </c>
      <c r="X43" s="156" t="n">
        <v>0</v>
      </c>
      <c r="Y43" s="156" t="n">
        <v>0</v>
      </c>
      <c r="Z43" s="156">
        <f>X43-W43</f>
        <v/>
      </c>
      <c r="AA43" s="156" t="n">
        <v>0</v>
      </c>
      <c r="AB43" s="156">
        <f>Z43+AA43</f>
        <v/>
      </c>
      <c r="AC43" s="246">
        <f>V43-AB43</f>
        <v/>
      </c>
      <c r="AD43" s="388">
        <f>IF(AC43&gt;0,AC43,0)</f>
        <v/>
      </c>
      <c r="AE43" s="416">
        <f>SUMIFS(meghsteelsales_previousmonth[Quantity],meghsteelsales_previousmonth[Length Bucket],aug[[#This Row],[Bucket CTL]])/1000</f>
        <v/>
      </c>
      <c r="AF43" s="160">
        <f>SUMIFS(meghsteelsales_currentmonth[Quantity],meghsteelsales_currentmonth[Length Bucket],aug[[#This Row],[Bucket CTL]])/1000</f>
        <v/>
      </c>
      <c r="AG43" s="187">
        <f>aug[[#This Row],[order logg ]]+aug[[#This Row],[ INDENT  FOR AUG-25 recommended]]</f>
        <v/>
      </c>
      <c r="AH43" s="427">
        <f>aug[[#This Row],[Before 20th]]+aug[[#This Row],[ofter 20th]]</f>
        <v/>
      </c>
      <c r="AI43" s="427">
        <f>IF((aug[[#This Row],[Total Indent]]-aug[[#This Row],[Total Delivered]])&lt;0,0,aug[[#This Row],[Total Indent]]-aug[[#This Row],[Total Delivered]])</f>
        <v/>
      </c>
      <c r="AJ43" s="445" t="n"/>
    </row>
    <row r="44" customFormat="1" s="386">
      <c r="A44" s="265" t="inlineStr">
        <is>
          <t>TVS</t>
        </is>
      </c>
      <c r="B44" s="147" t="inlineStr">
        <is>
          <t>RUCHA</t>
        </is>
      </c>
      <c r="C44" s="147" t="inlineStr">
        <is>
          <t>ERW1</t>
        </is>
      </c>
      <c r="D44" s="147" t="inlineStr">
        <is>
          <t>FIN CUT</t>
        </is>
      </c>
      <c r="E44" s="147" t="inlineStr">
        <is>
          <t>ERW</t>
        </is>
      </c>
      <c r="F44" s="148" t="n">
        <v>41.28</v>
      </c>
      <c r="G44" s="148" t="n"/>
      <c r="H44" s="148" t="n">
        <v>2.6</v>
      </c>
      <c r="I44" s="147" t="n">
        <v>6000</v>
      </c>
      <c r="J44" s="147" t="n">
        <v>6</v>
      </c>
      <c r="K44" s="147">
        <f>COUNTIF(_xlfn.ANCHORARRAY(A$74),M44)</f>
        <v/>
      </c>
      <c r="L44" s="147" t="n"/>
      <c r="M44" s="147">
        <f>_xlfn.CONCAT(F44,H44,J44,E44,D44)</f>
        <v/>
      </c>
      <c r="N44" s="147">
        <f>VLOOKUP(aug[[#This Row],[Key]],Table2527[[#All],[ ]:[Bucket CTL]],2,0)</f>
        <v/>
      </c>
      <c r="O44" s="147">
        <f>VLOOKUP(aug[[#This Row],[Key]],Table2527[[#All],[ ]:[Bucket CTL]],3,0)</f>
        <v/>
      </c>
      <c r="P44" s="147" t="n"/>
      <c r="Q44" s="147">
        <f>VLOOKUP(aug[[#This Row],[Key]],Table2527[[#All],[ ]:[TSL Material Code]],4,0)</f>
        <v/>
      </c>
      <c r="R44" s="147">
        <f>VLOOKUP(aug[[#This Row],[Key]],Table2527[[#All],[ ]:[TSL Material Code]],5,0)</f>
        <v/>
      </c>
      <c r="S44" s="147">
        <f>EXACT(aug[[#This Row],[Material code july]],aug[[#This Row],[TSL Material Code]])</f>
        <v/>
      </c>
      <c r="T44" s="151" t="inlineStr">
        <is>
          <t>0789</t>
        </is>
      </c>
      <c r="U44" s="150" t="n">
        <v>3974563</v>
      </c>
      <c r="V44" s="19" t="n">
        <v>50</v>
      </c>
      <c r="W44" s="147" t="n">
        <v>15</v>
      </c>
      <c r="X44" s="147" t="n">
        <v>0</v>
      </c>
      <c r="Y44" s="147" t="n">
        <v>26</v>
      </c>
      <c r="Z44" s="147">
        <f>X44-W44</f>
        <v/>
      </c>
      <c r="AA44" s="147" t="n">
        <v>0</v>
      </c>
      <c r="AB44" s="147">
        <f>Z44+AA44</f>
        <v/>
      </c>
      <c r="AC44" s="19">
        <f>V44-AB44</f>
        <v/>
      </c>
      <c r="AD44" s="387">
        <f>IF(AC44&gt;0,AC44,0)</f>
        <v/>
      </c>
      <c r="AE44" s="416">
        <f>SUMIFS(meghsteelsales_previousmonth[Quantity],meghsteelsales_previousmonth[Length Bucket],aug[[#This Row],[Bucket CTL]])/1000</f>
        <v/>
      </c>
      <c r="AF44" s="160">
        <f>SUMIFS(meghsteelsales_currentmonth[Quantity],meghsteelsales_currentmonth[Length Bucket],aug[[#This Row],[Bucket CTL]])/1000</f>
        <v/>
      </c>
      <c r="AG44" s="187">
        <f>aug[[#This Row],[order logg ]]+aug[[#This Row],[ INDENT  FOR AUG-25 recommended]]</f>
        <v/>
      </c>
      <c r="AH44" s="427">
        <f>aug[[#This Row],[Before 20th]]+aug[[#This Row],[ofter 20th]]</f>
        <v/>
      </c>
      <c r="AI44" s="427">
        <f>IF((aug[[#This Row],[Total Indent]]-aug[[#This Row],[Total Delivered]])&lt;0,0,aug[[#This Row],[Total Indent]]-aug[[#This Row],[Total Delivered]])</f>
        <v/>
      </c>
      <c r="AJ44" s="187" t="n"/>
    </row>
    <row r="45">
      <c r="A45" s="265" t="inlineStr">
        <is>
          <t>TVS</t>
        </is>
      </c>
      <c r="B45" s="147" t="inlineStr">
        <is>
          <t>RUCHA</t>
        </is>
      </c>
      <c r="C45" s="159" t="inlineStr">
        <is>
          <t>ERW1</t>
        </is>
      </c>
      <c r="D45" s="147" t="inlineStr">
        <is>
          <t>FIN CUT</t>
        </is>
      </c>
      <c r="E45" s="147" t="inlineStr">
        <is>
          <t>ERW</t>
        </is>
      </c>
      <c r="F45" s="168" t="inlineStr">
        <is>
          <t>40x25</t>
        </is>
      </c>
      <c r="G45" s="168" t="n"/>
      <c r="H45" s="168" t="n">
        <v>1.6</v>
      </c>
      <c r="I45" s="169" t="n">
        <v>6130</v>
      </c>
      <c r="J45" s="147" t="n">
        <v>6.13</v>
      </c>
      <c r="K45" s="147">
        <f>COUNTIF(_xlfn.ANCHORARRAY(A$74),M45)</f>
        <v/>
      </c>
      <c r="L45" s="147" t="n"/>
      <c r="M45" s="147">
        <f>_xlfn.CONCAT(F45,H45,J45,E45,D45)</f>
        <v/>
      </c>
      <c r="N45" s="147">
        <f>VLOOKUP(aug[[#This Row],[Key]],Table2527[[#All],[ ]:[Bucket CTL]],2,0)</f>
        <v/>
      </c>
      <c r="O45" s="147">
        <f>VLOOKUP(aug[[#This Row],[Key]],Table2527[[#All],[ ]:[Bucket CTL]],3,0)</f>
        <v/>
      </c>
      <c r="P45" s="147" t="n"/>
      <c r="Q45" s="147">
        <f>VLOOKUP(aug[[#This Row],[Key]],Table2527[[#All],[ ]:[TSL Material Code]],4,0)</f>
        <v/>
      </c>
      <c r="R45" s="147">
        <f>VLOOKUP(aug[[#This Row],[Key]],Table2527[[#All],[ ]:[TSL Material Code]],5,0)</f>
        <v/>
      </c>
      <c r="S45" s="147">
        <f>EXACT(aug[[#This Row],[Material code july]],aug[[#This Row],[TSL Material Code]])</f>
        <v/>
      </c>
      <c r="T45" s="151" t="inlineStr">
        <is>
          <t>0789</t>
        </is>
      </c>
      <c r="U45" s="150">
        <f>aug[[#This Row],[Material code july]]</f>
        <v/>
      </c>
      <c r="V45" s="19" t="n">
        <v>6</v>
      </c>
      <c r="W45" s="147" t="n">
        <v>1</v>
      </c>
      <c r="X45" s="147" t="n">
        <v>2</v>
      </c>
      <c r="Y45" s="147" t="n"/>
      <c r="Z45" s="147">
        <f>X45-W45</f>
        <v/>
      </c>
      <c r="AA45" s="147" t="n">
        <v>0</v>
      </c>
      <c r="AB45" s="147">
        <f>Z45+AA45</f>
        <v/>
      </c>
      <c r="AC45" s="19">
        <f>V45-AB45</f>
        <v/>
      </c>
      <c r="AD45" s="387">
        <f>IF(AC45&gt;0,AC45,0)</f>
        <v/>
      </c>
      <c r="AE45" s="416">
        <f>SUMIFS(meghsteelsales_previousmonth[Quantity],meghsteelsales_previousmonth[Length Bucket],aug[[#This Row],[Bucket CTL]])/1000</f>
        <v/>
      </c>
      <c r="AF45" s="160">
        <f>SUMIFS(meghsteelsales_currentmonth[Quantity],meghsteelsales_currentmonth[Length Bucket],aug[[#This Row],[Bucket CTL]])/1000</f>
        <v/>
      </c>
      <c r="AG45" s="187">
        <f>aug[[#This Row],[order logg ]]+aug[[#This Row],[ INDENT  FOR AUG-25 recommended]]</f>
        <v/>
      </c>
      <c r="AH45" s="427">
        <f>aug[[#This Row],[Before 20th]]+aug[[#This Row],[ofter 20th]]</f>
        <v/>
      </c>
      <c r="AI45" s="427">
        <f>IF((aug[[#This Row],[Total Indent]]-aug[[#This Row],[Total Delivered]])&lt;0,0,aug[[#This Row],[Total Indent]]-aug[[#This Row],[Total Delivered]])</f>
        <v/>
      </c>
      <c r="AJ45" s="187" t="n"/>
    </row>
    <row r="46">
      <c r="A46" s="265" t="inlineStr">
        <is>
          <t>HMSI</t>
        </is>
      </c>
      <c r="B46" s="147" t="inlineStr">
        <is>
          <t>BADVE</t>
        </is>
      </c>
      <c r="C46" s="153" t="inlineStr">
        <is>
          <t>ERW1</t>
        </is>
      </c>
      <c r="D46" s="147" t="inlineStr">
        <is>
          <t>FIN CUT</t>
        </is>
      </c>
      <c r="E46" s="147" t="inlineStr">
        <is>
          <t>ERW</t>
        </is>
      </c>
      <c r="F46" s="148" t="n">
        <v>41.28</v>
      </c>
      <c r="G46" s="148" t="n"/>
      <c r="H46" s="148" t="n">
        <v>3.15</v>
      </c>
      <c r="I46" s="147" t="n">
        <v>5860</v>
      </c>
      <c r="J46" s="147" t="n">
        <v>5.86</v>
      </c>
      <c r="K46" s="147">
        <f>COUNTIF(_xlfn.ANCHORARRAY(A$74),M46)</f>
        <v/>
      </c>
      <c r="L46" s="147" t="n"/>
      <c r="M46" s="147">
        <f>_xlfn.CONCAT(F46,H46,J46,E46,D46)</f>
        <v/>
      </c>
      <c r="N46" s="147">
        <f>VLOOKUP(aug[[#This Row],[Key]],Table2527[[#All],[ ]:[Bucket CTL]],2,0)</f>
        <v/>
      </c>
      <c r="O46" s="147">
        <f>VLOOKUP(aug[[#This Row],[Key]],Table2527[[#All],[ ]:[Bucket CTL]],3,0)</f>
        <v/>
      </c>
      <c r="P46" s="147" t="n"/>
      <c r="Q46" s="147">
        <f>VLOOKUP(aug[[#This Row],[Key]],Table2527[[#All],[ ]:[TSL Material Code]],4,0)</f>
        <v/>
      </c>
      <c r="R46" s="147">
        <f>VLOOKUP(aug[[#This Row],[Key]],Table2527[[#All],[ ]:[TSL Material Code]],5,0)</f>
        <v/>
      </c>
      <c r="S46" s="147">
        <f>EXACT(aug[[#This Row],[Material code july]],aug[[#This Row],[TSL Material Code]])</f>
        <v/>
      </c>
      <c r="T46" s="151" t="inlineStr">
        <is>
          <t>056</t>
        </is>
      </c>
      <c r="U46" s="150" t="n">
        <v>3673889</v>
      </c>
      <c r="V46" s="19" t="n">
        <v>45</v>
      </c>
      <c r="W46" s="147" t="n">
        <v>15</v>
      </c>
      <c r="X46" s="147" t="n">
        <v>9</v>
      </c>
      <c r="Y46" s="147" t="n"/>
      <c r="Z46" s="147">
        <f>X46-W46</f>
        <v/>
      </c>
      <c r="AA46" s="147" t="n">
        <v>52.5</v>
      </c>
      <c r="AB46" s="147">
        <f>Z46+AA46</f>
        <v/>
      </c>
      <c r="AC46" s="19">
        <f>V46-AB46</f>
        <v/>
      </c>
      <c r="AD46" s="387">
        <f>IF(AC46&gt;0,AC46,0)</f>
        <v/>
      </c>
      <c r="AE46" s="416">
        <f>SUMIFS(meghsteelsales_previousmonth[Quantity],meghsteelsales_previousmonth[Length Bucket],aug[[#This Row],[Bucket CTL]])/1000</f>
        <v/>
      </c>
      <c r="AF46" s="160">
        <f>SUMIFS(meghsteelsales_currentmonth[Quantity],meghsteelsales_currentmonth[Length Bucket],aug[[#This Row],[Bucket CTL]])/1000</f>
        <v/>
      </c>
      <c r="AG46" s="187">
        <f>aug[[#This Row],[order logg ]]+aug[[#This Row],[ INDENT  FOR AUG-25 recommended]]</f>
        <v/>
      </c>
      <c r="AH46" s="427">
        <f>aug[[#This Row],[Before 20th]]+aug[[#This Row],[ofter 20th]]</f>
        <v/>
      </c>
      <c r="AI46" s="427">
        <f>IF((aug[[#This Row],[Total Indent]]-aug[[#This Row],[Total Delivered]])&lt;0,0,aug[[#This Row],[Total Indent]]-aug[[#This Row],[Total Delivered]])</f>
        <v/>
      </c>
      <c r="AJ46" s="187" t="n"/>
    </row>
    <row r="47">
      <c r="A47" s="265" t="inlineStr">
        <is>
          <t>TVS</t>
        </is>
      </c>
      <c r="B47" s="147" t="inlineStr">
        <is>
          <t>RUCHA,METALMAN</t>
        </is>
      </c>
      <c r="C47" s="153" t="inlineStr">
        <is>
          <t>ERW AN</t>
        </is>
      </c>
      <c r="D47" s="147" t="inlineStr">
        <is>
          <t>FIN CUT</t>
        </is>
      </c>
      <c r="E47" s="147" t="inlineStr">
        <is>
          <t>ERW</t>
        </is>
      </c>
      <c r="F47" s="148" t="n">
        <v>42.7</v>
      </c>
      <c r="G47" s="148" t="n"/>
      <c r="H47" s="148" t="n">
        <v>3.5</v>
      </c>
      <c r="I47" s="147" t="n">
        <v>6000</v>
      </c>
      <c r="J47" s="147" t="n">
        <v>6</v>
      </c>
      <c r="K47" s="147">
        <f>COUNTIF(_xlfn.ANCHORARRAY(A$74),M47)</f>
        <v/>
      </c>
      <c r="L47" s="147" t="n"/>
      <c r="M47" s="147">
        <f>_xlfn.CONCAT(F47,H47,J47,E47,D47)</f>
        <v/>
      </c>
      <c r="N47" s="147">
        <f>VLOOKUP(aug[[#This Row],[Key]],Table2527[[#All],[ ]:[Bucket CTL]],2,0)</f>
        <v/>
      </c>
      <c r="O47" s="147">
        <f>VLOOKUP(aug[[#This Row],[Key]],Table2527[[#All],[ ]:[Bucket CTL]],3,0)</f>
        <v/>
      </c>
      <c r="P47" s="147" t="n"/>
      <c r="Q47" s="147">
        <f>VLOOKUP(aug[[#This Row],[Key]],Table2527[[#All],[ ]:[TSL Material Code]],4,0)</f>
        <v/>
      </c>
      <c r="R47" s="147">
        <f>VLOOKUP(aug[[#This Row],[Key]],Table2527[[#All],[ ]:[TSL Material Code]],5,0)</f>
        <v/>
      </c>
      <c r="S47" s="147">
        <f>EXACT(aug[[#This Row],[Material code july]],aug[[#This Row],[TSL Material Code]])</f>
        <v/>
      </c>
      <c r="T47" s="151" t="inlineStr">
        <is>
          <t>0788</t>
        </is>
      </c>
      <c r="U47" s="150" t="n">
        <v>2396465</v>
      </c>
      <c r="V47" s="19" t="n">
        <v>5</v>
      </c>
      <c r="W47" s="147" t="n">
        <v>1</v>
      </c>
      <c r="X47" s="147" t="n">
        <v>15</v>
      </c>
      <c r="Y47" s="147" t="n"/>
      <c r="Z47" s="147">
        <f>X47-W47</f>
        <v/>
      </c>
      <c r="AA47" s="147" t="n">
        <v>0</v>
      </c>
      <c r="AB47" s="147">
        <f>Z47+AA47</f>
        <v/>
      </c>
      <c r="AC47" s="19">
        <f>V47-AB47</f>
        <v/>
      </c>
      <c r="AD47" s="387">
        <f>IF(AC47&gt;0,AC47,0)</f>
        <v/>
      </c>
      <c r="AE47" s="416">
        <f>SUMIFS(meghsteelsales_previousmonth[Quantity],meghsteelsales_previousmonth[Length Bucket],aug[[#This Row],[Bucket CTL]])/1000</f>
        <v/>
      </c>
      <c r="AF47" s="160">
        <f>SUMIFS(meghsteelsales_currentmonth[Quantity],meghsteelsales_currentmonth[Length Bucket],aug[[#This Row],[Bucket CTL]])/1000</f>
        <v/>
      </c>
      <c r="AG47" s="187">
        <f>aug[[#This Row],[order logg ]]+aug[[#This Row],[ INDENT  FOR AUG-25 recommended]]</f>
        <v/>
      </c>
      <c r="AH47" s="427">
        <f>aug[[#This Row],[Before 20th]]+aug[[#This Row],[ofter 20th]]</f>
        <v/>
      </c>
      <c r="AI47" s="427">
        <f>IF((aug[[#This Row],[Total Indent]]-aug[[#This Row],[Total Delivered]])&lt;0,0,aug[[#This Row],[Total Indent]]-aug[[#This Row],[Total Delivered]])</f>
        <v/>
      </c>
      <c r="AJ47" s="187" t="n"/>
    </row>
    <row r="48">
      <c r="A48" s="265" t="inlineStr">
        <is>
          <t>TVS</t>
        </is>
      </c>
      <c r="B48" s="147" t="inlineStr">
        <is>
          <t>RUCHA,METALMAN</t>
        </is>
      </c>
      <c r="C48" s="153" t="inlineStr">
        <is>
          <t>ERW AN</t>
        </is>
      </c>
      <c r="D48" s="147" t="inlineStr">
        <is>
          <t>FIN CUT</t>
        </is>
      </c>
      <c r="E48" s="147" t="inlineStr">
        <is>
          <t>ERW</t>
        </is>
      </c>
      <c r="F48" s="148" t="n">
        <v>42.7</v>
      </c>
      <c r="G48" s="148" t="n"/>
      <c r="H48" s="148" t="n">
        <v>4</v>
      </c>
      <c r="I48" s="147" t="n">
        <v>6000</v>
      </c>
      <c r="J48" s="147" t="n">
        <v>6</v>
      </c>
      <c r="K48" s="147">
        <f>COUNTIF(_xlfn.ANCHORARRAY(A$74),M48)</f>
        <v/>
      </c>
      <c r="L48" s="147" t="n"/>
      <c r="M48" s="147">
        <f>_xlfn.CONCAT(F48,H48,J48,E48,D48)</f>
        <v/>
      </c>
      <c r="N48" s="147">
        <f>VLOOKUP(aug[[#This Row],[Key]],Table2527[[#All],[ ]:[Bucket CTL]],2,0)</f>
        <v/>
      </c>
      <c r="O48" s="147">
        <f>VLOOKUP(aug[[#This Row],[Key]],Table2527[[#All],[ ]:[Bucket CTL]],3,0)</f>
        <v/>
      </c>
      <c r="P48" s="147" t="n"/>
      <c r="Q48" s="147">
        <f>VLOOKUP(aug[[#This Row],[Key]],Table2527[[#All],[ ]:[TSL Material Code]],4,0)</f>
        <v/>
      </c>
      <c r="R48" s="147">
        <f>VLOOKUP(aug[[#This Row],[Key]],Table2527[[#All],[ ]:[TSL Material Code]],5,0)</f>
        <v/>
      </c>
      <c r="S48" s="147">
        <f>EXACT(aug[[#This Row],[Material code july]],aug[[#This Row],[TSL Material Code]])</f>
        <v/>
      </c>
      <c r="T48" s="151" t="inlineStr">
        <is>
          <t>0788</t>
        </is>
      </c>
      <c r="U48" s="150" t="n">
        <v>3501985</v>
      </c>
      <c r="V48" s="19" t="n">
        <v>30</v>
      </c>
      <c r="W48" s="147" t="n">
        <v>10</v>
      </c>
      <c r="X48" s="147" t="n">
        <v>30</v>
      </c>
      <c r="Y48" s="147" t="n"/>
      <c r="Z48" s="147">
        <f>X48-W48</f>
        <v/>
      </c>
      <c r="AA48" s="147" t="n">
        <v>0</v>
      </c>
      <c r="AB48" s="147">
        <f>Z48+AA48</f>
        <v/>
      </c>
      <c r="AC48" s="19">
        <f>V48-AB48</f>
        <v/>
      </c>
      <c r="AD48" s="387">
        <f>IF(AC48&gt;0,AC48,0)</f>
        <v/>
      </c>
      <c r="AE48" s="416">
        <f>SUMIFS(meghsteelsales_previousmonth[Quantity],meghsteelsales_previousmonth[Length Bucket],aug[[#This Row],[Bucket CTL]])/1000</f>
        <v/>
      </c>
      <c r="AF48" s="160">
        <f>SUMIFS(meghsteelsales_currentmonth[Quantity],meghsteelsales_currentmonth[Length Bucket],aug[[#This Row],[Bucket CTL]])/1000</f>
        <v/>
      </c>
      <c r="AG48" s="187">
        <f>aug[[#This Row],[order logg ]]+aug[[#This Row],[ INDENT  FOR AUG-25 recommended]]</f>
        <v/>
      </c>
      <c r="AH48" s="427">
        <f>aug[[#This Row],[Before 20th]]+aug[[#This Row],[ofter 20th]]</f>
        <v/>
      </c>
      <c r="AI48" s="427">
        <f>IF((aug[[#This Row],[Total Indent]]-aug[[#This Row],[Total Delivered]])&lt;0,0,aug[[#This Row],[Total Indent]]-aug[[#This Row],[Total Delivered]])</f>
        <v/>
      </c>
      <c r="AJ48" s="187" t="n"/>
    </row>
    <row r="49">
      <c r="A49" s="265" t="inlineStr">
        <is>
          <t>TVS</t>
        </is>
      </c>
      <c r="B49" s="147" t="inlineStr">
        <is>
          <t>RUCHA,METALMAN</t>
        </is>
      </c>
      <c r="C49" s="155" t="inlineStr">
        <is>
          <t>ERW1</t>
        </is>
      </c>
      <c r="D49" s="147" t="inlineStr">
        <is>
          <t>FIN CUT</t>
        </is>
      </c>
      <c r="E49" s="147" t="inlineStr">
        <is>
          <t>ERW</t>
        </is>
      </c>
      <c r="F49" s="154" t="inlineStr">
        <is>
          <t>40x30</t>
        </is>
      </c>
      <c r="G49" s="154" t="n"/>
      <c r="H49" s="154" t="n">
        <v>1.6</v>
      </c>
      <c r="I49" s="155" t="n">
        <v>5900</v>
      </c>
      <c r="J49" s="147" t="n">
        <v>5.9</v>
      </c>
      <c r="K49" s="147">
        <f>COUNTIF(_xlfn.ANCHORARRAY(A$74),M49)</f>
        <v/>
      </c>
      <c r="L49" s="147" t="n"/>
      <c r="M49" s="147">
        <f>_xlfn.CONCAT(F49,H49,J49,E49,D49)</f>
        <v/>
      </c>
      <c r="N49" s="147">
        <f>VLOOKUP(aug[[#This Row],[Key]],Table2527[[#All],[ ]:[Bucket CTL]],2,0)</f>
        <v/>
      </c>
      <c r="O49" s="147">
        <f>VLOOKUP(aug[[#This Row],[Key]],Table2527[[#All],[ ]:[Bucket CTL]],3,0)</f>
        <v/>
      </c>
      <c r="P49" s="147" t="n"/>
      <c r="Q49" s="147">
        <f>VLOOKUP(aug[[#This Row],[Key]],Table2527[[#All],[ ]:[TSL Material Code]],4,0)</f>
        <v/>
      </c>
      <c r="R49" s="147">
        <f>VLOOKUP(aug[[#This Row],[Key]],Table2527[[#All],[ ]:[TSL Material Code]],5,0)</f>
        <v/>
      </c>
      <c r="S49" s="147">
        <f>EXACT(aug[[#This Row],[Material code july]],aug[[#This Row],[TSL Material Code]])</f>
        <v/>
      </c>
      <c r="T49" s="151" t="inlineStr">
        <is>
          <t>0789</t>
        </is>
      </c>
      <c r="U49" s="150" t="n">
        <v>3836440</v>
      </c>
      <c r="V49" s="19" t="n">
        <v>10</v>
      </c>
      <c r="W49" s="147" t="n">
        <v>3</v>
      </c>
      <c r="X49" s="147" t="n">
        <v>5</v>
      </c>
      <c r="Y49" s="147" t="n"/>
      <c r="Z49" s="147">
        <f>X49-W49</f>
        <v/>
      </c>
      <c r="AA49" s="147" t="n">
        <v>0</v>
      </c>
      <c r="AB49" s="147">
        <f>Z49+AA49</f>
        <v/>
      </c>
      <c r="AC49" s="19">
        <f>V49-AB49</f>
        <v/>
      </c>
      <c r="AD49" s="387">
        <f>IF(AC49&gt;0,AC49,0)</f>
        <v/>
      </c>
      <c r="AE49" s="416">
        <f>SUMIFS(meghsteelsales_previousmonth[Quantity],meghsteelsales_previousmonth[Length Bucket],aug[[#This Row],[Bucket CTL]])/1000</f>
        <v/>
      </c>
      <c r="AF49" s="160">
        <f>SUMIFS(meghsteelsales_currentmonth[Quantity],meghsteelsales_currentmonth[Length Bucket],aug[[#This Row],[Bucket CTL]])/1000</f>
        <v/>
      </c>
      <c r="AG49" s="187">
        <f>aug[[#This Row],[order logg ]]+aug[[#This Row],[ INDENT  FOR AUG-25 recommended]]</f>
        <v/>
      </c>
      <c r="AH49" s="427">
        <f>aug[[#This Row],[Before 20th]]+aug[[#This Row],[ofter 20th]]</f>
        <v/>
      </c>
      <c r="AI49" s="427">
        <f>IF((aug[[#This Row],[Total Indent]]-aug[[#This Row],[Total Delivered]])&lt;0,0,aug[[#This Row],[Total Indent]]-aug[[#This Row],[Total Delivered]])</f>
        <v/>
      </c>
      <c r="AJ49" s="187" t="n"/>
    </row>
    <row r="50">
      <c r="A50" s="265" t="inlineStr">
        <is>
          <t>HMSI</t>
        </is>
      </c>
      <c r="B50" s="147" t="inlineStr">
        <is>
          <t>BADVE</t>
        </is>
      </c>
      <c r="C50" s="153" t="inlineStr">
        <is>
          <t>ERW2</t>
        </is>
      </c>
      <c r="D50" s="147" t="inlineStr">
        <is>
          <t>FIN CUT</t>
        </is>
      </c>
      <c r="E50" s="147" t="inlineStr">
        <is>
          <t>HST</t>
        </is>
      </c>
      <c r="F50" s="148" t="n">
        <v>45</v>
      </c>
      <c r="G50" s="148" t="n"/>
      <c r="H50" s="148" t="n">
        <v>1.4</v>
      </c>
      <c r="I50" s="147" t="n">
        <v>6400</v>
      </c>
      <c r="J50" s="147" t="n">
        <v>6.42</v>
      </c>
      <c r="K50" s="147">
        <f>COUNTIF(_xlfn.ANCHORARRAY(A$74),M50)</f>
        <v/>
      </c>
      <c r="L50" s="147" t="n"/>
      <c r="M50" s="147">
        <f>_xlfn.CONCAT(F50,H50,J50,E50,D50)</f>
        <v/>
      </c>
      <c r="N50" s="147" t="inlineStr">
        <is>
          <t>45-0-1.4-ERW 2-FIN CUT</t>
        </is>
      </c>
      <c r="O50" s="147" t="inlineStr">
        <is>
          <t>45-0-1.4-ERW 2-FIN CUT-6.4</t>
        </is>
      </c>
      <c r="P50" s="147" t="n"/>
      <c r="Q50" s="147">
        <f>VLOOKUP(aug[[#This Row],[Key]],Table2527[[#All],[ ]:[TSL Material Code]],4,0)</f>
        <v/>
      </c>
      <c r="R50" s="147">
        <f>VLOOKUP(aug[[#This Row],[Key]],Table2527[[#All],[ ]:[TSL Material Code]],5,0)</f>
        <v/>
      </c>
      <c r="S50" s="147">
        <f>EXACT(aug[[#This Row],[Material code july]],aug[[#This Row],[TSL Material Code]])</f>
        <v/>
      </c>
      <c r="T50" s="151" t="inlineStr">
        <is>
          <t>0789</t>
        </is>
      </c>
      <c r="U50" s="150" t="n">
        <v>3502343</v>
      </c>
      <c r="V50" s="19" t="n">
        <v>10</v>
      </c>
      <c r="W50" s="147" t="n">
        <v>5</v>
      </c>
      <c r="X50" s="147" t="n">
        <v>26</v>
      </c>
      <c r="Y50" s="147" t="n"/>
      <c r="Z50" s="147">
        <f>X50-W50</f>
        <v/>
      </c>
      <c r="AA50" s="147" t="n">
        <v>0</v>
      </c>
      <c r="AB50" s="147">
        <f>Z50+AA50</f>
        <v/>
      </c>
      <c r="AC50" s="19">
        <f>V50-AB50</f>
        <v/>
      </c>
      <c r="AD50" s="387">
        <f>IF(AC50&gt;0,AC50,0)</f>
        <v/>
      </c>
      <c r="AE50" s="416">
        <f>SUMIFS(meghsteelsales_previousmonth[Quantity],meghsteelsales_previousmonth[Length Bucket],aug[[#This Row],[Bucket CTL]])/1000</f>
        <v/>
      </c>
      <c r="AF50" s="160">
        <f>SUMIFS(meghsteelsales_currentmonth[Quantity],meghsteelsales_currentmonth[Length Bucket],aug[[#This Row],[Bucket CTL]])/1000</f>
        <v/>
      </c>
      <c r="AG50" s="187">
        <f>aug[[#This Row],[order logg ]]+aug[[#This Row],[ INDENT  FOR AUG-25 recommended]]</f>
        <v/>
      </c>
      <c r="AH50" s="427">
        <f>aug[[#This Row],[Before 20th]]+aug[[#This Row],[ofter 20th]]</f>
        <v/>
      </c>
      <c r="AI50" s="427">
        <f>IF((aug[[#This Row],[Total Indent]]-aug[[#This Row],[Total Delivered]])&lt;0,0,aug[[#This Row],[Total Indent]]-aug[[#This Row],[Total Delivered]])</f>
        <v/>
      </c>
      <c r="AJ50" s="187" t="n"/>
    </row>
    <row r="51">
      <c r="A51" s="265" t="inlineStr">
        <is>
          <t>HMSI</t>
        </is>
      </c>
      <c r="B51" s="147" t="inlineStr">
        <is>
          <t>BADVE</t>
        </is>
      </c>
      <c r="C51" s="153" t="inlineStr">
        <is>
          <t>ERW1</t>
        </is>
      </c>
      <c r="D51" s="147" t="inlineStr">
        <is>
          <t>FIN CUT</t>
        </is>
      </c>
      <c r="E51" s="147" t="inlineStr">
        <is>
          <t>ERW</t>
        </is>
      </c>
      <c r="F51" s="148" t="n">
        <v>45</v>
      </c>
      <c r="G51" s="148" t="n"/>
      <c r="H51" s="148" t="n">
        <v>1.4</v>
      </c>
      <c r="I51" s="147" t="n">
        <v>5700</v>
      </c>
      <c r="J51" s="147" t="n">
        <v>5.7</v>
      </c>
      <c r="K51" s="147">
        <f>COUNTIF(_xlfn.ANCHORARRAY(A$74),M51)</f>
        <v/>
      </c>
      <c r="L51" s="147" t="n"/>
      <c r="M51" s="147">
        <f>_xlfn.CONCAT(F51,H51,J51,E51,D51)</f>
        <v/>
      </c>
      <c r="N51" s="147">
        <f>VLOOKUP(aug[[#This Row],[Key]],Table2527[[#All],[ ]:[Bucket CTL]],2,0)</f>
        <v/>
      </c>
      <c r="O51" s="147">
        <f>VLOOKUP(aug[[#This Row],[Key]],Table2527[[#All],[ ]:[Bucket CTL]],3,0)</f>
        <v/>
      </c>
      <c r="P51" s="147" t="n"/>
      <c r="Q51" s="147">
        <f>VLOOKUP(aug[[#This Row],[Key]],Table2527[[#All],[ ]:[TSL Material Code]],4,0)</f>
        <v/>
      </c>
      <c r="R51" s="147">
        <f>VLOOKUP(aug[[#This Row],[Key]],Table2527[[#All],[ ]:[TSL Material Code]],5,0)</f>
        <v/>
      </c>
      <c r="S51" s="147">
        <f>EXACT(aug[[#This Row],[Material code july]],aug[[#This Row],[TSL Material Code]])</f>
        <v/>
      </c>
      <c r="T51" s="151" t="inlineStr">
        <is>
          <t>056</t>
        </is>
      </c>
      <c r="U51" s="150" t="n">
        <v>3545558</v>
      </c>
      <c r="V51" s="19" t="n">
        <v>10</v>
      </c>
      <c r="W51" s="147" t="n">
        <v>2</v>
      </c>
      <c r="X51" s="147" t="n">
        <v>17</v>
      </c>
      <c r="Y51" s="147" t="n"/>
      <c r="Z51" s="147">
        <f>X51-W51</f>
        <v/>
      </c>
      <c r="AA51" s="147" t="n">
        <v>0</v>
      </c>
      <c r="AB51" s="147">
        <f>Z51+AA51</f>
        <v/>
      </c>
      <c r="AC51" s="19">
        <f>V51-AB51</f>
        <v/>
      </c>
      <c r="AD51" s="387">
        <f>IF(AC51&gt;0,AC51,0)</f>
        <v/>
      </c>
      <c r="AE51" s="416">
        <f>SUMIFS(meghsteelsales_previousmonth[Quantity],meghsteelsales_previousmonth[Length Bucket],aug[[#This Row],[Bucket CTL]])/1000</f>
        <v/>
      </c>
      <c r="AF51" s="160">
        <f>SUMIFS(meghsteelsales_currentmonth[Quantity],meghsteelsales_currentmonth[Length Bucket],aug[[#This Row],[Bucket CTL]])/1000</f>
        <v/>
      </c>
      <c r="AG51" s="187">
        <f>aug[[#This Row],[order logg ]]+aug[[#This Row],[ INDENT  FOR AUG-25 recommended]]</f>
        <v/>
      </c>
      <c r="AH51" s="427">
        <f>aug[[#This Row],[Before 20th]]+aug[[#This Row],[ofter 20th]]</f>
        <v/>
      </c>
      <c r="AI51" s="427">
        <f>IF((aug[[#This Row],[Total Indent]]-aug[[#This Row],[Total Delivered]])&lt;0,0,aug[[#This Row],[Total Indent]]-aug[[#This Row],[Total Delivered]])</f>
        <v/>
      </c>
      <c r="AJ51" s="187" t="n"/>
    </row>
    <row r="52">
      <c r="A52" s="265" t="inlineStr">
        <is>
          <t>HMSI</t>
        </is>
      </c>
      <c r="B52" s="147" t="inlineStr">
        <is>
          <t>BADVE</t>
        </is>
      </c>
      <c r="C52" s="153" t="inlineStr">
        <is>
          <t>ERW2</t>
        </is>
      </c>
      <c r="D52" s="147" t="inlineStr">
        <is>
          <t>FIN CUT</t>
        </is>
      </c>
      <c r="E52" s="147" t="inlineStr">
        <is>
          <t>HST</t>
        </is>
      </c>
      <c r="F52" s="148" t="n">
        <v>45</v>
      </c>
      <c r="G52" s="148" t="n"/>
      <c r="H52" s="148" t="n">
        <v>1.6</v>
      </c>
      <c r="I52" s="147" t="n">
        <v>6400</v>
      </c>
      <c r="J52" s="147" t="n">
        <v>6.42</v>
      </c>
      <c r="K52" s="147">
        <f>COUNTIF(_xlfn.ANCHORARRAY(A$74),M52)</f>
        <v/>
      </c>
      <c r="L52" s="147" t="n"/>
      <c r="M52" s="147">
        <f>_xlfn.CONCAT(F52,H52,J52,E52,D52)</f>
        <v/>
      </c>
      <c r="N52" s="147" t="inlineStr">
        <is>
          <t>45-0-1.6-ERW 2-FIN CUT</t>
        </is>
      </c>
      <c r="O52" s="147" t="inlineStr">
        <is>
          <t>45-0-1.6-ERW 2-FIN CUT-6.4</t>
        </is>
      </c>
      <c r="P52" s="147" t="n"/>
      <c r="Q52" s="147">
        <f>VLOOKUP(aug[[#This Row],[Key]],Table2527[[#All],[ ]:[TSL Material Code]],4,0)</f>
        <v/>
      </c>
      <c r="R52" s="147">
        <f>VLOOKUP(aug[[#This Row],[Key]],Table2527[[#All],[ ]:[TSL Material Code]],5,0)</f>
        <v/>
      </c>
      <c r="S52" s="147">
        <f>EXACT(aug[[#This Row],[Material code july]],aug[[#This Row],[TSL Material Code]])</f>
        <v/>
      </c>
      <c r="T52" s="151" t="inlineStr">
        <is>
          <t>0789</t>
        </is>
      </c>
      <c r="U52" s="150" t="n">
        <v>3502388</v>
      </c>
      <c r="V52" s="19" t="n">
        <v>10</v>
      </c>
      <c r="W52" s="147" t="n">
        <v>5</v>
      </c>
      <c r="X52" s="147" t="n">
        <v>16</v>
      </c>
      <c r="Y52" s="147" t="n"/>
      <c r="Z52" s="147">
        <f>X52-W52</f>
        <v/>
      </c>
      <c r="AA52" s="147" t="n">
        <v>0</v>
      </c>
      <c r="AB52" s="147">
        <f>Z52+AA52</f>
        <v/>
      </c>
      <c r="AC52" s="19">
        <f>V52-AB52</f>
        <v/>
      </c>
      <c r="AD52" s="387">
        <f>IF(AC52&gt;0,AC52,0)</f>
        <v/>
      </c>
      <c r="AE52" s="416">
        <f>SUMIFS(meghsteelsales_previousmonth[Quantity],meghsteelsales_previousmonth[Length Bucket],aug[[#This Row],[Bucket CTL]])/1000</f>
        <v/>
      </c>
      <c r="AF52" s="160">
        <f>SUMIFS(meghsteelsales_currentmonth[Quantity],meghsteelsales_currentmonth[Length Bucket],aug[[#This Row],[Bucket CTL]])/1000</f>
        <v/>
      </c>
      <c r="AG52" s="187">
        <f>aug[[#This Row],[order logg ]]+aug[[#This Row],[ INDENT  FOR AUG-25 recommended]]</f>
        <v/>
      </c>
      <c r="AH52" s="427">
        <f>aug[[#This Row],[Before 20th]]+aug[[#This Row],[ofter 20th]]</f>
        <v/>
      </c>
      <c r="AI52" s="427">
        <f>IF((aug[[#This Row],[Total Indent]]-aug[[#This Row],[Total Delivered]])&lt;0,0,aug[[#This Row],[Total Indent]]-aug[[#This Row],[Total Delivered]])</f>
        <v/>
      </c>
      <c r="AJ52" s="187" t="n"/>
    </row>
    <row r="53" customFormat="1" s="45">
      <c r="A53" s="266" t="inlineStr">
        <is>
          <t>RE</t>
        </is>
      </c>
      <c r="B53" s="156" t="inlineStr">
        <is>
          <t>BELRISE</t>
        </is>
      </c>
      <c r="C53" s="157" t="inlineStr">
        <is>
          <t>CEW-1</t>
        </is>
      </c>
      <c r="D53" s="156" t="inlineStr">
        <is>
          <t>FIN CUT</t>
        </is>
      </c>
      <c r="E53" s="156" t="inlineStr">
        <is>
          <t>CEW</t>
        </is>
      </c>
      <c r="F53" s="248" t="n">
        <v>47.63</v>
      </c>
      <c r="G53" s="248" t="n"/>
      <c r="H53" s="248" t="n">
        <v>4</v>
      </c>
      <c r="I53" s="156" t="n">
        <v>6040</v>
      </c>
      <c r="J53" s="156" t="n">
        <v>6.04</v>
      </c>
      <c r="K53" s="156">
        <f>COUNTIF(_xlfn.ANCHORARRAY(A$74),M53)</f>
        <v/>
      </c>
      <c r="L53" s="156" t="n"/>
      <c r="M53" s="156">
        <f>_xlfn.CONCAT(F53,H53,J53,E53,D53)</f>
        <v/>
      </c>
      <c r="N53" s="147">
        <f>VLOOKUP(aug[[#This Row],[Key]],Table2527[[#All],[ ]:[Bucket CTL]],2,0)</f>
        <v/>
      </c>
      <c r="O53" s="147">
        <f>VLOOKUP(aug[[#This Row],[Key]],Table2527[[#All],[ ]:[Bucket CTL]],3,0)</f>
        <v/>
      </c>
      <c r="P53" s="147" t="n"/>
      <c r="Q53" s="400" t="inlineStr">
        <is>
          <t>0788</t>
        </is>
      </c>
      <c r="R53" s="156" t="n">
        <v>3500635</v>
      </c>
      <c r="S53" s="147">
        <f>EXACT(aug[[#This Row],[Material code july]],aug[[#This Row],[TSL Material Code]])</f>
        <v/>
      </c>
      <c r="T53" s="251" t="inlineStr">
        <is>
          <t>0788</t>
        </is>
      </c>
      <c r="U53" s="245" t="n">
        <v>3500635</v>
      </c>
      <c r="V53" s="246" t="n">
        <v>7</v>
      </c>
      <c r="W53" s="156" t="n">
        <v>0</v>
      </c>
      <c r="X53" s="156" t="n">
        <v>0</v>
      </c>
      <c r="Y53" s="156" t="n">
        <v>0</v>
      </c>
      <c r="Z53" s="156">
        <f>X53-W53</f>
        <v/>
      </c>
      <c r="AA53" s="156" t="n">
        <v>0</v>
      </c>
      <c r="AB53" s="156">
        <f>Z53+AA53</f>
        <v/>
      </c>
      <c r="AC53" s="246">
        <f>V53-AB53</f>
        <v/>
      </c>
      <c r="AD53" s="388">
        <f>IF(AC53&gt;0,AC53,0)</f>
        <v/>
      </c>
      <c r="AE53" s="416">
        <f>SUMIFS(meghsteelsales_previousmonth[Quantity],meghsteelsales_previousmonth[Length Bucket],aug[[#This Row],[Bucket CTL]])/1000</f>
        <v/>
      </c>
      <c r="AF53" s="160">
        <f>SUMIFS(meghsteelsales_currentmonth[Quantity],meghsteelsales_currentmonth[Length Bucket],aug[[#This Row],[Bucket CTL]])/1000</f>
        <v/>
      </c>
      <c r="AG53" s="187">
        <f>aug[[#This Row],[order logg ]]+aug[[#This Row],[ INDENT  FOR AUG-25 recommended]]</f>
        <v/>
      </c>
      <c r="AH53" s="427">
        <f>aug[[#This Row],[Before 20th]]+aug[[#This Row],[ofter 20th]]</f>
        <v/>
      </c>
      <c r="AI53" s="427">
        <f>IF((aug[[#This Row],[Total Indent]]-aug[[#This Row],[Total Delivered]])&lt;0,0,aug[[#This Row],[Total Indent]]-aug[[#This Row],[Total Delivered]])</f>
        <v/>
      </c>
      <c r="AJ53" s="445" t="n"/>
    </row>
    <row r="54">
      <c r="A54" s="265" t="inlineStr">
        <is>
          <t>RE</t>
        </is>
      </c>
      <c r="B54" s="147" t="inlineStr">
        <is>
          <t>BELRISE</t>
        </is>
      </c>
      <c r="C54" s="153" t="inlineStr">
        <is>
          <t>ERW1</t>
        </is>
      </c>
      <c r="D54" s="147" t="inlineStr">
        <is>
          <t>FIN CUT</t>
        </is>
      </c>
      <c r="E54" s="147" t="inlineStr">
        <is>
          <t>ERW</t>
        </is>
      </c>
      <c r="F54" s="148" t="n">
        <v>48</v>
      </c>
      <c r="G54" s="148" t="n"/>
      <c r="H54" s="148" t="n">
        <v>1.2</v>
      </c>
      <c r="I54" s="147" t="n">
        <v>620</v>
      </c>
      <c r="J54" s="147" t="n">
        <v>0.62</v>
      </c>
      <c r="K54" s="147">
        <f>COUNTIF(_xlfn.ANCHORARRAY(A$74),M54)</f>
        <v/>
      </c>
      <c r="L54" s="147" t="n"/>
      <c r="M54" s="147">
        <f>_xlfn.CONCAT(F54,H54,J54,E54,D54)</f>
        <v/>
      </c>
      <c r="N54" s="147">
        <f>VLOOKUP(aug[[#This Row],[Key]],Table2527[[#All],[ ]:[Bucket CTL]],2,0)</f>
        <v/>
      </c>
      <c r="O54" s="147">
        <f>VLOOKUP(aug[[#This Row],[Key]],Table2527[[#All],[ ]:[Bucket CTL]],3,0)</f>
        <v/>
      </c>
      <c r="P54" s="147" t="n"/>
      <c r="Q54" s="147">
        <f>VLOOKUP(aug[[#This Row],[Key]],Table2527[[#All],[ ]:[TSL Material Code]],4,0)</f>
        <v/>
      </c>
      <c r="R54" s="147">
        <f>VLOOKUP(aug[[#This Row],[Key]],Table2527[[#All],[ ]:[TSL Material Code]],5,0)</f>
        <v/>
      </c>
      <c r="S54" s="147">
        <f>EXACT(aug[[#This Row],[Material code july]],aug[[#This Row],[TSL Material Code]])</f>
        <v/>
      </c>
      <c r="T54" s="151" t="inlineStr">
        <is>
          <t>0789</t>
        </is>
      </c>
      <c r="U54" s="150" t="n">
        <v>2397072</v>
      </c>
      <c r="V54" s="19" t="n">
        <v>10</v>
      </c>
      <c r="W54" s="147" t="n">
        <v>3</v>
      </c>
      <c r="X54" s="147" t="n">
        <v>0</v>
      </c>
      <c r="Y54" s="147" t="n"/>
      <c r="Z54" s="147">
        <f>X54-W54</f>
        <v/>
      </c>
      <c r="AA54" s="147" t="n">
        <v>0</v>
      </c>
      <c r="AB54" s="147">
        <f>Z54+AA54</f>
        <v/>
      </c>
      <c r="AC54" s="19">
        <f>V54-AB54</f>
        <v/>
      </c>
      <c r="AD54" s="387">
        <f>IF(AC54&gt;0,AC54,0)</f>
        <v/>
      </c>
      <c r="AE54" s="416">
        <f>SUMIFS(meghsteelsales_previousmonth[Quantity],meghsteelsales_previousmonth[Length Bucket],aug[[#This Row],[Bucket CTL]])/1000</f>
        <v/>
      </c>
      <c r="AF54" s="160">
        <f>SUMIFS(meghsteelsales_currentmonth[Quantity],meghsteelsales_currentmonth[Length Bucket],aug[[#This Row],[Bucket CTL]])/1000</f>
        <v/>
      </c>
      <c r="AG54" s="187">
        <f>aug[[#This Row],[order logg ]]+aug[[#This Row],[ INDENT  FOR AUG-25 recommended]]</f>
        <v/>
      </c>
      <c r="AH54" s="427">
        <f>aug[[#This Row],[Before 20th]]+aug[[#This Row],[ofter 20th]]</f>
        <v/>
      </c>
      <c r="AI54" s="427">
        <f>IF((aug[[#This Row],[Total Indent]]-aug[[#This Row],[Total Delivered]])&lt;0,0,aug[[#This Row],[Total Indent]]-aug[[#This Row],[Total Delivered]])</f>
        <v/>
      </c>
      <c r="AJ54" s="187" t="n"/>
    </row>
    <row r="55">
      <c r="A55" s="265" t="inlineStr">
        <is>
          <t>RE</t>
        </is>
      </c>
      <c r="B55" s="147" t="inlineStr">
        <is>
          <t>RAJSRIYA</t>
        </is>
      </c>
      <c r="C55" s="153" t="inlineStr">
        <is>
          <t>ERW1</t>
        </is>
      </c>
      <c r="D55" s="147" t="inlineStr">
        <is>
          <t>FIN CUT</t>
        </is>
      </c>
      <c r="E55" s="147" t="inlineStr">
        <is>
          <t>ERW</t>
        </is>
      </c>
      <c r="F55" s="148" t="n">
        <v>48</v>
      </c>
      <c r="G55" s="148" t="n"/>
      <c r="H55" s="148" t="n">
        <v>1.2</v>
      </c>
      <c r="I55" s="147" t="n">
        <v>700</v>
      </c>
      <c r="J55" s="147" t="n">
        <v>0.7</v>
      </c>
      <c r="K55" s="147">
        <f>COUNTIF(_xlfn.ANCHORARRAY(A$74),M55)</f>
        <v/>
      </c>
      <c r="L55" s="147" t="n"/>
      <c r="M55" s="147">
        <f>_xlfn.CONCAT(F55,H55,J55,E55,D55)</f>
        <v/>
      </c>
      <c r="N55" s="147">
        <f>VLOOKUP(aug[[#This Row],[Key]],Table2527[[#All],[ ]:[Bucket CTL]],2,0)</f>
        <v/>
      </c>
      <c r="O55" s="147">
        <f>VLOOKUP(aug[[#This Row],[Key]],Table2527[[#All],[ ]:[Bucket CTL]],3,0)</f>
        <v/>
      </c>
      <c r="P55" s="147" t="n"/>
      <c r="Q55" s="147">
        <f>VLOOKUP(aug[[#This Row],[Key]],Table2527[[#All],[ ]:[TSL Material Code]],4,0)</f>
        <v/>
      </c>
      <c r="R55" s="147">
        <f>VLOOKUP(aug[[#This Row],[Key]],Table2527[[#All],[ ]:[TSL Material Code]],5,0)</f>
        <v/>
      </c>
      <c r="S55" s="147">
        <f>EXACT(aug[[#This Row],[Material code july]],aug[[#This Row],[TSL Material Code]])</f>
        <v/>
      </c>
      <c r="T55" s="151" t="inlineStr">
        <is>
          <t>0789</t>
        </is>
      </c>
      <c r="U55" s="150" t="n">
        <v>3649700</v>
      </c>
      <c r="V55" s="19" t="n">
        <v>14</v>
      </c>
      <c r="W55" s="147" t="n">
        <v>3</v>
      </c>
      <c r="X55" s="147" t="n">
        <v>0</v>
      </c>
      <c r="Y55" s="147" t="n"/>
      <c r="Z55" s="147">
        <f>X55-W55</f>
        <v/>
      </c>
      <c r="AA55" s="147" t="n">
        <v>0</v>
      </c>
      <c r="AB55" s="147">
        <f>Z55+AA55</f>
        <v/>
      </c>
      <c r="AC55" s="19">
        <f>V55-AB55</f>
        <v/>
      </c>
      <c r="AD55" s="387">
        <f>IF(AC55&gt;0,AC55,0)</f>
        <v/>
      </c>
      <c r="AE55" s="416">
        <f>SUMIFS(meghsteelsales_previousmonth[Quantity],meghsteelsales_previousmonth[Length Bucket],aug[[#This Row],[Bucket CTL]])/1000</f>
        <v/>
      </c>
      <c r="AF55" s="160">
        <f>SUMIFS(meghsteelsales_currentmonth[Quantity],meghsteelsales_currentmonth[Length Bucket],aug[[#This Row],[Bucket CTL]])/1000</f>
        <v/>
      </c>
      <c r="AG55" s="187">
        <f>aug[[#This Row],[order logg ]]+aug[[#This Row],[ INDENT  FOR AUG-25 recommended]]</f>
        <v/>
      </c>
      <c r="AH55" s="427">
        <f>aug[[#This Row],[Before 20th]]+aug[[#This Row],[ofter 20th]]</f>
        <v/>
      </c>
      <c r="AI55" s="427">
        <f>IF((aug[[#This Row],[Total Indent]]-aug[[#This Row],[Total Delivered]])&lt;0,0,aug[[#This Row],[Total Indent]]-aug[[#This Row],[Total Delivered]])</f>
        <v/>
      </c>
      <c r="AJ55" s="187" t="n"/>
    </row>
    <row r="56">
      <c r="A56" s="265" t="inlineStr">
        <is>
          <t>HMSI</t>
        </is>
      </c>
      <c r="B56" s="147" t="inlineStr">
        <is>
          <t>BADVE</t>
        </is>
      </c>
      <c r="C56" s="153" t="inlineStr">
        <is>
          <t>ERW2</t>
        </is>
      </c>
      <c r="D56" s="147" t="inlineStr">
        <is>
          <t>FIN CUT</t>
        </is>
      </c>
      <c r="E56" s="147" t="inlineStr">
        <is>
          <t>HST</t>
        </is>
      </c>
      <c r="F56" s="148" t="n">
        <v>48.6</v>
      </c>
      <c r="G56" s="148" t="n"/>
      <c r="H56" s="148" t="n">
        <v>2</v>
      </c>
      <c r="I56" s="147" t="n">
        <v>6270</v>
      </c>
      <c r="J56" s="147" t="n">
        <v>6.27</v>
      </c>
      <c r="K56" s="147">
        <f>COUNTIF(_xlfn.ANCHORARRAY(A$74),M56)</f>
        <v/>
      </c>
      <c r="L56" s="147" t="n"/>
      <c r="M56" s="147">
        <f>_xlfn.CONCAT(F56,H56,J56,E56,D56)</f>
        <v/>
      </c>
      <c r="N56" s="147">
        <f>VLOOKUP(aug[[#This Row],[Key]],Table2527[[#All],[ ]:[Bucket CTL]],2,0)</f>
        <v/>
      </c>
      <c r="O56" s="147">
        <f>VLOOKUP(aug[[#This Row],[Key]],Table2527[[#All],[ ]:[Bucket CTL]],3,0)</f>
        <v/>
      </c>
      <c r="P56" s="147" t="n"/>
      <c r="Q56" s="147">
        <f>VLOOKUP(aug[[#This Row],[Key]],Table2527[[#All],[ ]:[TSL Material Code]],4,0)</f>
        <v/>
      </c>
      <c r="R56" s="147">
        <f>VLOOKUP(aug[[#This Row],[Key]],Table2527[[#All],[ ]:[TSL Material Code]],5,0)</f>
        <v/>
      </c>
      <c r="S56" s="147">
        <f>EXACT(aug[[#This Row],[Material code july]],aug[[#This Row],[TSL Material Code]])</f>
        <v/>
      </c>
      <c r="T56" s="151" t="inlineStr">
        <is>
          <t>056</t>
        </is>
      </c>
      <c r="U56" s="150" t="n">
        <v>3502301</v>
      </c>
      <c r="V56" s="19" t="n">
        <v>10</v>
      </c>
      <c r="W56" s="147" t="n">
        <v>3</v>
      </c>
      <c r="X56" s="147" t="n">
        <v>30</v>
      </c>
      <c r="Y56" s="147" t="n"/>
      <c r="Z56" s="147">
        <f>X56-W56</f>
        <v/>
      </c>
      <c r="AA56" s="147" t="n">
        <v>4</v>
      </c>
      <c r="AB56" s="147">
        <f>Z56+AA56</f>
        <v/>
      </c>
      <c r="AC56" s="19">
        <f>V56-AB56</f>
        <v/>
      </c>
      <c r="AD56" s="387">
        <f>IF(AC56&gt;0,AC56,0)</f>
        <v/>
      </c>
      <c r="AE56" s="416">
        <f>SUMIFS(meghsteelsales_previousmonth[Quantity],meghsteelsales_previousmonth[Length Bucket],aug[[#This Row],[Bucket CTL]])/1000</f>
        <v/>
      </c>
      <c r="AF56" s="160">
        <f>SUMIFS(meghsteelsales_currentmonth[Quantity],meghsteelsales_currentmonth[Length Bucket],aug[[#This Row],[Bucket CTL]])/1000</f>
        <v/>
      </c>
      <c r="AG56" s="187">
        <f>aug[[#This Row],[order logg ]]+aug[[#This Row],[ INDENT  FOR AUG-25 recommended]]</f>
        <v/>
      </c>
      <c r="AH56" s="427">
        <f>aug[[#This Row],[Before 20th]]+aug[[#This Row],[ofter 20th]]</f>
        <v/>
      </c>
      <c r="AI56" s="427">
        <f>IF((aug[[#This Row],[Total Indent]]-aug[[#This Row],[Total Delivered]])&lt;0,0,aug[[#This Row],[Total Indent]]-aug[[#This Row],[Total Delivered]])</f>
        <v/>
      </c>
      <c r="AJ56" s="187" t="n"/>
    </row>
    <row r="57">
      <c r="A57" s="265" t="inlineStr">
        <is>
          <t>HMSI</t>
        </is>
      </c>
      <c r="B57" s="147" t="inlineStr">
        <is>
          <t>BADVE</t>
        </is>
      </c>
      <c r="C57" s="153" t="inlineStr">
        <is>
          <t>ERW2</t>
        </is>
      </c>
      <c r="D57" s="147" t="inlineStr">
        <is>
          <t>FIN CUT</t>
        </is>
      </c>
      <c r="E57" s="147" t="inlineStr">
        <is>
          <t>HST</t>
        </is>
      </c>
      <c r="F57" s="148" t="n">
        <v>48.6</v>
      </c>
      <c r="G57" s="148" t="n"/>
      <c r="H57" s="148" t="n">
        <v>2.3</v>
      </c>
      <c r="I57" s="147" t="n">
        <v>6270</v>
      </c>
      <c r="J57" s="147" t="n">
        <v>6.27</v>
      </c>
      <c r="K57" s="147">
        <f>COUNTIF(_xlfn.ANCHORARRAY(A$74),M57)</f>
        <v/>
      </c>
      <c r="L57" s="147" t="n"/>
      <c r="M57" s="147">
        <f>_xlfn.CONCAT(F57,H57,J57,E57,D57)</f>
        <v/>
      </c>
      <c r="N57" s="147">
        <f>VLOOKUP(aug[[#This Row],[Key]],Table2527[[#All],[ ]:[Bucket CTL]],2,0)</f>
        <v/>
      </c>
      <c r="O57" s="147">
        <f>VLOOKUP(aug[[#This Row],[Key]],Table2527[[#All],[ ]:[Bucket CTL]],3,0)</f>
        <v/>
      </c>
      <c r="P57" s="147" t="n"/>
      <c r="Q57" s="147">
        <f>VLOOKUP(aug[[#This Row],[Key]],Table2527[[#All],[ ]:[TSL Material Code]],4,0)</f>
        <v/>
      </c>
      <c r="R57" s="147">
        <f>VLOOKUP(aug[[#This Row],[Key]],Table2527[[#All],[ ]:[TSL Material Code]],5,0)</f>
        <v/>
      </c>
      <c r="S57" s="147">
        <f>EXACT(aug[[#This Row],[Material code july]],aug[[#This Row],[TSL Material Code]])</f>
        <v/>
      </c>
      <c r="T57" s="151" t="inlineStr">
        <is>
          <t>056</t>
        </is>
      </c>
      <c r="U57" s="150" t="n">
        <v>3549720</v>
      </c>
      <c r="V57" s="19" t="n">
        <v>10</v>
      </c>
      <c r="W57" s="147" t="n">
        <v>3</v>
      </c>
      <c r="X57" s="147" t="n">
        <v>4</v>
      </c>
      <c r="Y57" s="147" t="n"/>
      <c r="Z57" s="147">
        <f>X57-W57</f>
        <v/>
      </c>
      <c r="AA57" s="147" t="n">
        <v>0</v>
      </c>
      <c r="AB57" s="147">
        <f>Z57+AA57</f>
        <v/>
      </c>
      <c r="AC57" s="19">
        <f>V57-AB57</f>
        <v/>
      </c>
      <c r="AD57" s="387">
        <f>IF(AC57&gt;0,AC57,0)</f>
        <v/>
      </c>
      <c r="AE57" s="416">
        <f>SUMIFS(meghsteelsales_previousmonth[Quantity],meghsteelsales_previousmonth[Length Bucket],aug[[#This Row],[Bucket CTL]])/1000</f>
        <v/>
      </c>
      <c r="AF57" s="160">
        <f>SUMIFS(meghsteelsales_currentmonth[Quantity],meghsteelsales_currentmonth[Length Bucket],aug[[#This Row],[Bucket CTL]])/1000</f>
        <v/>
      </c>
      <c r="AG57" s="187">
        <f>aug[[#This Row],[order logg ]]+aug[[#This Row],[ INDENT  FOR AUG-25 recommended]]</f>
        <v/>
      </c>
      <c r="AH57" s="427">
        <f>aug[[#This Row],[Before 20th]]+aug[[#This Row],[ofter 20th]]</f>
        <v/>
      </c>
      <c r="AI57" s="427">
        <f>IF((aug[[#This Row],[Total Indent]]-aug[[#This Row],[Total Delivered]])&lt;0,0,aug[[#This Row],[Total Indent]]-aug[[#This Row],[Total Delivered]])</f>
        <v/>
      </c>
      <c r="AJ57" s="187" t="n"/>
    </row>
    <row r="58">
      <c r="A58" s="265" t="inlineStr">
        <is>
          <t>HMSI</t>
        </is>
      </c>
      <c r="B58" s="147" t="inlineStr">
        <is>
          <t>BADVE</t>
        </is>
      </c>
      <c r="C58" s="153" t="inlineStr">
        <is>
          <t>ERW1</t>
        </is>
      </c>
      <c r="D58" s="147" t="inlineStr">
        <is>
          <t>FIN CUT</t>
        </is>
      </c>
      <c r="E58" s="147" t="inlineStr">
        <is>
          <t>ERW</t>
        </is>
      </c>
      <c r="F58" s="148" t="n">
        <v>48.6</v>
      </c>
      <c r="G58" s="148" t="n"/>
      <c r="H58" s="148" t="n">
        <v>3.5</v>
      </c>
      <c r="I58" s="147" t="n">
        <v>6000</v>
      </c>
      <c r="J58" s="147" t="n">
        <v>6</v>
      </c>
      <c r="K58" s="147">
        <f>COUNTIF(_xlfn.ANCHORARRAY(A$74),M58)</f>
        <v/>
      </c>
      <c r="L58" s="147" t="n"/>
      <c r="M58" s="147">
        <f>_xlfn.CONCAT(F58,H58,J58,E58,D58)</f>
        <v/>
      </c>
      <c r="N58" s="147">
        <f>VLOOKUP(aug[[#This Row],[Key]],Table2527[[#All],[ ]:[Bucket CTL]],2,0)</f>
        <v/>
      </c>
      <c r="O58" s="147">
        <f>VLOOKUP(aug[[#This Row],[Key]],Table2527[[#All],[ ]:[Bucket CTL]],3,0)</f>
        <v/>
      </c>
      <c r="P58" s="147" t="n"/>
      <c r="Q58" s="147">
        <f>VLOOKUP(aug[[#This Row],[Key]],Table2527[[#All],[ ]:[TSL Material Code]],4,0)</f>
        <v/>
      </c>
      <c r="R58" s="147">
        <f>VLOOKUP(aug[[#This Row],[Key]],Table2527[[#All],[ ]:[TSL Material Code]],5,0)</f>
        <v/>
      </c>
      <c r="S58" s="147">
        <f>EXACT(aug[[#This Row],[Material code july]],aug[[#This Row],[TSL Material Code]])</f>
        <v/>
      </c>
      <c r="T58" s="151" t="inlineStr">
        <is>
          <t>0789</t>
        </is>
      </c>
      <c r="U58" s="150" t="n">
        <v>3502422</v>
      </c>
      <c r="V58" s="19" t="n">
        <v>25</v>
      </c>
      <c r="W58" s="147" t="n">
        <v>3</v>
      </c>
      <c r="X58" s="147" t="n">
        <v>7</v>
      </c>
      <c r="Y58" s="147" t="n"/>
      <c r="Z58" s="147">
        <f>X58-W58</f>
        <v/>
      </c>
      <c r="AA58" s="147" t="n"/>
      <c r="AB58" s="147">
        <f>Z58+AA58</f>
        <v/>
      </c>
      <c r="AC58" s="19">
        <f>V58-AB58</f>
        <v/>
      </c>
      <c r="AD58" s="387">
        <f>IF(AC58&gt;0,AC58,0)</f>
        <v/>
      </c>
      <c r="AE58" s="416">
        <f>SUMIFS(meghsteelsales_previousmonth[Quantity],meghsteelsales_previousmonth[Length Bucket],aug[[#This Row],[Bucket CTL]])/1000</f>
        <v/>
      </c>
      <c r="AF58" s="160">
        <f>SUMIFS(meghsteelsales_currentmonth[Quantity],meghsteelsales_currentmonth[Length Bucket],aug[[#This Row],[Bucket CTL]])/1000</f>
        <v/>
      </c>
      <c r="AG58" s="187">
        <f>aug[[#This Row],[order logg ]]+aug[[#This Row],[ INDENT  FOR AUG-25 recommended]]</f>
        <v/>
      </c>
      <c r="AH58" s="427">
        <f>aug[[#This Row],[Before 20th]]+aug[[#This Row],[ofter 20th]]</f>
        <v/>
      </c>
      <c r="AI58" s="427">
        <f>IF((aug[[#This Row],[Total Indent]]-aug[[#This Row],[Total Delivered]])&lt;0,0,aug[[#This Row],[Total Indent]]-aug[[#This Row],[Total Delivered]])</f>
        <v/>
      </c>
      <c r="AJ58" s="187" t="n"/>
    </row>
    <row r="59">
      <c r="A59" s="265" t="inlineStr">
        <is>
          <t>TVS</t>
        </is>
      </c>
      <c r="B59" s="147" t="inlineStr">
        <is>
          <t>RUCHA</t>
        </is>
      </c>
      <c r="C59" s="153" t="inlineStr">
        <is>
          <t>ERW1</t>
        </is>
      </c>
      <c r="D59" s="147" t="inlineStr">
        <is>
          <t>FIN CUT</t>
        </is>
      </c>
      <c r="E59" s="147" t="inlineStr">
        <is>
          <t>ERW</t>
        </is>
      </c>
      <c r="F59" s="168" t="inlineStr">
        <is>
          <t>59x30</t>
        </is>
      </c>
      <c r="G59" s="168" t="n"/>
      <c r="H59" s="168" t="n">
        <v>1.6</v>
      </c>
      <c r="I59" s="147" t="n">
        <v>6000</v>
      </c>
      <c r="J59" s="147" t="n">
        <v>6</v>
      </c>
      <c r="K59" s="147">
        <f>COUNTIF(_xlfn.ANCHORARRAY(A$74),M59)</f>
        <v/>
      </c>
      <c r="L59" s="147" t="n"/>
      <c r="M59" s="147">
        <f>_xlfn.CONCAT(F59,H59,J59,E59,D59)</f>
        <v/>
      </c>
      <c r="N59" s="147">
        <f>VLOOKUP(aug[[#This Row],[Key]],Table2527[[#All],[ ]:[Bucket CTL]],2,0)</f>
        <v/>
      </c>
      <c r="O59" s="147">
        <f>VLOOKUP(aug[[#This Row],[Key]],Table2527[[#All],[ ]:[Bucket CTL]],3,0)</f>
        <v/>
      </c>
      <c r="P59" s="147" t="n"/>
      <c r="Q59" s="147">
        <f>VLOOKUP(aug[[#This Row],[Key]],Table2527[[#All],[ ]:[TSL Material Code]],4,0)</f>
        <v/>
      </c>
      <c r="R59" s="147">
        <f>VLOOKUP(aug[[#This Row],[Key]],Table2527[[#All],[ ]:[TSL Material Code]],5,0)</f>
        <v/>
      </c>
      <c r="S59" s="147">
        <f>EXACT(aug[[#This Row],[Material code july]],aug[[#This Row],[TSL Material Code]])</f>
        <v/>
      </c>
      <c r="T59" s="151" t="inlineStr">
        <is>
          <t>0789</t>
        </is>
      </c>
      <c r="U59" s="150">
        <f>aug[[#This Row],[Material code july]]</f>
        <v/>
      </c>
      <c r="V59" s="19" t="n">
        <v>5</v>
      </c>
      <c r="W59" s="147" t="n">
        <v>1</v>
      </c>
      <c r="X59" s="147" t="n">
        <v>3</v>
      </c>
      <c r="Y59" s="147" t="n"/>
      <c r="Z59" s="147">
        <f>X59-W59</f>
        <v/>
      </c>
      <c r="AA59" s="147" t="n">
        <v>0</v>
      </c>
      <c r="AB59" s="147">
        <f>Z59+AA59</f>
        <v/>
      </c>
      <c r="AC59" s="19">
        <f>V59-AB59</f>
        <v/>
      </c>
      <c r="AD59" s="387">
        <f>IF(AC59&gt;0,AC59,0)</f>
        <v/>
      </c>
      <c r="AE59" s="416">
        <f>SUMIFS(meghsteelsales_previousmonth[Quantity],meghsteelsales_previousmonth[Length Bucket],aug[[#This Row],[Bucket CTL]])/1000</f>
        <v/>
      </c>
      <c r="AF59" s="160">
        <f>SUMIFS(meghsteelsales_currentmonth[Quantity],meghsteelsales_currentmonth[Length Bucket],aug[[#This Row],[Bucket CTL]])/1000</f>
        <v/>
      </c>
      <c r="AG59" s="187">
        <f>aug[[#This Row],[order logg ]]+aug[[#This Row],[ INDENT  FOR AUG-25 recommended]]</f>
        <v/>
      </c>
      <c r="AH59" s="427">
        <f>aug[[#This Row],[Before 20th]]+aug[[#This Row],[ofter 20th]]</f>
        <v/>
      </c>
      <c r="AI59" s="427">
        <f>IF((aug[[#This Row],[Total Indent]]-aug[[#This Row],[Total Delivered]])&lt;0,0,aug[[#This Row],[Total Indent]]-aug[[#This Row],[Total Delivered]])</f>
        <v/>
      </c>
      <c r="AJ59" s="187" t="n"/>
    </row>
    <row r="60">
      <c r="A60" s="265" t="inlineStr">
        <is>
          <t>RE</t>
        </is>
      </c>
      <c r="B60" s="147" t="inlineStr">
        <is>
          <t>KUNAL</t>
        </is>
      </c>
      <c r="C60" s="153" t="inlineStr">
        <is>
          <t>ERW1</t>
        </is>
      </c>
      <c r="D60" s="147" t="inlineStr">
        <is>
          <t>FIN CUT</t>
        </is>
      </c>
      <c r="E60" s="147" t="inlineStr">
        <is>
          <t>ERW</t>
        </is>
      </c>
      <c r="F60" s="168" t="inlineStr">
        <is>
          <t>59x30</t>
        </is>
      </c>
      <c r="G60" s="168" t="n"/>
      <c r="H60" s="168" t="n">
        <v>1.6</v>
      </c>
      <c r="I60" s="169" t="n">
        <v>572.5</v>
      </c>
      <c r="J60" s="147" t="n">
        <v>0.5725</v>
      </c>
      <c r="K60" s="147">
        <f>COUNTIF(_xlfn.ANCHORARRAY(A$74),M60)</f>
        <v/>
      </c>
      <c r="L60" s="147" t="n"/>
      <c r="M60" s="147">
        <f>_xlfn.CONCAT(F60,H60,J60,E60,D60)</f>
        <v/>
      </c>
      <c r="N60" s="147">
        <f>VLOOKUP(aug[[#This Row],[Key]],Table2527[[#All],[ ]:[Bucket CTL]],2,0)</f>
        <v/>
      </c>
      <c r="O60" s="147">
        <f>VLOOKUP(aug[[#This Row],[Key]],Table2527[[#All],[ ]:[Bucket CTL]],3,0)</f>
        <v/>
      </c>
      <c r="P60" s="147" t="n"/>
      <c r="Q60" s="147">
        <f>VLOOKUP(aug[[#This Row],[Key]],Table2527[[#All],[ ]:[TSL Material Code]],4,0)</f>
        <v/>
      </c>
      <c r="R60" s="147">
        <f>VLOOKUP(aug[[#This Row],[Key]],Table2527[[#All],[ ]:[TSL Material Code]],5,0)</f>
        <v/>
      </c>
      <c r="S60" s="147">
        <f>EXACT(aug[[#This Row],[Material code july]],aug[[#This Row],[TSL Material Code]])</f>
        <v/>
      </c>
      <c r="T60" s="151" t="inlineStr">
        <is>
          <t>0789</t>
        </is>
      </c>
      <c r="U60" s="150" t="n">
        <v>2420716</v>
      </c>
      <c r="V60" s="19" t="n">
        <v>40</v>
      </c>
      <c r="W60" s="147" t="n">
        <v>20</v>
      </c>
      <c r="X60" s="147" t="n">
        <v>0</v>
      </c>
      <c r="Y60" s="147" t="n"/>
      <c r="Z60" s="147">
        <f>X60-W60</f>
        <v/>
      </c>
      <c r="AA60" s="147" t="n">
        <v>0</v>
      </c>
      <c r="AB60" s="147">
        <f>Z60+AA60</f>
        <v/>
      </c>
      <c r="AC60" s="19">
        <f>V60-AB60</f>
        <v/>
      </c>
      <c r="AD60" s="387">
        <f>IF(AC60&gt;0,AC60,0)</f>
        <v/>
      </c>
      <c r="AE60" s="416">
        <f>SUMIFS(meghsteelsales_previousmonth[Quantity],meghsteelsales_previousmonth[Length Bucket],aug[[#This Row],[Bucket CTL]])/1000</f>
        <v/>
      </c>
      <c r="AF60" s="160">
        <f>SUMIFS(meghsteelsales_currentmonth[Quantity],meghsteelsales_currentmonth[Length Bucket],aug[[#This Row],[Bucket CTL]])/1000</f>
        <v/>
      </c>
      <c r="AG60" s="187">
        <f>aug[[#This Row],[order logg ]]+aug[[#This Row],[ INDENT  FOR AUG-25 recommended]]</f>
        <v/>
      </c>
      <c r="AH60" s="427">
        <f>aug[[#This Row],[Before 20th]]+aug[[#This Row],[ofter 20th]]</f>
        <v/>
      </c>
      <c r="AI60" s="427">
        <f>IF((aug[[#This Row],[Total Indent]]-aug[[#This Row],[Total Delivered]])&lt;0,0,aug[[#This Row],[Total Indent]]-aug[[#This Row],[Total Delivered]])</f>
        <v/>
      </c>
      <c r="AJ60" s="187" t="n"/>
    </row>
    <row r="61">
      <c r="A61" s="265" t="inlineStr">
        <is>
          <t>RE</t>
        </is>
      </c>
      <c r="B61" s="147" t="inlineStr">
        <is>
          <t>BELRISE</t>
        </is>
      </c>
      <c r="C61" s="153" t="inlineStr">
        <is>
          <t>ERW1</t>
        </is>
      </c>
      <c r="D61" s="147" t="inlineStr">
        <is>
          <t>FIN CUT</t>
        </is>
      </c>
      <c r="E61" s="147" t="inlineStr">
        <is>
          <t>ERW</t>
        </is>
      </c>
      <c r="F61" s="168" t="inlineStr">
        <is>
          <t>50X50</t>
        </is>
      </c>
      <c r="G61" s="168" t="n"/>
      <c r="H61" s="168" t="n">
        <v>1.6</v>
      </c>
      <c r="I61" s="169" t="n">
        <v>6040</v>
      </c>
      <c r="J61" s="147" t="n">
        <v>6.04</v>
      </c>
      <c r="K61" s="147">
        <f>COUNTIF(_xlfn.ANCHORARRAY(A$74),M61)</f>
        <v/>
      </c>
      <c r="L61" s="147" t="n"/>
      <c r="M61" s="147">
        <f>_xlfn.CONCAT(F61,H61,J61,E61,D61)</f>
        <v/>
      </c>
      <c r="N61" s="147">
        <f>VLOOKUP(aug[[#This Row],[Key]],Table2527[[#All],[ ]:[Bucket CTL]],2,0)</f>
        <v/>
      </c>
      <c r="O61" s="147">
        <f>VLOOKUP(aug[[#This Row],[Key]],Table2527[[#All],[ ]:[Bucket CTL]],3,0)</f>
        <v/>
      </c>
      <c r="P61" s="147" t="n"/>
      <c r="Q61" s="147" t="inlineStr">
        <is>
          <t>056</t>
        </is>
      </c>
      <c r="R61" s="147" t="n">
        <v>3751498</v>
      </c>
      <c r="S61" s="147">
        <f>EXACT(aug[[#This Row],[Material code july]],aug[[#This Row],[TSL Material Code]])</f>
        <v/>
      </c>
      <c r="T61" s="165" t="inlineStr">
        <is>
          <t>056</t>
        </is>
      </c>
      <c r="U61" s="150" t="n">
        <v>3751498</v>
      </c>
      <c r="V61" s="19" t="n">
        <v>10</v>
      </c>
      <c r="W61" s="147" t="n"/>
      <c r="X61" s="147" t="n">
        <v>0</v>
      </c>
      <c r="Y61" s="147" t="n"/>
      <c r="Z61" s="147">
        <f>X61-W61</f>
        <v/>
      </c>
      <c r="AA61" s="147" t="n">
        <v>0</v>
      </c>
      <c r="AB61" s="147">
        <f>Z61+AA61</f>
        <v/>
      </c>
      <c r="AC61" s="19">
        <f>V61-AB61</f>
        <v/>
      </c>
      <c r="AD61" s="387">
        <f>IF(AC61&gt;0,AC61,0)</f>
        <v/>
      </c>
      <c r="AE61" s="416">
        <f>SUMIFS(meghsteelsales_previousmonth[Quantity],meghsteelsales_previousmonth[Length Bucket],aug[[#This Row],[Bucket CTL]])/1000</f>
        <v/>
      </c>
      <c r="AF61" s="160">
        <f>SUMIFS(meghsteelsales_currentmonth[Quantity],meghsteelsales_currentmonth[Length Bucket],aug[[#This Row],[Bucket CTL]])/1000</f>
        <v/>
      </c>
      <c r="AG61" s="187">
        <f>aug[[#This Row],[order logg ]]+aug[[#This Row],[ INDENT  FOR AUG-25 recommended]]</f>
        <v/>
      </c>
      <c r="AH61" s="427">
        <f>aug[[#This Row],[Before 20th]]+aug[[#This Row],[ofter 20th]]</f>
        <v/>
      </c>
      <c r="AI61" s="427">
        <f>IF((aug[[#This Row],[Total Indent]]-aug[[#This Row],[Total Delivered]])&lt;0,0,aug[[#This Row],[Total Indent]]-aug[[#This Row],[Total Delivered]])</f>
        <v/>
      </c>
      <c r="AJ61" s="187" t="n"/>
    </row>
    <row r="62">
      <c r="A62" s="265" t="inlineStr">
        <is>
          <t>RE</t>
        </is>
      </c>
      <c r="B62" s="147" t="inlineStr">
        <is>
          <t>BELRISE</t>
        </is>
      </c>
      <c r="C62" s="153" t="inlineStr">
        <is>
          <t>ERW1</t>
        </is>
      </c>
      <c r="D62" s="147" t="inlineStr">
        <is>
          <t>FIN CUT</t>
        </is>
      </c>
      <c r="E62" s="147" t="inlineStr">
        <is>
          <t>ERW</t>
        </is>
      </c>
      <c r="F62" s="168" t="n">
        <v>50.8</v>
      </c>
      <c r="G62" s="168" t="n"/>
      <c r="H62" s="168" t="n">
        <v>2.6</v>
      </c>
      <c r="I62" s="169" t="n">
        <v>6000</v>
      </c>
      <c r="J62" s="147" t="n">
        <v>6</v>
      </c>
      <c r="K62" s="147">
        <f>COUNTIF(_xlfn.ANCHORARRAY(A$74),M62)</f>
        <v/>
      </c>
      <c r="L62" s="147" t="n"/>
      <c r="M62" s="147">
        <f>_xlfn.CONCAT(F62,H62,J62,E62,D62)</f>
        <v/>
      </c>
      <c r="N62" s="147">
        <f>VLOOKUP(aug[[#This Row],[Key]],Table2527[[#All],[ ]:[Bucket CTL]],2,0)</f>
        <v/>
      </c>
      <c r="O62" s="147">
        <f>VLOOKUP(aug[[#This Row],[Key]],Table2527[[#All],[ ]:[Bucket CTL]],3,0)</f>
        <v/>
      </c>
      <c r="P62" s="147" t="n"/>
      <c r="Q62" s="147" t="inlineStr">
        <is>
          <t>056</t>
        </is>
      </c>
      <c r="R62" s="147" t="n">
        <v>3518437</v>
      </c>
      <c r="S62" s="147">
        <f>EXACT(aug[[#This Row],[Material code july]],aug[[#This Row],[TSL Material Code]])</f>
        <v/>
      </c>
      <c r="T62" s="165" t="inlineStr">
        <is>
          <t>056</t>
        </is>
      </c>
      <c r="U62" s="150" t="n">
        <v>3518437</v>
      </c>
      <c r="V62" s="19" t="n">
        <v>5</v>
      </c>
      <c r="W62" s="147" t="n">
        <v>0</v>
      </c>
      <c r="X62" s="147" t="n">
        <v>0</v>
      </c>
      <c r="Y62" s="147" t="n">
        <v>0</v>
      </c>
      <c r="Z62" s="147" t="n">
        <v>0</v>
      </c>
      <c r="AA62" s="147" t="n">
        <v>0</v>
      </c>
      <c r="AB62" s="147" t="n">
        <v>0</v>
      </c>
      <c r="AC62" s="19" t="n">
        <v>5</v>
      </c>
      <c r="AD62" s="387" t="n">
        <v>5</v>
      </c>
      <c r="AE62" s="416">
        <f>SUMIFS(meghsteelsales_previousmonth[Quantity],meghsteelsales_previousmonth[Length Bucket],aug[[#This Row],[Bucket CTL]])/1000</f>
        <v/>
      </c>
      <c r="AF62" s="160">
        <f>SUMIFS(meghsteelsales_currentmonth[Quantity],meghsteelsales_currentmonth[Length Bucket],aug[[#This Row],[Bucket CTL]])/1000</f>
        <v/>
      </c>
      <c r="AG62" s="187">
        <f>aug[[#This Row],[order logg ]]+aug[[#This Row],[ INDENT  FOR AUG-25 recommended]]</f>
        <v/>
      </c>
      <c r="AH62" s="427">
        <f>aug[[#This Row],[Before 20th]]+aug[[#This Row],[ofter 20th]]</f>
        <v/>
      </c>
      <c r="AI62" s="427">
        <f>IF((aug[[#This Row],[Total Indent]]-aug[[#This Row],[Total Delivered]])&lt;0,0,aug[[#This Row],[Total Indent]]-aug[[#This Row],[Total Delivered]])</f>
        <v/>
      </c>
      <c r="AJ62" s="187" t="n"/>
    </row>
    <row r="63" customFormat="1" s="45">
      <c r="A63" s="266" t="inlineStr">
        <is>
          <t>RE</t>
        </is>
      </c>
      <c r="B63" s="156" t="inlineStr">
        <is>
          <t>BELRISE</t>
        </is>
      </c>
      <c r="C63" s="157" t="inlineStr">
        <is>
          <t>CEW-1</t>
        </is>
      </c>
      <c r="D63" s="156" t="inlineStr">
        <is>
          <t>FIN CUT</t>
        </is>
      </c>
      <c r="E63" s="156" t="inlineStr">
        <is>
          <t>CEW</t>
        </is>
      </c>
      <c r="F63" s="398" t="n">
        <v>50.8</v>
      </c>
      <c r="G63" s="398" t="n">
        <v>45.6</v>
      </c>
      <c r="H63" s="398" t="n">
        <v>2.6</v>
      </c>
      <c r="I63" s="399" t="n">
        <v>6000</v>
      </c>
      <c r="J63" s="156" t="n">
        <v>6</v>
      </c>
      <c r="K63" s="156">
        <f>COUNTIF(_xlfn.ANCHORARRAY(A$74),M63)</f>
        <v/>
      </c>
      <c r="L63" s="156" t="n"/>
      <c r="M63" s="156">
        <f>_xlfn.CONCAT(F63,H63,J63,E63,D63)</f>
        <v/>
      </c>
      <c r="N63" s="147">
        <f>VLOOKUP(aug[[#This Row],[Key]],Table2527[[#All],[ ]:[Bucket CTL]],2,0)</f>
        <v/>
      </c>
      <c r="O63" s="147">
        <f>VLOOKUP(aug[[#This Row],[Key]],Table2527[[#All],[ ]:[Bucket CTL]],3,0)</f>
        <v/>
      </c>
      <c r="P63" s="147" t="n"/>
      <c r="Q63" s="400" t="inlineStr">
        <is>
          <t>056</t>
        </is>
      </c>
      <c r="R63" s="156" t="n">
        <v>3500695</v>
      </c>
      <c r="S63" s="147">
        <f>EXACT(aug[[#This Row],[Material code july]],aug[[#This Row],[TSL Material Code]])</f>
        <v/>
      </c>
      <c r="T63" s="250" t="inlineStr">
        <is>
          <t>056</t>
        </is>
      </c>
      <c r="U63" s="245" t="n">
        <v>3500695</v>
      </c>
      <c r="V63" s="246" t="n">
        <v>5</v>
      </c>
      <c r="W63" s="156" t="n">
        <v>0</v>
      </c>
      <c r="X63" s="156" t="n">
        <v>0</v>
      </c>
      <c r="Y63" s="156" t="n">
        <v>0</v>
      </c>
      <c r="Z63" s="156" t="n">
        <v>0</v>
      </c>
      <c r="AA63" s="156" t="n">
        <v>0</v>
      </c>
      <c r="AB63" s="156" t="n">
        <v>0</v>
      </c>
      <c r="AC63" s="246" t="n">
        <v>5</v>
      </c>
      <c r="AD63" s="388" t="n">
        <v>5</v>
      </c>
      <c r="AE63" s="416">
        <f>SUMIFS(meghsteelsales_previousmonth[Quantity],meghsteelsales_previousmonth[Length Bucket],aug[[#This Row],[Bucket CTL]])/1000</f>
        <v/>
      </c>
      <c r="AF63" s="160">
        <f>SUMIFS(meghsteelsales_currentmonth[Quantity],meghsteelsales_currentmonth[Length Bucket],aug[[#This Row],[Bucket CTL]])/1000</f>
        <v/>
      </c>
      <c r="AG63" s="187">
        <f>aug[[#This Row],[order logg ]]+aug[[#This Row],[ INDENT  FOR AUG-25 recommended]]</f>
        <v/>
      </c>
      <c r="AH63" s="427">
        <f>aug[[#This Row],[Before 20th]]+aug[[#This Row],[ofter 20th]]</f>
        <v/>
      </c>
      <c r="AI63" s="427">
        <f>IF((aug[[#This Row],[Total Indent]]-aug[[#This Row],[Total Delivered]])&lt;0,0,aug[[#This Row],[Total Indent]]-aug[[#This Row],[Total Delivered]])</f>
        <v/>
      </c>
      <c r="AJ63" s="445" t="n"/>
    </row>
    <row r="64">
      <c r="A64" s="265" t="inlineStr">
        <is>
          <t>TVS</t>
        </is>
      </c>
      <c r="B64" s="147" t="inlineStr">
        <is>
          <t>RUCHA,METALMAN</t>
        </is>
      </c>
      <c r="C64" s="153" t="inlineStr">
        <is>
          <t>ERW1</t>
        </is>
      </c>
      <c r="D64" s="147" t="inlineStr">
        <is>
          <t>FIN CUT</t>
        </is>
      </c>
      <c r="E64" s="147" t="inlineStr">
        <is>
          <t>ERW</t>
        </is>
      </c>
      <c r="F64" s="148" t="n">
        <v>57.15</v>
      </c>
      <c r="G64" s="148" t="n"/>
      <c r="H64" s="148" t="n">
        <v>2.5</v>
      </c>
      <c r="I64" s="147" t="n">
        <v>5710</v>
      </c>
      <c r="J64" s="147" t="n">
        <v>5.71</v>
      </c>
      <c r="K64" s="147">
        <f>COUNTIF(_xlfn.ANCHORARRAY(A$74),M64)</f>
        <v/>
      </c>
      <c r="L64" s="147" t="n"/>
      <c r="M64" s="147">
        <f>_xlfn.CONCAT(F64,H64,J64,E64,D64)</f>
        <v/>
      </c>
      <c r="N64" s="147">
        <f>VLOOKUP(aug[[#This Row],[Key]],Table2527[[#All],[ ]:[Bucket CTL]],2,0)</f>
        <v/>
      </c>
      <c r="O64" s="147">
        <f>VLOOKUP(aug[[#This Row],[Key]],Table2527[[#All],[ ]:[Bucket CTL]],3,0)</f>
        <v/>
      </c>
      <c r="P64" s="147" t="inlineStr">
        <is>
          <t>Value Added</t>
        </is>
      </c>
      <c r="Q64" s="147">
        <f>VLOOKUP(aug[[#This Row],[Key]],Table2527[[#All],[ ]:[TSL Material Code]],4,0)</f>
        <v/>
      </c>
      <c r="R64" s="147">
        <f>VLOOKUP(aug[[#This Row],[Key]],Table2527[[#All],[ ]:[TSL Material Code]],5,0)</f>
        <v/>
      </c>
      <c r="S64" s="147">
        <f>EXACT(aug[[#This Row],[Material code july]],aug[[#This Row],[TSL Material Code]])</f>
        <v/>
      </c>
      <c r="T64" s="151" t="inlineStr">
        <is>
          <t>056</t>
        </is>
      </c>
      <c r="U64" s="150" t="n">
        <v>3907863</v>
      </c>
      <c r="V64" s="19" t="n">
        <v>80</v>
      </c>
      <c r="W64" s="147" t="n">
        <v>15</v>
      </c>
      <c r="X64" s="147" t="n">
        <v>0</v>
      </c>
      <c r="Y64" s="147" t="n">
        <v>32</v>
      </c>
      <c r="Z64" s="147">
        <f>X64-W64</f>
        <v/>
      </c>
      <c r="AA64" s="147" t="n">
        <v>23.9</v>
      </c>
      <c r="AB64" s="147">
        <f>Z64+AA64</f>
        <v/>
      </c>
      <c r="AC64" s="19">
        <f>V64-AB64</f>
        <v/>
      </c>
      <c r="AD64" s="387">
        <f>IF(AC64&gt;0,AC64,0)</f>
        <v/>
      </c>
      <c r="AE64" s="416">
        <f>SUMIFS(meghsteelsales_previousmonth[Quantity],meghsteelsales_previousmonth[Length Bucket],aug[[#This Row],[Bucket CTL]])/1000</f>
        <v/>
      </c>
      <c r="AF64" s="160">
        <f>SUMIFS(meghsteelsales_currentmonth[Quantity],meghsteelsales_currentmonth[Length Bucket],aug[[#This Row],[Bucket CTL]])/1000</f>
        <v/>
      </c>
      <c r="AG64" s="147">
        <f>aug[[#This Row],[order logg ]]+aug[[#This Row],[ INDENT  FOR AUG-25 recommended]]</f>
        <v/>
      </c>
      <c r="AH64" s="416">
        <f>aug[[#This Row],[Before 20th]]+aug[[#This Row],[ofter 20th]]</f>
        <v/>
      </c>
      <c r="AI64" s="416">
        <f>IF((aug[[#This Row],[Total Indent]]-aug[[#This Row],[Total Delivered]])&lt;0,0,aug[[#This Row],[Total Indent]]-aug[[#This Row],[Total Delivered]])</f>
        <v/>
      </c>
      <c r="AJ64" s="147" t="n">
        <v>80</v>
      </c>
    </row>
    <row r="65">
      <c r="A65" s="265" t="inlineStr">
        <is>
          <t>TVS</t>
        </is>
      </c>
      <c r="B65" s="147" t="inlineStr">
        <is>
          <t>RUCHA,METALMAN</t>
        </is>
      </c>
      <c r="C65" s="153" t="inlineStr">
        <is>
          <t>ERW1</t>
        </is>
      </c>
      <c r="D65" s="147" t="inlineStr">
        <is>
          <t>FIN CUT</t>
        </is>
      </c>
      <c r="E65" s="147" t="inlineStr">
        <is>
          <t>ERW</t>
        </is>
      </c>
      <c r="F65" s="148" t="n">
        <v>57.15</v>
      </c>
      <c r="G65" s="148" t="n"/>
      <c r="H65" s="148" t="n">
        <v>2.5</v>
      </c>
      <c r="I65" s="147" t="n">
        <v>5950</v>
      </c>
      <c r="J65" s="147" t="n">
        <v>5.95</v>
      </c>
      <c r="K65" s="147">
        <f>COUNTIF(_xlfn.ANCHORARRAY(A$74),M65)</f>
        <v/>
      </c>
      <c r="L65" s="147" t="n"/>
      <c r="M65" s="147">
        <f>_xlfn.CONCAT(F65,H65,J65,E65,D65)</f>
        <v/>
      </c>
      <c r="N65" s="147" t="inlineStr">
        <is>
          <t>57.15-0-2.5-ERW 1-FC</t>
        </is>
      </c>
      <c r="O65" s="147" t="inlineStr">
        <is>
          <t>57.15-0-2.5-ERW 1-FC-5.95</t>
        </is>
      </c>
      <c r="P65" s="147" t="inlineStr">
        <is>
          <t>Value Added</t>
        </is>
      </c>
      <c r="Q65" s="400" t="inlineStr">
        <is>
          <t>056</t>
        </is>
      </c>
      <c r="R65" s="147" t="n">
        <v>4054700</v>
      </c>
      <c r="S65" s="147">
        <f>EXACT(aug[[#This Row],[Material code july]],aug[[#This Row],[TSL Material Code]])</f>
        <v/>
      </c>
      <c r="T65" s="151" t="inlineStr">
        <is>
          <t>056</t>
        </is>
      </c>
      <c r="U65" s="150">
        <f>aug[[#This Row],[Material code july]]</f>
        <v/>
      </c>
      <c r="V65" s="19" t="n">
        <v>20</v>
      </c>
      <c r="W65" s="147" t="n">
        <v>5</v>
      </c>
      <c r="X65" s="147" t="n">
        <v>13</v>
      </c>
      <c r="Y65" s="147" t="n">
        <v>57</v>
      </c>
      <c r="Z65" s="147">
        <f>X65-W65</f>
        <v/>
      </c>
      <c r="AA65" s="147" t="n">
        <v>147</v>
      </c>
      <c r="AB65" s="147">
        <f>Z65+AA65</f>
        <v/>
      </c>
      <c r="AC65" s="19">
        <f>V65-AB65</f>
        <v/>
      </c>
      <c r="AD65" s="387">
        <f>IF(AC65&gt;0,AC65,0)</f>
        <v/>
      </c>
      <c r="AE65" s="416">
        <f>SUMIFS(meghsteelsales_previousmonth[Quantity],meghsteelsales_previousmonth[Length Bucket],aug[[#This Row],[Bucket CTL]])/1000</f>
        <v/>
      </c>
      <c r="AF65" s="160">
        <f>SUMIFS(meghsteelsales_currentmonth[Quantity],meghsteelsales_currentmonth[Length Bucket],aug[[#This Row],[Bucket CTL]])/1000</f>
        <v/>
      </c>
      <c r="AG65" s="147">
        <f>aug[[#This Row],[order logg ]]+aug[[#This Row],[ INDENT  FOR AUG-25 recommended]]</f>
        <v/>
      </c>
      <c r="AH65" s="416">
        <f>aug[[#This Row],[Before 20th]]+aug[[#This Row],[ofter 20th]]</f>
        <v/>
      </c>
      <c r="AI65" s="416">
        <f>IF((aug[[#This Row],[Total Indent]]-aug[[#This Row],[Total Delivered]])&lt;0,0,aug[[#This Row],[Total Indent]]-aug[[#This Row],[Total Delivered]])</f>
        <v/>
      </c>
      <c r="AJ65" s="147" t="n">
        <v>0</v>
      </c>
    </row>
    <row r="66">
      <c r="A66" s="265" t="inlineStr">
        <is>
          <t>TVS</t>
        </is>
      </c>
      <c r="B66" s="147" t="inlineStr">
        <is>
          <t>RUCHA,METALMAN</t>
        </is>
      </c>
      <c r="C66" s="153" t="inlineStr">
        <is>
          <t>ERW1</t>
        </is>
      </c>
      <c r="D66" s="147" t="inlineStr">
        <is>
          <t>FIN CUT</t>
        </is>
      </c>
      <c r="E66" s="147" t="inlineStr">
        <is>
          <t>ERW</t>
        </is>
      </c>
      <c r="F66" s="148" t="n">
        <v>57.15</v>
      </c>
      <c r="G66" s="148" t="n"/>
      <c r="H66" s="148" t="n">
        <v>2.5</v>
      </c>
      <c r="I66" s="147" t="n">
        <v>6100</v>
      </c>
      <c r="J66" s="147" t="n">
        <v>6.1</v>
      </c>
      <c r="K66" s="147">
        <f>COUNTIF(_xlfn.ANCHORARRAY(A$74),M66)</f>
        <v/>
      </c>
      <c r="L66" s="147" t="n"/>
      <c r="M66" s="147">
        <f>_xlfn.CONCAT(F66,H66,J66,E66,D66)</f>
        <v/>
      </c>
      <c r="N66" s="147">
        <f>VLOOKUP(aug[[#This Row],[Key]],Table2527[[#All],[ ]:[Bucket CTL]],2,0)</f>
        <v/>
      </c>
      <c r="O66" s="147">
        <f>VLOOKUP(aug[[#This Row],[Key]],Table2527[[#All],[ ]:[Bucket CTL]],3,0)</f>
        <v/>
      </c>
      <c r="P66" s="147" t="inlineStr">
        <is>
          <t>Value Added</t>
        </is>
      </c>
      <c r="Q66" s="147">
        <f>VLOOKUP(aug[[#This Row],[Key]],Table2527[[#All],[ ]:[TSL Material Code]],4,0)</f>
        <v/>
      </c>
      <c r="R66" s="147">
        <f>VLOOKUP(aug[[#This Row],[Key]],Table2527[[#All],[ ]:[TSL Material Code]],5,0)</f>
        <v/>
      </c>
      <c r="S66" s="147">
        <f>EXACT(aug[[#This Row],[Material code july]],aug[[#This Row],[TSL Material Code]])</f>
        <v/>
      </c>
      <c r="T66" s="151" t="inlineStr">
        <is>
          <t>056</t>
        </is>
      </c>
      <c r="U66" s="150" t="n">
        <v>3910001</v>
      </c>
      <c r="V66" s="19" t="n">
        <v>80</v>
      </c>
      <c r="W66" s="147" t="n">
        <v>10</v>
      </c>
      <c r="X66" s="147" t="n">
        <v>5</v>
      </c>
      <c r="Y66" s="147" t="n"/>
      <c r="Z66" s="147">
        <f>X66-W66</f>
        <v/>
      </c>
      <c r="AA66" s="147" t="n">
        <v>11.3</v>
      </c>
      <c r="AB66" s="147">
        <f>Z66+AA66</f>
        <v/>
      </c>
      <c r="AC66" s="19">
        <f>V66-AB66</f>
        <v/>
      </c>
      <c r="AD66" s="387">
        <f>IF(AC66&gt;0,AC66,0)</f>
        <v/>
      </c>
      <c r="AE66" s="416">
        <f>SUMIFS(meghsteelsales_previousmonth[Quantity],meghsteelsales_previousmonth[Length Bucket],aug[[#This Row],[Bucket CTL]])/1000</f>
        <v/>
      </c>
      <c r="AF66" s="160">
        <f>SUMIFS(meghsteelsales_currentmonth[Quantity],meghsteelsales_currentmonth[Length Bucket],aug[[#This Row],[Bucket CTL]])/1000</f>
        <v/>
      </c>
      <c r="AG66" s="147">
        <f>aug[[#This Row],[order logg ]]+aug[[#This Row],[ INDENT  FOR AUG-25 recommended]]</f>
        <v/>
      </c>
      <c r="AH66" s="416">
        <f>aug[[#This Row],[Before 20th]]+aug[[#This Row],[ofter 20th]]</f>
        <v/>
      </c>
      <c r="AI66" s="416">
        <f>IF((aug[[#This Row],[Total Indent]]-aug[[#This Row],[Total Delivered]])&lt;0,0,aug[[#This Row],[Total Indent]]-aug[[#This Row],[Total Delivered]])</f>
        <v/>
      </c>
      <c r="AJ66" s="147" t="n">
        <v>4</v>
      </c>
    </row>
    <row r="67">
      <c r="A67" s="265" t="inlineStr">
        <is>
          <t>HMSI</t>
        </is>
      </c>
      <c r="B67" s="147" t="inlineStr">
        <is>
          <t>BADVE</t>
        </is>
      </c>
      <c r="C67" s="153" t="inlineStr">
        <is>
          <t>ERW1</t>
        </is>
      </c>
      <c r="D67" s="147" t="inlineStr">
        <is>
          <t>FIN CUT</t>
        </is>
      </c>
      <c r="E67" s="147" t="inlineStr">
        <is>
          <t>ERW</t>
        </is>
      </c>
      <c r="F67" s="148" t="n">
        <v>57.15</v>
      </c>
      <c r="G67" s="148" t="n"/>
      <c r="H67" s="148" t="n">
        <v>3</v>
      </c>
      <c r="I67" s="147" t="n">
        <v>5650</v>
      </c>
      <c r="J67" s="147" t="n">
        <v>5.65</v>
      </c>
      <c r="K67" s="147">
        <f>COUNTIF(_xlfn.ANCHORARRAY(A$74),M67)</f>
        <v/>
      </c>
      <c r="L67" s="147" t="n"/>
      <c r="M67" s="147">
        <f>_xlfn.CONCAT(F67,H67,J67,E67,D67)</f>
        <v/>
      </c>
      <c r="N67" s="147" t="inlineStr">
        <is>
          <t>57.15-0-3-ERW 1-FC</t>
        </is>
      </c>
      <c r="O67" s="147" t="inlineStr">
        <is>
          <t>57.15-0-3-ERW 1-FC-5.65</t>
        </is>
      </c>
      <c r="P67" s="147" t="n"/>
      <c r="Q67" s="147">
        <f>VLOOKUP(aug[[#This Row],[Key]],Table2527[[#All],[ ]:[TSL Material Code]],4,0)</f>
        <v/>
      </c>
      <c r="R67" s="147">
        <f>VLOOKUP(aug[[#This Row],[Key]],Table2527[[#All],[ ]:[TSL Material Code]],5,0)</f>
        <v/>
      </c>
      <c r="S67" s="147">
        <f>EXACT(aug[[#This Row],[Material code july]],aug[[#This Row],[TSL Material Code]])</f>
        <v/>
      </c>
      <c r="T67" s="151" t="inlineStr">
        <is>
          <t>056</t>
        </is>
      </c>
      <c r="U67" s="150" t="n">
        <v>3501105</v>
      </c>
      <c r="V67" s="19" t="n">
        <v>10</v>
      </c>
      <c r="W67" s="147" t="n">
        <v>0</v>
      </c>
      <c r="X67" s="147" t="n">
        <v>0</v>
      </c>
      <c r="Y67" s="147" t="n"/>
      <c r="Z67" s="147">
        <f>X67-W67</f>
        <v/>
      </c>
      <c r="AA67" s="147" t="n">
        <v>22</v>
      </c>
      <c r="AB67" s="147">
        <f>Z67+AA67</f>
        <v/>
      </c>
      <c r="AC67" s="19">
        <f>V67-AB67</f>
        <v/>
      </c>
      <c r="AD67" s="387">
        <f>IF(AC67&gt;0,AC67,0)</f>
        <v/>
      </c>
      <c r="AE67" s="416">
        <f>SUMIFS(meghsteelsales_previousmonth[Quantity],meghsteelsales_previousmonth[Length Bucket],aug[[#This Row],[Bucket CTL]])/1000</f>
        <v/>
      </c>
      <c r="AF67" s="160">
        <f>SUMIFS(meghsteelsales_currentmonth[Quantity],meghsteelsales_currentmonth[Length Bucket],aug[[#This Row],[Bucket CTL]])/1000</f>
        <v/>
      </c>
      <c r="AG67" s="187">
        <f>aug[[#This Row],[order logg ]]+aug[[#This Row],[ INDENT  FOR AUG-25 recommended]]</f>
        <v/>
      </c>
      <c r="AH67" s="427">
        <f>aug[[#This Row],[Before 20th]]+aug[[#This Row],[ofter 20th]]</f>
        <v/>
      </c>
      <c r="AI67" s="427">
        <f>IF((aug[[#This Row],[Total Indent]]-aug[[#This Row],[Total Delivered]])&lt;0,0,aug[[#This Row],[Total Indent]]-aug[[#This Row],[Total Delivered]])</f>
        <v/>
      </c>
      <c r="AJ67" s="187" t="n"/>
    </row>
    <row r="68">
      <c r="A68" s="389" t="inlineStr">
        <is>
          <t>TVS</t>
        </is>
      </c>
      <c r="B68" s="285" t="inlineStr">
        <is>
          <t>METALMAN</t>
        </is>
      </c>
      <c r="C68" s="390" t="inlineStr">
        <is>
          <t>ERW1</t>
        </is>
      </c>
      <c r="D68" s="285" t="inlineStr">
        <is>
          <t>FIN CUT</t>
        </is>
      </c>
      <c r="E68" s="285" t="inlineStr">
        <is>
          <t>ERW</t>
        </is>
      </c>
      <c r="F68" s="391" t="n">
        <v>60.3</v>
      </c>
      <c r="G68" s="391" t="n"/>
      <c r="H68" s="391" t="n">
        <v>2</v>
      </c>
      <c r="I68" s="285" t="n">
        <v>5900</v>
      </c>
      <c r="J68" s="285" t="n">
        <v>5.9</v>
      </c>
      <c r="K68" s="285">
        <f>COUNTIF(_xlfn.ANCHORARRAY(A$74),M68)</f>
        <v/>
      </c>
      <c r="L68" s="285" t="n"/>
      <c r="M68" s="285">
        <f>_xlfn.CONCAT(F68,H68,J68,E68,D68)</f>
        <v/>
      </c>
      <c r="N68" s="147">
        <f>VLOOKUP(aug[[#This Row],[Key]],Table2527[[#All],[ ]:[Bucket CTL]],2,0)</f>
        <v/>
      </c>
      <c r="O68" s="147">
        <f>VLOOKUP(aug[[#This Row],[Key]],Table2527[[#All],[ ]:[Bucket CTL]],3,0)</f>
        <v/>
      </c>
      <c r="P68" s="147" t="inlineStr">
        <is>
          <t>Value Added</t>
        </is>
      </c>
      <c r="Q68" s="147">
        <f>VLOOKUP(aug[[#This Row],[Key]],Table2527[[#All],[ ]:[TSL Material Code]],4,0)</f>
        <v/>
      </c>
      <c r="R68" s="147">
        <f>VLOOKUP(aug[[#This Row],[Key]],Table2527[[#All],[ ]:[TSL Material Code]],5,0)</f>
        <v/>
      </c>
      <c r="S68" s="147">
        <f>EXACT(aug[[#This Row],[Material code july]],aug[[#This Row],[TSL Material Code]])</f>
        <v/>
      </c>
      <c r="T68" s="151" t="inlineStr">
        <is>
          <t>0788</t>
        </is>
      </c>
      <c r="U68" s="147">
        <f>VLOOKUP(aug[[#This Row],[Key]],Table2527[[#All],[ ]:[TSL Material Code]],5,0)</f>
        <v/>
      </c>
      <c r="V68" s="392" t="n">
        <v>30</v>
      </c>
      <c r="W68" s="285" t="n">
        <v>7</v>
      </c>
      <c r="X68" s="285" t="n">
        <v>37</v>
      </c>
      <c r="Y68" s="285" t="n"/>
      <c r="Z68" s="285">
        <f>X68-W68</f>
        <v/>
      </c>
      <c r="AA68" s="285" t="n">
        <v>0</v>
      </c>
      <c r="AB68" s="285">
        <f>Z68+AA68</f>
        <v/>
      </c>
      <c r="AC68" s="392">
        <f>V68-AB68</f>
        <v/>
      </c>
      <c r="AD68" s="393">
        <f>IF(AC68&gt;0,AC68,0)</f>
        <v/>
      </c>
      <c r="AE68" s="417">
        <f>SUMIFS(meghsteelsales_previousmonth[Quantity],meghsteelsales_previousmonth[Length Bucket],aug[[#This Row],[Bucket CTL]])/1000</f>
        <v/>
      </c>
      <c r="AF68" s="160">
        <f>SUMIFS(meghsteelsales_currentmonth[Quantity],meghsteelsales_currentmonth[Length Bucket],aug[[#This Row],[Bucket CTL]])/1000</f>
        <v/>
      </c>
      <c r="AG68" s="147">
        <f>aug[[#This Row],[order logg ]]+aug[[#This Row],[ INDENT  FOR AUG-25 recommended]]</f>
        <v/>
      </c>
      <c r="AH68" s="416">
        <f>aug[[#This Row],[Before 20th]]+aug[[#This Row],[ofter 20th]]</f>
        <v/>
      </c>
      <c r="AI68" s="416">
        <f>IF((aug[[#This Row],[Total Indent]]-aug[[#This Row],[Total Delivered]])&lt;0,0,aug[[#This Row],[Total Indent]]-aug[[#This Row],[Total Delivered]])</f>
        <v/>
      </c>
      <c r="AJ68" s="147" t="n">
        <v>30</v>
      </c>
    </row>
    <row r="69">
      <c r="I69" s="152" t="inlineStr">
        <is>
          <t>TOTAL</t>
        </is>
      </c>
      <c r="J69" s="152" t="n"/>
      <c r="K69" s="147" t="n"/>
      <c r="L69" s="147" t="n"/>
      <c r="M69" s="152" t="n"/>
      <c r="N69" s="152" t="n"/>
      <c r="O69" s="152" t="n"/>
      <c r="P69" s="152" t="n"/>
      <c r="Q69" s="152" t="n"/>
      <c r="R69" s="152" t="n"/>
      <c r="S69" s="197" t="n"/>
      <c r="T69" s="152">
        <f>SUM(V2:V68)</f>
        <v/>
      </c>
      <c r="U69" s="152">
        <f>SUM(W2:W68)</f>
        <v/>
      </c>
      <c r="V69" s="152">
        <f>SUM(X2:X68)</f>
        <v/>
      </c>
      <c r="W69" s="152">
        <f>SUM(Y2:Y68)</f>
        <v/>
      </c>
      <c r="X69" s="152">
        <f>SUM(Z2:Z68)</f>
        <v/>
      </c>
      <c r="Y69" s="152">
        <f>SUM(AA2:AA68)</f>
        <v/>
      </c>
      <c r="Z69" s="152">
        <f>SUM(AB2:AB68)</f>
        <v/>
      </c>
      <c r="AA69" s="152">
        <f>SUM(AC2:AC68)</f>
        <v/>
      </c>
      <c r="AB69" s="172">
        <f>SUM(AD2:AD68)</f>
        <v/>
      </c>
      <c r="AC69" s="15">
        <f>SUM(AE2:AE68)</f>
        <v/>
      </c>
      <c r="AD69" s="15">
        <f>SUM(AF2:AF68)</f>
        <v/>
      </c>
      <c r="AE69" s="15">
        <f>SUM(AE2:AE68)</f>
        <v/>
      </c>
      <c r="AF69" s="15">
        <f>SUM(AF2:AF68)</f>
        <v/>
      </c>
      <c r="AG69" s="446">
        <f>SUBTOTAL(9,AG2:AG68)</f>
        <v/>
      </c>
      <c r="AH69" s="446">
        <f>SUBTOTAL(9,AH2:AH68)</f>
        <v/>
      </c>
      <c r="AI69" s="446">
        <f>SUBTOTAL(9,AI2:AI68)</f>
        <v/>
      </c>
      <c r="AP69" t="n">
        <v>620</v>
      </c>
    </row>
    <row r="70">
      <c r="S70" s="198" t="n"/>
      <c r="AB70" s="173" t="n"/>
      <c r="AP70" t="n">
        <v>650</v>
      </c>
      <c r="AQ70">
        <f>AP71/AP69</f>
        <v/>
      </c>
      <c r="AR70">
        <f>9*(AP69+3)</f>
        <v/>
      </c>
      <c r="AS70">
        <f>AP71-AR70</f>
        <v/>
      </c>
    </row>
    <row r="71">
      <c r="S71" s="198" t="n"/>
      <c r="AB71" s="173" t="n"/>
      <c r="AP71" t="n">
        <v>6000</v>
      </c>
      <c r="AQ71">
        <f>AP71/AP70</f>
        <v/>
      </c>
      <c r="AR71">
        <f>9*(AP70+3)</f>
        <v/>
      </c>
      <c r="AS71">
        <f>AP71-AR71</f>
        <v/>
      </c>
    </row>
    <row r="72">
      <c r="S72" s="198" t="n"/>
      <c r="AB72" s="173" t="n"/>
    </row>
    <row r="73">
      <c r="A73" t="inlineStr">
        <is>
          <t>New material in Aug indent</t>
        </is>
      </c>
      <c r="C73" t="inlineStr">
        <is>
          <t>Mateiral removed in Aug vs July</t>
        </is>
      </c>
      <c r="S73" s="198" t="n"/>
      <c r="AB73" s="173" t="n"/>
    </row>
    <row r="74">
      <c r="A74">
        <f t="array" ref="A74">_xlfn._xlws.FILTER($M$2:$M$68,ISNA(_xlfn.XMATCH($M$2:$M$68,Table2527[[ ]])))</f>
        <v/>
      </c>
      <c r="C74">
        <f t="array" ref="C74:C79">_xlfn._xlws.FILTER(Table2527[[ ]],ISNA(_xlfn.XMATCH(Table2527[[ ]],'Aug Indent'!$M$2:$M$68)))</f>
        <v/>
      </c>
      <c r="S74" s="198" t="n"/>
      <c r="AB74" s="173" t="n"/>
    </row>
    <row r="75">
      <c r="C75" t="inlineStr">
        <is>
          <t>31.752.36ERWFIN CUT</t>
        </is>
      </c>
      <c r="S75" s="198" t="n"/>
      <c r="AB75" s="173" t="n"/>
    </row>
    <row r="76">
      <c r="C76" t="inlineStr">
        <is>
          <t>40x251.65.88ERWFIN CUT</t>
        </is>
      </c>
      <c r="S76" s="198" t="n"/>
      <c r="AB76" s="173" t="n"/>
    </row>
    <row r="77">
      <c r="C77" t="inlineStr">
        <is>
          <t>38.125.95ERWFIN CUT</t>
        </is>
      </c>
      <c r="S77" s="198" t="n"/>
      <c r="AB77" s="173" t="n"/>
    </row>
    <row r="78">
      <c r="C78" t="inlineStr">
        <is>
          <t>57.152.5ERWFIN CUT</t>
        </is>
      </c>
      <c r="S78" s="198" t="n"/>
      <c r="AB78" s="173" t="n"/>
    </row>
    <row r="79">
      <c r="C79" t="inlineStr">
        <is>
          <t>57.152.55.75ERWFIN CUT</t>
        </is>
      </c>
      <c r="S79" s="198" t="n"/>
      <c r="AB79" s="173" t="n"/>
    </row>
    <row r="80">
      <c r="A80" s="42" t="inlineStr">
        <is>
          <t>plant july</t>
        </is>
      </c>
      <c r="B80" t="inlineStr">
        <is>
          <t>(All)</t>
        </is>
      </c>
      <c r="S80" s="198" t="n"/>
      <c r="AB80" s="173" t="n"/>
    </row>
    <row r="81">
      <c r="S81" s="198" t="n"/>
      <c r="AB81" s="173" t="n"/>
    </row>
    <row r="82">
      <c r="A82" s="42" t="inlineStr">
        <is>
          <t>plant</t>
        </is>
      </c>
      <c r="B82" s="42" t="inlineStr">
        <is>
          <t>OEM</t>
        </is>
      </c>
      <c r="C82" s="42" t="inlineStr">
        <is>
          <t>OD</t>
        </is>
      </c>
      <c r="D82" s="42" t="inlineStr">
        <is>
          <t>THK</t>
        </is>
      </c>
      <c r="E82" s="42" t="inlineStr">
        <is>
          <t>LENGTH</t>
        </is>
      </c>
      <c r="F82" s="42" t="inlineStr">
        <is>
          <t>Length in Mtrs</t>
        </is>
      </c>
      <c r="G82" s="42" t="inlineStr">
        <is>
          <t>TSL Material Code</t>
        </is>
      </c>
      <c r="H82" t="inlineStr">
        <is>
          <t>Sum of  INDENT  FOR AUG-25 recommended</t>
        </is>
      </c>
      <c r="S82" s="198" t="n"/>
      <c r="AB82" s="173" t="n"/>
    </row>
    <row r="83">
      <c r="A83" t="inlineStr">
        <is>
          <t>056</t>
        </is>
      </c>
      <c r="B83" t="inlineStr">
        <is>
          <t>HMSI</t>
        </is>
      </c>
      <c r="C83" t="n">
        <v>19.05</v>
      </c>
      <c r="D83" s="43" t="n">
        <v>1.4</v>
      </c>
      <c r="E83" t="n">
        <v>6000</v>
      </c>
      <c r="F83" t="n">
        <v>6</v>
      </c>
      <c r="G83" t="n">
        <v>3891285</v>
      </c>
      <c r="H83" t="n">
        <v>0</v>
      </c>
      <c r="S83" s="198" t="n"/>
      <c r="AB83" s="173" t="n"/>
    </row>
    <row r="84">
      <c r="A84" t="inlineStr">
        <is>
          <t>056</t>
        </is>
      </c>
      <c r="B84" t="inlineStr">
        <is>
          <t>HMSI</t>
        </is>
      </c>
      <c r="C84" t="n">
        <v>19.05</v>
      </c>
      <c r="D84" s="43" t="n">
        <v>1.6</v>
      </c>
      <c r="E84" t="n">
        <v>6000</v>
      </c>
      <c r="F84" t="n">
        <v>6</v>
      </c>
      <c r="G84" t="n">
        <v>3498997</v>
      </c>
      <c r="H84" t="n">
        <v>4.6</v>
      </c>
      <c r="S84" s="198" t="n"/>
      <c r="AB84" s="173" t="n"/>
    </row>
    <row r="85">
      <c r="A85" t="inlineStr">
        <is>
          <t>056</t>
        </is>
      </c>
      <c r="B85" t="inlineStr">
        <is>
          <t>HMSI</t>
        </is>
      </c>
      <c r="C85" t="n">
        <v>22.2</v>
      </c>
      <c r="D85" s="43" t="n">
        <v>1.4</v>
      </c>
      <c r="E85" t="n">
        <v>6000</v>
      </c>
      <c r="F85" t="n">
        <v>6</v>
      </c>
      <c r="G85" t="n">
        <v>3829175</v>
      </c>
      <c r="H85" t="n">
        <v>0</v>
      </c>
      <c r="S85" s="198" t="n"/>
      <c r="AB85" s="173" t="n"/>
    </row>
    <row r="86">
      <c r="A86" t="inlineStr">
        <is>
          <t>056</t>
        </is>
      </c>
      <c r="B86" t="inlineStr">
        <is>
          <t>HMSI</t>
        </is>
      </c>
      <c r="C86" t="n">
        <v>25.4</v>
      </c>
      <c r="D86" s="43" t="n">
        <v>1.4</v>
      </c>
      <c r="E86" t="n">
        <v>5531</v>
      </c>
      <c r="F86" t="n">
        <v>5.531</v>
      </c>
      <c r="G86" t="n">
        <v>3501900</v>
      </c>
      <c r="H86" t="n">
        <v>5.5</v>
      </c>
      <c r="S86" s="198" t="n"/>
      <c r="AB86" s="173" t="n"/>
    </row>
    <row r="87">
      <c r="A87" t="inlineStr">
        <is>
          <t>056</t>
        </is>
      </c>
      <c r="B87" t="inlineStr">
        <is>
          <t>HMSI</t>
        </is>
      </c>
      <c r="C87" t="n">
        <v>41.28</v>
      </c>
      <c r="D87" s="43" t="n">
        <v>3.15</v>
      </c>
      <c r="E87" t="n">
        <v>5860</v>
      </c>
      <c r="F87" t="n">
        <v>5.86</v>
      </c>
      <c r="G87" t="n">
        <v>3673889</v>
      </c>
      <c r="H87" t="n">
        <v>0</v>
      </c>
      <c r="S87" s="198" t="n"/>
      <c r="AB87" s="173" t="n"/>
    </row>
    <row r="88">
      <c r="A88" t="inlineStr">
        <is>
          <t>056</t>
        </is>
      </c>
      <c r="B88" t="inlineStr">
        <is>
          <t>HMSI</t>
        </is>
      </c>
      <c r="C88" t="n">
        <v>45</v>
      </c>
      <c r="D88" s="43" t="n">
        <v>1.4</v>
      </c>
      <c r="E88" t="n">
        <v>5700</v>
      </c>
      <c r="F88" t="n">
        <v>5.7</v>
      </c>
      <c r="G88" t="n">
        <v>3545558</v>
      </c>
      <c r="H88" t="n">
        <v>0</v>
      </c>
      <c r="S88" s="198" t="n"/>
      <c r="AB88" s="173" t="n"/>
    </row>
    <row r="89">
      <c r="A89" t="inlineStr">
        <is>
          <t>056</t>
        </is>
      </c>
      <c r="B89" t="inlineStr">
        <is>
          <t>HMSI</t>
        </is>
      </c>
      <c r="C89" t="n">
        <v>48.6</v>
      </c>
      <c r="D89" s="43" t="n">
        <v>2</v>
      </c>
      <c r="E89" t="n">
        <v>6270</v>
      </c>
      <c r="F89" t="n">
        <v>6.27</v>
      </c>
      <c r="G89" t="n">
        <v>3502301</v>
      </c>
      <c r="H89" t="n">
        <v>0</v>
      </c>
      <c r="S89" s="198" t="n"/>
      <c r="AB89" s="173" t="n"/>
    </row>
    <row r="90">
      <c r="A90" t="inlineStr">
        <is>
          <t>056</t>
        </is>
      </c>
      <c r="B90" t="inlineStr">
        <is>
          <t>HMSI</t>
        </is>
      </c>
      <c r="C90" t="n">
        <v>48.6</v>
      </c>
      <c r="D90" s="43" t="n">
        <v>2.3</v>
      </c>
      <c r="E90" t="n">
        <v>6270</v>
      </c>
      <c r="F90" t="n">
        <v>6.27</v>
      </c>
      <c r="G90" t="n">
        <v>3549720</v>
      </c>
      <c r="H90" t="n">
        <v>9</v>
      </c>
      <c r="S90" s="198" t="n"/>
      <c r="AB90" s="173" t="n"/>
    </row>
    <row r="91">
      <c r="A91" t="inlineStr">
        <is>
          <t>056</t>
        </is>
      </c>
      <c r="B91" t="inlineStr">
        <is>
          <t>HMSI</t>
        </is>
      </c>
      <c r="C91" t="n">
        <v>57.15</v>
      </c>
      <c r="D91" s="43" t="n">
        <v>3</v>
      </c>
      <c r="E91" t="n">
        <v>5650</v>
      </c>
      <c r="F91" t="n">
        <v>5.65</v>
      </c>
      <c r="G91" t="n">
        <v>3501105</v>
      </c>
      <c r="H91" t="n">
        <v>0</v>
      </c>
      <c r="S91" s="198" t="n"/>
      <c r="AB91" s="173" t="n"/>
    </row>
    <row r="92">
      <c r="A92" t="inlineStr">
        <is>
          <t>056</t>
        </is>
      </c>
      <c r="B92" t="inlineStr">
        <is>
          <t>RE</t>
        </is>
      </c>
      <c r="C92" t="n">
        <v>50.8</v>
      </c>
      <c r="D92" s="43" t="n">
        <v>2.6</v>
      </c>
      <c r="E92" t="n">
        <v>6000</v>
      </c>
      <c r="F92" t="n">
        <v>6</v>
      </c>
      <c r="G92" t="n">
        <v>3518437</v>
      </c>
      <c r="H92" t="n">
        <v>5</v>
      </c>
      <c r="S92" s="198" t="n"/>
      <c r="AB92" s="173" t="n"/>
    </row>
    <row r="93">
      <c r="A93" t="inlineStr">
        <is>
          <t>056</t>
        </is>
      </c>
      <c r="B93" t="inlineStr">
        <is>
          <t>RE</t>
        </is>
      </c>
      <c r="C93" t="n">
        <v>50.8</v>
      </c>
      <c r="D93" s="43" t="n">
        <v>2.6</v>
      </c>
      <c r="E93" t="n">
        <v>6000</v>
      </c>
      <c r="F93" t="n">
        <v>6</v>
      </c>
      <c r="G93" t="n">
        <v>3500695</v>
      </c>
      <c r="H93" t="n">
        <v>5</v>
      </c>
      <c r="S93" s="198" t="n"/>
      <c r="AB93" s="173" t="n"/>
    </row>
    <row r="94">
      <c r="A94" t="inlineStr">
        <is>
          <t>056</t>
        </is>
      </c>
      <c r="B94" t="inlineStr">
        <is>
          <t>RE</t>
        </is>
      </c>
      <c r="C94" t="inlineStr">
        <is>
          <t>50X50</t>
        </is>
      </c>
      <c r="D94" s="43" t="n">
        <v>1.6</v>
      </c>
      <c r="E94" t="n">
        <v>6040</v>
      </c>
      <c r="F94" t="n">
        <v>6.04</v>
      </c>
      <c r="G94" t="n">
        <v>3751498</v>
      </c>
      <c r="H94" t="n">
        <v>10</v>
      </c>
      <c r="S94" s="198" t="n"/>
      <c r="AB94" s="173" t="n"/>
    </row>
    <row r="95">
      <c r="A95" t="inlineStr">
        <is>
          <t>056</t>
        </is>
      </c>
      <c r="B95" t="inlineStr">
        <is>
          <t>TVS</t>
        </is>
      </c>
      <c r="C95" t="n">
        <v>19.05</v>
      </c>
      <c r="D95" s="43" t="n">
        <v>2</v>
      </c>
      <c r="E95" t="n">
        <v>5800</v>
      </c>
      <c r="F95" t="n">
        <v>5.8</v>
      </c>
      <c r="G95" t="n">
        <v>3212868</v>
      </c>
      <c r="H95" t="n">
        <v>0</v>
      </c>
    </row>
    <row r="96">
      <c r="A96" t="inlineStr">
        <is>
          <t>056</t>
        </is>
      </c>
      <c r="B96" t="inlineStr">
        <is>
          <t>TVS</t>
        </is>
      </c>
      <c r="C96" t="n">
        <v>19.05</v>
      </c>
      <c r="D96" s="43" t="n">
        <v>2.3</v>
      </c>
      <c r="E96" t="n">
        <v>7000</v>
      </c>
      <c r="F96" t="n">
        <v>7</v>
      </c>
      <c r="G96" t="n">
        <v>3500582</v>
      </c>
      <c r="H96" t="n">
        <v>0</v>
      </c>
    </row>
    <row r="97">
      <c r="A97" t="inlineStr">
        <is>
          <t>056</t>
        </is>
      </c>
      <c r="B97" t="inlineStr">
        <is>
          <t>TVS</t>
        </is>
      </c>
      <c r="C97" t="n">
        <v>22.2</v>
      </c>
      <c r="D97" s="43" t="n">
        <v>1.2</v>
      </c>
      <c r="E97" t="n">
        <v>5870</v>
      </c>
      <c r="F97" t="n">
        <v>5.87</v>
      </c>
      <c r="G97" t="n">
        <v>3882110</v>
      </c>
      <c r="H97" t="n">
        <v>0</v>
      </c>
    </row>
    <row r="98">
      <c r="A98" t="inlineStr">
        <is>
          <t>056</t>
        </is>
      </c>
      <c r="B98" t="inlineStr">
        <is>
          <t>TVS</t>
        </is>
      </c>
      <c r="C98" t="n">
        <v>22.2</v>
      </c>
      <c r="D98" s="43" t="n">
        <v>1.6</v>
      </c>
      <c r="E98" t="n">
        <v>5670</v>
      </c>
      <c r="F98" t="n">
        <v>5.67</v>
      </c>
      <c r="G98" t="n">
        <v>4055022</v>
      </c>
      <c r="H98" t="n">
        <v>0</v>
      </c>
    </row>
    <row r="99">
      <c r="A99" t="inlineStr">
        <is>
          <t>056</t>
        </is>
      </c>
      <c r="B99" t="inlineStr">
        <is>
          <t>TVS</t>
        </is>
      </c>
      <c r="C99" t="n">
        <v>22.2</v>
      </c>
      <c r="D99" s="43" t="n">
        <v>2</v>
      </c>
      <c r="E99" t="n">
        <v>5100</v>
      </c>
      <c r="F99" t="n">
        <v>5.1</v>
      </c>
      <c r="G99" t="n">
        <v>3500554</v>
      </c>
      <c r="H99" t="n">
        <v>17.4</v>
      </c>
    </row>
    <row r="100">
      <c r="A100" t="inlineStr">
        <is>
          <t>056</t>
        </is>
      </c>
      <c r="B100" t="inlineStr">
        <is>
          <t>TVS</t>
        </is>
      </c>
      <c r="C100" t="n">
        <v>22.2</v>
      </c>
      <c r="D100" s="43" t="n">
        <v>2</v>
      </c>
      <c r="E100" t="n">
        <v>5950</v>
      </c>
      <c r="F100" t="n">
        <v>5.95</v>
      </c>
      <c r="G100" t="n">
        <v>3905466</v>
      </c>
      <c r="H100" t="n">
        <v>56.3</v>
      </c>
    </row>
    <row r="101">
      <c r="A101" t="inlineStr">
        <is>
          <t>056</t>
        </is>
      </c>
      <c r="B101" t="inlineStr">
        <is>
          <t>TVS</t>
        </is>
      </c>
      <c r="C101" t="n">
        <v>22.2</v>
      </c>
      <c r="D101" s="43" t="n">
        <v>2</v>
      </c>
      <c r="E101" t="n">
        <v>6000</v>
      </c>
      <c r="F101" t="n">
        <v>6000</v>
      </c>
      <c r="G101" t="n">
        <v>3502494</v>
      </c>
      <c r="H101" t="n">
        <v>30</v>
      </c>
    </row>
    <row r="102">
      <c r="A102" t="inlineStr">
        <is>
          <t>056</t>
        </is>
      </c>
      <c r="B102" t="inlineStr">
        <is>
          <t>TVS</t>
        </is>
      </c>
      <c r="C102" t="n">
        <v>25.4</v>
      </c>
      <c r="D102" s="43" t="n">
        <v>1.6</v>
      </c>
      <c r="E102" t="n">
        <v>6000</v>
      </c>
      <c r="F102" t="n">
        <v>6</v>
      </c>
      <c r="G102" t="n">
        <v>3500097</v>
      </c>
      <c r="H102" t="n">
        <v>0</v>
      </c>
    </row>
    <row r="103">
      <c r="A103" t="inlineStr">
        <is>
          <t>056</t>
        </is>
      </c>
      <c r="B103" t="inlineStr">
        <is>
          <t>TVS</t>
        </is>
      </c>
      <c r="C103" t="n">
        <v>25.4</v>
      </c>
      <c r="D103" s="43" t="n">
        <v>2</v>
      </c>
      <c r="E103" t="n">
        <v>5840</v>
      </c>
      <c r="F103" t="n">
        <v>5.82</v>
      </c>
      <c r="G103" t="n">
        <v>3240023</v>
      </c>
      <c r="H103" t="n">
        <v>17.2</v>
      </c>
    </row>
    <row r="104">
      <c r="A104" t="inlineStr">
        <is>
          <t>056</t>
        </is>
      </c>
      <c r="B104" t="inlineStr">
        <is>
          <t>TVS</t>
        </is>
      </c>
      <c r="C104" t="n">
        <v>25.4</v>
      </c>
      <c r="D104" s="43" t="n">
        <v>2.5</v>
      </c>
      <c r="E104" t="n">
        <v>5530</v>
      </c>
      <c r="F104" t="n">
        <v>5.53</v>
      </c>
      <c r="G104" t="n">
        <v>3502256</v>
      </c>
      <c r="H104" t="n">
        <v>18</v>
      </c>
    </row>
    <row r="105">
      <c r="A105" t="inlineStr">
        <is>
          <t>056</t>
        </is>
      </c>
      <c r="B105" t="inlineStr">
        <is>
          <t>TVS</t>
        </is>
      </c>
      <c r="C105" t="n">
        <v>31.75</v>
      </c>
      <c r="D105" s="43" t="n">
        <v>1.2</v>
      </c>
      <c r="E105" t="n">
        <v>6000</v>
      </c>
      <c r="F105" t="n">
        <v>6</v>
      </c>
      <c r="G105" t="n">
        <v>3884381</v>
      </c>
      <c r="H105" t="n">
        <v>0</v>
      </c>
    </row>
    <row r="106">
      <c r="A106" t="inlineStr">
        <is>
          <t>056</t>
        </is>
      </c>
      <c r="B106" t="inlineStr">
        <is>
          <t>TVS</t>
        </is>
      </c>
      <c r="C106" t="n">
        <v>38.1</v>
      </c>
      <c r="D106" s="43" t="n">
        <v>1.6</v>
      </c>
      <c r="E106" t="n">
        <v>6190</v>
      </c>
      <c r="F106" t="n">
        <v>6.19</v>
      </c>
      <c r="G106" t="n">
        <v>3502254</v>
      </c>
      <c r="H106" t="n">
        <v>0</v>
      </c>
    </row>
    <row r="107">
      <c r="A107" t="inlineStr">
        <is>
          <t>056</t>
        </is>
      </c>
      <c r="B107" t="inlineStr">
        <is>
          <t>TVS</t>
        </is>
      </c>
      <c r="C107" t="n">
        <v>38.1</v>
      </c>
      <c r="D107" s="43" t="n">
        <v>2</v>
      </c>
      <c r="E107" t="n">
        <v>5650</v>
      </c>
      <c r="F107" t="n">
        <v>5.65</v>
      </c>
      <c r="G107" t="n">
        <v>3500959</v>
      </c>
      <c r="H107" t="n">
        <v>12</v>
      </c>
    </row>
    <row r="108">
      <c r="A108" t="inlineStr">
        <is>
          <t>056</t>
        </is>
      </c>
      <c r="B108" t="inlineStr">
        <is>
          <t>TVS</t>
        </is>
      </c>
      <c r="C108" t="n">
        <v>38.1</v>
      </c>
      <c r="D108" s="43" t="n">
        <v>2.5</v>
      </c>
      <c r="E108" t="n">
        <v>6190</v>
      </c>
      <c r="F108" t="n">
        <v>6.19</v>
      </c>
      <c r="G108" t="n">
        <v>3502007</v>
      </c>
      <c r="H108" t="n">
        <v>0</v>
      </c>
    </row>
    <row r="109">
      <c r="A109" t="inlineStr">
        <is>
          <t>056</t>
        </is>
      </c>
      <c r="B109" t="inlineStr">
        <is>
          <t>TVS</t>
        </is>
      </c>
      <c r="C109" t="n">
        <v>57.15</v>
      </c>
      <c r="D109" s="43" t="n">
        <v>2.5</v>
      </c>
      <c r="E109" t="n">
        <v>5710</v>
      </c>
      <c r="F109" t="n">
        <v>5.71</v>
      </c>
      <c r="G109" t="n">
        <v>3907863</v>
      </c>
      <c r="H109" t="n">
        <v>71.09999999999999</v>
      </c>
    </row>
    <row r="110">
      <c r="A110" t="inlineStr">
        <is>
          <t>056</t>
        </is>
      </c>
      <c r="B110" t="inlineStr">
        <is>
          <t>TVS</t>
        </is>
      </c>
      <c r="C110" t="n">
        <v>57.15</v>
      </c>
      <c r="D110" s="43" t="n">
        <v>2.5</v>
      </c>
      <c r="E110" t="n">
        <v>5950</v>
      </c>
      <c r="F110" t="n">
        <v>5.95</v>
      </c>
      <c r="G110" t="n">
        <v>4054700</v>
      </c>
      <c r="H110" t="n">
        <v>0</v>
      </c>
    </row>
    <row r="111">
      <c r="A111" t="inlineStr">
        <is>
          <t>056</t>
        </is>
      </c>
      <c r="B111" t="inlineStr">
        <is>
          <t>TVS</t>
        </is>
      </c>
      <c r="C111" t="n">
        <v>57.15</v>
      </c>
      <c r="D111" s="43" t="n">
        <v>2.5</v>
      </c>
      <c r="E111" t="n">
        <v>6100</v>
      </c>
      <c r="F111" t="n">
        <v>6.1</v>
      </c>
      <c r="G111" t="n">
        <v>3910001</v>
      </c>
      <c r="H111" t="n">
        <v>73.7</v>
      </c>
    </row>
    <row r="112">
      <c r="A112" t="inlineStr">
        <is>
          <t>0788</t>
        </is>
      </c>
      <c r="B112" t="inlineStr">
        <is>
          <t>HMSI</t>
        </is>
      </c>
      <c r="C112" t="n">
        <v>34</v>
      </c>
      <c r="D112" s="43" t="n">
        <v>1.4</v>
      </c>
      <c r="E112" t="n">
        <v>5660</v>
      </c>
      <c r="F112" t="n">
        <v>5.66</v>
      </c>
      <c r="G112" t="n">
        <v>3702855</v>
      </c>
      <c r="H112" t="n">
        <v>3</v>
      </c>
    </row>
    <row r="113">
      <c r="A113" t="inlineStr">
        <is>
          <t>0788</t>
        </is>
      </c>
      <c r="B113" t="inlineStr">
        <is>
          <t>RE</t>
        </is>
      </c>
      <c r="C113" t="n">
        <v>38.1</v>
      </c>
      <c r="D113" s="43" t="n">
        <v>2.6</v>
      </c>
      <c r="E113" t="n">
        <v>6000</v>
      </c>
      <c r="F113" t="n">
        <v>6</v>
      </c>
      <c r="G113" t="n">
        <v>3500699</v>
      </c>
      <c r="H113" t="n">
        <v>5</v>
      </c>
    </row>
    <row r="114">
      <c r="A114" t="inlineStr">
        <is>
          <t>0788</t>
        </is>
      </c>
      <c r="B114" t="inlineStr">
        <is>
          <t>RE</t>
        </is>
      </c>
      <c r="C114" t="n">
        <v>47.63</v>
      </c>
      <c r="D114" s="43" t="n">
        <v>4</v>
      </c>
      <c r="E114" t="n">
        <v>6040</v>
      </c>
      <c r="F114" t="n">
        <v>6.04</v>
      </c>
      <c r="G114" t="n">
        <v>3500635</v>
      </c>
      <c r="H114" t="n">
        <v>7</v>
      </c>
    </row>
    <row r="115">
      <c r="A115" t="inlineStr">
        <is>
          <t>0788</t>
        </is>
      </c>
      <c r="B115" t="inlineStr">
        <is>
          <t>TVS</t>
        </is>
      </c>
      <c r="C115" t="n">
        <v>11</v>
      </c>
      <c r="D115" s="43" t="n">
        <v>1.5</v>
      </c>
      <c r="E115" t="n">
        <v>6000</v>
      </c>
      <c r="F115" t="n">
        <v>6</v>
      </c>
      <c r="G115" t="n">
        <v>2442390</v>
      </c>
      <c r="H115" t="n">
        <v>1</v>
      </c>
    </row>
    <row r="116">
      <c r="A116" t="inlineStr">
        <is>
          <t>0788</t>
        </is>
      </c>
      <c r="B116" t="inlineStr">
        <is>
          <t>TVS</t>
        </is>
      </c>
      <c r="C116" t="n">
        <v>28.6</v>
      </c>
      <c r="D116" s="43" t="n">
        <v>2.65</v>
      </c>
      <c r="E116" t="n">
        <v>6000</v>
      </c>
      <c r="F116" t="n">
        <v>6</v>
      </c>
      <c r="G116" t="n">
        <v>2410388</v>
      </c>
      <c r="H116" t="n">
        <v>0</v>
      </c>
    </row>
    <row r="117">
      <c r="A117" t="inlineStr">
        <is>
          <t>0788</t>
        </is>
      </c>
      <c r="B117" t="inlineStr">
        <is>
          <t>TVS</t>
        </is>
      </c>
      <c r="C117" t="n">
        <v>42.7</v>
      </c>
      <c r="D117" s="43" t="n">
        <v>3.5</v>
      </c>
      <c r="E117" t="n">
        <v>6000</v>
      </c>
      <c r="F117" t="n">
        <v>6</v>
      </c>
      <c r="G117" t="n">
        <v>2396465</v>
      </c>
      <c r="H117" t="n">
        <v>0</v>
      </c>
    </row>
    <row r="118">
      <c r="A118" t="inlineStr">
        <is>
          <t>0788</t>
        </is>
      </c>
      <c r="B118" t="inlineStr">
        <is>
          <t>TVS</t>
        </is>
      </c>
      <c r="C118" t="n">
        <v>42.7</v>
      </c>
      <c r="D118" s="43" t="n">
        <v>4</v>
      </c>
      <c r="E118" t="n">
        <v>6000</v>
      </c>
      <c r="F118" t="n">
        <v>6</v>
      </c>
      <c r="G118" t="n">
        <v>3501985</v>
      </c>
      <c r="H118" t="n">
        <v>10</v>
      </c>
    </row>
    <row r="119">
      <c r="A119" t="inlineStr">
        <is>
          <t>0788</t>
        </is>
      </c>
      <c r="B119" t="inlineStr">
        <is>
          <t>TVS</t>
        </is>
      </c>
      <c r="C119" t="n">
        <v>60.3</v>
      </c>
      <c r="D119" s="43" t="n">
        <v>2</v>
      </c>
      <c r="E119" t="n">
        <v>5900</v>
      </c>
      <c r="F119" t="n">
        <v>5.9</v>
      </c>
      <c r="G119" t="n">
        <v>3905049</v>
      </c>
      <c r="H119" t="n">
        <v>0</v>
      </c>
    </row>
    <row r="120">
      <c r="A120" t="inlineStr">
        <is>
          <t>0789</t>
        </is>
      </c>
      <c r="B120" t="n">
        <v>0</v>
      </c>
      <c r="C120" t="n">
        <v>34.93</v>
      </c>
      <c r="D120" s="43" t="n">
        <v>1.2</v>
      </c>
      <c r="E120" t="n">
        <v>6000</v>
      </c>
      <c r="F120" t="n">
        <v>6</v>
      </c>
      <c r="G120" t="n">
        <v>1940701</v>
      </c>
      <c r="H120" t="n">
        <v>0</v>
      </c>
    </row>
    <row r="121">
      <c r="A121" t="inlineStr">
        <is>
          <t>0789</t>
        </is>
      </c>
      <c r="B121" t="inlineStr">
        <is>
          <t>HMSI</t>
        </is>
      </c>
      <c r="C121" t="n">
        <v>12.7</v>
      </c>
      <c r="D121" s="43" t="n">
        <v>1.4</v>
      </c>
      <c r="E121" t="n">
        <v>6000</v>
      </c>
      <c r="F121" t="n">
        <v>6</v>
      </c>
      <c r="G121" t="n">
        <v>1931117</v>
      </c>
      <c r="H121" t="n">
        <v>0</v>
      </c>
    </row>
    <row r="122">
      <c r="A122" t="inlineStr">
        <is>
          <t>0789</t>
        </is>
      </c>
      <c r="B122" t="inlineStr">
        <is>
          <t>HMSI</t>
        </is>
      </c>
      <c r="C122" t="n">
        <v>12.7</v>
      </c>
      <c r="D122" s="43" t="n">
        <v>1.6</v>
      </c>
      <c r="E122" t="n">
        <v>6000</v>
      </c>
      <c r="F122" t="n">
        <v>6</v>
      </c>
      <c r="G122" t="n">
        <v>1931154</v>
      </c>
      <c r="H122" t="n">
        <v>0</v>
      </c>
    </row>
    <row r="123">
      <c r="A123" t="inlineStr">
        <is>
          <t>0789</t>
        </is>
      </c>
      <c r="B123" t="inlineStr">
        <is>
          <t>HMSI</t>
        </is>
      </c>
      <c r="C123" t="n">
        <v>15.88</v>
      </c>
      <c r="D123" s="43" t="n">
        <v>1</v>
      </c>
      <c r="E123" t="n">
        <v>6000</v>
      </c>
      <c r="F123" t="n">
        <v>6</v>
      </c>
      <c r="G123" t="n">
        <v>1940054</v>
      </c>
      <c r="H123" t="n">
        <v>0</v>
      </c>
    </row>
    <row r="124">
      <c r="A124" t="inlineStr">
        <is>
          <t>0789</t>
        </is>
      </c>
      <c r="B124" t="inlineStr">
        <is>
          <t>HMSI</t>
        </is>
      </c>
      <c r="C124" t="n">
        <v>15.88</v>
      </c>
      <c r="D124" s="43" t="n">
        <v>1.6</v>
      </c>
      <c r="E124" t="n">
        <v>6000</v>
      </c>
      <c r="F124" t="n">
        <v>6</v>
      </c>
      <c r="G124" t="n">
        <v>1900224</v>
      </c>
      <c r="H124" t="n">
        <v>0</v>
      </c>
    </row>
    <row r="125">
      <c r="A125" t="inlineStr">
        <is>
          <t>0789</t>
        </is>
      </c>
      <c r="B125" t="inlineStr">
        <is>
          <t>HMSI</t>
        </is>
      </c>
      <c r="C125" t="n">
        <v>15.88</v>
      </c>
      <c r="D125" s="43" t="n">
        <v>2</v>
      </c>
      <c r="E125" t="n">
        <v>6000</v>
      </c>
      <c r="F125" t="n">
        <v>6</v>
      </c>
      <c r="G125" t="n">
        <v>1940120</v>
      </c>
      <c r="H125" t="n">
        <v>3</v>
      </c>
    </row>
    <row r="126">
      <c r="A126" t="inlineStr">
        <is>
          <t>0789</t>
        </is>
      </c>
      <c r="B126" t="inlineStr">
        <is>
          <t>HMSI</t>
        </is>
      </c>
      <c r="C126" t="n">
        <v>22.2</v>
      </c>
      <c r="D126" s="43" t="n">
        <v>2</v>
      </c>
      <c r="E126" t="n">
        <v>5390</v>
      </c>
      <c r="F126" t="n">
        <v>5.39</v>
      </c>
      <c r="G126" t="n">
        <v>2431251</v>
      </c>
      <c r="H126" t="n">
        <v>53</v>
      </c>
    </row>
    <row r="127">
      <c r="A127" t="inlineStr">
        <is>
          <t>0789</t>
        </is>
      </c>
      <c r="B127" t="inlineStr">
        <is>
          <t>HMSI</t>
        </is>
      </c>
      <c r="C127" t="n">
        <v>25.4</v>
      </c>
      <c r="D127" s="43" t="n">
        <v>1.4</v>
      </c>
      <c r="E127" t="n">
        <v>6060</v>
      </c>
      <c r="F127" t="n">
        <v>6.06</v>
      </c>
      <c r="G127" t="n">
        <v>3557792</v>
      </c>
      <c r="H127" t="n">
        <v>10</v>
      </c>
    </row>
    <row r="128">
      <c r="A128" t="inlineStr">
        <is>
          <t>0789</t>
        </is>
      </c>
      <c r="B128" t="inlineStr">
        <is>
          <t>HMSI</t>
        </is>
      </c>
      <c r="C128" t="n">
        <v>45</v>
      </c>
      <c r="D128" s="43" t="n">
        <v>1.4</v>
      </c>
      <c r="E128" t="n">
        <v>6400</v>
      </c>
      <c r="F128" t="n">
        <v>6.42</v>
      </c>
      <c r="G128" t="n">
        <v>3502343</v>
      </c>
      <c r="H128" t="n">
        <v>0</v>
      </c>
    </row>
    <row r="129">
      <c r="A129" t="inlineStr">
        <is>
          <t>0789</t>
        </is>
      </c>
      <c r="B129" t="inlineStr">
        <is>
          <t>HMSI</t>
        </is>
      </c>
      <c r="C129" t="n">
        <v>45</v>
      </c>
      <c r="D129" s="43" t="n">
        <v>1.6</v>
      </c>
      <c r="E129" t="n">
        <v>6400</v>
      </c>
      <c r="F129" t="n">
        <v>6.42</v>
      </c>
      <c r="G129" t="n">
        <v>3502388</v>
      </c>
      <c r="H129" t="n">
        <v>0</v>
      </c>
    </row>
    <row r="130">
      <c r="A130" t="inlineStr">
        <is>
          <t>0789</t>
        </is>
      </c>
      <c r="B130" t="inlineStr">
        <is>
          <t>HMSI</t>
        </is>
      </c>
      <c r="C130" t="n">
        <v>48.6</v>
      </c>
      <c r="D130" s="43" t="n">
        <v>3.5</v>
      </c>
      <c r="E130" t="n">
        <v>6000</v>
      </c>
      <c r="F130" t="n">
        <v>6</v>
      </c>
      <c r="G130" t="n">
        <v>3502422</v>
      </c>
      <c r="H130" t="n">
        <v>21</v>
      </c>
    </row>
    <row r="131">
      <c r="A131" t="inlineStr">
        <is>
          <t>0789</t>
        </is>
      </c>
      <c r="B131" t="inlineStr">
        <is>
          <t>RE</t>
        </is>
      </c>
      <c r="C131" t="n">
        <v>31.75</v>
      </c>
      <c r="D131" s="43" t="n">
        <v>2.3</v>
      </c>
      <c r="E131" t="n">
        <v>5920</v>
      </c>
      <c r="F131" t="n">
        <v>5.92</v>
      </c>
      <c r="G131" t="inlineStr">
        <is>
          <t>MCR 42136</t>
        </is>
      </c>
      <c r="H131" t="n">
        <v>0</v>
      </c>
    </row>
    <row r="132">
      <c r="A132" t="inlineStr">
        <is>
          <t>0789</t>
        </is>
      </c>
      <c r="B132" t="inlineStr">
        <is>
          <t>RE</t>
        </is>
      </c>
      <c r="C132" t="n">
        <v>34.93</v>
      </c>
      <c r="D132" s="43" t="n">
        <v>1.2</v>
      </c>
      <c r="E132" t="n">
        <v>620</v>
      </c>
      <c r="F132" t="n">
        <v>0.62</v>
      </c>
      <c r="G132" t="n">
        <v>2397073</v>
      </c>
      <c r="H132" t="n">
        <v>13</v>
      </c>
    </row>
    <row r="133">
      <c r="A133" t="inlineStr">
        <is>
          <t>0789</t>
        </is>
      </c>
      <c r="B133" t="inlineStr">
        <is>
          <t>RE</t>
        </is>
      </c>
      <c r="C133" t="n">
        <v>34.93</v>
      </c>
      <c r="D133" s="43" t="n">
        <v>1.2</v>
      </c>
      <c r="E133" t="n">
        <v>700</v>
      </c>
      <c r="F133" t="n">
        <v>0.7</v>
      </c>
      <c r="G133" t="n">
        <v>3649699</v>
      </c>
      <c r="H133" t="n">
        <v>13</v>
      </c>
    </row>
    <row r="134">
      <c r="A134" t="inlineStr">
        <is>
          <t>0789</t>
        </is>
      </c>
      <c r="B134" t="inlineStr">
        <is>
          <t>RE</t>
        </is>
      </c>
      <c r="C134" t="n">
        <v>48</v>
      </c>
      <c r="D134" s="43" t="n">
        <v>1.2</v>
      </c>
      <c r="E134" t="n">
        <v>620</v>
      </c>
      <c r="F134" t="n">
        <v>0.62</v>
      </c>
      <c r="G134" t="n">
        <v>2397072</v>
      </c>
      <c r="H134" t="n">
        <v>13</v>
      </c>
    </row>
    <row r="135">
      <c r="A135" t="inlineStr">
        <is>
          <t>0789</t>
        </is>
      </c>
      <c r="B135" t="inlineStr">
        <is>
          <t>RE</t>
        </is>
      </c>
      <c r="C135" t="n">
        <v>48</v>
      </c>
      <c r="D135" s="43" t="n">
        <v>1.2</v>
      </c>
      <c r="E135" t="n">
        <v>700</v>
      </c>
      <c r="F135" t="n">
        <v>0.7</v>
      </c>
      <c r="G135" t="n">
        <v>3649700</v>
      </c>
      <c r="H135" t="n">
        <v>17</v>
      </c>
    </row>
    <row r="136">
      <c r="A136" t="inlineStr">
        <is>
          <t>0789</t>
        </is>
      </c>
      <c r="B136" t="inlineStr">
        <is>
          <t>RE</t>
        </is>
      </c>
      <c r="C136" t="inlineStr">
        <is>
          <t>59x30</t>
        </is>
      </c>
      <c r="D136" s="43" t="n">
        <v>1.6</v>
      </c>
      <c r="E136" t="n">
        <v>572.5</v>
      </c>
      <c r="F136" t="n">
        <v>0.5725</v>
      </c>
      <c r="G136" t="n">
        <v>2420716</v>
      </c>
      <c r="H136" t="n">
        <v>60</v>
      </c>
    </row>
    <row r="137">
      <c r="A137" t="inlineStr">
        <is>
          <t>0789</t>
        </is>
      </c>
      <c r="B137" t="inlineStr">
        <is>
          <t>TVS</t>
        </is>
      </c>
      <c r="C137" t="n">
        <v>12.7</v>
      </c>
      <c r="D137" s="43" t="n">
        <v>1.2</v>
      </c>
      <c r="E137" t="n">
        <v>6000</v>
      </c>
      <c r="F137" t="n">
        <v>6</v>
      </c>
      <c r="G137" t="n">
        <v>1939985</v>
      </c>
      <c r="H137" t="n">
        <v>1</v>
      </c>
    </row>
    <row r="138">
      <c r="A138" t="inlineStr">
        <is>
          <t>0789</t>
        </is>
      </c>
      <c r="B138" t="inlineStr">
        <is>
          <t>TVS</t>
        </is>
      </c>
      <c r="C138" t="n">
        <v>12.7</v>
      </c>
      <c r="D138" s="43" t="n">
        <v>2</v>
      </c>
      <c r="E138" t="n">
        <v>6000</v>
      </c>
      <c r="F138" t="n">
        <v>6</v>
      </c>
      <c r="G138" t="n">
        <v>236166</v>
      </c>
      <c r="H138" t="n">
        <v>3</v>
      </c>
    </row>
    <row r="139">
      <c r="A139" t="inlineStr">
        <is>
          <t>0789</t>
        </is>
      </c>
      <c r="B139" t="inlineStr">
        <is>
          <t>TVS</t>
        </is>
      </c>
      <c r="C139" t="n">
        <v>15.88</v>
      </c>
      <c r="D139" s="43" t="n">
        <v>1.2</v>
      </c>
      <c r="E139" t="n">
        <v>6000</v>
      </c>
      <c r="F139" t="n">
        <v>6</v>
      </c>
      <c r="G139" t="n">
        <v>1940054</v>
      </c>
      <c r="H139" t="n">
        <v>7</v>
      </c>
    </row>
    <row r="140">
      <c r="A140" t="inlineStr">
        <is>
          <t>0789</t>
        </is>
      </c>
      <c r="B140" t="inlineStr">
        <is>
          <t>TVS</t>
        </is>
      </c>
      <c r="C140" t="n">
        <v>18.3</v>
      </c>
      <c r="D140" s="43" t="n">
        <v>1</v>
      </c>
      <c r="E140" t="n">
        <v>6000</v>
      </c>
      <c r="F140" t="n">
        <v>6</v>
      </c>
      <c r="G140" t="n">
        <v>2288945</v>
      </c>
      <c r="H140" t="n">
        <v>6</v>
      </c>
    </row>
    <row r="141">
      <c r="A141" t="inlineStr">
        <is>
          <t>0789</t>
        </is>
      </c>
      <c r="B141" t="inlineStr">
        <is>
          <t>TVS</t>
        </is>
      </c>
      <c r="C141" t="n">
        <v>21.4</v>
      </c>
      <c r="D141" s="43" t="n">
        <v>1.6</v>
      </c>
      <c r="E141" t="n">
        <v>6000</v>
      </c>
      <c r="F141" t="n">
        <v>6</v>
      </c>
      <c r="G141" t="n">
        <v>3219710</v>
      </c>
      <c r="H141" t="n">
        <v>3</v>
      </c>
    </row>
    <row r="142">
      <c r="A142" t="inlineStr">
        <is>
          <t>0789</t>
        </is>
      </c>
      <c r="B142" t="inlineStr">
        <is>
          <t>TVS</t>
        </is>
      </c>
      <c r="C142" t="n">
        <v>22.2</v>
      </c>
      <c r="D142" s="43" t="n">
        <v>1.6</v>
      </c>
      <c r="E142" t="n">
        <v>5270</v>
      </c>
      <c r="F142" t="n">
        <v>5.27</v>
      </c>
      <c r="G142" t="n">
        <v>3575894</v>
      </c>
      <c r="H142" t="n">
        <v>18</v>
      </c>
    </row>
    <row r="143">
      <c r="A143" t="inlineStr">
        <is>
          <t>0789</t>
        </is>
      </c>
      <c r="B143" t="inlineStr">
        <is>
          <t>TVS</t>
        </is>
      </c>
      <c r="C143" t="n">
        <v>25.4</v>
      </c>
      <c r="D143" s="43" t="n">
        <v>2</v>
      </c>
      <c r="E143" t="n">
        <v>6050</v>
      </c>
      <c r="F143" t="n">
        <v>6.05</v>
      </c>
      <c r="G143" t="n">
        <v>4055021</v>
      </c>
      <c r="H143" t="n">
        <v>6</v>
      </c>
    </row>
    <row r="144">
      <c r="A144" t="inlineStr">
        <is>
          <t>0789</t>
        </is>
      </c>
      <c r="B144" t="inlineStr">
        <is>
          <t>TVS</t>
        </is>
      </c>
      <c r="C144" t="n">
        <v>28.6</v>
      </c>
      <c r="D144" s="43" t="n">
        <v>1.2</v>
      </c>
      <c r="E144" t="n">
        <v>6000</v>
      </c>
      <c r="F144" t="n">
        <v>6</v>
      </c>
      <c r="G144" t="n">
        <v>3702101</v>
      </c>
      <c r="H144" t="n">
        <v>0</v>
      </c>
    </row>
    <row r="145">
      <c r="A145" t="inlineStr">
        <is>
          <t>0789</t>
        </is>
      </c>
      <c r="B145" t="inlineStr">
        <is>
          <t>TVS</t>
        </is>
      </c>
      <c r="C145" t="n">
        <v>31.75</v>
      </c>
      <c r="D145" s="43" t="n">
        <v>2</v>
      </c>
      <c r="E145" t="n">
        <v>6000</v>
      </c>
      <c r="F145" t="n">
        <v>6</v>
      </c>
      <c r="G145" t="n">
        <v>1931387</v>
      </c>
      <c r="H145" t="n">
        <v>15</v>
      </c>
    </row>
    <row r="146">
      <c r="A146" t="inlineStr">
        <is>
          <t>0789</t>
        </is>
      </c>
      <c r="B146" t="inlineStr">
        <is>
          <t>TVS</t>
        </is>
      </c>
      <c r="C146" t="n">
        <v>41.28</v>
      </c>
      <c r="D146" s="43" t="n">
        <v>2.6</v>
      </c>
      <c r="E146" t="n">
        <v>6000</v>
      </c>
      <c r="F146" t="n">
        <v>6</v>
      </c>
      <c r="G146" t="n">
        <v>3974563</v>
      </c>
      <c r="H146" t="n">
        <v>65</v>
      </c>
    </row>
    <row r="147">
      <c r="A147" t="inlineStr">
        <is>
          <t>0789</t>
        </is>
      </c>
      <c r="B147" t="inlineStr">
        <is>
          <t>TVS</t>
        </is>
      </c>
      <c r="C147" t="inlineStr">
        <is>
          <t>40x25</t>
        </is>
      </c>
      <c r="D147" s="43" t="n">
        <v>1.6</v>
      </c>
      <c r="E147" t="n">
        <v>6130</v>
      </c>
      <c r="F147" t="n">
        <v>6.13</v>
      </c>
      <c r="G147" t="n">
        <v>3919144</v>
      </c>
      <c r="H147" t="n">
        <v>5</v>
      </c>
    </row>
    <row r="148">
      <c r="A148" t="inlineStr">
        <is>
          <t>0789</t>
        </is>
      </c>
      <c r="B148" t="inlineStr">
        <is>
          <t>TVS</t>
        </is>
      </c>
      <c r="C148" t="inlineStr">
        <is>
          <t>40x30</t>
        </is>
      </c>
      <c r="D148" s="43" t="n">
        <v>1.6</v>
      </c>
      <c r="E148" t="n">
        <v>5900</v>
      </c>
      <c r="F148" t="n">
        <v>5.9</v>
      </c>
      <c r="G148" t="n">
        <v>3836440</v>
      </c>
      <c r="H148" t="n">
        <v>8</v>
      </c>
    </row>
    <row r="149">
      <c r="A149" t="inlineStr">
        <is>
          <t>0789</t>
        </is>
      </c>
      <c r="B149" t="inlineStr">
        <is>
          <t>TVS</t>
        </is>
      </c>
      <c r="C149" t="inlineStr">
        <is>
          <t>59x30</t>
        </is>
      </c>
      <c r="D149" s="43" t="n">
        <v>1.6</v>
      </c>
      <c r="E149" t="n">
        <v>6000</v>
      </c>
      <c r="F149" t="n">
        <v>6</v>
      </c>
      <c r="G149" t="n">
        <v>1940925</v>
      </c>
      <c r="H149" t="n">
        <v>3</v>
      </c>
    </row>
    <row r="153">
      <c r="B153" s="255" t="inlineStr">
        <is>
          <t>plant</t>
        </is>
      </c>
      <c r="C153" s="255" t="inlineStr">
        <is>
          <t>OEM</t>
        </is>
      </c>
      <c r="D153" s="255" t="inlineStr">
        <is>
          <t>Customer Code</t>
        </is>
      </c>
      <c r="E153" s="255" t="inlineStr">
        <is>
          <t>OD</t>
        </is>
      </c>
      <c r="F153" s="255" t="inlineStr">
        <is>
          <t>THK</t>
        </is>
      </c>
      <c r="G153" s="255" t="inlineStr">
        <is>
          <t>LENGTH</t>
        </is>
      </c>
      <c r="H153" s="255" t="inlineStr">
        <is>
          <t>Length in Mtrs</t>
        </is>
      </c>
      <c r="I153" s="255" t="inlineStr">
        <is>
          <t>TSL Material Code</t>
        </is>
      </c>
      <c r="J153" s="255" t="inlineStr">
        <is>
          <t>Material Description</t>
        </is>
      </c>
      <c r="K153" s="255" t="inlineStr">
        <is>
          <t>20th July Indent</t>
        </is>
      </c>
      <c r="L153" s="255" t="inlineStr">
        <is>
          <t>5th Aug Indent</t>
        </is>
      </c>
      <c r="M153" s="255" t="inlineStr">
        <is>
          <t>SO</t>
        </is>
      </c>
      <c r="N153" s="255" t="inlineStr">
        <is>
          <t>Remark</t>
        </is>
      </c>
      <c r="O153" s="221" t="n"/>
      <c r="P153" s="590" t="n"/>
    </row>
    <row r="154">
      <c r="B154" s="260" t="n">
        <v>56</v>
      </c>
      <c r="C154" s="260" t="inlineStr">
        <is>
          <t>HMSI</t>
        </is>
      </c>
      <c r="D154" s="260" t="n">
        <v>943210</v>
      </c>
      <c r="E154" s="260" t="n">
        <v>19.05</v>
      </c>
      <c r="F154" s="260" t="n">
        <v>1.4</v>
      </c>
      <c r="G154" s="260" t="n">
        <v>6000</v>
      </c>
      <c r="H154" s="260" t="n">
        <v>6</v>
      </c>
      <c r="I154" s="260" t="n">
        <v>3891285</v>
      </c>
      <c r="J154" s="260" t="inlineStr">
        <is>
          <t>TUB-O-N-AUT-AW-PE-19.05X1.40X6.000 HST</t>
        </is>
      </c>
      <c r="K154" s="260" t="n"/>
      <c r="L154" s="260" t="n">
        <v>10</v>
      </c>
      <c r="M154" s="260" t="n"/>
      <c r="N154" s="401" t="inlineStr">
        <is>
          <t>LOADED / RELEASED</t>
        </is>
      </c>
      <c r="O154" s="221" t="n"/>
      <c r="P154" s="590" t="n"/>
    </row>
    <row r="155">
      <c r="B155" s="260" t="n">
        <v>56</v>
      </c>
      <c r="C155" s="260" t="inlineStr">
        <is>
          <t>HMSI</t>
        </is>
      </c>
      <c r="D155" s="260" t="n">
        <v>943210</v>
      </c>
      <c r="E155" s="260" t="n">
        <v>19.05</v>
      </c>
      <c r="F155" s="260" t="n">
        <v>1.6</v>
      </c>
      <c r="G155" s="260" t="n">
        <v>6000</v>
      </c>
      <c r="H155" s="260" t="n">
        <v>6</v>
      </c>
      <c r="I155" s="260" t="n">
        <v>3498997</v>
      </c>
      <c r="J155" s="260" t="inlineStr">
        <is>
          <t>TUB-O-N-AUT-AW-PE-19.05X1.60X6.000-ERW 1</t>
        </is>
      </c>
      <c r="K155" s="260" t="n">
        <v>4.6</v>
      </c>
      <c r="L155" s="260" t="n">
        <v>10</v>
      </c>
      <c r="M155" s="260" t="n">
        <v>9518955752</v>
      </c>
      <c r="N155" s="401" t="inlineStr">
        <is>
          <t>LOADED / RELEASED</t>
        </is>
      </c>
      <c r="O155" s="221" t="n"/>
      <c r="P155" s="590" t="n"/>
    </row>
    <row r="156">
      <c r="B156" s="408" t="inlineStr">
        <is>
          <t>56</t>
        </is>
      </c>
      <c r="C156" s="260" t="inlineStr">
        <is>
          <t>TVSM</t>
        </is>
      </c>
      <c r="D156" s="260" t="n">
        <v>943209</v>
      </c>
      <c r="E156" s="260" t="n">
        <v>22.2</v>
      </c>
      <c r="F156" s="260" t="n">
        <v>2</v>
      </c>
      <c r="G156" s="260" t="n">
        <v>5100</v>
      </c>
      <c r="H156" s="260" t="n">
        <v>5.1</v>
      </c>
      <c r="I156" s="260" t="n">
        <v>3500554</v>
      </c>
      <c r="J156" s="260" t="inlineStr">
        <is>
          <t>TUB-O-N-AUT-AW-PE-22.20X2.000X5.1000</t>
        </is>
      </c>
      <c r="K156" s="260" t="n"/>
      <c r="L156" s="260" t="n">
        <v>20</v>
      </c>
      <c r="M156" s="260" t="n"/>
      <c r="N156" s="401" t="n"/>
      <c r="O156" s="221" t="n"/>
      <c r="P156" s="590" t="n"/>
    </row>
    <row r="157">
      <c r="B157" s="260" t="n">
        <v>56</v>
      </c>
      <c r="C157" s="260" t="inlineStr">
        <is>
          <t>TVSM</t>
        </is>
      </c>
      <c r="D157" s="260" t="n">
        <v>943209</v>
      </c>
      <c r="E157" s="260" t="n">
        <v>22.2</v>
      </c>
      <c r="F157" s="260" t="n">
        <v>2</v>
      </c>
      <c r="G157" s="260" t="n">
        <v>5950</v>
      </c>
      <c r="H157" s="260" t="n">
        <v>5.95</v>
      </c>
      <c r="I157" s="260" t="n">
        <v>3905466</v>
      </c>
      <c r="J157" s="260" t="inlineStr">
        <is>
          <t>TUB-O-N-AUT-AW-PE-22.20X2.000X5.9510</t>
        </is>
      </c>
      <c r="K157" s="260" t="n"/>
      <c r="L157" s="260" t="n">
        <v>30</v>
      </c>
      <c r="M157" s="260" t="n"/>
      <c r="N157" s="401" t="n"/>
      <c r="O157" s="221" t="n"/>
      <c r="P157" s="590" t="n"/>
    </row>
    <row r="158">
      <c r="B158" s="260" t="n">
        <v>56</v>
      </c>
      <c r="C158" s="260" t="inlineStr">
        <is>
          <t>TVSM</t>
        </is>
      </c>
      <c r="D158" s="260" t="n">
        <v>943209</v>
      </c>
      <c r="E158" s="260" t="n">
        <v>22.2</v>
      </c>
      <c r="F158" s="260" t="n">
        <v>1.6</v>
      </c>
      <c r="G158" s="260" t="n">
        <v>5670</v>
      </c>
      <c r="H158" s="260" t="n">
        <v>5.67</v>
      </c>
      <c r="I158" s="260" t="n">
        <v>4055022</v>
      </c>
      <c r="J158" s="260" t="inlineStr">
        <is>
          <t>TUB-O-N-AUT-AW-PE-22.23X1.600X5.6700</t>
        </is>
      </c>
      <c r="K158" s="260" t="n"/>
      <c r="L158" s="260" t="n">
        <v>20</v>
      </c>
      <c r="M158" s="260" t="n"/>
      <c r="N158" s="401" t="n"/>
      <c r="O158" s="221" t="n"/>
      <c r="P158" s="590" t="n"/>
    </row>
    <row r="159">
      <c r="B159" s="260" t="inlineStr">
        <is>
          <t>0789</t>
        </is>
      </c>
      <c r="C159" s="260" t="inlineStr">
        <is>
          <t>HMSI</t>
        </is>
      </c>
      <c r="D159" s="260" t="n">
        <v>943210</v>
      </c>
      <c r="E159" s="260" t="n">
        <v>25.4</v>
      </c>
      <c r="F159" s="260" t="n">
        <v>1.4</v>
      </c>
      <c r="G159" s="260" t="n">
        <v>5530</v>
      </c>
      <c r="H159" s="260" t="n">
        <v>5.53</v>
      </c>
      <c r="I159" s="260" t="n">
        <v>3557792</v>
      </c>
      <c r="J159" s="260" t="inlineStr">
        <is>
          <t>TUB-O-N-AUT-AW-FC-25.40X1.400X6.0600</t>
        </is>
      </c>
      <c r="K159" s="260" t="n"/>
      <c r="L159" s="260" t="n">
        <v>10</v>
      </c>
      <c r="M159" s="260" t="n"/>
      <c r="N159" s="401" t="n"/>
      <c r="O159" s="221" t="n"/>
      <c r="P159" s="590" t="n"/>
    </row>
    <row r="160">
      <c r="B160" s="260" t="inlineStr">
        <is>
          <t>0789</t>
        </is>
      </c>
      <c r="C160" s="260" t="inlineStr">
        <is>
          <t>TVS</t>
        </is>
      </c>
      <c r="D160" s="260" t="n">
        <v>943209</v>
      </c>
      <c r="E160" s="260" t="n">
        <v>25.4</v>
      </c>
      <c r="F160" s="260" t="n">
        <v>2</v>
      </c>
      <c r="G160" s="260" t="n">
        <v>6050</v>
      </c>
      <c r="H160" s="260" t="n">
        <v>6.05</v>
      </c>
      <c r="I160" s="260" t="n">
        <v>4055021</v>
      </c>
      <c r="J160" s="260" t="inlineStr">
        <is>
          <t>TUB-O-N-AUT-AW-PE-25.40X2.000X6.0500</t>
        </is>
      </c>
      <c r="K160" s="260" t="n"/>
      <c r="L160" s="260" t="n">
        <v>10</v>
      </c>
      <c r="M160" s="260" t="n"/>
      <c r="N160" s="401" t="n"/>
      <c r="O160" s="221" t="n"/>
      <c r="P160" s="590" t="n"/>
    </row>
    <row r="161">
      <c r="B161" s="260" t="inlineStr">
        <is>
          <t>056</t>
        </is>
      </c>
      <c r="C161" s="260" t="inlineStr">
        <is>
          <t>TVS</t>
        </is>
      </c>
      <c r="D161" s="260" t="n">
        <v>943209</v>
      </c>
      <c r="E161" s="260" t="n">
        <v>25.4</v>
      </c>
      <c r="F161" s="260" t="n">
        <v>2.5</v>
      </c>
      <c r="G161" s="260" t="n">
        <v>5530</v>
      </c>
      <c r="H161" s="260" t="n">
        <v>5.53</v>
      </c>
      <c r="I161" s="260" t="n">
        <v>3502256</v>
      </c>
      <c r="J161" s="260" t="inlineStr">
        <is>
          <t>TUB-O-N-AUT-AW-PE-25.40X2.500X5.5300</t>
        </is>
      </c>
      <c r="K161" s="260" t="n"/>
      <c r="L161" s="260" t="n">
        <v>40</v>
      </c>
      <c r="M161" s="260" t="n"/>
      <c r="N161" s="401" t="n"/>
      <c r="O161" s="221" t="n"/>
      <c r="P161" s="590" t="n"/>
    </row>
    <row r="162">
      <c r="B162" s="260" t="inlineStr">
        <is>
          <t>056</t>
        </is>
      </c>
      <c r="C162" s="260" t="inlineStr">
        <is>
          <t>TVS</t>
        </is>
      </c>
      <c r="D162" s="260" t="n">
        <v>943209</v>
      </c>
      <c r="E162" s="260" t="n">
        <v>25.4</v>
      </c>
      <c r="F162" s="260" t="n">
        <v>1.6</v>
      </c>
      <c r="G162" s="260" t="n">
        <v>6000</v>
      </c>
      <c r="H162" s="260" t="n">
        <v>6</v>
      </c>
      <c r="I162" s="409" t="n">
        <v>3500097</v>
      </c>
      <c r="J162" s="260" t="inlineStr">
        <is>
          <t>TUB-O-N-AUT-AW-PE-25.40X1.60X6.000-ERW 1</t>
        </is>
      </c>
      <c r="K162" s="260" t="n"/>
      <c r="L162" s="260" t="n">
        <v>15</v>
      </c>
      <c r="M162" s="260" t="n"/>
      <c r="N162" s="401" t="n"/>
      <c r="O162" s="221" t="n"/>
      <c r="P162" s="590" t="n"/>
    </row>
    <row r="163">
      <c r="B163" s="260" t="inlineStr">
        <is>
          <t>056</t>
        </is>
      </c>
      <c r="C163" s="260" t="inlineStr">
        <is>
          <t>TVS</t>
        </is>
      </c>
      <c r="D163" s="260" t="n">
        <v>943209</v>
      </c>
      <c r="E163" s="260" t="n">
        <v>31.75</v>
      </c>
      <c r="F163" s="260" t="n">
        <v>1.2</v>
      </c>
      <c r="G163" s="260" t="n">
        <v>6000</v>
      </c>
      <c r="H163" s="260" t="n">
        <v>6</v>
      </c>
      <c r="I163" s="260" t="n">
        <v>3884381</v>
      </c>
      <c r="J163" s="260" t="inlineStr">
        <is>
          <t>TUB-O-N-AUT-AW-FC-31.75X1.200X6.0010</t>
        </is>
      </c>
      <c r="K163" s="260" t="n"/>
      <c r="L163" s="260" t="n">
        <v>5</v>
      </c>
      <c r="M163" s="260" t="n"/>
      <c r="N163" s="401" t="n"/>
      <c r="O163" s="221" t="n"/>
      <c r="P163" s="590" t="n"/>
    </row>
    <row r="164">
      <c r="B164" s="260" t="inlineStr">
        <is>
          <t>056</t>
        </is>
      </c>
      <c r="C164" s="260" t="inlineStr">
        <is>
          <t>TVS</t>
        </is>
      </c>
      <c r="D164" s="260" t="n">
        <v>943209</v>
      </c>
      <c r="E164" s="260" t="n">
        <v>38.1</v>
      </c>
      <c r="F164" s="260" t="n">
        <v>2.5</v>
      </c>
      <c r="G164" s="260" t="n">
        <v>6190</v>
      </c>
      <c r="H164" s="260" t="n">
        <v>6.19</v>
      </c>
      <c r="I164" s="260" t="n">
        <v>3502007</v>
      </c>
      <c r="J164" s="260" t="inlineStr">
        <is>
          <t>TUB-O-N-AUT-AH-FC-38.10X2.500X6.1900 HST</t>
        </is>
      </c>
      <c r="K164" s="260" t="n"/>
      <c r="L164" s="260" t="n">
        <v>10</v>
      </c>
      <c r="M164" s="260" t="n"/>
      <c r="N164" s="401" t="n"/>
      <c r="O164" s="221" t="n"/>
      <c r="P164" s="590" t="n"/>
    </row>
    <row r="165">
      <c r="B165" s="260" t="inlineStr">
        <is>
          <t>056</t>
        </is>
      </c>
      <c r="C165" s="260" t="inlineStr">
        <is>
          <t>TVS</t>
        </is>
      </c>
      <c r="D165" s="260" t="n">
        <v>943209</v>
      </c>
      <c r="E165" s="260" t="n">
        <v>38.1</v>
      </c>
      <c r="F165" s="260" t="n">
        <v>1.6</v>
      </c>
      <c r="G165" s="260" t="n">
        <v>6190</v>
      </c>
      <c r="H165" s="260" t="n">
        <v>6.19</v>
      </c>
      <c r="I165" s="260" t="n">
        <v>3502254</v>
      </c>
      <c r="J165" s="260" t="inlineStr">
        <is>
          <t>TUB-O-N-AUT-AW-FC-38.10X1.600X6.1900</t>
        </is>
      </c>
      <c r="K165" s="260" t="n"/>
      <c r="L165" s="260" t="n">
        <v>10</v>
      </c>
      <c r="M165" s="260" t="n"/>
      <c r="N165" s="401" t="n"/>
      <c r="O165" s="221" t="n"/>
      <c r="P165" s="590" t="n"/>
    </row>
    <row r="166">
      <c r="B166" s="260" t="inlineStr">
        <is>
          <t>056</t>
        </is>
      </c>
      <c r="C166" s="260" t="inlineStr">
        <is>
          <t>HMSI</t>
        </is>
      </c>
      <c r="D166" s="260" t="n">
        <v>943210</v>
      </c>
      <c r="E166" s="260" t="n">
        <v>41.28</v>
      </c>
      <c r="F166" s="260" t="n">
        <v>3.15</v>
      </c>
      <c r="G166" s="260" t="n">
        <v>5860</v>
      </c>
      <c r="H166" s="260" t="n">
        <v>5.86</v>
      </c>
      <c r="I166" s="260" t="n">
        <v>3673889</v>
      </c>
      <c r="J166" s="260" t="inlineStr">
        <is>
          <t>TUB-O-N-AUT-AW-FC-41.28X3.150X5.8600</t>
        </is>
      </c>
      <c r="K166" s="260" t="n"/>
      <c r="L166" s="260" t="n">
        <v>30</v>
      </c>
      <c r="M166" s="260" t="n"/>
      <c r="N166" s="401" t="n"/>
      <c r="O166" s="221" t="n"/>
      <c r="P166" s="590" t="n"/>
    </row>
    <row r="167">
      <c r="B167" s="260" t="inlineStr">
        <is>
          <t>056</t>
        </is>
      </c>
      <c r="C167" s="260" t="inlineStr">
        <is>
          <t>TVS</t>
        </is>
      </c>
      <c r="D167" s="260" t="n">
        <v>943209</v>
      </c>
      <c r="E167" s="260" t="n">
        <v>57.15</v>
      </c>
      <c r="F167" s="260" t="n">
        <v>2.5</v>
      </c>
      <c r="G167" s="260" t="n">
        <v>5710</v>
      </c>
      <c r="H167" s="260" t="n">
        <v>5.71</v>
      </c>
      <c r="I167" s="409" t="n">
        <v>3907863</v>
      </c>
      <c r="J167" s="260" t="inlineStr">
        <is>
          <t>TUB-O-N-AUT-AW-FC-57.15X2.500X5.7110</t>
        </is>
      </c>
      <c r="L167" s="409" t="n">
        <v>71</v>
      </c>
      <c r="M167" s="260" t="n"/>
      <c r="N167" s="401" t="n"/>
      <c r="O167" s="221" t="n"/>
      <c r="P167" s="590" t="n"/>
    </row>
    <row r="168">
      <c r="B168" s="260" t="inlineStr">
        <is>
          <t>056</t>
        </is>
      </c>
      <c r="C168" s="260" t="inlineStr">
        <is>
          <t>TVS</t>
        </is>
      </c>
      <c r="D168" s="260" t="n">
        <v>943209</v>
      </c>
      <c r="E168" s="260" t="n">
        <v>57.15</v>
      </c>
      <c r="F168" s="260" t="n">
        <v>2.5</v>
      </c>
      <c r="G168" s="260" t="n">
        <v>6100</v>
      </c>
      <c r="H168" s="260" t="n">
        <v>6.1</v>
      </c>
      <c r="I168" s="260" t="n">
        <v>3910001</v>
      </c>
      <c r="J168" s="260" t="inlineStr">
        <is>
          <t>TUB-O-N-AUT-AW-FC-57.15X2.500X6.1000</t>
        </is>
      </c>
      <c r="K168" s="260" t="n"/>
      <c r="L168" s="260" t="n">
        <v>73</v>
      </c>
      <c r="M168" s="260" t="n"/>
      <c r="N168" s="401" t="n"/>
      <c r="O168" s="221" t="n"/>
      <c r="P168" s="590" t="n"/>
    </row>
    <row r="169">
      <c r="B169" s="260" t="inlineStr">
        <is>
          <t>056</t>
        </is>
      </c>
      <c r="C169" s="260" t="inlineStr">
        <is>
          <t>HMSI</t>
        </is>
      </c>
      <c r="D169" s="260" t="n">
        <v>943210</v>
      </c>
      <c r="E169" s="260" t="n">
        <v>57.15</v>
      </c>
      <c r="F169" s="260" t="n">
        <v>3</v>
      </c>
      <c r="G169" s="260" t="n">
        <v>5650</v>
      </c>
      <c r="H169" s="260" t="n">
        <v>5.65</v>
      </c>
      <c r="I169" s="260" t="n">
        <v>3501105</v>
      </c>
      <c r="J169" s="260" t="inlineStr">
        <is>
          <t>TUB-O-N-AUT-AW-FC-57.15X3.000X5.65-ERW 1</t>
        </is>
      </c>
      <c r="K169" s="260" t="n"/>
      <c r="L169" s="260" t="n">
        <v>15</v>
      </c>
      <c r="M169" s="260" t="n"/>
      <c r="N169" s="401" t="n"/>
      <c r="O169" s="221" t="n"/>
      <c r="P169" s="590" t="n"/>
    </row>
    <row r="170">
      <c r="B170" s="408" t="inlineStr">
        <is>
          <t>056</t>
        </is>
      </c>
      <c r="C170" s="260" t="inlineStr">
        <is>
          <t>RE</t>
        </is>
      </c>
      <c r="D170" s="260" t="n">
        <v>943211</v>
      </c>
      <c r="E170" s="260" t="inlineStr">
        <is>
          <t>50X50</t>
        </is>
      </c>
      <c r="F170" s="260" t="n">
        <v>1.6</v>
      </c>
      <c r="G170" s="260" t="n">
        <v>6040</v>
      </c>
      <c r="H170" s="260" t="n">
        <v>6.04</v>
      </c>
      <c r="I170" s="260" t="n">
        <v>3500641</v>
      </c>
      <c r="J170" s="260" t="inlineStr">
        <is>
          <t>TUB-S-AW-SHS-50.00X50.0X1.6X6.1 210 BSVI</t>
        </is>
      </c>
      <c r="K170" s="260" t="n"/>
      <c r="L170" s="260" t="n">
        <v>10</v>
      </c>
      <c r="M170" s="260" t="n"/>
      <c r="N170" s="401" t="n"/>
      <c r="O170" s="221" t="n"/>
      <c r="P170" s="590" t="n"/>
    </row>
    <row r="171">
      <c r="B171" s="408" t="inlineStr">
        <is>
          <t>056</t>
        </is>
      </c>
      <c r="C171" s="260" t="inlineStr">
        <is>
          <t>HMSI</t>
        </is>
      </c>
      <c r="D171" s="260" t="n">
        <v>943210</v>
      </c>
      <c r="E171" s="260" t="n">
        <v>45</v>
      </c>
      <c r="F171" s="260" t="n">
        <v>3.5</v>
      </c>
      <c r="G171" s="260" t="n">
        <v>6100</v>
      </c>
      <c r="H171" s="260" t="n">
        <v>6.1</v>
      </c>
      <c r="I171" s="260" t="n">
        <v>3500263</v>
      </c>
      <c r="J171" s="260" t="inlineStr">
        <is>
          <t>TUB-O-C-AUT-BH-FC-45.00X3.50X6.100-CEW 1</t>
        </is>
      </c>
      <c r="K171" s="260" t="n"/>
      <c r="L171" s="260" t="n">
        <v>10</v>
      </c>
      <c r="M171" s="260" t="n"/>
      <c r="N171" s="401" t="n"/>
      <c r="O171" s="221" t="n"/>
      <c r="P171" s="590" t="n"/>
    </row>
    <row r="172">
      <c r="B172" s="260" t="n">
        <v>56</v>
      </c>
      <c r="C172" s="260" t="inlineStr">
        <is>
          <t>HMSI</t>
        </is>
      </c>
      <c r="D172" s="260" t="n">
        <v>943210</v>
      </c>
      <c r="E172" s="260" t="n">
        <v>25.4</v>
      </c>
      <c r="F172" s="260" t="n">
        <v>1.4</v>
      </c>
      <c r="G172" s="260" t="n">
        <v>5531</v>
      </c>
      <c r="H172" s="260" t="n">
        <v>5.531</v>
      </c>
      <c r="I172" s="260" t="n">
        <v>3501900</v>
      </c>
      <c r="J172" s="260" t="inlineStr">
        <is>
          <t>TUB-O-N-AUT-AW-FC-25.40X1.400X5.531 HST</t>
        </is>
      </c>
      <c r="K172" s="260" t="n">
        <v>5.5</v>
      </c>
      <c r="L172" s="260" t="n"/>
      <c r="M172" s="260" t="n">
        <v>9518955752</v>
      </c>
      <c r="N172" s="401" t="inlineStr">
        <is>
          <t>LOADED / RELEASED</t>
        </is>
      </c>
      <c r="O172" s="221" t="n"/>
      <c r="P172" s="590" t="n"/>
    </row>
    <row r="173">
      <c r="B173" s="260" t="n">
        <v>56</v>
      </c>
      <c r="C173" s="260" t="inlineStr">
        <is>
          <t>HMSI</t>
        </is>
      </c>
      <c r="D173" s="260" t="n">
        <v>943210</v>
      </c>
      <c r="E173" s="260" t="n">
        <v>48.6</v>
      </c>
      <c r="F173" s="260" t="n">
        <v>2.3</v>
      </c>
      <c r="G173" s="260" t="n">
        <v>6270</v>
      </c>
      <c r="H173" s="260" t="n">
        <v>6.27</v>
      </c>
      <c r="I173" s="260" t="n">
        <v>3549720</v>
      </c>
      <c r="J173" s="260" t="inlineStr">
        <is>
          <t>TUB-O-N-AUT-AW-FC-48.60X2.300X6.270 HST</t>
        </is>
      </c>
      <c r="K173" s="260" t="n">
        <v>9</v>
      </c>
      <c r="L173" s="260" t="n"/>
      <c r="M173" s="260" t="n">
        <v>9518955752</v>
      </c>
      <c r="N173" s="401" t="inlineStr">
        <is>
          <t>LOADED / RELEASED</t>
        </is>
      </c>
      <c r="O173" s="221" t="n"/>
      <c r="P173" s="590" t="n"/>
    </row>
    <row r="174">
      <c r="B174" s="260" t="n">
        <v>56</v>
      </c>
      <c r="C174" s="260" t="inlineStr">
        <is>
          <t>RE</t>
        </is>
      </c>
      <c r="D174" s="260" t="n">
        <v>943211</v>
      </c>
      <c r="E174" s="260" t="n">
        <v>50.8</v>
      </c>
      <c r="F174" s="260" t="n">
        <v>2.6</v>
      </c>
      <c r="G174" s="260" t="n">
        <v>6000</v>
      </c>
      <c r="H174" s="260" t="n">
        <v>6</v>
      </c>
      <c r="I174" s="260" t="n">
        <v>3518437</v>
      </c>
      <c r="J174" s="260" t="inlineStr">
        <is>
          <t>TUB-O-N-AUT-AW-FC-50.80X2.600X6.00-ERW 1</t>
        </is>
      </c>
      <c r="K174" s="260" t="n">
        <v>5</v>
      </c>
      <c r="L174" s="260" t="n"/>
      <c r="M174" s="260" t="n">
        <v>9518955819</v>
      </c>
      <c r="N174" s="401" t="inlineStr">
        <is>
          <t>LOADED / RELEASED</t>
        </is>
      </c>
      <c r="O174" s="221" t="n"/>
      <c r="P174" s="590" t="n"/>
    </row>
    <row r="175">
      <c r="B175" s="260" t="n">
        <v>56</v>
      </c>
      <c r="C175" s="260" t="inlineStr">
        <is>
          <t>RE</t>
        </is>
      </c>
      <c r="D175" s="260" t="n">
        <v>943211</v>
      </c>
      <c r="E175" s="260" t="n">
        <v>50.8</v>
      </c>
      <c r="F175" s="260" t="n">
        <v>2.6</v>
      </c>
      <c r="G175" s="260" t="n">
        <v>6000</v>
      </c>
      <c r="H175" s="260" t="n">
        <v>6</v>
      </c>
      <c r="I175" s="260" t="n">
        <v>3500695</v>
      </c>
      <c r="J175" s="260" t="inlineStr">
        <is>
          <t>TUB-O-C-AUT-AD-FC-50.8X2.6X6.0-BSVI-CEW1</t>
        </is>
      </c>
      <c r="K175" s="260" t="n">
        <v>5</v>
      </c>
      <c r="L175" s="260" t="n"/>
      <c r="M175" s="260" t="n">
        <v>9518955819</v>
      </c>
      <c r="N175" s="401" t="inlineStr">
        <is>
          <t>LOADED / RELEASED</t>
        </is>
      </c>
      <c r="O175" s="221" t="n"/>
      <c r="P175" s="590" t="n"/>
    </row>
    <row r="176">
      <c r="B176" s="260" t="n">
        <v>56</v>
      </c>
      <c r="C176" s="260" t="inlineStr">
        <is>
          <t>RE</t>
        </is>
      </c>
      <c r="D176" s="260" t="n">
        <v>943211</v>
      </c>
      <c r="E176" s="260" t="inlineStr">
        <is>
          <t>50X50</t>
        </is>
      </c>
      <c r="F176" s="260" t="n">
        <v>1.6</v>
      </c>
      <c r="G176" s="260" t="n">
        <v>6040</v>
      </c>
      <c r="H176" s="260" t="n">
        <v>6.04</v>
      </c>
      <c r="I176" s="260" t="n">
        <v>3751498</v>
      </c>
      <c r="J176" s="260" t="inlineStr">
        <is>
          <t>TUB-S-AW-SHS-50.00X50.00X1.600X6.0600</t>
        </is>
      </c>
      <c r="K176" s="260" t="n">
        <v>10</v>
      </c>
      <c r="L176" s="260" t="n"/>
      <c r="M176" s="260" t="n">
        <v>9518955819</v>
      </c>
      <c r="N176" s="401" t="inlineStr">
        <is>
          <t>LOADED / RELEASED</t>
        </is>
      </c>
      <c r="O176" s="221" t="n"/>
      <c r="P176" s="590" t="n"/>
    </row>
    <row r="177">
      <c r="B177" s="260" t="n">
        <v>56</v>
      </c>
      <c r="C177" s="260" t="inlineStr">
        <is>
          <t>TVS</t>
        </is>
      </c>
      <c r="D177" s="260" t="n">
        <v>943209</v>
      </c>
      <c r="E177" s="260" t="n">
        <v>22.2</v>
      </c>
      <c r="F177" s="260" t="n">
        <v>2</v>
      </c>
      <c r="G177" s="260" t="n">
        <v>5100</v>
      </c>
      <c r="H177" s="260" t="n">
        <v>5.1</v>
      </c>
      <c r="I177" s="260" t="n">
        <v>3500554</v>
      </c>
      <c r="J177" s="260" t="inlineStr">
        <is>
          <t>TUB-O-N-AUT-AW-PE-22.20X2.000X5.1000</t>
        </is>
      </c>
      <c r="K177" s="260" t="n">
        <v>17.4</v>
      </c>
      <c r="L177" s="260" t="n"/>
      <c r="M177" s="260" t="n">
        <v>9518955635</v>
      </c>
      <c r="N177" s="401" t="inlineStr">
        <is>
          <t>LOADED / RELEASED</t>
        </is>
      </c>
      <c r="O177" s="221" t="n"/>
      <c r="P177" s="590" t="n"/>
    </row>
    <row r="178">
      <c r="B178" s="260" t="n">
        <v>56</v>
      </c>
      <c r="C178" s="260" t="inlineStr">
        <is>
          <t>TVS</t>
        </is>
      </c>
      <c r="D178" s="260" t="n">
        <v>943209</v>
      </c>
      <c r="E178" s="260" t="n">
        <v>22.2</v>
      </c>
      <c r="F178" s="260" t="n">
        <v>2</v>
      </c>
      <c r="G178" s="260" t="n">
        <v>5950</v>
      </c>
      <c r="H178" s="260" t="n">
        <v>5.95</v>
      </c>
      <c r="I178" s="260" t="n">
        <v>3905466</v>
      </c>
      <c r="J178" s="260" t="inlineStr">
        <is>
          <t>TUB-O-N-AUT-AW-PE-22.20X2.000X5.9510</t>
        </is>
      </c>
      <c r="K178" s="260" t="n">
        <v>56.3</v>
      </c>
      <c r="L178" s="260" t="n"/>
      <c r="M178" s="260" t="n">
        <v>9518955635</v>
      </c>
      <c r="N178" s="401" t="inlineStr">
        <is>
          <t>LOADED / RELEASED</t>
        </is>
      </c>
      <c r="O178" s="221" t="n"/>
      <c r="P178" s="590" t="n"/>
    </row>
    <row r="179">
      <c r="B179" s="260" t="n">
        <v>56</v>
      </c>
      <c r="C179" s="260" t="inlineStr">
        <is>
          <t>TVS</t>
        </is>
      </c>
      <c r="D179" s="260" t="n">
        <v>943209</v>
      </c>
      <c r="E179" s="260" t="n">
        <v>22.2</v>
      </c>
      <c r="F179" s="260" t="n">
        <v>2</v>
      </c>
      <c r="G179" s="260" t="n">
        <v>6000</v>
      </c>
      <c r="H179" s="260" t="n">
        <v>6000</v>
      </c>
      <c r="I179" s="260" t="n">
        <v>3502494</v>
      </c>
      <c r="J179" s="260" t="inlineStr">
        <is>
          <t>TUB-O-N-AUT-AW-FC-22.20X2.000X6.0010</t>
        </is>
      </c>
      <c r="K179" s="260" t="n">
        <v>30</v>
      </c>
      <c r="L179" s="260" t="n"/>
      <c r="M179" s="260" t="n">
        <v>9518955635</v>
      </c>
      <c r="N179" s="401" t="inlineStr">
        <is>
          <t>LOADED / RELEASED</t>
        </is>
      </c>
      <c r="O179" s="221" t="n"/>
      <c r="P179" s="590" t="n"/>
    </row>
    <row r="180">
      <c r="B180" s="260" t="n">
        <v>56</v>
      </c>
      <c r="C180" s="260" t="inlineStr">
        <is>
          <t>TVS</t>
        </is>
      </c>
      <c r="D180" s="260" t="n">
        <v>943209</v>
      </c>
      <c r="E180" s="260" t="n">
        <v>25.4</v>
      </c>
      <c r="F180" s="260" t="n">
        <v>2</v>
      </c>
      <c r="G180" s="260" t="n">
        <v>5840</v>
      </c>
      <c r="H180" s="260" t="n">
        <v>5.82</v>
      </c>
      <c r="I180" s="402" t="n">
        <v>3673890</v>
      </c>
      <c r="J180" s="402" t="inlineStr">
        <is>
          <t>TUB-O-N-AUT-AW-PE-25.40X2.000X5.8400</t>
        </is>
      </c>
      <c r="K180" s="260" t="n">
        <v>17.2</v>
      </c>
      <c r="L180" s="260" t="n"/>
      <c r="M180" s="260" t="n">
        <v>9518955635</v>
      </c>
      <c r="N180" s="401" t="inlineStr">
        <is>
          <t>LOADED / RELEASED</t>
        </is>
      </c>
      <c r="O180" s="221" t="n"/>
      <c r="P180" s="590" t="n"/>
    </row>
    <row r="181">
      <c r="B181" s="260" t="n">
        <v>56</v>
      </c>
      <c r="C181" s="260" t="inlineStr">
        <is>
          <t>TVS</t>
        </is>
      </c>
      <c r="D181" s="260" t="n">
        <v>943209</v>
      </c>
      <c r="E181" s="260" t="n">
        <v>25.4</v>
      </c>
      <c r="F181" s="260" t="n">
        <v>2.5</v>
      </c>
      <c r="G181" s="260" t="n">
        <v>5530</v>
      </c>
      <c r="H181" s="260" t="n">
        <v>5.53</v>
      </c>
      <c r="I181" s="260" t="n">
        <v>3502256</v>
      </c>
      <c r="J181" s="260" t="inlineStr">
        <is>
          <t>TUB-O-N-AUT-AW-PE-25.40X2.500X5.5300</t>
        </is>
      </c>
      <c r="K181" s="260" t="n">
        <v>18</v>
      </c>
      <c r="L181" s="260" t="n"/>
      <c r="M181" s="260" t="n">
        <v>9518955635</v>
      </c>
      <c r="N181" s="401" t="inlineStr">
        <is>
          <t>LOADED / RELEASED</t>
        </is>
      </c>
      <c r="O181" s="221" t="n"/>
      <c r="P181" s="590" t="n"/>
    </row>
    <row r="182">
      <c r="B182" s="260" t="n">
        <v>56</v>
      </c>
      <c r="C182" s="260" t="inlineStr">
        <is>
          <t>TVS</t>
        </is>
      </c>
      <c r="D182" s="260" t="n">
        <v>943209</v>
      </c>
      <c r="E182" s="260" t="n">
        <v>38.1</v>
      </c>
      <c r="F182" s="260" t="n">
        <v>2</v>
      </c>
      <c r="G182" s="260" t="n">
        <v>5650</v>
      </c>
      <c r="H182" s="260" t="n">
        <v>5.65</v>
      </c>
      <c r="I182" s="260" t="n">
        <v>3500959</v>
      </c>
      <c r="J182" s="260" t="inlineStr">
        <is>
          <t>TUB-O-N-AUT-AW-FC-38.10X2.00X5.650-ERW 1</t>
        </is>
      </c>
      <c r="K182" s="260" t="n">
        <v>12</v>
      </c>
      <c r="L182" s="260" t="n"/>
      <c r="M182" s="260" t="n">
        <v>9518955635</v>
      </c>
      <c r="N182" s="401" t="inlineStr">
        <is>
          <t>LOADED / RELEASED</t>
        </is>
      </c>
      <c r="O182" s="221" t="n"/>
      <c r="P182" s="590" t="n"/>
    </row>
    <row r="183">
      <c r="B183" s="260" t="n">
        <v>56</v>
      </c>
      <c r="C183" s="260" t="inlineStr">
        <is>
          <t>TVS</t>
        </is>
      </c>
      <c r="D183" s="260" t="n">
        <v>943209</v>
      </c>
      <c r="E183" s="260" t="n">
        <v>57.15</v>
      </c>
      <c r="F183" s="260" t="n">
        <v>2.5</v>
      </c>
      <c r="G183" s="260" t="n">
        <v>5710</v>
      </c>
      <c r="H183" s="260" t="n">
        <v>5.71</v>
      </c>
      <c r="I183" s="260" t="n">
        <v>3907863</v>
      </c>
      <c r="J183" s="260" t="inlineStr">
        <is>
          <t>TUB-O-N-AUT-AW-FC-57.15X2.500X5.7110</t>
        </is>
      </c>
      <c r="K183" s="260" t="n">
        <v>71.09999999999999</v>
      </c>
      <c r="L183" s="260" t="n"/>
      <c r="M183" s="260" t="n">
        <v>9518955635</v>
      </c>
      <c r="N183" s="401" t="inlineStr">
        <is>
          <t>LOADED / RELEASED</t>
        </is>
      </c>
      <c r="O183" s="221" t="n"/>
      <c r="P183" s="590" t="n"/>
    </row>
    <row r="184">
      <c r="B184" s="260" t="n">
        <v>56</v>
      </c>
      <c r="C184" s="260" t="inlineStr">
        <is>
          <t>TVS</t>
        </is>
      </c>
      <c r="D184" s="260" t="n">
        <v>943209</v>
      </c>
      <c r="E184" s="260" t="n">
        <v>57.15</v>
      </c>
      <c r="F184" s="260" t="n">
        <v>2.5</v>
      </c>
      <c r="G184" s="260" t="n">
        <v>6100</v>
      </c>
      <c r="H184" s="260" t="n">
        <v>6.1</v>
      </c>
      <c r="I184" s="260" t="n">
        <v>3910001</v>
      </c>
      <c r="J184" s="260" t="inlineStr">
        <is>
          <t>TUB-O-N-AUT-AW-FC-57.15X2.500X6.1000</t>
        </is>
      </c>
      <c r="K184" s="260" t="n">
        <v>73.7</v>
      </c>
      <c r="L184" s="260" t="n"/>
      <c r="M184" s="260" t="n">
        <v>9518955635</v>
      </c>
      <c r="N184" s="401" t="inlineStr">
        <is>
          <t>LOADED / RELEASED</t>
        </is>
      </c>
      <c r="O184" s="221" t="n"/>
      <c r="P184" s="590" t="n"/>
    </row>
    <row r="185">
      <c r="B185" s="403" t="n">
        <v>788</v>
      </c>
      <c r="C185" s="403" t="inlineStr">
        <is>
          <t>HMSI</t>
        </is>
      </c>
      <c r="D185" s="403" t="n">
        <v>943210</v>
      </c>
      <c r="E185" s="403" t="n">
        <v>34</v>
      </c>
      <c r="F185" s="403" t="n">
        <v>1.4</v>
      </c>
      <c r="G185" s="403" t="n">
        <v>5660</v>
      </c>
      <c r="H185" s="403" t="n">
        <v>5.66</v>
      </c>
      <c r="I185" s="403" t="n">
        <v>3702855</v>
      </c>
      <c r="J185" s="403" t="inlineStr">
        <is>
          <t>TUB-O-N-AUT-AW-FC-34.00X1.400X6.5200</t>
        </is>
      </c>
      <c r="K185" s="403" t="n">
        <v>3</v>
      </c>
      <c r="L185" s="403" t="n"/>
      <c r="M185" s="403" t="n">
        <v>4000513384</v>
      </c>
      <c r="N185" s="404" t="inlineStr">
        <is>
          <t>LOADED / RELEASED</t>
        </is>
      </c>
      <c r="O185" s="405" t="inlineStr">
        <is>
          <t>Log STR to 4318</t>
        </is>
      </c>
      <c r="P185" s="444" t="n"/>
    </row>
    <row r="186">
      <c r="B186" s="403" t="n">
        <v>788</v>
      </c>
      <c r="C186" s="403" t="inlineStr">
        <is>
          <t>RE</t>
        </is>
      </c>
      <c r="D186" s="403" t="n">
        <v>943211</v>
      </c>
      <c r="E186" s="403" t="n">
        <v>38.1</v>
      </c>
      <c r="F186" s="403" t="n">
        <v>2.6</v>
      </c>
      <c r="G186" s="403" t="n">
        <v>6000</v>
      </c>
      <c r="H186" s="403" t="n">
        <v>6</v>
      </c>
      <c r="I186" s="403" t="n">
        <v>3500699</v>
      </c>
      <c r="J186" s="403" t="inlineStr">
        <is>
          <t>TUB-O-C-AUT-AD-FC-38.1X3.20X6.0BSVI-CEW1</t>
        </is>
      </c>
      <c r="K186" s="403" t="n">
        <v>5</v>
      </c>
      <c r="L186" s="403" t="n"/>
      <c r="M186" s="403" t="n">
        <v>4000513384</v>
      </c>
      <c r="N186" s="404" t="inlineStr">
        <is>
          <t>LOADED / RELEASED</t>
        </is>
      </c>
      <c r="O186" s="405" t="inlineStr">
        <is>
          <t>Log STR to 4318</t>
        </is>
      </c>
      <c r="P186" s="444" t="n"/>
    </row>
    <row r="187">
      <c r="B187" s="403" t="n">
        <v>788</v>
      </c>
      <c r="C187" s="403" t="inlineStr">
        <is>
          <t>RE</t>
        </is>
      </c>
      <c r="D187" s="403" t="n">
        <v>943211</v>
      </c>
      <c r="E187" s="403" t="n">
        <v>47.63</v>
      </c>
      <c r="F187" s="403" t="n">
        <v>4</v>
      </c>
      <c r="G187" s="403" t="n">
        <v>6040</v>
      </c>
      <c r="H187" s="403" t="n">
        <v>6.04</v>
      </c>
      <c r="I187" s="403" t="n">
        <v>3500635</v>
      </c>
      <c r="J187" s="403" t="inlineStr">
        <is>
          <t>TUB-O-C-AUT-BH-FC-47.63X4.000X6.0000</t>
        </is>
      </c>
      <c r="K187" s="403" t="n">
        <v>7</v>
      </c>
      <c r="L187" s="403" t="n"/>
      <c r="M187" s="403" t="n">
        <v>4000513384</v>
      </c>
      <c r="N187" s="404" t="inlineStr">
        <is>
          <t>LOADED / RELEASED</t>
        </is>
      </c>
      <c r="O187" s="405" t="inlineStr">
        <is>
          <t>Log STR to 4318</t>
        </is>
      </c>
      <c r="P187" s="444" t="n"/>
    </row>
    <row r="188">
      <c r="B188" s="260" t="n">
        <v>789</v>
      </c>
      <c r="C188" s="260" t="inlineStr">
        <is>
          <t>HMSI</t>
        </is>
      </c>
      <c r="D188" s="260" t="n">
        <v>943210</v>
      </c>
      <c r="E188" s="260" t="n">
        <v>15.88</v>
      </c>
      <c r="F188" s="260" t="n">
        <v>2</v>
      </c>
      <c r="G188" s="260" t="n">
        <v>6000</v>
      </c>
      <c r="H188" s="260" t="n">
        <v>6</v>
      </c>
      <c r="I188" s="260" t="n">
        <v>1940120</v>
      </c>
      <c r="J188" s="260" t="inlineStr">
        <is>
          <t>TUB-O-O-AUT-AW-PE-15.88X2.000X6.0000</t>
        </is>
      </c>
      <c r="K188" s="260" t="n">
        <v>3</v>
      </c>
      <c r="L188" s="260" t="n"/>
      <c r="M188" s="260" t="n">
        <v>9518955776</v>
      </c>
      <c r="N188" s="401" t="inlineStr">
        <is>
          <t>LOADED / RELEASED</t>
        </is>
      </c>
      <c r="O188" s="221" t="n"/>
      <c r="P188" s="590" t="n"/>
    </row>
    <row r="189">
      <c r="B189" s="260" t="n">
        <v>789</v>
      </c>
      <c r="C189" s="260" t="inlineStr">
        <is>
          <t>HMSI</t>
        </is>
      </c>
      <c r="D189" s="260" t="n">
        <v>943210</v>
      </c>
      <c r="E189" s="260" t="n">
        <v>22.2</v>
      </c>
      <c r="F189" s="260" t="n">
        <v>2</v>
      </c>
      <c r="G189" s="260" t="n">
        <v>5390</v>
      </c>
      <c r="H189" s="260" t="n">
        <v>5.39</v>
      </c>
      <c r="I189" s="260" t="n">
        <v>2431251</v>
      </c>
      <c r="J189" s="260" t="inlineStr">
        <is>
          <t>TUB-O-N-AUT-AW-PE-22.23X2.000X5.4000</t>
        </is>
      </c>
      <c r="K189" s="260" t="n">
        <v>53</v>
      </c>
      <c r="L189" s="260" t="n"/>
      <c r="M189" s="260" t="n">
        <v>9518955776</v>
      </c>
      <c r="N189" s="401" t="inlineStr">
        <is>
          <t>LOADED / RELEASED</t>
        </is>
      </c>
      <c r="O189" s="221" t="n"/>
      <c r="P189" s="590" t="n"/>
    </row>
    <row r="190">
      <c r="B190" s="260" t="n">
        <v>789</v>
      </c>
      <c r="C190" s="260" t="inlineStr">
        <is>
          <t>HMSI</t>
        </is>
      </c>
      <c r="D190" s="260" t="n">
        <v>943210</v>
      </c>
      <c r="E190" s="260" t="n">
        <v>25.4</v>
      </c>
      <c r="F190" s="260" t="n">
        <v>1.4</v>
      </c>
      <c r="G190" s="260" t="n">
        <v>6060</v>
      </c>
      <c r="H190" s="260" t="n">
        <v>6.06</v>
      </c>
      <c r="I190" s="260" t="n">
        <v>3557792</v>
      </c>
      <c r="J190" s="260" t="inlineStr">
        <is>
          <t>TUB-O-N-AUT-AW-FC-25.40X1.400X6.0600</t>
        </is>
      </c>
      <c r="K190" s="260" t="n">
        <v>10</v>
      </c>
      <c r="L190" s="260" t="n"/>
      <c r="M190" s="260" t="n">
        <v>9518955776</v>
      </c>
      <c r="N190" s="401" t="inlineStr">
        <is>
          <t>LOADED / RELEASED</t>
        </is>
      </c>
      <c r="O190" s="221" t="n"/>
      <c r="P190" s="590" t="n"/>
    </row>
    <row r="191">
      <c r="B191" s="260" t="n">
        <v>789</v>
      </c>
      <c r="C191" s="260" t="inlineStr">
        <is>
          <t>HMSI</t>
        </is>
      </c>
      <c r="D191" s="260" t="n">
        <v>943210</v>
      </c>
      <c r="E191" s="260" t="n">
        <v>48.6</v>
      </c>
      <c r="F191" s="260" t="n">
        <v>3.5</v>
      </c>
      <c r="G191" s="260" t="n">
        <v>6000</v>
      </c>
      <c r="H191" s="260" t="n">
        <v>6</v>
      </c>
      <c r="I191" s="260" t="n">
        <v>3502422</v>
      </c>
      <c r="J191" s="260" t="inlineStr">
        <is>
          <t>TUB-O-N-AUT-AW-FC-48.60X3.500X6.0500</t>
        </is>
      </c>
      <c r="K191" s="260" t="n">
        <v>21</v>
      </c>
      <c r="L191" s="260" t="n"/>
      <c r="M191" s="260" t="n">
        <v>9518955776</v>
      </c>
      <c r="N191" s="401" t="inlineStr">
        <is>
          <t>LOADED / RELEASED</t>
        </is>
      </c>
      <c r="O191" s="221" t="n"/>
      <c r="P191" s="590" t="n"/>
    </row>
    <row r="192">
      <c r="B192" s="260" t="n">
        <v>789</v>
      </c>
      <c r="C192" s="260" t="inlineStr">
        <is>
          <t>RE</t>
        </is>
      </c>
      <c r="D192" s="260" t="n">
        <v>943211</v>
      </c>
      <c r="E192" s="260" t="n">
        <v>34.93</v>
      </c>
      <c r="F192" s="260" t="n">
        <v>1.2</v>
      </c>
      <c r="G192" s="260" t="n">
        <v>620</v>
      </c>
      <c r="H192" s="260" t="n">
        <v>0.62</v>
      </c>
      <c r="I192" s="260" t="n">
        <v>2397073</v>
      </c>
      <c r="J192" s="260" t="inlineStr">
        <is>
          <t>TUB-O-N-AUT-AW-FC-34.93X1.200X0.6200</t>
        </is>
      </c>
      <c r="K192" s="260" t="n">
        <v>13</v>
      </c>
      <c r="L192" s="260" t="n"/>
      <c r="M192" s="260" t="n">
        <v>9518955802</v>
      </c>
      <c r="N192" s="401" t="inlineStr">
        <is>
          <t>LOADED / RELEASED</t>
        </is>
      </c>
      <c r="O192" s="221" t="n"/>
      <c r="P192" s="590" t="n"/>
    </row>
    <row r="193">
      <c r="B193" s="260" t="n">
        <v>789</v>
      </c>
      <c r="C193" s="260" t="inlineStr">
        <is>
          <t>RE</t>
        </is>
      </c>
      <c r="D193" s="260" t="n">
        <v>943211</v>
      </c>
      <c r="E193" s="260" t="n">
        <v>34.93</v>
      </c>
      <c r="F193" s="260" t="n">
        <v>1.2</v>
      </c>
      <c r="G193" s="260" t="n">
        <v>700</v>
      </c>
      <c r="H193" s="260" t="n">
        <v>0.7</v>
      </c>
      <c r="I193" s="260" t="n">
        <v>3649699</v>
      </c>
      <c r="J193" s="260" t="inlineStr">
        <is>
          <t>TUB-O-N-AUT-AW-FC-34.93X1.200X0.7000</t>
        </is>
      </c>
      <c r="K193" s="260" t="n">
        <v>13</v>
      </c>
      <c r="L193" s="260" t="n"/>
      <c r="M193" s="260" t="n">
        <v>9518955802</v>
      </c>
      <c r="N193" s="401" t="inlineStr">
        <is>
          <t>LOADED / RELEASED</t>
        </is>
      </c>
      <c r="O193" s="221" t="n"/>
      <c r="P193" s="590" t="n"/>
    </row>
    <row r="194">
      <c r="B194" s="260" t="n">
        <v>789</v>
      </c>
      <c r="C194" s="260" t="inlineStr">
        <is>
          <t>RE</t>
        </is>
      </c>
      <c r="D194" s="260" t="n">
        <v>943211</v>
      </c>
      <c r="E194" s="260" t="n">
        <v>48</v>
      </c>
      <c r="F194" s="260" t="n">
        <v>1.2</v>
      </c>
      <c r="G194" s="260" t="n">
        <v>620</v>
      </c>
      <c r="H194" s="260" t="n">
        <v>0.62</v>
      </c>
      <c r="I194" s="260" t="n">
        <v>2397072</v>
      </c>
      <c r="J194" s="260" t="inlineStr">
        <is>
          <t>TUB-O-N-AUT-AW-FC-48.00X1.200X0.6200</t>
        </is>
      </c>
      <c r="K194" s="260" t="n">
        <v>13</v>
      </c>
      <c r="L194" s="260" t="n"/>
      <c r="M194" s="260" t="n">
        <v>9518955802</v>
      </c>
      <c r="N194" s="401" t="inlineStr">
        <is>
          <t>LOADED / RELEASED</t>
        </is>
      </c>
      <c r="O194" s="221" t="n"/>
      <c r="P194" s="590" t="n"/>
    </row>
    <row r="195">
      <c r="B195" s="260" t="n">
        <v>789</v>
      </c>
      <c r="C195" s="260" t="inlineStr">
        <is>
          <t>RE</t>
        </is>
      </c>
      <c r="D195" s="260" t="n">
        <v>943211</v>
      </c>
      <c r="E195" s="260" t="n">
        <v>48</v>
      </c>
      <c r="F195" s="260" t="n">
        <v>1.2</v>
      </c>
      <c r="G195" s="260" t="n">
        <v>700</v>
      </c>
      <c r="H195" s="260" t="n">
        <v>0.7</v>
      </c>
      <c r="I195" s="260" t="n">
        <v>3649700</v>
      </c>
      <c r="J195" s="260" t="inlineStr">
        <is>
          <t>TUB-O-N-AUT-AW-FC-48.00X1.200X0.7000</t>
        </is>
      </c>
      <c r="K195" s="260" t="n">
        <v>17</v>
      </c>
      <c r="L195" s="260" t="n"/>
      <c r="M195" s="260" t="n">
        <v>9518955802</v>
      </c>
      <c r="N195" s="401" t="inlineStr">
        <is>
          <t>LOADED / RELEASED</t>
        </is>
      </c>
      <c r="O195" s="221" t="n"/>
      <c r="P195" s="590" t="n"/>
    </row>
    <row r="196">
      <c r="B196" s="260" t="n">
        <v>789</v>
      </c>
      <c r="C196" s="260" t="inlineStr">
        <is>
          <t>RE</t>
        </is>
      </c>
      <c r="D196" s="260" t="n">
        <v>943211</v>
      </c>
      <c r="E196" s="260" t="inlineStr">
        <is>
          <t>59x30</t>
        </is>
      </c>
      <c r="F196" s="260" t="n">
        <v>1.6</v>
      </c>
      <c r="G196" s="260" t="n">
        <v>572.5</v>
      </c>
      <c r="H196" s="260" t="n">
        <v>0.5725</v>
      </c>
      <c r="I196" s="260" t="n">
        <v>2420716</v>
      </c>
      <c r="J196" s="260" t="inlineStr">
        <is>
          <t>TUB-E-AW-AUT-59.00X30.00X1.600X0.5725</t>
        </is>
      </c>
      <c r="K196" s="260" t="n">
        <v>60</v>
      </c>
      <c r="L196" s="260" t="n"/>
      <c r="M196" s="260" t="n">
        <v>9518955802</v>
      </c>
      <c r="N196" s="401" t="inlineStr">
        <is>
          <t>LOADED / RELEASED</t>
        </is>
      </c>
      <c r="O196" s="221" t="n"/>
      <c r="P196" s="590" t="n"/>
    </row>
    <row r="197">
      <c r="B197" s="260" t="n">
        <v>789</v>
      </c>
      <c r="C197" s="260" t="inlineStr">
        <is>
          <t>TVS</t>
        </is>
      </c>
      <c r="D197" s="260" t="n">
        <v>943209</v>
      </c>
      <c r="E197" s="260" t="n">
        <v>12.7</v>
      </c>
      <c r="F197" s="260" t="n">
        <v>1.2</v>
      </c>
      <c r="G197" s="260" t="n">
        <v>6000</v>
      </c>
      <c r="H197" s="260" t="n">
        <v>6</v>
      </c>
      <c r="I197" s="260" t="n">
        <v>1939985</v>
      </c>
      <c r="J197" s="260" t="inlineStr">
        <is>
          <t>TUB-O-O-AUT-AW-PE-12.70X1.200X6.0000</t>
        </is>
      </c>
      <c r="K197" s="260" t="n">
        <v>1</v>
      </c>
      <c r="L197" s="260" t="n"/>
      <c r="M197" s="260" t="n">
        <v>9518956097</v>
      </c>
      <c r="N197" s="401" t="inlineStr">
        <is>
          <t>LOADED / RELEASED</t>
        </is>
      </c>
      <c r="O197" s="221" t="n"/>
      <c r="P197" s="590" t="n"/>
    </row>
    <row r="198">
      <c r="B198" s="260" t="n">
        <v>789</v>
      </c>
      <c r="C198" s="260" t="inlineStr">
        <is>
          <t>TVS</t>
        </is>
      </c>
      <c r="D198" s="260" t="n">
        <v>943209</v>
      </c>
      <c r="E198" s="255" t="n">
        <v>15.88</v>
      </c>
      <c r="F198" s="260" t="n">
        <v>1.2</v>
      </c>
      <c r="G198" s="260" t="n">
        <v>6000</v>
      </c>
      <c r="H198" s="260" t="n">
        <v>6</v>
      </c>
      <c r="I198" s="260" t="n">
        <v>1940054</v>
      </c>
      <c r="J198" s="260" t="inlineStr">
        <is>
          <t>TUB-O-O-AUT-AW-PE-15.88X1.200X6.0000</t>
        </is>
      </c>
      <c r="K198" s="260" t="n">
        <v>7</v>
      </c>
      <c r="L198" s="260" t="n"/>
      <c r="M198" s="260" t="n">
        <v>9518956097</v>
      </c>
      <c r="N198" s="401" t="inlineStr">
        <is>
          <t>LOADED / RELEASED</t>
        </is>
      </c>
      <c r="O198" s="221" t="n"/>
      <c r="P198" s="590" t="n"/>
    </row>
    <row r="199">
      <c r="B199" s="260" t="n">
        <v>789</v>
      </c>
      <c r="C199" s="260" t="inlineStr">
        <is>
          <t>TVS</t>
        </is>
      </c>
      <c r="D199" s="260" t="n">
        <v>943209</v>
      </c>
      <c r="E199" s="260" t="n">
        <v>18.3</v>
      </c>
      <c r="F199" s="260" t="n">
        <v>1</v>
      </c>
      <c r="G199" s="260" t="n">
        <v>6000</v>
      </c>
      <c r="H199" s="260" t="n">
        <v>6</v>
      </c>
      <c r="I199" s="260" t="n">
        <v>2288945</v>
      </c>
      <c r="J199" s="260" t="inlineStr">
        <is>
          <t>TUB-O-N-AUT-AW-PE-18.20X1.000X6.1450</t>
        </is>
      </c>
      <c r="K199" s="260" t="n">
        <v>6</v>
      </c>
      <c r="L199" s="260" t="n"/>
      <c r="M199" s="260" t="n">
        <v>9518956097</v>
      </c>
      <c r="N199" s="401" t="inlineStr">
        <is>
          <t>LOADED / RELEASED</t>
        </is>
      </c>
      <c r="O199" s="221" t="n"/>
      <c r="P199" s="590" t="n"/>
    </row>
    <row r="200">
      <c r="B200" s="260" t="n">
        <v>789</v>
      </c>
      <c r="C200" s="260" t="inlineStr">
        <is>
          <t>TVS</t>
        </is>
      </c>
      <c r="D200" s="260" t="n">
        <v>943209</v>
      </c>
      <c r="E200" s="260" t="n">
        <v>21.4</v>
      </c>
      <c r="F200" s="260" t="n">
        <v>1.6</v>
      </c>
      <c r="G200" s="260" t="n">
        <v>6000</v>
      </c>
      <c r="H200" s="260" t="n">
        <v>6</v>
      </c>
      <c r="I200" s="260" t="n">
        <v>3219710</v>
      </c>
      <c r="J200" s="260" t="inlineStr">
        <is>
          <t>TUB-O-N-AUT-AW-PE-21.40X1.600X6.0000</t>
        </is>
      </c>
      <c r="K200" s="260" t="n">
        <v>3</v>
      </c>
      <c r="L200" s="260" t="n"/>
      <c r="M200" s="260" t="n">
        <v>9518956097</v>
      </c>
      <c r="N200" s="401" t="inlineStr">
        <is>
          <t>LOADED / RELEASED</t>
        </is>
      </c>
      <c r="O200" s="221" t="n"/>
      <c r="P200" s="590" t="n"/>
    </row>
    <row r="201">
      <c r="B201" s="260" t="n">
        <v>789</v>
      </c>
      <c r="C201" s="260" t="inlineStr">
        <is>
          <t>TVS</t>
        </is>
      </c>
      <c r="D201" s="260" t="n">
        <v>943209</v>
      </c>
      <c r="E201" s="260" t="n">
        <v>22.2</v>
      </c>
      <c r="F201" s="260" t="n">
        <v>1.6</v>
      </c>
      <c r="G201" s="260" t="n">
        <v>5270</v>
      </c>
      <c r="H201" s="260" t="n">
        <v>5.27</v>
      </c>
      <c r="I201" s="260" t="n">
        <v>3575894</v>
      </c>
      <c r="J201" s="260" t="inlineStr">
        <is>
          <t>TUB-O-N-AUT-AW-PE-22.23X1.600X5.2700</t>
        </is>
      </c>
      <c r="K201" s="260" t="n">
        <v>18</v>
      </c>
      <c r="L201" s="260" t="n"/>
      <c r="M201" s="260" t="n">
        <v>9518956097</v>
      </c>
      <c r="N201" s="401" t="inlineStr">
        <is>
          <t>LOADED / RELEASED</t>
        </is>
      </c>
      <c r="O201" s="221" t="n"/>
      <c r="P201" s="590" t="n"/>
    </row>
    <row r="202">
      <c r="B202" s="260" t="n">
        <v>789</v>
      </c>
      <c r="C202" s="260" t="inlineStr">
        <is>
          <t>TVS</t>
        </is>
      </c>
      <c r="D202" s="260" t="n">
        <v>943209</v>
      </c>
      <c r="E202" s="260" t="n">
        <v>25.4</v>
      </c>
      <c r="F202" s="260" t="n">
        <v>2</v>
      </c>
      <c r="G202" s="260" t="n">
        <v>6050</v>
      </c>
      <c r="H202" s="260" t="n">
        <v>6.05</v>
      </c>
      <c r="I202" s="260" t="n">
        <v>4055021</v>
      </c>
      <c r="J202" s="260" t="inlineStr">
        <is>
          <t>TUB-O-N-AUT-AW-PE-25.40X2.000X6.0500</t>
        </is>
      </c>
      <c r="K202" s="260" t="n">
        <v>6</v>
      </c>
      <c r="L202" s="260" t="n"/>
      <c r="M202" s="260" t="n">
        <v>9518956097</v>
      </c>
      <c r="N202" s="401" t="inlineStr">
        <is>
          <t>LOADED / RELEASED</t>
        </is>
      </c>
      <c r="O202" s="221" t="n"/>
      <c r="P202" s="590" t="n"/>
    </row>
    <row r="203">
      <c r="B203" s="260" t="n">
        <v>789</v>
      </c>
      <c r="C203" s="260" t="inlineStr">
        <is>
          <t>TVS</t>
        </is>
      </c>
      <c r="D203" s="260" t="n">
        <v>943209</v>
      </c>
      <c r="E203" s="260" t="n">
        <v>31.75</v>
      </c>
      <c r="F203" s="260" t="n">
        <v>2</v>
      </c>
      <c r="G203" s="260" t="n">
        <v>6000</v>
      </c>
      <c r="H203" s="260" t="n">
        <v>6</v>
      </c>
      <c r="I203" s="260" t="n">
        <v>1931387</v>
      </c>
      <c r="J203" s="260" t="inlineStr">
        <is>
          <t>TUB-O-N-AUT-AW-FC-31.75X2.000X6.0000</t>
        </is>
      </c>
      <c r="K203" s="260" t="n">
        <v>15</v>
      </c>
      <c r="L203" s="260" t="n"/>
      <c r="M203" s="260" t="n">
        <v>9518956097</v>
      </c>
      <c r="N203" s="401" t="inlineStr">
        <is>
          <t>LOADED / RELEASED</t>
        </is>
      </c>
      <c r="O203" s="221" t="n"/>
      <c r="P203" s="590" t="n"/>
    </row>
    <row r="204">
      <c r="B204" s="260" t="n">
        <v>789</v>
      </c>
      <c r="C204" s="260" t="inlineStr">
        <is>
          <t>TVS</t>
        </is>
      </c>
      <c r="D204" s="260" t="n">
        <v>943209</v>
      </c>
      <c r="E204" s="260" t="n">
        <v>41.28</v>
      </c>
      <c r="F204" s="260" t="n">
        <v>2.6</v>
      </c>
      <c r="G204" s="260" t="n">
        <v>6000</v>
      </c>
      <c r="H204" s="260" t="n">
        <v>6</v>
      </c>
      <c r="I204" s="405" t="n">
        <v>3994149</v>
      </c>
      <c r="J204" s="405" t="inlineStr">
        <is>
          <t>TUB-O-N-AUT-AW-FC-41.28X2.600X6.0010</t>
        </is>
      </c>
      <c r="K204" s="260" t="n">
        <v>65</v>
      </c>
      <c r="L204" s="260" t="n"/>
      <c r="M204" s="260" t="n">
        <v>9518956097</v>
      </c>
      <c r="N204" s="401" t="inlineStr">
        <is>
          <t>LOADED / RELEASED</t>
        </is>
      </c>
      <c r="O204" s="221" t="n"/>
      <c r="P204" s="590" t="n"/>
    </row>
    <row r="205">
      <c r="B205" s="260" t="n">
        <v>789</v>
      </c>
      <c r="C205" s="260" t="inlineStr">
        <is>
          <t>TVS</t>
        </is>
      </c>
      <c r="D205" s="260" t="n">
        <v>943209</v>
      </c>
      <c r="E205" s="260" t="inlineStr">
        <is>
          <t>40x25</t>
        </is>
      </c>
      <c r="F205" s="260" t="n">
        <v>1.6</v>
      </c>
      <c r="G205" s="260" t="n">
        <v>6130</v>
      </c>
      <c r="H205" s="260" t="n">
        <v>6.13</v>
      </c>
      <c r="I205" s="260" t="n">
        <v>3919144</v>
      </c>
      <c r="J205" s="260" t="inlineStr">
        <is>
          <t>TUB-R-AW-AUT-40.00X25.00X1.600X6.1300</t>
        </is>
      </c>
      <c r="K205" s="260" t="n">
        <v>5</v>
      </c>
      <c r="L205" s="260" t="n"/>
      <c r="M205" s="260" t="n">
        <v>9518956097</v>
      </c>
      <c r="N205" s="401" t="inlineStr">
        <is>
          <t>LOADED / RELEASED</t>
        </is>
      </c>
      <c r="O205" s="221" t="n"/>
      <c r="P205" s="590" t="n"/>
    </row>
    <row r="206">
      <c r="B206" s="260" t="n">
        <v>789</v>
      </c>
      <c r="C206" s="260" t="inlineStr">
        <is>
          <t>TVS</t>
        </is>
      </c>
      <c r="D206" s="260" t="n">
        <v>943209</v>
      </c>
      <c r="E206" s="260" t="inlineStr">
        <is>
          <t>40x30</t>
        </is>
      </c>
      <c r="F206" s="260" t="n">
        <v>1.6</v>
      </c>
      <c r="G206" s="260" t="n">
        <v>5900</v>
      </c>
      <c r="H206" s="260" t="n">
        <v>5.9</v>
      </c>
      <c r="I206" s="260" t="n">
        <v>3925391</v>
      </c>
      <c r="J206" s="260" t="inlineStr">
        <is>
          <t>TUB-R-AW-AUT-40.00X30.00X1.600X5.9300</t>
        </is>
      </c>
      <c r="K206" s="260" t="n">
        <v>8</v>
      </c>
      <c r="L206" s="260" t="n"/>
      <c r="M206" s="260" t="n">
        <v>9518956097</v>
      </c>
      <c r="N206" s="401" t="inlineStr">
        <is>
          <t>LOADED / RELEASED</t>
        </is>
      </c>
      <c r="O206" s="221" t="n"/>
      <c r="P206" s="590" t="n"/>
    </row>
    <row r="207">
      <c r="B207" s="260" t="n">
        <v>789</v>
      </c>
      <c r="C207" s="260" t="inlineStr">
        <is>
          <t>TVS</t>
        </is>
      </c>
      <c r="D207" s="260" t="n">
        <v>943209</v>
      </c>
      <c r="E207" s="260" t="inlineStr">
        <is>
          <t>59x30</t>
        </is>
      </c>
      <c r="F207" s="260" t="n">
        <v>1.6</v>
      </c>
      <c r="G207" s="260" t="n">
        <v>6000</v>
      </c>
      <c r="H207" s="260" t="n">
        <v>6</v>
      </c>
      <c r="I207" s="260" t="n">
        <v>1940925</v>
      </c>
      <c r="J207" s="260" t="inlineStr">
        <is>
          <t>TUB-E-AW-AUT-59.00X30.00X1.600X6.0000</t>
        </is>
      </c>
      <c r="K207" s="260" t="n">
        <v>3</v>
      </c>
      <c r="L207" s="260" t="n"/>
      <c r="M207" s="260" t="n">
        <v>9518956097</v>
      </c>
      <c r="N207" s="401" t="inlineStr">
        <is>
          <t>LOADED / RELEASED</t>
        </is>
      </c>
      <c r="O207" s="221" t="n"/>
      <c r="P207" s="590" t="n"/>
    </row>
    <row r="208">
      <c r="B208" s="260" t="n"/>
      <c r="C208" s="260" t="n"/>
      <c r="D208" s="260" t="n"/>
      <c r="E208" s="260" t="n"/>
      <c r="F208" s="260" t="n"/>
      <c r="G208" s="260" t="n"/>
      <c r="H208" s="260" t="n"/>
      <c r="I208" s="260" t="n"/>
      <c r="J208" s="260" t="n"/>
      <c r="K208" s="260" t="n">
        <v>689.8</v>
      </c>
      <c r="L208" s="260" t="n"/>
      <c r="M208" s="260" t="n"/>
      <c r="N208" s="260" t="n"/>
      <c r="O208" s="221" t="n"/>
      <c r="P208" s="590" t="n"/>
    </row>
    <row r="210">
      <c r="E210" t="n">
        <v>31.75</v>
      </c>
      <c r="F210" s="331" t="n">
        <v>1.2</v>
      </c>
    </row>
    <row r="211">
      <c r="E211" t="n">
        <v>41.28</v>
      </c>
      <c r="F211" s="331" t="n">
        <v>3.2</v>
      </c>
    </row>
    <row r="213">
      <c r="A213" s="15" t="inlineStr">
        <is>
          <t>OD</t>
        </is>
      </c>
      <c r="B213" s="15" t="inlineStr">
        <is>
          <t>THK</t>
        </is>
      </c>
      <c r="C213" s="15" t="inlineStr">
        <is>
          <t>LEN</t>
        </is>
      </c>
      <c r="D213" s="15" t="inlineStr">
        <is>
          <t>QTY MT</t>
        </is>
      </c>
      <c r="E213" s="15" t="inlineStr">
        <is>
          <t>GRD</t>
        </is>
      </c>
      <c r="F213" s="15" t="inlineStr">
        <is>
          <t>Order Location</t>
        </is>
      </c>
    </row>
    <row r="214">
      <c r="A214" s="15" t="n">
        <v>12.7</v>
      </c>
      <c r="B214" s="15" t="n">
        <v>1.2</v>
      </c>
      <c r="C214" s="15" t="n">
        <v>6000</v>
      </c>
      <c r="D214" s="15" t="n">
        <v>10</v>
      </c>
      <c r="E214" s="15" t="inlineStr">
        <is>
          <t>ERW-1</t>
        </is>
      </c>
      <c r="F214" s="15" t="inlineStr">
        <is>
          <t>Hosur</t>
        </is>
      </c>
    </row>
    <row r="215">
      <c r="A215" s="15" t="n">
        <v>15.88</v>
      </c>
      <c r="B215" s="15" t="n">
        <v>1.2</v>
      </c>
      <c r="C215" s="15" t="n">
        <v>6000</v>
      </c>
      <c r="D215" s="15" t="n">
        <v>10</v>
      </c>
      <c r="E215" s="15" t="inlineStr">
        <is>
          <t>ERW-1</t>
        </is>
      </c>
      <c r="F215" s="15" t="inlineStr">
        <is>
          <t>Hosur</t>
        </is>
      </c>
    </row>
    <row r="216">
      <c r="A216" s="15" t="n">
        <v>15.88</v>
      </c>
      <c r="B216" s="15" t="n">
        <v>2</v>
      </c>
      <c r="C216" s="15" t="n">
        <v>6000</v>
      </c>
      <c r="D216" s="15" t="n">
        <v>5</v>
      </c>
      <c r="E216" s="15" t="inlineStr">
        <is>
          <t>ERW-1</t>
        </is>
      </c>
      <c r="F216" s="15" t="inlineStr">
        <is>
          <t>3 MT order at Hosur</t>
        </is>
      </c>
    </row>
    <row r="217">
      <c r="A217" s="15" t="n">
        <v>19.05</v>
      </c>
      <c r="B217" s="15" t="n">
        <v>1.4</v>
      </c>
      <c r="C217" s="15" t="n">
        <v>6000</v>
      </c>
      <c r="D217" s="15" t="n">
        <v>10</v>
      </c>
      <c r="E217" s="15" t="inlineStr">
        <is>
          <t>ERW-1</t>
        </is>
      </c>
      <c r="F217" s="15" t="inlineStr">
        <is>
          <t>Rolled but material code creation pending</t>
        </is>
      </c>
    </row>
    <row r="218">
      <c r="A218" s="15" t="n">
        <v>22.2</v>
      </c>
      <c r="B218" s="15" t="n">
        <v>1.4</v>
      </c>
      <c r="C218" s="15" t="n">
        <v>6000</v>
      </c>
      <c r="D218" s="15" t="n">
        <v>5</v>
      </c>
      <c r="E218" s="15" t="inlineStr">
        <is>
          <t>ERW-1</t>
        </is>
      </c>
      <c r="F218" s="15" t="inlineStr">
        <is>
          <t>No indent</t>
        </is>
      </c>
    </row>
    <row r="219">
      <c r="A219" s="15" t="n">
        <v>22.2</v>
      </c>
      <c r="B219" s="15" t="n">
        <v>1.6</v>
      </c>
      <c r="C219" s="15" t="n">
        <v>5270</v>
      </c>
      <c r="D219" s="15" t="n">
        <v>18</v>
      </c>
      <c r="E219" s="15" t="inlineStr">
        <is>
          <t>ERW-1</t>
        </is>
      </c>
      <c r="F219" s="15" t="inlineStr">
        <is>
          <t>Hosur</t>
        </is>
      </c>
    </row>
    <row r="220">
      <c r="A220" s="15" t="n">
        <v>22.2</v>
      </c>
      <c r="B220" s="15" t="n">
        <v>2</v>
      </c>
      <c r="C220" s="15" t="n">
        <v>5950</v>
      </c>
      <c r="D220" s="15" t="n">
        <v>50</v>
      </c>
      <c r="E220" s="15" t="inlineStr">
        <is>
          <t>ERW-1</t>
        </is>
      </c>
      <c r="F220" s="15" t="inlineStr">
        <is>
          <t>JSR</t>
        </is>
      </c>
    </row>
    <row r="221">
      <c r="A221" s="15" t="n">
        <v>22.2</v>
      </c>
      <c r="B221" s="15" t="n">
        <v>2</v>
      </c>
      <c r="C221" s="15" t="n">
        <v>5100</v>
      </c>
      <c r="D221" s="15" t="n">
        <v>30</v>
      </c>
      <c r="E221" s="15" t="inlineStr">
        <is>
          <t>ERW-1</t>
        </is>
      </c>
      <c r="F221" s="15" t="inlineStr">
        <is>
          <t>JSR</t>
        </is>
      </c>
    </row>
    <row r="222">
      <c r="A222" s="15" t="n">
        <v>25.4</v>
      </c>
      <c r="B222" s="15" t="n">
        <v>1.4</v>
      </c>
      <c r="C222" s="15" t="n">
        <v>6060</v>
      </c>
      <c r="D222" s="15" t="n">
        <v>10</v>
      </c>
      <c r="E222" s="15" t="inlineStr">
        <is>
          <t>ERW-1</t>
        </is>
      </c>
      <c r="F222" s="15" t="inlineStr">
        <is>
          <t>Hosur</t>
        </is>
      </c>
    </row>
    <row r="223">
      <c r="A223" s="15" t="n">
        <v>25.4</v>
      </c>
      <c r="B223" s="15" t="n">
        <v>1.4</v>
      </c>
      <c r="C223" s="15" t="n">
        <v>5530</v>
      </c>
      <c r="D223" s="15" t="n">
        <v>10</v>
      </c>
      <c r="E223" s="15" t="inlineStr">
        <is>
          <t>ERW-2</t>
        </is>
      </c>
      <c r="F223" s="15" t="inlineStr">
        <is>
          <t>JSR</t>
        </is>
      </c>
    </row>
    <row r="224">
      <c r="A224" s="15" t="n">
        <v>25.4</v>
      </c>
      <c r="B224" s="15" t="n">
        <v>2</v>
      </c>
      <c r="C224" s="15" t="n">
        <v>5840</v>
      </c>
      <c r="D224" s="15" t="n">
        <v>20</v>
      </c>
      <c r="E224" s="15" t="inlineStr">
        <is>
          <t>ERW-1</t>
        </is>
      </c>
      <c r="F224" s="15" t="inlineStr">
        <is>
          <t>JSR</t>
        </is>
      </c>
    </row>
    <row r="225">
      <c r="A225" s="15" t="n">
        <v>25.4</v>
      </c>
      <c r="B225" s="15" t="n">
        <v>2</v>
      </c>
      <c r="C225" s="15" t="n">
        <v>5800</v>
      </c>
      <c r="D225" s="15" t="n">
        <v>10</v>
      </c>
      <c r="E225" s="15" t="inlineStr">
        <is>
          <t>ERW-1</t>
        </is>
      </c>
      <c r="F225" s="15" t="inlineStr">
        <is>
          <t>No indent. 6 MT rolled in 6050</t>
        </is>
      </c>
    </row>
    <row r="226">
      <c r="A226" s="15" t="n">
        <v>25.4</v>
      </c>
      <c r="B226" s="15" t="n">
        <v>2.5</v>
      </c>
      <c r="C226" s="15" t="n">
        <v>5530</v>
      </c>
      <c r="D226" s="15" t="n">
        <v>30</v>
      </c>
      <c r="E226" s="15" t="inlineStr">
        <is>
          <t>ERW-1</t>
        </is>
      </c>
      <c r="F226" s="15" t="inlineStr">
        <is>
          <t>JSR</t>
        </is>
      </c>
    </row>
    <row r="227">
      <c r="A227" s="15" t="n">
        <v>31.75</v>
      </c>
      <c r="B227" s="15" t="n">
        <v>1.2</v>
      </c>
      <c r="C227" s="15" t="n">
        <v>6000</v>
      </c>
      <c r="D227" s="15" t="n">
        <v>5</v>
      </c>
      <c r="E227" s="15" t="inlineStr">
        <is>
          <t>ERW-1</t>
        </is>
      </c>
      <c r="F227" s="15" t="inlineStr">
        <is>
          <t>Hosur</t>
        </is>
      </c>
    </row>
    <row r="228">
      <c r="A228" s="15" t="n">
        <v>41.28</v>
      </c>
      <c r="B228" s="15" t="n">
        <v>3.15</v>
      </c>
      <c r="C228" s="15" t="n">
        <v>5860</v>
      </c>
      <c r="D228" s="15" t="n">
        <v>20</v>
      </c>
      <c r="E228" s="15" t="inlineStr">
        <is>
          <t>ERW-1</t>
        </is>
      </c>
      <c r="F228" s="15" t="inlineStr">
        <is>
          <t>JSR</t>
        </is>
      </c>
    </row>
    <row r="229">
      <c r="A229" s="15" t="inlineStr">
        <is>
          <t>40X25</t>
        </is>
      </c>
      <c r="B229" s="15" t="n">
        <v>10.6</v>
      </c>
      <c r="C229" s="15" t="n">
        <v>6130</v>
      </c>
      <c r="D229" s="15" t="n">
        <v>10</v>
      </c>
      <c r="E229" s="15" t="inlineStr">
        <is>
          <t>ERW-1</t>
        </is>
      </c>
      <c r="F229" s="15" t="inlineStr">
        <is>
          <t>Hosur</t>
        </is>
      </c>
    </row>
    <row r="230">
      <c r="A230" s="15" t="inlineStr">
        <is>
          <t>40X30</t>
        </is>
      </c>
      <c r="B230" s="15" t="n">
        <v>1.6</v>
      </c>
      <c r="C230" s="15" t="n">
        <v>5900</v>
      </c>
      <c r="D230" s="15" t="n">
        <v>10</v>
      </c>
      <c r="E230" s="15" t="inlineStr">
        <is>
          <t>ERW-1</t>
        </is>
      </c>
      <c r="F230" s="15" t="inlineStr">
        <is>
          <t>Hosur</t>
        </is>
      </c>
    </row>
    <row r="231">
      <c r="A231" s="15" t="n">
        <v>41.28</v>
      </c>
      <c r="B231" s="15" t="n">
        <v>2.6</v>
      </c>
      <c r="C231" s="15" t="n">
        <v>6000</v>
      </c>
      <c r="D231" s="15" t="n">
        <v>30</v>
      </c>
      <c r="E231" s="15" t="inlineStr">
        <is>
          <t>ERW-1</t>
        </is>
      </c>
      <c r="F231" s="15" t="inlineStr">
        <is>
          <t>Hosur</t>
        </is>
      </c>
    </row>
    <row r="232">
      <c r="A232" s="15" t="n">
        <v>48.6</v>
      </c>
      <c r="B232" s="15" t="n">
        <v>2.3</v>
      </c>
      <c r="C232" s="15" t="n">
        <v>6270</v>
      </c>
      <c r="D232" s="15" t="n">
        <v>20</v>
      </c>
      <c r="E232" s="15" t="inlineStr">
        <is>
          <t>ERW-2</t>
        </is>
      </c>
      <c r="F232" s="15" t="inlineStr">
        <is>
          <t>JSR</t>
        </is>
      </c>
    </row>
    <row r="233">
      <c r="A233" s="15" t="n">
        <v>57.15</v>
      </c>
      <c r="B233" s="15" t="n">
        <v>3</v>
      </c>
      <c r="C233" s="15" t="n">
        <v>5650</v>
      </c>
      <c r="D233" s="15" t="n">
        <v>12</v>
      </c>
      <c r="E233" s="15" t="inlineStr">
        <is>
          <t>ERW-1</t>
        </is>
      </c>
      <c r="F233" s="15" t="inlineStr">
        <is>
          <t>Material code creation pending. Material Created</t>
        </is>
      </c>
    </row>
    <row r="236" ht="31.5" customHeight="1" s="584">
      <c r="A236" s="434" t="inlineStr">
        <is>
          <t>OUT_DIA</t>
        </is>
      </c>
      <c r="B236" s="434" t="inlineStr">
        <is>
          <t>THICKNESS</t>
        </is>
      </c>
      <c r="C236" s="434" t="inlineStr">
        <is>
          <t>LENGTH</t>
        </is>
      </c>
      <c r="D236" s="434" t="inlineStr">
        <is>
          <t>DRAW_TYPE</t>
        </is>
      </c>
      <c r="E236" s="434" t="inlineStr">
        <is>
          <t>SPEC</t>
        </is>
      </c>
      <c r="F236" s="434" t="inlineStr">
        <is>
          <t>Total</t>
        </is>
      </c>
      <c r="G236" s="435" t="inlineStr">
        <is>
          <t>DISPATCH CLARANCE</t>
        </is>
      </c>
      <c r="H236" s="443" t="inlineStr">
        <is>
          <t>Material Code</t>
        </is>
      </c>
    </row>
    <row r="237" ht="15.75" customHeight="1" s="584">
      <c r="A237" s="436" t="n">
        <v>19.05</v>
      </c>
      <c r="B237" s="436" t="n">
        <v>1.6</v>
      </c>
      <c r="C237" s="437" t="n">
        <v>6</v>
      </c>
      <c r="D237" s="436" t="inlineStr">
        <is>
          <t>N</t>
        </is>
      </c>
      <c r="E237" s="437" t="n">
        <v>54</v>
      </c>
      <c r="F237" s="441" t="n">
        <v>865.83</v>
      </c>
      <c r="G237" s="589" t="inlineStr">
        <is>
          <t xml:space="preserve">Dispatch   </t>
        </is>
      </c>
    </row>
    <row r="238" ht="15.75" customHeight="1" s="584">
      <c r="A238" s="438" t="n">
        <v>19.05</v>
      </c>
      <c r="B238" s="436" t="n">
        <v>2</v>
      </c>
      <c r="C238" s="437" t="n">
        <v>5.802</v>
      </c>
      <c r="D238" s="436" t="inlineStr">
        <is>
          <t>N</t>
        </is>
      </c>
      <c r="E238" s="437" t="n">
        <v>54</v>
      </c>
      <c r="F238" s="441" t="n">
        <v>5463.023</v>
      </c>
      <c r="G238" s="589" t="inlineStr">
        <is>
          <t>Dispatch</t>
        </is>
      </c>
    </row>
    <row r="239" ht="15.75" customHeight="1" s="584">
      <c r="A239" s="436" t="n">
        <v>22.2</v>
      </c>
      <c r="B239" s="436" t="n">
        <v>1.2</v>
      </c>
      <c r="C239" s="437" t="n">
        <v>5.87</v>
      </c>
      <c r="D239" s="436" t="inlineStr">
        <is>
          <t>N</t>
        </is>
      </c>
      <c r="E239" s="437" t="n">
        <v>54</v>
      </c>
      <c r="F239" s="441" t="n">
        <v>5976.577</v>
      </c>
      <c r="G239" s="589" t="inlineStr">
        <is>
          <t>Dispatch</t>
        </is>
      </c>
    </row>
    <row r="240" ht="15.75" customHeight="1" s="584">
      <c r="A240" s="436" t="n">
        <v>22.2</v>
      </c>
      <c r="B240" s="436" t="n">
        <v>1.6</v>
      </c>
      <c r="C240" s="437" t="n">
        <v>5.67</v>
      </c>
      <c r="D240" s="436" t="inlineStr">
        <is>
          <t>N</t>
        </is>
      </c>
      <c r="E240" s="437" t="n">
        <v>54</v>
      </c>
      <c r="F240" s="441" t="n">
        <v>2184.411</v>
      </c>
      <c r="G240" s="589" t="inlineStr">
        <is>
          <t>Dispatch</t>
        </is>
      </c>
    </row>
    <row r="241" ht="15.75" customHeight="1" s="584">
      <c r="A241" s="436" t="n">
        <v>22.2</v>
      </c>
      <c r="B241" s="436" t="n">
        <v>2</v>
      </c>
      <c r="C241" s="437" t="n">
        <v>5.1</v>
      </c>
      <c r="D241" s="436" t="inlineStr">
        <is>
          <t>N</t>
        </is>
      </c>
      <c r="E241" s="437" t="n">
        <v>54</v>
      </c>
      <c r="F241" s="441" t="n">
        <v>37079.532</v>
      </c>
      <c r="G241" s="589" t="inlineStr">
        <is>
          <t>Dispatch</t>
        </is>
      </c>
    </row>
    <row r="242" ht="15.75" customHeight="1" s="584">
      <c r="A242" s="436" t="n">
        <v>22.2</v>
      </c>
      <c r="B242" s="436" t="n">
        <v>2</v>
      </c>
      <c r="C242" s="437" t="n">
        <v>5.951</v>
      </c>
      <c r="D242" s="436" t="inlineStr">
        <is>
          <t>N</t>
        </is>
      </c>
      <c r="E242" s="437" t="n">
        <v>54</v>
      </c>
      <c r="F242" s="441" t="n">
        <v>65224.973</v>
      </c>
      <c r="G242" s="589" t="inlineStr">
        <is>
          <t>Dispatch</t>
        </is>
      </c>
    </row>
    <row r="243" ht="15.75" customHeight="1" s="584">
      <c r="A243" s="436" t="n">
        <v>25.4</v>
      </c>
      <c r="B243" s="436" t="n">
        <v>1.6</v>
      </c>
      <c r="C243" s="437" t="n">
        <v>6</v>
      </c>
      <c r="D243" s="436" t="inlineStr">
        <is>
          <t>N</t>
        </is>
      </c>
      <c r="E243" s="437" t="n">
        <v>54</v>
      </c>
      <c r="F243" s="441" t="n">
        <v>2327.036</v>
      </c>
      <c r="G243" s="589" t="inlineStr">
        <is>
          <t>Dispatch</t>
        </is>
      </c>
    </row>
    <row r="244" ht="15.75" customHeight="1" s="584">
      <c r="A244" s="436" t="n">
        <v>25.4</v>
      </c>
      <c r="B244" s="436" t="n">
        <v>2.5</v>
      </c>
      <c r="C244" s="437" t="n">
        <v>5.53</v>
      </c>
      <c r="D244" s="436" t="inlineStr">
        <is>
          <t>N</t>
        </is>
      </c>
      <c r="E244" s="437" t="n">
        <v>54</v>
      </c>
      <c r="F244" s="441" t="n">
        <v>2190.678</v>
      </c>
      <c r="G244" s="589" t="inlineStr">
        <is>
          <t>Dispatch</t>
        </is>
      </c>
    </row>
    <row r="245" ht="15.75" customHeight="1" s="584">
      <c r="A245" s="436" t="n">
        <v>32</v>
      </c>
      <c r="B245" s="436" t="n">
        <v>4.5</v>
      </c>
      <c r="C245" s="437" t="n">
        <v>6.4</v>
      </c>
      <c r="D245" s="436" t="inlineStr">
        <is>
          <t>C</t>
        </is>
      </c>
      <c r="E245" s="437" t="n">
        <v>93</v>
      </c>
      <c r="F245" s="441" t="n">
        <v>839.876</v>
      </c>
      <c r="G245" s="589" t="inlineStr">
        <is>
          <t>Dispatch</t>
        </is>
      </c>
    </row>
    <row r="246" ht="15.75" customHeight="1" s="584">
      <c r="A246" s="436" t="n">
        <v>38.1</v>
      </c>
      <c r="B246" s="436" t="n">
        <v>1.6</v>
      </c>
      <c r="C246" s="437" t="n">
        <v>6.19</v>
      </c>
      <c r="D246" s="436" t="inlineStr">
        <is>
          <t>N</t>
        </is>
      </c>
      <c r="E246" s="437" t="n">
        <v>202</v>
      </c>
      <c r="F246" s="441" t="n">
        <v>2879.545</v>
      </c>
      <c r="G246" s="589" t="inlineStr">
        <is>
          <t>Dispatch</t>
        </is>
      </c>
    </row>
    <row r="247" ht="15.75" customHeight="1" s="584">
      <c r="A247" s="436" t="n">
        <v>38.1</v>
      </c>
      <c r="B247" s="436" t="n">
        <v>2.5</v>
      </c>
      <c r="C247" s="437" t="n">
        <v>6.19</v>
      </c>
      <c r="D247" s="436" t="inlineStr">
        <is>
          <t>N</t>
        </is>
      </c>
      <c r="E247" s="437" t="n">
        <v>55</v>
      </c>
      <c r="F247" s="441" t="n">
        <v>92873.97900000001</v>
      </c>
      <c r="G247" s="589" t="inlineStr">
        <is>
          <t>Dispatch</t>
        </is>
      </c>
    </row>
    <row r="248" ht="37.5" customHeight="1" s="584">
      <c r="A248" s="439" t="n">
        <v>39.8</v>
      </c>
      <c r="B248" s="439" t="n">
        <v>5.8</v>
      </c>
      <c r="C248" s="439" t="n">
        <v>6.6</v>
      </c>
      <c r="D248" s="439" t="n"/>
      <c r="E248" s="439" t="n"/>
      <c r="F248" s="442" t="n">
        <v>19258.2</v>
      </c>
      <c r="G248" s="440" t="inlineStr">
        <is>
          <t>Dispatch 10 MT ONLY</t>
        </is>
      </c>
    </row>
    <row r="249" ht="15.75" customHeight="1" s="584">
      <c r="A249" s="436" t="n">
        <v>41.28</v>
      </c>
      <c r="B249" s="436" t="n">
        <v>2.6</v>
      </c>
      <c r="C249" s="437" t="n">
        <v>6.08</v>
      </c>
      <c r="D249" s="436" t="inlineStr">
        <is>
          <t>N</t>
        </is>
      </c>
      <c r="E249" s="437" t="n">
        <v>54</v>
      </c>
      <c r="F249" s="441" t="n">
        <v>1085.688</v>
      </c>
      <c r="G249" s="589" t="inlineStr">
        <is>
          <t>Dispatch</t>
        </is>
      </c>
    </row>
    <row r="250" ht="15.75" customHeight="1" s="584">
      <c r="A250" s="436" t="n">
        <v>41.28</v>
      </c>
      <c r="B250" s="436" t="n">
        <v>3.15</v>
      </c>
      <c r="C250" s="437" t="n">
        <v>5.86</v>
      </c>
      <c r="D250" s="436" t="inlineStr">
        <is>
          <t>N</t>
        </is>
      </c>
      <c r="E250" s="437" t="n">
        <v>54</v>
      </c>
      <c r="F250" s="441" t="n">
        <v>32003.455</v>
      </c>
      <c r="G250" s="589" t="inlineStr">
        <is>
          <t>Dispatch</t>
        </is>
      </c>
    </row>
    <row r="251" ht="15.75" customHeight="1" s="584">
      <c r="A251" s="436" t="n">
        <v>48.6</v>
      </c>
      <c r="B251" s="436" t="n">
        <v>2.3</v>
      </c>
      <c r="C251" s="437" t="n">
        <v>6.27</v>
      </c>
      <c r="D251" s="436" t="inlineStr">
        <is>
          <t>N</t>
        </is>
      </c>
      <c r="E251" s="437" t="n">
        <v>55</v>
      </c>
      <c r="F251" s="441" t="n">
        <v>3109.448</v>
      </c>
      <c r="G251" s="589" t="inlineStr">
        <is>
          <t>Dispatch</t>
        </is>
      </c>
    </row>
    <row r="252" ht="15.75" customHeight="1" s="584">
      <c r="A252" s="436" t="n">
        <v>48.6</v>
      </c>
      <c r="B252" s="436" t="n">
        <v>2.3</v>
      </c>
      <c r="C252" s="437" t="n">
        <v>6.55</v>
      </c>
      <c r="D252" s="436" t="inlineStr">
        <is>
          <t>N</t>
        </is>
      </c>
      <c r="E252" s="437" t="n">
        <v>55</v>
      </c>
      <c r="F252" s="441" t="n">
        <v>11014.652</v>
      </c>
      <c r="G252" s="589" t="inlineStr">
        <is>
          <t>Dispatch</t>
        </is>
      </c>
    </row>
    <row r="253" ht="15.75" customHeight="1" s="584">
      <c r="A253" s="436" t="n">
        <v>57.15</v>
      </c>
      <c r="B253" s="436" t="n">
        <v>2.5</v>
      </c>
      <c r="C253" s="437" t="n">
        <v>5.711</v>
      </c>
      <c r="D253" s="436" t="inlineStr">
        <is>
          <t>N</t>
        </is>
      </c>
      <c r="E253" s="437" t="n">
        <v>54</v>
      </c>
      <c r="F253" s="441" t="n">
        <v>11233.749</v>
      </c>
      <c r="G253" s="589" t="inlineStr">
        <is>
          <t>Dispatch</t>
        </is>
      </c>
    </row>
    <row r="254" ht="15.75" customHeight="1" s="584">
      <c r="A254" s="436" t="n">
        <v>57.15</v>
      </c>
      <c r="B254" s="436" t="n">
        <v>2.5</v>
      </c>
      <c r="C254" s="437" t="n">
        <v>5.95</v>
      </c>
      <c r="D254" s="436" t="inlineStr">
        <is>
          <t>N</t>
        </is>
      </c>
      <c r="E254" s="437" t="n">
        <v>54</v>
      </c>
      <c r="F254" s="441" t="n">
        <v>29846.988</v>
      </c>
      <c r="G254" s="589" t="inlineStr">
        <is>
          <t>Dispatch</t>
        </is>
      </c>
    </row>
    <row r="255" ht="15.75" customHeight="1" s="584">
      <c r="A255" s="436" t="n">
        <v>57.15</v>
      </c>
      <c r="B255" s="436" t="n">
        <v>2.5</v>
      </c>
      <c r="C255" s="437" t="n">
        <v>6.1</v>
      </c>
      <c r="D255" s="436" t="inlineStr">
        <is>
          <t>N</t>
        </is>
      </c>
      <c r="E255" s="437" t="n">
        <v>54</v>
      </c>
      <c r="F255" s="441" t="n">
        <v>1126.719</v>
      </c>
      <c r="G255" s="589" t="inlineStr">
        <is>
          <t>Dispatch</t>
        </is>
      </c>
    </row>
  </sheetData>
  <autoFilter ref="A82:H149"/>
  <conditionalFormatting sqref="L34">
    <cfRule type="duplicateValues" priority="2" dxfId="0"/>
  </conditionalFormatting>
  <conditionalFormatting sqref="M2:P32 M33 M34:P68 O33:P33">
    <cfRule type="duplicateValues" priority="366" dxfId="0"/>
  </conditionalFormatting>
  <conditionalFormatting sqref="N33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tabColor rgb="FF00B0F0"/>
    <outlinePr summaryBelow="1" summaryRight="1"/>
    <pageSetUpPr/>
  </sheetPr>
  <dimension ref="A1:AG129"/>
  <sheetViews>
    <sheetView topLeftCell="T1" zoomScale="96" zoomScaleNormal="96" workbookViewId="0">
      <pane ySplit="1" topLeftCell="A2" activePane="bottomLeft" state="frozen"/>
      <selection activeCell="M1" sqref="M1:U1"/>
      <selection pane="bottomLeft" activeCell="M1" sqref="M1:U1"/>
    </sheetView>
  </sheetViews>
  <sheetFormatPr baseColWidth="8" defaultRowHeight="15"/>
  <cols>
    <col width="15.28515625" customWidth="1" style="584" min="2" max="3"/>
    <col width="9.28515625" customWidth="1" style="584" min="4" max="4"/>
    <col width="7.5703125" bestFit="1" customWidth="1" style="584" min="5" max="5"/>
    <col width="8.42578125" customWidth="1" style="584" min="6" max="6"/>
    <col width="9.28515625" customWidth="1" style="584" min="7" max="7"/>
    <col width="3" customWidth="1" style="584" min="8" max="8"/>
    <col width="7" customWidth="1" style="584" min="9" max="9"/>
    <col width="7.28515625" customWidth="1" style="584" min="10" max="10"/>
    <col width="6" customWidth="1" style="584" min="11" max="11"/>
    <col width="23.85546875" bestFit="1" customWidth="1" style="584" min="12" max="12"/>
    <col width="19.28515625" customWidth="1" style="584" min="13" max="13"/>
    <col width="23.28515625" customWidth="1" style="199" min="14" max="14"/>
    <col width="14.28515625" bestFit="1" customWidth="1" style="584" min="15" max="15"/>
    <col width="21.5703125" customWidth="1" style="584" min="16" max="16"/>
    <col outlineLevel="1" width="16.5703125" customWidth="1" style="584" min="17" max="17"/>
    <col outlineLevel="1" width="10.85546875" customWidth="1" style="584" min="18" max="18"/>
    <col outlineLevel="1" width="25.85546875" customWidth="1" style="584" min="19" max="19"/>
    <col outlineLevel="1" width="11.5703125" customWidth="1" style="584" min="20" max="20"/>
    <col outlineLevel="1" width="31.5703125" customWidth="1" style="584" min="21" max="21"/>
    <col outlineLevel="1" width="32.5703125" customWidth="1" style="162" min="22" max="22"/>
    <col outlineLevel="1" width="34.42578125" customWidth="1" style="174" min="23" max="23"/>
    <col outlineLevel="1" width="12.5703125" customWidth="1" style="584" min="24" max="24"/>
    <col outlineLevel="1" width="11.28515625" customWidth="1" style="584" min="25" max="25"/>
    <col outlineLevel="1" width="9.140625" customWidth="1" style="584" min="26" max="27"/>
    <col width="26.42578125" bestFit="1" customWidth="1" style="584" min="33" max="33"/>
  </cols>
  <sheetData>
    <row r="1" ht="60" customHeight="1" s="584">
      <c r="A1" s="268" t="inlineStr">
        <is>
          <t>OEM</t>
        </is>
      </c>
      <c r="B1" s="269" t="inlineStr">
        <is>
          <t>Customer Code</t>
        </is>
      </c>
      <c r="C1" s="269" t="inlineStr">
        <is>
          <t>Customer</t>
        </is>
      </c>
      <c r="D1" s="616" t="inlineStr">
        <is>
          <t>Metallurgy condition</t>
        </is>
      </c>
      <c r="E1" s="271" t="inlineStr">
        <is>
          <t>Material Type</t>
        </is>
      </c>
      <c r="F1" s="269" t="inlineStr">
        <is>
          <t>GRADE</t>
        </is>
      </c>
      <c r="G1" s="272" t="inlineStr">
        <is>
          <t>OD</t>
        </is>
      </c>
      <c r="H1" s="272" t="inlineStr">
        <is>
          <t>ID</t>
        </is>
      </c>
      <c r="I1" s="272" t="inlineStr">
        <is>
          <t>THK</t>
        </is>
      </c>
      <c r="J1" s="269" t="inlineStr">
        <is>
          <t>LENGTH</t>
        </is>
      </c>
      <c r="K1" s="271" t="inlineStr">
        <is>
          <t>Length in Mtrs</t>
        </is>
      </c>
      <c r="L1" s="269" t="inlineStr">
        <is>
          <t>Key</t>
        </is>
      </c>
      <c r="M1" s="269" t="inlineStr">
        <is>
          <t>Bucket</t>
        </is>
      </c>
      <c r="N1" s="269" t="inlineStr">
        <is>
          <t>Bucket CTL</t>
        </is>
      </c>
      <c r="O1" s="269" t="inlineStr">
        <is>
          <t>plant</t>
        </is>
      </c>
      <c r="P1" s="273" t="inlineStr">
        <is>
          <t>TSL Material Code</t>
        </is>
      </c>
      <c r="Q1" s="274" t="inlineStr">
        <is>
          <t>SCH SEP- 25</t>
        </is>
      </c>
      <c r="R1" s="271" t="inlineStr">
        <is>
          <t>BALANCE TO BE SUPPLY</t>
        </is>
      </c>
      <c r="S1" s="275" t="inlineStr">
        <is>
          <t>Stock     18-08-25</t>
        </is>
      </c>
      <c r="T1" s="271" t="inlineStr">
        <is>
          <t xml:space="preserve">intransist </t>
        </is>
      </c>
      <c r="U1" s="271" t="inlineStr">
        <is>
          <t>OPENIG STOCK FOR SEP-2025</t>
        </is>
      </c>
      <c r="V1" s="271" t="inlineStr">
        <is>
          <t xml:space="preserve">order logg </t>
        </is>
      </c>
      <c r="W1" s="271" t="inlineStr">
        <is>
          <t>Opening stock including order logger</t>
        </is>
      </c>
      <c r="X1" s="276" t="inlineStr">
        <is>
          <t xml:space="preserve">    INDENT  FOR SEP-25 as per VSM</t>
        </is>
      </c>
      <c r="Y1" s="276" t="inlineStr">
        <is>
          <t xml:space="preserve"> INDENT  FOR SEP-25 recommended</t>
        </is>
      </c>
      <c r="Z1" s="277" t="inlineStr">
        <is>
          <t>Before 20th</t>
        </is>
      </c>
      <c r="AA1" s="420" t="inlineStr">
        <is>
          <t>after 20th</t>
        </is>
      </c>
      <c r="AB1" s="472" t="inlineStr">
        <is>
          <t>Total Indent</t>
        </is>
      </c>
      <c r="AC1" s="472" t="inlineStr">
        <is>
          <t>Total Dispatched</t>
        </is>
      </c>
      <c r="AD1" s="473" t="inlineStr">
        <is>
          <t>GAP</t>
        </is>
      </c>
    </row>
    <row r="2" hidden="1" s="584">
      <c r="A2" s="265" t="inlineStr">
        <is>
          <t>TVS</t>
        </is>
      </c>
      <c r="B2" s="147" t="n">
        <v>943209</v>
      </c>
      <c r="C2" s="147" t="inlineStr">
        <is>
          <t>RUCHA</t>
        </is>
      </c>
      <c r="D2" s="147" t="inlineStr">
        <is>
          <t>CEW AN</t>
        </is>
      </c>
      <c r="E2" s="147" t="inlineStr">
        <is>
          <t>NON FIN</t>
        </is>
      </c>
      <c r="F2" s="147" t="inlineStr">
        <is>
          <t xml:space="preserve">CEW </t>
        </is>
      </c>
      <c r="G2" s="148" t="n">
        <v>11</v>
      </c>
      <c r="H2" s="148" t="n"/>
      <c r="I2" s="148" t="n">
        <v>1.5</v>
      </c>
      <c r="J2" s="147" t="n">
        <v>6000</v>
      </c>
      <c r="K2" s="147" t="n">
        <v>6</v>
      </c>
      <c r="L2" s="147">
        <f>_xlfn.CONCAT(G2,I2,K2,F2,E2)</f>
        <v/>
      </c>
      <c r="M2" s="147">
        <f>VLOOKUP(Table5[[#This Row],[Key]],aug[[#All],[Key]:[Bucket CTL]],2,0)</f>
        <v/>
      </c>
      <c r="N2" s="147">
        <f>VLOOKUP(Table5[[#This Row],[Key]],aug[[#All],[Key]:[Bucket CTL]],3,0)</f>
        <v/>
      </c>
      <c r="O2" s="149">
        <f>VLOOKUP(L2,aug[[#All],[Key]:[TSL Material Code]],7,0)</f>
        <v/>
      </c>
      <c r="P2" s="149">
        <f>VLOOKUP(L2,aug[[#All],[Key]:[TSL Material Code]],8,0)</f>
        <v/>
      </c>
      <c r="Q2" s="19" t="n">
        <v>1</v>
      </c>
      <c r="R2" s="147" t="n">
        <v>0</v>
      </c>
      <c r="S2" s="147" t="n">
        <v>0</v>
      </c>
      <c r="T2" s="147" t="n"/>
      <c r="U2" s="147">
        <f>S2-R2</f>
        <v/>
      </c>
      <c r="V2" s="147" t="n">
        <v>0</v>
      </c>
      <c r="W2" s="147">
        <f>U2+V2</f>
        <v/>
      </c>
      <c r="X2" s="19">
        <f>Q2-W2</f>
        <v/>
      </c>
      <c r="Y2" s="167" t="n">
        <v>0</v>
      </c>
      <c r="Z2" s="19">
        <f>SUMIFS(meghsteelsales_previousmonth[Quantity],meghsteelsales_previousmonth[Length Bucket],Table5[[#This Row],[Bucket CTL]])/1000</f>
        <v/>
      </c>
      <c r="AA2" s="419">
        <f>SUMIFS(meghsteelsales_currentmonth[Quantity],meghsteelsales_currentmonth[Length Bucket],Table5[[#This Row],[Bucket CTL]])/1000</f>
        <v/>
      </c>
      <c r="AB2">
        <f>Table5[[#This Row],[ INDENT  FOR SEP-25 recommended]]+Table5[[#This Row],[order logg ]]</f>
        <v/>
      </c>
      <c r="AC2" s="585">
        <f>Table5[[#This Row],[Before 20th]]+Table5[[#This Row],[after 20th]]</f>
        <v/>
      </c>
      <c r="AD2" s="585">
        <f>IF((Table5[[#This Row],[Total Indent]]-Table5[[#This Row],[Total Dispatched]])&lt;0,0,Table5[[#This Row],[Total Indent]]-Table5[[#This Row],[Total Dispatched]])</f>
        <v/>
      </c>
      <c r="AG2">
        <f t="array" ref="AG2:AG5">_xlfn._xlws.FILTER(Table5[Key],ISNA(_xlfn.XMATCH(Table5[Key],aug[Key])))</f>
        <v/>
      </c>
    </row>
    <row r="3" hidden="1" s="584">
      <c r="A3" s="265" t="inlineStr">
        <is>
          <t>TVS</t>
        </is>
      </c>
      <c r="B3" s="147" t="n">
        <v>943209</v>
      </c>
      <c r="C3" s="147" t="inlineStr">
        <is>
          <t>RUCHA</t>
        </is>
      </c>
      <c r="D3" s="147" t="inlineStr">
        <is>
          <t>ERW1</t>
        </is>
      </c>
      <c r="E3" s="147" t="inlineStr">
        <is>
          <t>NON FIN</t>
        </is>
      </c>
      <c r="F3" s="147" t="inlineStr">
        <is>
          <t>ERW</t>
        </is>
      </c>
      <c r="G3" s="148" t="n">
        <v>12.7</v>
      </c>
      <c r="H3" s="148" t="n"/>
      <c r="I3" s="148" t="n">
        <v>1.2</v>
      </c>
      <c r="J3" s="147" t="n">
        <v>6000</v>
      </c>
      <c r="K3" s="147" t="n">
        <v>6</v>
      </c>
      <c r="L3" s="147">
        <f>_xlfn.CONCAT(G3,I3,K3,F3,E3)</f>
        <v/>
      </c>
      <c r="M3" s="147">
        <f>VLOOKUP(Table5[[#This Row],[Key]],aug[[#All],[Key]:[Bucket CTL]],2,0)</f>
        <v/>
      </c>
      <c r="N3" s="147">
        <f>VLOOKUP(Table5[[#This Row],[Key]],aug[[#All],[Key]:[Bucket CTL]],3,0)</f>
        <v/>
      </c>
      <c r="O3" s="149">
        <f>VLOOKUP(L3,aug[[#All],[Key]:[TSL Material Code]],7,0)</f>
        <v/>
      </c>
      <c r="P3" s="149">
        <f>VLOOKUP(L3,aug[[#All],[Key]:[TSL Material Code]],8,0)</f>
        <v/>
      </c>
      <c r="Q3" s="19" t="n">
        <v>10</v>
      </c>
      <c r="R3" s="147" t="n">
        <v>5</v>
      </c>
      <c r="S3" s="147" t="n">
        <v>7</v>
      </c>
      <c r="T3" s="147" t="n"/>
      <c r="U3" s="147">
        <f>S3-R3</f>
        <v/>
      </c>
      <c r="V3" s="147" t="n"/>
      <c r="W3" s="147">
        <f>U3+V3</f>
        <v/>
      </c>
      <c r="X3" s="19">
        <f>Q3-W3</f>
        <v/>
      </c>
      <c r="Y3" s="167" t="n">
        <v>24</v>
      </c>
      <c r="Z3" s="19">
        <f>SUMIFS(meghsteelsales_previousmonth[Quantity],meghsteelsales_previousmonth[Length Bucket],Table5[[#This Row],[Bucket CTL]])/1000</f>
        <v/>
      </c>
      <c r="AA3" s="419">
        <f>SUMIFS(meghsteelsales_currentmonth[Quantity],meghsteelsales_currentmonth[Length Bucket],Table5[[#This Row],[Bucket CTL]])/1000</f>
        <v/>
      </c>
      <c r="AB3">
        <f>Table5[[#This Row],[ INDENT  FOR SEP-25 recommended]]+Table5[[#This Row],[order logg ]]</f>
        <v/>
      </c>
      <c r="AC3" s="585">
        <f>Table5[[#This Row],[Before 20th]]+Table5[[#This Row],[after 20th]]</f>
        <v/>
      </c>
      <c r="AD3" s="585">
        <f>IF((Table5[[#This Row],[Total Indent]]-Table5[[#This Row],[Total Dispatched]])&lt;0,0,Table5[[#This Row],[Total Indent]]-Table5[[#This Row],[Total Dispatched]])</f>
        <v/>
      </c>
      <c r="AG3" t="inlineStr">
        <is>
          <t>38.13.26ERWFIN CUT</t>
        </is>
      </c>
    </row>
    <row r="4">
      <c r="A4" s="265" t="inlineStr">
        <is>
          <t>HMSI</t>
        </is>
      </c>
      <c r="B4" s="147" t="n">
        <v>943210</v>
      </c>
      <c r="C4" s="147" t="inlineStr">
        <is>
          <t>BADVE</t>
        </is>
      </c>
      <c r="D4" s="147" t="inlineStr">
        <is>
          <t>ERW1</t>
        </is>
      </c>
      <c r="E4" s="147" t="inlineStr">
        <is>
          <t>NON FIN</t>
        </is>
      </c>
      <c r="F4" s="147" t="inlineStr">
        <is>
          <t>ERW</t>
        </is>
      </c>
      <c r="G4" s="148" t="n">
        <v>12.7</v>
      </c>
      <c r="H4" s="148" t="n"/>
      <c r="I4" s="148" t="n">
        <v>1.4</v>
      </c>
      <c r="J4" s="147" t="n">
        <v>6000</v>
      </c>
      <c r="K4" s="147" t="n">
        <v>6</v>
      </c>
      <c r="L4" s="147">
        <f>_xlfn.CONCAT(G4,I4,K4,F4,E4)</f>
        <v/>
      </c>
      <c r="M4" s="147">
        <f>VLOOKUP(Table5[[#This Row],[Key]],aug[[#All],[Key]:[Bucket CTL]],2,0)</f>
        <v/>
      </c>
      <c r="N4" s="147">
        <f>VLOOKUP(Table5[[#This Row],[Key]],aug[[#All],[Key]:[Bucket CTL]],3,0)</f>
        <v/>
      </c>
      <c r="O4" s="149">
        <f>VLOOKUP(L4,aug[[#All],[Key]:[TSL Material Code]],7,0)</f>
        <v/>
      </c>
      <c r="P4" s="149">
        <f>VLOOKUP(L4,aug[[#All],[Key]:[TSL Material Code]],8,0)</f>
        <v/>
      </c>
      <c r="Q4" s="19" t="n">
        <v>5</v>
      </c>
      <c r="R4" s="147" t="n">
        <v>0</v>
      </c>
      <c r="S4" s="147" t="n">
        <v>7</v>
      </c>
      <c r="T4" s="147" t="n"/>
      <c r="U4" s="147">
        <f>S4-R4</f>
        <v/>
      </c>
      <c r="V4" s="147" t="n"/>
      <c r="W4" s="147">
        <f>U4+V4</f>
        <v/>
      </c>
      <c r="X4" s="19">
        <f>Q4-W4</f>
        <v/>
      </c>
      <c r="Y4" s="167">
        <f>IF(X4&gt;0,X4,0)*150%</f>
        <v/>
      </c>
      <c r="Z4" s="19">
        <f>SUMIFS(meghsteelsales_previousmonth[Quantity],meghsteelsales_previousmonth[Length Bucket],Table5[[#This Row],[Bucket CTL]])/1000</f>
        <v/>
      </c>
      <c r="AA4" s="419">
        <f>SUMIFS(meghsteelsales_currentmonth[Quantity],meghsteelsales_currentmonth[Length Bucket],Table5[[#This Row],[Bucket CTL]])/1000</f>
        <v/>
      </c>
      <c r="AB4">
        <f>Table5[[#This Row],[ INDENT  FOR SEP-25 recommended]]+Table5[[#This Row],[order logg ]]</f>
        <v/>
      </c>
      <c r="AC4" s="585">
        <f>Table5[[#This Row],[Before 20th]]+Table5[[#This Row],[after 20th]]</f>
        <v/>
      </c>
      <c r="AD4" s="585">
        <f>IF((Table5[[#This Row],[Total Indent]]-Table5[[#This Row],[Total Dispatched]])&lt;0,0,Table5[[#This Row],[Total Indent]]-Table5[[#This Row],[Total Dispatched]])</f>
        <v/>
      </c>
      <c r="AG4" t="inlineStr">
        <is>
          <t>453.56.1CEW-1FIN CUT</t>
        </is>
      </c>
    </row>
    <row r="5" hidden="1" s="584">
      <c r="A5" s="265" t="inlineStr">
        <is>
          <t>HMSI</t>
        </is>
      </c>
      <c r="B5" s="147" t="n">
        <v>943210</v>
      </c>
      <c r="C5" s="147" t="inlineStr">
        <is>
          <t>BADVE</t>
        </is>
      </c>
      <c r="D5" s="147" t="inlineStr">
        <is>
          <t>ERW1</t>
        </is>
      </c>
      <c r="E5" s="147" t="inlineStr">
        <is>
          <t>NON FIN</t>
        </is>
      </c>
      <c r="F5" s="147" t="inlineStr">
        <is>
          <t>ERW</t>
        </is>
      </c>
      <c r="G5" s="148" t="n">
        <v>12.7</v>
      </c>
      <c r="H5" s="148" t="n"/>
      <c r="I5" s="148" t="n">
        <v>1.6</v>
      </c>
      <c r="J5" s="147" t="n">
        <v>6000</v>
      </c>
      <c r="K5" s="147" t="n">
        <v>6</v>
      </c>
      <c r="L5" s="147">
        <f>_xlfn.CONCAT(G5,I5,K5,F5,E5)</f>
        <v/>
      </c>
      <c r="M5" s="147" t="inlineStr">
        <is>
          <t>12.7-0-1.2-ERW 1-PE</t>
        </is>
      </c>
      <c r="N5" s="147" t="inlineStr">
        <is>
          <t>12.7-0-1.2-ERW 1-PE-6</t>
        </is>
      </c>
      <c r="O5" s="149">
        <f>VLOOKUP(L5,aug[[#All],[Key]:[TSL Material Code]],7,0)</f>
        <v/>
      </c>
      <c r="P5" s="149">
        <f>VLOOKUP(L5,aug[[#All],[Key]:[TSL Material Code]],8,0)</f>
        <v/>
      </c>
      <c r="Q5" s="19" t="n">
        <v>2</v>
      </c>
      <c r="R5" s="147" t="n">
        <v>1</v>
      </c>
      <c r="S5" s="147" t="n">
        <v>4</v>
      </c>
      <c r="T5" s="147" t="n"/>
      <c r="U5" s="147">
        <f>S5-R5</f>
        <v/>
      </c>
      <c r="V5" s="147" t="n"/>
      <c r="W5" s="147">
        <f>U5+V5</f>
        <v/>
      </c>
      <c r="X5" s="19">
        <f>Q5-W5</f>
        <v/>
      </c>
      <c r="Y5" s="167">
        <f>IF(X5&gt;0,X5,0)*150%</f>
        <v/>
      </c>
      <c r="Z5" s="19">
        <f>SUMIFS(meghsteelsales_previousmonth[Quantity],meghsteelsales_previousmonth[Length Bucket],Table5[[#This Row],[Bucket CTL]])/1000</f>
        <v/>
      </c>
      <c r="AA5" s="419">
        <f>SUMIFS(meghsteelsales_currentmonth[Quantity],meghsteelsales_currentmonth[Length Bucket],Table5[[#This Row],[Bucket CTL]])/1000</f>
        <v/>
      </c>
      <c r="AB5">
        <f>Table5[[#This Row],[ INDENT  FOR SEP-25 recommended]]+Table5[[#This Row],[order logg ]]</f>
        <v/>
      </c>
      <c r="AC5" s="585">
        <f>Table5[[#This Row],[Before 20th]]+Table5[[#This Row],[after 20th]]</f>
        <v/>
      </c>
      <c r="AD5" s="585">
        <f>IF((Table5[[#This Row],[Total Indent]]-Table5[[#This Row],[Total Dispatched]])&lt;0,0,Table5[[#This Row],[Total Indent]]-Table5[[#This Row],[Total Dispatched]])</f>
        <v/>
      </c>
      <c r="AG5" t="inlineStr">
        <is>
          <t>57.152.55.75ERWFIN CUT</t>
        </is>
      </c>
    </row>
    <row r="6" hidden="1" s="584">
      <c r="A6" s="265" t="inlineStr">
        <is>
          <t>TVS</t>
        </is>
      </c>
      <c r="B6" s="147" t="n">
        <v>943209</v>
      </c>
      <c r="C6" s="147" t="inlineStr">
        <is>
          <t>RUCHA</t>
        </is>
      </c>
      <c r="D6" s="147" t="inlineStr">
        <is>
          <t>ERW1</t>
        </is>
      </c>
      <c r="E6" s="147" t="inlineStr">
        <is>
          <t>NON FIN</t>
        </is>
      </c>
      <c r="F6" s="147" t="inlineStr">
        <is>
          <t>ERW</t>
        </is>
      </c>
      <c r="G6" s="148" t="n">
        <v>12.7</v>
      </c>
      <c r="H6" s="148" t="n"/>
      <c r="I6" s="148" t="n">
        <v>2</v>
      </c>
      <c r="J6" s="147" t="n">
        <v>6000</v>
      </c>
      <c r="K6" s="147" t="n">
        <v>6</v>
      </c>
      <c r="L6" s="147">
        <f>_xlfn.CONCAT(G6,I6,K6,F6,E6)</f>
        <v/>
      </c>
      <c r="M6" s="147">
        <f>VLOOKUP(Table5[[#This Row],[Key]],aug[[#All],[Key]:[Bucket CTL]],2,0)</f>
        <v/>
      </c>
      <c r="N6" s="147">
        <f>VLOOKUP(Table5[[#This Row],[Key]],aug[[#All],[Key]:[Bucket CTL]],3,0)</f>
        <v/>
      </c>
      <c r="O6" s="149">
        <f>VLOOKUP(L6,aug[[#All],[Key]:[TSL Material Code]],7,0)</f>
        <v/>
      </c>
      <c r="P6" s="149">
        <f>VLOOKUP(L6,aug[[#All],[Key]:[TSL Material Code]],8,0)</f>
        <v/>
      </c>
      <c r="Q6" s="19" t="n">
        <v>3</v>
      </c>
      <c r="R6" s="147" t="n">
        <v>0</v>
      </c>
      <c r="S6" s="147" t="n">
        <v>0</v>
      </c>
      <c r="T6" s="147" t="n"/>
      <c r="U6" s="147">
        <f>S6-R6</f>
        <v/>
      </c>
      <c r="V6" s="147" t="n"/>
      <c r="W6" s="147">
        <f>U6+V6</f>
        <v/>
      </c>
      <c r="X6" s="19">
        <f>Q6-W6</f>
        <v/>
      </c>
      <c r="Y6" s="167">
        <f>IF(X6&gt;0,X6,0)*150%</f>
        <v/>
      </c>
      <c r="Z6" s="19">
        <f>SUMIFS(meghsteelsales_previousmonth[Quantity],meghsteelsales_previousmonth[Length Bucket],Table5[[#This Row],[Bucket CTL]])/1000</f>
        <v/>
      </c>
      <c r="AA6" s="419">
        <f>SUMIFS(meghsteelsales_currentmonth[Quantity],meghsteelsales_currentmonth[Length Bucket],Table5[[#This Row],[Bucket CTL]])/1000</f>
        <v/>
      </c>
      <c r="AB6">
        <f>Table5[[#This Row],[ INDENT  FOR SEP-25 recommended]]+Table5[[#This Row],[order logg ]]</f>
        <v/>
      </c>
      <c r="AC6" s="585">
        <f>Table5[[#This Row],[Before 20th]]+Table5[[#This Row],[after 20th]]</f>
        <v/>
      </c>
      <c r="AD6" s="585">
        <f>IF((Table5[[#This Row],[Total Indent]]-Table5[[#This Row],[Total Dispatched]])&lt;0,0,Table5[[#This Row],[Total Indent]]-Table5[[#This Row],[Total Dispatched]])</f>
        <v/>
      </c>
    </row>
    <row r="7" hidden="1" s="584">
      <c r="A7" s="265" t="inlineStr">
        <is>
          <t>HMSI</t>
        </is>
      </c>
      <c r="B7" s="147" t="n">
        <v>943210</v>
      </c>
      <c r="C7" s="147" t="inlineStr">
        <is>
          <t>BADVE</t>
        </is>
      </c>
      <c r="D7" s="147" t="inlineStr">
        <is>
          <t>ERW1</t>
        </is>
      </c>
      <c r="E7" s="147" t="inlineStr">
        <is>
          <t>NON FIN</t>
        </is>
      </c>
      <c r="F7" s="147" t="inlineStr">
        <is>
          <t>ERW</t>
        </is>
      </c>
      <c r="G7" s="148" t="n">
        <v>15.88</v>
      </c>
      <c r="H7" s="148" t="n"/>
      <c r="I7" s="148" t="n">
        <v>1</v>
      </c>
      <c r="J7" s="147" t="n">
        <v>6000</v>
      </c>
      <c r="K7" s="147" t="n">
        <v>6</v>
      </c>
      <c r="L7" s="147">
        <f>_xlfn.CONCAT(G7,I7,K7,F7,E7)</f>
        <v/>
      </c>
      <c r="M7" s="147">
        <f>VLOOKUP(Table5[[#This Row],[Key]],aug[[#All],[Key]:[Bucket CTL]],2,0)</f>
        <v/>
      </c>
      <c r="N7" s="147">
        <f>VLOOKUP(Table5[[#This Row],[Key]],aug[[#All],[Key]:[Bucket CTL]],3,0)</f>
        <v/>
      </c>
      <c r="O7" s="149">
        <f>VLOOKUP(L7,aug[[#All],[Key]:[TSL Material Code]],7,0)</f>
        <v/>
      </c>
      <c r="P7" s="149">
        <f>VLOOKUP(L7,aug[[#All],[Key]:[TSL Material Code]],8,0)</f>
        <v/>
      </c>
      <c r="Q7" s="19" t="n">
        <v>1</v>
      </c>
      <c r="R7" s="147" t="n">
        <v>0</v>
      </c>
      <c r="S7" s="147" t="n">
        <v>1.4</v>
      </c>
      <c r="T7" s="147" t="n"/>
      <c r="U7" s="147">
        <f>S7-R7</f>
        <v/>
      </c>
      <c r="V7" s="147" t="n"/>
      <c r="W7" s="147">
        <f>U7+V7</f>
        <v/>
      </c>
      <c r="X7" s="19">
        <f>Q7-W7</f>
        <v/>
      </c>
      <c r="Y7" s="167">
        <f>IF(X7&gt;0,X7,0)*150%</f>
        <v/>
      </c>
      <c r="Z7" s="19">
        <f>SUMIFS(meghsteelsales_previousmonth[Quantity],meghsteelsales_previousmonth[Length Bucket],Table5[[#This Row],[Bucket CTL]])/1000</f>
        <v/>
      </c>
      <c r="AA7" s="419">
        <f>SUMIFS(meghsteelsales_currentmonth[Quantity],meghsteelsales_currentmonth[Length Bucket],Table5[[#This Row],[Bucket CTL]])/1000</f>
        <v/>
      </c>
      <c r="AB7">
        <f>Table5[[#This Row],[ INDENT  FOR SEP-25 recommended]]+Table5[[#This Row],[order logg ]]</f>
        <v/>
      </c>
      <c r="AC7" s="585">
        <f>Table5[[#This Row],[Before 20th]]+Table5[[#This Row],[after 20th]]</f>
        <v/>
      </c>
      <c r="AD7" s="585">
        <f>IF((Table5[[#This Row],[Total Indent]]-Table5[[#This Row],[Total Dispatched]])&lt;0,0,Table5[[#This Row],[Total Indent]]-Table5[[#This Row],[Total Dispatched]])</f>
        <v/>
      </c>
    </row>
    <row r="8" hidden="1" s="584">
      <c r="A8" s="265" t="inlineStr">
        <is>
          <t>TVS</t>
        </is>
      </c>
      <c r="B8" s="147" t="n">
        <v>943209</v>
      </c>
      <c r="C8" s="147" t="inlineStr">
        <is>
          <t>RUCHA</t>
        </is>
      </c>
      <c r="D8" s="147" t="inlineStr">
        <is>
          <t>ERW1</t>
        </is>
      </c>
      <c r="E8" s="147" t="inlineStr">
        <is>
          <t>NON FIN</t>
        </is>
      </c>
      <c r="F8" s="147" t="inlineStr">
        <is>
          <t>ERW</t>
        </is>
      </c>
      <c r="G8" s="148" t="n">
        <v>15.88</v>
      </c>
      <c r="H8" s="148" t="n"/>
      <c r="I8" s="148" t="n">
        <v>1.2</v>
      </c>
      <c r="J8" s="147" t="n">
        <v>6000</v>
      </c>
      <c r="K8" s="147" t="n">
        <v>6</v>
      </c>
      <c r="L8" s="147">
        <f>_xlfn.CONCAT(G8,I8,K8,F8,E8)</f>
        <v/>
      </c>
      <c r="M8" s="147">
        <f>VLOOKUP(Table5[[#This Row],[Key]],aug[[#All],[Key]:[Bucket CTL]],2,0)</f>
        <v/>
      </c>
      <c r="N8" s="147">
        <f>VLOOKUP(Table5[[#This Row],[Key]],aug[[#All],[Key]:[Bucket CTL]],3,0)</f>
        <v/>
      </c>
      <c r="O8" s="149">
        <f>VLOOKUP(L8,aug[[#All],[Key]:[TSL Material Code]],7,0)</f>
        <v/>
      </c>
      <c r="P8" s="149">
        <f>VLOOKUP(L8,aug[[#All],[Key]:[TSL Material Code]],8,0)</f>
        <v/>
      </c>
      <c r="Q8" s="19" t="n">
        <v>10</v>
      </c>
      <c r="R8" s="147" t="n">
        <v>0</v>
      </c>
      <c r="S8" s="147" t="n">
        <v>0</v>
      </c>
      <c r="T8" s="147" t="n"/>
      <c r="U8" s="147">
        <f>S8-R8</f>
        <v/>
      </c>
      <c r="V8" s="147" t="n"/>
      <c r="W8" s="147">
        <f>U8+V8</f>
        <v/>
      </c>
      <c r="X8" s="19">
        <f>Q8-W8</f>
        <v/>
      </c>
      <c r="Y8" s="167" t="n">
        <v>12</v>
      </c>
      <c r="Z8" s="19">
        <f>SUMIFS(meghsteelsales_previousmonth[Quantity],meghsteelsales_previousmonth[Length Bucket],Table5[[#This Row],[Bucket CTL]])/1000</f>
        <v/>
      </c>
      <c r="AA8" s="419">
        <f>SUMIFS(meghsteelsales_currentmonth[Quantity],meghsteelsales_currentmonth[Length Bucket],Table5[[#This Row],[Bucket CTL]])/1000</f>
        <v/>
      </c>
      <c r="AB8">
        <f>Table5[[#This Row],[ INDENT  FOR SEP-25 recommended]]+Table5[[#This Row],[order logg ]]</f>
        <v/>
      </c>
      <c r="AC8" s="585">
        <f>Table5[[#This Row],[Before 20th]]+Table5[[#This Row],[after 20th]]</f>
        <v/>
      </c>
      <c r="AD8" s="585">
        <f>IF((Table5[[#This Row],[Total Indent]]-Table5[[#This Row],[Total Dispatched]])&lt;0,0,Table5[[#This Row],[Total Indent]]-Table5[[#This Row],[Total Dispatched]])</f>
        <v/>
      </c>
    </row>
    <row r="9" hidden="1" s="584">
      <c r="A9" s="265" t="inlineStr">
        <is>
          <t>HMSI</t>
        </is>
      </c>
      <c r="B9" s="147" t="n">
        <v>943210</v>
      </c>
      <c r="C9" s="147" t="inlineStr">
        <is>
          <t>BADVE</t>
        </is>
      </c>
      <c r="D9" s="147" t="inlineStr">
        <is>
          <t>ERW1</t>
        </is>
      </c>
      <c r="E9" s="147" t="inlineStr">
        <is>
          <t>NON FIN</t>
        </is>
      </c>
      <c r="F9" s="147" t="inlineStr">
        <is>
          <t>ERW</t>
        </is>
      </c>
      <c r="G9" s="148" t="n">
        <v>15.88</v>
      </c>
      <c r="H9" s="148" t="n"/>
      <c r="I9" s="148" t="n">
        <v>1.6</v>
      </c>
      <c r="J9" s="147" t="n">
        <v>6000</v>
      </c>
      <c r="K9" s="147" t="n">
        <v>6</v>
      </c>
      <c r="L9" s="147">
        <f>_xlfn.CONCAT(G9,I9,K9,F9,E9)</f>
        <v/>
      </c>
      <c r="M9" s="147">
        <f>VLOOKUP(Table5[[#This Row],[Key]],aug[[#All],[Key]:[Bucket CTL]],2,0)</f>
        <v/>
      </c>
      <c r="N9" s="147">
        <f>VLOOKUP(Table5[[#This Row],[Key]],aug[[#All],[Key]:[Bucket CTL]],3,0)</f>
        <v/>
      </c>
      <c r="O9" s="149">
        <f>VLOOKUP(L9,aug[[#All],[Key]:[TSL Material Code]],7,0)</f>
        <v/>
      </c>
      <c r="P9" s="149">
        <f>VLOOKUP(L9,aug[[#All],[Key]:[TSL Material Code]],8,0)</f>
        <v/>
      </c>
      <c r="Q9" s="19" t="n">
        <v>2</v>
      </c>
      <c r="R9" s="147" t="n">
        <v>0</v>
      </c>
      <c r="S9" s="147" t="n">
        <v>2.5</v>
      </c>
      <c r="T9" s="147" t="n"/>
      <c r="U9" s="147">
        <f>S9-R9</f>
        <v/>
      </c>
      <c r="V9" s="147" t="n"/>
      <c r="W9" s="147">
        <f>U9+V9</f>
        <v/>
      </c>
      <c r="X9" s="19">
        <f>Q9-W9</f>
        <v/>
      </c>
      <c r="Y9" s="167">
        <f>IF(X9&gt;0,X9,0)*150%</f>
        <v/>
      </c>
      <c r="Z9" s="19">
        <f>SUMIFS(meghsteelsales_previousmonth[Quantity],meghsteelsales_previousmonth[Length Bucket],Table5[[#This Row],[Bucket CTL]])/1000</f>
        <v/>
      </c>
      <c r="AA9" s="419">
        <f>SUMIFS(meghsteelsales_currentmonth[Quantity],meghsteelsales_currentmonth[Length Bucket],Table5[[#This Row],[Bucket CTL]])/1000</f>
        <v/>
      </c>
      <c r="AB9">
        <f>Table5[[#This Row],[ INDENT  FOR SEP-25 recommended]]+Table5[[#This Row],[order logg ]]</f>
        <v/>
      </c>
      <c r="AC9" s="585">
        <f>Table5[[#This Row],[Before 20th]]+Table5[[#This Row],[after 20th]]</f>
        <v/>
      </c>
      <c r="AD9" s="585">
        <f>IF((Table5[[#This Row],[Total Indent]]-Table5[[#This Row],[Total Dispatched]])&lt;0,0,Table5[[#This Row],[Total Indent]]-Table5[[#This Row],[Total Dispatched]])</f>
        <v/>
      </c>
    </row>
    <row r="10" hidden="1" s="584">
      <c r="A10" s="265" t="inlineStr">
        <is>
          <t>HMSI</t>
        </is>
      </c>
      <c r="B10" s="147" t="n">
        <v>943210</v>
      </c>
      <c r="C10" s="147" t="inlineStr">
        <is>
          <t>BADVE</t>
        </is>
      </c>
      <c r="D10" s="147" t="inlineStr">
        <is>
          <t>ERW1</t>
        </is>
      </c>
      <c r="E10" s="147" t="inlineStr">
        <is>
          <t>NON FIN</t>
        </is>
      </c>
      <c r="F10" s="147" t="inlineStr">
        <is>
          <t>ERW</t>
        </is>
      </c>
      <c r="G10" s="148" t="n">
        <v>15.88</v>
      </c>
      <c r="H10" s="148" t="n"/>
      <c r="I10" s="148" t="n">
        <v>2</v>
      </c>
      <c r="J10" s="147" t="n">
        <v>6000</v>
      </c>
      <c r="K10" s="147" t="n">
        <v>6</v>
      </c>
      <c r="L10" s="147">
        <f>_xlfn.CONCAT(G10,I10,K10,F10,E10)</f>
        <v/>
      </c>
      <c r="M10" s="147">
        <f>VLOOKUP(Table5[[#This Row],[Key]],aug[[#All],[Key]:[Bucket CTL]],2,0)</f>
        <v/>
      </c>
      <c r="N10" s="147">
        <f>VLOOKUP(Table5[[#This Row],[Key]],aug[[#All],[Key]:[Bucket CTL]],3,0)</f>
        <v/>
      </c>
      <c r="O10" s="149">
        <f>VLOOKUP(L10,aug[[#All],[Key]:[TSL Material Code]],7,0)</f>
        <v/>
      </c>
      <c r="P10" s="149">
        <f>VLOOKUP(L10,aug[[#All],[Key]:[TSL Material Code]],8,0)</f>
        <v/>
      </c>
      <c r="Q10" s="19" t="n">
        <v>5</v>
      </c>
      <c r="R10" s="147" t="n">
        <v>2</v>
      </c>
      <c r="S10" s="147" t="n">
        <v>2</v>
      </c>
      <c r="T10" s="147" t="n"/>
      <c r="U10" s="147">
        <f>S10-R10</f>
        <v/>
      </c>
      <c r="V10" s="147" t="n"/>
      <c r="W10" s="147">
        <f>U10+V10</f>
        <v/>
      </c>
      <c r="X10" s="19">
        <f>Q10-W10</f>
        <v/>
      </c>
      <c r="Y10" s="167" t="n">
        <v>6</v>
      </c>
      <c r="Z10" s="19">
        <f>SUMIFS(meghsteelsales_previousmonth[Quantity],meghsteelsales_previousmonth[Length Bucket],Table5[[#This Row],[Bucket CTL]])/1000</f>
        <v/>
      </c>
      <c r="AA10" s="419">
        <f>SUMIFS(meghsteelsales_currentmonth[Quantity],meghsteelsales_currentmonth[Length Bucket],Table5[[#This Row],[Bucket CTL]])/1000</f>
        <v/>
      </c>
      <c r="AB10">
        <f>Table5[[#This Row],[ INDENT  FOR SEP-25 recommended]]+Table5[[#This Row],[order logg ]]</f>
        <v/>
      </c>
      <c r="AC10" s="585">
        <f>Table5[[#This Row],[Before 20th]]+Table5[[#This Row],[after 20th]]</f>
        <v/>
      </c>
      <c r="AD10" s="585">
        <f>IF((Table5[[#This Row],[Total Indent]]-Table5[[#This Row],[Total Dispatched]])&lt;0,0,Table5[[#This Row],[Total Indent]]-Table5[[#This Row],[Total Dispatched]])</f>
        <v/>
      </c>
    </row>
    <row r="11" hidden="1" s="584">
      <c r="A11" s="265" t="inlineStr">
        <is>
          <t>TVS</t>
        </is>
      </c>
      <c r="B11" s="147" t="n">
        <v>943209</v>
      </c>
      <c r="C11" s="147" t="inlineStr">
        <is>
          <t>Rucha</t>
        </is>
      </c>
      <c r="D11" s="147" t="inlineStr">
        <is>
          <t>ERW1</t>
        </is>
      </c>
      <c r="E11" s="147" t="inlineStr">
        <is>
          <t>NON FIN</t>
        </is>
      </c>
      <c r="F11" s="147" t="inlineStr">
        <is>
          <t>ERW</t>
        </is>
      </c>
      <c r="G11" s="148" t="n">
        <v>18.3</v>
      </c>
      <c r="H11" s="148" t="n"/>
      <c r="I11" s="148" t="n">
        <v>1</v>
      </c>
      <c r="J11" s="147" t="n">
        <v>6000</v>
      </c>
      <c r="K11" s="147" t="n">
        <v>6</v>
      </c>
      <c r="L11" s="147">
        <f>_xlfn.CONCAT(G11,I11,K11,F11,E11)</f>
        <v/>
      </c>
      <c r="M11" s="147">
        <f>VLOOKUP(Table5[[#This Row],[Key]],aug[[#All],[Key]:[Bucket CTL]],2,0)</f>
        <v/>
      </c>
      <c r="N11" s="147">
        <f>VLOOKUP(Table5[[#This Row],[Key]],aug[[#All],[Key]:[Bucket CTL]],3,0)</f>
        <v/>
      </c>
      <c r="O11" s="149">
        <f>VLOOKUP(L11,aug[[#All],[Key]:[TSL Material Code]],7,0)</f>
        <v/>
      </c>
      <c r="P11" s="149">
        <f>VLOOKUP(L11,aug[[#All],[Key]:[TSL Material Code]],8,0)</f>
        <v/>
      </c>
      <c r="Q11" s="19" t="n">
        <v>10</v>
      </c>
      <c r="R11" s="147" t="n">
        <v>2</v>
      </c>
      <c r="S11" s="147" t="n">
        <v>2</v>
      </c>
      <c r="T11" s="147" t="n"/>
      <c r="U11" s="147">
        <f>S11-R11</f>
        <v/>
      </c>
      <c r="V11" s="147" t="n"/>
      <c r="W11" s="147">
        <f>U11+V11</f>
        <v/>
      </c>
      <c r="X11" s="19">
        <f>Q11-W11</f>
        <v/>
      </c>
      <c r="Y11" s="167">
        <f>IF(X11&gt;0,X11,0)*150%</f>
        <v/>
      </c>
      <c r="Z11" s="19">
        <f>SUMIFS(meghsteelsales_previousmonth[Quantity],meghsteelsales_previousmonth[Length Bucket],Table5[[#This Row],[Bucket CTL]])/1000</f>
        <v/>
      </c>
      <c r="AA11" s="419">
        <f>SUMIFS(meghsteelsales_currentmonth[Quantity],meghsteelsales_currentmonth[Length Bucket],Table5[[#This Row],[Bucket CTL]])/1000</f>
        <v/>
      </c>
      <c r="AB11">
        <f>Table5[[#This Row],[ INDENT  FOR SEP-25 recommended]]+Table5[[#This Row],[order logg ]]</f>
        <v/>
      </c>
      <c r="AC11" s="585">
        <f>Table5[[#This Row],[Before 20th]]+Table5[[#This Row],[after 20th]]</f>
        <v/>
      </c>
      <c r="AD11" s="585">
        <f>IF((Table5[[#This Row],[Total Indent]]-Table5[[#This Row],[Total Dispatched]])&lt;0,0,Table5[[#This Row],[Total Indent]]-Table5[[#This Row],[Total Dispatched]])</f>
        <v/>
      </c>
    </row>
    <row r="12" hidden="1" s="584">
      <c r="A12" s="265" t="inlineStr">
        <is>
          <t>HMSI</t>
        </is>
      </c>
      <c r="B12" s="147" t="n">
        <v>943210</v>
      </c>
      <c r="C12" s="147" t="inlineStr">
        <is>
          <t>BADVE</t>
        </is>
      </c>
      <c r="D12" s="153" t="inlineStr">
        <is>
          <t>ERW1</t>
        </is>
      </c>
      <c r="E12" s="147" t="inlineStr">
        <is>
          <t>NON FIN</t>
        </is>
      </c>
      <c r="F12" s="147" t="inlineStr">
        <is>
          <t>ERW</t>
        </is>
      </c>
      <c r="G12" s="148" t="n">
        <v>19.05</v>
      </c>
      <c r="H12" s="148" t="n"/>
      <c r="I12" s="148" t="n">
        <v>1.6</v>
      </c>
      <c r="J12" s="147" t="n">
        <v>6000</v>
      </c>
      <c r="K12" s="147" t="n">
        <v>6</v>
      </c>
      <c r="L12" s="147">
        <f>_xlfn.CONCAT(G12,I12,K12,F12,E12)</f>
        <v/>
      </c>
      <c r="M12" s="147">
        <f>VLOOKUP(Table5[[#This Row],[Key]],aug[[#All],[Key]:[Bucket CTL]],2,0)</f>
        <v/>
      </c>
      <c r="N12" s="147">
        <f>VLOOKUP(Table5[[#This Row],[Key]],aug[[#All],[Key]:[Bucket CTL]],3,0)</f>
        <v/>
      </c>
      <c r="O12" s="149">
        <f>VLOOKUP(L12,aug[[#All],[Key]:[TSL Material Code]],7,0)</f>
        <v/>
      </c>
      <c r="P12" s="149">
        <f>VLOOKUP(L12,aug[[#All],[Key]:[TSL Material Code]],8,0)</f>
        <v/>
      </c>
      <c r="Q12" s="19" t="n">
        <v>10</v>
      </c>
      <c r="R12" s="147" t="n">
        <v>6</v>
      </c>
      <c r="S12" s="147" t="n">
        <v>7</v>
      </c>
      <c r="T12" s="147" t="n"/>
      <c r="U12" s="147">
        <f>S12-R12</f>
        <v/>
      </c>
      <c r="V12" s="147" t="n">
        <v>15</v>
      </c>
      <c r="W12" s="147">
        <f>U12+V12</f>
        <v/>
      </c>
      <c r="X12" s="19">
        <f>Q12-W12</f>
        <v/>
      </c>
      <c r="Y12" s="167">
        <f>IF(X12&gt;0,X12,0)*150%</f>
        <v/>
      </c>
      <c r="Z12" s="19">
        <f>SUMIFS(meghsteelsales_previousmonth[Quantity],meghsteelsales_previousmonth[Length Bucket],Table5[[#This Row],[Bucket CTL]])/1000</f>
        <v/>
      </c>
      <c r="AA12" s="419">
        <f>SUMIFS(meghsteelsales_currentmonth[Quantity],meghsteelsales_currentmonth[Length Bucket],Table5[[#This Row],[Bucket CTL]])/1000</f>
        <v/>
      </c>
      <c r="AB12">
        <f>Table5[[#This Row],[ INDENT  FOR SEP-25 recommended]]+Table5[[#This Row],[order logg ]]</f>
        <v/>
      </c>
      <c r="AC12" s="585">
        <f>Table5[[#This Row],[Before 20th]]+Table5[[#This Row],[after 20th]]</f>
        <v/>
      </c>
      <c r="AD12" s="585">
        <f>IF((Table5[[#This Row],[Total Indent]]-Table5[[#This Row],[Total Dispatched]])&lt;0,0,Table5[[#This Row],[Total Indent]]-Table5[[#This Row],[Total Dispatched]])</f>
        <v/>
      </c>
    </row>
    <row r="13">
      <c r="A13" s="265" t="inlineStr">
        <is>
          <t>HMSI</t>
        </is>
      </c>
      <c r="B13" s="147" t="n">
        <v>943210</v>
      </c>
      <c r="C13" s="147" t="inlineStr">
        <is>
          <t>BADVE</t>
        </is>
      </c>
      <c r="D13" s="147" t="inlineStr">
        <is>
          <t>ERW2</t>
        </is>
      </c>
      <c r="E13" s="147" t="inlineStr">
        <is>
          <t>NON FIN</t>
        </is>
      </c>
      <c r="F13" s="147" t="inlineStr">
        <is>
          <t>ERW2</t>
        </is>
      </c>
      <c r="G13" s="148" t="n">
        <v>19.05</v>
      </c>
      <c r="H13" s="148" t="n"/>
      <c r="I13" s="148" t="n">
        <v>1.4</v>
      </c>
      <c r="J13" s="147" t="n">
        <v>6000</v>
      </c>
      <c r="K13" s="147" t="n">
        <v>6</v>
      </c>
      <c r="L13" s="147">
        <f>_xlfn.CONCAT(G13,I13,K13,F13,E13)</f>
        <v/>
      </c>
      <c r="M13" s="147">
        <f>VLOOKUP(Table5[[#This Row],[Key]],aug[[#All],[Key]:[Bucket CTL]],2,0)</f>
        <v/>
      </c>
      <c r="N13" s="147">
        <f>VLOOKUP(Table5[[#This Row],[Key]],aug[[#All],[Key]:[Bucket CTL]],3,0)</f>
        <v/>
      </c>
      <c r="O13" s="149">
        <f>VLOOKUP(L13,aug[[#All],[Key]:[TSL Material Code]],7,0)</f>
        <v/>
      </c>
      <c r="P13" s="149">
        <f>VLOOKUP(L13,aug[[#All],[Key]:[TSL Material Code]],8,0)</f>
        <v/>
      </c>
      <c r="Q13" s="19" t="n">
        <v>5</v>
      </c>
      <c r="R13" s="147" t="n">
        <v>0</v>
      </c>
      <c r="S13" s="147" t="n">
        <v>0</v>
      </c>
      <c r="T13" s="147" t="n"/>
      <c r="U13" s="147">
        <f>S13-R13</f>
        <v/>
      </c>
      <c r="V13" s="147" t="n">
        <v>17</v>
      </c>
      <c r="W13" s="147">
        <f>U13+V13</f>
        <v/>
      </c>
      <c r="X13" s="19">
        <f>Q13-W13</f>
        <v/>
      </c>
      <c r="Y13" s="167">
        <f>IF(X13&gt;0,X13,0)*150%</f>
        <v/>
      </c>
      <c r="Z13" s="19">
        <f>SUMIFS(meghsteelsales_previousmonth[Quantity],meghsteelsales_previousmonth[Length Bucket],Table5[[#This Row],[Bucket CTL]])/1000</f>
        <v/>
      </c>
      <c r="AA13" s="419">
        <f>SUMIFS(meghsteelsales_currentmonth[Quantity],meghsteelsales_currentmonth[Length Bucket],Table5[[#This Row],[Bucket CTL]])/1000</f>
        <v/>
      </c>
      <c r="AB13">
        <f>Table5[[#This Row],[ INDENT  FOR SEP-25 recommended]]+Table5[[#This Row],[order logg ]]</f>
        <v/>
      </c>
      <c r="AC13" s="585">
        <f>Table5[[#This Row],[Before 20th]]+Table5[[#This Row],[after 20th]]</f>
        <v/>
      </c>
      <c r="AD13" s="585">
        <f>IF((Table5[[#This Row],[Total Indent]]-Table5[[#This Row],[Total Dispatched]])&lt;0,0,Table5[[#This Row],[Total Indent]]-Table5[[#This Row],[Total Dispatched]])</f>
        <v/>
      </c>
    </row>
    <row r="14" hidden="1" s="584">
      <c r="A14" s="265" t="inlineStr">
        <is>
          <t>TVS</t>
        </is>
      </c>
      <c r="B14" s="147" t="n">
        <v>943209</v>
      </c>
      <c r="C14" s="147" t="inlineStr">
        <is>
          <t>RUCHA</t>
        </is>
      </c>
      <c r="D14" s="153" t="inlineStr">
        <is>
          <t>ERW1</t>
        </is>
      </c>
      <c r="E14" s="147" t="inlineStr">
        <is>
          <t>NON FIN</t>
        </is>
      </c>
      <c r="F14" s="147" t="inlineStr">
        <is>
          <t>ERW</t>
        </is>
      </c>
      <c r="G14" s="154" t="n">
        <v>19.05</v>
      </c>
      <c r="H14" s="154" t="n"/>
      <c r="I14" s="154" t="n">
        <v>2</v>
      </c>
      <c r="J14" s="155" t="n">
        <v>5800</v>
      </c>
      <c r="K14" s="147" t="n">
        <v>5.8</v>
      </c>
      <c r="L14" s="147">
        <f>_xlfn.CONCAT(G14,I14,K14,F14,E14)</f>
        <v/>
      </c>
      <c r="M14" s="147">
        <f>VLOOKUP(Table5[[#This Row],[Key]],aug[[#All],[Key]:[Bucket CTL]],2,0)</f>
        <v/>
      </c>
      <c r="N14" s="147">
        <f>VLOOKUP(Table5[[#This Row],[Key]],aug[[#All],[Key]:[Bucket CTL]],3,0)</f>
        <v/>
      </c>
      <c r="O14" s="149">
        <f>VLOOKUP(L14,aug[[#All],[Key]:[TSL Material Code]],7,0)</f>
        <v/>
      </c>
      <c r="P14" s="149">
        <f>VLOOKUP(L14,aug[[#All],[Key]:[TSL Material Code]],8,0)</f>
        <v/>
      </c>
      <c r="Q14" s="19" t="n">
        <v>35</v>
      </c>
      <c r="R14" s="147" t="n">
        <v>20</v>
      </c>
      <c r="S14" s="147" t="n">
        <v>50</v>
      </c>
      <c r="T14" s="147" t="n"/>
      <c r="U14" s="147">
        <f>S14-R14</f>
        <v/>
      </c>
      <c r="V14" s="147" t="n">
        <v>4</v>
      </c>
      <c r="W14" s="147">
        <f>U14+V14</f>
        <v/>
      </c>
      <c r="X14" s="19">
        <f>Q14-W14</f>
        <v/>
      </c>
      <c r="Y14" s="167">
        <f>IF(X14&gt;0,X14,0)*150%</f>
        <v/>
      </c>
      <c r="Z14" s="19">
        <f>SUMIFS(meghsteelsales_previousmonth[Quantity],meghsteelsales_previousmonth[Length Bucket],Table5[[#This Row],[Bucket CTL]])/1000</f>
        <v/>
      </c>
      <c r="AA14" s="419">
        <f>SUMIFS(meghsteelsales_currentmonth[Quantity],meghsteelsales_currentmonth[Length Bucket],Table5[[#This Row],[Bucket CTL]])/1000</f>
        <v/>
      </c>
      <c r="AB14">
        <f>Table5[[#This Row],[ INDENT  FOR SEP-25 recommended]]+Table5[[#This Row],[order logg ]]</f>
        <v/>
      </c>
      <c r="AC14" s="585">
        <f>Table5[[#This Row],[Before 20th]]+Table5[[#This Row],[after 20th]]</f>
        <v/>
      </c>
      <c r="AD14" s="585">
        <f>IF((Table5[[#This Row],[Total Indent]]-Table5[[#This Row],[Total Dispatched]])&lt;0,0,Table5[[#This Row],[Total Indent]]-Table5[[#This Row],[Total Dispatched]])</f>
        <v/>
      </c>
    </row>
    <row r="15" hidden="1" s="584">
      <c r="A15" s="265" t="inlineStr">
        <is>
          <t>TVS</t>
        </is>
      </c>
      <c r="B15" s="147" t="n">
        <v>943209</v>
      </c>
      <c r="C15" s="147" t="inlineStr">
        <is>
          <t>RUCHA,METALMAN</t>
        </is>
      </c>
      <c r="D15" s="153" t="inlineStr">
        <is>
          <t>ERW1</t>
        </is>
      </c>
      <c r="E15" s="147" t="inlineStr">
        <is>
          <t>NON FIN</t>
        </is>
      </c>
      <c r="F15" s="147" t="inlineStr">
        <is>
          <t>ERW</t>
        </is>
      </c>
      <c r="G15" s="148" t="n">
        <v>19.05</v>
      </c>
      <c r="H15" s="148" t="n"/>
      <c r="I15" s="148" t="n">
        <v>2.3</v>
      </c>
      <c r="J15" s="147" t="n">
        <v>7000</v>
      </c>
      <c r="K15" s="147" t="n">
        <v>7</v>
      </c>
      <c r="L15" s="147">
        <f>_xlfn.CONCAT(G15,I15,K15,F15,E15)</f>
        <v/>
      </c>
      <c r="M15" s="147">
        <f>VLOOKUP(Table5[[#This Row],[Key]],aug[[#All],[Key]:[Bucket CTL]],2,0)</f>
        <v/>
      </c>
      <c r="N15" s="147">
        <f>VLOOKUP(Table5[[#This Row],[Key]],aug[[#All],[Key]:[Bucket CTL]],3,0)</f>
        <v/>
      </c>
      <c r="O15" s="149">
        <f>VLOOKUP(L15,aug[[#All],[Key]:[TSL Material Code]],7,0)</f>
        <v/>
      </c>
      <c r="P15" s="149">
        <f>VLOOKUP(L15,aug[[#All],[Key]:[TSL Material Code]],8,0)</f>
        <v/>
      </c>
      <c r="Q15" s="19" t="n">
        <v>20</v>
      </c>
      <c r="R15" s="147" t="n">
        <v>7</v>
      </c>
      <c r="S15" s="147" t="n">
        <v>7</v>
      </c>
      <c r="T15" s="147" t="n"/>
      <c r="U15" s="147">
        <f>S15-R15</f>
        <v/>
      </c>
      <c r="V15" s="147" t="n">
        <v>1</v>
      </c>
      <c r="W15" s="147">
        <f>U15+V15</f>
        <v/>
      </c>
      <c r="X15" s="19">
        <f>Q15-W15</f>
        <v/>
      </c>
      <c r="Y15" s="167">
        <f>IF(X15&gt;0,X15,0)*150%</f>
        <v/>
      </c>
      <c r="Z15" s="19">
        <f>SUMIFS(meghsteelsales_previousmonth[Quantity],meghsteelsales_previousmonth[Length Bucket],Table5[[#This Row],[Bucket CTL]])/1000</f>
        <v/>
      </c>
      <c r="AA15" s="419">
        <f>SUMIFS(meghsteelsales_currentmonth[Quantity],meghsteelsales_currentmonth[Length Bucket],Table5[[#This Row],[Bucket CTL]])/1000</f>
        <v/>
      </c>
      <c r="AB15">
        <f>Table5[[#This Row],[ INDENT  FOR SEP-25 recommended]]+Table5[[#This Row],[order logg ]]</f>
        <v/>
      </c>
      <c r="AC15" s="585">
        <f>Table5[[#This Row],[Before 20th]]+Table5[[#This Row],[after 20th]]</f>
        <v/>
      </c>
      <c r="AD15" s="585">
        <f>IF((Table5[[#This Row],[Total Indent]]-Table5[[#This Row],[Total Dispatched]])&lt;0,0,Table5[[#This Row],[Total Indent]]-Table5[[#This Row],[Total Dispatched]])</f>
        <v/>
      </c>
    </row>
    <row r="16" hidden="1" s="584">
      <c r="A16" s="265" t="inlineStr">
        <is>
          <t>TVS</t>
        </is>
      </c>
      <c r="B16" s="147" t="n">
        <v>943209</v>
      </c>
      <c r="C16" s="147" t="inlineStr">
        <is>
          <t>RUCHA</t>
        </is>
      </c>
      <c r="D16" s="147" t="inlineStr">
        <is>
          <t>ERW1</t>
        </is>
      </c>
      <c r="E16" s="147" t="inlineStr">
        <is>
          <t>NON FIN</t>
        </is>
      </c>
      <c r="F16" s="147" t="inlineStr">
        <is>
          <t>ERW</t>
        </is>
      </c>
      <c r="G16" s="148" t="n">
        <v>21.4</v>
      </c>
      <c r="H16" s="148" t="n"/>
      <c r="I16" s="148" t="n">
        <v>1.6</v>
      </c>
      <c r="J16" s="147" t="n">
        <v>6000</v>
      </c>
      <c r="K16" s="147" t="n">
        <v>6</v>
      </c>
      <c r="L16" s="147">
        <f>_xlfn.CONCAT(G16,I16,K16,F16,E16)</f>
        <v/>
      </c>
      <c r="M16" s="147">
        <f>VLOOKUP(Table5[[#This Row],[Key]],aug[[#All],[Key]:[Bucket CTL]],2,0)</f>
        <v/>
      </c>
      <c r="N16" s="147">
        <f>VLOOKUP(Table5[[#This Row],[Key]],aug[[#All],[Key]:[Bucket CTL]],3,0)</f>
        <v/>
      </c>
      <c r="O16" s="149">
        <f>VLOOKUP(L16,aug[[#All],[Key]:[TSL Material Code]],7,0)</f>
        <v/>
      </c>
      <c r="P16" s="149">
        <f>VLOOKUP(L16,aug[[#All],[Key]:[TSL Material Code]],8,0)</f>
        <v/>
      </c>
      <c r="Q16" s="19" t="n">
        <v>10</v>
      </c>
      <c r="R16" s="147" t="n">
        <v>2</v>
      </c>
      <c r="S16" s="147" t="n">
        <v>5</v>
      </c>
      <c r="T16" s="147" t="n"/>
      <c r="U16" s="147">
        <f>S16-R16</f>
        <v/>
      </c>
      <c r="V16" s="147" t="n"/>
      <c r="W16" s="147">
        <f>U16+V16</f>
        <v/>
      </c>
      <c r="X16" s="19">
        <f>Q16-W16</f>
        <v/>
      </c>
      <c r="Y16" s="167" t="n">
        <v>10</v>
      </c>
      <c r="Z16" s="19">
        <f>SUMIFS(meghsteelsales_previousmonth[Quantity],meghsteelsales_previousmonth[Length Bucket],Table5[[#This Row],[Bucket CTL]])/1000</f>
        <v/>
      </c>
      <c r="AA16" s="419">
        <f>SUMIFS(meghsteelsales_currentmonth[Quantity],meghsteelsales_currentmonth[Length Bucket],Table5[[#This Row],[Bucket CTL]])/1000</f>
        <v/>
      </c>
      <c r="AB16">
        <f>Table5[[#This Row],[ INDENT  FOR SEP-25 recommended]]+Table5[[#This Row],[order logg ]]</f>
        <v/>
      </c>
      <c r="AC16" s="585">
        <f>Table5[[#This Row],[Before 20th]]+Table5[[#This Row],[after 20th]]</f>
        <v/>
      </c>
      <c r="AD16" s="585">
        <f>IF((Table5[[#This Row],[Total Indent]]-Table5[[#This Row],[Total Dispatched]])&lt;0,0,Table5[[#This Row],[Total Indent]]-Table5[[#This Row],[Total Dispatched]])</f>
        <v/>
      </c>
    </row>
    <row r="17" hidden="1" s="584">
      <c r="A17" s="265" t="inlineStr">
        <is>
          <t>TVS</t>
        </is>
      </c>
      <c r="B17" s="147" t="n">
        <v>943209</v>
      </c>
      <c r="C17" s="147" t="inlineStr">
        <is>
          <t>RUCHA</t>
        </is>
      </c>
      <c r="D17" s="153" t="inlineStr">
        <is>
          <t>ERW1</t>
        </is>
      </c>
      <c r="E17" s="147" t="inlineStr">
        <is>
          <t>NON FIN</t>
        </is>
      </c>
      <c r="F17" s="147" t="inlineStr">
        <is>
          <t>ERW</t>
        </is>
      </c>
      <c r="G17" s="148" t="n">
        <v>22.2</v>
      </c>
      <c r="H17" s="148" t="n"/>
      <c r="I17" s="148" t="n">
        <v>1.2</v>
      </c>
      <c r="J17" s="147" t="n">
        <v>5870</v>
      </c>
      <c r="K17" s="147" t="n">
        <v>5.87</v>
      </c>
      <c r="L17" s="147">
        <f>_xlfn.CONCAT(G17,I17,K17,F17,E17)</f>
        <v/>
      </c>
      <c r="M17" s="147">
        <f>VLOOKUP(Table5[[#This Row],[Key]],aug[[#All],[Key]:[Bucket CTL]],2,0)</f>
        <v/>
      </c>
      <c r="N17" s="147">
        <f>VLOOKUP(Table5[[#This Row],[Key]],aug[[#All],[Key]:[Bucket CTL]],3,0)</f>
        <v/>
      </c>
      <c r="O17" s="149">
        <f>VLOOKUP(L17,aug[[#All],[Key]:[TSL Material Code]],7,0)</f>
        <v/>
      </c>
      <c r="P17" s="149">
        <f>VLOOKUP(L17,aug[[#All],[Key]:[TSL Material Code]],8,0)</f>
        <v/>
      </c>
      <c r="Q17" s="19" t="n">
        <v>20</v>
      </c>
      <c r="R17" s="147" t="n">
        <v>10</v>
      </c>
      <c r="S17" s="147" t="n">
        <v>17</v>
      </c>
      <c r="T17" s="147" t="n">
        <v>15</v>
      </c>
      <c r="U17" s="147">
        <f>S17-R17</f>
        <v/>
      </c>
      <c r="V17" s="147" t="n">
        <v>16</v>
      </c>
      <c r="W17" s="147">
        <f>U17+V17</f>
        <v/>
      </c>
      <c r="X17" s="19">
        <f>Q17-W17</f>
        <v/>
      </c>
      <c r="Y17" s="167">
        <f>IF(X17&gt;0,X17,0)*150%</f>
        <v/>
      </c>
      <c r="Z17" s="19">
        <f>SUMIFS(meghsteelsales_previousmonth[Quantity],meghsteelsales_previousmonth[Length Bucket],Table5[[#This Row],[Bucket CTL]])/1000</f>
        <v/>
      </c>
      <c r="AA17" s="419">
        <f>SUMIFS(meghsteelsales_currentmonth[Quantity],meghsteelsales_currentmonth[Length Bucket],Table5[[#This Row],[Bucket CTL]])/1000</f>
        <v/>
      </c>
      <c r="AB17">
        <f>Table5[[#This Row],[ INDENT  FOR SEP-25 recommended]]+Table5[[#This Row],[order logg ]]</f>
        <v/>
      </c>
      <c r="AC17" s="585">
        <f>Table5[[#This Row],[Before 20th]]+Table5[[#This Row],[after 20th]]</f>
        <v/>
      </c>
      <c r="AD17" s="585">
        <f>IF((Table5[[#This Row],[Total Indent]]-Table5[[#This Row],[Total Dispatched]])&lt;0,0,Table5[[#This Row],[Total Indent]]-Table5[[#This Row],[Total Dispatched]])</f>
        <v/>
      </c>
    </row>
    <row r="18">
      <c r="A18" s="265" t="inlineStr">
        <is>
          <t>HMSI</t>
        </is>
      </c>
      <c r="B18" s="147" t="n">
        <v>943210</v>
      </c>
      <c r="C18" s="147" t="inlineStr">
        <is>
          <t>BADVE</t>
        </is>
      </c>
      <c r="D18" s="153" t="inlineStr">
        <is>
          <t>ERW2</t>
        </is>
      </c>
      <c r="E18" s="147" t="inlineStr">
        <is>
          <t>NON FIN</t>
        </is>
      </c>
      <c r="F18" s="147" t="inlineStr">
        <is>
          <t>ERW-2</t>
        </is>
      </c>
      <c r="G18" s="148" t="n">
        <v>22.2</v>
      </c>
      <c r="H18" s="148" t="n"/>
      <c r="I18" s="148" t="n">
        <v>1.4</v>
      </c>
      <c r="J18" s="147" t="n">
        <v>6000</v>
      </c>
      <c r="K18" s="147" t="n">
        <v>6</v>
      </c>
      <c r="L18" s="147">
        <f>_xlfn.CONCAT(G18,I18,K18,F18,E18)</f>
        <v/>
      </c>
      <c r="M18" s="147">
        <f>VLOOKUP(Table5[[#This Row],[Key]],aug[[#All],[Key]:[Bucket CTL]],2,0)</f>
        <v/>
      </c>
      <c r="N18" s="147">
        <f>VLOOKUP(Table5[[#This Row],[Key]],aug[[#All],[Key]:[Bucket CTL]],3,0)</f>
        <v/>
      </c>
      <c r="O18" s="149">
        <f>VLOOKUP(L18,aug[[#All],[Key]:[TSL Material Code]],7,0)</f>
        <v/>
      </c>
      <c r="P18" s="149">
        <f>VLOOKUP(L18,aug[[#All],[Key]:[TSL Material Code]],8,0)</f>
        <v/>
      </c>
      <c r="Q18" s="19" t="n">
        <v>5</v>
      </c>
      <c r="R18" s="147" t="n">
        <v>0</v>
      </c>
      <c r="S18" s="147" t="n">
        <v>0</v>
      </c>
      <c r="T18" s="147" t="n"/>
      <c r="U18" s="147">
        <f>S18-R18</f>
        <v/>
      </c>
      <c r="V18" s="147" t="n">
        <v>5.5</v>
      </c>
      <c r="W18" s="147">
        <f>U18+V18</f>
        <v/>
      </c>
      <c r="X18" s="19">
        <f>Q18-W18</f>
        <v/>
      </c>
      <c r="Y18" s="167">
        <f>IF(X18&gt;0,X18,0)*150%</f>
        <v/>
      </c>
      <c r="Z18" s="19">
        <f>SUMIFS(meghsteelsales_previousmonth[Quantity],meghsteelsales_previousmonth[Length Bucket],Table5[[#This Row],[Bucket CTL]])/1000</f>
        <v/>
      </c>
      <c r="AA18" s="419">
        <f>SUMIFS(meghsteelsales_currentmonth[Quantity],meghsteelsales_currentmonth[Length Bucket],Table5[[#This Row],[Bucket CTL]])/1000</f>
        <v/>
      </c>
      <c r="AB18">
        <f>Table5[[#This Row],[ INDENT  FOR SEP-25 recommended]]+Table5[[#This Row],[order logg ]]</f>
        <v/>
      </c>
      <c r="AC18" s="585">
        <f>Table5[[#This Row],[Before 20th]]+Table5[[#This Row],[after 20th]]</f>
        <v/>
      </c>
      <c r="AD18" s="585">
        <f>IF((Table5[[#This Row],[Total Indent]]-Table5[[#This Row],[Total Dispatched]])&lt;0,0,Table5[[#This Row],[Total Indent]]-Table5[[#This Row],[Total Dispatched]])</f>
        <v/>
      </c>
    </row>
    <row r="19" hidden="1" s="584">
      <c r="A19" s="265" t="inlineStr">
        <is>
          <t>TVS</t>
        </is>
      </c>
      <c r="B19" s="147" t="n">
        <v>943209</v>
      </c>
      <c r="C19" s="147" t="inlineStr">
        <is>
          <t>RUCHA</t>
        </is>
      </c>
      <c r="D19" s="153" t="inlineStr">
        <is>
          <t>ERW1</t>
        </is>
      </c>
      <c r="E19" s="147" t="inlineStr">
        <is>
          <t>NON FIN</t>
        </is>
      </c>
      <c r="F19" s="147" t="inlineStr">
        <is>
          <t>ERW</t>
        </is>
      </c>
      <c r="G19" s="148" t="n">
        <v>22.2</v>
      </c>
      <c r="H19" s="148" t="n"/>
      <c r="I19" s="148" t="n">
        <v>1.6</v>
      </c>
      <c r="J19" s="147" t="n">
        <v>5270</v>
      </c>
      <c r="K19" s="147" t="n">
        <v>5.27</v>
      </c>
      <c r="L19" s="147">
        <f>_xlfn.CONCAT(G19,I19,K19,F19,E19)</f>
        <v/>
      </c>
      <c r="M19" s="147">
        <f>VLOOKUP(Table5[[#This Row],[Key]],aug[[#All],[Key]:[Bucket CTL]],2,0)</f>
        <v/>
      </c>
      <c r="N19" s="147">
        <f>VLOOKUP(Table5[[#This Row],[Key]],aug[[#All],[Key]:[Bucket CTL]],3,0)</f>
        <v/>
      </c>
      <c r="O19" s="149">
        <f>VLOOKUP(L19,aug[[#All],[Key]:[TSL Material Code]],7,0)</f>
        <v/>
      </c>
      <c r="P19" s="149">
        <f>VLOOKUP(L19,aug[[#All],[Key]:[TSL Material Code]],8,0)</f>
        <v/>
      </c>
      <c r="Q19" s="19" t="n">
        <v>25</v>
      </c>
      <c r="R19" s="147" t="n">
        <v>0</v>
      </c>
      <c r="S19" s="147" t="n">
        <v>0</v>
      </c>
      <c r="T19" s="147" t="n"/>
      <c r="U19" s="147">
        <f>S19-R19</f>
        <v/>
      </c>
      <c r="V19" s="147" t="n"/>
      <c r="W19" s="147">
        <f>U19+V19</f>
        <v/>
      </c>
      <c r="X19" s="19">
        <f>Q19-W19</f>
        <v/>
      </c>
      <c r="Y19" s="167" t="n">
        <v>40</v>
      </c>
      <c r="Z19" s="19">
        <f>SUMIFS(meghsteelsales_previousmonth[Quantity],meghsteelsales_previousmonth[Length Bucket],Table5[[#This Row],[Bucket CTL]])/1000</f>
        <v/>
      </c>
      <c r="AA19" s="419">
        <f>SUMIFS(meghsteelsales_currentmonth[Quantity],meghsteelsales_currentmonth[Length Bucket],Table5[[#This Row],[Bucket CTL]])/1000</f>
        <v/>
      </c>
      <c r="AB19">
        <f>Table5[[#This Row],[ INDENT  FOR SEP-25 recommended]]+Table5[[#This Row],[order logg ]]</f>
        <v/>
      </c>
      <c r="AC19" s="585">
        <f>Table5[[#This Row],[Before 20th]]+Table5[[#This Row],[after 20th]]</f>
        <v/>
      </c>
      <c r="AD19" s="585">
        <f>IF((Table5[[#This Row],[Total Indent]]-Table5[[#This Row],[Total Dispatched]])&lt;0,0,Table5[[#This Row],[Total Indent]]-Table5[[#This Row],[Total Dispatched]])</f>
        <v/>
      </c>
    </row>
    <row r="20" hidden="1" s="584">
      <c r="A20" s="265" t="inlineStr">
        <is>
          <t>TVS</t>
        </is>
      </c>
      <c r="B20" s="147" t="n">
        <v>943209</v>
      </c>
      <c r="C20" s="147" t="inlineStr">
        <is>
          <t>RUCHA</t>
        </is>
      </c>
      <c r="D20" s="153" t="inlineStr">
        <is>
          <t>ERW1</t>
        </is>
      </c>
      <c r="E20" s="147" t="inlineStr">
        <is>
          <t>NON FIN</t>
        </is>
      </c>
      <c r="F20" s="147" t="inlineStr">
        <is>
          <t>ERW</t>
        </is>
      </c>
      <c r="G20" s="148" t="n">
        <v>22.2</v>
      </c>
      <c r="H20" s="148" t="n"/>
      <c r="I20" s="148" t="n">
        <v>1.6</v>
      </c>
      <c r="J20" s="147" t="n">
        <v>5670</v>
      </c>
      <c r="K20" s="147" t="n">
        <v>5.67</v>
      </c>
      <c r="L20" s="147">
        <f>_xlfn.CONCAT(G20,I20,K20,F20,E20)</f>
        <v/>
      </c>
      <c r="M20" s="147">
        <f>VLOOKUP(Table5[[#This Row],[Key]],aug[[#All],[Key]:[Bucket CTL]],2,0)</f>
        <v/>
      </c>
      <c r="N20" s="147">
        <f>VLOOKUP(Table5[[#This Row],[Key]],aug[[#All],[Key]:[Bucket CTL]],3,0)</f>
        <v/>
      </c>
      <c r="O20" s="149">
        <f>VLOOKUP(L20,aug[[#All],[Key]:[TSL Material Code]],7,0)</f>
        <v/>
      </c>
      <c r="P20" s="149">
        <f>VLOOKUP(L20,aug[[#All],[Key]:[TSL Material Code]],8,0)</f>
        <v/>
      </c>
      <c r="Q20" s="19" t="n">
        <v>40</v>
      </c>
      <c r="R20" s="147" t="n">
        <v>20</v>
      </c>
      <c r="S20" s="147" t="n">
        <v>30</v>
      </c>
      <c r="T20" s="147" t="n">
        <v>17</v>
      </c>
      <c r="U20" s="147">
        <f>S20-R20</f>
        <v/>
      </c>
      <c r="V20" s="147" t="n">
        <v>20</v>
      </c>
      <c r="W20" s="147">
        <f>U20+V20</f>
        <v/>
      </c>
      <c r="X20" s="19">
        <f>Q20-W20</f>
        <v/>
      </c>
      <c r="Y20" s="167">
        <f>IF(X20&gt;0,X20,0)*150%</f>
        <v/>
      </c>
      <c r="Z20" s="19">
        <f>SUMIFS(meghsteelsales_previousmonth[Quantity],meghsteelsales_previousmonth[Length Bucket],Table5[[#This Row],[Bucket CTL]])/1000</f>
        <v/>
      </c>
      <c r="AA20" s="419">
        <f>SUMIFS(meghsteelsales_currentmonth[Quantity],meghsteelsales_currentmonth[Length Bucket],Table5[[#This Row],[Bucket CTL]])/1000</f>
        <v/>
      </c>
      <c r="AB20">
        <f>Table5[[#This Row],[ INDENT  FOR SEP-25 recommended]]+Table5[[#This Row],[order logg ]]</f>
        <v/>
      </c>
      <c r="AC20" s="585">
        <f>Table5[[#This Row],[Before 20th]]+Table5[[#This Row],[after 20th]]</f>
        <v/>
      </c>
      <c r="AD20" s="585">
        <f>IF((Table5[[#This Row],[Total Indent]]-Table5[[#This Row],[Total Dispatched]])&lt;0,0,Table5[[#This Row],[Total Indent]]-Table5[[#This Row],[Total Dispatched]])</f>
        <v/>
      </c>
    </row>
    <row r="21" hidden="1" s="584">
      <c r="A21" s="265" t="inlineStr">
        <is>
          <t>TVS</t>
        </is>
      </c>
      <c r="B21" s="147" t="n">
        <v>943209</v>
      </c>
      <c r="C21" s="147" t="inlineStr">
        <is>
          <t>RUCHA</t>
        </is>
      </c>
      <c r="D21" s="155" t="inlineStr">
        <is>
          <t>ERW1</t>
        </is>
      </c>
      <c r="E21" s="147" t="inlineStr">
        <is>
          <t>NON FIN</t>
        </is>
      </c>
      <c r="F21" s="147" t="inlineStr">
        <is>
          <t>ERW</t>
        </is>
      </c>
      <c r="G21" s="154" t="n">
        <v>22.2</v>
      </c>
      <c r="H21" s="154" t="n"/>
      <c r="I21" s="154" t="n">
        <v>2</v>
      </c>
      <c r="J21" s="155" t="n">
        <v>5950</v>
      </c>
      <c r="K21" s="147" t="n">
        <v>5.95</v>
      </c>
      <c r="L21" s="147">
        <f>_xlfn.CONCAT(G21,I21,K21,F21,E21)</f>
        <v/>
      </c>
      <c r="M21" s="147">
        <f>VLOOKUP(Table5[[#This Row],[Key]],aug[[#All],[Key]:[Bucket CTL]],2,0)</f>
        <v/>
      </c>
      <c r="N21" s="147">
        <f>VLOOKUP(Table5[[#This Row],[Key]],aug[[#All],[Key]:[Bucket CTL]],3,0)</f>
        <v/>
      </c>
      <c r="O21" s="149">
        <f>VLOOKUP(L21,aug[[#All],[Key]:[TSL Material Code]],7,0)</f>
        <v/>
      </c>
      <c r="P21" s="149">
        <f>VLOOKUP(L21,aug[[#All],[Key]:[TSL Material Code]],8,0)</f>
        <v/>
      </c>
      <c r="Q21" s="19" t="n">
        <v>50</v>
      </c>
      <c r="R21" s="147" t="n">
        <v>7</v>
      </c>
      <c r="S21" s="147" t="n">
        <v>7</v>
      </c>
      <c r="T21" s="147" t="n">
        <v>19</v>
      </c>
      <c r="U21" s="147">
        <f>S21-R21</f>
        <v/>
      </c>
      <c r="V21" s="147" t="n">
        <v>87</v>
      </c>
      <c r="W21" s="147">
        <f>U21+V21</f>
        <v/>
      </c>
      <c r="X21" s="19">
        <f>Q21-W21</f>
        <v/>
      </c>
      <c r="Y21" s="167">
        <f>IF(X21&gt;0,X21,0)*150%</f>
        <v/>
      </c>
      <c r="Z21" s="19">
        <f>SUMIFS(meghsteelsales_previousmonth[Quantity],meghsteelsales_previousmonth[Length Bucket],Table5[[#This Row],[Bucket CTL]])/1000</f>
        <v/>
      </c>
      <c r="AA21" s="419">
        <f>SUMIFS(meghsteelsales_currentmonth[Quantity],meghsteelsales_currentmonth[Length Bucket],Table5[[#This Row],[Bucket CTL]])/1000</f>
        <v/>
      </c>
      <c r="AB21">
        <f>Table5[[#This Row],[ INDENT  FOR SEP-25 recommended]]+Table5[[#This Row],[order logg ]]</f>
        <v/>
      </c>
      <c r="AC21" s="585">
        <f>Table5[[#This Row],[Before 20th]]+Table5[[#This Row],[after 20th]]</f>
        <v/>
      </c>
      <c r="AD21" s="585">
        <f>IF((Table5[[#This Row],[Total Indent]]-Table5[[#This Row],[Total Dispatched]])&lt;0,0,Table5[[#This Row],[Total Indent]]-Table5[[#This Row],[Total Dispatched]])</f>
        <v/>
      </c>
    </row>
    <row r="22" hidden="1" s="584">
      <c r="A22" s="265" t="inlineStr">
        <is>
          <t>TVS</t>
        </is>
      </c>
      <c r="B22" s="147" t="n">
        <v>943209</v>
      </c>
      <c r="C22" s="147" t="inlineStr">
        <is>
          <t>RUCHA</t>
        </is>
      </c>
      <c r="D22" s="155" t="inlineStr">
        <is>
          <t>ERW1</t>
        </is>
      </c>
      <c r="E22" s="147" t="inlineStr">
        <is>
          <t>NON FIN</t>
        </is>
      </c>
      <c r="F22" s="147" t="inlineStr">
        <is>
          <t>ERW</t>
        </is>
      </c>
      <c r="G22" s="154" t="n">
        <v>22.2</v>
      </c>
      <c r="H22" s="154" t="n"/>
      <c r="I22" s="154" t="n">
        <v>2</v>
      </c>
      <c r="J22" s="155" t="n">
        <v>5100</v>
      </c>
      <c r="K22" s="147" t="n">
        <v>5.1</v>
      </c>
      <c r="L22" s="147">
        <f>_xlfn.CONCAT(G22,I22,K22,F22,E22)</f>
        <v/>
      </c>
      <c r="M22" s="147">
        <f>VLOOKUP(Table5[[#This Row],[Key]],aug[[#All],[Key]:[Bucket CTL]],2,0)</f>
        <v/>
      </c>
      <c r="N22" s="147">
        <f>VLOOKUP(Table5[[#This Row],[Key]],aug[[#All],[Key]:[Bucket CTL]],3,0)</f>
        <v/>
      </c>
      <c r="O22" s="149">
        <f>VLOOKUP(L22,aug[[#All],[Key]:[TSL Material Code]],7,0)</f>
        <v/>
      </c>
      <c r="P22" s="149">
        <f>VLOOKUP(L22,aug[[#All],[Key]:[TSL Material Code]],8,0)</f>
        <v/>
      </c>
      <c r="Q22" s="19" t="n">
        <v>20</v>
      </c>
      <c r="R22" s="147" t="n">
        <v>0</v>
      </c>
      <c r="S22" s="147" t="n">
        <v>0</v>
      </c>
      <c r="T22" s="147" t="n">
        <v>12</v>
      </c>
      <c r="U22" s="147">
        <f>S22-R22</f>
        <v/>
      </c>
      <c r="V22" s="147" t="n">
        <v>37</v>
      </c>
      <c r="W22" s="147">
        <f>U22+V22</f>
        <v/>
      </c>
      <c r="X22" s="19">
        <f>Q22-W22</f>
        <v/>
      </c>
      <c r="Y22" s="167">
        <f>IF(X22&gt;0,X22,0)*150%</f>
        <v/>
      </c>
      <c r="Z22" s="19">
        <f>SUMIFS(meghsteelsales_previousmonth[Quantity],meghsteelsales_previousmonth[Length Bucket],Table5[[#This Row],[Bucket CTL]])/1000</f>
        <v/>
      </c>
      <c r="AA22" s="419">
        <f>SUMIFS(meghsteelsales_currentmonth[Quantity],meghsteelsales_currentmonth[Length Bucket],Table5[[#This Row],[Bucket CTL]])/1000</f>
        <v/>
      </c>
      <c r="AB22">
        <f>Table5[[#This Row],[ INDENT  FOR SEP-25 recommended]]+Table5[[#This Row],[order logg ]]</f>
        <v/>
      </c>
      <c r="AC22" s="585">
        <f>Table5[[#This Row],[Before 20th]]+Table5[[#This Row],[after 20th]]</f>
        <v/>
      </c>
      <c r="AD22" s="585">
        <f>IF((Table5[[#This Row],[Total Indent]]-Table5[[#This Row],[Total Dispatched]])&lt;0,0,Table5[[#This Row],[Total Indent]]-Table5[[#This Row],[Total Dispatched]])</f>
        <v/>
      </c>
    </row>
    <row r="23" hidden="1" s="584">
      <c r="A23" s="265" t="inlineStr">
        <is>
          <t>TVS</t>
        </is>
      </c>
      <c r="B23" s="147" t="n">
        <v>943209</v>
      </c>
      <c r="C23" s="147" t="inlineStr">
        <is>
          <t>RUCHA</t>
        </is>
      </c>
      <c r="D23" s="147" t="inlineStr">
        <is>
          <t>ERW2</t>
        </is>
      </c>
      <c r="E23" s="147" t="inlineStr">
        <is>
          <t>FIN CUT</t>
        </is>
      </c>
      <c r="F23" s="147" t="inlineStr">
        <is>
          <t>HST</t>
        </is>
      </c>
      <c r="G23" s="148" t="n">
        <v>22.2</v>
      </c>
      <c r="H23" s="148" t="n"/>
      <c r="I23" s="148" t="n">
        <v>2</v>
      </c>
      <c r="J23" s="147" t="n">
        <v>6000</v>
      </c>
      <c r="K23" s="147" t="n">
        <v>6000</v>
      </c>
      <c r="L23" s="147">
        <f>_xlfn.CONCAT(G23,I23,K23,F23,E23)</f>
        <v/>
      </c>
      <c r="M23" s="147">
        <f>VLOOKUP(Table5[[#This Row],[Key]],aug[[#All],[Key]:[Bucket CTL]],2,0)</f>
        <v/>
      </c>
      <c r="N23" s="147">
        <f>VLOOKUP(Table5[[#This Row],[Key]],aug[[#All],[Key]:[Bucket CTL]],3,0)</f>
        <v/>
      </c>
      <c r="O23" s="149">
        <f>VLOOKUP(L23,aug[[#All],[Key]:[TSL Material Code]],7,0)</f>
        <v/>
      </c>
      <c r="P23" s="149">
        <f>VLOOKUP(L23,aug[[#All],[Key]:[TSL Material Code]],8,0)</f>
        <v/>
      </c>
      <c r="Q23" s="19" t="n">
        <v>50</v>
      </c>
      <c r="R23" s="147" t="n">
        <v>0</v>
      </c>
      <c r="S23" s="147" t="n">
        <v>48</v>
      </c>
      <c r="T23" s="147" t="n"/>
      <c r="U23" s="147">
        <f>S23-R23</f>
        <v/>
      </c>
      <c r="V23" s="147" t="n">
        <v>34</v>
      </c>
      <c r="W23" s="147">
        <f>U23+V23</f>
        <v/>
      </c>
      <c r="X23" s="19">
        <f>Q23-W23</f>
        <v/>
      </c>
      <c r="Y23" s="167">
        <f>IF(X23&gt;0,X23,0)*150%</f>
        <v/>
      </c>
      <c r="Z23" s="19">
        <f>SUMIFS(meghsteelsales_previousmonth[Quantity],meghsteelsales_previousmonth[Length Bucket],Table5[[#This Row],[Bucket CTL]])/1000</f>
        <v/>
      </c>
      <c r="AA23" s="419">
        <f>SUMIFS(meghsteelsales_currentmonth[Quantity],meghsteelsales_currentmonth[Length Bucket],Table5[[#This Row],[Bucket CTL]])/1000</f>
        <v/>
      </c>
      <c r="AB23">
        <f>Table5[[#This Row],[ INDENT  FOR SEP-25 recommended]]+Table5[[#This Row],[order logg ]]</f>
        <v/>
      </c>
      <c r="AC23" s="585">
        <f>Table5[[#This Row],[Before 20th]]+Table5[[#This Row],[after 20th]]</f>
        <v/>
      </c>
      <c r="AD23" s="585">
        <f>IF((Table5[[#This Row],[Total Indent]]-Table5[[#This Row],[Total Dispatched]])&lt;0,0,Table5[[#This Row],[Total Indent]]-Table5[[#This Row],[Total Dispatched]])</f>
        <v/>
      </c>
    </row>
    <row r="24" hidden="1" s="584">
      <c r="A24" s="265" t="inlineStr">
        <is>
          <t>HMSI</t>
        </is>
      </c>
      <c r="B24" s="147" t="n">
        <v>943210</v>
      </c>
      <c r="C24" s="147" t="inlineStr">
        <is>
          <t>BADVE</t>
        </is>
      </c>
      <c r="D24" s="147" t="inlineStr">
        <is>
          <t>CR ERW 1</t>
        </is>
      </c>
      <c r="E24" s="147" t="inlineStr">
        <is>
          <t>FIN CUT</t>
        </is>
      </c>
      <c r="F24" s="147" t="inlineStr">
        <is>
          <t xml:space="preserve">CR ERW </t>
        </is>
      </c>
      <c r="G24" s="148" t="n">
        <v>22.2</v>
      </c>
      <c r="H24" s="148" t="n"/>
      <c r="I24" s="148" t="n">
        <v>2</v>
      </c>
      <c r="J24" s="147" t="n">
        <v>5390</v>
      </c>
      <c r="K24" s="147" t="n">
        <v>5.39</v>
      </c>
      <c r="L24" s="147">
        <f>_xlfn.CONCAT(G24,I24,K24,F24,E24)</f>
        <v/>
      </c>
      <c r="M24" s="147">
        <f>VLOOKUP(Table5[[#This Row],[Key]],aug[[#All],[Key]:[Bucket CTL]],2,0)</f>
        <v/>
      </c>
      <c r="N24" s="147">
        <f>VLOOKUP(Table5[[#This Row],[Key]],aug[[#All],[Key]:[Bucket CTL]],3,0)</f>
        <v/>
      </c>
      <c r="O24" s="149">
        <f>VLOOKUP(L24,aug[[#All],[Key]:[TSL Material Code]],7,0)</f>
        <v/>
      </c>
      <c r="P24" s="149">
        <f>VLOOKUP(L24,aug[[#All],[Key]:[TSL Material Code]],8,0)</f>
        <v/>
      </c>
      <c r="Q24" s="19" t="n">
        <v>50</v>
      </c>
      <c r="R24" s="147" t="n">
        <v>12</v>
      </c>
      <c r="S24" s="147" t="n">
        <v>12</v>
      </c>
      <c r="T24" s="147" t="n"/>
      <c r="U24" s="147">
        <f>S24-R24</f>
        <v/>
      </c>
      <c r="V24" s="147" t="n"/>
      <c r="W24" s="147">
        <f>U24+V24</f>
        <v/>
      </c>
      <c r="X24" s="19">
        <f>Q24-W24</f>
        <v/>
      </c>
      <c r="Y24" s="167" t="n">
        <v>67</v>
      </c>
      <c r="Z24" s="19">
        <f>SUMIFS(meghsteelsales_previousmonth[Quantity],meghsteelsales_previousmonth[Length Bucket],Table5[[#This Row],[Bucket CTL]])/1000</f>
        <v/>
      </c>
      <c r="AA24" s="419">
        <f>SUMIFS(meghsteelsales_currentmonth[Quantity],meghsteelsales_currentmonth[Length Bucket],Table5[[#This Row],[Bucket CTL]])/1000</f>
        <v/>
      </c>
      <c r="AB24">
        <f>Table5[[#This Row],[ INDENT  FOR SEP-25 recommended]]+Table5[[#This Row],[order logg ]]</f>
        <v/>
      </c>
      <c r="AC24" s="585">
        <f>Table5[[#This Row],[Before 20th]]+Table5[[#This Row],[after 20th]]</f>
        <v/>
      </c>
      <c r="AD24" s="585">
        <f>IF((Table5[[#This Row],[Total Indent]]-Table5[[#This Row],[Total Dispatched]])&lt;0,0,Table5[[#This Row],[Total Indent]]-Table5[[#This Row],[Total Dispatched]])</f>
        <v/>
      </c>
    </row>
    <row r="25">
      <c r="A25" s="265" t="inlineStr">
        <is>
          <t>HMSI</t>
        </is>
      </c>
      <c r="B25" s="147" t="n">
        <v>943210</v>
      </c>
      <c r="C25" s="147" t="inlineStr">
        <is>
          <t>BADVE</t>
        </is>
      </c>
      <c r="D25" s="153" t="inlineStr">
        <is>
          <t>ERW2</t>
        </is>
      </c>
      <c r="E25" s="147" t="inlineStr">
        <is>
          <t>FIN CUT</t>
        </is>
      </c>
      <c r="F25" s="147" t="inlineStr">
        <is>
          <t>HST</t>
        </is>
      </c>
      <c r="G25" s="148" t="n">
        <v>25.4</v>
      </c>
      <c r="H25" s="148" t="n"/>
      <c r="I25" s="148" t="n">
        <v>1.4</v>
      </c>
      <c r="J25" s="147" t="n">
        <v>5531</v>
      </c>
      <c r="K25" s="147" t="n">
        <v>5.531</v>
      </c>
      <c r="L25" s="147">
        <f>_xlfn.CONCAT(G25,I25,K25,F25,E25)</f>
        <v/>
      </c>
      <c r="M25" s="147">
        <f>VLOOKUP(Table5[[#This Row],[Key]],aug[[#All],[Key]:[Bucket CTL]],2,0)</f>
        <v/>
      </c>
      <c r="N25" s="147">
        <f>VLOOKUP(Table5[[#This Row],[Key]],aug[[#All],[Key]:[Bucket CTL]],3,0)</f>
        <v/>
      </c>
      <c r="O25" s="149">
        <f>VLOOKUP(L25,aug[[#All],[Key]:[TSL Material Code]],7,0)</f>
        <v/>
      </c>
      <c r="P25" s="149">
        <f>VLOOKUP(L25,aug[[#All],[Key]:[TSL Material Code]],8,0)</f>
        <v/>
      </c>
      <c r="Q25" s="19" t="n">
        <v>15</v>
      </c>
      <c r="R25" s="147" t="n">
        <v>0</v>
      </c>
      <c r="S25" s="147" t="n">
        <v>0</v>
      </c>
      <c r="T25" s="147" t="n"/>
      <c r="U25" s="147">
        <f>S25-R25</f>
        <v/>
      </c>
      <c r="V25" s="147" t="n">
        <v>13</v>
      </c>
      <c r="W25" s="147">
        <f>U25+V25</f>
        <v/>
      </c>
      <c r="X25" s="19">
        <f>Q25-W25</f>
        <v/>
      </c>
      <c r="Y25" s="167">
        <f>IF(X25&gt;0,X25,0)*150%</f>
        <v/>
      </c>
      <c r="Z25" s="19">
        <f>SUMIFS(meghsteelsales_previousmonth[Quantity],meghsteelsales_previousmonth[Length Bucket],Table5[[#This Row],[Bucket CTL]])/1000</f>
        <v/>
      </c>
      <c r="AA25" s="419">
        <f>SUMIFS(meghsteelsales_currentmonth[Quantity],meghsteelsales_currentmonth[Length Bucket],Table5[[#This Row],[Bucket CTL]])/1000</f>
        <v/>
      </c>
      <c r="AB25">
        <f>Table5[[#This Row],[ INDENT  FOR SEP-25 recommended]]+Table5[[#This Row],[order logg ]]</f>
        <v/>
      </c>
      <c r="AC25" s="585">
        <f>Table5[[#This Row],[Before 20th]]+Table5[[#This Row],[after 20th]]</f>
        <v/>
      </c>
      <c r="AD25" s="585">
        <f>IF((Table5[[#This Row],[Total Indent]]-Table5[[#This Row],[Total Dispatched]])&lt;0,0,Table5[[#This Row],[Total Indent]]-Table5[[#This Row],[Total Dispatched]])</f>
        <v/>
      </c>
    </row>
    <row r="26">
      <c r="A26" s="265" t="inlineStr">
        <is>
          <t>HMSI</t>
        </is>
      </c>
      <c r="B26" s="147" t="n">
        <v>943210</v>
      </c>
      <c r="C26" s="147" t="inlineStr">
        <is>
          <t>BADVE</t>
        </is>
      </c>
      <c r="D26" s="153" t="inlineStr">
        <is>
          <t>ERW1</t>
        </is>
      </c>
      <c r="E26" s="147" t="inlineStr">
        <is>
          <t>FIN CUT</t>
        </is>
      </c>
      <c r="F26" s="147" t="inlineStr">
        <is>
          <t>ERW</t>
        </is>
      </c>
      <c r="G26" s="148" t="n">
        <v>25.4</v>
      </c>
      <c r="H26" s="148" t="n"/>
      <c r="I26" s="148" t="n">
        <v>1.4</v>
      </c>
      <c r="J26" s="147" t="n">
        <v>6060</v>
      </c>
      <c r="K26" s="147" t="n">
        <v>6.06</v>
      </c>
      <c r="L26" s="147">
        <f>_xlfn.CONCAT(G26,I26,K26,F26,E26)</f>
        <v/>
      </c>
      <c r="M26" s="147">
        <f>VLOOKUP(Table5[[#This Row],[Key]],aug[[#All],[Key]:[Bucket CTL]],2,0)</f>
        <v/>
      </c>
      <c r="N26" s="147">
        <f>VLOOKUP(Table5[[#This Row],[Key]],aug[[#All],[Key]:[Bucket CTL]],3,0)</f>
        <v/>
      </c>
      <c r="O26" s="149">
        <f>VLOOKUP(L26,aug[[#All],[Key]:[TSL Material Code]],7,0)</f>
        <v/>
      </c>
      <c r="P26" s="149">
        <f>VLOOKUP(L26,aug[[#All],[Key]:[TSL Material Code]],8,0)</f>
        <v/>
      </c>
      <c r="Q26" s="19" t="n">
        <v>10</v>
      </c>
      <c r="R26" s="147" t="n">
        <v>0</v>
      </c>
      <c r="S26" s="147" t="n">
        <v>0</v>
      </c>
      <c r="T26" s="147" t="n"/>
      <c r="U26" s="147">
        <f>S26-R26</f>
        <v/>
      </c>
      <c r="V26" s="147" t="n"/>
      <c r="W26" s="147">
        <f>U26+V26</f>
        <v/>
      </c>
      <c r="X26" s="19">
        <f>Q26-W26</f>
        <v/>
      </c>
      <c r="Y26" s="167" t="n">
        <v>61</v>
      </c>
      <c r="Z26" s="19">
        <f>SUMIFS(meghsteelsales_previousmonth[Quantity],meghsteelsales_previousmonth[Length Bucket],Table5[[#This Row],[Bucket CTL]])/1000</f>
        <v/>
      </c>
      <c r="AA26" s="419">
        <f>SUMIFS(meghsteelsales_currentmonth[Quantity],meghsteelsales_currentmonth[Length Bucket],Table5[[#This Row],[Bucket CTL]])/1000</f>
        <v/>
      </c>
      <c r="AB26">
        <f>Table5[[#This Row],[ INDENT  FOR SEP-25 recommended]]+Table5[[#This Row],[order logg ]]</f>
        <v/>
      </c>
      <c r="AC26" s="585">
        <f>Table5[[#This Row],[Before 20th]]+Table5[[#This Row],[after 20th]]</f>
        <v/>
      </c>
      <c r="AD26" s="585">
        <f>IF((Table5[[#This Row],[Total Indent]]-Table5[[#This Row],[Total Dispatched]])&lt;0,0,Table5[[#This Row],[Total Indent]]-Table5[[#This Row],[Total Dispatched]])</f>
        <v/>
      </c>
    </row>
    <row r="27" hidden="1" s="584">
      <c r="A27" s="265" t="inlineStr">
        <is>
          <t>TVS</t>
        </is>
      </c>
      <c r="B27" s="147" t="n">
        <v>943209</v>
      </c>
      <c r="C27" s="147" t="inlineStr">
        <is>
          <t>RUCHA</t>
        </is>
      </c>
      <c r="D27" s="153" t="inlineStr">
        <is>
          <t>ERW1</t>
        </is>
      </c>
      <c r="E27" s="147" t="inlineStr">
        <is>
          <t>NON FIN</t>
        </is>
      </c>
      <c r="F27" s="147" t="inlineStr">
        <is>
          <t>ERW</t>
        </is>
      </c>
      <c r="G27" s="148" t="n">
        <v>25.4</v>
      </c>
      <c r="H27" s="148" t="n"/>
      <c r="I27" s="148" t="n">
        <v>1.6</v>
      </c>
      <c r="J27" s="147" t="n">
        <v>6000</v>
      </c>
      <c r="K27" s="147" t="n">
        <v>6</v>
      </c>
      <c r="L27" s="147">
        <f>_xlfn.CONCAT(G27,I27,K27,F27,E27)</f>
        <v/>
      </c>
      <c r="M27" s="147">
        <f>VLOOKUP(Table5[[#This Row],[Key]],aug[[#All],[Key]:[Bucket CTL]],2,0)</f>
        <v/>
      </c>
      <c r="N27" s="147">
        <f>VLOOKUP(Table5[[#This Row],[Key]],aug[[#All],[Key]:[Bucket CTL]],3,0)</f>
        <v/>
      </c>
      <c r="O27" s="149">
        <f>VLOOKUP(L27,aug[[#All],[Key]:[TSL Material Code]],7,0)</f>
        <v/>
      </c>
      <c r="P27" s="149">
        <f>VLOOKUP(L27,aug[[#All],[Key]:[TSL Material Code]],8,0)</f>
        <v/>
      </c>
      <c r="Q27" s="19" t="n">
        <v>35</v>
      </c>
      <c r="R27" s="147" t="n">
        <v>15</v>
      </c>
      <c r="S27" s="147" t="n">
        <v>20</v>
      </c>
      <c r="T27" s="147" t="n"/>
      <c r="U27" s="147">
        <f>S27-R27</f>
        <v/>
      </c>
      <c r="V27" s="147" t="n">
        <v>20</v>
      </c>
      <c r="W27" s="147">
        <f>U27+V27</f>
        <v/>
      </c>
      <c r="X27" s="19">
        <f>Q27-W27</f>
        <v/>
      </c>
      <c r="Y27" s="167">
        <f>IF(X27&gt;0,X27,0)*150%</f>
        <v/>
      </c>
      <c r="Z27" s="19">
        <f>SUMIFS(meghsteelsales_previousmonth[Quantity],meghsteelsales_previousmonth[Length Bucket],Table5[[#This Row],[Bucket CTL]])/1000</f>
        <v/>
      </c>
      <c r="AA27" s="419">
        <f>SUMIFS(meghsteelsales_currentmonth[Quantity],meghsteelsales_currentmonth[Length Bucket],Table5[[#This Row],[Bucket CTL]])/1000</f>
        <v/>
      </c>
      <c r="AB27">
        <f>Table5[[#This Row],[ INDENT  FOR SEP-25 recommended]]+Table5[[#This Row],[order logg ]]</f>
        <v/>
      </c>
      <c r="AC27" s="585">
        <f>Table5[[#This Row],[Before 20th]]+Table5[[#This Row],[after 20th]]</f>
        <v/>
      </c>
      <c r="AD27" s="585">
        <f>IF((Table5[[#This Row],[Total Indent]]-Table5[[#This Row],[Total Dispatched]])&lt;0,0,Table5[[#This Row],[Total Indent]]-Table5[[#This Row],[Total Dispatched]])</f>
        <v/>
      </c>
    </row>
    <row r="28" hidden="1" s="584">
      <c r="A28" s="265" t="inlineStr">
        <is>
          <t>TVS</t>
        </is>
      </c>
      <c r="B28" s="147" t="n">
        <v>943209</v>
      </c>
      <c r="C28" s="147" t="inlineStr">
        <is>
          <t>RUCHA</t>
        </is>
      </c>
      <c r="D28" s="153" t="inlineStr">
        <is>
          <t>ERW1</t>
        </is>
      </c>
      <c r="E28" s="147" t="inlineStr">
        <is>
          <t>NON FIN</t>
        </is>
      </c>
      <c r="F28" s="147" t="inlineStr">
        <is>
          <t>ERW</t>
        </is>
      </c>
      <c r="G28" s="148" t="n">
        <v>25.4</v>
      </c>
      <c r="H28" s="148" t="n"/>
      <c r="I28" s="148" t="n">
        <v>2</v>
      </c>
      <c r="J28" s="147" t="n">
        <v>5840</v>
      </c>
      <c r="K28" s="147" t="n">
        <v>5.82</v>
      </c>
      <c r="L28" s="147">
        <f>_xlfn.CONCAT(G28,I28,K28,F28,E28)</f>
        <v/>
      </c>
      <c r="M28" s="147">
        <f>VLOOKUP(Table5[[#This Row],[Key]],aug[[#All],[Key]:[Bucket CTL]],2,0)</f>
        <v/>
      </c>
      <c r="N28" s="147">
        <f>VLOOKUP(Table5[[#This Row],[Key]],aug[[#All],[Key]:[Bucket CTL]],3,0)</f>
        <v/>
      </c>
      <c r="O28" s="149">
        <f>VLOOKUP(L28,aug[[#All],[Key]:[TSL Material Code]],7,0)</f>
        <v/>
      </c>
      <c r="P28" s="149">
        <f>VLOOKUP(L28,aug[[#All],[Key]:[TSL Material Code]],8,0)</f>
        <v/>
      </c>
      <c r="Q28" s="19" t="n">
        <v>20</v>
      </c>
      <c r="R28" s="147" t="n">
        <v>0</v>
      </c>
      <c r="S28" s="147" t="n">
        <v>0</v>
      </c>
      <c r="T28" s="147" t="n"/>
      <c r="U28" s="147">
        <f>S28-R28</f>
        <v/>
      </c>
      <c r="V28" s="147" t="n">
        <v>17</v>
      </c>
      <c r="W28" s="147">
        <f>U28+V28</f>
        <v/>
      </c>
      <c r="X28" s="19">
        <f>Q28-W28</f>
        <v/>
      </c>
      <c r="Y28" s="167">
        <f>IF(X28&gt;0,X28,0)*150%</f>
        <v/>
      </c>
      <c r="Z28" s="19">
        <f>SUMIFS(meghsteelsales_previousmonth[Quantity],meghsteelsales_previousmonth[Length Bucket],Table5[[#This Row],[Bucket CTL]])/1000</f>
        <v/>
      </c>
      <c r="AA28" s="419">
        <f>SUMIFS(meghsteelsales_currentmonth[Quantity],meghsteelsales_currentmonth[Length Bucket],Table5[[#This Row],[Bucket CTL]])/1000</f>
        <v/>
      </c>
      <c r="AB28">
        <f>Table5[[#This Row],[ INDENT  FOR SEP-25 recommended]]+Table5[[#This Row],[order logg ]]</f>
        <v/>
      </c>
      <c r="AC28" s="585">
        <f>Table5[[#This Row],[Before 20th]]+Table5[[#This Row],[after 20th]]</f>
        <v/>
      </c>
      <c r="AD28" s="585">
        <f>IF((Table5[[#This Row],[Total Indent]]-Table5[[#This Row],[Total Dispatched]])&lt;0,0,Table5[[#This Row],[Total Indent]]-Table5[[#This Row],[Total Dispatched]])</f>
        <v/>
      </c>
    </row>
    <row r="29" hidden="1" s="584">
      <c r="A29" s="265" t="inlineStr">
        <is>
          <t>TVS</t>
        </is>
      </c>
      <c r="B29" s="147" t="n">
        <v>943209</v>
      </c>
      <c r="C29" s="147" t="inlineStr">
        <is>
          <t>RUCHA</t>
        </is>
      </c>
      <c r="D29" s="153" t="inlineStr">
        <is>
          <t>ERW1</t>
        </is>
      </c>
      <c r="E29" s="147" t="inlineStr">
        <is>
          <t>NON FIN</t>
        </is>
      </c>
      <c r="F29" s="147" t="inlineStr">
        <is>
          <t>ERW</t>
        </is>
      </c>
      <c r="G29" s="148" t="n">
        <v>25.4</v>
      </c>
      <c r="H29" s="148" t="n"/>
      <c r="I29" s="148" t="n">
        <v>2</v>
      </c>
      <c r="J29" s="147" t="n">
        <v>6050</v>
      </c>
      <c r="K29" s="147" t="n">
        <v>6.05</v>
      </c>
      <c r="L29" s="147">
        <f>_xlfn.CONCAT(G29,I29,K29,F29,E29)</f>
        <v/>
      </c>
      <c r="M29" s="147">
        <f>VLOOKUP(Table5[[#This Row],[Key]],aug[[#All],[Key]:[Bucket CTL]],2,0)</f>
        <v/>
      </c>
      <c r="N29" s="147">
        <f>VLOOKUP(Table5[[#This Row],[Key]],aug[[#All],[Key]:[Bucket CTL]],3,0)</f>
        <v/>
      </c>
      <c r="O29" s="149">
        <f>VLOOKUP(L29,aug[[#All],[Key]:[TSL Material Code]],7,0)</f>
        <v/>
      </c>
      <c r="P29" s="149">
        <f>VLOOKUP(L29,aug[[#All],[Key]:[TSL Material Code]],8,0)</f>
        <v/>
      </c>
      <c r="Q29" s="19" t="n">
        <v>15</v>
      </c>
      <c r="R29" s="147" t="n">
        <v>0</v>
      </c>
      <c r="S29" s="147" t="n">
        <v>0</v>
      </c>
      <c r="T29" s="147" t="n"/>
      <c r="U29" s="147">
        <f>S29-R29</f>
        <v/>
      </c>
      <c r="V29" s="147" t="n"/>
      <c r="W29" s="147">
        <f>U29+V29</f>
        <v/>
      </c>
      <c r="X29" s="19">
        <f>Q29-W29</f>
        <v/>
      </c>
      <c r="Y29" s="167" t="n">
        <v>23</v>
      </c>
      <c r="Z29" s="19">
        <f>SUMIFS(meghsteelsales_previousmonth[Quantity],meghsteelsales_previousmonth[Length Bucket],Table5[[#This Row],[Bucket CTL]])/1000</f>
        <v/>
      </c>
      <c r="AA29" s="419">
        <f>SUMIFS(meghsteelsales_currentmonth[Quantity],meghsteelsales_currentmonth[Length Bucket],Table5[[#This Row],[Bucket CTL]])/1000</f>
        <v/>
      </c>
      <c r="AB29">
        <f>Table5[[#This Row],[ INDENT  FOR SEP-25 recommended]]+Table5[[#This Row],[order logg ]]</f>
        <v/>
      </c>
      <c r="AC29" s="585">
        <f>Table5[[#This Row],[Before 20th]]+Table5[[#This Row],[after 20th]]</f>
        <v/>
      </c>
      <c r="AD29" s="585">
        <f>IF((Table5[[#This Row],[Total Indent]]-Table5[[#This Row],[Total Dispatched]])&lt;0,0,Table5[[#This Row],[Total Indent]]-Table5[[#This Row],[Total Dispatched]])</f>
        <v/>
      </c>
    </row>
    <row r="30" hidden="1" s="584">
      <c r="A30" s="265" t="inlineStr">
        <is>
          <t>TVS</t>
        </is>
      </c>
      <c r="B30" s="147" t="n">
        <v>943209</v>
      </c>
      <c r="C30" s="147" t="inlineStr">
        <is>
          <t>RUCHA</t>
        </is>
      </c>
      <c r="D30" s="153" t="inlineStr">
        <is>
          <t>ERW1</t>
        </is>
      </c>
      <c r="E30" s="147" t="inlineStr">
        <is>
          <t>NON FIN</t>
        </is>
      </c>
      <c r="F30" s="147" t="inlineStr">
        <is>
          <t>ERW</t>
        </is>
      </c>
      <c r="G30" s="148" t="n">
        <v>25.4</v>
      </c>
      <c r="H30" s="148" t="n"/>
      <c r="I30" s="148" t="n">
        <v>2.5</v>
      </c>
      <c r="J30" s="147" t="n">
        <v>5530</v>
      </c>
      <c r="K30" s="147" t="n">
        <v>5.53</v>
      </c>
      <c r="L30" s="147">
        <f>_xlfn.CONCAT(G30,I30,K30,F30,E30)</f>
        <v/>
      </c>
      <c r="M30" s="147">
        <f>VLOOKUP(Table5[[#This Row],[Key]],aug[[#All],[Key]:[Bucket CTL]],2,0)</f>
        <v/>
      </c>
      <c r="N30" s="147">
        <f>VLOOKUP(Table5[[#This Row],[Key]],aug[[#All],[Key]:[Bucket CTL]],3,0)</f>
        <v/>
      </c>
      <c r="O30" s="149">
        <f>VLOOKUP(L30,aug[[#All],[Key]:[TSL Material Code]],7,0)</f>
        <v/>
      </c>
      <c r="P30" s="149">
        <f>VLOOKUP(L30,aug[[#All],[Key]:[TSL Material Code]],8,0)</f>
        <v/>
      </c>
      <c r="Q30" s="19" t="n">
        <v>60</v>
      </c>
      <c r="R30" s="147" t="n">
        <v>8</v>
      </c>
      <c r="S30" s="147" t="n">
        <v>7</v>
      </c>
      <c r="T30" s="147" t="n"/>
      <c r="U30" s="147">
        <f>S30-R30</f>
        <v/>
      </c>
      <c r="V30" s="147" t="n">
        <v>68</v>
      </c>
      <c r="W30" s="147">
        <f>U30+V30</f>
        <v/>
      </c>
      <c r="X30" s="19">
        <f>Q30-W30</f>
        <v/>
      </c>
      <c r="Y30" s="167">
        <f>IF(X30&gt;0,X30,0)*150%</f>
        <v/>
      </c>
      <c r="Z30" s="19">
        <f>SUMIFS(meghsteelsales_previousmonth[Quantity],meghsteelsales_previousmonth[Length Bucket],Table5[[#This Row],[Bucket CTL]])/1000</f>
        <v/>
      </c>
      <c r="AA30" s="419">
        <f>SUMIFS(meghsteelsales_currentmonth[Quantity],meghsteelsales_currentmonth[Length Bucket],Table5[[#This Row],[Bucket CTL]])/1000</f>
        <v/>
      </c>
      <c r="AB30">
        <f>Table5[[#This Row],[ INDENT  FOR SEP-25 recommended]]+Table5[[#This Row],[order logg ]]</f>
        <v/>
      </c>
      <c r="AC30" s="585">
        <f>Table5[[#This Row],[Before 20th]]+Table5[[#This Row],[after 20th]]</f>
        <v/>
      </c>
      <c r="AD30" s="585">
        <f>IF((Table5[[#This Row],[Total Indent]]-Table5[[#This Row],[Total Dispatched]])&lt;0,0,Table5[[#This Row],[Total Indent]]-Table5[[#This Row],[Total Dispatched]])</f>
        <v/>
      </c>
    </row>
    <row r="31" hidden="1" s="584">
      <c r="A31" s="265" t="inlineStr">
        <is>
          <t>TVS</t>
        </is>
      </c>
      <c r="B31" s="147" t="n">
        <v>943209</v>
      </c>
      <c r="C31" s="147" t="inlineStr">
        <is>
          <t>RUCHA,METALMAN</t>
        </is>
      </c>
      <c r="D31" s="153" t="inlineStr">
        <is>
          <t>ERW1</t>
        </is>
      </c>
      <c r="E31" s="147" t="inlineStr">
        <is>
          <t>FIN CUT</t>
        </is>
      </c>
      <c r="F31" s="147" t="inlineStr">
        <is>
          <t>ERW</t>
        </is>
      </c>
      <c r="G31" s="148" t="n">
        <v>28.6</v>
      </c>
      <c r="H31" s="148" t="n"/>
      <c r="I31" s="148" t="n">
        <v>1.2</v>
      </c>
      <c r="J31" s="147" t="n">
        <v>6000</v>
      </c>
      <c r="K31" s="147" t="n">
        <v>6</v>
      </c>
      <c r="L31" s="147">
        <f>_xlfn.CONCAT(G31,I31,K31,F31,E31)</f>
        <v/>
      </c>
      <c r="M31" s="147">
        <f>VLOOKUP(Table5[[#This Row],[Key]],aug[[#All],[Key]:[Bucket CTL]],2,0)</f>
        <v/>
      </c>
      <c r="N31" s="147">
        <f>VLOOKUP(Table5[[#This Row],[Key]],aug[[#All],[Key]:[Bucket CTL]],3,0)</f>
        <v/>
      </c>
      <c r="O31" s="149">
        <f>VLOOKUP(L31,aug[[#All],[Key]:[TSL Material Code]],7,0)</f>
        <v/>
      </c>
      <c r="P31" s="149">
        <f>VLOOKUP(L31,aug[[#All],[Key]:[TSL Material Code]],8,0)</f>
        <v/>
      </c>
      <c r="Q31" s="19" t="n">
        <v>3</v>
      </c>
      <c r="R31" s="147" t="n">
        <v>1</v>
      </c>
      <c r="S31" s="147" t="n">
        <v>3</v>
      </c>
      <c r="T31" s="147" t="n"/>
      <c r="U31" s="147">
        <f>S31-R31</f>
        <v/>
      </c>
      <c r="V31" s="147" t="n"/>
      <c r="W31" s="147">
        <f>U31+V31</f>
        <v/>
      </c>
      <c r="X31" s="19">
        <f>Q31-W31</f>
        <v/>
      </c>
      <c r="Y31" s="167" t="n">
        <v>0</v>
      </c>
      <c r="Z31" s="19">
        <f>SUMIFS(meghsteelsales_previousmonth[Quantity],meghsteelsales_previousmonth[Length Bucket],Table5[[#This Row],[Bucket CTL]])/1000</f>
        <v/>
      </c>
      <c r="AA31" s="419">
        <f>SUMIFS(meghsteelsales_currentmonth[Quantity],meghsteelsales_currentmonth[Length Bucket],Table5[[#This Row],[Bucket CTL]])/1000</f>
        <v/>
      </c>
      <c r="AB31">
        <f>Table5[[#This Row],[ INDENT  FOR SEP-25 recommended]]+Table5[[#This Row],[order logg ]]</f>
        <v/>
      </c>
      <c r="AC31" s="585">
        <f>Table5[[#This Row],[Before 20th]]+Table5[[#This Row],[after 20th]]</f>
        <v/>
      </c>
      <c r="AD31" s="585">
        <f>IF((Table5[[#This Row],[Total Indent]]-Table5[[#This Row],[Total Dispatched]])&lt;0,0,Table5[[#This Row],[Total Indent]]-Table5[[#This Row],[Total Dispatched]])</f>
        <v/>
      </c>
    </row>
    <row r="32" hidden="1" s="584">
      <c r="A32" s="265" t="inlineStr">
        <is>
          <t>TVS</t>
        </is>
      </c>
      <c r="B32" s="147" t="n">
        <v>943209</v>
      </c>
      <c r="C32" s="147" t="inlineStr">
        <is>
          <t>RUCHA</t>
        </is>
      </c>
      <c r="D32" s="159" t="inlineStr">
        <is>
          <t>CEW1</t>
        </is>
      </c>
      <c r="E32" s="147" t="inlineStr">
        <is>
          <t>FIN CUT</t>
        </is>
      </c>
      <c r="F32" s="147" t="inlineStr">
        <is>
          <t>CEW</t>
        </is>
      </c>
      <c r="G32" s="168" t="n">
        <v>28.6</v>
      </c>
      <c r="H32" s="168" t="n"/>
      <c r="I32" s="168" t="n">
        <v>2.65</v>
      </c>
      <c r="J32" s="169" t="n">
        <v>6000</v>
      </c>
      <c r="K32" s="147" t="n">
        <v>6</v>
      </c>
      <c r="L32" s="147">
        <f>_xlfn.CONCAT(G32,I32,K32,F32,E32)</f>
        <v/>
      </c>
      <c r="M32" s="147">
        <f>VLOOKUP(Table5[[#This Row],[Key]],aug[[#All],[Key]:[Bucket CTL]],2,0)</f>
        <v/>
      </c>
      <c r="N32" s="147">
        <f>VLOOKUP(Table5[[#This Row],[Key]],aug[[#All],[Key]:[Bucket CTL]],3,0)</f>
        <v/>
      </c>
      <c r="O32" s="149">
        <f>VLOOKUP(L32,aug[[#All],[Key]:[TSL Material Code]],7,0)</f>
        <v/>
      </c>
      <c r="P32" s="149">
        <f>VLOOKUP(L32,aug[[#All],[Key]:[TSL Material Code]],8,0)</f>
        <v/>
      </c>
      <c r="Q32" s="19" t="n">
        <v>10</v>
      </c>
      <c r="R32" s="147" t="n">
        <v>5</v>
      </c>
      <c r="S32" s="147" t="n">
        <v>18</v>
      </c>
      <c r="T32" s="147" t="n"/>
      <c r="U32" s="147">
        <f>S32-R32</f>
        <v/>
      </c>
      <c r="V32" s="147" t="n">
        <v>0</v>
      </c>
      <c r="W32" s="147">
        <f>U32+V32</f>
        <v/>
      </c>
      <c r="X32" s="19">
        <f>Q32-W32</f>
        <v/>
      </c>
      <c r="Y32" s="167">
        <f>IF(X32&gt;0,X32,0)*150%</f>
        <v/>
      </c>
      <c r="Z32" s="19">
        <f>SUMIFS(meghsteelsales_previousmonth[Quantity],meghsteelsales_previousmonth[Length Bucket],Table5[[#This Row],[Bucket CTL]])/1000</f>
        <v/>
      </c>
      <c r="AA32" s="419">
        <f>SUMIFS(meghsteelsales_currentmonth[Quantity],meghsteelsales_currentmonth[Length Bucket],Table5[[#This Row],[Bucket CTL]])/1000</f>
        <v/>
      </c>
      <c r="AB32">
        <f>Table5[[#This Row],[ INDENT  FOR SEP-25 recommended]]+Table5[[#This Row],[order logg ]]</f>
        <v/>
      </c>
      <c r="AC32" s="585">
        <f>Table5[[#This Row],[Before 20th]]+Table5[[#This Row],[after 20th]]</f>
        <v/>
      </c>
      <c r="AD32" s="585">
        <f>IF((Table5[[#This Row],[Total Indent]]-Table5[[#This Row],[Total Dispatched]])&lt;0,0,Table5[[#This Row],[Total Indent]]-Table5[[#This Row],[Total Dispatched]])</f>
        <v/>
      </c>
    </row>
    <row r="33" hidden="1" s="584">
      <c r="A33" s="265" t="inlineStr">
        <is>
          <t>TVS</t>
        </is>
      </c>
      <c r="B33" s="147" t="n">
        <v>943209</v>
      </c>
      <c r="C33" s="147" t="inlineStr">
        <is>
          <t>RUCHA,METALMAN</t>
        </is>
      </c>
      <c r="D33" s="153" t="inlineStr">
        <is>
          <t>ERW1</t>
        </is>
      </c>
      <c r="E33" s="147" t="inlineStr">
        <is>
          <t>FIN CUT</t>
        </is>
      </c>
      <c r="F33" s="147" t="inlineStr">
        <is>
          <t>ERW</t>
        </is>
      </c>
      <c r="G33" s="148" t="n">
        <v>31.75</v>
      </c>
      <c r="H33" s="148" t="n"/>
      <c r="I33" s="148" t="n">
        <v>1.2</v>
      </c>
      <c r="J33" s="147" t="n">
        <v>6000</v>
      </c>
      <c r="K33" s="147" t="n">
        <v>6</v>
      </c>
      <c r="L33" s="147">
        <f>_xlfn.CONCAT(G33,I33,K33,F33,E33)</f>
        <v/>
      </c>
      <c r="M33" s="147">
        <f>VLOOKUP(Table5[[#This Row],[Key]],aug[[#All],[Key]:[Bucket CTL]],2,0)</f>
        <v/>
      </c>
      <c r="N33" s="147">
        <f>VLOOKUP(Table5[[#This Row],[Key]],aug[[#All],[Key]:[Bucket CTL]],3,0)</f>
        <v/>
      </c>
      <c r="O33" s="149">
        <f>VLOOKUP(L33,aug[[#All],[Key]:[TSL Material Code]],7,0)</f>
        <v/>
      </c>
      <c r="P33" s="149">
        <f>VLOOKUP(L33,aug[[#All],[Key]:[TSL Material Code]],8,0)</f>
        <v/>
      </c>
      <c r="Q33" s="19" t="n">
        <v>3</v>
      </c>
      <c r="R33" s="147" t="n">
        <v>0</v>
      </c>
      <c r="S33" s="147" t="n">
        <v>0</v>
      </c>
      <c r="T33" s="147" t="n"/>
      <c r="U33" s="147">
        <f>S33-R33</f>
        <v/>
      </c>
      <c r="V33" s="147" t="n">
        <v>10</v>
      </c>
      <c r="W33" s="147">
        <f>U33+V33</f>
        <v/>
      </c>
      <c r="X33" s="19">
        <f>Q33-W33</f>
        <v/>
      </c>
      <c r="Y33" s="167">
        <f>IF(X33&gt;0,X33,0)*150%</f>
        <v/>
      </c>
      <c r="Z33" s="19">
        <f>SUMIFS(meghsteelsales_previousmonth[Quantity],meghsteelsales_previousmonth[Length Bucket],Table5[[#This Row],[Bucket CTL]])/1000</f>
        <v/>
      </c>
      <c r="AA33" s="419">
        <f>SUMIFS(meghsteelsales_currentmonth[Quantity],meghsteelsales_currentmonth[Length Bucket],Table5[[#This Row],[Bucket CTL]])/1000</f>
        <v/>
      </c>
      <c r="AB33">
        <f>Table5[[#This Row],[ INDENT  FOR SEP-25 recommended]]+Table5[[#This Row],[order logg ]]</f>
        <v/>
      </c>
      <c r="AC33" s="585">
        <f>Table5[[#This Row],[Before 20th]]+Table5[[#This Row],[after 20th]]</f>
        <v/>
      </c>
      <c r="AD33" s="585">
        <f>IF((Table5[[#This Row],[Total Indent]]-Table5[[#This Row],[Total Dispatched]])&lt;0,0,Table5[[#This Row],[Total Indent]]-Table5[[#This Row],[Total Dispatched]])</f>
        <v/>
      </c>
    </row>
    <row r="34" hidden="1" s="584">
      <c r="A34" s="265" t="inlineStr">
        <is>
          <t>TVS</t>
        </is>
      </c>
      <c r="B34" s="147" t="n">
        <v>943209</v>
      </c>
      <c r="C34" s="147" t="inlineStr">
        <is>
          <t>RUCHA,METALMAN</t>
        </is>
      </c>
      <c r="D34" s="153" t="inlineStr">
        <is>
          <t>ERW1</t>
        </is>
      </c>
      <c r="E34" s="147" t="inlineStr">
        <is>
          <t>FIN CUT</t>
        </is>
      </c>
      <c r="F34" s="147" t="inlineStr">
        <is>
          <t>ERW</t>
        </is>
      </c>
      <c r="G34" s="148" t="n">
        <v>31.75</v>
      </c>
      <c r="H34" s="148" t="n"/>
      <c r="I34" s="148" t="n">
        <v>2</v>
      </c>
      <c r="J34" s="147" t="n">
        <v>6000</v>
      </c>
      <c r="K34" s="147" t="n">
        <v>6</v>
      </c>
      <c r="L34" s="147">
        <f>_xlfn.CONCAT(G34,I34,K34,F34,E34)</f>
        <v/>
      </c>
      <c r="M34" s="147">
        <f>VLOOKUP(Table5[[#This Row],[Key]],aug[[#All],[Key]:[Bucket CTL]],2,0)</f>
        <v/>
      </c>
      <c r="N34" s="147">
        <f>VLOOKUP(Table5[[#This Row],[Key]],aug[[#All],[Key]:[Bucket CTL]],3,0)</f>
        <v/>
      </c>
      <c r="O34" s="149">
        <f>VLOOKUP(L34,aug[[#All],[Key]:[TSL Material Code]],7,0)</f>
        <v/>
      </c>
      <c r="P34" s="149">
        <f>VLOOKUP(L34,aug[[#All],[Key]:[TSL Material Code]],8,0)</f>
        <v/>
      </c>
      <c r="Q34" s="19" t="n">
        <v>15</v>
      </c>
      <c r="R34" s="147" t="n">
        <v>0</v>
      </c>
      <c r="S34" s="147" t="n">
        <v>0</v>
      </c>
      <c r="T34" s="147" t="n"/>
      <c r="U34" s="147">
        <f>S34-R34</f>
        <v/>
      </c>
      <c r="V34" s="147" t="n"/>
      <c r="W34" s="147">
        <f>U34+V34</f>
        <v/>
      </c>
      <c r="X34" s="19">
        <f>Q34-W34</f>
        <v/>
      </c>
      <c r="Y34" s="167" t="n">
        <v>15</v>
      </c>
      <c r="Z34" s="19">
        <f>SUMIFS(meghsteelsales_previousmonth[Quantity],meghsteelsales_previousmonth[Length Bucket],Table5[[#This Row],[Bucket CTL]])/1000</f>
        <v/>
      </c>
      <c r="AA34" s="419">
        <f>SUMIFS(meghsteelsales_currentmonth[Quantity],meghsteelsales_currentmonth[Length Bucket],Table5[[#This Row],[Bucket CTL]])/1000</f>
        <v/>
      </c>
      <c r="AB34">
        <f>Table5[[#This Row],[ INDENT  FOR SEP-25 recommended]]+Table5[[#This Row],[order logg ]]</f>
        <v/>
      </c>
      <c r="AC34" s="585">
        <f>Table5[[#This Row],[Before 20th]]+Table5[[#This Row],[after 20th]]</f>
        <v/>
      </c>
      <c r="AD34" s="585">
        <f>IF((Table5[[#This Row],[Total Indent]]-Table5[[#This Row],[Total Dispatched]])&lt;0,0,Table5[[#This Row],[Total Indent]]-Table5[[#This Row],[Total Dispatched]])</f>
        <v/>
      </c>
    </row>
    <row r="35" hidden="1" s="584">
      <c r="A35" s="265" t="inlineStr">
        <is>
          <t>RE</t>
        </is>
      </c>
      <c r="B35" s="147" t="n">
        <v>943211</v>
      </c>
      <c r="C35" s="147" t="inlineStr">
        <is>
          <t>BELRISE</t>
        </is>
      </c>
      <c r="D35" s="153" t="inlineStr">
        <is>
          <t>ERW1</t>
        </is>
      </c>
      <c r="E35" s="147" t="inlineStr">
        <is>
          <t>FIN CUT</t>
        </is>
      </c>
      <c r="F35" s="147" t="inlineStr">
        <is>
          <t>ERW</t>
        </is>
      </c>
      <c r="G35" s="148" t="n">
        <v>31.75</v>
      </c>
      <c r="H35" s="148" t="n"/>
      <c r="I35" s="148" t="n">
        <v>2.3</v>
      </c>
      <c r="J35" s="147" t="n">
        <v>5920</v>
      </c>
      <c r="K35" s="147" t="n">
        <v>5.92</v>
      </c>
      <c r="L35" s="147">
        <f>_xlfn.CONCAT(G35,I35,K35,F35,E35)</f>
        <v/>
      </c>
      <c r="M35" s="147" t="inlineStr">
        <is>
          <t>31.75-0-2.3-ERW 1-FC</t>
        </is>
      </c>
      <c r="N35" s="147" t="inlineStr">
        <is>
          <t>31.75-0-2.3-ERW 1-FC-5.92</t>
        </is>
      </c>
      <c r="O35" s="149">
        <f>VLOOKUP(L35,aug[[#All],[Key]:[TSL Material Code]],7,0)</f>
        <v/>
      </c>
      <c r="P35" s="149" t="n">
        <v>4072797</v>
      </c>
      <c r="Q35" s="19" t="n">
        <v>15</v>
      </c>
      <c r="R35" s="147" t="n">
        <v>10</v>
      </c>
      <c r="S35" s="147" t="n">
        <v>34</v>
      </c>
      <c r="T35" s="147" t="n"/>
      <c r="U35" s="147">
        <f>S35-R35</f>
        <v/>
      </c>
      <c r="V35" s="147" t="n"/>
      <c r="W35" s="147">
        <f>U35+V35</f>
        <v/>
      </c>
      <c r="X35" s="19">
        <f>Q35-W35</f>
        <v/>
      </c>
      <c r="Y35" s="167">
        <f>IF(X35&gt;0,X35,0)*150%</f>
        <v/>
      </c>
      <c r="Z35" s="19">
        <f>SUMIFS(meghsteelsales_previousmonth[Quantity],meghsteelsales_previousmonth[Length Bucket],Table5[[#This Row],[Bucket CTL]])/1000</f>
        <v/>
      </c>
      <c r="AA35" s="419">
        <f>SUMIFS(meghsteelsales_currentmonth[Quantity],meghsteelsales_currentmonth[Length Bucket],Table5[[#This Row],[Bucket CTL]])/1000</f>
        <v/>
      </c>
      <c r="AB35">
        <f>Table5[[#This Row],[ INDENT  FOR SEP-25 recommended]]+Table5[[#This Row],[order logg ]]</f>
        <v/>
      </c>
      <c r="AC35" s="585">
        <f>Table5[[#This Row],[Before 20th]]+Table5[[#This Row],[after 20th]]</f>
        <v/>
      </c>
      <c r="AD35" s="585">
        <f>IF((Table5[[#This Row],[Total Indent]]-Table5[[#This Row],[Total Dispatched]])&lt;0,0,Table5[[#This Row],[Total Indent]]-Table5[[#This Row],[Total Dispatched]])</f>
        <v/>
      </c>
    </row>
    <row r="36" hidden="1" s="584">
      <c r="A36" s="265" t="inlineStr">
        <is>
          <t>TVS</t>
        </is>
      </c>
      <c r="B36" s="147" t="n">
        <v>943209</v>
      </c>
      <c r="C36" s="147" t="inlineStr">
        <is>
          <t>RUCHA,METALMAN</t>
        </is>
      </c>
      <c r="D36" s="153" t="inlineStr">
        <is>
          <t>ERW1</t>
        </is>
      </c>
      <c r="E36" s="147" t="inlineStr">
        <is>
          <t>FIN CUT</t>
        </is>
      </c>
      <c r="F36" s="147" t="inlineStr">
        <is>
          <t>ERW</t>
        </is>
      </c>
      <c r="G36" s="148" t="n">
        <v>34.93</v>
      </c>
      <c r="H36" s="148" t="n"/>
      <c r="I36" s="148" t="n">
        <v>1.2</v>
      </c>
      <c r="J36" s="147" t="n">
        <v>6000</v>
      </c>
      <c r="K36" s="147" t="n">
        <v>6</v>
      </c>
      <c r="L36" s="147">
        <f>_xlfn.CONCAT(G36,I36,K36,F36,E36)</f>
        <v/>
      </c>
      <c r="M36" s="147" t="inlineStr">
        <is>
          <t>34.93-0-1.2-ERW 1-FC</t>
        </is>
      </c>
      <c r="N36" s="147" t="inlineStr">
        <is>
          <t>34.93-0-1.2-ERW 1-FC-6</t>
        </is>
      </c>
      <c r="O36" s="149">
        <f>VLOOKUP(L36,aug[[#All],[Key]:[TSL Material Code]],7,0)</f>
        <v/>
      </c>
      <c r="P36" s="149">
        <f>VLOOKUP(L36,aug[[#All],[Key]:[TSL Material Code]],8,0)</f>
        <v/>
      </c>
      <c r="Q36" s="19" t="n">
        <v>3</v>
      </c>
      <c r="R36" s="147" t="n">
        <v>0</v>
      </c>
      <c r="S36" s="147" t="n">
        <v>0</v>
      </c>
      <c r="T36" s="147" t="n"/>
      <c r="U36" s="147">
        <f>S36-R36</f>
        <v/>
      </c>
      <c r="V36" s="147" t="n"/>
      <c r="W36" s="147">
        <f>U36+V36</f>
        <v/>
      </c>
      <c r="X36" s="19">
        <f>Q36-W36</f>
        <v/>
      </c>
      <c r="Y36" s="167">
        <f>IF(X36&gt;0,X36,0)*150%</f>
        <v/>
      </c>
      <c r="Z36" s="19">
        <f>SUMIFS(meghsteelsales_previousmonth[Quantity],meghsteelsales_previousmonth[Length Bucket],Table5[[#This Row],[Bucket CTL]])/1000</f>
        <v/>
      </c>
      <c r="AA36" s="419">
        <f>SUMIFS(meghsteelsales_currentmonth[Quantity],meghsteelsales_currentmonth[Length Bucket],Table5[[#This Row],[Bucket CTL]])/1000</f>
        <v/>
      </c>
      <c r="AB36">
        <f>Table5[[#This Row],[ INDENT  FOR SEP-25 recommended]]+Table5[[#This Row],[order logg ]]</f>
        <v/>
      </c>
      <c r="AC36" s="585">
        <f>Table5[[#This Row],[Before 20th]]+Table5[[#This Row],[after 20th]]</f>
        <v/>
      </c>
      <c r="AD36" s="585">
        <f>IF((Table5[[#This Row],[Total Indent]]-Table5[[#This Row],[Total Dispatched]])&lt;0,0,Table5[[#This Row],[Total Indent]]-Table5[[#This Row],[Total Dispatched]])</f>
        <v/>
      </c>
    </row>
    <row r="37" hidden="1" s="584">
      <c r="A37" s="265" t="inlineStr">
        <is>
          <t>RE</t>
        </is>
      </c>
      <c r="B37" s="147" t="n">
        <v>943211</v>
      </c>
      <c r="C37" s="147" t="inlineStr">
        <is>
          <t>BELRISE</t>
        </is>
      </c>
      <c r="D37" s="153" t="inlineStr">
        <is>
          <t>ERW1</t>
        </is>
      </c>
      <c r="E37" s="147" t="inlineStr">
        <is>
          <t>FIN CUT</t>
        </is>
      </c>
      <c r="F37" s="147" t="inlineStr">
        <is>
          <t>ERW</t>
        </is>
      </c>
      <c r="G37" s="148" t="n">
        <v>34.93</v>
      </c>
      <c r="H37" s="148" t="n"/>
      <c r="I37" s="148" t="n">
        <v>1.2</v>
      </c>
      <c r="J37" s="147" t="n">
        <v>620</v>
      </c>
      <c r="K37" s="147" t="n">
        <v>0.62</v>
      </c>
      <c r="L37" s="147">
        <f>_xlfn.CONCAT(G37,I37,K37,F37,E37)</f>
        <v/>
      </c>
      <c r="M37" s="147">
        <f>VLOOKUP(Table5[[#This Row],[Key]],aug[[#All],[Key]:[Bucket CTL]],2,0)</f>
        <v/>
      </c>
      <c r="N37" s="147">
        <f>VLOOKUP(Table5[[#This Row],[Key]],aug[[#All],[Key]:[Bucket CTL]],3,0)</f>
        <v/>
      </c>
      <c r="O37" s="149">
        <f>VLOOKUP(L37,aug[[#All],[Key]:[TSL Material Code]],7,0)</f>
        <v/>
      </c>
      <c r="P37" s="149">
        <f>VLOOKUP(L37,aug[[#All],[Key]:[TSL Material Code]],8,0)</f>
        <v/>
      </c>
      <c r="Q37" s="19" t="n">
        <v>10</v>
      </c>
      <c r="R37" s="147" t="n">
        <v>0</v>
      </c>
      <c r="S37" s="147" t="n">
        <v>0</v>
      </c>
      <c r="T37" s="147" t="n"/>
      <c r="U37" s="147">
        <f>S37-R37</f>
        <v/>
      </c>
      <c r="V37" s="147" t="n"/>
      <c r="W37" s="147">
        <f>U37+V37</f>
        <v/>
      </c>
      <c r="X37" s="19">
        <f>Q37-W37</f>
        <v/>
      </c>
      <c r="Y37" s="167" t="n">
        <v>34</v>
      </c>
      <c r="Z37" s="19">
        <f>SUMIFS(meghsteelsales_previousmonth[Quantity],meghsteelsales_previousmonth[Length Bucket],Table5[[#This Row],[Bucket CTL]])/1000</f>
        <v/>
      </c>
      <c r="AA37" s="419">
        <f>SUMIFS(meghsteelsales_currentmonth[Quantity],meghsteelsales_currentmonth[Length Bucket],Table5[[#This Row],[Bucket CTL]])/1000</f>
        <v/>
      </c>
      <c r="AB37">
        <f>Table5[[#This Row],[ INDENT  FOR SEP-25 recommended]]+Table5[[#This Row],[order logg ]]</f>
        <v/>
      </c>
      <c r="AC37" s="585">
        <f>Table5[[#This Row],[Before 20th]]+Table5[[#This Row],[after 20th]]</f>
        <v/>
      </c>
      <c r="AD37" s="585">
        <f>IF((Table5[[#This Row],[Total Indent]]-Table5[[#This Row],[Total Dispatched]])&lt;0,0,Table5[[#This Row],[Total Indent]]-Table5[[#This Row],[Total Dispatched]])</f>
        <v/>
      </c>
    </row>
    <row r="38" hidden="1" s="584">
      <c r="A38" s="265" t="inlineStr">
        <is>
          <t>RE</t>
        </is>
      </c>
      <c r="B38" s="147" t="n">
        <v>943211</v>
      </c>
      <c r="C38" s="147" t="inlineStr">
        <is>
          <t>RAJSRIYA</t>
        </is>
      </c>
      <c r="D38" s="153" t="inlineStr">
        <is>
          <t>ERW1</t>
        </is>
      </c>
      <c r="E38" s="147" t="inlineStr">
        <is>
          <t>FIN CUT</t>
        </is>
      </c>
      <c r="F38" s="147" t="inlineStr">
        <is>
          <t>ERW</t>
        </is>
      </c>
      <c r="G38" s="148" t="n">
        <v>34.93</v>
      </c>
      <c r="H38" s="148" t="n"/>
      <c r="I38" s="148" t="n">
        <v>1.2</v>
      </c>
      <c r="J38" s="147" t="n">
        <v>650</v>
      </c>
      <c r="K38" s="147" t="n">
        <v>0.65</v>
      </c>
      <c r="L38" s="147">
        <f>_xlfn.CONCAT(G38,I38,K38,F38,E38)</f>
        <v/>
      </c>
      <c r="M38" s="147">
        <f>VLOOKUP(Table5[[#This Row],[Key]],aug[[#All],[Key]:[Bucket CTL]],2,0)</f>
        <v/>
      </c>
      <c r="N38" s="147">
        <f>VLOOKUP(Table5[[#This Row],[Key]],aug[[#All],[Key]:[Bucket CTL]],3,0)</f>
        <v/>
      </c>
      <c r="O38" s="149">
        <f>VLOOKUP(L38,aug[[#All],[Key]:[TSL Material Code]],7,0)</f>
        <v/>
      </c>
      <c r="P38" s="149">
        <f>VLOOKUP(L38,aug[[#All],[Key]:[TSL Material Code]],8,0)</f>
        <v/>
      </c>
      <c r="Q38" s="19" t="n">
        <v>10</v>
      </c>
      <c r="R38" s="147" t="n">
        <v>0</v>
      </c>
      <c r="S38" s="147" t="n">
        <v>0</v>
      </c>
      <c r="T38" s="147" t="n"/>
      <c r="U38" s="147">
        <f>S38-R38</f>
        <v/>
      </c>
      <c r="V38" s="147" t="n"/>
      <c r="W38" s="147">
        <f>U38+V38</f>
        <v/>
      </c>
      <c r="X38" s="19">
        <f>Q38-W38</f>
        <v/>
      </c>
      <c r="Y38" s="167" t="n">
        <v>28</v>
      </c>
      <c r="Z38" s="19">
        <f>SUMIFS(meghsteelsales_previousmonth[Quantity],meghsteelsales_previousmonth[Length Bucket],Table5[[#This Row],[Bucket CTL]])/1000</f>
        <v/>
      </c>
      <c r="AA38" s="419">
        <f>SUMIFS(meghsteelsales_currentmonth[Quantity],meghsteelsales_currentmonth[Length Bucket],Table5[[#This Row],[Bucket CTL]])/1000</f>
        <v/>
      </c>
      <c r="AB38">
        <f>Table5[[#This Row],[ INDENT  FOR SEP-25 recommended]]+Table5[[#This Row],[order logg ]]</f>
        <v/>
      </c>
      <c r="AC38" s="585">
        <f>Table5[[#This Row],[Before 20th]]+Table5[[#This Row],[after 20th]]</f>
        <v/>
      </c>
      <c r="AD38" s="585">
        <f>IF((Table5[[#This Row],[Total Indent]]-Table5[[#This Row],[Total Dispatched]])&lt;0,0,Table5[[#This Row],[Total Indent]]-Table5[[#This Row],[Total Dispatched]])</f>
        <v/>
      </c>
    </row>
    <row r="39">
      <c r="A39" s="265" t="inlineStr">
        <is>
          <t>HMSI</t>
        </is>
      </c>
      <c r="B39" s="147" t="n">
        <v>943210</v>
      </c>
      <c r="C39" s="147" t="inlineStr">
        <is>
          <t>BADVE</t>
        </is>
      </c>
      <c r="D39" s="155" t="inlineStr">
        <is>
          <t>ERW2</t>
        </is>
      </c>
      <c r="E39" s="147" t="inlineStr">
        <is>
          <t>FIN CUT</t>
        </is>
      </c>
      <c r="F39" s="147" t="inlineStr">
        <is>
          <t>ERW</t>
        </is>
      </c>
      <c r="G39" s="154" t="n">
        <v>34</v>
      </c>
      <c r="H39" s="154" t="n"/>
      <c r="I39" s="154" t="n">
        <v>1.4</v>
      </c>
      <c r="J39" s="155" t="n">
        <v>5660</v>
      </c>
      <c r="K39" s="147" t="n">
        <v>5.66</v>
      </c>
      <c r="L39" s="147">
        <f>_xlfn.CONCAT(G39,I39,K39,F39,E39)</f>
        <v/>
      </c>
      <c r="M39" s="147">
        <f>VLOOKUP(Table5[[#This Row],[Key]],aug[[#All],[Key]:[Bucket CTL]],2,0)</f>
        <v/>
      </c>
      <c r="N39" s="147">
        <f>VLOOKUP(Table5[[#This Row],[Key]],aug[[#All],[Key]:[Bucket CTL]],3,0)</f>
        <v/>
      </c>
      <c r="O39" s="149">
        <f>VLOOKUP(L39,aug[[#All],[Key]:[TSL Material Code]],7,0)</f>
        <v/>
      </c>
      <c r="P39" s="149">
        <f>VLOOKUP(L39,aug[[#All],[Key]:[TSL Material Code]],8,0)</f>
        <v/>
      </c>
      <c r="Q39" s="19" t="n">
        <v>3</v>
      </c>
      <c r="R39" s="147" t="n">
        <v>0</v>
      </c>
      <c r="S39" s="147" t="n">
        <v>0</v>
      </c>
      <c r="T39" s="147" t="n"/>
      <c r="U39" s="147">
        <f>S39-R39</f>
        <v/>
      </c>
      <c r="V39" s="147" t="n">
        <v>0</v>
      </c>
      <c r="W39" s="147">
        <f>U39+V39</f>
        <v/>
      </c>
      <c r="X39" s="19">
        <f>Q39-W39</f>
        <v/>
      </c>
      <c r="Y39" s="167" t="n">
        <v>0</v>
      </c>
      <c r="Z39" s="19">
        <f>SUMIFS(meghsteelsales_previousmonth[Quantity],meghsteelsales_previousmonth[Length Bucket],Table5[[#This Row],[Bucket CTL]])/1000</f>
        <v/>
      </c>
      <c r="AA39" s="419">
        <f>SUMIFS(meghsteelsales_currentmonth[Quantity],meghsteelsales_currentmonth[Length Bucket],Table5[[#This Row],[Bucket CTL]])/1000</f>
        <v/>
      </c>
      <c r="AB39">
        <f>Table5[[#This Row],[ INDENT  FOR SEP-25 recommended]]+Table5[[#This Row],[order logg ]]</f>
        <v/>
      </c>
      <c r="AC39" s="585">
        <f>Table5[[#This Row],[Before 20th]]+Table5[[#This Row],[after 20th]]</f>
        <v/>
      </c>
      <c r="AD39" s="585">
        <f>IF((Table5[[#This Row],[Total Indent]]-Table5[[#This Row],[Total Dispatched]])&lt;0,0,Table5[[#This Row],[Total Indent]]-Table5[[#This Row],[Total Dispatched]])</f>
        <v/>
      </c>
    </row>
    <row r="40" hidden="1" s="584">
      <c r="A40" s="265" t="inlineStr">
        <is>
          <t>TVS</t>
        </is>
      </c>
      <c r="B40" s="147" t="n">
        <v>943209</v>
      </c>
      <c r="C40" s="147" t="inlineStr">
        <is>
          <t>RUCHA,METALMAN</t>
        </is>
      </c>
      <c r="D40" s="153" t="inlineStr">
        <is>
          <t>ERW370</t>
        </is>
      </c>
      <c r="E40" s="147" t="inlineStr">
        <is>
          <t>FIN CUT</t>
        </is>
      </c>
      <c r="F40" s="147" t="inlineStr">
        <is>
          <t>HST</t>
        </is>
      </c>
      <c r="G40" s="148" t="n">
        <v>38.1</v>
      </c>
      <c r="H40" s="148" t="n"/>
      <c r="I40" s="148" t="n">
        <v>1.6</v>
      </c>
      <c r="J40" s="147" t="n">
        <v>6190</v>
      </c>
      <c r="K40" s="147" t="n">
        <v>6.19</v>
      </c>
      <c r="L40" s="147">
        <f>_xlfn.CONCAT(G40,I40,K40,F40,E40)</f>
        <v/>
      </c>
      <c r="M40" s="147">
        <f>VLOOKUP(Table5[[#This Row],[Key]],aug[[#All],[Key]:[Bucket CTL]],2,0)</f>
        <v/>
      </c>
      <c r="N40" s="147">
        <f>VLOOKUP(Table5[[#This Row],[Key]],aug[[#All],[Key]:[Bucket CTL]],3,0)</f>
        <v/>
      </c>
      <c r="O40" s="149">
        <f>VLOOKUP(L40,aug[[#All],[Key]:[TSL Material Code]],7,0)</f>
        <v/>
      </c>
      <c r="P40" s="149">
        <f>VLOOKUP(L40,aug[[#All],[Key]:[TSL Material Code]],8,0)</f>
        <v/>
      </c>
      <c r="Q40" s="19" t="n">
        <v>40</v>
      </c>
      <c r="R40" s="147" t="n">
        <v>20</v>
      </c>
      <c r="S40" s="147" t="n">
        <v>60</v>
      </c>
      <c r="T40" s="147" t="n"/>
      <c r="U40" s="147">
        <f>S40-R40</f>
        <v/>
      </c>
      <c r="V40" s="147" t="n">
        <v>20</v>
      </c>
      <c r="W40" s="147">
        <f>U40+V40</f>
        <v/>
      </c>
      <c r="X40" s="19">
        <f>Q40-W40</f>
        <v/>
      </c>
      <c r="Y40" s="167">
        <f>IF(X40&gt;0,X40,0)*150%</f>
        <v/>
      </c>
      <c r="Z40" s="19">
        <f>SUMIFS(meghsteelsales_previousmonth[Quantity],meghsteelsales_previousmonth[Length Bucket],Table5[[#This Row],[Bucket CTL]])/1000</f>
        <v/>
      </c>
      <c r="AA40" s="419">
        <f>SUMIFS(meghsteelsales_currentmonth[Quantity],meghsteelsales_currentmonth[Length Bucket],Table5[[#This Row],[Bucket CTL]])/1000</f>
        <v/>
      </c>
      <c r="AB40">
        <f>Table5[[#This Row],[ INDENT  FOR SEP-25 recommended]]+Table5[[#This Row],[order logg ]]</f>
        <v/>
      </c>
      <c r="AC40" s="585">
        <f>Table5[[#This Row],[Before 20th]]+Table5[[#This Row],[after 20th]]</f>
        <v/>
      </c>
      <c r="AD40" s="585">
        <f>IF((Table5[[#This Row],[Total Indent]]-Table5[[#This Row],[Total Dispatched]])&lt;0,0,Table5[[#This Row],[Total Indent]]-Table5[[#This Row],[Total Dispatched]])</f>
        <v/>
      </c>
    </row>
    <row r="41" hidden="1" s="584">
      <c r="A41" s="265" t="inlineStr">
        <is>
          <t>TVS</t>
        </is>
      </c>
      <c r="B41" s="147" t="n">
        <v>943209</v>
      </c>
      <c r="C41" s="147" t="inlineStr">
        <is>
          <t>RUCHA,METALMAN</t>
        </is>
      </c>
      <c r="D41" s="153" t="inlineStr">
        <is>
          <t>ERW1</t>
        </is>
      </c>
      <c r="E41" s="147" t="inlineStr">
        <is>
          <t>FIN CUT</t>
        </is>
      </c>
      <c r="F41" s="147" t="inlineStr">
        <is>
          <t>ERW</t>
        </is>
      </c>
      <c r="G41" s="148" t="n">
        <v>38.1</v>
      </c>
      <c r="H41" s="148" t="n"/>
      <c r="I41" s="148" t="n">
        <v>2</v>
      </c>
      <c r="J41" s="147" t="n">
        <v>5650</v>
      </c>
      <c r="K41" s="147" t="n">
        <v>5.65</v>
      </c>
      <c r="L41" s="147">
        <f>_xlfn.CONCAT(G41,I41,K41,F41,E41)</f>
        <v/>
      </c>
      <c r="M41" s="147">
        <f>VLOOKUP(Table5[[#This Row],[Key]],aug[[#All],[Key]:[Bucket CTL]],2,0)</f>
        <v/>
      </c>
      <c r="N41" s="147">
        <f>VLOOKUP(Table5[[#This Row],[Key]],aug[[#All],[Key]:[Bucket CTL]],3,0)</f>
        <v/>
      </c>
      <c r="O41" s="149">
        <f>VLOOKUP(L41,aug[[#All],[Key]:[TSL Material Code]],7,0)</f>
        <v/>
      </c>
      <c r="P41" s="149">
        <f>VLOOKUP(L41,aug[[#All],[Key]:[TSL Material Code]],8,0)</f>
        <v/>
      </c>
      <c r="Q41" s="19" t="n">
        <v>30</v>
      </c>
      <c r="R41" s="147" t="n">
        <v>20</v>
      </c>
      <c r="S41" s="147" t="n">
        <v>33</v>
      </c>
      <c r="T41" s="147" t="n"/>
      <c r="U41" s="147">
        <f>S41-R41</f>
        <v/>
      </c>
      <c r="V41" s="147" t="n">
        <v>49</v>
      </c>
      <c r="W41" s="147">
        <f>U41+V41</f>
        <v/>
      </c>
      <c r="X41" s="19">
        <f>Q41-W41</f>
        <v/>
      </c>
      <c r="Y41" s="167">
        <f>IF(X41&gt;0,X41,0)*150%</f>
        <v/>
      </c>
      <c r="Z41" s="19">
        <f>SUMIFS(meghsteelsales_previousmonth[Quantity],meghsteelsales_previousmonth[Length Bucket],Table5[[#This Row],[Bucket CTL]])/1000</f>
        <v/>
      </c>
      <c r="AA41" s="419">
        <f>SUMIFS(meghsteelsales_currentmonth[Quantity],meghsteelsales_currentmonth[Length Bucket],Table5[[#This Row],[Bucket CTL]])/1000</f>
        <v/>
      </c>
      <c r="AB41">
        <f>Table5[[#This Row],[ INDENT  FOR SEP-25 recommended]]+Table5[[#This Row],[order logg ]]</f>
        <v/>
      </c>
      <c r="AC41" s="585">
        <f>Table5[[#This Row],[Before 20th]]+Table5[[#This Row],[after 20th]]</f>
        <v/>
      </c>
      <c r="AD41" s="585">
        <f>IF((Table5[[#This Row],[Total Indent]]-Table5[[#This Row],[Total Dispatched]])&lt;0,0,Table5[[#This Row],[Total Indent]]-Table5[[#This Row],[Total Dispatched]])</f>
        <v/>
      </c>
    </row>
    <row r="42" hidden="1" s="584">
      <c r="A42" s="265" t="inlineStr">
        <is>
          <t>TVS</t>
        </is>
      </c>
      <c r="B42" s="147" t="n">
        <v>943209</v>
      </c>
      <c r="C42" s="147" t="inlineStr">
        <is>
          <t>RUCHA,METALMAN</t>
        </is>
      </c>
      <c r="D42" s="153" t="inlineStr">
        <is>
          <t>ERW2</t>
        </is>
      </c>
      <c r="E42" s="147" t="inlineStr">
        <is>
          <t>FIN CUT</t>
        </is>
      </c>
      <c r="F42" s="147" t="inlineStr">
        <is>
          <t>HST</t>
        </is>
      </c>
      <c r="G42" s="148" t="n">
        <v>38.1</v>
      </c>
      <c r="H42" s="148" t="n"/>
      <c r="I42" s="148" t="n">
        <v>2.5</v>
      </c>
      <c r="J42" s="147" t="n">
        <v>6190</v>
      </c>
      <c r="K42" s="147" t="n">
        <v>6.19</v>
      </c>
      <c r="L42" s="147">
        <f>_xlfn.CONCAT(G42,I42,K42,F42,E42)</f>
        <v/>
      </c>
      <c r="M42" s="147">
        <f>VLOOKUP(Table5[[#This Row],[Key]],aug[[#All],[Key]:[Bucket CTL]],2,0)</f>
        <v/>
      </c>
      <c r="N42" s="147">
        <f>VLOOKUP(Table5[[#This Row],[Key]],aug[[#All],[Key]:[Bucket CTL]],3,0)</f>
        <v/>
      </c>
      <c r="O42" s="149">
        <f>VLOOKUP(L42,aug[[#All],[Key]:[TSL Material Code]],7,0)</f>
        <v/>
      </c>
      <c r="P42" s="149">
        <f>VLOOKUP(L42,aug[[#All],[Key]:[TSL Material Code]],8,0)</f>
        <v/>
      </c>
      <c r="Q42" s="19" t="n">
        <v>60</v>
      </c>
      <c r="R42" s="147" t="n">
        <v>25</v>
      </c>
      <c r="S42" s="147" t="n">
        <v>20</v>
      </c>
      <c r="T42" s="147" t="n"/>
      <c r="U42" s="147">
        <f>S42-R42</f>
        <v/>
      </c>
      <c r="V42" s="147" t="n">
        <v>10</v>
      </c>
      <c r="W42" s="147">
        <f>U42+V42</f>
        <v/>
      </c>
      <c r="X42" s="19">
        <f>Q42-W42</f>
        <v/>
      </c>
      <c r="Y42" s="167">
        <f>IF(X42&gt;0,X42,0)*150%</f>
        <v/>
      </c>
      <c r="Z42" s="19">
        <f>SUMIFS(meghsteelsales_previousmonth[Quantity],meghsteelsales_previousmonth[Length Bucket],Table5[[#This Row],[Bucket CTL]])/1000</f>
        <v/>
      </c>
      <c r="AA42" s="419">
        <f>SUMIFS(meghsteelsales_currentmonth[Quantity],meghsteelsales_currentmonth[Length Bucket],Table5[[#This Row],[Bucket CTL]])/1000</f>
        <v/>
      </c>
      <c r="AB42">
        <f>Table5[[#This Row],[ INDENT  FOR SEP-25 recommended]]+Table5[[#This Row],[order logg ]]</f>
        <v/>
      </c>
      <c r="AC42" s="585">
        <f>Table5[[#This Row],[Before 20th]]+Table5[[#This Row],[after 20th]]</f>
        <v/>
      </c>
      <c r="AD42" s="585">
        <f>IF((Table5[[#This Row],[Total Indent]]-Table5[[#This Row],[Total Dispatched]])&lt;0,0,Table5[[#This Row],[Total Indent]]-Table5[[#This Row],[Total Dispatched]])</f>
        <v/>
      </c>
    </row>
    <row r="43" hidden="1" customFormat="1" s="45">
      <c r="A43" s="266" t="inlineStr">
        <is>
          <t>RE</t>
        </is>
      </c>
      <c r="B43" s="147" t="n">
        <v>943211</v>
      </c>
      <c r="C43" s="156" t="inlineStr">
        <is>
          <t>BELRISE</t>
        </is>
      </c>
      <c r="D43" s="157" t="inlineStr">
        <is>
          <t>CEW-1</t>
        </is>
      </c>
      <c r="E43" s="156" t="inlineStr">
        <is>
          <t>FIN CUT</t>
        </is>
      </c>
      <c r="F43" s="156" t="inlineStr">
        <is>
          <t>ERW</t>
        </is>
      </c>
      <c r="G43" s="248" t="n">
        <v>38.1</v>
      </c>
      <c r="H43" s="248" t="n"/>
      <c r="I43" s="248" t="n">
        <v>3.2</v>
      </c>
      <c r="J43" s="156" t="n">
        <v>6000</v>
      </c>
      <c r="K43" s="156" t="n">
        <v>6</v>
      </c>
      <c r="L43" s="156">
        <f>_xlfn.CONCAT(G43,I43,K43,F43,E43)</f>
        <v/>
      </c>
      <c r="M43" s="147">
        <f>VLOOKUP(Table5[[#This Row],[Key]],aug[[#All],[Key]:[Bucket CTL]],2,0)</f>
        <v/>
      </c>
      <c r="N43" s="147">
        <f>VLOOKUP(Table5[[#This Row],[Key]],aug[[#All],[Key]:[Bucket CTL]],3,0)</f>
        <v/>
      </c>
      <c r="O43" s="158" t="inlineStr">
        <is>
          <t>788</t>
        </is>
      </c>
      <c r="P43" s="149" t="n">
        <v>3500699</v>
      </c>
      <c r="Q43" s="246" t="n">
        <v>5</v>
      </c>
      <c r="R43" s="156" t="n">
        <v>0</v>
      </c>
      <c r="S43" s="156" t="n">
        <v>0</v>
      </c>
      <c r="T43" s="156" t="n"/>
      <c r="U43" s="156">
        <f>S43-R43</f>
        <v/>
      </c>
      <c r="V43" s="156" t="n">
        <v>0</v>
      </c>
      <c r="W43" s="156">
        <f>U43+V43</f>
        <v/>
      </c>
      <c r="X43" s="246">
        <f>Q43-W43</f>
        <v/>
      </c>
      <c r="Y43" s="247">
        <f>IF(X43&gt;0,X43,0)*150%</f>
        <v/>
      </c>
      <c r="Z43" s="19">
        <f>SUMIFS(meghsteelsales_previousmonth[Quantity],meghsteelsales_previousmonth[Length Bucket],Table5[[#This Row],[Bucket CTL]])/1000</f>
        <v/>
      </c>
      <c r="AA43" s="419">
        <f>SUMIFS(meghsteelsales_currentmonth[Quantity],meghsteelsales_currentmonth[Length Bucket],Table5[[#This Row],[Bucket CTL]])/1000</f>
        <v/>
      </c>
      <c r="AB43">
        <f>Table5[[#This Row],[ INDENT  FOR SEP-25 recommended]]+Table5[[#This Row],[order logg ]]</f>
        <v/>
      </c>
      <c r="AC43" s="585">
        <f>Table5[[#This Row],[Before 20th]]+Table5[[#This Row],[after 20th]]</f>
        <v/>
      </c>
      <c r="AD43" s="585">
        <f>IF((Table5[[#This Row],[Total Indent]]-Table5[[#This Row],[Total Dispatched]])&lt;0,0,Table5[[#This Row],[Total Indent]]-Table5[[#This Row],[Total Dispatched]])</f>
        <v/>
      </c>
    </row>
    <row r="44" hidden="1" customFormat="1" s="386">
      <c r="A44" s="265" t="inlineStr">
        <is>
          <t>TVS</t>
        </is>
      </c>
      <c r="B44" s="147" t="n">
        <v>943209</v>
      </c>
      <c r="C44" s="147" t="inlineStr">
        <is>
          <t>RUCHA</t>
        </is>
      </c>
      <c r="D44" s="147" t="inlineStr">
        <is>
          <t>ERW1</t>
        </is>
      </c>
      <c r="E44" s="147" t="inlineStr">
        <is>
          <t>FIN CUT</t>
        </is>
      </c>
      <c r="F44" s="147" t="inlineStr">
        <is>
          <t>ERW</t>
        </is>
      </c>
      <c r="G44" s="148" t="n">
        <v>41.28</v>
      </c>
      <c r="H44" s="148" t="n"/>
      <c r="I44" s="148" t="n">
        <v>2.6</v>
      </c>
      <c r="J44" s="147" t="n">
        <v>6000</v>
      </c>
      <c r="K44" s="147" t="n">
        <v>6</v>
      </c>
      <c r="L44" s="147">
        <f>_xlfn.CONCAT(G44,I44,K44,F44,E44)</f>
        <v/>
      </c>
      <c r="M44" s="147">
        <f>VLOOKUP(Table5[[#This Row],[Key]],aug[[#All],[Key]:[Bucket CTL]],2,0)</f>
        <v/>
      </c>
      <c r="N44" s="147">
        <f>VLOOKUP(Table5[[#This Row],[Key]],aug[[#All],[Key]:[Bucket CTL]],3,0)</f>
        <v/>
      </c>
      <c r="O44" s="149">
        <f>VLOOKUP(L44,aug[[#All],[Key]:[TSL Material Code]],7,0)</f>
        <v/>
      </c>
      <c r="P44" s="149">
        <f>VLOOKUP(L44,aug[[#All],[Key]:[TSL Material Code]],8,0)</f>
        <v/>
      </c>
      <c r="Q44" s="19" t="n">
        <v>50</v>
      </c>
      <c r="R44" s="147" t="n">
        <v>14</v>
      </c>
      <c r="S44" s="147" t="n">
        <v>14</v>
      </c>
      <c r="T44" s="147" t="n"/>
      <c r="U44" s="147">
        <f>S44-R44</f>
        <v/>
      </c>
      <c r="V44" s="147" t="n"/>
      <c r="W44" s="147">
        <f>U44+V44</f>
        <v/>
      </c>
      <c r="X44" s="19">
        <f>Q44-W44</f>
        <v/>
      </c>
      <c r="Y44" s="167" t="n">
        <v>84</v>
      </c>
      <c r="Z44" s="19">
        <f>SUMIFS(meghsteelsales_previousmonth[Quantity],meghsteelsales_previousmonth[Length Bucket],Table5[[#This Row],[Bucket CTL]])/1000</f>
        <v/>
      </c>
      <c r="AA44" s="419">
        <f>SUMIFS(meghsteelsales_currentmonth[Quantity],meghsteelsales_currentmonth[Length Bucket],Table5[[#This Row],[Bucket CTL]])/1000</f>
        <v/>
      </c>
      <c r="AB44">
        <f>Table5[[#This Row],[ INDENT  FOR SEP-25 recommended]]+Table5[[#This Row],[order logg ]]</f>
        <v/>
      </c>
      <c r="AC44" s="585">
        <f>Table5[[#This Row],[Before 20th]]+Table5[[#This Row],[after 20th]]</f>
        <v/>
      </c>
      <c r="AD44" s="585">
        <f>IF((Table5[[#This Row],[Total Indent]]-Table5[[#This Row],[Total Dispatched]])&lt;0,0,Table5[[#This Row],[Total Indent]]-Table5[[#This Row],[Total Dispatched]])</f>
        <v/>
      </c>
    </row>
    <row r="45" hidden="1" s="584">
      <c r="A45" s="265" t="inlineStr">
        <is>
          <t>TVS</t>
        </is>
      </c>
      <c r="B45" s="147" t="n">
        <v>943209</v>
      </c>
      <c r="C45" s="147" t="inlineStr">
        <is>
          <t>RUCHA</t>
        </is>
      </c>
      <c r="D45" s="159" t="inlineStr">
        <is>
          <t>ERW1</t>
        </is>
      </c>
      <c r="E45" s="147" t="inlineStr">
        <is>
          <t>FIN CUT</t>
        </is>
      </c>
      <c r="F45" s="147" t="inlineStr">
        <is>
          <t>ERW</t>
        </is>
      </c>
      <c r="G45" s="168" t="inlineStr">
        <is>
          <t>40x25</t>
        </is>
      </c>
      <c r="H45" s="168" t="n"/>
      <c r="I45" s="168" t="n">
        <v>1.6</v>
      </c>
      <c r="J45" s="169" t="n">
        <v>6130</v>
      </c>
      <c r="K45" s="147" t="n">
        <v>6.13</v>
      </c>
      <c r="L45" s="147">
        <f>_xlfn.CONCAT(G45,I45,K45,F45,E45)</f>
        <v/>
      </c>
      <c r="M45" s="147">
        <f>VLOOKUP(Table5[[#This Row],[Key]],aug[[#All],[Key]:[Bucket CTL]],2,0)</f>
        <v/>
      </c>
      <c r="N45" s="147">
        <f>VLOOKUP(Table5[[#This Row],[Key]],aug[[#All],[Key]:[Bucket CTL]],3,0)</f>
        <v/>
      </c>
      <c r="O45" s="149">
        <f>VLOOKUP(L45,aug[[#All],[Key]:[TSL Material Code]],7,0)</f>
        <v/>
      </c>
      <c r="P45" s="149">
        <f>VLOOKUP(L45,aug[[#All],[Key]:[TSL Material Code]],8,0)</f>
        <v/>
      </c>
      <c r="Q45" s="19" t="n">
        <v>6</v>
      </c>
      <c r="R45" s="147" t="n">
        <v>0</v>
      </c>
      <c r="S45" s="147" t="n">
        <v>0</v>
      </c>
      <c r="T45" s="147" t="n"/>
      <c r="U45" s="147">
        <f>S45-R45</f>
        <v/>
      </c>
      <c r="V45" s="147" t="n"/>
      <c r="W45" s="147">
        <f>U45+V45</f>
        <v/>
      </c>
      <c r="X45" s="19">
        <f>Q45-W45</f>
        <v/>
      </c>
      <c r="Y45" s="167" t="n">
        <v>10</v>
      </c>
      <c r="Z45" s="19">
        <f>SUMIFS(meghsteelsales_previousmonth[Quantity],meghsteelsales_previousmonth[Length Bucket],Table5[[#This Row],[Bucket CTL]])/1000</f>
        <v/>
      </c>
      <c r="AA45" s="419">
        <f>SUMIFS(meghsteelsales_currentmonth[Quantity],meghsteelsales_currentmonth[Length Bucket],Table5[[#This Row],[Bucket CTL]])/1000</f>
        <v/>
      </c>
      <c r="AB45">
        <f>Table5[[#This Row],[ INDENT  FOR SEP-25 recommended]]+Table5[[#This Row],[order logg ]]</f>
        <v/>
      </c>
      <c r="AC45" s="585">
        <f>Table5[[#This Row],[Before 20th]]+Table5[[#This Row],[after 20th]]</f>
        <v/>
      </c>
      <c r="AD45" s="585">
        <f>IF((Table5[[#This Row],[Total Indent]]-Table5[[#This Row],[Total Dispatched]])&lt;0,0,Table5[[#This Row],[Total Indent]]-Table5[[#This Row],[Total Dispatched]])</f>
        <v/>
      </c>
    </row>
    <row r="46" hidden="1" s="584">
      <c r="A46" s="265" t="inlineStr">
        <is>
          <t>HMSI</t>
        </is>
      </c>
      <c r="B46" s="147" t="n">
        <v>943210</v>
      </c>
      <c r="C46" s="147" t="inlineStr">
        <is>
          <t>BADVE</t>
        </is>
      </c>
      <c r="D46" s="153" t="inlineStr">
        <is>
          <t>ERW1</t>
        </is>
      </c>
      <c r="E46" s="147" t="inlineStr">
        <is>
          <t>FIN CUT</t>
        </is>
      </c>
      <c r="F46" s="147" t="inlineStr">
        <is>
          <t>ERW</t>
        </is>
      </c>
      <c r="G46" s="148" t="n">
        <v>41.28</v>
      </c>
      <c r="H46" s="148" t="n"/>
      <c r="I46" s="148" t="n">
        <v>3.15</v>
      </c>
      <c r="J46" s="147" t="n">
        <v>5860</v>
      </c>
      <c r="K46" s="147" t="n">
        <v>5.86</v>
      </c>
      <c r="L46" s="147">
        <f>_xlfn.CONCAT(G46,I46,K46,F46,E46)</f>
        <v/>
      </c>
      <c r="M46" s="147">
        <f>VLOOKUP(Table5[[#This Row],[Key]],aug[[#All],[Key]:[Bucket CTL]],2,0)</f>
        <v/>
      </c>
      <c r="N46" s="147">
        <f>VLOOKUP(Table5[[#This Row],[Key]],aug[[#All],[Key]:[Bucket CTL]],3,0)</f>
        <v/>
      </c>
      <c r="O46" s="149">
        <f>VLOOKUP(L46,aug[[#All],[Key]:[TSL Material Code]],7,0)</f>
        <v/>
      </c>
      <c r="P46" s="149">
        <f>VLOOKUP(L46,aug[[#All],[Key]:[TSL Material Code]],8,0)</f>
        <v/>
      </c>
      <c r="Q46" s="19" t="n">
        <v>45</v>
      </c>
      <c r="R46" s="147" t="n">
        <v>0</v>
      </c>
      <c r="S46" s="147" t="n">
        <v>0</v>
      </c>
      <c r="T46" s="147" t="n"/>
      <c r="U46" s="147">
        <f>S46-R46</f>
        <v/>
      </c>
      <c r="V46" s="147" t="n">
        <v>92</v>
      </c>
      <c r="W46" s="147">
        <f>U46+V46</f>
        <v/>
      </c>
      <c r="X46" s="19">
        <f>Q46-W46</f>
        <v/>
      </c>
      <c r="Y46" s="167">
        <f>IF(X46&gt;0,X46,0)*150%</f>
        <v/>
      </c>
      <c r="Z46" s="19">
        <f>SUMIFS(meghsteelsales_previousmonth[Quantity],meghsteelsales_previousmonth[Length Bucket],Table5[[#This Row],[Bucket CTL]])/1000</f>
        <v/>
      </c>
      <c r="AA46" s="419">
        <f>SUMIFS(meghsteelsales_currentmonth[Quantity],meghsteelsales_currentmonth[Length Bucket],Table5[[#This Row],[Bucket CTL]])/1000</f>
        <v/>
      </c>
      <c r="AB46">
        <f>Table5[[#This Row],[ INDENT  FOR SEP-25 recommended]]+Table5[[#This Row],[order logg ]]</f>
        <v/>
      </c>
      <c r="AC46" s="585">
        <f>Table5[[#This Row],[Before 20th]]+Table5[[#This Row],[after 20th]]</f>
        <v/>
      </c>
      <c r="AD46" s="585">
        <f>IF((Table5[[#This Row],[Total Indent]]-Table5[[#This Row],[Total Dispatched]])&lt;0,0,Table5[[#This Row],[Total Indent]]-Table5[[#This Row],[Total Dispatched]])</f>
        <v/>
      </c>
    </row>
    <row r="47" hidden="1" s="584">
      <c r="A47" s="265" t="inlineStr">
        <is>
          <t>TVS</t>
        </is>
      </c>
      <c r="B47" s="147" t="n">
        <v>943209</v>
      </c>
      <c r="C47" s="147" t="inlineStr">
        <is>
          <t>RUCHA,METALMAN</t>
        </is>
      </c>
      <c r="D47" s="153" t="inlineStr">
        <is>
          <t>ERW AN</t>
        </is>
      </c>
      <c r="E47" s="147" t="inlineStr">
        <is>
          <t>FIN CUT</t>
        </is>
      </c>
      <c r="F47" s="147" t="inlineStr">
        <is>
          <t>ERW</t>
        </is>
      </c>
      <c r="G47" s="148" t="n">
        <v>42.7</v>
      </c>
      <c r="H47" s="148" t="n"/>
      <c r="I47" s="148" t="n">
        <v>3.5</v>
      </c>
      <c r="J47" s="147" t="n">
        <v>6000</v>
      </c>
      <c r="K47" s="147" t="n">
        <v>6</v>
      </c>
      <c r="L47" s="147">
        <f>_xlfn.CONCAT(G47,I47,K47,F47,E47)</f>
        <v/>
      </c>
      <c r="M47" s="147">
        <f>VLOOKUP(Table5[[#This Row],[Key]],aug[[#All],[Key]:[Bucket CTL]],2,0)</f>
        <v/>
      </c>
      <c r="N47" s="147">
        <f>VLOOKUP(Table5[[#This Row],[Key]],aug[[#All],[Key]:[Bucket CTL]],3,0)</f>
        <v/>
      </c>
      <c r="O47" s="149">
        <f>VLOOKUP(L47,aug[[#All],[Key]:[TSL Material Code]],7,0)</f>
        <v/>
      </c>
      <c r="P47" s="149">
        <f>VLOOKUP(L47,aug[[#All],[Key]:[TSL Material Code]],8,0)</f>
        <v/>
      </c>
      <c r="Q47" s="19" t="n">
        <v>5</v>
      </c>
      <c r="R47" s="147" t="n">
        <v>1</v>
      </c>
      <c r="S47" s="147" t="n">
        <v>25</v>
      </c>
      <c r="T47" s="147" t="n"/>
      <c r="U47" s="147">
        <f>S47-R47</f>
        <v/>
      </c>
      <c r="V47" s="147" t="n">
        <v>2</v>
      </c>
      <c r="W47" s="147">
        <f>U47+V47</f>
        <v/>
      </c>
      <c r="X47" s="19">
        <f>Q47-W47</f>
        <v/>
      </c>
      <c r="Y47" s="167">
        <f>IF(X47&gt;0,X47,0)*150%</f>
        <v/>
      </c>
      <c r="Z47" s="19">
        <f>SUMIFS(meghsteelsales_previousmonth[Quantity],meghsteelsales_previousmonth[Length Bucket],Table5[[#This Row],[Bucket CTL]])/1000</f>
        <v/>
      </c>
      <c r="AA47" s="419">
        <f>SUMIFS(meghsteelsales_currentmonth[Quantity],meghsteelsales_currentmonth[Length Bucket],Table5[[#This Row],[Bucket CTL]])/1000</f>
        <v/>
      </c>
      <c r="AB47">
        <f>Table5[[#This Row],[ INDENT  FOR SEP-25 recommended]]+Table5[[#This Row],[order logg ]]</f>
        <v/>
      </c>
      <c r="AC47" s="585">
        <f>Table5[[#This Row],[Before 20th]]+Table5[[#This Row],[after 20th]]</f>
        <v/>
      </c>
      <c r="AD47" s="585">
        <f>IF((Table5[[#This Row],[Total Indent]]-Table5[[#This Row],[Total Dispatched]])&lt;0,0,Table5[[#This Row],[Total Indent]]-Table5[[#This Row],[Total Dispatched]])</f>
        <v/>
      </c>
    </row>
    <row r="48" hidden="1" s="584">
      <c r="A48" s="265" t="inlineStr">
        <is>
          <t>TVS</t>
        </is>
      </c>
      <c r="B48" s="147" t="n">
        <v>943209</v>
      </c>
      <c r="C48" s="147" t="inlineStr">
        <is>
          <t>RUCHA,METALMAN</t>
        </is>
      </c>
      <c r="D48" s="153" t="inlineStr">
        <is>
          <t>ERW AN</t>
        </is>
      </c>
      <c r="E48" s="147" t="inlineStr">
        <is>
          <t>FIN CUT</t>
        </is>
      </c>
      <c r="F48" s="147" t="inlineStr">
        <is>
          <t>ERW</t>
        </is>
      </c>
      <c r="G48" s="148" t="n">
        <v>42.7</v>
      </c>
      <c r="H48" s="148" t="n"/>
      <c r="I48" s="148" t="n">
        <v>4</v>
      </c>
      <c r="J48" s="147" t="n">
        <v>6000</v>
      </c>
      <c r="K48" s="147" t="n">
        <v>6</v>
      </c>
      <c r="L48" s="147">
        <f>_xlfn.CONCAT(G48,I48,K48,F48,E48)</f>
        <v/>
      </c>
      <c r="M48" s="147">
        <f>VLOOKUP(Table5[[#This Row],[Key]],aug[[#All],[Key]:[Bucket CTL]],2,0)</f>
        <v/>
      </c>
      <c r="N48" s="147">
        <f>VLOOKUP(Table5[[#This Row],[Key]],aug[[#All],[Key]:[Bucket CTL]],3,0)</f>
        <v/>
      </c>
      <c r="O48" s="149">
        <f>VLOOKUP(L48,aug[[#All],[Key]:[TSL Material Code]],7,0)</f>
        <v/>
      </c>
      <c r="P48" s="149">
        <f>VLOOKUP(L48,aug[[#All],[Key]:[TSL Material Code]],8,0)</f>
        <v/>
      </c>
      <c r="Q48" s="19" t="n">
        <v>30</v>
      </c>
      <c r="R48" s="147" t="n">
        <v>10</v>
      </c>
      <c r="S48" s="147" t="n">
        <v>15</v>
      </c>
      <c r="T48" s="147" t="n"/>
      <c r="U48" s="147">
        <f>S48-R48</f>
        <v/>
      </c>
      <c r="V48" s="147" t="n">
        <v>14</v>
      </c>
      <c r="W48" s="147">
        <f>U48+V48</f>
        <v/>
      </c>
      <c r="X48" s="19">
        <f>Q48-W48</f>
        <v/>
      </c>
      <c r="Y48" s="167" t="n">
        <v>0</v>
      </c>
      <c r="Z48" s="19">
        <f>SUMIFS(meghsteelsales_previousmonth[Quantity],meghsteelsales_previousmonth[Length Bucket],Table5[[#This Row],[Bucket CTL]])/1000</f>
        <v/>
      </c>
      <c r="AA48" s="419">
        <f>SUMIFS(meghsteelsales_currentmonth[Quantity],meghsteelsales_currentmonth[Length Bucket],Table5[[#This Row],[Bucket CTL]])/1000</f>
        <v/>
      </c>
      <c r="AB48">
        <f>Table5[[#This Row],[ INDENT  FOR SEP-25 recommended]]+Table5[[#This Row],[order logg ]]</f>
        <v/>
      </c>
      <c r="AC48" s="585">
        <f>Table5[[#This Row],[Before 20th]]+Table5[[#This Row],[after 20th]]</f>
        <v/>
      </c>
      <c r="AD48" s="585">
        <f>IF((Table5[[#This Row],[Total Indent]]-Table5[[#This Row],[Total Dispatched]])&lt;0,0,Table5[[#This Row],[Total Indent]]-Table5[[#This Row],[Total Dispatched]])</f>
        <v/>
      </c>
    </row>
    <row r="49" hidden="1" s="584">
      <c r="A49" s="265" t="inlineStr">
        <is>
          <t>TVS</t>
        </is>
      </c>
      <c r="B49" s="147" t="n">
        <v>943209</v>
      </c>
      <c r="C49" s="147" t="inlineStr">
        <is>
          <t>RUCHA,METALMAN</t>
        </is>
      </c>
      <c r="D49" s="155" t="inlineStr">
        <is>
          <t>ERW1</t>
        </is>
      </c>
      <c r="E49" s="147" t="inlineStr">
        <is>
          <t>FIN CUT</t>
        </is>
      </c>
      <c r="F49" s="147" t="inlineStr">
        <is>
          <t>ERW</t>
        </is>
      </c>
      <c r="G49" s="154" t="inlineStr">
        <is>
          <t>40x30</t>
        </is>
      </c>
      <c r="H49" s="154" t="n"/>
      <c r="I49" s="154" t="n">
        <v>1.6</v>
      </c>
      <c r="J49" s="155" t="n">
        <v>5900</v>
      </c>
      <c r="K49" s="147" t="n">
        <v>5.9</v>
      </c>
      <c r="L49" s="147">
        <f>_xlfn.CONCAT(G49,I49,K49,F49,E49)</f>
        <v/>
      </c>
      <c r="M49" s="147">
        <f>VLOOKUP(Table5[[#This Row],[Key]],aug[[#All],[Key]:[Bucket CTL]],2,0)</f>
        <v/>
      </c>
      <c r="N49" s="147">
        <f>VLOOKUP(Table5[[#This Row],[Key]],aug[[#All],[Key]:[Bucket CTL]],3,0)</f>
        <v/>
      </c>
      <c r="O49" s="149">
        <f>VLOOKUP(L49,aug[[#All],[Key]:[TSL Material Code]],7,0)</f>
        <v/>
      </c>
      <c r="P49" s="149">
        <f>VLOOKUP(L49,aug[[#All],[Key]:[TSL Material Code]],8,0)</f>
        <v/>
      </c>
      <c r="Q49" s="19" t="n">
        <v>10</v>
      </c>
      <c r="R49" s="147" t="n">
        <v>2</v>
      </c>
      <c r="S49" s="147" t="n">
        <v>5</v>
      </c>
      <c r="T49" s="147" t="n"/>
      <c r="U49" s="147">
        <f>S49-R49</f>
        <v/>
      </c>
      <c r="V49" s="147" t="n"/>
      <c r="W49" s="147">
        <f>U49+V49</f>
        <v/>
      </c>
      <c r="X49" s="19">
        <f>Q49-W49</f>
        <v/>
      </c>
      <c r="Y49" s="167" t="n">
        <v>12</v>
      </c>
      <c r="Z49" s="19">
        <f>SUMIFS(meghsteelsales_previousmonth[Quantity],meghsteelsales_previousmonth[Length Bucket],Table5[[#This Row],[Bucket CTL]])/1000</f>
        <v/>
      </c>
      <c r="AA49" s="419">
        <f>SUMIFS(meghsteelsales_currentmonth[Quantity],meghsteelsales_currentmonth[Length Bucket],Table5[[#This Row],[Bucket CTL]])/1000</f>
        <v/>
      </c>
      <c r="AB49">
        <f>Table5[[#This Row],[ INDENT  FOR SEP-25 recommended]]+Table5[[#This Row],[order logg ]]</f>
        <v/>
      </c>
      <c r="AC49" s="585">
        <f>Table5[[#This Row],[Before 20th]]+Table5[[#This Row],[after 20th]]</f>
        <v/>
      </c>
      <c r="AD49" s="585">
        <f>IF((Table5[[#This Row],[Total Indent]]-Table5[[#This Row],[Total Dispatched]])&lt;0,0,Table5[[#This Row],[Total Indent]]-Table5[[#This Row],[Total Dispatched]])</f>
        <v/>
      </c>
    </row>
    <row r="50">
      <c r="A50" s="265" t="inlineStr">
        <is>
          <t>HMSI</t>
        </is>
      </c>
      <c r="B50" s="147" t="n">
        <v>943210</v>
      </c>
      <c r="C50" s="147" t="inlineStr">
        <is>
          <t>BADVE</t>
        </is>
      </c>
      <c r="D50" s="153" t="inlineStr">
        <is>
          <t>ERW2</t>
        </is>
      </c>
      <c r="E50" s="147" t="inlineStr">
        <is>
          <t>FIN CUT</t>
        </is>
      </c>
      <c r="F50" s="147" t="inlineStr">
        <is>
          <t>HST</t>
        </is>
      </c>
      <c r="G50" s="148" t="n">
        <v>45</v>
      </c>
      <c r="H50" s="148" t="n"/>
      <c r="I50" s="148" t="n">
        <v>1.4</v>
      </c>
      <c r="J50" s="147" t="n">
        <v>6400</v>
      </c>
      <c r="K50" s="147" t="n">
        <v>6.42</v>
      </c>
      <c r="L50" s="147">
        <f>_xlfn.CONCAT(G50,I50,K50,F50,E50)</f>
        <v/>
      </c>
      <c r="M50" s="147">
        <f>VLOOKUP(Table5[[#This Row],[Key]],aug[[#All],[Key]:[Bucket CTL]],2,0)</f>
        <v/>
      </c>
      <c r="N50" s="147">
        <f>VLOOKUP(Table5[[#This Row],[Key]],aug[[#All],[Key]:[Bucket CTL]],3,0)</f>
        <v/>
      </c>
      <c r="O50" s="149">
        <f>VLOOKUP(L50,aug[[#All],[Key]:[TSL Material Code]],7,0)</f>
        <v/>
      </c>
      <c r="P50" s="149">
        <f>VLOOKUP(L50,aug[[#All],[Key]:[TSL Material Code]],8,0)</f>
        <v/>
      </c>
      <c r="Q50" s="19" t="n">
        <v>10</v>
      </c>
      <c r="R50" s="147" t="n">
        <v>5</v>
      </c>
      <c r="S50" s="147" t="n">
        <v>54</v>
      </c>
      <c r="T50" s="147" t="n"/>
      <c r="U50" s="147">
        <f>S50-R50</f>
        <v/>
      </c>
      <c r="V50" s="147" t="n"/>
      <c r="W50" s="147">
        <f>U50+V50</f>
        <v/>
      </c>
      <c r="X50" s="19">
        <f>Q50-W50</f>
        <v/>
      </c>
      <c r="Y50" s="167" t="n">
        <v>30</v>
      </c>
      <c r="Z50" s="19">
        <f>SUMIFS(meghsteelsales_previousmonth[Quantity],meghsteelsales_previousmonth[Length Bucket],Table5[[#This Row],[Bucket CTL]])/1000</f>
        <v/>
      </c>
      <c r="AA50" s="419">
        <f>SUMIFS(meghsteelsales_currentmonth[Quantity],meghsteelsales_currentmonth[Length Bucket],Table5[[#This Row],[Bucket CTL]])/1000</f>
        <v/>
      </c>
      <c r="AB50">
        <f>Table5[[#This Row],[ INDENT  FOR SEP-25 recommended]]+Table5[[#This Row],[order logg ]]</f>
        <v/>
      </c>
      <c r="AC50" s="585">
        <f>Table5[[#This Row],[Before 20th]]+Table5[[#This Row],[after 20th]]</f>
        <v/>
      </c>
      <c r="AD50" s="585">
        <f>IF((Table5[[#This Row],[Total Indent]]-Table5[[#This Row],[Total Dispatched]])&lt;0,0,Table5[[#This Row],[Total Indent]]-Table5[[#This Row],[Total Dispatched]])</f>
        <v/>
      </c>
    </row>
    <row r="51">
      <c r="A51" s="265" t="inlineStr">
        <is>
          <t>HMSI</t>
        </is>
      </c>
      <c r="B51" s="147" t="n">
        <v>943210</v>
      </c>
      <c r="C51" s="147" t="inlineStr">
        <is>
          <t>BADVE</t>
        </is>
      </c>
      <c r="D51" s="153" t="inlineStr">
        <is>
          <t>ERW1</t>
        </is>
      </c>
      <c r="E51" s="147" t="inlineStr">
        <is>
          <t>FIN CUT</t>
        </is>
      </c>
      <c r="F51" s="147" t="inlineStr">
        <is>
          <t>ERW</t>
        </is>
      </c>
      <c r="G51" s="148" t="n">
        <v>45</v>
      </c>
      <c r="H51" s="148" t="n"/>
      <c r="I51" s="148" t="n">
        <v>1.4</v>
      </c>
      <c r="J51" s="147" t="n">
        <v>5700</v>
      </c>
      <c r="K51" s="147" t="n">
        <v>5.7</v>
      </c>
      <c r="L51" s="147">
        <f>_xlfn.CONCAT(G51,I51,K51,F51,E51)</f>
        <v/>
      </c>
      <c r="M51" s="147">
        <f>VLOOKUP(Table5[[#This Row],[Key]],aug[[#All],[Key]:[Bucket CTL]],2,0)</f>
        <v/>
      </c>
      <c r="N51" s="147">
        <f>VLOOKUP(Table5[[#This Row],[Key]],aug[[#All],[Key]:[Bucket CTL]],3,0)</f>
        <v/>
      </c>
      <c r="O51" s="149">
        <f>VLOOKUP(L51,aug[[#All],[Key]:[TSL Material Code]],7,0)</f>
        <v/>
      </c>
      <c r="P51" s="149">
        <f>VLOOKUP(L51,aug[[#All],[Key]:[TSL Material Code]],8,0)</f>
        <v/>
      </c>
      <c r="Q51" s="19" t="n">
        <v>10</v>
      </c>
      <c r="R51" s="147" t="n">
        <v>0</v>
      </c>
      <c r="S51" s="147" t="n">
        <v>0</v>
      </c>
      <c r="T51" s="147" t="n"/>
      <c r="U51" s="147">
        <f>S51-R51</f>
        <v/>
      </c>
      <c r="V51" s="147" t="n">
        <v>0</v>
      </c>
      <c r="W51" s="147">
        <f>U51+V51</f>
        <v/>
      </c>
      <c r="X51" s="19">
        <f>Q51-W51</f>
        <v/>
      </c>
      <c r="Y51" s="167">
        <f>IF(X51&gt;0,X51,0)*150%</f>
        <v/>
      </c>
      <c r="Z51" s="19">
        <f>SUMIFS(meghsteelsales_previousmonth[Quantity],meghsteelsales_previousmonth[Length Bucket],Table5[[#This Row],[Bucket CTL]])/1000</f>
        <v/>
      </c>
      <c r="AA51" s="419">
        <f>SUMIFS(meghsteelsales_currentmonth[Quantity],meghsteelsales_currentmonth[Length Bucket],Table5[[#This Row],[Bucket CTL]])/1000</f>
        <v/>
      </c>
      <c r="AB51">
        <f>Table5[[#This Row],[ INDENT  FOR SEP-25 recommended]]+Table5[[#This Row],[order logg ]]</f>
        <v/>
      </c>
      <c r="AC51" s="585">
        <f>Table5[[#This Row],[Before 20th]]+Table5[[#This Row],[after 20th]]</f>
        <v/>
      </c>
      <c r="AD51" s="585">
        <f>IF((Table5[[#This Row],[Total Indent]]-Table5[[#This Row],[Total Dispatched]])&lt;0,0,Table5[[#This Row],[Total Indent]]-Table5[[#This Row],[Total Dispatched]])</f>
        <v/>
      </c>
    </row>
    <row r="52" hidden="1" s="584">
      <c r="A52" s="265" t="inlineStr">
        <is>
          <t>HMSI</t>
        </is>
      </c>
      <c r="B52" s="147" t="n">
        <v>943210</v>
      </c>
      <c r="C52" s="147" t="inlineStr">
        <is>
          <t>BADVE</t>
        </is>
      </c>
      <c r="D52" s="153" t="inlineStr">
        <is>
          <t>ERW2</t>
        </is>
      </c>
      <c r="E52" s="147" t="inlineStr">
        <is>
          <t>FIN CUT</t>
        </is>
      </c>
      <c r="F52" s="147" t="inlineStr">
        <is>
          <t>HST</t>
        </is>
      </c>
      <c r="G52" s="148" t="n">
        <v>45</v>
      </c>
      <c r="H52" s="148" t="n"/>
      <c r="I52" s="148" t="n">
        <v>1.6</v>
      </c>
      <c r="J52" s="147" t="n">
        <v>6400</v>
      </c>
      <c r="K52" s="147" t="n">
        <v>6.42</v>
      </c>
      <c r="L52" s="147">
        <f>_xlfn.CONCAT(G52,I52,K52,F52,E52)</f>
        <v/>
      </c>
      <c r="M52" s="147">
        <f>VLOOKUP(Table5[[#This Row],[Key]],aug[[#All],[Key]:[Bucket CTL]],2,0)</f>
        <v/>
      </c>
      <c r="N52" s="147">
        <f>VLOOKUP(Table5[[#This Row],[Key]],aug[[#All],[Key]:[Bucket CTL]],3,0)</f>
        <v/>
      </c>
      <c r="O52" s="149">
        <f>VLOOKUP(L52,aug[[#All],[Key]:[TSL Material Code]],7,0)</f>
        <v/>
      </c>
      <c r="P52" s="149" t="inlineStr">
        <is>
          <t>MCR - 42959</t>
        </is>
      </c>
      <c r="Q52" s="19" t="n">
        <v>10</v>
      </c>
      <c r="R52" s="147" t="n">
        <v>5</v>
      </c>
      <c r="S52" s="147" t="n">
        <v>18</v>
      </c>
      <c r="T52" s="147" t="n"/>
      <c r="U52" s="147">
        <f>S52-R52</f>
        <v/>
      </c>
      <c r="V52" s="147" t="n"/>
      <c r="W52" s="147">
        <f>U52+V52</f>
        <v/>
      </c>
      <c r="X52" s="19">
        <f>Q52-W52</f>
        <v/>
      </c>
      <c r="Y52" s="167" t="n">
        <v>30</v>
      </c>
      <c r="Z52" s="19">
        <f>SUMIFS(meghsteelsales_previousmonth[Quantity],meghsteelsales_previousmonth[Length Bucket],Table5[[#This Row],[Bucket CTL]])/1000</f>
        <v/>
      </c>
      <c r="AA52" s="419">
        <f>SUMIFS(meghsteelsales_currentmonth[Quantity],meghsteelsales_currentmonth[Length Bucket],Table5[[#This Row],[Bucket CTL]])/1000</f>
        <v/>
      </c>
      <c r="AB52">
        <f>Table5[[#This Row],[ INDENT  FOR SEP-25 recommended]]+Table5[[#This Row],[order logg ]]</f>
        <v/>
      </c>
      <c r="AC52" s="585">
        <f>Table5[[#This Row],[Before 20th]]+Table5[[#This Row],[after 20th]]</f>
        <v/>
      </c>
      <c r="AD52" s="585">
        <f>IF((Table5[[#This Row],[Total Indent]]-Table5[[#This Row],[Total Dispatched]])&lt;0,0,Table5[[#This Row],[Total Indent]]-Table5[[#This Row],[Total Dispatched]])</f>
        <v/>
      </c>
    </row>
    <row r="53" hidden="1" s="584">
      <c r="A53" s="265" t="inlineStr">
        <is>
          <t>HMSI</t>
        </is>
      </c>
      <c r="B53" s="147" t="n">
        <v>943210</v>
      </c>
      <c r="C53" s="147" t="inlineStr">
        <is>
          <t>BADVE</t>
        </is>
      </c>
      <c r="D53" s="153" t="inlineStr">
        <is>
          <t>CEW-1</t>
        </is>
      </c>
      <c r="E53" s="147" t="inlineStr">
        <is>
          <t>FIN CUT</t>
        </is>
      </c>
      <c r="F53" s="147" t="inlineStr">
        <is>
          <t>CEW-1</t>
        </is>
      </c>
      <c r="G53" s="148" t="n">
        <v>45</v>
      </c>
      <c r="H53" s="148" t="n"/>
      <c r="I53" s="148" t="n">
        <v>3.5</v>
      </c>
      <c r="J53" s="147" t="n">
        <v>6100</v>
      </c>
      <c r="K53" s="147" t="n">
        <v>6.1</v>
      </c>
      <c r="L53" s="147">
        <f>_xlfn.CONCAT(G53,I53,K53,F53,E53)</f>
        <v/>
      </c>
      <c r="M53" s="147">
        <f>VLOOKUP(Table5[[#This Row],[Key]],aug[[#All],[Key]:[Bucket CTL]],2,0)</f>
        <v/>
      </c>
      <c r="N53" s="147">
        <f>VLOOKUP(Table5[[#This Row],[Key]],aug[[#All],[Key]:[Bucket CTL]],3,0)</f>
        <v/>
      </c>
      <c r="O53" s="158" t="inlineStr">
        <is>
          <t>056</t>
        </is>
      </c>
      <c r="P53" s="149" t="n">
        <v>3500263</v>
      </c>
      <c r="Q53" s="19" t="n">
        <v>10</v>
      </c>
      <c r="R53" s="147" t="n"/>
      <c r="S53" s="147" t="n">
        <v>0</v>
      </c>
      <c r="T53" s="147" t="n"/>
      <c r="U53" s="147" t="n"/>
      <c r="V53" s="147" t="n">
        <v>10</v>
      </c>
      <c r="W53" s="147" t="n"/>
      <c r="X53" s="19" t="n"/>
      <c r="Y53" s="167">
        <f>IF(X53&gt;0,X53,0)*150%</f>
        <v/>
      </c>
      <c r="Z53" s="19">
        <f>SUMIFS(meghsteelsales_previousmonth[Quantity],meghsteelsales_previousmonth[Length Bucket],Table5[[#This Row],[Bucket CTL]])/1000</f>
        <v/>
      </c>
      <c r="AA53" s="419">
        <f>SUMIFS(meghsteelsales_currentmonth[Quantity],meghsteelsales_currentmonth[Length Bucket],Table5[[#This Row],[Bucket CTL]])/1000</f>
        <v/>
      </c>
      <c r="AB53">
        <f>Table5[[#This Row],[ INDENT  FOR SEP-25 recommended]]+Table5[[#This Row],[order logg ]]</f>
        <v/>
      </c>
      <c r="AC53" s="585">
        <f>Table5[[#This Row],[Before 20th]]+Table5[[#This Row],[after 20th]]</f>
        <v/>
      </c>
      <c r="AD53" s="585">
        <f>IF((Table5[[#This Row],[Total Indent]]-Table5[[#This Row],[Total Dispatched]])&lt;0,0,Table5[[#This Row],[Total Indent]]-Table5[[#This Row],[Total Dispatched]])</f>
        <v/>
      </c>
    </row>
    <row r="54" hidden="1" s="584">
      <c r="A54" s="265" t="inlineStr">
        <is>
          <t>RE</t>
        </is>
      </c>
      <c r="B54" s="147" t="n">
        <v>943211</v>
      </c>
      <c r="C54" s="147" t="inlineStr">
        <is>
          <t>BELRISE</t>
        </is>
      </c>
      <c r="D54" s="153" t="inlineStr">
        <is>
          <t>CEW-1</t>
        </is>
      </c>
      <c r="E54" s="147" t="inlineStr">
        <is>
          <t>FIN CUT</t>
        </is>
      </c>
      <c r="F54" s="147" t="inlineStr">
        <is>
          <t>CEW</t>
        </is>
      </c>
      <c r="G54" s="148" t="n">
        <v>47.63</v>
      </c>
      <c r="H54" s="148" t="n"/>
      <c r="I54" s="148" t="n">
        <v>4</v>
      </c>
      <c r="J54" s="147" t="n">
        <v>6040</v>
      </c>
      <c r="K54" s="147" t="n">
        <v>6.04</v>
      </c>
      <c r="L54" s="147">
        <f>_xlfn.CONCAT(G54,I54,K54,F54,E54)</f>
        <v/>
      </c>
      <c r="M54" s="147" t="inlineStr">
        <is>
          <t>47.63-0-4-ERW 1-FC</t>
        </is>
      </c>
      <c r="N54" s="147" t="inlineStr">
        <is>
          <t>47.63-0-4-ERW 1-FC-6.04</t>
        </is>
      </c>
      <c r="O54" s="149">
        <f>VLOOKUP(L54,aug[[#All],[Key]:[TSL Material Code]],7,0)</f>
        <v/>
      </c>
      <c r="P54" s="149">
        <f>VLOOKUP(L54,aug[[#All],[Key]:[TSL Material Code]],8,0)</f>
        <v/>
      </c>
      <c r="Q54" s="19" t="n">
        <v>10</v>
      </c>
      <c r="R54" s="147" t="n">
        <v>0</v>
      </c>
      <c r="S54" s="147" t="n">
        <v>0</v>
      </c>
      <c r="T54" s="147" t="n"/>
      <c r="U54" s="147">
        <f>S54-R54</f>
        <v/>
      </c>
      <c r="V54" s="147" t="n">
        <v>0</v>
      </c>
      <c r="W54" s="147">
        <f>U54+V54</f>
        <v/>
      </c>
      <c r="X54" s="19">
        <f>Q54-W54</f>
        <v/>
      </c>
      <c r="Y54" s="167">
        <f>IF(X54&gt;0,X54,0)*150%</f>
        <v/>
      </c>
      <c r="Z54" s="19">
        <f>SUMIFS(meghsteelsales_previousmonth[Quantity],meghsteelsales_previousmonth[Length Bucket],Table5[[#This Row],[Bucket CTL]])/1000</f>
        <v/>
      </c>
      <c r="AA54" s="419">
        <f>SUMIFS(meghsteelsales_currentmonth[Quantity],meghsteelsales_currentmonth[Length Bucket],Table5[[#This Row],[Bucket CTL]])/1000</f>
        <v/>
      </c>
      <c r="AB54">
        <f>Table5[[#This Row],[ INDENT  FOR SEP-25 recommended]]+Table5[[#This Row],[order logg ]]</f>
        <v/>
      </c>
      <c r="AC54" s="585">
        <f>Table5[[#This Row],[Before 20th]]+Table5[[#This Row],[after 20th]]</f>
        <v/>
      </c>
      <c r="AD54" s="585">
        <f>IF((Table5[[#This Row],[Total Indent]]-Table5[[#This Row],[Total Dispatched]])&lt;0,0,Table5[[#This Row],[Total Indent]]-Table5[[#This Row],[Total Dispatched]])</f>
        <v/>
      </c>
    </row>
    <row r="55" hidden="1" s="584">
      <c r="A55" s="265" t="inlineStr">
        <is>
          <t>RE</t>
        </is>
      </c>
      <c r="B55" s="147" t="n">
        <v>943211</v>
      </c>
      <c r="C55" s="147" t="inlineStr">
        <is>
          <t>BELRISE</t>
        </is>
      </c>
      <c r="D55" s="153" t="inlineStr">
        <is>
          <t>ERW1</t>
        </is>
      </c>
      <c r="E55" s="147" t="inlineStr">
        <is>
          <t>FIN CUT</t>
        </is>
      </c>
      <c r="F55" s="147" t="inlineStr">
        <is>
          <t>ERW</t>
        </is>
      </c>
      <c r="G55" s="148" t="n">
        <v>48</v>
      </c>
      <c r="H55" s="148" t="n"/>
      <c r="I55" s="148" t="n">
        <v>1.2</v>
      </c>
      <c r="J55" s="147" t="n">
        <v>620</v>
      </c>
      <c r="K55" s="147" t="n">
        <v>0.62</v>
      </c>
      <c r="L55" s="147">
        <f>_xlfn.CONCAT(G55,I55,K55,F55,E55)</f>
        <v/>
      </c>
      <c r="M55" s="147">
        <f>VLOOKUP(Table5[[#This Row],[Key]],aug[[#All],[Key]:[Bucket CTL]],2,0)</f>
        <v/>
      </c>
      <c r="N55" s="147">
        <f>VLOOKUP(Table5[[#This Row],[Key]],aug[[#All],[Key]:[Bucket CTL]],3,0)</f>
        <v/>
      </c>
      <c r="O55" s="149">
        <f>VLOOKUP(L55,aug[[#All],[Key]:[TSL Material Code]],7,0)</f>
        <v/>
      </c>
      <c r="P55" s="149">
        <f>VLOOKUP(L55,aug[[#All],[Key]:[TSL Material Code]],8,0)</f>
        <v/>
      </c>
      <c r="Q55" s="19" t="n">
        <v>10</v>
      </c>
      <c r="R55" s="147" t="n">
        <v>0</v>
      </c>
      <c r="S55" s="147" t="n">
        <v>0</v>
      </c>
      <c r="T55" s="147" t="n"/>
      <c r="U55" s="147">
        <f>S55-R55</f>
        <v/>
      </c>
      <c r="V55" s="147" t="n"/>
      <c r="W55" s="147">
        <f>U55+V55</f>
        <v/>
      </c>
      <c r="X55" s="19">
        <f>Q55-W55</f>
        <v/>
      </c>
      <c r="Y55" s="167" t="n">
        <v>40</v>
      </c>
      <c r="Z55" s="19">
        <f>SUMIFS(meghsteelsales_previousmonth[Quantity],meghsteelsales_previousmonth[Length Bucket],Table5[[#This Row],[Bucket CTL]])/1000</f>
        <v/>
      </c>
      <c r="AA55" s="419">
        <f>SUMIFS(meghsteelsales_currentmonth[Quantity],meghsteelsales_currentmonth[Length Bucket],Table5[[#This Row],[Bucket CTL]])/1000</f>
        <v/>
      </c>
      <c r="AB55">
        <f>Table5[[#This Row],[ INDENT  FOR SEP-25 recommended]]+Table5[[#This Row],[order logg ]]</f>
        <v/>
      </c>
      <c r="AC55" s="585">
        <f>Table5[[#This Row],[Before 20th]]+Table5[[#This Row],[after 20th]]</f>
        <v/>
      </c>
      <c r="AD55" s="585">
        <f>IF((Table5[[#This Row],[Total Indent]]-Table5[[#This Row],[Total Dispatched]])&lt;0,0,Table5[[#This Row],[Total Indent]]-Table5[[#This Row],[Total Dispatched]])</f>
        <v/>
      </c>
    </row>
    <row r="56" hidden="1" s="584">
      <c r="A56" s="265" t="inlineStr">
        <is>
          <t>RE</t>
        </is>
      </c>
      <c r="B56" s="147" t="n">
        <v>943211</v>
      </c>
      <c r="C56" s="147" t="inlineStr">
        <is>
          <t>RAJSRIYA</t>
        </is>
      </c>
      <c r="D56" s="153" t="inlineStr">
        <is>
          <t>ERW1</t>
        </is>
      </c>
      <c r="E56" s="147" t="inlineStr">
        <is>
          <t>FIN CUT</t>
        </is>
      </c>
      <c r="F56" s="147" t="inlineStr">
        <is>
          <t>ERW</t>
        </is>
      </c>
      <c r="G56" s="148" t="n">
        <v>48</v>
      </c>
      <c r="H56" s="148" t="n"/>
      <c r="I56" s="148" t="n">
        <v>1.2</v>
      </c>
      <c r="J56" s="147" t="n">
        <v>650</v>
      </c>
      <c r="K56" s="147" t="n">
        <v>0.7</v>
      </c>
      <c r="L56" s="147">
        <f>_xlfn.CONCAT(G56,I56,K56,F56,E56)</f>
        <v/>
      </c>
      <c r="M56" s="147">
        <f>VLOOKUP(Table5[[#This Row],[Key]],aug[[#All],[Key]:[Bucket CTL]],2,0)</f>
        <v/>
      </c>
      <c r="N56" s="147">
        <f>VLOOKUP(Table5[[#This Row],[Key]],aug[[#All],[Key]:[Bucket CTL]],3,0)</f>
        <v/>
      </c>
      <c r="O56" s="149">
        <f>VLOOKUP(L56,aug[[#All],[Key]:[TSL Material Code]],7,0)</f>
        <v/>
      </c>
      <c r="P56" s="149">
        <f>VLOOKUP(L56,aug[[#All],[Key]:[TSL Material Code]],8,0)</f>
        <v/>
      </c>
      <c r="Q56" s="19" t="n">
        <v>14</v>
      </c>
      <c r="R56" s="147" t="n">
        <v>0</v>
      </c>
      <c r="S56" s="147" t="n">
        <v>0</v>
      </c>
      <c r="T56" s="147" t="n"/>
      <c r="U56" s="147">
        <f>S56-R56</f>
        <v/>
      </c>
      <c r="V56" s="147" t="n"/>
      <c r="W56" s="147">
        <f>U56+V56</f>
        <v/>
      </c>
      <c r="X56" s="19">
        <f>Q56-W56</f>
        <v/>
      </c>
      <c r="Y56" s="167" t="n">
        <v>36</v>
      </c>
      <c r="Z56" s="19">
        <f>SUMIFS(meghsteelsales_previousmonth[Quantity],meghsteelsales_previousmonth[Length Bucket],Table5[[#This Row],[Bucket CTL]])/1000</f>
        <v/>
      </c>
      <c r="AA56" s="419">
        <f>SUMIFS(meghsteelsales_currentmonth[Quantity],meghsteelsales_currentmonth[Length Bucket],Table5[[#This Row],[Bucket CTL]])/1000</f>
        <v/>
      </c>
      <c r="AB56">
        <f>Table5[[#This Row],[ INDENT  FOR SEP-25 recommended]]+Table5[[#This Row],[order logg ]]</f>
        <v/>
      </c>
      <c r="AC56" s="585">
        <f>Table5[[#This Row],[Before 20th]]+Table5[[#This Row],[after 20th]]</f>
        <v/>
      </c>
      <c r="AD56" s="585">
        <f>IF((Table5[[#This Row],[Total Indent]]-Table5[[#This Row],[Total Dispatched]])&lt;0,0,Table5[[#This Row],[Total Indent]]-Table5[[#This Row],[Total Dispatched]])</f>
        <v/>
      </c>
    </row>
    <row r="57" hidden="1" s="584">
      <c r="A57" s="265" t="inlineStr">
        <is>
          <t>HMSI</t>
        </is>
      </c>
      <c r="B57" s="147" t="n">
        <v>943210</v>
      </c>
      <c r="C57" s="147" t="inlineStr">
        <is>
          <t>BADVE</t>
        </is>
      </c>
      <c r="D57" s="153" t="inlineStr">
        <is>
          <t>ERW2</t>
        </is>
      </c>
      <c r="E57" s="147" t="inlineStr">
        <is>
          <t>FIN CUT</t>
        </is>
      </c>
      <c r="F57" s="147" t="inlineStr">
        <is>
          <t>HST</t>
        </is>
      </c>
      <c r="G57" s="148" t="n">
        <v>48.6</v>
      </c>
      <c r="H57" s="148" t="n"/>
      <c r="I57" s="148" t="n">
        <v>2</v>
      </c>
      <c r="J57" s="147" t="n">
        <v>6270</v>
      </c>
      <c r="K57" s="147" t="n">
        <v>6.27</v>
      </c>
      <c r="L57" s="147">
        <f>_xlfn.CONCAT(G57,I57,K57,F57,E57)</f>
        <v/>
      </c>
      <c r="M57" s="147">
        <f>VLOOKUP(Table5[[#This Row],[Key]],aug[[#All],[Key]:[Bucket CTL]],2,0)</f>
        <v/>
      </c>
      <c r="N57" s="147">
        <f>VLOOKUP(Table5[[#This Row],[Key]],aug[[#All],[Key]:[Bucket CTL]],3,0)</f>
        <v/>
      </c>
      <c r="O57" s="149">
        <f>VLOOKUP(L57,aug[[#All],[Key]:[TSL Material Code]],7,0)</f>
        <v/>
      </c>
      <c r="P57" s="149">
        <f>VLOOKUP(L57,aug[[#All],[Key]:[TSL Material Code]],8,0)</f>
        <v/>
      </c>
      <c r="Q57" s="19" t="n">
        <v>10</v>
      </c>
      <c r="R57" s="147" t="n">
        <v>2</v>
      </c>
      <c r="S57" s="147" t="n">
        <v>40</v>
      </c>
      <c r="T57" s="147" t="n"/>
      <c r="U57" s="147">
        <f>S57-R57</f>
        <v/>
      </c>
      <c r="V57" s="147" t="n">
        <v>0</v>
      </c>
      <c r="W57" s="147">
        <f>U57+V57</f>
        <v/>
      </c>
      <c r="X57" s="19">
        <f>Q57-W57</f>
        <v/>
      </c>
      <c r="Y57" s="167">
        <f>IF(X57&gt;0,X57,0)*150%</f>
        <v/>
      </c>
      <c r="Z57" s="19">
        <f>SUMIFS(meghsteelsales_previousmonth[Quantity],meghsteelsales_previousmonth[Length Bucket],Table5[[#This Row],[Bucket CTL]])/1000</f>
        <v/>
      </c>
      <c r="AA57" s="419">
        <f>SUMIFS(meghsteelsales_currentmonth[Quantity],meghsteelsales_currentmonth[Length Bucket],Table5[[#This Row],[Bucket CTL]])/1000</f>
        <v/>
      </c>
      <c r="AB57">
        <f>Table5[[#This Row],[ INDENT  FOR SEP-25 recommended]]+Table5[[#This Row],[order logg ]]</f>
        <v/>
      </c>
      <c r="AC57" s="585">
        <f>Table5[[#This Row],[Before 20th]]+Table5[[#This Row],[after 20th]]</f>
        <v/>
      </c>
      <c r="AD57" s="585">
        <f>IF((Table5[[#This Row],[Total Indent]]-Table5[[#This Row],[Total Dispatched]])&lt;0,0,Table5[[#This Row],[Total Indent]]-Table5[[#This Row],[Total Dispatched]])</f>
        <v/>
      </c>
    </row>
    <row r="58" hidden="1" s="584">
      <c r="A58" s="265" t="inlineStr">
        <is>
          <t>HMSI</t>
        </is>
      </c>
      <c r="B58" s="147" t="n">
        <v>943210</v>
      </c>
      <c r="C58" s="147" t="inlineStr">
        <is>
          <t>BADVE</t>
        </is>
      </c>
      <c r="D58" s="153" t="inlineStr">
        <is>
          <t>ERW2</t>
        </is>
      </c>
      <c r="E58" s="147" t="inlineStr">
        <is>
          <t>FIN CUT</t>
        </is>
      </c>
      <c r="F58" s="147" t="inlineStr">
        <is>
          <t>HST</t>
        </is>
      </c>
      <c r="G58" s="148" t="n">
        <v>48.6</v>
      </c>
      <c r="H58" s="148" t="n"/>
      <c r="I58" s="148" t="n">
        <v>2.3</v>
      </c>
      <c r="J58" s="147" t="n">
        <v>6270</v>
      </c>
      <c r="K58" s="147" t="n">
        <v>6.27</v>
      </c>
      <c r="L58" s="147">
        <f>_xlfn.CONCAT(G58,I58,K58,F58,E58)</f>
        <v/>
      </c>
      <c r="M58" s="147">
        <f>VLOOKUP(Table5[[#This Row],[Key]],aug[[#All],[Key]:[Bucket CTL]],2,0)</f>
        <v/>
      </c>
      <c r="N58" s="147">
        <f>VLOOKUP(Table5[[#This Row],[Key]],aug[[#All],[Key]:[Bucket CTL]],3,0)</f>
        <v/>
      </c>
      <c r="O58" s="149">
        <f>VLOOKUP(L58,aug[[#All],[Key]:[TSL Material Code]],7,0)</f>
        <v/>
      </c>
      <c r="P58" s="149">
        <f>VLOOKUP(L58,aug[[#All],[Key]:[TSL Material Code]],8,0)</f>
        <v/>
      </c>
      <c r="Q58" s="19" t="n">
        <v>10</v>
      </c>
      <c r="R58" s="147" t="n">
        <v>0</v>
      </c>
      <c r="S58" s="147" t="n">
        <v>0</v>
      </c>
      <c r="T58" s="147" t="n"/>
      <c r="U58" s="147">
        <f>S58-R58</f>
        <v/>
      </c>
      <c r="V58" s="147" t="n">
        <v>9</v>
      </c>
      <c r="W58" s="147">
        <f>U58+V58</f>
        <v/>
      </c>
      <c r="X58" s="19">
        <f>Q58-W58</f>
        <v/>
      </c>
      <c r="Y58" s="167">
        <f>IF(X58&gt;0,X58,0)*150%</f>
        <v/>
      </c>
      <c r="Z58" s="19">
        <f>SUMIFS(meghsteelsales_previousmonth[Quantity],meghsteelsales_previousmonth[Length Bucket],Table5[[#This Row],[Bucket CTL]])/1000</f>
        <v/>
      </c>
      <c r="AA58" s="419">
        <f>SUMIFS(meghsteelsales_currentmonth[Quantity],meghsteelsales_currentmonth[Length Bucket],Table5[[#This Row],[Bucket CTL]])/1000</f>
        <v/>
      </c>
      <c r="AB58">
        <f>Table5[[#This Row],[ INDENT  FOR SEP-25 recommended]]+Table5[[#This Row],[order logg ]]</f>
        <v/>
      </c>
      <c r="AC58" s="585">
        <f>Table5[[#This Row],[Before 20th]]+Table5[[#This Row],[after 20th]]</f>
        <v/>
      </c>
      <c r="AD58" s="585">
        <f>IF((Table5[[#This Row],[Total Indent]]-Table5[[#This Row],[Total Dispatched]])&lt;0,0,Table5[[#This Row],[Total Indent]]-Table5[[#This Row],[Total Dispatched]])</f>
        <v/>
      </c>
    </row>
    <row r="59" hidden="1" s="584">
      <c r="A59" s="265" t="inlineStr">
        <is>
          <t>HMSI</t>
        </is>
      </c>
      <c r="B59" s="147" t="n">
        <v>943210</v>
      </c>
      <c r="C59" s="147" t="inlineStr">
        <is>
          <t>BADVE</t>
        </is>
      </c>
      <c r="D59" s="153" t="inlineStr">
        <is>
          <t>ERW1</t>
        </is>
      </c>
      <c r="E59" s="147" t="inlineStr">
        <is>
          <t>FIN CUT</t>
        </is>
      </c>
      <c r="F59" s="147" t="inlineStr">
        <is>
          <t>ERW</t>
        </is>
      </c>
      <c r="G59" s="148" t="n">
        <v>48.6</v>
      </c>
      <c r="H59" s="148" t="n"/>
      <c r="I59" s="148" t="n">
        <v>3.5</v>
      </c>
      <c r="J59" s="147" t="n">
        <v>6000</v>
      </c>
      <c r="K59" s="147" t="n">
        <v>6</v>
      </c>
      <c r="L59" s="147">
        <f>_xlfn.CONCAT(G59,I59,K59,F59,E59)</f>
        <v/>
      </c>
      <c r="M59" s="147">
        <f>VLOOKUP(Table5[[#This Row],[Key]],aug[[#All],[Key]:[Bucket CTL]],2,0)</f>
        <v/>
      </c>
      <c r="N59" s="147">
        <f>VLOOKUP(Table5[[#This Row],[Key]],aug[[#All],[Key]:[Bucket CTL]],3,0)</f>
        <v/>
      </c>
      <c r="O59" s="149">
        <f>VLOOKUP(L59,aug[[#All],[Key]:[TSL Material Code]],7,0)</f>
        <v/>
      </c>
      <c r="P59" s="149">
        <f>VLOOKUP(L59,aug[[#All],[Key]:[TSL Material Code]],8,0)</f>
        <v/>
      </c>
      <c r="Q59" s="19" t="n">
        <v>25</v>
      </c>
      <c r="R59" s="147" t="n">
        <v>5</v>
      </c>
      <c r="S59" s="147" t="n">
        <v>5</v>
      </c>
      <c r="T59" s="147" t="n"/>
      <c r="U59" s="147">
        <f>S59-R59</f>
        <v/>
      </c>
      <c r="V59" s="147" t="n"/>
      <c r="W59" s="147">
        <f>U59+V59</f>
        <v/>
      </c>
      <c r="X59" s="19">
        <f>Q59-W59</f>
        <v/>
      </c>
      <c r="Y59" s="167" t="n">
        <v>30</v>
      </c>
      <c r="Z59" s="19">
        <f>SUMIFS(meghsteelsales_previousmonth[Quantity],meghsteelsales_previousmonth[Length Bucket],Table5[[#This Row],[Bucket CTL]])/1000</f>
        <v/>
      </c>
      <c r="AA59" s="419">
        <f>SUMIFS(meghsteelsales_currentmonth[Quantity],meghsteelsales_currentmonth[Length Bucket],Table5[[#This Row],[Bucket CTL]])/1000</f>
        <v/>
      </c>
      <c r="AB59">
        <f>Table5[[#This Row],[ INDENT  FOR SEP-25 recommended]]+Table5[[#This Row],[order logg ]]</f>
        <v/>
      </c>
      <c r="AC59" s="585">
        <f>Table5[[#This Row],[Before 20th]]+Table5[[#This Row],[after 20th]]</f>
        <v/>
      </c>
      <c r="AD59" s="585">
        <f>IF((Table5[[#This Row],[Total Indent]]-Table5[[#This Row],[Total Dispatched]])&lt;0,0,Table5[[#This Row],[Total Indent]]-Table5[[#This Row],[Total Dispatched]])</f>
        <v/>
      </c>
    </row>
    <row r="60" hidden="1" s="584">
      <c r="A60" s="265" t="inlineStr">
        <is>
          <t>TVS</t>
        </is>
      </c>
      <c r="B60" s="147" t="n">
        <v>943209</v>
      </c>
      <c r="C60" s="147" t="inlineStr">
        <is>
          <t>RUCHA</t>
        </is>
      </c>
      <c r="D60" s="153" t="inlineStr">
        <is>
          <t>ERW1</t>
        </is>
      </c>
      <c r="E60" s="147" t="inlineStr">
        <is>
          <t>FIN CUT</t>
        </is>
      </c>
      <c r="F60" s="147" t="inlineStr">
        <is>
          <t>ERW</t>
        </is>
      </c>
      <c r="G60" s="168" t="inlineStr">
        <is>
          <t>59x30</t>
        </is>
      </c>
      <c r="H60" s="168" t="n"/>
      <c r="I60" s="168" t="n">
        <v>1.6</v>
      </c>
      <c r="J60" s="147" t="n">
        <v>6000</v>
      </c>
      <c r="K60" s="147" t="n">
        <v>6</v>
      </c>
      <c r="L60" s="147">
        <f>_xlfn.CONCAT(G60,I60,K60,F60,E60)</f>
        <v/>
      </c>
      <c r="M60" s="147">
        <f>VLOOKUP(Table5[[#This Row],[Key]],aug[[#All],[Key]:[Bucket CTL]],2,0)</f>
        <v/>
      </c>
      <c r="N60" s="147">
        <f>VLOOKUP(Table5[[#This Row],[Key]],aug[[#All],[Key]:[Bucket CTL]],3,0)</f>
        <v/>
      </c>
      <c r="O60" s="149">
        <f>VLOOKUP(L60,aug[[#All],[Key]:[TSL Material Code]],7,0)</f>
        <v/>
      </c>
      <c r="P60" s="149">
        <f>VLOOKUP(L60,aug[[#All],[Key]:[TSL Material Code]],8,0)</f>
        <v/>
      </c>
      <c r="Q60" s="19" t="n">
        <v>5</v>
      </c>
      <c r="R60" s="147" t="n">
        <v>0</v>
      </c>
      <c r="S60" s="147" t="n">
        <v>0</v>
      </c>
      <c r="T60" s="147" t="n"/>
      <c r="U60" s="147">
        <f>S60-R60</f>
        <v/>
      </c>
      <c r="V60" s="147" t="n"/>
      <c r="W60" s="147">
        <f>U60+V60</f>
        <v/>
      </c>
      <c r="X60" s="19">
        <f>Q60-W60</f>
        <v/>
      </c>
      <c r="Y60" s="167" t="n">
        <v>12</v>
      </c>
      <c r="Z60" s="19">
        <f>SUMIFS(meghsteelsales_previousmonth[Quantity],meghsteelsales_previousmonth[Length Bucket],Table5[[#This Row],[Bucket CTL]])/1000</f>
        <v/>
      </c>
      <c r="AA60" s="419">
        <f>SUMIFS(meghsteelsales_currentmonth[Quantity],meghsteelsales_currentmonth[Length Bucket],Table5[[#This Row],[Bucket CTL]])/1000</f>
        <v/>
      </c>
      <c r="AB60">
        <f>Table5[[#This Row],[ INDENT  FOR SEP-25 recommended]]+Table5[[#This Row],[order logg ]]</f>
        <v/>
      </c>
      <c r="AC60" s="585">
        <f>Table5[[#This Row],[Before 20th]]+Table5[[#This Row],[after 20th]]</f>
        <v/>
      </c>
      <c r="AD60" s="585">
        <f>IF((Table5[[#This Row],[Total Indent]]-Table5[[#This Row],[Total Dispatched]])&lt;0,0,Table5[[#This Row],[Total Indent]]-Table5[[#This Row],[Total Dispatched]])</f>
        <v/>
      </c>
    </row>
    <row r="61" hidden="1" s="584">
      <c r="A61" s="265" t="inlineStr">
        <is>
          <t>RE</t>
        </is>
      </c>
      <c r="B61" s="147" t="n">
        <v>943211</v>
      </c>
      <c r="C61" s="147" t="inlineStr">
        <is>
          <t>KUNAL</t>
        </is>
      </c>
      <c r="D61" s="153" t="inlineStr">
        <is>
          <t>ERW1</t>
        </is>
      </c>
      <c r="E61" s="147" t="inlineStr">
        <is>
          <t>FIN CUT</t>
        </is>
      </c>
      <c r="F61" s="147" t="inlineStr">
        <is>
          <t>ERW</t>
        </is>
      </c>
      <c r="G61" s="168" t="inlineStr">
        <is>
          <t>59x30</t>
        </is>
      </c>
      <c r="H61" s="168" t="n"/>
      <c r="I61" s="168" t="n">
        <v>1.6</v>
      </c>
      <c r="J61" s="169" t="n">
        <v>572.5</v>
      </c>
      <c r="K61" s="147" t="n">
        <v>0.5725</v>
      </c>
      <c r="L61" s="147">
        <f>_xlfn.CONCAT(G61,I61,K61,F61,E61)</f>
        <v/>
      </c>
      <c r="M61" s="147">
        <f>VLOOKUP(Table5[[#This Row],[Key]],aug[[#All],[Key]:[Bucket CTL]],2,0)</f>
        <v/>
      </c>
      <c r="N61" s="147">
        <f>VLOOKUP(Table5[[#This Row],[Key]],aug[[#All],[Key]:[Bucket CTL]],3,0)</f>
        <v/>
      </c>
      <c r="O61" s="149">
        <f>VLOOKUP(L61,aug[[#All],[Key]:[TSL Material Code]],7,0)</f>
        <v/>
      </c>
      <c r="P61" s="149">
        <f>VLOOKUP(L61,aug[[#All],[Key]:[TSL Material Code]],8,0)</f>
        <v/>
      </c>
      <c r="Q61" s="19" t="n">
        <v>40</v>
      </c>
      <c r="R61" s="147" t="n">
        <v>0</v>
      </c>
      <c r="S61" s="147" t="n">
        <v>0</v>
      </c>
      <c r="T61" s="147" t="n"/>
      <c r="U61" s="147">
        <f>S61-R61</f>
        <v/>
      </c>
      <c r="V61" s="147" t="n"/>
      <c r="W61" s="147">
        <f>U61+V61</f>
        <v/>
      </c>
      <c r="X61" s="19">
        <f>Q61-W61</f>
        <v/>
      </c>
      <c r="Y61" s="167" t="n">
        <v>50</v>
      </c>
      <c r="Z61" s="19">
        <f>SUMIFS(meghsteelsales_previousmonth[Quantity],meghsteelsales_previousmonth[Length Bucket],Table5[[#This Row],[Bucket CTL]])/1000</f>
        <v/>
      </c>
      <c r="AA61" s="419">
        <f>SUMIFS(meghsteelsales_currentmonth[Quantity],meghsteelsales_currentmonth[Length Bucket],Table5[[#This Row],[Bucket CTL]])/1000</f>
        <v/>
      </c>
      <c r="AB61">
        <f>Table5[[#This Row],[ INDENT  FOR SEP-25 recommended]]+Table5[[#This Row],[order logg ]]</f>
        <v/>
      </c>
      <c r="AC61" s="585">
        <f>Table5[[#This Row],[Before 20th]]+Table5[[#This Row],[after 20th]]</f>
        <v/>
      </c>
      <c r="AD61" s="585">
        <f>IF((Table5[[#This Row],[Total Indent]]-Table5[[#This Row],[Total Dispatched]])&lt;0,0,Table5[[#This Row],[Total Indent]]-Table5[[#This Row],[Total Dispatched]])</f>
        <v/>
      </c>
    </row>
    <row r="62" hidden="1" s="584">
      <c r="A62" s="265" t="inlineStr">
        <is>
          <t>RE</t>
        </is>
      </c>
      <c r="B62" s="147" t="n">
        <v>943211</v>
      </c>
      <c r="C62" s="147" t="inlineStr">
        <is>
          <t>BELRISE</t>
        </is>
      </c>
      <c r="D62" s="153" t="inlineStr">
        <is>
          <t>ERW1</t>
        </is>
      </c>
      <c r="E62" s="147" t="inlineStr">
        <is>
          <t>FIN CUT</t>
        </is>
      </c>
      <c r="F62" s="147" t="inlineStr">
        <is>
          <t>ERW</t>
        </is>
      </c>
      <c r="G62" s="168" t="inlineStr">
        <is>
          <t>50X50</t>
        </is>
      </c>
      <c r="H62" s="168" t="n"/>
      <c r="I62" s="168" t="n">
        <v>1.6</v>
      </c>
      <c r="J62" s="169" t="n">
        <v>6040</v>
      </c>
      <c r="K62" s="147" t="n">
        <v>6.04</v>
      </c>
      <c r="L62" s="147">
        <f>_xlfn.CONCAT(G62,I62,K62,F62,E62)</f>
        <v/>
      </c>
      <c r="M62" s="147" t="inlineStr">
        <is>
          <t>50-50-1.6-ERW 1-FIN CUT</t>
        </is>
      </c>
      <c r="N62" s="147" t="inlineStr">
        <is>
          <t>50-50-1.6-ERW 1-FIN CUT-6.04</t>
        </is>
      </c>
      <c r="O62" s="149">
        <f>VLOOKUP(L62,aug[[#All],[Key]:[TSL Material Code]],7,0)</f>
        <v/>
      </c>
      <c r="P62" s="149">
        <f>VLOOKUP(L62,aug[[#All],[Key]:[TSL Material Code]],8,0)</f>
        <v/>
      </c>
      <c r="Q62" s="19" t="n">
        <v>10</v>
      </c>
      <c r="R62" s="147" t="n">
        <v>0</v>
      </c>
      <c r="S62" s="147" t="n">
        <v>0</v>
      </c>
      <c r="T62" s="147" t="n"/>
      <c r="U62" s="147">
        <f>S62-R62</f>
        <v/>
      </c>
      <c r="V62" s="147" t="n">
        <v>20</v>
      </c>
      <c r="W62" s="147">
        <f>U62+V62</f>
        <v/>
      </c>
      <c r="X62" s="19">
        <f>Q62-W62</f>
        <v/>
      </c>
      <c r="Y62" s="167">
        <f>IF(X62&gt;0,X62,0)*150%</f>
        <v/>
      </c>
      <c r="Z62" s="19">
        <f>SUMIFS(meghsteelsales_previousmonth[Quantity],meghsteelsales_previousmonth[Length Bucket],Table5[[#This Row],[Bucket CTL]])/1000</f>
        <v/>
      </c>
      <c r="AA62" s="419">
        <f>SUMIFS(meghsteelsales_currentmonth[Quantity],meghsteelsales_currentmonth[Length Bucket],Table5[[#This Row],[Bucket CTL]])/1000</f>
        <v/>
      </c>
      <c r="AB62">
        <f>Table5[[#This Row],[ INDENT  FOR SEP-25 recommended]]+Table5[[#This Row],[order logg ]]</f>
        <v/>
      </c>
      <c r="AC62" s="585">
        <f>Table5[[#This Row],[Before 20th]]+Table5[[#This Row],[after 20th]]</f>
        <v/>
      </c>
      <c r="AD62" s="585">
        <f>IF((Table5[[#This Row],[Total Indent]]-Table5[[#This Row],[Total Dispatched]])&lt;0,0,Table5[[#This Row],[Total Indent]]-Table5[[#This Row],[Total Dispatched]])</f>
        <v/>
      </c>
    </row>
    <row r="63" hidden="1" s="584">
      <c r="A63" s="265" t="inlineStr">
        <is>
          <t>RE</t>
        </is>
      </c>
      <c r="B63" s="147" t="n">
        <v>943211</v>
      </c>
      <c r="C63" s="147" t="inlineStr">
        <is>
          <t>BELRISE</t>
        </is>
      </c>
      <c r="D63" s="153" t="inlineStr">
        <is>
          <t>ERW1</t>
        </is>
      </c>
      <c r="E63" s="147" t="inlineStr">
        <is>
          <t>FIN CUT</t>
        </is>
      </c>
      <c r="F63" s="147" t="inlineStr">
        <is>
          <t>ERW</t>
        </is>
      </c>
      <c r="G63" s="168" t="n">
        <v>50.8</v>
      </c>
      <c r="H63" s="168" t="n"/>
      <c r="I63" s="168" t="n">
        <v>2.6</v>
      </c>
      <c r="J63" s="169" t="n">
        <v>6000</v>
      </c>
      <c r="K63" s="147" t="n">
        <v>6</v>
      </c>
      <c r="L63" s="147">
        <f>_xlfn.CONCAT(G63,I63,K63,F63,E63)</f>
        <v/>
      </c>
      <c r="M63" s="147" t="inlineStr">
        <is>
          <t>50.8-0-2.6-ERW 1-FC</t>
        </is>
      </c>
      <c r="N63" s="147" t="inlineStr">
        <is>
          <t>50.8-0-2.6-ERW 1-FC-6</t>
        </is>
      </c>
      <c r="O63" s="149">
        <f>VLOOKUP(L63,aug[[#All],[Key]:[TSL Material Code]],7,0)</f>
        <v/>
      </c>
      <c r="P63" s="149">
        <f>VLOOKUP(L63,aug[[#All],[Key]:[TSL Material Code]],8,0)</f>
        <v/>
      </c>
      <c r="Q63" s="19" t="n">
        <v>5</v>
      </c>
      <c r="R63" s="147" t="n">
        <v>0</v>
      </c>
      <c r="S63" s="147" t="n">
        <v>0</v>
      </c>
      <c r="T63" s="147" t="n"/>
      <c r="U63" s="147">
        <f>S63-R63</f>
        <v/>
      </c>
      <c r="V63" s="147" t="n">
        <v>5</v>
      </c>
      <c r="W63" s="147" t="n">
        <v>0</v>
      </c>
      <c r="X63" s="19" t="n">
        <v>5</v>
      </c>
      <c r="Y63" s="167">
        <f>IF(X63&gt;0,X63,0)*150%</f>
        <v/>
      </c>
      <c r="Z63" s="19">
        <f>SUMIFS(meghsteelsales_previousmonth[Quantity],meghsteelsales_previousmonth[Length Bucket],Table5[[#This Row],[Bucket CTL]])/1000</f>
        <v/>
      </c>
      <c r="AA63" s="419">
        <f>SUMIFS(meghsteelsales_currentmonth[Quantity],meghsteelsales_currentmonth[Length Bucket],Table5[[#This Row],[Bucket CTL]])/1000</f>
        <v/>
      </c>
      <c r="AB63">
        <f>Table5[[#This Row],[ INDENT  FOR SEP-25 recommended]]+Table5[[#This Row],[order logg ]]</f>
        <v/>
      </c>
      <c r="AC63" s="585">
        <f>Table5[[#This Row],[Before 20th]]+Table5[[#This Row],[after 20th]]</f>
        <v/>
      </c>
      <c r="AD63" s="585">
        <f>IF((Table5[[#This Row],[Total Indent]]-Table5[[#This Row],[Total Dispatched]])&lt;0,0,Table5[[#This Row],[Total Indent]]-Table5[[#This Row],[Total Dispatched]])</f>
        <v/>
      </c>
    </row>
    <row r="64" hidden="1" s="584">
      <c r="A64" s="265" t="inlineStr">
        <is>
          <t>RE</t>
        </is>
      </c>
      <c r="B64" s="147" t="n">
        <v>943211</v>
      </c>
      <c r="C64" s="147" t="inlineStr">
        <is>
          <t>BELRISE</t>
        </is>
      </c>
      <c r="D64" s="153" t="inlineStr">
        <is>
          <t>CEW-1</t>
        </is>
      </c>
      <c r="E64" s="147" t="inlineStr">
        <is>
          <t>FIN CUT</t>
        </is>
      </c>
      <c r="F64" s="147" t="inlineStr">
        <is>
          <t>CEW</t>
        </is>
      </c>
      <c r="G64" s="168" t="n">
        <v>50.8</v>
      </c>
      <c r="H64" s="168" t="n">
        <v>45.6</v>
      </c>
      <c r="I64" s="168" t="n">
        <v>2.6</v>
      </c>
      <c r="J64" s="169" t="n">
        <v>6000</v>
      </c>
      <c r="K64" s="147" t="n">
        <v>6</v>
      </c>
      <c r="L64" s="147">
        <f>_xlfn.CONCAT(G64,I64,K64,F64,E64)</f>
        <v/>
      </c>
      <c r="M64" s="147" t="inlineStr">
        <is>
          <t>50.8-0-2.6-CEW-FC</t>
        </is>
      </c>
      <c r="N64" s="147" t="inlineStr">
        <is>
          <t>50.8-0-2.6-CEW-FC-6</t>
        </is>
      </c>
      <c r="O64" s="149">
        <f>VLOOKUP(L64,aug[[#All],[Key]:[TSL Material Code]],7,0)</f>
        <v/>
      </c>
      <c r="P64" s="149">
        <f>VLOOKUP(L64,aug[[#All],[Key]:[TSL Material Code]],8,0)</f>
        <v/>
      </c>
      <c r="Q64" s="19" t="n">
        <v>5</v>
      </c>
      <c r="R64" s="147" t="n">
        <v>0</v>
      </c>
      <c r="S64" s="147" t="n">
        <v>4</v>
      </c>
      <c r="T64" s="147" t="n"/>
      <c r="U64" s="147">
        <f>S64-R64</f>
        <v/>
      </c>
      <c r="V64" s="147" t="n">
        <v>5</v>
      </c>
      <c r="W64" s="147" t="n">
        <v>0</v>
      </c>
      <c r="X64" s="19" t="n">
        <v>5</v>
      </c>
      <c r="Y64" s="167">
        <f>IF(X64&gt;0,X64,0)*150%</f>
        <v/>
      </c>
      <c r="Z64" s="19">
        <f>SUMIFS(meghsteelsales_previousmonth[Quantity],meghsteelsales_previousmonth[Length Bucket],Table5[[#This Row],[Bucket CTL]])/1000</f>
        <v/>
      </c>
      <c r="AA64" s="419">
        <f>SUMIFS(meghsteelsales_currentmonth[Quantity],meghsteelsales_currentmonth[Length Bucket],Table5[[#This Row],[Bucket CTL]])/1000</f>
        <v/>
      </c>
      <c r="AB64">
        <f>Table5[[#This Row],[ INDENT  FOR SEP-25 recommended]]+Table5[[#This Row],[order logg ]]</f>
        <v/>
      </c>
      <c r="AC64" s="585">
        <f>Table5[[#This Row],[Before 20th]]+Table5[[#This Row],[after 20th]]</f>
        <v/>
      </c>
      <c r="AD64" s="585">
        <f>IF((Table5[[#This Row],[Total Indent]]-Table5[[#This Row],[Total Dispatched]])&lt;0,0,Table5[[#This Row],[Total Indent]]-Table5[[#This Row],[Total Dispatched]])</f>
        <v/>
      </c>
    </row>
    <row r="65" hidden="1" s="584">
      <c r="A65" s="265" t="inlineStr">
        <is>
          <t>TVS</t>
        </is>
      </c>
      <c r="B65" s="147" t="n">
        <v>943209</v>
      </c>
      <c r="C65" s="147" t="inlineStr">
        <is>
          <t>RUCHA,METALMAN</t>
        </is>
      </c>
      <c r="D65" s="153" t="inlineStr">
        <is>
          <t>ERW1</t>
        </is>
      </c>
      <c r="E65" s="147" t="inlineStr">
        <is>
          <t>FIN CUT</t>
        </is>
      </c>
      <c r="F65" s="147" t="inlineStr">
        <is>
          <t>ERW</t>
        </is>
      </c>
      <c r="G65" s="148" t="n">
        <v>57.15</v>
      </c>
      <c r="H65" s="148" t="n"/>
      <c r="I65" s="148" t="n">
        <v>2.5</v>
      </c>
      <c r="J65" s="147" t="n">
        <v>5710</v>
      </c>
      <c r="K65" s="147" t="n">
        <v>5.71</v>
      </c>
      <c r="L65" s="147">
        <f>_xlfn.CONCAT(G65,I65,K65,F65,E65)</f>
        <v/>
      </c>
      <c r="M65" s="147">
        <f>VLOOKUP(Table5[[#This Row],[Key]],aug[[#All],[Key]:[Bucket CTL]],2,0)</f>
        <v/>
      </c>
      <c r="N65" s="147">
        <f>VLOOKUP(Table5[[#This Row],[Key]],aug[[#All],[Key]:[Bucket CTL]],3,0)</f>
        <v/>
      </c>
      <c r="O65" s="149">
        <f>VLOOKUP(L65,aug[[#All],[Key]:[TSL Material Code]],7,0)</f>
        <v/>
      </c>
      <c r="P65" s="149">
        <f>VLOOKUP(L65,aug[[#All],[Key]:[TSL Material Code]],8,0)</f>
        <v/>
      </c>
      <c r="Q65" s="19" t="n">
        <v>80</v>
      </c>
      <c r="R65" s="147" t="n">
        <v>49</v>
      </c>
      <c r="S65" s="147" t="n">
        <v>49</v>
      </c>
      <c r="T65" s="147" t="n">
        <v>0</v>
      </c>
      <c r="U65" s="147">
        <f>S65-R65</f>
        <v/>
      </c>
      <c r="V65" s="147" t="n">
        <v>128</v>
      </c>
      <c r="W65" s="147">
        <f>U65+V65</f>
        <v/>
      </c>
      <c r="X65" s="19">
        <f>Q65-W65</f>
        <v/>
      </c>
      <c r="Y65" s="167">
        <f>IF(X65&gt;0,X65,0)*150%</f>
        <v/>
      </c>
      <c r="Z65" s="19">
        <f>SUMIFS(meghsteelsales_previousmonth[Quantity],meghsteelsales_previousmonth[Length Bucket],Table5[[#This Row],[Bucket CTL]])/1000</f>
        <v/>
      </c>
      <c r="AA65" s="419">
        <f>SUMIFS(meghsteelsales_currentmonth[Quantity],meghsteelsales_currentmonth[Length Bucket],Table5[[#This Row],[Bucket CTL]])/1000</f>
        <v/>
      </c>
      <c r="AB65">
        <f>Table5[[#This Row],[ INDENT  FOR SEP-25 recommended]]+Table5[[#This Row],[order logg ]]</f>
        <v/>
      </c>
      <c r="AC65" s="585">
        <f>Table5[[#This Row],[Before 20th]]+Table5[[#This Row],[after 20th]]</f>
        <v/>
      </c>
      <c r="AD65" s="585">
        <f>IF((Table5[[#This Row],[Total Indent]]-Table5[[#This Row],[Total Dispatched]])&lt;0,0,Table5[[#This Row],[Total Indent]]-Table5[[#This Row],[Total Dispatched]])</f>
        <v/>
      </c>
    </row>
    <row r="66" hidden="1" s="584">
      <c r="A66" s="265" t="inlineStr">
        <is>
          <t>TVS</t>
        </is>
      </c>
      <c r="B66" s="147" t="n">
        <v>943209</v>
      </c>
      <c r="C66" s="147" t="inlineStr">
        <is>
          <t>RUCHA,METALMAN</t>
        </is>
      </c>
      <c r="D66" s="153" t="inlineStr">
        <is>
          <t>ERW1</t>
        </is>
      </c>
      <c r="E66" s="147" t="inlineStr">
        <is>
          <t>FIN CUT</t>
        </is>
      </c>
      <c r="F66" s="147" t="inlineStr">
        <is>
          <t>ERW</t>
        </is>
      </c>
      <c r="G66" s="148" t="n">
        <v>57.15</v>
      </c>
      <c r="H66" s="148" t="n"/>
      <c r="I66" s="148" t="n">
        <v>2.5</v>
      </c>
      <c r="J66" s="147" t="n">
        <v>5750</v>
      </c>
      <c r="K66" s="147" t="n">
        <v>5.75</v>
      </c>
      <c r="L66" s="147">
        <f>_xlfn.CONCAT(G66,I66,K66,F66,E66)</f>
        <v/>
      </c>
      <c r="M66" s="147">
        <f>VLOOKUP(Table5[[#This Row],[Key]],aug[[#All],[Key]:[Bucket CTL]],2,0)</f>
        <v/>
      </c>
      <c r="N66" s="147">
        <f>VLOOKUP(Table5[[#This Row],[Key]],aug[[#All],[Key]:[Bucket CTL]],3,0)</f>
        <v/>
      </c>
      <c r="O66" s="158" t="inlineStr">
        <is>
          <t>056</t>
        </is>
      </c>
      <c r="P66" s="149" t="n">
        <v>3501047</v>
      </c>
      <c r="Q66" s="19" t="n">
        <v>20</v>
      </c>
      <c r="R66" s="147" t="n">
        <v>18</v>
      </c>
      <c r="S66" s="147" t="n">
        <v>18</v>
      </c>
      <c r="T66" s="147" t="n">
        <v>0</v>
      </c>
      <c r="U66" s="147">
        <f>S66-R66</f>
        <v/>
      </c>
      <c r="V66" s="147" t="n">
        <v>5</v>
      </c>
      <c r="W66" s="147">
        <f>U66+V66</f>
        <v/>
      </c>
      <c r="X66" s="19">
        <f>Q66-W66</f>
        <v/>
      </c>
      <c r="Y66" s="167">
        <f>IF(X66&gt;0,X66,0)*150%</f>
        <v/>
      </c>
      <c r="Z66" s="19">
        <f>SUMIFS(meghsteelsales_previousmonth[Quantity],meghsteelsales_previousmonth[Length Bucket],Table5[[#This Row],[Bucket CTL]])/1000</f>
        <v/>
      </c>
      <c r="AA66" s="419">
        <f>SUMIFS(meghsteelsales_currentmonth[Quantity],meghsteelsales_currentmonth[Length Bucket],Table5[[#This Row],[Bucket CTL]])/1000</f>
        <v/>
      </c>
      <c r="AB66">
        <f>Table5[[#This Row],[ INDENT  FOR SEP-25 recommended]]+Table5[[#This Row],[order logg ]]</f>
        <v/>
      </c>
      <c r="AC66" s="585">
        <f>Table5[[#This Row],[Before 20th]]+Table5[[#This Row],[after 20th]]</f>
        <v/>
      </c>
      <c r="AD66" s="585">
        <f>IF((Table5[[#This Row],[Total Indent]]-Table5[[#This Row],[Total Dispatched]])&lt;0,0,Table5[[#This Row],[Total Indent]]-Table5[[#This Row],[Total Dispatched]])</f>
        <v/>
      </c>
    </row>
    <row r="67" hidden="1" s="584">
      <c r="A67" s="265" t="inlineStr">
        <is>
          <t>TVS</t>
        </is>
      </c>
      <c r="B67" s="147" t="n">
        <v>943209</v>
      </c>
      <c r="C67" s="147" t="inlineStr">
        <is>
          <t>RUCHA,METALMAN</t>
        </is>
      </c>
      <c r="D67" s="153" t="inlineStr">
        <is>
          <t>ERW1</t>
        </is>
      </c>
      <c r="E67" s="147" t="inlineStr">
        <is>
          <t>FIN CUT</t>
        </is>
      </c>
      <c r="F67" s="147" t="inlineStr">
        <is>
          <t>ERW</t>
        </is>
      </c>
      <c r="G67" s="148" t="n">
        <v>57.15</v>
      </c>
      <c r="H67" s="148" t="n"/>
      <c r="I67" s="148" t="n">
        <v>2.5</v>
      </c>
      <c r="J67" s="147" t="n">
        <v>6100</v>
      </c>
      <c r="K67" s="147" t="n">
        <v>6.1</v>
      </c>
      <c r="L67" s="147">
        <f>_xlfn.CONCAT(G67,I67,K67,F67,E67)</f>
        <v/>
      </c>
      <c r="M67" s="147">
        <f>VLOOKUP(Table5[[#This Row],[Key]],aug[[#All],[Key]:[Bucket CTL]],2,0)</f>
        <v/>
      </c>
      <c r="N67" s="147">
        <f>VLOOKUP(Table5[[#This Row],[Key]],aug[[#All],[Key]:[Bucket CTL]],3,0)</f>
        <v/>
      </c>
      <c r="O67" s="149">
        <f>VLOOKUP(L67,aug[[#All],[Key]:[TSL Material Code]],7,0)</f>
        <v/>
      </c>
      <c r="P67" s="149">
        <f>VLOOKUP(L67,aug[[#All],[Key]:[TSL Material Code]],8,0)</f>
        <v/>
      </c>
      <c r="Q67" s="19" t="n">
        <v>80</v>
      </c>
      <c r="R67" s="147" t="n">
        <v>20</v>
      </c>
      <c r="S67" s="147" t="n">
        <v>26</v>
      </c>
      <c r="T67" s="147" t="n">
        <v>0</v>
      </c>
      <c r="U67" s="147">
        <f>S67-R67</f>
        <v/>
      </c>
      <c r="V67" s="147" t="n">
        <v>146</v>
      </c>
      <c r="W67" s="147">
        <f>U67+V67</f>
        <v/>
      </c>
      <c r="X67" s="19">
        <f>Q67-W67</f>
        <v/>
      </c>
      <c r="Y67" s="167">
        <f>IF(X67&gt;0,X67,0)*150%</f>
        <v/>
      </c>
      <c r="Z67" s="19">
        <f>SUMIFS(meghsteelsales_previousmonth[Quantity],meghsteelsales_previousmonth[Length Bucket],Table5[[#This Row],[Bucket CTL]])/1000</f>
        <v/>
      </c>
      <c r="AA67" s="419">
        <f>SUMIFS(meghsteelsales_currentmonth[Quantity],meghsteelsales_currentmonth[Length Bucket],Table5[[#This Row],[Bucket CTL]])/1000</f>
        <v/>
      </c>
      <c r="AB67">
        <f>Table5[[#This Row],[ INDENT  FOR SEP-25 recommended]]+Table5[[#This Row],[order logg ]]</f>
        <v/>
      </c>
      <c r="AC67" s="585">
        <f>Table5[[#This Row],[Before 20th]]+Table5[[#This Row],[after 20th]]</f>
        <v/>
      </c>
      <c r="AD67" s="585">
        <f>IF((Table5[[#This Row],[Total Indent]]-Table5[[#This Row],[Total Dispatched]])&lt;0,0,Table5[[#This Row],[Total Indent]]-Table5[[#This Row],[Total Dispatched]])</f>
        <v/>
      </c>
    </row>
    <row r="68" hidden="1" s="584">
      <c r="A68" s="265" t="inlineStr">
        <is>
          <t>HMSI</t>
        </is>
      </c>
      <c r="B68" s="147" t="n">
        <v>943210</v>
      </c>
      <c r="C68" s="147" t="inlineStr">
        <is>
          <t>BADVE</t>
        </is>
      </c>
      <c r="D68" s="153" t="inlineStr">
        <is>
          <t>ERW1</t>
        </is>
      </c>
      <c r="E68" s="147" t="inlineStr">
        <is>
          <t>FIN CUT</t>
        </is>
      </c>
      <c r="F68" s="147" t="inlineStr">
        <is>
          <t>ERW</t>
        </is>
      </c>
      <c r="G68" s="148" t="n">
        <v>57.15</v>
      </c>
      <c r="H68" s="148" t="n"/>
      <c r="I68" s="148" t="n">
        <v>3</v>
      </c>
      <c r="J68" s="147" t="n">
        <v>5650</v>
      </c>
      <c r="K68" s="147" t="n">
        <v>5.65</v>
      </c>
      <c r="L68" s="147">
        <f>_xlfn.CONCAT(G68,I68,K68,F68,E68)</f>
        <v/>
      </c>
      <c r="M68" s="147">
        <f>VLOOKUP(Table5[[#This Row],[Key]],aug[[#All],[Key]:[Bucket CTL]],2,0)</f>
        <v/>
      </c>
      <c r="N68" s="147">
        <f>VLOOKUP(Table5[[#This Row],[Key]],aug[[#All],[Key]:[Bucket CTL]],3,0)</f>
        <v/>
      </c>
      <c r="O68" s="149">
        <f>VLOOKUP(L68,aug[[#All],[Key]:[TSL Material Code]],7,0)</f>
        <v/>
      </c>
      <c r="P68" s="149">
        <f>VLOOKUP(L68,aug[[#All],[Key]:[TSL Material Code]],8,0)</f>
        <v/>
      </c>
      <c r="Q68" s="19" t="n">
        <v>10</v>
      </c>
      <c r="R68" s="147" t="n">
        <v>0</v>
      </c>
      <c r="S68" s="147" t="n">
        <v>0</v>
      </c>
      <c r="T68" s="147" t="n"/>
      <c r="U68" s="147">
        <f>S68-R68</f>
        <v/>
      </c>
      <c r="V68" s="147" t="n">
        <v>15</v>
      </c>
      <c r="W68" s="147">
        <f>U68+V68</f>
        <v/>
      </c>
      <c r="X68" s="19">
        <f>Q68-W68</f>
        <v/>
      </c>
      <c r="Y68" s="167">
        <f>IF(X68&gt;0,X68,0)*150%</f>
        <v/>
      </c>
      <c r="Z68" s="19">
        <f>SUMIFS(meghsteelsales_previousmonth[Quantity],meghsteelsales_previousmonth[Length Bucket],Table5[[#This Row],[Bucket CTL]])/1000</f>
        <v/>
      </c>
      <c r="AA68" s="419">
        <f>SUMIFS(meghsteelsales_currentmonth[Quantity],meghsteelsales_currentmonth[Length Bucket],Table5[[#This Row],[Bucket CTL]])/1000</f>
        <v/>
      </c>
      <c r="AB68">
        <f>Table5[[#This Row],[ INDENT  FOR SEP-25 recommended]]+Table5[[#This Row],[order logg ]]</f>
        <v/>
      </c>
      <c r="AC68" s="585">
        <f>Table5[[#This Row],[Before 20th]]+Table5[[#This Row],[after 20th]]</f>
        <v/>
      </c>
      <c r="AD68" s="585">
        <f>IF((Table5[[#This Row],[Total Indent]]-Table5[[#This Row],[Total Dispatched]])&lt;0,0,Table5[[#This Row],[Total Indent]]-Table5[[#This Row],[Total Dispatched]])</f>
        <v/>
      </c>
    </row>
    <row r="69" hidden="1" s="584">
      <c r="A69" s="389" t="inlineStr">
        <is>
          <t>TVS</t>
        </is>
      </c>
      <c r="B69" s="147" t="n">
        <v>943209</v>
      </c>
      <c r="C69" s="285" t="inlineStr">
        <is>
          <t>METALMAN</t>
        </is>
      </c>
      <c r="D69" s="390" t="inlineStr">
        <is>
          <t>ERW1</t>
        </is>
      </c>
      <c r="E69" s="285" t="inlineStr">
        <is>
          <t>FIN CUT</t>
        </is>
      </c>
      <c r="F69" s="285" t="inlineStr">
        <is>
          <t>ERW</t>
        </is>
      </c>
      <c r="G69" s="391" t="n">
        <v>60.3</v>
      </c>
      <c r="H69" s="391" t="n"/>
      <c r="I69" s="391" t="n">
        <v>2</v>
      </c>
      <c r="J69" s="285" t="n">
        <v>5900</v>
      </c>
      <c r="K69" s="285" t="n">
        <v>5.9</v>
      </c>
      <c r="L69" s="285">
        <f>_xlfn.CONCAT(G69,I69,K69,F69,E69)</f>
        <v/>
      </c>
      <c r="M69" s="147">
        <f>VLOOKUP(Table5[[#This Row],[Key]],aug[[#All],[Key]:[Bucket CTL]],2,0)</f>
        <v/>
      </c>
      <c r="N69" s="147">
        <f>VLOOKUP(Table5[[#This Row],[Key]],aug[[#All],[Key]:[Bucket CTL]],3,0)</f>
        <v/>
      </c>
      <c r="O69" s="421">
        <f>VLOOKUP(L69,aug[[#All],[Key]:[TSL Material Code]],7,0)</f>
        <v/>
      </c>
      <c r="P69" s="421">
        <f>VLOOKUP(L69,aug[[#All],[Key]:[TSL Material Code]],8,0)</f>
        <v/>
      </c>
      <c r="Q69" s="392" t="n">
        <v>30</v>
      </c>
      <c r="R69" s="285" t="n">
        <v>4</v>
      </c>
      <c r="S69" s="285" t="n">
        <v>25</v>
      </c>
      <c r="T69" s="285" t="n"/>
      <c r="U69" s="285">
        <f>S69-R69</f>
        <v/>
      </c>
      <c r="V69" s="285" t="n">
        <v>10.9</v>
      </c>
      <c r="W69" s="285">
        <f>U69+V69</f>
        <v/>
      </c>
      <c r="X69" s="392">
        <f>Q69-W69</f>
        <v/>
      </c>
      <c r="Y69" s="422">
        <f>IF(X69&gt;0,X69,0)*150%</f>
        <v/>
      </c>
      <c r="Z69" s="19">
        <f>SUMIFS(meghsteelsales_previousmonth[Quantity],meghsteelsales_previousmonth[Length Bucket],Table5[[#This Row],[Bucket CTL]])/1000</f>
        <v/>
      </c>
      <c r="AA69" s="419">
        <f>SUMIFS(meghsteelsales_currentmonth[Quantity],meghsteelsales_currentmonth[Length Bucket],Table5[[#This Row],[Bucket CTL]])/1000</f>
        <v/>
      </c>
      <c r="AB69">
        <f>Table5[[#This Row],[ INDENT  FOR SEP-25 recommended]]+Table5[[#This Row],[order logg ]]</f>
        <v/>
      </c>
      <c r="AC69" s="585">
        <f>Table5[[#This Row],[Before 20th]]+Table5[[#This Row],[after 20th]]</f>
        <v/>
      </c>
      <c r="AD69" s="585">
        <f>IF((Table5[[#This Row],[Total Indent]]-Table5[[#This Row],[Total Dispatched]])&lt;0,0,Table5[[#This Row],[Total Indent]]-Table5[[#This Row],[Total Dispatched]])</f>
        <v/>
      </c>
    </row>
    <row r="70">
      <c r="J70" s="152" t="inlineStr">
        <is>
          <t>TOTAL</t>
        </is>
      </c>
      <c r="K70" s="152" t="n"/>
      <c r="L70" s="152" t="n"/>
      <c r="M70" s="152" t="n"/>
      <c r="N70" s="197" t="n"/>
      <c r="O70" s="152">
        <f>SUM(Q2:Q69)</f>
        <v/>
      </c>
      <c r="P70" s="152">
        <f>SUM(R2:R69)</f>
        <v/>
      </c>
      <c r="Q70" s="152">
        <f>SUM(S2:S69)</f>
        <v/>
      </c>
      <c r="R70" s="152">
        <f>SUM(T2:T69)</f>
        <v/>
      </c>
      <c r="S70" s="152">
        <f>SUM(U2:U69)</f>
        <v/>
      </c>
      <c r="T70" s="152">
        <f>SUM(V2:V69)</f>
        <v/>
      </c>
      <c r="U70" s="152">
        <f>SUM(W2:W69)</f>
        <v/>
      </c>
      <c r="V70" s="152">
        <f>SUM(X2:X69)</f>
        <v/>
      </c>
      <c r="W70" s="172">
        <f>SUM(Y2:Y69)</f>
        <v/>
      </c>
      <c r="X70" s="15">
        <f>SUM(Z2:Z69)</f>
        <v/>
      </c>
      <c r="Y70" s="15">
        <f>SUM(AA2:AA69)</f>
        <v/>
      </c>
      <c r="Z70">
        <f>SUBTOTAL(9,Table5[Before 20th])</f>
        <v/>
      </c>
      <c r="AA70">
        <f>SUBTOTAL(9,Table5[after 20th])</f>
        <v/>
      </c>
      <c r="AB70">
        <f>SUBTOTAL(9,Table5[Total Indent])</f>
        <v/>
      </c>
      <c r="AC70">
        <f>SUBTOTAL(9,Table5[Total Dispatched])</f>
        <v/>
      </c>
      <c r="AD70">
        <f>SUBTOTAL(9,Table5[GAP])</f>
        <v/>
      </c>
    </row>
    <row r="71">
      <c r="N71" s="198" t="n"/>
      <c r="W71" s="173" t="n"/>
    </row>
    <row r="72">
      <c r="N72" s="198" t="n"/>
      <c r="W72" s="173" t="n"/>
    </row>
    <row r="73" ht="63.75" customHeight="1" s="584">
      <c r="A73" s="424" t="inlineStr">
        <is>
          <t>plant</t>
        </is>
      </c>
      <c r="B73" s="425" t="inlineStr">
        <is>
          <t>OEM</t>
        </is>
      </c>
      <c r="C73" s="269" t="inlineStr">
        <is>
          <t>Customer Code</t>
        </is>
      </c>
      <c r="D73" s="425" t="inlineStr">
        <is>
          <t>OD</t>
        </is>
      </c>
      <c r="E73" s="272" t="inlineStr">
        <is>
          <t>ID</t>
        </is>
      </c>
      <c r="F73" s="425" t="inlineStr">
        <is>
          <t>THK</t>
        </is>
      </c>
      <c r="G73" s="425" t="inlineStr">
        <is>
          <t>LENGTH</t>
        </is>
      </c>
      <c r="H73" s="425" t="inlineStr">
        <is>
          <t>Length in Mtrs</t>
        </is>
      </c>
      <c r="I73" s="425" t="inlineStr">
        <is>
          <t>TSL Material Code</t>
        </is>
      </c>
      <c r="J73" s="425" t="inlineStr">
        <is>
          <t xml:space="preserve"> INDENT  FOR SEP-25 recommended</t>
        </is>
      </c>
      <c r="K73" s="616" t="inlineStr">
        <is>
          <t>Metallurgy condition</t>
        </is>
      </c>
      <c r="L73" s="271" t="inlineStr">
        <is>
          <t>Material Type</t>
        </is>
      </c>
      <c r="M73" s="425" t="inlineStr">
        <is>
          <t>Material Description3</t>
        </is>
      </c>
      <c r="N73" s="425" t="inlineStr">
        <is>
          <t>Material Description32</t>
        </is>
      </c>
      <c r="O73" s="425" t="inlineStr">
        <is>
          <t>SO</t>
        </is>
      </c>
      <c r="P73" s="425" t="inlineStr">
        <is>
          <t>STATUS</t>
        </is>
      </c>
      <c r="W73" s="173" t="n"/>
    </row>
    <row r="74" ht="31.5" customHeight="1" s="584">
      <c r="A74" s="91" t="inlineStr">
        <is>
          <t>056</t>
        </is>
      </c>
      <c r="B74" s="15" t="inlineStr">
        <is>
          <t>TVS</t>
        </is>
      </c>
      <c r="C74" s="15" t="n">
        <v>943209</v>
      </c>
      <c r="D74" s="15" t="n">
        <v>19.05</v>
      </c>
      <c r="E74" s="15" t="n">
        <v>0</v>
      </c>
      <c r="F74" s="15" t="n">
        <v>2</v>
      </c>
      <c r="G74" s="15" t="n">
        <v>5800</v>
      </c>
      <c r="H74" s="15" t="n">
        <v>5.8</v>
      </c>
      <c r="I74" s="15" t="n">
        <v>3212868</v>
      </c>
      <c r="J74" s="15" t="n">
        <v>10</v>
      </c>
      <c r="K74" s="92" t="inlineStr">
        <is>
          <t>ERW1</t>
        </is>
      </c>
      <c r="L74" s="426" t="inlineStr">
        <is>
          <t>NON FIN</t>
        </is>
      </c>
      <c r="M74" s="426" t="inlineStr">
        <is>
          <t>TUB-O-N-AUT-AW-PE-19.05X2.000X5.8010</t>
        </is>
      </c>
      <c r="N74" s="450" t="inlineStr">
        <is>
          <t>TUB-O-N-AUT-AW-PE-19.05X2.000X5.8010</t>
        </is>
      </c>
      <c r="O74" s="451" t="n">
        <v>9519030855</v>
      </c>
      <c r="P74" s="450" t="inlineStr">
        <is>
          <t>CODE BLOCKED</t>
        </is>
      </c>
      <c r="W74" s="173" t="n"/>
    </row>
    <row r="75" ht="47.25" customHeight="1" s="584">
      <c r="A75" s="91" t="inlineStr">
        <is>
          <t>056</t>
        </is>
      </c>
      <c r="B75" s="15" t="inlineStr">
        <is>
          <t>TVS</t>
        </is>
      </c>
      <c r="C75" s="15" t="n">
        <v>943209</v>
      </c>
      <c r="D75" s="15" t="n">
        <v>19.05</v>
      </c>
      <c r="E75" s="15" t="n">
        <v>0</v>
      </c>
      <c r="F75" s="15" t="n">
        <v>2.3</v>
      </c>
      <c r="G75" s="15" t="n">
        <v>7000</v>
      </c>
      <c r="H75" s="15" t="n">
        <v>7</v>
      </c>
      <c r="I75" s="15" t="n">
        <v>3500582</v>
      </c>
      <c r="J75" s="15" t="n">
        <v>28.5</v>
      </c>
      <c r="K75" s="92" t="inlineStr">
        <is>
          <t>ERW1</t>
        </is>
      </c>
      <c r="L75" s="426" t="inlineStr">
        <is>
          <t>NON FIN</t>
        </is>
      </c>
      <c r="M75" s="15" t="inlineStr">
        <is>
          <t>TUB-O-N-AUT-AW-PE-19.05X2.300X7.00-ERW 1</t>
        </is>
      </c>
      <c r="N75" s="447" t="inlineStr">
        <is>
          <t>TUB-O-N-AUT-AW-PE-19.05X2.300X7.00-ERW 1</t>
        </is>
      </c>
      <c r="O75" s="448" t="n">
        <v>9519030855</v>
      </c>
      <c r="P75" s="447" t="inlineStr">
        <is>
          <t>ORDER LOAD RELEASED</t>
        </is>
      </c>
      <c r="W75" s="173" t="n"/>
    </row>
    <row r="76" ht="31.5" customHeight="1" s="584">
      <c r="A76" s="91" t="inlineStr">
        <is>
          <t>056</t>
        </is>
      </c>
      <c r="B76" s="15" t="inlineStr">
        <is>
          <t>TVS</t>
        </is>
      </c>
      <c r="C76" s="15" t="n">
        <v>943209</v>
      </c>
      <c r="D76" s="15" t="n">
        <v>22.2</v>
      </c>
      <c r="E76" s="15" t="n">
        <v>0</v>
      </c>
      <c r="F76" s="15" t="n">
        <v>1.6</v>
      </c>
      <c r="G76" s="15" t="n">
        <v>5670</v>
      </c>
      <c r="H76" s="15" t="n">
        <v>5.67</v>
      </c>
      <c r="I76" s="15" t="n">
        <v>4055022</v>
      </c>
      <c r="J76" s="15" t="n">
        <v>15</v>
      </c>
      <c r="K76" s="92" t="inlineStr">
        <is>
          <t>ERW1</t>
        </is>
      </c>
      <c r="L76" s="426" t="inlineStr">
        <is>
          <t>NON FIN</t>
        </is>
      </c>
      <c r="M76" s="15" t="inlineStr">
        <is>
          <t>TUB-O-N-AUT-AW-PE-22.23X1.600X5.6700</t>
        </is>
      </c>
      <c r="N76" s="447" t="inlineStr">
        <is>
          <t>TUB-O-N-AUT-AW-PE-22.23X1.600X5.6700</t>
        </is>
      </c>
      <c r="O76" s="448" t="n">
        <v>9519031914</v>
      </c>
      <c r="P76" s="447" t="inlineStr">
        <is>
          <t>CODE BLOCKED</t>
        </is>
      </c>
      <c r="W76" s="173" t="n"/>
    </row>
    <row r="77" ht="47.25" customHeight="1" s="584">
      <c r="A77" s="91" t="inlineStr">
        <is>
          <t>056</t>
        </is>
      </c>
      <c r="B77" s="15" t="inlineStr">
        <is>
          <t>TVS</t>
        </is>
      </c>
      <c r="C77" s="15" t="n">
        <v>943209</v>
      </c>
      <c r="D77" s="15" t="n">
        <v>25.4</v>
      </c>
      <c r="E77" s="15" t="n">
        <v>0</v>
      </c>
      <c r="F77" s="15" t="n">
        <v>1.6</v>
      </c>
      <c r="G77" s="15" t="n">
        <v>6000</v>
      </c>
      <c r="H77" s="15" t="n">
        <v>6</v>
      </c>
      <c r="I77" s="15" t="n">
        <v>3500097</v>
      </c>
      <c r="J77" s="15" t="n">
        <v>15</v>
      </c>
      <c r="K77" s="92" t="inlineStr">
        <is>
          <t>ERW1</t>
        </is>
      </c>
      <c r="L77" s="426" t="inlineStr">
        <is>
          <t>NON FIN</t>
        </is>
      </c>
      <c r="M77" s="15" t="inlineStr">
        <is>
          <t>TUB-O-N-AUT-AW-PE-25.40X1.60X6.000-ERW 1</t>
        </is>
      </c>
      <c r="N77" s="447" t="inlineStr">
        <is>
          <t>TUB-O-N-AUT-AW-PE-25.40X1.60X6.000-ERW 1</t>
        </is>
      </c>
      <c r="O77" s="448" t="n">
        <v>9519031891</v>
      </c>
      <c r="P77" s="447" t="inlineStr">
        <is>
          <t>ORDER LOAD RELEASED</t>
        </is>
      </c>
      <c r="W77" s="173" t="n"/>
    </row>
    <row r="78" ht="31.5" customHeight="1" s="584">
      <c r="A78" s="91" t="inlineStr">
        <is>
          <t>056</t>
        </is>
      </c>
      <c r="B78" s="15" t="inlineStr">
        <is>
          <t>TVS</t>
        </is>
      </c>
      <c r="C78" s="15" t="n">
        <v>943209</v>
      </c>
      <c r="D78" s="15" t="n">
        <v>25.4</v>
      </c>
      <c r="E78" s="15" t="n">
        <v>0</v>
      </c>
      <c r="F78" s="15" t="n">
        <v>2</v>
      </c>
      <c r="G78" s="15" t="n">
        <v>5840</v>
      </c>
      <c r="H78" s="15" t="n">
        <v>5.82</v>
      </c>
      <c r="I78" s="15" t="n">
        <v>3240023</v>
      </c>
      <c r="J78" s="15" t="n">
        <v>10</v>
      </c>
      <c r="K78" s="92" t="inlineStr">
        <is>
          <t>ERW1</t>
        </is>
      </c>
      <c r="L78" s="426" t="inlineStr">
        <is>
          <t>NON FIN</t>
        </is>
      </c>
      <c r="M78" s="15" t="inlineStr">
        <is>
          <t>TUB-O-N-AUT-AW-PE-25.40X2.000X5.8500</t>
        </is>
      </c>
      <c r="N78" s="447" t="inlineStr">
        <is>
          <t>TUB-O-N-AUT-AW-PE-25.40X2.000X5.8500</t>
        </is>
      </c>
      <c r="O78" s="448" t="n">
        <v>9519030855</v>
      </c>
      <c r="P78" s="447" t="inlineStr">
        <is>
          <t>ORDER LOAD RELEASED</t>
        </is>
      </c>
      <c r="W78" s="173" t="n"/>
    </row>
    <row r="79" ht="47.25" customHeight="1" s="584">
      <c r="A79" s="91" t="inlineStr">
        <is>
          <t>056</t>
        </is>
      </c>
      <c r="B79" s="15" t="inlineStr">
        <is>
          <t>TVS</t>
        </is>
      </c>
      <c r="C79" s="15" t="n">
        <v>943209</v>
      </c>
      <c r="D79" s="15" t="n">
        <v>38.1</v>
      </c>
      <c r="E79" s="15" t="n">
        <v>0</v>
      </c>
      <c r="F79" s="15" t="n">
        <v>2.5</v>
      </c>
      <c r="G79" s="15" t="n">
        <v>6190</v>
      </c>
      <c r="H79" s="15" t="n">
        <v>6.19</v>
      </c>
      <c r="I79" s="15" t="n">
        <v>3502007</v>
      </c>
      <c r="J79" s="15" t="n">
        <v>82.5</v>
      </c>
      <c r="K79" s="92" t="inlineStr">
        <is>
          <t>ERW2</t>
        </is>
      </c>
      <c r="L79" s="426" t="inlineStr">
        <is>
          <t>FIN CUT</t>
        </is>
      </c>
      <c r="M79" s="15" t="inlineStr">
        <is>
          <t>TUB-O-N-AUT-AH-FC-38.10X2.500X6.1900 HST</t>
        </is>
      </c>
      <c r="N79" s="447" t="inlineStr">
        <is>
          <t>TUB-O-N-AUT-AH-FC-38.10X2.500X6.1900 HST</t>
        </is>
      </c>
      <c r="O79" s="448" t="n">
        <v>9519030855</v>
      </c>
      <c r="P79" s="447" t="inlineStr">
        <is>
          <t>ORDER LOAD RELEASED</t>
        </is>
      </c>
      <c r="W79" s="173" t="n"/>
    </row>
    <row r="80" ht="47.25" customHeight="1" s="584">
      <c r="A80" s="91" t="inlineStr">
        <is>
          <t>056</t>
        </is>
      </c>
      <c r="B80" s="15" t="inlineStr">
        <is>
          <t>TVS</t>
        </is>
      </c>
      <c r="C80" s="15" t="n">
        <v>943209</v>
      </c>
      <c r="D80" s="15" t="n">
        <v>57.15</v>
      </c>
      <c r="E80" s="15" t="n">
        <v>0</v>
      </c>
      <c r="F80" s="15" t="n">
        <v>2.5</v>
      </c>
      <c r="G80" s="15" t="n">
        <v>5750</v>
      </c>
      <c r="H80" s="15" t="n">
        <v>5.75</v>
      </c>
      <c r="I80" s="15" t="n">
        <v>3501047</v>
      </c>
      <c r="J80" s="15" t="n">
        <v>22.5</v>
      </c>
      <c r="K80" s="92" t="inlineStr">
        <is>
          <t>ERW1</t>
        </is>
      </c>
      <c r="L80" s="426" t="inlineStr">
        <is>
          <t>FIN CUT</t>
        </is>
      </c>
      <c r="M80" s="15" t="inlineStr">
        <is>
          <t>TUB-O-N-AUT-AW-FC-57.15X2.50X5.750-ERW 1</t>
        </is>
      </c>
      <c r="N80" s="447" t="inlineStr">
        <is>
          <t>TUB-O-N-AUT-AW-FC-57.15X2.50X5.750-ERW 1</t>
        </is>
      </c>
      <c r="O80" s="448" t="n">
        <v>9519030855</v>
      </c>
      <c r="P80" s="447" t="inlineStr">
        <is>
          <t>ORDER LOAD RELEASED</t>
        </is>
      </c>
      <c r="W80" s="173" t="n"/>
    </row>
    <row r="81" ht="47.25" customHeight="1" s="584">
      <c r="A81" s="91" t="inlineStr">
        <is>
          <t>056</t>
        </is>
      </c>
      <c r="B81" s="15" t="inlineStr">
        <is>
          <t>RE</t>
        </is>
      </c>
      <c r="C81" s="15" t="n">
        <v>943211</v>
      </c>
      <c r="D81" s="15" t="n">
        <v>50.8</v>
      </c>
      <c r="E81" s="15" t="n">
        <v>0</v>
      </c>
      <c r="F81" s="15" t="n">
        <v>2.6</v>
      </c>
      <c r="G81" s="15" t="n">
        <v>6000</v>
      </c>
      <c r="H81" s="15" t="n">
        <v>6</v>
      </c>
      <c r="I81" s="15" t="n">
        <v>3518437</v>
      </c>
      <c r="J81" s="15" t="n">
        <v>7.5</v>
      </c>
      <c r="K81" s="92" t="inlineStr">
        <is>
          <t>ERW1</t>
        </is>
      </c>
      <c r="L81" s="426" t="inlineStr">
        <is>
          <t>FIN CUT</t>
        </is>
      </c>
      <c r="M81" s="15" t="inlineStr">
        <is>
          <t>TUB-O-N-AUT-AW-FC-50.80X2.600X6.00-ERW 1</t>
        </is>
      </c>
      <c r="N81" s="447" t="inlineStr">
        <is>
          <t>TUB-O-N-AUT-AW-FC-50.80X2.600X6.00-ERW 1</t>
        </is>
      </c>
      <c r="O81" s="448" t="n">
        <v>9519031095</v>
      </c>
      <c r="P81" s="447" t="inlineStr">
        <is>
          <t>ORDER LOAD RELEASED</t>
        </is>
      </c>
      <c r="U81" t="n">
        <v>56</v>
      </c>
      <c r="W81" s="173" t="n"/>
    </row>
    <row r="82" ht="47.25" customHeight="1" s="584">
      <c r="A82" s="91" t="inlineStr">
        <is>
          <t>056</t>
        </is>
      </c>
      <c r="B82" s="15" t="inlineStr">
        <is>
          <t>RE</t>
        </is>
      </c>
      <c r="C82" s="15" t="n">
        <v>943211</v>
      </c>
      <c r="D82" s="15" t="n">
        <v>50.8</v>
      </c>
      <c r="E82" s="15" t="n">
        <v>45.6</v>
      </c>
      <c r="F82" s="15" t="n">
        <v>2.6</v>
      </c>
      <c r="G82" s="15" t="n">
        <v>6000</v>
      </c>
      <c r="H82" s="15" t="n">
        <v>6</v>
      </c>
      <c r="I82" s="15" t="n">
        <v>3500695</v>
      </c>
      <c r="J82" s="15" t="n">
        <v>7.5</v>
      </c>
      <c r="K82" s="92" t="inlineStr">
        <is>
          <t>CEW-1</t>
        </is>
      </c>
      <c r="L82" s="426" t="inlineStr">
        <is>
          <t>FIN CUT</t>
        </is>
      </c>
      <c r="M82" s="15" t="inlineStr">
        <is>
          <t>TUB-O-C-AUT-AD-FC-50.8X2.6X6.0-BSVI-CEW1</t>
        </is>
      </c>
      <c r="N82" s="447" t="inlineStr">
        <is>
          <t>TUB-O-C-AUT-AD-FC-50.8X2.6X6.0-BSVI-CEW1</t>
        </is>
      </c>
      <c r="O82" s="448" t="n">
        <v>9519031095</v>
      </c>
      <c r="P82" s="447" t="inlineStr">
        <is>
          <t>ORDER LOAD RELEASED</t>
        </is>
      </c>
      <c r="W82" s="173" t="n"/>
    </row>
    <row r="83" ht="47.25" customHeight="1" s="584">
      <c r="A83" s="91" t="inlineStr">
        <is>
          <t>056</t>
        </is>
      </c>
      <c r="B83" s="15" t="inlineStr">
        <is>
          <t>HMSI</t>
        </is>
      </c>
      <c r="C83" s="15" t="n">
        <v>943210</v>
      </c>
      <c r="D83" s="15" t="n">
        <v>25.4</v>
      </c>
      <c r="E83" s="15" t="n">
        <v>0</v>
      </c>
      <c r="F83" s="15" t="n">
        <v>1.4</v>
      </c>
      <c r="G83" s="15" t="n">
        <v>5531</v>
      </c>
      <c r="H83" s="15" t="n">
        <v>5.531</v>
      </c>
      <c r="I83" s="15" t="n">
        <v>3501900</v>
      </c>
      <c r="J83" s="15" t="n">
        <v>10</v>
      </c>
      <c r="K83" s="92" t="inlineStr">
        <is>
          <t>ERW2</t>
        </is>
      </c>
      <c r="L83" s="426" t="inlineStr">
        <is>
          <t>FIN CUT</t>
        </is>
      </c>
      <c r="M83" s="15" t="inlineStr">
        <is>
          <t>TUB-O-N-AUT-AW-FC-25.40X1.400X5.531 HST</t>
        </is>
      </c>
      <c r="N83" s="447" t="inlineStr">
        <is>
          <t>TUB-O-N-AUT-AW-FC-25.40X1.400X5.531 HST</t>
        </is>
      </c>
      <c r="O83" s="448" t="n">
        <v>9519031013</v>
      </c>
      <c r="P83" s="447" t="inlineStr">
        <is>
          <t>ORDER LOAD RELEASED</t>
        </is>
      </c>
      <c r="W83" s="173" t="n"/>
    </row>
    <row r="84" ht="31.5" customHeight="1" s="584">
      <c r="A84" s="91" t="inlineStr">
        <is>
          <t>056</t>
        </is>
      </c>
      <c r="B84" s="15" t="inlineStr">
        <is>
          <t>HMSI</t>
        </is>
      </c>
      <c r="C84" s="15" t="n">
        <v>943210</v>
      </c>
      <c r="D84" s="15" t="n">
        <v>45</v>
      </c>
      <c r="E84" s="15" t="n">
        <v>0</v>
      </c>
      <c r="F84" s="15" t="n">
        <v>1.4</v>
      </c>
      <c r="G84" s="15" t="n">
        <v>5700</v>
      </c>
      <c r="H84" s="15" t="n">
        <v>5.7</v>
      </c>
      <c r="I84" s="15" t="n">
        <v>3545558</v>
      </c>
      <c r="J84" s="15" t="n">
        <v>15</v>
      </c>
      <c r="K84" s="92" t="inlineStr">
        <is>
          <t>ERW1</t>
        </is>
      </c>
      <c r="L84" s="426" t="inlineStr">
        <is>
          <t>FIN CUT</t>
        </is>
      </c>
      <c r="M84" s="15" t="inlineStr">
        <is>
          <t>TUB-O-N-AUT-AW-FC-45.00X1.400X5.7000</t>
        </is>
      </c>
      <c r="N84" s="447" t="inlineStr">
        <is>
          <t>TUB-O-N-AUT-AW-FC-45.00X1.400X5.7000</t>
        </is>
      </c>
      <c r="O84" s="448" t="n">
        <v>9519031013</v>
      </c>
      <c r="P84" s="447" t="inlineStr">
        <is>
          <t>ORDER LOAD RELEASED</t>
        </is>
      </c>
      <c r="W84" s="173" t="n"/>
    </row>
    <row r="85" ht="47.25" customHeight="1" s="584">
      <c r="A85" s="91" t="inlineStr">
        <is>
          <t>056</t>
        </is>
      </c>
      <c r="B85" s="15" t="inlineStr">
        <is>
          <t>HMSI</t>
        </is>
      </c>
      <c r="C85" s="15" t="n">
        <v>943210</v>
      </c>
      <c r="D85" s="15" t="n">
        <v>48.6</v>
      </c>
      <c r="E85" s="15" t="n">
        <v>0</v>
      </c>
      <c r="F85" s="15" t="n">
        <v>2.3</v>
      </c>
      <c r="G85" s="15" t="n">
        <v>6270</v>
      </c>
      <c r="H85" s="15" t="n">
        <v>6.27</v>
      </c>
      <c r="I85" s="15" t="n">
        <v>3549720</v>
      </c>
      <c r="J85" s="15" t="n">
        <v>10</v>
      </c>
      <c r="K85" s="92" t="inlineStr">
        <is>
          <t>ERW2</t>
        </is>
      </c>
      <c r="L85" s="426" t="inlineStr">
        <is>
          <t>FIN CUT</t>
        </is>
      </c>
      <c r="M85" s="15" t="inlineStr">
        <is>
          <t>TUB-O-N-AUT-AW-FC-48.60X2.300X6.270 HST</t>
        </is>
      </c>
      <c r="N85" s="447" t="inlineStr">
        <is>
          <t>TUB-O-N-AUT-AW-FC-48.60X2.300X6.270 HST</t>
        </is>
      </c>
      <c r="O85" s="448" t="n">
        <v>9519031013</v>
      </c>
      <c r="P85" s="447" t="inlineStr">
        <is>
          <t>ORDER LOAD RELEASED</t>
        </is>
      </c>
      <c r="W85" s="173" t="n"/>
    </row>
    <row r="86" ht="31.5" customHeight="1" s="584">
      <c r="A86" s="91" t="inlineStr">
        <is>
          <t>0788</t>
        </is>
      </c>
      <c r="B86" s="15" t="inlineStr">
        <is>
          <t>RE</t>
        </is>
      </c>
      <c r="C86" s="15" t="n">
        <v>943211</v>
      </c>
      <c r="D86" s="15" t="n">
        <v>47.63</v>
      </c>
      <c r="E86" s="15" t="n">
        <v>0</v>
      </c>
      <c r="F86" s="15" t="n">
        <v>4</v>
      </c>
      <c r="G86" s="15" t="n">
        <v>6040</v>
      </c>
      <c r="H86" s="15" t="n">
        <v>6.04</v>
      </c>
      <c r="I86" s="15" t="n">
        <v>3500635</v>
      </c>
      <c r="J86" s="15" t="n">
        <v>15</v>
      </c>
      <c r="K86" s="92" t="inlineStr">
        <is>
          <t>CEW-1</t>
        </is>
      </c>
      <c r="L86" s="426" t="inlineStr">
        <is>
          <t>FIN CUT</t>
        </is>
      </c>
      <c r="M86" s="15" t="inlineStr">
        <is>
          <t>TUB-O-C-AUT-BH-FC-47.63X4.000X6.0000</t>
        </is>
      </c>
      <c r="N86" s="447" t="inlineStr">
        <is>
          <t>TUB-O-C-AUT-BH-FC-47.63X4.000X6.0000</t>
        </is>
      </c>
      <c r="O86" s="448" t="n">
        <v>9519031108</v>
      </c>
      <c r="P86" s="447" t="inlineStr">
        <is>
          <t>ORDER CANCEL</t>
        </is>
      </c>
      <c r="W86" s="173" t="n"/>
    </row>
    <row r="87" ht="31.5" customHeight="1" s="584">
      <c r="A87" s="91" t="inlineStr">
        <is>
          <t>0789</t>
        </is>
      </c>
      <c r="B87" s="15" t="inlineStr">
        <is>
          <t>TVS</t>
        </is>
      </c>
      <c r="C87" s="15" t="n">
        <v>943209</v>
      </c>
      <c r="D87" s="15" t="n">
        <v>12.7</v>
      </c>
      <c r="E87" s="15" t="n">
        <v>0</v>
      </c>
      <c r="F87" s="15" t="n">
        <v>1.2</v>
      </c>
      <c r="G87" s="15" t="n">
        <v>6000</v>
      </c>
      <c r="H87" s="15" t="n">
        <v>6</v>
      </c>
      <c r="I87" s="15" t="n">
        <v>1939985</v>
      </c>
      <c r="J87" s="15" t="n">
        <v>24</v>
      </c>
      <c r="K87" s="92" t="inlineStr">
        <is>
          <t>ERW1</t>
        </is>
      </c>
      <c r="L87" s="426" t="inlineStr">
        <is>
          <t>NON FIN</t>
        </is>
      </c>
      <c r="M87" s="15" t="inlineStr">
        <is>
          <t>TUB-O-O-AUT-AW-PE-12.70X1.200X6.0000</t>
        </is>
      </c>
      <c r="N87" s="447" t="inlineStr">
        <is>
          <t>TUB-O-O-AUT-AW-PE-12.70X1.200X6.0000</t>
        </is>
      </c>
      <c r="O87" s="448" t="n">
        <v>9519030964</v>
      </c>
      <c r="P87" s="447" t="inlineStr">
        <is>
          <t>ORDER LOAD RELEASED</t>
        </is>
      </c>
      <c r="W87" s="173" t="n"/>
    </row>
    <row r="88" ht="31.5" customHeight="1" s="584">
      <c r="A88" s="91" t="inlineStr">
        <is>
          <t>0789</t>
        </is>
      </c>
      <c r="B88" s="15" t="inlineStr">
        <is>
          <t>TVS</t>
        </is>
      </c>
      <c r="C88" s="15" t="n">
        <v>943209</v>
      </c>
      <c r="D88" s="15" t="n">
        <v>12.7</v>
      </c>
      <c r="E88" s="15" t="n">
        <v>0</v>
      </c>
      <c r="F88" s="15" t="n">
        <v>2</v>
      </c>
      <c r="G88" s="15" t="n">
        <v>6000</v>
      </c>
      <c r="H88" s="15" t="n">
        <v>6</v>
      </c>
      <c r="I88" s="15" t="n">
        <v>236166</v>
      </c>
      <c r="J88" s="15" t="n">
        <v>10</v>
      </c>
      <c r="K88" s="92" t="inlineStr">
        <is>
          <t>ERW1</t>
        </is>
      </c>
      <c r="L88" s="426" t="inlineStr">
        <is>
          <t>NON FIN</t>
        </is>
      </c>
      <c r="M88" s="15" t="inlineStr">
        <is>
          <t>TUB-O-N-AUT-AW-PE-12.70X2.000X6.000</t>
        </is>
      </c>
      <c r="N88" s="447" t="inlineStr">
        <is>
          <t>TUB-O-N-AUT-AW-PE-12.70X2.000X6.000</t>
        </is>
      </c>
      <c r="O88" s="448" t="n"/>
      <c r="P88" s="447" t="inlineStr">
        <is>
          <t>NOT PLACE ORDER</t>
        </is>
      </c>
      <c r="W88" s="173" t="n"/>
    </row>
    <row r="89" ht="31.5" customHeight="1" s="584">
      <c r="A89" s="91" t="inlineStr">
        <is>
          <t>0789</t>
        </is>
      </c>
      <c r="B89" s="15" t="inlineStr">
        <is>
          <t>TVS</t>
        </is>
      </c>
      <c r="C89" s="15" t="n">
        <v>943209</v>
      </c>
      <c r="D89" s="15" t="n">
        <v>15.88</v>
      </c>
      <c r="E89" s="15" t="n">
        <v>0</v>
      </c>
      <c r="F89" s="15" t="n">
        <v>1.2</v>
      </c>
      <c r="G89" s="15" t="n">
        <v>6000</v>
      </c>
      <c r="H89" s="15" t="n">
        <v>6</v>
      </c>
      <c r="I89" s="15" t="n">
        <v>1940054</v>
      </c>
      <c r="J89" s="15" t="n">
        <v>12</v>
      </c>
      <c r="K89" s="92" t="inlineStr">
        <is>
          <t>ERW1</t>
        </is>
      </c>
      <c r="L89" s="426" t="inlineStr">
        <is>
          <t>NON FIN</t>
        </is>
      </c>
      <c r="M89" s="15" t="inlineStr">
        <is>
          <t>TUB-O-O-AUT-AW-PE-15.88X1.200X6.0000</t>
        </is>
      </c>
      <c r="N89" s="447" t="inlineStr">
        <is>
          <t>TUB-O-O-AUT-AW-PE-15.88X1.200X6.0000</t>
        </is>
      </c>
      <c r="O89" s="448" t="n">
        <v>9519030964</v>
      </c>
      <c r="P89" s="447" t="inlineStr">
        <is>
          <t>ORDER LOAD RELEASED</t>
        </is>
      </c>
      <c r="W89" s="173" t="n"/>
    </row>
    <row r="90" ht="31.5" customHeight="1" s="584">
      <c r="A90" s="91" t="inlineStr">
        <is>
          <t>0789</t>
        </is>
      </c>
      <c r="B90" s="15" t="inlineStr">
        <is>
          <t>TVS</t>
        </is>
      </c>
      <c r="C90" s="15" t="n">
        <v>943209</v>
      </c>
      <c r="D90" s="15" t="n">
        <v>18.3</v>
      </c>
      <c r="E90" s="15" t="n">
        <v>0</v>
      </c>
      <c r="F90" s="15" t="n">
        <v>1</v>
      </c>
      <c r="G90" s="15" t="n">
        <v>6000</v>
      </c>
      <c r="H90" s="15" t="n">
        <v>6</v>
      </c>
      <c r="I90" s="15" t="n">
        <v>2288945</v>
      </c>
      <c r="J90" s="15" t="n">
        <v>15</v>
      </c>
      <c r="K90" s="92" t="inlineStr">
        <is>
          <t>ERW1</t>
        </is>
      </c>
      <c r="L90" s="426" t="inlineStr">
        <is>
          <t>NON FIN</t>
        </is>
      </c>
      <c r="M90" s="15" t="inlineStr">
        <is>
          <t>TUB-O-N-AUT-AW-PE-18.20X1.000X6.1450</t>
        </is>
      </c>
      <c r="N90" s="447" t="inlineStr">
        <is>
          <t>TUB-O-N-AUT-AW-PE-18.20X1.000X6.1450</t>
        </is>
      </c>
      <c r="O90" s="448" t="n">
        <v>9519030964</v>
      </c>
      <c r="P90" s="447" t="inlineStr">
        <is>
          <t>ORDER LOAD RELEASED</t>
        </is>
      </c>
      <c r="W90" s="173" t="n"/>
    </row>
    <row r="91" ht="31.5" customHeight="1" s="584">
      <c r="A91" s="91" t="inlineStr">
        <is>
          <t>0789</t>
        </is>
      </c>
      <c r="B91" s="15" t="inlineStr">
        <is>
          <t>TVS</t>
        </is>
      </c>
      <c r="C91" s="15" t="n">
        <v>943209</v>
      </c>
      <c r="D91" s="15" t="n">
        <v>21.4</v>
      </c>
      <c r="E91" s="15" t="n">
        <v>0</v>
      </c>
      <c r="F91" s="15" t="n">
        <v>1.6</v>
      </c>
      <c r="G91" s="15" t="n">
        <v>6000</v>
      </c>
      <c r="H91" s="15" t="n">
        <v>6</v>
      </c>
      <c r="I91" s="15" t="n">
        <v>3219710</v>
      </c>
      <c r="J91" s="15" t="n">
        <v>10</v>
      </c>
      <c r="K91" s="92" t="inlineStr">
        <is>
          <t>ERW1</t>
        </is>
      </c>
      <c r="L91" s="426" t="inlineStr">
        <is>
          <t>NON FIN</t>
        </is>
      </c>
      <c r="M91" s="15" t="inlineStr">
        <is>
          <t>TUB-O-N-AUT-AW-PE-21.40X1.600X6.0000</t>
        </is>
      </c>
      <c r="N91" s="447" t="inlineStr">
        <is>
          <t>TUB-O-N-AUT-AW-PE-21.40X1.600X6.0000</t>
        </is>
      </c>
      <c r="O91" s="448" t="n">
        <v>9519030964</v>
      </c>
      <c r="P91" s="447" t="inlineStr">
        <is>
          <t>ORDER LOAD RELEASED</t>
        </is>
      </c>
      <c r="W91" s="173" t="n"/>
    </row>
    <row r="92" ht="31.5" customHeight="1" s="584">
      <c r="A92" s="91" t="inlineStr">
        <is>
          <t>0789</t>
        </is>
      </c>
      <c r="B92" s="15" t="inlineStr">
        <is>
          <t>TVS</t>
        </is>
      </c>
      <c r="C92" s="15" t="n">
        <v>943209</v>
      </c>
      <c r="D92" s="15" t="n">
        <v>22.2</v>
      </c>
      <c r="E92" s="15" t="n">
        <v>0</v>
      </c>
      <c r="F92" s="15" t="n">
        <v>1.6</v>
      </c>
      <c r="G92" s="15" t="n">
        <v>5270</v>
      </c>
      <c r="H92" s="15" t="n">
        <v>5.27</v>
      </c>
      <c r="I92" s="15" t="n">
        <v>3575894</v>
      </c>
      <c r="J92" s="15" t="n">
        <v>40</v>
      </c>
      <c r="K92" s="92" t="inlineStr">
        <is>
          <t>ERW1</t>
        </is>
      </c>
      <c r="L92" s="426" t="inlineStr">
        <is>
          <t>NON FIN</t>
        </is>
      </c>
      <c r="M92" s="15" t="inlineStr">
        <is>
          <t>TUB-O-N-AUT-AW-PE-22.23X1.600X5.2700</t>
        </is>
      </c>
      <c r="N92" s="447" t="inlineStr">
        <is>
          <t>TUB-O-N-AUT-AW-PE-22.23X1.600X5.2700</t>
        </is>
      </c>
      <c r="O92" s="448" t="n">
        <v>9519030964</v>
      </c>
      <c r="P92" s="447" t="inlineStr">
        <is>
          <t>ORDER LOAD RELEASED</t>
        </is>
      </c>
      <c r="W92" s="173" t="n"/>
    </row>
    <row r="93" ht="31.5" customHeight="1" s="584">
      <c r="A93" s="91" t="inlineStr">
        <is>
          <t>0789</t>
        </is>
      </c>
      <c r="B93" s="15" t="inlineStr">
        <is>
          <t>TVS</t>
        </is>
      </c>
      <c r="C93" s="15" t="n">
        <v>943209</v>
      </c>
      <c r="D93" s="15" t="n">
        <v>25.4</v>
      </c>
      <c r="E93" s="15" t="n">
        <v>0</v>
      </c>
      <c r="F93" s="15" t="n">
        <v>2</v>
      </c>
      <c r="G93" s="15" t="n">
        <v>6050</v>
      </c>
      <c r="H93" s="15" t="n">
        <v>6.05</v>
      </c>
      <c r="I93" s="15" t="n">
        <v>4055021</v>
      </c>
      <c r="J93" s="15" t="n">
        <v>23</v>
      </c>
      <c r="K93" s="92" t="inlineStr">
        <is>
          <t>ERW1</t>
        </is>
      </c>
      <c r="L93" s="426" t="inlineStr">
        <is>
          <t>NON FIN</t>
        </is>
      </c>
      <c r="M93" s="15" t="inlineStr">
        <is>
          <t>TUB-O-N-AUT-AW-PE-25.40X2.000X6.0500</t>
        </is>
      </c>
      <c r="N93" s="447" t="inlineStr">
        <is>
          <t>TUB-O-N-AUT-AW-PE-25.40X2.000X6.0500</t>
        </is>
      </c>
      <c r="O93" s="448" t="n">
        <v>9519030964</v>
      </c>
      <c r="P93" s="447" t="inlineStr">
        <is>
          <t>ORDER LOAD RELEASED</t>
        </is>
      </c>
      <c r="W93" s="173" t="n"/>
    </row>
    <row r="94" ht="31.5" customHeight="1" s="584">
      <c r="A94" s="91" t="inlineStr">
        <is>
          <t>0789</t>
        </is>
      </c>
      <c r="B94" s="15" t="inlineStr">
        <is>
          <t>TVS</t>
        </is>
      </c>
      <c r="C94" s="15" t="n">
        <v>943209</v>
      </c>
      <c r="D94" s="15" t="n">
        <v>31.75</v>
      </c>
      <c r="E94" s="15" t="n">
        <v>0</v>
      </c>
      <c r="F94" s="15" t="n">
        <v>2</v>
      </c>
      <c r="G94" s="15" t="n">
        <v>6000</v>
      </c>
      <c r="H94" s="15" t="n">
        <v>6</v>
      </c>
      <c r="I94" s="15" t="n">
        <v>1931387</v>
      </c>
      <c r="J94" s="15" t="n">
        <v>15</v>
      </c>
      <c r="K94" s="92" t="inlineStr">
        <is>
          <t>ERW1</t>
        </is>
      </c>
      <c r="L94" s="426" t="inlineStr">
        <is>
          <t>FIN CUT</t>
        </is>
      </c>
      <c r="M94" s="15" t="inlineStr">
        <is>
          <t>TUB-O-N-AUT-AW-FC-31.75X2.000X6.0000</t>
        </is>
      </c>
      <c r="N94" s="447" t="inlineStr">
        <is>
          <t>TUB-O-N-AUT-AW-FC-31.75X2.000X6.0000</t>
        </is>
      </c>
      <c r="O94" s="448" t="n">
        <v>9519030964</v>
      </c>
      <c r="P94" s="447" t="inlineStr">
        <is>
          <t>ORDER LOAD RELEASED</t>
        </is>
      </c>
      <c r="W94" s="173" t="n"/>
    </row>
    <row r="95" ht="31.5" customHeight="1" s="584">
      <c r="A95" s="91" t="inlineStr">
        <is>
          <t>0789</t>
        </is>
      </c>
      <c r="B95" s="15" t="inlineStr">
        <is>
          <t>TVS</t>
        </is>
      </c>
      <c r="C95" s="15" t="n">
        <v>943209</v>
      </c>
      <c r="D95" s="15" t="n">
        <v>34.93</v>
      </c>
      <c r="E95" s="15" t="n">
        <v>0</v>
      </c>
      <c r="F95" s="15" t="n">
        <v>1.2</v>
      </c>
      <c r="G95" s="15" t="n">
        <v>6000</v>
      </c>
      <c r="H95" s="15" t="n">
        <v>6</v>
      </c>
      <c r="I95" s="15" t="n">
        <v>1940701</v>
      </c>
      <c r="J95" s="15" t="n">
        <v>10</v>
      </c>
      <c r="K95" s="92" t="inlineStr">
        <is>
          <t>ERW1</t>
        </is>
      </c>
      <c r="L95" s="426" t="inlineStr">
        <is>
          <t>FIN CUT</t>
        </is>
      </c>
      <c r="M95" s="15" t="inlineStr">
        <is>
          <t>TUB-O-O-AUT-AW-FC-34.93X1.200X6.0000</t>
        </is>
      </c>
      <c r="N95" s="449" t="inlineStr">
        <is>
          <t>TUB-O-O-AUT-AW-FC-34.93X1.200X6.0000</t>
        </is>
      </c>
      <c r="O95" s="448" t="n">
        <v>9519031095</v>
      </c>
      <c r="P95" s="447" t="inlineStr">
        <is>
          <t>ORDER LOAD RELEASED</t>
        </is>
      </c>
      <c r="W95" s="173" t="n"/>
    </row>
    <row r="96" ht="31.5" customHeight="1" s="584">
      <c r="A96" s="368" t="inlineStr">
        <is>
          <t>056</t>
        </is>
      </c>
      <c r="B96" s="15" t="inlineStr">
        <is>
          <t>TVS</t>
        </is>
      </c>
      <c r="C96" s="15" t="n">
        <v>943209</v>
      </c>
      <c r="D96" s="15" t="n">
        <v>41.28</v>
      </c>
      <c r="E96" s="15" t="n">
        <v>0</v>
      </c>
      <c r="F96" s="15" t="n">
        <v>2.6</v>
      </c>
      <c r="G96" s="15" t="n">
        <v>6000</v>
      </c>
      <c r="H96" s="15" t="n">
        <v>6</v>
      </c>
      <c r="I96" s="15" t="n">
        <v>3501716</v>
      </c>
      <c r="J96" s="15" t="n">
        <v>84</v>
      </c>
      <c r="K96" s="92" t="inlineStr">
        <is>
          <t>ERW1</t>
        </is>
      </c>
      <c r="L96" s="426" t="inlineStr">
        <is>
          <t>FIN CUT</t>
        </is>
      </c>
      <c r="M96" s="15" t="inlineStr">
        <is>
          <t>TUB-O-N-AUT-AW-FC-41.28X2.600X6.0000</t>
        </is>
      </c>
      <c r="N96" s="447" t="inlineStr">
        <is>
          <t>TUB-O-N-AUT-AW-FC-41.28X2.600X6.0000</t>
        </is>
      </c>
      <c r="O96" s="448" t="n">
        <v>9519030964</v>
      </c>
      <c r="P96" s="447" t="inlineStr">
        <is>
          <t>CODE BLOCKED</t>
        </is>
      </c>
    </row>
    <row r="97" ht="94.5" customHeight="1" s="584">
      <c r="A97" s="91" t="inlineStr">
        <is>
          <t>0789</t>
        </is>
      </c>
      <c r="B97" s="15" t="inlineStr">
        <is>
          <t>TVS</t>
        </is>
      </c>
      <c r="C97" s="15" t="n">
        <v>943209</v>
      </c>
      <c r="D97" s="15" t="inlineStr">
        <is>
          <t>40x25</t>
        </is>
      </c>
      <c r="E97" s="15" t="n">
        <v>0</v>
      </c>
      <c r="F97" s="15" t="n">
        <v>1.6</v>
      </c>
      <c r="G97" s="15" t="n">
        <v>6130</v>
      </c>
      <c r="H97" s="15" t="n">
        <v>6.13</v>
      </c>
      <c r="I97" s="15" t="n">
        <v>3919144</v>
      </c>
      <c r="J97" s="15" t="n">
        <v>10</v>
      </c>
      <c r="K97" s="92" t="inlineStr">
        <is>
          <t>ERW1</t>
        </is>
      </c>
      <c r="L97" s="426" t="inlineStr">
        <is>
          <t>FIN CUT</t>
        </is>
      </c>
      <c r="M97" s="15" t="inlineStr">
        <is>
          <t>TUB-O-N-AUT-AW-FC-41.28X2.600X6.0000</t>
        </is>
      </c>
      <c r="N97" s="449" t="inlineStr">
        <is>
          <t>TUB-O-N-AUT-AW-FC-41.28X2.600X6.0000</t>
        </is>
      </c>
      <c r="O97" s="448" t="n">
        <v>9519030855</v>
      </c>
      <c r="P97" s="447" t="inlineStr">
        <is>
          <t>ORDER LOAD RELEASED</t>
        </is>
      </c>
      <c r="R97" s="447" t="inlineStr">
        <is>
          <t>TUB-R-AW-AUT-40.00X25.00X1.600X6.1300</t>
        </is>
      </c>
      <c r="S97" s="448" t="n">
        <v>9519030964</v>
      </c>
      <c r="T97" s="447" t="inlineStr">
        <is>
          <t>ORDER LOAD RELEASED</t>
        </is>
      </c>
    </row>
    <row r="98" ht="47.25" customHeight="1" s="584">
      <c r="A98" s="91" t="inlineStr">
        <is>
          <t>0789</t>
        </is>
      </c>
      <c r="B98" s="15" t="inlineStr">
        <is>
          <t>TVS</t>
        </is>
      </c>
      <c r="C98" s="15" t="n">
        <v>943209</v>
      </c>
      <c r="D98" s="15" t="inlineStr">
        <is>
          <t>40x30</t>
        </is>
      </c>
      <c r="E98" s="15" t="n">
        <v>0</v>
      </c>
      <c r="F98" s="15" t="n">
        <v>1.6</v>
      </c>
      <c r="G98" s="15" t="n">
        <v>5900</v>
      </c>
      <c r="H98" s="15" t="n">
        <v>5.9</v>
      </c>
      <c r="I98" s="15" t="n">
        <v>3836440</v>
      </c>
      <c r="J98" s="15" t="n">
        <v>12</v>
      </c>
      <c r="K98" s="92" t="inlineStr">
        <is>
          <t>ERW1</t>
        </is>
      </c>
      <c r="L98" s="426" t="inlineStr">
        <is>
          <t>FIN CUT</t>
        </is>
      </c>
      <c r="M98" s="15" t="inlineStr">
        <is>
          <t>TUB-R-AW-AUT-40.00X30.00X1.600X5.9000</t>
        </is>
      </c>
      <c r="N98" s="447" t="inlineStr">
        <is>
          <t>TUB-R-AW-AUT-40.00X30.00X1.600X5.9000</t>
        </is>
      </c>
      <c r="O98" s="448" t="n">
        <v>9519031914</v>
      </c>
      <c r="P98" s="447" t="inlineStr">
        <is>
          <t>ORDER LOAD RELEASED</t>
        </is>
      </c>
    </row>
    <row r="99" ht="47.25" customHeight="1" s="584">
      <c r="A99" s="91" t="inlineStr">
        <is>
          <t>0789</t>
        </is>
      </c>
      <c r="B99" s="15" t="inlineStr">
        <is>
          <t>TVS</t>
        </is>
      </c>
      <c r="C99" s="15" t="n">
        <v>943209</v>
      </c>
      <c r="D99" s="15" t="inlineStr">
        <is>
          <t>59x30</t>
        </is>
      </c>
      <c r="E99" s="15" t="n">
        <v>0</v>
      </c>
      <c r="F99" s="15" t="n">
        <v>1.6</v>
      </c>
      <c r="G99" s="15" t="n">
        <v>6000</v>
      </c>
      <c r="H99" s="15" t="n">
        <v>6</v>
      </c>
      <c r="I99" s="15" t="n">
        <v>1940925</v>
      </c>
      <c r="J99" s="15" t="n">
        <v>12</v>
      </c>
      <c r="K99" s="92" t="inlineStr">
        <is>
          <t>ERW1</t>
        </is>
      </c>
      <c r="L99" s="426" t="inlineStr">
        <is>
          <t>FIN CUT</t>
        </is>
      </c>
      <c r="M99" s="15" t="inlineStr">
        <is>
          <t>TUB-E-AW-AUT-59.00X30.00X1.600X6.0000</t>
        </is>
      </c>
      <c r="N99" s="447" t="inlineStr">
        <is>
          <t>TUB-E-AW-AUT-59.00X30.00X1.600X6.0000</t>
        </is>
      </c>
      <c r="O99" s="448" t="n">
        <v>9519030964</v>
      </c>
      <c r="P99" s="447" t="inlineStr">
        <is>
          <t>ORDER LOAD RELEASED</t>
        </is>
      </c>
    </row>
    <row r="100" ht="31.5" customHeight="1" s="584">
      <c r="A100" s="91" t="inlineStr">
        <is>
          <t>0789</t>
        </is>
      </c>
      <c r="B100" s="15" t="inlineStr">
        <is>
          <t>RE</t>
        </is>
      </c>
      <c r="C100" s="15" t="n">
        <v>943211</v>
      </c>
      <c r="D100" s="15" t="n">
        <v>34.93</v>
      </c>
      <c r="E100" s="15" t="n">
        <v>0</v>
      </c>
      <c r="F100" s="15" t="n">
        <v>1.2</v>
      </c>
      <c r="G100" s="15" t="n">
        <v>620</v>
      </c>
      <c r="H100" s="15" t="n">
        <v>0.62</v>
      </c>
      <c r="I100" s="15" t="n">
        <v>2397073</v>
      </c>
      <c r="J100" s="15" t="n">
        <v>34</v>
      </c>
      <c r="K100" s="92" t="inlineStr">
        <is>
          <t>ERW1</t>
        </is>
      </c>
      <c r="L100" s="426" t="inlineStr">
        <is>
          <t>FIN CUT</t>
        </is>
      </c>
      <c r="M100" s="15" t="inlineStr">
        <is>
          <t>TUB-O-N-AUT-AW-FC-34.93X1.200X0.6200</t>
        </is>
      </c>
      <c r="N100" s="447" t="inlineStr">
        <is>
          <t>TUB-O-N-AUT-AW-FC-34.93X1.200X0.6200</t>
        </is>
      </c>
      <c r="O100" s="448" t="n">
        <v>9519031118</v>
      </c>
      <c r="P100" s="447" t="inlineStr">
        <is>
          <t>ORDER LOAD RELEASED</t>
        </is>
      </c>
    </row>
    <row r="101" ht="31.5" customHeight="1" s="584">
      <c r="A101" s="91" t="inlineStr">
        <is>
          <t>0789</t>
        </is>
      </c>
      <c r="B101" s="15" t="inlineStr">
        <is>
          <t>RE</t>
        </is>
      </c>
      <c r="C101" s="15" t="n">
        <v>943211</v>
      </c>
      <c r="D101" s="15" t="n">
        <v>34.93</v>
      </c>
      <c r="E101" s="15" t="n">
        <v>0</v>
      </c>
      <c r="F101" s="15" t="n">
        <v>1.2</v>
      </c>
      <c r="G101" s="15" t="n">
        <v>650</v>
      </c>
      <c r="H101" s="15" t="n">
        <v>0.7</v>
      </c>
      <c r="I101" s="15" t="n">
        <v>3649699</v>
      </c>
      <c r="J101" s="15" t="n">
        <v>28</v>
      </c>
      <c r="K101" s="92" t="inlineStr">
        <is>
          <t>ERW1</t>
        </is>
      </c>
      <c r="L101" s="426" t="inlineStr">
        <is>
          <t>FIN CUT</t>
        </is>
      </c>
      <c r="M101" s="15" t="inlineStr">
        <is>
          <t>TUB-O-N-AUT-AW-FC-34.93X1.200X0.7000</t>
        </is>
      </c>
      <c r="N101" s="447" t="inlineStr">
        <is>
          <t>TUB-O-N-AUT-AW-FC-34.93X1.200X0.7000</t>
        </is>
      </c>
      <c r="O101" s="448" t="n">
        <v>9519031118</v>
      </c>
      <c r="P101" s="447" t="inlineStr">
        <is>
          <t>ORDER LOAD RELEASED</t>
        </is>
      </c>
    </row>
    <row r="102" ht="31.5" customHeight="1" s="584">
      <c r="A102" s="91" t="inlineStr">
        <is>
          <t>0789</t>
        </is>
      </c>
      <c r="B102" s="15" t="inlineStr">
        <is>
          <t>RE</t>
        </is>
      </c>
      <c r="C102" s="15" t="n">
        <v>943211</v>
      </c>
      <c r="D102" s="15" t="n">
        <v>48</v>
      </c>
      <c r="E102" s="15" t="n">
        <v>0</v>
      </c>
      <c r="F102" s="15" t="n">
        <v>1.2</v>
      </c>
      <c r="G102" s="15" t="n">
        <v>620</v>
      </c>
      <c r="H102" s="15" t="n">
        <v>0.62</v>
      </c>
      <c r="I102" s="15" t="n">
        <v>2397072</v>
      </c>
      <c r="J102" s="15" t="n">
        <v>40</v>
      </c>
      <c r="K102" s="92" t="inlineStr">
        <is>
          <t>ERW1</t>
        </is>
      </c>
      <c r="L102" s="426" t="inlineStr">
        <is>
          <t>FIN CUT</t>
        </is>
      </c>
      <c r="M102" s="15" t="inlineStr">
        <is>
          <t>TUB-O-N-AUT-AW-FC-48.00X1.200X0.6200</t>
        </is>
      </c>
      <c r="N102" s="447" t="inlineStr">
        <is>
          <t>TUB-O-N-AUT-AW-FC-48.00X1.200X0.6200</t>
        </is>
      </c>
      <c r="O102" s="448" t="n">
        <v>9519031118</v>
      </c>
      <c r="P102" s="447" t="inlineStr">
        <is>
          <t>ORDER LOAD RELEASED</t>
        </is>
      </c>
    </row>
    <row r="103" ht="31.5" customHeight="1" s="584">
      <c r="A103" s="91" t="inlineStr">
        <is>
          <t>0789</t>
        </is>
      </c>
      <c r="B103" s="15" t="inlineStr">
        <is>
          <t>RE</t>
        </is>
      </c>
      <c r="C103" s="15" t="n">
        <v>943211</v>
      </c>
      <c r="D103" s="15" t="n">
        <v>48</v>
      </c>
      <c r="E103" s="15" t="n">
        <v>0</v>
      </c>
      <c r="F103" s="15" t="n">
        <v>1.2</v>
      </c>
      <c r="G103" s="15" t="n">
        <v>650</v>
      </c>
      <c r="H103" s="15" t="n">
        <v>0.7</v>
      </c>
      <c r="I103" s="15" t="n">
        <v>3649700</v>
      </c>
      <c r="J103" s="15" t="n">
        <v>36</v>
      </c>
      <c r="K103" s="92" t="inlineStr">
        <is>
          <t>ERW1</t>
        </is>
      </c>
      <c r="L103" s="426" t="inlineStr">
        <is>
          <t>FIN CUT</t>
        </is>
      </c>
      <c r="M103" s="15" t="inlineStr">
        <is>
          <t>TUB-O-N-AUT-AW-FC-48.00X1.200X0.7000</t>
        </is>
      </c>
      <c r="N103" s="447" t="inlineStr">
        <is>
          <t>TUB-O-N-AUT-AW-FC-48.00X1.200X0.7000</t>
        </is>
      </c>
      <c r="O103" s="448" t="n">
        <v>9519031118</v>
      </c>
      <c r="P103" s="447" t="inlineStr">
        <is>
          <t>ORDER LOAD RELEASED</t>
        </is>
      </c>
    </row>
    <row r="104" ht="47.25" customHeight="1" s="584">
      <c r="A104" s="91" t="inlineStr">
        <is>
          <t>0789</t>
        </is>
      </c>
      <c r="B104" s="15" t="inlineStr">
        <is>
          <t>RE</t>
        </is>
      </c>
      <c r="C104" s="15" t="n">
        <v>943211</v>
      </c>
      <c r="D104" s="15" t="inlineStr">
        <is>
          <t>59x30</t>
        </is>
      </c>
      <c r="E104" s="15" t="n">
        <v>0</v>
      </c>
      <c r="F104" s="15" t="n">
        <v>1.6</v>
      </c>
      <c r="G104" s="15" t="n">
        <v>572.5</v>
      </c>
      <c r="H104" s="15" t="n">
        <v>0.5725</v>
      </c>
      <c r="I104" s="15" t="n">
        <v>2420716</v>
      </c>
      <c r="J104" s="15" t="n">
        <v>50</v>
      </c>
      <c r="K104" s="92" t="inlineStr">
        <is>
          <t>ERW1</t>
        </is>
      </c>
      <c r="L104" s="426" t="inlineStr">
        <is>
          <t>FIN CUT</t>
        </is>
      </c>
      <c r="M104" s="15" t="inlineStr">
        <is>
          <t>TUB-E-AW-AUT-59.00X30.00X1.600X0.5725</t>
        </is>
      </c>
      <c r="N104" s="447" t="inlineStr">
        <is>
          <t>TUB-E-AW-AUT-59.00X30.00X1.600X0.5725</t>
        </is>
      </c>
      <c r="O104" s="448" t="n">
        <v>9519031118</v>
      </c>
      <c r="P104" s="447" t="inlineStr">
        <is>
          <t>ORDER LOAD RELEASED</t>
        </is>
      </c>
    </row>
    <row r="105" ht="31.5" customHeight="1" s="584">
      <c r="A105" s="91" t="inlineStr">
        <is>
          <t>0789</t>
        </is>
      </c>
      <c r="B105" s="15" t="inlineStr">
        <is>
          <t>HMSI</t>
        </is>
      </c>
      <c r="C105" s="15" t="n">
        <v>943210</v>
      </c>
      <c r="D105" s="15" t="n">
        <v>15.88</v>
      </c>
      <c r="E105" s="15" t="n">
        <v>0</v>
      </c>
      <c r="F105" s="15" t="n">
        <v>2</v>
      </c>
      <c r="G105" s="15" t="n">
        <v>6000</v>
      </c>
      <c r="H105" s="15" t="n">
        <v>6</v>
      </c>
      <c r="I105" s="15" t="n">
        <v>1940120</v>
      </c>
      <c r="J105" s="15" t="n">
        <v>6</v>
      </c>
      <c r="K105" s="92" t="inlineStr">
        <is>
          <t>ERW1</t>
        </is>
      </c>
      <c r="L105" s="426" t="inlineStr">
        <is>
          <t>NON FIN</t>
        </is>
      </c>
      <c r="M105" s="15" t="inlineStr">
        <is>
          <t>TUB-O-O-AUT-AW-PE-15.88X2.000X6.0000</t>
        </is>
      </c>
      <c r="N105" s="447" t="inlineStr">
        <is>
          <t>TUB-O-O-AUT-AW-PE-15.88X2.000X6.0000</t>
        </is>
      </c>
      <c r="O105" s="448" t="n">
        <v>9519031061</v>
      </c>
      <c r="P105" s="447" t="inlineStr">
        <is>
          <t>ORDER LOAD RELEASED</t>
        </is>
      </c>
    </row>
    <row r="106" ht="31.5" customHeight="1" s="584">
      <c r="A106" s="91" t="inlineStr">
        <is>
          <t>0789</t>
        </is>
      </c>
      <c r="B106" s="15" t="inlineStr">
        <is>
          <t>HMSI</t>
        </is>
      </c>
      <c r="C106" s="15" t="n">
        <v>943210</v>
      </c>
      <c r="D106" s="15" t="n">
        <v>22.2</v>
      </c>
      <c r="E106" s="15" t="n">
        <v>0</v>
      </c>
      <c r="F106" s="15" t="n">
        <v>2</v>
      </c>
      <c r="G106" s="15" t="n">
        <v>5390</v>
      </c>
      <c r="H106" s="15" t="n">
        <v>5.39</v>
      </c>
      <c r="I106" s="15" t="n">
        <v>2431251</v>
      </c>
      <c r="J106" s="15" t="n">
        <v>67</v>
      </c>
      <c r="K106" s="92" t="inlineStr">
        <is>
          <t>CR ERW 1</t>
        </is>
      </c>
      <c r="L106" s="426" t="inlineStr">
        <is>
          <t>FIN CUT</t>
        </is>
      </c>
      <c r="M106" s="15" t="inlineStr">
        <is>
          <t>TUB-O-N-AUT-AW-PE-22.23X2.000X5.4000</t>
        </is>
      </c>
      <c r="N106" s="447" t="inlineStr">
        <is>
          <t>TUB-O-N-AUT-AW-PE-22.23X2.000X5.4000</t>
        </is>
      </c>
      <c r="O106" s="448" t="n">
        <v>9519031061</v>
      </c>
      <c r="P106" s="447" t="inlineStr">
        <is>
          <t>ORDER LOAD RELEASED</t>
        </is>
      </c>
    </row>
    <row r="107" ht="31.5" customHeight="1" s="584">
      <c r="A107" s="91" t="inlineStr">
        <is>
          <t>0789</t>
        </is>
      </c>
      <c r="B107" s="15" t="inlineStr">
        <is>
          <t>HMSI</t>
        </is>
      </c>
      <c r="C107" s="15" t="n">
        <v>943210</v>
      </c>
      <c r="D107" s="15" t="n">
        <v>25.4</v>
      </c>
      <c r="E107" s="15" t="n">
        <v>0</v>
      </c>
      <c r="F107" s="15" t="n">
        <v>1.4</v>
      </c>
      <c r="G107" s="15" t="n">
        <v>6060</v>
      </c>
      <c r="H107" s="15" t="n">
        <v>6.06</v>
      </c>
      <c r="I107" s="15" t="n">
        <v>3557792</v>
      </c>
      <c r="J107" s="15" t="n">
        <v>61</v>
      </c>
      <c r="K107" s="92" t="inlineStr">
        <is>
          <t>ERW1</t>
        </is>
      </c>
      <c r="L107" s="426" t="inlineStr">
        <is>
          <t>FIN CUT</t>
        </is>
      </c>
      <c r="M107" s="15" t="inlineStr">
        <is>
          <t>TUB-O-N-AUT-AW-FC-25.40X1.400X6.0600</t>
        </is>
      </c>
      <c r="N107" s="447" t="inlineStr">
        <is>
          <t>TUB-O-N-AUT-AW-FC-25.40X1.400X6.0600</t>
        </is>
      </c>
      <c r="O107" s="448" t="n">
        <v>9519031061</v>
      </c>
      <c r="P107" s="447" t="inlineStr">
        <is>
          <t>ORDER LOAD RELEASED</t>
        </is>
      </c>
    </row>
    <row r="108" ht="47.25" customHeight="1" s="584">
      <c r="A108" s="91" t="inlineStr">
        <is>
          <t>0789</t>
        </is>
      </c>
      <c r="B108" s="15" t="inlineStr">
        <is>
          <t>HMSI</t>
        </is>
      </c>
      <c r="C108" s="15" t="n">
        <v>943210</v>
      </c>
      <c r="D108" s="15" t="n">
        <v>45</v>
      </c>
      <c r="E108" s="15" t="n">
        <v>0</v>
      </c>
      <c r="F108" s="15" t="n">
        <v>1.4</v>
      </c>
      <c r="G108" s="15" t="n">
        <v>6400</v>
      </c>
      <c r="H108" s="15" t="n">
        <v>6.42</v>
      </c>
      <c r="I108" s="15" t="n">
        <v>3502343</v>
      </c>
      <c r="J108" s="15" t="n">
        <v>30</v>
      </c>
      <c r="K108" s="92" t="inlineStr">
        <is>
          <t>ERW2</t>
        </is>
      </c>
      <c r="L108" s="426" t="inlineStr">
        <is>
          <t>FIN CUT</t>
        </is>
      </c>
      <c r="M108" s="15" t="inlineStr">
        <is>
          <t>TUB-O-N-AUT-AW-FC-45.00X1.400X6.4200 HST</t>
        </is>
      </c>
      <c r="N108" s="447" t="inlineStr">
        <is>
          <t>TUB-O-N-AUT-AW-FC-45.00X1.400X6.4200 HST</t>
        </is>
      </c>
      <c r="O108" s="448" t="n">
        <v>9519031061</v>
      </c>
      <c r="P108" s="447" t="inlineStr">
        <is>
          <t>CODE BLOCKED</t>
        </is>
      </c>
    </row>
    <row r="109" ht="47.25" customHeight="1" s="584">
      <c r="A109" s="91" t="inlineStr">
        <is>
          <t>0789</t>
        </is>
      </c>
      <c r="B109" s="15" t="inlineStr">
        <is>
          <t>HMSI</t>
        </is>
      </c>
      <c r="C109" s="15" t="n">
        <v>943210</v>
      </c>
      <c r="D109" s="15" t="n">
        <v>45</v>
      </c>
      <c r="E109" s="15" t="n">
        <v>0</v>
      </c>
      <c r="F109" s="15" t="n">
        <v>1.6</v>
      </c>
      <c r="G109" s="15" t="n">
        <v>6400</v>
      </c>
      <c r="H109" s="15" t="n">
        <v>6.42</v>
      </c>
      <c r="I109" s="15" t="inlineStr">
        <is>
          <t>MCR - 42959</t>
        </is>
      </c>
      <c r="J109" s="15" t="n">
        <v>30</v>
      </c>
      <c r="K109" s="92" t="inlineStr">
        <is>
          <t>ERW2</t>
        </is>
      </c>
      <c r="L109" s="426" t="inlineStr">
        <is>
          <t>FIN CUT</t>
        </is>
      </c>
      <c r="M109" s="15" t="inlineStr">
        <is>
          <t>TUB-O-N-AUT-AW-PE-45.00X1.600X6.4200 HST</t>
        </is>
      </c>
      <c r="N109" s="452" t="inlineStr">
        <is>
          <t>TUB-O-N-AUT-AW-PE-45.00X1.600X6.4200 HST</t>
        </is>
      </c>
      <c r="O109" s="453" t="n">
        <v>9519031061</v>
      </c>
      <c r="P109" s="452" t="inlineStr">
        <is>
          <t>CODE BLOCKED</t>
        </is>
      </c>
    </row>
    <row r="110" ht="15.75" customHeight="1" s="584">
      <c r="A110" s="91" t="n">
        <v>789</v>
      </c>
      <c r="B110" s="15" t="inlineStr">
        <is>
          <t>TVS</t>
        </is>
      </c>
      <c r="C110" s="15" t="n">
        <v>943209</v>
      </c>
      <c r="D110" s="15" t="inlineStr">
        <is>
          <t>40x25</t>
        </is>
      </c>
      <c r="E110" s="15" t="n">
        <v>0</v>
      </c>
      <c r="F110" s="15" t="n">
        <v>1.6</v>
      </c>
      <c r="G110" s="15" t="n">
        <v>6130</v>
      </c>
      <c r="H110" s="15" t="n">
        <v>6.13</v>
      </c>
      <c r="I110" s="15" t="n">
        <v>3919144</v>
      </c>
      <c r="J110" s="15" t="n">
        <v>10</v>
      </c>
      <c r="K110" s="92" t="inlineStr">
        <is>
          <t>ERW1</t>
        </is>
      </c>
      <c r="L110" s="15" t="inlineStr">
        <is>
          <t>FIN CUT</t>
        </is>
      </c>
      <c r="M110" s="15" t="inlineStr">
        <is>
          <t>TUB-R-AW-AUT-40.00X25.00X1.600X6.1300</t>
        </is>
      </c>
      <c r="N110" s="452" t="n"/>
      <c r="O110" s="452" t="n">
        <v>9519030964</v>
      </c>
      <c r="P110" s="453" t="inlineStr">
        <is>
          <t>ORDER LOAD RELEASED</t>
        </is>
      </c>
    </row>
    <row r="111" ht="31.5" customHeight="1" s="584">
      <c r="A111" s="418" t="inlineStr">
        <is>
          <t>0789</t>
        </is>
      </c>
      <c r="B111" s="423" t="inlineStr">
        <is>
          <t>HMSI</t>
        </is>
      </c>
      <c r="C111" s="423" t="n">
        <v>943210</v>
      </c>
      <c r="D111" s="423" t="n">
        <v>48.6</v>
      </c>
      <c r="E111" s="423" t="n">
        <v>0</v>
      </c>
      <c r="F111" s="423" t="n">
        <v>3.5</v>
      </c>
      <c r="G111" s="423" t="n">
        <v>6000</v>
      </c>
      <c r="H111" s="423" t="n">
        <v>6</v>
      </c>
      <c r="I111" s="423" t="n">
        <v>3502422</v>
      </c>
      <c r="J111" s="423" t="n">
        <v>30</v>
      </c>
      <c r="K111" s="92" t="inlineStr">
        <is>
          <t>ERW1</t>
        </is>
      </c>
      <c r="L111" s="426" t="inlineStr">
        <is>
          <t>FIN CUT</t>
        </is>
      </c>
      <c r="M111" s="423" t="inlineStr">
        <is>
          <t>TUB-O-N-AUT-AW-FC-48.60X3.500X6.0500</t>
        </is>
      </c>
      <c r="N111" s="452" t="inlineStr">
        <is>
          <t>TUB-O-N-AUT-AW-FC-48.60X3.500X6.0500</t>
        </is>
      </c>
      <c r="O111" s="453" t="inlineStr">
        <is>
          <t>9519031061</t>
        </is>
      </c>
      <c r="P111" s="452" t="inlineStr">
        <is>
          <t>ORDER LOAD RELEASED</t>
        </is>
      </c>
    </row>
    <row r="117">
      <c r="A117" s="456" t="inlineStr">
        <is>
          <t>OD</t>
        </is>
      </c>
      <c r="B117" s="457" t="inlineStr">
        <is>
          <t>ID</t>
        </is>
      </c>
      <c r="C117" s="457" t="inlineStr">
        <is>
          <t>Thickness</t>
        </is>
      </c>
      <c r="D117" s="457" t="inlineStr">
        <is>
          <t>Length</t>
        </is>
      </c>
      <c r="E117" s="457" t="inlineStr">
        <is>
          <t>Grade</t>
        </is>
      </c>
      <c r="F117" s="457" t="inlineStr">
        <is>
          <t>Material Code</t>
        </is>
      </c>
      <c r="G117" s="457" t="inlineStr">
        <is>
          <t>Description</t>
        </is>
      </c>
      <c r="H117" s="457" t="inlineStr">
        <is>
          <t>Customer</t>
        </is>
      </c>
      <c r="I117" s="457" t="inlineStr">
        <is>
          <t>Source</t>
        </is>
      </c>
      <c r="J117" s="458" t="inlineStr">
        <is>
          <t>Quantity</t>
        </is>
      </c>
    </row>
    <row r="118">
      <c r="A118" s="459" t="n">
        <v>19.05</v>
      </c>
      <c r="B118" s="460" t="n">
        <v>0</v>
      </c>
      <c r="C118" s="15" t="n">
        <v>2.3</v>
      </c>
      <c r="D118" s="460" t="n">
        <v>7</v>
      </c>
      <c r="E118" s="15" t="inlineStr">
        <is>
          <t>EDD</t>
        </is>
      </c>
      <c r="F118" s="460" t="n">
        <v>3500582</v>
      </c>
      <c r="G118" s="460">
        <f>VLOOKUP(F118,[1]!zmat[#All],2,0)</f>
        <v/>
      </c>
      <c r="H118" s="15" t="n">
        <v>943209</v>
      </c>
      <c r="I118" s="15" t="n">
        <v>56</v>
      </c>
      <c r="J118" s="92" t="n">
        <v>20</v>
      </c>
    </row>
    <row r="119">
      <c r="A119" s="461" t="n">
        <v>22.2</v>
      </c>
      <c r="B119" s="462" t="n">
        <v>0</v>
      </c>
      <c r="C119" s="463" t="n">
        <v>2</v>
      </c>
      <c r="D119" s="462" t="n">
        <v>5.1</v>
      </c>
      <c r="E119" s="463" t="n"/>
      <c r="F119" s="462" t="n">
        <v>3500554</v>
      </c>
      <c r="G119" s="462">
        <f>VLOOKUP(F119,[1]!zmat[#All],2,0)</f>
        <v/>
      </c>
      <c r="H119" s="463" t="n">
        <v>943209</v>
      </c>
      <c r="I119" s="463" t="n">
        <v>56</v>
      </c>
      <c r="J119" s="464" t="n">
        <v>30</v>
      </c>
    </row>
    <row r="120">
      <c r="A120" s="461" t="n">
        <v>22.2</v>
      </c>
      <c r="B120" s="462" t="n">
        <v>0</v>
      </c>
      <c r="C120" s="463" t="n">
        <v>2</v>
      </c>
      <c r="D120" s="462" t="n">
        <v>5.951000000000001</v>
      </c>
      <c r="E120" s="463" t="inlineStr">
        <is>
          <t>DR01</t>
        </is>
      </c>
      <c r="F120" s="462" t="n">
        <v>3905466</v>
      </c>
      <c r="G120" s="462">
        <f>VLOOKUP(F120,[1]!zmat[#All],2,0)</f>
        <v/>
      </c>
      <c r="H120" s="463" t="n">
        <v>943209</v>
      </c>
      <c r="I120" s="463" t="n">
        <v>56</v>
      </c>
      <c r="J120" s="464" t="n">
        <v>60</v>
      </c>
    </row>
    <row r="121">
      <c r="A121" s="461" t="n">
        <v>22.2</v>
      </c>
      <c r="B121" s="462" t="n">
        <v>0</v>
      </c>
      <c r="C121" s="463" t="n">
        <v>2</v>
      </c>
      <c r="D121" s="462" t="n">
        <v>6.001</v>
      </c>
      <c r="E121" s="463" t="inlineStr">
        <is>
          <t>E34</t>
        </is>
      </c>
      <c r="F121" s="462" t="n">
        <v>3502494</v>
      </c>
      <c r="G121" s="462">
        <f>VLOOKUP(F121,[1]!zmat[#All],2,0)</f>
        <v/>
      </c>
      <c r="H121" s="463" t="n">
        <v>943209</v>
      </c>
      <c r="I121" s="463" t="n">
        <v>56</v>
      </c>
      <c r="J121" s="464" t="n">
        <v>40</v>
      </c>
    </row>
    <row r="122">
      <c r="A122" s="461" t="n">
        <v>25.4</v>
      </c>
      <c r="B122" s="462" t="n">
        <v>0</v>
      </c>
      <c r="C122" s="463" t="n">
        <v>1.6</v>
      </c>
      <c r="D122" s="462" t="n">
        <v>6</v>
      </c>
      <c r="E122" s="463" t="inlineStr">
        <is>
          <t>AU51</t>
        </is>
      </c>
      <c r="F122" s="462" t="n">
        <v>3500097</v>
      </c>
      <c r="G122" s="462">
        <f>VLOOKUP(F122,[1]!zmat[#All],2,0)</f>
        <v/>
      </c>
      <c r="H122" s="463" t="n">
        <v>943209</v>
      </c>
      <c r="I122" s="463" t="n">
        <v>56</v>
      </c>
      <c r="J122" s="464" t="n">
        <v>30</v>
      </c>
    </row>
    <row r="123">
      <c r="A123" s="461" t="n">
        <v>25.4</v>
      </c>
      <c r="B123" s="462" t="n">
        <v>0</v>
      </c>
      <c r="C123" s="463" t="n">
        <v>2.5</v>
      </c>
      <c r="D123" s="462" t="n">
        <v>5.53</v>
      </c>
      <c r="E123" s="463" t="inlineStr">
        <is>
          <t>TPT</t>
        </is>
      </c>
      <c r="F123" s="462" t="n">
        <v>3502256</v>
      </c>
      <c r="G123" s="462">
        <f>VLOOKUP(F123,[1]!zmat[#All],2,0)</f>
        <v/>
      </c>
      <c r="H123" s="463" t="n">
        <v>943209</v>
      </c>
      <c r="I123" s="463" t="n">
        <v>56</v>
      </c>
      <c r="J123" s="464" t="n">
        <v>20</v>
      </c>
    </row>
    <row r="124">
      <c r="A124" s="459" t="n">
        <v>38.1</v>
      </c>
      <c r="B124" s="460" t="n">
        <v>0</v>
      </c>
      <c r="C124" s="15" t="n">
        <v>1.6</v>
      </c>
      <c r="D124" s="460" t="n">
        <v>6.19</v>
      </c>
      <c r="E124" s="15" t="inlineStr">
        <is>
          <t>TE13</t>
        </is>
      </c>
      <c r="F124" s="460" t="n">
        <v>3502254</v>
      </c>
      <c r="G124" s="460">
        <f>VLOOKUP(F124,[1]!zmat[#All],2,0)</f>
        <v/>
      </c>
      <c r="H124" s="15" t="n">
        <v>943209</v>
      </c>
      <c r="I124" s="15" t="n">
        <v>56</v>
      </c>
      <c r="J124" s="92" t="n">
        <v>30</v>
      </c>
    </row>
    <row r="125">
      <c r="A125" s="459" t="n">
        <v>38.1</v>
      </c>
      <c r="B125" s="460" t="n">
        <v>0</v>
      </c>
      <c r="C125" s="15" t="n">
        <v>2</v>
      </c>
      <c r="D125" s="460" t="n">
        <v>5.65</v>
      </c>
      <c r="E125" s="15" t="inlineStr">
        <is>
          <t>DR01</t>
        </is>
      </c>
      <c r="F125" s="460" t="n">
        <v>3500959</v>
      </c>
      <c r="G125" s="460">
        <f>VLOOKUP(F125,[1]!zmat[#All],2,0)</f>
        <v/>
      </c>
      <c r="H125" s="15" t="n">
        <v>943209</v>
      </c>
      <c r="I125" s="15" t="n">
        <v>56</v>
      </c>
      <c r="J125" s="92" t="n">
        <v>20</v>
      </c>
    </row>
    <row r="126">
      <c r="A126" s="459" t="n">
        <v>38.1</v>
      </c>
      <c r="B126" s="460" t="n">
        <v>0</v>
      </c>
      <c r="C126" s="15" t="n">
        <v>2.5</v>
      </c>
      <c r="D126" s="460" t="n">
        <v>6.19</v>
      </c>
      <c r="E126" s="15" t="inlineStr">
        <is>
          <t>E34</t>
        </is>
      </c>
      <c r="F126" s="460" t="n">
        <v>3502007</v>
      </c>
      <c r="G126" s="460">
        <f>VLOOKUP(F126,[1]!zmat[#All],2,0)</f>
        <v/>
      </c>
      <c r="H126" s="15" t="n">
        <v>943209</v>
      </c>
      <c r="I126" s="15" t="n">
        <v>56</v>
      </c>
      <c r="J126" s="92" t="n">
        <v>40</v>
      </c>
    </row>
    <row r="127">
      <c r="A127" s="459" t="n">
        <v>41.28</v>
      </c>
      <c r="B127" s="460" t="n">
        <v>0</v>
      </c>
      <c r="C127" s="15" t="n">
        <v>3.15</v>
      </c>
      <c r="D127" s="460" t="n">
        <v>5.86</v>
      </c>
      <c r="E127" s="15" t="inlineStr">
        <is>
          <t>TU43</t>
        </is>
      </c>
      <c r="F127" s="460" t="n">
        <v>3673889</v>
      </c>
      <c r="G127" s="460">
        <f>VLOOKUP(F127,[1]!zmat[#All],2,0)</f>
        <v/>
      </c>
      <c r="H127" s="15" t="n">
        <v>943210</v>
      </c>
      <c r="I127" s="15" t="n">
        <v>56</v>
      </c>
      <c r="J127" s="92" t="n">
        <v>20</v>
      </c>
    </row>
    <row r="128">
      <c r="A128" s="465" t="n">
        <v>48.6</v>
      </c>
      <c r="B128" s="466" t="n">
        <v>0</v>
      </c>
      <c r="C128" s="423" t="n">
        <v>2.3</v>
      </c>
      <c r="D128" s="466" t="n">
        <v>6.27</v>
      </c>
      <c r="E128" s="423" t="inlineStr">
        <is>
          <t>E34</t>
        </is>
      </c>
      <c r="F128" s="466" t="n">
        <v>3549720</v>
      </c>
      <c r="G128" s="466">
        <f>VLOOKUP(F128,[1]!zmat[#All],2,0)</f>
        <v/>
      </c>
      <c r="H128" s="423" t="n">
        <v>943210</v>
      </c>
      <c r="I128" s="423" t="n">
        <v>56</v>
      </c>
      <c r="J128" s="455" t="n">
        <v>15</v>
      </c>
    </row>
    <row r="129">
      <c r="A129" s="465" t="n"/>
      <c r="B129" s="466" t="n"/>
      <c r="C129" s="423" t="n"/>
      <c r="D129" s="466" t="n"/>
      <c r="E129" s="423" t="n"/>
      <c r="F129" s="466" t="n"/>
      <c r="G129" s="466" t="n"/>
      <c r="H129" s="423" t="n"/>
      <c r="I129" s="423" t="n"/>
      <c r="J129" s="455">
        <f>SUBTOTAL(109,Table129[Quantity])</f>
        <v/>
      </c>
    </row>
  </sheetData>
  <conditionalFormatting sqref="L2:N69">
    <cfRule type="duplicateValues" priority="393" dxfId="0"/>
  </conditionalFormatting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2.xml><?xml version="1.0" encoding="utf-8"?>
<worksheet xmlns="http://schemas.openxmlformats.org/spreadsheetml/2006/main">
  <sheetPr codeName="Sheet33">
    <outlinePr summaryBelow="1" summaryRight="1"/>
    <pageSetUpPr/>
  </sheetPr>
  <dimension ref="A1:Y125"/>
  <sheetViews>
    <sheetView topLeftCell="A115" workbookViewId="0">
      <selection activeCell="E120" sqref="E120"/>
    </sheetView>
  </sheetViews>
  <sheetFormatPr baseColWidth="8" defaultRowHeight="15"/>
  <cols>
    <col width="16.42578125" customWidth="1" style="584" min="1" max="1"/>
    <col width="35.7109375" bestFit="1" customWidth="1" style="584" min="2" max="2"/>
    <col width="10" customWidth="1" style="584" min="3" max="3"/>
    <col width="42.7109375" bestFit="1" customWidth="1" style="584" min="4" max="4"/>
    <col width="9.28515625" customWidth="1" style="584" min="5" max="5"/>
    <col width="24.7109375" bestFit="1" customWidth="1" style="584" min="6" max="6"/>
    <col width="29.140625" bestFit="1" customWidth="1" style="584" min="7" max="7"/>
    <col width="42.7109375" bestFit="1" customWidth="1" style="584" min="13" max="13"/>
    <col width="29.7109375" bestFit="1" customWidth="1" style="584" min="14" max="14"/>
    <col width="29.140625" bestFit="1" customWidth="1" style="584" min="21" max="21"/>
  </cols>
  <sheetData>
    <row r="1">
      <c r="A1" s="163" t="inlineStr">
        <is>
          <t>CUSTOMER  CD</t>
        </is>
      </c>
      <c r="B1" s="164" t="inlineStr">
        <is>
          <t>CUSTOMER  NAME</t>
        </is>
      </c>
      <c r="C1" s="164" t="inlineStr">
        <is>
          <t>MATERAIL NUMBER</t>
        </is>
      </c>
      <c r="D1" s="164" t="inlineStr">
        <is>
          <t>Material   Description</t>
        </is>
      </c>
      <c r="E1" s="164" t="inlineStr">
        <is>
          <t>Length for TATA Tubes Material</t>
        </is>
      </c>
      <c r="F1" s="166" t="inlineStr">
        <is>
          <t>Bucket</t>
        </is>
      </c>
      <c r="G1" s="166" t="inlineStr">
        <is>
          <t>Length Bucket</t>
        </is>
      </c>
      <c r="L1" t="inlineStr">
        <is>
          <t>All meghsteel buckets</t>
        </is>
      </c>
    </row>
    <row r="2">
      <c r="A2" t="n">
        <v>943209</v>
      </c>
      <c r="B2" t="inlineStr">
        <is>
          <t>MEGH STEELS PRIVATE LIMITED - TVS A</t>
        </is>
      </c>
      <c r="C2" t="n">
        <v>1940054</v>
      </c>
      <c r="D2" t="inlineStr">
        <is>
          <t>TUB-O-O-AUT-AW-PE-15.88X1.200X6.0000</t>
        </is>
      </c>
      <c r="E2" t="n">
        <v>6</v>
      </c>
      <c r="F2" t="inlineStr">
        <is>
          <t>15.88-0-1.2-ERW 1-PE</t>
        </is>
      </c>
      <c r="G2">
        <f>_xlfn.CONCAT(F2,"-",E2)</f>
        <v/>
      </c>
      <c r="J2" s="164" t="inlineStr">
        <is>
          <t>CUSTOMER  CD</t>
        </is>
      </c>
      <c r="K2" s="164" t="inlineStr">
        <is>
          <t>CUSTOMER  NAME</t>
        </is>
      </c>
      <c r="L2" s="164" t="inlineStr">
        <is>
          <t>MATERAIL NUMBER</t>
        </is>
      </c>
      <c r="M2" s="164" t="inlineStr">
        <is>
          <t>Material   Description</t>
        </is>
      </c>
      <c r="N2" s="175" t="inlineStr">
        <is>
          <t>Length Bucket</t>
        </is>
      </c>
      <c r="T2" t="inlineStr">
        <is>
          <t>NEW HERE</t>
        </is>
      </c>
    </row>
    <row r="3">
      <c r="A3" t="n">
        <v>943209</v>
      </c>
      <c r="B3" t="inlineStr">
        <is>
          <t>MEGH STEELS PRIVATE LIMITED - TVS A</t>
        </is>
      </c>
      <c r="C3" t="n">
        <v>3500582</v>
      </c>
      <c r="D3" t="inlineStr">
        <is>
          <t>TUB-O-N-AUT-AW-PE-19.05X2.300X7.00-ERW 1</t>
        </is>
      </c>
      <c r="E3" t="n">
        <v>7</v>
      </c>
      <c r="F3" t="inlineStr">
        <is>
          <t>19.05-0-2.3-ERW 1-PE</t>
        </is>
      </c>
      <c r="G3">
        <f>_xlfn.CONCAT(F3,"-",E3)</f>
        <v/>
      </c>
      <c r="J3">
        <f t="array" ref="J3:N68">_xlfn.UNIQUE(_xlfn.CHOOSECOLS(meghsteelsales_currentmonth[],_xlfn.XMATCH(J2:N2,meghsteelsales_currentmonth[#Headers])))</f>
        <v/>
      </c>
      <c r="K3" t="inlineStr">
        <is>
          <t>MEGH STEELS PRIVATE LIMITED - TVS A</t>
        </is>
      </c>
      <c r="L3" t="n">
        <v>3907863</v>
      </c>
      <c r="M3" t="inlineStr">
        <is>
          <t>TUB-O-N-AUT-AW-FC-57.15X2.500X5.7110</t>
        </is>
      </c>
      <c r="N3" t="inlineStr">
        <is>
          <t>57.15-0-2.5-ERW 1-FC-5.711</t>
        </is>
      </c>
      <c r="O3" s="43">
        <f>SUMIFS(meghsteelsales_currentmonth[Quantity],meghsteelsales_currentmonth[Length Bucket],'MeghSteel Buckets_use file'!N3)/1000</f>
        <v/>
      </c>
      <c r="P3" s="43">
        <f>SUMIFS('Apr VSM Schedule'!$AA$2:$AA$71,'Apr VSM Schedule'!$O$2:$O$71,'MeghSteel Buckets_use file'!N3)</f>
        <v/>
      </c>
      <c r="Q3" s="43">
        <f>O3-P3</f>
        <v/>
      </c>
      <c r="T3">
        <f t="array" ref="T3:T8">_xlfn._xlws.FILTER(_xlfn.ANCHORARRAY(U3),ISNA(_xlfn.XMATCH(_xlfn.ANCHORARRAY(U3),N3:N43)))</f>
        <v/>
      </c>
      <c r="U3">
        <f t="array" ref="U3:U28">_xlfn._xlws.SORT(_xlfn.UNIQUE(meghsteelsales_currentmonth[Length Bucket]))</f>
        <v/>
      </c>
      <c r="V3">
        <f>SUMIFS(meghsteelsales_currentmonth[Quantity],meghsteelsales_currentmonth[Length Bucket],U3)</f>
        <v/>
      </c>
      <c r="Y3" t="inlineStr">
        <is>
          <t>HERE BUT NOT IN SEPT INDENT</t>
        </is>
      </c>
    </row>
    <row r="4">
      <c r="A4" t="n">
        <v>943209</v>
      </c>
      <c r="B4" t="inlineStr">
        <is>
          <t>MEGH STEELS PRIVATE LIMITED - TVS A</t>
        </is>
      </c>
      <c r="C4" t="n">
        <v>3509196</v>
      </c>
      <c r="D4" t="inlineStr">
        <is>
          <t>CUT-O-N-AUT-AW-PE-19.05X2.000X0.8200</t>
        </is>
      </c>
      <c r="E4" t="n">
        <v>0.82</v>
      </c>
      <c r="F4" t="inlineStr">
        <is>
          <t>19.05-0-2-ERW 1-PE</t>
        </is>
      </c>
      <c r="G4" t="inlineStr">
        <is>
          <t>19.05-0-2-ERW 1-PE-5.841</t>
        </is>
      </c>
      <c r="J4" t="inlineStr">
        <is>
          <t>0000943209</t>
        </is>
      </c>
      <c r="K4" t="inlineStr">
        <is>
          <t>MEGH STEELS PRIVATE LIMITED - TVS A</t>
        </is>
      </c>
      <c r="L4" t="n">
        <v>3500582</v>
      </c>
      <c r="M4" t="inlineStr">
        <is>
          <t>TUB-O-N-AUT-AW-PE-19.05X2.300X7.00-ERW 1</t>
        </is>
      </c>
      <c r="N4" t="inlineStr">
        <is>
          <t>19.05-0-2.3-ERW 1-PE-7</t>
        </is>
      </c>
      <c r="O4" s="43">
        <f>SUMIFS(meghsteelsales_currentmonth[Quantity],meghsteelsales_currentmonth[Length Bucket],'MeghSteel Buckets_use file'!N4)/1000</f>
        <v/>
      </c>
      <c r="P4" s="43">
        <f>SUMIFS('Apr VSM Schedule'!$AA$2:$AA$71,'Apr VSM Schedule'!$O$2:$O$71,'MeghSteel Buckets_use file'!N4)</f>
        <v/>
      </c>
      <c r="Q4" s="43">
        <f>O4-P4</f>
        <v/>
      </c>
      <c r="T4" t="inlineStr">
        <is>
          <t>34.93-0-1.2-ERW 1-FC-0.620</t>
        </is>
      </c>
      <c r="U4" t="inlineStr">
        <is>
          <t>19.05-0-1.6-ERW 1-PE-6</t>
        </is>
      </c>
      <c r="V4">
        <f>SUMIFS(meghsteelsales_currentmonth[Quantity],meghsteelsales_currentmonth[Length Bucket],U4)</f>
        <v/>
      </c>
      <c r="Y4">
        <f t="array" ref="Y4:Y13">_xlfn._xlws.FILTER(N3:N26,ISNA(_xlfn.XMATCH(N3:N26,Table5[Bucket CTL])))</f>
        <v/>
      </c>
    </row>
    <row r="5">
      <c r="A5" t="n">
        <v>943209</v>
      </c>
      <c r="B5" t="inlineStr">
        <is>
          <t>MEGH STEELS PRIVATE LIMITED - TVS A</t>
        </is>
      </c>
      <c r="C5" t="n">
        <v>3499307</v>
      </c>
      <c r="D5" t="inlineStr">
        <is>
          <t>TUB-O-N-AUT-AW-PE-19.05X2.00X6.000-ERW 1</t>
        </is>
      </c>
      <c r="E5" t="n">
        <v>6</v>
      </c>
      <c r="F5" t="inlineStr">
        <is>
          <t>19.05-0-2-ERW 1-PE</t>
        </is>
      </c>
      <c r="G5" t="inlineStr">
        <is>
          <t>19.05-0-2-ERW 1-PE-5.841</t>
        </is>
      </c>
      <c r="J5" t="inlineStr">
        <is>
          <t>0000943209</t>
        </is>
      </c>
      <c r="K5" t="inlineStr">
        <is>
          <t>MEGH STEELS PRIVATE LIMITED - TVS A</t>
        </is>
      </c>
      <c r="L5" t="n">
        <v>3905466</v>
      </c>
      <c r="M5" t="inlineStr">
        <is>
          <t>TUB-O-N-AUT-AW-PE-22.20X2.000X5.9510</t>
        </is>
      </c>
      <c r="N5" t="inlineStr">
        <is>
          <t>22.23-0-2-ERW 1-PE-5.951</t>
        </is>
      </c>
      <c r="O5" s="43">
        <f>SUMIFS(meghsteelsales_currentmonth[Quantity],meghsteelsales_currentmonth[Length Bucket],'MeghSteel Buckets_use file'!N5)/1000</f>
        <v/>
      </c>
      <c r="P5" s="43">
        <f>SUMIFS('Apr VSM Schedule'!$AA$2:$AA$71,'Apr VSM Schedule'!$O$2:$O$71,'MeghSteel Buckets_use file'!N5)</f>
        <v/>
      </c>
      <c r="Q5" s="43">
        <f>O5-P5</f>
        <v/>
      </c>
      <c r="T5" t="inlineStr">
        <is>
          <t>38.1-0-1.6-ERW 1-FC-6.19</t>
        </is>
      </c>
      <c r="U5" t="inlineStr">
        <is>
          <t>19.05-0-2.3-ERW 1-PE-7</t>
        </is>
      </c>
      <c r="V5">
        <f>SUMIFS(meghsteelsales_currentmonth[Quantity],meghsteelsales_currentmonth[Length Bucket],U5)</f>
        <v/>
      </c>
      <c r="Y5" t="n">
        <v>0</v>
      </c>
    </row>
    <row r="6">
      <c r="A6" t="n">
        <v>943209</v>
      </c>
      <c r="B6" t="inlineStr">
        <is>
          <t>MEGH STEELS PRIVATE LIMITED - TVS A</t>
        </is>
      </c>
      <c r="C6" t="n">
        <v>3673888</v>
      </c>
      <c r="D6" t="inlineStr">
        <is>
          <t>TUB-O-N-AUT-AW-PE-19.05X2.000X5.8410</t>
        </is>
      </c>
      <c r="E6" t="n">
        <v>5.841</v>
      </c>
      <c r="F6" t="inlineStr">
        <is>
          <t>19.05-0-2-ERW 1-PE</t>
        </is>
      </c>
      <c r="G6">
        <f>_xlfn.CONCAT(F6,"-",E6)</f>
        <v/>
      </c>
      <c r="J6" t="inlineStr">
        <is>
          <t>0000943209</t>
        </is>
      </c>
      <c r="K6" t="inlineStr">
        <is>
          <t>MEGH STEELS PRIVATE LIMITED - TVS A</t>
        </is>
      </c>
      <c r="L6" t="n">
        <v>3910001</v>
      </c>
      <c r="M6" t="inlineStr">
        <is>
          <t>TUB-O-N-AUT-AW-FC-57.15X2.500X6.1000</t>
        </is>
      </c>
      <c r="N6" t="inlineStr">
        <is>
          <t>57.15-0-2.5-ERW 1-FC-6.1</t>
        </is>
      </c>
      <c r="O6" s="43">
        <f>SUMIFS(meghsteelsales_currentmonth[Quantity],meghsteelsales_currentmonth[Length Bucket],'MeghSteel Buckets_use file'!N6)/1000</f>
        <v/>
      </c>
      <c r="P6" s="43">
        <f>SUMIFS('Apr VSM Schedule'!$AA$2:$AA$71,'Apr VSM Schedule'!$O$2:$O$71,'MeghSteel Buckets_use file'!N6)</f>
        <v/>
      </c>
      <c r="Q6" s="43">
        <f>O6-P6</f>
        <v/>
      </c>
      <c r="T6" t="inlineStr">
        <is>
          <t>45--1.4-ERW 1-FIN CUT-5.7</t>
        </is>
      </c>
      <c r="U6" t="inlineStr">
        <is>
          <t>22.23-0-1.2-ERW 1-PE-5.87</t>
        </is>
      </c>
      <c r="V6">
        <f>SUMIFS(meghsteelsales_currentmonth[Quantity],meghsteelsales_currentmonth[Length Bucket],U6)</f>
        <v/>
      </c>
      <c r="Y6" t="n">
        <v>0</v>
      </c>
    </row>
    <row r="7">
      <c r="A7" t="n">
        <v>943209</v>
      </c>
      <c r="B7" t="inlineStr">
        <is>
          <t>MEGH STEELS PRIVATE LIMITED - TVS A</t>
        </is>
      </c>
      <c r="C7" t="n">
        <v>3534935</v>
      </c>
      <c r="D7" t="inlineStr">
        <is>
          <t>TUB-O-N-AUT-AW-PE-22.20X1.600X5.8000</t>
        </is>
      </c>
      <c r="E7" t="n">
        <v>5.8</v>
      </c>
      <c r="F7" t="inlineStr">
        <is>
          <t>22.23-0-1.6-ERW 1-PE</t>
        </is>
      </c>
      <c r="G7" t="inlineStr">
        <is>
          <t>22.23-0-1.6-ERW 1-PE-5.67</t>
        </is>
      </c>
      <c r="J7" t="inlineStr">
        <is>
          <t>0000943209</t>
        </is>
      </c>
      <c r="K7" t="inlineStr">
        <is>
          <t>MEGH STEELS PRIVATE LIMITED - TVS A</t>
        </is>
      </c>
      <c r="L7" t="n">
        <v>3502422</v>
      </c>
      <c r="M7" t="inlineStr">
        <is>
          <t>TUB-O-N-AUT-AW-FC-48.60X3.500X6.0500</t>
        </is>
      </c>
      <c r="N7" t="inlineStr">
        <is>
          <t>48.6-0-3.5-ERW 1-FC-6</t>
        </is>
      </c>
      <c r="O7" s="43">
        <f>SUMIFS(meghsteelsales_currentmonth[Quantity],meghsteelsales_currentmonth[Length Bucket],'MeghSteel Buckets_use file'!N7)/1000</f>
        <v/>
      </c>
      <c r="P7" s="43">
        <f>SUMIFS('Apr VSM Schedule'!$AA$2:$AA$71,'Apr VSM Schedule'!$O$2:$O$71,'MeghSteel Buckets_use file'!N7)</f>
        <v/>
      </c>
      <c r="Q7" s="43">
        <f>O7-P7</f>
        <v/>
      </c>
      <c r="T7" t="inlineStr">
        <is>
          <t>57.15-0-2.5-ERW 1-FC-5.75</t>
        </is>
      </c>
      <c r="U7" t="inlineStr">
        <is>
          <t>22.23-0-1.6-ERW 1-PE-5.67</t>
        </is>
      </c>
      <c r="V7">
        <f>SUMIFS(meghsteelsales_currentmonth[Quantity],meghsteelsales_currentmonth[Length Bucket],U7)</f>
        <v/>
      </c>
      <c r="Y7" t="n">
        <v>0</v>
      </c>
    </row>
    <row r="8">
      <c r="A8" t="n">
        <v>943209</v>
      </c>
      <c r="B8" t="inlineStr">
        <is>
          <t>MEGH STEELS PRIVATE LIMITED - TVS A</t>
        </is>
      </c>
      <c r="C8" t="n">
        <v>3905466</v>
      </c>
      <c r="D8" t="inlineStr">
        <is>
          <t>TUB-O-N-AUT-AW-PE-22.20X2.000X5.9510</t>
        </is>
      </c>
      <c r="E8" t="n">
        <v>5.951</v>
      </c>
      <c r="F8" t="inlineStr">
        <is>
          <t>22.23-0-2-ERW 1-PE</t>
        </is>
      </c>
      <c r="G8">
        <f>_xlfn.CONCAT(F8,"-",E8)</f>
        <v/>
      </c>
      <c r="J8" t="inlineStr">
        <is>
          <t>0000943209</t>
        </is>
      </c>
      <c r="K8" t="inlineStr">
        <is>
          <t>MEGH STEELS PRIVATE LIMITED - TVS A</t>
        </is>
      </c>
      <c r="L8" t="n">
        <v>3502007</v>
      </c>
      <c r="M8" t="inlineStr">
        <is>
          <t>TUB-O-N-AUT-AH-FC-38.10X2.500X6.1900 HST</t>
        </is>
      </c>
      <c r="N8" t="inlineStr">
        <is>
          <t>38.1-0-2.5-ERW 2 MAHS-FC-6.19</t>
        </is>
      </c>
      <c r="O8" s="43">
        <f>SUMIFS(meghsteelsales_currentmonth[Quantity],meghsteelsales_currentmonth[Length Bucket],'MeghSteel Buckets_use file'!N8)/1000</f>
        <v/>
      </c>
      <c r="P8" s="43">
        <f>SUMIFS('Apr VSM Schedule'!$AA$2:$AA$71,'Apr VSM Schedule'!$O$2:$O$71,'MeghSteel Buckets_use file'!N8)</f>
        <v/>
      </c>
      <c r="Q8" s="43">
        <f>O8-P8</f>
        <v/>
      </c>
      <c r="T8" t="inlineStr">
        <is>
          <t>60.3-0-2-ERW 1-FC-5.9</t>
        </is>
      </c>
      <c r="U8" t="inlineStr">
        <is>
          <t>22.23-0-2-ERW 1-PE-5.39</t>
        </is>
      </c>
      <c r="V8">
        <f>SUMIFS(meghsteelsales_currentmonth[Quantity],meghsteelsales_currentmonth[Length Bucket],U8)</f>
        <v/>
      </c>
      <c r="Y8" t="n">
        <v>0</v>
      </c>
    </row>
    <row r="9">
      <c r="A9" t="n">
        <v>943210</v>
      </c>
      <c r="B9" t="inlineStr">
        <is>
          <t>MEGH STEELS PRIVATE LIMITED - HMSIL</t>
        </is>
      </c>
      <c r="C9" t="n">
        <v>3568328</v>
      </c>
      <c r="D9" t="inlineStr">
        <is>
          <t>TUB-O-N-AUT-AW-FC-22.20X2.000X5.3900</t>
        </is>
      </c>
      <c r="E9" t="n">
        <v>5.39</v>
      </c>
      <c r="F9" t="inlineStr">
        <is>
          <t>22.23-0-2-ERW 1-FC</t>
        </is>
      </c>
      <c r="G9" t="inlineStr">
        <is>
          <t>22.23-0-2-ERW 1-PE-5.39</t>
        </is>
      </c>
      <c r="J9" t="inlineStr">
        <is>
          <t>0000943209</t>
        </is>
      </c>
      <c r="K9" t="inlineStr">
        <is>
          <t>MEGH STEELS PRIVATE LIMITED - TVS A</t>
        </is>
      </c>
      <c r="L9" t="n">
        <v>4045220</v>
      </c>
      <c r="M9" t="inlineStr">
        <is>
          <t>TUB-O-N-AUT-AW-FC-57.15X2.500X5.9500</t>
        </is>
      </c>
      <c r="N9" t="inlineStr">
        <is>
          <t>57.15-0-2.5-ERW 1-FC-5.95</t>
        </is>
      </c>
      <c r="O9" s="43">
        <f>SUMIFS(meghsteelsales_currentmonth[Quantity],meghsteelsales_currentmonth[Length Bucket],'MeghSteel Buckets_use file'!N9)/1000</f>
        <v/>
      </c>
      <c r="P9" s="43">
        <f>SUMIFS('Apr VSM Schedule'!$AA$2:$AA$71,'Apr VSM Schedule'!$O$2:$O$71,'MeghSteel Buckets_use file'!N9)</f>
        <v/>
      </c>
      <c r="Q9" s="43">
        <f>O9-P9</f>
        <v/>
      </c>
      <c r="U9" t="inlineStr">
        <is>
          <t>22.23-0-2-ERW 1-PE-5.951</t>
        </is>
      </c>
      <c r="V9">
        <f>SUMIFS(meghsteelsales_currentmonth[Quantity],meghsteelsales_currentmonth[Length Bucket],U9)</f>
        <v/>
      </c>
      <c r="Y9" t="inlineStr">
        <is>
          <t>48.62.36.27HSTFIN CUT-6.27</t>
        </is>
      </c>
    </row>
    <row r="10">
      <c r="A10" t="n">
        <v>943209</v>
      </c>
      <c r="B10" t="inlineStr">
        <is>
          <t>MEGH STEELS PRIVATE LIMITED - TVS A</t>
        </is>
      </c>
      <c r="C10" t="n">
        <v>521118</v>
      </c>
      <c r="D10" t="inlineStr">
        <is>
          <t>PT2-O-N-AUT-AW-PE-22.20X1.200X1.162</t>
        </is>
      </c>
      <c r="E10" t="n">
        <v>1.162</v>
      </c>
      <c r="F10" t="inlineStr">
        <is>
          <t>22.23-0-2-ERW 1-PE</t>
        </is>
      </c>
      <c r="G10" t="inlineStr">
        <is>
          <t>22.23-0-2-ERW 1-PE-5.951</t>
        </is>
      </c>
      <c r="J10" t="inlineStr">
        <is>
          <t>0000943210</t>
        </is>
      </c>
      <c r="K10" t="inlineStr">
        <is>
          <t>MEGH STEELS PRIVATE LIMITED - HMSIL</t>
        </is>
      </c>
      <c r="L10" t="n">
        <v>3673889</v>
      </c>
      <c r="M10" t="inlineStr">
        <is>
          <t>TUB-O-N-AUT-AW-FC-41.28X3.150X5.8600</t>
        </is>
      </c>
      <c r="N10" t="inlineStr">
        <is>
          <t>41.28-0-3.15-ERW 1-FC-5.86</t>
        </is>
      </c>
      <c r="O10" s="43">
        <f>SUMIFS(meghsteelsales_currentmonth[Quantity],meghsteelsales_currentmonth[Length Bucket],'MeghSteel Buckets_use file'!N10)/1000</f>
        <v/>
      </c>
      <c r="P10" s="43" t="n"/>
      <c r="Q10" s="43">
        <f>O10-P10</f>
        <v/>
      </c>
      <c r="U10" t="inlineStr">
        <is>
          <t>25.4-0-2.5-ERW 1-PE-5.53</t>
        </is>
      </c>
      <c r="V10">
        <f>SUMIFS(meghsteelsales_currentmonth[Quantity],meghsteelsales_currentmonth[Length Bucket],U10)</f>
        <v/>
      </c>
      <c r="Y10" t="n">
        <v>0</v>
      </c>
    </row>
    <row r="11">
      <c r="A11" t="n">
        <v>943209</v>
      </c>
      <c r="B11" t="inlineStr">
        <is>
          <t>MEGH STEELS PRIVATE LIMITED - TVS A</t>
        </is>
      </c>
      <c r="C11" t="n">
        <v>3502494</v>
      </c>
      <c r="D11" t="inlineStr">
        <is>
          <t>TUB-O-N-AUT-AW-FC-22.20X2.000X6.0010</t>
        </is>
      </c>
      <c r="E11" t="n">
        <v>6.001</v>
      </c>
      <c r="F11" t="inlineStr">
        <is>
          <t>22.23-0-2-ERW 2 MAHS-FC</t>
        </is>
      </c>
      <c r="G11">
        <f>_xlfn.CONCAT(F11,"-",E11)</f>
        <v/>
      </c>
      <c r="J11" t="inlineStr">
        <is>
          <t>0000943209</t>
        </is>
      </c>
      <c r="K11" t="inlineStr">
        <is>
          <t>MEGH STEELS PRIVATE LIMITED - TVS A</t>
        </is>
      </c>
      <c r="L11" t="n">
        <v>4173571</v>
      </c>
      <c r="M11" t="inlineStr">
        <is>
          <t>TUB-O-N-AUT-AW-PE-22.20X1.600X5.6850</t>
        </is>
      </c>
      <c r="N11" t="n">
        <v>0</v>
      </c>
      <c r="O11" s="43">
        <f>SUMIFS(meghsteelsales_currentmonth[Quantity],meghsteelsales_currentmonth[Length Bucket],'MeghSteel Buckets_use file'!N11)/1000</f>
        <v/>
      </c>
      <c r="P11" s="43">
        <f>SUMIFS('Apr VSM Schedule'!$AA$2:$AA$71,'Apr VSM Schedule'!$O$2:$O$71,'MeghSteel Buckets_use file'!N11)</f>
        <v/>
      </c>
      <c r="Q11" s="43">
        <f>O11-P11</f>
        <v/>
      </c>
      <c r="U11" t="inlineStr">
        <is>
          <t>31.75-0-2.3-ERW 1-FC-5.92</t>
        </is>
      </c>
      <c r="V11">
        <f>SUMIFS(meghsteelsales_currentmonth[Quantity],meghsteelsales_currentmonth[Length Bucket],U11)</f>
        <v/>
      </c>
      <c r="Y11" t="n">
        <v>0</v>
      </c>
    </row>
    <row r="12">
      <c r="A12" t="n">
        <v>943209</v>
      </c>
      <c r="B12" t="inlineStr">
        <is>
          <t>MEGH STEELS PRIVATE LIMITED - TVS A</t>
        </is>
      </c>
      <c r="C12" t="n">
        <v>3500097</v>
      </c>
      <c r="D12" t="inlineStr">
        <is>
          <t>TUB-O-N-AUT-AW-PE-25.40X1.60X6.000-ERW 1</t>
        </is>
      </c>
      <c r="E12" t="n">
        <v>6</v>
      </c>
      <c r="F12" t="inlineStr">
        <is>
          <t>25.4-0-1.6-ERW 1-PE</t>
        </is>
      </c>
      <c r="G12">
        <f>_xlfn.CONCAT(F12,"-",E12)</f>
        <v/>
      </c>
      <c r="J12" t="inlineStr">
        <is>
          <t>0000943209</t>
        </is>
      </c>
      <c r="K12" t="inlineStr">
        <is>
          <t>MEGH STEELS PRIVATE LIMITED - TVS A</t>
        </is>
      </c>
      <c r="L12" t="n">
        <v>3882110</v>
      </c>
      <c r="M12" t="inlineStr">
        <is>
          <t>TUB-O-N-AUT-AW-PE-22.20X1.200X5.8700</t>
        </is>
      </c>
      <c r="N12" t="inlineStr">
        <is>
          <t>22.23-0-1.2-ERW 1-PE-5.87</t>
        </is>
      </c>
      <c r="O12" s="43">
        <f>SUMIFS(meghsteelsales_currentmonth[Quantity],meghsteelsales_currentmonth[Length Bucket],'MeghSteel Buckets_use file'!N12)/1000</f>
        <v/>
      </c>
      <c r="P12" s="43">
        <f>SUMIFS('Apr VSM Schedule'!$AA$2:$AA$71,'Apr VSM Schedule'!$O$2:$O$71,'MeghSteel Buckets_use file'!N12)</f>
        <v/>
      </c>
      <c r="Q12" s="43">
        <f>O12-P12</f>
        <v/>
      </c>
      <c r="U12" t="inlineStr">
        <is>
          <t>34.93-0-1.2-ERW 1-FC-0.620</t>
        </is>
      </c>
      <c r="V12">
        <f>SUMIFS(meghsteelsales_currentmonth[Quantity],meghsteelsales_currentmonth[Length Bucket],U12)</f>
        <v/>
      </c>
      <c r="Y12" t="n">
        <v>0</v>
      </c>
    </row>
    <row r="13">
      <c r="A13" t="n">
        <v>943209</v>
      </c>
      <c r="B13" t="inlineStr">
        <is>
          <t>MEGH STEELS PRIVATE LIMITED - TVS A</t>
        </is>
      </c>
      <c r="C13" t="n">
        <v>3502256</v>
      </c>
      <c r="D13" t="inlineStr">
        <is>
          <t>TUB-O-N-AUT-AW-PE-25.40X2.500X5.5300</t>
        </is>
      </c>
      <c r="E13" t="n">
        <v>5.53</v>
      </c>
      <c r="F13" t="inlineStr">
        <is>
          <t>25.4-0-2.5-ERW 1-PE</t>
        </is>
      </c>
      <c r="G13">
        <f>_xlfn.CONCAT(F13,"-",E13)</f>
        <v/>
      </c>
      <c r="J13" t="inlineStr">
        <is>
          <t>0000943209</t>
        </is>
      </c>
      <c r="K13" t="inlineStr">
        <is>
          <t>MEGH STEELS PRIVATE LIMITED - TVS A</t>
        </is>
      </c>
      <c r="L13" t="n">
        <v>3498997</v>
      </c>
      <c r="M13" t="inlineStr">
        <is>
          <t>TUB-O-N-AUT-AW-PE-19.05X1.60X6.000-ERW 1</t>
        </is>
      </c>
      <c r="N13" t="inlineStr">
        <is>
          <t>19.05-0-1.6-ERW 1-PE-6</t>
        </is>
      </c>
      <c r="O13" s="43">
        <f>SUMIFS(meghsteelsales_currentmonth[Quantity],meghsteelsales_currentmonth[Length Bucket],'MeghSteel Buckets_use file'!N13)/1000</f>
        <v/>
      </c>
      <c r="P13" s="43">
        <f>SUMIFS('Apr VSM Schedule'!$AA$2:$AA$71,'Apr VSM Schedule'!$O$2:$O$71,'MeghSteel Buckets_use file'!N13)</f>
        <v/>
      </c>
      <c r="Q13" s="43">
        <f>O13-P13</f>
        <v/>
      </c>
      <c r="U13" t="inlineStr">
        <is>
          <t>38.1-0-1.6-ERW 1-FC-6.19</t>
        </is>
      </c>
      <c r="V13">
        <f>SUMIFS(meghsteelsales_currentmonth[Quantity],meghsteelsales_currentmonth[Length Bucket],U13)</f>
        <v/>
      </c>
      <c r="Y13" t="n">
        <v>0</v>
      </c>
    </row>
    <row r="14">
      <c r="A14" t="n">
        <v>943209</v>
      </c>
      <c r="B14" t="inlineStr">
        <is>
          <t>MEGH STEELS PRIVATE LIMITED - TVS A</t>
        </is>
      </c>
      <c r="C14" t="n">
        <v>3171772</v>
      </c>
      <c r="D14" t="inlineStr">
        <is>
          <t>TUB-O-N-AUT-AW-PE-31.75X1.200X6.0000</t>
        </is>
      </c>
      <c r="E14" t="n">
        <v>6</v>
      </c>
      <c r="F14" t="inlineStr">
        <is>
          <t>31.75-0-1.2-ERW 1-PE</t>
        </is>
      </c>
      <c r="G14">
        <f>_xlfn.CONCAT(F14,"-",E14)</f>
        <v/>
      </c>
      <c r="J14" t="inlineStr">
        <is>
          <t>0000943209</t>
        </is>
      </c>
      <c r="K14" t="inlineStr">
        <is>
          <t>MEGH STEELS PRIVATE LIMITED - TVS A</t>
        </is>
      </c>
      <c r="L14" t="n">
        <v>3954021</v>
      </c>
      <c r="M14" t="inlineStr">
        <is>
          <t>TUB-O-N-AUT-AW-PE-22.20X1.600X5.6700</t>
        </is>
      </c>
      <c r="N14" t="inlineStr">
        <is>
          <t>22.23-0-1.6-ERW 1-PE-5.67</t>
        </is>
      </c>
      <c r="O14" s="43">
        <f>SUMIFS(meghsteelsales_currentmonth[Quantity],meghsteelsales_currentmonth[Length Bucket],'MeghSteel Buckets_use file'!N14)/1000</f>
        <v/>
      </c>
      <c r="P14" s="43">
        <f>SUMIFS('Apr VSM Schedule'!$AA$2:$AA$71,'Apr VSM Schedule'!$O$2:$O$71,'MeghSteel Buckets_use file'!N14)</f>
        <v/>
      </c>
      <c r="Q14" s="43">
        <f>O14-P14</f>
        <v/>
      </c>
      <c r="U14" t="inlineStr">
        <is>
          <t>38.1-0-2.5-ERW 2 MAHS-FC-6.19</t>
        </is>
      </c>
      <c r="V14">
        <f>SUMIFS(meghsteelsales_currentmonth[Quantity],meghsteelsales_currentmonth[Length Bucket],U14)</f>
        <v/>
      </c>
    </row>
    <row r="15">
      <c r="A15" t="n">
        <v>943209</v>
      </c>
      <c r="B15" t="inlineStr">
        <is>
          <t>MEGH STEELS PRIVATE LIMITED - TVS A</t>
        </is>
      </c>
      <c r="C15" t="n">
        <v>3500081</v>
      </c>
      <c r="D15" t="inlineStr">
        <is>
          <t>TUB-O-N-AUT-AW-FC-31.75X2.30X6.000-ERW 1</t>
        </is>
      </c>
      <c r="E15" t="n">
        <v>6</v>
      </c>
      <c r="F15" t="inlineStr">
        <is>
          <t>31.75--2.3-ERW 1-FIN CUT</t>
        </is>
      </c>
      <c r="G15">
        <f>_xlfn.CONCAT(F15,"-",E15)</f>
        <v/>
      </c>
      <c r="J15" t="inlineStr">
        <is>
          <t>0000943209</t>
        </is>
      </c>
      <c r="K15" t="inlineStr">
        <is>
          <t>MEGH STEELS PRIVATE LIMITED - TVS A</t>
        </is>
      </c>
      <c r="L15" t="n">
        <v>3501116</v>
      </c>
      <c r="M15" t="inlineStr">
        <is>
          <t>TUB-O-N-AUT-AW-PE-22.20X1.600X5.2640</t>
        </is>
      </c>
      <c r="N15" t="n">
        <v>0</v>
      </c>
      <c r="O15" s="43">
        <f>SUMIFS(meghsteelsales_currentmonth[Quantity],meghsteelsales_currentmonth[Length Bucket],'MeghSteel Buckets_use file'!N15)/1000</f>
        <v/>
      </c>
      <c r="P15" s="43">
        <f>SUMIFS('Apr VSM Schedule'!$AA$2:$AA$71,'Apr VSM Schedule'!$O$2:$O$71,'MeghSteel Buckets_use file'!N15)</f>
        <v/>
      </c>
      <c r="Q15" s="43">
        <f>O15-P15</f>
        <v/>
      </c>
      <c r="U15" t="inlineStr">
        <is>
          <t>41.28-0-2.6-ERW 1-FC-6</t>
        </is>
      </c>
      <c r="V15">
        <f>SUMIFS(meghsteelsales_currentmonth[Quantity],meghsteelsales_currentmonth[Length Bucket],U15)</f>
        <v/>
      </c>
    </row>
    <row r="16">
      <c r="A16" t="n">
        <v>943211</v>
      </c>
      <c r="B16" t="inlineStr">
        <is>
          <t>MEGH STEELS PRIVATE LIMITED - RE</t>
        </is>
      </c>
      <c r="C16" t="n">
        <v>3649699</v>
      </c>
      <c r="D16" t="inlineStr">
        <is>
          <t>TUB-O-N-AUT-AW-FC-34.93X1.200X0.7000</t>
        </is>
      </c>
      <c r="E16" t="n">
        <v>0.7</v>
      </c>
      <c r="F16" t="inlineStr">
        <is>
          <t>34.93-0-1.2-ERW 1-FC</t>
        </is>
      </c>
      <c r="G16">
        <f>_xlfn.CONCAT(F16,"-",E16)</f>
        <v/>
      </c>
      <c r="J16" t="inlineStr">
        <is>
          <t>0000943210</t>
        </is>
      </c>
      <c r="K16" t="inlineStr">
        <is>
          <t>MEGH STEELS PRIVATE LIMITED - HMSIL</t>
        </is>
      </c>
      <c r="L16" t="n">
        <v>3501105</v>
      </c>
      <c r="M16" t="inlineStr">
        <is>
          <t>TUB-O-N-AUT-AW-FC-57.15X3.000X5.65-ERW 1</t>
        </is>
      </c>
      <c r="N16" t="n">
        <v>0</v>
      </c>
      <c r="O16" s="43">
        <f>SUMIFS(meghsteelsales_currentmonth[Quantity],meghsteelsales_currentmonth[Length Bucket],'MeghSteel Buckets_use file'!N16)/1000</f>
        <v/>
      </c>
      <c r="P16" s="43">
        <f>SUMIFS('Apr VSM Schedule'!$AA$2:$AA$71,'Apr VSM Schedule'!$O$2:$O$71,'MeghSteel Buckets_use file'!N16)</f>
        <v/>
      </c>
      <c r="Q16" s="43">
        <f>O16-P16</f>
        <v/>
      </c>
      <c r="U16" t="inlineStr">
        <is>
          <t>41.28-0-3.15-ERW 1-FC-5.86</t>
        </is>
      </c>
      <c r="V16">
        <f>SUMIFS(meghsteelsales_currentmonth[Quantity],meghsteelsales_currentmonth[Length Bucket],U16)</f>
        <v/>
      </c>
    </row>
    <row r="17">
      <c r="A17" t="n">
        <v>943209</v>
      </c>
      <c r="B17" t="inlineStr">
        <is>
          <t>MEGH STEELS PRIVATE LIMITED - TVS A</t>
        </is>
      </c>
      <c r="C17" t="n">
        <v>3502254</v>
      </c>
      <c r="D17" t="inlineStr">
        <is>
          <t>TUB-O-N-AUT-AW-FC-38.10X1.600X6.1900</t>
        </is>
      </c>
      <c r="E17" t="n">
        <v>6.19</v>
      </c>
      <c r="F17" t="inlineStr">
        <is>
          <t>38.1-0-1.6-ERW 1-FC</t>
        </is>
      </c>
      <c r="G17">
        <f>_xlfn.CONCAT(F17,"-",E17)</f>
        <v/>
      </c>
      <c r="J17" t="inlineStr">
        <is>
          <t>0000943210</t>
        </is>
      </c>
      <c r="K17" t="inlineStr">
        <is>
          <t>MEGH STEELS PRIVATE LIMITED - HMSIL</t>
        </is>
      </c>
      <c r="L17" t="n">
        <v>3502301</v>
      </c>
      <c r="M17" t="inlineStr">
        <is>
          <t>TUB-O-N-AUT-AW-FC-48.60X2.000X6.270 HST</t>
        </is>
      </c>
      <c r="N17" t="n">
        <v>0</v>
      </c>
      <c r="O17" s="43">
        <f>SUMIFS(meghsteelsales_currentmonth[Quantity],meghsteelsales_currentmonth[Length Bucket],'MeghSteel Buckets_use file'!N17)/1000</f>
        <v/>
      </c>
      <c r="P17" s="43">
        <f>SUMIFS('Apr VSM Schedule'!$AA$2:$AA$71,'Apr VSM Schedule'!$O$2:$O$71,'MeghSteel Buckets_use file'!N17)</f>
        <v/>
      </c>
      <c r="Q17" s="43">
        <f>O17-P17</f>
        <v/>
      </c>
      <c r="U17" t="inlineStr">
        <is>
          <t>42.7-0-3.5-ERW 1-FC-6</t>
        </is>
      </c>
      <c r="V17">
        <f>SUMIFS(meghsteelsales_currentmonth[Quantity],meghsteelsales_currentmonth[Length Bucket],U17)</f>
        <v/>
      </c>
    </row>
    <row r="18">
      <c r="A18" t="n">
        <v>943209</v>
      </c>
      <c r="B18" t="inlineStr">
        <is>
          <t>MEGH STEELS PRIVATE LIMITED - TVS A</t>
        </is>
      </c>
      <c r="C18" t="n">
        <v>3502007</v>
      </c>
      <c r="D18" t="inlineStr">
        <is>
          <t>TUB-O-N-AUT-AH-FC-38.10X2.500X6.1900 HST</t>
        </is>
      </c>
      <c r="E18" t="n">
        <v>6.19</v>
      </c>
      <c r="F18" t="inlineStr">
        <is>
          <t>38.1-0-2.5-ERW 2 MAHS-FC</t>
        </is>
      </c>
      <c r="G18">
        <f>_xlfn.CONCAT(F18,"-",E18)</f>
        <v/>
      </c>
      <c r="J18" t="inlineStr">
        <is>
          <t>0000943210</t>
        </is>
      </c>
      <c r="K18" t="inlineStr">
        <is>
          <t>MEGH STEELS PRIVATE LIMITED - HMSIL</t>
        </is>
      </c>
      <c r="L18" t="n">
        <v>3549720</v>
      </c>
      <c r="M18" t="inlineStr">
        <is>
          <t>TUB-O-N-AUT-AW-FC-48.60X2.300X6.270 HST</t>
        </is>
      </c>
      <c r="N18" t="inlineStr">
        <is>
          <t>48.62.36.27HSTFIN CUT-6.27</t>
        </is>
      </c>
      <c r="O18" s="43">
        <f>SUMIFS(meghsteelsales_currentmonth[Quantity],meghsteelsales_currentmonth[Length Bucket],'MeghSteel Buckets_use file'!N18)/1000</f>
        <v/>
      </c>
      <c r="P18" s="43">
        <f>SUMIFS('Apr VSM Schedule'!$AA$2:$AA$71,'Apr VSM Schedule'!$O$2:$O$71,'MeghSteel Buckets_use file'!N18)</f>
        <v/>
      </c>
      <c r="Q18" s="43">
        <f>O18-P18</f>
        <v/>
      </c>
      <c r="U18" t="inlineStr">
        <is>
          <t>42.7-0-4-ERW 1-FC-6</t>
        </is>
      </c>
      <c r="V18">
        <f>SUMIFS(meghsteelsales_currentmonth[Quantity],meghsteelsales_currentmonth[Length Bucket],U18)</f>
        <v/>
      </c>
    </row>
    <row r="19">
      <c r="A19" t="n">
        <v>943209</v>
      </c>
      <c r="B19" t="inlineStr">
        <is>
          <t>MEGH STEELS PRIVATE LIMITED - TVS A</t>
        </is>
      </c>
      <c r="C19" t="n">
        <v>3500959</v>
      </c>
      <c r="D19" t="inlineStr">
        <is>
          <t>TUB-O-N-AUT-AW-FC-38.10X2.00X5.650-ERW 1</t>
        </is>
      </c>
      <c r="E19" t="n">
        <v>5.65</v>
      </c>
      <c r="F19" t="inlineStr">
        <is>
          <t>38.1-0-2-ERW 1-FC</t>
        </is>
      </c>
      <c r="G19">
        <f>_xlfn.CONCAT(F19,"-",E19)</f>
        <v/>
      </c>
      <c r="J19" t="inlineStr">
        <is>
          <t>0000943210</t>
        </is>
      </c>
      <c r="K19" t="inlineStr">
        <is>
          <t>MEGH STEELS PRIVATE LIMITED - HMSIL</t>
        </is>
      </c>
      <c r="L19" t="n">
        <v>3891285</v>
      </c>
      <c r="M19" t="inlineStr">
        <is>
          <t>TUB-O-N-AUT-AW-PE-19.05X1.40X6.000 HST</t>
        </is>
      </c>
      <c r="N19" t="n">
        <v>0</v>
      </c>
      <c r="O19" s="43">
        <f>SUMIFS(meghsteelsales_currentmonth[Quantity],meghsteelsales_currentmonth[Length Bucket],'MeghSteel Buckets_use file'!N19)/1000</f>
        <v/>
      </c>
      <c r="P19" s="43" t="n"/>
      <c r="Q19" s="43">
        <f>O19-P19</f>
        <v/>
      </c>
      <c r="U19" t="inlineStr">
        <is>
          <t>45--1.4-ERW 1-FIN CUT-5.7</t>
        </is>
      </c>
      <c r="V19">
        <f>SUMIFS(meghsteelsales_currentmonth[Quantity],meghsteelsales_currentmonth[Length Bucket],U19)</f>
        <v/>
      </c>
    </row>
    <row r="20">
      <c r="A20" t="n">
        <v>943209</v>
      </c>
      <c r="B20" t="inlineStr">
        <is>
          <t>MEGH STEELS PRIVATE LIMITED - TVS A</t>
        </is>
      </c>
      <c r="C20" t="n">
        <v>3502252</v>
      </c>
      <c r="D20" t="inlineStr">
        <is>
          <t>TUB-O-N-AUT-AW-FC-41.28X2.600X6.0800</t>
        </is>
      </c>
      <c r="E20" t="n">
        <v>6.08</v>
      </c>
      <c r="F20" t="inlineStr">
        <is>
          <t>41.28-0-2.6-ERW 1-FC</t>
        </is>
      </c>
      <c r="G20" t="inlineStr">
        <is>
          <t>41.28-0-2.6-ERW 1-FC-6</t>
        </is>
      </c>
      <c r="J20" t="inlineStr">
        <is>
          <t>0000943211</t>
        </is>
      </c>
      <c r="K20" t="inlineStr">
        <is>
          <t>MEGH STEELS PRIVATE LIMITED - RE</t>
        </is>
      </c>
      <c r="L20" t="n">
        <v>3499396</v>
      </c>
      <c r="M20" t="inlineStr">
        <is>
          <t>TUB-O-N-AUT-AW-FC-34.93X1.200X5.900</t>
        </is>
      </c>
      <c r="N20" t="n">
        <v>0</v>
      </c>
      <c r="O20" s="43">
        <f>SUMIFS(meghsteelsales_currentmonth[Quantity],meghsteelsales_currentmonth[Length Bucket],'MeghSteel Buckets_use file'!N20)/1000</f>
        <v/>
      </c>
      <c r="P20" s="43">
        <f>SUMIFS('Apr VSM Schedule'!$AA$2:$AA$71,'Apr VSM Schedule'!$O$2:$O$71,'MeghSteel Buckets_use file'!N20)</f>
        <v/>
      </c>
      <c r="Q20" s="43">
        <f>O20-P20</f>
        <v/>
      </c>
      <c r="U20" t="inlineStr">
        <is>
          <t>48.6-0-3.5-ERW 1-FC-6</t>
        </is>
      </c>
      <c r="V20">
        <f>SUMIFS(meghsteelsales_currentmonth[Quantity],meghsteelsales_currentmonth[Length Bucket],U20)</f>
        <v/>
      </c>
    </row>
    <row r="21">
      <c r="A21" t="n">
        <v>943209</v>
      </c>
      <c r="B21" t="inlineStr">
        <is>
          <t>MEGH STEELS PRIVATE LIMITED - TVS A</t>
        </is>
      </c>
      <c r="C21" t="n">
        <v>3239889</v>
      </c>
      <c r="D21" t="inlineStr">
        <is>
          <t>TUB-O-N-AUT-AW-FC-41.28X2.600X6.0800</t>
        </is>
      </c>
      <c r="E21" t="n">
        <v>6.08</v>
      </c>
      <c r="F21" t="inlineStr">
        <is>
          <t>41.28-0-2.6-ERW 1-FC</t>
        </is>
      </c>
      <c r="G21" t="inlineStr">
        <is>
          <t>41.28-0-2.6-ERW 1-FC-6</t>
        </is>
      </c>
      <c r="J21" t="inlineStr">
        <is>
          <t>0000943209</t>
        </is>
      </c>
      <c r="K21" t="inlineStr">
        <is>
          <t>MEGH STEELS PRIVATE LIMITED - TVS A</t>
        </is>
      </c>
      <c r="L21" t="n">
        <v>3502256</v>
      </c>
      <c r="M21" t="inlineStr">
        <is>
          <t>TUB-O-N-AUT-AW-PE-25.40X2.500X5.5300</t>
        </is>
      </c>
      <c r="N21" t="inlineStr">
        <is>
          <t>25.4-0-2.5-ERW 1-PE-5.53</t>
        </is>
      </c>
      <c r="O21" s="43">
        <f>SUMIFS(meghsteelsales_currentmonth[Quantity],meghsteelsales_currentmonth[Length Bucket],'MeghSteel Buckets_use file'!N21)/1000</f>
        <v/>
      </c>
      <c r="P21" s="43" t="n"/>
      <c r="Q21" s="43" t="n"/>
      <c r="U21" t="inlineStr">
        <is>
          <t>48.62.36.27HSTFIN CUT-6.27</t>
        </is>
      </c>
      <c r="V21">
        <f>SUMIFS(meghsteelsales_currentmonth[Quantity],meghsteelsales_currentmonth[Length Bucket],U21)</f>
        <v/>
      </c>
    </row>
    <row r="22">
      <c r="A22" t="n">
        <v>943209</v>
      </c>
      <c r="B22" t="inlineStr">
        <is>
          <t>MEGH STEELS PRIVATE LIMITED - TVS A</t>
        </is>
      </c>
      <c r="C22" t="n">
        <v>3500650</v>
      </c>
      <c r="D22" t="inlineStr">
        <is>
          <t>TUB-O-N-AUT-BH-FC-42.70X3.500X6.000</t>
        </is>
      </c>
      <c r="E22" t="n">
        <v>6</v>
      </c>
      <c r="F22" t="inlineStr">
        <is>
          <t>42.7-0-3.5-ERW 1-FC</t>
        </is>
      </c>
      <c r="G22">
        <f>_xlfn.CONCAT(F22,"-",E22)</f>
        <v/>
      </c>
      <c r="J22" t="inlineStr">
        <is>
          <t>0000943209</t>
        </is>
      </c>
      <c r="K22" t="inlineStr">
        <is>
          <t>MEGH STEELS PRIVATE LIMITED - TVS A</t>
        </is>
      </c>
      <c r="L22" t="n">
        <v>3500650</v>
      </c>
      <c r="M22" t="inlineStr">
        <is>
          <t>TUB-O-N-AUT-BH-FC-42.70X3.500X6.000</t>
        </is>
      </c>
      <c r="N22" t="inlineStr">
        <is>
          <t>42.7-0-3.5-ERW 1-FC-6</t>
        </is>
      </c>
      <c r="O22" s="43">
        <f>SUMIFS(meghsteelsales_currentmonth[Quantity],meghsteelsales_currentmonth[Length Bucket],'MeghSteel Buckets_use file'!N22)/1000</f>
        <v/>
      </c>
      <c r="P22" s="43">
        <f>SUMIFS('Apr VSM Schedule'!$AA$2:$AA$71,'Apr VSM Schedule'!$O$2:$O$71,'MeghSteel Buckets_use file'!N22)</f>
        <v/>
      </c>
      <c r="Q22" s="43">
        <f>O22-P22</f>
        <v/>
      </c>
      <c r="U22" t="inlineStr">
        <is>
          <t>50-50-1.6-ERW 1-FIN CUT-6.04</t>
        </is>
      </c>
      <c r="V22">
        <f>SUMIFS(meghsteelsales_currentmonth[Quantity],meghsteelsales_currentmonth[Length Bucket],U22)</f>
        <v/>
      </c>
    </row>
    <row r="23">
      <c r="A23" t="n">
        <v>943210</v>
      </c>
      <c r="B23" t="inlineStr">
        <is>
          <t>MEGH STEELS PRIVATE LIMITED - HMSIL</t>
        </is>
      </c>
      <c r="C23" t="n">
        <v>3502189</v>
      </c>
      <c r="D23" t="inlineStr">
        <is>
          <t>TUB-O-N-AUT-AW-FC-45.00X1.400X6.460 HST</t>
        </is>
      </c>
      <c r="E23" t="n">
        <v>6.46</v>
      </c>
      <c r="F23" t="inlineStr">
        <is>
          <t>45--1.4-ERW 2-FIN CUT</t>
        </is>
      </c>
      <c r="G23">
        <f>_xlfn.CONCAT(F23,"-",E23)</f>
        <v/>
      </c>
      <c r="J23" t="inlineStr">
        <is>
          <t>0000943209</t>
        </is>
      </c>
      <c r="K23" t="inlineStr">
        <is>
          <t>MEGH STEELS PRIVATE LIMITED - TVS A</t>
        </is>
      </c>
      <c r="L23" t="n">
        <v>3500391</v>
      </c>
      <c r="M23" t="inlineStr">
        <is>
          <t>TUB-O-N-AUT-AW-FC-54.00X3.000X5.910</t>
        </is>
      </c>
      <c r="N23" t="n">
        <v>0</v>
      </c>
      <c r="O23" s="43">
        <f>SUMIFS(meghsteelsales_currentmonth[Quantity],meghsteelsales_currentmonth[Length Bucket],'MeghSteel Buckets_use file'!N23)/1000</f>
        <v/>
      </c>
      <c r="P23" s="43">
        <f>SUMIFS('Apr VSM Schedule'!$AA$2:$AA$71,'Apr VSM Schedule'!$O$2:$O$71,'MeghSteel Buckets_use file'!N23)</f>
        <v/>
      </c>
      <c r="Q23" s="43">
        <f>O23-P23</f>
        <v/>
      </c>
      <c r="U23" t="inlineStr">
        <is>
          <t>57.15-0-2.5-ERW 1-FC-5.711</t>
        </is>
      </c>
      <c r="V23">
        <f>SUMIFS(meghsteelsales_currentmonth[Quantity],meghsteelsales_currentmonth[Length Bucket],U23)</f>
        <v/>
      </c>
    </row>
    <row r="24">
      <c r="A24" t="n">
        <v>943211</v>
      </c>
      <c r="B24" t="inlineStr">
        <is>
          <t>MEGH STEELS PRIVATE LIMITED - RE</t>
        </is>
      </c>
      <c r="C24" t="n">
        <v>3649700</v>
      </c>
      <c r="D24" t="inlineStr">
        <is>
          <t>TUB-O-N-AUT-AW-FC-48.00X1.200X0.7000</t>
        </is>
      </c>
      <c r="E24" t="n">
        <v>0.7</v>
      </c>
      <c r="F24" t="inlineStr">
        <is>
          <t>48--1.2-ERW 1-FIN CUT</t>
        </is>
      </c>
      <c r="G24">
        <f>_xlfn.CONCAT(F24,"-",E24)</f>
        <v/>
      </c>
      <c r="J24" t="inlineStr">
        <is>
          <t>0000943211</t>
        </is>
      </c>
      <c r="K24" t="inlineStr">
        <is>
          <t>MEGH STEELS PRIVATE LIMITED - RE</t>
        </is>
      </c>
      <c r="L24" t="n">
        <v>3500641</v>
      </c>
      <c r="M24" t="inlineStr">
        <is>
          <t>TUB-S-AW-SHS-50.0X50.0X1.6X6.121 FC HDP</t>
        </is>
      </c>
      <c r="N24" t="inlineStr">
        <is>
          <t>50-50-1.6-ERW 1-FIN CUT-6.04</t>
        </is>
      </c>
      <c r="O24" s="43">
        <f>SUMIFS(meghsteelsales_currentmonth[Quantity],meghsteelsales_currentmonth[Length Bucket],'MeghSteel Buckets_use file'!N24)/1000</f>
        <v/>
      </c>
      <c r="P24" s="43">
        <f>SUMIFS('Apr VSM Schedule'!$AA$2:$AA$71,'Apr VSM Schedule'!$O$2:$O$71,'MeghSteel Buckets_use file'!N24)</f>
        <v/>
      </c>
      <c r="Q24" s="43">
        <f>O24-P24</f>
        <v/>
      </c>
      <c r="U24" t="inlineStr">
        <is>
          <t>57.15-0-2.5-ERW 1-FC-5.75</t>
        </is>
      </c>
      <c r="V24">
        <f>SUMIFS(meghsteelsales_currentmonth[Quantity],meghsteelsales_currentmonth[Length Bucket],U24)</f>
        <v/>
      </c>
    </row>
    <row r="25">
      <c r="A25" t="n">
        <v>943209</v>
      </c>
      <c r="B25" t="inlineStr">
        <is>
          <t>MEGH STEELS PRIVATE LIMITED - TVS A</t>
        </is>
      </c>
      <c r="C25" t="n">
        <v>3501047</v>
      </c>
      <c r="D25" t="inlineStr">
        <is>
          <t>TUB-O-N-AUT-AW-FC-57.15X2.50X5.750-ERW 1</t>
        </is>
      </c>
      <c r="E25" t="n">
        <v>5.75</v>
      </c>
      <c r="F25" t="inlineStr">
        <is>
          <t>57.15-0-2.5-ERW 1-FC</t>
        </is>
      </c>
      <c r="G25">
        <f>_xlfn.CONCAT(F25,"-",E25)</f>
        <v/>
      </c>
      <c r="J25" t="inlineStr">
        <is>
          <t>0000943209</t>
        </is>
      </c>
      <c r="K25" t="inlineStr">
        <is>
          <t>MEGH STEELS PRIVATE LIMITED - TVS A</t>
        </is>
      </c>
      <c r="L25" t="n">
        <v>3500714</v>
      </c>
      <c r="M25" t="inlineStr">
        <is>
          <t>TUB-O-N-AUT-BH-FC-42.70X4.000X5.50-ERW 1</t>
        </is>
      </c>
      <c r="N25" t="inlineStr">
        <is>
          <t>42.7-0-4-ERW 1-FC-6</t>
        </is>
      </c>
      <c r="O25" s="43">
        <f>SUMIFS(meghsteelsales_currentmonth[Quantity],meghsteelsales_currentmonth[Length Bucket],'MeghSteel Buckets_use file'!N25)/1000</f>
        <v/>
      </c>
      <c r="P25">
        <f>SUM(P3:P24)</f>
        <v/>
      </c>
      <c r="U25" t="inlineStr">
        <is>
          <t>57.15-0-2.5-ERW 1-FC-5.95</t>
        </is>
      </c>
    </row>
    <row r="26">
      <c r="A26" t="n">
        <v>943209</v>
      </c>
      <c r="B26" t="inlineStr">
        <is>
          <t>MEGH STEELS PRIVATE LIMITED - TVS A</t>
        </is>
      </c>
      <c r="C26" t="n">
        <v>3910001</v>
      </c>
      <c r="D26" t="inlineStr">
        <is>
          <t>TUB-O-N-AUT-AW-FC-57.15X2.500X6.1000</t>
        </is>
      </c>
      <c r="E26" t="n">
        <v>6.1</v>
      </c>
      <c r="F26" t="inlineStr">
        <is>
          <t>57.15-0-2.5-ERW 1-FC</t>
        </is>
      </c>
      <c r="G26">
        <f>_xlfn.CONCAT(F26,"-",E26)</f>
        <v/>
      </c>
      <c r="J26" t="inlineStr">
        <is>
          <t>0000943210</t>
        </is>
      </c>
      <c r="K26" t="inlineStr">
        <is>
          <t>MEGH STEELS PRIVATE LIMITED - HMSIL</t>
        </is>
      </c>
      <c r="L26" t="n">
        <v>1931046</v>
      </c>
      <c r="M26" t="inlineStr">
        <is>
          <t>TUB-O-N-AUT-AW-FC-28.58X3.250X6.0600</t>
        </is>
      </c>
      <c r="N26" t="n">
        <v>0</v>
      </c>
      <c r="O26" s="43">
        <f>SUMIFS(meghsteelsales_currentmonth[Quantity],meghsteelsales_currentmonth[Length Bucket],'MeghSteel Buckets_use file'!N26)/1000</f>
        <v/>
      </c>
      <c r="U26" t="inlineStr">
        <is>
          <t>57.15-0-2.5-ERW 1-FC-6.1</t>
        </is>
      </c>
    </row>
    <row r="27">
      <c r="A27" t="n">
        <v>943211</v>
      </c>
      <c r="B27" t="inlineStr">
        <is>
          <t>MEGH STEELS PRIVATE LIMITED - RE</t>
        </is>
      </c>
      <c r="C27" t="n">
        <v>3781647</v>
      </c>
      <c r="D27" t="inlineStr">
        <is>
          <t>TUB-E-AW-AUT-59.00X30.00X1.600X0.5720</t>
        </is>
      </c>
      <c r="E27" t="n">
        <v>0.572</v>
      </c>
      <c r="F27" t="inlineStr">
        <is>
          <t>59-30-1.6-ERW 1-FIN CUT</t>
        </is>
      </c>
      <c r="G27" t="inlineStr">
        <is>
          <t>59-30-1.6-ERW 1-FIN CUT-0.573</t>
        </is>
      </c>
      <c r="J27" t="inlineStr">
        <is>
          <t>0000943209</t>
        </is>
      </c>
      <c r="K27" t="inlineStr">
        <is>
          <t>MEGH STEELS PRIVATE LIMITED - TVS A</t>
        </is>
      </c>
      <c r="L27" t="n">
        <v>4265906</v>
      </c>
      <c r="M27" t="inlineStr">
        <is>
          <t>TUB-R-AW-AUT-50.00X30.00X2.500X6.1930</t>
        </is>
      </c>
      <c r="N27" t="n">
        <v>0</v>
      </c>
      <c r="O27" s="43">
        <f>SUMIFS(meghsteelsales_currentmonth[Quantity],meghsteelsales_currentmonth[Length Bucket],'MeghSteel Buckets_use file'!N27)/1000</f>
        <v/>
      </c>
      <c r="U27" t="inlineStr">
        <is>
          <t>60.3-0-2-ERW 1-FC-5.9</t>
        </is>
      </c>
    </row>
    <row r="28">
      <c r="A28" t="n">
        <v>943211</v>
      </c>
      <c r="B28" t="inlineStr">
        <is>
          <t>MEGH STEELS PRIVATE LIMITED - RE</t>
        </is>
      </c>
      <c r="C28" t="n">
        <v>2420716</v>
      </c>
      <c r="D28" t="inlineStr">
        <is>
          <t>TUB-E-AW-AUT-59.00X30.00X1.600X0.5725</t>
        </is>
      </c>
      <c r="E28" t="n">
        <v>0.573</v>
      </c>
      <c r="F28" t="inlineStr">
        <is>
          <t>59-30-1.6-ERW 1-FIN CUT</t>
        </is>
      </c>
      <c r="G28">
        <f>_xlfn.CONCAT(F28,"-",E28)</f>
        <v/>
      </c>
      <c r="J28" t="inlineStr">
        <is>
          <t>0000943209</t>
        </is>
      </c>
      <c r="K28" t="inlineStr">
        <is>
          <t>MEGH STEELS PRIVATE LIMITED - TVS A</t>
        </is>
      </c>
      <c r="L28" t="n">
        <v>1940292</v>
      </c>
      <c r="M28" t="inlineStr">
        <is>
          <t>TUB-O-O-AUT-AW-PE-19.05X2.000X5.8000</t>
        </is>
      </c>
      <c r="N28" t="n">
        <v>0</v>
      </c>
      <c r="O28" s="43">
        <f>SUMIFS(meghsteelsales_currentmonth[Quantity],meghsteelsales_currentmonth[Length Bucket],'MeghSteel Buckets_use file'!N28)/1000</f>
        <v/>
      </c>
      <c r="U28" t="n">
        <v>0</v>
      </c>
    </row>
    <row r="29">
      <c r="A29" t="n">
        <v>943209</v>
      </c>
      <c r="B29" t="inlineStr">
        <is>
          <t>MEGH STEELS PRIVATE LIMITED - TVS A</t>
        </is>
      </c>
      <c r="C29" t="n">
        <v>3702875</v>
      </c>
      <c r="D29" t="inlineStr">
        <is>
          <t>TUB-O-N-AUT-AW-FC-60.30X2.000X6.0000</t>
        </is>
      </c>
      <c r="E29" t="n">
        <v>6</v>
      </c>
      <c r="F29" t="inlineStr">
        <is>
          <t>60.3-0-2-ERW 1-FC</t>
        </is>
      </c>
      <c r="G29" t="inlineStr">
        <is>
          <t>60.3-0-2-ERW 1-FC-5.9</t>
        </is>
      </c>
      <c r="J29" t="inlineStr">
        <is>
          <t>0000943209</t>
        </is>
      </c>
      <c r="K29" t="inlineStr">
        <is>
          <t>MEGH STEELS PRIVATE LIMITED - TVS A</t>
        </is>
      </c>
      <c r="L29" t="n">
        <v>3994149</v>
      </c>
      <c r="M29" t="inlineStr">
        <is>
          <t>TUB-O-N-AUT-AW-FC-41.28X2.600X6.0010</t>
        </is>
      </c>
      <c r="N29" t="inlineStr">
        <is>
          <t>41.28-0-2.6-ERW 1-FC-6</t>
        </is>
      </c>
      <c r="O29" s="43">
        <f>SUMIFS(meghsteelsales_currentmonth[Quantity],meghsteelsales_currentmonth[Length Bucket],'MeghSteel Buckets_use file'!N29)/1000</f>
        <v/>
      </c>
    </row>
    <row r="30">
      <c r="A30" t="n">
        <v>943209</v>
      </c>
      <c r="B30" t="inlineStr">
        <is>
          <t>MEGH STEELS PRIVATE LIMITED - TVS A</t>
        </is>
      </c>
      <c r="C30" t="n">
        <v>3506193</v>
      </c>
      <c r="D30" t="inlineStr">
        <is>
          <t>CUT-O-N-AUT-AW-PE-22.20X1.630X0.700</t>
        </is>
      </c>
      <c r="E30" t="n">
        <v>0.7</v>
      </c>
      <c r="F30" t="inlineStr">
        <is>
          <t>22.23-0-1.6-ERW 1-PE</t>
        </is>
      </c>
      <c r="G30" t="inlineStr">
        <is>
          <t>22.23-0-1.6-ERW 1-PE-5.67</t>
        </is>
      </c>
      <c r="J30" t="inlineStr">
        <is>
          <t>0000943209</t>
        </is>
      </c>
      <c r="K30" t="inlineStr">
        <is>
          <t>MEGH STEELS PRIVATE LIMITED - TVS A</t>
        </is>
      </c>
      <c r="L30" t="n">
        <v>2430128</v>
      </c>
      <c r="M30" t="inlineStr">
        <is>
          <t>TUB-R-AW-AUT-50.00X30.00X1.600X1.1000</t>
        </is>
      </c>
      <c r="N30" t="n">
        <v>0</v>
      </c>
      <c r="O30" s="43">
        <f>SUMIFS(meghsteelsales_currentmonth[Quantity],meghsteelsales_currentmonth[Length Bucket],'MeghSteel Buckets_use file'!N30)/1000</f>
        <v/>
      </c>
    </row>
    <row r="31">
      <c r="A31" t="n">
        <v>943209</v>
      </c>
      <c r="B31" t="inlineStr">
        <is>
          <t>MEGH STEELS PRIVATE LIMITED - TVS A</t>
        </is>
      </c>
      <c r="C31" t="n">
        <v>3509424</v>
      </c>
      <c r="D31" t="inlineStr">
        <is>
          <t>CUT-O-N-AUT-AW-FC-38.10X2.500X0.8750</t>
        </is>
      </c>
      <c r="E31" t="n">
        <v>0.875</v>
      </c>
      <c r="F31" t="inlineStr">
        <is>
          <t>38.1-0-2.5-ERW 2 MAHS-FC</t>
        </is>
      </c>
      <c r="G31" t="inlineStr">
        <is>
          <t>38.1-0-2.5-ERW 2 MAHS-FC-6.19</t>
        </is>
      </c>
      <c r="J31" t="inlineStr">
        <is>
          <t>0000943209</t>
        </is>
      </c>
      <c r="K31" t="inlineStr">
        <is>
          <t>MEGH STEELS PRIVATE LIMITED - TVS A</t>
        </is>
      </c>
      <c r="L31" t="n">
        <v>2409618</v>
      </c>
      <c r="M31" t="inlineStr">
        <is>
          <t>TUB-O-N-AUT-AW-PE-25.40X1.600X2.5900</t>
        </is>
      </c>
      <c r="N31" t="n">
        <v>0</v>
      </c>
      <c r="O31" s="43">
        <f>SUMIFS(meghsteelsales_currentmonth[Quantity],meghsteelsales_currentmonth[Length Bucket],'MeghSteel Buckets_use file'!N31)/1000</f>
        <v/>
      </c>
    </row>
    <row r="32">
      <c r="A32" t="n">
        <v>943209</v>
      </c>
      <c r="B32" t="inlineStr">
        <is>
          <t>MEGH STEELS PRIVATE LIMITED - TVS A</t>
        </is>
      </c>
      <c r="C32" t="n">
        <v>3909479</v>
      </c>
      <c r="D32" t="inlineStr">
        <is>
          <t>TUB-O-N-AUT-AW-FC-48.60X3.500X4.6500</t>
        </is>
      </c>
      <c r="E32" t="n">
        <v>4.65</v>
      </c>
      <c r="F32" t="inlineStr">
        <is>
          <t>48.6-0-3.5-ERW 1-FC</t>
        </is>
      </c>
      <c r="G32" t="inlineStr">
        <is>
          <t>48.6-0-3.5-ERW 1-FC-6</t>
        </is>
      </c>
      <c r="J32" t="inlineStr">
        <is>
          <t>0000943209</t>
        </is>
      </c>
      <c r="K32" t="inlineStr">
        <is>
          <t>MEGH STEELS PRIVATE LIMITED - TVS A</t>
        </is>
      </c>
      <c r="L32" t="n">
        <v>1940045</v>
      </c>
      <c r="M32" t="inlineStr">
        <is>
          <t>TUB-O-O-AUT-AW-PE-15.88X1.200X1.1300</t>
        </is>
      </c>
      <c r="N32" t="n">
        <v>0</v>
      </c>
      <c r="O32" s="43">
        <f>SUMIFS(meghsteelsales_currentmonth[Quantity],meghsteelsales_currentmonth[Length Bucket],'MeghSteel Buckets_use file'!N32)/1000</f>
        <v/>
      </c>
    </row>
    <row r="33">
      <c r="A33" t="n">
        <v>943209</v>
      </c>
      <c r="B33" t="inlineStr">
        <is>
          <t>MEGH STEELS PRIVATE LIMITED - TVS A</t>
        </is>
      </c>
      <c r="C33" t="n">
        <v>3500714</v>
      </c>
      <c r="D33" t="inlineStr">
        <is>
          <t>TUB-O-N-AUT-BH-FC-42.70X4.000X5.50-ERW 1</t>
        </is>
      </c>
      <c r="E33" t="n">
        <v>5.5</v>
      </c>
      <c r="F33" t="inlineStr">
        <is>
          <t>42.7-0-4-ERW 1-FC</t>
        </is>
      </c>
      <c r="G33" t="inlineStr">
        <is>
          <t>42.7-0-4-ERW 1-FC-6</t>
        </is>
      </c>
      <c r="J33" t="inlineStr">
        <is>
          <t>0000943209</t>
        </is>
      </c>
      <c r="K33" t="inlineStr">
        <is>
          <t>MEGH STEELS PRIVATE LIMITED - TVS A</t>
        </is>
      </c>
      <c r="L33" t="n">
        <v>3409366</v>
      </c>
      <c r="M33" t="inlineStr">
        <is>
          <t>TUB-O-N-AUT-AW-PE-19.05X1.200X0.1090</t>
        </is>
      </c>
      <c r="N33" t="n">
        <v>0</v>
      </c>
      <c r="O33" s="43">
        <f>SUMIFS(meghsteelsales_currentmonth[Quantity],meghsteelsales_currentmonth[Length Bucket],'MeghSteel Buckets_use file'!N33)/1000</f>
        <v/>
      </c>
    </row>
    <row r="34">
      <c r="A34" t="n">
        <v>943210</v>
      </c>
      <c r="B34" t="inlineStr">
        <is>
          <t>MEGH STEELS PRIVATE LIMITED - HMSIL</t>
        </is>
      </c>
      <c r="C34" t="n">
        <v>3545558</v>
      </c>
      <c r="D34" t="inlineStr">
        <is>
          <t>TUB-O-N-AUT-AW-FC-45.00X1.400X5.7000</t>
        </is>
      </c>
      <c r="E34" t="n">
        <v>5.7</v>
      </c>
      <c r="F34" t="inlineStr">
        <is>
          <t>45--1.4-ERW 1-FIN CUT</t>
        </is>
      </c>
      <c r="G34" t="inlineStr">
        <is>
          <t>45--1.4-ERW 1-FIN CUT-5.7</t>
        </is>
      </c>
      <c r="J34" t="inlineStr">
        <is>
          <t>0000943209</t>
        </is>
      </c>
      <c r="K34" t="inlineStr">
        <is>
          <t>MEGH STEELS PRIVATE LIMITED - TVS A</t>
        </is>
      </c>
      <c r="L34" t="n">
        <v>3229740</v>
      </c>
      <c r="M34" t="inlineStr">
        <is>
          <t>TUB-O-N-AUT-AW-PE-19.05X1.200X1.0750</t>
        </is>
      </c>
      <c r="N34" t="n">
        <v>0</v>
      </c>
      <c r="O34" s="43">
        <f>SUMIFS(meghsteelsales_currentmonth[Quantity],meghsteelsales_currentmonth[Length Bucket],'MeghSteel Buckets_use file'!N34)/1000</f>
        <v/>
      </c>
    </row>
    <row r="35">
      <c r="A35" t="n">
        <v>943209</v>
      </c>
      <c r="B35" t="inlineStr">
        <is>
          <t>MEGH STEELS PRIVATE LIMITED - TVS A</t>
        </is>
      </c>
      <c r="C35" t="n">
        <v>3907863</v>
      </c>
      <c r="D35" t="inlineStr">
        <is>
          <t>TUB-O-N-AUT-AW-FC-57.15X2.500X5.7110</t>
        </is>
      </c>
      <c r="E35" t="n">
        <v>5.711</v>
      </c>
      <c r="F35" t="inlineStr">
        <is>
          <t>57.15-0-2.5-ERW 1-FC</t>
        </is>
      </c>
      <c r="G35">
        <f>_xlfn.CONCAT(F35,"-",E35)</f>
        <v/>
      </c>
      <c r="J35" t="inlineStr">
        <is>
          <t>0000943209</t>
        </is>
      </c>
      <c r="K35" t="inlineStr">
        <is>
          <t>MEGH STEELS PRIVATE LIMITED - TVS A</t>
        </is>
      </c>
      <c r="L35" t="n">
        <v>2409616</v>
      </c>
      <c r="M35" t="inlineStr">
        <is>
          <t>TUB-O-N-AUT-AW-PE-19.05X1.200X0.5130</t>
        </is>
      </c>
      <c r="N35" t="n">
        <v>0</v>
      </c>
      <c r="O35" s="43">
        <f>SUMIFS(meghsteelsales_currentmonth[Quantity],meghsteelsales_currentmonth[Length Bucket],'MeghSteel Buckets_use file'!N35)/1000</f>
        <v/>
      </c>
    </row>
    <row r="36">
      <c r="A36" t="n">
        <v>943209</v>
      </c>
      <c r="B36" t="inlineStr">
        <is>
          <t>MEGH STEELS PRIVATE LIMITED - TVS A</t>
        </is>
      </c>
      <c r="C36" t="n">
        <v>3929508</v>
      </c>
      <c r="D36" t="inlineStr">
        <is>
          <t>TUB-O-O-AUT-AW-FC-38.10X1.600X5.7690</t>
        </is>
      </c>
      <c r="E36" t="n">
        <v>5.769</v>
      </c>
      <c r="F36" t="inlineStr">
        <is>
          <t>38.1-0-1.6-ERW 1-FC</t>
        </is>
      </c>
      <c r="G36" t="inlineStr">
        <is>
          <t>38.1-0-1.6-ERW 1-FC-6.19</t>
        </is>
      </c>
      <c r="J36" t="inlineStr">
        <is>
          <t>0000943209</t>
        </is>
      </c>
      <c r="K36" t="inlineStr">
        <is>
          <t>MEGH STEELS PRIVATE LIMITED - TVS A</t>
        </is>
      </c>
      <c r="L36" t="n">
        <v>3432081</v>
      </c>
      <c r="M36" t="inlineStr">
        <is>
          <t>TUB-O-N-AUT-AW-PE-12.70X1.600X0.1890</t>
        </is>
      </c>
      <c r="N36" t="n">
        <v>0</v>
      </c>
      <c r="O36" s="43">
        <f>SUMIFS(meghsteelsales_currentmonth[Quantity],meghsteelsales_currentmonth[Length Bucket],'MeghSteel Buckets_use file'!N36)/1000</f>
        <v/>
      </c>
    </row>
    <row r="37">
      <c r="A37" t="n">
        <v>943209</v>
      </c>
      <c r="B37" t="inlineStr">
        <is>
          <t>MEGH STEELS PRIVATE LIMITED - TVS A</t>
        </is>
      </c>
      <c r="C37" t="n">
        <v>3929561</v>
      </c>
      <c r="D37" t="inlineStr">
        <is>
          <t>TUB-O-O-AUT-AW-FC-38.10X2.000X5.7800</t>
        </is>
      </c>
      <c r="E37" t="n">
        <v>5.78</v>
      </c>
      <c r="F37" t="inlineStr">
        <is>
          <t>38.1-0-2-ERW 1-FC</t>
        </is>
      </c>
      <c r="G37" t="inlineStr">
        <is>
          <t>38.1-0-2-ERW 1-FC-5.65</t>
        </is>
      </c>
      <c r="J37" t="inlineStr">
        <is>
          <t>0000943209</t>
        </is>
      </c>
      <c r="K37" t="inlineStr">
        <is>
          <t>MEGH STEELS PRIVATE LIMITED - TVS A</t>
        </is>
      </c>
      <c r="L37" t="n">
        <v>4110464</v>
      </c>
      <c r="M37" t="inlineStr">
        <is>
          <t>TUB-O-N-AUT-AW-PE-19.05X1.200X1.1450</t>
        </is>
      </c>
      <c r="N37" t="n">
        <v>0</v>
      </c>
      <c r="O37" s="43">
        <f>SUMIFS(meghsteelsales_currentmonth[Quantity],meghsteelsales_currentmonth[Length Bucket],'MeghSteel Buckets_use file'!N37)/1000</f>
        <v/>
      </c>
    </row>
    <row r="38">
      <c r="A38" t="n">
        <v>943210</v>
      </c>
      <c r="B38" t="inlineStr">
        <is>
          <t>MEGH STEELS PRIVATE LIMITED - HMSIL</t>
        </is>
      </c>
      <c r="C38" t="n">
        <v>3673889</v>
      </c>
      <c r="D38" t="inlineStr">
        <is>
          <t>TUB-O-N-AUT-AW-FC-41.28X3.150X5.8600</t>
        </is>
      </c>
      <c r="E38" t="n">
        <v>5.86</v>
      </c>
      <c r="F38" t="inlineStr">
        <is>
          <t>41.28-0-3.15-ERW 1-FC</t>
        </is>
      </c>
      <c r="G38" t="inlineStr">
        <is>
          <t>41.28-0-3.15-ERW 1-FC-5.86</t>
        </is>
      </c>
      <c r="J38" t="inlineStr">
        <is>
          <t>0000943211</t>
        </is>
      </c>
      <c r="K38" t="inlineStr">
        <is>
          <t>MEGH STEELS PRIVATE LIMITED - RE</t>
        </is>
      </c>
      <c r="L38" t="n">
        <v>4038150</v>
      </c>
      <c r="M38" t="inlineStr">
        <is>
          <t>TUB-O-N-AUT-AW-FC-48.00X1.200X5.2850</t>
        </is>
      </c>
      <c r="N38" t="n">
        <v>0</v>
      </c>
      <c r="O38" s="43">
        <f>SUMIFS(meghsteelsales_currentmonth[Quantity],meghsteelsales_currentmonth[Length Bucket],'MeghSteel Buckets_use file'!N38)/1000</f>
        <v/>
      </c>
    </row>
    <row r="39">
      <c r="A39" t="n">
        <v>943209</v>
      </c>
      <c r="B39" t="inlineStr">
        <is>
          <t>MEGH STEELS PRIVATE LIMITED - TVS A</t>
        </is>
      </c>
      <c r="C39" t="n">
        <v>3499781</v>
      </c>
      <c r="D39" t="inlineStr">
        <is>
          <t>TUB-O-N-AUT-AW-FC-38.10X1.600X5.900</t>
        </is>
      </c>
      <c r="E39" t="n">
        <v>5.9</v>
      </c>
      <c r="F39" t="inlineStr">
        <is>
          <t>38.1-0-1.6-ERW 1-FC</t>
        </is>
      </c>
      <c r="G39" t="inlineStr">
        <is>
          <t>38.1-0-1.6-ERW 1-FC-6.19</t>
        </is>
      </c>
      <c r="J39" t="inlineStr">
        <is>
          <t>0000943211</t>
        </is>
      </c>
      <c r="K39" t="inlineStr">
        <is>
          <t>MEGH STEELS PRIVATE LIMITED - RE</t>
        </is>
      </c>
      <c r="L39" t="n">
        <v>1940684</v>
      </c>
      <c r="M39" t="inlineStr">
        <is>
          <t>TUB-O-O-AUT-AW-FC-31.75X2.300X6.0000</t>
        </is>
      </c>
      <c r="N39" t="inlineStr">
        <is>
          <t>31.75-0-2.3-ERW 1-FC-5.92</t>
        </is>
      </c>
      <c r="O39" s="43">
        <f>SUMIFS(meghsteelsales_currentmonth[Quantity],meghsteelsales_currentmonth[Length Bucket],'MeghSteel Buckets_use file'!N39)/1000</f>
        <v/>
      </c>
    </row>
    <row r="40">
      <c r="A40" t="n">
        <v>943210</v>
      </c>
      <c r="B40" t="inlineStr">
        <is>
          <t>MEGH STEELS PRIVATE LIMITED - HMSIL</t>
        </is>
      </c>
      <c r="C40" t="n">
        <v>1940078</v>
      </c>
      <c r="D40" t="inlineStr">
        <is>
          <t>TUB-O-O-GEN-AW-PE-15.88X1.600X6.0000</t>
        </is>
      </c>
      <c r="E40" t="n">
        <v>6</v>
      </c>
      <c r="F40" t="inlineStr">
        <is>
          <t>15.88-0-1.6-ERW 1-PE</t>
        </is>
      </c>
      <c r="G40" t="inlineStr">
        <is>
          <t>15.88-0-1.6-ERW 1-PE-6</t>
        </is>
      </c>
      <c r="J40" t="inlineStr">
        <is>
          <t>0000943209</t>
        </is>
      </c>
      <c r="K40" t="inlineStr">
        <is>
          <t>MEGH STEELS PRIVATE LIMITED - TVS A</t>
        </is>
      </c>
      <c r="L40" t="n">
        <v>1939985</v>
      </c>
      <c r="M40" t="inlineStr">
        <is>
          <t>TUB-O-O-AUT-AW-PE-12.70X1.200X6.0000</t>
        </is>
      </c>
      <c r="N40" t="inlineStr">
        <is>
          <t>12.7-0-1.2-ERW 1-PE-6</t>
        </is>
      </c>
      <c r="O40" s="43">
        <f>SUMIFS(meghsteelsales_currentmonth[Quantity],meghsteelsales_currentmonth[Length Bucket],'MeghSteel Buckets_use file'!N40)/1000</f>
        <v/>
      </c>
    </row>
    <row r="41">
      <c r="A41" t="n">
        <v>943210</v>
      </c>
      <c r="B41" t="inlineStr">
        <is>
          <t>MEGH STEELS PRIVATE LIMITED - HMSIL</t>
        </is>
      </c>
      <c r="C41" t="n">
        <v>1900224</v>
      </c>
      <c r="D41" t="inlineStr">
        <is>
          <t>TUB-O-N-AUT-AP-PE-15.88X1.600X6.0000</t>
        </is>
      </c>
      <c r="E41" t="n">
        <v>6</v>
      </c>
      <c r="F41" t="inlineStr">
        <is>
          <t>15.88-0-1.6-ERW 1-PE</t>
        </is>
      </c>
      <c r="G41" t="inlineStr">
        <is>
          <t>15.88-0-1.6-ERW 1-PE-6</t>
        </is>
      </c>
      <c r="J41" t="inlineStr">
        <is>
          <t>0000943209</t>
        </is>
      </c>
      <c r="K41" t="inlineStr">
        <is>
          <t>MEGH STEELS PRIVATE LIMITED - TVS A</t>
        </is>
      </c>
      <c r="L41" t="n">
        <v>3929640</v>
      </c>
      <c r="M41" t="inlineStr">
        <is>
          <t>TUB-O-N-AUT-AW-PE-22.23X1.200X5.3000</t>
        </is>
      </c>
      <c r="N41" t="n">
        <v>0</v>
      </c>
      <c r="O41" s="43">
        <f>SUMIFS(meghsteelsales_currentmonth[Quantity],meghsteelsales_currentmonth[Length Bucket],'MeghSteel Buckets_use file'!N41)/1000</f>
        <v/>
      </c>
    </row>
    <row r="42">
      <c r="A42" t="n">
        <v>943209</v>
      </c>
      <c r="B42" t="inlineStr">
        <is>
          <t>MEGH STEELS PRIVATE LIMITED - TVS A</t>
        </is>
      </c>
      <c r="C42" t="n">
        <v>1940572</v>
      </c>
      <c r="D42" t="inlineStr">
        <is>
          <t>TUB-O-O-AUT-AW-FC-25.40X1.600X6.0000</t>
        </is>
      </c>
      <c r="E42" t="n">
        <v>6</v>
      </c>
      <c r="F42" t="inlineStr">
        <is>
          <t>25.4-0-1.6-ERW 1-PE</t>
        </is>
      </c>
      <c r="G42" t="inlineStr">
        <is>
          <t>25.4-0-1.6-ERW 1-PE-6</t>
        </is>
      </c>
      <c r="J42" t="inlineStr">
        <is>
          <t>0000943209</t>
        </is>
      </c>
      <c r="K42" t="inlineStr">
        <is>
          <t>MEGH STEELS PRIVATE LIMITED - TVS A</t>
        </is>
      </c>
      <c r="L42" t="n">
        <v>1940337</v>
      </c>
      <c r="M42" t="inlineStr">
        <is>
          <t>TUB-O-O-AUT-AW-PE-19.05X2.300X6.3200</t>
        </is>
      </c>
      <c r="N42" t="n">
        <v>0</v>
      </c>
      <c r="O42" s="43">
        <f>SUMIFS(meghsteelsales_currentmonth[Quantity],meghsteelsales_currentmonth[Length Bucket],'MeghSteel Buckets_use file'!N42)/1000</f>
        <v/>
      </c>
    </row>
    <row r="43">
      <c r="A43" t="n">
        <v>943209</v>
      </c>
      <c r="B43" t="inlineStr">
        <is>
          <t>MEGH STEELS PRIVATE LIMITED - TVS A</t>
        </is>
      </c>
      <c r="C43" t="n">
        <v>1940925</v>
      </c>
      <c r="D43" t="inlineStr">
        <is>
          <t>TUB-E-AW-AUT-59.00X30.00X1.600X6.0000</t>
        </is>
      </c>
      <c r="E43" t="n">
        <v>6</v>
      </c>
      <c r="F43" t="inlineStr">
        <is>
          <t>59-30-1.6-ERW 1-FIN CUT</t>
        </is>
      </c>
      <c r="G43" t="inlineStr">
        <is>
          <t>59-30-1.6-ERW 1-FIN CUT-6</t>
        </is>
      </c>
      <c r="J43" t="inlineStr">
        <is>
          <t>0000943209</t>
        </is>
      </c>
      <c r="K43" t="inlineStr">
        <is>
          <t>MEGH STEELS PRIVATE LIMITED - TVS A</t>
        </is>
      </c>
      <c r="L43" t="n">
        <v>3239890</v>
      </c>
      <c r="M43" t="inlineStr">
        <is>
          <t>TUB-O-N-AUT-AW-PE-19.05X1.200X0.3300</t>
        </is>
      </c>
      <c r="N43" t="n">
        <v>0</v>
      </c>
      <c r="O43" s="43">
        <f>SUMIFS(meghsteelsales_currentmonth[Quantity],meghsteelsales_currentmonth[Length Bucket],'MeghSteel Buckets_use file'!N43)/1000</f>
        <v/>
      </c>
    </row>
    <row r="44">
      <c r="A44" t="n">
        <v>943209</v>
      </c>
      <c r="B44" t="inlineStr">
        <is>
          <t>MEGH STEELS PRIVATE LIMITED - TVS A</t>
        </is>
      </c>
      <c r="C44" t="n">
        <v>3919144</v>
      </c>
      <c r="D44" t="inlineStr">
        <is>
          <t>TUB-R-AW-AUT-40.00X25.00X1.600X6.1300</t>
        </is>
      </c>
      <c r="E44" t="n">
        <v>6.13</v>
      </c>
      <c r="F44" t="inlineStr">
        <is>
          <t>40-25-1.6-ERW 1-FC</t>
        </is>
      </c>
      <c r="G44" t="inlineStr">
        <is>
          <t>40-25-1.6-ERW 1-FC-6.13</t>
        </is>
      </c>
      <c r="J44" t="inlineStr">
        <is>
          <t>0000943209</t>
        </is>
      </c>
      <c r="K44" t="inlineStr">
        <is>
          <t>MEGH STEELS PRIVATE LIMITED - TVS A</t>
        </is>
      </c>
      <c r="L44" t="n">
        <v>3635694</v>
      </c>
      <c r="M44" t="inlineStr">
        <is>
          <t>TUB-O-N-AUT-AW-PE-19.05X1.000X1.2000</t>
        </is>
      </c>
      <c r="N44" t="n">
        <v>0</v>
      </c>
      <c r="O44" s="43">
        <f>SUMIFS(meghsteelsales_currentmonth[Quantity],meghsteelsales_currentmonth[Length Bucket],'MeghSteel Buckets_use file'!N44)/1000</f>
        <v/>
      </c>
    </row>
    <row r="45">
      <c r="A45" t="n">
        <v>943209</v>
      </c>
      <c r="B45" t="inlineStr">
        <is>
          <t>MEGH STEELS PRIVATE LIMITED - TVS A</t>
        </is>
      </c>
      <c r="C45" t="n">
        <v>1940833</v>
      </c>
      <c r="D45" t="inlineStr">
        <is>
          <t>TUB-R-AW-RHS-40.00X30.00X1.600X6.2300</t>
        </is>
      </c>
      <c r="E45" t="n">
        <v>6.23</v>
      </c>
      <c r="F45" t="inlineStr">
        <is>
          <t>40-30-1.6-ERW 1-FC</t>
        </is>
      </c>
      <c r="G45" t="inlineStr">
        <is>
          <t>40-30-1.6-ERW 1-FC-6.23</t>
        </is>
      </c>
      <c r="J45" t="inlineStr">
        <is>
          <t>0000943211</t>
        </is>
      </c>
      <c r="K45" t="inlineStr">
        <is>
          <t>MEGH STEELS PRIVATE LIMITED - RE</t>
        </is>
      </c>
      <c r="L45" t="n">
        <v>2397073</v>
      </c>
      <c r="M45" t="inlineStr">
        <is>
          <t>TUB-O-N-AUT-AW-FC-34.93X1.200X0.6200</t>
        </is>
      </c>
      <c r="N45" t="inlineStr">
        <is>
          <t>34.93-0-1.2-ERW 1-FC-0.620</t>
        </is>
      </c>
      <c r="O45" s="43">
        <f>SUMIFS(meghsteelsales_currentmonth[Quantity],meghsteelsales_currentmonth[Length Bucket],'MeghSteel Buckets_use file'!N45)/1000</f>
        <v/>
      </c>
    </row>
    <row r="46">
      <c r="A46" t="n">
        <v>943213</v>
      </c>
      <c r="B46" t="inlineStr">
        <is>
          <t>MEGH STEELS PRIVATE LIMITED - RANE</t>
        </is>
      </c>
      <c r="C46" t="n">
        <v>3694074</v>
      </c>
      <c r="D46" t="inlineStr">
        <is>
          <t>TUB-O-C-SLT-DT-FC-32.00X4.500X6.4000</t>
        </is>
      </c>
      <c r="E46" t="n">
        <v>6.4</v>
      </c>
      <c r="F46" t="inlineStr">
        <is>
          <t>32-4.5-SLT</t>
        </is>
      </c>
      <c r="G46" t="inlineStr">
        <is>
          <t>32-4.5-SLT-6.4</t>
        </is>
      </c>
      <c r="J46" t="inlineStr">
        <is>
          <t>0000943210</t>
        </is>
      </c>
      <c r="K46" t="inlineStr">
        <is>
          <t>MEGH STEELS PRIVATE LIMITED - HMSIL</t>
        </is>
      </c>
      <c r="L46" t="n">
        <v>3731691</v>
      </c>
      <c r="M46" t="inlineStr">
        <is>
          <t>TUB-O-N-AUT-AW-FC-42.70X1.600X0.4160</t>
        </is>
      </c>
      <c r="N46" t="n">
        <v>0</v>
      </c>
      <c r="O46" s="43">
        <f>SUMIFS(meghsteelsales_currentmonth[Quantity],meghsteelsales_currentmonth[Length Bucket],'MeghSteel Buckets_use file'!N46)/1000</f>
        <v/>
      </c>
    </row>
    <row r="47">
      <c r="A47" t="n">
        <v>943209</v>
      </c>
      <c r="B47" t="inlineStr">
        <is>
          <t>MEGH STEELS PRIVATE LIMITED - TVS A</t>
        </is>
      </c>
      <c r="C47" t="n">
        <v>3974562</v>
      </c>
      <c r="D47" t="inlineStr">
        <is>
          <t>TUB-O-N-AUT-AW-PE-22.23X1.200X5.8700</t>
        </is>
      </c>
      <c r="E47" t="n">
        <v>5.87</v>
      </c>
      <c r="F47" t="inlineStr">
        <is>
          <t>22.23-0-1.2-ERW 1-PE</t>
        </is>
      </c>
      <c r="G47">
        <f>_xlfn.CONCAT(F47,"-",E47)</f>
        <v/>
      </c>
      <c r="J47" t="inlineStr">
        <is>
          <t>0000943209</t>
        </is>
      </c>
      <c r="K47" t="inlineStr">
        <is>
          <t>MEGH STEELS PRIVATE LIMITED - TVS A</t>
        </is>
      </c>
      <c r="L47" t="n">
        <v>3597050</v>
      </c>
      <c r="M47" t="inlineStr">
        <is>
          <t>TUB-O-N-AUT-AW-FC-41.28X3.150X5.9400</t>
        </is>
      </c>
      <c r="N47" t="inlineStr">
        <is>
          <t>41.28-0-3.15-ERW 1-FC-5.86</t>
        </is>
      </c>
      <c r="O47" s="43">
        <f>SUMIFS(meghsteelsales_currentmonth[Quantity],meghsteelsales_currentmonth[Length Bucket],'MeghSteel Buckets_use file'!N47)/1000</f>
        <v/>
      </c>
    </row>
    <row r="48">
      <c r="A48" t="n">
        <v>943209</v>
      </c>
      <c r="B48" t="inlineStr">
        <is>
          <t>MEGH STEELS PRIVATE LIMITED - TVS A</t>
        </is>
      </c>
      <c r="C48" t="n">
        <v>2288945</v>
      </c>
      <c r="D48" t="inlineStr">
        <is>
          <t>TUB-O-N-AUT-AW-PE-18.20X1.000X6.1450</t>
        </is>
      </c>
      <c r="E48" t="n">
        <v>6.145</v>
      </c>
      <c r="F48" t="inlineStr">
        <is>
          <t>18.2-0-1-ERW 1-PE</t>
        </is>
      </c>
      <c r="G48" t="inlineStr">
        <is>
          <t>18.2-0-1-ERW 1-PE-6</t>
        </is>
      </c>
      <c r="J48" t="inlineStr">
        <is>
          <t>0000943209</t>
        </is>
      </c>
      <c r="K48" t="inlineStr">
        <is>
          <t>MEGH STEELS PRIVATE LIMITED - TVS A</t>
        </is>
      </c>
      <c r="L48" t="n">
        <v>3410966</v>
      </c>
      <c r="M48" t="inlineStr">
        <is>
          <t>TUB-O-N-AUT-AW-FC-22.23X2.000X6.0000</t>
        </is>
      </c>
      <c r="N48" t="n">
        <v>0</v>
      </c>
      <c r="O48" s="43">
        <f>SUMIFS(meghsteelsales_currentmonth[Quantity],meghsteelsales_currentmonth[Length Bucket],'MeghSteel Buckets_use file'!N48)/1000</f>
        <v/>
      </c>
    </row>
    <row r="49">
      <c r="A49" t="n">
        <v>943209</v>
      </c>
      <c r="B49" t="inlineStr">
        <is>
          <t>MEGH STEELS PRIVATE LIMITED - TVS A</t>
        </is>
      </c>
      <c r="C49" t="n">
        <v>3929589</v>
      </c>
      <c r="D49" t="inlineStr">
        <is>
          <t>TUB-O-O-AUT-AW-PE-19.05X1.600X5.7700</t>
        </is>
      </c>
      <c r="E49" t="n">
        <v>5.77</v>
      </c>
      <c r="F49" t="inlineStr">
        <is>
          <t>19.05-0-1.6-ERW 1-PE</t>
        </is>
      </c>
      <c r="G49" t="inlineStr">
        <is>
          <t>19.05-0-1.6-ERW 1-PE-6</t>
        </is>
      </c>
      <c r="J49" t="inlineStr">
        <is>
          <t>0000943209</t>
        </is>
      </c>
      <c r="K49" t="inlineStr">
        <is>
          <t>MEGH STEELS PRIVATE LIMITED - TVS A</t>
        </is>
      </c>
      <c r="L49" t="n">
        <v>4272693</v>
      </c>
      <c r="M49" t="inlineStr">
        <is>
          <t>TUB-O-N-AUT-AW-FC-22.20X2.000X5.9500</t>
        </is>
      </c>
      <c r="N49" t="n">
        <v>0</v>
      </c>
      <c r="O49" s="43">
        <f>SUMIFS(meghsteelsales_currentmonth[Quantity],meghsteelsales_currentmonth[Length Bucket],'MeghSteel Buckets_use file'!N49)/1000</f>
        <v/>
      </c>
    </row>
    <row r="50">
      <c r="A50" t="n">
        <v>943209</v>
      </c>
      <c r="B50" t="inlineStr">
        <is>
          <t>MEGH STEELS PRIVATE LIMITED - TVS A</t>
        </is>
      </c>
      <c r="C50" t="n">
        <v>3929651</v>
      </c>
      <c r="D50" t="inlineStr">
        <is>
          <t>TUB-O-N-AUT-AW-PE-19.05X1.600X6.0500</t>
        </is>
      </c>
      <c r="E50" t="n">
        <v>6.05</v>
      </c>
      <c r="F50" t="inlineStr">
        <is>
          <t>19.05-0-1.6-ERW 1-PE</t>
        </is>
      </c>
      <c r="G50" t="inlineStr">
        <is>
          <t>19.05-0-1.6-ERW 1-PE-6</t>
        </is>
      </c>
      <c r="J50" t="inlineStr">
        <is>
          <t>0000943209</t>
        </is>
      </c>
      <c r="K50" t="inlineStr">
        <is>
          <t>MEGH STEELS PRIVATE LIMITED - TVS A</t>
        </is>
      </c>
      <c r="L50" t="n">
        <v>2431251</v>
      </c>
      <c r="M50" t="inlineStr">
        <is>
          <t>TUB-O-N-AUT-AW-PE-22.23X2.000X5.4000</t>
        </is>
      </c>
      <c r="N50" t="inlineStr">
        <is>
          <t>22.23-0-2-ERW 1-PE-5.39</t>
        </is>
      </c>
    </row>
    <row r="51">
      <c r="A51" t="n">
        <v>943209</v>
      </c>
      <c r="B51" t="inlineStr">
        <is>
          <t>MEGH STEELS PRIVATE LIMITED - TVS A</t>
        </is>
      </c>
      <c r="C51" t="n">
        <v>1940256</v>
      </c>
      <c r="D51" t="inlineStr">
        <is>
          <t>TUB-O-O-AUT-AW-PE-19.05X1.600X6.0000</t>
        </is>
      </c>
      <c r="E51" t="n">
        <v>6</v>
      </c>
      <c r="F51" t="inlineStr">
        <is>
          <t>19.05-0-1.6-ERW 1-PE</t>
        </is>
      </c>
      <c r="G51">
        <f>_xlfn.CONCAT(F51,"-",E51)</f>
        <v/>
      </c>
      <c r="J51" t="inlineStr">
        <is>
          <t>0000943209</t>
        </is>
      </c>
      <c r="K51" t="inlineStr">
        <is>
          <t>MEGH STEELS PRIVATE LIMITED - TVS A</t>
        </is>
      </c>
      <c r="L51" t="n">
        <v>1940046</v>
      </c>
      <c r="M51" t="inlineStr">
        <is>
          <t>TUB-O-O-AUT-AW-PE-15.88X1.200X1.3100</t>
        </is>
      </c>
      <c r="N51" t="n">
        <v>0</v>
      </c>
    </row>
    <row r="52">
      <c r="A52" t="n">
        <v>943209</v>
      </c>
      <c r="B52" t="inlineStr">
        <is>
          <t>MEGH STEELS PRIVATE LIMITED - TVS A</t>
        </is>
      </c>
      <c r="C52" t="n">
        <v>3974562</v>
      </c>
      <c r="D52" t="inlineStr">
        <is>
          <t>TUB-O-N-AUT-AW-PE-22.23X1.200X5.8700</t>
        </is>
      </c>
      <c r="E52" t="n">
        <v>5.87</v>
      </c>
      <c r="F52" t="inlineStr">
        <is>
          <t>22.23-0-1.2-ERW 1-PE</t>
        </is>
      </c>
      <c r="G52">
        <f>_xlfn.CONCAT(F52,"-",E52)</f>
        <v/>
      </c>
      <c r="J52" t="inlineStr">
        <is>
          <t>0000943209</t>
        </is>
      </c>
      <c r="K52" t="inlineStr">
        <is>
          <t>MEGH STEELS PRIVATE LIMITED - TVS A</t>
        </is>
      </c>
      <c r="L52" t="n">
        <v>4241099</v>
      </c>
      <c r="M52" t="inlineStr">
        <is>
          <t>CUT-O-N-AUT-AW-PE-15.88X1.200X0.7300</t>
        </is>
      </c>
      <c r="N52" t="n">
        <v>0</v>
      </c>
    </row>
    <row r="53">
      <c r="A53" t="n">
        <v>943209</v>
      </c>
      <c r="B53" t="inlineStr">
        <is>
          <t>MEGH STEELS PRIVATE LIMITED - TVS A</t>
        </is>
      </c>
      <c r="C53" t="n">
        <v>3575893</v>
      </c>
      <c r="D53" t="inlineStr">
        <is>
          <t>TUB-O-N-AUT-AW-PE-22.23X1.200X5.8850</t>
        </is>
      </c>
      <c r="E53" t="n">
        <v>5.885</v>
      </c>
      <c r="F53" t="inlineStr">
        <is>
          <t>22.23-0-1.2-ERW 1-PE</t>
        </is>
      </c>
      <c r="G53" t="inlineStr">
        <is>
          <t>22.23-0-1.2-ERW 1-PE-5.87</t>
        </is>
      </c>
      <c r="J53" t="inlineStr">
        <is>
          <t>0000943211</t>
        </is>
      </c>
      <c r="K53" t="inlineStr">
        <is>
          <t>MEGH STEELS PRIVATE LIMITED - RE</t>
        </is>
      </c>
      <c r="L53" t="n">
        <v>3460088</v>
      </c>
      <c r="M53" t="inlineStr">
        <is>
          <t>TUB-O-N-AUT-AW-FC-48.00X1.200X5.6700</t>
        </is>
      </c>
      <c r="N53" t="n">
        <v>0</v>
      </c>
    </row>
    <row r="54">
      <c r="A54" t="n">
        <v>943209</v>
      </c>
      <c r="B54" t="inlineStr">
        <is>
          <t>MEGH STEELS PRIVATE LIMITED - TVS A</t>
        </is>
      </c>
      <c r="C54" t="n">
        <v>3919144</v>
      </c>
      <c r="D54" t="inlineStr">
        <is>
          <t>TUB-R-AW-AUT-40.00X25.00X1.600X6.1300</t>
        </is>
      </c>
      <c r="E54" t="n">
        <v>6.13</v>
      </c>
      <c r="F54" t="inlineStr">
        <is>
          <t>40-25-1.6-ERW 1-FC</t>
        </is>
      </c>
      <c r="G54">
        <f>_xlfn.CONCAT(F54,"-",E54)</f>
        <v/>
      </c>
      <c r="J54" t="inlineStr">
        <is>
          <t>0000943209</t>
        </is>
      </c>
      <c r="K54" t="inlineStr">
        <is>
          <t>MEGH STEELS PRIVATE LIMITED - TVS A</t>
        </is>
      </c>
      <c r="L54" t="n">
        <v>3457574</v>
      </c>
      <c r="M54" t="inlineStr">
        <is>
          <t>TUB-O-N-AUT-AW-PE-41.28X2.600X6.0200</t>
        </is>
      </c>
      <c r="N54" t="inlineStr">
        <is>
          <t>41.28-0-2.6-ERW 1-FC-6</t>
        </is>
      </c>
    </row>
    <row r="55">
      <c r="A55" t="n">
        <v>943209</v>
      </c>
      <c r="B55" t="inlineStr">
        <is>
          <t>MEGH STEELS PRIVATE LIMITED - TVS A</t>
        </is>
      </c>
      <c r="C55" t="n">
        <v>3907863</v>
      </c>
      <c r="D55" t="inlineStr">
        <is>
          <t>TUB-O-N-AUT-AW-FC-57.15X2.500X5.7110</t>
        </is>
      </c>
      <c r="E55" t="n">
        <v>5.711</v>
      </c>
      <c r="F55" t="inlineStr">
        <is>
          <t>57.15-0-2.5-ERW 1-FC</t>
        </is>
      </c>
      <c r="G55">
        <f>_xlfn.CONCAT(F55,"-",E55)</f>
        <v/>
      </c>
      <c r="J55" t="inlineStr">
        <is>
          <t>0000943209</t>
        </is>
      </c>
      <c r="K55" t="inlineStr">
        <is>
          <t>MEGH STEELS PRIVATE LIMITED - TVS A</t>
        </is>
      </c>
      <c r="L55" t="n">
        <v>3545558</v>
      </c>
      <c r="M55" t="inlineStr">
        <is>
          <t>TUB-O-N-AUT-AW-FC-45.00X1.400X5.7000</t>
        </is>
      </c>
      <c r="N55" t="inlineStr">
        <is>
          <t>45--1.4-ERW 1-FIN CUT-5.7</t>
        </is>
      </c>
    </row>
    <row r="56">
      <c r="A56" t="n">
        <v>943209</v>
      </c>
      <c r="B56" t="inlineStr">
        <is>
          <t>MEGH STEELS PRIVATE LIMITED - TVS A</t>
        </is>
      </c>
      <c r="C56" t="n">
        <v>3183146</v>
      </c>
      <c r="D56" t="inlineStr">
        <is>
          <t>TUB-O-N-AUT-AW-PE-22.23X1.200X5.9600</t>
        </is>
      </c>
      <c r="E56" t="n">
        <v>5.96</v>
      </c>
      <c r="F56" t="inlineStr">
        <is>
          <t>22.23-0-1.2-ERW 1-PE</t>
        </is>
      </c>
      <c r="G56" t="inlineStr">
        <is>
          <t>22.23-0-1.2-ERW 1-PE-5.87</t>
        </is>
      </c>
      <c r="J56" t="inlineStr">
        <is>
          <t>0000943209</t>
        </is>
      </c>
      <c r="K56" t="inlineStr">
        <is>
          <t>MEGH STEELS PRIVATE LIMITED - TVS A</t>
        </is>
      </c>
      <c r="L56" t="n">
        <v>3501716</v>
      </c>
      <c r="M56" t="inlineStr">
        <is>
          <t>TUB-O-N-AUT-AW-FC-41.28X2.600X6.0000</t>
        </is>
      </c>
      <c r="N56" t="inlineStr">
        <is>
          <t>41.28-0-2.6-ERW 1-FC-6</t>
        </is>
      </c>
    </row>
    <row r="57">
      <c r="A57" t="n">
        <v>943213</v>
      </c>
      <c r="B57" t="inlineStr">
        <is>
          <t>MEGH STEELS PRIVATE LIMITED - RANE</t>
        </is>
      </c>
      <c r="C57" t="n">
        <v>3502725</v>
      </c>
      <c r="D57" t="inlineStr">
        <is>
          <t>TUB-O-C-SLT-NR-FC-50.00X6.000X4.775</t>
        </is>
      </c>
      <c r="E57" t="n">
        <v>4.775</v>
      </c>
      <c r="F57" t="inlineStr">
        <is>
          <t>50-6-SLT</t>
        </is>
      </c>
      <c r="G57">
        <f>_xlfn.CONCAT(F57,"-",E57)</f>
        <v/>
      </c>
      <c r="J57" t="inlineStr">
        <is>
          <t>0000943209</t>
        </is>
      </c>
      <c r="K57" t="inlineStr">
        <is>
          <t>MEGH STEELS PRIVATE LIMITED - TVS A</t>
        </is>
      </c>
      <c r="L57" t="n">
        <v>3775569</v>
      </c>
      <c r="M57" t="inlineStr">
        <is>
          <t>TUB-I-C-AUT-AD-FC-12.50X3.250X6.2000</t>
        </is>
      </c>
      <c r="N57" t="n">
        <v>0</v>
      </c>
    </row>
    <row r="58">
      <c r="A58" t="n">
        <v>943209</v>
      </c>
      <c r="B58" t="inlineStr">
        <is>
          <t>MEGH STEELS PRIVATE LIMITED - TVS A</t>
        </is>
      </c>
      <c r="C58" t="n">
        <v>3994149</v>
      </c>
      <c r="D58" t="inlineStr">
        <is>
          <t>TUB-O-N-AUT-AW-FC-41.28X2.600X6.0010</t>
        </is>
      </c>
      <c r="E58" t="n">
        <v>6.001</v>
      </c>
      <c r="F58" t="inlineStr">
        <is>
          <t>41.28-0-2.6-ERW 1-FC</t>
        </is>
      </c>
      <c r="G58" t="inlineStr">
        <is>
          <t>41.28-0-2.6-ERW 1-FC-6</t>
        </is>
      </c>
      <c r="J58" t="inlineStr">
        <is>
          <t>0000943209</t>
        </is>
      </c>
      <c r="K58" t="inlineStr">
        <is>
          <t>MEGH STEELS PRIVATE LIMITED - TVS A</t>
        </is>
      </c>
      <c r="L58" t="n">
        <v>3702875</v>
      </c>
      <c r="M58" t="inlineStr">
        <is>
          <t>TUB-O-N-AUT-AW-FC-60.30X2.000X6.0000</t>
        </is>
      </c>
      <c r="N58" t="inlineStr">
        <is>
          <t>60.3-0-2-ERW 1-FC-5.9</t>
        </is>
      </c>
    </row>
    <row r="59">
      <c r="A59" t="n">
        <v>943209</v>
      </c>
      <c r="B59" t="inlineStr">
        <is>
          <t>MEGH STEELS PRIVATE LIMITED - TVS A</t>
        </is>
      </c>
      <c r="C59" t="n">
        <v>1940120</v>
      </c>
      <c r="D59" t="inlineStr">
        <is>
          <t>TUB-O-O-AUT-AW-PE-15.88X2.000X6.0000</t>
        </is>
      </c>
      <c r="E59" t="n">
        <v>6</v>
      </c>
      <c r="F59" t="inlineStr">
        <is>
          <t>15.88-0-2-ERW 1-PE</t>
        </is>
      </c>
      <c r="G59">
        <f>_xlfn.CONCAT(F59,"-",E59)</f>
        <v/>
      </c>
      <c r="J59" t="inlineStr">
        <is>
          <t>0000943209</t>
        </is>
      </c>
      <c r="K59" t="inlineStr">
        <is>
          <t>MEGH STEELS PRIVATE LIMITED - TVS A</t>
        </is>
      </c>
      <c r="L59" t="n">
        <v>3502254</v>
      </c>
      <c r="M59" t="inlineStr">
        <is>
          <t>TUB-O-N-AUT-AW-FC-38.10X1.600X6.1900</t>
        </is>
      </c>
      <c r="N59" t="inlineStr">
        <is>
          <t>38.1-0-1.6-ERW 1-FC-6.19</t>
        </is>
      </c>
    </row>
    <row r="60">
      <c r="A60" t="n">
        <v>943209</v>
      </c>
      <c r="B60" t="inlineStr">
        <is>
          <t>MEGH STEELS PRIVATE LIMITED - TVS A</t>
        </is>
      </c>
      <c r="C60" t="n">
        <v>3500554</v>
      </c>
      <c r="D60" t="inlineStr">
        <is>
          <t>TUB-O-N-AUT-AW-PE-22.20X2.000X5.1000</t>
        </is>
      </c>
      <c r="E60" t="n">
        <v>5.1</v>
      </c>
      <c r="F60" t="inlineStr">
        <is>
          <t>22.23-0-2-ERW 1-PE</t>
        </is>
      </c>
      <c r="G60" t="inlineStr">
        <is>
          <t>22.23-0-2-ERW 1-PE-5.1</t>
        </is>
      </c>
      <c r="I60">
        <f>VLOOKUP(Table18[[#This Row],[MATERAIL NUMBER]],[6]!Table1[#All],9,0)</f>
        <v/>
      </c>
      <c r="J60" t="inlineStr">
        <is>
          <t>0000943209</t>
        </is>
      </c>
      <c r="K60" t="inlineStr">
        <is>
          <t>MEGH STEELS PRIVATE LIMITED - TVS A</t>
        </is>
      </c>
      <c r="L60" t="n">
        <v>3501047</v>
      </c>
      <c r="M60" t="inlineStr">
        <is>
          <t>TUB-O-N-AUT-AW-FC-57.15X2.50X5.750-ERW 1</t>
        </is>
      </c>
      <c r="N60" t="inlineStr">
        <is>
          <t>57.15-0-2.5-ERW 1-FC-5.75</t>
        </is>
      </c>
    </row>
    <row r="61">
      <c r="A61" t="n">
        <v>943209</v>
      </c>
      <c r="B61" t="inlineStr">
        <is>
          <t>MEGH STEELS PRIVATE LIMITED - TVS A</t>
        </is>
      </c>
      <c r="C61" t="n">
        <v>3682124</v>
      </c>
      <c r="D61" t="inlineStr">
        <is>
          <t>TUB-O-N-AUT-AW-PE-22.20X1.600X6.4500</t>
        </is>
      </c>
      <c r="E61" t="n">
        <v>6.45</v>
      </c>
      <c r="F61" t="inlineStr">
        <is>
          <t>22.23-0-1.6-ERW 1-PE</t>
        </is>
      </c>
      <c r="G61" t="inlineStr">
        <is>
          <t>22.23-0-1.6-ERW 1-PE-5.67</t>
        </is>
      </c>
      <c r="I61" t="inlineStr">
        <is>
          <t>HROP</t>
        </is>
      </c>
      <c r="J61" t="inlineStr">
        <is>
          <t>0000943210</t>
        </is>
      </c>
      <c r="K61" t="inlineStr">
        <is>
          <t>MEGH STEELS PRIVATE LIMITED - HMSIL</t>
        </is>
      </c>
      <c r="L61" t="n">
        <v>3545558</v>
      </c>
      <c r="M61" t="inlineStr">
        <is>
          <t>TUB-O-N-AUT-AW-FC-45.00X1.400X5.7000</t>
        </is>
      </c>
      <c r="N61" t="inlineStr">
        <is>
          <t>45--1.4-ERW 1-FIN CUT-5.7</t>
        </is>
      </c>
    </row>
    <row r="62">
      <c r="A62" t="n">
        <v>943209</v>
      </c>
      <c r="B62" t="inlineStr">
        <is>
          <t>MEGH STEELS PRIVATE LIMITED - TVS A</t>
        </is>
      </c>
      <c r="C62" t="n">
        <v>2385290</v>
      </c>
      <c r="D62" t="inlineStr">
        <is>
          <t>TUB-O-N-AUT-AW-FC-25.40X2.000X6.0000</t>
        </is>
      </c>
      <c r="E62" t="n">
        <v>6</v>
      </c>
      <c r="F62" t="inlineStr">
        <is>
          <t>25.4-0-2-ERW 1-PE</t>
        </is>
      </c>
      <c r="G62" t="inlineStr">
        <is>
          <t>25.4-0-2-ERW 1-PE-5.82</t>
        </is>
      </c>
      <c r="I62">
        <f>VLOOKUP(Table18[[#This Row],[MATERAIL NUMBER]],[6]!Table1[#All],9,0)</f>
        <v/>
      </c>
      <c r="J62" t="inlineStr">
        <is>
          <t>0000943210</t>
        </is>
      </c>
      <c r="K62" t="inlineStr">
        <is>
          <t>MEGH STEELS PRIVATE LIMITED - HMSIL</t>
        </is>
      </c>
      <c r="L62" t="n">
        <v>3701546</v>
      </c>
      <c r="M62" t="inlineStr">
        <is>
          <t>TUB-O-N-AUT-AW-FC-28.58X3.250X6.0600</t>
        </is>
      </c>
      <c r="N62" t="n">
        <v>0</v>
      </c>
    </row>
    <row r="63">
      <c r="A63" t="n">
        <v>943209</v>
      </c>
      <c r="B63" t="inlineStr">
        <is>
          <t>MEGH STEELS PRIVATE LIMITED - TVS A</t>
        </is>
      </c>
      <c r="C63" t="n">
        <v>3702203</v>
      </c>
      <c r="D63" t="inlineStr">
        <is>
          <t>TUB-O-N-AUT-AW-FC-31.75X3.650X6.0000</t>
        </is>
      </c>
      <c r="E63" t="n">
        <v>6</v>
      </c>
      <c r="F63" t="inlineStr">
        <is>
          <t>31.75--3.65-ERW 1-FC</t>
        </is>
      </c>
      <c r="G63">
        <f>_xlfn.CONCAT(F63,"-",E63)</f>
        <v/>
      </c>
      <c r="I63">
        <f>VLOOKUP(Table18[[#This Row],[MATERAIL NUMBER]],[6]!Table1[#All],9,0)</f>
        <v/>
      </c>
      <c r="J63" t="inlineStr">
        <is>
          <t>0000943211</t>
        </is>
      </c>
      <c r="K63" t="inlineStr">
        <is>
          <t>MEGH STEELS PRIVATE LIMITED - RE</t>
        </is>
      </c>
      <c r="L63" t="n">
        <v>4072797</v>
      </c>
      <c r="M63" t="inlineStr">
        <is>
          <t>TUB-O-N-AUT-AW-FC-31.75X2.300X5.9200</t>
        </is>
      </c>
      <c r="N63" t="n">
        <v>0</v>
      </c>
    </row>
    <row r="64">
      <c r="A64" t="n">
        <v>943209</v>
      </c>
      <c r="B64" t="inlineStr">
        <is>
          <t>MEGH STEELS PRIVATE LIMITED - TVS A</t>
        </is>
      </c>
      <c r="C64" t="n">
        <v>3500540</v>
      </c>
      <c r="D64" t="inlineStr">
        <is>
          <t>TUB-O-N-AUT-AW-FC-48.60X3.50X5.60-ERW 1</t>
        </is>
      </c>
      <c r="E64" t="n">
        <v>5.6</v>
      </c>
      <c r="F64" t="inlineStr">
        <is>
          <t>48.6-0-3.5-ERW 1-FC</t>
        </is>
      </c>
      <c r="G64" t="inlineStr">
        <is>
          <t>48.6-0-3.5-ERW 1-FC-6</t>
        </is>
      </c>
      <c r="I64" t="inlineStr">
        <is>
          <t>HROP</t>
        </is>
      </c>
      <c r="J64" t="inlineStr">
        <is>
          <t>0000943209</t>
        </is>
      </c>
      <c r="K64" t="inlineStr">
        <is>
          <t>MEGH STEELS PRIVATE LIMITED - TVS A</t>
        </is>
      </c>
      <c r="L64" t="n">
        <v>3597718</v>
      </c>
      <c r="M64" t="inlineStr">
        <is>
          <t>TUB-R-AW-RHS-40.00X25.00X1.600X5.9900</t>
        </is>
      </c>
      <c r="N64" t="n">
        <v>0</v>
      </c>
    </row>
    <row r="65">
      <c r="A65" t="n">
        <v>943209</v>
      </c>
      <c r="B65" t="inlineStr">
        <is>
          <t>MEGH STEELS PRIVATE LIMITED - TVS A</t>
        </is>
      </c>
      <c r="C65" t="n">
        <v>3501092</v>
      </c>
      <c r="D65" t="inlineStr">
        <is>
          <t>TUB-O-N-AUT-AW-FC-48.6X2.3X5.945 HSTERW2</t>
        </is>
      </c>
      <c r="E65" t="n">
        <v>5.945</v>
      </c>
      <c r="F65" t="inlineStr">
        <is>
          <t>48.6-0-2.3-ERW 2-FC</t>
        </is>
      </c>
      <c r="G65" t="inlineStr">
        <is>
          <t>48.6-0-2.3-ERW 2-FC-6.27</t>
        </is>
      </c>
      <c r="I65" t="inlineStr">
        <is>
          <t>SAE1020</t>
        </is>
      </c>
      <c r="J65" t="inlineStr">
        <is>
          <t>0000943209</t>
        </is>
      </c>
      <c r="K65" t="inlineStr">
        <is>
          <t>MEGH STEELS PRIVATE LIMITED - TVS A</t>
        </is>
      </c>
      <c r="L65" t="n">
        <v>3500240</v>
      </c>
      <c r="M65" t="inlineStr">
        <is>
          <t>TUB-O-N-AUT-AH-FC-38.10X2.5X5.65 HSTERW2</t>
        </is>
      </c>
      <c r="N65" t="n">
        <v>0</v>
      </c>
    </row>
    <row r="66">
      <c r="A66" t="n">
        <v>943209</v>
      </c>
      <c r="B66" t="inlineStr">
        <is>
          <t>MEGH STEELS PRIVATE LIMITED - TVS A</t>
        </is>
      </c>
      <c r="C66" t="n">
        <v>3597588</v>
      </c>
      <c r="D66" t="inlineStr">
        <is>
          <t>TUB-O-N-AUT-AW-FC-48.60X2.300X6.5500</t>
        </is>
      </c>
      <c r="E66" t="n">
        <v>6.55</v>
      </c>
      <c r="F66" t="inlineStr">
        <is>
          <t>48.6-0-2.3-ERW 2-FC</t>
        </is>
      </c>
      <c r="G66" t="inlineStr">
        <is>
          <t>48.6-0-2.3-ERW 2-FC-6.27</t>
        </is>
      </c>
      <c r="I66">
        <f>VLOOKUP(Table18[[#This Row],[MATERAIL NUMBER]],[6]!Table1[#All],9,0)</f>
        <v/>
      </c>
      <c r="J66" t="inlineStr">
        <is>
          <t>0000943209</t>
        </is>
      </c>
      <c r="K66" t="inlineStr">
        <is>
          <t>MEGH STEELS PRIVATE LIMITED - TVS A</t>
        </is>
      </c>
      <c r="L66" t="n">
        <v>3948187</v>
      </c>
      <c r="M66" t="inlineStr">
        <is>
          <t>CUT-O-C-AUT-AD-FC-29.40X4.500X0.3590</t>
        </is>
      </c>
      <c r="N66" t="n">
        <v>0</v>
      </c>
    </row>
    <row r="67">
      <c r="A67" t="n">
        <v>943210</v>
      </c>
      <c r="B67" t="inlineStr">
        <is>
          <t>MEGH STEELS PRIVATE LIMITED - HMSIL</t>
        </is>
      </c>
      <c r="C67" t="n">
        <v>3498997</v>
      </c>
      <c r="D67" t="inlineStr">
        <is>
          <t>TUB-O-N-AUT-AW-PE-19.05X1.60X6.000-ERW 1</t>
        </is>
      </c>
      <c r="E67" t="n">
        <v>6</v>
      </c>
      <c r="F67" t="inlineStr">
        <is>
          <t>19.05-0-1.6-ERW 1-PE</t>
        </is>
      </c>
      <c r="G67" t="inlineStr">
        <is>
          <t>19.05-0-1.6-ERW 1-PE-6</t>
        </is>
      </c>
      <c r="J67" t="inlineStr">
        <is>
          <t>0000943209</t>
        </is>
      </c>
      <c r="K67" t="inlineStr">
        <is>
          <t>MEGH STEELS PRIVATE LIMITED - TVS A</t>
        </is>
      </c>
      <c r="L67" t="n">
        <v>1940458</v>
      </c>
      <c r="M67" t="inlineStr">
        <is>
          <t>TUB-O-O-AUT-AW-PE-22.23X2.000X0.7390</t>
        </is>
      </c>
      <c r="N67" t="n">
        <v>0</v>
      </c>
    </row>
    <row r="68">
      <c r="A68" t="n">
        <v>943211</v>
      </c>
      <c r="B68" t="inlineStr">
        <is>
          <t>MEGH STEELS PRIVATE LIMITED - RE</t>
        </is>
      </c>
      <c r="C68" t="n">
        <v>2397073</v>
      </c>
      <c r="D68" t="inlineStr">
        <is>
          <t>TUB-O-N-AUT-AW-FC-34.93X1.200X0.6200</t>
        </is>
      </c>
      <c r="E68" t="n">
        <v>0.62</v>
      </c>
      <c r="F68" t="inlineStr">
        <is>
          <t>34.93-0-1.2-ERW 1-FC</t>
        </is>
      </c>
      <c r="G68" t="inlineStr">
        <is>
          <t>34.93-0-1.2-ERW 1-FC-0.620</t>
        </is>
      </c>
      <c r="J68" t="inlineStr">
        <is>
          <t>0000943209</t>
        </is>
      </c>
      <c r="K68" t="inlineStr">
        <is>
          <t>MEGH STEELS PRIVATE LIMITED - TVS A</t>
        </is>
      </c>
      <c r="L68" t="n">
        <v>3186831</v>
      </c>
      <c r="M68" t="inlineStr">
        <is>
          <t>TUB-O-N-AUT-AW-FC-41.28X2.600X0.8480</t>
        </is>
      </c>
      <c r="N68" t="n">
        <v>0</v>
      </c>
    </row>
    <row r="69">
      <c r="A69" t="n">
        <v>943209</v>
      </c>
      <c r="B69" t="inlineStr">
        <is>
          <t>MEGH STEELS PRIVATE LIMITED - TVS A</t>
        </is>
      </c>
      <c r="C69" t="n">
        <v>3925391</v>
      </c>
      <c r="D69" t="inlineStr">
        <is>
          <t>TUB-R-AW-AUT-40.00X30.00X1.600X5.9300</t>
        </is>
      </c>
      <c r="E69" t="n">
        <v>5.93</v>
      </c>
      <c r="F69" t="inlineStr">
        <is>
          <t>40-30-1.6-ERW 1-FC</t>
        </is>
      </c>
      <c r="G69" t="inlineStr">
        <is>
          <t>40-30-1.6-ERW 1-FC-5.9</t>
        </is>
      </c>
    </row>
    <row r="70">
      <c r="A70" t="n">
        <v>943211</v>
      </c>
      <c r="B70" t="inlineStr">
        <is>
          <t>MEGH STEELS PRIVATE LIMITED - RE</t>
        </is>
      </c>
      <c r="C70" t="n">
        <v>2397072</v>
      </c>
      <c r="D70" t="inlineStr">
        <is>
          <t>TUB-O-N-AUT-AW-FC-48.00X1.200X0.6200</t>
        </is>
      </c>
      <c r="E70" t="n">
        <v>0.62</v>
      </c>
      <c r="F70" t="inlineStr">
        <is>
          <t>48--1.2-ERW 1-FIN CUT</t>
        </is>
      </c>
      <c r="G70" t="inlineStr">
        <is>
          <t>48--1.2-ERW 1-FIN CUT-0.620</t>
        </is>
      </c>
    </row>
    <row r="71">
      <c r="A71" t="n">
        <v>943209</v>
      </c>
      <c r="B71" t="inlineStr">
        <is>
          <t>MEGH STEELS PRIVATE LIMITED - TVS A</t>
        </is>
      </c>
      <c r="C71" t="n">
        <v>3594528</v>
      </c>
      <c r="D71" t="inlineStr">
        <is>
          <t>TUB-O-N-AUT-AW-FC-60.30X2.000X6.0000</t>
        </is>
      </c>
      <c r="E71" t="n">
        <v>6</v>
      </c>
      <c r="F71" t="inlineStr">
        <is>
          <t>60.3-0-2-ERW 1-FC</t>
        </is>
      </c>
      <c r="G71" t="inlineStr">
        <is>
          <t>60.3-0-2-ERW 1-FC-5.9</t>
        </is>
      </c>
    </row>
    <row r="72">
      <c r="A72" t="n">
        <v>943209</v>
      </c>
      <c r="B72" t="inlineStr">
        <is>
          <t>MEGH STEELS PRIVATE LIMITED - TVS A</t>
        </is>
      </c>
      <c r="C72" t="n">
        <v>1939985</v>
      </c>
      <c r="D72" t="inlineStr">
        <is>
          <t>TUB-O-O-AUT-AW-PE-12.70X1.200X6.0000</t>
        </is>
      </c>
      <c r="E72" t="n">
        <v>6</v>
      </c>
      <c r="F72" t="inlineStr">
        <is>
          <t>12.7-0-1.2-ERW 1-PE</t>
        </is>
      </c>
      <c r="G72">
        <f>_xlfn.CONCAT(F72,"-",E72)</f>
        <v/>
      </c>
    </row>
    <row r="73">
      <c r="A73" t="n">
        <v>943209</v>
      </c>
      <c r="B73" t="inlineStr">
        <is>
          <t>MEGH STEELS PRIVATE LIMITED - TVS A</t>
        </is>
      </c>
      <c r="C73" t="n">
        <v>1939986</v>
      </c>
      <c r="D73" t="inlineStr">
        <is>
          <t>TUB-O-O-GEN-AW-PE-12.70X1.200X6.0000</t>
        </is>
      </c>
      <c r="E73" t="n">
        <v>6</v>
      </c>
      <c r="F73" t="inlineStr">
        <is>
          <t>12.7-0-1.2-ERW 1-PE</t>
        </is>
      </c>
      <c r="G73">
        <f>_xlfn.CONCAT(F73,"-",E73)</f>
        <v/>
      </c>
    </row>
    <row r="74">
      <c r="A74" t="n">
        <v>943210</v>
      </c>
      <c r="B74" t="inlineStr">
        <is>
          <t>MEGH STEELS PRIVATE LIMITED - HMSIL</t>
        </is>
      </c>
      <c r="C74" t="n">
        <v>2431251</v>
      </c>
      <c r="D74" t="inlineStr">
        <is>
          <t>TUB-O-N-AUT-AW-PE-22.23X2.000X5.4000</t>
        </is>
      </c>
      <c r="E74" t="n">
        <v>5.4</v>
      </c>
      <c r="F74" t="inlineStr">
        <is>
          <t>22.23-0-2-ERW 1-FC</t>
        </is>
      </c>
      <c r="G74" t="inlineStr">
        <is>
          <t>22.23-0-2-ERW 1-PE-5.39</t>
        </is>
      </c>
    </row>
    <row r="75">
      <c r="A75" t="n">
        <v>943209</v>
      </c>
      <c r="B75" t="inlineStr">
        <is>
          <t>MEGH STEELS PRIVATE LIMITED - TVS A</t>
        </is>
      </c>
      <c r="C75" t="n">
        <v>2332896</v>
      </c>
      <c r="D75" t="inlineStr">
        <is>
          <t>TUB-O-N-AUT-AW-FC-25.40X2.000X5.8000</t>
        </is>
      </c>
      <c r="E75" t="n">
        <v>5.8</v>
      </c>
      <c r="F75" t="inlineStr">
        <is>
          <t>25.4-0-2-ERW 1-PE</t>
        </is>
      </c>
      <c r="G75" t="inlineStr">
        <is>
          <t>25.4-0-2-ERW 1-PE-5.82</t>
        </is>
      </c>
    </row>
    <row r="76">
      <c r="A76" t="n">
        <v>943209</v>
      </c>
      <c r="B76" t="inlineStr">
        <is>
          <t>MEGH STEELS PRIVATE LIMITED - TVS A</t>
        </is>
      </c>
      <c r="C76" t="n">
        <v>3929644</v>
      </c>
      <c r="D76" t="inlineStr">
        <is>
          <t>TUB-O-N-AUT-AW-FC-25.40X2.000X5.9500</t>
        </is>
      </c>
      <c r="E76" t="n">
        <v>5.95</v>
      </c>
      <c r="F76" t="inlineStr">
        <is>
          <t>25.4-0-2-ERW 1-PE</t>
        </is>
      </c>
      <c r="G76" t="inlineStr">
        <is>
          <t>25.4-0-2-ERW 1-PE-5.82</t>
        </is>
      </c>
    </row>
    <row r="77">
      <c r="A77" t="n">
        <v>943209</v>
      </c>
      <c r="B77" t="inlineStr">
        <is>
          <t>MEGH STEELS PRIVATE LIMITED - TVS A</t>
        </is>
      </c>
      <c r="C77" t="n">
        <v>3673890</v>
      </c>
      <c r="D77" t="inlineStr">
        <is>
          <t>TUB-O-N-AUT-AW-PE-25.40X2.000X5.8400</t>
        </is>
      </c>
      <c r="E77" t="n">
        <v>5.84</v>
      </c>
      <c r="F77" t="inlineStr">
        <is>
          <t>25.4-0-2-ERW 1-PE</t>
        </is>
      </c>
      <c r="G77" t="inlineStr">
        <is>
          <t>25.4-0-2-ERW 1-PE-5.82</t>
        </is>
      </c>
    </row>
    <row r="78">
      <c r="A78" t="n">
        <v>943209</v>
      </c>
      <c r="B78" t="inlineStr">
        <is>
          <t>MEGH STEELS PRIVATE LIMITED - TVS A</t>
        </is>
      </c>
      <c r="C78" t="n">
        <v>3929590</v>
      </c>
      <c r="D78" t="inlineStr">
        <is>
          <t>TUB-O-O-AUT-AW-PE-19.05X2.000X5.8360</t>
        </is>
      </c>
      <c r="E78" t="n">
        <v>5.836</v>
      </c>
      <c r="F78" t="inlineStr">
        <is>
          <t>19.05-0-2-ERW 1-PE</t>
        </is>
      </c>
      <c r="G78" t="inlineStr">
        <is>
          <t>19.05-0-2-ERW 1-PE-5.841</t>
        </is>
      </c>
    </row>
    <row r="79">
      <c r="A79" t="n">
        <v>943209</v>
      </c>
      <c r="B79" t="inlineStr">
        <is>
          <t>MEGH STEELS PRIVATE LIMITED - TVS A</t>
        </is>
      </c>
      <c r="C79" t="n">
        <v>1940333</v>
      </c>
      <c r="D79" t="inlineStr">
        <is>
          <t>TUB-O-O-AUT-AW-PE-19.05X2.300X6.0000</t>
        </is>
      </c>
      <c r="E79" t="n">
        <v>6</v>
      </c>
      <c r="F79" t="inlineStr">
        <is>
          <t>19.05-0-2.3-ERW 1-PE</t>
        </is>
      </c>
      <c r="G79" t="inlineStr">
        <is>
          <t>19.05-0-2.3-ERW 1-PE-7</t>
        </is>
      </c>
    </row>
    <row r="80">
      <c r="A80" t="n">
        <v>943210</v>
      </c>
      <c r="B80" t="inlineStr">
        <is>
          <t>MEGH STEELS PRIVATE LIMITED - HMSIL</t>
        </is>
      </c>
      <c r="C80" t="n">
        <v>3501900</v>
      </c>
      <c r="D80" t="inlineStr">
        <is>
          <t>TUB-O-N-AUT-AW-FC-25.40X1.400X5.531 HST</t>
        </is>
      </c>
      <c r="E80" t="n">
        <v>5.531</v>
      </c>
      <c r="F80" t="inlineStr">
        <is>
          <t>25.4-0-1.4-ERW 2-FC</t>
        </is>
      </c>
      <c r="G80">
        <f>_xlfn.CONCAT(F80,"-",E80)</f>
        <v/>
      </c>
    </row>
    <row r="81">
      <c r="A81" t="n">
        <v>943209</v>
      </c>
      <c r="B81" t="inlineStr">
        <is>
          <t>MEGH STEELS PRIVATE LIMITED - TVS A</t>
        </is>
      </c>
      <c r="C81" t="n">
        <v>2424885</v>
      </c>
      <c r="D81" t="inlineStr">
        <is>
          <t>TUB-O-AW-AUT-59.00X30.00X1.600X5.8100</t>
        </is>
      </c>
      <c r="E81" t="n">
        <v>5.81</v>
      </c>
      <c r="F81" t="inlineStr">
        <is>
          <t>59-30-1.6-ERW 1-FIN CUT</t>
        </is>
      </c>
      <c r="G81" t="inlineStr">
        <is>
          <t>59-30-1.6-ERW 1-FIN CUT-6</t>
        </is>
      </c>
    </row>
    <row r="82">
      <c r="A82" t="n">
        <v>943209</v>
      </c>
      <c r="B82" t="inlineStr">
        <is>
          <t>MEGH STEELS PRIVATE LIMITED - TVS A</t>
        </is>
      </c>
      <c r="C82" t="n">
        <v>3738265</v>
      </c>
      <c r="D82" t="inlineStr">
        <is>
          <t>TUB-N-AUT-AW-FC-22.23X2.000X6.2800</t>
        </is>
      </c>
      <c r="E82" t="n">
        <v>6.28</v>
      </c>
      <c r="F82" t="inlineStr">
        <is>
          <t>22.23-0-2-ERW 1-PE</t>
        </is>
      </c>
      <c r="G82" t="inlineStr">
        <is>
          <t>22.23-0-2-ERW 1-PE-5.951</t>
        </is>
      </c>
    </row>
    <row r="83">
      <c r="A83" t="n">
        <v>943209</v>
      </c>
      <c r="B83" t="inlineStr">
        <is>
          <t>MEGH STEELS PRIVATE LIMITED - TVS A</t>
        </is>
      </c>
      <c r="C83" t="n">
        <v>1940493</v>
      </c>
      <c r="D83" t="inlineStr">
        <is>
          <t>TUB-O-O-AUT-AW-PE-22.23X2.000X6.0000</t>
        </is>
      </c>
      <c r="E83" t="n">
        <v>6</v>
      </c>
      <c r="F83" t="inlineStr">
        <is>
          <t>22.23-0-2-ERW 1-PE</t>
        </is>
      </c>
      <c r="G83" t="inlineStr">
        <is>
          <t>22.23-0-2-ERW 1-PE-5.951</t>
        </is>
      </c>
    </row>
    <row r="84">
      <c r="A84" t="n">
        <v>943209</v>
      </c>
      <c r="B84" t="inlineStr">
        <is>
          <t>MEGH STEELS PRIVATE LIMITED - TVS A</t>
        </is>
      </c>
      <c r="C84" t="n">
        <v>3219710</v>
      </c>
      <c r="D84" t="inlineStr">
        <is>
          <t>TUB-O-N-AUT-AW-PE-21.40X1.600X6.0000</t>
        </is>
      </c>
      <c r="E84" t="n">
        <v>6</v>
      </c>
      <c r="F84" t="inlineStr">
        <is>
          <t>21.4-0-1.6-ERW 1-PE</t>
        </is>
      </c>
      <c r="G84" t="inlineStr">
        <is>
          <t>21.4-0-1.6-ERW 1-PE-6</t>
        </is>
      </c>
    </row>
    <row r="85">
      <c r="A85" t="n">
        <v>943210</v>
      </c>
      <c r="B85" t="inlineStr">
        <is>
          <t>MEGH STEELS PRIVATE LIMITED - HMSIL</t>
        </is>
      </c>
      <c r="C85" t="n">
        <v>3136139</v>
      </c>
      <c r="D85" t="inlineStr">
        <is>
          <t>TUB-O-N-AUT-AW-FC-57.15X3.000X0.4600</t>
        </is>
      </c>
      <c r="E85" t="n">
        <v>0.46</v>
      </c>
      <c r="F85" t="inlineStr">
        <is>
          <t>57.15-0-2.5-ERW 1-FC</t>
        </is>
      </c>
      <c r="G85" t="inlineStr">
        <is>
          <t>57.15-0-2.5-ERW 1-FC-5.65</t>
        </is>
      </c>
    </row>
    <row r="86">
      <c r="A86" t="n">
        <v>943209</v>
      </c>
      <c r="B86" t="inlineStr">
        <is>
          <t>MEGH STEELS PRIVATE LIMITED - TVS A</t>
        </is>
      </c>
      <c r="C86" t="n">
        <v>4045220</v>
      </c>
      <c r="D86" t="inlineStr">
        <is>
          <t>TUB-O-N-AUT-AW-FC-57.15X2.500X5.9500</t>
        </is>
      </c>
      <c r="E86" t="n">
        <v>5.95</v>
      </c>
      <c r="F86" t="inlineStr">
        <is>
          <t>57.15-0-2.5-ERW 1-FC</t>
        </is>
      </c>
      <c r="G86" t="inlineStr">
        <is>
          <t>57.15-0-2.5-ERW 1-FC-5.95</t>
        </is>
      </c>
    </row>
    <row r="87">
      <c r="A87" t="n">
        <v>943211</v>
      </c>
      <c r="B87" t="inlineStr">
        <is>
          <t>MEGH STEELS PRIVATE LIMITED - RE</t>
        </is>
      </c>
      <c r="C87" t="n">
        <v>3768907</v>
      </c>
      <c r="D87" t="inlineStr">
        <is>
          <t>CUT-O-N-AUT-AW-FC-41.28X3.200X0.2460</t>
        </is>
      </c>
      <c r="E87" t="n">
        <v>0.246</v>
      </c>
      <c r="F87" t="inlineStr">
        <is>
          <t>41.28-0-3.15-ERW 1-FC</t>
        </is>
      </c>
      <c r="G87" t="inlineStr">
        <is>
          <t>41.28-0-3.15-ERW 1-FC-5.86</t>
        </is>
      </c>
    </row>
    <row r="88">
      <c r="A88" t="n">
        <v>943210</v>
      </c>
      <c r="B88" t="inlineStr">
        <is>
          <t>MEGH STEELS PRIVATE LIMITED - HMSIL</t>
        </is>
      </c>
      <c r="C88" t="n">
        <v>3557792</v>
      </c>
      <c r="D88" t="inlineStr">
        <is>
          <t>TUB-O-N-AUT-AW-FC-25.40X1.400X6.0600</t>
        </is>
      </c>
      <c r="E88" t="n">
        <v>6.06</v>
      </c>
      <c r="F88" t="inlineStr">
        <is>
          <t>25.4-0-1.4-ERW 2-FC</t>
        </is>
      </c>
      <c r="G88" t="inlineStr">
        <is>
          <t>25.4-0-1.4-ERW 2-FC-6.06</t>
        </is>
      </c>
    </row>
    <row r="89">
      <c r="A89" t="n">
        <v>943209</v>
      </c>
      <c r="B89" t="inlineStr">
        <is>
          <t>MEGH STEELS PRIVATE LIMITED - TVS A</t>
        </is>
      </c>
      <c r="C89" t="n">
        <v>4055021</v>
      </c>
      <c r="D89" t="inlineStr">
        <is>
          <t>TUB-O-N-AUT-AW-PE-25.40X2.000X6.0500</t>
        </is>
      </c>
      <c r="E89" t="n">
        <v>6.05</v>
      </c>
      <c r="F89" t="inlineStr">
        <is>
          <t>25.4-0-2-ERW 1-PE</t>
        </is>
      </c>
      <c r="G89" t="inlineStr">
        <is>
          <t>25.4-0-2-ERW 1-PE-6.05</t>
        </is>
      </c>
    </row>
    <row r="90">
      <c r="A90" t="n">
        <v>943209</v>
      </c>
      <c r="B90" t="inlineStr">
        <is>
          <t>MEGH STEELS PRIVATE LIMITED - TVS A</t>
        </is>
      </c>
      <c r="C90" t="n">
        <v>3575894</v>
      </c>
      <c r="D90" t="inlineStr">
        <is>
          <t>TUB-O-N-AUT-AW-PE-22.23X1.600X5.2700</t>
        </is>
      </c>
      <c r="E90" t="n">
        <v>5.27</v>
      </c>
      <c r="F90" t="inlineStr">
        <is>
          <t>22.23-0-1.6-ERW 1-PE</t>
        </is>
      </c>
      <c r="G90" t="inlineStr">
        <is>
          <t>22.23-0-1.6-ERW 1-PE-5.27</t>
        </is>
      </c>
    </row>
    <row r="91">
      <c r="A91" t="n">
        <v>943209</v>
      </c>
      <c r="B91" t="inlineStr">
        <is>
          <t>MEGH STEELS PRIVATE LIMITED - TVS A</t>
        </is>
      </c>
      <c r="C91" t="n">
        <v>4067800</v>
      </c>
      <c r="D91" t="inlineStr">
        <is>
          <t>TUB-O-N-AUT-AW-PE-19.05X2.000X5.8020</t>
        </is>
      </c>
      <c r="E91" t="n">
        <v>5.8</v>
      </c>
      <c r="F91" t="inlineStr">
        <is>
          <t>19.05-0-2-ERW 1-PE</t>
        </is>
      </c>
      <c r="G91">
        <f>_xlfn.CONCAT(F91,"-",E91)</f>
        <v/>
      </c>
    </row>
    <row r="92">
      <c r="A92" t="n">
        <v>943209</v>
      </c>
      <c r="B92" t="inlineStr">
        <is>
          <t>MEGH STEELS PRIVATE LIMITED - TVS A</t>
        </is>
      </c>
      <c r="C92" t="n">
        <v>3954021</v>
      </c>
      <c r="D92" t="inlineStr">
        <is>
          <t>TUB-O-N-AUT-AW-PE-22.20X1.600X5.6700</t>
        </is>
      </c>
      <c r="E92" t="n">
        <v>5.67</v>
      </c>
      <c r="F92" t="inlineStr">
        <is>
          <t>22.23-0-1.6-ERW 1-PE</t>
        </is>
      </c>
      <c r="G92">
        <f>_xlfn.CONCAT(F92,"-",E92)</f>
        <v/>
      </c>
    </row>
    <row r="93">
      <c r="A93" t="n">
        <v>943209</v>
      </c>
      <c r="B93" t="inlineStr">
        <is>
          <t>MEGH STEELS PRIVATE LIMITED - TVS A</t>
        </is>
      </c>
      <c r="C93" t="n">
        <v>3882110</v>
      </c>
      <c r="D93" t="inlineStr">
        <is>
          <t>TUB-O-N-AUT-AW-PE-22.20X1.200X5.8700</t>
        </is>
      </c>
      <c r="E93" t="n">
        <v>5.87</v>
      </c>
      <c r="F93" t="inlineStr">
        <is>
          <t>22.23-0-1.2-ERW 1-PE</t>
        </is>
      </c>
      <c r="G93">
        <f>_xlfn.CONCAT(F93,"-",E93)</f>
        <v/>
      </c>
    </row>
    <row r="94">
      <c r="A94" t="n">
        <v>943209</v>
      </c>
      <c r="B94" t="inlineStr">
        <is>
          <t>MEGH STEELS PRIVATE LIMITED - TVS A</t>
        </is>
      </c>
      <c r="C94" t="n">
        <v>3673011</v>
      </c>
      <c r="D94" t="inlineStr">
        <is>
          <t>TUB-O-N-AUT-AW-PE-22.23X1.600X1.3040</t>
        </is>
      </c>
      <c r="E94" t="n">
        <v>5.27</v>
      </c>
      <c r="F94" t="inlineStr">
        <is>
          <t>22.23-0-1.6-ERW 1-PE</t>
        </is>
      </c>
      <c r="G94">
        <f>_xlfn.CONCAT(F94,"-",E94)</f>
        <v/>
      </c>
    </row>
    <row r="95">
      <c r="A95" t="n">
        <v>943209</v>
      </c>
      <c r="B95" t="inlineStr">
        <is>
          <t>MEGH STEELS PRIVATE LIMITED - TVS A</t>
        </is>
      </c>
      <c r="C95" t="n">
        <v>3499230</v>
      </c>
      <c r="D95" t="inlineStr">
        <is>
          <t>TUB-O-N-AUT-AW-FC-22.20X2.000X6.000</t>
        </is>
      </c>
      <c r="E95" t="n">
        <v>6</v>
      </c>
      <c r="F95" t="inlineStr">
        <is>
          <t>22.23-0-2-ERW 1-PE</t>
        </is>
      </c>
      <c r="G95" t="inlineStr">
        <is>
          <t>22.23-0-2-ERW 1-PE-5.951</t>
        </is>
      </c>
    </row>
    <row r="96">
      <c r="A96" t="n">
        <v>943210</v>
      </c>
      <c r="B96" t="inlineStr">
        <is>
          <t>MEGH STEELS PRIVATE LIMITED - HMSIL</t>
        </is>
      </c>
      <c r="C96" t="n">
        <v>3777563</v>
      </c>
      <c r="D96" t="inlineStr">
        <is>
          <t>TUB-O-N-AUT-AW-FC-54.00X3.00X5.790 HST</t>
        </is>
      </c>
      <c r="E96" t="n">
        <v>5.79</v>
      </c>
      <c r="G96">
        <f>_xlfn.CONCAT(F96,"-",E96)</f>
        <v/>
      </c>
    </row>
    <row r="97">
      <c r="A97" t="n">
        <v>943209</v>
      </c>
      <c r="B97" t="inlineStr">
        <is>
          <t>MEGH STEELS PRIVATE LIMITED - TVS A</t>
        </is>
      </c>
      <c r="C97" t="n">
        <v>3230501</v>
      </c>
      <c r="D97" t="inlineStr">
        <is>
          <t>TUB-O-N-AUT-AW-FC-41.28X3.150X5.8800</t>
        </is>
      </c>
      <c r="E97" t="n">
        <v>5.86</v>
      </c>
      <c r="F97" t="inlineStr">
        <is>
          <t>41.28-0-3.15-ERW 1-FC</t>
        </is>
      </c>
      <c r="G97" t="inlineStr">
        <is>
          <t>41.28-0-3.15-ERW 1-FC-5.86</t>
        </is>
      </c>
    </row>
    <row r="98">
      <c r="A98" t="n">
        <v>943210</v>
      </c>
      <c r="B98" t="inlineStr">
        <is>
          <t>MEGH STEELS PRIVATE LIMITED - HMSIL</t>
        </is>
      </c>
      <c r="C98" t="n">
        <v>3514380</v>
      </c>
      <c r="D98" t="inlineStr">
        <is>
          <t>TUB-O-N-AUT-AW-PE-45.00X1.600X6.4000 HST</t>
        </is>
      </c>
      <c r="E98" t="n">
        <v>6.4</v>
      </c>
      <c r="F98" t="inlineStr">
        <is>
          <t>45-0-1.6-ERW 2-FIN CUT</t>
        </is>
      </c>
      <c r="G98" t="inlineStr">
        <is>
          <t>45-0-1.6-ERW 2-FIN CUT-6.4</t>
        </is>
      </c>
    </row>
    <row r="99">
      <c r="A99" t="n">
        <v>943210</v>
      </c>
      <c r="B99" t="inlineStr">
        <is>
          <t>MEGH STEELS PRIVATE LIMITED - HMSIL</t>
        </is>
      </c>
      <c r="C99" t="n">
        <v>3514971</v>
      </c>
      <c r="D99" t="inlineStr">
        <is>
          <t>TUB-O-N-AUT-AW-FC-45.00X1.400X6.4000 HST</t>
        </is>
      </c>
      <c r="E99" t="n">
        <v>6.4</v>
      </c>
      <c r="F99" t="inlineStr">
        <is>
          <t>45-0-1.4-ERW 2-FIN CUT</t>
        </is>
      </c>
      <c r="G99" t="inlineStr">
        <is>
          <t>45-0-1.4-ERW 2-FIN CUT-6.4</t>
        </is>
      </c>
    </row>
    <row r="100">
      <c r="A100" t="n">
        <v>943209</v>
      </c>
      <c r="B100" t="inlineStr">
        <is>
          <t>MEGH STEELS PRIVATE LIMITED - TVS A</t>
        </is>
      </c>
      <c r="C100" t="n">
        <v>2325422</v>
      </c>
      <c r="D100" t="inlineStr">
        <is>
          <t>TUB-O-N-AUT-AW-FC-38.10X1.600X5.7000</t>
        </is>
      </c>
      <c r="E100" t="n">
        <v>5.7</v>
      </c>
      <c r="G100">
        <f>_xlfn.CONCAT(F100,"-",E100)</f>
        <v/>
      </c>
    </row>
    <row r="101">
      <c r="A101" t="n">
        <v>943209</v>
      </c>
      <c r="B101" t="inlineStr">
        <is>
          <t>MEGH STEELS PRIVATE LIMITED - TVS A</t>
        </is>
      </c>
      <c r="C101" t="n">
        <v>3501716</v>
      </c>
      <c r="D101" t="inlineStr">
        <is>
          <t>TUB-O-N-AUT-AW-FC-41.28X2.600X6.0000</t>
        </is>
      </c>
      <c r="E101" t="n">
        <v>6</v>
      </c>
      <c r="F101" t="inlineStr">
        <is>
          <t>41.28-0-2.6-ERW 1-FC</t>
        </is>
      </c>
      <c r="G101" t="inlineStr">
        <is>
          <t>41.28-0-2.6-ERW 1-FC-6</t>
        </is>
      </c>
    </row>
    <row r="102">
      <c r="A102" t="n">
        <v>943211</v>
      </c>
      <c r="B102" t="inlineStr">
        <is>
          <t>MEGH STEELS PRIVATE LIMITED - RE</t>
        </is>
      </c>
      <c r="C102" t="n">
        <v>2396906</v>
      </c>
      <c r="D102" t="inlineStr">
        <is>
          <t>TUB-O-N-AUT-AW-FC-34.93X1.200X0.6500</t>
        </is>
      </c>
      <c r="E102" t="n">
        <v>0.65</v>
      </c>
      <c r="F102" t="inlineStr">
        <is>
          <t>34.93-0-1.2-ERW 1-FC</t>
        </is>
      </c>
      <c r="G102">
        <f>_xlfn.CONCAT(F102,"-",E102)</f>
        <v/>
      </c>
    </row>
    <row r="103">
      <c r="A103" t="n">
        <v>943210</v>
      </c>
      <c r="B103" t="inlineStr">
        <is>
          <t>MEGH STEELS PRIVATE LIMITED - HMSIL</t>
        </is>
      </c>
      <c r="C103" t="n">
        <v>3549720</v>
      </c>
      <c r="D103" t="inlineStr">
        <is>
          <t>TUB-O-N-AUT-AW-FC-48.60X2.300X6.270 HST</t>
        </is>
      </c>
      <c r="E103" t="n">
        <v>6.27</v>
      </c>
      <c r="F103" t="inlineStr">
        <is>
          <t>48.62.36.27HSTFIN CUT</t>
        </is>
      </c>
      <c r="G103">
        <f>_xlfn.CONCAT(F103,"-",E103)</f>
        <v/>
      </c>
    </row>
    <row r="104">
      <c r="A104" t="n">
        <v>943210</v>
      </c>
      <c r="B104" t="inlineStr">
        <is>
          <t>MEGH STEELS PRIVATE LIMITED - HMSIL</t>
        </is>
      </c>
      <c r="C104" t="n">
        <v>4104592</v>
      </c>
      <c r="D104" t="inlineStr">
        <is>
          <t>TUB-O-O-AUT-AW-PE-19.05X1.400X6.0000</t>
        </is>
      </c>
      <c r="E104" t="n">
        <v>6</v>
      </c>
      <c r="F104" t="inlineStr">
        <is>
          <t>19.051.46ERW2NON FIN</t>
        </is>
      </c>
      <c r="G104">
        <f>_xlfn.CONCAT(F104,"-",E104)</f>
        <v/>
      </c>
    </row>
    <row r="105">
      <c r="A105" t="n">
        <v>943209</v>
      </c>
      <c r="B105" t="inlineStr">
        <is>
          <t>MEGH STEELS PRIVATE LIMITED - TVS A</t>
        </is>
      </c>
      <c r="C105" t="n">
        <v>3775636</v>
      </c>
      <c r="D105" t="inlineStr">
        <is>
          <t>TUB-O-O-AUT-AW-FC-25.40X2.500X0.7830</t>
        </is>
      </c>
      <c r="E105" t="n">
        <v>0.783</v>
      </c>
      <c r="F105" t="inlineStr">
        <is>
          <t>25.4-0-2.5-ERW 1-PE</t>
        </is>
      </c>
      <c r="G105" t="inlineStr">
        <is>
          <t>25.4-0-2.5-ERW 1-PE-5.53</t>
        </is>
      </c>
    </row>
    <row r="106">
      <c r="A106" t="n">
        <v>943209</v>
      </c>
      <c r="B106" t="inlineStr">
        <is>
          <t>MEGH STEELS PRIVATE LIMITED - TVS A</t>
        </is>
      </c>
      <c r="C106" t="n">
        <v>2440971</v>
      </c>
      <c r="D106" t="inlineStr">
        <is>
          <t>TUB-R-AW-AUT-40.00X25.00X1.600X0.3180</t>
        </is>
      </c>
      <c r="E106" t="n">
        <v>0.318</v>
      </c>
      <c r="F106" t="inlineStr">
        <is>
          <t>40-25-1.6-ERW 1-FC</t>
        </is>
      </c>
      <c r="G106">
        <f>_xlfn.CONCAT(F106,"-",E106)</f>
        <v/>
      </c>
    </row>
    <row r="107">
      <c r="A107" t="n">
        <v>943209</v>
      </c>
      <c r="B107" t="inlineStr">
        <is>
          <t>MEGH STEELS PRIVATE LIMITED - TVS A</t>
        </is>
      </c>
      <c r="C107" t="n">
        <v>3731697</v>
      </c>
      <c r="D107" t="inlineStr">
        <is>
          <t>CUT-O-N-AUT-AW-AG-57.15X2.500X0.5260</t>
        </is>
      </c>
      <c r="E107" t="n">
        <v>0.526</v>
      </c>
      <c r="F107" t="inlineStr">
        <is>
          <t>57.15-0-2.5-ERW 1-FC</t>
        </is>
      </c>
      <c r="G107" t="inlineStr">
        <is>
          <t>57.15-0-2.5-ERW 1-FC-5.95</t>
        </is>
      </c>
    </row>
    <row r="108">
      <c r="A108" t="n">
        <v>943210</v>
      </c>
      <c r="B108" t="inlineStr">
        <is>
          <t>MEGH STEELS PRIVATE LIMITED - HMSIL</t>
        </is>
      </c>
      <c r="C108" t="n">
        <v>4104593</v>
      </c>
      <c r="D108" t="inlineStr">
        <is>
          <t>TUB-O-O-AUT-AW-FC-57.15X3.000X5.6500</t>
        </is>
      </c>
      <c r="E108" t="n">
        <v>5.65</v>
      </c>
      <c r="F108" t="inlineStr">
        <is>
          <t>57.15-0-3-ERW 1-FC</t>
        </is>
      </c>
      <c r="G108" t="inlineStr">
        <is>
          <t>57.15-0-3-ERW 1-FC-5.65</t>
        </is>
      </c>
    </row>
    <row r="109">
      <c r="A109" t="n">
        <v>943211</v>
      </c>
      <c r="B109" t="inlineStr">
        <is>
          <t>MEGH STEELS PRIVATE LIMITED - RE</t>
        </is>
      </c>
      <c r="C109" t="n">
        <v>2397060</v>
      </c>
      <c r="D109" t="inlineStr">
        <is>
          <t>TUB-O-N-AUT-AW-FC-48.00X1.200X0.6500</t>
        </is>
      </c>
      <c r="E109" t="n">
        <v>0.65</v>
      </c>
      <c r="F109" t="inlineStr">
        <is>
          <t>48--1.2-ERW 1-FIN CUT</t>
        </is>
      </c>
      <c r="G109" t="inlineStr">
        <is>
          <t>48--1.2-ERW 1-FIN CUT-0.7</t>
        </is>
      </c>
    </row>
    <row r="110">
      <c r="A110" t="n">
        <v>943209</v>
      </c>
      <c r="B110" t="inlineStr">
        <is>
          <t>MEGH STEELS PRIVATE LIMITED - TVS A</t>
        </is>
      </c>
      <c r="C110" t="n">
        <v>3597050</v>
      </c>
      <c r="D110" t="inlineStr">
        <is>
          <t>TUB-O-N-AUT-AW-FC-41.28X3.150X5.9400</t>
        </is>
      </c>
      <c r="E110" t="n">
        <v>5.94</v>
      </c>
      <c r="F110" t="inlineStr">
        <is>
          <t>41.28-0-3.15-ERW 1-FC</t>
        </is>
      </c>
      <c r="G110" t="inlineStr">
        <is>
          <t>41.28-0-3.15-ERW 1-FC-5.86</t>
        </is>
      </c>
    </row>
    <row r="111">
      <c r="A111" t="n">
        <v>943209</v>
      </c>
      <c r="B111" t="inlineStr">
        <is>
          <t>MEGH STEELS PRIVATE LIMITED - TVS A</t>
        </is>
      </c>
      <c r="C111" t="n">
        <v>4105140</v>
      </c>
      <c r="D111" t="inlineStr">
        <is>
          <t>TUB-O-O-AUT-AW-FC-41.28X3.150X6.2850</t>
        </is>
      </c>
      <c r="E111" t="n">
        <v>6.285</v>
      </c>
      <c r="F111" t="inlineStr">
        <is>
          <t>41.28-0-3.15-ERW 1-FC</t>
        </is>
      </c>
      <c r="G111" t="inlineStr">
        <is>
          <t>41.28-0-3.15-ERW 1-FC-5.86</t>
        </is>
      </c>
    </row>
    <row r="112">
      <c r="A112" t="n">
        <v>943209</v>
      </c>
      <c r="B112" t="inlineStr">
        <is>
          <t>MEGH STEELS PRIVATE LIMITED - TVS A</t>
        </is>
      </c>
      <c r="C112" t="n">
        <v>1931387</v>
      </c>
      <c r="D112" t="inlineStr">
        <is>
          <t>TUB-O-N-AUT-AW-FC-31.75X2.000X6.0000</t>
        </is>
      </c>
      <c r="E112" t="n">
        <v>6</v>
      </c>
      <c r="F112" t="inlineStr">
        <is>
          <t>31.75-0-2-ERW 1-FC</t>
        </is>
      </c>
      <c r="G112" t="inlineStr">
        <is>
          <t>31.75-0-2-ERW 1-FC-6</t>
        </is>
      </c>
    </row>
    <row r="113">
      <c r="A113" t="n">
        <v>943211</v>
      </c>
      <c r="B113" t="inlineStr">
        <is>
          <t>MEGH STEELS PRIVATE LIMITED - RE</t>
        </is>
      </c>
      <c r="C113" t="n">
        <v>3499589</v>
      </c>
      <c r="D113" t="inlineStr">
        <is>
          <t>TUB-O-N-AUT-AW-FC-34.93X1.20X5.100-ERW 1</t>
        </is>
      </c>
      <c r="E113" t="n">
        <v>5.1</v>
      </c>
      <c r="F113" t="inlineStr">
        <is>
          <t>34.93-0-1.2-ERW 1-FC</t>
        </is>
      </c>
      <c r="G113" t="inlineStr">
        <is>
          <t>34.93-0-1.2-ERW 1-FC-6</t>
        </is>
      </c>
    </row>
    <row r="114">
      <c r="A114" t="n">
        <v>943211</v>
      </c>
      <c r="B114" t="inlineStr">
        <is>
          <t>MEGH STEELS PRIVATE LIMITED - RE</t>
        </is>
      </c>
      <c r="C114" t="n">
        <v>3518437</v>
      </c>
      <c r="D114" t="inlineStr">
        <is>
          <t>TUB-O-N-AUT-AW-FC-50.80X2.600X6.00-ERW 1</t>
        </is>
      </c>
      <c r="E114" t="n">
        <v>6</v>
      </c>
      <c r="F114" t="inlineStr">
        <is>
          <t>50.8-0-2.6-ERW 1-FC</t>
        </is>
      </c>
      <c r="G114" t="inlineStr">
        <is>
          <t>50.8-0-2.6-ERW 1-FC-6</t>
        </is>
      </c>
    </row>
    <row r="115">
      <c r="A115" t="n">
        <v>943210</v>
      </c>
      <c r="B115" t="inlineStr">
        <is>
          <t>MEGH STEELS PRIVATE LIMITED - HMSIL</t>
        </is>
      </c>
      <c r="C115" t="n">
        <v>3500635</v>
      </c>
      <c r="D115" t="inlineStr">
        <is>
          <t>TUB-O-C-AUT-BH-FC-47.63X4.000X6.0000</t>
        </is>
      </c>
      <c r="E115" t="n">
        <v>6</v>
      </c>
      <c r="F115" t="inlineStr">
        <is>
          <t>47.63-0-4-ERW 1-FC</t>
        </is>
      </c>
      <c r="G115" t="inlineStr">
        <is>
          <t>47.63-0-4-ERW 1-FC-6.04</t>
        </is>
      </c>
    </row>
    <row r="116">
      <c r="A116" t="n">
        <v>943209</v>
      </c>
      <c r="B116" t="inlineStr">
        <is>
          <t>MEGH STEELS PRIVATE LIMITED - TVS A</t>
        </is>
      </c>
      <c r="C116" t="n">
        <v>3570819</v>
      </c>
      <c r="D116" t="inlineStr">
        <is>
          <t>TUB-O-N-AUT-AW-PE-25.40X2.000X5.9500</t>
        </is>
      </c>
      <c r="E116" t="n">
        <v>5.95</v>
      </c>
      <c r="F116" t="inlineStr">
        <is>
          <t>25.4-0-2-ERW 1-PE</t>
        </is>
      </c>
      <c r="G116" t="inlineStr">
        <is>
          <t>25.4-0-2-ERW 1-PE-6.05</t>
        </is>
      </c>
    </row>
    <row r="117">
      <c r="A117" t="n">
        <v>943209</v>
      </c>
      <c r="B117" t="inlineStr">
        <is>
          <t>MEGH STEELS PRIVATE LIMITED - TVS A</t>
        </is>
      </c>
      <c r="C117" t="n">
        <v>3502422</v>
      </c>
      <c r="D117" t="inlineStr">
        <is>
          <t>TUB-O-N-AUT-AW-FC-48.60X3.500X6.0500</t>
        </is>
      </c>
      <c r="E117" t="n">
        <v>6.05</v>
      </c>
      <c r="F117" t="inlineStr">
        <is>
          <t>48.6-0-3.5-ERW 1-FC</t>
        </is>
      </c>
      <c r="G117" t="inlineStr">
        <is>
          <t>48.6-0-3.5-ERW 1-FC-6</t>
        </is>
      </c>
    </row>
    <row r="118">
      <c r="A118" t="inlineStr">
        <is>
          <t>0000943211</t>
        </is>
      </c>
      <c r="B118" t="inlineStr">
        <is>
          <t>MEGH STEELS PRIVATE LIMITED - RE</t>
        </is>
      </c>
      <c r="C118" t="n">
        <v>3191790</v>
      </c>
      <c r="D118" t="inlineStr">
        <is>
          <t>TUB-S-AW-AUT-50.00X50.00X1.600X0.5420</t>
        </is>
      </c>
      <c r="E118" t="n">
        <v>6.04</v>
      </c>
      <c r="F118" s="147" t="inlineStr">
        <is>
          <t>50-50-1.6-ERW 1-FIN CUT</t>
        </is>
      </c>
      <c r="G118">
        <f>_xlfn.CONCAT(F118,"-",E118)</f>
        <v/>
      </c>
    </row>
    <row r="119">
      <c r="A119" t="inlineStr">
        <is>
          <t>0000943211</t>
        </is>
      </c>
      <c r="B119" t="inlineStr">
        <is>
          <t>MEGH STEELS PRIVATE LIMITED - RE</t>
        </is>
      </c>
      <c r="C119" t="n">
        <v>3500695</v>
      </c>
      <c r="D119" t="inlineStr">
        <is>
          <t>TUB-O-C-AUT-AD-FC-50.8X2.6X6.0-BSVI-CEW1</t>
        </is>
      </c>
      <c r="E119" t="n">
        <v>6</v>
      </c>
      <c r="F119" t="inlineStr">
        <is>
          <t>50.8-0-2.6-CEW-FC</t>
        </is>
      </c>
      <c r="G119" t="inlineStr">
        <is>
          <t>50.8-0-2.6-CEW-FC-6</t>
        </is>
      </c>
    </row>
    <row r="120">
      <c r="A120" t="inlineStr">
        <is>
          <t>0000943209</t>
        </is>
      </c>
      <c r="B120" t="inlineStr">
        <is>
          <t>MEGH STEELS PRIVATE LIMITED - TVS A</t>
        </is>
      </c>
      <c r="C120" t="n">
        <v>3905049</v>
      </c>
      <c r="D120" t="inlineStr">
        <is>
          <t>TUB-O-N-AUT-AW-FC-60.30X2.000X5.9000</t>
        </is>
      </c>
      <c r="E120" t="n">
        <v>5.9</v>
      </c>
      <c r="F120" t="inlineStr">
        <is>
          <t>60.3-0-2-ERW 1-FC</t>
        </is>
      </c>
      <c r="G120" t="inlineStr">
        <is>
          <t>60.3-0-2-ERW 1-FC-5.9</t>
        </is>
      </c>
    </row>
    <row r="121">
      <c r="A121" t="inlineStr">
        <is>
          <t>0000943209</t>
        </is>
      </c>
      <c r="B121" t="inlineStr">
        <is>
          <t>MEGH STEELS PRIVATE LIMITED - TVS A</t>
        </is>
      </c>
      <c r="C121" t="n">
        <v>3457574</v>
      </c>
      <c r="D121" t="inlineStr">
        <is>
          <t>TUB-O-N-AUT-AW-PE-41.28X2.600X6.0200</t>
        </is>
      </c>
      <c r="E121" t="n">
        <v>6.02</v>
      </c>
      <c r="F121" t="inlineStr">
        <is>
          <t>41.28-0-2.6-ERW 1-FC</t>
        </is>
      </c>
      <c r="G121" t="inlineStr">
        <is>
          <t>41.28-0-2.6-ERW 1-FC-6</t>
        </is>
      </c>
    </row>
    <row r="122">
      <c r="A122" t="inlineStr">
        <is>
          <t>0000943210</t>
        </is>
      </c>
      <c r="B122" t="inlineStr">
        <is>
          <t>MEGH STEELS PRIVATE LIMITED - HMSIL</t>
        </is>
      </c>
      <c r="C122" t="n">
        <v>1940627</v>
      </c>
      <c r="D122" t="inlineStr">
        <is>
          <t>TUB-O-O-AUT-AW-FC-28.58X3.200X6.0000</t>
        </is>
      </c>
      <c r="E122" t="n">
        <v>6</v>
      </c>
      <c r="F122" t="inlineStr">
        <is>
          <t>41.28-0-3.15-ERW 1-FC</t>
        </is>
      </c>
      <c r="G122" t="inlineStr">
        <is>
          <t>41.28-0-3.15-ERW 1-FC-5.86</t>
        </is>
      </c>
    </row>
    <row r="123">
      <c r="A123" t="inlineStr">
        <is>
          <t>0000943209</t>
        </is>
      </c>
      <c r="B123" t="inlineStr">
        <is>
          <t>MEGH STEELS PRIVATE LIMITED - TVS A</t>
        </is>
      </c>
      <c r="C123" t="n">
        <v>3591303</v>
      </c>
      <c r="D123" t="inlineStr">
        <is>
          <t>TUB-O-N-AUT-AW-FC-31.75X1.200X6.0000</t>
        </is>
      </c>
      <c r="E123" t="n">
        <v>6</v>
      </c>
      <c r="F123" t="inlineStr">
        <is>
          <t>31.75-0-1.2-ERW 1-FC</t>
        </is>
      </c>
      <c r="G123" t="inlineStr">
        <is>
          <t>31.75-0-2-ERW 1-FC-6</t>
        </is>
      </c>
    </row>
    <row r="124">
      <c r="A124" t="inlineStr">
        <is>
          <t>0000943209</t>
        </is>
      </c>
      <c r="B124" t="inlineStr">
        <is>
          <t>MEGH STEELS PRIVATE LIMITED - TVS A</t>
        </is>
      </c>
      <c r="C124" t="n">
        <v>1940684</v>
      </c>
      <c r="D124" t="inlineStr">
        <is>
          <t>TUB-O-O-AUT-AW-FC-31.75X2.300X6.0000</t>
        </is>
      </c>
      <c r="E124" t="n">
        <v>6</v>
      </c>
      <c r="F124" t="inlineStr">
        <is>
          <t>31.75-0-2.3-ERW 1-FC</t>
        </is>
      </c>
      <c r="G124" t="inlineStr">
        <is>
          <t>31.75-0-2.3-ERW 1-FC-5.92</t>
        </is>
      </c>
    </row>
    <row r="125">
      <c r="A125" t="inlineStr">
        <is>
          <t>0000943211</t>
        </is>
      </c>
      <c r="B125" t="inlineStr">
        <is>
          <t>MEGH STEELS PRIVATE LIMITED - RE</t>
        </is>
      </c>
      <c r="C125" t="n">
        <v>3500641</v>
      </c>
      <c r="D125" t="inlineStr">
        <is>
          <t>TUB-S-AW-SHS-50.0X50.0X1.6X6.1210BSVIHDP</t>
        </is>
      </c>
      <c r="E125" t="n">
        <v>6.04</v>
      </c>
      <c r="F125" t="inlineStr">
        <is>
          <t>50-50-1.6-ERW 1-FIN CUT</t>
        </is>
      </c>
      <c r="G125" t="inlineStr">
        <is>
          <t>50-50-1.6-ERW 1-FIN CUT-6.04</t>
        </is>
      </c>
    </row>
  </sheetData>
  <conditionalFormatting sqref="C2:C125">
    <cfRule type="duplicateValues" priority="387" dxfId="0"/>
  </conditionalFormatting>
  <conditionalFormatting sqref="E113:E117">
    <cfRule type="duplicateValues" priority="2" dxfId="0"/>
  </conditionalFormatting>
  <conditionalFormatting sqref="F118">
    <cfRule type="duplicateValues" priority="1" dxfId="0"/>
  </conditionalFormatting>
  <conditionalFormatting sqref="G1:G1048576 N1:N1048576">
    <cfRule type="duplicateValues" priority="3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 codeName="Sheet36">
    <outlinePr summaryBelow="1" summaryRight="1"/>
    <pageSetUpPr/>
  </sheetPr>
  <dimension ref="A1:O569"/>
  <sheetViews>
    <sheetView topLeftCell="H1" workbookViewId="0">
      <selection activeCell="E9" sqref="E9"/>
    </sheetView>
  </sheetViews>
  <sheetFormatPr baseColWidth="8" defaultColWidth="8.28515625" defaultRowHeight="15"/>
  <cols>
    <col width="16.7109375" bestFit="1" customWidth="1" style="584" min="1" max="1"/>
    <col width="35.7109375" bestFit="1" customWidth="1" style="584" min="2" max="2"/>
    <col width="13.7109375" bestFit="1" customWidth="1" style="584" min="3" max="3"/>
    <col width="11" bestFit="1" customWidth="1" style="584" min="4" max="4"/>
    <col width="25.140625" bestFit="1" customWidth="1" style="584" min="5" max="5"/>
    <col width="21" bestFit="1" customWidth="1" style="584" min="6" max="6"/>
    <col width="14.28515625" bestFit="1" customWidth="1" style="584" min="7" max="7"/>
    <col width="42.7109375" bestFit="1" customWidth="1" style="584" min="8" max="8"/>
    <col width="11" bestFit="1" customWidth="1" style="584" min="9" max="9"/>
    <col width="28" bestFit="1" customWidth="1" style="584" min="10" max="10"/>
    <col width="27.42578125" bestFit="1" customWidth="1" style="584" min="11" max="11"/>
    <col width="34.28515625" bestFit="1" customWidth="1" style="584" min="12" max="12"/>
    <col width="31.5703125" bestFit="1" customWidth="1" style="584" min="13" max="13"/>
    <col width="16.85546875" bestFit="1" customWidth="1" style="584" min="14" max="14"/>
    <col width="29.140625" bestFit="1" customWidth="1" style="584" min="15" max="15"/>
    <col width="24.7109375" bestFit="1" customWidth="1" style="584" min="16" max="16"/>
    <col width="29.140625" bestFit="1" customWidth="1" style="584" min="17" max="17"/>
  </cols>
  <sheetData>
    <row r="1">
      <c r="A1" t="inlineStr">
        <is>
          <t>CUSTOMER  CD</t>
        </is>
      </c>
      <c r="B1" t="inlineStr">
        <is>
          <t>CUSTOMER  NAME</t>
        </is>
      </c>
      <c r="C1" t="inlineStr">
        <is>
          <t>SALES  UNIT</t>
        </is>
      </c>
      <c r="D1" t="inlineStr">
        <is>
          <t>qty in no</t>
        </is>
      </c>
      <c r="E1" t="inlineStr">
        <is>
          <t>Domain for z_qty_meter</t>
        </is>
      </c>
      <c r="F1" t="inlineStr">
        <is>
          <t>MATERAIL NUMBER</t>
        </is>
      </c>
      <c r="G1" t="inlineStr">
        <is>
          <t>DESP P LANT</t>
        </is>
      </c>
      <c r="H1" t="inlineStr">
        <is>
          <t>Material   Description</t>
        </is>
      </c>
      <c r="I1" t="inlineStr">
        <is>
          <t>Quantity</t>
        </is>
      </c>
      <c r="J1" t="inlineStr">
        <is>
          <t>Outer Diameter of Material</t>
        </is>
      </c>
      <c r="K1" t="inlineStr">
        <is>
          <t>Inner Diameter of Material</t>
        </is>
      </c>
      <c r="L1" t="inlineStr">
        <is>
          <t>Thickness for TATA Tubes Material</t>
        </is>
      </c>
      <c r="M1" t="inlineStr">
        <is>
          <t>Length for TATA Tubes Material</t>
        </is>
      </c>
      <c r="N1" t="inlineStr">
        <is>
          <t>OEM_Key.OEM</t>
        </is>
      </c>
      <c r="O1" t="inlineStr">
        <is>
          <t>Length Bucket</t>
        </is>
      </c>
    </row>
    <row r="2">
      <c r="A2" t="inlineStr">
        <is>
          <t>0000943209</t>
        </is>
      </c>
      <c r="B2" t="inlineStr">
        <is>
          <t>MEGH STEELS PRIVATE LIMITED - TVS A</t>
        </is>
      </c>
      <c r="C2" t="inlineStr">
        <is>
          <t>KG</t>
        </is>
      </c>
      <c r="D2" t="n">
        <v>127</v>
      </c>
      <c r="E2" t="n">
        <v>725.317</v>
      </c>
      <c r="F2" t="n">
        <v>3907863</v>
      </c>
      <c r="G2" t="inlineStr">
        <is>
          <t>056</t>
        </is>
      </c>
      <c r="H2" t="inlineStr">
        <is>
          <t>TUB-O-N-AUT-AW-FC-57.15X2.500X5.7110</t>
        </is>
      </c>
      <c r="I2" t="n">
        <v>2350.389</v>
      </c>
      <c r="J2" t="n">
        <v>57.15</v>
      </c>
      <c r="K2" t="n">
        <v>0</v>
      </c>
      <c r="L2" t="n">
        <v>2.5</v>
      </c>
      <c r="M2" t="n">
        <v>5.711</v>
      </c>
      <c r="N2" t="inlineStr">
        <is>
          <t>Direct</t>
        </is>
      </c>
      <c r="O2" t="inlineStr">
        <is>
          <t>57.15-0-2.5-ERW 1-FC-5.711</t>
        </is>
      </c>
    </row>
    <row r="3">
      <c r="A3" t="inlineStr">
        <is>
          <t>0000943209</t>
        </is>
      </c>
      <c r="B3" t="inlineStr">
        <is>
          <t>MEGH STEELS PRIVATE LIMITED - TVS A</t>
        </is>
      </c>
      <c r="C3" t="inlineStr">
        <is>
          <t>KG</t>
        </is>
      </c>
      <c r="D3" t="n">
        <v>127</v>
      </c>
      <c r="E3" t="n">
        <v>725.317</v>
      </c>
      <c r="F3" t="n">
        <v>3907863</v>
      </c>
      <c r="G3" t="inlineStr">
        <is>
          <t>056</t>
        </is>
      </c>
      <c r="H3" t="inlineStr">
        <is>
          <t>TUB-O-N-AUT-AW-FC-57.15X2.500X5.7110</t>
        </is>
      </c>
      <c r="I3" t="n">
        <v>2350.389</v>
      </c>
      <c r="J3" t="n">
        <v>57.15</v>
      </c>
      <c r="K3" t="n">
        <v>0</v>
      </c>
      <c r="L3" t="n">
        <v>2.5</v>
      </c>
      <c r="M3" t="n">
        <v>5.711</v>
      </c>
      <c r="N3" t="inlineStr">
        <is>
          <t>Direct</t>
        </is>
      </c>
      <c r="O3" t="inlineStr">
        <is>
          <t>57.15-0-2.5-ERW 1-FC-5.711</t>
        </is>
      </c>
    </row>
    <row r="4">
      <c r="A4" t="inlineStr">
        <is>
          <t>0000943209</t>
        </is>
      </c>
      <c r="B4" t="inlineStr">
        <is>
          <t>MEGH STEELS PRIVATE LIMITED - TVS A</t>
        </is>
      </c>
      <c r="C4" t="inlineStr">
        <is>
          <t>KG</t>
        </is>
      </c>
      <c r="D4" t="n">
        <v>127</v>
      </c>
      <c r="E4" t="n">
        <v>725.317</v>
      </c>
      <c r="F4" t="n">
        <v>3907863</v>
      </c>
      <c r="G4" t="inlineStr">
        <is>
          <t>056</t>
        </is>
      </c>
      <c r="H4" t="inlineStr">
        <is>
          <t>TUB-O-N-AUT-AW-FC-57.15X2.500X5.7110</t>
        </is>
      </c>
      <c r="I4" t="n">
        <v>2350.389</v>
      </c>
      <c r="J4" t="n">
        <v>57.15</v>
      </c>
      <c r="K4" t="n">
        <v>0</v>
      </c>
      <c r="L4" t="n">
        <v>2.5</v>
      </c>
      <c r="M4" t="n">
        <v>5.711</v>
      </c>
      <c r="N4" t="inlineStr">
        <is>
          <t>Direct</t>
        </is>
      </c>
      <c r="O4" t="inlineStr">
        <is>
          <t>57.15-0-2.5-ERW 1-FC-5.711</t>
        </is>
      </c>
    </row>
    <row r="5">
      <c r="A5" t="inlineStr">
        <is>
          <t>0000943209</t>
        </is>
      </c>
      <c r="B5" t="inlineStr">
        <is>
          <t>MEGH STEELS PRIVATE LIMITED - TVS A</t>
        </is>
      </c>
      <c r="C5" t="inlineStr">
        <is>
          <t>KG</t>
        </is>
      </c>
      <c r="D5" t="n">
        <v>127</v>
      </c>
      <c r="E5" t="n">
        <v>725.317</v>
      </c>
      <c r="F5" t="n">
        <v>3907863</v>
      </c>
      <c r="G5" t="inlineStr">
        <is>
          <t>056</t>
        </is>
      </c>
      <c r="H5" t="inlineStr">
        <is>
          <t>TUB-O-N-AUT-AW-FC-57.15X2.500X5.7110</t>
        </is>
      </c>
      <c r="I5" t="n">
        <v>2350.389</v>
      </c>
      <c r="J5" t="n">
        <v>57.15</v>
      </c>
      <c r="K5" t="n">
        <v>0</v>
      </c>
      <c r="L5" t="n">
        <v>2.5</v>
      </c>
      <c r="M5" t="n">
        <v>5.711</v>
      </c>
      <c r="N5" t="inlineStr">
        <is>
          <t>Direct</t>
        </is>
      </c>
      <c r="O5" t="inlineStr">
        <is>
          <t>57.15-0-2.5-ERW 1-FC-5.711</t>
        </is>
      </c>
    </row>
    <row r="6">
      <c r="A6" t="inlineStr">
        <is>
          <t>0000943209</t>
        </is>
      </c>
      <c r="B6" t="inlineStr">
        <is>
          <t>MEGH STEELS PRIVATE LIMITED - TVS A</t>
        </is>
      </c>
      <c r="C6" t="inlineStr">
        <is>
          <t>KG</t>
        </is>
      </c>
      <c r="D6" t="n">
        <v>127</v>
      </c>
      <c r="E6" t="n">
        <v>725.317</v>
      </c>
      <c r="F6" t="n">
        <v>3907863</v>
      </c>
      <c r="G6" t="inlineStr">
        <is>
          <t>056</t>
        </is>
      </c>
      <c r="H6" t="inlineStr">
        <is>
          <t>TUB-O-N-AUT-AW-FC-57.15X2.500X5.7110</t>
        </is>
      </c>
      <c r="I6" t="n">
        <v>2350.389</v>
      </c>
      <c r="J6" t="n">
        <v>57.15</v>
      </c>
      <c r="K6" t="n">
        <v>0</v>
      </c>
      <c r="L6" t="n">
        <v>2.5</v>
      </c>
      <c r="M6" t="n">
        <v>5.711</v>
      </c>
      <c r="N6" t="inlineStr">
        <is>
          <t>Direct</t>
        </is>
      </c>
      <c r="O6" t="inlineStr">
        <is>
          <t>57.15-0-2.5-ERW 1-FC-5.711</t>
        </is>
      </c>
    </row>
    <row r="7">
      <c r="A7" t="inlineStr">
        <is>
          <t>0000943209</t>
        </is>
      </c>
      <c r="B7" t="inlineStr">
        <is>
          <t>MEGH STEELS PRIVATE LIMITED - TVS A</t>
        </is>
      </c>
      <c r="C7" t="inlineStr">
        <is>
          <t>KG</t>
        </is>
      </c>
      <c r="D7" t="n">
        <v>127</v>
      </c>
      <c r="E7" t="n">
        <v>725.317</v>
      </c>
      <c r="F7" t="n">
        <v>3907863</v>
      </c>
      <c r="G7" t="inlineStr">
        <is>
          <t>056</t>
        </is>
      </c>
      <c r="H7" t="inlineStr">
        <is>
          <t>TUB-O-N-AUT-AW-FC-57.15X2.500X5.7110</t>
        </is>
      </c>
      <c r="I7" t="n">
        <v>2350.389</v>
      </c>
      <c r="J7" t="n">
        <v>57.15</v>
      </c>
      <c r="K7" t="n">
        <v>0</v>
      </c>
      <c r="L7" t="n">
        <v>2.5</v>
      </c>
      <c r="M7" t="n">
        <v>5.711</v>
      </c>
      <c r="N7" t="inlineStr">
        <is>
          <t>Direct</t>
        </is>
      </c>
      <c r="O7" t="inlineStr">
        <is>
          <t>57.15-0-2.5-ERW 1-FC-5.711</t>
        </is>
      </c>
    </row>
    <row r="8">
      <c r="A8" t="inlineStr">
        <is>
          <t>0000943209</t>
        </is>
      </c>
      <c r="B8" t="inlineStr">
        <is>
          <t>MEGH STEELS PRIVATE LIMITED - TVS A</t>
        </is>
      </c>
      <c r="C8" t="inlineStr">
        <is>
          <t>KG</t>
        </is>
      </c>
      <c r="D8" t="n">
        <v>138</v>
      </c>
      <c r="E8" t="n">
        <v>788.139</v>
      </c>
      <c r="F8" t="n">
        <v>3907863</v>
      </c>
      <c r="G8" t="inlineStr">
        <is>
          <t>056</t>
        </is>
      </c>
      <c r="H8" t="inlineStr">
        <is>
          <t>TUB-O-N-AUT-AW-FC-57.15X2.500X5.7110</t>
        </is>
      </c>
      <c r="I8" t="n">
        <v>2553.966</v>
      </c>
      <c r="J8" t="n">
        <v>57.15</v>
      </c>
      <c r="K8" t="n">
        <v>0</v>
      </c>
      <c r="L8" t="n">
        <v>2.5</v>
      </c>
      <c r="M8" t="n">
        <v>5.711</v>
      </c>
      <c r="N8" t="inlineStr">
        <is>
          <t>Direct</t>
        </is>
      </c>
      <c r="O8" t="inlineStr">
        <is>
          <t>57.15-0-2.5-ERW 1-FC-5.711</t>
        </is>
      </c>
    </row>
    <row r="9">
      <c r="A9" t="inlineStr">
        <is>
          <t>0000943209</t>
        </is>
      </c>
      <c r="B9" t="inlineStr">
        <is>
          <t>MEGH STEELS PRIVATE LIMITED - TVS A</t>
        </is>
      </c>
      <c r="C9" t="inlineStr">
        <is>
          <t>KG</t>
        </is>
      </c>
      <c r="D9" t="n">
        <v>138</v>
      </c>
      <c r="E9" t="n">
        <v>788.139</v>
      </c>
      <c r="F9" t="n">
        <v>3907863</v>
      </c>
      <c r="G9" t="inlineStr">
        <is>
          <t>056</t>
        </is>
      </c>
      <c r="H9" t="inlineStr">
        <is>
          <t>TUB-O-N-AUT-AW-FC-57.15X2.500X5.7110</t>
        </is>
      </c>
      <c r="I9" t="n">
        <v>2553.966</v>
      </c>
      <c r="J9" t="n">
        <v>57.15</v>
      </c>
      <c r="K9" t="n">
        <v>0</v>
      </c>
      <c r="L9" t="n">
        <v>2.5</v>
      </c>
      <c r="M9" t="n">
        <v>5.711</v>
      </c>
      <c r="N9" t="inlineStr">
        <is>
          <t>Direct</t>
        </is>
      </c>
      <c r="O9" t="inlineStr">
        <is>
          <t>57.15-0-2.5-ERW 1-FC-5.711</t>
        </is>
      </c>
    </row>
    <row r="10">
      <c r="A10" t="inlineStr">
        <is>
          <t>0000943209</t>
        </is>
      </c>
      <c r="B10" t="inlineStr">
        <is>
          <t>MEGH STEELS PRIVATE LIMITED - TVS A</t>
        </is>
      </c>
      <c r="C10" t="inlineStr">
        <is>
          <t>KG</t>
        </is>
      </c>
      <c r="D10" t="n">
        <v>138</v>
      </c>
      <c r="E10" t="n">
        <v>788.139</v>
      </c>
      <c r="F10" t="n">
        <v>3907863</v>
      </c>
      <c r="G10" t="inlineStr">
        <is>
          <t>056</t>
        </is>
      </c>
      <c r="H10" t="inlineStr">
        <is>
          <t>TUB-O-N-AUT-AW-FC-57.15X2.500X5.7110</t>
        </is>
      </c>
      <c r="I10" t="n">
        <v>2553.966</v>
      </c>
      <c r="J10" t="n">
        <v>57.15</v>
      </c>
      <c r="K10" t="n">
        <v>0</v>
      </c>
      <c r="L10" t="n">
        <v>2.5</v>
      </c>
      <c r="M10" t="n">
        <v>5.711</v>
      </c>
      <c r="N10" t="inlineStr">
        <is>
          <t>Direct</t>
        </is>
      </c>
      <c r="O10" t="inlineStr">
        <is>
          <t>57.15-0-2.5-ERW 1-FC-5.711</t>
        </is>
      </c>
    </row>
    <row r="11">
      <c r="A11" t="inlineStr">
        <is>
          <t>0000943209</t>
        </is>
      </c>
      <c r="B11" t="inlineStr">
        <is>
          <t>MEGH STEELS PRIVATE LIMITED - TVS A</t>
        </is>
      </c>
      <c r="C11" t="inlineStr">
        <is>
          <t>KG</t>
        </is>
      </c>
      <c r="D11" t="n">
        <v>138</v>
      </c>
      <c r="E11" t="n">
        <v>788.139</v>
      </c>
      <c r="F11" t="n">
        <v>3907863</v>
      </c>
      <c r="G11" t="inlineStr">
        <is>
          <t>056</t>
        </is>
      </c>
      <c r="H11" t="inlineStr">
        <is>
          <t>TUB-O-N-AUT-AW-FC-57.15X2.500X5.7110</t>
        </is>
      </c>
      <c r="I11" t="n">
        <v>2553.966</v>
      </c>
      <c r="J11" t="n">
        <v>57.15</v>
      </c>
      <c r="K11" t="n">
        <v>0</v>
      </c>
      <c r="L11" t="n">
        <v>2.5</v>
      </c>
      <c r="M11" t="n">
        <v>5.711</v>
      </c>
      <c r="N11" t="inlineStr">
        <is>
          <t>Direct</t>
        </is>
      </c>
      <c r="O11" t="inlineStr">
        <is>
          <t>57.15-0-2.5-ERW 1-FC-5.711</t>
        </is>
      </c>
    </row>
    <row r="12">
      <c r="A12" t="inlineStr">
        <is>
          <t>0000943209</t>
        </is>
      </c>
      <c r="B12" t="inlineStr">
        <is>
          <t>MEGH STEELS PRIVATE LIMITED - TVS A</t>
        </is>
      </c>
      <c r="C12" t="inlineStr">
        <is>
          <t>KG</t>
        </is>
      </c>
      <c r="D12" t="n">
        <v>138</v>
      </c>
      <c r="E12" t="n">
        <v>788.139</v>
      </c>
      <c r="F12" t="n">
        <v>3907863</v>
      </c>
      <c r="G12" t="inlineStr">
        <is>
          <t>056</t>
        </is>
      </c>
      <c r="H12" t="inlineStr">
        <is>
          <t>TUB-O-N-AUT-AW-FC-57.15X2.500X5.7110</t>
        </is>
      </c>
      <c r="I12" t="n">
        <v>2553.966</v>
      </c>
      <c r="J12" t="n">
        <v>57.15</v>
      </c>
      <c r="K12" t="n">
        <v>0</v>
      </c>
      <c r="L12" t="n">
        <v>2.5</v>
      </c>
      <c r="M12" t="n">
        <v>5.711</v>
      </c>
      <c r="N12" t="inlineStr">
        <is>
          <t>Direct</t>
        </is>
      </c>
      <c r="O12" t="inlineStr">
        <is>
          <t>57.15-0-2.5-ERW 1-FC-5.711</t>
        </is>
      </c>
    </row>
    <row r="13">
      <c r="A13" t="inlineStr">
        <is>
          <t>0000943209</t>
        </is>
      </c>
      <c r="B13" t="inlineStr">
        <is>
          <t>MEGH STEELS PRIVATE LIMITED - TVS A</t>
        </is>
      </c>
      <c r="C13" t="inlineStr">
        <is>
          <t>KG</t>
        </is>
      </c>
      <c r="D13" t="n">
        <v>138</v>
      </c>
      <c r="E13" t="n">
        <v>788.139</v>
      </c>
      <c r="F13" t="n">
        <v>3907863</v>
      </c>
      <c r="G13" t="inlineStr">
        <is>
          <t>056</t>
        </is>
      </c>
      <c r="H13" t="inlineStr">
        <is>
          <t>TUB-O-N-AUT-AW-FC-57.15X2.500X5.7110</t>
        </is>
      </c>
      <c r="I13" t="n">
        <v>2553.966</v>
      </c>
      <c r="J13" t="n">
        <v>57.15</v>
      </c>
      <c r="K13" t="n">
        <v>0</v>
      </c>
      <c r="L13" t="n">
        <v>2.5</v>
      </c>
      <c r="M13" t="n">
        <v>5.711</v>
      </c>
      <c r="N13" t="inlineStr">
        <is>
          <t>Direct</t>
        </is>
      </c>
      <c r="O13" t="inlineStr">
        <is>
          <t>57.15-0-2.5-ERW 1-FC-5.711</t>
        </is>
      </c>
    </row>
    <row r="14">
      <c r="A14" t="inlineStr">
        <is>
          <t>0000943209</t>
        </is>
      </c>
      <c r="B14" t="inlineStr">
        <is>
          <t>MEGH STEELS PRIVATE LIMITED - TVS A</t>
        </is>
      </c>
      <c r="C14" t="inlineStr">
        <is>
          <t>KG</t>
        </is>
      </c>
      <c r="D14" t="n">
        <v>60</v>
      </c>
      <c r="E14" t="n">
        <v>342.669</v>
      </c>
      <c r="F14" t="n">
        <v>3907863</v>
      </c>
      <c r="G14" t="inlineStr">
        <is>
          <t>056</t>
        </is>
      </c>
      <c r="H14" t="inlineStr">
        <is>
          <t>TUB-O-N-AUT-AW-FC-57.15X2.500X5.7110</t>
        </is>
      </c>
      <c r="I14" t="n">
        <v>1110.42</v>
      </c>
      <c r="J14" t="n">
        <v>57.15</v>
      </c>
      <c r="K14" t="n">
        <v>0</v>
      </c>
      <c r="L14" t="n">
        <v>2.5</v>
      </c>
      <c r="M14" t="n">
        <v>5.711</v>
      </c>
      <c r="N14" t="inlineStr">
        <is>
          <t>Direct</t>
        </is>
      </c>
      <c r="O14" t="inlineStr">
        <is>
          <t>57.15-0-2.5-ERW 1-FC-5.711</t>
        </is>
      </c>
    </row>
    <row r="15">
      <c r="A15" t="inlineStr">
        <is>
          <t>0000943209</t>
        </is>
      </c>
      <c r="B15" t="inlineStr">
        <is>
          <t>MEGH STEELS PRIVATE LIMITED - TVS A</t>
        </is>
      </c>
      <c r="C15" t="inlineStr">
        <is>
          <t>KG</t>
        </is>
      </c>
      <c r="D15" t="n">
        <v>60</v>
      </c>
      <c r="E15" t="n">
        <v>342.669</v>
      </c>
      <c r="F15" t="n">
        <v>3907863</v>
      </c>
      <c r="G15" t="inlineStr">
        <is>
          <t>056</t>
        </is>
      </c>
      <c r="H15" t="inlineStr">
        <is>
          <t>TUB-O-N-AUT-AW-FC-57.15X2.500X5.7110</t>
        </is>
      </c>
      <c r="I15" t="n">
        <v>1110.42</v>
      </c>
      <c r="J15" t="n">
        <v>57.15</v>
      </c>
      <c r="K15" t="n">
        <v>0</v>
      </c>
      <c r="L15" t="n">
        <v>2.5</v>
      </c>
      <c r="M15" t="n">
        <v>5.711</v>
      </c>
      <c r="N15" t="inlineStr">
        <is>
          <t>Direct</t>
        </is>
      </c>
      <c r="O15" t="inlineStr">
        <is>
          <t>57.15-0-2.5-ERW 1-FC-5.711</t>
        </is>
      </c>
    </row>
    <row r="16">
      <c r="A16" t="inlineStr">
        <is>
          <t>0000943209</t>
        </is>
      </c>
      <c r="B16" t="inlineStr">
        <is>
          <t>MEGH STEELS PRIVATE LIMITED - TVS A</t>
        </is>
      </c>
      <c r="C16" t="inlineStr">
        <is>
          <t>KG</t>
        </is>
      </c>
      <c r="D16" t="n">
        <v>26</v>
      </c>
      <c r="E16" t="n">
        <v>148.49</v>
      </c>
      <c r="F16" t="n">
        <v>3907863</v>
      </c>
      <c r="G16" t="inlineStr">
        <is>
          <t>056</t>
        </is>
      </c>
      <c r="H16" t="inlineStr">
        <is>
          <t>TUB-O-N-AUT-AW-FC-57.15X2.500X5.7110</t>
        </is>
      </c>
      <c r="I16" t="n">
        <v>481.182</v>
      </c>
      <c r="J16" t="n">
        <v>57.15</v>
      </c>
      <c r="K16" t="n">
        <v>0</v>
      </c>
      <c r="L16" t="n">
        <v>2.5</v>
      </c>
      <c r="M16" t="n">
        <v>5.711</v>
      </c>
      <c r="N16" t="inlineStr">
        <is>
          <t>Direct</t>
        </is>
      </c>
      <c r="O16" t="inlineStr">
        <is>
          <t>57.15-0-2.5-ERW 1-FC-5.711</t>
        </is>
      </c>
    </row>
    <row r="17">
      <c r="A17" t="inlineStr">
        <is>
          <t>0000943209</t>
        </is>
      </c>
      <c r="B17" t="inlineStr">
        <is>
          <t>MEGH STEELS PRIVATE LIMITED - TVS A</t>
        </is>
      </c>
      <c r="C17" t="inlineStr">
        <is>
          <t>KG</t>
        </is>
      </c>
      <c r="D17" t="n">
        <v>26</v>
      </c>
      <c r="E17" t="n">
        <v>148.49</v>
      </c>
      <c r="F17" t="n">
        <v>3907863</v>
      </c>
      <c r="G17" t="inlineStr">
        <is>
          <t>056</t>
        </is>
      </c>
      <c r="H17" t="inlineStr">
        <is>
          <t>TUB-O-N-AUT-AW-FC-57.15X2.500X5.7110</t>
        </is>
      </c>
      <c r="I17" t="n">
        <v>481.182</v>
      </c>
      <c r="J17" t="n">
        <v>57.15</v>
      </c>
      <c r="K17" t="n">
        <v>0</v>
      </c>
      <c r="L17" t="n">
        <v>2.5</v>
      </c>
      <c r="M17" t="n">
        <v>5.711</v>
      </c>
      <c r="N17" t="inlineStr">
        <is>
          <t>Direct</t>
        </is>
      </c>
      <c r="O17" t="inlineStr">
        <is>
          <t>57.15-0-2.5-ERW 1-FC-5.711</t>
        </is>
      </c>
    </row>
    <row r="18">
      <c r="A18" t="inlineStr">
        <is>
          <t>0000943209</t>
        </is>
      </c>
      <c r="B18" t="inlineStr">
        <is>
          <t>MEGH STEELS PRIVATE LIMITED - TVS A</t>
        </is>
      </c>
      <c r="C18" t="inlineStr">
        <is>
          <t>KG</t>
        </is>
      </c>
      <c r="D18" t="n">
        <v>127</v>
      </c>
      <c r="E18" t="n">
        <v>725.317</v>
      </c>
      <c r="F18" t="n">
        <v>3907863</v>
      </c>
      <c r="G18" t="inlineStr">
        <is>
          <t>056</t>
        </is>
      </c>
      <c r="H18" t="inlineStr">
        <is>
          <t>TUB-O-N-AUT-AW-FC-57.15X2.500X5.7110</t>
        </is>
      </c>
      <c r="I18" t="n">
        <v>2350.389</v>
      </c>
      <c r="J18" t="n">
        <v>57.15</v>
      </c>
      <c r="K18" t="n">
        <v>0</v>
      </c>
      <c r="L18" t="n">
        <v>2.5</v>
      </c>
      <c r="M18" t="n">
        <v>5.711</v>
      </c>
      <c r="N18" t="inlineStr">
        <is>
          <t>Direct</t>
        </is>
      </c>
      <c r="O18" t="inlineStr">
        <is>
          <t>57.15-0-2.5-ERW 1-FC-5.711</t>
        </is>
      </c>
    </row>
    <row r="19">
      <c r="A19" t="inlineStr">
        <is>
          <t>0000943209</t>
        </is>
      </c>
      <c r="B19" t="inlineStr">
        <is>
          <t>MEGH STEELS PRIVATE LIMITED - TVS A</t>
        </is>
      </c>
      <c r="C19" t="inlineStr">
        <is>
          <t>KG</t>
        </is>
      </c>
      <c r="D19" t="n">
        <v>127</v>
      </c>
      <c r="E19" t="n">
        <v>725.317</v>
      </c>
      <c r="F19" t="n">
        <v>3907863</v>
      </c>
      <c r="G19" t="inlineStr">
        <is>
          <t>056</t>
        </is>
      </c>
      <c r="H19" t="inlineStr">
        <is>
          <t>TUB-O-N-AUT-AW-FC-57.15X2.500X5.7110</t>
        </is>
      </c>
      <c r="I19" t="n">
        <v>2350.389</v>
      </c>
      <c r="J19" t="n">
        <v>57.15</v>
      </c>
      <c r="K19" t="n">
        <v>0</v>
      </c>
      <c r="L19" t="n">
        <v>2.5</v>
      </c>
      <c r="M19" t="n">
        <v>5.711</v>
      </c>
      <c r="N19" t="inlineStr">
        <is>
          <t>Direct</t>
        </is>
      </c>
      <c r="O19" t="inlineStr">
        <is>
          <t>57.15-0-2.5-ERW 1-FC-5.711</t>
        </is>
      </c>
    </row>
    <row r="20">
      <c r="A20" t="inlineStr">
        <is>
          <t>0000943209</t>
        </is>
      </c>
      <c r="B20" t="inlineStr">
        <is>
          <t>MEGH STEELS PRIVATE LIMITED - TVS A</t>
        </is>
      </c>
      <c r="C20" t="inlineStr">
        <is>
          <t>KG</t>
        </is>
      </c>
      <c r="D20" t="n">
        <v>127</v>
      </c>
      <c r="E20" t="n">
        <v>725.317</v>
      </c>
      <c r="F20" t="n">
        <v>3907863</v>
      </c>
      <c r="G20" t="inlineStr">
        <is>
          <t>056</t>
        </is>
      </c>
      <c r="H20" t="inlineStr">
        <is>
          <t>TUB-O-N-AUT-AW-FC-57.15X2.500X5.7110</t>
        </is>
      </c>
      <c r="I20" t="n">
        <v>2350.389</v>
      </c>
      <c r="J20" t="n">
        <v>57.15</v>
      </c>
      <c r="K20" t="n">
        <v>0</v>
      </c>
      <c r="L20" t="n">
        <v>2.5</v>
      </c>
      <c r="M20" t="n">
        <v>5.711</v>
      </c>
      <c r="N20" t="inlineStr">
        <is>
          <t>Direct</t>
        </is>
      </c>
      <c r="O20" t="inlineStr">
        <is>
          <t>57.15-0-2.5-ERW 1-FC-5.711</t>
        </is>
      </c>
    </row>
    <row r="21">
      <c r="A21" t="inlineStr">
        <is>
          <t>0000943209</t>
        </is>
      </c>
      <c r="B21" t="inlineStr">
        <is>
          <t>MEGH STEELS PRIVATE LIMITED - TVS A</t>
        </is>
      </c>
      <c r="C21" t="inlineStr">
        <is>
          <t>KG</t>
        </is>
      </c>
      <c r="D21" t="n">
        <v>127</v>
      </c>
      <c r="E21" t="n">
        <v>725.317</v>
      </c>
      <c r="F21" t="n">
        <v>3907863</v>
      </c>
      <c r="G21" t="inlineStr">
        <is>
          <t>056</t>
        </is>
      </c>
      <c r="H21" t="inlineStr">
        <is>
          <t>TUB-O-N-AUT-AW-FC-57.15X2.500X5.7110</t>
        </is>
      </c>
      <c r="I21" t="n">
        <v>2350.389</v>
      </c>
      <c r="J21" t="n">
        <v>57.15</v>
      </c>
      <c r="K21" t="n">
        <v>0</v>
      </c>
      <c r="L21" t="n">
        <v>2.5</v>
      </c>
      <c r="M21" t="n">
        <v>5.711</v>
      </c>
      <c r="N21" t="inlineStr">
        <is>
          <t>Direct</t>
        </is>
      </c>
      <c r="O21" t="inlineStr">
        <is>
          <t>57.15-0-2.5-ERW 1-FC-5.711</t>
        </is>
      </c>
    </row>
    <row r="22">
      <c r="A22" t="inlineStr">
        <is>
          <t>0000943209</t>
        </is>
      </c>
      <c r="B22" t="inlineStr">
        <is>
          <t>MEGH STEELS PRIVATE LIMITED - TVS A</t>
        </is>
      </c>
      <c r="C22" t="inlineStr">
        <is>
          <t>KG</t>
        </is>
      </c>
      <c r="D22" t="n">
        <v>127</v>
      </c>
      <c r="E22" t="n">
        <v>725.317</v>
      </c>
      <c r="F22" t="n">
        <v>3907863</v>
      </c>
      <c r="G22" t="inlineStr">
        <is>
          <t>056</t>
        </is>
      </c>
      <c r="H22" t="inlineStr">
        <is>
          <t>TUB-O-N-AUT-AW-FC-57.15X2.500X5.7110</t>
        </is>
      </c>
      <c r="I22" t="n">
        <v>2350.389</v>
      </c>
      <c r="J22" t="n">
        <v>57.15</v>
      </c>
      <c r="K22" t="n">
        <v>0</v>
      </c>
      <c r="L22" t="n">
        <v>2.5</v>
      </c>
      <c r="M22" t="n">
        <v>5.711</v>
      </c>
      <c r="N22" t="inlineStr">
        <is>
          <t>Direct</t>
        </is>
      </c>
      <c r="O22" t="inlineStr">
        <is>
          <t>57.15-0-2.5-ERW 1-FC-5.711</t>
        </is>
      </c>
    </row>
    <row r="23">
      <c r="A23" t="inlineStr">
        <is>
          <t>0000943209</t>
        </is>
      </c>
      <c r="B23" t="inlineStr">
        <is>
          <t>MEGH STEELS PRIVATE LIMITED - TVS A</t>
        </is>
      </c>
      <c r="C23" t="inlineStr">
        <is>
          <t>KG</t>
        </is>
      </c>
      <c r="D23" t="n">
        <v>127</v>
      </c>
      <c r="E23" t="n">
        <v>725.317</v>
      </c>
      <c r="F23" t="n">
        <v>3907863</v>
      </c>
      <c r="G23" t="inlineStr">
        <is>
          <t>056</t>
        </is>
      </c>
      <c r="H23" t="inlineStr">
        <is>
          <t>TUB-O-N-AUT-AW-FC-57.15X2.500X5.7110</t>
        </is>
      </c>
      <c r="I23" t="n">
        <v>2350.389</v>
      </c>
      <c r="J23" t="n">
        <v>57.15</v>
      </c>
      <c r="K23" t="n">
        <v>0</v>
      </c>
      <c r="L23" t="n">
        <v>2.5</v>
      </c>
      <c r="M23" t="n">
        <v>5.711</v>
      </c>
      <c r="N23" t="inlineStr">
        <is>
          <t>Direct</t>
        </is>
      </c>
      <c r="O23" t="inlineStr">
        <is>
          <t>57.15-0-2.5-ERW 1-FC-5.711</t>
        </is>
      </c>
    </row>
    <row r="24">
      <c r="A24" t="inlineStr">
        <is>
          <t>0000943209</t>
        </is>
      </c>
      <c r="B24" t="inlineStr">
        <is>
          <t>MEGH STEELS PRIVATE LIMITED - TVS A</t>
        </is>
      </c>
      <c r="C24" t="inlineStr">
        <is>
          <t>KG</t>
        </is>
      </c>
      <c r="D24" t="n">
        <v>138</v>
      </c>
      <c r="E24" t="n">
        <v>788.139</v>
      </c>
      <c r="F24" t="n">
        <v>3907863</v>
      </c>
      <c r="G24" t="inlineStr">
        <is>
          <t>056</t>
        </is>
      </c>
      <c r="H24" t="inlineStr">
        <is>
          <t>TUB-O-N-AUT-AW-FC-57.15X2.500X5.7110</t>
        </is>
      </c>
      <c r="I24" t="n">
        <v>2553.966</v>
      </c>
      <c r="J24" t="n">
        <v>57.15</v>
      </c>
      <c r="K24" t="n">
        <v>0</v>
      </c>
      <c r="L24" t="n">
        <v>2.5</v>
      </c>
      <c r="M24" t="n">
        <v>5.711</v>
      </c>
      <c r="N24" t="inlineStr">
        <is>
          <t>Direct</t>
        </is>
      </c>
      <c r="O24" t="inlineStr">
        <is>
          <t>57.15-0-2.5-ERW 1-FC-5.711</t>
        </is>
      </c>
    </row>
    <row r="25">
      <c r="A25" t="inlineStr">
        <is>
          <t>0000943209</t>
        </is>
      </c>
      <c r="B25" t="inlineStr">
        <is>
          <t>MEGH STEELS PRIVATE LIMITED - TVS A</t>
        </is>
      </c>
      <c r="C25" t="inlineStr">
        <is>
          <t>KG</t>
        </is>
      </c>
      <c r="D25" t="n">
        <v>138</v>
      </c>
      <c r="E25" t="n">
        <v>788.139</v>
      </c>
      <c r="F25" t="n">
        <v>3907863</v>
      </c>
      <c r="G25" t="inlineStr">
        <is>
          <t>056</t>
        </is>
      </c>
      <c r="H25" t="inlineStr">
        <is>
          <t>TUB-O-N-AUT-AW-FC-57.15X2.500X5.7110</t>
        </is>
      </c>
      <c r="I25" t="n">
        <v>2553.966</v>
      </c>
      <c r="J25" t="n">
        <v>57.15</v>
      </c>
      <c r="K25" t="n">
        <v>0</v>
      </c>
      <c r="L25" t="n">
        <v>2.5</v>
      </c>
      <c r="M25" t="n">
        <v>5.711</v>
      </c>
      <c r="N25" t="inlineStr">
        <is>
          <t>Direct</t>
        </is>
      </c>
      <c r="O25" t="inlineStr">
        <is>
          <t>57.15-0-2.5-ERW 1-FC-5.711</t>
        </is>
      </c>
    </row>
    <row r="26">
      <c r="A26" t="inlineStr">
        <is>
          <t>0000943209</t>
        </is>
      </c>
      <c r="B26" t="inlineStr">
        <is>
          <t>MEGH STEELS PRIVATE LIMITED - TVS A</t>
        </is>
      </c>
      <c r="C26" t="inlineStr">
        <is>
          <t>KG</t>
        </is>
      </c>
      <c r="D26" t="n">
        <v>138</v>
      </c>
      <c r="E26" t="n">
        <v>788.139</v>
      </c>
      <c r="F26" t="n">
        <v>3907863</v>
      </c>
      <c r="G26" t="inlineStr">
        <is>
          <t>056</t>
        </is>
      </c>
      <c r="H26" t="inlineStr">
        <is>
          <t>TUB-O-N-AUT-AW-FC-57.15X2.500X5.7110</t>
        </is>
      </c>
      <c r="I26" t="n">
        <v>2553.966</v>
      </c>
      <c r="J26" t="n">
        <v>57.15</v>
      </c>
      <c r="K26" t="n">
        <v>0</v>
      </c>
      <c r="L26" t="n">
        <v>2.5</v>
      </c>
      <c r="M26" t="n">
        <v>5.711</v>
      </c>
      <c r="N26" t="inlineStr">
        <is>
          <t>Direct</t>
        </is>
      </c>
      <c r="O26" t="inlineStr">
        <is>
          <t>57.15-0-2.5-ERW 1-FC-5.711</t>
        </is>
      </c>
    </row>
    <row r="27">
      <c r="A27" t="inlineStr">
        <is>
          <t>0000943209</t>
        </is>
      </c>
      <c r="B27" t="inlineStr">
        <is>
          <t>MEGH STEELS PRIVATE LIMITED - TVS A</t>
        </is>
      </c>
      <c r="C27" t="inlineStr">
        <is>
          <t>KG</t>
        </is>
      </c>
      <c r="D27" t="n">
        <v>138</v>
      </c>
      <c r="E27" t="n">
        <v>788.139</v>
      </c>
      <c r="F27" t="n">
        <v>3907863</v>
      </c>
      <c r="G27" t="inlineStr">
        <is>
          <t>056</t>
        </is>
      </c>
      <c r="H27" t="inlineStr">
        <is>
          <t>TUB-O-N-AUT-AW-FC-57.15X2.500X5.7110</t>
        </is>
      </c>
      <c r="I27" t="n">
        <v>2553.966</v>
      </c>
      <c r="J27" t="n">
        <v>57.15</v>
      </c>
      <c r="K27" t="n">
        <v>0</v>
      </c>
      <c r="L27" t="n">
        <v>2.5</v>
      </c>
      <c r="M27" t="n">
        <v>5.711</v>
      </c>
      <c r="N27" t="inlineStr">
        <is>
          <t>Direct</t>
        </is>
      </c>
      <c r="O27" t="inlineStr">
        <is>
          <t>57.15-0-2.5-ERW 1-FC-5.711</t>
        </is>
      </c>
    </row>
    <row r="28">
      <c r="A28" t="inlineStr">
        <is>
          <t>0000943209</t>
        </is>
      </c>
      <c r="B28" t="inlineStr">
        <is>
          <t>MEGH STEELS PRIVATE LIMITED - TVS A</t>
        </is>
      </c>
      <c r="C28" t="inlineStr">
        <is>
          <t>KG</t>
        </is>
      </c>
      <c r="D28" t="n">
        <v>138</v>
      </c>
      <c r="E28" t="n">
        <v>788.139</v>
      </c>
      <c r="F28" t="n">
        <v>3907863</v>
      </c>
      <c r="G28" t="inlineStr">
        <is>
          <t>056</t>
        </is>
      </c>
      <c r="H28" t="inlineStr">
        <is>
          <t>TUB-O-N-AUT-AW-FC-57.15X2.500X5.7110</t>
        </is>
      </c>
      <c r="I28" t="n">
        <v>2553.966</v>
      </c>
      <c r="J28" t="n">
        <v>57.15</v>
      </c>
      <c r="K28" t="n">
        <v>0</v>
      </c>
      <c r="L28" t="n">
        <v>2.5</v>
      </c>
      <c r="M28" t="n">
        <v>5.711</v>
      </c>
      <c r="N28" t="inlineStr">
        <is>
          <t>Direct</t>
        </is>
      </c>
      <c r="O28" t="inlineStr">
        <is>
          <t>57.15-0-2.5-ERW 1-FC-5.711</t>
        </is>
      </c>
    </row>
    <row r="29">
      <c r="A29" t="inlineStr">
        <is>
          <t>0000943209</t>
        </is>
      </c>
      <c r="B29" t="inlineStr">
        <is>
          <t>MEGH STEELS PRIVATE LIMITED - TVS A</t>
        </is>
      </c>
      <c r="C29" t="inlineStr">
        <is>
          <t>KG</t>
        </is>
      </c>
      <c r="D29" t="n">
        <v>138</v>
      </c>
      <c r="E29" t="n">
        <v>788.139</v>
      </c>
      <c r="F29" t="n">
        <v>3907863</v>
      </c>
      <c r="G29" t="inlineStr">
        <is>
          <t>056</t>
        </is>
      </c>
      <c r="H29" t="inlineStr">
        <is>
          <t>TUB-O-N-AUT-AW-FC-57.15X2.500X5.7110</t>
        </is>
      </c>
      <c r="I29" t="n">
        <v>2553.966</v>
      </c>
      <c r="J29" t="n">
        <v>57.15</v>
      </c>
      <c r="K29" t="n">
        <v>0</v>
      </c>
      <c r="L29" t="n">
        <v>2.5</v>
      </c>
      <c r="M29" t="n">
        <v>5.711</v>
      </c>
      <c r="N29" t="inlineStr">
        <is>
          <t>Direct</t>
        </is>
      </c>
      <c r="O29" t="inlineStr">
        <is>
          <t>57.15-0-2.5-ERW 1-FC-5.711</t>
        </is>
      </c>
    </row>
    <row r="30">
      <c r="A30" t="inlineStr">
        <is>
          <t>0000943209</t>
        </is>
      </c>
      <c r="B30" t="inlineStr">
        <is>
          <t>MEGH STEELS PRIVATE LIMITED - TVS A</t>
        </is>
      </c>
      <c r="C30" t="inlineStr">
        <is>
          <t>KG</t>
        </is>
      </c>
      <c r="D30" t="n">
        <v>138</v>
      </c>
      <c r="E30" t="n">
        <v>788.139</v>
      </c>
      <c r="F30" t="n">
        <v>3907863</v>
      </c>
      <c r="G30" t="inlineStr">
        <is>
          <t>056</t>
        </is>
      </c>
      <c r="H30" t="inlineStr">
        <is>
          <t>TUB-O-N-AUT-AW-FC-57.15X2.500X5.7110</t>
        </is>
      </c>
      <c r="I30" t="n">
        <v>2553.966</v>
      </c>
      <c r="J30" t="n">
        <v>57.15</v>
      </c>
      <c r="K30" t="n">
        <v>0</v>
      </c>
      <c r="L30" t="n">
        <v>2.5</v>
      </c>
      <c r="M30" t="n">
        <v>5.711</v>
      </c>
      <c r="N30" t="inlineStr">
        <is>
          <t>Direct</t>
        </is>
      </c>
      <c r="O30" t="inlineStr">
        <is>
          <t>57.15-0-2.5-ERW 1-FC-5.711</t>
        </is>
      </c>
    </row>
    <row r="31">
      <c r="A31" t="inlineStr">
        <is>
          <t>0000943209</t>
        </is>
      </c>
      <c r="B31" t="inlineStr">
        <is>
          <t>MEGH STEELS PRIVATE LIMITED - TVS A</t>
        </is>
      </c>
      <c r="C31" t="inlineStr">
        <is>
          <t>KG</t>
        </is>
      </c>
      <c r="D31" t="n">
        <v>138</v>
      </c>
      <c r="E31" t="n">
        <v>788.139</v>
      </c>
      <c r="F31" t="n">
        <v>3907863</v>
      </c>
      <c r="G31" t="inlineStr">
        <is>
          <t>056</t>
        </is>
      </c>
      <c r="H31" t="inlineStr">
        <is>
          <t>TUB-O-N-AUT-AW-FC-57.15X2.500X5.7110</t>
        </is>
      </c>
      <c r="I31" t="n">
        <v>2553.966</v>
      </c>
      <c r="J31" t="n">
        <v>57.15</v>
      </c>
      <c r="K31" t="n">
        <v>0</v>
      </c>
      <c r="L31" t="n">
        <v>2.5</v>
      </c>
      <c r="M31" t="n">
        <v>5.711</v>
      </c>
      <c r="N31" t="inlineStr">
        <is>
          <t>Direct</t>
        </is>
      </c>
      <c r="O31" t="inlineStr">
        <is>
          <t>57.15-0-2.5-ERW 1-FC-5.711</t>
        </is>
      </c>
    </row>
    <row r="32">
      <c r="A32" t="inlineStr">
        <is>
          <t>0000943209</t>
        </is>
      </c>
      <c r="B32" t="inlineStr">
        <is>
          <t>MEGH STEELS PRIVATE LIMITED - TVS A</t>
        </is>
      </c>
      <c r="C32" t="inlineStr">
        <is>
          <t>KG</t>
        </is>
      </c>
      <c r="D32" t="n">
        <v>60</v>
      </c>
      <c r="E32" t="n">
        <v>342.669</v>
      </c>
      <c r="F32" t="n">
        <v>3907863</v>
      </c>
      <c r="G32" t="inlineStr">
        <is>
          <t>056</t>
        </is>
      </c>
      <c r="H32" t="inlineStr">
        <is>
          <t>TUB-O-N-AUT-AW-FC-57.15X2.500X5.7110</t>
        </is>
      </c>
      <c r="I32" t="n">
        <v>1110.42</v>
      </c>
      <c r="J32" t="n">
        <v>57.15</v>
      </c>
      <c r="K32" t="n">
        <v>0</v>
      </c>
      <c r="L32" t="n">
        <v>2.5</v>
      </c>
      <c r="M32" t="n">
        <v>5.711</v>
      </c>
      <c r="N32" t="inlineStr">
        <is>
          <t>Direct</t>
        </is>
      </c>
      <c r="O32" t="inlineStr">
        <is>
          <t>57.15-0-2.5-ERW 1-FC-5.711</t>
        </is>
      </c>
    </row>
    <row r="33">
      <c r="A33" t="inlineStr">
        <is>
          <t>0000943209</t>
        </is>
      </c>
      <c r="B33" t="inlineStr">
        <is>
          <t>MEGH STEELS PRIVATE LIMITED - TVS A</t>
        </is>
      </c>
      <c r="C33" t="inlineStr">
        <is>
          <t>KG</t>
        </is>
      </c>
      <c r="D33" t="n">
        <v>60</v>
      </c>
      <c r="E33" t="n">
        <v>342.669</v>
      </c>
      <c r="F33" t="n">
        <v>3907863</v>
      </c>
      <c r="G33" t="inlineStr">
        <is>
          <t>056</t>
        </is>
      </c>
      <c r="H33" t="inlineStr">
        <is>
          <t>TUB-O-N-AUT-AW-FC-57.15X2.500X5.7110</t>
        </is>
      </c>
      <c r="I33" t="n">
        <v>1110.42</v>
      </c>
      <c r="J33" t="n">
        <v>57.15</v>
      </c>
      <c r="K33" t="n">
        <v>0</v>
      </c>
      <c r="L33" t="n">
        <v>2.5</v>
      </c>
      <c r="M33" t="n">
        <v>5.711</v>
      </c>
      <c r="N33" t="inlineStr">
        <is>
          <t>Direct</t>
        </is>
      </c>
      <c r="O33" t="inlineStr">
        <is>
          <t>57.15-0-2.5-ERW 1-FC-5.711</t>
        </is>
      </c>
    </row>
    <row r="34">
      <c r="A34" t="inlineStr">
        <is>
          <t>0000943209</t>
        </is>
      </c>
      <c r="B34" t="inlineStr">
        <is>
          <t>MEGH STEELS PRIVATE LIMITED - TVS A</t>
        </is>
      </c>
      <c r="C34" t="inlineStr">
        <is>
          <t>KG</t>
        </is>
      </c>
      <c r="D34" t="n">
        <v>94</v>
      </c>
      <c r="E34" t="n">
        <v>536.849</v>
      </c>
      <c r="F34" t="n">
        <v>3907863</v>
      </c>
      <c r="G34" t="inlineStr">
        <is>
          <t>056</t>
        </is>
      </c>
      <c r="H34" t="inlineStr">
        <is>
          <t>TUB-O-N-AUT-AW-FC-57.15X2.500X5.7110</t>
        </is>
      </c>
      <c r="I34" t="n">
        <v>1739.658</v>
      </c>
      <c r="J34" t="n">
        <v>57.15</v>
      </c>
      <c r="K34" t="n">
        <v>0</v>
      </c>
      <c r="L34" t="n">
        <v>2.5</v>
      </c>
      <c r="M34" t="n">
        <v>5.711</v>
      </c>
      <c r="N34" t="inlineStr">
        <is>
          <t>Direct</t>
        </is>
      </c>
      <c r="O34" t="inlineStr">
        <is>
          <t>57.15-0-2.5-ERW 1-FC-5.711</t>
        </is>
      </c>
    </row>
    <row r="35">
      <c r="A35" t="inlineStr">
        <is>
          <t>0000943209</t>
        </is>
      </c>
      <c r="B35" t="inlineStr">
        <is>
          <t>MEGH STEELS PRIVATE LIMITED - TVS A</t>
        </is>
      </c>
      <c r="C35" t="inlineStr">
        <is>
          <t>KG</t>
        </is>
      </c>
      <c r="D35" t="n">
        <v>94</v>
      </c>
      <c r="E35" t="n">
        <v>536.849</v>
      </c>
      <c r="F35" t="n">
        <v>3907863</v>
      </c>
      <c r="G35" t="inlineStr">
        <is>
          <t>056</t>
        </is>
      </c>
      <c r="H35" t="inlineStr">
        <is>
          <t>TUB-O-N-AUT-AW-FC-57.15X2.500X5.7110</t>
        </is>
      </c>
      <c r="I35" t="n">
        <v>1739.658</v>
      </c>
      <c r="J35" t="n">
        <v>57.15</v>
      </c>
      <c r="K35" t="n">
        <v>0</v>
      </c>
      <c r="L35" t="n">
        <v>2.5</v>
      </c>
      <c r="M35" t="n">
        <v>5.711</v>
      </c>
      <c r="N35" t="inlineStr">
        <is>
          <t>Direct</t>
        </is>
      </c>
      <c r="O35" t="inlineStr">
        <is>
          <t>57.15-0-2.5-ERW 1-FC-5.711</t>
        </is>
      </c>
    </row>
    <row r="36">
      <c r="A36" t="inlineStr">
        <is>
          <t>0000943209</t>
        </is>
      </c>
      <c r="B36" t="inlineStr">
        <is>
          <t>MEGH STEELS PRIVATE LIMITED - TVS A</t>
        </is>
      </c>
      <c r="C36" t="inlineStr">
        <is>
          <t>KG</t>
        </is>
      </c>
      <c r="D36" t="n">
        <v>53</v>
      </c>
      <c r="E36" t="n">
        <v>302.691</v>
      </c>
      <c r="F36" t="n">
        <v>3907863</v>
      </c>
      <c r="G36" t="inlineStr">
        <is>
          <t>056</t>
        </is>
      </c>
      <c r="H36" t="inlineStr">
        <is>
          <t>TUB-O-N-AUT-AW-FC-57.15X2.500X5.7110</t>
        </is>
      </c>
      <c r="I36" t="n">
        <v>980.871</v>
      </c>
      <c r="J36" t="n">
        <v>57.15</v>
      </c>
      <c r="K36" t="n">
        <v>0</v>
      </c>
      <c r="L36" t="n">
        <v>2.5</v>
      </c>
      <c r="M36" t="n">
        <v>5.711</v>
      </c>
      <c r="N36" t="inlineStr">
        <is>
          <t>Direct</t>
        </is>
      </c>
      <c r="O36" t="inlineStr">
        <is>
          <t>57.15-0-2.5-ERW 1-FC-5.711</t>
        </is>
      </c>
    </row>
    <row r="37">
      <c r="A37" t="inlineStr">
        <is>
          <t>0000943209</t>
        </is>
      </c>
      <c r="B37" t="inlineStr">
        <is>
          <t>MEGH STEELS PRIVATE LIMITED - TVS A</t>
        </is>
      </c>
      <c r="C37" t="inlineStr">
        <is>
          <t>KG</t>
        </is>
      </c>
      <c r="D37" t="n">
        <v>53</v>
      </c>
      <c r="E37" t="n">
        <v>302.691</v>
      </c>
      <c r="F37" t="n">
        <v>3907863</v>
      </c>
      <c r="G37" t="inlineStr">
        <is>
          <t>056</t>
        </is>
      </c>
      <c r="H37" t="inlineStr">
        <is>
          <t>TUB-O-N-AUT-AW-FC-57.15X2.500X5.7110</t>
        </is>
      </c>
      <c r="I37" t="n">
        <v>980.871</v>
      </c>
      <c r="J37" t="n">
        <v>57.15</v>
      </c>
      <c r="K37" t="n">
        <v>0</v>
      </c>
      <c r="L37" t="n">
        <v>2.5</v>
      </c>
      <c r="M37" t="n">
        <v>5.711</v>
      </c>
      <c r="N37" t="inlineStr">
        <is>
          <t>Direct</t>
        </is>
      </c>
      <c r="O37" t="inlineStr">
        <is>
          <t>57.15-0-2.5-ERW 1-FC-5.711</t>
        </is>
      </c>
    </row>
    <row r="38">
      <c r="A38" t="inlineStr">
        <is>
          <t>0000943209</t>
        </is>
      </c>
      <c r="B38" t="inlineStr">
        <is>
          <t>MEGH STEELS PRIVATE LIMITED - TVS A</t>
        </is>
      </c>
      <c r="C38" t="inlineStr">
        <is>
          <t>KG</t>
        </is>
      </c>
      <c r="D38" t="n">
        <v>54</v>
      </c>
      <c r="E38" t="n">
        <v>308.402</v>
      </c>
      <c r="F38" t="n">
        <v>3907863</v>
      </c>
      <c r="G38" t="inlineStr">
        <is>
          <t>056</t>
        </is>
      </c>
      <c r="H38" t="inlineStr">
        <is>
          <t>TUB-O-N-AUT-AW-FC-57.15X2.500X5.7110</t>
        </is>
      </c>
      <c r="I38" t="n">
        <v>999.378</v>
      </c>
      <c r="J38" t="n">
        <v>57.15</v>
      </c>
      <c r="K38" t="n">
        <v>0</v>
      </c>
      <c r="L38" t="n">
        <v>2.5</v>
      </c>
      <c r="M38" t="n">
        <v>5.711</v>
      </c>
      <c r="N38" t="inlineStr">
        <is>
          <t>Direct</t>
        </is>
      </c>
      <c r="O38" t="inlineStr">
        <is>
          <t>57.15-0-2.5-ERW 1-FC-5.711</t>
        </is>
      </c>
    </row>
    <row r="39">
      <c r="A39" t="inlineStr">
        <is>
          <t>0000943209</t>
        </is>
      </c>
      <c r="B39" t="inlineStr">
        <is>
          <t>MEGH STEELS PRIVATE LIMITED - TVS A</t>
        </is>
      </c>
      <c r="C39" t="inlineStr">
        <is>
          <t>KG</t>
        </is>
      </c>
      <c r="D39" t="n">
        <v>54</v>
      </c>
      <c r="E39" t="n">
        <v>308.402</v>
      </c>
      <c r="F39" t="n">
        <v>3907863</v>
      </c>
      <c r="G39" t="inlineStr">
        <is>
          <t>056</t>
        </is>
      </c>
      <c r="H39" t="inlineStr">
        <is>
          <t>TUB-O-N-AUT-AW-FC-57.15X2.500X5.7110</t>
        </is>
      </c>
      <c r="I39" t="n">
        <v>999.378</v>
      </c>
      <c r="J39" t="n">
        <v>57.15</v>
      </c>
      <c r="K39" t="n">
        <v>0</v>
      </c>
      <c r="L39" t="n">
        <v>2.5</v>
      </c>
      <c r="M39" t="n">
        <v>5.711</v>
      </c>
      <c r="N39" t="inlineStr">
        <is>
          <t>Direct</t>
        </is>
      </c>
      <c r="O39" t="inlineStr">
        <is>
          <t>57.15-0-2.5-ERW 1-FC-5.711</t>
        </is>
      </c>
    </row>
    <row r="40">
      <c r="A40" t="inlineStr">
        <is>
          <t>0000943209</t>
        </is>
      </c>
      <c r="B40" t="inlineStr">
        <is>
          <t>MEGH STEELS PRIVATE LIMITED - TVS A</t>
        </is>
      </c>
      <c r="C40" t="inlineStr">
        <is>
          <t>KG</t>
        </is>
      </c>
      <c r="D40" t="n">
        <v>199</v>
      </c>
      <c r="E40" t="n">
        <v>1392.996</v>
      </c>
      <c r="F40" t="n">
        <v>3500582</v>
      </c>
      <c r="G40" t="inlineStr">
        <is>
          <t>056</t>
        </is>
      </c>
      <c r="H40" t="inlineStr">
        <is>
          <t>TUB-O-N-AUT-AW-PE-19.05X2.300X7.00-ERW 1</t>
        </is>
      </c>
      <c r="I40" t="n">
        <v>1323.47</v>
      </c>
      <c r="J40" t="n">
        <v>19.05</v>
      </c>
      <c r="K40" t="n">
        <v>0</v>
      </c>
      <c r="L40" t="n">
        <v>2.3</v>
      </c>
      <c r="M40" t="n">
        <v>7</v>
      </c>
      <c r="N40" t="inlineStr">
        <is>
          <t>Direct</t>
        </is>
      </c>
      <c r="O40" t="inlineStr">
        <is>
          <t>19.05-0-2.3-ERW 1-PE-7</t>
        </is>
      </c>
    </row>
    <row r="41">
      <c r="A41" t="inlineStr">
        <is>
          <t>0000943209</t>
        </is>
      </c>
      <c r="B41" t="inlineStr">
        <is>
          <t>MEGH STEELS PRIVATE LIMITED - TVS A</t>
        </is>
      </c>
      <c r="C41" t="inlineStr">
        <is>
          <t>KG</t>
        </is>
      </c>
      <c r="D41" t="n">
        <v>420</v>
      </c>
      <c r="E41" t="n">
        <v>2499.413</v>
      </c>
      <c r="F41" t="n">
        <v>3905466</v>
      </c>
      <c r="G41" t="inlineStr">
        <is>
          <t>056</t>
        </is>
      </c>
      <c r="H41" t="inlineStr">
        <is>
          <t>TUB-O-N-AUT-AW-PE-22.20X2.000X5.9510</t>
        </is>
      </c>
      <c r="I41" t="n">
        <v>2433.984</v>
      </c>
      <c r="J41" t="n">
        <v>22.2</v>
      </c>
      <c r="K41" t="n">
        <v>0</v>
      </c>
      <c r="L41" t="n">
        <v>2</v>
      </c>
      <c r="M41" t="n">
        <v>5.951</v>
      </c>
      <c r="N41" t="inlineStr">
        <is>
          <t>Direct</t>
        </is>
      </c>
      <c r="O41" t="inlineStr">
        <is>
          <t>22.23-0-2-ERW 1-PE-5.951</t>
        </is>
      </c>
    </row>
    <row r="42">
      <c r="A42" t="inlineStr">
        <is>
          <t>0000943209</t>
        </is>
      </c>
      <c r="B42" t="inlineStr">
        <is>
          <t>MEGH STEELS PRIVATE LIMITED - TVS A</t>
        </is>
      </c>
      <c r="C42" t="inlineStr">
        <is>
          <t>KG</t>
        </is>
      </c>
      <c r="D42" t="n">
        <v>420</v>
      </c>
      <c r="E42" t="n">
        <v>2499.413</v>
      </c>
      <c r="F42" t="n">
        <v>3905466</v>
      </c>
      <c r="G42" t="inlineStr">
        <is>
          <t>056</t>
        </is>
      </c>
      <c r="H42" t="inlineStr">
        <is>
          <t>TUB-O-N-AUT-AW-PE-22.20X2.000X5.9510</t>
        </is>
      </c>
      <c r="I42" t="n">
        <v>2433.984</v>
      </c>
      <c r="J42" t="n">
        <v>22.2</v>
      </c>
      <c r="K42" t="n">
        <v>0</v>
      </c>
      <c r="L42" t="n">
        <v>2</v>
      </c>
      <c r="M42" t="n">
        <v>5.951</v>
      </c>
      <c r="N42" t="inlineStr">
        <is>
          <t>Direct</t>
        </is>
      </c>
      <c r="O42" t="inlineStr">
        <is>
          <t>22.23-0-2-ERW 1-PE-5.951</t>
        </is>
      </c>
    </row>
    <row r="43">
      <c r="A43" t="inlineStr">
        <is>
          <t>0000943209</t>
        </is>
      </c>
      <c r="B43" t="inlineStr">
        <is>
          <t>MEGH STEELS PRIVATE LIMITED - TVS A</t>
        </is>
      </c>
      <c r="C43" t="inlineStr">
        <is>
          <t>KG</t>
        </is>
      </c>
      <c r="D43" t="n">
        <v>420</v>
      </c>
      <c r="E43" t="n">
        <v>2499.413</v>
      </c>
      <c r="F43" t="n">
        <v>3905466</v>
      </c>
      <c r="G43" t="inlineStr">
        <is>
          <t>056</t>
        </is>
      </c>
      <c r="H43" t="inlineStr">
        <is>
          <t>TUB-O-N-AUT-AW-PE-22.20X2.000X5.9510</t>
        </is>
      </c>
      <c r="I43" t="n">
        <v>2433.984</v>
      </c>
      <c r="J43" t="n">
        <v>22.2</v>
      </c>
      <c r="K43" t="n">
        <v>0</v>
      </c>
      <c r="L43" t="n">
        <v>2</v>
      </c>
      <c r="M43" t="n">
        <v>5.951</v>
      </c>
      <c r="N43" t="inlineStr">
        <is>
          <t>Direct</t>
        </is>
      </c>
      <c r="O43" t="inlineStr">
        <is>
          <t>22.23-0-2-ERW 1-PE-5.951</t>
        </is>
      </c>
    </row>
    <row r="44">
      <c r="A44" t="inlineStr">
        <is>
          <t>0000943209</t>
        </is>
      </c>
      <c r="B44" t="inlineStr">
        <is>
          <t>MEGH STEELS PRIVATE LIMITED - TVS A</t>
        </is>
      </c>
      <c r="C44" t="inlineStr">
        <is>
          <t>KG</t>
        </is>
      </c>
      <c r="D44" t="n">
        <v>418</v>
      </c>
      <c r="E44" t="n">
        <v>2487.512</v>
      </c>
      <c r="F44" t="n">
        <v>3905466</v>
      </c>
      <c r="G44" t="inlineStr">
        <is>
          <t>056</t>
        </is>
      </c>
      <c r="H44" t="inlineStr">
        <is>
          <t>TUB-O-N-AUT-AW-PE-22.20X2.000X5.9510</t>
        </is>
      </c>
      <c r="I44" t="n">
        <v>2422.394</v>
      </c>
      <c r="J44" t="n">
        <v>22.2</v>
      </c>
      <c r="K44" t="n">
        <v>0</v>
      </c>
      <c r="L44" t="n">
        <v>2</v>
      </c>
      <c r="M44" t="n">
        <v>5.951</v>
      </c>
      <c r="N44" t="inlineStr">
        <is>
          <t>Direct</t>
        </is>
      </c>
      <c r="O44" t="inlineStr">
        <is>
          <t>22.23-0-2-ERW 1-PE-5.951</t>
        </is>
      </c>
    </row>
    <row r="45">
      <c r="A45" t="inlineStr">
        <is>
          <t>0000943209</t>
        </is>
      </c>
      <c r="B45" t="inlineStr">
        <is>
          <t>MEGH STEELS PRIVATE LIMITED - TVS A</t>
        </is>
      </c>
      <c r="C45" t="inlineStr">
        <is>
          <t>KG</t>
        </is>
      </c>
      <c r="D45" t="n">
        <v>412</v>
      </c>
      <c r="E45" t="n">
        <v>2451.805</v>
      </c>
      <c r="F45" t="n">
        <v>3905466</v>
      </c>
      <c r="G45" t="inlineStr">
        <is>
          <t>056</t>
        </is>
      </c>
      <c r="H45" t="inlineStr">
        <is>
          <t>TUB-O-N-AUT-AW-PE-22.20X2.000X5.9510</t>
        </is>
      </c>
      <c r="I45" t="n">
        <v>2387.622</v>
      </c>
      <c r="J45" t="n">
        <v>22.2</v>
      </c>
      <c r="K45" t="n">
        <v>0</v>
      </c>
      <c r="L45" t="n">
        <v>2</v>
      </c>
      <c r="M45" t="n">
        <v>5.951</v>
      </c>
      <c r="N45" t="inlineStr">
        <is>
          <t>Direct</t>
        </is>
      </c>
      <c r="O45" t="inlineStr">
        <is>
          <t>22.23-0-2-ERW 1-PE-5.951</t>
        </is>
      </c>
    </row>
    <row r="46">
      <c r="A46" t="inlineStr">
        <is>
          <t>0000943209</t>
        </is>
      </c>
      <c r="B46" t="inlineStr">
        <is>
          <t>MEGH STEELS PRIVATE LIMITED - TVS A</t>
        </is>
      </c>
      <c r="C46" t="inlineStr">
        <is>
          <t>KG</t>
        </is>
      </c>
      <c r="D46" t="n">
        <v>419</v>
      </c>
      <c r="E46" t="n">
        <v>2493.462</v>
      </c>
      <c r="F46" t="n">
        <v>3905466</v>
      </c>
      <c r="G46" t="inlineStr">
        <is>
          <t>056</t>
        </is>
      </c>
      <c r="H46" t="inlineStr">
        <is>
          <t>TUB-O-N-AUT-AW-PE-22.20X2.000X5.9510</t>
        </is>
      </c>
      <c r="I46" t="n">
        <v>2428.189</v>
      </c>
      <c r="J46" t="n">
        <v>22.2</v>
      </c>
      <c r="K46" t="n">
        <v>0</v>
      </c>
      <c r="L46" t="n">
        <v>2</v>
      </c>
      <c r="M46" t="n">
        <v>5.951</v>
      </c>
      <c r="N46" t="inlineStr">
        <is>
          <t>Direct</t>
        </is>
      </c>
      <c r="O46" t="inlineStr">
        <is>
          <t>22.23-0-2-ERW 1-PE-5.951</t>
        </is>
      </c>
    </row>
    <row r="47">
      <c r="A47" t="inlineStr">
        <is>
          <t>0000943209</t>
        </is>
      </c>
      <c r="B47" t="inlineStr">
        <is>
          <t>MEGH STEELS PRIVATE LIMITED - TVS A</t>
        </is>
      </c>
      <c r="C47" t="inlineStr">
        <is>
          <t>KG</t>
        </is>
      </c>
      <c r="D47" t="n">
        <v>127</v>
      </c>
      <c r="E47" t="n">
        <v>774.698</v>
      </c>
      <c r="F47" t="n">
        <v>3910001</v>
      </c>
      <c r="G47" t="inlineStr">
        <is>
          <t>056</t>
        </is>
      </c>
      <c r="H47" t="inlineStr">
        <is>
          <t>TUB-O-N-AUT-AW-FC-57.15X2.500X6.1000</t>
        </is>
      </c>
      <c r="I47" t="n">
        <v>2510.409</v>
      </c>
      <c r="J47" t="n">
        <v>57.15</v>
      </c>
      <c r="K47" t="n">
        <v>0</v>
      </c>
      <c r="L47" t="n">
        <v>2.5</v>
      </c>
      <c r="M47" t="n">
        <v>6.1</v>
      </c>
      <c r="N47" t="inlineStr">
        <is>
          <t>Direct</t>
        </is>
      </c>
      <c r="O47" t="inlineStr">
        <is>
          <t>57.15-0-2.5-ERW 1-FC-6.1</t>
        </is>
      </c>
    </row>
    <row r="48">
      <c r="A48" t="inlineStr">
        <is>
          <t>0000943209</t>
        </is>
      </c>
      <c r="B48" t="inlineStr">
        <is>
          <t>MEGH STEELS PRIVATE LIMITED - TVS A</t>
        </is>
      </c>
      <c r="C48" t="inlineStr">
        <is>
          <t>KG</t>
        </is>
      </c>
      <c r="D48" t="n">
        <v>127</v>
      </c>
      <c r="E48" t="n">
        <v>774.698</v>
      </c>
      <c r="F48" t="n">
        <v>3910001</v>
      </c>
      <c r="G48" t="inlineStr">
        <is>
          <t>056</t>
        </is>
      </c>
      <c r="H48" t="inlineStr">
        <is>
          <t>TUB-O-N-AUT-AW-FC-57.15X2.500X6.1000</t>
        </is>
      </c>
      <c r="I48" t="n">
        <v>2510.409</v>
      </c>
      <c r="J48" t="n">
        <v>57.15</v>
      </c>
      <c r="K48" t="n">
        <v>0</v>
      </c>
      <c r="L48" t="n">
        <v>2.5</v>
      </c>
      <c r="M48" t="n">
        <v>6.1</v>
      </c>
      <c r="N48" t="inlineStr">
        <is>
          <t>Direct</t>
        </is>
      </c>
      <c r="O48" t="inlineStr">
        <is>
          <t>57.15-0-2.5-ERW 1-FC-6.1</t>
        </is>
      </c>
    </row>
    <row r="49">
      <c r="A49" t="inlineStr">
        <is>
          <t>0000943209</t>
        </is>
      </c>
      <c r="B49" t="inlineStr">
        <is>
          <t>MEGH STEELS PRIVATE LIMITED - TVS A</t>
        </is>
      </c>
      <c r="C49" t="inlineStr">
        <is>
          <t>KG</t>
        </is>
      </c>
      <c r="D49" t="n">
        <v>127</v>
      </c>
      <c r="E49" t="n">
        <v>774.698</v>
      </c>
      <c r="F49" t="n">
        <v>3910001</v>
      </c>
      <c r="G49" t="inlineStr">
        <is>
          <t>056</t>
        </is>
      </c>
      <c r="H49" t="inlineStr">
        <is>
          <t>TUB-O-N-AUT-AW-FC-57.15X2.500X6.1000</t>
        </is>
      </c>
      <c r="I49" t="n">
        <v>2510.409</v>
      </c>
      <c r="J49" t="n">
        <v>57.15</v>
      </c>
      <c r="K49" t="n">
        <v>0</v>
      </c>
      <c r="L49" t="n">
        <v>2.5</v>
      </c>
      <c r="M49" t="n">
        <v>6.1</v>
      </c>
      <c r="N49" t="inlineStr">
        <is>
          <t>Direct</t>
        </is>
      </c>
      <c r="O49" t="inlineStr">
        <is>
          <t>57.15-0-2.5-ERW 1-FC-6.1</t>
        </is>
      </c>
    </row>
    <row r="50">
      <c r="A50" t="inlineStr">
        <is>
          <t>0000943209</t>
        </is>
      </c>
      <c r="B50" t="inlineStr">
        <is>
          <t>MEGH STEELS PRIVATE LIMITED - TVS A</t>
        </is>
      </c>
      <c r="C50" t="inlineStr">
        <is>
          <t>KG</t>
        </is>
      </c>
      <c r="D50" t="n">
        <v>127</v>
      </c>
      <c r="E50" t="n">
        <v>774.698</v>
      </c>
      <c r="F50" t="n">
        <v>3910001</v>
      </c>
      <c r="G50" t="inlineStr">
        <is>
          <t>056</t>
        </is>
      </c>
      <c r="H50" t="inlineStr">
        <is>
          <t>TUB-O-N-AUT-AW-FC-57.15X2.500X6.1000</t>
        </is>
      </c>
      <c r="I50" t="n">
        <v>2510.409</v>
      </c>
      <c r="J50" t="n">
        <v>57.15</v>
      </c>
      <c r="K50" t="n">
        <v>0</v>
      </c>
      <c r="L50" t="n">
        <v>2.5</v>
      </c>
      <c r="M50" t="n">
        <v>6.1</v>
      </c>
      <c r="N50" t="inlineStr">
        <is>
          <t>Direct</t>
        </is>
      </c>
      <c r="O50" t="inlineStr">
        <is>
          <t>57.15-0-2.5-ERW 1-FC-6.1</t>
        </is>
      </c>
    </row>
    <row r="51">
      <c r="A51" t="inlineStr">
        <is>
          <t>0000943209</t>
        </is>
      </c>
      <c r="B51" t="inlineStr">
        <is>
          <t>MEGH STEELS PRIVATE LIMITED - TVS A</t>
        </is>
      </c>
      <c r="C51" t="inlineStr">
        <is>
          <t>KG</t>
        </is>
      </c>
      <c r="D51" t="n">
        <v>127</v>
      </c>
      <c r="E51" t="n">
        <v>774.698</v>
      </c>
      <c r="F51" t="n">
        <v>3910001</v>
      </c>
      <c r="G51" t="inlineStr">
        <is>
          <t>056</t>
        </is>
      </c>
      <c r="H51" t="inlineStr">
        <is>
          <t>TUB-O-N-AUT-AW-FC-57.15X2.500X6.1000</t>
        </is>
      </c>
      <c r="I51" t="n">
        <v>2510.409</v>
      </c>
      <c r="J51" t="n">
        <v>57.15</v>
      </c>
      <c r="K51" t="n">
        <v>0</v>
      </c>
      <c r="L51" t="n">
        <v>2.5</v>
      </c>
      <c r="M51" t="n">
        <v>6.1</v>
      </c>
      <c r="N51" t="inlineStr">
        <is>
          <t>Direct</t>
        </is>
      </c>
      <c r="O51" t="inlineStr">
        <is>
          <t>57.15-0-2.5-ERW 1-FC-6.1</t>
        </is>
      </c>
    </row>
    <row r="52">
      <c r="A52" t="inlineStr">
        <is>
          <t>0000943209</t>
        </is>
      </c>
      <c r="B52" t="inlineStr">
        <is>
          <t>MEGH STEELS PRIVATE LIMITED - TVS A</t>
        </is>
      </c>
      <c r="C52" t="inlineStr">
        <is>
          <t>KG</t>
        </is>
      </c>
      <c r="D52" t="n">
        <v>127</v>
      </c>
      <c r="E52" t="n">
        <v>774.698</v>
      </c>
      <c r="F52" t="n">
        <v>3910001</v>
      </c>
      <c r="G52" t="inlineStr">
        <is>
          <t>056</t>
        </is>
      </c>
      <c r="H52" t="inlineStr">
        <is>
          <t>TUB-O-N-AUT-AW-FC-57.15X2.500X6.1000</t>
        </is>
      </c>
      <c r="I52" t="n">
        <v>2510.409</v>
      </c>
      <c r="J52" t="n">
        <v>57.15</v>
      </c>
      <c r="K52" t="n">
        <v>0</v>
      </c>
      <c r="L52" t="n">
        <v>2.5</v>
      </c>
      <c r="M52" t="n">
        <v>6.1</v>
      </c>
      <c r="N52" t="inlineStr">
        <is>
          <t>Direct</t>
        </is>
      </c>
      <c r="O52" t="inlineStr">
        <is>
          <t>57.15-0-2.5-ERW 1-FC-6.1</t>
        </is>
      </c>
    </row>
    <row r="53">
      <c r="A53" t="inlineStr">
        <is>
          <t>0000943209</t>
        </is>
      </c>
      <c r="B53" t="inlineStr">
        <is>
          <t>MEGH STEELS PRIVATE LIMITED - TVS A</t>
        </is>
      </c>
      <c r="C53" t="inlineStr">
        <is>
          <t>KG</t>
        </is>
      </c>
      <c r="D53" t="n">
        <v>127</v>
      </c>
      <c r="E53" t="n">
        <v>774.698</v>
      </c>
      <c r="F53" t="n">
        <v>3910001</v>
      </c>
      <c r="G53" t="inlineStr">
        <is>
          <t>056</t>
        </is>
      </c>
      <c r="H53" t="inlineStr">
        <is>
          <t>TUB-O-N-AUT-AW-FC-57.15X2.500X6.1000</t>
        </is>
      </c>
      <c r="I53" t="n">
        <v>2510.409</v>
      </c>
      <c r="J53" t="n">
        <v>57.15</v>
      </c>
      <c r="K53" t="n">
        <v>0</v>
      </c>
      <c r="L53" t="n">
        <v>2.5</v>
      </c>
      <c r="M53" t="n">
        <v>6.1</v>
      </c>
      <c r="N53" t="inlineStr">
        <is>
          <t>Direct</t>
        </is>
      </c>
      <c r="O53" t="inlineStr">
        <is>
          <t>57.15-0-2.5-ERW 1-FC-6.1</t>
        </is>
      </c>
    </row>
    <row r="54">
      <c r="A54" t="inlineStr">
        <is>
          <t>0000943209</t>
        </is>
      </c>
      <c r="B54" t="inlineStr">
        <is>
          <t>MEGH STEELS PRIVATE LIMITED - TVS A</t>
        </is>
      </c>
      <c r="C54" t="inlineStr">
        <is>
          <t>KG</t>
        </is>
      </c>
      <c r="D54" t="n">
        <v>127</v>
      </c>
      <c r="E54" t="n">
        <v>774.698</v>
      </c>
      <c r="F54" t="n">
        <v>3910001</v>
      </c>
      <c r="G54" t="inlineStr">
        <is>
          <t>056</t>
        </is>
      </c>
      <c r="H54" t="inlineStr">
        <is>
          <t>TUB-O-N-AUT-AW-FC-57.15X2.500X6.1000</t>
        </is>
      </c>
      <c r="I54" t="n">
        <v>2510.409</v>
      </c>
      <c r="J54" t="n">
        <v>57.15</v>
      </c>
      <c r="K54" t="n">
        <v>0</v>
      </c>
      <c r="L54" t="n">
        <v>2.5</v>
      </c>
      <c r="M54" t="n">
        <v>6.1</v>
      </c>
      <c r="N54" t="inlineStr">
        <is>
          <t>Direct</t>
        </is>
      </c>
      <c r="O54" t="inlineStr">
        <is>
          <t>57.15-0-2.5-ERW 1-FC-6.1</t>
        </is>
      </c>
    </row>
    <row r="55">
      <c r="A55" t="inlineStr">
        <is>
          <t>0000943209</t>
        </is>
      </c>
      <c r="B55" t="inlineStr">
        <is>
          <t>MEGH STEELS PRIVATE LIMITED - TVS A</t>
        </is>
      </c>
      <c r="C55" t="inlineStr">
        <is>
          <t>KG</t>
        </is>
      </c>
      <c r="D55" t="n">
        <v>126</v>
      </c>
      <c r="E55" t="n">
        <v>768.598</v>
      </c>
      <c r="F55" t="n">
        <v>3910001</v>
      </c>
      <c r="G55" t="inlineStr">
        <is>
          <t>056</t>
        </is>
      </c>
      <c r="H55" t="inlineStr">
        <is>
          <t>TUB-O-N-AUT-AW-FC-57.15X2.500X6.1000</t>
        </is>
      </c>
      <c r="I55" t="n">
        <v>2490.642</v>
      </c>
      <c r="J55" t="n">
        <v>57.15</v>
      </c>
      <c r="K55" t="n">
        <v>0</v>
      </c>
      <c r="L55" t="n">
        <v>2.5</v>
      </c>
      <c r="M55" t="n">
        <v>6.1</v>
      </c>
      <c r="N55" t="inlineStr">
        <is>
          <t>Direct</t>
        </is>
      </c>
      <c r="O55" t="inlineStr">
        <is>
          <t>57.15-0-2.5-ERW 1-FC-6.1</t>
        </is>
      </c>
    </row>
    <row r="56">
      <c r="A56" t="inlineStr">
        <is>
          <t>0000943209</t>
        </is>
      </c>
      <c r="B56" t="inlineStr">
        <is>
          <t>MEGH STEELS PRIVATE LIMITED - TVS A</t>
        </is>
      </c>
      <c r="C56" t="inlineStr">
        <is>
          <t>KG</t>
        </is>
      </c>
      <c r="D56" t="n">
        <v>125</v>
      </c>
      <c r="E56" t="n">
        <v>762.498</v>
      </c>
      <c r="F56" t="n">
        <v>3910001</v>
      </c>
      <c r="G56" t="inlineStr">
        <is>
          <t>056</t>
        </is>
      </c>
      <c r="H56" t="inlineStr">
        <is>
          <t>TUB-O-N-AUT-AW-FC-57.15X2.500X6.1000</t>
        </is>
      </c>
      <c r="I56" t="n">
        <v>2470.875</v>
      </c>
      <c r="J56" t="n">
        <v>57.15</v>
      </c>
      <c r="K56" t="n">
        <v>0</v>
      </c>
      <c r="L56" t="n">
        <v>2.5</v>
      </c>
      <c r="M56" t="n">
        <v>6.1</v>
      </c>
      <c r="N56" t="inlineStr">
        <is>
          <t>Direct</t>
        </is>
      </c>
      <c r="O56" t="inlineStr">
        <is>
          <t>57.15-0-2.5-ERW 1-FC-6.1</t>
        </is>
      </c>
    </row>
    <row r="57">
      <c r="A57" t="inlineStr">
        <is>
          <t>0000943209</t>
        </is>
      </c>
      <c r="B57" t="inlineStr">
        <is>
          <t>MEGH STEELS PRIVATE LIMITED - TVS A</t>
        </is>
      </c>
      <c r="C57" t="inlineStr">
        <is>
          <t>KG</t>
        </is>
      </c>
      <c r="D57" t="n">
        <v>96</v>
      </c>
      <c r="E57" t="n">
        <v>585.599</v>
      </c>
      <c r="F57" t="n">
        <v>3910001</v>
      </c>
      <c r="G57" t="inlineStr">
        <is>
          <t>056</t>
        </is>
      </c>
      <c r="H57" t="inlineStr">
        <is>
          <t>TUB-O-N-AUT-AW-FC-57.15X2.500X6.1000</t>
        </is>
      </c>
      <c r="I57" t="n">
        <v>1897.632</v>
      </c>
      <c r="J57" t="n">
        <v>57.15</v>
      </c>
      <c r="K57" t="n">
        <v>0</v>
      </c>
      <c r="L57" t="n">
        <v>2.5</v>
      </c>
      <c r="M57" t="n">
        <v>6.1</v>
      </c>
      <c r="N57" t="inlineStr">
        <is>
          <t>Direct</t>
        </is>
      </c>
      <c r="O57" t="inlineStr">
        <is>
          <t>57.15-0-2.5-ERW 1-FC-6.1</t>
        </is>
      </c>
    </row>
    <row r="58">
      <c r="A58" t="inlineStr">
        <is>
          <t>0000943209</t>
        </is>
      </c>
      <c r="B58" t="inlineStr">
        <is>
          <t>MEGH STEELS PRIVATE LIMITED - TVS A</t>
        </is>
      </c>
      <c r="C58" t="inlineStr">
        <is>
          <t>KG</t>
        </is>
      </c>
      <c r="D58" t="n">
        <v>128</v>
      </c>
      <c r="E58" t="n">
        <v>780.798</v>
      </c>
      <c r="F58" t="n">
        <v>3910001</v>
      </c>
      <c r="G58" t="inlineStr">
        <is>
          <t>056</t>
        </is>
      </c>
      <c r="H58" t="inlineStr">
        <is>
          <t>TUB-O-N-AUT-AW-FC-57.15X2.500X6.1000</t>
        </is>
      </c>
      <c r="I58" t="n">
        <v>2530.176</v>
      </c>
      <c r="J58" t="n">
        <v>57.15</v>
      </c>
      <c r="K58" t="n">
        <v>0</v>
      </c>
      <c r="L58" t="n">
        <v>2.5</v>
      </c>
      <c r="M58" t="n">
        <v>6.1</v>
      </c>
      <c r="N58" t="inlineStr">
        <is>
          <t>Direct</t>
        </is>
      </c>
      <c r="O58" t="inlineStr">
        <is>
          <t>57.15-0-2.5-ERW 1-FC-6.1</t>
        </is>
      </c>
    </row>
    <row r="59">
      <c r="A59" t="inlineStr">
        <is>
          <t>0000943209</t>
        </is>
      </c>
      <c r="B59" t="inlineStr">
        <is>
          <t>MEGH STEELS PRIVATE LIMITED - TVS A</t>
        </is>
      </c>
      <c r="C59" t="inlineStr">
        <is>
          <t>KG</t>
        </is>
      </c>
      <c r="D59" t="n">
        <v>128</v>
      </c>
      <c r="E59" t="n">
        <v>780.798</v>
      </c>
      <c r="F59" t="n">
        <v>3910001</v>
      </c>
      <c r="G59" t="inlineStr">
        <is>
          <t>056</t>
        </is>
      </c>
      <c r="H59" t="inlineStr">
        <is>
          <t>TUB-O-N-AUT-AW-FC-57.15X2.500X6.1000</t>
        </is>
      </c>
      <c r="I59" t="n">
        <v>2530.176</v>
      </c>
      <c r="J59" t="n">
        <v>57.15</v>
      </c>
      <c r="K59" t="n">
        <v>0</v>
      </c>
      <c r="L59" t="n">
        <v>2.5</v>
      </c>
      <c r="M59" t="n">
        <v>6.1</v>
      </c>
      <c r="N59" t="inlineStr">
        <is>
          <t>Direct</t>
        </is>
      </c>
      <c r="O59" t="inlineStr">
        <is>
          <t>57.15-0-2.5-ERW 1-FC-6.1</t>
        </is>
      </c>
    </row>
    <row r="60">
      <c r="A60" t="inlineStr">
        <is>
          <t>0000943209</t>
        </is>
      </c>
      <c r="B60" t="inlineStr">
        <is>
          <t>MEGH STEELS PRIVATE LIMITED - TVS A</t>
        </is>
      </c>
      <c r="C60" t="inlineStr">
        <is>
          <t>KG</t>
        </is>
      </c>
      <c r="D60" t="n">
        <v>128</v>
      </c>
      <c r="E60" t="n">
        <v>780.798</v>
      </c>
      <c r="F60" t="n">
        <v>3910001</v>
      </c>
      <c r="G60" t="inlineStr">
        <is>
          <t>056</t>
        </is>
      </c>
      <c r="H60" t="inlineStr">
        <is>
          <t>TUB-O-N-AUT-AW-FC-57.15X2.500X6.1000</t>
        </is>
      </c>
      <c r="I60" t="n">
        <v>2530.176</v>
      </c>
      <c r="J60" t="n">
        <v>57.15</v>
      </c>
      <c r="K60" t="n">
        <v>0</v>
      </c>
      <c r="L60" t="n">
        <v>2.5</v>
      </c>
      <c r="M60" t="n">
        <v>6.1</v>
      </c>
      <c r="N60" t="inlineStr">
        <is>
          <t>Direct</t>
        </is>
      </c>
      <c r="O60" t="inlineStr">
        <is>
          <t>57.15-0-2.5-ERW 1-FC-6.1</t>
        </is>
      </c>
    </row>
    <row r="61">
      <c r="A61" t="inlineStr">
        <is>
          <t>0000943209</t>
        </is>
      </c>
      <c r="B61" t="inlineStr">
        <is>
          <t>MEGH STEELS PRIVATE LIMITED - TVS A</t>
        </is>
      </c>
      <c r="C61" t="inlineStr">
        <is>
          <t>KG</t>
        </is>
      </c>
      <c r="D61" t="n">
        <v>128</v>
      </c>
      <c r="E61" t="n">
        <v>780.798</v>
      </c>
      <c r="F61" t="n">
        <v>3910001</v>
      </c>
      <c r="G61" t="inlineStr">
        <is>
          <t>056</t>
        </is>
      </c>
      <c r="H61" t="inlineStr">
        <is>
          <t>TUB-O-N-AUT-AW-FC-57.15X2.500X6.1000</t>
        </is>
      </c>
      <c r="I61" t="n">
        <v>2530.176</v>
      </c>
      <c r="J61" t="n">
        <v>57.15</v>
      </c>
      <c r="K61" t="n">
        <v>0</v>
      </c>
      <c r="L61" t="n">
        <v>2.5</v>
      </c>
      <c r="M61" t="n">
        <v>6.1</v>
      </c>
      <c r="N61" t="inlineStr">
        <is>
          <t>Direct</t>
        </is>
      </c>
      <c r="O61" t="inlineStr">
        <is>
          <t>57.15-0-2.5-ERW 1-FC-6.1</t>
        </is>
      </c>
    </row>
    <row r="62">
      <c r="A62" t="inlineStr">
        <is>
          <t>0000943209</t>
        </is>
      </c>
      <c r="B62" t="inlineStr">
        <is>
          <t>MEGH STEELS PRIVATE LIMITED - TVS A</t>
        </is>
      </c>
      <c r="C62" t="inlineStr">
        <is>
          <t>KG</t>
        </is>
      </c>
      <c r="D62" t="n">
        <v>127</v>
      </c>
      <c r="E62" t="n">
        <v>774.698</v>
      </c>
      <c r="F62" t="n">
        <v>3910001</v>
      </c>
      <c r="G62" t="inlineStr">
        <is>
          <t>056</t>
        </is>
      </c>
      <c r="H62" t="inlineStr">
        <is>
          <t>TUB-O-N-AUT-AW-FC-57.15X2.500X6.1000</t>
        </is>
      </c>
      <c r="I62" t="n">
        <v>2510.409</v>
      </c>
      <c r="J62" t="n">
        <v>57.15</v>
      </c>
      <c r="K62" t="n">
        <v>0</v>
      </c>
      <c r="L62" t="n">
        <v>2.5</v>
      </c>
      <c r="M62" t="n">
        <v>6.1</v>
      </c>
      <c r="N62" t="inlineStr">
        <is>
          <t>Direct</t>
        </is>
      </c>
      <c r="O62" t="inlineStr">
        <is>
          <t>57.15-0-2.5-ERW 1-FC-6.1</t>
        </is>
      </c>
    </row>
    <row r="63">
      <c r="A63" t="inlineStr">
        <is>
          <t>0000943209</t>
        </is>
      </c>
      <c r="B63" t="inlineStr">
        <is>
          <t>MEGH STEELS PRIVATE LIMITED - TVS A</t>
        </is>
      </c>
      <c r="C63" t="inlineStr">
        <is>
          <t>KG</t>
        </is>
      </c>
      <c r="D63" t="n">
        <v>127</v>
      </c>
      <c r="E63" t="n">
        <v>774.698</v>
      </c>
      <c r="F63" t="n">
        <v>3910001</v>
      </c>
      <c r="G63" t="inlineStr">
        <is>
          <t>056</t>
        </is>
      </c>
      <c r="H63" t="inlineStr">
        <is>
          <t>TUB-O-N-AUT-AW-FC-57.15X2.500X6.1000</t>
        </is>
      </c>
      <c r="I63" t="n">
        <v>2510.409</v>
      </c>
      <c r="J63" t="n">
        <v>57.15</v>
      </c>
      <c r="K63" t="n">
        <v>0</v>
      </c>
      <c r="L63" t="n">
        <v>2.5</v>
      </c>
      <c r="M63" t="n">
        <v>6.1</v>
      </c>
      <c r="N63" t="inlineStr">
        <is>
          <t>Direct</t>
        </is>
      </c>
      <c r="O63" t="inlineStr">
        <is>
          <t>57.15-0-2.5-ERW 1-FC-6.1</t>
        </is>
      </c>
    </row>
    <row r="64">
      <c r="A64" t="inlineStr">
        <is>
          <t>0000943209</t>
        </is>
      </c>
      <c r="B64" t="inlineStr">
        <is>
          <t>MEGH STEELS PRIVATE LIMITED - TVS A</t>
        </is>
      </c>
      <c r="C64" t="inlineStr">
        <is>
          <t>KG</t>
        </is>
      </c>
      <c r="D64" t="n">
        <v>127</v>
      </c>
      <c r="E64" t="n">
        <v>774.698</v>
      </c>
      <c r="F64" t="n">
        <v>3910001</v>
      </c>
      <c r="G64" t="inlineStr">
        <is>
          <t>056</t>
        </is>
      </c>
      <c r="H64" t="inlineStr">
        <is>
          <t>TUB-O-N-AUT-AW-FC-57.15X2.500X6.1000</t>
        </is>
      </c>
      <c r="I64" t="n">
        <v>2510.409</v>
      </c>
      <c r="J64" t="n">
        <v>57.15</v>
      </c>
      <c r="K64" t="n">
        <v>0</v>
      </c>
      <c r="L64" t="n">
        <v>2.5</v>
      </c>
      <c r="M64" t="n">
        <v>6.1</v>
      </c>
      <c r="N64" t="inlineStr">
        <is>
          <t>Direct</t>
        </is>
      </c>
      <c r="O64" t="inlineStr">
        <is>
          <t>57.15-0-2.5-ERW 1-FC-6.1</t>
        </is>
      </c>
    </row>
    <row r="65">
      <c r="A65" t="inlineStr">
        <is>
          <t>0000943209</t>
        </is>
      </c>
      <c r="B65" t="inlineStr">
        <is>
          <t>MEGH STEELS PRIVATE LIMITED - TVS A</t>
        </is>
      </c>
      <c r="C65" t="inlineStr">
        <is>
          <t>KG</t>
        </is>
      </c>
      <c r="D65" t="n">
        <v>127</v>
      </c>
      <c r="E65" t="n">
        <v>774.698</v>
      </c>
      <c r="F65" t="n">
        <v>3910001</v>
      </c>
      <c r="G65" t="inlineStr">
        <is>
          <t>056</t>
        </is>
      </c>
      <c r="H65" t="inlineStr">
        <is>
          <t>TUB-O-N-AUT-AW-FC-57.15X2.500X6.1000</t>
        </is>
      </c>
      <c r="I65" t="n">
        <v>2510.409</v>
      </c>
      <c r="J65" t="n">
        <v>57.15</v>
      </c>
      <c r="K65" t="n">
        <v>0</v>
      </c>
      <c r="L65" t="n">
        <v>2.5</v>
      </c>
      <c r="M65" t="n">
        <v>6.1</v>
      </c>
      <c r="N65" t="inlineStr">
        <is>
          <t>Direct</t>
        </is>
      </c>
      <c r="O65" t="inlineStr">
        <is>
          <t>57.15-0-2.5-ERW 1-FC-6.1</t>
        </is>
      </c>
    </row>
    <row r="66">
      <c r="A66" t="inlineStr">
        <is>
          <t>0000943209</t>
        </is>
      </c>
      <c r="B66" t="inlineStr">
        <is>
          <t>MEGH STEELS PRIVATE LIMITED - TVS A</t>
        </is>
      </c>
      <c r="C66" t="inlineStr">
        <is>
          <t>KG</t>
        </is>
      </c>
      <c r="D66" t="n">
        <v>126</v>
      </c>
      <c r="E66" t="n">
        <v>768.598</v>
      </c>
      <c r="F66" t="n">
        <v>3910001</v>
      </c>
      <c r="G66" t="inlineStr">
        <is>
          <t>056</t>
        </is>
      </c>
      <c r="H66" t="inlineStr">
        <is>
          <t>TUB-O-N-AUT-AW-FC-57.15X2.500X6.1000</t>
        </is>
      </c>
      <c r="I66" t="n">
        <v>2490.642</v>
      </c>
      <c r="J66" t="n">
        <v>57.15</v>
      </c>
      <c r="K66" t="n">
        <v>0</v>
      </c>
      <c r="L66" t="n">
        <v>2.5</v>
      </c>
      <c r="M66" t="n">
        <v>6.1</v>
      </c>
      <c r="N66" t="inlineStr">
        <is>
          <t>Direct</t>
        </is>
      </c>
      <c r="O66" t="inlineStr">
        <is>
          <t>57.15-0-2.5-ERW 1-FC-6.1</t>
        </is>
      </c>
    </row>
    <row r="67">
      <c r="A67" t="inlineStr">
        <is>
          <t>0000943209</t>
        </is>
      </c>
      <c r="B67" t="inlineStr">
        <is>
          <t>MEGH STEELS PRIVATE LIMITED - TVS A</t>
        </is>
      </c>
      <c r="C67" t="inlineStr">
        <is>
          <t>KG</t>
        </is>
      </c>
      <c r="D67" t="n">
        <v>126</v>
      </c>
      <c r="E67" t="n">
        <v>768.598</v>
      </c>
      <c r="F67" t="n">
        <v>3910001</v>
      </c>
      <c r="G67" t="inlineStr">
        <is>
          <t>056</t>
        </is>
      </c>
      <c r="H67" t="inlineStr">
        <is>
          <t>TUB-O-N-AUT-AW-FC-57.15X2.500X6.1000</t>
        </is>
      </c>
      <c r="I67" t="n">
        <v>2490.642</v>
      </c>
      <c r="J67" t="n">
        <v>57.15</v>
      </c>
      <c r="K67" t="n">
        <v>0</v>
      </c>
      <c r="L67" t="n">
        <v>2.5</v>
      </c>
      <c r="M67" t="n">
        <v>6.1</v>
      </c>
      <c r="N67" t="inlineStr">
        <is>
          <t>Direct</t>
        </is>
      </c>
      <c r="O67" t="inlineStr">
        <is>
          <t>57.15-0-2.5-ERW 1-FC-6.1</t>
        </is>
      </c>
    </row>
    <row r="68">
      <c r="A68" t="inlineStr">
        <is>
          <t>0000943209</t>
        </is>
      </c>
      <c r="B68" t="inlineStr">
        <is>
          <t>MEGH STEELS PRIVATE LIMITED - TVS A</t>
        </is>
      </c>
      <c r="C68" t="inlineStr">
        <is>
          <t>KG</t>
        </is>
      </c>
      <c r="D68" t="n">
        <v>127</v>
      </c>
      <c r="E68" t="n">
        <v>768.3680000000001</v>
      </c>
      <c r="F68" t="n">
        <v>3502422</v>
      </c>
      <c r="G68" t="inlineStr">
        <is>
          <t>056</t>
        </is>
      </c>
      <c r="H68" t="inlineStr">
        <is>
          <t>TUB-O-N-AUT-AW-FC-48.60X3.500X6.0500</t>
        </is>
      </c>
      <c r="I68" t="n">
        <v>2991.104</v>
      </c>
      <c r="J68" t="n">
        <v>48.6</v>
      </c>
      <c r="K68" t="n">
        <v>0</v>
      </c>
      <c r="L68" t="n">
        <v>3.5</v>
      </c>
      <c r="M68" t="n">
        <v>6.05</v>
      </c>
      <c r="N68" t="inlineStr">
        <is>
          <t>Direct</t>
        </is>
      </c>
      <c r="O68" t="inlineStr">
        <is>
          <t>48.6-0-3.5-ERW 1-FC-6</t>
        </is>
      </c>
    </row>
    <row r="69">
      <c r="A69" t="inlineStr">
        <is>
          <t>0000943209</t>
        </is>
      </c>
      <c r="B69" t="inlineStr">
        <is>
          <t>MEGH STEELS PRIVATE LIMITED - TVS A</t>
        </is>
      </c>
      <c r="C69" t="inlineStr">
        <is>
          <t>KG</t>
        </is>
      </c>
      <c r="D69" t="n">
        <v>127</v>
      </c>
      <c r="E69" t="n">
        <v>768.3680000000001</v>
      </c>
      <c r="F69" t="n">
        <v>3502422</v>
      </c>
      <c r="G69" t="inlineStr">
        <is>
          <t>056</t>
        </is>
      </c>
      <c r="H69" t="inlineStr">
        <is>
          <t>TUB-O-N-AUT-AW-FC-48.60X3.500X6.0500</t>
        </is>
      </c>
      <c r="I69" t="n">
        <v>2991.104</v>
      </c>
      <c r="J69" t="n">
        <v>48.6</v>
      </c>
      <c r="K69" t="n">
        <v>0</v>
      </c>
      <c r="L69" t="n">
        <v>3.5</v>
      </c>
      <c r="M69" t="n">
        <v>6.05</v>
      </c>
      <c r="N69" t="inlineStr">
        <is>
          <t>Direct</t>
        </is>
      </c>
      <c r="O69" t="inlineStr">
        <is>
          <t>48.6-0-3.5-ERW 1-FC-6</t>
        </is>
      </c>
    </row>
    <row r="70">
      <c r="A70" t="inlineStr">
        <is>
          <t>0000943209</t>
        </is>
      </c>
      <c r="B70" t="inlineStr">
        <is>
          <t>MEGH STEELS PRIVATE LIMITED - TVS A</t>
        </is>
      </c>
      <c r="C70" t="inlineStr">
        <is>
          <t>KG</t>
        </is>
      </c>
      <c r="D70" t="n">
        <v>127</v>
      </c>
      <c r="E70" t="n">
        <v>768.3680000000001</v>
      </c>
      <c r="F70" t="n">
        <v>3502422</v>
      </c>
      <c r="G70" t="inlineStr">
        <is>
          <t>056</t>
        </is>
      </c>
      <c r="H70" t="inlineStr">
        <is>
          <t>TUB-O-N-AUT-AW-FC-48.60X3.500X6.0500</t>
        </is>
      </c>
      <c r="I70" t="n">
        <v>2991.104</v>
      </c>
      <c r="J70" t="n">
        <v>48.6</v>
      </c>
      <c r="K70" t="n">
        <v>0</v>
      </c>
      <c r="L70" t="n">
        <v>3.5</v>
      </c>
      <c r="M70" t="n">
        <v>6.05</v>
      </c>
      <c r="N70" t="inlineStr">
        <is>
          <t>Direct</t>
        </is>
      </c>
      <c r="O70" t="inlineStr">
        <is>
          <t>48.6-0-3.5-ERW 1-FC-6</t>
        </is>
      </c>
    </row>
    <row r="71">
      <c r="A71" t="inlineStr">
        <is>
          <t>0000943209</t>
        </is>
      </c>
      <c r="B71" t="inlineStr">
        <is>
          <t>MEGH STEELS PRIVATE LIMITED - TVS A</t>
        </is>
      </c>
      <c r="C71" t="inlineStr">
        <is>
          <t>KG</t>
        </is>
      </c>
      <c r="D71" t="n">
        <v>126</v>
      </c>
      <c r="E71" t="n">
        <v>762.318</v>
      </c>
      <c r="F71" t="n">
        <v>3502422</v>
      </c>
      <c r="G71" t="inlineStr">
        <is>
          <t>056</t>
        </is>
      </c>
      <c r="H71" t="inlineStr">
        <is>
          <t>TUB-O-N-AUT-AW-FC-48.60X3.500X6.0500</t>
        </is>
      </c>
      <c r="I71" t="n">
        <v>2967.552</v>
      </c>
      <c r="J71" t="n">
        <v>48.6</v>
      </c>
      <c r="K71" t="n">
        <v>0</v>
      </c>
      <c r="L71" t="n">
        <v>3.5</v>
      </c>
      <c r="M71" t="n">
        <v>6.05</v>
      </c>
      <c r="N71" t="inlineStr">
        <is>
          <t>Direct</t>
        </is>
      </c>
      <c r="O71" t="inlineStr">
        <is>
          <t>48.6-0-3.5-ERW 1-FC-6</t>
        </is>
      </c>
    </row>
    <row r="72">
      <c r="A72" t="inlineStr">
        <is>
          <t>0000943209</t>
        </is>
      </c>
      <c r="B72" t="inlineStr">
        <is>
          <t>MEGH STEELS PRIVATE LIMITED - TVS A</t>
        </is>
      </c>
      <c r="C72" t="inlineStr">
        <is>
          <t>KG</t>
        </is>
      </c>
      <c r="D72" t="n">
        <v>94</v>
      </c>
      <c r="E72" t="n">
        <v>568.7140000000001</v>
      </c>
      <c r="F72" t="n">
        <v>3502422</v>
      </c>
      <c r="G72" t="inlineStr">
        <is>
          <t>056</t>
        </is>
      </c>
      <c r="H72" t="inlineStr">
        <is>
          <t>TUB-O-N-AUT-AW-FC-48.60X3.500X6.0500</t>
        </is>
      </c>
      <c r="I72" t="n">
        <v>2213.888</v>
      </c>
      <c r="J72" t="n">
        <v>48.6</v>
      </c>
      <c r="K72" t="n">
        <v>0</v>
      </c>
      <c r="L72" t="n">
        <v>3.5</v>
      </c>
      <c r="M72" t="n">
        <v>6.05</v>
      </c>
      <c r="N72" t="inlineStr">
        <is>
          <t>Direct</t>
        </is>
      </c>
      <c r="O72" t="inlineStr">
        <is>
          <t>48.6-0-3.5-ERW 1-FC-6</t>
        </is>
      </c>
    </row>
    <row r="73">
      <c r="A73" t="inlineStr">
        <is>
          <t>0000943209</t>
        </is>
      </c>
      <c r="B73" t="inlineStr">
        <is>
          <t>MEGH STEELS PRIVATE LIMITED - TVS A</t>
        </is>
      </c>
      <c r="C73" t="inlineStr">
        <is>
          <t>KG</t>
        </is>
      </c>
      <c r="D73" t="n">
        <v>217</v>
      </c>
      <c r="E73" t="n">
        <v>1343.182</v>
      </c>
      <c r="F73" t="n">
        <v>3502007</v>
      </c>
      <c r="G73" t="inlineStr">
        <is>
          <t>056</t>
        </is>
      </c>
      <c r="H73" t="inlineStr">
        <is>
          <t>TUB-O-N-AUT-AH-FC-38.10X2.500X6.1900 HST</t>
        </is>
      </c>
      <c r="I73" t="n">
        <v>2838.143</v>
      </c>
      <c r="J73" t="n">
        <v>38.1</v>
      </c>
      <c r="K73" t="n">
        <v>0</v>
      </c>
      <c r="L73" t="n">
        <v>2.5</v>
      </c>
      <c r="M73" t="n">
        <v>6.19</v>
      </c>
      <c r="N73" t="inlineStr">
        <is>
          <t>Direct</t>
        </is>
      </c>
      <c r="O73" t="inlineStr">
        <is>
          <t>38.1-0-2.5-ERW 2 MAHS-FC-6.19</t>
        </is>
      </c>
    </row>
    <row r="74">
      <c r="A74" t="inlineStr">
        <is>
          <t>0000943209</t>
        </is>
      </c>
      <c r="B74" t="inlineStr">
        <is>
          <t>MEGH STEELS PRIVATE LIMITED - TVS A</t>
        </is>
      </c>
      <c r="C74" t="inlineStr">
        <is>
          <t>KG</t>
        </is>
      </c>
      <c r="D74" t="n">
        <v>217</v>
      </c>
      <c r="E74" t="n">
        <v>1343.182</v>
      </c>
      <c r="F74" t="n">
        <v>3502007</v>
      </c>
      <c r="G74" t="inlineStr">
        <is>
          <t>056</t>
        </is>
      </c>
      <c r="H74" t="inlineStr">
        <is>
          <t>TUB-O-N-AUT-AH-FC-38.10X2.500X6.1900 HST</t>
        </is>
      </c>
      <c r="I74" t="n">
        <v>2838.143</v>
      </c>
      <c r="J74" t="n">
        <v>38.1</v>
      </c>
      <c r="K74" t="n">
        <v>0</v>
      </c>
      <c r="L74" t="n">
        <v>2.5</v>
      </c>
      <c r="M74" t="n">
        <v>6.19</v>
      </c>
      <c r="N74" t="inlineStr">
        <is>
          <t>Direct</t>
        </is>
      </c>
      <c r="O74" t="inlineStr">
        <is>
          <t>38.1-0-2.5-ERW 2 MAHS-FC-6.19</t>
        </is>
      </c>
    </row>
    <row r="75">
      <c r="A75" t="inlineStr">
        <is>
          <t>0000943209</t>
        </is>
      </c>
      <c r="B75" t="inlineStr">
        <is>
          <t>MEGH STEELS PRIVATE LIMITED - TVS A</t>
        </is>
      </c>
      <c r="C75" t="inlineStr">
        <is>
          <t>KG</t>
        </is>
      </c>
      <c r="D75" t="n">
        <v>217</v>
      </c>
      <c r="E75" t="n">
        <v>1343.182</v>
      </c>
      <c r="F75" t="n">
        <v>3502007</v>
      </c>
      <c r="G75" t="inlineStr">
        <is>
          <t>056</t>
        </is>
      </c>
      <c r="H75" t="inlineStr">
        <is>
          <t>TUB-O-N-AUT-AH-FC-38.10X2.500X6.1900 HST</t>
        </is>
      </c>
      <c r="I75" t="n">
        <v>2838.143</v>
      </c>
      <c r="J75" t="n">
        <v>38.1</v>
      </c>
      <c r="K75" t="n">
        <v>0</v>
      </c>
      <c r="L75" t="n">
        <v>2.5</v>
      </c>
      <c r="M75" t="n">
        <v>6.19</v>
      </c>
      <c r="N75" t="inlineStr">
        <is>
          <t>Direct</t>
        </is>
      </c>
      <c r="O75" t="inlineStr">
        <is>
          <t>38.1-0-2.5-ERW 2 MAHS-FC-6.19</t>
        </is>
      </c>
    </row>
    <row r="76">
      <c r="A76" t="inlineStr">
        <is>
          <t>0000943209</t>
        </is>
      </c>
      <c r="B76" t="inlineStr">
        <is>
          <t>MEGH STEELS PRIVATE LIMITED - TVS A</t>
        </is>
      </c>
      <c r="C76" t="inlineStr">
        <is>
          <t>KG</t>
        </is>
      </c>
      <c r="D76" t="n">
        <v>217</v>
      </c>
      <c r="E76" t="n">
        <v>1343.182</v>
      </c>
      <c r="F76" t="n">
        <v>3502007</v>
      </c>
      <c r="G76" t="inlineStr">
        <is>
          <t>056</t>
        </is>
      </c>
      <c r="H76" t="inlineStr">
        <is>
          <t>TUB-O-N-AUT-AH-FC-38.10X2.500X6.1900 HST</t>
        </is>
      </c>
      <c r="I76" t="n">
        <v>2838.143</v>
      </c>
      <c r="J76" t="n">
        <v>38.1</v>
      </c>
      <c r="K76" t="n">
        <v>0</v>
      </c>
      <c r="L76" t="n">
        <v>2.5</v>
      </c>
      <c r="M76" t="n">
        <v>6.19</v>
      </c>
      <c r="N76" t="inlineStr">
        <is>
          <t>Direct</t>
        </is>
      </c>
      <c r="O76" t="inlineStr">
        <is>
          <t>38.1-0-2.5-ERW 2 MAHS-FC-6.19</t>
        </is>
      </c>
    </row>
    <row r="77">
      <c r="A77" t="inlineStr">
        <is>
          <t>0000943209</t>
        </is>
      </c>
      <c r="B77" t="inlineStr">
        <is>
          <t>MEGH STEELS PRIVATE LIMITED - TVS A</t>
        </is>
      </c>
      <c r="C77" t="inlineStr">
        <is>
          <t>KG</t>
        </is>
      </c>
      <c r="D77" t="n">
        <v>217</v>
      </c>
      <c r="E77" t="n">
        <v>1343.182</v>
      </c>
      <c r="F77" t="n">
        <v>3502007</v>
      </c>
      <c r="G77" t="inlineStr">
        <is>
          <t>056</t>
        </is>
      </c>
      <c r="H77" t="inlineStr">
        <is>
          <t>TUB-O-N-AUT-AH-FC-38.10X2.500X6.1900 HST</t>
        </is>
      </c>
      <c r="I77" t="n">
        <v>2838.143</v>
      </c>
      <c r="J77" t="n">
        <v>38.1</v>
      </c>
      <c r="K77" t="n">
        <v>0</v>
      </c>
      <c r="L77" t="n">
        <v>2.5</v>
      </c>
      <c r="M77" t="n">
        <v>6.19</v>
      </c>
      <c r="N77" t="inlineStr">
        <is>
          <t>Direct</t>
        </is>
      </c>
      <c r="O77" t="inlineStr">
        <is>
          <t>38.1-0-2.5-ERW 2 MAHS-FC-6.19</t>
        </is>
      </c>
    </row>
    <row r="78">
      <c r="A78" t="inlineStr">
        <is>
          <t>0000943209</t>
        </is>
      </c>
      <c r="B78" t="inlineStr">
        <is>
          <t>MEGH STEELS PRIVATE LIMITED - TVS A</t>
        </is>
      </c>
      <c r="C78" t="inlineStr">
        <is>
          <t>KG</t>
        </is>
      </c>
      <c r="D78" t="n">
        <v>217</v>
      </c>
      <c r="E78" t="n">
        <v>1343.182</v>
      </c>
      <c r="F78" t="n">
        <v>3502007</v>
      </c>
      <c r="G78" t="inlineStr">
        <is>
          <t>056</t>
        </is>
      </c>
      <c r="H78" t="inlineStr">
        <is>
          <t>TUB-O-N-AUT-AH-FC-38.10X2.500X6.1900 HST</t>
        </is>
      </c>
      <c r="I78" t="n">
        <v>2838.143</v>
      </c>
      <c r="J78" t="n">
        <v>38.1</v>
      </c>
      <c r="K78" t="n">
        <v>0</v>
      </c>
      <c r="L78" t="n">
        <v>2.5</v>
      </c>
      <c r="M78" t="n">
        <v>6.19</v>
      </c>
      <c r="N78" t="inlineStr">
        <is>
          <t>Direct</t>
        </is>
      </c>
      <c r="O78" t="inlineStr">
        <is>
          <t>38.1-0-2.5-ERW 2 MAHS-FC-6.19</t>
        </is>
      </c>
    </row>
    <row r="79">
      <c r="A79" t="inlineStr">
        <is>
          <t>0000943209</t>
        </is>
      </c>
      <c r="B79" t="inlineStr">
        <is>
          <t>MEGH STEELS PRIVATE LIMITED - TVS A</t>
        </is>
      </c>
      <c r="C79" t="inlineStr">
        <is>
          <t>KG</t>
        </is>
      </c>
      <c r="D79" t="n">
        <v>217</v>
      </c>
      <c r="E79" t="n">
        <v>1343.182</v>
      </c>
      <c r="F79" t="n">
        <v>3502007</v>
      </c>
      <c r="G79" t="inlineStr">
        <is>
          <t>056</t>
        </is>
      </c>
      <c r="H79" t="inlineStr">
        <is>
          <t>TUB-O-N-AUT-AH-FC-38.10X2.500X6.1900 HST</t>
        </is>
      </c>
      <c r="I79" t="n">
        <v>2838.143</v>
      </c>
      <c r="J79" t="n">
        <v>38.1</v>
      </c>
      <c r="K79" t="n">
        <v>0</v>
      </c>
      <c r="L79" t="n">
        <v>2.5</v>
      </c>
      <c r="M79" t="n">
        <v>6.19</v>
      </c>
      <c r="N79" t="inlineStr">
        <is>
          <t>Direct</t>
        </is>
      </c>
      <c r="O79" t="inlineStr">
        <is>
          <t>38.1-0-2.5-ERW 2 MAHS-FC-6.19</t>
        </is>
      </c>
    </row>
    <row r="80">
      <c r="A80" t="inlineStr">
        <is>
          <t>0000943209</t>
        </is>
      </c>
      <c r="B80" t="inlineStr">
        <is>
          <t>MEGH STEELS PRIVATE LIMITED - TVS A</t>
        </is>
      </c>
      <c r="C80" t="inlineStr">
        <is>
          <t>KG</t>
        </is>
      </c>
      <c r="D80" t="n">
        <v>217</v>
      </c>
      <c r="E80" t="n">
        <v>1343.182</v>
      </c>
      <c r="F80" t="n">
        <v>3502007</v>
      </c>
      <c r="G80" t="inlineStr">
        <is>
          <t>056</t>
        </is>
      </c>
      <c r="H80" t="inlineStr">
        <is>
          <t>TUB-O-N-AUT-AH-FC-38.10X2.500X6.1900 HST</t>
        </is>
      </c>
      <c r="I80" t="n">
        <v>2838.143</v>
      </c>
      <c r="J80" t="n">
        <v>38.1</v>
      </c>
      <c r="K80" t="n">
        <v>0</v>
      </c>
      <c r="L80" t="n">
        <v>2.5</v>
      </c>
      <c r="M80" t="n">
        <v>6.19</v>
      </c>
      <c r="N80" t="inlineStr">
        <is>
          <t>Direct</t>
        </is>
      </c>
      <c r="O80" t="inlineStr">
        <is>
          <t>38.1-0-2.5-ERW 2 MAHS-FC-6.19</t>
        </is>
      </c>
    </row>
    <row r="81">
      <c r="A81" t="inlineStr">
        <is>
          <t>0000943209</t>
        </is>
      </c>
      <c r="B81" t="inlineStr">
        <is>
          <t>MEGH STEELS PRIVATE LIMITED - TVS A</t>
        </is>
      </c>
      <c r="C81" t="inlineStr">
        <is>
          <t>KG</t>
        </is>
      </c>
      <c r="D81" t="n">
        <v>217</v>
      </c>
      <c r="E81" t="n">
        <v>1343.182</v>
      </c>
      <c r="F81" t="n">
        <v>3502007</v>
      </c>
      <c r="G81" t="inlineStr">
        <is>
          <t>056</t>
        </is>
      </c>
      <c r="H81" t="inlineStr">
        <is>
          <t>TUB-O-N-AUT-AH-FC-38.10X2.500X6.1900 HST</t>
        </is>
      </c>
      <c r="I81" t="n">
        <v>2838.143</v>
      </c>
      <c r="J81" t="n">
        <v>38.1</v>
      </c>
      <c r="K81" t="n">
        <v>0</v>
      </c>
      <c r="L81" t="n">
        <v>2.5</v>
      </c>
      <c r="M81" t="n">
        <v>6.19</v>
      </c>
      <c r="N81" t="inlineStr">
        <is>
          <t>Direct</t>
        </is>
      </c>
      <c r="O81" t="inlineStr">
        <is>
          <t>38.1-0-2.5-ERW 2 MAHS-FC-6.19</t>
        </is>
      </c>
    </row>
    <row r="82">
      <c r="A82" t="inlineStr">
        <is>
          <t>0000943209</t>
        </is>
      </c>
      <c r="B82" t="inlineStr">
        <is>
          <t>MEGH STEELS PRIVATE LIMITED - TVS A</t>
        </is>
      </c>
      <c r="C82" t="inlineStr">
        <is>
          <t>KG</t>
        </is>
      </c>
      <c r="D82" t="n">
        <v>217</v>
      </c>
      <c r="E82" t="n">
        <v>1343.182</v>
      </c>
      <c r="F82" t="n">
        <v>3502007</v>
      </c>
      <c r="G82" t="inlineStr">
        <is>
          <t>056</t>
        </is>
      </c>
      <c r="H82" t="inlineStr">
        <is>
          <t>TUB-O-N-AUT-AH-FC-38.10X2.500X6.1900 HST</t>
        </is>
      </c>
      <c r="I82" t="n">
        <v>2838.143</v>
      </c>
      <c r="J82" t="n">
        <v>38.1</v>
      </c>
      <c r="K82" t="n">
        <v>0</v>
      </c>
      <c r="L82" t="n">
        <v>2.5</v>
      </c>
      <c r="M82" t="n">
        <v>6.19</v>
      </c>
      <c r="N82" t="inlineStr">
        <is>
          <t>Direct</t>
        </is>
      </c>
      <c r="O82" t="inlineStr">
        <is>
          <t>38.1-0-2.5-ERW 2 MAHS-FC-6.19</t>
        </is>
      </c>
    </row>
    <row r="83">
      <c r="A83" t="inlineStr">
        <is>
          <t>0000943209</t>
        </is>
      </c>
      <c r="B83" t="inlineStr">
        <is>
          <t>MEGH STEELS PRIVATE LIMITED - TVS A</t>
        </is>
      </c>
      <c r="C83" t="inlineStr">
        <is>
          <t>KG</t>
        </is>
      </c>
      <c r="D83" t="n">
        <v>217</v>
      </c>
      <c r="E83" t="n">
        <v>1343.182</v>
      </c>
      <c r="F83" t="n">
        <v>3502007</v>
      </c>
      <c r="G83" t="inlineStr">
        <is>
          <t>056</t>
        </is>
      </c>
      <c r="H83" t="inlineStr">
        <is>
          <t>TUB-O-N-AUT-AH-FC-38.10X2.500X6.1900 HST</t>
        </is>
      </c>
      <c r="I83" t="n">
        <v>2838.143</v>
      </c>
      <c r="J83" t="n">
        <v>38.1</v>
      </c>
      <c r="K83" t="n">
        <v>0</v>
      </c>
      <c r="L83" t="n">
        <v>2.5</v>
      </c>
      <c r="M83" t="n">
        <v>6.19</v>
      </c>
      <c r="N83" t="inlineStr">
        <is>
          <t>Direct</t>
        </is>
      </c>
      <c r="O83" t="inlineStr">
        <is>
          <t>38.1-0-2.5-ERW 2 MAHS-FC-6.19</t>
        </is>
      </c>
    </row>
    <row r="84">
      <c r="A84" t="inlineStr">
        <is>
          <t>0000943209</t>
        </is>
      </c>
      <c r="B84" t="inlineStr">
        <is>
          <t>MEGH STEELS PRIVATE LIMITED - TVS A</t>
        </is>
      </c>
      <c r="C84" t="inlineStr">
        <is>
          <t>KG</t>
        </is>
      </c>
      <c r="D84" t="n">
        <v>217</v>
      </c>
      <c r="E84" t="n">
        <v>1343.182</v>
      </c>
      <c r="F84" t="n">
        <v>3502007</v>
      </c>
      <c r="G84" t="inlineStr">
        <is>
          <t>056</t>
        </is>
      </c>
      <c r="H84" t="inlineStr">
        <is>
          <t>TUB-O-N-AUT-AH-FC-38.10X2.500X6.1900 HST</t>
        </is>
      </c>
      <c r="I84" t="n">
        <v>2838.143</v>
      </c>
      <c r="J84" t="n">
        <v>38.1</v>
      </c>
      <c r="K84" t="n">
        <v>0</v>
      </c>
      <c r="L84" t="n">
        <v>2.5</v>
      </c>
      <c r="M84" t="n">
        <v>6.19</v>
      </c>
      <c r="N84" t="inlineStr">
        <is>
          <t>Direct</t>
        </is>
      </c>
      <c r="O84" t="inlineStr">
        <is>
          <t>38.1-0-2.5-ERW 2 MAHS-FC-6.19</t>
        </is>
      </c>
    </row>
    <row r="85">
      <c r="A85" t="inlineStr">
        <is>
          <t>0000943209</t>
        </is>
      </c>
      <c r="B85" t="inlineStr">
        <is>
          <t>MEGH STEELS PRIVATE LIMITED - TVS A</t>
        </is>
      </c>
      <c r="C85" t="inlineStr">
        <is>
          <t>KG</t>
        </is>
      </c>
      <c r="D85" t="n">
        <v>217</v>
      </c>
      <c r="E85" t="n">
        <v>1343.182</v>
      </c>
      <c r="F85" t="n">
        <v>3502007</v>
      </c>
      <c r="G85" t="inlineStr">
        <is>
          <t>056</t>
        </is>
      </c>
      <c r="H85" t="inlineStr">
        <is>
          <t>TUB-O-N-AUT-AH-FC-38.10X2.500X6.1900 HST</t>
        </is>
      </c>
      <c r="I85" t="n">
        <v>2838.143</v>
      </c>
      <c r="J85" t="n">
        <v>38.1</v>
      </c>
      <c r="K85" t="n">
        <v>0</v>
      </c>
      <c r="L85" t="n">
        <v>2.5</v>
      </c>
      <c r="M85" t="n">
        <v>6.19</v>
      </c>
      <c r="N85" t="inlineStr">
        <is>
          <t>Direct</t>
        </is>
      </c>
      <c r="O85" t="inlineStr">
        <is>
          <t>38.1-0-2.5-ERW 2 MAHS-FC-6.19</t>
        </is>
      </c>
    </row>
    <row r="86">
      <c r="A86" t="inlineStr">
        <is>
          <t>0000943209</t>
        </is>
      </c>
      <c r="B86" t="inlineStr">
        <is>
          <t>MEGH STEELS PRIVATE LIMITED - TVS A</t>
        </is>
      </c>
      <c r="C86" t="inlineStr">
        <is>
          <t>KG</t>
        </is>
      </c>
      <c r="D86" t="n">
        <v>217</v>
      </c>
      <c r="E86" t="n">
        <v>1343.182</v>
      </c>
      <c r="F86" t="n">
        <v>3502007</v>
      </c>
      <c r="G86" t="inlineStr">
        <is>
          <t>056</t>
        </is>
      </c>
      <c r="H86" t="inlineStr">
        <is>
          <t>TUB-O-N-AUT-AH-FC-38.10X2.500X6.1900 HST</t>
        </is>
      </c>
      <c r="I86" t="n">
        <v>2838.143</v>
      </c>
      <c r="J86" t="n">
        <v>38.1</v>
      </c>
      <c r="K86" t="n">
        <v>0</v>
      </c>
      <c r="L86" t="n">
        <v>2.5</v>
      </c>
      <c r="M86" t="n">
        <v>6.19</v>
      </c>
      <c r="N86" t="inlineStr">
        <is>
          <t>Direct</t>
        </is>
      </c>
      <c r="O86" t="inlineStr">
        <is>
          <t>38.1-0-2.5-ERW 2 MAHS-FC-6.19</t>
        </is>
      </c>
    </row>
    <row r="87">
      <c r="A87" t="inlineStr">
        <is>
          <t>0000943209</t>
        </is>
      </c>
      <c r="B87" t="inlineStr">
        <is>
          <t>MEGH STEELS PRIVATE LIMITED - TVS A</t>
        </is>
      </c>
      <c r="C87" t="inlineStr">
        <is>
          <t>KG</t>
        </is>
      </c>
      <c r="D87" t="n">
        <v>217</v>
      </c>
      <c r="E87" t="n">
        <v>1343.182</v>
      </c>
      <c r="F87" t="n">
        <v>3502007</v>
      </c>
      <c r="G87" t="inlineStr">
        <is>
          <t>056</t>
        </is>
      </c>
      <c r="H87" t="inlineStr">
        <is>
          <t>TUB-O-N-AUT-AH-FC-38.10X2.500X6.1900 HST</t>
        </is>
      </c>
      <c r="I87" t="n">
        <v>2838.143</v>
      </c>
      <c r="J87" t="n">
        <v>38.1</v>
      </c>
      <c r="K87" t="n">
        <v>0</v>
      </c>
      <c r="L87" t="n">
        <v>2.5</v>
      </c>
      <c r="M87" t="n">
        <v>6.19</v>
      </c>
      <c r="N87" t="inlineStr">
        <is>
          <t>Direct</t>
        </is>
      </c>
      <c r="O87" t="inlineStr">
        <is>
          <t>38.1-0-2.5-ERW 2 MAHS-FC-6.19</t>
        </is>
      </c>
    </row>
    <row r="88">
      <c r="A88" t="inlineStr">
        <is>
          <t>0000943209</t>
        </is>
      </c>
      <c r="B88" t="inlineStr">
        <is>
          <t>MEGH STEELS PRIVATE LIMITED - TVS A</t>
        </is>
      </c>
      <c r="C88" t="inlineStr">
        <is>
          <t>KG</t>
        </is>
      </c>
      <c r="D88" t="n">
        <v>216</v>
      </c>
      <c r="E88" t="n">
        <v>1336.992</v>
      </c>
      <c r="F88" t="n">
        <v>3502007</v>
      </c>
      <c r="G88" t="inlineStr">
        <is>
          <t>056</t>
        </is>
      </c>
      <c r="H88" t="inlineStr">
        <is>
          <t>TUB-O-N-AUT-AH-FC-38.10X2.500X6.1900 HST</t>
        </is>
      </c>
      <c r="I88" t="n">
        <v>2825.064</v>
      </c>
      <c r="J88" t="n">
        <v>38.1</v>
      </c>
      <c r="K88" t="n">
        <v>0</v>
      </c>
      <c r="L88" t="n">
        <v>2.5</v>
      </c>
      <c r="M88" t="n">
        <v>6.19</v>
      </c>
      <c r="N88" t="inlineStr">
        <is>
          <t>Direct</t>
        </is>
      </c>
      <c r="O88" t="inlineStr">
        <is>
          <t>38.1-0-2.5-ERW 2 MAHS-FC-6.19</t>
        </is>
      </c>
    </row>
    <row r="89">
      <c r="A89" t="inlineStr">
        <is>
          <t>0000943209</t>
        </is>
      </c>
      <c r="B89" t="inlineStr">
        <is>
          <t>MEGH STEELS PRIVATE LIMITED - TVS A</t>
        </is>
      </c>
      <c r="C89" t="inlineStr">
        <is>
          <t>KG</t>
        </is>
      </c>
      <c r="D89" t="n">
        <v>216</v>
      </c>
      <c r="E89" t="n">
        <v>1336.992</v>
      </c>
      <c r="F89" t="n">
        <v>3502007</v>
      </c>
      <c r="G89" t="inlineStr">
        <is>
          <t>056</t>
        </is>
      </c>
      <c r="H89" t="inlineStr">
        <is>
          <t>TUB-O-N-AUT-AH-FC-38.10X2.500X6.1900 HST</t>
        </is>
      </c>
      <c r="I89" t="n">
        <v>2825.064</v>
      </c>
      <c r="J89" t="n">
        <v>38.1</v>
      </c>
      <c r="K89" t="n">
        <v>0</v>
      </c>
      <c r="L89" t="n">
        <v>2.5</v>
      </c>
      <c r="M89" t="n">
        <v>6.19</v>
      </c>
      <c r="N89" t="inlineStr">
        <is>
          <t>Direct</t>
        </is>
      </c>
      <c r="O89" t="inlineStr">
        <is>
          <t>38.1-0-2.5-ERW 2 MAHS-FC-6.19</t>
        </is>
      </c>
    </row>
    <row r="90">
      <c r="A90" t="inlineStr">
        <is>
          <t>0000943209</t>
        </is>
      </c>
      <c r="B90" t="inlineStr">
        <is>
          <t>MEGH STEELS PRIVATE LIMITED - TVS A</t>
        </is>
      </c>
      <c r="C90" t="inlineStr">
        <is>
          <t>KG</t>
        </is>
      </c>
      <c r="D90" t="n">
        <v>219</v>
      </c>
      <c r="E90" t="n">
        <v>1355.561</v>
      </c>
      <c r="F90" t="n">
        <v>3502007</v>
      </c>
      <c r="G90" t="inlineStr">
        <is>
          <t>056</t>
        </is>
      </c>
      <c r="H90" t="inlineStr">
        <is>
          <t>TUB-O-N-AUT-AH-FC-38.10X2.500X6.1900 HST</t>
        </is>
      </c>
      <c r="I90" t="n">
        <v>2864.301</v>
      </c>
      <c r="J90" t="n">
        <v>38.1</v>
      </c>
      <c r="K90" t="n">
        <v>0</v>
      </c>
      <c r="L90" t="n">
        <v>2.5</v>
      </c>
      <c r="M90" t="n">
        <v>6.19</v>
      </c>
      <c r="N90" t="inlineStr">
        <is>
          <t>Direct</t>
        </is>
      </c>
      <c r="O90" t="inlineStr">
        <is>
          <t>38.1-0-2.5-ERW 2 MAHS-FC-6.19</t>
        </is>
      </c>
    </row>
    <row r="91">
      <c r="A91" t="inlineStr">
        <is>
          <t>0000943209</t>
        </is>
      </c>
      <c r="B91" t="inlineStr">
        <is>
          <t>MEGH STEELS PRIVATE LIMITED - TVS A</t>
        </is>
      </c>
      <c r="C91" t="inlineStr">
        <is>
          <t>KG</t>
        </is>
      </c>
      <c r="D91" t="n">
        <v>217</v>
      </c>
      <c r="E91" t="n">
        <v>1343.182</v>
      </c>
      <c r="F91" t="n">
        <v>3502007</v>
      </c>
      <c r="G91" t="inlineStr">
        <is>
          <t>056</t>
        </is>
      </c>
      <c r="H91" t="inlineStr">
        <is>
          <t>TUB-O-N-AUT-AH-FC-38.10X2.500X6.1900 HST</t>
        </is>
      </c>
      <c r="I91" t="n">
        <v>2838.143</v>
      </c>
      <c r="J91" t="n">
        <v>38.1</v>
      </c>
      <c r="K91" t="n">
        <v>0</v>
      </c>
      <c r="L91" t="n">
        <v>2.5</v>
      </c>
      <c r="M91" t="n">
        <v>6.19</v>
      </c>
      <c r="N91" t="inlineStr">
        <is>
          <t>Direct</t>
        </is>
      </c>
      <c r="O91" t="inlineStr">
        <is>
          <t>38.1-0-2.5-ERW 2 MAHS-FC-6.19</t>
        </is>
      </c>
    </row>
    <row r="92">
      <c r="A92" t="inlineStr">
        <is>
          <t>0000943209</t>
        </is>
      </c>
      <c r="B92" t="inlineStr">
        <is>
          <t>MEGH STEELS PRIVATE LIMITED - TVS A</t>
        </is>
      </c>
      <c r="C92" t="inlineStr">
        <is>
          <t>KG</t>
        </is>
      </c>
      <c r="D92" t="n">
        <v>217</v>
      </c>
      <c r="E92" t="n">
        <v>1343.182</v>
      </c>
      <c r="F92" t="n">
        <v>3502007</v>
      </c>
      <c r="G92" t="inlineStr">
        <is>
          <t>056</t>
        </is>
      </c>
      <c r="H92" t="inlineStr">
        <is>
          <t>TUB-O-N-AUT-AH-FC-38.10X2.500X6.1900 HST</t>
        </is>
      </c>
      <c r="I92" t="n">
        <v>2838.143</v>
      </c>
      <c r="J92" t="n">
        <v>38.1</v>
      </c>
      <c r="K92" t="n">
        <v>0</v>
      </c>
      <c r="L92" t="n">
        <v>2.5</v>
      </c>
      <c r="M92" t="n">
        <v>6.19</v>
      </c>
      <c r="N92" t="inlineStr">
        <is>
          <t>Direct</t>
        </is>
      </c>
      <c r="O92" t="inlineStr">
        <is>
          <t>38.1-0-2.5-ERW 2 MAHS-FC-6.19</t>
        </is>
      </c>
    </row>
    <row r="93">
      <c r="A93" t="inlineStr">
        <is>
          <t>0000943209</t>
        </is>
      </c>
      <c r="B93" t="inlineStr">
        <is>
          <t>MEGH STEELS PRIVATE LIMITED - TVS A</t>
        </is>
      </c>
      <c r="C93" t="inlineStr">
        <is>
          <t>KG</t>
        </is>
      </c>
      <c r="D93" t="n">
        <v>217</v>
      </c>
      <c r="E93" t="n">
        <v>1343.182</v>
      </c>
      <c r="F93" t="n">
        <v>3502007</v>
      </c>
      <c r="G93" t="inlineStr">
        <is>
          <t>056</t>
        </is>
      </c>
      <c r="H93" t="inlineStr">
        <is>
          <t>TUB-O-N-AUT-AH-FC-38.10X2.500X6.1900 HST</t>
        </is>
      </c>
      <c r="I93" t="n">
        <v>2838.143</v>
      </c>
      <c r="J93" t="n">
        <v>38.1</v>
      </c>
      <c r="K93" t="n">
        <v>0</v>
      </c>
      <c r="L93" t="n">
        <v>2.5</v>
      </c>
      <c r="M93" t="n">
        <v>6.19</v>
      </c>
      <c r="N93" t="inlineStr">
        <is>
          <t>Direct</t>
        </is>
      </c>
      <c r="O93" t="inlineStr">
        <is>
          <t>38.1-0-2.5-ERW 2 MAHS-FC-6.19</t>
        </is>
      </c>
    </row>
    <row r="94">
      <c r="A94" t="inlineStr">
        <is>
          <t>0000943209</t>
        </is>
      </c>
      <c r="B94" t="inlineStr">
        <is>
          <t>MEGH STEELS PRIVATE LIMITED - TVS A</t>
        </is>
      </c>
      <c r="C94" t="inlineStr">
        <is>
          <t>KG</t>
        </is>
      </c>
      <c r="D94" t="n">
        <v>217</v>
      </c>
      <c r="E94" t="n">
        <v>1343.182</v>
      </c>
      <c r="F94" t="n">
        <v>3502007</v>
      </c>
      <c r="G94" t="inlineStr">
        <is>
          <t>056</t>
        </is>
      </c>
      <c r="H94" t="inlineStr">
        <is>
          <t>TUB-O-N-AUT-AH-FC-38.10X2.500X6.1900 HST</t>
        </is>
      </c>
      <c r="I94" t="n">
        <v>2838.143</v>
      </c>
      <c r="J94" t="n">
        <v>38.1</v>
      </c>
      <c r="K94" t="n">
        <v>0</v>
      </c>
      <c r="L94" t="n">
        <v>2.5</v>
      </c>
      <c r="M94" t="n">
        <v>6.19</v>
      </c>
      <c r="N94" t="inlineStr">
        <is>
          <t>Direct</t>
        </is>
      </c>
      <c r="O94" t="inlineStr">
        <is>
          <t>38.1-0-2.5-ERW 2 MAHS-FC-6.19</t>
        </is>
      </c>
    </row>
    <row r="95">
      <c r="A95" t="inlineStr">
        <is>
          <t>0000943209</t>
        </is>
      </c>
      <c r="B95" t="inlineStr">
        <is>
          <t>MEGH STEELS PRIVATE LIMITED - TVS A</t>
        </is>
      </c>
      <c r="C95" t="inlineStr">
        <is>
          <t>KG</t>
        </is>
      </c>
      <c r="D95" t="n">
        <v>217</v>
      </c>
      <c r="E95" t="n">
        <v>1343.182</v>
      </c>
      <c r="F95" t="n">
        <v>3502007</v>
      </c>
      <c r="G95" t="inlineStr">
        <is>
          <t>056</t>
        </is>
      </c>
      <c r="H95" t="inlineStr">
        <is>
          <t>TUB-O-N-AUT-AH-FC-38.10X2.500X6.1900 HST</t>
        </is>
      </c>
      <c r="I95" t="n">
        <v>2838.143</v>
      </c>
      <c r="J95" t="n">
        <v>38.1</v>
      </c>
      <c r="K95" t="n">
        <v>0</v>
      </c>
      <c r="L95" t="n">
        <v>2.5</v>
      </c>
      <c r="M95" t="n">
        <v>6.19</v>
      </c>
      <c r="N95" t="inlineStr">
        <is>
          <t>Direct</t>
        </is>
      </c>
      <c r="O95" t="inlineStr">
        <is>
          <t>38.1-0-2.5-ERW 2 MAHS-FC-6.19</t>
        </is>
      </c>
    </row>
    <row r="96">
      <c r="A96" t="inlineStr">
        <is>
          <t>0000943209</t>
        </is>
      </c>
      <c r="B96" t="inlineStr">
        <is>
          <t>MEGH STEELS PRIVATE LIMITED - TVS A</t>
        </is>
      </c>
      <c r="C96" t="inlineStr">
        <is>
          <t>KG</t>
        </is>
      </c>
      <c r="D96" t="n">
        <v>217</v>
      </c>
      <c r="E96" t="n">
        <v>1343.182</v>
      </c>
      <c r="F96" t="n">
        <v>3502007</v>
      </c>
      <c r="G96" t="inlineStr">
        <is>
          <t>056</t>
        </is>
      </c>
      <c r="H96" t="inlineStr">
        <is>
          <t>TUB-O-N-AUT-AH-FC-38.10X2.500X6.1900 HST</t>
        </is>
      </c>
      <c r="I96" t="n">
        <v>2838.143</v>
      </c>
      <c r="J96" t="n">
        <v>38.1</v>
      </c>
      <c r="K96" t="n">
        <v>0</v>
      </c>
      <c r="L96" t="n">
        <v>2.5</v>
      </c>
      <c r="M96" t="n">
        <v>6.19</v>
      </c>
      <c r="N96" t="inlineStr">
        <is>
          <t>Direct</t>
        </is>
      </c>
      <c r="O96" t="inlineStr">
        <is>
          <t>38.1-0-2.5-ERW 2 MAHS-FC-6.19</t>
        </is>
      </c>
    </row>
    <row r="97">
      <c r="A97" t="inlineStr">
        <is>
          <t>0000943209</t>
        </is>
      </c>
      <c r="B97" t="inlineStr">
        <is>
          <t>MEGH STEELS PRIVATE LIMITED - TVS A</t>
        </is>
      </c>
      <c r="C97" t="inlineStr">
        <is>
          <t>KG</t>
        </is>
      </c>
      <c r="D97" t="n">
        <v>217</v>
      </c>
      <c r="E97" t="n">
        <v>1343.182</v>
      </c>
      <c r="F97" t="n">
        <v>3502007</v>
      </c>
      <c r="G97" t="inlineStr">
        <is>
          <t>056</t>
        </is>
      </c>
      <c r="H97" t="inlineStr">
        <is>
          <t>TUB-O-N-AUT-AH-FC-38.10X2.500X6.1900 HST</t>
        </is>
      </c>
      <c r="I97" t="n">
        <v>2838.143</v>
      </c>
      <c r="J97" t="n">
        <v>38.1</v>
      </c>
      <c r="K97" t="n">
        <v>0</v>
      </c>
      <c r="L97" t="n">
        <v>2.5</v>
      </c>
      <c r="M97" t="n">
        <v>6.19</v>
      </c>
      <c r="N97" t="inlineStr">
        <is>
          <t>Direct</t>
        </is>
      </c>
      <c r="O97" t="inlineStr">
        <is>
          <t>38.1-0-2.5-ERW 2 MAHS-FC-6.19</t>
        </is>
      </c>
    </row>
    <row r="98">
      <c r="A98" t="inlineStr">
        <is>
          <t>0000943209</t>
        </is>
      </c>
      <c r="B98" t="inlineStr">
        <is>
          <t>MEGH STEELS PRIVATE LIMITED - TVS A</t>
        </is>
      </c>
      <c r="C98" t="inlineStr">
        <is>
          <t>KG</t>
        </is>
      </c>
      <c r="D98" t="n">
        <v>216</v>
      </c>
      <c r="E98" t="n">
        <v>1336.992</v>
      </c>
      <c r="F98" t="n">
        <v>3502007</v>
      </c>
      <c r="G98" t="inlineStr">
        <is>
          <t>056</t>
        </is>
      </c>
      <c r="H98" t="inlineStr">
        <is>
          <t>TUB-O-N-AUT-AH-FC-38.10X2.500X6.1900 HST</t>
        </is>
      </c>
      <c r="I98" t="n">
        <v>2825.064</v>
      </c>
      <c r="J98" t="n">
        <v>38.1</v>
      </c>
      <c r="K98" t="n">
        <v>0</v>
      </c>
      <c r="L98" t="n">
        <v>2.5</v>
      </c>
      <c r="M98" t="n">
        <v>6.19</v>
      </c>
      <c r="N98" t="inlineStr">
        <is>
          <t>Direct</t>
        </is>
      </c>
      <c r="O98" t="inlineStr">
        <is>
          <t>38.1-0-2.5-ERW 2 MAHS-FC-6.19</t>
        </is>
      </c>
    </row>
    <row r="99">
      <c r="A99" t="inlineStr">
        <is>
          <t>0000943209</t>
        </is>
      </c>
      <c r="B99" t="inlineStr">
        <is>
          <t>MEGH STEELS PRIVATE LIMITED - TVS A</t>
        </is>
      </c>
      <c r="C99" t="inlineStr">
        <is>
          <t>KG</t>
        </is>
      </c>
      <c r="D99" t="n">
        <v>221</v>
      </c>
      <c r="E99" t="n">
        <v>1367.941</v>
      </c>
      <c r="F99" t="n">
        <v>3502007</v>
      </c>
      <c r="G99" t="inlineStr">
        <is>
          <t>056</t>
        </is>
      </c>
      <c r="H99" t="inlineStr">
        <is>
          <t>TUB-O-N-AUT-AH-FC-38.10X2.500X6.1900 HST</t>
        </is>
      </c>
      <c r="I99" t="n">
        <v>2890.459</v>
      </c>
      <c r="J99" t="n">
        <v>38.1</v>
      </c>
      <c r="K99" t="n">
        <v>0</v>
      </c>
      <c r="L99" t="n">
        <v>2.5</v>
      </c>
      <c r="M99" t="n">
        <v>6.19</v>
      </c>
      <c r="N99" t="inlineStr">
        <is>
          <t>Direct</t>
        </is>
      </c>
      <c r="O99" t="inlineStr">
        <is>
          <t>38.1-0-2.5-ERW 2 MAHS-FC-6.19</t>
        </is>
      </c>
    </row>
    <row r="100">
      <c r="A100" t="inlineStr">
        <is>
          <t>0000943209</t>
        </is>
      </c>
      <c r="B100" t="inlineStr">
        <is>
          <t>MEGH STEELS PRIVATE LIMITED - TVS A</t>
        </is>
      </c>
      <c r="C100" t="inlineStr">
        <is>
          <t>KG</t>
        </is>
      </c>
      <c r="D100" t="n">
        <v>127</v>
      </c>
      <c r="E100" t="n">
        <v>755.651</v>
      </c>
      <c r="F100" t="n">
        <v>4045220</v>
      </c>
      <c r="G100" t="inlineStr">
        <is>
          <t>056</t>
        </is>
      </c>
      <c r="H100" t="inlineStr">
        <is>
          <t>TUB-O-N-AUT-AW-FC-57.15X2.500X5.9500</t>
        </is>
      </c>
      <c r="I100" t="n">
        <v>2448.687</v>
      </c>
      <c r="J100" t="n">
        <v>57.15</v>
      </c>
      <c r="K100" t="n">
        <v>0</v>
      </c>
      <c r="L100" t="n">
        <v>2.5</v>
      </c>
      <c r="M100" t="n">
        <v>5.95</v>
      </c>
      <c r="N100" t="inlineStr">
        <is>
          <t>Direct</t>
        </is>
      </c>
      <c r="O100" t="inlineStr">
        <is>
          <t>57.15-0-2.5-ERW 1-FC-5.95</t>
        </is>
      </c>
    </row>
    <row r="101">
      <c r="A101" t="inlineStr">
        <is>
          <t>0000943209</t>
        </is>
      </c>
      <c r="B101" t="inlineStr">
        <is>
          <t>MEGH STEELS PRIVATE LIMITED - TVS A</t>
        </is>
      </c>
      <c r="C101" t="inlineStr">
        <is>
          <t>KG</t>
        </is>
      </c>
      <c r="D101" t="n">
        <v>127</v>
      </c>
      <c r="E101" t="n">
        <v>755.651</v>
      </c>
      <c r="F101" t="n">
        <v>4045220</v>
      </c>
      <c r="G101" t="inlineStr">
        <is>
          <t>056</t>
        </is>
      </c>
      <c r="H101" t="inlineStr">
        <is>
          <t>TUB-O-N-AUT-AW-FC-57.15X2.500X5.9500</t>
        </is>
      </c>
      <c r="I101" t="n">
        <v>2448.687</v>
      </c>
      <c r="J101" t="n">
        <v>57.15</v>
      </c>
      <c r="K101" t="n">
        <v>0</v>
      </c>
      <c r="L101" t="n">
        <v>2.5</v>
      </c>
      <c r="M101" t="n">
        <v>5.95</v>
      </c>
      <c r="N101" t="inlineStr">
        <is>
          <t>Direct</t>
        </is>
      </c>
      <c r="O101" t="inlineStr">
        <is>
          <t>57.15-0-2.5-ERW 1-FC-5.95</t>
        </is>
      </c>
    </row>
    <row r="102">
      <c r="A102" t="inlineStr">
        <is>
          <t>0000943210</t>
        </is>
      </c>
      <c r="B102" t="inlineStr">
        <is>
          <t>MEGH STEELS PRIVATE LIMITED - HMSIL</t>
        </is>
      </c>
      <c r="C102" t="inlineStr">
        <is>
          <t>KG</t>
        </is>
      </c>
      <c r="D102" t="n">
        <v>73</v>
      </c>
      <c r="E102" t="n">
        <v>427.786</v>
      </c>
      <c r="F102" t="n">
        <v>3673889</v>
      </c>
      <c r="G102" t="inlineStr">
        <is>
          <t>056</t>
        </is>
      </c>
      <c r="H102" t="inlineStr">
        <is>
          <t>TUB-O-N-AUT-AW-FC-41.28X3.150X5.8600</t>
        </is>
      </c>
      <c r="I102" t="n">
        <v>1248.665</v>
      </c>
      <c r="J102" t="n">
        <v>41.28</v>
      </c>
      <c r="K102" t="n">
        <v>0</v>
      </c>
      <c r="L102" t="n">
        <v>3.15</v>
      </c>
      <c r="M102" t="n">
        <v>5.86</v>
      </c>
      <c r="N102" t="inlineStr">
        <is>
          <t>Direct</t>
        </is>
      </c>
      <c r="O102" t="inlineStr">
        <is>
          <t>41.28-0-3.15-ERW 1-FC-5.86</t>
        </is>
      </c>
    </row>
    <row r="103">
      <c r="A103" t="inlineStr">
        <is>
          <t>0000943210</t>
        </is>
      </c>
      <c r="B103" t="inlineStr">
        <is>
          <t>MEGH STEELS PRIVATE LIMITED - HMSIL</t>
        </is>
      </c>
      <c r="C103" t="inlineStr">
        <is>
          <t>KG</t>
        </is>
      </c>
      <c r="D103" t="n">
        <v>169</v>
      </c>
      <c r="E103" t="n">
        <v>990.354</v>
      </c>
      <c r="F103" t="n">
        <v>3673889</v>
      </c>
      <c r="G103" t="inlineStr">
        <is>
          <t>056</t>
        </is>
      </c>
      <c r="H103" t="inlineStr">
        <is>
          <t>TUB-O-N-AUT-AW-FC-41.28X3.150X5.8600</t>
        </is>
      </c>
      <c r="I103" t="n">
        <v>2890.745</v>
      </c>
      <c r="J103" t="n">
        <v>41.28</v>
      </c>
      <c r="K103" t="n">
        <v>0</v>
      </c>
      <c r="L103" t="n">
        <v>3.15</v>
      </c>
      <c r="M103" t="n">
        <v>5.86</v>
      </c>
      <c r="N103" t="inlineStr">
        <is>
          <t>Direct</t>
        </is>
      </c>
      <c r="O103" t="inlineStr">
        <is>
          <t>41.28-0-3.15-ERW 1-FC-5.86</t>
        </is>
      </c>
    </row>
    <row r="104">
      <c r="A104" t="inlineStr">
        <is>
          <t>0000943210</t>
        </is>
      </c>
      <c r="B104" t="inlineStr">
        <is>
          <t>MEGH STEELS PRIVATE LIMITED - HMSIL</t>
        </is>
      </c>
      <c r="C104" t="inlineStr">
        <is>
          <t>KG</t>
        </is>
      </c>
      <c r="D104" t="n">
        <v>168</v>
      </c>
      <c r="E104" t="n">
        <v>984.494</v>
      </c>
      <c r="F104" t="n">
        <v>3673889</v>
      </c>
      <c r="G104" t="inlineStr">
        <is>
          <t>056</t>
        </is>
      </c>
      <c r="H104" t="inlineStr">
        <is>
          <t>TUB-O-N-AUT-AW-FC-41.28X3.150X5.8600</t>
        </is>
      </c>
      <c r="I104" t="n">
        <v>2873.64</v>
      </c>
      <c r="J104" t="n">
        <v>41.28</v>
      </c>
      <c r="K104" t="n">
        <v>0</v>
      </c>
      <c r="L104" t="n">
        <v>3.15</v>
      </c>
      <c r="M104" t="n">
        <v>5.86</v>
      </c>
      <c r="N104" t="inlineStr">
        <is>
          <t>Direct</t>
        </is>
      </c>
      <c r="O104" t="inlineStr">
        <is>
          <t>41.28-0-3.15-ERW 1-FC-5.86</t>
        </is>
      </c>
    </row>
    <row r="105">
      <c r="A105" t="inlineStr">
        <is>
          <t>0000943209</t>
        </is>
      </c>
      <c r="B105" t="inlineStr">
        <is>
          <t>MEGH STEELS PRIVATE LIMITED - TVS A</t>
        </is>
      </c>
      <c r="C105" t="inlineStr">
        <is>
          <t>KG</t>
        </is>
      </c>
      <c r="D105" t="n">
        <v>419</v>
      </c>
      <c r="E105" t="n">
        <v>2382.013</v>
      </c>
      <c r="F105" t="n">
        <v>4173571</v>
      </c>
      <c r="G105" t="inlineStr">
        <is>
          <t>056</t>
        </is>
      </c>
      <c r="H105" t="inlineStr">
        <is>
          <t>TUB-O-N-AUT-AW-PE-22.20X1.600X5.6850</t>
        </is>
      </c>
      <c r="I105" t="n">
        <v>1869.033</v>
      </c>
      <c r="J105" t="n">
        <v>22.2</v>
      </c>
      <c r="K105" t="n">
        <v>0</v>
      </c>
      <c r="L105" t="n">
        <v>1.6</v>
      </c>
      <c r="M105" t="n">
        <v>5.685</v>
      </c>
      <c r="N105" t="inlineStr">
        <is>
          <t>Direct</t>
        </is>
      </c>
    </row>
    <row r="106">
      <c r="A106" t="inlineStr">
        <is>
          <t>0000943209</t>
        </is>
      </c>
      <c r="B106" t="inlineStr">
        <is>
          <t>MEGH STEELS PRIVATE LIMITED - TVS A</t>
        </is>
      </c>
      <c r="C106" t="inlineStr">
        <is>
          <t>KG</t>
        </is>
      </c>
      <c r="D106" t="n">
        <v>420</v>
      </c>
      <c r="E106" t="n">
        <v>2387.698</v>
      </c>
      <c r="F106" t="n">
        <v>4173571</v>
      </c>
      <c r="G106" t="inlineStr">
        <is>
          <t>056</t>
        </is>
      </c>
      <c r="H106" t="inlineStr">
        <is>
          <t>TUB-O-N-AUT-AW-PE-22.20X1.600X5.6850</t>
        </is>
      </c>
      <c r="I106" t="n">
        <v>1873.494</v>
      </c>
      <c r="J106" t="n">
        <v>22.2</v>
      </c>
      <c r="K106" t="n">
        <v>0</v>
      </c>
      <c r="L106" t="n">
        <v>1.6</v>
      </c>
      <c r="M106" t="n">
        <v>5.685</v>
      </c>
      <c r="N106" t="inlineStr">
        <is>
          <t>Direct</t>
        </is>
      </c>
    </row>
    <row r="107">
      <c r="A107" t="inlineStr">
        <is>
          <t>0000943209</t>
        </is>
      </c>
      <c r="B107" t="inlineStr">
        <is>
          <t>MEGH STEELS PRIVATE LIMITED - TVS A</t>
        </is>
      </c>
      <c r="C107" t="inlineStr">
        <is>
          <t>KG</t>
        </is>
      </c>
      <c r="D107" t="n">
        <v>419</v>
      </c>
      <c r="E107" t="n">
        <v>2382.014</v>
      </c>
      <c r="F107" t="n">
        <v>4173571</v>
      </c>
      <c r="G107" t="inlineStr">
        <is>
          <t>056</t>
        </is>
      </c>
      <c r="H107" t="inlineStr">
        <is>
          <t>TUB-O-N-AUT-AW-PE-22.20X1.600X5.6850</t>
        </is>
      </c>
      <c r="I107" t="n">
        <v>1869.034</v>
      </c>
      <c r="J107" t="n">
        <v>22.2</v>
      </c>
      <c r="K107" t="n">
        <v>0</v>
      </c>
      <c r="L107" t="n">
        <v>1.6</v>
      </c>
      <c r="M107" t="n">
        <v>5.685</v>
      </c>
      <c r="N107" t="inlineStr">
        <is>
          <t>Direct</t>
        </is>
      </c>
    </row>
    <row r="108">
      <c r="A108" t="inlineStr">
        <is>
          <t>0000943209</t>
        </is>
      </c>
      <c r="B108" t="inlineStr">
        <is>
          <t>MEGH STEELS PRIVATE LIMITED - TVS A</t>
        </is>
      </c>
      <c r="C108" t="inlineStr">
        <is>
          <t>KG</t>
        </is>
      </c>
      <c r="D108" t="n">
        <v>420</v>
      </c>
      <c r="E108" t="n">
        <v>2387.698</v>
      </c>
      <c r="F108" t="n">
        <v>4173571</v>
      </c>
      <c r="G108" t="inlineStr">
        <is>
          <t>056</t>
        </is>
      </c>
      <c r="H108" t="inlineStr">
        <is>
          <t>TUB-O-N-AUT-AW-PE-22.20X1.600X5.6850</t>
        </is>
      </c>
      <c r="I108" t="n">
        <v>1873.494</v>
      </c>
      <c r="J108" t="n">
        <v>22.2</v>
      </c>
      <c r="K108" t="n">
        <v>0</v>
      </c>
      <c r="L108" t="n">
        <v>1.6</v>
      </c>
      <c r="M108" t="n">
        <v>5.685</v>
      </c>
      <c r="N108" t="inlineStr">
        <is>
          <t>Direct</t>
        </is>
      </c>
    </row>
    <row r="109">
      <c r="A109" t="inlineStr">
        <is>
          <t>0000943209</t>
        </is>
      </c>
      <c r="B109" t="inlineStr">
        <is>
          <t>MEGH STEELS PRIVATE LIMITED - TVS A</t>
        </is>
      </c>
      <c r="C109" t="inlineStr">
        <is>
          <t>KG</t>
        </is>
      </c>
      <c r="D109" t="n">
        <v>419</v>
      </c>
      <c r="E109" t="n">
        <v>2382.013</v>
      </c>
      <c r="F109" t="n">
        <v>4173571</v>
      </c>
      <c r="G109" t="inlineStr">
        <is>
          <t>056</t>
        </is>
      </c>
      <c r="H109" t="inlineStr">
        <is>
          <t>TUB-O-N-AUT-AW-PE-22.20X1.600X5.6850</t>
        </is>
      </c>
      <c r="I109" t="n">
        <v>1869.033</v>
      </c>
      <c r="J109" t="n">
        <v>22.2</v>
      </c>
      <c r="K109" t="n">
        <v>0</v>
      </c>
      <c r="L109" t="n">
        <v>1.6</v>
      </c>
      <c r="M109" t="n">
        <v>5.685</v>
      </c>
      <c r="N109" t="inlineStr">
        <is>
          <t>Direct</t>
        </is>
      </c>
    </row>
    <row r="110">
      <c r="A110" t="inlineStr">
        <is>
          <t>0000943209</t>
        </is>
      </c>
      <c r="B110" t="inlineStr">
        <is>
          <t>MEGH STEELS PRIVATE LIMITED - TVS A</t>
        </is>
      </c>
      <c r="C110" t="inlineStr">
        <is>
          <t>KG</t>
        </is>
      </c>
      <c r="D110" t="n">
        <v>419</v>
      </c>
      <c r="E110" t="n">
        <v>2382.013</v>
      </c>
      <c r="F110" t="n">
        <v>4173571</v>
      </c>
      <c r="G110" t="inlineStr">
        <is>
          <t>056</t>
        </is>
      </c>
      <c r="H110" t="inlineStr">
        <is>
          <t>TUB-O-N-AUT-AW-PE-22.20X1.600X5.6850</t>
        </is>
      </c>
      <c r="I110" t="n">
        <v>1869.033</v>
      </c>
      <c r="J110" t="n">
        <v>22.2</v>
      </c>
      <c r="K110" t="n">
        <v>0</v>
      </c>
      <c r="L110" t="n">
        <v>1.6</v>
      </c>
      <c r="M110" t="n">
        <v>5.685</v>
      </c>
      <c r="N110" t="inlineStr">
        <is>
          <t>Direct</t>
        </is>
      </c>
    </row>
    <row r="111">
      <c r="A111" t="inlineStr">
        <is>
          <t>0000943209</t>
        </is>
      </c>
      <c r="B111" t="inlineStr">
        <is>
          <t>MEGH STEELS PRIVATE LIMITED - TVS A</t>
        </is>
      </c>
      <c r="C111" t="inlineStr">
        <is>
          <t>KG</t>
        </is>
      </c>
      <c r="D111" t="n">
        <v>419</v>
      </c>
      <c r="E111" t="n">
        <v>2459.552</v>
      </c>
      <c r="F111" t="n">
        <v>3882110</v>
      </c>
      <c r="G111" t="inlineStr">
        <is>
          <t>056</t>
        </is>
      </c>
      <c r="H111" t="inlineStr">
        <is>
          <t>TUB-O-N-AUT-AW-PE-22.20X1.200X5.8700</t>
        </is>
      </c>
      <c r="I111" t="n">
        <v>1444.167</v>
      </c>
      <c r="J111" t="n">
        <v>22.2</v>
      </c>
      <c r="K111" t="n">
        <v>0</v>
      </c>
      <c r="L111" t="n">
        <v>1.2</v>
      </c>
      <c r="M111" t="n">
        <v>5.87</v>
      </c>
      <c r="N111" t="inlineStr">
        <is>
          <t>Direct</t>
        </is>
      </c>
      <c r="O111" t="inlineStr">
        <is>
          <t>22.23-0-1.2-ERW 1-PE-5.87</t>
        </is>
      </c>
    </row>
    <row r="112">
      <c r="A112" t="inlineStr">
        <is>
          <t>0000943209</t>
        </is>
      </c>
      <c r="B112" t="inlineStr">
        <is>
          <t>MEGH STEELS PRIVATE LIMITED - TVS A</t>
        </is>
      </c>
      <c r="C112" t="inlineStr">
        <is>
          <t>KG</t>
        </is>
      </c>
      <c r="D112" t="n">
        <v>419</v>
      </c>
      <c r="E112" t="n">
        <v>2459.552</v>
      </c>
      <c r="F112" t="n">
        <v>3882110</v>
      </c>
      <c r="G112" t="inlineStr">
        <is>
          <t>056</t>
        </is>
      </c>
      <c r="H112" t="inlineStr">
        <is>
          <t>TUB-O-N-AUT-AW-PE-22.20X1.200X5.8700</t>
        </is>
      </c>
      <c r="I112" t="n">
        <v>1444.167</v>
      </c>
      <c r="J112" t="n">
        <v>22.2</v>
      </c>
      <c r="K112" t="n">
        <v>0</v>
      </c>
      <c r="L112" t="n">
        <v>1.2</v>
      </c>
      <c r="M112" t="n">
        <v>5.87</v>
      </c>
      <c r="N112" t="inlineStr">
        <is>
          <t>Direct</t>
        </is>
      </c>
      <c r="O112" t="inlineStr">
        <is>
          <t>22.23-0-1.2-ERW 1-PE-5.87</t>
        </is>
      </c>
    </row>
    <row r="113">
      <c r="A113" t="inlineStr">
        <is>
          <t>0000943209</t>
        </is>
      </c>
      <c r="B113" t="inlineStr">
        <is>
          <t>MEGH STEELS PRIVATE LIMITED - TVS A</t>
        </is>
      </c>
      <c r="C113" t="inlineStr">
        <is>
          <t>KG</t>
        </is>
      </c>
      <c r="D113" t="n">
        <v>419</v>
      </c>
      <c r="E113" t="n">
        <v>2459.552</v>
      </c>
      <c r="F113" t="n">
        <v>3882110</v>
      </c>
      <c r="G113" t="inlineStr">
        <is>
          <t>056</t>
        </is>
      </c>
      <c r="H113" t="inlineStr">
        <is>
          <t>TUB-O-N-AUT-AW-PE-22.20X1.200X5.8700</t>
        </is>
      </c>
      <c r="I113" t="n">
        <v>1444.167</v>
      </c>
      <c r="J113" t="n">
        <v>22.2</v>
      </c>
      <c r="K113" t="n">
        <v>0</v>
      </c>
      <c r="L113" t="n">
        <v>1.2</v>
      </c>
      <c r="M113" t="n">
        <v>5.87</v>
      </c>
      <c r="N113" t="inlineStr">
        <is>
          <t>Direct</t>
        </is>
      </c>
      <c r="O113" t="inlineStr">
        <is>
          <t>22.23-0-1.2-ERW 1-PE-5.87</t>
        </is>
      </c>
    </row>
    <row r="114">
      <c r="A114" t="inlineStr">
        <is>
          <t>0000943209</t>
        </is>
      </c>
      <c r="B114" t="inlineStr">
        <is>
          <t>MEGH STEELS PRIVATE LIMITED - TVS A</t>
        </is>
      </c>
      <c r="C114" t="inlineStr">
        <is>
          <t>KG</t>
        </is>
      </c>
      <c r="D114" t="n">
        <v>420</v>
      </c>
      <c r="E114" t="n">
        <v>2465.423</v>
      </c>
      <c r="F114" t="n">
        <v>3882110</v>
      </c>
      <c r="G114" t="inlineStr">
        <is>
          <t>056</t>
        </is>
      </c>
      <c r="H114" t="inlineStr">
        <is>
          <t>TUB-O-N-AUT-AW-PE-22.20X1.200X5.8700</t>
        </is>
      </c>
      <c r="I114" t="n">
        <v>1447.614</v>
      </c>
      <c r="J114" t="n">
        <v>22.2</v>
      </c>
      <c r="K114" t="n">
        <v>0</v>
      </c>
      <c r="L114" t="n">
        <v>1.2</v>
      </c>
      <c r="M114" t="n">
        <v>5.87</v>
      </c>
      <c r="N114" t="inlineStr">
        <is>
          <t>Direct</t>
        </is>
      </c>
      <c r="O114" t="inlineStr">
        <is>
          <t>22.23-0-1.2-ERW 1-PE-5.87</t>
        </is>
      </c>
    </row>
    <row r="115">
      <c r="A115" t="inlineStr">
        <is>
          <t>0000943209</t>
        </is>
      </c>
      <c r="B115" t="inlineStr">
        <is>
          <t>MEGH STEELS PRIVATE LIMITED - TVS A</t>
        </is>
      </c>
      <c r="C115" t="inlineStr">
        <is>
          <t>KG</t>
        </is>
      </c>
      <c r="D115" t="n">
        <v>411</v>
      </c>
      <c r="E115" t="n">
        <v>2412.593</v>
      </c>
      <c r="F115" t="n">
        <v>3882110</v>
      </c>
      <c r="G115" t="inlineStr">
        <is>
          <t>056</t>
        </is>
      </c>
      <c r="H115" t="inlineStr">
        <is>
          <t>TUB-O-N-AUT-AW-PE-22.20X1.200X5.8700</t>
        </is>
      </c>
      <c r="I115" t="n">
        <v>1416.594</v>
      </c>
      <c r="J115" t="n">
        <v>22.2</v>
      </c>
      <c r="K115" t="n">
        <v>0</v>
      </c>
      <c r="L115" t="n">
        <v>1.2</v>
      </c>
      <c r="M115" t="n">
        <v>5.87</v>
      </c>
      <c r="N115" t="inlineStr">
        <is>
          <t>Direct</t>
        </is>
      </c>
      <c r="O115" t="inlineStr">
        <is>
          <t>22.23-0-1.2-ERW 1-PE-5.87</t>
        </is>
      </c>
    </row>
    <row r="116">
      <c r="A116" t="inlineStr">
        <is>
          <t>0000943209</t>
        </is>
      </c>
      <c r="B116" t="inlineStr">
        <is>
          <t>MEGH STEELS PRIVATE LIMITED - TVS A</t>
        </is>
      </c>
      <c r="C116" t="inlineStr">
        <is>
          <t>KG</t>
        </is>
      </c>
      <c r="D116" t="n">
        <v>418</v>
      </c>
      <c r="E116" t="n">
        <v>2453.683</v>
      </c>
      <c r="F116" t="n">
        <v>3882110</v>
      </c>
      <c r="G116" t="inlineStr">
        <is>
          <t>056</t>
        </is>
      </c>
      <c r="H116" t="inlineStr">
        <is>
          <t>TUB-O-N-AUT-AW-PE-22.20X1.200X5.8700</t>
        </is>
      </c>
      <c r="I116" t="n">
        <v>1440.721</v>
      </c>
      <c r="J116" t="n">
        <v>22.2</v>
      </c>
      <c r="K116" t="n">
        <v>0</v>
      </c>
      <c r="L116" t="n">
        <v>1.2</v>
      </c>
      <c r="M116" t="n">
        <v>5.87</v>
      </c>
      <c r="N116" t="inlineStr">
        <is>
          <t>Direct</t>
        </is>
      </c>
      <c r="O116" t="inlineStr">
        <is>
          <t>22.23-0-1.2-ERW 1-PE-5.87</t>
        </is>
      </c>
    </row>
    <row r="117">
      <c r="A117" t="inlineStr">
        <is>
          <t>0000943209</t>
        </is>
      </c>
      <c r="B117" t="inlineStr">
        <is>
          <t>MEGH STEELS PRIVATE LIMITED - TVS A</t>
        </is>
      </c>
      <c r="C117" t="inlineStr">
        <is>
          <t>KG</t>
        </is>
      </c>
      <c r="D117" t="n">
        <v>558</v>
      </c>
      <c r="E117" t="n">
        <v>3347.944</v>
      </c>
      <c r="F117" t="n">
        <v>3498997</v>
      </c>
      <c r="G117" t="inlineStr">
        <is>
          <t>056</t>
        </is>
      </c>
      <c r="H117" t="inlineStr">
        <is>
          <t>TUB-O-N-AUT-AW-PE-19.05X1.60X6.000-ERW 1</t>
        </is>
      </c>
      <c r="I117" t="n">
        <v>2226.42</v>
      </c>
      <c r="J117" t="n">
        <v>19.05</v>
      </c>
      <c r="K117" t="n">
        <v>0</v>
      </c>
      <c r="L117" t="n">
        <v>1.6</v>
      </c>
      <c r="M117" t="n">
        <v>6</v>
      </c>
      <c r="N117" t="inlineStr">
        <is>
          <t>Direct</t>
        </is>
      </c>
      <c r="O117" t="inlineStr">
        <is>
          <t>19.05-0-1.6-ERW 1-PE-6</t>
        </is>
      </c>
    </row>
    <row r="118">
      <c r="A118" t="inlineStr">
        <is>
          <t>0000943209</t>
        </is>
      </c>
      <c r="B118" t="inlineStr">
        <is>
          <t>MEGH STEELS PRIVATE LIMITED - TVS A</t>
        </is>
      </c>
      <c r="C118" t="inlineStr">
        <is>
          <t>KG</t>
        </is>
      </c>
      <c r="D118" t="n">
        <v>558</v>
      </c>
      <c r="E118" t="n">
        <v>3347.944</v>
      </c>
      <c r="F118" t="n">
        <v>3498997</v>
      </c>
      <c r="G118" t="inlineStr">
        <is>
          <t>056</t>
        </is>
      </c>
      <c r="H118" t="inlineStr">
        <is>
          <t>TUB-O-N-AUT-AW-PE-19.05X1.60X6.000-ERW 1</t>
        </is>
      </c>
      <c r="I118" t="n">
        <v>2226.42</v>
      </c>
      <c r="J118" t="n">
        <v>19.05</v>
      </c>
      <c r="K118" t="n">
        <v>0</v>
      </c>
      <c r="L118" t="n">
        <v>1.6</v>
      </c>
      <c r="M118" t="n">
        <v>6</v>
      </c>
      <c r="N118" t="inlineStr">
        <is>
          <t>Direct</t>
        </is>
      </c>
      <c r="O118" t="inlineStr">
        <is>
          <t>19.05-0-1.6-ERW 1-PE-6</t>
        </is>
      </c>
    </row>
    <row r="119">
      <c r="A119" t="inlineStr">
        <is>
          <t>0000943209</t>
        </is>
      </c>
      <c r="B119" t="inlineStr">
        <is>
          <t>MEGH STEELS PRIVATE LIMITED - TVS A</t>
        </is>
      </c>
      <c r="C119" t="inlineStr">
        <is>
          <t>KG</t>
        </is>
      </c>
      <c r="D119" t="n">
        <v>559</v>
      </c>
      <c r="E119" t="n">
        <v>3353.944</v>
      </c>
      <c r="F119" t="n">
        <v>3498997</v>
      </c>
      <c r="G119" t="inlineStr">
        <is>
          <t>056</t>
        </is>
      </c>
      <c r="H119" t="inlineStr">
        <is>
          <t>TUB-O-N-AUT-AW-PE-19.05X1.60X6.000-ERW 1</t>
        </is>
      </c>
      <c r="I119" t="n">
        <v>2230.41</v>
      </c>
      <c r="J119" t="n">
        <v>19.05</v>
      </c>
      <c r="K119" t="n">
        <v>0</v>
      </c>
      <c r="L119" t="n">
        <v>1.6</v>
      </c>
      <c r="M119" t="n">
        <v>6</v>
      </c>
      <c r="N119" t="inlineStr">
        <is>
          <t>Direct</t>
        </is>
      </c>
      <c r="O119" t="inlineStr">
        <is>
          <t>19.05-0-1.6-ERW 1-PE-6</t>
        </is>
      </c>
    </row>
    <row r="120">
      <c r="A120" t="inlineStr">
        <is>
          <t>0000943209</t>
        </is>
      </c>
      <c r="B120" t="inlineStr">
        <is>
          <t>MEGH STEELS PRIVATE LIMITED - TVS A</t>
        </is>
      </c>
      <c r="C120" t="inlineStr">
        <is>
          <t>KG</t>
        </is>
      </c>
      <c r="D120" t="n">
        <v>559</v>
      </c>
      <c r="E120" t="n">
        <v>3353.944</v>
      </c>
      <c r="F120" t="n">
        <v>3498997</v>
      </c>
      <c r="G120" t="inlineStr">
        <is>
          <t>056</t>
        </is>
      </c>
      <c r="H120" t="inlineStr">
        <is>
          <t>TUB-O-N-AUT-AW-PE-19.05X1.60X6.000-ERW 1</t>
        </is>
      </c>
      <c r="I120" t="n">
        <v>2230.41</v>
      </c>
      <c r="J120" t="n">
        <v>19.05</v>
      </c>
      <c r="K120" t="n">
        <v>0</v>
      </c>
      <c r="L120" t="n">
        <v>1.6</v>
      </c>
      <c r="M120" t="n">
        <v>6</v>
      </c>
      <c r="N120" t="inlineStr">
        <is>
          <t>Direct</t>
        </is>
      </c>
      <c r="O120" t="inlineStr">
        <is>
          <t>19.05-0-1.6-ERW 1-PE-6</t>
        </is>
      </c>
    </row>
    <row r="121">
      <c r="A121" t="inlineStr">
        <is>
          <t>0000943209</t>
        </is>
      </c>
      <c r="B121" t="inlineStr">
        <is>
          <t>MEGH STEELS PRIVATE LIMITED - TVS A</t>
        </is>
      </c>
      <c r="C121" t="inlineStr">
        <is>
          <t>KG</t>
        </is>
      </c>
      <c r="D121" t="n">
        <v>423</v>
      </c>
      <c r="E121" t="n">
        <v>2398.392</v>
      </c>
      <c r="F121" t="n">
        <v>3954021</v>
      </c>
      <c r="G121" t="inlineStr">
        <is>
          <t>056</t>
        </is>
      </c>
      <c r="H121" t="inlineStr">
        <is>
          <t>TUB-O-N-AUT-AW-PE-22.20X1.600X5.6700</t>
        </is>
      </c>
      <c r="I121" t="n">
        <v>1881.885</v>
      </c>
      <c r="J121" t="n">
        <v>22.2</v>
      </c>
      <c r="K121" t="n">
        <v>0</v>
      </c>
      <c r="L121" t="n">
        <v>1.6</v>
      </c>
      <c r="M121" t="n">
        <v>5.67</v>
      </c>
      <c r="N121" t="inlineStr">
        <is>
          <t>Direct</t>
        </is>
      </c>
      <c r="O121" t="inlineStr">
        <is>
          <t>22.23-0-1.6-ERW 1-PE-5.67</t>
        </is>
      </c>
    </row>
    <row r="122">
      <c r="A122" t="inlineStr">
        <is>
          <t>0000943209</t>
        </is>
      </c>
      <c r="B122" t="inlineStr">
        <is>
          <t>MEGH STEELS PRIVATE LIMITED - TVS A</t>
        </is>
      </c>
      <c r="C122" t="inlineStr">
        <is>
          <t>KG</t>
        </is>
      </c>
      <c r="D122" t="n">
        <v>422</v>
      </c>
      <c r="E122" t="n">
        <v>2221.372</v>
      </c>
      <c r="F122" t="n">
        <v>3501116</v>
      </c>
      <c r="G122" t="inlineStr">
        <is>
          <t>056</t>
        </is>
      </c>
      <c r="H122" t="inlineStr">
        <is>
          <t>TUB-O-N-AUT-AW-PE-22.20X1.600X5.2640</t>
        </is>
      </c>
      <c r="I122" t="n">
        <v>1742.987</v>
      </c>
      <c r="J122" t="n">
        <v>22.2</v>
      </c>
      <c r="K122" t="n">
        <v>0</v>
      </c>
      <c r="L122" t="n">
        <v>1.6</v>
      </c>
      <c r="M122" t="n">
        <v>5.264</v>
      </c>
      <c r="N122" t="inlineStr">
        <is>
          <t>Direct</t>
        </is>
      </c>
    </row>
    <row r="123">
      <c r="A123" t="inlineStr">
        <is>
          <t>0000943210</t>
        </is>
      </c>
      <c r="B123" t="inlineStr">
        <is>
          <t>MEGH STEELS PRIVATE LIMITED - HMSIL</t>
        </is>
      </c>
      <c r="C123" t="inlineStr">
        <is>
          <t>KG</t>
        </is>
      </c>
      <c r="D123" t="n">
        <v>135</v>
      </c>
      <c r="E123" t="n">
        <v>762.7670000000001</v>
      </c>
      <c r="F123" t="n">
        <v>3501105</v>
      </c>
      <c r="G123" t="inlineStr">
        <is>
          <t>056</t>
        </is>
      </c>
      <c r="H123" t="inlineStr">
        <is>
          <t>TUB-O-N-AUT-AW-FC-57.15X3.000X5.65-ERW 1</t>
        </is>
      </c>
      <c r="I123" t="n">
        <v>3007.665</v>
      </c>
      <c r="J123" t="n">
        <v>57.15</v>
      </c>
      <c r="K123" t="n">
        <v>0</v>
      </c>
      <c r="L123" t="n">
        <v>3</v>
      </c>
      <c r="M123" t="n">
        <v>5.65</v>
      </c>
      <c r="N123" t="inlineStr">
        <is>
          <t>Direct</t>
        </is>
      </c>
    </row>
    <row r="124">
      <c r="A124" t="inlineStr">
        <is>
          <t>0000943210</t>
        </is>
      </c>
      <c r="B124" t="inlineStr">
        <is>
          <t>MEGH STEELS PRIVATE LIMITED - HMSIL</t>
        </is>
      </c>
      <c r="C124" t="inlineStr">
        <is>
          <t>KG</t>
        </is>
      </c>
      <c r="D124" t="n">
        <v>127</v>
      </c>
      <c r="E124" t="n">
        <v>717.566</v>
      </c>
      <c r="F124" t="n">
        <v>3501105</v>
      </c>
      <c r="G124" t="inlineStr">
        <is>
          <t>056</t>
        </is>
      </c>
      <c r="H124" t="inlineStr">
        <is>
          <t>TUB-O-N-AUT-AW-FC-57.15X3.000X5.65-ERW 1</t>
        </is>
      </c>
      <c r="I124" t="n">
        <v>2829.433</v>
      </c>
      <c r="J124" t="n">
        <v>57.15</v>
      </c>
      <c r="K124" t="n">
        <v>0</v>
      </c>
      <c r="L124" t="n">
        <v>3</v>
      </c>
      <c r="M124" t="n">
        <v>5.65</v>
      </c>
      <c r="N124" t="inlineStr">
        <is>
          <t>Direct</t>
        </is>
      </c>
    </row>
    <row r="125">
      <c r="A125" t="inlineStr">
        <is>
          <t>0000943210</t>
        </is>
      </c>
      <c r="B125" t="inlineStr">
        <is>
          <t>MEGH STEELS PRIVATE LIMITED - HMSIL</t>
        </is>
      </c>
      <c r="C125" t="inlineStr">
        <is>
          <t>KG</t>
        </is>
      </c>
      <c r="D125" t="n">
        <v>127</v>
      </c>
      <c r="E125" t="n">
        <v>717.566</v>
      </c>
      <c r="F125" t="n">
        <v>3501105</v>
      </c>
      <c r="G125" t="inlineStr">
        <is>
          <t>056</t>
        </is>
      </c>
      <c r="H125" t="inlineStr">
        <is>
          <t>TUB-O-N-AUT-AW-FC-57.15X3.000X5.65-ERW 1</t>
        </is>
      </c>
      <c r="I125" t="n">
        <v>2829.433</v>
      </c>
      <c r="J125" t="n">
        <v>57.15</v>
      </c>
      <c r="K125" t="n">
        <v>0</v>
      </c>
      <c r="L125" t="n">
        <v>3</v>
      </c>
      <c r="M125" t="n">
        <v>5.65</v>
      </c>
      <c r="N125" t="inlineStr">
        <is>
          <t>Direct</t>
        </is>
      </c>
    </row>
    <row r="126">
      <c r="A126" t="inlineStr">
        <is>
          <t>0000943210</t>
        </is>
      </c>
      <c r="B126" t="inlineStr">
        <is>
          <t>MEGH STEELS PRIVATE LIMITED - HMSIL</t>
        </is>
      </c>
      <c r="C126" t="inlineStr">
        <is>
          <t>KG</t>
        </is>
      </c>
      <c r="D126" t="n">
        <v>127</v>
      </c>
      <c r="E126" t="n">
        <v>717.566</v>
      </c>
      <c r="F126" t="n">
        <v>3501105</v>
      </c>
      <c r="G126" t="inlineStr">
        <is>
          <t>056</t>
        </is>
      </c>
      <c r="H126" t="inlineStr">
        <is>
          <t>TUB-O-N-AUT-AW-FC-57.15X3.000X5.65-ERW 1</t>
        </is>
      </c>
      <c r="I126" t="n">
        <v>2829.433</v>
      </c>
      <c r="J126" t="n">
        <v>57.15</v>
      </c>
      <c r="K126" t="n">
        <v>0</v>
      </c>
      <c r="L126" t="n">
        <v>3</v>
      </c>
      <c r="M126" t="n">
        <v>5.65</v>
      </c>
      <c r="N126" t="inlineStr">
        <is>
          <t>Direct</t>
        </is>
      </c>
    </row>
    <row r="127">
      <c r="A127" t="inlineStr">
        <is>
          <t>0000943210</t>
        </is>
      </c>
      <c r="B127" t="inlineStr">
        <is>
          <t>MEGH STEELS PRIVATE LIMITED - HMSIL</t>
        </is>
      </c>
      <c r="C127" t="inlineStr">
        <is>
          <t>KG</t>
        </is>
      </c>
      <c r="D127" t="n">
        <v>91</v>
      </c>
      <c r="E127" t="n">
        <v>514.1609999999999</v>
      </c>
      <c r="F127" t="n">
        <v>3501105</v>
      </c>
      <c r="G127" t="inlineStr">
        <is>
          <t>056</t>
        </is>
      </c>
      <c r="H127" t="inlineStr">
        <is>
          <t>TUB-O-N-AUT-AW-FC-57.15X3.000X5.65-ERW 1</t>
        </is>
      </c>
      <c r="I127" t="n">
        <v>2027.389</v>
      </c>
      <c r="J127" t="n">
        <v>57.15</v>
      </c>
      <c r="K127" t="n">
        <v>0</v>
      </c>
      <c r="L127" t="n">
        <v>3</v>
      </c>
      <c r="M127" t="n">
        <v>5.65</v>
      </c>
      <c r="N127" t="inlineStr">
        <is>
          <t>Direct</t>
        </is>
      </c>
    </row>
    <row r="128">
      <c r="A128" t="inlineStr">
        <is>
          <t>0000943210</t>
        </is>
      </c>
      <c r="B128" t="inlineStr">
        <is>
          <t>MEGH STEELS PRIVATE LIMITED - HMSIL</t>
        </is>
      </c>
      <c r="C128" t="inlineStr">
        <is>
          <t>KG</t>
        </is>
      </c>
      <c r="D128" t="n">
        <v>125</v>
      </c>
      <c r="E128" t="n">
        <v>706.265</v>
      </c>
      <c r="F128" t="n">
        <v>3501105</v>
      </c>
      <c r="G128" t="inlineStr">
        <is>
          <t>056</t>
        </is>
      </c>
      <c r="H128" t="inlineStr">
        <is>
          <t>TUB-O-N-AUT-AW-FC-57.15X3.000X5.65-ERW 1</t>
        </is>
      </c>
      <c r="I128" t="n">
        <v>2784.875</v>
      </c>
      <c r="J128" t="n">
        <v>57.15</v>
      </c>
      <c r="K128" t="n">
        <v>0</v>
      </c>
      <c r="L128" t="n">
        <v>3</v>
      </c>
      <c r="M128" t="n">
        <v>5.65</v>
      </c>
      <c r="N128" t="inlineStr">
        <is>
          <t>Direct</t>
        </is>
      </c>
    </row>
    <row r="129">
      <c r="A129" t="inlineStr">
        <is>
          <t>0000943210</t>
        </is>
      </c>
      <c r="B129" t="inlineStr">
        <is>
          <t>MEGH STEELS PRIVATE LIMITED - HMSIL</t>
        </is>
      </c>
      <c r="C129" t="inlineStr">
        <is>
          <t>KG</t>
        </is>
      </c>
      <c r="D129" t="n">
        <v>125</v>
      </c>
      <c r="E129" t="n">
        <v>706.265</v>
      </c>
      <c r="F129" t="n">
        <v>3501105</v>
      </c>
      <c r="G129" t="inlineStr">
        <is>
          <t>056</t>
        </is>
      </c>
      <c r="H129" t="inlineStr">
        <is>
          <t>TUB-O-N-AUT-AW-FC-57.15X3.000X5.65-ERW 1</t>
        </is>
      </c>
      <c r="I129" t="n">
        <v>2784.875</v>
      </c>
      <c r="J129" t="n">
        <v>57.15</v>
      </c>
      <c r="K129" t="n">
        <v>0</v>
      </c>
      <c r="L129" t="n">
        <v>3</v>
      </c>
      <c r="M129" t="n">
        <v>5.65</v>
      </c>
      <c r="N129" t="inlineStr">
        <is>
          <t>Direct</t>
        </is>
      </c>
    </row>
    <row r="130">
      <c r="A130" t="inlineStr">
        <is>
          <t>0000943210</t>
        </is>
      </c>
      <c r="B130" t="inlineStr">
        <is>
          <t>MEGH STEELS PRIVATE LIMITED - HMSIL</t>
        </is>
      </c>
      <c r="C130" t="inlineStr">
        <is>
          <t>KG</t>
        </is>
      </c>
      <c r="D130" t="n">
        <v>127</v>
      </c>
      <c r="E130" t="n">
        <v>717.566</v>
      </c>
      <c r="F130" t="n">
        <v>3501105</v>
      </c>
      <c r="G130" t="inlineStr">
        <is>
          <t>056</t>
        </is>
      </c>
      <c r="H130" t="inlineStr">
        <is>
          <t>TUB-O-N-AUT-AW-FC-57.15X3.000X5.65-ERW 1</t>
        </is>
      </c>
      <c r="I130" t="n">
        <v>2829.433</v>
      </c>
      <c r="J130" t="n">
        <v>57.15</v>
      </c>
      <c r="K130" t="n">
        <v>0</v>
      </c>
      <c r="L130" t="n">
        <v>3</v>
      </c>
      <c r="M130" t="n">
        <v>5.65</v>
      </c>
      <c r="N130" t="inlineStr">
        <is>
          <t>Direct</t>
        </is>
      </c>
    </row>
    <row r="131">
      <c r="A131" t="inlineStr">
        <is>
          <t>0000943210</t>
        </is>
      </c>
      <c r="B131" t="inlineStr">
        <is>
          <t>MEGH STEELS PRIVATE LIMITED - HMSIL</t>
        </is>
      </c>
      <c r="C131" t="inlineStr">
        <is>
          <t>KG</t>
        </is>
      </c>
      <c r="D131" t="n">
        <v>127</v>
      </c>
      <c r="E131" t="n">
        <v>717.566</v>
      </c>
      <c r="F131" t="n">
        <v>3501105</v>
      </c>
      <c r="G131" t="inlineStr">
        <is>
          <t>056</t>
        </is>
      </c>
      <c r="H131" t="inlineStr">
        <is>
          <t>TUB-O-N-AUT-AW-FC-57.15X3.000X5.65-ERW 1</t>
        </is>
      </c>
      <c r="I131" t="n">
        <v>2829.433</v>
      </c>
      <c r="J131" t="n">
        <v>57.15</v>
      </c>
      <c r="K131" t="n">
        <v>0</v>
      </c>
      <c r="L131" t="n">
        <v>3</v>
      </c>
      <c r="M131" t="n">
        <v>5.65</v>
      </c>
      <c r="N131" t="inlineStr">
        <is>
          <t>Direct</t>
        </is>
      </c>
    </row>
    <row r="132">
      <c r="A132" t="inlineStr">
        <is>
          <t>0000943210</t>
        </is>
      </c>
      <c r="B132" t="inlineStr">
        <is>
          <t>MEGH STEELS PRIVATE LIMITED - HMSIL</t>
        </is>
      </c>
      <c r="C132" t="inlineStr">
        <is>
          <t>KG</t>
        </is>
      </c>
      <c r="D132" t="n">
        <v>130</v>
      </c>
      <c r="E132" t="n">
        <v>815.093</v>
      </c>
      <c r="F132" t="n">
        <v>3502301</v>
      </c>
      <c r="G132" t="inlineStr">
        <is>
          <t>056</t>
        </is>
      </c>
      <c r="H132" t="inlineStr">
        <is>
          <t>TUB-O-N-AUT-AW-FC-48.60X2.000X6.270 HST</t>
        </is>
      </c>
      <c r="I132" t="n">
        <v>1828.58</v>
      </c>
      <c r="J132" t="n">
        <v>48.6</v>
      </c>
      <c r="K132" t="n">
        <v>0</v>
      </c>
      <c r="L132" t="n">
        <v>2</v>
      </c>
      <c r="M132" t="n">
        <v>6.27</v>
      </c>
      <c r="N132" t="inlineStr">
        <is>
          <t>Direct</t>
        </is>
      </c>
    </row>
    <row r="133">
      <c r="A133" t="inlineStr">
        <is>
          <t>0000943210</t>
        </is>
      </c>
      <c r="B133" t="inlineStr">
        <is>
          <t>MEGH STEELS PRIVATE LIMITED - HMSIL</t>
        </is>
      </c>
      <c r="C133" t="inlineStr">
        <is>
          <t>KG</t>
        </is>
      </c>
      <c r="D133" t="n">
        <v>127</v>
      </c>
      <c r="E133" t="n">
        <v>796.283</v>
      </c>
      <c r="F133" t="n">
        <v>3502301</v>
      </c>
      <c r="G133" t="inlineStr">
        <is>
          <t>056</t>
        </is>
      </c>
      <c r="H133" t="inlineStr">
        <is>
          <t>TUB-O-N-AUT-AW-FC-48.60X2.000X6.270 HST</t>
        </is>
      </c>
      <c r="I133" t="n">
        <v>1786.382</v>
      </c>
      <c r="J133" t="n">
        <v>48.6</v>
      </c>
      <c r="K133" t="n">
        <v>0</v>
      </c>
      <c r="L133" t="n">
        <v>2</v>
      </c>
      <c r="M133" t="n">
        <v>6.27</v>
      </c>
      <c r="N133" t="inlineStr">
        <is>
          <t>Direct</t>
        </is>
      </c>
    </row>
    <row r="134">
      <c r="A134" t="inlineStr">
        <is>
          <t>0000943210</t>
        </is>
      </c>
      <c r="B134" t="inlineStr">
        <is>
          <t>MEGH STEELS PRIVATE LIMITED - HMSIL</t>
        </is>
      </c>
      <c r="C134" t="inlineStr">
        <is>
          <t>KG</t>
        </is>
      </c>
      <c r="D134" t="n">
        <v>126</v>
      </c>
      <c r="E134" t="n">
        <v>790.013</v>
      </c>
      <c r="F134" t="n">
        <v>3502301</v>
      </c>
      <c r="G134" t="inlineStr">
        <is>
          <t>056</t>
        </is>
      </c>
      <c r="H134" t="inlineStr">
        <is>
          <t>TUB-O-N-AUT-AW-FC-48.60X2.000X6.270 HST</t>
        </is>
      </c>
      <c r="I134" t="n">
        <v>1772.316</v>
      </c>
      <c r="J134" t="n">
        <v>48.6</v>
      </c>
      <c r="K134" t="n">
        <v>0</v>
      </c>
      <c r="L134" t="n">
        <v>2</v>
      </c>
      <c r="M134" t="n">
        <v>6.27</v>
      </c>
      <c r="N134" t="inlineStr">
        <is>
          <t>Direct</t>
        </is>
      </c>
    </row>
    <row r="135">
      <c r="A135" t="inlineStr">
        <is>
          <t>0000943210</t>
        </is>
      </c>
      <c r="B135" t="inlineStr">
        <is>
          <t>MEGH STEELS PRIVATE LIMITED - HMSIL</t>
        </is>
      </c>
      <c r="C135" t="inlineStr">
        <is>
          <t>KG</t>
        </is>
      </c>
      <c r="D135" t="n">
        <v>127</v>
      </c>
      <c r="E135" t="n">
        <v>796.285</v>
      </c>
      <c r="F135" t="n">
        <v>3549720</v>
      </c>
      <c r="G135" t="inlineStr">
        <is>
          <t>056</t>
        </is>
      </c>
      <c r="H135" t="inlineStr">
        <is>
          <t>TUB-O-N-AUT-AW-FC-48.60X2.300X6.270 HST</t>
        </is>
      </c>
      <c r="I135" t="n">
        <v>2004.568</v>
      </c>
      <c r="J135" t="n">
        <v>48.6</v>
      </c>
      <c r="K135" t="n">
        <v>0</v>
      </c>
      <c r="L135" t="n">
        <v>2.3</v>
      </c>
      <c r="M135" t="n">
        <v>6.27</v>
      </c>
      <c r="N135" t="inlineStr">
        <is>
          <t>Direct</t>
        </is>
      </c>
      <c r="O135" t="inlineStr">
        <is>
          <t>48.62.36.27HSTFIN CUT-6.27</t>
        </is>
      </c>
    </row>
    <row r="136">
      <c r="A136" t="inlineStr">
        <is>
          <t>0000943210</t>
        </is>
      </c>
      <c r="B136" t="inlineStr">
        <is>
          <t>MEGH STEELS PRIVATE LIMITED - HMSIL</t>
        </is>
      </c>
      <c r="C136" t="inlineStr">
        <is>
          <t>KG</t>
        </is>
      </c>
      <c r="D136" t="n">
        <v>126</v>
      </c>
      <c r="E136" t="n">
        <v>790.015</v>
      </c>
      <c r="F136" t="n">
        <v>3549720</v>
      </c>
      <c r="G136" t="inlineStr">
        <is>
          <t>056</t>
        </is>
      </c>
      <c r="H136" t="inlineStr">
        <is>
          <t>TUB-O-N-AUT-AW-FC-48.60X2.300X6.270 HST</t>
        </is>
      </c>
      <c r="I136" t="n">
        <v>1988.784</v>
      </c>
      <c r="J136" t="n">
        <v>48.6</v>
      </c>
      <c r="K136" t="n">
        <v>0</v>
      </c>
      <c r="L136" t="n">
        <v>2.3</v>
      </c>
      <c r="M136" t="n">
        <v>6.27</v>
      </c>
      <c r="N136" t="inlineStr">
        <is>
          <t>Direct</t>
        </is>
      </c>
      <c r="O136" t="inlineStr">
        <is>
          <t>48.62.36.27HSTFIN CUT-6.27</t>
        </is>
      </c>
    </row>
    <row r="137">
      <c r="A137" t="inlineStr">
        <is>
          <t>0000943210</t>
        </is>
      </c>
      <c r="B137" t="inlineStr">
        <is>
          <t>MEGH STEELS PRIVATE LIMITED - HMSIL</t>
        </is>
      </c>
      <c r="C137" t="inlineStr">
        <is>
          <t>KG</t>
        </is>
      </c>
      <c r="D137" t="n">
        <v>99</v>
      </c>
      <c r="E137" t="n">
        <v>620.726</v>
      </c>
      <c r="F137" t="n">
        <v>3549720</v>
      </c>
      <c r="G137" t="inlineStr">
        <is>
          <t>056</t>
        </is>
      </c>
      <c r="H137" t="inlineStr">
        <is>
          <t>TUB-O-N-AUT-AW-FC-48.60X2.300X6.270 HST</t>
        </is>
      </c>
      <c r="I137" t="n">
        <v>1562.616</v>
      </c>
      <c r="J137" t="n">
        <v>48.6</v>
      </c>
      <c r="K137" t="n">
        <v>0</v>
      </c>
      <c r="L137" t="n">
        <v>2.3</v>
      </c>
      <c r="M137" t="n">
        <v>6.27</v>
      </c>
      <c r="N137" t="inlineStr">
        <is>
          <t>Direct</t>
        </is>
      </c>
      <c r="O137" t="inlineStr">
        <is>
          <t>48.62.36.27HSTFIN CUT-6.27</t>
        </is>
      </c>
    </row>
    <row r="138">
      <c r="A138" t="inlineStr">
        <is>
          <t>0000943210</t>
        </is>
      </c>
      <c r="B138" t="inlineStr">
        <is>
          <t>MEGH STEELS PRIVATE LIMITED - HMSIL</t>
        </is>
      </c>
      <c r="C138" t="inlineStr">
        <is>
          <t>KG</t>
        </is>
      </c>
      <c r="D138" t="n">
        <v>127</v>
      </c>
      <c r="E138" t="n">
        <v>796.285</v>
      </c>
      <c r="F138" t="n">
        <v>3549720</v>
      </c>
      <c r="G138" t="inlineStr">
        <is>
          <t>056</t>
        </is>
      </c>
      <c r="H138" t="inlineStr">
        <is>
          <t>TUB-O-N-AUT-AW-FC-48.60X2.300X6.270 HST</t>
        </is>
      </c>
      <c r="I138" t="n">
        <v>2004.568</v>
      </c>
      <c r="J138" t="n">
        <v>48.6</v>
      </c>
      <c r="K138" t="n">
        <v>0</v>
      </c>
      <c r="L138" t="n">
        <v>2.3</v>
      </c>
      <c r="M138" t="n">
        <v>6.27</v>
      </c>
      <c r="N138" t="inlineStr">
        <is>
          <t>Direct</t>
        </is>
      </c>
      <c r="O138" t="inlineStr">
        <is>
          <t>48.62.36.27HSTFIN CUT-6.27</t>
        </is>
      </c>
    </row>
    <row r="139">
      <c r="A139" t="inlineStr">
        <is>
          <t>0000943210</t>
        </is>
      </c>
      <c r="B139" t="inlineStr">
        <is>
          <t>MEGH STEELS PRIVATE LIMITED - HMSIL</t>
        </is>
      </c>
      <c r="C139" t="inlineStr">
        <is>
          <t>KG</t>
        </is>
      </c>
      <c r="D139" t="n">
        <v>126</v>
      </c>
      <c r="E139" t="n">
        <v>790.015</v>
      </c>
      <c r="F139" t="n">
        <v>3549720</v>
      </c>
      <c r="G139" t="inlineStr">
        <is>
          <t>056</t>
        </is>
      </c>
      <c r="H139" t="inlineStr">
        <is>
          <t>TUB-O-N-AUT-AW-FC-48.60X2.300X6.270 HST</t>
        </is>
      </c>
      <c r="I139" t="n">
        <v>1988.784</v>
      </c>
      <c r="J139" t="n">
        <v>48.6</v>
      </c>
      <c r="K139" t="n">
        <v>0</v>
      </c>
      <c r="L139" t="n">
        <v>2.3</v>
      </c>
      <c r="M139" t="n">
        <v>6.27</v>
      </c>
      <c r="N139" t="inlineStr">
        <is>
          <t>Direct</t>
        </is>
      </c>
      <c r="O139" t="inlineStr">
        <is>
          <t>48.62.36.27HSTFIN CUT-6.27</t>
        </is>
      </c>
    </row>
    <row r="140">
      <c r="A140" t="inlineStr">
        <is>
          <t>0000943210</t>
        </is>
      </c>
      <c r="B140" t="inlineStr">
        <is>
          <t>MEGH STEELS PRIVATE LIMITED - HMSIL</t>
        </is>
      </c>
      <c r="C140" t="inlineStr">
        <is>
          <t>KG</t>
        </is>
      </c>
      <c r="D140" t="n">
        <v>127</v>
      </c>
      <c r="E140" t="n">
        <v>796.285</v>
      </c>
      <c r="F140" t="n">
        <v>3549720</v>
      </c>
      <c r="G140" t="inlineStr">
        <is>
          <t>056</t>
        </is>
      </c>
      <c r="H140" t="inlineStr">
        <is>
          <t>TUB-O-N-AUT-AW-FC-48.60X2.300X6.270 HST</t>
        </is>
      </c>
      <c r="I140" t="n">
        <v>2004.568</v>
      </c>
      <c r="J140" t="n">
        <v>48.6</v>
      </c>
      <c r="K140" t="n">
        <v>0</v>
      </c>
      <c r="L140" t="n">
        <v>2.3</v>
      </c>
      <c r="M140" t="n">
        <v>6.27</v>
      </c>
      <c r="N140" t="inlineStr">
        <is>
          <t>Direct</t>
        </is>
      </c>
      <c r="O140" t="inlineStr">
        <is>
          <t>48.62.36.27HSTFIN CUT-6.27</t>
        </is>
      </c>
    </row>
    <row r="141">
      <c r="A141" t="inlineStr">
        <is>
          <t>0000943210</t>
        </is>
      </c>
      <c r="B141" t="inlineStr">
        <is>
          <t>MEGH STEELS PRIVATE LIMITED - HMSIL</t>
        </is>
      </c>
      <c r="C141" t="inlineStr">
        <is>
          <t>KG</t>
        </is>
      </c>
      <c r="D141" t="n">
        <v>127</v>
      </c>
      <c r="E141" t="n">
        <v>796.285</v>
      </c>
      <c r="F141" t="n">
        <v>3549720</v>
      </c>
      <c r="G141" t="inlineStr">
        <is>
          <t>056</t>
        </is>
      </c>
      <c r="H141" t="inlineStr">
        <is>
          <t>TUB-O-N-AUT-AW-FC-48.60X2.300X6.270 HST</t>
        </is>
      </c>
      <c r="I141" t="n">
        <v>2004.568</v>
      </c>
      <c r="J141" t="n">
        <v>48.6</v>
      </c>
      <c r="K141" t="n">
        <v>0</v>
      </c>
      <c r="L141" t="n">
        <v>2.3</v>
      </c>
      <c r="M141" t="n">
        <v>6.27</v>
      </c>
      <c r="N141" t="inlineStr">
        <is>
          <t>Direct</t>
        </is>
      </c>
      <c r="O141" t="inlineStr">
        <is>
          <t>48.62.36.27HSTFIN CUT-6.27</t>
        </is>
      </c>
    </row>
    <row r="142">
      <c r="A142" t="inlineStr">
        <is>
          <t>0000943210</t>
        </is>
      </c>
      <c r="B142" t="inlineStr">
        <is>
          <t>MEGH STEELS PRIVATE LIMITED - HMSIL</t>
        </is>
      </c>
      <c r="C142" t="inlineStr">
        <is>
          <t>KG</t>
        </is>
      </c>
      <c r="D142" t="n">
        <v>126</v>
      </c>
      <c r="E142" t="n">
        <v>790.015</v>
      </c>
      <c r="F142" t="n">
        <v>3549720</v>
      </c>
      <c r="G142" t="inlineStr">
        <is>
          <t>056</t>
        </is>
      </c>
      <c r="H142" t="inlineStr">
        <is>
          <t>TUB-O-N-AUT-AW-FC-48.60X2.300X6.270 HST</t>
        </is>
      </c>
      <c r="I142" t="n">
        <v>1988.784</v>
      </c>
      <c r="J142" t="n">
        <v>48.6</v>
      </c>
      <c r="K142" t="n">
        <v>0</v>
      </c>
      <c r="L142" t="n">
        <v>2.3</v>
      </c>
      <c r="M142" t="n">
        <v>6.27</v>
      </c>
      <c r="N142" t="inlineStr">
        <is>
          <t>Direct</t>
        </is>
      </c>
      <c r="O142" t="inlineStr">
        <is>
          <t>48.62.36.27HSTFIN CUT-6.27</t>
        </is>
      </c>
    </row>
    <row r="143">
      <c r="A143" t="inlineStr">
        <is>
          <t>0000943210</t>
        </is>
      </c>
      <c r="B143" t="inlineStr">
        <is>
          <t>MEGH STEELS PRIVATE LIMITED - HMSIL</t>
        </is>
      </c>
      <c r="C143" t="inlineStr">
        <is>
          <t>KG</t>
        </is>
      </c>
      <c r="D143" t="n">
        <v>558</v>
      </c>
      <c r="E143" t="n">
        <v>3348.033</v>
      </c>
      <c r="F143" t="n">
        <v>3891285</v>
      </c>
      <c r="G143" t="inlineStr">
        <is>
          <t>056</t>
        </is>
      </c>
      <c r="H143" t="inlineStr">
        <is>
          <t>TUB-O-N-AUT-AW-PE-19.05X1.40X6.000 HST</t>
        </is>
      </c>
      <c r="I143" t="n">
        <v>1945.914</v>
      </c>
      <c r="J143" t="n">
        <v>19.05</v>
      </c>
      <c r="K143" t="n">
        <v>0</v>
      </c>
      <c r="L143" t="n">
        <v>1.4</v>
      </c>
      <c r="M143" t="n">
        <v>6</v>
      </c>
      <c r="N143" t="inlineStr">
        <is>
          <t>Direct</t>
        </is>
      </c>
    </row>
    <row r="144">
      <c r="A144" t="inlineStr">
        <is>
          <t>0000943210</t>
        </is>
      </c>
      <c r="B144" t="inlineStr">
        <is>
          <t>MEGH STEELS PRIVATE LIMITED - HMSIL</t>
        </is>
      </c>
      <c r="C144" t="inlineStr">
        <is>
          <t>KG</t>
        </is>
      </c>
      <c r="D144" t="n">
        <v>558</v>
      </c>
      <c r="E144" t="n">
        <v>3348.033</v>
      </c>
      <c r="F144" t="n">
        <v>3891285</v>
      </c>
      <c r="G144" t="inlineStr">
        <is>
          <t>056</t>
        </is>
      </c>
      <c r="H144" t="inlineStr">
        <is>
          <t>TUB-O-N-AUT-AW-PE-19.05X1.40X6.000 HST</t>
        </is>
      </c>
      <c r="I144" t="n">
        <v>1945.914</v>
      </c>
      <c r="J144" t="n">
        <v>19.05</v>
      </c>
      <c r="K144" t="n">
        <v>0</v>
      </c>
      <c r="L144" t="n">
        <v>1.4</v>
      </c>
      <c r="M144" t="n">
        <v>6</v>
      </c>
      <c r="N144" t="inlineStr">
        <is>
          <t>Direct</t>
        </is>
      </c>
    </row>
    <row r="145">
      <c r="A145" t="inlineStr">
        <is>
          <t>0000943210</t>
        </is>
      </c>
      <c r="B145" t="inlineStr">
        <is>
          <t>MEGH STEELS PRIVATE LIMITED - HMSIL</t>
        </is>
      </c>
      <c r="C145" t="inlineStr">
        <is>
          <t>KG</t>
        </is>
      </c>
      <c r="D145" t="n">
        <v>298</v>
      </c>
      <c r="E145" t="n">
        <v>1788.018</v>
      </c>
      <c r="F145" t="n">
        <v>3891285</v>
      </c>
      <c r="G145" t="inlineStr">
        <is>
          <t>056</t>
        </is>
      </c>
      <c r="H145" t="inlineStr">
        <is>
          <t>TUB-O-N-AUT-AW-PE-19.05X1.40X6.000 HST</t>
        </is>
      </c>
      <c r="I145" t="n">
        <v>1039.216</v>
      </c>
      <c r="J145" t="n">
        <v>19.05</v>
      </c>
      <c r="K145" t="n">
        <v>0</v>
      </c>
      <c r="L145" t="n">
        <v>1.4</v>
      </c>
      <c r="M145" t="n">
        <v>6</v>
      </c>
      <c r="N145" t="inlineStr">
        <is>
          <t>Direct</t>
        </is>
      </c>
    </row>
    <row r="146">
      <c r="A146" t="inlineStr">
        <is>
          <t>0000943209</t>
        </is>
      </c>
      <c r="B146" t="inlineStr">
        <is>
          <t>MEGH STEELS PRIVATE LIMITED - TVS A</t>
        </is>
      </c>
      <c r="C146" t="inlineStr">
        <is>
          <t>KG</t>
        </is>
      </c>
      <c r="D146" t="n">
        <v>419</v>
      </c>
      <c r="E146" t="n">
        <v>2493.462</v>
      </c>
      <c r="F146" t="n">
        <v>3905466</v>
      </c>
      <c r="G146" t="inlineStr">
        <is>
          <t>056</t>
        </is>
      </c>
      <c r="H146" t="inlineStr">
        <is>
          <t>TUB-O-N-AUT-AW-PE-22.20X2.000X5.9510</t>
        </is>
      </c>
      <c r="I146" t="n">
        <v>2428.189</v>
      </c>
      <c r="J146" t="n">
        <v>22.2</v>
      </c>
      <c r="K146" t="n">
        <v>0</v>
      </c>
      <c r="L146" t="n">
        <v>2</v>
      </c>
      <c r="M146" t="n">
        <v>5.951</v>
      </c>
      <c r="N146" t="inlineStr">
        <is>
          <t>Direct</t>
        </is>
      </c>
      <c r="O146" t="inlineStr">
        <is>
          <t>22.23-0-2-ERW 1-PE-5.951</t>
        </is>
      </c>
    </row>
    <row r="147">
      <c r="A147" t="inlineStr">
        <is>
          <t>0000943209</t>
        </is>
      </c>
      <c r="B147" t="inlineStr">
        <is>
          <t>MEGH STEELS PRIVATE LIMITED - TVS A</t>
        </is>
      </c>
      <c r="C147" t="inlineStr">
        <is>
          <t>KG</t>
        </is>
      </c>
      <c r="D147" t="n">
        <v>410</v>
      </c>
      <c r="E147" t="n">
        <v>2439.903</v>
      </c>
      <c r="F147" t="n">
        <v>3905466</v>
      </c>
      <c r="G147" t="inlineStr">
        <is>
          <t>056</t>
        </is>
      </c>
      <c r="H147" t="inlineStr">
        <is>
          <t>TUB-O-N-AUT-AW-PE-22.20X2.000X5.9510</t>
        </is>
      </c>
      <c r="I147" t="n">
        <v>2376.032</v>
      </c>
      <c r="J147" t="n">
        <v>22.2</v>
      </c>
      <c r="K147" t="n">
        <v>0</v>
      </c>
      <c r="L147" t="n">
        <v>2</v>
      </c>
      <c r="M147" t="n">
        <v>5.951</v>
      </c>
      <c r="N147" t="inlineStr">
        <is>
          <t>Direct</t>
        </is>
      </c>
      <c r="O147" t="inlineStr">
        <is>
          <t>22.23-0-2-ERW 1-PE-5.951</t>
        </is>
      </c>
    </row>
    <row r="148">
      <c r="A148" t="inlineStr">
        <is>
          <t>0000943209</t>
        </is>
      </c>
      <c r="B148" t="inlineStr">
        <is>
          <t>MEGH STEELS PRIVATE LIMITED - TVS A</t>
        </is>
      </c>
      <c r="C148" t="inlineStr">
        <is>
          <t>KG</t>
        </is>
      </c>
      <c r="D148" t="n">
        <v>416</v>
      </c>
      <c r="E148" t="n">
        <v>2475.609</v>
      </c>
      <c r="F148" t="n">
        <v>3905466</v>
      </c>
      <c r="G148" t="inlineStr">
        <is>
          <t>056</t>
        </is>
      </c>
      <c r="H148" t="inlineStr">
        <is>
          <t>TUB-O-N-AUT-AW-PE-22.20X2.000X5.9510</t>
        </is>
      </c>
      <c r="I148" t="n">
        <v>2410.803</v>
      </c>
      <c r="J148" t="n">
        <v>22.2</v>
      </c>
      <c r="K148" t="n">
        <v>0</v>
      </c>
      <c r="L148" t="n">
        <v>2</v>
      </c>
      <c r="M148" t="n">
        <v>5.951</v>
      </c>
      <c r="N148" t="inlineStr">
        <is>
          <t>Direct</t>
        </is>
      </c>
      <c r="O148" t="inlineStr">
        <is>
          <t>22.23-0-2-ERW 1-PE-5.951</t>
        </is>
      </c>
    </row>
    <row r="149">
      <c r="A149" t="inlineStr">
        <is>
          <t>0000943209</t>
        </is>
      </c>
      <c r="B149" t="inlineStr">
        <is>
          <t>MEGH STEELS PRIVATE LIMITED - TVS A</t>
        </is>
      </c>
      <c r="C149" t="inlineStr">
        <is>
          <t>KG</t>
        </is>
      </c>
      <c r="D149" t="n">
        <v>274</v>
      </c>
      <c r="E149" t="n">
        <v>1630.57</v>
      </c>
      <c r="F149" t="n">
        <v>3905466</v>
      </c>
      <c r="G149" t="inlineStr">
        <is>
          <t>056</t>
        </is>
      </c>
      <c r="H149" t="inlineStr">
        <is>
          <t>TUB-O-N-AUT-AW-PE-22.20X2.000X5.9510</t>
        </is>
      </c>
      <c r="I149" t="n">
        <v>1587.885</v>
      </c>
      <c r="J149" t="n">
        <v>22.2</v>
      </c>
      <c r="K149" t="n">
        <v>0</v>
      </c>
      <c r="L149" t="n">
        <v>2</v>
      </c>
      <c r="M149" t="n">
        <v>5.951</v>
      </c>
      <c r="N149" t="inlineStr">
        <is>
          <t>Direct</t>
        </is>
      </c>
      <c r="O149" t="inlineStr">
        <is>
          <t>22.23-0-2-ERW 1-PE-5.951</t>
        </is>
      </c>
    </row>
    <row r="150">
      <c r="A150" t="inlineStr">
        <is>
          <t>0000943209</t>
        </is>
      </c>
      <c r="B150" t="inlineStr">
        <is>
          <t>MEGH STEELS PRIVATE LIMITED - TVS A</t>
        </is>
      </c>
      <c r="C150" t="inlineStr">
        <is>
          <t>KG</t>
        </is>
      </c>
      <c r="D150" t="n">
        <v>417</v>
      </c>
      <c r="E150" t="n">
        <v>2481.56</v>
      </c>
      <c r="F150" t="n">
        <v>3905466</v>
      </c>
      <c r="G150" t="inlineStr">
        <is>
          <t>056</t>
        </is>
      </c>
      <c r="H150" t="inlineStr">
        <is>
          <t>TUB-O-N-AUT-AW-PE-22.20X2.000X5.9510</t>
        </is>
      </c>
      <c r="I150" t="n">
        <v>2416.598</v>
      </c>
      <c r="J150" t="n">
        <v>22.2</v>
      </c>
      <c r="K150" t="n">
        <v>0</v>
      </c>
      <c r="L150" t="n">
        <v>2</v>
      </c>
      <c r="M150" t="n">
        <v>5.951</v>
      </c>
      <c r="N150" t="inlineStr">
        <is>
          <t>Direct</t>
        </is>
      </c>
      <c r="O150" t="inlineStr">
        <is>
          <t>22.23-0-2-ERW 1-PE-5.951</t>
        </is>
      </c>
    </row>
    <row r="151">
      <c r="A151" t="inlineStr">
        <is>
          <t>0000943209</t>
        </is>
      </c>
      <c r="B151" t="inlineStr">
        <is>
          <t>MEGH STEELS PRIVATE LIMITED - TVS A</t>
        </is>
      </c>
      <c r="C151" t="inlineStr">
        <is>
          <t>KG</t>
        </is>
      </c>
      <c r="D151" t="n">
        <v>216</v>
      </c>
      <c r="E151" t="n">
        <v>1336.992</v>
      </c>
      <c r="F151" t="n">
        <v>3502007</v>
      </c>
      <c r="G151" t="inlineStr">
        <is>
          <t>056</t>
        </is>
      </c>
      <c r="H151" t="inlineStr">
        <is>
          <t>TUB-O-N-AUT-AH-FC-38.10X2.500X6.1900 HST</t>
        </is>
      </c>
      <c r="I151" t="n">
        <v>2825.064</v>
      </c>
      <c r="J151" t="n">
        <v>38.1</v>
      </c>
      <c r="K151" t="n">
        <v>0</v>
      </c>
      <c r="L151" t="n">
        <v>2.5</v>
      </c>
      <c r="M151" t="n">
        <v>6.19</v>
      </c>
      <c r="N151" t="inlineStr">
        <is>
          <t>Direct</t>
        </is>
      </c>
      <c r="O151" t="inlineStr">
        <is>
          <t>38.1-0-2.5-ERW 2 MAHS-FC-6.19</t>
        </is>
      </c>
    </row>
    <row r="152">
      <c r="A152" t="inlineStr">
        <is>
          <t>0000943209</t>
        </is>
      </c>
      <c r="B152" t="inlineStr">
        <is>
          <t>MEGH STEELS PRIVATE LIMITED - TVS A</t>
        </is>
      </c>
      <c r="C152" t="inlineStr">
        <is>
          <t>KG</t>
        </is>
      </c>
      <c r="D152" t="n">
        <v>216</v>
      </c>
      <c r="E152" t="n">
        <v>1336.992</v>
      </c>
      <c r="F152" t="n">
        <v>3502007</v>
      </c>
      <c r="G152" t="inlineStr">
        <is>
          <t>056</t>
        </is>
      </c>
      <c r="H152" t="inlineStr">
        <is>
          <t>TUB-O-N-AUT-AH-FC-38.10X2.500X6.1900 HST</t>
        </is>
      </c>
      <c r="I152" t="n">
        <v>2825.064</v>
      </c>
      <c r="J152" t="n">
        <v>38.1</v>
      </c>
      <c r="K152" t="n">
        <v>0</v>
      </c>
      <c r="L152" t="n">
        <v>2.5</v>
      </c>
      <c r="M152" t="n">
        <v>6.19</v>
      </c>
      <c r="N152" t="inlineStr">
        <is>
          <t>Direct</t>
        </is>
      </c>
      <c r="O152" t="inlineStr">
        <is>
          <t>38.1-0-2.5-ERW 2 MAHS-FC-6.19</t>
        </is>
      </c>
    </row>
    <row r="153">
      <c r="A153" t="inlineStr">
        <is>
          <t>0000943209</t>
        </is>
      </c>
      <c r="B153" t="inlineStr">
        <is>
          <t>MEGH STEELS PRIVATE LIMITED - TVS A</t>
        </is>
      </c>
      <c r="C153" t="inlineStr">
        <is>
          <t>KG</t>
        </is>
      </c>
      <c r="D153" t="n">
        <v>215</v>
      </c>
      <c r="E153" t="n">
        <v>1330.802</v>
      </c>
      <c r="F153" t="n">
        <v>3502007</v>
      </c>
      <c r="G153" t="inlineStr">
        <is>
          <t>056</t>
        </is>
      </c>
      <c r="H153" t="inlineStr">
        <is>
          <t>TUB-O-N-AUT-AH-FC-38.10X2.500X6.1900 HST</t>
        </is>
      </c>
      <c r="I153" t="n">
        <v>2811.985</v>
      </c>
      <c r="J153" t="n">
        <v>38.1</v>
      </c>
      <c r="K153" t="n">
        <v>0</v>
      </c>
      <c r="L153" t="n">
        <v>2.5</v>
      </c>
      <c r="M153" t="n">
        <v>6.19</v>
      </c>
      <c r="N153" t="inlineStr">
        <is>
          <t>Direct</t>
        </is>
      </c>
      <c r="O153" t="inlineStr">
        <is>
          <t>38.1-0-2.5-ERW 2 MAHS-FC-6.19</t>
        </is>
      </c>
    </row>
    <row r="154">
      <c r="A154" t="inlineStr">
        <is>
          <t>0000943209</t>
        </is>
      </c>
      <c r="B154" t="inlineStr">
        <is>
          <t>MEGH STEELS PRIVATE LIMITED - TVS A</t>
        </is>
      </c>
      <c r="C154" t="inlineStr">
        <is>
          <t>KG</t>
        </is>
      </c>
      <c r="D154" t="n">
        <v>215</v>
      </c>
      <c r="E154" t="n">
        <v>1330.802</v>
      </c>
      <c r="F154" t="n">
        <v>3502007</v>
      </c>
      <c r="G154" t="inlineStr">
        <is>
          <t>056</t>
        </is>
      </c>
      <c r="H154" t="inlineStr">
        <is>
          <t>TUB-O-N-AUT-AH-FC-38.10X2.500X6.1900 HST</t>
        </is>
      </c>
      <c r="I154" t="n">
        <v>2811.985</v>
      </c>
      <c r="J154" t="n">
        <v>38.1</v>
      </c>
      <c r="K154" t="n">
        <v>0</v>
      </c>
      <c r="L154" t="n">
        <v>2.5</v>
      </c>
      <c r="M154" t="n">
        <v>6.19</v>
      </c>
      <c r="N154" t="inlineStr">
        <is>
          <t>Direct</t>
        </is>
      </c>
      <c r="O154" t="inlineStr">
        <is>
          <t>38.1-0-2.5-ERW 2 MAHS-FC-6.19</t>
        </is>
      </c>
    </row>
    <row r="155">
      <c r="A155" t="inlineStr">
        <is>
          <t>0000943209</t>
        </is>
      </c>
      <c r="B155" t="inlineStr">
        <is>
          <t>MEGH STEELS PRIVATE LIMITED - TVS A</t>
        </is>
      </c>
      <c r="C155" t="inlineStr">
        <is>
          <t>KG</t>
        </is>
      </c>
      <c r="D155" t="n">
        <v>217</v>
      </c>
      <c r="E155" t="n">
        <v>1343.182</v>
      </c>
      <c r="F155" t="n">
        <v>3502007</v>
      </c>
      <c r="G155" t="inlineStr">
        <is>
          <t>056</t>
        </is>
      </c>
      <c r="H155" t="inlineStr">
        <is>
          <t>TUB-O-N-AUT-AH-FC-38.10X2.500X6.1900 HST</t>
        </is>
      </c>
      <c r="I155" t="n">
        <v>2838.143</v>
      </c>
      <c r="J155" t="n">
        <v>38.1</v>
      </c>
      <c r="K155" t="n">
        <v>0</v>
      </c>
      <c r="L155" t="n">
        <v>2.5</v>
      </c>
      <c r="M155" t="n">
        <v>6.19</v>
      </c>
      <c r="N155" t="inlineStr">
        <is>
          <t>Direct</t>
        </is>
      </c>
      <c r="O155" t="inlineStr">
        <is>
          <t>38.1-0-2.5-ERW 2 MAHS-FC-6.19</t>
        </is>
      </c>
    </row>
    <row r="156">
      <c r="A156" t="inlineStr">
        <is>
          <t>0000943209</t>
        </is>
      </c>
      <c r="B156" t="inlineStr">
        <is>
          <t>MEGH STEELS PRIVATE LIMITED - TVS A</t>
        </is>
      </c>
      <c r="C156" t="inlineStr">
        <is>
          <t>KG</t>
        </is>
      </c>
      <c r="D156" t="n">
        <v>217</v>
      </c>
      <c r="E156" t="n">
        <v>1343.182</v>
      </c>
      <c r="F156" t="n">
        <v>3502007</v>
      </c>
      <c r="G156" t="inlineStr">
        <is>
          <t>056</t>
        </is>
      </c>
      <c r="H156" t="inlineStr">
        <is>
          <t>TUB-O-N-AUT-AH-FC-38.10X2.500X6.1900 HST</t>
        </is>
      </c>
      <c r="I156" t="n">
        <v>2838.143</v>
      </c>
      <c r="J156" t="n">
        <v>38.1</v>
      </c>
      <c r="K156" t="n">
        <v>0</v>
      </c>
      <c r="L156" t="n">
        <v>2.5</v>
      </c>
      <c r="M156" t="n">
        <v>6.19</v>
      </c>
      <c r="N156" t="inlineStr">
        <is>
          <t>Direct</t>
        </is>
      </c>
      <c r="O156" t="inlineStr">
        <is>
          <t>38.1-0-2.5-ERW 2 MAHS-FC-6.19</t>
        </is>
      </c>
    </row>
    <row r="157">
      <c r="A157" t="inlineStr">
        <is>
          <t>0000943209</t>
        </is>
      </c>
      <c r="B157" t="inlineStr">
        <is>
          <t>MEGH STEELS PRIVATE LIMITED - TVS A</t>
        </is>
      </c>
      <c r="C157" t="inlineStr">
        <is>
          <t>KG</t>
        </is>
      </c>
      <c r="D157" t="n">
        <v>217</v>
      </c>
      <c r="E157" t="n">
        <v>1343.182</v>
      </c>
      <c r="F157" t="n">
        <v>3502007</v>
      </c>
      <c r="G157" t="inlineStr">
        <is>
          <t>056</t>
        </is>
      </c>
      <c r="H157" t="inlineStr">
        <is>
          <t>TUB-O-N-AUT-AH-FC-38.10X2.500X6.1900 HST</t>
        </is>
      </c>
      <c r="I157" t="n">
        <v>2838.143</v>
      </c>
      <c r="J157" t="n">
        <v>38.1</v>
      </c>
      <c r="K157" t="n">
        <v>0</v>
      </c>
      <c r="L157" t="n">
        <v>2.5</v>
      </c>
      <c r="M157" t="n">
        <v>6.19</v>
      </c>
      <c r="N157" t="inlineStr">
        <is>
          <t>Direct</t>
        </is>
      </c>
      <c r="O157" t="inlineStr">
        <is>
          <t>38.1-0-2.5-ERW 2 MAHS-FC-6.19</t>
        </is>
      </c>
    </row>
    <row r="158">
      <c r="A158" t="inlineStr">
        <is>
          <t>0000943209</t>
        </is>
      </c>
      <c r="B158" t="inlineStr">
        <is>
          <t>MEGH STEELS PRIVATE LIMITED - TVS A</t>
        </is>
      </c>
      <c r="C158" t="inlineStr">
        <is>
          <t>KG</t>
        </is>
      </c>
      <c r="D158" t="n">
        <v>217</v>
      </c>
      <c r="E158" t="n">
        <v>1343.182</v>
      </c>
      <c r="F158" t="n">
        <v>3502007</v>
      </c>
      <c r="G158" t="inlineStr">
        <is>
          <t>056</t>
        </is>
      </c>
      <c r="H158" t="inlineStr">
        <is>
          <t>TUB-O-N-AUT-AH-FC-38.10X2.500X6.1900 HST</t>
        </is>
      </c>
      <c r="I158" t="n">
        <v>2838.143</v>
      </c>
      <c r="J158" t="n">
        <v>38.1</v>
      </c>
      <c r="K158" t="n">
        <v>0</v>
      </c>
      <c r="L158" t="n">
        <v>2.5</v>
      </c>
      <c r="M158" t="n">
        <v>6.19</v>
      </c>
      <c r="N158" t="inlineStr">
        <is>
          <t>Direct</t>
        </is>
      </c>
      <c r="O158" t="inlineStr">
        <is>
          <t>38.1-0-2.5-ERW 2 MAHS-FC-6.19</t>
        </is>
      </c>
    </row>
    <row r="159">
      <c r="A159" t="inlineStr">
        <is>
          <t>0000943209</t>
        </is>
      </c>
      <c r="B159" t="inlineStr">
        <is>
          <t>MEGH STEELS PRIVATE LIMITED - TVS A</t>
        </is>
      </c>
      <c r="C159" t="inlineStr">
        <is>
          <t>KG</t>
        </is>
      </c>
      <c r="D159" t="n">
        <v>217</v>
      </c>
      <c r="E159" t="n">
        <v>1343.182</v>
      </c>
      <c r="F159" t="n">
        <v>3502007</v>
      </c>
      <c r="G159" t="inlineStr">
        <is>
          <t>056</t>
        </is>
      </c>
      <c r="H159" t="inlineStr">
        <is>
          <t>TUB-O-N-AUT-AH-FC-38.10X2.500X6.1900 HST</t>
        </is>
      </c>
      <c r="I159" t="n">
        <v>2838.143</v>
      </c>
      <c r="J159" t="n">
        <v>38.1</v>
      </c>
      <c r="K159" t="n">
        <v>0</v>
      </c>
      <c r="L159" t="n">
        <v>2.5</v>
      </c>
      <c r="M159" t="n">
        <v>6.19</v>
      </c>
      <c r="N159" t="inlineStr">
        <is>
          <t>Direct</t>
        </is>
      </c>
      <c r="O159" t="inlineStr">
        <is>
          <t>38.1-0-2.5-ERW 2 MAHS-FC-6.19</t>
        </is>
      </c>
    </row>
    <row r="160">
      <c r="A160" t="inlineStr">
        <is>
          <t>0000943211</t>
        </is>
      </c>
      <c r="B160" t="inlineStr">
        <is>
          <t>MEGH STEELS PRIVATE LIMITED - RE</t>
        </is>
      </c>
      <c r="C160" t="inlineStr">
        <is>
          <t>KG</t>
        </is>
      </c>
      <c r="D160" t="n">
        <v>216</v>
      </c>
      <c r="E160" t="n">
        <v>1274.391</v>
      </c>
      <c r="F160" t="n">
        <v>3499396</v>
      </c>
      <c r="G160" t="inlineStr">
        <is>
          <t>056</t>
        </is>
      </c>
      <c r="H160" t="inlineStr">
        <is>
          <t>TUB-O-N-AUT-AW-FC-34.93X1.200X5.900</t>
        </is>
      </c>
      <c r="I160" t="n">
        <v>1200.377</v>
      </c>
      <c r="J160" t="n">
        <v>34.93</v>
      </c>
      <c r="K160" t="n">
        <v>0</v>
      </c>
      <c r="L160" t="n">
        <v>1.2</v>
      </c>
      <c r="M160" t="n">
        <v>5.9</v>
      </c>
      <c r="N160" t="inlineStr">
        <is>
          <t>Direct</t>
        </is>
      </c>
    </row>
    <row r="161">
      <c r="A161" t="inlineStr">
        <is>
          <t>0000943211</t>
        </is>
      </c>
      <c r="B161" t="inlineStr">
        <is>
          <t>MEGH STEELS PRIVATE LIMITED - RE</t>
        </is>
      </c>
      <c r="C161" t="inlineStr">
        <is>
          <t>KG</t>
        </is>
      </c>
      <c r="D161" t="n">
        <v>217</v>
      </c>
      <c r="E161" t="n">
        <v>1280.29</v>
      </c>
      <c r="F161" t="n">
        <v>3499396</v>
      </c>
      <c r="G161" t="inlineStr">
        <is>
          <t>056</t>
        </is>
      </c>
      <c r="H161" t="inlineStr">
        <is>
          <t>TUB-O-N-AUT-AW-FC-34.93X1.200X5.900</t>
        </is>
      </c>
      <c r="I161" t="n">
        <v>1205.934</v>
      </c>
      <c r="J161" t="n">
        <v>34.93</v>
      </c>
      <c r="K161" t="n">
        <v>0</v>
      </c>
      <c r="L161" t="n">
        <v>1.2</v>
      </c>
      <c r="M161" t="n">
        <v>5.9</v>
      </c>
      <c r="N161" t="inlineStr">
        <is>
          <t>Direct</t>
        </is>
      </c>
    </row>
    <row r="162">
      <c r="A162" t="inlineStr">
        <is>
          <t>0000943211</t>
        </is>
      </c>
      <c r="B162" t="inlineStr">
        <is>
          <t>MEGH STEELS PRIVATE LIMITED - RE</t>
        </is>
      </c>
      <c r="C162" t="inlineStr">
        <is>
          <t>KG</t>
        </is>
      </c>
      <c r="D162" t="n">
        <v>217</v>
      </c>
      <c r="E162" t="n">
        <v>1280.29</v>
      </c>
      <c r="F162" t="n">
        <v>3499396</v>
      </c>
      <c r="G162" t="inlineStr">
        <is>
          <t>056</t>
        </is>
      </c>
      <c r="H162" t="inlineStr">
        <is>
          <t>TUB-O-N-AUT-AW-FC-34.93X1.200X5.900</t>
        </is>
      </c>
      <c r="I162" t="n">
        <v>1205.934</v>
      </c>
      <c r="J162" t="n">
        <v>34.93</v>
      </c>
      <c r="K162" t="n">
        <v>0</v>
      </c>
      <c r="L162" t="n">
        <v>1.2</v>
      </c>
      <c r="M162" t="n">
        <v>5.9</v>
      </c>
      <c r="N162" t="inlineStr">
        <is>
          <t>Direct</t>
        </is>
      </c>
    </row>
    <row r="163">
      <c r="A163" t="inlineStr">
        <is>
          <t>0000943211</t>
        </is>
      </c>
      <c r="B163" t="inlineStr">
        <is>
          <t>MEGH STEELS PRIVATE LIMITED - RE</t>
        </is>
      </c>
      <c r="C163" t="inlineStr">
        <is>
          <t>KG</t>
        </is>
      </c>
      <c r="D163" t="n">
        <v>217</v>
      </c>
      <c r="E163" t="n">
        <v>1280.29</v>
      </c>
      <c r="F163" t="n">
        <v>3499396</v>
      </c>
      <c r="G163" t="inlineStr">
        <is>
          <t>056</t>
        </is>
      </c>
      <c r="H163" t="inlineStr">
        <is>
          <t>TUB-O-N-AUT-AW-FC-34.93X1.200X5.900</t>
        </is>
      </c>
      <c r="I163" t="n">
        <v>1205.934</v>
      </c>
      <c r="J163" t="n">
        <v>34.93</v>
      </c>
      <c r="K163" t="n">
        <v>0</v>
      </c>
      <c r="L163" t="n">
        <v>1.2</v>
      </c>
      <c r="M163" t="n">
        <v>5.9</v>
      </c>
      <c r="N163" t="inlineStr">
        <is>
          <t>Direct</t>
        </is>
      </c>
    </row>
    <row r="164">
      <c r="A164" t="inlineStr">
        <is>
          <t>0000943211</t>
        </is>
      </c>
      <c r="B164" t="inlineStr">
        <is>
          <t>MEGH STEELS PRIVATE LIMITED - RE</t>
        </is>
      </c>
      <c r="C164" t="inlineStr">
        <is>
          <t>KG</t>
        </is>
      </c>
      <c r="D164" t="n">
        <v>213</v>
      </c>
      <c r="E164" t="n">
        <v>1256.691</v>
      </c>
      <c r="F164" t="n">
        <v>3499396</v>
      </c>
      <c r="G164" t="inlineStr">
        <is>
          <t>056</t>
        </is>
      </c>
      <c r="H164" t="inlineStr">
        <is>
          <t>TUB-O-N-AUT-AW-FC-34.93X1.200X5.900</t>
        </is>
      </c>
      <c r="I164" t="n">
        <v>1183.705</v>
      </c>
      <c r="J164" t="n">
        <v>34.93</v>
      </c>
      <c r="K164" t="n">
        <v>0</v>
      </c>
      <c r="L164" t="n">
        <v>1.2</v>
      </c>
      <c r="M164" t="n">
        <v>5.9</v>
      </c>
      <c r="N164" t="inlineStr">
        <is>
          <t>Direct</t>
        </is>
      </c>
    </row>
    <row r="165">
      <c r="A165" t="inlineStr">
        <is>
          <t>0000943209</t>
        </is>
      </c>
      <c r="B165" t="inlineStr">
        <is>
          <t>MEGH STEELS PRIVATE LIMITED - TVS A</t>
        </is>
      </c>
      <c r="C165" t="inlineStr">
        <is>
          <t>KG</t>
        </is>
      </c>
      <c r="D165" t="n">
        <v>224</v>
      </c>
      <c r="E165" t="n">
        <v>1343.978</v>
      </c>
      <c r="F165" t="n">
        <v>3498997</v>
      </c>
      <c r="G165" t="inlineStr">
        <is>
          <t>056</t>
        </is>
      </c>
      <c r="H165" t="inlineStr">
        <is>
          <t>TUB-O-N-AUT-AW-PE-19.05X1.60X6.000-ERW 1</t>
        </is>
      </c>
      <c r="I165" t="n">
        <v>893.76</v>
      </c>
      <c r="J165" t="n">
        <v>19.05</v>
      </c>
      <c r="K165" t="n">
        <v>0</v>
      </c>
      <c r="L165" t="n">
        <v>1.6</v>
      </c>
      <c r="M165" t="n">
        <v>6</v>
      </c>
      <c r="N165" t="inlineStr">
        <is>
          <t>Direct</t>
        </is>
      </c>
      <c r="O165" t="inlineStr">
        <is>
          <t>19.05-0-1.6-ERW 1-PE-6</t>
        </is>
      </c>
    </row>
    <row r="166">
      <c r="A166" t="inlineStr">
        <is>
          <t>0000943209</t>
        </is>
      </c>
      <c r="B166" t="inlineStr">
        <is>
          <t>MEGH STEELS PRIVATE LIMITED - TVS A</t>
        </is>
      </c>
      <c r="C166" t="inlineStr">
        <is>
          <t>KG</t>
        </is>
      </c>
      <c r="D166" t="n">
        <v>413</v>
      </c>
      <c r="E166" t="n">
        <v>2457.757</v>
      </c>
      <c r="F166" t="n">
        <v>3905466</v>
      </c>
      <c r="G166" t="inlineStr">
        <is>
          <t>056</t>
        </is>
      </c>
      <c r="H166" t="inlineStr">
        <is>
          <t>TUB-O-N-AUT-AW-PE-22.20X2.000X5.9510</t>
        </is>
      </c>
      <c r="I166" t="n">
        <v>2393.418</v>
      </c>
      <c r="J166" t="n">
        <v>22.2</v>
      </c>
      <c r="K166" t="n">
        <v>0</v>
      </c>
      <c r="L166" t="n">
        <v>2</v>
      </c>
      <c r="M166" t="n">
        <v>5.951</v>
      </c>
      <c r="N166" t="inlineStr">
        <is>
          <t>Direct</t>
        </is>
      </c>
      <c r="O166" t="inlineStr">
        <is>
          <t>22.23-0-2-ERW 1-PE-5.951</t>
        </is>
      </c>
    </row>
    <row r="167">
      <c r="A167" t="inlineStr">
        <is>
          <t>0000943209</t>
        </is>
      </c>
      <c r="B167" t="inlineStr">
        <is>
          <t>MEGH STEELS PRIVATE LIMITED - TVS A</t>
        </is>
      </c>
      <c r="C167" t="inlineStr">
        <is>
          <t>KG</t>
        </is>
      </c>
      <c r="D167" t="n">
        <v>420</v>
      </c>
      <c r="E167" t="n">
        <v>2499.413</v>
      </c>
      <c r="F167" t="n">
        <v>3905466</v>
      </c>
      <c r="G167" t="inlineStr">
        <is>
          <t>056</t>
        </is>
      </c>
      <c r="H167" t="inlineStr">
        <is>
          <t>TUB-O-N-AUT-AW-PE-22.20X2.000X5.9510</t>
        </is>
      </c>
      <c r="I167" t="n">
        <v>2433.984</v>
      </c>
      <c r="J167" t="n">
        <v>22.2</v>
      </c>
      <c r="K167" t="n">
        <v>0</v>
      </c>
      <c r="L167" t="n">
        <v>2</v>
      </c>
      <c r="M167" t="n">
        <v>5.951</v>
      </c>
      <c r="N167" t="inlineStr">
        <is>
          <t>Direct</t>
        </is>
      </c>
      <c r="O167" t="inlineStr">
        <is>
          <t>22.23-0-2-ERW 1-PE-5.951</t>
        </is>
      </c>
    </row>
    <row r="168">
      <c r="A168" t="inlineStr">
        <is>
          <t>0000943209</t>
        </is>
      </c>
      <c r="B168" t="inlineStr">
        <is>
          <t>MEGH STEELS PRIVATE LIMITED - TVS A</t>
        </is>
      </c>
      <c r="C168" t="inlineStr">
        <is>
          <t>KG</t>
        </is>
      </c>
      <c r="D168" t="n">
        <v>300</v>
      </c>
      <c r="E168" t="n">
        <v>1785.295</v>
      </c>
      <c r="F168" t="n">
        <v>3905466</v>
      </c>
      <c r="G168" t="inlineStr">
        <is>
          <t>056</t>
        </is>
      </c>
      <c r="H168" t="inlineStr">
        <is>
          <t>TUB-O-N-AUT-AW-PE-22.20X2.000X5.9510</t>
        </is>
      </c>
      <c r="I168" t="n">
        <v>1738.56</v>
      </c>
      <c r="J168" t="n">
        <v>22.2</v>
      </c>
      <c r="K168" t="n">
        <v>0</v>
      </c>
      <c r="L168" t="n">
        <v>2</v>
      </c>
      <c r="M168" t="n">
        <v>5.951</v>
      </c>
      <c r="N168" t="inlineStr">
        <is>
          <t>Direct</t>
        </is>
      </c>
      <c r="O168" t="inlineStr">
        <is>
          <t>22.23-0-2-ERW 1-PE-5.951</t>
        </is>
      </c>
    </row>
    <row r="169">
      <c r="A169" t="inlineStr">
        <is>
          <t>0000943209</t>
        </is>
      </c>
      <c r="B169" t="inlineStr">
        <is>
          <t>MEGH STEELS PRIVATE LIMITED - TVS A</t>
        </is>
      </c>
      <c r="C169" t="inlineStr">
        <is>
          <t>KG</t>
        </is>
      </c>
      <c r="D169" t="n">
        <v>419</v>
      </c>
      <c r="E169" t="n">
        <v>2493.462</v>
      </c>
      <c r="F169" t="n">
        <v>3905466</v>
      </c>
      <c r="G169" t="inlineStr">
        <is>
          <t>056</t>
        </is>
      </c>
      <c r="H169" t="inlineStr">
        <is>
          <t>TUB-O-N-AUT-AW-PE-22.20X2.000X5.9510</t>
        </is>
      </c>
      <c r="I169" t="n">
        <v>2428.189</v>
      </c>
      <c r="J169" t="n">
        <v>22.2</v>
      </c>
      <c r="K169" t="n">
        <v>0</v>
      </c>
      <c r="L169" t="n">
        <v>2</v>
      </c>
      <c r="M169" t="n">
        <v>5.951</v>
      </c>
      <c r="N169" t="inlineStr">
        <is>
          <t>Direct</t>
        </is>
      </c>
      <c r="O169" t="inlineStr">
        <is>
          <t>22.23-0-2-ERW 1-PE-5.951</t>
        </is>
      </c>
    </row>
    <row r="170">
      <c r="A170" t="inlineStr">
        <is>
          <t>0000943209</t>
        </is>
      </c>
      <c r="B170" t="inlineStr">
        <is>
          <t>MEGH STEELS PRIVATE LIMITED - TVS A</t>
        </is>
      </c>
      <c r="C170" t="inlineStr">
        <is>
          <t>KG</t>
        </is>
      </c>
      <c r="D170" t="n">
        <v>395</v>
      </c>
      <c r="E170" t="n">
        <v>2350.638</v>
      </c>
      <c r="F170" t="n">
        <v>3905466</v>
      </c>
      <c r="G170" t="inlineStr">
        <is>
          <t>056</t>
        </is>
      </c>
      <c r="H170" t="inlineStr">
        <is>
          <t>TUB-O-N-AUT-AW-PE-22.20X2.000X5.9510</t>
        </is>
      </c>
      <c r="I170" t="n">
        <v>2289.104</v>
      </c>
      <c r="J170" t="n">
        <v>22.2</v>
      </c>
      <c r="K170" t="n">
        <v>0</v>
      </c>
      <c r="L170" t="n">
        <v>2</v>
      </c>
      <c r="M170" t="n">
        <v>5.951</v>
      </c>
      <c r="N170" t="inlineStr">
        <is>
          <t>Direct</t>
        </is>
      </c>
      <c r="O170" t="inlineStr">
        <is>
          <t>22.23-0-2-ERW 1-PE-5.951</t>
        </is>
      </c>
    </row>
    <row r="171">
      <c r="A171" t="inlineStr">
        <is>
          <t>0000943209</t>
        </is>
      </c>
      <c r="B171" t="inlineStr">
        <is>
          <t>MEGH STEELS PRIVATE LIMITED - TVS A</t>
        </is>
      </c>
      <c r="C171" t="inlineStr">
        <is>
          <t>KG</t>
        </is>
      </c>
      <c r="D171" t="n">
        <v>422</v>
      </c>
      <c r="E171" t="n">
        <v>2511.315</v>
      </c>
      <c r="F171" t="n">
        <v>3905466</v>
      </c>
      <c r="G171" t="inlineStr">
        <is>
          <t>056</t>
        </is>
      </c>
      <c r="H171" t="inlineStr">
        <is>
          <t>TUB-O-N-AUT-AW-PE-22.20X2.000X5.9510</t>
        </is>
      </c>
      <c r="I171" t="n">
        <v>2445.574</v>
      </c>
      <c r="J171" t="n">
        <v>22.2</v>
      </c>
      <c r="K171" t="n">
        <v>0</v>
      </c>
      <c r="L171" t="n">
        <v>2</v>
      </c>
      <c r="M171" t="n">
        <v>5.951</v>
      </c>
      <c r="N171" t="inlineStr">
        <is>
          <t>Direct</t>
        </is>
      </c>
      <c r="O171" t="inlineStr">
        <is>
          <t>22.23-0-2-ERW 1-PE-5.951</t>
        </is>
      </c>
    </row>
    <row r="172">
      <c r="A172" t="inlineStr">
        <is>
          <t>0000943209</t>
        </is>
      </c>
      <c r="B172" t="inlineStr">
        <is>
          <t>MEGH STEELS PRIVATE LIMITED - TVS A</t>
        </is>
      </c>
      <c r="C172" t="inlineStr">
        <is>
          <t>KG</t>
        </is>
      </c>
      <c r="D172" t="n">
        <v>417</v>
      </c>
      <c r="E172" t="n">
        <v>2481.56</v>
      </c>
      <c r="F172" t="n">
        <v>3905466</v>
      </c>
      <c r="G172" t="inlineStr">
        <is>
          <t>056</t>
        </is>
      </c>
      <c r="H172" t="inlineStr">
        <is>
          <t>TUB-O-N-AUT-AW-PE-22.20X2.000X5.9510</t>
        </is>
      </c>
      <c r="I172" t="n">
        <v>2416.598</v>
      </c>
      <c r="J172" t="n">
        <v>22.2</v>
      </c>
      <c r="K172" t="n">
        <v>0</v>
      </c>
      <c r="L172" t="n">
        <v>2</v>
      </c>
      <c r="M172" t="n">
        <v>5.951</v>
      </c>
      <c r="N172" t="inlineStr">
        <is>
          <t>Direct</t>
        </is>
      </c>
      <c r="O172" t="inlineStr">
        <is>
          <t>22.23-0-2-ERW 1-PE-5.951</t>
        </is>
      </c>
    </row>
    <row r="173">
      <c r="A173" t="inlineStr">
        <is>
          <t>0000943209</t>
        </is>
      </c>
      <c r="B173" t="inlineStr">
        <is>
          <t>MEGH STEELS PRIVATE LIMITED - TVS A</t>
        </is>
      </c>
      <c r="C173" t="inlineStr">
        <is>
          <t>KG</t>
        </is>
      </c>
      <c r="D173" t="n">
        <v>418</v>
      </c>
      <c r="E173" t="n">
        <v>2487.512</v>
      </c>
      <c r="F173" t="n">
        <v>3905466</v>
      </c>
      <c r="G173" t="inlineStr">
        <is>
          <t>056</t>
        </is>
      </c>
      <c r="H173" t="inlineStr">
        <is>
          <t>TUB-O-N-AUT-AW-PE-22.20X2.000X5.9510</t>
        </is>
      </c>
      <c r="I173" t="n">
        <v>2422.394</v>
      </c>
      <c r="J173" t="n">
        <v>22.2</v>
      </c>
      <c r="K173" t="n">
        <v>0</v>
      </c>
      <c r="L173" t="n">
        <v>2</v>
      </c>
      <c r="M173" t="n">
        <v>5.951</v>
      </c>
      <c r="N173" t="inlineStr">
        <is>
          <t>Direct</t>
        </is>
      </c>
      <c r="O173" t="inlineStr">
        <is>
          <t>22.23-0-2-ERW 1-PE-5.951</t>
        </is>
      </c>
    </row>
    <row r="174">
      <c r="A174" t="inlineStr">
        <is>
          <t>0000943209</t>
        </is>
      </c>
      <c r="B174" t="inlineStr">
        <is>
          <t>MEGH STEELS PRIVATE LIMITED - TVS A</t>
        </is>
      </c>
      <c r="C174" t="inlineStr">
        <is>
          <t>KG</t>
        </is>
      </c>
      <c r="D174" t="n">
        <v>423</v>
      </c>
      <c r="E174" t="n">
        <v>2517.266</v>
      </c>
      <c r="F174" t="n">
        <v>3905466</v>
      </c>
      <c r="G174" t="inlineStr">
        <is>
          <t>056</t>
        </is>
      </c>
      <c r="H174" t="inlineStr">
        <is>
          <t>TUB-O-N-AUT-AW-PE-22.20X2.000X5.9510</t>
        </is>
      </c>
      <c r="I174" t="n">
        <v>2451.37</v>
      </c>
      <c r="J174" t="n">
        <v>22.2</v>
      </c>
      <c r="K174" t="n">
        <v>0</v>
      </c>
      <c r="L174" t="n">
        <v>2</v>
      </c>
      <c r="M174" t="n">
        <v>5.951</v>
      </c>
      <c r="N174" t="inlineStr">
        <is>
          <t>Direct</t>
        </is>
      </c>
      <c r="O174" t="inlineStr">
        <is>
          <t>22.23-0-2-ERW 1-PE-5.951</t>
        </is>
      </c>
    </row>
    <row r="175">
      <c r="A175" t="inlineStr">
        <is>
          <t>0000943209</t>
        </is>
      </c>
      <c r="B175" t="inlineStr">
        <is>
          <t>MEGH STEELS PRIVATE LIMITED - TVS A</t>
        </is>
      </c>
      <c r="C175" t="inlineStr">
        <is>
          <t>KG</t>
        </is>
      </c>
      <c r="D175" t="n">
        <v>419</v>
      </c>
      <c r="E175" t="n">
        <v>2493.461</v>
      </c>
      <c r="F175" t="n">
        <v>3905466</v>
      </c>
      <c r="G175" t="inlineStr">
        <is>
          <t>056</t>
        </is>
      </c>
      <c r="H175" t="inlineStr">
        <is>
          <t>TUB-O-N-AUT-AW-PE-22.20X2.000X5.9510</t>
        </is>
      </c>
      <c r="I175" t="n">
        <v>2428.188</v>
      </c>
      <c r="J175" t="n">
        <v>22.2</v>
      </c>
      <c r="K175" t="n">
        <v>0</v>
      </c>
      <c r="L175" t="n">
        <v>2</v>
      </c>
      <c r="M175" t="n">
        <v>5.951</v>
      </c>
      <c r="N175" t="inlineStr">
        <is>
          <t>Direct</t>
        </is>
      </c>
      <c r="O175" t="inlineStr">
        <is>
          <t>22.23-0-2-ERW 1-PE-5.951</t>
        </is>
      </c>
    </row>
    <row r="176">
      <c r="A176" t="inlineStr">
        <is>
          <t>0000943209</t>
        </is>
      </c>
      <c r="B176" t="inlineStr">
        <is>
          <t>MEGH STEELS PRIVATE LIMITED - TVS A</t>
        </is>
      </c>
      <c r="C176" t="inlineStr">
        <is>
          <t>KG</t>
        </is>
      </c>
      <c r="D176" t="n">
        <v>416</v>
      </c>
      <c r="E176" t="n">
        <v>2441.942</v>
      </c>
      <c r="F176" t="n">
        <v>3882110</v>
      </c>
      <c r="G176" t="inlineStr">
        <is>
          <t>056</t>
        </is>
      </c>
      <c r="H176" t="inlineStr">
        <is>
          <t>TUB-O-N-AUT-AW-PE-22.20X1.200X5.8700</t>
        </is>
      </c>
      <c r="I176" t="n">
        <v>1433.827</v>
      </c>
      <c r="J176" t="n">
        <v>22.2</v>
      </c>
      <c r="K176" t="n">
        <v>0</v>
      </c>
      <c r="L176" t="n">
        <v>1.2</v>
      </c>
      <c r="M176" t="n">
        <v>5.87</v>
      </c>
      <c r="N176" t="inlineStr">
        <is>
          <t>Direct</t>
        </is>
      </c>
      <c r="O176" t="inlineStr">
        <is>
          <t>22.23-0-1.2-ERW 1-PE-5.87</t>
        </is>
      </c>
    </row>
    <row r="177">
      <c r="A177" t="inlineStr">
        <is>
          <t>0000943209</t>
        </is>
      </c>
      <c r="B177" t="inlineStr">
        <is>
          <t>MEGH STEELS PRIVATE LIMITED - TVS A</t>
        </is>
      </c>
      <c r="C177" t="inlineStr">
        <is>
          <t>KG</t>
        </is>
      </c>
      <c r="D177" t="n">
        <v>420</v>
      </c>
      <c r="E177" t="n">
        <v>2465.423</v>
      </c>
      <c r="F177" t="n">
        <v>3882110</v>
      </c>
      <c r="G177" t="inlineStr">
        <is>
          <t>056</t>
        </is>
      </c>
      <c r="H177" t="inlineStr">
        <is>
          <t>TUB-O-N-AUT-AW-PE-22.20X1.200X5.8700</t>
        </is>
      </c>
      <c r="I177" t="n">
        <v>1447.614</v>
      </c>
      <c r="J177" t="n">
        <v>22.2</v>
      </c>
      <c r="K177" t="n">
        <v>0</v>
      </c>
      <c r="L177" t="n">
        <v>1.2</v>
      </c>
      <c r="M177" t="n">
        <v>5.87</v>
      </c>
      <c r="N177" t="inlineStr">
        <is>
          <t>Direct</t>
        </is>
      </c>
      <c r="O177" t="inlineStr">
        <is>
          <t>22.23-0-1.2-ERW 1-PE-5.87</t>
        </is>
      </c>
    </row>
    <row r="178">
      <c r="A178" t="inlineStr">
        <is>
          <t>0000943209</t>
        </is>
      </c>
      <c r="B178" t="inlineStr">
        <is>
          <t>MEGH STEELS PRIVATE LIMITED - TVS A</t>
        </is>
      </c>
      <c r="C178" t="inlineStr">
        <is>
          <t>KG</t>
        </is>
      </c>
      <c r="D178" t="n">
        <v>417</v>
      </c>
      <c r="E178" t="n">
        <v>2447.813</v>
      </c>
      <c r="F178" t="n">
        <v>3882110</v>
      </c>
      <c r="G178" t="inlineStr">
        <is>
          <t>056</t>
        </is>
      </c>
      <c r="H178" t="inlineStr">
        <is>
          <t>TUB-O-N-AUT-AW-PE-22.20X1.200X5.8700</t>
        </is>
      </c>
      <c r="I178" t="n">
        <v>1437.274</v>
      </c>
      <c r="J178" t="n">
        <v>22.2</v>
      </c>
      <c r="K178" t="n">
        <v>0</v>
      </c>
      <c r="L178" t="n">
        <v>1.2</v>
      </c>
      <c r="M178" t="n">
        <v>5.87</v>
      </c>
      <c r="N178" t="inlineStr">
        <is>
          <t>Direct</t>
        </is>
      </c>
      <c r="O178" t="inlineStr">
        <is>
          <t>22.23-0-1.2-ERW 1-PE-5.87</t>
        </is>
      </c>
    </row>
    <row r="179">
      <c r="A179" t="inlineStr">
        <is>
          <t>0000943209</t>
        </is>
      </c>
      <c r="B179" t="inlineStr">
        <is>
          <t>MEGH STEELS PRIVATE LIMITED - TVS A</t>
        </is>
      </c>
      <c r="C179" t="inlineStr">
        <is>
          <t>KG</t>
        </is>
      </c>
      <c r="D179" t="n">
        <v>444</v>
      </c>
      <c r="E179" t="n">
        <v>3107.989</v>
      </c>
      <c r="F179" t="n">
        <v>3500582</v>
      </c>
      <c r="G179" t="inlineStr">
        <is>
          <t>056</t>
        </is>
      </c>
      <c r="H179" t="inlineStr">
        <is>
          <t>TUB-O-N-AUT-AW-PE-19.05X2.300X7.00-ERW 1</t>
        </is>
      </c>
      <c r="I179" t="n">
        <v>2952.866</v>
      </c>
      <c r="J179" t="n">
        <v>19.05</v>
      </c>
      <c r="K179" t="n">
        <v>0</v>
      </c>
      <c r="L179" t="n">
        <v>2.3</v>
      </c>
      <c r="M179" t="n">
        <v>7</v>
      </c>
      <c r="N179" t="inlineStr">
        <is>
          <t>Direct</t>
        </is>
      </c>
      <c r="O179" t="inlineStr">
        <is>
          <t>19.05-0-2.3-ERW 1-PE-7</t>
        </is>
      </c>
    </row>
    <row r="180">
      <c r="A180" t="inlineStr">
        <is>
          <t>0000943209</t>
        </is>
      </c>
      <c r="B180" t="inlineStr">
        <is>
          <t>MEGH STEELS PRIVATE LIMITED - TVS A</t>
        </is>
      </c>
      <c r="C180" t="inlineStr">
        <is>
          <t>KG</t>
        </is>
      </c>
      <c r="D180" t="n">
        <v>419</v>
      </c>
      <c r="E180" t="n">
        <v>2493.462</v>
      </c>
      <c r="F180" t="n">
        <v>3905466</v>
      </c>
      <c r="G180" t="inlineStr">
        <is>
          <t>056</t>
        </is>
      </c>
      <c r="H180" t="inlineStr">
        <is>
          <t>TUB-O-N-AUT-AW-PE-22.20X2.000X5.9510</t>
        </is>
      </c>
      <c r="I180" t="n">
        <v>2428.189</v>
      </c>
      <c r="J180" t="n">
        <v>22.2</v>
      </c>
      <c r="K180" t="n">
        <v>0</v>
      </c>
      <c r="L180" t="n">
        <v>2</v>
      </c>
      <c r="M180" t="n">
        <v>5.951</v>
      </c>
      <c r="N180" t="inlineStr">
        <is>
          <t>Direct</t>
        </is>
      </c>
      <c r="O180" t="inlineStr">
        <is>
          <t>22.23-0-2-ERW 1-PE-5.951</t>
        </is>
      </c>
    </row>
    <row r="181">
      <c r="A181" t="inlineStr">
        <is>
          <t>0000943209</t>
        </is>
      </c>
      <c r="B181" t="inlineStr">
        <is>
          <t>MEGH STEELS PRIVATE LIMITED - TVS A</t>
        </is>
      </c>
      <c r="C181" t="inlineStr">
        <is>
          <t>KG</t>
        </is>
      </c>
      <c r="D181" t="n">
        <v>90</v>
      </c>
      <c r="E181" t="n">
        <v>535.501</v>
      </c>
      <c r="F181" t="n">
        <v>4045220</v>
      </c>
      <c r="G181" t="inlineStr">
        <is>
          <t>056</t>
        </is>
      </c>
      <c r="H181" t="inlineStr">
        <is>
          <t>TUB-O-N-AUT-AW-FC-57.15X2.500X5.9500</t>
        </is>
      </c>
      <c r="I181" t="n">
        <v>1735.29</v>
      </c>
      <c r="J181" t="n">
        <v>57.15</v>
      </c>
      <c r="K181" t="n">
        <v>0</v>
      </c>
      <c r="L181" t="n">
        <v>2.5</v>
      </c>
      <c r="M181" t="n">
        <v>5.95</v>
      </c>
      <c r="N181" t="inlineStr">
        <is>
          <t>Direct</t>
        </is>
      </c>
      <c r="O181" t="inlineStr">
        <is>
          <t>57.15-0-2.5-ERW 1-FC-5.95</t>
        </is>
      </c>
    </row>
    <row r="182">
      <c r="A182" t="inlineStr">
        <is>
          <t>0000943209</t>
        </is>
      </c>
      <c r="B182" t="inlineStr">
        <is>
          <t>MEGH STEELS PRIVATE LIMITED - TVS A</t>
        </is>
      </c>
      <c r="C182" t="inlineStr">
        <is>
          <t>KG</t>
        </is>
      </c>
      <c r="D182" t="n">
        <v>560</v>
      </c>
      <c r="E182" t="n">
        <v>3359.944</v>
      </c>
      <c r="F182" t="n">
        <v>3498997</v>
      </c>
      <c r="G182" t="inlineStr">
        <is>
          <t>056</t>
        </is>
      </c>
      <c r="H182" t="inlineStr">
        <is>
          <t>TUB-O-N-AUT-AW-PE-19.05X1.60X6.000-ERW 1</t>
        </is>
      </c>
      <c r="I182" t="n">
        <v>2234.4</v>
      </c>
      <c r="J182" t="n">
        <v>19.05</v>
      </c>
      <c r="K182" t="n">
        <v>0</v>
      </c>
      <c r="L182" t="n">
        <v>1.6</v>
      </c>
      <c r="M182" t="n">
        <v>6</v>
      </c>
      <c r="N182" t="inlineStr">
        <is>
          <t>Direct</t>
        </is>
      </c>
      <c r="O182" t="inlineStr">
        <is>
          <t>19.05-0-1.6-ERW 1-PE-6</t>
        </is>
      </c>
    </row>
    <row r="183">
      <c r="A183" t="inlineStr">
        <is>
          <t>0000943209</t>
        </is>
      </c>
      <c r="B183" t="inlineStr">
        <is>
          <t>MEGH STEELS PRIVATE LIMITED - TVS A</t>
        </is>
      </c>
      <c r="C183" t="inlineStr">
        <is>
          <t>KG</t>
        </is>
      </c>
      <c r="D183" t="n">
        <v>419</v>
      </c>
      <c r="E183" t="n">
        <v>2382.013</v>
      </c>
      <c r="F183" t="n">
        <v>4173571</v>
      </c>
      <c r="G183" t="inlineStr">
        <is>
          <t>056</t>
        </is>
      </c>
      <c r="H183" t="inlineStr">
        <is>
          <t>TUB-O-N-AUT-AW-PE-22.20X1.600X5.6850</t>
        </is>
      </c>
      <c r="I183" t="n">
        <v>1869.033</v>
      </c>
      <c r="J183" t="n">
        <v>22.2</v>
      </c>
      <c r="K183" t="n">
        <v>0</v>
      </c>
      <c r="L183" t="n">
        <v>1.6</v>
      </c>
      <c r="M183" t="n">
        <v>5.685</v>
      </c>
      <c r="N183" t="inlineStr">
        <is>
          <t>Direct</t>
        </is>
      </c>
    </row>
    <row r="184">
      <c r="A184" t="inlineStr">
        <is>
          <t>0000943209</t>
        </is>
      </c>
      <c r="B184" t="inlineStr">
        <is>
          <t>MEGH STEELS PRIVATE LIMITED - TVS A</t>
        </is>
      </c>
      <c r="C184" t="inlineStr">
        <is>
          <t>KG</t>
        </is>
      </c>
      <c r="D184" t="n">
        <v>350</v>
      </c>
      <c r="E184" t="n">
        <v>1935.529</v>
      </c>
      <c r="F184" t="n">
        <v>3502256</v>
      </c>
      <c r="G184" t="inlineStr">
        <is>
          <t>056</t>
        </is>
      </c>
      <c r="H184" t="inlineStr">
        <is>
          <t>TUB-O-N-AUT-AW-PE-25.40X2.500X5.5300</t>
        </is>
      </c>
      <c r="I184" t="n">
        <v>2634.835</v>
      </c>
      <c r="J184" t="n">
        <v>25.4</v>
      </c>
      <c r="K184" t="n">
        <v>0</v>
      </c>
      <c r="L184" t="n">
        <v>2.5</v>
      </c>
      <c r="M184" t="n">
        <v>5.53</v>
      </c>
      <c r="N184" t="inlineStr">
        <is>
          <t>Direct</t>
        </is>
      </c>
      <c r="O184" t="inlineStr">
        <is>
          <t>25.4-0-2.5-ERW 1-PE-5.53</t>
        </is>
      </c>
    </row>
    <row r="185">
      <c r="A185" t="inlineStr">
        <is>
          <t>0000943209</t>
        </is>
      </c>
      <c r="B185" t="inlineStr">
        <is>
          <t>MEGH STEELS PRIVATE LIMITED - TVS A</t>
        </is>
      </c>
      <c r="C185" t="inlineStr">
        <is>
          <t>KG</t>
        </is>
      </c>
      <c r="D185" t="n">
        <v>116</v>
      </c>
      <c r="E185" t="n">
        <v>695.979</v>
      </c>
      <c r="F185" t="n">
        <v>3500650</v>
      </c>
      <c r="G185" t="inlineStr">
        <is>
          <t>056</t>
        </is>
      </c>
      <c r="H185" t="inlineStr">
        <is>
          <t>TUB-O-N-AUT-BH-FC-42.70X3.500X6.000</t>
        </is>
      </c>
      <c r="I185" t="n">
        <v>2354.916</v>
      </c>
      <c r="J185" t="n">
        <v>42.7</v>
      </c>
      <c r="K185" t="n">
        <v>0</v>
      </c>
      <c r="L185" t="n">
        <v>3.5</v>
      </c>
      <c r="M185" t="n">
        <v>6</v>
      </c>
      <c r="N185" t="inlineStr">
        <is>
          <t>Direct</t>
        </is>
      </c>
      <c r="O185" t="inlineStr">
        <is>
          <t>42.7-0-3.5-ERW 1-FC-6</t>
        </is>
      </c>
    </row>
    <row r="186">
      <c r="A186" t="inlineStr">
        <is>
          <t>0000943209</t>
        </is>
      </c>
      <c r="B186" t="inlineStr">
        <is>
          <t>MEGH STEELS PRIVATE LIMITED - TVS A</t>
        </is>
      </c>
      <c r="C186" t="inlineStr">
        <is>
          <t>KG</t>
        </is>
      </c>
      <c r="D186" t="n">
        <v>219</v>
      </c>
      <c r="E186" t="n">
        <v>1355.561</v>
      </c>
      <c r="F186" t="n">
        <v>3502007</v>
      </c>
      <c r="G186" t="inlineStr">
        <is>
          <t>056</t>
        </is>
      </c>
      <c r="H186" t="inlineStr">
        <is>
          <t>TUB-O-N-AUT-AH-FC-38.10X2.500X6.1900 HST</t>
        </is>
      </c>
      <c r="I186" t="n">
        <v>2864.301</v>
      </c>
      <c r="J186" t="n">
        <v>38.1</v>
      </c>
      <c r="K186" t="n">
        <v>0</v>
      </c>
      <c r="L186" t="n">
        <v>2.5</v>
      </c>
      <c r="M186" t="n">
        <v>6.19</v>
      </c>
      <c r="N186" t="inlineStr">
        <is>
          <t>Direct</t>
        </is>
      </c>
      <c r="O186" t="inlineStr">
        <is>
          <t>38.1-0-2.5-ERW 2 MAHS-FC-6.19</t>
        </is>
      </c>
    </row>
    <row r="187">
      <c r="A187" t="inlineStr">
        <is>
          <t>0000943209</t>
        </is>
      </c>
      <c r="B187" t="inlineStr">
        <is>
          <t>MEGH STEELS PRIVATE LIMITED - TVS A</t>
        </is>
      </c>
      <c r="C187" t="inlineStr">
        <is>
          <t>KG</t>
        </is>
      </c>
      <c r="D187" t="n">
        <v>216</v>
      </c>
      <c r="E187" t="n">
        <v>1336.992</v>
      </c>
      <c r="F187" t="n">
        <v>3502007</v>
      </c>
      <c r="G187" t="inlineStr">
        <is>
          <t>056</t>
        </is>
      </c>
      <c r="H187" t="inlineStr">
        <is>
          <t>TUB-O-N-AUT-AH-FC-38.10X2.500X6.1900 HST</t>
        </is>
      </c>
      <c r="I187" t="n">
        <v>2825.064</v>
      </c>
      <c r="J187" t="n">
        <v>38.1</v>
      </c>
      <c r="K187" t="n">
        <v>0</v>
      </c>
      <c r="L187" t="n">
        <v>2.5</v>
      </c>
      <c r="M187" t="n">
        <v>6.19</v>
      </c>
      <c r="N187" t="inlineStr">
        <is>
          <t>Direct</t>
        </is>
      </c>
      <c r="O187" t="inlineStr">
        <is>
          <t>38.1-0-2.5-ERW 2 MAHS-FC-6.19</t>
        </is>
      </c>
    </row>
    <row r="188">
      <c r="A188" t="inlineStr">
        <is>
          <t>0000943209</t>
        </is>
      </c>
      <c r="B188" t="inlineStr">
        <is>
          <t>MEGH STEELS PRIVATE LIMITED - TVS A</t>
        </is>
      </c>
      <c r="C188" t="inlineStr">
        <is>
          <t>KG</t>
        </is>
      </c>
      <c r="D188" t="n">
        <v>88</v>
      </c>
      <c r="E188" t="n">
        <v>544.7</v>
      </c>
      <c r="F188" t="n">
        <v>3502007</v>
      </c>
      <c r="G188" t="inlineStr">
        <is>
          <t>056</t>
        </is>
      </c>
      <c r="H188" t="inlineStr">
        <is>
          <t>TUB-O-N-AUT-AH-FC-38.10X2.500X6.1900 HST</t>
        </is>
      </c>
      <c r="I188" t="n">
        <v>1150.952</v>
      </c>
      <c r="J188" t="n">
        <v>38.1</v>
      </c>
      <c r="K188" t="n">
        <v>0</v>
      </c>
      <c r="L188" t="n">
        <v>2.5</v>
      </c>
      <c r="M188" t="n">
        <v>6.19</v>
      </c>
      <c r="N188" t="inlineStr">
        <is>
          <t>Direct</t>
        </is>
      </c>
      <c r="O188" t="inlineStr">
        <is>
          <t>38.1-0-2.5-ERW 2 MAHS-FC-6.19</t>
        </is>
      </c>
    </row>
    <row r="189">
      <c r="A189" t="inlineStr">
        <is>
          <t>0000943209</t>
        </is>
      </c>
      <c r="B189" t="inlineStr">
        <is>
          <t>MEGH STEELS PRIVATE LIMITED - TVS A</t>
        </is>
      </c>
      <c r="C189" t="inlineStr">
        <is>
          <t>KG</t>
        </is>
      </c>
      <c r="D189" t="n">
        <v>216</v>
      </c>
      <c r="E189" t="n">
        <v>1336.992</v>
      </c>
      <c r="F189" t="n">
        <v>3502007</v>
      </c>
      <c r="G189" t="inlineStr">
        <is>
          <t>056</t>
        </is>
      </c>
      <c r="H189" t="inlineStr">
        <is>
          <t>TUB-O-N-AUT-AH-FC-38.10X2.500X6.1900 HST</t>
        </is>
      </c>
      <c r="I189" t="n">
        <v>2825.064</v>
      </c>
      <c r="J189" t="n">
        <v>38.1</v>
      </c>
      <c r="K189" t="n">
        <v>0</v>
      </c>
      <c r="L189" t="n">
        <v>2.5</v>
      </c>
      <c r="M189" t="n">
        <v>6.19</v>
      </c>
      <c r="N189" t="inlineStr">
        <is>
          <t>Direct</t>
        </is>
      </c>
      <c r="O189" t="inlineStr">
        <is>
          <t>38.1-0-2.5-ERW 2 MAHS-FC-6.19</t>
        </is>
      </c>
    </row>
    <row r="190">
      <c r="A190" t="inlineStr">
        <is>
          <t>0000943209</t>
        </is>
      </c>
      <c r="B190" t="inlineStr">
        <is>
          <t>MEGH STEELS PRIVATE LIMITED - TVS A</t>
        </is>
      </c>
      <c r="C190" t="inlineStr">
        <is>
          <t>KG</t>
        </is>
      </c>
      <c r="D190" t="n">
        <v>126</v>
      </c>
      <c r="E190" t="n">
        <v>745.88</v>
      </c>
      <c r="F190" t="n">
        <v>3500391</v>
      </c>
      <c r="G190" t="inlineStr">
        <is>
          <t>0788</t>
        </is>
      </c>
      <c r="H190" t="inlineStr">
        <is>
          <t>TUB-O-N-AUT-AW-FC-54.00X3.000X5.910</t>
        </is>
      </c>
      <c r="I190" t="n">
        <v>2770.2</v>
      </c>
      <c r="J190" t="n">
        <v>54</v>
      </c>
      <c r="K190" t="n">
        <v>0</v>
      </c>
      <c r="L190" t="n">
        <v>3</v>
      </c>
      <c r="M190" t="n">
        <v>5.91</v>
      </c>
      <c r="N190" t="inlineStr">
        <is>
          <t>Direct</t>
        </is>
      </c>
    </row>
    <row r="191">
      <c r="A191" t="inlineStr">
        <is>
          <t>0000943211</t>
        </is>
      </c>
      <c r="B191" t="inlineStr">
        <is>
          <t>MEGH STEELS PRIVATE LIMITED - RE</t>
        </is>
      </c>
      <c r="C191" t="inlineStr">
        <is>
          <t>KG</t>
        </is>
      </c>
      <c r="D191" t="n">
        <v>92</v>
      </c>
      <c r="E191" t="n">
        <v>560.948</v>
      </c>
      <c r="F191" t="n">
        <v>3500641</v>
      </c>
      <c r="G191" t="inlineStr">
        <is>
          <t>0788</t>
        </is>
      </c>
      <c r="H191" t="inlineStr">
        <is>
          <t>TUB-S-AW-SHS-50.0X50.0X1.6X6.121 FC HDP</t>
        </is>
      </c>
      <c r="I191" t="n">
        <v>1335</v>
      </c>
      <c r="J191" t="n">
        <v>50</v>
      </c>
      <c r="K191" t="n">
        <v>50</v>
      </c>
      <c r="L191" t="n">
        <v>1.6</v>
      </c>
      <c r="M191" t="n">
        <v>6.1</v>
      </c>
      <c r="N191" t="inlineStr">
        <is>
          <t>Direct</t>
        </is>
      </c>
      <c r="O191" t="inlineStr">
        <is>
          <t>50-50-1.6-ERW 1-FIN CUT-6.04</t>
        </is>
      </c>
    </row>
    <row r="192">
      <c r="A192" t="inlineStr">
        <is>
          <t>0000943211</t>
        </is>
      </c>
      <c r="B192" t="inlineStr">
        <is>
          <t>MEGH STEELS PRIVATE LIMITED - RE</t>
        </is>
      </c>
      <c r="C192" t="inlineStr">
        <is>
          <t>KG</t>
        </is>
      </c>
      <c r="D192" t="n">
        <v>92</v>
      </c>
      <c r="E192" t="n">
        <v>560.948</v>
      </c>
      <c r="F192" t="n">
        <v>3500641</v>
      </c>
      <c r="G192" t="inlineStr">
        <is>
          <t>0788</t>
        </is>
      </c>
      <c r="H192" t="inlineStr">
        <is>
          <t>TUB-S-AW-SHS-50.0X50.0X1.6X6.121 FC HDP</t>
        </is>
      </c>
      <c r="I192" t="n">
        <v>1335</v>
      </c>
      <c r="J192" t="n">
        <v>50</v>
      </c>
      <c r="K192" t="n">
        <v>50</v>
      </c>
      <c r="L192" t="n">
        <v>1.6</v>
      </c>
      <c r="M192" t="n">
        <v>6.1</v>
      </c>
      <c r="N192" t="inlineStr">
        <is>
          <t>Direct</t>
        </is>
      </c>
      <c r="O192" t="inlineStr">
        <is>
          <t>50-50-1.6-ERW 1-FIN CUT-6.04</t>
        </is>
      </c>
    </row>
    <row r="193">
      <c r="A193" t="inlineStr">
        <is>
          <t>0000943211</t>
        </is>
      </c>
      <c r="B193" t="inlineStr">
        <is>
          <t>MEGH STEELS PRIVATE LIMITED - RE</t>
        </is>
      </c>
      <c r="C193" t="inlineStr">
        <is>
          <t>KG</t>
        </is>
      </c>
      <c r="D193" t="n">
        <v>92</v>
      </c>
      <c r="E193" t="n">
        <v>560.948</v>
      </c>
      <c r="F193" t="n">
        <v>3500641</v>
      </c>
      <c r="G193" t="inlineStr">
        <is>
          <t>0788</t>
        </is>
      </c>
      <c r="H193" t="inlineStr">
        <is>
          <t>TUB-S-AW-SHS-50.0X50.0X1.6X6.121 FC HDP</t>
        </is>
      </c>
      <c r="I193" t="n">
        <v>1335</v>
      </c>
      <c r="J193" t="n">
        <v>50</v>
      </c>
      <c r="K193" t="n">
        <v>50</v>
      </c>
      <c r="L193" t="n">
        <v>1.6</v>
      </c>
      <c r="M193" t="n">
        <v>6.1</v>
      </c>
      <c r="N193" t="inlineStr">
        <is>
          <t>Direct</t>
        </is>
      </c>
      <c r="O193" t="inlineStr">
        <is>
          <t>50-50-1.6-ERW 1-FIN CUT-6.04</t>
        </is>
      </c>
    </row>
    <row r="194">
      <c r="A194" t="inlineStr">
        <is>
          <t>0000943211</t>
        </is>
      </c>
      <c r="B194" t="inlineStr">
        <is>
          <t>MEGH STEELS PRIVATE LIMITED - RE</t>
        </is>
      </c>
      <c r="C194" t="inlineStr">
        <is>
          <t>KG</t>
        </is>
      </c>
      <c r="D194" t="n">
        <v>92</v>
      </c>
      <c r="E194" t="n">
        <v>560.948</v>
      </c>
      <c r="F194" t="n">
        <v>3500641</v>
      </c>
      <c r="G194" t="inlineStr">
        <is>
          <t>0788</t>
        </is>
      </c>
      <c r="H194" t="inlineStr">
        <is>
          <t>TUB-S-AW-SHS-50.0X50.0X1.6X6.121 FC HDP</t>
        </is>
      </c>
      <c r="I194" t="n">
        <v>1335</v>
      </c>
      <c r="J194" t="n">
        <v>50</v>
      </c>
      <c r="K194" t="n">
        <v>50</v>
      </c>
      <c r="L194" t="n">
        <v>1.6</v>
      </c>
      <c r="M194" t="n">
        <v>6.1</v>
      </c>
      <c r="N194" t="inlineStr">
        <is>
          <t>Direct</t>
        </is>
      </c>
      <c r="O194" t="inlineStr">
        <is>
          <t>50-50-1.6-ERW 1-FIN CUT-6.04</t>
        </is>
      </c>
    </row>
    <row r="195">
      <c r="A195" t="inlineStr">
        <is>
          <t>0000943209</t>
        </is>
      </c>
      <c r="B195" t="inlineStr">
        <is>
          <t>MEGH STEELS PRIVATE LIMITED - TVS A</t>
        </is>
      </c>
      <c r="C195" t="inlineStr">
        <is>
          <t>KG</t>
        </is>
      </c>
      <c r="D195" t="n">
        <v>61</v>
      </c>
      <c r="E195" t="n">
        <v>337.371</v>
      </c>
      <c r="F195" t="n">
        <v>3500714</v>
      </c>
      <c r="G195" t="inlineStr">
        <is>
          <t>0788</t>
        </is>
      </c>
      <c r="H195" t="inlineStr">
        <is>
          <t>TUB-O-N-AUT-BH-FC-42.70X4.000X5.50-ERW 1</t>
        </is>
      </c>
      <c r="I195" t="n">
        <v>1259</v>
      </c>
      <c r="J195" t="n">
        <v>42.7</v>
      </c>
      <c r="K195" t="n">
        <v>0</v>
      </c>
      <c r="L195" t="n">
        <v>4</v>
      </c>
      <c r="M195" t="n">
        <v>5.5</v>
      </c>
      <c r="N195" t="inlineStr">
        <is>
          <t>Direct</t>
        </is>
      </c>
      <c r="O195" t="inlineStr">
        <is>
          <t>42.7-0-4-ERW 1-FC-6</t>
        </is>
      </c>
    </row>
    <row r="196">
      <c r="A196" t="inlineStr">
        <is>
          <t>0000943209</t>
        </is>
      </c>
      <c r="B196" t="inlineStr">
        <is>
          <t>MEGH STEELS PRIVATE LIMITED - TVS A</t>
        </is>
      </c>
      <c r="C196" t="inlineStr">
        <is>
          <t>KG</t>
        </is>
      </c>
      <c r="D196" t="n">
        <v>128</v>
      </c>
      <c r="E196" t="n">
        <v>704.271</v>
      </c>
      <c r="F196" t="n">
        <v>3500714</v>
      </c>
      <c r="G196" t="inlineStr">
        <is>
          <t>0788</t>
        </is>
      </c>
      <c r="H196" t="inlineStr">
        <is>
          <t>TUB-O-N-AUT-BH-FC-42.70X4.000X5.50-ERW 1</t>
        </is>
      </c>
      <c r="I196" t="n">
        <v>2628.2</v>
      </c>
      <c r="J196" t="n">
        <v>42.7</v>
      </c>
      <c r="K196" t="n">
        <v>0</v>
      </c>
      <c r="L196" t="n">
        <v>4</v>
      </c>
      <c r="M196" t="n">
        <v>5.5</v>
      </c>
      <c r="N196" t="inlineStr">
        <is>
          <t>Direct</t>
        </is>
      </c>
      <c r="O196" t="inlineStr">
        <is>
          <t>42.7-0-4-ERW 1-FC-6</t>
        </is>
      </c>
    </row>
    <row r="197">
      <c r="A197" t="inlineStr">
        <is>
          <t>0000943209</t>
        </is>
      </c>
      <c r="B197" t="inlineStr">
        <is>
          <t>MEGH STEELS PRIVATE LIMITED - TVS A</t>
        </is>
      </c>
      <c r="C197" t="inlineStr">
        <is>
          <t>KG</t>
        </is>
      </c>
      <c r="D197" t="n">
        <v>114</v>
      </c>
      <c r="E197" t="n">
        <v>625.7569999999999</v>
      </c>
      <c r="F197" t="n">
        <v>3500714</v>
      </c>
      <c r="G197" t="inlineStr">
        <is>
          <t>0788</t>
        </is>
      </c>
      <c r="H197" t="inlineStr">
        <is>
          <t>TUB-O-N-AUT-BH-FC-42.70X4.000X5.50-ERW 1</t>
        </is>
      </c>
      <c r="I197" t="n">
        <v>2335.2</v>
      </c>
      <c r="J197" t="n">
        <v>42.7</v>
      </c>
      <c r="K197" t="n">
        <v>0</v>
      </c>
      <c r="L197" t="n">
        <v>4</v>
      </c>
      <c r="M197" t="n">
        <v>5.5</v>
      </c>
      <c r="N197" t="inlineStr">
        <is>
          <t>Direct</t>
        </is>
      </c>
      <c r="O197" t="inlineStr">
        <is>
          <t>42.7-0-4-ERW 1-FC-6</t>
        </is>
      </c>
    </row>
    <row r="198">
      <c r="A198" t="inlineStr">
        <is>
          <t>0000943209</t>
        </is>
      </c>
      <c r="B198" t="inlineStr">
        <is>
          <t>MEGH STEELS PRIVATE LIMITED - TVS A</t>
        </is>
      </c>
      <c r="C198" t="inlineStr">
        <is>
          <t>KG</t>
        </is>
      </c>
      <c r="D198" t="n">
        <v>93</v>
      </c>
      <c r="E198" t="n">
        <v>511.817</v>
      </c>
      <c r="F198" t="n">
        <v>3500714</v>
      </c>
      <c r="G198" t="inlineStr">
        <is>
          <t>0788</t>
        </is>
      </c>
      <c r="H198" t="inlineStr">
        <is>
          <t>TUB-O-N-AUT-BH-FC-42.70X4.000X5.50-ERW 1</t>
        </is>
      </c>
      <c r="I198" t="n">
        <v>1910</v>
      </c>
      <c r="J198" t="n">
        <v>42.7</v>
      </c>
      <c r="K198" t="n">
        <v>0</v>
      </c>
      <c r="L198" t="n">
        <v>4</v>
      </c>
      <c r="M198" t="n">
        <v>5.5</v>
      </c>
      <c r="N198" t="inlineStr">
        <is>
          <t>Direct</t>
        </is>
      </c>
      <c r="O198" t="inlineStr">
        <is>
          <t>42.7-0-4-ERW 1-FC-6</t>
        </is>
      </c>
    </row>
    <row r="199">
      <c r="A199" t="inlineStr">
        <is>
          <t>0000943209</t>
        </is>
      </c>
      <c r="B199" t="inlineStr">
        <is>
          <t>MEGH STEELS PRIVATE LIMITED - TVS A</t>
        </is>
      </c>
      <c r="C199" t="inlineStr">
        <is>
          <t>KG</t>
        </is>
      </c>
      <c r="D199" t="n">
        <v>107</v>
      </c>
      <c r="E199" t="n">
        <v>586.366</v>
      </c>
      <c r="F199" t="n">
        <v>3500714</v>
      </c>
      <c r="G199" t="inlineStr">
        <is>
          <t>0788</t>
        </is>
      </c>
      <c r="H199" t="inlineStr">
        <is>
          <t>TUB-O-N-AUT-BH-FC-42.70X4.000X5.50-ERW 1</t>
        </is>
      </c>
      <c r="I199" t="n">
        <v>2188.2</v>
      </c>
      <c r="J199" t="n">
        <v>42.7</v>
      </c>
      <c r="K199" t="n">
        <v>0</v>
      </c>
      <c r="L199" t="n">
        <v>4</v>
      </c>
      <c r="M199" t="n">
        <v>5.5</v>
      </c>
      <c r="N199" t="inlineStr">
        <is>
          <t>Direct</t>
        </is>
      </c>
      <c r="O199" t="inlineStr">
        <is>
          <t>42.7-0-4-ERW 1-FC-6</t>
        </is>
      </c>
    </row>
    <row r="200">
      <c r="A200" t="inlineStr">
        <is>
          <t>0000943209</t>
        </is>
      </c>
      <c r="B200" t="inlineStr">
        <is>
          <t>MEGH STEELS PRIVATE LIMITED - TVS A</t>
        </is>
      </c>
      <c r="C200" t="inlineStr">
        <is>
          <t>KG</t>
        </is>
      </c>
      <c r="D200" t="n">
        <v>112</v>
      </c>
      <c r="E200" t="n">
        <v>614.502</v>
      </c>
      <c r="F200" t="n">
        <v>3500714</v>
      </c>
      <c r="G200" t="inlineStr">
        <is>
          <t>0788</t>
        </is>
      </c>
      <c r="H200" t="inlineStr">
        <is>
          <t>TUB-O-N-AUT-BH-FC-42.70X4.000X5.50-ERW 1</t>
        </is>
      </c>
      <c r="I200" t="n">
        <v>2293.2</v>
      </c>
      <c r="J200" t="n">
        <v>42.7</v>
      </c>
      <c r="K200" t="n">
        <v>0</v>
      </c>
      <c r="L200" t="n">
        <v>4</v>
      </c>
      <c r="M200" t="n">
        <v>5.5</v>
      </c>
      <c r="N200" t="inlineStr">
        <is>
          <t>Direct</t>
        </is>
      </c>
      <c r="O200" t="inlineStr">
        <is>
          <t>42.7-0-4-ERW 1-FC-6</t>
        </is>
      </c>
    </row>
    <row r="201">
      <c r="A201" t="inlineStr">
        <is>
          <t>0000943209</t>
        </is>
      </c>
      <c r="B201" t="inlineStr">
        <is>
          <t>MEGH STEELS PRIVATE LIMITED - TVS A</t>
        </is>
      </c>
      <c r="C201" t="inlineStr">
        <is>
          <t>KG</t>
        </is>
      </c>
      <c r="D201" t="n">
        <v>118</v>
      </c>
      <c r="E201" t="n">
        <v>698.977</v>
      </c>
      <c r="F201" t="n">
        <v>3500391</v>
      </c>
      <c r="G201" t="inlineStr">
        <is>
          <t>0788</t>
        </is>
      </c>
      <c r="H201" t="inlineStr">
        <is>
          <t>TUB-O-N-AUT-AW-FC-54.00X3.000X5.910</t>
        </is>
      </c>
      <c r="I201" t="n">
        <v>2596</v>
      </c>
      <c r="J201" t="n">
        <v>54</v>
      </c>
      <c r="K201" t="n">
        <v>0</v>
      </c>
      <c r="L201" t="n">
        <v>3</v>
      </c>
      <c r="M201" t="n">
        <v>5.91</v>
      </c>
      <c r="N201" t="inlineStr">
        <is>
          <t>Direct</t>
        </is>
      </c>
    </row>
    <row r="202">
      <c r="A202" t="inlineStr">
        <is>
          <t>0000943209</t>
        </is>
      </c>
      <c r="B202" t="inlineStr">
        <is>
          <t>MEGH STEELS PRIVATE LIMITED - TVS A</t>
        </is>
      </c>
      <c r="C202" t="inlineStr">
        <is>
          <t>KG</t>
        </is>
      </c>
      <c r="D202" t="n">
        <v>131</v>
      </c>
      <c r="E202" t="n">
        <v>771.405</v>
      </c>
      <c r="F202" t="n">
        <v>3500391</v>
      </c>
      <c r="G202" t="inlineStr">
        <is>
          <t>0788</t>
        </is>
      </c>
      <c r="H202" t="inlineStr">
        <is>
          <t>TUB-O-N-AUT-AW-FC-54.00X3.000X5.910</t>
        </is>
      </c>
      <c r="I202" t="n">
        <v>2865</v>
      </c>
      <c r="J202" t="n">
        <v>54</v>
      </c>
      <c r="K202" t="n">
        <v>0</v>
      </c>
      <c r="L202" t="n">
        <v>3</v>
      </c>
      <c r="M202" t="n">
        <v>5.91</v>
      </c>
      <c r="N202" t="inlineStr">
        <is>
          <t>Direct</t>
        </is>
      </c>
    </row>
    <row r="203">
      <c r="A203" t="inlineStr">
        <is>
          <t>0000943209</t>
        </is>
      </c>
      <c r="B203" t="inlineStr">
        <is>
          <t>MEGH STEELS PRIVATE LIMITED - TVS A</t>
        </is>
      </c>
      <c r="C203" t="inlineStr">
        <is>
          <t>KG</t>
        </is>
      </c>
      <c r="D203" t="n">
        <v>144</v>
      </c>
      <c r="E203" t="n">
        <v>849.2190000000001</v>
      </c>
      <c r="F203" t="n">
        <v>3500391</v>
      </c>
      <c r="G203" t="inlineStr">
        <is>
          <t>0788</t>
        </is>
      </c>
      <c r="H203" t="inlineStr">
        <is>
          <t>TUB-O-N-AUT-AW-FC-54.00X3.000X5.910</t>
        </is>
      </c>
      <c r="I203" t="n">
        <v>3154</v>
      </c>
      <c r="J203" t="n">
        <v>54</v>
      </c>
      <c r="K203" t="n">
        <v>0</v>
      </c>
      <c r="L203" t="n">
        <v>3</v>
      </c>
      <c r="M203" t="n">
        <v>5.91</v>
      </c>
      <c r="N203" t="inlineStr">
        <is>
          <t>Direct</t>
        </is>
      </c>
    </row>
    <row r="204">
      <c r="A204" t="inlineStr">
        <is>
          <t>0000943209</t>
        </is>
      </c>
      <c r="B204" t="inlineStr">
        <is>
          <t>MEGH STEELS PRIVATE LIMITED - TVS A</t>
        </is>
      </c>
      <c r="C204" t="inlineStr">
        <is>
          <t>KG</t>
        </is>
      </c>
      <c r="D204" t="n">
        <v>144</v>
      </c>
      <c r="E204" t="n">
        <v>849.2190000000001</v>
      </c>
      <c r="F204" t="n">
        <v>3500391</v>
      </c>
      <c r="G204" t="inlineStr">
        <is>
          <t>0788</t>
        </is>
      </c>
      <c r="H204" t="inlineStr">
        <is>
          <t>TUB-O-N-AUT-AW-FC-54.00X3.000X5.910</t>
        </is>
      </c>
      <c r="I204" t="n">
        <v>3154</v>
      </c>
      <c r="J204" t="n">
        <v>54</v>
      </c>
      <c r="K204" t="n">
        <v>0</v>
      </c>
      <c r="L204" t="n">
        <v>3</v>
      </c>
      <c r="M204" t="n">
        <v>5.91</v>
      </c>
      <c r="N204" t="inlineStr">
        <is>
          <t>Direct</t>
        </is>
      </c>
    </row>
    <row r="205">
      <c r="A205" t="inlineStr">
        <is>
          <t>0000943209</t>
        </is>
      </c>
      <c r="B205" t="inlineStr">
        <is>
          <t>MEGH STEELS PRIVATE LIMITED - TVS A</t>
        </is>
      </c>
      <c r="C205" t="inlineStr">
        <is>
          <t>KG</t>
        </is>
      </c>
      <c r="D205" t="n">
        <v>144</v>
      </c>
      <c r="E205" t="n">
        <v>849.2190000000001</v>
      </c>
      <c r="F205" t="n">
        <v>3500391</v>
      </c>
      <c r="G205" t="inlineStr">
        <is>
          <t>0788</t>
        </is>
      </c>
      <c r="H205" t="inlineStr">
        <is>
          <t>TUB-O-N-AUT-AW-FC-54.00X3.000X5.910</t>
        </is>
      </c>
      <c r="I205" t="n">
        <v>3154</v>
      </c>
      <c r="J205" t="n">
        <v>54</v>
      </c>
      <c r="K205" t="n">
        <v>0</v>
      </c>
      <c r="L205" t="n">
        <v>3</v>
      </c>
      <c r="M205" t="n">
        <v>5.91</v>
      </c>
      <c r="N205" t="inlineStr">
        <is>
          <t>Direct</t>
        </is>
      </c>
    </row>
    <row r="206">
      <c r="A206" t="inlineStr">
        <is>
          <t>0000943209</t>
        </is>
      </c>
      <c r="B206" t="inlineStr">
        <is>
          <t>MEGH STEELS PRIVATE LIMITED - TVS A</t>
        </is>
      </c>
      <c r="C206" t="inlineStr">
        <is>
          <t>KG</t>
        </is>
      </c>
      <c r="D206" t="n">
        <v>144</v>
      </c>
      <c r="E206" t="n">
        <v>849.2190000000001</v>
      </c>
      <c r="F206" t="n">
        <v>3500391</v>
      </c>
      <c r="G206" t="inlineStr">
        <is>
          <t>0788</t>
        </is>
      </c>
      <c r="H206" t="inlineStr">
        <is>
          <t>TUB-O-N-AUT-AW-FC-54.00X3.000X5.910</t>
        </is>
      </c>
      <c r="I206" t="n">
        <v>3154</v>
      </c>
      <c r="J206" t="n">
        <v>54</v>
      </c>
      <c r="K206" t="n">
        <v>0</v>
      </c>
      <c r="L206" t="n">
        <v>3</v>
      </c>
      <c r="M206" t="n">
        <v>5.91</v>
      </c>
      <c r="N206" t="inlineStr">
        <is>
          <t>Direct</t>
        </is>
      </c>
    </row>
    <row r="207">
      <c r="A207" t="inlineStr">
        <is>
          <t>0000943209</t>
        </is>
      </c>
      <c r="B207" t="inlineStr">
        <is>
          <t>MEGH STEELS PRIVATE LIMITED - TVS A</t>
        </is>
      </c>
      <c r="C207" t="inlineStr">
        <is>
          <t>KG</t>
        </is>
      </c>
      <c r="D207" t="n">
        <v>144</v>
      </c>
      <c r="E207" t="n">
        <v>849.2190000000001</v>
      </c>
      <c r="F207" t="n">
        <v>3500391</v>
      </c>
      <c r="G207" t="inlineStr">
        <is>
          <t>0788</t>
        </is>
      </c>
      <c r="H207" t="inlineStr">
        <is>
          <t>TUB-O-N-AUT-AW-FC-54.00X3.000X5.910</t>
        </is>
      </c>
      <c r="I207" t="n">
        <v>3154</v>
      </c>
      <c r="J207" t="n">
        <v>54</v>
      </c>
      <c r="K207" t="n">
        <v>0</v>
      </c>
      <c r="L207" t="n">
        <v>3</v>
      </c>
      <c r="M207" t="n">
        <v>5.91</v>
      </c>
      <c r="N207" t="inlineStr">
        <is>
          <t>Direct</t>
        </is>
      </c>
    </row>
    <row r="208">
      <c r="A208" t="inlineStr">
        <is>
          <t>0000943209</t>
        </is>
      </c>
      <c r="B208" t="inlineStr">
        <is>
          <t>MEGH STEELS PRIVATE LIMITED - TVS A</t>
        </is>
      </c>
      <c r="C208" t="inlineStr">
        <is>
          <t>KG</t>
        </is>
      </c>
      <c r="D208" t="n">
        <v>142</v>
      </c>
      <c r="E208" t="n">
        <v>837.372</v>
      </c>
      <c r="F208" t="n">
        <v>3500391</v>
      </c>
      <c r="G208" t="inlineStr">
        <is>
          <t>0788</t>
        </is>
      </c>
      <c r="H208" t="inlineStr">
        <is>
          <t>TUB-O-N-AUT-AW-FC-54.00X3.000X5.910</t>
        </is>
      </c>
      <c r="I208" t="n">
        <v>3110</v>
      </c>
      <c r="J208" t="n">
        <v>54</v>
      </c>
      <c r="K208" t="n">
        <v>0</v>
      </c>
      <c r="L208" t="n">
        <v>3</v>
      </c>
      <c r="M208" t="n">
        <v>5.91</v>
      </c>
      <c r="N208" t="inlineStr">
        <is>
          <t>Direct</t>
        </is>
      </c>
    </row>
    <row r="209">
      <c r="A209" t="inlineStr">
        <is>
          <t>0000943209</t>
        </is>
      </c>
      <c r="B209" t="inlineStr">
        <is>
          <t>MEGH STEELS PRIVATE LIMITED - TVS A</t>
        </is>
      </c>
      <c r="C209" t="inlineStr">
        <is>
          <t>KG</t>
        </is>
      </c>
      <c r="D209" t="n">
        <v>144</v>
      </c>
      <c r="E209" t="n">
        <v>849.2190000000001</v>
      </c>
      <c r="F209" t="n">
        <v>3500391</v>
      </c>
      <c r="G209" t="inlineStr">
        <is>
          <t>0788</t>
        </is>
      </c>
      <c r="H209" t="inlineStr">
        <is>
          <t>TUB-O-N-AUT-AW-FC-54.00X3.000X5.910</t>
        </is>
      </c>
      <c r="I209" t="n">
        <v>3154</v>
      </c>
      <c r="J209" t="n">
        <v>54</v>
      </c>
      <c r="K209" t="n">
        <v>0</v>
      </c>
      <c r="L209" t="n">
        <v>3</v>
      </c>
      <c r="M209" t="n">
        <v>5.91</v>
      </c>
      <c r="N209" t="inlineStr">
        <is>
          <t>Direct</t>
        </is>
      </c>
    </row>
    <row r="210">
      <c r="A210" t="inlineStr">
        <is>
          <t>0000943209</t>
        </is>
      </c>
      <c r="B210" t="inlineStr">
        <is>
          <t>MEGH STEELS PRIVATE LIMITED - TVS A</t>
        </is>
      </c>
      <c r="C210" t="inlineStr">
        <is>
          <t>KG</t>
        </is>
      </c>
      <c r="D210" t="n">
        <v>140</v>
      </c>
      <c r="E210" t="n">
        <v>825.256</v>
      </c>
      <c r="F210" t="n">
        <v>3500391</v>
      </c>
      <c r="G210" t="inlineStr">
        <is>
          <t>0788</t>
        </is>
      </c>
      <c r="H210" t="inlineStr">
        <is>
          <t>TUB-O-N-AUT-AW-FC-54.00X3.000X5.910</t>
        </is>
      </c>
      <c r="I210" t="n">
        <v>3065</v>
      </c>
      <c r="J210" t="n">
        <v>54</v>
      </c>
      <c r="K210" t="n">
        <v>0</v>
      </c>
      <c r="L210" t="n">
        <v>3</v>
      </c>
      <c r="M210" t="n">
        <v>5.91</v>
      </c>
      <c r="N210" t="inlineStr">
        <is>
          <t>Direct</t>
        </is>
      </c>
    </row>
    <row r="211">
      <c r="A211" t="inlineStr">
        <is>
          <t>0000943209</t>
        </is>
      </c>
      <c r="B211" t="inlineStr">
        <is>
          <t>MEGH STEELS PRIVATE LIMITED - TVS A</t>
        </is>
      </c>
      <c r="C211" t="inlineStr">
        <is>
          <t>KG</t>
        </is>
      </c>
      <c r="D211" t="n">
        <v>143</v>
      </c>
      <c r="E211" t="n">
        <v>843.5650000000001</v>
      </c>
      <c r="F211" t="n">
        <v>3500391</v>
      </c>
      <c r="G211" t="inlineStr">
        <is>
          <t>0788</t>
        </is>
      </c>
      <c r="H211" t="inlineStr">
        <is>
          <t>TUB-O-N-AUT-AW-FC-54.00X3.000X5.910</t>
        </is>
      </c>
      <c r="I211" t="n">
        <v>3133</v>
      </c>
      <c r="J211" t="n">
        <v>54</v>
      </c>
      <c r="K211" t="n">
        <v>0</v>
      </c>
      <c r="L211" t="n">
        <v>3</v>
      </c>
      <c r="M211" t="n">
        <v>5.91</v>
      </c>
      <c r="N211" t="inlineStr">
        <is>
          <t>Direct</t>
        </is>
      </c>
    </row>
    <row r="212">
      <c r="A212" t="inlineStr">
        <is>
          <t>0000943209</t>
        </is>
      </c>
      <c r="B212" t="inlineStr">
        <is>
          <t>MEGH STEELS PRIVATE LIMITED - TVS A</t>
        </is>
      </c>
      <c r="C212" t="inlineStr">
        <is>
          <t>KG</t>
        </is>
      </c>
      <c r="D212" t="n">
        <v>134</v>
      </c>
      <c r="E212" t="n">
        <v>789.4450000000001</v>
      </c>
      <c r="F212" t="n">
        <v>3500391</v>
      </c>
      <c r="G212" t="inlineStr">
        <is>
          <t>0788</t>
        </is>
      </c>
      <c r="H212" t="inlineStr">
        <is>
          <t>TUB-O-N-AUT-AW-FC-54.00X3.000X5.910</t>
        </is>
      </c>
      <c r="I212" t="n">
        <v>2932</v>
      </c>
      <c r="J212" t="n">
        <v>54</v>
      </c>
      <c r="K212" t="n">
        <v>0</v>
      </c>
      <c r="L212" t="n">
        <v>3</v>
      </c>
      <c r="M212" t="n">
        <v>5.91</v>
      </c>
      <c r="N212" t="inlineStr">
        <is>
          <t>Direct</t>
        </is>
      </c>
    </row>
    <row r="213">
      <c r="A213" t="inlineStr">
        <is>
          <t>0000943209</t>
        </is>
      </c>
      <c r="B213" t="inlineStr">
        <is>
          <t>MEGH STEELS PRIVATE LIMITED - TVS A</t>
        </is>
      </c>
      <c r="C213" t="inlineStr">
        <is>
          <t>KG</t>
        </is>
      </c>
      <c r="D213" t="n">
        <v>143</v>
      </c>
      <c r="E213" t="n">
        <v>843.5650000000001</v>
      </c>
      <c r="F213" t="n">
        <v>3500391</v>
      </c>
      <c r="G213" t="inlineStr">
        <is>
          <t>0788</t>
        </is>
      </c>
      <c r="H213" t="inlineStr">
        <is>
          <t>TUB-O-N-AUT-AW-FC-54.00X3.000X5.910</t>
        </is>
      </c>
      <c r="I213" t="n">
        <v>3133</v>
      </c>
      <c r="J213" t="n">
        <v>54</v>
      </c>
      <c r="K213" t="n">
        <v>0</v>
      </c>
      <c r="L213" t="n">
        <v>3</v>
      </c>
      <c r="M213" t="n">
        <v>5.91</v>
      </c>
      <c r="N213" t="inlineStr">
        <is>
          <t>Direct</t>
        </is>
      </c>
    </row>
    <row r="214">
      <c r="A214" t="inlineStr">
        <is>
          <t>0000943209</t>
        </is>
      </c>
      <c r="B214" t="inlineStr">
        <is>
          <t>MEGH STEELS PRIVATE LIMITED - TVS A</t>
        </is>
      </c>
      <c r="C214" t="inlineStr">
        <is>
          <t>KG</t>
        </is>
      </c>
      <c r="D214" t="n">
        <v>139</v>
      </c>
      <c r="E214" t="n">
        <v>819.602</v>
      </c>
      <c r="F214" t="n">
        <v>3500391</v>
      </c>
      <c r="G214" t="inlineStr">
        <is>
          <t>0788</t>
        </is>
      </c>
      <c r="H214" t="inlineStr">
        <is>
          <t>TUB-O-N-AUT-AW-FC-54.00X3.000X5.910</t>
        </is>
      </c>
      <c r="I214" t="n">
        <v>3044</v>
      </c>
      <c r="J214" t="n">
        <v>54</v>
      </c>
      <c r="K214" t="n">
        <v>0</v>
      </c>
      <c r="L214" t="n">
        <v>3</v>
      </c>
      <c r="M214" t="n">
        <v>5.91</v>
      </c>
      <c r="N214" t="inlineStr">
        <is>
          <t>Direct</t>
        </is>
      </c>
    </row>
    <row r="215">
      <c r="A215" t="inlineStr">
        <is>
          <t>0000943211</t>
        </is>
      </c>
      <c r="B215" t="inlineStr">
        <is>
          <t>MEGH STEELS PRIVATE LIMITED - RE</t>
        </is>
      </c>
      <c r="C215" t="inlineStr">
        <is>
          <t>KG</t>
        </is>
      </c>
      <c r="D215" t="n">
        <v>91</v>
      </c>
      <c r="E215" t="n">
        <v>556.746</v>
      </c>
      <c r="F215" t="n">
        <v>3500641</v>
      </c>
      <c r="G215" t="inlineStr">
        <is>
          <t>0788</t>
        </is>
      </c>
      <c r="H215" t="inlineStr">
        <is>
          <t>TUB-S-AW-SHS-50.0X50.0X1.6X6.121 FC HDP</t>
        </is>
      </c>
      <c r="I215" t="n">
        <v>1325</v>
      </c>
      <c r="J215" t="n">
        <v>50</v>
      </c>
      <c r="K215" t="n">
        <v>50</v>
      </c>
      <c r="L215" t="n">
        <v>1.6</v>
      </c>
      <c r="M215" t="n">
        <v>6.1</v>
      </c>
      <c r="N215" t="inlineStr">
        <is>
          <t>Direct</t>
        </is>
      </c>
      <c r="O215" t="inlineStr">
        <is>
          <t>50-50-1.6-ERW 1-FIN CUT-6.04</t>
        </is>
      </c>
    </row>
    <row r="216">
      <c r="A216" t="inlineStr">
        <is>
          <t>0000943211</t>
        </is>
      </c>
      <c r="B216" t="inlineStr">
        <is>
          <t>MEGH STEELS PRIVATE LIMITED - RE</t>
        </is>
      </c>
      <c r="C216" t="inlineStr">
        <is>
          <t>KG</t>
        </is>
      </c>
      <c r="D216" t="n">
        <v>91</v>
      </c>
      <c r="E216" t="n">
        <v>556.746</v>
      </c>
      <c r="F216" t="n">
        <v>3500641</v>
      </c>
      <c r="G216" t="inlineStr">
        <is>
          <t>0788</t>
        </is>
      </c>
      <c r="H216" t="inlineStr">
        <is>
          <t>TUB-S-AW-SHS-50.0X50.0X1.6X6.121 FC HDP</t>
        </is>
      </c>
      <c r="I216" t="n">
        <v>1325</v>
      </c>
      <c r="J216" t="n">
        <v>50</v>
      </c>
      <c r="K216" t="n">
        <v>50</v>
      </c>
      <c r="L216" t="n">
        <v>1.6</v>
      </c>
      <c r="M216" t="n">
        <v>6.1</v>
      </c>
      <c r="N216" t="inlineStr">
        <is>
          <t>Direct</t>
        </is>
      </c>
      <c r="O216" t="inlineStr">
        <is>
          <t>50-50-1.6-ERW 1-FIN CUT-6.04</t>
        </is>
      </c>
    </row>
    <row r="217">
      <c r="A217" t="inlineStr">
        <is>
          <t>0000943211</t>
        </is>
      </c>
      <c r="B217" t="inlineStr">
        <is>
          <t>MEGH STEELS PRIVATE LIMITED - RE</t>
        </is>
      </c>
      <c r="C217" t="inlineStr">
        <is>
          <t>KG</t>
        </is>
      </c>
      <c r="D217" t="n">
        <v>91</v>
      </c>
      <c r="E217" t="n">
        <v>556.746</v>
      </c>
      <c r="F217" t="n">
        <v>3500641</v>
      </c>
      <c r="G217" t="inlineStr">
        <is>
          <t>0788</t>
        </is>
      </c>
      <c r="H217" t="inlineStr">
        <is>
          <t>TUB-S-AW-SHS-50.0X50.0X1.6X6.121 FC HDP</t>
        </is>
      </c>
      <c r="I217" t="n">
        <v>1325</v>
      </c>
      <c r="J217" t="n">
        <v>50</v>
      </c>
      <c r="K217" t="n">
        <v>50</v>
      </c>
      <c r="L217" t="n">
        <v>1.6</v>
      </c>
      <c r="M217" t="n">
        <v>6.1</v>
      </c>
      <c r="N217" t="inlineStr">
        <is>
          <t>Direct</t>
        </is>
      </c>
      <c r="O217" t="inlineStr">
        <is>
          <t>50-50-1.6-ERW 1-FIN CUT-6.04</t>
        </is>
      </c>
    </row>
    <row r="218">
      <c r="A218" t="inlineStr">
        <is>
          <t>0000943211</t>
        </is>
      </c>
      <c r="B218" t="inlineStr">
        <is>
          <t>MEGH STEELS PRIVATE LIMITED - RE</t>
        </is>
      </c>
      <c r="C218" t="inlineStr">
        <is>
          <t>KG</t>
        </is>
      </c>
      <c r="D218" t="n">
        <v>91</v>
      </c>
      <c r="E218" t="n">
        <v>556.746</v>
      </c>
      <c r="F218" t="n">
        <v>3500641</v>
      </c>
      <c r="G218" t="inlineStr">
        <is>
          <t>0788</t>
        </is>
      </c>
      <c r="H218" t="inlineStr">
        <is>
          <t>TUB-S-AW-SHS-50.0X50.0X1.6X6.121 FC HDP</t>
        </is>
      </c>
      <c r="I218" t="n">
        <v>1325</v>
      </c>
      <c r="J218" t="n">
        <v>50</v>
      </c>
      <c r="K218" t="n">
        <v>50</v>
      </c>
      <c r="L218" t="n">
        <v>1.6</v>
      </c>
      <c r="M218" t="n">
        <v>6.1</v>
      </c>
      <c r="N218" t="inlineStr">
        <is>
          <t>Direct</t>
        </is>
      </c>
      <c r="O218" t="inlineStr">
        <is>
          <t>50-50-1.6-ERW 1-FIN CUT-6.04</t>
        </is>
      </c>
    </row>
    <row r="219">
      <c r="A219" t="inlineStr">
        <is>
          <t>0000943209</t>
        </is>
      </c>
      <c r="B219" t="inlineStr">
        <is>
          <t>MEGH STEELS PRIVATE LIMITED - TVS A</t>
        </is>
      </c>
      <c r="C219" t="inlineStr">
        <is>
          <t>KG</t>
        </is>
      </c>
      <c r="D219" t="n">
        <v>109</v>
      </c>
      <c r="E219" t="n">
        <v>599.175</v>
      </c>
      <c r="F219" t="n">
        <v>3500714</v>
      </c>
      <c r="G219" t="inlineStr">
        <is>
          <t>0788</t>
        </is>
      </c>
      <c r="H219" t="inlineStr">
        <is>
          <t>TUB-O-N-AUT-BH-FC-42.70X4.000X5.50-ERW 1</t>
        </is>
      </c>
      <c r="I219" t="n">
        <v>2236</v>
      </c>
      <c r="J219" t="n">
        <v>42.7</v>
      </c>
      <c r="K219" t="n">
        <v>0</v>
      </c>
      <c r="L219" t="n">
        <v>4</v>
      </c>
      <c r="M219" t="n">
        <v>5.5</v>
      </c>
      <c r="N219" t="inlineStr">
        <is>
          <t>Direct</t>
        </is>
      </c>
      <c r="O219" t="inlineStr">
        <is>
          <t>42.7-0-4-ERW 1-FC-6</t>
        </is>
      </c>
    </row>
    <row r="220">
      <c r="A220" t="inlineStr">
        <is>
          <t>0000943209</t>
        </is>
      </c>
      <c r="B220" t="inlineStr">
        <is>
          <t>MEGH STEELS PRIVATE LIMITED - TVS A</t>
        </is>
      </c>
      <c r="C220" t="inlineStr">
        <is>
          <t>KG</t>
        </is>
      </c>
      <c r="D220" t="n">
        <v>115</v>
      </c>
      <c r="E220" t="n">
        <v>632.939</v>
      </c>
      <c r="F220" t="n">
        <v>3500714</v>
      </c>
      <c r="G220" t="inlineStr">
        <is>
          <t>0788</t>
        </is>
      </c>
      <c r="H220" t="inlineStr">
        <is>
          <t>TUB-O-N-AUT-BH-FC-42.70X4.000X5.50-ERW 1</t>
        </is>
      </c>
      <c r="I220" t="n">
        <v>2362</v>
      </c>
      <c r="J220" t="n">
        <v>42.7</v>
      </c>
      <c r="K220" t="n">
        <v>0</v>
      </c>
      <c r="L220" t="n">
        <v>4</v>
      </c>
      <c r="M220" t="n">
        <v>5.5</v>
      </c>
      <c r="N220" t="inlineStr">
        <is>
          <t>Direct</t>
        </is>
      </c>
      <c r="O220" t="inlineStr">
        <is>
          <t>42.7-0-4-ERW 1-FC-6</t>
        </is>
      </c>
    </row>
    <row r="221">
      <c r="A221" t="inlineStr">
        <is>
          <t>0000943209</t>
        </is>
      </c>
      <c r="B221" t="inlineStr">
        <is>
          <t>MEGH STEELS PRIVATE LIMITED - TVS A</t>
        </is>
      </c>
      <c r="C221" t="inlineStr">
        <is>
          <t>KG</t>
        </is>
      </c>
      <c r="D221" t="n">
        <v>115</v>
      </c>
      <c r="E221" t="n">
        <v>632.939</v>
      </c>
      <c r="F221" t="n">
        <v>3500714</v>
      </c>
      <c r="G221" t="inlineStr">
        <is>
          <t>0788</t>
        </is>
      </c>
      <c r="H221" t="inlineStr">
        <is>
          <t>TUB-O-N-AUT-BH-FC-42.70X4.000X5.50-ERW 1</t>
        </is>
      </c>
      <c r="I221" t="n">
        <v>2362</v>
      </c>
      <c r="J221" t="n">
        <v>42.7</v>
      </c>
      <c r="K221" t="n">
        <v>0</v>
      </c>
      <c r="L221" t="n">
        <v>4</v>
      </c>
      <c r="M221" t="n">
        <v>5.5</v>
      </c>
      <c r="N221" t="inlineStr">
        <is>
          <t>Direct</t>
        </is>
      </c>
      <c r="O221" t="inlineStr">
        <is>
          <t>42.7-0-4-ERW 1-FC-6</t>
        </is>
      </c>
    </row>
    <row r="222">
      <c r="A222" t="inlineStr">
        <is>
          <t>0000943209</t>
        </is>
      </c>
      <c r="B222" t="inlineStr">
        <is>
          <t>MEGH STEELS PRIVATE LIMITED - TVS A</t>
        </is>
      </c>
      <c r="C222" t="inlineStr">
        <is>
          <t>KG</t>
        </is>
      </c>
      <c r="D222" t="n">
        <v>100</v>
      </c>
      <c r="E222" t="n">
        <v>548.797</v>
      </c>
      <c r="F222" t="n">
        <v>3500714</v>
      </c>
      <c r="G222" t="inlineStr">
        <is>
          <t>0788</t>
        </is>
      </c>
      <c r="H222" t="inlineStr">
        <is>
          <t>TUB-O-N-AUT-BH-FC-42.70X4.000X5.50-ERW 1</t>
        </is>
      </c>
      <c r="I222" t="n">
        <v>2048</v>
      </c>
      <c r="J222" t="n">
        <v>42.7</v>
      </c>
      <c r="K222" t="n">
        <v>0</v>
      </c>
      <c r="L222" t="n">
        <v>4</v>
      </c>
      <c r="M222" t="n">
        <v>5.5</v>
      </c>
      <c r="N222" t="inlineStr">
        <is>
          <t>Direct</t>
        </is>
      </c>
      <c r="O222" t="inlineStr">
        <is>
          <t>42.7-0-4-ERW 1-FC-6</t>
        </is>
      </c>
    </row>
    <row r="223">
      <c r="A223" t="inlineStr">
        <is>
          <t>0000943209</t>
        </is>
      </c>
      <c r="B223" t="inlineStr">
        <is>
          <t>MEGH STEELS PRIVATE LIMITED - TVS A</t>
        </is>
      </c>
      <c r="C223" t="inlineStr">
        <is>
          <t>KG</t>
        </is>
      </c>
      <c r="D223" t="n">
        <v>100</v>
      </c>
      <c r="E223" t="n">
        <v>548.797</v>
      </c>
      <c r="F223" t="n">
        <v>3500714</v>
      </c>
      <c r="G223" t="inlineStr">
        <is>
          <t>0788</t>
        </is>
      </c>
      <c r="H223" t="inlineStr">
        <is>
          <t>TUB-O-N-AUT-BH-FC-42.70X4.000X5.50-ERW 1</t>
        </is>
      </c>
      <c r="I223" t="n">
        <v>2048</v>
      </c>
      <c r="J223" t="n">
        <v>42.7</v>
      </c>
      <c r="K223" t="n">
        <v>0</v>
      </c>
      <c r="L223" t="n">
        <v>4</v>
      </c>
      <c r="M223" t="n">
        <v>5.5</v>
      </c>
      <c r="N223" t="inlineStr">
        <is>
          <t>Direct</t>
        </is>
      </c>
      <c r="O223" t="inlineStr">
        <is>
          <t>42.7-0-4-ERW 1-FC-6</t>
        </is>
      </c>
    </row>
    <row r="224">
      <c r="A224" t="inlineStr">
        <is>
          <t>0000943209</t>
        </is>
      </c>
      <c r="B224" t="inlineStr">
        <is>
          <t>MEGH STEELS PRIVATE LIMITED - TVS A</t>
        </is>
      </c>
      <c r="C224" t="inlineStr">
        <is>
          <t>KG</t>
        </is>
      </c>
      <c r="D224" t="n">
        <v>108</v>
      </c>
      <c r="E224" t="n">
        <v>593.8150000000001</v>
      </c>
      <c r="F224" t="n">
        <v>3500714</v>
      </c>
      <c r="G224" t="inlineStr">
        <is>
          <t>0788</t>
        </is>
      </c>
      <c r="H224" t="inlineStr">
        <is>
          <t>TUB-O-N-AUT-BH-FC-42.70X4.000X5.50-ERW 1</t>
        </is>
      </c>
      <c r="I224" t="n">
        <v>2216</v>
      </c>
      <c r="J224" t="n">
        <v>42.7</v>
      </c>
      <c r="K224" t="n">
        <v>0</v>
      </c>
      <c r="L224" t="n">
        <v>4</v>
      </c>
      <c r="M224" t="n">
        <v>5.5</v>
      </c>
      <c r="N224" t="inlineStr">
        <is>
          <t>Direct</t>
        </is>
      </c>
      <c r="O224" t="inlineStr">
        <is>
          <t>42.7-0-4-ERW 1-FC-6</t>
        </is>
      </c>
    </row>
    <row r="225">
      <c r="A225" t="inlineStr">
        <is>
          <t>0000943209</t>
        </is>
      </c>
      <c r="B225" t="inlineStr">
        <is>
          <t>MEGH STEELS PRIVATE LIMITED - TVS A</t>
        </is>
      </c>
      <c r="C225" t="inlineStr">
        <is>
          <t>KG</t>
        </is>
      </c>
      <c r="D225" t="n">
        <v>113</v>
      </c>
      <c r="E225" t="n">
        <v>621.952</v>
      </c>
      <c r="F225" t="n">
        <v>3500714</v>
      </c>
      <c r="G225" t="inlineStr">
        <is>
          <t>0788</t>
        </is>
      </c>
      <c r="H225" t="inlineStr">
        <is>
          <t>TUB-O-N-AUT-BH-FC-42.70X4.000X5.50-ERW 1</t>
        </is>
      </c>
      <c r="I225" t="n">
        <v>2321</v>
      </c>
      <c r="J225" t="n">
        <v>42.7</v>
      </c>
      <c r="K225" t="n">
        <v>0</v>
      </c>
      <c r="L225" t="n">
        <v>4</v>
      </c>
      <c r="M225" t="n">
        <v>5.5</v>
      </c>
      <c r="N225" t="inlineStr">
        <is>
          <t>Direct</t>
        </is>
      </c>
      <c r="O225" t="inlineStr">
        <is>
          <t>42.7-0-4-ERW 1-FC-6</t>
        </is>
      </c>
    </row>
    <row r="226">
      <c r="A226" t="inlineStr">
        <is>
          <t>0000943209</t>
        </is>
      </c>
      <c r="B226" t="inlineStr">
        <is>
          <t>MEGH STEELS PRIVATE LIMITED - TVS A</t>
        </is>
      </c>
      <c r="C226" t="inlineStr">
        <is>
          <t>KG</t>
        </is>
      </c>
      <c r="D226" t="n">
        <v>115</v>
      </c>
      <c r="E226" t="n">
        <v>633.206</v>
      </c>
      <c r="F226" t="n">
        <v>3500714</v>
      </c>
      <c r="G226" t="inlineStr">
        <is>
          <t>0788</t>
        </is>
      </c>
      <c r="H226" t="inlineStr">
        <is>
          <t>TUB-O-N-AUT-BH-FC-42.70X4.000X5.50-ERW 1</t>
        </is>
      </c>
      <c r="I226" t="n">
        <v>2363</v>
      </c>
      <c r="J226" t="n">
        <v>42.7</v>
      </c>
      <c r="K226" t="n">
        <v>0</v>
      </c>
      <c r="L226" t="n">
        <v>4</v>
      </c>
      <c r="M226" t="n">
        <v>5.5</v>
      </c>
      <c r="N226" t="inlineStr">
        <is>
          <t>Direct</t>
        </is>
      </c>
      <c r="O226" t="inlineStr">
        <is>
          <t>42.7-0-4-ERW 1-FC-6</t>
        </is>
      </c>
    </row>
    <row r="227">
      <c r="A227" t="inlineStr">
        <is>
          <t>0000943209</t>
        </is>
      </c>
      <c r="B227" t="inlineStr">
        <is>
          <t>MEGH STEELS PRIVATE LIMITED - TVS A</t>
        </is>
      </c>
      <c r="C227" t="inlineStr">
        <is>
          <t>KG</t>
        </is>
      </c>
      <c r="D227" t="n">
        <v>115</v>
      </c>
      <c r="E227" t="n">
        <v>633.206</v>
      </c>
      <c r="F227" t="n">
        <v>3500714</v>
      </c>
      <c r="G227" t="inlineStr">
        <is>
          <t>0788</t>
        </is>
      </c>
      <c r="H227" t="inlineStr">
        <is>
          <t>TUB-O-N-AUT-BH-FC-42.70X4.000X5.50-ERW 1</t>
        </is>
      </c>
      <c r="I227" t="n">
        <v>2363</v>
      </c>
      <c r="J227" t="n">
        <v>42.7</v>
      </c>
      <c r="K227" t="n">
        <v>0</v>
      </c>
      <c r="L227" t="n">
        <v>4</v>
      </c>
      <c r="M227" t="n">
        <v>5.5</v>
      </c>
      <c r="N227" t="inlineStr">
        <is>
          <t>Direct</t>
        </is>
      </c>
      <c r="O227" t="inlineStr">
        <is>
          <t>42.7-0-4-ERW 1-FC-6</t>
        </is>
      </c>
    </row>
    <row r="228">
      <c r="A228" t="inlineStr">
        <is>
          <t>0000943209</t>
        </is>
      </c>
      <c r="B228" t="inlineStr">
        <is>
          <t>MEGH STEELS PRIVATE LIMITED - TVS A</t>
        </is>
      </c>
      <c r="C228" t="inlineStr">
        <is>
          <t>KG</t>
        </is>
      </c>
      <c r="D228" t="n">
        <v>116</v>
      </c>
      <c r="E228" t="n">
        <v>638.8339999999999</v>
      </c>
      <c r="F228" t="n">
        <v>3500714</v>
      </c>
      <c r="G228" t="inlineStr">
        <is>
          <t>0788</t>
        </is>
      </c>
      <c r="H228" t="inlineStr">
        <is>
          <t>TUB-O-N-AUT-BH-FC-42.70X4.000X5.50-ERW 1</t>
        </is>
      </c>
      <c r="I228" t="n">
        <v>2384</v>
      </c>
      <c r="J228" t="n">
        <v>42.7</v>
      </c>
      <c r="K228" t="n">
        <v>0</v>
      </c>
      <c r="L228" t="n">
        <v>4</v>
      </c>
      <c r="M228" t="n">
        <v>5.5</v>
      </c>
      <c r="N228" t="inlineStr">
        <is>
          <t>Direct</t>
        </is>
      </c>
      <c r="O228" t="inlineStr">
        <is>
          <t>42.7-0-4-ERW 1-FC-6</t>
        </is>
      </c>
    </row>
    <row r="229">
      <c r="A229" t="inlineStr">
        <is>
          <t>0000943211</t>
        </is>
      </c>
      <c r="B229" t="inlineStr">
        <is>
          <t>MEGH STEELS PRIVATE LIMITED - RE</t>
        </is>
      </c>
      <c r="C229" t="inlineStr">
        <is>
          <t>KG</t>
        </is>
      </c>
      <c r="D229" t="n">
        <v>71</v>
      </c>
      <c r="E229" t="n">
        <v>431.951</v>
      </c>
      <c r="F229" t="n">
        <v>3500641</v>
      </c>
      <c r="G229" t="inlineStr">
        <is>
          <t>0788</t>
        </is>
      </c>
      <c r="H229" t="inlineStr">
        <is>
          <t>TUB-S-AW-SHS-50.0X50.0X1.6X6.121 FC HDP</t>
        </is>
      </c>
      <c r="I229" t="n">
        <v>1028</v>
      </c>
      <c r="J229" t="n">
        <v>50</v>
      </c>
      <c r="K229" t="n">
        <v>50</v>
      </c>
      <c r="L229" t="n">
        <v>1.6</v>
      </c>
      <c r="M229" t="n">
        <v>6.1</v>
      </c>
      <c r="N229" t="inlineStr">
        <is>
          <t>Direct</t>
        </is>
      </c>
      <c r="O229" t="inlineStr">
        <is>
          <t>50-50-1.6-ERW 1-FIN CUT-6.04</t>
        </is>
      </c>
    </row>
    <row r="230">
      <c r="A230" t="inlineStr">
        <is>
          <t>0000943211</t>
        </is>
      </c>
      <c r="B230" t="inlineStr">
        <is>
          <t>MEGH STEELS PRIVATE LIMITED - RE</t>
        </is>
      </c>
      <c r="C230" t="inlineStr">
        <is>
          <t>KG</t>
        </is>
      </c>
      <c r="D230" t="n">
        <v>91</v>
      </c>
      <c r="E230" t="n">
        <v>556.746</v>
      </c>
      <c r="F230" t="n">
        <v>3500641</v>
      </c>
      <c r="G230" t="inlineStr">
        <is>
          <t>0788</t>
        </is>
      </c>
      <c r="H230" t="inlineStr">
        <is>
          <t>TUB-S-AW-SHS-50.0X50.0X1.6X6.121 FC HDP</t>
        </is>
      </c>
      <c r="I230" t="n">
        <v>1325</v>
      </c>
      <c r="J230" t="n">
        <v>50</v>
      </c>
      <c r="K230" t="n">
        <v>50</v>
      </c>
      <c r="L230" t="n">
        <v>1.6</v>
      </c>
      <c r="M230" t="n">
        <v>6.1</v>
      </c>
      <c r="N230" t="inlineStr">
        <is>
          <t>Direct</t>
        </is>
      </c>
      <c r="O230" t="inlineStr">
        <is>
          <t>50-50-1.6-ERW 1-FIN CUT-6.04</t>
        </is>
      </c>
    </row>
    <row r="231">
      <c r="A231" t="inlineStr">
        <is>
          <t>0000943211</t>
        </is>
      </c>
      <c r="B231" t="inlineStr">
        <is>
          <t>MEGH STEELS PRIVATE LIMITED - RE</t>
        </is>
      </c>
      <c r="C231" t="inlineStr">
        <is>
          <t>KG</t>
        </is>
      </c>
      <c r="D231" t="n">
        <v>91</v>
      </c>
      <c r="E231" t="n">
        <v>556.746</v>
      </c>
      <c r="F231" t="n">
        <v>3500641</v>
      </c>
      <c r="G231" t="inlineStr">
        <is>
          <t>0788</t>
        </is>
      </c>
      <c r="H231" t="inlineStr">
        <is>
          <t>TUB-S-AW-SHS-50.0X50.0X1.6X6.121 FC HDP</t>
        </is>
      </c>
      <c r="I231" t="n">
        <v>1325</v>
      </c>
      <c r="J231" t="n">
        <v>50</v>
      </c>
      <c r="K231" t="n">
        <v>50</v>
      </c>
      <c r="L231" t="n">
        <v>1.6</v>
      </c>
      <c r="M231" t="n">
        <v>6.1</v>
      </c>
      <c r="N231" t="inlineStr">
        <is>
          <t>Direct</t>
        </is>
      </c>
      <c r="O231" t="inlineStr">
        <is>
          <t>50-50-1.6-ERW 1-FIN CUT-6.04</t>
        </is>
      </c>
    </row>
    <row r="232">
      <c r="A232" t="inlineStr">
        <is>
          <t>0000943211</t>
        </is>
      </c>
      <c r="B232" t="inlineStr">
        <is>
          <t>MEGH STEELS PRIVATE LIMITED - RE</t>
        </is>
      </c>
      <c r="C232" t="inlineStr">
        <is>
          <t>KG</t>
        </is>
      </c>
      <c r="D232" t="n">
        <v>92</v>
      </c>
      <c r="E232" t="n">
        <v>560.948</v>
      </c>
      <c r="F232" t="n">
        <v>3500641</v>
      </c>
      <c r="G232" t="inlineStr">
        <is>
          <t>0788</t>
        </is>
      </c>
      <c r="H232" t="inlineStr">
        <is>
          <t>TUB-S-AW-SHS-50.0X50.0X1.6X6.121 FC HDP</t>
        </is>
      </c>
      <c r="I232" t="n">
        <v>1335</v>
      </c>
      <c r="J232" t="n">
        <v>50</v>
      </c>
      <c r="K232" t="n">
        <v>50</v>
      </c>
      <c r="L232" t="n">
        <v>1.6</v>
      </c>
      <c r="M232" t="n">
        <v>6.1</v>
      </c>
      <c r="N232" t="inlineStr">
        <is>
          <t>Direct</t>
        </is>
      </c>
      <c r="O232" t="inlineStr">
        <is>
          <t>50-50-1.6-ERW 1-FIN CUT-6.04</t>
        </is>
      </c>
    </row>
    <row r="233">
      <c r="A233" t="inlineStr">
        <is>
          <t>0000943211</t>
        </is>
      </c>
      <c r="B233" t="inlineStr">
        <is>
          <t>MEGH STEELS PRIVATE LIMITED - RE</t>
        </is>
      </c>
      <c r="C233" t="inlineStr">
        <is>
          <t>KG</t>
        </is>
      </c>
      <c r="D233" t="n">
        <v>92</v>
      </c>
      <c r="E233" t="n">
        <v>560.948</v>
      </c>
      <c r="F233" t="n">
        <v>3500641</v>
      </c>
      <c r="G233" t="inlineStr">
        <is>
          <t>0788</t>
        </is>
      </c>
      <c r="H233" t="inlineStr">
        <is>
          <t>TUB-S-AW-SHS-50.0X50.0X1.6X6.121 FC HDP</t>
        </is>
      </c>
      <c r="I233" t="n">
        <v>1335</v>
      </c>
      <c r="J233" t="n">
        <v>50</v>
      </c>
      <c r="K233" t="n">
        <v>50</v>
      </c>
      <c r="L233" t="n">
        <v>1.6</v>
      </c>
      <c r="M233" t="n">
        <v>6.1</v>
      </c>
      <c r="N233" t="inlineStr">
        <is>
          <t>Direct</t>
        </is>
      </c>
      <c r="O233" t="inlineStr">
        <is>
          <t>50-50-1.6-ERW 1-FIN CUT-6.04</t>
        </is>
      </c>
    </row>
    <row r="234">
      <c r="A234" t="inlineStr">
        <is>
          <t>0000943210</t>
        </is>
      </c>
      <c r="B234" t="inlineStr">
        <is>
          <t>MEGH STEELS PRIVATE LIMITED - HMSIL</t>
        </is>
      </c>
      <c r="C234" t="inlineStr">
        <is>
          <t>KG</t>
        </is>
      </c>
      <c r="D234" t="n">
        <v>126</v>
      </c>
      <c r="E234" t="n">
        <v>762.716</v>
      </c>
      <c r="F234" t="n">
        <v>1931046</v>
      </c>
      <c r="G234" t="inlineStr">
        <is>
          <t>0788</t>
        </is>
      </c>
      <c r="H234" t="inlineStr">
        <is>
          <t>TUB-O-N-AUT-AW-FC-28.58X3.250X6.0600</t>
        </is>
      </c>
      <c r="I234" t="n">
        <v>1549</v>
      </c>
      <c r="J234" t="n">
        <v>28.58</v>
      </c>
      <c r="K234" t="n">
        <v>0</v>
      </c>
      <c r="L234" t="n">
        <v>3.25</v>
      </c>
      <c r="M234" t="n">
        <v>6.06</v>
      </c>
      <c r="N234" t="inlineStr">
        <is>
          <t>Direct</t>
        </is>
      </c>
    </row>
    <row r="235">
      <c r="A235" t="inlineStr">
        <is>
          <t>0000943209</t>
        </is>
      </c>
      <c r="B235" t="inlineStr">
        <is>
          <t>MEGH STEELS PRIVATE LIMITED - TVS A</t>
        </is>
      </c>
      <c r="C235" t="inlineStr">
        <is>
          <t>KG</t>
        </is>
      </c>
      <c r="D235" t="n">
        <v>118</v>
      </c>
      <c r="E235" t="n">
        <v>674.279</v>
      </c>
      <c r="F235" t="n">
        <v>3907863</v>
      </c>
      <c r="G235" t="inlineStr">
        <is>
          <t>0789</t>
        </is>
      </c>
      <c r="H235" t="inlineStr">
        <is>
          <t>TUB-O-N-AUT-AW-FC-57.15X2.500X5.7110</t>
        </is>
      </c>
      <c r="I235" t="n">
        <v>2185</v>
      </c>
      <c r="J235" t="n">
        <v>57.15</v>
      </c>
      <c r="K235" t="n">
        <v>0</v>
      </c>
      <c r="L235" t="n">
        <v>2.5</v>
      </c>
      <c r="M235" t="n">
        <v>5.711</v>
      </c>
      <c r="N235" t="inlineStr">
        <is>
          <t>Direct</t>
        </is>
      </c>
      <c r="O235" t="inlineStr">
        <is>
          <t>57.15-0-2.5-ERW 1-FC-5.711</t>
        </is>
      </c>
    </row>
    <row r="236">
      <c r="A236" t="inlineStr">
        <is>
          <t>0000943209</t>
        </is>
      </c>
      <c r="B236" t="inlineStr">
        <is>
          <t>MEGH STEELS PRIVATE LIMITED - TVS A</t>
        </is>
      </c>
      <c r="C236" t="inlineStr">
        <is>
          <t>KG</t>
        </is>
      </c>
      <c r="D236" t="n">
        <v>118</v>
      </c>
      <c r="E236" t="n">
        <v>674.279</v>
      </c>
      <c r="F236" t="n">
        <v>3907863</v>
      </c>
      <c r="G236" t="inlineStr">
        <is>
          <t>0789</t>
        </is>
      </c>
      <c r="H236" t="inlineStr">
        <is>
          <t>TUB-O-N-AUT-AW-FC-57.15X2.500X5.7110</t>
        </is>
      </c>
      <c r="I236" t="n">
        <v>2185</v>
      </c>
      <c r="J236" t="n">
        <v>57.15</v>
      </c>
      <c r="K236" t="n">
        <v>0</v>
      </c>
      <c r="L236" t="n">
        <v>2.5</v>
      </c>
      <c r="M236" t="n">
        <v>5.711</v>
      </c>
      <c r="N236" t="inlineStr">
        <is>
          <t>Direct</t>
        </is>
      </c>
      <c r="O236" t="inlineStr">
        <is>
          <t>57.15-0-2.5-ERW 1-FC-5.711</t>
        </is>
      </c>
    </row>
    <row r="237">
      <c r="A237" t="inlineStr">
        <is>
          <t>0000943209</t>
        </is>
      </c>
      <c r="B237" t="inlineStr">
        <is>
          <t>MEGH STEELS PRIVATE LIMITED - TVS A</t>
        </is>
      </c>
      <c r="C237" t="inlineStr">
        <is>
          <t>KG</t>
        </is>
      </c>
      <c r="D237" t="n">
        <v>80</v>
      </c>
      <c r="E237" t="n">
        <v>456.72</v>
      </c>
      <c r="F237" t="n">
        <v>3907863</v>
      </c>
      <c r="G237" t="inlineStr">
        <is>
          <t>0789</t>
        </is>
      </c>
      <c r="H237" t="inlineStr">
        <is>
          <t>TUB-O-N-AUT-AW-FC-57.15X2.500X5.7110</t>
        </is>
      </c>
      <c r="I237" t="n">
        <v>1480</v>
      </c>
      <c r="J237" t="n">
        <v>57.15</v>
      </c>
      <c r="K237" t="n">
        <v>0</v>
      </c>
      <c r="L237" t="n">
        <v>2.5</v>
      </c>
      <c r="M237" t="n">
        <v>5.711</v>
      </c>
      <c r="N237" t="inlineStr">
        <is>
          <t>Direct</t>
        </is>
      </c>
      <c r="O237" t="inlineStr">
        <is>
          <t>57.15-0-2.5-ERW 1-FC-5.711</t>
        </is>
      </c>
    </row>
    <row r="238">
      <c r="A238" t="inlineStr">
        <is>
          <t>0000943209</t>
        </is>
      </c>
      <c r="B238" t="inlineStr">
        <is>
          <t>MEGH STEELS PRIVATE LIMITED - TVS A</t>
        </is>
      </c>
      <c r="C238" t="inlineStr">
        <is>
          <t>KG</t>
        </is>
      </c>
      <c r="D238" t="n">
        <v>80</v>
      </c>
      <c r="E238" t="n">
        <v>456.72</v>
      </c>
      <c r="F238" t="n">
        <v>3907863</v>
      </c>
      <c r="G238" t="inlineStr">
        <is>
          <t>0789</t>
        </is>
      </c>
      <c r="H238" t="inlineStr">
        <is>
          <t>TUB-O-N-AUT-AW-FC-57.15X2.500X5.7110</t>
        </is>
      </c>
      <c r="I238" t="n">
        <v>1480</v>
      </c>
      <c r="J238" t="n">
        <v>57.15</v>
      </c>
      <c r="K238" t="n">
        <v>0</v>
      </c>
      <c r="L238" t="n">
        <v>2.5</v>
      </c>
      <c r="M238" t="n">
        <v>5.711</v>
      </c>
      <c r="N238" t="inlineStr">
        <is>
          <t>Direct</t>
        </is>
      </c>
      <c r="O238" t="inlineStr">
        <is>
          <t>57.15-0-2.5-ERW 1-FC-5.711</t>
        </is>
      </c>
    </row>
    <row r="239">
      <c r="A239" t="inlineStr">
        <is>
          <t>0000943209</t>
        </is>
      </c>
      <c r="B239" t="inlineStr">
        <is>
          <t>MEGH STEELS PRIVATE LIMITED - TVS A</t>
        </is>
      </c>
      <c r="C239" t="inlineStr">
        <is>
          <t>KG</t>
        </is>
      </c>
      <c r="D239" t="n">
        <v>84</v>
      </c>
      <c r="E239" t="n">
        <v>478.321</v>
      </c>
      <c r="F239" t="n">
        <v>3907863</v>
      </c>
      <c r="G239" t="inlineStr">
        <is>
          <t>0789</t>
        </is>
      </c>
      <c r="H239" t="inlineStr">
        <is>
          <t>TUB-O-N-AUT-AW-FC-57.15X2.500X5.7110</t>
        </is>
      </c>
      <c r="I239" t="n">
        <v>1550</v>
      </c>
      <c r="J239" t="n">
        <v>57.15</v>
      </c>
      <c r="K239" t="n">
        <v>0</v>
      </c>
      <c r="L239" t="n">
        <v>2.5</v>
      </c>
      <c r="M239" t="n">
        <v>5.711</v>
      </c>
      <c r="N239" t="inlineStr">
        <is>
          <t>Direct</t>
        </is>
      </c>
      <c r="O239" t="inlineStr">
        <is>
          <t>57.15-0-2.5-ERW 1-FC-5.711</t>
        </is>
      </c>
    </row>
    <row r="240">
      <c r="A240" t="inlineStr">
        <is>
          <t>0000943209</t>
        </is>
      </c>
      <c r="B240" t="inlineStr">
        <is>
          <t>MEGH STEELS PRIVATE LIMITED - TVS A</t>
        </is>
      </c>
      <c r="C240" t="inlineStr">
        <is>
          <t>KG</t>
        </is>
      </c>
      <c r="D240" t="n">
        <v>84</v>
      </c>
      <c r="E240" t="n">
        <v>478.321</v>
      </c>
      <c r="F240" t="n">
        <v>3907863</v>
      </c>
      <c r="G240" t="inlineStr">
        <is>
          <t>0789</t>
        </is>
      </c>
      <c r="H240" t="inlineStr">
        <is>
          <t>TUB-O-N-AUT-AW-FC-57.15X2.500X5.7110</t>
        </is>
      </c>
      <c r="I240" t="n">
        <v>1550</v>
      </c>
      <c r="J240" t="n">
        <v>57.15</v>
      </c>
      <c r="K240" t="n">
        <v>0</v>
      </c>
      <c r="L240" t="n">
        <v>2.5</v>
      </c>
      <c r="M240" t="n">
        <v>5.711</v>
      </c>
      <c r="N240" t="inlineStr">
        <is>
          <t>Direct</t>
        </is>
      </c>
      <c r="O240" t="inlineStr">
        <is>
          <t>57.15-0-2.5-ERW 1-FC-5.711</t>
        </is>
      </c>
    </row>
    <row r="241">
      <c r="A241" t="inlineStr">
        <is>
          <t>0000943209</t>
        </is>
      </c>
      <c r="B241" t="inlineStr">
        <is>
          <t>MEGH STEELS PRIVATE LIMITED - TVS A</t>
        </is>
      </c>
      <c r="C241" t="inlineStr">
        <is>
          <t>KG</t>
        </is>
      </c>
      <c r="D241" t="n">
        <v>80</v>
      </c>
      <c r="E241" t="n">
        <v>456.72</v>
      </c>
      <c r="F241" t="n">
        <v>3907863</v>
      </c>
      <c r="G241" t="inlineStr">
        <is>
          <t>0789</t>
        </is>
      </c>
      <c r="H241" t="inlineStr">
        <is>
          <t>TUB-O-N-AUT-AW-FC-57.15X2.500X5.7110</t>
        </is>
      </c>
      <c r="I241" t="n">
        <v>1480</v>
      </c>
      <c r="J241" t="n">
        <v>57.15</v>
      </c>
      <c r="K241" t="n">
        <v>0</v>
      </c>
      <c r="L241" t="n">
        <v>2.5</v>
      </c>
      <c r="M241" t="n">
        <v>5.711</v>
      </c>
      <c r="N241" t="inlineStr">
        <is>
          <t>Direct</t>
        </is>
      </c>
      <c r="O241" t="inlineStr">
        <is>
          <t>57.15-0-2.5-ERW 1-FC-5.711</t>
        </is>
      </c>
    </row>
    <row r="242">
      <c r="A242" t="inlineStr">
        <is>
          <t>0000943209</t>
        </is>
      </c>
      <c r="B242" t="inlineStr">
        <is>
          <t>MEGH STEELS PRIVATE LIMITED - TVS A</t>
        </is>
      </c>
      <c r="C242" t="inlineStr">
        <is>
          <t>KG</t>
        </is>
      </c>
      <c r="D242" t="n">
        <v>80</v>
      </c>
      <c r="E242" t="n">
        <v>456.72</v>
      </c>
      <c r="F242" t="n">
        <v>3907863</v>
      </c>
      <c r="G242" t="inlineStr">
        <is>
          <t>0789</t>
        </is>
      </c>
      <c r="H242" t="inlineStr">
        <is>
          <t>TUB-O-N-AUT-AW-FC-57.15X2.500X5.7110</t>
        </is>
      </c>
      <c r="I242" t="n">
        <v>1480</v>
      </c>
      <c r="J242" t="n">
        <v>57.15</v>
      </c>
      <c r="K242" t="n">
        <v>0</v>
      </c>
      <c r="L242" t="n">
        <v>2.5</v>
      </c>
      <c r="M242" t="n">
        <v>5.711</v>
      </c>
      <c r="N242" t="inlineStr">
        <is>
          <t>Direct</t>
        </is>
      </c>
      <c r="O242" t="inlineStr">
        <is>
          <t>57.15-0-2.5-ERW 1-FC-5.711</t>
        </is>
      </c>
    </row>
    <row r="243">
      <c r="A243" t="inlineStr">
        <is>
          <t>0000943209</t>
        </is>
      </c>
      <c r="B243" t="inlineStr">
        <is>
          <t>MEGH STEELS PRIVATE LIMITED - TVS A</t>
        </is>
      </c>
      <c r="C243" t="inlineStr">
        <is>
          <t>KG</t>
        </is>
      </c>
      <c r="D243" t="n">
        <v>82</v>
      </c>
      <c r="E243" t="n">
        <v>465.977</v>
      </c>
      <c r="F243" t="n">
        <v>3907863</v>
      </c>
      <c r="G243" t="inlineStr">
        <is>
          <t>0789</t>
        </is>
      </c>
      <c r="H243" t="inlineStr">
        <is>
          <t>TUB-O-N-AUT-AW-FC-57.15X2.500X5.7110</t>
        </is>
      </c>
      <c r="I243" t="n">
        <v>1510</v>
      </c>
      <c r="J243" t="n">
        <v>57.15</v>
      </c>
      <c r="K243" t="n">
        <v>0</v>
      </c>
      <c r="L243" t="n">
        <v>2.5</v>
      </c>
      <c r="M243" t="n">
        <v>5.711</v>
      </c>
      <c r="N243" t="inlineStr">
        <is>
          <t>Direct</t>
        </is>
      </c>
      <c r="O243" t="inlineStr">
        <is>
          <t>57.15-0-2.5-ERW 1-FC-5.711</t>
        </is>
      </c>
    </row>
    <row r="244">
      <c r="A244" t="inlineStr">
        <is>
          <t>0000943209</t>
        </is>
      </c>
      <c r="B244" t="inlineStr">
        <is>
          <t>MEGH STEELS PRIVATE LIMITED - TVS A</t>
        </is>
      </c>
      <c r="C244" t="inlineStr">
        <is>
          <t>KG</t>
        </is>
      </c>
      <c r="D244" t="n">
        <v>82</v>
      </c>
      <c r="E244" t="n">
        <v>465.977</v>
      </c>
      <c r="F244" t="n">
        <v>3907863</v>
      </c>
      <c r="G244" t="inlineStr">
        <is>
          <t>0789</t>
        </is>
      </c>
      <c r="H244" t="inlineStr">
        <is>
          <t>TUB-O-N-AUT-AW-FC-57.15X2.500X5.7110</t>
        </is>
      </c>
      <c r="I244" t="n">
        <v>1510</v>
      </c>
      <c r="J244" t="n">
        <v>57.15</v>
      </c>
      <c r="K244" t="n">
        <v>0</v>
      </c>
      <c r="L244" t="n">
        <v>2.5</v>
      </c>
      <c r="M244" t="n">
        <v>5.711</v>
      </c>
      <c r="N244" t="inlineStr">
        <is>
          <t>Direct</t>
        </is>
      </c>
      <c r="O244" t="inlineStr">
        <is>
          <t>57.15-0-2.5-ERW 1-FC-5.711</t>
        </is>
      </c>
    </row>
    <row r="245">
      <c r="A245" t="inlineStr">
        <is>
          <t>0000943209</t>
        </is>
      </c>
      <c r="B245" t="inlineStr">
        <is>
          <t>MEGH STEELS PRIVATE LIMITED - TVS A</t>
        </is>
      </c>
      <c r="C245" t="inlineStr">
        <is>
          <t>KG</t>
        </is>
      </c>
      <c r="D245" t="n">
        <v>78</v>
      </c>
      <c r="E245" t="n">
        <v>445.919</v>
      </c>
      <c r="F245" t="n">
        <v>3907863</v>
      </c>
      <c r="G245" t="inlineStr">
        <is>
          <t>0789</t>
        </is>
      </c>
      <c r="H245" t="inlineStr">
        <is>
          <t>TUB-O-N-AUT-AW-FC-57.15X2.500X5.7110</t>
        </is>
      </c>
      <c r="I245" t="n">
        <v>1445</v>
      </c>
      <c r="J245" t="n">
        <v>57.15</v>
      </c>
      <c r="K245" t="n">
        <v>0</v>
      </c>
      <c r="L245" t="n">
        <v>2.5</v>
      </c>
      <c r="M245" t="n">
        <v>5.711</v>
      </c>
      <c r="N245" t="inlineStr">
        <is>
          <t>Direct</t>
        </is>
      </c>
      <c r="O245" t="inlineStr">
        <is>
          <t>57.15-0-2.5-ERW 1-FC-5.711</t>
        </is>
      </c>
    </row>
    <row r="246">
      <c r="A246" t="inlineStr">
        <is>
          <t>0000943209</t>
        </is>
      </c>
      <c r="B246" t="inlineStr">
        <is>
          <t>MEGH STEELS PRIVATE LIMITED - TVS A</t>
        </is>
      </c>
      <c r="C246" t="inlineStr">
        <is>
          <t>KG</t>
        </is>
      </c>
      <c r="D246" t="n">
        <v>78</v>
      </c>
      <c r="E246" t="n">
        <v>445.919</v>
      </c>
      <c r="F246" t="n">
        <v>3907863</v>
      </c>
      <c r="G246" t="inlineStr">
        <is>
          <t>0789</t>
        </is>
      </c>
      <c r="H246" t="inlineStr">
        <is>
          <t>TUB-O-N-AUT-AW-FC-57.15X2.500X5.7110</t>
        </is>
      </c>
      <c r="I246" t="n">
        <v>1445</v>
      </c>
      <c r="J246" t="n">
        <v>57.15</v>
      </c>
      <c r="K246" t="n">
        <v>0</v>
      </c>
      <c r="L246" t="n">
        <v>2.5</v>
      </c>
      <c r="M246" t="n">
        <v>5.711</v>
      </c>
      <c r="N246" t="inlineStr">
        <is>
          <t>Direct</t>
        </is>
      </c>
      <c r="O246" t="inlineStr">
        <is>
          <t>57.15-0-2.5-ERW 1-FC-5.711</t>
        </is>
      </c>
    </row>
    <row r="247">
      <c r="A247" t="inlineStr">
        <is>
          <t>0000943209</t>
        </is>
      </c>
      <c r="B247" t="inlineStr">
        <is>
          <t>MEGH STEELS PRIVATE LIMITED - TVS A</t>
        </is>
      </c>
      <c r="C247" t="inlineStr">
        <is>
          <t>KG</t>
        </is>
      </c>
      <c r="D247" t="n">
        <v>76</v>
      </c>
      <c r="E247" t="n">
        <v>432.032</v>
      </c>
      <c r="F247" t="n">
        <v>3907863</v>
      </c>
      <c r="G247" t="inlineStr">
        <is>
          <t>0789</t>
        </is>
      </c>
      <c r="H247" t="inlineStr">
        <is>
          <t>TUB-O-N-AUT-AW-FC-57.15X2.500X5.7110</t>
        </is>
      </c>
      <c r="I247" t="n">
        <v>1400</v>
      </c>
      <c r="J247" t="n">
        <v>57.15</v>
      </c>
      <c r="K247" t="n">
        <v>0</v>
      </c>
      <c r="L247" t="n">
        <v>2.5</v>
      </c>
      <c r="M247" t="n">
        <v>5.711</v>
      </c>
      <c r="N247" t="inlineStr">
        <is>
          <t>Direct</t>
        </is>
      </c>
      <c r="O247" t="inlineStr">
        <is>
          <t>57.15-0-2.5-ERW 1-FC-5.711</t>
        </is>
      </c>
    </row>
    <row r="248">
      <c r="A248" t="inlineStr">
        <is>
          <t>0000943209</t>
        </is>
      </c>
      <c r="B248" t="inlineStr">
        <is>
          <t>MEGH STEELS PRIVATE LIMITED - TVS A</t>
        </is>
      </c>
      <c r="C248" t="inlineStr">
        <is>
          <t>KG</t>
        </is>
      </c>
      <c r="D248" t="n">
        <v>76</v>
      </c>
      <c r="E248" t="n">
        <v>432.032</v>
      </c>
      <c r="F248" t="n">
        <v>3907863</v>
      </c>
      <c r="G248" t="inlineStr">
        <is>
          <t>0789</t>
        </is>
      </c>
      <c r="H248" t="inlineStr">
        <is>
          <t>TUB-O-N-AUT-AW-FC-57.15X2.500X5.7110</t>
        </is>
      </c>
      <c r="I248" t="n">
        <v>1400</v>
      </c>
      <c r="J248" t="n">
        <v>57.15</v>
      </c>
      <c r="K248" t="n">
        <v>0</v>
      </c>
      <c r="L248" t="n">
        <v>2.5</v>
      </c>
      <c r="M248" t="n">
        <v>5.711</v>
      </c>
      <c r="N248" t="inlineStr">
        <is>
          <t>Direct</t>
        </is>
      </c>
      <c r="O248" t="inlineStr">
        <is>
          <t>57.15-0-2.5-ERW 1-FC-5.711</t>
        </is>
      </c>
    </row>
    <row r="249">
      <c r="A249" t="inlineStr">
        <is>
          <t>0000943209</t>
        </is>
      </c>
      <c r="B249" t="inlineStr">
        <is>
          <t>MEGH STEELS PRIVATE LIMITED - TVS A</t>
        </is>
      </c>
      <c r="C249" t="inlineStr">
        <is>
          <t>KG</t>
        </is>
      </c>
      <c r="D249" t="n">
        <v>82</v>
      </c>
      <c r="E249" t="n">
        <v>465.977</v>
      </c>
      <c r="F249" t="n">
        <v>3907863</v>
      </c>
      <c r="G249" t="inlineStr">
        <is>
          <t>0789</t>
        </is>
      </c>
      <c r="H249" t="inlineStr">
        <is>
          <t>TUB-O-N-AUT-AW-FC-57.15X2.500X5.7110</t>
        </is>
      </c>
      <c r="I249" t="n">
        <v>1510</v>
      </c>
      <c r="J249" t="n">
        <v>57.15</v>
      </c>
      <c r="K249" t="n">
        <v>0</v>
      </c>
      <c r="L249" t="n">
        <v>2.5</v>
      </c>
      <c r="M249" t="n">
        <v>5.711</v>
      </c>
      <c r="N249" t="inlineStr">
        <is>
          <t>Direct</t>
        </is>
      </c>
      <c r="O249" t="inlineStr">
        <is>
          <t>57.15-0-2.5-ERW 1-FC-5.711</t>
        </is>
      </c>
    </row>
    <row r="250">
      <c r="A250" t="inlineStr">
        <is>
          <t>0000943209</t>
        </is>
      </c>
      <c r="B250" t="inlineStr">
        <is>
          <t>MEGH STEELS PRIVATE LIMITED - TVS A</t>
        </is>
      </c>
      <c r="C250" t="inlineStr">
        <is>
          <t>KG</t>
        </is>
      </c>
      <c r="D250" t="n">
        <v>82</v>
      </c>
      <c r="E250" t="n">
        <v>465.977</v>
      </c>
      <c r="F250" t="n">
        <v>3907863</v>
      </c>
      <c r="G250" t="inlineStr">
        <is>
          <t>0789</t>
        </is>
      </c>
      <c r="H250" t="inlineStr">
        <is>
          <t>TUB-O-N-AUT-AW-FC-57.15X2.500X5.7110</t>
        </is>
      </c>
      <c r="I250" t="n">
        <v>1510</v>
      </c>
      <c r="J250" t="n">
        <v>57.15</v>
      </c>
      <c r="K250" t="n">
        <v>0</v>
      </c>
      <c r="L250" t="n">
        <v>2.5</v>
      </c>
      <c r="M250" t="n">
        <v>5.711</v>
      </c>
      <c r="N250" t="inlineStr">
        <is>
          <t>Direct</t>
        </is>
      </c>
      <c r="O250" t="inlineStr">
        <is>
          <t>57.15-0-2.5-ERW 1-FC-5.711</t>
        </is>
      </c>
    </row>
    <row r="251">
      <c r="A251" t="inlineStr">
        <is>
          <t>0000943209</t>
        </is>
      </c>
      <c r="B251" t="inlineStr">
        <is>
          <t>MEGH STEELS PRIVATE LIMITED - TVS A</t>
        </is>
      </c>
      <c r="C251" t="inlineStr">
        <is>
          <t>KG</t>
        </is>
      </c>
      <c r="D251" t="n">
        <v>80</v>
      </c>
      <c r="E251" t="n">
        <v>457.337</v>
      </c>
      <c r="F251" t="n">
        <v>3907863</v>
      </c>
      <c r="G251" t="inlineStr">
        <is>
          <t>0789</t>
        </is>
      </c>
      <c r="H251" t="inlineStr">
        <is>
          <t>TUB-O-N-AUT-AW-FC-57.15X2.500X5.7110</t>
        </is>
      </c>
      <c r="I251" t="n">
        <v>1482</v>
      </c>
      <c r="J251" t="n">
        <v>57.15</v>
      </c>
      <c r="K251" t="n">
        <v>0</v>
      </c>
      <c r="L251" t="n">
        <v>2.5</v>
      </c>
      <c r="M251" t="n">
        <v>5.711</v>
      </c>
      <c r="N251" t="inlineStr">
        <is>
          <t>Direct</t>
        </is>
      </c>
      <c r="O251" t="inlineStr">
        <is>
          <t>57.15-0-2.5-ERW 1-FC-5.711</t>
        </is>
      </c>
    </row>
    <row r="252">
      <c r="A252" t="inlineStr">
        <is>
          <t>0000943209</t>
        </is>
      </c>
      <c r="B252" t="inlineStr">
        <is>
          <t>MEGH STEELS PRIVATE LIMITED - TVS A</t>
        </is>
      </c>
      <c r="C252" t="inlineStr">
        <is>
          <t>KG</t>
        </is>
      </c>
      <c r="D252" t="n">
        <v>80</v>
      </c>
      <c r="E252" t="n">
        <v>457.337</v>
      </c>
      <c r="F252" t="n">
        <v>3907863</v>
      </c>
      <c r="G252" t="inlineStr">
        <is>
          <t>0789</t>
        </is>
      </c>
      <c r="H252" t="inlineStr">
        <is>
          <t>TUB-O-N-AUT-AW-FC-57.15X2.500X5.7110</t>
        </is>
      </c>
      <c r="I252" t="n">
        <v>1482</v>
      </c>
      <c r="J252" t="n">
        <v>57.15</v>
      </c>
      <c r="K252" t="n">
        <v>0</v>
      </c>
      <c r="L252" t="n">
        <v>2.5</v>
      </c>
      <c r="M252" t="n">
        <v>5.711</v>
      </c>
      <c r="N252" t="inlineStr">
        <is>
          <t>Direct</t>
        </is>
      </c>
      <c r="O252" t="inlineStr">
        <is>
          <t>57.15-0-2.5-ERW 1-FC-5.711</t>
        </is>
      </c>
    </row>
    <row r="253">
      <c r="A253" t="inlineStr">
        <is>
          <t>0000943209</t>
        </is>
      </c>
      <c r="B253" t="inlineStr">
        <is>
          <t>MEGH STEELS PRIVATE LIMITED - TVS A</t>
        </is>
      </c>
      <c r="C253" t="inlineStr">
        <is>
          <t>KG</t>
        </is>
      </c>
      <c r="D253" t="n">
        <v>73</v>
      </c>
      <c r="E253" t="n">
        <v>415.677</v>
      </c>
      <c r="F253" t="n">
        <v>3907863</v>
      </c>
      <c r="G253" t="inlineStr">
        <is>
          <t>0789</t>
        </is>
      </c>
      <c r="H253" t="inlineStr">
        <is>
          <t>TUB-O-N-AUT-AW-FC-57.15X2.500X5.7110</t>
        </is>
      </c>
      <c r="I253" t="n">
        <v>1347</v>
      </c>
      <c r="J253" t="n">
        <v>57.15</v>
      </c>
      <c r="K253" t="n">
        <v>0</v>
      </c>
      <c r="L253" t="n">
        <v>2.5</v>
      </c>
      <c r="M253" t="n">
        <v>5.711</v>
      </c>
      <c r="N253" t="inlineStr">
        <is>
          <t>Direct</t>
        </is>
      </c>
      <c r="O253" t="inlineStr">
        <is>
          <t>57.15-0-2.5-ERW 1-FC-5.711</t>
        </is>
      </c>
    </row>
    <row r="254">
      <c r="A254" t="inlineStr">
        <is>
          <t>0000943209</t>
        </is>
      </c>
      <c r="B254" t="inlineStr">
        <is>
          <t>MEGH STEELS PRIVATE LIMITED - TVS A</t>
        </is>
      </c>
      <c r="C254" t="inlineStr">
        <is>
          <t>KG</t>
        </is>
      </c>
      <c r="D254" t="n">
        <v>73</v>
      </c>
      <c r="E254" t="n">
        <v>415.677</v>
      </c>
      <c r="F254" t="n">
        <v>3907863</v>
      </c>
      <c r="G254" t="inlineStr">
        <is>
          <t>0789</t>
        </is>
      </c>
      <c r="H254" t="inlineStr">
        <is>
          <t>TUB-O-N-AUT-AW-FC-57.15X2.500X5.7110</t>
        </is>
      </c>
      <c r="I254" t="n">
        <v>1347</v>
      </c>
      <c r="J254" t="n">
        <v>57.15</v>
      </c>
      <c r="K254" t="n">
        <v>0</v>
      </c>
      <c r="L254" t="n">
        <v>2.5</v>
      </c>
      <c r="M254" t="n">
        <v>5.711</v>
      </c>
      <c r="N254" t="inlineStr">
        <is>
          <t>Direct</t>
        </is>
      </c>
      <c r="O254" t="inlineStr">
        <is>
          <t>57.15-0-2.5-ERW 1-FC-5.711</t>
        </is>
      </c>
    </row>
    <row r="255">
      <c r="A255" t="inlineStr">
        <is>
          <t>0000943209</t>
        </is>
      </c>
      <c r="B255" t="inlineStr">
        <is>
          <t>MEGH STEELS PRIVATE LIMITED - TVS A</t>
        </is>
      </c>
      <c r="C255" t="inlineStr">
        <is>
          <t>KG</t>
        </is>
      </c>
      <c r="D255" t="n">
        <v>81</v>
      </c>
      <c r="E255" t="n">
        <v>463.2</v>
      </c>
      <c r="F255" t="n">
        <v>3907863</v>
      </c>
      <c r="G255" t="inlineStr">
        <is>
          <t>0789</t>
        </is>
      </c>
      <c r="H255" t="inlineStr">
        <is>
          <t>TUB-O-N-AUT-AW-FC-57.15X2.500X5.7110</t>
        </is>
      </c>
      <c r="I255" t="n">
        <v>1501</v>
      </c>
      <c r="J255" t="n">
        <v>57.15</v>
      </c>
      <c r="K255" t="n">
        <v>0</v>
      </c>
      <c r="L255" t="n">
        <v>2.5</v>
      </c>
      <c r="M255" t="n">
        <v>5.711</v>
      </c>
      <c r="N255" t="inlineStr">
        <is>
          <t>Direct</t>
        </is>
      </c>
      <c r="O255" t="inlineStr">
        <is>
          <t>57.15-0-2.5-ERW 1-FC-5.711</t>
        </is>
      </c>
    </row>
    <row r="256">
      <c r="A256" t="inlineStr">
        <is>
          <t>0000943209</t>
        </is>
      </c>
      <c r="B256" t="inlineStr">
        <is>
          <t>MEGH STEELS PRIVATE LIMITED - TVS A</t>
        </is>
      </c>
      <c r="C256" t="inlineStr">
        <is>
          <t>KG</t>
        </is>
      </c>
      <c r="D256" t="n">
        <v>81</v>
      </c>
      <c r="E256" t="n">
        <v>463.2</v>
      </c>
      <c r="F256" t="n">
        <v>3907863</v>
      </c>
      <c r="G256" t="inlineStr">
        <is>
          <t>0789</t>
        </is>
      </c>
      <c r="H256" t="inlineStr">
        <is>
          <t>TUB-O-N-AUT-AW-FC-57.15X2.500X5.7110</t>
        </is>
      </c>
      <c r="I256" t="n">
        <v>1501</v>
      </c>
      <c r="J256" t="n">
        <v>57.15</v>
      </c>
      <c r="K256" t="n">
        <v>0</v>
      </c>
      <c r="L256" t="n">
        <v>2.5</v>
      </c>
      <c r="M256" t="n">
        <v>5.711</v>
      </c>
      <c r="N256" t="inlineStr">
        <is>
          <t>Direct</t>
        </is>
      </c>
      <c r="O256" t="inlineStr">
        <is>
          <t>57.15-0-2.5-ERW 1-FC-5.711</t>
        </is>
      </c>
    </row>
    <row r="257">
      <c r="A257" t="inlineStr">
        <is>
          <t>0000943209</t>
        </is>
      </c>
      <c r="B257" t="inlineStr">
        <is>
          <t>MEGH STEELS PRIVATE LIMITED - TVS A</t>
        </is>
      </c>
      <c r="C257" t="inlineStr">
        <is>
          <t>KG</t>
        </is>
      </c>
      <c r="D257" t="n">
        <v>74</v>
      </c>
      <c r="E257" t="n">
        <v>421.848</v>
      </c>
      <c r="F257" t="n">
        <v>3907863</v>
      </c>
      <c r="G257" t="inlineStr">
        <is>
          <t>0789</t>
        </is>
      </c>
      <c r="H257" t="inlineStr">
        <is>
          <t>TUB-O-N-AUT-AW-FC-57.15X2.500X5.7110</t>
        </is>
      </c>
      <c r="I257" t="n">
        <v>1367</v>
      </c>
      <c r="J257" t="n">
        <v>57.15</v>
      </c>
      <c r="K257" t="n">
        <v>0</v>
      </c>
      <c r="L257" t="n">
        <v>2.5</v>
      </c>
      <c r="M257" t="n">
        <v>5.711</v>
      </c>
      <c r="N257" t="inlineStr">
        <is>
          <t>Direct</t>
        </is>
      </c>
      <c r="O257" t="inlineStr">
        <is>
          <t>57.15-0-2.5-ERW 1-FC-5.711</t>
        </is>
      </c>
    </row>
    <row r="258">
      <c r="A258" t="inlineStr">
        <is>
          <t>0000943209</t>
        </is>
      </c>
      <c r="B258" t="inlineStr">
        <is>
          <t>MEGH STEELS PRIVATE LIMITED - TVS A</t>
        </is>
      </c>
      <c r="C258" t="inlineStr">
        <is>
          <t>KG</t>
        </is>
      </c>
      <c r="D258" t="n">
        <v>74</v>
      </c>
      <c r="E258" t="n">
        <v>421.848</v>
      </c>
      <c r="F258" t="n">
        <v>3907863</v>
      </c>
      <c r="G258" t="inlineStr">
        <is>
          <t>0789</t>
        </is>
      </c>
      <c r="H258" t="inlineStr">
        <is>
          <t>TUB-O-N-AUT-AW-FC-57.15X2.500X5.7110</t>
        </is>
      </c>
      <c r="I258" t="n">
        <v>1367</v>
      </c>
      <c r="J258" t="n">
        <v>57.15</v>
      </c>
      <c r="K258" t="n">
        <v>0</v>
      </c>
      <c r="L258" t="n">
        <v>2.5</v>
      </c>
      <c r="M258" t="n">
        <v>5.711</v>
      </c>
      <c r="N258" t="inlineStr">
        <is>
          <t>Direct</t>
        </is>
      </c>
      <c r="O258" t="inlineStr">
        <is>
          <t>57.15-0-2.5-ERW 1-FC-5.711</t>
        </is>
      </c>
    </row>
    <row r="259">
      <c r="A259" t="inlineStr">
        <is>
          <t>0000943209</t>
        </is>
      </c>
      <c r="B259" t="inlineStr">
        <is>
          <t>MEGH STEELS PRIVATE LIMITED - TVS A</t>
        </is>
      </c>
      <c r="C259" t="inlineStr">
        <is>
          <t>KG</t>
        </is>
      </c>
      <c r="D259" t="n">
        <v>80</v>
      </c>
      <c r="E259" t="n">
        <v>457.337</v>
      </c>
      <c r="F259" t="n">
        <v>3907863</v>
      </c>
      <c r="G259" t="inlineStr">
        <is>
          <t>0789</t>
        </is>
      </c>
      <c r="H259" t="inlineStr">
        <is>
          <t>TUB-O-N-AUT-AW-FC-57.15X2.500X5.7110</t>
        </is>
      </c>
      <c r="I259" t="n">
        <v>1482</v>
      </c>
      <c r="J259" t="n">
        <v>57.15</v>
      </c>
      <c r="K259" t="n">
        <v>0</v>
      </c>
      <c r="L259" t="n">
        <v>2.5</v>
      </c>
      <c r="M259" t="n">
        <v>5.711</v>
      </c>
      <c r="N259" t="inlineStr">
        <is>
          <t>Direct</t>
        </is>
      </c>
      <c r="O259" t="inlineStr">
        <is>
          <t>57.15-0-2.5-ERW 1-FC-5.711</t>
        </is>
      </c>
    </row>
    <row r="260">
      <c r="A260" t="inlineStr">
        <is>
          <t>0000943209</t>
        </is>
      </c>
      <c r="B260" t="inlineStr">
        <is>
          <t>MEGH STEELS PRIVATE LIMITED - TVS A</t>
        </is>
      </c>
      <c r="C260" t="inlineStr">
        <is>
          <t>KG</t>
        </is>
      </c>
      <c r="D260" t="n">
        <v>80</v>
      </c>
      <c r="E260" t="n">
        <v>457.337</v>
      </c>
      <c r="F260" t="n">
        <v>3907863</v>
      </c>
      <c r="G260" t="inlineStr">
        <is>
          <t>0789</t>
        </is>
      </c>
      <c r="H260" t="inlineStr">
        <is>
          <t>TUB-O-N-AUT-AW-FC-57.15X2.500X5.7110</t>
        </is>
      </c>
      <c r="I260" t="n">
        <v>1482</v>
      </c>
      <c r="J260" t="n">
        <v>57.15</v>
      </c>
      <c r="K260" t="n">
        <v>0</v>
      </c>
      <c r="L260" t="n">
        <v>2.5</v>
      </c>
      <c r="M260" t="n">
        <v>5.711</v>
      </c>
      <c r="N260" t="inlineStr">
        <is>
          <t>Direct</t>
        </is>
      </c>
      <c r="O260" t="inlineStr">
        <is>
          <t>57.15-0-2.5-ERW 1-FC-5.711</t>
        </is>
      </c>
    </row>
    <row r="261">
      <c r="A261" t="inlineStr">
        <is>
          <t>0000943209</t>
        </is>
      </c>
      <c r="B261" t="inlineStr">
        <is>
          <t>MEGH STEELS PRIVATE LIMITED - TVS A</t>
        </is>
      </c>
      <c r="C261" t="inlineStr">
        <is>
          <t>KG</t>
        </is>
      </c>
      <c r="D261" t="n">
        <v>79</v>
      </c>
      <c r="E261" t="n">
        <v>451.474</v>
      </c>
      <c r="F261" t="n">
        <v>3907863</v>
      </c>
      <c r="G261" t="inlineStr">
        <is>
          <t>0789</t>
        </is>
      </c>
      <c r="H261" t="inlineStr">
        <is>
          <t>TUB-O-N-AUT-AW-FC-57.15X2.500X5.7110</t>
        </is>
      </c>
      <c r="I261" t="n">
        <v>1463</v>
      </c>
      <c r="J261" t="n">
        <v>57.15</v>
      </c>
      <c r="K261" t="n">
        <v>0</v>
      </c>
      <c r="L261" t="n">
        <v>2.5</v>
      </c>
      <c r="M261" t="n">
        <v>5.711</v>
      </c>
      <c r="N261" t="inlineStr">
        <is>
          <t>Direct</t>
        </is>
      </c>
      <c r="O261" t="inlineStr">
        <is>
          <t>57.15-0-2.5-ERW 1-FC-5.711</t>
        </is>
      </c>
    </row>
    <row r="262">
      <c r="A262" t="inlineStr">
        <is>
          <t>0000943209</t>
        </is>
      </c>
      <c r="B262" t="inlineStr">
        <is>
          <t>MEGH STEELS PRIVATE LIMITED - TVS A</t>
        </is>
      </c>
      <c r="C262" t="inlineStr">
        <is>
          <t>KG</t>
        </is>
      </c>
      <c r="D262" t="n">
        <v>79</v>
      </c>
      <c r="E262" t="n">
        <v>451.474</v>
      </c>
      <c r="F262" t="n">
        <v>3907863</v>
      </c>
      <c r="G262" t="inlineStr">
        <is>
          <t>0789</t>
        </is>
      </c>
      <c r="H262" t="inlineStr">
        <is>
          <t>TUB-O-N-AUT-AW-FC-57.15X2.500X5.7110</t>
        </is>
      </c>
      <c r="I262" t="n">
        <v>1463</v>
      </c>
      <c r="J262" t="n">
        <v>57.15</v>
      </c>
      <c r="K262" t="n">
        <v>0</v>
      </c>
      <c r="L262" t="n">
        <v>2.5</v>
      </c>
      <c r="M262" t="n">
        <v>5.711</v>
      </c>
      <c r="N262" t="inlineStr">
        <is>
          <t>Direct</t>
        </is>
      </c>
      <c r="O262" t="inlineStr">
        <is>
          <t>57.15-0-2.5-ERW 1-FC-5.711</t>
        </is>
      </c>
    </row>
    <row r="263">
      <c r="A263" t="inlineStr">
        <is>
          <t>0000943209</t>
        </is>
      </c>
      <c r="B263" t="inlineStr">
        <is>
          <t>MEGH STEELS PRIVATE LIMITED - TVS A</t>
        </is>
      </c>
      <c r="C263" t="inlineStr">
        <is>
          <t>KG</t>
        </is>
      </c>
      <c r="D263" t="n">
        <v>78</v>
      </c>
      <c r="E263" t="n">
        <v>445.61</v>
      </c>
      <c r="F263" t="n">
        <v>3907863</v>
      </c>
      <c r="G263" t="inlineStr">
        <is>
          <t>0789</t>
        </is>
      </c>
      <c r="H263" t="inlineStr">
        <is>
          <t>TUB-O-N-AUT-AW-FC-57.15X2.500X5.7110</t>
        </is>
      </c>
      <c r="I263" t="n">
        <v>1444</v>
      </c>
      <c r="J263" t="n">
        <v>57.15</v>
      </c>
      <c r="K263" t="n">
        <v>0</v>
      </c>
      <c r="L263" t="n">
        <v>2.5</v>
      </c>
      <c r="M263" t="n">
        <v>5.711</v>
      </c>
      <c r="N263" t="inlineStr">
        <is>
          <t>Direct</t>
        </is>
      </c>
      <c r="O263" t="inlineStr">
        <is>
          <t>57.15-0-2.5-ERW 1-FC-5.711</t>
        </is>
      </c>
    </row>
    <row r="264">
      <c r="A264" t="inlineStr">
        <is>
          <t>0000943209</t>
        </is>
      </c>
      <c r="B264" t="inlineStr">
        <is>
          <t>MEGH STEELS PRIVATE LIMITED - TVS A</t>
        </is>
      </c>
      <c r="C264" t="inlineStr">
        <is>
          <t>KG</t>
        </is>
      </c>
      <c r="D264" t="n">
        <v>78</v>
      </c>
      <c r="E264" t="n">
        <v>445.61</v>
      </c>
      <c r="F264" t="n">
        <v>3907863</v>
      </c>
      <c r="G264" t="inlineStr">
        <is>
          <t>0789</t>
        </is>
      </c>
      <c r="H264" t="inlineStr">
        <is>
          <t>TUB-O-N-AUT-AW-FC-57.15X2.500X5.7110</t>
        </is>
      </c>
      <c r="I264" t="n">
        <v>1444</v>
      </c>
      <c r="J264" t="n">
        <v>57.15</v>
      </c>
      <c r="K264" t="n">
        <v>0</v>
      </c>
      <c r="L264" t="n">
        <v>2.5</v>
      </c>
      <c r="M264" t="n">
        <v>5.711</v>
      </c>
      <c r="N264" t="inlineStr">
        <is>
          <t>Direct</t>
        </is>
      </c>
      <c r="O264" t="inlineStr">
        <is>
          <t>57.15-0-2.5-ERW 1-FC-5.711</t>
        </is>
      </c>
    </row>
    <row r="265">
      <c r="A265" t="inlineStr">
        <is>
          <t>0000943209</t>
        </is>
      </c>
      <c r="B265" t="inlineStr">
        <is>
          <t>MEGH STEELS PRIVATE LIMITED - TVS A</t>
        </is>
      </c>
      <c r="C265" t="inlineStr">
        <is>
          <t>KG</t>
        </is>
      </c>
      <c r="D265" t="n">
        <v>29</v>
      </c>
      <c r="E265" t="n">
        <v>164.789</v>
      </c>
      <c r="F265" t="n">
        <v>3907863</v>
      </c>
      <c r="G265" t="inlineStr">
        <is>
          <t>0789</t>
        </is>
      </c>
      <c r="H265" t="inlineStr">
        <is>
          <t>TUB-O-N-AUT-AW-FC-57.15X2.500X5.7110</t>
        </is>
      </c>
      <c r="I265" t="n">
        <v>534</v>
      </c>
      <c r="J265" t="n">
        <v>57.15</v>
      </c>
      <c r="K265" t="n">
        <v>0</v>
      </c>
      <c r="L265" t="n">
        <v>2.5</v>
      </c>
      <c r="M265" t="n">
        <v>5.711</v>
      </c>
      <c r="N265" t="inlineStr">
        <is>
          <t>Direct</t>
        </is>
      </c>
      <c r="O265" t="inlineStr">
        <is>
          <t>57.15-0-2.5-ERW 1-FC-5.711</t>
        </is>
      </c>
    </row>
    <row r="266">
      <c r="A266" t="inlineStr">
        <is>
          <t>0000943209</t>
        </is>
      </c>
      <c r="B266" t="inlineStr">
        <is>
          <t>MEGH STEELS PRIVATE LIMITED - TVS A</t>
        </is>
      </c>
      <c r="C266" t="inlineStr">
        <is>
          <t>KG</t>
        </is>
      </c>
      <c r="D266" t="n">
        <v>29</v>
      </c>
      <c r="E266" t="n">
        <v>164.789</v>
      </c>
      <c r="F266" t="n">
        <v>3907863</v>
      </c>
      <c r="G266" t="inlineStr">
        <is>
          <t>0789</t>
        </is>
      </c>
      <c r="H266" t="inlineStr">
        <is>
          <t>TUB-O-N-AUT-AW-FC-57.15X2.500X5.7110</t>
        </is>
      </c>
      <c r="I266" t="n">
        <v>534</v>
      </c>
      <c r="J266" t="n">
        <v>57.15</v>
      </c>
      <c r="K266" t="n">
        <v>0</v>
      </c>
      <c r="L266" t="n">
        <v>2.5</v>
      </c>
      <c r="M266" t="n">
        <v>5.711</v>
      </c>
      <c r="N266" t="inlineStr">
        <is>
          <t>Direct</t>
        </is>
      </c>
      <c r="O266" t="inlineStr">
        <is>
          <t>57.15-0-2.5-ERW 1-FC-5.711</t>
        </is>
      </c>
    </row>
    <row r="267">
      <c r="A267" t="inlineStr">
        <is>
          <t>0000943209</t>
        </is>
      </c>
      <c r="B267" t="inlineStr">
        <is>
          <t>MEGH STEELS PRIVATE LIMITED - TVS A</t>
        </is>
      </c>
      <c r="C267" t="inlineStr">
        <is>
          <t>KG</t>
        </is>
      </c>
      <c r="D267" t="n">
        <v>79</v>
      </c>
      <c r="E267" t="n">
        <v>452.091</v>
      </c>
      <c r="F267" t="n">
        <v>3907863</v>
      </c>
      <c r="G267" t="inlineStr">
        <is>
          <t>0789</t>
        </is>
      </c>
      <c r="H267" t="inlineStr">
        <is>
          <t>TUB-O-N-AUT-AW-FC-57.15X2.500X5.7110</t>
        </is>
      </c>
      <c r="I267" t="n">
        <v>1465</v>
      </c>
      <c r="J267" t="n">
        <v>57.15</v>
      </c>
      <c r="K267" t="n">
        <v>0</v>
      </c>
      <c r="L267" t="n">
        <v>2.5</v>
      </c>
      <c r="M267" t="n">
        <v>5.711</v>
      </c>
      <c r="N267" t="inlineStr">
        <is>
          <t>Direct</t>
        </is>
      </c>
      <c r="O267" t="inlineStr">
        <is>
          <t>57.15-0-2.5-ERW 1-FC-5.711</t>
        </is>
      </c>
    </row>
    <row r="268">
      <c r="A268" t="inlineStr">
        <is>
          <t>0000943209</t>
        </is>
      </c>
      <c r="B268" t="inlineStr">
        <is>
          <t>MEGH STEELS PRIVATE LIMITED - TVS A</t>
        </is>
      </c>
      <c r="C268" t="inlineStr">
        <is>
          <t>KG</t>
        </is>
      </c>
      <c r="D268" t="n">
        <v>79</v>
      </c>
      <c r="E268" t="n">
        <v>452.091</v>
      </c>
      <c r="F268" t="n">
        <v>3907863</v>
      </c>
      <c r="G268" t="inlineStr">
        <is>
          <t>0789</t>
        </is>
      </c>
      <c r="H268" t="inlineStr">
        <is>
          <t>TUB-O-N-AUT-AW-FC-57.15X2.500X5.7110</t>
        </is>
      </c>
      <c r="I268" t="n">
        <v>1465</v>
      </c>
      <c r="J268" t="n">
        <v>57.15</v>
      </c>
      <c r="K268" t="n">
        <v>0</v>
      </c>
      <c r="L268" t="n">
        <v>2.5</v>
      </c>
      <c r="M268" t="n">
        <v>5.711</v>
      </c>
      <c r="N268" t="inlineStr">
        <is>
          <t>Direct</t>
        </is>
      </c>
      <c r="O268" t="inlineStr">
        <is>
          <t>57.15-0-2.5-ERW 1-FC-5.711</t>
        </is>
      </c>
    </row>
    <row r="269">
      <c r="A269" t="inlineStr">
        <is>
          <t>0000943209</t>
        </is>
      </c>
      <c r="B269" t="inlineStr">
        <is>
          <t>MEGH STEELS PRIVATE LIMITED - TVS A</t>
        </is>
      </c>
      <c r="C269" t="inlineStr">
        <is>
          <t>KG</t>
        </is>
      </c>
      <c r="D269" t="n">
        <v>79</v>
      </c>
      <c r="E269" t="n">
        <v>452.091</v>
      </c>
      <c r="F269" t="n">
        <v>3907863</v>
      </c>
      <c r="G269" t="inlineStr">
        <is>
          <t>0789</t>
        </is>
      </c>
      <c r="H269" t="inlineStr">
        <is>
          <t>TUB-O-N-AUT-AW-FC-57.15X2.500X5.7110</t>
        </is>
      </c>
      <c r="I269" t="n">
        <v>1465</v>
      </c>
      <c r="J269" t="n">
        <v>57.15</v>
      </c>
      <c r="K269" t="n">
        <v>0</v>
      </c>
      <c r="L269" t="n">
        <v>2.5</v>
      </c>
      <c r="M269" t="n">
        <v>5.711</v>
      </c>
      <c r="N269" t="inlineStr">
        <is>
          <t>Direct</t>
        </is>
      </c>
      <c r="O269" t="inlineStr">
        <is>
          <t>57.15-0-2.5-ERW 1-FC-5.711</t>
        </is>
      </c>
    </row>
    <row r="270">
      <c r="A270" t="inlineStr">
        <is>
          <t>0000943209</t>
        </is>
      </c>
      <c r="B270" t="inlineStr">
        <is>
          <t>MEGH STEELS PRIVATE LIMITED - TVS A</t>
        </is>
      </c>
      <c r="C270" t="inlineStr">
        <is>
          <t>KG</t>
        </is>
      </c>
      <c r="D270" t="n">
        <v>79</v>
      </c>
      <c r="E270" t="n">
        <v>452.091</v>
      </c>
      <c r="F270" t="n">
        <v>3907863</v>
      </c>
      <c r="G270" t="inlineStr">
        <is>
          <t>0789</t>
        </is>
      </c>
      <c r="H270" t="inlineStr">
        <is>
          <t>TUB-O-N-AUT-AW-FC-57.15X2.500X5.7110</t>
        </is>
      </c>
      <c r="I270" t="n">
        <v>1465</v>
      </c>
      <c r="J270" t="n">
        <v>57.15</v>
      </c>
      <c r="K270" t="n">
        <v>0</v>
      </c>
      <c r="L270" t="n">
        <v>2.5</v>
      </c>
      <c r="M270" t="n">
        <v>5.711</v>
      </c>
      <c r="N270" t="inlineStr">
        <is>
          <t>Direct</t>
        </is>
      </c>
      <c r="O270" t="inlineStr">
        <is>
          <t>57.15-0-2.5-ERW 1-FC-5.711</t>
        </is>
      </c>
    </row>
    <row r="271">
      <c r="A271" t="inlineStr">
        <is>
          <t>0000943209</t>
        </is>
      </c>
      <c r="B271" t="inlineStr">
        <is>
          <t>MEGH STEELS PRIVATE LIMITED - TVS A</t>
        </is>
      </c>
      <c r="C271" t="inlineStr">
        <is>
          <t>KG</t>
        </is>
      </c>
      <c r="D271" t="n">
        <v>77</v>
      </c>
      <c r="E271" t="n">
        <v>439.747</v>
      </c>
      <c r="F271" t="n">
        <v>3907863</v>
      </c>
      <c r="G271" t="inlineStr">
        <is>
          <t>0789</t>
        </is>
      </c>
      <c r="H271" t="inlineStr">
        <is>
          <t>TUB-O-N-AUT-AW-FC-57.15X2.500X5.7110</t>
        </is>
      </c>
      <c r="I271" t="n">
        <v>1425</v>
      </c>
      <c r="J271" t="n">
        <v>57.15</v>
      </c>
      <c r="K271" t="n">
        <v>0</v>
      </c>
      <c r="L271" t="n">
        <v>2.5</v>
      </c>
      <c r="M271" t="n">
        <v>5.711</v>
      </c>
      <c r="N271" t="inlineStr">
        <is>
          <t>Direct</t>
        </is>
      </c>
      <c r="O271" t="inlineStr">
        <is>
          <t>57.15-0-2.5-ERW 1-FC-5.711</t>
        </is>
      </c>
    </row>
    <row r="272">
      <c r="A272" t="inlineStr">
        <is>
          <t>0000943209</t>
        </is>
      </c>
      <c r="B272" t="inlineStr">
        <is>
          <t>MEGH STEELS PRIVATE LIMITED - TVS A</t>
        </is>
      </c>
      <c r="C272" t="inlineStr">
        <is>
          <t>KG</t>
        </is>
      </c>
      <c r="D272" t="n">
        <v>77</v>
      </c>
      <c r="E272" t="n">
        <v>439.747</v>
      </c>
      <c r="F272" t="n">
        <v>3907863</v>
      </c>
      <c r="G272" t="inlineStr">
        <is>
          <t>0789</t>
        </is>
      </c>
      <c r="H272" t="inlineStr">
        <is>
          <t>TUB-O-N-AUT-AW-FC-57.15X2.500X5.7110</t>
        </is>
      </c>
      <c r="I272" t="n">
        <v>1425</v>
      </c>
      <c r="J272" t="n">
        <v>57.15</v>
      </c>
      <c r="K272" t="n">
        <v>0</v>
      </c>
      <c r="L272" t="n">
        <v>2.5</v>
      </c>
      <c r="M272" t="n">
        <v>5.711</v>
      </c>
      <c r="N272" t="inlineStr">
        <is>
          <t>Direct</t>
        </is>
      </c>
      <c r="O272" t="inlineStr">
        <is>
          <t>57.15-0-2.5-ERW 1-FC-5.711</t>
        </is>
      </c>
    </row>
    <row r="273">
      <c r="A273" t="inlineStr">
        <is>
          <t>0000943209</t>
        </is>
      </c>
      <c r="B273" t="inlineStr">
        <is>
          <t>MEGH STEELS PRIVATE LIMITED - TVS A</t>
        </is>
      </c>
      <c r="C273" t="inlineStr">
        <is>
          <t>KG</t>
        </is>
      </c>
      <c r="D273" t="n">
        <v>77</v>
      </c>
      <c r="E273" t="n">
        <v>439.747</v>
      </c>
      <c r="F273" t="n">
        <v>3907863</v>
      </c>
      <c r="G273" t="inlineStr">
        <is>
          <t>0789</t>
        </is>
      </c>
      <c r="H273" t="inlineStr">
        <is>
          <t>TUB-O-N-AUT-AW-FC-57.15X2.500X5.7110</t>
        </is>
      </c>
      <c r="I273" t="n">
        <v>1425</v>
      </c>
      <c r="J273" t="n">
        <v>57.15</v>
      </c>
      <c r="K273" t="n">
        <v>0</v>
      </c>
      <c r="L273" t="n">
        <v>2.5</v>
      </c>
      <c r="M273" t="n">
        <v>5.711</v>
      </c>
      <c r="N273" t="inlineStr">
        <is>
          <t>Direct</t>
        </is>
      </c>
      <c r="O273" t="inlineStr">
        <is>
          <t>57.15-0-2.5-ERW 1-FC-5.711</t>
        </is>
      </c>
    </row>
    <row r="274">
      <c r="A274" t="inlineStr">
        <is>
          <t>0000943209</t>
        </is>
      </c>
      <c r="B274" t="inlineStr">
        <is>
          <t>MEGH STEELS PRIVATE LIMITED - TVS A</t>
        </is>
      </c>
      <c r="C274" t="inlineStr">
        <is>
          <t>KG</t>
        </is>
      </c>
      <c r="D274" t="n">
        <v>77</v>
      </c>
      <c r="E274" t="n">
        <v>439.747</v>
      </c>
      <c r="F274" t="n">
        <v>3907863</v>
      </c>
      <c r="G274" t="inlineStr">
        <is>
          <t>0789</t>
        </is>
      </c>
      <c r="H274" t="inlineStr">
        <is>
          <t>TUB-O-N-AUT-AW-FC-57.15X2.500X5.7110</t>
        </is>
      </c>
      <c r="I274" t="n">
        <v>1425</v>
      </c>
      <c r="J274" t="n">
        <v>57.15</v>
      </c>
      <c r="K274" t="n">
        <v>0</v>
      </c>
      <c r="L274" t="n">
        <v>2.5</v>
      </c>
      <c r="M274" t="n">
        <v>5.711</v>
      </c>
      <c r="N274" t="inlineStr">
        <is>
          <t>Direct</t>
        </is>
      </c>
      <c r="O274" t="inlineStr">
        <is>
          <t>57.15-0-2.5-ERW 1-FC-5.711</t>
        </is>
      </c>
    </row>
    <row r="275">
      <c r="A275" t="inlineStr">
        <is>
          <t>0000943209</t>
        </is>
      </c>
      <c r="B275" t="inlineStr">
        <is>
          <t>MEGH STEELS PRIVATE LIMITED - TVS A</t>
        </is>
      </c>
      <c r="C275" t="inlineStr">
        <is>
          <t>KG</t>
        </is>
      </c>
      <c r="D275" t="n">
        <v>78</v>
      </c>
      <c r="E275" t="n">
        <v>445.919</v>
      </c>
      <c r="F275" t="n">
        <v>3907863</v>
      </c>
      <c r="G275" t="inlineStr">
        <is>
          <t>0789</t>
        </is>
      </c>
      <c r="H275" t="inlineStr">
        <is>
          <t>TUB-O-N-AUT-AW-FC-57.15X2.500X5.7110</t>
        </is>
      </c>
      <c r="I275" t="n">
        <v>1445</v>
      </c>
      <c r="J275" t="n">
        <v>57.15</v>
      </c>
      <c r="K275" t="n">
        <v>0</v>
      </c>
      <c r="L275" t="n">
        <v>2.5</v>
      </c>
      <c r="M275" t="n">
        <v>5.711</v>
      </c>
      <c r="N275" t="inlineStr">
        <is>
          <t>Direct</t>
        </is>
      </c>
      <c r="O275" t="inlineStr">
        <is>
          <t>57.15-0-2.5-ERW 1-FC-5.711</t>
        </is>
      </c>
    </row>
    <row r="276">
      <c r="A276" t="inlineStr">
        <is>
          <t>0000943209</t>
        </is>
      </c>
      <c r="B276" t="inlineStr">
        <is>
          <t>MEGH STEELS PRIVATE LIMITED - TVS A</t>
        </is>
      </c>
      <c r="C276" t="inlineStr">
        <is>
          <t>KG</t>
        </is>
      </c>
      <c r="D276" t="n">
        <v>78</v>
      </c>
      <c r="E276" t="n">
        <v>445.919</v>
      </c>
      <c r="F276" t="n">
        <v>3907863</v>
      </c>
      <c r="G276" t="inlineStr">
        <is>
          <t>0789</t>
        </is>
      </c>
      <c r="H276" t="inlineStr">
        <is>
          <t>TUB-O-N-AUT-AW-FC-57.15X2.500X5.7110</t>
        </is>
      </c>
      <c r="I276" t="n">
        <v>1445</v>
      </c>
      <c r="J276" t="n">
        <v>57.15</v>
      </c>
      <c r="K276" t="n">
        <v>0</v>
      </c>
      <c r="L276" t="n">
        <v>2.5</v>
      </c>
      <c r="M276" t="n">
        <v>5.711</v>
      </c>
      <c r="N276" t="inlineStr">
        <is>
          <t>Direct</t>
        </is>
      </c>
      <c r="O276" t="inlineStr">
        <is>
          <t>57.15-0-2.5-ERW 1-FC-5.711</t>
        </is>
      </c>
    </row>
    <row r="277">
      <c r="A277" t="inlineStr">
        <is>
          <t>0000943209</t>
        </is>
      </c>
      <c r="B277" t="inlineStr">
        <is>
          <t>MEGH STEELS PRIVATE LIMITED - TVS A</t>
        </is>
      </c>
      <c r="C277" t="inlineStr">
        <is>
          <t>KG</t>
        </is>
      </c>
      <c r="D277" t="n">
        <v>76</v>
      </c>
      <c r="E277" t="n">
        <v>436.661</v>
      </c>
      <c r="F277" t="n">
        <v>3907863</v>
      </c>
      <c r="G277" t="inlineStr">
        <is>
          <t>0789</t>
        </is>
      </c>
      <c r="H277" t="inlineStr">
        <is>
          <t>TUB-O-N-AUT-AW-FC-57.15X2.500X5.7110</t>
        </is>
      </c>
      <c r="I277" t="n">
        <v>1415</v>
      </c>
      <c r="J277" t="n">
        <v>57.15</v>
      </c>
      <c r="K277" t="n">
        <v>0</v>
      </c>
      <c r="L277" t="n">
        <v>2.5</v>
      </c>
      <c r="M277" t="n">
        <v>5.711</v>
      </c>
      <c r="N277" t="inlineStr">
        <is>
          <t>Direct</t>
        </is>
      </c>
      <c r="O277" t="inlineStr">
        <is>
          <t>57.15-0-2.5-ERW 1-FC-5.711</t>
        </is>
      </c>
    </row>
    <row r="278">
      <c r="A278" t="inlineStr">
        <is>
          <t>0000943209</t>
        </is>
      </c>
      <c r="B278" t="inlineStr">
        <is>
          <t>MEGH STEELS PRIVATE LIMITED - TVS A</t>
        </is>
      </c>
      <c r="C278" t="inlineStr">
        <is>
          <t>KG</t>
        </is>
      </c>
      <c r="D278" t="n">
        <v>76</v>
      </c>
      <c r="E278" t="n">
        <v>436.661</v>
      </c>
      <c r="F278" t="n">
        <v>3907863</v>
      </c>
      <c r="G278" t="inlineStr">
        <is>
          <t>0789</t>
        </is>
      </c>
      <c r="H278" t="inlineStr">
        <is>
          <t>TUB-O-N-AUT-AW-FC-57.15X2.500X5.7110</t>
        </is>
      </c>
      <c r="I278" t="n">
        <v>1415</v>
      </c>
      <c r="J278" t="n">
        <v>57.15</v>
      </c>
      <c r="K278" t="n">
        <v>0</v>
      </c>
      <c r="L278" t="n">
        <v>2.5</v>
      </c>
      <c r="M278" t="n">
        <v>5.711</v>
      </c>
      <c r="N278" t="inlineStr">
        <is>
          <t>Direct</t>
        </is>
      </c>
      <c r="O278" t="inlineStr">
        <is>
          <t>57.15-0-2.5-ERW 1-FC-5.711</t>
        </is>
      </c>
    </row>
    <row r="279">
      <c r="A279" t="inlineStr">
        <is>
          <t>0000943209</t>
        </is>
      </c>
      <c r="B279" t="inlineStr">
        <is>
          <t>MEGH STEELS PRIVATE LIMITED - TVS A</t>
        </is>
      </c>
      <c r="C279" t="inlineStr">
        <is>
          <t>KG</t>
        </is>
      </c>
      <c r="D279" t="n">
        <v>81</v>
      </c>
      <c r="E279" t="n">
        <v>459.806</v>
      </c>
      <c r="F279" t="n">
        <v>3907863</v>
      </c>
      <c r="G279" t="inlineStr">
        <is>
          <t>0789</t>
        </is>
      </c>
      <c r="H279" t="inlineStr">
        <is>
          <t>TUB-O-N-AUT-AW-FC-57.15X2.500X5.7110</t>
        </is>
      </c>
      <c r="I279" t="n">
        <v>1490</v>
      </c>
      <c r="J279" t="n">
        <v>57.15</v>
      </c>
      <c r="K279" t="n">
        <v>0</v>
      </c>
      <c r="L279" t="n">
        <v>2.5</v>
      </c>
      <c r="M279" t="n">
        <v>5.711</v>
      </c>
      <c r="N279" t="inlineStr">
        <is>
          <t>Direct</t>
        </is>
      </c>
      <c r="O279" t="inlineStr">
        <is>
          <t>57.15-0-2.5-ERW 1-FC-5.711</t>
        </is>
      </c>
    </row>
    <row r="280">
      <c r="A280" t="inlineStr">
        <is>
          <t>0000943209</t>
        </is>
      </c>
      <c r="B280" t="inlineStr">
        <is>
          <t>MEGH STEELS PRIVATE LIMITED - TVS A</t>
        </is>
      </c>
      <c r="C280" t="inlineStr">
        <is>
          <t>KG</t>
        </is>
      </c>
      <c r="D280" t="n">
        <v>81</v>
      </c>
      <c r="E280" t="n">
        <v>459.806</v>
      </c>
      <c r="F280" t="n">
        <v>3907863</v>
      </c>
      <c r="G280" t="inlineStr">
        <is>
          <t>0789</t>
        </is>
      </c>
      <c r="H280" t="inlineStr">
        <is>
          <t>TUB-O-N-AUT-AW-FC-57.15X2.500X5.7110</t>
        </is>
      </c>
      <c r="I280" t="n">
        <v>1490</v>
      </c>
      <c r="J280" t="n">
        <v>57.15</v>
      </c>
      <c r="K280" t="n">
        <v>0</v>
      </c>
      <c r="L280" t="n">
        <v>2.5</v>
      </c>
      <c r="M280" t="n">
        <v>5.711</v>
      </c>
      <c r="N280" t="inlineStr">
        <is>
          <t>Direct</t>
        </is>
      </c>
      <c r="O280" t="inlineStr">
        <is>
          <t>57.15-0-2.5-ERW 1-FC-5.711</t>
        </is>
      </c>
    </row>
    <row r="281">
      <c r="A281" t="inlineStr">
        <is>
          <t>0000943209</t>
        </is>
      </c>
      <c r="B281" t="inlineStr">
        <is>
          <t>MEGH STEELS PRIVATE LIMITED - TVS A</t>
        </is>
      </c>
      <c r="C281" t="inlineStr">
        <is>
          <t>KG</t>
        </is>
      </c>
      <c r="D281" t="n">
        <v>79</v>
      </c>
      <c r="E281" t="n">
        <v>453.634</v>
      </c>
      <c r="F281" t="n">
        <v>3907863</v>
      </c>
      <c r="G281" t="inlineStr">
        <is>
          <t>0789</t>
        </is>
      </c>
      <c r="H281" t="inlineStr">
        <is>
          <t>TUB-O-N-AUT-AW-FC-57.15X2.500X5.7110</t>
        </is>
      </c>
      <c r="I281" t="n">
        <v>1470</v>
      </c>
      <c r="J281" t="n">
        <v>57.15</v>
      </c>
      <c r="K281" t="n">
        <v>0</v>
      </c>
      <c r="L281" t="n">
        <v>2.5</v>
      </c>
      <c r="M281" t="n">
        <v>5.711</v>
      </c>
      <c r="N281" t="inlineStr">
        <is>
          <t>Direct</t>
        </is>
      </c>
      <c r="O281" t="inlineStr">
        <is>
          <t>57.15-0-2.5-ERW 1-FC-5.711</t>
        </is>
      </c>
    </row>
    <row r="282">
      <c r="A282" t="inlineStr">
        <is>
          <t>0000943209</t>
        </is>
      </c>
      <c r="B282" t="inlineStr">
        <is>
          <t>MEGH STEELS PRIVATE LIMITED - TVS A</t>
        </is>
      </c>
      <c r="C282" t="inlineStr">
        <is>
          <t>KG</t>
        </is>
      </c>
      <c r="D282" t="n">
        <v>79</v>
      </c>
      <c r="E282" t="n">
        <v>453.634</v>
      </c>
      <c r="F282" t="n">
        <v>3907863</v>
      </c>
      <c r="G282" t="inlineStr">
        <is>
          <t>0789</t>
        </is>
      </c>
      <c r="H282" t="inlineStr">
        <is>
          <t>TUB-O-N-AUT-AW-FC-57.15X2.500X5.7110</t>
        </is>
      </c>
      <c r="I282" t="n">
        <v>1470</v>
      </c>
      <c r="J282" t="n">
        <v>57.15</v>
      </c>
      <c r="K282" t="n">
        <v>0</v>
      </c>
      <c r="L282" t="n">
        <v>2.5</v>
      </c>
      <c r="M282" t="n">
        <v>5.711</v>
      </c>
      <c r="N282" t="inlineStr">
        <is>
          <t>Direct</t>
        </is>
      </c>
      <c r="O282" t="inlineStr">
        <is>
          <t>57.15-0-2.5-ERW 1-FC-5.711</t>
        </is>
      </c>
    </row>
    <row r="283">
      <c r="A283" t="inlineStr">
        <is>
          <t>0000943209</t>
        </is>
      </c>
      <c r="B283" t="inlineStr">
        <is>
          <t>MEGH STEELS PRIVATE LIMITED - TVS A</t>
        </is>
      </c>
      <c r="C283" t="inlineStr">
        <is>
          <t>KG</t>
        </is>
      </c>
      <c r="D283" t="n">
        <v>77</v>
      </c>
      <c r="E283" t="n">
        <v>441.29</v>
      </c>
      <c r="F283" t="n">
        <v>3907863</v>
      </c>
      <c r="G283" t="inlineStr">
        <is>
          <t>0789</t>
        </is>
      </c>
      <c r="H283" t="inlineStr">
        <is>
          <t>TUB-O-N-AUT-AW-FC-57.15X2.500X5.7110</t>
        </is>
      </c>
      <c r="I283" t="n">
        <v>1430</v>
      </c>
      <c r="J283" t="n">
        <v>57.15</v>
      </c>
      <c r="K283" t="n">
        <v>0</v>
      </c>
      <c r="L283" t="n">
        <v>2.5</v>
      </c>
      <c r="M283" t="n">
        <v>5.711</v>
      </c>
      <c r="N283" t="inlineStr">
        <is>
          <t>Direct</t>
        </is>
      </c>
      <c r="O283" t="inlineStr">
        <is>
          <t>57.15-0-2.5-ERW 1-FC-5.711</t>
        </is>
      </c>
    </row>
    <row r="284">
      <c r="A284" t="inlineStr">
        <is>
          <t>0000943209</t>
        </is>
      </c>
      <c r="B284" t="inlineStr">
        <is>
          <t>MEGH STEELS PRIVATE LIMITED - TVS A</t>
        </is>
      </c>
      <c r="C284" t="inlineStr">
        <is>
          <t>KG</t>
        </is>
      </c>
      <c r="D284" t="n">
        <v>77</v>
      </c>
      <c r="E284" t="n">
        <v>441.29</v>
      </c>
      <c r="F284" t="n">
        <v>3907863</v>
      </c>
      <c r="G284" t="inlineStr">
        <is>
          <t>0789</t>
        </is>
      </c>
      <c r="H284" t="inlineStr">
        <is>
          <t>TUB-O-N-AUT-AW-FC-57.15X2.500X5.7110</t>
        </is>
      </c>
      <c r="I284" t="n">
        <v>1430</v>
      </c>
      <c r="J284" t="n">
        <v>57.15</v>
      </c>
      <c r="K284" t="n">
        <v>0</v>
      </c>
      <c r="L284" t="n">
        <v>2.5</v>
      </c>
      <c r="M284" t="n">
        <v>5.711</v>
      </c>
      <c r="N284" t="inlineStr">
        <is>
          <t>Direct</t>
        </is>
      </c>
      <c r="O284" t="inlineStr">
        <is>
          <t>57.15-0-2.5-ERW 1-FC-5.711</t>
        </is>
      </c>
    </row>
    <row r="285">
      <c r="A285" t="inlineStr">
        <is>
          <t>0000943209</t>
        </is>
      </c>
      <c r="B285" t="inlineStr">
        <is>
          <t>MEGH STEELS PRIVATE LIMITED - TVS A</t>
        </is>
      </c>
      <c r="C285" t="inlineStr">
        <is>
          <t>KG</t>
        </is>
      </c>
      <c r="D285" t="n">
        <v>83</v>
      </c>
      <c r="E285" t="n">
        <v>472.149</v>
      </c>
      <c r="F285" t="n">
        <v>3907863</v>
      </c>
      <c r="G285" t="inlineStr">
        <is>
          <t>0789</t>
        </is>
      </c>
      <c r="H285" t="inlineStr">
        <is>
          <t>TUB-O-N-AUT-AW-FC-57.15X2.500X5.7110</t>
        </is>
      </c>
      <c r="I285" t="n">
        <v>1530</v>
      </c>
      <c r="J285" t="n">
        <v>57.15</v>
      </c>
      <c r="K285" t="n">
        <v>0</v>
      </c>
      <c r="L285" t="n">
        <v>2.5</v>
      </c>
      <c r="M285" t="n">
        <v>5.711</v>
      </c>
      <c r="N285" t="inlineStr">
        <is>
          <t>Direct</t>
        </is>
      </c>
      <c r="O285" t="inlineStr">
        <is>
          <t>57.15-0-2.5-ERW 1-FC-5.711</t>
        </is>
      </c>
    </row>
    <row r="286">
      <c r="A286" t="inlineStr">
        <is>
          <t>0000943209</t>
        </is>
      </c>
      <c r="B286" t="inlineStr">
        <is>
          <t>MEGH STEELS PRIVATE LIMITED - TVS A</t>
        </is>
      </c>
      <c r="C286" t="inlineStr">
        <is>
          <t>KG</t>
        </is>
      </c>
      <c r="D286" t="n">
        <v>83</v>
      </c>
      <c r="E286" t="n">
        <v>472.149</v>
      </c>
      <c r="F286" t="n">
        <v>3907863</v>
      </c>
      <c r="G286" t="inlineStr">
        <is>
          <t>0789</t>
        </is>
      </c>
      <c r="H286" t="inlineStr">
        <is>
          <t>TUB-O-N-AUT-AW-FC-57.15X2.500X5.7110</t>
        </is>
      </c>
      <c r="I286" t="n">
        <v>1530</v>
      </c>
      <c r="J286" t="n">
        <v>57.15</v>
      </c>
      <c r="K286" t="n">
        <v>0</v>
      </c>
      <c r="L286" t="n">
        <v>2.5</v>
      </c>
      <c r="M286" t="n">
        <v>5.711</v>
      </c>
      <c r="N286" t="inlineStr">
        <is>
          <t>Direct</t>
        </is>
      </c>
      <c r="O286" t="inlineStr">
        <is>
          <t>57.15-0-2.5-ERW 1-FC-5.711</t>
        </is>
      </c>
    </row>
    <row r="287">
      <c r="A287" t="inlineStr">
        <is>
          <t>0000943209</t>
        </is>
      </c>
      <c r="B287" t="inlineStr">
        <is>
          <t>MEGH STEELS PRIVATE LIMITED - TVS A</t>
        </is>
      </c>
      <c r="C287" t="inlineStr">
        <is>
          <t>KG</t>
        </is>
      </c>
      <c r="D287" t="n">
        <v>78</v>
      </c>
      <c r="E287" t="n">
        <v>447.462</v>
      </c>
      <c r="F287" t="n">
        <v>3907863</v>
      </c>
      <c r="G287" t="inlineStr">
        <is>
          <t>0789</t>
        </is>
      </c>
      <c r="H287" t="inlineStr">
        <is>
          <t>TUB-O-N-AUT-AW-FC-57.15X2.500X5.7110</t>
        </is>
      </c>
      <c r="I287" t="n">
        <v>1450</v>
      </c>
      <c r="J287" t="n">
        <v>57.15</v>
      </c>
      <c r="K287" t="n">
        <v>0</v>
      </c>
      <c r="L287" t="n">
        <v>2.5</v>
      </c>
      <c r="M287" t="n">
        <v>5.711</v>
      </c>
      <c r="N287" t="inlineStr">
        <is>
          <t>Direct</t>
        </is>
      </c>
      <c r="O287" t="inlineStr">
        <is>
          <t>57.15-0-2.5-ERW 1-FC-5.711</t>
        </is>
      </c>
    </row>
    <row r="288">
      <c r="A288" t="inlineStr">
        <is>
          <t>0000943209</t>
        </is>
      </c>
      <c r="B288" t="inlineStr">
        <is>
          <t>MEGH STEELS PRIVATE LIMITED - TVS A</t>
        </is>
      </c>
      <c r="C288" t="inlineStr">
        <is>
          <t>KG</t>
        </is>
      </c>
      <c r="D288" t="n">
        <v>78</v>
      </c>
      <c r="E288" t="n">
        <v>447.462</v>
      </c>
      <c r="F288" t="n">
        <v>3907863</v>
      </c>
      <c r="G288" t="inlineStr">
        <is>
          <t>0789</t>
        </is>
      </c>
      <c r="H288" t="inlineStr">
        <is>
          <t>TUB-O-N-AUT-AW-FC-57.15X2.500X5.7110</t>
        </is>
      </c>
      <c r="I288" t="n">
        <v>1450</v>
      </c>
      <c r="J288" t="n">
        <v>57.15</v>
      </c>
      <c r="K288" t="n">
        <v>0</v>
      </c>
      <c r="L288" t="n">
        <v>2.5</v>
      </c>
      <c r="M288" t="n">
        <v>5.711</v>
      </c>
      <c r="N288" t="inlineStr">
        <is>
          <t>Direct</t>
        </is>
      </c>
      <c r="O288" t="inlineStr">
        <is>
          <t>57.15-0-2.5-ERW 1-FC-5.711</t>
        </is>
      </c>
    </row>
    <row r="289">
      <c r="A289" t="inlineStr">
        <is>
          <t>0000943209</t>
        </is>
      </c>
      <c r="B289" t="inlineStr">
        <is>
          <t>MEGH STEELS PRIVATE LIMITED - TVS A</t>
        </is>
      </c>
      <c r="C289" t="inlineStr">
        <is>
          <t>KG</t>
        </is>
      </c>
      <c r="D289" t="n">
        <v>81</v>
      </c>
      <c r="E289" t="n">
        <v>459.806</v>
      </c>
      <c r="F289" t="n">
        <v>3907863</v>
      </c>
      <c r="G289" t="inlineStr">
        <is>
          <t>0789</t>
        </is>
      </c>
      <c r="H289" t="inlineStr">
        <is>
          <t>TUB-O-N-AUT-AW-FC-57.15X2.500X5.7110</t>
        </is>
      </c>
      <c r="I289" t="n">
        <v>1490</v>
      </c>
      <c r="J289" t="n">
        <v>57.15</v>
      </c>
      <c r="K289" t="n">
        <v>0</v>
      </c>
      <c r="L289" t="n">
        <v>2.5</v>
      </c>
      <c r="M289" t="n">
        <v>5.711</v>
      </c>
      <c r="N289" t="inlineStr">
        <is>
          <t>Direct</t>
        </is>
      </c>
      <c r="O289" t="inlineStr">
        <is>
          <t>57.15-0-2.5-ERW 1-FC-5.711</t>
        </is>
      </c>
    </row>
    <row r="290">
      <c r="A290" t="inlineStr">
        <is>
          <t>0000943209</t>
        </is>
      </c>
      <c r="B290" t="inlineStr">
        <is>
          <t>MEGH STEELS PRIVATE LIMITED - TVS A</t>
        </is>
      </c>
      <c r="C290" t="inlineStr">
        <is>
          <t>KG</t>
        </is>
      </c>
      <c r="D290" t="n">
        <v>81</v>
      </c>
      <c r="E290" t="n">
        <v>459.806</v>
      </c>
      <c r="F290" t="n">
        <v>3907863</v>
      </c>
      <c r="G290" t="inlineStr">
        <is>
          <t>0789</t>
        </is>
      </c>
      <c r="H290" t="inlineStr">
        <is>
          <t>TUB-O-N-AUT-AW-FC-57.15X2.500X5.7110</t>
        </is>
      </c>
      <c r="I290" t="n">
        <v>1490</v>
      </c>
      <c r="J290" t="n">
        <v>57.15</v>
      </c>
      <c r="K290" t="n">
        <v>0</v>
      </c>
      <c r="L290" t="n">
        <v>2.5</v>
      </c>
      <c r="M290" t="n">
        <v>5.711</v>
      </c>
      <c r="N290" t="inlineStr">
        <is>
          <t>Direct</t>
        </is>
      </c>
      <c r="O290" t="inlineStr">
        <is>
          <t>57.15-0-2.5-ERW 1-FC-5.711</t>
        </is>
      </c>
    </row>
    <row r="291">
      <c r="A291" t="inlineStr">
        <is>
          <t>0000943209</t>
        </is>
      </c>
      <c r="B291" t="inlineStr">
        <is>
          <t>MEGH STEELS PRIVATE LIMITED - TVS A</t>
        </is>
      </c>
      <c r="C291" t="inlineStr">
        <is>
          <t>KG</t>
        </is>
      </c>
      <c r="D291" t="n">
        <v>33</v>
      </c>
      <c r="E291" t="n">
        <v>187.317</v>
      </c>
      <c r="F291" t="n">
        <v>3907863</v>
      </c>
      <c r="G291" t="inlineStr">
        <is>
          <t>0789</t>
        </is>
      </c>
      <c r="H291" t="inlineStr">
        <is>
          <t>TUB-O-N-AUT-AW-FC-57.15X2.500X5.7110</t>
        </is>
      </c>
      <c r="I291" t="n">
        <v>607</v>
      </c>
      <c r="J291" t="n">
        <v>57.15</v>
      </c>
      <c r="K291" t="n">
        <v>0</v>
      </c>
      <c r="L291" t="n">
        <v>2.5</v>
      </c>
      <c r="M291" t="n">
        <v>5.711</v>
      </c>
      <c r="N291" t="inlineStr">
        <is>
          <t>Direct</t>
        </is>
      </c>
      <c r="O291" t="inlineStr">
        <is>
          <t>57.15-0-2.5-ERW 1-FC-5.711</t>
        </is>
      </c>
    </row>
    <row r="292">
      <c r="A292" t="inlineStr">
        <is>
          <t>0000943209</t>
        </is>
      </c>
      <c r="B292" t="inlineStr">
        <is>
          <t>MEGH STEELS PRIVATE LIMITED - TVS A</t>
        </is>
      </c>
      <c r="C292" t="inlineStr">
        <is>
          <t>KG</t>
        </is>
      </c>
      <c r="D292" t="n">
        <v>33</v>
      </c>
      <c r="E292" t="n">
        <v>187.317</v>
      </c>
      <c r="F292" t="n">
        <v>3907863</v>
      </c>
      <c r="G292" t="inlineStr">
        <is>
          <t>0789</t>
        </is>
      </c>
      <c r="H292" t="inlineStr">
        <is>
          <t>TUB-O-N-AUT-AW-FC-57.15X2.500X5.7110</t>
        </is>
      </c>
      <c r="I292" t="n">
        <v>607</v>
      </c>
      <c r="J292" t="n">
        <v>57.15</v>
      </c>
      <c r="K292" t="n">
        <v>0</v>
      </c>
      <c r="L292" t="n">
        <v>2.5</v>
      </c>
      <c r="M292" t="n">
        <v>5.711</v>
      </c>
      <c r="N292" t="inlineStr">
        <is>
          <t>Direct</t>
        </is>
      </c>
      <c r="O292" t="inlineStr">
        <is>
          <t>57.15-0-2.5-ERW 1-FC-5.711</t>
        </is>
      </c>
    </row>
    <row r="293">
      <c r="A293" t="inlineStr">
        <is>
          <t>0000943209</t>
        </is>
      </c>
      <c r="B293" t="inlineStr">
        <is>
          <t>MEGH STEELS PRIVATE LIMITED - TVS A</t>
        </is>
      </c>
      <c r="C293" t="inlineStr">
        <is>
          <t>KG</t>
        </is>
      </c>
      <c r="D293" t="n">
        <v>143</v>
      </c>
      <c r="E293" t="n">
        <v>887.28</v>
      </c>
      <c r="F293" t="n">
        <v>4265906</v>
      </c>
      <c r="G293" t="inlineStr">
        <is>
          <t>0789</t>
        </is>
      </c>
      <c r="H293" t="inlineStr">
        <is>
          <t>TUB-R-AW-AUT-50.00X30.00X2.500X6.1930</t>
        </is>
      </c>
      <c r="I293" t="n">
        <v>2500</v>
      </c>
      <c r="J293" t="n">
        <v>50</v>
      </c>
      <c r="K293" t="n">
        <v>30</v>
      </c>
      <c r="L293" t="n">
        <v>2.5</v>
      </c>
      <c r="M293" t="n">
        <v>6.193</v>
      </c>
      <c r="N293" t="inlineStr">
        <is>
          <t>Direct</t>
        </is>
      </c>
    </row>
    <row r="294">
      <c r="A294" t="inlineStr">
        <is>
          <t>0000943209</t>
        </is>
      </c>
      <c r="B294" t="inlineStr">
        <is>
          <t>MEGH STEELS PRIVATE LIMITED - TVS A</t>
        </is>
      </c>
      <c r="C294" t="inlineStr">
        <is>
          <t>KG</t>
        </is>
      </c>
      <c r="D294" t="n">
        <v>158</v>
      </c>
      <c r="E294" t="n">
        <v>977.073</v>
      </c>
      <c r="F294" t="n">
        <v>4265906</v>
      </c>
      <c r="G294" t="inlineStr">
        <is>
          <t>0789</t>
        </is>
      </c>
      <c r="H294" t="inlineStr">
        <is>
          <t>TUB-R-AW-AUT-50.00X30.00X2.500X6.1930</t>
        </is>
      </c>
      <c r="I294" t="n">
        <v>2753</v>
      </c>
      <c r="J294" t="n">
        <v>50</v>
      </c>
      <c r="K294" t="n">
        <v>30</v>
      </c>
      <c r="L294" t="n">
        <v>2.5</v>
      </c>
      <c r="M294" t="n">
        <v>6.193</v>
      </c>
      <c r="N294" t="inlineStr">
        <is>
          <t>Direct</t>
        </is>
      </c>
    </row>
    <row r="295">
      <c r="A295" t="inlineStr">
        <is>
          <t>0000943209</t>
        </is>
      </c>
      <c r="B295" t="inlineStr">
        <is>
          <t>MEGH STEELS PRIVATE LIMITED - TVS A</t>
        </is>
      </c>
      <c r="C295" t="inlineStr">
        <is>
          <t>KG</t>
        </is>
      </c>
      <c r="D295" t="n">
        <v>419</v>
      </c>
      <c r="E295" t="n">
        <v>2429.862</v>
      </c>
      <c r="F295" t="n">
        <v>1940292</v>
      </c>
      <c r="G295" t="inlineStr">
        <is>
          <t>0789</t>
        </is>
      </c>
      <c r="H295" t="inlineStr">
        <is>
          <t>TUB-O-O-AUT-AW-PE-19.05X2.000X5.8000</t>
        </is>
      </c>
      <c r="I295" t="n">
        <v>2044</v>
      </c>
      <c r="J295" t="n">
        <v>19.05</v>
      </c>
      <c r="K295" t="n">
        <v>0</v>
      </c>
      <c r="L295" t="n">
        <v>2</v>
      </c>
      <c r="M295" t="n">
        <v>5.8</v>
      </c>
      <c r="N295" t="inlineStr">
        <is>
          <t>Direct</t>
        </is>
      </c>
    </row>
    <row r="296">
      <c r="A296" t="inlineStr">
        <is>
          <t>0000943209</t>
        </is>
      </c>
      <c r="B296" t="inlineStr">
        <is>
          <t>MEGH STEELS PRIVATE LIMITED - TVS A</t>
        </is>
      </c>
      <c r="C296" t="inlineStr">
        <is>
          <t>KG</t>
        </is>
      </c>
      <c r="D296" t="n">
        <v>615</v>
      </c>
      <c r="E296" t="n">
        <v>3569.9</v>
      </c>
      <c r="F296" t="n">
        <v>1940292</v>
      </c>
      <c r="G296" t="inlineStr">
        <is>
          <t>0789</t>
        </is>
      </c>
      <c r="H296" t="inlineStr">
        <is>
          <t>TUB-O-O-AUT-AW-PE-19.05X2.000X5.8000</t>
        </is>
      </c>
      <c r="I296" t="n">
        <v>3003</v>
      </c>
      <c r="J296" t="n">
        <v>19.05</v>
      </c>
      <c r="K296" t="n">
        <v>0</v>
      </c>
      <c r="L296" t="n">
        <v>2</v>
      </c>
      <c r="M296" t="n">
        <v>5.8</v>
      </c>
      <c r="N296" t="inlineStr">
        <is>
          <t>Direct</t>
        </is>
      </c>
    </row>
    <row r="297">
      <c r="A297" t="inlineStr">
        <is>
          <t>0000943209</t>
        </is>
      </c>
      <c r="B297" t="inlineStr">
        <is>
          <t>MEGH STEELS PRIVATE LIMITED - TVS A</t>
        </is>
      </c>
      <c r="C297" t="inlineStr">
        <is>
          <t>KG</t>
        </is>
      </c>
      <c r="D297" t="n">
        <v>742</v>
      </c>
      <c r="E297" t="n">
        <v>4303.376</v>
      </c>
      <c r="F297" t="n">
        <v>1940292</v>
      </c>
      <c r="G297" t="inlineStr">
        <is>
          <t>0789</t>
        </is>
      </c>
      <c r="H297" t="inlineStr">
        <is>
          <t>TUB-O-O-AUT-AW-PE-19.05X2.000X5.8000</t>
        </is>
      </c>
      <c r="I297" t="n">
        <v>3620</v>
      </c>
      <c r="J297" t="n">
        <v>19.05</v>
      </c>
      <c r="K297" t="n">
        <v>0</v>
      </c>
      <c r="L297" t="n">
        <v>2</v>
      </c>
      <c r="M297" t="n">
        <v>5.8</v>
      </c>
      <c r="N297" t="inlineStr">
        <is>
          <t>Direct</t>
        </is>
      </c>
    </row>
    <row r="298">
      <c r="A298" t="inlineStr">
        <is>
          <t>0000943209</t>
        </is>
      </c>
      <c r="B298" t="inlineStr">
        <is>
          <t>MEGH STEELS PRIVATE LIMITED - TVS A</t>
        </is>
      </c>
      <c r="C298" t="inlineStr">
        <is>
          <t>KG</t>
        </is>
      </c>
      <c r="D298" t="n">
        <v>717</v>
      </c>
      <c r="E298" t="n">
        <v>4158.345</v>
      </c>
      <c r="F298" t="n">
        <v>1940292</v>
      </c>
      <c r="G298" t="inlineStr">
        <is>
          <t>0789</t>
        </is>
      </c>
      <c r="H298" t="inlineStr">
        <is>
          <t>TUB-O-O-AUT-AW-PE-19.05X2.000X5.8000</t>
        </is>
      </c>
      <c r="I298" t="n">
        <v>3498</v>
      </c>
      <c r="J298" t="n">
        <v>19.05</v>
      </c>
      <c r="K298" t="n">
        <v>0</v>
      </c>
      <c r="L298" t="n">
        <v>2</v>
      </c>
      <c r="M298" t="n">
        <v>5.8</v>
      </c>
      <c r="N298" t="inlineStr">
        <is>
          <t>Direct</t>
        </is>
      </c>
    </row>
    <row r="299">
      <c r="A299" t="inlineStr">
        <is>
          <t>0000943209</t>
        </is>
      </c>
      <c r="B299" t="inlineStr">
        <is>
          <t>MEGH STEELS PRIVATE LIMITED - TVS A</t>
        </is>
      </c>
      <c r="C299" t="inlineStr">
        <is>
          <t>KG</t>
        </is>
      </c>
      <c r="D299" t="n">
        <v>302</v>
      </c>
      <c r="E299" t="n">
        <v>1752.259</v>
      </c>
      <c r="F299" t="n">
        <v>1940292</v>
      </c>
      <c r="G299" t="inlineStr">
        <is>
          <t>0789</t>
        </is>
      </c>
      <c r="H299" t="inlineStr">
        <is>
          <t>TUB-O-O-AUT-AW-PE-19.05X2.000X5.8000</t>
        </is>
      </c>
      <c r="I299" t="n">
        <v>1474</v>
      </c>
      <c r="J299" t="n">
        <v>19.05</v>
      </c>
      <c r="K299" t="n">
        <v>0</v>
      </c>
      <c r="L299" t="n">
        <v>2</v>
      </c>
      <c r="M299" t="n">
        <v>5.8</v>
      </c>
      <c r="N299" t="inlineStr">
        <is>
          <t>Direct</t>
        </is>
      </c>
    </row>
    <row r="300">
      <c r="A300" t="inlineStr">
        <is>
          <t>0000943209</t>
        </is>
      </c>
      <c r="B300" t="inlineStr">
        <is>
          <t>MEGH STEELS PRIVATE LIMITED - TVS A</t>
        </is>
      </c>
      <c r="C300" t="inlineStr">
        <is>
          <t>KG</t>
        </is>
      </c>
      <c r="D300" t="n">
        <v>326</v>
      </c>
      <c r="E300" t="n">
        <v>1891.346</v>
      </c>
      <c r="F300" t="n">
        <v>1940292</v>
      </c>
      <c r="G300" t="inlineStr">
        <is>
          <t>0789</t>
        </is>
      </c>
      <c r="H300" t="inlineStr">
        <is>
          <t>TUB-O-O-AUT-AW-PE-19.05X2.000X5.8000</t>
        </is>
      </c>
      <c r="I300" t="n">
        <v>1591</v>
      </c>
      <c r="J300" t="n">
        <v>19.05</v>
      </c>
      <c r="K300" t="n">
        <v>0</v>
      </c>
      <c r="L300" t="n">
        <v>2</v>
      </c>
      <c r="M300" t="n">
        <v>5.8</v>
      </c>
      <c r="N300" t="inlineStr">
        <is>
          <t>Direct</t>
        </is>
      </c>
    </row>
    <row r="301">
      <c r="A301" t="inlineStr">
        <is>
          <t>0000943209</t>
        </is>
      </c>
      <c r="B301" t="inlineStr">
        <is>
          <t>MEGH STEELS PRIVATE LIMITED - TVS A</t>
        </is>
      </c>
      <c r="C301" t="inlineStr">
        <is>
          <t>KG</t>
        </is>
      </c>
      <c r="D301" t="n">
        <v>220</v>
      </c>
      <c r="E301" t="n">
        <v>1321.678</v>
      </c>
      <c r="F301" t="n">
        <v>3994149</v>
      </c>
      <c r="G301" t="inlineStr">
        <is>
          <t>0789</t>
        </is>
      </c>
      <c r="H301" t="inlineStr">
        <is>
          <t>TUB-O-N-AUT-AW-FC-41.28X2.600X6.0010</t>
        </is>
      </c>
      <c r="I301" t="n">
        <v>3160</v>
      </c>
      <c r="J301" t="n">
        <v>41.28</v>
      </c>
      <c r="K301" t="n">
        <v>0</v>
      </c>
      <c r="L301" t="n">
        <v>2.6</v>
      </c>
      <c r="M301" t="n">
        <v>6.001</v>
      </c>
      <c r="N301" t="inlineStr">
        <is>
          <t>Direct</t>
        </is>
      </c>
      <c r="O301" t="inlineStr">
        <is>
          <t>41.28-0-2.6-ERW 1-FC-6</t>
        </is>
      </c>
    </row>
    <row r="302">
      <c r="A302" t="inlineStr">
        <is>
          <t>0000943209</t>
        </is>
      </c>
      <c r="B302" t="inlineStr">
        <is>
          <t>MEGH STEELS PRIVATE LIMITED - TVS A</t>
        </is>
      </c>
      <c r="C302" t="inlineStr">
        <is>
          <t>KG</t>
        </is>
      </c>
      <c r="D302" t="n">
        <v>220</v>
      </c>
      <c r="E302" t="n">
        <v>1317.496</v>
      </c>
      <c r="F302" t="n">
        <v>3994149</v>
      </c>
      <c r="G302" t="inlineStr">
        <is>
          <t>0789</t>
        </is>
      </c>
      <c r="H302" t="inlineStr">
        <is>
          <t>TUB-O-N-AUT-AW-FC-41.28X2.600X6.0010</t>
        </is>
      </c>
      <c r="I302" t="n">
        <v>3150</v>
      </c>
      <c r="J302" t="n">
        <v>41.28</v>
      </c>
      <c r="K302" t="n">
        <v>0</v>
      </c>
      <c r="L302" t="n">
        <v>2.6</v>
      </c>
      <c r="M302" t="n">
        <v>6.001</v>
      </c>
      <c r="N302" t="inlineStr">
        <is>
          <t>Direct</t>
        </is>
      </c>
      <c r="O302" t="inlineStr">
        <is>
          <t>41.28-0-2.6-ERW 1-FC-6</t>
        </is>
      </c>
    </row>
    <row r="303">
      <c r="A303" t="inlineStr">
        <is>
          <t>0000943209</t>
        </is>
      </c>
      <c r="B303" t="inlineStr">
        <is>
          <t>MEGH STEELS PRIVATE LIMITED - TVS A</t>
        </is>
      </c>
      <c r="C303" t="inlineStr">
        <is>
          <t>KG</t>
        </is>
      </c>
      <c r="D303" t="n">
        <v>208</v>
      </c>
      <c r="E303" t="n">
        <v>1246.393</v>
      </c>
      <c r="F303" t="n">
        <v>3994149</v>
      </c>
      <c r="G303" t="inlineStr">
        <is>
          <t>0789</t>
        </is>
      </c>
      <c r="H303" t="inlineStr">
        <is>
          <t>TUB-O-N-AUT-AW-FC-41.28X2.600X6.0010</t>
        </is>
      </c>
      <c r="I303" t="n">
        <v>2980</v>
      </c>
      <c r="J303" t="n">
        <v>41.28</v>
      </c>
      <c r="K303" t="n">
        <v>0</v>
      </c>
      <c r="L303" t="n">
        <v>2.6</v>
      </c>
      <c r="M303" t="n">
        <v>6.001</v>
      </c>
      <c r="N303" t="inlineStr">
        <is>
          <t>Direct</t>
        </is>
      </c>
      <c r="O303" t="inlineStr">
        <is>
          <t>41.28-0-2.6-ERW 1-FC-6</t>
        </is>
      </c>
    </row>
    <row r="304">
      <c r="A304" t="inlineStr">
        <is>
          <t>0000943209</t>
        </is>
      </c>
      <c r="B304" t="inlineStr">
        <is>
          <t>MEGH STEELS PRIVATE LIMITED - TVS A</t>
        </is>
      </c>
      <c r="C304" t="inlineStr">
        <is>
          <t>KG</t>
        </is>
      </c>
      <c r="D304" t="n">
        <v>224</v>
      </c>
      <c r="E304" t="n">
        <v>1346.773</v>
      </c>
      <c r="F304" t="n">
        <v>3994149</v>
      </c>
      <c r="G304" t="inlineStr">
        <is>
          <t>0789</t>
        </is>
      </c>
      <c r="H304" t="inlineStr">
        <is>
          <t>TUB-O-N-AUT-AW-FC-41.28X2.600X6.0010</t>
        </is>
      </c>
      <c r="I304" t="n">
        <v>3220</v>
      </c>
      <c r="J304" t="n">
        <v>41.28</v>
      </c>
      <c r="K304" t="n">
        <v>0</v>
      </c>
      <c r="L304" t="n">
        <v>2.6</v>
      </c>
      <c r="M304" t="n">
        <v>6.001</v>
      </c>
      <c r="N304" t="inlineStr">
        <is>
          <t>Direct</t>
        </is>
      </c>
      <c r="O304" t="inlineStr">
        <is>
          <t>41.28-0-2.6-ERW 1-FC-6</t>
        </is>
      </c>
    </row>
    <row r="305">
      <c r="A305" t="inlineStr">
        <is>
          <t>0000943209</t>
        </is>
      </c>
      <c r="B305" t="inlineStr">
        <is>
          <t>MEGH STEELS PRIVATE LIMITED - TVS A</t>
        </is>
      </c>
      <c r="C305" t="inlineStr">
        <is>
          <t>KG</t>
        </is>
      </c>
      <c r="D305" t="n">
        <v>144</v>
      </c>
      <c r="E305" t="n">
        <v>865.783</v>
      </c>
      <c r="F305" t="n">
        <v>3994149</v>
      </c>
      <c r="G305" t="inlineStr">
        <is>
          <t>0789</t>
        </is>
      </c>
      <c r="H305" t="inlineStr">
        <is>
          <t>TUB-O-N-AUT-AW-FC-41.28X2.600X6.0010</t>
        </is>
      </c>
      <c r="I305" t="n">
        <v>2070</v>
      </c>
      <c r="J305" t="n">
        <v>41.28</v>
      </c>
      <c r="K305" t="n">
        <v>0</v>
      </c>
      <c r="L305" t="n">
        <v>2.6</v>
      </c>
      <c r="M305" t="n">
        <v>6.001</v>
      </c>
      <c r="N305" t="inlineStr">
        <is>
          <t>Direct</t>
        </is>
      </c>
      <c r="O305" t="inlineStr">
        <is>
          <t>41.28-0-2.6-ERW 1-FC-6</t>
        </is>
      </c>
    </row>
    <row r="306">
      <c r="A306" t="inlineStr">
        <is>
          <t>0000943209</t>
        </is>
      </c>
      <c r="B306" t="inlineStr">
        <is>
          <t>MEGH STEELS PRIVATE LIMITED - TVS A</t>
        </is>
      </c>
      <c r="C306" t="inlineStr">
        <is>
          <t>KG</t>
        </is>
      </c>
      <c r="D306" t="n">
        <v>144</v>
      </c>
      <c r="E306" t="n">
        <v>865.783</v>
      </c>
      <c r="F306" t="n">
        <v>3994149</v>
      </c>
      <c r="G306" t="inlineStr">
        <is>
          <t>0789</t>
        </is>
      </c>
      <c r="H306" t="inlineStr">
        <is>
          <t>TUB-O-N-AUT-AW-FC-41.28X2.600X6.0010</t>
        </is>
      </c>
      <c r="I306" t="n">
        <v>2070</v>
      </c>
      <c r="J306" t="n">
        <v>41.28</v>
      </c>
      <c r="K306" t="n">
        <v>0</v>
      </c>
      <c r="L306" t="n">
        <v>2.6</v>
      </c>
      <c r="M306" t="n">
        <v>6.001</v>
      </c>
      <c r="N306" t="inlineStr">
        <is>
          <t>Direct</t>
        </is>
      </c>
      <c r="O306" t="inlineStr">
        <is>
          <t>41.28-0-2.6-ERW 1-FC-6</t>
        </is>
      </c>
    </row>
    <row r="307">
      <c r="A307" t="inlineStr">
        <is>
          <t>0000943209</t>
        </is>
      </c>
      <c r="B307" t="inlineStr">
        <is>
          <t>MEGH STEELS PRIVATE LIMITED - TVS A</t>
        </is>
      </c>
      <c r="C307" t="inlineStr">
        <is>
          <t>KG</t>
        </is>
      </c>
      <c r="D307" t="n">
        <v>142</v>
      </c>
      <c r="E307" t="n">
        <v>853.235</v>
      </c>
      <c r="F307" t="n">
        <v>3994149</v>
      </c>
      <c r="G307" t="inlineStr">
        <is>
          <t>0789</t>
        </is>
      </c>
      <c r="H307" t="inlineStr">
        <is>
          <t>TUB-O-N-AUT-AW-FC-41.28X2.600X6.0010</t>
        </is>
      </c>
      <c r="I307" t="n">
        <v>2040</v>
      </c>
      <c r="J307" t="n">
        <v>41.28</v>
      </c>
      <c r="K307" t="n">
        <v>0</v>
      </c>
      <c r="L307" t="n">
        <v>2.6</v>
      </c>
      <c r="M307" t="n">
        <v>6.001</v>
      </c>
      <c r="N307" t="inlineStr">
        <is>
          <t>Direct</t>
        </is>
      </c>
      <c r="O307" t="inlineStr">
        <is>
          <t>41.28-0-2.6-ERW 1-FC-6</t>
        </is>
      </c>
    </row>
    <row r="308">
      <c r="A308" t="inlineStr">
        <is>
          <t>0000943209</t>
        </is>
      </c>
      <c r="B308" t="inlineStr">
        <is>
          <t>MEGH STEELS PRIVATE LIMITED - TVS A</t>
        </is>
      </c>
      <c r="C308" t="inlineStr">
        <is>
          <t>KG</t>
        </is>
      </c>
      <c r="D308" t="n">
        <v>131</v>
      </c>
      <c r="E308" t="n">
        <v>786.3150000000001</v>
      </c>
      <c r="F308" t="n">
        <v>3994149</v>
      </c>
      <c r="G308" t="inlineStr">
        <is>
          <t>0789</t>
        </is>
      </c>
      <c r="H308" t="inlineStr">
        <is>
          <t>TUB-O-N-AUT-AW-FC-41.28X2.600X6.0010</t>
        </is>
      </c>
      <c r="I308" t="n">
        <v>1880</v>
      </c>
      <c r="J308" t="n">
        <v>41.28</v>
      </c>
      <c r="K308" t="n">
        <v>0</v>
      </c>
      <c r="L308" t="n">
        <v>2.6</v>
      </c>
      <c r="M308" t="n">
        <v>6.001</v>
      </c>
      <c r="N308" t="inlineStr">
        <is>
          <t>Direct</t>
        </is>
      </c>
      <c r="O308" t="inlineStr">
        <is>
          <t>41.28-0-2.6-ERW 1-FC-6</t>
        </is>
      </c>
    </row>
    <row r="309">
      <c r="A309" t="inlineStr">
        <is>
          <t>0000943209</t>
        </is>
      </c>
      <c r="B309" t="inlineStr">
        <is>
          <t>MEGH STEELS PRIVATE LIMITED - TVS A</t>
        </is>
      </c>
      <c r="C309" t="inlineStr">
        <is>
          <t>KG</t>
        </is>
      </c>
      <c r="D309" t="n">
        <v>150</v>
      </c>
      <c r="E309" t="n">
        <v>899.2430000000001</v>
      </c>
      <c r="F309" t="n">
        <v>3994149</v>
      </c>
      <c r="G309" t="inlineStr">
        <is>
          <t>0789</t>
        </is>
      </c>
      <c r="H309" t="inlineStr">
        <is>
          <t>TUB-O-N-AUT-AW-FC-41.28X2.600X6.0010</t>
        </is>
      </c>
      <c r="I309" t="n">
        <v>2150</v>
      </c>
      <c r="J309" t="n">
        <v>41.28</v>
      </c>
      <c r="K309" t="n">
        <v>0</v>
      </c>
      <c r="L309" t="n">
        <v>2.6</v>
      </c>
      <c r="M309" t="n">
        <v>6.001</v>
      </c>
      <c r="N309" t="inlineStr">
        <is>
          <t>Direct</t>
        </is>
      </c>
      <c r="O309" t="inlineStr">
        <is>
          <t>41.28-0-2.6-ERW 1-FC-6</t>
        </is>
      </c>
    </row>
    <row r="310">
      <c r="A310" t="inlineStr">
        <is>
          <t>0000943209</t>
        </is>
      </c>
      <c r="B310" t="inlineStr">
        <is>
          <t>MEGH STEELS PRIVATE LIMITED - TVS A</t>
        </is>
      </c>
      <c r="C310" t="inlineStr">
        <is>
          <t>KG</t>
        </is>
      </c>
      <c r="D310" t="n">
        <v>139</v>
      </c>
      <c r="E310" t="n">
        <v>836.505</v>
      </c>
      <c r="F310" t="n">
        <v>3994149</v>
      </c>
      <c r="G310" t="inlineStr">
        <is>
          <t>0789</t>
        </is>
      </c>
      <c r="H310" t="inlineStr">
        <is>
          <t>TUB-O-N-AUT-AW-FC-41.28X2.600X6.0010</t>
        </is>
      </c>
      <c r="I310" t="n">
        <v>2000</v>
      </c>
      <c r="J310" t="n">
        <v>41.28</v>
      </c>
      <c r="K310" t="n">
        <v>0</v>
      </c>
      <c r="L310" t="n">
        <v>2.6</v>
      </c>
      <c r="M310" t="n">
        <v>6.001</v>
      </c>
      <c r="N310" t="inlineStr">
        <is>
          <t>Direct</t>
        </is>
      </c>
      <c r="O310" t="inlineStr">
        <is>
          <t>41.28-0-2.6-ERW 1-FC-6</t>
        </is>
      </c>
    </row>
    <row r="311">
      <c r="A311" t="inlineStr">
        <is>
          <t>0000943209</t>
        </is>
      </c>
      <c r="B311" t="inlineStr">
        <is>
          <t>MEGH STEELS PRIVATE LIMITED - TVS A</t>
        </is>
      </c>
      <c r="C311" t="inlineStr">
        <is>
          <t>KG</t>
        </is>
      </c>
      <c r="D311" t="n">
        <v>121</v>
      </c>
      <c r="E311" t="n">
        <v>723.577</v>
      </c>
      <c r="F311" t="n">
        <v>3994149</v>
      </c>
      <c r="G311" t="inlineStr">
        <is>
          <t>0789</t>
        </is>
      </c>
      <c r="H311" t="inlineStr">
        <is>
          <t>TUB-O-N-AUT-AW-FC-41.28X2.600X6.0010</t>
        </is>
      </c>
      <c r="I311" t="n">
        <v>1730</v>
      </c>
      <c r="J311" t="n">
        <v>41.28</v>
      </c>
      <c r="K311" t="n">
        <v>0</v>
      </c>
      <c r="L311" t="n">
        <v>2.6</v>
      </c>
      <c r="M311" t="n">
        <v>6.001</v>
      </c>
      <c r="N311" t="inlineStr">
        <is>
          <t>Direct</t>
        </is>
      </c>
      <c r="O311" t="inlineStr">
        <is>
          <t>41.28-0-2.6-ERW 1-FC-6</t>
        </is>
      </c>
    </row>
    <row r="312">
      <c r="A312" t="inlineStr">
        <is>
          <t>0000943209</t>
        </is>
      </c>
      <c r="B312" t="inlineStr">
        <is>
          <t>MEGH STEELS PRIVATE LIMITED - TVS A</t>
        </is>
      </c>
      <c r="C312" t="inlineStr">
        <is>
          <t>NOS</t>
        </is>
      </c>
      <c r="D312" t="n">
        <v>149</v>
      </c>
      <c r="E312" t="n">
        <v>163.953</v>
      </c>
      <c r="F312" t="n">
        <v>2430128</v>
      </c>
      <c r="G312" t="inlineStr">
        <is>
          <t>0789</t>
        </is>
      </c>
      <c r="H312" t="inlineStr">
        <is>
          <t>TUB-R-AW-AUT-50.00X30.00X1.600X1.1000</t>
        </is>
      </c>
      <c r="I312" t="n">
        <v>318.413</v>
      </c>
      <c r="J312" t="n">
        <v>50</v>
      </c>
      <c r="K312" t="n">
        <v>30</v>
      </c>
      <c r="L312" t="n">
        <v>1.6</v>
      </c>
      <c r="M312" t="n">
        <v>1.1</v>
      </c>
      <c r="N312" t="inlineStr">
        <is>
          <t>Direct</t>
        </is>
      </c>
    </row>
    <row r="313">
      <c r="A313" t="inlineStr">
        <is>
          <t>0000943209</t>
        </is>
      </c>
      <c r="B313" t="inlineStr">
        <is>
          <t>MEGH STEELS PRIVATE LIMITED - TVS A</t>
        </is>
      </c>
      <c r="C313" t="inlineStr">
        <is>
          <t>NOS</t>
        </is>
      </c>
      <c r="D313" t="n">
        <v>199</v>
      </c>
      <c r="E313" t="n">
        <v>218.971</v>
      </c>
      <c r="F313" t="n">
        <v>2430128</v>
      </c>
      <c r="G313" t="inlineStr">
        <is>
          <t>0789</t>
        </is>
      </c>
      <c r="H313" t="inlineStr">
        <is>
          <t>TUB-R-AW-AUT-50.00X30.00X1.600X1.1000</t>
        </is>
      </c>
      <c r="I313" t="n">
        <v>425.263</v>
      </c>
      <c r="J313" t="n">
        <v>50</v>
      </c>
      <c r="K313" t="n">
        <v>30</v>
      </c>
      <c r="L313" t="n">
        <v>1.6</v>
      </c>
      <c r="M313" t="n">
        <v>1.1</v>
      </c>
      <c r="N313" t="inlineStr">
        <is>
          <t>Direct</t>
        </is>
      </c>
    </row>
    <row r="314">
      <c r="A314" t="inlineStr">
        <is>
          <t>0000943209</t>
        </is>
      </c>
      <c r="B314" t="inlineStr">
        <is>
          <t>MEGH STEELS PRIVATE LIMITED - TVS A</t>
        </is>
      </c>
      <c r="C314" t="inlineStr">
        <is>
          <t>NOS</t>
        </is>
      </c>
      <c r="D314" t="n">
        <v>102</v>
      </c>
      <c r="E314" t="n">
        <v>112.236</v>
      </c>
      <c r="F314" t="n">
        <v>2430128</v>
      </c>
      <c r="G314" t="inlineStr">
        <is>
          <t>0789</t>
        </is>
      </c>
      <c r="H314" t="inlineStr">
        <is>
          <t>TUB-R-AW-AUT-50.00X30.00X1.600X1.1000</t>
        </is>
      </c>
      <c r="I314" t="n">
        <v>217.974</v>
      </c>
      <c r="J314" t="n">
        <v>50</v>
      </c>
      <c r="K314" t="n">
        <v>30</v>
      </c>
      <c r="L314" t="n">
        <v>1.6</v>
      </c>
      <c r="M314" t="n">
        <v>1.1</v>
      </c>
      <c r="N314" t="inlineStr">
        <is>
          <t>Direct</t>
        </is>
      </c>
    </row>
    <row r="315">
      <c r="A315" t="inlineStr">
        <is>
          <t>0000943209</t>
        </is>
      </c>
      <c r="B315" t="inlineStr">
        <is>
          <t>MEGH STEELS PRIVATE LIMITED - TVS A</t>
        </is>
      </c>
      <c r="C315" t="inlineStr">
        <is>
          <t>NOS</t>
        </is>
      </c>
      <c r="D315" t="n">
        <v>458</v>
      </c>
      <c r="E315" t="n">
        <v>1186.559</v>
      </c>
      <c r="F315" t="n">
        <v>2409618</v>
      </c>
      <c r="G315" t="inlineStr">
        <is>
          <t>0789</t>
        </is>
      </c>
      <c r="H315" t="inlineStr">
        <is>
          <t>TUB-O-N-AUT-AW-PE-25.40X1.600X2.5900</t>
        </is>
      </c>
      <c r="I315" t="n">
        <v>1114.772</v>
      </c>
      <c r="J315" t="n">
        <v>25.4</v>
      </c>
      <c r="K315" t="n">
        <v>0</v>
      </c>
      <c r="L315" t="n">
        <v>1.6</v>
      </c>
      <c r="M315" t="n">
        <v>2.59</v>
      </c>
      <c r="N315" t="inlineStr">
        <is>
          <t>Direct</t>
        </is>
      </c>
    </row>
    <row r="316">
      <c r="A316" t="inlineStr">
        <is>
          <t>0000943209</t>
        </is>
      </c>
      <c r="B316" t="inlineStr">
        <is>
          <t>MEGH STEELS PRIVATE LIMITED - TVS A</t>
        </is>
      </c>
      <c r="C316" t="inlineStr">
        <is>
          <t>NOS</t>
        </is>
      </c>
      <c r="D316" t="n">
        <v>362</v>
      </c>
      <c r="E316" t="n">
        <v>937.848</v>
      </c>
      <c r="F316" t="n">
        <v>2409618</v>
      </c>
      <c r="G316" t="inlineStr">
        <is>
          <t>0789</t>
        </is>
      </c>
      <c r="H316" t="inlineStr">
        <is>
          <t>TUB-O-N-AUT-AW-PE-25.40X1.600X2.5900</t>
        </is>
      </c>
      <c r="I316" t="n">
        <v>881.1079999999999</v>
      </c>
      <c r="J316" t="n">
        <v>25.4</v>
      </c>
      <c r="K316" t="n">
        <v>0</v>
      </c>
      <c r="L316" t="n">
        <v>1.6</v>
      </c>
      <c r="M316" t="n">
        <v>2.59</v>
      </c>
      <c r="N316" t="inlineStr">
        <is>
          <t>Direct</t>
        </is>
      </c>
    </row>
    <row r="317">
      <c r="A317" t="inlineStr">
        <is>
          <t>0000943209</t>
        </is>
      </c>
      <c r="B317" t="inlineStr">
        <is>
          <t>MEGH STEELS PRIVATE LIMITED - TVS A</t>
        </is>
      </c>
      <c r="C317" t="inlineStr">
        <is>
          <t>NOS</t>
        </is>
      </c>
      <c r="D317" t="n">
        <v>233</v>
      </c>
      <c r="E317" t="n">
        <v>263.163</v>
      </c>
      <c r="F317" t="n">
        <v>1940045</v>
      </c>
      <c r="G317" t="inlineStr">
        <is>
          <t>0789</t>
        </is>
      </c>
      <c r="H317" t="inlineStr">
        <is>
          <t>TUB-O-O-AUT-AW-PE-15.88X1.200X1.1300</t>
        </is>
      </c>
      <c r="I317" t="n">
        <v>109.976</v>
      </c>
      <c r="J317" t="n">
        <v>15.88</v>
      </c>
      <c r="K317" t="n">
        <v>0</v>
      </c>
      <c r="L317" t="n">
        <v>1.2</v>
      </c>
      <c r="M317" t="n">
        <v>1.13</v>
      </c>
      <c r="N317" t="inlineStr">
        <is>
          <t>Direct</t>
        </is>
      </c>
    </row>
    <row r="318">
      <c r="A318" t="inlineStr">
        <is>
          <t>0000943209</t>
        </is>
      </c>
      <c r="B318" t="inlineStr">
        <is>
          <t>MEGH STEELS PRIVATE LIMITED - TVS A</t>
        </is>
      </c>
      <c r="C318" t="inlineStr">
        <is>
          <t>NOS</t>
        </is>
      </c>
      <c r="D318" t="n">
        <v>144</v>
      </c>
      <c r="E318" t="n">
        <v>162.642</v>
      </c>
      <c r="F318" t="n">
        <v>1940045</v>
      </c>
      <c r="G318" t="inlineStr">
        <is>
          <t>0789</t>
        </is>
      </c>
      <c r="H318" t="inlineStr">
        <is>
          <t>TUB-O-O-AUT-AW-PE-15.88X1.200X1.1300</t>
        </is>
      </c>
      <c r="I318" t="n">
        <v>67.968</v>
      </c>
      <c r="J318" t="n">
        <v>15.88</v>
      </c>
      <c r="K318" t="n">
        <v>0</v>
      </c>
      <c r="L318" t="n">
        <v>1.2</v>
      </c>
      <c r="M318" t="n">
        <v>1.13</v>
      </c>
      <c r="N318" t="inlineStr">
        <is>
          <t>Direct</t>
        </is>
      </c>
    </row>
    <row r="319">
      <c r="A319" t="inlineStr">
        <is>
          <t>0000943209</t>
        </is>
      </c>
      <c r="B319" t="inlineStr">
        <is>
          <t>MEGH STEELS PRIVATE LIMITED - TVS A</t>
        </is>
      </c>
      <c r="C319" t="inlineStr">
        <is>
          <t>NOS</t>
        </is>
      </c>
      <c r="D319" t="n">
        <v>148</v>
      </c>
      <c r="E319" t="n">
        <v>167.16</v>
      </c>
      <c r="F319" t="n">
        <v>1940045</v>
      </c>
      <c r="G319" t="inlineStr">
        <is>
          <t>0789</t>
        </is>
      </c>
      <c r="H319" t="inlineStr">
        <is>
          <t>TUB-O-O-AUT-AW-PE-15.88X1.200X1.1300</t>
        </is>
      </c>
      <c r="I319" t="n">
        <v>69.85599999999999</v>
      </c>
      <c r="J319" t="n">
        <v>15.88</v>
      </c>
      <c r="K319" t="n">
        <v>0</v>
      </c>
      <c r="L319" t="n">
        <v>1.2</v>
      </c>
      <c r="M319" t="n">
        <v>1.13</v>
      </c>
      <c r="N319" t="inlineStr">
        <is>
          <t>Direct</t>
        </is>
      </c>
    </row>
    <row r="320">
      <c r="A320" t="inlineStr">
        <is>
          <t>0000943209</t>
        </is>
      </c>
      <c r="B320" t="inlineStr">
        <is>
          <t>MEGH STEELS PRIVATE LIMITED - TVS A</t>
        </is>
      </c>
      <c r="C320" t="inlineStr">
        <is>
          <t>NOS</t>
        </is>
      </c>
      <c r="D320" t="n">
        <v>25</v>
      </c>
      <c r="E320" t="n">
        <v>2.744</v>
      </c>
      <c r="F320" t="n">
        <v>3409366</v>
      </c>
      <c r="G320" t="inlineStr">
        <is>
          <t>0789</t>
        </is>
      </c>
      <c r="H320" t="inlineStr">
        <is>
          <t>TUB-O-N-AUT-AW-PE-19.05X1.200X0.1090</t>
        </is>
      </c>
      <c r="I320" t="n">
        <v>1.45</v>
      </c>
      <c r="J320" t="n">
        <v>19.05</v>
      </c>
      <c r="K320" t="n">
        <v>0</v>
      </c>
      <c r="L320" t="n">
        <v>1.2</v>
      </c>
      <c r="M320" t="n">
        <v>0.109</v>
      </c>
      <c r="N320" t="inlineStr">
        <is>
          <t>Direct</t>
        </is>
      </c>
    </row>
    <row r="321">
      <c r="A321" t="inlineStr">
        <is>
          <t>0000943209</t>
        </is>
      </c>
      <c r="B321" t="inlineStr">
        <is>
          <t>MEGH STEELS PRIVATE LIMITED - TVS A</t>
        </is>
      </c>
      <c r="C321" t="inlineStr">
        <is>
          <t>NOS</t>
        </is>
      </c>
      <c r="D321" t="n">
        <v>2375</v>
      </c>
      <c r="E321" t="n">
        <v>260.643</v>
      </c>
      <c r="F321" t="n">
        <v>3409366</v>
      </c>
      <c r="G321" t="inlineStr">
        <is>
          <t>0789</t>
        </is>
      </c>
      <c r="H321" t="inlineStr">
        <is>
          <t>TUB-O-N-AUT-AW-PE-19.05X1.200X0.1090</t>
        </is>
      </c>
      <c r="I321" t="n">
        <v>137.75</v>
      </c>
      <c r="J321" t="n">
        <v>19.05</v>
      </c>
      <c r="K321" t="n">
        <v>0</v>
      </c>
      <c r="L321" t="n">
        <v>1.2</v>
      </c>
      <c r="M321" t="n">
        <v>0.109</v>
      </c>
      <c r="N321" t="inlineStr">
        <is>
          <t>Direct</t>
        </is>
      </c>
    </row>
    <row r="322">
      <c r="A322" t="inlineStr">
        <is>
          <t>0000943209</t>
        </is>
      </c>
      <c r="B322" t="inlineStr">
        <is>
          <t>MEGH STEELS PRIVATE LIMITED - TVS A</t>
        </is>
      </c>
      <c r="C322" t="inlineStr">
        <is>
          <t>NOS</t>
        </is>
      </c>
      <c r="D322" t="n">
        <v>3100</v>
      </c>
      <c r="E322" t="n">
        <v>3332.478</v>
      </c>
      <c r="F322" t="n">
        <v>3229740</v>
      </c>
      <c r="G322" t="inlineStr">
        <is>
          <t>0789</t>
        </is>
      </c>
      <c r="H322" t="inlineStr">
        <is>
          <t>TUB-O-N-AUT-AW-PE-19.05X1.200X1.0750</t>
        </is>
      </c>
      <c r="I322" t="n">
        <v>1692.566</v>
      </c>
      <c r="J322" t="n">
        <v>19.05</v>
      </c>
      <c r="K322" t="n">
        <v>0</v>
      </c>
      <c r="L322" t="n">
        <v>1.2</v>
      </c>
      <c r="M322" t="n">
        <v>1.075</v>
      </c>
      <c r="N322" t="inlineStr">
        <is>
          <t>Direct</t>
        </is>
      </c>
    </row>
    <row r="323">
      <c r="A323" t="inlineStr">
        <is>
          <t>0000943209</t>
        </is>
      </c>
      <c r="B323" t="inlineStr">
        <is>
          <t>MEGH STEELS PRIVATE LIMITED - TVS A</t>
        </is>
      </c>
      <c r="C323" t="inlineStr">
        <is>
          <t>NOS</t>
        </is>
      </c>
      <c r="D323" t="n">
        <v>850</v>
      </c>
      <c r="E323" t="n">
        <v>913.744</v>
      </c>
      <c r="F323" t="n">
        <v>3229740</v>
      </c>
      <c r="G323" t="inlineStr">
        <is>
          <t>0789</t>
        </is>
      </c>
      <c r="H323" t="inlineStr">
        <is>
          <t>TUB-O-N-AUT-AW-PE-19.05X1.200X1.0750</t>
        </is>
      </c>
      <c r="I323" t="n">
        <v>464.091</v>
      </c>
      <c r="J323" t="n">
        <v>19.05</v>
      </c>
      <c r="K323" t="n">
        <v>0</v>
      </c>
      <c r="L323" t="n">
        <v>1.2</v>
      </c>
      <c r="M323" t="n">
        <v>1.075</v>
      </c>
      <c r="N323" t="inlineStr">
        <is>
          <t>Direct</t>
        </is>
      </c>
    </row>
    <row r="324">
      <c r="A324" t="inlineStr">
        <is>
          <t>0000943209</t>
        </is>
      </c>
      <c r="B324" t="inlineStr">
        <is>
          <t>MEGH STEELS PRIVATE LIMITED - TVS A</t>
        </is>
      </c>
      <c r="C324" t="inlineStr">
        <is>
          <t>NOS</t>
        </is>
      </c>
      <c r="D324" t="n">
        <v>19</v>
      </c>
      <c r="E324" t="n">
        <v>9.779</v>
      </c>
      <c r="F324" t="n">
        <v>2409616</v>
      </c>
      <c r="G324" t="inlineStr">
        <is>
          <t>0789</t>
        </is>
      </c>
      <c r="H324" t="inlineStr">
        <is>
          <t>TUB-O-N-AUT-AW-PE-19.05X1.200X0.5130</t>
        </is>
      </c>
      <c r="I324" t="n">
        <v>5.168</v>
      </c>
      <c r="J324" t="n">
        <v>19.05</v>
      </c>
      <c r="K324" t="n">
        <v>0</v>
      </c>
      <c r="L324" t="n">
        <v>1.2</v>
      </c>
      <c r="M324" t="n">
        <v>0.513</v>
      </c>
      <c r="N324" t="inlineStr">
        <is>
          <t>Direct</t>
        </is>
      </c>
    </row>
    <row r="325">
      <c r="A325" t="inlineStr">
        <is>
          <t>0000943209</t>
        </is>
      </c>
      <c r="B325" t="inlineStr">
        <is>
          <t>MEGH STEELS PRIVATE LIMITED - TVS A</t>
        </is>
      </c>
      <c r="C325" t="inlineStr">
        <is>
          <t>NOS</t>
        </is>
      </c>
      <c r="D325" t="n">
        <v>16</v>
      </c>
      <c r="E325" t="n">
        <v>8.234999999999999</v>
      </c>
      <c r="F325" t="n">
        <v>2409616</v>
      </c>
      <c r="G325" t="inlineStr">
        <is>
          <t>0789</t>
        </is>
      </c>
      <c r="H325" t="inlineStr">
        <is>
          <t>TUB-O-N-AUT-AW-PE-19.05X1.200X0.5130</t>
        </is>
      </c>
      <c r="I325" t="n">
        <v>4.352</v>
      </c>
      <c r="J325" t="n">
        <v>19.05</v>
      </c>
      <c r="K325" t="n">
        <v>0</v>
      </c>
      <c r="L325" t="n">
        <v>1.2</v>
      </c>
      <c r="M325" t="n">
        <v>0.513</v>
      </c>
      <c r="N325" t="inlineStr">
        <is>
          <t>Direct</t>
        </is>
      </c>
    </row>
    <row r="326">
      <c r="A326" t="inlineStr">
        <is>
          <t>0000943209</t>
        </is>
      </c>
      <c r="B326" t="inlineStr">
        <is>
          <t>MEGH STEELS PRIVATE LIMITED - TVS A</t>
        </is>
      </c>
      <c r="C326" t="inlineStr">
        <is>
          <t>NOS</t>
        </is>
      </c>
      <c r="D326" t="n">
        <v>247</v>
      </c>
      <c r="E326" t="n">
        <v>127.122</v>
      </c>
      <c r="F326" t="n">
        <v>2409616</v>
      </c>
      <c r="G326" t="inlineStr">
        <is>
          <t>0789</t>
        </is>
      </c>
      <c r="H326" t="inlineStr">
        <is>
          <t>TUB-O-N-AUT-AW-PE-19.05X1.200X0.5130</t>
        </is>
      </c>
      <c r="I326" t="n">
        <v>67.184</v>
      </c>
      <c r="J326" t="n">
        <v>19.05</v>
      </c>
      <c r="K326" t="n">
        <v>0</v>
      </c>
      <c r="L326" t="n">
        <v>1.2</v>
      </c>
      <c r="M326" t="n">
        <v>0.513</v>
      </c>
      <c r="N326" t="inlineStr">
        <is>
          <t>Direct</t>
        </is>
      </c>
    </row>
    <row r="327">
      <c r="A327" t="inlineStr">
        <is>
          <t>0000943209</t>
        </is>
      </c>
      <c r="B327" t="inlineStr">
        <is>
          <t>MEGH STEELS PRIVATE LIMITED - TVS A</t>
        </is>
      </c>
      <c r="C327" t="inlineStr">
        <is>
          <t>NOS</t>
        </is>
      </c>
      <c r="D327" t="n">
        <v>3918</v>
      </c>
      <c r="E327" t="n">
        <v>2016.454</v>
      </c>
      <c r="F327" t="n">
        <v>2409616</v>
      </c>
      <c r="G327" t="inlineStr">
        <is>
          <t>0789</t>
        </is>
      </c>
      <c r="H327" t="inlineStr">
        <is>
          <t>TUB-O-N-AUT-AW-PE-19.05X1.200X0.5130</t>
        </is>
      </c>
      <c r="I327" t="n">
        <v>1065.696</v>
      </c>
      <c r="J327" t="n">
        <v>19.05</v>
      </c>
      <c r="K327" t="n">
        <v>0</v>
      </c>
      <c r="L327" t="n">
        <v>1.2</v>
      </c>
      <c r="M327" t="n">
        <v>0.513</v>
      </c>
      <c r="N327" t="inlineStr">
        <is>
          <t>Direct</t>
        </is>
      </c>
    </row>
    <row r="328">
      <c r="A328" t="inlineStr">
        <is>
          <t>0000943209</t>
        </is>
      </c>
      <c r="B328" t="inlineStr">
        <is>
          <t>MEGH STEELS PRIVATE LIMITED - TVS A</t>
        </is>
      </c>
      <c r="C328" t="inlineStr">
        <is>
          <t>NOS</t>
        </is>
      </c>
      <c r="D328" t="n">
        <v>11373</v>
      </c>
      <c r="E328" t="n">
        <v>2154.174</v>
      </c>
      <c r="F328" t="n">
        <v>3432081</v>
      </c>
      <c r="G328" t="inlineStr">
        <is>
          <t>0789</t>
        </is>
      </c>
      <c r="H328" t="inlineStr">
        <is>
          <t>TUB-O-N-AUT-AW-PE-12.70X1.600X0.1890</t>
        </is>
      </c>
      <c r="I328" t="n">
        <v>943.9589999999999</v>
      </c>
      <c r="J328" t="n">
        <v>12.7</v>
      </c>
      <c r="K328" t="n">
        <v>0</v>
      </c>
      <c r="L328" t="n">
        <v>1.6</v>
      </c>
      <c r="M328" t="n">
        <v>0.189</v>
      </c>
      <c r="N328" t="inlineStr">
        <is>
          <t>Direct</t>
        </is>
      </c>
    </row>
    <row r="329">
      <c r="A329" t="inlineStr">
        <is>
          <t>0000943209</t>
        </is>
      </c>
      <c r="B329" t="inlineStr">
        <is>
          <t>MEGH STEELS PRIVATE LIMITED - TVS A</t>
        </is>
      </c>
      <c r="C329" t="inlineStr">
        <is>
          <t>NOS</t>
        </is>
      </c>
      <c r="D329" t="n">
        <v>1227</v>
      </c>
      <c r="E329" t="n">
        <v>232.408</v>
      </c>
      <c r="F329" t="n">
        <v>3432081</v>
      </c>
      <c r="G329" t="inlineStr">
        <is>
          <t>0789</t>
        </is>
      </c>
      <c r="H329" t="inlineStr">
        <is>
          <t>TUB-O-N-AUT-AW-PE-12.70X1.600X0.1890</t>
        </is>
      </c>
      <c r="I329" t="n">
        <v>101.841</v>
      </c>
      <c r="J329" t="n">
        <v>12.7</v>
      </c>
      <c r="K329" t="n">
        <v>0</v>
      </c>
      <c r="L329" t="n">
        <v>1.6</v>
      </c>
      <c r="M329" t="n">
        <v>0.189</v>
      </c>
      <c r="N329" t="inlineStr">
        <is>
          <t>Direct</t>
        </is>
      </c>
    </row>
    <row r="330">
      <c r="A330" t="inlineStr">
        <is>
          <t>0000943209</t>
        </is>
      </c>
      <c r="B330" t="inlineStr">
        <is>
          <t>MEGH STEELS PRIVATE LIMITED - TVS A</t>
        </is>
      </c>
      <c r="C330" t="inlineStr">
        <is>
          <t>NOS</t>
        </is>
      </c>
      <c r="D330" t="n">
        <v>6</v>
      </c>
      <c r="E330" t="n">
        <v>6.87</v>
      </c>
      <c r="F330" t="n">
        <v>4110464</v>
      </c>
      <c r="G330" t="inlineStr">
        <is>
          <t>0789</t>
        </is>
      </c>
      <c r="H330" t="inlineStr">
        <is>
          <t>TUB-O-N-AUT-AW-PE-19.05X1.200X1.1450</t>
        </is>
      </c>
      <c r="I330" t="n">
        <v>3.629</v>
      </c>
      <c r="J330" t="n">
        <v>19.05</v>
      </c>
      <c r="K330" t="n">
        <v>0</v>
      </c>
      <c r="L330" t="n">
        <v>1.2</v>
      </c>
      <c r="M330" t="n">
        <v>1.145</v>
      </c>
      <c r="N330" t="inlineStr">
        <is>
          <t>Direct</t>
        </is>
      </c>
    </row>
    <row r="331">
      <c r="A331" t="inlineStr">
        <is>
          <t>0000943209</t>
        </is>
      </c>
      <c r="B331" t="inlineStr">
        <is>
          <t>MEGH STEELS PRIVATE LIMITED - TVS A</t>
        </is>
      </c>
      <c r="C331" t="inlineStr">
        <is>
          <t>NOS</t>
        </is>
      </c>
      <c r="D331" t="n">
        <v>30</v>
      </c>
      <c r="E331" t="n">
        <v>34.35</v>
      </c>
      <c r="F331" t="n">
        <v>4110464</v>
      </c>
      <c r="G331" t="inlineStr">
        <is>
          <t>0789</t>
        </is>
      </c>
      <c r="H331" t="inlineStr">
        <is>
          <t>TUB-O-N-AUT-AW-PE-19.05X1.200X1.1450</t>
        </is>
      </c>
      <c r="I331" t="n">
        <v>18.145</v>
      </c>
      <c r="J331" t="n">
        <v>19.05</v>
      </c>
      <c r="K331" t="n">
        <v>0</v>
      </c>
      <c r="L331" t="n">
        <v>1.2</v>
      </c>
      <c r="M331" t="n">
        <v>1.145</v>
      </c>
      <c r="N331" t="inlineStr">
        <is>
          <t>Direct</t>
        </is>
      </c>
    </row>
    <row r="332">
      <c r="A332" t="inlineStr">
        <is>
          <t>0000943209</t>
        </is>
      </c>
      <c r="B332" t="inlineStr">
        <is>
          <t>MEGH STEELS PRIVATE LIMITED - TVS A</t>
        </is>
      </c>
      <c r="C332" t="inlineStr">
        <is>
          <t>NOS</t>
        </is>
      </c>
      <c r="D332" t="n">
        <v>210</v>
      </c>
      <c r="E332" t="n">
        <v>240.452</v>
      </c>
      <c r="F332" t="n">
        <v>4110464</v>
      </c>
      <c r="G332" t="inlineStr">
        <is>
          <t>0789</t>
        </is>
      </c>
      <c r="H332" t="inlineStr">
        <is>
          <t>TUB-O-N-AUT-AW-PE-19.05X1.200X1.1450</t>
        </is>
      </c>
      <c r="I332" t="n">
        <v>127.017</v>
      </c>
      <c r="J332" t="n">
        <v>19.05</v>
      </c>
      <c r="K332" t="n">
        <v>0</v>
      </c>
      <c r="L332" t="n">
        <v>1.2</v>
      </c>
      <c r="M332" t="n">
        <v>1.145</v>
      </c>
      <c r="N332" t="inlineStr">
        <is>
          <t>Direct</t>
        </is>
      </c>
    </row>
    <row r="333">
      <c r="A333" t="inlineStr">
        <is>
          <t>0000943209</t>
        </is>
      </c>
      <c r="B333" t="inlineStr">
        <is>
          <t>MEGH STEELS PRIVATE LIMITED - TVS A</t>
        </is>
      </c>
      <c r="C333" t="inlineStr">
        <is>
          <t>NOS</t>
        </is>
      </c>
      <c r="D333" t="n">
        <v>2876</v>
      </c>
      <c r="E333" t="n">
        <v>3293.045</v>
      </c>
      <c r="F333" t="n">
        <v>4110464</v>
      </c>
      <c r="G333" t="inlineStr">
        <is>
          <t>0789</t>
        </is>
      </c>
      <c r="H333" t="inlineStr">
        <is>
          <t>TUB-O-N-AUT-AW-PE-19.05X1.200X1.1450</t>
        </is>
      </c>
      <c r="I333" t="n">
        <v>1739.533</v>
      </c>
      <c r="J333" t="n">
        <v>19.05</v>
      </c>
      <c r="K333" t="n">
        <v>0</v>
      </c>
      <c r="L333" t="n">
        <v>1.2</v>
      </c>
      <c r="M333" t="n">
        <v>1.145</v>
      </c>
      <c r="N333" t="inlineStr">
        <is>
          <t>Direct</t>
        </is>
      </c>
    </row>
    <row r="334">
      <c r="A334" t="inlineStr">
        <is>
          <t>0000943209</t>
        </is>
      </c>
      <c r="B334" t="inlineStr">
        <is>
          <t>MEGH STEELS PRIVATE LIMITED - TVS A</t>
        </is>
      </c>
      <c r="C334" t="inlineStr">
        <is>
          <t>NOS</t>
        </is>
      </c>
      <c r="D334" t="n">
        <v>928</v>
      </c>
      <c r="E334" t="n">
        <v>1062.568</v>
      </c>
      <c r="F334" t="n">
        <v>4110464</v>
      </c>
      <c r="G334" t="inlineStr">
        <is>
          <t>0789</t>
        </is>
      </c>
      <c r="H334" t="inlineStr">
        <is>
          <t>TUB-O-N-AUT-AW-PE-19.05X1.200X1.1450</t>
        </is>
      </c>
      <c r="I334" t="n">
        <v>561.296</v>
      </c>
      <c r="J334" t="n">
        <v>19.05</v>
      </c>
      <c r="K334" t="n">
        <v>0</v>
      </c>
      <c r="L334" t="n">
        <v>1.2</v>
      </c>
      <c r="M334" t="n">
        <v>1.145</v>
      </c>
      <c r="N334" t="inlineStr">
        <is>
          <t>Direct</t>
        </is>
      </c>
    </row>
    <row r="335">
      <c r="A335" t="inlineStr">
        <is>
          <t>0000943211</t>
        </is>
      </c>
      <c r="B335" t="inlineStr">
        <is>
          <t>MEGH STEELS PRIVATE LIMITED - RE</t>
        </is>
      </c>
      <c r="C335" t="inlineStr">
        <is>
          <t>KG</t>
        </is>
      </c>
      <c r="D335" t="n">
        <v>196</v>
      </c>
      <c r="E335" t="n">
        <v>1035.727</v>
      </c>
      <c r="F335" t="n">
        <v>4038150</v>
      </c>
      <c r="G335" t="inlineStr">
        <is>
          <t>0789</t>
        </is>
      </c>
      <c r="H335" t="inlineStr">
        <is>
          <t>TUB-O-N-AUT-AW-FC-48.00X1.200X5.2850</t>
        </is>
      </c>
      <c r="I335" t="n">
        <v>1435</v>
      </c>
      <c r="J335" t="n">
        <v>48</v>
      </c>
      <c r="K335" t="n">
        <v>0</v>
      </c>
      <c r="L335" t="n">
        <v>1.2</v>
      </c>
      <c r="M335" t="n">
        <v>5.285</v>
      </c>
      <c r="N335" t="inlineStr">
        <is>
          <t>Direct</t>
        </is>
      </c>
    </row>
    <row r="336">
      <c r="A336" t="inlineStr">
        <is>
          <t>0000943211</t>
        </is>
      </c>
      <c r="B336" t="inlineStr">
        <is>
          <t>MEGH STEELS PRIVATE LIMITED - RE</t>
        </is>
      </c>
      <c r="C336" t="inlineStr">
        <is>
          <t>KG</t>
        </is>
      </c>
      <c r="D336" t="n">
        <v>208</v>
      </c>
      <c r="E336" t="n">
        <v>1100.686</v>
      </c>
      <c r="F336" t="n">
        <v>4038150</v>
      </c>
      <c r="G336" t="inlineStr">
        <is>
          <t>0789</t>
        </is>
      </c>
      <c r="H336" t="inlineStr">
        <is>
          <t>TUB-O-N-AUT-AW-FC-48.00X1.200X5.2850</t>
        </is>
      </c>
      <c r="I336" t="n">
        <v>1525</v>
      </c>
      <c r="J336" t="n">
        <v>48</v>
      </c>
      <c r="K336" t="n">
        <v>0</v>
      </c>
      <c r="L336" t="n">
        <v>1.2</v>
      </c>
      <c r="M336" t="n">
        <v>5.285</v>
      </c>
      <c r="N336" t="inlineStr">
        <is>
          <t>Direct</t>
        </is>
      </c>
    </row>
    <row r="337">
      <c r="A337" t="inlineStr">
        <is>
          <t>0000943211</t>
        </is>
      </c>
      <c r="B337" t="inlineStr">
        <is>
          <t>MEGH STEELS PRIVATE LIMITED - RE</t>
        </is>
      </c>
      <c r="C337" t="inlineStr">
        <is>
          <t>KG</t>
        </is>
      </c>
      <c r="D337" t="n">
        <v>125</v>
      </c>
      <c r="E337" t="n">
        <v>659.6900000000001</v>
      </c>
      <c r="F337" t="n">
        <v>4038150</v>
      </c>
      <c r="G337" t="inlineStr">
        <is>
          <t>0789</t>
        </is>
      </c>
      <c r="H337" t="inlineStr">
        <is>
          <t>TUB-O-N-AUT-AW-FC-48.00X1.200X5.2850</t>
        </is>
      </c>
      <c r="I337" t="n">
        <v>914</v>
      </c>
      <c r="J337" t="n">
        <v>48</v>
      </c>
      <c r="K337" t="n">
        <v>0</v>
      </c>
      <c r="L337" t="n">
        <v>1.2</v>
      </c>
      <c r="M337" t="n">
        <v>5.285</v>
      </c>
      <c r="N337" t="inlineStr">
        <is>
          <t>Direct</t>
        </is>
      </c>
    </row>
    <row r="338">
      <c r="A338" t="inlineStr">
        <is>
          <t>0000943211</t>
        </is>
      </c>
      <c r="B338" t="inlineStr">
        <is>
          <t>MEGH STEELS PRIVATE LIMITED - RE</t>
        </is>
      </c>
      <c r="C338" t="inlineStr">
        <is>
          <t>KG</t>
        </is>
      </c>
      <c r="D338" t="n">
        <v>197</v>
      </c>
      <c r="E338" t="n">
        <v>1040.058</v>
      </c>
      <c r="F338" t="n">
        <v>4038150</v>
      </c>
      <c r="G338" t="inlineStr">
        <is>
          <t>0789</t>
        </is>
      </c>
      <c r="H338" t="inlineStr">
        <is>
          <t>TUB-O-N-AUT-AW-FC-48.00X1.200X5.2850</t>
        </is>
      </c>
      <c r="I338" t="n">
        <v>1441</v>
      </c>
      <c r="J338" t="n">
        <v>48</v>
      </c>
      <c r="K338" t="n">
        <v>0</v>
      </c>
      <c r="L338" t="n">
        <v>1.2</v>
      </c>
      <c r="M338" t="n">
        <v>5.285</v>
      </c>
      <c r="N338" t="inlineStr">
        <is>
          <t>Direct</t>
        </is>
      </c>
    </row>
    <row r="339">
      <c r="A339" t="inlineStr">
        <is>
          <t>0000943211</t>
        </is>
      </c>
      <c r="B339" t="inlineStr">
        <is>
          <t>MEGH STEELS PRIVATE LIMITED - RE</t>
        </is>
      </c>
      <c r="C339" t="inlineStr">
        <is>
          <t>KG</t>
        </is>
      </c>
      <c r="D339" t="n">
        <v>109</v>
      </c>
      <c r="E339" t="n">
        <v>577.409</v>
      </c>
      <c r="F339" t="n">
        <v>4038150</v>
      </c>
      <c r="G339" t="inlineStr">
        <is>
          <t>0789</t>
        </is>
      </c>
      <c r="H339" t="inlineStr">
        <is>
          <t>TUB-O-N-AUT-AW-FC-48.00X1.200X5.2850</t>
        </is>
      </c>
      <c r="I339" t="n">
        <v>800</v>
      </c>
      <c r="J339" t="n">
        <v>48</v>
      </c>
      <c r="K339" t="n">
        <v>0</v>
      </c>
      <c r="L339" t="n">
        <v>1.2</v>
      </c>
      <c r="M339" t="n">
        <v>5.285</v>
      </c>
      <c r="N339" t="inlineStr">
        <is>
          <t>Direct</t>
        </is>
      </c>
    </row>
    <row r="340">
      <c r="A340" t="inlineStr">
        <is>
          <t>0000943211</t>
        </is>
      </c>
      <c r="B340" t="inlineStr">
        <is>
          <t>MEGH STEELS PRIVATE LIMITED - RE</t>
        </is>
      </c>
      <c r="C340" t="inlineStr">
        <is>
          <t>KG</t>
        </is>
      </c>
      <c r="D340" t="n">
        <v>12</v>
      </c>
      <c r="E340" t="n">
        <v>62.071</v>
      </c>
      <c r="F340" t="n">
        <v>4038150</v>
      </c>
      <c r="G340" t="inlineStr">
        <is>
          <t>0789</t>
        </is>
      </c>
      <c r="H340" t="inlineStr">
        <is>
          <t>TUB-O-N-AUT-AW-FC-48.00X1.200X5.2850</t>
        </is>
      </c>
      <c r="I340" t="n">
        <v>86</v>
      </c>
      <c r="J340" t="n">
        <v>48</v>
      </c>
      <c r="K340" t="n">
        <v>0</v>
      </c>
      <c r="L340" t="n">
        <v>1.2</v>
      </c>
      <c r="M340" t="n">
        <v>5.285</v>
      </c>
      <c r="N340" t="inlineStr">
        <is>
          <t>Direct</t>
        </is>
      </c>
    </row>
    <row r="341">
      <c r="A341" t="inlineStr">
        <is>
          <t>0000943211</t>
        </is>
      </c>
      <c r="B341" t="inlineStr">
        <is>
          <t>MEGH STEELS PRIVATE LIMITED - RE</t>
        </is>
      </c>
      <c r="C341" t="inlineStr">
        <is>
          <t>KG</t>
        </is>
      </c>
      <c r="D341" t="n">
        <v>106</v>
      </c>
      <c r="E341" t="n">
        <v>636.146</v>
      </c>
      <c r="F341" t="n">
        <v>1940684</v>
      </c>
      <c r="G341" t="inlineStr">
        <is>
          <t>0789</t>
        </is>
      </c>
      <c r="H341" t="inlineStr">
        <is>
          <t>TUB-O-O-AUT-AW-FC-31.75X2.300X6.0000</t>
        </is>
      </c>
      <c r="I341" t="n">
        <v>1063</v>
      </c>
      <c r="J341" t="n">
        <v>31.75</v>
      </c>
      <c r="K341" t="n">
        <v>0</v>
      </c>
      <c r="L341" t="n">
        <v>2.3</v>
      </c>
      <c r="M341" t="n">
        <v>6</v>
      </c>
      <c r="N341" t="inlineStr">
        <is>
          <t>Direct</t>
        </is>
      </c>
      <c r="O341" t="inlineStr">
        <is>
          <t>31.75-0-2.3-ERW 1-FC-5.92</t>
        </is>
      </c>
    </row>
    <row r="342">
      <c r="A342" t="inlineStr">
        <is>
          <t>0000943211</t>
        </is>
      </c>
      <c r="B342" t="inlineStr">
        <is>
          <t>MEGH STEELS PRIVATE LIMITED - RE</t>
        </is>
      </c>
      <c r="C342" t="inlineStr">
        <is>
          <t>KG</t>
        </is>
      </c>
      <c r="D342" t="n">
        <v>239</v>
      </c>
      <c r="E342" t="n">
        <v>1436.266</v>
      </c>
      <c r="F342" t="n">
        <v>1940684</v>
      </c>
      <c r="G342" t="inlineStr">
        <is>
          <t>0789</t>
        </is>
      </c>
      <c r="H342" t="inlineStr">
        <is>
          <t>TUB-O-O-AUT-AW-FC-31.75X2.300X6.0000</t>
        </is>
      </c>
      <c r="I342" t="n">
        <v>2400</v>
      </c>
      <c r="J342" t="n">
        <v>31.75</v>
      </c>
      <c r="K342" t="n">
        <v>0</v>
      </c>
      <c r="L342" t="n">
        <v>2.3</v>
      </c>
      <c r="M342" t="n">
        <v>6</v>
      </c>
      <c r="N342" t="inlineStr">
        <is>
          <t>Direct</t>
        </is>
      </c>
      <c r="O342" t="inlineStr">
        <is>
          <t>31.75-0-2.3-ERW 1-FC-5.92</t>
        </is>
      </c>
    </row>
    <row r="343">
      <c r="A343" t="inlineStr">
        <is>
          <t>0000943211</t>
        </is>
      </c>
      <c r="B343" t="inlineStr">
        <is>
          <t>MEGH STEELS PRIVATE LIMITED - RE</t>
        </is>
      </c>
      <c r="C343" t="inlineStr">
        <is>
          <t>KG</t>
        </is>
      </c>
      <c r="D343" t="n">
        <v>158</v>
      </c>
      <c r="E343" t="n">
        <v>949.1319999999999</v>
      </c>
      <c r="F343" t="n">
        <v>1940684</v>
      </c>
      <c r="G343" t="inlineStr">
        <is>
          <t>0789</t>
        </is>
      </c>
      <c r="H343" t="inlineStr">
        <is>
          <t>TUB-O-O-AUT-AW-FC-31.75X2.300X6.0000</t>
        </is>
      </c>
      <c r="I343" t="n">
        <v>1586</v>
      </c>
      <c r="J343" t="n">
        <v>31.75</v>
      </c>
      <c r="K343" t="n">
        <v>0</v>
      </c>
      <c r="L343" t="n">
        <v>2.3</v>
      </c>
      <c r="M343" t="n">
        <v>6</v>
      </c>
      <c r="N343" t="inlineStr">
        <is>
          <t>Direct</t>
        </is>
      </c>
      <c r="O343" t="inlineStr">
        <is>
          <t>31.75-0-2.3-ERW 1-FC-5.92</t>
        </is>
      </c>
    </row>
    <row r="344">
      <c r="A344" t="inlineStr">
        <is>
          <t>0000943211</t>
        </is>
      </c>
      <c r="B344" t="inlineStr">
        <is>
          <t>MEGH STEELS PRIVATE LIMITED - RE</t>
        </is>
      </c>
      <c r="C344" t="inlineStr">
        <is>
          <t>KG</t>
        </is>
      </c>
      <c r="D344" t="n">
        <v>80</v>
      </c>
      <c r="E344" t="n">
        <v>478.755</v>
      </c>
      <c r="F344" t="n">
        <v>1940684</v>
      </c>
      <c r="G344" t="inlineStr">
        <is>
          <t>0789</t>
        </is>
      </c>
      <c r="H344" t="inlineStr">
        <is>
          <t>TUB-O-O-AUT-AW-FC-31.75X2.300X6.0000</t>
        </is>
      </c>
      <c r="I344" t="n">
        <v>800</v>
      </c>
      <c r="J344" t="n">
        <v>31.75</v>
      </c>
      <c r="K344" t="n">
        <v>0</v>
      </c>
      <c r="L344" t="n">
        <v>2.3</v>
      </c>
      <c r="M344" t="n">
        <v>6</v>
      </c>
      <c r="N344" t="inlineStr">
        <is>
          <t>Direct</t>
        </is>
      </c>
      <c r="O344" t="inlineStr">
        <is>
          <t>31.75-0-2.3-ERW 1-FC-5.92</t>
        </is>
      </c>
    </row>
    <row r="345">
      <c r="A345" t="inlineStr">
        <is>
          <t>0000943211</t>
        </is>
      </c>
      <c r="B345" t="inlineStr">
        <is>
          <t>MEGH STEELS PRIVATE LIMITED - RE</t>
        </is>
      </c>
      <c r="C345" t="inlineStr">
        <is>
          <t>KG</t>
        </is>
      </c>
      <c r="D345" t="n">
        <v>234</v>
      </c>
      <c r="E345" t="n">
        <v>1406.344</v>
      </c>
      <c r="F345" t="n">
        <v>1940684</v>
      </c>
      <c r="G345" t="inlineStr">
        <is>
          <t>0789</t>
        </is>
      </c>
      <c r="H345" t="inlineStr">
        <is>
          <t>TUB-O-O-AUT-AW-FC-31.75X2.300X6.0000</t>
        </is>
      </c>
      <c r="I345" t="n">
        <v>2350</v>
      </c>
      <c r="J345" t="n">
        <v>31.75</v>
      </c>
      <c r="K345" t="n">
        <v>0</v>
      </c>
      <c r="L345" t="n">
        <v>2.3</v>
      </c>
      <c r="M345" t="n">
        <v>6</v>
      </c>
      <c r="N345" t="inlineStr">
        <is>
          <t>Direct</t>
        </is>
      </c>
      <c r="O345" t="inlineStr">
        <is>
          <t>31.75-0-2.3-ERW 1-FC-5.92</t>
        </is>
      </c>
    </row>
    <row r="346">
      <c r="A346" t="inlineStr">
        <is>
          <t>0000943211</t>
        </is>
      </c>
      <c r="B346" t="inlineStr">
        <is>
          <t>MEGH STEELS PRIVATE LIMITED - RE</t>
        </is>
      </c>
      <c r="C346" t="inlineStr">
        <is>
          <t>KG</t>
        </is>
      </c>
      <c r="D346" t="n">
        <v>239</v>
      </c>
      <c r="E346" t="n">
        <v>1436.266</v>
      </c>
      <c r="F346" t="n">
        <v>1940684</v>
      </c>
      <c r="G346" t="inlineStr">
        <is>
          <t>0789</t>
        </is>
      </c>
      <c r="H346" t="inlineStr">
        <is>
          <t>TUB-O-O-AUT-AW-FC-31.75X2.300X6.0000</t>
        </is>
      </c>
      <c r="I346" t="n">
        <v>2400</v>
      </c>
      <c r="J346" t="n">
        <v>31.75</v>
      </c>
      <c r="K346" t="n">
        <v>0</v>
      </c>
      <c r="L346" t="n">
        <v>2.3</v>
      </c>
      <c r="M346" t="n">
        <v>6</v>
      </c>
      <c r="N346" t="inlineStr">
        <is>
          <t>Direct</t>
        </is>
      </c>
      <c r="O346" t="inlineStr">
        <is>
          <t>31.75-0-2.3-ERW 1-FC-5.92</t>
        </is>
      </c>
    </row>
    <row r="347">
      <c r="A347" t="inlineStr">
        <is>
          <t>0000943211</t>
        </is>
      </c>
      <c r="B347" t="inlineStr">
        <is>
          <t>MEGH STEELS PRIVATE LIMITED - RE</t>
        </is>
      </c>
      <c r="C347" t="inlineStr">
        <is>
          <t>KG</t>
        </is>
      </c>
      <c r="D347" t="n">
        <v>237</v>
      </c>
      <c r="E347" t="n">
        <v>1424.297</v>
      </c>
      <c r="F347" t="n">
        <v>1940684</v>
      </c>
      <c r="G347" t="inlineStr">
        <is>
          <t>0789</t>
        </is>
      </c>
      <c r="H347" t="inlineStr">
        <is>
          <t>TUB-O-O-AUT-AW-FC-31.75X2.300X6.0000</t>
        </is>
      </c>
      <c r="I347" t="n">
        <v>2380</v>
      </c>
      <c r="J347" t="n">
        <v>31.75</v>
      </c>
      <c r="K347" t="n">
        <v>0</v>
      </c>
      <c r="L347" t="n">
        <v>2.3</v>
      </c>
      <c r="M347" t="n">
        <v>6</v>
      </c>
      <c r="N347" t="inlineStr">
        <is>
          <t>Direct</t>
        </is>
      </c>
      <c r="O347" t="inlineStr">
        <is>
          <t>31.75-0-2.3-ERW 1-FC-5.92</t>
        </is>
      </c>
    </row>
    <row r="348">
      <c r="A348" t="inlineStr">
        <is>
          <t>0000943211</t>
        </is>
      </c>
      <c r="B348" t="inlineStr">
        <is>
          <t>MEGH STEELS PRIVATE LIMITED - RE</t>
        </is>
      </c>
      <c r="C348" t="inlineStr">
        <is>
          <t>KG</t>
        </is>
      </c>
      <c r="D348" t="n">
        <v>230</v>
      </c>
      <c r="E348" t="n">
        <v>1382.406</v>
      </c>
      <c r="F348" t="n">
        <v>1940684</v>
      </c>
      <c r="G348" t="inlineStr">
        <is>
          <t>0789</t>
        </is>
      </c>
      <c r="H348" t="inlineStr">
        <is>
          <t>TUB-O-O-AUT-AW-FC-31.75X2.300X6.0000</t>
        </is>
      </c>
      <c r="I348" t="n">
        <v>2310</v>
      </c>
      <c r="J348" t="n">
        <v>31.75</v>
      </c>
      <c r="K348" t="n">
        <v>0</v>
      </c>
      <c r="L348" t="n">
        <v>2.3</v>
      </c>
      <c r="M348" t="n">
        <v>6</v>
      </c>
      <c r="N348" t="inlineStr">
        <is>
          <t>Direct</t>
        </is>
      </c>
      <c r="O348" t="inlineStr">
        <is>
          <t>31.75-0-2.3-ERW 1-FC-5.92</t>
        </is>
      </c>
    </row>
    <row r="349">
      <c r="A349" t="inlineStr">
        <is>
          <t>0000943209</t>
        </is>
      </c>
      <c r="B349" t="inlineStr">
        <is>
          <t>MEGH STEELS PRIVATE LIMITED - TVS A</t>
        </is>
      </c>
      <c r="C349" t="inlineStr">
        <is>
          <t>KG</t>
        </is>
      </c>
      <c r="D349" t="n">
        <v>1071</v>
      </c>
      <c r="E349" t="n">
        <v>6427.732</v>
      </c>
      <c r="F349" t="n">
        <v>1939985</v>
      </c>
      <c r="G349" t="inlineStr">
        <is>
          <t>0789</t>
        </is>
      </c>
      <c r="H349" t="inlineStr">
        <is>
          <t>TUB-O-O-AUT-AW-PE-12.70X1.200X6.0000</t>
        </is>
      </c>
      <c r="I349" t="n">
        <v>2188</v>
      </c>
      <c r="J349" t="n">
        <v>12.7</v>
      </c>
      <c r="K349" t="n">
        <v>0</v>
      </c>
      <c r="L349" t="n">
        <v>1.2</v>
      </c>
      <c r="M349" t="n">
        <v>6</v>
      </c>
      <c r="N349" t="inlineStr">
        <is>
          <t>Direct</t>
        </is>
      </c>
      <c r="O349" t="inlineStr">
        <is>
          <t>12.7-0-1.2-ERW 1-PE-6</t>
        </is>
      </c>
    </row>
    <row r="350">
      <c r="A350" t="inlineStr">
        <is>
          <t>0000943209</t>
        </is>
      </c>
      <c r="B350" t="inlineStr">
        <is>
          <t>MEGH STEELS PRIVATE LIMITED - TVS A</t>
        </is>
      </c>
      <c r="C350" t="inlineStr">
        <is>
          <t>KG</t>
        </is>
      </c>
      <c r="D350" t="n">
        <v>1243</v>
      </c>
      <c r="E350" t="n">
        <v>7461.81</v>
      </c>
      <c r="F350" t="n">
        <v>1939985</v>
      </c>
      <c r="G350" t="inlineStr">
        <is>
          <t>0789</t>
        </is>
      </c>
      <c r="H350" t="inlineStr">
        <is>
          <t>TUB-O-O-AUT-AW-PE-12.70X1.200X6.0000</t>
        </is>
      </c>
      <c r="I350" t="n">
        <v>2540</v>
      </c>
      <c r="J350" t="n">
        <v>12.7</v>
      </c>
      <c r="K350" t="n">
        <v>0</v>
      </c>
      <c r="L350" t="n">
        <v>1.2</v>
      </c>
      <c r="M350" t="n">
        <v>6</v>
      </c>
      <c r="N350" t="inlineStr">
        <is>
          <t>Direct</t>
        </is>
      </c>
      <c r="O350" t="inlineStr">
        <is>
          <t>12.7-0-1.2-ERW 1-PE-6</t>
        </is>
      </c>
    </row>
    <row r="351">
      <c r="A351" t="inlineStr">
        <is>
          <t>0000943209</t>
        </is>
      </c>
      <c r="B351" t="inlineStr">
        <is>
          <t>MEGH STEELS PRIVATE LIMITED - TVS A</t>
        </is>
      </c>
      <c r="C351" t="inlineStr">
        <is>
          <t>KG</t>
        </is>
      </c>
      <c r="D351" t="n">
        <v>1045</v>
      </c>
      <c r="E351" t="n">
        <v>6272.033</v>
      </c>
      <c r="F351" t="n">
        <v>1939985</v>
      </c>
      <c r="G351" t="inlineStr">
        <is>
          <t>0789</t>
        </is>
      </c>
      <c r="H351" t="inlineStr">
        <is>
          <t>TUB-O-O-AUT-AW-PE-12.70X1.200X6.0000</t>
        </is>
      </c>
      <c r="I351" t="n">
        <v>2135</v>
      </c>
      <c r="J351" t="n">
        <v>12.7</v>
      </c>
      <c r="K351" t="n">
        <v>0</v>
      </c>
      <c r="L351" t="n">
        <v>1.2</v>
      </c>
      <c r="M351" t="n">
        <v>6</v>
      </c>
      <c r="N351" t="inlineStr">
        <is>
          <t>Direct</t>
        </is>
      </c>
      <c r="O351" t="inlineStr">
        <is>
          <t>12.7-0-1.2-ERW 1-PE-6</t>
        </is>
      </c>
    </row>
    <row r="352">
      <c r="A352" t="inlineStr">
        <is>
          <t>0000943209</t>
        </is>
      </c>
      <c r="B352" t="inlineStr">
        <is>
          <t>MEGH STEELS PRIVATE LIMITED - TVS A</t>
        </is>
      </c>
      <c r="C352" t="inlineStr">
        <is>
          <t>KG</t>
        </is>
      </c>
      <c r="D352" t="n">
        <v>538</v>
      </c>
      <c r="E352" t="n">
        <v>3231.492</v>
      </c>
      <c r="F352" t="n">
        <v>1939985</v>
      </c>
      <c r="G352" t="inlineStr">
        <is>
          <t>0789</t>
        </is>
      </c>
      <c r="H352" t="inlineStr">
        <is>
          <t>TUB-O-O-AUT-AW-PE-12.70X1.200X6.0000</t>
        </is>
      </c>
      <c r="I352" t="n">
        <v>1100</v>
      </c>
      <c r="J352" t="n">
        <v>12.7</v>
      </c>
      <c r="K352" t="n">
        <v>0</v>
      </c>
      <c r="L352" t="n">
        <v>1.2</v>
      </c>
      <c r="M352" t="n">
        <v>6</v>
      </c>
      <c r="N352" t="inlineStr">
        <is>
          <t>Direct</t>
        </is>
      </c>
      <c r="O352" t="inlineStr">
        <is>
          <t>12.7-0-1.2-ERW 1-PE-6</t>
        </is>
      </c>
    </row>
    <row r="353">
      <c r="A353" t="inlineStr">
        <is>
          <t>0000943209</t>
        </is>
      </c>
      <c r="B353" t="inlineStr">
        <is>
          <t>MEGH STEELS PRIVATE LIMITED - TVS A</t>
        </is>
      </c>
      <c r="C353" t="inlineStr">
        <is>
          <t>KG</t>
        </is>
      </c>
      <c r="D353" t="n">
        <v>550</v>
      </c>
      <c r="E353" t="n">
        <v>3301.998</v>
      </c>
      <c r="F353" t="n">
        <v>1939985</v>
      </c>
      <c r="G353" t="inlineStr">
        <is>
          <t>0789</t>
        </is>
      </c>
      <c r="H353" t="inlineStr">
        <is>
          <t>TUB-O-O-AUT-AW-PE-12.70X1.200X6.0000</t>
        </is>
      </c>
      <c r="I353" t="n">
        <v>1124</v>
      </c>
      <c r="J353" t="n">
        <v>12.7</v>
      </c>
      <c r="K353" t="n">
        <v>0</v>
      </c>
      <c r="L353" t="n">
        <v>1.2</v>
      </c>
      <c r="M353" t="n">
        <v>6</v>
      </c>
      <c r="N353" t="inlineStr">
        <is>
          <t>Direct</t>
        </is>
      </c>
      <c r="O353" t="inlineStr">
        <is>
          <t>12.7-0-1.2-ERW 1-PE-6</t>
        </is>
      </c>
    </row>
    <row r="354">
      <c r="A354" t="inlineStr">
        <is>
          <t>0000943209</t>
        </is>
      </c>
      <c r="B354" t="inlineStr">
        <is>
          <t>MEGH STEELS PRIVATE LIMITED - TVS A</t>
        </is>
      </c>
      <c r="C354" t="inlineStr">
        <is>
          <t>KG</t>
        </is>
      </c>
      <c r="D354" t="n">
        <v>550</v>
      </c>
      <c r="E354" t="n">
        <v>3299.06</v>
      </c>
      <c r="F354" t="n">
        <v>1939985</v>
      </c>
      <c r="G354" t="inlineStr">
        <is>
          <t>0789</t>
        </is>
      </c>
      <c r="H354" t="inlineStr">
        <is>
          <t>TUB-O-O-AUT-AW-PE-12.70X1.200X6.0000</t>
        </is>
      </c>
      <c r="I354" t="n">
        <v>1123</v>
      </c>
      <c r="J354" t="n">
        <v>12.7</v>
      </c>
      <c r="K354" t="n">
        <v>0</v>
      </c>
      <c r="L354" t="n">
        <v>1.2</v>
      </c>
      <c r="M354" t="n">
        <v>6</v>
      </c>
      <c r="N354" t="inlineStr">
        <is>
          <t>Direct</t>
        </is>
      </c>
      <c r="O354" t="inlineStr">
        <is>
          <t>12.7-0-1.2-ERW 1-PE-6</t>
        </is>
      </c>
    </row>
    <row r="355">
      <c r="A355" t="inlineStr">
        <is>
          <t>0000943209</t>
        </is>
      </c>
      <c r="B355" t="inlineStr">
        <is>
          <t>MEGH STEELS PRIVATE LIMITED - TVS A</t>
        </is>
      </c>
      <c r="C355" t="inlineStr">
        <is>
          <t>KG</t>
        </is>
      </c>
      <c r="D355" t="n">
        <v>620</v>
      </c>
      <c r="E355" t="n">
        <v>3286.747</v>
      </c>
      <c r="F355" t="n">
        <v>3929640</v>
      </c>
      <c r="G355" t="inlineStr">
        <is>
          <t>0789</t>
        </is>
      </c>
      <c r="H355" t="inlineStr">
        <is>
          <t>TUB-O-N-AUT-AW-PE-22.23X1.200X5.3000</t>
        </is>
      </c>
      <c r="I355" t="n">
        <v>2046</v>
      </c>
      <c r="J355" t="n">
        <v>22.23</v>
      </c>
      <c r="K355" t="n">
        <v>0</v>
      </c>
      <c r="L355" t="n">
        <v>1.2</v>
      </c>
      <c r="M355" t="n">
        <v>5.3</v>
      </c>
      <c r="N355" t="inlineStr">
        <is>
          <t>Direct</t>
        </is>
      </c>
    </row>
    <row r="356">
      <c r="A356" t="inlineStr">
        <is>
          <t>0000943209</t>
        </is>
      </c>
      <c r="B356" t="inlineStr">
        <is>
          <t>MEGH STEELS PRIVATE LIMITED - TVS A</t>
        </is>
      </c>
      <c r="C356" t="inlineStr">
        <is>
          <t>KG</t>
        </is>
      </c>
      <c r="D356" t="n">
        <v>576</v>
      </c>
      <c r="E356" t="n">
        <v>3053.815</v>
      </c>
      <c r="F356" t="n">
        <v>3929640</v>
      </c>
      <c r="G356" t="inlineStr">
        <is>
          <t>0789</t>
        </is>
      </c>
      <c r="H356" t="inlineStr">
        <is>
          <t>TUB-O-N-AUT-AW-PE-22.23X1.200X5.3000</t>
        </is>
      </c>
      <c r="I356" t="n">
        <v>1901</v>
      </c>
      <c r="J356" t="n">
        <v>22.23</v>
      </c>
      <c r="K356" t="n">
        <v>0</v>
      </c>
      <c r="L356" t="n">
        <v>1.2</v>
      </c>
      <c r="M356" t="n">
        <v>5.3</v>
      </c>
      <c r="N356" t="inlineStr">
        <is>
          <t>Direct</t>
        </is>
      </c>
    </row>
    <row r="357">
      <c r="A357" t="inlineStr">
        <is>
          <t>0000943209</t>
        </is>
      </c>
      <c r="B357" t="inlineStr">
        <is>
          <t>MEGH STEELS PRIVATE LIMITED - TVS A</t>
        </is>
      </c>
      <c r="C357" t="inlineStr">
        <is>
          <t>KG</t>
        </is>
      </c>
      <c r="D357" t="n">
        <v>611</v>
      </c>
      <c r="E357" t="n">
        <v>3238.554</v>
      </c>
      <c r="F357" t="n">
        <v>3929640</v>
      </c>
      <c r="G357" t="inlineStr">
        <is>
          <t>0789</t>
        </is>
      </c>
      <c r="H357" t="inlineStr">
        <is>
          <t>TUB-O-N-AUT-AW-PE-22.23X1.200X5.3000</t>
        </is>
      </c>
      <c r="I357" t="n">
        <v>2016</v>
      </c>
      <c r="J357" t="n">
        <v>22.23</v>
      </c>
      <c r="K357" t="n">
        <v>0</v>
      </c>
      <c r="L357" t="n">
        <v>1.2</v>
      </c>
      <c r="M357" t="n">
        <v>5.3</v>
      </c>
      <c r="N357" t="inlineStr">
        <is>
          <t>Direct</t>
        </is>
      </c>
    </row>
    <row r="358">
      <c r="A358" t="inlineStr">
        <is>
          <t>0000943209</t>
        </is>
      </c>
      <c r="B358" t="inlineStr">
        <is>
          <t>MEGH STEELS PRIVATE LIMITED - TVS A</t>
        </is>
      </c>
      <c r="C358" t="inlineStr">
        <is>
          <t>KG</t>
        </is>
      </c>
      <c r="D358" t="n">
        <v>496</v>
      </c>
      <c r="E358" t="n">
        <v>2629.719</v>
      </c>
      <c r="F358" t="n">
        <v>3929640</v>
      </c>
      <c r="G358" t="inlineStr">
        <is>
          <t>0789</t>
        </is>
      </c>
      <c r="H358" t="inlineStr">
        <is>
          <t>TUB-O-N-AUT-AW-PE-22.23X1.200X5.3000</t>
        </is>
      </c>
      <c r="I358" t="n">
        <v>1637</v>
      </c>
      <c r="J358" t="n">
        <v>22.23</v>
      </c>
      <c r="K358" t="n">
        <v>0</v>
      </c>
      <c r="L358" t="n">
        <v>1.2</v>
      </c>
      <c r="M358" t="n">
        <v>5.3</v>
      </c>
      <c r="N358" t="inlineStr">
        <is>
          <t>Direct</t>
        </is>
      </c>
    </row>
    <row r="359">
      <c r="A359" t="inlineStr">
        <is>
          <t>0000943209</t>
        </is>
      </c>
      <c r="B359" t="inlineStr">
        <is>
          <t>MEGH STEELS PRIVATE LIMITED - TVS A</t>
        </is>
      </c>
      <c r="C359" t="inlineStr">
        <is>
          <t>KG</t>
        </is>
      </c>
      <c r="D359" t="n">
        <v>80</v>
      </c>
      <c r="E359" t="n">
        <v>457.337</v>
      </c>
      <c r="F359" t="n">
        <v>3907863</v>
      </c>
      <c r="G359" t="inlineStr">
        <is>
          <t>0789</t>
        </is>
      </c>
      <c r="H359" t="inlineStr">
        <is>
          <t>TUB-O-N-AUT-AW-FC-57.15X2.500X5.7110</t>
        </is>
      </c>
      <c r="I359" t="n">
        <v>1482</v>
      </c>
      <c r="J359" t="n">
        <v>57.15</v>
      </c>
      <c r="K359" t="n">
        <v>0</v>
      </c>
      <c r="L359" t="n">
        <v>2.5</v>
      </c>
      <c r="M359" t="n">
        <v>5.711</v>
      </c>
      <c r="N359" t="inlineStr">
        <is>
          <t>Direct</t>
        </is>
      </c>
      <c r="O359" t="inlineStr">
        <is>
          <t>57.15-0-2.5-ERW 1-FC-5.711</t>
        </is>
      </c>
    </row>
    <row r="360">
      <c r="A360" t="inlineStr">
        <is>
          <t>0000943209</t>
        </is>
      </c>
      <c r="B360" t="inlineStr">
        <is>
          <t>MEGH STEELS PRIVATE LIMITED - TVS A</t>
        </is>
      </c>
      <c r="C360" t="inlineStr">
        <is>
          <t>KG</t>
        </is>
      </c>
      <c r="D360" t="n">
        <v>80</v>
      </c>
      <c r="E360" t="n">
        <v>457.337</v>
      </c>
      <c r="F360" t="n">
        <v>3907863</v>
      </c>
      <c r="G360" t="inlineStr">
        <is>
          <t>0789</t>
        </is>
      </c>
      <c r="H360" t="inlineStr">
        <is>
          <t>TUB-O-N-AUT-AW-FC-57.15X2.500X5.7110</t>
        </is>
      </c>
      <c r="I360" t="n">
        <v>1482</v>
      </c>
      <c r="J360" t="n">
        <v>57.15</v>
      </c>
      <c r="K360" t="n">
        <v>0</v>
      </c>
      <c r="L360" t="n">
        <v>2.5</v>
      </c>
      <c r="M360" t="n">
        <v>5.711</v>
      </c>
      <c r="N360" t="inlineStr">
        <is>
          <t>Direct</t>
        </is>
      </c>
      <c r="O360" t="inlineStr">
        <is>
          <t>57.15-0-2.5-ERW 1-FC-5.711</t>
        </is>
      </c>
    </row>
    <row r="361">
      <c r="A361" t="inlineStr">
        <is>
          <t>0000943209</t>
        </is>
      </c>
      <c r="B361" t="inlineStr">
        <is>
          <t>MEGH STEELS PRIVATE LIMITED - TVS A</t>
        </is>
      </c>
      <c r="C361" t="inlineStr">
        <is>
          <t>KG</t>
        </is>
      </c>
      <c r="D361" t="n">
        <v>77</v>
      </c>
      <c r="E361" t="n">
        <v>442.216</v>
      </c>
      <c r="F361" t="n">
        <v>3907863</v>
      </c>
      <c r="G361" t="inlineStr">
        <is>
          <t>0789</t>
        </is>
      </c>
      <c r="H361" t="inlineStr">
        <is>
          <t>TUB-O-N-AUT-AW-FC-57.15X2.500X5.7110</t>
        </is>
      </c>
      <c r="I361" t="n">
        <v>1433</v>
      </c>
      <c r="J361" t="n">
        <v>57.15</v>
      </c>
      <c r="K361" t="n">
        <v>0</v>
      </c>
      <c r="L361" t="n">
        <v>2.5</v>
      </c>
      <c r="M361" t="n">
        <v>5.711</v>
      </c>
      <c r="N361" t="inlineStr">
        <is>
          <t>Direct</t>
        </is>
      </c>
      <c r="O361" t="inlineStr">
        <is>
          <t>57.15-0-2.5-ERW 1-FC-5.711</t>
        </is>
      </c>
    </row>
    <row r="362">
      <c r="A362" t="inlineStr">
        <is>
          <t>0000943209</t>
        </is>
      </c>
      <c r="B362" t="inlineStr">
        <is>
          <t>MEGH STEELS PRIVATE LIMITED - TVS A</t>
        </is>
      </c>
      <c r="C362" t="inlineStr">
        <is>
          <t>KG</t>
        </is>
      </c>
      <c r="D362" t="n">
        <v>77</v>
      </c>
      <c r="E362" t="n">
        <v>442.216</v>
      </c>
      <c r="F362" t="n">
        <v>3907863</v>
      </c>
      <c r="G362" t="inlineStr">
        <is>
          <t>0789</t>
        </is>
      </c>
      <c r="H362" t="inlineStr">
        <is>
          <t>TUB-O-N-AUT-AW-FC-57.15X2.500X5.7110</t>
        </is>
      </c>
      <c r="I362" t="n">
        <v>1433</v>
      </c>
      <c r="J362" t="n">
        <v>57.15</v>
      </c>
      <c r="K362" t="n">
        <v>0</v>
      </c>
      <c r="L362" t="n">
        <v>2.5</v>
      </c>
      <c r="M362" t="n">
        <v>5.711</v>
      </c>
      <c r="N362" t="inlineStr">
        <is>
          <t>Direct</t>
        </is>
      </c>
      <c r="O362" t="inlineStr">
        <is>
          <t>57.15-0-2.5-ERW 1-FC-5.711</t>
        </is>
      </c>
    </row>
    <row r="363">
      <c r="A363" t="inlineStr">
        <is>
          <t>0000943209</t>
        </is>
      </c>
      <c r="B363" t="inlineStr">
        <is>
          <t>MEGH STEELS PRIVATE LIMITED - TVS A</t>
        </is>
      </c>
      <c r="C363" t="inlineStr">
        <is>
          <t>KG</t>
        </is>
      </c>
      <c r="D363" t="n">
        <v>77</v>
      </c>
      <c r="E363" t="n">
        <v>439.747</v>
      </c>
      <c r="F363" t="n">
        <v>3907863</v>
      </c>
      <c r="G363" t="inlineStr">
        <is>
          <t>0789</t>
        </is>
      </c>
      <c r="H363" t="inlineStr">
        <is>
          <t>TUB-O-N-AUT-AW-FC-57.15X2.500X5.7110</t>
        </is>
      </c>
      <c r="I363" t="n">
        <v>1425</v>
      </c>
      <c r="J363" t="n">
        <v>57.15</v>
      </c>
      <c r="K363" t="n">
        <v>0</v>
      </c>
      <c r="L363" t="n">
        <v>2.5</v>
      </c>
      <c r="M363" t="n">
        <v>5.711</v>
      </c>
      <c r="N363" t="inlineStr">
        <is>
          <t>Direct</t>
        </is>
      </c>
      <c r="O363" t="inlineStr">
        <is>
          <t>57.15-0-2.5-ERW 1-FC-5.711</t>
        </is>
      </c>
    </row>
    <row r="364">
      <c r="A364" t="inlineStr">
        <is>
          <t>0000943209</t>
        </is>
      </c>
      <c r="B364" t="inlineStr">
        <is>
          <t>MEGH STEELS PRIVATE LIMITED - TVS A</t>
        </is>
      </c>
      <c r="C364" t="inlineStr">
        <is>
          <t>KG</t>
        </is>
      </c>
      <c r="D364" t="n">
        <v>77</v>
      </c>
      <c r="E364" t="n">
        <v>439.747</v>
      </c>
      <c r="F364" t="n">
        <v>3907863</v>
      </c>
      <c r="G364" t="inlineStr">
        <is>
          <t>0789</t>
        </is>
      </c>
      <c r="H364" t="inlineStr">
        <is>
          <t>TUB-O-N-AUT-AW-FC-57.15X2.500X5.7110</t>
        </is>
      </c>
      <c r="I364" t="n">
        <v>1425</v>
      </c>
      <c r="J364" t="n">
        <v>57.15</v>
      </c>
      <c r="K364" t="n">
        <v>0</v>
      </c>
      <c r="L364" t="n">
        <v>2.5</v>
      </c>
      <c r="M364" t="n">
        <v>5.711</v>
      </c>
      <c r="N364" t="inlineStr">
        <is>
          <t>Direct</t>
        </is>
      </c>
      <c r="O364" t="inlineStr">
        <is>
          <t>57.15-0-2.5-ERW 1-FC-5.711</t>
        </is>
      </c>
    </row>
    <row r="365">
      <c r="A365" t="inlineStr">
        <is>
          <t>0000943209</t>
        </is>
      </c>
      <c r="B365" t="inlineStr">
        <is>
          <t>MEGH STEELS PRIVATE LIMITED - TVS A</t>
        </is>
      </c>
      <c r="C365" t="inlineStr">
        <is>
          <t>KG</t>
        </is>
      </c>
      <c r="D365" t="n">
        <v>80</v>
      </c>
      <c r="E365" t="n">
        <v>458.263</v>
      </c>
      <c r="F365" t="n">
        <v>3907863</v>
      </c>
      <c r="G365" t="inlineStr">
        <is>
          <t>0789</t>
        </is>
      </c>
      <c r="H365" t="inlineStr">
        <is>
          <t>TUB-O-N-AUT-AW-FC-57.15X2.500X5.7110</t>
        </is>
      </c>
      <c r="I365" t="n">
        <v>1485</v>
      </c>
      <c r="J365" t="n">
        <v>57.15</v>
      </c>
      <c r="K365" t="n">
        <v>0</v>
      </c>
      <c r="L365" t="n">
        <v>2.5</v>
      </c>
      <c r="M365" t="n">
        <v>5.711</v>
      </c>
      <c r="N365" t="inlineStr">
        <is>
          <t>Direct</t>
        </is>
      </c>
      <c r="O365" t="inlineStr">
        <is>
          <t>57.15-0-2.5-ERW 1-FC-5.711</t>
        </is>
      </c>
    </row>
    <row r="366">
      <c r="A366" t="inlineStr">
        <is>
          <t>0000943209</t>
        </is>
      </c>
      <c r="B366" t="inlineStr">
        <is>
          <t>MEGH STEELS PRIVATE LIMITED - TVS A</t>
        </is>
      </c>
      <c r="C366" t="inlineStr">
        <is>
          <t>KG</t>
        </is>
      </c>
      <c r="D366" t="n">
        <v>80</v>
      </c>
      <c r="E366" t="n">
        <v>458.263</v>
      </c>
      <c r="F366" t="n">
        <v>3907863</v>
      </c>
      <c r="G366" t="inlineStr">
        <is>
          <t>0789</t>
        </is>
      </c>
      <c r="H366" t="inlineStr">
        <is>
          <t>TUB-O-N-AUT-AW-FC-57.15X2.500X5.7110</t>
        </is>
      </c>
      <c r="I366" t="n">
        <v>1485</v>
      </c>
      <c r="J366" t="n">
        <v>57.15</v>
      </c>
      <c r="K366" t="n">
        <v>0</v>
      </c>
      <c r="L366" t="n">
        <v>2.5</v>
      </c>
      <c r="M366" t="n">
        <v>5.711</v>
      </c>
      <c r="N366" t="inlineStr">
        <is>
          <t>Direct</t>
        </is>
      </c>
      <c r="O366" t="inlineStr">
        <is>
          <t>57.15-0-2.5-ERW 1-FC-5.711</t>
        </is>
      </c>
    </row>
    <row r="367">
      <c r="A367" t="inlineStr">
        <is>
          <t>0000943209</t>
        </is>
      </c>
      <c r="B367" t="inlineStr">
        <is>
          <t>MEGH STEELS PRIVATE LIMITED - TVS A</t>
        </is>
      </c>
      <c r="C367" t="inlineStr">
        <is>
          <t>KG</t>
        </is>
      </c>
      <c r="D367" t="n">
        <v>91</v>
      </c>
      <c r="E367" t="n">
        <v>518.439</v>
      </c>
      <c r="F367" t="n">
        <v>3907863</v>
      </c>
      <c r="G367" t="inlineStr">
        <is>
          <t>0789</t>
        </is>
      </c>
      <c r="H367" t="inlineStr">
        <is>
          <t>TUB-O-N-AUT-AW-FC-57.15X2.500X5.7110</t>
        </is>
      </c>
      <c r="I367" t="n">
        <v>1680</v>
      </c>
      <c r="J367" t="n">
        <v>57.15</v>
      </c>
      <c r="K367" t="n">
        <v>0</v>
      </c>
      <c r="L367" t="n">
        <v>2.5</v>
      </c>
      <c r="M367" t="n">
        <v>5.711</v>
      </c>
      <c r="N367" t="inlineStr">
        <is>
          <t>Direct</t>
        </is>
      </c>
      <c r="O367" t="inlineStr">
        <is>
          <t>57.15-0-2.5-ERW 1-FC-5.711</t>
        </is>
      </c>
    </row>
    <row r="368">
      <c r="A368" t="inlineStr">
        <is>
          <t>0000943209</t>
        </is>
      </c>
      <c r="B368" t="inlineStr">
        <is>
          <t>MEGH STEELS PRIVATE LIMITED - TVS A</t>
        </is>
      </c>
      <c r="C368" t="inlineStr">
        <is>
          <t>KG</t>
        </is>
      </c>
      <c r="D368" t="n">
        <v>91</v>
      </c>
      <c r="E368" t="n">
        <v>518.439</v>
      </c>
      <c r="F368" t="n">
        <v>3907863</v>
      </c>
      <c r="G368" t="inlineStr">
        <is>
          <t>0789</t>
        </is>
      </c>
      <c r="H368" t="inlineStr">
        <is>
          <t>TUB-O-N-AUT-AW-FC-57.15X2.500X5.7110</t>
        </is>
      </c>
      <c r="I368" t="n">
        <v>1680</v>
      </c>
      <c r="J368" t="n">
        <v>57.15</v>
      </c>
      <c r="K368" t="n">
        <v>0</v>
      </c>
      <c r="L368" t="n">
        <v>2.5</v>
      </c>
      <c r="M368" t="n">
        <v>5.711</v>
      </c>
      <c r="N368" t="inlineStr">
        <is>
          <t>Direct</t>
        </is>
      </c>
      <c r="O368" t="inlineStr">
        <is>
          <t>57.15-0-2.5-ERW 1-FC-5.711</t>
        </is>
      </c>
    </row>
    <row r="369">
      <c r="A369" t="inlineStr">
        <is>
          <t>0000943209</t>
        </is>
      </c>
      <c r="B369" t="inlineStr">
        <is>
          <t>MEGH STEELS PRIVATE LIMITED - TVS A</t>
        </is>
      </c>
      <c r="C369" t="inlineStr">
        <is>
          <t>KG</t>
        </is>
      </c>
      <c r="D369" t="n">
        <v>82</v>
      </c>
      <c r="E369" t="n">
        <v>465.977</v>
      </c>
      <c r="F369" t="n">
        <v>3907863</v>
      </c>
      <c r="G369" t="inlineStr">
        <is>
          <t>0789</t>
        </is>
      </c>
      <c r="H369" t="inlineStr">
        <is>
          <t>TUB-O-N-AUT-AW-FC-57.15X2.500X5.7110</t>
        </is>
      </c>
      <c r="I369" t="n">
        <v>1510</v>
      </c>
      <c r="J369" t="n">
        <v>57.15</v>
      </c>
      <c r="K369" t="n">
        <v>0</v>
      </c>
      <c r="L369" t="n">
        <v>2.5</v>
      </c>
      <c r="M369" t="n">
        <v>5.711</v>
      </c>
      <c r="N369" t="inlineStr">
        <is>
          <t>Direct</t>
        </is>
      </c>
      <c r="O369" t="inlineStr">
        <is>
          <t>57.15-0-2.5-ERW 1-FC-5.711</t>
        </is>
      </c>
    </row>
    <row r="370">
      <c r="A370" t="inlineStr">
        <is>
          <t>0000943209</t>
        </is>
      </c>
      <c r="B370" t="inlineStr">
        <is>
          <t>MEGH STEELS PRIVATE LIMITED - TVS A</t>
        </is>
      </c>
      <c r="C370" t="inlineStr">
        <is>
          <t>KG</t>
        </is>
      </c>
      <c r="D370" t="n">
        <v>82</v>
      </c>
      <c r="E370" t="n">
        <v>465.977</v>
      </c>
      <c r="F370" t="n">
        <v>3907863</v>
      </c>
      <c r="G370" t="inlineStr">
        <is>
          <t>0789</t>
        </is>
      </c>
      <c r="H370" t="inlineStr">
        <is>
          <t>TUB-O-N-AUT-AW-FC-57.15X2.500X5.7110</t>
        </is>
      </c>
      <c r="I370" t="n">
        <v>1510</v>
      </c>
      <c r="J370" t="n">
        <v>57.15</v>
      </c>
      <c r="K370" t="n">
        <v>0</v>
      </c>
      <c r="L370" t="n">
        <v>2.5</v>
      </c>
      <c r="M370" t="n">
        <v>5.711</v>
      </c>
      <c r="N370" t="inlineStr">
        <is>
          <t>Direct</t>
        </is>
      </c>
      <c r="O370" t="inlineStr">
        <is>
          <t>57.15-0-2.5-ERW 1-FC-5.711</t>
        </is>
      </c>
    </row>
    <row r="371">
      <c r="A371" t="inlineStr">
        <is>
          <t>0000943209</t>
        </is>
      </c>
      <c r="B371" t="inlineStr">
        <is>
          <t>MEGH STEELS PRIVATE LIMITED - TVS A</t>
        </is>
      </c>
      <c r="C371" t="inlineStr">
        <is>
          <t>KG</t>
        </is>
      </c>
      <c r="D371" t="n">
        <v>76</v>
      </c>
      <c r="E371" t="n">
        <v>431.723</v>
      </c>
      <c r="F371" t="n">
        <v>3907863</v>
      </c>
      <c r="G371" t="inlineStr">
        <is>
          <t>0789</t>
        </is>
      </c>
      <c r="H371" t="inlineStr">
        <is>
          <t>TUB-O-N-AUT-AW-FC-57.15X2.500X5.7110</t>
        </is>
      </c>
      <c r="I371" t="n">
        <v>1399</v>
      </c>
      <c r="J371" t="n">
        <v>57.15</v>
      </c>
      <c r="K371" t="n">
        <v>0</v>
      </c>
      <c r="L371" t="n">
        <v>2.5</v>
      </c>
      <c r="M371" t="n">
        <v>5.711</v>
      </c>
      <c r="N371" t="inlineStr">
        <is>
          <t>Direct</t>
        </is>
      </c>
      <c r="O371" t="inlineStr">
        <is>
          <t>57.15-0-2.5-ERW 1-FC-5.711</t>
        </is>
      </c>
    </row>
    <row r="372">
      <c r="A372" t="inlineStr">
        <is>
          <t>0000943209</t>
        </is>
      </c>
      <c r="B372" t="inlineStr">
        <is>
          <t>MEGH STEELS PRIVATE LIMITED - TVS A</t>
        </is>
      </c>
      <c r="C372" t="inlineStr">
        <is>
          <t>KG</t>
        </is>
      </c>
      <c r="D372" t="n">
        <v>76</v>
      </c>
      <c r="E372" t="n">
        <v>431.723</v>
      </c>
      <c r="F372" t="n">
        <v>3907863</v>
      </c>
      <c r="G372" t="inlineStr">
        <is>
          <t>0789</t>
        </is>
      </c>
      <c r="H372" t="inlineStr">
        <is>
          <t>TUB-O-N-AUT-AW-FC-57.15X2.500X5.7110</t>
        </is>
      </c>
      <c r="I372" t="n">
        <v>1399</v>
      </c>
      <c r="J372" t="n">
        <v>57.15</v>
      </c>
      <c r="K372" t="n">
        <v>0</v>
      </c>
      <c r="L372" t="n">
        <v>2.5</v>
      </c>
      <c r="M372" t="n">
        <v>5.711</v>
      </c>
      <c r="N372" t="inlineStr">
        <is>
          <t>Direct</t>
        </is>
      </c>
      <c r="O372" t="inlineStr">
        <is>
          <t>57.15-0-2.5-ERW 1-FC-5.711</t>
        </is>
      </c>
    </row>
    <row r="373">
      <c r="A373" t="inlineStr">
        <is>
          <t>0000943209</t>
        </is>
      </c>
      <c r="B373" t="inlineStr">
        <is>
          <t>MEGH STEELS PRIVATE LIMITED - TVS A</t>
        </is>
      </c>
      <c r="C373" t="inlineStr">
        <is>
          <t>KG</t>
        </is>
      </c>
      <c r="D373" t="n">
        <v>86</v>
      </c>
      <c r="E373" t="n">
        <v>493.751</v>
      </c>
      <c r="F373" t="n">
        <v>3907863</v>
      </c>
      <c r="G373" t="inlineStr">
        <is>
          <t>0789</t>
        </is>
      </c>
      <c r="H373" t="inlineStr">
        <is>
          <t>TUB-O-N-AUT-AW-FC-57.15X2.500X5.7110</t>
        </is>
      </c>
      <c r="I373" t="n">
        <v>1600</v>
      </c>
      <c r="J373" t="n">
        <v>57.15</v>
      </c>
      <c r="K373" t="n">
        <v>0</v>
      </c>
      <c r="L373" t="n">
        <v>2.5</v>
      </c>
      <c r="M373" t="n">
        <v>5.711</v>
      </c>
      <c r="N373" t="inlineStr">
        <is>
          <t>Direct</t>
        </is>
      </c>
      <c r="O373" t="inlineStr">
        <is>
          <t>57.15-0-2.5-ERW 1-FC-5.711</t>
        </is>
      </c>
    </row>
    <row r="374">
      <c r="A374" t="inlineStr">
        <is>
          <t>0000943209</t>
        </is>
      </c>
      <c r="B374" t="inlineStr">
        <is>
          <t>MEGH STEELS PRIVATE LIMITED - TVS A</t>
        </is>
      </c>
      <c r="C374" t="inlineStr">
        <is>
          <t>KG</t>
        </is>
      </c>
      <c r="D374" t="n">
        <v>86</v>
      </c>
      <c r="E374" t="n">
        <v>493.751</v>
      </c>
      <c r="F374" t="n">
        <v>3907863</v>
      </c>
      <c r="G374" t="inlineStr">
        <is>
          <t>0789</t>
        </is>
      </c>
      <c r="H374" t="inlineStr">
        <is>
          <t>TUB-O-N-AUT-AW-FC-57.15X2.500X5.7110</t>
        </is>
      </c>
      <c r="I374" t="n">
        <v>1600</v>
      </c>
      <c r="J374" t="n">
        <v>57.15</v>
      </c>
      <c r="K374" t="n">
        <v>0</v>
      </c>
      <c r="L374" t="n">
        <v>2.5</v>
      </c>
      <c r="M374" t="n">
        <v>5.711</v>
      </c>
      <c r="N374" t="inlineStr">
        <is>
          <t>Direct</t>
        </is>
      </c>
      <c r="O374" t="inlineStr">
        <is>
          <t>57.15-0-2.5-ERW 1-FC-5.711</t>
        </is>
      </c>
    </row>
    <row r="375">
      <c r="A375" t="inlineStr">
        <is>
          <t>0000943209</t>
        </is>
      </c>
      <c r="B375" t="inlineStr">
        <is>
          <t>MEGH STEELS PRIVATE LIMITED - TVS A</t>
        </is>
      </c>
      <c r="C375" t="inlineStr">
        <is>
          <t>KG</t>
        </is>
      </c>
      <c r="D375" t="n">
        <v>78</v>
      </c>
      <c r="E375" t="n">
        <v>447.462</v>
      </c>
      <c r="F375" t="n">
        <v>3907863</v>
      </c>
      <c r="G375" t="inlineStr">
        <is>
          <t>0789</t>
        </is>
      </c>
      <c r="H375" t="inlineStr">
        <is>
          <t>TUB-O-N-AUT-AW-FC-57.15X2.500X5.7110</t>
        </is>
      </c>
      <c r="I375" t="n">
        <v>1450</v>
      </c>
      <c r="J375" t="n">
        <v>57.15</v>
      </c>
      <c r="K375" t="n">
        <v>0</v>
      </c>
      <c r="L375" t="n">
        <v>2.5</v>
      </c>
      <c r="M375" t="n">
        <v>5.711</v>
      </c>
      <c r="N375" t="inlineStr">
        <is>
          <t>Direct</t>
        </is>
      </c>
      <c r="O375" t="inlineStr">
        <is>
          <t>57.15-0-2.5-ERW 1-FC-5.711</t>
        </is>
      </c>
    </row>
    <row r="376">
      <c r="A376" t="inlineStr">
        <is>
          <t>0000943209</t>
        </is>
      </c>
      <c r="B376" t="inlineStr">
        <is>
          <t>MEGH STEELS PRIVATE LIMITED - TVS A</t>
        </is>
      </c>
      <c r="C376" t="inlineStr">
        <is>
          <t>KG</t>
        </is>
      </c>
      <c r="D376" t="n">
        <v>78</v>
      </c>
      <c r="E376" t="n">
        <v>447.462</v>
      </c>
      <c r="F376" t="n">
        <v>3907863</v>
      </c>
      <c r="G376" t="inlineStr">
        <is>
          <t>0789</t>
        </is>
      </c>
      <c r="H376" t="inlineStr">
        <is>
          <t>TUB-O-N-AUT-AW-FC-57.15X2.500X5.7110</t>
        </is>
      </c>
      <c r="I376" t="n">
        <v>1450</v>
      </c>
      <c r="J376" t="n">
        <v>57.15</v>
      </c>
      <c r="K376" t="n">
        <v>0</v>
      </c>
      <c r="L376" t="n">
        <v>2.5</v>
      </c>
      <c r="M376" t="n">
        <v>5.711</v>
      </c>
      <c r="N376" t="inlineStr">
        <is>
          <t>Direct</t>
        </is>
      </c>
      <c r="O376" t="inlineStr">
        <is>
          <t>57.15-0-2.5-ERW 1-FC-5.711</t>
        </is>
      </c>
    </row>
    <row r="377">
      <c r="A377" t="inlineStr">
        <is>
          <t>0000943209</t>
        </is>
      </c>
      <c r="B377" t="inlineStr">
        <is>
          <t>MEGH STEELS PRIVATE LIMITED - TVS A</t>
        </is>
      </c>
      <c r="C377" t="inlineStr">
        <is>
          <t>KG</t>
        </is>
      </c>
      <c r="D377" t="n">
        <v>80</v>
      </c>
      <c r="E377" t="n">
        <v>456.72</v>
      </c>
      <c r="F377" t="n">
        <v>3907863</v>
      </c>
      <c r="G377" t="inlineStr">
        <is>
          <t>0789</t>
        </is>
      </c>
      <c r="H377" t="inlineStr">
        <is>
          <t>TUB-O-N-AUT-AW-FC-57.15X2.500X5.7110</t>
        </is>
      </c>
      <c r="I377" t="n">
        <v>1480</v>
      </c>
      <c r="J377" t="n">
        <v>57.15</v>
      </c>
      <c r="K377" t="n">
        <v>0</v>
      </c>
      <c r="L377" t="n">
        <v>2.5</v>
      </c>
      <c r="M377" t="n">
        <v>5.711</v>
      </c>
      <c r="N377" t="inlineStr">
        <is>
          <t>Direct</t>
        </is>
      </c>
      <c r="O377" t="inlineStr">
        <is>
          <t>57.15-0-2.5-ERW 1-FC-5.711</t>
        </is>
      </c>
    </row>
    <row r="378">
      <c r="A378" t="inlineStr">
        <is>
          <t>0000943209</t>
        </is>
      </c>
      <c r="B378" t="inlineStr">
        <is>
          <t>MEGH STEELS PRIVATE LIMITED - TVS A</t>
        </is>
      </c>
      <c r="C378" t="inlineStr">
        <is>
          <t>KG</t>
        </is>
      </c>
      <c r="D378" t="n">
        <v>80</v>
      </c>
      <c r="E378" t="n">
        <v>456.72</v>
      </c>
      <c r="F378" t="n">
        <v>3907863</v>
      </c>
      <c r="G378" t="inlineStr">
        <is>
          <t>0789</t>
        </is>
      </c>
      <c r="H378" t="inlineStr">
        <is>
          <t>TUB-O-N-AUT-AW-FC-57.15X2.500X5.7110</t>
        </is>
      </c>
      <c r="I378" t="n">
        <v>1480</v>
      </c>
      <c r="J378" t="n">
        <v>57.15</v>
      </c>
      <c r="K378" t="n">
        <v>0</v>
      </c>
      <c r="L378" t="n">
        <v>2.5</v>
      </c>
      <c r="M378" t="n">
        <v>5.711</v>
      </c>
      <c r="N378" t="inlineStr">
        <is>
          <t>Direct</t>
        </is>
      </c>
      <c r="O378" t="inlineStr">
        <is>
          <t>57.15-0-2.5-ERW 1-FC-5.711</t>
        </is>
      </c>
    </row>
    <row r="379">
      <c r="A379" t="inlineStr">
        <is>
          <t>0000943209</t>
        </is>
      </c>
      <c r="B379" t="inlineStr">
        <is>
          <t>MEGH STEELS PRIVATE LIMITED - TVS A</t>
        </is>
      </c>
      <c r="C379" t="inlineStr">
        <is>
          <t>KG</t>
        </is>
      </c>
      <c r="D379" t="n">
        <v>81</v>
      </c>
      <c r="E379" t="n">
        <v>462.892</v>
      </c>
      <c r="F379" t="n">
        <v>3907863</v>
      </c>
      <c r="G379" t="inlineStr">
        <is>
          <t>0789</t>
        </is>
      </c>
      <c r="H379" t="inlineStr">
        <is>
          <t>TUB-O-N-AUT-AW-FC-57.15X2.500X5.7110</t>
        </is>
      </c>
      <c r="I379" t="n">
        <v>1500</v>
      </c>
      <c r="J379" t="n">
        <v>57.15</v>
      </c>
      <c r="K379" t="n">
        <v>0</v>
      </c>
      <c r="L379" t="n">
        <v>2.5</v>
      </c>
      <c r="M379" t="n">
        <v>5.711</v>
      </c>
      <c r="N379" t="inlineStr">
        <is>
          <t>Direct</t>
        </is>
      </c>
      <c r="O379" t="inlineStr">
        <is>
          <t>57.15-0-2.5-ERW 1-FC-5.711</t>
        </is>
      </c>
    </row>
    <row r="380">
      <c r="A380" t="inlineStr">
        <is>
          <t>0000943209</t>
        </is>
      </c>
      <c r="B380" t="inlineStr">
        <is>
          <t>MEGH STEELS PRIVATE LIMITED - TVS A</t>
        </is>
      </c>
      <c r="C380" t="inlineStr">
        <is>
          <t>KG</t>
        </is>
      </c>
      <c r="D380" t="n">
        <v>81</v>
      </c>
      <c r="E380" t="n">
        <v>462.892</v>
      </c>
      <c r="F380" t="n">
        <v>3907863</v>
      </c>
      <c r="G380" t="inlineStr">
        <is>
          <t>0789</t>
        </is>
      </c>
      <c r="H380" t="inlineStr">
        <is>
          <t>TUB-O-N-AUT-AW-FC-57.15X2.500X5.7110</t>
        </is>
      </c>
      <c r="I380" t="n">
        <v>1500</v>
      </c>
      <c r="J380" t="n">
        <v>57.15</v>
      </c>
      <c r="K380" t="n">
        <v>0</v>
      </c>
      <c r="L380" t="n">
        <v>2.5</v>
      </c>
      <c r="M380" t="n">
        <v>5.711</v>
      </c>
      <c r="N380" t="inlineStr">
        <is>
          <t>Direct</t>
        </is>
      </c>
      <c r="O380" t="inlineStr">
        <is>
          <t>57.15-0-2.5-ERW 1-FC-5.711</t>
        </is>
      </c>
    </row>
    <row r="381">
      <c r="A381" t="inlineStr">
        <is>
          <t>0000943209</t>
        </is>
      </c>
      <c r="B381" t="inlineStr">
        <is>
          <t>MEGH STEELS PRIVATE LIMITED - TVS A</t>
        </is>
      </c>
      <c r="C381" t="inlineStr">
        <is>
          <t>KG</t>
        </is>
      </c>
      <c r="D381" t="n">
        <v>82</v>
      </c>
      <c r="E381" t="n">
        <v>467.829</v>
      </c>
      <c r="F381" t="n">
        <v>3907863</v>
      </c>
      <c r="G381" t="inlineStr">
        <is>
          <t>0789</t>
        </is>
      </c>
      <c r="H381" t="inlineStr">
        <is>
          <t>TUB-O-N-AUT-AW-FC-57.15X2.500X5.7110</t>
        </is>
      </c>
      <c r="I381" t="n">
        <v>1516</v>
      </c>
      <c r="J381" t="n">
        <v>57.15</v>
      </c>
      <c r="K381" t="n">
        <v>0</v>
      </c>
      <c r="L381" t="n">
        <v>2.5</v>
      </c>
      <c r="M381" t="n">
        <v>5.711</v>
      </c>
      <c r="N381" t="inlineStr">
        <is>
          <t>Direct</t>
        </is>
      </c>
      <c r="O381" t="inlineStr">
        <is>
          <t>57.15-0-2.5-ERW 1-FC-5.711</t>
        </is>
      </c>
    </row>
    <row r="382">
      <c r="A382" t="inlineStr">
        <is>
          <t>0000943209</t>
        </is>
      </c>
      <c r="B382" t="inlineStr">
        <is>
          <t>MEGH STEELS PRIVATE LIMITED - TVS A</t>
        </is>
      </c>
      <c r="C382" t="inlineStr">
        <is>
          <t>KG</t>
        </is>
      </c>
      <c r="D382" t="n">
        <v>82</v>
      </c>
      <c r="E382" t="n">
        <v>467.829</v>
      </c>
      <c r="F382" t="n">
        <v>3907863</v>
      </c>
      <c r="G382" t="inlineStr">
        <is>
          <t>0789</t>
        </is>
      </c>
      <c r="H382" t="inlineStr">
        <is>
          <t>TUB-O-N-AUT-AW-FC-57.15X2.500X5.7110</t>
        </is>
      </c>
      <c r="I382" t="n">
        <v>1516</v>
      </c>
      <c r="J382" t="n">
        <v>57.15</v>
      </c>
      <c r="K382" t="n">
        <v>0</v>
      </c>
      <c r="L382" t="n">
        <v>2.5</v>
      </c>
      <c r="M382" t="n">
        <v>5.711</v>
      </c>
      <c r="N382" t="inlineStr">
        <is>
          <t>Direct</t>
        </is>
      </c>
      <c r="O382" t="inlineStr">
        <is>
          <t>57.15-0-2.5-ERW 1-FC-5.711</t>
        </is>
      </c>
    </row>
    <row r="383">
      <c r="A383" t="inlineStr">
        <is>
          <t>0000943209</t>
        </is>
      </c>
      <c r="B383" t="inlineStr">
        <is>
          <t>MEGH STEELS PRIVATE LIMITED - TVS A</t>
        </is>
      </c>
      <c r="C383" t="inlineStr">
        <is>
          <t>KG</t>
        </is>
      </c>
      <c r="D383" t="n">
        <v>76</v>
      </c>
      <c r="E383" t="n">
        <v>433.575</v>
      </c>
      <c r="F383" t="n">
        <v>3907863</v>
      </c>
      <c r="G383" t="inlineStr">
        <is>
          <t>0789</t>
        </is>
      </c>
      <c r="H383" t="inlineStr">
        <is>
          <t>TUB-O-N-AUT-AW-FC-57.15X2.500X5.7110</t>
        </is>
      </c>
      <c r="I383" t="n">
        <v>1405</v>
      </c>
      <c r="J383" t="n">
        <v>57.15</v>
      </c>
      <c r="K383" t="n">
        <v>0</v>
      </c>
      <c r="L383" t="n">
        <v>2.5</v>
      </c>
      <c r="M383" t="n">
        <v>5.711</v>
      </c>
      <c r="N383" t="inlineStr">
        <is>
          <t>Direct</t>
        </is>
      </c>
      <c r="O383" t="inlineStr">
        <is>
          <t>57.15-0-2.5-ERW 1-FC-5.711</t>
        </is>
      </c>
    </row>
    <row r="384">
      <c r="A384" t="inlineStr">
        <is>
          <t>0000943209</t>
        </is>
      </c>
      <c r="B384" t="inlineStr">
        <is>
          <t>MEGH STEELS PRIVATE LIMITED - TVS A</t>
        </is>
      </c>
      <c r="C384" t="inlineStr">
        <is>
          <t>KG</t>
        </is>
      </c>
      <c r="D384" t="n">
        <v>76</v>
      </c>
      <c r="E384" t="n">
        <v>433.575</v>
      </c>
      <c r="F384" t="n">
        <v>3907863</v>
      </c>
      <c r="G384" t="inlineStr">
        <is>
          <t>0789</t>
        </is>
      </c>
      <c r="H384" t="inlineStr">
        <is>
          <t>TUB-O-N-AUT-AW-FC-57.15X2.500X5.7110</t>
        </is>
      </c>
      <c r="I384" t="n">
        <v>1405</v>
      </c>
      <c r="J384" t="n">
        <v>57.15</v>
      </c>
      <c r="K384" t="n">
        <v>0</v>
      </c>
      <c r="L384" t="n">
        <v>2.5</v>
      </c>
      <c r="M384" t="n">
        <v>5.711</v>
      </c>
      <c r="N384" t="inlineStr">
        <is>
          <t>Direct</t>
        </is>
      </c>
      <c r="O384" t="inlineStr">
        <is>
          <t>57.15-0-2.5-ERW 1-FC-5.711</t>
        </is>
      </c>
    </row>
    <row r="385">
      <c r="A385" t="inlineStr">
        <is>
          <t>0000943209</t>
        </is>
      </c>
      <c r="B385" t="inlineStr">
        <is>
          <t>MEGH STEELS PRIVATE LIMITED - TVS A</t>
        </is>
      </c>
      <c r="C385" t="inlineStr">
        <is>
          <t>KG</t>
        </is>
      </c>
      <c r="D385" t="n">
        <v>76</v>
      </c>
      <c r="E385" t="n">
        <v>433.575</v>
      </c>
      <c r="F385" t="n">
        <v>3907863</v>
      </c>
      <c r="G385" t="inlineStr">
        <is>
          <t>0789</t>
        </is>
      </c>
      <c r="H385" t="inlineStr">
        <is>
          <t>TUB-O-N-AUT-AW-FC-57.15X2.500X5.7110</t>
        </is>
      </c>
      <c r="I385" t="n">
        <v>1405</v>
      </c>
      <c r="J385" t="n">
        <v>57.15</v>
      </c>
      <c r="K385" t="n">
        <v>0</v>
      </c>
      <c r="L385" t="n">
        <v>2.5</v>
      </c>
      <c r="M385" t="n">
        <v>5.711</v>
      </c>
      <c r="N385" t="inlineStr">
        <is>
          <t>Direct</t>
        </is>
      </c>
      <c r="O385" t="inlineStr">
        <is>
          <t>57.15-0-2.5-ERW 1-FC-5.711</t>
        </is>
      </c>
    </row>
    <row r="386">
      <c r="A386" t="inlineStr">
        <is>
          <t>0000943209</t>
        </is>
      </c>
      <c r="B386" t="inlineStr">
        <is>
          <t>MEGH STEELS PRIVATE LIMITED - TVS A</t>
        </is>
      </c>
      <c r="C386" t="inlineStr">
        <is>
          <t>KG</t>
        </is>
      </c>
      <c r="D386" t="n">
        <v>76</v>
      </c>
      <c r="E386" t="n">
        <v>433.575</v>
      </c>
      <c r="F386" t="n">
        <v>3907863</v>
      </c>
      <c r="G386" t="inlineStr">
        <is>
          <t>0789</t>
        </is>
      </c>
      <c r="H386" t="inlineStr">
        <is>
          <t>TUB-O-N-AUT-AW-FC-57.15X2.500X5.7110</t>
        </is>
      </c>
      <c r="I386" t="n">
        <v>1405</v>
      </c>
      <c r="J386" t="n">
        <v>57.15</v>
      </c>
      <c r="K386" t="n">
        <v>0</v>
      </c>
      <c r="L386" t="n">
        <v>2.5</v>
      </c>
      <c r="M386" t="n">
        <v>5.711</v>
      </c>
      <c r="N386" t="inlineStr">
        <is>
          <t>Direct</t>
        </is>
      </c>
      <c r="O386" t="inlineStr">
        <is>
          <t>57.15-0-2.5-ERW 1-FC-5.711</t>
        </is>
      </c>
    </row>
    <row r="387">
      <c r="A387" t="inlineStr">
        <is>
          <t>0000943209</t>
        </is>
      </c>
      <c r="B387" t="inlineStr">
        <is>
          <t>MEGH STEELS PRIVATE LIMITED - TVS A</t>
        </is>
      </c>
      <c r="C387" t="inlineStr">
        <is>
          <t>KG</t>
        </is>
      </c>
      <c r="D387" t="n">
        <v>81</v>
      </c>
      <c r="E387" t="n">
        <v>462.892</v>
      </c>
      <c r="F387" t="n">
        <v>3907863</v>
      </c>
      <c r="G387" t="inlineStr">
        <is>
          <t>0789</t>
        </is>
      </c>
      <c r="H387" t="inlineStr">
        <is>
          <t>TUB-O-N-AUT-AW-FC-57.15X2.500X5.7110</t>
        </is>
      </c>
      <c r="I387" t="n">
        <v>1500</v>
      </c>
      <c r="J387" t="n">
        <v>57.15</v>
      </c>
      <c r="K387" t="n">
        <v>0</v>
      </c>
      <c r="L387" t="n">
        <v>2.5</v>
      </c>
      <c r="M387" t="n">
        <v>5.711</v>
      </c>
      <c r="N387" t="inlineStr">
        <is>
          <t>Direct</t>
        </is>
      </c>
      <c r="O387" t="inlineStr">
        <is>
          <t>57.15-0-2.5-ERW 1-FC-5.711</t>
        </is>
      </c>
    </row>
    <row r="388">
      <c r="A388" t="inlineStr">
        <is>
          <t>0000943209</t>
        </is>
      </c>
      <c r="B388" t="inlineStr">
        <is>
          <t>MEGH STEELS PRIVATE LIMITED - TVS A</t>
        </is>
      </c>
      <c r="C388" t="inlineStr">
        <is>
          <t>KG</t>
        </is>
      </c>
      <c r="D388" t="n">
        <v>81</v>
      </c>
      <c r="E388" t="n">
        <v>462.892</v>
      </c>
      <c r="F388" t="n">
        <v>3907863</v>
      </c>
      <c r="G388" t="inlineStr">
        <is>
          <t>0789</t>
        </is>
      </c>
      <c r="H388" t="inlineStr">
        <is>
          <t>TUB-O-N-AUT-AW-FC-57.15X2.500X5.7110</t>
        </is>
      </c>
      <c r="I388" t="n">
        <v>1500</v>
      </c>
      <c r="J388" t="n">
        <v>57.15</v>
      </c>
      <c r="K388" t="n">
        <v>0</v>
      </c>
      <c r="L388" t="n">
        <v>2.5</v>
      </c>
      <c r="M388" t="n">
        <v>5.711</v>
      </c>
      <c r="N388" t="inlineStr">
        <is>
          <t>Direct</t>
        </is>
      </c>
      <c r="O388" t="inlineStr">
        <is>
          <t>57.15-0-2.5-ERW 1-FC-5.711</t>
        </is>
      </c>
    </row>
    <row r="389">
      <c r="A389" t="inlineStr">
        <is>
          <t>0000943209</t>
        </is>
      </c>
      <c r="B389" t="inlineStr">
        <is>
          <t>MEGH STEELS PRIVATE LIMITED - TVS A</t>
        </is>
      </c>
      <c r="C389" t="inlineStr">
        <is>
          <t>KG</t>
        </is>
      </c>
      <c r="D389" t="n">
        <v>77</v>
      </c>
      <c r="E389" t="n">
        <v>441.29</v>
      </c>
      <c r="F389" t="n">
        <v>3907863</v>
      </c>
      <c r="G389" t="inlineStr">
        <is>
          <t>0789</t>
        </is>
      </c>
      <c r="H389" t="inlineStr">
        <is>
          <t>TUB-O-N-AUT-AW-FC-57.15X2.500X5.7110</t>
        </is>
      </c>
      <c r="I389" t="n">
        <v>1430</v>
      </c>
      <c r="J389" t="n">
        <v>57.15</v>
      </c>
      <c r="K389" t="n">
        <v>0</v>
      </c>
      <c r="L389" t="n">
        <v>2.5</v>
      </c>
      <c r="M389" t="n">
        <v>5.711</v>
      </c>
      <c r="N389" t="inlineStr">
        <is>
          <t>Direct</t>
        </is>
      </c>
      <c r="O389" t="inlineStr">
        <is>
          <t>57.15-0-2.5-ERW 1-FC-5.711</t>
        </is>
      </c>
    </row>
    <row r="390">
      <c r="A390" t="inlineStr">
        <is>
          <t>0000943209</t>
        </is>
      </c>
      <c r="B390" t="inlineStr">
        <is>
          <t>MEGH STEELS PRIVATE LIMITED - TVS A</t>
        </is>
      </c>
      <c r="C390" t="inlineStr">
        <is>
          <t>KG</t>
        </is>
      </c>
      <c r="D390" t="n">
        <v>77</v>
      </c>
      <c r="E390" t="n">
        <v>441.29</v>
      </c>
      <c r="F390" t="n">
        <v>3907863</v>
      </c>
      <c r="G390" t="inlineStr">
        <is>
          <t>0789</t>
        </is>
      </c>
      <c r="H390" t="inlineStr">
        <is>
          <t>TUB-O-N-AUT-AW-FC-57.15X2.500X5.7110</t>
        </is>
      </c>
      <c r="I390" t="n">
        <v>1430</v>
      </c>
      <c r="J390" t="n">
        <v>57.15</v>
      </c>
      <c r="K390" t="n">
        <v>0</v>
      </c>
      <c r="L390" t="n">
        <v>2.5</v>
      </c>
      <c r="M390" t="n">
        <v>5.711</v>
      </c>
      <c r="N390" t="inlineStr">
        <is>
          <t>Direct</t>
        </is>
      </c>
      <c r="O390" t="inlineStr">
        <is>
          <t>57.15-0-2.5-ERW 1-FC-5.711</t>
        </is>
      </c>
    </row>
    <row r="391">
      <c r="A391" t="inlineStr">
        <is>
          <t>0000943211</t>
        </is>
      </c>
      <c r="B391" t="inlineStr">
        <is>
          <t>MEGH STEELS PRIVATE LIMITED - RE</t>
        </is>
      </c>
      <c r="C391" t="inlineStr">
        <is>
          <t>KG</t>
        </is>
      </c>
      <c r="D391" t="n">
        <v>61</v>
      </c>
      <c r="E391" t="n">
        <v>363.256</v>
      </c>
      <c r="F391" t="n">
        <v>1940684</v>
      </c>
      <c r="G391" t="inlineStr">
        <is>
          <t>0789</t>
        </is>
      </c>
      <c r="H391" t="inlineStr">
        <is>
          <t>TUB-O-O-AUT-AW-FC-31.75X2.300X6.0000</t>
        </is>
      </c>
      <c r="I391" t="n">
        <v>607</v>
      </c>
      <c r="J391" t="n">
        <v>31.75</v>
      </c>
      <c r="K391" t="n">
        <v>0</v>
      </c>
      <c r="L391" t="n">
        <v>2.3</v>
      </c>
      <c r="M391" t="n">
        <v>6</v>
      </c>
      <c r="N391" t="inlineStr">
        <is>
          <t>Direct</t>
        </is>
      </c>
      <c r="O391" t="inlineStr">
        <is>
          <t>31.75-0-2.3-ERW 1-FC-5.92</t>
        </is>
      </c>
    </row>
    <row r="392">
      <c r="A392" t="inlineStr">
        <is>
          <t>0000943211</t>
        </is>
      </c>
      <c r="B392" t="inlineStr">
        <is>
          <t>MEGH STEELS PRIVATE LIMITED - RE</t>
        </is>
      </c>
      <c r="C392" t="inlineStr">
        <is>
          <t>KG</t>
        </is>
      </c>
      <c r="D392" t="n">
        <v>156</v>
      </c>
      <c r="E392" t="n">
        <v>936.5650000000001</v>
      </c>
      <c r="F392" t="n">
        <v>1940684</v>
      </c>
      <c r="G392" t="inlineStr">
        <is>
          <t>0789</t>
        </is>
      </c>
      <c r="H392" t="inlineStr">
        <is>
          <t>TUB-O-O-AUT-AW-FC-31.75X2.300X6.0000</t>
        </is>
      </c>
      <c r="I392" t="n">
        <v>1565</v>
      </c>
      <c r="J392" t="n">
        <v>31.75</v>
      </c>
      <c r="K392" t="n">
        <v>0</v>
      </c>
      <c r="L392" t="n">
        <v>2.3</v>
      </c>
      <c r="M392" t="n">
        <v>6</v>
      </c>
      <c r="N392" t="inlineStr">
        <is>
          <t>Direct</t>
        </is>
      </c>
      <c r="O392" t="inlineStr">
        <is>
          <t>31.75-0-2.3-ERW 1-FC-5.92</t>
        </is>
      </c>
    </row>
    <row r="393">
      <c r="A393" t="inlineStr">
        <is>
          <t>0000943211</t>
        </is>
      </c>
      <c r="B393" t="inlineStr">
        <is>
          <t>MEGH STEELS PRIVATE LIMITED - RE</t>
        </is>
      </c>
      <c r="C393" t="inlineStr">
        <is>
          <t>KG</t>
        </is>
      </c>
      <c r="D393" t="n">
        <v>11</v>
      </c>
      <c r="E393" t="n">
        <v>65.82899999999999</v>
      </c>
      <c r="F393" t="n">
        <v>1940684</v>
      </c>
      <c r="G393" t="inlineStr">
        <is>
          <t>0789</t>
        </is>
      </c>
      <c r="H393" t="inlineStr">
        <is>
          <t>TUB-O-O-AUT-AW-FC-31.75X2.300X6.0000</t>
        </is>
      </c>
      <c r="I393" t="n">
        <v>110</v>
      </c>
      <c r="J393" t="n">
        <v>31.75</v>
      </c>
      <c r="K393" t="n">
        <v>0</v>
      </c>
      <c r="L393" t="n">
        <v>2.3</v>
      </c>
      <c r="M393" t="n">
        <v>6</v>
      </c>
      <c r="N393" t="inlineStr">
        <is>
          <t>Direct</t>
        </is>
      </c>
      <c r="O393" t="inlineStr">
        <is>
          <t>31.75-0-2.3-ERW 1-FC-5.92</t>
        </is>
      </c>
    </row>
    <row r="394">
      <c r="A394" t="inlineStr">
        <is>
          <t>0000943211</t>
        </is>
      </c>
      <c r="B394" t="inlineStr">
        <is>
          <t>MEGH STEELS PRIVATE LIMITED - RE</t>
        </is>
      </c>
      <c r="C394" t="inlineStr">
        <is>
          <t>KG</t>
        </is>
      </c>
      <c r="D394" t="n">
        <v>160</v>
      </c>
      <c r="E394" t="n">
        <v>957.51</v>
      </c>
      <c r="F394" t="n">
        <v>1940684</v>
      </c>
      <c r="G394" t="inlineStr">
        <is>
          <t>0789</t>
        </is>
      </c>
      <c r="H394" t="inlineStr">
        <is>
          <t>TUB-O-O-AUT-AW-FC-31.75X2.300X6.0000</t>
        </is>
      </c>
      <c r="I394" t="n">
        <v>1600</v>
      </c>
      <c r="J394" t="n">
        <v>31.75</v>
      </c>
      <c r="K394" t="n">
        <v>0</v>
      </c>
      <c r="L394" t="n">
        <v>2.3</v>
      </c>
      <c r="M394" t="n">
        <v>6</v>
      </c>
      <c r="N394" t="inlineStr">
        <is>
          <t>Direct</t>
        </is>
      </c>
      <c r="O394" t="inlineStr">
        <is>
          <t>31.75-0-2.3-ERW 1-FC-5.92</t>
        </is>
      </c>
    </row>
    <row r="395">
      <c r="A395" t="inlineStr">
        <is>
          <t>0000943211</t>
        </is>
      </c>
      <c r="B395" t="inlineStr">
        <is>
          <t>MEGH STEELS PRIVATE LIMITED - RE</t>
        </is>
      </c>
      <c r="C395" t="inlineStr">
        <is>
          <t>KG</t>
        </is>
      </c>
      <c r="D395" t="n">
        <v>75</v>
      </c>
      <c r="E395" t="n">
        <v>447.636</v>
      </c>
      <c r="F395" t="n">
        <v>1940684</v>
      </c>
      <c r="G395" t="inlineStr">
        <is>
          <t>0789</t>
        </is>
      </c>
      <c r="H395" t="inlineStr">
        <is>
          <t>TUB-O-O-AUT-AW-FC-31.75X2.300X6.0000</t>
        </is>
      </c>
      <c r="I395" t="n">
        <v>748</v>
      </c>
      <c r="J395" t="n">
        <v>31.75</v>
      </c>
      <c r="K395" t="n">
        <v>0</v>
      </c>
      <c r="L395" t="n">
        <v>2.3</v>
      </c>
      <c r="M395" t="n">
        <v>6</v>
      </c>
      <c r="N395" t="inlineStr">
        <is>
          <t>Direct</t>
        </is>
      </c>
      <c r="O395" t="inlineStr">
        <is>
          <t>31.75-0-2.3-ERW 1-FC-5.92</t>
        </is>
      </c>
    </row>
    <row r="396">
      <c r="A396" t="inlineStr">
        <is>
          <t>0000943209</t>
        </is>
      </c>
      <c r="B396" t="inlineStr">
        <is>
          <t>MEGH STEELS PRIVATE LIMITED - TVS A</t>
        </is>
      </c>
      <c r="C396" t="inlineStr">
        <is>
          <t>KG</t>
        </is>
      </c>
      <c r="D396" t="n">
        <v>416</v>
      </c>
      <c r="E396" t="n">
        <v>2630.471</v>
      </c>
      <c r="F396" t="n">
        <v>1940337</v>
      </c>
      <c r="G396" t="inlineStr">
        <is>
          <t>0789</t>
        </is>
      </c>
      <c r="H396" t="inlineStr">
        <is>
          <t>TUB-O-O-AUT-AW-PE-19.05X2.300X6.3200</t>
        </is>
      </c>
      <c r="I396" t="n">
        <v>2500</v>
      </c>
      <c r="J396" t="n">
        <v>19.05</v>
      </c>
      <c r="K396" t="n">
        <v>0</v>
      </c>
      <c r="L396" t="n">
        <v>2.3</v>
      </c>
      <c r="M396" t="n">
        <v>6.32</v>
      </c>
      <c r="N396" t="inlineStr">
        <is>
          <t>Direct</t>
        </is>
      </c>
    </row>
    <row r="397">
      <c r="A397" t="inlineStr">
        <is>
          <t>0000943209</t>
        </is>
      </c>
      <c r="B397" t="inlineStr">
        <is>
          <t>MEGH STEELS PRIVATE LIMITED - TVS A</t>
        </is>
      </c>
      <c r="C397" t="inlineStr">
        <is>
          <t>KG</t>
        </is>
      </c>
      <c r="D397" t="n">
        <v>509</v>
      </c>
      <c r="E397" t="n">
        <v>3219.697</v>
      </c>
      <c r="F397" t="n">
        <v>1940337</v>
      </c>
      <c r="G397" t="inlineStr">
        <is>
          <t>0789</t>
        </is>
      </c>
      <c r="H397" t="inlineStr">
        <is>
          <t>TUB-O-O-AUT-AW-PE-19.05X2.300X6.3200</t>
        </is>
      </c>
      <c r="I397" t="n">
        <v>3060</v>
      </c>
      <c r="J397" t="n">
        <v>19.05</v>
      </c>
      <c r="K397" t="n">
        <v>0</v>
      </c>
      <c r="L397" t="n">
        <v>2.3</v>
      </c>
      <c r="M397" t="n">
        <v>6.32</v>
      </c>
      <c r="N397" t="inlineStr">
        <is>
          <t>Direct</t>
        </is>
      </c>
    </row>
    <row r="398">
      <c r="A398" t="inlineStr">
        <is>
          <t>0000943209</t>
        </is>
      </c>
      <c r="B398" t="inlineStr">
        <is>
          <t>MEGH STEELS PRIVATE LIMITED - TVS A</t>
        </is>
      </c>
      <c r="C398" t="inlineStr">
        <is>
          <t>KG</t>
        </is>
      </c>
      <c r="D398" t="n">
        <v>520</v>
      </c>
      <c r="E398" t="n">
        <v>3288.089</v>
      </c>
      <c r="F398" t="n">
        <v>1940337</v>
      </c>
      <c r="G398" t="inlineStr">
        <is>
          <t>0789</t>
        </is>
      </c>
      <c r="H398" t="inlineStr">
        <is>
          <t>TUB-O-O-AUT-AW-PE-19.05X2.300X6.3200</t>
        </is>
      </c>
      <c r="I398" t="n">
        <v>3125</v>
      </c>
      <c r="J398" t="n">
        <v>19.05</v>
      </c>
      <c r="K398" t="n">
        <v>0</v>
      </c>
      <c r="L398" t="n">
        <v>2.3</v>
      </c>
      <c r="M398" t="n">
        <v>6.32</v>
      </c>
      <c r="N398" t="inlineStr">
        <is>
          <t>Direct</t>
        </is>
      </c>
    </row>
    <row r="399">
      <c r="A399" t="inlineStr">
        <is>
          <t>0000943209</t>
        </is>
      </c>
      <c r="B399" t="inlineStr">
        <is>
          <t>MEGH STEELS PRIVATE LIMITED - TVS A</t>
        </is>
      </c>
      <c r="C399" t="inlineStr">
        <is>
          <t>KG</t>
        </is>
      </c>
      <c r="D399" t="n">
        <v>167</v>
      </c>
      <c r="E399" t="n">
        <v>1057.449</v>
      </c>
      <c r="F399" t="n">
        <v>1940337</v>
      </c>
      <c r="G399" t="inlineStr">
        <is>
          <t>0789</t>
        </is>
      </c>
      <c r="H399" t="inlineStr">
        <is>
          <t>TUB-O-O-AUT-AW-PE-19.05X2.300X6.3200</t>
        </is>
      </c>
      <c r="I399" t="n">
        <v>1005</v>
      </c>
      <c r="J399" t="n">
        <v>19.05</v>
      </c>
      <c r="K399" t="n">
        <v>0</v>
      </c>
      <c r="L399" t="n">
        <v>2.3</v>
      </c>
      <c r="M399" t="n">
        <v>6.32</v>
      </c>
      <c r="N399" t="inlineStr">
        <is>
          <t>Direct</t>
        </is>
      </c>
    </row>
    <row r="400">
      <c r="A400" t="inlineStr">
        <is>
          <t>0000943209</t>
        </is>
      </c>
      <c r="B400" t="inlineStr">
        <is>
          <t>MEGH STEELS PRIVATE LIMITED - TVS A</t>
        </is>
      </c>
      <c r="C400" t="inlineStr">
        <is>
          <t>KG</t>
        </is>
      </c>
      <c r="D400" t="n">
        <v>460</v>
      </c>
      <c r="E400" t="n">
        <v>2909.301</v>
      </c>
      <c r="F400" t="n">
        <v>1940337</v>
      </c>
      <c r="G400" t="inlineStr">
        <is>
          <t>0789</t>
        </is>
      </c>
      <c r="H400" t="inlineStr">
        <is>
          <t>TUB-O-O-AUT-AW-PE-19.05X2.300X6.3200</t>
        </is>
      </c>
      <c r="I400" t="n">
        <v>2765</v>
      </c>
      <c r="J400" t="n">
        <v>19.05</v>
      </c>
      <c r="K400" t="n">
        <v>0</v>
      </c>
      <c r="L400" t="n">
        <v>2.3</v>
      </c>
      <c r="M400" t="n">
        <v>6.32</v>
      </c>
      <c r="N400" t="inlineStr">
        <is>
          <t>Direct</t>
        </is>
      </c>
    </row>
    <row r="401">
      <c r="A401" t="inlineStr">
        <is>
          <t>0000943209</t>
        </is>
      </c>
      <c r="B401" t="inlineStr">
        <is>
          <t>MEGH STEELS PRIVATE LIMITED - TVS A</t>
        </is>
      </c>
      <c r="C401" t="inlineStr">
        <is>
          <t>KG</t>
        </is>
      </c>
      <c r="D401" t="n">
        <v>387</v>
      </c>
      <c r="E401" t="n">
        <v>2446.338</v>
      </c>
      <c r="F401" t="n">
        <v>1940337</v>
      </c>
      <c r="G401" t="inlineStr">
        <is>
          <t>0789</t>
        </is>
      </c>
      <c r="H401" t="inlineStr">
        <is>
          <t>TUB-O-O-AUT-AW-PE-19.05X2.300X6.3200</t>
        </is>
      </c>
      <c r="I401" t="n">
        <v>2325</v>
      </c>
      <c r="J401" t="n">
        <v>19.05</v>
      </c>
      <c r="K401" t="n">
        <v>0</v>
      </c>
      <c r="L401" t="n">
        <v>2.3</v>
      </c>
      <c r="M401" t="n">
        <v>6.32</v>
      </c>
      <c r="N401" t="inlineStr">
        <is>
          <t>Direct</t>
        </is>
      </c>
    </row>
    <row r="402">
      <c r="A402" t="inlineStr">
        <is>
          <t>0000943209</t>
        </is>
      </c>
      <c r="B402" t="inlineStr">
        <is>
          <t>MEGH STEELS PRIVATE LIMITED - TVS A</t>
        </is>
      </c>
      <c r="C402" t="inlineStr">
        <is>
          <t>KG</t>
        </is>
      </c>
      <c r="D402" t="n">
        <v>293</v>
      </c>
      <c r="E402" t="n">
        <v>1851.852</v>
      </c>
      <c r="F402" t="n">
        <v>1940337</v>
      </c>
      <c r="G402" t="inlineStr">
        <is>
          <t>0789</t>
        </is>
      </c>
      <c r="H402" t="inlineStr">
        <is>
          <t>TUB-O-O-AUT-AW-PE-19.05X2.300X6.3200</t>
        </is>
      </c>
      <c r="I402" t="n">
        <v>1760</v>
      </c>
      <c r="J402" t="n">
        <v>19.05</v>
      </c>
      <c r="K402" t="n">
        <v>0</v>
      </c>
      <c r="L402" t="n">
        <v>2.3</v>
      </c>
      <c r="M402" t="n">
        <v>6.32</v>
      </c>
      <c r="N402" t="inlineStr">
        <is>
          <t>Direct</t>
        </is>
      </c>
    </row>
    <row r="403">
      <c r="A403" t="inlineStr">
        <is>
          <t>0000943209</t>
        </is>
      </c>
      <c r="B403" t="inlineStr">
        <is>
          <t>MEGH STEELS PRIVATE LIMITED - TVS A</t>
        </is>
      </c>
      <c r="C403" t="inlineStr">
        <is>
          <t>KG</t>
        </is>
      </c>
      <c r="D403" t="n">
        <v>146</v>
      </c>
      <c r="E403" t="n">
        <v>877.912</v>
      </c>
      <c r="F403" t="n">
        <v>3994149</v>
      </c>
      <c r="G403" t="inlineStr">
        <is>
          <t>0789</t>
        </is>
      </c>
      <c r="H403" t="inlineStr">
        <is>
          <t>TUB-O-N-AUT-AW-FC-41.28X2.600X6.0010</t>
        </is>
      </c>
      <c r="I403" t="n">
        <v>2099</v>
      </c>
      <c r="J403" t="n">
        <v>41.28</v>
      </c>
      <c r="K403" t="n">
        <v>0</v>
      </c>
      <c r="L403" t="n">
        <v>2.6</v>
      </c>
      <c r="M403" t="n">
        <v>6.001</v>
      </c>
      <c r="N403" t="inlineStr">
        <is>
          <t>Direct</t>
        </is>
      </c>
      <c r="O403" t="inlineStr">
        <is>
          <t>41.28-0-2.6-ERW 1-FC-6</t>
        </is>
      </c>
    </row>
    <row r="404">
      <c r="A404" t="inlineStr">
        <is>
          <t>0000943209</t>
        </is>
      </c>
      <c r="B404" t="inlineStr">
        <is>
          <t>MEGH STEELS PRIVATE LIMITED - TVS A</t>
        </is>
      </c>
      <c r="C404" t="inlineStr">
        <is>
          <t>KG</t>
        </is>
      </c>
      <c r="D404" t="n">
        <v>142</v>
      </c>
      <c r="E404" t="n">
        <v>849.471</v>
      </c>
      <c r="F404" t="n">
        <v>3994149</v>
      </c>
      <c r="G404" t="inlineStr">
        <is>
          <t>0789</t>
        </is>
      </c>
      <c r="H404" t="inlineStr">
        <is>
          <t>TUB-O-N-AUT-AW-FC-41.28X2.600X6.0010</t>
        </is>
      </c>
      <c r="I404" t="n">
        <v>2031</v>
      </c>
      <c r="J404" t="n">
        <v>41.28</v>
      </c>
      <c r="K404" t="n">
        <v>0</v>
      </c>
      <c r="L404" t="n">
        <v>2.6</v>
      </c>
      <c r="M404" t="n">
        <v>6.001</v>
      </c>
      <c r="N404" t="inlineStr">
        <is>
          <t>Direct</t>
        </is>
      </c>
      <c r="O404" t="inlineStr">
        <is>
          <t>41.28-0-2.6-ERW 1-FC-6</t>
        </is>
      </c>
    </row>
    <row r="405">
      <c r="A405" t="inlineStr">
        <is>
          <t>0000943209</t>
        </is>
      </c>
      <c r="B405" t="inlineStr">
        <is>
          <t>MEGH STEELS PRIVATE LIMITED - TVS A</t>
        </is>
      </c>
      <c r="C405" t="inlineStr">
        <is>
          <t>NOS</t>
        </is>
      </c>
      <c r="D405" t="n">
        <v>1164</v>
      </c>
      <c r="E405" t="n">
        <v>3015.621</v>
      </c>
      <c r="F405" t="n">
        <v>2409618</v>
      </c>
      <c r="G405" t="inlineStr">
        <is>
          <t>0789</t>
        </is>
      </c>
      <c r="H405" t="inlineStr">
        <is>
          <t>TUB-O-N-AUT-AW-PE-25.40X1.600X2.5900</t>
        </is>
      </c>
      <c r="I405" t="n">
        <v>2833.176</v>
      </c>
      <c r="J405" t="n">
        <v>25.4</v>
      </c>
      <c r="K405" t="n">
        <v>0</v>
      </c>
      <c r="L405" t="n">
        <v>1.6</v>
      </c>
      <c r="M405" t="n">
        <v>2.59</v>
      </c>
      <c r="N405" t="inlineStr">
        <is>
          <t>Direct</t>
        </is>
      </c>
    </row>
    <row r="406">
      <c r="A406" t="inlineStr">
        <is>
          <t>0000943209</t>
        </is>
      </c>
      <c r="B406" t="inlineStr">
        <is>
          <t>MEGH STEELS PRIVATE LIMITED - TVS A</t>
        </is>
      </c>
      <c r="C406" t="inlineStr">
        <is>
          <t>NOS</t>
        </is>
      </c>
      <c r="D406" t="n">
        <v>57</v>
      </c>
      <c r="E406" t="n">
        <v>147.672</v>
      </c>
      <c r="F406" t="n">
        <v>2409618</v>
      </c>
      <c r="G406" t="inlineStr">
        <is>
          <t>0789</t>
        </is>
      </c>
      <c r="H406" t="inlineStr">
        <is>
          <t>TUB-O-N-AUT-AW-PE-25.40X1.600X2.5900</t>
        </is>
      </c>
      <c r="I406" t="n">
        <v>138.738</v>
      </c>
      <c r="J406" t="n">
        <v>25.4</v>
      </c>
      <c r="K406" t="n">
        <v>0</v>
      </c>
      <c r="L406" t="n">
        <v>1.6</v>
      </c>
      <c r="M406" t="n">
        <v>2.59</v>
      </c>
      <c r="N406" t="inlineStr">
        <is>
          <t>Direct</t>
        </is>
      </c>
    </row>
    <row r="407">
      <c r="A407" t="inlineStr">
        <is>
          <t>0000943209</t>
        </is>
      </c>
      <c r="B407" t="inlineStr">
        <is>
          <t>MEGH STEELS PRIVATE LIMITED - TVS A</t>
        </is>
      </c>
      <c r="C407" t="inlineStr">
        <is>
          <t>NOS</t>
        </is>
      </c>
      <c r="D407" t="n">
        <v>1209</v>
      </c>
      <c r="E407" t="n">
        <v>3132.204</v>
      </c>
      <c r="F407" t="n">
        <v>2409618</v>
      </c>
      <c r="G407" t="inlineStr">
        <is>
          <t>0789</t>
        </is>
      </c>
      <c r="H407" t="inlineStr">
        <is>
          <t>TUB-O-N-AUT-AW-PE-25.40X1.600X2.5900</t>
        </is>
      </c>
      <c r="I407" t="n">
        <v>2942.706</v>
      </c>
      <c r="J407" t="n">
        <v>25.4</v>
      </c>
      <c r="K407" t="n">
        <v>0</v>
      </c>
      <c r="L407" t="n">
        <v>1.6</v>
      </c>
      <c r="M407" t="n">
        <v>2.59</v>
      </c>
      <c r="N407" t="inlineStr">
        <is>
          <t>Direct</t>
        </is>
      </c>
    </row>
    <row r="408">
      <c r="A408" t="inlineStr">
        <is>
          <t>0000943209</t>
        </is>
      </c>
      <c r="B408" t="inlineStr">
        <is>
          <t>MEGH STEELS PRIVATE LIMITED - TVS A</t>
        </is>
      </c>
      <c r="C408" t="inlineStr">
        <is>
          <t>NOS</t>
        </is>
      </c>
      <c r="D408" t="n">
        <v>70</v>
      </c>
      <c r="E408" t="n">
        <v>181.352</v>
      </c>
      <c r="F408" t="n">
        <v>2409618</v>
      </c>
      <c r="G408" t="inlineStr">
        <is>
          <t>0789</t>
        </is>
      </c>
      <c r="H408" t="inlineStr">
        <is>
          <t>TUB-O-N-AUT-AW-PE-25.40X1.600X2.5900</t>
        </is>
      </c>
      <c r="I408" t="n">
        <v>170.38</v>
      </c>
      <c r="J408" t="n">
        <v>25.4</v>
      </c>
      <c r="K408" t="n">
        <v>0</v>
      </c>
      <c r="L408" t="n">
        <v>1.6</v>
      </c>
      <c r="M408" t="n">
        <v>2.59</v>
      </c>
      <c r="N408" t="inlineStr">
        <is>
          <t>Direct</t>
        </is>
      </c>
    </row>
    <row r="409">
      <c r="A409" t="inlineStr">
        <is>
          <t>0000943209</t>
        </is>
      </c>
      <c r="B409" t="inlineStr">
        <is>
          <t>MEGH STEELS PRIVATE LIMITED - TVS A</t>
        </is>
      </c>
      <c r="C409" t="inlineStr">
        <is>
          <t>NOS</t>
        </is>
      </c>
      <c r="D409" t="n">
        <v>3538</v>
      </c>
      <c r="E409" t="n">
        <v>1167.569</v>
      </c>
      <c r="F409" t="n">
        <v>3239890</v>
      </c>
      <c r="G409" t="inlineStr">
        <is>
          <t>0789</t>
        </is>
      </c>
      <c r="H409" t="inlineStr">
        <is>
          <t>TUB-O-N-AUT-AW-PE-19.05X1.200X0.3300</t>
        </is>
      </c>
      <c r="I409" t="n">
        <v>593.008</v>
      </c>
      <c r="J409" t="n">
        <v>19.05</v>
      </c>
      <c r="K409" t="n">
        <v>0</v>
      </c>
      <c r="L409" t="n">
        <v>1.2</v>
      </c>
      <c r="M409" t="n">
        <v>0.33</v>
      </c>
      <c r="N409" t="inlineStr">
        <is>
          <t>Direct</t>
        </is>
      </c>
    </row>
    <row r="410">
      <c r="A410" t="inlineStr">
        <is>
          <t>0000943209</t>
        </is>
      </c>
      <c r="B410" t="inlineStr">
        <is>
          <t>MEGH STEELS PRIVATE LIMITED - TVS A</t>
        </is>
      </c>
      <c r="C410" t="inlineStr">
        <is>
          <t>NOS</t>
        </is>
      </c>
      <c r="D410" t="n">
        <v>2911</v>
      </c>
      <c r="E410" t="n">
        <v>960.654</v>
      </c>
      <c r="F410" t="n">
        <v>3239890</v>
      </c>
      <c r="G410" t="inlineStr">
        <is>
          <t>0789</t>
        </is>
      </c>
      <c r="H410" t="inlineStr">
        <is>
          <t>TUB-O-N-AUT-AW-PE-19.05X1.200X0.3300</t>
        </is>
      </c>
      <c r="I410" t="n">
        <v>487.916</v>
      </c>
      <c r="J410" t="n">
        <v>19.05</v>
      </c>
      <c r="K410" t="n">
        <v>0</v>
      </c>
      <c r="L410" t="n">
        <v>1.2</v>
      </c>
      <c r="M410" t="n">
        <v>0.33</v>
      </c>
      <c r="N410" t="inlineStr">
        <is>
          <t>Direct</t>
        </is>
      </c>
    </row>
    <row r="411">
      <c r="A411" t="inlineStr">
        <is>
          <t>0000943209</t>
        </is>
      </c>
      <c r="B411" t="inlineStr">
        <is>
          <t>MEGH STEELS PRIVATE LIMITED - TVS A</t>
        </is>
      </c>
      <c r="C411" t="inlineStr">
        <is>
          <t>NOS</t>
        </is>
      </c>
      <c r="D411" t="n">
        <v>1199</v>
      </c>
      <c r="E411" t="n">
        <v>395.68</v>
      </c>
      <c r="F411" t="n">
        <v>3239890</v>
      </c>
      <c r="G411" t="inlineStr">
        <is>
          <t>0789</t>
        </is>
      </c>
      <c r="H411" t="inlineStr">
        <is>
          <t>TUB-O-N-AUT-AW-PE-19.05X1.200X0.3300</t>
        </is>
      </c>
      <c r="I411" t="n">
        <v>200.966</v>
      </c>
      <c r="J411" t="n">
        <v>19.05</v>
      </c>
      <c r="K411" t="n">
        <v>0</v>
      </c>
      <c r="L411" t="n">
        <v>1.2</v>
      </c>
      <c r="M411" t="n">
        <v>0.33</v>
      </c>
      <c r="N411" t="inlineStr">
        <is>
          <t>Direct</t>
        </is>
      </c>
    </row>
    <row r="412">
      <c r="A412" t="inlineStr">
        <is>
          <t>0000943209</t>
        </is>
      </c>
      <c r="B412" t="inlineStr">
        <is>
          <t>MEGH STEELS PRIVATE LIMITED - TVS A</t>
        </is>
      </c>
      <c r="C412" t="inlineStr">
        <is>
          <t>NOS</t>
        </is>
      </c>
      <c r="D412" t="n">
        <v>52</v>
      </c>
      <c r="E412" t="n">
        <v>17.16</v>
      </c>
      <c r="F412" t="n">
        <v>3239890</v>
      </c>
      <c r="G412" t="inlineStr">
        <is>
          <t>0789</t>
        </is>
      </c>
      <c r="H412" t="inlineStr">
        <is>
          <t>TUB-O-N-AUT-AW-PE-19.05X1.200X0.3300</t>
        </is>
      </c>
      <c r="I412" t="n">
        <v>8.715999999999999</v>
      </c>
      <c r="J412" t="n">
        <v>19.05</v>
      </c>
      <c r="K412" t="n">
        <v>0</v>
      </c>
      <c r="L412" t="n">
        <v>1.2</v>
      </c>
      <c r="M412" t="n">
        <v>0.33</v>
      </c>
      <c r="N412" t="inlineStr">
        <is>
          <t>Direct</t>
        </is>
      </c>
    </row>
    <row r="413">
      <c r="A413" t="inlineStr">
        <is>
          <t>0000943209</t>
        </is>
      </c>
      <c r="B413" t="inlineStr">
        <is>
          <t>MEGH STEELS PRIVATE LIMITED - TVS A</t>
        </is>
      </c>
      <c r="C413" t="inlineStr">
        <is>
          <t>NOS</t>
        </is>
      </c>
      <c r="D413" t="n">
        <v>2600</v>
      </c>
      <c r="E413" t="n">
        <v>1338.127</v>
      </c>
      <c r="F413" t="n">
        <v>2409616</v>
      </c>
      <c r="G413" t="inlineStr">
        <is>
          <t>0789</t>
        </is>
      </c>
      <c r="H413" t="inlineStr">
        <is>
          <t>TUB-O-N-AUT-AW-PE-19.05X1.200X0.5130</t>
        </is>
      </c>
      <c r="I413" t="n">
        <v>707.2</v>
      </c>
      <c r="J413" t="n">
        <v>19.05</v>
      </c>
      <c r="K413" t="n">
        <v>0</v>
      </c>
      <c r="L413" t="n">
        <v>1.2</v>
      </c>
      <c r="M413" t="n">
        <v>0.513</v>
      </c>
      <c r="N413" t="inlineStr">
        <is>
          <t>Direct</t>
        </is>
      </c>
    </row>
    <row r="414">
      <c r="A414" t="inlineStr">
        <is>
          <t>0000943209</t>
        </is>
      </c>
      <c r="B414" t="inlineStr">
        <is>
          <t>MEGH STEELS PRIVATE LIMITED - TVS A</t>
        </is>
      </c>
      <c r="C414" t="inlineStr">
        <is>
          <t>NOS</t>
        </is>
      </c>
      <c r="D414" t="n">
        <v>1190</v>
      </c>
      <c r="E414" t="n">
        <v>1429.71</v>
      </c>
      <c r="F414" t="n">
        <v>3635694</v>
      </c>
      <c r="G414" t="inlineStr">
        <is>
          <t>0789</t>
        </is>
      </c>
      <c r="H414" t="inlineStr">
        <is>
          <t>TUB-O-N-AUT-AW-PE-19.05X1.000X1.2000</t>
        </is>
      </c>
      <c r="I414" t="n">
        <v>636.65</v>
      </c>
      <c r="J414" t="n">
        <v>19.05</v>
      </c>
      <c r="K414" t="n">
        <v>0</v>
      </c>
      <c r="L414" t="n">
        <v>1</v>
      </c>
      <c r="M414" t="n">
        <v>1.2</v>
      </c>
      <c r="N414" t="inlineStr">
        <is>
          <t>Direct</t>
        </is>
      </c>
    </row>
    <row r="415">
      <c r="A415" t="inlineStr">
        <is>
          <t>0000943209</t>
        </is>
      </c>
      <c r="B415" t="inlineStr">
        <is>
          <t>MEGH STEELS PRIVATE LIMITED - TVS A</t>
        </is>
      </c>
      <c r="C415" t="inlineStr">
        <is>
          <t>NOS</t>
        </is>
      </c>
      <c r="D415" t="n">
        <v>1117</v>
      </c>
      <c r="E415" t="n">
        <v>1342.005</v>
      </c>
      <c r="F415" t="n">
        <v>3635694</v>
      </c>
      <c r="G415" t="inlineStr">
        <is>
          <t>0789</t>
        </is>
      </c>
      <c r="H415" t="inlineStr">
        <is>
          <t>TUB-O-N-AUT-AW-PE-19.05X1.000X1.2000</t>
        </is>
      </c>
      <c r="I415" t="n">
        <v>597.595</v>
      </c>
      <c r="J415" t="n">
        <v>19.05</v>
      </c>
      <c r="K415" t="n">
        <v>0</v>
      </c>
      <c r="L415" t="n">
        <v>1</v>
      </c>
      <c r="M415" t="n">
        <v>1.2</v>
      </c>
      <c r="N415" t="inlineStr">
        <is>
          <t>Direct</t>
        </is>
      </c>
    </row>
    <row r="416">
      <c r="A416" t="inlineStr">
        <is>
          <t>0000943209</t>
        </is>
      </c>
      <c r="B416" t="inlineStr">
        <is>
          <t>MEGH STEELS PRIVATE LIMITED - TVS A</t>
        </is>
      </c>
      <c r="C416" t="inlineStr">
        <is>
          <t>NOS</t>
        </is>
      </c>
      <c r="D416" t="n">
        <v>174</v>
      </c>
      <c r="E416" t="n">
        <v>209.05</v>
      </c>
      <c r="F416" t="n">
        <v>3635694</v>
      </c>
      <c r="G416" t="inlineStr">
        <is>
          <t>0789</t>
        </is>
      </c>
      <c r="H416" t="inlineStr">
        <is>
          <t>TUB-O-N-AUT-AW-PE-19.05X1.000X1.2000</t>
        </is>
      </c>
      <c r="I416" t="n">
        <v>93.09</v>
      </c>
      <c r="J416" t="n">
        <v>19.05</v>
      </c>
      <c r="K416" t="n">
        <v>0</v>
      </c>
      <c r="L416" t="n">
        <v>1</v>
      </c>
      <c r="M416" t="n">
        <v>1.2</v>
      </c>
      <c r="N416" t="inlineStr">
        <is>
          <t>Direct</t>
        </is>
      </c>
    </row>
    <row r="417">
      <c r="A417" t="inlineStr">
        <is>
          <t>0000943209</t>
        </is>
      </c>
      <c r="B417" t="inlineStr">
        <is>
          <t>MEGH STEELS PRIVATE LIMITED - TVS A</t>
        </is>
      </c>
      <c r="C417" t="inlineStr">
        <is>
          <t>NOS</t>
        </is>
      </c>
      <c r="D417" t="n">
        <v>3910</v>
      </c>
      <c r="E417" t="n">
        <v>4697.62</v>
      </c>
      <c r="F417" t="n">
        <v>3635694</v>
      </c>
      <c r="G417" t="inlineStr">
        <is>
          <t>0789</t>
        </is>
      </c>
      <c r="H417" t="inlineStr">
        <is>
          <t>TUB-O-N-AUT-AW-PE-19.05X1.000X1.2000</t>
        </is>
      </c>
      <c r="I417" t="n">
        <v>2091.85</v>
      </c>
      <c r="J417" t="n">
        <v>19.05</v>
      </c>
      <c r="K417" t="n">
        <v>0</v>
      </c>
      <c r="L417" t="n">
        <v>1</v>
      </c>
      <c r="M417" t="n">
        <v>1.2</v>
      </c>
      <c r="N417" t="inlineStr">
        <is>
          <t>Direct</t>
        </is>
      </c>
    </row>
    <row r="418">
      <c r="A418" t="inlineStr">
        <is>
          <t>0000943209</t>
        </is>
      </c>
      <c r="B418" t="inlineStr">
        <is>
          <t>MEGH STEELS PRIVATE LIMITED - TVS A</t>
        </is>
      </c>
      <c r="C418" t="inlineStr">
        <is>
          <t>NOS</t>
        </is>
      </c>
      <c r="D418" t="n">
        <v>499</v>
      </c>
      <c r="E418" t="n">
        <v>599.5170000000001</v>
      </c>
      <c r="F418" t="n">
        <v>3635694</v>
      </c>
      <c r="G418" t="inlineStr">
        <is>
          <t>0789</t>
        </is>
      </c>
      <c r="H418" t="inlineStr">
        <is>
          <t>TUB-O-N-AUT-AW-PE-19.05X1.000X1.2000</t>
        </is>
      </c>
      <c r="I418" t="n">
        <v>266.965</v>
      </c>
      <c r="J418" t="n">
        <v>19.05</v>
      </c>
      <c r="K418" t="n">
        <v>0</v>
      </c>
      <c r="L418" t="n">
        <v>1</v>
      </c>
      <c r="M418" t="n">
        <v>1.2</v>
      </c>
      <c r="N418" t="inlineStr">
        <is>
          <t>Direct</t>
        </is>
      </c>
    </row>
    <row r="419">
      <c r="A419" t="inlineStr">
        <is>
          <t>0000943209</t>
        </is>
      </c>
      <c r="B419" t="inlineStr">
        <is>
          <t>MEGH STEELS PRIVATE LIMITED - TVS A</t>
        </is>
      </c>
      <c r="C419" t="inlineStr">
        <is>
          <t>NOS</t>
        </is>
      </c>
      <c r="D419" t="n">
        <v>60</v>
      </c>
      <c r="E419" t="n">
        <v>72.086</v>
      </c>
      <c r="F419" t="n">
        <v>3635694</v>
      </c>
      <c r="G419" t="inlineStr">
        <is>
          <t>0789</t>
        </is>
      </c>
      <c r="H419" t="inlineStr">
        <is>
          <t>TUB-O-N-AUT-AW-PE-19.05X1.000X1.2000</t>
        </is>
      </c>
      <c r="I419" t="n">
        <v>32.1</v>
      </c>
      <c r="J419" t="n">
        <v>19.05</v>
      </c>
      <c r="K419" t="n">
        <v>0</v>
      </c>
      <c r="L419" t="n">
        <v>1</v>
      </c>
      <c r="M419" t="n">
        <v>1.2</v>
      </c>
      <c r="N419" t="inlineStr">
        <is>
          <t>Direct</t>
        </is>
      </c>
    </row>
    <row r="420">
      <c r="A420" t="inlineStr">
        <is>
          <t>0000943209</t>
        </is>
      </c>
      <c r="B420" t="inlineStr">
        <is>
          <t>MEGH STEELS PRIVATE LIMITED - TVS A</t>
        </is>
      </c>
      <c r="C420" t="inlineStr">
        <is>
          <t>KG</t>
        </is>
      </c>
      <c r="D420" t="n">
        <v>5</v>
      </c>
      <c r="E420" t="n">
        <v>28.649</v>
      </c>
      <c r="F420" t="n">
        <v>3502256</v>
      </c>
      <c r="G420" t="inlineStr">
        <is>
          <t>0789</t>
        </is>
      </c>
      <c r="H420" t="inlineStr">
        <is>
          <t>TUB-O-N-AUT-AW-PE-25.40X2.500X5.5300</t>
        </is>
      </c>
      <c r="I420" t="n">
        <v>39</v>
      </c>
      <c r="J420" t="n">
        <v>25.4</v>
      </c>
      <c r="K420" t="n">
        <v>0</v>
      </c>
      <c r="L420" t="n">
        <v>2.5</v>
      </c>
      <c r="M420" t="n">
        <v>5.53</v>
      </c>
      <c r="N420" t="inlineStr">
        <is>
          <t>Direct</t>
        </is>
      </c>
      <c r="O420" t="inlineStr">
        <is>
          <t>25.4-0-2.5-ERW 1-PE-5.53</t>
        </is>
      </c>
    </row>
    <row r="421">
      <c r="A421" t="inlineStr">
        <is>
          <t>0000943209</t>
        </is>
      </c>
      <c r="B421" t="inlineStr">
        <is>
          <t>MEGH STEELS PRIVATE LIMITED - TVS A</t>
        </is>
      </c>
      <c r="C421" t="inlineStr">
        <is>
          <t>KG</t>
        </is>
      </c>
      <c r="D421" t="n">
        <v>360</v>
      </c>
      <c r="E421" t="n">
        <v>1990.744</v>
      </c>
      <c r="F421" t="n">
        <v>3502256</v>
      </c>
      <c r="G421" t="inlineStr">
        <is>
          <t>0789</t>
        </is>
      </c>
      <c r="H421" t="inlineStr">
        <is>
          <t>TUB-O-N-AUT-AW-PE-25.40X2.500X5.5300</t>
        </is>
      </c>
      <c r="I421" t="n">
        <v>2710</v>
      </c>
      <c r="J421" t="n">
        <v>25.4</v>
      </c>
      <c r="K421" t="n">
        <v>0</v>
      </c>
      <c r="L421" t="n">
        <v>2.5</v>
      </c>
      <c r="M421" t="n">
        <v>5.53</v>
      </c>
      <c r="N421" t="inlineStr">
        <is>
          <t>Direct</t>
        </is>
      </c>
      <c r="O421" t="inlineStr">
        <is>
          <t>25.4-0-2.5-ERW 1-PE-5.53</t>
        </is>
      </c>
    </row>
    <row r="422">
      <c r="A422" t="inlineStr">
        <is>
          <t>0000943209</t>
        </is>
      </c>
      <c r="B422" t="inlineStr">
        <is>
          <t>MEGH STEELS PRIVATE LIMITED - TVS A</t>
        </is>
      </c>
      <c r="C422" t="inlineStr">
        <is>
          <t>KG</t>
        </is>
      </c>
      <c r="D422" t="n">
        <v>398</v>
      </c>
      <c r="E422" t="n">
        <v>2200.837</v>
      </c>
      <c r="F422" t="n">
        <v>3502256</v>
      </c>
      <c r="G422" t="inlineStr">
        <is>
          <t>0789</t>
        </is>
      </c>
      <c r="H422" t="inlineStr">
        <is>
          <t>TUB-O-N-AUT-AW-PE-25.40X2.500X5.5300</t>
        </is>
      </c>
      <c r="I422" t="n">
        <v>2996</v>
      </c>
      <c r="J422" t="n">
        <v>25.4</v>
      </c>
      <c r="K422" t="n">
        <v>0</v>
      </c>
      <c r="L422" t="n">
        <v>2.5</v>
      </c>
      <c r="M422" t="n">
        <v>5.53</v>
      </c>
      <c r="N422" t="inlineStr">
        <is>
          <t>Direct</t>
        </is>
      </c>
      <c r="O422" t="inlineStr">
        <is>
          <t>25.4-0-2.5-ERW 1-PE-5.53</t>
        </is>
      </c>
    </row>
    <row r="423">
      <c r="A423" t="inlineStr">
        <is>
          <t>0000943209</t>
        </is>
      </c>
      <c r="B423" t="inlineStr">
        <is>
          <t>MEGH STEELS PRIVATE LIMITED - TVS A</t>
        </is>
      </c>
      <c r="C423" t="inlineStr">
        <is>
          <t>KG</t>
        </is>
      </c>
      <c r="D423" t="n">
        <v>416</v>
      </c>
      <c r="E423" t="n">
        <v>2302.211</v>
      </c>
      <c r="F423" t="n">
        <v>3502256</v>
      </c>
      <c r="G423" t="inlineStr">
        <is>
          <t>0789</t>
        </is>
      </c>
      <c r="H423" t="inlineStr">
        <is>
          <t>TUB-O-N-AUT-AW-PE-25.40X2.500X5.5300</t>
        </is>
      </c>
      <c r="I423" t="n">
        <v>3134</v>
      </c>
      <c r="J423" t="n">
        <v>25.4</v>
      </c>
      <c r="K423" t="n">
        <v>0</v>
      </c>
      <c r="L423" t="n">
        <v>2.5</v>
      </c>
      <c r="M423" t="n">
        <v>5.53</v>
      </c>
      <c r="N423" t="inlineStr">
        <is>
          <t>Direct</t>
        </is>
      </c>
      <c r="O423" t="inlineStr">
        <is>
          <t>25.4-0-2.5-ERW 1-PE-5.53</t>
        </is>
      </c>
    </row>
    <row r="424">
      <c r="A424" t="inlineStr">
        <is>
          <t>0000943209</t>
        </is>
      </c>
      <c r="B424" t="inlineStr">
        <is>
          <t>MEGH STEELS PRIVATE LIMITED - TVS A</t>
        </is>
      </c>
      <c r="C424" t="inlineStr">
        <is>
          <t>KG</t>
        </is>
      </c>
      <c r="D424" t="n">
        <v>357</v>
      </c>
      <c r="E424" t="n">
        <v>1976.787</v>
      </c>
      <c r="F424" t="n">
        <v>3502256</v>
      </c>
      <c r="G424" t="inlineStr">
        <is>
          <t>0789</t>
        </is>
      </c>
      <c r="H424" t="inlineStr">
        <is>
          <t>TUB-O-N-AUT-AW-PE-25.40X2.500X5.5300</t>
        </is>
      </c>
      <c r="I424" t="n">
        <v>2691</v>
      </c>
      <c r="J424" t="n">
        <v>25.4</v>
      </c>
      <c r="K424" t="n">
        <v>0</v>
      </c>
      <c r="L424" t="n">
        <v>2.5</v>
      </c>
      <c r="M424" t="n">
        <v>5.53</v>
      </c>
      <c r="N424" t="inlineStr">
        <is>
          <t>Direct</t>
        </is>
      </c>
      <c r="O424" t="inlineStr">
        <is>
          <t>25.4-0-2.5-ERW 1-PE-5.53</t>
        </is>
      </c>
    </row>
    <row r="425">
      <c r="A425" t="inlineStr">
        <is>
          <t>0000943209</t>
        </is>
      </c>
      <c r="B425" t="inlineStr">
        <is>
          <t>MEGH STEELS PRIVATE LIMITED - TVS A</t>
        </is>
      </c>
      <c r="C425" t="inlineStr">
        <is>
          <t>KG</t>
        </is>
      </c>
      <c r="D425" t="n">
        <v>386</v>
      </c>
      <c r="E425" t="n">
        <v>2134.724</v>
      </c>
      <c r="F425" t="n">
        <v>3502256</v>
      </c>
      <c r="G425" t="inlineStr">
        <is>
          <t>0789</t>
        </is>
      </c>
      <c r="H425" t="inlineStr">
        <is>
          <t>TUB-O-N-AUT-AW-PE-25.40X2.500X5.5300</t>
        </is>
      </c>
      <c r="I425" t="n">
        <v>2906</v>
      </c>
      <c r="J425" t="n">
        <v>25.4</v>
      </c>
      <c r="K425" t="n">
        <v>0</v>
      </c>
      <c r="L425" t="n">
        <v>2.5</v>
      </c>
      <c r="M425" t="n">
        <v>5.53</v>
      </c>
      <c r="N425" t="inlineStr">
        <is>
          <t>Direct</t>
        </is>
      </c>
      <c r="O425" t="inlineStr">
        <is>
          <t>25.4-0-2.5-ERW 1-PE-5.53</t>
        </is>
      </c>
    </row>
    <row r="426">
      <c r="A426" t="inlineStr">
        <is>
          <t>0000943209</t>
        </is>
      </c>
      <c r="B426" t="inlineStr">
        <is>
          <t>MEGH STEELS PRIVATE LIMITED - TVS A</t>
        </is>
      </c>
      <c r="C426" t="inlineStr">
        <is>
          <t>KG</t>
        </is>
      </c>
      <c r="D426" t="n">
        <v>164</v>
      </c>
      <c r="E426" t="n">
        <v>906.486</v>
      </c>
      <c r="F426" t="n">
        <v>3502256</v>
      </c>
      <c r="G426" t="inlineStr">
        <is>
          <t>0789</t>
        </is>
      </c>
      <c r="H426" t="inlineStr">
        <is>
          <t>TUB-O-N-AUT-AW-PE-25.40X2.500X5.5300</t>
        </is>
      </c>
      <c r="I426" t="n">
        <v>1234</v>
      </c>
      <c r="J426" t="n">
        <v>25.4</v>
      </c>
      <c r="K426" t="n">
        <v>0</v>
      </c>
      <c r="L426" t="n">
        <v>2.5</v>
      </c>
      <c r="M426" t="n">
        <v>5.53</v>
      </c>
      <c r="N426" t="inlineStr">
        <is>
          <t>Direct</t>
        </is>
      </c>
      <c r="O426" t="inlineStr">
        <is>
          <t>25.4-0-2.5-ERW 1-PE-5.53</t>
        </is>
      </c>
    </row>
    <row r="427">
      <c r="A427" t="inlineStr">
        <is>
          <t>0000943209</t>
        </is>
      </c>
      <c r="B427" t="inlineStr">
        <is>
          <t>MEGH STEELS PRIVATE LIMITED - TVS A</t>
        </is>
      </c>
      <c r="C427" t="inlineStr">
        <is>
          <t>KG</t>
        </is>
      </c>
      <c r="D427" t="n">
        <v>415</v>
      </c>
      <c r="E427" t="n">
        <v>2294.865</v>
      </c>
      <c r="F427" t="n">
        <v>3502256</v>
      </c>
      <c r="G427" t="inlineStr">
        <is>
          <t>0789</t>
        </is>
      </c>
      <c r="H427" t="inlineStr">
        <is>
          <t>TUB-O-N-AUT-AW-PE-25.40X2.500X5.5300</t>
        </is>
      </c>
      <c r="I427" t="n">
        <v>3124</v>
      </c>
      <c r="J427" t="n">
        <v>25.4</v>
      </c>
      <c r="K427" t="n">
        <v>0</v>
      </c>
      <c r="L427" t="n">
        <v>2.5</v>
      </c>
      <c r="M427" t="n">
        <v>5.53</v>
      </c>
      <c r="N427" t="inlineStr">
        <is>
          <t>Direct</t>
        </is>
      </c>
      <c r="O427" t="inlineStr">
        <is>
          <t>25.4-0-2.5-ERW 1-PE-5.53</t>
        </is>
      </c>
    </row>
    <row r="428">
      <c r="A428" t="inlineStr">
        <is>
          <t>0000943209</t>
        </is>
      </c>
      <c r="B428" t="inlineStr">
        <is>
          <t>MEGH STEELS PRIVATE LIMITED - TVS A</t>
        </is>
      </c>
      <c r="C428" t="inlineStr">
        <is>
          <t>KG</t>
        </is>
      </c>
      <c r="D428" t="n">
        <v>320</v>
      </c>
      <c r="E428" t="n">
        <v>1767.428</v>
      </c>
      <c r="F428" t="n">
        <v>3502256</v>
      </c>
      <c r="G428" t="inlineStr">
        <is>
          <t>0789</t>
        </is>
      </c>
      <c r="H428" t="inlineStr">
        <is>
          <t>TUB-O-N-AUT-AW-PE-25.40X2.500X5.5300</t>
        </is>
      </c>
      <c r="I428" t="n">
        <v>2406</v>
      </c>
      <c r="J428" t="n">
        <v>25.4</v>
      </c>
      <c r="K428" t="n">
        <v>0</v>
      </c>
      <c r="L428" t="n">
        <v>2.5</v>
      </c>
      <c r="M428" t="n">
        <v>5.53</v>
      </c>
      <c r="N428" t="inlineStr">
        <is>
          <t>Direct</t>
        </is>
      </c>
      <c r="O428" t="inlineStr">
        <is>
          <t>25.4-0-2.5-ERW 1-PE-5.53</t>
        </is>
      </c>
    </row>
    <row r="429">
      <c r="A429" t="inlineStr">
        <is>
          <t>0000943209</t>
        </is>
      </c>
      <c r="B429" t="inlineStr">
        <is>
          <t>MEGH STEELS PRIVATE LIMITED - TVS A</t>
        </is>
      </c>
      <c r="C429" t="inlineStr">
        <is>
          <t>KG</t>
        </is>
      </c>
      <c r="D429" t="n">
        <v>339</v>
      </c>
      <c r="E429" t="n">
        <v>1876.148</v>
      </c>
      <c r="F429" t="n">
        <v>3502256</v>
      </c>
      <c r="G429" t="inlineStr">
        <is>
          <t>0789</t>
        </is>
      </c>
      <c r="H429" t="inlineStr">
        <is>
          <t>TUB-O-N-AUT-AW-PE-25.40X2.500X5.5300</t>
        </is>
      </c>
      <c r="I429" t="n">
        <v>2554</v>
      </c>
      <c r="J429" t="n">
        <v>25.4</v>
      </c>
      <c r="K429" t="n">
        <v>0</v>
      </c>
      <c r="L429" t="n">
        <v>2.5</v>
      </c>
      <c r="M429" t="n">
        <v>5.53</v>
      </c>
      <c r="N429" t="inlineStr">
        <is>
          <t>Direct</t>
        </is>
      </c>
      <c r="O429" t="inlineStr">
        <is>
          <t>25.4-0-2.5-ERW 1-PE-5.53</t>
        </is>
      </c>
    </row>
    <row r="430">
      <c r="A430" t="inlineStr">
        <is>
          <t>0000943209</t>
        </is>
      </c>
      <c r="B430" t="inlineStr">
        <is>
          <t>MEGH STEELS PRIVATE LIMITED - TVS A</t>
        </is>
      </c>
      <c r="C430" t="inlineStr">
        <is>
          <t>KG</t>
        </is>
      </c>
      <c r="D430" t="n">
        <v>71</v>
      </c>
      <c r="E430" t="n">
        <v>393.741</v>
      </c>
      <c r="F430" t="n">
        <v>3502256</v>
      </c>
      <c r="G430" t="inlineStr">
        <is>
          <t>0789</t>
        </is>
      </c>
      <c r="H430" t="inlineStr">
        <is>
          <t>TUB-O-N-AUT-AW-PE-25.40X2.500X5.5300</t>
        </is>
      </c>
      <c r="I430" t="n">
        <v>536</v>
      </c>
      <c r="J430" t="n">
        <v>25.4</v>
      </c>
      <c r="K430" t="n">
        <v>0</v>
      </c>
      <c r="L430" t="n">
        <v>2.5</v>
      </c>
      <c r="M430" t="n">
        <v>5.53</v>
      </c>
      <c r="N430" t="inlineStr">
        <is>
          <t>Direct</t>
        </is>
      </c>
      <c r="O430" t="inlineStr">
        <is>
          <t>25.4-0-2.5-ERW 1-PE-5.53</t>
        </is>
      </c>
    </row>
    <row r="431">
      <c r="A431" t="inlineStr">
        <is>
          <t>0000943211</t>
        </is>
      </c>
      <c r="B431" t="inlineStr">
        <is>
          <t>MEGH STEELS PRIVATE LIMITED - RE</t>
        </is>
      </c>
      <c r="C431" t="inlineStr">
        <is>
          <t>NOS</t>
        </is>
      </c>
      <c r="D431" t="n">
        <v>2504</v>
      </c>
      <c r="E431" t="n">
        <v>1554.657</v>
      </c>
      <c r="F431" t="n">
        <v>2397073</v>
      </c>
      <c r="G431" t="inlineStr">
        <is>
          <t>0789</t>
        </is>
      </c>
      <c r="H431" t="inlineStr">
        <is>
          <t>TUB-O-N-AUT-AW-FC-34.93X1.200X0.6200</t>
        </is>
      </c>
      <c r="I431" t="n">
        <v>1552.48</v>
      </c>
      <c r="J431" t="n">
        <v>34.93</v>
      </c>
      <c r="K431" t="n">
        <v>0</v>
      </c>
      <c r="L431" t="n">
        <v>1.2</v>
      </c>
      <c r="M431" t="n">
        <v>0.62</v>
      </c>
      <c r="N431" t="inlineStr">
        <is>
          <t>Direct</t>
        </is>
      </c>
      <c r="O431" t="inlineStr">
        <is>
          <t>34.93-0-1.2-ERW 1-FC-0.620</t>
        </is>
      </c>
    </row>
    <row r="432">
      <c r="A432" t="inlineStr">
        <is>
          <t>0000943211</t>
        </is>
      </c>
      <c r="B432" t="inlineStr">
        <is>
          <t>MEGH STEELS PRIVATE LIMITED - RE</t>
        </is>
      </c>
      <c r="C432" t="inlineStr">
        <is>
          <t>NOS</t>
        </is>
      </c>
      <c r="D432" t="n">
        <v>2496</v>
      </c>
      <c r="E432" t="n">
        <v>1549.69</v>
      </c>
      <c r="F432" t="n">
        <v>2397073</v>
      </c>
      <c r="G432" t="inlineStr">
        <is>
          <t>0789</t>
        </is>
      </c>
      <c r="H432" t="inlineStr">
        <is>
          <t>TUB-O-N-AUT-AW-FC-34.93X1.200X0.6200</t>
        </is>
      </c>
      <c r="I432" t="n">
        <v>1547.52</v>
      </c>
      <c r="J432" t="n">
        <v>34.93</v>
      </c>
      <c r="K432" t="n">
        <v>0</v>
      </c>
      <c r="L432" t="n">
        <v>1.2</v>
      </c>
      <c r="M432" t="n">
        <v>0.62</v>
      </c>
      <c r="N432" t="inlineStr">
        <is>
          <t>Direct</t>
        </is>
      </c>
      <c r="O432" t="inlineStr">
        <is>
          <t>34.93-0-1.2-ERW 1-FC-0.620</t>
        </is>
      </c>
    </row>
    <row r="433">
      <c r="A433" t="inlineStr">
        <is>
          <t>0000943210</t>
        </is>
      </c>
      <c r="B433" t="inlineStr">
        <is>
          <t>MEGH STEELS PRIVATE LIMITED - HMSIL</t>
        </is>
      </c>
      <c r="C433" t="inlineStr">
        <is>
          <t>NOS</t>
        </is>
      </c>
      <c r="D433" t="n">
        <v>2321</v>
      </c>
      <c r="E433" t="n">
        <v>965.712</v>
      </c>
      <c r="F433" t="n">
        <v>3731691</v>
      </c>
      <c r="G433" t="inlineStr">
        <is>
          <t>0789</t>
        </is>
      </c>
      <c r="H433" t="inlineStr">
        <is>
          <t>TUB-O-N-AUT-AW-FC-42.70X1.600X0.4160</t>
        </is>
      </c>
      <c r="I433" t="n">
        <v>1566.675</v>
      </c>
      <c r="J433" t="n">
        <v>42.7</v>
      </c>
      <c r="K433" t="n">
        <v>0</v>
      </c>
      <c r="L433" t="n">
        <v>1.6</v>
      </c>
      <c r="M433" t="n">
        <v>0.416</v>
      </c>
      <c r="N433" t="inlineStr">
        <is>
          <t>Direct</t>
        </is>
      </c>
    </row>
    <row r="434">
      <c r="A434" t="inlineStr">
        <is>
          <t>0000943210</t>
        </is>
      </c>
      <c r="B434" t="inlineStr">
        <is>
          <t>MEGH STEELS PRIVATE LIMITED - HMSIL</t>
        </is>
      </c>
      <c r="C434" t="inlineStr">
        <is>
          <t>NOS</t>
        </is>
      </c>
      <c r="D434" t="n">
        <v>29</v>
      </c>
      <c r="E434" t="n">
        <v>12.066</v>
      </c>
      <c r="F434" t="n">
        <v>3731691</v>
      </c>
      <c r="G434" t="inlineStr">
        <is>
          <t>0789</t>
        </is>
      </c>
      <c r="H434" t="inlineStr">
        <is>
          <t>TUB-O-N-AUT-AW-FC-42.70X1.600X0.4160</t>
        </is>
      </c>
      <c r="I434" t="n">
        <v>19.575</v>
      </c>
      <c r="J434" t="n">
        <v>42.7</v>
      </c>
      <c r="K434" t="n">
        <v>0</v>
      </c>
      <c r="L434" t="n">
        <v>1.6</v>
      </c>
      <c r="M434" t="n">
        <v>0.416</v>
      </c>
      <c r="N434" t="inlineStr">
        <is>
          <t>Direct</t>
        </is>
      </c>
    </row>
    <row r="435">
      <c r="A435" t="inlineStr">
        <is>
          <t>0000943209</t>
        </is>
      </c>
      <c r="B435" t="inlineStr">
        <is>
          <t>MEGH STEELS PRIVATE LIMITED - TVS A</t>
        </is>
      </c>
      <c r="C435" t="inlineStr">
        <is>
          <t>KG</t>
        </is>
      </c>
      <c r="D435" t="n">
        <v>134</v>
      </c>
      <c r="E435" t="n">
        <v>806.391</v>
      </c>
      <c r="F435" t="n">
        <v>3994149</v>
      </c>
      <c r="G435" t="inlineStr">
        <is>
          <t>0789</t>
        </is>
      </c>
      <c r="H435" t="inlineStr">
        <is>
          <t>TUB-O-N-AUT-AW-FC-41.28X2.600X6.0010</t>
        </is>
      </c>
      <c r="I435" t="n">
        <v>1928</v>
      </c>
      <c r="J435" t="n">
        <v>41.28</v>
      </c>
      <c r="K435" t="n">
        <v>0</v>
      </c>
      <c r="L435" t="n">
        <v>2.6</v>
      </c>
      <c r="M435" t="n">
        <v>6.001</v>
      </c>
      <c r="N435" t="inlineStr">
        <is>
          <t>Direct</t>
        </is>
      </c>
      <c r="O435" t="inlineStr">
        <is>
          <t>41.28-0-2.6-ERW 1-FC-6</t>
        </is>
      </c>
    </row>
    <row r="436">
      <c r="A436" t="inlineStr">
        <is>
          <t>0000943209</t>
        </is>
      </c>
      <c r="B436" t="inlineStr">
        <is>
          <t>MEGH STEELS PRIVATE LIMITED - TVS A</t>
        </is>
      </c>
      <c r="C436" t="inlineStr">
        <is>
          <t>KG</t>
        </is>
      </c>
      <c r="D436" t="n">
        <v>143</v>
      </c>
      <c r="E436" t="n">
        <v>857.836</v>
      </c>
      <c r="F436" t="n">
        <v>3994149</v>
      </c>
      <c r="G436" t="inlineStr">
        <is>
          <t>0789</t>
        </is>
      </c>
      <c r="H436" t="inlineStr">
        <is>
          <t>TUB-O-N-AUT-AW-FC-41.28X2.600X6.0010</t>
        </is>
      </c>
      <c r="I436" t="n">
        <v>2051</v>
      </c>
      <c r="J436" t="n">
        <v>41.28</v>
      </c>
      <c r="K436" t="n">
        <v>0</v>
      </c>
      <c r="L436" t="n">
        <v>2.6</v>
      </c>
      <c r="M436" t="n">
        <v>6.001</v>
      </c>
      <c r="N436" t="inlineStr">
        <is>
          <t>Direct</t>
        </is>
      </c>
      <c r="O436" t="inlineStr">
        <is>
          <t>41.28-0-2.6-ERW 1-FC-6</t>
        </is>
      </c>
    </row>
    <row r="437">
      <c r="A437" t="inlineStr">
        <is>
          <t>0000943209</t>
        </is>
      </c>
      <c r="B437" t="inlineStr">
        <is>
          <t>MEGH STEELS PRIVATE LIMITED - TVS A</t>
        </is>
      </c>
      <c r="C437" t="inlineStr">
        <is>
          <t>KG</t>
        </is>
      </c>
      <c r="D437" t="n">
        <v>29</v>
      </c>
      <c r="E437" t="n">
        <v>176.084</v>
      </c>
      <c r="F437" t="n">
        <v>3994149</v>
      </c>
      <c r="G437" t="inlineStr">
        <is>
          <t>0789</t>
        </is>
      </c>
      <c r="H437" t="inlineStr">
        <is>
          <t>TUB-O-N-AUT-AW-FC-41.28X2.600X6.0010</t>
        </is>
      </c>
      <c r="I437" t="n">
        <v>421</v>
      </c>
      <c r="J437" t="n">
        <v>41.28</v>
      </c>
      <c r="K437" t="n">
        <v>0</v>
      </c>
      <c r="L437" t="n">
        <v>2.6</v>
      </c>
      <c r="M437" t="n">
        <v>6.001</v>
      </c>
      <c r="N437" t="inlineStr">
        <is>
          <t>Direct</t>
        </is>
      </c>
      <c r="O437" t="inlineStr">
        <is>
          <t>41.28-0-2.6-ERW 1-FC-6</t>
        </is>
      </c>
    </row>
    <row r="438">
      <c r="A438" t="inlineStr">
        <is>
          <t>0000943209</t>
        </is>
      </c>
      <c r="B438" t="inlineStr">
        <is>
          <t>MEGH STEELS PRIVATE LIMITED - TVS A</t>
        </is>
      </c>
      <c r="C438" t="inlineStr">
        <is>
          <t>KG</t>
        </is>
      </c>
      <c r="D438" t="n">
        <v>282</v>
      </c>
      <c r="E438" t="n">
        <v>1493.976</v>
      </c>
      <c r="F438" t="n">
        <v>3929640</v>
      </c>
      <c r="G438" t="inlineStr">
        <is>
          <t>0789</t>
        </is>
      </c>
      <c r="H438" t="inlineStr">
        <is>
          <t>TUB-O-N-AUT-AW-PE-22.23X1.200X5.3000</t>
        </is>
      </c>
      <c r="I438" t="n">
        <v>930</v>
      </c>
      <c r="J438" t="n">
        <v>22.23</v>
      </c>
      <c r="K438" t="n">
        <v>0</v>
      </c>
      <c r="L438" t="n">
        <v>1.2</v>
      </c>
      <c r="M438" t="n">
        <v>5.3</v>
      </c>
      <c r="N438" t="inlineStr">
        <is>
          <t>Direct</t>
        </is>
      </c>
    </row>
    <row r="439">
      <c r="A439" t="inlineStr">
        <is>
          <t>0000943209</t>
        </is>
      </c>
      <c r="B439" t="inlineStr">
        <is>
          <t>MEGH STEELS PRIVATE LIMITED - TVS A</t>
        </is>
      </c>
      <c r="C439" t="inlineStr">
        <is>
          <t>KG</t>
        </is>
      </c>
      <c r="D439" t="n">
        <v>118</v>
      </c>
      <c r="E439" t="n">
        <v>700.256</v>
      </c>
      <c r="F439" t="n">
        <v>3597050</v>
      </c>
      <c r="G439" t="inlineStr">
        <is>
          <t>0789</t>
        </is>
      </c>
      <c r="H439" t="inlineStr">
        <is>
          <t>TUB-O-N-AUT-AW-FC-41.28X3.150X5.9400</t>
        </is>
      </c>
      <c r="I439" t="n">
        <v>2075</v>
      </c>
      <c r="J439" t="n">
        <v>41.28</v>
      </c>
      <c r="K439" t="n">
        <v>0</v>
      </c>
      <c r="L439" t="n">
        <v>3.15</v>
      </c>
      <c r="M439" t="n">
        <v>5.94</v>
      </c>
      <c r="N439" t="inlineStr">
        <is>
          <t>Direct</t>
        </is>
      </c>
      <c r="O439" t="inlineStr">
        <is>
          <t>41.28-0-3.15-ERW 1-FC-5.86</t>
        </is>
      </c>
    </row>
    <row r="440">
      <c r="A440" t="inlineStr">
        <is>
          <t>0000943209</t>
        </is>
      </c>
      <c r="B440" t="inlineStr">
        <is>
          <t>MEGH STEELS PRIVATE LIMITED - TVS A</t>
        </is>
      </c>
      <c r="C440" t="inlineStr">
        <is>
          <t>KG</t>
        </is>
      </c>
      <c r="D440" t="n">
        <v>31</v>
      </c>
      <c r="E440" t="n">
        <v>185.61</v>
      </c>
      <c r="F440" t="n">
        <v>3597050</v>
      </c>
      <c r="G440" t="inlineStr">
        <is>
          <t>0789</t>
        </is>
      </c>
      <c r="H440" t="inlineStr">
        <is>
          <t>TUB-O-N-AUT-AW-FC-41.28X3.150X5.9400</t>
        </is>
      </c>
      <c r="I440" t="n">
        <v>550</v>
      </c>
      <c r="J440" t="n">
        <v>41.28</v>
      </c>
      <c r="K440" t="n">
        <v>0</v>
      </c>
      <c r="L440" t="n">
        <v>3.15</v>
      </c>
      <c r="M440" t="n">
        <v>5.94</v>
      </c>
      <c r="N440" t="inlineStr">
        <is>
          <t>Direct</t>
        </is>
      </c>
      <c r="O440" t="inlineStr">
        <is>
          <t>41.28-0-3.15-ERW 1-FC-5.86</t>
        </is>
      </c>
    </row>
    <row r="441">
      <c r="A441" t="inlineStr">
        <is>
          <t>0000943209</t>
        </is>
      </c>
      <c r="B441" t="inlineStr">
        <is>
          <t>MEGH STEELS PRIVATE LIMITED - TVS A</t>
        </is>
      </c>
      <c r="C441" t="inlineStr">
        <is>
          <t>KG</t>
        </is>
      </c>
      <c r="D441" t="n">
        <v>3</v>
      </c>
      <c r="E441" t="n">
        <v>15.186</v>
      </c>
      <c r="F441" t="n">
        <v>3597050</v>
      </c>
      <c r="G441" t="inlineStr">
        <is>
          <t>0789</t>
        </is>
      </c>
      <c r="H441" t="inlineStr">
        <is>
          <t>TUB-O-N-AUT-AW-FC-41.28X3.150X5.9400</t>
        </is>
      </c>
      <c r="I441" t="n">
        <v>45</v>
      </c>
      <c r="J441" t="n">
        <v>41.28</v>
      </c>
      <c r="K441" t="n">
        <v>0</v>
      </c>
      <c r="L441" t="n">
        <v>3.15</v>
      </c>
      <c r="M441" t="n">
        <v>5.94</v>
      </c>
      <c r="N441" t="inlineStr">
        <is>
          <t>Direct</t>
        </is>
      </c>
      <c r="O441" t="inlineStr">
        <is>
          <t>41.28-0-3.15-ERW 1-FC-5.86</t>
        </is>
      </c>
    </row>
    <row r="442">
      <c r="A442" t="inlineStr">
        <is>
          <t>0000943209</t>
        </is>
      </c>
      <c r="B442" t="inlineStr">
        <is>
          <t>MEGH STEELS PRIVATE LIMITED - TVS A</t>
        </is>
      </c>
      <c r="C442" t="inlineStr">
        <is>
          <t>KG</t>
        </is>
      </c>
      <c r="D442" t="n">
        <v>458</v>
      </c>
      <c r="E442" t="n">
        <v>2744.941</v>
      </c>
      <c r="F442" t="n">
        <v>3410966</v>
      </c>
      <c r="G442" t="inlineStr">
        <is>
          <t>0789</t>
        </is>
      </c>
      <c r="H442" t="inlineStr">
        <is>
          <t>TUB-O-N-AUT-AW-FC-22.23X2.000X6.0000</t>
        </is>
      </c>
      <c r="I442" t="n">
        <v>2740</v>
      </c>
      <c r="J442" t="n">
        <v>22.23</v>
      </c>
      <c r="K442" t="n">
        <v>0</v>
      </c>
      <c r="L442" t="n">
        <v>2</v>
      </c>
      <c r="M442" t="n">
        <v>6</v>
      </c>
      <c r="N442" t="inlineStr">
        <is>
          <t>Direct</t>
        </is>
      </c>
    </row>
    <row r="443">
      <c r="A443" t="inlineStr">
        <is>
          <t>0000943209</t>
        </is>
      </c>
      <c r="B443" t="inlineStr">
        <is>
          <t>MEGH STEELS PRIVATE LIMITED - TVS A</t>
        </is>
      </c>
      <c r="C443" t="inlineStr">
        <is>
          <t>KG</t>
        </is>
      </c>
      <c r="D443" t="n">
        <v>405</v>
      </c>
      <c r="E443" t="n">
        <v>2430.375</v>
      </c>
      <c r="F443" t="n">
        <v>3410966</v>
      </c>
      <c r="G443" t="inlineStr">
        <is>
          <t>0789</t>
        </is>
      </c>
      <c r="H443" t="inlineStr">
        <is>
          <t>TUB-O-N-AUT-AW-FC-22.23X2.000X6.0000</t>
        </is>
      </c>
      <c r="I443" t="n">
        <v>2426</v>
      </c>
      <c r="J443" t="n">
        <v>22.23</v>
      </c>
      <c r="K443" t="n">
        <v>0</v>
      </c>
      <c r="L443" t="n">
        <v>2</v>
      </c>
      <c r="M443" t="n">
        <v>6</v>
      </c>
      <c r="N443" t="inlineStr">
        <is>
          <t>Direct</t>
        </is>
      </c>
    </row>
    <row r="444">
      <c r="A444" t="inlineStr">
        <is>
          <t>0000943209</t>
        </is>
      </c>
      <c r="B444" t="inlineStr">
        <is>
          <t>MEGH STEELS PRIVATE LIMITED - TVS A</t>
        </is>
      </c>
      <c r="C444" t="inlineStr">
        <is>
          <t>KG</t>
        </is>
      </c>
      <c r="D444" t="n">
        <v>348</v>
      </c>
      <c r="E444" t="n">
        <v>2087.758</v>
      </c>
      <c r="F444" t="n">
        <v>3410966</v>
      </c>
      <c r="G444" t="inlineStr">
        <is>
          <t>0789</t>
        </is>
      </c>
      <c r="H444" t="inlineStr">
        <is>
          <t>TUB-O-N-AUT-AW-FC-22.23X2.000X6.0000</t>
        </is>
      </c>
      <c r="I444" t="n">
        <v>2084</v>
      </c>
      <c r="J444" t="n">
        <v>22.23</v>
      </c>
      <c r="K444" t="n">
        <v>0</v>
      </c>
      <c r="L444" t="n">
        <v>2</v>
      </c>
      <c r="M444" t="n">
        <v>6</v>
      </c>
      <c r="N444" t="inlineStr">
        <is>
          <t>Direct</t>
        </is>
      </c>
    </row>
    <row r="445">
      <c r="A445" t="inlineStr">
        <is>
          <t>0000943209</t>
        </is>
      </c>
      <c r="B445" t="inlineStr">
        <is>
          <t>MEGH STEELS PRIVATE LIMITED - TVS A</t>
        </is>
      </c>
      <c r="C445" t="inlineStr">
        <is>
          <t>KG</t>
        </is>
      </c>
      <c r="D445" t="n">
        <v>439</v>
      </c>
      <c r="E445" t="n">
        <v>2611.469</v>
      </c>
      <c r="F445" t="n">
        <v>4272693</v>
      </c>
      <c r="G445" t="inlineStr">
        <is>
          <t>0789</t>
        </is>
      </c>
      <c r="H445" t="inlineStr">
        <is>
          <t>TUB-O-N-AUT-AW-FC-22.20X2.000X5.9500</t>
        </is>
      </c>
      <c r="I445" t="n">
        <v>2484</v>
      </c>
      <c r="J445" t="n">
        <v>22.2</v>
      </c>
      <c r="K445" t="n">
        <v>0</v>
      </c>
      <c r="L445" t="n">
        <v>2</v>
      </c>
      <c r="M445" t="n">
        <v>5.95</v>
      </c>
      <c r="N445" t="inlineStr">
        <is>
          <t>Direct</t>
        </is>
      </c>
    </row>
    <row r="446">
      <c r="A446" t="inlineStr">
        <is>
          <t>0000943209</t>
        </is>
      </c>
      <c r="B446" t="inlineStr">
        <is>
          <t>MEGH STEELS PRIVATE LIMITED - TVS A</t>
        </is>
      </c>
      <c r="C446" t="inlineStr">
        <is>
          <t>KG</t>
        </is>
      </c>
      <c r="D446" t="n">
        <v>473</v>
      </c>
      <c r="E446" t="n">
        <v>2812.27</v>
      </c>
      <c r="F446" t="n">
        <v>4272693</v>
      </c>
      <c r="G446" t="inlineStr">
        <is>
          <t>0789</t>
        </is>
      </c>
      <c r="H446" t="inlineStr">
        <is>
          <t>TUB-O-N-AUT-AW-FC-22.20X2.000X5.9500</t>
        </is>
      </c>
      <c r="I446" t="n">
        <v>2675</v>
      </c>
      <c r="J446" t="n">
        <v>22.2</v>
      </c>
      <c r="K446" t="n">
        <v>0</v>
      </c>
      <c r="L446" t="n">
        <v>2</v>
      </c>
      <c r="M446" t="n">
        <v>5.95</v>
      </c>
      <c r="N446" t="inlineStr">
        <is>
          <t>Direct</t>
        </is>
      </c>
    </row>
    <row r="447">
      <c r="A447" t="inlineStr">
        <is>
          <t>0000943209</t>
        </is>
      </c>
      <c r="B447" t="inlineStr">
        <is>
          <t>MEGH STEELS PRIVATE LIMITED - TVS A</t>
        </is>
      </c>
      <c r="C447" t="inlineStr">
        <is>
          <t>KG</t>
        </is>
      </c>
      <c r="D447" t="n">
        <v>356</v>
      </c>
      <c r="E447" t="n">
        <v>2118.402</v>
      </c>
      <c r="F447" t="n">
        <v>4272693</v>
      </c>
      <c r="G447" t="inlineStr">
        <is>
          <t>0789</t>
        </is>
      </c>
      <c r="H447" t="inlineStr">
        <is>
          <t>TUB-O-N-AUT-AW-FC-22.20X2.000X5.9500</t>
        </is>
      </c>
      <c r="I447" t="n">
        <v>2015</v>
      </c>
      <c r="J447" t="n">
        <v>22.2</v>
      </c>
      <c r="K447" t="n">
        <v>0</v>
      </c>
      <c r="L447" t="n">
        <v>2</v>
      </c>
      <c r="M447" t="n">
        <v>5.95</v>
      </c>
      <c r="N447" t="inlineStr">
        <is>
          <t>Direct</t>
        </is>
      </c>
    </row>
    <row r="448">
      <c r="A448" t="inlineStr">
        <is>
          <t>0000943209</t>
        </is>
      </c>
      <c r="B448" t="inlineStr">
        <is>
          <t>MEGH STEELS PRIVATE LIMITED - TVS A</t>
        </is>
      </c>
      <c r="C448" t="inlineStr">
        <is>
          <t>KG</t>
        </is>
      </c>
      <c r="D448" t="n">
        <v>326</v>
      </c>
      <c r="E448" t="n">
        <v>1940.729</v>
      </c>
      <c r="F448" t="n">
        <v>4272693</v>
      </c>
      <c r="G448" t="inlineStr">
        <is>
          <t>0789</t>
        </is>
      </c>
      <c r="H448" t="inlineStr">
        <is>
          <t>TUB-O-N-AUT-AW-FC-22.20X2.000X5.9500</t>
        </is>
      </c>
      <c r="I448" t="n">
        <v>1846</v>
      </c>
      <c r="J448" t="n">
        <v>22.2</v>
      </c>
      <c r="K448" t="n">
        <v>0</v>
      </c>
      <c r="L448" t="n">
        <v>2</v>
      </c>
      <c r="M448" t="n">
        <v>5.95</v>
      </c>
      <c r="N448" t="inlineStr">
        <is>
          <t>Direct</t>
        </is>
      </c>
    </row>
    <row r="449">
      <c r="A449" t="inlineStr">
        <is>
          <t>0000943209</t>
        </is>
      </c>
      <c r="B449" t="inlineStr">
        <is>
          <t>MEGH STEELS PRIVATE LIMITED - TVS A</t>
        </is>
      </c>
      <c r="C449" t="inlineStr">
        <is>
          <t>KG</t>
        </is>
      </c>
      <c r="D449" t="n">
        <v>509</v>
      </c>
      <c r="E449" t="n">
        <v>2746.945</v>
      </c>
      <c r="F449" t="n">
        <v>2431251</v>
      </c>
      <c r="G449" t="inlineStr">
        <is>
          <t>0789</t>
        </is>
      </c>
      <c r="H449" t="inlineStr">
        <is>
          <t>TUB-O-N-AUT-AW-PE-22.23X2.000X5.4000</t>
        </is>
      </c>
      <c r="I449" t="n">
        <v>2742</v>
      </c>
      <c r="J449" t="n">
        <v>22.23</v>
      </c>
      <c r="K449" t="n">
        <v>0</v>
      </c>
      <c r="L449" t="n">
        <v>2</v>
      </c>
      <c r="M449" t="n">
        <v>5.4</v>
      </c>
      <c r="N449" t="inlineStr">
        <is>
          <t>Direct</t>
        </is>
      </c>
      <c r="O449" t="inlineStr">
        <is>
          <t>22.23-0-2-ERW 1-PE-5.39</t>
        </is>
      </c>
    </row>
    <row r="450">
      <c r="A450" t="inlineStr">
        <is>
          <t>0000943209</t>
        </is>
      </c>
      <c r="B450" t="inlineStr">
        <is>
          <t>MEGH STEELS PRIVATE LIMITED - TVS A</t>
        </is>
      </c>
      <c r="C450" t="inlineStr">
        <is>
          <t>KG</t>
        </is>
      </c>
      <c r="D450" t="n">
        <v>505</v>
      </c>
      <c r="E450" t="n">
        <v>2729.914</v>
      </c>
      <c r="F450" t="n">
        <v>2431251</v>
      </c>
      <c r="G450" t="inlineStr">
        <is>
          <t>0789</t>
        </is>
      </c>
      <c r="H450" t="inlineStr">
        <is>
          <t>TUB-O-N-AUT-AW-PE-22.23X2.000X5.4000</t>
        </is>
      </c>
      <c r="I450" t="n">
        <v>2725</v>
      </c>
      <c r="J450" t="n">
        <v>22.23</v>
      </c>
      <c r="K450" t="n">
        <v>0</v>
      </c>
      <c r="L450" t="n">
        <v>2</v>
      </c>
      <c r="M450" t="n">
        <v>5.4</v>
      </c>
      <c r="N450" t="inlineStr">
        <is>
          <t>Direct</t>
        </is>
      </c>
      <c r="O450" t="inlineStr">
        <is>
          <t>22.23-0-2-ERW 1-PE-5.39</t>
        </is>
      </c>
    </row>
    <row r="451">
      <c r="A451" t="inlineStr">
        <is>
          <t>0000943209</t>
        </is>
      </c>
      <c r="B451" t="inlineStr">
        <is>
          <t>MEGH STEELS PRIVATE LIMITED - TVS A</t>
        </is>
      </c>
      <c r="C451" t="inlineStr">
        <is>
          <t>KG</t>
        </is>
      </c>
      <c r="D451" t="n">
        <v>504</v>
      </c>
      <c r="E451" t="n">
        <v>2719.896</v>
      </c>
      <c r="F451" t="n">
        <v>2431251</v>
      </c>
      <c r="G451" t="inlineStr">
        <is>
          <t>0789</t>
        </is>
      </c>
      <c r="H451" t="inlineStr">
        <is>
          <t>TUB-O-N-AUT-AW-PE-22.23X2.000X5.4000</t>
        </is>
      </c>
      <c r="I451" t="n">
        <v>2715</v>
      </c>
      <c r="J451" t="n">
        <v>22.23</v>
      </c>
      <c r="K451" t="n">
        <v>0</v>
      </c>
      <c r="L451" t="n">
        <v>2</v>
      </c>
      <c r="M451" t="n">
        <v>5.4</v>
      </c>
      <c r="N451" t="inlineStr">
        <is>
          <t>Direct</t>
        </is>
      </c>
      <c r="O451" t="inlineStr">
        <is>
          <t>22.23-0-2-ERW 1-PE-5.39</t>
        </is>
      </c>
    </row>
    <row r="452">
      <c r="A452" t="inlineStr">
        <is>
          <t>0000943209</t>
        </is>
      </c>
      <c r="B452" t="inlineStr">
        <is>
          <t>MEGH STEELS PRIVATE LIMITED - TVS A</t>
        </is>
      </c>
      <c r="C452" t="inlineStr">
        <is>
          <t>KG</t>
        </is>
      </c>
      <c r="D452" t="n">
        <v>501</v>
      </c>
      <c r="E452" t="n">
        <v>2704.869</v>
      </c>
      <c r="F452" t="n">
        <v>2431251</v>
      </c>
      <c r="G452" t="inlineStr">
        <is>
          <t>0789</t>
        </is>
      </c>
      <c r="H452" t="inlineStr">
        <is>
          <t>TUB-O-N-AUT-AW-PE-22.23X2.000X5.4000</t>
        </is>
      </c>
      <c r="I452" t="n">
        <v>2700</v>
      </c>
      <c r="J452" t="n">
        <v>22.23</v>
      </c>
      <c r="K452" t="n">
        <v>0</v>
      </c>
      <c r="L452" t="n">
        <v>2</v>
      </c>
      <c r="M452" t="n">
        <v>5.4</v>
      </c>
      <c r="N452" t="inlineStr">
        <is>
          <t>Direct</t>
        </is>
      </c>
      <c r="O452" t="inlineStr">
        <is>
          <t>22.23-0-2-ERW 1-PE-5.39</t>
        </is>
      </c>
    </row>
    <row r="453">
      <c r="A453" t="inlineStr">
        <is>
          <t>0000943209</t>
        </is>
      </c>
      <c r="B453" t="inlineStr">
        <is>
          <t>MEGH STEELS PRIVATE LIMITED - TVS A</t>
        </is>
      </c>
      <c r="C453" t="inlineStr">
        <is>
          <t>KG</t>
        </is>
      </c>
      <c r="D453" t="n">
        <v>501</v>
      </c>
      <c r="E453" t="n">
        <v>2704.869</v>
      </c>
      <c r="F453" t="n">
        <v>2431251</v>
      </c>
      <c r="G453" t="inlineStr">
        <is>
          <t>0789</t>
        </is>
      </c>
      <c r="H453" t="inlineStr">
        <is>
          <t>TUB-O-N-AUT-AW-PE-22.23X2.000X5.4000</t>
        </is>
      </c>
      <c r="I453" t="n">
        <v>2700</v>
      </c>
      <c r="J453" t="n">
        <v>22.23</v>
      </c>
      <c r="K453" t="n">
        <v>0</v>
      </c>
      <c r="L453" t="n">
        <v>2</v>
      </c>
      <c r="M453" t="n">
        <v>5.4</v>
      </c>
      <c r="N453" t="inlineStr">
        <is>
          <t>Direct</t>
        </is>
      </c>
      <c r="O453" t="inlineStr">
        <is>
          <t>22.23-0-2-ERW 1-PE-5.39</t>
        </is>
      </c>
    </row>
    <row r="454">
      <c r="A454" t="inlineStr">
        <is>
          <t>0000943209</t>
        </is>
      </c>
      <c r="B454" t="inlineStr">
        <is>
          <t>MEGH STEELS PRIVATE LIMITED - TVS A</t>
        </is>
      </c>
      <c r="C454" t="inlineStr">
        <is>
          <t>KG</t>
        </is>
      </c>
      <c r="D454" t="n">
        <v>497</v>
      </c>
      <c r="E454" t="n">
        <v>2682.829</v>
      </c>
      <c r="F454" t="n">
        <v>2431251</v>
      </c>
      <c r="G454" t="inlineStr">
        <is>
          <t>0789</t>
        </is>
      </c>
      <c r="H454" t="inlineStr">
        <is>
          <t>TUB-O-N-AUT-AW-PE-22.23X2.000X5.4000</t>
        </is>
      </c>
      <c r="I454" t="n">
        <v>2678</v>
      </c>
      <c r="J454" t="n">
        <v>22.23</v>
      </c>
      <c r="K454" t="n">
        <v>0</v>
      </c>
      <c r="L454" t="n">
        <v>2</v>
      </c>
      <c r="M454" t="n">
        <v>5.4</v>
      </c>
      <c r="N454" t="inlineStr">
        <is>
          <t>Direct</t>
        </is>
      </c>
      <c r="O454" t="inlineStr">
        <is>
          <t>22.23-0-2-ERW 1-PE-5.39</t>
        </is>
      </c>
    </row>
    <row r="455">
      <c r="A455" t="inlineStr">
        <is>
          <t>0000943209</t>
        </is>
      </c>
      <c r="B455" t="inlineStr">
        <is>
          <t>MEGH STEELS PRIVATE LIMITED - TVS A</t>
        </is>
      </c>
      <c r="C455" t="inlineStr">
        <is>
          <t>KG</t>
        </is>
      </c>
      <c r="D455" t="n">
        <v>492</v>
      </c>
      <c r="E455" t="n">
        <v>2659.788</v>
      </c>
      <c r="F455" t="n">
        <v>2431251</v>
      </c>
      <c r="G455" t="inlineStr">
        <is>
          <t>0789</t>
        </is>
      </c>
      <c r="H455" t="inlineStr">
        <is>
          <t>TUB-O-N-AUT-AW-PE-22.23X2.000X5.4000</t>
        </is>
      </c>
      <c r="I455" t="n">
        <v>2655</v>
      </c>
      <c r="J455" t="n">
        <v>22.23</v>
      </c>
      <c r="K455" t="n">
        <v>0</v>
      </c>
      <c r="L455" t="n">
        <v>2</v>
      </c>
      <c r="M455" t="n">
        <v>5.4</v>
      </c>
      <c r="N455" t="inlineStr">
        <is>
          <t>Direct</t>
        </is>
      </c>
      <c r="O455" t="inlineStr">
        <is>
          <t>22.23-0-2-ERW 1-PE-5.39</t>
        </is>
      </c>
    </row>
    <row r="456">
      <c r="A456" t="inlineStr">
        <is>
          <t>0000943209</t>
        </is>
      </c>
      <c r="B456" t="inlineStr">
        <is>
          <t>MEGH STEELS PRIVATE LIMITED - TVS A</t>
        </is>
      </c>
      <c r="C456" t="inlineStr">
        <is>
          <t>KG</t>
        </is>
      </c>
      <c r="D456" t="n">
        <v>482</v>
      </c>
      <c r="E456" t="n">
        <v>2604.688</v>
      </c>
      <c r="F456" t="n">
        <v>2431251</v>
      </c>
      <c r="G456" t="inlineStr">
        <is>
          <t>0789</t>
        </is>
      </c>
      <c r="H456" t="inlineStr">
        <is>
          <t>TUB-O-N-AUT-AW-PE-22.23X2.000X5.4000</t>
        </is>
      </c>
      <c r="I456" t="n">
        <v>2600</v>
      </c>
      <c r="J456" t="n">
        <v>22.23</v>
      </c>
      <c r="K456" t="n">
        <v>0</v>
      </c>
      <c r="L456" t="n">
        <v>2</v>
      </c>
      <c r="M456" t="n">
        <v>5.4</v>
      </c>
      <c r="N456" t="inlineStr">
        <is>
          <t>Direct</t>
        </is>
      </c>
      <c r="O456" t="inlineStr">
        <is>
          <t>22.23-0-2-ERW 1-PE-5.39</t>
        </is>
      </c>
    </row>
    <row r="457">
      <c r="A457" t="inlineStr">
        <is>
          <t>0000943209</t>
        </is>
      </c>
      <c r="B457" t="inlineStr">
        <is>
          <t>MEGH STEELS PRIVATE LIMITED - TVS A</t>
        </is>
      </c>
      <c r="C457" t="inlineStr">
        <is>
          <t>KG</t>
        </is>
      </c>
      <c r="D457" t="n">
        <v>190</v>
      </c>
      <c r="E457" t="n">
        <v>1026.848</v>
      </c>
      <c r="F457" t="n">
        <v>2431251</v>
      </c>
      <c r="G457" t="inlineStr">
        <is>
          <t>0789</t>
        </is>
      </c>
      <c r="H457" t="inlineStr">
        <is>
          <t>TUB-O-N-AUT-AW-PE-22.23X2.000X5.4000</t>
        </is>
      </c>
      <c r="I457" t="n">
        <v>1025</v>
      </c>
      <c r="J457" t="n">
        <v>22.23</v>
      </c>
      <c r="K457" t="n">
        <v>0</v>
      </c>
      <c r="L457" t="n">
        <v>2</v>
      </c>
      <c r="M457" t="n">
        <v>5.4</v>
      </c>
      <c r="N457" t="inlineStr">
        <is>
          <t>Direct</t>
        </is>
      </c>
      <c r="O457" t="inlineStr">
        <is>
          <t>22.23-0-2-ERW 1-PE-5.39</t>
        </is>
      </c>
    </row>
    <row r="458">
      <c r="A458" t="inlineStr">
        <is>
          <t>0000943209</t>
        </is>
      </c>
      <c r="B458" t="inlineStr">
        <is>
          <t>MEGH STEELS PRIVATE LIMITED - TVS A</t>
        </is>
      </c>
      <c r="C458" t="inlineStr">
        <is>
          <t>KG</t>
        </is>
      </c>
      <c r="D458" t="n">
        <v>443</v>
      </c>
      <c r="E458" t="n">
        <v>2657.784</v>
      </c>
      <c r="F458" t="n">
        <v>3410966</v>
      </c>
      <c r="G458" t="inlineStr">
        <is>
          <t>0789</t>
        </is>
      </c>
      <c r="H458" t="inlineStr">
        <is>
          <t>TUB-O-N-AUT-AW-FC-22.23X2.000X6.0000</t>
        </is>
      </c>
      <c r="I458" t="n">
        <v>2653</v>
      </c>
      <c r="J458" t="n">
        <v>22.23</v>
      </c>
      <c r="K458" t="n">
        <v>0</v>
      </c>
      <c r="L458" t="n">
        <v>2</v>
      </c>
      <c r="M458" t="n">
        <v>6</v>
      </c>
      <c r="N458" t="inlineStr">
        <is>
          <t>Direct</t>
        </is>
      </c>
    </row>
    <row r="459">
      <c r="A459" t="inlineStr">
        <is>
          <t>0000943209</t>
        </is>
      </c>
      <c r="B459" t="inlineStr">
        <is>
          <t>MEGH STEELS PRIVATE LIMITED - TVS A</t>
        </is>
      </c>
      <c r="C459" t="inlineStr">
        <is>
          <t>KG</t>
        </is>
      </c>
      <c r="D459" t="n">
        <v>440</v>
      </c>
      <c r="E459" t="n">
        <v>2639.752</v>
      </c>
      <c r="F459" t="n">
        <v>3410966</v>
      </c>
      <c r="G459" t="inlineStr">
        <is>
          <t>0789</t>
        </is>
      </c>
      <c r="H459" t="inlineStr">
        <is>
          <t>TUB-O-N-AUT-AW-FC-22.23X2.000X6.0000</t>
        </is>
      </c>
      <c r="I459" t="n">
        <v>2635</v>
      </c>
      <c r="J459" t="n">
        <v>22.23</v>
      </c>
      <c r="K459" t="n">
        <v>0</v>
      </c>
      <c r="L459" t="n">
        <v>2</v>
      </c>
      <c r="M459" t="n">
        <v>6</v>
      </c>
      <c r="N459" t="inlineStr">
        <is>
          <t>Direct</t>
        </is>
      </c>
    </row>
    <row r="460">
      <c r="A460" t="inlineStr">
        <is>
          <t>0000943209</t>
        </is>
      </c>
      <c r="B460" t="inlineStr">
        <is>
          <t>MEGH STEELS PRIVATE LIMITED - TVS A</t>
        </is>
      </c>
      <c r="C460" t="inlineStr">
        <is>
          <t>KG</t>
        </is>
      </c>
      <c r="D460" t="n">
        <v>416</v>
      </c>
      <c r="E460" t="n">
        <v>2495.492</v>
      </c>
      <c r="F460" t="n">
        <v>3410966</v>
      </c>
      <c r="G460" t="inlineStr">
        <is>
          <t>0789</t>
        </is>
      </c>
      <c r="H460" t="inlineStr">
        <is>
          <t>TUB-O-N-AUT-AW-FC-22.23X2.000X6.0000</t>
        </is>
      </c>
      <c r="I460" t="n">
        <v>2491</v>
      </c>
      <c r="J460" t="n">
        <v>22.23</v>
      </c>
      <c r="K460" t="n">
        <v>0</v>
      </c>
      <c r="L460" t="n">
        <v>2</v>
      </c>
      <c r="M460" t="n">
        <v>6</v>
      </c>
      <c r="N460" t="inlineStr">
        <is>
          <t>Direct</t>
        </is>
      </c>
    </row>
    <row r="461">
      <c r="A461" t="inlineStr">
        <is>
          <t>0000943209</t>
        </is>
      </c>
      <c r="B461" t="inlineStr">
        <is>
          <t>MEGH STEELS PRIVATE LIMITED - TVS A</t>
        </is>
      </c>
      <c r="C461" t="inlineStr">
        <is>
          <t>KG</t>
        </is>
      </c>
      <c r="D461" t="n">
        <v>441</v>
      </c>
      <c r="E461" t="n">
        <v>2645.762</v>
      </c>
      <c r="F461" t="n">
        <v>3410966</v>
      </c>
      <c r="G461" t="inlineStr">
        <is>
          <t>0789</t>
        </is>
      </c>
      <c r="H461" t="inlineStr">
        <is>
          <t>TUB-O-N-AUT-AW-FC-22.23X2.000X6.0000</t>
        </is>
      </c>
      <c r="I461" t="n">
        <v>2641</v>
      </c>
      <c r="J461" t="n">
        <v>22.23</v>
      </c>
      <c r="K461" t="n">
        <v>0</v>
      </c>
      <c r="L461" t="n">
        <v>2</v>
      </c>
      <c r="M461" t="n">
        <v>6</v>
      </c>
      <c r="N461" t="inlineStr">
        <is>
          <t>Direct</t>
        </is>
      </c>
    </row>
    <row r="462">
      <c r="A462" t="inlineStr">
        <is>
          <t>0000943209</t>
        </is>
      </c>
      <c r="B462" t="inlineStr">
        <is>
          <t>MEGH STEELS PRIVATE LIMITED - TVS A</t>
        </is>
      </c>
      <c r="C462" t="inlineStr">
        <is>
          <t>KG</t>
        </is>
      </c>
      <c r="D462" t="n">
        <v>444</v>
      </c>
      <c r="E462" t="n">
        <v>2663.795</v>
      </c>
      <c r="F462" t="n">
        <v>3410966</v>
      </c>
      <c r="G462" t="inlineStr">
        <is>
          <t>0789</t>
        </is>
      </c>
      <c r="H462" t="inlineStr">
        <is>
          <t>TUB-O-N-AUT-AW-FC-22.23X2.000X6.0000</t>
        </is>
      </c>
      <c r="I462" t="n">
        <v>2659</v>
      </c>
      <c r="J462" t="n">
        <v>22.23</v>
      </c>
      <c r="K462" t="n">
        <v>0</v>
      </c>
      <c r="L462" t="n">
        <v>2</v>
      </c>
      <c r="M462" t="n">
        <v>6</v>
      </c>
      <c r="N462" t="inlineStr">
        <is>
          <t>Direct</t>
        </is>
      </c>
    </row>
    <row r="463">
      <c r="A463" t="inlineStr">
        <is>
          <t>0000943209</t>
        </is>
      </c>
      <c r="B463" t="inlineStr">
        <is>
          <t>MEGH STEELS PRIVATE LIMITED - TVS A</t>
        </is>
      </c>
      <c r="C463" t="inlineStr">
        <is>
          <t>KG</t>
        </is>
      </c>
      <c r="D463" t="n">
        <v>421</v>
      </c>
      <c r="E463" t="n">
        <v>2525.546</v>
      </c>
      <c r="F463" t="n">
        <v>3410966</v>
      </c>
      <c r="G463" t="inlineStr">
        <is>
          <t>0789</t>
        </is>
      </c>
      <c r="H463" t="inlineStr">
        <is>
          <t>TUB-O-N-AUT-AW-FC-22.23X2.000X6.0000</t>
        </is>
      </c>
      <c r="I463" t="n">
        <v>2521</v>
      </c>
      <c r="J463" t="n">
        <v>22.23</v>
      </c>
      <c r="K463" t="n">
        <v>0</v>
      </c>
      <c r="L463" t="n">
        <v>2</v>
      </c>
      <c r="M463" t="n">
        <v>6</v>
      </c>
      <c r="N463" t="inlineStr">
        <is>
          <t>Direct</t>
        </is>
      </c>
    </row>
    <row r="464">
      <c r="A464" t="inlineStr">
        <is>
          <t>0000943209</t>
        </is>
      </c>
      <c r="B464" t="inlineStr">
        <is>
          <t>MEGH STEELS PRIVATE LIMITED - TVS A</t>
        </is>
      </c>
      <c r="C464" t="inlineStr">
        <is>
          <t>KG</t>
        </is>
      </c>
      <c r="D464" t="n">
        <v>451</v>
      </c>
      <c r="E464" t="n">
        <v>2704.869</v>
      </c>
      <c r="F464" t="n">
        <v>3410966</v>
      </c>
      <c r="G464" t="inlineStr">
        <is>
          <t>0789</t>
        </is>
      </c>
      <c r="H464" t="inlineStr">
        <is>
          <t>TUB-O-N-AUT-AW-FC-22.23X2.000X6.0000</t>
        </is>
      </c>
      <c r="I464" t="n">
        <v>2700</v>
      </c>
      <c r="J464" t="n">
        <v>22.23</v>
      </c>
      <c r="K464" t="n">
        <v>0</v>
      </c>
      <c r="L464" t="n">
        <v>2</v>
      </c>
      <c r="M464" t="n">
        <v>6</v>
      </c>
      <c r="N464" t="inlineStr">
        <is>
          <t>Direct</t>
        </is>
      </c>
    </row>
    <row r="465">
      <c r="A465" t="inlineStr">
        <is>
          <t>0000943209</t>
        </is>
      </c>
      <c r="B465" t="inlineStr">
        <is>
          <t>MEGH STEELS PRIVATE LIMITED - TVS A</t>
        </is>
      </c>
      <c r="C465" t="inlineStr">
        <is>
          <t>KG</t>
        </is>
      </c>
      <c r="D465" t="n">
        <v>326</v>
      </c>
      <c r="E465" t="n">
        <v>1953.516</v>
      </c>
      <c r="F465" t="n">
        <v>3410966</v>
      </c>
      <c r="G465" t="inlineStr">
        <is>
          <t>0789</t>
        </is>
      </c>
      <c r="H465" t="inlineStr">
        <is>
          <t>TUB-O-N-AUT-AW-FC-22.23X2.000X6.0000</t>
        </is>
      </c>
      <c r="I465" t="n">
        <v>1950</v>
      </c>
      <c r="J465" t="n">
        <v>22.23</v>
      </c>
      <c r="K465" t="n">
        <v>0</v>
      </c>
      <c r="L465" t="n">
        <v>2</v>
      </c>
      <c r="M465" t="n">
        <v>6</v>
      </c>
      <c r="N465" t="inlineStr">
        <is>
          <t>Direct</t>
        </is>
      </c>
    </row>
    <row r="466">
      <c r="A466" t="inlineStr">
        <is>
          <t>0000943209</t>
        </is>
      </c>
      <c r="B466" t="inlineStr">
        <is>
          <t>MEGH STEELS PRIVATE LIMITED - TVS A</t>
        </is>
      </c>
      <c r="C466" t="inlineStr">
        <is>
          <t>KG</t>
        </is>
      </c>
      <c r="D466" t="n">
        <v>410</v>
      </c>
      <c r="E466" t="n">
        <v>2458.425</v>
      </c>
      <c r="F466" t="n">
        <v>3410966</v>
      </c>
      <c r="G466" t="inlineStr">
        <is>
          <t>0789</t>
        </is>
      </c>
      <c r="H466" t="inlineStr">
        <is>
          <t>TUB-O-N-AUT-AW-FC-22.23X2.000X6.0000</t>
        </is>
      </c>
      <c r="I466" t="n">
        <v>2454</v>
      </c>
      <c r="J466" t="n">
        <v>22.23</v>
      </c>
      <c r="K466" t="n">
        <v>0</v>
      </c>
      <c r="L466" t="n">
        <v>2</v>
      </c>
      <c r="M466" t="n">
        <v>6</v>
      </c>
      <c r="N466" t="inlineStr">
        <is>
          <t>Direct</t>
        </is>
      </c>
    </row>
    <row r="467">
      <c r="A467" t="inlineStr">
        <is>
          <t>0000943209</t>
        </is>
      </c>
      <c r="B467" t="inlineStr">
        <is>
          <t>MEGH STEELS PRIVATE LIMITED - TVS A</t>
        </is>
      </c>
      <c r="C467" t="inlineStr">
        <is>
          <t>KG</t>
        </is>
      </c>
      <c r="D467" t="n">
        <v>537</v>
      </c>
      <c r="E467" t="n">
        <v>3220.797</v>
      </c>
      <c r="F467" t="n">
        <v>3410966</v>
      </c>
      <c r="G467" t="inlineStr">
        <is>
          <t>0789</t>
        </is>
      </c>
      <c r="H467" t="inlineStr">
        <is>
          <t>TUB-O-N-AUT-AW-FC-22.23X2.000X6.0000</t>
        </is>
      </c>
      <c r="I467" t="n">
        <v>3215</v>
      </c>
      <c r="J467" t="n">
        <v>22.23</v>
      </c>
      <c r="K467" t="n">
        <v>0</v>
      </c>
      <c r="L467" t="n">
        <v>2</v>
      </c>
      <c r="M467" t="n">
        <v>6</v>
      </c>
      <c r="N467" t="inlineStr">
        <is>
          <t>Direct</t>
        </is>
      </c>
    </row>
    <row r="468">
      <c r="A468" t="inlineStr">
        <is>
          <t>0000943209</t>
        </is>
      </c>
      <c r="B468" t="inlineStr">
        <is>
          <t>MEGH STEELS PRIVATE LIMITED - TVS A</t>
        </is>
      </c>
      <c r="C468" t="inlineStr">
        <is>
          <t>KG</t>
        </is>
      </c>
      <c r="D468" t="n">
        <v>110</v>
      </c>
      <c r="E468" t="n">
        <v>662.192</v>
      </c>
      <c r="F468" t="n">
        <v>3410966</v>
      </c>
      <c r="G468" t="inlineStr">
        <is>
          <t>0789</t>
        </is>
      </c>
      <c r="H468" t="inlineStr">
        <is>
          <t>TUB-O-N-AUT-AW-FC-22.23X2.000X6.0000</t>
        </is>
      </c>
      <c r="I468" t="n">
        <v>661</v>
      </c>
      <c r="J468" t="n">
        <v>22.23</v>
      </c>
      <c r="K468" t="n">
        <v>0</v>
      </c>
      <c r="L468" t="n">
        <v>2</v>
      </c>
      <c r="M468" t="n">
        <v>6</v>
      </c>
      <c r="N468" t="inlineStr">
        <is>
          <t>Direct</t>
        </is>
      </c>
    </row>
    <row r="469">
      <c r="A469" t="inlineStr">
        <is>
          <t>0000943209</t>
        </is>
      </c>
      <c r="B469" t="inlineStr">
        <is>
          <t>MEGH STEELS PRIVATE LIMITED - TVS A</t>
        </is>
      </c>
      <c r="C469" t="inlineStr">
        <is>
          <t>NOS</t>
        </is>
      </c>
      <c r="D469" t="n">
        <v>2</v>
      </c>
      <c r="E469" t="n">
        <v>2.201</v>
      </c>
      <c r="F469" t="n">
        <v>2430128</v>
      </c>
      <c r="G469" t="inlineStr">
        <is>
          <t>0789</t>
        </is>
      </c>
      <c r="H469" t="inlineStr">
        <is>
          <t>TUB-R-AW-AUT-50.00X30.00X1.600X1.1000</t>
        </is>
      </c>
      <c r="I469" t="n">
        <v>4.274</v>
      </c>
      <c r="J469" t="n">
        <v>50</v>
      </c>
      <c r="K469" t="n">
        <v>30</v>
      </c>
      <c r="L469" t="n">
        <v>1.6</v>
      </c>
      <c r="M469" t="n">
        <v>1.1</v>
      </c>
      <c r="N469" t="inlineStr">
        <is>
          <t>Direct</t>
        </is>
      </c>
    </row>
    <row r="470">
      <c r="A470" t="inlineStr">
        <is>
          <t>0000943209</t>
        </is>
      </c>
      <c r="B470" t="inlineStr">
        <is>
          <t>MEGH STEELS PRIVATE LIMITED - TVS A</t>
        </is>
      </c>
      <c r="C470" t="inlineStr">
        <is>
          <t>NOS</t>
        </is>
      </c>
      <c r="D470" t="n">
        <v>1465</v>
      </c>
      <c r="E470" t="n">
        <v>1612.02</v>
      </c>
      <c r="F470" t="n">
        <v>2430128</v>
      </c>
      <c r="G470" t="inlineStr">
        <is>
          <t>0789</t>
        </is>
      </c>
      <c r="H470" t="inlineStr">
        <is>
          <t>TUB-R-AW-AUT-50.00X30.00X1.600X1.1000</t>
        </is>
      </c>
      <c r="I470" t="n">
        <v>3130.705</v>
      </c>
      <c r="J470" t="n">
        <v>50</v>
      </c>
      <c r="K470" t="n">
        <v>30</v>
      </c>
      <c r="L470" t="n">
        <v>1.6</v>
      </c>
      <c r="M470" t="n">
        <v>1.1</v>
      </c>
      <c r="N470" t="inlineStr">
        <is>
          <t>Direct</t>
        </is>
      </c>
    </row>
    <row r="471">
      <c r="A471" t="inlineStr">
        <is>
          <t>0000943209</t>
        </is>
      </c>
      <c r="B471" t="inlineStr">
        <is>
          <t>MEGH STEELS PRIVATE LIMITED - TVS A</t>
        </is>
      </c>
      <c r="C471" t="inlineStr">
        <is>
          <t>NOS</t>
        </is>
      </c>
      <c r="D471" t="n">
        <v>399</v>
      </c>
      <c r="E471" t="n">
        <v>1033.705</v>
      </c>
      <c r="F471" t="n">
        <v>2409618</v>
      </c>
      <c r="G471" t="inlineStr">
        <is>
          <t>0789</t>
        </is>
      </c>
      <c r="H471" t="inlineStr">
        <is>
          <t>TUB-O-N-AUT-AW-PE-25.40X1.600X2.5900</t>
        </is>
      </c>
      <c r="I471" t="n">
        <v>971.1660000000001</v>
      </c>
      <c r="J471" t="n">
        <v>25.4</v>
      </c>
      <c r="K471" t="n">
        <v>0</v>
      </c>
      <c r="L471" t="n">
        <v>1.6</v>
      </c>
      <c r="M471" t="n">
        <v>2.59</v>
      </c>
      <c r="N471" t="inlineStr">
        <is>
          <t>Direct</t>
        </is>
      </c>
    </row>
    <row r="472">
      <c r="A472" t="inlineStr">
        <is>
          <t>0000943209</t>
        </is>
      </c>
      <c r="B472" t="inlineStr">
        <is>
          <t>MEGH STEELS PRIVATE LIMITED - TVS A</t>
        </is>
      </c>
      <c r="C472" t="inlineStr">
        <is>
          <t>NOS</t>
        </is>
      </c>
      <c r="D472" t="n">
        <v>401</v>
      </c>
      <c r="E472" t="n">
        <v>1038.887</v>
      </c>
      <c r="F472" t="n">
        <v>2409618</v>
      </c>
      <c r="G472" t="inlineStr">
        <is>
          <t>0789</t>
        </is>
      </c>
      <c r="H472" t="inlineStr">
        <is>
          <t>TUB-O-N-AUT-AW-PE-25.40X1.600X2.5900</t>
        </is>
      </c>
      <c r="I472" t="n">
        <v>976.034</v>
      </c>
      <c r="J472" t="n">
        <v>25.4</v>
      </c>
      <c r="K472" t="n">
        <v>0</v>
      </c>
      <c r="L472" t="n">
        <v>1.6</v>
      </c>
      <c r="M472" t="n">
        <v>2.59</v>
      </c>
      <c r="N472" t="inlineStr">
        <is>
          <t>Direct</t>
        </is>
      </c>
    </row>
    <row r="473">
      <c r="A473" t="inlineStr">
        <is>
          <t>0000943209</t>
        </is>
      </c>
      <c r="B473" t="inlineStr">
        <is>
          <t>MEGH STEELS PRIVATE LIMITED - TVS A</t>
        </is>
      </c>
      <c r="C473" t="inlineStr">
        <is>
          <t>NOS</t>
        </is>
      </c>
      <c r="D473" t="n">
        <v>2275</v>
      </c>
      <c r="E473" t="n">
        <v>2977.806</v>
      </c>
      <c r="F473" t="n">
        <v>1940046</v>
      </c>
      <c r="G473" t="inlineStr">
        <is>
          <t>0789</t>
        </is>
      </c>
      <c r="H473" t="inlineStr">
        <is>
          <t>TUB-O-O-AUT-AW-PE-15.88X1.200X1.3100</t>
        </is>
      </c>
      <c r="I473" t="n">
        <v>1244.425</v>
      </c>
      <c r="J473" t="n">
        <v>15.88</v>
      </c>
      <c r="K473" t="n">
        <v>0</v>
      </c>
      <c r="L473" t="n">
        <v>1.2</v>
      </c>
      <c r="M473" t="n">
        <v>1.31</v>
      </c>
      <c r="N473" t="inlineStr">
        <is>
          <t>Direct</t>
        </is>
      </c>
    </row>
    <row r="474">
      <c r="A474" t="inlineStr">
        <is>
          <t>0000943209</t>
        </is>
      </c>
      <c r="B474" t="inlineStr">
        <is>
          <t>MEGH STEELS PRIVATE LIMITED - TVS A</t>
        </is>
      </c>
      <c r="C474" t="inlineStr">
        <is>
          <t>NOS</t>
        </is>
      </c>
      <c r="D474" t="n">
        <v>4800</v>
      </c>
      <c r="E474" t="n">
        <v>526.774</v>
      </c>
      <c r="F474" t="n">
        <v>3409366</v>
      </c>
      <c r="G474" t="inlineStr">
        <is>
          <t>0789</t>
        </is>
      </c>
      <c r="H474" t="inlineStr">
        <is>
          <t>TUB-O-N-AUT-AW-PE-19.05X1.200X0.1090</t>
        </is>
      </c>
      <c r="I474" t="n">
        <v>278.4</v>
      </c>
      <c r="J474" t="n">
        <v>19.05</v>
      </c>
      <c r="K474" t="n">
        <v>0</v>
      </c>
      <c r="L474" t="n">
        <v>1.2</v>
      </c>
      <c r="M474" t="n">
        <v>0.109</v>
      </c>
      <c r="N474" t="inlineStr">
        <is>
          <t>Direct</t>
        </is>
      </c>
    </row>
    <row r="475">
      <c r="A475" t="inlineStr">
        <is>
          <t>0000943209</t>
        </is>
      </c>
      <c r="B475" t="inlineStr">
        <is>
          <t>MEGH STEELS PRIVATE LIMITED - TVS A</t>
        </is>
      </c>
      <c r="C475" t="inlineStr">
        <is>
          <t>NOS</t>
        </is>
      </c>
      <c r="D475" t="n">
        <v>1439</v>
      </c>
      <c r="E475" t="n">
        <v>1647.667</v>
      </c>
      <c r="F475" t="n">
        <v>4110464</v>
      </c>
      <c r="G475" t="inlineStr">
        <is>
          <t>0789</t>
        </is>
      </c>
      <c r="H475" t="inlineStr">
        <is>
          <t>TUB-O-N-AUT-AW-PE-19.05X1.200X1.1450</t>
        </is>
      </c>
      <c r="I475" t="n">
        <v>870.371</v>
      </c>
      <c r="J475" t="n">
        <v>19.05</v>
      </c>
      <c r="K475" t="n">
        <v>0</v>
      </c>
      <c r="L475" t="n">
        <v>1.2</v>
      </c>
      <c r="M475" t="n">
        <v>1.145</v>
      </c>
      <c r="N475" t="inlineStr">
        <is>
          <t>Direct</t>
        </is>
      </c>
    </row>
    <row r="476">
      <c r="A476" t="inlineStr">
        <is>
          <t>0000943209</t>
        </is>
      </c>
      <c r="B476" t="inlineStr">
        <is>
          <t>MEGH STEELS PRIVATE LIMITED - TVS A</t>
        </is>
      </c>
      <c r="C476" t="inlineStr">
        <is>
          <t>NOS</t>
        </is>
      </c>
      <c r="D476" t="n">
        <v>436</v>
      </c>
      <c r="E476" t="n">
        <v>499.224</v>
      </c>
      <c r="F476" t="n">
        <v>4110464</v>
      </c>
      <c r="G476" t="inlineStr">
        <is>
          <t>0789</t>
        </is>
      </c>
      <c r="H476" t="inlineStr">
        <is>
          <t>TUB-O-N-AUT-AW-PE-19.05X1.200X1.1450</t>
        </is>
      </c>
      <c r="I476" t="n">
        <v>263.712</v>
      </c>
      <c r="J476" t="n">
        <v>19.05</v>
      </c>
      <c r="K476" t="n">
        <v>0</v>
      </c>
      <c r="L476" t="n">
        <v>1.2</v>
      </c>
      <c r="M476" t="n">
        <v>1.145</v>
      </c>
      <c r="N476" t="inlineStr">
        <is>
          <t>Direct</t>
        </is>
      </c>
    </row>
    <row r="477">
      <c r="A477" t="inlineStr">
        <is>
          <t>0000943209</t>
        </is>
      </c>
      <c r="B477" t="inlineStr">
        <is>
          <t>MEGH STEELS PRIVATE LIMITED - TVS A</t>
        </is>
      </c>
      <c r="C477" t="inlineStr">
        <is>
          <t>NOS</t>
        </is>
      </c>
      <c r="D477" t="n">
        <v>3550</v>
      </c>
      <c r="E477" t="n">
        <v>1827.058</v>
      </c>
      <c r="F477" t="n">
        <v>2409616</v>
      </c>
      <c r="G477" t="inlineStr">
        <is>
          <t>0789</t>
        </is>
      </c>
      <c r="H477" t="inlineStr">
        <is>
          <t>TUB-O-N-AUT-AW-PE-19.05X1.200X0.5130</t>
        </is>
      </c>
      <c r="I477" t="n">
        <v>965.6</v>
      </c>
      <c r="J477" t="n">
        <v>19.05</v>
      </c>
      <c r="K477" t="n">
        <v>0</v>
      </c>
      <c r="L477" t="n">
        <v>1.2</v>
      </c>
      <c r="M477" t="n">
        <v>0.513</v>
      </c>
      <c r="N477" t="inlineStr">
        <is>
          <t>Direct</t>
        </is>
      </c>
    </row>
    <row r="478">
      <c r="A478" t="inlineStr">
        <is>
          <t>0000943209</t>
        </is>
      </c>
      <c r="B478" t="inlineStr">
        <is>
          <t>MEGH STEELS PRIVATE LIMITED - TVS A</t>
        </is>
      </c>
      <c r="C478" t="inlineStr">
        <is>
          <t>NOS</t>
        </is>
      </c>
      <c r="D478" t="n">
        <v>66</v>
      </c>
      <c r="E478" t="n">
        <v>48.18</v>
      </c>
      <c r="F478" t="n">
        <v>4241099</v>
      </c>
      <c r="G478" t="inlineStr">
        <is>
          <t>0789</t>
        </is>
      </c>
      <c r="H478" t="inlineStr">
        <is>
          <t>CUT-O-N-AUT-AW-PE-15.88X1.200X0.7300</t>
        </is>
      </c>
      <c r="I478" t="n">
        <v>20.939</v>
      </c>
      <c r="J478" t="n">
        <v>15.88</v>
      </c>
      <c r="K478" t="n">
        <v>0</v>
      </c>
      <c r="L478" t="n">
        <v>1.2</v>
      </c>
      <c r="M478" t="n">
        <v>0.73</v>
      </c>
      <c r="N478" t="inlineStr">
        <is>
          <t>Direct</t>
        </is>
      </c>
    </row>
    <row r="479">
      <c r="A479" t="inlineStr">
        <is>
          <t>0000943209</t>
        </is>
      </c>
      <c r="B479" t="inlineStr">
        <is>
          <t>MEGH STEELS PRIVATE LIMITED - TVS A</t>
        </is>
      </c>
      <c r="C479" t="inlineStr">
        <is>
          <t>NOS</t>
        </is>
      </c>
      <c r="D479" t="n">
        <v>7</v>
      </c>
      <c r="E479" t="n">
        <v>5.11</v>
      </c>
      <c r="F479" t="n">
        <v>4241099</v>
      </c>
      <c r="G479" t="inlineStr">
        <is>
          <t>0789</t>
        </is>
      </c>
      <c r="H479" t="inlineStr">
        <is>
          <t>CUT-O-N-AUT-AW-PE-15.88X1.200X0.7300</t>
        </is>
      </c>
      <c r="I479" t="n">
        <v>2.221</v>
      </c>
      <c r="J479" t="n">
        <v>15.88</v>
      </c>
      <c r="K479" t="n">
        <v>0</v>
      </c>
      <c r="L479" t="n">
        <v>1.2</v>
      </c>
      <c r="M479" t="n">
        <v>0.73</v>
      </c>
      <c r="N479" t="inlineStr">
        <is>
          <t>Direct</t>
        </is>
      </c>
    </row>
    <row r="480">
      <c r="A480" t="inlineStr">
        <is>
          <t>0000943209</t>
        </is>
      </c>
      <c r="B480" t="inlineStr">
        <is>
          <t>MEGH STEELS PRIVATE LIMITED - TVS A</t>
        </is>
      </c>
      <c r="C480" t="inlineStr">
        <is>
          <t>NOS</t>
        </is>
      </c>
      <c r="D480" t="n">
        <v>2849</v>
      </c>
      <c r="E480" t="n">
        <v>2079.754</v>
      </c>
      <c r="F480" t="n">
        <v>4241099</v>
      </c>
      <c r="G480" t="inlineStr">
        <is>
          <t>0789</t>
        </is>
      </c>
      <c r="H480" t="inlineStr">
        <is>
          <t>CUT-O-N-AUT-AW-PE-15.88X1.200X0.7300</t>
        </is>
      </c>
      <c r="I480" t="n">
        <v>903.861</v>
      </c>
      <c r="J480" t="n">
        <v>15.88</v>
      </c>
      <c r="K480" t="n">
        <v>0</v>
      </c>
      <c r="L480" t="n">
        <v>1.2</v>
      </c>
      <c r="M480" t="n">
        <v>0.73</v>
      </c>
      <c r="N480" t="inlineStr">
        <is>
          <t>Direct</t>
        </is>
      </c>
    </row>
    <row r="481">
      <c r="A481" t="inlineStr">
        <is>
          <t>0000943209</t>
        </is>
      </c>
      <c r="B481" t="inlineStr">
        <is>
          <t>MEGH STEELS PRIVATE LIMITED - TVS A</t>
        </is>
      </c>
      <c r="C481" t="inlineStr">
        <is>
          <t>NOS</t>
        </is>
      </c>
      <c r="D481" t="n">
        <v>3178</v>
      </c>
      <c r="E481" t="n">
        <v>2319.922</v>
      </c>
      <c r="F481" t="n">
        <v>4241099</v>
      </c>
      <c r="G481" t="inlineStr">
        <is>
          <t>0789</t>
        </is>
      </c>
      <c r="H481" t="inlineStr">
        <is>
          <t>CUT-O-N-AUT-AW-PE-15.88X1.200X0.7300</t>
        </is>
      </c>
      <c r="I481" t="n">
        <v>1008.238</v>
      </c>
      <c r="J481" t="n">
        <v>15.88</v>
      </c>
      <c r="K481" t="n">
        <v>0</v>
      </c>
      <c r="L481" t="n">
        <v>1.2</v>
      </c>
      <c r="M481" t="n">
        <v>0.73</v>
      </c>
      <c r="N481" t="inlineStr">
        <is>
          <t>Direct</t>
        </is>
      </c>
    </row>
    <row r="482">
      <c r="A482" t="inlineStr">
        <is>
          <t>0000943209</t>
        </is>
      </c>
      <c r="B482" t="inlineStr">
        <is>
          <t>MEGH STEELS PRIVATE LIMITED - TVS A</t>
        </is>
      </c>
      <c r="C482" t="inlineStr">
        <is>
          <t>KG</t>
        </is>
      </c>
      <c r="D482" t="n">
        <v>26</v>
      </c>
      <c r="E482" t="n">
        <v>156.646</v>
      </c>
      <c r="F482" t="n">
        <v>4272693</v>
      </c>
      <c r="G482" t="inlineStr">
        <is>
          <t>0789</t>
        </is>
      </c>
      <c r="H482" t="inlineStr">
        <is>
          <t>TUB-O-N-AUT-AW-FC-22.20X2.000X5.9500</t>
        </is>
      </c>
      <c r="I482" t="n">
        <v>149</v>
      </c>
      <c r="J482" t="n">
        <v>22.2</v>
      </c>
      <c r="K482" t="n">
        <v>0</v>
      </c>
      <c r="L482" t="n">
        <v>2</v>
      </c>
      <c r="M482" t="n">
        <v>5.95</v>
      </c>
      <c r="N482" t="inlineStr">
        <is>
          <t>Direct</t>
        </is>
      </c>
    </row>
    <row r="483">
      <c r="A483" t="inlineStr">
        <is>
          <t>0000943209</t>
        </is>
      </c>
      <c r="B483" t="inlineStr">
        <is>
          <t>MEGH STEELS PRIVATE LIMITED - TVS A</t>
        </is>
      </c>
      <c r="C483" t="inlineStr">
        <is>
          <t>KG</t>
        </is>
      </c>
      <c r="D483" t="n">
        <v>233</v>
      </c>
      <c r="E483" t="n">
        <v>1387.737</v>
      </c>
      <c r="F483" t="n">
        <v>4272693</v>
      </c>
      <c r="G483" t="inlineStr">
        <is>
          <t>0789</t>
        </is>
      </c>
      <c r="H483" t="inlineStr">
        <is>
          <t>TUB-O-N-AUT-AW-FC-22.20X2.000X5.9500</t>
        </is>
      </c>
      <c r="I483" t="n">
        <v>1320</v>
      </c>
      <c r="J483" t="n">
        <v>22.2</v>
      </c>
      <c r="K483" t="n">
        <v>0</v>
      </c>
      <c r="L483" t="n">
        <v>2</v>
      </c>
      <c r="M483" t="n">
        <v>5.95</v>
      </c>
      <c r="N483" t="inlineStr">
        <is>
          <t>Direct</t>
        </is>
      </c>
    </row>
    <row r="484">
      <c r="A484" t="inlineStr">
        <is>
          <t>0000943209</t>
        </is>
      </c>
      <c r="B484" t="inlineStr">
        <is>
          <t>MEGH STEELS PRIVATE LIMITED - TVS A</t>
        </is>
      </c>
      <c r="C484" t="inlineStr">
        <is>
          <t>KG</t>
        </is>
      </c>
      <c r="D484" t="n">
        <v>491</v>
      </c>
      <c r="E484" t="n">
        <v>2922.658</v>
      </c>
      <c r="F484" t="n">
        <v>4272693</v>
      </c>
      <c r="G484" t="inlineStr">
        <is>
          <t>0789</t>
        </is>
      </c>
      <c r="H484" t="inlineStr">
        <is>
          <t>TUB-O-N-AUT-AW-FC-22.20X2.000X5.9500</t>
        </is>
      </c>
      <c r="I484" t="n">
        <v>2780</v>
      </c>
      <c r="J484" t="n">
        <v>22.2</v>
      </c>
      <c r="K484" t="n">
        <v>0</v>
      </c>
      <c r="L484" t="n">
        <v>2</v>
      </c>
      <c r="M484" t="n">
        <v>5.95</v>
      </c>
      <c r="N484" t="inlineStr">
        <is>
          <t>Direct</t>
        </is>
      </c>
    </row>
    <row r="485">
      <c r="A485" t="inlineStr">
        <is>
          <t>0000943209</t>
        </is>
      </c>
      <c r="B485" t="inlineStr">
        <is>
          <t>MEGH STEELS PRIVATE LIMITED - TVS A</t>
        </is>
      </c>
      <c r="C485" t="inlineStr">
        <is>
          <t>KG</t>
        </is>
      </c>
      <c r="D485" t="n">
        <v>489</v>
      </c>
      <c r="E485" t="n">
        <v>2906.888</v>
      </c>
      <c r="F485" t="n">
        <v>4272693</v>
      </c>
      <c r="G485" t="inlineStr">
        <is>
          <t>0789</t>
        </is>
      </c>
      <c r="H485" t="inlineStr">
        <is>
          <t>TUB-O-N-AUT-AW-FC-22.20X2.000X5.9500</t>
        </is>
      </c>
      <c r="I485" t="n">
        <v>2765</v>
      </c>
      <c r="J485" t="n">
        <v>22.2</v>
      </c>
      <c r="K485" t="n">
        <v>0</v>
      </c>
      <c r="L485" t="n">
        <v>2</v>
      </c>
      <c r="M485" t="n">
        <v>5.95</v>
      </c>
      <c r="N485" t="inlineStr">
        <is>
          <t>Direct</t>
        </is>
      </c>
    </row>
    <row r="486">
      <c r="A486" t="inlineStr">
        <is>
          <t>0000943209</t>
        </is>
      </c>
      <c r="B486" t="inlineStr">
        <is>
          <t>MEGH STEELS PRIVATE LIMITED - TVS A</t>
        </is>
      </c>
      <c r="C486" t="inlineStr">
        <is>
          <t>KG</t>
        </is>
      </c>
      <c r="D486" t="n">
        <v>495</v>
      </c>
      <c r="E486" t="n">
        <v>2943.685</v>
      </c>
      <c r="F486" t="n">
        <v>4272693</v>
      </c>
      <c r="G486" t="inlineStr">
        <is>
          <t>0789</t>
        </is>
      </c>
      <c r="H486" t="inlineStr">
        <is>
          <t>TUB-O-N-AUT-AW-FC-22.20X2.000X5.9500</t>
        </is>
      </c>
      <c r="I486" t="n">
        <v>2800</v>
      </c>
      <c r="J486" t="n">
        <v>22.2</v>
      </c>
      <c r="K486" t="n">
        <v>0</v>
      </c>
      <c r="L486" t="n">
        <v>2</v>
      </c>
      <c r="M486" t="n">
        <v>5.95</v>
      </c>
      <c r="N486" t="inlineStr">
        <is>
          <t>Direct</t>
        </is>
      </c>
    </row>
    <row r="487">
      <c r="A487" t="inlineStr">
        <is>
          <t>0000943209</t>
        </is>
      </c>
      <c r="B487" t="inlineStr">
        <is>
          <t>MEGH STEELS PRIVATE LIMITED - TVS A</t>
        </is>
      </c>
      <c r="C487" t="inlineStr">
        <is>
          <t>KG</t>
        </is>
      </c>
      <c r="D487" t="n">
        <v>292</v>
      </c>
      <c r="E487" t="n">
        <v>1735.723</v>
      </c>
      <c r="F487" t="n">
        <v>4272693</v>
      </c>
      <c r="G487" t="inlineStr">
        <is>
          <t>0789</t>
        </is>
      </c>
      <c r="H487" t="inlineStr">
        <is>
          <t>TUB-O-N-AUT-AW-FC-22.20X2.000X5.9500</t>
        </is>
      </c>
      <c r="I487" t="n">
        <v>1651</v>
      </c>
      <c r="J487" t="n">
        <v>22.2</v>
      </c>
      <c r="K487" t="n">
        <v>0</v>
      </c>
      <c r="L487" t="n">
        <v>2</v>
      </c>
      <c r="M487" t="n">
        <v>5.95</v>
      </c>
      <c r="N487" t="inlineStr">
        <is>
          <t>Direct</t>
        </is>
      </c>
    </row>
    <row r="488">
      <c r="A488" t="inlineStr">
        <is>
          <t>0000943209</t>
        </is>
      </c>
      <c r="B488" t="inlineStr">
        <is>
          <t>MEGH STEELS PRIVATE LIMITED - TVS A</t>
        </is>
      </c>
      <c r="C488" t="inlineStr">
        <is>
          <t>KG</t>
        </is>
      </c>
      <c r="D488" t="n">
        <v>366</v>
      </c>
      <c r="E488" t="n">
        <v>2176.224</v>
      </c>
      <c r="F488" t="n">
        <v>4272693</v>
      </c>
      <c r="G488" t="inlineStr">
        <is>
          <t>0789</t>
        </is>
      </c>
      <c r="H488" t="inlineStr">
        <is>
          <t>TUB-O-N-AUT-AW-FC-22.20X2.000X5.9500</t>
        </is>
      </c>
      <c r="I488" t="n">
        <v>2070</v>
      </c>
      <c r="J488" t="n">
        <v>22.2</v>
      </c>
      <c r="K488" t="n">
        <v>0</v>
      </c>
      <c r="L488" t="n">
        <v>2</v>
      </c>
      <c r="M488" t="n">
        <v>5.95</v>
      </c>
      <c r="N488" t="inlineStr">
        <is>
          <t>Direct</t>
        </is>
      </c>
    </row>
    <row r="489">
      <c r="A489" t="inlineStr">
        <is>
          <t>0000943209</t>
        </is>
      </c>
      <c r="B489" t="inlineStr">
        <is>
          <t>MEGH STEELS PRIVATE LIMITED - TVS A</t>
        </is>
      </c>
      <c r="C489" t="inlineStr">
        <is>
          <t>KG</t>
        </is>
      </c>
      <c r="D489" t="n">
        <v>402</v>
      </c>
      <c r="E489" t="n">
        <v>2391.744</v>
      </c>
      <c r="F489" t="n">
        <v>4272693</v>
      </c>
      <c r="G489" t="inlineStr">
        <is>
          <t>0789</t>
        </is>
      </c>
      <c r="H489" t="inlineStr">
        <is>
          <t>TUB-O-N-AUT-AW-FC-22.20X2.000X5.9500</t>
        </is>
      </c>
      <c r="I489" t="n">
        <v>2275</v>
      </c>
      <c r="J489" t="n">
        <v>22.2</v>
      </c>
      <c r="K489" t="n">
        <v>0</v>
      </c>
      <c r="L489" t="n">
        <v>2</v>
      </c>
      <c r="M489" t="n">
        <v>5.95</v>
      </c>
      <c r="N489" t="inlineStr">
        <is>
          <t>Direct</t>
        </is>
      </c>
    </row>
    <row r="490">
      <c r="A490" t="inlineStr">
        <is>
          <t>0000943209</t>
        </is>
      </c>
      <c r="B490" t="inlineStr">
        <is>
          <t>MEGH STEELS PRIVATE LIMITED - TVS A</t>
        </is>
      </c>
      <c r="C490" t="inlineStr">
        <is>
          <t>KG</t>
        </is>
      </c>
      <c r="D490" t="n">
        <v>382</v>
      </c>
      <c r="E490" t="n">
        <v>2272.945</v>
      </c>
      <c r="F490" t="n">
        <v>4272693</v>
      </c>
      <c r="G490" t="inlineStr">
        <is>
          <t>0789</t>
        </is>
      </c>
      <c r="H490" t="inlineStr">
        <is>
          <t>TUB-O-N-AUT-AW-FC-22.20X2.000X5.9500</t>
        </is>
      </c>
      <c r="I490" t="n">
        <v>2162</v>
      </c>
      <c r="J490" t="n">
        <v>22.2</v>
      </c>
      <c r="K490" t="n">
        <v>0</v>
      </c>
      <c r="L490" t="n">
        <v>2</v>
      </c>
      <c r="M490" t="n">
        <v>5.95</v>
      </c>
      <c r="N490" t="inlineStr">
        <is>
          <t>Direct</t>
        </is>
      </c>
    </row>
    <row r="491">
      <c r="A491" t="inlineStr">
        <is>
          <t>0000943209</t>
        </is>
      </c>
      <c r="B491" t="inlineStr">
        <is>
          <t>MEGH STEELS PRIVATE LIMITED - TVS A</t>
        </is>
      </c>
      <c r="C491" t="inlineStr">
        <is>
          <t>KG</t>
        </is>
      </c>
      <c r="D491" t="n">
        <v>515</v>
      </c>
      <c r="E491" t="n">
        <v>3063.535</v>
      </c>
      <c r="F491" t="n">
        <v>4272693</v>
      </c>
      <c r="G491" t="inlineStr">
        <is>
          <t>0789</t>
        </is>
      </c>
      <c r="H491" t="inlineStr">
        <is>
          <t>TUB-O-N-AUT-AW-FC-22.20X2.000X5.9500</t>
        </is>
      </c>
      <c r="I491" t="n">
        <v>2914</v>
      </c>
      <c r="J491" t="n">
        <v>22.2</v>
      </c>
      <c r="K491" t="n">
        <v>0</v>
      </c>
      <c r="L491" t="n">
        <v>2</v>
      </c>
      <c r="M491" t="n">
        <v>5.95</v>
      </c>
      <c r="N491" t="inlineStr">
        <is>
          <t>Direct</t>
        </is>
      </c>
    </row>
    <row r="492">
      <c r="A492" t="inlineStr">
        <is>
          <t>0000943209</t>
        </is>
      </c>
      <c r="B492" t="inlineStr">
        <is>
          <t>MEGH STEELS PRIVATE LIMITED - TVS A</t>
        </is>
      </c>
      <c r="C492" t="inlineStr">
        <is>
          <t>KG</t>
        </is>
      </c>
      <c r="D492" t="n">
        <v>48</v>
      </c>
      <c r="E492" t="n">
        <v>288.061</v>
      </c>
      <c r="F492" t="n">
        <v>4272693</v>
      </c>
      <c r="G492" t="inlineStr">
        <is>
          <t>0789</t>
        </is>
      </c>
      <c r="H492" t="inlineStr">
        <is>
          <t>TUB-O-N-AUT-AW-FC-22.20X2.000X5.9500</t>
        </is>
      </c>
      <c r="I492" t="n">
        <v>274</v>
      </c>
      <c r="J492" t="n">
        <v>22.2</v>
      </c>
      <c r="K492" t="n">
        <v>0</v>
      </c>
      <c r="L492" t="n">
        <v>2</v>
      </c>
      <c r="M492" t="n">
        <v>5.95</v>
      </c>
      <c r="N492" t="inlineStr">
        <is>
          <t>Direct</t>
        </is>
      </c>
    </row>
    <row r="493">
      <c r="A493" t="inlineStr">
        <is>
          <t>0000943211</t>
        </is>
      </c>
      <c r="B493" t="inlineStr">
        <is>
          <t>MEGH STEELS PRIVATE LIMITED - RE</t>
        </is>
      </c>
      <c r="C493" t="inlineStr">
        <is>
          <t>KG</t>
        </is>
      </c>
      <c r="D493" t="n">
        <v>201</v>
      </c>
      <c r="E493" t="n">
        <v>1139.661</v>
      </c>
      <c r="F493" t="n">
        <v>3460088</v>
      </c>
      <c r="G493" t="inlineStr">
        <is>
          <t>0789</t>
        </is>
      </c>
      <c r="H493" t="inlineStr">
        <is>
          <t>TUB-O-N-AUT-AW-FC-48.00X1.200X5.6700</t>
        </is>
      </c>
      <c r="I493" t="n">
        <v>1579</v>
      </c>
      <c r="J493" t="n">
        <v>48</v>
      </c>
      <c r="K493" t="n">
        <v>0</v>
      </c>
      <c r="L493" t="n">
        <v>1.2</v>
      </c>
      <c r="M493" t="n">
        <v>5.67</v>
      </c>
      <c r="N493" t="inlineStr">
        <is>
          <t>Direct</t>
        </is>
      </c>
    </row>
    <row r="494">
      <c r="A494" t="inlineStr">
        <is>
          <t>0000943211</t>
        </is>
      </c>
      <c r="B494" t="inlineStr">
        <is>
          <t>MEGH STEELS PRIVATE LIMITED - RE</t>
        </is>
      </c>
      <c r="C494" t="inlineStr">
        <is>
          <t>KG</t>
        </is>
      </c>
      <c r="D494" t="n">
        <v>191</v>
      </c>
      <c r="E494" t="n">
        <v>1082.642</v>
      </c>
      <c r="F494" t="n">
        <v>3460088</v>
      </c>
      <c r="G494" t="inlineStr">
        <is>
          <t>0789</t>
        </is>
      </c>
      <c r="H494" t="inlineStr">
        <is>
          <t>TUB-O-N-AUT-AW-FC-48.00X1.200X5.6700</t>
        </is>
      </c>
      <c r="I494" t="n">
        <v>1500</v>
      </c>
      <c r="J494" t="n">
        <v>48</v>
      </c>
      <c r="K494" t="n">
        <v>0</v>
      </c>
      <c r="L494" t="n">
        <v>1.2</v>
      </c>
      <c r="M494" t="n">
        <v>5.67</v>
      </c>
      <c r="N494" t="inlineStr">
        <is>
          <t>Direct</t>
        </is>
      </c>
    </row>
    <row r="495">
      <c r="A495" t="inlineStr">
        <is>
          <t>0000943211</t>
        </is>
      </c>
      <c r="B495" t="inlineStr">
        <is>
          <t>MEGH STEELS PRIVATE LIMITED - RE</t>
        </is>
      </c>
      <c r="C495" t="inlineStr">
        <is>
          <t>KG</t>
        </is>
      </c>
      <c r="D495" t="n">
        <v>154</v>
      </c>
      <c r="E495" t="n">
        <v>873.331</v>
      </c>
      <c r="F495" t="n">
        <v>3460088</v>
      </c>
      <c r="G495" t="inlineStr">
        <is>
          <t>0789</t>
        </is>
      </c>
      <c r="H495" t="inlineStr">
        <is>
          <t>TUB-O-N-AUT-AW-FC-48.00X1.200X5.6700</t>
        </is>
      </c>
      <c r="I495" t="n">
        <v>1210</v>
      </c>
      <c r="J495" t="n">
        <v>48</v>
      </c>
      <c r="K495" t="n">
        <v>0</v>
      </c>
      <c r="L495" t="n">
        <v>1.2</v>
      </c>
      <c r="M495" t="n">
        <v>5.67</v>
      </c>
      <c r="N495" t="inlineStr">
        <is>
          <t>Direct</t>
        </is>
      </c>
    </row>
    <row r="496">
      <c r="A496" t="inlineStr">
        <is>
          <t>0000943211</t>
        </is>
      </c>
      <c r="B496" t="inlineStr">
        <is>
          <t>MEGH STEELS PRIVATE LIMITED - RE</t>
        </is>
      </c>
      <c r="C496" t="inlineStr">
        <is>
          <t>KG</t>
        </is>
      </c>
      <c r="D496" t="n">
        <v>197</v>
      </c>
      <c r="E496" t="n">
        <v>1118.73</v>
      </c>
      <c r="F496" t="n">
        <v>3460088</v>
      </c>
      <c r="G496" t="inlineStr">
        <is>
          <t>0789</t>
        </is>
      </c>
      <c r="H496" t="inlineStr">
        <is>
          <t>TUB-O-N-AUT-AW-FC-48.00X1.200X5.6700</t>
        </is>
      </c>
      <c r="I496" t="n">
        <v>1550</v>
      </c>
      <c r="J496" t="n">
        <v>48</v>
      </c>
      <c r="K496" t="n">
        <v>0</v>
      </c>
      <c r="L496" t="n">
        <v>1.2</v>
      </c>
      <c r="M496" t="n">
        <v>5.67</v>
      </c>
      <c r="N496" t="inlineStr">
        <is>
          <t>Direct</t>
        </is>
      </c>
    </row>
    <row r="497">
      <c r="A497" t="inlineStr">
        <is>
          <t>0000943211</t>
        </is>
      </c>
      <c r="B497" t="inlineStr">
        <is>
          <t>MEGH STEELS PRIVATE LIMITED - RE</t>
        </is>
      </c>
      <c r="C497" t="inlineStr">
        <is>
          <t>KG</t>
        </is>
      </c>
      <c r="D497" t="n">
        <v>202</v>
      </c>
      <c r="E497" t="n">
        <v>1143.991</v>
      </c>
      <c r="F497" t="n">
        <v>3460088</v>
      </c>
      <c r="G497" t="inlineStr">
        <is>
          <t>0789</t>
        </is>
      </c>
      <c r="H497" t="inlineStr">
        <is>
          <t>TUB-O-N-AUT-AW-FC-48.00X1.200X5.6700</t>
        </is>
      </c>
      <c r="I497" t="n">
        <v>1585</v>
      </c>
      <c r="J497" t="n">
        <v>48</v>
      </c>
      <c r="K497" t="n">
        <v>0</v>
      </c>
      <c r="L497" t="n">
        <v>1.2</v>
      </c>
      <c r="M497" t="n">
        <v>5.67</v>
      </c>
      <c r="N497" t="inlineStr">
        <is>
          <t>Direct</t>
        </is>
      </c>
    </row>
    <row r="498">
      <c r="A498" t="inlineStr">
        <is>
          <t>0000943211</t>
        </is>
      </c>
      <c r="B498" t="inlineStr">
        <is>
          <t>MEGH STEELS PRIVATE LIMITED - RE</t>
        </is>
      </c>
      <c r="C498" t="inlineStr">
        <is>
          <t>KG</t>
        </is>
      </c>
      <c r="D498" t="n">
        <v>195</v>
      </c>
      <c r="E498" t="n">
        <v>1104.294</v>
      </c>
      <c r="F498" t="n">
        <v>3460088</v>
      </c>
      <c r="G498" t="inlineStr">
        <is>
          <t>0789</t>
        </is>
      </c>
      <c r="H498" t="inlineStr">
        <is>
          <t>TUB-O-N-AUT-AW-FC-48.00X1.200X5.6700</t>
        </is>
      </c>
      <c r="I498" t="n">
        <v>1530</v>
      </c>
      <c r="J498" t="n">
        <v>48</v>
      </c>
      <c r="K498" t="n">
        <v>0</v>
      </c>
      <c r="L498" t="n">
        <v>1.2</v>
      </c>
      <c r="M498" t="n">
        <v>5.67</v>
      </c>
      <c r="N498" t="inlineStr">
        <is>
          <t>Direct</t>
        </is>
      </c>
    </row>
    <row r="499">
      <c r="A499" t="inlineStr">
        <is>
          <t>0000943211</t>
        </is>
      </c>
      <c r="B499" t="inlineStr">
        <is>
          <t>MEGH STEELS PRIVATE LIMITED - RE</t>
        </is>
      </c>
      <c r="C499" t="inlineStr">
        <is>
          <t>KG</t>
        </is>
      </c>
      <c r="D499" t="n">
        <v>59</v>
      </c>
      <c r="E499" t="n">
        <v>336.341</v>
      </c>
      <c r="F499" t="n">
        <v>3460088</v>
      </c>
      <c r="G499" t="inlineStr">
        <is>
          <t>0789</t>
        </is>
      </c>
      <c r="H499" t="inlineStr">
        <is>
          <t>TUB-O-N-AUT-AW-FC-48.00X1.200X5.6700</t>
        </is>
      </c>
      <c r="I499" t="n">
        <v>466</v>
      </c>
      <c r="J499" t="n">
        <v>48</v>
      </c>
      <c r="K499" t="n">
        <v>0</v>
      </c>
      <c r="L499" t="n">
        <v>1.2</v>
      </c>
      <c r="M499" t="n">
        <v>5.67</v>
      </c>
      <c r="N499" t="inlineStr">
        <is>
          <t>Direct</t>
        </is>
      </c>
    </row>
    <row r="500">
      <c r="A500" t="inlineStr">
        <is>
          <t>0000943209</t>
        </is>
      </c>
      <c r="B500" t="inlineStr">
        <is>
          <t>MEGH STEELS PRIVATE LIMITED - TVS A</t>
        </is>
      </c>
      <c r="C500" t="inlineStr">
        <is>
          <t>KG</t>
        </is>
      </c>
      <c r="D500" t="n">
        <v>464</v>
      </c>
      <c r="E500" t="n">
        <v>2565.195</v>
      </c>
      <c r="F500" t="n">
        <v>3502256</v>
      </c>
      <c r="G500" t="inlineStr">
        <is>
          <t>0789</t>
        </is>
      </c>
      <c r="H500" t="inlineStr">
        <is>
          <t>TUB-O-N-AUT-AW-PE-25.40X2.500X5.5300</t>
        </is>
      </c>
      <c r="I500" t="n">
        <v>3492</v>
      </c>
      <c r="J500" t="n">
        <v>25.4</v>
      </c>
      <c r="K500" t="n">
        <v>0</v>
      </c>
      <c r="L500" t="n">
        <v>2.5</v>
      </c>
      <c r="M500" t="n">
        <v>5.53</v>
      </c>
      <c r="N500" t="inlineStr">
        <is>
          <t>Direct</t>
        </is>
      </c>
      <c r="O500" t="inlineStr">
        <is>
          <t>25.4-0-2.5-ERW 1-PE-5.53</t>
        </is>
      </c>
    </row>
    <row r="501">
      <c r="A501" t="inlineStr">
        <is>
          <t>0000943209</t>
        </is>
      </c>
      <c r="B501" t="inlineStr">
        <is>
          <t>MEGH STEELS PRIVATE LIMITED - TVS A</t>
        </is>
      </c>
      <c r="C501" t="inlineStr">
        <is>
          <t>KG</t>
        </is>
      </c>
      <c r="D501" t="n">
        <v>167</v>
      </c>
      <c r="E501" t="n">
        <v>924.117</v>
      </c>
      <c r="F501" t="n">
        <v>3502256</v>
      </c>
      <c r="G501" t="inlineStr">
        <is>
          <t>0789</t>
        </is>
      </c>
      <c r="H501" t="inlineStr">
        <is>
          <t>TUB-O-N-AUT-AW-PE-25.40X2.500X5.5300</t>
        </is>
      </c>
      <c r="I501" t="n">
        <v>1258</v>
      </c>
      <c r="J501" t="n">
        <v>25.4</v>
      </c>
      <c r="K501" t="n">
        <v>0</v>
      </c>
      <c r="L501" t="n">
        <v>2.5</v>
      </c>
      <c r="M501" t="n">
        <v>5.53</v>
      </c>
      <c r="N501" t="inlineStr">
        <is>
          <t>Direct</t>
        </is>
      </c>
      <c r="O501" t="inlineStr">
        <is>
          <t>25.4-0-2.5-ERW 1-PE-5.53</t>
        </is>
      </c>
    </row>
    <row r="502">
      <c r="A502" t="inlineStr">
        <is>
          <t>0000943209</t>
        </is>
      </c>
      <c r="B502" t="inlineStr">
        <is>
          <t>MEGH STEELS PRIVATE LIMITED - TVS A</t>
        </is>
      </c>
      <c r="C502" t="inlineStr">
        <is>
          <t>KG</t>
        </is>
      </c>
      <c r="D502" t="n">
        <v>316</v>
      </c>
      <c r="E502" t="n">
        <v>1746.125</v>
      </c>
      <c r="F502" t="n">
        <v>3502256</v>
      </c>
      <c r="G502" t="inlineStr">
        <is>
          <t>0789</t>
        </is>
      </c>
      <c r="H502" t="inlineStr">
        <is>
          <t>TUB-O-N-AUT-AW-PE-25.40X2.500X5.5300</t>
        </is>
      </c>
      <c r="I502" t="n">
        <v>2377</v>
      </c>
      <c r="J502" t="n">
        <v>25.4</v>
      </c>
      <c r="K502" t="n">
        <v>0</v>
      </c>
      <c r="L502" t="n">
        <v>2.5</v>
      </c>
      <c r="M502" t="n">
        <v>5.53</v>
      </c>
      <c r="N502" t="inlineStr">
        <is>
          <t>Direct</t>
        </is>
      </c>
      <c r="O502" t="inlineStr">
        <is>
          <t>25.4-0-2.5-ERW 1-PE-5.53</t>
        </is>
      </c>
    </row>
    <row r="503">
      <c r="A503" t="inlineStr">
        <is>
          <t>0000943209</t>
        </is>
      </c>
      <c r="B503" t="inlineStr">
        <is>
          <t>MEGH STEELS PRIVATE LIMITED - TVS A</t>
        </is>
      </c>
      <c r="C503" t="inlineStr">
        <is>
          <t>KG</t>
        </is>
      </c>
      <c r="D503" t="n">
        <v>264</v>
      </c>
      <c r="E503" t="n">
        <v>1459.634</v>
      </c>
      <c r="F503" t="n">
        <v>3502256</v>
      </c>
      <c r="G503" t="inlineStr">
        <is>
          <t>0789</t>
        </is>
      </c>
      <c r="H503" t="inlineStr">
        <is>
          <t>TUB-O-N-AUT-AW-PE-25.40X2.500X5.5300</t>
        </is>
      </c>
      <c r="I503" t="n">
        <v>1987</v>
      </c>
      <c r="J503" t="n">
        <v>25.4</v>
      </c>
      <c r="K503" t="n">
        <v>0</v>
      </c>
      <c r="L503" t="n">
        <v>2.5</v>
      </c>
      <c r="M503" t="n">
        <v>5.53</v>
      </c>
      <c r="N503" t="inlineStr">
        <is>
          <t>Direct</t>
        </is>
      </c>
      <c r="O503" t="inlineStr">
        <is>
          <t>25.4-0-2.5-ERW 1-PE-5.53</t>
        </is>
      </c>
    </row>
    <row r="504">
      <c r="A504" t="inlineStr">
        <is>
          <t>0000943209</t>
        </is>
      </c>
      <c r="B504" t="inlineStr">
        <is>
          <t>MEGH STEELS PRIVATE LIMITED - TVS A</t>
        </is>
      </c>
      <c r="C504" t="inlineStr">
        <is>
          <t>KG</t>
        </is>
      </c>
      <c r="D504" t="n">
        <v>231</v>
      </c>
      <c r="E504" t="n">
        <v>1275.252</v>
      </c>
      <c r="F504" t="n">
        <v>3502256</v>
      </c>
      <c r="G504" t="inlineStr">
        <is>
          <t>0789</t>
        </is>
      </c>
      <c r="H504" t="inlineStr">
        <is>
          <t>TUB-O-N-AUT-AW-PE-25.40X2.500X5.5300</t>
        </is>
      </c>
      <c r="I504" t="n">
        <v>1736</v>
      </c>
      <c r="J504" t="n">
        <v>25.4</v>
      </c>
      <c r="K504" t="n">
        <v>0</v>
      </c>
      <c r="L504" t="n">
        <v>2.5</v>
      </c>
      <c r="M504" t="n">
        <v>5.53</v>
      </c>
      <c r="N504" t="inlineStr">
        <is>
          <t>Direct</t>
        </is>
      </c>
      <c r="O504" t="inlineStr">
        <is>
          <t>25.4-0-2.5-ERW 1-PE-5.53</t>
        </is>
      </c>
    </row>
    <row r="505">
      <c r="A505" t="inlineStr">
        <is>
          <t>0000943209</t>
        </is>
      </c>
      <c r="B505" t="inlineStr">
        <is>
          <t>MEGH STEELS PRIVATE LIMITED - TVS A</t>
        </is>
      </c>
      <c r="C505" t="inlineStr">
        <is>
          <t>KG</t>
        </is>
      </c>
      <c r="D505" t="n">
        <v>129</v>
      </c>
      <c r="E505" t="n">
        <v>777.478</v>
      </c>
      <c r="F505" t="n">
        <v>3457574</v>
      </c>
      <c r="G505" t="inlineStr">
        <is>
          <t>0789</t>
        </is>
      </c>
      <c r="H505" t="inlineStr">
        <is>
          <t>TUB-O-N-AUT-AW-PE-41.28X2.600X6.0200</t>
        </is>
      </c>
      <c r="I505" t="n">
        <v>1929</v>
      </c>
      <c r="J505" t="n">
        <v>41.28</v>
      </c>
      <c r="K505" t="n">
        <v>0</v>
      </c>
      <c r="L505" t="n">
        <v>2.6</v>
      </c>
      <c r="M505" t="n">
        <v>6.02</v>
      </c>
      <c r="N505" t="inlineStr">
        <is>
          <t>Direct</t>
        </is>
      </c>
      <c r="O505" t="inlineStr">
        <is>
          <t>41.28-0-2.6-ERW 1-FC-6</t>
        </is>
      </c>
    </row>
    <row r="506">
      <c r="A506" t="inlineStr">
        <is>
          <t>0000943209</t>
        </is>
      </c>
      <c r="B506" t="inlineStr">
        <is>
          <t>MEGH STEELS PRIVATE LIMITED - TVS A</t>
        </is>
      </c>
      <c r="C506" t="inlineStr">
        <is>
          <t>KG</t>
        </is>
      </c>
      <c r="D506" t="n">
        <v>124</v>
      </c>
      <c r="E506" t="n">
        <v>748.458</v>
      </c>
      <c r="F506" t="n">
        <v>3457574</v>
      </c>
      <c r="G506" t="inlineStr">
        <is>
          <t>0789</t>
        </is>
      </c>
      <c r="H506" t="inlineStr">
        <is>
          <t>TUB-O-N-AUT-AW-PE-41.28X2.600X6.0200</t>
        </is>
      </c>
      <c r="I506" t="n">
        <v>1857</v>
      </c>
      <c r="J506" t="n">
        <v>41.28</v>
      </c>
      <c r="K506" t="n">
        <v>0</v>
      </c>
      <c r="L506" t="n">
        <v>2.6</v>
      </c>
      <c r="M506" t="n">
        <v>6.02</v>
      </c>
      <c r="N506" t="inlineStr">
        <is>
          <t>Direct</t>
        </is>
      </c>
      <c r="O506" t="inlineStr">
        <is>
          <t>41.28-0-2.6-ERW 1-FC-6</t>
        </is>
      </c>
    </row>
    <row r="507">
      <c r="A507" t="inlineStr">
        <is>
          <t>0000943209</t>
        </is>
      </c>
      <c r="B507" t="inlineStr">
        <is>
          <t>MEGH STEELS PRIVATE LIMITED - TVS A</t>
        </is>
      </c>
      <c r="C507" t="inlineStr">
        <is>
          <t>KG</t>
        </is>
      </c>
      <c r="D507" t="n">
        <v>183</v>
      </c>
      <c r="E507" t="n">
        <v>1103.14</v>
      </c>
      <c r="F507" t="n">
        <v>3457574</v>
      </c>
      <c r="G507" t="inlineStr">
        <is>
          <t>0789</t>
        </is>
      </c>
      <c r="H507" t="inlineStr">
        <is>
          <t>TUB-O-N-AUT-AW-PE-41.28X2.600X6.0200</t>
        </is>
      </c>
      <c r="I507" t="n">
        <v>2737</v>
      </c>
      <c r="J507" t="n">
        <v>41.28</v>
      </c>
      <c r="K507" t="n">
        <v>0</v>
      </c>
      <c r="L507" t="n">
        <v>2.6</v>
      </c>
      <c r="M507" t="n">
        <v>6.02</v>
      </c>
      <c r="N507" t="inlineStr">
        <is>
          <t>Direct</t>
        </is>
      </c>
      <c r="O507" t="inlineStr">
        <is>
          <t>41.28-0-2.6-ERW 1-FC-6</t>
        </is>
      </c>
    </row>
    <row r="508">
      <c r="A508" t="inlineStr">
        <is>
          <t>0000943209</t>
        </is>
      </c>
      <c r="B508" t="inlineStr">
        <is>
          <t>MEGH STEELS PRIVATE LIMITED - TVS A</t>
        </is>
      </c>
      <c r="C508" t="inlineStr">
        <is>
          <t>KG</t>
        </is>
      </c>
      <c r="D508" t="n">
        <v>186</v>
      </c>
      <c r="E508" t="n">
        <v>1119.262</v>
      </c>
      <c r="F508" t="n">
        <v>3457574</v>
      </c>
      <c r="G508" t="inlineStr">
        <is>
          <t>0789</t>
        </is>
      </c>
      <c r="H508" t="inlineStr">
        <is>
          <t>TUB-O-N-AUT-AW-PE-41.28X2.600X6.0200</t>
        </is>
      </c>
      <c r="I508" t="n">
        <v>2777</v>
      </c>
      <c r="J508" t="n">
        <v>41.28</v>
      </c>
      <c r="K508" t="n">
        <v>0</v>
      </c>
      <c r="L508" t="n">
        <v>2.6</v>
      </c>
      <c r="M508" t="n">
        <v>6.02</v>
      </c>
      <c r="N508" t="inlineStr">
        <is>
          <t>Direct</t>
        </is>
      </c>
      <c r="O508" t="inlineStr">
        <is>
          <t>41.28-0-2.6-ERW 1-FC-6</t>
        </is>
      </c>
    </row>
    <row r="509">
      <c r="A509" t="inlineStr">
        <is>
          <t>0000943209</t>
        </is>
      </c>
      <c r="B509" t="inlineStr">
        <is>
          <t>MEGH STEELS PRIVATE LIMITED - TVS A</t>
        </is>
      </c>
      <c r="C509" t="inlineStr">
        <is>
          <t>KG</t>
        </is>
      </c>
      <c r="D509" t="n">
        <v>163</v>
      </c>
      <c r="E509" t="n">
        <v>929.08</v>
      </c>
      <c r="F509" t="n">
        <v>3545558</v>
      </c>
      <c r="G509" t="inlineStr">
        <is>
          <t>4731</t>
        </is>
      </c>
      <c r="H509" t="inlineStr">
        <is>
          <t>TUB-O-N-AUT-AW-FC-45.00X1.400X5.7000</t>
        </is>
      </c>
      <c r="I509" t="n">
        <v>1330.814</v>
      </c>
      <c r="J509" t="n">
        <v>45</v>
      </c>
      <c r="K509" t="n">
        <v>0</v>
      </c>
      <c r="L509" t="n">
        <v>1.4</v>
      </c>
      <c r="M509" t="n">
        <v>5.7</v>
      </c>
      <c r="N509" t="inlineStr">
        <is>
          <t>Direct</t>
        </is>
      </c>
      <c r="O509" t="inlineStr">
        <is>
          <t>45--1.4-ERW 1-FIN CUT-5.7</t>
        </is>
      </c>
    </row>
    <row r="510">
      <c r="A510" t="inlineStr">
        <is>
          <t>0000943209</t>
        </is>
      </c>
      <c r="B510" t="inlineStr">
        <is>
          <t>MEGH STEELS PRIVATE LIMITED - TVS A</t>
        </is>
      </c>
      <c r="C510" t="inlineStr">
        <is>
          <t>KG</t>
        </is>
      </c>
      <c r="D510" t="n">
        <v>148</v>
      </c>
      <c r="E510" t="n">
        <v>843.581</v>
      </c>
      <c r="F510" t="n">
        <v>3545558</v>
      </c>
      <c r="G510" t="inlineStr">
        <is>
          <t>4731</t>
        </is>
      </c>
      <c r="H510" t="inlineStr">
        <is>
          <t>TUB-O-N-AUT-AW-FC-45.00X1.400X5.7000</t>
        </is>
      </c>
      <c r="I510" t="n">
        <v>1208.346</v>
      </c>
      <c r="J510" t="n">
        <v>45</v>
      </c>
      <c r="K510" t="n">
        <v>0</v>
      </c>
      <c r="L510" t="n">
        <v>1.4</v>
      </c>
      <c r="M510" t="n">
        <v>5.7</v>
      </c>
      <c r="N510" t="inlineStr">
        <is>
          <t>Direct</t>
        </is>
      </c>
      <c r="O510" t="inlineStr">
        <is>
          <t>45--1.4-ERW 1-FIN CUT-5.7</t>
        </is>
      </c>
    </row>
    <row r="511">
      <c r="A511" t="inlineStr">
        <is>
          <t>0000943209</t>
        </is>
      </c>
      <c r="B511" t="inlineStr">
        <is>
          <t>MEGH STEELS PRIVATE LIMITED - TVS A</t>
        </is>
      </c>
      <c r="C511" t="inlineStr">
        <is>
          <t>KG</t>
        </is>
      </c>
      <c r="D511" t="n">
        <v>145</v>
      </c>
      <c r="E511" t="n">
        <v>826.482</v>
      </c>
      <c r="F511" t="n">
        <v>3545558</v>
      </c>
      <c r="G511" t="inlineStr">
        <is>
          <t>4731</t>
        </is>
      </c>
      <c r="H511" t="inlineStr">
        <is>
          <t>TUB-O-N-AUT-AW-FC-45.00X1.400X5.7000</t>
        </is>
      </c>
      <c r="I511" t="n">
        <v>1183.853</v>
      </c>
      <c r="J511" t="n">
        <v>45</v>
      </c>
      <c r="K511" t="n">
        <v>0</v>
      </c>
      <c r="L511" t="n">
        <v>1.4</v>
      </c>
      <c r="M511" t="n">
        <v>5.7</v>
      </c>
      <c r="N511" t="inlineStr">
        <is>
          <t>Direct</t>
        </is>
      </c>
      <c r="O511" t="inlineStr">
        <is>
          <t>45--1.4-ERW 1-FIN CUT-5.7</t>
        </is>
      </c>
    </row>
    <row r="512">
      <c r="A512" t="inlineStr">
        <is>
          <t>0000943209</t>
        </is>
      </c>
      <c r="B512" t="inlineStr">
        <is>
          <t>MEGH STEELS PRIVATE LIMITED - TVS A</t>
        </is>
      </c>
      <c r="C512" t="inlineStr">
        <is>
          <t>KG</t>
        </is>
      </c>
      <c r="D512" t="n">
        <v>40</v>
      </c>
      <c r="E512" t="n">
        <v>228.279</v>
      </c>
      <c r="F512" t="n">
        <v>3545558</v>
      </c>
      <c r="G512" t="inlineStr">
        <is>
          <t>4731</t>
        </is>
      </c>
      <c r="H512" t="inlineStr">
        <is>
          <t>TUB-O-N-AUT-AW-FC-45.00X1.400X5.7000</t>
        </is>
      </c>
      <c r="I512" t="n">
        <v>326.987</v>
      </c>
      <c r="J512" t="n">
        <v>45</v>
      </c>
      <c r="K512" t="n">
        <v>0</v>
      </c>
      <c r="L512" t="n">
        <v>1.4</v>
      </c>
      <c r="M512" t="n">
        <v>5.7</v>
      </c>
      <c r="N512" t="inlineStr">
        <is>
          <t>Direct</t>
        </is>
      </c>
      <c r="O512" t="inlineStr">
        <is>
          <t>45--1.4-ERW 1-FIN CUT-5.7</t>
        </is>
      </c>
    </row>
    <row r="513">
      <c r="A513" t="inlineStr">
        <is>
          <t>0000943209</t>
        </is>
      </c>
      <c r="B513" t="inlineStr">
        <is>
          <t>MEGH STEELS PRIVATE LIMITED - TVS A</t>
        </is>
      </c>
      <c r="C513" t="inlineStr">
        <is>
          <t>KG</t>
        </is>
      </c>
      <c r="D513" t="n">
        <v>407</v>
      </c>
      <c r="E513" t="n">
        <v>2444.384</v>
      </c>
      <c r="F513" t="n">
        <v>3501716</v>
      </c>
      <c r="G513" t="inlineStr">
        <is>
          <t>4731</t>
        </is>
      </c>
      <c r="H513" t="inlineStr">
        <is>
          <t>TUB-O-N-AUT-AW-FC-41.28X2.600X6.0000</t>
        </is>
      </c>
      <c r="I513" t="n">
        <v>6062.56</v>
      </c>
      <c r="J513" t="n">
        <v>41.28</v>
      </c>
      <c r="K513" t="n">
        <v>0</v>
      </c>
      <c r="L513" t="n">
        <v>2.6</v>
      </c>
      <c r="M513" t="n">
        <v>6</v>
      </c>
      <c r="N513" t="inlineStr">
        <is>
          <t>Direct</t>
        </is>
      </c>
      <c r="O513" t="inlineStr">
        <is>
          <t>41.28-0-2.6-ERW 1-FC-6</t>
        </is>
      </c>
    </row>
    <row r="514">
      <c r="A514" t="inlineStr">
        <is>
          <t>0000943209</t>
        </is>
      </c>
      <c r="B514" t="inlineStr">
        <is>
          <t>MEGH STEELS PRIVATE LIMITED - TVS A</t>
        </is>
      </c>
      <c r="C514" t="inlineStr">
        <is>
          <t>KG</t>
        </is>
      </c>
      <c r="D514" t="n">
        <v>223</v>
      </c>
      <c r="E514" t="n">
        <v>1335.864</v>
      </c>
      <c r="F514" t="n">
        <v>3501716</v>
      </c>
      <c r="G514" t="inlineStr">
        <is>
          <t>4731</t>
        </is>
      </c>
      <c r="H514" t="inlineStr">
        <is>
          <t>TUB-O-N-AUT-AW-FC-41.28X2.600X6.0000</t>
        </is>
      </c>
      <c r="I514" t="n">
        <v>3313.21</v>
      </c>
      <c r="J514" t="n">
        <v>41.28</v>
      </c>
      <c r="K514" t="n">
        <v>0</v>
      </c>
      <c r="L514" t="n">
        <v>2.6</v>
      </c>
      <c r="M514" t="n">
        <v>6</v>
      </c>
      <c r="N514" t="inlineStr">
        <is>
          <t>Direct</t>
        </is>
      </c>
      <c r="O514" t="inlineStr">
        <is>
          <t>41.28-0-2.6-ERW 1-FC-6</t>
        </is>
      </c>
    </row>
    <row r="515">
      <c r="A515" t="inlineStr">
        <is>
          <t>0000943209</t>
        </is>
      </c>
      <c r="B515" t="inlineStr">
        <is>
          <t>MEGH STEELS PRIVATE LIMITED - TVS A</t>
        </is>
      </c>
      <c r="C515" t="inlineStr">
        <is>
          <t>KG</t>
        </is>
      </c>
      <c r="D515" t="n">
        <v>36</v>
      </c>
      <c r="E515" t="n">
        <v>214.864</v>
      </c>
      <c r="F515" t="n">
        <v>3501716</v>
      </c>
      <c r="G515" t="inlineStr">
        <is>
          <t>4731</t>
        </is>
      </c>
      <c r="H515" t="inlineStr">
        <is>
          <t>TUB-O-N-AUT-AW-FC-41.28X2.600X6.0000</t>
        </is>
      </c>
      <c r="I515" t="n">
        <v>532.905</v>
      </c>
      <c r="J515" t="n">
        <v>41.28</v>
      </c>
      <c r="K515" t="n">
        <v>0</v>
      </c>
      <c r="L515" t="n">
        <v>2.6</v>
      </c>
      <c r="M515" t="n">
        <v>6</v>
      </c>
      <c r="N515" t="inlineStr">
        <is>
          <t>Direct</t>
        </is>
      </c>
      <c r="O515" t="inlineStr">
        <is>
          <t>41.28-0-2.6-ERW 1-FC-6</t>
        </is>
      </c>
    </row>
    <row r="516">
      <c r="A516" t="inlineStr">
        <is>
          <t>0000943209</t>
        </is>
      </c>
      <c r="B516" t="inlineStr">
        <is>
          <t>MEGH STEELS PRIVATE LIMITED - TVS A</t>
        </is>
      </c>
      <c r="C516" t="inlineStr">
        <is>
          <t>KG</t>
        </is>
      </c>
      <c r="D516" t="n">
        <v>8</v>
      </c>
      <c r="E516" t="n">
        <v>47.708</v>
      </c>
      <c r="F516" t="n">
        <v>3501716</v>
      </c>
      <c r="G516" t="inlineStr">
        <is>
          <t>4731</t>
        </is>
      </c>
      <c r="H516" t="inlineStr">
        <is>
          <t>TUB-O-N-AUT-AW-FC-41.28X2.600X6.0000</t>
        </is>
      </c>
      <c r="I516" t="n">
        <v>118.325</v>
      </c>
      <c r="J516" t="n">
        <v>41.28</v>
      </c>
      <c r="K516" t="n">
        <v>0</v>
      </c>
      <c r="L516" t="n">
        <v>2.6</v>
      </c>
      <c r="M516" t="n">
        <v>6</v>
      </c>
      <c r="N516" t="inlineStr">
        <is>
          <t>Direct</t>
        </is>
      </c>
      <c r="O516" t="inlineStr">
        <is>
          <t>41.28-0-2.6-ERW 1-FC-6</t>
        </is>
      </c>
    </row>
    <row r="517">
      <c r="A517" t="inlineStr">
        <is>
          <t>0000943209</t>
        </is>
      </c>
      <c r="B517" t="inlineStr">
        <is>
          <t>MEGH STEELS PRIVATE LIMITED - TVS A</t>
        </is>
      </c>
      <c r="C517" t="inlineStr">
        <is>
          <t>KG</t>
        </is>
      </c>
      <c r="D517" t="n">
        <v>53</v>
      </c>
      <c r="E517" t="n">
        <v>320.377</v>
      </c>
      <c r="F517" t="n">
        <v>3501716</v>
      </c>
      <c r="G517" t="inlineStr">
        <is>
          <t>4731</t>
        </is>
      </c>
      <c r="H517" t="inlineStr">
        <is>
          <t>TUB-O-N-AUT-AW-FC-41.28X2.600X6.0000</t>
        </is>
      </c>
      <c r="I517" t="n">
        <v>794.6</v>
      </c>
      <c r="J517" t="n">
        <v>41.28</v>
      </c>
      <c r="K517" t="n">
        <v>0</v>
      </c>
      <c r="L517" t="n">
        <v>2.6</v>
      </c>
      <c r="M517" t="n">
        <v>6</v>
      </c>
      <c r="N517" t="inlineStr">
        <is>
          <t>Direct</t>
        </is>
      </c>
      <c r="O517" t="inlineStr">
        <is>
          <t>41.28-0-2.6-ERW 1-FC-6</t>
        </is>
      </c>
    </row>
    <row r="518">
      <c r="A518" t="inlineStr">
        <is>
          <t>0000943209</t>
        </is>
      </c>
      <c r="B518" t="inlineStr">
        <is>
          <t>MEGH STEELS PRIVATE LIMITED - TVS A</t>
        </is>
      </c>
      <c r="C518" t="inlineStr">
        <is>
          <t>KG</t>
        </is>
      </c>
      <c r="D518" t="n">
        <v>47</v>
      </c>
      <c r="E518" t="n">
        <v>281.389</v>
      </c>
      <c r="F518" t="n">
        <v>3501716</v>
      </c>
      <c r="G518" t="inlineStr">
        <is>
          <t>4731</t>
        </is>
      </c>
      <c r="H518" t="inlineStr">
        <is>
          <t>TUB-O-N-AUT-AW-FC-41.28X2.600X6.0000</t>
        </is>
      </c>
      <c r="I518" t="n">
        <v>697.9</v>
      </c>
      <c r="J518" t="n">
        <v>41.28</v>
      </c>
      <c r="K518" t="n">
        <v>0</v>
      </c>
      <c r="L518" t="n">
        <v>2.6</v>
      </c>
      <c r="M518" t="n">
        <v>6</v>
      </c>
      <c r="N518" t="inlineStr">
        <is>
          <t>Direct</t>
        </is>
      </c>
      <c r="O518" t="inlineStr">
        <is>
          <t>41.28-0-2.6-ERW 1-FC-6</t>
        </is>
      </c>
    </row>
    <row r="519">
      <c r="A519" t="inlineStr">
        <is>
          <t>0000943209</t>
        </is>
      </c>
      <c r="B519" t="inlineStr">
        <is>
          <t>MEGH STEELS PRIVATE LIMITED - TVS A</t>
        </is>
      </c>
      <c r="C519" t="inlineStr">
        <is>
          <t>KG</t>
        </is>
      </c>
      <c r="D519" t="n">
        <v>274</v>
      </c>
      <c r="E519" t="n">
        <v>1640.997</v>
      </c>
      <c r="F519" t="n">
        <v>3501716</v>
      </c>
      <c r="G519" t="inlineStr">
        <is>
          <t>4731</t>
        </is>
      </c>
      <c r="H519" t="inlineStr">
        <is>
          <t>TUB-O-N-AUT-AW-FC-41.28X2.600X6.0000</t>
        </is>
      </c>
      <c r="I519" t="n">
        <v>4070</v>
      </c>
      <c r="J519" t="n">
        <v>41.28</v>
      </c>
      <c r="K519" t="n">
        <v>0</v>
      </c>
      <c r="L519" t="n">
        <v>2.6</v>
      </c>
      <c r="M519" t="n">
        <v>6</v>
      </c>
      <c r="N519" t="inlineStr">
        <is>
          <t>Direct</t>
        </is>
      </c>
      <c r="O519" t="inlineStr">
        <is>
          <t>41.28-0-2.6-ERW 1-FC-6</t>
        </is>
      </c>
    </row>
    <row r="520">
      <c r="A520" t="inlineStr">
        <is>
          <t>0000943209</t>
        </is>
      </c>
      <c r="B520" t="inlineStr">
        <is>
          <t>MEGH STEELS PRIVATE LIMITED - TVS A</t>
        </is>
      </c>
      <c r="C520" t="inlineStr">
        <is>
          <t>KG</t>
        </is>
      </c>
      <c r="D520" t="n">
        <v>24</v>
      </c>
      <c r="E520" t="n">
        <v>141.924</v>
      </c>
      <c r="F520" t="n">
        <v>3501716</v>
      </c>
      <c r="G520" t="inlineStr">
        <is>
          <t>4731</t>
        </is>
      </c>
      <c r="H520" t="inlineStr">
        <is>
          <t>TUB-O-N-AUT-AW-FC-41.28X2.600X6.0000</t>
        </is>
      </c>
      <c r="I520" t="n">
        <v>352</v>
      </c>
      <c r="J520" t="n">
        <v>41.28</v>
      </c>
      <c r="K520" t="n">
        <v>0</v>
      </c>
      <c r="L520" t="n">
        <v>2.6</v>
      </c>
      <c r="M520" t="n">
        <v>6</v>
      </c>
      <c r="N520" t="inlineStr">
        <is>
          <t>Direct</t>
        </is>
      </c>
      <c r="O520" t="inlineStr">
        <is>
          <t>41.28-0-2.6-ERW 1-FC-6</t>
        </is>
      </c>
    </row>
    <row r="521">
      <c r="A521" t="inlineStr">
        <is>
          <t>0000943209</t>
        </is>
      </c>
      <c r="B521" t="inlineStr">
        <is>
          <t>MEGH STEELS PRIVATE LIMITED - TVS A</t>
        </is>
      </c>
      <c r="C521" t="inlineStr">
        <is>
          <t>KG</t>
        </is>
      </c>
      <c r="D521" t="n">
        <v>13</v>
      </c>
      <c r="E521" t="n">
        <v>80.235</v>
      </c>
      <c r="F521" t="n">
        <v>3501716</v>
      </c>
      <c r="G521" t="inlineStr">
        <is>
          <t>4731</t>
        </is>
      </c>
      <c r="H521" t="inlineStr">
        <is>
          <t>TUB-O-N-AUT-AW-FC-41.28X2.600X6.0000</t>
        </is>
      </c>
      <c r="I521" t="n">
        <v>199</v>
      </c>
      <c r="J521" t="n">
        <v>41.28</v>
      </c>
      <c r="K521" t="n">
        <v>0</v>
      </c>
      <c r="L521" t="n">
        <v>2.6</v>
      </c>
      <c r="M521" t="n">
        <v>6</v>
      </c>
      <c r="N521" t="inlineStr">
        <is>
          <t>Direct</t>
        </is>
      </c>
      <c r="O521" t="inlineStr">
        <is>
          <t>41.28-0-2.6-ERW 1-FC-6</t>
        </is>
      </c>
    </row>
    <row r="522">
      <c r="A522" t="inlineStr">
        <is>
          <t>0000943209</t>
        </is>
      </c>
      <c r="B522" t="inlineStr">
        <is>
          <t>MEGH STEELS PRIVATE LIMITED - TVS A</t>
        </is>
      </c>
      <c r="C522" t="inlineStr">
        <is>
          <t>KG</t>
        </is>
      </c>
      <c r="D522" t="n">
        <v>6</v>
      </c>
      <c r="E522" t="n">
        <v>36.086</v>
      </c>
      <c r="F522" t="n">
        <v>3501716</v>
      </c>
      <c r="G522" t="inlineStr">
        <is>
          <t>4731</t>
        </is>
      </c>
      <c r="H522" t="inlineStr">
        <is>
          <t>TUB-O-N-AUT-AW-FC-41.28X2.600X6.0000</t>
        </is>
      </c>
      <c r="I522" t="n">
        <v>89.5</v>
      </c>
      <c r="J522" t="n">
        <v>41.28</v>
      </c>
      <c r="K522" t="n">
        <v>0</v>
      </c>
      <c r="L522" t="n">
        <v>2.6</v>
      </c>
      <c r="M522" t="n">
        <v>6</v>
      </c>
      <c r="N522" t="inlineStr">
        <is>
          <t>Direct</t>
        </is>
      </c>
      <c r="O522" t="inlineStr">
        <is>
          <t>41.28-0-2.6-ERW 1-FC-6</t>
        </is>
      </c>
    </row>
    <row r="523">
      <c r="A523" t="inlineStr">
        <is>
          <t>0000943209</t>
        </is>
      </c>
      <c r="B523" t="inlineStr">
        <is>
          <t>MEGH STEELS PRIVATE LIMITED - TVS A</t>
        </is>
      </c>
      <c r="C523" t="inlineStr">
        <is>
          <t>KG</t>
        </is>
      </c>
      <c r="D523" t="n">
        <v>150</v>
      </c>
      <c r="E523" t="n">
        <v>929.6799999999999</v>
      </c>
      <c r="F523" t="n">
        <v>3775569</v>
      </c>
      <c r="G523" t="inlineStr">
        <is>
          <t>4731</t>
        </is>
      </c>
      <c r="H523" t="inlineStr">
        <is>
          <t>TUB-I-C-AUT-AD-FC-12.50X3.250X6.2000</t>
        </is>
      </c>
      <c r="I523" t="n">
        <v>1174</v>
      </c>
      <c r="J523" t="n">
        <v>19</v>
      </c>
      <c r="K523" t="n">
        <v>12.5</v>
      </c>
      <c r="L523" t="n">
        <v>3.25</v>
      </c>
      <c r="M523" t="n">
        <v>6.2</v>
      </c>
      <c r="N523" t="inlineStr">
        <is>
          <t>Direct</t>
        </is>
      </c>
    </row>
    <row r="524">
      <c r="A524" t="inlineStr">
        <is>
          <t>0000943209</t>
        </is>
      </c>
      <c r="B524" t="inlineStr">
        <is>
          <t>MEGH STEELS PRIVATE LIMITED - TVS A</t>
        </is>
      </c>
      <c r="C524" t="inlineStr">
        <is>
          <t>KG</t>
        </is>
      </c>
      <c r="D524" t="n">
        <v>34</v>
      </c>
      <c r="E524" t="n">
        <v>210.643</v>
      </c>
      <c r="F524" t="n">
        <v>3775569</v>
      </c>
      <c r="G524" t="inlineStr">
        <is>
          <t>4731</t>
        </is>
      </c>
      <c r="H524" t="inlineStr">
        <is>
          <t>TUB-I-C-AUT-AD-FC-12.50X3.250X6.2000</t>
        </is>
      </c>
      <c r="I524" t="n">
        <v>266</v>
      </c>
      <c r="J524" t="n">
        <v>19</v>
      </c>
      <c r="K524" t="n">
        <v>12.5</v>
      </c>
      <c r="L524" t="n">
        <v>3.25</v>
      </c>
      <c r="M524" t="n">
        <v>6.2</v>
      </c>
      <c r="N524" t="inlineStr">
        <is>
          <t>Direct</t>
        </is>
      </c>
    </row>
    <row r="525">
      <c r="A525" t="inlineStr">
        <is>
          <t>0000943209</t>
        </is>
      </c>
      <c r="B525" t="inlineStr">
        <is>
          <t>MEGH STEELS PRIVATE LIMITED - TVS A</t>
        </is>
      </c>
      <c r="C525" t="inlineStr">
        <is>
          <t>KG</t>
        </is>
      </c>
      <c r="D525" t="n">
        <v>104</v>
      </c>
      <c r="E525" t="n">
        <v>623.798</v>
      </c>
      <c r="F525" t="n">
        <v>3702875</v>
      </c>
      <c r="G525" t="inlineStr">
        <is>
          <t>4731</t>
        </is>
      </c>
      <c r="H525" t="inlineStr">
        <is>
          <t>TUB-O-N-AUT-AW-FC-60.30X2.000X6.0000</t>
        </is>
      </c>
      <c r="I525" t="n">
        <v>1751</v>
      </c>
      <c r="J525" t="n">
        <v>60.3</v>
      </c>
      <c r="K525" t="n">
        <v>0</v>
      </c>
      <c r="L525" t="n">
        <v>2</v>
      </c>
      <c r="M525" t="n">
        <v>6</v>
      </c>
      <c r="N525" t="inlineStr">
        <is>
          <t>Direct</t>
        </is>
      </c>
      <c r="O525" t="inlineStr">
        <is>
          <t>60.3-0-2-ERW 1-FC-5.9</t>
        </is>
      </c>
    </row>
    <row r="526">
      <c r="A526" t="inlineStr">
        <is>
          <t>0000943209</t>
        </is>
      </c>
      <c r="B526" t="inlineStr">
        <is>
          <t>MEGH STEELS PRIVATE LIMITED - TVS A</t>
        </is>
      </c>
      <c r="C526" t="inlineStr">
        <is>
          <t>KG</t>
        </is>
      </c>
      <c r="D526" t="n">
        <v>108</v>
      </c>
      <c r="E526" t="n">
        <v>648.379</v>
      </c>
      <c r="F526" t="n">
        <v>3702875</v>
      </c>
      <c r="G526" t="inlineStr">
        <is>
          <t>4731</t>
        </is>
      </c>
      <c r="H526" t="inlineStr">
        <is>
          <t>TUB-O-N-AUT-AW-FC-60.30X2.000X6.0000</t>
        </is>
      </c>
      <c r="I526" t="n">
        <v>1820</v>
      </c>
      <c r="J526" t="n">
        <v>60.3</v>
      </c>
      <c r="K526" t="n">
        <v>0</v>
      </c>
      <c r="L526" t="n">
        <v>2</v>
      </c>
      <c r="M526" t="n">
        <v>6</v>
      </c>
      <c r="N526" t="inlineStr">
        <is>
          <t>Direct</t>
        </is>
      </c>
      <c r="O526" t="inlineStr">
        <is>
          <t>60.3-0-2-ERW 1-FC-5.9</t>
        </is>
      </c>
    </row>
    <row r="527">
      <c r="A527" t="inlineStr">
        <is>
          <t>0000943209</t>
        </is>
      </c>
      <c r="B527" t="inlineStr">
        <is>
          <t>MEGH STEELS PRIVATE LIMITED - TVS A</t>
        </is>
      </c>
      <c r="C527" t="inlineStr">
        <is>
          <t>KG</t>
        </is>
      </c>
      <c r="D527" t="n">
        <v>132</v>
      </c>
      <c r="E527" t="n">
        <v>792.6609999999999</v>
      </c>
      <c r="F527" t="n">
        <v>3702875</v>
      </c>
      <c r="G527" t="inlineStr">
        <is>
          <t>4731</t>
        </is>
      </c>
      <c r="H527" t="inlineStr">
        <is>
          <t>TUB-O-N-AUT-AW-FC-60.30X2.000X6.0000</t>
        </is>
      </c>
      <c r="I527" t="n">
        <v>2225</v>
      </c>
      <c r="J527" t="n">
        <v>60.3</v>
      </c>
      <c r="K527" t="n">
        <v>0</v>
      </c>
      <c r="L527" t="n">
        <v>2</v>
      </c>
      <c r="M527" t="n">
        <v>6</v>
      </c>
      <c r="N527" t="inlineStr">
        <is>
          <t>Direct</t>
        </is>
      </c>
      <c r="O527" t="inlineStr">
        <is>
          <t>60.3-0-2-ERW 1-FC-5.9</t>
        </is>
      </c>
    </row>
    <row r="528">
      <c r="A528" t="inlineStr">
        <is>
          <t>0000943209</t>
        </is>
      </c>
      <c r="B528" t="inlineStr">
        <is>
          <t>MEGH STEELS PRIVATE LIMITED - TVS A</t>
        </is>
      </c>
      <c r="C528" t="inlineStr">
        <is>
          <t>KG</t>
        </is>
      </c>
      <c r="D528" t="n">
        <v>159</v>
      </c>
      <c r="E528" t="n">
        <v>955.468</v>
      </c>
      <c r="F528" t="n">
        <v>3702875</v>
      </c>
      <c r="G528" t="inlineStr">
        <is>
          <t>4731</t>
        </is>
      </c>
      <c r="H528" t="inlineStr">
        <is>
          <t>TUB-O-N-AUT-AW-FC-60.30X2.000X6.0000</t>
        </is>
      </c>
      <c r="I528" t="n">
        <v>2682</v>
      </c>
      <c r="J528" t="n">
        <v>60.3</v>
      </c>
      <c r="K528" t="n">
        <v>0</v>
      </c>
      <c r="L528" t="n">
        <v>2</v>
      </c>
      <c r="M528" t="n">
        <v>6</v>
      </c>
      <c r="N528" t="inlineStr">
        <is>
          <t>Direct</t>
        </is>
      </c>
      <c r="O528" t="inlineStr">
        <is>
          <t>60.3-0-2-ERW 1-FC-5.9</t>
        </is>
      </c>
    </row>
    <row r="529">
      <c r="A529" t="inlineStr">
        <is>
          <t>0000943209</t>
        </is>
      </c>
      <c r="B529" t="inlineStr">
        <is>
          <t>MEGH STEELS PRIVATE LIMITED - TVS A</t>
        </is>
      </c>
      <c r="C529" t="inlineStr">
        <is>
          <t>KG</t>
        </is>
      </c>
      <c r="D529" t="n">
        <v>101</v>
      </c>
      <c r="E529" t="n">
        <v>608.123</v>
      </c>
      <c r="F529" t="n">
        <v>3702875</v>
      </c>
      <c r="G529" t="inlineStr">
        <is>
          <t>4731</t>
        </is>
      </c>
      <c r="H529" t="inlineStr">
        <is>
          <t>TUB-O-N-AUT-AW-FC-60.30X2.000X6.0000</t>
        </is>
      </c>
      <c r="I529" t="n">
        <v>1707</v>
      </c>
      <c r="J529" t="n">
        <v>60.3</v>
      </c>
      <c r="K529" t="n">
        <v>0</v>
      </c>
      <c r="L529" t="n">
        <v>2</v>
      </c>
      <c r="M529" t="n">
        <v>6</v>
      </c>
      <c r="N529" t="inlineStr">
        <is>
          <t>Direct</t>
        </is>
      </c>
      <c r="O529" t="inlineStr">
        <is>
          <t>60.3-0-2-ERW 1-FC-5.9</t>
        </is>
      </c>
    </row>
    <row r="530">
      <c r="A530" t="inlineStr">
        <is>
          <t>0000943209</t>
        </is>
      </c>
      <c r="B530" t="inlineStr">
        <is>
          <t>MEGH STEELS PRIVATE LIMITED - TVS A</t>
        </is>
      </c>
      <c r="C530" t="inlineStr">
        <is>
          <t>KG</t>
        </is>
      </c>
      <c r="D530" t="n">
        <v>112</v>
      </c>
      <c r="E530" t="n">
        <v>669.754</v>
      </c>
      <c r="F530" t="n">
        <v>3702875</v>
      </c>
      <c r="G530" t="inlineStr">
        <is>
          <t>4731</t>
        </is>
      </c>
      <c r="H530" t="inlineStr">
        <is>
          <t>TUB-O-N-AUT-AW-FC-60.30X2.000X6.0000</t>
        </is>
      </c>
      <c r="I530" t="n">
        <v>1880</v>
      </c>
      <c r="J530" t="n">
        <v>60.3</v>
      </c>
      <c r="K530" t="n">
        <v>0</v>
      </c>
      <c r="L530" t="n">
        <v>2</v>
      </c>
      <c r="M530" t="n">
        <v>6</v>
      </c>
      <c r="N530" t="inlineStr">
        <is>
          <t>Direct</t>
        </is>
      </c>
      <c r="O530" t="inlineStr">
        <is>
          <t>60.3-0-2-ERW 1-FC-5.9</t>
        </is>
      </c>
    </row>
    <row r="531">
      <c r="A531" t="inlineStr">
        <is>
          <t>0000943209</t>
        </is>
      </c>
      <c r="B531" t="inlineStr">
        <is>
          <t>MEGH STEELS PRIVATE LIMITED - TVS A</t>
        </is>
      </c>
      <c r="C531" t="inlineStr">
        <is>
          <t>KG</t>
        </is>
      </c>
      <c r="D531" t="n">
        <v>29</v>
      </c>
      <c r="E531" t="n">
        <v>172.782</v>
      </c>
      <c r="F531" t="n">
        <v>3702875</v>
      </c>
      <c r="G531" t="inlineStr">
        <is>
          <t>4731</t>
        </is>
      </c>
      <c r="H531" t="inlineStr">
        <is>
          <t>TUB-O-N-AUT-AW-FC-60.30X2.000X6.0000</t>
        </is>
      </c>
      <c r="I531" t="n">
        <v>485</v>
      </c>
      <c r="J531" t="n">
        <v>60.3</v>
      </c>
      <c r="K531" t="n">
        <v>0</v>
      </c>
      <c r="L531" t="n">
        <v>2</v>
      </c>
      <c r="M531" t="n">
        <v>6</v>
      </c>
      <c r="N531" t="inlineStr">
        <is>
          <t>Direct</t>
        </is>
      </c>
      <c r="O531" t="inlineStr">
        <is>
          <t>60.3-0-2-ERW 1-FC-5.9</t>
        </is>
      </c>
    </row>
    <row r="532">
      <c r="A532" t="inlineStr">
        <is>
          <t>0000943209</t>
        </is>
      </c>
      <c r="B532" t="inlineStr">
        <is>
          <t>MEGH STEELS PRIVATE LIMITED - TVS A</t>
        </is>
      </c>
      <c r="C532" t="inlineStr">
        <is>
          <t>KG</t>
        </is>
      </c>
      <c r="D532" t="n">
        <v>41</v>
      </c>
      <c r="E532" t="n">
        <v>243.447</v>
      </c>
      <c r="F532" t="n">
        <v>3702875</v>
      </c>
      <c r="G532" t="inlineStr">
        <is>
          <t>4731</t>
        </is>
      </c>
      <c r="H532" t="inlineStr">
        <is>
          <t>TUB-O-N-AUT-AW-FC-60.30X2.000X6.0000</t>
        </is>
      </c>
      <c r="I532" t="n">
        <v>683.357</v>
      </c>
      <c r="J532" t="n">
        <v>60.3</v>
      </c>
      <c r="K532" t="n">
        <v>0</v>
      </c>
      <c r="L532" t="n">
        <v>2</v>
      </c>
      <c r="M532" t="n">
        <v>6</v>
      </c>
      <c r="N532" t="inlineStr">
        <is>
          <t>Direct</t>
        </is>
      </c>
      <c r="O532" t="inlineStr">
        <is>
          <t>60.3-0-2-ERW 1-FC-5.9</t>
        </is>
      </c>
    </row>
    <row r="533">
      <c r="A533" t="inlineStr">
        <is>
          <t>0000943209</t>
        </is>
      </c>
      <c r="B533" t="inlineStr">
        <is>
          <t>MEGH STEELS PRIVATE LIMITED - TVS A</t>
        </is>
      </c>
      <c r="C533" t="inlineStr">
        <is>
          <t>KG</t>
        </is>
      </c>
      <c r="D533" t="n">
        <v>4</v>
      </c>
      <c r="E533" t="n">
        <v>25.436</v>
      </c>
      <c r="F533" t="n">
        <v>3702875</v>
      </c>
      <c r="G533" t="inlineStr">
        <is>
          <t>4731</t>
        </is>
      </c>
      <c r="H533" t="inlineStr">
        <is>
          <t>TUB-O-N-AUT-AW-FC-60.30X2.000X6.0000</t>
        </is>
      </c>
      <c r="I533" t="n">
        <v>71.40000000000001</v>
      </c>
      <c r="J533" t="n">
        <v>60.3</v>
      </c>
      <c r="K533" t="n">
        <v>0</v>
      </c>
      <c r="L533" t="n">
        <v>2</v>
      </c>
      <c r="M533" t="n">
        <v>6</v>
      </c>
      <c r="N533" t="inlineStr">
        <is>
          <t>Direct</t>
        </is>
      </c>
      <c r="O533" t="inlineStr">
        <is>
          <t>60.3-0-2-ERW 1-FC-5.9</t>
        </is>
      </c>
    </row>
    <row r="534">
      <c r="A534" t="inlineStr">
        <is>
          <t>0000943209</t>
        </is>
      </c>
      <c r="B534" t="inlineStr">
        <is>
          <t>MEGH STEELS PRIVATE LIMITED - TVS A</t>
        </is>
      </c>
      <c r="C534" t="inlineStr">
        <is>
          <t>KG</t>
        </is>
      </c>
      <c r="D534" t="n">
        <v>6</v>
      </c>
      <c r="E534" t="n">
        <v>35.02</v>
      </c>
      <c r="F534" t="n">
        <v>3702875</v>
      </c>
      <c r="G534" t="inlineStr">
        <is>
          <t>4731</t>
        </is>
      </c>
      <c r="H534" t="inlineStr">
        <is>
          <t>TUB-O-N-AUT-AW-FC-60.30X2.000X6.0000</t>
        </is>
      </c>
      <c r="I534" t="n">
        <v>98.3</v>
      </c>
      <c r="J534" t="n">
        <v>60.3</v>
      </c>
      <c r="K534" t="n">
        <v>0</v>
      </c>
      <c r="L534" t="n">
        <v>2</v>
      </c>
      <c r="M534" t="n">
        <v>6</v>
      </c>
      <c r="N534" t="inlineStr">
        <is>
          <t>Direct</t>
        </is>
      </c>
      <c r="O534" t="inlineStr">
        <is>
          <t>60.3-0-2-ERW 1-FC-5.9</t>
        </is>
      </c>
    </row>
    <row r="535">
      <c r="A535" t="inlineStr">
        <is>
          <t>0000943209</t>
        </is>
      </c>
      <c r="B535" t="inlineStr">
        <is>
          <t>MEGH STEELS PRIVATE LIMITED - TVS A</t>
        </is>
      </c>
      <c r="C535" t="inlineStr">
        <is>
          <t>KG</t>
        </is>
      </c>
      <c r="D535" t="n">
        <v>71</v>
      </c>
      <c r="E535" t="n">
        <v>427.503</v>
      </c>
      <c r="F535" t="n">
        <v>3702875</v>
      </c>
      <c r="G535" t="inlineStr">
        <is>
          <t>4731</t>
        </is>
      </c>
      <c r="H535" t="inlineStr">
        <is>
          <t>TUB-O-N-AUT-AW-FC-60.30X2.000X6.0000</t>
        </is>
      </c>
      <c r="I535" t="n">
        <v>1200</v>
      </c>
      <c r="J535" t="n">
        <v>60.3</v>
      </c>
      <c r="K535" t="n">
        <v>0</v>
      </c>
      <c r="L535" t="n">
        <v>2</v>
      </c>
      <c r="M535" t="n">
        <v>6</v>
      </c>
      <c r="N535" t="inlineStr">
        <is>
          <t>Direct</t>
        </is>
      </c>
      <c r="O535" t="inlineStr">
        <is>
          <t>60.3-0-2-ERW 1-FC-5.9</t>
        </is>
      </c>
    </row>
    <row r="536">
      <c r="A536" t="inlineStr">
        <is>
          <t>0000943209</t>
        </is>
      </c>
      <c r="B536" t="inlineStr">
        <is>
          <t>MEGH STEELS PRIVATE LIMITED - TVS A</t>
        </is>
      </c>
      <c r="C536" t="inlineStr">
        <is>
          <t>KG</t>
        </is>
      </c>
      <c r="D536" t="n">
        <v>5</v>
      </c>
      <c r="E536" t="n">
        <v>27.411</v>
      </c>
      <c r="F536" t="n">
        <v>3702875</v>
      </c>
      <c r="G536" t="inlineStr">
        <is>
          <t>4731</t>
        </is>
      </c>
      <c r="H536" t="inlineStr">
        <is>
          <t>TUB-O-N-AUT-AW-FC-60.30X2.000X6.0000</t>
        </is>
      </c>
      <c r="I536" t="n">
        <v>76.943</v>
      </c>
      <c r="J536" t="n">
        <v>60.3</v>
      </c>
      <c r="K536" t="n">
        <v>0</v>
      </c>
      <c r="L536" t="n">
        <v>2</v>
      </c>
      <c r="M536" t="n">
        <v>6</v>
      </c>
      <c r="N536" t="inlineStr">
        <is>
          <t>Direct</t>
        </is>
      </c>
      <c r="O536" t="inlineStr">
        <is>
          <t>60.3-0-2-ERW 1-FC-5.9</t>
        </is>
      </c>
    </row>
    <row r="537">
      <c r="A537" t="inlineStr">
        <is>
          <t>0000943209</t>
        </is>
      </c>
      <c r="B537" t="inlineStr">
        <is>
          <t>MEGH STEELS PRIVATE LIMITED - TVS A</t>
        </is>
      </c>
      <c r="C537" t="inlineStr">
        <is>
          <t>KG</t>
        </is>
      </c>
      <c r="D537" t="n">
        <v>216</v>
      </c>
      <c r="E537" t="n">
        <v>1337.064</v>
      </c>
      <c r="F537" t="n">
        <v>3502254</v>
      </c>
      <c r="G537" t="inlineStr">
        <is>
          <t>4731</t>
        </is>
      </c>
      <c r="H537" t="inlineStr">
        <is>
          <t>TUB-O-N-AUT-AW-FC-38.10X1.600X6.1900</t>
        </is>
      </c>
      <c r="I537" t="n">
        <v>1925.64</v>
      </c>
      <c r="J537" t="n">
        <v>38.1</v>
      </c>
      <c r="K537" t="n">
        <v>0</v>
      </c>
      <c r="L537" t="n">
        <v>1.6</v>
      </c>
      <c r="M537" t="n">
        <v>6.19</v>
      </c>
      <c r="N537" t="inlineStr">
        <is>
          <t>Direct</t>
        </is>
      </c>
      <c r="O537" t="inlineStr">
        <is>
          <t>38.1-0-1.6-ERW 1-FC-6.19</t>
        </is>
      </c>
    </row>
    <row r="538">
      <c r="A538" t="inlineStr">
        <is>
          <t>0000943209</t>
        </is>
      </c>
      <c r="B538" t="inlineStr">
        <is>
          <t>MEGH STEELS PRIVATE LIMITED - TVS A</t>
        </is>
      </c>
      <c r="C538" t="inlineStr">
        <is>
          <t>KG</t>
        </is>
      </c>
      <c r="D538" t="n">
        <v>217</v>
      </c>
      <c r="E538" t="n">
        <v>1343.254</v>
      </c>
      <c r="F538" t="n">
        <v>3502254</v>
      </c>
      <c r="G538" t="inlineStr">
        <is>
          <t>4731</t>
        </is>
      </c>
      <c r="H538" t="inlineStr">
        <is>
          <t>TUB-O-N-AUT-AW-FC-38.10X1.600X6.1900</t>
        </is>
      </c>
      <c r="I538" t="n">
        <v>1934.555</v>
      </c>
      <c r="J538" t="n">
        <v>38.1</v>
      </c>
      <c r="K538" t="n">
        <v>0</v>
      </c>
      <c r="L538" t="n">
        <v>1.6</v>
      </c>
      <c r="M538" t="n">
        <v>6.19</v>
      </c>
      <c r="N538" t="inlineStr">
        <is>
          <t>Direct</t>
        </is>
      </c>
      <c r="O538" t="inlineStr">
        <is>
          <t>38.1-0-1.6-ERW 1-FC-6.19</t>
        </is>
      </c>
    </row>
    <row r="539">
      <c r="A539" t="inlineStr">
        <is>
          <t>0000943209</t>
        </is>
      </c>
      <c r="B539" t="inlineStr">
        <is>
          <t>MEGH STEELS PRIVATE LIMITED - TVS A</t>
        </is>
      </c>
      <c r="C539" t="inlineStr">
        <is>
          <t>KG</t>
        </is>
      </c>
      <c r="D539" t="n">
        <v>214</v>
      </c>
      <c r="E539" t="n">
        <v>1324.684</v>
      </c>
      <c r="F539" t="n">
        <v>3502254</v>
      </c>
      <c r="G539" t="inlineStr">
        <is>
          <t>4731</t>
        </is>
      </c>
      <c r="H539" t="inlineStr">
        <is>
          <t>TUB-O-N-AUT-AW-FC-38.10X1.600X6.1900</t>
        </is>
      </c>
      <c r="I539" t="n">
        <v>1907.81</v>
      </c>
      <c r="J539" t="n">
        <v>38.1</v>
      </c>
      <c r="K539" t="n">
        <v>0</v>
      </c>
      <c r="L539" t="n">
        <v>1.6</v>
      </c>
      <c r="M539" t="n">
        <v>6.19</v>
      </c>
      <c r="N539" t="inlineStr">
        <is>
          <t>Direct</t>
        </is>
      </c>
      <c r="O539" t="inlineStr">
        <is>
          <t>38.1-0-1.6-ERW 1-FC-6.19</t>
        </is>
      </c>
    </row>
    <row r="540">
      <c r="A540" t="inlineStr">
        <is>
          <t>0000943209</t>
        </is>
      </c>
      <c r="B540" t="inlineStr">
        <is>
          <t>MEGH STEELS PRIVATE LIMITED - TVS A</t>
        </is>
      </c>
      <c r="C540" t="inlineStr">
        <is>
          <t>KG</t>
        </is>
      </c>
      <c r="D540" t="n">
        <v>216</v>
      </c>
      <c r="E540" t="n">
        <v>1337.064</v>
      </c>
      <c r="F540" t="n">
        <v>3502254</v>
      </c>
      <c r="G540" t="inlineStr">
        <is>
          <t>4731</t>
        </is>
      </c>
      <c r="H540" t="inlineStr">
        <is>
          <t>TUB-O-N-AUT-AW-FC-38.10X1.600X6.1900</t>
        </is>
      </c>
      <c r="I540" t="n">
        <v>1925.64</v>
      </c>
      <c r="J540" t="n">
        <v>38.1</v>
      </c>
      <c r="K540" t="n">
        <v>0</v>
      </c>
      <c r="L540" t="n">
        <v>1.6</v>
      </c>
      <c r="M540" t="n">
        <v>6.19</v>
      </c>
      <c r="N540" t="inlineStr">
        <is>
          <t>Direct</t>
        </is>
      </c>
      <c r="O540" t="inlineStr">
        <is>
          <t>38.1-0-1.6-ERW 1-FC-6.19</t>
        </is>
      </c>
    </row>
    <row r="541">
      <c r="A541" t="inlineStr">
        <is>
          <t>0000943209</t>
        </is>
      </c>
      <c r="B541" t="inlineStr">
        <is>
          <t>MEGH STEELS PRIVATE LIMITED - TVS A</t>
        </is>
      </c>
      <c r="C541" t="inlineStr">
        <is>
          <t>KG</t>
        </is>
      </c>
      <c r="D541" t="n">
        <v>217</v>
      </c>
      <c r="E541" t="n">
        <v>1343.254</v>
      </c>
      <c r="F541" t="n">
        <v>3502254</v>
      </c>
      <c r="G541" t="inlineStr">
        <is>
          <t>4731</t>
        </is>
      </c>
      <c r="H541" t="inlineStr">
        <is>
          <t>TUB-O-N-AUT-AW-FC-38.10X1.600X6.1900</t>
        </is>
      </c>
      <c r="I541" t="n">
        <v>1934.555</v>
      </c>
      <c r="J541" t="n">
        <v>38.1</v>
      </c>
      <c r="K541" t="n">
        <v>0</v>
      </c>
      <c r="L541" t="n">
        <v>1.6</v>
      </c>
      <c r="M541" t="n">
        <v>6.19</v>
      </c>
      <c r="N541" t="inlineStr">
        <is>
          <t>Direct</t>
        </is>
      </c>
      <c r="O541" t="inlineStr">
        <is>
          <t>38.1-0-1.6-ERW 1-FC-6.19</t>
        </is>
      </c>
    </row>
    <row r="542">
      <c r="A542" t="inlineStr">
        <is>
          <t>0000943209</t>
        </is>
      </c>
      <c r="B542" t="inlineStr">
        <is>
          <t>MEGH STEELS PRIVATE LIMITED - TVS A</t>
        </is>
      </c>
      <c r="C542" t="inlineStr">
        <is>
          <t>KG</t>
        </is>
      </c>
      <c r="D542" t="n">
        <v>216</v>
      </c>
      <c r="E542" t="n">
        <v>1337.064</v>
      </c>
      <c r="F542" t="n">
        <v>3502254</v>
      </c>
      <c r="G542" t="inlineStr">
        <is>
          <t>4731</t>
        </is>
      </c>
      <c r="H542" t="inlineStr">
        <is>
          <t>TUB-O-N-AUT-AW-FC-38.10X1.600X6.1900</t>
        </is>
      </c>
      <c r="I542" t="n">
        <v>1925.64</v>
      </c>
      <c r="J542" t="n">
        <v>38.1</v>
      </c>
      <c r="K542" t="n">
        <v>0</v>
      </c>
      <c r="L542" t="n">
        <v>1.6</v>
      </c>
      <c r="M542" t="n">
        <v>6.19</v>
      </c>
      <c r="N542" t="inlineStr">
        <is>
          <t>Direct</t>
        </is>
      </c>
      <c r="O542" t="inlineStr">
        <is>
          <t>38.1-0-1.6-ERW 1-FC-6.19</t>
        </is>
      </c>
    </row>
    <row r="543">
      <c r="A543" t="inlineStr">
        <is>
          <t>0000943209</t>
        </is>
      </c>
      <c r="B543" t="inlineStr">
        <is>
          <t>MEGH STEELS PRIVATE LIMITED - TVS A</t>
        </is>
      </c>
      <c r="C543" t="inlineStr">
        <is>
          <t>KG</t>
        </is>
      </c>
      <c r="D543" t="n">
        <v>216</v>
      </c>
      <c r="E543" t="n">
        <v>1337.064</v>
      </c>
      <c r="F543" t="n">
        <v>3502254</v>
      </c>
      <c r="G543" t="inlineStr">
        <is>
          <t>4731</t>
        </is>
      </c>
      <c r="H543" t="inlineStr">
        <is>
          <t>TUB-O-N-AUT-AW-FC-38.10X1.600X6.1900</t>
        </is>
      </c>
      <c r="I543" t="n">
        <v>1925.64</v>
      </c>
      <c r="J543" t="n">
        <v>38.1</v>
      </c>
      <c r="K543" t="n">
        <v>0</v>
      </c>
      <c r="L543" t="n">
        <v>1.6</v>
      </c>
      <c r="M543" t="n">
        <v>6.19</v>
      </c>
      <c r="N543" t="inlineStr">
        <is>
          <t>Direct</t>
        </is>
      </c>
      <c r="O543" t="inlineStr">
        <is>
          <t>38.1-0-1.6-ERW 1-FC-6.19</t>
        </is>
      </c>
    </row>
    <row r="544">
      <c r="A544" t="inlineStr">
        <is>
          <t>0000943209</t>
        </is>
      </c>
      <c r="B544" t="inlineStr">
        <is>
          <t>MEGH STEELS PRIVATE LIMITED - TVS A</t>
        </is>
      </c>
      <c r="C544" t="inlineStr">
        <is>
          <t>KG</t>
        </is>
      </c>
      <c r="D544" t="n">
        <v>7</v>
      </c>
      <c r="E544" t="n">
        <v>42.022</v>
      </c>
      <c r="F544" t="n">
        <v>3502254</v>
      </c>
      <c r="G544" t="inlineStr">
        <is>
          <t>4731</t>
        </is>
      </c>
      <c r="H544" t="inlineStr">
        <is>
          <t>TUB-O-N-AUT-AW-FC-38.10X1.600X6.1900</t>
        </is>
      </c>
      <c r="I544" t="n">
        <v>60.52</v>
      </c>
      <c r="J544" t="n">
        <v>38.1</v>
      </c>
      <c r="K544" t="n">
        <v>0</v>
      </c>
      <c r="L544" t="n">
        <v>1.6</v>
      </c>
      <c r="M544" t="n">
        <v>6.19</v>
      </c>
      <c r="N544" t="inlineStr">
        <is>
          <t>Direct</t>
        </is>
      </c>
      <c r="O544" t="inlineStr">
        <is>
          <t>38.1-0-1.6-ERW 1-FC-6.19</t>
        </is>
      </c>
    </row>
    <row r="545">
      <c r="A545" t="inlineStr">
        <is>
          <t>0000943209</t>
        </is>
      </c>
      <c r="B545" t="inlineStr">
        <is>
          <t>MEGH STEELS PRIVATE LIMITED - TVS A</t>
        </is>
      </c>
      <c r="C545" t="inlineStr">
        <is>
          <t>KG</t>
        </is>
      </c>
      <c r="D545" t="n">
        <v>217</v>
      </c>
      <c r="E545" t="n">
        <v>1343.254</v>
      </c>
      <c r="F545" t="n">
        <v>3502254</v>
      </c>
      <c r="G545" t="inlineStr">
        <is>
          <t>4731</t>
        </is>
      </c>
      <c r="H545" t="inlineStr">
        <is>
          <t>TUB-O-N-AUT-AW-FC-38.10X1.600X6.1900</t>
        </is>
      </c>
      <c r="I545" t="n">
        <v>1934.555</v>
      </c>
      <c r="J545" t="n">
        <v>38.1</v>
      </c>
      <c r="K545" t="n">
        <v>0</v>
      </c>
      <c r="L545" t="n">
        <v>1.6</v>
      </c>
      <c r="M545" t="n">
        <v>6.19</v>
      </c>
      <c r="N545" t="inlineStr">
        <is>
          <t>Direct</t>
        </is>
      </c>
      <c r="O545" t="inlineStr">
        <is>
          <t>38.1-0-1.6-ERW 1-FC-6.19</t>
        </is>
      </c>
    </row>
    <row r="546">
      <c r="A546" t="inlineStr">
        <is>
          <t>0000943209</t>
        </is>
      </c>
      <c r="B546" t="inlineStr">
        <is>
          <t>MEGH STEELS PRIVATE LIMITED - TVS A</t>
        </is>
      </c>
      <c r="C546" t="inlineStr">
        <is>
          <t>KG</t>
        </is>
      </c>
      <c r="D546" t="n">
        <v>5</v>
      </c>
      <c r="E546" t="n">
        <v>31.555</v>
      </c>
      <c r="F546" t="n">
        <v>3502254</v>
      </c>
      <c r="G546" t="inlineStr">
        <is>
          <t>4731</t>
        </is>
      </c>
      <c r="H546" t="inlineStr">
        <is>
          <t>TUB-O-N-AUT-AW-FC-38.10X1.600X6.1900</t>
        </is>
      </c>
      <c r="I546" t="n">
        <v>45.445</v>
      </c>
      <c r="J546" t="n">
        <v>38.1</v>
      </c>
      <c r="K546" t="n">
        <v>0</v>
      </c>
      <c r="L546" t="n">
        <v>1.6</v>
      </c>
      <c r="M546" t="n">
        <v>6.19</v>
      </c>
      <c r="N546" t="inlineStr">
        <is>
          <t>Direct</t>
        </is>
      </c>
      <c r="O546" t="inlineStr">
        <is>
          <t>38.1-0-1.6-ERW 1-FC-6.19</t>
        </is>
      </c>
    </row>
    <row r="547">
      <c r="A547" t="inlineStr">
        <is>
          <t>0000943209</t>
        </is>
      </c>
      <c r="B547" t="inlineStr">
        <is>
          <t>MEGH STEELS PRIVATE LIMITED - TVS A</t>
        </is>
      </c>
      <c r="C547" t="inlineStr">
        <is>
          <t>KG</t>
        </is>
      </c>
      <c r="D547" t="n">
        <v>127</v>
      </c>
      <c r="E547" t="n">
        <v>730.255</v>
      </c>
      <c r="F547" t="n">
        <v>3501047</v>
      </c>
      <c r="G547" t="inlineStr">
        <is>
          <t>4731</t>
        </is>
      </c>
      <c r="H547" t="inlineStr">
        <is>
          <t>TUB-O-N-AUT-AW-FC-57.15X2.50X5.750-ERW 1</t>
        </is>
      </c>
      <c r="I547" t="n">
        <v>2366.391</v>
      </c>
      <c r="J547" t="n">
        <v>57.15</v>
      </c>
      <c r="K547" t="n">
        <v>0</v>
      </c>
      <c r="L547" t="n">
        <v>2.5</v>
      </c>
      <c r="M547" t="n">
        <v>5.75</v>
      </c>
      <c r="N547" t="inlineStr">
        <is>
          <t>Direct</t>
        </is>
      </c>
      <c r="O547" t="inlineStr">
        <is>
          <t>57.15-0-2.5-ERW 1-FC-5.75</t>
        </is>
      </c>
    </row>
    <row r="548">
      <c r="A548" t="inlineStr">
        <is>
          <t>0000943209</t>
        </is>
      </c>
      <c r="B548" t="inlineStr">
        <is>
          <t>MEGH STEELS PRIVATE LIMITED - TVS A</t>
        </is>
      </c>
      <c r="C548" t="inlineStr">
        <is>
          <t>KG</t>
        </is>
      </c>
      <c r="D548" t="n">
        <v>127</v>
      </c>
      <c r="E548" t="n">
        <v>730.255</v>
      </c>
      <c r="F548" t="n">
        <v>3501047</v>
      </c>
      <c r="G548" t="inlineStr">
        <is>
          <t>4731</t>
        </is>
      </c>
      <c r="H548" t="inlineStr">
        <is>
          <t>TUB-O-N-AUT-AW-FC-57.15X2.50X5.750-ERW 1</t>
        </is>
      </c>
      <c r="I548" t="n">
        <v>2366.391</v>
      </c>
      <c r="J548" t="n">
        <v>57.15</v>
      </c>
      <c r="K548" t="n">
        <v>0</v>
      </c>
      <c r="L548" t="n">
        <v>2.5</v>
      </c>
      <c r="M548" t="n">
        <v>5.75</v>
      </c>
      <c r="N548" t="inlineStr">
        <is>
          <t>Direct</t>
        </is>
      </c>
      <c r="O548" t="inlineStr">
        <is>
          <t>57.15-0-2.5-ERW 1-FC-5.75</t>
        </is>
      </c>
    </row>
    <row r="549">
      <c r="A549" t="inlineStr">
        <is>
          <t>0000943209</t>
        </is>
      </c>
      <c r="B549" t="inlineStr">
        <is>
          <t>MEGH STEELS PRIVATE LIMITED - TVS A</t>
        </is>
      </c>
      <c r="C549" t="inlineStr">
        <is>
          <t>KG</t>
        </is>
      </c>
      <c r="D549" t="n">
        <v>126</v>
      </c>
      <c r="E549" t="n">
        <v>724.505</v>
      </c>
      <c r="F549" t="n">
        <v>3501047</v>
      </c>
      <c r="G549" t="inlineStr">
        <is>
          <t>4731</t>
        </is>
      </c>
      <c r="H549" t="inlineStr">
        <is>
          <t>TUB-O-N-AUT-AW-FC-57.15X2.50X5.750-ERW 1</t>
        </is>
      </c>
      <c r="I549" t="n">
        <v>2347.758</v>
      </c>
      <c r="J549" t="n">
        <v>57.15</v>
      </c>
      <c r="K549" t="n">
        <v>0</v>
      </c>
      <c r="L549" t="n">
        <v>2.5</v>
      </c>
      <c r="M549" t="n">
        <v>5.75</v>
      </c>
      <c r="N549" t="inlineStr">
        <is>
          <t>Direct</t>
        </is>
      </c>
      <c r="O549" t="inlineStr">
        <is>
          <t>57.15-0-2.5-ERW 1-FC-5.75</t>
        </is>
      </c>
    </row>
    <row r="550">
      <c r="A550" t="inlineStr">
        <is>
          <t>0000943209</t>
        </is>
      </c>
      <c r="B550" t="inlineStr">
        <is>
          <t>MEGH STEELS PRIVATE LIMITED - TVS A</t>
        </is>
      </c>
      <c r="C550" t="inlineStr">
        <is>
          <t>KG</t>
        </is>
      </c>
      <c r="D550" t="n">
        <v>127</v>
      </c>
      <c r="E550" t="n">
        <v>730.255</v>
      </c>
      <c r="F550" t="n">
        <v>3501047</v>
      </c>
      <c r="G550" t="inlineStr">
        <is>
          <t>4731</t>
        </is>
      </c>
      <c r="H550" t="inlineStr">
        <is>
          <t>TUB-O-N-AUT-AW-FC-57.15X2.50X5.750-ERW 1</t>
        </is>
      </c>
      <c r="I550" t="n">
        <v>2366.391</v>
      </c>
      <c r="J550" t="n">
        <v>57.15</v>
      </c>
      <c r="K550" t="n">
        <v>0</v>
      </c>
      <c r="L550" t="n">
        <v>2.5</v>
      </c>
      <c r="M550" t="n">
        <v>5.75</v>
      </c>
      <c r="N550" t="inlineStr">
        <is>
          <t>Direct</t>
        </is>
      </c>
      <c r="O550" t="inlineStr">
        <is>
          <t>57.15-0-2.5-ERW 1-FC-5.75</t>
        </is>
      </c>
    </row>
    <row r="551">
      <c r="A551" t="inlineStr">
        <is>
          <t>0000943209</t>
        </is>
      </c>
      <c r="B551" t="inlineStr">
        <is>
          <t>MEGH STEELS PRIVATE LIMITED - TVS A</t>
        </is>
      </c>
      <c r="C551" t="inlineStr">
        <is>
          <t>KG</t>
        </is>
      </c>
      <c r="D551" t="n">
        <v>127</v>
      </c>
      <c r="E551" t="n">
        <v>730.255</v>
      </c>
      <c r="F551" t="n">
        <v>3501047</v>
      </c>
      <c r="G551" t="inlineStr">
        <is>
          <t>4731</t>
        </is>
      </c>
      <c r="H551" t="inlineStr">
        <is>
          <t>TUB-O-N-AUT-AW-FC-57.15X2.50X5.750-ERW 1</t>
        </is>
      </c>
      <c r="I551" t="n">
        <v>2366.391</v>
      </c>
      <c r="J551" t="n">
        <v>57.15</v>
      </c>
      <c r="K551" t="n">
        <v>0</v>
      </c>
      <c r="L551" t="n">
        <v>2.5</v>
      </c>
      <c r="M551" t="n">
        <v>5.75</v>
      </c>
      <c r="N551" t="inlineStr">
        <is>
          <t>Direct</t>
        </is>
      </c>
      <c r="O551" t="inlineStr">
        <is>
          <t>57.15-0-2.5-ERW 1-FC-5.75</t>
        </is>
      </c>
    </row>
    <row r="552">
      <c r="A552" t="inlineStr">
        <is>
          <t>0000943209</t>
        </is>
      </c>
      <c r="B552" t="inlineStr">
        <is>
          <t>MEGH STEELS PRIVATE LIMITED - TVS A</t>
        </is>
      </c>
      <c r="C552" t="inlineStr">
        <is>
          <t>KG</t>
        </is>
      </c>
      <c r="D552" t="n">
        <v>127</v>
      </c>
      <c r="E552" t="n">
        <v>730.255</v>
      </c>
      <c r="F552" t="n">
        <v>3501047</v>
      </c>
      <c r="G552" t="inlineStr">
        <is>
          <t>4731</t>
        </is>
      </c>
      <c r="H552" t="inlineStr">
        <is>
          <t>TUB-O-N-AUT-AW-FC-57.15X2.50X5.750-ERW 1</t>
        </is>
      </c>
      <c r="I552" t="n">
        <v>2366.391</v>
      </c>
      <c r="J552" t="n">
        <v>57.15</v>
      </c>
      <c r="K552" t="n">
        <v>0</v>
      </c>
      <c r="L552" t="n">
        <v>2.5</v>
      </c>
      <c r="M552" t="n">
        <v>5.75</v>
      </c>
      <c r="N552" t="inlineStr">
        <is>
          <t>Direct</t>
        </is>
      </c>
      <c r="O552" t="inlineStr">
        <is>
          <t>57.15-0-2.5-ERW 1-FC-5.75</t>
        </is>
      </c>
    </row>
    <row r="553">
      <c r="A553" t="inlineStr">
        <is>
          <t>0000943209</t>
        </is>
      </c>
      <c r="B553" t="inlineStr">
        <is>
          <t>MEGH STEELS PRIVATE LIMITED - TVS A</t>
        </is>
      </c>
      <c r="C553" t="inlineStr">
        <is>
          <t>KG</t>
        </is>
      </c>
      <c r="D553" t="n">
        <v>1</v>
      </c>
      <c r="E553" t="n">
        <v>3.175</v>
      </c>
      <c r="F553" t="n">
        <v>3501047</v>
      </c>
      <c r="G553" t="inlineStr">
        <is>
          <t>4731</t>
        </is>
      </c>
      <c r="H553" t="inlineStr">
        <is>
          <t>TUB-O-N-AUT-AW-FC-57.15X2.50X5.750-ERW 1</t>
        </is>
      </c>
      <c r="I553" t="n">
        <v>10.287</v>
      </c>
      <c r="J553" t="n">
        <v>57.15</v>
      </c>
      <c r="K553" t="n">
        <v>0</v>
      </c>
      <c r="L553" t="n">
        <v>2.5</v>
      </c>
      <c r="M553" t="n">
        <v>5.75</v>
      </c>
      <c r="N553" t="inlineStr">
        <is>
          <t>Direct</t>
        </is>
      </c>
      <c r="O553" t="inlineStr">
        <is>
          <t>57.15-0-2.5-ERW 1-FC-5.75</t>
        </is>
      </c>
    </row>
    <row r="554">
      <c r="A554" t="inlineStr">
        <is>
          <t>0000943209</t>
        </is>
      </c>
      <c r="B554" t="inlineStr">
        <is>
          <t>MEGH STEELS PRIVATE LIMITED - TVS A</t>
        </is>
      </c>
      <c r="C554" t="inlineStr">
        <is>
          <t>KG</t>
        </is>
      </c>
      <c r="D554" t="n">
        <v>83</v>
      </c>
      <c r="E554" t="n">
        <v>478.321</v>
      </c>
      <c r="F554" t="n">
        <v>3501047</v>
      </c>
      <c r="G554" t="inlineStr">
        <is>
          <t>4731</t>
        </is>
      </c>
      <c r="H554" t="inlineStr">
        <is>
          <t>TUB-O-N-AUT-AW-FC-57.15X2.50X5.750-ERW 1</t>
        </is>
      </c>
      <c r="I554" t="n">
        <v>1550</v>
      </c>
      <c r="J554" t="n">
        <v>57.15</v>
      </c>
      <c r="K554" t="n">
        <v>0</v>
      </c>
      <c r="L554" t="n">
        <v>2.5</v>
      </c>
      <c r="M554" t="n">
        <v>5.75</v>
      </c>
      <c r="N554" t="inlineStr">
        <is>
          <t>Direct</t>
        </is>
      </c>
      <c r="O554" t="inlineStr">
        <is>
          <t>57.15-0-2.5-ERW 1-FC-5.75</t>
        </is>
      </c>
    </row>
    <row r="555">
      <c r="A555" t="inlineStr">
        <is>
          <t>0000943210</t>
        </is>
      </c>
      <c r="B555" t="inlineStr">
        <is>
          <t>MEGH STEELS PRIVATE LIMITED - HMSIL</t>
        </is>
      </c>
      <c r="C555" t="inlineStr">
        <is>
          <t>KG</t>
        </is>
      </c>
      <c r="D555" t="n">
        <v>161</v>
      </c>
      <c r="E555" t="n">
        <v>917.6799999999999</v>
      </c>
      <c r="F555" t="n">
        <v>3545558</v>
      </c>
      <c r="G555" t="inlineStr">
        <is>
          <t>4731</t>
        </is>
      </c>
      <c r="H555" t="inlineStr">
        <is>
          <t>TUB-O-N-AUT-AW-FC-45.00X1.400X5.7000</t>
        </is>
      </c>
      <c r="I555" t="n">
        <v>1314.485</v>
      </c>
      <c r="J555" t="n">
        <v>45</v>
      </c>
      <c r="K555" t="n">
        <v>0</v>
      </c>
      <c r="L555" t="n">
        <v>1.4</v>
      </c>
      <c r="M555" t="n">
        <v>5.7</v>
      </c>
      <c r="N555" t="inlineStr">
        <is>
          <t>Direct</t>
        </is>
      </c>
      <c r="O555" t="inlineStr">
        <is>
          <t>45--1.4-ERW 1-FIN CUT-5.7</t>
        </is>
      </c>
    </row>
    <row r="556">
      <c r="A556" t="inlineStr">
        <is>
          <t>0000943210</t>
        </is>
      </c>
      <c r="B556" t="inlineStr">
        <is>
          <t>MEGH STEELS PRIVATE LIMITED - HMSIL</t>
        </is>
      </c>
      <c r="C556" t="inlineStr">
        <is>
          <t>KG</t>
        </is>
      </c>
      <c r="D556" t="n">
        <v>136</v>
      </c>
      <c r="E556" t="n">
        <v>775.183</v>
      </c>
      <c r="F556" t="n">
        <v>3545558</v>
      </c>
      <c r="G556" t="inlineStr">
        <is>
          <t>4731</t>
        </is>
      </c>
      <c r="H556" t="inlineStr">
        <is>
          <t>TUB-O-N-AUT-AW-FC-45.00X1.400X5.7000</t>
        </is>
      </c>
      <c r="I556" t="n">
        <v>1110.372</v>
      </c>
      <c r="J556" t="n">
        <v>45</v>
      </c>
      <c r="K556" t="n">
        <v>0</v>
      </c>
      <c r="L556" t="n">
        <v>1.4</v>
      </c>
      <c r="M556" t="n">
        <v>5.7</v>
      </c>
      <c r="N556" t="inlineStr">
        <is>
          <t>Direct</t>
        </is>
      </c>
      <c r="O556" t="inlineStr">
        <is>
          <t>45--1.4-ERW 1-FIN CUT-5.7</t>
        </is>
      </c>
    </row>
    <row r="557">
      <c r="A557" t="inlineStr">
        <is>
          <t>0000943210</t>
        </is>
      </c>
      <c r="B557" t="inlineStr">
        <is>
          <t>MEGH STEELS PRIVATE LIMITED - HMSIL</t>
        </is>
      </c>
      <c r="C557" t="inlineStr">
        <is>
          <t>KG</t>
        </is>
      </c>
      <c r="D557" t="n">
        <v>103</v>
      </c>
      <c r="E557" t="n">
        <v>586.803</v>
      </c>
      <c r="F557" t="n">
        <v>3545558</v>
      </c>
      <c r="G557" t="inlineStr">
        <is>
          <t>4731</t>
        </is>
      </c>
      <c r="H557" t="inlineStr">
        <is>
          <t>TUB-O-N-AUT-AW-FC-45.00X1.400X5.7000</t>
        </is>
      </c>
      <c r="I557" t="n">
        <v>840.537</v>
      </c>
      <c r="J557" t="n">
        <v>45</v>
      </c>
      <c r="K557" t="n">
        <v>0</v>
      </c>
      <c r="L557" t="n">
        <v>1.4</v>
      </c>
      <c r="M557" t="n">
        <v>5.7</v>
      </c>
      <c r="N557" t="inlineStr">
        <is>
          <t>Direct</t>
        </is>
      </c>
      <c r="O557" t="inlineStr">
        <is>
          <t>45--1.4-ERW 1-FIN CUT-5.7</t>
        </is>
      </c>
    </row>
    <row r="558">
      <c r="A558" t="inlineStr">
        <is>
          <t>0000943210</t>
        </is>
      </c>
      <c r="B558" t="inlineStr">
        <is>
          <t>MEGH STEELS PRIVATE LIMITED - HMSIL</t>
        </is>
      </c>
      <c r="C558" t="inlineStr">
        <is>
          <t>KG</t>
        </is>
      </c>
      <c r="D558" t="n">
        <v>4</v>
      </c>
      <c r="E558" t="n">
        <v>24.159</v>
      </c>
      <c r="F558" t="n">
        <v>3545558</v>
      </c>
      <c r="G558" t="inlineStr">
        <is>
          <t>4731</t>
        </is>
      </c>
      <c r="H558" t="inlineStr">
        <is>
          <t>TUB-O-N-AUT-AW-FC-45.00X1.400X5.7000</t>
        </is>
      </c>
      <c r="I558" t="n">
        <v>34.606</v>
      </c>
      <c r="J558" t="n">
        <v>45</v>
      </c>
      <c r="K558" t="n">
        <v>0</v>
      </c>
      <c r="L558" t="n">
        <v>1.4</v>
      </c>
      <c r="M558" t="n">
        <v>5.7</v>
      </c>
      <c r="N558" t="inlineStr">
        <is>
          <t>Direct</t>
        </is>
      </c>
      <c r="O558" t="inlineStr">
        <is>
          <t>45--1.4-ERW 1-FIN CUT-5.7</t>
        </is>
      </c>
    </row>
    <row r="559">
      <c r="A559" t="inlineStr">
        <is>
          <t>0000943210</t>
        </is>
      </c>
      <c r="B559" t="inlineStr">
        <is>
          <t>MEGH STEELS PRIVATE LIMITED - HMSIL</t>
        </is>
      </c>
      <c r="C559" t="inlineStr">
        <is>
          <t>KG</t>
        </is>
      </c>
      <c r="D559" t="n">
        <v>117</v>
      </c>
      <c r="E559" t="n">
        <v>709.722</v>
      </c>
      <c r="F559" t="n">
        <v>3701546</v>
      </c>
      <c r="G559" t="inlineStr">
        <is>
          <t>4731</t>
        </is>
      </c>
      <c r="H559" t="inlineStr">
        <is>
          <t>TUB-O-N-AUT-AW-FC-28.58X3.250X6.0600</t>
        </is>
      </c>
      <c r="I559" t="n">
        <v>1422</v>
      </c>
      <c r="J559" t="n">
        <v>28.58</v>
      </c>
      <c r="K559" t="n">
        <v>0</v>
      </c>
      <c r="L559" t="n">
        <v>3.25</v>
      </c>
      <c r="M559" t="n">
        <v>6.06</v>
      </c>
      <c r="N559" t="inlineStr">
        <is>
          <t>Direct</t>
        </is>
      </c>
    </row>
    <row r="560">
      <c r="A560" t="inlineStr">
        <is>
          <t>0000943210</t>
        </is>
      </c>
      <c r="B560" t="inlineStr">
        <is>
          <t>MEGH STEELS PRIVATE LIMITED - HMSIL</t>
        </is>
      </c>
      <c r="C560" t="inlineStr">
        <is>
          <t>KG</t>
        </is>
      </c>
      <c r="D560" t="n">
        <v>113</v>
      </c>
      <c r="E560" t="n">
        <v>687.7619999999999</v>
      </c>
      <c r="F560" t="n">
        <v>3701546</v>
      </c>
      <c r="G560" t="inlineStr">
        <is>
          <t>4731</t>
        </is>
      </c>
      <c r="H560" t="inlineStr">
        <is>
          <t>TUB-O-N-AUT-AW-FC-28.58X3.250X6.0600</t>
        </is>
      </c>
      <c r="I560" t="n">
        <v>1378</v>
      </c>
      <c r="J560" t="n">
        <v>28.58</v>
      </c>
      <c r="K560" t="n">
        <v>0</v>
      </c>
      <c r="L560" t="n">
        <v>3.25</v>
      </c>
      <c r="M560" t="n">
        <v>6.06</v>
      </c>
      <c r="N560" t="inlineStr">
        <is>
          <t>Direct</t>
        </is>
      </c>
    </row>
    <row r="561">
      <c r="A561" t="inlineStr">
        <is>
          <t>0000943211</t>
        </is>
      </c>
      <c r="B561" t="inlineStr">
        <is>
          <t>MEGH STEELS PRIVATE LIMITED - RE</t>
        </is>
      </c>
      <c r="C561" t="inlineStr">
        <is>
          <t>KG</t>
        </is>
      </c>
      <c r="D561" t="n">
        <v>169</v>
      </c>
      <c r="E561" t="n">
        <v>999.761</v>
      </c>
      <c r="F561" t="n">
        <v>4072797</v>
      </c>
      <c r="G561" t="inlineStr">
        <is>
          <t>4731</t>
        </is>
      </c>
      <c r="H561" t="inlineStr">
        <is>
          <t>TUB-O-N-AUT-AW-FC-31.75X2.300X5.9200</t>
        </is>
      </c>
      <c r="I561" t="n">
        <v>1670</v>
      </c>
      <c r="J561" t="n">
        <v>31.75</v>
      </c>
      <c r="K561" t="n">
        <v>0</v>
      </c>
      <c r="L561" t="n">
        <v>2.3</v>
      </c>
      <c r="M561" t="n">
        <v>5.92</v>
      </c>
      <c r="N561" t="inlineStr">
        <is>
          <t>Direct</t>
        </is>
      </c>
    </row>
    <row r="562">
      <c r="A562" t="inlineStr">
        <is>
          <t>0000943209</t>
        </is>
      </c>
      <c r="B562" t="inlineStr">
        <is>
          <t>MEGH STEELS PRIVATE LIMITED - TVS A</t>
        </is>
      </c>
      <c r="C562" t="inlineStr">
        <is>
          <t>KG</t>
        </is>
      </c>
      <c r="D562" t="n">
        <v>117</v>
      </c>
      <c r="E562" t="n">
        <v>702.292</v>
      </c>
      <c r="F562" t="n">
        <v>3597718</v>
      </c>
      <c r="G562" t="inlineStr">
        <is>
          <t>4731</t>
        </is>
      </c>
      <c r="H562" t="inlineStr">
        <is>
          <t>TUB-R-AW-RHS-40.00X25.00X1.600X5.9900</t>
        </is>
      </c>
      <c r="I562" t="n">
        <v>1100</v>
      </c>
      <c r="J562" t="n">
        <v>40</v>
      </c>
      <c r="K562" t="n">
        <v>25</v>
      </c>
      <c r="L562" t="n">
        <v>1.6</v>
      </c>
      <c r="M562" t="n">
        <v>5.99</v>
      </c>
      <c r="N562" t="inlineStr">
        <is>
          <t>Direct</t>
        </is>
      </c>
    </row>
    <row r="563">
      <c r="A563" t="inlineStr">
        <is>
          <t>0000943209</t>
        </is>
      </c>
      <c r="B563" t="inlineStr">
        <is>
          <t>MEGH STEELS PRIVATE LIMITED - TVS A</t>
        </is>
      </c>
      <c r="C563" t="inlineStr">
        <is>
          <t>KG</t>
        </is>
      </c>
      <c r="D563" t="n">
        <v>42</v>
      </c>
      <c r="E563" t="n">
        <v>236.63</v>
      </c>
      <c r="F563" t="n">
        <v>3500240</v>
      </c>
      <c r="G563" t="inlineStr">
        <is>
          <t>4731</t>
        </is>
      </c>
      <c r="H563" t="inlineStr">
        <is>
          <t>TUB-O-N-AUT-AH-FC-38.10X2.5X5.65 HSTERW2</t>
        </is>
      </c>
      <c r="I563" t="n">
        <v>500</v>
      </c>
      <c r="J563" t="n">
        <v>38.1</v>
      </c>
      <c r="K563" t="n">
        <v>0</v>
      </c>
      <c r="L563" t="n">
        <v>2.5</v>
      </c>
      <c r="M563" t="n">
        <v>5.65</v>
      </c>
      <c r="N563" t="inlineStr">
        <is>
          <t>Direct</t>
        </is>
      </c>
    </row>
    <row r="564">
      <c r="A564" t="inlineStr">
        <is>
          <t>0000943209</t>
        </is>
      </c>
      <c r="B564" t="inlineStr">
        <is>
          <t>MEGH STEELS PRIVATE LIMITED - TVS A</t>
        </is>
      </c>
      <c r="C564" t="inlineStr">
        <is>
          <t>NOS</t>
        </is>
      </c>
      <c r="D564" t="n">
        <v>5900</v>
      </c>
      <c r="E564" t="n">
        <v>2118.111</v>
      </c>
      <c r="F564" t="n">
        <v>3948187</v>
      </c>
      <c r="G564" t="inlineStr">
        <is>
          <t>8406</t>
        </is>
      </c>
      <c r="H564" t="inlineStr">
        <is>
          <t>CUT-O-C-AUT-AD-FC-29.40X4.500X0.3590</t>
        </is>
      </c>
      <c r="I564" t="n">
        <v>5855.094</v>
      </c>
      <c r="J564" t="n">
        <v>29.4</v>
      </c>
      <c r="K564" t="n">
        <v>0</v>
      </c>
      <c r="L564" t="n">
        <v>4.5</v>
      </c>
      <c r="M564" t="n">
        <v>0.359</v>
      </c>
      <c r="N564" t="inlineStr">
        <is>
          <t>Direct</t>
        </is>
      </c>
    </row>
    <row r="565">
      <c r="A565" t="inlineStr">
        <is>
          <t>0000943209</t>
        </is>
      </c>
      <c r="B565" t="inlineStr">
        <is>
          <t>MEGH STEELS PRIVATE LIMITED - TVS A</t>
        </is>
      </c>
      <c r="C565" t="inlineStr">
        <is>
          <t>NOS</t>
        </is>
      </c>
      <c r="D565" t="n">
        <v>6720</v>
      </c>
      <c r="E565" t="n">
        <v>4968.801</v>
      </c>
      <c r="F565" t="n">
        <v>1940458</v>
      </c>
      <c r="G565" t="inlineStr">
        <is>
          <t>8406</t>
        </is>
      </c>
      <c r="H565" t="inlineStr">
        <is>
          <t>TUB-O-O-AUT-AW-PE-22.23X2.000X0.7390</t>
        </is>
      </c>
      <c r="I565" t="n">
        <v>4959.36</v>
      </c>
      <c r="J565" t="n">
        <v>22.23</v>
      </c>
      <c r="K565" t="n">
        <v>0</v>
      </c>
      <c r="L565" t="n">
        <v>2</v>
      </c>
      <c r="M565" t="n">
        <v>0.739</v>
      </c>
      <c r="N565" t="inlineStr">
        <is>
          <t>Direct</t>
        </is>
      </c>
    </row>
    <row r="566">
      <c r="A566" t="inlineStr">
        <is>
          <t>0000943210</t>
        </is>
      </c>
      <c r="B566" t="inlineStr">
        <is>
          <t>MEGH STEELS PRIVATE LIMITED - HMSIL</t>
        </is>
      </c>
      <c r="C566" t="inlineStr">
        <is>
          <t>KG</t>
        </is>
      </c>
      <c r="D566" t="n">
        <v>116</v>
      </c>
      <c r="E566" t="n">
        <v>702.152</v>
      </c>
      <c r="F566" t="n">
        <v>1931046</v>
      </c>
      <c r="G566" t="inlineStr">
        <is>
          <t>8406</t>
        </is>
      </c>
      <c r="H566" t="inlineStr">
        <is>
          <t>TUB-O-N-AUT-AW-FC-28.58X3.250X6.0600</t>
        </is>
      </c>
      <c r="I566" t="n">
        <v>1426</v>
      </c>
      <c r="J566" t="n">
        <v>28.58</v>
      </c>
      <c r="K566" t="n">
        <v>0</v>
      </c>
      <c r="L566" t="n">
        <v>3.25</v>
      </c>
      <c r="M566" t="n">
        <v>6.06</v>
      </c>
      <c r="N566" t="inlineStr">
        <is>
          <t>Direct</t>
        </is>
      </c>
    </row>
    <row r="567">
      <c r="A567" t="inlineStr">
        <is>
          <t>0000943210</t>
        </is>
      </c>
      <c r="B567" t="inlineStr">
        <is>
          <t>MEGH STEELS PRIVATE LIMITED - HMSIL</t>
        </is>
      </c>
      <c r="C567" t="inlineStr">
        <is>
          <t>KG</t>
        </is>
      </c>
      <c r="D567" t="n">
        <v>223</v>
      </c>
      <c r="E567" t="n">
        <v>1350.14</v>
      </c>
      <c r="F567" t="n">
        <v>1931046</v>
      </c>
      <c r="G567" t="inlineStr">
        <is>
          <t>8406</t>
        </is>
      </c>
      <c r="H567" t="inlineStr">
        <is>
          <t>TUB-O-N-AUT-AW-FC-28.58X3.250X6.0600</t>
        </is>
      </c>
      <c r="I567" t="n">
        <v>2742</v>
      </c>
      <c r="J567" t="n">
        <v>28.58</v>
      </c>
      <c r="K567" t="n">
        <v>0</v>
      </c>
      <c r="L567" t="n">
        <v>3.25</v>
      </c>
      <c r="M567" t="n">
        <v>6.06</v>
      </c>
      <c r="N567" t="inlineStr">
        <is>
          <t>Direct</t>
        </is>
      </c>
    </row>
    <row r="568">
      <c r="A568" t="inlineStr">
        <is>
          <t>0000943210</t>
        </is>
      </c>
      <c r="B568" t="inlineStr">
        <is>
          <t>MEGH STEELS PRIVATE LIMITED - HMSIL</t>
        </is>
      </c>
      <c r="C568" t="inlineStr">
        <is>
          <t>KG</t>
        </is>
      </c>
      <c r="D568" t="n">
        <v>230</v>
      </c>
      <c r="E568" t="n">
        <v>1392.486</v>
      </c>
      <c r="F568" t="n">
        <v>1931046</v>
      </c>
      <c r="G568" t="inlineStr">
        <is>
          <t>8406</t>
        </is>
      </c>
      <c r="H568" t="inlineStr">
        <is>
          <t>TUB-O-N-AUT-AW-FC-28.58X3.250X6.0600</t>
        </is>
      </c>
      <c r="I568" t="n">
        <v>2828</v>
      </c>
      <c r="J568" t="n">
        <v>28.58</v>
      </c>
      <c r="K568" t="n">
        <v>0</v>
      </c>
      <c r="L568" t="n">
        <v>3.25</v>
      </c>
      <c r="M568" t="n">
        <v>6.06</v>
      </c>
      <c r="N568" t="inlineStr">
        <is>
          <t>Direct</t>
        </is>
      </c>
    </row>
    <row r="569">
      <c r="A569" t="inlineStr">
        <is>
          <t>0000943209</t>
        </is>
      </c>
      <c r="B569" t="inlineStr">
        <is>
          <t>MEGH STEELS PRIVATE LIMITED - TVS A</t>
        </is>
      </c>
      <c r="C569" t="inlineStr">
        <is>
          <t>NOS</t>
        </is>
      </c>
      <c r="D569" t="n">
        <v>3000</v>
      </c>
      <c r="E569" t="n">
        <v>2544.033</v>
      </c>
      <c r="F569" t="n">
        <v>3186831</v>
      </c>
      <c r="G569" t="inlineStr">
        <is>
          <t>8406</t>
        </is>
      </c>
      <c r="H569" t="inlineStr">
        <is>
          <t>TUB-O-N-AUT-AW-FC-41.28X2.600X0.8480</t>
        </is>
      </c>
      <c r="I569" t="n">
        <v>6312</v>
      </c>
      <c r="J569" t="n">
        <v>41.28</v>
      </c>
      <c r="K569" t="n">
        <v>0</v>
      </c>
      <c r="L569" t="n">
        <v>2.6</v>
      </c>
      <c r="M569" t="n">
        <v>0.848</v>
      </c>
      <c r="N569" t="inlineStr">
        <is>
          <t>Direct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 codeName="Sheet37">
    <outlinePr summaryBelow="1" summaryRight="1"/>
    <pageSetUpPr/>
  </sheetPr>
  <dimension ref="A1:AA561"/>
  <sheetViews>
    <sheetView workbookViewId="0">
      <selection activeCell="G8" sqref="G8"/>
    </sheetView>
  </sheetViews>
  <sheetFormatPr baseColWidth="8" defaultRowHeight="15"/>
  <cols>
    <col width="15.7109375" bestFit="1" customWidth="1" style="584" min="1" max="1"/>
    <col width="16.7109375" bestFit="1" customWidth="1" style="584" min="2" max="2"/>
    <col width="35.7109375" bestFit="1" customWidth="1" style="584" min="3" max="3"/>
    <col width="13.7109375" bestFit="1" customWidth="1" style="584" min="4" max="4"/>
    <col width="11" bestFit="1" customWidth="1" style="584" min="5" max="5"/>
    <col width="25.140625" bestFit="1" customWidth="1" style="584" min="6" max="6"/>
    <col width="11" bestFit="1" customWidth="1" style="584" min="7" max="7"/>
    <col width="14.28515625" bestFit="1" customWidth="1" style="584" min="8" max="8"/>
    <col width="21" bestFit="1" customWidth="1" style="584" min="9" max="9"/>
    <col width="42.7109375" bestFit="1" customWidth="1" style="584" min="10" max="10"/>
    <col width="28" bestFit="1" customWidth="1" style="584" min="11" max="11"/>
    <col width="27.42578125" bestFit="1" customWidth="1" style="584" min="12" max="12"/>
    <col width="34.28515625" bestFit="1" customWidth="1" style="584" min="13" max="13"/>
    <col width="31.5703125" customWidth="1" style="584" min="14" max="14"/>
    <col width="7.5703125" bestFit="1" customWidth="1" style="584" min="15" max="15"/>
    <col width="29.140625" bestFit="1" customWidth="1" style="584" min="16" max="16"/>
    <col width="29.7109375" bestFit="1" customWidth="1" style="584" min="22" max="22"/>
    <col width="29.7109375" bestFit="1" customWidth="1" style="584" min="27" max="27"/>
  </cols>
  <sheetData>
    <row r="1">
      <c r="A1" t="inlineStr">
        <is>
          <t>BILLING  DATE</t>
        </is>
      </c>
      <c r="B1" t="inlineStr">
        <is>
          <t>CUSTOMER  CD</t>
        </is>
      </c>
      <c r="C1" t="inlineStr">
        <is>
          <t>CUSTOMER  NAME</t>
        </is>
      </c>
      <c r="D1" t="inlineStr">
        <is>
          <t>SALES  UNIT</t>
        </is>
      </c>
      <c r="E1" t="inlineStr">
        <is>
          <t>qty in no</t>
        </is>
      </c>
      <c r="F1" t="inlineStr">
        <is>
          <t>Domain for z_qty_meter</t>
        </is>
      </c>
      <c r="G1" t="inlineStr">
        <is>
          <t>Quantity</t>
        </is>
      </c>
      <c r="H1" t="inlineStr">
        <is>
          <t>DESP P LANT</t>
        </is>
      </c>
      <c r="I1" t="inlineStr">
        <is>
          <t>MATERAIL NUMBER</t>
        </is>
      </c>
      <c r="J1" t="inlineStr">
        <is>
          <t>Material   Description</t>
        </is>
      </c>
      <c r="K1" t="inlineStr">
        <is>
          <t>Outer Diameter of Material</t>
        </is>
      </c>
      <c r="L1" t="inlineStr">
        <is>
          <t>Inner Diameter of Material</t>
        </is>
      </c>
      <c r="M1" t="inlineStr">
        <is>
          <t>Thickness for TATA Tubes Material</t>
        </is>
      </c>
      <c r="N1" t="inlineStr">
        <is>
          <t>Length for TATA Tubes Material</t>
        </is>
      </c>
      <c r="O1" t="inlineStr">
        <is>
          <t>OEM</t>
        </is>
      </c>
      <c r="P1" t="inlineStr">
        <is>
          <t>Length Bucket</t>
        </is>
      </c>
      <c r="W1">
        <f>SUBTOTAL(9,W2:W20)</f>
        <v/>
      </c>
    </row>
    <row r="2">
      <c r="A2" t="n">
        <v>46193</v>
      </c>
      <c r="B2" t="inlineStr">
        <is>
          <t>0000943209</t>
        </is>
      </c>
      <c r="C2" t="inlineStr">
        <is>
          <t>MEGH STEELS PRIVATE LIMITED - TVS A</t>
        </is>
      </c>
      <c r="D2" t="inlineStr">
        <is>
          <t>NOS</t>
        </is>
      </c>
      <c r="E2" t="n">
        <v>9355</v>
      </c>
      <c r="F2" t="n">
        <v>1945.827</v>
      </c>
      <c r="G2" t="n">
        <v>7428.39</v>
      </c>
      <c r="H2" t="inlineStr">
        <is>
          <t>8406</t>
        </is>
      </c>
      <c r="I2" t="n">
        <v>3784469</v>
      </c>
      <c r="J2" t="inlineStr">
        <is>
          <t>CUT-O-N-AUT-BH-FC-42.70X4.000X0.2080</t>
        </is>
      </c>
      <c r="K2" t="n">
        <v>42.7</v>
      </c>
      <c r="L2" t="n">
        <v>0</v>
      </c>
      <c r="M2" t="n">
        <v>4</v>
      </c>
      <c r="N2" t="n">
        <v>0.208</v>
      </c>
      <c r="O2" t="inlineStr">
        <is>
          <t>Direct</t>
        </is>
      </c>
      <c r="V2">
        <f t="array" ref="V2:V32">_xlfn.UNIQUE(meghsteelsales_previousmonth[Length Bucket])</f>
        <v/>
      </c>
      <c r="W2">
        <f>SUMIFS(meghsteelsales_previousmonth[Quantity],meghsteelsales_previousmonth[Length Bucket],V2)</f>
        <v/>
      </c>
      <c r="Z2" t="inlineStr">
        <is>
          <t>No Key</t>
        </is>
      </c>
      <c r="AA2">
        <f t="array" ref="AA2:AA40">_xlfn.UNIQUE(Z2:Z70)</f>
        <v/>
      </c>
    </row>
    <row r="3">
      <c r="A3" t="n">
        <v>46193</v>
      </c>
      <c r="B3" t="inlineStr">
        <is>
          <t>0000943209</t>
        </is>
      </c>
      <c r="C3" t="inlineStr">
        <is>
          <t>MEGH STEELS PRIVATE LIMITED - TVS A</t>
        </is>
      </c>
      <c r="D3" t="inlineStr">
        <is>
          <t>NOS</t>
        </is>
      </c>
      <c r="E3" t="n">
        <v>3748</v>
      </c>
      <c r="F3" t="n">
        <v>779.579</v>
      </c>
      <c r="G3" t="n">
        <v>2976.12</v>
      </c>
      <c r="H3" t="inlineStr">
        <is>
          <t>8406</t>
        </is>
      </c>
      <c r="I3" t="n">
        <v>3784469</v>
      </c>
      <c r="J3" t="inlineStr">
        <is>
          <t>CUT-O-N-AUT-BH-FC-42.70X4.000X0.2080</t>
        </is>
      </c>
      <c r="K3" t="n">
        <v>42.7</v>
      </c>
      <c r="L3" t="n">
        <v>0</v>
      </c>
      <c r="M3" t="n">
        <v>4</v>
      </c>
      <c r="N3" t="n">
        <v>0.208</v>
      </c>
      <c r="O3" t="inlineStr">
        <is>
          <t>Direct</t>
        </is>
      </c>
      <c r="V3" t="inlineStr">
        <is>
          <t>59-30-1.6-ERW 1-FIN CUT-0.573</t>
        </is>
      </c>
      <c r="W3">
        <f>SUMIFS(meghsteelsales_previousmonth[Quantity],meghsteelsales_previousmonth[Length Bucket],V3)</f>
        <v/>
      </c>
      <c r="Z3" t="inlineStr">
        <is>
          <t>No Key</t>
        </is>
      </c>
      <c r="AA3" t="n">
        <v>0</v>
      </c>
    </row>
    <row r="4">
      <c r="A4" t="n">
        <v>46198</v>
      </c>
      <c r="B4" t="inlineStr">
        <is>
          <t>0000943211</t>
        </is>
      </c>
      <c r="C4" t="inlineStr">
        <is>
          <t>MEGH STEELS PRIVATE LIMITED - RE</t>
        </is>
      </c>
      <c r="D4" t="inlineStr">
        <is>
          <t>NOS</t>
        </is>
      </c>
      <c r="E4" t="n">
        <v>5940</v>
      </c>
      <c r="F4" t="n">
        <v>3225.414</v>
      </c>
      <c r="G4" t="n">
        <v>7403.616</v>
      </c>
      <c r="H4" t="inlineStr">
        <is>
          <t>8406</t>
        </is>
      </c>
      <c r="I4" t="n">
        <v>3508188</v>
      </c>
      <c r="J4" t="inlineStr">
        <is>
          <t>CUT-S-AW-SHS-50.00X50.00X1.600X0.5430</t>
        </is>
      </c>
      <c r="K4" t="n">
        <v>50</v>
      </c>
      <c r="L4" t="n">
        <v>50</v>
      </c>
      <c r="M4" t="n">
        <v>1.6</v>
      </c>
      <c r="N4" t="n">
        <v>0.543</v>
      </c>
      <c r="O4" t="inlineStr">
        <is>
          <t>Direct</t>
        </is>
      </c>
      <c r="V4" t="inlineStr">
        <is>
          <t>25.4-0-2.5-ERW 1-PE-5.53</t>
        </is>
      </c>
      <c r="W4">
        <f>SUMIFS(meghsteelsales_previousmonth[Quantity],meghsteelsales_previousmonth[Length Bucket],V4)</f>
        <v/>
      </c>
      <c r="Z4" t="inlineStr">
        <is>
          <t>No Key</t>
        </is>
      </c>
      <c r="AA4" t="inlineStr">
        <is>
          <t>15.88-0-1.2-ERW 1-PE-6</t>
        </is>
      </c>
    </row>
    <row r="5">
      <c r="A5" t="n">
        <v>46189</v>
      </c>
      <c r="B5" t="inlineStr">
        <is>
          <t>0000943211</t>
        </is>
      </c>
      <c r="C5" t="inlineStr">
        <is>
          <t>MEGH STEELS PRIVATE LIMITED - RE</t>
        </is>
      </c>
      <c r="D5" t="inlineStr">
        <is>
          <t>NOS</t>
        </is>
      </c>
      <c r="E5" t="n">
        <v>1225</v>
      </c>
      <c r="F5" t="n">
        <v>701.905</v>
      </c>
      <c r="G5" t="n">
        <v>1302.175</v>
      </c>
      <c r="H5" t="inlineStr">
        <is>
          <t>0789</t>
        </is>
      </c>
      <c r="I5" t="n">
        <v>3781647</v>
      </c>
      <c r="J5" t="inlineStr">
        <is>
          <t>TUB-E-AW-AUT-59.00X30.00X1.600X0.5720</t>
        </is>
      </c>
      <c r="K5" t="n">
        <v>59</v>
      </c>
      <c r="L5" t="n">
        <v>30</v>
      </c>
      <c r="M5" t="n">
        <v>1.6</v>
      </c>
      <c r="N5" t="n">
        <v>0.572</v>
      </c>
      <c r="O5" t="inlineStr">
        <is>
          <t>Direct</t>
        </is>
      </c>
      <c r="P5" t="inlineStr">
        <is>
          <t>59-30-1.6-ERW 1-FIN CUT-0.573</t>
        </is>
      </c>
      <c r="V5" t="inlineStr">
        <is>
          <t>22.23-0-1.6-ERW 1-PE-5.27</t>
        </is>
      </c>
      <c r="W5">
        <f>SUMIFS(meghsteelsales_previousmonth[Quantity],meghsteelsales_previousmonth[Length Bucket],V5)</f>
        <v/>
      </c>
      <c r="Z5" t="inlineStr">
        <is>
          <t>No Key</t>
        </is>
      </c>
      <c r="AA5" t="inlineStr">
        <is>
          <t>15.88-0-1.6-ERW 1-PE-6</t>
        </is>
      </c>
    </row>
    <row r="6">
      <c r="A6" t="n">
        <v>46189</v>
      </c>
      <c r="B6" t="inlineStr">
        <is>
          <t>0000943211</t>
        </is>
      </c>
      <c r="C6" t="inlineStr">
        <is>
          <t>MEGH STEELS PRIVATE LIMITED - RE</t>
        </is>
      </c>
      <c r="D6" t="inlineStr">
        <is>
          <t>NOS</t>
        </is>
      </c>
      <c r="E6" t="n">
        <v>2495</v>
      </c>
      <c r="F6" t="n">
        <v>1429.595</v>
      </c>
      <c r="G6" t="n">
        <v>2652.185</v>
      </c>
      <c r="H6" t="inlineStr">
        <is>
          <t>0789</t>
        </is>
      </c>
      <c r="I6" t="n">
        <v>3781647</v>
      </c>
      <c r="J6" t="inlineStr">
        <is>
          <t>TUB-E-AW-AUT-59.00X30.00X1.600X0.5720</t>
        </is>
      </c>
      <c r="K6" t="n">
        <v>59</v>
      </c>
      <c r="L6" t="n">
        <v>30</v>
      </c>
      <c r="M6" t="n">
        <v>1.6</v>
      </c>
      <c r="N6" t="n">
        <v>0.572</v>
      </c>
      <c r="O6" t="inlineStr">
        <is>
          <t>Direct</t>
        </is>
      </c>
      <c r="P6" t="inlineStr">
        <is>
          <t>59-30-1.6-ERW 1-FIN CUT-0.573</t>
        </is>
      </c>
      <c r="V6" t="inlineStr">
        <is>
          <t>22.23-0-2-ERW 1-PE-5.39</t>
        </is>
      </c>
      <c r="W6">
        <f>SUMIFS(meghsteelsales_previousmonth[Quantity],meghsteelsales_previousmonth[Length Bucket],V6)</f>
        <v/>
      </c>
      <c r="AA6" t="inlineStr">
        <is>
          <t>18.2-0-1-ERW 1-PE-6</t>
        </is>
      </c>
    </row>
    <row r="7">
      <c r="A7" t="n">
        <v>46189</v>
      </c>
      <c r="B7" t="inlineStr">
        <is>
          <t>0000943211</t>
        </is>
      </c>
      <c r="C7" t="inlineStr">
        <is>
          <t>MEGH STEELS PRIVATE LIMITED - RE</t>
        </is>
      </c>
      <c r="D7" t="inlineStr">
        <is>
          <t>NOS</t>
        </is>
      </c>
      <c r="E7" t="n">
        <v>2595</v>
      </c>
      <c r="F7" t="n">
        <v>1486.894</v>
      </c>
      <c r="G7" t="n">
        <v>2758.485</v>
      </c>
      <c r="H7" t="inlineStr">
        <is>
          <t>0789</t>
        </is>
      </c>
      <c r="I7" t="n">
        <v>3781647</v>
      </c>
      <c r="J7" t="inlineStr">
        <is>
          <t>TUB-E-AW-AUT-59.00X30.00X1.600X0.5720</t>
        </is>
      </c>
      <c r="K7" t="n">
        <v>59</v>
      </c>
      <c r="L7" t="n">
        <v>30</v>
      </c>
      <c r="M7" t="n">
        <v>1.6</v>
      </c>
      <c r="N7" t="n">
        <v>0.572</v>
      </c>
      <c r="O7" t="inlineStr">
        <is>
          <t>Direct</t>
        </is>
      </c>
      <c r="P7" t="inlineStr">
        <is>
          <t>59-30-1.6-ERW 1-FIN CUT-0.573</t>
        </is>
      </c>
      <c r="V7" t="inlineStr">
        <is>
          <t>42.7-0-4-ERW 1-FC-6</t>
        </is>
      </c>
      <c r="W7">
        <f>SUMIFS(meghsteelsales_previousmonth[Quantity],meghsteelsales_previousmonth[Length Bucket],V7)</f>
        <v/>
      </c>
      <c r="Z7" t="inlineStr">
        <is>
          <t>15.88-0-1.2-ERW 1-PE-6</t>
        </is>
      </c>
      <c r="AA7" t="inlineStr">
        <is>
          <t>19.05-0-2-ERW 1-PE-5.841</t>
        </is>
      </c>
    </row>
    <row r="8">
      <c r="A8" t="n">
        <v>46189</v>
      </c>
      <c r="B8" t="inlineStr">
        <is>
          <t>0000943211</t>
        </is>
      </c>
      <c r="C8" t="inlineStr">
        <is>
          <t>MEGH STEELS PRIVATE LIMITED - RE</t>
        </is>
      </c>
      <c r="D8" t="inlineStr">
        <is>
          <t>NOS</t>
        </is>
      </c>
      <c r="E8" t="n">
        <v>2605</v>
      </c>
      <c r="F8" t="n">
        <v>1492.623</v>
      </c>
      <c r="G8" t="n">
        <v>2769.115</v>
      </c>
      <c r="H8" t="inlineStr">
        <is>
          <t>0789</t>
        </is>
      </c>
      <c r="I8" t="n">
        <v>3781647</v>
      </c>
      <c r="J8" t="inlineStr">
        <is>
          <t>TUB-E-AW-AUT-59.00X30.00X1.600X0.5720</t>
        </is>
      </c>
      <c r="K8" t="n">
        <v>59</v>
      </c>
      <c r="L8" t="n">
        <v>30</v>
      </c>
      <c r="M8" t="n">
        <v>1.6</v>
      </c>
      <c r="N8" t="n">
        <v>0.572</v>
      </c>
      <c r="O8" t="inlineStr">
        <is>
          <t>Direct</t>
        </is>
      </c>
      <c r="P8" t="inlineStr">
        <is>
          <t>59-30-1.6-ERW 1-FIN CUT-0.573</t>
        </is>
      </c>
      <c r="V8" t="inlineStr">
        <is>
          <t>38.1-0-2-ERW 1-FC-5.65</t>
        </is>
      </c>
      <c r="W8">
        <f>SUMIFS(meghsteelsales_previousmonth[Quantity],meghsteelsales_previousmonth[Length Bucket],V8)</f>
        <v/>
      </c>
      <c r="Z8" t="inlineStr">
        <is>
          <t>15.88-0-1.2-ERW 1-PE-6</t>
        </is>
      </c>
      <c r="AA8" t="inlineStr">
        <is>
          <t>19.05-0-2.3-ERW 1-PE-7</t>
        </is>
      </c>
    </row>
    <row r="9">
      <c r="A9" t="n">
        <v>46202</v>
      </c>
      <c r="B9" t="inlineStr">
        <is>
          <t>0000943209</t>
        </is>
      </c>
      <c r="C9" t="inlineStr">
        <is>
          <t>MEGH STEELS PRIVATE LIMITED - TVS A</t>
        </is>
      </c>
      <c r="D9" t="inlineStr">
        <is>
          <t>NOS</t>
        </is>
      </c>
      <c r="E9" t="n">
        <v>4748</v>
      </c>
      <c r="F9" t="n">
        <v>3717.989</v>
      </c>
      <c r="G9" t="n">
        <v>5251.288</v>
      </c>
      <c r="H9" t="inlineStr">
        <is>
          <t>8406</t>
        </is>
      </c>
      <c r="I9" t="n">
        <v>3542856</v>
      </c>
      <c r="J9" t="inlineStr">
        <is>
          <t>TUB-O-N-AUT-AW-FC-25.40X2.500X0.7830</t>
        </is>
      </c>
      <c r="K9" t="n">
        <v>25.4</v>
      </c>
      <c r="L9" t="n">
        <v>0</v>
      </c>
      <c r="M9" t="n">
        <v>2.5</v>
      </c>
      <c r="N9" t="n">
        <v>0.783</v>
      </c>
      <c r="O9" t="inlineStr">
        <is>
          <t>Direct</t>
        </is>
      </c>
      <c r="V9" t="inlineStr">
        <is>
          <t>22.23-0-1.6-ERW 1-PE-5.67</t>
        </is>
      </c>
      <c r="W9">
        <f>SUMIFS(meghsteelsales_previousmonth[Quantity],meghsteelsales_previousmonth[Length Bucket],V9)</f>
        <v/>
      </c>
      <c r="Z9" t="inlineStr">
        <is>
          <t>15.88-0-1.6-ERW 1-PE-6</t>
        </is>
      </c>
      <c r="AA9" t="inlineStr">
        <is>
          <t>22.23-0-1.2-ERW 1-PE-5.87</t>
        </is>
      </c>
    </row>
    <row r="10">
      <c r="A10" t="n">
        <v>46181</v>
      </c>
      <c r="B10" t="inlineStr">
        <is>
          <t>0000943209</t>
        </is>
      </c>
      <c r="C10" t="inlineStr">
        <is>
          <t>MEGH STEELS PRIVATE LIMITED - TVS A</t>
        </is>
      </c>
      <c r="D10" t="inlineStr">
        <is>
          <t>KG</t>
        </is>
      </c>
      <c r="E10" t="n">
        <v>164</v>
      </c>
      <c r="F10" t="n">
        <v>128.151</v>
      </c>
      <c r="G10" t="n">
        <v>181</v>
      </c>
      <c r="H10" t="inlineStr">
        <is>
          <t>4731</t>
        </is>
      </c>
      <c r="I10" t="n">
        <v>3775636</v>
      </c>
      <c r="J10" t="inlineStr">
        <is>
          <t>TUB-O-O-AUT-AW-FC-25.40X2.500X0.7830</t>
        </is>
      </c>
      <c r="K10" t="n">
        <v>25.4</v>
      </c>
      <c r="L10" t="n">
        <v>0</v>
      </c>
      <c r="M10" t="n">
        <v>2.5</v>
      </c>
      <c r="N10" t="n">
        <v>0.783</v>
      </c>
      <c r="O10" t="inlineStr">
        <is>
          <t>Direct</t>
        </is>
      </c>
      <c r="P10" t="inlineStr">
        <is>
          <t>25.4-0-2.5-ERW 1-PE-5.53</t>
        </is>
      </c>
      <c r="V10" t="inlineStr">
        <is>
          <t>45--1.4-ERW 1-FIN CUT-5.7</t>
        </is>
      </c>
      <c r="W10">
        <f>SUMIFS(meghsteelsales_previousmonth[Quantity],meghsteelsales_previousmonth[Length Bucket],V10)</f>
        <v/>
      </c>
      <c r="Z10" t="inlineStr">
        <is>
          <t>No Key</t>
        </is>
      </c>
      <c r="AA10" t="inlineStr">
        <is>
          <t>22.23-0-1.6-ERW 1-PE-5.67</t>
        </is>
      </c>
    </row>
    <row r="11">
      <c r="A11" t="n">
        <v>46201</v>
      </c>
      <c r="B11" t="inlineStr">
        <is>
          <t>0000943209</t>
        </is>
      </c>
      <c r="C11" t="inlineStr">
        <is>
          <t>MEGH STEELS PRIVATE LIMITED - TVS A</t>
        </is>
      </c>
      <c r="D11" t="inlineStr">
        <is>
          <t>KG</t>
        </is>
      </c>
      <c r="E11" t="n">
        <v>168</v>
      </c>
      <c r="F11" t="n">
        <v>745.216</v>
      </c>
      <c r="G11" t="n">
        <v>2060</v>
      </c>
      <c r="H11" t="inlineStr">
        <is>
          <t>0788</t>
        </is>
      </c>
      <c r="I11" t="n">
        <v>3995629</v>
      </c>
      <c r="J11" t="inlineStr">
        <is>
          <t>TUB-O-C-AUT-AD-FC-29.40X4.500X4.4400</t>
        </is>
      </c>
      <c r="K11" t="n">
        <v>29.4</v>
      </c>
      <c r="L11" t="n">
        <v>0</v>
      </c>
      <c r="M11" t="n">
        <v>4.5</v>
      </c>
      <c r="N11" t="n">
        <v>4.44</v>
      </c>
      <c r="O11" t="inlineStr">
        <is>
          <t>Direct</t>
        </is>
      </c>
      <c r="V11" t="inlineStr">
        <is>
          <t>57.15-0-2.5-ERW 1-FC-5.711</t>
        </is>
      </c>
      <c r="W11">
        <f>SUMIFS(meghsteelsales_previousmonth[Quantity],meghsteelsales_previousmonth[Length Bucket],V11)</f>
        <v/>
      </c>
      <c r="Z11" t="inlineStr">
        <is>
          <t>18.2-0-1-ERW 1-PE-6</t>
        </is>
      </c>
      <c r="AA11" t="inlineStr">
        <is>
          <t>22.23-0-2-ERW 1-PE-5.951</t>
        </is>
      </c>
    </row>
    <row r="12">
      <c r="A12" t="n">
        <v>46201</v>
      </c>
      <c r="B12" t="inlineStr">
        <is>
          <t>0000943209</t>
        </is>
      </c>
      <c r="C12" t="inlineStr">
        <is>
          <t>MEGH STEELS PRIVATE LIMITED - TVS A</t>
        </is>
      </c>
      <c r="D12" t="inlineStr">
        <is>
          <t>KG</t>
        </is>
      </c>
      <c r="E12" t="n">
        <v>161</v>
      </c>
      <c r="F12" t="n">
        <v>714.105</v>
      </c>
      <c r="G12" t="n">
        <v>1974</v>
      </c>
      <c r="H12" t="inlineStr">
        <is>
          <t>0788</t>
        </is>
      </c>
      <c r="I12" t="n">
        <v>3995629</v>
      </c>
      <c r="J12" t="inlineStr">
        <is>
          <t>TUB-O-C-AUT-AD-FC-29.40X4.500X4.4400</t>
        </is>
      </c>
      <c r="K12" t="n">
        <v>29.4</v>
      </c>
      <c r="L12" t="n">
        <v>0</v>
      </c>
      <c r="M12" t="n">
        <v>4.5</v>
      </c>
      <c r="N12" t="n">
        <v>4.44</v>
      </c>
      <c r="O12" t="inlineStr">
        <is>
          <t>Direct</t>
        </is>
      </c>
      <c r="V12" t="inlineStr">
        <is>
          <t>57.15-0-2.5-ERW 1-FC-5.75</t>
        </is>
      </c>
      <c r="W12">
        <f>SUMIFS(meghsteelsales_previousmonth[Quantity],meghsteelsales_previousmonth[Length Bucket],V12)</f>
        <v/>
      </c>
      <c r="Z12" t="inlineStr">
        <is>
          <t>No Key</t>
        </is>
      </c>
      <c r="AA12" t="inlineStr">
        <is>
          <t>22.23-0-2-ERW 1-PE-5.1</t>
        </is>
      </c>
    </row>
    <row r="13">
      <c r="A13" t="n">
        <v>46201</v>
      </c>
      <c r="B13" t="inlineStr">
        <is>
          <t>0000943209</t>
        </is>
      </c>
      <c r="C13" t="inlineStr">
        <is>
          <t>MEGH STEELS PRIVATE LIMITED - TVS A</t>
        </is>
      </c>
      <c r="D13" t="inlineStr">
        <is>
          <t>KG</t>
        </is>
      </c>
      <c r="E13" t="n">
        <v>140</v>
      </c>
      <c r="F13" t="n">
        <v>621.134</v>
      </c>
      <c r="G13" t="n">
        <v>1717</v>
      </c>
      <c r="H13" t="inlineStr">
        <is>
          <t>0788</t>
        </is>
      </c>
      <c r="I13" t="n">
        <v>3995629</v>
      </c>
      <c r="J13" t="inlineStr">
        <is>
          <t>TUB-O-C-AUT-AD-FC-29.40X4.500X4.4400</t>
        </is>
      </c>
      <c r="K13" t="n">
        <v>29.4</v>
      </c>
      <c r="L13" t="n">
        <v>0</v>
      </c>
      <c r="M13" t="n">
        <v>4.5</v>
      </c>
      <c r="N13" t="n">
        <v>4.44</v>
      </c>
      <c r="O13" t="inlineStr">
        <is>
          <t>Direct</t>
        </is>
      </c>
      <c r="V13" t="inlineStr">
        <is>
          <t>25.4-0-2-ERW 1-PE-5.82</t>
        </is>
      </c>
      <c r="W13">
        <f>SUMIFS(meghsteelsales_previousmonth[Quantity],meghsteelsales_previousmonth[Length Bucket],V13)</f>
        <v/>
      </c>
      <c r="Z13" t="inlineStr">
        <is>
          <t>No Key</t>
        </is>
      </c>
      <c r="AA13" t="inlineStr">
        <is>
          <t>22.23-0-2-ERW 2 MAHS-FC-6.001</t>
        </is>
      </c>
    </row>
    <row r="14">
      <c r="A14" t="n">
        <v>46201</v>
      </c>
      <c r="B14" t="inlineStr">
        <is>
          <t>0000943209</t>
        </is>
      </c>
      <c r="C14" t="inlineStr">
        <is>
          <t>MEGH STEELS PRIVATE LIMITED - TVS A</t>
        </is>
      </c>
      <c r="D14" t="inlineStr">
        <is>
          <t>KG</t>
        </is>
      </c>
      <c r="E14" t="n">
        <v>140</v>
      </c>
      <c r="F14" t="n">
        <v>621.134</v>
      </c>
      <c r="G14" t="n">
        <v>1717</v>
      </c>
      <c r="H14" t="inlineStr">
        <is>
          <t>0788</t>
        </is>
      </c>
      <c r="I14" t="n">
        <v>3995629</v>
      </c>
      <c r="J14" t="inlineStr">
        <is>
          <t>TUB-O-C-AUT-AD-FC-29.40X4.500X4.4400</t>
        </is>
      </c>
      <c r="K14" t="n">
        <v>29.4</v>
      </c>
      <c r="L14" t="n">
        <v>0</v>
      </c>
      <c r="M14" t="n">
        <v>4.5</v>
      </c>
      <c r="N14" t="n">
        <v>4.44</v>
      </c>
      <c r="O14" t="inlineStr">
        <is>
          <t>Direct</t>
        </is>
      </c>
      <c r="V14" t="inlineStr">
        <is>
          <t>41.28-0-3.15-ERW 1-FC-5.86</t>
        </is>
      </c>
      <c r="W14">
        <f>SUMIFS(meghsteelsales_previousmonth[Quantity],meghsteelsales_previousmonth[Length Bucket],V14)</f>
        <v/>
      </c>
      <c r="Z14" t="inlineStr">
        <is>
          <t>19.05-0-2-ERW 1-PE-5.841</t>
        </is>
      </c>
      <c r="AA14" t="inlineStr">
        <is>
          <t>22.23-0-2-ERW 1-PE-5.39</t>
        </is>
      </c>
    </row>
    <row r="15">
      <c r="A15" t="n">
        <v>46201</v>
      </c>
      <c r="B15" t="inlineStr">
        <is>
          <t>0000943209</t>
        </is>
      </c>
      <c r="C15" t="inlineStr">
        <is>
          <t>MEGH STEELS PRIVATE LIMITED - TVS A</t>
        </is>
      </c>
      <c r="D15" t="inlineStr">
        <is>
          <t>KG</t>
        </is>
      </c>
      <c r="E15" t="n">
        <v>103</v>
      </c>
      <c r="F15" t="n">
        <v>456.897</v>
      </c>
      <c r="G15" t="n">
        <v>1263</v>
      </c>
      <c r="H15" t="inlineStr">
        <is>
          <t>0788</t>
        </is>
      </c>
      <c r="I15" t="n">
        <v>3995629</v>
      </c>
      <c r="J15" t="inlineStr">
        <is>
          <t>TUB-O-C-AUT-AD-FC-29.40X4.500X4.4400</t>
        </is>
      </c>
      <c r="K15" t="n">
        <v>29.4</v>
      </c>
      <c r="L15" t="n">
        <v>0</v>
      </c>
      <c r="M15" t="n">
        <v>4.5</v>
      </c>
      <c r="N15" t="n">
        <v>4.44</v>
      </c>
      <c r="O15" t="inlineStr">
        <is>
          <t>Direct</t>
        </is>
      </c>
      <c r="V15" t="inlineStr">
        <is>
          <t>22.23-0-1.2-ERW 1-PE-5.87</t>
        </is>
      </c>
      <c r="W15">
        <f>SUMIFS(meghsteelsales_previousmonth[Quantity],meghsteelsales_previousmonth[Length Bucket],V15)</f>
        <v/>
      </c>
      <c r="Z15" t="inlineStr">
        <is>
          <t>19.05-0-2.3-ERW 1-PE-7</t>
        </is>
      </c>
      <c r="AA15" t="inlineStr">
        <is>
          <t>25.4-0-1.6-ERW 1-PE-6</t>
        </is>
      </c>
    </row>
    <row r="16">
      <c r="A16" t="n">
        <v>46201</v>
      </c>
      <c r="B16" t="inlineStr">
        <is>
          <t>0000943209</t>
        </is>
      </c>
      <c r="C16" t="inlineStr">
        <is>
          <t>MEGH STEELS PRIVATE LIMITED - TVS A</t>
        </is>
      </c>
      <c r="D16" t="inlineStr">
        <is>
          <t>KG</t>
        </is>
      </c>
      <c r="E16" t="n">
        <v>100</v>
      </c>
      <c r="F16" t="n">
        <v>443.512</v>
      </c>
      <c r="G16" t="n">
        <v>1226</v>
      </c>
      <c r="H16" t="inlineStr">
        <is>
          <t>0788</t>
        </is>
      </c>
      <c r="I16" t="n">
        <v>3995629</v>
      </c>
      <c r="J16" t="inlineStr">
        <is>
          <t>TUB-O-C-AUT-AD-FC-29.40X4.500X4.4400</t>
        </is>
      </c>
      <c r="K16" t="n">
        <v>29.4</v>
      </c>
      <c r="L16" t="n">
        <v>0</v>
      </c>
      <c r="M16" t="n">
        <v>4.5</v>
      </c>
      <c r="N16" t="n">
        <v>4.44</v>
      </c>
      <c r="O16" t="inlineStr">
        <is>
          <t>Direct</t>
        </is>
      </c>
      <c r="V16" t="inlineStr">
        <is>
          <t>60.3-0-2-ERW 1-FC-5.9</t>
        </is>
      </c>
      <c r="W16">
        <f>SUMIFS(meghsteelsales_previousmonth[Quantity],meghsteelsales_previousmonth[Length Bucket],V16)</f>
        <v/>
      </c>
      <c r="Z16" t="inlineStr">
        <is>
          <t>No Key</t>
        </is>
      </c>
      <c r="AA16" t="inlineStr">
        <is>
          <t>25.4-0-2.5-ERW 1-PE-5.53</t>
        </is>
      </c>
    </row>
    <row r="17">
      <c r="A17" t="n">
        <v>46201</v>
      </c>
      <c r="B17" t="inlineStr">
        <is>
          <t>0000943209</t>
        </is>
      </c>
      <c r="C17" t="inlineStr">
        <is>
          <t>MEGH STEELS PRIVATE LIMITED - TVS A</t>
        </is>
      </c>
      <c r="D17" t="inlineStr">
        <is>
          <t>KG</t>
        </is>
      </c>
      <c r="E17" t="n">
        <v>33</v>
      </c>
      <c r="F17" t="n">
        <v>146.511</v>
      </c>
      <c r="G17" t="n">
        <v>405</v>
      </c>
      <c r="H17" t="inlineStr">
        <is>
          <t>0788</t>
        </is>
      </c>
      <c r="I17" t="n">
        <v>3995629</v>
      </c>
      <c r="J17" t="inlineStr">
        <is>
          <t>TUB-O-C-AUT-AD-FC-29.40X4.500X4.4400</t>
        </is>
      </c>
      <c r="K17" t="n">
        <v>29.4</v>
      </c>
      <c r="L17" t="n">
        <v>0</v>
      </c>
      <c r="M17" t="n">
        <v>4.5</v>
      </c>
      <c r="N17" t="n">
        <v>4.44</v>
      </c>
      <c r="O17" t="inlineStr">
        <is>
          <t>Direct</t>
        </is>
      </c>
      <c r="V17" t="inlineStr">
        <is>
          <t>22.23-0-2-ERW 1-PE-5.951</t>
        </is>
      </c>
      <c r="W17">
        <f>SUMIFS(meghsteelsales_previousmonth[Quantity],meghsteelsales_previousmonth[Length Bucket],V17)</f>
        <v/>
      </c>
      <c r="Z17" t="inlineStr">
        <is>
          <t>22.23-0-1.2-ERW 1-PE-5.87</t>
        </is>
      </c>
      <c r="AA17" t="e">
        <v>#N/A</v>
      </c>
    </row>
    <row r="18">
      <c r="A18" t="n">
        <v>46201</v>
      </c>
      <c r="B18" t="inlineStr">
        <is>
          <t>0000943209</t>
        </is>
      </c>
      <c r="C18" t="inlineStr">
        <is>
          <t>MEGH STEELS PRIVATE LIMITED - TVS A</t>
        </is>
      </c>
      <c r="D18" t="inlineStr">
        <is>
          <t>KG</t>
        </is>
      </c>
      <c r="E18" t="n">
        <v>146</v>
      </c>
      <c r="F18" t="n">
        <v>647.542</v>
      </c>
      <c r="G18" t="n">
        <v>1790</v>
      </c>
      <c r="H18" t="inlineStr">
        <is>
          <t>0788</t>
        </is>
      </c>
      <c r="I18" t="n">
        <v>3995629</v>
      </c>
      <c r="J18" t="inlineStr">
        <is>
          <t>TUB-O-C-AUT-AD-FC-29.40X4.500X4.4400</t>
        </is>
      </c>
      <c r="K18" t="n">
        <v>29.4</v>
      </c>
      <c r="L18" t="n">
        <v>0</v>
      </c>
      <c r="M18" t="n">
        <v>4.5</v>
      </c>
      <c r="N18" t="n">
        <v>4.44</v>
      </c>
      <c r="O18" t="inlineStr">
        <is>
          <t>Direct</t>
        </is>
      </c>
      <c r="V18" t="inlineStr">
        <is>
          <t>12.7-0-1.2-ERW 1-PE-6</t>
        </is>
      </c>
      <c r="W18">
        <f>SUMIFS(meghsteelsales_previousmonth[Quantity],meghsteelsales_previousmonth[Length Bucket],V18)</f>
        <v/>
      </c>
      <c r="Z18" t="inlineStr">
        <is>
          <t>No Key</t>
        </is>
      </c>
      <c r="AA18" t="inlineStr">
        <is>
          <t>31.75-0-1.2-ERW 1-PE-6</t>
        </is>
      </c>
    </row>
    <row r="19">
      <c r="A19" t="n">
        <v>46194</v>
      </c>
      <c r="B19" t="inlineStr">
        <is>
          <t>0000943211</t>
        </is>
      </c>
      <c r="C19" t="inlineStr">
        <is>
          <t>MEGH STEELS PRIVATE LIMITED - RE</t>
        </is>
      </c>
      <c r="D19" t="inlineStr">
        <is>
          <t>KG</t>
        </is>
      </c>
      <c r="E19" t="n">
        <v>4</v>
      </c>
      <c r="F19" t="n">
        <v>20.03</v>
      </c>
      <c r="G19" t="n">
        <v>20</v>
      </c>
      <c r="H19" t="inlineStr">
        <is>
          <t>0789</t>
        </is>
      </c>
      <c r="I19" t="n">
        <v>1931377</v>
      </c>
      <c r="J19" t="inlineStr">
        <is>
          <t>TUB-O-N-AUT-AW-FC-34.93X1.200X5.1000</t>
        </is>
      </c>
      <c r="K19" t="n">
        <v>34.93</v>
      </c>
      <c r="L19" t="n">
        <v>0</v>
      </c>
      <c r="M19" t="n">
        <v>1.2</v>
      </c>
      <c r="N19" t="n">
        <v>5.1</v>
      </c>
      <c r="O19" t="inlineStr">
        <is>
          <t>Direct</t>
        </is>
      </c>
      <c r="V19" t="inlineStr">
        <is>
          <t>15.88-0-1.2-ERW 1-PE-6</t>
        </is>
      </c>
      <c r="W19">
        <f>SUMIFS(meghsteelsales_previousmonth[Quantity],meghsteelsales_previousmonth[Length Bucket],V19)</f>
        <v/>
      </c>
      <c r="Z19" t="inlineStr">
        <is>
          <t>22.23-0-1.6-ERW 1-PE-5.67</t>
        </is>
      </c>
      <c r="AA19" t="inlineStr">
        <is>
          <t>31.75--2.3-ERW 1-FIN CUT-6</t>
        </is>
      </c>
    </row>
    <row r="20">
      <c r="A20" t="n">
        <v>46191</v>
      </c>
      <c r="B20" t="inlineStr">
        <is>
          <t>0000943211</t>
        </is>
      </c>
      <c r="C20" t="inlineStr">
        <is>
          <t>MEGH STEELS PRIVATE LIMITED - RE</t>
        </is>
      </c>
      <c r="D20" t="inlineStr">
        <is>
          <t>KG</t>
        </is>
      </c>
      <c r="E20" t="n">
        <v>373</v>
      </c>
      <c r="F20" t="n">
        <v>1902.854</v>
      </c>
      <c r="G20" t="n">
        <v>1900</v>
      </c>
      <c r="H20" t="inlineStr">
        <is>
          <t>0789</t>
        </is>
      </c>
      <c r="I20" t="n">
        <v>1931377</v>
      </c>
      <c r="J20" t="inlineStr">
        <is>
          <t>TUB-O-N-AUT-AW-FC-34.93X1.200X5.1000</t>
        </is>
      </c>
      <c r="K20" t="n">
        <v>34.93</v>
      </c>
      <c r="L20" t="n">
        <v>0</v>
      </c>
      <c r="M20" t="n">
        <v>1.2</v>
      </c>
      <c r="N20" t="n">
        <v>5.1</v>
      </c>
      <c r="O20" t="inlineStr">
        <is>
          <t>Direct</t>
        </is>
      </c>
      <c r="V20" t="inlineStr">
        <is>
          <t>19.05-0-1.6-ERW 1-PE-6</t>
        </is>
      </c>
      <c r="W20">
        <f>SUMIFS(meghsteelsales_previousmonth[Quantity],meghsteelsales_previousmonth[Length Bucket],V20)</f>
        <v/>
      </c>
      <c r="Z20" t="inlineStr">
        <is>
          <t>22.23-0-2-ERW 1-PE-5.951</t>
        </is>
      </c>
      <c r="AA20" t="inlineStr">
        <is>
          <t>34.93-0-1.2-ERW 1-FC-0.7</t>
        </is>
      </c>
    </row>
    <row r="21">
      <c r="A21" t="n">
        <v>46194</v>
      </c>
      <c r="B21" t="inlineStr">
        <is>
          <t>0000943211</t>
        </is>
      </c>
      <c r="C21" t="inlineStr">
        <is>
          <t>MEGH STEELS PRIVATE LIMITED - RE</t>
        </is>
      </c>
      <c r="D21" t="inlineStr">
        <is>
          <t>KG</t>
        </is>
      </c>
      <c r="E21" t="n">
        <v>370</v>
      </c>
      <c r="F21" t="n">
        <v>1886.83</v>
      </c>
      <c r="G21" t="n">
        <v>1884</v>
      </c>
      <c r="H21" t="inlineStr">
        <is>
          <t>0789</t>
        </is>
      </c>
      <c r="I21" t="n">
        <v>1931377</v>
      </c>
      <c r="J21" t="inlineStr">
        <is>
          <t>TUB-O-N-AUT-AW-FC-34.93X1.200X5.1000</t>
        </is>
      </c>
      <c r="K21" t="n">
        <v>34.93</v>
      </c>
      <c r="L21" t="n">
        <v>0</v>
      </c>
      <c r="M21" t="n">
        <v>1.2</v>
      </c>
      <c r="N21" t="n">
        <v>5.1</v>
      </c>
      <c r="O21" t="inlineStr">
        <is>
          <t>Direct</t>
        </is>
      </c>
      <c r="V21" t="inlineStr">
        <is>
          <t>25.4-0-1.6-ERW 1-PE-6</t>
        </is>
      </c>
      <c r="Z21" t="inlineStr">
        <is>
          <t>22.23-0-2-ERW 1-PE-5.1</t>
        </is>
      </c>
      <c r="AA21" t="inlineStr">
        <is>
          <t>38.1-0-1.6-ERW 1-FC-6.19</t>
        </is>
      </c>
    </row>
    <row r="22">
      <c r="A22" t="n">
        <v>46194</v>
      </c>
      <c r="B22" t="inlineStr">
        <is>
          <t>0000943211</t>
        </is>
      </c>
      <c r="C22" t="inlineStr">
        <is>
          <t>MEGH STEELS PRIVATE LIMITED - RE</t>
        </is>
      </c>
      <c r="D22" t="inlineStr">
        <is>
          <t>KG</t>
        </is>
      </c>
      <c r="E22" t="n">
        <v>188</v>
      </c>
      <c r="F22" t="n">
        <v>957.436</v>
      </c>
      <c r="G22" t="n">
        <v>956</v>
      </c>
      <c r="H22" t="inlineStr">
        <is>
          <t>0789</t>
        </is>
      </c>
      <c r="I22" t="n">
        <v>1931377</v>
      </c>
      <c r="J22" t="inlineStr">
        <is>
          <t>TUB-O-N-AUT-AW-FC-34.93X1.200X5.1000</t>
        </is>
      </c>
      <c r="K22" t="n">
        <v>34.93</v>
      </c>
      <c r="L22" t="n">
        <v>0</v>
      </c>
      <c r="M22" t="n">
        <v>1.2</v>
      </c>
      <c r="N22" t="n">
        <v>5.1</v>
      </c>
      <c r="O22" t="inlineStr">
        <is>
          <t>Direct</t>
        </is>
      </c>
      <c r="V22" t="inlineStr">
        <is>
          <t>59-30-1.6-ERW 1-FIN CUT-6</t>
        </is>
      </c>
      <c r="Z22" t="inlineStr">
        <is>
          <t>22.23-0-2-ERW 2 MAHS-FC-6.001</t>
        </is>
      </c>
      <c r="AA22" t="inlineStr">
        <is>
          <t>38.1-0-2-ERW 1-FC-5.65</t>
        </is>
      </c>
    </row>
    <row r="23">
      <c r="A23" t="n">
        <v>46194</v>
      </c>
      <c r="B23" t="inlineStr">
        <is>
          <t>0000943211</t>
        </is>
      </c>
      <c r="C23" t="inlineStr">
        <is>
          <t>MEGH STEELS PRIVATE LIMITED - RE</t>
        </is>
      </c>
      <c r="D23" t="inlineStr">
        <is>
          <t>KG</t>
        </is>
      </c>
      <c r="E23" t="n">
        <v>185</v>
      </c>
      <c r="F23" t="n">
        <v>943.415</v>
      </c>
      <c r="G23" t="n">
        <v>942</v>
      </c>
      <c r="H23" t="inlineStr">
        <is>
          <t>0789</t>
        </is>
      </c>
      <c r="I23" t="n">
        <v>1931377</v>
      </c>
      <c r="J23" t="inlineStr">
        <is>
          <t>TUB-O-N-AUT-AW-FC-34.93X1.200X5.1000</t>
        </is>
      </c>
      <c r="K23" t="n">
        <v>34.93</v>
      </c>
      <c r="L23" t="n">
        <v>0</v>
      </c>
      <c r="M23" t="n">
        <v>1.2</v>
      </c>
      <c r="N23" t="n">
        <v>5.1</v>
      </c>
      <c r="O23" t="inlineStr">
        <is>
          <t>Direct</t>
        </is>
      </c>
      <c r="V23" t="inlineStr">
        <is>
          <t>31.75-0-2.3-ERW 1-FC-5.92</t>
        </is>
      </c>
      <c r="Z23" t="inlineStr">
        <is>
          <t>22.23-0-2-ERW 1-PE-5.39</t>
        </is>
      </c>
      <c r="AA23" t="inlineStr">
        <is>
          <t>38.1-0-2.5-ERW 2 MAHS-FC-6.19</t>
        </is>
      </c>
    </row>
    <row r="24">
      <c r="A24" t="n">
        <v>46194</v>
      </c>
      <c r="B24" t="inlineStr">
        <is>
          <t>0000943211</t>
        </is>
      </c>
      <c r="C24" t="inlineStr">
        <is>
          <t>MEGH STEELS PRIVATE LIMITED - RE</t>
        </is>
      </c>
      <c r="D24" t="inlineStr">
        <is>
          <t>KG</t>
        </is>
      </c>
      <c r="E24" t="n">
        <v>173</v>
      </c>
      <c r="F24" t="n">
        <v>880.3200000000001</v>
      </c>
      <c r="G24" t="n">
        <v>879</v>
      </c>
      <c r="H24" t="inlineStr">
        <is>
          <t>0789</t>
        </is>
      </c>
      <c r="I24" t="n">
        <v>1931377</v>
      </c>
      <c r="J24" t="inlineStr">
        <is>
          <t>TUB-O-N-AUT-AW-FC-34.93X1.200X5.1000</t>
        </is>
      </c>
      <c r="K24" t="n">
        <v>34.93</v>
      </c>
      <c r="L24" t="n">
        <v>0</v>
      </c>
      <c r="M24" t="n">
        <v>1.2</v>
      </c>
      <c r="N24" t="n">
        <v>5.1</v>
      </c>
      <c r="O24" t="inlineStr">
        <is>
          <t>Direct</t>
        </is>
      </c>
      <c r="V24" t="inlineStr">
        <is>
          <t>42.7-0-3.5-ERW 1-FC-6</t>
        </is>
      </c>
      <c r="Z24" t="inlineStr">
        <is>
          <t>No Key</t>
        </is>
      </c>
      <c r="AA24" t="inlineStr">
        <is>
          <t>41.28-0-2.6-ERW 1-FC-6</t>
        </is>
      </c>
    </row>
    <row r="25">
      <c r="A25" t="n">
        <v>46191</v>
      </c>
      <c r="B25" t="inlineStr">
        <is>
          <t>0000943211</t>
        </is>
      </c>
      <c r="C25" t="inlineStr">
        <is>
          <t>MEGH STEELS PRIVATE LIMITED - RE</t>
        </is>
      </c>
      <c r="D25" t="inlineStr">
        <is>
          <t>KG</t>
        </is>
      </c>
      <c r="E25" t="n">
        <v>373</v>
      </c>
      <c r="F25" t="n">
        <v>1902.854</v>
      </c>
      <c r="G25" t="n">
        <v>1900</v>
      </c>
      <c r="H25" t="inlineStr">
        <is>
          <t>0789</t>
        </is>
      </c>
      <c r="I25" t="n">
        <v>1931377</v>
      </c>
      <c r="J25" t="inlineStr">
        <is>
          <t>TUB-O-N-AUT-AW-FC-34.93X1.200X5.1000</t>
        </is>
      </c>
      <c r="K25" t="n">
        <v>34.93</v>
      </c>
      <c r="L25" t="n">
        <v>0</v>
      </c>
      <c r="M25" t="n">
        <v>1.2</v>
      </c>
      <c r="N25" t="n">
        <v>5.1</v>
      </c>
      <c r="O25" t="inlineStr">
        <is>
          <t>Direct</t>
        </is>
      </c>
      <c r="V25" t="inlineStr">
        <is>
          <t>41.28-0-2.6-ERW 1-FC-6</t>
        </is>
      </c>
      <c r="Z25" t="inlineStr">
        <is>
          <t>No Key</t>
        </is>
      </c>
      <c r="AA25" t="inlineStr">
        <is>
          <t>40-25-1.6-ERW 1-FC-5.88</t>
        </is>
      </c>
    </row>
    <row r="26">
      <c r="A26" t="n">
        <v>46191</v>
      </c>
      <c r="B26" t="inlineStr">
        <is>
          <t>0000943211</t>
        </is>
      </c>
      <c r="C26" t="inlineStr">
        <is>
          <t>MEGH STEELS PRIVATE LIMITED - RE</t>
        </is>
      </c>
      <c r="D26" t="inlineStr">
        <is>
          <t>KG</t>
        </is>
      </c>
      <c r="E26" t="n">
        <v>373</v>
      </c>
      <c r="F26" t="n">
        <v>1902.854</v>
      </c>
      <c r="G26" t="n">
        <v>1900</v>
      </c>
      <c r="H26" t="inlineStr">
        <is>
          <t>0789</t>
        </is>
      </c>
      <c r="I26" t="n">
        <v>1931377</v>
      </c>
      <c r="J26" t="inlineStr">
        <is>
          <t>TUB-O-N-AUT-AW-FC-34.93X1.200X5.1000</t>
        </is>
      </c>
      <c r="K26" t="n">
        <v>34.93</v>
      </c>
      <c r="L26" t="n">
        <v>0</v>
      </c>
      <c r="M26" t="n">
        <v>1.2</v>
      </c>
      <c r="N26" t="n">
        <v>5.1</v>
      </c>
      <c r="O26" t="inlineStr">
        <is>
          <t>Direct</t>
        </is>
      </c>
      <c r="V26" t="inlineStr">
        <is>
          <t>48.6-0-3.5-ERW 1-FC-6</t>
        </is>
      </c>
      <c r="Z26" t="inlineStr">
        <is>
          <t>25.4-0-1.6-ERW 1-PE-6</t>
        </is>
      </c>
      <c r="AA26" t="inlineStr">
        <is>
          <t>40-25-1.6-ERW 1-FC-6.13</t>
        </is>
      </c>
    </row>
    <row r="27">
      <c r="A27" t="n">
        <v>46191</v>
      </c>
      <c r="B27" t="inlineStr">
        <is>
          <t>0000943211</t>
        </is>
      </c>
      <c r="C27" t="inlineStr">
        <is>
          <t>MEGH STEELS PRIVATE LIMITED - RE</t>
        </is>
      </c>
      <c r="D27" t="inlineStr">
        <is>
          <t>KG</t>
        </is>
      </c>
      <c r="E27" t="n">
        <v>373</v>
      </c>
      <c r="F27" t="n">
        <v>1902.854</v>
      </c>
      <c r="G27" t="n">
        <v>1900</v>
      </c>
      <c r="H27" t="inlineStr">
        <is>
          <t>0789</t>
        </is>
      </c>
      <c r="I27" t="n">
        <v>1931377</v>
      </c>
      <c r="J27" t="inlineStr">
        <is>
          <t>TUB-O-N-AUT-AW-FC-34.93X1.200X5.1000</t>
        </is>
      </c>
      <c r="K27" t="n">
        <v>34.93</v>
      </c>
      <c r="L27" t="n">
        <v>0</v>
      </c>
      <c r="M27" t="n">
        <v>1.2</v>
      </c>
      <c r="N27" t="n">
        <v>5.1</v>
      </c>
      <c r="O27" t="inlineStr">
        <is>
          <t>Direct</t>
        </is>
      </c>
      <c r="V27" t="inlineStr">
        <is>
          <t>38.1-0-1.6-ERW 1-FC-6.19</t>
        </is>
      </c>
      <c r="Z27" t="inlineStr">
        <is>
          <t>No Key</t>
        </is>
      </c>
      <c r="AA27" t="inlineStr">
        <is>
          <t>41.28-0-3.15-ERW 1-FC-5.86</t>
        </is>
      </c>
    </row>
    <row r="28">
      <c r="A28" t="n">
        <v>46191</v>
      </c>
      <c r="B28" t="inlineStr">
        <is>
          <t>0000943211</t>
        </is>
      </c>
      <c r="C28" t="inlineStr">
        <is>
          <t>MEGH STEELS PRIVATE LIMITED - RE</t>
        </is>
      </c>
      <c r="D28" t="inlineStr">
        <is>
          <t>KG</t>
        </is>
      </c>
      <c r="E28" t="n">
        <v>371</v>
      </c>
      <c r="F28" t="n">
        <v>1892.839</v>
      </c>
      <c r="G28" t="n">
        <v>1890</v>
      </c>
      <c r="H28" t="inlineStr">
        <is>
          <t>0789</t>
        </is>
      </c>
      <c r="I28" t="n">
        <v>1931377</v>
      </c>
      <c r="J28" t="inlineStr">
        <is>
          <t>TUB-O-N-AUT-AW-FC-34.93X1.200X5.1000</t>
        </is>
      </c>
      <c r="K28" t="n">
        <v>34.93</v>
      </c>
      <c r="L28" t="n">
        <v>0</v>
      </c>
      <c r="M28" t="n">
        <v>1.2</v>
      </c>
      <c r="N28" t="n">
        <v>5.1</v>
      </c>
      <c r="O28" t="inlineStr">
        <is>
          <t>Direct</t>
        </is>
      </c>
      <c r="V28" t="inlineStr">
        <is>
          <t>38.1-0-2.5-ERW 2 MAHS-FC-6.19</t>
        </is>
      </c>
      <c r="Z28" t="inlineStr">
        <is>
          <t>25.4-0-2.5-ERW 1-PE-5.53</t>
        </is>
      </c>
      <c r="AA28" t="inlineStr">
        <is>
          <t>42.7-0-3.5-ERW 1-FC-6</t>
        </is>
      </c>
    </row>
    <row r="29">
      <c r="A29" t="n">
        <v>46194</v>
      </c>
      <c r="B29" t="inlineStr">
        <is>
          <t>0000943211</t>
        </is>
      </c>
      <c r="C29" t="inlineStr">
        <is>
          <t>MEGH STEELS PRIVATE LIMITED - RE</t>
        </is>
      </c>
      <c r="D29" t="inlineStr">
        <is>
          <t>KG</t>
        </is>
      </c>
      <c r="E29" t="n">
        <v>4</v>
      </c>
      <c r="F29" t="n">
        <v>19.029</v>
      </c>
      <c r="G29" t="n">
        <v>19</v>
      </c>
      <c r="H29" t="inlineStr">
        <is>
          <t>0789</t>
        </is>
      </c>
      <c r="I29" t="n">
        <v>1931377</v>
      </c>
      <c r="J29" t="inlineStr">
        <is>
          <t>TUB-O-N-AUT-AW-FC-34.93X1.200X5.1000</t>
        </is>
      </c>
      <c r="K29" t="n">
        <v>34.93</v>
      </c>
      <c r="L29" t="n">
        <v>0</v>
      </c>
      <c r="M29" t="n">
        <v>1.2</v>
      </c>
      <c r="N29" t="n">
        <v>5.1</v>
      </c>
      <c r="O29" t="inlineStr">
        <is>
          <t>Direct</t>
        </is>
      </c>
      <c r="V29" t="inlineStr">
        <is>
          <t>48.62.36.27HSTFIN CUT-6.27</t>
        </is>
      </c>
      <c r="Z29" t="inlineStr">
        <is>
          <t>No Key</t>
        </is>
      </c>
      <c r="AA29" t="inlineStr">
        <is>
          <t>42.7-0-4-ERW 1-FC-6</t>
        </is>
      </c>
    </row>
    <row r="30">
      <c r="A30" t="n">
        <v>46191</v>
      </c>
      <c r="B30" t="inlineStr">
        <is>
          <t>0000943211</t>
        </is>
      </c>
      <c r="C30" t="inlineStr">
        <is>
          <t>MEGH STEELS PRIVATE LIMITED - RE</t>
        </is>
      </c>
      <c r="D30" t="inlineStr">
        <is>
          <t>KG</t>
        </is>
      </c>
      <c r="E30" t="n">
        <v>185</v>
      </c>
      <c r="F30" t="n">
        <v>942.414</v>
      </c>
      <c r="G30" t="n">
        <v>941</v>
      </c>
      <c r="H30" t="inlineStr">
        <is>
          <t>0789</t>
        </is>
      </c>
      <c r="I30" t="n">
        <v>1931377</v>
      </c>
      <c r="J30" t="inlineStr">
        <is>
          <t>TUB-O-N-AUT-AW-FC-34.93X1.200X5.1000</t>
        </is>
      </c>
      <c r="K30" t="n">
        <v>34.93</v>
      </c>
      <c r="L30" t="n">
        <v>0</v>
      </c>
      <c r="M30" t="n">
        <v>1.2</v>
      </c>
      <c r="N30" t="n">
        <v>5.1</v>
      </c>
      <c r="O30" t="inlineStr">
        <is>
          <t>Direct</t>
        </is>
      </c>
      <c r="V30" t="inlineStr">
        <is>
          <t>45-0-1.4-ERW 2-FIN CUT-6.4</t>
        </is>
      </c>
      <c r="Z30" t="inlineStr">
        <is>
          <t>No Key</t>
        </is>
      </c>
      <c r="AA30" t="inlineStr">
        <is>
          <t>40-30-1.6-ERW 1-FC-5.9</t>
        </is>
      </c>
    </row>
    <row r="31">
      <c r="A31" t="n">
        <v>46191</v>
      </c>
      <c r="B31" t="inlineStr">
        <is>
          <t>0000943211</t>
        </is>
      </c>
      <c r="C31" t="inlineStr">
        <is>
          <t>MEGH STEELS PRIVATE LIMITED - RE</t>
        </is>
      </c>
      <c r="D31" t="inlineStr">
        <is>
          <t>KG</t>
        </is>
      </c>
      <c r="E31" t="n">
        <v>377</v>
      </c>
      <c r="F31" t="n">
        <v>1921.883</v>
      </c>
      <c r="G31" t="n">
        <v>1919</v>
      </c>
      <c r="H31" t="inlineStr">
        <is>
          <t>0789</t>
        </is>
      </c>
      <c r="I31" t="n">
        <v>1931377</v>
      </c>
      <c r="J31" t="inlineStr">
        <is>
          <t>TUB-O-N-AUT-AW-FC-34.93X1.200X5.1000</t>
        </is>
      </c>
      <c r="K31" t="n">
        <v>34.93</v>
      </c>
      <c r="L31" t="n">
        <v>0</v>
      </c>
      <c r="M31" t="n">
        <v>1.2</v>
      </c>
      <c r="N31" t="n">
        <v>5.1</v>
      </c>
      <c r="O31" t="inlineStr">
        <is>
          <t>Direct</t>
        </is>
      </c>
      <c r="V31" t="inlineStr">
        <is>
          <t>32-4.5-SLT-6.4</t>
        </is>
      </c>
      <c r="Z31" t="e">
        <v>#N/A</v>
      </c>
      <c r="AA31" t="inlineStr">
        <is>
          <t>45--1.4-ERW 2-FIN CUT-6.4</t>
        </is>
      </c>
    </row>
    <row r="32">
      <c r="A32" t="n">
        <v>46191</v>
      </c>
      <c r="B32" t="inlineStr">
        <is>
          <t>0000943211</t>
        </is>
      </c>
      <c r="C32" t="inlineStr">
        <is>
          <t>MEGH STEELS PRIVATE LIMITED - RE</t>
        </is>
      </c>
      <c r="D32" t="inlineStr">
        <is>
          <t>KG</t>
        </is>
      </c>
      <c r="E32" t="n">
        <v>369</v>
      </c>
      <c r="F32" t="n">
        <v>1882.824</v>
      </c>
      <c r="G32" t="n">
        <v>1880</v>
      </c>
      <c r="H32" t="inlineStr">
        <is>
          <t>0789</t>
        </is>
      </c>
      <c r="I32" t="n">
        <v>1931377</v>
      </c>
      <c r="J32" t="inlineStr">
        <is>
          <t>TUB-O-N-AUT-AW-FC-34.93X1.200X5.1000</t>
        </is>
      </c>
      <c r="K32" t="n">
        <v>34.93</v>
      </c>
      <c r="L32" t="n">
        <v>0</v>
      </c>
      <c r="M32" t="n">
        <v>1.2</v>
      </c>
      <c r="N32" t="n">
        <v>5.1</v>
      </c>
      <c r="O32" t="inlineStr">
        <is>
          <t>Direct</t>
        </is>
      </c>
      <c r="V32" t="inlineStr">
        <is>
          <t>19.05-0-2.3-ERW 1-PE-7</t>
        </is>
      </c>
      <c r="Z32" t="inlineStr">
        <is>
          <t>No Key</t>
        </is>
      </c>
      <c r="AA32" t="inlineStr">
        <is>
          <t>45--1.4-ERW 1-FIN CUT-5.7</t>
        </is>
      </c>
    </row>
    <row r="33">
      <c r="A33" t="n">
        <v>46191</v>
      </c>
      <c r="B33" t="inlineStr">
        <is>
          <t>0000943211</t>
        </is>
      </c>
      <c r="C33" t="inlineStr">
        <is>
          <t>MEGH STEELS PRIVATE LIMITED - RE</t>
        </is>
      </c>
      <c r="D33" t="inlineStr">
        <is>
          <t>KG</t>
        </is>
      </c>
      <c r="E33" t="n">
        <v>373</v>
      </c>
      <c r="F33" t="n">
        <v>1902.854</v>
      </c>
      <c r="G33" t="n">
        <v>1900</v>
      </c>
      <c r="H33" t="inlineStr">
        <is>
          <t>0789</t>
        </is>
      </c>
      <c r="I33" t="n">
        <v>1931377</v>
      </c>
      <c r="J33" t="inlineStr">
        <is>
          <t>TUB-O-N-AUT-AW-FC-34.93X1.200X5.1000</t>
        </is>
      </c>
      <c r="K33" t="n">
        <v>34.93</v>
      </c>
      <c r="L33" t="n">
        <v>0</v>
      </c>
      <c r="M33" t="n">
        <v>1.2</v>
      </c>
      <c r="N33" t="n">
        <v>5.1</v>
      </c>
      <c r="O33" t="inlineStr">
        <is>
          <t>Direct</t>
        </is>
      </c>
      <c r="Z33" t="inlineStr">
        <is>
          <t>31.75-0-1.2-ERW 1-PE-6</t>
        </is>
      </c>
      <c r="AA33" t="inlineStr">
        <is>
          <t>48--1.2-ERW 1-FIN CUT-0.7</t>
        </is>
      </c>
    </row>
    <row r="34">
      <c r="A34" t="n">
        <v>46198</v>
      </c>
      <c r="B34" t="inlineStr">
        <is>
          <t>0000943209</t>
        </is>
      </c>
      <c r="C34" t="inlineStr">
        <is>
          <t>MEGH STEELS PRIVATE LIMITED - TVS A</t>
        </is>
      </c>
      <c r="D34" t="inlineStr">
        <is>
          <t>KG</t>
        </is>
      </c>
      <c r="E34" t="n">
        <v>423</v>
      </c>
      <c r="F34" t="n">
        <v>2226.635</v>
      </c>
      <c r="G34" t="n">
        <v>1747.117</v>
      </c>
      <c r="H34" t="inlineStr">
        <is>
          <t>056</t>
        </is>
      </c>
      <c r="I34" t="n">
        <v>3501116</v>
      </c>
      <c r="J34" t="inlineStr">
        <is>
          <t>TUB-O-N-AUT-AW-PE-22.20X1.600X5.2640</t>
        </is>
      </c>
      <c r="K34" t="n">
        <v>22.2</v>
      </c>
      <c r="L34" t="n">
        <v>0</v>
      </c>
      <c r="M34" t="n">
        <v>1.6</v>
      </c>
      <c r="N34" t="n">
        <v>5.264</v>
      </c>
      <c r="O34" t="inlineStr">
        <is>
          <t>Direct</t>
        </is>
      </c>
      <c r="Z34" t="inlineStr">
        <is>
          <t>31.75--2.3-ERW 1-FIN CUT-6</t>
        </is>
      </c>
      <c r="AA34" t="inlineStr">
        <is>
          <t>48.6-0-3.5-ERW 1-FC-6</t>
        </is>
      </c>
    </row>
    <row r="35">
      <c r="A35" t="n">
        <v>46198</v>
      </c>
      <c r="B35" t="inlineStr">
        <is>
          <t>0000943209</t>
        </is>
      </c>
      <c r="C35" t="inlineStr">
        <is>
          <t>MEGH STEELS PRIVATE LIMITED - TVS A</t>
        </is>
      </c>
      <c r="D35" t="inlineStr">
        <is>
          <t>KG</t>
        </is>
      </c>
      <c r="E35" t="n">
        <v>415</v>
      </c>
      <c r="F35" t="n">
        <v>2184.523</v>
      </c>
      <c r="G35" t="n">
        <v>1714.074</v>
      </c>
      <c r="H35" t="inlineStr">
        <is>
          <t>056</t>
        </is>
      </c>
      <c r="I35" t="n">
        <v>3501116</v>
      </c>
      <c r="J35" t="inlineStr">
        <is>
          <t>TUB-O-N-AUT-AW-PE-22.20X1.600X5.2640</t>
        </is>
      </c>
      <c r="K35" t="n">
        <v>22.2</v>
      </c>
      <c r="L35" t="n">
        <v>0</v>
      </c>
      <c r="M35" t="n">
        <v>1.6</v>
      </c>
      <c r="N35" t="n">
        <v>5.264</v>
      </c>
      <c r="O35" t="inlineStr">
        <is>
          <t>Direct</t>
        </is>
      </c>
      <c r="Z35" t="inlineStr">
        <is>
          <t>No Key</t>
        </is>
      </c>
      <c r="AA35" t="inlineStr">
        <is>
          <t>59-30-1.6-ERW 1-FIN CUT-6</t>
        </is>
      </c>
    </row>
    <row r="36">
      <c r="A36" t="n">
        <v>46198</v>
      </c>
      <c r="B36" t="inlineStr">
        <is>
          <t>0000943209</t>
        </is>
      </c>
      <c r="C36" t="inlineStr">
        <is>
          <t>MEGH STEELS PRIVATE LIMITED - TVS A</t>
        </is>
      </c>
      <c r="D36" t="inlineStr">
        <is>
          <t>KG</t>
        </is>
      </c>
      <c r="E36" t="n">
        <v>200</v>
      </c>
      <c r="F36" t="n">
        <v>1052.783</v>
      </c>
      <c r="G36" t="n">
        <v>826.0599999999999</v>
      </c>
      <c r="H36" t="inlineStr">
        <is>
          <t>056</t>
        </is>
      </c>
      <c r="I36" t="n">
        <v>3501116</v>
      </c>
      <c r="J36" t="inlineStr">
        <is>
          <t>TUB-O-N-AUT-AW-PE-22.20X1.600X5.2640</t>
        </is>
      </c>
      <c r="K36" t="n">
        <v>22.2</v>
      </c>
      <c r="L36" t="n">
        <v>0</v>
      </c>
      <c r="M36" t="n">
        <v>1.6</v>
      </c>
      <c r="N36" t="n">
        <v>5.264</v>
      </c>
      <c r="O36" t="inlineStr">
        <is>
          <t>Direct</t>
        </is>
      </c>
      <c r="Z36" t="inlineStr">
        <is>
          <t>No Key</t>
        </is>
      </c>
      <c r="AA36" t="inlineStr">
        <is>
          <t>59-30-1.6-ERW 1-FIN CUT-0.573</t>
        </is>
      </c>
    </row>
    <row r="37">
      <c r="A37" t="n">
        <v>46198</v>
      </c>
      <c r="B37" t="inlineStr">
        <is>
          <t>0000943209</t>
        </is>
      </c>
      <c r="C37" t="inlineStr">
        <is>
          <t>MEGH STEELS PRIVATE LIMITED - TVS A</t>
        </is>
      </c>
      <c r="D37" t="inlineStr">
        <is>
          <t>KG</t>
        </is>
      </c>
      <c r="E37" t="n">
        <v>420</v>
      </c>
      <c r="F37" t="n">
        <v>2210.843</v>
      </c>
      <c r="G37" t="n">
        <v>1734.726</v>
      </c>
      <c r="H37" t="inlineStr">
        <is>
          <t>056</t>
        </is>
      </c>
      <c r="I37" t="n">
        <v>3501116</v>
      </c>
      <c r="J37" t="inlineStr">
        <is>
          <t>TUB-O-N-AUT-AW-PE-22.20X1.600X5.2640</t>
        </is>
      </c>
      <c r="K37" t="n">
        <v>22.2</v>
      </c>
      <c r="L37" t="n">
        <v>0</v>
      </c>
      <c r="M37" t="n">
        <v>1.6</v>
      </c>
      <c r="N37" t="n">
        <v>5.264</v>
      </c>
      <c r="O37" t="inlineStr">
        <is>
          <t>Direct</t>
        </is>
      </c>
      <c r="Z37" t="inlineStr">
        <is>
          <t>34.93-0-1.2-ERW 1-FC-0.7</t>
        </is>
      </c>
      <c r="AA37" t="inlineStr">
        <is>
          <t>57.15-0-2.5-ERW 1-FC-5.711</t>
        </is>
      </c>
    </row>
    <row r="38">
      <c r="A38" t="n">
        <v>46176</v>
      </c>
      <c r="B38" t="inlineStr">
        <is>
          <t>0000943209</t>
        </is>
      </c>
      <c r="C38" t="inlineStr">
        <is>
          <t>MEGH STEELS PRIVATE LIMITED - TVS A</t>
        </is>
      </c>
      <c r="D38" t="inlineStr">
        <is>
          <t>KG</t>
        </is>
      </c>
      <c r="E38" t="n">
        <v>493</v>
      </c>
      <c r="F38" t="n">
        <v>2600.688</v>
      </c>
      <c r="G38" t="n">
        <v>2118</v>
      </c>
      <c r="H38" t="inlineStr">
        <is>
          <t>0789</t>
        </is>
      </c>
      <c r="I38" t="n">
        <v>3575894</v>
      </c>
      <c r="J38" t="inlineStr">
        <is>
          <t>TUB-O-N-AUT-AW-PE-22.23X1.600X5.2700</t>
        </is>
      </c>
      <c r="K38" t="n">
        <v>22.23</v>
      </c>
      <c r="L38" t="n">
        <v>0</v>
      </c>
      <c r="M38" t="n">
        <v>1.6</v>
      </c>
      <c r="N38" t="n">
        <v>5.27</v>
      </c>
      <c r="O38" t="inlineStr">
        <is>
          <t>Direct</t>
        </is>
      </c>
      <c r="P38" t="inlineStr">
        <is>
          <t>22.23-0-1.6-ERW 1-PE-5.27</t>
        </is>
      </c>
      <c r="Z38" t="inlineStr">
        <is>
          <t>No Key</t>
        </is>
      </c>
      <c r="AA38" t="inlineStr">
        <is>
          <t>57.15-0-2.5-ERW 1-FC-6.1</t>
        </is>
      </c>
    </row>
    <row r="39">
      <c r="A39" t="n">
        <v>46176</v>
      </c>
      <c r="B39" t="inlineStr">
        <is>
          <t>0000943209</t>
        </is>
      </c>
      <c r="C39" t="inlineStr">
        <is>
          <t>MEGH STEELS PRIVATE LIMITED - TVS A</t>
        </is>
      </c>
      <c r="D39" t="inlineStr">
        <is>
          <t>KG</t>
        </is>
      </c>
      <c r="E39" t="n">
        <v>649</v>
      </c>
      <c r="F39" t="n">
        <v>3419.695</v>
      </c>
      <c r="G39" t="n">
        <v>2785</v>
      </c>
      <c r="H39" t="inlineStr">
        <is>
          <t>0789</t>
        </is>
      </c>
      <c r="I39" t="n">
        <v>3575894</v>
      </c>
      <c r="J39" t="inlineStr">
        <is>
          <t>TUB-O-N-AUT-AW-PE-22.23X1.600X5.2700</t>
        </is>
      </c>
      <c r="K39" t="n">
        <v>22.23</v>
      </c>
      <c r="L39" t="n">
        <v>0</v>
      </c>
      <c r="M39" t="n">
        <v>1.6</v>
      </c>
      <c r="N39" t="n">
        <v>5.27</v>
      </c>
      <c r="O39" t="inlineStr">
        <is>
          <t>Direct</t>
        </is>
      </c>
      <c r="P39" t="inlineStr">
        <is>
          <t>22.23-0-1.6-ERW 1-PE-5.27</t>
        </is>
      </c>
      <c r="Z39" t="inlineStr">
        <is>
          <t>38.1-0-1.6-ERW 1-FC-6.19</t>
        </is>
      </c>
      <c r="AA39" t="inlineStr">
        <is>
          <t>57.15-0-2.5-ERW 1-FC-5.75</t>
        </is>
      </c>
    </row>
    <row r="40">
      <c r="A40" t="n">
        <v>46176</v>
      </c>
      <c r="B40" t="inlineStr">
        <is>
          <t>0000943209</t>
        </is>
      </c>
      <c r="C40" t="inlineStr">
        <is>
          <t>MEGH STEELS PRIVATE LIMITED - TVS A</t>
        </is>
      </c>
      <c r="D40" t="inlineStr">
        <is>
          <t>KG</t>
        </is>
      </c>
      <c r="E40" t="n">
        <v>638</v>
      </c>
      <c r="F40" t="n">
        <v>3364.44</v>
      </c>
      <c r="G40" t="n">
        <v>2740</v>
      </c>
      <c r="H40" t="inlineStr">
        <is>
          <t>0789</t>
        </is>
      </c>
      <c r="I40" t="n">
        <v>3575894</v>
      </c>
      <c r="J40" t="inlineStr">
        <is>
          <t>TUB-O-N-AUT-AW-PE-22.23X1.600X5.2700</t>
        </is>
      </c>
      <c r="K40" t="n">
        <v>22.23</v>
      </c>
      <c r="L40" t="n">
        <v>0</v>
      </c>
      <c r="M40" t="n">
        <v>1.6</v>
      </c>
      <c r="N40" t="n">
        <v>5.27</v>
      </c>
      <c r="O40" t="inlineStr">
        <is>
          <t>Direct</t>
        </is>
      </c>
      <c r="P40" t="inlineStr">
        <is>
          <t>22.23-0-1.6-ERW 1-PE-5.27</t>
        </is>
      </c>
      <c r="Z40" t="inlineStr">
        <is>
          <t>38.1-0-2-ERW 1-FC-5.65</t>
        </is>
      </c>
      <c r="AA40" t="inlineStr">
        <is>
          <t>60.3-0-2-ERW 1-FC-5.9</t>
        </is>
      </c>
    </row>
    <row r="41">
      <c r="A41" t="n">
        <v>46176</v>
      </c>
      <c r="B41" t="inlineStr">
        <is>
          <t>0000943209</t>
        </is>
      </c>
      <c r="C41" t="inlineStr">
        <is>
          <t>MEGH STEELS PRIVATE LIMITED - TVS A</t>
        </is>
      </c>
      <c r="D41" t="inlineStr">
        <is>
          <t>KG</t>
        </is>
      </c>
      <c r="E41" t="n">
        <v>415</v>
      </c>
      <c r="F41" t="n">
        <v>2188.114</v>
      </c>
      <c r="G41" t="n">
        <v>1782</v>
      </c>
      <c r="H41" t="inlineStr">
        <is>
          <t>0789</t>
        </is>
      </c>
      <c r="I41" t="n">
        <v>3575894</v>
      </c>
      <c r="J41" t="inlineStr">
        <is>
          <t>TUB-O-N-AUT-AW-PE-22.23X1.600X5.2700</t>
        </is>
      </c>
      <c r="K41" t="n">
        <v>22.23</v>
      </c>
      <c r="L41" t="n">
        <v>0</v>
      </c>
      <c r="M41" t="n">
        <v>1.6</v>
      </c>
      <c r="N41" t="n">
        <v>5.27</v>
      </c>
      <c r="O41" t="inlineStr">
        <is>
          <t>Direct</t>
        </is>
      </c>
      <c r="P41" t="inlineStr">
        <is>
          <t>22.23-0-1.6-ERW 1-PE-5.27</t>
        </is>
      </c>
      <c r="Z41" t="inlineStr">
        <is>
          <t>38.1-0-2.5-ERW 2 MAHS-FC-6.19</t>
        </is>
      </c>
    </row>
    <row r="42">
      <c r="A42" t="n">
        <v>46176</v>
      </c>
      <c r="B42" t="inlineStr">
        <is>
          <t>0000943209</t>
        </is>
      </c>
      <c r="C42" t="inlineStr">
        <is>
          <t>MEGH STEELS PRIVATE LIMITED - TVS A</t>
        </is>
      </c>
      <c r="D42" t="inlineStr">
        <is>
          <t>KG</t>
        </is>
      </c>
      <c r="E42" t="n">
        <v>659</v>
      </c>
      <c r="F42" t="n">
        <v>3474.951</v>
      </c>
      <c r="G42" t="n">
        <v>2830</v>
      </c>
      <c r="H42" t="inlineStr">
        <is>
          <t>0789</t>
        </is>
      </c>
      <c r="I42" t="n">
        <v>3575894</v>
      </c>
      <c r="J42" t="inlineStr">
        <is>
          <t>TUB-O-N-AUT-AW-PE-22.23X1.600X5.2700</t>
        </is>
      </c>
      <c r="K42" t="n">
        <v>22.23</v>
      </c>
      <c r="L42" t="n">
        <v>0</v>
      </c>
      <c r="M42" t="n">
        <v>1.6</v>
      </c>
      <c r="N42" t="n">
        <v>5.27</v>
      </c>
      <c r="O42" t="inlineStr">
        <is>
          <t>Direct</t>
        </is>
      </c>
      <c r="P42" t="inlineStr">
        <is>
          <t>22.23-0-1.6-ERW 1-PE-5.27</t>
        </is>
      </c>
      <c r="Z42" t="inlineStr">
        <is>
          <t>41.28-0-2.6-ERW 1-FC-6</t>
        </is>
      </c>
    </row>
    <row r="43">
      <c r="A43" t="n">
        <v>46176</v>
      </c>
      <c r="B43" t="inlineStr">
        <is>
          <t>0000943209</t>
        </is>
      </c>
      <c r="C43" t="inlineStr">
        <is>
          <t>MEGH STEELS PRIVATE LIMITED - TVS A</t>
        </is>
      </c>
      <c r="D43" t="inlineStr">
        <is>
          <t>KG</t>
        </is>
      </c>
      <c r="E43" t="n">
        <v>290</v>
      </c>
      <c r="F43" t="n">
        <v>1528.733</v>
      </c>
      <c r="G43" t="n">
        <v>1245</v>
      </c>
      <c r="H43" t="inlineStr">
        <is>
          <t>0789</t>
        </is>
      </c>
      <c r="I43" t="n">
        <v>3575894</v>
      </c>
      <c r="J43" t="inlineStr">
        <is>
          <t>TUB-O-N-AUT-AW-PE-22.23X1.600X5.2700</t>
        </is>
      </c>
      <c r="K43" t="n">
        <v>22.23</v>
      </c>
      <c r="L43" t="n">
        <v>0</v>
      </c>
      <c r="M43" t="n">
        <v>1.6</v>
      </c>
      <c r="N43" t="n">
        <v>5.27</v>
      </c>
      <c r="O43" t="inlineStr">
        <is>
          <t>Direct</t>
        </is>
      </c>
      <c r="P43" t="inlineStr">
        <is>
          <t>22.23-0-1.6-ERW 1-PE-5.27</t>
        </is>
      </c>
      <c r="Z43" t="inlineStr">
        <is>
          <t>40-25-1.6-ERW 1-FC-5.88</t>
        </is>
      </c>
    </row>
    <row r="44">
      <c r="A44" t="n">
        <v>46199</v>
      </c>
      <c r="B44" t="inlineStr">
        <is>
          <t>0000943209</t>
        </is>
      </c>
      <c r="C44" t="inlineStr">
        <is>
          <t>MEGH STEELS PRIVATE LIMITED - TVS A</t>
        </is>
      </c>
      <c r="D44" t="inlineStr">
        <is>
          <t>KG</t>
        </is>
      </c>
      <c r="E44" t="n">
        <v>648</v>
      </c>
      <c r="F44" t="n">
        <v>3413.556</v>
      </c>
      <c r="G44" t="n">
        <v>2780</v>
      </c>
      <c r="H44" t="inlineStr">
        <is>
          <t>0789</t>
        </is>
      </c>
      <c r="I44" t="n">
        <v>3575894</v>
      </c>
      <c r="J44" t="inlineStr">
        <is>
          <t>TUB-O-N-AUT-AW-PE-22.23X1.600X5.2700</t>
        </is>
      </c>
      <c r="K44" t="n">
        <v>22.23</v>
      </c>
      <c r="L44" t="n">
        <v>0</v>
      </c>
      <c r="M44" t="n">
        <v>1.6</v>
      </c>
      <c r="N44" t="n">
        <v>5.27</v>
      </c>
      <c r="O44" t="inlineStr">
        <is>
          <t>Direct</t>
        </is>
      </c>
      <c r="P44" t="inlineStr">
        <is>
          <t>22.23-0-1.6-ERW 1-PE-5.27</t>
        </is>
      </c>
      <c r="Z44" t="inlineStr">
        <is>
          <t>40-25-1.6-ERW 1-FC-6.13</t>
        </is>
      </c>
    </row>
    <row r="45">
      <c r="A45" t="n">
        <v>46198</v>
      </c>
      <c r="B45" t="inlineStr">
        <is>
          <t>0000943209</t>
        </is>
      </c>
      <c r="C45" t="inlineStr">
        <is>
          <t>MEGH STEELS PRIVATE LIMITED - TVS A</t>
        </is>
      </c>
      <c r="D45" t="inlineStr">
        <is>
          <t>KG</t>
        </is>
      </c>
      <c r="E45" t="n">
        <v>559</v>
      </c>
      <c r="F45" t="n">
        <v>2946.955</v>
      </c>
      <c r="G45" t="n">
        <v>2400</v>
      </c>
      <c r="H45" t="inlineStr">
        <is>
          <t>0789</t>
        </is>
      </c>
      <c r="I45" t="n">
        <v>3575894</v>
      </c>
      <c r="J45" t="inlineStr">
        <is>
          <t>TUB-O-N-AUT-AW-PE-22.23X1.600X5.2700</t>
        </is>
      </c>
      <c r="K45" t="n">
        <v>22.23</v>
      </c>
      <c r="L45" t="n">
        <v>0</v>
      </c>
      <c r="M45" t="n">
        <v>1.6</v>
      </c>
      <c r="N45" t="n">
        <v>5.27</v>
      </c>
      <c r="O45" t="inlineStr">
        <is>
          <t>Direct</t>
        </is>
      </c>
      <c r="P45" t="inlineStr">
        <is>
          <t>22.23-0-1.6-ERW 1-PE-5.27</t>
        </is>
      </c>
      <c r="Z45" t="inlineStr">
        <is>
          <t>41.28-0-3.15-ERW 1-FC-5.86</t>
        </is>
      </c>
    </row>
    <row r="46">
      <c r="A46" t="n">
        <v>46198</v>
      </c>
      <c r="B46" t="inlineStr">
        <is>
          <t>0000943209</t>
        </is>
      </c>
      <c r="C46" t="inlineStr">
        <is>
          <t>MEGH STEELS PRIVATE LIMITED - TVS A</t>
        </is>
      </c>
      <c r="D46" t="inlineStr">
        <is>
          <t>KG</t>
        </is>
      </c>
      <c r="E46" t="n">
        <v>53</v>
      </c>
      <c r="F46" t="n">
        <v>281.189</v>
      </c>
      <c r="G46" t="n">
        <v>229</v>
      </c>
      <c r="H46" t="inlineStr">
        <is>
          <t>0789</t>
        </is>
      </c>
      <c r="I46" t="n">
        <v>3575894</v>
      </c>
      <c r="J46" t="inlineStr">
        <is>
          <t>TUB-O-N-AUT-AW-PE-22.23X1.600X5.2700</t>
        </is>
      </c>
      <c r="K46" t="n">
        <v>22.23</v>
      </c>
      <c r="L46" t="n">
        <v>0</v>
      </c>
      <c r="M46" t="n">
        <v>1.6</v>
      </c>
      <c r="N46" t="n">
        <v>5.27</v>
      </c>
      <c r="O46" t="inlineStr">
        <is>
          <t>Direct</t>
        </is>
      </c>
      <c r="P46" t="inlineStr">
        <is>
          <t>22.23-0-1.6-ERW 1-PE-5.27</t>
        </is>
      </c>
      <c r="Z46" t="inlineStr">
        <is>
          <t>42.7-0-3.5-ERW 1-FC-6</t>
        </is>
      </c>
    </row>
    <row r="47">
      <c r="A47" t="n">
        <v>46198</v>
      </c>
      <c r="B47" t="inlineStr">
        <is>
          <t>0000943209</t>
        </is>
      </c>
      <c r="C47" t="inlineStr">
        <is>
          <t>MEGH STEELS PRIVATE LIMITED - TVS A</t>
        </is>
      </c>
      <c r="D47" t="inlineStr">
        <is>
          <t>KG</t>
        </is>
      </c>
      <c r="E47" t="n">
        <v>638</v>
      </c>
      <c r="F47" t="n">
        <v>3364.44</v>
      </c>
      <c r="G47" t="n">
        <v>2740</v>
      </c>
      <c r="H47" t="inlineStr">
        <is>
          <t>0789</t>
        </is>
      </c>
      <c r="I47" t="n">
        <v>3575894</v>
      </c>
      <c r="J47" t="inlineStr">
        <is>
          <t>TUB-O-N-AUT-AW-PE-22.23X1.600X5.2700</t>
        </is>
      </c>
      <c r="K47" t="n">
        <v>22.23</v>
      </c>
      <c r="L47" t="n">
        <v>0</v>
      </c>
      <c r="M47" t="n">
        <v>1.6</v>
      </c>
      <c r="N47" t="n">
        <v>5.27</v>
      </c>
      <c r="O47" t="inlineStr">
        <is>
          <t>Direct</t>
        </is>
      </c>
      <c r="P47" t="inlineStr">
        <is>
          <t>22.23-0-1.6-ERW 1-PE-5.27</t>
        </is>
      </c>
      <c r="Z47" t="inlineStr">
        <is>
          <t>42.7-0-4-ERW 1-FC-6</t>
        </is>
      </c>
    </row>
    <row r="48">
      <c r="A48" t="n">
        <v>46203</v>
      </c>
      <c r="B48" t="inlineStr">
        <is>
          <t>0000943209</t>
        </is>
      </c>
      <c r="C48" t="inlineStr">
        <is>
          <t>MEGH STEELS PRIVATE LIMITED - TVS A</t>
        </is>
      </c>
      <c r="D48" t="inlineStr">
        <is>
          <t>KG</t>
        </is>
      </c>
      <c r="E48" t="n">
        <v>260</v>
      </c>
      <c r="F48" t="n">
        <v>1370.334</v>
      </c>
      <c r="G48" t="n">
        <v>1116</v>
      </c>
      <c r="H48" t="inlineStr">
        <is>
          <t>0789</t>
        </is>
      </c>
      <c r="I48" t="n">
        <v>3575894</v>
      </c>
      <c r="J48" t="inlineStr">
        <is>
          <t>TUB-O-N-AUT-AW-PE-22.23X1.600X5.2700</t>
        </is>
      </c>
      <c r="K48" t="n">
        <v>22.23</v>
      </c>
      <c r="L48" t="n">
        <v>0</v>
      </c>
      <c r="M48" t="n">
        <v>1.6</v>
      </c>
      <c r="N48" t="n">
        <v>5.27</v>
      </c>
      <c r="O48" t="inlineStr">
        <is>
          <t>Direct</t>
        </is>
      </c>
      <c r="P48" t="inlineStr">
        <is>
          <t>22.23-0-1.6-ERW 1-PE-5.27</t>
        </is>
      </c>
      <c r="Z48" t="inlineStr">
        <is>
          <t>40-30-1.6-ERW 1-FC-5.9</t>
        </is>
      </c>
    </row>
    <row r="49">
      <c r="A49" t="n">
        <v>46198</v>
      </c>
      <c r="B49" t="inlineStr">
        <is>
          <t>0000943209</t>
        </is>
      </c>
      <c r="C49" t="inlineStr">
        <is>
          <t>MEGH STEELS PRIVATE LIMITED - TVS A</t>
        </is>
      </c>
      <c r="D49" t="inlineStr">
        <is>
          <t>KG</t>
        </is>
      </c>
      <c r="E49" t="n">
        <v>82</v>
      </c>
      <c r="F49" t="n">
        <v>430.992</v>
      </c>
      <c r="G49" t="n">
        <v>351</v>
      </c>
      <c r="H49" t="inlineStr">
        <is>
          <t>0789</t>
        </is>
      </c>
      <c r="I49" t="n">
        <v>3575894</v>
      </c>
      <c r="J49" t="inlineStr">
        <is>
          <t>TUB-O-N-AUT-AW-PE-22.23X1.600X5.2700</t>
        </is>
      </c>
      <c r="K49" t="n">
        <v>22.23</v>
      </c>
      <c r="L49" t="n">
        <v>0</v>
      </c>
      <c r="M49" t="n">
        <v>1.6</v>
      </c>
      <c r="N49" t="n">
        <v>5.27</v>
      </c>
      <c r="O49" t="inlineStr">
        <is>
          <t>Direct</t>
        </is>
      </c>
      <c r="P49" t="inlineStr">
        <is>
          <t>22.23-0-1.6-ERW 1-PE-5.27</t>
        </is>
      </c>
      <c r="Z49" t="inlineStr">
        <is>
          <t>45--1.4-ERW 2-FIN CUT-6.4</t>
        </is>
      </c>
    </row>
    <row r="50">
      <c r="A50" t="n">
        <v>46199</v>
      </c>
      <c r="B50" t="inlineStr">
        <is>
          <t>0000943209</t>
        </is>
      </c>
      <c r="C50" t="inlineStr">
        <is>
          <t>MEGH STEELS PRIVATE LIMITED - TVS A</t>
        </is>
      </c>
      <c r="D50" t="inlineStr">
        <is>
          <t>KG</t>
        </is>
      </c>
      <c r="E50" t="n">
        <v>631</v>
      </c>
      <c r="F50" t="n">
        <v>3327.603</v>
      </c>
      <c r="G50" t="n">
        <v>2710</v>
      </c>
      <c r="H50" t="inlineStr">
        <is>
          <t>0789</t>
        </is>
      </c>
      <c r="I50" t="n">
        <v>3575894</v>
      </c>
      <c r="J50" t="inlineStr">
        <is>
          <t>TUB-O-N-AUT-AW-PE-22.23X1.600X5.2700</t>
        </is>
      </c>
      <c r="K50" t="n">
        <v>22.23</v>
      </c>
      <c r="L50" t="n">
        <v>0</v>
      </c>
      <c r="M50" t="n">
        <v>1.6</v>
      </c>
      <c r="N50" t="n">
        <v>5.27</v>
      </c>
      <c r="O50" t="inlineStr">
        <is>
          <t>Direct</t>
        </is>
      </c>
      <c r="P50" t="inlineStr">
        <is>
          <t>22.23-0-1.6-ERW 1-PE-5.27</t>
        </is>
      </c>
      <c r="Z50" t="inlineStr">
        <is>
          <t>45--1.4-ERW 1-FIN CUT-5.7</t>
        </is>
      </c>
    </row>
    <row r="51">
      <c r="A51" t="n">
        <v>46197</v>
      </c>
      <c r="B51" t="inlineStr">
        <is>
          <t>0000943209</t>
        </is>
      </c>
      <c r="C51" t="inlineStr">
        <is>
          <t>MEGH STEELS PRIVATE LIMITED - TVS A</t>
        </is>
      </c>
      <c r="D51" t="inlineStr">
        <is>
          <t>KG</t>
        </is>
      </c>
      <c r="E51" t="n">
        <v>89</v>
      </c>
      <c r="F51" t="n">
        <v>467.829</v>
      </c>
      <c r="G51" t="n">
        <v>381</v>
      </c>
      <c r="H51" t="inlineStr">
        <is>
          <t>0789</t>
        </is>
      </c>
      <c r="I51" t="n">
        <v>3575894</v>
      </c>
      <c r="J51" t="inlineStr">
        <is>
          <t>TUB-O-N-AUT-AW-PE-22.23X1.600X5.2700</t>
        </is>
      </c>
      <c r="K51" t="n">
        <v>22.23</v>
      </c>
      <c r="L51" t="n">
        <v>0</v>
      </c>
      <c r="M51" t="n">
        <v>1.6</v>
      </c>
      <c r="N51" t="n">
        <v>5.27</v>
      </c>
      <c r="O51" t="inlineStr">
        <is>
          <t>Direct</t>
        </is>
      </c>
      <c r="P51" t="inlineStr">
        <is>
          <t>22.23-0-1.6-ERW 1-PE-5.27</t>
        </is>
      </c>
      <c r="Z51" t="inlineStr">
        <is>
          <t>No Key</t>
        </is>
      </c>
    </row>
    <row r="52">
      <c r="A52" t="n">
        <v>46197</v>
      </c>
      <c r="B52" t="inlineStr">
        <is>
          <t>0000943209</t>
        </is>
      </c>
      <c r="C52" t="inlineStr">
        <is>
          <t>MEGH STEELS PRIVATE LIMITED - TVS A</t>
        </is>
      </c>
      <c r="D52" t="inlineStr">
        <is>
          <t>KG</t>
        </is>
      </c>
      <c r="E52" t="n">
        <v>238</v>
      </c>
      <c r="F52" t="n">
        <v>1256.139</v>
      </c>
      <c r="G52" t="n">
        <v>1023</v>
      </c>
      <c r="H52" t="inlineStr">
        <is>
          <t>0789</t>
        </is>
      </c>
      <c r="I52" t="n">
        <v>3575894</v>
      </c>
      <c r="J52" t="inlineStr">
        <is>
          <t>TUB-O-N-AUT-AW-PE-22.23X1.600X5.2700</t>
        </is>
      </c>
      <c r="K52" t="n">
        <v>22.23</v>
      </c>
      <c r="L52" t="n">
        <v>0</v>
      </c>
      <c r="M52" t="n">
        <v>1.6</v>
      </c>
      <c r="N52" t="n">
        <v>5.27</v>
      </c>
      <c r="O52" t="inlineStr">
        <is>
          <t>Direct</t>
        </is>
      </c>
      <c r="P52" t="inlineStr">
        <is>
          <t>22.23-0-1.6-ERW 1-PE-5.27</t>
        </is>
      </c>
      <c r="Z52" t="inlineStr">
        <is>
          <t>No Key</t>
        </is>
      </c>
    </row>
    <row r="53">
      <c r="A53" t="n">
        <v>46203</v>
      </c>
      <c r="B53" t="inlineStr">
        <is>
          <t>0000943209</t>
        </is>
      </c>
      <c r="C53" t="inlineStr">
        <is>
          <t>MEGH STEELS PRIVATE LIMITED - TVS A</t>
        </is>
      </c>
      <c r="D53" t="inlineStr">
        <is>
          <t>KG</t>
        </is>
      </c>
      <c r="E53" t="n">
        <v>557</v>
      </c>
      <c r="F53" t="n">
        <v>2933.448</v>
      </c>
      <c r="G53" t="n">
        <v>2389</v>
      </c>
      <c r="H53" t="inlineStr">
        <is>
          <t>0789</t>
        </is>
      </c>
      <c r="I53" t="n">
        <v>3575894</v>
      </c>
      <c r="J53" t="inlineStr">
        <is>
          <t>TUB-O-N-AUT-AW-PE-22.23X1.600X5.2700</t>
        </is>
      </c>
      <c r="K53" t="n">
        <v>22.23</v>
      </c>
      <c r="L53" t="n">
        <v>0</v>
      </c>
      <c r="M53" t="n">
        <v>1.6</v>
      </c>
      <c r="N53" t="n">
        <v>5.27</v>
      </c>
      <c r="O53" t="inlineStr">
        <is>
          <t>Direct</t>
        </is>
      </c>
      <c r="P53" t="inlineStr">
        <is>
          <t>22.23-0-1.6-ERW 1-PE-5.27</t>
        </is>
      </c>
      <c r="Z53" t="inlineStr">
        <is>
          <t>48--1.2-ERW 1-FIN CUT-0.7</t>
        </is>
      </c>
    </row>
    <row r="54">
      <c r="A54" t="n">
        <v>46199</v>
      </c>
      <c r="B54" t="inlineStr">
        <is>
          <t>0000943209</t>
        </is>
      </c>
      <c r="C54" t="inlineStr">
        <is>
          <t>MEGH STEELS PRIVATE LIMITED - TVS A</t>
        </is>
      </c>
      <c r="D54" t="inlineStr">
        <is>
          <t>KG</t>
        </is>
      </c>
      <c r="E54" t="n">
        <v>2</v>
      </c>
      <c r="F54" t="n">
        <v>12.279</v>
      </c>
      <c r="G54" t="n">
        <v>10</v>
      </c>
      <c r="H54" t="inlineStr">
        <is>
          <t>0789</t>
        </is>
      </c>
      <c r="I54" t="n">
        <v>3575894</v>
      </c>
      <c r="J54" t="inlineStr">
        <is>
          <t>TUB-O-N-AUT-AW-PE-22.23X1.600X5.2700</t>
        </is>
      </c>
      <c r="K54" t="n">
        <v>22.23</v>
      </c>
      <c r="L54" t="n">
        <v>0</v>
      </c>
      <c r="M54" t="n">
        <v>1.6</v>
      </c>
      <c r="N54" t="n">
        <v>5.27</v>
      </c>
      <c r="O54" t="inlineStr">
        <is>
          <t>Direct</t>
        </is>
      </c>
      <c r="P54" t="inlineStr">
        <is>
          <t>22.23-0-1.6-ERW 1-PE-5.27</t>
        </is>
      </c>
      <c r="Z54" t="inlineStr">
        <is>
          <t>No Key</t>
        </is>
      </c>
    </row>
    <row r="55">
      <c r="A55" t="n">
        <v>46198</v>
      </c>
      <c r="B55" t="inlineStr">
        <is>
          <t>0000943209</t>
        </is>
      </c>
      <c r="C55" t="inlineStr">
        <is>
          <t>MEGH STEELS PRIVATE LIMITED - TVS A</t>
        </is>
      </c>
      <c r="D55" t="inlineStr">
        <is>
          <t>KG</t>
        </is>
      </c>
      <c r="E55" t="n">
        <v>617</v>
      </c>
      <c r="F55" t="n">
        <v>3253.929</v>
      </c>
      <c r="G55" t="n">
        <v>2650</v>
      </c>
      <c r="H55" t="inlineStr">
        <is>
          <t>0789</t>
        </is>
      </c>
      <c r="I55" t="n">
        <v>3575894</v>
      </c>
      <c r="J55" t="inlineStr">
        <is>
          <t>TUB-O-N-AUT-AW-PE-22.23X1.600X5.2700</t>
        </is>
      </c>
      <c r="K55" t="n">
        <v>22.23</v>
      </c>
      <c r="L55" t="n">
        <v>0</v>
      </c>
      <c r="M55" t="n">
        <v>1.6</v>
      </c>
      <c r="N55" t="n">
        <v>5.27</v>
      </c>
      <c r="O55" t="inlineStr">
        <is>
          <t>Direct</t>
        </is>
      </c>
      <c r="P55" t="inlineStr">
        <is>
          <t>22.23-0-1.6-ERW 1-PE-5.27</t>
        </is>
      </c>
      <c r="Z55" t="inlineStr">
        <is>
          <t>No Key</t>
        </is>
      </c>
    </row>
    <row r="56">
      <c r="A56" t="n">
        <v>46197</v>
      </c>
      <c r="B56" t="inlineStr">
        <is>
          <t>0000943209</t>
        </is>
      </c>
      <c r="C56" t="inlineStr">
        <is>
          <t>MEGH STEELS PRIVATE LIMITED - TVS A</t>
        </is>
      </c>
      <c r="D56" t="inlineStr">
        <is>
          <t>KG</t>
        </is>
      </c>
      <c r="E56" t="n">
        <v>473</v>
      </c>
      <c r="F56" t="n">
        <v>2490.177</v>
      </c>
      <c r="G56" t="n">
        <v>2028</v>
      </c>
      <c r="H56" t="inlineStr">
        <is>
          <t>0789</t>
        </is>
      </c>
      <c r="I56" t="n">
        <v>3575894</v>
      </c>
      <c r="J56" t="inlineStr">
        <is>
          <t>TUB-O-N-AUT-AW-PE-22.23X1.600X5.2700</t>
        </is>
      </c>
      <c r="K56" t="n">
        <v>22.23</v>
      </c>
      <c r="L56" t="n">
        <v>0</v>
      </c>
      <c r="M56" t="n">
        <v>1.6</v>
      </c>
      <c r="N56" t="n">
        <v>5.27</v>
      </c>
      <c r="O56" t="inlineStr">
        <is>
          <t>Direct</t>
        </is>
      </c>
      <c r="P56" t="inlineStr">
        <is>
          <t>22.23-0-1.6-ERW 1-PE-5.27</t>
        </is>
      </c>
      <c r="Z56" t="inlineStr">
        <is>
          <t>48.6-0-3.5-ERW 1-FC-6</t>
        </is>
      </c>
    </row>
    <row r="57">
      <c r="A57" t="n">
        <v>46197</v>
      </c>
      <c r="B57" t="inlineStr">
        <is>
          <t>0000943209</t>
        </is>
      </c>
      <c r="C57" t="inlineStr">
        <is>
          <t>MEGH STEELS PRIVATE LIMITED - TVS A</t>
        </is>
      </c>
      <c r="D57" t="inlineStr">
        <is>
          <t>KG</t>
        </is>
      </c>
      <c r="E57" t="n">
        <v>701</v>
      </c>
      <c r="F57" t="n">
        <v>3692.289</v>
      </c>
      <c r="G57" t="n">
        <v>3007</v>
      </c>
      <c r="H57" t="inlineStr">
        <is>
          <t>0789</t>
        </is>
      </c>
      <c r="I57" t="n">
        <v>3575894</v>
      </c>
      <c r="J57" t="inlineStr">
        <is>
          <t>TUB-O-N-AUT-AW-PE-22.23X1.600X5.2700</t>
        </is>
      </c>
      <c r="K57" t="n">
        <v>22.23</v>
      </c>
      <c r="L57" t="n">
        <v>0</v>
      </c>
      <c r="M57" t="n">
        <v>1.6</v>
      </c>
      <c r="N57" t="n">
        <v>5.27</v>
      </c>
      <c r="O57" t="inlineStr">
        <is>
          <t>Direct</t>
        </is>
      </c>
      <c r="P57" t="inlineStr">
        <is>
          <t>22.23-0-1.6-ERW 1-PE-5.27</t>
        </is>
      </c>
      <c r="Z57" t="inlineStr">
        <is>
          <t>59-30-1.6-ERW 1-FIN CUT-6</t>
        </is>
      </c>
    </row>
    <row r="58">
      <c r="A58" t="n">
        <v>46198</v>
      </c>
      <c r="B58" t="inlineStr">
        <is>
          <t>0000943209</t>
        </is>
      </c>
      <c r="C58" t="inlineStr">
        <is>
          <t>MEGH STEELS PRIVATE LIMITED - TVS A</t>
        </is>
      </c>
      <c r="D58" t="inlineStr">
        <is>
          <t>KG</t>
        </is>
      </c>
      <c r="E58" t="n">
        <v>643</v>
      </c>
      <c r="F58" t="n">
        <v>3388.998</v>
      </c>
      <c r="G58" t="n">
        <v>2760</v>
      </c>
      <c r="H58" t="inlineStr">
        <is>
          <t>0789</t>
        </is>
      </c>
      <c r="I58" t="n">
        <v>3575894</v>
      </c>
      <c r="J58" t="inlineStr">
        <is>
          <t>TUB-O-N-AUT-AW-PE-22.23X1.600X5.2700</t>
        </is>
      </c>
      <c r="K58" t="n">
        <v>22.23</v>
      </c>
      <c r="L58" t="n">
        <v>0</v>
      </c>
      <c r="M58" t="n">
        <v>1.6</v>
      </c>
      <c r="N58" t="n">
        <v>5.27</v>
      </c>
      <c r="O58" t="inlineStr">
        <is>
          <t>Direct</t>
        </is>
      </c>
      <c r="P58" t="inlineStr">
        <is>
          <t>22.23-0-1.6-ERW 1-PE-5.27</t>
        </is>
      </c>
      <c r="Z58" t="inlineStr">
        <is>
          <t>59-30-1.6-ERW 1-FIN CUT-0.573</t>
        </is>
      </c>
    </row>
    <row r="59">
      <c r="A59" t="n">
        <v>46197</v>
      </c>
      <c r="B59" t="inlineStr">
        <is>
          <t>0000943209</t>
        </is>
      </c>
      <c r="C59" t="inlineStr">
        <is>
          <t>MEGH STEELS PRIVATE LIMITED - TVS A</t>
        </is>
      </c>
      <c r="D59" t="inlineStr">
        <is>
          <t>KG</t>
        </is>
      </c>
      <c r="E59" t="n">
        <v>260</v>
      </c>
      <c r="F59" t="n">
        <v>1372.79</v>
      </c>
      <c r="G59" t="n">
        <v>1118</v>
      </c>
      <c r="H59" t="inlineStr">
        <is>
          <t>0789</t>
        </is>
      </c>
      <c r="I59" t="n">
        <v>3575894</v>
      </c>
      <c r="J59" t="inlineStr">
        <is>
          <t>TUB-O-N-AUT-AW-PE-22.23X1.600X5.2700</t>
        </is>
      </c>
      <c r="K59" t="n">
        <v>22.23</v>
      </c>
      <c r="L59" t="n">
        <v>0</v>
      </c>
      <c r="M59" t="n">
        <v>1.6</v>
      </c>
      <c r="N59" t="n">
        <v>5.27</v>
      </c>
      <c r="O59" t="inlineStr">
        <is>
          <t>Direct</t>
        </is>
      </c>
      <c r="P59" t="inlineStr">
        <is>
          <t>22.23-0-1.6-ERW 1-PE-5.27</t>
        </is>
      </c>
      <c r="Z59" t="inlineStr">
        <is>
          <t>57.15-0-2.5-ERW 1-FC-5.711</t>
        </is>
      </c>
    </row>
    <row r="60">
      <c r="A60" t="n">
        <v>46197</v>
      </c>
      <c r="B60" t="inlineStr">
        <is>
          <t>0000943209</t>
        </is>
      </c>
      <c r="C60" t="inlineStr">
        <is>
          <t>MEGH STEELS PRIVATE LIMITED - TVS A</t>
        </is>
      </c>
      <c r="D60" t="inlineStr">
        <is>
          <t>KG</t>
        </is>
      </c>
      <c r="E60" t="n">
        <v>31</v>
      </c>
      <c r="F60" t="n">
        <v>160.855</v>
      </c>
      <c r="G60" t="n">
        <v>131</v>
      </c>
      <c r="H60" t="inlineStr">
        <is>
          <t>0789</t>
        </is>
      </c>
      <c r="I60" t="n">
        <v>3575894</v>
      </c>
      <c r="J60" t="inlineStr">
        <is>
          <t>TUB-O-N-AUT-AW-PE-22.23X1.600X5.2700</t>
        </is>
      </c>
      <c r="K60" t="n">
        <v>22.23</v>
      </c>
      <c r="L60" t="n">
        <v>0</v>
      </c>
      <c r="M60" t="n">
        <v>1.6</v>
      </c>
      <c r="N60" t="n">
        <v>5.27</v>
      </c>
      <c r="O60" t="inlineStr">
        <is>
          <t>Direct</t>
        </is>
      </c>
      <c r="P60" t="inlineStr">
        <is>
          <t>22.23-0-1.6-ERW 1-PE-5.27</t>
        </is>
      </c>
      <c r="Z60" t="inlineStr">
        <is>
          <t>57.15-0-2.5-ERW 1-FC-6.1</t>
        </is>
      </c>
    </row>
    <row r="61">
      <c r="A61" t="n">
        <v>46197</v>
      </c>
      <c r="B61" t="inlineStr">
        <is>
          <t>0000943209</t>
        </is>
      </c>
      <c r="C61" t="inlineStr">
        <is>
          <t>MEGH STEELS PRIVATE LIMITED - TVS A</t>
        </is>
      </c>
      <c r="D61" t="inlineStr">
        <is>
          <t>KG</t>
        </is>
      </c>
      <c r="E61" t="n">
        <v>6</v>
      </c>
      <c r="F61" t="n">
        <v>30.697</v>
      </c>
      <c r="G61" t="n">
        <v>25</v>
      </c>
      <c r="H61" t="inlineStr">
        <is>
          <t>0789</t>
        </is>
      </c>
      <c r="I61" t="n">
        <v>3575894</v>
      </c>
      <c r="J61" t="inlineStr">
        <is>
          <t>TUB-O-N-AUT-AW-PE-22.23X1.600X5.2700</t>
        </is>
      </c>
      <c r="K61" t="n">
        <v>22.23</v>
      </c>
      <c r="L61" t="n">
        <v>0</v>
      </c>
      <c r="M61" t="n">
        <v>1.6</v>
      </c>
      <c r="N61" t="n">
        <v>5.27</v>
      </c>
      <c r="O61" t="inlineStr">
        <is>
          <t>Direct</t>
        </is>
      </c>
      <c r="P61" t="inlineStr">
        <is>
          <t>22.23-0-1.6-ERW 1-PE-5.27</t>
        </is>
      </c>
      <c r="Z61" t="inlineStr">
        <is>
          <t>57.15-0-2.5-ERW 1-FC-5.75</t>
        </is>
      </c>
    </row>
    <row r="62">
      <c r="A62" t="n">
        <v>46197</v>
      </c>
      <c r="B62" t="inlineStr">
        <is>
          <t>0000943209</t>
        </is>
      </c>
      <c r="C62" t="inlineStr">
        <is>
          <t>MEGH STEELS PRIVATE LIMITED - TVS A</t>
        </is>
      </c>
      <c r="D62" t="inlineStr">
        <is>
          <t>KG</t>
        </is>
      </c>
      <c r="E62" t="n">
        <v>404</v>
      </c>
      <c r="F62" t="n">
        <v>2126.719</v>
      </c>
      <c r="G62" t="n">
        <v>1732</v>
      </c>
      <c r="H62" t="inlineStr">
        <is>
          <t>0789</t>
        </is>
      </c>
      <c r="I62" t="n">
        <v>3575894</v>
      </c>
      <c r="J62" t="inlineStr">
        <is>
          <t>TUB-O-N-AUT-AW-PE-22.23X1.600X5.2700</t>
        </is>
      </c>
      <c r="K62" t="n">
        <v>22.23</v>
      </c>
      <c r="L62" t="n">
        <v>0</v>
      </c>
      <c r="M62" t="n">
        <v>1.6</v>
      </c>
      <c r="N62" t="n">
        <v>5.27</v>
      </c>
      <c r="O62" t="inlineStr">
        <is>
          <t>Direct</t>
        </is>
      </c>
      <c r="P62" t="inlineStr">
        <is>
          <t>22.23-0-1.6-ERW 1-PE-5.27</t>
        </is>
      </c>
      <c r="Z62" t="inlineStr">
        <is>
          <t>No Key</t>
        </is>
      </c>
    </row>
    <row r="63">
      <c r="A63" t="n">
        <v>46175</v>
      </c>
      <c r="B63" t="inlineStr">
        <is>
          <t>0000943209</t>
        </is>
      </c>
      <c r="C63" t="inlineStr">
        <is>
          <t>MEGH STEELS PRIVATE LIMITED - TVS A</t>
        </is>
      </c>
      <c r="D63" t="inlineStr">
        <is>
          <t>KG</t>
        </is>
      </c>
      <c r="E63" t="n">
        <v>485</v>
      </c>
      <c r="F63" t="n">
        <v>2555.608</v>
      </c>
      <c r="G63" t="n">
        <v>2400</v>
      </c>
      <c r="H63" t="inlineStr">
        <is>
          <t>0789</t>
        </is>
      </c>
      <c r="I63" t="n">
        <v>4187875</v>
      </c>
      <c r="J63" t="inlineStr">
        <is>
          <t>TUB-O-N-AUT-AW-PE-25.40X1.600X5.2700</t>
        </is>
      </c>
      <c r="K63" t="n">
        <v>25.4</v>
      </c>
      <c r="L63" t="n">
        <v>0</v>
      </c>
      <c r="M63" t="n">
        <v>1.6</v>
      </c>
      <c r="N63" t="n">
        <v>5.27</v>
      </c>
      <c r="O63" t="inlineStr">
        <is>
          <t>Direct</t>
        </is>
      </c>
      <c r="Z63" t="inlineStr">
        <is>
          <t>60.3-0-2-ERW 1-FC-5.9</t>
        </is>
      </c>
    </row>
    <row r="64">
      <c r="A64" t="n">
        <v>46175</v>
      </c>
      <c r="B64" t="inlineStr">
        <is>
          <t>0000943209</t>
        </is>
      </c>
      <c r="C64" t="inlineStr">
        <is>
          <t>MEGH STEELS PRIVATE LIMITED - TVS A</t>
        </is>
      </c>
      <c r="D64" t="inlineStr">
        <is>
          <t>KG</t>
        </is>
      </c>
      <c r="E64" t="n">
        <v>351</v>
      </c>
      <c r="F64" t="n">
        <v>1850.686</v>
      </c>
      <c r="G64" t="n">
        <v>1738</v>
      </c>
      <c r="H64" t="inlineStr">
        <is>
          <t>0789</t>
        </is>
      </c>
      <c r="I64" t="n">
        <v>4187875</v>
      </c>
      <c r="J64" t="inlineStr">
        <is>
          <t>TUB-O-N-AUT-AW-PE-25.40X1.600X5.2700</t>
        </is>
      </c>
      <c r="K64" t="n">
        <v>25.4</v>
      </c>
      <c r="L64" t="n">
        <v>0</v>
      </c>
      <c r="M64" t="n">
        <v>1.6</v>
      </c>
      <c r="N64" t="n">
        <v>5.27</v>
      </c>
      <c r="O64" t="inlineStr">
        <is>
          <t>Direct</t>
        </is>
      </c>
      <c r="Z64" t="inlineStr">
        <is>
          <t>No Key</t>
        </is>
      </c>
    </row>
    <row r="65">
      <c r="A65" t="n">
        <v>46175</v>
      </c>
      <c r="B65" t="inlineStr">
        <is>
          <t>0000943209</t>
        </is>
      </c>
      <c r="C65" t="inlineStr">
        <is>
          <t>MEGH STEELS PRIVATE LIMITED - TVS A</t>
        </is>
      </c>
      <c r="D65" t="inlineStr">
        <is>
          <t>KG</t>
        </is>
      </c>
      <c r="E65" t="n">
        <v>128</v>
      </c>
      <c r="F65" t="n">
        <v>672.977</v>
      </c>
      <c r="G65" t="n">
        <v>632</v>
      </c>
      <c r="H65" t="inlineStr">
        <is>
          <t>0789</t>
        </is>
      </c>
      <c r="I65" t="n">
        <v>4187875</v>
      </c>
      <c r="J65" t="inlineStr">
        <is>
          <t>TUB-O-N-AUT-AW-PE-25.40X1.600X5.2700</t>
        </is>
      </c>
      <c r="K65" t="n">
        <v>25.4</v>
      </c>
      <c r="L65" t="n">
        <v>0</v>
      </c>
      <c r="M65" t="n">
        <v>1.6</v>
      </c>
      <c r="N65" t="n">
        <v>5.27</v>
      </c>
      <c r="O65" t="inlineStr">
        <is>
          <t>Direct</t>
        </is>
      </c>
      <c r="Z65" t="inlineStr">
        <is>
          <t>No Key</t>
        </is>
      </c>
    </row>
    <row r="66">
      <c r="A66" t="n">
        <v>46192</v>
      </c>
      <c r="B66" t="inlineStr">
        <is>
          <t>0000943211</t>
        </is>
      </c>
      <c r="C66" t="inlineStr">
        <is>
          <t>MEGH STEELS PRIVATE LIMITED - RE</t>
        </is>
      </c>
      <c r="D66" t="inlineStr">
        <is>
          <t>KG</t>
        </is>
      </c>
      <c r="E66" t="n">
        <v>214</v>
      </c>
      <c r="F66" t="n">
        <v>1129.556</v>
      </c>
      <c r="G66" t="n">
        <v>1565</v>
      </c>
      <c r="H66" t="inlineStr">
        <is>
          <t>0789</t>
        </is>
      </c>
      <c r="I66" t="n">
        <v>4038150</v>
      </c>
      <c r="J66" t="inlineStr">
        <is>
          <t>TUB-O-N-AUT-AW-FC-48.00X1.200X5.2850</t>
        </is>
      </c>
      <c r="K66" t="n">
        <v>48</v>
      </c>
      <c r="L66" t="n">
        <v>0</v>
      </c>
      <c r="M66" t="n">
        <v>1.2</v>
      </c>
      <c r="N66" t="n">
        <v>5.285</v>
      </c>
      <c r="O66" t="inlineStr">
        <is>
          <t>Direct</t>
        </is>
      </c>
      <c r="Z66" t="inlineStr">
        <is>
          <t>No Key</t>
        </is>
      </c>
    </row>
    <row r="67">
      <c r="A67" t="n">
        <v>46192</v>
      </c>
      <c r="B67" t="inlineStr">
        <is>
          <t>0000943211</t>
        </is>
      </c>
      <c r="C67" t="inlineStr">
        <is>
          <t>MEGH STEELS PRIVATE LIMITED - RE</t>
        </is>
      </c>
      <c r="D67" t="inlineStr">
        <is>
          <t>KG</t>
        </is>
      </c>
      <c r="E67" t="n">
        <v>321</v>
      </c>
      <c r="F67" t="n">
        <v>1694.695</v>
      </c>
      <c r="G67" t="n">
        <v>2348</v>
      </c>
      <c r="H67" t="inlineStr">
        <is>
          <t>0789</t>
        </is>
      </c>
      <c r="I67" t="n">
        <v>4038150</v>
      </c>
      <c r="J67" t="inlineStr">
        <is>
          <t>TUB-O-N-AUT-AW-FC-48.00X1.200X5.2850</t>
        </is>
      </c>
      <c r="K67" t="n">
        <v>48</v>
      </c>
      <c r="L67" t="n">
        <v>0</v>
      </c>
      <c r="M67" t="n">
        <v>1.2</v>
      </c>
      <c r="N67" t="n">
        <v>5.285</v>
      </c>
      <c r="O67" t="inlineStr">
        <is>
          <t>Direct</t>
        </is>
      </c>
      <c r="Z67" t="e">
        <v>#N/A</v>
      </c>
    </row>
    <row r="68">
      <c r="A68" t="n">
        <v>46192</v>
      </c>
      <c r="B68" t="inlineStr">
        <is>
          <t>0000943211</t>
        </is>
      </c>
      <c r="C68" t="inlineStr">
        <is>
          <t>MEGH STEELS PRIVATE LIMITED - RE</t>
        </is>
      </c>
      <c r="D68" t="inlineStr">
        <is>
          <t>KG</t>
        </is>
      </c>
      <c r="E68" t="n">
        <v>208</v>
      </c>
      <c r="F68" t="n">
        <v>1100.686</v>
      </c>
      <c r="G68" t="n">
        <v>1525</v>
      </c>
      <c r="H68" t="inlineStr">
        <is>
          <t>0789</t>
        </is>
      </c>
      <c r="I68" t="n">
        <v>4038150</v>
      </c>
      <c r="J68" t="inlineStr">
        <is>
          <t>TUB-O-N-AUT-AW-FC-48.00X1.200X5.2850</t>
        </is>
      </c>
      <c r="K68" t="n">
        <v>48</v>
      </c>
      <c r="L68" t="n">
        <v>0</v>
      </c>
      <c r="M68" t="n">
        <v>1.2</v>
      </c>
      <c r="N68" t="n">
        <v>5.285</v>
      </c>
      <c r="O68" t="inlineStr">
        <is>
          <t>Direct</t>
        </is>
      </c>
      <c r="Z68" t="inlineStr">
        <is>
          <t>No Key</t>
        </is>
      </c>
    </row>
    <row r="69">
      <c r="A69" t="n">
        <v>46192</v>
      </c>
      <c r="B69" t="inlineStr">
        <is>
          <t>0000943211</t>
        </is>
      </c>
      <c r="C69" t="inlineStr">
        <is>
          <t>MEGH STEELS PRIVATE LIMITED - RE</t>
        </is>
      </c>
      <c r="D69" t="inlineStr">
        <is>
          <t>KG</t>
        </is>
      </c>
      <c r="E69" t="n">
        <v>211</v>
      </c>
      <c r="F69" t="n">
        <v>1115.121</v>
      </c>
      <c r="G69" t="n">
        <v>1545</v>
      </c>
      <c r="H69" t="inlineStr">
        <is>
          <t>0789</t>
        </is>
      </c>
      <c r="I69" t="n">
        <v>4038150</v>
      </c>
      <c r="J69" t="inlineStr">
        <is>
          <t>TUB-O-N-AUT-AW-FC-48.00X1.200X5.2850</t>
        </is>
      </c>
      <c r="K69" t="n">
        <v>48</v>
      </c>
      <c r="L69" t="n">
        <v>0</v>
      </c>
      <c r="M69" t="n">
        <v>1.2</v>
      </c>
      <c r="N69" t="n">
        <v>5.285</v>
      </c>
      <c r="O69" t="inlineStr">
        <is>
          <t>Direct</t>
        </is>
      </c>
      <c r="Z69" t="inlineStr">
        <is>
          <t>No Key</t>
        </is>
      </c>
    </row>
    <row r="70">
      <c r="A70" t="n">
        <v>46192</v>
      </c>
      <c r="B70" t="inlineStr">
        <is>
          <t>0000943211</t>
        </is>
      </c>
      <c r="C70" t="inlineStr">
        <is>
          <t>MEGH STEELS PRIVATE LIMITED - RE</t>
        </is>
      </c>
      <c r="D70" t="inlineStr">
        <is>
          <t>KG</t>
        </is>
      </c>
      <c r="E70" t="n">
        <v>205</v>
      </c>
      <c r="F70" t="n">
        <v>1082.642</v>
      </c>
      <c r="G70" t="n">
        <v>1500</v>
      </c>
      <c r="H70" t="inlineStr">
        <is>
          <t>0789</t>
        </is>
      </c>
      <c r="I70" t="n">
        <v>4038150</v>
      </c>
      <c r="J70" t="inlineStr">
        <is>
          <t>TUB-O-N-AUT-AW-FC-48.00X1.200X5.2850</t>
        </is>
      </c>
      <c r="K70" t="n">
        <v>48</v>
      </c>
      <c r="L70" t="n">
        <v>0</v>
      </c>
      <c r="M70" t="n">
        <v>1.2</v>
      </c>
      <c r="N70" t="n">
        <v>5.285</v>
      </c>
      <c r="O70" t="inlineStr">
        <is>
          <t>Direct</t>
        </is>
      </c>
    </row>
    <row r="71">
      <c r="A71" t="n">
        <v>46192</v>
      </c>
      <c r="B71" t="inlineStr">
        <is>
          <t>0000943211</t>
        </is>
      </c>
      <c r="C71" t="inlineStr">
        <is>
          <t>MEGH STEELS PRIVATE LIMITED - RE</t>
        </is>
      </c>
      <c r="D71" t="inlineStr">
        <is>
          <t>KG</t>
        </is>
      </c>
      <c r="E71" t="n">
        <v>211</v>
      </c>
      <c r="F71" t="n">
        <v>1115.121</v>
      </c>
      <c r="G71" t="n">
        <v>1545</v>
      </c>
      <c r="H71" t="inlineStr">
        <is>
          <t>0789</t>
        </is>
      </c>
      <c r="I71" t="n">
        <v>4038150</v>
      </c>
      <c r="J71" t="inlineStr">
        <is>
          <t>TUB-O-N-AUT-AW-FC-48.00X1.200X5.2850</t>
        </is>
      </c>
      <c r="K71" t="n">
        <v>48</v>
      </c>
      <c r="L71" t="n">
        <v>0</v>
      </c>
      <c r="M71" t="n">
        <v>1.2</v>
      </c>
      <c r="N71" t="n">
        <v>5.285</v>
      </c>
      <c r="O71" t="inlineStr">
        <is>
          <t>Direct</t>
        </is>
      </c>
    </row>
    <row r="72">
      <c r="A72" t="n">
        <v>46192</v>
      </c>
      <c r="B72" t="inlineStr">
        <is>
          <t>0000943211</t>
        </is>
      </c>
      <c r="C72" t="inlineStr">
        <is>
          <t>MEGH STEELS PRIVATE LIMITED - RE</t>
        </is>
      </c>
      <c r="D72" t="inlineStr">
        <is>
          <t>KG</t>
        </is>
      </c>
      <c r="E72" t="n">
        <v>126</v>
      </c>
      <c r="F72" t="n">
        <v>666.1849999999999</v>
      </c>
      <c r="G72" t="n">
        <v>923</v>
      </c>
      <c r="H72" t="inlineStr">
        <is>
          <t>0789</t>
        </is>
      </c>
      <c r="I72" t="n">
        <v>4038150</v>
      </c>
      <c r="J72" t="inlineStr">
        <is>
          <t>TUB-O-N-AUT-AW-FC-48.00X1.200X5.2850</t>
        </is>
      </c>
      <c r="K72" t="n">
        <v>48</v>
      </c>
      <c r="L72" t="n">
        <v>0</v>
      </c>
      <c r="M72" t="n">
        <v>1.2</v>
      </c>
      <c r="N72" t="n">
        <v>5.285</v>
      </c>
      <c r="O72" t="inlineStr">
        <is>
          <t>Direct</t>
        </is>
      </c>
    </row>
    <row r="73">
      <c r="A73" t="n">
        <v>46194</v>
      </c>
      <c r="B73" t="inlineStr">
        <is>
          <t>0000943211</t>
        </is>
      </c>
      <c r="C73" t="inlineStr">
        <is>
          <t>MEGH STEELS PRIVATE LIMITED - RE</t>
        </is>
      </c>
      <c r="D73" t="inlineStr">
        <is>
          <t>KG</t>
        </is>
      </c>
      <c r="E73" t="n">
        <v>324</v>
      </c>
      <c r="F73" t="n">
        <v>1713.461</v>
      </c>
      <c r="G73" t="n">
        <v>2374</v>
      </c>
      <c r="H73" t="inlineStr">
        <is>
          <t>0789</t>
        </is>
      </c>
      <c r="I73" t="n">
        <v>4038150</v>
      </c>
      <c r="J73" t="inlineStr">
        <is>
          <t>TUB-O-N-AUT-AW-FC-48.00X1.200X5.2850</t>
        </is>
      </c>
      <c r="K73" t="n">
        <v>48</v>
      </c>
      <c r="L73" t="n">
        <v>0</v>
      </c>
      <c r="M73" t="n">
        <v>1.2</v>
      </c>
      <c r="N73" t="n">
        <v>5.285</v>
      </c>
      <c r="O73" t="inlineStr">
        <is>
          <t>Direct</t>
        </is>
      </c>
    </row>
    <row r="74">
      <c r="A74" t="n">
        <v>46194</v>
      </c>
      <c r="B74" t="inlineStr">
        <is>
          <t>0000943211</t>
        </is>
      </c>
      <c r="C74" t="inlineStr">
        <is>
          <t>MEGH STEELS PRIVATE LIMITED - RE</t>
        </is>
      </c>
      <c r="D74" t="inlineStr">
        <is>
          <t>KG</t>
        </is>
      </c>
      <c r="E74" t="n">
        <v>85</v>
      </c>
      <c r="F74" t="n">
        <v>451.822</v>
      </c>
      <c r="G74" t="n">
        <v>626</v>
      </c>
      <c r="H74" t="inlineStr">
        <is>
          <t>0789</t>
        </is>
      </c>
      <c r="I74" t="n">
        <v>4038150</v>
      </c>
      <c r="J74" t="inlineStr">
        <is>
          <t>TUB-O-N-AUT-AW-FC-48.00X1.200X5.2850</t>
        </is>
      </c>
      <c r="K74" t="n">
        <v>48</v>
      </c>
      <c r="L74" t="n">
        <v>0</v>
      </c>
      <c r="M74" t="n">
        <v>1.2</v>
      </c>
      <c r="N74" t="n">
        <v>5.285</v>
      </c>
      <c r="O74" t="inlineStr">
        <is>
          <t>Direct</t>
        </is>
      </c>
    </row>
    <row r="75">
      <c r="A75" t="n">
        <v>46192</v>
      </c>
      <c r="B75" t="inlineStr">
        <is>
          <t>0000943211</t>
        </is>
      </c>
      <c r="C75" t="inlineStr">
        <is>
          <t>MEGH STEELS PRIVATE LIMITED - RE</t>
        </is>
      </c>
      <c r="D75" t="inlineStr">
        <is>
          <t>KG</t>
        </is>
      </c>
      <c r="E75" t="n">
        <v>212</v>
      </c>
      <c r="F75" t="n">
        <v>1118.73</v>
      </c>
      <c r="G75" t="n">
        <v>1550</v>
      </c>
      <c r="H75" t="inlineStr">
        <is>
          <t>0789</t>
        </is>
      </c>
      <c r="I75" t="n">
        <v>4038150</v>
      </c>
      <c r="J75" t="inlineStr">
        <is>
          <t>TUB-O-N-AUT-AW-FC-48.00X1.200X5.2850</t>
        </is>
      </c>
      <c r="K75" t="n">
        <v>48</v>
      </c>
      <c r="L75" t="n">
        <v>0</v>
      </c>
      <c r="M75" t="n">
        <v>1.2</v>
      </c>
      <c r="N75" t="n">
        <v>5.285</v>
      </c>
      <c r="O75" t="inlineStr">
        <is>
          <t>Direct</t>
        </is>
      </c>
    </row>
    <row r="76">
      <c r="A76" t="n">
        <v>46192</v>
      </c>
      <c r="B76" t="inlineStr">
        <is>
          <t>0000943211</t>
        </is>
      </c>
      <c r="C76" t="inlineStr">
        <is>
          <t>MEGH STEELS PRIVATE LIMITED - RE</t>
        </is>
      </c>
      <c r="D76" t="inlineStr">
        <is>
          <t>KG</t>
        </is>
      </c>
      <c r="E76" t="n">
        <v>212</v>
      </c>
      <c r="F76" t="n">
        <v>1118.008</v>
      </c>
      <c r="G76" t="n">
        <v>1549</v>
      </c>
      <c r="H76" t="inlineStr">
        <is>
          <t>0789</t>
        </is>
      </c>
      <c r="I76" t="n">
        <v>4038150</v>
      </c>
      <c r="J76" t="inlineStr">
        <is>
          <t>TUB-O-N-AUT-AW-FC-48.00X1.200X5.2850</t>
        </is>
      </c>
      <c r="K76" t="n">
        <v>48</v>
      </c>
      <c r="L76" t="n">
        <v>0</v>
      </c>
      <c r="M76" t="n">
        <v>1.2</v>
      </c>
      <c r="N76" t="n">
        <v>5.285</v>
      </c>
      <c r="O76" t="inlineStr">
        <is>
          <t>Direct</t>
        </is>
      </c>
    </row>
    <row r="77">
      <c r="A77" t="n">
        <v>46199</v>
      </c>
      <c r="B77" t="inlineStr">
        <is>
          <t>0000943209</t>
        </is>
      </c>
      <c r="C77" t="inlineStr">
        <is>
          <t>MEGH STEELS PRIVATE LIMITED - TVS A</t>
        </is>
      </c>
      <c r="D77" t="inlineStr">
        <is>
          <t>KG</t>
        </is>
      </c>
      <c r="E77" t="n">
        <v>409</v>
      </c>
      <c r="F77" t="n">
        <v>2168.675</v>
      </c>
      <c r="G77" t="n">
        <v>1350</v>
      </c>
      <c r="H77" t="inlineStr">
        <is>
          <t>0789</t>
        </is>
      </c>
      <c r="I77" t="n">
        <v>3929640</v>
      </c>
      <c r="J77" t="inlineStr">
        <is>
          <t>TUB-O-N-AUT-AW-PE-22.23X1.200X5.3000</t>
        </is>
      </c>
      <c r="K77" t="n">
        <v>22.23</v>
      </c>
      <c r="L77" t="n">
        <v>0</v>
      </c>
      <c r="M77" t="n">
        <v>1.2</v>
      </c>
      <c r="N77" t="n">
        <v>5.3</v>
      </c>
      <c r="O77" t="inlineStr">
        <is>
          <t>Direct</t>
        </is>
      </c>
    </row>
    <row r="78">
      <c r="A78" t="n">
        <v>46197</v>
      </c>
      <c r="B78" t="inlineStr">
        <is>
          <t>0000943209</t>
        </is>
      </c>
      <c r="C78" t="inlineStr">
        <is>
          <t>MEGH STEELS PRIVATE LIMITED - TVS A</t>
        </is>
      </c>
      <c r="D78" t="inlineStr">
        <is>
          <t>KG</t>
        </is>
      </c>
      <c r="E78" t="n">
        <v>621</v>
      </c>
      <c r="F78" t="n">
        <v>3293.173</v>
      </c>
      <c r="G78" t="n">
        <v>2050</v>
      </c>
      <c r="H78" t="inlineStr">
        <is>
          <t>0789</t>
        </is>
      </c>
      <c r="I78" t="n">
        <v>3929640</v>
      </c>
      <c r="J78" t="inlineStr">
        <is>
          <t>TUB-O-N-AUT-AW-PE-22.23X1.200X5.3000</t>
        </is>
      </c>
      <c r="K78" t="n">
        <v>22.23</v>
      </c>
      <c r="L78" t="n">
        <v>0</v>
      </c>
      <c r="M78" t="n">
        <v>1.2</v>
      </c>
      <c r="N78" t="n">
        <v>5.3</v>
      </c>
      <c r="O78" t="inlineStr">
        <is>
          <t>Direct</t>
        </is>
      </c>
    </row>
    <row r="79">
      <c r="A79" t="n">
        <v>46197</v>
      </c>
      <c r="B79" t="inlineStr">
        <is>
          <t>0000943209</t>
        </is>
      </c>
      <c r="C79" t="inlineStr">
        <is>
          <t>MEGH STEELS PRIVATE LIMITED - TVS A</t>
        </is>
      </c>
      <c r="D79" t="inlineStr">
        <is>
          <t>KG</t>
        </is>
      </c>
      <c r="E79" t="n">
        <v>621</v>
      </c>
      <c r="F79" t="n">
        <v>3293.173</v>
      </c>
      <c r="G79" t="n">
        <v>2050</v>
      </c>
      <c r="H79" t="inlineStr">
        <is>
          <t>0789</t>
        </is>
      </c>
      <c r="I79" t="n">
        <v>3929640</v>
      </c>
      <c r="J79" t="inlineStr">
        <is>
          <t>TUB-O-N-AUT-AW-PE-22.23X1.200X5.3000</t>
        </is>
      </c>
      <c r="K79" t="n">
        <v>22.23</v>
      </c>
      <c r="L79" t="n">
        <v>0</v>
      </c>
      <c r="M79" t="n">
        <v>1.2</v>
      </c>
      <c r="N79" t="n">
        <v>5.3</v>
      </c>
      <c r="O79" t="inlineStr">
        <is>
          <t>Direct</t>
        </is>
      </c>
    </row>
    <row r="80">
      <c r="A80" t="n">
        <v>46197</v>
      </c>
      <c r="B80" t="inlineStr">
        <is>
          <t>0000943209</t>
        </is>
      </c>
      <c r="C80" t="inlineStr">
        <is>
          <t>MEGH STEELS PRIVATE LIMITED - TVS A</t>
        </is>
      </c>
      <c r="D80" t="inlineStr">
        <is>
          <t>KG</t>
        </is>
      </c>
      <c r="E80" t="n">
        <v>500</v>
      </c>
      <c r="F80" t="n">
        <v>2650.602</v>
      </c>
      <c r="G80" t="n">
        <v>1650</v>
      </c>
      <c r="H80" t="inlineStr">
        <is>
          <t>0789</t>
        </is>
      </c>
      <c r="I80" t="n">
        <v>3929640</v>
      </c>
      <c r="J80" t="inlineStr">
        <is>
          <t>TUB-O-N-AUT-AW-PE-22.23X1.200X5.3000</t>
        </is>
      </c>
      <c r="K80" t="n">
        <v>22.23</v>
      </c>
      <c r="L80" t="n">
        <v>0</v>
      </c>
      <c r="M80" t="n">
        <v>1.2</v>
      </c>
      <c r="N80" t="n">
        <v>5.3</v>
      </c>
      <c r="O80" t="inlineStr">
        <is>
          <t>Direct</t>
        </is>
      </c>
    </row>
    <row r="81">
      <c r="A81" t="n">
        <v>46197</v>
      </c>
      <c r="B81" t="inlineStr">
        <is>
          <t>0000943209</t>
        </is>
      </c>
      <c r="C81" t="inlineStr">
        <is>
          <t>MEGH STEELS PRIVATE LIMITED - TVS A</t>
        </is>
      </c>
      <c r="D81" t="inlineStr">
        <is>
          <t>KG</t>
        </is>
      </c>
      <c r="E81" t="n">
        <v>181</v>
      </c>
      <c r="F81" t="n">
        <v>959.0359999999999</v>
      </c>
      <c r="G81" t="n">
        <v>597</v>
      </c>
      <c r="H81" t="inlineStr">
        <is>
          <t>0789</t>
        </is>
      </c>
      <c r="I81" t="n">
        <v>3929640</v>
      </c>
      <c r="J81" t="inlineStr">
        <is>
          <t>TUB-O-N-AUT-AW-PE-22.23X1.200X5.3000</t>
        </is>
      </c>
      <c r="K81" t="n">
        <v>22.23</v>
      </c>
      <c r="L81" t="n">
        <v>0</v>
      </c>
      <c r="M81" t="n">
        <v>1.2</v>
      </c>
      <c r="N81" t="n">
        <v>5.3</v>
      </c>
      <c r="O81" t="inlineStr">
        <is>
          <t>Direct</t>
        </is>
      </c>
    </row>
    <row r="82">
      <c r="A82" t="n">
        <v>46189</v>
      </c>
      <c r="B82" t="inlineStr">
        <is>
          <t>0000943209</t>
        </is>
      </c>
      <c r="C82" t="inlineStr">
        <is>
          <t>MEGH STEELS PRIVATE LIMITED - TVS A</t>
        </is>
      </c>
      <c r="D82" t="inlineStr">
        <is>
          <t>KG</t>
        </is>
      </c>
      <c r="E82" t="n">
        <v>105</v>
      </c>
      <c r="F82" t="n">
        <v>567.021</v>
      </c>
      <c r="G82" t="n">
        <v>566</v>
      </c>
      <c r="H82" t="inlineStr">
        <is>
          <t>0789</t>
        </is>
      </c>
      <c r="I82" t="n">
        <v>2431251</v>
      </c>
      <c r="J82" t="inlineStr">
        <is>
          <t>TUB-O-N-AUT-AW-PE-22.23X2.000X5.4000</t>
        </is>
      </c>
      <c r="K82" t="n">
        <v>22.23</v>
      </c>
      <c r="L82" t="n">
        <v>0</v>
      </c>
      <c r="M82" t="n">
        <v>2</v>
      </c>
      <c r="N82" t="n">
        <v>5.4</v>
      </c>
      <c r="O82" t="inlineStr">
        <is>
          <t>Direct</t>
        </is>
      </c>
      <c r="P82" t="inlineStr">
        <is>
          <t>22.23-0-2-ERW 1-PE-5.39</t>
        </is>
      </c>
    </row>
    <row r="83">
      <c r="A83" t="n">
        <v>46189</v>
      </c>
      <c r="B83" t="inlineStr">
        <is>
          <t>0000943209</t>
        </is>
      </c>
      <c r="C83" t="inlineStr">
        <is>
          <t>MEGH STEELS PRIVATE LIMITED - TVS A</t>
        </is>
      </c>
      <c r="D83" t="inlineStr">
        <is>
          <t>KG</t>
        </is>
      </c>
      <c r="E83" t="n">
        <v>132</v>
      </c>
      <c r="F83" t="n">
        <v>712.282</v>
      </c>
      <c r="G83" t="n">
        <v>711</v>
      </c>
      <c r="H83" t="inlineStr">
        <is>
          <t>0789</t>
        </is>
      </c>
      <c r="I83" t="n">
        <v>2431251</v>
      </c>
      <c r="J83" t="inlineStr">
        <is>
          <t>TUB-O-N-AUT-AW-PE-22.23X2.000X5.4000</t>
        </is>
      </c>
      <c r="K83" t="n">
        <v>22.23</v>
      </c>
      <c r="L83" t="n">
        <v>0</v>
      </c>
      <c r="M83" t="n">
        <v>2</v>
      </c>
      <c r="N83" t="n">
        <v>5.4</v>
      </c>
      <c r="O83" t="inlineStr">
        <is>
          <t>Direct</t>
        </is>
      </c>
      <c r="P83" t="inlineStr">
        <is>
          <t>22.23-0-2-ERW 1-PE-5.39</t>
        </is>
      </c>
    </row>
    <row r="84">
      <c r="A84" t="n">
        <v>46189</v>
      </c>
      <c r="B84" t="inlineStr">
        <is>
          <t>0000943209</t>
        </is>
      </c>
      <c r="C84" t="inlineStr">
        <is>
          <t>MEGH STEELS PRIVATE LIMITED - TVS A</t>
        </is>
      </c>
      <c r="D84" t="inlineStr">
        <is>
          <t>KG</t>
        </is>
      </c>
      <c r="E84" t="n">
        <v>317</v>
      </c>
      <c r="F84" t="n">
        <v>1712.082</v>
      </c>
      <c r="G84" t="n">
        <v>1709</v>
      </c>
      <c r="H84" t="inlineStr">
        <is>
          <t>0789</t>
        </is>
      </c>
      <c r="I84" t="n">
        <v>2431251</v>
      </c>
      <c r="J84" t="inlineStr">
        <is>
          <t>TUB-O-N-AUT-AW-PE-22.23X2.000X5.4000</t>
        </is>
      </c>
      <c r="K84" t="n">
        <v>22.23</v>
      </c>
      <c r="L84" t="n">
        <v>0</v>
      </c>
      <c r="M84" t="n">
        <v>2</v>
      </c>
      <c r="N84" t="n">
        <v>5.4</v>
      </c>
      <c r="O84" t="inlineStr">
        <is>
          <t>Direct</t>
        </is>
      </c>
      <c r="P84" t="inlineStr">
        <is>
          <t>22.23-0-2-ERW 1-PE-5.39</t>
        </is>
      </c>
    </row>
    <row r="85">
      <c r="A85" t="n">
        <v>46189</v>
      </c>
      <c r="B85" t="inlineStr">
        <is>
          <t>0000943209</t>
        </is>
      </c>
      <c r="C85" t="inlineStr">
        <is>
          <t>MEGH STEELS PRIVATE LIMITED - TVS A</t>
        </is>
      </c>
      <c r="D85" t="inlineStr">
        <is>
          <t>KG</t>
        </is>
      </c>
      <c r="E85" t="n">
        <v>281</v>
      </c>
      <c r="F85" t="n">
        <v>1516.73</v>
      </c>
      <c r="G85" t="n">
        <v>1514</v>
      </c>
      <c r="H85" t="inlineStr">
        <is>
          <t>0789</t>
        </is>
      </c>
      <c r="I85" t="n">
        <v>2431251</v>
      </c>
      <c r="J85" t="inlineStr">
        <is>
          <t>TUB-O-N-AUT-AW-PE-22.23X2.000X5.4000</t>
        </is>
      </c>
      <c r="K85" t="n">
        <v>22.23</v>
      </c>
      <c r="L85" t="n">
        <v>0</v>
      </c>
      <c r="M85" t="n">
        <v>2</v>
      </c>
      <c r="N85" t="n">
        <v>5.4</v>
      </c>
      <c r="O85" t="inlineStr">
        <is>
          <t>Direct</t>
        </is>
      </c>
      <c r="P85" t="inlineStr">
        <is>
          <t>22.23-0-2-ERW 1-PE-5.39</t>
        </is>
      </c>
    </row>
    <row r="86">
      <c r="A86" t="n">
        <v>46199</v>
      </c>
      <c r="B86" t="inlineStr">
        <is>
          <t>0000943209</t>
        </is>
      </c>
      <c r="C86" t="inlineStr">
        <is>
          <t>MEGH STEELS PRIVATE LIMITED - TVS A</t>
        </is>
      </c>
      <c r="D86" t="inlineStr">
        <is>
          <t>KG</t>
        </is>
      </c>
      <c r="E86" t="n">
        <v>103</v>
      </c>
      <c r="F86" t="n">
        <v>564.3390000000001</v>
      </c>
      <c r="G86" t="n">
        <v>2106</v>
      </c>
      <c r="H86" t="inlineStr">
        <is>
          <t>0788</t>
        </is>
      </c>
      <c r="I86" t="n">
        <v>3500714</v>
      </c>
      <c r="J86" t="inlineStr">
        <is>
          <t>TUB-O-N-AUT-BH-FC-42.70X4.000X5.50-ERW 1</t>
        </is>
      </c>
      <c r="K86" t="n">
        <v>42.7</v>
      </c>
      <c r="L86" t="n">
        <v>0</v>
      </c>
      <c r="M86" t="n">
        <v>4</v>
      </c>
      <c r="N86" t="n">
        <v>5.5</v>
      </c>
      <c r="O86" t="inlineStr">
        <is>
          <t>Direct</t>
        </is>
      </c>
      <c r="P86" t="inlineStr">
        <is>
          <t>42.7-0-4-ERW 1-FC-6</t>
        </is>
      </c>
    </row>
    <row r="87">
      <c r="A87" t="n">
        <v>46199</v>
      </c>
      <c r="B87" t="inlineStr">
        <is>
          <t>0000943209</t>
        </is>
      </c>
      <c r="C87" t="inlineStr">
        <is>
          <t>MEGH STEELS PRIVATE LIMITED - TVS A</t>
        </is>
      </c>
      <c r="D87" t="inlineStr">
        <is>
          <t>KG</t>
        </is>
      </c>
      <c r="E87" t="n">
        <v>98</v>
      </c>
      <c r="F87" t="n">
        <v>541.562</v>
      </c>
      <c r="G87" t="n">
        <v>2021</v>
      </c>
      <c r="H87" t="inlineStr">
        <is>
          <t>0788</t>
        </is>
      </c>
      <c r="I87" t="n">
        <v>3500714</v>
      </c>
      <c r="J87" t="inlineStr">
        <is>
          <t>TUB-O-N-AUT-BH-FC-42.70X4.000X5.50-ERW 1</t>
        </is>
      </c>
      <c r="K87" t="n">
        <v>42.7</v>
      </c>
      <c r="L87" t="n">
        <v>0</v>
      </c>
      <c r="M87" t="n">
        <v>4</v>
      </c>
      <c r="N87" t="n">
        <v>5.5</v>
      </c>
      <c r="O87" t="inlineStr">
        <is>
          <t>Direct</t>
        </is>
      </c>
      <c r="P87" t="inlineStr">
        <is>
          <t>42.7-0-4-ERW 1-FC-6</t>
        </is>
      </c>
    </row>
    <row r="88">
      <c r="A88" t="n">
        <v>46199</v>
      </c>
      <c r="B88" t="inlineStr">
        <is>
          <t>0000943209</t>
        </is>
      </c>
      <c r="C88" t="inlineStr">
        <is>
          <t>MEGH STEELS PRIVATE LIMITED - TVS A</t>
        </is>
      </c>
      <c r="D88" t="inlineStr">
        <is>
          <t>KG</t>
        </is>
      </c>
      <c r="E88" t="n">
        <v>105</v>
      </c>
      <c r="F88" t="n">
        <v>575.326</v>
      </c>
      <c r="G88" t="n">
        <v>2147</v>
      </c>
      <c r="H88" t="inlineStr">
        <is>
          <t>0788</t>
        </is>
      </c>
      <c r="I88" t="n">
        <v>3500714</v>
      </c>
      <c r="J88" t="inlineStr">
        <is>
          <t>TUB-O-N-AUT-BH-FC-42.70X4.000X5.50-ERW 1</t>
        </is>
      </c>
      <c r="K88" t="n">
        <v>42.7</v>
      </c>
      <c r="L88" t="n">
        <v>0</v>
      </c>
      <c r="M88" t="n">
        <v>4</v>
      </c>
      <c r="N88" t="n">
        <v>5.5</v>
      </c>
      <c r="O88" t="inlineStr">
        <is>
          <t>Direct</t>
        </is>
      </c>
      <c r="P88" t="inlineStr">
        <is>
          <t>42.7-0-4-ERW 1-FC-6</t>
        </is>
      </c>
    </row>
    <row r="89">
      <c r="A89" t="n">
        <v>46199</v>
      </c>
      <c r="B89" t="inlineStr">
        <is>
          <t>0000943209</t>
        </is>
      </c>
      <c r="C89" t="inlineStr">
        <is>
          <t>MEGH STEELS PRIVATE LIMITED - TVS A</t>
        </is>
      </c>
      <c r="D89" t="inlineStr">
        <is>
          <t>KG</t>
        </is>
      </c>
      <c r="E89" t="n">
        <v>101</v>
      </c>
      <c r="F89" t="n">
        <v>552.816</v>
      </c>
      <c r="G89" t="n">
        <v>2063</v>
      </c>
      <c r="H89" t="inlineStr">
        <is>
          <t>0788</t>
        </is>
      </c>
      <c r="I89" t="n">
        <v>3500714</v>
      </c>
      <c r="J89" t="inlineStr">
        <is>
          <t>TUB-O-N-AUT-BH-FC-42.70X4.000X5.50-ERW 1</t>
        </is>
      </c>
      <c r="K89" t="n">
        <v>42.7</v>
      </c>
      <c r="L89" t="n">
        <v>0</v>
      </c>
      <c r="M89" t="n">
        <v>4</v>
      </c>
      <c r="N89" t="n">
        <v>5.5</v>
      </c>
      <c r="O89" t="inlineStr">
        <is>
          <t>Direct</t>
        </is>
      </c>
      <c r="P89" t="inlineStr">
        <is>
          <t>42.7-0-4-ERW 1-FC-6</t>
        </is>
      </c>
    </row>
    <row r="90">
      <c r="A90" t="n">
        <v>46199</v>
      </c>
      <c r="B90" t="inlineStr">
        <is>
          <t>0000943209</t>
        </is>
      </c>
      <c r="C90" t="inlineStr">
        <is>
          <t>MEGH STEELS PRIVATE LIMITED - TVS A</t>
        </is>
      </c>
      <c r="D90" t="inlineStr">
        <is>
          <t>KG</t>
        </is>
      </c>
      <c r="E90" t="n">
        <v>103</v>
      </c>
      <c r="F90" t="n">
        <v>564.071</v>
      </c>
      <c r="G90" t="n">
        <v>2105</v>
      </c>
      <c r="H90" t="inlineStr">
        <is>
          <t>0788</t>
        </is>
      </c>
      <c r="I90" t="n">
        <v>3500714</v>
      </c>
      <c r="J90" t="inlineStr">
        <is>
          <t>TUB-O-N-AUT-BH-FC-42.70X4.000X5.50-ERW 1</t>
        </is>
      </c>
      <c r="K90" t="n">
        <v>42.7</v>
      </c>
      <c r="L90" t="n">
        <v>0</v>
      </c>
      <c r="M90" t="n">
        <v>4</v>
      </c>
      <c r="N90" t="n">
        <v>5.5</v>
      </c>
      <c r="O90" t="inlineStr">
        <is>
          <t>Direct</t>
        </is>
      </c>
      <c r="P90" t="inlineStr">
        <is>
          <t>42.7-0-4-ERW 1-FC-6</t>
        </is>
      </c>
    </row>
    <row r="91">
      <c r="A91" t="n">
        <v>46199</v>
      </c>
      <c r="B91" t="inlineStr">
        <is>
          <t>0000943209</t>
        </is>
      </c>
      <c r="C91" t="inlineStr">
        <is>
          <t>MEGH STEELS PRIVATE LIMITED - TVS A</t>
        </is>
      </c>
      <c r="D91" t="inlineStr">
        <is>
          <t>KG</t>
        </is>
      </c>
      <c r="E91" t="n">
        <v>108</v>
      </c>
      <c r="F91" t="n">
        <v>592.208</v>
      </c>
      <c r="G91" t="n">
        <v>2210</v>
      </c>
      <c r="H91" t="inlineStr">
        <is>
          <t>0788</t>
        </is>
      </c>
      <c r="I91" t="n">
        <v>3500714</v>
      </c>
      <c r="J91" t="inlineStr">
        <is>
          <t>TUB-O-N-AUT-BH-FC-42.70X4.000X5.50-ERW 1</t>
        </is>
      </c>
      <c r="K91" t="n">
        <v>42.7</v>
      </c>
      <c r="L91" t="n">
        <v>0</v>
      </c>
      <c r="M91" t="n">
        <v>4</v>
      </c>
      <c r="N91" t="n">
        <v>5.5</v>
      </c>
      <c r="O91" t="inlineStr">
        <is>
          <t>Direct</t>
        </is>
      </c>
      <c r="P91" t="inlineStr">
        <is>
          <t>42.7-0-4-ERW 1-FC-6</t>
        </is>
      </c>
    </row>
    <row r="92">
      <c r="A92" t="n">
        <v>46200</v>
      </c>
      <c r="B92" t="inlineStr">
        <is>
          <t>0000943209</t>
        </is>
      </c>
      <c r="C92" t="inlineStr">
        <is>
          <t>MEGH STEELS PRIVATE LIMITED - TVS A</t>
        </is>
      </c>
      <c r="D92" t="inlineStr">
        <is>
          <t>KG</t>
        </is>
      </c>
      <c r="E92" t="n">
        <v>102</v>
      </c>
      <c r="F92" t="n">
        <v>558.444</v>
      </c>
      <c r="G92" t="n">
        <v>2084</v>
      </c>
      <c r="H92" t="inlineStr">
        <is>
          <t>0788</t>
        </is>
      </c>
      <c r="I92" t="n">
        <v>3500714</v>
      </c>
      <c r="J92" t="inlineStr">
        <is>
          <t>TUB-O-N-AUT-BH-FC-42.70X4.000X5.50-ERW 1</t>
        </is>
      </c>
      <c r="K92" t="n">
        <v>42.7</v>
      </c>
      <c r="L92" t="n">
        <v>0</v>
      </c>
      <c r="M92" t="n">
        <v>4</v>
      </c>
      <c r="N92" t="n">
        <v>5.5</v>
      </c>
      <c r="O92" t="inlineStr">
        <is>
          <t>Direct</t>
        </is>
      </c>
      <c r="P92" t="inlineStr">
        <is>
          <t>42.7-0-4-ERW 1-FC-6</t>
        </is>
      </c>
    </row>
    <row r="93">
      <c r="A93" t="n">
        <v>46200</v>
      </c>
      <c r="B93" t="inlineStr">
        <is>
          <t>0000943209</t>
        </is>
      </c>
      <c r="C93" t="inlineStr">
        <is>
          <t>MEGH STEELS PRIVATE LIMITED - TVS A</t>
        </is>
      </c>
      <c r="D93" t="inlineStr">
        <is>
          <t>KG</t>
        </is>
      </c>
      <c r="E93" t="n">
        <v>105</v>
      </c>
      <c r="F93" t="n">
        <v>575.326</v>
      </c>
      <c r="G93" t="n">
        <v>2147</v>
      </c>
      <c r="H93" t="inlineStr">
        <is>
          <t>0788</t>
        </is>
      </c>
      <c r="I93" t="n">
        <v>3500714</v>
      </c>
      <c r="J93" t="inlineStr">
        <is>
          <t>TUB-O-N-AUT-BH-FC-42.70X4.000X5.50-ERW 1</t>
        </is>
      </c>
      <c r="K93" t="n">
        <v>42.7</v>
      </c>
      <c r="L93" t="n">
        <v>0</v>
      </c>
      <c r="M93" t="n">
        <v>4</v>
      </c>
      <c r="N93" t="n">
        <v>5.5</v>
      </c>
      <c r="O93" t="inlineStr">
        <is>
          <t>Direct</t>
        </is>
      </c>
      <c r="P93" t="inlineStr">
        <is>
          <t>42.7-0-4-ERW 1-FC-6</t>
        </is>
      </c>
    </row>
    <row r="94">
      <c r="A94" t="n">
        <v>46200</v>
      </c>
      <c r="B94" t="inlineStr">
        <is>
          <t>0000943209</t>
        </is>
      </c>
      <c r="C94" t="inlineStr">
        <is>
          <t>MEGH STEELS PRIVATE LIMITED - TVS A</t>
        </is>
      </c>
      <c r="D94" t="inlineStr">
        <is>
          <t>KG</t>
        </is>
      </c>
      <c r="E94" t="n">
        <v>105</v>
      </c>
      <c r="F94" t="n">
        <v>575.326</v>
      </c>
      <c r="G94" t="n">
        <v>2147</v>
      </c>
      <c r="H94" t="inlineStr">
        <is>
          <t>0788</t>
        </is>
      </c>
      <c r="I94" t="n">
        <v>3500714</v>
      </c>
      <c r="J94" t="inlineStr">
        <is>
          <t>TUB-O-N-AUT-BH-FC-42.70X4.000X5.50-ERW 1</t>
        </is>
      </c>
      <c r="K94" t="n">
        <v>42.7</v>
      </c>
      <c r="L94" t="n">
        <v>0</v>
      </c>
      <c r="M94" t="n">
        <v>4</v>
      </c>
      <c r="N94" t="n">
        <v>5.5</v>
      </c>
      <c r="O94" t="inlineStr">
        <is>
          <t>Direct</t>
        </is>
      </c>
      <c r="P94" t="inlineStr">
        <is>
          <t>42.7-0-4-ERW 1-FC-6</t>
        </is>
      </c>
    </row>
    <row r="95">
      <c r="A95" t="n">
        <v>46200</v>
      </c>
      <c r="B95" t="inlineStr">
        <is>
          <t>0000943209</t>
        </is>
      </c>
      <c r="C95" t="inlineStr">
        <is>
          <t>MEGH STEELS PRIVATE LIMITED - TVS A</t>
        </is>
      </c>
      <c r="D95" t="inlineStr">
        <is>
          <t>KG</t>
        </is>
      </c>
      <c r="E95" t="n">
        <v>104</v>
      </c>
      <c r="F95" t="n">
        <v>569.698</v>
      </c>
      <c r="G95" t="n">
        <v>2126</v>
      </c>
      <c r="H95" t="inlineStr">
        <is>
          <t>0788</t>
        </is>
      </c>
      <c r="I95" t="n">
        <v>3500714</v>
      </c>
      <c r="J95" t="inlineStr">
        <is>
          <t>TUB-O-N-AUT-BH-FC-42.70X4.000X5.50-ERW 1</t>
        </is>
      </c>
      <c r="K95" t="n">
        <v>42.7</v>
      </c>
      <c r="L95" t="n">
        <v>0</v>
      </c>
      <c r="M95" t="n">
        <v>4</v>
      </c>
      <c r="N95" t="n">
        <v>5.5</v>
      </c>
      <c r="O95" t="inlineStr">
        <is>
          <t>Direct</t>
        </is>
      </c>
      <c r="P95" t="inlineStr">
        <is>
          <t>42.7-0-4-ERW 1-FC-6</t>
        </is>
      </c>
    </row>
    <row r="96">
      <c r="A96" t="n">
        <v>46200</v>
      </c>
      <c r="B96" t="inlineStr">
        <is>
          <t>0000943209</t>
        </is>
      </c>
      <c r="C96" t="inlineStr">
        <is>
          <t>MEGH STEELS PRIVATE LIMITED - TVS A</t>
        </is>
      </c>
      <c r="D96" t="inlineStr">
        <is>
          <t>KG</t>
        </is>
      </c>
      <c r="E96" t="n">
        <v>104</v>
      </c>
      <c r="F96" t="n">
        <v>569.698</v>
      </c>
      <c r="G96" t="n">
        <v>2126</v>
      </c>
      <c r="H96" t="inlineStr">
        <is>
          <t>0788</t>
        </is>
      </c>
      <c r="I96" t="n">
        <v>3500714</v>
      </c>
      <c r="J96" t="inlineStr">
        <is>
          <t>TUB-O-N-AUT-BH-FC-42.70X4.000X5.50-ERW 1</t>
        </is>
      </c>
      <c r="K96" t="n">
        <v>42.7</v>
      </c>
      <c r="L96" t="n">
        <v>0</v>
      </c>
      <c r="M96" t="n">
        <v>4</v>
      </c>
      <c r="N96" t="n">
        <v>5.5</v>
      </c>
      <c r="O96" t="inlineStr">
        <is>
          <t>Direct</t>
        </is>
      </c>
      <c r="P96" t="inlineStr">
        <is>
          <t>42.7-0-4-ERW 1-FC-6</t>
        </is>
      </c>
    </row>
    <row r="97">
      <c r="A97" t="n">
        <v>46200</v>
      </c>
      <c r="B97" t="inlineStr">
        <is>
          <t>0000943209</t>
        </is>
      </c>
      <c r="C97" t="inlineStr">
        <is>
          <t>MEGH STEELS PRIVATE LIMITED - TVS A</t>
        </is>
      </c>
      <c r="D97" t="inlineStr">
        <is>
          <t>KG</t>
        </is>
      </c>
      <c r="E97" t="n">
        <v>103</v>
      </c>
      <c r="F97" t="n">
        <v>564.071</v>
      </c>
      <c r="G97" t="n">
        <v>2105</v>
      </c>
      <c r="H97" t="inlineStr">
        <is>
          <t>0788</t>
        </is>
      </c>
      <c r="I97" t="n">
        <v>3500714</v>
      </c>
      <c r="J97" t="inlineStr">
        <is>
          <t>TUB-O-N-AUT-BH-FC-42.70X4.000X5.50-ERW 1</t>
        </is>
      </c>
      <c r="K97" t="n">
        <v>42.7</v>
      </c>
      <c r="L97" t="n">
        <v>0</v>
      </c>
      <c r="M97" t="n">
        <v>4</v>
      </c>
      <c r="N97" t="n">
        <v>5.5</v>
      </c>
      <c r="O97" t="inlineStr">
        <is>
          <t>Direct</t>
        </is>
      </c>
      <c r="P97" t="inlineStr">
        <is>
          <t>42.7-0-4-ERW 1-FC-6</t>
        </is>
      </c>
    </row>
    <row r="98">
      <c r="A98" t="n">
        <v>46201</v>
      </c>
      <c r="B98" t="inlineStr">
        <is>
          <t>0000943209</t>
        </is>
      </c>
      <c r="C98" t="inlineStr">
        <is>
          <t>MEGH STEELS PRIVATE LIMITED - TVS A</t>
        </is>
      </c>
      <c r="D98" t="inlineStr">
        <is>
          <t>KG</t>
        </is>
      </c>
      <c r="E98" t="n">
        <v>97</v>
      </c>
      <c r="F98" t="n">
        <v>532.451</v>
      </c>
      <c r="G98" t="n">
        <v>1987</v>
      </c>
      <c r="H98" t="inlineStr">
        <is>
          <t>0788</t>
        </is>
      </c>
      <c r="I98" t="n">
        <v>3500714</v>
      </c>
      <c r="J98" t="inlineStr">
        <is>
          <t>TUB-O-N-AUT-BH-FC-42.70X4.000X5.50-ERW 1</t>
        </is>
      </c>
      <c r="K98" t="n">
        <v>42.7</v>
      </c>
      <c r="L98" t="n">
        <v>0</v>
      </c>
      <c r="M98" t="n">
        <v>4</v>
      </c>
      <c r="N98" t="n">
        <v>5.5</v>
      </c>
      <c r="O98" t="inlineStr">
        <is>
          <t>Direct</t>
        </is>
      </c>
      <c r="P98" t="inlineStr">
        <is>
          <t>42.7-0-4-ERW 1-FC-6</t>
        </is>
      </c>
    </row>
    <row r="99">
      <c r="A99" t="n">
        <v>46201</v>
      </c>
      <c r="B99" t="inlineStr">
        <is>
          <t>0000943209</t>
        </is>
      </c>
      <c r="C99" t="inlineStr">
        <is>
          <t>MEGH STEELS PRIVATE LIMITED - TVS A</t>
        </is>
      </c>
      <c r="D99" t="inlineStr">
        <is>
          <t>KG</t>
        </is>
      </c>
      <c r="E99" t="n">
        <v>99</v>
      </c>
      <c r="F99" t="n">
        <v>545.313</v>
      </c>
      <c r="G99" t="n">
        <v>2035</v>
      </c>
      <c r="H99" t="inlineStr">
        <is>
          <t>0788</t>
        </is>
      </c>
      <c r="I99" t="n">
        <v>3500714</v>
      </c>
      <c r="J99" t="inlineStr">
        <is>
          <t>TUB-O-N-AUT-BH-FC-42.70X4.000X5.50-ERW 1</t>
        </is>
      </c>
      <c r="K99" t="n">
        <v>42.7</v>
      </c>
      <c r="L99" t="n">
        <v>0</v>
      </c>
      <c r="M99" t="n">
        <v>4</v>
      </c>
      <c r="N99" t="n">
        <v>5.5</v>
      </c>
      <c r="O99" t="inlineStr">
        <is>
          <t>Direct</t>
        </is>
      </c>
      <c r="P99" t="inlineStr">
        <is>
          <t>42.7-0-4-ERW 1-FC-6</t>
        </is>
      </c>
    </row>
    <row r="100">
      <c r="A100" t="n">
        <v>46199</v>
      </c>
      <c r="B100" t="inlineStr">
        <is>
          <t>0000943209</t>
        </is>
      </c>
      <c r="C100" t="inlineStr">
        <is>
          <t>MEGH STEELS PRIVATE LIMITED - TVS A</t>
        </is>
      </c>
      <c r="D100" t="inlineStr">
        <is>
          <t>KG</t>
        </is>
      </c>
      <c r="E100" t="n">
        <v>92</v>
      </c>
      <c r="F100" t="n">
        <v>507.798</v>
      </c>
      <c r="G100" t="n">
        <v>1895</v>
      </c>
      <c r="H100" t="inlineStr">
        <is>
          <t>0788</t>
        </is>
      </c>
      <c r="I100" t="n">
        <v>3500714</v>
      </c>
      <c r="J100" t="inlineStr">
        <is>
          <t>TUB-O-N-AUT-BH-FC-42.70X4.000X5.50-ERW 1</t>
        </is>
      </c>
      <c r="K100" t="n">
        <v>42.7</v>
      </c>
      <c r="L100" t="n">
        <v>0</v>
      </c>
      <c r="M100" t="n">
        <v>4</v>
      </c>
      <c r="N100" t="n">
        <v>5.5</v>
      </c>
      <c r="O100" t="inlineStr">
        <is>
          <t>Direct</t>
        </is>
      </c>
      <c r="P100" t="inlineStr">
        <is>
          <t>42.7-0-4-ERW 1-FC-6</t>
        </is>
      </c>
    </row>
    <row r="101">
      <c r="A101" t="n">
        <v>46201</v>
      </c>
      <c r="B101" t="inlineStr">
        <is>
          <t>0000943209</t>
        </is>
      </c>
      <c r="C101" t="inlineStr">
        <is>
          <t>MEGH STEELS PRIVATE LIMITED - TVS A</t>
        </is>
      </c>
      <c r="D101" t="inlineStr">
        <is>
          <t>KG</t>
        </is>
      </c>
      <c r="E101" t="n">
        <v>111</v>
      </c>
      <c r="F101" t="n">
        <v>612.841</v>
      </c>
      <c r="G101" t="n">
        <v>2287</v>
      </c>
      <c r="H101" t="inlineStr">
        <is>
          <t>0788</t>
        </is>
      </c>
      <c r="I101" t="n">
        <v>3500714</v>
      </c>
      <c r="J101" t="inlineStr">
        <is>
          <t>TUB-O-N-AUT-BH-FC-42.70X4.000X5.50-ERW 1</t>
        </is>
      </c>
      <c r="K101" t="n">
        <v>42.7</v>
      </c>
      <c r="L101" t="n">
        <v>0</v>
      </c>
      <c r="M101" t="n">
        <v>4</v>
      </c>
      <c r="N101" t="n">
        <v>5.5</v>
      </c>
      <c r="O101" t="inlineStr">
        <is>
          <t>Direct</t>
        </is>
      </c>
      <c r="P101" t="inlineStr">
        <is>
          <t>42.7-0-4-ERW 1-FC-6</t>
        </is>
      </c>
    </row>
    <row r="102">
      <c r="A102" t="n">
        <v>46201</v>
      </c>
      <c r="B102" t="inlineStr">
        <is>
          <t>0000943209</t>
        </is>
      </c>
      <c r="C102" t="inlineStr">
        <is>
          <t>MEGH STEELS PRIVATE LIMITED - TVS A</t>
        </is>
      </c>
      <c r="D102" t="inlineStr">
        <is>
          <t>KG</t>
        </is>
      </c>
      <c r="E102" t="n">
        <v>114</v>
      </c>
      <c r="F102" t="n">
        <v>629.723</v>
      </c>
      <c r="G102" t="n">
        <v>2350</v>
      </c>
      <c r="H102" t="inlineStr">
        <is>
          <t>0788</t>
        </is>
      </c>
      <c r="I102" t="n">
        <v>3500714</v>
      </c>
      <c r="J102" t="inlineStr">
        <is>
          <t>TUB-O-N-AUT-BH-FC-42.70X4.000X5.50-ERW 1</t>
        </is>
      </c>
      <c r="K102" t="n">
        <v>42.7</v>
      </c>
      <c r="L102" t="n">
        <v>0</v>
      </c>
      <c r="M102" t="n">
        <v>4</v>
      </c>
      <c r="N102" t="n">
        <v>5.5</v>
      </c>
      <c r="O102" t="inlineStr">
        <is>
          <t>Direct</t>
        </is>
      </c>
      <c r="P102" t="inlineStr">
        <is>
          <t>42.7-0-4-ERW 1-FC-6</t>
        </is>
      </c>
    </row>
    <row r="103">
      <c r="A103" t="n">
        <v>46201</v>
      </c>
      <c r="B103" t="inlineStr">
        <is>
          <t>0000943209</t>
        </is>
      </c>
      <c r="C103" t="inlineStr">
        <is>
          <t>MEGH STEELS PRIVATE LIMITED - TVS A</t>
        </is>
      </c>
      <c r="D103" t="inlineStr">
        <is>
          <t>KG</t>
        </is>
      </c>
      <c r="E103" t="n">
        <v>116</v>
      </c>
      <c r="F103" t="n">
        <v>635.35</v>
      </c>
      <c r="G103" t="n">
        <v>2371</v>
      </c>
      <c r="H103" t="inlineStr">
        <is>
          <t>0788</t>
        </is>
      </c>
      <c r="I103" t="n">
        <v>3500714</v>
      </c>
      <c r="J103" t="inlineStr">
        <is>
          <t>TUB-O-N-AUT-BH-FC-42.70X4.000X5.50-ERW 1</t>
        </is>
      </c>
      <c r="K103" t="n">
        <v>42.7</v>
      </c>
      <c r="L103" t="n">
        <v>0</v>
      </c>
      <c r="M103" t="n">
        <v>4</v>
      </c>
      <c r="N103" t="n">
        <v>5.5</v>
      </c>
      <c r="O103" t="inlineStr">
        <is>
          <t>Direct</t>
        </is>
      </c>
      <c r="P103" t="inlineStr">
        <is>
          <t>42.7-0-4-ERW 1-FC-6</t>
        </is>
      </c>
    </row>
    <row r="104">
      <c r="A104" t="n">
        <v>46202</v>
      </c>
      <c r="B104" t="inlineStr">
        <is>
          <t>0000943209</t>
        </is>
      </c>
      <c r="C104" t="inlineStr">
        <is>
          <t>MEGH STEELS PRIVATE LIMITED - TVS A</t>
        </is>
      </c>
      <c r="D104" t="inlineStr">
        <is>
          <t>KG</t>
        </is>
      </c>
      <c r="E104" t="n">
        <v>350</v>
      </c>
      <c r="F104" t="n">
        <v>1935.529</v>
      </c>
      <c r="G104" t="n">
        <v>2634.835</v>
      </c>
      <c r="H104" t="inlineStr">
        <is>
          <t>056</t>
        </is>
      </c>
      <c r="I104" t="n">
        <v>3502256</v>
      </c>
      <c r="J104" t="inlineStr">
        <is>
          <t>TUB-O-N-AUT-AW-PE-25.40X2.500X5.5300</t>
        </is>
      </c>
      <c r="K104" t="n">
        <v>25.4</v>
      </c>
      <c r="L104" t="n">
        <v>0</v>
      </c>
      <c r="M104" t="n">
        <v>2.5</v>
      </c>
      <c r="N104" t="n">
        <v>5.53</v>
      </c>
      <c r="O104" t="inlineStr">
        <is>
          <t>Direct</t>
        </is>
      </c>
      <c r="P104" t="inlineStr">
        <is>
          <t>25.4-0-2.5-ERW 1-PE-5.53</t>
        </is>
      </c>
    </row>
    <row r="105">
      <c r="A105" t="n">
        <v>46202</v>
      </c>
      <c r="B105" t="inlineStr">
        <is>
          <t>0000943209</t>
        </is>
      </c>
      <c r="C105" t="inlineStr">
        <is>
          <t>MEGH STEELS PRIVATE LIMITED - TVS A</t>
        </is>
      </c>
      <c r="D105" t="inlineStr">
        <is>
          <t>KG</t>
        </is>
      </c>
      <c r="E105" t="n">
        <v>350</v>
      </c>
      <c r="F105" t="n">
        <v>1935.529</v>
      </c>
      <c r="G105" t="n">
        <v>2634.835</v>
      </c>
      <c r="H105" t="inlineStr">
        <is>
          <t>056</t>
        </is>
      </c>
      <c r="I105" t="n">
        <v>3502256</v>
      </c>
      <c r="J105" t="inlineStr">
        <is>
          <t>TUB-O-N-AUT-AW-PE-25.40X2.500X5.5300</t>
        </is>
      </c>
      <c r="K105" t="n">
        <v>25.4</v>
      </c>
      <c r="L105" t="n">
        <v>0</v>
      </c>
      <c r="M105" t="n">
        <v>2.5</v>
      </c>
      <c r="N105" t="n">
        <v>5.53</v>
      </c>
      <c r="O105" t="inlineStr">
        <is>
          <t>Direct</t>
        </is>
      </c>
      <c r="P105" t="inlineStr">
        <is>
          <t>25.4-0-2.5-ERW 1-PE-5.53</t>
        </is>
      </c>
    </row>
    <row r="106">
      <c r="A106" t="n">
        <v>46201</v>
      </c>
      <c r="B106" t="inlineStr">
        <is>
          <t>0000943209</t>
        </is>
      </c>
      <c r="C106" t="inlineStr">
        <is>
          <t>MEGH STEELS PRIVATE LIMITED - TVS A</t>
        </is>
      </c>
      <c r="D106" t="inlineStr">
        <is>
          <t>KG</t>
        </is>
      </c>
      <c r="E106" t="n">
        <v>350</v>
      </c>
      <c r="F106" t="n">
        <v>1935.529</v>
      </c>
      <c r="G106" t="n">
        <v>2634.835</v>
      </c>
      <c r="H106" t="inlineStr">
        <is>
          <t>056</t>
        </is>
      </c>
      <c r="I106" t="n">
        <v>3502256</v>
      </c>
      <c r="J106" t="inlineStr">
        <is>
          <t>TUB-O-N-AUT-AW-PE-25.40X2.500X5.5300</t>
        </is>
      </c>
      <c r="K106" t="n">
        <v>25.4</v>
      </c>
      <c r="L106" t="n">
        <v>0</v>
      </c>
      <c r="M106" t="n">
        <v>2.5</v>
      </c>
      <c r="N106" t="n">
        <v>5.53</v>
      </c>
      <c r="O106" t="inlineStr">
        <is>
          <t>Direct</t>
        </is>
      </c>
      <c r="P106" t="inlineStr">
        <is>
          <t>25.4-0-2.5-ERW 1-PE-5.53</t>
        </is>
      </c>
    </row>
    <row r="107">
      <c r="A107" t="n">
        <v>46202</v>
      </c>
      <c r="B107" t="inlineStr">
        <is>
          <t>0000943209</t>
        </is>
      </c>
      <c r="C107" t="inlineStr">
        <is>
          <t>MEGH STEELS PRIVATE LIMITED - TVS A</t>
        </is>
      </c>
      <c r="D107" t="inlineStr">
        <is>
          <t>KG</t>
        </is>
      </c>
      <c r="E107" t="n">
        <v>350</v>
      </c>
      <c r="F107" t="n">
        <v>1935.529</v>
      </c>
      <c r="G107" t="n">
        <v>2634.835</v>
      </c>
      <c r="H107" t="inlineStr">
        <is>
          <t>056</t>
        </is>
      </c>
      <c r="I107" t="n">
        <v>3502256</v>
      </c>
      <c r="J107" t="inlineStr">
        <is>
          <t>TUB-O-N-AUT-AW-PE-25.40X2.500X5.5300</t>
        </is>
      </c>
      <c r="K107" t="n">
        <v>25.4</v>
      </c>
      <c r="L107" t="n">
        <v>0</v>
      </c>
      <c r="M107" t="n">
        <v>2.5</v>
      </c>
      <c r="N107" t="n">
        <v>5.53</v>
      </c>
      <c r="O107" t="inlineStr">
        <is>
          <t>Direct</t>
        </is>
      </c>
      <c r="P107" t="inlineStr">
        <is>
          <t>25.4-0-2.5-ERW 1-PE-5.53</t>
        </is>
      </c>
    </row>
    <row r="108">
      <c r="A108" t="n">
        <v>46201</v>
      </c>
      <c r="B108" t="inlineStr">
        <is>
          <t>0000943209</t>
        </is>
      </c>
      <c r="C108" t="inlineStr">
        <is>
          <t>MEGH STEELS PRIVATE LIMITED - TVS A</t>
        </is>
      </c>
      <c r="D108" t="inlineStr">
        <is>
          <t>KG</t>
        </is>
      </c>
      <c r="E108" t="n">
        <v>348</v>
      </c>
      <c r="F108" t="n">
        <v>1924.469</v>
      </c>
      <c r="G108" t="n">
        <v>2619.779</v>
      </c>
      <c r="H108" t="inlineStr">
        <is>
          <t>056</t>
        </is>
      </c>
      <c r="I108" t="n">
        <v>3502256</v>
      </c>
      <c r="J108" t="inlineStr">
        <is>
          <t>TUB-O-N-AUT-AW-PE-25.40X2.500X5.5300</t>
        </is>
      </c>
      <c r="K108" t="n">
        <v>25.4</v>
      </c>
      <c r="L108" t="n">
        <v>0</v>
      </c>
      <c r="M108" t="n">
        <v>2.5</v>
      </c>
      <c r="N108" t="n">
        <v>5.53</v>
      </c>
      <c r="O108" t="inlineStr">
        <is>
          <t>Direct</t>
        </is>
      </c>
      <c r="P108" t="inlineStr">
        <is>
          <t>25.4-0-2.5-ERW 1-PE-5.53</t>
        </is>
      </c>
    </row>
    <row r="109">
      <c r="A109" t="n">
        <v>46201</v>
      </c>
      <c r="B109" t="inlineStr">
        <is>
          <t>0000943209</t>
        </is>
      </c>
      <c r="C109" t="inlineStr">
        <is>
          <t>MEGH STEELS PRIVATE LIMITED - TVS A</t>
        </is>
      </c>
      <c r="D109" t="inlineStr">
        <is>
          <t>KG</t>
        </is>
      </c>
      <c r="E109" t="n">
        <v>348</v>
      </c>
      <c r="F109" t="n">
        <v>1924.469</v>
      </c>
      <c r="G109" t="n">
        <v>2619.779</v>
      </c>
      <c r="H109" t="inlineStr">
        <is>
          <t>056</t>
        </is>
      </c>
      <c r="I109" t="n">
        <v>3502256</v>
      </c>
      <c r="J109" t="inlineStr">
        <is>
          <t>TUB-O-N-AUT-AW-PE-25.40X2.500X5.5300</t>
        </is>
      </c>
      <c r="K109" t="n">
        <v>25.4</v>
      </c>
      <c r="L109" t="n">
        <v>0</v>
      </c>
      <c r="M109" t="n">
        <v>2.5</v>
      </c>
      <c r="N109" t="n">
        <v>5.53</v>
      </c>
      <c r="O109" t="inlineStr">
        <is>
          <t>Direct</t>
        </is>
      </c>
      <c r="P109" t="inlineStr">
        <is>
          <t>25.4-0-2.5-ERW 1-PE-5.53</t>
        </is>
      </c>
    </row>
    <row r="110">
      <c r="A110" t="n">
        <v>46202</v>
      </c>
      <c r="B110" t="inlineStr">
        <is>
          <t>0000943209</t>
        </is>
      </c>
      <c r="C110" t="inlineStr">
        <is>
          <t>MEGH STEELS PRIVATE LIMITED - TVS A</t>
        </is>
      </c>
      <c r="D110" t="inlineStr">
        <is>
          <t>KG</t>
        </is>
      </c>
      <c r="E110" t="n">
        <v>350</v>
      </c>
      <c r="F110" t="n">
        <v>1935.529</v>
      </c>
      <c r="G110" t="n">
        <v>2634.835</v>
      </c>
      <c r="H110" t="inlineStr">
        <is>
          <t>056</t>
        </is>
      </c>
      <c r="I110" t="n">
        <v>3502256</v>
      </c>
      <c r="J110" t="inlineStr">
        <is>
          <t>TUB-O-N-AUT-AW-PE-25.40X2.500X5.5300</t>
        </is>
      </c>
      <c r="K110" t="n">
        <v>25.4</v>
      </c>
      <c r="L110" t="n">
        <v>0</v>
      </c>
      <c r="M110" t="n">
        <v>2.5</v>
      </c>
      <c r="N110" t="n">
        <v>5.53</v>
      </c>
      <c r="O110" t="inlineStr">
        <is>
          <t>Direct</t>
        </is>
      </c>
      <c r="P110" t="inlineStr">
        <is>
          <t>25.4-0-2.5-ERW 1-PE-5.53</t>
        </is>
      </c>
    </row>
    <row r="111">
      <c r="A111" t="n">
        <v>46201</v>
      </c>
      <c r="B111" t="inlineStr">
        <is>
          <t>0000943209</t>
        </is>
      </c>
      <c r="C111" t="inlineStr">
        <is>
          <t>MEGH STEELS PRIVATE LIMITED - TVS A</t>
        </is>
      </c>
      <c r="D111" t="inlineStr">
        <is>
          <t>KG</t>
        </is>
      </c>
      <c r="E111" t="n">
        <v>349</v>
      </c>
      <c r="F111" t="n">
        <v>1929.999</v>
      </c>
      <c r="G111" t="n">
        <v>2627.307</v>
      </c>
      <c r="H111" t="inlineStr">
        <is>
          <t>056</t>
        </is>
      </c>
      <c r="I111" t="n">
        <v>3502256</v>
      </c>
      <c r="J111" t="inlineStr">
        <is>
          <t>TUB-O-N-AUT-AW-PE-25.40X2.500X5.5300</t>
        </is>
      </c>
      <c r="K111" t="n">
        <v>25.4</v>
      </c>
      <c r="L111" t="n">
        <v>0</v>
      </c>
      <c r="M111" t="n">
        <v>2.5</v>
      </c>
      <c r="N111" t="n">
        <v>5.53</v>
      </c>
      <c r="O111" t="inlineStr">
        <is>
          <t>Direct</t>
        </is>
      </c>
      <c r="P111" t="inlineStr">
        <is>
          <t>25.4-0-2.5-ERW 1-PE-5.53</t>
        </is>
      </c>
    </row>
    <row r="112">
      <c r="A112" t="n">
        <v>46201</v>
      </c>
      <c r="B112" t="inlineStr">
        <is>
          <t>0000943209</t>
        </is>
      </c>
      <c r="C112" t="inlineStr">
        <is>
          <t>MEGH STEELS PRIVATE LIMITED - TVS A</t>
        </is>
      </c>
      <c r="D112" t="inlineStr">
        <is>
          <t>KG</t>
        </is>
      </c>
      <c r="E112" t="n">
        <v>349</v>
      </c>
      <c r="F112" t="n">
        <v>1929.999</v>
      </c>
      <c r="G112" t="n">
        <v>2627.307</v>
      </c>
      <c r="H112" t="inlineStr">
        <is>
          <t>056</t>
        </is>
      </c>
      <c r="I112" t="n">
        <v>3502256</v>
      </c>
      <c r="J112" t="inlineStr">
        <is>
          <t>TUB-O-N-AUT-AW-PE-25.40X2.500X5.5300</t>
        </is>
      </c>
      <c r="K112" t="n">
        <v>25.4</v>
      </c>
      <c r="L112" t="n">
        <v>0</v>
      </c>
      <c r="M112" t="n">
        <v>2.5</v>
      </c>
      <c r="N112" t="n">
        <v>5.53</v>
      </c>
      <c r="O112" t="inlineStr">
        <is>
          <t>Direct</t>
        </is>
      </c>
      <c r="P112" t="inlineStr">
        <is>
          <t>25.4-0-2.5-ERW 1-PE-5.53</t>
        </is>
      </c>
    </row>
    <row r="113">
      <c r="A113" t="n">
        <v>46201</v>
      </c>
      <c r="B113" t="inlineStr">
        <is>
          <t>0000943209</t>
        </is>
      </c>
      <c r="C113" t="inlineStr">
        <is>
          <t>MEGH STEELS PRIVATE LIMITED - TVS A</t>
        </is>
      </c>
      <c r="D113" t="inlineStr">
        <is>
          <t>KG</t>
        </is>
      </c>
      <c r="E113" t="n">
        <v>350</v>
      </c>
      <c r="F113" t="n">
        <v>1935.529</v>
      </c>
      <c r="G113" t="n">
        <v>2634.835</v>
      </c>
      <c r="H113" t="inlineStr">
        <is>
          <t>056</t>
        </is>
      </c>
      <c r="I113" t="n">
        <v>3502256</v>
      </c>
      <c r="J113" t="inlineStr">
        <is>
          <t>TUB-O-N-AUT-AW-PE-25.40X2.500X5.5300</t>
        </is>
      </c>
      <c r="K113" t="n">
        <v>25.4</v>
      </c>
      <c r="L113" t="n">
        <v>0</v>
      </c>
      <c r="M113" t="n">
        <v>2.5</v>
      </c>
      <c r="N113" t="n">
        <v>5.53</v>
      </c>
      <c r="O113" t="inlineStr">
        <is>
          <t>Direct</t>
        </is>
      </c>
      <c r="P113" t="inlineStr">
        <is>
          <t>25.4-0-2.5-ERW 1-PE-5.53</t>
        </is>
      </c>
    </row>
    <row r="114">
      <c r="A114" t="n">
        <v>46201</v>
      </c>
      <c r="B114" t="inlineStr">
        <is>
          <t>0000943209</t>
        </is>
      </c>
      <c r="C114" t="inlineStr">
        <is>
          <t>MEGH STEELS PRIVATE LIMITED - TVS A</t>
        </is>
      </c>
      <c r="D114" t="inlineStr">
        <is>
          <t>KG</t>
        </is>
      </c>
      <c r="E114" t="n">
        <v>350</v>
      </c>
      <c r="F114" t="n">
        <v>1935.529</v>
      </c>
      <c r="G114" t="n">
        <v>2634.835</v>
      </c>
      <c r="H114" t="inlineStr">
        <is>
          <t>056</t>
        </is>
      </c>
      <c r="I114" t="n">
        <v>3502256</v>
      </c>
      <c r="J114" t="inlineStr">
        <is>
          <t>TUB-O-N-AUT-AW-PE-25.40X2.500X5.5300</t>
        </is>
      </c>
      <c r="K114" t="n">
        <v>25.4</v>
      </c>
      <c r="L114" t="n">
        <v>0</v>
      </c>
      <c r="M114" t="n">
        <v>2.5</v>
      </c>
      <c r="N114" t="n">
        <v>5.53</v>
      </c>
      <c r="O114" t="inlineStr">
        <is>
          <t>Direct</t>
        </is>
      </c>
      <c r="P114" t="inlineStr">
        <is>
          <t>25.4-0-2.5-ERW 1-PE-5.53</t>
        </is>
      </c>
    </row>
    <row r="115">
      <c r="A115" t="n">
        <v>46201</v>
      </c>
      <c r="B115" t="inlineStr">
        <is>
          <t>0000943209</t>
        </is>
      </c>
      <c r="C115" t="inlineStr">
        <is>
          <t>MEGH STEELS PRIVATE LIMITED - TVS A</t>
        </is>
      </c>
      <c r="D115" t="inlineStr">
        <is>
          <t>KG</t>
        </is>
      </c>
      <c r="E115" t="n">
        <v>350</v>
      </c>
      <c r="F115" t="n">
        <v>1935.529</v>
      </c>
      <c r="G115" t="n">
        <v>2634.835</v>
      </c>
      <c r="H115" t="inlineStr">
        <is>
          <t>056</t>
        </is>
      </c>
      <c r="I115" t="n">
        <v>3502256</v>
      </c>
      <c r="J115" t="inlineStr">
        <is>
          <t>TUB-O-N-AUT-AW-PE-25.40X2.500X5.5300</t>
        </is>
      </c>
      <c r="K115" t="n">
        <v>25.4</v>
      </c>
      <c r="L115" t="n">
        <v>0</v>
      </c>
      <c r="M115" t="n">
        <v>2.5</v>
      </c>
      <c r="N115" t="n">
        <v>5.53</v>
      </c>
      <c r="O115" t="inlineStr">
        <is>
          <t>Direct</t>
        </is>
      </c>
      <c r="P115" t="inlineStr">
        <is>
          <t>25.4-0-2.5-ERW 1-PE-5.53</t>
        </is>
      </c>
    </row>
    <row r="116">
      <c r="A116" t="n">
        <v>46201</v>
      </c>
      <c r="B116" t="inlineStr">
        <is>
          <t>0000943209</t>
        </is>
      </c>
      <c r="C116" t="inlineStr">
        <is>
          <t>MEGH STEELS PRIVATE LIMITED - TVS A</t>
        </is>
      </c>
      <c r="D116" t="inlineStr">
        <is>
          <t>KG</t>
        </is>
      </c>
      <c r="E116" t="n">
        <v>150</v>
      </c>
      <c r="F116" t="n">
        <v>829.511</v>
      </c>
      <c r="G116" t="n">
        <v>1129.214</v>
      </c>
      <c r="H116" t="inlineStr">
        <is>
          <t>056</t>
        </is>
      </c>
      <c r="I116" t="n">
        <v>3502256</v>
      </c>
      <c r="J116" t="inlineStr">
        <is>
          <t>TUB-O-N-AUT-AW-PE-25.40X2.500X5.5300</t>
        </is>
      </c>
      <c r="K116" t="n">
        <v>25.4</v>
      </c>
      <c r="L116" t="n">
        <v>0</v>
      </c>
      <c r="M116" t="n">
        <v>2.5</v>
      </c>
      <c r="N116" t="n">
        <v>5.53</v>
      </c>
      <c r="O116" t="inlineStr">
        <is>
          <t>Direct</t>
        </is>
      </c>
      <c r="P116" t="inlineStr">
        <is>
          <t>25.4-0-2.5-ERW 1-PE-5.53</t>
        </is>
      </c>
    </row>
    <row r="117">
      <c r="A117" t="n">
        <v>46202</v>
      </c>
      <c r="B117" t="inlineStr">
        <is>
          <t>0000943209</t>
        </is>
      </c>
      <c r="C117" t="inlineStr">
        <is>
          <t>MEGH STEELS PRIVATE LIMITED - TVS A</t>
        </is>
      </c>
      <c r="D117" t="inlineStr">
        <is>
          <t>KG</t>
        </is>
      </c>
      <c r="E117" t="n">
        <v>350</v>
      </c>
      <c r="F117" t="n">
        <v>1935.529</v>
      </c>
      <c r="G117" t="n">
        <v>2634.835</v>
      </c>
      <c r="H117" t="inlineStr">
        <is>
          <t>056</t>
        </is>
      </c>
      <c r="I117" t="n">
        <v>3502256</v>
      </c>
      <c r="J117" t="inlineStr">
        <is>
          <t>TUB-O-N-AUT-AW-PE-25.40X2.500X5.5300</t>
        </is>
      </c>
      <c r="K117" t="n">
        <v>25.4</v>
      </c>
      <c r="L117" t="n">
        <v>0</v>
      </c>
      <c r="M117" t="n">
        <v>2.5</v>
      </c>
      <c r="N117" t="n">
        <v>5.53</v>
      </c>
      <c r="O117" t="inlineStr">
        <is>
          <t>Direct</t>
        </is>
      </c>
      <c r="P117" t="inlineStr">
        <is>
          <t>25.4-0-2.5-ERW 1-PE-5.53</t>
        </is>
      </c>
    </row>
    <row r="118">
      <c r="A118" t="n">
        <v>46202</v>
      </c>
      <c r="B118" t="inlineStr">
        <is>
          <t>0000943209</t>
        </is>
      </c>
      <c r="C118" t="inlineStr">
        <is>
          <t>MEGH STEELS PRIVATE LIMITED - TVS A</t>
        </is>
      </c>
      <c r="D118" t="inlineStr">
        <is>
          <t>KG</t>
        </is>
      </c>
      <c r="E118" t="n">
        <v>348</v>
      </c>
      <c r="F118" t="n">
        <v>1924.469</v>
      </c>
      <c r="G118" t="n">
        <v>2619.779</v>
      </c>
      <c r="H118" t="inlineStr">
        <is>
          <t>056</t>
        </is>
      </c>
      <c r="I118" t="n">
        <v>3502256</v>
      </c>
      <c r="J118" t="inlineStr">
        <is>
          <t>TUB-O-N-AUT-AW-PE-25.40X2.500X5.5300</t>
        </is>
      </c>
      <c r="K118" t="n">
        <v>25.4</v>
      </c>
      <c r="L118" t="n">
        <v>0</v>
      </c>
      <c r="M118" t="n">
        <v>2.5</v>
      </c>
      <c r="N118" t="n">
        <v>5.53</v>
      </c>
      <c r="O118" t="inlineStr">
        <is>
          <t>Direct</t>
        </is>
      </c>
      <c r="P118" t="inlineStr">
        <is>
          <t>25.4-0-2.5-ERW 1-PE-5.53</t>
        </is>
      </c>
    </row>
    <row r="119">
      <c r="A119" t="n">
        <v>46202</v>
      </c>
      <c r="B119" t="inlineStr">
        <is>
          <t>0000943209</t>
        </is>
      </c>
      <c r="C119" t="inlineStr">
        <is>
          <t>MEGH STEELS PRIVATE LIMITED - TVS A</t>
        </is>
      </c>
      <c r="D119" t="inlineStr">
        <is>
          <t>KG</t>
        </is>
      </c>
      <c r="E119" t="n">
        <v>350</v>
      </c>
      <c r="F119" t="n">
        <v>1935.529</v>
      </c>
      <c r="G119" t="n">
        <v>2634.835</v>
      </c>
      <c r="H119" t="inlineStr">
        <is>
          <t>056</t>
        </is>
      </c>
      <c r="I119" t="n">
        <v>3502256</v>
      </c>
      <c r="J119" t="inlineStr">
        <is>
          <t>TUB-O-N-AUT-AW-PE-25.40X2.500X5.5300</t>
        </is>
      </c>
      <c r="K119" t="n">
        <v>25.4</v>
      </c>
      <c r="L119" t="n">
        <v>0</v>
      </c>
      <c r="M119" t="n">
        <v>2.5</v>
      </c>
      <c r="N119" t="n">
        <v>5.53</v>
      </c>
      <c r="O119" t="inlineStr">
        <is>
          <t>Direct</t>
        </is>
      </c>
      <c r="P119" t="inlineStr">
        <is>
          <t>25.4-0-2.5-ERW 1-PE-5.53</t>
        </is>
      </c>
    </row>
    <row r="120">
      <c r="A120" t="n">
        <v>46203</v>
      </c>
      <c r="B120" t="inlineStr">
        <is>
          <t>0000943209</t>
        </is>
      </c>
      <c r="C120" t="inlineStr">
        <is>
          <t>MEGH STEELS PRIVATE LIMITED - TVS A</t>
        </is>
      </c>
      <c r="D120" t="inlineStr">
        <is>
          <t>KG</t>
        </is>
      </c>
      <c r="E120" t="n">
        <v>129</v>
      </c>
      <c r="F120" t="n">
        <v>713.381</v>
      </c>
      <c r="G120" t="n">
        <v>971.125</v>
      </c>
      <c r="H120" t="inlineStr">
        <is>
          <t>056</t>
        </is>
      </c>
      <c r="I120" t="n">
        <v>3502256</v>
      </c>
      <c r="J120" t="inlineStr">
        <is>
          <t>TUB-O-N-AUT-AW-PE-25.40X2.500X5.5300</t>
        </is>
      </c>
      <c r="K120" t="n">
        <v>25.4</v>
      </c>
      <c r="L120" t="n">
        <v>0</v>
      </c>
      <c r="M120" t="n">
        <v>2.5</v>
      </c>
      <c r="N120" t="n">
        <v>5.53</v>
      </c>
      <c r="O120" t="inlineStr">
        <is>
          <t>Direct</t>
        </is>
      </c>
      <c r="P120" t="inlineStr">
        <is>
          <t>25.4-0-2.5-ERW 1-PE-5.53</t>
        </is>
      </c>
    </row>
    <row r="121">
      <c r="A121" t="n">
        <v>46203</v>
      </c>
      <c r="B121" t="inlineStr">
        <is>
          <t>0000943209</t>
        </is>
      </c>
      <c r="C121" t="inlineStr">
        <is>
          <t>MEGH STEELS PRIVATE LIMITED - TVS A</t>
        </is>
      </c>
      <c r="D121" t="inlineStr">
        <is>
          <t>KG</t>
        </is>
      </c>
      <c r="E121" t="n">
        <v>349</v>
      </c>
      <c r="F121" t="n">
        <v>1929.999</v>
      </c>
      <c r="G121" t="n">
        <v>2627.307</v>
      </c>
      <c r="H121" t="inlineStr">
        <is>
          <t>056</t>
        </is>
      </c>
      <c r="I121" t="n">
        <v>3502256</v>
      </c>
      <c r="J121" t="inlineStr">
        <is>
          <t>TUB-O-N-AUT-AW-PE-25.40X2.500X5.5300</t>
        </is>
      </c>
      <c r="K121" t="n">
        <v>25.4</v>
      </c>
      <c r="L121" t="n">
        <v>0</v>
      </c>
      <c r="M121" t="n">
        <v>2.5</v>
      </c>
      <c r="N121" t="n">
        <v>5.53</v>
      </c>
      <c r="O121" t="inlineStr">
        <is>
          <t>Direct</t>
        </is>
      </c>
      <c r="P121" t="inlineStr">
        <is>
          <t>25.4-0-2.5-ERW 1-PE-5.53</t>
        </is>
      </c>
    </row>
    <row r="122">
      <c r="A122" t="n">
        <v>46203</v>
      </c>
      <c r="B122" t="inlineStr">
        <is>
          <t>0000943209</t>
        </is>
      </c>
      <c r="C122" t="inlineStr">
        <is>
          <t>MEGH STEELS PRIVATE LIMITED - TVS A</t>
        </is>
      </c>
      <c r="D122" t="inlineStr">
        <is>
          <t>KG</t>
        </is>
      </c>
      <c r="E122" t="n">
        <v>350</v>
      </c>
      <c r="F122" t="n">
        <v>1935.529</v>
      </c>
      <c r="G122" t="n">
        <v>2634.835</v>
      </c>
      <c r="H122" t="inlineStr">
        <is>
          <t>056</t>
        </is>
      </c>
      <c r="I122" t="n">
        <v>3502256</v>
      </c>
      <c r="J122" t="inlineStr">
        <is>
          <t>TUB-O-N-AUT-AW-PE-25.40X2.500X5.5300</t>
        </is>
      </c>
      <c r="K122" t="n">
        <v>25.4</v>
      </c>
      <c r="L122" t="n">
        <v>0</v>
      </c>
      <c r="M122" t="n">
        <v>2.5</v>
      </c>
      <c r="N122" t="n">
        <v>5.53</v>
      </c>
      <c r="O122" t="inlineStr">
        <is>
          <t>Direct</t>
        </is>
      </c>
      <c r="P122" t="inlineStr">
        <is>
          <t>25.4-0-2.5-ERW 1-PE-5.53</t>
        </is>
      </c>
    </row>
    <row r="123">
      <c r="A123" t="n">
        <v>46203</v>
      </c>
      <c r="B123" t="inlineStr">
        <is>
          <t>0000943209</t>
        </is>
      </c>
      <c r="C123" t="inlineStr">
        <is>
          <t>MEGH STEELS PRIVATE LIMITED - TVS A</t>
        </is>
      </c>
      <c r="D123" t="inlineStr">
        <is>
          <t>KG</t>
        </is>
      </c>
      <c r="E123" t="n">
        <v>349</v>
      </c>
      <c r="F123" t="n">
        <v>1929.999</v>
      </c>
      <c r="G123" t="n">
        <v>2627.307</v>
      </c>
      <c r="H123" t="inlineStr">
        <is>
          <t>056</t>
        </is>
      </c>
      <c r="I123" t="n">
        <v>3502256</v>
      </c>
      <c r="J123" t="inlineStr">
        <is>
          <t>TUB-O-N-AUT-AW-PE-25.40X2.500X5.5300</t>
        </is>
      </c>
      <c r="K123" t="n">
        <v>25.4</v>
      </c>
      <c r="L123" t="n">
        <v>0</v>
      </c>
      <c r="M123" t="n">
        <v>2.5</v>
      </c>
      <c r="N123" t="n">
        <v>5.53</v>
      </c>
      <c r="O123" t="inlineStr">
        <is>
          <t>Direct</t>
        </is>
      </c>
      <c r="P123" t="inlineStr">
        <is>
          <t>25.4-0-2.5-ERW 1-PE-5.53</t>
        </is>
      </c>
    </row>
    <row r="124">
      <c r="A124" t="n">
        <v>46203</v>
      </c>
      <c r="B124" t="inlineStr">
        <is>
          <t>0000943209</t>
        </is>
      </c>
      <c r="C124" t="inlineStr">
        <is>
          <t>MEGH STEELS PRIVATE LIMITED - TVS A</t>
        </is>
      </c>
      <c r="D124" t="inlineStr">
        <is>
          <t>KG</t>
        </is>
      </c>
      <c r="E124" t="n">
        <v>349</v>
      </c>
      <c r="F124" t="n">
        <v>1929.999</v>
      </c>
      <c r="G124" t="n">
        <v>2627.307</v>
      </c>
      <c r="H124" t="inlineStr">
        <is>
          <t>056</t>
        </is>
      </c>
      <c r="I124" t="n">
        <v>3502256</v>
      </c>
      <c r="J124" t="inlineStr">
        <is>
          <t>TUB-O-N-AUT-AW-PE-25.40X2.500X5.5300</t>
        </is>
      </c>
      <c r="K124" t="n">
        <v>25.4</v>
      </c>
      <c r="L124" t="n">
        <v>0</v>
      </c>
      <c r="M124" t="n">
        <v>2.5</v>
      </c>
      <c r="N124" t="n">
        <v>5.53</v>
      </c>
      <c r="O124" t="inlineStr">
        <is>
          <t>Direct</t>
        </is>
      </c>
      <c r="P124" t="inlineStr">
        <is>
          <t>25.4-0-2.5-ERW 1-PE-5.53</t>
        </is>
      </c>
    </row>
    <row r="125">
      <c r="A125" t="n">
        <v>46203</v>
      </c>
      <c r="B125" t="inlineStr">
        <is>
          <t>0000943209</t>
        </is>
      </c>
      <c r="C125" t="inlineStr">
        <is>
          <t>MEGH STEELS PRIVATE LIMITED - TVS A</t>
        </is>
      </c>
      <c r="D125" t="inlineStr">
        <is>
          <t>KG</t>
        </is>
      </c>
      <c r="E125" t="n">
        <v>350</v>
      </c>
      <c r="F125" t="n">
        <v>1935.529</v>
      </c>
      <c r="G125" t="n">
        <v>2634.835</v>
      </c>
      <c r="H125" t="inlineStr">
        <is>
          <t>056</t>
        </is>
      </c>
      <c r="I125" t="n">
        <v>3502256</v>
      </c>
      <c r="J125" t="inlineStr">
        <is>
          <t>TUB-O-N-AUT-AW-PE-25.40X2.500X5.5300</t>
        </is>
      </c>
      <c r="K125" t="n">
        <v>25.4</v>
      </c>
      <c r="L125" t="n">
        <v>0</v>
      </c>
      <c r="M125" t="n">
        <v>2.5</v>
      </c>
      <c r="N125" t="n">
        <v>5.53</v>
      </c>
      <c r="O125" t="inlineStr">
        <is>
          <t>Direct</t>
        </is>
      </c>
      <c r="P125" t="inlineStr">
        <is>
          <t>25.4-0-2.5-ERW 1-PE-5.53</t>
        </is>
      </c>
    </row>
    <row r="126">
      <c r="A126" t="n">
        <v>46203</v>
      </c>
      <c r="B126" t="inlineStr">
        <is>
          <t>0000943209</t>
        </is>
      </c>
      <c r="C126" t="inlineStr">
        <is>
          <t>MEGH STEELS PRIVATE LIMITED - TVS A</t>
        </is>
      </c>
      <c r="D126" t="inlineStr">
        <is>
          <t>KG</t>
        </is>
      </c>
      <c r="E126" t="n">
        <v>349</v>
      </c>
      <c r="F126" t="n">
        <v>1929.999</v>
      </c>
      <c r="G126" t="n">
        <v>2627.307</v>
      </c>
      <c r="H126" t="inlineStr">
        <is>
          <t>056</t>
        </is>
      </c>
      <c r="I126" t="n">
        <v>3502256</v>
      </c>
      <c r="J126" t="inlineStr">
        <is>
          <t>TUB-O-N-AUT-AW-PE-25.40X2.500X5.5300</t>
        </is>
      </c>
      <c r="K126" t="n">
        <v>25.4</v>
      </c>
      <c r="L126" t="n">
        <v>0</v>
      </c>
      <c r="M126" t="n">
        <v>2.5</v>
      </c>
      <c r="N126" t="n">
        <v>5.53</v>
      </c>
      <c r="O126" t="inlineStr">
        <is>
          <t>Direct</t>
        </is>
      </c>
      <c r="P126" t="inlineStr">
        <is>
          <t>25.4-0-2.5-ERW 1-PE-5.53</t>
        </is>
      </c>
    </row>
    <row r="127">
      <c r="A127" t="n">
        <v>46203</v>
      </c>
      <c r="B127" t="inlineStr">
        <is>
          <t>0000943209</t>
        </is>
      </c>
      <c r="C127" t="inlineStr">
        <is>
          <t>MEGH STEELS PRIVATE LIMITED - TVS A</t>
        </is>
      </c>
      <c r="D127" t="inlineStr">
        <is>
          <t>KG</t>
        </is>
      </c>
      <c r="E127" t="n">
        <v>350</v>
      </c>
      <c r="F127" t="n">
        <v>1935.529</v>
      </c>
      <c r="G127" t="n">
        <v>2634.835</v>
      </c>
      <c r="H127" t="inlineStr">
        <is>
          <t>056</t>
        </is>
      </c>
      <c r="I127" t="n">
        <v>3502256</v>
      </c>
      <c r="J127" t="inlineStr">
        <is>
          <t>TUB-O-N-AUT-AW-PE-25.40X2.500X5.5300</t>
        </is>
      </c>
      <c r="K127" t="n">
        <v>25.4</v>
      </c>
      <c r="L127" t="n">
        <v>0</v>
      </c>
      <c r="M127" t="n">
        <v>2.5</v>
      </c>
      <c r="N127" t="n">
        <v>5.53</v>
      </c>
      <c r="O127" t="inlineStr">
        <is>
          <t>Direct</t>
        </is>
      </c>
      <c r="P127" t="inlineStr">
        <is>
          <t>25.4-0-2.5-ERW 1-PE-5.53</t>
        </is>
      </c>
    </row>
    <row r="128">
      <c r="A128" t="n">
        <v>46203</v>
      </c>
      <c r="B128" t="inlineStr">
        <is>
          <t>0000943209</t>
        </is>
      </c>
      <c r="C128" t="inlineStr">
        <is>
          <t>MEGH STEELS PRIVATE LIMITED - TVS A</t>
        </is>
      </c>
      <c r="D128" t="inlineStr">
        <is>
          <t>KG</t>
        </is>
      </c>
      <c r="E128" t="n">
        <v>349</v>
      </c>
      <c r="F128" t="n">
        <v>1929.999</v>
      </c>
      <c r="G128" t="n">
        <v>2627.307</v>
      </c>
      <c r="H128" t="inlineStr">
        <is>
          <t>056</t>
        </is>
      </c>
      <c r="I128" t="n">
        <v>3502256</v>
      </c>
      <c r="J128" t="inlineStr">
        <is>
          <t>TUB-O-N-AUT-AW-PE-25.40X2.500X5.5300</t>
        </is>
      </c>
      <c r="K128" t="n">
        <v>25.4</v>
      </c>
      <c r="L128" t="n">
        <v>0</v>
      </c>
      <c r="M128" t="n">
        <v>2.5</v>
      </c>
      <c r="N128" t="n">
        <v>5.53</v>
      </c>
      <c r="O128" t="inlineStr">
        <is>
          <t>Direct</t>
        </is>
      </c>
      <c r="P128" t="inlineStr">
        <is>
          <t>25.4-0-2.5-ERW 1-PE-5.53</t>
        </is>
      </c>
    </row>
    <row r="129">
      <c r="A129" t="n">
        <v>46203</v>
      </c>
      <c r="B129" t="inlineStr">
        <is>
          <t>0000943209</t>
        </is>
      </c>
      <c r="C129" t="inlineStr">
        <is>
          <t>MEGH STEELS PRIVATE LIMITED - TVS A</t>
        </is>
      </c>
      <c r="D129" t="inlineStr">
        <is>
          <t>KG</t>
        </is>
      </c>
      <c r="E129" t="n">
        <v>349</v>
      </c>
      <c r="F129" t="n">
        <v>1929.999</v>
      </c>
      <c r="G129" t="n">
        <v>2627.307</v>
      </c>
      <c r="H129" t="inlineStr">
        <is>
          <t>056</t>
        </is>
      </c>
      <c r="I129" t="n">
        <v>3502256</v>
      </c>
      <c r="J129" t="inlineStr">
        <is>
          <t>TUB-O-N-AUT-AW-PE-25.40X2.500X5.5300</t>
        </is>
      </c>
      <c r="K129" t="n">
        <v>25.4</v>
      </c>
      <c r="L129" t="n">
        <v>0</v>
      </c>
      <c r="M129" t="n">
        <v>2.5</v>
      </c>
      <c r="N129" t="n">
        <v>5.53</v>
      </c>
      <c r="O129" t="inlineStr">
        <is>
          <t>Direct</t>
        </is>
      </c>
      <c r="P129" t="inlineStr">
        <is>
          <t>25.4-0-2.5-ERW 1-PE-5.53</t>
        </is>
      </c>
    </row>
    <row r="130">
      <c r="A130" t="n">
        <v>46202</v>
      </c>
      <c r="B130" t="inlineStr">
        <is>
          <t>0000943209</t>
        </is>
      </c>
      <c r="C130" t="inlineStr">
        <is>
          <t>MEGH STEELS PRIVATE LIMITED - TVS A</t>
        </is>
      </c>
      <c r="D130" t="inlineStr">
        <is>
          <t>KG</t>
        </is>
      </c>
      <c r="E130" t="n">
        <v>349</v>
      </c>
      <c r="F130" t="n">
        <v>1929.999</v>
      </c>
      <c r="G130" t="n">
        <v>2627.307</v>
      </c>
      <c r="H130" t="inlineStr">
        <is>
          <t>056</t>
        </is>
      </c>
      <c r="I130" t="n">
        <v>3502256</v>
      </c>
      <c r="J130" t="inlineStr">
        <is>
          <t>TUB-O-N-AUT-AW-PE-25.40X2.500X5.5300</t>
        </is>
      </c>
      <c r="K130" t="n">
        <v>25.4</v>
      </c>
      <c r="L130" t="n">
        <v>0</v>
      </c>
      <c r="M130" t="n">
        <v>2.5</v>
      </c>
      <c r="N130" t="n">
        <v>5.53</v>
      </c>
      <c r="O130" t="inlineStr">
        <is>
          <t>Direct</t>
        </is>
      </c>
      <c r="P130" t="inlineStr">
        <is>
          <t>25.4-0-2.5-ERW 1-PE-5.53</t>
        </is>
      </c>
    </row>
    <row r="131">
      <c r="A131" t="n">
        <v>46202</v>
      </c>
      <c r="B131" t="inlineStr">
        <is>
          <t>0000943209</t>
        </is>
      </c>
      <c r="C131" t="inlineStr">
        <is>
          <t>MEGH STEELS PRIVATE LIMITED - TVS A</t>
        </is>
      </c>
      <c r="D131" t="inlineStr">
        <is>
          <t>KG</t>
        </is>
      </c>
      <c r="E131" t="n">
        <v>349</v>
      </c>
      <c r="F131" t="n">
        <v>1929.999</v>
      </c>
      <c r="G131" t="n">
        <v>2627.307</v>
      </c>
      <c r="H131" t="inlineStr">
        <is>
          <t>056</t>
        </is>
      </c>
      <c r="I131" t="n">
        <v>3502256</v>
      </c>
      <c r="J131" t="inlineStr">
        <is>
          <t>TUB-O-N-AUT-AW-PE-25.40X2.500X5.5300</t>
        </is>
      </c>
      <c r="K131" t="n">
        <v>25.4</v>
      </c>
      <c r="L131" t="n">
        <v>0</v>
      </c>
      <c r="M131" t="n">
        <v>2.5</v>
      </c>
      <c r="N131" t="n">
        <v>5.53</v>
      </c>
      <c r="O131" t="inlineStr">
        <is>
          <t>Direct</t>
        </is>
      </c>
      <c r="P131" t="inlineStr">
        <is>
          <t>25.4-0-2.5-ERW 1-PE-5.53</t>
        </is>
      </c>
    </row>
    <row r="132">
      <c r="A132" t="n">
        <v>46202</v>
      </c>
      <c r="B132" t="inlineStr">
        <is>
          <t>0000943209</t>
        </is>
      </c>
      <c r="C132" t="inlineStr">
        <is>
          <t>MEGH STEELS PRIVATE LIMITED - TVS A</t>
        </is>
      </c>
      <c r="D132" t="inlineStr">
        <is>
          <t>KG</t>
        </is>
      </c>
      <c r="E132" t="n">
        <v>350</v>
      </c>
      <c r="F132" t="n">
        <v>1935.529</v>
      </c>
      <c r="G132" t="n">
        <v>2634.835</v>
      </c>
      <c r="H132" t="inlineStr">
        <is>
          <t>056</t>
        </is>
      </c>
      <c r="I132" t="n">
        <v>3502256</v>
      </c>
      <c r="J132" t="inlineStr">
        <is>
          <t>TUB-O-N-AUT-AW-PE-25.40X2.500X5.5300</t>
        </is>
      </c>
      <c r="K132" t="n">
        <v>25.4</v>
      </c>
      <c r="L132" t="n">
        <v>0</v>
      </c>
      <c r="M132" t="n">
        <v>2.5</v>
      </c>
      <c r="N132" t="n">
        <v>5.53</v>
      </c>
      <c r="O132" t="inlineStr">
        <is>
          <t>Direct</t>
        </is>
      </c>
      <c r="P132" t="inlineStr">
        <is>
          <t>25.4-0-2.5-ERW 1-PE-5.53</t>
        </is>
      </c>
    </row>
    <row r="133">
      <c r="A133" t="n">
        <v>46202</v>
      </c>
      <c r="B133" t="inlineStr">
        <is>
          <t>0000943209</t>
        </is>
      </c>
      <c r="C133" t="inlineStr">
        <is>
          <t>MEGH STEELS PRIVATE LIMITED - TVS A</t>
        </is>
      </c>
      <c r="D133" t="inlineStr">
        <is>
          <t>KG</t>
        </is>
      </c>
      <c r="E133" t="n">
        <v>350</v>
      </c>
      <c r="F133" t="n">
        <v>1935.529</v>
      </c>
      <c r="G133" t="n">
        <v>2634.835</v>
      </c>
      <c r="H133" t="inlineStr">
        <is>
          <t>056</t>
        </is>
      </c>
      <c r="I133" t="n">
        <v>3502256</v>
      </c>
      <c r="J133" t="inlineStr">
        <is>
          <t>TUB-O-N-AUT-AW-PE-25.40X2.500X5.5300</t>
        </is>
      </c>
      <c r="K133" t="n">
        <v>25.4</v>
      </c>
      <c r="L133" t="n">
        <v>0</v>
      </c>
      <c r="M133" t="n">
        <v>2.5</v>
      </c>
      <c r="N133" t="n">
        <v>5.53</v>
      </c>
      <c r="O133" t="inlineStr">
        <is>
          <t>Direct</t>
        </is>
      </c>
      <c r="P133" t="inlineStr">
        <is>
          <t>25.4-0-2.5-ERW 1-PE-5.53</t>
        </is>
      </c>
    </row>
    <row r="134">
      <c r="A134" t="n">
        <v>46202</v>
      </c>
      <c r="B134" t="inlineStr">
        <is>
          <t>0000943209</t>
        </is>
      </c>
      <c r="C134" t="inlineStr">
        <is>
          <t>MEGH STEELS PRIVATE LIMITED - TVS A</t>
        </is>
      </c>
      <c r="D134" t="inlineStr">
        <is>
          <t>KG</t>
        </is>
      </c>
      <c r="E134" t="n">
        <v>352</v>
      </c>
      <c r="F134" t="n">
        <v>1946.589</v>
      </c>
      <c r="G134" t="n">
        <v>2649.891</v>
      </c>
      <c r="H134" t="inlineStr">
        <is>
          <t>056</t>
        </is>
      </c>
      <c r="I134" t="n">
        <v>3502256</v>
      </c>
      <c r="J134" t="inlineStr">
        <is>
          <t>TUB-O-N-AUT-AW-PE-25.40X2.500X5.5300</t>
        </is>
      </c>
      <c r="K134" t="n">
        <v>25.4</v>
      </c>
      <c r="L134" t="n">
        <v>0</v>
      </c>
      <c r="M134" t="n">
        <v>2.5</v>
      </c>
      <c r="N134" t="n">
        <v>5.53</v>
      </c>
      <c r="O134" t="inlineStr">
        <is>
          <t>Direct</t>
        </is>
      </c>
      <c r="P134" t="inlineStr">
        <is>
          <t>25.4-0-2.5-ERW 1-PE-5.53</t>
        </is>
      </c>
    </row>
    <row r="135">
      <c r="A135" t="n">
        <v>46202</v>
      </c>
      <c r="B135" t="inlineStr">
        <is>
          <t>0000943209</t>
        </is>
      </c>
      <c r="C135" t="inlineStr">
        <is>
          <t>MEGH STEELS PRIVATE LIMITED - TVS A</t>
        </is>
      </c>
      <c r="D135" t="inlineStr">
        <is>
          <t>KG</t>
        </is>
      </c>
      <c r="E135" t="n">
        <v>350</v>
      </c>
      <c r="F135" t="n">
        <v>1935.529</v>
      </c>
      <c r="G135" t="n">
        <v>2634.835</v>
      </c>
      <c r="H135" t="inlineStr">
        <is>
          <t>056</t>
        </is>
      </c>
      <c r="I135" t="n">
        <v>3502256</v>
      </c>
      <c r="J135" t="inlineStr">
        <is>
          <t>TUB-O-N-AUT-AW-PE-25.40X2.500X5.5300</t>
        </is>
      </c>
      <c r="K135" t="n">
        <v>25.4</v>
      </c>
      <c r="L135" t="n">
        <v>0</v>
      </c>
      <c r="M135" t="n">
        <v>2.5</v>
      </c>
      <c r="N135" t="n">
        <v>5.53</v>
      </c>
      <c r="O135" t="inlineStr">
        <is>
          <t>Direct</t>
        </is>
      </c>
      <c r="P135" t="inlineStr">
        <is>
          <t>25.4-0-2.5-ERW 1-PE-5.53</t>
        </is>
      </c>
    </row>
    <row r="136">
      <c r="A136" t="n">
        <v>46201</v>
      </c>
      <c r="B136" t="inlineStr">
        <is>
          <t>0000943209</t>
        </is>
      </c>
      <c r="C136" t="inlineStr">
        <is>
          <t>MEGH STEELS PRIVATE LIMITED - TVS A</t>
        </is>
      </c>
      <c r="D136" t="inlineStr">
        <is>
          <t>KG</t>
        </is>
      </c>
      <c r="E136" t="n">
        <v>350</v>
      </c>
      <c r="F136" t="n">
        <v>1935.529</v>
      </c>
      <c r="G136" t="n">
        <v>2634.835</v>
      </c>
      <c r="H136" t="inlineStr">
        <is>
          <t>056</t>
        </is>
      </c>
      <c r="I136" t="n">
        <v>3502256</v>
      </c>
      <c r="J136" t="inlineStr">
        <is>
          <t>TUB-O-N-AUT-AW-PE-25.40X2.500X5.5300</t>
        </is>
      </c>
      <c r="K136" t="n">
        <v>25.4</v>
      </c>
      <c r="L136" t="n">
        <v>0</v>
      </c>
      <c r="M136" t="n">
        <v>2.5</v>
      </c>
      <c r="N136" t="n">
        <v>5.53</v>
      </c>
      <c r="O136" t="inlineStr">
        <is>
          <t>Direct</t>
        </is>
      </c>
      <c r="P136" t="inlineStr">
        <is>
          <t>25.4-0-2.5-ERW 1-PE-5.53</t>
        </is>
      </c>
    </row>
    <row r="137">
      <c r="A137" t="n">
        <v>46177</v>
      </c>
      <c r="B137" t="inlineStr">
        <is>
          <t>0000943209</t>
        </is>
      </c>
      <c r="C137" t="inlineStr">
        <is>
          <t>MEGH STEELS PRIVATE LIMITED - TVS A</t>
        </is>
      </c>
      <c r="D137" t="inlineStr">
        <is>
          <t>KG</t>
        </is>
      </c>
      <c r="E137" t="n">
        <v>350</v>
      </c>
      <c r="F137" t="n">
        <v>1935.529</v>
      </c>
      <c r="G137" t="n">
        <v>2634.835</v>
      </c>
      <c r="H137" t="inlineStr">
        <is>
          <t>056</t>
        </is>
      </c>
      <c r="I137" t="n">
        <v>3502256</v>
      </c>
      <c r="J137" t="inlineStr">
        <is>
          <t>TUB-O-N-AUT-AW-PE-25.40X2.500X5.5300</t>
        </is>
      </c>
      <c r="K137" t="n">
        <v>25.4</v>
      </c>
      <c r="L137" t="n">
        <v>0</v>
      </c>
      <c r="M137" t="n">
        <v>2.5</v>
      </c>
      <c r="N137" t="n">
        <v>5.53</v>
      </c>
      <c r="O137" t="inlineStr">
        <is>
          <t>Direct</t>
        </is>
      </c>
      <c r="P137" t="inlineStr">
        <is>
          <t>25.4-0-2.5-ERW 1-PE-5.53</t>
        </is>
      </c>
    </row>
    <row r="138">
      <c r="A138" t="n">
        <v>46178</v>
      </c>
      <c r="B138" t="inlineStr">
        <is>
          <t>0000943209</t>
        </is>
      </c>
      <c r="C138" t="inlineStr">
        <is>
          <t>MEGH STEELS PRIVATE LIMITED - TVS A</t>
        </is>
      </c>
      <c r="D138" t="inlineStr">
        <is>
          <t>KG</t>
        </is>
      </c>
      <c r="E138" t="n">
        <v>126</v>
      </c>
      <c r="F138" t="n">
        <v>696.7910000000001</v>
      </c>
      <c r="G138" t="n">
        <v>948.5410000000001</v>
      </c>
      <c r="H138" t="inlineStr">
        <is>
          <t>056</t>
        </is>
      </c>
      <c r="I138" t="n">
        <v>3502256</v>
      </c>
      <c r="J138" t="inlineStr">
        <is>
          <t>TUB-O-N-AUT-AW-PE-25.40X2.500X5.5300</t>
        </is>
      </c>
      <c r="K138" t="n">
        <v>25.4</v>
      </c>
      <c r="L138" t="n">
        <v>0</v>
      </c>
      <c r="M138" t="n">
        <v>2.5</v>
      </c>
      <c r="N138" t="n">
        <v>5.53</v>
      </c>
      <c r="O138" t="inlineStr">
        <is>
          <t>Direct</t>
        </is>
      </c>
      <c r="P138" t="inlineStr">
        <is>
          <t>25.4-0-2.5-ERW 1-PE-5.53</t>
        </is>
      </c>
    </row>
    <row r="139">
      <c r="A139" t="n">
        <v>46177</v>
      </c>
      <c r="B139" t="inlineStr">
        <is>
          <t>0000943209</t>
        </is>
      </c>
      <c r="C139" t="inlineStr">
        <is>
          <t>MEGH STEELS PRIVATE LIMITED - TVS A</t>
        </is>
      </c>
      <c r="D139" t="inlineStr">
        <is>
          <t>KG</t>
        </is>
      </c>
      <c r="E139" t="n">
        <v>350</v>
      </c>
      <c r="F139" t="n">
        <v>1935.529</v>
      </c>
      <c r="G139" t="n">
        <v>2634.835</v>
      </c>
      <c r="H139" t="inlineStr">
        <is>
          <t>056</t>
        </is>
      </c>
      <c r="I139" t="n">
        <v>3502256</v>
      </c>
      <c r="J139" t="inlineStr">
        <is>
          <t>TUB-O-N-AUT-AW-PE-25.40X2.500X5.5300</t>
        </is>
      </c>
      <c r="K139" t="n">
        <v>25.4</v>
      </c>
      <c r="L139" t="n">
        <v>0</v>
      </c>
      <c r="M139" t="n">
        <v>2.5</v>
      </c>
      <c r="N139" t="n">
        <v>5.53</v>
      </c>
      <c r="O139" t="inlineStr">
        <is>
          <t>Direct</t>
        </is>
      </c>
      <c r="P139" t="inlineStr">
        <is>
          <t>25.4-0-2.5-ERW 1-PE-5.53</t>
        </is>
      </c>
    </row>
    <row r="140">
      <c r="A140" t="n">
        <v>46177</v>
      </c>
      <c r="B140" t="inlineStr">
        <is>
          <t>0000943209</t>
        </is>
      </c>
      <c r="C140" t="inlineStr">
        <is>
          <t>MEGH STEELS PRIVATE LIMITED - TVS A</t>
        </is>
      </c>
      <c r="D140" t="inlineStr">
        <is>
          <t>KG</t>
        </is>
      </c>
      <c r="E140" t="n">
        <v>349</v>
      </c>
      <c r="F140" t="n">
        <v>1929.999</v>
      </c>
      <c r="G140" t="n">
        <v>2627.307</v>
      </c>
      <c r="H140" t="inlineStr">
        <is>
          <t>056</t>
        </is>
      </c>
      <c r="I140" t="n">
        <v>3502256</v>
      </c>
      <c r="J140" t="inlineStr">
        <is>
          <t>TUB-O-N-AUT-AW-PE-25.40X2.500X5.5300</t>
        </is>
      </c>
      <c r="K140" t="n">
        <v>25.4</v>
      </c>
      <c r="L140" t="n">
        <v>0</v>
      </c>
      <c r="M140" t="n">
        <v>2.5</v>
      </c>
      <c r="N140" t="n">
        <v>5.53</v>
      </c>
      <c r="O140" t="inlineStr">
        <is>
          <t>Direct</t>
        </is>
      </c>
      <c r="P140" t="inlineStr">
        <is>
          <t>25.4-0-2.5-ERW 1-PE-5.53</t>
        </is>
      </c>
    </row>
    <row r="141">
      <c r="A141" t="n">
        <v>46177</v>
      </c>
      <c r="B141" t="inlineStr">
        <is>
          <t>0000943209</t>
        </is>
      </c>
      <c r="C141" t="inlineStr">
        <is>
          <t>MEGH STEELS PRIVATE LIMITED - TVS A</t>
        </is>
      </c>
      <c r="D141" t="inlineStr">
        <is>
          <t>KG</t>
        </is>
      </c>
      <c r="E141" t="n">
        <v>348</v>
      </c>
      <c r="F141" t="n">
        <v>1924.469</v>
      </c>
      <c r="G141" t="n">
        <v>2619.779</v>
      </c>
      <c r="H141" t="inlineStr">
        <is>
          <t>056</t>
        </is>
      </c>
      <c r="I141" t="n">
        <v>3502256</v>
      </c>
      <c r="J141" t="inlineStr">
        <is>
          <t>TUB-O-N-AUT-AW-PE-25.40X2.500X5.5300</t>
        </is>
      </c>
      <c r="K141" t="n">
        <v>25.4</v>
      </c>
      <c r="L141" t="n">
        <v>0</v>
      </c>
      <c r="M141" t="n">
        <v>2.5</v>
      </c>
      <c r="N141" t="n">
        <v>5.53</v>
      </c>
      <c r="O141" t="inlineStr">
        <is>
          <t>Direct</t>
        </is>
      </c>
      <c r="P141" t="inlineStr">
        <is>
          <t>25.4-0-2.5-ERW 1-PE-5.53</t>
        </is>
      </c>
    </row>
    <row r="142">
      <c r="A142" t="n">
        <v>46177</v>
      </c>
      <c r="B142" t="inlineStr">
        <is>
          <t>0000943209</t>
        </is>
      </c>
      <c r="C142" t="inlineStr">
        <is>
          <t>MEGH STEELS PRIVATE LIMITED - TVS A</t>
        </is>
      </c>
      <c r="D142" t="inlineStr">
        <is>
          <t>KG</t>
        </is>
      </c>
      <c r="E142" t="n">
        <v>349</v>
      </c>
      <c r="F142" t="n">
        <v>1929.999</v>
      </c>
      <c r="G142" t="n">
        <v>2627.307</v>
      </c>
      <c r="H142" t="inlineStr">
        <is>
          <t>056</t>
        </is>
      </c>
      <c r="I142" t="n">
        <v>3502256</v>
      </c>
      <c r="J142" t="inlineStr">
        <is>
          <t>TUB-O-N-AUT-AW-PE-25.40X2.500X5.5300</t>
        </is>
      </c>
      <c r="K142" t="n">
        <v>25.4</v>
      </c>
      <c r="L142" t="n">
        <v>0</v>
      </c>
      <c r="M142" t="n">
        <v>2.5</v>
      </c>
      <c r="N142" t="n">
        <v>5.53</v>
      </c>
      <c r="O142" t="inlineStr">
        <is>
          <t>Direct</t>
        </is>
      </c>
      <c r="P142" t="inlineStr">
        <is>
          <t>25.4-0-2.5-ERW 1-PE-5.53</t>
        </is>
      </c>
    </row>
    <row r="143">
      <c r="A143" t="n">
        <v>46177</v>
      </c>
      <c r="B143" t="inlineStr">
        <is>
          <t>0000943209</t>
        </is>
      </c>
      <c r="C143" t="inlineStr">
        <is>
          <t>MEGH STEELS PRIVATE LIMITED - TVS A</t>
        </is>
      </c>
      <c r="D143" t="inlineStr">
        <is>
          <t>KG</t>
        </is>
      </c>
      <c r="E143" t="n">
        <v>348</v>
      </c>
      <c r="F143" t="n">
        <v>1924.469</v>
      </c>
      <c r="G143" t="n">
        <v>2619.779</v>
      </c>
      <c r="H143" t="inlineStr">
        <is>
          <t>056</t>
        </is>
      </c>
      <c r="I143" t="n">
        <v>3502256</v>
      </c>
      <c r="J143" t="inlineStr">
        <is>
          <t>TUB-O-N-AUT-AW-PE-25.40X2.500X5.5300</t>
        </is>
      </c>
      <c r="K143" t="n">
        <v>25.4</v>
      </c>
      <c r="L143" t="n">
        <v>0</v>
      </c>
      <c r="M143" t="n">
        <v>2.5</v>
      </c>
      <c r="N143" t="n">
        <v>5.53</v>
      </c>
      <c r="O143" t="inlineStr">
        <is>
          <t>Direct</t>
        </is>
      </c>
      <c r="P143" t="inlineStr">
        <is>
          <t>25.4-0-2.5-ERW 1-PE-5.53</t>
        </is>
      </c>
    </row>
    <row r="144">
      <c r="A144" t="n">
        <v>46177</v>
      </c>
      <c r="B144" t="inlineStr">
        <is>
          <t>0000943209</t>
        </is>
      </c>
      <c r="C144" t="inlineStr">
        <is>
          <t>MEGH STEELS PRIVATE LIMITED - TVS A</t>
        </is>
      </c>
      <c r="D144" t="inlineStr">
        <is>
          <t>KG</t>
        </is>
      </c>
      <c r="E144" t="n">
        <v>340</v>
      </c>
      <c r="F144" t="n">
        <v>1880.228</v>
      </c>
      <c r="G144" t="n">
        <v>2559.554</v>
      </c>
      <c r="H144" t="inlineStr">
        <is>
          <t>056</t>
        </is>
      </c>
      <c r="I144" t="n">
        <v>3502256</v>
      </c>
      <c r="J144" t="inlineStr">
        <is>
          <t>TUB-O-N-AUT-AW-PE-25.40X2.500X5.5300</t>
        </is>
      </c>
      <c r="K144" t="n">
        <v>25.4</v>
      </c>
      <c r="L144" t="n">
        <v>0</v>
      </c>
      <c r="M144" t="n">
        <v>2.5</v>
      </c>
      <c r="N144" t="n">
        <v>5.53</v>
      </c>
      <c r="O144" t="inlineStr">
        <is>
          <t>Direct</t>
        </is>
      </c>
      <c r="P144" t="inlineStr">
        <is>
          <t>25.4-0-2.5-ERW 1-PE-5.53</t>
        </is>
      </c>
    </row>
    <row r="145">
      <c r="A145" t="n">
        <v>46177</v>
      </c>
      <c r="B145" t="inlineStr">
        <is>
          <t>0000943209</t>
        </is>
      </c>
      <c r="C145" t="inlineStr">
        <is>
          <t>MEGH STEELS PRIVATE LIMITED - TVS A</t>
        </is>
      </c>
      <c r="D145" t="inlineStr">
        <is>
          <t>KG</t>
        </is>
      </c>
      <c r="E145" t="n">
        <v>349</v>
      </c>
      <c r="F145" t="n">
        <v>1929.999</v>
      </c>
      <c r="G145" t="n">
        <v>2627.307</v>
      </c>
      <c r="H145" t="inlineStr">
        <is>
          <t>056</t>
        </is>
      </c>
      <c r="I145" t="n">
        <v>3502256</v>
      </c>
      <c r="J145" t="inlineStr">
        <is>
          <t>TUB-O-N-AUT-AW-PE-25.40X2.500X5.5300</t>
        </is>
      </c>
      <c r="K145" t="n">
        <v>25.4</v>
      </c>
      <c r="L145" t="n">
        <v>0</v>
      </c>
      <c r="M145" t="n">
        <v>2.5</v>
      </c>
      <c r="N145" t="n">
        <v>5.53</v>
      </c>
      <c r="O145" t="inlineStr">
        <is>
          <t>Direct</t>
        </is>
      </c>
      <c r="P145" t="inlineStr">
        <is>
          <t>25.4-0-2.5-ERW 1-PE-5.53</t>
        </is>
      </c>
    </row>
    <row r="146">
      <c r="A146" t="n">
        <v>46185</v>
      </c>
      <c r="B146" t="inlineStr">
        <is>
          <t>0000943211</t>
        </is>
      </c>
      <c r="C146" t="inlineStr">
        <is>
          <t>MEGH STEELS PRIVATE LIMITED - RE</t>
        </is>
      </c>
      <c r="D146" t="inlineStr">
        <is>
          <t>KG</t>
        </is>
      </c>
      <c r="E146" t="n">
        <v>208</v>
      </c>
      <c r="F146" t="n">
        <v>1154.096</v>
      </c>
      <c r="G146" t="n">
        <v>1599</v>
      </c>
      <c r="H146" t="inlineStr">
        <is>
          <t>0789</t>
        </is>
      </c>
      <c r="I146" t="n">
        <v>4180803</v>
      </c>
      <c r="J146" t="inlineStr">
        <is>
          <t>TUB-O-N-AUT-AW-FC-48.00X1.200X5.5500</t>
        </is>
      </c>
      <c r="K146" t="n">
        <v>48</v>
      </c>
      <c r="L146" t="n">
        <v>0</v>
      </c>
      <c r="M146" t="n">
        <v>1.2</v>
      </c>
      <c r="N146" t="n">
        <v>5.55</v>
      </c>
      <c r="O146" t="inlineStr">
        <is>
          <t>Direct</t>
        </is>
      </c>
    </row>
    <row r="147">
      <c r="A147" t="n">
        <v>46185</v>
      </c>
      <c r="B147" t="inlineStr">
        <is>
          <t>0000943211</t>
        </is>
      </c>
      <c r="C147" t="inlineStr">
        <is>
          <t>MEGH STEELS PRIVATE LIMITED - RE</t>
        </is>
      </c>
      <c r="D147" t="inlineStr">
        <is>
          <t>KG</t>
        </is>
      </c>
      <c r="E147" t="n">
        <v>14</v>
      </c>
      <c r="F147" t="n">
        <v>79.39400000000001</v>
      </c>
      <c r="G147" t="n">
        <v>110</v>
      </c>
      <c r="H147" t="inlineStr">
        <is>
          <t>0789</t>
        </is>
      </c>
      <c r="I147" t="n">
        <v>4180803</v>
      </c>
      <c r="J147" t="inlineStr">
        <is>
          <t>TUB-O-N-AUT-AW-FC-48.00X1.200X5.5500</t>
        </is>
      </c>
      <c r="K147" t="n">
        <v>48</v>
      </c>
      <c r="L147" t="n">
        <v>0</v>
      </c>
      <c r="M147" t="n">
        <v>1.2</v>
      </c>
      <c r="N147" t="n">
        <v>5.55</v>
      </c>
      <c r="O147" t="inlineStr">
        <is>
          <t>Direct</t>
        </is>
      </c>
    </row>
    <row r="148">
      <c r="A148" t="n">
        <v>46185</v>
      </c>
      <c r="B148" t="inlineStr">
        <is>
          <t>0000943211</t>
        </is>
      </c>
      <c r="C148" t="inlineStr">
        <is>
          <t>MEGH STEELS PRIVATE LIMITED - RE</t>
        </is>
      </c>
      <c r="D148" t="inlineStr">
        <is>
          <t>KG</t>
        </is>
      </c>
      <c r="E148" t="n">
        <v>207</v>
      </c>
      <c r="F148" t="n">
        <v>1149.044</v>
      </c>
      <c r="G148" t="n">
        <v>1592</v>
      </c>
      <c r="H148" t="inlineStr">
        <is>
          <t>0789</t>
        </is>
      </c>
      <c r="I148" t="n">
        <v>4180803</v>
      </c>
      <c r="J148" t="inlineStr">
        <is>
          <t>TUB-O-N-AUT-AW-FC-48.00X1.200X5.5500</t>
        </is>
      </c>
      <c r="K148" t="n">
        <v>48</v>
      </c>
      <c r="L148" t="n">
        <v>0</v>
      </c>
      <c r="M148" t="n">
        <v>1.2</v>
      </c>
      <c r="N148" t="n">
        <v>5.55</v>
      </c>
      <c r="O148" t="inlineStr">
        <is>
          <t>Direct</t>
        </is>
      </c>
    </row>
    <row r="149">
      <c r="A149" t="n">
        <v>46185</v>
      </c>
      <c r="B149" t="inlineStr">
        <is>
          <t>0000943211</t>
        </is>
      </c>
      <c r="C149" t="inlineStr">
        <is>
          <t>MEGH STEELS PRIVATE LIMITED - RE</t>
        </is>
      </c>
      <c r="D149" t="inlineStr">
        <is>
          <t>KG</t>
        </is>
      </c>
      <c r="E149" t="n">
        <v>200</v>
      </c>
      <c r="F149" t="n">
        <v>1110.069</v>
      </c>
      <c r="G149" t="n">
        <v>1538</v>
      </c>
      <c r="H149" t="inlineStr">
        <is>
          <t>0789</t>
        </is>
      </c>
      <c r="I149" t="n">
        <v>4180803</v>
      </c>
      <c r="J149" t="inlineStr">
        <is>
          <t>TUB-O-N-AUT-AW-FC-48.00X1.200X5.5500</t>
        </is>
      </c>
      <c r="K149" t="n">
        <v>48</v>
      </c>
      <c r="L149" t="n">
        <v>0</v>
      </c>
      <c r="M149" t="n">
        <v>1.2</v>
      </c>
      <c r="N149" t="n">
        <v>5.55</v>
      </c>
      <c r="O149" t="inlineStr">
        <is>
          <t>Direct</t>
        </is>
      </c>
    </row>
    <row r="150">
      <c r="A150" t="n">
        <v>46185</v>
      </c>
      <c r="B150" t="inlineStr">
        <is>
          <t>0000943211</t>
        </is>
      </c>
      <c r="C150" t="inlineStr">
        <is>
          <t>MEGH STEELS PRIVATE LIMITED - RE</t>
        </is>
      </c>
      <c r="D150" t="inlineStr">
        <is>
          <t>KG</t>
        </is>
      </c>
      <c r="E150" t="n">
        <v>172</v>
      </c>
      <c r="F150" t="n">
        <v>953.446</v>
      </c>
      <c r="G150" t="n">
        <v>1321</v>
      </c>
      <c r="H150" t="inlineStr">
        <is>
          <t>0789</t>
        </is>
      </c>
      <c r="I150" t="n">
        <v>4180803</v>
      </c>
      <c r="J150" t="inlineStr">
        <is>
          <t>TUB-O-N-AUT-AW-FC-48.00X1.200X5.5500</t>
        </is>
      </c>
      <c r="K150" t="n">
        <v>48</v>
      </c>
      <c r="L150" t="n">
        <v>0</v>
      </c>
      <c r="M150" t="n">
        <v>1.2</v>
      </c>
      <c r="N150" t="n">
        <v>5.55</v>
      </c>
      <c r="O150" t="inlineStr">
        <is>
          <t>Direct</t>
        </is>
      </c>
    </row>
    <row r="151">
      <c r="A151" t="n">
        <v>46178</v>
      </c>
      <c r="B151" t="inlineStr">
        <is>
          <t>0000943209</t>
        </is>
      </c>
      <c r="C151" t="inlineStr">
        <is>
          <t>MEGH STEELS PRIVATE LIMITED - TVS A</t>
        </is>
      </c>
      <c r="D151" t="inlineStr">
        <is>
          <t>KG</t>
        </is>
      </c>
      <c r="E151" t="n">
        <v>150</v>
      </c>
      <c r="F151" t="n">
        <v>847.472</v>
      </c>
      <c r="G151" t="n">
        <v>1473.33</v>
      </c>
      <c r="H151" t="inlineStr">
        <is>
          <t>056</t>
        </is>
      </c>
      <c r="I151" t="n">
        <v>3500959</v>
      </c>
      <c r="J151" t="inlineStr">
        <is>
          <t>TUB-O-N-AUT-AW-FC-38.10X2.00X5.650-ERW 1</t>
        </is>
      </c>
      <c r="K151" t="n">
        <v>38.1</v>
      </c>
      <c r="L151" t="n">
        <v>0</v>
      </c>
      <c r="M151" t="n">
        <v>2</v>
      </c>
      <c r="N151" t="n">
        <v>5.65</v>
      </c>
      <c r="O151" t="inlineStr">
        <is>
          <t>Direct</t>
        </is>
      </c>
      <c r="P151" t="inlineStr">
        <is>
          <t>38.1-0-2-ERW 1-FC-5.65</t>
        </is>
      </c>
    </row>
    <row r="152">
      <c r="A152" t="n">
        <v>46178</v>
      </c>
      <c r="B152" t="inlineStr">
        <is>
          <t>0000943209</t>
        </is>
      </c>
      <c r="C152" t="inlineStr">
        <is>
          <t>MEGH STEELS PRIVATE LIMITED - TVS A</t>
        </is>
      </c>
      <c r="D152" t="inlineStr">
        <is>
          <t>KG</t>
        </is>
      </c>
      <c r="E152" t="n">
        <v>217</v>
      </c>
      <c r="F152" t="n">
        <v>1226.009</v>
      </c>
      <c r="G152" t="n">
        <v>2131.417</v>
      </c>
      <c r="H152" t="inlineStr">
        <is>
          <t>056</t>
        </is>
      </c>
      <c r="I152" t="n">
        <v>3500959</v>
      </c>
      <c r="J152" t="inlineStr">
        <is>
          <t>TUB-O-N-AUT-AW-FC-38.10X2.00X5.650-ERW 1</t>
        </is>
      </c>
      <c r="K152" t="n">
        <v>38.1</v>
      </c>
      <c r="L152" t="n">
        <v>0</v>
      </c>
      <c r="M152" t="n">
        <v>2</v>
      </c>
      <c r="N152" t="n">
        <v>5.65</v>
      </c>
      <c r="O152" t="inlineStr">
        <is>
          <t>Direct</t>
        </is>
      </c>
      <c r="P152" t="inlineStr">
        <is>
          <t>38.1-0-2-ERW 1-FC-5.65</t>
        </is>
      </c>
    </row>
    <row r="153">
      <c r="A153" t="n">
        <v>46189</v>
      </c>
      <c r="B153" t="inlineStr">
        <is>
          <t>0000943211</t>
        </is>
      </c>
      <c r="C153" t="inlineStr">
        <is>
          <t>MEGH STEELS PRIVATE LIMITED - RE</t>
        </is>
      </c>
      <c r="D153" t="inlineStr">
        <is>
          <t>KG</t>
        </is>
      </c>
      <c r="E153" t="n">
        <v>108</v>
      </c>
      <c r="F153" t="n">
        <v>612.053</v>
      </c>
      <c r="G153" t="n">
        <v>848</v>
      </c>
      <c r="H153" t="inlineStr">
        <is>
          <t>0789</t>
        </is>
      </c>
      <c r="I153" t="n">
        <v>3460088</v>
      </c>
      <c r="J153" t="inlineStr">
        <is>
          <t>TUB-O-N-AUT-AW-FC-48.00X1.200X5.6700</t>
        </is>
      </c>
      <c r="K153" t="n">
        <v>48</v>
      </c>
      <c r="L153" t="n">
        <v>0</v>
      </c>
      <c r="M153" t="n">
        <v>1.2</v>
      </c>
      <c r="N153" t="n">
        <v>5.67</v>
      </c>
      <c r="O153" t="inlineStr">
        <is>
          <t>Direct</t>
        </is>
      </c>
    </row>
    <row r="154">
      <c r="A154" t="n">
        <v>46189</v>
      </c>
      <c r="B154" t="inlineStr">
        <is>
          <t>0000943211</t>
        </is>
      </c>
      <c r="C154" t="inlineStr">
        <is>
          <t>MEGH STEELS PRIVATE LIMITED - RE</t>
        </is>
      </c>
      <c r="D154" t="inlineStr">
        <is>
          <t>KG</t>
        </is>
      </c>
      <c r="E154" t="n">
        <v>124</v>
      </c>
      <c r="F154" t="n">
        <v>703.717</v>
      </c>
      <c r="G154" t="n">
        <v>975</v>
      </c>
      <c r="H154" t="inlineStr">
        <is>
          <t>0789</t>
        </is>
      </c>
      <c r="I154" t="n">
        <v>3460088</v>
      </c>
      <c r="J154" t="inlineStr">
        <is>
          <t>TUB-O-N-AUT-AW-FC-48.00X1.200X5.6700</t>
        </is>
      </c>
      <c r="K154" t="n">
        <v>48</v>
      </c>
      <c r="L154" t="n">
        <v>0</v>
      </c>
      <c r="M154" t="n">
        <v>1.2</v>
      </c>
      <c r="N154" t="n">
        <v>5.67</v>
      </c>
      <c r="O154" t="inlineStr">
        <is>
          <t>Direct</t>
        </is>
      </c>
    </row>
    <row r="155">
      <c r="A155" t="n">
        <v>46189</v>
      </c>
      <c r="B155" t="inlineStr">
        <is>
          <t>0000943211</t>
        </is>
      </c>
      <c r="C155" t="inlineStr">
        <is>
          <t>MEGH STEELS PRIVATE LIMITED - RE</t>
        </is>
      </c>
      <c r="D155" t="inlineStr">
        <is>
          <t>KG</t>
        </is>
      </c>
      <c r="E155" t="n">
        <v>194</v>
      </c>
      <c r="F155" t="n">
        <v>1099.964</v>
      </c>
      <c r="G155" t="n">
        <v>1524</v>
      </c>
      <c r="H155" t="inlineStr">
        <is>
          <t>0789</t>
        </is>
      </c>
      <c r="I155" t="n">
        <v>3460088</v>
      </c>
      <c r="J155" t="inlineStr">
        <is>
          <t>TUB-O-N-AUT-AW-FC-48.00X1.200X5.6700</t>
        </is>
      </c>
      <c r="K155" t="n">
        <v>48</v>
      </c>
      <c r="L155" t="n">
        <v>0</v>
      </c>
      <c r="M155" t="n">
        <v>1.2</v>
      </c>
      <c r="N155" t="n">
        <v>5.67</v>
      </c>
      <c r="O155" t="inlineStr">
        <is>
          <t>Direct</t>
        </is>
      </c>
    </row>
    <row r="156">
      <c r="A156" t="n">
        <v>46189</v>
      </c>
      <c r="B156" t="inlineStr">
        <is>
          <t>0000943211</t>
        </is>
      </c>
      <c r="C156" t="inlineStr">
        <is>
          <t>MEGH STEELS PRIVATE LIMITED - RE</t>
        </is>
      </c>
      <c r="D156" t="inlineStr">
        <is>
          <t>KG</t>
        </is>
      </c>
      <c r="E156" t="n">
        <v>155</v>
      </c>
      <c r="F156" t="n">
        <v>876.218</v>
      </c>
      <c r="G156" t="n">
        <v>1214</v>
      </c>
      <c r="H156" t="inlineStr">
        <is>
          <t>0789</t>
        </is>
      </c>
      <c r="I156" t="n">
        <v>3460088</v>
      </c>
      <c r="J156" t="inlineStr">
        <is>
          <t>TUB-O-N-AUT-AW-FC-48.00X1.200X5.6700</t>
        </is>
      </c>
      <c r="K156" t="n">
        <v>48</v>
      </c>
      <c r="L156" t="n">
        <v>0</v>
      </c>
      <c r="M156" t="n">
        <v>1.2</v>
      </c>
      <c r="N156" t="n">
        <v>5.67</v>
      </c>
      <c r="O156" t="inlineStr">
        <is>
          <t>Direct</t>
        </is>
      </c>
    </row>
    <row r="157">
      <c r="A157" t="n">
        <v>46189</v>
      </c>
      <c r="B157" t="inlineStr">
        <is>
          <t>0000943211</t>
        </is>
      </c>
      <c r="C157" t="inlineStr">
        <is>
          <t>MEGH STEELS PRIVATE LIMITED - RE</t>
        </is>
      </c>
      <c r="D157" t="inlineStr">
        <is>
          <t>KG</t>
        </is>
      </c>
      <c r="E157" t="n">
        <v>201</v>
      </c>
      <c r="F157" t="n">
        <v>1139.661</v>
      </c>
      <c r="G157" t="n">
        <v>1579</v>
      </c>
      <c r="H157" t="inlineStr">
        <is>
          <t>0789</t>
        </is>
      </c>
      <c r="I157" t="n">
        <v>3460088</v>
      </c>
      <c r="J157" t="inlineStr">
        <is>
          <t>TUB-O-N-AUT-AW-FC-48.00X1.200X5.6700</t>
        </is>
      </c>
      <c r="K157" t="n">
        <v>48</v>
      </c>
      <c r="L157" t="n">
        <v>0</v>
      </c>
      <c r="M157" t="n">
        <v>1.2</v>
      </c>
      <c r="N157" t="n">
        <v>5.67</v>
      </c>
      <c r="O157" t="inlineStr">
        <is>
          <t>Direct</t>
        </is>
      </c>
    </row>
    <row r="158">
      <c r="A158" t="n">
        <v>46198</v>
      </c>
      <c r="B158" t="inlineStr">
        <is>
          <t>0000943209</t>
        </is>
      </c>
      <c r="C158" t="inlineStr">
        <is>
          <t>MEGH STEELS PRIVATE LIMITED - TVS A</t>
        </is>
      </c>
      <c r="D158" t="inlineStr">
        <is>
          <t>KG</t>
        </is>
      </c>
      <c r="E158" t="n">
        <v>419</v>
      </c>
      <c r="F158" t="n">
        <v>2375.712</v>
      </c>
      <c r="G158" t="n">
        <v>1864.089</v>
      </c>
      <c r="H158" t="inlineStr">
        <is>
          <t>056</t>
        </is>
      </c>
      <c r="I158" t="n">
        <v>3954021</v>
      </c>
      <c r="J158" t="inlineStr">
        <is>
          <t>TUB-O-N-AUT-AW-PE-22.20X1.600X5.6700</t>
        </is>
      </c>
      <c r="K158" t="n">
        <v>22.2</v>
      </c>
      <c r="L158" t="n">
        <v>0</v>
      </c>
      <c r="M158" t="n">
        <v>1.6</v>
      </c>
      <c r="N158" t="n">
        <v>5.67</v>
      </c>
      <c r="O158" t="inlineStr">
        <is>
          <t>Direct</t>
        </is>
      </c>
      <c r="P158" t="inlineStr">
        <is>
          <t>22.23-0-1.6-ERW 1-PE-5.67</t>
        </is>
      </c>
    </row>
    <row r="159">
      <c r="A159" t="n">
        <v>46198</v>
      </c>
      <c r="B159" t="inlineStr">
        <is>
          <t>0000943209</t>
        </is>
      </c>
      <c r="C159" t="inlineStr">
        <is>
          <t>MEGH STEELS PRIVATE LIMITED - TVS A</t>
        </is>
      </c>
      <c r="D159" t="inlineStr">
        <is>
          <t>KG</t>
        </is>
      </c>
      <c r="E159" t="n">
        <v>419</v>
      </c>
      <c r="F159" t="n">
        <v>2375.712</v>
      </c>
      <c r="G159" t="n">
        <v>1864.089</v>
      </c>
      <c r="H159" t="inlineStr">
        <is>
          <t>056</t>
        </is>
      </c>
      <c r="I159" t="n">
        <v>3954021</v>
      </c>
      <c r="J159" t="inlineStr">
        <is>
          <t>TUB-O-N-AUT-AW-PE-22.20X1.600X5.6700</t>
        </is>
      </c>
      <c r="K159" t="n">
        <v>22.2</v>
      </c>
      <c r="L159" t="n">
        <v>0</v>
      </c>
      <c r="M159" t="n">
        <v>1.6</v>
      </c>
      <c r="N159" t="n">
        <v>5.67</v>
      </c>
      <c r="O159" t="inlineStr">
        <is>
          <t>Direct</t>
        </is>
      </c>
      <c r="P159" t="inlineStr">
        <is>
          <t>22.23-0-1.6-ERW 1-PE-5.67</t>
        </is>
      </c>
    </row>
    <row r="160">
      <c r="A160" t="n">
        <v>46198</v>
      </c>
      <c r="B160" t="inlineStr">
        <is>
          <t>0000943209</t>
        </is>
      </c>
      <c r="C160" t="inlineStr">
        <is>
          <t>MEGH STEELS PRIVATE LIMITED - TVS A</t>
        </is>
      </c>
      <c r="D160" t="inlineStr">
        <is>
          <t>KG</t>
        </is>
      </c>
      <c r="E160" t="n">
        <v>419</v>
      </c>
      <c r="F160" t="n">
        <v>2375.712</v>
      </c>
      <c r="G160" t="n">
        <v>1864.089</v>
      </c>
      <c r="H160" t="inlineStr">
        <is>
          <t>056</t>
        </is>
      </c>
      <c r="I160" t="n">
        <v>3954021</v>
      </c>
      <c r="J160" t="inlineStr">
        <is>
          <t>TUB-O-N-AUT-AW-PE-22.20X1.600X5.6700</t>
        </is>
      </c>
      <c r="K160" t="n">
        <v>22.2</v>
      </c>
      <c r="L160" t="n">
        <v>0</v>
      </c>
      <c r="M160" t="n">
        <v>1.6</v>
      </c>
      <c r="N160" t="n">
        <v>5.67</v>
      </c>
      <c r="O160" t="inlineStr">
        <is>
          <t>Direct</t>
        </is>
      </c>
      <c r="P160" t="inlineStr">
        <is>
          <t>22.23-0-1.6-ERW 1-PE-5.67</t>
        </is>
      </c>
    </row>
    <row r="161">
      <c r="A161" t="n">
        <v>46198</v>
      </c>
      <c r="B161" t="inlineStr">
        <is>
          <t>0000943209</t>
        </is>
      </c>
      <c r="C161" t="inlineStr">
        <is>
          <t>MEGH STEELS PRIVATE LIMITED - TVS A</t>
        </is>
      </c>
      <c r="D161" t="inlineStr">
        <is>
          <t>KG</t>
        </is>
      </c>
      <c r="E161" t="n">
        <v>249</v>
      </c>
      <c r="F161" t="n">
        <v>1411.819</v>
      </c>
      <c r="G161" t="n">
        <v>1107.776</v>
      </c>
      <c r="H161" t="inlineStr">
        <is>
          <t>056</t>
        </is>
      </c>
      <c r="I161" t="n">
        <v>3954021</v>
      </c>
      <c r="J161" t="inlineStr">
        <is>
          <t>TUB-O-N-AUT-AW-PE-22.20X1.600X5.6700</t>
        </is>
      </c>
      <c r="K161" t="n">
        <v>22.2</v>
      </c>
      <c r="L161" t="n">
        <v>0</v>
      </c>
      <c r="M161" t="n">
        <v>1.6</v>
      </c>
      <c r="N161" t="n">
        <v>5.67</v>
      </c>
      <c r="O161" t="inlineStr">
        <is>
          <t>Direct</t>
        </is>
      </c>
      <c r="P161" t="inlineStr">
        <is>
          <t>22.23-0-1.6-ERW 1-PE-5.67</t>
        </is>
      </c>
    </row>
    <row r="162">
      <c r="A162" t="n">
        <v>46198</v>
      </c>
      <c r="B162" t="inlineStr">
        <is>
          <t>0000943209</t>
        </is>
      </c>
      <c r="C162" t="inlineStr">
        <is>
          <t>MEGH STEELS PRIVATE LIMITED - TVS A</t>
        </is>
      </c>
      <c r="D162" t="inlineStr">
        <is>
          <t>KG</t>
        </is>
      </c>
      <c r="E162" t="n">
        <v>416</v>
      </c>
      <c r="F162" t="n">
        <v>2358.701</v>
      </c>
      <c r="G162" t="n">
        <v>1850.742</v>
      </c>
      <c r="H162" t="inlineStr">
        <is>
          <t>056</t>
        </is>
      </c>
      <c r="I162" t="n">
        <v>3954021</v>
      </c>
      <c r="J162" t="inlineStr">
        <is>
          <t>TUB-O-N-AUT-AW-PE-22.20X1.600X5.6700</t>
        </is>
      </c>
      <c r="K162" t="n">
        <v>22.2</v>
      </c>
      <c r="L162" t="n">
        <v>0</v>
      </c>
      <c r="M162" t="n">
        <v>1.6</v>
      </c>
      <c r="N162" t="n">
        <v>5.67</v>
      </c>
      <c r="O162" t="inlineStr">
        <is>
          <t>Direct</t>
        </is>
      </c>
      <c r="P162" t="inlineStr">
        <is>
          <t>22.23-0-1.6-ERW 1-PE-5.67</t>
        </is>
      </c>
    </row>
    <row r="163">
      <c r="A163" t="n">
        <v>46198</v>
      </c>
      <c r="B163" t="inlineStr">
        <is>
          <t>0000943209</t>
        </is>
      </c>
      <c r="C163" t="inlineStr">
        <is>
          <t>MEGH STEELS PRIVATE LIMITED - TVS A</t>
        </is>
      </c>
      <c r="D163" t="inlineStr">
        <is>
          <t>KG</t>
        </is>
      </c>
      <c r="E163" t="n">
        <v>420</v>
      </c>
      <c r="F163" t="n">
        <v>2381.382</v>
      </c>
      <c r="G163" t="n">
        <v>1868.538</v>
      </c>
      <c r="H163" t="inlineStr">
        <is>
          <t>056</t>
        </is>
      </c>
      <c r="I163" t="n">
        <v>3954021</v>
      </c>
      <c r="J163" t="inlineStr">
        <is>
          <t>TUB-O-N-AUT-AW-PE-22.20X1.600X5.6700</t>
        </is>
      </c>
      <c r="K163" t="n">
        <v>22.2</v>
      </c>
      <c r="L163" t="n">
        <v>0</v>
      </c>
      <c r="M163" t="n">
        <v>1.6</v>
      </c>
      <c r="N163" t="n">
        <v>5.67</v>
      </c>
      <c r="O163" t="inlineStr">
        <is>
          <t>Direct</t>
        </is>
      </c>
      <c r="P163" t="inlineStr">
        <is>
          <t>22.23-0-1.6-ERW 1-PE-5.67</t>
        </is>
      </c>
    </row>
    <row r="164">
      <c r="A164" t="n">
        <v>46198</v>
      </c>
      <c r="B164" t="inlineStr">
        <is>
          <t>0000943209</t>
        </is>
      </c>
      <c r="C164" t="inlineStr">
        <is>
          <t>MEGH STEELS PRIVATE LIMITED - TVS A</t>
        </is>
      </c>
      <c r="D164" t="inlineStr">
        <is>
          <t>KG</t>
        </is>
      </c>
      <c r="E164" t="n">
        <v>416</v>
      </c>
      <c r="F164" t="n">
        <v>2358.701</v>
      </c>
      <c r="G164" t="n">
        <v>1850.742</v>
      </c>
      <c r="H164" t="inlineStr">
        <is>
          <t>056</t>
        </is>
      </c>
      <c r="I164" t="n">
        <v>3954021</v>
      </c>
      <c r="J164" t="inlineStr">
        <is>
          <t>TUB-O-N-AUT-AW-PE-22.20X1.600X5.6700</t>
        </is>
      </c>
      <c r="K164" t="n">
        <v>22.2</v>
      </c>
      <c r="L164" t="n">
        <v>0</v>
      </c>
      <c r="M164" t="n">
        <v>1.6</v>
      </c>
      <c r="N164" t="n">
        <v>5.67</v>
      </c>
      <c r="O164" t="inlineStr">
        <is>
          <t>Direct</t>
        </is>
      </c>
      <c r="P164" t="inlineStr">
        <is>
          <t>22.23-0-1.6-ERW 1-PE-5.67</t>
        </is>
      </c>
    </row>
    <row r="165">
      <c r="A165" t="n">
        <v>46198</v>
      </c>
      <c r="B165" t="inlineStr">
        <is>
          <t>0000943209</t>
        </is>
      </c>
      <c r="C165" t="inlineStr">
        <is>
          <t>MEGH STEELS PRIVATE LIMITED - TVS A</t>
        </is>
      </c>
      <c r="D165" t="inlineStr">
        <is>
          <t>KG</t>
        </is>
      </c>
      <c r="E165" t="n">
        <v>416</v>
      </c>
      <c r="F165" t="n">
        <v>2358.701</v>
      </c>
      <c r="G165" t="n">
        <v>1850.742</v>
      </c>
      <c r="H165" t="inlineStr">
        <is>
          <t>056</t>
        </is>
      </c>
      <c r="I165" t="n">
        <v>3954021</v>
      </c>
      <c r="J165" t="inlineStr">
        <is>
          <t>TUB-O-N-AUT-AW-PE-22.20X1.600X5.6700</t>
        </is>
      </c>
      <c r="K165" t="n">
        <v>22.2</v>
      </c>
      <c r="L165" t="n">
        <v>0</v>
      </c>
      <c r="M165" t="n">
        <v>1.6</v>
      </c>
      <c r="N165" t="n">
        <v>5.67</v>
      </c>
      <c r="O165" t="inlineStr">
        <is>
          <t>Direct</t>
        </is>
      </c>
      <c r="P165" t="inlineStr">
        <is>
          <t>22.23-0-1.6-ERW 1-PE-5.67</t>
        </is>
      </c>
    </row>
    <row r="166">
      <c r="A166" t="n">
        <v>46198</v>
      </c>
      <c r="B166" t="inlineStr">
        <is>
          <t>0000943209</t>
        </is>
      </c>
      <c r="C166" t="inlineStr">
        <is>
          <t>MEGH STEELS PRIVATE LIMITED - TVS A</t>
        </is>
      </c>
      <c r="D166" t="inlineStr">
        <is>
          <t>KG</t>
        </is>
      </c>
      <c r="E166" t="n">
        <v>419</v>
      </c>
      <c r="F166" t="n">
        <v>2375.712</v>
      </c>
      <c r="G166" t="n">
        <v>1864.089</v>
      </c>
      <c r="H166" t="inlineStr">
        <is>
          <t>056</t>
        </is>
      </c>
      <c r="I166" t="n">
        <v>3954021</v>
      </c>
      <c r="J166" t="inlineStr">
        <is>
          <t>TUB-O-N-AUT-AW-PE-22.20X1.600X5.6700</t>
        </is>
      </c>
      <c r="K166" t="n">
        <v>22.2</v>
      </c>
      <c r="L166" t="n">
        <v>0</v>
      </c>
      <c r="M166" t="n">
        <v>1.6</v>
      </c>
      <c r="N166" t="n">
        <v>5.67</v>
      </c>
      <c r="O166" t="inlineStr">
        <is>
          <t>Direct</t>
        </is>
      </c>
      <c r="P166" t="inlineStr">
        <is>
          <t>22.23-0-1.6-ERW 1-PE-5.67</t>
        </is>
      </c>
    </row>
    <row r="167">
      <c r="A167" t="n">
        <v>46198</v>
      </c>
      <c r="B167" t="inlineStr">
        <is>
          <t>0000943209</t>
        </is>
      </c>
      <c r="C167" t="inlineStr">
        <is>
          <t>MEGH STEELS PRIVATE LIMITED - TVS A</t>
        </is>
      </c>
      <c r="D167" t="inlineStr">
        <is>
          <t>KG</t>
        </is>
      </c>
      <c r="E167" t="n">
        <v>419</v>
      </c>
      <c r="F167" t="n">
        <v>2375.712</v>
      </c>
      <c r="G167" t="n">
        <v>1864.089</v>
      </c>
      <c r="H167" t="inlineStr">
        <is>
          <t>056</t>
        </is>
      </c>
      <c r="I167" t="n">
        <v>3954021</v>
      </c>
      <c r="J167" t="inlineStr">
        <is>
          <t>TUB-O-N-AUT-AW-PE-22.20X1.600X5.6700</t>
        </is>
      </c>
      <c r="K167" t="n">
        <v>22.2</v>
      </c>
      <c r="L167" t="n">
        <v>0</v>
      </c>
      <c r="M167" t="n">
        <v>1.6</v>
      </c>
      <c r="N167" t="n">
        <v>5.67</v>
      </c>
      <c r="O167" t="inlineStr">
        <is>
          <t>Direct</t>
        </is>
      </c>
      <c r="P167" t="inlineStr">
        <is>
          <t>22.23-0-1.6-ERW 1-PE-5.67</t>
        </is>
      </c>
    </row>
    <row r="168">
      <c r="A168" t="n">
        <v>46198</v>
      </c>
      <c r="B168" t="inlineStr">
        <is>
          <t>0000943209</t>
        </is>
      </c>
      <c r="C168" t="inlineStr">
        <is>
          <t>MEGH STEELS PRIVATE LIMITED - TVS A</t>
        </is>
      </c>
      <c r="D168" t="inlineStr">
        <is>
          <t>KG</t>
        </is>
      </c>
      <c r="E168" t="n">
        <v>420</v>
      </c>
      <c r="F168" t="n">
        <v>2381.382</v>
      </c>
      <c r="G168" t="n">
        <v>1868.538</v>
      </c>
      <c r="H168" t="inlineStr">
        <is>
          <t>056</t>
        </is>
      </c>
      <c r="I168" t="n">
        <v>3954021</v>
      </c>
      <c r="J168" t="inlineStr">
        <is>
          <t>TUB-O-N-AUT-AW-PE-22.20X1.600X5.6700</t>
        </is>
      </c>
      <c r="K168" t="n">
        <v>22.2</v>
      </c>
      <c r="L168" t="n">
        <v>0</v>
      </c>
      <c r="M168" t="n">
        <v>1.6</v>
      </c>
      <c r="N168" t="n">
        <v>5.67</v>
      </c>
      <c r="O168" t="inlineStr">
        <is>
          <t>Direct</t>
        </is>
      </c>
      <c r="P168" t="inlineStr">
        <is>
          <t>22.23-0-1.6-ERW 1-PE-5.67</t>
        </is>
      </c>
    </row>
    <row r="169">
      <c r="A169" t="n">
        <v>46198</v>
      </c>
      <c r="B169" t="inlineStr">
        <is>
          <t>0000943209</t>
        </is>
      </c>
      <c r="C169" t="inlineStr">
        <is>
          <t>MEGH STEELS PRIVATE LIMITED - TVS A</t>
        </is>
      </c>
      <c r="D169" t="inlineStr">
        <is>
          <t>KG</t>
        </is>
      </c>
      <c r="E169" t="n">
        <v>420</v>
      </c>
      <c r="F169" t="n">
        <v>2381.382</v>
      </c>
      <c r="G169" t="n">
        <v>1868.538</v>
      </c>
      <c r="H169" t="inlineStr">
        <is>
          <t>056</t>
        </is>
      </c>
      <c r="I169" t="n">
        <v>3954021</v>
      </c>
      <c r="J169" t="inlineStr">
        <is>
          <t>TUB-O-N-AUT-AW-PE-22.20X1.600X5.6700</t>
        </is>
      </c>
      <c r="K169" t="n">
        <v>22.2</v>
      </c>
      <c r="L169" t="n">
        <v>0</v>
      </c>
      <c r="M169" t="n">
        <v>1.6</v>
      </c>
      <c r="N169" t="n">
        <v>5.67</v>
      </c>
      <c r="O169" t="inlineStr">
        <is>
          <t>Direct</t>
        </is>
      </c>
      <c r="P169" t="inlineStr">
        <is>
          <t>22.23-0-1.6-ERW 1-PE-5.67</t>
        </is>
      </c>
    </row>
    <row r="170">
      <c r="A170" t="n">
        <v>46198</v>
      </c>
      <c r="B170" t="inlineStr">
        <is>
          <t>0000943209</t>
        </is>
      </c>
      <c r="C170" t="inlineStr">
        <is>
          <t>MEGH STEELS PRIVATE LIMITED - TVS A</t>
        </is>
      </c>
      <c r="D170" t="inlineStr">
        <is>
          <t>KG</t>
        </is>
      </c>
      <c r="E170" t="n">
        <v>420</v>
      </c>
      <c r="F170" t="n">
        <v>2381.382</v>
      </c>
      <c r="G170" t="n">
        <v>1868.538</v>
      </c>
      <c r="H170" t="inlineStr">
        <is>
          <t>056</t>
        </is>
      </c>
      <c r="I170" t="n">
        <v>3954021</v>
      </c>
      <c r="J170" t="inlineStr">
        <is>
          <t>TUB-O-N-AUT-AW-PE-22.20X1.600X5.6700</t>
        </is>
      </c>
      <c r="K170" t="n">
        <v>22.2</v>
      </c>
      <c r="L170" t="n">
        <v>0</v>
      </c>
      <c r="M170" t="n">
        <v>1.6</v>
      </c>
      <c r="N170" t="n">
        <v>5.67</v>
      </c>
      <c r="O170" t="inlineStr">
        <is>
          <t>Direct</t>
        </is>
      </c>
      <c r="P170" t="inlineStr">
        <is>
          <t>22.23-0-1.6-ERW 1-PE-5.67</t>
        </is>
      </c>
    </row>
    <row r="171">
      <c r="A171" t="n">
        <v>46198</v>
      </c>
      <c r="B171" t="inlineStr">
        <is>
          <t>0000943209</t>
        </is>
      </c>
      <c r="C171" t="inlineStr">
        <is>
          <t>MEGH STEELS PRIVATE LIMITED - TVS A</t>
        </is>
      </c>
      <c r="D171" t="inlineStr">
        <is>
          <t>KG</t>
        </is>
      </c>
      <c r="E171" t="n">
        <v>417</v>
      </c>
      <c r="F171" t="n">
        <v>2364.372</v>
      </c>
      <c r="G171" t="n">
        <v>1855.191</v>
      </c>
      <c r="H171" t="inlineStr">
        <is>
          <t>056</t>
        </is>
      </c>
      <c r="I171" t="n">
        <v>3954021</v>
      </c>
      <c r="J171" t="inlineStr">
        <is>
          <t>TUB-O-N-AUT-AW-PE-22.20X1.600X5.6700</t>
        </is>
      </c>
      <c r="K171" t="n">
        <v>22.2</v>
      </c>
      <c r="L171" t="n">
        <v>0</v>
      </c>
      <c r="M171" t="n">
        <v>1.6</v>
      </c>
      <c r="N171" t="n">
        <v>5.67</v>
      </c>
      <c r="O171" t="inlineStr">
        <is>
          <t>Direct</t>
        </is>
      </c>
      <c r="P171" t="inlineStr">
        <is>
          <t>22.23-0-1.6-ERW 1-PE-5.67</t>
        </is>
      </c>
    </row>
    <row r="172">
      <c r="A172" t="n">
        <v>46198</v>
      </c>
      <c r="B172" t="inlineStr">
        <is>
          <t>0000943209</t>
        </is>
      </c>
      <c r="C172" t="inlineStr">
        <is>
          <t>MEGH STEELS PRIVATE LIMITED - TVS A</t>
        </is>
      </c>
      <c r="D172" t="inlineStr">
        <is>
          <t>KG</t>
        </is>
      </c>
      <c r="E172" t="n">
        <v>420</v>
      </c>
      <c r="F172" t="n">
        <v>2381.382</v>
      </c>
      <c r="G172" t="n">
        <v>1868.538</v>
      </c>
      <c r="H172" t="inlineStr">
        <is>
          <t>056</t>
        </is>
      </c>
      <c r="I172" t="n">
        <v>3954021</v>
      </c>
      <c r="J172" t="inlineStr">
        <is>
          <t>TUB-O-N-AUT-AW-PE-22.20X1.600X5.6700</t>
        </is>
      </c>
      <c r="K172" t="n">
        <v>22.2</v>
      </c>
      <c r="L172" t="n">
        <v>0</v>
      </c>
      <c r="M172" t="n">
        <v>1.6</v>
      </c>
      <c r="N172" t="n">
        <v>5.67</v>
      </c>
      <c r="O172" t="inlineStr">
        <is>
          <t>Direct</t>
        </is>
      </c>
      <c r="P172" t="inlineStr">
        <is>
          <t>22.23-0-1.6-ERW 1-PE-5.67</t>
        </is>
      </c>
    </row>
    <row r="173">
      <c r="A173" t="n">
        <v>46198</v>
      </c>
      <c r="B173" t="inlineStr">
        <is>
          <t>0000943209</t>
        </is>
      </c>
      <c r="C173" t="inlineStr">
        <is>
          <t>MEGH STEELS PRIVATE LIMITED - TVS A</t>
        </is>
      </c>
      <c r="D173" t="inlineStr">
        <is>
          <t>KG</t>
        </is>
      </c>
      <c r="E173" t="n">
        <v>157</v>
      </c>
      <c r="F173" t="n">
        <v>889.398</v>
      </c>
      <c r="G173" t="n">
        <v>724</v>
      </c>
      <c r="H173" t="inlineStr">
        <is>
          <t>0789</t>
        </is>
      </c>
      <c r="I173" t="n">
        <v>4055022</v>
      </c>
      <c r="J173" t="inlineStr">
        <is>
          <t>TUB-O-N-AUT-AW-PE-22.23X1.600X5.6700</t>
        </is>
      </c>
      <c r="K173" t="n">
        <v>22.23</v>
      </c>
      <c r="L173" t="n">
        <v>0</v>
      </c>
      <c r="M173" t="n">
        <v>1.6</v>
      </c>
      <c r="N173" t="n">
        <v>5.67</v>
      </c>
      <c r="O173" t="inlineStr">
        <is>
          <t>Direct</t>
        </is>
      </c>
    </row>
    <row r="174">
      <c r="A174" t="n">
        <v>46199</v>
      </c>
      <c r="B174" t="inlineStr">
        <is>
          <t>0000943209</t>
        </is>
      </c>
      <c r="C174" t="inlineStr">
        <is>
          <t>MEGH STEELS PRIVATE LIMITED - TVS A</t>
        </is>
      </c>
      <c r="D174" t="inlineStr">
        <is>
          <t>KG</t>
        </is>
      </c>
      <c r="E174" t="n">
        <v>4</v>
      </c>
      <c r="F174" t="n">
        <v>24.569</v>
      </c>
      <c r="G174" t="n">
        <v>20</v>
      </c>
      <c r="H174" t="inlineStr">
        <is>
          <t>0789</t>
        </is>
      </c>
      <c r="I174" t="n">
        <v>4055022</v>
      </c>
      <c r="J174" t="inlineStr">
        <is>
          <t>TUB-O-N-AUT-AW-PE-22.23X1.600X5.6700</t>
        </is>
      </c>
      <c r="K174" t="n">
        <v>22.23</v>
      </c>
      <c r="L174" t="n">
        <v>0</v>
      </c>
      <c r="M174" t="n">
        <v>1.6</v>
      </c>
      <c r="N174" t="n">
        <v>5.67</v>
      </c>
      <c r="O174" t="inlineStr">
        <is>
          <t>Direct</t>
        </is>
      </c>
    </row>
    <row r="175">
      <c r="A175" t="n">
        <v>46199</v>
      </c>
      <c r="B175" t="inlineStr">
        <is>
          <t>0000943209</t>
        </is>
      </c>
      <c r="C175" t="inlineStr">
        <is>
          <t>MEGH STEELS PRIVATE LIMITED - TVS A</t>
        </is>
      </c>
      <c r="D175" t="inlineStr">
        <is>
          <t>KG</t>
        </is>
      </c>
      <c r="E175" t="n">
        <v>286</v>
      </c>
      <c r="F175" t="n">
        <v>1621.555</v>
      </c>
      <c r="G175" t="n">
        <v>1320</v>
      </c>
      <c r="H175" t="inlineStr">
        <is>
          <t>0789</t>
        </is>
      </c>
      <c r="I175" t="n">
        <v>4055022</v>
      </c>
      <c r="J175" t="inlineStr">
        <is>
          <t>TUB-O-N-AUT-AW-PE-22.23X1.600X5.6700</t>
        </is>
      </c>
      <c r="K175" t="n">
        <v>22.23</v>
      </c>
      <c r="L175" t="n">
        <v>0</v>
      </c>
      <c r="M175" t="n">
        <v>1.6</v>
      </c>
      <c r="N175" t="n">
        <v>5.67</v>
      </c>
      <c r="O175" t="inlineStr">
        <is>
          <t>Direct</t>
        </is>
      </c>
    </row>
    <row r="176">
      <c r="A176" t="n">
        <v>46199</v>
      </c>
      <c r="B176" t="inlineStr">
        <is>
          <t>0000943209</t>
        </is>
      </c>
      <c r="C176" t="inlineStr">
        <is>
          <t>MEGH STEELS PRIVATE LIMITED - TVS A</t>
        </is>
      </c>
      <c r="D176" t="inlineStr">
        <is>
          <t>KG</t>
        </is>
      </c>
      <c r="E176" t="n">
        <v>155</v>
      </c>
      <c r="F176" t="n">
        <v>880.799</v>
      </c>
      <c r="G176" t="n">
        <v>717</v>
      </c>
      <c r="H176" t="inlineStr">
        <is>
          <t>0789</t>
        </is>
      </c>
      <c r="I176" t="n">
        <v>4055022</v>
      </c>
      <c r="J176" t="inlineStr">
        <is>
          <t>TUB-O-N-AUT-AW-PE-22.23X1.600X5.6700</t>
        </is>
      </c>
      <c r="K176" t="n">
        <v>22.23</v>
      </c>
      <c r="L176" t="n">
        <v>0</v>
      </c>
      <c r="M176" t="n">
        <v>1.6</v>
      </c>
      <c r="N176" t="n">
        <v>5.67</v>
      </c>
      <c r="O176" t="inlineStr">
        <is>
          <t>Direct</t>
        </is>
      </c>
    </row>
    <row r="177">
      <c r="A177" t="n">
        <v>46199</v>
      </c>
      <c r="B177" t="inlineStr">
        <is>
          <t>0000943209</t>
        </is>
      </c>
      <c r="C177" t="inlineStr">
        <is>
          <t>MEGH STEELS PRIVATE LIMITED - TVS A</t>
        </is>
      </c>
      <c r="D177" t="inlineStr">
        <is>
          <t>KG</t>
        </is>
      </c>
      <c r="E177" t="n">
        <v>603</v>
      </c>
      <c r="F177" t="n">
        <v>3418.779</v>
      </c>
      <c r="G177" t="n">
        <v>2783</v>
      </c>
      <c r="H177" t="inlineStr">
        <is>
          <t>0789</t>
        </is>
      </c>
      <c r="I177" t="n">
        <v>4055022</v>
      </c>
      <c r="J177" t="inlineStr">
        <is>
          <t>TUB-O-N-AUT-AW-PE-22.23X1.600X5.6700</t>
        </is>
      </c>
      <c r="K177" t="n">
        <v>22.23</v>
      </c>
      <c r="L177" t="n">
        <v>0</v>
      </c>
      <c r="M177" t="n">
        <v>1.6</v>
      </c>
      <c r="N177" t="n">
        <v>5.67</v>
      </c>
      <c r="O177" t="inlineStr">
        <is>
          <t>Direct</t>
        </is>
      </c>
    </row>
    <row r="178">
      <c r="A178" t="n">
        <v>46199</v>
      </c>
      <c r="B178" t="inlineStr">
        <is>
          <t>0000943209</t>
        </is>
      </c>
      <c r="C178" t="inlineStr">
        <is>
          <t>MEGH STEELS PRIVATE LIMITED - TVS A</t>
        </is>
      </c>
      <c r="D178" t="inlineStr">
        <is>
          <t>KG</t>
        </is>
      </c>
      <c r="E178" t="n">
        <v>598</v>
      </c>
      <c r="F178" t="n">
        <v>3390.525</v>
      </c>
      <c r="G178" t="n">
        <v>2760</v>
      </c>
      <c r="H178" t="inlineStr">
        <is>
          <t>0789</t>
        </is>
      </c>
      <c r="I178" t="n">
        <v>4055022</v>
      </c>
      <c r="J178" t="inlineStr">
        <is>
          <t>TUB-O-N-AUT-AW-PE-22.23X1.600X5.6700</t>
        </is>
      </c>
      <c r="K178" t="n">
        <v>22.23</v>
      </c>
      <c r="L178" t="n">
        <v>0</v>
      </c>
      <c r="M178" t="n">
        <v>1.6</v>
      </c>
      <c r="N178" t="n">
        <v>5.67</v>
      </c>
      <c r="O178" t="inlineStr">
        <is>
          <t>Direct</t>
        </is>
      </c>
    </row>
    <row r="179">
      <c r="A179" t="n">
        <v>46199</v>
      </c>
      <c r="B179" t="inlineStr">
        <is>
          <t>0000943209</t>
        </is>
      </c>
      <c r="C179" t="inlineStr">
        <is>
          <t>MEGH STEELS PRIVATE LIMITED - TVS A</t>
        </is>
      </c>
      <c r="D179" t="inlineStr">
        <is>
          <t>KG</t>
        </is>
      </c>
      <c r="E179" t="n">
        <v>455</v>
      </c>
      <c r="F179" t="n">
        <v>2582.204</v>
      </c>
      <c r="G179" t="n">
        <v>2102</v>
      </c>
      <c r="H179" t="inlineStr">
        <is>
          <t>0789</t>
        </is>
      </c>
      <c r="I179" t="n">
        <v>4055022</v>
      </c>
      <c r="J179" t="inlineStr">
        <is>
          <t>TUB-O-N-AUT-AW-PE-22.23X1.600X5.6700</t>
        </is>
      </c>
      <c r="K179" t="n">
        <v>22.23</v>
      </c>
      <c r="L179" t="n">
        <v>0</v>
      </c>
      <c r="M179" t="n">
        <v>1.6</v>
      </c>
      <c r="N179" t="n">
        <v>5.67</v>
      </c>
      <c r="O179" t="inlineStr">
        <is>
          <t>Direct</t>
        </is>
      </c>
    </row>
    <row r="180">
      <c r="A180" t="n">
        <v>46199</v>
      </c>
      <c r="B180" t="inlineStr">
        <is>
          <t>0000943209</t>
        </is>
      </c>
      <c r="C180" t="inlineStr">
        <is>
          <t>MEGH STEELS PRIVATE LIMITED - TVS A</t>
        </is>
      </c>
      <c r="D180" t="inlineStr">
        <is>
          <t>KG</t>
        </is>
      </c>
      <c r="E180" t="n">
        <v>454</v>
      </c>
      <c r="F180" t="n">
        <v>2576.062</v>
      </c>
      <c r="G180" t="n">
        <v>2097</v>
      </c>
      <c r="H180" t="inlineStr">
        <is>
          <t>0789</t>
        </is>
      </c>
      <c r="I180" t="n">
        <v>4055022</v>
      </c>
      <c r="J180" t="inlineStr">
        <is>
          <t>TUB-O-N-AUT-AW-PE-22.23X1.600X5.6700</t>
        </is>
      </c>
      <c r="K180" t="n">
        <v>22.23</v>
      </c>
      <c r="L180" t="n">
        <v>0</v>
      </c>
      <c r="M180" t="n">
        <v>1.6</v>
      </c>
      <c r="N180" t="n">
        <v>5.67</v>
      </c>
      <c r="O180" t="inlineStr">
        <is>
          <t>Direct</t>
        </is>
      </c>
    </row>
    <row r="181">
      <c r="A181" t="n">
        <v>46198</v>
      </c>
      <c r="B181" t="inlineStr">
        <is>
          <t>0000943209</t>
        </is>
      </c>
      <c r="C181" t="inlineStr">
        <is>
          <t>MEGH STEELS PRIVATE LIMITED - TVS A</t>
        </is>
      </c>
      <c r="D181" t="inlineStr">
        <is>
          <t>KG</t>
        </is>
      </c>
      <c r="E181" t="n">
        <v>566</v>
      </c>
      <c r="F181" t="n">
        <v>3209.942</v>
      </c>
      <c r="G181" t="n">
        <v>2613</v>
      </c>
      <c r="H181" t="inlineStr">
        <is>
          <t>0789</t>
        </is>
      </c>
      <c r="I181" t="n">
        <v>4055022</v>
      </c>
      <c r="J181" t="inlineStr">
        <is>
          <t>TUB-O-N-AUT-AW-PE-22.23X1.600X5.6700</t>
        </is>
      </c>
      <c r="K181" t="n">
        <v>22.23</v>
      </c>
      <c r="L181" t="n">
        <v>0</v>
      </c>
      <c r="M181" t="n">
        <v>1.6</v>
      </c>
      <c r="N181" t="n">
        <v>5.67</v>
      </c>
      <c r="O181" t="inlineStr">
        <is>
          <t>Direct</t>
        </is>
      </c>
    </row>
    <row r="182">
      <c r="A182" t="n">
        <v>46199</v>
      </c>
      <c r="B182" t="inlineStr">
        <is>
          <t>0000943209</t>
        </is>
      </c>
      <c r="C182" t="inlineStr">
        <is>
          <t>MEGH STEELS PRIVATE LIMITED - TVS A</t>
        </is>
      </c>
      <c r="D182" t="inlineStr">
        <is>
          <t>KG</t>
        </is>
      </c>
      <c r="E182" t="n">
        <v>95</v>
      </c>
      <c r="F182" t="n">
        <v>539.29</v>
      </c>
      <c r="G182" t="n">
        <v>439</v>
      </c>
      <c r="H182" t="inlineStr">
        <is>
          <t>0789</t>
        </is>
      </c>
      <c r="I182" t="n">
        <v>4055022</v>
      </c>
      <c r="J182" t="inlineStr">
        <is>
          <t>TUB-O-N-AUT-AW-PE-22.23X1.600X5.6700</t>
        </is>
      </c>
      <c r="K182" t="n">
        <v>22.23</v>
      </c>
      <c r="L182" t="n">
        <v>0</v>
      </c>
      <c r="M182" t="n">
        <v>1.6</v>
      </c>
      <c r="N182" t="n">
        <v>5.67</v>
      </c>
      <c r="O182" t="inlineStr">
        <is>
          <t>Direct</t>
        </is>
      </c>
    </row>
    <row r="183">
      <c r="A183" t="n">
        <v>46198</v>
      </c>
      <c r="B183" t="inlineStr">
        <is>
          <t>0000943209</t>
        </is>
      </c>
      <c r="C183" t="inlineStr">
        <is>
          <t>MEGH STEELS PRIVATE LIMITED - TVS A</t>
        </is>
      </c>
      <c r="D183" t="inlineStr">
        <is>
          <t>KG</t>
        </is>
      </c>
      <c r="E183" t="n">
        <v>591</v>
      </c>
      <c r="F183" t="n">
        <v>3352.443</v>
      </c>
      <c r="G183" t="n">
        <v>2729</v>
      </c>
      <c r="H183" t="inlineStr">
        <is>
          <t>0789</t>
        </is>
      </c>
      <c r="I183" t="n">
        <v>4055022</v>
      </c>
      <c r="J183" t="inlineStr">
        <is>
          <t>TUB-O-N-AUT-AW-PE-22.23X1.600X5.6700</t>
        </is>
      </c>
      <c r="K183" t="n">
        <v>22.23</v>
      </c>
      <c r="L183" t="n">
        <v>0</v>
      </c>
      <c r="M183" t="n">
        <v>1.6</v>
      </c>
      <c r="N183" t="n">
        <v>5.67</v>
      </c>
      <c r="O183" t="inlineStr">
        <is>
          <t>Direct</t>
        </is>
      </c>
    </row>
    <row r="184">
      <c r="A184" t="n">
        <v>46198</v>
      </c>
      <c r="B184" t="inlineStr">
        <is>
          <t>0000943209</t>
        </is>
      </c>
      <c r="C184" t="inlineStr">
        <is>
          <t>MEGH STEELS PRIVATE LIMITED - TVS A</t>
        </is>
      </c>
      <c r="D184" t="inlineStr">
        <is>
          <t>KG</t>
        </is>
      </c>
      <c r="E184" t="n">
        <v>431</v>
      </c>
      <c r="F184" t="n">
        <v>2443.389</v>
      </c>
      <c r="G184" t="n">
        <v>1989</v>
      </c>
      <c r="H184" t="inlineStr">
        <is>
          <t>0789</t>
        </is>
      </c>
      <c r="I184" t="n">
        <v>4055022</v>
      </c>
      <c r="J184" t="inlineStr">
        <is>
          <t>TUB-O-N-AUT-AW-PE-22.23X1.600X5.6700</t>
        </is>
      </c>
      <c r="K184" t="n">
        <v>22.23</v>
      </c>
      <c r="L184" t="n">
        <v>0</v>
      </c>
      <c r="M184" t="n">
        <v>1.6</v>
      </c>
      <c r="N184" t="n">
        <v>5.67</v>
      </c>
      <c r="O184" t="inlineStr">
        <is>
          <t>Direct</t>
        </is>
      </c>
    </row>
    <row r="185">
      <c r="A185" t="n">
        <v>46176</v>
      </c>
      <c r="B185" t="inlineStr">
        <is>
          <t>0000943209</t>
        </is>
      </c>
      <c r="C185" t="inlineStr">
        <is>
          <t>MEGH STEELS PRIVATE LIMITED - TVS A</t>
        </is>
      </c>
      <c r="D185" t="inlineStr">
        <is>
          <t>KG</t>
        </is>
      </c>
      <c r="E185" t="n">
        <v>621</v>
      </c>
      <c r="F185" t="n">
        <v>3520.74</v>
      </c>
      <c r="G185" t="n">
        <v>2866</v>
      </c>
      <c r="H185" t="inlineStr">
        <is>
          <t>0789</t>
        </is>
      </c>
      <c r="I185" t="n">
        <v>4055022</v>
      </c>
      <c r="J185" t="inlineStr">
        <is>
          <t>TUB-O-N-AUT-AW-PE-22.23X1.600X5.6700</t>
        </is>
      </c>
      <c r="K185" t="n">
        <v>22.23</v>
      </c>
      <c r="L185" t="n">
        <v>0</v>
      </c>
      <c r="M185" t="n">
        <v>1.6</v>
      </c>
      <c r="N185" t="n">
        <v>5.67</v>
      </c>
      <c r="O185" t="inlineStr">
        <is>
          <t>Direct</t>
        </is>
      </c>
    </row>
    <row r="186">
      <c r="A186" t="n">
        <v>46203</v>
      </c>
      <c r="B186" t="inlineStr">
        <is>
          <t>0000943209</t>
        </is>
      </c>
      <c r="C186" t="inlineStr">
        <is>
          <t>MEGH STEELS PRIVATE LIMITED - TVS A</t>
        </is>
      </c>
      <c r="D186" t="inlineStr">
        <is>
          <t>KG</t>
        </is>
      </c>
      <c r="E186" t="n">
        <v>510</v>
      </c>
      <c r="F186" t="n">
        <v>2893.002</v>
      </c>
      <c r="G186" t="n">
        <v>2355</v>
      </c>
      <c r="H186" t="inlineStr">
        <is>
          <t>0789</t>
        </is>
      </c>
      <c r="I186" t="n">
        <v>4055022</v>
      </c>
      <c r="J186" t="inlineStr">
        <is>
          <t>TUB-O-N-AUT-AW-PE-22.23X1.600X5.6700</t>
        </is>
      </c>
      <c r="K186" t="n">
        <v>22.23</v>
      </c>
      <c r="L186" t="n">
        <v>0</v>
      </c>
      <c r="M186" t="n">
        <v>1.6</v>
      </c>
      <c r="N186" t="n">
        <v>5.67</v>
      </c>
      <c r="O186" t="inlineStr">
        <is>
          <t>Direct</t>
        </is>
      </c>
    </row>
    <row r="187">
      <c r="A187" t="n">
        <v>46198</v>
      </c>
      <c r="B187" t="inlineStr">
        <is>
          <t>0000943209</t>
        </is>
      </c>
      <c r="C187" t="inlineStr">
        <is>
          <t>MEGH STEELS PRIVATE LIMITED - TVS A</t>
        </is>
      </c>
      <c r="D187" t="inlineStr">
        <is>
          <t>KG</t>
        </is>
      </c>
      <c r="E187" t="n">
        <v>891</v>
      </c>
      <c r="F187" t="n">
        <v>5052.619</v>
      </c>
      <c r="G187" t="n">
        <v>4113</v>
      </c>
      <c r="H187" t="inlineStr">
        <is>
          <t>0789</t>
        </is>
      </c>
      <c r="I187" t="n">
        <v>4055022</v>
      </c>
      <c r="J187" t="inlineStr">
        <is>
          <t>TUB-O-N-AUT-AW-PE-22.23X1.600X5.6700</t>
        </is>
      </c>
      <c r="K187" t="n">
        <v>22.23</v>
      </c>
      <c r="L187" t="n">
        <v>0</v>
      </c>
      <c r="M187" t="n">
        <v>1.6</v>
      </c>
      <c r="N187" t="n">
        <v>5.67</v>
      </c>
      <c r="O187" t="inlineStr">
        <is>
          <t>Direct</t>
        </is>
      </c>
    </row>
    <row r="188">
      <c r="A188" t="n">
        <v>46176</v>
      </c>
      <c r="B188" t="inlineStr">
        <is>
          <t>0000943209</t>
        </is>
      </c>
      <c r="C188" t="inlineStr">
        <is>
          <t>MEGH STEELS PRIVATE LIMITED - TVS A</t>
        </is>
      </c>
      <c r="D188" t="inlineStr">
        <is>
          <t>KG</t>
        </is>
      </c>
      <c r="E188" t="n">
        <v>620</v>
      </c>
      <c r="F188" t="n">
        <v>3513.37</v>
      </c>
      <c r="G188" t="n">
        <v>2860</v>
      </c>
      <c r="H188" t="inlineStr">
        <is>
          <t>0789</t>
        </is>
      </c>
      <c r="I188" t="n">
        <v>4055022</v>
      </c>
      <c r="J188" t="inlineStr">
        <is>
          <t>TUB-O-N-AUT-AW-PE-22.23X1.600X5.6700</t>
        </is>
      </c>
      <c r="K188" t="n">
        <v>22.23</v>
      </c>
      <c r="L188" t="n">
        <v>0</v>
      </c>
      <c r="M188" t="n">
        <v>1.6</v>
      </c>
      <c r="N188" t="n">
        <v>5.67</v>
      </c>
      <c r="O188" t="inlineStr">
        <is>
          <t>Direct</t>
        </is>
      </c>
    </row>
    <row r="189">
      <c r="A189" t="n">
        <v>46176</v>
      </c>
      <c r="B189" t="inlineStr">
        <is>
          <t>0000943209</t>
        </is>
      </c>
      <c r="C189" t="inlineStr">
        <is>
          <t>MEGH STEELS PRIVATE LIMITED - TVS A</t>
        </is>
      </c>
      <c r="D189" t="inlineStr">
        <is>
          <t>KG</t>
        </is>
      </c>
      <c r="E189" t="n">
        <v>498</v>
      </c>
      <c r="F189" t="n">
        <v>2822.98</v>
      </c>
      <c r="G189" t="n">
        <v>2298</v>
      </c>
      <c r="H189" t="inlineStr">
        <is>
          <t>0789</t>
        </is>
      </c>
      <c r="I189" t="n">
        <v>4055022</v>
      </c>
      <c r="J189" t="inlineStr">
        <is>
          <t>TUB-O-N-AUT-AW-PE-22.23X1.600X5.6700</t>
        </is>
      </c>
      <c r="K189" t="n">
        <v>22.23</v>
      </c>
      <c r="L189" t="n">
        <v>0</v>
      </c>
      <c r="M189" t="n">
        <v>1.6</v>
      </c>
      <c r="N189" t="n">
        <v>5.67</v>
      </c>
      <c r="O189" t="inlineStr">
        <is>
          <t>Direct</t>
        </is>
      </c>
    </row>
    <row r="190">
      <c r="A190" t="n">
        <v>46199</v>
      </c>
      <c r="B190" t="inlineStr">
        <is>
          <t>0000943209</t>
        </is>
      </c>
      <c r="C190" t="inlineStr">
        <is>
          <t>MEGH STEELS PRIVATE LIMITED - TVS A</t>
        </is>
      </c>
      <c r="D190" t="inlineStr">
        <is>
          <t>KG</t>
        </is>
      </c>
      <c r="E190" t="n">
        <v>598</v>
      </c>
      <c r="F190" t="n">
        <v>3392.981</v>
      </c>
      <c r="G190" t="n">
        <v>2762</v>
      </c>
      <c r="H190" t="inlineStr">
        <is>
          <t>0789</t>
        </is>
      </c>
      <c r="I190" t="n">
        <v>4055022</v>
      </c>
      <c r="J190" t="inlineStr">
        <is>
          <t>TUB-O-N-AUT-AW-PE-22.23X1.600X5.6700</t>
        </is>
      </c>
      <c r="K190" t="n">
        <v>22.23</v>
      </c>
      <c r="L190" t="n">
        <v>0</v>
      </c>
      <c r="M190" t="n">
        <v>1.6</v>
      </c>
      <c r="N190" t="n">
        <v>5.67</v>
      </c>
      <c r="O190" t="inlineStr">
        <is>
          <t>Direct</t>
        </is>
      </c>
    </row>
    <row r="191">
      <c r="A191" t="n">
        <v>46198</v>
      </c>
      <c r="B191" t="inlineStr">
        <is>
          <t>0000943209</t>
        </is>
      </c>
      <c r="C191" t="inlineStr">
        <is>
          <t>MEGH STEELS PRIVATE LIMITED - TVS A</t>
        </is>
      </c>
      <c r="D191" t="inlineStr">
        <is>
          <t>KG</t>
        </is>
      </c>
      <c r="E191" t="n">
        <v>282</v>
      </c>
      <c r="F191" t="n">
        <v>1599.443</v>
      </c>
      <c r="G191" t="n">
        <v>1302</v>
      </c>
      <c r="H191" t="inlineStr">
        <is>
          <t>0789</t>
        </is>
      </c>
      <c r="I191" t="n">
        <v>4055022</v>
      </c>
      <c r="J191" t="inlineStr">
        <is>
          <t>TUB-O-N-AUT-AW-PE-22.23X1.600X5.6700</t>
        </is>
      </c>
      <c r="K191" t="n">
        <v>22.23</v>
      </c>
      <c r="L191" t="n">
        <v>0</v>
      </c>
      <c r="M191" t="n">
        <v>1.6</v>
      </c>
      <c r="N191" t="n">
        <v>5.67</v>
      </c>
      <c r="O191" t="inlineStr">
        <is>
          <t>Direct</t>
        </is>
      </c>
    </row>
    <row r="192">
      <c r="A192" t="n">
        <v>46176</v>
      </c>
      <c r="B192" t="inlineStr">
        <is>
          <t>0000943209</t>
        </is>
      </c>
      <c r="C192" t="inlineStr">
        <is>
          <t>MEGH STEELS PRIVATE LIMITED - TVS A</t>
        </is>
      </c>
      <c r="D192" t="inlineStr">
        <is>
          <t>KG</t>
        </is>
      </c>
      <c r="E192" t="n">
        <v>97</v>
      </c>
      <c r="F192" t="n">
        <v>547.889</v>
      </c>
      <c r="G192" t="n">
        <v>446</v>
      </c>
      <c r="H192" t="inlineStr">
        <is>
          <t>0789</t>
        </is>
      </c>
      <c r="I192" t="n">
        <v>4055022</v>
      </c>
      <c r="J192" t="inlineStr">
        <is>
          <t>TUB-O-N-AUT-AW-PE-22.23X1.600X5.6700</t>
        </is>
      </c>
      <c r="K192" t="n">
        <v>22.23</v>
      </c>
      <c r="L192" t="n">
        <v>0</v>
      </c>
      <c r="M192" t="n">
        <v>1.6</v>
      </c>
      <c r="N192" t="n">
        <v>5.67</v>
      </c>
      <c r="O192" t="inlineStr">
        <is>
          <t>Direct</t>
        </is>
      </c>
    </row>
    <row r="193">
      <c r="A193" t="n">
        <v>46198</v>
      </c>
      <c r="B193" t="inlineStr">
        <is>
          <t>0000943209</t>
        </is>
      </c>
      <c r="C193" t="inlineStr">
        <is>
          <t>MEGH STEELS PRIVATE LIMITED - TVS A</t>
        </is>
      </c>
      <c r="D193" t="inlineStr">
        <is>
          <t>KG</t>
        </is>
      </c>
      <c r="E193" t="n">
        <v>299</v>
      </c>
      <c r="F193" t="n">
        <v>1699.813</v>
      </c>
      <c r="G193" t="n">
        <v>1333.749</v>
      </c>
      <c r="H193" t="inlineStr">
        <is>
          <t>056</t>
        </is>
      </c>
      <c r="I193" t="n">
        <v>4173571</v>
      </c>
      <c r="J193" t="inlineStr">
        <is>
          <t>TUB-O-N-AUT-AW-PE-22.20X1.600X5.6850</t>
        </is>
      </c>
      <c r="K193" t="n">
        <v>22.2</v>
      </c>
      <c r="L193" t="n">
        <v>0</v>
      </c>
      <c r="M193" t="n">
        <v>1.6</v>
      </c>
      <c r="N193" t="n">
        <v>5.685</v>
      </c>
      <c r="O193" t="inlineStr">
        <is>
          <t>Direct</t>
        </is>
      </c>
    </row>
    <row r="194">
      <c r="A194" t="n">
        <v>46198</v>
      </c>
      <c r="B194" t="inlineStr">
        <is>
          <t>0000943209</t>
        </is>
      </c>
      <c r="C194" t="inlineStr">
        <is>
          <t>MEGH STEELS PRIVATE LIMITED - TVS A</t>
        </is>
      </c>
      <c r="D194" t="inlineStr">
        <is>
          <t>KG</t>
        </is>
      </c>
      <c r="E194" t="n">
        <v>420</v>
      </c>
      <c r="F194" t="n">
        <v>2387.698</v>
      </c>
      <c r="G194" t="n">
        <v>1873.494</v>
      </c>
      <c r="H194" t="inlineStr">
        <is>
          <t>056</t>
        </is>
      </c>
      <c r="I194" t="n">
        <v>4173571</v>
      </c>
      <c r="J194" t="inlineStr">
        <is>
          <t>TUB-O-N-AUT-AW-PE-22.20X1.600X5.6850</t>
        </is>
      </c>
      <c r="K194" t="n">
        <v>22.2</v>
      </c>
      <c r="L194" t="n">
        <v>0</v>
      </c>
      <c r="M194" t="n">
        <v>1.6</v>
      </c>
      <c r="N194" t="n">
        <v>5.685</v>
      </c>
      <c r="O194" t="inlineStr">
        <is>
          <t>Direct</t>
        </is>
      </c>
    </row>
    <row r="195">
      <c r="A195" t="n">
        <v>46198</v>
      </c>
      <c r="B195" t="inlineStr">
        <is>
          <t>0000943209</t>
        </is>
      </c>
      <c r="C195" t="inlineStr">
        <is>
          <t>MEGH STEELS PRIVATE LIMITED - TVS A</t>
        </is>
      </c>
      <c r="D195" t="inlineStr">
        <is>
          <t>KG</t>
        </is>
      </c>
      <c r="E195" t="n">
        <v>419</v>
      </c>
      <c r="F195" t="n">
        <v>2382.013</v>
      </c>
      <c r="G195" t="n">
        <v>1869.033</v>
      </c>
      <c r="H195" t="inlineStr">
        <is>
          <t>056</t>
        </is>
      </c>
      <c r="I195" t="n">
        <v>4173571</v>
      </c>
      <c r="J195" t="inlineStr">
        <is>
          <t>TUB-O-N-AUT-AW-PE-22.20X1.600X5.6850</t>
        </is>
      </c>
      <c r="K195" t="n">
        <v>22.2</v>
      </c>
      <c r="L195" t="n">
        <v>0</v>
      </c>
      <c r="M195" t="n">
        <v>1.6</v>
      </c>
      <c r="N195" t="n">
        <v>5.685</v>
      </c>
      <c r="O195" t="inlineStr">
        <is>
          <t>Direct</t>
        </is>
      </c>
    </row>
    <row r="196">
      <c r="A196" t="n">
        <v>46198</v>
      </c>
      <c r="B196" t="inlineStr">
        <is>
          <t>0000943209</t>
        </is>
      </c>
      <c r="C196" t="inlineStr">
        <is>
          <t>MEGH STEELS PRIVATE LIMITED - TVS A</t>
        </is>
      </c>
      <c r="D196" t="inlineStr">
        <is>
          <t>KG</t>
        </is>
      </c>
      <c r="E196" t="n">
        <v>419</v>
      </c>
      <c r="F196" t="n">
        <v>2382.013</v>
      </c>
      <c r="G196" t="n">
        <v>1869.033</v>
      </c>
      <c r="H196" t="inlineStr">
        <is>
          <t>056</t>
        </is>
      </c>
      <c r="I196" t="n">
        <v>4173571</v>
      </c>
      <c r="J196" t="inlineStr">
        <is>
          <t>TUB-O-N-AUT-AW-PE-22.20X1.600X5.6850</t>
        </is>
      </c>
      <c r="K196" t="n">
        <v>22.2</v>
      </c>
      <c r="L196" t="n">
        <v>0</v>
      </c>
      <c r="M196" t="n">
        <v>1.6</v>
      </c>
      <c r="N196" t="n">
        <v>5.685</v>
      </c>
      <c r="O196" t="inlineStr">
        <is>
          <t>Direct</t>
        </is>
      </c>
    </row>
    <row r="197">
      <c r="A197" t="n">
        <v>46198</v>
      </c>
      <c r="B197" t="inlineStr">
        <is>
          <t>0000943209</t>
        </is>
      </c>
      <c r="C197" t="inlineStr">
        <is>
          <t>MEGH STEELS PRIVATE LIMITED - TVS A</t>
        </is>
      </c>
      <c r="D197" t="inlineStr">
        <is>
          <t>KG</t>
        </is>
      </c>
      <c r="E197" t="n">
        <v>419</v>
      </c>
      <c r="F197" t="n">
        <v>2382.013</v>
      </c>
      <c r="G197" t="n">
        <v>1869.033</v>
      </c>
      <c r="H197" t="inlineStr">
        <is>
          <t>056</t>
        </is>
      </c>
      <c r="I197" t="n">
        <v>4173571</v>
      </c>
      <c r="J197" t="inlineStr">
        <is>
          <t>TUB-O-N-AUT-AW-PE-22.20X1.600X5.6850</t>
        </is>
      </c>
      <c r="K197" t="n">
        <v>22.2</v>
      </c>
      <c r="L197" t="n">
        <v>0</v>
      </c>
      <c r="M197" t="n">
        <v>1.6</v>
      </c>
      <c r="N197" t="n">
        <v>5.685</v>
      </c>
      <c r="O197" t="inlineStr">
        <is>
          <t>Direct</t>
        </is>
      </c>
    </row>
    <row r="198">
      <c r="A198" t="n">
        <v>46198</v>
      </c>
      <c r="B198" t="inlineStr">
        <is>
          <t>0000943209</t>
        </is>
      </c>
      <c r="C198" t="inlineStr">
        <is>
          <t>MEGH STEELS PRIVATE LIMITED - TVS A</t>
        </is>
      </c>
      <c r="D198" t="inlineStr">
        <is>
          <t>KG</t>
        </is>
      </c>
      <c r="E198" t="n">
        <v>419</v>
      </c>
      <c r="F198" t="n">
        <v>2382.013</v>
      </c>
      <c r="G198" t="n">
        <v>1869.033</v>
      </c>
      <c r="H198" t="inlineStr">
        <is>
          <t>056</t>
        </is>
      </c>
      <c r="I198" t="n">
        <v>4173571</v>
      </c>
      <c r="J198" t="inlineStr">
        <is>
          <t>TUB-O-N-AUT-AW-PE-22.20X1.600X5.6850</t>
        </is>
      </c>
      <c r="K198" t="n">
        <v>22.2</v>
      </c>
      <c r="L198" t="n">
        <v>0</v>
      </c>
      <c r="M198" t="n">
        <v>1.6</v>
      </c>
      <c r="N198" t="n">
        <v>5.685</v>
      </c>
      <c r="O198" t="inlineStr">
        <is>
          <t>Direct</t>
        </is>
      </c>
    </row>
    <row r="199">
      <c r="A199" t="n">
        <v>46198</v>
      </c>
      <c r="B199" t="inlineStr">
        <is>
          <t>0000943209</t>
        </is>
      </c>
      <c r="C199" t="inlineStr">
        <is>
          <t>MEGH STEELS PRIVATE LIMITED - TVS A</t>
        </is>
      </c>
      <c r="D199" t="inlineStr">
        <is>
          <t>KG</t>
        </is>
      </c>
      <c r="E199" t="n">
        <v>420</v>
      </c>
      <c r="F199" t="n">
        <v>2387.698</v>
      </c>
      <c r="G199" t="n">
        <v>1873.494</v>
      </c>
      <c r="H199" t="inlineStr">
        <is>
          <t>056</t>
        </is>
      </c>
      <c r="I199" t="n">
        <v>4173571</v>
      </c>
      <c r="J199" t="inlineStr">
        <is>
          <t>TUB-O-N-AUT-AW-PE-22.20X1.600X5.6850</t>
        </is>
      </c>
      <c r="K199" t="n">
        <v>22.2</v>
      </c>
      <c r="L199" t="n">
        <v>0</v>
      </c>
      <c r="M199" t="n">
        <v>1.6</v>
      </c>
      <c r="N199" t="n">
        <v>5.685</v>
      </c>
      <c r="O199" t="inlineStr">
        <is>
          <t>Direct</t>
        </is>
      </c>
    </row>
    <row r="200">
      <c r="A200" t="n">
        <v>46198</v>
      </c>
      <c r="B200" t="inlineStr">
        <is>
          <t>0000943209</t>
        </is>
      </c>
      <c r="C200" t="inlineStr">
        <is>
          <t>MEGH STEELS PRIVATE LIMITED - TVS A</t>
        </is>
      </c>
      <c r="D200" t="inlineStr">
        <is>
          <t>KG</t>
        </is>
      </c>
      <c r="E200" t="n">
        <v>420</v>
      </c>
      <c r="F200" t="n">
        <v>2387.698</v>
      </c>
      <c r="G200" t="n">
        <v>1873.494</v>
      </c>
      <c r="H200" t="inlineStr">
        <is>
          <t>056</t>
        </is>
      </c>
      <c r="I200" t="n">
        <v>4173571</v>
      </c>
      <c r="J200" t="inlineStr">
        <is>
          <t>TUB-O-N-AUT-AW-PE-22.20X1.600X5.6850</t>
        </is>
      </c>
      <c r="K200" t="n">
        <v>22.2</v>
      </c>
      <c r="L200" t="n">
        <v>0</v>
      </c>
      <c r="M200" t="n">
        <v>1.6</v>
      </c>
      <c r="N200" t="n">
        <v>5.685</v>
      </c>
      <c r="O200" t="inlineStr">
        <is>
          <t>Direct</t>
        </is>
      </c>
    </row>
    <row r="201">
      <c r="A201" t="n">
        <v>46198</v>
      </c>
      <c r="B201" t="inlineStr">
        <is>
          <t>0000943209</t>
        </is>
      </c>
      <c r="C201" t="inlineStr">
        <is>
          <t>MEGH STEELS PRIVATE LIMITED - TVS A</t>
        </is>
      </c>
      <c r="D201" t="inlineStr">
        <is>
          <t>KG</t>
        </is>
      </c>
      <c r="E201" t="n">
        <v>430</v>
      </c>
      <c r="F201" t="n">
        <v>2444.547</v>
      </c>
      <c r="G201" t="n">
        <v>1918.1</v>
      </c>
      <c r="H201" t="inlineStr">
        <is>
          <t>056</t>
        </is>
      </c>
      <c r="I201" t="n">
        <v>4173571</v>
      </c>
      <c r="J201" t="inlineStr">
        <is>
          <t>TUB-O-N-AUT-AW-PE-22.20X1.600X5.6850</t>
        </is>
      </c>
      <c r="K201" t="n">
        <v>22.2</v>
      </c>
      <c r="L201" t="n">
        <v>0</v>
      </c>
      <c r="M201" t="n">
        <v>1.6</v>
      </c>
      <c r="N201" t="n">
        <v>5.685</v>
      </c>
      <c r="O201" t="inlineStr">
        <is>
          <t>Direct</t>
        </is>
      </c>
    </row>
    <row r="202">
      <c r="A202" t="n">
        <v>46198</v>
      </c>
      <c r="B202" t="inlineStr">
        <is>
          <t>0000943209</t>
        </is>
      </c>
      <c r="C202" t="inlineStr">
        <is>
          <t>MEGH STEELS PRIVATE LIMITED - TVS A</t>
        </is>
      </c>
      <c r="D202" t="inlineStr">
        <is>
          <t>KG</t>
        </is>
      </c>
      <c r="E202" t="n">
        <v>417</v>
      </c>
      <c r="F202" t="n">
        <v>2370.643</v>
      </c>
      <c r="G202" t="n">
        <v>1860.112</v>
      </c>
      <c r="H202" t="inlineStr">
        <is>
          <t>056</t>
        </is>
      </c>
      <c r="I202" t="n">
        <v>4173571</v>
      </c>
      <c r="J202" t="inlineStr">
        <is>
          <t>TUB-O-N-AUT-AW-PE-22.20X1.600X5.6850</t>
        </is>
      </c>
      <c r="K202" t="n">
        <v>22.2</v>
      </c>
      <c r="L202" t="n">
        <v>0</v>
      </c>
      <c r="M202" t="n">
        <v>1.6</v>
      </c>
      <c r="N202" t="n">
        <v>5.685</v>
      </c>
      <c r="O202" t="inlineStr">
        <is>
          <t>Direct</t>
        </is>
      </c>
    </row>
    <row r="203">
      <c r="A203" t="n">
        <v>46198</v>
      </c>
      <c r="B203" t="inlineStr">
        <is>
          <t>0000943209</t>
        </is>
      </c>
      <c r="C203" t="inlineStr">
        <is>
          <t>MEGH STEELS PRIVATE LIMITED - TVS A</t>
        </is>
      </c>
      <c r="D203" t="inlineStr">
        <is>
          <t>KG</t>
        </is>
      </c>
      <c r="E203" t="n">
        <v>419</v>
      </c>
      <c r="F203" t="n">
        <v>2382.013</v>
      </c>
      <c r="G203" t="n">
        <v>1869.033</v>
      </c>
      <c r="H203" t="inlineStr">
        <is>
          <t>056</t>
        </is>
      </c>
      <c r="I203" t="n">
        <v>4173571</v>
      </c>
      <c r="J203" t="inlineStr">
        <is>
          <t>TUB-O-N-AUT-AW-PE-22.20X1.600X5.6850</t>
        </is>
      </c>
      <c r="K203" t="n">
        <v>22.2</v>
      </c>
      <c r="L203" t="n">
        <v>0</v>
      </c>
      <c r="M203" t="n">
        <v>1.6</v>
      </c>
      <c r="N203" t="n">
        <v>5.685</v>
      </c>
      <c r="O203" t="inlineStr">
        <is>
          <t>Direct</t>
        </is>
      </c>
    </row>
    <row r="204">
      <c r="A204" t="n">
        <v>46198</v>
      </c>
      <c r="B204" t="inlineStr">
        <is>
          <t>0000943209</t>
        </is>
      </c>
      <c r="C204" t="inlineStr">
        <is>
          <t>MEGH STEELS PRIVATE LIMITED - TVS A</t>
        </is>
      </c>
      <c r="D204" t="inlineStr">
        <is>
          <t>KG</t>
        </is>
      </c>
      <c r="E204" t="n">
        <v>420</v>
      </c>
      <c r="F204" t="n">
        <v>2387.698</v>
      </c>
      <c r="G204" t="n">
        <v>1873.494</v>
      </c>
      <c r="H204" t="inlineStr">
        <is>
          <t>056</t>
        </is>
      </c>
      <c r="I204" t="n">
        <v>4173571</v>
      </c>
      <c r="J204" t="inlineStr">
        <is>
          <t>TUB-O-N-AUT-AW-PE-22.20X1.600X5.6850</t>
        </is>
      </c>
      <c r="K204" t="n">
        <v>22.2</v>
      </c>
      <c r="L204" t="n">
        <v>0</v>
      </c>
      <c r="M204" t="n">
        <v>1.6</v>
      </c>
      <c r="N204" t="n">
        <v>5.685</v>
      </c>
      <c r="O204" t="inlineStr">
        <is>
          <t>Direct</t>
        </is>
      </c>
    </row>
    <row r="205">
      <c r="A205" t="n">
        <v>46198</v>
      </c>
      <c r="B205" t="inlineStr">
        <is>
          <t>0000943209</t>
        </is>
      </c>
      <c r="C205" t="inlineStr">
        <is>
          <t>MEGH STEELS PRIVATE LIMITED - TVS A</t>
        </is>
      </c>
      <c r="D205" t="inlineStr">
        <is>
          <t>KG</t>
        </is>
      </c>
      <c r="E205" t="n">
        <v>420</v>
      </c>
      <c r="F205" t="n">
        <v>2387.698</v>
      </c>
      <c r="G205" t="n">
        <v>1873.494</v>
      </c>
      <c r="H205" t="inlineStr">
        <is>
          <t>056</t>
        </is>
      </c>
      <c r="I205" t="n">
        <v>4173571</v>
      </c>
      <c r="J205" t="inlineStr">
        <is>
          <t>TUB-O-N-AUT-AW-PE-22.20X1.600X5.6850</t>
        </is>
      </c>
      <c r="K205" t="n">
        <v>22.2</v>
      </c>
      <c r="L205" t="n">
        <v>0</v>
      </c>
      <c r="M205" t="n">
        <v>1.6</v>
      </c>
      <c r="N205" t="n">
        <v>5.685</v>
      </c>
      <c r="O205" t="inlineStr">
        <is>
          <t>Direct</t>
        </is>
      </c>
    </row>
    <row r="206">
      <c r="A206" t="n">
        <v>46199</v>
      </c>
      <c r="B206" t="inlineStr">
        <is>
          <t>0000943209</t>
        </is>
      </c>
      <c r="C206" t="inlineStr">
        <is>
          <t>MEGH STEELS PRIVATE LIMITED - TVS A</t>
        </is>
      </c>
      <c r="D206" t="inlineStr">
        <is>
          <t>KG</t>
        </is>
      </c>
      <c r="E206" t="n">
        <v>114</v>
      </c>
      <c r="F206" t="n">
        <v>649.048</v>
      </c>
      <c r="G206" t="n">
        <v>929.697</v>
      </c>
      <c r="H206" t="inlineStr">
        <is>
          <t>4731</t>
        </is>
      </c>
      <c r="I206" t="n">
        <v>3545558</v>
      </c>
      <c r="J206" t="inlineStr">
        <is>
          <t>TUB-O-N-AUT-AW-FC-45.00X1.400X5.7000</t>
        </is>
      </c>
      <c r="K206" t="n">
        <v>45</v>
      </c>
      <c r="L206" t="n">
        <v>0</v>
      </c>
      <c r="M206" t="n">
        <v>1.4</v>
      </c>
      <c r="N206" t="n">
        <v>5.7</v>
      </c>
      <c r="O206" t="inlineStr">
        <is>
          <t>Direct</t>
        </is>
      </c>
      <c r="P206" t="inlineStr">
        <is>
          <t>45--1.4-ERW 1-FIN CUT-5.7</t>
        </is>
      </c>
    </row>
    <row r="207">
      <c r="A207" t="n">
        <v>46199</v>
      </c>
      <c r="B207" t="inlineStr">
        <is>
          <t>0000943209</t>
        </is>
      </c>
      <c r="C207" t="inlineStr">
        <is>
          <t>MEGH STEELS PRIVATE LIMITED - TVS A</t>
        </is>
      </c>
      <c r="D207" t="inlineStr">
        <is>
          <t>KG</t>
        </is>
      </c>
      <c r="E207" t="n">
        <v>191</v>
      </c>
      <c r="F207" t="n">
        <v>1088.676</v>
      </c>
      <c r="G207" t="n">
        <v>1559.42</v>
      </c>
      <c r="H207" t="inlineStr">
        <is>
          <t>4731</t>
        </is>
      </c>
      <c r="I207" t="n">
        <v>3545558</v>
      </c>
      <c r="J207" t="inlineStr">
        <is>
          <t>TUB-O-N-AUT-AW-FC-45.00X1.400X5.7000</t>
        </is>
      </c>
      <c r="K207" t="n">
        <v>45</v>
      </c>
      <c r="L207" t="n">
        <v>0</v>
      </c>
      <c r="M207" t="n">
        <v>1.4</v>
      </c>
      <c r="N207" t="n">
        <v>5.7</v>
      </c>
      <c r="O207" t="inlineStr">
        <is>
          <t>Direct</t>
        </is>
      </c>
      <c r="P207" t="inlineStr">
        <is>
          <t>45--1.4-ERW 1-FIN CUT-5.7</t>
        </is>
      </c>
    </row>
    <row r="208">
      <c r="A208" t="n">
        <v>46199</v>
      </c>
      <c r="B208" t="inlineStr">
        <is>
          <t>0000943209</t>
        </is>
      </c>
      <c r="C208" t="inlineStr">
        <is>
          <t>MEGH STEELS PRIVATE LIMITED - TVS A</t>
        </is>
      </c>
      <c r="D208" t="inlineStr">
        <is>
          <t>KG</t>
        </is>
      </c>
      <c r="E208" t="n">
        <v>139</v>
      </c>
      <c r="F208" t="n">
        <v>792.283</v>
      </c>
      <c r="G208" t="n">
        <v>1134.866</v>
      </c>
      <c r="H208" t="inlineStr">
        <is>
          <t>4731</t>
        </is>
      </c>
      <c r="I208" t="n">
        <v>3545558</v>
      </c>
      <c r="J208" t="inlineStr">
        <is>
          <t>TUB-O-N-AUT-AW-FC-45.00X1.400X5.7000</t>
        </is>
      </c>
      <c r="K208" t="n">
        <v>45</v>
      </c>
      <c r="L208" t="n">
        <v>0</v>
      </c>
      <c r="M208" t="n">
        <v>1.4</v>
      </c>
      <c r="N208" t="n">
        <v>5.7</v>
      </c>
      <c r="O208" t="inlineStr">
        <is>
          <t>Direct</t>
        </is>
      </c>
      <c r="P208" t="inlineStr">
        <is>
          <t>45--1.4-ERW 1-FIN CUT-5.7</t>
        </is>
      </c>
    </row>
    <row r="209">
      <c r="A209" t="n">
        <v>46199</v>
      </c>
      <c r="B209" t="inlineStr">
        <is>
          <t>0000943209</t>
        </is>
      </c>
      <c r="C209" t="inlineStr">
        <is>
          <t>MEGH STEELS PRIVATE LIMITED - TVS A</t>
        </is>
      </c>
      <c r="D209" t="inlineStr">
        <is>
          <t>KG</t>
        </is>
      </c>
      <c r="E209" t="n">
        <v>146</v>
      </c>
      <c r="F209" t="n">
        <v>832.182</v>
      </c>
      <c r="G209" t="n">
        <v>1192.017</v>
      </c>
      <c r="H209" t="inlineStr">
        <is>
          <t>4731</t>
        </is>
      </c>
      <c r="I209" t="n">
        <v>3545558</v>
      </c>
      <c r="J209" t="inlineStr">
        <is>
          <t>TUB-O-N-AUT-AW-FC-45.00X1.400X5.7000</t>
        </is>
      </c>
      <c r="K209" t="n">
        <v>45</v>
      </c>
      <c r="L209" t="n">
        <v>0</v>
      </c>
      <c r="M209" t="n">
        <v>1.4</v>
      </c>
      <c r="N209" t="n">
        <v>5.7</v>
      </c>
      <c r="O209" t="inlineStr">
        <is>
          <t>Direct</t>
        </is>
      </c>
      <c r="P209" t="inlineStr">
        <is>
          <t>45--1.4-ERW 1-FIN CUT-5.7</t>
        </is>
      </c>
    </row>
    <row r="210">
      <c r="A210" t="n">
        <v>46178</v>
      </c>
      <c r="B210" t="inlineStr">
        <is>
          <t>0000943209</t>
        </is>
      </c>
      <c r="C210" t="inlineStr">
        <is>
          <t>MEGH STEELS PRIVATE LIMITED - TVS A</t>
        </is>
      </c>
      <c r="D210" t="inlineStr">
        <is>
          <t>KG</t>
        </is>
      </c>
      <c r="E210" t="n">
        <v>127</v>
      </c>
      <c r="F210" t="n">
        <v>725.317</v>
      </c>
      <c r="G210" t="n">
        <v>2350.389</v>
      </c>
      <c r="H210" t="inlineStr">
        <is>
          <t>056</t>
        </is>
      </c>
      <c r="I210" t="n">
        <v>3907863</v>
      </c>
      <c r="J210" t="inlineStr">
        <is>
          <t>TUB-O-N-AUT-AW-FC-57.15X2.500X5.7110</t>
        </is>
      </c>
      <c r="K210" t="n">
        <v>57.15</v>
      </c>
      <c r="L210" t="n">
        <v>0</v>
      </c>
      <c r="M210" t="n">
        <v>2.5</v>
      </c>
      <c r="N210" t="n">
        <v>5.711</v>
      </c>
      <c r="O210" t="inlineStr">
        <is>
          <t>Direct</t>
        </is>
      </c>
      <c r="P210" t="inlineStr">
        <is>
          <t>57.15-0-2.5-ERW 1-FC-5.711</t>
        </is>
      </c>
    </row>
    <row r="211">
      <c r="A211" t="n">
        <v>46178</v>
      </c>
      <c r="B211" t="inlineStr">
        <is>
          <t>0000943209</t>
        </is>
      </c>
      <c r="C211" t="inlineStr">
        <is>
          <t>MEGH STEELS PRIVATE LIMITED - TVS A</t>
        </is>
      </c>
      <c r="D211" t="inlineStr">
        <is>
          <t>KG</t>
        </is>
      </c>
      <c r="E211" t="n">
        <v>127</v>
      </c>
      <c r="F211" t="n">
        <v>725.317</v>
      </c>
      <c r="G211" t="n">
        <v>2350.389</v>
      </c>
      <c r="H211" t="inlineStr">
        <is>
          <t>056</t>
        </is>
      </c>
      <c r="I211" t="n">
        <v>3907863</v>
      </c>
      <c r="J211" t="inlineStr">
        <is>
          <t>TUB-O-N-AUT-AW-FC-57.15X2.500X5.7110</t>
        </is>
      </c>
      <c r="K211" t="n">
        <v>57.15</v>
      </c>
      <c r="L211" t="n">
        <v>0</v>
      </c>
      <c r="M211" t="n">
        <v>2.5</v>
      </c>
      <c r="N211" t="n">
        <v>5.711</v>
      </c>
      <c r="O211" t="inlineStr">
        <is>
          <t>Direct</t>
        </is>
      </c>
      <c r="P211" t="inlineStr">
        <is>
          <t>57.15-0-2.5-ERW 1-FC-5.711</t>
        </is>
      </c>
    </row>
    <row r="212">
      <c r="A212" t="n">
        <v>46178</v>
      </c>
      <c r="B212" t="inlineStr">
        <is>
          <t>0000943209</t>
        </is>
      </c>
      <c r="C212" t="inlineStr">
        <is>
          <t>MEGH STEELS PRIVATE LIMITED - TVS A</t>
        </is>
      </c>
      <c r="D212" t="inlineStr">
        <is>
          <t>KG</t>
        </is>
      </c>
      <c r="E212" t="n">
        <v>127</v>
      </c>
      <c r="F212" t="n">
        <v>725.317</v>
      </c>
      <c r="G212" t="n">
        <v>2350.389</v>
      </c>
      <c r="H212" t="inlineStr">
        <is>
          <t>056</t>
        </is>
      </c>
      <c r="I212" t="n">
        <v>3907863</v>
      </c>
      <c r="J212" t="inlineStr">
        <is>
          <t>TUB-O-N-AUT-AW-FC-57.15X2.500X5.7110</t>
        </is>
      </c>
      <c r="K212" t="n">
        <v>57.15</v>
      </c>
      <c r="L212" t="n">
        <v>0</v>
      </c>
      <c r="M212" t="n">
        <v>2.5</v>
      </c>
      <c r="N212" t="n">
        <v>5.711</v>
      </c>
      <c r="O212" t="inlineStr">
        <is>
          <t>Direct</t>
        </is>
      </c>
      <c r="P212" t="inlineStr">
        <is>
          <t>57.15-0-2.5-ERW 1-FC-5.711</t>
        </is>
      </c>
    </row>
    <row r="213">
      <c r="A213" t="n">
        <v>46178</v>
      </c>
      <c r="B213" t="inlineStr">
        <is>
          <t>0000943209</t>
        </is>
      </c>
      <c r="C213" t="inlineStr">
        <is>
          <t>MEGH STEELS PRIVATE LIMITED - TVS A</t>
        </is>
      </c>
      <c r="D213" t="inlineStr">
        <is>
          <t>KG</t>
        </is>
      </c>
      <c r="E213" t="n">
        <v>127</v>
      </c>
      <c r="F213" t="n">
        <v>725.317</v>
      </c>
      <c r="G213" t="n">
        <v>2350.389</v>
      </c>
      <c r="H213" t="inlineStr">
        <is>
          <t>056</t>
        </is>
      </c>
      <c r="I213" t="n">
        <v>3907863</v>
      </c>
      <c r="J213" t="inlineStr">
        <is>
          <t>TUB-O-N-AUT-AW-FC-57.15X2.500X5.7110</t>
        </is>
      </c>
      <c r="K213" t="n">
        <v>57.15</v>
      </c>
      <c r="L213" t="n">
        <v>0</v>
      </c>
      <c r="M213" t="n">
        <v>2.5</v>
      </c>
      <c r="N213" t="n">
        <v>5.711</v>
      </c>
      <c r="O213" t="inlineStr">
        <is>
          <t>Direct</t>
        </is>
      </c>
      <c r="P213" t="inlineStr">
        <is>
          <t>57.15-0-2.5-ERW 1-FC-5.711</t>
        </is>
      </c>
    </row>
    <row r="214">
      <c r="A214" t="n">
        <v>46178</v>
      </c>
      <c r="B214" t="inlineStr">
        <is>
          <t>0000943209</t>
        </is>
      </c>
      <c r="C214" t="inlineStr">
        <is>
          <t>MEGH STEELS PRIVATE LIMITED - TVS A</t>
        </is>
      </c>
      <c r="D214" t="inlineStr">
        <is>
          <t>KG</t>
        </is>
      </c>
      <c r="E214" t="n">
        <v>127</v>
      </c>
      <c r="F214" t="n">
        <v>725.317</v>
      </c>
      <c r="G214" t="n">
        <v>2350.389</v>
      </c>
      <c r="H214" t="inlineStr">
        <is>
          <t>056</t>
        </is>
      </c>
      <c r="I214" t="n">
        <v>3907863</v>
      </c>
      <c r="J214" t="inlineStr">
        <is>
          <t>TUB-O-N-AUT-AW-FC-57.15X2.500X5.7110</t>
        </is>
      </c>
      <c r="K214" t="n">
        <v>57.15</v>
      </c>
      <c r="L214" t="n">
        <v>0</v>
      </c>
      <c r="M214" t="n">
        <v>2.5</v>
      </c>
      <c r="N214" t="n">
        <v>5.711</v>
      </c>
      <c r="O214" t="inlineStr">
        <is>
          <t>Direct</t>
        </is>
      </c>
      <c r="P214" t="inlineStr">
        <is>
          <t>57.15-0-2.5-ERW 1-FC-5.711</t>
        </is>
      </c>
    </row>
    <row r="215">
      <c r="A215" t="n">
        <v>46178</v>
      </c>
      <c r="B215" t="inlineStr">
        <is>
          <t>0000943209</t>
        </is>
      </c>
      <c r="C215" t="inlineStr">
        <is>
          <t>MEGH STEELS PRIVATE LIMITED - TVS A</t>
        </is>
      </c>
      <c r="D215" t="inlineStr">
        <is>
          <t>KG</t>
        </is>
      </c>
      <c r="E215" t="n">
        <v>127</v>
      </c>
      <c r="F215" t="n">
        <v>725.317</v>
      </c>
      <c r="G215" t="n">
        <v>2350.389</v>
      </c>
      <c r="H215" t="inlineStr">
        <is>
          <t>056</t>
        </is>
      </c>
      <c r="I215" t="n">
        <v>3907863</v>
      </c>
      <c r="J215" t="inlineStr">
        <is>
          <t>TUB-O-N-AUT-AW-FC-57.15X2.500X5.7110</t>
        </is>
      </c>
      <c r="K215" t="n">
        <v>57.15</v>
      </c>
      <c r="L215" t="n">
        <v>0</v>
      </c>
      <c r="M215" t="n">
        <v>2.5</v>
      </c>
      <c r="N215" t="n">
        <v>5.711</v>
      </c>
      <c r="O215" t="inlineStr">
        <is>
          <t>Direct</t>
        </is>
      </c>
      <c r="P215" t="inlineStr">
        <is>
          <t>57.15-0-2.5-ERW 1-FC-5.711</t>
        </is>
      </c>
    </row>
    <row r="216">
      <c r="A216" t="n">
        <v>46191</v>
      </c>
      <c r="B216" t="inlineStr">
        <is>
          <t>0000943209</t>
        </is>
      </c>
      <c r="C216" t="inlineStr">
        <is>
          <t>MEGH STEELS PRIVATE LIMITED - TVS A</t>
        </is>
      </c>
      <c r="D216" t="inlineStr">
        <is>
          <t>KG</t>
        </is>
      </c>
      <c r="E216" t="n">
        <v>55</v>
      </c>
      <c r="F216" t="n">
        <v>314.114</v>
      </c>
      <c r="G216" t="n">
        <v>1017.885</v>
      </c>
      <c r="H216" t="inlineStr">
        <is>
          <t>056</t>
        </is>
      </c>
      <c r="I216" t="n">
        <v>3907863</v>
      </c>
      <c r="J216" t="inlineStr">
        <is>
          <t>TUB-O-N-AUT-AW-FC-57.15X2.500X5.7110</t>
        </is>
      </c>
      <c r="K216" t="n">
        <v>57.15</v>
      </c>
      <c r="L216" t="n">
        <v>0</v>
      </c>
      <c r="M216" t="n">
        <v>2.5</v>
      </c>
      <c r="N216" t="n">
        <v>5.711</v>
      </c>
      <c r="O216" t="inlineStr">
        <is>
          <t>Direct</t>
        </is>
      </c>
      <c r="P216" t="inlineStr">
        <is>
          <t>57.15-0-2.5-ERW 1-FC-5.711</t>
        </is>
      </c>
    </row>
    <row r="217">
      <c r="A217" t="n">
        <v>46191</v>
      </c>
      <c r="B217" t="inlineStr">
        <is>
          <t>0000943209</t>
        </is>
      </c>
      <c r="C217" t="inlineStr">
        <is>
          <t>MEGH STEELS PRIVATE LIMITED - TVS A</t>
        </is>
      </c>
      <c r="D217" t="inlineStr">
        <is>
          <t>KG</t>
        </is>
      </c>
      <c r="E217" t="n">
        <v>55</v>
      </c>
      <c r="F217" t="n">
        <v>314.114</v>
      </c>
      <c r="G217" t="n">
        <v>1017.885</v>
      </c>
      <c r="H217" t="inlineStr">
        <is>
          <t>056</t>
        </is>
      </c>
      <c r="I217" t="n">
        <v>3907863</v>
      </c>
      <c r="J217" t="inlineStr">
        <is>
          <t>TUB-O-N-AUT-AW-FC-57.15X2.500X5.7110</t>
        </is>
      </c>
      <c r="K217" t="n">
        <v>57.15</v>
      </c>
      <c r="L217" t="n">
        <v>0</v>
      </c>
      <c r="M217" t="n">
        <v>2.5</v>
      </c>
      <c r="N217" t="n">
        <v>5.711</v>
      </c>
      <c r="O217" t="inlineStr">
        <is>
          <t>Direct</t>
        </is>
      </c>
      <c r="P217" t="inlineStr">
        <is>
          <t>57.15-0-2.5-ERW 1-FC-5.711</t>
        </is>
      </c>
    </row>
    <row r="218">
      <c r="A218" t="n">
        <v>46199</v>
      </c>
      <c r="B218" t="inlineStr">
        <is>
          <t>0000943209</t>
        </is>
      </c>
      <c r="C218" t="inlineStr">
        <is>
          <t>MEGH STEELS PRIVATE LIMITED - TVS A</t>
        </is>
      </c>
      <c r="D218" t="inlineStr">
        <is>
          <t>KG</t>
        </is>
      </c>
      <c r="E218" t="n">
        <v>125</v>
      </c>
      <c r="F218" t="n">
        <v>718.272</v>
      </c>
      <c r="G218" t="n">
        <v>2327.561</v>
      </c>
      <c r="H218" t="inlineStr">
        <is>
          <t>4731</t>
        </is>
      </c>
      <c r="I218" t="n">
        <v>3501047</v>
      </c>
      <c r="J218" t="inlineStr">
        <is>
          <t>TUB-O-N-AUT-AW-FC-57.15X2.50X5.750-ERW 1</t>
        </is>
      </c>
      <c r="K218" t="n">
        <v>57.15</v>
      </c>
      <c r="L218" t="n">
        <v>0</v>
      </c>
      <c r="M218" t="n">
        <v>2.5</v>
      </c>
      <c r="N218" t="n">
        <v>5.75</v>
      </c>
      <c r="O218" t="inlineStr">
        <is>
          <t>Direct</t>
        </is>
      </c>
      <c r="P218" t="inlineStr">
        <is>
          <t>57.15-0-2.5-ERW 1-FC-5.75</t>
        </is>
      </c>
    </row>
    <row r="219">
      <c r="A219" t="n">
        <v>46199</v>
      </c>
      <c r="B219" t="inlineStr">
        <is>
          <t>0000943209</t>
        </is>
      </c>
      <c r="C219" t="inlineStr">
        <is>
          <t>MEGH STEELS PRIVATE LIMITED - TVS A</t>
        </is>
      </c>
      <c r="D219" t="inlineStr">
        <is>
          <t>KG</t>
        </is>
      </c>
      <c r="E219" t="n">
        <v>126</v>
      </c>
      <c r="F219" t="n">
        <v>724.505</v>
      </c>
      <c r="G219" t="n">
        <v>2347.758</v>
      </c>
      <c r="H219" t="inlineStr">
        <is>
          <t>4731</t>
        </is>
      </c>
      <c r="I219" t="n">
        <v>3501047</v>
      </c>
      <c r="J219" t="inlineStr">
        <is>
          <t>TUB-O-N-AUT-AW-FC-57.15X2.50X5.750-ERW 1</t>
        </is>
      </c>
      <c r="K219" t="n">
        <v>57.15</v>
      </c>
      <c r="L219" t="n">
        <v>0</v>
      </c>
      <c r="M219" t="n">
        <v>2.5</v>
      </c>
      <c r="N219" t="n">
        <v>5.75</v>
      </c>
      <c r="O219" t="inlineStr">
        <is>
          <t>Direct</t>
        </is>
      </c>
      <c r="P219" t="inlineStr">
        <is>
          <t>57.15-0-2.5-ERW 1-FC-5.75</t>
        </is>
      </c>
    </row>
    <row r="220">
      <c r="A220" t="n">
        <v>46199</v>
      </c>
      <c r="B220" t="inlineStr">
        <is>
          <t>0000943209</t>
        </is>
      </c>
      <c r="C220" t="inlineStr">
        <is>
          <t>MEGH STEELS PRIVATE LIMITED - TVS A</t>
        </is>
      </c>
      <c r="D220" t="inlineStr">
        <is>
          <t>KG</t>
        </is>
      </c>
      <c r="E220" t="n">
        <v>130</v>
      </c>
      <c r="F220" t="n">
        <v>747.505</v>
      </c>
      <c r="G220" t="n">
        <v>2422.29</v>
      </c>
      <c r="H220" t="inlineStr">
        <is>
          <t>4731</t>
        </is>
      </c>
      <c r="I220" t="n">
        <v>3501047</v>
      </c>
      <c r="J220" t="inlineStr">
        <is>
          <t>TUB-O-N-AUT-AW-FC-57.15X2.50X5.750-ERW 1</t>
        </is>
      </c>
      <c r="K220" t="n">
        <v>57.15</v>
      </c>
      <c r="L220" t="n">
        <v>0</v>
      </c>
      <c r="M220" t="n">
        <v>2.5</v>
      </c>
      <c r="N220" t="n">
        <v>5.75</v>
      </c>
      <c r="O220" t="inlineStr">
        <is>
          <t>Direct</t>
        </is>
      </c>
      <c r="P220" t="inlineStr">
        <is>
          <t>57.15-0-2.5-ERW 1-FC-5.75</t>
        </is>
      </c>
    </row>
    <row r="221">
      <c r="A221" t="n">
        <v>46199</v>
      </c>
      <c r="B221" t="inlineStr">
        <is>
          <t>0000943209</t>
        </is>
      </c>
      <c r="C221" t="inlineStr">
        <is>
          <t>MEGH STEELS PRIVATE LIMITED - TVS A</t>
        </is>
      </c>
      <c r="D221" t="inlineStr">
        <is>
          <t>KG</t>
        </is>
      </c>
      <c r="E221" t="n">
        <v>127</v>
      </c>
      <c r="F221" t="n">
        <v>730.255</v>
      </c>
      <c r="G221" t="n">
        <v>2366.391</v>
      </c>
      <c r="H221" t="inlineStr">
        <is>
          <t>4731</t>
        </is>
      </c>
      <c r="I221" t="n">
        <v>3501047</v>
      </c>
      <c r="J221" t="inlineStr">
        <is>
          <t>TUB-O-N-AUT-AW-FC-57.15X2.50X5.750-ERW 1</t>
        </is>
      </c>
      <c r="K221" t="n">
        <v>57.15</v>
      </c>
      <c r="L221" t="n">
        <v>0</v>
      </c>
      <c r="M221" t="n">
        <v>2.5</v>
      </c>
      <c r="N221" t="n">
        <v>5.75</v>
      </c>
      <c r="O221" t="inlineStr">
        <is>
          <t>Direct</t>
        </is>
      </c>
      <c r="P221" t="inlineStr">
        <is>
          <t>57.15-0-2.5-ERW 1-FC-5.75</t>
        </is>
      </c>
    </row>
    <row r="222">
      <c r="A222" t="n">
        <v>46189</v>
      </c>
      <c r="B222" t="inlineStr">
        <is>
          <t>0000943209</t>
        </is>
      </c>
      <c r="C222" t="inlineStr">
        <is>
          <t>MEGH STEELS PRIVATE LIMITED - TVS A</t>
        </is>
      </c>
      <c r="D222" t="inlineStr">
        <is>
          <t>KG</t>
        </is>
      </c>
      <c r="E222" t="n">
        <v>563</v>
      </c>
      <c r="F222" t="n">
        <v>3265.573</v>
      </c>
      <c r="G222" t="n">
        <v>2747</v>
      </c>
      <c r="H222" t="inlineStr">
        <is>
          <t>0789</t>
        </is>
      </c>
      <c r="I222" t="n">
        <v>1940292</v>
      </c>
      <c r="J222" t="inlineStr">
        <is>
          <t>TUB-O-O-AUT-AW-PE-19.05X2.000X5.8000</t>
        </is>
      </c>
      <c r="K222" t="n">
        <v>19.05</v>
      </c>
      <c r="L222" t="n">
        <v>0</v>
      </c>
      <c r="M222" t="n">
        <v>2</v>
      </c>
      <c r="N222" t="n">
        <v>5.8</v>
      </c>
      <c r="O222" t="inlineStr">
        <is>
          <t>Direct</t>
        </is>
      </c>
    </row>
    <row r="223">
      <c r="A223" t="n">
        <v>46183</v>
      </c>
      <c r="B223" t="inlineStr">
        <is>
          <t>0000943209</t>
        </is>
      </c>
      <c r="C223" t="inlineStr">
        <is>
          <t>MEGH STEELS PRIVATE LIMITED - TVS A</t>
        </is>
      </c>
      <c r="D223" t="inlineStr">
        <is>
          <t>KG</t>
        </is>
      </c>
      <c r="E223" t="n">
        <v>434</v>
      </c>
      <c r="F223" t="n">
        <v>2517.832</v>
      </c>
      <c r="G223" t="n">
        <v>2118</v>
      </c>
      <c r="H223" t="inlineStr">
        <is>
          <t>0789</t>
        </is>
      </c>
      <c r="I223" t="n">
        <v>1940292</v>
      </c>
      <c r="J223" t="inlineStr">
        <is>
          <t>TUB-O-O-AUT-AW-PE-19.05X2.000X5.8000</t>
        </is>
      </c>
      <c r="K223" t="n">
        <v>19.05</v>
      </c>
      <c r="L223" t="n">
        <v>0</v>
      </c>
      <c r="M223" t="n">
        <v>2</v>
      </c>
      <c r="N223" t="n">
        <v>5.8</v>
      </c>
      <c r="O223" t="inlineStr">
        <is>
          <t>Direct</t>
        </is>
      </c>
    </row>
    <row r="224">
      <c r="A224" t="n">
        <v>46183</v>
      </c>
      <c r="B224" t="inlineStr">
        <is>
          <t>0000943209</t>
        </is>
      </c>
      <c r="C224" t="inlineStr">
        <is>
          <t>MEGH STEELS PRIVATE LIMITED - TVS A</t>
        </is>
      </c>
      <c r="D224" t="inlineStr">
        <is>
          <t>KG</t>
        </is>
      </c>
      <c r="E224" t="n">
        <v>160</v>
      </c>
      <c r="F224" t="n">
        <v>929.624</v>
      </c>
      <c r="G224" t="n">
        <v>782</v>
      </c>
      <c r="H224" t="inlineStr">
        <is>
          <t>0789</t>
        </is>
      </c>
      <c r="I224" t="n">
        <v>1940292</v>
      </c>
      <c r="J224" t="inlineStr">
        <is>
          <t>TUB-O-O-AUT-AW-PE-19.05X2.000X5.8000</t>
        </is>
      </c>
      <c r="K224" t="n">
        <v>19.05</v>
      </c>
      <c r="L224" t="n">
        <v>0</v>
      </c>
      <c r="M224" t="n">
        <v>2</v>
      </c>
      <c r="N224" t="n">
        <v>5.8</v>
      </c>
      <c r="O224" t="inlineStr">
        <is>
          <t>Direct</t>
        </is>
      </c>
    </row>
    <row r="225">
      <c r="A225" t="n">
        <v>46183</v>
      </c>
      <c r="B225" t="inlineStr">
        <is>
          <t>0000943209</t>
        </is>
      </c>
      <c r="C225" t="inlineStr">
        <is>
          <t>MEGH STEELS PRIVATE LIMITED - TVS A</t>
        </is>
      </c>
      <c r="D225" t="inlineStr">
        <is>
          <t>KG</t>
        </is>
      </c>
      <c r="E225" t="n">
        <v>163</v>
      </c>
      <c r="F225" t="n">
        <v>942.701</v>
      </c>
      <c r="G225" t="n">
        <v>793</v>
      </c>
      <c r="H225" t="inlineStr">
        <is>
          <t>0789</t>
        </is>
      </c>
      <c r="I225" t="n">
        <v>1940292</v>
      </c>
      <c r="J225" t="inlineStr">
        <is>
          <t>TUB-O-O-AUT-AW-PE-19.05X2.000X5.8000</t>
        </is>
      </c>
      <c r="K225" t="n">
        <v>19.05</v>
      </c>
      <c r="L225" t="n">
        <v>0</v>
      </c>
      <c r="M225" t="n">
        <v>2</v>
      </c>
      <c r="N225" t="n">
        <v>5.8</v>
      </c>
      <c r="O225" t="inlineStr">
        <is>
          <t>Direct</t>
        </is>
      </c>
    </row>
    <row r="226">
      <c r="A226" t="n">
        <v>46183</v>
      </c>
      <c r="B226" t="inlineStr">
        <is>
          <t>0000943209</t>
        </is>
      </c>
      <c r="C226" t="inlineStr">
        <is>
          <t>MEGH STEELS PRIVATE LIMITED - TVS A</t>
        </is>
      </c>
      <c r="D226" t="inlineStr">
        <is>
          <t>KG</t>
        </is>
      </c>
      <c r="E226" t="n">
        <v>215</v>
      </c>
      <c r="F226" t="n">
        <v>1247.028</v>
      </c>
      <c r="G226" t="n">
        <v>1049</v>
      </c>
      <c r="H226" t="inlineStr">
        <is>
          <t>0789</t>
        </is>
      </c>
      <c r="I226" t="n">
        <v>1940292</v>
      </c>
      <c r="J226" t="inlineStr">
        <is>
          <t>TUB-O-O-AUT-AW-PE-19.05X2.000X5.8000</t>
        </is>
      </c>
      <c r="K226" t="n">
        <v>19.05</v>
      </c>
      <c r="L226" t="n">
        <v>0</v>
      </c>
      <c r="M226" t="n">
        <v>2</v>
      </c>
      <c r="N226" t="n">
        <v>5.8</v>
      </c>
      <c r="O226" t="inlineStr">
        <is>
          <t>Direct</t>
        </is>
      </c>
    </row>
    <row r="227">
      <c r="A227" t="n">
        <v>46183</v>
      </c>
      <c r="B227" t="inlineStr">
        <is>
          <t>0000943209</t>
        </is>
      </c>
      <c r="C227" t="inlineStr">
        <is>
          <t>MEGH STEELS PRIVATE LIMITED - TVS A</t>
        </is>
      </c>
      <c r="D227" t="inlineStr">
        <is>
          <t>KG</t>
        </is>
      </c>
      <c r="E227" t="n">
        <v>207</v>
      </c>
      <c r="F227" t="n">
        <v>1198.288</v>
      </c>
      <c r="G227" t="n">
        <v>1008</v>
      </c>
      <c r="H227" t="inlineStr">
        <is>
          <t>0789</t>
        </is>
      </c>
      <c r="I227" t="n">
        <v>1940292</v>
      </c>
      <c r="J227" t="inlineStr">
        <is>
          <t>TUB-O-O-AUT-AW-PE-19.05X2.000X5.8000</t>
        </is>
      </c>
      <c r="K227" t="n">
        <v>19.05</v>
      </c>
      <c r="L227" t="n">
        <v>0</v>
      </c>
      <c r="M227" t="n">
        <v>2</v>
      </c>
      <c r="N227" t="n">
        <v>5.8</v>
      </c>
      <c r="O227" t="inlineStr">
        <is>
          <t>Direct</t>
        </is>
      </c>
    </row>
    <row r="228">
      <c r="A228" t="n">
        <v>46185</v>
      </c>
      <c r="B228" t="inlineStr">
        <is>
          <t>0000943209</t>
        </is>
      </c>
      <c r="C228" t="inlineStr">
        <is>
          <t>MEGH STEELS PRIVATE LIMITED - TVS A</t>
        </is>
      </c>
      <c r="D228" t="inlineStr">
        <is>
          <t>KG</t>
        </is>
      </c>
      <c r="E228" t="n">
        <v>523</v>
      </c>
      <c r="F228" t="n">
        <v>3033.761</v>
      </c>
      <c r="G228" t="n">
        <v>2552</v>
      </c>
      <c r="H228" t="inlineStr">
        <is>
          <t>0789</t>
        </is>
      </c>
      <c r="I228" t="n">
        <v>1940292</v>
      </c>
      <c r="J228" t="inlineStr">
        <is>
          <t>TUB-O-O-AUT-AW-PE-19.05X2.000X5.8000</t>
        </is>
      </c>
      <c r="K228" t="n">
        <v>19.05</v>
      </c>
      <c r="L228" t="n">
        <v>0</v>
      </c>
      <c r="M228" t="n">
        <v>2</v>
      </c>
      <c r="N228" t="n">
        <v>5.8</v>
      </c>
      <c r="O228" t="inlineStr">
        <is>
          <t>Direct</t>
        </is>
      </c>
    </row>
    <row r="229">
      <c r="A229" t="n">
        <v>46185</v>
      </c>
      <c r="B229" t="inlineStr">
        <is>
          <t>0000943209</t>
        </is>
      </c>
      <c r="C229" t="inlineStr">
        <is>
          <t>MEGH STEELS PRIVATE LIMITED - TVS A</t>
        </is>
      </c>
      <c r="D229" t="inlineStr">
        <is>
          <t>KG</t>
        </is>
      </c>
      <c r="E229" t="n">
        <v>525</v>
      </c>
      <c r="F229" t="n">
        <v>3045.649</v>
      </c>
      <c r="G229" t="n">
        <v>2562</v>
      </c>
      <c r="H229" t="inlineStr">
        <is>
          <t>0789</t>
        </is>
      </c>
      <c r="I229" t="n">
        <v>1940292</v>
      </c>
      <c r="J229" t="inlineStr">
        <is>
          <t>TUB-O-O-AUT-AW-PE-19.05X2.000X5.8000</t>
        </is>
      </c>
      <c r="K229" t="n">
        <v>19.05</v>
      </c>
      <c r="L229" t="n">
        <v>0</v>
      </c>
      <c r="M229" t="n">
        <v>2</v>
      </c>
      <c r="N229" t="n">
        <v>5.8</v>
      </c>
      <c r="O229" t="inlineStr">
        <is>
          <t>Direct</t>
        </is>
      </c>
    </row>
    <row r="230">
      <c r="A230" t="n">
        <v>46185</v>
      </c>
      <c r="B230" t="inlineStr">
        <is>
          <t>0000943209</t>
        </is>
      </c>
      <c r="C230" t="inlineStr">
        <is>
          <t>MEGH STEELS PRIVATE LIMITED - TVS A</t>
        </is>
      </c>
      <c r="D230" t="inlineStr">
        <is>
          <t>KG</t>
        </is>
      </c>
      <c r="E230" t="n">
        <v>600</v>
      </c>
      <c r="F230" t="n">
        <v>3480.742</v>
      </c>
      <c r="G230" t="n">
        <v>2928</v>
      </c>
      <c r="H230" t="inlineStr">
        <is>
          <t>0789</t>
        </is>
      </c>
      <c r="I230" t="n">
        <v>1940292</v>
      </c>
      <c r="J230" t="inlineStr">
        <is>
          <t>TUB-O-O-AUT-AW-PE-19.05X2.000X5.8000</t>
        </is>
      </c>
      <c r="K230" t="n">
        <v>19.05</v>
      </c>
      <c r="L230" t="n">
        <v>0</v>
      </c>
      <c r="M230" t="n">
        <v>2</v>
      </c>
      <c r="N230" t="n">
        <v>5.8</v>
      </c>
      <c r="O230" t="inlineStr">
        <is>
          <t>Direct</t>
        </is>
      </c>
    </row>
    <row r="231">
      <c r="A231" t="n">
        <v>46185</v>
      </c>
      <c r="B231" t="inlineStr">
        <is>
          <t>0000943209</t>
        </is>
      </c>
      <c r="C231" t="inlineStr">
        <is>
          <t>MEGH STEELS PRIVATE LIMITED - TVS A</t>
        </is>
      </c>
      <c r="D231" t="inlineStr">
        <is>
          <t>KG</t>
        </is>
      </c>
      <c r="E231" t="n">
        <v>483</v>
      </c>
      <c r="F231" t="n">
        <v>2803.138</v>
      </c>
      <c r="G231" t="n">
        <v>2358</v>
      </c>
      <c r="H231" t="inlineStr">
        <is>
          <t>0789</t>
        </is>
      </c>
      <c r="I231" t="n">
        <v>1940292</v>
      </c>
      <c r="J231" t="inlineStr">
        <is>
          <t>TUB-O-O-AUT-AW-PE-19.05X2.000X5.8000</t>
        </is>
      </c>
      <c r="K231" t="n">
        <v>19.05</v>
      </c>
      <c r="L231" t="n">
        <v>0</v>
      </c>
      <c r="M231" t="n">
        <v>2</v>
      </c>
      <c r="N231" t="n">
        <v>5.8</v>
      </c>
      <c r="O231" t="inlineStr">
        <is>
          <t>Direct</t>
        </is>
      </c>
    </row>
    <row r="232">
      <c r="A232" t="n">
        <v>46189</v>
      </c>
      <c r="B232" t="inlineStr">
        <is>
          <t>0000943209</t>
        </is>
      </c>
      <c r="C232" t="inlineStr">
        <is>
          <t>MEGH STEELS PRIVATE LIMITED - TVS A</t>
        </is>
      </c>
      <c r="D232" t="inlineStr">
        <is>
          <t>KG</t>
        </is>
      </c>
      <c r="E232" t="n">
        <v>48</v>
      </c>
      <c r="F232" t="n">
        <v>278.174</v>
      </c>
      <c r="G232" t="n">
        <v>234</v>
      </c>
      <c r="H232" t="inlineStr">
        <is>
          <t>0789</t>
        </is>
      </c>
      <c r="I232" t="n">
        <v>1940292</v>
      </c>
      <c r="J232" t="inlineStr">
        <is>
          <t>TUB-O-O-AUT-AW-PE-19.05X2.000X5.8000</t>
        </is>
      </c>
      <c r="K232" t="n">
        <v>19.05</v>
      </c>
      <c r="L232" t="n">
        <v>0</v>
      </c>
      <c r="M232" t="n">
        <v>2</v>
      </c>
      <c r="N232" t="n">
        <v>5.8</v>
      </c>
      <c r="O232" t="inlineStr">
        <is>
          <t>Direct</t>
        </is>
      </c>
    </row>
    <row r="233">
      <c r="A233" t="n">
        <v>46189</v>
      </c>
      <c r="B233" t="inlineStr">
        <is>
          <t>0000943209</t>
        </is>
      </c>
      <c r="C233" t="inlineStr">
        <is>
          <t>MEGH STEELS PRIVATE LIMITED - TVS A</t>
        </is>
      </c>
      <c r="D233" t="inlineStr">
        <is>
          <t>KG</t>
        </is>
      </c>
      <c r="E233" t="n">
        <v>251</v>
      </c>
      <c r="F233" t="n">
        <v>1456.253</v>
      </c>
      <c r="G233" t="n">
        <v>1225</v>
      </c>
      <c r="H233" t="inlineStr">
        <is>
          <t>0789</t>
        </is>
      </c>
      <c r="I233" t="n">
        <v>1940292</v>
      </c>
      <c r="J233" t="inlineStr">
        <is>
          <t>TUB-O-O-AUT-AW-PE-19.05X2.000X5.8000</t>
        </is>
      </c>
      <c r="K233" t="n">
        <v>19.05</v>
      </c>
      <c r="L233" t="n">
        <v>0</v>
      </c>
      <c r="M233" t="n">
        <v>2</v>
      </c>
      <c r="N233" t="n">
        <v>5.8</v>
      </c>
      <c r="O233" t="inlineStr">
        <is>
          <t>Direct</t>
        </is>
      </c>
    </row>
    <row r="234">
      <c r="A234" t="n">
        <v>46189</v>
      </c>
      <c r="B234" t="inlineStr">
        <is>
          <t>0000943209</t>
        </is>
      </c>
      <c r="C234" t="inlineStr">
        <is>
          <t>MEGH STEELS PRIVATE LIMITED - TVS A</t>
        </is>
      </c>
      <c r="D234" t="inlineStr">
        <is>
          <t>KG</t>
        </is>
      </c>
      <c r="E234" t="n">
        <v>737</v>
      </c>
      <c r="F234" t="n">
        <v>4272.468</v>
      </c>
      <c r="G234" t="n">
        <v>3594</v>
      </c>
      <c r="H234" t="inlineStr">
        <is>
          <t>0789</t>
        </is>
      </c>
      <c r="I234" t="n">
        <v>1940292</v>
      </c>
      <c r="J234" t="inlineStr">
        <is>
          <t>TUB-O-O-AUT-AW-PE-19.05X2.000X5.8000</t>
        </is>
      </c>
      <c r="K234" t="n">
        <v>19.05</v>
      </c>
      <c r="L234" t="n">
        <v>0</v>
      </c>
      <c r="M234" t="n">
        <v>2</v>
      </c>
      <c r="N234" t="n">
        <v>5.8</v>
      </c>
      <c r="O234" t="inlineStr">
        <is>
          <t>Direct</t>
        </is>
      </c>
    </row>
    <row r="235">
      <c r="A235" t="n">
        <v>46183</v>
      </c>
      <c r="B235" t="inlineStr">
        <is>
          <t>0000943209</t>
        </is>
      </c>
      <c r="C235" t="inlineStr">
        <is>
          <t>MEGH STEELS PRIVATE LIMITED - TVS A</t>
        </is>
      </c>
      <c r="D235" t="inlineStr">
        <is>
          <t>KG</t>
        </is>
      </c>
      <c r="E235" t="n">
        <v>219</v>
      </c>
      <c r="F235" t="n">
        <v>1269.615</v>
      </c>
      <c r="G235" t="n">
        <v>1068</v>
      </c>
      <c r="H235" t="inlineStr">
        <is>
          <t>0789</t>
        </is>
      </c>
      <c r="I235" t="n">
        <v>1940292</v>
      </c>
      <c r="J235" t="inlineStr">
        <is>
          <t>TUB-O-O-AUT-AW-PE-19.05X2.000X5.8000</t>
        </is>
      </c>
      <c r="K235" t="n">
        <v>19.05</v>
      </c>
      <c r="L235" t="n">
        <v>0</v>
      </c>
      <c r="M235" t="n">
        <v>2</v>
      </c>
      <c r="N235" t="n">
        <v>5.8</v>
      </c>
      <c r="O235" t="inlineStr">
        <is>
          <t>Direct</t>
        </is>
      </c>
    </row>
    <row r="236">
      <c r="A236" t="n">
        <v>46183</v>
      </c>
      <c r="B236" t="inlineStr">
        <is>
          <t>0000943209</t>
        </is>
      </c>
      <c r="C236" t="inlineStr">
        <is>
          <t>MEGH STEELS PRIVATE LIMITED - TVS A</t>
        </is>
      </c>
      <c r="D236" t="inlineStr">
        <is>
          <t>KG</t>
        </is>
      </c>
      <c r="E236" t="n">
        <v>68</v>
      </c>
      <c r="F236" t="n">
        <v>393.485</v>
      </c>
      <c r="G236" t="n">
        <v>331</v>
      </c>
      <c r="H236" t="inlineStr">
        <is>
          <t>0789</t>
        </is>
      </c>
      <c r="I236" t="n">
        <v>1940292</v>
      </c>
      <c r="J236" t="inlineStr">
        <is>
          <t>TUB-O-O-AUT-AW-PE-19.05X2.000X5.8000</t>
        </is>
      </c>
      <c r="K236" t="n">
        <v>19.05</v>
      </c>
      <c r="L236" t="n">
        <v>0</v>
      </c>
      <c r="M236" t="n">
        <v>2</v>
      </c>
      <c r="N236" t="n">
        <v>5.8</v>
      </c>
      <c r="O236" t="inlineStr">
        <is>
          <t>Direct</t>
        </is>
      </c>
    </row>
    <row r="237">
      <c r="A237" t="n">
        <v>46183</v>
      </c>
      <c r="B237" t="inlineStr">
        <is>
          <t>0000943209</t>
        </is>
      </c>
      <c r="C237" t="inlineStr">
        <is>
          <t>MEGH STEELS PRIVATE LIMITED - TVS A</t>
        </is>
      </c>
      <c r="D237" t="inlineStr">
        <is>
          <t>KG</t>
        </is>
      </c>
      <c r="E237" t="n">
        <v>519</v>
      </c>
      <c r="F237" t="n">
        <v>3008.797</v>
      </c>
      <c r="G237" t="n">
        <v>2531</v>
      </c>
      <c r="H237" t="inlineStr">
        <is>
          <t>0789</t>
        </is>
      </c>
      <c r="I237" t="n">
        <v>1940292</v>
      </c>
      <c r="J237" t="inlineStr">
        <is>
          <t>TUB-O-O-AUT-AW-PE-19.05X2.000X5.8000</t>
        </is>
      </c>
      <c r="K237" t="n">
        <v>19.05</v>
      </c>
      <c r="L237" t="n">
        <v>0</v>
      </c>
      <c r="M237" t="n">
        <v>2</v>
      </c>
      <c r="N237" t="n">
        <v>5.8</v>
      </c>
      <c r="O237" t="inlineStr">
        <is>
          <t>Direct</t>
        </is>
      </c>
    </row>
    <row r="238">
      <c r="A238" t="n">
        <v>46201</v>
      </c>
      <c r="B238" t="inlineStr">
        <is>
          <t>0000943209</t>
        </is>
      </c>
      <c r="C238" t="inlineStr">
        <is>
          <t>MEGH STEELS PRIVATE LIMITED - TVS A</t>
        </is>
      </c>
      <c r="D238" t="inlineStr">
        <is>
          <t>KG</t>
        </is>
      </c>
      <c r="E238" t="n">
        <v>420</v>
      </c>
      <c r="F238" t="n">
        <v>2452.812</v>
      </c>
      <c r="G238" t="n">
        <v>2766.036</v>
      </c>
      <c r="H238" t="inlineStr">
        <is>
          <t>056</t>
        </is>
      </c>
      <c r="I238" t="n">
        <v>3673890</v>
      </c>
      <c r="J238" t="inlineStr">
        <is>
          <t>TUB-O-N-AUT-AW-PE-25.40X2.000X5.8400</t>
        </is>
      </c>
      <c r="K238" t="n">
        <v>25.4</v>
      </c>
      <c r="L238" t="n">
        <v>0</v>
      </c>
      <c r="M238" t="n">
        <v>2</v>
      </c>
      <c r="N238" t="n">
        <v>5.84</v>
      </c>
      <c r="O238" t="inlineStr">
        <is>
          <t>Direct</t>
        </is>
      </c>
      <c r="P238" t="inlineStr">
        <is>
          <t>25.4-0-2-ERW 1-PE-5.82</t>
        </is>
      </c>
    </row>
    <row r="239">
      <c r="A239" t="n">
        <v>46203</v>
      </c>
      <c r="B239" t="inlineStr">
        <is>
          <t>0000943209</t>
        </is>
      </c>
      <c r="C239" t="inlineStr">
        <is>
          <t>MEGH STEELS PRIVATE LIMITED - TVS A</t>
        </is>
      </c>
      <c r="D239" t="inlineStr">
        <is>
          <t>KG</t>
        </is>
      </c>
      <c r="E239" t="n">
        <v>416</v>
      </c>
      <c r="F239" t="n">
        <v>2429.452</v>
      </c>
      <c r="G239" t="n">
        <v>2739.693</v>
      </c>
      <c r="H239" t="inlineStr">
        <is>
          <t>056</t>
        </is>
      </c>
      <c r="I239" t="n">
        <v>3673890</v>
      </c>
      <c r="J239" t="inlineStr">
        <is>
          <t>TUB-O-N-AUT-AW-PE-25.40X2.000X5.8400</t>
        </is>
      </c>
      <c r="K239" t="n">
        <v>25.4</v>
      </c>
      <c r="L239" t="n">
        <v>0</v>
      </c>
      <c r="M239" t="n">
        <v>2</v>
      </c>
      <c r="N239" t="n">
        <v>5.84</v>
      </c>
      <c r="O239" t="inlineStr">
        <is>
          <t>Direct</t>
        </is>
      </c>
      <c r="P239" t="inlineStr">
        <is>
          <t>25.4-0-2-ERW 1-PE-5.82</t>
        </is>
      </c>
    </row>
    <row r="240">
      <c r="A240" t="n">
        <v>46203</v>
      </c>
      <c r="B240" t="inlineStr">
        <is>
          <t>0000943209</t>
        </is>
      </c>
      <c r="C240" t="inlineStr">
        <is>
          <t>MEGH STEELS PRIVATE LIMITED - TVS A</t>
        </is>
      </c>
      <c r="D240" t="inlineStr">
        <is>
          <t>KG</t>
        </is>
      </c>
      <c r="E240" t="n">
        <v>339</v>
      </c>
      <c r="F240" t="n">
        <v>1979.769</v>
      </c>
      <c r="G240" t="n">
        <v>2232.586</v>
      </c>
      <c r="H240" t="inlineStr">
        <is>
          <t>056</t>
        </is>
      </c>
      <c r="I240" t="n">
        <v>3673890</v>
      </c>
      <c r="J240" t="inlineStr">
        <is>
          <t>TUB-O-N-AUT-AW-PE-25.40X2.000X5.8400</t>
        </is>
      </c>
      <c r="K240" t="n">
        <v>25.4</v>
      </c>
      <c r="L240" t="n">
        <v>0</v>
      </c>
      <c r="M240" t="n">
        <v>2</v>
      </c>
      <c r="N240" t="n">
        <v>5.84</v>
      </c>
      <c r="O240" t="inlineStr">
        <is>
          <t>Direct</t>
        </is>
      </c>
      <c r="P240" t="inlineStr">
        <is>
          <t>25.4-0-2-ERW 1-PE-5.82</t>
        </is>
      </c>
    </row>
    <row r="241">
      <c r="A241" t="n">
        <v>46203</v>
      </c>
      <c r="B241" t="inlineStr">
        <is>
          <t>0000943209</t>
        </is>
      </c>
      <c r="C241" t="inlineStr">
        <is>
          <t>MEGH STEELS PRIVATE LIMITED - TVS A</t>
        </is>
      </c>
      <c r="D241" t="inlineStr">
        <is>
          <t>KG</t>
        </is>
      </c>
      <c r="E241" t="n">
        <v>420</v>
      </c>
      <c r="F241" t="n">
        <v>2452.812</v>
      </c>
      <c r="G241" t="n">
        <v>2766.036</v>
      </c>
      <c r="H241" t="inlineStr">
        <is>
          <t>056</t>
        </is>
      </c>
      <c r="I241" t="n">
        <v>3673890</v>
      </c>
      <c r="J241" t="inlineStr">
        <is>
          <t>TUB-O-N-AUT-AW-PE-25.40X2.000X5.8400</t>
        </is>
      </c>
      <c r="K241" t="n">
        <v>25.4</v>
      </c>
      <c r="L241" t="n">
        <v>0</v>
      </c>
      <c r="M241" t="n">
        <v>2</v>
      </c>
      <c r="N241" t="n">
        <v>5.84</v>
      </c>
      <c r="O241" t="inlineStr">
        <is>
          <t>Direct</t>
        </is>
      </c>
      <c r="P241" t="inlineStr">
        <is>
          <t>25.4-0-2-ERW 1-PE-5.82</t>
        </is>
      </c>
    </row>
    <row r="242">
      <c r="A242" t="n">
        <v>46201</v>
      </c>
      <c r="B242" t="inlineStr">
        <is>
          <t>0000943209</t>
        </is>
      </c>
      <c r="C242" t="inlineStr">
        <is>
          <t>MEGH STEELS PRIVATE LIMITED - TVS A</t>
        </is>
      </c>
      <c r="D242" t="inlineStr">
        <is>
          <t>KG</t>
        </is>
      </c>
      <c r="E242" t="n">
        <v>418</v>
      </c>
      <c r="F242" t="n">
        <v>2441.132</v>
      </c>
      <c r="G242" t="n">
        <v>2752.865</v>
      </c>
      <c r="H242" t="inlineStr">
        <is>
          <t>056</t>
        </is>
      </c>
      <c r="I242" t="n">
        <v>3673890</v>
      </c>
      <c r="J242" t="inlineStr">
        <is>
          <t>TUB-O-N-AUT-AW-PE-25.40X2.000X5.8400</t>
        </is>
      </c>
      <c r="K242" t="n">
        <v>25.4</v>
      </c>
      <c r="L242" t="n">
        <v>0</v>
      </c>
      <c r="M242" t="n">
        <v>2</v>
      </c>
      <c r="N242" t="n">
        <v>5.84</v>
      </c>
      <c r="O242" t="inlineStr">
        <is>
          <t>Direct</t>
        </is>
      </c>
      <c r="P242" t="inlineStr">
        <is>
          <t>25.4-0-2-ERW 1-PE-5.82</t>
        </is>
      </c>
    </row>
    <row r="243">
      <c r="A243" t="n">
        <v>46201</v>
      </c>
      <c r="B243" t="inlineStr">
        <is>
          <t>0000943209</t>
        </is>
      </c>
      <c r="C243" t="inlineStr">
        <is>
          <t>MEGH STEELS PRIVATE LIMITED - TVS A</t>
        </is>
      </c>
      <c r="D243" t="inlineStr">
        <is>
          <t>KG</t>
        </is>
      </c>
      <c r="E243" t="n">
        <v>419</v>
      </c>
      <c r="F243" t="n">
        <v>2446.972</v>
      </c>
      <c r="G243" t="n">
        <v>2759.45</v>
      </c>
      <c r="H243" t="inlineStr">
        <is>
          <t>056</t>
        </is>
      </c>
      <c r="I243" t="n">
        <v>3673890</v>
      </c>
      <c r="J243" t="inlineStr">
        <is>
          <t>TUB-O-N-AUT-AW-PE-25.40X2.000X5.8400</t>
        </is>
      </c>
      <c r="K243" t="n">
        <v>25.4</v>
      </c>
      <c r="L243" t="n">
        <v>0</v>
      </c>
      <c r="M243" t="n">
        <v>2</v>
      </c>
      <c r="N243" t="n">
        <v>5.84</v>
      </c>
      <c r="O243" t="inlineStr">
        <is>
          <t>Direct</t>
        </is>
      </c>
      <c r="P243" t="inlineStr">
        <is>
          <t>25.4-0-2-ERW 1-PE-5.82</t>
        </is>
      </c>
    </row>
    <row r="244">
      <c r="A244" t="n">
        <v>46201</v>
      </c>
      <c r="B244" t="inlineStr">
        <is>
          <t>0000943209</t>
        </is>
      </c>
      <c r="C244" t="inlineStr">
        <is>
          <t>MEGH STEELS PRIVATE LIMITED - TVS A</t>
        </is>
      </c>
      <c r="D244" t="inlineStr">
        <is>
          <t>KG</t>
        </is>
      </c>
      <c r="E244" t="n">
        <v>419</v>
      </c>
      <c r="F244" t="n">
        <v>2446.972</v>
      </c>
      <c r="G244" t="n">
        <v>2759.45</v>
      </c>
      <c r="H244" t="inlineStr">
        <is>
          <t>056</t>
        </is>
      </c>
      <c r="I244" t="n">
        <v>3673890</v>
      </c>
      <c r="J244" t="inlineStr">
        <is>
          <t>TUB-O-N-AUT-AW-PE-25.40X2.000X5.8400</t>
        </is>
      </c>
      <c r="K244" t="n">
        <v>25.4</v>
      </c>
      <c r="L244" t="n">
        <v>0</v>
      </c>
      <c r="M244" t="n">
        <v>2</v>
      </c>
      <c r="N244" t="n">
        <v>5.84</v>
      </c>
      <c r="O244" t="inlineStr">
        <is>
          <t>Direct</t>
        </is>
      </c>
      <c r="P244" t="inlineStr">
        <is>
          <t>25.4-0-2-ERW 1-PE-5.82</t>
        </is>
      </c>
    </row>
    <row r="245">
      <c r="A245" t="n">
        <v>46201</v>
      </c>
      <c r="B245" t="inlineStr">
        <is>
          <t>0000943209</t>
        </is>
      </c>
      <c r="C245" t="inlineStr">
        <is>
          <t>MEGH STEELS PRIVATE LIMITED - TVS A</t>
        </is>
      </c>
      <c r="D245" t="inlineStr">
        <is>
          <t>KG</t>
        </is>
      </c>
      <c r="E245" t="n">
        <v>420</v>
      </c>
      <c r="F245" t="n">
        <v>2452.812</v>
      </c>
      <c r="G245" t="n">
        <v>2766.036</v>
      </c>
      <c r="H245" t="inlineStr">
        <is>
          <t>056</t>
        </is>
      </c>
      <c r="I245" t="n">
        <v>3673890</v>
      </c>
      <c r="J245" t="inlineStr">
        <is>
          <t>TUB-O-N-AUT-AW-PE-25.40X2.000X5.8400</t>
        </is>
      </c>
      <c r="K245" t="n">
        <v>25.4</v>
      </c>
      <c r="L245" t="n">
        <v>0</v>
      </c>
      <c r="M245" t="n">
        <v>2</v>
      </c>
      <c r="N245" t="n">
        <v>5.84</v>
      </c>
      <c r="O245" t="inlineStr">
        <is>
          <t>Direct</t>
        </is>
      </c>
      <c r="P245" t="inlineStr">
        <is>
          <t>25.4-0-2-ERW 1-PE-5.82</t>
        </is>
      </c>
    </row>
    <row r="246">
      <c r="A246" t="n">
        <v>46201</v>
      </c>
      <c r="B246" t="inlineStr">
        <is>
          <t>0000943209</t>
        </is>
      </c>
      <c r="C246" t="inlineStr">
        <is>
          <t>MEGH STEELS PRIVATE LIMITED - TVS A</t>
        </is>
      </c>
      <c r="D246" t="inlineStr">
        <is>
          <t>KG</t>
        </is>
      </c>
      <c r="E246" t="n">
        <v>420</v>
      </c>
      <c r="F246" t="n">
        <v>2452.812</v>
      </c>
      <c r="G246" t="n">
        <v>2766.036</v>
      </c>
      <c r="H246" t="inlineStr">
        <is>
          <t>056</t>
        </is>
      </c>
      <c r="I246" t="n">
        <v>3673890</v>
      </c>
      <c r="J246" t="inlineStr">
        <is>
          <t>TUB-O-N-AUT-AW-PE-25.40X2.000X5.8400</t>
        </is>
      </c>
      <c r="K246" t="n">
        <v>25.4</v>
      </c>
      <c r="L246" t="n">
        <v>0</v>
      </c>
      <c r="M246" t="n">
        <v>2</v>
      </c>
      <c r="N246" t="n">
        <v>5.84</v>
      </c>
      <c r="O246" t="inlineStr">
        <is>
          <t>Direct</t>
        </is>
      </c>
      <c r="P246" t="inlineStr">
        <is>
          <t>25.4-0-2-ERW 1-PE-5.82</t>
        </is>
      </c>
    </row>
    <row r="247">
      <c r="A247" t="n">
        <v>46201</v>
      </c>
      <c r="B247" t="inlineStr">
        <is>
          <t>0000943209</t>
        </is>
      </c>
      <c r="C247" t="inlineStr">
        <is>
          <t>MEGH STEELS PRIVATE LIMITED - TVS A</t>
        </is>
      </c>
      <c r="D247" t="inlineStr">
        <is>
          <t>KG</t>
        </is>
      </c>
      <c r="E247" t="n">
        <v>420</v>
      </c>
      <c r="F247" t="n">
        <v>2452.812</v>
      </c>
      <c r="G247" t="n">
        <v>2766.036</v>
      </c>
      <c r="H247" t="inlineStr">
        <is>
          <t>056</t>
        </is>
      </c>
      <c r="I247" t="n">
        <v>3673890</v>
      </c>
      <c r="J247" t="inlineStr">
        <is>
          <t>TUB-O-N-AUT-AW-PE-25.40X2.000X5.8400</t>
        </is>
      </c>
      <c r="K247" t="n">
        <v>25.4</v>
      </c>
      <c r="L247" t="n">
        <v>0</v>
      </c>
      <c r="M247" t="n">
        <v>2</v>
      </c>
      <c r="N247" t="n">
        <v>5.84</v>
      </c>
      <c r="O247" t="inlineStr">
        <is>
          <t>Direct</t>
        </is>
      </c>
      <c r="P247" t="inlineStr">
        <is>
          <t>25.4-0-2-ERW 1-PE-5.82</t>
        </is>
      </c>
    </row>
    <row r="248">
      <c r="A248" t="n">
        <v>46202</v>
      </c>
      <c r="B248" t="inlineStr">
        <is>
          <t>0000943209</t>
        </is>
      </c>
      <c r="C248" t="inlineStr">
        <is>
          <t>MEGH STEELS PRIVATE LIMITED - TVS A</t>
        </is>
      </c>
      <c r="D248" t="inlineStr">
        <is>
          <t>KG</t>
        </is>
      </c>
      <c r="E248" t="n">
        <v>300</v>
      </c>
      <c r="F248" t="n">
        <v>1752.009</v>
      </c>
      <c r="G248" t="n">
        <v>1975.74</v>
      </c>
      <c r="H248" t="inlineStr">
        <is>
          <t>056</t>
        </is>
      </c>
      <c r="I248" t="n">
        <v>3673890</v>
      </c>
      <c r="J248" t="inlineStr">
        <is>
          <t>TUB-O-N-AUT-AW-PE-25.40X2.000X5.8400</t>
        </is>
      </c>
      <c r="K248" t="n">
        <v>25.4</v>
      </c>
      <c r="L248" t="n">
        <v>0</v>
      </c>
      <c r="M248" t="n">
        <v>2</v>
      </c>
      <c r="N248" t="n">
        <v>5.84</v>
      </c>
      <c r="O248" t="inlineStr">
        <is>
          <t>Direct</t>
        </is>
      </c>
      <c r="P248" t="inlineStr">
        <is>
          <t>25.4-0-2-ERW 1-PE-5.82</t>
        </is>
      </c>
    </row>
    <row r="249">
      <c r="A249" t="n">
        <v>46202</v>
      </c>
      <c r="B249" t="inlineStr">
        <is>
          <t>0000943209</t>
        </is>
      </c>
      <c r="C249" t="inlineStr">
        <is>
          <t>MEGH STEELS PRIVATE LIMITED - TVS A</t>
        </is>
      </c>
      <c r="D249" t="inlineStr">
        <is>
          <t>KG</t>
        </is>
      </c>
      <c r="E249" t="n">
        <v>420</v>
      </c>
      <c r="F249" t="n">
        <v>2452.812</v>
      </c>
      <c r="G249" t="n">
        <v>2766.036</v>
      </c>
      <c r="H249" t="inlineStr">
        <is>
          <t>056</t>
        </is>
      </c>
      <c r="I249" t="n">
        <v>3673890</v>
      </c>
      <c r="J249" t="inlineStr">
        <is>
          <t>TUB-O-N-AUT-AW-PE-25.40X2.000X5.8400</t>
        </is>
      </c>
      <c r="K249" t="n">
        <v>25.4</v>
      </c>
      <c r="L249" t="n">
        <v>0</v>
      </c>
      <c r="M249" t="n">
        <v>2</v>
      </c>
      <c r="N249" t="n">
        <v>5.84</v>
      </c>
      <c r="O249" t="inlineStr">
        <is>
          <t>Direct</t>
        </is>
      </c>
      <c r="P249" t="inlineStr">
        <is>
          <t>25.4-0-2-ERW 1-PE-5.82</t>
        </is>
      </c>
    </row>
    <row r="250">
      <c r="A250" t="n">
        <v>46201</v>
      </c>
      <c r="B250" t="inlineStr">
        <is>
          <t>0000943209</t>
        </is>
      </c>
      <c r="C250" t="inlineStr">
        <is>
          <t>MEGH STEELS PRIVATE LIMITED - TVS A</t>
        </is>
      </c>
      <c r="D250" t="inlineStr">
        <is>
          <t>KG</t>
        </is>
      </c>
      <c r="E250" t="n">
        <v>420</v>
      </c>
      <c r="F250" t="n">
        <v>2452.812</v>
      </c>
      <c r="G250" t="n">
        <v>2766.036</v>
      </c>
      <c r="H250" t="inlineStr">
        <is>
          <t>056</t>
        </is>
      </c>
      <c r="I250" t="n">
        <v>3673890</v>
      </c>
      <c r="J250" t="inlineStr">
        <is>
          <t>TUB-O-N-AUT-AW-PE-25.40X2.000X5.8400</t>
        </is>
      </c>
      <c r="K250" t="n">
        <v>25.4</v>
      </c>
      <c r="L250" t="n">
        <v>0</v>
      </c>
      <c r="M250" t="n">
        <v>2</v>
      </c>
      <c r="N250" t="n">
        <v>5.84</v>
      </c>
      <c r="O250" t="inlineStr">
        <is>
          <t>Direct</t>
        </is>
      </c>
      <c r="P250" t="inlineStr">
        <is>
          <t>25.4-0-2-ERW 1-PE-5.82</t>
        </is>
      </c>
    </row>
    <row r="251">
      <c r="A251" t="n">
        <v>46201</v>
      </c>
      <c r="B251" t="inlineStr">
        <is>
          <t>0000943209</t>
        </is>
      </c>
      <c r="C251" t="inlineStr">
        <is>
          <t>MEGH STEELS PRIVATE LIMITED - TVS A</t>
        </is>
      </c>
      <c r="D251" t="inlineStr">
        <is>
          <t>KG</t>
        </is>
      </c>
      <c r="E251" t="n">
        <v>421</v>
      </c>
      <c r="F251" t="n">
        <v>2458.652</v>
      </c>
      <c r="G251" t="n">
        <v>2772.622</v>
      </c>
      <c r="H251" t="inlineStr">
        <is>
          <t>056</t>
        </is>
      </c>
      <c r="I251" t="n">
        <v>3673890</v>
      </c>
      <c r="J251" t="inlineStr">
        <is>
          <t>TUB-O-N-AUT-AW-PE-25.40X2.000X5.8400</t>
        </is>
      </c>
      <c r="K251" t="n">
        <v>25.4</v>
      </c>
      <c r="L251" t="n">
        <v>0</v>
      </c>
      <c r="M251" t="n">
        <v>2</v>
      </c>
      <c r="N251" t="n">
        <v>5.84</v>
      </c>
      <c r="O251" t="inlineStr">
        <is>
          <t>Direct</t>
        </is>
      </c>
      <c r="P251" t="inlineStr">
        <is>
          <t>25.4-0-2-ERW 1-PE-5.82</t>
        </is>
      </c>
    </row>
    <row r="252">
      <c r="A252" t="n">
        <v>46203</v>
      </c>
      <c r="B252" t="inlineStr">
        <is>
          <t>0000943209</t>
        </is>
      </c>
      <c r="C252" t="inlineStr">
        <is>
          <t>MEGH STEELS PRIVATE LIMITED - TVS A</t>
        </is>
      </c>
      <c r="D252" t="inlineStr">
        <is>
          <t>KG</t>
        </is>
      </c>
      <c r="E252" t="n">
        <v>420</v>
      </c>
      <c r="F252" t="n">
        <v>2452.812</v>
      </c>
      <c r="G252" t="n">
        <v>2766.036</v>
      </c>
      <c r="H252" t="inlineStr">
        <is>
          <t>056</t>
        </is>
      </c>
      <c r="I252" t="n">
        <v>3673890</v>
      </c>
      <c r="J252" t="inlineStr">
        <is>
          <t>TUB-O-N-AUT-AW-PE-25.40X2.000X5.8400</t>
        </is>
      </c>
      <c r="K252" t="n">
        <v>25.4</v>
      </c>
      <c r="L252" t="n">
        <v>0</v>
      </c>
      <c r="M252" t="n">
        <v>2</v>
      </c>
      <c r="N252" t="n">
        <v>5.84</v>
      </c>
      <c r="O252" t="inlineStr">
        <is>
          <t>Direct</t>
        </is>
      </c>
      <c r="P252" t="inlineStr">
        <is>
          <t>25.4-0-2-ERW 1-PE-5.82</t>
        </is>
      </c>
    </row>
    <row r="253">
      <c r="A253" t="n">
        <v>46178</v>
      </c>
      <c r="B253" t="inlineStr">
        <is>
          <t>0000943209</t>
        </is>
      </c>
      <c r="C253" t="inlineStr">
        <is>
          <t>MEGH STEELS PRIVATE LIMITED - TVS A</t>
        </is>
      </c>
      <c r="D253" t="inlineStr">
        <is>
          <t>KG</t>
        </is>
      </c>
      <c r="E253" t="n">
        <v>420</v>
      </c>
      <c r="F253" t="n">
        <v>2452.812</v>
      </c>
      <c r="G253" t="n">
        <v>2766.036</v>
      </c>
      <c r="H253" t="inlineStr">
        <is>
          <t>056</t>
        </is>
      </c>
      <c r="I253" t="n">
        <v>3673890</v>
      </c>
      <c r="J253" t="inlineStr">
        <is>
          <t>TUB-O-N-AUT-AW-PE-25.40X2.000X5.8400</t>
        </is>
      </c>
      <c r="K253" t="n">
        <v>25.4</v>
      </c>
      <c r="L253" t="n">
        <v>0</v>
      </c>
      <c r="M253" t="n">
        <v>2</v>
      </c>
      <c r="N253" t="n">
        <v>5.84</v>
      </c>
      <c r="O253" t="inlineStr">
        <is>
          <t>Direct</t>
        </is>
      </c>
      <c r="P253" t="inlineStr">
        <is>
          <t>25.4-0-2-ERW 1-PE-5.82</t>
        </is>
      </c>
    </row>
    <row r="254">
      <c r="A254" t="n">
        <v>46203</v>
      </c>
      <c r="B254" t="inlineStr">
        <is>
          <t>0000943209</t>
        </is>
      </c>
      <c r="C254" t="inlineStr">
        <is>
          <t>MEGH STEELS PRIVATE LIMITED - TVS A</t>
        </is>
      </c>
      <c r="D254" t="inlineStr">
        <is>
          <t>KG</t>
        </is>
      </c>
      <c r="E254" t="n">
        <v>198</v>
      </c>
      <c r="F254" t="n">
        <v>1156.325</v>
      </c>
      <c r="G254" t="n">
        <v>1303.988</v>
      </c>
      <c r="H254" t="inlineStr">
        <is>
          <t>056</t>
        </is>
      </c>
      <c r="I254" t="n">
        <v>3673890</v>
      </c>
      <c r="J254" t="inlineStr">
        <is>
          <t>TUB-O-N-AUT-AW-PE-25.40X2.000X5.8400</t>
        </is>
      </c>
      <c r="K254" t="n">
        <v>25.4</v>
      </c>
      <c r="L254" t="n">
        <v>0</v>
      </c>
      <c r="M254" t="n">
        <v>2</v>
      </c>
      <c r="N254" t="n">
        <v>5.84</v>
      </c>
      <c r="O254" t="inlineStr">
        <is>
          <t>Direct</t>
        </is>
      </c>
      <c r="P254" t="inlineStr">
        <is>
          <t>25.4-0-2-ERW 1-PE-5.82</t>
        </is>
      </c>
    </row>
    <row r="255">
      <c r="A255" t="n">
        <v>46203</v>
      </c>
      <c r="B255" t="inlineStr">
        <is>
          <t>0000943209</t>
        </is>
      </c>
      <c r="C255" t="inlineStr">
        <is>
          <t>MEGH STEELS PRIVATE LIMITED - TVS A</t>
        </is>
      </c>
      <c r="D255" t="inlineStr">
        <is>
          <t>KG</t>
        </is>
      </c>
      <c r="E255" t="n">
        <v>418</v>
      </c>
      <c r="F255" t="n">
        <v>2441.132</v>
      </c>
      <c r="G255" t="n">
        <v>2752.864</v>
      </c>
      <c r="H255" t="inlineStr">
        <is>
          <t>056</t>
        </is>
      </c>
      <c r="I255" t="n">
        <v>3673890</v>
      </c>
      <c r="J255" t="inlineStr">
        <is>
          <t>TUB-O-N-AUT-AW-PE-25.40X2.000X5.8400</t>
        </is>
      </c>
      <c r="K255" t="n">
        <v>25.4</v>
      </c>
      <c r="L255" t="n">
        <v>0</v>
      </c>
      <c r="M255" t="n">
        <v>2</v>
      </c>
      <c r="N255" t="n">
        <v>5.84</v>
      </c>
      <c r="O255" t="inlineStr">
        <is>
          <t>Direct</t>
        </is>
      </c>
      <c r="P255" t="inlineStr">
        <is>
          <t>25.4-0-2-ERW 1-PE-5.82</t>
        </is>
      </c>
    </row>
    <row r="256">
      <c r="A256" t="n">
        <v>46198</v>
      </c>
      <c r="B256" t="inlineStr">
        <is>
          <t>0000943210</t>
        </is>
      </c>
      <c r="C256" t="inlineStr">
        <is>
          <t>MEGH STEELS PRIVATE LIMITED - HMSIL</t>
        </is>
      </c>
      <c r="D256" t="inlineStr">
        <is>
          <t>KG</t>
        </is>
      </c>
      <c r="E256" t="n">
        <v>169</v>
      </c>
      <c r="F256" t="n">
        <v>990.354</v>
      </c>
      <c r="G256" t="n">
        <v>2890.745</v>
      </c>
      <c r="H256" t="inlineStr">
        <is>
          <t>056</t>
        </is>
      </c>
      <c r="I256" t="n">
        <v>3673889</v>
      </c>
      <c r="J256" t="inlineStr">
        <is>
          <t>TUB-O-N-AUT-AW-FC-41.28X3.150X5.8600</t>
        </is>
      </c>
      <c r="K256" t="n">
        <v>41.28</v>
      </c>
      <c r="L256" t="n">
        <v>0</v>
      </c>
      <c r="M256" t="n">
        <v>3.15</v>
      </c>
      <c r="N256" t="n">
        <v>5.86</v>
      </c>
      <c r="O256" t="inlineStr">
        <is>
          <t>Direct</t>
        </is>
      </c>
      <c r="P256" t="inlineStr">
        <is>
          <t>41.28-0-3.15-ERW 1-FC-5.86</t>
        </is>
      </c>
    </row>
    <row r="257">
      <c r="A257" t="n">
        <v>46198</v>
      </c>
      <c r="B257" t="inlineStr">
        <is>
          <t>0000943210</t>
        </is>
      </c>
      <c r="C257" t="inlineStr">
        <is>
          <t>MEGH STEELS PRIVATE LIMITED - HMSIL</t>
        </is>
      </c>
      <c r="D257" t="inlineStr">
        <is>
          <t>KG</t>
        </is>
      </c>
      <c r="E257" t="n">
        <v>169</v>
      </c>
      <c r="F257" t="n">
        <v>990.354</v>
      </c>
      <c r="G257" t="n">
        <v>2890.745</v>
      </c>
      <c r="H257" t="inlineStr">
        <is>
          <t>056</t>
        </is>
      </c>
      <c r="I257" t="n">
        <v>3673889</v>
      </c>
      <c r="J257" t="inlineStr">
        <is>
          <t>TUB-O-N-AUT-AW-FC-41.28X3.150X5.8600</t>
        </is>
      </c>
      <c r="K257" t="n">
        <v>41.28</v>
      </c>
      <c r="L257" t="n">
        <v>0</v>
      </c>
      <c r="M257" t="n">
        <v>3.15</v>
      </c>
      <c r="N257" t="n">
        <v>5.86</v>
      </c>
      <c r="O257" t="inlineStr">
        <is>
          <t>Direct</t>
        </is>
      </c>
      <c r="P257" t="inlineStr">
        <is>
          <t>41.28-0-3.15-ERW 1-FC-5.86</t>
        </is>
      </c>
    </row>
    <row r="258">
      <c r="A258" t="n">
        <v>46198</v>
      </c>
      <c r="B258" t="inlineStr">
        <is>
          <t>0000943210</t>
        </is>
      </c>
      <c r="C258" t="inlineStr">
        <is>
          <t>MEGH STEELS PRIVATE LIMITED - HMSIL</t>
        </is>
      </c>
      <c r="D258" t="inlineStr">
        <is>
          <t>KG</t>
        </is>
      </c>
      <c r="E258" t="n">
        <v>161</v>
      </c>
      <c r="F258" t="n">
        <v>943.474</v>
      </c>
      <c r="G258" t="n">
        <v>2753.905</v>
      </c>
      <c r="H258" t="inlineStr">
        <is>
          <t>056</t>
        </is>
      </c>
      <c r="I258" t="n">
        <v>3673889</v>
      </c>
      <c r="J258" t="inlineStr">
        <is>
          <t>TUB-O-N-AUT-AW-FC-41.28X3.150X5.8600</t>
        </is>
      </c>
      <c r="K258" t="n">
        <v>41.28</v>
      </c>
      <c r="L258" t="n">
        <v>0</v>
      </c>
      <c r="M258" t="n">
        <v>3.15</v>
      </c>
      <c r="N258" t="n">
        <v>5.86</v>
      </c>
      <c r="O258" t="inlineStr">
        <is>
          <t>Direct</t>
        </is>
      </c>
      <c r="P258" t="inlineStr">
        <is>
          <t>41.28-0-3.15-ERW 1-FC-5.86</t>
        </is>
      </c>
    </row>
    <row r="259">
      <c r="A259" t="n">
        <v>46198</v>
      </c>
      <c r="B259" t="inlineStr">
        <is>
          <t>0000943210</t>
        </is>
      </c>
      <c r="C259" t="inlineStr">
        <is>
          <t>MEGH STEELS PRIVATE LIMITED - HMSIL</t>
        </is>
      </c>
      <c r="D259" t="inlineStr">
        <is>
          <t>KG</t>
        </is>
      </c>
      <c r="E259" t="n">
        <v>132</v>
      </c>
      <c r="F259" t="n">
        <v>773.5309999999999</v>
      </c>
      <c r="G259" t="n">
        <v>2257.86</v>
      </c>
      <c r="H259" t="inlineStr">
        <is>
          <t>056</t>
        </is>
      </c>
      <c r="I259" t="n">
        <v>3673889</v>
      </c>
      <c r="J259" t="inlineStr">
        <is>
          <t>TUB-O-N-AUT-AW-FC-41.28X3.150X5.8600</t>
        </is>
      </c>
      <c r="K259" t="n">
        <v>41.28</v>
      </c>
      <c r="L259" t="n">
        <v>0</v>
      </c>
      <c r="M259" t="n">
        <v>3.15</v>
      </c>
      <c r="N259" t="n">
        <v>5.86</v>
      </c>
      <c r="O259" t="inlineStr">
        <is>
          <t>Direct</t>
        </is>
      </c>
      <c r="P259" t="inlineStr">
        <is>
          <t>41.28-0-3.15-ERW 1-FC-5.86</t>
        </is>
      </c>
    </row>
    <row r="260">
      <c r="A260" t="n">
        <v>46199</v>
      </c>
      <c r="B260" t="inlineStr">
        <is>
          <t>0000943210</t>
        </is>
      </c>
      <c r="C260" t="inlineStr">
        <is>
          <t>MEGH STEELS PRIVATE LIMITED - HMSIL</t>
        </is>
      </c>
      <c r="D260" t="inlineStr">
        <is>
          <t>KG</t>
        </is>
      </c>
      <c r="E260" t="n">
        <v>125</v>
      </c>
      <c r="F260" t="n">
        <v>732.511</v>
      </c>
      <c r="G260" t="n">
        <v>2138.125</v>
      </c>
      <c r="H260" t="inlineStr">
        <is>
          <t>056</t>
        </is>
      </c>
      <c r="I260" t="n">
        <v>3673889</v>
      </c>
      <c r="J260" t="inlineStr">
        <is>
          <t>TUB-O-N-AUT-AW-FC-41.28X3.150X5.8600</t>
        </is>
      </c>
      <c r="K260" t="n">
        <v>41.28</v>
      </c>
      <c r="L260" t="n">
        <v>0</v>
      </c>
      <c r="M260" t="n">
        <v>3.15</v>
      </c>
      <c r="N260" t="n">
        <v>5.86</v>
      </c>
      <c r="O260" t="inlineStr">
        <is>
          <t>Direct</t>
        </is>
      </c>
      <c r="P260" t="inlineStr">
        <is>
          <t>41.28-0-3.15-ERW 1-FC-5.86</t>
        </is>
      </c>
    </row>
    <row r="261">
      <c r="A261" t="n">
        <v>46198</v>
      </c>
      <c r="B261" t="inlineStr">
        <is>
          <t>0000943210</t>
        </is>
      </c>
      <c r="C261" t="inlineStr">
        <is>
          <t>MEGH STEELS PRIVATE LIMITED - HMSIL</t>
        </is>
      </c>
      <c r="D261" t="inlineStr">
        <is>
          <t>KG</t>
        </is>
      </c>
      <c r="E261" t="n">
        <v>169</v>
      </c>
      <c r="F261" t="n">
        <v>990.354</v>
      </c>
      <c r="G261" t="n">
        <v>2890.745</v>
      </c>
      <c r="H261" t="inlineStr">
        <is>
          <t>056</t>
        </is>
      </c>
      <c r="I261" t="n">
        <v>3673889</v>
      </c>
      <c r="J261" t="inlineStr">
        <is>
          <t>TUB-O-N-AUT-AW-FC-41.28X3.150X5.8600</t>
        </is>
      </c>
      <c r="K261" t="n">
        <v>41.28</v>
      </c>
      <c r="L261" t="n">
        <v>0</v>
      </c>
      <c r="M261" t="n">
        <v>3.15</v>
      </c>
      <c r="N261" t="n">
        <v>5.86</v>
      </c>
      <c r="O261" t="inlineStr">
        <is>
          <t>Direct</t>
        </is>
      </c>
      <c r="P261" t="inlineStr">
        <is>
          <t>41.28-0-3.15-ERW 1-FC-5.86</t>
        </is>
      </c>
    </row>
    <row r="262">
      <c r="A262" t="n">
        <v>46198</v>
      </c>
      <c r="B262" t="inlineStr">
        <is>
          <t>0000943210</t>
        </is>
      </c>
      <c r="C262" t="inlineStr">
        <is>
          <t>MEGH STEELS PRIVATE LIMITED - HMSIL</t>
        </is>
      </c>
      <c r="D262" t="inlineStr">
        <is>
          <t>KG</t>
        </is>
      </c>
      <c r="E262" t="n">
        <v>127</v>
      </c>
      <c r="F262" t="n">
        <v>744.231</v>
      </c>
      <c r="G262" t="n">
        <v>2172.335</v>
      </c>
      <c r="H262" t="inlineStr">
        <is>
          <t>056</t>
        </is>
      </c>
      <c r="I262" t="n">
        <v>3673889</v>
      </c>
      <c r="J262" t="inlineStr">
        <is>
          <t>TUB-O-N-AUT-AW-FC-41.28X3.150X5.8600</t>
        </is>
      </c>
      <c r="K262" t="n">
        <v>41.28</v>
      </c>
      <c r="L262" t="n">
        <v>0</v>
      </c>
      <c r="M262" t="n">
        <v>3.15</v>
      </c>
      <c r="N262" t="n">
        <v>5.86</v>
      </c>
      <c r="O262" t="inlineStr">
        <is>
          <t>Direct</t>
        </is>
      </c>
      <c r="P262" t="inlineStr">
        <is>
          <t>41.28-0-3.15-ERW 1-FC-5.86</t>
        </is>
      </c>
    </row>
    <row r="263">
      <c r="A263" t="n">
        <v>46198</v>
      </c>
      <c r="B263" t="inlineStr">
        <is>
          <t>0000943210</t>
        </is>
      </c>
      <c r="C263" t="inlineStr">
        <is>
          <t>MEGH STEELS PRIVATE LIMITED - HMSIL</t>
        </is>
      </c>
      <c r="D263" t="inlineStr">
        <is>
          <t>KG</t>
        </is>
      </c>
      <c r="E263" t="n">
        <v>126</v>
      </c>
      <c r="F263" t="n">
        <v>738.371</v>
      </c>
      <c r="G263" t="n">
        <v>2155.23</v>
      </c>
      <c r="H263" t="inlineStr">
        <is>
          <t>056</t>
        </is>
      </c>
      <c r="I263" t="n">
        <v>3673889</v>
      </c>
      <c r="J263" t="inlineStr">
        <is>
          <t>TUB-O-N-AUT-AW-FC-41.28X3.150X5.8600</t>
        </is>
      </c>
      <c r="K263" t="n">
        <v>41.28</v>
      </c>
      <c r="L263" t="n">
        <v>0</v>
      </c>
      <c r="M263" t="n">
        <v>3.15</v>
      </c>
      <c r="N263" t="n">
        <v>5.86</v>
      </c>
      <c r="O263" t="inlineStr">
        <is>
          <t>Direct</t>
        </is>
      </c>
      <c r="P263" t="inlineStr">
        <is>
          <t>41.28-0-3.15-ERW 1-FC-5.86</t>
        </is>
      </c>
    </row>
    <row r="264">
      <c r="A264" t="n">
        <v>46199</v>
      </c>
      <c r="B264" t="inlineStr">
        <is>
          <t>0000943210</t>
        </is>
      </c>
      <c r="C264" t="inlineStr">
        <is>
          <t>MEGH STEELS PRIVATE LIMITED - HMSIL</t>
        </is>
      </c>
      <c r="D264" t="inlineStr">
        <is>
          <t>KG</t>
        </is>
      </c>
      <c r="E264" t="n">
        <v>182</v>
      </c>
      <c r="F264" t="n">
        <v>1066.535</v>
      </c>
      <c r="G264" t="n">
        <v>3113.11</v>
      </c>
      <c r="H264" t="inlineStr">
        <is>
          <t>056</t>
        </is>
      </c>
      <c r="I264" t="n">
        <v>3673889</v>
      </c>
      <c r="J264" t="inlineStr">
        <is>
          <t>TUB-O-N-AUT-AW-FC-41.28X3.150X5.8600</t>
        </is>
      </c>
      <c r="K264" t="n">
        <v>41.28</v>
      </c>
      <c r="L264" t="n">
        <v>0</v>
      </c>
      <c r="M264" t="n">
        <v>3.15</v>
      </c>
      <c r="N264" t="n">
        <v>5.86</v>
      </c>
      <c r="O264" t="inlineStr">
        <is>
          <t>Direct</t>
        </is>
      </c>
      <c r="P264" t="inlineStr">
        <is>
          <t>41.28-0-3.15-ERW 1-FC-5.86</t>
        </is>
      </c>
    </row>
    <row r="265">
      <c r="A265" t="n">
        <v>46198</v>
      </c>
      <c r="B265" t="inlineStr">
        <is>
          <t>0000943210</t>
        </is>
      </c>
      <c r="C265" t="inlineStr">
        <is>
          <t>MEGH STEELS PRIVATE LIMITED - HMSIL</t>
        </is>
      </c>
      <c r="D265" t="inlineStr">
        <is>
          <t>KG</t>
        </is>
      </c>
      <c r="E265" t="n">
        <v>169</v>
      </c>
      <c r="F265" t="n">
        <v>990.354</v>
      </c>
      <c r="G265" t="n">
        <v>2890.745</v>
      </c>
      <c r="H265" t="inlineStr">
        <is>
          <t>056</t>
        </is>
      </c>
      <c r="I265" t="n">
        <v>3673889</v>
      </c>
      <c r="J265" t="inlineStr">
        <is>
          <t>TUB-O-N-AUT-AW-FC-41.28X3.150X5.8600</t>
        </is>
      </c>
      <c r="K265" t="n">
        <v>41.28</v>
      </c>
      <c r="L265" t="n">
        <v>0</v>
      </c>
      <c r="M265" t="n">
        <v>3.15</v>
      </c>
      <c r="N265" t="n">
        <v>5.86</v>
      </c>
      <c r="O265" t="inlineStr">
        <is>
          <t>Direct</t>
        </is>
      </c>
      <c r="P265" t="inlineStr">
        <is>
          <t>41.28-0-3.15-ERW 1-FC-5.86</t>
        </is>
      </c>
    </row>
    <row r="266">
      <c r="A266" t="n">
        <v>46198</v>
      </c>
      <c r="B266" t="inlineStr">
        <is>
          <t>0000943210</t>
        </is>
      </c>
      <c r="C266" t="inlineStr">
        <is>
          <t>MEGH STEELS PRIVATE LIMITED - HMSIL</t>
        </is>
      </c>
      <c r="D266" t="inlineStr">
        <is>
          <t>KG</t>
        </is>
      </c>
      <c r="E266" t="n">
        <v>169</v>
      </c>
      <c r="F266" t="n">
        <v>990.354</v>
      </c>
      <c r="G266" t="n">
        <v>2890.745</v>
      </c>
      <c r="H266" t="inlineStr">
        <is>
          <t>056</t>
        </is>
      </c>
      <c r="I266" t="n">
        <v>3673889</v>
      </c>
      <c r="J266" t="inlineStr">
        <is>
          <t>TUB-O-N-AUT-AW-FC-41.28X3.150X5.8600</t>
        </is>
      </c>
      <c r="K266" t="n">
        <v>41.28</v>
      </c>
      <c r="L266" t="n">
        <v>0</v>
      </c>
      <c r="M266" t="n">
        <v>3.15</v>
      </c>
      <c r="N266" t="n">
        <v>5.86</v>
      </c>
      <c r="O266" t="inlineStr">
        <is>
          <t>Direct</t>
        </is>
      </c>
      <c r="P266" t="inlineStr">
        <is>
          <t>41.28-0-3.15-ERW 1-FC-5.86</t>
        </is>
      </c>
    </row>
    <row r="267">
      <c r="A267" t="n">
        <v>46199</v>
      </c>
      <c r="B267" t="inlineStr">
        <is>
          <t>0000943210</t>
        </is>
      </c>
      <c r="C267" t="inlineStr">
        <is>
          <t>MEGH STEELS PRIVATE LIMITED - HMSIL</t>
        </is>
      </c>
      <c r="D267" t="inlineStr">
        <is>
          <t>KG</t>
        </is>
      </c>
      <c r="E267" t="n">
        <v>169</v>
      </c>
      <c r="F267" t="n">
        <v>990.354</v>
      </c>
      <c r="G267" t="n">
        <v>2890.745</v>
      </c>
      <c r="H267" t="inlineStr">
        <is>
          <t>056</t>
        </is>
      </c>
      <c r="I267" t="n">
        <v>3673889</v>
      </c>
      <c r="J267" t="inlineStr">
        <is>
          <t>TUB-O-N-AUT-AW-FC-41.28X3.150X5.8600</t>
        </is>
      </c>
      <c r="K267" t="n">
        <v>41.28</v>
      </c>
      <c r="L267" t="n">
        <v>0</v>
      </c>
      <c r="M267" t="n">
        <v>3.15</v>
      </c>
      <c r="N267" t="n">
        <v>5.86</v>
      </c>
      <c r="O267" t="inlineStr">
        <is>
          <t>Direct</t>
        </is>
      </c>
      <c r="P267" t="inlineStr">
        <is>
          <t>41.28-0-3.15-ERW 1-FC-5.86</t>
        </is>
      </c>
    </row>
    <row r="268">
      <c r="A268" t="n">
        <v>46199</v>
      </c>
      <c r="B268" t="inlineStr">
        <is>
          <t>0000943210</t>
        </is>
      </c>
      <c r="C268" t="inlineStr">
        <is>
          <t>MEGH STEELS PRIVATE LIMITED - HMSIL</t>
        </is>
      </c>
      <c r="D268" t="inlineStr">
        <is>
          <t>KG</t>
        </is>
      </c>
      <c r="E268" t="n">
        <v>169</v>
      </c>
      <c r="F268" t="n">
        <v>990.354</v>
      </c>
      <c r="G268" t="n">
        <v>2890.745</v>
      </c>
      <c r="H268" t="inlineStr">
        <is>
          <t>056</t>
        </is>
      </c>
      <c r="I268" t="n">
        <v>3673889</v>
      </c>
      <c r="J268" t="inlineStr">
        <is>
          <t>TUB-O-N-AUT-AW-FC-41.28X3.150X5.8600</t>
        </is>
      </c>
      <c r="K268" t="n">
        <v>41.28</v>
      </c>
      <c r="L268" t="n">
        <v>0</v>
      </c>
      <c r="M268" t="n">
        <v>3.15</v>
      </c>
      <c r="N268" t="n">
        <v>5.86</v>
      </c>
      <c r="O268" t="inlineStr">
        <is>
          <t>Direct</t>
        </is>
      </c>
      <c r="P268" t="inlineStr">
        <is>
          <t>41.28-0-3.15-ERW 1-FC-5.86</t>
        </is>
      </c>
    </row>
    <row r="269">
      <c r="A269" t="n">
        <v>46199</v>
      </c>
      <c r="B269" t="inlineStr">
        <is>
          <t>0000943210</t>
        </is>
      </c>
      <c r="C269" t="inlineStr">
        <is>
          <t>MEGH STEELS PRIVATE LIMITED - HMSIL</t>
        </is>
      </c>
      <c r="D269" t="inlineStr">
        <is>
          <t>KG</t>
        </is>
      </c>
      <c r="E269" t="n">
        <v>171</v>
      </c>
      <c r="F269" t="n">
        <v>1002.074</v>
      </c>
      <c r="G269" t="n">
        <v>2924.955</v>
      </c>
      <c r="H269" t="inlineStr">
        <is>
          <t>056</t>
        </is>
      </c>
      <c r="I269" t="n">
        <v>3673889</v>
      </c>
      <c r="J269" t="inlineStr">
        <is>
          <t>TUB-O-N-AUT-AW-FC-41.28X3.150X5.8600</t>
        </is>
      </c>
      <c r="K269" t="n">
        <v>41.28</v>
      </c>
      <c r="L269" t="n">
        <v>0</v>
      </c>
      <c r="M269" t="n">
        <v>3.15</v>
      </c>
      <c r="N269" t="n">
        <v>5.86</v>
      </c>
      <c r="O269" t="inlineStr">
        <is>
          <t>Direct</t>
        </is>
      </c>
      <c r="P269" t="inlineStr">
        <is>
          <t>41.28-0-3.15-ERW 1-FC-5.86</t>
        </is>
      </c>
    </row>
    <row r="270">
      <c r="A270" t="n">
        <v>46199</v>
      </c>
      <c r="B270" t="inlineStr">
        <is>
          <t>0000943210</t>
        </is>
      </c>
      <c r="C270" t="inlineStr">
        <is>
          <t>MEGH STEELS PRIVATE LIMITED - HMSIL</t>
        </is>
      </c>
      <c r="D270" t="inlineStr">
        <is>
          <t>KG</t>
        </is>
      </c>
      <c r="E270" t="n">
        <v>167</v>
      </c>
      <c r="F270" t="n">
        <v>978.634</v>
      </c>
      <c r="G270" t="n">
        <v>2856.535</v>
      </c>
      <c r="H270" t="inlineStr">
        <is>
          <t>056</t>
        </is>
      </c>
      <c r="I270" t="n">
        <v>3673889</v>
      </c>
      <c r="J270" t="inlineStr">
        <is>
          <t>TUB-O-N-AUT-AW-FC-41.28X3.150X5.8600</t>
        </is>
      </c>
      <c r="K270" t="n">
        <v>41.28</v>
      </c>
      <c r="L270" t="n">
        <v>0</v>
      </c>
      <c r="M270" t="n">
        <v>3.15</v>
      </c>
      <c r="N270" t="n">
        <v>5.86</v>
      </c>
      <c r="O270" t="inlineStr">
        <is>
          <t>Direct</t>
        </is>
      </c>
      <c r="P270" t="inlineStr">
        <is>
          <t>41.28-0-3.15-ERW 1-FC-5.86</t>
        </is>
      </c>
    </row>
    <row r="271">
      <c r="A271" t="n">
        <v>46199</v>
      </c>
      <c r="B271" t="inlineStr">
        <is>
          <t>0000943210</t>
        </is>
      </c>
      <c r="C271" t="inlineStr">
        <is>
          <t>MEGH STEELS PRIVATE LIMITED - HMSIL</t>
        </is>
      </c>
      <c r="D271" t="inlineStr">
        <is>
          <t>KG</t>
        </is>
      </c>
      <c r="E271" t="n">
        <v>135</v>
      </c>
      <c r="F271" t="n">
        <v>791.111</v>
      </c>
      <c r="G271" t="n">
        <v>2309.175</v>
      </c>
      <c r="H271" t="inlineStr">
        <is>
          <t>056</t>
        </is>
      </c>
      <c r="I271" t="n">
        <v>3673889</v>
      </c>
      <c r="J271" t="inlineStr">
        <is>
          <t>TUB-O-N-AUT-AW-FC-41.28X3.150X5.8600</t>
        </is>
      </c>
      <c r="K271" t="n">
        <v>41.28</v>
      </c>
      <c r="L271" t="n">
        <v>0</v>
      </c>
      <c r="M271" t="n">
        <v>3.15</v>
      </c>
      <c r="N271" t="n">
        <v>5.86</v>
      </c>
      <c r="O271" t="inlineStr">
        <is>
          <t>Direct</t>
        </is>
      </c>
      <c r="P271" t="inlineStr">
        <is>
          <t>41.28-0-3.15-ERW 1-FC-5.86</t>
        </is>
      </c>
    </row>
    <row r="272">
      <c r="A272" t="n">
        <v>46199</v>
      </c>
      <c r="B272" t="inlineStr">
        <is>
          <t>0000943210</t>
        </is>
      </c>
      <c r="C272" t="inlineStr">
        <is>
          <t>MEGH STEELS PRIVATE LIMITED - HMSIL</t>
        </is>
      </c>
      <c r="D272" t="inlineStr">
        <is>
          <t>KG</t>
        </is>
      </c>
      <c r="E272" t="n">
        <v>170</v>
      </c>
      <c r="F272" t="n">
        <v>996.2140000000001</v>
      </c>
      <c r="G272" t="n">
        <v>2907.85</v>
      </c>
      <c r="H272" t="inlineStr">
        <is>
          <t>056</t>
        </is>
      </c>
      <c r="I272" t="n">
        <v>3673889</v>
      </c>
      <c r="J272" t="inlineStr">
        <is>
          <t>TUB-O-N-AUT-AW-FC-41.28X3.150X5.8600</t>
        </is>
      </c>
      <c r="K272" t="n">
        <v>41.28</v>
      </c>
      <c r="L272" t="n">
        <v>0</v>
      </c>
      <c r="M272" t="n">
        <v>3.15</v>
      </c>
      <c r="N272" t="n">
        <v>5.86</v>
      </c>
      <c r="O272" t="inlineStr">
        <is>
          <t>Direct</t>
        </is>
      </c>
      <c r="P272" t="inlineStr">
        <is>
          <t>41.28-0-3.15-ERW 1-FC-5.86</t>
        </is>
      </c>
    </row>
    <row r="273">
      <c r="A273" t="n">
        <v>46199</v>
      </c>
      <c r="B273" t="inlineStr">
        <is>
          <t>0000943210</t>
        </is>
      </c>
      <c r="C273" t="inlineStr">
        <is>
          <t>MEGH STEELS PRIVATE LIMITED - HMSIL</t>
        </is>
      </c>
      <c r="D273" t="inlineStr">
        <is>
          <t>KG</t>
        </is>
      </c>
      <c r="E273" t="n">
        <v>150</v>
      </c>
      <c r="F273" t="n">
        <v>879.013</v>
      </c>
      <c r="G273" t="n">
        <v>2565.75</v>
      </c>
      <c r="H273" t="inlineStr">
        <is>
          <t>056</t>
        </is>
      </c>
      <c r="I273" t="n">
        <v>3673889</v>
      </c>
      <c r="J273" t="inlineStr">
        <is>
          <t>TUB-O-N-AUT-AW-FC-41.28X3.150X5.8600</t>
        </is>
      </c>
      <c r="K273" t="n">
        <v>41.28</v>
      </c>
      <c r="L273" t="n">
        <v>0</v>
      </c>
      <c r="M273" t="n">
        <v>3.15</v>
      </c>
      <c r="N273" t="n">
        <v>5.86</v>
      </c>
      <c r="O273" t="inlineStr">
        <is>
          <t>Direct</t>
        </is>
      </c>
      <c r="P273" t="inlineStr">
        <is>
          <t>41.28-0-3.15-ERW 1-FC-5.86</t>
        </is>
      </c>
    </row>
    <row r="274">
      <c r="A274" t="n">
        <v>46203</v>
      </c>
      <c r="B274" t="inlineStr">
        <is>
          <t>0000943209</t>
        </is>
      </c>
      <c r="C274" t="inlineStr">
        <is>
          <t>MEGH STEELS PRIVATE LIMITED - TVS A</t>
        </is>
      </c>
      <c r="D274" t="inlineStr">
        <is>
          <t>KG</t>
        </is>
      </c>
      <c r="E274" t="n">
        <v>420</v>
      </c>
      <c r="F274" t="n">
        <v>2465.423</v>
      </c>
      <c r="G274" t="n">
        <v>1447.614</v>
      </c>
      <c r="H274" t="inlineStr">
        <is>
          <t>056</t>
        </is>
      </c>
      <c r="I274" t="n">
        <v>3882110</v>
      </c>
      <c r="J274" t="inlineStr">
        <is>
          <t>TUB-O-N-AUT-AW-PE-22.20X1.200X5.8700</t>
        </is>
      </c>
      <c r="K274" t="n">
        <v>22.2</v>
      </c>
      <c r="L274" t="n">
        <v>0</v>
      </c>
      <c r="M274" t="n">
        <v>1.2</v>
      </c>
      <c r="N274" t="n">
        <v>5.87</v>
      </c>
      <c r="O274" t="inlineStr">
        <is>
          <t>Direct</t>
        </is>
      </c>
      <c r="P274" t="inlineStr">
        <is>
          <t>22.23-0-1.2-ERW 1-PE-5.87</t>
        </is>
      </c>
    </row>
    <row r="275">
      <c r="A275" t="n">
        <v>46203</v>
      </c>
      <c r="B275" t="inlineStr">
        <is>
          <t>0000943209</t>
        </is>
      </c>
      <c r="C275" t="inlineStr">
        <is>
          <t>MEGH STEELS PRIVATE LIMITED - TVS A</t>
        </is>
      </c>
      <c r="D275" t="inlineStr">
        <is>
          <t>KG</t>
        </is>
      </c>
      <c r="E275" t="n">
        <v>421</v>
      </c>
      <c r="F275" t="n">
        <v>2471.293</v>
      </c>
      <c r="G275" t="n">
        <v>1451.061</v>
      </c>
      <c r="H275" t="inlineStr">
        <is>
          <t>056</t>
        </is>
      </c>
      <c r="I275" t="n">
        <v>3882110</v>
      </c>
      <c r="J275" t="inlineStr">
        <is>
          <t>TUB-O-N-AUT-AW-PE-22.20X1.200X5.8700</t>
        </is>
      </c>
      <c r="K275" t="n">
        <v>22.2</v>
      </c>
      <c r="L275" t="n">
        <v>0</v>
      </c>
      <c r="M275" t="n">
        <v>1.2</v>
      </c>
      <c r="N275" t="n">
        <v>5.87</v>
      </c>
      <c r="O275" t="inlineStr">
        <is>
          <t>Direct</t>
        </is>
      </c>
      <c r="P275" t="inlineStr">
        <is>
          <t>22.23-0-1.2-ERW 1-PE-5.87</t>
        </is>
      </c>
    </row>
    <row r="276">
      <c r="A276" t="n">
        <v>46203</v>
      </c>
      <c r="B276" t="inlineStr">
        <is>
          <t>0000943209</t>
        </is>
      </c>
      <c r="C276" t="inlineStr">
        <is>
          <t>MEGH STEELS PRIVATE LIMITED - TVS A</t>
        </is>
      </c>
      <c r="D276" t="inlineStr">
        <is>
          <t>KG</t>
        </is>
      </c>
      <c r="E276" t="n">
        <v>419</v>
      </c>
      <c r="F276" t="n">
        <v>2459.552</v>
      </c>
      <c r="G276" t="n">
        <v>1444.167</v>
      </c>
      <c r="H276" t="inlineStr">
        <is>
          <t>056</t>
        </is>
      </c>
      <c r="I276" t="n">
        <v>3882110</v>
      </c>
      <c r="J276" t="inlineStr">
        <is>
          <t>TUB-O-N-AUT-AW-PE-22.20X1.200X5.8700</t>
        </is>
      </c>
      <c r="K276" t="n">
        <v>22.2</v>
      </c>
      <c r="L276" t="n">
        <v>0</v>
      </c>
      <c r="M276" t="n">
        <v>1.2</v>
      </c>
      <c r="N276" t="n">
        <v>5.87</v>
      </c>
      <c r="O276" t="inlineStr">
        <is>
          <t>Direct</t>
        </is>
      </c>
      <c r="P276" t="inlineStr">
        <is>
          <t>22.23-0-1.2-ERW 1-PE-5.87</t>
        </is>
      </c>
    </row>
    <row r="277">
      <c r="A277" t="n">
        <v>46203</v>
      </c>
      <c r="B277" t="inlineStr">
        <is>
          <t>0000943209</t>
        </is>
      </c>
      <c r="C277" t="inlineStr">
        <is>
          <t>MEGH STEELS PRIVATE LIMITED - TVS A</t>
        </is>
      </c>
      <c r="D277" t="inlineStr">
        <is>
          <t>KG</t>
        </is>
      </c>
      <c r="E277" t="n">
        <v>446</v>
      </c>
      <c r="F277" t="n">
        <v>2618.045</v>
      </c>
      <c r="G277" t="n">
        <v>1537.229</v>
      </c>
      <c r="H277" t="inlineStr">
        <is>
          <t>056</t>
        </is>
      </c>
      <c r="I277" t="n">
        <v>3882110</v>
      </c>
      <c r="J277" t="inlineStr">
        <is>
          <t>TUB-O-N-AUT-AW-PE-22.20X1.200X5.8700</t>
        </is>
      </c>
      <c r="K277" t="n">
        <v>22.2</v>
      </c>
      <c r="L277" t="n">
        <v>0</v>
      </c>
      <c r="M277" t="n">
        <v>1.2</v>
      </c>
      <c r="N277" t="n">
        <v>5.87</v>
      </c>
      <c r="O277" t="inlineStr">
        <is>
          <t>Direct</t>
        </is>
      </c>
      <c r="P277" t="inlineStr">
        <is>
          <t>22.23-0-1.2-ERW 1-PE-5.87</t>
        </is>
      </c>
    </row>
    <row r="278">
      <c r="A278" t="n">
        <v>46202</v>
      </c>
      <c r="B278" t="inlineStr">
        <is>
          <t>0000943209</t>
        </is>
      </c>
      <c r="C278" t="inlineStr">
        <is>
          <t>MEGH STEELS PRIVATE LIMITED - TVS A</t>
        </is>
      </c>
      <c r="D278" t="inlineStr">
        <is>
          <t>KG</t>
        </is>
      </c>
      <c r="E278" t="n">
        <v>420</v>
      </c>
      <c r="F278" t="n">
        <v>2465.423</v>
      </c>
      <c r="G278" t="n">
        <v>1447.614</v>
      </c>
      <c r="H278" t="inlineStr">
        <is>
          <t>056</t>
        </is>
      </c>
      <c r="I278" t="n">
        <v>3882110</v>
      </c>
      <c r="J278" t="inlineStr">
        <is>
          <t>TUB-O-N-AUT-AW-PE-22.20X1.200X5.8700</t>
        </is>
      </c>
      <c r="K278" t="n">
        <v>22.2</v>
      </c>
      <c r="L278" t="n">
        <v>0</v>
      </c>
      <c r="M278" t="n">
        <v>1.2</v>
      </c>
      <c r="N278" t="n">
        <v>5.87</v>
      </c>
      <c r="O278" t="inlineStr">
        <is>
          <t>Direct</t>
        </is>
      </c>
      <c r="P278" t="inlineStr">
        <is>
          <t>22.23-0-1.2-ERW 1-PE-5.87</t>
        </is>
      </c>
    </row>
    <row r="279">
      <c r="A279" t="n">
        <v>46200</v>
      </c>
      <c r="B279" t="inlineStr">
        <is>
          <t>0000943211</t>
        </is>
      </c>
      <c r="C279" t="inlineStr">
        <is>
          <t>MEGH STEELS PRIVATE LIMITED - RE</t>
        </is>
      </c>
      <c r="D279" t="inlineStr">
        <is>
          <t>KG</t>
        </is>
      </c>
      <c r="E279" t="n">
        <v>217</v>
      </c>
      <c r="F279" t="n">
        <v>1280.29</v>
      </c>
      <c r="G279" t="n">
        <v>1205.934</v>
      </c>
      <c r="H279" t="inlineStr">
        <is>
          <t>056</t>
        </is>
      </c>
      <c r="I279" t="n">
        <v>3499396</v>
      </c>
      <c r="J279" t="inlineStr">
        <is>
          <t>TUB-O-N-AUT-AW-FC-34.93X1.200X5.900</t>
        </is>
      </c>
      <c r="K279" t="n">
        <v>34.93</v>
      </c>
      <c r="L279" t="n">
        <v>0</v>
      </c>
      <c r="M279" t="n">
        <v>1.2</v>
      </c>
      <c r="N279" t="n">
        <v>5.9</v>
      </c>
      <c r="O279" t="inlineStr">
        <is>
          <t>Direct</t>
        </is>
      </c>
    </row>
    <row r="280">
      <c r="A280" t="n">
        <v>46200</v>
      </c>
      <c r="B280" t="inlineStr">
        <is>
          <t>0000943211</t>
        </is>
      </c>
      <c r="C280" t="inlineStr">
        <is>
          <t>MEGH STEELS PRIVATE LIMITED - RE</t>
        </is>
      </c>
      <c r="D280" t="inlineStr">
        <is>
          <t>KG</t>
        </is>
      </c>
      <c r="E280" t="n">
        <v>217</v>
      </c>
      <c r="F280" t="n">
        <v>1280.29</v>
      </c>
      <c r="G280" t="n">
        <v>1205.934</v>
      </c>
      <c r="H280" t="inlineStr">
        <is>
          <t>056</t>
        </is>
      </c>
      <c r="I280" t="n">
        <v>3499396</v>
      </c>
      <c r="J280" t="inlineStr">
        <is>
          <t>TUB-O-N-AUT-AW-FC-34.93X1.200X5.900</t>
        </is>
      </c>
      <c r="K280" t="n">
        <v>34.93</v>
      </c>
      <c r="L280" t="n">
        <v>0</v>
      </c>
      <c r="M280" t="n">
        <v>1.2</v>
      </c>
      <c r="N280" t="n">
        <v>5.9</v>
      </c>
      <c r="O280" t="inlineStr">
        <is>
          <t>Direct</t>
        </is>
      </c>
    </row>
    <row r="281">
      <c r="A281" t="n">
        <v>46200</v>
      </c>
      <c r="B281" t="inlineStr">
        <is>
          <t>0000943211</t>
        </is>
      </c>
      <c r="C281" t="inlineStr">
        <is>
          <t>MEGH STEELS PRIVATE LIMITED - RE</t>
        </is>
      </c>
      <c r="D281" t="inlineStr">
        <is>
          <t>KG</t>
        </is>
      </c>
      <c r="E281" t="n">
        <v>217</v>
      </c>
      <c r="F281" t="n">
        <v>1280.29</v>
      </c>
      <c r="G281" t="n">
        <v>1205.934</v>
      </c>
      <c r="H281" t="inlineStr">
        <is>
          <t>056</t>
        </is>
      </c>
      <c r="I281" t="n">
        <v>3499396</v>
      </c>
      <c r="J281" t="inlineStr">
        <is>
          <t>TUB-O-N-AUT-AW-FC-34.93X1.200X5.900</t>
        </is>
      </c>
      <c r="K281" t="n">
        <v>34.93</v>
      </c>
      <c r="L281" t="n">
        <v>0</v>
      </c>
      <c r="M281" t="n">
        <v>1.2</v>
      </c>
      <c r="N281" t="n">
        <v>5.9</v>
      </c>
      <c r="O281" t="inlineStr">
        <is>
          <t>Direct</t>
        </is>
      </c>
    </row>
    <row r="282">
      <c r="A282" t="n">
        <v>46200</v>
      </c>
      <c r="B282" t="inlineStr">
        <is>
          <t>0000943211</t>
        </is>
      </c>
      <c r="C282" t="inlineStr">
        <is>
          <t>MEGH STEELS PRIVATE LIMITED - RE</t>
        </is>
      </c>
      <c r="D282" t="inlineStr">
        <is>
          <t>KG</t>
        </is>
      </c>
      <c r="E282" t="n">
        <v>214</v>
      </c>
      <c r="F282" t="n">
        <v>1262.59</v>
      </c>
      <c r="G282" t="n">
        <v>1189.262</v>
      </c>
      <c r="H282" t="inlineStr">
        <is>
          <t>056</t>
        </is>
      </c>
      <c r="I282" t="n">
        <v>3499396</v>
      </c>
      <c r="J282" t="inlineStr">
        <is>
          <t>TUB-O-N-AUT-AW-FC-34.93X1.200X5.900</t>
        </is>
      </c>
      <c r="K282" t="n">
        <v>34.93</v>
      </c>
      <c r="L282" t="n">
        <v>0</v>
      </c>
      <c r="M282" t="n">
        <v>1.2</v>
      </c>
      <c r="N282" t="n">
        <v>5.9</v>
      </c>
      <c r="O282" t="inlineStr">
        <is>
          <t>Direct</t>
        </is>
      </c>
    </row>
    <row r="283">
      <c r="A283" t="n">
        <v>46200</v>
      </c>
      <c r="B283" t="inlineStr">
        <is>
          <t>0000943211</t>
        </is>
      </c>
      <c r="C283" t="inlineStr">
        <is>
          <t>MEGH STEELS PRIVATE LIMITED - RE</t>
        </is>
      </c>
      <c r="D283" t="inlineStr">
        <is>
          <t>KG</t>
        </is>
      </c>
      <c r="E283" t="n">
        <v>216</v>
      </c>
      <c r="F283" t="n">
        <v>1274.391</v>
      </c>
      <c r="G283" t="n">
        <v>1200.377</v>
      </c>
      <c r="H283" t="inlineStr">
        <is>
          <t>056</t>
        </is>
      </c>
      <c r="I283" t="n">
        <v>3499396</v>
      </c>
      <c r="J283" t="inlineStr">
        <is>
          <t>TUB-O-N-AUT-AW-FC-34.93X1.200X5.900</t>
        </is>
      </c>
      <c r="K283" t="n">
        <v>34.93</v>
      </c>
      <c r="L283" t="n">
        <v>0</v>
      </c>
      <c r="M283" t="n">
        <v>1.2</v>
      </c>
      <c r="N283" t="n">
        <v>5.9</v>
      </c>
      <c r="O283" t="inlineStr">
        <is>
          <t>Direct</t>
        </is>
      </c>
    </row>
    <row r="284">
      <c r="A284" t="n">
        <v>46200</v>
      </c>
      <c r="B284" t="inlineStr">
        <is>
          <t>0000943211</t>
        </is>
      </c>
      <c r="C284" t="inlineStr">
        <is>
          <t>MEGH STEELS PRIVATE LIMITED - RE</t>
        </is>
      </c>
      <c r="D284" t="inlineStr">
        <is>
          <t>KG</t>
        </is>
      </c>
      <c r="E284" t="n">
        <v>217</v>
      </c>
      <c r="F284" t="n">
        <v>1280.29</v>
      </c>
      <c r="G284" t="n">
        <v>1205.934</v>
      </c>
      <c r="H284" t="inlineStr">
        <is>
          <t>056</t>
        </is>
      </c>
      <c r="I284" t="n">
        <v>3499396</v>
      </c>
      <c r="J284" t="inlineStr">
        <is>
          <t>TUB-O-N-AUT-AW-FC-34.93X1.200X5.900</t>
        </is>
      </c>
      <c r="K284" t="n">
        <v>34.93</v>
      </c>
      <c r="L284" t="n">
        <v>0</v>
      </c>
      <c r="M284" t="n">
        <v>1.2</v>
      </c>
      <c r="N284" t="n">
        <v>5.9</v>
      </c>
      <c r="O284" t="inlineStr">
        <is>
          <t>Direct</t>
        </is>
      </c>
    </row>
    <row r="285">
      <c r="A285" t="n">
        <v>46200</v>
      </c>
      <c r="B285" t="inlineStr">
        <is>
          <t>0000943211</t>
        </is>
      </c>
      <c r="C285" t="inlineStr">
        <is>
          <t>MEGH STEELS PRIVATE LIMITED - RE</t>
        </is>
      </c>
      <c r="D285" t="inlineStr">
        <is>
          <t>KG</t>
        </is>
      </c>
      <c r="E285" t="n">
        <v>217</v>
      </c>
      <c r="F285" t="n">
        <v>1280.29</v>
      </c>
      <c r="G285" t="n">
        <v>1205.934</v>
      </c>
      <c r="H285" t="inlineStr">
        <is>
          <t>056</t>
        </is>
      </c>
      <c r="I285" t="n">
        <v>3499396</v>
      </c>
      <c r="J285" t="inlineStr">
        <is>
          <t>TUB-O-N-AUT-AW-FC-34.93X1.200X5.900</t>
        </is>
      </c>
      <c r="K285" t="n">
        <v>34.93</v>
      </c>
      <c r="L285" t="n">
        <v>0</v>
      </c>
      <c r="M285" t="n">
        <v>1.2</v>
      </c>
      <c r="N285" t="n">
        <v>5.9</v>
      </c>
      <c r="O285" t="inlineStr">
        <is>
          <t>Direct</t>
        </is>
      </c>
    </row>
    <row r="286">
      <c r="A286" t="n">
        <v>46199</v>
      </c>
      <c r="B286" t="inlineStr">
        <is>
          <t>0000943209</t>
        </is>
      </c>
      <c r="C286" t="inlineStr">
        <is>
          <t>MEGH STEELS PRIVATE LIMITED - TVS A</t>
        </is>
      </c>
      <c r="D286" t="inlineStr">
        <is>
          <t>KG</t>
        </is>
      </c>
      <c r="E286" t="n">
        <v>18</v>
      </c>
      <c r="F286" t="n">
        <v>104.277</v>
      </c>
      <c r="G286" t="n">
        <v>158</v>
      </c>
      <c r="H286" t="inlineStr">
        <is>
          <t>0789</t>
        </is>
      </c>
      <c r="I286" t="n">
        <v>4164767</v>
      </c>
      <c r="J286" t="inlineStr">
        <is>
          <t>TUB-R-AW-AUT-40.00X30.00X1.600X5.9000</t>
        </is>
      </c>
      <c r="K286" t="n">
        <v>40</v>
      </c>
      <c r="L286" t="n">
        <v>30</v>
      </c>
      <c r="M286" t="n">
        <v>1.6</v>
      </c>
      <c r="N286" t="n">
        <v>5.9</v>
      </c>
      <c r="O286" t="inlineStr">
        <is>
          <t>Direct</t>
        </is>
      </c>
    </row>
    <row r="287">
      <c r="A287" t="n">
        <v>46199</v>
      </c>
      <c r="B287" t="inlineStr">
        <is>
          <t>0000943209</t>
        </is>
      </c>
      <c r="C287" t="inlineStr">
        <is>
          <t>MEGH STEELS PRIVATE LIMITED - TVS A</t>
        </is>
      </c>
      <c r="D287" t="inlineStr">
        <is>
          <t>KG</t>
        </is>
      </c>
      <c r="E287" t="n">
        <v>3</v>
      </c>
      <c r="F287" t="n">
        <v>16.499</v>
      </c>
      <c r="G287" t="n">
        <v>25</v>
      </c>
      <c r="H287" t="inlineStr">
        <is>
          <t>0789</t>
        </is>
      </c>
      <c r="I287" t="n">
        <v>4164767</v>
      </c>
      <c r="J287" t="inlineStr">
        <is>
          <t>TUB-R-AW-AUT-40.00X30.00X1.600X5.9000</t>
        </is>
      </c>
      <c r="K287" t="n">
        <v>40</v>
      </c>
      <c r="L287" t="n">
        <v>30</v>
      </c>
      <c r="M287" t="n">
        <v>1.6</v>
      </c>
      <c r="N287" t="n">
        <v>5.9</v>
      </c>
      <c r="O287" t="inlineStr">
        <is>
          <t>Direct</t>
        </is>
      </c>
    </row>
    <row r="288">
      <c r="A288" t="n">
        <v>46199</v>
      </c>
      <c r="B288" t="inlineStr">
        <is>
          <t>0000943209</t>
        </is>
      </c>
      <c r="C288" t="inlineStr">
        <is>
          <t>MEGH STEELS PRIVATE LIMITED - TVS A</t>
        </is>
      </c>
      <c r="D288" t="inlineStr">
        <is>
          <t>KG</t>
        </is>
      </c>
      <c r="E288" t="n">
        <v>191</v>
      </c>
      <c r="F288" t="n">
        <v>1127.904</v>
      </c>
      <c r="G288" t="n">
        <v>1709</v>
      </c>
      <c r="H288" t="inlineStr">
        <is>
          <t>0789</t>
        </is>
      </c>
      <c r="I288" t="n">
        <v>4164767</v>
      </c>
      <c r="J288" t="inlineStr">
        <is>
          <t>TUB-R-AW-AUT-40.00X30.00X1.600X5.9000</t>
        </is>
      </c>
      <c r="K288" t="n">
        <v>40</v>
      </c>
      <c r="L288" t="n">
        <v>30</v>
      </c>
      <c r="M288" t="n">
        <v>1.6</v>
      </c>
      <c r="N288" t="n">
        <v>5.9</v>
      </c>
      <c r="O288" t="inlineStr">
        <is>
          <t>Direct</t>
        </is>
      </c>
    </row>
    <row r="289">
      <c r="A289" t="n">
        <v>46199</v>
      </c>
      <c r="B289" t="inlineStr">
        <is>
          <t>0000943209</t>
        </is>
      </c>
      <c r="C289" t="inlineStr">
        <is>
          <t>MEGH STEELS PRIVATE LIMITED - TVS A</t>
        </is>
      </c>
      <c r="D289" t="inlineStr">
        <is>
          <t>KG</t>
        </is>
      </c>
      <c r="E289" t="n">
        <v>90</v>
      </c>
      <c r="F289" t="n">
        <v>533.263</v>
      </c>
      <c r="G289" t="n">
        <v>808</v>
      </c>
      <c r="H289" t="inlineStr">
        <is>
          <t>0789</t>
        </is>
      </c>
      <c r="I289" t="n">
        <v>4164767</v>
      </c>
      <c r="J289" t="inlineStr">
        <is>
          <t>TUB-R-AW-AUT-40.00X30.00X1.600X5.9000</t>
        </is>
      </c>
      <c r="K289" t="n">
        <v>40</v>
      </c>
      <c r="L289" t="n">
        <v>30</v>
      </c>
      <c r="M289" t="n">
        <v>1.6</v>
      </c>
      <c r="N289" t="n">
        <v>5.9</v>
      </c>
      <c r="O289" t="inlineStr">
        <is>
          <t>Direct</t>
        </is>
      </c>
    </row>
    <row r="290">
      <c r="A290" t="n">
        <v>46176</v>
      </c>
      <c r="B290" t="inlineStr">
        <is>
          <t>0000943209</t>
        </is>
      </c>
      <c r="C290" t="inlineStr">
        <is>
          <t>MEGH STEELS PRIVATE LIMITED - TVS A</t>
        </is>
      </c>
      <c r="D290" t="inlineStr">
        <is>
          <t>KG</t>
        </is>
      </c>
      <c r="E290" t="n">
        <v>35</v>
      </c>
      <c r="F290" t="n">
        <v>204.486</v>
      </c>
      <c r="G290" t="n">
        <v>588</v>
      </c>
      <c r="H290" t="inlineStr">
        <is>
          <t>4731</t>
        </is>
      </c>
      <c r="I290" t="n">
        <v>3905049</v>
      </c>
      <c r="J290" t="inlineStr">
        <is>
          <t>TUB-O-N-AUT-AW-FC-60.30X2.000X5.9000</t>
        </is>
      </c>
      <c r="K290" t="n">
        <v>60.3</v>
      </c>
      <c r="L290" t="n">
        <v>0</v>
      </c>
      <c r="M290" t="n">
        <v>2</v>
      </c>
      <c r="N290" t="n">
        <v>5.9</v>
      </c>
      <c r="O290" t="inlineStr">
        <is>
          <t>Direct</t>
        </is>
      </c>
      <c r="P290" t="inlineStr">
        <is>
          <t>60.3-0-2-ERW 1-FC-5.9</t>
        </is>
      </c>
    </row>
    <row r="291">
      <c r="A291" t="n">
        <v>46176</v>
      </c>
      <c r="B291" t="inlineStr">
        <is>
          <t>0000943209</t>
        </is>
      </c>
      <c r="C291" t="inlineStr">
        <is>
          <t>MEGH STEELS PRIVATE LIMITED - TVS A</t>
        </is>
      </c>
      <c r="D291" t="inlineStr">
        <is>
          <t>KG</t>
        </is>
      </c>
      <c r="E291" t="n">
        <v>94</v>
      </c>
      <c r="F291" t="n">
        <v>552.6</v>
      </c>
      <c r="G291" t="n">
        <v>1589</v>
      </c>
      <c r="H291" t="inlineStr">
        <is>
          <t>4731</t>
        </is>
      </c>
      <c r="I291" t="n">
        <v>3905049</v>
      </c>
      <c r="J291" t="inlineStr">
        <is>
          <t>TUB-O-N-AUT-AW-FC-60.30X2.000X5.9000</t>
        </is>
      </c>
      <c r="K291" t="n">
        <v>60.3</v>
      </c>
      <c r="L291" t="n">
        <v>0</v>
      </c>
      <c r="M291" t="n">
        <v>2</v>
      </c>
      <c r="N291" t="n">
        <v>5.9</v>
      </c>
      <c r="O291" t="inlineStr">
        <is>
          <t>Direct</t>
        </is>
      </c>
      <c r="P291" t="inlineStr">
        <is>
          <t>60.3-0-2-ERW 1-FC-5.9</t>
        </is>
      </c>
    </row>
    <row r="292">
      <c r="A292" t="n">
        <v>46176</v>
      </c>
      <c r="B292" t="inlineStr">
        <is>
          <t>0000943209</t>
        </is>
      </c>
      <c r="C292" t="inlineStr">
        <is>
          <t>MEGH STEELS PRIVATE LIMITED - TVS A</t>
        </is>
      </c>
      <c r="D292" t="inlineStr">
        <is>
          <t>KG</t>
        </is>
      </c>
      <c r="E292" t="n">
        <v>70</v>
      </c>
      <c r="F292" t="n">
        <v>411.059</v>
      </c>
      <c r="G292" t="n">
        <v>1182</v>
      </c>
      <c r="H292" t="inlineStr">
        <is>
          <t>4731</t>
        </is>
      </c>
      <c r="I292" t="n">
        <v>3905049</v>
      </c>
      <c r="J292" t="inlineStr">
        <is>
          <t>TUB-O-N-AUT-AW-FC-60.30X2.000X5.9000</t>
        </is>
      </c>
      <c r="K292" t="n">
        <v>60.3</v>
      </c>
      <c r="L292" t="n">
        <v>0</v>
      </c>
      <c r="M292" t="n">
        <v>2</v>
      </c>
      <c r="N292" t="n">
        <v>5.9</v>
      </c>
      <c r="O292" t="inlineStr">
        <is>
          <t>Direct</t>
        </is>
      </c>
      <c r="P292" t="inlineStr">
        <is>
          <t>60.3-0-2-ERW 1-FC-5.9</t>
        </is>
      </c>
    </row>
    <row r="293">
      <c r="A293" t="n">
        <v>46176</v>
      </c>
      <c r="B293" t="inlineStr">
        <is>
          <t>0000943209</t>
        </is>
      </c>
      <c r="C293" t="inlineStr">
        <is>
          <t>MEGH STEELS PRIVATE LIMITED - TVS A</t>
        </is>
      </c>
      <c r="D293" t="inlineStr">
        <is>
          <t>KG</t>
        </is>
      </c>
      <c r="E293" t="n">
        <v>47</v>
      </c>
      <c r="F293" t="n">
        <v>275.43</v>
      </c>
      <c r="G293" t="n">
        <v>792</v>
      </c>
      <c r="H293" t="inlineStr">
        <is>
          <t>4731</t>
        </is>
      </c>
      <c r="I293" t="n">
        <v>3905049</v>
      </c>
      <c r="J293" t="inlineStr">
        <is>
          <t>TUB-O-N-AUT-AW-FC-60.30X2.000X5.9000</t>
        </is>
      </c>
      <c r="K293" t="n">
        <v>60.3</v>
      </c>
      <c r="L293" t="n">
        <v>0</v>
      </c>
      <c r="M293" t="n">
        <v>2</v>
      </c>
      <c r="N293" t="n">
        <v>5.9</v>
      </c>
      <c r="O293" t="inlineStr">
        <is>
          <t>Direct</t>
        </is>
      </c>
      <c r="P293" t="inlineStr">
        <is>
          <t>60.3-0-2-ERW 1-FC-5.9</t>
        </is>
      </c>
    </row>
    <row r="294">
      <c r="A294" t="n">
        <v>46176</v>
      </c>
      <c r="B294" t="inlineStr">
        <is>
          <t>0000943209</t>
        </is>
      </c>
      <c r="C294" t="inlineStr">
        <is>
          <t>MEGH STEELS PRIVATE LIMITED - TVS A</t>
        </is>
      </c>
      <c r="D294" t="inlineStr">
        <is>
          <t>KG</t>
        </is>
      </c>
      <c r="E294" t="n">
        <v>49</v>
      </c>
      <c r="F294" t="n">
        <v>288.993</v>
      </c>
      <c r="G294" t="n">
        <v>831</v>
      </c>
      <c r="H294" t="inlineStr">
        <is>
          <t>4731</t>
        </is>
      </c>
      <c r="I294" t="n">
        <v>3905049</v>
      </c>
      <c r="J294" t="inlineStr">
        <is>
          <t>TUB-O-N-AUT-AW-FC-60.30X2.000X5.9000</t>
        </is>
      </c>
      <c r="K294" t="n">
        <v>60.3</v>
      </c>
      <c r="L294" t="n">
        <v>0</v>
      </c>
      <c r="M294" t="n">
        <v>2</v>
      </c>
      <c r="N294" t="n">
        <v>5.9</v>
      </c>
      <c r="O294" t="inlineStr">
        <is>
          <t>Direct</t>
        </is>
      </c>
      <c r="P294" t="inlineStr">
        <is>
          <t>60.3-0-2-ERW 1-FC-5.9</t>
        </is>
      </c>
    </row>
    <row r="295">
      <c r="A295" t="n">
        <v>46177</v>
      </c>
      <c r="B295" t="inlineStr">
        <is>
          <t>0000943209</t>
        </is>
      </c>
      <c r="C295" t="inlineStr">
        <is>
          <t>MEGH STEELS PRIVATE LIMITED - TVS A</t>
        </is>
      </c>
      <c r="D295" t="inlineStr">
        <is>
          <t>KG</t>
        </is>
      </c>
      <c r="E295" t="n">
        <v>94</v>
      </c>
      <c r="F295" t="n">
        <v>554.408</v>
      </c>
      <c r="G295" t="n">
        <v>1594.2</v>
      </c>
      <c r="H295" t="inlineStr">
        <is>
          <t>0788</t>
        </is>
      </c>
      <c r="I295" t="n">
        <v>3905049</v>
      </c>
      <c r="J295" t="inlineStr">
        <is>
          <t>TUB-O-N-AUT-AW-FC-60.30X2.000X5.9000</t>
        </is>
      </c>
      <c r="K295" t="n">
        <v>60.3</v>
      </c>
      <c r="L295" t="n">
        <v>0</v>
      </c>
      <c r="M295" t="n">
        <v>2</v>
      </c>
      <c r="N295" t="n">
        <v>5.9</v>
      </c>
      <c r="O295" t="inlineStr">
        <is>
          <t>Direct</t>
        </is>
      </c>
      <c r="P295" t="inlineStr">
        <is>
          <t>60.3-0-2-ERW 1-FC-5.9</t>
        </is>
      </c>
    </row>
    <row r="296">
      <c r="A296" t="n">
        <v>46177</v>
      </c>
      <c r="B296" t="inlineStr">
        <is>
          <t>0000943209</t>
        </is>
      </c>
      <c r="C296" t="inlineStr">
        <is>
          <t>MEGH STEELS PRIVATE LIMITED - TVS A</t>
        </is>
      </c>
      <c r="D296" t="inlineStr">
        <is>
          <t>KG</t>
        </is>
      </c>
      <c r="E296" t="n">
        <v>59</v>
      </c>
      <c r="F296" t="n">
        <v>347.835</v>
      </c>
      <c r="G296" t="n">
        <v>1000.2</v>
      </c>
      <c r="H296" t="inlineStr">
        <is>
          <t>0788</t>
        </is>
      </c>
      <c r="I296" t="n">
        <v>3905049</v>
      </c>
      <c r="J296" t="inlineStr">
        <is>
          <t>TUB-O-N-AUT-AW-FC-60.30X2.000X5.9000</t>
        </is>
      </c>
      <c r="K296" t="n">
        <v>60.3</v>
      </c>
      <c r="L296" t="n">
        <v>0</v>
      </c>
      <c r="M296" t="n">
        <v>2</v>
      </c>
      <c r="N296" t="n">
        <v>5.9</v>
      </c>
      <c r="O296" t="inlineStr">
        <is>
          <t>Direct</t>
        </is>
      </c>
      <c r="P296" t="inlineStr">
        <is>
          <t>60.3-0-2-ERW 1-FC-5.9</t>
        </is>
      </c>
    </row>
    <row r="297">
      <c r="A297" t="n">
        <v>46177</v>
      </c>
      <c r="B297" t="inlineStr">
        <is>
          <t>0000943209</t>
        </is>
      </c>
      <c r="C297" t="inlineStr">
        <is>
          <t>MEGH STEELS PRIVATE LIMITED - TVS A</t>
        </is>
      </c>
      <c r="D297" t="inlineStr">
        <is>
          <t>KG</t>
        </is>
      </c>
      <c r="E297" t="n">
        <v>99</v>
      </c>
      <c r="F297" t="n">
        <v>583.968</v>
      </c>
      <c r="G297" t="n">
        <v>1679.2</v>
      </c>
      <c r="H297" t="inlineStr">
        <is>
          <t>0788</t>
        </is>
      </c>
      <c r="I297" t="n">
        <v>3905049</v>
      </c>
      <c r="J297" t="inlineStr">
        <is>
          <t>TUB-O-N-AUT-AW-FC-60.30X2.000X5.9000</t>
        </is>
      </c>
      <c r="K297" t="n">
        <v>60.3</v>
      </c>
      <c r="L297" t="n">
        <v>0</v>
      </c>
      <c r="M297" t="n">
        <v>2</v>
      </c>
      <c r="N297" t="n">
        <v>5.9</v>
      </c>
      <c r="O297" t="inlineStr">
        <is>
          <t>Direct</t>
        </is>
      </c>
      <c r="P297" t="inlineStr">
        <is>
          <t>60.3-0-2-ERW 1-FC-5.9</t>
        </is>
      </c>
    </row>
    <row r="298">
      <c r="A298" t="n">
        <v>46177</v>
      </c>
      <c r="B298" t="inlineStr">
        <is>
          <t>0000943209</t>
        </is>
      </c>
      <c r="C298" t="inlineStr">
        <is>
          <t>MEGH STEELS PRIVATE LIMITED - TVS A</t>
        </is>
      </c>
      <c r="D298" t="inlineStr">
        <is>
          <t>KG</t>
        </is>
      </c>
      <c r="E298" t="n">
        <v>99</v>
      </c>
      <c r="F298" t="n">
        <v>583.968</v>
      </c>
      <c r="G298" t="n">
        <v>1679.2</v>
      </c>
      <c r="H298" t="inlineStr">
        <is>
          <t>0788</t>
        </is>
      </c>
      <c r="I298" t="n">
        <v>3905049</v>
      </c>
      <c r="J298" t="inlineStr">
        <is>
          <t>TUB-O-N-AUT-AW-FC-60.30X2.000X5.9000</t>
        </is>
      </c>
      <c r="K298" t="n">
        <v>60.3</v>
      </c>
      <c r="L298" t="n">
        <v>0</v>
      </c>
      <c r="M298" t="n">
        <v>2</v>
      </c>
      <c r="N298" t="n">
        <v>5.9</v>
      </c>
      <c r="O298" t="inlineStr">
        <is>
          <t>Direct</t>
        </is>
      </c>
      <c r="P298" t="inlineStr">
        <is>
          <t>60.3-0-2-ERW 1-FC-5.9</t>
        </is>
      </c>
    </row>
    <row r="299">
      <c r="A299" t="n">
        <v>46177</v>
      </c>
      <c r="B299" t="inlineStr">
        <is>
          <t>0000943209</t>
        </is>
      </c>
      <c r="C299" t="inlineStr">
        <is>
          <t>MEGH STEELS PRIVATE LIMITED - TVS A</t>
        </is>
      </c>
      <c r="D299" t="inlineStr">
        <is>
          <t>KG</t>
        </is>
      </c>
      <c r="E299" t="n">
        <v>77</v>
      </c>
      <c r="F299" t="n">
        <v>454.251</v>
      </c>
      <c r="G299" t="n">
        <v>1306.2</v>
      </c>
      <c r="H299" t="inlineStr">
        <is>
          <t>0788</t>
        </is>
      </c>
      <c r="I299" t="n">
        <v>3905049</v>
      </c>
      <c r="J299" t="inlineStr">
        <is>
          <t>TUB-O-N-AUT-AW-FC-60.30X2.000X5.9000</t>
        </is>
      </c>
      <c r="K299" t="n">
        <v>60.3</v>
      </c>
      <c r="L299" t="n">
        <v>0</v>
      </c>
      <c r="M299" t="n">
        <v>2</v>
      </c>
      <c r="N299" t="n">
        <v>5.9</v>
      </c>
      <c r="O299" t="inlineStr">
        <is>
          <t>Direct</t>
        </is>
      </c>
      <c r="P299" t="inlineStr">
        <is>
          <t>60.3-0-2-ERW 1-FC-5.9</t>
        </is>
      </c>
    </row>
    <row r="300">
      <c r="A300" t="n">
        <v>46176</v>
      </c>
      <c r="B300" t="inlineStr">
        <is>
          <t>0000943209</t>
        </is>
      </c>
      <c r="C300" t="inlineStr">
        <is>
          <t>MEGH STEELS PRIVATE LIMITED - TVS A</t>
        </is>
      </c>
      <c r="D300" t="inlineStr">
        <is>
          <t>KG</t>
        </is>
      </c>
      <c r="E300" t="n">
        <v>3</v>
      </c>
      <c r="F300" t="n">
        <v>18.432</v>
      </c>
      <c r="G300" t="n">
        <v>53</v>
      </c>
      <c r="H300" t="inlineStr">
        <is>
          <t>4731</t>
        </is>
      </c>
      <c r="I300" t="n">
        <v>3905049</v>
      </c>
      <c r="J300" t="inlineStr">
        <is>
          <t>TUB-O-N-AUT-AW-FC-60.30X2.000X5.9000</t>
        </is>
      </c>
      <c r="K300" t="n">
        <v>60.3</v>
      </c>
      <c r="L300" t="n">
        <v>0</v>
      </c>
      <c r="M300" t="n">
        <v>2</v>
      </c>
      <c r="N300" t="n">
        <v>5.9</v>
      </c>
      <c r="O300" t="inlineStr">
        <is>
          <t>Direct</t>
        </is>
      </c>
      <c r="P300" t="inlineStr">
        <is>
          <t>60.3-0-2-ERW 1-FC-5.9</t>
        </is>
      </c>
    </row>
    <row r="301">
      <c r="A301" t="n">
        <v>46176</v>
      </c>
      <c r="B301" t="inlineStr">
        <is>
          <t>0000943209</t>
        </is>
      </c>
      <c r="C301" t="inlineStr">
        <is>
          <t>MEGH STEELS PRIVATE LIMITED - TVS A</t>
        </is>
      </c>
      <c r="D301" t="inlineStr">
        <is>
          <t>KG</t>
        </is>
      </c>
      <c r="E301" t="n">
        <v>80</v>
      </c>
      <c r="F301" t="n">
        <v>470.179</v>
      </c>
      <c r="G301" t="n">
        <v>1352</v>
      </c>
      <c r="H301" t="inlineStr">
        <is>
          <t>4731</t>
        </is>
      </c>
      <c r="I301" t="n">
        <v>3905049</v>
      </c>
      <c r="J301" t="inlineStr">
        <is>
          <t>TUB-O-N-AUT-AW-FC-60.30X2.000X5.9000</t>
        </is>
      </c>
      <c r="K301" t="n">
        <v>60.3</v>
      </c>
      <c r="L301" t="n">
        <v>0</v>
      </c>
      <c r="M301" t="n">
        <v>2</v>
      </c>
      <c r="N301" t="n">
        <v>5.9</v>
      </c>
      <c r="O301" t="inlineStr">
        <is>
          <t>Direct</t>
        </is>
      </c>
      <c r="P301" t="inlineStr">
        <is>
          <t>60.3-0-2-ERW 1-FC-5.9</t>
        </is>
      </c>
    </row>
    <row r="302">
      <c r="A302" t="n">
        <v>46176</v>
      </c>
      <c r="B302" t="inlineStr">
        <is>
          <t>0000943209</t>
        </is>
      </c>
      <c r="C302" t="inlineStr">
        <is>
          <t>MEGH STEELS PRIVATE LIMITED - TVS A</t>
        </is>
      </c>
      <c r="D302" t="inlineStr">
        <is>
          <t>KG</t>
        </is>
      </c>
      <c r="E302" t="n">
        <v>96</v>
      </c>
      <c r="F302" t="n">
        <v>564.424</v>
      </c>
      <c r="G302" t="n">
        <v>1623</v>
      </c>
      <c r="H302" t="inlineStr">
        <is>
          <t>4731</t>
        </is>
      </c>
      <c r="I302" t="n">
        <v>3905049</v>
      </c>
      <c r="J302" t="inlineStr">
        <is>
          <t>TUB-O-N-AUT-AW-FC-60.30X2.000X5.9000</t>
        </is>
      </c>
      <c r="K302" t="n">
        <v>60.3</v>
      </c>
      <c r="L302" t="n">
        <v>0</v>
      </c>
      <c r="M302" t="n">
        <v>2</v>
      </c>
      <c r="N302" t="n">
        <v>5.9</v>
      </c>
      <c r="O302" t="inlineStr">
        <is>
          <t>Direct</t>
        </is>
      </c>
      <c r="P302" t="inlineStr">
        <is>
          <t>60.3-0-2-ERW 1-FC-5.9</t>
        </is>
      </c>
    </row>
    <row r="303">
      <c r="A303" t="n">
        <v>46200</v>
      </c>
      <c r="B303" t="inlineStr">
        <is>
          <t>0000943209</t>
        </is>
      </c>
      <c r="C303" t="inlineStr">
        <is>
          <t>MEGH STEELS PRIVATE LIMITED - TVS A</t>
        </is>
      </c>
      <c r="D303" t="inlineStr">
        <is>
          <t>KG</t>
        </is>
      </c>
      <c r="E303" t="n">
        <v>127</v>
      </c>
      <c r="F303" t="n">
        <v>751.481</v>
      </c>
      <c r="G303" t="n">
        <v>2791</v>
      </c>
      <c r="H303" t="inlineStr">
        <is>
          <t>0788</t>
        </is>
      </c>
      <c r="I303" t="n">
        <v>3500391</v>
      </c>
      <c r="J303" t="inlineStr">
        <is>
          <t>TUB-O-N-AUT-AW-FC-54.00X3.000X5.910</t>
        </is>
      </c>
      <c r="K303" t="n">
        <v>54</v>
      </c>
      <c r="L303" t="n">
        <v>0</v>
      </c>
      <c r="M303" t="n">
        <v>3</v>
      </c>
      <c r="N303" t="n">
        <v>5.91</v>
      </c>
      <c r="O303" t="inlineStr">
        <is>
          <t>Direct</t>
        </is>
      </c>
    </row>
    <row r="304">
      <c r="A304" t="n">
        <v>46200</v>
      </c>
      <c r="B304" t="inlineStr">
        <is>
          <t>0000943209</t>
        </is>
      </c>
      <c r="C304" t="inlineStr">
        <is>
          <t>MEGH STEELS PRIVATE LIMITED - TVS A</t>
        </is>
      </c>
      <c r="D304" t="inlineStr">
        <is>
          <t>KG</t>
        </is>
      </c>
      <c r="E304" t="n">
        <v>127</v>
      </c>
      <c r="F304" t="n">
        <v>751.481</v>
      </c>
      <c r="G304" t="n">
        <v>2791</v>
      </c>
      <c r="H304" t="inlineStr">
        <is>
          <t>0788</t>
        </is>
      </c>
      <c r="I304" t="n">
        <v>3500391</v>
      </c>
      <c r="J304" t="inlineStr">
        <is>
          <t>TUB-O-N-AUT-AW-FC-54.00X3.000X5.910</t>
        </is>
      </c>
      <c r="K304" t="n">
        <v>54</v>
      </c>
      <c r="L304" t="n">
        <v>0</v>
      </c>
      <c r="M304" t="n">
        <v>3</v>
      </c>
      <c r="N304" t="n">
        <v>5.91</v>
      </c>
      <c r="O304" t="inlineStr">
        <is>
          <t>Direct</t>
        </is>
      </c>
    </row>
    <row r="305">
      <c r="A305" t="n">
        <v>46200</v>
      </c>
      <c r="B305" t="inlineStr">
        <is>
          <t>0000943209</t>
        </is>
      </c>
      <c r="C305" t="inlineStr">
        <is>
          <t>MEGH STEELS PRIVATE LIMITED - TVS A</t>
        </is>
      </c>
      <c r="D305" t="inlineStr">
        <is>
          <t>KG</t>
        </is>
      </c>
      <c r="E305" t="n">
        <v>127</v>
      </c>
      <c r="F305" t="n">
        <v>751.75</v>
      </c>
      <c r="G305" t="n">
        <v>2792</v>
      </c>
      <c r="H305" t="inlineStr">
        <is>
          <t>0788</t>
        </is>
      </c>
      <c r="I305" t="n">
        <v>3500391</v>
      </c>
      <c r="J305" t="inlineStr">
        <is>
          <t>TUB-O-N-AUT-AW-FC-54.00X3.000X5.910</t>
        </is>
      </c>
      <c r="K305" t="n">
        <v>54</v>
      </c>
      <c r="L305" t="n">
        <v>0</v>
      </c>
      <c r="M305" t="n">
        <v>3</v>
      </c>
      <c r="N305" t="n">
        <v>5.91</v>
      </c>
      <c r="O305" t="inlineStr">
        <is>
          <t>Direct</t>
        </is>
      </c>
    </row>
    <row r="306">
      <c r="A306" t="n">
        <v>46199</v>
      </c>
      <c r="B306" t="inlineStr">
        <is>
          <t>0000943209</t>
        </is>
      </c>
      <c r="C306" t="inlineStr">
        <is>
          <t>MEGH STEELS PRIVATE LIMITED - TVS A</t>
        </is>
      </c>
      <c r="D306" t="inlineStr">
        <is>
          <t>KG</t>
        </is>
      </c>
      <c r="E306" t="n">
        <v>123</v>
      </c>
      <c r="F306" t="n">
        <v>727.787</v>
      </c>
      <c r="G306" t="n">
        <v>2703</v>
      </c>
      <c r="H306" t="inlineStr">
        <is>
          <t>0788</t>
        </is>
      </c>
      <c r="I306" t="n">
        <v>3500391</v>
      </c>
      <c r="J306" t="inlineStr">
        <is>
          <t>TUB-O-N-AUT-AW-FC-54.00X3.000X5.910</t>
        </is>
      </c>
      <c r="K306" t="n">
        <v>54</v>
      </c>
      <c r="L306" t="n">
        <v>0</v>
      </c>
      <c r="M306" t="n">
        <v>3</v>
      </c>
      <c r="N306" t="n">
        <v>5.91</v>
      </c>
      <c r="O306" t="inlineStr">
        <is>
          <t>Direct</t>
        </is>
      </c>
    </row>
    <row r="307">
      <c r="A307" t="n">
        <v>46199</v>
      </c>
      <c r="B307" t="inlineStr">
        <is>
          <t>0000943209</t>
        </is>
      </c>
      <c r="C307" t="inlineStr">
        <is>
          <t>MEGH STEELS PRIVATE LIMITED - TVS A</t>
        </is>
      </c>
      <c r="D307" t="inlineStr">
        <is>
          <t>KG</t>
        </is>
      </c>
      <c r="E307" t="n">
        <v>121</v>
      </c>
      <c r="F307" t="n">
        <v>715.67</v>
      </c>
      <c r="G307" t="n">
        <v>2658</v>
      </c>
      <c r="H307" t="inlineStr">
        <is>
          <t>0788</t>
        </is>
      </c>
      <c r="I307" t="n">
        <v>3500391</v>
      </c>
      <c r="J307" t="inlineStr">
        <is>
          <t>TUB-O-N-AUT-AW-FC-54.00X3.000X5.910</t>
        </is>
      </c>
      <c r="K307" t="n">
        <v>54</v>
      </c>
      <c r="L307" t="n">
        <v>0</v>
      </c>
      <c r="M307" t="n">
        <v>3</v>
      </c>
      <c r="N307" t="n">
        <v>5.91</v>
      </c>
      <c r="O307" t="inlineStr">
        <is>
          <t>Direct</t>
        </is>
      </c>
    </row>
    <row r="308">
      <c r="A308" t="n">
        <v>46199</v>
      </c>
      <c r="B308" t="inlineStr">
        <is>
          <t>0000943209</t>
        </is>
      </c>
      <c r="C308" t="inlineStr">
        <is>
          <t>MEGH STEELS PRIVATE LIMITED - TVS A</t>
        </is>
      </c>
      <c r="D308" t="inlineStr">
        <is>
          <t>KG</t>
        </is>
      </c>
      <c r="E308" t="n">
        <v>127</v>
      </c>
      <c r="F308" t="n">
        <v>751.75</v>
      </c>
      <c r="G308" t="n">
        <v>2792</v>
      </c>
      <c r="H308" t="inlineStr">
        <is>
          <t>0788</t>
        </is>
      </c>
      <c r="I308" t="n">
        <v>3500391</v>
      </c>
      <c r="J308" t="inlineStr">
        <is>
          <t>TUB-O-N-AUT-AW-FC-54.00X3.000X5.910</t>
        </is>
      </c>
      <c r="K308" t="n">
        <v>54</v>
      </c>
      <c r="L308" t="n">
        <v>0</v>
      </c>
      <c r="M308" t="n">
        <v>3</v>
      </c>
      <c r="N308" t="n">
        <v>5.91</v>
      </c>
      <c r="O308" t="inlineStr">
        <is>
          <t>Direct</t>
        </is>
      </c>
    </row>
    <row r="309">
      <c r="A309" t="n">
        <v>46200</v>
      </c>
      <c r="B309" t="inlineStr">
        <is>
          <t>0000943209</t>
        </is>
      </c>
      <c r="C309" t="inlineStr">
        <is>
          <t>MEGH STEELS PRIVATE LIMITED - TVS A</t>
        </is>
      </c>
      <c r="D309" t="inlineStr">
        <is>
          <t>KG</t>
        </is>
      </c>
      <c r="E309" t="n">
        <v>126</v>
      </c>
      <c r="F309" t="n">
        <v>745.827</v>
      </c>
      <c r="G309" t="n">
        <v>2770</v>
      </c>
      <c r="H309" t="inlineStr">
        <is>
          <t>0788</t>
        </is>
      </c>
      <c r="I309" t="n">
        <v>3500391</v>
      </c>
      <c r="J309" t="inlineStr">
        <is>
          <t>TUB-O-N-AUT-AW-FC-54.00X3.000X5.910</t>
        </is>
      </c>
      <c r="K309" t="n">
        <v>54</v>
      </c>
      <c r="L309" t="n">
        <v>0</v>
      </c>
      <c r="M309" t="n">
        <v>3</v>
      </c>
      <c r="N309" t="n">
        <v>5.91</v>
      </c>
      <c r="O309" t="inlineStr">
        <is>
          <t>Direct</t>
        </is>
      </c>
    </row>
    <row r="310">
      <c r="A310" t="n">
        <v>46200</v>
      </c>
      <c r="B310" t="inlineStr">
        <is>
          <t>0000943209</t>
        </is>
      </c>
      <c r="C310" t="inlineStr">
        <is>
          <t>MEGH STEELS PRIVATE LIMITED - TVS A</t>
        </is>
      </c>
      <c r="D310" t="inlineStr">
        <is>
          <t>KG</t>
        </is>
      </c>
      <c r="E310" t="n">
        <v>117</v>
      </c>
      <c r="F310" t="n">
        <v>691.707</v>
      </c>
      <c r="G310" t="n">
        <v>2569</v>
      </c>
      <c r="H310" t="inlineStr">
        <is>
          <t>0788</t>
        </is>
      </c>
      <c r="I310" t="n">
        <v>3500391</v>
      </c>
      <c r="J310" t="inlineStr">
        <is>
          <t>TUB-O-N-AUT-AW-FC-54.00X3.000X5.910</t>
        </is>
      </c>
      <c r="K310" t="n">
        <v>54</v>
      </c>
      <c r="L310" t="n">
        <v>0</v>
      </c>
      <c r="M310" t="n">
        <v>3</v>
      </c>
      <c r="N310" t="n">
        <v>5.91</v>
      </c>
      <c r="O310" t="inlineStr">
        <is>
          <t>Direct</t>
        </is>
      </c>
    </row>
    <row r="311">
      <c r="A311" t="n">
        <v>46200</v>
      </c>
      <c r="B311" t="inlineStr">
        <is>
          <t>0000943209</t>
        </is>
      </c>
      <c r="C311" t="inlineStr">
        <is>
          <t>MEGH STEELS PRIVATE LIMITED - TVS A</t>
        </is>
      </c>
      <c r="D311" t="inlineStr">
        <is>
          <t>KG</t>
        </is>
      </c>
      <c r="E311" t="n">
        <v>127</v>
      </c>
      <c r="F311" t="n">
        <v>751.75</v>
      </c>
      <c r="G311" t="n">
        <v>2792</v>
      </c>
      <c r="H311" t="inlineStr">
        <is>
          <t>0788</t>
        </is>
      </c>
      <c r="I311" t="n">
        <v>3500391</v>
      </c>
      <c r="J311" t="inlineStr">
        <is>
          <t>TUB-O-N-AUT-AW-FC-54.00X3.000X5.910</t>
        </is>
      </c>
      <c r="K311" t="n">
        <v>54</v>
      </c>
      <c r="L311" t="n">
        <v>0</v>
      </c>
      <c r="M311" t="n">
        <v>3</v>
      </c>
      <c r="N311" t="n">
        <v>5.91</v>
      </c>
      <c r="O311" t="inlineStr">
        <is>
          <t>Direct</t>
        </is>
      </c>
    </row>
    <row r="312">
      <c r="A312" t="n">
        <v>46197</v>
      </c>
      <c r="B312" t="inlineStr">
        <is>
          <t>0000943210</t>
        </is>
      </c>
      <c r="C312" t="inlineStr">
        <is>
          <t>MEGH STEELS PRIVATE LIMITED - HMSIL</t>
        </is>
      </c>
      <c r="D312" t="inlineStr">
        <is>
          <t>KG</t>
        </is>
      </c>
      <c r="E312" t="n">
        <v>176</v>
      </c>
      <c r="F312" t="n">
        <v>1047.96</v>
      </c>
      <c r="G312" t="n">
        <v>1700</v>
      </c>
      <c r="H312" t="inlineStr">
        <is>
          <t>0789</t>
        </is>
      </c>
      <c r="I312" t="n">
        <v>3929637</v>
      </c>
      <c r="J312" t="inlineStr">
        <is>
          <t>TUB-O-N-AUT-AW-FC-42.70X1.600X5.9400</t>
        </is>
      </c>
      <c r="K312" t="n">
        <v>42.7</v>
      </c>
      <c r="L312" t="n">
        <v>0</v>
      </c>
      <c r="M312" t="n">
        <v>1.6</v>
      </c>
      <c r="N312" t="n">
        <v>5.94</v>
      </c>
      <c r="O312" t="inlineStr">
        <is>
          <t>Direct</t>
        </is>
      </c>
    </row>
    <row r="313">
      <c r="A313" t="n">
        <v>46197</v>
      </c>
      <c r="B313" t="inlineStr">
        <is>
          <t>0000943210</t>
        </is>
      </c>
      <c r="C313" t="inlineStr">
        <is>
          <t>MEGH STEELS PRIVATE LIMITED - HMSIL</t>
        </is>
      </c>
      <c r="D313" t="inlineStr">
        <is>
          <t>KG</t>
        </is>
      </c>
      <c r="E313" t="n">
        <v>225</v>
      </c>
      <c r="F313" t="n">
        <v>1333.991</v>
      </c>
      <c r="G313" t="n">
        <v>2164</v>
      </c>
      <c r="H313" t="inlineStr">
        <is>
          <t>0789</t>
        </is>
      </c>
      <c r="I313" t="n">
        <v>3929637</v>
      </c>
      <c r="J313" t="inlineStr">
        <is>
          <t>TUB-O-N-AUT-AW-FC-42.70X1.600X5.9400</t>
        </is>
      </c>
      <c r="K313" t="n">
        <v>42.7</v>
      </c>
      <c r="L313" t="n">
        <v>0</v>
      </c>
      <c r="M313" t="n">
        <v>1.6</v>
      </c>
      <c r="N313" t="n">
        <v>5.94</v>
      </c>
      <c r="O313" t="inlineStr">
        <is>
          <t>Direct</t>
        </is>
      </c>
    </row>
    <row r="314">
      <c r="A314" t="n">
        <v>46175</v>
      </c>
      <c r="B314" t="inlineStr">
        <is>
          <t>0000943210</t>
        </is>
      </c>
      <c r="C314" t="inlineStr">
        <is>
          <t>MEGH STEELS PRIVATE LIMITED - HMSIL</t>
        </is>
      </c>
      <c r="D314" t="inlineStr">
        <is>
          <t>KG</t>
        </is>
      </c>
      <c r="E314" t="n">
        <v>50</v>
      </c>
      <c r="F314" t="n">
        <v>295.894</v>
      </c>
      <c r="G314" t="n">
        <v>480</v>
      </c>
      <c r="H314" t="inlineStr">
        <is>
          <t>0789</t>
        </is>
      </c>
      <c r="I314" t="n">
        <v>3929637</v>
      </c>
      <c r="J314" t="inlineStr">
        <is>
          <t>TUB-O-N-AUT-AW-FC-42.70X1.600X5.9400</t>
        </is>
      </c>
      <c r="K314" t="n">
        <v>42.7</v>
      </c>
      <c r="L314" t="n">
        <v>0</v>
      </c>
      <c r="M314" t="n">
        <v>1.6</v>
      </c>
      <c r="N314" t="n">
        <v>5.94</v>
      </c>
      <c r="O314" t="inlineStr">
        <is>
          <t>Direct</t>
        </is>
      </c>
    </row>
    <row r="315">
      <c r="A315" t="n">
        <v>46175</v>
      </c>
      <c r="B315" t="inlineStr">
        <is>
          <t>0000943210</t>
        </is>
      </c>
      <c r="C315" t="inlineStr">
        <is>
          <t>MEGH STEELS PRIVATE LIMITED - HMSIL</t>
        </is>
      </c>
      <c r="D315" t="inlineStr">
        <is>
          <t>KG</t>
        </is>
      </c>
      <c r="E315" t="n">
        <v>233</v>
      </c>
      <c r="F315" t="n">
        <v>1383.923</v>
      </c>
      <c r="G315" t="n">
        <v>2245</v>
      </c>
      <c r="H315" t="inlineStr">
        <is>
          <t>0789</t>
        </is>
      </c>
      <c r="I315" t="n">
        <v>3929637</v>
      </c>
      <c r="J315" t="inlineStr">
        <is>
          <t>TUB-O-N-AUT-AW-FC-42.70X1.600X5.9400</t>
        </is>
      </c>
      <c r="K315" t="n">
        <v>42.7</v>
      </c>
      <c r="L315" t="n">
        <v>0</v>
      </c>
      <c r="M315" t="n">
        <v>1.6</v>
      </c>
      <c r="N315" t="n">
        <v>5.94</v>
      </c>
      <c r="O315" t="inlineStr">
        <is>
          <t>Direct</t>
        </is>
      </c>
    </row>
    <row r="316">
      <c r="A316" t="n">
        <v>46175</v>
      </c>
      <c r="B316" t="inlineStr">
        <is>
          <t>0000943210</t>
        </is>
      </c>
      <c r="C316" t="inlineStr">
        <is>
          <t>MEGH STEELS PRIVATE LIMITED - HMSIL</t>
        </is>
      </c>
      <c r="D316" t="inlineStr">
        <is>
          <t>KG</t>
        </is>
      </c>
      <c r="E316" t="n">
        <v>236</v>
      </c>
      <c r="F316" t="n">
        <v>1402.416</v>
      </c>
      <c r="G316" t="n">
        <v>2275</v>
      </c>
      <c r="H316" t="inlineStr">
        <is>
          <t>0789</t>
        </is>
      </c>
      <c r="I316" t="n">
        <v>3929637</v>
      </c>
      <c r="J316" t="inlineStr">
        <is>
          <t>TUB-O-N-AUT-AW-FC-42.70X1.600X5.9400</t>
        </is>
      </c>
      <c r="K316" t="n">
        <v>42.7</v>
      </c>
      <c r="L316" t="n">
        <v>0</v>
      </c>
      <c r="M316" t="n">
        <v>1.6</v>
      </c>
      <c r="N316" t="n">
        <v>5.94</v>
      </c>
      <c r="O316" t="inlineStr">
        <is>
          <t>Direct</t>
        </is>
      </c>
    </row>
    <row r="317">
      <c r="A317" t="n">
        <v>46175</v>
      </c>
      <c r="B317" t="inlineStr">
        <is>
          <t>0000943210</t>
        </is>
      </c>
      <c r="C317" t="inlineStr">
        <is>
          <t>MEGH STEELS PRIVATE LIMITED - HMSIL</t>
        </is>
      </c>
      <c r="D317" t="inlineStr">
        <is>
          <t>KG</t>
        </is>
      </c>
      <c r="E317" t="n">
        <v>226</v>
      </c>
      <c r="F317" t="n">
        <v>1342.621</v>
      </c>
      <c r="G317" t="n">
        <v>2178</v>
      </c>
      <c r="H317" t="inlineStr">
        <is>
          <t>0789</t>
        </is>
      </c>
      <c r="I317" t="n">
        <v>3929637</v>
      </c>
      <c r="J317" t="inlineStr">
        <is>
          <t>TUB-O-N-AUT-AW-FC-42.70X1.600X5.9400</t>
        </is>
      </c>
      <c r="K317" t="n">
        <v>42.7</v>
      </c>
      <c r="L317" t="n">
        <v>0</v>
      </c>
      <c r="M317" t="n">
        <v>1.6</v>
      </c>
      <c r="N317" t="n">
        <v>5.94</v>
      </c>
      <c r="O317" t="inlineStr">
        <is>
          <t>Direct</t>
        </is>
      </c>
    </row>
    <row r="318">
      <c r="A318" t="n">
        <v>46175</v>
      </c>
      <c r="B318" t="inlineStr">
        <is>
          <t>0000943210</t>
        </is>
      </c>
      <c r="C318" t="inlineStr">
        <is>
          <t>MEGH STEELS PRIVATE LIMITED - HMSIL</t>
        </is>
      </c>
      <c r="D318" t="inlineStr">
        <is>
          <t>KG</t>
        </is>
      </c>
      <c r="E318" t="n">
        <v>220</v>
      </c>
      <c r="F318" t="n">
        <v>1306.867</v>
      </c>
      <c r="G318" t="n">
        <v>2120</v>
      </c>
      <c r="H318" t="inlineStr">
        <is>
          <t>0789</t>
        </is>
      </c>
      <c r="I318" t="n">
        <v>3929637</v>
      </c>
      <c r="J318" t="inlineStr">
        <is>
          <t>TUB-O-N-AUT-AW-FC-42.70X1.600X5.9400</t>
        </is>
      </c>
      <c r="K318" t="n">
        <v>42.7</v>
      </c>
      <c r="L318" t="n">
        <v>0</v>
      </c>
      <c r="M318" t="n">
        <v>1.6</v>
      </c>
      <c r="N318" t="n">
        <v>5.94</v>
      </c>
      <c r="O318" t="inlineStr">
        <is>
          <t>Direct</t>
        </is>
      </c>
    </row>
    <row r="319">
      <c r="A319" t="n">
        <v>46175</v>
      </c>
      <c r="B319" t="inlineStr">
        <is>
          <t>0000943210</t>
        </is>
      </c>
      <c r="C319" t="inlineStr">
        <is>
          <t>MEGH STEELS PRIVATE LIMITED - HMSIL</t>
        </is>
      </c>
      <c r="D319" t="inlineStr">
        <is>
          <t>KG</t>
        </is>
      </c>
      <c r="E319" t="n">
        <v>17</v>
      </c>
      <c r="F319" t="n">
        <v>102.33</v>
      </c>
      <c r="G319" t="n">
        <v>166</v>
      </c>
      <c r="H319" t="inlineStr">
        <is>
          <t>0789</t>
        </is>
      </c>
      <c r="I319" t="n">
        <v>3929637</v>
      </c>
      <c r="J319" t="inlineStr">
        <is>
          <t>TUB-O-N-AUT-AW-FC-42.70X1.600X5.9400</t>
        </is>
      </c>
      <c r="K319" t="n">
        <v>42.7</v>
      </c>
      <c r="L319" t="n">
        <v>0</v>
      </c>
      <c r="M319" t="n">
        <v>1.6</v>
      </c>
      <c r="N319" t="n">
        <v>5.94</v>
      </c>
      <c r="O319" t="inlineStr">
        <is>
          <t>Direct</t>
        </is>
      </c>
    </row>
    <row r="320">
      <c r="A320" t="n">
        <v>46175</v>
      </c>
      <c r="B320" t="inlineStr">
        <is>
          <t>0000943210</t>
        </is>
      </c>
      <c r="C320" t="inlineStr">
        <is>
          <t>MEGH STEELS PRIVATE LIMITED - HMSIL</t>
        </is>
      </c>
      <c r="D320" t="inlineStr">
        <is>
          <t>KG</t>
        </is>
      </c>
      <c r="E320" t="n">
        <v>116</v>
      </c>
      <c r="F320" t="n">
        <v>689.804</v>
      </c>
      <c r="G320" t="n">
        <v>1119</v>
      </c>
      <c r="H320" t="inlineStr">
        <is>
          <t>0789</t>
        </is>
      </c>
      <c r="I320" t="n">
        <v>3929637</v>
      </c>
      <c r="J320" t="inlineStr">
        <is>
          <t>TUB-O-N-AUT-AW-FC-42.70X1.600X5.9400</t>
        </is>
      </c>
      <c r="K320" t="n">
        <v>42.7</v>
      </c>
      <c r="L320" t="n">
        <v>0</v>
      </c>
      <c r="M320" t="n">
        <v>1.6</v>
      </c>
      <c r="N320" t="n">
        <v>5.94</v>
      </c>
      <c r="O320" t="inlineStr">
        <is>
          <t>Direct</t>
        </is>
      </c>
    </row>
    <row r="321">
      <c r="A321" t="n">
        <v>46175</v>
      </c>
      <c r="B321" t="inlineStr">
        <is>
          <t>0000943210</t>
        </is>
      </c>
      <c r="C321" t="inlineStr">
        <is>
          <t>MEGH STEELS PRIVATE LIMITED - HMSIL</t>
        </is>
      </c>
      <c r="D321" t="inlineStr">
        <is>
          <t>KG</t>
        </is>
      </c>
      <c r="E321" t="n">
        <v>116</v>
      </c>
      <c r="F321" t="n">
        <v>689.188</v>
      </c>
      <c r="G321" t="n">
        <v>1118</v>
      </c>
      <c r="H321" t="inlineStr">
        <is>
          <t>0789</t>
        </is>
      </c>
      <c r="I321" t="n">
        <v>3929637</v>
      </c>
      <c r="J321" t="inlineStr">
        <is>
          <t>TUB-O-N-AUT-AW-FC-42.70X1.600X5.9400</t>
        </is>
      </c>
      <c r="K321" t="n">
        <v>42.7</v>
      </c>
      <c r="L321" t="n">
        <v>0</v>
      </c>
      <c r="M321" t="n">
        <v>1.6</v>
      </c>
      <c r="N321" t="n">
        <v>5.94</v>
      </c>
      <c r="O321" t="inlineStr">
        <is>
          <t>Direct</t>
        </is>
      </c>
    </row>
    <row r="322">
      <c r="A322" t="n">
        <v>46191</v>
      </c>
      <c r="B322" t="inlineStr">
        <is>
          <t>0000943209</t>
        </is>
      </c>
      <c r="C322" t="inlineStr">
        <is>
          <t>MEGH STEELS PRIVATE LIMITED - TVS A</t>
        </is>
      </c>
      <c r="D322" t="inlineStr">
        <is>
          <t>KG</t>
        </is>
      </c>
      <c r="E322" t="n">
        <v>460</v>
      </c>
      <c r="F322" t="n">
        <v>2737.452</v>
      </c>
      <c r="G322" t="n">
        <v>2665.792</v>
      </c>
      <c r="H322" t="inlineStr">
        <is>
          <t>056</t>
        </is>
      </c>
      <c r="I322" t="n">
        <v>3905466</v>
      </c>
      <c r="J322" t="inlineStr">
        <is>
          <t>TUB-O-N-AUT-AW-PE-22.20X2.000X5.9510</t>
        </is>
      </c>
      <c r="K322" t="n">
        <v>22.2</v>
      </c>
      <c r="L322" t="n">
        <v>0</v>
      </c>
      <c r="M322" t="n">
        <v>2</v>
      </c>
      <c r="N322" t="n">
        <v>5.951</v>
      </c>
      <c r="O322" t="inlineStr">
        <is>
          <t>Direct</t>
        </is>
      </c>
      <c r="P322" t="inlineStr">
        <is>
          <t>22.23-0-2-ERW 1-PE-5.951</t>
        </is>
      </c>
    </row>
    <row r="323">
      <c r="A323" t="n">
        <v>46191</v>
      </c>
      <c r="B323" t="inlineStr">
        <is>
          <t>0000943209</t>
        </is>
      </c>
      <c r="C323" t="inlineStr">
        <is>
          <t>MEGH STEELS PRIVATE LIMITED - TVS A</t>
        </is>
      </c>
      <c r="D323" t="inlineStr">
        <is>
          <t>KG</t>
        </is>
      </c>
      <c r="E323" t="n">
        <v>427</v>
      </c>
      <c r="F323" t="n">
        <v>2541.069</v>
      </c>
      <c r="G323" t="n">
        <v>2474.549</v>
      </c>
      <c r="H323" t="inlineStr">
        <is>
          <t>056</t>
        </is>
      </c>
      <c r="I323" t="n">
        <v>3905466</v>
      </c>
      <c r="J323" t="inlineStr">
        <is>
          <t>TUB-O-N-AUT-AW-PE-22.20X2.000X5.9510</t>
        </is>
      </c>
      <c r="K323" t="n">
        <v>22.2</v>
      </c>
      <c r="L323" t="n">
        <v>0</v>
      </c>
      <c r="M323" t="n">
        <v>2</v>
      </c>
      <c r="N323" t="n">
        <v>5.951</v>
      </c>
      <c r="O323" t="inlineStr">
        <is>
          <t>Direct</t>
        </is>
      </c>
      <c r="P323" t="inlineStr">
        <is>
          <t>22.23-0-2-ERW 1-PE-5.951</t>
        </is>
      </c>
    </row>
    <row r="324">
      <c r="A324" t="n">
        <v>46195</v>
      </c>
      <c r="B324" t="inlineStr">
        <is>
          <t>0000943209</t>
        </is>
      </c>
      <c r="C324" t="inlineStr">
        <is>
          <t>MEGH STEELS PRIVATE LIMITED - TVS A</t>
        </is>
      </c>
      <c r="D324" t="inlineStr">
        <is>
          <t>KG</t>
        </is>
      </c>
      <c r="E324" t="n">
        <v>419</v>
      </c>
      <c r="F324" t="n">
        <v>2493.462</v>
      </c>
      <c r="G324" t="n">
        <v>2428.189</v>
      </c>
      <c r="H324" t="inlineStr">
        <is>
          <t>056</t>
        </is>
      </c>
      <c r="I324" t="n">
        <v>3905466</v>
      </c>
      <c r="J324" t="inlineStr">
        <is>
          <t>TUB-O-N-AUT-AW-PE-22.20X2.000X5.9510</t>
        </is>
      </c>
      <c r="K324" t="n">
        <v>22.2</v>
      </c>
      <c r="L324" t="n">
        <v>0</v>
      </c>
      <c r="M324" t="n">
        <v>2</v>
      </c>
      <c r="N324" t="n">
        <v>5.951</v>
      </c>
      <c r="O324" t="inlineStr">
        <is>
          <t>Direct</t>
        </is>
      </c>
      <c r="P324" t="inlineStr">
        <is>
          <t>22.23-0-2-ERW 1-PE-5.951</t>
        </is>
      </c>
    </row>
    <row r="325">
      <c r="A325" t="n">
        <v>46191</v>
      </c>
      <c r="B325" t="inlineStr">
        <is>
          <t>0000943209</t>
        </is>
      </c>
      <c r="C325" t="inlineStr">
        <is>
          <t>MEGH STEELS PRIVATE LIMITED - TVS A</t>
        </is>
      </c>
      <c r="D325" t="inlineStr">
        <is>
          <t>KG</t>
        </is>
      </c>
      <c r="E325" t="n">
        <v>422</v>
      </c>
      <c r="F325" t="n">
        <v>2511.315</v>
      </c>
      <c r="G325" t="n">
        <v>2445.574</v>
      </c>
      <c r="H325" t="inlineStr">
        <is>
          <t>056</t>
        </is>
      </c>
      <c r="I325" t="n">
        <v>3905466</v>
      </c>
      <c r="J325" t="inlineStr">
        <is>
          <t>TUB-O-N-AUT-AW-PE-22.20X2.000X5.9510</t>
        </is>
      </c>
      <c r="K325" t="n">
        <v>22.2</v>
      </c>
      <c r="L325" t="n">
        <v>0</v>
      </c>
      <c r="M325" t="n">
        <v>2</v>
      </c>
      <c r="N325" t="n">
        <v>5.951</v>
      </c>
      <c r="O325" t="inlineStr">
        <is>
          <t>Direct</t>
        </is>
      </c>
      <c r="P325" t="inlineStr">
        <is>
          <t>22.23-0-2-ERW 1-PE-5.951</t>
        </is>
      </c>
    </row>
    <row r="326">
      <c r="A326" t="n">
        <v>46196</v>
      </c>
      <c r="B326" t="inlineStr">
        <is>
          <t>0000943209</t>
        </is>
      </c>
      <c r="C326" t="inlineStr">
        <is>
          <t>MEGH STEELS PRIVATE LIMITED - TVS A</t>
        </is>
      </c>
      <c r="D326" t="inlineStr">
        <is>
          <t>KG</t>
        </is>
      </c>
      <c r="E326" t="n">
        <v>420</v>
      </c>
      <c r="F326" t="n">
        <v>2499.413</v>
      </c>
      <c r="G326" t="n">
        <v>2433.984</v>
      </c>
      <c r="H326" t="inlineStr">
        <is>
          <t>056</t>
        </is>
      </c>
      <c r="I326" t="n">
        <v>3905466</v>
      </c>
      <c r="J326" t="inlineStr">
        <is>
          <t>TUB-O-N-AUT-AW-PE-22.20X2.000X5.9510</t>
        </is>
      </c>
      <c r="K326" t="n">
        <v>22.2</v>
      </c>
      <c r="L326" t="n">
        <v>0</v>
      </c>
      <c r="M326" t="n">
        <v>2</v>
      </c>
      <c r="N326" t="n">
        <v>5.951</v>
      </c>
      <c r="O326" t="inlineStr">
        <is>
          <t>Direct</t>
        </is>
      </c>
      <c r="P326" t="inlineStr">
        <is>
          <t>22.23-0-2-ERW 1-PE-5.951</t>
        </is>
      </c>
    </row>
    <row r="327">
      <c r="A327" t="n">
        <v>46195</v>
      </c>
      <c r="B327" t="inlineStr">
        <is>
          <t>0000943209</t>
        </is>
      </c>
      <c r="C327" t="inlineStr">
        <is>
          <t>MEGH STEELS PRIVATE LIMITED - TVS A</t>
        </is>
      </c>
      <c r="D327" t="inlineStr">
        <is>
          <t>KG</t>
        </is>
      </c>
      <c r="E327" t="n">
        <v>419</v>
      </c>
      <c r="F327" t="n">
        <v>2493.462</v>
      </c>
      <c r="G327" t="n">
        <v>2428.189</v>
      </c>
      <c r="H327" t="inlineStr">
        <is>
          <t>056</t>
        </is>
      </c>
      <c r="I327" t="n">
        <v>3905466</v>
      </c>
      <c r="J327" t="inlineStr">
        <is>
          <t>TUB-O-N-AUT-AW-PE-22.20X2.000X5.9510</t>
        </is>
      </c>
      <c r="K327" t="n">
        <v>22.2</v>
      </c>
      <c r="L327" t="n">
        <v>0</v>
      </c>
      <c r="M327" t="n">
        <v>2</v>
      </c>
      <c r="N327" t="n">
        <v>5.951</v>
      </c>
      <c r="O327" t="inlineStr">
        <is>
          <t>Direct</t>
        </is>
      </c>
      <c r="P327" t="inlineStr">
        <is>
          <t>22.23-0-2-ERW 1-PE-5.951</t>
        </is>
      </c>
    </row>
    <row r="328">
      <c r="A328" t="n">
        <v>46196</v>
      </c>
      <c r="B328" t="inlineStr">
        <is>
          <t>0000943209</t>
        </is>
      </c>
      <c r="C328" t="inlineStr">
        <is>
          <t>MEGH STEELS PRIVATE LIMITED - TVS A</t>
        </is>
      </c>
      <c r="D328" t="inlineStr">
        <is>
          <t>KG</t>
        </is>
      </c>
      <c r="E328" t="n">
        <v>420</v>
      </c>
      <c r="F328" t="n">
        <v>2499.413</v>
      </c>
      <c r="G328" t="n">
        <v>2433.984</v>
      </c>
      <c r="H328" t="inlineStr">
        <is>
          <t>056</t>
        </is>
      </c>
      <c r="I328" t="n">
        <v>3905466</v>
      </c>
      <c r="J328" t="inlineStr">
        <is>
          <t>TUB-O-N-AUT-AW-PE-22.20X2.000X5.9510</t>
        </is>
      </c>
      <c r="K328" t="n">
        <v>22.2</v>
      </c>
      <c r="L328" t="n">
        <v>0</v>
      </c>
      <c r="M328" t="n">
        <v>2</v>
      </c>
      <c r="N328" t="n">
        <v>5.951</v>
      </c>
      <c r="O328" t="inlineStr">
        <is>
          <t>Direct</t>
        </is>
      </c>
      <c r="P328" t="inlineStr">
        <is>
          <t>22.23-0-2-ERW 1-PE-5.951</t>
        </is>
      </c>
    </row>
    <row r="329">
      <c r="A329" t="n">
        <v>46195</v>
      </c>
      <c r="B329" t="inlineStr">
        <is>
          <t>0000943209</t>
        </is>
      </c>
      <c r="C329" t="inlineStr">
        <is>
          <t>MEGH STEELS PRIVATE LIMITED - TVS A</t>
        </is>
      </c>
      <c r="D329" t="inlineStr">
        <is>
          <t>KG</t>
        </is>
      </c>
      <c r="E329" t="n">
        <v>419</v>
      </c>
      <c r="F329" t="n">
        <v>2493.462</v>
      </c>
      <c r="G329" t="n">
        <v>2428.189</v>
      </c>
      <c r="H329" t="inlineStr">
        <is>
          <t>056</t>
        </is>
      </c>
      <c r="I329" t="n">
        <v>3905466</v>
      </c>
      <c r="J329" t="inlineStr">
        <is>
          <t>TUB-O-N-AUT-AW-PE-22.20X2.000X5.9510</t>
        </is>
      </c>
      <c r="K329" t="n">
        <v>22.2</v>
      </c>
      <c r="L329" t="n">
        <v>0</v>
      </c>
      <c r="M329" t="n">
        <v>2</v>
      </c>
      <c r="N329" t="n">
        <v>5.951</v>
      </c>
      <c r="O329" t="inlineStr">
        <is>
          <t>Direct</t>
        </is>
      </c>
      <c r="P329" t="inlineStr">
        <is>
          <t>22.23-0-2-ERW 1-PE-5.951</t>
        </is>
      </c>
    </row>
    <row r="330">
      <c r="A330" t="n">
        <v>46195</v>
      </c>
      <c r="B330" t="inlineStr">
        <is>
          <t>0000943209</t>
        </is>
      </c>
      <c r="C330" t="inlineStr">
        <is>
          <t>MEGH STEELS PRIVATE LIMITED - TVS A</t>
        </is>
      </c>
      <c r="D330" t="inlineStr">
        <is>
          <t>KG</t>
        </is>
      </c>
      <c r="E330" t="n">
        <v>419</v>
      </c>
      <c r="F330" t="n">
        <v>2493.462</v>
      </c>
      <c r="G330" t="n">
        <v>2428.189</v>
      </c>
      <c r="H330" t="inlineStr">
        <is>
          <t>056</t>
        </is>
      </c>
      <c r="I330" t="n">
        <v>3905466</v>
      </c>
      <c r="J330" t="inlineStr">
        <is>
          <t>TUB-O-N-AUT-AW-PE-22.20X2.000X5.9510</t>
        </is>
      </c>
      <c r="K330" t="n">
        <v>22.2</v>
      </c>
      <c r="L330" t="n">
        <v>0</v>
      </c>
      <c r="M330" t="n">
        <v>2</v>
      </c>
      <c r="N330" t="n">
        <v>5.951</v>
      </c>
      <c r="O330" t="inlineStr">
        <is>
          <t>Direct</t>
        </is>
      </c>
      <c r="P330" t="inlineStr">
        <is>
          <t>22.23-0-2-ERW 1-PE-5.951</t>
        </is>
      </c>
    </row>
    <row r="331">
      <c r="A331" t="n">
        <v>46195</v>
      </c>
      <c r="B331" t="inlineStr">
        <is>
          <t>0000943209</t>
        </is>
      </c>
      <c r="C331" t="inlineStr">
        <is>
          <t>MEGH STEELS PRIVATE LIMITED - TVS A</t>
        </is>
      </c>
      <c r="D331" t="inlineStr">
        <is>
          <t>KG</t>
        </is>
      </c>
      <c r="E331" t="n">
        <v>419</v>
      </c>
      <c r="F331" t="n">
        <v>2493.462</v>
      </c>
      <c r="G331" t="n">
        <v>2428.189</v>
      </c>
      <c r="H331" t="inlineStr">
        <is>
          <t>056</t>
        </is>
      </c>
      <c r="I331" t="n">
        <v>3905466</v>
      </c>
      <c r="J331" t="inlineStr">
        <is>
          <t>TUB-O-N-AUT-AW-PE-22.20X2.000X5.9510</t>
        </is>
      </c>
      <c r="K331" t="n">
        <v>22.2</v>
      </c>
      <c r="L331" t="n">
        <v>0</v>
      </c>
      <c r="M331" t="n">
        <v>2</v>
      </c>
      <c r="N331" t="n">
        <v>5.951</v>
      </c>
      <c r="O331" t="inlineStr">
        <is>
          <t>Direct</t>
        </is>
      </c>
      <c r="P331" t="inlineStr">
        <is>
          <t>22.23-0-2-ERW 1-PE-5.951</t>
        </is>
      </c>
    </row>
    <row r="332">
      <c r="A332" t="n">
        <v>46195</v>
      </c>
      <c r="B332" t="inlineStr">
        <is>
          <t>0000943209</t>
        </is>
      </c>
      <c r="C332" t="inlineStr">
        <is>
          <t>MEGH STEELS PRIVATE LIMITED - TVS A</t>
        </is>
      </c>
      <c r="D332" t="inlineStr">
        <is>
          <t>KG</t>
        </is>
      </c>
      <c r="E332" t="n">
        <v>420</v>
      </c>
      <c r="F332" t="n">
        <v>2499.413</v>
      </c>
      <c r="G332" t="n">
        <v>2433.984</v>
      </c>
      <c r="H332" t="inlineStr">
        <is>
          <t>056</t>
        </is>
      </c>
      <c r="I332" t="n">
        <v>3905466</v>
      </c>
      <c r="J332" t="inlineStr">
        <is>
          <t>TUB-O-N-AUT-AW-PE-22.20X2.000X5.9510</t>
        </is>
      </c>
      <c r="K332" t="n">
        <v>22.2</v>
      </c>
      <c r="L332" t="n">
        <v>0</v>
      </c>
      <c r="M332" t="n">
        <v>2</v>
      </c>
      <c r="N332" t="n">
        <v>5.951</v>
      </c>
      <c r="O332" t="inlineStr">
        <is>
          <t>Direct</t>
        </is>
      </c>
      <c r="P332" t="inlineStr">
        <is>
          <t>22.23-0-2-ERW 1-PE-5.951</t>
        </is>
      </c>
    </row>
    <row r="333">
      <c r="A333" t="n">
        <v>46195</v>
      </c>
      <c r="B333" t="inlineStr">
        <is>
          <t>0000943209</t>
        </is>
      </c>
      <c r="C333" t="inlineStr">
        <is>
          <t>MEGH STEELS PRIVATE LIMITED - TVS A</t>
        </is>
      </c>
      <c r="D333" t="inlineStr">
        <is>
          <t>KG</t>
        </is>
      </c>
      <c r="E333" t="n">
        <v>420</v>
      </c>
      <c r="F333" t="n">
        <v>2499.413</v>
      </c>
      <c r="G333" t="n">
        <v>2433.984</v>
      </c>
      <c r="H333" t="inlineStr">
        <is>
          <t>056</t>
        </is>
      </c>
      <c r="I333" t="n">
        <v>3905466</v>
      </c>
      <c r="J333" t="inlineStr">
        <is>
          <t>TUB-O-N-AUT-AW-PE-22.20X2.000X5.9510</t>
        </is>
      </c>
      <c r="K333" t="n">
        <v>22.2</v>
      </c>
      <c r="L333" t="n">
        <v>0</v>
      </c>
      <c r="M333" t="n">
        <v>2</v>
      </c>
      <c r="N333" t="n">
        <v>5.951</v>
      </c>
      <c r="O333" t="inlineStr">
        <is>
          <t>Direct</t>
        </is>
      </c>
      <c r="P333" t="inlineStr">
        <is>
          <t>22.23-0-2-ERW 1-PE-5.951</t>
        </is>
      </c>
    </row>
    <row r="334">
      <c r="A334" t="n">
        <v>46195</v>
      </c>
      <c r="B334" t="inlineStr">
        <is>
          <t>0000943209</t>
        </is>
      </c>
      <c r="C334" t="inlineStr">
        <is>
          <t>MEGH STEELS PRIVATE LIMITED - TVS A</t>
        </is>
      </c>
      <c r="D334" t="inlineStr">
        <is>
          <t>KG</t>
        </is>
      </c>
      <c r="E334" t="n">
        <v>420</v>
      </c>
      <c r="F334" t="n">
        <v>2499.413</v>
      </c>
      <c r="G334" t="n">
        <v>2433.984</v>
      </c>
      <c r="H334" t="inlineStr">
        <is>
          <t>056</t>
        </is>
      </c>
      <c r="I334" t="n">
        <v>3905466</v>
      </c>
      <c r="J334" t="inlineStr">
        <is>
          <t>TUB-O-N-AUT-AW-PE-22.20X2.000X5.9510</t>
        </is>
      </c>
      <c r="K334" t="n">
        <v>22.2</v>
      </c>
      <c r="L334" t="n">
        <v>0</v>
      </c>
      <c r="M334" t="n">
        <v>2</v>
      </c>
      <c r="N334" t="n">
        <v>5.951</v>
      </c>
      <c r="O334" t="inlineStr">
        <is>
          <t>Direct</t>
        </is>
      </c>
      <c r="P334" t="inlineStr">
        <is>
          <t>22.23-0-2-ERW 1-PE-5.951</t>
        </is>
      </c>
    </row>
    <row r="335">
      <c r="A335" t="n">
        <v>46195</v>
      </c>
      <c r="B335" t="inlineStr">
        <is>
          <t>0000943209</t>
        </is>
      </c>
      <c r="C335" t="inlineStr">
        <is>
          <t>MEGH STEELS PRIVATE LIMITED - TVS A</t>
        </is>
      </c>
      <c r="D335" t="inlineStr">
        <is>
          <t>KG</t>
        </is>
      </c>
      <c r="E335" t="n">
        <v>465</v>
      </c>
      <c r="F335" t="n">
        <v>2767.207</v>
      </c>
      <c r="G335" t="n">
        <v>2694.768</v>
      </c>
      <c r="H335" t="inlineStr">
        <is>
          <t>056</t>
        </is>
      </c>
      <c r="I335" t="n">
        <v>3905466</v>
      </c>
      <c r="J335" t="inlineStr">
        <is>
          <t>TUB-O-N-AUT-AW-PE-22.20X2.000X5.9510</t>
        </is>
      </c>
      <c r="K335" t="n">
        <v>22.2</v>
      </c>
      <c r="L335" t="n">
        <v>0</v>
      </c>
      <c r="M335" t="n">
        <v>2</v>
      </c>
      <c r="N335" t="n">
        <v>5.951</v>
      </c>
      <c r="O335" t="inlineStr">
        <is>
          <t>Direct</t>
        </is>
      </c>
      <c r="P335" t="inlineStr">
        <is>
          <t>22.23-0-2-ERW 1-PE-5.951</t>
        </is>
      </c>
    </row>
    <row r="336">
      <c r="A336" t="n">
        <v>46195</v>
      </c>
      <c r="B336" t="inlineStr">
        <is>
          <t>0000943209</t>
        </is>
      </c>
      <c r="C336" t="inlineStr">
        <is>
          <t>MEGH STEELS PRIVATE LIMITED - TVS A</t>
        </is>
      </c>
      <c r="D336" t="inlineStr">
        <is>
          <t>KG</t>
        </is>
      </c>
      <c r="E336" t="n">
        <v>420</v>
      </c>
      <c r="F336" t="n">
        <v>2499.412</v>
      </c>
      <c r="G336" t="n">
        <v>2433.983</v>
      </c>
      <c r="H336" t="inlineStr">
        <is>
          <t>056</t>
        </is>
      </c>
      <c r="I336" t="n">
        <v>3905466</v>
      </c>
      <c r="J336" t="inlineStr">
        <is>
          <t>TUB-O-N-AUT-AW-PE-22.20X2.000X5.9510</t>
        </is>
      </c>
      <c r="K336" t="n">
        <v>22.2</v>
      </c>
      <c r="L336" t="n">
        <v>0</v>
      </c>
      <c r="M336" t="n">
        <v>2</v>
      </c>
      <c r="N336" t="n">
        <v>5.951</v>
      </c>
      <c r="O336" t="inlineStr">
        <is>
          <t>Direct</t>
        </is>
      </c>
      <c r="P336" t="inlineStr">
        <is>
          <t>22.23-0-2-ERW 1-PE-5.951</t>
        </is>
      </c>
    </row>
    <row r="337">
      <c r="A337" t="n">
        <v>46195</v>
      </c>
      <c r="B337" t="inlineStr">
        <is>
          <t>0000943209</t>
        </is>
      </c>
      <c r="C337" t="inlineStr">
        <is>
          <t>MEGH STEELS PRIVATE LIMITED - TVS A</t>
        </is>
      </c>
      <c r="D337" t="inlineStr">
        <is>
          <t>KG</t>
        </is>
      </c>
      <c r="E337" t="n">
        <v>419</v>
      </c>
      <c r="F337" t="n">
        <v>2493.462</v>
      </c>
      <c r="G337" t="n">
        <v>2428.189</v>
      </c>
      <c r="H337" t="inlineStr">
        <is>
          <t>056</t>
        </is>
      </c>
      <c r="I337" t="n">
        <v>3905466</v>
      </c>
      <c r="J337" t="inlineStr">
        <is>
          <t>TUB-O-N-AUT-AW-PE-22.20X2.000X5.9510</t>
        </is>
      </c>
      <c r="K337" t="n">
        <v>22.2</v>
      </c>
      <c r="L337" t="n">
        <v>0</v>
      </c>
      <c r="M337" t="n">
        <v>2</v>
      </c>
      <c r="N337" t="n">
        <v>5.951</v>
      </c>
      <c r="O337" t="inlineStr">
        <is>
          <t>Direct</t>
        </is>
      </c>
      <c r="P337" t="inlineStr">
        <is>
          <t>22.23-0-2-ERW 1-PE-5.951</t>
        </is>
      </c>
    </row>
    <row r="338">
      <c r="A338" t="n">
        <v>46191</v>
      </c>
      <c r="B338" t="inlineStr">
        <is>
          <t>0000943209</t>
        </is>
      </c>
      <c r="C338" t="inlineStr">
        <is>
          <t>MEGH STEELS PRIVATE LIMITED - TVS A</t>
        </is>
      </c>
      <c r="D338" t="inlineStr">
        <is>
          <t>KG</t>
        </is>
      </c>
      <c r="E338" t="n">
        <v>418</v>
      </c>
      <c r="F338" t="n">
        <v>2487.512</v>
      </c>
      <c r="G338" t="n">
        <v>2422.394</v>
      </c>
      <c r="H338" t="inlineStr">
        <is>
          <t>056</t>
        </is>
      </c>
      <c r="I338" t="n">
        <v>3905466</v>
      </c>
      <c r="J338" t="inlineStr">
        <is>
          <t>TUB-O-N-AUT-AW-PE-22.20X2.000X5.9510</t>
        </is>
      </c>
      <c r="K338" t="n">
        <v>22.2</v>
      </c>
      <c r="L338" t="n">
        <v>0</v>
      </c>
      <c r="M338" t="n">
        <v>2</v>
      </c>
      <c r="N338" t="n">
        <v>5.951</v>
      </c>
      <c r="O338" t="inlineStr">
        <is>
          <t>Direct</t>
        </is>
      </c>
      <c r="P338" t="inlineStr">
        <is>
          <t>22.23-0-2-ERW 1-PE-5.951</t>
        </is>
      </c>
    </row>
    <row r="339">
      <c r="A339" t="n">
        <v>46191</v>
      </c>
      <c r="B339" t="inlineStr">
        <is>
          <t>0000943209</t>
        </is>
      </c>
      <c r="C339" t="inlineStr">
        <is>
          <t>MEGH STEELS PRIVATE LIMITED - TVS A</t>
        </is>
      </c>
      <c r="D339" t="inlineStr">
        <is>
          <t>KG</t>
        </is>
      </c>
      <c r="E339" t="n">
        <v>418</v>
      </c>
      <c r="F339" t="n">
        <v>2487.512</v>
      </c>
      <c r="G339" t="n">
        <v>2422.394</v>
      </c>
      <c r="H339" t="inlineStr">
        <is>
          <t>056</t>
        </is>
      </c>
      <c r="I339" t="n">
        <v>3905466</v>
      </c>
      <c r="J339" t="inlineStr">
        <is>
          <t>TUB-O-N-AUT-AW-PE-22.20X2.000X5.9510</t>
        </is>
      </c>
      <c r="K339" t="n">
        <v>22.2</v>
      </c>
      <c r="L339" t="n">
        <v>0</v>
      </c>
      <c r="M339" t="n">
        <v>2</v>
      </c>
      <c r="N339" t="n">
        <v>5.951</v>
      </c>
      <c r="O339" t="inlineStr">
        <is>
          <t>Direct</t>
        </is>
      </c>
      <c r="P339" t="inlineStr">
        <is>
          <t>22.23-0-2-ERW 1-PE-5.951</t>
        </is>
      </c>
    </row>
    <row r="340">
      <c r="A340" t="n">
        <v>46195</v>
      </c>
      <c r="B340" t="inlineStr">
        <is>
          <t>0000943209</t>
        </is>
      </c>
      <c r="C340" t="inlineStr">
        <is>
          <t>MEGH STEELS PRIVATE LIMITED - TVS A</t>
        </is>
      </c>
      <c r="D340" t="inlineStr">
        <is>
          <t>KG</t>
        </is>
      </c>
      <c r="E340" t="n">
        <v>419</v>
      </c>
      <c r="F340" t="n">
        <v>2493.462</v>
      </c>
      <c r="G340" t="n">
        <v>2428.189</v>
      </c>
      <c r="H340" t="inlineStr">
        <is>
          <t>056</t>
        </is>
      </c>
      <c r="I340" t="n">
        <v>3905466</v>
      </c>
      <c r="J340" t="inlineStr">
        <is>
          <t>TUB-O-N-AUT-AW-PE-22.20X2.000X5.9510</t>
        </is>
      </c>
      <c r="K340" t="n">
        <v>22.2</v>
      </c>
      <c r="L340" t="n">
        <v>0</v>
      </c>
      <c r="M340" t="n">
        <v>2</v>
      </c>
      <c r="N340" t="n">
        <v>5.951</v>
      </c>
      <c r="O340" t="inlineStr">
        <is>
          <t>Direct</t>
        </is>
      </c>
      <c r="P340" t="inlineStr">
        <is>
          <t>22.23-0-2-ERW 1-PE-5.951</t>
        </is>
      </c>
    </row>
    <row r="341">
      <c r="A341" t="n">
        <v>46196</v>
      </c>
      <c r="B341" t="inlineStr">
        <is>
          <t>0000943209</t>
        </is>
      </c>
      <c r="C341" t="inlineStr">
        <is>
          <t>MEGH STEELS PRIVATE LIMITED - TVS A</t>
        </is>
      </c>
      <c r="D341" t="inlineStr">
        <is>
          <t>KG</t>
        </is>
      </c>
      <c r="E341" t="n">
        <v>420</v>
      </c>
      <c r="F341" t="n">
        <v>2499.413</v>
      </c>
      <c r="G341" t="n">
        <v>2433.984</v>
      </c>
      <c r="H341" t="inlineStr">
        <is>
          <t>056</t>
        </is>
      </c>
      <c r="I341" t="n">
        <v>3905466</v>
      </c>
      <c r="J341" t="inlineStr">
        <is>
          <t>TUB-O-N-AUT-AW-PE-22.20X2.000X5.9510</t>
        </is>
      </c>
      <c r="K341" t="n">
        <v>22.2</v>
      </c>
      <c r="L341" t="n">
        <v>0</v>
      </c>
      <c r="M341" t="n">
        <v>2</v>
      </c>
      <c r="N341" t="n">
        <v>5.951</v>
      </c>
      <c r="O341" t="inlineStr">
        <is>
          <t>Direct</t>
        </is>
      </c>
      <c r="P341" t="inlineStr">
        <is>
          <t>22.23-0-2-ERW 1-PE-5.951</t>
        </is>
      </c>
    </row>
    <row r="342">
      <c r="A342" t="n">
        <v>46191</v>
      </c>
      <c r="B342" t="inlineStr">
        <is>
          <t>0000943209</t>
        </is>
      </c>
      <c r="C342" t="inlineStr">
        <is>
          <t>MEGH STEELS PRIVATE LIMITED - TVS A</t>
        </is>
      </c>
      <c r="D342" t="inlineStr">
        <is>
          <t>KG</t>
        </is>
      </c>
      <c r="E342" t="n">
        <v>419</v>
      </c>
      <c r="F342" t="n">
        <v>2493.462</v>
      </c>
      <c r="G342" t="n">
        <v>2428.189</v>
      </c>
      <c r="H342" t="inlineStr">
        <is>
          <t>056</t>
        </is>
      </c>
      <c r="I342" t="n">
        <v>3905466</v>
      </c>
      <c r="J342" t="inlineStr">
        <is>
          <t>TUB-O-N-AUT-AW-PE-22.20X2.000X5.9510</t>
        </is>
      </c>
      <c r="K342" t="n">
        <v>22.2</v>
      </c>
      <c r="L342" t="n">
        <v>0</v>
      </c>
      <c r="M342" t="n">
        <v>2</v>
      </c>
      <c r="N342" t="n">
        <v>5.951</v>
      </c>
      <c r="O342" t="inlineStr">
        <is>
          <t>Direct</t>
        </is>
      </c>
      <c r="P342" t="inlineStr">
        <is>
          <t>22.23-0-2-ERW 1-PE-5.951</t>
        </is>
      </c>
    </row>
    <row r="343">
      <c r="A343" t="n">
        <v>46196</v>
      </c>
      <c r="B343" t="inlineStr">
        <is>
          <t>0000943209</t>
        </is>
      </c>
      <c r="C343" t="inlineStr">
        <is>
          <t>MEGH STEELS PRIVATE LIMITED - TVS A</t>
        </is>
      </c>
      <c r="D343" t="inlineStr">
        <is>
          <t>KG</t>
        </is>
      </c>
      <c r="E343" t="n">
        <v>420</v>
      </c>
      <c r="F343" t="n">
        <v>2499.413</v>
      </c>
      <c r="G343" t="n">
        <v>2433.984</v>
      </c>
      <c r="H343" t="inlineStr">
        <is>
          <t>056</t>
        </is>
      </c>
      <c r="I343" t="n">
        <v>3905466</v>
      </c>
      <c r="J343" t="inlineStr">
        <is>
          <t>TUB-O-N-AUT-AW-PE-22.20X2.000X5.9510</t>
        </is>
      </c>
      <c r="K343" t="n">
        <v>22.2</v>
      </c>
      <c r="L343" t="n">
        <v>0</v>
      </c>
      <c r="M343" t="n">
        <v>2</v>
      </c>
      <c r="N343" t="n">
        <v>5.951</v>
      </c>
      <c r="O343" t="inlineStr">
        <is>
          <t>Direct</t>
        </is>
      </c>
      <c r="P343" t="inlineStr">
        <is>
          <t>22.23-0-2-ERW 1-PE-5.951</t>
        </is>
      </c>
    </row>
    <row r="344">
      <c r="A344" t="n">
        <v>46203</v>
      </c>
      <c r="B344" t="inlineStr">
        <is>
          <t>0000943209</t>
        </is>
      </c>
      <c r="C344" t="inlineStr">
        <is>
          <t>MEGH STEELS PRIVATE LIMITED - TVS A</t>
        </is>
      </c>
      <c r="D344" t="inlineStr">
        <is>
          <t>KG</t>
        </is>
      </c>
      <c r="E344" t="n">
        <v>420</v>
      </c>
      <c r="F344" t="n">
        <v>2499.413</v>
      </c>
      <c r="G344" t="n">
        <v>2433.984</v>
      </c>
      <c r="H344" t="inlineStr">
        <is>
          <t>056</t>
        </is>
      </c>
      <c r="I344" t="n">
        <v>3905466</v>
      </c>
      <c r="J344" t="inlineStr">
        <is>
          <t>TUB-O-N-AUT-AW-PE-22.20X2.000X5.9510</t>
        </is>
      </c>
      <c r="K344" t="n">
        <v>22.2</v>
      </c>
      <c r="L344" t="n">
        <v>0</v>
      </c>
      <c r="M344" t="n">
        <v>2</v>
      </c>
      <c r="N344" t="n">
        <v>5.951</v>
      </c>
      <c r="O344" t="inlineStr">
        <is>
          <t>Direct</t>
        </is>
      </c>
      <c r="P344" t="inlineStr">
        <is>
          <t>22.23-0-2-ERW 1-PE-5.951</t>
        </is>
      </c>
    </row>
    <row r="345">
      <c r="A345" t="n">
        <v>46191</v>
      </c>
      <c r="B345" t="inlineStr">
        <is>
          <t>0000943209</t>
        </is>
      </c>
      <c r="C345" t="inlineStr">
        <is>
          <t>MEGH STEELS PRIVATE LIMITED - TVS A</t>
        </is>
      </c>
      <c r="D345" t="inlineStr">
        <is>
          <t>KG</t>
        </is>
      </c>
      <c r="E345" t="n">
        <v>420</v>
      </c>
      <c r="F345" t="n">
        <v>2499.413</v>
      </c>
      <c r="G345" t="n">
        <v>2433.984</v>
      </c>
      <c r="H345" t="inlineStr">
        <is>
          <t>056</t>
        </is>
      </c>
      <c r="I345" t="n">
        <v>3905466</v>
      </c>
      <c r="J345" t="inlineStr">
        <is>
          <t>TUB-O-N-AUT-AW-PE-22.20X2.000X5.9510</t>
        </is>
      </c>
      <c r="K345" t="n">
        <v>22.2</v>
      </c>
      <c r="L345" t="n">
        <v>0</v>
      </c>
      <c r="M345" t="n">
        <v>2</v>
      </c>
      <c r="N345" t="n">
        <v>5.951</v>
      </c>
      <c r="O345" t="inlineStr">
        <is>
          <t>Direct</t>
        </is>
      </c>
      <c r="P345" t="inlineStr">
        <is>
          <t>22.23-0-2-ERW 1-PE-5.951</t>
        </is>
      </c>
    </row>
    <row r="346">
      <c r="A346" t="n">
        <v>46191</v>
      </c>
      <c r="B346" t="inlineStr">
        <is>
          <t>0000943209</t>
        </is>
      </c>
      <c r="C346" t="inlineStr">
        <is>
          <t>MEGH STEELS PRIVATE LIMITED - TVS A</t>
        </is>
      </c>
      <c r="D346" t="inlineStr">
        <is>
          <t>KG</t>
        </is>
      </c>
      <c r="E346" t="n">
        <v>420</v>
      </c>
      <c r="F346" t="n">
        <v>2499.413</v>
      </c>
      <c r="G346" t="n">
        <v>2433.984</v>
      </c>
      <c r="H346" t="inlineStr">
        <is>
          <t>056</t>
        </is>
      </c>
      <c r="I346" t="n">
        <v>3905466</v>
      </c>
      <c r="J346" t="inlineStr">
        <is>
          <t>TUB-O-N-AUT-AW-PE-22.20X2.000X5.9510</t>
        </is>
      </c>
      <c r="K346" t="n">
        <v>22.2</v>
      </c>
      <c r="L346" t="n">
        <v>0</v>
      </c>
      <c r="M346" t="n">
        <v>2</v>
      </c>
      <c r="N346" t="n">
        <v>5.951</v>
      </c>
      <c r="O346" t="inlineStr">
        <is>
          <t>Direct</t>
        </is>
      </c>
      <c r="P346" t="inlineStr">
        <is>
          <t>22.23-0-2-ERW 1-PE-5.951</t>
        </is>
      </c>
    </row>
    <row r="347">
      <c r="A347" t="n">
        <v>46196</v>
      </c>
      <c r="B347" t="inlineStr">
        <is>
          <t>0000943209</t>
        </is>
      </c>
      <c r="C347" t="inlineStr">
        <is>
          <t>MEGH STEELS PRIVATE LIMITED - TVS A</t>
        </is>
      </c>
      <c r="D347" t="inlineStr">
        <is>
          <t>KG</t>
        </is>
      </c>
      <c r="E347" t="n">
        <v>411</v>
      </c>
      <c r="F347" t="n">
        <v>2445.853</v>
      </c>
      <c r="G347" t="n">
        <v>2381.826</v>
      </c>
      <c r="H347" t="inlineStr">
        <is>
          <t>056</t>
        </is>
      </c>
      <c r="I347" t="n">
        <v>3905466</v>
      </c>
      <c r="J347" t="inlineStr">
        <is>
          <t>TUB-O-N-AUT-AW-PE-22.20X2.000X5.9510</t>
        </is>
      </c>
      <c r="K347" t="n">
        <v>22.2</v>
      </c>
      <c r="L347" t="n">
        <v>0</v>
      </c>
      <c r="M347" t="n">
        <v>2</v>
      </c>
      <c r="N347" t="n">
        <v>5.951</v>
      </c>
      <c r="O347" t="inlineStr">
        <is>
          <t>Direct</t>
        </is>
      </c>
      <c r="P347" t="inlineStr">
        <is>
          <t>22.23-0-2-ERW 1-PE-5.951</t>
        </is>
      </c>
    </row>
    <row r="348">
      <c r="A348" t="n">
        <v>46196</v>
      </c>
      <c r="B348" t="inlineStr">
        <is>
          <t>0000943209</t>
        </is>
      </c>
      <c r="C348" t="inlineStr">
        <is>
          <t>MEGH STEELS PRIVATE LIMITED - TVS A</t>
        </is>
      </c>
      <c r="D348" t="inlineStr">
        <is>
          <t>KG</t>
        </is>
      </c>
      <c r="E348" t="n">
        <v>414</v>
      </c>
      <c r="F348" t="n">
        <v>2463.707</v>
      </c>
      <c r="G348" t="n">
        <v>2399.213</v>
      </c>
      <c r="H348" t="inlineStr">
        <is>
          <t>056</t>
        </is>
      </c>
      <c r="I348" t="n">
        <v>3905466</v>
      </c>
      <c r="J348" t="inlineStr">
        <is>
          <t>TUB-O-N-AUT-AW-PE-22.20X2.000X5.9510</t>
        </is>
      </c>
      <c r="K348" t="n">
        <v>22.2</v>
      </c>
      <c r="L348" t="n">
        <v>0</v>
      </c>
      <c r="M348" t="n">
        <v>2</v>
      </c>
      <c r="N348" t="n">
        <v>5.951</v>
      </c>
      <c r="O348" t="inlineStr">
        <is>
          <t>Direct</t>
        </is>
      </c>
      <c r="P348" t="inlineStr">
        <is>
          <t>22.23-0-2-ERW 1-PE-5.951</t>
        </is>
      </c>
    </row>
    <row r="349">
      <c r="A349" t="n">
        <v>46196</v>
      </c>
      <c r="B349" t="inlineStr">
        <is>
          <t>0000943209</t>
        </is>
      </c>
      <c r="C349" t="inlineStr">
        <is>
          <t>MEGH STEELS PRIVATE LIMITED - TVS A</t>
        </is>
      </c>
      <c r="D349" t="inlineStr">
        <is>
          <t>KG</t>
        </is>
      </c>
      <c r="E349" t="n">
        <v>419</v>
      </c>
      <c r="F349" t="n">
        <v>2493.462</v>
      </c>
      <c r="G349" t="n">
        <v>2428.189</v>
      </c>
      <c r="H349" t="inlineStr">
        <is>
          <t>056</t>
        </is>
      </c>
      <c r="I349" t="n">
        <v>3905466</v>
      </c>
      <c r="J349" t="inlineStr">
        <is>
          <t>TUB-O-N-AUT-AW-PE-22.20X2.000X5.9510</t>
        </is>
      </c>
      <c r="K349" t="n">
        <v>22.2</v>
      </c>
      <c r="L349" t="n">
        <v>0</v>
      </c>
      <c r="M349" t="n">
        <v>2</v>
      </c>
      <c r="N349" t="n">
        <v>5.951</v>
      </c>
      <c r="O349" t="inlineStr">
        <is>
          <t>Direct</t>
        </is>
      </c>
      <c r="P349" t="inlineStr">
        <is>
          <t>22.23-0-2-ERW 1-PE-5.951</t>
        </is>
      </c>
    </row>
    <row r="350">
      <c r="A350" t="n">
        <v>46196</v>
      </c>
      <c r="B350" t="inlineStr">
        <is>
          <t>0000943209</t>
        </is>
      </c>
      <c r="C350" t="inlineStr">
        <is>
          <t>MEGH STEELS PRIVATE LIMITED - TVS A</t>
        </is>
      </c>
      <c r="D350" t="inlineStr">
        <is>
          <t>KG</t>
        </is>
      </c>
      <c r="E350" t="n">
        <v>419</v>
      </c>
      <c r="F350" t="n">
        <v>2493.462</v>
      </c>
      <c r="G350" t="n">
        <v>2428.189</v>
      </c>
      <c r="H350" t="inlineStr">
        <is>
          <t>056</t>
        </is>
      </c>
      <c r="I350" t="n">
        <v>3905466</v>
      </c>
      <c r="J350" t="inlineStr">
        <is>
          <t>TUB-O-N-AUT-AW-PE-22.20X2.000X5.9510</t>
        </is>
      </c>
      <c r="K350" t="n">
        <v>22.2</v>
      </c>
      <c r="L350" t="n">
        <v>0</v>
      </c>
      <c r="M350" t="n">
        <v>2</v>
      </c>
      <c r="N350" t="n">
        <v>5.951</v>
      </c>
      <c r="O350" t="inlineStr">
        <is>
          <t>Direct</t>
        </is>
      </c>
      <c r="P350" t="inlineStr">
        <is>
          <t>22.23-0-2-ERW 1-PE-5.951</t>
        </is>
      </c>
    </row>
    <row r="351">
      <c r="A351" t="n">
        <v>46203</v>
      </c>
      <c r="B351" t="inlineStr">
        <is>
          <t>0000943209</t>
        </is>
      </c>
      <c r="C351" t="inlineStr">
        <is>
          <t>MEGH STEELS PRIVATE LIMITED - TVS A</t>
        </is>
      </c>
      <c r="D351" t="inlineStr">
        <is>
          <t>KG</t>
        </is>
      </c>
      <c r="E351" t="n">
        <v>420</v>
      </c>
      <c r="F351" t="n">
        <v>2499.413</v>
      </c>
      <c r="G351" t="n">
        <v>2433.984</v>
      </c>
      <c r="H351" t="inlineStr">
        <is>
          <t>056</t>
        </is>
      </c>
      <c r="I351" t="n">
        <v>3905466</v>
      </c>
      <c r="J351" t="inlineStr">
        <is>
          <t>TUB-O-N-AUT-AW-PE-22.20X2.000X5.9510</t>
        </is>
      </c>
      <c r="K351" t="n">
        <v>22.2</v>
      </c>
      <c r="L351" t="n">
        <v>0</v>
      </c>
      <c r="M351" t="n">
        <v>2</v>
      </c>
      <c r="N351" t="n">
        <v>5.951</v>
      </c>
      <c r="O351" t="inlineStr">
        <is>
          <t>Direct</t>
        </is>
      </c>
      <c r="P351" t="inlineStr">
        <is>
          <t>22.23-0-2-ERW 1-PE-5.951</t>
        </is>
      </c>
    </row>
    <row r="352">
      <c r="A352" t="n">
        <v>46203</v>
      </c>
      <c r="B352" t="inlineStr">
        <is>
          <t>0000943209</t>
        </is>
      </c>
      <c r="C352" t="inlineStr">
        <is>
          <t>MEGH STEELS PRIVATE LIMITED - TVS A</t>
        </is>
      </c>
      <c r="D352" t="inlineStr">
        <is>
          <t>KG</t>
        </is>
      </c>
      <c r="E352" t="n">
        <v>420</v>
      </c>
      <c r="F352" t="n">
        <v>2499.413</v>
      </c>
      <c r="G352" t="n">
        <v>2433.984</v>
      </c>
      <c r="H352" t="inlineStr">
        <is>
          <t>056</t>
        </is>
      </c>
      <c r="I352" t="n">
        <v>3905466</v>
      </c>
      <c r="J352" t="inlineStr">
        <is>
          <t>TUB-O-N-AUT-AW-PE-22.20X2.000X5.9510</t>
        </is>
      </c>
      <c r="K352" t="n">
        <v>22.2</v>
      </c>
      <c r="L352" t="n">
        <v>0</v>
      </c>
      <c r="M352" t="n">
        <v>2</v>
      </c>
      <c r="N352" t="n">
        <v>5.951</v>
      </c>
      <c r="O352" t="inlineStr">
        <is>
          <t>Direct</t>
        </is>
      </c>
      <c r="P352" t="inlineStr">
        <is>
          <t>22.23-0-2-ERW 1-PE-5.951</t>
        </is>
      </c>
    </row>
    <row r="353">
      <c r="A353" t="n">
        <v>46191</v>
      </c>
      <c r="B353" t="inlineStr">
        <is>
          <t>0000943209</t>
        </is>
      </c>
      <c r="C353" t="inlineStr">
        <is>
          <t>MEGH STEELS PRIVATE LIMITED - TVS A</t>
        </is>
      </c>
      <c r="D353" t="inlineStr">
        <is>
          <t>KG</t>
        </is>
      </c>
      <c r="E353" t="n">
        <v>419</v>
      </c>
      <c r="F353" t="n">
        <v>2493.462</v>
      </c>
      <c r="G353" t="n">
        <v>2428.189</v>
      </c>
      <c r="H353" t="inlineStr">
        <is>
          <t>056</t>
        </is>
      </c>
      <c r="I353" t="n">
        <v>3905466</v>
      </c>
      <c r="J353" t="inlineStr">
        <is>
          <t>TUB-O-N-AUT-AW-PE-22.20X2.000X5.9510</t>
        </is>
      </c>
      <c r="K353" t="n">
        <v>22.2</v>
      </c>
      <c r="L353" t="n">
        <v>0</v>
      </c>
      <c r="M353" t="n">
        <v>2</v>
      </c>
      <c r="N353" t="n">
        <v>5.951</v>
      </c>
      <c r="O353" t="inlineStr">
        <is>
          <t>Direct</t>
        </is>
      </c>
      <c r="P353" t="inlineStr">
        <is>
          <t>22.23-0-2-ERW 1-PE-5.951</t>
        </is>
      </c>
    </row>
    <row r="354">
      <c r="A354" t="n">
        <v>46203</v>
      </c>
      <c r="B354" t="inlineStr">
        <is>
          <t>0000943209</t>
        </is>
      </c>
      <c r="C354" t="inlineStr">
        <is>
          <t>MEGH STEELS PRIVATE LIMITED - TVS A</t>
        </is>
      </c>
      <c r="D354" t="inlineStr">
        <is>
          <t>KG</t>
        </is>
      </c>
      <c r="E354" t="n">
        <v>418</v>
      </c>
      <c r="F354" t="n">
        <v>2487.51</v>
      </c>
      <c r="G354" t="n">
        <v>2422.393</v>
      </c>
      <c r="H354" t="inlineStr">
        <is>
          <t>056</t>
        </is>
      </c>
      <c r="I354" t="n">
        <v>3905466</v>
      </c>
      <c r="J354" t="inlineStr">
        <is>
          <t>TUB-O-N-AUT-AW-PE-22.20X2.000X5.9510</t>
        </is>
      </c>
      <c r="K354" t="n">
        <v>22.2</v>
      </c>
      <c r="L354" t="n">
        <v>0</v>
      </c>
      <c r="M354" t="n">
        <v>2</v>
      </c>
      <c r="N354" t="n">
        <v>5.951</v>
      </c>
      <c r="O354" t="inlineStr">
        <is>
          <t>Direct</t>
        </is>
      </c>
      <c r="P354" t="inlineStr">
        <is>
          <t>22.23-0-2-ERW 1-PE-5.951</t>
        </is>
      </c>
    </row>
    <row r="355">
      <c r="A355" t="n">
        <v>46196</v>
      </c>
      <c r="B355" t="inlineStr">
        <is>
          <t>0000943209</t>
        </is>
      </c>
      <c r="C355" t="inlineStr">
        <is>
          <t>MEGH STEELS PRIVATE LIMITED - TVS A</t>
        </is>
      </c>
      <c r="D355" t="inlineStr">
        <is>
          <t>KG</t>
        </is>
      </c>
      <c r="E355" t="n">
        <v>420</v>
      </c>
      <c r="F355" t="n">
        <v>2499.413</v>
      </c>
      <c r="G355" t="n">
        <v>2433.984</v>
      </c>
      <c r="H355" t="inlineStr">
        <is>
          <t>056</t>
        </is>
      </c>
      <c r="I355" t="n">
        <v>3905466</v>
      </c>
      <c r="J355" t="inlineStr">
        <is>
          <t>TUB-O-N-AUT-AW-PE-22.20X2.000X5.9510</t>
        </is>
      </c>
      <c r="K355" t="n">
        <v>22.2</v>
      </c>
      <c r="L355" t="n">
        <v>0</v>
      </c>
      <c r="M355" t="n">
        <v>2</v>
      </c>
      <c r="N355" t="n">
        <v>5.951</v>
      </c>
      <c r="O355" t="inlineStr">
        <is>
          <t>Direct</t>
        </is>
      </c>
      <c r="P355" t="inlineStr">
        <is>
          <t>22.23-0-2-ERW 1-PE-5.951</t>
        </is>
      </c>
    </row>
    <row r="356">
      <c r="A356" t="n">
        <v>46196</v>
      </c>
      <c r="B356" t="inlineStr">
        <is>
          <t>0000943209</t>
        </is>
      </c>
      <c r="C356" t="inlineStr">
        <is>
          <t>MEGH STEELS PRIVATE LIMITED - TVS A</t>
        </is>
      </c>
      <c r="D356" t="inlineStr">
        <is>
          <t>KG</t>
        </is>
      </c>
      <c r="E356" t="n">
        <v>419</v>
      </c>
      <c r="F356" t="n">
        <v>2493.462</v>
      </c>
      <c r="G356" t="n">
        <v>2428.189</v>
      </c>
      <c r="H356" t="inlineStr">
        <is>
          <t>056</t>
        </is>
      </c>
      <c r="I356" t="n">
        <v>3905466</v>
      </c>
      <c r="J356" t="inlineStr">
        <is>
          <t>TUB-O-N-AUT-AW-PE-22.20X2.000X5.9510</t>
        </is>
      </c>
      <c r="K356" t="n">
        <v>22.2</v>
      </c>
      <c r="L356" t="n">
        <v>0</v>
      </c>
      <c r="M356" t="n">
        <v>2</v>
      </c>
      <c r="N356" t="n">
        <v>5.951</v>
      </c>
      <c r="O356" t="inlineStr">
        <is>
          <t>Direct</t>
        </is>
      </c>
      <c r="P356" t="inlineStr">
        <is>
          <t>22.23-0-2-ERW 1-PE-5.951</t>
        </is>
      </c>
    </row>
    <row r="357">
      <c r="A357" t="n">
        <v>46200</v>
      </c>
      <c r="B357" t="inlineStr">
        <is>
          <t>0000943209</t>
        </is>
      </c>
      <c r="C357" t="inlineStr">
        <is>
          <t>MEGH STEELS PRIVATE LIMITED - TVS A</t>
        </is>
      </c>
      <c r="D357" t="inlineStr">
        <is>
          <t>KG</t>
        </is>
      </c>
      <c r="E357" t="n">
        <v>277</v>
      </c>
      <c r="F357" t="n">
        <v>1659.325</v>
      </c>
      <c r="G357" t="n">
        <v>2599</v>
      </c>
      <c r="H357" t="inlineStr">
        <is>
          <t>0789</t>
        </is>
      </c>
      <c r="I357" t="n">
        <v>3597718</v>
      </c>
      <c r="J357" t="inlineStr">
        <is>
          <t>TUB-R-AW-RHS-40.00X25.00X1.600X5.9900</t>
        </is>
      </c>
      <c r="K357" t="n">
        <v>40</v>
      </c>
      <c r="L357" t="n">
        <v>25</v>
      </c>
      <c r="M357" t="n">
        <v>1.6</v>
      </c>
      <c r="N357" t="n">
        <v>5.99</v>
      </c>
      <c r="O357" t="inlineStr">
        <is>
          <t>Direct</t>
        </is>
      </c>
    </row>
    <row r="358">
      <c r="A358" t="n">
        <v>46200</v>
      </c>
      <c r="B358" t="inlineStr">
        <is>
          <t>0000943209</t>
        </is>
      </c>
      <c r="C358" t="inlineStr">
        <is>
          <t>MEGH STEELS PRIVATE LIMITED - TVS A</t>
        </is>
      </c>
      <c r="D358" t="inlineStr">
        <is>
          <t>KG</t>
        </is>
      </c>
      <c r="E358" t="n">
        <v>272</v>
      </c>
      <c r="F358" t="n">
        <v>1631.871</v>
      </c>
      <c r="G358" t="n">
        <v>2556</v>
      </c>
      <c r="H358" t="inlineStr">
        <is>
          <t>0789</t>
        </is>
      </c>
      <c r="I358" t="n">
        <v>3597718</v>
      </c>
      <c r="J358" t="inlineStr">
        <is>
          <t>TUB-R-AW-RHS-40.00X25.00X1.600X5.9900</t>
        </is>
      </c>
      <c r="K358" t="n">
        <v>40</v>
      </c>
      <c r="L358" t="n">
        <v>25</v>
      </c>
      <c r="M358" t="n">
        <v>1.6</v>
      </c>
      <c r="N358" t="n">
        <v>5.99</v>
      </c>
      <c r="O358" t="inlineStr">
        <is>
          <t>Direct</t>
        </is>
      </c>
    </row>
    <row r="359">
      <c r="A359" t="n">
        <v>46200</v>
      </c>
      <c r="B359" t="inlineStr">
        <is>
          <t>0000943209</t>
        </is>
      </c>
      <c r="C359" t="inlineStr">
        <is>
          <t>MEGH STEELS PRIVATE LIMITED - TVS A</t>
        </is>
      </c>
      <c r="D359" t="inlineStr">
        <is>
          <t>KG</t>
        </is>
      </c>
      <c r="E359" t="n">
        <v>276</v>
      </c>
      <c r="F359" t="n">
        <v>1652.94</v>
      </c>
      <c r="G359" t="n">
        <v>2589</v>
      </c>
      <c r="H359" t="inlineStr">
        <is>
          <t>0789</t>
        </is>
      </c>
      <c r="I359" t="n">
        <v>3597718</v>
      </c>
      <c r="J359" t="inlineStr">
        <is>
          <t>TUB-R-AW-RHS-40.00X25.00X1.600X5.9900</t>
        </is>
      </c>
      <c r="K359" t="n">
        <v>40</v>
      </c>
      <c r="L359" t="n">
        <v>25</v>
      </c>
      <c r="M359" t="n">
        <v>1.6</v>
      </c>
      <c r="N359" t="n">
        <v>5.99</v>
      </c>
      <c r="O359" t="inlineStr">
        <is>
          <t>Direct</t>
        </is>
      </c>
    </row>
    <row r="360">
      <c r="A360" t="n">
        <v>46200</v>
      </c>
      <c r="B360" t="inlineStr">
        <is>
          <t>0000943209</t>
        </is>
      </c>
      <c r="C360" t="inlineStr">
        <is>
          <t>MEGH STEELS PRIVATE LIMITED - TVS A</t>
        </is>
      </c>
      <c r="D360" t="inlineStr">
        <is>
          <t>KG</t>
        </is>
      </c>
      <c r="E360" t="n">
        <v>276</v>
      </c>
      <c r="F360" t="n">
        <v>1652.94</v>
      </c>
      <c r="G360" t="n">
        <v>2589</v>
      </c>
      <c r="H360" t="inlineStr">
        <is>
          <t>0789</t>
        </is>
      </c>
      <c r="I360" t="n">
        <v>3597718</v>
      </c>
      <c r="J360" t="inlineStr">
        <is>
          <t>TUB-R-AW-RHS-40.00X25.00X1.600X5.9900</t>
        </is>
      </c>
      <c r="K360" t="n">
        <v>40</v>
      </c>
      <c r="L360" t="n">
        <v>25</v>
      </c>
      <c r="M360" t="n">
        <v>1.6</v>
      </c>
      <c r="N360" t="n">
        <v>5.99</v>
      </c>
      <c r="O360" t="inlineStr">
        <is>
          <t>Direct</t>
        </is>
      </c>
    </row>
    <row r="361">
      <c r="A361" t="n">
        <v>46200</v>
      </c>
      <c r="B361" t="inlineStr">
        <is>
          <t>0000943209</t>
        </is>
      </c>
      <c r="C361" t="inlineStr">
        <is>
          <t>MEGH STEELS PRIVATE LIMITED - TVS A</t>
        </is>
      </c>
      <c r="D361" t="inlineStr">
        <is>
          <t>KG</t>
        </is>
      </c>
      <c r="E361" t="n">
        <v>286</v>
      </c>
      <c r="F361" t="n">
        <v>1712.954</v>
      </c>
      <c r="G361" t="n">
        <v>2683</v>
      </c>
      <c r="H361" t="inlineStr">
        <is>
          <t>0789</t>
        </is>
      </c>
      <c r="I361" t="n">
        <v>3597718</v>
      </c>
      <c r="J361" t="inlineStr">
        <is>
          <t>TUB-R-AW-RHS-40.00X25.00X1.600X5.9900</t>
        </is>
      </c>
      <c r="K361" t="n">
        <v>40</v>
      </c>
      <c r="L361" t="n">
        <v>25</v>
      </c>
      <c r="M361" t="n">
        <v>1.6</v>
      </c>
      <c r="N361" t="n">
        <v>5.99</v>
      </c>
      <c r="O361" t="inlineStr">
        <is>
          <t>Direct</t>
        </is>
      </c>
    </row>
    <row r="362">
      <c r="A362" t="n">
        <v>46200</v>
      </c>
      <c r="B362" t="inlineStr">
        <is>
          <t>0000943209</t>
        </is>
      </c>
      <c r="C362" t="inlineStr">
        <is>
          <t>MEGH STEELS PRIVATE LIMITED - TVS A</t>
        </is>
      </c>
      <c r="D362" t="inlineStr">
        <is>
          <t>KG</t>
        </is>
      </c>
      <c r="E362" t="n">
        <v>109</v>
      </c>
      <c r="F362" t="n">
        <v>649.939</v>
      </c>
      <c r="G362" t="n">
        <v>1018</v>
      </c>
      <c r="H362" t="inlineStr">
        <is>
          <t>0789</t>
        </is>
      </c>
      <c r="I362" t="n">
        <v>3597718</v>
      </c>
      <c r="J362" t="inlineStr">
        <is>
          <t>TUB-R-AW-RHS-40.00X25.00X1.600X5.9900</t>
        </is>
      </c>
      <c r="K362" t="n">
        <v>40</v>
      </c>
      <c r="L362" t="n">
        <v>25</v>
      </c>
      <c r="M362" t="n">
        <v>1.6</v>
      </c>
      <c r="N362" t="n">
        <v>5.99</v>
      </c>
      <c r="O362" t="inlineStr">
        <is>
          <t>Direct</t>
        </is>
      </c>
    </row>
    <row r="363">
      <c r="A363" t="n">
        <v>46200</v>
      </c>
      <c r="B363" t="inlineStr">
        <is>
          <t>0000943209</t>
        </is>
      </c>
      <c r="C363" t="inlineStr">
        <is>
          <t>MEGH STEELS PRIVATE LIMITED - TVS A</t>
        </is>
      </c>
      <c r="D363" t="inlineStr">
        <is>
          <t>KG</t>
        </is>
      </c>
      <c r="E363" t="n">
        <v>273</v>
      </c>
      <c r="F363" t="n">
        <v>1635.064</v>
      </c>
      <c r="G363" t="n">
        <v>2561</v>
      </c>
      <c r="H363" t="inlineStr">
        <is>
          <t>0789</t>
        </is>
      </c>
      <c r="I363" t="n">
        <v>3597718</v>
      </c>
      <c r="J363" t="inlineStr">
        <is>
          <t>TUB-R-AW-RHS-40.00X25.00X1.600X5.9900</t>
        </is>
      </c>
      <c r="K363" t="n">
        <v>40</v>
      </c>
      <c r="L363" t="n">
        <v>25</v>
      </c>
      <c r="M363" t="n">
        <v>1.6</v>
      </c>
      <c r="N363" t="n">
        <v>5.99</v>
      </c>
      <c r="O363" t="inlineStr">
        <is>
          <t>Direct</t>
        </is>
      </c>
    </row>
    <row r="364">
      <c r="A364" t="n">
        <v>46200</v>
      </c>
      <c r="B364" t="inlineStr">
        <is>
          <t>0000943209</t>
        </is>
      </c>
      <c r="C364" t="inlineStr">
        <is>
          <t>MEGH STEELS PRIVATE LIMITED - TVS A</t>
        </is>
      </c>
      <c r="D364" t="inlineStr">
        <is>
          <t>KG</t>
        </is>
      </c>
      <c r="E364" t="n">
        <v>269</v>
      </c>
      <c r="F364" t="n">
        <v>1611.441</v>
      </c>
      <c r="G364" t="n">
        <v>2524</v>
      </c>
      <c r="H364" t="inlineStr">
        <is>
          <t>0789</t>
        </is>
      </c>
      <c r="I364" t="n">
        <v>3597718</v>
      </c>
      <c r="J364" t="inlineStr">
        <is>
          <t>TUB-R-AW-RHS-40.00X25.00X1.600X5.9900</t>
        </is>
      </c>
      <c r="K364" t="n">
        <v>40</v>
      </c>
      <c r="L364" t="n">
        <v>25</v>
      </c>
      <c r="M364" t="n">
        <v>1.6</v>
      </c>
      <c r="N364" t="n">
        <v>5.99</v>
      </c>
      <c r="O364" t="inlineStr">
        <is>
          <t>Direct</t>
        </is>
      </c>
    </row>
    <row r="365">
      <c r="A365" t="n">
        <v>46200</v>
      </c>
      <c r="B365" t="inlineStr">
        <is>
          <t>0000943209</t>
        </is>
      </c>
      <c r="C365" t="inlineStr">
        <is>
          <t>MEGH STEELS PRIVATE LIMITED - TVS A</t>
        </is>
      </c>
      <c r="D365" t="inlineStr">
        <is>
          <t>KG</t>
        </is>
      </c>
      <c r="E365" t="n">
        <v>273</v>
      </c>
      <c r="F365" t="n">
        <v>1634.425</v>
      </c>
      <c r="G365" t="n">
        <v>2560</v>
      </c>
      <c r="H365" t="inlineStr">
        <is>
          <t>0789</t>
        </is>
      </c>
      <c r="I365" t="n">
        <v>3597718</v>
      </c>
      <c r="J365" t="inlineStr">
        <is>
          <t>TUB-R-AW-RHS-40.00X25.00X1.600X5.9900</t>
        </is>
      </c>
      <c r="K365" t="n">
        <v>40</v>
      </c>
      <c r="L365" t="n">
        <v>25</v>
      </c>
      <c r="M365" t="n">
        <v>1.6</v>
      </c>
      <c r="N365" t="n">
        <v>5.99</v>
      </c>
      <c r="O365" t="inlineStr">
        <is>
          <t>Direct</t>
        </is>
      </c>
    </row>
    <row r="366">
      <c r="A366" t="n">
        <v>46200</v>
      </c>
      <c r="B366" t="inlineStr">
        <is>
          <t>0000943209</t>
        </is>
      </c>
      <c r="C366" t="inlineStr">
        <is>
          <t>MEGH STEELS PRIVATE LIMITED - TVS A</t>
        </is>
      </c>
      <c r="D366" t="inlineStr">
        <is>
          <t>KG</t>
        </is>
      </c>
      <c r="E366" t="n">
        <v>130</v>
      </c>
      <c r="F366" t="n">
        <v>780.821</v>
      </c>
      <c r="G366" t="n">
        <v>1223</v>
      </c>
      <c r="H366" t="inlineStr">
        <is>
          <t>0789</t>
        </is>
      </c>
      <c r="I366" t="n">
        <v>3597718</v>
      </c>
      <c r="J366" t="inlineStr">
        <is>
          <t>TUB-R-AW-RHS-40.00X25.00X1.600X5.9900</t>
        </is>
      </c>
      <c r="K366" t="n">
        <v>40</v>
      </c>
      <c r="L366" t="n">
        <v>25</v>
      </c>
      <c r="M366" t="n">
        <v>1.6</v>
      </c>
      <c r="N366" t="n">
        <v>5.99</v>
      </c>
      <c r="O366" t="inlineStr">
        <is>
          <t>Direct</t>
        </is>
      </c>
    </row>
    <row r="367">
      <c r="A367" t="n">
        <v>46200</v>
      </c>
      <c r="B367" t="inlineStr">
        <is>
          <t>0000943209</t>
        </is>
      </c>
      <c r="C367" t="inlineStr">
        <is>
          <t>MEGH STEELS PRIVATE LIMITED - TVS A</t>
        </is>
      </c>
      <c r="D367" t="inlineStr">
        <is>
          <t>KG</t>
        </is>
      </c>
      <c r="E367" t="n">
        <v>278</v>
      </c>
      <c r="F367" t="n">
        <v>1665.071</v>
      </c>
      <c r="G367" t="n">
        <v>2608</v>
      </c>
      <c r="H367" t="inlineStr">
        <is>
          <t>0789</t>
        </is>
      </c>
      <c r="I367" t="n">
        <v>3597718</v>
      </c>
      <c r="J367" t="inlineStr">
        <is>
          <t>TUB-R-AW-RHS-40.00X25.00X1.600X5.9900</t>
        </is>
      </c>
      <c r="K367" t="n">
        <v>40</v>
      </c>
      <c r="L367" t="n">
        <v>25</v>
      </c>
      <c r="M367" t="n">
        <v>1.6</v>
      </c>
      <c r="N367" t="n">
        <v>5.99</v>
      </c>
      <c r="O367" t="inlineStr">
        <is>
          <t>Direct</t>
        </is>
      </c>
    </row>
    <row r="368">
      <c r="A368" t="n">
        <v>46194</v>
      </c>
      <c r="B368" t="inlineStr">
        <is>
          <t>0000943209</t>
        </is>
      </c>
      <c r="C368" t="inlineStr">
        <is>
          <t>MEGH STEELS PRIVATE LIMITED - TVS A</t>
        </is>
      </c>
      <c r="D368" t="inlineStr">
        <is>
          <t>KG</t>
        </is>
      </c>
      <c r="E368" t="n">
        <v>415</v>
      </c>
      <c r="F368" t="n">
        <v>2491.187</v>
      </c>
      <c r="G368" t="n">
        <v>848</v>
      </c>
      <c r="H368" t="inlineStr">
        <is>
          <t>0789</t>
        </is>
      </c>
      <c r="I368" t="n">
        <v>1939985</v>
      </c>
      <c r="J368" t="inlineStr">
        <is>
          <t>TUB-O-O-AUT-AW-PE-12.70X1.200X6.0000</t>
        </is>
      </c>
      <c r="K368" t="n">
        <v>12.7</v>
      </c>
      <c r="L368" t="n">
        <v>0</v>
      </c>
      <c r="M368" t="n">
        <v>1.2</v>
      </c>
      <c r="N368" t="n">
        <v>6</v>
      </c>
      <c r="O368" t="inlineStr">
        <is>
          <t>Direct</t>
        </is>
      </c>
      <c r="P368" t="inlineStr">
        <is>
          <t>12.7-0-1.2-ERW 1-PE-6</t>
        </is>
      </c>
    </row>
    <row r="369">
      <c r="A369" t="n">
        <v>46194</v>
      </c>
      <c r="B369" t="inlineStr">
        <is>
          <t>0000943209</t>
        </is>
      </c>
      <c r="C369" t="inlineStr">
        <is>
          <t>MEGH STEELS PRIVATE LIMITED - TVS A</t>
        </is>
      </c>
      <c r="D369" t="inlineStr">
        <is>
          <t>KG</t>
        </is>
      </c>
      <c r="E369" t="n">
        <v>603</v>
      </c>
      <c r="F369" t="n">
        <v>3619.271</v>
      </c>
      <c r="G369" t="n">
        <v>1232</v>
      </c>
      <c r="H369" t="inlineStr">
        <is>
          <t>0789</t>
        </is>
      </c>
      <c r="I369" t="n">
        <v>1939985</v>
      </c>
      <c r="J369" t="inlineStr">
        <is>
          <t>TUB-O-O-AUT-AW-PE-12.70X1.200X6.0000</t>
        </is>
      </c>
      <c r="K369" t="n">
        <v>12.7</v>
      </c>
      <c r="L369" t="n">
        <v>0</v>
      </c>
      <c r="M369" t="n">
        <v>1.2</v>
      </c>
      <c r="N369" t="n">
        <v>6</v>
      </c>
      <c r="O369" t="inlineStr">
        <is>
          <t>Direct</t>
        </is>
      </c>
      <c r="P369" t="inlineStr">
        <is>
          <t>12.7-0-1.2-ERW 1-PE-6</t>
        </is>
      </c>
    </row>
    <row r="370">
      <c r="A370" t="n">
        <v>46175</v>
      </c>
      <c r="B370" t="inlineStr">
        <is>
          <t>0000943209</t>
        </is>
      </c>
      <c r="C370" t="inlineStr">
        <is>
          <t>MEGH STEELS PRIVATE LIMITED - TVS A</t>
        </is>
      </c>
      <c r="D370" t="inlineStr">
        <is>
          <t>KG</t>
        </is>
      </c>
      <c r="E370" t="n">
        <v>975</v>
      </c>
      <c r="F370" t="n">
        <v>5849.001</v>
      </c>
      <c r="G370" t="n">
        <v>1991</v>
      </c>
      <c r="H370" t="inlineStr">
        <is>
          <t>0789</t>
        </is>
      </c>
      <c r="I370" t="n">
        <v>1939985</v>
      </c>
      <c r="J370" t="inlineStr">
        <is>
          <t>TUB-O-O-AUT-AW-PE-12.70X1.200X6.0000</t>
        </is>
      </c>
      <c r="K370" t="n">
        <v>12.7</v>
      </c>
      <c r="L370" t="n">
        <v>0</v>
      </c>
      <c r="M370" t="n">
        <v>1.2</v>
      </c>
      <c r="N370" t="n">
        <v>6</v>
      </c>
      <c r="O370" t="inlineStr">
        <is>
          <t>Direct</t>
        </is>
      </c>
      <c r="P370" t="inlineStr">
        <is>
          <t>12.7-0-1.2-ERW 1-PE-6</t>
        </is>
      </c>
    </row>
    <row r="371">
      <c r="A371" t="n">
        <v>46175</v>
      </c>
      <c r="B371" t="inlineStr">
        <is>
          <t>0000943209</t>
        </is>
      </c>
      <c r="C371" t="inlineStr">
        <is>
          <t>MEGH STEELS PRIVATE LIMITED - TVS A</t>
        </is>
      </c>
      <c r="D371" t="inlineStr">
        <is>
          <t>KG</t>
        </is>
      </c>
      <c r="E371" t="n">
        <v>662</v>
      </c>
      <c r="F371" t="n">
        <v>3971.798</v>
      </c>
      <c r="G371" t="n">
        <v>1352</v>
      </c>
      <c r="H371" t="inlineStr">
        <is>
          <t>0789</t>
        </is>
      </c>
      <c r="I371" t="n">
        <v>1939985</v>
      </c>
      <c r="J371" t="inlineStr">
        <is>
          <t>TUB-O-O-AUT-AW-PE-12.70X1.200X6.0000</t>
        </is>
      </c>
      <c r="K371" t="n">
        <v>12.7</v>
      </c>
      <c r="L371" t="n">
        <v>0</v>
      </c>
      <c r="M371" t="n">
        <v>1.2</v>
      </c>
      <c r="N371" t="n">
        <v>6</v>
      </c>
      <c r="O371" t="inlineStr">
        <is>
          <t>Direct</t>
        </is>
      </c>
      <c r="P371" t="inlineStr">
        <is>
          <t>12.7-0-1.2-ERW 1-PE-6</t>
        </is>
      </c>
    </row>
    <row r="372">
      <c r="A372" t="n">
        <v>46175</v>
      </c>
      <c r="B372" t="inlineStr">
        <is>
          <t>0000943209</t>
        </is>
      </c>
      <c r="C372" t="inlineStr">
        <is>
          <t>MEGH STEELS PRIVATE LIMITED - TVS A</t>
        </is>
      </c>
      <c r="D372" t="inlineStr">
        <is>
          <t>KG</t>
        </is>
      </c>
      <c r="E372" t="n">
        <v>750</v>
      </c>
      <c r="F372" t="n">
        <v>4503.525</v>
      </c>
      <c r="G372" t="n">
        <v>1533</v>
      </c>
      <c r="H372" t="inlineStr">
        <is>
          <t>0789</t>
        </is>
      </c>
      <c r="I372" t="n">
        <v>1939985</v>
      </c>
      <c r="J372" t="inlineStr">
        <is>
          <t>TUB-O-O-AUT-AW-PE-12.70X1.200X6.0000</t>
        </is>
      </c>
      <c r="K372" t="n">
        <v>12.7</v>
      </c>
      <c r="L372" t="n">
        <v>0</v>
      </c>
      <c r="M372" t="n">
        <v>1.2</v>
      </c>
      <c r="N372" t="n">
        <v>6</v>
      </c>
      <c r="O372" t="inlineStr">
        <is>
          <t>Direct</t>
        </is>
      </c>
      <c r="P372" t="inlineStr">
        <is>
          <t>12.7-0-1.2-ERW 1-PE-6</t>
        </is>
      </c>
    </row>
    <row r="373">
      <c r="A373" t="n">
        <v>46175</v>
      </c>
      <c r="B373" t="inlineStr">
        <is>
          <t>0000943209</t>
        </is>
      </c>
      <c r="C373" t="inlineStr">
        <is>
          <t>MEGH STEELS PRIVATE LIMITED - TVS A</t>
        </is>
      </c>
      <c r="D373" t="inlineStr">
        <is>
          <t>KG</t>
        </is>
      </c>
      <c r="E373" t="n">
        <v>119</v>
      </c>
      <c r="F373" t="n">
        <v>713.866</v>
      </c>
      <c r="G373" t="n">
        <v>243</v>
      </c>
      <c r="H373" t="inlineStr">
        <is>
          <t>0789</t>
        </is>
      </c>
      <c r="I373" t="n">
        <v>1939985</v>
      </c>
      <c r="J373" t="inlineStr">
        <is>
          <t>TUB-O-O-AUT-AW-PE-12.70X1.200X6.0000</t>
        </is>
      </c>
      <c r="K373" t="n">
        <v>12.7</v>
      </c>
      <c r="L373" t="n">
        <v>0</v>
      </c>
      <c r="M373" t="n">
        <v>1.2</v>
      </c>
      <c r="N373" t="n">
        <v>6</v>
      </c>
      <c r="O373" t="inlineStr">
        <is>
          <t>Direct</t>
        </is>
      </c>
      <c r="P373" t="inlineStr">
        <is>
          <t>12.7-0-1.2-ERW 1-PE-6</t>
        </is>
      </c>
    </row>
    <row r="374">
      <c r="A374" t="n">
        <v>46203</v>
      </c>
      <c r="B374" t="inlineStr">
        <is>
          <t>0000943210</t>
        </is>
      </c>
      <c r="C374" t="inlineStr">
        <is>
          <t>MEGH STEELS PRIVATE LIMITED - HMSIL</t>
        </is>
      </c>
      <c r="D374" t="inlineStr">
        <is>
          <t>KG</t>
        </is>
      </c>
      <c r="E374" t="n">
        <v>76</v>
      </c>
      <c r="F374" t="n">
        <v>457.892</v>
      </c>
      <c r="G374" t="n">
        <v>199</v>
      </c>
      <c r="H374" t="inlineStr">
        <is>
          <t>0789</t>
        </is>
      </c>
      <c r="I374" t="n">
        <v>1940054</v>
      </c>
      <c r="J374" t="inlineStr">
        <is>
          <t>TUB-O-O-AUT-AW-PE-15.88X1.200X6.0000</t>
        </is>
      </c>
      <c r="K374" t="n">
        <v>15.88</v>
      </c>
      <c r="L374" t="n">
        <v>0</v>
      </c>
      <c r="M374" t="n">
        <v>1.2</v>
      </c>
      <c r="N374" t="n">
        <v>6</v>
      </c>
      <c r="O374" t="inlineStr">
        <is>
          <t>Direct</t>
        </is>
      </c>
      <c r="P374" t="inlineStr">
        <is>
          <t>15.88-0-1.2-ERW 1-PE-6</t>
        </is>
      </c>
    </row>
    <row r="375">
      <c r="A375" t="n">
        <v>46203</v>
      </c>
      <c r="B375" t="inlineStr">
        <is>
          <t>0000943210</t>
        </is>
      </c>
      <c r="C375" t="inlineStr">
        <is>
          <t>MEGH STEELS PRIVATE LIMITED - HMSIL</t>
        </is>
      </c>
      <c r="D375" t="inlineStr">
        <is>
          <t>KG</t>
        </is>
      </c>
      <c r="E375" t="n">
        <v>733</v>
      </c>
      <c r="F375" t="n">
        <v>4397.147</v>
      </c>
      <c r="G375" t="n">
        <v>1911</v>
      </c>
      <c r="H375" t="inlineStr">
        <is>
          <t>0789</t>
        </is>
      </c>
      <c r="I375" t="n">
        <v>1940054</v>
      </c>
      <c r="J375" t="inlineStr">
        <is>
          <t>TUB-O-O-AUT-AW-PE-15.88X1.200X6.0000</t>
        </is>
      </c>
      <c r="K375" t="n">
        <v>15.88</v>
      </c>
      <c r="L375" t="n">
        <v>0</v>
      </c>
      <c r="M375" t="n">
        <v>1.2</v>
      </c>
      <c r="N375" t="n">
        <v>6</v>
      </c>
      <c r="O375" t="inlineStr">
        <is>
          <t>Direct</t>
        </is>
      </c>
      <c r="P375" t="inlineStr">
        <is>
          <t>15.88-0-1.2-ERW 1-PE-6</t>
        </is>
      </c>
    </row>
    <row r="376">
      <c r="A376" t="n">
        <v>46203</v>
      </c>
      <c r="B376" t="inlineStr">
        <is>
          <t>0000943210</t>
        </is>
      </c>
      <c r="C376" t="inlineStr">
        <is>
          <t>MEGH STEELS PRIVATE LIMITED - HMSIL</t>
        </is>
      </c>
      <c r="D376" t="inlineStr">
        <is>
          <t>KG</t>
        </is>
      </c>
      <c r="E376" t="n">
        <v>740</v>
      </c>
      <c r="F376" t="n">
        <v>4440.865</v>
      </c>
      <c r="G376" t="n">
        <v>1930</v>
      </c>
      <c r="H376" t="inlineStr">
        <is>
          <t>0789</t>
        </is>
      </c>
      <c r="I376" t="n">
        <v>1940054</v>
      </c>
      <c r="J376" t="inlineStr">
        <is>
          <t>TUB-O-O-AUT-AW-PE-15.88X1.200X6.0000</t>
        </is>
      </c>
      <c r="K376" t="n">
        <v>15.88</v>
      </c>
      <c r="L376" t="n">
        <v>0</v>
      </c>
      <c r="M376" t="n">
        <v>1.2</v>
      </c>
      <c r="N376" t="n">
        <v>6</v>
      </c>
      <c r="O376" t="inlineStr">
        <is>
          <t>Direct</t>
        </is>
      </c>
      <c r="P376" t="inlineStr">
        <is>
          <t>15.88-0-1.2-ERW 1-PE-6</t>
        </is>
      </c>
    </row>
    <row r="377">
      <c r="A377" t="n">
        <v>46203</v>
      </c>
      <c r="B377" t="inlineStr">
        <is>
          <t>0000943210</t>
        </is>
      </c>
      <c r="C377" t="inlineStr">
        <is>
          <t>MEGH STEELS PRIVATE LIMITED - HMSIL</t>
        </is>
      </c>
      <c r="D377" t="inlineStr">
        <is>
          <t>KG</t>
        </is>
      </c>
      <c r="E377" t="n">
        <v>748</v>
      </c>
      <c r="F377" t="n">
        <v>4486.884</v>
      </c>
      <c r="G377" t="n">
        <v>1950</v>
      </c>
      <c r="H377" t="inlineStr">
        <is>
          <t>0789</t>
        </is>
      </c>
      <c r="I377" t="n">
        <v>1940054</v>
      </c>
      <c r="J377" t="inlineStr">
        <is>
          <t>TUB-O-O-AUT-AW-PE-15.88X1.200X6.0000</t>
        </is>
      </c>
      <c r="K377" t="n">
        <v>15.88</v>
      </c>
      <c r="L377" t="n">
        <v>0</v>
      </c>
      <c r="M377" t="n">
        <v>1.2</v>
      </c>
      <c r="N377" t="n">
        <v>6</v>
      </c>
      <c r="O377" t="inlineStr">
        <is>
          <t>Direct</t>
        </is>
      </c>
      <c r="P377" t="inlineStr">
        <is>
          <t>15.88-0-1.2-ERW 1-PE-6</t>
        </is>
      </c>
    </row>
    <row r="378">
      <c r="A378" t="n">
        <v>46189</v>
      </c>
      <c r="B378" t="inlineStr">
        <is>
          <t>0000943210</t>
        </is>
      </c>
      <c r="C378" t="inlineStr">
        <is>
          <t>MEGH STEELS PRIVATE LIMITED - HMSIL</t>
        </is>
      </c>
      <c r="D378" t="inlineStr">
        <is>
          <t>KG</t>
        </is>
      </c>
      <c r="E378" t="n">
        <v>317</v>
      </c>
      <c r="F378" t="n">
        <v>1901.639</v>
      </c>
      <c r="G378" t="n">
        <v>1160</v>
      </c>
      <c r="H378" t="inlineStr">
        <is>
          <t>0789</t>
        </is>
      </c>
      <c r="I378" t="n">
        <v>1931848</v>
      </c>
      <c r="J378" t="inlineStr">
        <is>
          <t>TUB-O-N-AUT-AW-PE-19.05X1.400X6.0000</t>
        </is>
      </c>
      <c r="K378" t="n">
        <v>19.05</v>
      </c>
      <c r="L378" t="n">
        <v>0</v>
      </c>
      <c r="M378" t="n">
        <v>1.4</v>
      </c>
      <c r="N378" t="n">
        <v>6</v>
      </c>
      <c r="O378" t="inlineStr">
        <is>
          <t>Direct</t>
        </is>
      </c>
    </row>
    <row r="379">
      <c r="A379" t="n">
        <v>46189</v>
      </c>
      <c r="B379" t="inlineStr">
        <is>
          <t>0000943210</t>
        </is>
      </c>
      <c r="C379" t="inlineStr">
        <is>
          <t>MEGH STEELS PRIVATE LIMITED - HMSIL</t>
        </is>
      </c>
      <c r="D379" t="inlineStr">
        <is>
          <t>KG</t>
        </is>
      </c>
      <c r="E379" t="n">
        <v>608</v>
      </c>
      <c r="F379" t="n">
        <v>3645.902</v>
      </c>
      <c r="G379" t="n">
        <v>2224</v>
      </c>
      <c r="H379" t="inlineStr">
        <is>
          <t>0789</t>
        </is>
      </c>
      <c r="I379" t="n">
        <v>1931848</v>
      </c>
      <c r="J379" t="inlineStr">
        <is>
          <t>TUB-O-N-AUT-AW-PE-19.05X1.400X6.0000</t>
        </is>
      </c>
      <c r="K379" t="n">
        <v>19.05</v>
      </c>
      <c r="L379" t="n">
        <v>0</v>
      </c>
      <c r="M379" t="n">
        <v>1.4</v>
      </c>
      <c r="N379" t="n">
        <v>6</v>
      </c>
      <c r="O379" t="inlineStr">
        <is>
          <t>Direct</t>
        </is>
      </c>
    </row>
    <row r="380">
      <c r="A380" t="n">
        <v>46189</v>
      </c>
      <c r="B380" t="inlineStr">
        <is>
          <t>0000943210</t>
        </is>
      </c>
      <c r="C380" t="inlineStr">
        <is>
          <t>MEGH STEELS PRIVATE LIMITED - HMSIL</t>
        </is>
      </c>
      <c r="D380" t="inlineStr">
        <is>
          <t>KG</t>
        </is>
      </c>
      <c r="E380" t="n">
        <v>383</v>
      </c>
      <c r="F380" t="n">
        <v>2295.082</v>
      </c>
      <c r="G380" t="n">
        <v>1400</v>
      </c>
      <c r="H380" t="inlineStr">
        <is>
          <t>0789</t>
        </is>
      </c>
      <c r="I380" t="n">
        <v>1931848</v>
      </c>
      <c r="J380" t="inlineStr">
        <is>
          <t>TUB-O-N-AUT-AW-PE-19.05X1.400X6.0000</t>
        </is>
      </c>
      <c r="K380" t="n">
        <v>19.05</v>
      </c>
      <c r="L380" t="n">
        <v>0</v>
      </c>
      <c r="M380" t="n">
        <v>1.4</v>
      </c>
      <c r="N380" t="n">
        <v>6</v>
      </c>
      <c r="O380" t="inlineStr">
        <is>
          <t>Direct</t>
        </is>
      </c>
    </row>
    <row r="381">
      <c r="A381" t="n">
        <v>46189</v>
      </c>
      <c r="B381" t="inlineStr">
        <is>
          <t>0000943210</t>
        </is>
      </c>
      <c r="C381" t="inlineStr">
        <is>
          <t>MEGH STEELS PRIVATE LIMITED - HMSIL</t>
        </is>
      </c>
      <c r="D381" t="inlineStr">
        <is>
          <t>KG</t>
        </is>
      </c>
      <c r="E381" t="n">
        <v>627</v>
      </c>
      <c r="F381" t="n">
        <v>3763.934</v>
      </c>
      <c r="G381" t="n">
        <v>2296</v>
      </c>
      <c r="H381" t="inlineStr">
        <is>
          <t>0789</t>
        </is>
      </c>
      <c r="I381" t="n">
        <v>1931848</v>
      </c>
      <c r="J381" t="inlineStr">
        <is>
          <t>TUB-O-N-AUT-AW-PE-19.05X1.400X6.0000</t>
        </is>
      </c>
      <c r="K381" t="n">
        <v>19.05</v>
      </c>
      <c r="L381" t="n">
        <v>0</v>
      </c>
      <c r="M381" t="n">
        <v>1.4</v>
      </c>
      <c r="N381" t="n">
        <v>6</v>
      </c>
      <c r="O381" t="inlineStr">
        <is>
          <t>Direct</t>
        </is>
      </c>
    </row>
    <row r="382">
      <c r="A382" t="n">
        <v>46189</v>
      </c>
      <c r="B382" t="inlineStr">
        <is>
          <t>0000943210</t>
        </is>
      </c>
      <c r="C382" t="inlineStr">
        <is>
          <t>MEGH STEELS PRIVATE LIMITED - HMSIL</t>
        </is>
      </c>
      <c r="D382" t="inlineStr">
        <is>
          <t>KG</t>
        </is>
      </c>
      <c r="E382" t="n">
        <v>620</v>
      </c>
      <c r="F382" t="n">
        <v>3722.951</v>
      </c>
      <c r="G382" t="n">
        <v>2271</v>
      </c>
      <c r="H382" t="inlineStr">
        <is>
          <t>0789</t>
        </is>
      </c>
      <c r="I382" t="n">
        <v>1931848</v>
      </c>
      <c r="J382" t="inlineStr">
        <is>
          <t>TUB-O-N-AUT-AW-PE-19.05X1.400X6.0000</t>
        </is>
      </c>
      <c r="K382" t="n">
        <v>19.05</v>
      </c>
      <c r="L382" t="n">
        <v>0</v>
      </c>
      <c r="M382" t="n">
        <v>1.4</v>
      </c>
      <c r="N382" t="n">
        <v>6</v>
      </c>
      <c r="O382" t="inlineStr">
        <is>
          <t>Direct</t>
        </is>
      </c>
    </row>
    <row r="383">
      <c r="A383" t="n">
        <v>46189</v>
      </c>
      <c r="B383" t="inlineStr">
        <is>
          <t>0000943210</t>
        </is>
      </c>
      <c r="C383" t="inlineStr">
        <is>
          <t>MEGH STEELS PRIVATE LIMITED - HMSIL</t>
        </is>
      </c>
      <c r="D383" t="inlineStr">
        <is>
          <t>KG</t>
        </is>
      </c>
      <c r="E383" t="n">
        <v>778</v>
      </c>
      <c r="F383" t="n">
        <v>4670.492</v>
      </c>
      <c r="G383" t="n">
        <v>2849</v>
      </c>
      <c r="H383" t="inlineStr">
        <is>
          <t>0789</t>
        </is>
      </c>
      <c r="I383" t="n">
        <v>1931848</v>
      </c>
      <c r="J383" t="inlineStr">
        <is>
          <t>TUB-O-N-AUT-AW-PE-19.05X1.400X6.0000</t>
        </is>
      </c>
      <c r="K383" t="n">
        <v>19.05</v>
      </c>
      <c r="L383" t="n">
        <v>0</v>
      </c>
      <c r="M383" t="n">
        <v>1.4</v>
      </c>
      <c r="N383" t="n">
        <v>6</v>
      </c>
      <c r="O383" t="inlineStr">
        <is>
          <t>Direct</t>
        </is>
      </c>
    </row>
    <row r="384">
      <c r="A384" t="n">
        <v>46192</v>
      </c>
      <c r="B384" t="inlineStr">
        <is>
          <t>0000943209</t>
        </is>
      </c>
      <c r="C384" t="inlineStr">
        <is>
          <t>MEGH STEELS PRIVATE LIMITED - TVS A</t>
        </is>
      </c>
      <c r="D384" t="inlineStr">
        <is>
          <t>KG</t>
        </is>
      </c>
      <c r="E384" t="n">
        <v>558</v>
      </c>
      <c r="F384" t="n">
        <v>3347.944</v>
      </c>
      <c r="G384" t="n">
        <v>2226.42</v>
      </c>
      <c r="H384" t="inlineStr">
        <is>
          <t>4731</t>
        </is>
      </c>
      <c r="I384" t="n">
        <v>3498997</v>
      </c>
      <c r="J384" t="inlineStr">
        <is>
          <t>TUB-O-N-AUT-AW-PE-19.05X1.60X6.000-ERW 1</t>
        </is>
      </c>
      <c r="K384" t="n">
        <v>19.05</v>
      </c>
      <c r="L384" t="n">
        <v>0</v>
      </c>
      <c r="M384" t="n">
        <v>1.6</v>
      </c>
      <c r="N384" t="n">
        <v>6</v>
      </c>
      <c r="O384" t="inlineStr">
        <is>
          <t>Direct</t>
        </is>
      </c>
      <c r="P384" t="inlineStr">
        <is>
          <t>19.05-0-1.6-ERW 1-PE-6</t>
        </is>
      </c>
    </row>
    <row r="385">
      <c r="A385" t="n">
        <v>46192</v>
      </c>
      <c r="B385" t="inlineStr">
        <is>
          <t>0000943209</t>
        </is>
      </c>
      <c r="C385" t="inlineStr">
        <is>
          <t>MEGH STEELS PRIVATE LIMITED - TVS A</t>
        </is>
      </c>
      <c r="D385" t="inlineStr">
        <is>
          <t>KG</t>
        </is>
      </c>
      <c r="E385" t="n">
        <v>555</v>
      </c>
      <c r="F385" t="n">
        <v>3329.944</v>
      </c>
      <c r="G385" t="n">
        <v>2214.45</v>
      </c>
      <c r="H385" t="inlineStr">
        <is>
          <t>4731</t>
        </is>
      </c>
      <c r="I385" t="n">
        <v>3498997</v>
      </c>
      <c r="J385" t="inlineStr">
        <is>
          <t>TUB-O-N-AUT-AW-PE-19.05X1.60X6.000-ERW 1</t>
        </is>
      </c>
      <c r="K385" t="n">
        <v>19.05</v>
      </c>
      <c r="L385" t="n">
        <v>0</v>
      </c>
      <c r="M385" t="n">
        <v>1.6</v>
      </c>
      <c r="N385" t="n">
        <v>6</v>
      </c>
      <c r="O385" t="inlineStr">
        <is>
          <t>Direct</t>
        </is>
      </c>
      <c r="P385" t="inlineStr">
        <is>
          <t>19.05-0-1.6-ERW 1-PE-6</t>
        </is>
      </c>
    </row>
    <row r="386">
      <c r="A386" t="n">
        <v>46192</v>
      </c>
      <c r="B386" t="inlineStr">
        <is>
          <t>0000943209</t>
        </is>
      </c>
      <c r="C386" t="inlineStr">
        <is>
          <t>MEGH STEELS PRIVATE LIMITED - TVS A</t>
        </is>
      </c>
      <c r="D386" t="inlineStr">
        <is>
          <t>KG</t>
        </is>
      </c>
      <c r="E386" t="n">
        <v>558</v>
      </c>
      <c r="F386" t="n">
        <v>3347.944</v>
      </c>
      <c r="G386" t="n">
        <v>2226.42</v>
      </c>
      <c r="H386" t="inlineStr">
        <is>
          <t>4731</t>
        </is>
      </c>
      <c r="I386" t="n">
        <v>3498997</v>
      </c>
      <c r="J386" t="inlineStr">
        <is>
          <t>TUB-O-N-AUT-AW-PE-19.05X1.60X6.000-ERW 1</t>
        </is>
      </c>
      <c r="K386" t="n">
        <v>19.05</v>
      </c>
      <c r="L386" t="n">
        <v>0</v>
      </c>
      <c r="M386" t="n">
        <v>1.6</v>
      </c>
      <c r="N386" t="n">
        <v>6</v>
      </c>
      <c r="O386" t="inlineStr">
        <is>
          <t>Direct</t>
        </is>
      </c>
      <c r="P386" t="inlineStr">
        <is>
          <t>19.05-0-1.6-ERW 1-PE-6</t>
        </is>
      </c>
    </row>
    <row r="387">
      <c r="A387" t="n">
        <v>46192</v>
      </c>
      <c r="B387" t="inlineStr">
        <is>
          <t>0000943209</t>
        </is>
      </c>
      <c r="C387" t="inlineStr">
        <is>
          <t>MEGH STEELS PRIVATE LIMITED - TVS A</t>
        </is>
      </c>
      <c r="D387" t="inlineStr">
        <is>
          <t>KG</t>
        </is>
      </c>
      <c r="E387" t="n">
        <v>458</v>
      </c>
      <c r="F387" t="n">
        <v>2747.954</v>
      </c>
      <c r="G387" t="n">
        <v>1827.42</v>
      </c>
      <c r="H387" t="inlineStr">
        <is>
          <t>4731</t>
        </is>
      </c>
      <c r="I387" t="n">
        <v>3498997</v>
      </c>
      <c r="J387" t="inlineStr">
        <is>
          <t>TUB-O-N-AUT-AW-PE-19.05X1.60X6.000-ERW 1</t>
        </is>
      </c>
      <c r="K387" t="n">
        <v>19.05</v>
      </c>
      <c r="L387" t="n">
        <v>0</v>
      </c>
      <c r="M387" t="n">
        <v>1.6</v>
      </c>
      <c r="N387" t="n">
        <v>6</v>
      </c>
      <c r="O387" t="inlineStr">
        <is>
          <t>Direct</t>
        </is>
      </c>
      <c r="P387" t="inlineStr">
        <is>
          <t>19.05-0-1.6-ERW 1-PE-6</t>
        </is>
      </c>
    </row>
    <row r="388">
      <c r="A388" t="n">
        <v>46192</v>
      </c>
      <c r="B388" t="inlineStr">
        <is>
          <t>0000943209</t>
        </is>
      </c>
      <c r="C388" t="inlineStr">
        <is>
          <t>MEGH STEELS PRIVATE LIMITED - TVS A</t>
        </is>
      </c>
      <c r="D388" t="inlineStr">
        <is>
          <t>KG</t>
        </is>
      </c>
      <c r="E388" t="n">
        <v>3</v>
      </c>
      <c r="F388" t="n">
        <v>15.473</v>
      </c>
      <c r="G388" t="n">
        <v>10.29</v>
      </c>
      <c r="H388" t="inlineStr">
        <is>
          <t>4731</t>
        </is>
      </c>
      <c r="I388" t="n">
        <v>3498997</v>
      </c>
      <c r="J388" t="inlineStr">
        <is>
          <t>TUB-O-N-AUT-AW-PE-19.05X1.60X6.000-ERW 1</t>
        </is>
      </c>
      <c r="K388" t="n">
        <v>19.05</v>
      </c>
      <c r="L388" t="n">
        <v>0</v>
      </c>
      <c r="M388" t="n">
        <v>1.6</v>
      </c>
      <c r="N388" t="n">
        <v>6</v>
      </c>
      <c r="O388" t="inlineStr">
        <is>
          <t>Direct</t>
        </is>
      </c>
      <c r="P388" t="inlineStr">
        <is>
          <t>19.05-0-1.6-ERW 1-PE-6</t>
        </is>
      </c>
    </row>
    <row r="389">
      <c r="A389" t="n">
        <v>46192</v>
      </c>
      <c r="B389" t="inlineStr">
        <is>
          <t>0000943209</t>
        </is>
      </c>
      <c r="C389" t="inlineStr">
        <is>
          <t>MEGH STEELS PRIVATE LIMITED - TVS A</t>
        </is>
      </c>
      <c r="D389" t="inlineStr">
        <is>
          <t>KG</t>
        </is>
      </c>
      <c r="E389" t="n">
        <v>560</v>
      </c>
      <c r="F389" t="n">
        <v>3360.846</v>
      </c>
      <c r="G389" t="n">
        <v>2235</v>
      </c>
      <c r="H389" t="inlineStr">
        <is>
          <t>4731</t>
        </is>
      </c>
      <c r="I389" t="n">
        <v>3498997</v>
      </c>
      <c r="J389" t="inlineStr">
        <is>
          <t>TUB-O-N-AUT-AW-PE-19.05X1.60X6.000-ERW 1</t>
        </is>
      </c>
      <c r="K389" t="n">
        <v>19.05</v>
      </c>
      <c r="L389" t="n">
        <v>0</v>
      </c>
      <c r="M389" t="n">
        <v>1.6</v>
      </c>
      <c r="N389" t="n">
        <v>6</v>
      </c>
      <c r="O389" t="inlineStr">
        <is>
          <t>Direct</t>
        </is>
      </c>
      <c r="P389" t="inlineStr">
        <is>
          <t>19.05-0-1.6-ERW 1-PE-6</t>
        </is>
      </c>
    </row>
    <row r="390">
      <c r="A390" t="n">
        <v>46202</v>
      </c>
      <c r="B390" t="inlineStr">
        <is>
          <t>0000943209</t>
        </is>
      </c>
      <c r="C390" t="inlineStr">
        <is>
          <t>MEGH STEELS PRIVATE LIMITED - TVS A</t>
        </is>
      </c>
      <c r="D390" t="inlineStr">
        <is>
          <t>KG</t>
        </is>
      </c>
      <c r="E390" t="n">
        <v>419</v>
      </c>
      <c r="F390" t="n">
        <v>2514</v>
      </c>
      <c r="G390" t="n">
        <v>2278.103</v>
      </c>
      <c r="H390" t="inlineStr">
        <is>
          <t>056</t>
        </is>
      </c>
      <c r="I390" t="n">
        <v>3500097</v>
      </c>
      <c r="J390" t="inlineStr">
        <is>
          <t>TUB-O-N-AUT-AW-PE-25.40X1.60X6.000-ERW 1</t>
        </is>
      </c>
      <c r="K390" t="n">
        <v>25.4</v>
      </c>
      <c r="L390" t="n">
        <v>0</v>
      </c>
      <c r="M390" t="n">
        <v>1.6</v>
      </c>
      <c r="N390" t="n">
        <v>6</v>
      </c>
      <c r="O390" t="inlineStr">
        <is>
          <t>Direct</t>
        </is>
      </c>
      <c r="P390" t="inlineStr">
        <is>
          <t>25.4-0-1.6-ERW 1-PE-6</t>
        </is>
      </c>
    </row>
    <row r="391">
      <c r="A391" t="n">
        <v>46202</v>
      </c>
      <c r="B391" t="inlineStr">
        <is>
          <t>0000943209</t>
        </is>
      </c>
      <c r="C391" t="inlineStr">
        <is>
          <t>MEGH STEELS PRIVATE LIMITED - TVS A</t>
        </is>
      </c>
      <c r="D391" t="inlineStr">
        <is>
          <t>KG</t>
        </is>
      </c>
      <c r="E391" t="n">
        <v>418</v>
      </c>
      <c r="F391" t="n">
        <v>2508</v>
      </c>
      <c r="G391" t="n">
        <v>2272.666</v>
      </c>
      <c r="H391" t="inlineStr">
        <is>
          <t>056</t>
        </is>
      </c>
      <c r="I391" t="n">
        <v>3500097</v>
      </c>
      <c r="J391" t="inlineStr">
        <is>
          <t>TUB-O-N-AUT-AW-PE-25.40X1.60X6.000-ERW 1</t>
        </is>
      </c>
      <c r="K391" t="n">
        <v>25.4</v>
      </c>
      <c r="L391" t="n">
        <v>0</v>
      </c>
      <c r="M391" t="n">
        <v>1.6</v>
      </c>
      <c r="N391" t="n">
        <v>6</v>
      </c>
      <c r="O391" t="inlineStr">
        <is>
          <t>Direct</t>
        </is>
      </c>
      <c r="P391" t="inlineStr">
        <is>
          <t>25.4-0-1.6-ERW 1-PE-6</t>
        </is>
      </c>
    </row>
    <row r="392">
      <c r="A392" t="n">
        <v>46178</v>
      </c>
      <c r="B392" t="inlineStr">
        <is>
          <t>0000943209</t>
        </is>
      </c>
      <c r="C392" t="inlineStr">
        <is>
          <t>MEGH STEELS PRIVATE LIMITED - TVS A</t>
        </is>
      </c>
      <c r="D392" t="inlineStr">
        <is>
          <t>KG</t>
        </is>
      </c>
      <c r="E392" t="n">
        <v>420</v>
      </c>
      <c r="F392" t="n">
        <v>2520</v>
      </c>
      <c r="G392" t="n">
        <v>2283.54</v>
      </c>
      <c r="H392" t="inlineStr">
        <is>
          <t>056</t>
        </is>
      </c>
      <c r="I392" t="n">
        <v>3500097</v>
      </c>
      <c r="J392" t="inlineStr">
        <is>
          <t>TUB-O-N-AUT-AW-PE-25.40X1.60X6.000-ERW 1</t>
        </is>
      </c>
      <c r="K392" t="n">
        <v>25.4</v>
      </c>
      <c r="L392" t="n">
        <v>0</v>
      </c>
      <c r="M392" t="n">
        <v>1.6</v>
      </c>
      <c r="N392" t="n">
        <v>6</v>
      </c>
      <c r="O392" t="inlineStr">
        <is>
          <t>Direct</t>
        </is>
      </c>
      <c r="P392" t="inlineStr">
        <is>
          <t>25.4-0-1.6-ERW 1-PE-6</t>
        </is>
      </c>
    </row>
    <row r="393">
      <c r="A393" t="n">
        <v>46178</v>
      </c>
      <c r="B393" t="inlineStr">
        <is>
          <t>0000943209</t>
        </is>
      </c>
      <c r="C393" t="inlineStr">
        <is>
          <t>MEGH STEELS PRIVATE LIMITED - TVS A</t>
        </is>
      </c>
      <c r="D393" t="inlineStr">
        <is>
          <t>KG</t>
        </is>
      </c>
      <c r="E393" t="n">
        <v>418</v>
      </c>
      <c r="F393" t="n">
        <v>2508</v>
      </c>
      <c r="G393" t="n">
        <v>2272.666</v>
      </c>
      <c r="H393" t="inlineStr">
        <is>
          <t>056</t>
        </is>
      </c>
      <c r="I393" t="n">
        <v>3500097</v>
      </c>
      <c r="J393" t="inlineStr">
        <is>
          <t>TUB-O-N-AUT-AW-PE-25.40X1.60X6.000-ERW 1</t>
        </is>
      </c>
      <c r="K393" t="n">
        <v>25.4</v>
      </c>
      <c r="L393" t="n">
        <v>0</v>
      </c>
      <c r="M393" t="n">
        <v>1.6</v>
      </c>
      <c r="N393" t="n">
        <v>6</v>
      </c>
      <c r="O393" t="inlineStr">
        <is>
          <t>Direct</t>
        </is>
      </c>
      <c r="P393" t="inlineStr">
        <is>
          <t>25.4-0-1.6-ERW 1-PE-6</t>
        </is>
      </c>
    </row>
    <row r="394">
      <c r="A394" t="n">
        <v>46178</v>
      </c>
      <c r="B394" t="inlineStr">
        <is>
          <t>0000943209</t>
        </is>
      </c>
      <c r="C394" t="inlineStr">
        <is>
          <t>MEGH STEELS PRIVATE LIMITED - TVS A</t>
        </is>
      </c>
      <c r="D394" t="inlineStr">
        <is>
          <t>KG</t>
        </is>
      </c>
      <c r="E394" t="n">
        <v>333</v>
      </c>
      <c r="F394" t="n">
        <v>1998</v>
      </c>
      <c r="G394" t="n">
        <v>1810.521</v>
      </c>
      <c r="H394" t="inlineStr">
        <is>
          <t>056</t>
        </is>
      </c>
      <c r="I394" t="n">
        <v>3500097</v>
      </c>
      <c r="J394" t="inlineStr">
        <is>
          <t>TUB-O-N-AUT-AW-PE-25.40X1.60X6.000-ERW 1</t>
        </is>
      </c>
      <c r="K394" t="n">
        <v>25.4</v>
      </c>
      <c r="L394" t="n">
        <v>0</v>
      </c>
      <c r="M394" t="n">
        <v>1.6</v>
      </c>
      <c r="N394" t="n">
        <v>6</v>
      </c>
      <c r="O394" t="inlineStr">
        <is>
          <t>Direct</t>
        </is>
      </c>
      <c r="P394" t="inlineStr">
        <is>
          <t>25.4-0-1.6-ERW 1-PE-6</t>
        </is>
      </c>
    </row>
    <row r="395">
      <c r="A395" t="n">
        <v>46178</v>
      </c>
      <c r="B395" t="inlineStr">
        <is>
          <t>0000943209</t>
        </is>
      </c>
      <c r="C395" t="inlineStr">
        <is>
          <t>MEGH STEELS PRIVATE LIMITED - TVS A</t>
        </is>
      </c>
      <c r="D395" t="inlineStr">
        <is>
          <t>KG</t>
        </is>
      </c>
      <c r="E395" t="n">
        <v>419</v>
      </c>
      <c r="F395" t="n">
        <v>2514</v>
      </c>
      <c r="G395" t="n">
        <v>2278.103</v>
      </c>
      <c r="H395" t="inlineStr">
        <is>
          <t>056</t>
        </is>
      </c>
      <c r="I395" t="n">
        <v>3500097</v>
      </c>
      <c r="J395" t="inlineStr">
        <is>
          <t>TUB-O-N-AUT-AW-PE-25.40X1.60X6.000-ERW 1</t>
        </is>
      </c>
      <c r="K395" t="n">
        <v>25.4</v>
      </c>
      <c r="L395" t="n">
        <v>0</v>
      </c>
      <c r="M395" t="n">
        <v>1.6</v>
      </c>
      <c r="N395" t="n">
        <v>6</v>
      </c>
      <c r="O395" t="inlineStr">
        <is>
          <t>Direct</t>
        </is>
      </c>
      <c r="P395" t="inlineStr">
        <is>
          <t>25.4-0-1.6-ERW 1-PE-6</t>
        </is>
      </c>
    </row>
    <row r="396">
      <c r="A396" t="n">
        <v>46202</v>
      </c>
      <c r="B396" t="inlineStr">
        <is>
          <t>0000943209</t>
        </is>
      </c>
      <c r="C396" t="inlineStr">
        <is>
          <t>MEGH STEELS PRIVATE LIMITED - TVS A</t>
        </is>
      </c>
      <c r="D396" t="inlineStr">
        <is>
          <t>KG</t>
        </is>
      </c>
      <c r="E396" t="n">
        <v>419</v>
      </c>
      <c r="F396" t="n">
        <v>2514</v>
      </c>
      <c r="G396" t="n">
        <v>2278.103</v>
      </c>
      <c r="H396" t="inlineStr">
        <is>
          <t>056</t>
        </is>
      </c>
      <c r="I396" t="n">
        <v>3500097</v>
      </c>
      <c r="J396" t="inlineStr">
        <is>
          <t>TUB-O-N-AUT-AW-PE-25.40X1.60X6.000-ERW 1</t>
        </is>
      </c>
      <c r="K396" t="n">
        <v>25.4</v>
      </c>
      <c r="L396" t="n">
        <v>0</v>
      </c>
      <c r="M396" t="n">
        <v>1.6</v>
      </c>
      <c r="N396" t="n">
        <v>6</v>
      </c>
      <c r="O396" t="inlineStr">
        <is>
          <t>Direct</t>
        </is>
      </c>
      <c r="P396" t="inlineStr">
        <is>
          <t>25.4-0-1.6-ERW 1-PE-6</t>
        </is>
      </c>
    </row>
    <row r="397">
      <c r="A397" t="n">
        <v>46203</v>
      </c>
      <c r="B397" t="inlineStr">
        <is>
          <t>0000943209</t>
        </is>
      </c>
      <c r="C397" t="inlineStr">
        <is>
          <t>MEGH STEELS PRIVATE LIMITED - TVS A</t>
        </is>
      </c>
      <c r="D397" t="inlineStr">
        <is>
          <t>KG</t>
        </is>
      </c>
      <c r="E397" t="n">
        <v>420</v>
      </c>
      <c r="F397" t="n">
        <v>2520</v>
      </c>
      <c r="G397" t="n">
        <v>2283.54</v>
      </c>
      <c r="H397" t="inlineStr">
        <is>
          <t>056</t>
        </is>
      </c>
      <c r="I397" t="n">
        <v>3500097</v>
      </c>
      <c r="J397" t="inlineStr">
        <is>
          <t>TUB-O-N-AUT-AW-PE-25.40X1.60X6.000-ERW 1</t>
        </is>
      </c>
      <c r="K397" t="n">
        <v>25.4</v>
      </c>
      <c r="L397" t="n">
        <v>0</v>
      </c>
      <c r="M397" t="n">
        <v>1.6</v>
      </c>
      <c r="N397" t="n">
        <v>6</v>
      </c>
      <c r="O397" t="inlineStr">
        <is>
          <t>Direct</t>
        </is>
      </c>
      <c r="P397" t="inlineStr">
        <is>
          <t>25.4-0-1.6-ERW 1-PE-6</t>
        </is>
      </c>
    </row>
    <row r="398">
      <c r="A398" t="n">
        <v>46203</v>
      </c>
      <c r="B398" t="inlineStr">
        <is>
          <t>0000943209</t>
        </is>
      </c>
      <c r="C398" t="inlineStr">
        <is>
          <t>MEGH STEELS PRIVATE LIMITED - TVS A</t>
        </is>
      </c>
      <c r="D398" t="inlineStr">
        <is>
          <t>KG</t>
        </is>
      </c>
      <c r="E398" t="n">
        <v>420</v>
      </c>
      <c r="F398" t="n">
        <v>2520</v>
      </c>
      <c r="G398" t="n">
        <v>2283.54</v>
      </c>
      <c r="H398" t="inlineStr">
        <is>
          <t>056</t>
        </is>
      </c>
      <c r="I398" t="n">
        <v>3500097</v>
      </c>
      <c r="J398" t="inlineStr">
        <is>
          <t>TUB-O-N-AUT-AW-PE-25.40X1.60X6.000-ERW 1</t>
        </is>
      </c>
      <c r="K398" t="n">
        <v>25.4</v>
      </c>
      <c r="L398" t="n">
        <v>0</v>
      </c>
      <c r="M398" t="n">
        <v>1.6</v>
      </c>
      <c r="N398" t="n">
        <v>6</v>
      </c>
      <c r="O398" t="inlineStr">
        <is>
          <t>Direct</t>
        </is>
      </c>
      <c r="P398" t="inlineStr">
        <is>
          <t>25.4-0-1.6-ERW 1-PE-6</t>
        </is>
      </c>
    </row>
    <row r="399">
      <c r="A399" t="n">
        <v>46203</v>
      </c>
      <c r="B399" t="inlineStr">
        <is>
          <t>0000943209</t>
        </is>
      </c>
      <c r="C399" t="inlineStr">
        <is>
          <t>MEGH STEELS PRIVATE LIMITED - TVS A</t>
        </is>
      </c>
      <c r="D399" t="inlineStr">
        <is>
          <t>KG</t>
        </is>
      </c>
      <c r="E399" t="n">
        <v>420</v>
      </c>
      <c r="F399" t="n">
        <v>2520</v>
      </c>
      <c r="G399" t="n">
        <v>2283.54</v>
      </c>
      <c r="H399" t="inlineStr">
        <is>
          <t>056</t>
        </is>
      </c>
      <c r="I399" t="n">
        <v>3500097</v>
      </c>
      <c r="J399" t="inlineStr">
        <is>
          <t>TUB-O-N-AUT-AW-PE-25.40X1.60X6.000-ERW 1</t>
        </is>
      </c>
      <c r="K399" t="n">
        <v>25.4</v>
      </c>
      <c r="L399" t="n">
        <v>0</v>
      </c>
      <c r="M399" t="n">
        <v>1.6</v>
      </c>
      <c r="N399" t="n">
        <v>6</v>
      </c>
      <c r="O399" t="inlineStr">
        <is>
          <t>Direct</t>
        </is>
      </c>
      <c r="P399" t="inlineStr">
        <is>
          <t>25.4-0-1.6-ERW 1-PE-6</t>
        </is>
      </c>
    </row>
    <row r="400">
      <c r="A400" t="n">
        <v>46203</v>
      </c>
      <c r="B400" t="inlineStr">
        <is>
          <t>0000943209</t>
        </is>
      </c>
      <c r="C400" t="inlineStr">
        <is>
          <t>MEGH STEELS PRIVATE LIMITED - TVS A</t>
        </is>
      </c>
      <c r="D400" t="inlineStr">
        <is>
          <t>KG</t>
        </is>
      </c>
      <c r="E400" t="n">
        <v>420</v>
      </c>
      <c r="F400" t="n">
        <v>2520</v>
      </c>
      <c r="G400" t="n">
        <v>2283.54</v>
      </c>
      <c r="H400" t="inlineStr">
        <is>
          <t>056</t>
        </is>
      </c>
      <c r="I400" t="n">
        <v>3500097</v>
      </c>
      <c r="J400" t="inlineStr">
        <is>
          <t>TUB-O-N-AUT-AW-PE-25.40X1.60X6.000-ERW 1</t>
        </is>
      </c>
      <c r="K400" t="n">
        <v>25.4</v>
      </c>
      <c r="L400" t="n">
        <v>0</v>
      </c>
      <c r="M400" t="n">
        <v>1.6</v>
      </c>
      <c r="N400" t="n">
        <v>6</v>
      </c>
      <c r="O400" t="inlineStr">
        <is>
          <t>Direct</t>
        </is>
      </c>
      <c r="P400" t="inlineStr">
        <is>
          <t>25.4-0-1.6-ERW 1-PE-6</t>
        </is>
      </c>
    </row>
    <row r="401">
      <c r="A401" t="n">
        <v>46178</v>
      </c>
      <c r="B401" t="inlineStr">
        <is>
          <t>0000943209</t>
        </is>
      </c>
      <c r="C401" t="inlineStr">
        <is>
          <t>MEGH STEELS PRIVATE LIMITED - TVS A</t>
        </is>
      </c>
      <c r="D401" t="inlineStr">
        <is>
          <t>KG</t>
        </is>
      </c>
      <c r="E401" t="n">
        <v>419</v>
      </c>
      <c r="F401" t="n">
        <v>2513.997</v>
      </c>
      <c r="G401" t="n">
        <v>2278.1</v>
      </c>
      <c r="H401" t="inlineStr">
        <is>
          <t>056</t>
        </is>
      </c>
      <c r="I401" t="n">
        <v>3500097</v>
      </c>
      <c r="J401" t="inlineStr">
        <is>
          <t>TUB-O-N-AUT-AW-PE-25.40X1.60X6.000-ERW 1</t>
        </is>
      </c>
      <c r="K401" t="n">
        <v>25.4</v>
      </c>
      <c r="L401" t="n">
        <v>0</v>
      </c>
      <c r="M401" t="n">
        <v>1.6</v>
      </c>
      <c r="N401" t="n">
        <v>6</v>
      </c>
      <c r="O401" t="inlineStr">
        <is>
          <t>Direct</t>
        </is>
      </c>
      <c r="P401" t="inlineStr">
        <is>
          <t>25.4-0-1.6-ERW 1-PE-6</t>
        </is>
      </c>
    </row>
    <row r="402">
      <c r="A402" t="n">
        <v>46203</v>
      </c>
      <c r="B402" t="inlineStr">
        <is>
          <t>0000943209</t>
        </is>
      </c>
      <c r="C402" t="inlineStr">
        <is>
          <t>MEGH STEELS PRIVATE LIMITED - TVS A</t>
        </is>
      </c>
      <c r="D402" t="inlineStr">
        <is>
          <t>KG</t>
        </is>
      </c>
      <c r="E402" t="n">
        <v>417</v>
      </c>
      <c r="F402" t="n">
        <v>2502</v>
      </c>
      <c r="G402" t="n">
        <v>2267.229</v>
      </c>
      <c r="H402" t="inlineStr">
        <is>
          <t>056</t>
        </is>
      </c>
      <c r="I402" t="n">
        <v>3500097</v>
      </c>
      <c r="J402" t="inlineStr">
        <is>
          <t>TUB-O-N-AUT-AW-PE-25.40X1.60X6.000-ERW 1</t>
        </is>
      </c>
      <c r="K402" t="n">
        <v>25.4</v>
      </c>
      <c r="L402" t="n">
        <v>0</v>
      </c>
      <c r="M402" t="n">
        <v>1.6</v>
      </c>
      <c r="N402" t="n">
        <v>6</v>
      </c>
      <c r="O402" t="inlineStr">
        <is>
          <t>Direct</t>
        </is>
      </c>
      <c r="P402" t="inlineStr">
        <is>
          <t>25.4-0-1.6-ERW 1-PE-6</t>
        </is>
      </c>
    </row>
    <row r="403">
      <c r="A403" t="n">
        <v>46202</v>
      </c>
      <c r="B403" t="inlineStr">
        <is>
          <t>0000943209</t>
        </is>
      </c>
      <c r="C403" t="inlineStr">
        <is>
          <t>MEGH STEELS PRIVATE LIMITED - TVS A</t>
        </is>
      </c>
      <c r="D403" t="inlineStr">
        <is>
          <t>KG</t>
        </is>
      </c>
      <c r="E403" t="n">
        <v>418</v>
      </c>
      <c r="F403" t="n">
        <v>2508</v>
      </c>
      <c r="G403" t="n">
        <v>2272.666</v>
      </c>
      <c r="H403" t="inlineStr">
        <is>
          <t>056</t>
        </is>
      </c>
      <c r="I403" t="n">
        <v>3500097</v>
      </c>
      <c r="J403" t="inlineStr">
        <is>
          <t>TUB-O-N-AUT-AW-PE-25.40X1.60X6.000-ERW 1</t>
        </is>
      </c>
      <c r="K403" t="n">
        <v>25.4</v>
      </c>
      <c r="L403" t="n">
        <v>0</v>
      </c>
      <c r="M403" t="n">
        <v>1.6</v>
      </c>
      <c r="N403" t="n">
        <v>6</v>
      </c>
      <c r="O403" t="inlineStr">
        <is>
          <t>Direct</t>
        </is>
      </c>
      <c r="P403" t="inlineStr">
        <is>
          <t>25.4-0-1.6-ERW 1-PE-6</t>
        </is>
      </c>
    </row>
    <row r="404">
      <c r="A404" t="n">
        <v>46203</v>
      </c>
      <c r="B404" t="inlineStr">
        <is>
          <t>0000943209</t>
        </is>
      </c>
      <c r="C404" t="inlineStr">
        <is>
          <t>MEGH STEELS PRIVATE LIMITED - TVS A</t>
        </is>
      </c>
      <c r="D404" t="inlineStr">
        <is>
          <t>KG</t>
        </is>
      </c>
      <c r="E404" t="n">
        <v>420</v>
      </c>
      <c r="F404" t="n">
        <v>2520</v>
      </c>
      <c r="G404" t="n">
        <v>2283.54</v>
      </c>
      <c r="H404" t="inlineStr">
        <is>
          <t>056</t>
        </is>
      </c>
      <c r="I404" t="n">
        <v>3500097</v>
      </c>
      <c r="J404" t="inlineStr">
        <is>
          <t>TUB-O-N-AUT-AW-PE-25.40X1.60X6.000-ERW 1</t>
        </is>
      </c>
      <c r="K404" t="n">
        <v>25.4</v>
      </c>
      <c r="L404" t="n">
        <v>0</v>
      </c>
      <c r="M404" t="n">
        <v>1.6</v>
      </c>
      <c r="N404" t="n">
        <v>6</v>
      </c>
      <c r="O404" t="inlineStr">
        <is>
          <t>Direct</t>
        </is>
      </c>
      <c r="P404" t="inlineStr">
        <is>
          <t>25.4-0-1.6-ERW 1-PE-6</t>
        </is>
      </c>
    </row>
    <row r="405">
      <c r="A405" t="n">
        <v>46203</v>
      </c>
      <c r="B405" t="inlineStr">
        <is>
          <t>0000943209</t>
        </is>
      </c>
      <c r="C405" t="inlineStr">
        <is>
          <t>MEGH STEELS PRIVATE LIMITED - TVS A</t>
        </is>
      </c>
      <c r="D405" t="inlineStr">
        <is>
          <t>KG</t>
        </is>
      </c>
      <c r="E405" t="n">
        <v>419</v>
      </c>
      <c r="F405" t="n">
        <v>2514</v>
      </c>
      <c r="G405" t="n">
        <v>2278.103</v>
      </c>
      <c r="H405" t="inlineStr">
        <is>
          <t>056</t>
        </is>
      </c>
      <c r="I405" t="n">
        <v>3500097</v>
      </c>
      <c r="J405" t="inlineStr">
        <is>
          <t>TUB-O-N-AUT-AW-PE-25.40X1.60X6.000-ERW 1</t>
        </is>
      </c>
      <c r="K405" t="n">
        <v>25.4</v>
      </c>
      <c r="L405" t="n">
        <v>0</v>
      </c>
      <c r="M405" t="n">
        <v>1.6</v>
      </c>
      <c r="N405" t="n">
        <v>6</v>
      </c>
      <c r="O405" t="inlineStr">
        <is>
          <t>Direct</t>
        </is>
      </c>
      <c r="P405" t="inlineStr">
        <is>
          <t>25.4-0-1.6-ERW 1-PE-6</t>
        </is>
      </c>
    </row>
    <row r="406">
      <c r="A406" t="n">
        <v>46203</v>
      </c>
      <c r="B406" t="inlineStr">
        <is>
          <t>0000943209</t>
        </is>
      </c>
      <c r="C406" t="inlineStr">
        <is>
          <t>MEGH STEELS PRIVATE LIMITED - TVS A</t>
        </is>
      </c>
      <c r="D406" t="inlineStr">
        <is>
          <t>KG</t>
        </is>
      </c>
      <c r="E406" t="n">
        <v>419</v>
      </c>
      <c r="F406" t="n">
        <v>2514</v>
      </c>
      <c r="G406" t="n">
        <v>2278.103</v>
      </c>
      <c r="H406" t="inlineStr">
        <is>
          <t>056</t>
        </is>
      </c>
      <c r="I406" t="n">
        <v>3500097</v>
      </c>
      <c r="J406" t="inlineStr">
        <is>
          <t>TUB-O-N-AUT-AW-PE-25.40X1.60X6.000-ERW 1</t>
        </is>
      </c>
      <c r="K406" t="n">
        <v>25.4</v>
      </c>
      <c r="L406" t="n">
        <v>0</v>
      </c>
      <c r="M406" t="n">
        <v>1.6</v>
      </c>
      <c r="N406" t="n">
        <v>6</v>
      </c>
      <c r="O406" t="inlineStr">
        <is>
          <t>Direct</t>
        </is>
      </c>
      <c r="P406" t="inlineStr">
        <is>
          <t>25.4-0-1.6-ERW 1-PE-6</t>
        </is>
      </c>
    </row>
    <row r="407">
      <c r="A407" t="n">
        <v>46203</v>
      </c>
      <c r="B407" t="inlineStr">
        <is>
          <t>0000943209</t>
        </is>
      </c>
      <c r="C407" t="inlineStr">
        <is>
          <t>MEGH STEELS PRIVATE LIMITED - TVS A</t>
        </is>
      </c>
      <c r="D407" t="inlineStr">
        <is>
          <t>KG</t>
        </is>
      </c>
      <c r="E407" t="n">
        <v>420</v>
      </c>
      <c r="F407" t="n">
        <v>2520</v>
      </c>
      <c r="G407" t="n">
        <v>2283.54</v>
      </c>
      <c r="H407" t="inlineStr">
        <is>
          <t>056</t>
        </is>
      </c>
      <c r="I407" t="n">
        <v>3500097</v>
      </c>
      <c r="J407" t="inlineStr">
        <is>
          <t>TUB-O-N-AUT-AW-PE-25.40X1.60X6.000-ERW 1</t>
        </is>
      </c>
      <c r="K407" t="n">
        <v>25.4</v>
      </c>
      <c r="L407" t="n">
        <v>0</v>
      </c>
      <c r="M407" t="n">
        <v>1.6</v>
      </c>
      <c r="N407" t="n">
        <v>6</v>
      </c>
      <c r="O407" t="inlineStr">
        <is>
          <t>Direct</t>
        </is>
      </c>
      <c r="P407" t="inlineStr">
        <is>
          <t>25.4-0-1.6-ERW 1-PE-6</t>
        </is>
      </c>
    </row>
    <row r="408">
      <c r="A408" t="n">
        <v>46202</v>
      </c>
      <c r="B408" t="inlineStr">
        <is>
          <t>0000943209</t>
        </is>
      </c>
      <c r="C408" t="inlineStr">
        <is>
          <t>MEGH STEELS PRIVATE LIMITED - TVS A</t>
        </is>
      </c>
      <c r="D408" t="inlineStr">
        <is>
          <t>KG</t>
        </is>
      </c>
      <c r="E408" t="n">
        <v>419</v>
      </c>
      <c r="F408" t="n">
        <v>2514</v>
      </c>
      <c r="G408" t="n">
        <v>2278.103</v>
      </c>
      <c r="H408" t="inlineStr">
        <is>
          <t>056</t>
        </is>
      </c>
      <c r="I408" t="n">
        <v>3500097</v>
      </c>
      <c r="J408" t="inlineStr">
        <is>
          <t>TUB-O-N-AUT-AW-PE-25.40X1.60X6.000-ERW 1</t>
        </is>
      </c>
      <c r="K408" t="n">
        <v>25.4</v>
      </c>
      <c r="L408" t="n">
        <v>0</v>
      </c>
      <c r="M408" t="n">
        <v>1.6</v>
      </c>
      <c r="N408" t="n">
        <v>6</v>
      </c>
      <c r="O408" t="inlineStr">
        <is>
          <t>Direct</t>
        </is>
      </c>
      <c r="P408" t="inlineStr">
        <is>
          <t>25.4-0-1.6-ERW 1-PE-6</t>
        </is>
      </c>
    </row>
    <row r="409">
      <c r="A409" t="n">
        <v>46202</v>
      </c>
      <c r="B409" t="inlineStr">
        <is>
          <t>0000943209</t>
        </is>
      </c>
      <c r="C409" t="inlineStr">
        <is>
          <t>MEGH STEELS PRIVATE LIMITED - TVS A</t>
        </is>
      </c>
      <c r="D409" t="inlineStr">
        <is>
          <t>KG</t>
        </is>
      </c>
      <c r="E409" t="n">
        <v>416</v>
      </c>
      <c r="F409" t="n">
        <v>2496</v>
      </c>
      <c r="G409" t="n">
        <v>2261.792</v>
      </c>
      <c r="H409" t="inlineStr">
        <is>
          <t>056</t>
        </is>
      </c>
      <c r="I409" t="n">
        <v>3500097</v>
      </c>
      <c r="J409" t="inlineStr">
        <is>
          <t>TUB-O-N-AUT-AW-PE-25.40X1.60X6.000-ERW 1</t>
        </is>
      </c>
      <c r="K409" t="n">
        <v>25.4</v>
      </c>
      <c r="L409" t="n">
        <v>0</v>
      </c>
      <c r="M409" t="n">
        <v>1.6</v>
      </c>
      <c r="N409" t="n">
        <v>6</v>
      </c>
      <c r="O409" t="inlineStr">
        <is>
          <t>Direct</t>
        </is>
      </c>
      <c r="P409" t="inlineStr">
        <is>
          <t>25.4-0-1.6-ERW 1-PE-6</t>
        </is>
      </c>
    </row>
    <row r="410">
      <c r="A410" t="n">
        <v>46202</v>
      </c>
      <c r="B410" t="inlineStr">
        <is>
          <t>0000943209</t>
        </is>
      </c>
      <c r="C410" t="inlineStr">
        <is>
          <t>MEGH STEELS PRIVATE LIMITED - TVS A</t>
        </is>
      </c>
      <c r="D410" t="inlineStr">
        <is>
          <t>KG</t>
        </is>
      </c>
      <c r="E410" t="n">
        <v>418</v>
      </c>
      <c r="F410" t="n">
        <v>2508</v>
      </c>
      <c r="G410" t="n">
        <v>2272.666</v>
      </c>
      <c r="H410" t="inlineStr">
        <is>
          <t>056</t>
        </is>
      </c>
      <c r="I410" t="n">
        <v>3500097</v>
      </c>
      <c r="J410" t="inlineStr">
        <is>
          <t>TUB-O-N-AUT-AW-PE-25.40X1.60X6.000-ERW 1</t>
        </is>
      </c>
      <c r="K410" t="n">
        <v>25.4</v>
      </c>
      <c r="L410" t="n">
        <v>0</v>
      </c>
      <c r="M410" t="n">
        <v>1.6</v>
      </c>
      <c r="N410" t="n">
        <v>6</v>
      </c>
      <c r="O410" t="inlineStr">
        <is>
          <t>Direct</t>
        </is>
      </c>
      <c r="P410" t="inlineStr">
        <is>
          <t>25.4-0-1.6-ERW 1-PE-6</t>
        </is>
      </c>
    </row>
    <row r="411">
      <c r="A411" t="n">
        <v>46202</v>
      </c>
      <c r="B411" t="inlineStr">
        <is>
          <t>0000943209</t>
        </is>
      </c>
      <c r="C411" t="inlineStr">
        <is>
          <t>MEGH STEELS PRIVATE LIMITED - TVS A</t>
        </is>
      </c>
      <c r="D411" t="inlineStr">
        <is>
          <t>KG</t>
        </is>
      </c>
      <c r="E411" t="n">
        <v>419</v>
      </c>
      <c r="F411" t="n">
        <v>2514</v>
      </c>
      <c r="G411" t="n">
        <v>2278.103</v>
      </c>
      <c r="H411" t="inlineStr">
        <is>
          <t>056</t>
        </is>
      </c>
      <c r="I411" t="n">
        <v>3500097</v>
      </c>
      <c r="J411" t="inlineStr">
        <is>
          <t>TUB-O-N-AUT-AW-PE-25.40X1.60X6.000-ERW 1</t>
        </is>
      </c>
      <c r="K411" t="n">
        <v>25.4</v>
      </c>
      <c r="L411" t="n">
        <v>0</v>
      </c>
      <c r="M411" t="n">
        <v>1.6</v>
      </c>
      <c r="N411" t="n">
        <v>6</v>
      </c>
      <c r="O411" t="inlineStr">
        <is>
          <t>Direct</t>
        </is>
      </c>
      <c r="P411" t="inlineStr">
        <is>
          <t>25.4-0-1.6-ERW 1-PE-6</t>
        </is>
      </c>
    </row>
    <row r="412">
      <c r="A412" t="n">
        <v>46202</v>
      </c>
      <c r="B412" t="inlineStr">
        <is>
          <t>0000943209</t>
        </is>
      </c>
      <c r="C412" t="inlineStr">
        <is>
          <t>MEGH STEELS PRIVATE LIMITED - TVS A</t>
        </is>
      </c>
      <c r="D412" t="inlineStr">
        <is>
          <t>KG</t>
        </is>
      </c>
      <c r="E412" t="n">
        <v>419</v>
      </c>
      <c r="F412" t="n">
        <v>2514</v>
      </c>
      <c r="G412" t="n">
        <v>2278.103</v>
      </c>
      <c r="H412" t="inlineStr">
        <is>
          <t>056</t>
        </is>
      </c>
      <c r="I412" t="n">
        <v>3500097</v>
      </c>
      <c r="J412" t="inlineStr">
        <is>
          <t>TUB-O-N-AUT-AW-PE-25.40X1.60X6.000-ERW 1</t>
        </is>
      </c>
      <c r="K412" t="n">
        <v>25.4</v>
      </c>
      <c r="L412" t="n">
        <v>0</v>
      </c>
      <c r="M412" t="n">
        <v>1.6</v>
      </c>
      <c r="N412" t="n">
        <v>6</v>
      </c>
      <c r="O412" t="inlineStr">
        <is>
          <t>Direct</t>
        </is>
      </c>
      <c r="P412" t="inlineStr">
        <is>
          <t>25.4-0-1.6-ERW 1-PE-6</t>
        </is>
      </c>
    </row>
    <row r="413">
      <c r="A413" t="n">
        <v>46202</v>
      </c>
      <c r="B413" t="inlineStr">
        <is>
          <t>0000943209</t>
        </is>
      </c>
      <c r="C413" t="inlineStr">
        <is>
          <t>MEGH STEELS PRIVATE LIMITED - TVS A</t>
        </is>
      </c>
      <c r="D413" t="inlineStr">
        <is>
          <t>KG</t>
        </is>
      </c>
      <c r="E413" t="n">
        <v>419</v>
      </c>
      <c r="F413" t="n">
        <v>2514</v>
      </c>
      <c r="G413" t="n">
        <v>2278.103</v>
      </c>
      <c r="H413" t="inlineStr">
        <is>
          <t>056</t>
        </is>
      </c>
      <c r="I413" t="n">
        <v>3500097</v>
      </c>
      <c r="J413" t="inlineStr">
        <is>
          <t>TUB-O-N-AUT-AW-PE-25.40X1.60X6.000-ERW 1</t>
        </is>
      </c>
      <c r="K413" t="n">
        <v>25.4</v>
      </c>
      <c r="L413" t="n">
        <v>0</v>
      </c>
      <c r="M413" t="n">
        <v>1.6</v>
      </c>
      <c r="N413" t="n">
        <v>6</v>
      </c>
      <c r="O413" t="inlineStr">
        <is>
          <t>Direct</t>
        </is>
      </c>
      <c r="P413" t="inlineStr">
        <is>
          <t>25.4-0-1.6-ERW 1-PE-6</t>
        </is>
      </c>
    </row>
    <row r="414">
      <c r="A414" t="n">
        <v>46202</v>
      </c>
      <c r="B414" t="inlineStr">
        <is>
          <t>0000943209</t>
        </is>
      </c>
      <c r="C414" t="inlineStr">
        <is>
          <t>MEGH STEELS PRIVATE LIMITED - TVS A</t>
        </is>
      </c>
      <c r="D414" t="inlineStr">
        <is>
          <t>KG</t>
        </is>
      </c>
      <c r="E414" t="n">
        <v>419</v>
      </c>
      <c r="F414" t="n">
        <v>2514</v>
      </c>
      <c r="G414" t="n">
        <v>2278.103</v>
      </c>
      <c r="H414" t="inlineStr">
        <is>
          <t>056</t>
        </is>
      </c>
      <c r="I414" t="n">
        <v>3500097</v>
      </c>
      <c r="J414" t="inlineStr">
        <is>
          <t>TUB-O-N-AUT-AW-PE-25.40X1.60X6.000-ERW 1</t>
        </is>
      </c>
      <c r="K414" t="n">
        <v>25.4</v>
      </c>
      <c r="L414" t="n">
        <v>0</v>
      </c>
      <c r="M414" t="n">
        <v>1.6</v>
      </c>
      <c r="N414" t="n">
        <v>6</v>
      </c>
      <c r="O414" t="inlineStr">
        <is>
          <t>Direct</t>
        </is>
      </c>
      <c r="P414" t="inlineStr">
        <is>
          <t>25.4-0-1.6-ERW 1-PE-6</t>
        </is>
      </c>
    </row>
    <row r="415">
      <c r="A415" t="n">
        <v>46202</v>
      </c>
      <c r="B415" t="inlineStr">
        <is>
          <t>0000943209</t>
        </is>
      </c>
      <c r="C415" t="inlineStr">
        <is>
          <t>MEGH STEELS PRIVATE LIMITED - TVS A</t>
        </is>
      </c>
      <c r="D415" t="inlineStr">
        <is>
          <t>KG</t>
        </is>
      </c>
      <c r="E415" t="n">
        <v>419</v>
      </c>
      <c r="F415" t="n">
        <v>2514</v>
      </c>
      <c r="G415" t="n">
        <v>2278.103</v>
      </c>
      <c r="H415" t="inlineStr">
        <is>
          <t>056</t>
        </is>
      </c>
      <c r="I415" t="n">
        <v>3500097</v>
      </c>
      <c r="J415" t="inlineStr">
        <is>
          <t>TUB-O-N-AUT-AW-PE-25.40X1.60X6.000-ERW 1</t>
        </is>
      </c>
      <c r="K415" t="n">
        <v>25.4</v>
      </c>
      <c r="L415" t="n">
        <v>0</v>
      </c>
      <c r="M415" t="n">
        <v>1.6</v>
      </c>
      <c r="N415" t="n">
        <v>6</v>
      </c>
      <c r="O415" t="inlineStr">
        <is>
          <t>Direct</t>
        </is>
      </c>
      <c r="P415" t="inlineStr">
        <is>
          <t>25.4-0-1.6-ERW 1-PE-6</t>
        </is>
      </c>
    </row>
    <row r="416">
      <c r="A416" t="n">
        <v>46202</v>
      </c>
      <c r="B416" t="inlineStr">
        <is>
          <t>0000943209</t>
        </is>
      </c>
      <c r="C416" t="inlineStr">
        <is>
          <t>MEGH STEELS PRIVATE LIMITED - TVS A</t>
        </is>
      </c>
      <c r="D416" t="inlineStr">
        <is>
          <t>KG</t>
        </is>
      </c>
      <c r="E416" t="n">
        <v>417</v>
      </c>
      <c r="F416" t="n">
        <v>2502</v>
      </c>
      <c r="G416" t="n">
        <v>2267.229</v>
      </c>
      <c r="H416" t="inlineStr">
        <is>
          <t>056</t>
        </is>
      </c>
      <c r="I416" t="n">
        <v>3500097</v>
      </c>
      <c r="J416" t="inlineStr">
        <is>
          <t>TUB-O-N-AUT-AW-PE-25.40X1.60X6.000-ERW 1</t>
        </is>
      </c>
      <c r="K416" t="n">
        <v>25.4</v>
      </c>
      <c r="L416" t="n">
        <v>0</v>
      </c>
      <c r="M416" t="n">
        <v>1.6</v>
      </c>
      <c r="N416" t="n">
        <v>6</v>
      </c>
      <c r="O416" t="inlineStr">
        <is>
          <t>Direct</t>
        </is>
      </c>
      <c r="P416" t="inlineStr">
        <is>
          <t>25.4-0-1.6-ERW 1-PE-6</t>
        </is>
      </c>
    </row>
    <row r="417">
      <c r="A417" t="n">
        <v>46202</v>
      </c>
      <c r="B417" t="inlineStr">
        <is>
          <t>0000943209</t>
        </is>
      </c>
      <c r="C417" t="inlineStr">
        <is>
          <t>MEGH STEELS PRIVATE LIMITED - TVS A</t>
        </is>
      </c>
      <c r="D417" t="inlineStr">
        <is>
          <t>KG</t>
        </is>
      </c>
      <c r="E417" t="n">
        <v>420</v>
      </c>
      <c r="F417" t="n">
        <v>2520</v>
      </c>
      <c r="G417" t="n">
        <v>2283.54</v>
      </c>
      <c r="H417" t="inlineStr">
        <is>
          <t>056</t>
        </is>
      </c>
      <c r="I417" t="n">
        <v>3500097</v>
      </c>
      <c r="J417" t="inlineStr">
        <is>
          <t>TUB-O-N-AUT-AW-PE-25.40X1.60X6.000-ERW 1</t>
        </is>
      </c>
      <c r="K417" t="n">
        <v>25.4</v>
      </c>
      <c r="L417" t="n">
        <v>0</v>
      </c>
      <c r="M417" t="n">
        <v>1.6</v>
      </c>
      <c r="N417" t="n">
        <v>6</v>
      </c>
      <c r="O417" t="inlineStr">
        <is>
          <t>Direct</t>
        </is>
      </c>
      <c r="P417" t="inlineStr">
        <is>
          <t>25.4-0-1.6-ERW 1-PE-6</t>
        </is>
      </c>
    </row>
    <row r="418">
      <c r="A418" t="n">
        <v>46203</v>
      </c>
      <c r="B418" t="inlineStr">
        <is>
          <t>0000943209</t>
        </is>
      </c>
      <c r="C418" t="inlineStr">
        <is>
          <t>MEGH STEELS PRIVATE LIMITED - TVS A</t>
        </is>
      </c>
      <c r="D418" t="inlineStr">
        <is>
          <t>KG</t>
        </is>
      </c>
      <c r="E418" t="n">
        <v>226</v>
      </c>
      <c r="F418" t="n">
        <v>1354.032</v>
      </c>
      <c r="G418" t="n">
        <v>2512</v>
      </c>
      <c r="H418" t="inlineStr">
        <is>
          <t>0789</t>
        </is>
      </c>
      <c r="I418" t="n">
        <v>1940925</v>
      </c>
      <c r="J418" t="inlineStr">
        <is>
          <t>TUB-E-AW-AUT-59.00X30.00X1.600X6.0000</t>
        </is>
      </c>
      <c r="K418" t="n">
        <v>59</v>
      </c>
      <c r="L418" t="n">
        <v>30</v>
      </c>
      <c r="M418" t="n">
        <v>1.6</v>
      </c>
      <c r="N418" t="n">
        <v>6</v>
      </c>
      <c r="O418" t="inlineStr">
        <is>
          <t>Direct</t>
        </is>
      </c>
      <c r="P418" t="inlineStr">
        <is>
          <t>59-30-1.6-ERW 1-FIN CUT-6</t>
        </is>
      </c>
    </row>
    <row r="419">
      <c r="A419" t="n">
        <v>46203</v>
      </c>
      <c r="B419" t="inlineStr">
        <is>
          <t>0000943209</t>
        </is>
      </c>
      <c r="C419" t="inlineStr">
        <is>
          <t>MEGH STEELS PRIVATE LIMITED - TVS A</t>
        </is>
      </c>
      <c r="D419" t="inlineStr">
        <is>
          <t>KG</t>
        </is>
      </c>
      <c r="E419" t="n">
        <v>234</v>
      </c>
      <c r="F419" t="n">
        <v>1405.778</v>
      </c>
      <c r="G419" t="n">
        <v>2608</v>
      </c>
      <c r="H419" t="inlineStr">
        <is>
          <t>0789</t>
        </is>
      </c>
      <c r="I419" t="n">
        <v>1940925</v>
      </c>
      <c r="J419" t="inlineStr">
        <is>
          <t>TUB-E-AW-AUT-59.00X30.00X1.600X6.0000</t>
        </is>
      </c>
      <c r="K419" t="n">
        <v>59</v>
      </c>
      <c r="L419" t="n">
        <v>30</v>
      </c>
      <c r="M419" t="n">
        <v>1.6</v>
      </c>
      <c r="N419" t="n">
        <v>6</v>
      </c>
      <c r="O419" t="inlineStr">
        <is>
          <t>Direct</t>
        </is>
      </c>
      <c r="P419" t="inlineStr">
        <is>
          <t>59-30-1.6-ERW 1-FIN CUT-6</t>
        </is>
      </c>
    </row>
    <row r="420">
      <c r="A420" t="n">
        <v>46203</v>
      </c>
      <c r="B420" t="inlineStr">
        <is>
          <t>0000943209</t>
        </is>
      </c>
      <c r="C420" t="inlineStr">
        <is>
          <t>MEGH STEELS PRIVATE LIMITED - TVS A</t>
        </is>
      </c>
      <c r="D420" t="inlineStr">
        <is>
          <t>KG</t>
        </is>
      </c>
      <c r="E420" t="n">
        <v>117</v>
      </c>
      <c r="F420" t="n">
        <v>703.242</v>
      </c>
      <c r="G420" t="n">
        <v>1974</v>
      </c>
      <c r="H420" t="inlineStr">
        <is>
          <t>4731</t>
        </is>
      </c>
      <c r="I420" t="n">
        <v>3702875</v>
      </c>
      <c r="J420" t="inlineStr">
        <is>
          <t>TUB-O-N-AUT-AW-FC-60.30X2.000X6.0000</t>
        </is>
      </c>
      <c r="K420" t="n">
        <v>60.3</v>
      </c>
      <c r="L420" t="n">
        <v>0</v>
      </c>
      <c r="M420" t="n">
        <v>2</v>
      </c>
      <c r="N420" t="n">
        <v>6</v>
      </c>
      <c r="O420" t="inlineStr">
        <is>
          <t>Direct</t>
        </is>
      </c>
      <c r="P420" t="inlineStr">
        <is>
          <t>60.3-0-2-ERW 1-FC-5.9</t>
        </is>
      </c>
    </row>
    <row r="421">
      <c r="A421" t="n">
        <v>46203</v>
      </c>
      <c r="B421" t="inlineStr">
        <is>
          <t>0000943209</t>
        </is>
      </c>
      <c r="C421" t="inlineStr">
        <is>
          <t>MEGH STEELS PRIVATE LIMITED - TVS A</t>
        </is>
      </c>
      <c r="D421" t="inlineStr">
        <is>
          <t>KG</t>
        </is>
      </c>
      <c r="E421" t="n">
        <v>128</v>
      </c>
      <c r="F421" t="n">
        <v>769.505</v>
      </c>
      <c r="G421" t="n">
        <v>2160</v>
      </c>
      <c r="H421" t="inlineStr">
        <is>
          <t>4731</t>
        </is>
      </c>
      <c r="I421" t="n">
        <v>3702875</v>
      </c>
      <c r="J421" t="inlineStr">
        <is>
          <t>TUB-O-N-AUT-AW-FC-60.30X2.000X6.0000</t>
        </is>
      </c>
      <c r="K421" t="n">
        <v>60.3</v>
      </c>
      <c r="L421" t="n">
        <v>0</v>
      </c>
      <c r="M421" t="n">
        <v>2</v>
      </c>
      <c r="N421" t="n">
        <v>6</v>
      </c>
      <c r="O421" t="inlineStr">
        <is>
          <t>Direct</t>
        </is>
      </c>
      <c r="P421" t="inlineStr">
        <is>
          <t>60.3-0-2-ERW 1-FC-5.9</t>
        </is>
      </c>
    </row>
    <row r="422">
      <c r="A422" t="n">
        <v>46203</v>
      </c>
      <c r="B422" t="inlineStr">
        <is>
          <t>0000943209</t>
        </is>
      </c>
      <c r="C422" t="inlineStr">
        <is>
          <t>MEGH STEELS PRIVATE LIMITED - TVS A</t>
        </is>
      </c>
      <c r="D422" t="inlineStr">
        <is>
          <t>KG</t>
        </is>
      </c>
      <c r="E422" t="n">
        <v>7</v>
      </c>
      <c r="F422" t="n">
        <v>41.931</v>
      </c>
      <c r="G422" t="n">
        <v>117.7</v>
      </c>
      <c r="H422" t="inlineStr">
        <is>
          <t>4731</t>
        </is>
      </c>
      <c r="I422" t="n">
        <v>3702875</v>
      </c>
      <c r="J422" t="inlineStr">
        <is>
          <t>TUB-O-N-AUT-AW-FC-60.30X2.000X6.0000</t>
        </is>
      </c>
      <c r="K422" t="n">
        <v>60.3</v>
      </c>
      <c r="L422" t="n">
        <v>0</v>
      </c>
      <c r="M422" t="n">
        <v>2</v>
      </c>
      <c r="N422" t="n">
        <v>6</v>
      </c>
      <c r="O422" t="inlineStr">
        <is>
          <t>Direct</t>
        </is>
      </c>
      <c r="P422" t="inlineStr">
        <is>
          <t>60.3-0-2-ERW 1-FC-5.9</t>
        </is>
      </c>
    </row>
    <row r="423">
      <c r="A423" t="n">
        <v>46203</v>
      </c>
      <c r="B423" t="inlineStr">
        <is>
          <t>0000943209</t>
        </is>
      </c>
      <c r="C423" t="inlineStr">
        <is>
          <t>MEGH STEELS PRIVATE LIMITED - TVS A</t>
        </is>
      </c>
      <c r="D423" t="inlineStr">
        <is>
          <t>KG</t>
        </is>
      </c>
      <c r="E423" t="n">
        <v>114</v>
      </c>
      <c r="F423" t="n">
        <v>685.073</v>
      </c>
      <c r="G423" t="n">
        <v>1923</v>
      </c>
      <c r="H423" t="inlineStr">
        <is>
          <t>4731</t>
        </is>
      </c>
      <c r="I423" t="n">
        <v>3702875</v>
      </c>
      <c r="J423" t="inlineStr">
        <is>
          <t>TUB-O-N-AUT-AW-FC-60.30X2.000X6.0000</t>
        </is>
      </c>
      <c r="K423" t="n">
        <v>60.3</v>
      </c>
      <c r="L423" t="n">
        <v>0</v>
      </c>
      <c r="M423" t="n">
        <v>2</v>
      </c>
      <c r="N423" t="n">
        <v>6</v>
      </c>
      <c r="O423" t="inlineStr">
        <is>
          <t>Direct</t>
        </is>
      </c>
      <c r="P423" t="inlineStr">
        <is>
          <t>60.3-0-2-ERW 1-FC-5.9</t>
        </is>
      </c>
    </row>
    <row r="424">
      <c r="A424" t="n">
        <v>46177</v>
      </c>
      <c r="B424" t="inlineStr">
        <is>
          <t>0000943209</t>
        </is>
      </c>
      <c r="C424" t="inlineStr">
        <is>
          <t>MEGH STEELS PRIVATE LIMITED - TVS A</t>
        </is>
      </c>
      <c r="D424" t="inlineStr">
        <is>
          <t>KG</t>
        </is>
      </c>
      <c r="E424" t="n">
        <v>82</v>
      </c>
      <c r="F424" t="n">
        <v>491.628</v>
      </c>
      <c r="G424" t="n">
        <v>1380</v>
      </c>
      <c r="H424" t="inlineStr">
        <is>
          <t>0788</t>
        </is>
      </c>
      <c r="I424" t="n">
        <v>3702875</v>
      </c>
      <c r="J424" t="inlineStr">
        <is>
          <t>TUB-O-N-AUT-AW-FC-60.30X2.000X6.0000</t>
        </is>
      </c>
      <c r="K424" t="n">
        <v>60.3</v>
      </c>
      <c r="L424" t="n">
        <v>0</v>
      </c>
      <c r="M424" t="n">
        <v>2</v>
      </c>
      <c r="N424" t="n">
        <v>6</v>
      </c>
      <c r="O424" t="inlineStr">
        <is>
          <t>Direct</t>
        </is>
      </c>
      <c r="P424" t="inlineStr">
        <is>
          <t>60.3-0-2-ERW 1-FC-5.9</t>
        </is>
      </c>
    </row>
    <row r="425">
      <c r="A425" t="n">
        <v>46177</v>
      </c>
      <c r="B425" t="inlineStr">
        <is>
          <t>0000943209</t>
        </is>
      </c>
      <c r="C425" t="inlineStr">
        <is>
          <t>MEGH STEELS PRIVATE LIMITED - TVS A</t>
        </is>
      </c>
      <c r="D425" t="inlineStr">
        <is>
          <t>KG</t>
        </is>
      </c>
      <c r="E425" t="n">
        <v>76</v>
      </c>
      <c r="F425" t="n">
        <v>454.578</v>
      </c>
      <c r="G425" t="n">
        <v>1276</v>
      </c>
      <c r="H425" t="inlineStr">
        <is>
          <t>0788</t>
        </is>
      </c>
      <c r="I425" t="n">
        <v>3702875</v>
      </c>
      <c r="J425" t="inlineStr">
        <is>
          <t>TUB-O-N-AUT-AW-FC-60.30X2.000X6.0000</t>
        </is>
      </c>
      <c r="K425" t="n">
        <v>60.3</v>
      </c>
      <c r="L425" t="n">
        <v>0</v>
      </c>
      <c r="M425" t="n">
        <v>2</v>
      </c>
      <c r="N425" t="n">
        <v>6</v>
      </c>
      <c r="O425" t="inlineStr">
        <is>
          <t>Direct</t>
        </is>
      </c>
      <c r="P425" t="inlineStr">
        <is>
          <t>60.3-0-2-ERW 1-FC-5.9</t>
        </is>
      </c>
    </row>
    <row r="426">
      <c r="A426" t="n">
        <v>46177</v>
      </c>
      <c r="B426" t="inlineStr">
        <is>
          <t>0000943209</t>
        </is>
      </c>
      <c r="C426" t="inlineStr">
        <is>
          <t>MEGH STEELS PRIVATE LIMITED - TVS A</t>
        </is>
      </c>
      <c r="D426" t="inlineStr">
        <is>
          <t>KG</t>
        </is>
      </c>
      <c r="E426" t="n">
        <v>109</v>
      </c>
      <c r="F426" t="n">
        <v>651.229</v>
      </c>
      <c r="G426" t="n">
        <v>1828</v>
      </c>
      <c r="H426" t="inlineStr">
        <is>
          <t>0788</t>
        </is>
      </c>
      <c r="I426" t="n">
        <v>3702875</v>
      </c>
      <c r="J426" t="inlineStr">
        <is>
          <t>TUB-O-N-AUT-AW-FC-60.30X2.000X6.0000</t>
        </is>
      </c>
      <c r="K426" t="n">
        <v>60.3</v>
      </c>
      <c r="L426" t="n">
        <v>0</v>
      </c>
      <c r="M426" t="n">
        <v>2</v>
      </c>
      <c r="N426" t="n">
        <v>6</v>
      </c>
      <c r="O426" t="inlineStr">
        <is>
          <t>Direct</t>
        </is>
      </c>
      <c r="P426" t="inlineStr">
        <is>
          <t>60.3-0-2-ERW 1-FC-5.9</t>
        </is>
      </c>
    </row>
    <row r="427">
      <c r="A427" t="n">
        <v>46177</v>
      </c>
      <c r="B427" t="inlineStr">
        <is>
          <t>0000943209</t>
        </is>
      </c>
      <c r="C427" t="inlineStr">
        <is>
          <t>MEGH STEELS PRIVATE LIMITED - TVS A</t>
        </is>
      </c>
      <c r="D427" t="inlineStr">
        <is>
          <t>KG</t>
        </is>
      </c>
      <c r="E427" t="n">
        <v>92</v>
      </c>
      <c r="F427" t="n">
        <v>552.903</v>
      </c>
      <c r="G427" t="n">
        <v>1552</v>
      </c>
      <c r="H427" t="inlineStr">
        <is>
          <t>0788</t>
        </is>
      </c>
      <c r="I427" t="n">
        <v>3702875</v>
      </c>
      <c r="J427" t="inlineStr">
        <is>
          <t>TUB-O-N-AUT-AW-FC-60.30X2.000X6.0000</t>
        </is>
      </c>
      <c r="K427" t="n">
        <v>60.3</v>
      </c>
      <c r="L427" t="n">
        <v>0</v>
      </c>
      <c r="M427" t="n">
        <v>2</v>
      </c>
      <c r="N427" t="n">
        <v>6</v>
      </c>
      <c r="O427" t="inlineStr">
        <is>
          <t>Direct</t>
        </is>
      </c>
      <c r="P427" t="inlineStr">
        <is>
          <t>60.3-0-2-ERW 1-FC-5.9</t>
        </is>
      </c>
    </row>
    <row r="428">
      <c r="A428" t="n">
        <v>46203</v>
      </c>
      <c r="B428" t="inlineStr">
        <is>
          <t>0000943209</t>
        </is>
      </c>
      <c r="C428" t="inlineStr">
        <is>
          <t>MEGH STEELS PRIVATE LIMITED - TVS A</t>
        </is>
      </c>
      <c r="D428" t="inlineStr">
        <is>
          <t>KG</t>
        </is>
      </c>
      <c r="E428" t="n">
        <v>105</v>
      </c>
      <c r="F428" t="n">
        <v>629.854</v>
      </c>
      <c r="G428" t="n">
        <v>1768</v>
      </c>
      <c r="H428" t="inlineStr">
        <is>
          <t>4731</t>
        </is>
      </c>
      <c r="I428" t="n">
        <v>3702875</v>
      </c>
      <c r="J428" t="inlineStr">
        <is>
          <t>TUB-O-N-AUT-AW-FC-60.30X2.000X6.0000</t>
        </is>
      </c>
      <c r="K428" t="n">
        <v>60.3</v>
      </c>
      <c r="L428" t="n">
        <v>0</v>
      </c>
      <c r="M428" t="n">
        <v>2</v>
      </c>
      <c r="N428" t="n">
        <v>6</v>
      </c>
      <c r="O428" t="inlineStr">
        <is>
          <t>Direct</t>
        </is>
      </c>
      <c r="P428" t="inlineStr">
        <is>
          <t>60.3-0-2-ERW 1-FC-5.9</t>
        </is>
      </c>
    </row>
    <row r="429">
      <c r="A429" t="n">
        <v>46203</v>
      </c>
      <c r="B429" t="inlineStr">
        <is>
          <t>0000943209</t>
        </is>
      </c>
      <c r="C429" t="inlineStr">
        <is>
          <t>MEGH STEELS PRIVATE LIMITED - TVS A</t>
        </is>
      </c>
      <c r="D429" t="inlineStr">
        <is>
          <t>KG</t>
        </is>
      </c>
      <c r="E429" t="n">
        <v>120</v>
      </c>
      <c r="F429" t="n">
        <v>722.123</v>
      </c>
      <c r="G429" t="n">
        <v>2027</v>
      </c>
      <c r="H429" t="inlineStr">
        <is>
          <t>4731</t>
        </is>
      </c>
      <c r="I429" t="n">
        <v>3702875</v>
      </c>
      <c r="J429" t="inlineStr">
        <is>
          <t>TUB-O-N-AUT-AW-FC-60.30X2.000X6.0000</t>
        </is>
      </c>
      <c r="K429" t="n">
        <v>60.3</v>
      </c>
      <c r="L429" t="n">
        <v>0</v>
      </c>
      <c r="M429" t="n">
        <v>2</v>
      </c>
      <c r="N429" t="n">
        <v>6</v>
      </c>
      <c r="O429" t="inlineStr">
        <is>
          <t>Direct</t>
        </is>
      </c>
      <c r="P429" t="inlineStr">
        <is>
          <t>60.3-0-2-ERW 1-FC-5.9</t>
        </is>
      </c>
    </row>
    <row r="430">
      <c r="A430" t="n">
        <v>46203</v>
      </c>
      <c r="B430" t="inlineStr">
        <is>
          <t>0000943209</t>
        </is>
      </c>
      <c r="C430" t="inlineStr">
        <is>
          <t>MEGH STEELS PRIVATE LIMITED - TVS A</t>
        </is>
      </c>
      <c r="D430" t="inlineStr">
        <is>
          <t>KG</t>
        </is>
      </c>
      <c r="E430" t="n">
        <v>113</v>
      </c>
      <c r="F430" t="n">
        <v>679.0170000000001</v>
      </c>
      <c r="G430" t="n">
        <v>1906</v>
      </c>
      <c r="H430" t="inlineStr">
        <is>
          <t>4731</t>
        </is>
      </c>
      <c r="I430" t="n">
        <v>3702875</v>
      </c>
      <c r="J430" t="inlineStr">
        <is>
          <t>TUB-O-N-AUT-AW-FC-60.30X2.000X6.0000</t>
        </is>
      </c>
      <c r="K430" t="n">
        <v>60.3</v>
      </c>
      <c r="L430" t="n">
        <v>0</v>
      </c>
      <c r="M430" t="n">
        <v>2</v>
      </c>
      <c r="N430" t="n">
        <v>6</v>
      </c>
      <c r="O430" t="inlineStr">
        <is>
          <t>Direct</t>
        </is>
      </c>
      <c r="P430" t="inlineStr">
        <is>
          <t>60.3-0-2-ERW 1-FC-5.9</t>
        </is>
      </c>
    </row>
    <row r="431">
      <c r="A431" t="n">
        <v>46203</v>
      </c>
      <c r="B431" t="inlineStr">
        <is>
          <t>0000943209</t>
        </is>
      </c>
      <c r="C431" t="inlineStr">
        <is>
          <t>MEGH STEELS PRIVATE LIMITED - TVS A</t>
        </is>
      </c>
      <c r="D431" t="inlineStr">
        <is>
          <t>KG</t>
        </is>
      </c>
      <c r="E431" t="n">
        <v>87</v>
      </c>
      <c r="F431" t="n">
        <v>522.016</v>
      </c>
      <c r="G431" t="n">
        <v>1465.3</v>
      </c>
      <c r="H431" t="inlineStr">
        <is>
          <t>4731</t>
        </is>
      </c>
      <c r="I431" t="n">
        <v>3702875</v>
      </c>
      <c r="J431" t="inlineStr">
        <is>
          <t>TUB-O-N-AUT-AW-FC-60.30X2.000X6.0000</t>
        </is>
      </c>
      <c r="K431" t="n">
        <v>60.3</v>
      </c>
      <c r="L431" t="n">
        <v>0</v>
      </c>
      <c r="M431" t="n">
        <v>2</v>
      </c>
      <c r="N431" t="n">
        <v>6</v>
      </c>
      <c r="O431" t="inlineStr">
        <is>
          <t>Direct</t>
        </is>
      </c>
      <c r="P431" t="inlineStr">
        <is>
          <t>60.3-0-2-ERW 1-FC-5.9</t>
        </is>
      </c>
    </row>
    <row r="432">
      <c r="A432" t="n">
        <v>46203</v>
      </c>
      <c r="B432" t="inlineStr">
        <is>
          <t>0000943209</t>
        </is>
      </c>
      <c r="C432" t="inlineStr">
        <is>
          <t>MEGH STEELS PRIVATE LIMITED - TVS A</t>
        </is>
      </c>
      <c r="D432" t="inlineStr">
        <is>
          <t>KG</t>
        </is>
      </c>
      <c r="E432" t="n">
        <v>36</v>
      </c>
      <c r="F432" t="n">
        <v>216.245</v>
      </c>
      <c r="G432" t="n">
        <v>607</v>
      </c>
      <c r="H432" t="inlineStr">
        <is>
          <t>4731</t>
        </is>
      </c>
      <c r="I432" t="n">
        <v>3702875</v>
      </c>
      <c r="J432" t="inlineStr">
        <is>
          <t>TUB-O-N-AUT-AW-FC-60.30X2.000X6.0000</t>
        </is>
      </c>
      <c r="K432" t="n">
        <v>60.3</v>
      </c>
      <c r="L432" t="n">
        <v>0</v>
      </c>
      <c r="M432" t="n">
        <v>2</v>
      </c>
      <c r="N432" t="n">
        <v>6</v>
      </c>
      <c r="O432" t="inlineStr">
        <is>
          <t>Direct</t>
        </is>
      </c>
      <c r="P432" t="inlineStr">
        <is>
          <t>60.3-0-2-ERW 1-FC-5.9</t>
        </is>
      </c>
    </row>
    <row r="433">
      <c r="A433" t="n">
        <v>46177</v>
      </c>
      <c r="B433" t="inlineStr">
        <is>
          <t>0000943209</t>
        </is>
      </c>
      <c r="C433" t="inlineStr">
        <is>
          <t>MEGH STEELS PRIVATE LIMITED - TVS A</t>
        </is>
      </c>
      <c r="D433" t="inlineStr">
        <is>
          <t>KG</t>
        </is>
      </c>
      <c r="E433" t="n">
        <v>81</v>
      </c>
      <c r="F433" t="n">
        <v>485.216</v>
      </c>
      <c r="G433" t="n">
        <v>1362</v>
      </c>
      <c r="H433" t="inlineStr">
        <is>
          <t>0788</t>
        </is>
      </c>
      <c r="I433" t="n">
        <v>3702875</v>
      </c>
      <c r="J433" t="inlineStr">
        <is>
          <t>TUB-O-N-AUT-AW-FC-60.30X2.000X6.0000</t>
        </is>
      </c>
      <c r="K433" t="n">
        <v>60.3</v>
      </c>
      <c r="L433" t="n">
        <v>0</v>
      </c>
      <c r="M433" t="n">
        <v>2</v>
      </c>
      <c r="N433" t="n">
        <v>6</v>
      </c>
      <c r="O433" t="inlineStr">
        <is>
          <t>Direct</t>
        </is>
      </c>
      <c r="P433" t="inlineStr">
        <is>
          <t>60.3-0-2-ERW 1-FC-5.9</t>
        </is>
      </c>
    </row>
    <row r="434">
      <c r="A434" t="n">
        <v>46177</v>
      </c>
      <c r="B434" t="inlineStr">
        <is>
          <t>0000943209</t>
        </is>
      </c>
      <c r="C434" t="inlineStr">
        <is>
          <t>MEGH STEELS PRIVATE LIMITED - TVS A</t>
        </is>
      </c>
      <c r="D434" t="inlineStr">
        <is>
          <t>KG</t>
        </is>
      </c>
      <c r="E434" t="n">
        <v>95</v>
      </c>
      <c r="F434" t="n">
        <v>571.429</v>
      </c>
      <c r="G434" t="n">
        <v>1604</v>
      </c>
      <c r="H434" t="inlineStr">
        <is>
          <t>0788</t>
        </is>
      </c>
      <c r="I434" t="n">
        <v>3702875</v>
      </c>
      <c r="J434" t="inlineStr">
        <is>
          <t>TUB-O-N-AUT-AW-FC-60.30X2.000X6.0000</t>
        </is>
      </c>
      <c r="K434" t="n">
        <v>60.3</v>
      </c>
      <c r="L434" t="n">
        <v>0</v>
      </c>
      <c r="M434" t="n">
        <v>2</v>
      </c>
      <c r="N434" t="n">
        <v>6</v>
      </c>
      <c r="O434" t="inlineStr">
        <is>
          <t>Direct</t>
        </is>
      </c>
      <c r="P434" t="inlineStr">
        <is>
          <t>60.3-0-2-ERW 1-FC-5.9</t>
        </is>
      </c>
    </row>
    <row r="435">
      <c r="A435" t="n">
        <v>46177</v>
      </c>
      <c r="B435" t="inlineStr">
        <is>
          <t>0000943209</t>
        </is>
      </c>
      <c r="C435" t="inlineStr">
        <is>
          <t>MEGH STEELS PRIVATE LIMITED - TVS A</t>
        </is>
      </c>
      <c r="D435" t="inlineStr">
        <is>
          <t>KG</t>
        </is>
      </c>
      <c r="E435" t="n">
        <v>56</v>
      </c>
      <c r="F435" t="n">
        <v>337.727</v>
      </c>
      <c r="G435" t="n">
        <v>948</v>
      </c>
      <c r="H435" t="inlineStr">
        <is>
          <t>0788</t>
        </is>
      </c>
      <c r="I435" t="n">
        <v>3702875</v>
      </c>
      <c r="J435" t="inlineStr">
        <is>
          <t>TUB-O-N-AUT-AW-FC-60.30X2.000X6.0000</t>
        </is>
      </c>
      <c r="K435" t="n">
        <v>60.3</v>
      </c>
      <c r="L435" t="n">
        <v>0</v>
      </c>
      <c r="M435" t="n">
        <v>2</v>
      </c>
      <c r="N435" t="n">
        <v>6</v>
      </c>
      <c r="O435" t="inlineStr">
        <is>
          <t>Direct</t>
        </is>
      </c>
      <c r="P435" t="inlineStr">
        <is>
          <t>60.3-0-2-ERW 1-FC-5.9</t>
        </is>
      </c>
    </row>
    <row r="436">
      <c r="A436" t="n">
        <v>46177</v>
      </c>
      <c r="B436" t="inlineStr">
        <is>
          <t>0000943209</t>
        </is>
      </c>
      <c r="C436" t="inlineStr">
        <is>
          <t>MEGH STEELS PRIVATE LIMITED - TVS A</t>
        </is>
      </c>
      <c r="D436" t="inlineStr">
        <is>
          <t>KG</t>
        </is>
      </c>
      <c r="E436" t="n">
        <v>78</v>
      </c>
      <c r="F436" t="n">
        <v>467.047</v>
      </c>
      <c r="G436" t="n">
        <v>1311</v>
      </c>
      <c r="H436" t="inlineStr">
        <is>
          <t>0788</t>
        </is>
      </c>
      <c r="I436" t="n">
        <v>3702875</v>
      </c>
      <c r="J436" t="inlineStr">
        <is>
          <t>TUB-O-N-AUT-AW-FC-60.30X2.000X6.0000</t>
        </is>
      </c>
      <c r="K436" t="n">
        <v>60.3</v>
      </c>
      <c r="L436" t="n">
        <v>0</v>
      </c>
      <c r="M436" t="n">
        <v>2</v>
      </c>
      <c r="N436" t="n">
        <v>6</v>
      </c>
      <c r="O436" t="inlineStr">
        <is>
          <t>Direct</t>
        </is>
      </c>
      <c r="P436" t="inlineStr">
        <is>
          <t>60.3-0-2-ERW 1-FC-5.9</t>
        </is>
      </c>
    </row>
    <row r="437">
      <c r="A437" t="n">
        <v>46203</v>
      </c>
      <c r="B437" t="inlineStr">
        <is>
          <t>0000943209</t>
        </is>
      </c>
      <c r="C437" t="inlineStr">
        <is>
          <t>MEGH STEELS PRIVATE LIMITED - TVS A</t>
        </is>
      </c>
      <c r="D437" t="inlineStr">
        <is>
          <t>KG</t>
        </is>
      </c>
      <c r="E437" t="n">
        <v>103</v>
      </c>
      <c r="F437" t="n">
        <v>620.591</v>
      </c>
      <c r="G437" t="n">
        <v>1742</v>
      </c>
      <c r="H437" t="inlineStr">
        <is>
          <t>4731</t>
        </is>
      </c>
      <c r="I437" t="n">
        <v>3702875</v>
      </c>
      <c r="J437" t="inlineStr">
        <is>
          <t>TUB-O-N-AUT-AW-FC-60.30X2.000X6.0000</t>
        </is>
      </c>
      <c r="K437" t="n">
        <v>60.3</v>
      </c>
      <c r="L437" t="n">
        <v>0</v>
      </c>
      <c r="M437" t="n">
        <v>2</v>
      </c>
      <c r="N437" t="n">
        <v>6</v>
      </c>
      <c r="O437" t="inlineStr">
        <is>
          <t>Direct</t>
        </is>
      </c>
      <c r="P437" t="inlineStr">
        <is>
          <t>60.3-0-2-ERW 1-FC-5.9</t>
        </is>
      </c>
    </row>
    <row r="438">
      <c r="A438" t="n">
        <v>46197</v>
      </c>
      <c r="B438" t="inlineStr">
        <is>
          <t>0000943211</t>
        </is>
      </c>
      <c r="C438" t="inlineStr">
        <is>
          <t>MEGH STEELS PRIVATE LIMITED - RE</t>
        </is>
      </c>
      <c r="D438" t="inlineStr">
        <is>
          <t>KG</t>
        </is>
      </c>
      <c r="E438" t="n">
        <v>104</v>
      </c>
      <c r="F438" t="n">
        <v>621.1849999999999</v>
      </c>
      <c r="G438" t="n">
        <v>1038</v>
      </c>
      <c r="H438" t="inlineStr">
        <is>
          <t>0789</t>
        </is>
      </c>
      <c r="I438" t="n">
        <v>1940684</v>
      </c>
      <c r="J438" t="inlineStr">
        <is>
          <t>TUB-O-O-AUT-AW-FC-31.75X2.300X6.0000</t>
        </is>
      </c>
      <c r="K438" t="n">
        <v>31.75</v>
      </c>
      <c r="L438" t="n">
        <v>0</v>
      </c>
      <c r="M438" t="n">
        <v>2.3</v>
      </c>
      <c r="N438" t="n">
        <v>6</v>
      </c>
      <c r="O438" t="inlineStr">
        <is>
          <t>Direct</t>
        </is>
      </c>
      <c r="P438" t="inlineStr">
        <is>
          <t>31.75-0-2.3-ERW 1-FC-5.92</t>
        </is>
      </c>
    </row>
    <row r="439">
      <c r="A439" t="n">
        <v>46197</v>
      </c>
      <c r="B439" t="inlineStr">
        <is>
          <t>0000943211</t>
        </is>
      </c>
      <c r="C439" t="inlineStr">
        <is>
          <t>MEGH STEELS PRIVATE LIMITED - RE</t>
        </is>
      </c>
      <c r="D439" t="inlineStr">
        <is>
          <t>KG</t>
        </is>
      </c>
      <c r="E439" t="n">
        <v>160</v>
      </c>
      <c r="F439" t="n">
        <v>959.904</v>
      </c>
      <c r="G439" t="n">
        <v>1604</v>
      </c>
      <c r="H439" t="inlineStr">
        <is>
          <t>0789</t>
        </is>
      </c>
      <c r="I439" t="n">
        <v>1940684</v>
      </c>
      <c r="J439" t="inlineStr">
        <is>
          <t>TUB-O-O-AUT-AW-FC-31.75X2.300X6.0000</t>
        </is>
      </c>
      <c r="K439" t="n">
        <v>31.75</v>
      </c>
      <c r="L439" t="n">
        <v>0</v>
      </c>
      <c r="M439" t="n">
        <v>2.3</v>
      </c>
      <c r="N439" t="n">
        <v>6</v>
      </c>
      <c r="O439" t="inlineStr">
        <is>
          <t>Direct</t>
        </is>
      </c>
      <c r="P439" t="inlineStr">
        <is>
          <t>31.75-0-2.3-ERW 1-FC-5.92</t>
        </is>
      </c>
    </row>
    <row r="440">
      <c r="A440" t="n">
        <v>46197</v>
      </c>
      <c r="B440" t="inlineStr">
        <is>
          <t>0000943211</t>
        </is>
      </c>
      <c r="C440" t="inlineStr">
        <is>
          <t>MEGH STEELS PRIVATE LIMITED - RE</t>
        </is>
      </c>
      <c r="D440" t="inlineStr">
        <is>
          <t>KG</t>
        </is>
      </c>
      <c r="E440" t="n">
        <v>143</v>
      </c>
      <c r="F440" t="n">
        <v>859.9640000000001</v>
      </c>
      <c r="G440" t="n">
        <v>1437</v>
      </c>
      <c r="H440" t="inlineStr">
        <is>
          <t>0789</t>
        </is>
      </c>
      <c r="I440" t="n">
        <v>1940684</v>
      </c>
      <c r="J440" t="inlineStr">
        <is>
          <t>TUB-O-O-AUT-AW-FC-31.75X2.300X6.0000</t>
        </is>
      </c>
      <c r="K440" t="n">
        <v>31.75</v>
      </c>
      <c r="L440" t="n">
        <v>0</v>
      </c>
      <c r="M440" t="n">
        <v>2.3</v>
      </c>
      <c r="N440" t="n">
        <v>6</v>
      </c>
      <c r="O440" t="inlineStr">
        <is>
          <t>Direct</t>
        </is>
      </c>
      <c r="P440" t="inlineStr">
        <is>
          <t>31.75-0-2.3-ERW 1-FC-5.92</t>
        </is>
      </c>
    </row>
    <row r="441">
      <c r="A441" t="n">
        <v>46197</v>
      </c>
      <c r="B441" t="inlineStr">
        <is>
          <t>0000943211</t>
        </is>
      </c>
      <c r="C441" t="inlineStr">
        <is>
          <t>MEGH STEELS PRIVATE LIMITED - RE</t>
        </is>
      </c>
      <c r="D441" t="inlineStr">
        <is>
          <t>KG</t>
        </is>
      </c>
      <c r="E441" t="n">
        <v>143</v>
      </c>
      <c r="F441" t="n">
        <v>858.7670000000001</v>
      </c>
      <c r="G441" t="n">
        <v>1435</v>
      </c>
      <c r="H441" t="inlineStr">
        <is>
          <t>0789</t>
        </is>
      </c>
      <c r="I441" t="n">
        <v>1940684</v>
      </c>
      <c r="J441" t="inlineStr">
        <is>
          <t>TUB-O-O-AUT-AW-FC-31.75X2.300X6.0000</t>
        </is>
      </c>
      <c r="K441" t="n">
        <v>31.75</v>
      </c>
      <c r="L441" t="n">
        <v>0</v>
      </c>
      <c r="M441" t="n">
        <v>2.3</v>
      </c>
      <c r="N441" t="n">
        <v>6</v>
      </c>
      <c r="O441" t="inlineStr">
        <is>
          <t>Direct</t>
        </is>
      </c>
      <c r="P441" t="inlineStr">
        <is>
          <t>31.75-0-2.3-ERW 1-FC-5.92</t>
        </is>
      </c>
    </row>
    <row r="442">
      <c r="A442" t="n">
        <v>46199</v>
      </c>
      <c r="B442" t="inlineStr">
        <is>
          <t>0000943211</t>
        </is>
      </c>
      <c r="C442" t="inlineStr">
        <is>
          <t>MEGH STEELS PRIVATE LIMITED - RE</t>
        </is>
      </c>
      <c r="D442" t="inlineStr">
        <is>
          <t>KG</t>
        </is>
      </c>
      <c r="E442" t="n">
        <v>129</v>
      </c>
      <c r="F442" t="n">
        <v>771.549</v>
      </c>
      <c r="G442" t="n">
        <v>2125</v>
      </c>
      <c r="H442" t="inlineStr">
        <is>
          <t>0788</t>
        </is>
      </c>
      <c r="I442" t="n">
        <v>3500699</v>
      </c>
      <c r="J442" t="inlineStr">
        <is>
          <t>TUB-O-C-AUT-AD-FC-38.1X3.20X6.0BSVI-CEW1</t>
        </is>
      </c>
      <c r="K442" t="n">
        <v>38.1</v>
      </c>
      <c r="L442" t="n">
        <v>0</v>
      </c>
      <c r="M442" t="n">
        <v>3.2</v>
      </c>
      <c r="N442" t="n">
        <v>6</v>
      </c>
      <c r="O442" t="inlineStr">
        <is>
          <t>Direct</t>
        </is>
      </c>
    </row>
    <row r="443">
      <c r="A443" t="n">
        <v>46199</v>
      </c>
      <c r="B443" t="inlineStr">
        <is>
          <t>0000943211</t>
        </is>
      </c>
      <c r="C443" t="inlineStr">
        <is>
          <t>MEGH STEELS PRIVATE LIMITED - RE</t>
        </is>
      </c>
      <c r="D443" t="inlineStr">
        <is>
          <t>KG</t>
        </is>
      </c>
      <c r="E443" t="n">
        <v>96</v>
      </c>
      <c r="F443" t="n">
        <v>573.669</v>
      </c>
      <c r="G443" t="n">
        <v>1580</v>
      </c>
      <c r="H443" t="inlineStr">
        <is>
          <t>0788</t>
        </is>
      </c>
      <c r="I443" t="n">
        <v>3500699</v>
      </c>
      <c r="J443" t="inlineStr">
        <is>
          <t>TUB-O-C-AUT-AD-FC-38.1X3.20X6.0BSVI-CEW1</t>
        </is>
      </c>
      <c r="K443" t="n">
        <v>38.1</v>
      </c>
      <c r="L443" t="n">
        <v>0</v>
      </c>
      <c r="M443" t="n">
        <v>3.2</v>
      </c>
      <c r="N443" t="n">
        <v>6</v>
      </c>
      <c r="O443" t="inlineStr">
        <is>
          <t>Direct</t>
        </is>
      </c>
    </row>
    <row r="444">
      <c r="A444" t="n">
        <v>46199</v>
      </c>
      <c r="B444" t="inlineStr">
        <is>
          <t>0000943211</t>
        </is>
      </c>
      <c r="C444" t="inlineStr">
        <is>
          <t>MEGH STEELS PRIVATE LIMITED - RE</t>
        </is>
      </c>
      <c r="D444" t="inlineStr">
        <is>
          <t>KG</t>
        </is>
      </c>
      <c r="E444" t="n">
        <v>114</v>
      </c>
      <c r="F444" t="n">
        <v>681.505</v>
      </c>
      <c r="G444" t="n">
        <v>1877</v>
      </c>
      <c r="H444" t="inlineStr">
        <is>
          <t>0788</t>
        </is>
      </c>
      <c r="I444" t="n">
        <v>3500699</v>
      </c>
      <c r="J444" t="inlineStr">
        <is>
          <t>TUB-O-C-AUT-AD-FC-38.1X3.20X6.0BSVI-CEW1</t>
        </is>
      </c>
      <c r="K444" t="n">
        <v>38.1</v>
      </c>
      <c r="L444" t="n">
        <v>0</v>
      </c>
      <c r="M444" t="n">
        <v>3.2</v>
      </c>
      <c r="N444" t="n">
        <v>6</v>
      </c>
      <c r="O444" t="inlineStr">
        <is>
          <t>Direct</t>
        </is>
      </c>
    </row>
    <row r="445">
      <c r="A445" t="n">
        <v>46199</v>
      </c>
      <c r="B445" t="inlineStr">
        <is>
          <t>0000943211</t>
        </is>
      </c>
      <c r="C445" t="inlineStr">
        <is>
          <t>MEGH STEELS PRIVATE LIMITED - RE</t>
        </is>
      </c>
      <c r="D445" t="inlineStr">
        <is>
          <t>KG</t>
        </is>
      </c>
      <c r="E445" t="n">
        <v>131</v>
      </c>
      <c r="F445" t="n">
        <v>783.5309999999999</v>
      </c>
      <c r="G445" t="n">
        <v>2158</v>
      </c>
      <c r="H445" t="inlineStr">
        <is>
          <t>0788</t>
        </is>
      </c>
      <c r="I445" t="n">
        <v>3500699</v>
      </c>
      <c r="J445" t="inlineStr">
        <is>
          <t>TUB-O-C-AUT-AD-FC-38.1X3.20X6.0BSVI-CEW1</t>
        </is>
      </c>
      <c r="K445" t="n">
        <v>38.1</v>
      </c>
      <c r="L445" t="n">
        <v>0</v>
      </c>
      <c r="M445" t="n">
        <v>3.2</v>
      </c>
      <c r="N445" t="n">
        <v>6</v>
      </c>
      <c r="O445" t="inlineStr">
        <is>
          <t>Direct</t>
        </is>
      </c>
    </row>
    <row r="446">
      <c r="A446" t="n">
        <v>46177</v>
      </c>
      <c r="B446" t="inlineStr">
        <is>
          <t>0000943209</t>
        </is>
      </c>
      <c r="C446" t="inlineStr">
        <is>
          <t>MEGH STEELS PRIVATE LIMITED - TVS A</t>
        </is>
      </c>
      <c r="D446" t="inlineStr">
        <is>
          <t>KG</t>
        </is>
      </c>
      <c r="E446" t="n">
        <v>143</v>
      </c>
      <c r="F446" t="n">
        <v>857.975</v>
      </c>
      <c r="G446" t="n">
        <v>2903.043</v>
      </c>
      <c r="H446" t="inlineStr">
        <is>
          <t>056</t>
        </is>
      </c>
      <c r="I446" t="n">
        <v>3500650</v>
      </c>
      <c r="J446" t="inlineStr">
        <is>
          <t>TUB-O-N-AUT-BH-FC-42.70X3.500X6.000</t>
        </is>
      </c>
      <c r="K446" t="n">
        <v>42.7</v>
      </c>
      <c r="L446" t="n">
        <v>0</v>
      </c>
      <c r="M446" t="n">
        <v>3.5</v>
      </c>
      <c r="N446" t="n">
        <v>6</v>
      </c>
      <c r="O446" t="inlineStr">
        <is>
          <t>Direct</t>
        </is>
      </c>
      <c r="P446" t="inlineStr">
        <is>
          <t>42.7-0-3.5-ERW 1-FC-6</t>
        </is>
      </c>
    </row>
    <row r="447">
      <c r="A447" t="n">
        <v>46177</v>
      </c>
      <c r="B447" t="inlineStr">
        <is>
          <t>0000943209</t>
        </is>
      </c>
      <c r="C447" t="inlineStr">
        <is>
          <t>MEGH STEELS PRIVATE LIMITED - TVS A</t>
        </is>
      </c>
      <c r="D447" t="inlineStr">
        <is>
          <t>KG</t>
        </is>
      </c>
      <c r="E447" t="n">
        <v>68</v>
      </c>
      <c r="F447" t="n">
        <v>407.988</v>
      </c>
      <c r="G447" t="n">
        <v>1380.468</v>
      </c>
      <c r="H447" t="inlineStr">
        <is>
          <t>056</t>
        </is>
      </c>
      <c r="I447" t="n">
        <v>3500650</v>
      </c>
      <c r="J447" t="inlineStr">
        <is>
          <t>TUB-O-N-AUT-BH-FC-42.70X3.500X6.000</t>
        </is>
      </c>
      <c r="K447" t="n">
        <v>42.7</v>
      </c>
      <c r="L447" t="n">
        <v>0</v>
      </c>
      <c r="M447" t="n">
        <v>3.5</v>
      </c>
      <c r="N447" t="n">
        <v>6</v>
      </c>
      <c r="O447" t="inlineStr">
        <is>
          <t>Direct</t>
        </is>
      </c>
      <c r="P447" t="inlineStr">
        <is>
          <t>42.7-0-3.5-ERW 1-FC-6</t>
        </is>
      </c>
    </row>
    <row r="448">
      <c r="A448" t="n">
        <v>46203</v>
      </c>
      <c r="B448" t="inlineStr">
        <is>
          <t>0000943209</t>
        </is>
      </c>
      <c r="C448" t="inlineStr">
        <is>
          <t>MEGH STEELS PRIVATE LIMITED - TVS A</t>
        </is>
      </c>
      <c r="D448" t="inlineStr">
        <is>
          <t>KG</t>
        </is>
      </c>
      <c r="E448" t="n">
        <v>12</v>
      </c>
      <c r="F448" t="n">
        <v>73.61199999999999</v>
      </c>
      <c r="G448" t="n">
        <v>176</v>
      </c>
      <c r="H448" t="inlineStr">
        <is>
          <t>0789</t>
        </is>
      </c>
      <c r="I448" t="n">
        <v>3994149</v>
      </c>
      <c r="J448" t="inlineStr">
        <is>
          <t>TUB-O-N-AUT-AW-FC-41.28X2.600X6.0010</t>
        </is>
      </c>
      <c r="K448" t="n">
        <v>41.28</v>
      </c>
      <c r="L448" t="n">
        <v>0</v>
      </c>
      <c r="M448" t="n">
        <v>2.6</v>
      </c>
      <c r="N448" t="n">
        <v>6.001</v>
      </c>
      <c r="O448" t="inlineStr">
        <is>
          <t>Direct</t>
        </is>
      </c>
      <c r="P448" t="inlineStr">
        <is>
          <t>41.28-0-2.6-ERW 1-FC-6</t>
        </is>
      </c>
    </row>
    <row r="449">
      <c r="A449" t="n">
        <v>46203</v>
      </c>
      <c r="B449" t="inlineStr">
        <is>
          <t>0000943209</t>
        </is>
      </c>
      <c r="C449" t="inlineStr">
        <is>
          <t>MEGH STEELS PRIVATE LIMITED - TVS A</t>
        </is>
      </c>
      <c r="D449" t="inlineStr">
        <is>
          <t>KG</t>
        </is>
      </c>
      <c r="E449" t="n">
        <v>151</v>
      </c>
      <c r="F449" t="n">
        <v>904.6799999999999</v>
      </c>
      <c r="G449" t="n">
        <v>2163</v>
      </c>
      <c r="H449" t="inlineStr">
        <is>
          <t>0789</t>
        </is>
      </c>
      <c r="I449" t="n">
        <v>3994149</v>
      </c>
      <c r="J449" t="inlineStr">
        <is>
          <t>TUB-O-N-AUT-AW-FC-41.28X2.600X6.0010</t>
        </is>
      </c>
      <c r="K449" t="n">
        <v>41.28</v>
      </c>
      <c r="L449" t="n">
        <v>0</v>
      </c>
      <c r="M449" t="n">
        <v>2.6</v>
      </c>
      <c r="N449" t="n">
        <v>6.001</v>
      </c>
      <c r="O449" t="inlineStr">
        <is>
          <t>Direct</t>
        </is>
      </c>
      <c r="P449" t="inlineStr">
        <is>
          <t>41.28-0-2.6-ERW 1-FC-6</t>
        </is>
      </c>
    </row>
    <row r="450">
      <c r="A450" t="n">
        <v>46203</v>
      </c>
      <c r="B450" t="inlineStr">
        <is>
          <t>0000943209</t>
        </is>
      </c>
      <c r="C450" t="inlineStr">
        <is>
          <t>MEGH STEELS PRIVATE LIMITED - TVS A</t>
        </is>
      </c>
      <c r="D450" t="inlineStr">
        <is>
          <t>KG</t>
        </is>
      </c>
      <c r="E450" t="n">
        <v>148</v>
      </c>
      <c r="F450" t="n">
        <v>885.859</v>
      </c>
      <c r="G450" t="n">
        <v>2118</v>
      </c>
      <c r="H450" t="inlineStr">
        <is>
          <t>0789</t>
        </is>
      </c>
      <c r="I450" t="n">
        <v>3994149</v>
      </c>
      <c r="J450" t="inlineStr">
        <is>
          <t>TUB-O-N-AUT-AW-FC-41.28X2.600X6.0010</t>
        </is>
      </c>
      <c r="K450" t="n">
        <v>41.28</v>
      </c>
      <c r="L450" t="n">
        <v>0</v>
      </c>
      <c r="M450" t="n">
        <v>2.6</v>
      </c>
      <c r="N450" t="n">
        <v>6.001</v>
      </c>
      <c r="O450" t="inlineStr">
        <is>
          <t>Direct</t>
        </is>
      </c>
      <c r="P450" t="inlineStr">
        <is>
          <t>41.28-0-2.6-ERW 1-FC-6</t>
        </is>
      </c>
    </row>
    <row r="451">
      <c r="A451" t="n">
        <v>46203</v>
      </c>
      <c r="B451" t="inlineStr">
        <is>
          <t>0000943209</t>
        </is>
      </c>
      <c r="C451" t="inlineStr">
        <is>
          <t>MEGH STEELS PRIVATE LIMITED - TVS A</t>
        </is>
      </c>
      <c r="D451" t="inlineStr">
        <is>
          <t>KG</t>
        </is>
      </c>
      <c r="E451" t="n">
        <v>147</v>
      </c>
      <c r="F451" t="n">
        <v>881.676</v>
      </c>
      <c r="G451" t="n">
        <v>2108</v>
      </c>
      <c r="H451" t="inlineStr">
        <is>
          <t>0789</t>
        </is>
      </c>
      <c r="I451" t="n">
        <v>3994149</v>
      </c>
      <c r="J451" t="inlineStr">
        <is>
          <t>TUB-O-N-AUT-AW-FC-41.28X2.600X6.0010</t>
        </is>
      </c>
      <c r="K451" t="n">
        <v>41.28</v>
      </c>
      <c r="L451" t="n">
        <v>0</v>
      </c>
      <c r="M451" t="n">
        <v>2.6</v>
      </c>
      <c r="N451" t="n">
        <v>6.001</v>
      </c>
      <c r="O451" t="inlineStr">
        <is>
          <t>Direct</t>
        </is>
      </c>
      <c r="P451" t="inlineStr">
        <is>
          <t>41.28-0-2.6-ERW 1-FC-6</t>
        </is>
      </c>
    </row>
    <row r="452">
      <c r="A452" t="n">
        <v>46203</v>
      </c>
      <c r="B452" t="inlineStr">
        <is>
          <t>0000943209</t>
        </is>
      </c>
      <c r="C452" t="inlineStr">
        <is>
          <t>MEGH STEELS PRIVATE LIMITED - TVS A</t>
        </is>
      </c>
      <c r="D452" t="inlineStr">
        <is>
          <t>KG</t>
        </is>
      </c>
      <c r="E452" t="n">
        <v>147</v>
      </c>
      <c r="F452" t="n">
        <v>880.422</v>
      </c>
      <c r="G452" t="n">
        <v>2105</v>
      </c>
      <c r="H452" t="inlineStr">
        <is>
          <t>0789</t>
        </is>
      </c>
      <c r="I452" t="n">
        <v>3994149</v>
      </c>
      <c r="J452" t="inlineStr">
        <is>
          <t>TUB-O-N-AUT-AW-FC-41.28X2.600X6.0010</t>
        </is>
      </c>
      <c r="K452" t="n">
        <v>41.28</v>
      </c>
      <c r="L452" t="n">
        <v>0</v>
      </c>
      <c r="M452" t="n">
        <v>2.6</v>
      </c>
      <c r="N452" t="n">
        <v>6.001</v>
      </c>
      <c r="O452" t="inlineStr">
        <is>
          <t>Direct</t>
        </is>
      </c>
      <c r="P452" t="inlineStr">
        <is>
          <t>41.28-0-2.6-ERW 1-FC-6</t>
        </is>
      </c>
    </row>
    <row r="453">
      <c r="A453" t="n">
        <v>46178</v>
      </c>
      <c r="B453" t="inlineStr">
        <is>
          <t>0000943209</t>
        </is>
      </c>
      <c r="C453" t="inlineStr">
        <is>
          <t>MEGH STEELS PRIVATE LIMITED - TVS A</t>
        </is>
      </c>
      <c r="D453" t="inlineStr">
        <is>
          <t>KG</t>
        </is>
      </c>
      <c r="E453" t="n">
        <v>127</v>
      </c>
      <c r="F453" t="n">
        <v>768.3680000000001</v>
      </c>
      <c r="G453" t="n">
        <v>2991.104</v>
      </c>
      <c r="H453" t="inlineStr">
        <is>
          <t>056</t>
        </is>
      </c>
      <c r="I453" t="n">
        <v>3502422</v>
      </c>
      <c r="J453" t="inlineStr">
        <is>
          <t>TUB-O-N-AUT-AW-FC-48.60X3.500X6.0500</t>
        </is>
      </c>
      <c r="K453" t="n">
        <v>48.6</v>
      </c>
      <c r="L453" t="n">
        <v>0</v>
      </c>
      <c r="M453" t="n">
        <v>3.5</v>
      </c>
      <c r="N453" t="n">
        <v>6.05</v>
      </c>
      <c r="O453" t="inlineStr">
        <is>
          <t>Direct</t>
        </is>
      </c>
      <c r="P453" t="inlineStr">
        <is>
          <t>48.6-0-3.5-ERW 1-FC-6</t>
        </is>
      </c>
    </row>
    <row r="454">
      <c r="A454" t="n">
        <v>46183</v>
      </c>
      <c r="B454" t="inlineStr">
        <is>
          <t>0000943209</t>
        </is>
      </c>
      <c r="C454" t="inlineStr">
        <is>
          <t>MEGH STEELS PRIVATE LIMITED - TVS A</t>
        </is>
      </c>
      <c r="D454" t="inlineStr">
        <is>
          <t>KG</t>
        </is>
      </c>
      <c r="E454" t="n">
        <v>217</v>
      </c>
      <c r="F454" t="n">
        <v>1343.254</v>
      </c>
      <c r="G454" t="n">
        <v>1934.555</v>
      </c>
      <c r="H454" t="inlineStr">
        <is>
          <t>056</t>
        </is>
      </c>
      <c r="I454" t="n">
        <v>3502254</v>
      </c>
      <c r="J454" t="inlineStr">
        <is>
          <t>TUB-O-N-AUT-AW-FC-38.10X1.600X6.1900</t>
        </is>
      </c>
      <c r="K454" t="n">
        <v>38.1</v>
      </c>
      <c r="L454" t="n">
        <v>0</v>
      </c>
      <c r="M454" t="n">
        <v>1.6</v>
      </c>
      <c r="N454" t="n">
        <v>6.19</v>
      </c>
      <c r="O454" t="inlineStr">
        <is>
          <t>Direct</t>
        </is>
      </c>
      <c r="P454" t="inlineStr">
        <is>
          <t>38.1-0-1.6-ERW 1-FC-6.19</t>
        </is>
      </c>
    </row>
    <row r="455">
      <c r="A455" t="n">
        <v>46183</v>
      </c>
      <c r="B455" t="inlineStr">
        <is>
          <t>0000943209</t>
        </is>
      </c>
      <c r="C455" t="inlineStr">
        <is>
          <t>MEGH STEELS PRIVATE LIMITED - TVS A</t>
        </is>
      </c>
      <c r="D455" t="inlineStr">
        <is>
          <t>KG</t>
        </is>
      </c>
      <c r="E455" t="n">
        <v>217</v>
      </c>
      <c r="F455" t="n">
        <v>1343.254</v>
      </c>
      <c r="G455" t="n">
        <v>1934.555</v>
      </c>
      <c r="H455" t="inlineStr">
        <is>
          <t>056</t>
        </is>
      </c>
      <c r="I455" t="n">
        <v>3502254</v>
      </c>
      <c r="J455" t="inlineStr">
        <is>
          <t>TUB-O-N-AUT-AW-FC-38.10X1.600X6.1900</t>
        </is>
      </c>
      <c r="K455" t="n">
        <v>38.1</v>
      </c>
      <c r="L455" t="n">
        <v>0</v>
      </c>
      <c r="M455" t="n">
        <v>1.6</v>
      </c>
      <c r="N455" t="n">
        <v>6.19</v>
      </c>
      <c r="O455" t="inlineStr">
        <is>
          <t>Direct</t>
        </is>
      </c>
      <c r="P455" t="inlineStr">
        <is>
          <t>38.1-0-1.6-ERW 1-FC-6.19</t>
        </is>
      </c>
    </row>
    <row r="456">
      <c r="A456" t="n">
        <v>46183</v>
      </c>
      <c r="B456" t="inlineStr">
        <is>
          <t>0000943209</t>
        </is>
      </c>
      <c r="C456" t="inlineStr">
        <is>
          <t>MEGH STEELS PRIVATE LIMITED - TVS A</t>
        </is>
      </c>
      <c r="D456" t="inlineStr">
        <is>
          <t>KG</t>
        </is>
      </c>
      <c r="E456" t="n">
        <v>217</v>
      </c>
      <c r="F456" t="n">
        <v>1343.254</v>
      </c>
      <c r="G456" t="n">
        <v>1934.555</v>
      </c>
      <c r="H456" t="inlineStr">
        <is>
          <t>056</t>
        </is>
      </c>
      <c r="I456" t="n">
        <v>3502254</v>
      </c>
      <c r="J456" t="inlineStr">
        <is>
          <t>TUB-O-N-AUT-AW-FC-38.10X1.600X6.1900</t>
        </is>
      </c>
      <c r="K456" t="n">
        <v>38.1</v>
      </c>
      <c r="L456" t="n">
        <v>0</v>
      </c>
      <c r="M456" t="n">
        <v>1.6</v>
      </c>
      <c r="N456" t="n">
        <v>6.19</v>
      </c>
      <c r="O456" t="inlineStr">
        <is>
          <t>Direct</t>
        </is>
      </c>
      <c r="P456" t="inlineStr">
        <is>
          <t>38.1-0-1.6-ERW 1-FC-6.19</t>
        </is>
      </c>
    </row>
    <row r="457">
      <c r="A457" t="n">
        <v>46183</v>
      </c>
      <c r="B457" t="inlineStr">
        <is>
          <t>0000943209</t>
        </is>
      </c>
      <c r="C457" t="inlineStr">
        <is>
          <t>MEGH STEELS PRIVATE LIMITED - TVS A</t>
        </is>
      </c>
      <c r="D457" t="inlineStr">
        <is>
          <t>KG</t>
        </is>
      </c>
      <c r="E457" t="n">
        <v>217</v>
      </c>
      <c r="F457" t="n">
        <v>1343.254</v>
      </c>
      <c r="G457" t="n">
        <v>1934.555</v>
      </c>
      <c r="H457" t="inlineStr">
        <is>
          <t>056</t>
        </is>
      </c>
      <c r="I457" t="n">
        <v>3502254</v>
      </c>
      <c r="J457" t="inlineStr">
        <is>
          <t>TUB-O-N-AUT-AW-FC-38.10X1.600X6.1900</t>
        </is>
      </c>
      <c r="K457" t="n">
        <v>38.1</v>
      </c>
      <c r="L457" t="n">
        <v>0</v>
      </c>
      <c r="M457" t="n">
        <v>1.6</v>
      </c>
      <c r="N457" t="n">
        <v>6.19</v>
      </c>
      <c r="O457" t="inlineStr">
        <is>
          <t>Direct</t>
        </is>
      </c>
      <c r="P457" t="inlineStr">
        <is>
          <t>38.1-0-1.6-ERW 1-FC-6.19</t>
        </is>
      </c>
    </row>
    <row r="458">
      <c r="A458" t="n">
        <v>46183</v>
      </c>
      <c r="B458" t="inlineStr">
        <is>
          <t>0000943209</t>
        </is>
      </c>
      <c r="C458" t="inlineStr">
        <is>
          <t>MEGH STEELS PRIVATE LIMITED - TVS A</t>
        </is>
      </c>
      <c r="D458" t="inlineStr">
        <is>
          <t>KG</t>
        </is>
      </c>
      <c r="E458" t="n">
        <v>217</v>
      </c>
      <c r="F458" t="n">
        <v>1343.254</v>
      </c>
      <c r="G458" t="n">
        <v>1934.555</v>
      </c>
      <c r="H458" t="inlineStr">
        <is>
          <t>056</t>
        </is>
      </c>
      <c r="I458" t="n">
        <v>3502254</v>
      </c>
      <c r="J458" t="inlineStr">
        <is>
          <t>TUB-O-N-AUT-AW-FC-38.10X1.600X6.1900</t>
        </is>
      </c>
      <c r="K458" t="n">
        <v>38.1</v>
      </c>
      <c r="L458" t="n">
        <v>0</v>
      </c>
      <c r="M458" t="n">
        <v>1.6</v>
      </c>
      <c r="N458" t="n">
        <v>6.19</v>
      </c>
      <c r="O458" t="inlineStr">
        <is>
          <t>Direct</t>
        </is>
      </c>
      <c r="P458" t="inlineStr">
        <is>
          <t>38.1-0-1.6-ERW 1-FC-6.19</t>
        </is>
      </c>
    </row>
    <row r="459">
      <c r="A459" t="n">
        <v>46183</v>
      </c>
      <c r="B459" t="inlineStr">
        <is>
          <t>0000943209</t>
        </is>
      </c>
      <c r="C459" t="inlineStr">
        <is>
          <t>MEGH STEELS PRIVATE LIMITED - TVS A</t>
        </is>
      </c>
      <c r="D459" t="inlineStr">
        <is>
          <t>KG</t>
        </is>
      </c>
      <c r="E459" t="n">
        <v>217</v>
      </c>
      <c r="F459" t="n">
        <v>1343.254</v>
      </c>
      <c r="G459" t="n">
        <v>1934.555</v>
      </c>
      <c r="H459" t="inlineStr">
        <is>
          <t>056</t>
        </is>
      </c>
      <c r="I459" t="n">
        <v>3502254</v>
      </c>
      <c r="J459" t="inlineStr">
        <is>
          <t>TUB-O-N-AUT-AW-FC-38.10X1.600X6.1900</t>
        </is>
      </c>
      <c r="K459" t="n">
        <v>38.1</v>
      </c>
      <c r="L459" t="n">
        <v>0</v>
      </c>
      <c r="M459" t="n">
        <v>1.6</v>
      </c>
      <c r="N459" t="n">
        <v>6.19</v>
      </c>
      <c r="O459" t="inlineStr">
        <is>
          <t>Direct</t>
        </is>
      </c>
      <c r="P459" t="inlineStr">
        <is>
          <t>38.1-0-1.6-ERW 1-FC-6.19</t>
        </is>
      </c>
    </row>
    <row r="460">
      <c r="A460" t="n">
        <v>46183</v>
      </c>
      <c r="B460" t="inlineStr">
        <is>
          <t>0000943209</t>
        </is>
      </c>
      <c r="C460" t="inlineStr">
        <is>
          <t>MEGH STEELS PRIVATE LIMITED - TVS A</t>
        </is>
      </c>
      <c r="D460" t="inlineStr">
        <is>
          <t>KG</t>
        </is>
      </c>
      <c r="E460" t="n">
        <v>208</v>
      </c>
      <c r="F460" t="n">
        <v>1287.543</v>
      </c>
      <c r="G460" t="n">
        <v>1854.32</v>
      </c>
      <c r="H460" t="inlineStr">
        <is>
          <t>056</t>
        </is>
      </c>
      <c r="I460" t="n">
        <v>3502254</v>
      </c>
      <c r="J460" t="inlineStr">
        <is>
          <t>TUB-O-N-AUT-AW-FC-38.10X1.600X6.1900</t>
        </is>
      </c>
      <c r="K460" t="n">
        <v>38.1</v>
      </c>
      <c r="L460" t="n">
        <v>0</v>
      </c>
      <c r="M460" t="n">
        <v>1.6</v>
      </c>
      <c r="N460" t="n">
        <v>6.19</v>
      </c>
      <c r="O460" t="inlineStr">
        <is>
          <t>Direct</t>
        </is>
      </c>
      <c r="P460" t="inlineStr">
        <is>
          <t>38.1-0-1.6-ERW 1-FC-6.19</t>
        </is>
      </c>
    </row>
    <row r="461">
      <c r="A461" t="n">
        <v>46183</v>
      </c>
      <c r="B461" t="inlineStr">
        <is>
          <t>0000943209</t>
        </is>
      </c>
      <c r="C461" t="inlineStr">
        <is>
          <t>MEGH STEELS PRIVATE LIMITED - TVS A</t>
        </is>
      </c>
      <c r="D461" t="inlineStr">
        <is>
          <t>KG</t>
        </is>
      </c>
      <c r="E461" t="n">
        <v>169</v>
      </c>
      <c r="F461" t="n">
        <v>1046.129</v>
      </c>
      <c r="G461" t="n">
        <v>1506.635</v>
      </c>
      <c r="H461" t="inlineStr">
        <is>
          <t>056</t>
        </is>
      </c>
      <c r="I461" t="n">
        <v>3502254</v>
      </c>
      <c r="J461" t="inlineStr">
        <is>
          <t>TUB-O-N-AUT-AW-FC-38.10X1.600X6.1900</t>
        </is>
      </c>
      <c r="K461" t="n">
        <v>38.1</v>
      </c>
      <c r="L461" t="n">
        <v>0</v>
      </c>
      <c r="M461" t="n">
        <v>1.6</v>
      </c>
      <c r="N461" t="n">
        <v>6.19</v>
      </c>
      <c r="O461" t="inlineStr">
        <is>
          <t>Direct</t>
        </is>
      </c>
      <c r="P461" t="inlineStr">
        <is>
          <t>38.1-0-1.6-ERW 1-FC-6.19</t>
        </is>
      </c>
    </row>
    <row r="462">
      <c r="A462" t="n">
        <v>46191</v>
      </c>
      <c r="B462" t="inlineStr">
        <is>
          <t>0000943209</t>
        </is>
      </c>
      <c r="C462" t="inlineStr">
        <is>
          <t>MEGH STEELS PRIVATE LIMITED - TVS A</t>
        </is>
      </c>
      <c r="D462" t="inlineStr">
        <is>
          <t>KG</t>
        </is>
      </c>
      <c r="E462" t="n">
        <v>216</v>
      </c>
      <c r="F462" t="n">
        <v>1337.064</v>
      </c>
      <c r="G462" t="n">
        <v>1925.64</v>
      </c>
      <c r="H462" t="inlineStr">
        <is>
          <t>056</t>
        </is>
      </c>
      <c r="I462" t="n">
        <v>3502254</v>
      </c>
      <c r="J462" t="inlineStr">
        <is>
          <t>TUB-O-N-AUT-AW-FC-38.10X1.600X6.1900</t>
        </is>
      </c>
      <c r="K462" t="n">
        <v>38.1</v>
      </c>
      <c r="L462" t="n">
        <v>0</v>
      </c>
      <c r="M462" t="n">
        <v>1.6</v>
      </c>
      <c r="N462" t="n">
        <v>6.19</v>
      </c>
      <c r="O462" t="inlineStr">
        <is>
          <t>Direct</t>
        </is>
      </c>
      <c r="P462" t="inlineStr">
        <is>
          <t>38.1-0-1.6-ERW 1-FC-6.19</t>
        </is>
      </c>
    </row>
    <row r="463">
      <c r="A463" t="n">
        <v>46191</v>
      </c>
      <c r="B463" t="inlineStr">
        <is>
          <t>0000943209</t>
        </is>
      </c>
      <c r="C463" t="inlineStr">
        <is>
          <t>MEGH STEELS PRIVATE LIMITED - TVS A</t>
        </is>
      </c>
      <c r="D463" t="inlineStr">
        <is>
          <t>KG</t>
        </is>
      </c>
      <c r="E463" t="n">
        <v>217</v>
      </c>
      <c r="F463" t="n">
        <v>1343.254</v>
      </c>
      <c r="G463" t="n">
        <v>1934.555</v>
      </c>
      <c r="H463" t="inlineStr">
        <is>
          <t>056</t>
        </is>
      </c>
      <c r="I463" t="n">
        <v>3502254</v>
      </c>
      <c r="J463" t="inlineStr">
        <is>
          <t>TUB-O-N-AUT-AW-FC-38.10X1.600X6.1900</t>
        </is>
      </c>
      <c r="K463" t="n">
        <v>38.1</v>
      </c>
      <c r="L463" t="n">
        <v>0</v>
      </c>
      <c r="M463" t="n">
        <v>1.6</v>
      </c>
      <c r="N463" t="n">
        <v>6.19</v>
      </c>
      <c r="O463" t="inlineStr">
        <is>
          <t>Direct</t>
        </is>
      </c>
      <c r="P463" t="inlineStr">
        <is>
          <t>38.1-0-1.6-ERW 1-FC-6.19</t>
        </is>
      </c>
    </row>
    <row r="464">
      <c r="A464" t="n">
        <v>46183</v>
      </c>
      <c r="B464" t="inlineStr">
        <is>
          <t>0000943209</t>
        </is>
      </c>
      <c r="C464" t="inlineStr">
        <is>
          <t>MEGH STEELS PRIVATE LIMITED - TVS A</t>
        </is>
      </c>
      <c r="D464" t="inlineStr">
        <is>
          <t>KG</t>
        </is>
      </c>
      <c r="E464" t="n">
        <v>216</v>
      </c>
      <c r="F464" t="n">
        <v>1337.064</v>
      </c>
      <c r="G464" t="n">
        <v>1925.64</v>
      </c>
      <c r="H464" t="inlineStr">
        <is>
          <t>056</t>
        </is>
      </c>
      <c r="I464" t="n">
        <v>3502254</v>
      </c>
      <c r="J464" t="inlineStr">
        <is>
          <t>TUB-O-N-AUT-AW-FC-38.10X1.600X6.1900</t>
        </is>
      </c>
      <c r="K464" t="n">
        <v>38.1</v>
      </c>
      <c r="L464" t="n">
        <v>0</v>
      </c>
      <c r="M464" t="n">
        <v>1.6</v>
      </c>
      <c r="N464" t="n">
        <v>6.19</v>
      </c>
      <c r="O464" t="inlineStr">
        <is>
          <t>Direct</t>
        </is>
      </c>
      <c r="P464" t="inlineStr">
        <is>
          <t>38.1-0-1.6-ERW 1-FC-6.19</t>
        </is>
      </c>
    </row>
    <row r="465">
      <c r="A465" t="n">
        <v>46183</v>
      </c>
      <c r="B465" t="inlineStr">
        <is>
          <t>0000943209</t>
        </is>
      </c>
      <c r="C465" t="inlineStr">
        <is>
          <t>MEGH STEELS PRIVATE LIMITED - TVS A</t>
        </is>
      </c>
      <c r="D465" t="inlineStr">
        <is>
          <t>KG</t>
        </is>
      </c>
      <c r="E465" t="n">
        <v>216</v>
      </c>
      <c r="F465" t="n">
        <v>1337.064</v>
      </c>
      <c r="G465" t="n">
        <v>1925.64</v>
      </c>
      <c r="H465" t="inlineStr">
        <is>
          <t>056</t>
        </is>
      </c>
      <c r="I465" t="n">
        <v>3502254</v>
      </c>
      <c r="J465" t="inlineStr">
        <is>
          <t>TUB-O-N-AUT-AW-FC-38.10X1.600X6.1900</t>
        </is>
      </c>
      <c r="K465" t="n">
        <v>38.1</v>
      </c>
      <c r="L465" t="n">
        <v>0</v>
      </c>
      <c r="M465" t="n">
        <v>1.6</v>
      </c>
      <c r="N465" t="n">
        <v>6.19</v>
      </c>
      <c r="O465" t="inlineStr">
        <is>
          <t>Direct</t>
        </is>
      </c>
      <c r="P465" t="inlineStr">
        <is>
          <t>38.1-0-1.6-ERW 1-FC-6.19</t>
        </is>
      </c>
    </row>
    <row r="466">
      <c r="A466" t="n">
        <v>46178</v>
      </c>
      <c r="B466" t="inlineStr">
        <is>
          <t>0000943209</t>
        </is>
      </c>
      <c r="C466" t="inlineStr">
        <is>
          <t>MEGH STEELS PRIVATE LIMITED - TVS A</t>
        </is>
      </c>
      <c r="D466" t="inlineStr">
        <is>
          <t>KG</t>
        </is>
      </c>
      <c r="E466" t="n">
        <v>213</v>
      </c>
      <c r="F466" t="n">
        <v>1318.494</v>
      </c>
      <c r="G466" t="n">
        <v>1898.895</v>
      </c>
      <c r="H466" t="inlineStr">
        <is>
          <t>056</t>
        </is>
      </c>
      <c r="I466" t="n">
        <v>3502254</v>
      </c>
      <c r="J466" t="inlineStr">
        <is>
          <t>TUB-O-N-AUT-AW-FC-38.10X1.600X6.1900</t>
        </is>
      </c>
      <c r="K466" t="n">
        <v>38.1</v>
      </c>
      <c r="L466" t="n">
        <v>0</v>
      </c>
      <c r="M466" t="n">
        <v>1.6</v>
      </c>
      <c r="N466" t="n">
        <v>6.19</v>
      </c>
      <c r="O466" t="inlineStr">
        <is>
          <t>Direct</t>
        </is>
      </c>
      <c r="P466" t="inlineStr">
        <is>
          <t>38.1-0-1.6-ERW 1-FC-6.19</t>
        </is>
      </c>
    </row>
    <row r="467">
      <c r="A467" t="n">
        <v>46183</v>
      </c>
      <c r="B467" t="inlineStr">
        <is>
          <t>0000943209</t>
        </is>
      </c>
      <c r="C467" t="inlineStr">
        <is>
          <t>MEGH STEELS PRIVATE LIMITED - TVS A</t>
        </is>
      </c>
      <c r="D467" t="inlineStr">
        <is>
          <t>KG</t>
        </is>
      </c>
      <c r="E467" t="n">
        <v>216</v>
      </c>
      <c r="F467" t="n">
        <v>1337.064</v>
      </c>
      <c r="G467" t="n">
        <v>1925.64</v>
      </c>
      <c r="H467" t="inlineStr">
        <is>
          <t>056</t>
        </is>
      </c>
      <c r="I467" t="n">
        <v>3502254</v>
      </c>
      <c r="J467" t="inlineStr">
        <is>
          <t>TUB-O-N-AUT-AW-FC-38.10X1.600X6.1900</t>
        </is>
      </c>
      <c r="K467" t="n">
        <v>38.1</v>
      </c>
      <c r="L467" t="n">
        <v>0</v>
      </c>
      <c r="M467" t="n">
        <v>1.6</v>
      </c>
      <c r="N467" t="n">
        <v>6.19</v>
      </c>
      <c r="O467" t="inlineStr">
        <is>
          <t>Direct</t>
        </is>
      </c>
      <c r="P467" t="inlineStr">
        <is>
          <t>38.1-0-1.6-ERW 1-FC-6.19</t>
        </is>
      </c>
    </row>
    <row r="468">
      <c r="A468" t="n">
        <v>46183</v>
      </c>
      <c r="B468" t="inlineStr">
        <is>
          <t>0000943209</t>
        </is>
      </c>
      <c r="C468" t="inlineStr">
        <is>
          <t>MEGH STEELS PRIVATE LIMITED - TVS A</t>
        </is>
      </c>
      <c r="D468" t="inlineStr">
        <is>
          <t>KG</t>
        </is>
      </c>
      <c r="E468" t="n">
        <v>217</v>
      </c>
      <c r="F468" t="n">
        <v>1343.254</v>
      </c>
      <c r="G468" t="n">
        <v>1934.555</v>
      </c>
      <c r="H468" t="inlineStr">
        <is>
          <t>056</t>
        </is>
      </c>
      <c r="I468" t="n">
        <v>3502254</v>
      </c>
      <c r="J468" t="inlineStr">
        <is>
          <t>TUB-O-N-AUT-AW-FC-38.10X1.600X6.1900</t>
        </is>
      </c>
      <c r="K468" t="n">
        <v>38.1</v>
      </c>
      <c r="L468" t="n">
        <v>0</v>
      </c>
      <c r="M468" t="n">
        <v>1.6</v>
      </c>
      <c r="N468" t="n">
        <v>6.19</v>
      </c>
      <c r="O468" t="inlineStr">
        <is>
          <t>Direct</t>
        </is>
      </c>
      <c r="P468" t="inlineStr">
        <is>
          <t>38.1-0-1.6-ERW 1-FC-6.19</t>
        </is>
      </c>
    </row>
    <row r="469">
      <c r="A469" t="n">
        <v>46195</v>
      </c>
      <c r="B469" t="inlineStr">
        <is>
          <t>0000943209</t>
        </is>
      </c>
      <c r="C469" t="inlineStr">
        <is>
          <t>MEGH STEELS PRIVATE LIMITED - TVS A</t>
        </is>
      </c>
      <c r="D469" t="inlineStr">
        <is>
          <t>KG</t>
        </is>
      </c>
      <c r="E469" t="n">
        <v>218</v>
      </c>
      <c r="F469" t="n">
        <v>1349.445</v>
      </c>
      <c r="G469" t="n">
        <v>1943.47</v>
      </c>
      <c r="H469" t="inlineStr">
        <is>
          <t>056</t>
        </is>
      </c>
      <c r="I469" t="n">
        <v>3502254</v>
      </c>
      <c r="J469" t="inlineStr">
        <is>
          <t>TUB-O-N-AUT-AW-FC-38.10X1.600X6.1900</t>
        </is>
      </c>
      <c r="K469" t="n">
        <v>38.1</v>
      </c>
      <c r="L469" t="n">
        <v>0</v>
      </c>
      <c r="M469" t="n">
        <v>1.6</v>
      </c>
      <c r="N469" t="n">
        <v>6.19</v>
      </c>
      <c r="O469" t="inlineStr">
        <is>
          <t>Direct</t>
        </is>
      </c>
      <c r="P469" t="inlineStr">
        <is>
          <t>38.1-0-1.6-ERW 1-FC-6.19</t>
        </is>
      </c>
    </row>
    <row r="470">
      <c r="A470" t="n">
        <v>46183</v>
      </c>
      <c r="B470" t="inlineStr">
        <is>
          <t>0000943209</t>
        </is>
      </c>
      <c r="C470" t="inlineStr">
        <is>
          <t>MEGH STEELS PRIVATE LIMITED - TVS A</t>
        </is>
      </c>
      <c r="D470" t="inlineStr">
        <is>
          <t>KG</t>
        </is>
      </c>
      <c r="E470" t="n">
        <v>217</v>
      </c>
      <c r="F470" t="n">
        <v>1343.254</v>
      </c>
      <c r="G470" t="n">
        <v>1934.555</v>
      </c>
      <c r="H470" t="inlineStr">
        <is>
          <t>056</t>
        </is>
      </c>
      <c r="I470" t="n">
        <v>3502254</v>
      </c>
      <c r="J470" t="inlineStr">
        <is>
          <t>TUB-O-N-AUT-AW-FC-38.10X1.600X6.1900</t>
        </is>
      </c>
      <c r="K470" t="n">
        <v>38.1</v>
      </c>
      <c r="L470" t="n">
        <v>0</v>
      </c>
      <c r="M470" t="n">
        <v>1.6</v>
      </c>
      <c r="N470" t="n">
        <v>6.19</v>
      </c>
      <c r="O470" t="inlineStr">
        <is>
          <t>Direct</t>
        </is>
      </c>
      <c r="P470" t="inlineStr">
        <is>
          <t>38.1-0-1.6-ERW 1-FC-6.19</t>
        </is>
      </c>
    </row>
    <row r="471">
      <c r="A471" t="n">
        <v>46195</v>
      </c>
      <c r="B471" t="inlineStr">
        <is>
          <t>0000943209</t>
        </is>
      </c>
      <c r="C471" t="inlineStr">
        <is>
          <t>MEGH STEELS PRIVATE LIMITED - TVS A</t>
        </is>
      </c>
      <c r="D471" t="inlineStr">
        <is>
          <t>KG</t>
        </is>
      </c>
      <c r="E471" t="n">
        <v>216</v>
      </c>
      <c r="F471" t="n">
        <v>1337.064</v>
      </c>
      <c r="G471" t="n">
        <v>1925.64</v>
      </c>
      <c r="H471" t="inlineStr">
        <is>
          <t>056</t>
        </is>
      </c>
      <c r="I471" t="n">
        <v>3502254</v>
      </c>
      <c r="J471" t="inlineStr">
        <is>
          <t>TUB-O-N-AUT-AW-FC-38.10X1.600X6.1900</t>
        </is>
      </c>
      <c r="K471" t="n">
        <v>38.1</v>
      </c>
      <c r="L471" t="n">
        <v>0</v>
      </c>
      <c r="M471" t="n">
        <v>1.6</v>
      </c>
      <c r="N471" t="n">
        <v>6.19</v>
      </c>
      <c r="O471" t="inlineStr">
        <is>
          <t>Direct</t>
        </is>
      </c>
      <c r="P471" t="inlineStr">
        <is>
          <t>38.1-0-1.6-ERW 1-FC-6.19</t>
        </is>
      </c>
    </row>
    <row r="472">
      <c r="A472" t="n">
        <v>46195</v>
      </c>
      <c r="B472" t="inlineStr">
        <is>
          <t>0000943209</t>
        </is>
      </c>
      <c r="C472" t="inlineStr">
        <is>
          <t>MEGH STEELS PRIVATE LIMITED - TVS A</t>
        </is>
      </c>
      <c r="D472" t="inlineStr">
        <is>
          <t>KG</t>
        </is>
      </c>
      <c r="E472" t="n">
        <v>217</v>
      </c>
      <c r="F472" t="n">
        <v>1343.254</v>
      </c>
      <c r="G472" t="n">
        <v>1934.555</v>
      </c>
      <c r="H472" t="inlineStr">
        <is>
          <t>056</t>
        </is>
      </c>
      <c r="I472" t="n">
        <v>3502254</v>
      </c>
      <c r="J472" t="inlineStr">
        <is>
          <t>TUB-O-N-AUT-AW-FC-38.10X1.600X6.1900</t>
        </is>
      </c>
      <c r="K472" t="n">
        <v>38.1</v>
      </c>
      <c r="L472" t="n">
        <v>0</v>
      </c>
      <c r="M472" t="n">
        <v>1.6</v>
      </c>
      <c r="N472" t="n">
        <v>6.19</v>
      </c>
      <c r="O472" t="inlineStr">
        <is>
          <t>Direct</t>
        </is>
      </c>
      <c r="P472" t="inlineStr">
        <is>
          <t>38.1-0-1.6-ERW 1-FC-6.19</t>
        </is>
      </c>
    </row>
    <row r="473">
      <c r="A473" t="n">
        <v>46195</v>
      </c>
      <c r="B473" t="inlineStr">
        <is>
          <t>0000943209</t>
        </is>
      </c>
      <c r="C473" t="inlineStr">
        <is>
          <t>MEGH STEELS PRIVATE LIMITED - TVS A</t>
        </is>
      </c>
      <c r="D473" t="inlineStr">
        <is>
          <t>KG</t>
        </is>
      </c>
      <c r="E473" t="n">
        <v>217</v>
      </c>
      <c r="F473" t="n">
        <v>1343.254</v>
      </c>
      <c r="G473" t="n">
        <v>1934.555</v>
      </c>
      <c r="H473" t="inlineStr">
        <is>
          <t>056</t>
        </is>
      </c>
      <c r="I473" t="n">
        <v>3502254</v>
      </c>
      <c r="J473" t="inlineStr">
        <is>
          <t>TUB-O-N-AUT-AW-FC-38.10X1.600X6.1900</t>
        </is>
      </c>
      <c r="K473" t="n">
        <v>38.1</v>
      </c>
      <c r="L473" t="n">
        <v>0</v>
      </c>
      <c r="M473" t="n">
        <v>1.6</v>
      </c>
      <c r="N473" t="n">
        <v>6.19</v>
      </c>
      <c r="O473" t="inlineStr">
        <is>
          <t>Direct</t>
        </is>
      </c>
      <c r="P473" t="inlineStr">
        <is>
          <t>38.1-0-1.6-ERW 1-FC-6.19</t>
        </is>
      </c>
    </row>
    <row r="474">
      <c r="A474" t="n">
        <v>46191</v>
      </c>
      <c r="B474" t="inlineStr">
        <is>
          <t>0000943209</t>
        </is>
      </c>
      <c r="C474" t="inlineStr">
        <is>
          <t>MEGH STEELS PRIVATE LIMITED - TVS A</t>
        </is>
      </c>
      <c r="D474" t="inlineStr">
        <is>
          <t>KG</t>
        </is>
      </c>
      <c r="E474" t="n">
        <v>217</v>
      </c>
      <c r="F474" t="n">
        <v>1343.254</v>
      </c>
      <c r="G474" t="n">
        <v>1934.555</v>
      </c>
      <c r="H474" t="inlineStr">
        <is>
          <t>056</t>
        </is>
      </c>
      <c r="I474" t="n">
        <v>3502254</v>
      </c>
      <c r="J474" t="inlineStr">
        <is>
          <t>TUB-O-N-AUT-AW-FC-38.10X1.600X6.1900</t>
        </is>
      </c>
      <c r="K474" t="n">
        <v>38.1</v>
      </c>
      <c r="L474" t="n">
        <v>0</v>
      </c>
      <c r="M474" t="n">
        <v>1.6</v>
      </c>
      <c r="N474" t="n">
        <v>6.19</v>
      </c>
      <c r="O474" t="inlineStr">
        <is>
          <t>Direct</t>
        </is>
      </c>
      <c r="P474" t="inlineStr">
        <is>
          <t>38.1-0-1.6-ERW 1-FC-6.19</t>
        </is>
      </c>
    </row>
    <row r="475">
      <c r="A475" t="n">
        <v>46195</v>
      </c>
      <c r="B475" t="inlineStr">
        <is>
          <t>0000943209</t>
        </is>
      </c>
      <c r="C475" t="inlineStr">
        <is>
          <t>MEGH STEELS PRIVATE LIMITED - TVS A</t>
        </is>
      </c>
      <c r="D475" t="inlineStr">
        <is>
          <t>KG</t>
        </is>
      </c>
      <c r="E475" t="n">
        <v>217</v>
      </c>
      <c r="F475" t="n">
        <v>1343.254</v>
      </c>
      <c r="G475" t="n">
        <v>1934.555</v>
      </c>
      <c r="H475" t="inlineStr">
        <is>
          <t>056</t>
        </is>
      </c>
      <c r="I475" t="n">
        <v>3502254</v>
      </c>
      <c r="J475" t="inlineStr">
        <is>
          <t>TUB-O-N-AUT-AW-FC-38.10X1.600X6.1900</t>
        </is>
      </c>
      <c r="K475" t="n">
        <v>38.1</v>
      </c>
      <c r="L475" t="n">
        <v>0</v>
      </c>
      <c r="M475" t="n">
        <v>1.6</v>
      </c>
      <c r="N475" t="n">
        <v>6.19</v>
      </c>
      <c r="O475" t="inlineStr">
        <is>
          <t>Direct</t>
        </is>
      </c>
      <c r="P475" t="inlineStr">
        <is>
          <t>38.1-0-1.6-ERW 1-FC-6.19</t>
        </is>
      </c>
    </row>
    <row r="476">
      <c r="A476" t="n">
        <v>46195</v>
      </c>
      <c r="B476" t="inlineStr">
        <is>
          <t>0000943209</t>
        </is>
      </c>
      <c r="C476" t="inlineStr">
        <is>
          <t>MEGH STEELS PRIVATE LIMITED - TVS A</t>
        </is>
      </c>
      <c r="D476" t="inlineStr">
        <is>
          <t>KG</t>
        </is>
      </c>
      <c r="E476" t="n">
        <v>217</v>
      </c>
      <c r="F476" t="n">
        <v>1343.254</v>
      </c>
      <c r="G476" t="n">
        <v>1934.555</v>
      </c>
      <c r="H476" t="inlineStr">
        <is>
          <t>056</t>
        </is>
      </c>
      <c r="I476" t="n">
        <v>3502254</v>
      </c>
      <c r="J476" t="inlineStr">
        <is>
          <t>TUB-O-N-AUT-AW-FC-38.10X1.600X6.1900</t>
        </is>
      </c>
      <c r="K476" t="n">
        <v>38.1</v>
      </c>
      <c r="L476" t="n">
        <v>0</v>
      </c>
      <c r="M476" t="n">
        <v>1.6</v>
      </c>
      <c r="N476" t="n">
        <v>6.19</v>
      </c>
      <c r="O476" t="inlineStr">
        <is>
          <t>Direct</t>
        </is>
      </c>
      <c r="P476" t="inlineStr">
        <is>
          <t>38.1-0-1.6-ERW 1-FC-6.19</t>
        </is>
      </c>
    </row>
    <row r="477">
      <c r="A477" t="n">
        <v>46191</v>
      </c>
      <c r="B477" t="inlineStr">
        <is>
          <t>0000943209</t>
        </is>
      </c>
      <c r="C477" t="inlineStr">
        <is>
          <t>MEGH STEELS PRIVATE LIMITED - TVS A</t>
        </is>
      </c>
      <c r="D477" t="inlineStr">
        <is>
          <t>KG</t>
        </is>
      </c>
      <c r="E477" t="n">
        <v>217</v>
      </c>
      <c r="F477" t="n">
        <v>1343.254</v>
      </c>
      <c r="G477" t="n">
        <v>1934.555</v>
      </c>
      <c r="H477" t="inlineStr">
        <is>
          <t>056</t>
        </is>
      </c>
      <c r="I477" t="n">
        <v>3502254</v>
      </c>
      <c r="J477" t="inlineStr">
        <is>
          <t>TUB-O-N-AUT-AW-FC-38.10X1.600X6.1900</t>
        </is>
      </c>
      <c r="K477" t="n">
        <v>38.1</v>
      </c>
      <c r="L477" t="n">
        <v>0</v>
      </c>
      <c r="M477" t="n">
        <v>1.6</v>
      </c>
      <c r="N477" t="n">
        <v>6.19</v>
      </c>
      <c r="O477" t="inlineStr">
        <is>
          <t>Direct</t>
        </is>
      </c>
      <c r="P477" t="inlineStr">
        <is>
          <t>38.1-0-1.6-ERW 1-FC-6.19</t>
        </is>
      </c>
    </row>
    <row r="478">
      <c r="A478" t="n">
        <v>46202</v>
      </c>
      <c r="B478" t="inlineStr">
        <is>
          <t>0000943209</t>
        </is>
      </c>
      <c r="C478" t="inlineStr">
        <is>
          <t>MEGH STEELS PRIVATE LIMITED - TVS A</t>
        </is>
      </c>
      <c r="D478" t="inlineStr">
        <is>
          <t>KG</t>
        </is>
      </c>
      <c r="E478" t="n">
        <v>216</v>
      </c>
      <c r="F478" t="n">
        <v>1336.992</v>
      </c>
      <c r="G478" t="n">
        <v>2825.064</v>
      </c>
      <c r="H478" t="inlineStr">
        <is>
          <t>056</t>
        </is>
      </c>
      <c r="I478" t="n">
        <v>3502007</v>
      </c>
      <c r="J478" t="inlineStr">
        <is>
          <t>TUB-O-N-AUT-AH-FC-38.10X2.500X6.1900 HST</t>
        </is>
      </c>
      <c r="K478" t="n">
        <v>38.1</v>
      </c>
      <c r="L478" t="n">
        <v>0</v>
      </c>
      <c r="M478" t="n">
        <v>2.5</v>
      </c>
      <c r="N478" t="n">
        <v>6.19</v>
      </c>
      <c r="O478" t="inlineStr">
        <is>
          <t>Direct</t>
        </is>
      </c>
      <c r="P478" t="inlineStr">
        <is>
          <t>38.1-0-2.5-ERW 2 MAHS-FC-6.19</t>
        </is>
      </c>
    </row>
    <row r="479">
      <c r="A479" t="n">
        <v>46202</v>
      </c>
      <c r="B479" t="inlineStr">
        <is>
          <t>0000943209</t>
        </is>
      </c>
      <c r="C479" t="inlineStr">
        <is>
          <t>MEGH STEELS PRIVATE LIMITED - TVS A</t>
        </is>
      </c>
      <c r="D479" t="inlineStr">
        <is>
          <t>KG</t>
        </is>
      </c>
      <c r="E479" t="n">
        <v>217</v>
      </c>
      <c r="F479" t="n">
        <v>1343.182</v>
      </c>
      <c r="G479" t="n">
        <v>2838.143</v>
      </c>
      <c r="H479" t="inlineStr">
        <is>
          <t>056</t>
        </is>
      </c>
      <c r="I479" t="n">
        <v>3502007</v>
      </c>
      <c r="J479" t="inlineStr">
        <is>
          <t>TUB-O-N-AUT-AH-FC-38.10X2.500X6.1900 HST</t>
        </is>
      </c>
      <c r="K479" t="n">
        <v>38.1</v>
      </c>
      <c r="L479" t="n">
        <v>0</v>
      </c>
      <c r="M479" t="n">
        <v>2.5</v>
      </c>
      <c r="N479" t="n">
        <v>6.19</v>
      </c>
      <c r="O479" t="inlineStr">
        <is>
          <t>Direct</t>
        </is>
      </c>
      <c r="P479" t="inlineStr">
        <is>
          <t>38.1-0-2.5-ERW 2 MAHS-FC-6.19</t>
        </is>
      </c>
    </row>
    <row r="480">
      <c r="A480" t="n">
        <v>46181</v>
      </c>
      <c r="B480" t="inlineStr">
        <is>
          <t>0000943209</t>
        </is>
      </c>
      <c r="C480" t="inlineStr">
        <is>
          <t>MEGH STEELS PRIVATE LIMITED - TVS A</t>
        </is>
      </c>
      <c r="D480" t="inlineStr">
        <is>
          <t>KG</t>
        </is>
      </c>
      <c r="E480" t="n">
        <v>201</v>
      </c>
      <c r="F480" t="n">
        <v>1245.645</v>
      </c>
      <c r="G480" t="n">
        <v>1573</v>
      </c>
      <c r="H480" t="inlineStr">
        <is>
          <t>4731</t>
        </is>
      </c>
      <c r="I480" t="n">
        <v>3775569</v>
      </c>
      <c r="J480" t="inlineStr">
        <is>
          <t>TUB-I-C-AUT-AD-FC-12.50X3.250X6.2000</t>
        </is>
      </c>
      <c r="K480" t="n">
        <v>19</v>
      </c>
      <c r="L480" t="n">
        <v>12.5</v>
      </c>
      <c r="M480" t="n">
        <v>3.25</v>
      </c>
      <c r="N480" t="n">
        <v>6.2</v>
      </c>
      <c r="O480" t="inlineStr">
        <is>
          <t>Direct</t>
        </is>
      </c>
    </row>
    <row r="481">
      <c r="A481" t="n">
        <v>46181</v>
      </c>
      <c r="B481" t="inlineStr">
        <is>
          <t>0000943209</t>
        </is>
      </c>
      <c r="C481" t="inlineStr">
        <is>
          <t>MEGH STEELS PRIVATE LIMITED - TVS A</t>
        </is>
      </c>
      <c r="D481" t="inlineStr">
        <is>
          <t>KG</t>
        </is>
      </c>
      <c r="E481" t="n">
        <v>306</v>
      </c>
      <c r="F481" t="n">
        <v>1896.579</v>
      </c>
      <c r="G481" t="n">
        <v>2395</v>
      </c>
      <c r="H481" t="inlineStr">
        <is>
          <t>4731</t>
        </is>
      </c>
      <c r="I481" t="n">
        <v>3775569</v>
      </c>
      <c r="J481" t="inlineStr">
        <is>
          <t>TUB-I-C-AUT-AD-FC-12.50X3.250X6.2000</t>
        </is>
      </c>
      <c r="K481" t="n">
        <v>19</v>
      </c>
      <c r="L481" t="n">
        <v>12.5</v>
      </c>
      <c r="M481" t="n">
        <v>3.25</v>
      </c>
      <c r="N481" t="n">
        <v>6.2</v>
      </c>
      <c r="O481" t="inlineStr">
        <is>
          <t>Direct</t>
        </is>
      </c>
    </row>
    <row r="482">
      <c r="A482" t="n">
        <v>46181</v>
      </c>
      <c r="B482" t="inlineStr">
        <is>
          <t>0000943209</t>
        </is>
      </c>
      <c r="C482" t="inlineStr">
        <is>
          <t>MEGH STEELS PRIVATE LIMITED - TVS A</t>
        </is>
      </c>
      <c r="D482" t="inlineStr">
        <is>
          <t>KG</t>
        </is>
      </c>
      <c r="E482" t="n">
        <v>176</v>
      </c>
      <c r="F482" t="n">
        <v>1090.434</v>
      </c>
      <c r="G482" t="n">
        <v>1377</v>
      </c>
      <c r="H482" t="inlineStr">
        <is>
          <t>4731</t>
        </is>
      </c>
      <c r="I482" t="n">
        <v>3775569</v>
      </c>
      <c r="J482" t="inlineStr">
        <is>
          <t>TUB-I-C-AUT-AD-FC-12.50X3.250X6.2000</t>
        </is>
      </c>
      <c r="K482" t="n">
        <v>19</v>
      </c>
      <c r="L482" t="n">
        <v>12.5</v>
      </c>
      <c r="M482" t="n">
        <v>3.25</v>
      </c>
      <c r="N482" t="n">
        <v>6.2</v>
      </c>
      <c r="O482" t="inlineStr">
        <is>
          <t>Direct</t>
        </is>
      </c>
    </row>
    <row r="483">
      <c r="A483" t="n">
        <v>46181</v>
      </c>
      <c r="B483" t="inlineStr">
        <is>
          <t>0000943209</t>
        </is>
      </c>
      <c r="C483" t="inlineStr">
        <is>
          <t>MEGH STEELS PRIVATE LIMITED - TVS A</t>
        </is>
      </c>
      <c r="D483" t="inlineStr">
        <is>
          <t>KG</t>
        </is>
      </c>
      <c r="E483" t="n">
        <v>140</v>
      </c>
      <c r="F483" t="n">
        <v>867.121</v>
      </c>
      <c r="G483" t="n">
        <v>1095</v>
      </c>
      <c r="H483" t="inlineStr">
        <is>
          <t>4731</t>
        </is>
      </c>
      <c r="I483" t="n">
        <v>3775569</v>
      </c>
      <c r="J483" t="inlineStr">
        <is>
          <t>TUB-I-C-AUT-AD-FC-12.50X3.250X6.2000</t>
        </is>
      </c>
      <c r="K483" t="n">
        <v>19</v>
      </c>
      <c r="L483" t="n">
        <v>12.5</v>
      </c>
      <c r="M483" t="n">
        <v>3.25</v>
      </c>
      <c r="N483" t="n">
        <v>6.2</v>
      </c>
      <c r="O483" t="inlineStr">
        <is>
          <t>Direct</t>
        </is>
      </c>
    </row>
    <row r="484">
      <c r="A484" t="n">
        <v>46181</v>
      </c>
      <c r="B484" t="inlineStr">
        <is>
          <t>0000943209</t>
        </is>
      </c>
      <c r="C484" t="inlineStr">
        <is>
          <t>MEGH STEELS PRIVATE LIMITED - TVS A</t>
        </is>
      </c>
      <c r="D484" t="inlineStr">
        <is>
          <t>KG</t>
        </is>
      </c>
      <c r="E484" t="n">
        <v>150</v>
      </c>
      <c r="F484" t="n">
        <v>928.888</v>
      </c>
      <c r="G484" t="n">
        <v>1173</v>
      </c>
      <c r="H484" t="inlineStr">
        <is>
          <t>4731</t>
        </is>
      </c>
      <c r="I484" t="n">
        <v>3775569</v>
      </c>
      <c r="J484" t="inlineStr">
        <is>
          <t>TUB-I-C-AUT-AD-FC-12.50X3.250X6.2000</t>
        </is>
      </c>
      <c r="K484" t="n">
        <v>19</v>
      </c>
      <c r="L484" t="n">
        <v>12.5</v>
      </c>
      <c r="M484" t="n">
        <v>3.25</v>
      </c>
      <c r="N484" t="n">
        <v>6.2</v>
      </c>
      <c r="O484" t="inlineStr">
        <is>
          <t>Direct</t>
        </is>
      </c>
    </row>
    <row r="485">
      <c r="A485" t="n">
        <v>46181</v>
      </c>
      <c r="B485" t="inlineStr">
        <is>
          <t>0000943209</t>
        </is>
      </c>
      <c r="C485" t="inlineStr">
        <is>
          <t>MEGH STEELS PRIVATE LIMITED - TVS A</t>
        </is>
      </c>
      <c r="D485" t="inlineStr">
        <is>
          <t>KG</t>
        </is>
      </c>
      <c r="E485" t="n">
        <v>74</v>
      </c>
      <c r="F485" t="n">
        <v>456.129</v>
      </c>
      <c r="G485" t="n">
        <v>576</v>
      </c>
      <c r="H485" t="inlineStr">
        <is>
          <t>4731</t>
        </is>
      </c>
      <c r="I485" t="n">
        <v>3775569</v>
      </c>
      <c r="J485" t="inlineStr">
        <is>
          <t>TUB-I-C-AUT-AD-FC-12.50X3.250X6.2000</t>
        </is>
      </c>
      <c r="K485" t="n">
        <v>19</v>
      </c>
      <c r="L485" t="n">
        <v>12.5</v>
      </c>
      <c r="M485" t="n">
        <v>3.25</v>
      </c>
      <c r="N485" t="n">
        <v>6.2</v>
      </c>
      <c r="O485" t="inlineStr">
        <is>
          <t>Direct</t>
        </is>
      </c>
    </row>
    <row r="486">
      <c r="A486" t="n">
        <v>46181</v>
      </c>
      <c r="B486" t="inlineStr">
        <is>
          <t>0000943209</t>
        </is>
      </c>
      <c r="C486" t="inlineStr">
        <is>
          <t>MEGH STEELS PRIVATE LIMITED - TVS A</t>
        </is>
      </c>
      <c r="D486" t="inlineStr">
        <is>
          <t>KG</t>
        </is>
      </c>
      <c r="E486" t="n">
        <v>262</v>
      </c>
      <c r="F486" t="n">
        <v>1624.169</v>
      </c>
      <c r="G486" t="n">
        <v>2051</v>
      </c>
      <c r="H486" t="inlineStr">
        <is>
          <t>4731</t>
        </is>
      </c>
      <c r="I486" t="n">
        <v>3775569</v>
      </c>
      <c r="J486" t="inlineStr">
        <is>
          <t>TUB-I-C-AUT-AD-FC-12.50X3.250X6.2000</t>
        </is>
      </c>
      <c r="K486" t="n">
        <v>19</v>
      </c>
      <c r="L486" t="n">
        <v>12.5</v>
      </c>
      <c r="M486" t="n">
        <v>3.25</v>
      </c>
      <c r="N486" t="n">
        <v>6.2</v>
      </c>
      <c r="O486" t="inlineStr">
        <is>
          <t>Direct</t>
        </is>
      </c>
    </row>
    <row r="487">
      <c r="A487" t="n">
        <v>46190</v>
      </c>
      <c r="B487" t="inlineStr">
        <is>
          <t>0000943213</t>
        </is>
      </c>
      <c r="C487" t="inlineStr">
        <is>
          <t>MEGH STEELS PRIVATE LIMITED - RANE</t>
        </is>
      </c>
      <c r="D487" t="inlineStr">
        <is>
          <t>KG</t>
        </is>
      </c>
      <c r="E487" t="n">
        <v>56</v>
      </c>
      <c r="F487" t="n">
        <v>349.998</v>
      </c>
      <c r="G487" t="n">
        <v>2278.696</v>
      </c>
      <c r="H487" t="inlineStr">
        <is>
          <t>056</t>
        </is>
      </c>
      <c r="I487" t="n">
        <v>3772811</v>
      </c>
      <c r="J487" t="inlineStr">
        <is>
          <t>TUB-O-C-SLT-NR-FC-50.00X6.000X6.2500</t>
        </is>
      </c>
      <c r="K487" t="n">
        <v>50</v>
      </c>
      <c r="L487" t="n">
        <v>0</v>
      </c>
      <c r="M487" t="n">
        <v>6</v>
      </c>
      <c r="N487" t="n">
        <v>6.25</v>
      </c>
      <c r="O487" t="inlineStr">
        <is>
          <t>Rane</t>
        </is>
      </c>
    </row>
    <row r="488">
      <c r="A488" t="n">
        <v>46190</v>
      </c>
      <c r="B488" t="inlineStr">
        <is>
          <t>0000943213</t>
        </is>
      </c>
      <c r="C488" t="inlineStr">
        <is>
          <t>MEGH STEELS PRIVATE LIMITED - RANE</t>
        </is>
      </c>
      <c r="D488" t="inlineStr">
        <is>
          <t>KG</t>
        </is>
      </c>
      <c r="E488" t="n">
        <v>58</v>
      </c>
      <c r="F488" t="n">
        <v>362.498</v>
      </c>
      <c r="G488" t="n">
        <v>2360.078</v>
      </c>
      <c r="H488" t="inlineStr">
        <is>
          <t>056</t>
        </is>
      </c>
      <c r="I488" t="n">
        <v>3772811</v>
      </c>
      <c r="J488" t="inlineStr">
        <is>
          <t>TUB-O-C-SLT-NR-FC-50.00X6.000X6.2500</t>
        </is>
      </c>
      <c r="K488" t="n">
        <v>50</v>
      </c>
      <c r="L488" t="n">
        <v>0</v>
      </c>
      <c r="M488" t="n">
        <v>6</v>
      </c>
      <c r="N488" t="n">
        <v>6.25</v>
      </c>
      <c r="O488" t="inlineStr">
        <is>
          <t>Rane</t>
        </is>
      </c>
    </row>
    <row r="489">
      <c r="A489" t="n">
        <v>46190</v>
      </c>
      <c r="B489" t="inlineStr">
        <is>
          <t>0000943213</t>
        </is>
      </c>
      <c r="C489" t="inlineStr">
        <is>
          <t>MEGH STEELS PRIVATE LIMITED - RANE</t>
        </is>
      </c>
      <c r="D489" t="inlineStr">
        <is>
          <t>KG</t>
        </is>
      </c>
      <c r="E489" t="n">
        <v>58</v>
      </c>
      <c r="F489" t="n">
        <v>362.498</v>
      </c>
      <c r="G489" t="n">
        <v>2360.078</v>
      </c>
      <c r="H489" t="inlineStr">
        <is>
          <t>056</t>
        </is>
      </c>
      <c r="I489" t="n">
        <v>3772811</v>
      </c>
      <c r="J489" t="inlineStr">
        <is>
          <t>TUB-O-C-SLT-NR-FC-50.00X6.000X6.2500</t>
        </is>
      </c>
      <c r="K489" t="n">
        <v>50</v>
      </c>
      <c r="L489" t="n">
        <v>0</v>
      </c>
      <c r="M489" t="n">
        <v>6</v>
      </c>
      <c r="N489" t="n">
        <v>6.25</v>
      </c>
      <c r="O489" t="inlineStr">
        <is>
          <t>Rane</t>
        </is>
      </c>
    </row>
    <row r="490">
      <c r="A490" t="n">
        <v>46190</v>
      </c>
      <c r="B490" t="inlineStr">
        <is>
          <t>0000943213</t>
        </is>
      </c>
      <c r="C490" t="inlineStr">
        <is>
          <t>MEGH STEELS PRIVATE LIMITED - RANE</t>
        </is>
      </c>
      <c r="D490" t="inlineStr">
        <is>
          <t>KG</t>
        </is>
      </c>
      <c r="E490" t="n">
        <v>56</v>
      </c>
      <c r="F490" t="n">
        <v>349.998</v>
      </c>
      <c r="G490" t="n">
        <v>2278.696</v>
      </c>
      <c r="H490" t="inlineStr">
        <is>
          <t>056</t>
        </is>
      </c>
      <c r="I490" t="n">
        <v>3772811</v>
      </c>
      <c r="J490" t="inlineStr">
        <is>
          <t>TUB-O-C-SLT-NR-FC-50.00X6.000X6.2500</t>
        </is>
      </c>
      <c r="K490" t="n">
        <v>50</v>
      </c>
      <c r="L490" t="n">
        <v>0</v>
      </c>
      <c r="M490" t="n">
        <v>6</v>
      </c>
      <c r="N490" t="n">
        <v>6.25</v>
      </c>
      <c r="O490" t="inlineStr">
        <is>
          <t>Rane</t>
        </is>
      </c>
    </row>
    <row r="491">
      <c r="A491" t="n">
        <v>46190</v>
      </c>
      <c r="B491" t="inlineStr">
        <is>
          <t>0000943213</t>
        </is>
      </c>
      <c r="C491" t="inlineStr">
        <is>
          <t>MEGH STEELS PRIVATE LIMITED - RANE</t>
        </is>
      </c>
      <c r="D491" t="inlineStr">
        <is>
          <t>KG</t>
        </is>
      </c>
      <c r="E491" t="n">
        <v>59</v>
      </c>
      <c r="F491" t="n">
        <v>368.748</v>
      </c>
      <c r="G491" t="n">
        <v>2400.769</v>
      </c>
      <c r="H491" t="inlineStr">
        <is>
          <t>056</t>
        </is>
      </c>
      <c r="I491" t="n">
        <v>3772811</v>
      </c>
      <c r="J491" t="inlineStr">
        <is>
          <t>TUB-O-C-SLT-NR-FC-50.00X6.000X6.2500</t>
        </is>
      </c>
      <c r="K491" t="n">
        <v>50</v>
      </c>
      <c r="L491" t="n">
        <v>0</v>
      </c>
      <c r="M491" t="n">
        <v>6</v>
      </c>
      <c r="N491" t="n">
        <v>6.25</v>
      </c>
      <c r="O491" t="inlineStr">
        <is>
          <t>Rane</t>
        </is>
      </c>
    </row>
    <row r="492">
      <c r="A492" t="n">
        <v>46190</v>
      </c>
      <c r="B492" t="inlineStr">
        <is>
          <t>0000943213</t>
        </is>
      </c>
      <c r="C492" t="inlineStr">
        <is>
          <t>MEGH STEELS PRIVATE LIMITED - RANE</t>
        </is>
      </c>
      <c r="D492" t="inlineStr">
        <is>
          <t>KG</t>
        </is>
      </c>
      <c r="E492" t="n">
        <v>57</v>
      </c>
      <c r="F492" t="n">
        <v>356.248</v>
      </c>
      <c r="G492" t="n">
        <v>2319.387</v>
      </c>
      <c r="H492" t="inlineStr">
        <is>
          <t>056</t>
        </is>
      </c>
      <c r="I492" t="n">
        <v>3772811</v>
      </c>
      <c r="J492" t="inlineStr">
        <is>
          <t>TUB-O-C-SLT-NR-FC-50.00X6.000X6.2500</t>
        </is>
      </c>
      <c r="K492" t="n">
        <v>50</v>
      </c>
      <c r="L492" t="n">
        <v>0</v>
      </c>
      <c r="M492" t="n">
        <v>6</v>
      </c>
      <c r="N492" t="n">
        <v>6.25</v>
      </c>
      <c r="O492" t="inlineStr">
        <is>
          <t>Rane</t>
        </is>
      </c>
    </row>
    <row r="493">
      <c r="A493" t="n">
        <v>46190</v>
      </c>
      <c r="B493" t="inlineStr">
        <is>
          <t>0000943213</t>
        </is>
      </c>
      <c r="C493" t="inlineStr">
        <is>
          <t>MEGH STEELS PRIVATE LIMITED - RANE</t>
        </is>
      </c>
      <c r="D493" t="inlineStr">
        <is>
          <t>KG</t>
        </is>
      </c>
      <c r="E493" t="n">
        <v>52</v>
      </c>
      <c r="F493" t="n">
        <v>324.998</v>
      </c>
      <c r="G493" t="n">
        <v>2115.932</v>
      </c>
      <c r="H493" t="inlineStr">
        <is>
          <t>056</t>
        </is>
      </c>
      <c r="I493" t="n">
        <v>3772811</v>
      </c>
      <c r="J493" t="inlineStr">
        <is>
          <t>TUB-O-C-SLT-NR-FC-50.00X6.000X6.2500</t>
        </is>
      </c>
      <c r="K493" t="n">
        <v>50</v>
      </c>
      <c r="L493" t="n">
        <v>0</v>
      </c>
      <c r="M493" t="n">
        <v>6</v>
      </c>
      <c r="N493" t="n">
        <v>6.25</v>
      </c>
      <c r="O493" t="inlineStr">
        <is>
          <t>Rane</t>
        </is>
      </c>
    </row>
    <row r="494">
      <c r="A494" t="n">
        <v>46190</v>
      </c>
      <c r="B494" t="inlineStr">
        <is>
          <t>0000943213</t>
        </is>
      </c>
      <c r="C494" t="inlineStr">
        <is>
          <t>MEGH STEELS PRIVATE LIMITED - RANE</t>
        </is>
      </c>
      <c r="D494" t="inlineStr">
        <is>
          <t>KG</t>
        </is>
      </c>
      <c r="E494" t="n">
        <v>54</v>
      </c>
      <c r="F494" t="n">
        <v>337.498</v>
      </c>
      <c r="G494" t="n">
        <v>2197.314</v>
      </c>
      <c r="H494" t="inlineStr">
        <is>
          <t>056</t>
        </is>
      </c>
      <c r="I494" t="n">
        <v>3772811</v>
      </c>
      <c r="J494" t="inlineStr">
        <is>
          <t>TUB-O-C-SLT-NR-FC-50.00X6.000X6.2500</t>
        </is>
      </c>
      <c r="K494" t="n">
        <v>50</v>
      </c>
      <c r="L494" t="n">
        <v>0</v>
      </c>
      <c r="M494" t="n">
        <v>6</v>
      </c>
      <c r="N494" t="n">
        <v>6.25</v>
      </c>
      <c r="O494" t="inlineStr">
        <is>
          <t>Rane</t>
        </is>
      </c>
    </row>
    <row r="495">
      <c r="A495" t="n">
        <v>46190</v>
      </c>
      <c r="B495" t="inlineStr">
        <is>
          <t>0000943213</t>
        </is>
      </c>
      <c r="C495" t="inlineStr">
        <is>
          <t>MEGH STEELS PRIVATE LIMITED - RANE</t>
        </is>
      </c>
      <c r="D495" t="inlineStr">
        <is>
          <t>KG</t>
        </is>
      </c>
      <c r="E495" t="n">
        <v>56</v>
      </c>
      <c r="F495" t="n">
        <v>349.998</v>
      </c>
      <c r="G495" t="n">
        <v>2278.696</v>
      </c>
      <c r="H495" t="inlineStr">
        <is>
          <t>056</t>
        </is>
      </c>
      <c r="I495" t="n">
        <v>3772811</v>
      </c>
      <c r="J495" t="inlineStr">
        <is>
          <t>TUB-O-C-SLT-NR-FC-50.00X6.000X6.2500</t>
        </is>
      </c>
      <c r="K495" t="n">
        <v>50</v>
      </c>
      <c r="L495" t="n">
        <v>0</v>
      </c>
      <c r="M495" t="n">
        <v>6</v>
      </c>
      <c r="N495" t="n">
        <v>6.25</v>
      </c>
      <c r="O495" t="inlineStr">
        <is>
          <t>Rane</t>
        </is>
      </c>
    </row>
    <row r="496">
      <c r="A496" t="n">
        <v>46199</v>
      </c>
      <c r="B496" t="inlineStr">
        <is>
          <t>0000943213</t>
        </is>
      </c>
      <c r="C496" t="inlineStr">
        <is>
          <t>MEGH STEELS PRIVATE LIMITED - RANE</t>
        </is>
      </c>
      <c r="D496" t="inlineStr">
        <is>
          <t>KG</t>
        </is>
      </c>
      <c r="E496" t="n">
        <v>59</v>
      </c>
      <c r="F496" t="n">
        <v>368.748</v>
      </c>
      <c r="G496" t="n">
        <v>2400.769</v>
      </c>
      <c r="H496" t="inlineStr">
        <is>
          <t>056</t>
        </is>
      </c>
      <c r="I496" t="n">
        <v>3772811</v>
      </c>
      <c r="J496" t="inlineStr">
        <is>
          <t>TUB-O-C-SLT-NR-FC-50.00X6.000X6.2500</t>
        </is>
      </c>
      <c r="K496" t="n">
        <v>50</v>
      </c>
      <c r="L496" t="n">
        <v>0</v>
      </c>
      <c r="M496" t="n">
        <v>6</v>
      </c>
      <c r="N496" t="n">
        <v>6.25</v>
      </c>
      <c r="O496" t="inlineStr">
        <is>
          <t>Rane</t>
        </is>
      </c>
    </row>
    <row r="497">
      <c r="A497" t="n">
        <v>46199</v>
      </c>
      <c r="B497" t="inlineStr">
        <is>
          <t>0000943213</t>
        </is>
      </c>
      <c r="C497" t="inlineStr">
        <is>
          <t>MEGH STEELS PRIVATE LIMITED - RANE</t>
        </is>
      </c>
      <c r="D497" t="inlineStr">
        <is>
          <t>KG</t>
        </is>
      </c>
      <c r="E497" t="n">
        <v>58</v>
      </c>
      <c r="F497" t="n">
        <v>362.498</v>
      </c>
      <c r="G497" t="n">
        <v>2360.078</v>
      </c>
      <c r="H497" t="inlineStr">
        <is>
          <t>056</t>
        </is>
      </c>
      <c r="I497" t="n">
        <v>3772811</v>
      </c>
      <c r="J497" t="inlineStr">
        <is>
          <t>TUB-O-C-SLT-NR-FC-50.00X6.000X6.2500</t>
        </is>
      </c>
      <c r="K497" t="n">
        <v>50</v>
      </c>
      <c r="L497" t="n">
        <v>0</v>
      </c>
      <c r="M497" t="n">
        <v>6</v>
      </c>
      <c r="N497" t="n">
        <v>6.25</v>
      </c>
      <c r="O497" t="inlineStr">
        <is>
          <t>Rane</t>
        </is>
      </c>
    </row>
    <row r="498">
      <c r="A498" t="n">
        <v>46199</v>
      </c>
      <c r="B498" t="inlineStr">
        <is>
          <t>0000943213</t>
        </is>
      </c>
      <c r="C498" t="inlineStr">
        <is>
          <t>MEGH STEELS PRIVATE LIMITED - RANE</t>
        </is>
      </c>
      <c r="D498" t="inlineStr">
        <is>
          <t>KG</t>
        </is>
      </c>
      <c r="E498" t="n">
        <v>57</v>
      </c>
      <c r="F498" t="n">
        <v>356.248</v>
      </c>
      <c r="G498" t="n">
        <v>2319.387</v>
      </c>
      <c r="H498" t="inlineStr">
        <is>
          <t>056</t>
        </is>
      </c>
      <c r="I498" t="n">
        <v>3772811</v>
      </c>
      <c r="J498" t="inlineStr">
        <is>
          <t>TUB-O-C-SLT-NR-FC-50.00X6.000X6.2500</t>
        </is>
      </c>
      <c r="K498" t="n">
        <v>50</v>
      </c>
      <c r="L498" t="n">
        <v>0</v>
      </c>
      <c r="M498" t="n">
        <v>6</v>
      </c>
      <c r="N498" t="n">
        <v>6.25</v>
      </c>
      <c r="O498" t="inlineStr">
        <is>
          <t>Rane</t>
        </is>
      </c>
    </row>
    <row r="499">
      <c r="A499" t="n">
        <v>46199</v>
      </c>
      <c r="B499" t="inlineStr">
        <is>
          <t>0000943213</t>
        </is>
      </c>
      <c r="C499" t="inlineStr">
        <is>
          <t>MEGH STEELS PRIVATE LIMITED - RANE</t>
        </is>
      </c>
      <c r="D499" t="inlineStr">
        <is>
          <t>KG</t>
        </is>
      </c>
      <c r="E499" t="n">
        <v>56</v>
      </c>
      <c r="F499" t="n">
        <v>349.998</v>
      </c>
      <c r="G499" t="n">
        <v>2278.696</v>
      </c>
      <c r="H499" t="inlineStr">
        <is>
          <t>056</t>
        </is>
      </c>
      <c r="I499" t="n">
        <v>3772811</v>
      </c>
      <c r="J499" t="inlineStr">
        <is>
          <t>TUB-O-C-SLT-NR-FC-50.00X6.000X6.2500</t>
        </is>
      </c>
      <c r="K499" t="n">
        <v>50</v>
      </c>
      <c r="L499" t="n">
        <v>0</v>
      </c>
      <c r="M499" t="n">
        <v>6</v>
      </c>
      <c r="N499" t="n">
        <v>6.25</v>
      </c>
      <c r="O499" t="inlineStr">
        <is>
          <t>Rane</t>
        </is>
      </c>
    </row>
    <row r="500">
      <c r="A500" t="n">
        <v>46199</v>
      </c>
      <c r="B500" t="inlineStr">
        <is>
          <t>0000943213</t>
        </is>
      </c>
      <c r="C500" t="inlineStr">
        <is>
          <t>MEGH STEELS PRIVATE LIMITED - RANE</t>
        </is>
      </c>
      <c r="D500" t="inlineStr">
        <is>
          <t>KG</t>
        </is>
      </c>
      <c r="E500" t="n">
        <v>58</v>
      </c>
      <c r="F500" t="n">
        <v>362.498</v>
      </c>
      <c r="G500" t="n">
        <v>2360.078</v>
      </c>
      <c r="H500" t="inlineStr">
        <is>
          <t>056</t>
        </is>
      </c>
      <c r="I500" t="n">
        <v>3772811</v>
      </c>
      <c r="J500" t="inlineStr">
        <is>
          <t>TUB-O-C-SLT-NR-FC-50.00X6.000X6.2500</t>
        </is>
      </c>
      <c r="K500" t="n">
        <v>50</v>
      </c>
      <c r="L500" t="n">
        <v>0</v>
      </c>
      <c r="M500" t="n">
        <v>6</v>
      </c>
      <c r="N500" t="n">
        <v>6.25</v>
      </c>
      <c r="O500" t="inlineStr">
        <is>
          <t>Rane</t>
        </is>
      </c>
    </row>
    <row r="501">
      <c r="A501" t="n">
        <v>46199</v>
      </c>
      <c r="B501" t="inlineStr">
        <is>
          <t>0000943213</t>
        </is>
      </c>
      <c r="C501" t="inlineStr">
        <is>
          <t>MEGH STEELS PRIVATE LIMITED - RANE</t>
        </is>
      </c>
      <c r="D501" t="inlineStr">
        <is>
          <t>KG</t>
        </is>
      </c>
      <c r="E501" t="n">
        <v>51</v>
      </c>
      <c r="F501" t="n">
        <v>318.748</v>
      </c>
      <c r="G501" t="n">
        <v>2075.241</v>
      </c>
      <c r="H501" t="inlineStr">
        <is>
          <t>056</t>
        </is>
      </c>
      <c r="I501" t="n">
        <v>3772811</v>
      </c>
      <c r="J501" t="inlineStr">
        <is>
          <t>TUB-O-C-SLT-NR-FC-50.00X6.000X6.2500</t>
        </is>
      </c>
      <c r="K501" t="n">
        <v>50</v>
      </c>
      <c r="L501" t="n">
        <v>0</v>
      </c>
      <c r="M501" t="n">
        <v>6</v>
      </c>
      <c r="N501" t="n">
        <v>6.25</v>
      </c>
      <c r="O501" t="inlineStr">
        <is>
          <t>Rane</t>
        </is>
      </c>
    </row>
    <row r="502">
      <c r="A502" t="n">
        <v>46199</v>
      </c>
      <c r="B502" t="inlineStr">
        <is>
          <t>0000943213</t>
        </is>
      </c>
      <c r="C502" t="inlineStr">
        <is>
          <t>MEGH STEELS PRIVATE LIMITED - RANE</t>
        </is>
      </c>
      <c r="D502" t="inlineStr">
        <is>
          <t>KG</t>
        </is>
      </c>
      <c r="E502" t="n">
        <v>19</v>
      </c>
      <c r="F502" t="n">
        <v>118.749</v>
      </c>
      <c r="G502" t="n">
        <v>773.129</v>
      </c>
      <c r="H502" t="inlineStr">
        <is>
          <t>056</t>
        </is>
      </c>
      <c r="I502" t="n">
        <v>3772811</v>
      </c>
      <c r="J502" t="inlineStr">
        <is>
          <t>TUB-O-C-SLT-NR-FC-50.00X6.000X6.2500</t>
        </is>
      </c>
      <c r="K502" t="n">
        <v>50</v>
      </c>
      <c r="L502" t="n">
        <v>0</v>
      </c>
      <c r="M502" t="n">
        <v>6</v>
      </c>
      <c r="N502" t="n">
        <v>6.25</v>
      </c>
      <c r="O502" t="inlineStr">
        <is>
          <t>Rane</t>
        </is>
      </c>
    </row>
    <row r="503">
      <c r="A503" t="n">
        <v>46199</v>
      </c>
      <c r="B503" t="inlineStr">
        <is>
          <t>0000943213</t>
        </is>
      </c>
      <c r="C503" t="inlineStr">
        <is>
          <t>MEGH STEELS PRIVATE LIMITED - RANE</t>
        </is>
      </c>
      <c r="D503" t="inlineStr">
        <is>
          <t>KG</t>
        </is>
      </c>
      <c r="E503" t="n">
        <v>59</v>
      </c>
      <c r="F503" t="n">
        <v>368.748</v>
      </c>
      <c r="G503" t="n">
        <v>2400.769</v>
      </c>
      <c r="H503" t="inlineStr">
        <is>
          <t>056</t>
        </is>
      </c>
      <c r="I503" t="n">
        <v>3772811</v>
      </c>
      <c r="J503" t="inlineStr">
        <is>
          <t>TUB-O-C-SLT-NR-FC-50.00X6.000X6.2500</t>
        </is>
      </c>
      <c r="K503" t="n">
        <v>50</v>
      </c>
      <c r="L503" t="n">
        <v>0</v>
      </c>
      <c r="M503" t="n">
        <v>6</v>
      </c>
      <c r="N503" t="n">
        <v>6.25</v>
      </c>
      <c r="O503" t="inlineStr">
        <is>
          <t>Rane</t>
        </is>
      </c>
    </row>
    <row r="504">
      <c r="A504" t="n">
        <v>46199</v>
      </c>
      <c r="B504" t="inlineStr">
        <is>
          <t>0000943213</t>
        </is>
      </c>
      <c r="C504" t="inlineStr">
        <is>
          <t>MEGH STEELS PRIVATE LIMITED - RANE</t>
        </is>
      </c>
      <c r="D504" t="inlineStr">
        <is>
          <t>KG</t>
        </is>
      </c>
      <c r="E504" t="n">
        <v>57</v>
      </c>
      <c r="F504" t="n">
        <v>356.248</v>
      </c>
      <c r="G504" t="n">
        <v>2319.387</v>
      </c>
      <c r="H504" t="inlineStr">
        <is>
          <t>056</t>
        </is>
      </c>
      <c r="I504" t="n">
        <v>3772811</v>
      </c>
      <c r="J504" t="inlineStr">
        <is>
          <t>TUB-O-C-SLT-NR-FC-50.00X6.000X6.2500</t>
        </is>
      </c>
      <c r="K504" t="n">
        <v>50</v>
      </c>
      <c r="L504" t="n">
        <v>0</v>
      </c>
      <c r="M504" t="n">
        <v>6</v>
      </c>
      <c r="N504" t="n">
        <v>6.25</v>
      </c>
      <c r="O504" t="inlineStr">
        <is>
          <t>Rane</t>
        </is>
      </c>
    </row>
    <row r="505">
      <c r="A505" t="n">
        <v>46195</v>
      </c>
      <c r="B505" t="inlineStr">
        <is>
          <t>0000943210</t>
        </is>
      </c>
      <c r="C505" t="inlineStr">
        <is>
          <t>MEGH STEELS PRIVATE LIMITED - HMSIL</t>
        </is>
      </c>
      <c r="D505" t="inlineStr">
        <is>
          <t>KG</t>
        </is>
      </c>
      <c r="E505" t="n">
        <v>126</v>
      </c>
      <c r="F505" t="n">
        <v>790.013</v>
      </c>
      <c r="G505" t="n">
        <v>1772.316</v>
      </c>
      <c r="H505" t="inlineStr">
        <is>
          <t>056</t>
        </is>
      </c>
      <c r="I505" t="n">
        <v>3502301</v>
      </c>
      <c r="J505" t="inlineStr">
        <is>
          <t>TUB-O-N-AUT-AW-FC-48.60X2.000X6.270 HST</t>
        </is>
      </c>
      <c r="K505" t="n">
        <v>48.6</v>
      </c>
      <c r="L505" t="n">
        <v>0</v>
      </c>
      <c r="M505" t="n">
        <v>2</v>
      </c>
      <c r="N505" t="n">
        <v>6.27</v>
      </c>
      <c r="O505" t="inlineStr">
        <is>
          <t>Direct</t>
        </is>
      </c>
    </row>
    <row r="506">
      <c r="A506" t="n">
        <v>46198</v>
      </c>
      <c r="B506" t="inlineStr">
        <is>
          <t>0000943210</t>
        </is>
      </c>
      <c r="C506" t="inlineStr">
        <is>
          <t>MEGH STEELS PRIVATE LIMITED - HMSIL</t>
        </is>
      </c>
      <c r="D506" t="inlineStr">
        <is>
          <t>KG</t>
        </is>
      </c>
      <c r="E506" t="n">
        <v>127</v>
      </c>
      <c r="F506" t="n">
        <v>796.282</v>
      </c>
      <c r="G506" t="n">
        <v>1786.38</v>
      </c>
      <c r="H506" t="inlineStr">
        <is>
          <t>056</t>
        </is>
      </c>
      <c r="I506" t="n">
        <v>3502301</v>
      </c>
      <c r="J506" t="inlineStr">
        <is>
          <t>TUB-O-N-AUT-AW-FC-48.60X2.000X6.270 HST</t>
        </is>
      </c>
      <c r="K506" t="n">
        <v>48.6</v>
      </c>
      <c r="L506" t="n">
        <v>0</v>
      </c>
      <c r="M506" t="n">
        <v>2</v>
      </c>
      <c r="N506" t="n">
        <v>6.27</v>
      </c>
      <c r="O506" t="inlineStr">
        <is>
          <t>Direct</t>
        </is>
      </c>
    </row>
    <row r="507">
      <c r="A507" t="n">
        <v>46195</v>
      </c>
      <c r="B507" t="inlineStr">
        <is>
          <t>0000943210</t>
        </is>
      </c>
      <c r="C507" t="inlineStr">
        <is>
          <t>MEGH STEELS PRIVATE LIMITED - HMSIL</t>
        </is>
      </c>
      <c r="D507" t="inlineStr">
        <is>
          <t>KG</t>
        </is>
      </c>
      <c r="E507" t="n">
        <v>127</v>
      </c>
      <c r="F507" t="n">
        <v>796.283</v>
      </c>
      <c r="G507" t="n">
        <v>1786.382</v>
      </c>
      <c r="H507" t="inlineStr">
        <is>
          <t>056</t>
        </is>
      </c>
      <c r="I507" t="n">
        <v>3502301</v>
      </c>
      <c r="J507" t="inlineStr">
        <is>
          <t>TUB-O-N-AUT-AW-FC-48.60X2.000X6.270 HST</t>
        </is>
      </c>
      <c r="K507" t="n">
        <v>48.6</v>
      </c>
      <c r="L507" t="n">
        <v>0</v>
      </c>
      <c r="M507" t="n">
        <v>2</v>
      </c>
      <c r="N507" t="n">
        <v>6.27</v>
      </c>
      <c r="O507" t="inlineStr">
        <is>
          <t>Direct</t>
        </is>
      </c>
    </row>
    <row r="508">
      <c r="A508" t="n">
        <v>46195</v>
      </c>
      <c r="B508" t="inlineStr">
        <is>
          <t>0000943210</t>
        </is>
      </c>
      <c r="C508" t="inlineStr">
        <is>
          <t>MEGH STEELS PRIVATE LIMITED - HMSIL</t>
        </is>
      </c>
      <c r="D508" t="inlineStr">
        <is>
          <t>KG</t>
        </is>
      </c>
      <c r="E508" t="n">
        <v>127</v>
      </c>
      <c r="F508" t="n">
        <v>796.283</v>
      </c>
      <c r="G508" t="n">
        <v>1786.382</v>
      </c>
      <c r="H508" t="inlineStr">
        <is>
          <t>056</t>
        </is>
      </c>
      <c r="I508" t="n">
        <v>3502301</v>
      </c>
      <c r="J508" t="inlineStr">
        <is>
          <t>TUB-O-N-AUT-AW-FC-48.60X2.000X6.270 HST</t>
        </is>
      </c>
      <c r="K508" t="n">
        <v>48.6</v>
      </c>
      <c r="L508" t="n">
        <v>0</v>
      </c>
      <c r="M508" t="n">
        <v>2</v>
      </c>
      <c r="N508" t="n">
        <v>6.27</v>
      </c>
      <c r="O508" t="inlineStr">
        <is>
          <t>Direct</t>
        </is>
      </c>
    </row>
    <row r="509">
      <c r="A509" t="n">
        <v>46199</v>
      </c>
      <c r="B509" t="inlineStr">
        <is>
          <t>0000943210</t>
        </is>
      </c>
      <c r="C509" t="inlineStr">
        <is>
          <t>MEGH STEELS PRIVATE LIMITED - HMSIL</t>
        </is>
      </c>
      <c r="D509" t="inlineStr">
        <is>
          <t>KG</t>
        </is>
      </c>
      <c r="E509" t="n">
        <v>127</v>
      </c>
      <c r="F509" t="n">
        <v>796.283</v>
      </c>
      <c r="G509" t="n">
        <v>1786.382</v>
      </c>
      <c r="H509" t="inlineStr">
        <is>
          <t>056</t>
        </is>
      </c>
      <c r="I509" t="n">
        <v>3502301</v>
      </c>
      <c r="J509" t="inlineStr">
        <is>
          <t>TUB-O-N-AUT-AW-FC-48.60X2.000X6.270 HST</t>
        </is>
      </c>
      <c r="K509" t="n">
        <v>48.6</v>
      </c>
      <c r="L509" t="n">
        <v>0</v>
      </c>
      <c r="M509" t="n">
        <v>2</v>
      </c>
      <c r="N509" t="n">
        <v>6.27</v>
      </c>
      <c r="O509" t="inlineStr">
        <is>
          <t>Direct</t>
        </is>
      </c>
    </row>
    <row r="510">
      <c r="A510" t="n">
        <v>46199</v>
      </c>
      <c r="B510" t="inlineStr">
        <is>
          <t>0000943210</t>
        </is>
      </c>
      <c r="C510" t="inlineStr">
        <is>
          <t>MEGH STEELS PRIVATE LIMITED - HMSIL</t>
        </is>
      </c>
      <c r="D510" t="inlineStr">
        <is>
          <t>KG</t>
        </is>
      </c>
      <c r="E510" t="n">
        <v>126</v>
      </c>
      <c r="F510" t="n">
        <v>790.015</v>
      </c>
      <c r="G510" t="n">
        <v>1988.784</v>
      </c>
      <c r="H510" t="inlineStr">
        <is>
          <t>056</t>
        </is>
      </c>
      <c r="I510" t="n">
        <v>3549720</v>
      </c>
      <c r="J510" t="inlineStr">
        <is>
          <t>TUB-O-N-AUT-AW-FC-48.60X2.300X6.270 HST</t>
        </is>
      </c>
      <c r="K510" t="n">
        <v>48.6</v>
      </c>
      <c r="L510" t="n">
        <v>0</v>
      </c>
      <c r="M510" t="n">
        <v>2.3</v>
      </c>
      <c r="N510" t="n">
        <v>6.27</v>
      </c>
      <c r="O510" t="inlineStr">
        <is>
          <t>Direct</t>
        </is>
      </c>
      <c r="P510" t="inlineStr">
        <is>
          <t>48.62.36.27HSTFIN CUT-6.27</t>
        </is>
      </c>
    </row>
    <row r="511">
      <c r="A511" t="n">
        <v>46199</v>
      </c>
      <c r="B511" t="inlineStr">
        <is>
          <t>0000943210</t>
        </is>
      </c>
      <c r="C511" t="inlineStr">
        <is>
          <t>MEGH STEELS PRIVATE LIMITED - HMSIL</t>
        </is>
      </c>
      <c r="D511" t="inlineStr">
        <is>
          <t>KG</t>
        </is>
      </c>
      <c r="E511" t="n">
        <v>127</v>
      </c>
      <c r="F511" t="n">
        <v>796.285</v>
      </c>
      <c r="G511" t="n">
        <v>2004.568</v>
      </c>
      <c r="H511" t="inlineStr">
        <is>
          <t>056</t>
        </is>
      </c>
      <c r="I511" t="n">
        <v>3549720</v>
      </c>
      <c r="J511" t="inlineStr">
        <is>
          <t>TUB-O-N-AUT-AW-FC-48.60X2.300X6.270 HST</t>
        </is>
      </c>
      <c r="K511" t="n">
        <v>48.6</v>
      </c>
      <c r="L511" t="n">
        <v>0</v>
      </c>
      <c r="M511" t="n">
        <v>2.3</v>
      </c>
      <c r="N511" t="n">
        <v>6.27</v>
      </c>
      <c r="O511" t="inlineStr">
        <is>
          <t>Direct</t>
        </is>
      </c>
      <c r="P511" t="inlineStr">
        <is>
          <t>48.62.36.27HSTFIN CUT-6.27</t>
        </is>
      </c>
    </row>
    <row r="512">
      <c r="A512" t="n">
        <v>46199</v>
      </c>
      <c r="B512" t="inlineStr">
        <is>
          <t>0000943210</t>
        </is>
      </c>
      <c r="C512" t="inlineStr">
        <is>
          <t>MEGH STEELS PRIVATE LIMITED - HMSIL</t>
        </is>
      </c>
      <c r="D512" t="inlineStr">
        <is>
          <t>KG</t>
        </is>
      </c>
      <c r="E512" t="n">
        <v>131</v>
      </c>
      <c r="F512" t="n">
        <v>821.365</v>
      </c>
      <c r="G512" t="n">
        <v>2067.704</v>
      </c>
      <c r="H512" t="inlineStr">
        <is>
          <t>056</t>
        </is>
      </c>
      <c r="I512" t="n">
        <v>3549720</v>
      </c>
      <c r="J512" t="inlineStr">
        <is>
          <t>TUB-O-N-AUT-AW-FC-48.60X2.300X6.270 HST</t>
        </is>
      </c>
      <c r="K512" t="n">
        <v>48.6</v>
      </c>
      <c r="L512" t="n">
        <v>0</v>
      </c>
      <c r="M512" t="n">
        <v>2.3</v>
      </c>
      <c r="N512" t="n">
        <v>6.27</v>
      </c>
      <c r="O512" t="inlineStr">
        <is>
          <t>Direct</t>
        </is>
      </c>
      <c r="P512" t="inlineStr">
        <is>
          <t>48.62.36.27HSTFIN CUT-6.27</t>
        </is>
      </c>
    </row>
    <row r="513">
      <c r="A513" t="n">
        <v>46195</v>
      </c>
      <c r="B513" t="inlineStr">
        <is>
          <t>0000943210</t>
        </is>
      </c>
      <c r="C513" t="inlineStr">
        <is>
          <t>MEGH STEELS PRIVATE LIMITED - HMSIL</t>
        </is>
      </c>
      <c r="D513" t="inlineStr">
        <is>
          <t>KG</t>
        </is>
      </c>
      <c r="E513" t="n">
        <v>127</v>
      </c>
      <c r="F513" t="n">
        <v>796.285</v>
      </c>
      <c r="G513" t="n">
        <v>2004.568</v>
      </c>
      <c r="H513" t="inlineStr">
        <is>
          <t>056</t>
        </is>
      </c>
      <c r="I513" t="n">
        <v>3549720</v>
      </c>
      <c r="J513" t="inlineStr">
        <is>
          <t>TUB-O-N-AUT-AW-FC-48.60X2.300X6.270 HST</t>
        </is>
      </c>
      <c r="K513" t="n">
        <v>48.6</v>
      </c>
      <c r="L513" t="n">
        <v>0</v>
      </c>
      <c r="M513" t="n">
        <v>2.3</v>
      </c>
      <c r="N513" t="n">
        <v>6.27</v>
      </c>
      <c r="O513" t="inlineStr">
        <is>
          <t>Direct</t>
        </is>
      </c>
      <c r="P513" t="inlineStr">
        <is>
          <t>48.62.36.27HSTFIN CUT-6.27</t>
        </is>
      </c>
    </row>
    <row r="514">
      <c r="A514" t="n">
        <v>46189</v>
      </c>
      <c r="B514" t="inlineStr">
        <is>
          <t>0000943210</t>
        </is>
      </c>
      <c r="C514" t="inlineStr">
        <is>
          <t>MEGH STEELS PRIVATE LIMITED - HMSIL</t>
        </is>
      </c>
      <c r="D514" t="inlineStr">
        <is>
          <t>KG</t>
        </is>
      </c>
      <c r="E514" t="n">
        <v>25</v>
      </c>
      <c r="F514" t="n">
        <v>162.094</v>
      </c>
      <c r="G514" t="n">
        <v>244</v>
      </c>
      <c r="H514" t="inlineStr">
        <is>
          <t>0789</t>
        </is>
      </c>
      <c r="I514" t="n">
        <v>3514971</v>
      </c>
      <c r="J514" t="inlineStr">
        <is>
          <t>TUB-O-N-AUT-AW-FC-45.00X1.400X6.4000 HST</t>
        </is>
      </c>
      <c r="K514" t="n">
        <v>45</v>
      </c>
      <c r="L514" t="n">
        <v>0</v>
      </c>
      <c r="M514" t="n">
        <v>1.4</v>
      </c>
      <c r="N514" t="n">
        <v>6.4</v>
      </c>
      <c r="O514" t="inlineStr">
        <is>
          <t>Direct</t>
        </is>
      </c>
      <c r="P514" t="inlineStr">
        <is>
          <t>45-0-1.4-ERW 2-FIN CUT-6.4</t>
        </is>
      </c>
    </row>
    <row r="515">
      <c r="A515" t="n">
        <v>46189</v>
      </c>
      <c r="B515" t="inlineStr">
        <is>
          <t>0000943210</t>
        </is>
      </c>
      <c r="C515" t="inlineStr">
        <is>
          <t>MEGH STEELS PRIVATE LIMITED - HMSIL</t>
        </is>
      </c>
      <c r="D515" t="inlineStr">
        <is>
          <t>KG</t>
        </is>
      </c>
      <c r="E515" t="n">
        <v>136</v>
      </c>
      <c r="F515" t="n">
        <v>870.923</v>
      </c>
      <c r="G515" t="n">
        <v>1311</v>
      </c>
      <c r="H515" t="inlineStr">
        <is>
          <t>0789</t>
        </is>
      </c>
      <c r="I515" t="n">
        <v>3514971</v>
      </c>
      <c r="J515" t="inlineStr">
        <is>
          <t>TUB-O-N-AUT-AW-FC-45.00X1.400X6.4000 HST</t>
        </is>
      </c>
      <c r="K515" t="n">
        <v>45</v>
      </c>
      <c r="L515" t="n">
        <v>0</v>
      </c>
      <c r="M515" t="n">
        <v>1.4</v>
      </c>
      <c r="N515" t="n">
        <v>6.4</v>
      </c>
      <c r="O515" t="inlineStr">
        <is>
          <t>Direct</t>
        </is>
      </c>
      <c r="P515" t="inlineStr">
        <is>
          <t>45-0-1.4-ERW 2-FIN CUT-6.4</t>
        </is>
      </c>
    </row>
    <row r="516">
      <c r="A516" t="n">
        <v>46189</v>
      </c>
      <c r="B516" t="inlineStr">
        <is>
          <t>0000943210</t>
        </is>
      </c>
      <c r="C516" t="inlineStr">
        <is>
          <t>MEGH STEELS PRIVATE LIMITED - HMSIL</t>
        </is>
      </c>
      <c r="D516" t="inlineStr">
        <is>
          <t>KG</t>
        </is>
      </c>
      <c r="E516" t="n">
        <v>133</v>
      </c>
      <c r="F516" t="n">
        <v>851.657</v>
      </c>
      <c r="G516" t="n">
        <v>1282</v>
      </c>
      <c r="H516" t="inlineStr">
        <is>
          <t>0789</t>
        </is>
      </c>
      <c r="I516" t="n">
        <v>3514971</v>
      </c>
      <c r="J516" t="inlineStr">
        <is>
          <t>TUB-O-N-AUT-AW-FC-45.00X1.400X6.4000 HST</t>
        </is>
      </c>
      <c r="K516" t="n">
        <v>45</v>
      </c>
      <c r="L516" t="n">
        <v>0</v>
      </c>
      <c r="M516" t="n">
        <v>1.4</v>
      </c>
      <c r="N516" t="n">
        <v>6.4</v>
      </c>
      <c r="O516" t="inlineStr">
        <is>
          <t>Direct</t>
        </is>
      </c>
      <c r="P516" t="inlineStr">
        <is>
          <t>45-0-1.4-ERW 2-FIN CUT-6.4</t>
        </is>
      </c>
    </row>
    <row r="517">
      <c r="A517" t="n">
        <v>46189</v>
      </c>
      <c r="B517" t="inlineStr">
        <is>
          <t>0000943210</t>
        </is>
      </c>
      <c r="C517" t="inlineStr">
        <is>
          <t>MEGH STEELS PRIVATE LIMITED - HMSIL</t>
        </is>
      </c>
      <c r="D517" t="inlineStr">
        <is>
          <t>KG</t>
        </is>
      </c>
      <c r="E517" t="n">
        <v>113</v>
      </c>
      <c r="F517" t="n">
        <v>726.101</v>
      </c>
      <c r="G517" t="n">
        <v>1093</v>
      </c>
      <c r="H517" t="inlineStr">
        <is>
          <t>0789</t>
        </is>
      </c>
      <c r="I517" t="n">
        <v>3514971</v>
      </c>
      <c r="J517" t="inlineStr">
        <is>
          <t>TUB-O-N-AUT-AW-FC-45.00X1.400X6.4000 HST</t>
        </is>
      </c>
      <c r="K517" t="n">
        <v>45</v>
      </c>
      <c r="L517" t="n">
        <v>0</v>
      </c>
      <c r="M517" t="n">
        <v>1.4</v>
      </c>
      <c r="N517" t="n">
        <v>6.4</v>
      </c>
      <c r="O517" t="inlineStr">
        <is>
          <t>Direct</t>
        </is>
      </c>
      <c r="P517" t="inlineStr">
        <is>
          <t>45-0-1.4-ERW 2-FIN CUT-6.4</t>
        </is>
      </c>
    </row>
    <row r="518">
      <c r="A518" t="n">
        <v>46190</v>
      </c>
      <c r="B518" t="inlineStr">
        <is>
          <t>0000943213</t>
        </is>
      </c>
      <c r="C518" t="inlineStr">
        <is>
          <t>MEGH STEELS PRIVATE LIMITED - RANE</t>
        </is>
      </c>
      <c r="D518" t="inlineStr">
        <is>
          <t>KG</t>
        </is>
      </c>
      <c r="E518" t="n">
        <v>73</v>
      </c>
      <c r="F518" t="n">
        <v>467.196</v>
      </c>
      <c r="G518" t="n">
        <v>1425.836</v>
      </c>
      <c r="H518" t="inlineStr">
        <is>
          <t>056</t>
        </is>
      </c>
      <c r="I518" t="n">
        <v>3694074</v>
      </c>
      <c r="J518" t="inlineStr">
        <is>
          <t>TUB-O-C-SLT-DT-FC-32.00X4.500X6.4000</t>
        </is>
      </c>
      <c r="K518" t="n">
        <v>32</v>
      </c>
      <c r="L518" t="n">
        <v>0</v>
      </c>
      <c r="M518" t="n">
        <v>4.5</v>
      </c>
      <c r="N518" t="n">
        <v>6.4</v>
      </c>
      <c r="O518" t="inlineStr">
        <is>
          <t>Rane</t>
        </is>
      </c>
      <c r="P518" t="inlineStr">
        <is>
          <t>32-4.5-SLT-6.4</t>
        </is>
      </c>
    </row>
    <row r="519">
      <c r="A519" t="n">
        <v>46200</v>
      </c>
      <c r="B519" t="inlineStr">
        <is>
          <t>0000943213</t>
        </is>
      </c>
      <c r="C519" t="inlineStr">
        <is>
          <t>MEGH STEELS PRIVATE LIMITED - RANE</t>
        </is>
      </c>
      <c r="D519" t="inlineStr">
        <is>
          <t>KG</t>
        </is>
      </c>
      <c r="E519" t="n">
        <v>129</v>
      </c>
      <c r="F519" t="n">
        <v>825.593</v>
      </c>
      <c r="G519" t="n">
        <v>2519.628</v>
      </c>
      <c r="H519" t="inlineStr">
        <is>
          <t>056</t>
        </is>
      </c>
      <c r="I519" t="n">
        <v>3694074</v>
      </c>
      <c r="J519" t="inlineStr">
        <is>
          <t>TUB-O-C-SLT-DT-FC-32.00X4.500X6.4000</t>
        </is>
      </c>
      <c r="K519" t="n">
        <v>32</v>
      </c>
      <c r="L519" t="n">
        <v>0</v>
      </c>
      <c r="M519" t="n">
        <v>4.5</v>
      </c>
      <c r="N519" t="n">
        <v>6.4</v>
      </c>
      <c r="O519" t="inlineStr">
        <is>
          <t>Rane</t>
        </is>
      </c>
      <c r="P519" t="inlineStr">
        <is>
          <t>32-4.5-SLT-6.4</t>
        </is>
      </c>
    </row>
    <row r="520">
      <c r="A520" t="n">
        <v>46200</v>
      </c>
      <c r="B520" t="inlineStr">
        <is>
          <t>0000943213</t>
        </is>
      </c>
      <c r="C520" t="inlineStr">
        <is>
          <t>MEGH STEELS PRIVATE LIMITED - RANE</t>
        </is>
      </c>
      <c r="D520" t="inlineStr">
        <is>
          <t>KG</t>
        </is>
      </c>
      <c r="E520" t="n">
        <v>129</v>
      </c>
      <c r="F520" t="n">
        <v>825.593</v>
      </c>
      <c r="G520" t="n">
        <v>2519.628</v>
      </c>
      <c r="H520" t="inlineStr">
        <is>
          <t>056</t>
        </is>
      </c>
      <c r="I520" t="n">
        <v>3694074</v>
      </c>
      <c r="J520" t="inlineStr">
        <is>
          <t>TUB-O-C-SLT-DT-FC-32.00X4.500X6.4000</t>
        </is>
      </c>
      <c r="K520" t="n">
        <v>32</v>
      </c>
      <c r="L520" t="n">
        <v>0</v>
      </c>
      <c r="M520" t="n">
        <v>4.5</v>
      </c>
      <c r="N520" t="n">
        <v>6.4</v>
      </c>
      <c r="O520" t="inlineStr">
        <is>
          <t>Rane</t>
        </is>
      </c>
      <c r="P520" t="inlineStr">
        <is>
          <t>32-4.5-SLT-6.4</t>
        </is>
      </c>
    </row>
    <row r="521">
      <c r="A521" t="n">
        <v>46200</v>
      </c>
      <c r="B521" t="inlineStr">
        <is>
          <t>0000943213</t>
        </is>
      </c>
      <c r="C521" t="inlineStr">
        <is>
          <t>MEGH STEELS PRIVATE LIMITED - RANE</t>
        </is>
      </c>
      <c r="D521" t="inlineStr">
        <is>
          <t>KG</t>
        </is>
      </c>
      <c r="E521" t="n">
        <v>128</v>
      </c>
      <c r="F521" t="n">
        <v>819.193</v>
      </c>
      <c r="G521" t="n">
        <v>2500.096</v>
      </c>
      <c r="H521" t="inlineStr">
        <is>
          <t>056</t>
        </is>
      </c>
      <c r="I521" t="n">
        <v>3694074</v>
      </c>
      <c r="J521" t="inlineStr">
        <is>
          <t>TUB-O-C-SLT-DT-FC-32.00X4.500X6.4000</t>
        </is>
      </c>
      <c r="K521" t="n">
        <v>32</v>
      </c>
      <c r="L521" t="n">
        <v>0</v>
      </c>
      <c r="M521" t="n">
        <v>4.5</v>
      </c>
      <c r="N521" t="n">
        <v>6.4</v>
      </c>
      <c r="O521" t="inlineStr">
        <is>
          <t>Rane</t>
        </is>
      </c>
      <c r="P521" t="inlineStr">
        <is>
          <t>32-4.5-SLT-6.4</t>
        </is>
      </c>
    </row>
    <row r="522">
      <c r="A522" t="n">
        <v>46200</v>
      </c>
      <c r="B522" t="inlineStr">
        <is>
          <t>0000943213</t>
        </is>
      </c>
      <c r="C522" t="inlineStr">
        <is>
          <t>MEGH STEELS PRIVATE LIMITED - RANE</t>
        </is>
      </c>
      <c r="D522" t="inlineStr">
        <is>
          <t>KG</t>
        </is>
      </c>
      <c r="E522" t="n">
        <v>126</v>
      </c>
      <c r="F522" t="n">
        <v>806.393</v>
      </c>
      <c r="G522" t="n">
        <v>2461.032</v>
      </c>
      <c r="H522" t="inlineStr">
        <is>
          <t>056</t>
        </is>
      </c>
      <c r="I522" t="n">
        <v>3694074</v>
      </c>
      <c r="J522" t="inlineStr">
        <is>
          <t>TUB-O-C-SLT-DT-FC-32.00X4.500X6.4000</t>
        </is>
      </c>
      <c r="K522" t="n">
        <v>32</v>
      </c>
      <c r="L522" t="n">
        <v>0</v>
      </c>
      <c r="M522" t="n">
        <v>4.5</v>
      </c>
      <c r="N522" t="n">
        <v>6.4</v>
      </c>
      <c r="O522" t="inlineStr">
        <is>
          <t>Rane</t>
        </is>
      </c>
      <c r="P522" t="inlineStr">
        <is>
          <t>32-4.5-SLT-6.4</t>
        </is>
      </c>
    </row>
    <row r="523">
      <c r="A523" t="n">
        <v>46200</v>
      </c>
      <c r="B523" t="inlineStr">
        <is>
          <t>0000943213</t>
        </is>
      </c>
      <c r="C523" t="inlineStr">
        <is>
          <t>MEGH STEELS PRIVATE LIMITED - RANE</t>
        </is>
      </c>
      <c r="D523" t="inlineStr">
        <is>
          <t>KG</t>
        </is>
      </c>
      <c r="E523" t="n">
        <v>126</v>
      </c>
      <c r="F523" t="n">
        <v>806.393</v>
      </c>
      <c r="G523" t="n">
        <v>2461.032</v>
      </c>
      <c r="H523" t="inlineStr">
        <is>
          <t>056</t>
        </is>
      </c>
      <c r="I523" t="n">
        <v>3694074</v>
      </c>
      <c r="J523" t="inlineStr">
        <is>
          <t>TUB-O-C-SLT-DT-FC-32.00X4.500X6.4000</t>
        </is>
      </c>
      <c r="K523" t="n">
        <v>32</v>
      </c>
      <c r="L523" t="n">
        <v>0</v>
      </c>
      <c r="M523" t="n">
        <v>4.5</v>
      </c>
      <c r="N523" t="n">
        <v>6.4</v>
      </c>
      <c r="O523" t="inlineStr">
        <is>
          <t>Rane</t>
        </is>
      </c>
      <c r="P523" t="inlineStr">
        <is>
          <t>32-4.5-SLT-6.4</t>
        </is>
      </c>
    </row>
    <row r="524">
      <c r="A524" t="n">
        <v>46200</v>
      </c>
      <c r="B524" t="inlineStr">
        <is>
          <t>0000943213</t>
        </is>
      </c>
      <c r="C524" t="inlineStr">
        <is>
          <t>MEGH STEELS PRIVATE LIMITED - RANE</t>
        </is>
      </c>
      <c r="D524" t="inlineStr">
        <is>
          <t>KG</t>
        </is>
      </c>
      <c r="E524" t="n">
        <v>14</v>
      </c>
      <c r="F524" t="n">
        <v>89.599</v>
      </c>
      <c r="G524" t="n">
        <v>273.448</v>
      </c>
      <c r="H524" t="inlineStr">
        <is>
          <t>056</t>
        </is>
      </c>
      <c r="I524" t="n">
        <v>3694074</v>
      </c>
      <c r="J524" t="inlineStr">
        <is>
          <t>TUB-O-C-SLT-DT-FC-32.00X4.500X6.4000</t>
        </is>
      </c>
      <c r="K524" t="n">
        <v>32</v>
      </c>
      <c r="L524" t="n">
        <v>0</v>
      </c>
      <c r="M524" t="n">
        <v>4.5</v>
      </c>
      <c r="N524" t="n">
        <v>6.4</v>
      </c>
      <c r="O524" t="inlineStr">
        <is>
          <t>Rane</t>
        </is>
      </c>
      <c r="P524" t="inlineStr">
        <is>
          <t>32-4.5-SLT-6.4</t>
        </is>
      </c>
    </row>
    <row r="525">
      <c r="A525" t="n">
        <v>46190</v>
      </c>
      <c r="B525" t="inlineStr">
        <is>
          <t>0000943213</t>
        </is>
      </c>
      <c r="C525" t="inlineStr">
        <is>
          <t>MEGH STEELS PRIVATE LIMITED - RANE</t>
        </is>
      </c>
      <c r="D525" t="inlineStr">
        <is>
          <t>KG</t>
        </is>
      </c>
      <c r="E525" t="n">
        <v>115</v>
      </c>
      <c r="F525" t="n">
        <v>735.994</v>
      </c>
      <c r="G525" t="n">
        <v>2246.18</v>
      </c>
      <c r="H525" t="inlineStr">
        <is>
          <t>056</t>
        </is>
      </c>
      <c r="I525" t="n">
        <v>3694074</v>
      </c>
      <c r="J525" t="inlineStr">
        <is>
          <t>TUB-O-C-SLT-DT-FC-32.00X4.500X6.4000</t>
        </is>
      </c>
      <c r="K525" t="n">
        <v>32</v>
      </c>
      <c r="L525" t="n">
        <v>0</v>
      </c>
      <c r="M525" t="n">
        <v>4.5</v>
      </c>
      <c r="N525" t="n">
        <v>6.4</v>
      </c>
      <c r="O525" t="inlineStr">
        <is>
          <t>Rane</t>
        </is>
      </c>
      <c r="P525" t="inlineStr">
        <is>
          <t>32-4.5-SLT-6.4</t>
        </is>
      </c>
    </row>
    <row r="526">
      <c r="A526" t="n">
        <v>46200</v>
      </c>
      <c r="B526" t="inlineStr">
        <is>
          <t>0000943213</t>
        </is>
      </c>
      <c r="C526" t="inlineStr">
        <is>
          <t>MEGH STEELS PRIVATE LIMITED - RANE</t>
        </is>
      </c>
      <c r="D526" t="inlineStr">
        <is>
          <t>KG</t>
        </is>
      </c>
      <c r="E526" t="n">
        <v>129</v>
      </c>
      <c r="F526" t="n">
        <v>825.593</v>
      </c>
      <c r="G526" t="n">
        <v>2519.628</v>
      </c>
      <c r="H526" t="inlineStr">
        <is>
          <t>056</t>
        </is>
      </c>
      <c r="I526" t="n">
        <v>3694074</v>
      </c>
      <c r="J526" t="inlineStr">
        <is>
          <t>TUB-O-C-SLT-DT-FC-32.00X4.500X6.4000</t>
        </is>
      </c>
      <c r="K526" t="n">
        <v>32</v>
      </c>
      <c r="L526" t="n">
        <v>0</v>
      </c>
      <c r="M526" t="n">
        <v>4.5</v>
      </c>
      <c r="N526" t="n">
        <v>6.4</v>
      </c>
      <c r="O526" t="inlineStr">
        <is>
          <t>Rane</t>
        </is>
      </c>
      <c r="P526" t="inlineStr">
        <is>
          <t>32-4.5-SLT-6.4</t>
        </is>
      </c>
    </row>
    <row r="527">
      <c r="A527" t="n">
        <v>46200</v>
      </c>
      <c r="B527" t="inlineStr">
        <is>
          <t>0000943213</t>
        </is>
      </c>
      <c r="C527" t="inlineStr">
        <is>
          <t>MEGH STEELS PRIVATE LIMITED - RANE</t>
        </is>
      </c>
      <c r="D527" t="inlineStr">
        <is>
          <t>KG</t>
        </is>
      </c>
      <c r="E527" t="n">
        <v>120</v>
      </c>
      <c r="F527" t="n">
        <v>767.994</v>
      </c>
      <c r="G527" t="n">
        <v>2343.84</v>
      </c>
      <c r="H527" t="inlineStr">
        <is>
          <t>056</t>
        </is>
      </c>
      <c r="I527" t="n">
        <v>3694074</v>
      </c>
      <c r="J527" t="inlineStr">
        <is>
          <t>TUB-O-C-SLT-DT-FC-32.00X4.500X6.4000</t>
        </is>
      </c>
      <c r="K527" t="n">
        <v>32</v>
      </c>
      <c r="L527" t="n">
        <v>0</v>
      </c>
      <c r="M527" t="n">
        <v>4.5</v>
      </c>
      <c r="N527" t="n">
        <v>6.4</v>
      </c>
      <c r="O527" t="inlineStr">
        <is>
          <t>Rane</t>
        </is>
      </c>
      <c r="P527" t="inlineStr">
        <is>
          <t>32-4.5-SLT-6.4</t>
        </is>
      </c>
    </row>
    <row r="528">
      <c r="A528" t="n">
        <v>46199</v>
      </c>
      <c r="B528" t="inlineStr">
        <is>
          <t>0000943213</t>
        </is>
      </c>
      <c r="C528" t="inlineStr">
        <is>
          <t>MEGH STEELS PRIVATE LIMITED - RANE</t>
        </is>
      </c>
      <c r="D528" t="inlineStr">
        <is>
          <t>KG</t>
        </is>
      </c>
      <c r="E528" t="n">
        <v>120</v>
      </c>
      <c r="F528" t="n">
        <v>767.994</v>
      </c>
      <c r="G528" t="n">
        <v>2343.84</v>
      </c>
      <c r="H528" t="inlineStr">
        <is>
          <t>056</t>
        </is>
      </c>
      <c r="I528" t="n">
        <v>3694074</v>
      </c>
      <c r="J528" t="inlineStr">
        <is>
          <t>TUB-O-C-SLT-DT-FC-32.00X4.500X6.4000</t>
        </is>
      </c>
      <c r="K528" t="n">
        <v>32</v>
      </c>
      <c r="L528" t="n">
        <v>0</v>
      </c>
      <c r="M528" t="n">
        <v>4.5</v>
      </c>
      <c r="N528" t="n">
        <v>6.4</v>
      </c>
      <c r="O528" t="inlineStr">
        <is>
          <t>Rane</t>
        </is>
      </c>
      <c r="P528" t="inlineStr">
        <is>
          <t>32-4.5-SLT-6.4</t>
        </is>
      </c>
    </row>
    <row r="529">
      <c r="A529" t="n">
        <v>46200</v>
      </c>
      <c r="B529" t="inlineStr">
        <is>
          <t>0000943213</t>
        </is>
      </c>
      <c r="C529" t="inlineStr">
        <is>
          <t>MEGH STEELS PRIVATE LIMITED - RANE</t>
        </is>
      </c>
      <c r="D529" t="inlineStr">
        <is>
          <t>KG</t>
        </is>
      </c>
      <c r="E529" t="n">
        <v>129</v>
      </c>
      <c r="F529" t="n">
        <v>825.593</v>
      </c>
      <c r="G529" t="n">
        <v>2519.628</v>
      </c>
      <c r="H529" t="inlineStr">
        <is>
          <t>056</t>
        </is>
      </c>
      <c r="I529" t="n">
        <v>3694074</v>
      </c>
      <c r="J529" t="inlineStr">
        <is>
          <t>TUB-O-C-SLT-DT-FC-32.00X4.500X6.4000</t>
        </is>
      </c>
      <c r="K529" t="n">
        <v>32</v>
      </c>
      <c r="L529" t="n">
        <v>0</v>
      </c>
      <c r="M529" t="n">
        <v>4.5</v>
      </c>
      <c r="N529" t="n">
        <v>6.4</v>
      </c>
      <c r="O529" t="inlineStr">
        <is>
          <t>Rane</t>
        </is>
      </c>
      <c r="P529" t="inlineStr">
        <is>
          <t>32-4.5-SLT-6.4</t>
        </is>
      </c>
    </row>
    <row r="530">
      <c r="A530" t="n">
        <v>46199</v>
      </c>
      <c r="B530" t="inlineStr">
        <is>
          <t>0000943213</t>
        </is>
      </c>
      <c r="C530" t="inlineStr">
        <is>
          <t>MEGH STEELS PRIVATE LIMITED - RANE</t>
        </is>
      </c>
      <c r="D530" t="inlineStr">
        <is>
          <t>KG</t>
        </is>
      </c>
      <c r="E530" t="n">
        <v>60</v>
      </c>
      <c r="F530" t="n">
        <v>384.212</v>
      </c>
      <c r="G530" t="n">
        <v>2501.453</v>
      </c>
      <c r="H530" t="inlineStr">
        <is>
          <t>056</t>
        </is>
      </c>
      <c r="I530" t="n">
        <v>4171386</v>
      </c>
      <c r="J530" t="inlineStr">
        <is>
          <t>TUB-O-C-SLT-NR-FC-50.00X6.000X6.4500</t>
        </is>
      </c>
      <c r="K530" t="n">
        <v>50</v>
      </c>
      <c r="L530" t="n">
        <v>0</v>
      </c>
      <c r="M530" t="n">
        <v>6</v>
      </c>
      <c r="N530" t="n">
        <v>6.45</v>
      </c>
      <c r="O530" t="inlineStr">
        <is>
          <t>Rane</t>
        </is>
      </c>
    </row>
    <row r="531">
      <c r="A531" t="n">
        <v>46199</v>
      </c>
      <c r="B531" t="inlineStr">
        <is>
          <t>0000943213</t>
        </is>
      </c>
      <c r="C531" t="inlineStr">
        <is>
          <t>MEGH STEELS PRIVATE LIMITED - RANE</t>
        </is>
      </c>
      <c r="D531" t="inlineStr">
        <is>
          <t>KG</t>
        </is>
      </c>
      <c r="E531" t="n">
        <v>60</v>
      </c>
      <c r="F531" t="n">
        <v>384.212</v>
      </c>
      <c r="G531" t="n">
        <v>2501.453</v>
      </c>
      <c r="H531" t="inlineStr">
        <is>
          <t>056</t>
        </is>
      </c>
      <c r="I531" t="n">
        <v>4171386</v>
      </c>
      <c r="J531" t="inlineStr">
        <is>
          <t>TUB-O-C-SLT-NR-FC-50.00X6.000X6.4500</t>
        </is>
      </c>
      <c r="K531" t="n">
        <v>50</v>
      </c>
      <c r="L531" t="n">
        <v>0</v>
      </c>
      <c r="M531" t="n">
        <v>6</v>
      </c>
      <c r="N531" t="n">
        <v>6.45</v>
      </c>
      <c r="O531" t="inlineStr">
        <is>
          <t>Rane</t>
        </is>
      </c>
    </row>
    <row r="532">
      <c r="A532" t="n">
        <v>46199</v>
      </c>
      <c r="B532" t="inlineStr">
        <is>
          <t>0000943213</t>
        </is>
      </c>
      <c r="C532" t="inlineStr">
        <is>
          <t>MEGH STEELS PRIVATE LIMITED - RANE</t>
        </is>
      </c>
      <c r="D532" t="inlineStr">
        <is>
          <t>KG</t>
        </is>
      </c>
      <c r="E532" t="n">
        <v>59</v>
      </c>
      <c r="F532" t="n">
        <v>377.81</v>
      </c>
      <c r="G532" t="n">
        <v>2459.769</v>
      </c>
      <c r="H532" t="inlineStr">
        <is>
          <t>056</t>
        </is>
      </c>
      <c r="I532" t="n">
        <v>4171386</v>
      </c>
      <c r="J532" t="inlineStr">
        <is>
          <t>TUB-O-C-SLT-NR-FC-50.00X6.000X6.4500</t>
        </is>
      </c>
      <c r="K532" t="n">
        <v>50</v>
      </c>
      <c r="L532" t="n">
        <v>0</v>
      </c>
      <c r="M532" t="n">
        <v>6</v>
      </c>
      <c r="N532" t="n">
        <v>6.45</v>
      </c>
      <c r="O532" t="inlineStr">
        <is>
          <t>Rane</t>
        </is>
      </c>
    </row>
    <row r="533">
      <c r="A533" t="n">
        <v>46199</v>
      </c>
      <c r="B533" t="inlineStr">
        <is>
          <t>0000943213</t>
        </is>
      </c>
      <c r="C533" t="inlineStr">
        <is>
          <t>MEGH STEELS PRIVATE LIMITED - RANE</t>
        </is>
      </c>
      <c r="D533" t="inlineStr">
        <is>
          <t>KG</t>
        </is>
      </c>
      <c r="E533" t="n">
        <v>53</v>
      </c>
      <c r="F533" t="n">
        <v>339.389</v>
      </c>
      <c r="G533" t="n">
        <v>2209.623</v>
      </c>
      <c r="H533" t="inlineStr">
        <is>
          <t>056</t>
        </is>
      </c>
      <c r="I533" t="n">
        <v>4171386</v>
      </c>
      <c r="J533" t="inlineStr">
        <is>
          <t>TUB-O-C-SLT-NR-FC-50.00X6.000X6.4500</t>
        </is>
      </c>
      <c r="K533" t="n">
        <v>50</v>
      </c>
      <c r="L533" t="n">
        <v>0</v>
      </c>
      <c r="M533" t="n">
        <v>6</v>
      </c>
      <c r="N533" t="n">
        <v>6.45</v>
      </c>
      <c r="O533" t="inlineStr">
        <is>
          <t>Rane</t>
        </is>
      </c>
    </row>
    <row r="534">
      <c r="A534" t="n">
        <v>46199</v>
      </c>
      <c r="B534" t="inlineStr">
        <is>
          <t>0000943213</t>
        </is>
      </c>
      <c r="C534" t="inlineStr">
        <is>
          <t>MEGH STEELS PRIVATE LIMITED - RANE</t>
        </is>
      </c>
      <c r="D534" t="inlineStr">
        <is>
          <t>KG</t>
        </is>
      </c>
      <c r="E534" t="n">
        <v>58</v>
      </c>
      <c r="F534" t="n">
        <v>371.405</v>
      </c>
      <c r="G534" t="n">
        <v>2418.071</v>
      </c>
      <c r="H534" t="inlineStr">
        <is>
          <t>056</t>
        </is>
      </c>
      <c r="I534" t="n">
        <v>4171386</v>
      </c>
      <c r="J534" t="inlineStr">
        <is>
          <t>TUB-O-C-SLT-NR-FC-50.00X6.000X6.4500</t>
        </is>
      </c>
      <c r="K534" t="n">
        <v>50</v>
      </c>
      <c r="L534" t="n">
        <v>0</v>
      </c>
      <c r="M534" t="n">
        <v>6</v>
      </c>
      <c r="N534" t="n">
        <v>6.45</v>
      </c>
      <c r="O534" t="inlineStr">
        <is>
          <t>Rane</t>
        </is>
      </c>
    </row>
    <row r="535">
      <c r="A535" t="n">
        <v>46199</v>
      </c>
      <c r="B535" t="inlineStr">
        <is>
          <t>0000943213</t>
        </is>
      </c>
      <c r="C535" t="inlineStr">
        <is>
          <t>MEGH STEELS PRIVATE LIMITED - RANE</t>
        </is>
      </c>
      <c r="D535" t="inlineStr">
        <is>
          <t>KG</t>
        </is>
      </c>
      <c r="E535" t="n">
        <v>56</v>
      </c>
      <c r="F535" t="n">
        <v>358.598</v>
      </c>
      <c r="G535" t="n">
        <v>2334.689</v>
      </c>
      <c r="H535" t="inlineStr">
        <is>
          <t>056</t>
        </is>
      </c>
      <c r="I535" t="n">
        <v>4171386</v>
      </c>
      <c r="J535" t="inlineStr">
        <is>
          <t>TUB-O-C-SLT-NR-FC-50.00X6.000X6.4500</t>
        </is>
      </c>
      <c r="K535" t="n">
        <v>50</v>
      </c>
      <c r="L535" t="n">
        <v>0</v>
      </c>
      <c r="M535" t="n">
        <v>6</v>
      </c>
      <c r="N535" t="n">
        <v>6.45</v>
      </c>
      <c r="O535" t="inlineStr">
        <is>
          <t>Rane</t>
        </is>
      </c>
    </row>
    <row r="536">
      <c r="A536" t="n">
        <v>46199</v>
      </c>
      <c r="B536" t="inlineStr">
        <is>
          <t>0000943213</t>
        </is>
      </c>
      <c r="C536" t="inlineStr">
        <is>
          <t>MEGH STEELS PRIVATE LIMITED - RANE</t>
        </is>
      </c>
      <c r="D536" t="inlineStr">
        <is>
          <t>KG</t>
        </is>
      </c>
      <c r="E536" t="n">
        <v>57</v>
      </c>
      <c r="F536" t="n">
        <v>365.002</v>
      </c>
      <c r="G536" t="n">
        <v>2376.38</v>
      </c>
      <c r="H536" t="inlineStr">
        <is>
          <t>056</t>
        </is>
      </c>
      <c r="I536" t="n">
        <v>4171386</v>
      </c>
      <c r="J536" t="inlineStr">
        <is>
          <t>TUB-O-C-SLT-NR-FC-50.00X6.000X6.4500</t>
        </is>
      </c>
      <c r="K536" t="n">
        <v>50</v>
      </c>
      <c r="L536" t="n">
        <v>0</v>
      </c>
      <c r="M536" t="n">
        <v>6</v>
      </c>
      <c r="N536" t="n">
        <v>6.45</v>
      </c>
      <c r="O536" t="inlineStr">
        <is>
          <t>Rane</t>
        </is>
      </c>
    </row>
    <row r="537">
      <c r="A537" t="n">
        <v>46199</v>
      </c>
      <c r="B537" t="inlineStr">
        <is>
          <t>0000943213</t>
        </is>
      </c>
      <c r="C537" t="inlineStr">
        <is>
          <t>MEGH STEELS PRIVATE LIMITED - RANE</t>
        </is>
      </c>
      <c r="D537" t="inlineStr">
        <is>
          <t>KG</t>
        </is>
      </c>
      <c r="E537" t="n">
        <v>40</v>
      </c>
      <c r="F537" t="n">
        <v>258.004</v>
      </c>
      <c r="G537" t="n">
        <v>1679.76</v>
      </c>
      <c r="H537" t="inlineStr">
        <is>
          <t>056</t>
        </is>
      </c>
      <c r="I537" t="n">
        <v>4171386</v>
      </c>
      <c r="J537" t="inlineStr">
        <is>
          <t>TUB-O-C-SLT-NR-FC-50.00X6.000X6.4500</t>
        </is>
      </c>
      <c r="K537" t="n">
        <v>50</v>
      </c>
      <c r="L537" t="n">
        <v>0</v>
      </c>
      <c r="M537" t="n">
        <v>6</v>
      </c>
      <c r="N537" t="n">
        <v>6.45</v>
      </c>
      <c r="O537" t="inlineStr">
        <is>
          <t>Rane</t>
        </is>
      </c>
    </row>
    <row r="538">
      <c r="A538" t="n">
        <v>46199</v>
      </c>
      <c r="B538" t="inlineStr">
        <is>
          <t>0000943213</t>
        </is>
      </c>
      <c r="C538" t="inlineStr">
        <is>
          <t>MEGH STEELS PRIVATE LIMITED - RANE</t>
        </is>
      </c>
      <c r="D538" t="inlineStr">
        <is>
          <t>KG</t>
        </is>
      </c>
      <c r="E538" t="n">
        <v>57</v>
      </c>
      <c r="F538" t="n">
        <v>365.002</v>
      </c>
      <c r="G538" t="n">
        <v>2376.38</v>
      </c>
      <c r="H538" t="inlineStr">
        <is>
          <t>056</t>
        </is>
      </c>
      <c r="I538" t="n">
        <v>4171386</v>
      </c>
      <c r="J538" t="inlineStr">
        <is>
          <t>TUB-O-C-SLT-NR-FC-50.00X6.000X6.4500</t>
        </is>
      </c>
      <c r="K538" t="n">
        <v>50</v>
      </c>
      <c r="L538" t="n">
        <v>0</v>
      </c>
      <c r="M538" t="n">
        <v>6</v>
      </c>
      <c r="N538" t="n">
        <v>6.45</v>
      </c>
      <c r="O538" t="inlineStr">
        <is>
          <t>Rane</t>
        </is>
      </c>
    </row>
    <row r="539">
      <c r="A539" t="n">
        <v>46199</v>
      </c>
      <c r="B539" t="inlineStr">
        <is>
          <t>0000943213</t>
        </is>
      </c>
      <c r="C539" t="inlineStr">
        <is>
          <t>MEGH STEELS PRIVATE LIMITED - RANE</t>
        </is>
      </c>
      <c r="D539" t="inlineStr">
        <is>
          <t>KG</t>
        </is>
      </c>
      <c r="E539" t="n">
        <v>60</v>
      </c>
      <c r="F539" t="n">
        <v>384.212</v>
      </c>
      <c r="G539" t="n">
        <v>2501.453</v>
      </c>
      <c r="H539" t="inlineStr">
        <is>
          <t>056</t>
        </is>
      </c>
      <c r="I539" t="n">
        <v>4171386</v>
      </c>
      <c r="J539" t="inlineStr">
        <is>
          <t>TUB-O-C-SLT-NR-FC-50.00X6.000X6.4500</t>
        </is>
      </c>
      <c r="K539" t="n">
        <v>50</v>
      </c>
      <c r="L539" t="n">
        <v>0</v>
      </c>
      <c r="M539" t="n">
        <v>6</v>
      </c>
      <c r="N539" t="n">
        <v>6.45</v>
      </c>
      <c r="O539" t="inlineStr">
        <is>
          <t>Rane</t>
        </is>
      </c>
    </row>
    <row r="540">
      <c r="A540" t="n">
        <v>46199</v>
      </c>
      <c r="B540" t="inlineStr">
        <is>
          <t>0000943213</t>
        </is>
      </c>
      <c r="C540" t="inlineStr">
        <is>
          <t>MEGH STEELS PRIVATE LIMITED - RANE</t>
        </is>
      </c>
      <c r="D540" t="inlineStr">
        <is>
          <t>KG</t>
        </is>
      </c>
      <c r="E540" t="n">
        <v>60</v>
      </c>
      <c r="F540" t="n">
        <v>384.212</v>
      </c>
      <c r="G540" t="n">
        <v>2501.453</v>
      </c>
      <c r="H540" t="inlineStr">
        <is>
          <t>056</t>
        </is>
      </c>
      <c r="I540" t="n">
        <v>4171386</v>
      </c>
      <c r="J540" t="inlineStr">
        <is>
          <t>TUB-O-C-SLT-NR-FC-50.00X6.000X6.4500</t>
        </is>
      </c>
      <c r="K540" t="n">
        <v>50</v>
      </c>
      <c r="L540" t="n">
        <v>0</v>
      </c>
      <c r="M540" t="n">
        <v>6</v>
      </c>
      <c r="N540" t="n">
        <v>6.45</v>
      </c>
      <c r="O540" t="inlineStr">
        <is>
          <t>Rane</t>
        </is>
      </c>
    </row>
    <row r="541">
      <c r="A541" t="n">
        <v>46199</v>
      </c>
      <c r="B541" t="inlineStr">
        <is>
          <t>0000943213</t>
        </is>
      </c>
      <c r="C541" t="inlineStr">
        <is>
          <t>MEGH STEELS PRIVATE LIMITED - RANE</t>
        </is>
      </c>
      <c r="D541" t="inlineStr">
        <is>
          <t>KG</t>
        </is>
      </c>
      <c r="E541" t="n">
        <v>60</v>
      </c>
      <c r="F541" t="n">
        <v>384.212</v>
      </c>
      <c r="G541" t="n">
        <v>2501.453</v>
      </c>
      <c r="H541" t="inlineStr">
        <is>
          <t>056</t>
        </is>
      </c>
      <c r="I541" t="n">
        <v>4171386</v>
      </c>
      <c r="J541" t="inlineStr">
        <is>
          <t>TUB-O-C-SLT-NR-FC-50.00X6.000X6.4500</t>
        </is>
      </c>
      <c r="K541" t="n">
        <v>50</v>
      </c>
      <c r="L541" t="n">
        <v>0</v>
      </c>
      <c r="M541" t="n">
        <v>6</v>
      </c>
      <c r="N541" t="n">
        <v>6.45</v>
      </c>
      <c r="O541" t="inlineStr">
        <is>
          <t>Rane</t>
        </is>
      </c>
    </row>
    <row r="542">
      <c r="A542" t="n">
        <v>46199</v>
      </c>
      <c r="B542" t="inlineStr">
        <is>
          <t>0000943213</t>
        </is>
      </c>
      <c r="C542" t="inlineStr">
        <is>
          <t>MEGH STEELS PRIVATE LIMITED - RANE</t>
        </is>
      </c>
      <c r="D542" t="inlineStr">
        <is>
          <t>KG</t>
        </is>
      </c>
      <c r="E542" t="n">
        <v>60</v>
      </c>
      <c r="F542" t="n">
        <v>384.212</v>
      </c>
      <c r="G542" t="n">
        <v>2501.453</v>
      </c>
      <c r="H542" t="inlineStr">
        <is>
          <t>056</t>
        </is>
      </c>
      <c r="I542" t="n">
        <v>4171386</v>
      </c>
      <c r="J542" t="inlineStr">
        <is>
          <t>TUB-O-C-SLT-NR-FC-50.00X6.000X6.4500</t>
        </is>
      </c>
      <c r="K542" t="n">
        <v>50</v>
      </c>
      <c r="L542" t="n">
        <v>0</v>
      </c>
      <c r="M542" t="n">
        <v>6</v>
      </c>
      <c r="N542" t="n">
        <v>6.45</v>
      </c>
      <c r="O542" t="inlineStr">
        <is>
          <t>Rane</t>
        </is>
      </c>
    </row>
    <row r="543">
      <c r="A543" t="n">
        <v>46199</v>
      </c>
      <c r="B543" t="inlineStr">
        <is>
          <t>0000943213</t>
        </is>
      </c>
      <c r="C543" t="inlineStr">
        <is>
          <t>MEGH STEELS PRIVATE LIMITED - RANE</t>
        </is>
      </c>
      <c r="D543" t="inlineStr">
        <is>
          <t>KG</t>
        </is>
      </c>
      <c r="E543" t="n">
        <v>59</v>
      </c>
      <c r="F543" t="n">
        <v>377.809</v>
      </c>
      <c r="G543" t="n">
        <v>2459.762</v>
      </c>
      <c r="H543" t="inlineStr">
        <is>
          <t>056</t>
        </is>
      </c>
      <c r="I543" t="n">
        <v>4171386</v>
      </c>
      <c r="J543" t="inlineStr">
        <is>
          <t>TUB-O-C-SLT-NR-FC-50.00X6.000X6.4500</t>
        </is>
      </c>
      <c r="K543" t="n">
        <v>50</v>
      </c>
      <c r="L543" t="n">
        <v>0</v>
      </c>
      <c r="M543" t="n">
        <v>6</v>
      </c>
      <c r="N543" t="n">
        <v>6.45</v>
      </c>
      <c r="O543" t="inlineStr">
        <is>
          <t>Rane</t>
        </is>
      </c>
    </row>
    <row r="544">
      <c r="A544" t="n">
        <v>46199</v>
      </c>
      <c r="B544" t="inlineStr">
        <is>
          <t>0000943213</t>
        </is>
      </c>
      <c r="C544" t="inlineStr">
        <is>
          <t>MEGH STEELS PRIVATE LIMITED - RANE</t>
        </is>
      </c>
      <c r="D544" t="inlineStr">
        <is>
          <t>KG</t>
        </is>
      </c>
      <c r="E544" t="n">
        <v>30</v>
      </c>
      <c r="F544" t="n">
        <v>193.503</v>
      </c>
      <c r="G544" t="n">
        <v>1259.82</v>
      </c>
      <c r="H544" t="inlineStr">
        <is>
          <t>056</t>
        </is>
      </c>
      <c r="I544" t="n">
        <v>4171386</v>
      </c>
      <c r="J544" t="inlineStr">
        <is>
          <t>TUB-O-C-SLT-NR-FC-50.00X6.000X6.4500</t>
        </is>
      </c>
      <c r="K544" t="n">
        <v>50</v>
      </c>
      <c r="L544" t="n">
        <v>0</v>
      </c>
      <c r="M544" t="n">
        <v>6</v>
      </c>
      <c r="N544" t="n">
        <v>6.45</v>
      </c>
      <c r="O544" t="inlineStr">
        <is>
          <t>Rane</t>
        </is>
      </c>
    </row>
    <row r="545">
      <c r="A545" t="n">
        <v>46199</v>
      </c>
      <c r="B545" t="inlineStr">
        <is>
          <t>0000943213</t>
        </is>
      </c>
      <c r="C545" t="inlineStr">
        <is>
          <t>MEGH STEELS PRIVATE LIMITED - RANE</t>
        </is>
      </c>
      <c r="D545" t="inlineStr">
        <is>
          <t>KG</t>
        </is>
      </c>
      <c r="E545" t="n">
        <v>39</v>
      </c>
      <c r="F545" t="n">
        <v>251.554</v>
      </c>
      <c r="G545" t="n">
        <v>1637.766</v>
      </c>
      <c r="H545" t="inlineStr">
        <is>
          <t>056</t>
        </is>
      </c>
      <c r="I545" t="n">
        <v>4171386</v>
      </c>
      <c r="J545" t="inlineStr">
        <is>
          <t>TUB-O-C-SLT-NR-FC-50.00X6.000X6.4500</t>
        </is>
      </c>
      <c r="K545" t="n">
        <v>50</v>
      </c>
      <c r="L545" t="n">
        <v>0</v>
      </c>
      <c r="M545" t="n">
        <v>6</v>
      </c>
      <c r="N545" t="n">
        <v>6.45</v>
      </c>
      <c r="O545" t="inlineStr">
        <is>
          <t>Rane</t>
        </is>
      </c>
    </row>
    <row r="546">
      <c r="A546" t="n">
        <v>46199</v>
      </c>
      <c r="B546" t="inlineStr">
        <is>
          <t>0000943213</t>
        </is>
      </c>
      <c r="C546" t="inlineStr">
        <is>
          <t>MEGH STEELS PRIVATE LIMITED - RANE</t>
        </is>
      </c>
      <c r="D546" t="inlineStr">
        <is>
          <t>KG</t>
        </is>
      </c>
      <c r="E546" t="n">
        <v>59</v>
      </c>
      <c r="F546" t="n">
        <v>377.809</v>
      </c>
      <c r="G546" t="n">
        <v>2459.762</v>
      </c>
      <c r="H546" t="inlineStr">
        <is>
          <t>056</t>
        </is>
      </c>
      <c r="I546" t="n">
        <v>4171386</v>
      </c>
      <c r="J546" t="inlineStr">
        <is>
          <t>TUB-O-C-SLT-NR-FC-50.00X6.000X6.4500</t>
        </is>
      </c>
      <c r="K546" t="n">
        <v>50</v>
      </c>
      <c r="L546" t="n">
        <v>0</v>
      </c>
      <c r="M546" t="n">
        <v>6</v>
      </c>
      <c r="N546" t="n">
        <v>6.45</v>
      </c>
      <c r="O546" t="inlineStr">
        <is>
          <t>Rane</t>
        </is>
      </c>
    </row>
    <row r="547">
      <c r="A547" t="n">
        <v>46199</v>
      </c>
      <c r="B547" t="inlineStr">
        <is>
          <t>0000943213</t>
        </is>
      </c>
      <c r="C547" t="inlineStr">
        <is>
          <t>MEGH STEELS PRIVATE LIMITED - RANE</t>
        </is>
      </c>
      <c r="D547" t="inlineStr">
        <is>
          <t>KG</t>
        </is>
      </c>
      <c r="E547" t="n">
        <v>59</v>
      </c>
      <c r="F547" t="n">
        <v>377.809</v>
      </c>
      <c r="G547" t="n">
        <v>2459.762</v>
      </c>
      <c r="H547" t="inlineStr">
        <is>
          <t>056</t>
        </is>
      </c>
      <c r="I547" t="n">
        <v>4171386</v>
      </c>
      <c r="J547" t="inlineStr">
        <is>
          <t>TUB-O-C-SLT-NR-FC-50.00X6.000X6.4500</t>
        </is>
      </c>
      <c r="K547" t="n">
        <v>50</v>
      </c>
      <c r="L547" t="n">
        <v>0</v>
      </c>
      <c r="M547" t="n">
        <v>6</v>
      </c>
      <c r="N547" t="n">
        <v>6.45</v>
      </c>
      <c r="O547" t="inlineStr">
        <is>
          <t>Rane</t>
        </is>
      </c>
    </row>
    <row r="548">
      <c r="A548" t="n">
        <v>46199</v>
      </c>
      <c r="B548" t="inlineStr">
        <is>
          <t>0000943213</t>
        </is>
      </c>
      <c r="C548" t="inlineStr">
        <is>
          <t>MEGH STEELS PRIVATE LIMITED - RANE</t>
        </is>
      </c>
      <c r="D548" t="inlineStr">
        <is>
          <t>KG</t>
        </is>
      </c>
      <c r="E548" t="n">
        <v>59</v>
      </c>
      <c r="F548" t="n">
        <v>377.809</v>
      </c>
      <c r="G548" t="n">
        <v>2459.762</v>
      </c>
      <c r="H548" t="inlineStr">
        <is>
          <t>056</t>
        </is>
      </c>
      <c r="I548" t="n">
        <v>4171386</v>
      </c>
      <c r="J548" t="inlineStr">
        <is>
          <t>TUB-O-C-SLT-NR-FC-50.00X6.000X6.4500</t>
        </is>
      </c>
      <c r="K548" t="n">
        <v>50</v>
      </c>
      <c r="L548" t="n">
        <v>0</v>
      </c>
      <c r="M548" t="n">
        <v>6</v>
      </c>
      <c r="N548" t="n">
        <v>6.45</v>
      </c>
      <c r="O548" t="inlineStr">
        <is>
          <t>Rane</t>
        </is>
      </c>
    </row>
    <row r="549">
      <c r="A549" t="n">
        <v>46199</v>
      </c>
      <c r="B549" t="inlineStr">
        <is>
          <t>0000943213</t>
        </is>
      </c>
      <c r="C549" t="inlineStr">
        <is>
          <t>MEGH STEELS PRIVATE LIMITED - RANE</t>
        </is>
      </c>
      <c r="D549" t="inlineStr">
        <is>
          <t>KG</t>
        </is>
      </c>
      <c r="E549" t="n">
        <v>60</v>
      </c>
      <c r="F549" t="n">
        <v>384.212</v>
      </c>
      <c r="G549" t="n">
        <v>2501.453</v>
      </c>
      <c r="H549" t="inlineStr">
        <is>
          <t>056</t>
        </is>
      </c>
      <c r="I549" t="n">
        <v>4171386</v>
      </c>
      <c r="J549" t="inlineStr">
        <is>
          <t>TUB-O-C-SLT-NR-FC-50.00X6.000X6.4500</t>
        </is>
      </c>
      <c r="K549" t="n">
        <v>50</v>
      </c>
      <c r="L549" t="n">
        <v>0</v>
      </c>
      <c r="M549" t="n">
        <v>6</v>
      </c>
      <c r="N549" t="n">
        <v>6.45</v>
      </c>
      <c r="O549" t="inlineStr">
        <is>
          <t>Rane</t>
        </is>
      </c>
    </row>
    <row r="550">
      <c r="A550" t="n">
        <v>46199</v>
      </c>
      <c r="B550" t="inlineStr">
        <is>
          <t>0000943213</t>
        </is>
      </c>
      <c r="C550" t="inlineStr">
        <is>
          <t>MEGH STEELS PRIVATE LIMITED - RANE</t>
        </is>
      </c>
      <c r="D550" t="inlineStr">
        <is>
          <t>KG</t>
        </is>
      </c>
      <c r="E550" t="n">
        <v>40</v>
      </c>
      <c r="F550" t="n">
        <v>264.002</v>
      </c>
      <c r="G550" t="n">
        <v>1283.895</v>
      </c>
      <c r="H550" t="inlineStr">
        <is>
          <t>056</t>
        </is>
      </c>
      <c r="I550" t="n">
        <v>3501038</v>
      </c>
      <c r="J550" t="inlineStr">
        <is>
          <t>TUB-O-C-SLT-NR-FC-39.80X5.800X6.6000</t>
        </is>
      </c>
      <c r="K550" t="n">
        <v>39.8</v>
      </c>
      <c r="L550" t="n">
        <v>0</v>
      </c>
      <c r="M550" t="n">
        <v>5.8</v>
      </c>
      <c r="N550" t="n">
        <v>6.6</v>
      </c>
      <c r="O550" t="inlineStr">
        <is>
          <t>Rane</t>
        </is>
      </c>
    </row>
    <row r="551">
      <c r="A551" t="n">
        <v>46199</v>
      </c>
      <c r="B551" t="inlineStr">
        <is>
          <t>0000943213</t>
        </is>
      </c>
      <c r="C551" t="inlineStr">
        <is>
          <t>MEGH STEELS PRIVATE LIMITED - RANE</t>
        </is>
      </c>
      <c r="D551" t="inlineStr">
        <is>
          <t>KG</t>
        </is>
      </c>
      <c r="E551" t="n">
        <v>76</v>
      </c>
      <c r="F551" t="n">
        <v>501.598</v>
      </c>
      <c r="G551" t="n">
        <v>2439.372</v>
      </c>
      <c r="H551" t="inlineStr">
        <is>
          <t>056</t>
        </is>
      </c>
      <c r="I551" t="n">
        <v>3501038</v>
      </c>
      <c r="J551" t="inlineStr">
        <is>
          <t>TUB-O-C-SLT-NR-FC-39.80X5.800X6.6000</t>
        </is>
      </c>
      <c r="K551" t="n">
        <v>39.8</v>
      </c>
      <c r="L551" t="n">
        <v>0</v>
      </c>
      <c r="M551" t="n">
        <v>5.8</v>
      </c>
      <c r="N551" t="n">
        <v>6.6</v>
      </c>
      <c r="O551" t="inlineStr">
        <is>
          <t>Rane</t>
        </is>
      </c>
    </row>
    <row r="552">
      <c r="A552" t="n">
        <v>46200</v>
      </c>
      <c r="B552" t="inlineStr">
        <is>
          <t>0000943209</t>
        </is>
      </c>
      <c r="C552" t="inlineStr">
        <is>
          <t>MEGH STEELS PRIVATE LIMITED - TVS A</t>
        </is>
      </c>
      <c r="D552" t="inlineStr">
        <is>
          <t>KG</t>
        </is>
      </c>
      <c r="E552" t="n">
        <v>350</v>
      </c>
      <c r="F552" t="n">
        <v>2449.992</v>
      </c>
      <c r="G552" t="n">
        <v>2327.71</v>
      </c>
      <c r="H552" t="inlineStr">
        <is>
          <t>4731</t>
        </is>
      </c>
      <c r="I552" t="n">
        <v>3500582</v>
      </c>
      <c r="J552" t="inlineStr">
        <is>
          <t>TUB-O-N-AUT-AW-PE-19.05X2.300X7.00-ERW 1</t>
        </is>
      </c>
      <c r="K552" t="n">
        <v>19.05</v>
      </c>
      <c r="L552" t="n">
        <v>0</v>
      </c>
      <c r="M552" t="n">
        <v>2.3</v>
      </c>
      <c r="N552" t="n">
        <v>7</v>
      </c>
      <c r="O552" t="inlineStr">
        <is>
          <t>Direct</t>
        </is>
      </c>
      <c r="P552" t="inlineStr">
        <is>
          <t>19.05-0-2.3-ERW 1-PE-7</t>
        </is>
      </c>
    </row>
    <row r="553">
      <c r="A553" t="n">
        <v>46200</v>
      </c>
      <c r="B553" t="inlineStr">
        <is>
          <t>0000943209</t>
        </is>
      </c>
      <c r="C553" t="inlineStr">
        <is>
          <t>MEGH STEELS PRIVATE LIMITED - TVS A</t>
        </is>
      </c>
      <c r="D553" t="inlineStr">
        <is>
          <t>KG</t>
        </is>
      </c>
      <c r="E553" t="n">
        <v>158</v>
      </c>
      <c r="F553" t="n">
        <v>1105.997</v>
      </c>
      <c r="G553" t="n">
        <v>1050.795</v>
      </c>
      <c r="H553" t="inlineStr">
        <is>
          <t>4731</t>
        </is>
      </c>
      <c r="I553" t="n">
        <v>3500582</v>
      </c>
      <c r="J553" t="inlineStr">
        <is>
          <t>TUB-O-N-AUT-AW-PE-19.05X2.300X7.00-ERW 1</t>
        </is>
      </c>
      <c r="K553" t="n">
        <v>19.05</v>
      </c>
      <c r="L553" t="n">
        <v>0</v>
      </c>
      <c r="M553" t="n">
        <v>2.3</v>
      </c>
      <c r="N553" t="n">
        <v>7</v>
      </c>
      <c r="O553" t="inlineStr">
        <is>
          <t>Direct</t>
        </is>
      </c>
      <c r="P553" t="inlineStr">
        <is>
          <t>19.05-0-2.3-ERW 1-PE-7</t>
        </is>
      </c>
    </row>
    <row r="554">
      <c r="A554" t="n">
        <v>46200</v>
      </c>
      <c r="B554" t="inlineStr">
        <is>
          <t>0000943209</t>
        </is>
      </c>
      <c r="C554" t="inlineStr">
        <is>
          <t>MEGH STEELS PRIVATE LIMITED - TVS A</t>
        </is>
      </c>
      <c r="D554" t="inlineStr">
        <is>
          <t>KG</t>
        </is>
      </c>
      <c r="E554" t="n">
        <v>285</v>
      </c>
      <c r="F554" t="n">
        <v>1994.993</v>
      </c>
      <c r="G554" t="n">
        <v>1895.421</v>
      </c>
      <c r="H554" t="inlineStr">
        <is>
          <t>4731</t>
        </is>
      </c>
      <c r="I554" t="n">
        <v>3500582</v>
      </c>
      <c r="J554" t="inlineStr">
        <is>
          <t>TUB-O-N-AUT-AW-PE-19.05X2.300X7.00-ERW 1</t>
        </is>
      </c>
      <c r="K554" t="n">
        <v>19.05</v>
      </c>
      <c r="L554" t="n">
        <v>0</v>
      </c>
      <c r="M554" t="n">
        <v>2.3</v>
      </c>
      <c r="N554" t="n">
        <v>7</v>
      </c>
      <c r="O554" t="inlineStr">
        <is>
          <t>Direct</t>
        </is>
      </c>
      <c r="P554" t="inlineStr">
        <is>
          <t>19.05-0-2.3-ERW 1-PE-7</t>
        </is>
      </c>
    </row>
    <row r="555">
      <c r="A555" t="n">
        <v>46202</v>
      </c>
      <c r="B555" t="inlineStr">
        <is>
          <t>0000943209</t>
        </is>
      </c>
      <c r="C555" t="inlineStr">
        <is>
          <t>MEGH STEELS PRIVATE LIMITED - TVS A</t>
        </is>
      </c>
      <c r="D555" t="inlineStr">
        <is>
          <t>KG</t>
        </is>
      </c>
      <c r="E555" t="n">
        <v>394</v>
      </c>
      <c r="F555" t="n">
        <v>2756.584</v>
      </c>
      <c r="G555" t="n">
        <v>2619</v>
      </c>
      <c r="H555" t="inlineStr">
        <is>
          <t>4731</t>
        </is>
      </c>
      <c r="I555" t="n">
        <v>3500582</v>
      </c>
      <c r="J555" t="inlineStr">
        <is>
          <t>TUB-O-N-AUT-AW-PE-19.05X2.300X7.00-ERW 1</t>
        </is>
      </c>
      <c r="K555" t="n">
        <v>19.05</v>
      </c>
      <c r="L555" t="n">
        <v>0</v>
      </c>
      <c r="M555" t="n">
        <v>2.3</v>
      </c>
      <c r="N555" t="n">
        <v>7</v>
      </c>
      <c r="O555" t="inlineStr">
        <is>
          <t>Direct</t>
        </is>
      </c>
      <c r="P555" t="inlineStr">
        <is>
          <t>19.05-0-2.3-ERW 1-PE-7</t>
        </is>
      </c>
    </row>
    <row r="556">
      <c r="A556" t="n">
        <v>46200</v>
      </c>
      <c r="B556" t="inlineStr">
        <is>
          <t>0000943209</t>
        </is>
      </c>
      <c r="C556" t="inlineStr">
        <is>
          <t>MEGH STEELS PRIVATE LIMITED - TVS A</t>
        </is>
      </c>
      <c r="D556" t="inlineStr">
        <is>
          <t>KG</t>
        </is>
      </c>
      <c r="E556" t="n">
        <v>403</v>
      </c>
      <c r="F556" t="n">
        <v>2818.448</v>
      </c>
      <c r="G556" t="n">
        <v>2677.776</v>
      </c>
      <c r="H556" t="inlineStr">
        <is>
          <t>4731</t>
        </is>
      </c>
      <c r="I556" t="n">
        <v>3500582</v>
      </c>
      <c r="J556" t="inlineStr">
        <is>
          <t>TUB-O-N-AUT-AW-PE-19.05X2.300X7.00-ERW 1</t>
        </is>
      </c>
      <c r="K556" t="n">
        <v>19.05</v>
      </c>
      <c r="L556" t="n">
        <v>0</v>
      </c>
      <c r="M556" t="n">
        <v>2.3</v>
      </c>
      <c r="N556" t="n">
        <v>7</v>
      </c>
      <c r="O556" t="inlineStr">
        <is>
          <t>Direct</t>
        </is>
      </c>
      <c r="P556" t="inlineStr">
        <is>
          <t>19.05-0-2.3-ERW 1-PE-7</t>
        </is>
      </c>
    </row>
    <row r="557">
      <c r="A557" t="n">
        <v>46200</v>
      </c>
      <c r="B557" t="inlineStr">
        <is>
          <t>0000943209</t>
        </is>
      </c>
      <c r="C557" t="inlineStr">
        <is>
          <t>MEGH STEELS PRIVATE LIMITED - TVS A</t>
        </is>
      </c>
      <c r="D557" t="inlineStr">
        <is>
          <t>KG</t>
        </is>
      </c>
      <c r="E557" t="n">
        <v>200</v>
      </c>
      <c r="F557" t="n">
        <v>1399.995</v>
      </c>
      <c r="G557" t="n">
        <v>1330.12</v>
      </c>
      <c r="H557" t="inlineStr">
        <is>
          <t>4731</t>
        </is>
      </c>
      <c r="I557" t="n">
        <v>3500582</v>
      </c>
      <c r="J557" t="inlineStr">
        <is>
          <t>TUB-O-N-AUT-AW-PE-19.05X2.300X7.00-ERW 1</t>
        </is>
      </c>
      <c r="K557" t="n">
        <v>19.05</v>
      </c>
      <c r="L557" t="n">
        <v>0</v>
      </c>
      <c r="M557" t="n">
        <v>2.3</v>
      </c>
      <c r="N557" t="n">
        <v>7</v>
      </c>
      <c r="O557" t="inlineStr">
        <is>
          <t>Direct</t>
        </is>
      </c>
      <c r="P557" t="inlineStr">
        <is>
          <t>19.05-0-2.3-ERW 1-PE-7</t>
        </is>
      </c>
    </row>
    <row r="558">
      <c r="A558" t="n">
        <v>46200</v>
      </c>
      <c r="B558" t="inlineStr">
        <is>
          <t>0000943209</t>
        </is>
      </c>
      <c r="C558" t="inlineStr">
        <is>
          <t>MEGH STEELS PRIVATE LIMITED - TVS A</t>
        </is>
      </c>
      <c r="D558" t="inlineStr">
        <is>
          <t>KG</t>
        </is>
      </c>
      <c r="E558" t="n">
        <v>168</v>
      </c>
      <c r="F558" t="n">
        <v>1175.996</v>
      </c>
      <c r="G558" t="n">
        <v>1117.301</v>
      </c>
      <c r="H558" t="inlineStr">
        <is>
          <t>4731</t>
        </is>
      </c>
      <c r="I558" t="n">
        <v>3500582</v>
      </c>
      <c r="J558" t="inlineStr">
        <is>
          <t>TUB-O-N-AUT-AW-PE-19.05X2.300X7.00-ERW 1</t>
        </is>
      </c>
      <c r="K558" t="n">
        <v>19.05</v>
      </c>
      <c r="L558" t="n">
        <v>0</v>
      </c>
      <c r="M558" t="n">
        <v>2.3</v>
      </c>
      <c r="N558" t="n">
        <v>7</v>
      </c>
      <c r="O558" t="inlineStr">
        <is>
          <t>Direct</t>
        </is>
      </c>
      <c r="P558" t="inlineStr">
        <is>
          <t>19.05-0-2.3-ERW 1-PE-7</t>
        </is>
      </c>
    </row>
    <row r="559">
      <c r="A559" t="n">
        <v>46200</v>
      </c>
      <c r="B559" t="inlineStr">
        <is>
          <t>0000943209</t>
        </is>
      </c>
      <c r="C559" t="inlineStr">
        <is>
          <t>MEGH STEELS PRIVATE LIMITED - TVS A</t>
        </is>
      </c>
      <c r="D559" t="inlineStr">
        <is>
          <t>KG</t>
        </is>
      </c>
      <c r="E559" t="n">
        <v>450</v>
      </c>
      <c r="F559" t="n">
        <v>3149.989</v>
      </c>
      <c r="G559" t="n">
        <v>2992.77</v>
      </c>
      <c r="H559" t="inlineStr">
        <is>
          <t>4731</t>
        </is>
      </c>
      <c r="I559" t="n">
        <v>3500582</v>
      </c>
      <c r="J559" t="inlineStr">
        <is>
          <t>TUB-O-N-AUT-AW-PE-19.05X2.300X7.00-ERW 1</t>
        </is>
      </c>
      <c r="K559" t="n">
        <v>19.05</v>
      </c>
      <c r="L559" t="n">
        <v>0</v>
      </c>
      <c r="M559" t="n">
        <v>2.3</v>
      </c>
      <c r="N559" t="n">
        <v>7</v>
      </c>
      <c r="O559" t="inlineStr">
        <is>
          <t>Direct</t>
        </is>
      </c>
      <c r="P559" t="inlineStr">
        <is>
          <t>19.05-0-2.3-ERW 1-PE-7</t>
        </is>
      </c>
    </row>
    <row r="560">
      <c r="A560" t="n">
        <v>46200</v>
      </c>
      <c r="B560" t="inlineStr">
        <is>
          <t>0000943209</t>
        </is>
      </c>
      <c r="C560" t="inlineStr">
        <is>
          <t>MEGH STEELS PRIVATE LIMITED - TVS A</t>
        </is>
      </c>
      <c r="D560" t="inlineStr">
        <is>
          <t>KG</t>
        </is>
      </c>
      <c r="E560" t="n">
        <v>230</v>
      </c>
      <c r="F560" t="n">
        <v>1609.995</v>
      </c>
      <c r="G560" t="n">
        <v>1529.638</v>
      </c>
      <c r="H560" t="inlineStr">
        <is>
          <t>4731</t>
        </is>
      </c>
      <c r="I560" t="n">
        <v>3500582</v>
      </c>
      <c r="J560" t="inlineStr">
        <is>
          <t>TUB-O-N-AUT-AW-PE-19.05X2.300X7.00-ERW 1</t>
        </is>
      </c>
      <c r="K560" t="n">
        <v>19.05</v>
      </c>
      <c r="L560" t="n">
        <v>0</v>
      </c>
      <c r="M560" t="n">
        <v>2.3</v>
      </c>
      <c r="N560" t="n">
        <v>7</v>
      </c>
      <c r="O560" t="inlineStr">
        <is>
          <t>Direct</t>
        </is>
      </c>
      <c r="P560" t="inlineStr">
        <is>
          <t>19.05-0-2.3-ERW 1-PE-7</t>
        </is>
      </c>
    </row>
    <row r="561">
      <c r="A561" t="n">
        <v>46200</v>
      </c>
      <c r="B561" t="inlineStr">
        <is>
          <t>0000943209</t>
        </is>
      </c>
      <c r="C561" t="inlineStr">
        <is>
          <t>MEGH STEELS PRIVATE LIMITED - TVS A</t>
        </is>
      </c>
      <c r="D561" t="inlineStr">
        <is>
          <t>KG</t>
        </is>
      </c>
      <c r="E561" t="n">
        <v>448</v>
      </c>
      <c r="F561" t="n">
        <v>3135.99</v>
      </c>
      <c r="G561" t="n">
        <v>2979.469</v>
      </c>
      <c r="H561" t="inlineStr">
        <is>
          <t>4731</t>
        </is>
      </c>
      <c r="I561" t="n">
        <v>3500582</v>
      </c>
      <c r="J561" t="inlineStr">
        <is>
          <t>TUB-O-N-AUT-AW-PE-19.05X2.300X7.00-ERW 1</t>
        </is>
      </c>
      <c r="K561" t="n">
        <v>19.05</v>
      </c>
      <c r="L561" t="n">
        <v>0</v>
      </c>
      <c r="M561" t="n">
        <v>2.3</v>
      </c>
      <c r="N561" t="n">
        <v>7</v>
      </c>
      <c r="O561" t="inlineStr">
        <is>
          <t>Direct</t>
        </is>
      </c>
      <c r="P561" t="inlineStr">
        <is>
          <t>19.05-0-2.3-ERW 1-PE-7</t>
        </is>
      </c>
    </row>
  </sheetData>
  <conditionalFormatting sqref="V1:V1048576 AA1:AA1048576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tabColor rgb="FF00B0F0"/>
    <outlinePr summaryBelow="1" summaryRight="1"/>
    <pageSetUpPr/>
  </sheetPr>
  <dimension ref="A1:AG189"/>
  <sheetViews>
    <sheetView topLeftCell="L1" workbookViewId="0">
      <pane ySplit="1" topLeftCell="A2" activePane="bottomLeft" state="frozen"/>
      <selection pane="bottomLeft" activeCell="AG2" sqref="AG2"/>
    </sheetView>
  </sheetViews>
  <sheetFormatPr baseColWidth="8" defaultRowHeight="15"/>
  <cols>
    <col width="8.28515625" customWidth="1" style="584" min="1" max="11"/>
    <col outlineLevel="1" width="24.5703125" customWidth="1" style="584" min="12" max="12"/>
    <col outlineLevel="1" width="6.140625" customWidth="1" style="199" min="13" max="13"/>
    <col outlineLevel="1" width="19.7109375" bestFit="1" customWidth="1" style="199" min="14" max="14"/>
    <col outlineLevel="1" width="6.140625" customWidth="1" style="199" min="15" max="18"/>
    <col outlineLevel="1" width="6.140625" customWidth="1" style="584" min="19" max="25"/>
    <col outlineLevel="1" width="6.140625" customWidth="1" style="162" min="26" max="27"/>
    <col outlineLevel="1" width="6.140625" customWidth="1" style="174" min="28" max="28"/>
    <col outlineLevel="1" width="9.140625" customWidth="1" style="584" min="29" max="29"/>
    <col width="9.140625" customWidth="1" style="584" min="30" max="30"/>
  </cols>
  <sheetData>
    <row r="1" ht="127.5" customHeight="1" s="584">
      <c r="A1" s="271" t="inlineStr">
        <is>
          <t>OEM</t>
        </is>
      </c>
      <c r="B1" s="138" t="inlineStr">
        <is>
          <t>Customer Code</t>
        </is>
      </c>
      <c r="C1" s="486" t="inlineStr">
        <is>
          <t>Customer</t>
        </is>
      </c>
      <c r="D1" s="618" t="inlineStr">
        <is>
          <t>Metallurgy condition</t>
        </is>
      </c>
      <c r="E1" s="483" t="inlineStr">
        <is>
          <t>Material Type</t>
        </is>
      </c>
      <c r="F1" s="488" t="inlineStr">
        <is>
          <t>GRADE</t>
        </is>
      </c>
      <c r="G1" s="489" t="inlineStr">
        <is>
          <t>OD</t>
        </is>
      </c>
      <c r="H1" s="489" t="inlineStr">
        <is>
          <t>ID</t>
        </is>
      </c>
      <c r="I1" s="489" t="inlineStr">
        <is>
          <t>THK</t>
        </is>
      </c>
      <c r="J1" s="488" t="inlineStr">
        <is>
          <t>LENGTH</t>
        </is>
      </c>
      <c r="K1" s="483" t="inlineStr">
        <is>
          <t>Length in Mtrs</t>
        </is>
      </c>
      <c r="L1" s="488" t="inlineStr">
        <is>
          <t>Key</t>
        </is>
      </c>
      <c r="M1" s="488" t="inlineStr">
        <is>
          <t>plant</t>
        </is>
      </c>
      <c r="N1" s="490" t="inlineStr">
        <is>
          <t>TSL Material Code</t>
        </is>
      </c>
      <c r="O1" s="395" t="inlineStr">
        <is>
          <t>Bucket</t>
        </is>
      </c>
      <c r="P1" s="395" t="inlineStr">
        <is>
          <t>Bucket CTL</t>
        </is>
      </c>
      <c r="Q1" s="395" t="inlineStr">
        <is>
          <t>Value added</t>
        </is>
      </c>
      <c r="R1" s="395" t="inlineStr">
        <is>
          <t>plant2</t>
        </is>
      </c>
      <c r="S1" s="412" t="inlineStr">
        <is>
          <t>TSL Material Code3</t>
        </is>
      </c>
      <c r="T1" s="482" t="inlineStr">
        <is>
          <t>SCH SEP- 25</t>
        </is>
      </c>
      <c r="U1" s="483" t="inlineStr">
        <is>
          <t>BALANCE TO BE SUPPLY</t>
        </is>
      </c>
      <c r="V1" s="484" t="inlineStr">
        <is>
          <t>Stock     18-08-25</t>
        </is>
      </c>
      <c r="W1" s="483" t="inlineStr">
        <is>
          <t xml:space="preserve">intransist </t>
        </is>
      </c>
      <c r="X1" s="483" t="inlineStr">
        <is>
          <t>OPENIG STOCK FOR SEP-2025</t>
        </is>
      </c>
      <c r="Y1" s="483" t="inlineStr">
        <is>
          <t xml:space="preserve">order logg </t>
        </is>
      </c>
      <c r="Z1" s="483" t="inlineStr">
        <is>
          <t>check from 17092025 orderbook sent by ashish</t>
        </is>
      </c>
      <c r="AA1" s="483" t="inlineStr">
        <is>
          <t>GAP of order log and 17092025 orderbook</t>
        </is>
      </c>
      <c r="AB1" s="483" t="inlineStr">
        <is>
          <t>Opening stock including order logger</t>
        </is>
      </c>
      <c r="AC1" s="485" t="inlineStr">
        <is>
          <t xml:space="preserve">    INDENT  FOR SEP-25 as per VSM</t>
        </is>
      </c>
      <c r="AD1" s="255" t="inlineStr">
        <is>
          <t xml:space="preserve"> INDENT  FOR Oct-25 recommended</t>
        </is>
      </c>
      <c r="AE1" s="271" t="inlineStr">
        <is>
          <t>Before 20th</t>
        </is>
      </c>
      <c r="AF1" s="271" t="inlineStr">
        <is>
          <t>ofter 20th</t>
        </is>
      </c>
    </row>
    <row r="2">
      <c r="A2" s="147" t="inlineStr">
        <is>
          <t>TVS</t>
        </is>
      </c>
      <c r="B2" s="491" t="n">
        <v>943209</v>
      </c>
      <c r="C2" s="265" t="inlineStr">
        <is>
          <t>RUCHA</t>
        </is>
      </c>
      <c r="D2" s="147" t="inlineStr">
        <is>
          <t>ERW1</t>
        </is>
      </c>
      <c r="E2" s="147" t="inlineStr">
        <is>
          <t>NON FIN</t>
        </is>
      </c>
      <c r="F2" s="147" t="inlineStr">
        <is>
          <t>ERW</t>
        </is>
      </c>
      <c r="G2" s="148" t="n">
        <v>12.7</v>
      </c>
      <c r="H2" s="148" t="n"/>
      <c r="I2" s="148" t="n">
        <v>1.2</v>
      </c>
      <c r="J2" s="147" t="n">
        <v>6000</v>
      </c>
      <c r="K2" s="147" t="n">
        <v>6</v>
      </c>
      <c r="L2" s="147">
        <f>_xlfn.CONCAT(G2,I2,K2,F2,E2)</f>
        <v/>
      </c>
      <c r="M2" s="151" t="inlineStr">
        <is>
          <t>0789</t>
        </is>
      </c>
      <c r="N2" s="150" t="n">
        <v>1939985</v>
      </c>
      <c r="O2" s="150" t="inlineStr">
        <is>
          <t>No Key</t>
        </is>
      </c>
      <c r="P2" s="150" t="inlineStr">
        <is>
          <t>No Key</t>
        </is>
      </c>
      <c r="Q2" s="150" t="inlineStr">
        <is>
          <t>Value Added</t>
        </is>
      </c>
      <c r="R2" s="150" t="inlineStr">
        <is>
          <t>0789</t>
        </is>
      </c>
      <c r="S2" s="150" t="n">
        <v>1939985</v>
      </c>
      <c r="T2" s="19" t="n">
        <v>10</v>
      </c>
      <c r="U2" s="147" t="n">
        <v>5</v>
      </c>
      <c r="V2" s="147" t="n">
        <v>7</v>
      </c>
      <c r="W2" s="147" t="n"/>
      <c r="X2" s="147">
        <f>V2-U2</f>
        <v/>
      </c>
      <c r="Y2" s="147" t="n">
        <v>24</v>
      </c>
      <c r="Z2" s="147">
        <f>SUMIFS(orderbook[Bal to Desp],orderbook[key],Table29[[#This Row],[Key]])</f>
        <v/>
      </c>
      <c r="AA2" s="500">
        <f>Table29[[#This Row],[order logg ]]-Table29[[#This Row],[check from 17092025 orderbook sent by ashish]]</f>
        <v/>
      </c>
      <c r="AB2" s="147">
        <f>X2+Y2</f>
        <v/>
      </c>
      <c r="AC2" s="19">
        <f>T2-AB2</f>
        <v/>
      </c>
      <c r="AD2" s="387" t="n">
        <v>24</v>
      </c>
      <c r="AE2" s="147">
        <f>ROUND(SUMIFS(meghsteelsales_previousmonth[Quantity],meghsteelsales_previousmonth[Length Bucket],Table29[[#This Row],[Bucket CTL]])/1000,0)</f>
        <v/>
      </c>
      <c r="AF2" s="147">
        <f>ROUND(SUMIFS(meghsteelsales_currentmonth[Quantity],meghsteelsales_currentmonth[Length Bucket],Table29[[#This Row],[Bucket CTL]])/1000,0)</f>
        <v/>
      </c>
      <c r="AG2" t="n">
        <v>10</v>
      </c>
    </row>
    <row r="3">
      <c r="A3" s="147" t="inlineStr">
        <is>
          <t>HMSI</t>
        </is>
      </c>
      <c r="B3" s="265" t="n">
        <v>943210</v>
      </c>
      <c r="C3" s="265" t="inlineStr">
        <is>
          <t>BADVE</t>
        </is>
      </c>
      <c r="D3" s="147" t="inlineStr">
        <is>
          <t>ERW1</t>
        </is>
      </c>
      <c r="E3" s="147" t="inlineStr">
        <is>
          <t>NON FIN</t>
        </is>
      </c>
      <c r="F3" s="147" t="inlineStr">
        <is>
          <t>ERW</t>
        </is>
      </c>
      <c r="G3" s="148" t="n">
        <v>12.7</v>
      </c>
      <c r="H3" s="148" t="n"/>
      <c r="I3" s="148" t="n">
        <v>1.4</v>
      </c>
      <c r="J3" s="147" t="n">
        <v>6000</v>
      </c>
      <c r="K3" s="147" t="n">
        <v>6</v>
      </c>
      <c r="L3" s="147">
        <f>_xlfn.CONCAT(G3,I3,K3,F3,E3)</f>
        <v/>
      </c>
      <c r="M3" s="151" t="inlineStr">
        <is>
          <t>0789</t>
        </is>
      </c>
      <c r="N3" s="150" t="n">
        <v>1931117</v>
      </c>
      <c r="O3" s="150" t="inlineStr">
        <is>
          <t>No Key</t>
        </is>
      </c>
      <c r="P3" s="150" t="inlineStr">
        <is>
          <t>No Key</t>
        </is>
      </c>
      <c r="Q3" s="150" t="n">
        <v>0</v>
      </c>
      <c r="R3" s="150" t="inlineStr">
        <is>
          <t>0789</t>
        </is>
      </c>
      <c r="S3" s="150" t="n">
        <v>1931117</v>
      </c>
      <c r="T3" s="19" t="n">
        <v>5</v>
      </c>
      <c r="U3" s="147" t="n">
        <v>0</v>
      </c>
      <c r="V3" s="147" t="n">
        <v>7</v>
      </c>
      <c r="W3" s="147" t="n"/>
      <c r="X3" s="147">
        <f>V3-U3</f>
        <v/>
      </c>
      <c r="Y3" s="147" t="n">
        <v>0</v>
      </c>
      <c r="Z3" s="147">
        <f>SUMIFS(orderbook[Bal to Desp],orderbook[key],Table29[[#This Row],[Key]])</f>
        <v/>
      </c>
      <c r="AA3" s="147">
        <f>Table29[[#This Row],[order logg ]]-Table29[[#This Row],[check from 17092025 orderbook sent by ashish]]</f>
        <v/>
      </c>
      <c r="AB3" s="147">
        <f>X3+Y3</f>
        <v/>
      </c>
      <c r="AC3" s="19">
        <f>T3-AB3</f>
        <v/>
      </c>
      <c r="AD3" s="387">
        <f>IF(AC3&gt;0,AC3,0)*150%</f>
        <v/>
      </c>
      <c r="AE3" s="147">
        <f>ROUND(SUMIFS(meghsteelsales_previousmonth[Quantity],meghsteelsales_previousmonth[Length Bucket],Table29[[#This Row],[Bucket CTL]])/1000,0)</f>
        <v/>
      </c>
      <c r="AF3" s="147">
        <f>ROUND(SUMIFS(meghsteelsales_currentmonth[Quantity],meghsteelsales_currentmonth[Length Bucket],Table29[[#This Row],[Bucket CTL]])/1000,0)</f>
        <v/>
      </c>
      <c r="AG3" t="n">
        <v>0</v>
      </c>
    </row>
    <row r="4">
      <c r="A4" s="147" t="inlineStr">
        <is>
          <t>HMSI</t>
        </is>
      </c>
      <c r="B4" s="265" t="n">
        <v>943210</v>
      </c>
      <c r="C4" s="265" t="inlineStr">
        <is>
          <t>BADVE</t>
        </is>
      </c>
      <c r="D4" s="147" t="inlineStr">
        <is>
          <t>ERW1</t>
        </is>
      </c>
      <c r="E4" s="147" t="inlineStr">
        <is>
          <t>NON FIN</t>
        </is>
      </c>
      <c r="F4" s="147" t="inlineStr">
        <is>
          <t>ERW</t>
        </is>
      </c>
      <c r="G4" s="148" t="n">
        <v>12.7</v>
      </c>
      <c r="H4" s="148" t="n"/>
      <c r="I4" s="148" t="n">
        <v>1.6</v>
      </c>
      <c r="J4" s="147" t="n">
        <v>6000</v>
      </c>
      <c r="K4" s="147" t="n">
        <v>6</v>
      </c>
      <c r="L4" s="147">
        <f>_xlfn.CONCAT(G4,I4,K4,F4,E4)</f>
        <v/>
      </c>
      <c r="M4" s="151" t="inlineStr">
        <is>
          <t>0789</t>
        </is>
      </c>
      <c r="N4" s="150" t="n">
        <v>1931154</v>
      </c>
      <c r="O4" s="150" t="inlineStr">
        <is>
          <t>No Key</t>
        </is>
      </c>
      <c r="P4" s="150" t="inlineStr">
        <is>
          <t>No Key</t>
        </is>
      </c>
      <c r="Q4" s="150" t="n">
        <v>0</v>
      </c>
      <c r="R4" s="150" t="inlineStr">
        <is>
          <t>0789</t>
        </is>
      </c>
      <c r="S4" s="150" t="n">
        <v>1931154</v>
      </c>
      <c r="T4" s="19" t="n">
        <v>2</v>
      </c>
      <c r="U4" s="147" t="n">
        <v>1</v>
      </c>
      <c r="V4" s="147" t="n">
        <v>4</v>
      </c>
      <c r="W4" s="147" t="n"/>
      <c r="X4" s="147">
        <f>V4-U4</f>
        <v/>
      </c>
      <c r="Y4" s="147" t="n">
        <v>0</v>
      </c>
      <c r="Z4" s="147">
        <f>SUMIFS(orderbook[Bal to Desp],orderbook[key],Table29[[#This Row],[Key]])</f>
        <v/>
      </c>
      <c r="AA4" s="147">
        <f>Table29[[#This Row],[order logg ]]-Table29[[#This Row],[check from 17092025 orderbook sent by ashish]]</f>
        <v/>
      </c>
      <c r="AB4" s="147">
        <f>X4+Y4</f>
        <v/>
      </c>
      <c r="AC4" s="19">
        <f>T4-AB4</f>
        <v/>
      </c>
      <c r="AD4" s="387">
        <f>IF(AC4&gt;0,AC4,0)*150%</f>
        <v/>
      </c>
      <c r="AE4" s="147">
        <f>ROUND(SUMIFS(meghsteelsales_previousmonth[Quantity],meghsteelsales_previousmonth[Length Bucket],Table29[[#This Row],[Bucket CTL]])/1000,0)</f>
        <v/>
      </c>
      <c r="AF4" s="147">
        <f>ROUND(SUMIFS(meghsteelsales_currentmonth[Quantity],meghsteelsales_currentmonth[Length Bucket],Table29[[#This Row],[Bucket CTL]])/1000,0)</f>
        <v/>
      </c>
      <c r="AG4" t="n">
        <v>0</v>
      </c>
    </row>
    <row r="5">
      <c r="A5" s="147" t="inlineStr">
        <is>
          <t>TVS</t>
        </is>
      </c>
      <c r="B5" s="491" t="n">
        <v>943209</v>
      </c>
      <c r="C5" s="265" t="inlineStr">
        <is>
          <t>RUCHA</t>
        </is>
      </c>
      <c r="D5" s="147" t="inlineStr">
        <is>
          <t>ERW1</t>
        </is>
      </c>
      <c r="E5" s="147" t="inlineStr">
        <is>
          <t>NON FIN</t>
        </is>
      </c>
      <c r="F5" s="147" t="inlineStr">
        <is>
          <t>ERW</t>
        </is>
      </c>
      <c r="G5" s="148" t="n">
        <v>12.7</v>
      </c>
      <c r="H5" s="148" t="n"/>
      <c r="I5" s="148" t="n">
        <v>2</v>
      </c>
      <c r="J5" s="147" t="n">
        <v>6000</v>
      </c>
      <c r="K5" s="147" t="n">
        <v>6</v>
      </c>
      <c r="L5" s="147">
        <f>_xlfn.CONCAT(G5,I5,K5,F5,E5)</f>
        <v/>
      </c>
      <c r="M5" s="151" t="inlineStr">
        <is>
          <t>0789</t>
        </is>
      </c>
      <c r="N5" s="149" t="n">
        <v>236166</v>
      </c>
      <c r="O5" s="150" t="n">
        <v>0</v>
      </c>
      <c r="P5" s="150" t="e">
        <v>#N/A</v>
      </c>
      <c r="Q5" s="150" t="n">
        <v>0</v>
      </c>
      <c r="R5" s="150" t="inlineStr">
        <is>
          <t>0789</t>
        </is>
      </c>
      <c r="S5" s="150" t="n">
        <v>236166</v>
      </c>
      <c r="T5" s="19" t="n">
        <v>3</v>
      </c>
      <c r="U5" s="147" t="n">
        <v>0</v>
      </c>
      <c r="V5" s="147" t="n">
        <v>0</v>
      </c>
      <c r="W5" s="147" t="n"/>
      <c r="X5" s="147">
        <f>V5-U5</f>
        <v/>
      </c>
      <c r="Y5" s="147" t="n">
        <v>0</v>
      </c>
      <c r="Z5" s="147">
        <f>SUMIFS(orderbook[Bal to Desp],orderbook[key],Table29[[#This Row],[Key]])</f>
        <v/>
      </c>
      <c r="AA5" s="147">
        <f>Table29[[#This Row],[order logg ]]-Table29[[#This Row],[check from 17092025 orderbook sent by ashish]]</f>
        <v/>
      </c>
      <c r="AB5" s="147">
        <f>X5+Y5</f>
        <v/>
      </c>
      <c r="AC5" s="19">
        <f>T5-AB5</f>
        <v/>
      </c>
      <c r="AD5" s="387">
        <f>IF(AC5&gt;0,AC5,0)*150%</f>
        <v/>
      </c>
      <c r="AE5" s="147">
        <f>ROUND(SUMIFS(meghsteelsales_previousmonth[Quantity],meghsteelsales_previousmonth[Length Bucket],Table29[[#This Row],[Bucket CTL]])/1000,0)</f>
        <v/>
      </c>
      <c r="AF5" s="147">
        <f>ROUND(SUMIFS(meghsteelsales_currentmonth[Quantity],meghsteelsales_currentmonth[Length Bucket],Table29[[#This Row],[Bucket CTL]])/1000,0)</f>
        <v/>
      </c>
      <c r="AG5" t="n">
        <v>0</v>
      </c>
    </row>
    <row r="6">
      <c r="A6" s="147" t="inlineStr">
        <is>
          <t>HMSI</t>
        </is>
      </c>
      <c r="B6" s="265" t="n">
        <v>943210</v>
      </c>
      <c r="C6" s="265" t="inlineStr">
        <is>
          <t>BADVE</t>
        </is>
      </c>
      <c r="D6" s="147" t="inlineStr">
        <is>
          <t>ERW1</t>
        </is>
      </c>
      <c r="E6" s="147" t="inlineStr">
        <is>
          <t>NON FIN</t>
        </is>
      </c>
      <c r="F6" s="147" t="inlineStr">
        <is>
          <t>ERW</t>
        </is>
      </c>
      <c r="G6" s="148" t="n">
        <v>15.88</v>
      </c>
      <c r="H6" s="148" t="n"/>
      <c r="I6" s="148" t="n">
        <v>1</v>
      </c>
      <c r="J6" s="147" t="n">
        <v>6000</v>
      </c>
      <c r="K6" s="147" t="n">
        <v>6</v>
      </c>
      <c r="L6" s="147">
        <f>_xlfn.CONCAT(G6,I6,K6,F6,E6)</f>
        <v/>
      </c>
      <c r="M6" s="151" t="inlineStr">
        <is>
          <t>0789</t>
        </is>
      </c>
      <c r="N6" s="150" t="n">
        <v>1940054</v>
      </c>
      <c r="O6" s="150" t="inlineStr">
        <is>
          <t>15.88-0-1-ERW 1-PE</t>
        </is>
      </c>
      <c r="P6" s="150" t="inlineStr">
        <is>
          <t>15.88-0-1-ERW 1-PE-6</t>
        </is>
      </c>
      <c r="Q6" s="150" t="n">
        <v>0</v>
      </c>
      <c r="R6" s="150" t="inlineStr">
        <is>
          <t>0789</t>
        </is>
      </c>
      <c r="S6" s="150" t="n">
        <v>1940054</v>
      </c>
      <c r="T6" s="19" t="n">
        <v>1</v>
      </c>
      <c r="U6" s="147" t="n">
        <v>0</v>
      </c>
      <c r="V6" s="147" t="n">
        <v>1.4</v>
      </c>
      <c r="W6" s="147" t="n"/>
      <c r="X6" s="147">
        <f>V6-U6</f>
        <v/>
      </c>
      <c r="Y6" s="147" t="n">
        <v>0</v>
      </c>
      <c r="Z6" s="147">
        <f>SUMIFS(orderbook[Bal to Desp],orderbook[key],Table29[[#This Row],[Key]])</f>
        <v/>
      </c>
      <c r="AA6" s="147">
        <f>Table29[[#This Row],[order logg ]]-Table29[[#This Row],[check from 17092025 orderbook sent by ashish]]</f>
        <v/>
      </c>
      <c r="AB6" s="147">
        <f>X6+Y6</f>
        <v/>
      </c>
      <c r="AC6" s="19">
        <f>T6-AB6</f>
        <v/>
      </c>
      <c r="AD6" s="387">
        <f>IF(AC6&gt;0,AC6,0)*150%</f>
        <v/>
      </c>
      <c r="AE6" s="147">
        <f>ROUND(SUMIFS(meghsteelsales_previousmonth[Quantity],meghsteelsales_previousmonth[Length Bucket],Table29[[#This Row],[Bucket CTL]])/1000,0)</f>
        <v/>
      </c>
      <c r="AF6" s="147">
        <f>ROUND(SUMIFS(meghsteelsales_currentmonth[Quantity],meghsteelsales_currentmonth[Length Bucket],Table29[[#This Row],[Bucket CTL]])/1000,0)</f>
        <v/>
      </c>
      <c r="AG6" t="n">
        <v>0</v>
      </c>
    </row>
    <row r="7">
      <c r="A7" s="147" t="inlineStr">
        <is>
          <t>TVS</t>
        </is>
      </c>
      <c r="B7" s="491" t="n">
        <v>943209</v>
      </c>
      <c r="C7" s="265" t="inlineStr">
        <is>
          <t>RUCHA</t>
        </is>
      </c>
      <c r="D7" s="147" t="inlineStr">
        <is>
          <t>ERW1</t>
        </is>
      </c>
      <c r="E7" s="147" t="inlineStr">
        <is>
          <t>NON FIN</t>
        </is>
      </c>
      <c r="F7" s="147" t="inlineStr">
        <is>
          <t>ERW</t>
        </is>
      </c>
      <c r="G7" s="148" t="n">
        <v>15.88</v>
      </c>
      <c r="H7" s="148" t="n"/>
      <c r="I7" s="148" t="n">
        <v>1.2</v>
      </c>
      <c r="J7" s="147" t="n">
        <v>6000</v>
      </c>
      <c r="K7" s="147" t="n">
        <v>6</v>
      </c>
      <c r="L7" s="147">
        <f>_xlfn.CONCAT(G7,I7,K7,F7,E7)</f>
        <v/>
      </c>
      <c r="M7" s="151" t="inlineStr">
        <is>
          <t>0789</t>
        </is>
      </c>
      <c r="N7" s="150" t="n">
        <v>1940054</v>
      </c>
      <c r="O7" s="150" t="inlineStr">
        <is>
          <t>15.88-0-1-ERW 1-PE</t>
        </is>
      </c>
      <c r="P7" s="150" t="inlineStr">
        <is>
          <t>15.88-0-1-ERW 1-PE-6</t>
        </is>
      </c>
      <c r="Q7" s="150" t="n">
        <v>0</v>
      </c>
      <c r="R7" s="150" t="inlineStr">
        <is>
          <t>0789</t>
        </is>
      </c>
      <c r="S7" s="150" t="n">
        <v>1940054</v>
      </c>
      <c r="T7" s="19" t="n">
        <v>10</v>
      </c>
      <c r="U7" s="147" t="n">
        <v>0</v>
      </c>
      <c r="V7" s="147" t="n">
        <v>0</v>
      </c>
      <c r="W7" s="147" t="n"/>
      <c r="X7" s="147">
        <f>V7-U7</f>
        <v/>
      </c>
      <c r="Y7" s="147" t="n">
        <v>7</v>
      </c>
      <c r="Z7" s="147">
        <f>SUMIFS(orderbook[Bal to Desp],orderbook[key],Table29[[#This Row],[Key]])</f>
        <v/>
      </c>
      <c r="AA7" s="500">
        <f>Table29[[#This Row],[order logg ]]-Table29[[#This Row],[check from 17092025 orderbook sent by ashish]]</f>
        <v/>
      </c>
      <c r="AB7" s="147">
        <f>X7+Y7</f>
        <v/>
      </c>
      <c r="AC7" s="19">
        <f>T7-AB7</f>
        <v/>
      </c>
      <c r="AD7" s="387">
        <f>IF(AC7&gt;0,AC7,0)*150%+7</f>
        <v/>
      </c>
      <c r="AE7" s="147">
        <f>ROUND(SUMIFS(meghsteelsales_previousmonth[Quantity],meghsteelsales_previousmonth[Length Bucket],Table29[[#This Row],[Bucket CTL]])/1000,0)</f>
        <v/>
      </c>
      <c r="AF7" s="147">
        <f>ROUND(SUMIFS(meghsteelsales_currentmonth[Quantity],meghsteelsales_currentmonth[Length Bucket],Table29[[#This Row],[Bucket CTL]])/1000,0)</f>
        <v/>
      </c>
      <c r="AG7" t="n">
        <v>0</v>
      </c>
    </row>
    <row r="8">
      <c r="A8" s="147" t="inlineStr">
        <is>
          <t>HMSI</t>
        </is>
      </c>
      <c r="B8" s="265" t="n">
        <v>943210</v>
      </c>
      <c r="C8" s="265" t="inlineStr">
        <is>
          <t>BADVE</t>
        </is>
      </c>
      <c r="D8" s="147" t="inlineStr">
        <is>
          <t>ERW1</t>
        </is>
      </c>
      <c r="E8" s="147" t="inlineStr">
        <is>
          <t>NON FIN</t>
        </is>
      </c>
      <c r="F8" s="147" t="inlineStr">
        <is>
          <t>ERW</t>
        </is>
      </c>
      <c r="G8" s="148" t="n">
        <v>15.88</v>
      </c>
      <c r="H8" s="148" t="n"/>
      <c r="I8" s="148" t="n">
        <v>1.6</v>
      </c>
      <c r="J8" s="147" t="n">
        <v>6000</v>
      </c>
      <c r="K8" s="147" t="n">
        <v>6</v>
      </c>
      <c r="L8" s="147">
        <f>_xlfn.CONCAT(G8,I8,K8,F8,E8)</f>
        <v/>
      </c>
      <c r="M8" s="151" t="inlineStr">
        <is>
          <t>0789</t>
        </is>
      </c>
      <c r="N8" s="150" t="n">
        <v>1900224</v>
      </c>
      <c r="O8" s="150" t="inlineStr">
        <is>
          <t>15.88-0-1.6-ERW 1-PE</t>
        </is>
      </c>
      <c r="P8" s="150" t="inlineStr">
        <is>
          <t>15.88-0-1.6-ERW 1-PE-6</t>
        </is>
      </c>
      <c r="Q8" s="150" t="n">
        <v>0</v>
      </c>
      <c r="R8" s="150" t="inlineStr">
        <is>
          <t>0789</t>
        </is>
      </c>
      <c r="S8" s="150" t="n">
        <v>1900224</v>
      </c>
      <c r="T8" s="19" t="n">
        <v>2</v>
      </c>
      <c r="U8" s="147" t="n">
        <v>0</v>
      </c>
      <c r="V8" s="147" t="n">
        <v>2.5</v>
      </c>
      <c r="W8" s="147" t="n"/>
      <c r="X8" s="147">
        <f>V8-U8</f>
        <v/>
      </c>
      <c r="Y8" s="147" t="n">
        <v>0</v>
      </c>
      <c r="Z8" s="147">
        <f>SUMIFS(orderbook[Bal to Desp],orderbook[key],Table29[[#This Row],[Key]])</f>
        <v/>
      </c>
      <c r="AA8" s="147">
        <f>Table29[[#This Row],[order logg ]]-Table29[[#This Row],[check from 17092025 orderbook sent by ashish]]</f>
        <v/>
      </c>
      <c r="AB8" s="147">
        <f>X8+Y8</f>
        <v/>
      </c>
      <c r="AC8" s="19">
        <f>T8-AB8</f>
        <v/>
      </c>
      <c r="AD8" s="387">
        <f>IF(AC8&gt;0,AC8,0)*150%</f>
        <v/>
      </c>
      <c r="AE8" s="147">
        <f>ROUND(SUMIFS(meghsteelsales_previousmonth[Quantity],meghsteelsales_previousmonth[Length Bucket],Table29[[#This Row],[Bucket CTL]])/1000,0)</f>
        <v/>
      </c>
      <c r="AF8" s="147">
        <f>ROUND(SUMIFS(meghsteelsales_currentmonth[Quantity],meghsteelsales_currentmonth[Length Bucket],Table29[[#This Row],[Bucket CTL]])/1000,0)</f>
        <v/>
      </c>
      <c r="AG8" t="n">
        <v>2.6</v>
      </c>
    </row>
    <row r="9">
      <c r="A9" s="147" t="inlineStr">
        <is>
          <t>HMSI</t>
        </is>
      </c>
      <c r="B9" s="265" t="n">
        <v>943210</v>
      </c>
      <c r="C9" s="265" t="inlineStr">
        <is>
          <t>BADVE</t>
        </is>
      </c>
      <c r="D9" s="147" t="inlineStr">
        <is>
          <t>ERW1</t>
        </is>
      </c>
      <c r="E9" s="147" t="inlineStr">
        <is>
          <t>NON FIN</t>
        </is>
      </c>
      <c r="F9" s="147" t="inlineStr">
        <is>
          <t>ERW</t>
        </is>
      </c>
      <c r="G9" s="148" t="n">
        <v>15.88</v>
      </c>
      <c r="H9" s="148" t="n"/>
      <c r="I9" s="148" t="n">
        <v>2</v>
      </c>
      <c r="J9" s="147" t="n">
        <v>6000</v>
      </c>
      <c r="K9" s="147" t="n">
        <v>6</v>
      </c>
      <c r="L9" s="147">
        <f>_xlfn.CONCAT(G9,I9,K9,F9,E9)</f>
        <v/>
      </c>
      <c r="M9" s="151" t="inlineStr">
        <is>
          <t>0789</t>
        </is>
      </c>
      <c r="N9" s="150" t="n">
        <v>1940120</v>
      </c>
      <c r="O9" s="150" t="inlineStr">
        <is>
          <t>15.88-0-2-ERW 1-PE</t>
        </is>
      </c>
      <c r="P9" s="150" t="inlineStr">
        <is>
          <t>15.88-0-2-ERW 1-PE-6</t>
        </is>
      </c>
      <c r="Q9" s="150" t="n">
        <v>0</v>
      </c>
      <c r="R9" s="150" t="inlineStr">
        <is>
          <t>0789</t>
        </is>
      </c>
      <c r="S9" s="150" t="n">
        <v>1940120</v>
      </c>
      <c r="T9" s="19" t="n">
        <v>5</v>
      </c>
      <c r="U9" s="147" t="n">
        <v>2</v>
      </c>
      <c r="V9" s="147" t="n">
        <v>2</v>
      </c>
      <c r="W9" s="147" t="n"/>
      <c r="X9" s="147">
        <f>V9-U9</f>
        <v/>
      </c>
      <c r="Y9" s="147" t="n">
        <v>4</v>
      </c>
      <c r="Z9" s="147">
        <f>SUMIFS(orderbook[Bal to Desp],orderbook[key],Table29[[#This Row],[Key]])</f>
        <v/>
      </c>
      <c r="AA9" s="500">
        <f>Table29[[#This Row],[order logg ]]-Table29[[#This Row],[check from 17092025 orderbook sent by ashish]]</f>
        <v/>
      </c>
      <c r="AB9" s="147">
        <f>X9+Y9</f>
        <v/>
      </c>
      <c r="AC9" s="19">
        <f>T9-AB9</f>
        <v/>
      </c>
      <c r="AD9" s="387">
        <f>IF(AC9&gt;0,AC9,0)*150%+4</f>
        <v/>
      </c>
      <c r="AE9" s="147">
        <f>ROUND(SUMIFS(meghsteelsales_previousmonth[Quantity],meghsteelsales_previousmonth[Length Bucket],Table29[[#This Row],[Bucket CTL]])/1000,0)</f>
        <v/>
      </c>
      <c r="AF9" s="147">
        <f>ROUND(SUMIFS(meghsteelsales_currentmonth[Quantity],meghsteelsales_currentmonth[Length Bucket],Table29[[#This Row],[Bucket CTL]])/1000,0)</f>
        <v/>
      </c>
      <c r="AG9" t="n">
        <v>0</v>
      </c>
    </row>
    <row r="10">
      <c r="A10" s="147" t="inlineStr">
        <is>
          <t>TVS</t>
        </is>
      </c>
      <c r="B10" s="491" t="n">
        <v>943209</v>
      </c>
      <c r="C10" s="265" t="inlineStr">
        <is>
          <t>Rucha</t>
        </is>
      </c>
      <c r="D10" s="147" t="inlineStr">
        <is>
          <t>ERW1</t>
        </is>
      </c>
      <c r="E10" s="147" t="inlineStr">
        <is>
          <t>NON FIN</t>
        </is>
      </c>
      <c r="F10" s="147" t="inlineStr">
        <is>
          <t>ERW</t>
        </is>
      </c>
      <c r="G10" s="148" t="n">
        <v>18.2</v>
      </c>
      <c r="H10" s="148" t="n"/>
      <c r="I10" s="148" t="n">
        <v>1</v>
      </c>
      <c r="J10" s="147" t="n">
        <v>6000</v>
      </c>
      <c r="K10" s="147" t="n">
        <v>6</v>
      </c>
      <c r="L10" s="147">
        <f>_xlfn.CONCAT(G10,I10,K10,F10,E10)</f>
        <v/>
      </c>
      <c r="M10" s="151" t="inlineStr">
        <is>
          <t>0789</t>
        </is>
      </c>
      <c r="N10" s="150" t="n">
        <v>2288945</v>
      </c>
      <c r="O10" s="150" t="n">
        <v>0</v>
      </c>
      <c r="P10" s="150" t="e">
        <v>#N/A</v>
      </c>
      <c r="Q10" s="150" t="n">
        <v>0</v>
      </c>
      <c r="R10" s="150" t="inlineStr">
        <is>
          <t>0789</t>
        </is>
      </c>
      <c r="S10" s="150" t="n">
        <v>2288945</v>
      </c>
      <c r="T10" s="19" t="n">
        <v>10</v>
      </c>
      <c r="U10" s="147" t="n">
        <v>2</v>
      </c>
      <c r="V10" s="147" t="n">
        <v>2</v>
      </c>
      <c r="W10" s="147" t="n"/>
      <c r="X10" s="147">
        <f>V10-U10</f>
        <v/>
      </c>
      <c r="Y10" s="147" t="n">
        <v>21</v>
      </c>
      <c r="Z10" s="147">
        <f>SUMIFS(orderbook[Bal to Desp],orderbook[key],Table29[[#This Row],[Key]])</f>
        <v/>
      </c>
      <c r="AA10" s="500">
        <f>Table29[[#This Row],[order logg ]]-Table29[[#This Row],[check from 17092025 orderbook sent by ashish]]</f>
        <v/>
      </c>
      <c r="AB10" s="147">
        <f>X10+Y10</f>
        <v/>
      </c>
      <c r="AC10" s="19">
        <f>T10-AB10</f>
        <v/>
      </c>
      <c r="AD10" s="387" t="n">
        <v>21</v>
      </c>
      <c r="AE10" s="147">
        <f>ROUND(SUMIFS(meghsteelsales_previousmonth[Quantity],meghsteelsales_previousmonth[Length Bucket],Table29[[#This Row],[Bucket CTL]])/1000,0)</f>
        <v/>
      </c>
      <c r="AF10" s="147">
        <f>ROUND(SUMIFS(meghsteelsales_currentmonth[Quantity],meghsteelsales_currentmonth[Length Bucket],Table29[[#This Row],[Bucket CTL]])/1000,0)</f>
        <v/>
      </c>
      <c r="AG10" t="n">
        <v>0</v>
      </c>
    </row>
    <row r="11">
      <c r="A11" s="147" t="inlineStr">
        <is>
          <t>HMSI</t>
        </is>
      </c>
      <c r="B11" s="265" t="n">
        <v>943210</v>
      </c>
      <c r="C11" s="265" t="inlineStr">
        <is>
          <t>BADVE</t>
        </is>
      </c>
      <c r="D11" s="153" t="inlineStr">
        <is>
          <t>ERW1</t>
        </is>
      </c>
      <c r="E11" s="147" t="inlineStr">
        <is>
          <t>NON FIN</t>
        </is>
      </c>
      <c r="F11" s="147" t="inlineStr">
        <is>
          <t>ERW</t>
        </is>
      </c>
      <c r="G11" s="148" t="n">
        <v>19.05</v>
      </c>
      <c r="H11" s="148" t="n"/>
      <c r="I11" s="148" t="n">
        <v>1.6</v>
      </c>
      <c r="J11" s="147" t="n">
        <v>6000</v>
      </c>
      <c r="K11" s="147" t="n">
        <v>6</v>
      </c>
      <c r="L11" s="147">
        <f>_xlfn.CONCAT(G11,I11,K11,F11,E11)</f>
        <v/>
      </c>
      <c r="M11" s="149" t="n">
        <v>56</v>
      </c>
      <c r="N11" s="150" t="n">
        <v>3498997</v>
      </c>
      <c r="O11" s="150" t="inlineStr">
        <is>
          <t>19.05-0-1.6-ERW 1-PE</t>
        </is>
      </c>
      <c r="P11" s="150" t="inlineStr">
        <is>
          <t>19.05-0-1.6-ERW 1-PE-6</t>
        </is>
      </c>
      <c r="Q11" s="150" t="n">
        <v>0</v>
      </c>
      <c r="R11" s="150" t="inlineStr">
        <is>
          <t>056</t>
        </is>
      </c>
      <c r="S11" s="150" t="n">
        <v>3498997</v>
      </c>
      <c r="T11" s="19" t="n">
        <v>10</v>
      </c>
      <c r="U11" s="147" t="n">
        <v>6</v>
      </c>
      <c r="V11" s="147" t="n">
        <v>7</v>
      </c>
      <c r="W11" s="147" t="n"/>
      <c r="X11" s="147">
        <f>V11-U11</f>
        <v/>
      </c>
      <c r="Y11" s="147" t="n">
        <v>15</v>
      </c>
      <c r="Z11" s="147">
        <f>SUMIFS(orderbook[Bal to Desp],orderbook[key],Table29[[#This Row],[Key]])</f>
        <v/>
      </c>
      <c r="AA11" s="147">
        <f>Table29[[#This Row],[order logg ]]-Table29[[#This Row],[check from 17092025 orderbook sent by ashish]]</f>
        <v/>
      </c>
      <c r="AB11" s="147">
        <f>X11+Y11</f>
        <v/>
      </c>
      <c r="AC11" s="19">
        <f>T11-AB11</f>
        <v/>
      </c>
      <c r="AD11" s="387">
        <f>IF(AC11&gt;0,AC11,0)*150%</f>
        <v/>
      </c>
      <c r="AE11" s="147">
        <f>ROUND(SUMIFS(meghsteelsales_previousmonth[Quantity],meghsteelsales_previousmonth[Length Bucket],Table29[[#This Row],[Bucket CTL]])/1000,0)</f>
        <v/>
      </c>
      <c r="AF11" s="147">
        <f>ROUND(SUMIFS(meghsteelsales_currentmonth[Quantity],meghsteelsales_currentmonth[Length Bucket],Table29[[#This Row],[Bucket CTL]])/1000,0)</f>
        <v/>
      </c>
      <c r="AG11" t="n">
        <v>0</v>
      </c>
    </row>
    <row r="12">
      <c r="A12" s="147" t="inlineStr">
        <is>
          <t>HMSI</t>
        </is>
      </c>
      <c r="B12" s="265" t="n">
        <v>943210</v>
      </c>
      <c r="C12" s="265" t="inlineStr">
        <is>
          <t>BADVE</t>
        </is>
      </c>
      <c r="D12" s="147" t="inlineStr">
        <is>
          <t>ERW2</t>
        </is>
      </c>
      <c r="E12" s="147" t="inlineStr">
        <is>
          <t>NON FIN</t>
        </is>
      </c>
      <c r="F12" s="147" t="inlineStr">
        <is>
          <t>ERW2</t>
        </is>
      </c>
      <c r="G12" s="148" t="n">
        <v>19.05</v>
      </c>
      <c r="H12" s="148" t="n"/>
      <c r="I12" s="148" t="n">
        <v>1.4</v>
      </c>
      <c r="J12" s="147" t="n">
        <v>6000</v>
      </c>
      <c r="K12" s="147" t="n">
        <v>6</v>
      </c>
      <c r="L12" s="147">
        <f>_xlfn.CONCAT(G12,I12,K12,F12,E12)</f>
        <v/>
      </c>
      <c r="M12" s="151" t="inlineStr">
        <is>
          <t>056</t>
        </is>
      </c>
      <c r="N12" s="149" t="n">
        <v>3891285</v>
      </c>
      <c r="O12" s="150" t="inlineStr">
        <is>
          <t>No Key</t>
        </is>
      </c>
      <c r="P12" s="150" t="inlineStr">
        <is>
          <t>No Key</t>
        </is>
      </c>
      <c r="Q12" s="150" t="n">
        <v>0</v>
      </c>
      <c r="R12" s="150" t="inlineStr">
        <is>
          <t>056</t>
        </is>
      </c>
      <c r="S12" s="150" t="n">
        <v>3891285</v>
      </c>
      <c r="T12" s="19" t="n">
        <v>5</v>
      </c>
      <c r="U12" s="147" t="n">
        <v>0</v>
      </c>
      <c r="V12" s="147" t="n">
        <v>0</v>
      </c>
      <c r="W12" s="147" t="n"/>
      <c r="X12" s="147">
        <f>V12-U12</f>
        <v/>
      </c>
      <c r="Y12" s="147" t="n">
        <v>17</v>
      </c>
      <c r="Z12" s="147">
        <f>SUMIFS(orderbook[Bal to Desp],orderbook[key],Table29[[#This Row],[Key]])</f>
        <v/>
      </c>
      <c r="AA12" s="500">
        <f>Table29[[#This Row],[order logg ]]-Table29[[#This Row],[check from 17092025 orderbook sent by ashish]]</f>
        <v/>
      </c>
      <c r="AB12" s="147">
        <f>X12+Y12</f>
        <v/>
      </c>
      <c r="AC12" s="19">
        <f>T12-AB12</f>
        <v/>
      </c>
      <c r="AD12" s="387">
        <f>IF(AC12&gt;0,AC12,0)*150%</f>
        <v/>
      </c>
      <c r="AE12" s="147">
        <f>ROUND(SUMIFS(meghsteelsales_previousmonth[Quantity],meghsteelsales_previousmonth[Length Bucket],Table29[[#This Row],[Bucket CTL]])/1000,0)</f>
        <v/>
      </c>
      <c r="AF12" s="147">
        <f>ROUND(SUMIFS(meghsteelsales_currentmonth[Quantity],meghsteelsales_currentmonth[Length Bucket],Table29[[#This Row],[Bucket CTL]])/1000,0)</f>
        <v/>
      </c>
      <c r="AG12" t="n">
        <v>0</v>
      </c>
    </row>
    <row r="13">
      <c r="A13" s="147" t="inlineStr">
        <is>
          <t>TVS</t>
        </is>
      </c>
      <c r="B13" s="491" t="n">
        <v>943209</v>
      </c>
      <c r="C13" s="265" t="inlineStr">
        <is>
          <t>RUCHA</t>
        </is>
      </c>
      <c r="D13" s="153" t="inlineStr">
        <is>
          <t>ERW1</t>
        </is>
      </c>
      <c r="E13" s="147" t="inlineStr">
        <is>
          <t>NON FIN</t>
        </is>
      </c>
      <c r="F13" s="147" t="inlineStr">
        <is>
          <t>ERW</t>
        </is>
      </c>
      <c r="G13" s="154" t="n">
        <v>19.05</v>
      </c>
      <c r="H13" s="154" t="n"/>
      <c r="I13" s="154" t="n">
        <v>2</v>
      </c>
      <c r="J13" s="155" t="n">
        <v>5800</v>
      </c>
      <c r="K13" s="147" t="n">
        <v>5.8</v>
      </c>
      <c r="L13" s="147">
        <f>_xlfn.CONCAT(G13,I13,K13,F13,E13)</f>
        <v/>
      </c>
      <c r="M13" s="151" t="n"/>
      <c r="N13" s="150" t="n"/>
      <c r="O13" s="150" t="inlineStr">
        <is>
          <t>19.05-0-2-ERW 1-PE</t>
        </is>
      </c>
      <c r="P13" s="150" t="inlineStr">
        <is>
          <t>19.05-0-2-ERW 1-PE-5.8</t>
        </is>
      </c>
      <c r="Q13" s="150" t="inlineStr">
        <is>
          <t>Value Added</t>
        </is>
      </c>
      <c r="R13" s="150" t="inlineStr">
        <is>
          <t>056</t>
        </is>
      </c>
      <c r="S13" s="150" t="n">
        <v>1940292</v>
      </c>
      <c r="T13" s="19" t="n">
        <v>35</v>
      </c>
      <c r="U13" s="147" t="n">
        <v>20</v>
      </c>
      <c r="V13" s="147" t="n">
        <v>50</v>
      </c>
      <c r="W13" s="147" t="n"/>
      <c r="X13" s="147">
        <f>V13-U13</f>
        <v/>
      </c>
      <c r="Y13" s="147" t="n">
        <v>4</v>
      </c>
      <c r="Z13" s="147">
        <f>SUMIFS(orderbook[Bal to Desp],orderbook[key],Table29[[#This Row],[Key]])</f>
        <v/>
      </c>
      <c r="AA13" s="500">
        <f>Table29[[#This Row],[order logg ]]-Table29[[#This Row],[check from 17092025 orderbook sent by ashish]]</f>
        <v/>
      </c>
      <c r="AB13" s="147">
        <f>X13+Y13</f>
        <v/>
      </c>
      <c r="AC13" s="19">
        <f>T13-AB13</f>
        <v/>
      </c>
      <c r="AD13" s="387">
        <f>IF(AC13&gt;0,AC13,0)*150%+4</f>
        <v/>
      </c>
      <c r="AE13" s="147">
        <f>ROUND(SUMIFS(meghsteelsales_previousmonth[Quantity],meghsteelsales_previousmonth[Length Bucket],Table29[[#This Row],[Bucket CTL]])/1000,0)</f>
        <v/>
      </c>
      <c r="AF13" s="147">
        <f>ROUND(SUMIFS(meghsteelsales_currentmonth[Quantity],meghsteelsales_currentmonth[Length Bucket],Table29[[#This Row],[Bucket CTL]])/1000,0)</f>
        <v/>
      </c>
      <c r="AG13" t="n">
        <v>0</v>
      </c>
    </row>
    <row r="14">
      <c r="A14" s="147" t="inlineStr">
        <is>
          <t>TVS</t>
        </is>
      </c>
      <c r="B14" s="491" t="n">
        <v>943209</v>
      </c>
      <c r="C14" s="265" t="inlineStr">
        <is>
          <t>RUCHA,METALMAN</t>
        </is>
      </c>
      <c r="D14" s="153" t="inlineStr">
        <is>
          <t>ERW1</t>
        </is>
      </c>
      <c r="E14" s="147" t="inlineStr">
        <is>
          <t>NON FIN</t>
        </is>
      </c>
      <c r="F14" s="147" t="inlineStr">
        <is>
          <t>ERW</t>
        </is>
      </c>
      <c r="G14" s="148" t="n">
        <v>19.05</v>
      </c>
      <c r="H14" s="148" t="n"/>
      <c r="I14" s="148" t="n">
        <v>2.3</v>
      </c>
      <c r="J14" s="147" t="n">
        <v>7000</v>
      </c>
      <c r="K14" s="147" t="n">
        <v>7</v>
      </c>
      <c r="L14" s="147">
        <f>_xlfn.CONCAT(G14,I14,K14,F14,E14)</f>
        <v/>
      </c>
      <c r="M14" s="151" t="inlineStr">
        <is>
          <t>056</t>
        </is>
      </c>
      <c r="N14" s="150" t="n">
        <v>3500582</v>
      </c>
      <c r="O14" s="150" t="inlineStr">
        <is>
          <t>19.05-0-2.3-ERW 1-PE</t>
        </is>
      </c>
      <c r="P14" s="150" t="inlineStr">
        <is>
          <t>19.05-0-2.3-ERW 1-PE-7</t>
        </is>
      </c>
      <c r="Q14" s="150" t="n">
        <v>0</v>
      </c>
      <c r="R14" s="150" t="inlineStr">
        <is>
          <t>056</t>
        </is>
      </c>
      <c r="S14" s="150" t="n">
        <v>3500582</v>
      </c>
      <c r="T14" s="19" t="n">
        <v>20</v>
      </c>
      <c r="U14" s="147" t="n">
        <v>7</v>
      </c>
      <c r="V14" s="147" t="n">
        <v>7</v>
      </c>
      <c r="W14" s="147" t="n"/>
      <c r="X14" s="147">
        <f>V14-U14</f>
        <v/>
      </c>
      <c r="Y14" s="147" t="n">
        <v>1</v>
      </c>
      <c r="Z14" s="147">
        <f>SUMIFS(orderbook[Bal to Desp],orderbook[key],Table29[[#This Row],[Key]])</f>
        <v/>
      </c>
      <c r="AA14" s="500">
        <f>Table29[[#This Row],[order logg ]]-Table29[[#This Row],[check from 17092025 orderbook sent by ashish]]</f>
        <v/>
      </c>
      <c r="AB14" s="147">
        <f>X14+Y14</f>
        <v/>
      </c>
      <c r="AC14" s="19">
        <f>T14-AB14</f>
        <v/>
      </c>
      <c r="AD14" s="387" t="n">
        <v>0</v>
      </c>
      <c r="AE14" s="147">
        <f>ROUND(SUMIFS(meghsteelsales_previousmonth[Quantity],meghsteelsales_previousmonth[Length Bucket],Table29[[#This Row],[Bucket CTL]])/1000,0)</f>
        <v/>
      </c>
      <c r="AF14" s="147">
        <f>ROUND(SUMIFS(meghsteelsales_currentmonth[Quantity],meghsteelsales_currentmonth[Length Bucket],Table29[[#This Row],[Bucket CTL]])/1000,0)</f>
        <v/>
      </c>
      <c r="AG14" t="n">
        <v>0</v>
      </c>
    </row>
    <row r="15">
      <c r="A15" s="147" t="inlineStr">
        <is>
          <t>TVS</t>
        </is>
      </c>
      <c r="B15" s="491" t="n">
        <v>943209</v>
      </c>
      <c r="C15" s="265" t="inlineStr">
        <is>
          <t>RUCHA</t>
        </is>
      </c>
      <c r="D15" s="147" t="inlineStr">
        <is>
          <t>ERW1</t>
        </is>
      </c>
      <c r="E15" s="147" t="inlineStr">
        <is>
          <t>NON FIN</t>
        </is>
      </c>
      <c r="F15" s="147" t="inlineStr">
        <is>
          <t>ERW</t>
        </is>
      </c>
      <c r="G15" s="148" t="n">
        <v>21.4</v>
      </c>
      <c r="H15" s="148" t="n"/>
      <c r="I15" s="148" t="n">
        <v>1.6</v>
      </c>
      <c r="J15" s="147" t="n">
        <v>6000</v>
      </c>
      <c r="K15" s="147" t="n">
        <v>6</v>
      </c>
      <c r="L15" s="147">
        <f>_xlfn.CONCAT(G15,I15,K15,F15,E15)</f>
        <v/>
      </c>
      <c r="M15" s="149" t="n"/>
      <c r="N15" s="150" t="n">
        <v>3219710</v>
      </c>
      <c r="O15" s="150" t="inlineStr">
        <is>
          <t>21.4-0-1.6-ERW 1-PE</t>
        </is>
      </c>
      <c r="P15" s="150" t="inlineStr">
        <is>
          <t>21.4-0-1.6-ERW 1-PE-6</t>
        </is>
      </c>
      <c r="Q15" s="150" t="n">
        <v>0</v>
      </c>
      <c r="R15" s="150" t="inlineStr">
        <is>
          <t>0789</t>
        </is>
      </c>
      <c r="S15" s="150" t="n">
        <v>3219710</v>
      </c>
      <c r="T15" s="19" t="n">
        <v>10</v>
      </c>
      <c r="U15" s="147" t="n">
        <v>2</v>
      </c>
      <c r="V15" s="147" t="n">
        <v>5</v>
      </c>
      <c r="W15" s="147" t="n"/>
      <c r="X15" s="147">
        <f>V15-U15</f>
        <v/>
      </c>
      <c r="Y15" s="147" t="n">
        <v>3</v>
      </c>
      <c r="Z15" s="147">
        <f>SUMIFS(orderbook[Bal to Desp],orderbook[key],Table29[[#This Row],[Key]])</f>
        <v/>
      </c>
      <c r="AA15" s="500">
        <f>Table29[[#This Row],[order logg ]]-Table29[[#This Row],[check from 17092025 orderbook sent by ashish]]</f>
        <v/>
      </c>
      <c r="AB15" s="147">
        <f>X15+Y15</f>
        <v/>
      </c>
      <c r="AC15" s="19">
        <f>T15-AB15</f>
        <v/>
      </c>
      <c r="AD15" s="387">
        <f>IF(AC15&gt;0,AC15,0)*150%</f>
        <v/>
      </c>
      <c r="AE15" s="147">
        <f>ROUND(SUMIFS(meghsteelsales_previousmonth[Quantity],meghsteelsales_previousmonth[Length Bucket],Table29[[#This Row],[Bucket CTL]])/1000,0)</f>
        <v/>
      </c>
      <c r="AF15" s="147">
        <f>ROUND(SUMIFS(meghsteelsales_currentmonth[Quantity],meghsteelsales_currentmonth[Length Bucket],Table29[[#This Row],[Bucket CTL]])/1000,0)</f>
        <v/>
      </c>
      <c r="AG15" t="n">
        <v>0</v>
      </c>
    </row>
    <row r="16">
      <c r="A16" s="147" t="inlineStr">
        <is>
          <t>TVS</t>
        </is>
      </c>
      <c r="B16" s="491" t="n">
        <v>943209</v>
      </c>
      <c r="C16" s="265" t="inlineStr">
        <is>
          <t>RUCHA</t>
        </is>
      </c>
      <c r="D16" s="153" t="inlineStr">
        <is>
          <t>ERW1</t>
        </is>
      </c>
      <c r="E16" s="147" t="inlineStr">
        <is>
          <t>NON FIN</t>
        </is>
      </c>
      <c r="F16" s="147" t="inlineStr">
        <is>
          <t>ERW</t>
        </is>
      </c>
      <c r="G16" s="148" t="n">
        <v>22.2</v>
      </c>
      <c r="H16" s="148" t="n"/>
      <c r="I16" s="148" t="n">
        <v>1.2</v>
      </c>
      <c r="J16" s="147" t="n">
        <v>5870</v>
      </c>
      <c r="K16" s="147" t="n">
        <v>5.87</v>
      </c>
      <c r="L16" s="147">
        <f>_xlfn.CONCAT(G16,I16,K16,F16,E16)</f>
        <v/>
      </c>
      <c r="M16" s="151" t="inlineStr">
        <is>
          <t>056</t>
        </is>
      </c>
      <c r="N16" s="385" t="n">
        <v>3882110</v>
      </c>
      <c r="O16" s="150" t="inlineStr">
        <is>
          <t>22.23-0-1.2-ERW 1-PE</t>
        </is>
      </c>
      <c r="P16" s="150" t="inlineStr">
        <is>
          <t>22.23-0-1.2-ERW 1-PE-5.87</t>
        </is>
      </c>
      <c r="Q16" s="150" t="inlineStr">
        <is>
          <t>Value Added</t>
        </is>
      </c>
      <c r="R16" s="150" t="inlineStr">
        <is>
          <t>056</t>
        </is>
      </c>
      <c r="S16" s="150" t="n">
        <v>3882110</v>
      </c>
      <c r="T16" s="19" t="n">
        <v>20</v>
      </c>
      <c r="U16" s="147" t="n">
        <v>10</v>
      </c>
      <c r="V16" s="147" t="n">
        <v>17</v>
      </c>
      <c r="W16" s="147" t="n">
        <v>15</v>
      </c>
      <c r="X16" s="147">
        <f>V16-U16</f>
        <v/>
      </c>
      <c r="Y16" s="147" t="n">
        <v>16</v>
      </c>
      <c r="Z16" s="147">
        <f>SUMIFS(orderbook[Bal to Desp],orderbook[key],Table29[[#This Row],[Key]])</f>
        <v/>
      </c>
      <c r="AA16" s="500">
        <f>Table29[[#This Row],[order logg ]]-Table29[[#This Row],[check from 17092025 orderbook sent by ashish]]</f>
        <v/>
      </c>
      <c r="AB16" s="147">
        <f>X16+Y16</f>
        <v/>
      </c>
      <c r="AC16" s="19">
        <f>T16-AB16</f>
        <v/>
      </c>
      <c r="AD16" s="387">
        <f>IF(AC16&gt;0,AC16,0)*150%+6</f>
        <v/>
      </c>
      <c r="AE16" s="147">
        <f>ROUND(SUMIFS(meghsteelsales_previousmonth[Quantity],meghsteelsales_previousmonth[Length Bucket],Table29[[#This Row],[Bucket CTL]])/1000,0)</f>
        <v/>
      </c>
      <c r="AF16" s="147">
        <f>ROUND(SUMIFS(meghsteelsales_currentmonth[Quantity],meghsteelsales_currentmonth[Length Bucket],Table29[[#This Row],[Bucket CTL]])/1000,0)</f>
        <v/>
      </c>
      <c r="AG16" t="n">
        <v>0</v>
      </c>
    </row>
    <row r="17">
      <c r="A17" s="147" t="inlineStr">
        <is>
          <t>HMSI</t>
        </is>
      </c>
      <c r="B17" s="265" t="n">
        <v>943210</v>
      </c>
      <c r="C17" s="265" t="inlineStr">
        <is>
          <t>BADVE</t>
        </is>
      </c>
      <c r="D17" s="153" t="inlineStr">
        <is>
          <t>ERW2</t>
        </is>
      </c>
      <c r="E17" s="147" t="inlineStr">
        <is>
          <t>NON FIN</t>
        </is>
      </c>
      <c r="F17" s="147" t="inlineStr">
        <is>
          <t>ERW-2</t>
        </is>
      </c>
      <c r="G17" s="148" t="n">
        <v>22.2</v>
      </c>
      <c r="H17" s="148" t="n"/>
      <c r="I17" s="148" t="n">
        <v>1.4</v>
      </c>
      <c r="J17" s="147" t="n">
        <v>6000</v>
      </c>
      <c r="K17" s="147" t="n">
        <v>6</v>
      </c>
      <c r="L17" s="147">
        <f>_xlfn.CONCAT(G17,I17,K17,F17,E17)</f>
        <v/>
      </c>
      <c r="M17" s="151" t="inlineStr">
        <is>
          <t>056</t>
        </is>
      </c>
      <c r="N17" s="150" t="n">
        <v>3829175</v>
      </c>
      <c r="O17" s="150" t="inlineStr">
        <is>
          <t>No Key</t>
        </is>
      </c>
      <c r="P17" s="150" t="inlineStr">
        <is>
          <t>No Key</t>
        </is>
      </c>
      <c r="Q17" s="150" t="n">
        <v>0</v>
      </c>
      <c r="R17" s="150" t="inlineStr">
        <is>
          <t>056</t>
        </is>
      </c>
      <c r="S17" s="150" t="n">
        <v>3829175</v>
      </c>
      <c r="T17" s="19" t="n">
        <v>5</v>
      </c>
      <c r="U17" s="147" t="n">
        <v>0</v>
      </c>
      <c r="V17" s="147" t="n">
        <v>0</v>
      </c>
      <c r="W17" s="147" t="n"/>
      <c r="X17" s="147">
        <f>V17-U17</f>
        <v/>
      </c>
      <c r="Y17" s="147" t="n">
        <v>5.5</v>
      </c>
      <c r="Z17" s="147">
        <f>SUMIFS(orderbook[Bal to Desp],orderbook[key],Table29[[#This Row],[Key]])</f>
        <v/>
      </c>
      <c r="AA17" s="147">
        <f>Table29[[#This Row],[order logg ]]-Table29[[#This Row],[check from 17092025 orderbook sent by ashish]]</f>
        <v/>
      </c>
      <c r="AB17" s="147">
        <f>X17+Y17</f>
        <v/>
      </c>
      <c r="AC17" s="19">
        <f>T17-AB17</f>
        <v/>
      </c>
      <c r="AD17" s="387">
        <f>IF(AC17&gt;0,AC17,0)*150%</f>
        <v/>
      </c>
      <c r="AE17" s="147">
        <f>ROUND(SUMIFS(meghsteelsales_previousmonth[Quantity],meghsteelsales_previousmonth[Length Bucket],Table29[[#This Row],[Bucket CTL]])/1000,0)</f>
        <v/>
      </c>
      <c r="AF17" s="147">
        <f>ROUND(SUMIFS(meghsteelsales_currentmonth[Quantity],meghsteelsales_currentmonth[Length Bucket],Table29[[#This Row],[Bucket CTL]])/1000,0)</f>
        <v/>
      </c>
      <c r="AG17" t="n">
        <v>0</v>
      </c>
    </row>
    <row r="18">
      <c r="A18" s="147" t="inlineStr">
        <is>
          <t>TVS</t>
        </is>
      </c>
      <c r="B18" s="491" t="n">
        <v>943209</v>
      </c>
      <c r="C18" s="265" t="inlineStr">
        <is>
          <t>RUCHA</t>
        </is>
      </c>
      <c r="D18" s="153" t="inlineStr">
        <is>
          <t>ERW1</t>
        </is>
      </c>
      <c r="E18" s="147" t="inlineStr">
        <is>
          <t>NON FIN</t>
        </is>
      </c>
      <c r="F18" s="147" t="inlineStr">
        <is>
          <t>ERW</t>
        </is>
      </c>
      <c r="G18" s="148" t="n">
        <v>22.2</v>
      </c>
      <c r="H18" s="148" t="n"/>
      <c r="I18" s="148" t="n">
        <v>1.6</v>
      </c>
      <c r="J18" s="147" t="n">
        <v>5270</v>
      </c>
      <c r="K18" s="147" t="n">
        <v>5.27</v>
      </c>
      <c r="L18" s="147">
        <f>_xlfn.CONCAT(G18,I18,K18,F18,E18)</f>
        <v/>
      </c>
      <c r="M18" s="151" t="n"/>
      <c r="N18" s="150" t="n"/>
      <c r="O18" s="150" t="inlineStr">
        <is>
          <t>22.23-0-1.6-ERW 1-PE</t>
        </is>
      </c>
      <c r="P18" s="150" t="inlineStr">
        <is>
          <t>22.23-0-1.6-ERW 1-PE-5.27</t>
        </is>
      </c>
      <c r="Q18" s="150" t="inlineStr">
        <is>
          <t>Value Added</t>
        </is>
      </c>
      <c r="R18" s="150" t="inlineStr">
        <is>
          <t>0789</t>
        </is>
      </c>
      <c r="S18" s="150" t="n">
        <v>3575894</v>
      </c>
      <c r="T18" s="19" t="n">
        <v>25</v>
      </c>
      <c r="U18" s="147" t="n">
        <v>0</v>
      </c>
      <c r="V18" s="147" t="n">
        <v>0</v>
      </c>
      <c r="W18" s="147" t="n"/>
      <c r="X18" s="147">
        <f>V18-U18</f>
        <v/>
      </c>
      <c r="Y18" s="147" t="n">
        <v>40</v>
      </c>
      <c r="Z18" s="147">
        <f>SUMIFS(orderbook[Bal to Desp],orderbook[key],Table29[[#This Row],[Key]])</f>
        <v/>
      </c>
      <c r="AA18" s="500">
        <f>Table29[[#This Row],[order logg ]]-Table29[[#This Row],[check from 17092025 orderbook sent by ashish]]</f>
        <v/>
      </c>
      <c r="AB18" s="147">
        <f>X18+Y18</f>
        <v/>
      </c>
      <c r="AC18" s="19">
        <f>T18-AB18</f>
        <v/>
      </c>
      <c r="AD18" s="387" t="n">
        <v>40</v>
      </c>
      <c r="AE18" s="147">
        <f>ROUND(SUMIFS(meghsteelsales_previousmonth[Quantity],meghsteelsales_previousmonth[Length Bucket],Table29[[#This Row],[Bucket CTL]])/1000,0)</f>
        <v/>
      </c>
      <c r="AF18" s="147">
        <f>ROUND(SUMIFS(meghsteelsales_currentmonth[Quantity],meghsteelsales_currentmonth[Length Bucket],Table29[[#This Row],[Bucket CTL]])/1000,0)</f>
        <v/>
      </c>
      <c r="AG18" t="n">
        <v>56.6</v>
      </c>
    </row>
    <row r="19">
      <c r="A19" s="147" t="inlineStr">
        <is>
          <t>TVS</t>
        </is>
      </c>
      <c r="B19" s="491" t="n">
        <v>943209</v>
      </c>
      <c r="C19" s="265" t="inlineStr">
        <is>
          <t>RUCHA</t>
        </is>
      </c>
      <c r="D19" s="153" t="inlineStr">
        <is>
          <t>ERW1</t>
        </is>
      </c>
      <c r="E19" s="147" t="inlineStr">
        <is>
          <t>NON FIN</t>
        </is>
      </c>
      <c r="F19" s="147" t="inlineStr">
        <is>
          <t>ERW</t>
        </is>
      </c>
      <c r="G19" s="148" t="n">
        <v>22.2</v>
      </c>
      <c r="H19" s="148" t="n"/>
      <c r="I19" s="148" t="n">
        <v>1.6</v>
      </c>
      <c r="J19" s="147" t="n">
        <v>5670</v>
      </c>
      <c r="K19" s="147" t="n">
        <v>5.67</v>
      </c>
      <c r="L19" s="147">
        <f>_xlfn.CONCAT(G19,I19,K19,F19,E19)</f>
        <v/>
      </c>
      <c r="M19" s="151" t="n"/>
      <c r="N19" s="150" t="n"/>
      <c r="O19" s="150" t="inlineStr">
        <is>
          <t>22.23-0-1.6-ERW 1-PE</t>
        </is>
      </c>
      <c r="P19" s="150" t="inlineStr">
        <is>
          <t>22.23-0-1.6-ERW 1-PE-5.67</t>
        </is>
      </c>
      <c r="Q19" s="150" t="inlineStr">
        <is>
          <t>Value Added</t>
        </is>
      </c>
      <c r="R19" s="501" t="inlineStr">
        <is>
          <t>0789</t>
        </is>
      </c>
      <c r="S19" s="150" t="n">
        <v>3570690</v>
      </c>
      <c r="T19" s="19" t="n">
        <v>40</v>
      </c>
      <c r="U19" s="147" t="n">
        <v>20</v>
      </c>
      <c r="V19" s="147" t="n">
        <v>30</v>
      </c>
      <c r="W19" s="147" t="n">
        <v>17</v>
      </c>
      <c r="X19" s="147">
        <f>V19-U19</f>
        <v/>
      </c>
      <c r="Y19" s="147" t="n">
        <v>20</v>
      </c>
      <c r="Z19" s="147">
        <f>SUMIFS(orderbook[Bal to Desp],orderbook[key],Table29[[#This Row],[Key]])</f>
        <v/>
      </c>
      <c r="AA19" s="500">
        <f>Table29[[#This Row],[order logg ]]-Table29[[#This Row],[check from 17092025 orderbook sent by ashish]]</f>
        <v/>
      </c>
      <c r="AB19" s="147">
        <f>X19+Y19</f>
        <v/>
      </c>
      <c r="AC19" s="19">
        <f>T19-AB19</f>
        <v/>
      </c>
      <c r="AD19" s="387">
        <f>IF(AC19&gt;0,AC19,0)*150%+20</f>
        <v/>
      </c>
      <c r="AE19" s="147">
        <f>ROUND(SUMIFS(meghsteelsales_previousmonth[Quantity],meghsteelsales_previousmonth[Length Bucket],Table29[[#This Row],[Bucket CTL]])/1000,0)</f>
        <v/>
      </c>
      <c r="AF19" s="147">
        <f>ROUND(SUMIFS(meghsteelsales_currentmonth[Quantity],meghsteelsales_currentmonth[Length Bucket],Table29[[#This Row],[Bucket CTL]])/1000,0)</f>
        <v/>
      </c>
      <c r="AG19" t="n">
        <v>0</v>
      </c>
    </row>
    <row r="20">
      <c r="A20" s="147" t="inlineStr">
        <is>
          <t>TVS</t>
        </is>
      </c>
      <c r="B20" s="491" t="n">
        <v>943209</v>
      </c>
      <c r="C20" s="265" t="inlineStr">
        <is>
          <t>RUCHA</t>
        </is>
      </c>
      <c r="D20" s="155" t="inlineStr">
        <is>
          <t>ERW1</t>
        </is>
      </c>
      <c r="E20" s="147" t="inlineStr">
        <is>
          <t>NON FIN</t>
        </is>
      </c>
      <c r="F20" s="147" t="inlineStr">
        <is>
          <t>ERW</t>
        </is>
      </c>
      <c r="G20" s="154" t="n">
        <v>22.2</v>
      </c>
      <c r="H20" s="154" t="n"/>
      <c r="I20" s="154" t="n">
        <v>2</v>
      </c>
      <c r="J20" s="155" t="n">
        <v>5950</v>
      </c>
      <c r="K20" s="147" t="n">
        <v>5.95</v>
      </c>
      <c r="L20" s="147">
        <f>_xlfn.CONCAT(G20,I20,K20,F20,E20)</f>
        <v/>
      </c>
      <c r="M20" s="151" t="inlineStr">
        <is>
          <t>056</t>
        </is>
      </c>
      <c r="N20" s="385" t="n">
        <v>3905466</v>
      </c>
      <c r="O20" s="150" t="inlineStr">
        <is>
          <t>22.23-0-2-ERW 1-PE</t>
        </is>
      </c>
      <c r="P20" s="150" t="inlineStr">
        <is>
          <t>22.23-0-2-ERW 1-PE-5.951</t>
        </is>
      </c>
      <c r="Q20" s="150" t="inlineStr">
        <is>
          <t>Value Added</t>
        </is>
      </c>
      <c r="R20" s="150" t="inlineStr">
        <is>
          <t>056</t>
        </is>
      </c>
      <c r="S20" s="150" t="n">
        <v>3905466</v>
      </c>
      <c r="T20" s="19" t="n">
        <v>50</v>
      </c>
      <c r="U20" s="147" t="n">
        <v>7</v>
      </c>
      <c r="V20" s="147" t="n">
        <v>7</v>
      </c>
      <c r="W20" s="147" t="n">
        <v>19</v>
      </c>
      <c r="X20" s="147">
        <f>V20-U20</f>
        <v/>
      </c>
      <c r="Y20" s="147" t="n">
        <v>87</v>
      </c>
      <c r="Z20" s="147">
        <f>SUMIFS(orderbook[Bal to Desp],orderbook[key],Table29[[#This Row],[Key]])</f>
        <v/>
      </c>
      <c r="AA20" s="500">
        <f>Table29[[#This Row],[order logg ]]-Table29[[#This Row],[check from 17092025 orderbook sent by ashish]]</f>
        <v/>
      </c>
      <c r="AB20" s="147">
        <f>X20+Y20</f>
        <v/>
      </c>
      <c r="AC20" s="19">
        <f>T20-AB20</f>
        <v/>
      </c>
      <c r="AD20" s="387">
        <f>IF(AC20&gt;0,AC20,0)*150%</f>
        <v/>
      </c>
      <c r="AE20" s="147">
        <f>ROUND(SUMIFS(meghsteelsales_previousmonth[Quantity],meghsteelsales_previousmonth[Length Bucket],Table29[[#This Row],[Bucket CTL]])/1000,0)</f>
        <v/>
      </c>
      <c r="AF20" s="147">
        <f>ROUND(SUMIFS(meghsteelsales_currentmonth[Quantity],meghsteelsales_currentmonth[Length Bucket],Table29[[#This Row],[Bucket CTL]])/1000,0)</f>
        <v/>
      </c>
      <c r="AG20" t="n">
        <v>0</v>
      </c>
    </row>
    <row r="21">
      <c r="A21" s="147" t="inlineStr">
        <is>
          <t>TVS</t>
        </is>
      </c>
      <c r="B21" s="491" t="n">
        <v>943209</v>
      </c>
      <c r="C21" s="265" t="inlineStr">
        <is>
          <t>RUCHA</t>
        </is>
      </c>
      <c r="D21" s="155" t="inlineStr">
        <is>
          <t>ERW1</t>
        </is>
      </c>
      <c r="E21" s="147" t="inlineStr">
        <is>
          <t>NON FIN</t>
        </is>
      </c>
      <c r="F21" s="147" t="inlineStr">
        <is>
          <t>ERW</t>
        </is>
      </c>
      <c r="G21" s="154" t="n">
        <v>22.2</v>
      </c>
      <c r="H21" s="154" t="n"/>
      <c r="I21" s="154" t="n">
        <v>2</v>
      </c>
      <c r="J21" s="155" t="n">
        <v>5100</v>
      </c>
      <c r="K21" s="147" t="n">
        <v>5.1</v>
      </c>
      <c r="L21" s="147">
        <f>_xlfn.CONCAT(G21,I21,K21,F21,E21)</f>
        <v/>
      </c>
      <c r="M21" s="151" t="inlineStr">
        <is>
          <t>056</t>
        </is>
      </c>
      <c r="N21" s="150" t="n">
        <v>3500554</v>
      </c>
      <c r="O21" s="150" t="inlineStr">
        <is>
          <t>22.23-0-2-ERW 1-PE</t>
        </is>
      </c>
      <c r="P21" s="150" t="inlineStr">
        <is>
          <t>22.23-0-2-ERW 1-PE-5.1</t>
        </is>
      </c>
      <c r="Q21" s="150" t="n">
        <v>0</v>
      </c>
      <c r="R21" s="150" t="inlineStr">
        <is>
          <t>056</t>
        </is>
      </c>
      <c r="S21" s="150" t="n">
        <v>3500554</v>
      </c>
      <c r="T21" s="19" t="n">
        <v>20</v>
      </c>
      <c r="U21" s="147" t="n">
        <v>0</v>
      </c>
      <c r="V21" s="147" t="n">
        <v>0</v>
      </c>
      <c r="W21" s="147" t="n">
        <v>12</v>
      </c>
      <c r="X21" s="147">
        <f>V21-U21</f>
        <v/>
      </c>
      <c r="Y21" s="147" t="n">
        <v>37</v>
      </c>
      <c r="Z21" s="147">
        <f>SUMIFS(orderbook[Bal to Desp],orderbook[key],Table29[[#This Row],[Key]])</f>
        <v/>
      </c>
      <c r="AA21" s="500">
        <f>Table29[[#This Row],[order logg ]]-Table29[[#This Row],[check from 17092025 orderbook sent by ashish]]</f>
        <v/>
      </c>
      <c r="AB21" s="147">
        <f>X21+Y21</f>
        <v/>
      </c>
      <c r="AC21" s="19">
        <f>T21-AB21</f>
        <v/>
      </c>
      <c r="AD21" s="387">
        <f>IF(AC21&gt;0,AC21,0)*150%+7</f>
        <v/>
      </c>
      <c r="AE21" s="147">
        <f>ROUND(SUMIFS(meghsteelsales_previousmonth[Quantity],meghsteelsales_previousmonth[Length Bucket],Table29[[#This Row],[Bucket CTL]])/1000,0)</f>
        <v/>
      </c>
      <c r="AF21" s="147">
        <f>ROUND(SUMIFS(meghsteelsales_currentmonth[Quantity],meghsteelsales_currentmonth[Length Bucket],Table29[[#This Row],[Bucket CTL]])/1000,0)</f>
        <v/>
      </c>
      <c r="AG21" t="n">
        <v>0</v>
      </c>
    </row>
    <row r="22">
      <c r="A22" s="147" t="inlineStr">
        <is>
          <t>TVS</t>
        </is>
      </c>
      <c r="B22" s="491" t="n">
        <v>943209</v>
      </c>
      <c r="C22" s="265" t="inlineStr">
        <is>
          <t>RUCHA</t>
        </is>
      </c>
      <c r="D22" s="147" t="inlineStr">
        <is>
          <t>ERW2</t>
        </is>
      </c>
      <c r="E22" s="147" t="inlineStr">
        <is>
          <t>FIN CUT</t>
        </is>
      </c>
      <c r="F22" s="147" t="inlineStr">
        <is>
          <t>HST</t>
        </is>
      </c>
      <c r="G22" s="148" t="n">
        <v>22.2</v>
      </c>
      <c r="H22" s="148" t="n"/>
      <c r="I22" s="148" t="n">
        <v>2</v>
      </c>
      <c r="J22" s="147" t="n">
        <v>6000</v>
      </c>
      <c r="K22" s="147" t="n">
        <v>6000</v>
      </c>
      <c r="L22" s="147">
        <f>_xlfn.CONCAT(G22,I22,K22,F22,E22)</f>
        <v/>
      </c>
      <c r="M22" s="151" t="inlineStr">
        <is>
          <t>056</t>
        </is>
      </c>
      <c r="N22" s="150" t="n"/>
      <c r="O22" s="150" t="inlineStr">
        <is>
          <t>22.23-0-2-ERW 2 MAHS-FC</t>
        </is>
      </c>
      <c r="P22" s="150" t="inlineStr">
        <is>
          <t>22.23-0-2-ERW 2 MAHS-FC-6.001</t>
        </is>
      </c>
      <c r="Q22" s="150" t="inlineStr">
        <is>
          <t>Value Added</t>
        </is>
      </c>
      <c r="R22" s="150" t="inlineStr">
        <is>
          <t>056</t>
        </is>
      </c>
      <c r="S22" s="150" t="n">
        <v>3502494</v>
      </c>
      <c r="T22" s="19" t="n">
        <v>50</v>
      </c>
      <c r="U22" s="147" t="n">
        <v>0</v>
      </c>
      <c r="V22" s="147" t="n">
        <v>48</v>
      </c>
      <c r="W22" s="147" t="n"/>
      <c r="X22" s="147">
        <f>V22-U22</f>
        <v/>
      </c>
      <c r="Y22" s="147" t="n">
        <v>34</v>
      </c>
      <c r="Z22" s="147">
        <f>SUMIFS(orderbook[Bal to Desp],orderbook[key],Table29[[#This Row],[Key]])</f>
        <v/>
      </c>
      <c r="AA22" s="500">
        <f>Table29[[#This Row],[order logg ]]-Table29[[#This Row],[check from 17092025 orderbook sent by ashish]]</f>
        <v/>
      </c>
      <c r="AB22" s="147">
        <f>X22+Y22</f>
        <v/>
      </c>
      <c r="AC22" s="19">
        <f>T22-AB22</f>
        <v/>
      </c>
      <c r="AD22" s="387">
        <f>IF(AC22&gt;0,AC22,0)*150%</f>
        <v/>
      </c>
      <c r="AE22" s="147">
        <f>ROUND(SUMIFS(meghsteelsales_previousmonth[Quantity],meghsteelsales_previousmonth[Length Bucket],Table29[[#This Row],[Bucket CTL]])/1000,0)</f>
        <v/>
      </c>
      <c r="AF22" s="147">
        <f>ROUND(SUMIFS(meghsteelsales_currentmonth[Quantity],meghsteelsales_currentmonth[Length Bucket],Table29[[#This Row],[Bucket CTL]])/1000,0)</f>
        <v/>
      </c>
      <c r="AG22" t="n">
        <v>0</v>
      </c>
    </row>
    <row r="23">
      <c r="A23" s="147" t="inlineStr">
        <is>
          <t>HMSI</t>
        </is>
      </c>
      <c r="B23" s="265" t="n">
        <v>943210</v>
      </c>
      <c r="C23" s="265" t="inlineStr">
        <is>
          <t>BADVE</t>
        </is>
      </c>
      <c r="D23" s="147" t="inlineStr">
        <is>
          <t>CR ERW 1</t>
        </is>
      </c>
      <c r="E23" s="147" t="inlineStr">
        <is>
          <t>FIN CUT</t>
        </is>
      </c>
      <c r="F23" s="147" t="inlineStr">
        <is>
          <t xml:space="preserve">CR ERW </t>
        </is>
      </c>
      <c r="G23" s="148" t="n">
        <v>22.2</v>
      </c>
      <c r="H23" s="148" t="n"/>
      <c r="I23" s="148" t="n">
        <v>2</v>
      </c>
      <c r="J23" s="147" t="n">
        <v>5390</v>
      </c>
      <c r="K23" s="147" t="n">
        <v>5.39</v>
      </c>
      <c r="L23" s="147">
        <f>_xlfn.CONCAT(G23,I23,K23,F23,E23)</f>
        <v/>
      </c>
      <c r="M23" s="151" t="inlineStr">
        <is>
          <t>056</t>
        </is>
      </c>
      <c r="N23" s="149" t="n">
        <v>3568328</v>
      </c>
      <c r="O23" s="150" t="inlineStr">
        <is>
          <t>22.23-0-2-ERW 1-FC</t>
        </is>
      </c>
      <c r="P23" s="150" t="inlineStr">
        <is>
          <t>22.23-0-2-ERW 1-PE-5.39</t>
        </is>
      </c>
      <c r="Q23" s="150" t="n">
        <v>0</v>
      </c>
      <c r="R23" s="150" t="inlineStr">
        <is>
          <t>0789</t>
        </is>
      </c>
      <c r="S23" s="150" t="n">
        <v>2431251</v>
      </c>
      <c r="T23" s="19" t="n">
        <v>50</v>
      </c>
      <c r="U23" s="147" t="n">
        <v>12</v>
      </c>
      <c r="V23" s="147" t="n">
        <v>12</v>
      </c>
      <c r="W23" s="147" t="n"/>
      <c r="X23" s="147">
        <f>V23-U23</f>
        <v/>
      </c>
      <c r="Y23" s="147" t="n">
        <v>67</v>
      </c>
      <c r="Z23" s="147">
        <f>SUMIFS(orderbook[Bal to Desp],orderbook[key],Table29[[#This Row],[Key]])</f>
        <v/>
      </c>
      <c r="AA23" s="500">
        <f>Table29[[#This Row],[order logg ]]-Table29[[#This Row],[check from 17092025 orderbook sent by ashish]]</f>
        <v/>
      </c>
      <c r="AB23" s="147">
        <f>X23+Y23</f>
        <v/>
      </c>
      <c r="AC23" s="19">
        <f>T23-AB23</f>
        <v/>
      </c>
      <c r="AD23" s="387">
        <f>IF(AC23&gt;0,AC23,0)*150%+67</f>
        <v/>
      </c>
      <c r="AE23" s="147">
        <f>ROUND(SUMIFS(meghsteelsales_previousmonth[Quantity],meghsteelsales_previousmonth[Length Bucket],Table29[[#This Row],[Bucket CTL]])/1000,0)</f>
        <v/>
      </c>
      <c r="AF23" s="147">
        <f>ROUND(SUMIFS(meghsteelsales_currentmonth[Quantity],meghsteelsales_currentmonth[Length Bucket],Table29[[#This Row],[Bucket CTL]])/1000,0)</f>
        <v/>
      </c>
      <c r="AG23" t="n">
        <v>23</v>
      </c>
    </row>
    <row r="24">
      <c r="A24" s="147" t="inlineStr">
        <is>
          <t>HMSI</t>
        </is>
      </c>
      <c r="B24" s="265" t="n">
        <v>943210</v>
      </c>
      <c r="C24" s="265" t="inlineStr">
        <is>
          <t>BADVE</t>
        </is>
      </c>
      <c r="D24" s="153" t="inlineStr">
        <is>
          <t>ERW2</t>
        </is>
      </c>
      <c r="E24" s="147" t="inlineStr">
        <is>
          <t>FIN CUT</t>
        </is>
      </c>
      <c r="F24" s="147" t="inlineStr">
        <is>
          <t>HST</t>
        </is>
      </c>
      <c r="G24" s="148" t="n">
        <v>25.4</v>
      </c>
      <c r="H24" s="148" t="n"/>
      <c r="I24" s="148" t="n">
        <v>1.4</v>
      </c>
      <c r="J24" s="147" t="n">
        <v>5531</v>
      </c>
      <c r="K24" s="147" t="n">
        <v>5.531</v>
      </c>
      <c r="L24" s="147">
        <f>_xlfn.CONCAT(G24,I24,K24,F24,E24)</f>
        <v/>
      </c>
      <c r="M24" s="151" t="inlineStr">
        <is>
          <t>056</t>
        </is>
      </c>
      <c r="N24" s="150" t="n">
        <v>3501900</v>
      </c>
      <c r="O24" s="150" t="inlineStr">
        <is>
          <t>25.4-0-1.4-ERW 2-FC</t>
        </is>
      </c>
      <c r="P24" s="150" t="inlineStr">
        <is>
          <t>25.4-0-1.4-ERW 2-FC-5.531</t>
        </is>
      </c>
      <c r="Q24" s="150" t="n">
        <v>0</v>
      </c>
      <c r="R24" s="150" t="inlineStr">
        <is>
          <t>056</t>
        </is>
      </c>
      <c r="S24" s="150" t="n">
        <v>3501900</v>
      </c>
      <c r="T24" s="19" t="n">
        <v>15</v>
      </c>
      <c r="U24" s="147" t="n">
        <v>0</v>
      </c>
      <c r="V24" s="147" t="n">
        <v>0</v>
      </c>
      <c r="W24" s="147" t="n"/>
      <c r="X24" s="147">
        <f>V24-U24</f>
        <v/>
      </c>
      <c r="Y24" s="147" t="n">
        <v>13</v>
      </c>
      <c r="Z24" s="147">
        <f>SUMIFS(orderbook[Bal to Desp],orderbook[key],Table29[[#This Row],[Key]])</f>
        <v/>
      </c>
      <c r="AA24" s="500">
        <f>Table29[[#This Row],[order logg ]]-Table29[[#This Row],[check from 17092025 orderbook sent by ashish]]</f>
        <v/>
      </c>
      <c r="AB24" s="147">
        <f>X24+Y24</f>
        <v/>
      </c>
      <c r="AC24" s="19">
        <f>T24-AB24</f>
        <v/>
      </c>
      <c r="AD24" s="387">
        <f>IF(AC24&gt;0,AC24,0)*150%+13</f>
        <v/>
      </c>
      <c r="AE24" s="147">
        <f>ROUND(SUMIFS(meghsteelsales_previousmonth[Quantity],meghsteelsales_previousmonth[Length Bucket],Table29[[#This Row],[Bucket CTL]])/1000,0)</f>
        <v/>
      </c>
      <c r="AF24" s="147">
        <f>ROUND(SUMIFS(meghsteelsales_currentmonth[Quantity],meghsteelsales_currentmonth[Length Bucket],Table29[[#This Row],[Bucket CTL]])/1000,0)</f>
        <v/>
      </c>
    </row>
    <row r="25">
      <c r="A25" s="147" t="inlineStr">
        <is>
          <t>HMSI</t>
        </is>
      </c>
      <c r="B25" s="265" t="n">
        <v>943210</v>
      </c>
      <c r="C25" s="265" t="inlineStr">
        <is>
          <t>BADVE</t>
        </is>
      </c>
      <c r="D25" s="153" t="inlineStr">
        <is>
          <t>ERW1</t>
        </is>
      </c>
      <c r="E25" s="147" t="inlineStr">
        <is>
          <t>FIN CUT</t>
        </is>
      </c>
      <c r="F25" s="147" t="inlineStr">
        <is>
          <t>ERW</t>
        </is>
      </c>
      <c r="G25" s="148" t="n">
        <v>25.4</v>
      </c>
      <c r="H25" s="148" t="n"/>
      <c r="I25" s="148" t="n">
        <v>1.4</v>
      </c>
      <c r="J25" s="147" t="n">
        <v>6060</v>
      </c>
      <c r="K25" s="147" t="n">
        <v>6.06</v>
      </c>
      <c r="L25" s="147">
        <f>_xlfn.CONCAT(G25,I25,K25,F25,E25)</f>
        <v/>
      </c>
      <c r="M25" s="151" t="n"/>
      <c r="N25" s="149" t="n">
        <v>3557792</v>
      </c>
      <c r="O25" s="150" t="inlineStr">
        <is>
          <t>25.4-0-1.4-ERW 1-FC</t>
        </is>
      </c>
      <c r="P25" s="150" t="inlineStr">
        <is>
          <t>25.4-0-1.4-ERW 1-FC-6.06</t>
        </is>
      </c>
      <c r="Q25" s="150" t="n">
        <v>0</v>
      </c>
      <c r="R25" s="150" t="inlineStr">
        <is>
          <t>0789</t>
        </is>
      </c>
      <c r="S25" s="150" t="n">
        <v>3557792</v>
      </c>
      <c r="T25" s="19" t="n">
        <v>10</v>
      </c>
      <c r="U25" s="147" t="n">
        <v>0</v>
      </c>
      <c r="V25" s="147" t="n">
        <v>0</v>
      </c>
      <c r="W25" s="147" t="n"/>
      <c r="X25" s="147">
        <f>V25-U25</f>
        <v/>
      </c>
      <c r="Y25" s="147" t="n">
        <v>61</v>
      </c>
      <c r="Z25" s="147">
        <f>SUMIFS(orderbook[Bal to Desp],orderbook[key],Table29[[#This Row],[Key]])</f>
        <v/>
      </c>
      <c r="AA25" s="500">
        <f>Table29[[#This Row],[order logg ]]-Table29[[#This Row],[check from 17092025 orderbook sent by ashish]]</f>
        <v/>
      </c>
      <c r="AB25" s="147">
        <f>X25+Y25</f>
        <v/>
      </c>
      <c r="AC25" s="19">
        <f>T25-AB25</f>
        <v/>
      </c>
      <c r="AD25" s="387">
        <f>IF(AC25&gt;0,AC25,0)*150%</f>
        <v/>
      </c>
      <c r="AE25" s="147">
        <f>ROUND(SUMIFS(meghsteelsales_previousmonth[Quantity],meghsteelsales_previousmonth[Length Bucket],Table29[[#This Row],[Bucket CTL]])/1000,0)</f>
        <v/>
      </c>
      <c r="AF25" s="147">
        <f>ROUND(SUMIFS(meghsteelsales_currentmonth[Quantity],meghsteelsales_currentmonth[Length Bucket],Table29[[#This Row],[Bucket CTL]])/1000,0)</f>
        <v/>
      </c>
    </row>
    <row r="26">
      <c r="A26" s="147" t="inlineStr">
        <is>
          <t>TVS</t>
        </is>
      </c>
      <c r="B26" s="491" t="n">
        <v>943209</v>
      </c>
      <c r="C26" s="265" t="inlineStr">
        <is>
          <t>RUCHA</t>
        </is>
      </c>
      <c r="D26" s="153" t="inlineStr">
        <is>
          <t>ERW1</t>
        </is>
      </c>
      <c r="E26" s="147" t="inlineStr">
        <is>
          <t>NON FIN</t>
        </is>
      </c>
      <c r="F26" s="147" t="inlineStr">
        <is>
          <t>ERW</t>
        </is>
      </c>
      <c r="G26" s="148" t="n">
        <v>25.4</v>
      </c>
      <c r="H26" s="148" t="n"/>
      <c r="I26" s="148" t="n">
        <v>1.6</v>
      </c>
      <c r="J26" s="147" t="n">
        <v>6000</v>
      </c>
      <c r="K26" s="147" t="n">
        <v>6</v>
      </c>
      <c r="L26" s="147">
        <f>_xlfn.CONCAT(G26,I26,K26,F26,E26)</f>
        <v/>
      </c>
      <c r="M26" s="151" t="inlineStr">
        <is>
          <t>056</t>
        </is>
      </c>
      <c r="N26" s="150" t="n">
        <v>3500097</v>
      </c>
      <c r="O26" s="150" t="inlineStr">
        <is>
          <t>25.4-0-1.6-ERW 1-PE</t>
        </is>
      </c>
      <c r="P26" s="150" t="inlineStr">
        <is>
          <t>25.4-0-1.6-ERW 1-PE-6</t>
        </is>
      </c>
      <c r="Q26" s="150" t="n">
        <v>0</v>
      </c>
      <c r="R26" s="150" t="inlineStr">
        <is>
          <t>056</t>
        </is>
      </c>
      <c r="S26" s="150" t="n">
        <v>3500097</v>
      </c>
      <c r="T26" s="19" t="n">
        <v>35</v>
      </c>
      <c r="U26" s="147" t="n">
        <v>15</v>
      </c>
      <c r="V26" s="147" t="n">
        <v>20</v>
      </c>
      <c r="W26" s="147" t="n"/>
      <c r="X26" s="147">
        <f>V26-U26</f>
        <v/>
      </c>
      <c r="Y26" s="147" t="n">
        <v>20</v>
      </c>
      <c r="Z26" s="147">
        <f>SUMIFS(orderbook[Bal to Desp],orderbook[key],Table29[[#This Row],[Key]])</f>
        <v/>
      </c>
      <c r="AA26" s="500">
        <f>Table29[[#This Row],[order logg ]]-Table29[[#This Row],[check from 17092025 orderbook sent by ashish]]</f>
        <v/>
      </c>
      <c r="AB26" s="147">
        <f>X26+Y26</f>
        <v/>
      </c>
      <c r="AC26" s="19">
        <f>T26-AB26</f>
        <v/>
      </c>
      <c r="AD26" s="387" t="n">
        <v>0</v>
      </c>
      <c r="AE26" s="147">
        <f>ROUND(SUMIFS(meghsteelsales_previousmonth[Quantity],meghsteelsales_previousmonth[Length Bucket],Table29[[#This Row],[Bucket CTL]])/1000,0)</f>
        <v/>
      </c>
      <c r="AF26" s="147">
        <f>ROUND(SUMIFS(meghsteelsales_currentmonth[Quantity],meghsteelsales_currentmonth[Length Bucket],Table29[[#This Row],[Bucket CTL]])/1000,0)</f>
        <v/>
      </c>
    </row>
    <row r="27">
      <c r="A27" s="147" t="inlineStr">
        <is>
          <t>TVS</t>
        </is>
      </c>
      <c r="B27" s="491" t="n">
        <v>943209</v>
      </c>
      <c r="C27" s="265" t="inlineStr">
        <is>
          <t>RUCHA</t>
        </is>
      </c>
      <c r="D27" s="153" t="inlineStr">
        <is>
          <t>ERW1</t>
        </is>
      </c>
      <c r="E27" s="147" t="inlineStr">
        <is>
          <t>NON FIN</t>
        </is>
      </c>
      <c r="F27" s="147" t="inlineStr">
        <is>
          <t>ERW</t>
        </is>
      </c>
      <c r="G27" s="148" t="n">
        <v>25.4</v>
      </c>
      <c r="H27" s="148" t="n"/>
      <c r="I27" s="148" t="n">
        <v>2</v>
      </c>
      <c r="J27" s="147" t="n">
        <v>5840</v>
      </c>
      <c r="K27" s="147" t="n">
        <v>5.82</v>
      </c>
      <c r="L27" s="147">
        <f>_xlfn.CONCAT(G27,I27,K27,F27,E27)</f>
        <v/>
      </c>
      <c r="M27" s="151" t="inlineStr">
        <is>
          <t>056</t>
        </is>
      </c>
      <c r="N27" s="149" t="n">
        <v>3240023</v>
      </c>
      <c r="O27" s="150" t="inlineStr">
        <is>
          <t>25.4-0-2-ERW 1-PE</t>
        </is>
      </c>
      <c r="P27" s="150" t="inlineStr">
        <is>
          <t>25.4-0-2-ERW 1-PE-5.82</t>
        </is>
      </c>
      <c r="Q27" s="150" t="n">
        <v>0</v>
      </c>
      <c r="R27" s="150" t="inlineStr">
        <is>
          <t>056</t>
        </is>
      </c>
      <c r="S27" s="150" t="n">
        <v>3673890</v>
      </c>
      <c r="T27" s="19" t="n">
        <v>20</v>
      </c>
      <c r="U27" s="147" t="n">
        <v>0</v>
      </c>
      <c r="V27" s="147" t="n">
        <v>0</v>
      </c>
      <c r="W27" s="147" t="n"/>
      <c r="X27" s="147">
        <f>V27-U27</f>
        <v/>
      </c>
      <c r="Y27" s="147" t="n">
        <v>17</v>
      </c>
      <c r="Z27" s="147">
        <f>SUMIFS(orderbook[Bal to Desp],orderbook[key],Table29[[#This Row],[Key]])</f>
        <v/>
      </c>
      <c r="AA27" s="500">
        <f>Table29[[#This Row],[order logg ]]-Table29[[#This Row],[check from 17092025 orderbook sent by ashish]]</f>
        <v/>
      </c>
      <c r="AB27" s="147">
        <f>X27+Y27</f>
        <v/>
      </c>
      <c r="AC27" s="19">
        <f>T27-AB27</f>
        <v/>
      </c>
      <c r="AD27" s="387">
        <f>IF(AC27&gt;0,AC27,0)*150%+5</f>
        <v/>
      </c>
      <c r="AE27" s="147">
        <f>ROUND(SUMIFS(meghsteelsales_previousmonth[Quantity],meghsteelsales_previousmonth[Length Bucket],Table29[[#This Row],[Bucket CTL]])/1000,0)</f>
        <v/>
      </c>
      <c r="AF27" s="147">
        <f>ROUND(SUMIFS(meghsteelsales_currentmonth[Quantity],meghsteelsales_currentmonth[Length Bucket],Table29[[#This Row],[Bucket CTL]])/1000,0)</f>
        <v/>
      </c>
    </row>
    <row r="28">
      <c r="A28" s="147" t="inlineStr">
        <is>
          <t>TVS</t>
        </is>
      </c>
      <c r="B28" s="491" t="n">
        <v>943209</v>
      </c>
      <c r="C28" s="265" t="inlineStr">
        <is>
          <t>RUCHA</t>
        </is>
      </c>
      <c r="D28" s="153" t="inlineStr">
        <is>
          <t>ERW1</t>
        </is>
      </c>
      <c r="E28" s="147" t="inlineStr">
        <is>
          <t>NON FIN</t>
        </is>
      </c>
      <c r="F28" s="147" t="inlineStr">
        <is>
          <t>ERW</t>
        </is>
      </c>
      <c r="G28" s="148" t="n">
        <v>25.4</v>
      </c>
      <c r="H28" s="148" t="n"/>
      <c r="I28" s="148" t="n">
        <v>2</v>
      </c>
      <c r="J28" s="147" t="n">
        <v>6050</v>
      </c>
      <c r="K28" s="147" t="n">
        <v>6.05</v>
      </c>
      <c r="L28" s="147">
        <f>_xlfn.CONCAT(G28,I28,K28,F28,E28)</f>
        <v/>
      </c>
      <c r="M28" s="151" t="n"/>
      <c r="N28" s="149" t="n"/>
      <c r="O28" s="150" t="inlineStr">
        <is>
          <t>25.4-0-2-ERW 1-PE</t>
        </is>
      </c>
      <c r="P28" s="150" t="inlineStr">
        <is>
          <t>25.4-0-2-ERW 1-PE-6.05</t>
        </is>
      </c>
      <c r="Q28" s="150" t="n">
        <v>0</v>
      </c>
      <c r="R28" s="150" t="inlineStr">
        <is>
          <t>0789</t>
        </is>
      </c>
      <c r="S28" s="150" t="n">
        <v>4055021</v>
      </c>
      <c r="T28" s="19" t="n">
        <v>15</v>
      </c>
      <c r="U28" s="147" t="n">
        <v>0</v>
      </c>
      <c r="V28" s="147" t="n">
        <v>0</v>
      </c>
      <c r="W28" s="147" t="n"/>
      <c r="X28" s="147">
        <f>V28-U28</f>
        <v/>
      </c>
      <c r="Y28" s="147" t="n">
        <v>23</v>
      </c>
      <c r="Z28" s="147">
        <f>SUMIFS(orderbook[Bal to Desp],orderbook[key],Table29[[#This Row],[Key]])</f>
        <v/>
      </c>
      <c r="AA28" s="500">
        <f>Table29[[#This Row],[order logg ]]-Table29[[#This Row],[check from 17092025 orderbook sent by ashish]]</f>
        <v/>
      </c>
      <c r="AB28" s="147">
        <f>X28+Y28</f>
        <v/>
      </c>
      <c r="AC28" s="19">
        <f>T28-AB28</f>
        <v/>
      </c>
      <c r="AD28" s="387">
        <f>IF(AC28&gt;0,AC28,0)*150%+23</f>
        <v/>
      </c>
      <c r="AE28" s="147">
        <f>ROUND(SUMIFS(meghsteelsales_previousmonth[Quantity],meghsteelsales_previousmonth[Length Bucket],Table29[[#This Row],[Bucket CTL]])/1000,0)</f>
        <v/>
      </c>
      <c r="AF28" s="147">
        <f>ROUND(SUMIFS(meghsteelsales_currentmonth[Quantity],meghsteelsales_currentmonth[Length Bucket],Table29[[#This Row],[Bucket CTL]])/1000,0)</f>
        <v/>
      </c>
    </row>
    <row r="29">
      <c r="A29" s="147" t="inlineStr">
        <is>
          <t>TVS</t>
        </is>
      </c>
      <c r="B29" s="491" t="n">
        <v>943209</v>
      </c>
      <c r="C29" s="265" t="inlineStr">
        <is>
          <t>RUCHA</t>
        </is>
      </c>
      <c r="D29" s="153" t="inlineStr">
        <is>
          <t>ERW1</t>
        </is>
      </c>
      <c r="E29" s="147" t="inlineStr">
        <is>
          <t>NON FIN</t>
        </is>
      </c>
      <c r="F29" s="147" t="inlineStr">
        <is>
          <t>ERW</t>
        </is>
      </c>
      <c r="G29" s="148" t="n">
        <v>25.4</v>
      </c>
      <c r="H29" s="148" t="n"/>
      <c r="I29" s="148" t="n">
        <v>2.5</v>
      </c>
      <c r="J29" s="147" t="n">
        <v>5530</v>
      </c>
      <c r="K29" s="147" t="n">
        <v>5.53</v>
      </c>
      <c r="L29" s="147">
        <f>_xlfn.CONCAT(G29,I29,K29,F29,E29)</f>
        <v/>
      </c>
      <c r="M29" s="151" t="inlineStr">
        <is>
          <t>056</t>
        </is>
      </c>
      <c r="N29" s="150" t="n">
        <v>3502256</v>
      </c>
      <c r="O29" s="150" t="inlineStr">
        <is>
          <t>25.4-0-2.5-ERW 1-PE</t>
        </is>
      </c>
      <c r="P29" s="150" t="inlineStr">
        <is>
          <t>25.4-0-2.5-ERW 1-PE-5.53</t>
        </is>
      </c>
      <c r="Q29" s="150" t="n">
        <v>0</v>
      </c>
      <c r="R29" s="150" t="inlineStr">
        <is>
          <t>056</t>
        </is>
      </c>
      <c r="S29" s="150" t="n">
        <v>3502256</v>
      </c>
      <c r="T29" s="19" t="n">
        <v>60</v>
      </c>
      <c r="U29" s="147" t="n">
        <v>8</v>
      </c>
      <c r="V29" s="147" t="n">
        <v>7</v>
      </c>
      <c r="W29" s="147" t="n"/>
      <c r="X29" s="147">
        <f>V29-U29</f>
        <v/>
      </c>
      <c r="Y29" s="147" t="n">
        <v>68</v>
      </c>
      <c r="Z29" s="147">
        <f>SUMIFS(orderbook[Bal to Desp],orderbook[key],Table29[[#This Row],[Key]])</f>
        <v/>
      </c>
      <c r="AA29" s="500">
        <f>Table29[[#This Row],[order logg ]]-Table29[[#This Row],[check from 17092025 orderbook sent by ashish]]</f>
        <v/>
      </c>
      <c r="AB29" s="147">
        <f>X29+Y29</f>
        <v/>
      </c>
      <c r="AC29" s="19">
        <f>T29-AB29</f>
        <v/>
      </c>
      <c r="AD29" s="387">
        <f>IF(AC29&gt;0,AC29,0)*150%+33</f>
        <v/>
      </c>
      <c r="AE29" s="147">
        <f>ROUND(SUMIFS(meghsteelsales_previousmonth[Quantity],meghsteelsales_previousmonth[Length Bucket],Table29[[#This Row],[Bucket CTL]])/1000,0)</f>
        <v/>
      </c>
      <c r="AF29" s="147">
        <f>ROUND(SUMIFS(meghsteelsales_currentmonth[Quantity],meghsteelsales_currentmonth[Length Bucket],Table29[[#This Row],[Bucket CTL]])/1000,0)</f>
        <v/>
      </c>
    </row>
    <row r="30">
      <c r="A30" s="147" t="inlineStr">
        <is>
          <t>TVS</t>
        </is>
      </c>
      <c r="B30" s="491" t="n">
        <v>943209</v>
      </c>
      <c r="C30" s="265" t="inlineStr">
        <is>
          <t>RUCHA,METALMAN</t>
        </is>
      </c>
      <c r="D30" s="153" t="inlineStr">
        <is>
          <t>ERW1</t>
        </is>
      </c>
      <c r="E30" s="147" t="inlineStr">
        <is>
          <t>FIN CUT</t>
        </is>
      </c>
      <c r="F30" s="147" t="inlineStr">
        <is>
          <t>ERW</t>
        </is>
      </c>
      <c r="G30" s="148" t="n">
        <v>28.6</v>
      </c>
      <c r="H30" s="148" t="n"/>
      <c r="I30" s="148" t="n">
        <v>1.2</v>
      </c>
      <c r="J30" s="147" t="n">
        <v>6000</v>
      </c>
      <c r="K30" s="147" t="n">
        <v>6</v>
      </c>
      <c r="L30" s="147">
        <f>_xlfn.CONCAT(G30,I30,K30,F30,E30)</f>
        <v/>
      </c>
      <c r="M30" s="149" t="n"/>
      <c r="N30" s="150" t="n">
        <v>3702101</v>
      </c>
      <c r="O30" s="150" t="e">
        <v>#N/A</v>
      </c>
      <c r="P30" s="150" t="e">
        <v>#N/A</v>
      </c>
      <c r="Q30" s="150" t="n">
        <v>0</v>
      </c>
      <c r="R30" s="150" t="inlineStr">
        <is>
          <t>0789</t>
        </is>
      </c>
      <c r="S30" s="150" t="n">
        <v>3702101</v>
      </c>
      <c r="T30" s="19" t="n">
        <v>3</v>
      </c>
      <c r="U30" s="147" t="n">
        <v>1</v>
      </c>
      <c r="V30" s="147" t="n">
        <v>3</v>
      </c>
      <c r="W30" s="147" t="n"/>
      <c r="X30" s="147">
        <f>V30-U30</f>
        <v/>
      </c>
      <c r="Y30" s="147" t="n">
        <v>0</v>
      </c>
      <c r="Z30" s="147">
        <f>SUMIFS(orderbook[Bal to Desp],orderbook[key],Table29[[#This Row],[Key]])</f>
        <v/>
      </c>
      <c r="AA30" s="147">
        <f>Table29[[#This Row],[order logg ]]-Table29[[#This Row],[check from 17092025 orderbook sent by ashish]]</f>
        <v/>
      </c>
      <c r="AB30" s="147">
        <f>X30+Y30</f>
        <v/>
      </c>
      <c r="AC30" s="19">
        <f>T30-AB30</f>
        <v/>
      </c>
      <c r="AD30" s="387">
        <f>IF(AC30&gt;0,AC30,0)*150%</f>
        <v/>
      </c>
      <c r="AE30" s="147">
        <f>ROUND(SUMIFS(meghsteelsales_previousmonth[Quantity],meghsteelsales_previousmonth[Length Bucket],Table29[[#This Row],[Bucket CTL]])/1000,0)</f>
        <v/>
      </c>
      <c r="AF30" s="147">
        <f>ROUND(SUMIFS(meghsteelsales_currentmonth[Quantity],meghsteelsales_currentmonth[Length Bucket],Table29[[#This Row],[Bucket CTL]])/1000,0)</f>
        <v/>
      </c>
    </row>
    <row r="31">
      <c r="A31" s="147" t="inlineStr">
        <is>
          <t>TVS</t>
        </is>
      </c>
      <c r="B31" s="491" t="n">
        <v>943209</v>
      </c>
      <c r="C31" s="265" t="inlineStr">
        <is>
          <t>RUCHA</t>
        </is>
      </c>
      <c r="D31" s="159" t="inlineStr">
        <is>
          <t>CEW1</t>
        </is>
      </c>
      <c r="E31" s="147" t="inlineStr">
        <is>
          <t>FIN CUT</t>
        </is>
      </c>
      <c r="F31" s="147" t="inlineStr">
        <is>
          <t>CEW</t>
        </is>
      </c>
      <c r="G31" s="168" t="n">
        <v>28.6</v>
      </c>
      <c r="H31" s="168" t="n"/>
      <c r="I31" s="168" t="n">
        <v>2.65</v>
      </c>
      <c r="J31" s="169" t="n">
        <v>6000</v>
      </c>
      <c r="K31" s="147" t="n">
        <v>6</v>
      </c>
      <c r="L31" s="147">
        <f>_xlfn.CONCAT(G31,I31,K31,F31,E31)</f>
        <v/>
      </c>
      <c r="M31" s="151" t="inlineStr">
        <is>
          <t>0788</t>
        </is>
      </c>
      <c r="N31" s="150" t="n">
        <v>2410388</v>
      </c>
      <c r="O31" s="150" t="inlineStr">
        <is>
          <t>No Key</t>
        </is>
      </c>
      <c r="P31" s="150" t="inlineStr">
        <is>
          <t>No Key</t>
        </is>
      </c>
      <c r="Q31" s="150" t="n">
        <v>0</v>
      </c>
      <c r="R31" s="150" t="inlineStr">
        <is>
          <t>0788</t>
        </is>
      </c>
      <c r="S31" s="150" t="n">
        <v>2410388</v>
      </c>
      <c r="T31" s="19" t="n">
        <v>10</v>
      </c>
      <c r="U31" s="147" t="n">
        <v>5</v>
      </c>
      <c r="V31" s="147" t="n">
        <v>18</v>
      </c>
      <c r="W31" s="147" t="n"/>
      <c r="X31" s="147">
        <f>V31-U31</f>
        <v/>
      </c>
      <c r="Y31" s="147" t="n">
        <v>0</v>
      </c>
      <c r="Z31" s="147">
        <f>SUMIFS(orderbook[Bal to Desp],orderbook[key],Table29[[#This Row],[Key]])</f>
        <v/>
      </c>
      <c r="AA31" s="147">
        <f>Table29[[#This Row],[order logg ]]-Table29[[#This Row],[check from 17092025 orderbook sent by ashish]]</f>
        <v/>
      </c>
      <c r="AB31" s="147">
        <f>X31+Y31</f>
        <v/>
      </c>
      <c r="AC31" s="19">
        <f>T31-AB31</f>
        <v/>
      </c>
      <c r="AD31" s="387">
        <f>IF(AC31&gt;0,AC31,0)*150%</f>
        <v/>
      </c>
      <c r="AE31" s="147">
        <f>ROUND(SUMIFS(meghsteelsales_previousmonth[Quantity],meghsteelsales_previousmonth[Length Bucket],Table29[[#This Row],[Bucket CTL]])/1000,0)</f>
        <v/>
      </c>
      <c r="AF31" s="147">
        <f>ROUND(SUMIFS(meghsteelsales_currentmonth[Quantity],meghsteelsales_currentmonth[Length Bucket],Table29[[#This Row],[Bucket CTL]])/1000,0)</f>
        <v/>
      </c>
    </row>
    <row r="32">
      <c r="A32" s="147" t="inlineStr">
        <is>
          <t>TVS</t>
        </is>
      </c>
      <c r="B32" s="491" t="n">
        <v>943209</v>
      </c>
      <c r="C32" s="265" t="inlineStr">
        <is>
          <t>RUCHA,METALMAN</t>
        </is>
      </c>
      <c r="D32" s="153" t="inlineStr">
        <is>
          <t>ERW1</t>
        </is>
      </c>
      <c r="E32" s="147" t="inlineStr">
        <is>
          <t>FIN CUT</t>
        </is>
      </c>
      <c r="F32" s="147" t="inlineStr">
        <is>
          <t>ERW</t>
        </is>
      </c>
      <c r="G32" s="148" t="n">
        <v>31.75</v>
      </c>
      <c r="H32" s="148" t="n"/>
      <c r="I32" s="148" t="n">
        <v>1.2</v>
      </c>
      <c r="J32" s="147" t="n">
        <v>6000</v>
      </c>
      <c r="K32" s="147" t="n">
        <v>6</v>
      </c>
      <c r="L32" s="147">
        <f>_xlfn.CONCAT(G32,I32,K32,F32,E32)</f>
        <v/>
      </c>
      <c r="M32" s="151" t="inlineStr">
        <is>
          <t>056</t>
        </is>
      </c>
      <c r="N32" s="150" t="n">
        <v>3884381</v>
      </c>
      <c r="O32" s="150" t="inlineStr">
        <is>
          <t>31.75-0-1.2-ERW 1-FC</t>
        </is>
      </c>
      <c r="P32" s="150" t="inlineStr">
        <is>
          <t>31.75-0-2-ERW 1-FC-6</t>
        </is>
      </c>
      <c r="Q32" s="150" t="n">
        <v>0</v>
      </c>
      <c r="R32" s="150" t="inlineStr">
        <is>
          <t>056</t>
        </is>
      </c>
      <c r="S32" s="150" t="n">
        <v>3884381</v>
      </c>
      <c r="T32" s="19" t="n">
        <v>3</v>
      </c>
      <c r="U32" s="147" t="n">
        <v>0</v>
      </c>
      <c r="V32" s="147" t="n">
        <v>0</v>
      </c>
      <c r="W32" s="147" t="n"/>
      <c r="X32" s="147">
        <f>V32-U32</f>
        <v/>
      </c>
      <c r="Y32" s="147" t="n">
        <v>10</v>
      </c>
      <c r="Z32" s="147">
        <f>SUMIFS(orderbook[Bal to Desp],orderbook[key],Table29[[#This Row],[Key]])</f>
        <v/>
      </c>
      <c r="AA32" s="500">
        <f>Table29[[#This Row],[order logg ]]-Table29[[#This Row],[check from 17092025 orderbook sent by ashish]]</f>
        <v/>
      </c>
      <c r="AB32" s="147">
        <f>X32+Y32</f>
        <v/>
      </c>
      <c r="AC32" s="19">
        <f>T32-AB32</f>
        <v/>
      </c>
      <c r="AD32" s="387">
        <f>IF(AC32&gt;0,AC32,0)*150%</f>
        <v/>
      </c>
      <c r="AE32" s="147">
        <f>ROUND(SUMIFS(meghsteelsales_previousmonth[Quantity],meghsteelsales_previousmonth[Length Bucket],Table29[[#This Row],[Bucket CTL]])/1000,0)</f>
        <v/>
      </c>
      <c r="AF32" s="147">
        <f>ROUND(SUMIFS(meghsteelsales_currentmonth[Quantity],meghsteelsales_currentmonth[Length Bucket],Table29[[#This Row],[Bucket CTL]])/1000,0)</f>
        <v/>
      </c>
    </row>
    <row r="33">
      <c r="A33" s="147" t="inlineStr">
        <is>
          <t>TVS</t>
        </is>
      </c>
      <c r="B33" s="491" t="n">
        <v>943209</v>
      </c>
      <c r="C33" s="265" t="inlineStr">
        <is>
          <t>RUCHA,METALMAN</t>
        </is>
      </c>
      <c r="D33" s="153" t="inlineStr">
        <is>
          <t>ERW1</t>
        </is>
      </c>
      <c r="E33" s="147" t="inlineStr">
        <is>
          <t>FIN CUT</t>
        </is>
      </c>
      <c r="F33" s="147" t="inlineStr">
        <is>
          <t>ERW</t>
        </is>
      </c>
      <c r="G33" s="148" t="n">
        <v>31.75</v>
      </c>
      <c r="H33" s="148" t="n"/>
      <c r="I33" s="148" t="n">
        <v>2</v>
      </c>
      <c r="J33" s="147" t="n">
        <v>6000</v>
      </c>
      <c r="K33" s="147" t="n">
        <v>6</v>
      </c>
      <c r="L33" s="147">
        <f>_xlfn.CONCAT(G33,I33,K33,F33,E33)</f>
        <v/>
      </c>
      <c r="M33" s="151" t="n"/>
      <c r="N33" s="150" t="n"/>
      <c r="O33" s="150" t="inlineStr">
        <is>
          <t>31.75-0-2-ERW 1-FC</t>
        </is>
      </c>
      <c r="P33" s="150" t="e">
        <v>#N/A</v>
      </c>
      <c r="Q33" s="150" t="n">
        <v>0</v>
      </c>
      <c r="R33" s="150" t="inlineStr">
        <is>
          <t>0789</t>
        </is>
      </c>
      <c r="S33" s="150" t="n">
        <v>1931387</v>
      </c>
      <c r="T33" s="19" t="n">
        <v>15</v>
      </c>
      <c r="U33" s="147" t="n">
        <v>0</v>
      </c>
      <c r="V33" s="147" t="n">
        <v>0</v>
      </c>
      <c r="W33" s="147" t="n"/>
      <c r="X33" s="147">
        <f>V33-U33</f>
        <v/>
      </c>
      <c r="Y33" s="147" t="n">
        <v>15</v>
      </c>
      <c r="Z33" s="147">
        <f>SUMIFS(orderbook[Bal to Desp],orderbook[key],Table29[[#This Row],[Key]])</f>
        <v/>
      </c>
      <c r="AA33" s="500">
        <f>Table29[[#This Row],[order logg ]]-Table29[[#This Row],[check from 17092025 orderbook sent by ashish]]</f>
        <v/>
      </c>
      <c r="AB33" s="147">
        <f>X33+Y33</f>
        <v/>
      </c>
      <c r="AC33" s="19">
        <f>T33-AB33</f>
        <v/>
      </c>
      <c r="AD33" s="387">
        <f>IF(AC33&gt;0,AC33,0)*150%+15</f>
        <v/>
      </c>
      <c r="AE33" s="147">
        <f>ROUND(SUMIFS(meghsteelsales_previousmonth[Quantity],meghsteelsales_previousmonth[Length Bucket],Table29[[#This Row],[Bucket CTL]])/1000,0)</f>
        <v/>
      </c>
      <c r="AF33" s="147">
        <f>ROUND(SUMIFS(meghsteelsales_currentmonth[Quantity],meghsteelsales_currentmonth[Length Bucket],Table29[[#This Row],[Bucket CTL]])/1000,0)</f>
        <v/>
      </c>
    </row>
    <row r="34">
      <c r="A34" s="147" t="inlineStr">
        <is>
          <t>RE</t>
        </is>
      </c>
      <c r="B34" s="265" t="n">
        <v>943211</v>
      </c>
      <c r="C34" s="265" t="inlineStr">
        <is>
          <t>BELRISE</t>
        </is>
      </c>
      <c r="D34" s="153" t="inlineStr">
        <is>
          <t>ERW1</t>
        </is>
      </c>
      <c r="E34" s="147" t="inlineStr">
        <is>
          <t>FIN CUT</t>
        </is>
      </c>
      <c r="F34" s="147" t="inlineStr">
        <is>
          <t>ERW</t>
        </is>
      </c>
      <c r="G34" s="148" t="n">
        <v>31.75</v>
      </c>
      <c r="H34" s="148" t="n"/>
      <c r="I34" s="148" t="n">
        <v>2.3</v>
      </c>
      <c r="J34" s="147" t="n">
        <v>5920</v>
      </c>
      <c r="K34" s="147" t="n">
        <v>5.92</v>
      </c>
      <c r="L34" s="147">
        <f>_xlfn.CONCAT(G34,I34,K34,F34,E34)</f>
        <v/>
      </c>
      <c r="M34" s="149" t="n"/>
      <c r="N34" s="150" t="n"/>
      <c r="O34" s="150" t="e">
        <v>#N/A</v>
      </c>
      <c r="P34" s="150" t="e">
        <v>#N/A</v>
      </c>
      <c r="Q34" s="150" t="n">
        <v>0</v>
      </c>
      <c r="R34" s="150" t="inlineStr">
        <is>
          <t>0789</t>
        </is>
      </c>
      <c r="S34" s="150" t="inlineStr">
        <is>
          <t>MCR 42136</t>
        </is>
      </c>
      <c r="T34" s="19" t="n">
        <v>15</v>
      </c>
      <c r="U34" s="147" t="n">
        <v>10</v>
      </c>
      <c r="V34" s="147" t="n">
        <v>34</v>
      </c>
      <c r="W34" s="147" t="n"/>
      <c r="X34" s="147">
        <f>V34-U34</f>
        <v/>
      </c>
      <c r="Y34" s="147" t="n">
        <v>0</v>
      </c>
      <c r="Z34" s="147">
        <f>SUMIFS(orderbook[Bal to Desp],orderbook[key],Table29[[#This Row],[Key]])</f>
        <v/>
      </c>
      <c r="AA34" s="147">
        <f>Table29[[#This Row],[order logg ]]-Table29[[#This Row],[check from 17092025 orderbook sent by ashish]]</f>
        <v/>
      </c>
      <c r="AB34" s="147">
        <f>X34+Y34</f>
        <v/>
      </c>
      <c r="AC34" s="19">
        <f>T34-AB34</f>
        <v/>
      </c>
      <c r="AD34" s="387">
        <f>IF(AC34&gt;0,AC34,0)*150%</f>
        <v/>
      </c>
      <c r="AE34" s="147">
        <f>ROUND(SUMIFS(meghsteelsales_previousmonth[Quantity],meghsteelsales_previousmonth[Length Bucket],Table29[[#This Row],[Bucket CTL]])/1000,0)</f>
        <v/>
      </c>
      <c r="AF34" s="147">
        <f>ROUND(SUMIFS(meghsteelsales_currentmonth[Quantity],meghsteelsales_currentmonth[Length Bucket],Table29[[#This Row],[Bucket CTL]])/1000,0)</f>
        <v/>
      </c>
    </row>
    <row r="35">
      <c r="A35" s="147" t="inlineStr">
        <is>
          <t>TVS</t>
        </is>
      </c>
      <c r="B35" s="265" t="n">
        <v>943209</v>
      </c>
      <c r="C35" s="265" t="inlineStr">
        <is>
          <t>RUCHA,METALMAN</t>
        </is>
      </c>
      <c r="D35" s="153" t="inlineStr">
        <is>
          <t>ERW1</t>
        </is>
      </c>
      <c r="E35" s="147" t="inlineStr">
        <is>
          <t>FIN CUT</t>
        </is>
      </c>
      <c r="F35" s="147" t="inlineStr">
        <is>
          <t>ERW</t>
        </is>
      </c>
      <c r="G35" s="148" t="n">
        <v>34.93</v>
      </c>
      <c r="H35" s="148" t="n"/>
      <c r="I35" s="148" t="n">
        <v>1.2</v>
      </c>
      <c r="J35" s="147" t="n">
        <v>6000</v>
      </c>
      <c r="K35" s="147" t="n">
        <v>6</v>
      </c>
      <c r="L35" s="147">
        <f>_xlfn.CONCAT(G35,I35,K35,F35,E35)</f>
        <v/>
      </c>
      <c r="M35" s="149" t="n"/>
      <c r="N35" s="150" t="n">
        <v>1940701</v>
      </c>
      <c r="O35" s="150" t="inlineStr">
        <is>
          <t>No Key</t>
        </is>
      </c>
      <c r="P35" s="150" t="inlineStr">
        <is>
          <t>No Key</t>
        </is>
      </c>
      <c r="Q35" s="150" t="n">
        <v>0</v>
      </c>
      <c r="R35" s="150" t="inlineStr">
        <is>
          <t>0789</t>
        </is>
      </c>
      <c r="S35" s="150" t="n">
        <v>1940701</v>
      </c>
      <c r="T35" s="19" t="n">
        <v>3</v>
      </c>
      <c r="U35" s="147" t="n">
        <v>0</v>
      </c>
      <c r="V35" s="147" t="n">
        <v>0</v>
      </c>
      <c r="W35" s="147" t="n"/>
      <c r="X35" s="147">
        <f>V35-U35</f>
        <v/>
      </c>
      <c r="Y35" s="147" t="n">
        <v>0</v>
      </c>
      <c r="Z35" s="147">
        <f>SUMIFS(orderbook[Bal to Desp],orderbook[key],Table29[[#This Row],[Key]])</f>
        <v/>
      </c>
      <c r="AA35" s="147">
        <f>Table29[[#This Row],[order logg ]]-Table29[[#This Row],[check from 17092025 orderbook sent by ashish]]</f>
        <v/>
      </c>
      <c r="AB35" s="147">
        <f>X35+Y35</f>
        <v/>
      </c>
      <c r="AC35" s="19">
        <f>T35-AB35</f>
        <v/>
      </c>
      <c r="AD35" s="387">
        <f>IF(AC35&gt;0,AC35,0)*150%</f>
        <v/>
      </c>
      <c r="AE35" s="147">
        <f>ROUND(SUMIFS(meghsteelsales_previousmonth[Quantity],meghsteelsales_previousmonth[Length Bucket],Table29[[#This Row],[Bucket CTL]])/1000,0)</f>
        <v/>
      </c>
      <c r="AF35" s="147">
        <f>ROUND(SUMIFS(meghsteelsales_currentmonth[Quantity],meghsteelsales_currentmonth[Length Bucket],Table29[[#This Row],[Bucket CTL]])/1000,0)</f>
        <v/>
      </c>
    </row>
    <row r="36">
      <c r="A36" s="147" t="inlineStr">
        <is>
          <t>RE</t>
        </is>
      </c>
      <c r="B36" s="265" t="n">
        <v>943211</v>
      </c>
      <c r="C36" s="265" t="inlineStr">
        <is>
          <t>BELRISE</t>
        </is>
      </c>
      <c r="D36" s="153" t="inlineStr">
        <is>
          <t>ERW1</t>
        </is>
      </c>
      <c r="E36" s="147" t="inlineStr">
        <is>
          <t>FIN CUT</t>
        </is>
      </c>
      <c r="F36" s="147" t="inlineStr">
        <is>
          <t>ERW</t>
        </is>
      </c>
      <c r="G36" s="148" t="n">
        <v>34.93</v>
      </c>
      <c r="H36" s="148" t="n"/>
      <c r="I36" s="148" t="n">
        <v>1.2</v>
      </c>
      <c r="J36" s="147" t="n">
        <v>620</v>
      </c>
      <c r="K36" s="147" t="n">
        <v>0.62</v>
      </c>
      <c r="L36" s="147">
        <f>_xlfn.CONCAT(G36,I36,K36,F36,E36)</f>
        <v/>
      </c>
      <c r="M36" s="151" t="inlineStr">
        <is>
          <t>0789</t>
        </is>
      </c>
      <c r="N36" s="150" t="n">
        <v>2397073</v>
      </c>
      <c r="O36" s="150" t="inlineStr">
        <is>
          <t>34.93-0-1.2-ERW 1-FC</t>
        </is>
      </c>
      <c r="P36" s="150" t="inlineStr">
        <is>
          <t>34.93-0-1.2-ERW 1-FC-0.620</t>
        </is>
      </c>
      <c r="Q36" s="150" t="n">
        <v>0</v>
      </c>
      <c r="R36" s="501" t="inlineStr">
        <is>
          <t>056</t>
        </is>
      </c>
      <c r="S36" s="150" t="n">
        <v>3499589</v>
      </c>
      <c r="T36" s="19" t="n">
        <v>10</v>
      </c>
      <c r="U36" s="147" t="n">
        <v>0</v>
      </c>
      <c r="V36" s="147" t="n">
        <v>0</v>
      </c>
      <c r="W36" s="147" t="n"/>
      <c r="X36" s="147">
        <f>V36-U36</f>
        <v/>
      </c>
      <c r="Y36" s="147" t="n">
        <v>34</v>
      </c>
      <c r="Z36" s="147">
        <f>SUMIFS(orderbook[Bal to Desp],orderbook[key],Table29[[#This Row],[Key]])</f>
        <v/>
      </c>
      <c r="AA36" s="500">
        <f>Table29[[#This Row],[order logg ]]-Table29[[#This Row],[check from 17092025 orderbook sent by ashish]]</f>
        <v/>
      </c>
      <c r="AB36" s="147">
        <f>X36+Y36</f>
        <v/>
      </c>
      <c r="AC36" s="19">
        <f>T36-AB36</f>
        <v/>
      </c>
      <c r="AD36" s="387">
        <f>IF(AC36&gt;0,AC36,0)*150%+34</f>
        <v/>
      </c>
      <c r="AE36" s="147">
        <f>ROUND(SUMIFS(meghsteelsales_previousmonth[Quantity],meghsteelsales_previousmonth[Length Bucket],Table29[[#This Row],[Bucket CTL]])/1000,0)</f>
        <v/>
      </c>
      <c r="AF36" s="147">
        <f>ROUND(SUMIFS(meghsteelsales_currentmonth[Quantity],meghsteelsales_currentmonth[Length Bucket],Table29[[#This Row],[Bucket CTL]])/1000,0)</f>
        <v/>
      </c>
    </row>
    <row r="37">
      <c r="A37" s="147" t="inlineStr">
        <is>
          <t>RE</t>
        </is>
      </c>
      <c r="B37" s="265" t="n">
        <v>943211</v>
      </c>
      <c r="C37" s="265" t="inlineStr">
        <is>
          <t>RAJSRIYA</t>
        </is>
      </c>
      <c r="D37" s="153" t="inlineStr">
        <is>
          <t>ERW1</t>
        </is>
      </c>
      <c r="E37" s="147" t="inlineStr">
        <is>
          <t>FIN CUT</t>
        </is>
      </c>
      <c r="F37" s="147" t="inlineStr">
        <is>
          <t>ERW</t>
        </is>
      </c>
      <c r="G37" s="148" t="n">
        <v>34.93</v>
      </c>
      <c r="H37" s="148" t="n"/>
      <c r="I37" s="148" t="n">
        <v>1.2</v>
      </c>
      <c r="J37" s="147" t="n">
        <v>650</v>
      </c>
      <c r="K37" s="147" t="n">
        <v>0.65</v>
      </c>
      <c r="L37" s="147">
        <f>_xlfn.CONCAT(G37,I37,K37,F37,E37)</f>
        <v/>
      </c>
      <c r="M37" s="151" t="inlineStr">
        <is>
          <t>0789</t>
        </is>
      </c>
      <c r="N37" s="150" t="n">
        <v>3649699</v>
      </c>
      <c r="O37" s="150" t="e">
        <v>#N/A</v>
      </c>
      <c r="P37" s="150" t="e">
        <v>#N/A</v>
      </c>
      <c r="Q37" s="150" t="e">
        <v>#N/A</v>
      </c>
      <c r="R37" s="501" t="inlineStr">
        <is>
          <t>056</t>
        </is>
      </c>
      <c r="S37" s="150" t="n">
        <v>3499396</v>
      </c>
      <c r="T37" s="19" t="n">
        <v>10</v>
      </c>
      <c r="U37" s="147" t="n">
        <v>0</v>
      </c>
      <c r="V37" s="147" t="n">
        <v>0</v>
      </c>
      <c r="W37" s="147" t="n"/>
      <c r="X37" s="147">
        <f>V37-U37</f>
        <v/>
      </c>
      <c r="Y37" s="147" t="n">
        <v>28</v>
      </c>
      <c r="Z37" s="147">
        <f>SUMIFS(orderbook[Bal to Desp],orderbook[key],Table29[[#This Row],[Key]])</f>
        <v/>
      </c>
      <c r="AA37" s="500">
        <f>Table29[[#This Row],[order logg ]]-Table29[[#This Row],[check from 17092025 orderbook sent by ashish]]</f>
        <v/>
      </c>
      <c r="AB37" s="147">
        <f>X37+Y37</f>
        <v/>
      </c>
      <c r="AC37" s="19">
        <f>T37-AB37</f>
        <v/>
      </c>
      <c r="AD37" s="387">
        <f>IF(AC37&gt;0,AC37,0)*150%+Table29[[#This Row],[GAP of order log and 17092025 orderbook]]</f>
        <v/>
      </c>
      <c r="AE37" s="147">
        <f>ROUND(SUMIFS(meghsteelsales_previousmonth[Quantity],meghsteelsales_previousmonth[Length Bucket],Table29[[#This Row],[Bucket CTL]])/1000,0)</f>
        <v/>
      </c>
      <c r="AF37" s="147">
        <f>ROUND(SUMIFS(meghsteelsales_currentmonth[Quantity],meghsteelsales_currentmonth[Length Bucket],Table29[[#This Row],[Bucket CTL]])/1000,0)</f>
        <v/>
      </c>
    </row>
    <row r="38">
      <c r="A38" s="147" t="inlineStr">
        <is>
          <t>HMSI</t>
        </is>
      </c>
      <c r="B38" s="265" t="n">
        <v>943210</v>
      </c>
      <c r="C38" s="265" t="inlineStr">
        <is>
          <t>BADVE</t>
        </is>
      </c>
      <c r="D38" s="155" t="inlineStr">
        <is>
          <t>ERW2</t>
        </is>
      </c>
      <c r="E38" s="147" t="inlineStr">
        <is>
          <t>FIN CUT</t>
        </is>
      </c>
      <c r="F38" s="147" t="inlineStr">
        <is>
          <t>ERW</t>
        </is>
      </c>
      <c r="G38" s="154" t="n">
        <v>34</v>
      </c>
      <c r="H38" s="154" t="n"/>
      <c r="I38" s="154" t="n">
        <v>1.4</v>
      </c>
      <c r="J38" s="155" t="n">
        <v>5660</v>
      </c>
      <c r="K38" s="147" t="n">
        <v>5.66</v>
      </c>
      <c r="L38" s="147">
        <f>_xlfn.CONCAT(G38,I38,K38,F38,E38)</f>
        <v/>
      </c>
      <c r="M38" s="151" t="inlineStr">
        <is>
          <t>0788</t>
        </is>
      </c>
      <c r="N38" s="150" t="n">
        <v>3702855</v>
      </c>
      <c r="O38" s="150" t="inlineStr">
        <is>
          <t>No Key</t>
        </is>
      </c>
      <c r="P38" s="150" t="inlineStr">
        <is>
          <t>No Key</t>
        </is>
      </c>
      <c r="Q38" s="150" t="n">
        <v>0</v>
      </c>
      <c r="R38" s="150" t="inlineStr">
        <is>
          <t>0788</t>
        </is>
      </c>
      <c r="S38" s="150" t="n">
        <v>3702855</v>
      </c>
      <c r="T38" s="19" t="n">
        <v>3</v>
      </c>
      <c r="U38" s="147" t="n">
        <v>0</v>
      </c>
      <c r="V38" s="147" t="n">
        <v>0</v>
      </c>
      <c r="W38" s="147" t="n"/>
      <c r="X38" s="147">
        <f>V38-U38</f>
        <v/>
      </c>
      <c r="Y38" s="147" t="n">
        <v>0</v>
      </c>
      <c r="Z38" s="147">
        <f>SUMIFS(orderbook[Bal to Desp],orderbook[key],Table29[[#This Row],[Key]])</f>
        <v/>
      </c>
      <c r="AA38" s="147">
        <f>Table29[[#This Row],[order logg ]]-Table29[[#This Row],[check from 17092025 orderbook sent by ashish]]</f>
        <v/>
      </c>
      <c r="AB38" s="147">
        <f>X38+Y38</f>
        <v/>
      </c>
      <c r="AC38" s="19">
        <f>T38-AB38</f>
        <v/>
      </c>
      <c r="AD38" s="387">
        <f>IF(AC38&gt;0,AC38,0)*150%</f>
        <v/>
      </c>
      <c r="AE38" s="147">
        <f>ROUND(SUMIFS(meghsteelsales_previousmonth[Quantity],meghsteelsales_previousmonth[Length Bucket],Table29[[#This Row],[Bucket CTL]])/1000,0)</f>
        <v/>
      </c>
      <c r="AF38" s="147">
        <f>ROUND(SUMIFS(meghsteelsales_currentmonth[Quantity],meghsteelsales_currentmonth[Length Bucket],Table29[[#This Row],[Bucket CTL]])/1000,0)</f>
        <v/>
      </c>
    </row>
    <row r="39">
      <c r="A39" s="147" t="inlineStr">
        <is>
          <t>TVS</t>
        </is>
      </c>
      <c r="B39" s="491" t="n">
        <v>943209</v>
      </c>
      <c r="C39" s="265" t="inlineStr">
        <is>
          <t>RUCHA,METALMAN</t>
        </is>
      </c>
      <c r="D39" s="153" t="inlineStr">
        <is>
          <t>ERW370</t>
        </is>
      </c>
      <c r="E39" s="147" t="inlineStr">
        <is>
          <t>FIN CUT</t>
        </is>
      </c>
      <c r="F39" s="147" t="inlineStr">
        <is>
          <t>HST</t>
        </is>
      </c>
      <c r="G39" s="148" t="n">
        <v>38.1</v>
      </c>
      <c r="H39" s="148" t="n"/>
      <c r="I39" s="148" t="n">
        <v>1.6</v>
      </c>
      <c r="J39" s="147" t="n">
        <v>6190</v>
      </c>
      <c r="K39" s="147" t="n">
        <v>6.19</v>
      </c>
      <c r="L39" s="147">
        <f>_xlfn.CONCAT(G39,I39,K39,F39,E39)</f>
        <v/>
      </c>
      <c r="M39" s="151" t="inlineStr">
        <is>
          <t>056</t>
        </is>
      </c>
      <c r="N39" s="150" t="n">
        <v>3502254</v>
      </c>
      <c r="O39" s="150" t="inlineStr">
        <is>
          <t>38.1-0-1.6-ERW 1-FC</t>
        </is>
      </c>
      <c r="P39" s="150" t="inlineStr">
        <is>
          <t>38.1-0-1.6-ERW 1-FC-6.19</t>
        </is>
      </c>
      <c r="Q39" s="150" t="n">
        <v>0</v>
      </c>
      <c r="R39" s="150" t="inlineStr">
        <is>
          <t>056</t>
        </is>
      </c>
      <c r="S39" s="150" t="n">
        <v>3502254</v>
      </c>
      <c r="T39" s="19" t="n">
        <v>40</v>
      </c>
      <c r="U39" s="147" t="n">
        <v>20</v>
      </c>
      <c r="V39" s="147" t="n">
        <v>60</v>
      </c>
      <c r="W39" s="147" t="n"/>
      <c r="X39" s="147">
        <f>V39-U39</f>
        <v/>
      </c>
      <c r="Y39" s="147" t="n">
        <v>20</v>
      </c>
      <c r="Z39" s="147">
        <f>SUMIFS(orderbook[Bal to Desp],orderbook[key],Table29[[#This Row],[Key]])</f>
        <v/>
      </c>
      <c r="AA39" s="500">
        <f>Table29[[#This Row],[order logg ]]-Table29[[#This Row],[check from 17092025 orderbook sent by ashish]]</f>
        <v/>
      </c>
      <c r="AB39" s="147">
        <f>X39+Y39</f>
        <v/>
      </c>
      <c r="AC39" s="19">
        <f>T39-AB39</f>
        <v/>
      </c>
      <c r="AD39" s="387">
        <f>IF(AC39&gt;0,AC39,0)*150%</f>
        <v/>
      </c>
      <c r="AE39" s="147">
        <f>ROUND(SUMIFS(meghsteelsales_previousmonth[Quantity],meghsteelsales_previousmonth[Length Bucket],Table29[[#This Row],[Bucket CTL]])/1000,0)</f>
        <v/>
      </c>
      <c r="AF39" s="147">
        <f>ROUND(SUMIFS(meghsteelsales_currentmonth[Quantity],meghsteelsales_currentmonth[Length Bucket],Table29[[#This Row],[Bucket CTL]])/1000,0)</f>
        <v/>
      </c>
    </row>
    <row r="40">
      <c r="A40" s="147" t="inlineStr">
        <is>
          <t>TVS</t>
        </is>
      </c>
      <c r="B40" s="491" t="n">
        <v>943209</v>
      </c>
      <c r="C40" s="265" t="inlineStr">
        <is>
          <t>RUCHA,METALMAN</t>
        </is>
      </c>
      <c r="D40" s="153" t="inlineStr">
        <is>
          <t>ERW1</t>
        </is>
      </c>
      <c r="E40" s="147" t="inlineStr">
        <is>
          <t>FIN CUT</t>
        </is>
      </c>
      <c r="F40" s="147" t="inlineStr">
        <is>
          <t>ERW</t>
        </is>
      </c>
      <c r="G40" s="148" t="n">
        <v>38.1</v>
      </c>
      <c r="H40" s="148" t="n"/>
      <c r="I40" s="148" t="n">
        <v>2</v>
      </c>
      <c r="J40" s="147" t="n">
        <v>5650</v>
      </c>
      <c r="K40" s="147" t="n">
        <v>5.65</v>
      </c>
      <c r="L40" s="147">
        <f>_xlfn.CONCAT(G40,I40,K40,F40,E40)</f>
        <v/>
      </c>
      <c r="M40" s="151" t="inlineStr">
        <is>
          <t>056</t>
        </is>
      </c>
      <c r="N40" s="150" t="n">
        <v>3500959</v>
      </c>
      <c r="O40" s="150" t="inlineStr">
        <is>
          <t>38.1-0-2-ERW 1-FC</t>
        </is>
      </c>
      <c r="P40" s="150" t="inlineStr">
        <is>
          <t>38.1-0-2-ERW 1-FC-5.65</t>
        </is>
      </c>
      <c r="Q40" s="150" t="inlineStr">
        <is>
          <t>Value Added</t>
        </is>
      </c>
      <c r="R40" s="150" t="inlineStr">
        <is>
          <t>056</t>
        </is>
      </c>
      <c r="S40" s="150" t="n">
        <v>3500959</v>
      </c>
      <c r="T40" s="19" t="n">
        <v>30</v>
      </c>
      <c r="U40" s="147" t="n">
        <v>20</v>
      </c>
      <c r="V40" s="147" t="n">
        <v>33</v>
      </c>
      <c r="W40" s="147" t="n"/>
      <c r="X40" s="147">
        <f>V40-U40</f>
        <v/>
      </c>
      <c r="Y40" s="147" t="n">
        <v>49</v>
      </c>
      <c r="Z40" s="147">
        <f>SUMIFS(orderbook[Bal to Desp],orderbook[key],Table29[[#This Row],[Key]])</f>
        <v/>
      </c>
      <c r="AA40" s="500">
        <f>Table29[[#This Row],[order logg ]]-Table29[[#This Row],[check from 17092025 orderbook sent by ashish]]</f>
        <v/>
      </c>
      <c r="AB40" s="147">
        <f>X40+Y40</f>
        <v/>
      </c>
      <c r="AC40" s="19">
        <f>T40-AB40</f>
        <v/>
      </c>
      <c r="AD40" s="387">
        <f>IF(AC40&gt;0,AC40,0)*150%+Table29[[#This Row],[GAP of order log and 17092025 orderbook]]</f>
        <v/>
      </c>
      <c r="AE40" s="147">
        <f>ROUND(SUMIFS(meghsteelsales_previousmonth[Quantity],meghsteelsales_previousmonth[Length Bucket],Table29[[#This Row],[Bucket CTL]])/1000,0)</f>
        <v/>
      </c>
      <c r="AF40" s="147">
        <f>ROUND(SUMIFS(meghsteelsales_currentmonth[Quantity],meghsteelsales_currentmonth[Length Bucket],Table29[[#This Row],[Bucket CTL]])/1000,0)</f>
        <v/>
      </c>
    </row>
    <row r="41">
      <c r="A41" s="147" t="inlineStr">
        <is>
          <t>TVS</t>
        </is>
      </c>
      <c r="B41" s="491" t="n">
        <v>943209</v>
      </c>
      <c r="C41" s="265" t="inlineStr">
        <is>
          <t>RUCHA,METALMAN</t>
        </is>
      </c>
      <c r="D41" s="153" t="inlineStr">
        <is>
          <t>ERW2</t>
        </is>
      </c>
      <c r="E41" s="147" t="inlineStr">
        <is>
          <t>FIN CUT</t>
        </is>
      </c>
      <c r="F41" s="147" t="inlineStr">
        <is>
          <t>HST</t>
        </is>
      </c>
      <c r="G41" s="148" t="n">
        <v>38.1</v>
      </c>
      <c r="H41" s="148" t="n"/>
      <c r="I41" s="148" t="n">
        <v>2.5</v>
      </c>
      <c r="J41" s="147" t="n">
        <v>6190</v>
      </c>
      <c r="K41" s="147" t="n">
        <v>6.19</v>
      </c>
      <c r="L41" s="147">
        <f>_xlfn.CONCAT(G41,I41,K41,F41,E41)</f>
        <v/>
      </c>
      <c r="M41" s="151" t="inlineStr">
        <is>
          <t>056</t>
        </is>
      </c>
      <c r="N41" s="150" t="n">
        <v>3502007</v>
      </c>
      <c r="O41" s="150" t="inlineStr">
        <is>
          <t>38.1-0-2.5-ERW 2 MAHS-FC</t>
        </is>
      </c>
      <c r="P41" s="150" t="inlineStr">
        <is>
          <t>38.1-0-2.5-ERW 2 MAHS-FC-6.19</t>
        </is>
      </c>
      <c r="Q41" s="150" t="n">
        <v>0</v>
      </c>
      <c r="R41" s="150" t="inlineStr">
        <is>
          <t>056</t>
        </is>
      </c>
      <c r="S41" s="150" t="n">
        <v>3502007</v>
      </c>
      <c r="T41" s="19" t="n">
        <v>60</v>
      </c>
      <c r="U41" s="147" t="n">
        <v>25</v>
      </c>
      <c r="V41" s="147" t="n">
        <v>20</v>
      </c>
      <c r="W41" s="147" t="n"/>
      <c r="X41" s="147">
        <f>V41-U41</f>
        <v/>
      </c>
      <c r="Y41" s="147" t="n">
        <v>10</v>
      </c>
      <c r="Z41" s="147">
        <f>SUMIFS(orderbook[Bal to Desp],orderbook[key],Table29[[#This Row],[Key]])</f>
        <v/>
      </c>
      <c r="AA41" s="500">
        <f>Table29[[#This Row],[order logg ]]-Table29[[#This Row],[check from 17092025 orderbook sent by ashish]]</f>
        <v/>
      </c>
      <c r="AB41" s="147">
        <f>X41+Y41</f>
        <v/>
      </c>
      <c r="AC41" s="19">
        <f>T41-AB41</f>
        <v/>
      </c>
      <c r="AD41" s="387">
        <f>IF(AC41&gt;0,AC41,0)*150%</f>
        <v/>
      </c>
      <c r="AE41" s="147">
        <f>ROUND(SUMIFS(meghsteelsales_previousmonth[Quantity],meghsteelsales_previousmonth[Length Bucket],Table29[[#This Row],[Bucket CTL]])/1000,0)</f>
        <v/>
      </c>
      <c r="AF41" s="147">
        <f>ROUND(SUMIFS(meghsteelsales_currentmonth[Quantity],meghsteelsales_currentmonth[Length Bucket],Table29[[#This Row],[Bucket CTL]])/1000,0)</f>
        <v/>
      </c>
    </row>
    <row r="42">
      <c r="A42" s="147" t="inlineStr">
        <is>
          <t>RE</t>
        </is>
      </c>
      <c r="B42" s="265" t="n">
        <v>943211</v>
      </c>
      <c r="C42" s="265" t="inlineStr">
        <is>
          <t>BELRISE</t>
        </is>
      </c>
      <c r="D42" s="153" t="inlineStr">
        <is>
          <t>CEW-1</t>
        </is>
      </c>
      <c r="E42" s="147" t="inlineStr">
        <is>
          <t>FIN CUT</t>
        </is>
      </c>
      <c r="F42" s="147" t="inlineStr">
        <is>
          <t>ERW</t>
        </is>
      </c>
      <c r="G42" s="148" t="n">
        <v>38.1</v>
      </c>
      <c r="H42" s="148" t="n"/>
      <c r="I42" s="148" t="n">
        <v>3.2</v>
      </c>
      <c r="J42" s="147" t="n">
        <v>6000</v>
      </c>
      <c r="K42" s="147" t="n">
        <v>6</v>
      </c>
      <c r="L42" s="147">
        <f>_xlfn.CONCAT(G42,I42,K42,F42,E42)</f>
        <v/>
      </c>
      <c r="M42" s="151" t="n"/>
      <c r="N42" s="150" t="n"/>
      <c r="O42" s="150" t="e">
        <v>#N/A</v>
      </c>
      <c r="P42" s="150" t="e">
        <v>#N/A</v>
      </c>
      <c r="Q42" s="150" t="e">
        <v>#N/A</v>
      </c>
      <c r="R42" s="501" t="inlineStr">
        <is>
          <t>0788</t>
        </is>
      </c>
      <c r="S42" s="150" t="n">
        <v>3500699</v>
      </c>
      <c r="T42" s="19" t="n">
        <v>5</v>
      </c>
      <c r="U42" s="147" t="n">
        <v>0</v>
      </c>
      <c r="V42" s="147" t="n">
        <v>0</v>
      </c>
      <c r="W42" s="147" t="n"/>
      <c r="X42" s="147">
        <f>V42-U42</f>
        <v/>
      </c>
      <c r="Y42" s="147" t="n">
        <v>0</v>
      </c>
      <c r="Z42" s="147">
        <f>SUMIFS(orderbook[Bal to Desp],orderbook[key],Table29[[#This Row],[Key]])</f>
        <v/>
      </c>
      <c r="AA42" s="147">
        <f>Table29[[#This Row],[order logg ]]-Table29[[#This Row],[check from 17092025 orderbook sent by ashish]]</f>
        <v/>
      </c>
      <c r="AB42" s="147">
        <f>X42+Y42</f>
        <v/>
      </c>
      <c r="AC42" s="19">
        <f>T42-AB42</f>
        <v/>
      </c>
      <c r="AD42" s="387">
        <f>IF(AC42&gt;0,AC42,0)*150%</f>
        <v/>
      </c>
      <c r="AE42" s="147">
        <f>ROUND(SUMIFS(meghsteelsales_previousmonth[Quantity],meghsteelsales_previousmonth[Length Bucket],Table29[[#This Row],[Bucket CTL]])/1000,0)</f>
        <v/>
      </c>
      <c r="AF42" s="147">
        <f>ROUND(SUMIFS(meghsteelsales_currentmonth[Quantity],meghsteelsales_currentmonth[Length Bucket],Table29[[#This Row],[Bucket CTL]])/1000,0)</f>
        <v/>
      </c>
    </row>
    <row r="43" customFormat="1" s="386">
      <c r="A43" s="147" t="inlineStr">
        <is>
          <t>TVS</t>
        </is>
      </c>
      <c r="B43" s="491" t="n">
        <v>943209</v>
      </c>
      <c r="C43" s="265" t="inlineStr">
        <is>
          <t>RUCHA</t>
        </is>
      </c>
      <c r="D43" s="147" t="inlineStr">
        <is>
          <t>ERW1</t>
        </is>
      </c>
      <c r="E43" s="147" t="inlineStr">
        <is>
          <t>FIN CUT</t>
        </is>
      </c>
      <c r="F43" s="147" t="inlineStr">
        <is>
          <t>ERW</t>
        </is>
      </c>
      <c r="G43" s="148" t="n">
        <v>41.28</v>
      </c>
      <c r="H43" s="148" t="n"/>
      <c r="I43" s="148" t="n">
        <v>2.6</v>
      </c>
      <c r="J43" s="147" t="n">
        <v>6000</v>
      </c>
      <c r="K43" s="147" t="n">
        <v>6</v>
      </c>
      <c r="L43" s="147">
        <f>_xlfn.CONCAT(G43,I43,K43,F43,E43)</f>
        <v/>
      </c>
      <c r="M43" s="151" t="inlineStr">
        <is>
          <t>0789</t>
        </is>
      </c>
      <c r="N43" s="150" t="n">
        <v>3994149</v>
      </c>
      <c r="O43" s="150" t="inlineStr">
        <is>
          <t>41.28-0-2.6-ERW 1-FC</t>
        </is>
      </c>
      <c r="P43" s="150" t="inlineStr">
        <is>
          <t>41.28-0-2.6-ERW 1-FC-6</t>
        </is>
      </c>
      <c r="Q43" s="150" t="n">
        <v>0</v>
      </c>
      <c r="R43" s="150" t="inlineStr">
        <is>
          <t>0789</t>
        </is>
      </c>
      <c r="S43" s="150" t="n">
        <v>3974563</v>
      </c>
      <c r="T43" s="19" t="n">
        <v>50</v>
      </c>
      <c r="U43" s="147" t="n">
        <v>14</v>
      </c>
      <c r="V43" s="147" t="n">
        <v>14</v>
      </c>
      <c r="W43" s="147" t="n"/>
      <c r="X43" s="147">
        <f>V43-U43</f>
        <v/>
      </c>
      <c r="Y43" s="147" t="n">
        <v>84</v>
      </c>
      <c r="Z43" s="147">
        <f>SUMIFS(orderbook[Bal to Desp],orderbook[key],Table29[[#This Row],[Key]])</f>
        <v/>
      </c>
      <c r="AA43" s="500">
        <f>Table29[[#This Row],[order logg ]]-Table29[[#This Row],[check from 17092025 orderbook sent by ashish]]</f>
        <v/>
      </c>
      <c r="AB43" s="147">
        <f>X43+Y43</f>
        <v/>
      </c>
      <c r="AC43" s="19">
        <f>T43-AB43</f>
        <v/>
      </c>
      <c r="AD43" s="387">
        <f>IF(AC43&gt;0,AC43,0)*150%+Table29[[#This Row],[GAP of order log and 17092025 orderbook]]</f>
        <v/>
      </c>
      <c r="AE43" s="147">
        <f>ROUND(SUMIFS(meghsteelsales_previousmonth[Quantity],meghsteelsales_previousmonth[Length Bucket],Table29[[#This Row],[Bucket CTL]])/1000,0)</f>
        <v/>
      </c>
      <c r="AF43" s="147">
        <f>ROUND(SUMIFS(meghsteelsales_currentmonth[Quantity],meghsteelsales_currentmonth[Length Bucket],Table29[[#This Row],[Bucket CTL]])/1000,0)</f>
        <v/>
      </c>
    </row>
    <row r="44">
      <c r="A44" s="147" t="inlineStr">
        <is>
          <t>TVS</t>
        </is>
      </c>
      <c r="B44" s="491" t="n">
        <v>943209</v>
      </c>
      <c r="C44" s="265" t="inlineStr">
        <is>
          <t>RUCHA</t>
        </is>
      </c>
      <c r="D44" s="159" t="inlineStr">
        <is>
          <t>ERW1</t>
        </is>
      </c>
      <c r="E44" s="147" t="inlineStr">
        <is>
          <t>FIN CUT</t>
        </is>
      </c>
      <c r="F44" s="147" t="inlineStr">
        <is>
          <t>ERW</t>
        </is>
      </c>
      <c r="G44" s="168" t="inlineStr">
        <is>
          <t>40x25</t>
        </is>
      </c>
      <c r="H44" s="168" t="n"/>
      <c r="I44" s="168" t="n">
        <v>1.6</v>
      </c>
      <c r="J44" s="169" t="n">
        <v>6130</v>
      </c>
      <c r="K44" s="147" t="n">
        <v>6.13</v>
      </c>
      <c r="L44" s="147">
        <f>_xlfn.CONCAT(G44,I44,K44,F44,E44)</f>
        <v/>
      </c>
      <c r="M44" s="151" t="inlineStr">
        <is>
          <t>0789</t>
        </is>
      </c>
      <c r="N44" s="150" t="n"/>
      <c r="O44" s="150" t="inlineStr">
        <is>
          <t>40-25-1.6-ERW 1-FC</t>
        </is>
      </c>
      <c r="P44" s="150" t="inlineStr">
        <is>
          <t>40-25-1.6-ERW 1-FC-6.13</t>
        </is>
      </c>
      <c r="Q44" s="150" t="n">
        <v>0</v>
      </c>
      <c r="R44" s="150" t="inlineStr">
        <is>
          <t>0789</t>
        </is>
      </c>
      <c r="S44" s="150" t="n">
        <v>3919144</v>
      </c>
      <c r="T44" s="19" t="n">
        <v>6</v>
      </c>
      <c r="U44" s="147" t="n">
        <v>0</v>
      </c>
      <c r="V44" s="147" t="n">
        <v>0</v>
      </c>
      <c r="W44" s="147" t="n"/>
      <c r="X44" s="147">
        <f>V44-U44</f>
        <v/>
      </c>
      <c r="Y44" s="147" t="n">
        <v>7.5</v>
      </c>
      <c r="Z44" s="147">
        <f>SUMIFS(orderbook[Bal to Desp],orderbook[key],Table29[[#This Row],[Key]])</f>
        <v/>
      </c>
      <c r="AA44" s="500">
        <f>Table29[[#This Row],[order logg ]]-Table29[[#This Row],[check from 17092025 orderbook sent by ashish]]</f>
        <v/>
      </c>
      <c r="AB44" s="147">
        <f>X44+Y44</f>
        <v/>
      </c>
      <c r="AC44" s="19">
        <f>T44-AB44</f>
        <v/>
      </c>
      <c r="AD44" s="387">
        <f>IF(AC44&gt;0,AC44,0)*150%+Table29[[#This Row],[GAP of order log and 17092025 orderbook]]</f>
        <v/>
      </c>
      <c r="AE44" s="147">
        <f>ROUND(SUMIFS(meghsteelsales_previousmonth[Quantity],meghsteelsales_previousmonth[Length Bucket],Table29[[#This Row],[Bucket CTL]])/1000,0)</f>
        <v/>
      </c>
      <c r="AF44" s="147">
        <f>ROUND(SUMIFS(meghsteelsales_currentmonth[Quantity],meghsteelsales_currentmonth[Length Bucket],Table29[[#This Row],[Bucket CTL]])/1000,0)</f>
        <v/>
      </c>
    </row>
    <row r="45">
      <c r="A45" s="147" t="inlineStr">
        <is>
          <t>HMSI</t>
        </is>
      </c>
      <c r="B45" s="265" t="n">
        <v>943210</v>
      </c>
      <c r="C45" s="265" t="inlineStr">
        <is>
          <t>BADVE</t>
        </is>
      </c>
      <c r="D45" s="153" t="inlineStr">
        <is>
          <t>ERW1</t>
        </is>
      </c>
      <c r="E45" s="147" t="inlineStr">
        <is>
          <t>FIN CUT</t>
        </is>
      </c>
      <c r="F45" s="147" t="inlineStr">
        <is>
          <t>ERW</t>
        </is>
      </c>
      <c r="G45" s="148" t="n">
        <v>41.28</v>
      </c>
      <c r="H45" s="148" t="n"/>
      <c r="I45" s="148" t="n">
        <v>3.15</v>
      </c>
      <c r="J45" s="147" t="n">
        <v>5860</v>
      </c>
      <c r="K45" s="147" t="n">
        <v>5.86</v>
      </c>
      <c r="L45" s="147">
        <f>_xlfn.CONCAT(G45,I45,K45,F45,E45)</f>
        <v/>
      </c>
      <c r="M45" s="149" t="n"/>
      <c r="N45" s="150" t="n">
        <v>3673889</v>
      </c>
      <c r="O45" s="150" t="inlineStr">
        <is>
          <t>41.28-0-3.15-ERW 1-FC</t>
        </is>
      </c>
      <c r="P45" s="150" t="inlineStr">
        <is>
          <t>41.28-0-3.15-ERW 1-FC-5.86</t>
        </is>
      </c>
      <c r="Q45" s="150" t="n">
        <v>0</v>
      </c>
      <c r="R45" s="150" t="inlineStr">
        <is>
          <t>056</t>
        </is>
      </c>
      <c r="S45" s="150" t="n">
        <v>3673889</v>
      </c>
      <c r="T45" s="19" t="n">
        <v>45</v>
      </c>
      <c r="U45" s="147" t="n">
        <v>0</v>
      </c>
      <c r="V45" s="147" t="n">
        <v>0</v>
      </c>
      <c r="W45" s="147" t="n"/>
      <c r="X45" s="147">
        <f>V45-U45</f>
        <v/>
      </c>
      <c r="Y45" s="147" t="n">
        <v>92</v>
      </c>
      <c r="Z45" s="147">
        <f>SUMIFS(orderbook[Bal to Desp],orderbook[key],Table29[[#This Row],[Key]])</f>
        <v/>
      </c>
      <c r="AA45" s="500">
        <f>Table29[[#This Row],[order logg ]]-Table29[[#This Row],[check from 17092025 orderbook sent by ashish]]</f>
        <v/>
      </c>
      <c r="AB45" s="147">
        <f>X45+Y45</f>
        <v/>
      </c>
      <c r="AC45" s="19">
        <f>T45-AB45</f>
        <v/>
      </c>
      <c r="AD45" s="387">
        <f>IF(AC45&gt;0,AC45,0)*150%+Table29[[#This Row],[GAP of order log and 17092025 orderbook]]</f>
        <v/>
      </c>
      <c r="AE45" s="147">
        <f>ROUND(SUMIFS(meghsteelsales_previousmonth[Quantity],meghsteelsales_previousmonth[Length Bucket],Table29[[#This Row],[Bucket CTL]])/1000,0)</f>
        <v/>
      </c>
      <c r="AF45" s="147">
        <f>ROUND(SUMIFS(meghsteelsales_currentmonth[Quantity],meghsteelsales_currentmonth[Length Bucket],Table29[[#This Row],[Bucket CTL]])/1000,0)</f>
        <v/>
      </c>
    </row>
    <row r="46">
      <c r="A46" s="147" t="inlineStr">
        <is>
          <t>TVS</t>
        </is>
      </c>
      <c r="B46" s="491" t="n">
        <v>943209</v>
      </c>
      <c r="C46" s="265" t="inlineStr">
        <is>
          <t>RUCHA,METALMAN</t>
        </is>
      </c>
      <c r="D46" s="153" t="inlineStr">
        <is>
          <t>ERW AN</t>
        </is>
      </c>
      <c r="E46" s="147" t="inlineStr">
        <is>
          <t>FIN CUT</t>
        </is>
      </c>
      <c r="F46" s="147" t="inlineStr">
        <is>
          <t>ERW</t>
        </is>
      </c>
      <c r="G46" s="148" t="n">
        <v>42.7</v>
      </c>
      <c r="H46" s="148" t="n"/>
      <c r="I46" s="148" t="n">
        <v>3.5</v>
      </c>
      <c r="J46" s="147" t="n">
        <v>6000</v>
      </c>
      <c r="K46" s="147" t="n">
        <v>6</v>
      </c>
      <c r="L46" s="147">
        <f>_xlfn.CONCAT(G46,I46,K46,F46,E46)</f>
        <v/>
      </c>
      <c r="M46" s="151" t="inlineStr">
        <is>
          <t>0788</t>
        </is>
      </c>
      <c r="N46" s="150" t="n">
        <v>2396465</v>
      </c>
      <c r="O46" s="150" t="inlineStr">
        <is>
          <t>42.7-0-3.5-ERW 1-FC</t>
        </is>
      </c>
      <c r="P46" s="150" t="inlineStr">
        <is>
          <t>42.7-0-3.5-ERW 1-FC-6</t>
        </is>
      </c>
      <c r="Q46" s="150" t="n">
        <v>0</v>
      </c>
      <c r="R46" s="150" t="inlineStr">
        <is>
          <t>0788</t>
        </is>
      </c>
      <c r="S46" s="150" t="n">
        <v>2396465</v>
      </c>
      <c r="T46" s="19" t="n">
        <v>5</v>
      </c>
      <c r="U46" s="147" t="n">
        <v>1</v>
      </c>
      <c r="V46" s="147" t="n">
        <v>25</v>
      </c>
      <c r="W46" s="147" t="n"/>
      <c r="X46" s="147">
        <f>V46-U46</f>
        <v/>
      </c>
      <c r="Y46" s="147" t="n">
        <v>2</v>
      </c>
      <c r="Z46" s="147">
        <f>SUMIFS(orderbook[Bal to Desp],orderbook[key],Table29[[#This Row],[Key]])</f>
        <v/>
      </c>
      <c r="AA46" s="500">
        <f>Table29[[#This Row],[order logg ]]-Table29[[#This Row],[check from 17092025 orderbook sent by ashish]]</f>
        <v/>
      </c>
      <c r="AB46" s="147">
        <f>X46+Y46</f>
        <v/>
      </c>
      <c r="AC46" s="19">
        <f>T46-AB46</f>
        <v/>
      </c>
      <c r="AD46" s="387">
        <f>IF(AC46&gt;0,AC46,0)*150%+Table29[[#This Row],[GAP of order log and 17092025 orderbook]]</f>
        <v/>
      </c>
      <c r="AE46" s="147">
        <f>ROUND(SUMIFS(meghsteelsales_previousmonth[Quantity],meghsteelsales_previousmonth[Length Bucket],Table29[[#This Row],[Bucket CTL]])/1000,0)</f>
        <v/>
      </c>
      <c r="AF46" s="147">
        <f>ROUND(SUMIFS(meghsteelsales_currentmonth[Quantity],meghsteelsales_currentmonth[Length Bucket],Table29[[#This Row],[Bucket CTL]])/1000,0)</f>
        <v/>
      </c>
    </row>
    <row r="47">
      <c r="A47" s="147" t="inlineStr">
        <is>
          <t>TVS</t>
        </is>
      </c>
      <c r="B47" s="491" t="n">
        <v>943209</v>
      </c>
      <c r="C47" s="265" t="inlineStr">
        <is>
          <t>RUCHA,METALMAN</t>
        </is>
      </c>
      <c r="D47" s="153" t="inlineStr">
        <is>
          <t>ERW AN</t>
        </is>
      </c>
      <c r="E47" s="147" t="inlineStr">
        <is>
          <t>FIN CUT</t>
        </is>
      </c>
      <c r="F47" s="147" t="inlineStr">
        <is>
          <t>ERW</t>
        </is>
      </c>
      <c r="G47" s="148" t="n">
        <v>42.7</v>
      </c>
      <c r="H47" s="148" t="n"/>
      <c r="I47" s="148" t="n">
        <v>4</v>
      </c>
      <c r="J47" s="147" t="n">
        <v>6000</v>
      </c>
      <c r="K47" s="147" t="n">
        <v>6</v>
      </c>
      <c r="L47" s="147">
        <f>_xlfn.CONCAT(G47,I47,K47,F47,E47)</f>
        <v/>
      </c>
      <c r="M47" s="149" t="n"/>
      <c r="N47" s="150" t="n">
        <v>3501985</v>
      </c>
      <c r="O47" s="150" t="inlineStr">
        <is>
          <t>42.7-0-4-ERW 1-FC</t>
        </is>
      </c>
      <c r="P47" s="150" t="inlineStr">
        <is>
          <t>42.7-0-4-ERW 1-FC-6</t>
        </is>
      </c>
      <c r="Q47" s="150" t="n">
        <v>0</v>
      </c>
      <c r="R47" s="150" t="inlineStr">
        <is>
          <t>0788</t>
        </is>
      </c>
      <c r="S47" s="150" t="n">
        <v>3501985</v>
      </c>
      <c r="T47" s="19" t="n">
        <v>30</v>
      </c>
      <c r="U47" s="147" t="n">
        <v>10</v>
      </c>
      <c r="V47" s="147" t="n">
        <v>15</v>
      </c>
      <c r="W47" s="147" t="n"/>
      <c r="X47" s="147">
        <f>V47-U47</f>
        <v/>
      </c>
      <c r="Y47" s="147" t="n">
        <v>14</v>
      </c>
      <c r="Z47" s="147">
        <f>SUMIFS(orderbook[Bal to Desp],orderbook[key],Table29[[#This Row],[Key]])</f>
        <v/>
      </c>
      <c r="AA47" s="500">
        <f>Table29[[#This Row],[order logg ]]-Table29[[#This Row],[check from 17092025 orderbook sent by ashish]]</f>
        <v/>
      </c>
      <c r="AB47" s="147">
        <f>X47+Y47</f>
        <v/>
      </c>
      <c r="AC47" s="19">
        <f>T47-AB47</f>
        <v/>
      </c>
      <c r="AD47" s="387">
        <f>IF(AC47&gt;0,AC47,0)*150%+Table29[[#This Row],[GAP of order log and 17092025 orderbook]]</f>
        <v/>
      </c>
      <c r="AE47" s="147">
        <f>ROUND(SUMIFS(meghsteelsales_previousmonth[Quantity],meghsteelsales_previousmonth[Length Bucket],Table29[[#This Row],[Bucket CTL]])/1000,0)</f>
        <v/>
      </c>
      <c r="AF47" s="147">
        <f>ROUND(SUMIFS(meghsteelsales_currentmonth[Quantity],meghsteelsales_currentmonth[Length Bucket],Table29[[#This Row],[Bucket CTL]])/1000,0)</f>
        <v/>
      </c>
    </row>
    <row r="48">
      <c r="A48" s="147" t="inlineStr">
        <is>
          <t>TVS</t>
        </is>
      </c>
      <c r="B48" s="491" t="n">
        <v>943209</v>
      </c>
      <c r="C48" s="265" t="inlineStr">
        <is>
          <t>RUCHA,METALMAN</t>
        </is>
      </c>
      <c r="D48" s="155" t="inlineStr">
        <is>
          <t>ERW1</t>
        </is>
      </c>
      <c r="E48" s="147" t="inlineStr">
        <is>
          <t>FIN CUT</t>
        </is>
      </c>
      <c r="F48" s="147" t="inlineStr">
        <is>
          <t>ERW</t>
        </is>
      </c>
      <c r="G48" s="154" t="inlineStr">
        <is>
          <t>40x30</t>
        </is>
      </c>
      <c r="H48" s="154" t="n"/>
      <c r="I48" s="154" t="n">
        <v>1.6</v>
      </c>
      <c r="J48" s="155" t="n">
        <v>5900</v>
      </c>
      <c r="K48" s="147" t="n">
        <v>5.9</v>
      </c>
      <c r="L48" s="147">
        <f>_xlfn.CONCAT(G48,I48,K48,F48,E48)</f>
        <v/>
      </c>
      <c r="M48" s="151" t="inlineStr">
        <is>
          <t>0788</t>
        </is>
      </c>
      <c r="N48" s="150" t="n">
        <v>3836440</v>
      </c>
      <c r="O48" s="150" t="inlineStr">
        <is>
          <t>40-30-1.6-ERW 1-FC</t>
        </is>
      </c>
      <c r="P48" s="150" t="inlineStr">
        <is>
          <t>40-30-1.6-ERW 1-FC-5.9</t>
        </is>
      </c>
      <c r="Q48" s="150" t="n">
        <v>0</v>
      </c>
      <c r="R48" s="150" t="inlineStr">
        <is>
          <t>0789</t>
        </is>
      </c>
      <c r="S48" s="150" t="n">
        <v>3836440</v>
      </c>
      <c r="T48" s="19" t="n">
        <v>10</v>
      </c>
      <c r="U48" s="147" t="n">
        <v>2</v>
      </c>
      <c r="V48" s="147" t="n">
        <v>5</v>
      </c>
      <c r="W48" s="147" t="n"/>
      <c r="X48" s="147">
        <f>V48-U48</f>
        <v/>
      </c>
      <c r="Y48" s="147" t="n">
        <v>12</v>
      </c>
      <c r="Z48" s="147">
        <f>SUMIFS(orderbook[Bal to Desp],orderbook[key],Table29[[#This Row],[Key]])</f>
        <v/>
      </c>
      <c r="AA48" s="500">
        <f>Table29[[#This Row],[order logg ]]-Table29[[#This Row],[check from 17092025 orderbook sent by ashish]]</f>
        <v/>
      </c>
      <c r="AB48" s="147">
        <f>X48+Y48</f>
        <v/>
      </c>
      <c r="AC48" s="19">
        <f>T48-AB48</f>
        <v/>
      </c>
      <c r="AD48" s="387">
        <f>IF(AC48&gt;0,AC48,0)*150%+Table29[[#This Row],[GAP of order log and 17092025 orderbook]]</f>
        <v/>
      </c>
      <c r="AE48" s="147">
        <f>ROUND(SUMIFS(meghsteelsales_previousmonth[Quantity],meghsteelsales_previousmonth[Length Bucket],Table29[[#This Row],[Bucket CTL]])/1000,0)</f>
        <v/>
      </c>
      <c r="AF48" s="147">
        <f>ROUND(SUMIFS(meghsteelsales_currentmonth[Quantity],meghsteelsales_currentmonth[Length Bucket],Table29[[#This Row],[Bucket CTL]])/1000,0)</f>
        <v/>
      </c>
    </row>
    <row r="49">
      <c r="A49" s="147" t="inlineStr">
        <is>
          <t>HMSI</t>
        </is>
      </c>
      <c r="B49" s="265" t="n">
        <v>943210</v>
      </c>
      <c r="C49" s="265" t="inlineStr">
        <is>
          <t>BADVE</t>
        </is>
      </c>
      <c r="D49" s="153" t="inlineStr">
        <is>
          <t>ERW2</t>
        </is>
      </c>
      <c r="E49" s="147" t="inlineStr">
        <is>
          <t>FIN CUT</t>
        </is>
      </c>
      <c r="F49" s="147" t="inlineStr">
        <is>
          <t>HST</t>
        </is>
      </c>
      <c r="G49" s="148" t="n">
        <v>45</v>
      </c>
      <c r="H49" s="148" t="n"/>
      <c r="I49" s="148" t="n">
        <v>1.4</v>
      </c>
      <c r="J49" s="147" t="n">
        <v>6400</v>
      </c>
      <c r="K49" s="147" t="n">
        <v>6.42</v>
      </c>
      <c r="L49" s="147">
        <f>_xlfn.CONCAT(G49,I49,K49,F49,E49)</f>
        <v/>
      </c>
      <c r="M49" s="149" t="n"/>
      <c r="N49" s="150" t="n">
        <v>3502343</v>
      </c>
      <c r="O49" s="150" t="inlineStr">
        <is>
          <t>45-0-1.4-ERW 2-FIN CUT</t>
        </is>
      </c>
      <c r="P49" s="150" t="inlineStr">
        <is>
          <t>45-0-1.4-ERW 2-FIN CUT-6.4</t>
        </is>
      </c>
      <c r="Q49" s="150" t="n">
        <v>0</v>
      </c>
      <c r="R49" s="150" t="inlineStr">
        <is>
          <t>0789</t>
        </is>
      </c>
      <c r="S49" s="150" t="n">
        <v>3502343</v>
      </c>
      <c r="T49" s="19" t="n">
        <v>10</v>
      </c>
      <c r="U49" s="147" t="n">
        <v>5</v>
      </c>
      <c r="V49" s="147" t="n">
        <v>54</v>
      </c>
      <c r="W49" s="147" t="n"/>
      <c r="X49" s="147">
        <f>V49-U49</f>
        <v/>
      </c>
      <c r="Y49" s="147" t="n">
        <v>30</v>
      </c>
      <c r="Z49" s="147">
        <f>SUMIFS(orderbook[Bal to Desp],orderbook[key],Table29[[#This Row],[Key]])</f>
        <v/>
      </c>
      <c r="AA49" s="500">
        <f>Table29[[#This Row],[order logg ]]-Table29[[#This Row],[check from 17092025 orderbook sent by ashish]]</f>
        <v/>
      </c>
      <c r="AB49" s="147">
        <f>X49+Y49</f>
        <v/>
      </c>
      <c r="AC49" s="19">
        <f>T49-AB49</f>
        <v/>
      </c>
      <c r="AD49" s="387">
        <f>IF(AC49&gt;0,AC49,0)*150%+Table29[[#This Row],[GAP of order log and 17092025 orderbook]]</f>
        <v/>
      </c>
      <c r="AE49" s="147">
        <f>ROUND(SUMIFS(meghsteelsales_previousmonth[Quantity],meghsteelsales_previousmonth[Length Bucket],Table29[[#This Row],[Bucket CTL]])/1000,0)</f>
        <v/>
      </c>
      <c r="AF49" s="147">
        <f>ROUND(SUMIFS(meghsteelsales_currentmonth[Quantity],meghsteelsales_currentmonth[Length Bucket],Table29[[#This Row],[Bucket CTL]])/1000,0)</f>
        <v/>
      </c>
    </row>
    <row r="50">
      <c r="A50" s="147" t="inlineStr">
        <is>
          <t>HMSI</t>
        </is>
      </c>
      <c r="B50" s="265" t="n">
        <v>943210</v>
      </c>
      <c r="C50" s="265" t="inlineStr">
        <is>
          <t>BADVE</t>
        </is>
      </c>
      <c r="D50" s="153" t="inlineStr">
        <is>
          <t>ERW1</t>
        </is>
      </c>
      <c r="E50" s="147" t="inlineStr">
        <is>
          <t>FIN CUT</t>
        </is>
      </c>
      <c r="F50" s="147" t="inlineStr">
        <is>
          <t>ERW</t>
        </is>
      </c>
      <c r="G50" s="148" t="n">
        <v>45</v>
      </c>
      <c r="H50" s="148" t="n"/>
      <c r="I50" s="148" t="n">
        <v>1.4</v>
      </c>
      <c r="J50" s="147" t="n">
        <v>5700</v>
      </c>
      <c r="K50" s="147" t="n">
        <v>5.7</v>
      </c>
      <c r="L50" s="147">
        <f>_xlfn.CONCAT(G50,I50,K50,F50,E50)</f>
        <v/>
      </c>
      <c r="M50" s="151" t="inlineStr">
        <is>
          <t>056</t>
        </is>
      </c>
      <c r="N50" s="150" t="n">
        <v>3545558</v>
      </c>
      <c r="O50" s="150" t="inlineStr">
        <is>
          <t>45--1.4-ERW 1-FIN CUT</t>
        </is>
      </c>
      <c r="P50" s="150" t="inlineStr">
        <is>
          <t>45--1.4-ERW 1-FIN CUT-5.7</t>
        </is>
      </c>
      <c r="Q50" s="150" t="n">
        <v>0</v>
      </c>
      <c r="R50" s="150" t="inlineStr">
        <is>
          <t>056</t>
        </is>
      </c>
      <c r="S50" s="150" t="n">
        <v>3545558</v>
      </c>
      <c r="T50" s="19" t="n">
        <v>10</v>
      </c>
      <c r="U50" s="147" t="n">
        <v>0</v>
      </c>
      <c r="V50" s="147" t="n">
        <v>0</v>
      </c>
      <c r="W50" s="147" t="n"/>
      <c r="X50" s="147">
        <f>V50-U50</f>
        <v/>
      </c>
      <c r="Y50" s="147" t="n">
        <v>0</v>
      </c>
      <c r="Z50" s="147">
        <f>SUMIFS(orderbook[Bal to Desp],orderbook[key],Table29[[#This Row],[Key]])</f>
        <v/>
      </c>
      <c r="AA50" s="500">
        <f>Table29[[#This Row],[order logg ]]-Table29[[#This Row],[check from 17092025 orderbook sent by ashish]]</f>
        <v/>
      </c>
      <c r="AB50" s="147">
        <f>X50+Y50</f>
        <v/>
      </c>
      <c r="AC50" s="19">
        <f>T50-AB50</f>
        <v/>
      </c>
      <c r="AD50" s="387" t="n"/>
      <c r="AE50" s="147">
        <f>ROUND(SUMIFS(meghsteelsales_previousmonth[Quantity],meghsteelsales_previousmonth[Length Bucket],Table29[[#This Row],[Bucket CTL]])/1000,0)</f>
        <v/>
      </c>
      <c r="AF50" s="147">
        <f>ROUND(SUMIFS(meghsteelsales_currentmonth[Quantity],meghsteelsales_currentmonth[Length Bucket],Table29[[#This Row],[Bucket CTL]])/1000,0)</f>
        <v/>
      </c>
    </row>
    <row r="51">
      <c r="A51" s="147" t="inlineStr">
        <is>
          <t>HMSI</t>
        </is>
      </c>
      <c r="B51" s="265" t="n">
        <v>943210</v>
      </c>
      <c r="C51" s="265" t="inlineStr">
        <is>
          <t>BADVE</t>
        </is>
      </c>
      <c r="D51" s="153" t="inlineStr">
        <is>
          <t>ERW2</t>
        </is>
      </c>
      <c r="E51" s="147" t="inlineStr">
        <is>
          <t>FIN CUT</t>
        </is>
      </c>
      <c r="F51" s="147" t="inlineStr">
        <is>
          <t>HST</t>
        </is>
      </c>
      <c r="G51" s="148" t="n">
        <v>45</v>
      </c>
      <c r="H51" s="148" t="n"/>
      <c r="I51" s="148" t="n">
        <v>1.6</v>
      </c>
      <c r="J51" s="147" t="n">
        <v>6400</v>
      </c>
      <c r="K51" s="147" t="n">
        <v>6.42</v>
      </c>
      <c r="L51" s="147">
        <f>_xlfn.CONCAT(G51,I51,K51,F51,E51)</f>
        <v/>
      </c>
      <c r="M51" s="149" t="n"/>
      <c r="N51" s="150" t="n">
        <v>3502388</v>
      </c>
      <c r="O51" s="150" t="inlineStr">
        <is>
          <t>45-0-1.6-ERW 2-FIN CUT</t>
        </is>
      </c>
      <c r="P51" s="150" t="inlineStr">
        <is>
          <t>45-0-1.6-ERW 2-FIN CUT-6.4</t>
        </is>
      </c>
      <c r="Q51" s="150" t="n">
        <v>0</v>
      </c>
      <c r="R51" s="150" t="inlineStr">
        <is>
          <t>0789</t>
        </is>
      </c>
      <c r="S51" s="150" t="n">
        <v>3502388</v>
      </c>
      <c r="T51" s="19" t="n">
        <v>10</v>
      </c>
      <c r="U51" s="147" t="n">
        <v>5</v>
      </c>
      <c r="V51" s="147" t="n">
        <v>18</v>
      </c>
      <c r="W51" s="147" t="n"/>
      <c r="X51" s="147">
        <f>V51-U51</f>
        <v/>
      </c>
      <c r="Y51" s="147" t="n">
        <v>30</v>
      </c>
      <c r="Z51" s="147">
        <f>SUMIFS(orderbook[Bal to Desp],orderbook[key],Table29[[#This Row],[Key]])</f>
        <v/>
      </c>
      <c r="AA51" s="500">
        <f>Table29[[#This Row],[order logg ]]-Table29[[#This Row],[check from 17092025 orderbook sent by ashish]]</f>
        <v/>
      </c>
      <c r="AB51" s="147">
        <f>X51+Y51</f>
        <v/>
      </c>
      <c r="AC51" s="19">
        <f>T51-AB51</f>
        <v/>
      </c>
      <c r="AD51" s="387">
        <f>IF(AC51&gt;0,AC51,0)*150%+Table29[[#This Row],[GAP of order log and 17092025 orderbook]]</f>
        <v/>
      </c>
      <c r="AE51" s="147">
        <f>ROUND(SUMIFS(meghsteelsales_previousmonth[Quantity],meghsteelsales_previousmonth[Length Bucket],Table29[[#This Row],[Bucket CTL]])/1000,0)</f>
        <v/>
      </c>
      <c r="AF51" s="147">
        <f>ROUND(SUMIFS(meghsteelsales_currentmonth[Quantity],meghsteelsales_currentmonth[Length Bucket],Table29[[#This Row],[Bucket CTL]])/1000,0)</f>
        <v/>
      </c>
    </row>
    <row r="52">
      <c r="A52" s="147" t="inlineStr">
        <is>
          <t>HMSI</t>
        </is>
      </c>
      <c r="B52" s="265" t="n">
        <v>943210</v>
      </c>
      <c r="C52" s="265" t="inlineStr">
        <is>
          <t>BADVE</t>
        </is>
      </c>
      <c r="D52" s="153" t="inlineStr">
        <is>
          <t>CEW-1</t>
        </is>
      </c>
      <c r="E52" s="147" t="inlineStr">
        <is>
          <t>FIN CUT</t>
        </is>
      </c>
      <c r="F52" s="147" t="inlineStr">
        <is>
          <t>CEW-1</t>
        </is>
      </c>
      <c r="G52" s="148" t="n">
        <v>45</v>
      </c>
      <c r="H52" s="148" t="n"/>
      <c r="I52" s="148" t="n">
        <v>3.5</v>
      </c>
      <c r="J52" s="147" t="n">
        <v>6100</v>
      </c>
      <c r="K52" s="147" t="n">
        <v>6.1</v>
      </c>
      <c r="L52" s="147">
        <f>_xlfn.CONCAT(G52,I52,K52,F52,E52)</f>
        <v/>
      </c>
      <c r="M52" s="149" t="n"/>
      <c r="N52" s="15" t="n">
        <v>3500263</v>
      </c>
      <c r="O52" s="150" t="e">
        <v>#N/A</v>
      </c>
      <c r="P52" s="150" t="e">
        <v>#N/A</v>
      </c>
      <c r="Q52" s="150" t="e">
        <v>#N/A</v>
      </c>
      <c r="R52" s="150" t="e">
        <v>#N/A</v>
      </c>
      <c r="S52" s="150" t="n">
        <v>3500263</v>
      </c>
      <c r="T52" s="19" t="n">
        <v>10</v>
      </c>
      <c r="U52" s="147" t="n"/>
      <c r="V52" s="147" t="n">
        <v>0</v>
      </c>
      <c r="W52" s="147" t="n"/>
      <c r="X52" s="147" t="n"/>
      <c r="Y52" s="147" t="n">
        <v>10</v>
      </c>
      <c r="Z52" s="147">
        <f>SUMIFS(orderbook[Bal to Desp],orderbook[key],Table29[[#This Row],[Key]])</f>
        <v/>
      </c>
      <c r="AA52" s="147">
        <f>Table29[[#This Row],[order logg ]]-Table29[[#This Row],[check from 17092025 orderbook sent by ashish]]</f>
        <v/>
      </c>
      <c r="AB52" s="147" t="n"/>
      <c r="AC52" s="19" t="n"/>
      <c r="AD52" s="387">
        <f>IF(AC52&gt;0,AC52,0)*150%</f>
        <v/>
      </c>
      <c r="AE52" s="147">
        <f>ROUND(SUMIFS(meghsteelsales_previousmonth[Quantity],meghsteelsales_previousmonth[Length Bucket],Table29[[#This Row],[Bucket CTL]])/1000,0)</f>
        <v/>
      </c>
      <c r="AF52" s="147">
        <f>ROUND(SUMIFS(meghsteelsales_currentmonth[Quantity],meghsteelsales_currentmonth[Length Bucket],Table29[[#This Row],[Bucket CTL]])/1000,0)</f>
        <v/>
      </c>
    </row>
    <row r="53">
      <c r="A53" s="147" t="inlineStr">
        <is>
          <t>RE</t>
        </is>
      </c>
      <c r="B53" s="265" t="n">
        <v>943211</v>
      </c>
      <c r="C53" s="265" t="inlineStr">
        <is>
          <t>BELRISE</t>
        </is>
      </c>
      <c r="D53" s="153" t="inlineStr">
        <is>
          <t>CEW-1</t>
        </is>
      </c>
      <c r="E53" s="147" t="inlineStr">
        <is>
          <t>FIN CUT</t>
        </is>
      </c>
      <c r="F53" s="147" t="inlineStr">
        <is>
          <t>CEW</t>
        </is>
      </c>
      <c r="G53" s="148" t="n">
        <v>47.63</v>
      </c>
      <c r="H53" s="148" t="n"/>
      <c r="I53" s="148" t="n">
        <v>4</v>
      </c>
      <c r="J53" s="147" t="n">
        <v>6040</v>
      </c>
      <c r="K53" s="147" t="n">
        <v>6.04</v>
      </c>
      <c r="L53" s="147">
        <f>_xlfn.CONCAT(G53,I53,K53,F53,E53)</f>
        <v/>
      </c>
      <c r="M53" s="149" t="n"/>
      <c r="N53" s="150" t="n"/>
      <c r="O53" s="150" t="e">
        <v>#N/A</v>
      </c>
      <c r="P53" s="150" t="e">
        <v>#N/A</v>
      </c>
      <c r="Q53" s="150" t="n">
        <v>0</v>
      </c>
      <c r="R53" s="150" t="inlineStr">
        <is>
          <t>0788</t>
        </is>
      </c>
      <c r="S53" s="150" t="n">
        <v>3500635</v>
      </c>
      <c r="T53" s="19" t="n">
        <v>10</v>
      </c>
      <c r="U53" s="147" t="n">
        <v>0</v>
      </c>
      <c r="V53" s="147" t="n">
        <v>0</v>
      </c>
      <c r="W53" s="147" t="n"/>
      <c r="X53" s="147">
        <f>V53-U53</f>
        <v/>
      </c>
      <c r="Y53" s="147" t="n">
        <v>0</v>
      </c>
      <c r="Z53" s="147">
        <f>SUMIFS(orderbook[Bal to Desp],orderbook[key],Table29[[#This Row],[Key]])</f>
        <v/>
      </c>
      <c r="AA53" s="147">
        <f>Table29[[#This Row],[order logg ]]-Table29[[#This Row],[check from 17092025 orderbook sent by ashish]]</f>
        <v/>
      </c>
      <c r="AB53" s="147">
        <f>X53+Y53</f>
        <v/>
      </c>
      <c r="AC53" s="19">
        <f>T53-AB53</f>
        <v/>
      </c>
      <c r="AD53" s="387">
        <f>IF(AC53&gt;0,AC53,0)*150%</f>
        <v/>
      </c>
      <c r="AE53" s="147">
        <f>ROUND(SUMIFS(meghsteelsales_previousmonth[Quantity],meghsteelsales_previousmonth[Length Bucket],Table29[[#This Row],[Bucket CTL]])/1000,0)</f>
        <v/>
      </c>
      <c r="AF53" s="147">
        <f>ROUND(SUMIFS(meghsteelsales_currentmonth[Quantity],meghsteelsales_currentmonth[Length Bucket],Table29[[#This Row],[Bucket CTL]])/1000,0)</f>
        <v/>
      </c>
    </row>
    <row r="54">
      <c r="A54" s="147" t="inlineStr">
        <is>
          <t>RE</t>
        </is>
      </c>
      <c r="B54" s="265" t="n">
        <v>943211</v>
      </c>
      <c r="C54" s="265" t="inlineStr">
        <is>
          <t>BELRISE</t>
        </is>
      </c>
      <c r="D54" s="153" t="inlineStr">
        <is>
          <t>ERW1</t>
        </is>
      </c>
      <c r="E54" s="147" t="inlineStr">
        <is>
          <t>FIN CUT</t>
        </is>
      </c>
      <c r="F54" s="147" t="inlineStr">
        <is>
          <t>ERW</t>
        </is>
      </c>
      <c r="G54" s="148" t="n">
        <v>48</v>
      </c>
      <c r="H54" s="148" t="n"/>
      <c r="I54" s="148" t="n">
        <v>1.2</v>
      </c>
      <c r="J54" s="147" t="n">
        <v>620</v>
      </c>
      <c r="K54" s="147" t="n">
        <v>0.62</v>
      </c>
      <c r="L54" s="147">
        <f>_xlfn.CONCAT(G54,I54,K54,F54,E54)</f>
        <v/>
      </c>
      <c r="M54" s="151" t="inlineStr">
        <is>
          <t>0789</t>
        </is>
      </c>
      <c r="N54" s="150" t="n">
        <v>2397072</v>
      </c>
      <c r="O54" s="150" t="inlineStr">
        <is>
          <t>48--1.2-ERW 1-FIN CUT</t>
        </is>
      </c>
      <c r="P54" s="150" t="inlineStr">
        <is>
          <t>48--1.2-ERW 1-FIN CUT-0.620</t>
        </is>
      </c>
      <c r="Q54" s="150" t="n">
        <v>0</v>
      </c>
      <c r="R54" s="150" t="inlineStr">
        <is>
          <t>0789</t>
        </is>
      </c>
      <c r="S54" s="150" t="n">
        <v>2397072</v>
      </c>
      <c r="T54" s="19" t="n">
        <v>10</v>
      </c>
      <c r="U54" s="147" t="n">
        <v>0</v>
      </c>
      <c r="V54" s="147" t="n">
        <v>0</v>
      </c>
      <c r="W54" s="147" t="n"/>
      <c r="X54" s="147">
        <f>V54-U54</f>
        <v/>
      </c>
      <c r="Y54" s="147" t="n">
        <v>40</v>
      </c>
      <c r="Z54" s="147">
        <f>SUMIFS(orderbook[Bal to Desp],orderbook[key],Table29[[#This Row],[Key]])</f>
        <v/>
      </c>
      <c r="AA54" s="500">
        <f>Table29[[#This Row],[order logg ]]-Table29[[#This Row],[check from 17092025 orderbook sent by ashish]]</f>
        <v/>
      </c>
      <c r="AB54" s="147">
        <f>X54+Y54</f>
        <v/>
      </c>
      <c r="AC54" s="19">
        <f>T54-AB54</f>
        <v/>
      </c>
      <c r="AD54" s="387">
        <f>IF(AC54&gt;0,AC54,0)*150%+Table29[[#This Row],[GAP of order log and 17092025 orderbook]]</f>
        <v/>
      </c>
      <c r="AE54" s="147">
        <f>ROUND(SUMIFS(meghsteelsales_previousmonth[Quantity],meghsteelsales_previousmonth[Length Bucket],Table29[[#This Row],[Bucket CTL]])/1000,0)</f>
        <v/>
      </c>
      <c r="AF54" s="147">
        <f>ROUND(SUMIFS(meghsteelsales_currentmonth[Quantity],meghsteelsales_currentmonth[Length Bucket],Table29[[#This Row],[Bucket CTL]])/1000,0)</f>
        <v/>
      </c>
    </row>
    <row r="55">
      <c r="A55" s="147" t="inlineStr">
        <is>
          <t>RE</t>
        </is>
      </c>
      <c r="B55" s="265" t="n">
        <v>943211</v>
      </c>
      <c r="C55" s="265" t="inlineStr">
        <is>
          <t>RAJSRIYA</t>
        </is>
      </c>
      <c r="D55" s="153" t="inlineStr">
        <is>
          <t>ERW1</t>
        </is>
      </c>
      <c r="E55" s="147" t="inlineStr">
        <is>
          <t>FIN CUT</t>
        </is>
      </c>
      <c r="F55" s="147" t="inlineStr">
        <is>
          <t>ERW</t>
        </is>
      </c>
      <c r="G55" s="148" t="n">
        <v>48</v>
      </c>
      <c r="H55" s="148" t="n"/>
      <c r="I55" s="148" t="n">
        <v>1.2</v>
      </c>
      <c r="J55" s="147" t="n">
        <v>650</v>
      </c>
      <c r="K55" s="147" t="n">
        <v>0.65</v>
      </c>
      <c r="L55" s="147">
        <f>_xlfn.CONCAT(G55,I55,K55,F55,E55)</f>
        <v/>
      </c>
      <c r="M55" s="151" t="inlineStr">
        <is>
          <t>0789</t>
        </is>
      </c>
      <c r="N55" s="150" t="n">
        <v>3649700</v>
      </c>
      <c r="O55" s="150" t="inlineStr">
        <is>
          <t>48--1.2-ERW 1-FIN CUT</t>
        </is>
      </c>
      <c r="P55" s="150" t="inlineStr">
        <is>
          <t>48--1.2-ERW 1-FIN CUT-0.7</t>
        </is>
      </c>
      <c r="Q55" s="150" t="n">
        <v>0</v>
      </c>
      <c r="R55" s="150" t="inlineStr">
        <is>
          <t>0789</t>
        </is>
      </c>
      <c r="S55" s="150" t="n">
        <v>2397060</v>
      </c>
      <c r="T55" s="19" t="n">
        <v>14</v>
      </c>
      <c r="U55" s="147" t="n">
        <v>0</v>
      </c>
      <c r="V55" s="147" t="n">
        <v>0</v>
      </c>
      <c r="W55" s="147" t="n"/>
      <c r="X55" s="147">
        <f>V55-U55</f>
        <v/>
      </c>
      <c r="Y55" s="147" t="n">
        <v>36</v>
      </c>
      <c r="Z55" s="147">
        <f>SUMIFS(orderbook[Bal to Desp],orderbook[key],Table29[[#This Row],[Key]])</f>
        <v/>
      </c>
      <c r="AA55" s="500">
        <f>Table29[[#This Row],[order logg ]]-Table29[[#This Row],[check from 17092025 orderbook sent by ashish]]</f>
        <v/>
      </c>
      <c r="AB55" s="147">
        <f>X55+Y55</f>
        <v/>
      </c>
      <c r="AC55" s="19">
        <f>T55-AB55</f>
        <v/>
      </c>
      <c r="AD55" s="387">
        <f>IF(AC55&gt;0,AC55,0)*150%+Table29[[#This Row],[GAP of order log and 17092025 orderbook]]</f>
        <v/>
      </c>
      <c r="AE55" s="147">
        <f>ROUND(SUMIFS(meghsteelsales_previousmonth[Quantity],meghsteelsales_previousmonth[Length Bucket],Table29[[#This Row],[Bucket CTL]])/1000,0)</f>
        <v/>
      </c>
      <c r="AF55" s="147">
        <f>ROUND(SUMIFS(meghsteelsales_currentmonth[Quantity],meghsteelsales_currentmonth[Length Bucket],Table29[[#This Row],[Bucket CTL]])/1000,0)</f>
        <v/>
      </c>
    </row>
    <row r="56">
      <c r="A56" s="147" t="inlineStr">
        <is>
          <t>HMSI</t>
        </is>
      </c>
      <c r="B56" s="265" t="n">
        <v>943210</v>
      </c>
      <c r="C56" s="265" t="inlineStr">
        <is>
          <t>BADVE</t>
        </is>
      </c>
      <c r="D56" s="153" t="inlineStr">
        <is>
          <t>ERW2</t>
        </is>
      </c>
      <c r="E56" s="147" t="inlineStr">
        <is>
          <t>FIN CUT</t>
        </is>
      </c>
      <c r="F56" s="147" t="inlineStr">
        <is>
          <t>HST</t>
        </is>
      </c>
      <c r="G56" s="148" t="n">
        <v>48.6</v>
      </c>
      <c r="H56" s="148" t="n"/>
      <c r="I56" s="148" t="n">
        <v>2</v>
      </c>
      <c r="J56" s="147" t="n">
        <v>6270</v>
      </c>
      <c r="K56" s="147" t="n">
        <v>6.27</v>
      </c>
      <c r="L56" s="147">
        <f>_xlfn.CONCAT(G56,I56,K56,F56,E56)</f>
        <v/>
      </c>
      <c r="M56" s="149" t="n"/>
      <c r="N56" s="150" t="n">
        <v>3502301</v>
      </c>
      <c r="O56" s="150" t="inlineStr">
        <is>
          <t>No Key</t>
        </is>
      </c>
      <c r="P56" s="150" t="inlineStr">
        <is>
          <t>No Key</t>
        </is>
      </c>
      <c r="Q56" s="150" t="n">
        <v>0</v>
      </c>
      <c r="R56" s="150" t="inlineStr">
        <is>
          <t>056</t>
        </is>
      </c>
      <c r="S56" s="150" t="n">
        <v>3502301</v>
      </c>
      <c r="T56" s="19" t="n">
        <v>10</v>
      </c>
      <c r="U56" s="147" t="n">
        <v>2</v>
      </c>
      <c r="V56" s="147" t="n">
        <v>40</v>
      </c>
      <c r="W56" s="147" t="n"/>
      <c r="X56" s="147">
        <f>V56-U56</f>
        <v/>
      </c>
      <c r="Y56" s="147" t="n">
        <v>0</v>
      </c>
      <c r="Z56" s="147">
        <f>SUMIFS(orderbook[Bal to Desp],orderbook[key],Table29[[#This Row],[Key]])</f>
        <v/>
      </c>
      <c r="AA56" s="147">
        <f>Table29[[#This Row],[order logg ]]-Table29[[#This Row],[check from 17092025 orderbook sent by ashish]]</f>
        <v/>
      </c>
      <c r="AB56" s="147">
        <f>X56+Y56</f>
        <v/>
      </c>
      <c r="AC56" s="19">
        <f>T56-AB56</f>
        <v/>
      </c>
      <c r="AD56" s="387">
        <f>IF(AC56&gt;0,AC56,0)*150%</f>
        <v/>
      </c>
      <c r="AE56" s="147">
        <f>ROUND(SUMIFS(meghsteelsales_previousmonth[Quantity],meghsteelsales_previousmonth[Length Bucket],Table29[[#This Row],[Bucket CTL]])/1000,0)</f>
        <v/>
      </c>
      <c r="AF56" s="147">
        <f>ROUND(SUMIFS(meghsteelsales_currentmonth[Quantity],meghsteelsales_currentmonth[Length Bucket],Table29[[#This Row],[Bucket CTL]])/1000,0)</f>
        <v/>
      </c>
    </row>
    <row r="57">
      <c r="A57" s="147" t="inlineStr">
        <is>
          <t>HMSI</t>
        </is>
      </c>
      <c r="B57" s="265" t="n">
        <v>943210</v>
      </c>
      <c r="C57" s="265" t="inlineStr">
        <is>
          <t>BADVE</t>
        </is>
      </c>
      <c r="D57" s="153" t="inlineStr">
        <is>
          <t>ERW2</t>
        </is>
      </c>
      <c r="E57" s="147" t="inlineStr">
        <is>
          <t>FIN CUT</t>
        </is>
      </c>
      <c r="F57" s="147" t="inlineStr">
        <is>
          <t>HST</t>
        </is>
      </c>
      <c r="G57" s="148" t="n">
        <v>48.6</v>
      </c>
      <c r="H57" s="148" t="n"/>
      <c r="I57" s="148" t="n">
        <v>2.3</v>
      </c>
      <c r="J57" s="147" t="n">
        <v>6270</v>
      </c>
      <c r="K57" s="147" t="n">
        <v>6.27</v>
      </c>
      <c r="L57" s="147">
        <f>_xlfn.CONCAT(G57,I57,K57,F57,E57)</f>
        <v/>
      </c>
      <c r="M57" s="149" t="n"/>
      <c r="N57" s="150" t="n">
        <v>3549720</v>
      </c>
      <c r="O57" s="150" t="inlineStr">
        <is>
          <t>48.6-0-2.3-ERW 2-FC</t>
        </is>
      </c>
      <c r="P57" s="150" t="inlineStr">
        <is>
          <t>48.6-0-2.3-ERW 2-FC-6.27</t>
        </is>
      </c>
      <c r="Q57" s="150" t="n">
        <v>0</v>
      </c>
      <c r="R57" s="150" t="inlineStr">
        <is>
          <t>056</t>
        </is>
      </c>
      <c r="S57" s="150" t="n">
        <v>3549720</v>
      </c>
      <c r="T57" s="19" t="n">
        <v>10</v>
      </c>
      <c r="U57" s="147" t="n">
        <v>0</v>
      </c>
      <c r="V57" s="147" t="n">
        <v>0</v>
      </c>
      <c r="W57" s="147" t="n"/>
      <c r="X57" s="147">
        <f>V57-U57</f>
        <v/>
      </c>
      <c r="Y57" s="147" t="n">
        <v>9</v>
      </c>
      <c r="Z57" s="147">
        <f>SUMIFS(orderbook[Bal to Desp],orderbook[key],Table29[[#This Row],[Key]])</f>
        <v/>
      </c>
      <c r="AA57" s="500">
        <f>Table29[[#This Row],[order logg ]]-Table29[[#This Row],[check from 17092025 orderbook sent by ashish]]</f>
        <v/>
      </c>
      <c r="AB57" s="147">
        <f>X57+Y57</f>
        <v/>
      </c>
      <c r="AC57" s="19">
        <f>T57-AB57</f>
        <v/>
      </c>
      <c r="AD57" s="387" t="n">
        <v>0</v>
      </c>
      <c r="AE57" s="147">
        <f>ROUND(SUMIFS(meghsteelsales_previousmonth[Quantity],meghsteelsales_previousmonth[Length Bucket],Table29[[#This Row],[Bucket CTL]])/1000,0)</f>
        <v/>
      </c>
      <c r="AF57" s="147">
        <f>ROUND(SUMIFS(meghsteelsales_currentmonth[Quantity],meghsteelsales_currentmonth[Length Bucket],Table29[[#This Row],[Bucket CTL]])/1000,0)</f>
        <v/>
      </c>
    </row>
    <row r="58">
      <c r="A58" s="147" t="inlineStr">
        <is>
          <t>HMSI</t>
        </is>
      </c>
      <c r="B58" s="265" t="n">
        <v>943210</v>
      </c>
      <c r="C58" s="265" t="inlineStr">
        <is>
          <t>BADVE</t>
        </is>
      </c>
      <c r="D58" s="153" t="inlineStr">
        <is>
          <t>ERW1</t>
        </is>
      </c>
      <c r="E58" s="147" t="inlineStr">
        <is>
          <t>FIN CUT</t>
        </is>
      </c>
      <c r="F58" s="147" t="inlineStr">
        <is>
          <t>ERW</t>
        </is>
      </c>
      <c r="G58" s="148" t="n">
        <v>48.6</v>
      </c>
      <c r="H58" s="148" t="n"/>
      <c r="I58" s="148" t="n">
        <v>3.5</v>
      </c>
      <c r="J58" s="147" t="n">
        <v>6000</v>
      </c>
      <c r="K58" s="147" t="n">
        <v>6</v>
      </c>
      <c r="L58" s="147">
        <f>_xlfn.CONCAT(G58,I58,K58,F58,E58)</f>
        <v/>
      </c>
      <c r="M58" s="149" t="n"/>
      <c r="N58" s="150" t="n">
        <v>3502422</v>
      </c>
      <c r="O58" s="150" t="inlineStr">
        <is>
          <t>48.6-0-3.5-ERW 1-FC</t>
        </is>
      </c>
      <c r="P58" s="150" t="inlineStr">
        <is>
          <t>48.6-0-3.5-ERW 1-FC-6</t>
        </is>
      </c>
      <c r="Q58" s="150" t="n">
        <v>0</v>
      </c>
      <c r="R58" s="150" t="inlineStr">
        <is>
          <t>0789</t>
        </is>
      </c>
      <c r="S58" s="150" t="n">
        <v>3502422</v>
      </c>
      <c r="T58" s="19" t="n">
        <v>25</v>
      </c>
      <c r="U58" s="147" t="n">
        <v>5</v>
      </c>
      <c r="V58" s="147" t="n">
        <v>5</v>
      </c>
      <c r="W58" s="147" t="n"/>
      <c r="X58" s="147">
        <f>V58-U58</f>
        <v/>
      </c>
      <c r="Y58" s="147" t="n">
        <v>28.5</v>
      </c>
      <c r="Z58" s="147">
        <f>SUMIFS(orderbook[Bal to Desp],orderbook[key],Table29[[#This Row],[Key]])</f>
        <v/>
      </c>
      <c r="AA58" s="500">
        <f>Table29[[#This Row],[order logg ]]-Table29[[#This Row],[check from 17092025 orderbook sent by ashish]]</f>
        <v/>
      </c>
      <c r="AB58" s="147">
        <f>X58+Y58</f>
        <v/>
      </c>
      <c r="AC58" s="19">
        <f>T58-AB58</f>
        <v/>
      </c>
      <c r="AD58" s="387">
        <f>IF(AC58&gt;0,AC58,0)*150%+Table29[[#This Row],[GAP of order log and 17092025 orderbook]]</f>
        <v/>
      </c>
      <c r="AE58" s="147">
        <f>ROUND(SUMIFS(meghsteelsales_previousmonth[Quantity],meghsteelsales_previousmonth[Length Bucket],Table29[[#This Row],[Bucket CTL]])/1000,0)</f>
        <v/>
      </c>
      <c r="AF58" s="147">
        <f>ROUND(SUMIFS(meghsteelsales_currentmonth[Quantity],meghsteelsales_currentmonth[Length Bucket],Table29[[#This Row],[Bucket CTL]])/1000,0)</f>
        <v/>
      </c>
    </row>
    <row r="59">
      <c r="A59" s="147" t="inlineStr">
        <is>
          <t>TVS</t>
        </is>
      </c>
      <c r="B59" s="491" t="n">
        <v>943209</v>
      </c>
      <c r="C59" s="265" t="inlineStr">
        <is>
          <t>RUCHA</t>
        </is>
      </c>
      <c r="D59" s="153" t="inlineStr">
        <is>
          <t>ERW1</t>
        </is>
      </c>
      <c r="E59" s="147" t="inlineStr">
        <is>
          <t>FIN CUT</t>
        </is>
      </c>
      <c r="F59" s="147" t="inlineStr">
        <is>
          <t>ERW</t>
        </is>
      </c>
      <c r="G59" s="168" t="inlineStr">
        <is>
          <t>59x30</t>
        </is>
      </c>
      <c r="H59" s="168" t="n"/>
      <c r="I59" s="168" t="n">
        <v>1.6</v>
      </c>
      <c r="J59" s="147" t="n">
        <v>6000</v>
      </c>
      <c r="K59" s="147" t="n">
        <v>6</v>
      </c>
      <c r="L59" s="147">
        <f>_xlfn.CONCAT(G59,I59,K59,F59,E59)</f>
        <v/>
      </c>
      <c r="M59" s="151" t="inlineStr">
        <is>
          <t>0789</t>
        </is>
      </c>
      <c r="N59" s="150" t="n"/>
      <c r="O59" s="150" t="inlineStr">
        <is>
          <t>59-30-1.6-ERW 1-FIN CUT</t>
        </is>
      </c>
      <c r="P59" s="150" t="inlineStr">
        <is>
          <t>59-30-1.6-ERW 1-FIN CUT-6</t>
        </is>
      </c>
      <c r="Q59" s="150" t="n">
        <v>0</v>
      </c>
      <c r="R59" s="150" t="inlineStr">
        <is>
          <t>0789</t>
        </is>
      </c>
      <c r="S59" s="150" t="n">
        <v>1940925</v>
      </c>
      <c r="T59" s="19" t="n">
        <v>5</v>
      </c>
      <c r="U59" s="147" t="n">
        <v>0</v>
      </c>
      <c r="V59" s="147" t="n">
        <v>0</v>
      </c>
      <c r="W59" s="147" t="n"/>
      <c r="X59" s="147">
        <f>V59-U59</f>
        <v/>
      </c>
      <c r="Y59" s="147" t="n">
        <v>10.5</v>
      </c>
      <c r="Z59" s="147">
        <f>SUMIFS(orderbook[Bal to Desp],orderbook[key],Table29[[#This Row],[Key]])</f>
        <v/>
      </c>
      <c r="AA59" s="500">
        <f>Table29[[#This Row],[order logg ]]-Table29[[#This Row],[check from 17092025 orderbook sent by ashish]]</f>
        <v/>
      </c>
      <c r="AB59" s="147">
        <f>X59+Y59</f>
        <v/>
      </c>
      <c r="AC59" s="19">
        <f>T59-AB59</f>
        <v/>
      </c>
      <c r="AD59" s="387">
        <f>IF(AC59&gt;0,AC59,0)*150%+Table29[[#This Row],[GAP of order log and 17092025 orderbook]]</f>
        <v/>
      </c>
      <c r="AE59" s="147">
        <f>ROUND(SUMIFS(meghsteelsales_previousmonth[Quantity],meghsteelsales_previousmonth[Length Bucket],Table29[[#This Row],[Bucket CTL]])/1000,0)</f>
        <v/>
      </c>
      <c r="AF59" s="147">
        <f>ROUND(SUMIFS(meghsteelsales_currentmonth[Quantity],meghsteelsales_currentmonth[Length Bucket],Table29[[#This Row],[Bucket CTL]])/1000,0)</f>
        <v/>
      </c>
    </row>
    <row r="60">
      <c r="A60" s="147" t="inlineStr">
        <is>
          <t>RE</t>
        </is>
      </c>
      <c r="B60" s="265" t="n">
        <v>943211</v>
      </c>
      <c r="C60" s="265" t="inlineStr">
        <is>
          <t>KUNAL</t>
        </is>
      </c>
      <c r="D60" s="153" t="inlineStr">
        <is>
          <t>ERW1</t>
        </is>
      </c>
      <c r="E60" s="147" t="inlineStr">
        <is>
          <t>FIN CUT</t>
        </is>
      </c>
      <c r="F60" s="147" t="inlineStr">
        <is>
          <t>ERW</t>
        </is>
      </c>
      <c r="G60" s="168" t="inlineStr">
        <is>
          <t>59x30</t>
        </is>
      </c>
      <c r="H60" s="168" t="n"/>
      <c r="I60" s="168" t="n">
        <v>1.6</v>
      </c>
      <c r="J60" s="169" t="n">
        <v>572.5</v>
      </c>
      <c r="K60" s="147" t="n">
        <v>0.5725</v>
      </c>
      <c r="L60" s="147">
        <f>_xlfn.CONCAT(G60,I60,K60,F60,E60)</f>
        <v/>
      </c>
      <c r="M60" s="151" t="inlineStr">
        <is>
          <t>0789</t>
        </is>
      </c>
      <c r="N60" s="150" t="n">
        <v>2420716</v>
      </c>
      <c r="O60" s="150" t="inlineStr">
        <is>
          <t>59-30-1.6-ERW 1-FIN CUT</t>
        </is>
      </c>
      <c r="P60" s="150" t="inlineStr">
        <is>
          <t>59-30-1.6-ERW 1-FIN CUT-0.573</t>
        </is>
      </c>
      <c r="Q60" s="150" t="n">
        <v>0</v>
      </c>
      <c r="R60" s="150" t="inlineStr">
        <is>
          <t>0789</t>
        </is>
      </c>
      <c r="S60" s="150" t="n">
        <v>2420716</v>
      </c>
      <c r="T60" s="19" t="n">
        <v>40</v>
      </c>
      <c r="U60" s="147" t="n">
        <v>0</v>
      </c>
      <c r="V60" s="147" t="n">
        <v>0</v>
      </c>
      <c r="W60" s="147" t="n"/>
      <c r="X60" s="147">
        <f>V60-U60</f>
        <v/>
      </c>
      <c r="Y60" s="147" t="n">
        <v>115</v>
      </c>
      <c r="Z60" s="147">
        <f>SUMIFS(orderbook[Bal to Desp],orderbook[key],Table29[[#This Row],[Key]])</f>
        <v/>
      </c>
      <c r="AA60" s="500">
        <f>Table29[[#This Row],[order logg ]]-Table29[[#This Row],[check from 17092025 orderbook sent by ashish]]</f>
        <v/>
      </c>
      <c r="AB60" s="147">
        <f>X60+Y60</f>
        <v/>
      </c>
      <c r="AC60" s="19">
        <f>T60-AB60</f>
        <v/>
      </c>
      <c r="AD60" s="387" t="n">
        <v>50</v>
      </c>
      <c r="AE60" s="147">
        <f>ROUND(SUMIFS(meghsteelsales_previousmonth[Quantity],meghsteelsales_previousmonth[Length Bucket],Table29[[#This Row],[Bucket CTL]])/1000,0)</f>
        <v/>
      </c>
      <c r="AF60" s="147">
        <f>ROUND(SUMIFS(meghsteelsales_currentmonth[Quantity],meghsteelsales_currentmonth[Length Bucket],Table29[[#This Row],[Bucket CTL]])/1000,0)</f>
        <v/>
      </c>
    </row>
    <row r="61">
      <c r="A61" s="147" t="inlineStr">
        <is>
          <t>RE</t>
        </is>
      </c>
      <c r="B61" s="265" t="n">
        <v>943211</v>
      </c>
      <c r="C61" s="265" t="inlineStr">
        <is>
          <t>BELRISE</t>
        </is>
      </c>
      <c r="D61" s="153" t="inlineStr">
        <is>
          <t>ERW1</t>
        </is>
      </c>
      <c r="E61" s="147" t="inlineStr">
        <is>
          <t>FIN CUT</t>
        </is>
      </c>
      <c r="F61" s="147" t="inlineStr">
        <is>
          <t>ERW</t>
        </is>
      </c>
      <c r="G61" s="168" t="inlineStr">
        <is>
          <t>50X50</t>
        </is>
      </c>
      <c r="H61" s="168" t="n"/>
      <c r="I61" s="168" t="n">
        <v>1.6</v>
      </c>
      <c r="J61" s="169" t="n">
        <v>6040</v>
      </c>
      <c r="K61" s="147" t="n">
        <v>6.04</v>
      </c>
      <c r="L61" s="147">
        <f>_xlfn.CONCAT(G61,I61,K61,F61,E61)</f>
        <v/>
      </c>
      <c r="M61" s="151" t="n"/>
      <c r="N61" s="150" t="n"/>
      <c r="O61" s="150" t="e">
        <v>#N/A</v>
      </c>
      <c r="P61" s="150" t="e">
        <v>#N/A</v>
      </c>
      <c r="Q61" s="150" t="n">
        <v>0</v>
      </c>
      <c r="R61" s="501" t="inlineStr">
        <is>
          <t>0788</t>
        </is>
      </c>
      <c r="S61" s="150" t="n">
        <v>3500641</v>
      </c>
      <c r="T61" s="19" t="n">
        <v>10</v>
      </c>
      <c r="U61" s="147" t="n">
        <v>0</v>
      </c>
      <c r="V61" s="147" t="n">
        <v>0</v>
      </c>
      <c r="W61" s="147" t="n"/>
      <c r="X61" s="147">
        <f>V61-U61</f>
        <v/>
      </c>
      <c r="Y61" s="147" t="n">
        <v>20</v>
      </c>
      <c r="Z61" s="147">
        <f>SUMIFS(orderbook[Bal to Desp],orderbook[key],Table29[[#This Row],[Key]])</f>
        <v/>
      </c>
      <c r="AA61" s="500">
        <f>Table29[[#This Row],[order logg ]]-Table29[[#This Row],[check from 17092025 orderbook sent by ashish]]</f>
        <v/>
      </c>
      <c r="AB61" s="147">
        <f>X61+Y61</f>
        <v/>
      </c>
      <c r="AC61" s="19">
        <f>T61-AB61</f>
        <v/>
      </c>
      <c r="AD61" s="387">
        <f>IF(AC61&gt;0,AC61,0)*150%+Table29[[#This Row],[GAP of order log and 17092025 orderbook]]</f>
        <v/>
      </c>
      <c r="AE61" s="147">
        <f>ROUND(SUMIFS(meghsteelsales_previousmonth[Quantity],meghsteelsales_previousmonth[Length Bucket],Table29[[#This Row],[Bucket CTL]])/1000,0)</f>
        <v/>
      </c>
      <c r="AF61" s="147">
        <f>ROUND(SUMIFS(meghsteelsales_currentmonth[Quantity],meghsteelsales_currentmonth[Length Bucket],Table29[[#This Row],[Bucket CTL]])/1000,0)</f>
        <v/>
      </c>
    </row>
    <row r="62">
      <c r="A62" s="147" t="inlineStr">
        <is>
          <t>RE</t>
        </is>
      </c>
      <c r="B62" s="265" t="n">
        <v>943211</v>
      </c>
      <c r="C62" s="265" t="inlineStr">
        <is>
          <t>BELRISE</t>
        </is>
      </c>
      <c r="D62" s="153" t="inlineStr">
        <is>
          <t>ERW1</t>
        </is>
      </c>
      <c r="E62" s="147" t="inlineStr">
        <is>
          <t>FIN CUT</t>
        </is>
      </c>
      <c r="F62" s="147" t="inlineStr">
        <is>
          <t>ERW</t>
        </is>
      </c>
      <c r="G62" s="168" t="n">
        <v>50.8</v>
      </c>
      <c r="H62" s="168" t="n"/>
      <c r="I62" s="168" t="n">
        <v>2.6</v>
      </c>
      <c r="J62" s="169" t="n">
        <v>6000</v>
      </c>
      <c r="K62" s="147" t="n">
        <v>6</v>
      </c>
      <c r="L62" s="147">
        <f>_xlfn.CONCAT(G62,I62,K62,F62,E62)</f>
        <v/>
      </c>
      <c r="M62" s="151" t="inlineStr">
        <is>
          <t>0</t>
        </is>
      </c>
      <c r="N62" s="150" t="n"/>
      <c r="O62" s="150" t="e">
        <v>#N/A</v>
      </c>
      <c r="P62" s="150" t="e">
        <v>#N/A</v>
      </c>
      <c r="Q62" s="150" t="n">
        <v>0</v>
      </c>
      <c r="R62" s="150" t="inlineStr">
        <is>
          <t>056</t>
        </is>
      </c>
      <c r="S62" s="150" t="n">
        <v>3518437</v>
      </c>
      <c r="T62" s="19" t="n">
        <v>5</v>
      </c>
      <c r="U62" s="147" t="n">
        <v>0</v>
      </c>
      <c r="V62" s="147" t="n">
        <v>0</v>
      </c>
      <c r="W62" s="147" t="n"/>
      <c r="X62" s="147">
        <f>V62-U62</f>
        <v/>
      </c>
      <c r="Y62" s="147" t="n">
        <v>5</v>
      </c>
      <c r="Z62" s="147">
        <f>SUMIFS(orderbook[Bal to Desp],orderbook[key],Table29[[#This Row],[Key]])</f>
        <v/>
      </c>
      <c r="AA62" s="500">
        <f>Table29[[#This Row],[order logg ]]-Table29[[#This Row],[check from 17092025 orderbook sent by ashish]]</f>
        <v/>
      </c>
      <c r="AB62" s="147" t="n">
        <v>0</v>
      </c>
      <c r="AC62" s="19" t="n">
        <v>5</v>
      </c>
      <c r="AD62" s="387">
        <f>IF(AC62&gt;0,AC62,0)*150%+Table29[[#This Row],[GAP of order log and 17092025 orderbook]]</f>
        <v/>
      </c>
      <c r="AE62" s="147">
        <f>ROUND(SUMIFS(meghsteelsales_previousmonth[Quantity],meghsteelsales_previousmonth[Length Bucket],Table29[[#This Row],[Bucket CTL]])/1000,0)</f>
        <v/>
      </c>
      <c r="AF62" s="147">
        <f>ROUND(SUMIFS(meghsteelsales_currentmonth[Quantity],meghsteelsales_currentmonth[Length Bucket],Table29[[#This Row],[Bucket CTL]])/1000,0)</f>
        <v/>
      </c>
    </row>
    <row r="63">
      <c r="A63" s="147" t="inlineStr">
        <is>
          <t>RE</t>
        </is>
      </c>
      <c r="B63" s="265" t="n">
        <v>943211</v>
      </c>
      <c r="C63" s="265" t="inlineStr">
        <is>
          <t>BELRISE</t>
        </is>
      </c>
      <c r="D63" s="153" t="inlineStr">
        <is>
          <t>CEW-1</t>
        </is>
      </c>
      <c r="E63" s="147" t="inlineStr">
        <is>
          <t>FIN CUT</t>
        </is>
      </c>
      <c r="F63" s="147" t="inlineStr">
        <is>
          <t>CEW</t>
        </is>
      </c>
      <c r="G63" s="168" t="n">
        <v>50.8</v>
      </c>
      <c r="H63" s="168" t="n">
        <v>45.6</v>
      </c>
      <c r="I63" s="168" t="n">
        <v>2.6</v>
      </c>
      <c r="J63" s="169" t="n">
        <v>6000</v>
      </c>
      <c r="K63" s="147" t="n">
        <v>6</v>
      </c>
      <c r="L63" s="147">
        <f>_xlfn.CONCAT(G63,I63,K63,F63,E63)</f>
        <v/>
      </c>
      <c r="M63" s="151" t="n"/>
      <c r="N63" s="150" t="n"/>
      <c r="O63" s="150" t="e">
        <v>#N/A</v>
      </c>
      <c r="P63" s="150" t="e">
        <v>#N/A</v>
      </c>
      <c r="Q63" s="150" t="n">
        <v>0</v>
      </c>
      <c r="R63" s="150" t="inlineStr">
        <is>
          <t>056</t>
        </is>
      </c>
      <c r="S63" s="150" t="n">
        <v>3500695</v>
      </c>
      <c r="T63" s="19" t="n">
        <v>5</v>
      </c>
      <c r="U63" s="147" t="n">
        <v>0</v>
      </c>
      <c r="V63" s="147" t="n">
        <v>4</v>
      </c>
      <c r="W63" s="147" t="n"/>
      <c r="X63" s="147">
        <f>V63-U63</f>
        <v/>
      </c>
      <c r="Y63" s="147" t="n">
        <v>5</v>
      </c>
      <c r="Z63" s="147">
        <f>SUMIFS(orderbook[Bal to Desp],orderbook[key],Table29[[#This Row],[Key]])</f>
        <v/>
      </c>
      <c r="AA63" s="500">
        <f>Table29[[#This Row],[order logg ]]-Table29[[#This Row],[check from 17092025 orderbook sent by ashish]]</f>
        <v/>
      </c>
      <c r="AB63" s="147" t="n">
        <v>0</v>
      </c>
      <c r="AC63" s="19" t="n">
        <v>5</v>
      </c>
      <c r="AD63" s="387">
        <f>IF(AC63&gt;0,AC63,0)*150%</f>
        <v/>
      </c>
      <c r="AE63" s="147">
        <f>ROUND(SUMIFS(meghsteelsales_previousmonth[Quantity],meghsteelsales_previousmonth[Length Bucket],Table29[[#This Row],[Bucket CTL]])/1000,0)</f>
        <v/>
      </c>
      <c r="AF63" s="147">
        <f>ROUND(SUMIFS(meghsteelsales_currentmonth[Quantity],meghsteelsales_currentmonth[Length Bucket],Table29[[#This Row],[Bucket CTL]])/1000,0)</f>
        <v/>
      </c>
    </row>
    <row r="64">
      <c r="A64" s="147" t="inlineStr">
        <is>
          <t>TVS</t>
        </is>
      </c>
      <c r="B64" s="491" t="n">
        <v>943209</v>
      </c>
      <c r="C64" s="265" t="inlineStr">
        <is>
          <t>RUCHA,METALMAN</t>
        </is>
      </c>
      <c r="D64" s="153" t="inlineStr">
        <is>
          <t>ERW1</t>
        </is>
      </c>
      <c r="E64" s="147" t="inlineStr">
        <is>
          <t>FIN CUT</t>
        </is>
      </c>
      <c r="F64" s="147" t="inlineStr">
        <is>
          <t>ERW</t>
        </is>
      </c>
      <c r="G64" s="148" t="n">
        <v>57.15</v>
      </c>
      <c r="H64" s="148" t="n"/>
      <c r="I64" s="148" t="n">
        <v>2.5</v>
      </c>
      <c r="J64" s="147" t="n">
        <v>5710</v>
      </c>
      <c r="K64" s="147" t="n">
        <v>5.71</v>
      </c>
      <c r="L64" s="147">
        <f>_xlfn.CONCAT(G64,I64,K64,F64,E64)</f>
        <v/>
      </c>
      <c r="M64" s="151" t="inlineStr">
        <is>
          <t>056</t>
        </is>
      </c>
      <c r="N64" s="150" t="n">
        <v>3907863</v>
      </c>
      <c r="O64" s="150" t="inlineStr">
        <is>
          <t>57.15-0-2.5-ERW 1-FC</t>
        </is>
      </c>
      <c r="P64" s="150" t="inlineStr">
        <is>
          <t>57.15-0-2.5-ERW 1-FC-5.711</t>
        </is>
      </c>
      <c r="Q64" s="150" t="inlineStr">
        <is>
          <t>Value Added</t>
        </is>
      </c>
      <c r="R64" s="150" t="inlineStr">
        <is>
          <t>056</t>
        </is>
      </c>
      <c r="S64" s="150" t="n">
        <v>3907863</v>
      </c>
      <c r="T64" s="19" t="n">
        <v>80</v>
      </c>
      <c r="U64" s="147" t="n">
        <v>49</v>
      </c>
      <c r="V64" s="147" t="n">
        <v>49</v>
      </c>
      <c r="W64" s="147" t="n">
        <v>0</v>
      </c>
      <c r="X64" s="147">
        <f>V64-U64</f>
        <v/>
      </c>
      <c r="Y64" s="147" t="n">
        <v>192</v>
      </c>
      <c r="Z64" s="147">
        <f>SUMIFS(orderbook[Bal to Desp],orderbook[key],Table29[[#This Row],[Key]])</f>
        <v/>
      </c>
      <c r="AA64" s="500">
        <f>Table29[[#This Row],[order logg ]]-Table29[[#This Row],[check from 17092025 orderbook sent by ashish]]</f>
        <v/>
      </c>
      <c r="AB64" s="147">
        <f>X64+Y64</f>
        <v/>
      </c>
      <c r="AC64" s="19">
        <f>T64-AB64</f>
        <v/>
      </c>
      <c r="AD64" s="387">
        <f>IF(AC64&gt;0,AC64,0)*150%+Table29[[#This Row],[GAP of order log and 17092025 orderbook]]</f>
        <v/>
      </c>
      <c r="AE64" s="147">
        <f>ROUND(SUMIFS(meghsteelsales_previousmonth[Quantity],meghsteelsales_previousmonth[Length Bucket],Table29[[#This Row],[Bucket CTL]])/1000,0)</f>
        <v/>
      </c>
      <c r="AF64" s="147">
        <f>ROUND(SUMIFS(meghsteelsales_currentmonth[Quantity],meghsteelsales_currentmonth[Length Bucket],Table29[[#This Row],[Bucket CTL]])/1000,0)</f>
        <v/>
      </c>
    </row>
    <row r="65">
      <c r="A65" s="147" t="inlineStr">
        <is>
          <t>TVS</t>
        </is>
      </c>
      <c r="B65" s="491" t="n">
        <v>943209</v>
      </c>
      <c r="C65" s="265" t="inlineStr">
        <is>
          <t>RUCHA,METALMAN</t>
        </is>
      </c>
      <c r="D65" s="153" t="inlineStr">
        <is>
          <t>ERW1</t>
        </is>
      </c>
      <c r="E65" s="147" t="inlineStr">
        <is>
          <t>FIN CUT</t>
        </is>
      </c>
      <c r="F65" s="147" t="inlineStr">
        <is>
          <t>ERW</t>
        </is>
      </c>
      <c r="G65" s="148" t="n">
        <v>57.15</v>
      </c>
      <c r="H65" s="148" t="n"/>
      <c r="I65" s="148" t="n">
        <v>2.5</v>
      </c>
      <c r="J65" s="147" t="n">
        <v>5750</v>
      </c>
      <c r="K65" s="147" t="n">
        <v>5.75</v>
      </c>
      <c r="L65" s="147">
        <f>_xlfn.CONCAT(G65,I65,K65,F65,E65)</f>
        <v/>
      </c>
      <c r="M65" s="151" t="inlineStr">
        <is>
          <t>056</t>
        </is>
      </c>
      <c r="N65" s="150" t="n"/>
      <c r="O65" s="150" t="e">
        <v>#N/A</v>
      </c>
      <c r="P65" s="150" t="e">
        <v>#N/A</v>
      </c>
      <c r="Q65" s="150" t="e">
        <v>#N/A</v>
      </c>
      <c r="R65" s="150" t="e">
        <v>#N/A</v>
      </c>
      <c r="S65" s="150" t="e">
        <v>#N/A</v>
      </c>
      <c r="T65" s="19" t="n">
        <v>20</v>
      </c>
      <c r="U65" s="147" t="n">
        <v>18</v>
      </c>
      <c r="V65" s="147" t="n">
        <v>18</v>
      </c>
      <c r="W65" s="147" t="n">
        <v>0</v>
      </c>
      <c r="X65" s="147">
        <f>V65-U65</f>
        <v/>
      </c>
      <c r="Y65" s="147" t="n">
        <v>35</v>
      </c>
      <c r="Z65" s="147">
        <f>SUMIFS(orderbook[Bal to Desp],orderbook[key],Table29[[#This Row],[Key]])</f>
        <v/>
      </c>
      <c r="AA65" s="500">
        <f>Table29[[#This Row],[order logg ]]-Table29[[#This Row],[check from 17092025 orderbook sent by ashish]]</f>
        <v/>
      </c>
      <c r="AB65" s="147">
        <f>X65+Y65</f>
        <v/>
      </c>
      <c r="AC65" s="19">
        <f>T65-AB65</f>
        <v/>
      </c>
      <c r="AD65" s="387">
        <f>IF(AC65&gt;0,AC65,0)*150%</f>
        <v/>
      </c>
      <c r="AE65" s="147">
        <f>ROUND(SUMIFS(meghsteelsales_previousmonth[Quantity],meghsteelsales_previousmonth[Length Bucket],Table29[[#This Row],[Bucket CTL]])/1000,0)</f>
        <v/>
      </c>
      <c r="AF65" s="147">
        <f>ROUND(SUMIFS(meghsteelsales_currentmonth[Quantity],meghsteelsales_currentmonth[Length Bucket],Table29[[#This Row],[Bucket CTL]])/1000,0)</f>
        <v/>
      </c>
    </row>
    <row r="66">
      <c r="A66" s="147" t="inlineStr">
        <is>
          <t>TVS</t>
        </is>
      </c>
      <c r="B66" s="491" t="n">
        <v>943209</v>
      </c>
      <c r="C66" s="265" t="inlineStr">
        <is>
          <t>RUCHA,METALMAN</t>
        </is>
      </c>
      <c r="D66" s="153" t="inlineStr">
        <is>
          <t>ERW1</t>
        </is>
      </c>
      <c r="E66" s="147" t="inlineStr">
        <is>
          <t>FIN CUT</t>
        </is>
      </c>
      <c r="F66" s="147" t="inlineStr">
        <is>
          <t>ERW</t>
        </is>
      </c>
      <c r="G66" s="148" t="n">
        <v>57.15</v>
      </c>
      <c r="H66" s="148" t="n"/>
      <c r="I66" s="148" t="n">
        <v>2.5</v>
      </c>
      <c r="J66" s="147" t="n">
        <v>6100</v>
      </c>
      <c r="K66" s="147" t="n">
        <v>6.1</v>
      </c>
      <c r="L66" s="147">
        <f>_xlfn.CONCAT(G66,I66,K66,F66,E66)</f>
        <v/>
      </c>
      <c r="M66" s="151" t="inlineStr">
        <is>
          <t>056</t>
        </is>
      </c>
      <c r="N66" s="150" t="n">
        <v>3910001</v>
      </c>
      <c r="O66" s="150" t="inlineStr">
        <is>
          <t>57.15-0-2.5-ERW 1-FC</t>
        </is>
      </c>
      <c r="P66" s="150" t="inlineStr">
        <is>
          <t>57.15-0-2.5-ERW 1-FC-6.1</t>
        </is>
      </c>
      <c r="Q66" s="150" t="inlineStr">
        <is>
          <t>Value Added</t>
        </is>
      </c>
      <c r="R66" s="150" t="inlineStr">
        <is>
          <t>056</t>
        </is>
      </c>
      <c r="S66" s="150" t="n">
        <v>3910001</v>
      </c>
      <c r="T66" s="19" t="n">
        <v>80</v>
      </c>
      <c r="U66" s="147" t="n">
        <v>20</v>
      </c>
      <c r="V66" s="147" t="n">
        <v>26</v>
      </c>
      <c r="W66" s="147" t="n">
        <v>0</v>
      </c>
      <c r="X66" s="147">
        <f>V66-U66</f>
        <v/>
      </c>
      <c r="Y66" s="147" t="n">
        <v>171</v>
      </c>
      <c r="Z66" s="147">
        <f>SUMIFS(orderbook[Bal to Desp],orderbook[key],Table29[[#This Row],[Key]])</f>
        <v/>
      </c>
      <c r="AA66" s="500">
        <f>Table29[[#This Row],[order logg ]]-Table29[[#This Row],[check from 17092025 orderbook sent by ashish]]</f>
        <v/>
      </c>
      <c r="AB66" s="147">
        <f>X66+Y66</f>
        <v/>
      </c>
      <c r="AC66" s="19">
        <f>T66-AB66</f>
        <v/>
      </c>
      <c r="AD66" s="387">
        <f>IF(AC66&gt;0,AC66,0)*150%</f>
        <v/>
      </c>
      <c r="AE66" s="147">
        <f>ROUND(SUMIFS(meghsteelsales_previousmonth[Quantity],meghsteelsales_previousmonth[Length Bucket],Table29[[#This Row],[Bucket CTL]])/1000,0)</f>
        <v/>
      </c>
      <c r="AF66" s="147">
        <f>ROUND(SUMIFS(meghsteelsales_currentmonth[Quantity],meghsteelsales_currentmonth[Length Bucket],Table29[[#This Row],[Bucket CTL]])/1000,0)</f>
        <v/>
      </c>
    </row>
    <row r="67">
      <c r="A67" s="147" t="inlineStr">
        <is>
          <t>HMSI</t>
        </is>
      </c>
      <c r="B67" s="265" t="n">
        <v>943210</v>
      </c>
      <c r="C67" s="265" t="inlineStr">
        <is>
          <t>BADVE</t>
        </is>
      </c>
      <c r="D67" s="153" t="inlineStr">
        <is>
          <t>ERW1</t>
        </is>
      </c>
      <c r="E67" s="147" t="inlineStr">
        <is>
          <t>FIN CUT</t>
        </is>
      </c>
      <c r="F67" s="147" t="inlineStr">
        <is>
          <t>ERW</t>
        </is>
      </c>
      <c r="G67" s="148" t="n">
        <v>57.15</v>
      </c>
      <c r="H67" s="148" t="n"/>
      <c r="I67" s="148" t="n">
        <v>3</v>
      </c>
      <c r="J67" s="147" t="n">
        <v>5650</v>
      </c>
      <c r="K67" s="147" t="n">
        <v>5.65</v>
      </c>
      <c r="L67" s="147">
        <f>_xlfn.CONCAT(G67,I67,K67,F67,E67)</f>
        <v/>
      </c>
      <c r="M67" s="151" t="inlineStr">
        <is>
          <t>056</t>
        </is>
      </c>
      <c r="N67" s="150" t="n">
        <v>3501105</v>
      </c>
      <c r="O67" s="150" t="inlineStr">
        <is>
          <t>57.15-0-3-ERW 1-FC</t>
        </is>
      </c>
      <c r="P67" s="150" t="inlineStr">
        <is>
          <t>57.15-0-3-ERW 1-FC-5.65</t>
        </is>
      </c>
      <c r="Q67" s="150" t="n">
        <v>0</v>
      </c>
      <c r="R67" s="150" t="inlineStr">
        <is>
          <t>056</t>
        </is>
      </c>
      <c r="S67" s="150" t="n">
        <v>3501105</v>
      </c>
      <c r="T67" s="19" t="n">
        <v>10</v>
      </c>
      <c r="U67" s="147" t="n">
        <v>0</v>
      </c>
      <c r="V67" s="147" t="n">
        <v>0</v>
      </c>
      <c r="W67" s="147" t="n"/>
      <c r="X67" s="147">
        <f>V67-U67</f>
        <v/>
      </c>
      <c r="Y67" s="147" t="n">
        <v>15</v>
      </c>
      <c r="Z67" s="147">
        <f>SUMIFS(orderbook[Bal to Desp],orderbook[key],Table29[[#This Row],[Key]])</f>
        <v/>
      </c>
      <c r="AA67" s="147">
        <f>Table29[[#This Row],[order logg ]]-Table29[[#This Row],[check from 17092025 orderbook sent by ashish]]</f>
        <v/>
      </c>
      <c r="AB67" s="147">
        <f>X67+Y67</f>
        <v/>
      </c>
      <c r="AC67" s="19">
        <f>T67-AB67</f>
        <v/>
      </c>
      <c r="AD67" s="387">
        <f>IF(AC67&gt;0,AC67,0)*150%</f>
        <v/>
      </c>
      <c r="AE67" s="147">
        <f>ROUND(SUMIFS(meghsteelsales_previousmonth[Quantity],meghsteelsales_previousmonth[Length Bucket],Table29[[#This Row],[Bucket CTL]])/1000,0)</f>
        <v/>
      </c>
      <c r="AF67" s="147">
        <f>ROUND(SUMIFS(meghsteelsales_currentmonth[Quantity],meghsteelsales_currentmonth[Length Bucket],Table29[[#This Row],[Bucket CTL]])/1000,0)</f>
        <v/>
      </c>
    </row>
    <row r="68">
      <c r="A68" s="285" t="inlineStr">
        <is>
          <t>TVS</t>
        </is>
      </c>
      <c r="B68" s="491" t="n">
        <v>943209</v>
      </c>
      <c r="C68" s="389" t="inlineStr">
        <is>
          <t>METALMAN</t>
        </is>
      </c>
      <c r="D68" s="390" t="inlineStr">
        <is>
          <t>ERW1</t>
        </is>
      </c>
      <c r="E68" s="285" t="inlineStr">
        <is>
          <t>FIN CUT</t>
        </is>
      </c>
      <c r="F68" s="285" t="inlineStr">
        <is>
          <t>ERW</t>
        </is>
      </c>
      <c r="G68" s="391" t="n">
        <v>60.3</v>
      </c>
      <c r="H68" s="391" t="n"/>
      <c r="I68" s="391" t="n">
        <v>2</v>
      </c>
      <c r="J68" s="285" t="n">
        <v>5900</v>
      </c>
      <c r="K68" s="285" t="n">
        <v>5.9</v>
      </c>
      <c r="L68" s="285">
        <f>_xlfn.CONCAT(G68,I68,K68,F68,E68)</f>
        <v/>
      </c>
      <c r="M68" s="480" t="inlineStr">
        <is>
          <t>0788</t>
        </is>
      </c>
      <c r="N68" s="481" t="n"/>
      <c r="O68" s="481" t="inlineStr">
        <is>
          <t>60.3-0-2-ERW 1-FC</t>
        </is>
      </c>
      <c r="P68" s="481" t="inlineStr">
        <is>
          <t>60.3-0-2-ERW 1-FC-5.9</t>
        </is>
      </c>
      <c r="Q68" s="481" t="inlineStr">
        <is>
          <t>Value Added</t>
        </is>
      </c>
      <c r="R68" s="481" t="inlineStr">
        <is>
          <t>0788</t>
        </is>
      </c>
      <c r="S68" s="481" t="n">
        <v>3905049</v>
      </c>
      <c r="T68" s="392" t="n">
        <v>30</v>
      </c>
      <c r="U68" s="285" t="n">
        <v>4</v>
      </c>
      <c r="V68" s="285" t="n">
        <v>25</v>
      </c>
      <c r="W68" s="285" t="n"/>
      <c r="X68" s="285">
        <f>V68-U68</f>
        <v/>
      </c>
      <c r="Y68" s="285" t="n">
        <v>10.9</v>
      </c>
      <c r="Z68" s="147">
        <f>SUMIFS(orderbook[Bal to Desp],orderbook[key],Table29[[#This Row],[Key]])</f>
        <v/>
      </c>
      <c r="AA68" s="500">
        <f>Table29[[#This Row],[order logg ]]-Table29[[#This Row],[check from 17092025 orderbook sent by ashish]]</f>
        <v/>
      </c>
      <c r="AB68" s="285">
        <f>X68+Y68</f>
        <v/>
      </c>
      <c r="AC68" s="392">
        <f>T68-AB68</f>
        <v/>
      </c>
      <c r="AD68" s="387">
        <f>IF(AC68&gt;0,AC68,0)*150%+Table29[[#This Row],[GAP of order log and 17092025 orderbook]]</f>
        <v/>
      </c>
      <c r="AE68" s="147">
        <f>ROUND(SUMIFS(meghsteelsales_previousmonth[Quantity],meghsteelsales_previousmonth[Length Bucket],Table29[[#This Row],[Bucket CTL]])/1000,0)</f>
        <v/>
      </c>
      <c r="AF68" s="147">
        <f>ROUND(SUMIFS(meghsteelsales_currentmonth[Quantity],meghsteelsales_currentmonth[Length Bucket],Table29[[#This Row],[Bucket CTL]])/1000,0)</f>
        <v/>
      </c>
    </row>
    <row r="69">
      <c r="I69" s="152" t="inlineStr">
        <is>
          <t>TOTAL</t>
        </is>
      </c>
      <c r="J69" s="152" t="n"/>
      <c r="K69" s="152" t="n"/>
      <c r="L69" s="152" t="n"/>
      <c r="M69" s="197" t="n"/>
      <c r="N69" s="197" t="n"/>
      <c r="O69" s="197" t="n"/>
      <c r="P69" s="197" t="n"/>
      <c r="Q69" s="197" t="n"/>
      <c r="R69" s="197" t="n"/>
      <c r="S69" s="152">
        <f>SUM(T2:T68)</f>
        <v/>
      </c>
      <c r="T69" s="152">
        <f>SUM(U2:U68)</f>
        <v/>
      </c>
      <c r="U69" s="152">
        <f>SUM(V2:V68)</f>
        <v/>
      </c>
      <c r="V69" s="152">
        <f>SUM(W2:W68)</f>
        <v/>
      </c>
      <c r="W69" s="152">
        <f>SUM(X2:X68)</f>
        <v/>
      </c>
      <c r="X69" s="152">
        <f>SUM(Y2:Y68)</f>
        <v/>
      </c>
      <c r="Y69" s="152">
        <f>SUM(AB2:AB68)</f>
        <v/>
      </c>
      <c r="Z69" s="152">
        <f>SUM(AC2:AC68)</f>
        <v/>
      </c>
      <c r="AA69" s="152" t="n"/>
      <c r="AB69" s="172">
        <f>SUM(AD2:AD68)</f>
        <v/>
      </c>
      <c r="AC69" s="15">
        <f>SUM(AE2:AE68)</f>
        <v/>
      </c>
      <c r="AD69" s="15">
        <f>SUM(AF2:AF68)</f>
        <v/>
      </c>
    </row>
    <row r="70">
      <c r="M70" s="198" t="n"/>
      <c r="N70" s="198" t="n"/>
      <c r="O70" s="198" t="n"/>
      <c r="P70" s="198" t="n"/>
      <c r="Q70" s="198" t="n"/>
      <c r="R70" s="198" t="n"/>
      <c r="AB70" s="173" t="n"/>
    </row>
    <row r="71">
      <c r="M71" s="198" t="n"/>
      <c r="N71" s="198" t="n"/>
      <c r="O71" s="198" t="n"/>
      <c r="P71" s="198" t="n"/>
      <c r="Q71" s="198" t="n"/>
      <c r="R71" s="198" t="n"/>
      <c r="AB71" s="173" t="n"/>
    </row>
    <row r="72">
      <c r="A72" t="inlineStr">
        <is>
          <t>key in oct indent but not in sept indent</t>
        </is>
      </c>
      <c r="M72" s="198" t="n"/>
      <c r="N72" s="198" t="n"/>
      <c r="O72" s="198" t="n"/>
      <c r="P72" s="198" t="n"/>
      <c r="Q72" s="198" t="n"/>
      <c r="R72" s="198" t="n"/>
      <c r="AB72" s="173" t="n"/>
    </row>
    <row r="73">
      <c r="A73">
        <f t="array" ref="A73:A74">_xlfn._xlws.FILTER(L2:L68,ISNA(_xlfn.XMATCH(L2:L68,Table5[Key])))</f>
        <v/>
      </c>
      <c r="M73" s="198" t="n"/>
      <c r="N73" s="198" t="n"/>
      <c r="O73" s="198" t="n"/>
      <c r="P73" s="198" t="n"/>
      <c r="Q73" s="198" t="n"/>
      <c r="R73" s="198" t="n"/>
      <c r="AB73" s="173" t="n"/>
    </row>
    <row r="74">
      <c r="A74" t="inlineStr">
        <is>
          <t>481.20.65ERWFIN CUT</t>
        </is>
      </c>
      <c r="M74" s="198" t="n"/>
      <c r="N74" s="198" t="n"/>
      <c r="O74" s="198" t="n"/>
      <c r="P74" s="198" t="n"/>
      <c r="Q74" s="198" t="n"/>
      <c r="R74" s="198" t="n"/>
      <c r="AB74" s="173" t="n"/>
    </row>
    <row r="75">
      <c r="A75" s="476" t="inlineStr">
        <is>
          <t>MFGPL</t>
        </is>
      </c>
      <c r="B75" s="426" t="inlineStr">
        <is>
          <t>CUSTNO</t>
        </is>
      </c>
      <c r="C75" s="426" t="inlineStr">
        <is>
          <t>ZONE</t>
        </is>
      </c>
      <c r="D75" s="426" t="inlineStr">
        <is>
          <t>CUSTOMER</t>
        </is>
      </c>
      <c r="E75" s="426" t="inlineStr">
        <is>
          <t>DESTINATION</t>
        </is>
      </c>
      <c r="F75" s="426" t="inlineStr">
        <is>
          <t>SHIPTO</t>
        </is>
      </c>
      <c r="G75" s="426" t="inlineStr">
        <is>
          <t>AGE</t>
        </is>
      </c>
      <c r="H75" s="426" t="inlineStr">
        <is>
          <t>ORDER_NO</t>
        </is>
      </c>
      <c r="I75" s="426" t="inlineStr">
        <is>
          <t>ITEM_NO</t>
        </is>
      </c>
      <c r="J75" s="426" t="inlineStr">
        <is>
          <t>key</t>
        </is>
      </c>
      <c r="K75" s="426" t="inlineStr">
        <is>
          <t>MATL_NO</t>
        </is>
      </c>
      <c r="L75" s="426" t="inlineStr">
        <is>
          <t>DESCRIPTION</t>
        </is>
      </c>
      <c r="M75" s="493" t="inlineStr">
        <is>
          <t>CATG</t>
        </is>
      </c>
      <c r="N75" s="426" t="inlineStr">
        <is>
          <t>CTG</t>
        </is>
      </c>
      <c r="O75" s="426" t="inlineStr">
        <is>
          <t>SPEC</t>
        </is>
      </c>
      <c r="P75" s="426" t="inlineStr">
        <is>
          <t>SFIN</t>
        </is>
      </c>
      <c r="Q75" s="494" t="inlineStr">
        <is>
          <t>OD</t>
        </is>
      </c>
      <c r="R75" s="494" t="inlineStr">
        <is>
          <t>IN_DIA</t>
        </is>
      </c>
      <c r="S75" s="494" t="inlineStr">
        <is>
          <t>THK</t>
        </is>
      </c>
      <c r="T75" s="495" t="inlineStr">
        <is>
          <t>LENGTH</t>
        </is>
      </c>
      <c r="U75" s="426" t="inlineStr">
        <is>
          <t>CLASS</t>
        </is>
      </c>
      <c r="V75" s="426" t="inlineStr">
        <is>
          <t>GEOMETRY</t>
        </is>
      </c>
      <c r="W75" s="426" t="inlineStr">
        <is>
          <t>ORDQ</t>
        </is>
      </c>
      <c r="X75" s="426" t="inlineStr">
        <is>
          <t>ORDUM</t>
        </is>
      </c>
      <c r="Y75" s="475" t="inlineStr">
        <is>
          <t>Bal to Desp</t>
        </is>
      </c>
      <c r="AB75" s="162" t="n"/>
      <c r="AC75" s="174" t="n"/>
    </row>
    <row r="76">
      <c r="A76" s="91" t="inlineStr">
        <is>
          <t>056</t>
        </is>
      </c>
      <c r="B76" s="15" t="inlineStr">
        <is>
          <t>0000943209</t>
        </is>
      </c>
      <c r="C76" s="15" t="inlineStr">
        <is>
          <t>SOUTH</t>
        </is>
      </c>
      <c r="D76" s="15" t="inlineStr">
        <is>
          <t>MEGH STEELS PRIVATE LIMITED - TVS A</t>
        </is>
      </c>
      <c r="E76" s="15" t="inlineStr">
        <is>
          <t>HOSUR</t>
        </is>
      </c>
      <c r="F76" s="15" t="inlineStr">
        <is>
          <t>0000943209</t>
        </is>
      </c>
      <c r="G76" s="15" t="n">
        <v>78</v>
      </c>
      <c r="H76" s="15" t="inlineStr">
        <is>
          <t>9518879623</t>
        </is>
      </c>
      <c r="I76" s="15" t="inlineStr">
        <is>
          <t>000001</t>
        </is>
      </c>
      <c r="J76" s="15">
        <f>_xlfn.XLOOKUP(orderbook[[#This Row],[MATL_NO]],Table29[TSL Material Code3],Table29[Key])</f>
        <v/>
      </c>
      <c r="K76" s="15" t="n">
        <v>3500582</v>
      </c>
      <c r="L76" s="15" t="inlineStr">
        <is>
          <t>TUB-O-N-AUT-AW-PE-19.05X2.300X7.00-ERW 1</t>
        </is>
      </c>
      <c r="M76" s="477" t="inlineStr">
        <is>
          <t>ERW</t>
        </is>
      </c>
      <c r="N76" s="15" t="inlineStr">
        <is>
          <t>AUT</t>
        </is>
      </c>
      <c r="O76" s="15" t="inlineStr">
        <is>
          <t>054</t>
        </is>
      </c>
      <c r="P76" s="15" t="inlineStr">
        <is>
          <t>AW</t>
        </is>
      </c>
      <c r="Q76" s="478" t="n">
        <v>19.05</v>
      </c>
      <c r="R76" s="478" t="n">
        <v>0</v>
      </c>
      <c r="S76" s="478" t="n">
        <v>2.3</v>
      </c>
      <c r="T76" s="479" t="n">
        <v>7</v>
      </c>
      <c r="U76" s="15" t="inlineStr">
        <is>
          <t>O</t>
        </is>
      </c>
      <c r="V76" s="15" t="inlineStr">
        <is>
          <t>O</t>
        </is>
      </c>
      <c r="W76" s="15" t="n">
        <v>20000</v>
      </c>
      <c r="X76" s="15" t="inlineStr">
        <is>
          <t>KG</t>
        </is>
      </c>
      <c r="Y76" s="492" t="n">
        <v>1.102999999999998</v>
      </c>
      <c r="AB76" s="162" t="n"/>
      <c r="AC76" s="174" t="n"/>
    </row>
    <row r="77">
      <c r="A77" s="91" t="inlineStr">
        <is>
          <t>056</t>
        </is>
      </c>
      <c r="B77" s="15" t="inlineStr">
        <is>
          <t>0000943209</t>
        </is>
      </c>
      <c r="C77" s="15" t="inlineStr">
        <is>
          <t>SOUTH</t>
        </is>
      </c>
      <c r="D77" s="15" t="inlineStr">
        <is>
          <t>MEGH STEELS PRIVATE LIMITED - TVS A</t>
        </is>
      </c>
      <c r="E77" s="15" t="inlineStr">
        <is>
          <t>HOSUR</t>
        </is>
      </c>
      <c r="F77" s="15" t="inlineStr">
        <is>
          <t>0000943209</t>
        </is>
      </c>
      <c r="G77" s="15" t="n">
        <v>14</v>
      </c>
      <c r="H77" s="15" t="inlineStr">
        <is>
          <t>9519071152</t>
        </is>
      </c>
      <c r="I77" s="15" t="inlineStr">
        <is>
          <t>000001</t>
        </is>
      </c>
      <c r="J77" s="15">
        <f>_xlfn.XLOOKUP(orderbook[[#This Row],[MATL_NO]],Table29[TSL Material Code3],Table29[Key])</f>
        <v/>
      </c>
      <c r="K77" s="15" t="n">
        <v>3500582</v>
      </c>
      <c r="L77" s="15" t="inlineStr">
        <is>
          <t>TUB-O-N-AUT-AW-PE-19.05X2.300X7.00-ERW 1</t>
        </is>
      </c>
      <c r="M77" s="477" t="inlineStr">
        <is>
          <t>ERW</t>
        </is>
      </c>
      <c r="N77" s="15" t="inlineStr">
        <is>
          <t>AUT</t>
        </is>
      </c>
      <c r="O77" s="15" t="inlineStr">
        <is>
          <t>054</t>
        </is>
      </c>
      <c r="P77" s="15" t="inlineStr">
        <is>
          <t>AW</t>
        </is>
      </c>
      <c r="Q77" s="478" t="n">
        <v>19.05</v>
      </c>
      <c r="R77" s="478" t="n">
        <v>0</v>
      </c>
      <c r="S77" s="478" t="n">
        <v>2.3</v>
      </c>
      <c r="T77" s="479" t="n">
        <v>7</v>
      </c>
      <c r="U77" s="15" t="inlineStr">
        <is>
          <t>O</t>
        </is>
      </c>
      <c r="V77" s="15" t="inlineStr">
        <is>
          <t>O</t>
        </is>
      </c>
      <c r="W77" s="15" t="n">
        <v>20000</v>
      </c>
      <c r="X77" s="15" t="inlineStr">
        <is>
          <t>KG</t>
        </is>
      </c>
      <c r="Y77" s="492" t="n">
        <v>20</v>
      </c>
      <c r="AB77" s="162" t="n"/>
      <c r="AC77" s="174" t="n"/>
    </row>
    <row r="78">
      <c r="A78" s="91" t="inlineStr">
        <is>
          <t>056</t>
        </is>
      </c>
      <c r="B78" s="15" t="inlineStr">
        <is>
          <t>0000943209</t>
        </is>
      </c>
      <c r="C78" s="15" t="inlineStr">
        <is>
          <t>SOUTH</t>
        </is>
      </c>
      <c r="D78" s="15" t="inlineStr">
        <is>
          <t>MEGH STEELS PRIVATE LIMITED - TVS A</t>
        </is>
      </c>
      <c r="E78" s="15" t="inlineStr">
        <is>
          <t>HOSUR</t>
        </is>
      </c>
      <c r="F78" s="15" t="inlineStr">
        <is>
          <t>0000943209</t>
        </is>
      </c>
      <c r="G78" s="15" t="n">
        <v>27</v>
      </c>
      <c r="H78" s="15" t="inlineStr">
        <is>
          <t>9519030855</t>
        </is>
      </c>
      <c r="I78" s="15" t="inlineStr">
        <is>
          <t>000002</t>
        </is>
      </c>
      <c r="J78" s="15">
        <f>_xlfn.XLOOKUP(orderbook[[#This Row],[MATL_NO]],Table29[TSL Material Code3],Table29[Key])</f>
        <v/>
      </c>
      <c r="K78" s="15" t="n">
        <v>3500582</v>
      </c>
      <c r="L78" s="15" t="inlineStr">
        <is>
          <t>TUB-O-N-AUT-AW-PE-19.05X2.300X7.00-ERW 1</t>
        </is>
      </c>
      <c r="M78" s="477" t="inlineStr">
        <is>
          <t>ERW</t>
        </is>
      </c>
      <c r="N78" s="15" t="inlineStr">
        <is>
          <t>AUT</t>
        </is>
      </c>
      <c r="O78" s="15" t="inlineStr">
        <is>
          <t>054</t>
        </is>
      </c>
      <c r="P78" s="15" t="inlineStr">
        <is>
          <t>AW</t>
        </is>
      </c>
      <c r="Q78" s="478" t="n">
        <v>19.05</v>
      </c>
      <c r="R78" s="478" t="n">
        <v>0</v>
      </c>
      <c r="S78" s="478" t="n">
        <v>2.3</v>
      </c>
      <c r="T78" s="479" t="n">
        <v>7</v>
      </c>
      <c r="U78" s="15" t="inlineStr">
        <is>
          <t>O</t>
        </is>
      </c>
      <c r="V78" s="15" t="inlineStr">
        <is>
          <t>O</t>
        </is>
      </c>
      <c r="W78" s="15" t="n">
        <v>28500</v>
      </c>
      <c r="X78" s="15" t="inlineStr">
        <is>
          <t>KG</t>
        </is>
      </c>
      <c r="Y78" s="492" t="n">
        <v>27.23</v>
      </c>
      <c r="AB78" s="162" t="n"/>
      <c r="AC78" s="174" t="n"/>
    </row>
    <row r="79">
      <c r="A79" s="91" t="inlineStr">
        <is>
          <t>056</t>
        </is>
      </c>
      <c r="B79" s="15" t="inlineStr">
        <is>
          <t>0000943210</t>
        </is>
      </c>
      <c r="C79" s="15" t="inlineStr">
        <is>
          <t>SOUTH</t>
        </is>
      </c>
      <c r="D79" s="15" t="inlineStr">
        <is>
          <t>MEGH STEELS PRIVATE LIMITED - HMSIL</t>
        </is>
      </c>
      <c r="E79" s="15" t="inlineStr">
        <is>
          <t>HOSUR</t>
        </is>
      </c>
      <c r="F79" s="15" t="inlineStr">
        <is>
          <t>0000943210</t>
        </is>
      </c>
      <c r="G79" s="15" t="n">
        <v>41</v>
      </c>
      <c r="H79" s="15" t="inlineStr">
        <is>
          <t>9518997237</t>
        </is>
      </c>
      <c r="I79" s="15" t="inlineStr">
        <is>
          <t>000002</t>
        </is>
      </c>
      <c r="J79" s="15">
        <f>_xlfn.XLOOKUP(orderbook[[#This Row],[MATL_NO]],Table29[TSL Material Code3],Table29[Key])</f>
        <v/>
      </c>
      <c r="K79" s="15" t="n">
        <v>3498997</v>
      </c>
      <c r="L79" s="15" t="inlineStr">
        <is>
          <t>TUB-O-N-AUT-AW-PE-19.05X1.60X6.000-ERW 1</t>
        </is>
      </c>
      <c r="M79" s="477" t="inlineStr">
        <is>
          <t>ERW</t>
        </is>
      </c>
      <c r="N79" s="15" t="inlineStr">
        <is>
          <t>AUT</t>
        </is>
      </c>
      <c r="O79" s="15" t="inlineStr">
        <is>
          <t>054</t>
        </is>
      </c>
      <c r="P79" s="15" t="inlineStr">
        <is>
          <t>AW</t>
        </is>
      </c>
      <c r="Q79" s="478" t="n">
        <v>19.05</v>
      </c>
      <c r="R79" s="478" t="n">
        <v>0</v>
      </c>
      <c r="S79" s="478" t="n">
        <v>1.6</v>
      </c>
      <c r="T79" s="479" t="n">
        <v>6</v>
      </c>
      <c r="U79" s="15" t="inlineStr">
        <is>
          <t>O</t>
        </is>
      </c>
      <c r="V79" s="15" t="inlineStr">
        <is>
          <t>O</t>
        </is>
      </c>
      <c r="W79" s="15" t="n">
        <v>10000</v>
      </c>
      <c r="X79" s="15" t="inlineStr">
        <is>
          <t>KG</t>
        </is>
      </c>
      <c r="Y79" s="492" t="n">
        <v>10</v>
      </c>
      <c r="AB79" s="162" t="n"/>
      <c r="AC79" s="174" t="n"/>
    </row>
    <row r="80">
      <c r="A80" s="91" t="inlineStr">
        <is>
          <t>056</t>
        </is>
      </c>
      <c r="B80" s="15" t="inlineStr">
        <is>
          <t>0000943210</t>
        </is>
      </c>
      <c r="C80" s="15" t="inlineStr">
        <is>
          <t>SOUTH</t>
        </is>
      </c>
      <c r="D80" s="15" t="inlineStr">
        <is>
          <t>MEGH STEELS PRIVATE LIMITED - HMSIL</t>
        </is>
      </c>
      <c r="E80" s="15" t="inlineStr">
        <is>
          <t>HOSUR</t>
        </is>
      </c>
      <c r="F80" s="15" t="inlineStr">
        <is>
          <t>0000943210</t>
        </is>
      </c>
      <c r="G80" s="15" t="n">
        <v>54</v>
      </c>
      <c r="H80" s="15" t="inlineStr">
        <is>
          <t>9518955752</t>
        </is>
      </c>
      <c r="I80" s="15" t="inlineStr">
        <is>
          <t>000001</t>
        </is>
      </c>
      <c r="J80" s="15">
        <f>_xlfn.XLOOKUP(orderbook[[#This Row],[MATL_NO]],Table29[TSL Material Code3],Table29[Key])</f>
        <v/>
      </c>
      <c r="K80" s="15" t="n">
        <v>3498997</v>
      </c>
      <c r="L80" s="15" t="inlineStr">
        <is>
          <t>TUB-O-N-AUT-AW-PE-19.05X1.60X6.000-ERW 1</t>
        </is>
      </c>
      <c r="M80" s="477" t="inlineStr">
        <is>
          <t>ERW</t>
        </is>
      </c>
      <c r="N80" s="15" t="inlineStr">
        <is>
          <t>AUT</t>
        </is>
      </c>
      <c r="O80" s="15" t="inlineStr">
        <is>
          <t>054</t>
        </is>
      </c>
      <c r="P80" s="15" t="inlineStr">
        <is>
          <t>AW</t>
        </is>
      </c>
      <c r="Q80" s="478" t="n">
        <v>19.05</v>
      </c>
      <c r="R80" s="478" t="n">
        <v>0</v>
      </c>
      <c r="S80" s="478" t="n">
        <v>1.6</v>
      </c>
      <c r="T80" s="479" t="n">
        <v>6</v>
      </c>
      <c r="U80" s="15" t="inlineStr">
        <is>
          <t>O</t>
        </is>
      </c>
      <c r="V80" s="15" t="inlineStr">
        <is>
          <t>O</t>
        </is>
      </c>
      <c r="W80" s="15" t="n">
        <v>5000</v>
      </c>
      <c r="X80" s="15" t="inlineStr">
        <is>
          <t>KG</t>
        </is>
      </c>
      <c r="Y80" s="492" t="n">
        <v>5</v>
      </c>
      <c r="AB80" s="162" t="n"/>
      <c r="AC80" s="174" t="n"/>
    </row>
    <row r="81">
      <c r="A81" s="91" t="inlineStr">
        <is>
          <t>056</t>
        </is>
      </c>
      <c r="B81" s="15" t="inlineStr">
        <is>
          <t>0000943210</t>
        </is>
      </c>
      <c r="C81" s="15" t="inlineStr">
        <is>
          <t>SOUTH</t>
        </is>
      </c>
      <c r="D81" s="15" t="inlineStr">
        <is>
          <t>MEGH STEELS PRIVATE LIMITED - HMSIL</t>
        </is>
      </c>
      <c r="E81" s="15" t="inlineStr">
        <is>
          <t>HOSUR</t>
        </is>
      </c>
      <c r="F81" s="15" t="inlineStr">
        <is>
          <t>0000943210</t>
        </is>
      </c>
      <c r="G81" s="15" t="n">
        <v>92</v>
      </c>
      <c r="H81" s="15" t="inlineStr">
        <is>
          <t>9518845944</t>
        </is>
      </c>
      <c r="I81" s="15" t="inlineStr">
        <is>
          <t>000001</t>
        </is>
      </c>
      <c r="J81" s="15">
        <f>_xlfn.XLOOKUP(orderbook[[#This Row],[MATL_NO]],Table29[TSL Material Code3],Table29[Key])</f>
        <v/>
      </c>
      <c r="K81" s="15" t="n">
        <v>3891285</v>
      </c>
      <c r="L81" s="15" t="inlineStr">
        <is>
          <t>TUB-O-N-AUT-AW-PE-19.05X1.40X6.000 HST</t>
        </is>
      </c>
      <c r="M81" s="477" t="inlineStr">
        <is>
          <t>ERW</t>
        </is>
      </c>
      <c r="N81" s="15" t="inlineStr">
        <is>
          <t>AUT</t>
        </is>
      </c>
      <c r="O81" s="15" t="inlineStr">
        <is>
          <t>055</t>
        </is>
      </c>
      <c r="P81" s="15" t="inlineStr">
        <is>
          <t>AW</t>
        </is>
      </c>
      <c r="Q81" s="478" t="n">
        <v>19.05</v>
      </c>
      <c r="R81" s="478" t="n">
        <v>0</v>
      </c>
      <c r="S81" s="478" t="n">
        <v>1.4</v>
      </c>
      <c r="T81" s="479" t="n">
        <v>6</v>
      </c>
      <c r="U81" s="15" t="inlineStr">
        <is>
          <t>O</t>
        </is>
      </c>
      <c r="V81" s="15" t="inlineStr">
        <is>
          <t>O</t>
        </is>
      </c>
      <c r="W81" s="15" t="n">
        <v>7500</v>
      </c>
      <c r="X81" s="15" t="inlineStr">
        <is>
          <t>KG</t>
        </is>
      </c>
      <c r="Y81" s="492" t="n">
        <v>7.5</v>
      </c>
      <c r="AB81" s="162" t="n"/>
      <c r="AC81" s="174" t="n"/>
    </row>
    <row r="82">
      <c r="A82" s="91" t="inlineStr">
        <is>
          <t>056</t>
        </is>
      </c>
      <c r="B82" s="15" t="inlineStr">
        <is>
          <t>0000943210</t>
        </is>
      </c>
      <c r="C82" s="15" t="inlineStr">
        <is>
          <t>SOUTH</t>
        </is>
      </c>
      <c r="D82" s="15" t="inlineStr">
        <is>
          <t>MEGH STEELS PRIVATE LIMITED - HMSIL</t>
        </is>
      </c>
      <c r="E82" s="15" t="inlineStr">
        <is>
          <t>HOSUR</t>
        </is>
      </c>
      <c r="F82" s="15" t="inlineStr">
        <is>
          <t>0000943210</t>
        </is>
      </c>
      <c r="G82" s="15" t="n">
        <v>41</v>
      </c>
      <c r="H82" s="15" t="inlineStr">
        <is>
          <t>9518997237</t>
        </is>
      </c>
      <c r="I82" s="15" t="inlineStr">
        <is>
          <t>000001</t>
        </is>
      </c>
      <c r="J82" s="15">
        <f>_xlfn.XLOOKUP(orderbook[[#This Row],[MATL_NO]],Table29[TSL Material Code3],Table29[Key])</f>
        <v/>
      </c>
      <c r="K82" s="15" t="n">
        <v>3891285</v>
      </c>
      <c r="L82" s="15" t="inlineStr">
        <is>
          <t>TUB-O-N-AUT-AW-PE-19.05X1.40X6.000 HST</t>
        </is>
      </c>
      <c r="M82" s="477" t="inlineStr">
        <is>
          <t>ERW</t>
        </is>
      </c>
      <c r="N82" s="15" t="inlineStr">
        <is>
          <t>AUT</t>
        </is>
      </c>
      <c r="O82" s="15" t="inlineStr">
        <is>
          <t>055</t>
        </is>
      </c>
      <c r="P82" s="15" t="inlineStr">
        <is>
          <t>AW</t>
        </is>
      </c>
      <c r="Q82" s="478" t="n">
        <v>19.05</v>
      </c>
      <c r="R82" s="478" t="n">
        <v>0</v>
      </c>
      <c r="S82" s="478" t="n">
        <v>1.4</v>
      </c>
      <c r="T82" s="479" t="n">
        <v>6</v>
      </c>
      <c r="U82" s="15" t="inlineStr">
        <is>
          <t>O</t>
        </is>
      </c>
      <c r="V82" s="15" t="inlineStr">
        <is>
          <t>O</t>
        </is>
      </c>
      <c r="W82" s="15" t="n">
        <v>10000</v>
      </c>
      <c r="X82" s="15" t="inlineStr">
        <is>
          <t>KG</t>
        </is>
      </c>
      <c r="Y82" s="492" t="n">
        <v>10</v>
      </c>
      <c r="AB82" s="162" t="n"/>
      <c r="AC82" s="174" t="n"/>
    </row>
    <row r="83">
      <c r="A83" s="91" t="inlineStr">
        <is>
          <t>056</t>
        </is>
      </c>
      <c r="B83" s="15" t="inlineStr">
        <is>
          <t>0000943209</t>
        </is>
      </c>
      <c r="C83" s="15" t="inlineStr">
        <is>
          <t>SOUTH</t>
        </is>
      </c>
      <c r="D83" s="15" t="inlineStr">
        <is>
          <t>MEGH STEELS PRIVATE LIMITED - TVS A</t>
        </is>
      </c>
      <c r="E83" s="15" t="inlineStr">
        <is>
          <t>HOSUR</t>
        </is>
      </c>
      <c r="F83" s="15" t="inlineStr">
        <is>
          <t>0000943209</t>
        </is>
      </c>
      <c r="G83" s="15" t="n">
        <v>14</v>
      </c>
      <c r="H83" s="15" t="inlineStr">
        <is>
          <t>9519071152</t>
        </is>
      </c>
      <c r="I83" s="15" t="inlineStr">
        <is>
          <t>000002</t>
        </is>
      </c>
      <c r="J83" s="15">
        <f>_xlfn.XLOOKUP(orderbook[[#This Row],[MATL_NO]],Table29[TSL Material Code3],Table29[Key])</f>
        <v/>
      </c>
      <c r="K83" s="15" t="n">
        <v>3500554</v>
      </c>
      <c r="L83" s="15" t="inlineStr">
        <is>
          <t>TUB-O-N-AUT-AW-PE-22.20X2.000X5.1000</t>
        </is>
      </c>
      <c r="M83" s="477" t="inlineStr">
        <is>
          <t>ERW</t>
        </is>
      </c>
      <c r="N83" s="15" t="inlineStr">
        <is>
          <t>AUT</t>
        </is>
      </c>
      <c r="O83" s="15" t="inlineStr">
        <is>
          <t>054</t>
        </is>
      </c>
      <c r="P83" s="15" t="inlineStr">
        <is>
          <t>AW</t>
        </is>
      </c>
      <c r="Q83" s="478" t="n">
        <v>22.2</v>
      </c>
      <c r="R83" s="478" t="n">
        <v>0</v>
      </c>
      <c r="S83" s="478" t="n">
        <v>2</v>
      </c>
      <c r="T83" s="479" t="n">
        <v>5.100000000000001</v>
      </c>
      <c r="U83" s="15" t="inlineStr">
        <is>
          <t>O</t>
        </is>
      </c>
      <c r="V83" s="15" t="inlineStr">
        <is>
          <t>O</t>
        </is>
      </c>
      <c r="W83" s="15" t="n">
        <v>30000</v>
      </c>
      <c r="X83" s="15" t="inlineStr">
        <is>
          <t>KG</t>
        </is>
      </c>
      <c r="Y83" s="492" t="n">
        <v>30</v>
      </c>
      <c r="AB83" s="162" t="n"/>
      <c r="AC83" s="174" t="n"/>
    </row>
    <row r="84">
      <c r="A84" s="91" t="inlineStr">
        <is>
          <t>056</t>
        </is>
      </c>
      <c r="B84" s="15" t="inlineStr">
        <is>
          <t>0000943209</t>
        </is>
      </c>
      <c r="C84" s="15" t="inlineStr">
        <is>
          <t>SOUTH</t>
        </is>
      </c>
      <c r="D84" s="15" t="inlineStr">
        <is>
          <t>MEGH STEELS PRIVATE LIMITED - TVS A</t>
        </is>
      </c>
      <c r="E84" s="15" t="inlineStr">
        <is>
          <t>HOSUR</t>
        </is>
      </c>
      <c r="F84" s="15" t="inlineStr">
        <is>
          <t>0000943209</t>
        </is>
      </c>
      <c r="G84" s="15" t="n">
        <v>14</v>
      </c>
      <c r="H84" s="15" t="inlineStr">
        <is>
          <t>9519071152</t>
        </is>
      </c>
      <c r="I84" s="15" t="inlineStr">
        <is>
          <t>000004</t>
        </is>
      </c>
      <c r="J84" s="15">
        <f>_xlfn.XLOOKUP(orderbook[[#This Row],[MATL_NO]],Table29[TSL Material Code3],Table29[Key])</f>
        <v/>
      </c>
      <c r="K84" s="15" t="n">
        <v>3502494</v>
      </c>
      <c r="L84" s="15" t="inlineStr">
        <is>
          <t>TUB-O-N-AUT-AW-FC-22.20X2.000X6.0010</t>
        </is>
      </c>
      <c r="M84" s="477" t="inlineStr">
        <is>
          <t>ERW</t>
        </is>
      </c>
      <c r="N84" s="15" t="inlineStr">
        <is>
          <t>AUT</t>
        </is>
      </c>
      <c r="O84" s="15" t="inlineStr">
        <is>
          <t>055</t>
        </is>
      </c>
      <c r="P84" s="15" t="inlineStr">
        <is>
          <t>AW</t>
        </is>
      </c>
      <c r="Q84" s="478" t="n">
        <v>22.2</v>
      </c>
      <c r="R84" s="478" t="n">
        <v>0</v>
      </c>
      <c r="S84" s="478" t="n">
        <v>2</v>
      </c>
      <c r="T84" s="479" t="n">
        <v>6.001</v>
      </c>
      <c r="U84" s="15" t="inlineStr">
        <is>
          <t>O</t>
        </is>
      </c>
      <c r="V84" s="15" t="inlineStr">
        <is>
          <t>O</t>
        </is>
      </c>
      <c r="W84" s="15" t="n">
        <v>40000</v>
      </c>
      <c r="X84" s="15" t="inlineStr">
        <is>
          <t>KG</t>
        </is>
      </c>
      <c r="Y84" s="492" t="n">
        <v>40</v>
      </c>
      <c r="AB84" s="162" t="n"/>
      <c r="AC84" s="174" t="n"/>
    </row>
    <row r="85">
      <c r="A85" s="91" t="inlineStr">
        <is>
          <t>056</t>
        </is>
      </c>
      <c r="B85" s="15" t="inlineStr">
        <is>
          <t>0000943209</t>
        </is>
      </c>
      <c r="C85" s="15" t="inlineStr">
        <is>
          <t>SOUTH</t>
        </is>
      </c>
      <c r="D85" s="15" t="inlineStr">
        <is>
          <t>MEGH STEELS PRIVATE LIMITED - TVS A</t>
        </is>
      </c>
      <c r="E85" s="15" t="inlineStr">
        <is>
          <t>HOSUR</t>
        </is>
      </c>
      <c r="F85" s="15" t="inlineStr">
        <is>
          <t>0000943209</t>
        </is>
      </c>
      <c r="G85" s="15" t="n">
        <v>41</v>
      </c>
      <c r="H85" s="15" t="inlineStr">
        <is>
          <t>9518997184</t>
        </is>
      </c>
      <c r="I85" s="15" t="inlineStr">
        <is>
          <t>000002</t>
        </is>
      </c>
      <c r="J85" s="15">
        <f>_xlfn.XLOOKUP(orderbook[[#This Row],[MATL_NO]],Table29[TSL Material Code3],Table29[Key])</f>
        <v/>
      </c>
      <c r="K85" s="15" t="n">
        <v>3905466</v>
      </c>
      <c r="L85" s="15" t="inlineStr">
        <is>
          <t>TUB-O-N-AUT-AW-PE-22.20X2.000X5.9510</t>
        </is>
      </c>
      <c r="M85" s="477" t="inlineStr">
        <is>
          <t>ERW</t>
        </is>
      </c>
      <c r="N85" s="15" t="inlineStr">
        <is>
          <t>AUT</t>
        </is>
      </c>
      <c r="O85" s="15" t="inlineStr">
        <is>
          <t>054</t>
        </is>
      </c>
      <c r="P85" s="15" t="inlineStr">
        <is>
          <t>AW</t>
        </is>
      </c>
      <c r="Q85" s="478" t="n">
        <v>22.2</v>
      </c>
      <c r="R85" s="478" t="n">
        <v>0</v>
      </c>
      <c r="S85" s="478" t="n">
        <v>2</v>
      </c>
      <c r="T85" s="479" t="n">
        <v>5.951000000000001</v>
      </c>
      <c r="U85" s="15" t="inlineStr">
        <is>
          <t>O</t>
        </is>
      </c>
      <c r="V85" s="15" t="inlineStr">
        <is>
          <t>O</t>
        </is>
      </c>
      <c r="W85" s="15" t="n">
        <v>30000</v>
      </c>
      <c r="X85" s="15" t="inlineStr">
        <is>
          <t>KG</t>
        </is>
      </c>
      <c r="Y85" s="492" t="n">
        <v>8.481999999999999</v>
      </c>
      <c r="AB85" s="162" t="n"/>
      <c r="AC85" s="174" t="n"/>
    </row>
    <row r="86">
      <c r="A86" s="91" t="inlineStr">
        <is>
          <t>056</t>
        </is>
      </c>
      <c r="B86" s="15" t="inlineStr">
        <is>
          <t>0000943209</t>
        </is>
      </c>
      <c r="C86" s="15" t="inlineStr">
        <is>
          <t>SOUTH</t>
        </is>
      </c>
      <c r="D86" s="15" t="inlineStr">
        <is>
          <t>MEGH STEELS PRIVATE LIMITED - TVS A</t>
        </is>
      </c>
      <c r="E86" s="15" t="inlineStr">
        <is>
          <t>HOSUR</t>
        </is>
      </c>
      <c r="F86" s="15" t="inlineStr">
        <is>
          <t>0000943209</t>
        </is>
      </c>
      <c r="G86" s="15" t="n">
        <v>54</v>
      </c>
      <c r="H86" s="15" t="inlineStr">
        <is>
          <t>9518955635</t>
        </is>
      </c>
      <c r="I86" s="15" t="inlineStr">
        <is>
          <t>000004</t>
        </is>
      </c>
      <c r="J86" s="15">
        <f>_xlfn.XLOOKUP(orderbook[[#This Row],[MATL_NO]],Table29[TSL Material Code3],Table29[Key])</f>
        <v/>
      </c>
      <c r="K86" s="15" t="n">
        <v>3502494</v>
      </c>
      <c r="L86" s="15" t="inlineStr">
        <is>
          <t>TUB-O-N-AUT-AW-FC-22.20X2.000X6.0010</t>
        </is>
      </c>
      <c r="M86" s="477" t="inlineStr">
        <is>
          <t>ERW</t>
        </is>
      </c>
      <c r="N86" s="15" t="inlineStr">
        <is>
          <t>AUT</t>
        </is>
      </c>
      <c r="O86" s="15" t="inlineStr">
        <is>
          <t>055</t>
        </is>
      </c>
      <c r="P86" s="15" t="inlineStr">
        <is>
          <t>AW</t>
        </is>
      </c>
      <c r="Q86" s="478" t="n">
        <v>22.2</v>
      </c>
      <c r="R86" s="478" t="n">
        <v>0</v>
      </c>
      <c r="S86" s="478" t="n">
        <v>2</v>
      </c>
      <c r="T86" s="479" t="n">
        <v>6.001</v>
      </c>
      <c r="U86" s="15" t="inlineStr">
        <is>
          <t>O</t>
        </is>
      </c>
      <c r="V86" s="15" t="inlineStr">
        <is>
          <t>O</t>
        </is>
      </c>
      <c r="W86" s="15" t="n">
        <v>1000</v>
      </c>
      <c r="X86" s="15" t="inlineStr">
        <is>
          <t>KG</t>
        </is>
      </c>
      <c r="Y86" s="492" t="n">
        <v>1</v>
      </c>
      <c r="AB86" s="162" t="n"/>
      <c r="AC86" s="174" t="n"/>
    </row>
    <row r="87">
      <c r="A87" s="91" t="inlineStr">
        <is>
          <t>056</t>
        </is>
      </c>
      <c r="B87" s="15" t="inlineStr">
        <is>
          <t>0000943209</t>
        </is>
      </c>
      <c r="C87" s="15" t="inlineStr">
        <is>
          <t>SOUTH</t>
        </is>
      </c>
      <c r="D87" s="15" t="inlineStr">
        <is>
          <t>MEGH STEELS PRIVATE LIMITED - TVS A</t>
        </is>
      </c>
      <c r="E87" s="15" t="inlineStr">
        <is>
          <t>HOSUR</t>
        </is>
      </c>
      <c r="F87" s="15" t="inlineStr">
        <is>
          <t>0000943209</t>
        </is>
      </c>
      <c r="G87" s="15" t="n">
        <v>54</v>
      </c>
      <c r="H87" s="15" t="inlineStr">
        <is>
          <t>9518955635</t>
        </is>
      </c>
      <c r="I87" s="15" t="inlineStr">
        <is>
          <t>000003</t>
        </is>
      </c>
      <c r="J87" s="15">
        <f>_xlfn.XLOOKUP(orderbook[[#This Row],[MATL_NO]],Table29[TSL Material Code3],Table29[Key])</f>
        <v/>
      </c>
      <c r="K87" s="15" t="n">
        <v>3502494</v>
      </c>
      <c r="L87" s="15" t="inlineStr">
        <is>
          <t>TUB-O-N-AUT-AW-FC-22.20X2.000X6.0010</t>
        </is>
      </c>
      <c r="M87" s="477" t="inlineStr">
        <is>
          <t>ERW</t>
        </is>
      </c>
      <c r="N87" s="15" t="inlineStr">
        <is>
          <t>AUT</t>
        </is>
      </c>
      <c r="O87" s="15" t="inlineStr">
        <is>
          <t>055</t>
        </is>
      </c>
      <c r="P87" s="15" t="inlineStr">
        <is>
          <t>AW</t>
        </is>
      </c>
      <c r="Q87" s="478" t="n">
        <v>22.2</v>
      </c>
      <c r="R87" s="478" t="n">
        <v>0</v>
      </c>
      <c r="S87" s="478" t="n">
        <v>2</v>
      </c>
      <c r="T87" s="479" t="n">
        <v>6.001</v>
      </c>
      <c r="U87" s="15" t="inlineStr">
        <is>
          <t>O</t>
        </is>
      </c>
      <c r="V87" s="15" t="inlineStr">
        <is>
          <t>O</t>
        </is>
      </c>
      <c r="W87" s="15" t="n">
        <v>30000</v>
      </c>
      <c r="X87" s="15" t="inlineStr">
        <is>
          <t>KG</t>
        </is>
      </c>
      <c r="Y87" s="492" t="n">
        <v>12.848</v>
      </c>
      <c r="AB87" s="162" t="n"/>
      <c r="AC87" s="174" t="n"/>
    </row>
    <row r="88">
      <c r="A88" s="91" t="inlineStr">
        <is>
          <t>056</t>
        </is>
      </c>
      <c r="B88" s="15" t="inlineStr">
        <is>
          <t>0000943209</t>
        </is>
      </c>
      <c r="C88" s="15" t="inlineStr">
        <is>
          <t>SOUTH</t>
        </is>
      </c>
      <c r="D88" s="15" t="inlineStr">
        <is>
          <t>MEGH STEELS PRIVATE LIMITED - TVS A</t>
        </is>
      </c>
      <c r="E88" s="15" t="inlineStr">
        <is>
          <t>HOSUR</t>
        </is>
      </c>
      <c r="F88" s="15" t="inlineStr">
        <is>
          <t>0000943209</t>
        </is>
      </c>
      <c r="G88" s="15" t="n">
        <v>14</v>
      </c>
      <c r="H88" s="15" t="inlineStr">
        <is>
          <t>9519071152</t>
        </is>
      </c>
      <c r="I88" s="15" t="inlineStr">
        <is>
          <t>000003</t>
        </is>
      </c>
      <c r="J88" s="15">
        <f>_xlfn.XLOOKUP(orderbook[[#This Row],[MATL_NO]],Table29[TSL Material Code3],Table29[Key])</f>
        <v/>
      </c>
      <c r="K88" s="15" t="n">
        <v>3905466</v>
      </c>
      <c r="L88" s="15" t="inlineStr">
        <is>
          <t>TUB-O-N-AUT-AW-PE-22.20X2.000X5.9510</t>
        </is>
      </c>
      <c r="M88" s="477" t="inlineStr">
        <is>
          <t>ERW</t>
        </is>
      </c>
      <c r="N88" s="15" t="inlineStr">
        <is>
          <t>AUT</t>
        </is>
      </c>
      <c r="O88" s="15" t="inlineStr">
        <is>
          <t>054</t>
        </is>
      </c>
      <c r="P88" s="15" t="inlineStr">
        <is>
          <t>AW</t>
        </is>
      </c>
      <c r="Q88" s="478" t="n">
        <v>22.2</v>
      </c>
      <c r="R88" s="478" t="n">
        <v>0</v>
      </c>
      <c r="S88" s="478" t="n">
        <v>2</v>
      </c>
      <c r="T88" s="479" t="n">
        <v>5.951000000000001</v>
      </c>
      <c r="U88" s="15" t="inlineStr">
        <is>
          <t>O</t>
        </is>
      </c>
      <c r="V88" s="15" t="inlineStr">
        <is>
          <t>O</t>
        </is>
      </c>
      <c r="W88" s="15" t="n">
        <v>60000</v>
      </c>
      <c r="X88" s="15" t="inlineStr">
        <is>
          <t>KG</t>
        </is>
      </c>
      <c r="Y88" s="492" t="n">
        <v>60</v>
      </c>
      <c r="AB88" s="162" t="n"/>
      <c r="AC88" s="174" t="n"/>
    </row>
    <row r="89">
      <c r="A89" s="91" t="inlineStr">
        <is>
          <t>056</t>
        </is>
      </c>
      <c r="B89" s="15" t="inlineStr">
        <is>
          <t>0000943209</t>
        </is>
      </c>
      <c r="C89" s="15" t="inlineStr">
        <is>
          <t>SOUTH</t>
        </is>
      </c>
      <c r="D89" s="15" t="inlineStr">
        <is>
          <t>MEGH STEELS PRIVATE LIMITED - TVS A</t>
        </is>
      </c>
      <c r="E89" s="15" t="inlineStr">
        <is>
          <t>HOSUR</t>
        </is>
      </c>
      <c r="F89" s="15" t="inlineStr">
        <is>
          <t>0000943209</t>
        </is>
      </c>
      <c r="G89" s="15" t="n">
        <v>19</v>
      </c>
      <c r="H89" s="15" t="inlineStr">
        <is>
          <t>9519038725</t>
        </is>
      </c>
      <c r="I89" s="15" t="inlineStr">
        <is>
          <t>000002</t>
        </is>
      </c>
      <c r="J89" s="15">
        <f>_xlfn.XLOOKUP(orderbook[[#This Row],[MATL_NO]],Table29[TSL Material Code3],Table29[Key])</f>
        <v/>
      </c>
      <c r="K89" s="15" t="n">
        <v>3905466</v>
      </c>
      <c r="L89" s="15" t="inlineStr">
        <is>
          <t>TUB-O-N-AUT-AW-PE-22.20X2.000X5.9510</t>
        </is>
      </c>
      <c r="M89" s="477" t="inlineStr">
        <is>
          <t>ERW</t>
        </is>
      </c>
      <c r="N89" s="15" t="inlineStr">
        <is>
          <t>AUT</t>
        </is>
      </c>
      <c r="O89" s="15" t="inlineStr">
        <is>
          <t>054</t>
        </is>
      </c>
      <c r="P89" s="15" t="inlineStr">
        <is>
          <t>AW</t>
        </is>
      </c>
      <c r="Q89" s="478" t="n">
        <v>22.2</v>
      </c>
      <c r="R89" s="478" t="n">
        <v>0</v>
      </c>
      <c r="S89" s="478" t="n">
        <v>2</v>
      </c>
      <c r="T89" s="479" t="n">
        <v>5.951000000000001</v>
      </c>
      <c r="U89" s="15" t="inlineStr">
        <is>
          <t>O</t>
        </is>
      </c>
      <c r="V89" s="15" t="inlineStr">
        <is>
          <t>O</t>
        </is>
      </c>
      <c r="W89" s="15" t="n">
        <v>20000</v>
      </c>
      <c r="X89" s="15" t="inlineStr">
        <is>
          <t>KG</t>
        </is>
      </c>
      <c r="Y89" s="492" t="n">
        <v>20</v>
      </c>
      <c r="AB89" s="162" t="n"/>
      <c r="AC89" s="174" t="n"/>
    </row>
    <row r="90">
      <c r="A90" s="91" t="inlineStr">
        <is>
          <t>056</t>
        </is>
      </c>
      <c r="B90" s="15" t="inlineStr">
        <is>
          <t>0000943210</t>
        </is>
      </c>
      <c r="C90" s="15" t="inlineStr">
        <is>
          <t>SOUTH</t>
        </is>
      </c>
      <c r="D90" s="15" t="inlineStr">
        <is>
          <t>MEGH STEELS PRIVATE LIMITED - HMSIL</t>
        </is>
      </c>
      <c r="E90" s="15" t="inlineStr">
        <is>
          <t>HOSUR</t>
        </is>
      </c>
      <c r="F90" s="15" t="inlineStr">
        <is>
          <t>0000943210</t>
        </is>
      </c>
      <c r="G90" s="15" t="n">
        <v>92</v>
      </c>
      <c r="H90" s="15" t="inlineStr">
        <is>
          <t>9518845944</t>
        </is>
      </c>
      <c r="I90" s="15" t="inlineStr">
        <is>
          <t>000002</t>
        </is>
      </c>
      <c r="J90" s="15">
        <f>_xlfn.XLOOKUP(orderbook[[#This Row],[MATL_NO]],Table29[TSL Material Code3],Table29[Key])</f>
        <v/>
      </c>
      <c r="K90" s="15" t="n">
        <v>3829175</v>
      </c>
      <c r="L90" s="15" t="inlineStr">
        <is>
          <t>TUB-O-N-AUT-AW-PE-22.20X1.40X6.000 HST</t>
        </is>
      </c>
      <c r="M90" s="477" t="inlineStr">
        <is>
          <t>ERW</t>
        </is>
      </c>
      <c r="N90" s="15" t="inlineStr">
        <is>
          <t>AUT</t>
        </is>
      </c>
      <c r="O90" s="15" t="inlineStr">
        <is>
          <t>055</t>
        </is>
      </c>
      <c r="P90" s="15" t="inlineStr">
        <is>
          <t>AW</t>
        </is>
      </c>
      <c r="Q90" s="478" t="n">
        <v>22.2</v>
      </c>
      <c r="R90" s="478" t="n">
        <v>0</v>
      </c>
      <c r="S90" s="478" t="n">
        <v>1.4</v>
      </c>
      <c r="T90" s="479" t="n">
        <v>6</v>
      </c>
      <c r="U90" s="15" t="inlineStr">
        <is>
          <t>O</t>
        </is>
      </c>
      <c r="V90" s="15" t="inlineStr">
        <is>
          <t>O</t>
        </is>
      </c>
      <c r="W90" s="15" t="n">
        <v>5500</v>
      </c>
      <c r="X90" s="15" t="inlineStr">
        <is>
          <t>KG</t>
        </is>
      </c>
      <c r="Y90" s="492" t="n">
        <v>5.5</v>
      </c>
      <c r="AB90" s="162" t="n"/>
      <c r="AC90" s="174" t="n"/>
    </row>
    <row r="91">
      <c r="A91" s="91" t="inlineStr">
        <is>
          <t>056</t>
        </is>
      </c>
      <c r="B91" s="15" t="inlineStr">
        <is>
          <t>0000943209</t>
        </is>
      </c>
      <c r="C91" s="15" t="inlineStr">
        <is>
          <t>SOUTH</t>
        </is>
      </c>
      <c r="D91" s="15" t="inlineStr">
        <is>
          <t>MEGH STEELS PRIVATE LIMITED - TVS A</t>
        </is>
      </c>
      <c r="E91" s="15" t="inlineStr">
        <is>
          <t>HOSUR</t>
        </is>
      </c>
      <c r="F91" s="15" t="inlineStr">
        <is>
          <t>0000943209</t>
        </is>
      </c>
      <c r="G91" s="15" t="n">
        <v>19</v>
      </c>
      <c r="H91" s="15" t="inlineStr">
        <is>
          <t>9519038725</t>
        </is>
      </c>
      <c r="I91" s="15" t="inlineStr">
        <is>
          <t>000001</t>
        </is>
      </c>
      <c r="J91" s="15">
        <f>_xlfn.XLOOKUP(orderbook[[#This Row],[MATL_NO]],Table29[TSL Material Code3],Table29[Key])</f>
        <v/>
      </c>
      <c r="K91" s="15" t="n">
        <v>3882110</v>
      </c>
      <c r="L91" s="15" t="inlineStr">
        <is>
          <t>TUB-O-N-AUT-AW-PE-22.20X1.200X5.8700</t>
        </is>
      </c>
      <c r="M91" s="477" t="inlineStr">
        <is>
          <t>ERW</t>
        </is>
      </c>
      <c r="N91" s="15" t="inlineStr">
        <is>
          <t>AUT</t>
        </is>
      </c>
      <c r="O91" s="15" t="inlineStr">
        <is>
          <t>054</t>
        </is>
      </c>
      <c r="P91" s="15" t="inlineStr">
        <is>
          <t>AW</t>
        </is>
      </c>
      <c r="Q91" s="478" t="n">
        <v>22.2</v>
      </c>
      <c r="R91" s="478" t="n">
        <v>0</v>
      </c>
      <c r="S91" s="478" t="n">
        <v>1.2</v>
      </c>
      <c r="T91" s="479" t="n">
        <v>5.87</v>
      </c>
      <c r="U91" s="15" t="inlineStr">
        <is>
          <t>O</t>
        </is>
      </c>
      <c r="V91" s="15" t="inlineStr">
        <is>
          <t>O</t>
        </is>
      </c>
      <c r="W91" s="15" t="n">
        <v>10000</v>
      </c>
      <c r="X91" s="15" t="inlineStr">
        <is>
          <t>KG</t>
        </is>
      </c>
      <c r="Y91" s="492" t="n">
        <v>10</v>
      </c>
      <c r="AB91" s="162" t="n"/>
      <c r="AC91" s="174" t="n"/>
    </row>
    <row r="92">
      <c r="A92" s="91" t="inlineStr">
        <is>
          <t>056</t>
        </is>
      </c>
      <c r="B92" s="15" t="inlineStr">
        <is>
          <t>0000943209</t>
        </is>
      </c>
      <c r="C92" s="15" t="inlineStr">
        <is>
          <t>SOUTH</t>
        </is>
      </c>
      <c r="D92" s="15" t="inlineStr">
        <is>
          <t>MEGH STEELS PRIVATE LIMITED - TVS A</t>
        </is>
      </c>
      <c r="E92" s="15" t="inlineStr">
        <is>
          <t>HOSUR</t>
        </is>
      </c>
      <c r="F92" s="15" t="inlineStr">
        <is>
          <t>0000943209</t>
        </is>
      </c>
      <c r="G92" s="15" t="n">
        <v>14</v>
      </c>
      <c r="H92" s="15" t="inlineStr">
        <is>
          <t>9519071152</t>
        </is>
      </c>
      <c r="I92" s="15" t="inlineStr">
        <is>
          <t>000006</t>
        </is>
      </c>
      <c r="J92" s="15">
        <f>_xlfn.XLOOKUP(orderbook[[#This Row],[MATL_NO]],Table29[TSL Material Code3],Table29[Key])</f>
        <v/>
      </c>
      <c r="K92" s="15" t="n">
        <v>3502256</v>
      </c>
      <c r="L92" s="15" t="inlineStr">
        <is>
          <t>TUB-O-N-AUT-AW-PE-25.40X2.500X5.5300</t>
        </is>
      </c>
      <c r="M92" s="477" t="inlineStr">
        <is>
          <t>ERW</t>
        </is>
      </c>
      <c r="N92" s="15" t="inlineStr">
        <is>
          <t>AUT</t>
        </is>
      </c>
      <c r="O92" s="15" t="inlineStr">
        <is>
          <t>054</t>
        </is>
      </c>
      <c r="P92" s="15" t="inlineStr">
        <is>
          <t>AW</t>
        </is>
      </c>
      <c r="Q92" s="478" t="n">
        <v>25.4</v>
      </c>
      <c r="R92" s="478" t="n">
        <v>0</v>
      </c>
      <c r="S92" s="478" t="n">
        <v>2.5</v>
      </c>
      <c r="T92" s="479" t="n">
        <v>5.53</v>
      </c>
      <c r="U92" s="15" t="inlineStr">
        <is>
          <t>O</t>
        </is>
      </c>
      <c r="V92" s="15" t="inlineStr">
        <is>
          <t>O</t>
        </is>
      </c>
      <c r="W92" s="15" t="n">
        <v>20000</v>
      </c>
      <c r="X92" s="15" t="inlineStr">
        <is>
          <t>KG</t>
        </is>
      </c>
      <c r="Y92" s="492" t="n">
        <v>20</v>
      </c>
      <c r="AB92" s="162" t="n"/>
      <c r="AC92" s="174" t="n"/>
    </row>
    <row r="93">
      <c r="A93" s="91" t="inlineStr">
        <is>
          <t>056</t>
        </is>
      </c>
      <c r="B93" s="15" t="inlineStr">
        <is>
          <t>0000943209</t>
        </is>
      </c>
      <c r="C93" s="15" t="inlineStr">
        <is>
          <t>SOUTH</t>
        </is>
      </c>
      <c r="D93" s="15" t="inlineStr">
        <is>
          <t>MEGH STEELS PRIVATE LIMITED - TVS A</t>
        </is>
      </c>
      <c r="E93" s="15" t="inlineStr">
        <is>
          <t>HOSUR</t>
        </is>
      </c>
      <c r="F93" s="15" t="inlineStr">
        <is>
          <t>0000943209</t>
        </is>
      </c>
      <c r="G93" s="15" t="n">
        <v>41</v>
      </c>
      <c r="H93" s="15" t="inlineStr">
        <is>
          <t>9518997184</t>
        </is>
      </c>
      <c r="I93" s="15" t="inlineStr">
        <is>
          <t>000004</t>
        </is>
      </c>
      <c r="J93" s="15">
        <f>_xlfn.XLOOKUP(orderbook[[#This Row],[MATL_NO]],Table29[TSL Material Code3],Table29[Key])</f>
        <v/>
      </c>
      <c r="K93" s="15" t="n">
        <v>3502256</v>
      </c>
      <c r="L93" s="15" t="inlineStr">
        <is>
          <t>TUB-O-N-AUT-AW-PE-25.40X2.500X5.5300</t>
        </is>
      </c>
      <c r="M93" s="477" t="inlineStr">
        <is>
          <t>ERW</t>
        </is>
      </c>
      <c r="N93" s="15" t="inlineStr">
        <is>
          <t>AUT</t>
        </is>
      </c>
      <c r="O93" s="15" t="inlineStr">
        <is>
          <t>054</t>
        </is>
      </c>
      <c r="P93" s="15" t="inlineStr">
        <is>
          <t>AW</t>
        </is>
      </c>
      <c r="Q93" s="478" t="n">
        <v>25.4</v>
      </c>
      <c r="R93" s="478" t="n">
        <v>0</v>
      </c>
      <c r="S93" s="478" t="n">
        <v>2.5</v>
      </c>
      <c r="T93" s="479" t="n">
        <v>5.53</v>
      </c>
      <c r="U93" s="15" t="inlineStr">
        <is>
          <t>O</t>
        </is>
      </c>
      <c r="V93" s="15" t="inlineStr">
        <is>
          <t>O</t>
        </is>
      </c>
      <c r="W93" s="15" t="n">
        <v>40000</v>
      </c>
      <c r="X93" s="15" t="inlineStr">
        <is>
          <t>KG</t>
        </is>
      </c>
      <c r="Y93" s="492" t="n">
        <v>14.254</v>
      </c>
      <c r="AB93" s="162" t="n"/>
      <c r="AC93" s="174" t="n"/>
    </row>
    <row r="94">
      <c r="A94" s="91" t="inlineStr">
        <is>
          <t>056</t>
        </is>
      </c>
      <c r="B94" s="15" t="inlineStr">
        <is>
          <t>0000943209</t>
        </is>
      </c>
      <c r="C94" s="15" t="inlineStr">
        <is>
          <t>SOUTH</t>
        </is>
      </c>
      <c r="D94" s="15" t="inlineStr">
        <is>
          <t>MEGH STEELS PRIVATE LIMITED - TVS A</t>
        </is>
      </c>
      <c r="E94" s="15" t="inlineStr">
        <is>
          <t>HOSUR</t>
        </is>
      </c>
      <c r="F94" s="15" t="inlineStr">
        <is>
          <t>0000943209</t>
        </is>
      </c>
      <c r="G94" s="15" t="n">
        <v>14</v>
      </c>
      <c r="H94" s="15" t="inlineStr">
        <is>
          <t>9519070974</t>
        </is>
      </c>
      <c r="I94" s="15" t="inlineStr">
        <is>
          <t>000001</t>
        </is>
      </c>
      <c r="J94" s="15" t="inlineStr">
        <is>
          <t>25.425.82ERWNON FIN</t>
        </is>
      </c>
      <c r="K94" s="15" t="n">
        <v>3673890</v>
      </c>
      <c r="L94" s="15" t="inlineStr">
        <is>
          <t>TUB-O-N-AUT-AW-PE-25.40X2.000X5.8400</t>
        </is>
      </c>
      <c r="M94" s="477" t="inlineStr">
        <is>
          <t>ERW</t>
        </is>
      </c>
      <c r="N94" s="15" t="inlineStr">
        <is>
          <t>AUT</t>
        </is>
      </c>
      <c r="O94" s="15" t="inlineStr">
        <is>
          <t>054</t>
        </is>
      </c>
      <c r="P94" s="15" t="inlineStr">
        <is>
          <t>AW</t>
        </is>
      </c>
      <c r="Q94" s="478" t="n">
        <v>25.4</v>
      </c>
      <c r="R94" s="478" t="n">
        <v>0</v>
      </c>
      <c r="S94" s="478" t="n">
        <v>2</v>
      </c>
      <c r="T94" s="479" t="n">
        <v>5.84</v>
      </c>
      <c r="U94" s="15" t="inlineStr">
        <is>
          <t>L</t>
        </is>
      </c>
      <c r="V94" s="15" t="inlineStr">
        <is>
          <t>O</t>
        </is>
      </c>
      <c r="W94" s="15" t="n">
        <v>13000</v>
      </c>
      <c r="X94" s="15" t="inlineStr">
        <is>
          <t>KG</t>
        </is>
      </c>
      <c r="Y94" s="492" t="n">
        <v>11.571</v>
      </c>
      <c r="AB94" s="162" t="n"/>
      <c r="AC94" s="174" t="n"/>
    </row>
    <row r="95">
      <c r="A95" s="91" t="inlineStr">
        <is>
          <t>056</t>
        </is>
      </c>
      <c r="B95" s="15" t="inlineStr">
        <is>
          <t>0000943209</t>
        </is>
      </c>
      <c r="C95" s="15" t="inlineStr">
        <is>
          <t>SOUTH</t>
        </is>
      </c>
      <c r="D95" s="15" t="inlineStr">
        <is>
          <t>MEGH STEELS PRIVATE LIMITED - TVS A</t>
        </is>
      </c>
      <c r="E95" s="15" t="inlineStr">
        <is>
          <t>HOSUR</t>
        </is>
      </c>
      <c r="F95" s="15" t="inlineStr">
        <is>
          <t>0000943209</t>
        </is>
      </c>
      <c r="G95" s="15" t="n">
        <v>14</v>
      </c>
      <c r="H95" s="15" t="inlineStr">
        <is>
          <t>9519071152</t>
        </is>
      </c>
      <c r="I95" s="15" t="inlineStr">
        <is>
          <t>000005</t>
        </is>
      </c>
      <c r="J95" s="15">
        <f>_xlfn.XLOOKUP(orderbook[[#This Row],[MATL_NO]],Table29[TSL Material Code3],Table29[Key])</f>
        <v/>
      </c>
      <c r="K95" s="15" t="n">
        <v>3500097</v>
      </c>
      <c r="L95" s="15" t="inlineStr">
        <is>
          <t>TUB-O-N-AUT-AW-PE-25.40X1.60X6.000-ERW 1</t>
        </is>
      </c>
      <c r="M95" s="477" t="inlineStr">
        <is>
          <t>ERW</t>
        </is>
      </c>
      <c r="N95" s="15" t="inlineStr">
        <is>
          <t>AUT</t>
        </is>
      </c>
      <c r="O95" s="15" t="inlineStr">
        <is>
          <t>054</t>
        </is>
      </c>
      <c r="P95" s="15" t="inlineStr">
        <is>
          <t>AW</t>
        </is>
      </c>
      <c r="Q95" s="478" t="n">
        <v>25.4</v>
      </c>
      <c r="R95" s="478" t="n">
        <v>0</v>
      </c>
      <c r="S95" s="478" t="n">
        <v>1.6</v>
      </c>
      <c r="T95" s="479" t="n">
        <v>6</v>
      </c>
      <c r="U95" s="15" t="inlineStr">
        <is>
          <t>L</t>
        </is>
      </c>
      <c r="V95" s="15" t="inlineStr">
        <is>
          <t>O</t>
        </is>
      </c>
      <c r="W95" s="15" t="n">
        <v>30000</v>
      </c>
      <c r="X95" s="15" t="inlineStr">
        <is>
          <t>KG</t>
        </is>
      </c>
      <c r="Y95" s="492" t="n">
        <v>30</v>
      </c>
      <c r="AB95" s="162" t="n"/>
      <c r="AC95" s="174" t="n"/>
    </row>
    <row r="96">
      <c r="A96" s="91" t="inlineStr">
        <is>
          <t>056</t>
        </is>
      </c>
      <c r="B96" s="15" t="inlineStr">
        <is>
          <t>0000943209</t>
        </is>
      </c>
      <c r="C96" s="15" t="inlineStr">
        <is>
          <t>SOUTH</t>
        </is>
      </c>
      <c r="D96" s="15" t="inlineStr">
        <is>
          <t>MEGH STEELS PRIVATE LIMITED - TVS A</t>
        </is>
      </c>
      <c r="E96" s="15" t="inlineStr">
        <is>
          <t>HOSUR</t>
        </is>
      </c>
      <c r="F96" s="15" t="inlineStr">
        <is>
          <t>0000943209</t>
        </is>
      </c>
      <c r="G96" s="15" t="n">
        <v>27</v>
      </c>
      <c r="H96" s="15" t="inlineStr">
        <is>
          <t>9519031891</t>
        </is>
      </c>
      <c r="I96" s="15" t="inlineStr">
        <is>
          <t>000001</t>
        </is>
      </c>
      <c r="J96" s="15">
        <f>_xlfn.XLOOKUP(orderbook[[#This Row],[MATL_NO]],Table29[TSL Material Code3],Table29[Key])</f>
        <v/>
      </c>
      <c r="K96" s="15" t="n">
        <v>3500097</v>
      </c>
      <c r="L96" s="15" t="inlineStr">
        <is>
          <t>TUB-O-N-AUT-AW-PE-25.40X1.60X6.000-ERW 1</t>
        </is>
      </c>
      <c r="M96" s="477" t="inlineStr">
        <is>
          <t>ERW</t>
        </is>
      </c>
      <c r="N96" s="15" t="inlineStr">
        <is>
          <t>AUT</t>
        </is>
      </c>
      <c r="O96" s="15" t="inlineStr">
        <is>
          <t>054</t>
        </is>
      </c>
      <c r="P96" s="15" t="inlineStr">
        <is>
          <t>AW</t>
        </is>
      </c>
      <c r="Q96" s="478" t="n">
        <v>25.4</v>
      </c>
      <c r="R96" s="478" t="n">
        <v>0</v>
      </c>
      <c r="S96" s="478" t="n">
        <v>1.6</v>
      </c>
      <c r="T96" s="479" t="n">
        <v>6</v>
      </c>
      <c r="U96" s="15" t="inlineStr">
        <is>
          <t>L</t>
        </is>
      </c>
      <c r="V96" s="15" t="inlineStr">
        <is>
          <t>O</t>
        </is>
      </c>
      <c r="W96" s="15" t="n">
        <v>15000</v>
      </c>
      <c r="X96" s="15" t="inlineStr">
        <is>
          <t>KG</t>
        </is>
      </c>
      <c r="Y96" s="492" t="n">
        <v>15</v>
      </c>
      <c r="AB96" s="162" t="n"/>
      <c r="AC96" s="174" t="n"/>
    </row>
    <row r="97">
      <c r="A97" s="91" t="inlineStr">
        <is>
          <t>056</t>
        </is>
      </c>
      <c r="B97" s="15" t="inlineStr">
        <is>
          <t>0000943209</t>
        </is>
      </c>
      <c r="C97" s="15" t="inlineStr">
        <is>
          <t>SOUTH</t>
        </is>
      </c>
      <c r="D97" s="15" t="inlineStr">
        <is>
          <t>MEGH STEELS PRIVATE LIMITED - TVS A</t>
        </is>
      </c>
      <c r="E97" s="15" t="inlineStr">
        <is>
          <t>HOSUR</t>
        </is>
      </c>
      <c r="F97" s="15" t="inlineStr">
        <is>
          <t>0000943209</t>
        </is>
      </c>
      <c r="G97" s="15" t="n">
        <v>27</v>
      </c>
      <c r="H97" s="15" t="inlineStr">
        <is>
          <t>9519030855</t>
        </is>
      </c>
      <c r="I97" s="15" t="inlineStr">
        <is>
          <t>000003</t>
        </is>
      </c>
      <c r="J97" s="15">
        <f>_xlfn.XLOOKUP(orderbook[[#This Row],[MATL_NO]],Table29[TSL Material Code3],Table29[Key])</f>
        <v/>
      </c>
      <c r="K97" s="15" t="n">
        <v>3500097</v>
      </c>
      <c r="L97" s="15" t="inlineStr">
        <is>
          <t>TUB-O-N-AUT-AW-PE-25.40X1.60X6.000-ERW 1</t>
        </is>
      </c>
      <c r="M97" s="477" t="inlineStr">
        <is>
          <t>ERW</t>
        </is>
      </c>
      <c r="N97" s="15" t="inlineStr">
        <is>
          <t>AUT</t>
        </is>
      </c>
      <c r="O97" s="15" t="inlineStr">
        <is>
          <t>054</t>
        </is>
      </c>
      <c r="P97" s="15" t="inlineStr">
        <is>
          <t>AW</t>
        </is>
      </c>
      <c r="Q97" s="478" t="n">
        <v>25.4</v>
      </c>
      <c r="R97" s="478" t="n">
        <v>0</v>
      </c>
      <c r="S97" s="478" t="n">
        <v>1.6</v>
      </c>
      <c r="T97" s="479" t="n">
        <v>6</v>
      </c>
      <c r="U97" s="15" t="inlineStr">
        <is>
          <t>L</t>
        </is>
      </c>
      <c r="V97" s="15" t="inlineStr">
        <is>
          <t>O</t>
        </is>
      </c>
      <c r="W97" s="15" t="n">
        <v>15000</v>
      </c>
      <c r="X97" s="15" t="inlineStr">
        <is>
          <t>KG</t>
        </is>
      </c>
      <c r="Y97" s="492" t="n">
        <v>15</v>
      </c>
      <c r="AB97" s="162" t="n"/>
      <c r="AC97" s="174" t="n"/>
    </row>
    <row r="98">
      <c r="A98" s="91" t="inlineStr">
        <is>
          <t>056</t>
        </is>
      </c>
      <c r="B98" s="15" t="inlineStr">
        <is>
          <t>0000943209</t>
        </is>
      </c>
      <c r="C98" s="15" t="inlineStr">
        <is>
          <t>SOUTH</t>
        </is>
      </c>
      <c r="D98" s="15" t="inlineStr">
        <is>
          <t>MEGH STEELS PRIVATE LIMITED - TVS A</t>
        </is>
      </c>
      <c r="E98" s="15" t="inlineStr">
        <is>
          <t>HOSUR</t>
        </is>
      </c>
      <c r="F98" s="15" t="inlineStr">
        <is>
          <t>0000943209</t>
        </is>
      </c>
      <c r="G98" s="15" t="n">
        <v>41</v>
      </c>
      <c r="H98" s="15" t="inlineStr">
        <is>
          <t>9518997184</t>
        </is>
      </c>
      <c r="I98" s="15" t="inlineStr">
        <is>
          <t>000005</t>
        </is>
      </c>
      <c r="J98" s="15">
        <f>_xlfn.XLOOKUP(orderbook[[#This Row],[MATL_NO]],Table29[TSL Material Code3],Table29[Key])</f>
        <v/>
      </c>
      <c r="K98" s="15" t="n">
        <v>3500097</v>
      </c>
      <c r="L98" s="15" t="inlineStr">
        <is>
          <t>TUB-O-N-AUT-AW-PE-25.40X1.60X6.000-ERW 1</t>
        </is>
      </c>
      <c r="M98" s="477" t="inlineStr">
        <is>
          <t>ERW</t>
        </is>
      </c>
      <c r="N98" s="15" t="inlineStr">
        <is>
          <t>AUT</t>
        </is>
      </c>
      <c r="O98" s="15" t="inlineStr">
        <is>
          <t>054</t>
        </is>
      </c>
      <c r="P98" s="15" t="inlineStr">
        <is>
          <t>AW</t>
        </is>
      </c>
      <c r="Q98" s="478" t="n">
        <v>25.4</v>
      </c>
      <c r="R98" s="478" t="n">
        <v>0</v>
      </c>
      <c r="S98" s="478" t="n">
        <v>1.6</v>
      </c>
      <c r="T98" s="479" t="n">
        <v>6</v>
      </c>
      <c r="U98" s="15" t="inlineStr">
        <is>
          <t>L</t>
        </is>
      </c>
      <c r="V98" s="15" t="inlineStr">
        <is>
          <t>O</t>
        </is>
      </c>
      <c r="W98" s="15" t="n">
        <v>15000</v>
      </c>
      <c r="X98" s="15" t="inlineStr">
        <is>
          <t>KG</t>
        </is>
      </c>
      <c r="Y98" s="492" t="n">
        <v>10.683</v>
      </c>
      <c r="AB98" s="162" t="n"/>
      <c r="AC98" s="174" t="n"/>
    </row>
    <row r="99">
      <c r="A99" s="91" t="inlineStr">
        <is>
          <t>056</t>
        </is>
      </c>
      <c r="B99" s="15" t="inlineStr">
        <is>
          <t>0000943209</t>
        </is>
      </c>
      <c r="C99" s="15" t="inlineStr">
        <is>
          <t>SOUTH</t>
        </is>
      </c>
      <c r="D99" s="15" t="inlineStr">
        <is>
          <t>MEGH STEELS PRIVATE LIMITED - TVS A</t>
        </is>
      </c>
      <c r="E99" s="15" t="inlineStr">
        <is>
          <t>HOSUR</t>
        </is>
      </c>
      <c r="F99" s="15" t="inlineStr">
        <is>
          <t>0000943209</t>
        </is>
      </c>
      <c r="G99" s="15" t="n">
        <v>92</v>
      </c>
      <c r="H99" s="15" t="inlineStr">
        <is>
          <t>9518845919</t>
        </is>
      </c>
      <c r="I99" s="15" t="inlineStr">
        <is>
          <t>000007</t>
        </is>
      </c>
      <c r="J99" s="15">
        <f>_xlfn.XLOOKUP(orderbook[[#This Row],[MATL_NO]],Table29[TSL Material Code3],Table29[Key])</f>
        <v/>
      </c>
      <c r="K99" s="15" t="n">
        <v>3500097</v>
      </c>
      <c r="L99" s="15" t="inlineStr">
        <is>
          <t>TUB-O-N-AUT-AW-PE-25.40X1.60X6.000-ERW 1</t>
        </is>
      </c>
      <c r="M99" s="477" t="inlineStr">
        <is>
          <t>ERW</t>
        </is>
      </c>
      <c r="N99" s="15" t="inlineStr">
        <is>
          <t>AUT</t>
        </is>
      </c>
      <c r="O99" s="15" t="inlineStr">
        <is>
          <t>054</t>
        </is>
      </c>
      <c r="P99" s="15" t="inlineStr">
        <is>
          <t>AW</t>
        </is>
      </c>
      <c r="Q99" s="478" t="n">
        <v>25.4</v>
      </c>
      <c r="R99" s="478" t="n">
        <v>0</v>
      </c>
      <c r="S99" s="478" t="n">
        <v>1.6</v>
      </c>
      <c r="T99" s="479" t="n">
        <v>6</v>
      </c>
      <c r="U99" s="15" t="inlineStr">
        <is>
          <t>L</t>
        </is>
      </c>
      <c r="V99" s="15" t="inlineStr">
        <is>
          <t>O</t>
        </is>
      </c>
      <c r="W99" s="15" t="n">
        <v>5500</v>
      </c>
      <c r="X99" s="15" t="inlineStr">
        <is>
          <t>KG</t>
        </is>
      </c>
      <c r="Y99" s="492" t="n">
        <v>3.733</v>
      </c>
      <c r="AB99" s="162" t="n"/>
      <c r="AC99" s="174" t="n"/>
    </row>
    <row r="100">
      <c r="A100" s="91" t="inlineStr">
        <is>
          <t>056</t>
        </is>
      </c>
      <c r="B100" s="15" t="inlineStr">
        <is>
          <t>0000943209</t>
        </is>
      </c>
      <c r="C100" s="15" t="inlineStr">
        <is>
          <t>SOUTH</t>
        </is>
      </c>
      <c r="D100" s="15" t="inlineStr">
        <is>
          <t>MEGH STEELS PRIVATE LIMITED - TVS A</t>
        </is>
      </c>
      <c r="E100" s="15" t="inlineStr">
        <is>
          <t>HOSUR</t>
        </is>
      </c>
      <c r="F100" s="15" t="inlineStr">
        <is>
          <t>0000943209</t>
        </is>
      </c>
      <c r="G100" s="15" t="n">
        <v>19</v>
      </c>
      <c r="H100" s="15" t="inlineStr">
        <is>
          <t>9519038725</t>
        </is>
      </c>
      <c r="I100" s="15" t="inlineStr">
        <is>
          <t>000003</t>
        </is>
      </c>
      <c r="J100" s="15">
        <f>_xlfn.XLOOKUP(orderbook[[#This Row],[MATL_NO]],Table29[TSL Material Code3],Table29[Key])</f>
        <v/>
      </c>
      <c r="K100" s="15" t="n">
        <v>3884381</v>
      </c>
      <c r="L100" s="15" t="inlineStr">
        <is>
          <t>TUB-O-N-AUT-AW-FC-31.75X1.200X6.0010</t>
        </is>
      </c>
      <c r="M100" s="477" t="inlineStr">
        <is>
          <t>ERW</t>
        </is>
      </c>
      <c r="N100" s="15" t="inlineStr">
        <is>
          <t>AUT</t>
        </is>
      </c>
      <c r="O100" s="15" t="inlineStr">
        <is>
          <t>054</t>
        </is>
      </c>
      <c r="P100" s="15" t="inlineStr">
        <is>
          <t>AW</t>
        </is>
      </c>
      <c r="Q100" s="478" t="n">
        <v>31.75</v>
      </c>
      <c r="R100" s="478" t="n">
        <v>0</v>
      </c>
      <c r="S100" s="478" t="n">
        <v>1.2</v>
      </c>
      <c r="T100" s="479" t="n">
        <v>6.001</v>
      </c>
      <c r="U100" s="15" t="inlineStr">
        <is>
          <t>O</t>
        </is>
      </c>
      <c r="V100" s="15" t="inlineStr">
        <is>
          <t>O</t>
        </is>
      </c>
      <c r="W100" s="15" t="n">
        <v>10000</v>
      </c>
      <c r="X100" s="15" t="inlineStr">
        <is>
          <t>KG</t>
        </is>
      </c>
      <c r="Y100" s="492" t="n">
        <v>10</v>
      </c>
      <c r="AB100" s="162" t="n"/>
      <c r="AC100" s="174" t="n"/>
    </row>
    <row r="101">
      <c r="A101" s="91" t="inlineStr">
        <is>
          <t>056</t>
        </is>
      </c>
      <c r="B101" s="15" t="inlineStr">
        <is>
          <t>0000943209</t>
        </is>
      </c>
      <c r="C101" s="15" t="inlineStr">
        <is>
          <t>SOUTH</t>
        </is>
      </c>
      <c r="D101" s="15" t="inlineStr">
        <is>
          <t>MEGH STEELS PRIVATE LIMITED - TVS A</t>
        </is>
      </c>
      <c r="E101" s="15" t="inlineStr">
        <is>
          <t>HOSUR</t>
        </is>
      </c>
      <c r="F101" s="15" t="inlineStr">
        <is>
          <t>0000943209</t>
        </is>
      </c>
      <c r="G101" s="15" t="n">
        <v>98</v>
      </c>
      <c r="H101" s="15" t="inlineStr">
        <is>
          <t>9518832217</t>
        </is>
      </c>
      <c r="I101" s="15" t="inlineStr">
        <is>
          <t>000007</t>
        </is>
      </c>
      <c r="J101" s="15">
        <f>_xlfn.XLOOKUP(orderbook[[#This Row],[MATL_NO]],Table29[TSL Material Code3],Table29[Key])</f>
        <v/>
      </c>
      <c r="K101" s="15" t="n">
        <v>3884381</v>
      </c>
      <c r="L101" s="15" t="inlineStr">
        <is>
          <t>TUB-O-N-AUT-AW-FC-31.75X1.200X6.0010</t>
        </is>
      </c>
      <c r="M101" s="477" t="inlineStr">
        <is>
          <t>ERW</t>
        </is>
      </c>
      <c r="N101" s="15" t="inlineStr">
        <is>
          <t>AUT</t>
        </is>
      </c>
      <c r="O101" s="15" t="inlineStr">
        <is>
          <t>054</t>
        </is>
      </c>
      <c r="P101" s="15" t="inlineStr">
        <is>
          <t>AW</t>
        </is>
      </c>
      <c r="Q101" s="478" t="n">
        <v>31.75</v>
      </c>
      <c r="R101" s="478" t="n">
        <v>0</v>
      </c>
      <c r="S101" s="478" t="n">
        <v>1.2</v>
      </c>
      <c r="T101" s="479" t="n">
        <v>6.001</v>
      </c>
      <c r="U101" s="15" t="inlineStr">
        <is>
          <t>O</t>
        </is>
      </c>
      <c r="V101" s="15" t="inlineStr">
        <is>
          <t>O</t>
        </is>
      </c>
      <c r="W101" s="15" t="n">
        <v>5000</v>
      </c>
      <c r="X101" s="15" t="inlineStr">
        <is>
          <t>KG</t>
        </is>
      </c>
      <c r="Y101" s="492" t="n">
        <v>5</v>
      </c>
      <c r="AB101" s="162" t="n"/>
      <c r="AC101" s="174" t="n"/>
    </row>
    <row r="102">
      <c r="A102" s="91" t="inlineStr">
        <is>
          <t>056</t>
        </is>
      </c>
      <c r="B102" s="15" t="inlineStr">
        <is>
          <t>0000943209</t>
        </is>
      </c>
      <c r="C102" s="15" t="inlineStr">
        <is>
          <t>SOUTH</t>
        </is>
      </c>
      <c r="D102" s="15" t="inlineStr">
        <is>
          <t>MEGH STEELS PRIVATE LIMITED - TVS A</t>
        </is>
      </c>
      <c r="E102" s="15" t="inlineStr">
        <is>
          <t>HOSUR</t>
        </is>
      </c>
      <c r="F102" s="15" t="inlineStr">
        <is>
          <t>0000943209</t>
        </is>
      </c>
      <c r="G102" s="15" t="n">
        <v>41</v>
      </c>
      <c r="H102" s="15" t="inlineStr">
        <is>
          <t>9518997184</t>
        </is>
      </c>
      <c r="I102" s="15" t="inlineStr">
        <is>
          <t>000006</t>
        </is>
      </c>
      <c r="J102" s="15">
        <f>_xlfn.XLOOKUP(orderbook[[#This Row],[MATL_NO]],Table29[TSL Material Code3],Table29[Key])</f>
        <v/>
      </c>
      <c r="K102" s="15" t="n">
        <v>3884381</v>
      </c>
      <c r="L102" s="15" t="inlineStr">
        <is>
          <t>TUB-O-N-AUT-AW-FC-31.75X1.200X6.0010</t>
        </is>
      </c>
      <c r="M102" s="477" t="inlineStr">
        <is>
          <t>ERW</t>
        </is>
      </c>
      <c r="N102" s="15" t="inlineStr">
        <is>
          <t>AUT</t>
        </is>
      </c>
      <c r="O102" s="15" t="inlineStr">
        <is>
          <t>054</t>
        </is>
      </c>
      <c r="P102" s="15" t="inlineStr">
        <is>
          <t>AW</t>
        </is>
      </c>
      <c r="Q102" s="478" t="n">
        <v>31.75</v>
      </c>
      <c r="R102" s="478" t="n">
        <v>0</v>
      </c>
      <c r="S102" s="478" t="n">
        <v>1.2</v>
      </c>
      <c r="T102" s="479" t="n">
        <v>6.001</v>
      </c>
      <c r="U102" s="15" t="inlineStr">
        <is>
          <t>O</t>
        </is>
      </c>
      <c r="V102" s="15" t="inlineStr">
        <is>
          <t>O</t>
        </is>
      </c>
      <c r="W102" s="15" t="n">
        <v>5000</v>
      </c>
      <c r="X102" s="15" t="inlineStr">
        <is>
          <t>KG</t>
        </is>
      </c>
      <c r="Y102" s="492" t="n">
        <v>5</v>
      </c>
      <c r="AB102" s="162" t="n"/>
      <c r="AC102" s="174" t="n"/>
    </row>
    <row r="103">
      <c r="A103" s="91" t="inlineStr">
        <is>
          <t>056</t>
        </is>
      </c>
      <c r="B103" s="15" t="inlineStr">
        <is>
          <t>0000943213</t>
        </is>
      </c>
      <c r="C103" s="15" t="inlineStr">
        <is>
          <t>SOUTH</t>
        </is>
      </c>
      <c r="D103" s="15" t="inlineStr">
        <is>
          <t>MEGH STEELS PRIVATE LIMITED - RANE</t>
        </is>
      </c>
      <c r="E103" s="15" t="inlineStr">
        <is>
          <t>HOSUR</t>
        </is>
      </c>
      <c r="F103" s="15" t="inlineStr">
        <is>
          <t>0000943213</t>
        </is>
      </c>
      <c r="G103" s="15" t="n">
        <v>37</v>
      </c>
      <c r="H103" s="15" t="inlineStr">
        <is>
          <t>9519003911</t>
        </is>
      </c>
      <c r="I103" s="15" t="inlineStr">
        <is>
          <t>000001</t>
        </is>
      </c>
      <c r="J103" s="15">
        <f>_xlfn.XLOOKUP(orderbook[[#This Row],[MATL_NO]],Table29[TSL Material Code3],Table29[Key])</f>
        <v/>
      </c>
      <c r="K103" s="15" t="n">
        <v>3694074</v>
      </c>
      <c r="L103" s="15" t="inlineStr">
        <is>
          <t>TUB-O-C-SLT-DT-FC-32.00X4.500X6.4000</t>
        </is>
      </c>
      <c r="M103" s="15" t="inlineStr">
        <is>
          <t>SLT</t>
        </is>
      </c>
      <c r="N103" s="15" t="inlineStr">
        <is>
          <t>SLT</t>
        </is>
      </c>
      <c r="O103" s="15" t="inlineStr">
        <is>
          <t>093</t>
        </is>
      </c>
      <c r="P103" s="15" t="inlineStr">
        <is>
          <t>DT</t>
        </is>
      </c>
      <c r="Q103" s="478" t="n">
        <v>32</v>
      </c>
      <c r="R103" s="478" t="n">
        <v>0</v>
      </c>
      <c r="S103" s="478" t="n">
        <v>4.5</v>
      </c>
      <c r="T103" s="479" t="n">
        <v>6.4</v>
      </c>
      <c r="U103" s="15" t="inlineStr">
        <is>
          <t>O</t>
        </is>
      </c>
      <c r="V103" s="15" t="inlineStr">
        <is>
          <t>O</t>
        </is>
      </c>
      <c r="W103" s="15" t="n">
        <v>15000</v>
      </c>
      <c r="X103" s="15" t="inlineStr">
        <is>
          <t>KG</t>
        </is>
      </c>
      <c r="Y103" s="492" t="n">
        <v>15</v>
      </c>
      <c r="AB103" s="162" t="n"/>
      <c r="AC103" s="174" t="n"/>
    </row>
    <row r="104">
      <c r="A104" s="91" t="inlineStr">
        <is>
          <t>056</t>
        </is>
      </c>
      <c r="B104" s="15" t="inlineStr">
        <is>
          <t>0000943213</t>
        </is>
      </c>
      <c r="C104" s="15" t="inlineStr">
        <is>
          <t>SOUTH</t>
        </is>
      </c>
      <c r="D104" s="15" t="inlineStr">
        <is>
          <t>MEGH STEELS PRIVATE LIMITED - RANE</t>
        </is>
      </c>
      <c r="E104" s="15" t="inlineStr">
        <is>
          <t>HOSUR</t>
        </is>
      </c>
      <c r="F104" s="15" t="inlineStr">
        <is>
          <t>0000943213</t>
        </is>
      </c>
      <c r="G104" s="15" t="n">
        <v>79</v>
      </c>
      <c r="H104" s="15" t="inlineStr">
        <is>
          <t>9518884011</t>
        </is>
      </c>
      <c r="I104" s="15" t="inlineStr">
        <is>
          <t>000001</t>
        </is>
      </c>
      <c r="J104" s="15">
        <f>_xlfn.XLOOKUP(orderbook[[#This Row],[MATL_NO]],Table29[TSL Material Code3],Table29[Key])</f>
        <v/>
      </c>
      <c r="K104" s="15" t="n">
        <v>3694074</v>
      </c>
      <c r="L104" s="15" t="inlineStr">
        <is>
          <t>TUB-O-C-SLT-DT-FC-32.00X4.500X6.4000</t>
        </is>
      </c>
      <c r="M104" s="15" t="inlineStr">
        <is>
          <t>SLT</t>
        </is>
      </c>
      <c r="N104" s="15" t="inlineStr">
        <is>
          <t>SLT</t>
        </is>
      </c>
      <c r="O104" s="15" t="inlineStr">
        <is>
          <t>093</t>
        </is>
      </c>
      <c r="P104" s="15" t="inlineStr">
        <is>
          <t>DT</t>
        </is>
      </c>
      <c r="Q104" s="478" t="n">
        <v>32</v>
      </c>
      <c r="R104" s="478" t="n">
        <v>0</v>
      </c>
      <c r="S104" s="478" t="n">
        <v>4.5</v>
      </c>
      <c r="T104" s="479" t="n">
        <v>6.4</v>
      </c>
      <c r="U104" s="15" t="inlineStr">
        <is>
          <t>O</t>
        </is>
      </c>
      <c r="V104" s="15" t="inlineStr">
        <is>
          <t>O</t>
        </is>
      </c>
      <c r="W104" s="15" t="n">
        <v>25000</v>
      </c>
      <c r="X104" s="15" t="inlineStr">
        <is>
          <t>KG</t>
        </is>
      </c>
      <c r="Y104" s="492" t="n">
        <v>12.558</v>
      </c>
      <c r="AB104" s="162" t="n"/>
      <c r="AC104" s="174" t="n"/>
    </row>
    <row r="105">
      <c r="A105" s="91" t="inlineStr">
        <is>
          <t>056</t>
        </is>
      </c>
      <c r="B105" s="15" t="inlineStr">
        <is>
          <t>0000943213</t>
        </is>
      </c>
      <c r="C105" s="15" t="inlineStr">
        <is>
          <t>SOUTH</t>
        </is>
      </c>
      <c r="D105" s="15" t="inlineStr">
        <is>
          <t>MEGH STEELS PRIVATE LIMITED - RANE</t>
        </is>
      </c>
      <c r="E105" s="15" t="inlineStr">
        <is>
          <t>HOSUR</t>
        </is>
      </c>
      <c r="F105" s="15" t="inlineStr">
        <is>
          <t>0000943213</t>
        </is>
      </c>
      <c r="G105" s="15" t="n">
        <v>37</v>
      </c>
      <c r="H105" s="15" t="inlineStr">
        <is>
          <t>9519003930</t>
        </is>
      </c>
      <c r="I105" s="15" t="inlineStr">
        <is>
          <t>000001</t>
        </is>
      </c>
      <c r="J105" s="15">
        <f>_xlfn.XLOOKUP(orderbook[[#This Row],[MATL_NO]],Table29[TSL Material Code3],Table29[Key])</f>
        <v/>
      </c>
      <c r="K105" s="15" t="n">
        <v>3694074</v>
      </c>
      <c r="L105" s="15" t="inlineStr">
        <is>
          <t>TUB-O-C-SLT-DT-FC-32.00X4.500X6.4000</t>
        </is>
      </c>
      <c r="M105" s="15" t="inlineStr">
        <is>
          <t>SLT</t>
        </is>
      </c>
      <c r="N105" s="15" t="inlineStr">
        <is>
          <t>SLT</t>
        </is>
      </c>
      <c r="O105" s="15" t="inlineStr">
        <is>
          <t>093</t>
        </is>
      </c>
      <c r="P105" s="15" t="inlineStr">
        <is>
          <t>DT</t>
        </is>
      </c>
      <c r="Q105" s="478" t="n">
        <v>32</v>
      </c>
      <c r="R105" s="478" t="n">
        <v>0</v>
      </c>
      <c r="S105" s="478" t="n">
        <v>4.5</v>
      </c>
      <c r="T105" s="479" t="n">
        <v>6.4</v>
      </c>
      <c r="U105" s="15" t="inlineStr">
        <is>
          <t>O</t>
        </is>
      </c>
      <c r="V105" s="15" t="inlineStr">
        <is>
          <t>O</t>
        </is>
      </c>
      <c r="W105" s="15" t="n">
        <v>10000</v>
      </c>
      <c r="X105" s="15" t="inlineStr">
        <is>
          <t>KG</t>
        </is>
      </c>
      <c r="Y105" s="492" t="n">
        <v>10</v>
      </c>
      <c r="AB105" s="162" t="n"/>
      <c r="AC105" s="174" t="n"/>
    </row>
    <row r="106">
      <c r="A106" s="91" t="inlineStr">
        <is>
          <t>056</t>
        </is>
      </c>
      <c r="B106" s="15" t="inlineStr">
        <is>
          <t>0000943213</t>
        </is>
      </c>
      <c r="C106" s="15" t="inlineStr">
        <is>
          <t>SOUTH</t>
        </is>
      </c>
      <c r="D106" s="15" t="inlineStr">
        <is>
          <t>MEGH STEELS PRIVATE LIMITED - RANE</t>
        </is>
      </c>
      <c r="E106" s="15" t="inlineStr">
        <is>
          <t>HOSUR</t>
        </is>
      </c>
      <c r="F106" s="15" t="inlineStr">
        <is>
          <t>0000943213</t>
        </is>
      </c>
      <c r="G106" s="15" t="n">
        <v>16</v>
      </c>
      <c r="H106" s="15" t="inlineStr">
        <is>
          <t>9519062213</t>
        </is>
      </c>
      <c r="I106" s="15" t="inlineStr">
        <is>
          <t>000001</t>
        </is>
      </c>
      <c r="J106" s="15">
        <f>_xlfn.XLOOKUP(orderbook[[#This Row],[MATL_NO]],Table29[TSL Material Code3],Table29[Key])</f>
        <v/>
      </c>
      <c r="K106" s="15" t="n">
        <v>3694074</v>
      </c>
      <c r="L106" s="15" t="inlineStr">
        <is>
          <t>TUB-O-C-SLT-DT-FC-32.00X4.500X6.4000</t>
        </is>
      </c>
      <c r="M106" s="15" t="inlineStr">
        <is>
          <t>SLT</t>
        </is>
      </c>
      <c r="N106" s="15" t="inlineStr">
        <is>
          <t>SLT</t>
        </is>
      </c>
      <c r="O106" s="15" t="inlineStr">
        <is>
          <t>093</t>
        </is>
      </c>
      <c r="P106" s="15" t="inlineStr">
        <is>
          <t>DT</t>
        </is>
      </c>
      <c r="Q106" s="478" t="n">
        <v>32</v>
      </c>
      <c r="R106" s="478" t="n">
        <v>0</v>
      </c>
      <c r="S106" s="478" t="n">
        <v>4.5</v>
      </c>
      <c r="T106" s="479" t="n">
        <v>6.4</v>
      </c>
      <c r="U106" s="15" t="inlineStr">
        <is>
          <t>O</t>
        </is>
      </c>
      <c r="V106" s="15" t="inlineStr">
        <is>
          <t>O</t>
        </is>
      </c>
      <c r="W106" s="15" t="n">
        <v>7000</v>
      </c>
      <c r="X106" s="15" t="inlineStr">
        <is>
          <t>KG</t>
        </is>
      </c>
      <c r="Y106" s="492" t="n">
        <v>7</v>
      </c>
      <c r="AB106" s="162" t="n"/>
      <c r="AC106" s="174" t="n"/>
    </row>
    <row r="107">
      <c r="A107" s="91" t="inlineStr">
        <is>
          <t>056</t>
        </is>
      </c>
      <c r="B107" s="15" t="inlineStr">
        <is>
          <t>0000943209</t>
        </is>
      </c>
      <c r="C107" s="15" t="inlineStr">
        <is>
          <t>SOUTH</t>
        </is>
      </c>
      <c r="D107" s="15" t="inlineStr">
        <is>
          <t>MEGH STEELS PRIVATE LIMITED - TVS A</t>
        </is>
      </c>
      <c r="E107" s="15" t="inlineStr">
        <is>
          <t>HOSUR</t>
        </is>
      </c>
      <c r="F107" s="15" t="inlineStr">
        <is>
          <t>0000943209</t>
        </is>
      </c>
      <c r="G107" s="15" t="n">
        <v>14</v>
      </c>
      <c r="H107" s="15" t="inlineStr">
        <is>
          <t>9519071152</t>
        </is>
      </c>
      <c r="I107" s="15" t="inlineStr">
        <is>
          <t>000009</t>
        </is>
      </c>
      <c r="J107" s="15">
        <f>_xlfn.XLOOKUP(orderbook[[#This Row],[MATL_NO]],Table29[TSL Material Code3],Table29[Key])</f>
        <v/>
      </c>
      <c r="K107" s="15" t="n">
        <v>3502007</v>
      </c>
      <c r="L107" s="15" t="inlineStr">
        <is>
          <t>TUB-O-N-AUT-AH-FC-38.10X2.500X6.1900 HST</t>
        </is>
      </c>
      <c r="M107" s="477" t="inlineStr">
        <is>
          <t>ERW</t>
        </is>
      </c>
      <c r="N107" s="15" t="inlineStr">
        <is>
          <t>AUT</t>
        </is>
      </c>
      <c r="O107" s="15" t="inlineStr">
        <is>
          <t>055</t>
        </is>
      </c>
      <c r="P107" s="15" t="inlineStr">
        <is>
          <t>AH</t>
        </is>
      </c>
      <c r="Q107" s="478" t="n">
        <v>38.1</v>
      </c>
      <c r="R107" s="478" t="n">
        <v>0</v>
      </c>
      <c r="S107" s="478" t="n">
        <v>2.5</v>
      </c>
      <c r="T107" s="479" t="n">
        <v>6.19</v>
      </c>
      <c r="U107" s="15" t="inlineStr">
        <is>
          <t>O</t>
        </is>
      </c>
      <c r="V107" s="15" t="inlineStr">
        <is>
          <t>O</t>
        </is>
      </c>
      <c r="W107" s="15" t="n">
        <v>40000</v>
      </c>
      <c r="X107" s="15" t="inlineStr">
        <is>
          <t>KG</t>
        </is>
      </c>
      <c r="Y107" s="492" t="n">
        <v>38.326</v>
      </c>
      <c r="AB107" s="162" t="n"/>
      <c r="AC107" s="174" t="n"/>
    </row>
    <row r="108">
      <c r="A108" s="91" t="inlineStr">
        <is>
          <t>056</t>
        </is>
      </c>
      <c r="B108" s="15" t="inlineStr">
        <is>
          <t>0000943209</t>
        </is>
      </c>
      <c r="C108" s="15" t="inlineStr">
        <is>
          <t>SOUTH</t>
        </is>
      </c>
      <c r="D108" s="15" t="inlineStr">
        <is>
          <t>MEGH STEELS PRIVATE LIMITED - TVS A</t>
        </is>
      </c>
      <c r="E108" s="15" t="inlineStr">
        <is>
          <t>HOSUR</t>
        </is>
      </c>
      <c r="F108" s="15" t="inlineStr">
        <is>
          <t>0000943209</t>
        </is>
      </c>
      <c r="G108" s="15" t="n">
        <v>54</v>
      </c>
      <c r="H108" s="15" t="inlineStr">
        <is>
          <t>9518955635</t>
        </is>
      </c>
      <c r="I108" s="15" t="inlineStr">
        <is>
          <t>000006</t>
        </is>
      </c>
      <c r="J108" s="15">
        <f>_xlfn.XLOOKUP(orderbook[[#This Row],[MATL_NO]],Table29[TSL Material Code3],Table29[Key])</f>
        <v/>
      </c>
      <c r="K108" s="15" t="n">
        <v>3500959</v>
      </c>
      <c r="L108" s="15" t="inlineStr">
        <is>
          <t>TUB-O-N-AUT-AW-FC-38.10X2.00X5.650-ERW 1</t>
        </is>
      </c>
      <c r="M108" s="477" t="inlineStr">
        <is>
          <t>ERW</t>
        </is>
      </c>
      <c r="N108" s="15" t="inlineStr">
        <is>
          <t>AUT</t>
        </is>
      </c>
      <c r="O108" s="15" t="inlineStr">
        <is>
          <t>054</t>
        </is>
      </c>
      <c r="P108" s="15" t="inlineStr">
        <is>
          <t>AW</t>
        </is>
      </c>
      <c r="Q108" s="478" t="n">
        <v>38.1</v>
      </c>
      <c r="R108" s="478" t="n">
        <v>0</v>
      </c>
      <c r="S108" s="478" t="n">
        <v>2</v>
      </c>
      <c r="T108" s="479" t="n">
        <v>5.65</v>
      </c>
      <c r="U108" s="15" t="inlineStr">
        <is>
          <t>O</t>
        </is>
      </c>
      <c r="V108" s="15" t="inlineStr">
        <is>
          <t>O</t>
        </is>
      </c>
      <c r="W108" s="15" t="n">
        <v>12000</v>
      </c>
      <c r="X108" s="15" t="inlineStr">
        <is>
          <t>KG</t>
        </is>
      </c>
      <c r="Y108" s="492" t="n">
        <v>12</v>
      </c>
      <c r="AB108" s="162" t="n"/>
      <c r="AC108" s="174" t="n"/>
    </row>
    <row r="109">
      <c r="A109" s="91" t="inlineStr">
        <is>
          <t>056</t>
        </is>
      </c>
      <c r="B109" s="15" t="inlineStr">
        <is>
          <t>0000943209</t>
        </is>
      </c>
      <c r="C109" s="15" t="inlineStr">
        <is>
          <t>SOUTH</t>
        </is>
      </c>
      <c r="D109" s="15" t="inlineStr">
        <is>
          <t>MEGH STEELS PRIVATE LIMITED - TVS A</t>
        </is>
      </c>
      <c r="E109" s="15" t="inlineStr">
        <is>
          <t>HOSUR</t>
        </is>
      </c>
      <c r="F109" s="15" t="inlineStr">
        <is>
          <t>0000943209</t>
        </is>
      </c>
      <c r="G109" s="15" t="n">
        <v>14</v>
      </c>
      <c r="H109" s="15" t="inlineStr">
        <is>
          <t>9519071152</t>
        </is>
      </c>
      <c r="I109" s="15" t="inlineStr">
        <is>
          <t>000008</t>
        </is>
      </c>
      <c r="J109" s="15">
        <f>_xlfn.XLOOKUP(orderbook[[#This Row],[MATL_NO]],Table29[TSL Material Code3],Table29[Key])</f>
        <v/>
      </c>
      <c r="K109" s="15" t="n">
        <v>3500959</v>
      </c>
      <c r="L109" s="15" t="inlineStr">
        <is>
          <t>TUB-O-N-AUT-AW-FC-38.10X2.00X5.650-ERW 1</t>
        </is>
      </c>
      <c r="M109" s="477" t="inlineStr">
        <is>
          <t>ERW</t>
        </is>
      </c>
      <c r="N109" s="15" t="inlineStr">
        <is>
          <t>AUT</t>
        </is>
      </c>
      <c r="O109" s="15" t="inlineStr">
        <is>
          <t>054</t>
        </is>
      </c>
      <c r="P109" s="15" t="inlineStr">
        <is>
          <t>AW</t>
        </is>
      </c>
      <c r="Q109" s="478" t="n">
        <v>38.1</v>
      </c>
      <c r="R109" s="478" t="n">
        <v>0</v>
      </c>
      <c r="S109" s="478" t="n">
        <v>2</v>
      </c>
      <c r="T109" s="479" t="n">
        <v>5.65</v>
      </c>
      <c r="U109" s="15" t="inlineStr">
        <is>
          <t>O</t>
        </is>
      </c>
      <c r="V109" s="15" t="inlineStr">
        <is>
          <t>O</t>
        </is>
      </c>
      <c r="W109" s="15" t="n">
        <v>20000</v>
      </c>
      <c r="X109" s="15" t="inlineStr">
        <is>
          <t>KG</t>
        </is>
      </c>
      <c r="Y109" s="492" t="n">
        <v>20</v>
      </c>
      <c r="AB109" s="162" t="n"/>
      <c r="AC109" s="174" t="n"/>
    </row>
    <row r="110">
      <c r="A110" s="91" t="inlineStr">
        <is>
          <t>056</t>
        </is>
      </c>
      <c r="B110" s="15" t="inlineStr">
        <is>
          <t>0000943209</t>
        </is>
      </c>
      <c r="C110" s="15" t="inlineStr">
        <is>
          <t>SOUTH</t>
        </is>
      </c>
      <c r="D110" s="15" t="inlineStr">
        <is>
          <t>MEGH STEELS PRIVATE LIMITED - TVS A</t>
        </is>
      </c>
      <c r="E110" s="15" t="inlineStr">
        <is>
          <t>HOSUR</t>
        </is>
      </c>
      <c r="F110" s="15" t="inlineStr">
        <is>
          <t>0000943209</t>
        </is>
      </c>
      <c r="G110" s="15" t="n">
        <v>41</v>
      </c>
      <c r="H110" s="15" t="inlineStr">
        <is>
          <t>9518997184</t>
        </is>
      </c>
      <c r="I110" s="15" t="inlineStr">
        <is>
          <t>000008</t>
        </is>
      </c>
      <c r="J110" s="15">
        <f>_xlfn.XLOOKUP(orderbook[[#This Row],[MATL_NO]],Table29[TSL Material Code3],Table29[Key])</f>
        <v/>
      </c>
      <c r="K110" s="15" t="n">
        <v>3502254</v>
      </c>
      <c r="L110" s="15" t="inlineStr">
        <is>
          <t>TUB-O-N-AUT-AW-FC-38.10X1.600X6.1900</t>
        </is>
      </c>
      <c r="M110" s="477" t="inlineStr">
        <is>
          <t>ERW</t>
        </is>
      </c>
      <c r="N110" s="15" t="inlineStr">
        <is>
          <t>AUT</t>
        </is>
      </c>
      <c r="O110" s="15" t="inlineStr">
        <is>
          <t>202</t>
        </is>
      </c>
      <c r="P110" s="15" t="inlineStr">
        <is>
          <t>AW</t>
        </is>
      </c>
      <c r="Q110" s="478" t="n">
        <v>38.1</v>
      </c>
      <c r="R110" s="478" t="n">
        <v>0</v>
      </c>
      <c r="S110" s="478" t="n">
        <v>1.6</v>
      </c>
      <c r="T110" s="479" t="n">
        <v>6.19</v>
      </c>
      <c r="U110" s="15" t="inlineStr">
        <is>
          <t>O</t>
        </is>
      </c>
      <c r="V110" s="15" t="inlineStr">
        <is>
          <t>O</t>
        </is>
      </c>
      <c r="W110" s="15" t="n">
        <v>10000</v>
      </c>
      <c r="X110" s="15" t="inlineStr">
        <is>
          <t>KG</t>
        </is>
      </c>
      <c r="Y110" s="492" t="n">
        <v>10</v>
      </c>
      <c r="AB110" s="162" t="n"/>
      <c r="AC110" s="174" t="n"/>
    </row>
    <row r="111">
      <c r="A111" s="91" t="inlineStr">
        <is>
          <t>056</t>
        </is>
      </c>
      <c r="B111" s="15" t="inlineStr">
        <is>
          <t>0000943209</t>
        </is>
      </c>
      <c r="C111" s="15" t="inlineStr">
        <is>
          <t>SOUTH</t>
        </is>
      </c>
      <c r="D111" s="15" t="inlineStr">
        <is>
          <t>MEGH STEELS PRIVATE LIMITED - TVS A</t>
        </is>
      </c>
      <c r="E111" s="15" t="inlineStr">
        <is>
          <t>HOSUR</t>
        </is>
      </c>
      <c r="F111" s="15" t="inlineStr">
        <is>
          <t>0000943209</t>
        </is>
      </c>
      <c r="G111" s="15" t="n">
        <v>19</v>
      </c>
      <c r="H111" s="15" t="inlineStr">
        <is>
          <t>9519038725</t>
        </is>
      </c>
      <c r="I111" s="15" t="inlineStr">
        <is>
          <t>000004</t>
        </is>
      </c>
      <c r="J111" s="15">
        <f>_xlfn.XLOOKUP(orderbook[[#This Row],[MATL_NO]],Table29[TSL Material Code3],Table29[Key])</f>
        <v/>
      </c>
      <c r="K111" s="15" t="n">
        <v>3502254</v>
      </c>
      <c r="L111" s="15" t="inlineStr">
        <is>
          <t>TUB-O-N-AUT-AW-FC-38.10X1.600X6.1900</t>
        </is>
      </c>
      <c r="M111" s="477" t="inlineStr">
        <is>
          <t>ERW</t>
        </is>
      </c>
      <c r="N111" s="15" t="inlineStr">
        <is>
          <t>AUT</t>
        </is>
      </c>
      <c r="O111" s="15" t="inlineStr">
        <is>
          <t>202</t>
        </is>
      </c>
      <c r="P111" s="15" t="inlineStr">
        <is>
          <t>AW</t>
        </is>
      </c>
      <c r="Q111" s="478" t="n">
        <v>38.1</v>
      </c>
      <c r="R111" s="478" t="n">
        <v>0</v>
      </c>
      <c r="S111" s="478" t="n">
        <v>1.6</v>
      </c>
      <c r="T111" s="479" t="n">
        <v>6.19</v>
      </c>
      <c r="U111" s="15" t="inlineStr">
        <is>
          <t>O</t>
        </is>
      </c>
      <c r="V111" s="15" t="inlineStr">
        <is>
          <t>O</t>
        </is>
      </c>
      <c r="W111" s="15" t="n">
        <v>40000</v>
      </c>
      <c r="X111" s="15" t="inlineStr">
        <is>
          <t>KG</t>
        </is>
      </c>
      <c r="Y111" s="492" t="n">
        <v>40</v>
      </c>
      <c r="AB111" s="162" t="n"/>
      <c r="AC111" s="174" t="n"/>
    </row>
    <row r="112">
      <c r="A112" s="91" t="inlineStr">
        <is>
          <t>056</t>
        </is>
      </c>
      <c r="B112" s="15" t="inlineStr">
        <is>
          <t>0000943209</t>
        </is>
      </c>
      <c r="C112" s="15" t="inlineStr">
        <is>
          <t>SOUTH</t>
        </is>
      </c>
      <c r="D112" s="15" t="inlineStr">
        <is>
          <t>MEGH STEELS PRIVATE LIMITED - TVS A</t>
        </is>
      </c>
      <c r="E112" s="15" t="inlineStr">
        <is>
          <t>HOSUR</t>
        </is>
      </c>
      <c r="F112" s="15" t="inlineStr">
        <is>
          <t>0000943209</t>
        </is>
      </c>
      <c r="G112" s="15" t="n">
        <v>14</v>
      </c>
      <c r="H112" s="15" t="inlineStr">
        <is>
          <t>9519071152</t>
        </is>
      </c>
      <c r="I112" s="15" t="inlineStr">
        <is>
          <t>000007</t>
        </is>
      </c>
      <c r="J112" s="15">
        <f>_xlfn.XLOOKUP(orderbook[[#This Row],[MATL_NO]],Table29[TSL Material Code3],Table29[Key])</f>
        <v/>
      </c>
      <c r="K112" s="15" t="n">
        <v>3502254</v>
      </c>
      <c r="L112" s="15" t="inlineStr">
        <is>
          <t>TUB-O-N-AUT-AW-FC-38.10X1.600X6.1900</t>
        </is>
      </c>
      <c r="M112" s="477" t="inlineStr">
        <is>
          <t>ERW</t>
        </is>
      </c>
      <c r="N112" s="15" t="inlineStr">
        <is>
          <t>AUT</t>
        </is>
      </c>
      <c r="O112" s="15" t="inlineStr">
        <is>
          <t>202</t>
        </is>
      </c>
      <c r="P112" s="15" t="inlineStr">
        <is>
          <t>AW</t>
        </is>
      </c>
      <c r="Q112" s="478" t="n">
        <v>38.1</v>
      </c>
      <c r="R112" s="478" t="n">
        <v>0</v>
      </c>
      <c r="S112" s="478" t="n">
        <v>1.6</v>
      </c>
      <c r="T112" s="479" t="n">
        <v>6.19</v>
      </c>
      <c r="U112" s="15" t="inlineStr">
        <is>
          <t>O</t>
        </is>
      </c>
      <c r="V112" s="15" t="inlineStr">
        <is>
          <t>O</t>
        </is>
      </c>
      <c r="W112" s="15" t="n">
        <v>30000</v>
      </c>
      <c r="X112" s="15" t="inlineStr">
        <is>
          <t>KG</t>
        </is>
      </c>
      <c r="Y112" s="492" t="n">
        <v>30</v>
      </c>
      <c r="AB112" s="162" t="n"/>
      <c r="AC112" s="174" t="n"/>
    </row>
    <row r="113">
      <c r="A113" s="91" t="inlineStr">
        <is>
          <t>056</t>
        </is>
      </c>
      <c r="B113" s="15" t="inlineStr">
        <is>
          <t>0000943210</t>
        </is>
      </c>
      <c r="C113" s="15" t="inlineStr">
        <is>
          <t>SOUTH</t>
        </is>
      </c>
      <c r="D113" s="15" t="inlineStr">
        <is>
          <t>MEGH STEELS PRIVATE LIMITED - HMSIL</t>
        </is>
      </c>
      <c r="E113" s="15" t="inlineStr">
        <is>
          <t>HOSUR</t>
        </is>
      </c>
      <c r="F113" s="15" t="inlineStr">
        <is>
          <t>0000943210</t>
        </is>
      </c>
      <c r="G113" s="15" t="n">
        <v>92</v>
      </c>
      <c r="H113" s="15" t="inlineStr">
        <is>
          <t>9518845944</t>
        </is>
      </c>
      <c r="I113" s="15" t="inlineStr">
        <is>
          <t>000004</t>
        </is>
      </c>
      <c r="J113" s="15">
        <f>_xlfn.XLOOKUP(orderbook[[#This Row],[MATL_NO]],Table29[TSL Material Code3],Table29[Key])</f>
        <v/>
      </c>
      <c r="K113" s="15" t="n">
        <v>3673889</v>
      </c>
      <c r="L113" s="15" t="inlineStr">
        <is>
          <t>TUB-O-N-AUT-AW-FC-41.28X3.150X5.8600</t>
        </is>
      </c>
      <c r="M113" s="477" t="inlineStr">
        <is>
          <t>ERW</t>
        </is>
      </c>
      <c r="N113" s="15" t="inlineStr">
        <is>
          <t>AUT</t>
        </is>
      </c>
      <c r="O113" s="15" t="inlineStr">
        <is>
          <t>054</t>
        </is>
      </c>
      <c r="P113" s="15" t="inlineStr">
        <is>
          <t>AW</t>
        </is>
      </c>
      <c r="Q113" s="478" t="n">
        <v>41.28</v>
      </c>
      <c r="R113" s="478" t="n">
        <v>0</v>
      </c>
      <c r="S113" s="478" t="n">
        <v>3.15</v>
      </c>
      <c r="T113" s="479" t="n">
        <v>5.86</v>
      </c>
      <c r="U113" s="15" t="inlineStr">
        <is>
          <t>O</t>
        </is>
      </c>
      <c r="V113" s="15" t="inlineStr">
        <is>
          <t>O</t>
        </is>
      </c>
      <c r="W113" s="15" t="n">
        <v>48500</v>
      </c>
      <c r="X113" s="15" t="inlineStr">
        <is>
          <t>KG</t>
        </is>
      </c>
      <c r="Y113" s="492" t="n">
        <v>16.514</v>
      </c>
      <c r="AB113" s="162" t="n"/>
      <c r="AC113" s="174" t="n"/>
    </row>
    <row r="114">
      <c r="A114" s="91" t="inlineStr">
        <is>
          <t>056</t>
        </is>
      </c>
      <c r="B114" s="15" t="inlineStr">
        <is>
          <t>0000943210</t>
        </is>
      </c>
      <c r="C114" s="15" t="inlineStr">
        <is>
          <t>SOUTH</t>
        </is>
      </c>
      <c r="D114" s="15" t="inlineStr">
        <is>
          <t>MEGH STEELS PRIVATE LIMITED - HMSIL</t>
        </is>
      </c>
      <c r="E114" s="15" t="inlineStr">
        <is>
          <t>HOSUR</t>
        </is>
      </c>
      <c r="F114" s="15" t="inlineStr">
        <is>
          <t>0000943210</t>
        </is>
      </c>
      <c r="G114" s="15" t="n">
        <v>41</v>
      </c>
      <c r="H114" s="15" t="inlineStr">
        <is>
          <t>9518997237</t>
        </is>
      </c>
      <c r="I114" s="15" t="inlineStr">
        <is>
          <t>000003</t>
        </is>
      </c>
      <c r="J114" s="15">
        <f>_xlfn.XLOOKUP(orderbook[[#This Row],[MATL_NO]],Table29[TSL Material Code3],Table29[Key])</f>
        <v/>
      </c>
      <c r="K114" s="15" t="n">
        <v>3673889</v>
      </c>
      <c r="L114" s="15" t="inlineStr">
        <is>
          <t>TUB-O-N-AUT-AW-FC-41.28X3.150X5.8600</t>
        </is>
      </c>
      <c r="M114" s="477" t="inlineStr">
        <is>
          <t>ERW</t>
        </is>
      </c>
      <c r="N114" s="15" t="inlineStr">
        <is>
          <t>AUT</t>
        </is>
      </c>
      <c r="O114" s="15" t="inlineStr">
        <is>
          <t>054</t>
        </is>
      </c>
      <c r="P114" s="15" t="inlineStr">
        <is>
          <t>AW</t>
        </is>
      </c>
      <c r="Q114" s="478" t="n">
        <v>41.28</v>
      </c>
      <c r="R114" s="478" t="n">
        <v>0</v>
      </c>
      <c r="S114" s="478" t="n">
        <v>3.15</v>
      </c>
      <c r="T114" s="479" t="n">
        <v>5.86</v>
      </c>
      <c r="U114" s="15" t="inlineStr">
        <is>
          <t>O</t>
        </is>
      </c>
      <c r="V114" s="15" t="inlineStr">
        <is>
          <t>O</t>
        </is>
      </c>
      <c r="W114" s="15" t="n">
        <v>30000</v>
      </c>
      <c r="X114" s="15" t="inlineStr">
        <is>
          <t>KG</t>
        </is>
      </c>
      <c r="Y114" s="492" t="n">
        <v>30</v>
      </c>
      <c r="AB114" s="162" t="n"/>
      <c r="AC114" s="174" t="n"/>
    </row>
    <row r="115">
      <c r="A115" s="91" t="inlineStr">
        <is>
          <t>056</t>
        </is>
      </c>
      <c r="B115" s="15" t="inlineStr">
        <is>
          <t>0000943210</t>
        </is>
      </c>
      <c r="C115" s="15" t="inlineStr">
        <is>
          <t>SOUTH</t>
        </is>
      </c>
      <c r="D115" s="15" t="inlineStr">
        <is>
          <t>MEGH STEELS PRIVATE LIMITED - HMSIL</t>
        </is>
      </c>
      <c r="E115" s="15" t="inlineStr">
        <is>
          <t>HOSUR</t>
        </is>
      </c>
      <c r="F115" s="15" t="inlineStr">
        <is>
          <t>0000943210</t>
        </is>
      </c>
      <c r="G115" s="15" t="n">
        <v>14</v>
      </c>
      <c r="H115" s="15" t="inlineStr">
        <is>
          <t>9519071189</t>
        </is>
      </c>
      <c r="I115" s="15" t="inlineStr">
        <is>
          <t>000001</t>
        </is>
      </c>
      <c r="J115" s="15">
        <f>_xlfn.XLOOKUP(orderbook[[#This Row],[MATL_NO]],Table29[TSL Material Code3],Table29[Key])</f>
        <v/>
      </c>
      <c r="K115" s="15" t="n">
        <v>3673889</v>
      </c>
      <c r="L115" s="15" t="inlineStr">
        <is>
          <t>TUB-O-N-AUT-AW-FC-41.28X3.150X5.8600</t>
        </is>
      </c>
      <c r="M115" s="477" t="inlineStr">
        <is>
          <t>ERW</t>
        </is>
      </c>
      <c r="N115" s="15" t="inlineStr">
        <is>
          <t>AUT</t>
        </is>
      </c>
      <c r="O115" s="15" t="inlineStr">
        <is>
          <t>054</t>
        </is>
      </c>
      <c r="P115" s="15" t="inlineStr">
        <is>
          <t>AW</t>
        </is>
      </c>
      <c r="Q115" s="478" t="n">
        <v>41.28</v>
      </c>
      <c r="R115" s="478" t="n">
        <v>0</v>
      </c>
      <c r="S115" s="478" t="n">
        <v>3.15</v>
      </c>
      <c r="T115" s="479" t="n">
        <v>5.86</v>
      </c>
      <c r="U115" s="15" t="inlineStr">
        <is>
          <t>O</t>
        </is>
      </c>
      <c r="V115" s="15" t="inlineStr">
        <is>
          <t>O</t>
        </is>
      </c>
      <c r="W115" s="15" t="n">
        <v>20000</v>
      </c>
      <c r="X115" s="15" t="inlineStr">
        <is>
          <t>KG</t>
        </is>
      </c>
      <c r="Y115" s="492" t="n">
        <v>20</v>
      </c>
      <c r="AB115" s="162" t="n"/>
      <c r="AC115" s="174" t="n"/>
    </row>
    <row r="116">
      <c r="A116" s="91" t="inlineStr">
        <is>
          <t>056</t>
        </is>
      </c>
      <c r="B116" s="15" t="inlineStr">
        <is>
          <t>0000943210</t>
        </is>
      </c>
      <c r="C116" s="15" t="inlineStr">
        <is>
          <t>SOUTH</t>
        </is>
      </c>
      <c r="D116" s="15" t="inlineStr">
        <is>
          <t>MEGH STEELS PRIVATE LIMITED - HMSIL</t>
        </is>
      </c>
      <c r="E116" s="15" t="inlineStr">
        <is>
          <t>HOSUR</t>
        </is>
      </c>
      <c r="F116" s="15" t="inlineStr">
        <is>
          <t>0000943210</t>
        </is>
      </c>
      <c r="G116" s="15" t="n">
        <v>111</v>
      </c>
      <c r="H116" s="15" t="inlineStr">
        <is>
          <t>9518797132</t>
        </is>
      </c>
      <c r="I116" s="15" t="inlineStr">
        <is>
          <t>000001</t>
        </is>
      </c>
      <c r="J116" s="15">
        <f>_xlfn.XLOOKUP(orderbook[[#This Row],[MATL_NO]],Table29[TSL Material Code3],Table29[Key])</f>
        <v/>
      </c>
      <c r="K116" s="15" t="n">
        <v>3673889</v>
      </c>
      <c r="L116" s="15" t="inlineStr">
        <is>
          <t>TUB-O-N-AUT-AW-FC-41.28X3.150X5.8600</t>
        </is>
      </c>
      <c r="M116" s="477" t="inlineStr">
        <is>
          <t>ERW</t>
        </is>
      </c>
      <c r="N116" s="15" t="inlineStr">
        <is>
          <t>AUT</t>
        </is>
      </c>
      <c r="O116" s="15" t="inlineStr">
        <is>
          <t>054</t>
        </is>
      </c>
      <c r="P116" s="15" t="inlineStr">
        <is>
          <t>AW</t>
        </is>
      </c>
      <c r="Q116" s="478" t="n">
        <v>41.28</v>
      </c>
      <c r="R116" s="478" t="n">
        <v>0</v>
      </c>
      <c r="S116" s="478" t="n">
        <v>3.15</v>
      </c>
      <c r="T116" s="479" t="n">
        <v>5.86</v>
      </c>
      <c r="U116" s="15" t="inlineStr">
        <is>
          <t>O</t>
        </is>
      </c>
      <c r="V116" s="15" t="inlineStr">
        <is>
          <t>O</t>
        </is>
      </c>
      <c r="W116" s="15" t="n">
        <v>4000</v>
      </c>
      <c r="X116" s="15" t="inlineStr">
        <is>
          <t>KG</t>
        </is>
      </c>
      <c r="Y116" s="492" t="n">
        <v>4</v>
      </c>
      <c r="AB116" s="162" t="n"/>
      <c r="AC116" s="174" t="n"/>
    </row>
    <row r="117">
      <c r="A117" s="91" t="inlineStr">
        <is>
          <t>056</t>
        </is>
      </c>
      <c r="B117" s="15" t="inlineStr">
        <is>
          <t>0000943209</t>
        </is>
      </c>
      <c r="C117" s="15" t="inlineStr">
        <is>
          <t>SOUTH</t>
        </is>
      </c>
      <c r="D117" s="15" t="inlineStr">
        <is>
          <t>MEGH STEELS PRIVATE LIMITED - TVS A</t>
        </is>
      </c>
      <c r="E117" s="15" t="inlineStr">
        <is>
          <t>HOSUR</t>
        </is>
      </c>
      <c r="F117" s="15" t="inlineStr">
        <is>
          <t>0000943209</t>
        </is>
      </c>
      <c r="G117" s="15" t="n">
        <v>27</v>
      </c>
      <c r="H117" s="15" t="inlineStr">
        <is>
          <t>9519030855</t>
        </is>
      </c>
      <c r="I117" s="15" t="inlineStr">
        <is>
          <t>000006</t>
        </is>
      </c>
      <c r="J117" s="15" t="inlineStr">
        <is>
          <t>41.282.66ERWFIN CUT</t>
        </is>
      </c>
      <c r="K117" s="15" t="n">
        <v>3501716</v>
      </c>
      <c r="L117" s="15" t="inlineStr">
        <is>
          <t>TUB-O-N-AUT-AW-FC-41.28X2.600X6.0000</t>
        </is>
      </c>
      <c r="M117" s="477" t="inlineStr">
        <is>
          <t>ERW</t>
        </is>
      </c>
      <c r="N117" s="15" t="inlineStr">
        <is>
          <t>AUT</t>
        </is>
      </c>
      <c r="O117" s="15" t="inlineStr">
        <is>
          <t>054</t>
        </is>
      </c>
      <c r="P117" s="15" t="inlineStr">
        <is>
          <t>AW</t>
        </is>
      </c>
      <c r="Q117" s="478" t="n">
        <v>41.28</v>
      </c>
      <c r="R117" s="478" t="n">
        <v>0</v>
      </c>
      <c r="S117" s="478" t="n">
        <v>2.6</v>
      </c>
      <c r="T117" s="479" t="n">
        <v>6</v>
      </c>
      <c r="U117" s="15" t="inlineStr">
        <is>
          <t>O</t>
        </is>
      </c>
      <c r="V117" s="15" t="inlineStr">
        <is>
          <t>O</t>
        </is>
      </c>
      <c r="W117" s="15" t="n">
        <v>42000</v>
      </c>
      <c r="X117" s="15" t="inlineStr">
        <is>
          <t>KG</t>
        </is>
      </c>
      <c r="Y117" s="492" t="n">
        <v>42</v>
      </c>
      <c r="AB117" s="162" t="n"/>
      <c r="AC117" s="174" t="n"/>
    </row>
    <row r="118">
      <c r="A118" s="91" t="inlineStr">
        <is>
          <t>056</t>
        </is>
      </c>
      <c r="B118" s="15" t="inlineStr">
        <is>
          <t>0000943210</t>
        </is>
      </c>
      <c r="C118" s="15" t="inlineStr">
        <is>
          <t>SOUTH</t>
        </is>
      </c>
      <c r="D118" s="15" t="inlineStr">
        <is>
          <t>MEGH STEELS PRIVATE LIMITED - HMSIL</t>
        </is>
      </c>
      <c r="E118" s="15" t="inlineStr">
        <is>
          <t>HOSUR</t>
        </is>
      </c>
      <c r="F118" s="15" t="inlineStr">
        <is>
          <t>0000943210</t>
        </is>
      </c>
      <c r="G118" s="15" t="n">
        <v>41</v>
      </c>
      <c r="H118" s="15" t="inlineStr">
        <is>
          <t>9518997237</t>
        </is>
      </c>
      <c r="I118" s="15" t="inlineStr">
        <is>
          <t>000005</t>
        </is>
      </c>
      <c r="J118" s="15">
        <f>_xlfn.XLOOKUP(orderbook[[#This Row],[MATL_NO]],Table29[TSL Material Code3],Table29[Key])</f>
        <v/>
      </c>
      <c r="K118" s="15" t="n">
        <v>3500263</v>
      </c>
      <c r="L118" s="15" t="inlineStr">
        <is>
          <t>TUB-O-C-AUT-BH-FC-45.00X3.50X6.100-CEW 1</t>
        </is>
      </c>
      <c r="M118" s="477" t="inlineStr">
        <is>
          <t>CEW-R</t>
        </is>
      </c>
      <c r="N118" s="15" t="inlineStr">
        <is>
          <t>AUT</t>
        </is>
      </c>
      <c r="O118" s="15" t="inlineStr">
        <is>
          <t>056</t>
        </is>
      </c>
      <c r="P118" s="15" t="inlineStr">
        <is>
          <t>BH</t>
        </is>
      </c>
      <c r="Q118" s="478" t="n">
        <v>45</v>
      </c>
      <c r="R118" s="478" t="n">
        <v>0</v>
      </c>
      <c r="S118" s="478" t="n">
        <v>3.5</v>
      </c>
      <c r="T118" s="479" t="n">
        <v>6.100000000000001</v>
      </c>
      <c r="U118" s="15" t="inlineStr">
        <is>
          <t>O</t>
        </is>
      </c>
      <c r="V118" s="15" t="inlineStr">
        <is>
          <t>O</t>
        </is>
      </c>
      <c r="W118" s="15" t="n">
        <v>10000</v>
      </c>
      <c r="X118" s="15" t="inlineStr">
        <is>
          <t>KG</t>
        </is>
      </c>
      <c r="Y118" s="492" t="n">
        <v>10</v>
      </c>
      <c r="AB118" s="162" t="n"/>
      <c r="AC118" s="174" t="n"/>
    </row>
    <row r="119">
      <c r="A119" s="91" t="inlineStr">
        <is>
          <t>056</t>
        </is>
      </c>
      <c r="B119" s="15" t="inlineStr">
        <is>
          <t>0000943210</t>
        </is>
      </c>
      <c r="C119" s="15" t="inlineStr">
        <is>
          <t>SOUTH</t>
        </is>
      </c>
      <c r="D119" s="15" t="inlineStr">
        <is>
          <t>MEGH STEELS PRIVATE LIMITED - HMSIL</t>
        </is>
      </c>
      <c r="E119" s="15" t="inlineStr">
        <is>
          <t>HOSUR</t>
        </is>
      </c>
      <c r="F119" s="15" t="inlineStr">
        <is>
          <t>0000943210</t>
        </is>
      </c>
      <c r="G119" s="15" t="n">
        <v>27</v>
      </c>
      <c r="H119" s="15" t="inlineStr">
        <is>
          <t>9519031013</t>
        </is>
      </c>
      <c r="I119" s="15" t="inlineStr">
        <is>
          <t>000002</t>
        </is>
      </c>
      <c r="J119" s="15">
        <f>_xlfn.XLOOKUP(orderbook[[#This Row],[MATL_NO]],Table29[TSL Material Code3],Table29[Key])</f>
        <v/>
      </c>
      <c r="K119" s="15" t="n">
        <v>3545558</v>
      </c>
      <c r="L119" s="15" t="inlineStr">
        <is>
          <t>TUB-O-N-AUT-AW-FC-45.00X1.400X5.7000</t>
        </is>
      </c>
      <c r="M119" s="477" t="inlineStr">
        <is>
          <t>ERW</t>
        </is>
      </c>
      <c r="N119" s="15" t="inlineStr">
        <is>
          <t>AUT</t>
        </is>
      </c>
      <c r="O119" s="15" t="inlineStr">
        <is>
          <t>054</t>
        </is>
      </c>
      <c r="P119" s="15" t="inlineStr">
        <is>
          <t>AW</t>
        </is>
      </c>
      <c r="Q119" s="478" t="n">
        <v>45</v>
      </c>
      <c r="R119" s="478" t="n">
        <v>0</v>
      </c>
      <c r="S119" s="478" t="n">
        <v>1.4</v>
      </c>
      <c r="T119" s="479" t="n">
        <v>5.7</v>
      </c>
      <c r="U119" s="15" t="inlineStr">
        <is>
          <t>O</t>
        </is>
      </c>
      <c r="V119" s="15" t="inlineStr">
        <is>
          <t>O</t>
        </is>
      </c>
      <c r="W119" s="15" t="n">
        <v>15000</v>
      </c>
      <c r="X119" s="15" t="inlineStr">
        <is>
          <t>KG</t>
        </is>
      </c>
      <c r="Y119" s="492" t="n">
        <v>7.577999999999999</v>
      </c>
      <c r="AB119" s="162" t="n"/>
      <c r="AC119" s="174" t="n"/>
    </row>
    <row r="120">
      <c r="A120" s="91" t="inlineStr">
        <is>
          <t>056</t>
        </is>
      </c>
      <c r="B120" s="15" t="inlineStr">
        <is>
          <t>0000943210</t>
        </is>
      </c>
      <c r="C120" s="15" t="inlineStr">
        <is>
          <t>SOUTH</t>
        </is>
      </c>
      <c r="D120" s="15" t="inlineStr">
        <is>
          <t>MEGH STEELS PRIVATE LIMITED - HMSIL</t>
        </is>
      </c>
      <c r="E120" s="15" t="inlineStr">
        <is>
          <t>HOSUR</t>
        </is>
      </c>
      <c r="F120" s="15" t="inlineStr">
        <is>
          <t>0000943210</t>
        </is>
      </c>
      <c r="G120" s="15" t="n">
        <v>27</v>
      </c>
      <c r="H120" s="15" t="inlineStr">
        <is>
          <t>9519031013</t>
        </is>
      </c>
      <c r="I120" s="15" t="inlineStr">
        <is>
          <t>000003</t>
        </is>
      </c>
      <c r="J120" s="15">
        <f>_xlfn.XLOOKUP(orderbook[[#This Row],[MATL_NO]],Table29[TSL Material Code3],Table29[Key])</f>
        <v/>
      </c>
      <c r="K120" s="15" t="n">
        <v>3549720</v>
      </c>
      <c r="L120" s="15" t="inlineStr">
        <is>
          <t>TUB-O-N-AUT-AW-FC-48.60X2.300X6.270 HST</t>
        </is>
      </c>
      <c r="M120" s="477" t="inlineStr">
        <is>
          <t>ERW</t>
        </is>
      </c>
      <c r="N120" s="15" t="inlineStr">
        <is>
          <t>AUT</t>
        </is>
      </c>
      <c r="O120" s="15" t="inlineStr">
        <is>
          <t>055</t>
        </is>
      </c>
      <c r="P120" s="15" t="inlineStr">
        <is>
          <t>AW</t>
        </is>
      </c>
      <c r="Q120" s="478" t="n">
        <v>48.6</v>
      </c>
      <c r="R120" s="478" t="n">
        <v>0</v>
      </c>
      <c r="S120" s="478" t="n">
        <v>2.3</v>
      </c>
      <c r="T120" s="479" t="n">
        <v>6.27</v>
      </c>
      <c r="U120" s="15" t="inlineStr">
        <is>
          <t>O</t>
        </is>
      </c>
      <c r="V120" s="15" t="inlineStr">
        <is>
          <t>O</t>
        </is>
      </c>
      <c r="W120" s="15" t="n">
        <v>1500</v>
      </c>
      <c r="X120" s="15" t="inlineStr">
        <is>
          <t>KG</t>
        </is>
      </c>
      <c r="Y120" s="492" t="n">
        <v>1.5</v>
      </c>
      <c r="AB120" s="162" t="n"/>
      <c r="AC120" s="174" t="n"/>
    </row>
    <row r="121">
      <c r="A121" s="91" t="inlineStr">
        <is>
          <t>056</t>
        </is>
      </c>
      <c r="B121" s="15" t="inlineStr">
        <is>
          <t>0000943210</t>
        </is>
      </c>
      <c r="C121" s="15" t="inlineStr">
        <is>
          <t>SOUTH</t>
        </is>
      </c>
      <c r="D121" s="15" t="inlineStr">
        <is>
          <t>MEGH STEELS PRIVATE LIMITED - HMSIL</t>
        </is>
      </c>
      <c r="E121" s="15" t="inlineStr">
        <is>
          <t>HOSUR</t>
        </is>
      </c>
      <c r="F121" s="15" t="inlineStr">
        <is>
          <t>0000943210</t>
        </is>
      </c>
      <c r="G121" s="15" t="n">
        <v>14</v>
      </c>
      <c r="H121" s="15" t="inlineStr">
        <is>
          <t>9519071189</t>
        </is>
      </c>
      <c r="I121" s="15" t="inlineStr">
        <is>
          <t>000002</t>
        </is>
      </c>
      <c r="J121" s="15">
        <f>_xlfn.XLOOKUP(orderbook[[#This Row],[MATL_NO]],Table29[TSL Material Code3],Table29[Key])</f>
        <v/>
      </c>
      <c r="K121" s="15" t="n">
        <v>3549720</v>
      </c>
      <c r="L121" s="15" t="inlineStr">
        <is>
          <t>TUB-O-N-AUT-AW-FC-48.60X2.300X6.270 HST</t>
        </is>
      </c>
      <c r="M121" s="477" t="inlineStr">
        <is>
          <t>ERW</t>
        </is>
      </c>
      <c r="N121" s="15" t="inlineStr">
        <is>
          <t>AUT</t>
        </is>
      </c>
      <c r="O121" s="15" t="inlineStr">
        <is>
          <t>055</t>
        </is>
      </c>
      <c r="P121" s="15" t="inlineStr">
        <is>
          <t>AW</t>
        </is>
      </c>
      <c r="Q121" s="478" t="n">
        <v>48.6</v>
      </c>
      <c r="R121" s="478" t="n">
        <v>0</v>
      </c>
      <c r="S121" s="478" t="n">
        <v>2.3</v>
      </c>
      <c r="T121" s="479" t="n">
        <v>6.27</v>
      </c>
      <c r="U121" s="15" t="inlineStr">
        <is>
          <t>O</t>
        </is>
      </c>
      <c r="V121" s="15" t="inlineStr">
        <is>
          <t>O</t>
        </is>
      </c>
      <c r="W121" s="15" t="n">
        <v>15000</v>
      </c>
      <c r="X121" s="15" t="inlineStr">
        <is>
          <t>KG</t>
        </is>
      </c>
      <c r="Y121" s="492" t="n">
        <v>15</v>
      </c>
      <c r="AB121" s="162" t="n"/>
      <c r="AC121" s="174" t="n"/>
    </row>
    <row r="122">
      <c r="A122" s="91" t="inlineStr">
        <is>
          <t>056</t>
        </is>
      </c>
      <c r="B122" s="15" t="inlineStr">
        <is>
          <t>0000943210</t>
        </is>
      </c>
      <c r="C122" s="15" t="inlineStr">
        <is>
          <t>SOUTH</t>
        </is>
      </c>
      <c r="D122" s="15" t="inlineStr">
        <is>
          <t>MEGH STEELS PRIVATE LIMITED - HMSIL</t>
        </is>
      </c>
      <c r="E122" s="15" t="inlineStr">
        <is>
          <t>HOSUR</t>
        </is>
      </c>
      <c r="F122" s="15" t="inlineStr">
        <is>
          <t>0000943210</t>
        </is>
      </c>
      <c r="G122" s="15" t="n">
        <v>54</v>
      </c>
      <c r="H122" s="15" t="inlineStr">
        <is>
          <t>9518955752</t>
        </is>
      </c>
      <c r="I122" s="15" t="inlineStr">
        <is>
          <t>000003</t>
        </is>
      </c>
      <c r="J122" s="15">
        <f>_xlfn.XLOOKUP(orderbook[[#This Row],[MATL_NO]],Table29[TSL Material Code3],Table29[Key])</f>
        <v/>
      </c>
      <c r="K122" s="15" t="n">
        <v>3549720</v>
      </c>
      <c r="L122" s="15" t="inlineStr">
        <is>
          <t>TUB-O-N-AUT-AW-FC-48.60X2.300X6.270 HST</t>
        </is>
      </c>
      <c r="M122" s="477" t="inlineStr">
        <is>
          <t>ERW</t>
        </is>
      </c>
      <c r="N122" s="15" t="inlineStr">
        <is>
          <t>AUT</t>
        </is>
      </c>
      <c r="O122" s="15" t="inlineStr">
        <is>
          <t>055</t>
        </is>
      </c>
      <c r="P122" s="15" t="inlineStr">
        <is>
          <t>AW</t>
        </is>
      </c>
      <c r="Q122" s="478" t="n">
        <v>48.6</v>
      </c>
      <c r="R122" s="478" t="n">
        <v>0</v>
      </c>
      <c r="S122" s="478" t="n">
        <v>2.3</v>
      </c>
      <c r="T122" s="479" t="n">
        <v>6.27</v>
      </c>
      <c r="U122" s="15" t="inlineStr">
        <is>
          <t>O</t>
        </is>
      </c>
      <c r="V122" s="15" t="inlineStr">
        <is>
          <t>O</t>
        </is>
      </c>
      <c r="W122" s="15" t="n">
        <v>9000</v>
      </c>
      <c r="X122" s="15" t="inlineStr">
        <is>
          <t>KG</t>
        </is>
      </c>
      <c r="Y122" s="492" t="n">
        <v>6.995</v>
      </c>
      <c r="AB122" s="162" t="n"/>
      <c r="AC122" s="174" t="n"/>
    </row>
    <row r="123">
      <c r="A123" s="91" t="inlineStr">
        <is>
          <t>056</t>
        </is>
      </c>
      <c r="B123" s="15" t="inlineStr">
        <is>
          <t>0000943213</t>
        </is>
      </c>
      <c r="C123" s="15" t="inlineStr">
        <is>
          <t>SOUTH</t>
        </is>
      </c>
      <c r="D123" s="15" t="inlineStr">
        <is>
          <t>MEGH STEELS PRIVATE LIMITED - RANE</t>
        </is>
      </c>
      <c r="E123" s="15" t="inlineStr">
        <is>
          <t>HOSUR</t>
        </is>
      </c>
      <c r="F123" s="15" t="inlineStr">
        <is>
          <t>0000943213</t>
        </is>
      </c>
      <c r="G123" s="15" t="n">
        <v>16</v>
      </c>
      <c r="H123" s="15" t="inlineStr">
        <is>
          <t>9519062213</t>
        </is>
      </c>
      <c r="I123" s="15" t="inlineStr">
        <is>
          <t>000003</t>
        </is>
      </c>
      <c r="J123" s="15">
        <f>_xlfn.XLOOKUP(orderbook[[#This Row],[MATL_NO]],Table29[TSL Material Code3],Table29[Key])</f>
        <v/>
      </c>
      <c r="K123" s="15" t="n">
        <v>3772811</v>
      </c>
      <c r="L123" s="15" t="inlineStr">
        <is>
          <t>TUB-O-C-SLT-NR-FC-50.00X6.000X6.2500</t>
        </is>
      </c>
      <c r="M123" s="15" t="inlineStr">
        <is>
          <t>SLT</t>
        </is>
      </c>
      <c r="N123" s="15" t="inlineStr">
        <is>
          <t>SLT</t>
        </is>
      </c>
      <c r="O123" s="15" t="inlineStr">
        <is>
          <t>093</t>
        </is>
      </c>
      <c r="P123" s="15" t="inlineStr">
        <is>
          <t>NR</t>
        </is>
      </c>
      <c r="Q123" s="478" t="n">
        <v>50</v>
      </c>
      <c r="R123" s="478" t="n">
        <v>0</v>
      </c>
      <c r="S123" s="478" t="n">
        <v>6</v>
      </c>
      <c r="T123" s="479" t="n">
        <v>6.25</v>
      </c>
      <c r="U123" s="15" t="inlineStr">
        <is>
          <t>O</t>
        </is>
      </c>
      <c r="V123" s="15" t="inlineStr">
        <is>
          <t>O</t>
        </is>
      </c>
      <c r="W123" s="15" t="n">
        <v>100000</v>
      </c>
      <c r="X123" s="15" t="inlineStr">
        <is>
          <t>KG</t>
        </is>
      </c>
      <c r="Y123" s="492" t="n">
        <v>100</v>
      </c>
      <c r="AB123" s="162" t="n"/>
      <c r="AC123" s="174" t="n"/>
    </row>
    <row r="124">
      <c r="A124" s="91" t="inlineStr">
        <is>
          <t>056</t>
        </is>
      </c>
      <c r="B124" s="15" t="inlineStr">
        <is>
          <t>0000943213</t>
        </is>
      </c>
      <c r="C124" s="15" t="inlineStr">
        <is>
          <t>SOUTH</t>
        </is>
      </c>
      <c r="D124" s="15" t="inlineStr">
        <is>
          <t>MEGH STEELS PRIVATE LIMITED - RANE</t>
        </is>
      </c>
      <c r="E124" s="15" t="inlineStr">
        <is>
          <t>HOSUR</t>
        </is>
      </c>
      <c r="F124" s="15" t="inlineStr">
        <is>
          <t>0000943213</t>
        </is>
      </c>
      <c r="G124" s="15" t="n">
        <v>67</v>
      </c>
      <c r="H124" s="15" t="inlineStr">
        <is>
          <t>9518916279</t>
        </is>
      </c>
      <c r="I124" s="15" t="inlineStr">
        <is>
          <t>000001</t>
        </is>
      </c>
      <c r="J124" s="15">
        <f>_xlfn.XLOOKUP(orderbook[[#This Row],[MATL_NO]],Table29[TSL Material Code3],Table29[Key])</f>
        <v/>
      </c>
      <c r="K124" s="15" t="n">
        <v>3772811</v>
      </c>
      <c r="L124" s="15" t="inlineStr">
        <is>
          <t>TUB-O-C-SLT-NR-FC-50.00X6.000X6.2500</t>
        </is>
      </c>
      <c r="M124" s="15" t="inlineStr">
        <is>
          <t>SLT</t>
        </is>
      </c>
      <c r="N124" s="15" t="inlineStr">
        <is>
          <t>SLT</t>
        </is>
      </c>
      <c r="O124" s="15" t="inlineStr">
        <is>
          <t>093</t>
        </is>
      </c>
      <c r="P124" s="15" t="inlineStr">
        <is>
          <t>NR</t>
        </is>
      </c>
      <c r="Q124" s="478" t="n">
        <v>50</v>
      </c>
      <c r="R124" s="478" t="n">
        <v>0</v>
      </c>
      <c r="S124" s="478" t="n">
        <v>6</v>
      </c>
      <c r="T124" s="479" t="n">
        <v>6.25</v>
      </c>
      <c r="U124" s="15" t="inlineStr">
        <is>
          <t>O</t>
        </is>
      </c>
      <c r="V124" s="15" t="inlineStr">
        <is>
          <t>O</t>
        </is>
      </c>
      <c r="W124" s="15" t="n">
        <v>50000</v>
      </c>
      <c r="X124" s="15" t="inlineStr">
        <is>
          <t>KG</t>
        </is>
      </c>
      <c r="Y124" s="492" t="n">
        <v>26.155</v>
      </c>
      <c r="AB124" s="162" t="n"/>
      <c r="AC124" s="174" t="n"/>
    </row>
    <row r="125">
      <c r="A125" s="91" t="inlineStr">
        <is>
          <t>056</t>
        </is>
      </c>
      <c r="B125" s="15" t="inlineStr">
        <is>
          <t>0000943213</t>
        </is>
      </c>
      <c r="C125" s="15" t="inlineStr">
        <is>
          <t>SOUTH</t>
        </is>
      </c>
      <c r="D125" s="15" t="inlineStr">
        <is>
          <t>MEGH STEELS PRIVATE LIMITED - RANE</t>
        </is>
      </c>
      <c r="E125" s="15" t="inlineStr">
        <is>
          <t>HOSUR</t>
        </is>
      </c>
      <c r="F125" s="15" t="inlineStr">
        <is>
          <t>0000943213</t>
        </is>
      </c>
      <c r="G125" s="15" t="n">
        <v>16</v>
      </c>
      <c r="H125" s="15" t="inlineStr">
        <is>
          <t>9519062118</t>
        </is>
      </c>
      <c r="I125" s="15" t="inlineStr">
        <is>
          <t>000001</t>
        </is>
      </c>
      <c r="J125" s="15">
        <f>_xlfn.XLOOKUP(orderbook[[#This Row],[MATL_NO]],Table29[TSL Material Code3],Table29[Key])</f>
        <v/>
      </c>
      <c r="K125" s="15" t="n">
        <v>3772811</v>
      </c>
      <c r="L125" s="15" t="inlineStr">
        <is>
          <t>TUB-O-C-SLT-NR-FC-50.00X6.000X6.2500</t>
        </is>
      </c>
      <c r="M125" s="15" t="inlineStr">
        <is>
          <t>SLT</t>
        </is>
      </c>
      <c r="N125" s="15" t="inlineStr">
        <is>
          <t>SLT</t>
        </is>
      </c>
      <c r="O125" s="15" t="inlineStr">
        <is>
          <t>093</t>
        </is>
      </c>
      <c r="P125" s="15" t="inlineStr">
        <is>
          <t>NR</t>
        </is>
      </c>
      <c r="Q125" s="478" t="n">
        <v>50</v>
      </c>
      <c r="R125" s="478" t="n">
        <v>0</v>
      </c>
      <c r="S125" s="478" t="n">
        <v>6</v>
      </c>
      <c r="T125" s="479" t="n">
        <v>6.25</v>
      </c>
      <c r="U125" s="15" t="inlineStr">
        <is>
          <t>O</t>
        </is>
      </c>
      <c r="V125" s="15" t="inlineStr">
        <is>
          <t>O</t>
        </is>
      </c>
      <c r="W125" s="15" t="n">
        <v>14000</v>
      </c>
      <c r="X125" s="15" t="inlineStr">
        <is>
          <t>KG</t>
        </is>
      </c>
      <c r="Y125" s="492" t="n">
        <v>14</v>
      </c>
      <c r="AB125" s="162" t="n"/>
      <c r="AC125" s="174" t="n"/>
    </row>
    <row r="126">
      <c r="A126" s="91" t="inlineStr">
        <is>
          <t>056</t>
        </is>
      </c>
      <c r="B126" s="15" t="inlineStr">
        <is>
          <t>0000943211</t>
        </is>
      </c>
      <c r="C126" s="15" t="inlineStr">
        <is>
          <t>SOUTH</t>
        </is>
      </c>
      <c r="D126" s="15" t="inlineStr">
        <is>
          <t>MEGH STEELS PRIVATE LIMITED - RE</t>
        </is>
      </c>
      <c r="E126" s="15" t="inlineStr">
        <is>
          <t>HOSUR</t>
        </is>
      </c>
      <c r="F126" s="15" t="inlineStr">
        <is>
          <t>0000943211</t>
        </is>
      </c>
      <c r="G126" s="15" t="n">
        <v>54</v>
      </c>
      <c r="H126" s="15" t="inlineStr">
        <is>
          <t>9518955819</t>
        </is>
      </c>
      <c r="I126" s="15" t="inlineStr">
        <is>
          <t>000003</t>
        </is>
      </c>
      <c r="J126" s="15">
        <f>_xlfn.XLOOKUP(orderbook[[#This Row],[MATL_NO]],Table29[TSL Material Code3],Table29[Key])</f>
        <v/>
      </c>
      <c r="K126" s="15" t="n">
        <v>3751498</v>
      </c>
      <c r="L126" s="15" t="inlineStr">
        <is>
          <t>TUB-S-AW-SHS-50.00X50.00X1.600X6.0600</t>
        </is>
      </c>
      <c r="M126" s="477" t="inlineStr">
        <is>
          <t>ERW</t>
        </is>
      </c>
      <c r="N126" s="15" t="inlineStr">
        <is>
          <t>SHS</t>
        </is>
      </c>
      <c r="O126" s="15" t="inlineStr">
        <is>
          <t>175</t>
        </is>
      </c>
      <c r="P126" s="15" t="inlineStr">
        <is>
          <t>AW</t>
        </is>
      </c>
      <c r="Q126" s="478" t="n">
        <v>50</v>
      </c>
      <c r="R126" s="478" t="n">
        <v>50</v>
      </c>
      <c r="S126" s="478" t="n">
        <v>1.6</v>
      </c>
      <c r="T126" s="479" t="n">
        <v>6.06</v>
      </c>
      <c r="U126" s="15" t="inlineStr">
        <is>
          <t>O</t>
        </is>
      </c>
      <c r="V126" s="15" t="inlineStr">
        <is>
          <t>S</t>
        </is>
      </c>
      <c r="W126" s="15" t="n">
        <v>10000</v>
      </c>
      <c r="X126" s="15" t="inlineStr">
        <is>
          <t>KG</t>
        </is>
      </c>
      <c r="Y126" s="492" t="n">
        <v>10</v>
      </c>
      <c r="AB126" s="162" t="n"/>
      <c r="AC126" s="174" t="n"/>
    </row>
    <row r="127">
      <c r="A127" s="91" t="inlineStr">
        <is>
          <t>056</t>
        </is>
      </c>
      <c r="B127" s="15" t="inlineStr">
        <is>
          <t>0000943211</t>
        </is>
      </c>
      <c r="C127" s="15" t="inlineStr">
        <is>
          <t>SOUTH</t>
        </is>
      </c>
      <c r="D127" s="15" t="inlineStr">
        <is>
          <t>MEGH STEELS PRIVATE LIMITED - RE</t>
        </is>
      </c>
      <c r="E127" s="15" t="inlineStr">
        <is>
          <t>HOSUR</t>
        </is>
      </c>
      <c r="F127" s="15" t="inlineStr">
        <is>
          <t>0000943211</t>
        </is>
      </c>
      <c r="G127" s="15" t="n">
        <v>54</v>
      </c>
      <c r="H127" s="15" t="inlineStr">
        <is>
          <t>9518955819</t>
        </is>
      </c>
      <c r="I127" s="15" t="inlineStr">
        <is>
          <t>000002</t>
        </is>
      </c>
      <c r="J127" s="15">
        <f>_xlfn.XLOOKUP(orderbook[[#This Row],[MATL_NO]],Table29[TSL Material Code3],Table29[Key])</f>
        <v/>
      </c>
      <c r="K127" s="15" t="n">
        <v>3500695</v>
      </c>
      <c r="L127" s="15" t="inlineStr">
        <is>
          <t>TUB-O-C-AUT-AD-FC-50.8X2.6X6.0-BSVI-CEW1</t>
        </is>
      </c>
      <c r="M127" s="477" t="inlineStr">
        <is>
          <t>CEW-R</t>
        </is>
      </c>
      <c r="N127" s="15" t="inlineStr">
        <is>
          <t>AUT</t>
        </is>
      </c>
      <c r="O127" s="15" t="inlineStr">
        <is>
          <t>056</t>
        </is>
      </c>
      <c r="P127" s="15" t="inlineStr">
        <is>
          <t>AD</t>
        </is>
      </c>
      <c r="Q127" s="478" t="n">
        <v>50.8</v>
      </c>
      <c r="R127" s="478" t="n">
        <v>0</v>
      </c>
      <c r="S127" s="478" t="n">
        <v>2.6</v>
      </c>
      <c r="T127" s="479" t="n">
        <v>6</v>
      </c>
      <c r="U127" s="15" t="inlineStr">
        <is>
          <t>O</t>
        </is>
      </c>
      <c r="V127" s="15" t="inlineStr">
        <is>
          <t>O</t>
        </is>
      </c>
      <c r="W127" s="15" t="n">
        <v>5000</v>
      </c>
      <c r="X127" s="15" t="inlineStr">
        <is>
          <t>KG</t>
        </is>
      </c>
      <c r="Y127" s="492" t="n">
        <v>2.015</v>
      </c>
      <c r="AB127" s="162" t="n"/>
      <c r="AC127" s="174" t="n"/>
    </row>
    <row r="128">
      <c r="A128" s="91" t="inlineStr">
        <is>
          <t>056</t>
        </is>
      </c>
      <c r="B128" s="15" t="inlineStr">
        <is>
          <t>0000943211</t>
        </is>
      </c>
      <c r="C128" s="15" t="inlineStr">
        <is>
          <t>SOUTH</t>
        </is>
      </c>
      <c r="D128" s="15" t="inlineStr">
        <is>
          <t>MEGH STEELS PRIVATE LIMITED - RE</t>
        </is>
      </c>
      <c r="E128" s="15" t="inlineStr">
        <is>
          <t>HOSUR</t>
        </is>
      </c>
      <c r="F128" s="15" t="inlineStr">
        <is>
          <t>0000943211</t>
        </is>
      </c>
      <c r="G128" s="15" t="n">
        <v>54</v>
      </c>
      <c r="H128" s="15" t="inlineStr">
        <is>
          <t>9518955819</t>
        </is>
      </c>
      <c r="I128" s="15" t="inlineStr">
        <is>
          <t>000001</t>
        </is>
      </c>
      <c r="J128" s="15">
        <f>_xlfn.XLOOKUP(orderbook[[#This Row],[MATL_NO]],Table29[TSL Material Code3],Table29[Key])</f>
        <v/>
      </c>
      <c r="K128" s="15" t="n">
        <v>3518437</v>
      </c>
      <c r="L128" s="15" t="inlineStr">
        <is>
          <t>TUB-O-N-AUT-AW-FC-50.80X2.600X6.00-ERW 1</t>
        </is>
      </c>
      <c r="M128" s="477" t="inlineStr">
        <is>
          <t>ERW</t>
        </is>
      </c>
      <c r="N128" s="15" t="inlineStr">
        <is>
          <t>AUT</t>
        </is>
      </c>
      <c r="O128" s="15" t="inlineStr">
        <is>
          <t>054</t>
        </is>
      </c>
      <c r="P128" s="15" t="inlineStr">
        <is>
          <t>AW</t>
        </is>
      </c>
      <c r="Q128" s="478" t="n">
        <v>50.8</v>
      </c>
      <c r="R128" s="478" t="n">
        <v>0</v>
      </c>
      <c r="S128" s="478" t="n">
        <v>2.6</v>
      </c>
      <c r="T128" s="479" t="n">
        <v>6</v>
      </c>
      <c r="U128" s="15" t="inlineStr">
        <is>
          <t>O</t>
        </is>
      </c>
      <c r="V128" s="15" t="inlineStr">
        <is>
          <t>O</t>
        </is>
      </c>
      <c r="W128" s="15" t="n">
        <v>5000</v>
      </c>
      <c r="X128" s="15" t="inlineStr">
        <is>
          <t>KG</t>
        </is>
      </c>
      <c r="Y128" s="492" t="n">
        <v>2.645</v>
      </c>
      <c r="AB128" s="162" t="n"/>
      <c r="AC128" s="174" t="n"/>
    </row>
    <row r="129">
      <c r="A129" s="91" t="inlineStr">
        <is>
          <t>056</t>
        </is>
      </c>
      <c r="B129" s="15" t="inlineStr">
        <is>
          <t>0000943211</t>
        </is>
      </c>
      <c r="C129" s="15" t="inlineStr">
        <is>
          <t>SOUTH</t>
        </is>
      </c>
      <c r="D129" s="15" t="inlineStr">
        <is>
          <t>MEGH STEELS PRIVATE LIMITED - RE</t>
        </is>
      </c>
      <c r="E129" s="15" t="inlineStr">
        <is>
          <t>HOSUR</t>
        </is>
      </c>
      <c r="F129" s="15" t="inlineStr">
        <is>
          <t>0000943211</t>
        </is>
      </c>
      <c r="G129" s="15" t="n">
        <v>27</v>
      </c>
      <c r="H129" s="15" t="inlineStr">
        <is>
          <t>9519031095</t>
        </is>
      </c>
      <c r="I129" s="15" t="inlineStr">
        <is>
          <t>000002</t>
        </is>
      </c>
      <c r="J129" s="15">
        <f>_xlfn.XLOOKUP(orderbook[[#This Row],[MATL_NO]],Table29[TSL Material Code3],Table29[Key])</f>
        <v/>
      </c>
      <c r="K129" s="15" t="n">
        <v>3500695</v>
      </c>
      <c r="L129" s="15" t="inlineStr">
        <is>
          <t>TUB-O-C-AUT-AD-FC-50.8X2.6X6.0-BSVI-CEW1</t>
        </is>
      </c>
      <c r="M129" s="477" t="inlineStr">
        <is>
          <t>CEW-R</t>
        </is>
      </c>
      <c r="N129" s="15" t="inlineStr">
        <is>
          <t>AUT</t>
        </is>
      </c>
      <c r="O129" s="15" t="inlineStr">
        <is>
          <t>056</t>
        </is>
      </c>
      <c r="P129" s="15" t="inlineStr">
        <is>
          <t>AD</t>
        </is>
      </c>
      <c r="Q129" s="478" t="n">
        <v>50.8</v>
      </c>
      <c r="R129" s="478" t="n">
        <v>0</v>
      </c>
      <c r="S129" s="478" t="n">
        <v>2.6</v>
      </c>
      <c r="T129" s="479" t="n">
        <v>6</v>
      </c>
      <c r="U129" s="15" t="inlineStr">
        <is>
          <t>O</t>
        </is>
      </c>
      <c r="V129" s="15" t="inlineStr">
        <is>
          <t>O</t>
        </is>
      </c>
      <c r="W129" s="15" t="n">
        <v>7500</v>
      </c>
      <c r="X129" s="15" t="inlineStr">
        <is>
          <t>KG</t>
        </is>
      </c>
      <c r="Y129" s="492" t="n">
        <v>7.5</v>
      </c>
      <c r="AB129" s="162" t="n"/>
      <c r="AC129" s="174" t="n"/>
    </row>
    <row r="130">
      <c r="A130" s="91" t="inlineStr">
        <is>
          <t>056</t>
        </is>
      </c>
      <c r="B130" s="15" t="inlineStr">
        <is>
          <t>0000943209</t>
        </is>
      </c>
      <c r="C130" s="15" t="inlineStr">
        <is>
          <t>SOUTH</t>
        </is>
      </c>
      <c r="D130" s="15" t="inlineStr">
        <is>
          <t>MEGH STEELS PRIVATE LIMITED - TVS A</t>
        </is>
      </c>
      <c r="E130" s="15" t="inlineStr">
        <is>
          <t>HOSUR</t>
        </is>
      </c>
      <c r="F130" s="15" t="inlineStr">
        <is>
          <t>0000943209</t>
        </is>
      </c>
      <c r="G130" s="15" t="n">
        <v>16</v>
      </c>
      <c r="H130" s="15" t="inlineStr">
        <is>
          <t>9519064218</t>
        </is>
      </c>
      <c r="I130" s="15" t="inlineStr">
        <is>
          <t>000001</t>
        </is>
      </c>
      <c r="J130" s="15">
        <f>_xlfn.XLOOKUP(orderbook[[#This Row],[MATL_NO]],Table29[TSL Material Code3],Table29[Key])</f>
        <v/>
      </c>
      <c r="K130" s="15" t="n">
        <v>3500391</v>
      </c>
      <c r="L130" s="15" t="inlineStr">
        <is>
          <t>TUB-O-N-AUT-AW-FC-54.00X3.000X5.910</t>
        </is>
      </c>
      <c r="M130" s="477" t="inlineStr">
        <is>
          <t>ERW</t>
        </is>
      </c>
      <c r="N130" s="15" t="inlineStr">
        <is>
          <t>AUT</t>
        </is>
      </c>
      <c r="O130" s="15" t="inlineStr">
        <is>
          <t>054</t>
        </is>
      </c>
      <c r="P130" s="15" t="inlineStr">
        <is>
          <t>AW</t>
        </is>
      </c>
      <c r="Q130" s="478" t="n">
        <v>54</v>
      </c>
      <c r="R130" s="478" t="n">
        <v>0</v>
      </c>
      <c r="S130" s="478" t="n">
        <v>3</v>
      </c>
      <c r="T130" s="479" t="n">
        <v>5.91</v>
      </c>
      <c r="U130" s="15" t="inlineStr">
        <is>
          <t>O</t>
        </is>
      </c>
      <c r="V130" s="15" t="inlineStr">
        <is>
          <t>O</t>
        </is>
      </c>
      <c r="W130" s="15" t="n">
        <v>10000</v>
      </c>
      <c r="X130" s="15" t="inlineStr">
        <is>
          <t>KG</t>
        </is>
      </c>
      <c r="Y130" s="492" t="n">
        <v>10</v>
      </c>
      <c r="AB130" s="162" t="n"/>
      <c r="AC130" s="174" t="n"/>
    </row>
    <row r="131">
      <c r="A131" s="91" t="inlineStr">
        <is>
          <t>056</t>
        </is>
      </c>
      <c r="B131" s="15" t="inlineStr">
        <is>
          <t>0000943210</t>
        </is>
      </c>
      <c r="C131" s="15" t="inlineStr">
        <is>
          <t>SOUTH</t>
        </is>
      </c>
      <c r="D131" s="15" t="inlineStr">
        <is>
          <t>MEGH STEELS PRIVATE LIMITED - HMSIL</t>
        </is>
      </c>
      <c r="E131" s="15" t="inlineStr">
        <is>
          <t>HOSUR</t>
        </is>
      </c>
      <c r="F131" s="15" t="inlineStr">
        <is>
          <t>0000943210</t>
        </is>
      </c>
      <c r="G131" s="15" t="n">
        <v>41</v>
      </c>
      <c r="H131" s="15" t="inlineStr">
        <is>
          <t>9518997237</t>
        </is>
      </c>
      <c r="I131" s="15" t="inlineStr">
        <is>
          <t>000004</t>
        </is>
      </c>
      <c r="J131" s="15">
        <f>_xlfn.XLOOKUP(orderbook[[#This Row],[MATL_NO]],Table29[TSL Material Code3],Table29[Key])</f>
        <v/>
      </c>
      <c r="K131" s="15" t="n">
        <v>3501105</v>
      </c>
      <c r="L131" s="15" t="inlineStr">
        <is>
          <t>TUB-O-N-AUT-AW-FC-57.15X3.000X5.65-ERW 1</t>
        </is>
      </c>
      <c r="M131" s="477" t="inlineStr">
        <is>
          <t>ERW</t>
        </is>
      </c>
      <c r="N131" s="15" t="inlineStr">
        <is>
          <t>AUT</t>
        </is>
      </c>
      <c r="O131" s="15" t="inlineStr">
        <is>
          <t>054</t>
        </is>
      </c>
      <c r="P131" s="15" t="inlineStr">
        <is>
          <t>AW</t>
        </is>
      </c>
      <c r="Q131" s="478" t="n">
        <v>57.15</v>
      </c>
      <c r="R131" s="478" t="n">
        <v>0</v>
      </c>
      <c r="S131" s="478" t="n">
        <v>3</v>
      </c>
      <c r="T131" s="479" t="n">
        <v>5.65</v>
      </c>
      <c r="U131" s="15" t="inlineStr">
        <is>
          <t>O</t>
        </is>
      </c>
      <c r="V131" s="15" t="inlineStr">
        <is>
          <t>O</t>
        </is>
      </c>
      <c r="W131" s="15" t="n">
        <v>15000</v>
      </c>
      <c r="X131" s="15" t="inlineStr">
        <is>
          <t>KG</t>
        </is>
      </c>
      <c r="Y131" s="492" t="n">
        <v>15</v>
      </c>
      <c r="AB131" s="162" t="n"/>
      <c r="AC131" s="174" t="n"/>
    </row>
    <row r="132">
      <c r="A132" s="91" t="inlineStr">
        <is>
          <t>056</t>
        </is>
      </c>
      <c r="B132" s="15" t="inlineStr">
        <is>
          <t>0000943209</t>
        </is>
      </c>
      <c r="C132" s="15" t="inlineStr">
        <is>
          <t>SOUTH</t>
        </is>
      </c>
      <c r="D132" s="15" t="inlineStr">
        <is>
          <t>MEGH STEELS PRIVATE LIMITED - TVS A</t>
        </is>
      </c>
      <c r="E132" s="15" t="inlineStr">
        <is>
          <t>HOSUR</t>
        </is>
      </c>
      <c r="F132" s="15" t="inlineStr">
        <is>
          <t>0000943209</t>
        </is>
      </c>
      <c r="G132" s="15" t="n">
        <v>54</v>
      </c>
      <c r="H132" s="15" t="inlineStr">
        <is>
          <t>9518955635</t>
        </is>
      </c>
      <c r="I132" s="15" t="inlineStr">
        <is>
          <t>000008</t>
        </is>
      </c>
      <c r="J132" s="15">
        <f>_xlfn.XLOOKUP(orderbook[[#This Row],[MATL_NO]],Table29[TSL Material Code3],Table29[Key])</f>
        <v/>
      </c>
      <c r="K132" s="15" t="n">
        <v>3910001</v>
      </c>
      <c r="L132" s="15" t="inlineStr">
        <is>
          <t>TUB-O-N-AUT-AW-FC-57.15X2.500X6.1000</t>
        </is>
      </c>
      <c r="M132" s="477" t="inlineStr">
        <is>
          <t>ERW</t>
        </is>
      </c>
      <c r="N132" s="15" t="inlineStr">
        <is>
          <t>AUT</t>
        </is>
      </c>
      <c r="O132" s="15" t="inlineStr">
        <is>
          <t>054</t>
        </is>
      </c>
      <c r="P132" s="15" t="inlineStr">
        <is>
          <t>AW</t>
        </is>
      </c>
      <c r="Q132" s="478" t="n">
        <v>57.15</v>
      </c>
      <c r="R132" s="478" t="n">
        <v>0</v>
      </c>
      <c r="S132" s="478" t="n">
        <v>2.5</v>
      </c>
      <c r="T132" s="479" t="n">
        <v>6.100000000000001</v>
      </c>
      <c r="U132" s="15" t="inlineStr">
        <is>
          <t>O</t>
        </is>
      </c>
      <c r="V132" s="15" t="inlineStr">
        <is>
          <t>O</t>
        </is>
      </c>
      <c r="W132" s="15" t="n">
        <v>73000</v>
      </c>
      <c r="X132" s="15" t="inlineStr">
        <is>
          <t>KG</t>
        </is>
      </c>
      <c r="Y132" s="492" t="n">
        <v>42.638</v>
      </c>
      <c r="AB132" s="162" t="n"/>
      <c r="AC132" s="174" t="n"/>
    </row>
    <row r="133">
      <c r="A133" s="91" t="inlineStr">
        <is>
          <t>056</t>
        </is>
      </c>
      <c r="B133" s="15" t="inlineStr">
        <is>
          <t>0000943209</t>
        </is>
      </c>
      <c r="C133" s="15" t="inlineStr">
        <is>
          <t>SOUTH</t>
        </is>
      </c>
      <c r="D133" s="15" t="inlineStr">
        <is>
          <t>MEGH STEELS PRIVATE LIMITED - TVS A</t>
        </is>
      </c>
      <c r="E133" s="15" t="inlineStr">
        <is>
          <t>HOSUR</t>
        </is>
      </c>
      <c r="F133" s="15" t="inlineStr">
        <is>
          <t>0000943209</t>
        </is>
      </c>
      <c r="G133" s="15" t="n">
        <v>54</v>
      </c>
      <c r="H133" s="15" t="inlineStr">
        <is>
          <t>9518955635</t>
        </is>
      </c>
      <c r="I133" s="15" t="inlineStr">
        <is>
          <t>000007</t>
        </is>
      </c>
      <c r="J133" s="15">
        <f>_xlfn.XLOOKUP(orderbook[[#This Row],[MATL_NO]],Table29[TSL Material Code3],Table29[Key])</f>
        <v/>
      </c>
      <c r="K133" s="15" t="n">
        <v>3907863</v>
      </c>
      <c r="L133" s="15" t="inlineStr">
        <is>
          <t>TUB-O-N-AUT-AW-FC-57.15X2.500X5.7110</t>
        </is>
      </c>
      <c r="M133" s="477" t="inlineStr">
        <is>
          <t>ERW</t>
        </is>
      </c>
      <c r="N133" s="15" t="inlineStr">
        <is>
          <t>AUT</t>
        </is>
      </c>
      <c r="O133" s="15" t="inlineStr">
        <is>
          <t>054</t>
        </is>
      </c>
      <c r="P133" s="15" t="inlineStr">
        <is>
          <t>AW</t>
        </is>
      </c>
      <c r="Q133" s="478" t="n">
        <v>57.15</v>
      </c>
      <c r="R133" s="478" t="n">
        <v>0</v>
      </c>
      <c r="S133" s="478" t="n">
        <v>2.5</v>
      </c>
      <c r="T133" s="479" t="n">
        <v>5.711</v>
      </c>
      <c r="U133" s="15" t="inlineStr">
        <is>
          <t>O</t>
        </is>
      </c>
      <c r="V133" s="15" t="inlineStr">
        <is>
          <t>O</t>
        </is>
      </c>
      <c r="W133" s="15" t="n">
        <v>71000</v>
      </c>
      <c r="X133" s="15" t="inlineStr">
        <is>
          <t>KG</t>
        </is>
      </c>
      <c r="Y133" s="492" t="n">
        <v>35.92899999999999</v>
      </c>
      <c r="AB133" s="162" t="n"/>
      <c r="AC133" s="174" t="n"/>
    </row>
    <row r="134">
      <c r="A134" s="91" t="inlineStr">
        <is>
          <t>056</t>
        </is>
      </c>
      <c r="B134" s="15" t="inlineStr">
        <is>
          <t>0000943209</t>
        </is>
      </c>
      <c r="C134" s="15" t="inlineStr">
        <is>
          <t>SOUTH</t>
        </is>
      </c>
      <c r="D134" s="15" t="inlineStr">
        <is>
          <t>MEGH STEELS PRIVATE LIMITED - TVS A</t>
        </is>
      </c>
      <c r="E134" s="15" t="inlineStr">
        <is>
          <t>HOSUR</t>
        </is>
      </c>
      <c r="F134" s="15" t="inlineStr">
        <is>
          <t>0000943209</t>
        </is>
      </c>
      <c r="G134" s="15" t="n">
        <v>79</v>
      </c>
      <c r="H134" s="15" t="inlineStr">
        <is>
          <t>9518879623</t>
        </is>
      </c>
      <c r="I134" s="15" t="inlineStr">
        <is>
          <t>000011</t>
        </is>
      </c>
      <c r="J134" s="15" t="inlineStr">
        <is>
          <t>57.152.55.75ERWFIN CUT</t>
        </is>
      </c>
      <c r="K134" s="15" t="n">
        <v>4045220</v>
      </c>
      <c r="L134" s="15" t="inlineStr">
        <is>
          <t>TUB-O-N-AUT-AW-FC-57.15X2.500X5.9500</t>
        </is>
      </c>
      <c r="M134" s="477" t="inlineStr">
        <is>
          <t>ERW</t>
        </is>
      </c>
      <c r="N134" s="15" t="inlineStr">
        <is>
          <t>AUT</t>
        </is>
      </c>
      <c r="O134" s="15" t="inlineStr">
        <is>
          <t>054</t>
        </is>
      </c>
      <c r="P134" s="15" t="inlineStr">
        <is>
          <t>AW</t>
        </is>
      </c>
      <c r="Q134" s="478" t="n">
        <v>57.15</v>
      </c>
      <c r="R134" s="478" t="n">
        <v>0</v>
      </c>
      <c r="S134" s="478" t="n">
        <v>2.5</v>
      </c>
      <c r="T134" s="479" t="n">
        <v>5.95</v>
      </c>
      <c r="U134" s="15" t="inlineStr">
        <is>
          <t>O</t>
        </is>
      </c>
      <c r="V134" s="15" t="inlineStr">
        <is>
          <t>O</t>
        </is>
      </c>
      <c r="W134" s="15" t="n">
        <v>20000</v>
      </c>
      <c r="X134" s="15" t="inlineStr">
        <is>
          <t>KG</t>
        </is>
      </c>
      <c r="Y134" s="492" t="n">
        <v>10.321</v>
      </c>
      <c r="AB134" s="162" t="n"/>
      <c r="AC134" s="174" t="n"/>
    </row>
    <row r="135">
      <c r="A135" s="91" t="inlineStr">
        <is>
          <t>056</t>
        </is>
      </c>
      <c r="B135" s="15" t="inlineStr">
        <is>
          <t>0000943209</t>
        </is>
      </c>
      <c r="C135" s="15" t="inlineStr">
        <is>
          <t>SOUTH</t>
        </is>
      </c>
      <c r="D135" s="15" t="inlineStr">
        <is>
          <t>MEGH STEELS PRIVATE LIMITED - TVS A</t>
        </is>
      </c>
      <c r="E135" s="15" t="inlineStr">
        <is>
          <t>HOSUR</t>
        </is>
      </c>
      <c r="F135" s="15" t="inlineStr">
        <is>
          <t>0000943209</t>
        </is>
      </c>
      <c r="G135" s="15" t="n">
        <v>27</v>
      </c>
      <c r="H135" s="15" t="inlineStr">
        <is>
          <t>9519030855</t>
        </is>
      </c>
      <c r="I135" s="15" t="inlineStr">
        <is>
          <t>000005</t>
        </is>
      </c>
      <c r="J135" s="15" t="inlineStr">
        <is>
          <t>57.152.55.75ERWFIN CUT</t>
        </is>
      </c>
      <c r="K135" s="15" t="n">
        <v>3501047</v>
      </c>
      <c r="L135" s="15" t="inlineStr">
        <is>
          <t>TUB-O-N-AUT-AW-FC-57.15X2.50X5.750-ERW 1</t>
        </is>
      </c>
      <c r="M135" s="477" t="inlineStr">
        <is>
          <t>ERW</t>
        </is>
      </c>
      <c r="N135" s="15" t="inlineStr">
        <is>
          <t>AUT</t>
        </is>
      </c>
      <c r="O135" s="15" t="inlineStr">
        <is>
          <t>054</t>
        </is>
      </c>
      <c r="P135" s="15" t="inlineStr">
        <is>
          <t>AW</t>
        </is>
      </c>
      <c r="Q135" s="478" t="n">
        <v>57.15</v>
      </c>
      <c r="R135" s="478" t="n">
        <v>0</v>
      </c>
      <c r="S135" s="478" t="n">
        <v>2.5</v>
      </c>
      <c r="T135" s="479" t="n">
        <v>5.75</v>
      </c>
      <c r="U135" s="15" t="inlineStr">
        <is>
          <t>O</t>
        </is>
      </c>
      <c r="V135" s="15" t="inlineStr">
        <is>
          <t>O</t>
        </is>
      </c>
      <c r="W135" s="15" t="n">
        <v>22500</v>
      </c>
      <c r="X135" s="15" t="inlineStr">
        <is>
          <t>KG</t>
        </is>
      </c>
      <c r="Y135" s="492" t="n">
        <v>22.5</v>
      </c>
      <c r="AB135" s="162" t="n"/>
      <c r="AC135" s="174" t="n"/>
    </row>
    <row r="136">
      <c r="A136" s="91" t="inlineStr">
        <is>
          <t>056</t>
        </is>
      </c>
      <c r="B136" s="15" t="inlineStr">
        <is>
          <t>0000943209</t>
        </is>
      </c>
      <c r="C136" s="15" t="inlineStr">
        <is>
          <t>SOUTH</t>
        </is>
      </c>
      <c r="D136" s="15" t="inlineStr">
        <is>
          <t>MEGH STEELS PRIVATE LIMITED - TVS A</t>
        </is>
      </c>
      <c r="E136" s="15" t="inlineStr">
        <is>
          <t>HOSUR</t>
        </is>
      </c>
      <c r="F136" s="15" t="inlineStr">
        <is>
          <t>0000943209</t>
        </is>
      </c>
      <c r="G136" s="15" t="n">
        <v>19</v>
      </c>
      <c r="H136" s="15" t="inlineStr">
        <is>
          <t>9519038725</t>
        </is>
      </c>
      <c r="I136" s="15" t="inlineStr">
        <is>
          <t>000009</t>
        </is>
      </c>
      <c r="J136" s="15">
        <f>_xlfn.XLOOKUP(orderbook[[#This Row],[MATL_NO]],Table29[TSL Material Code3],Table29[Key])</f>
        <v/>
      </c>
      <c r="K136" s="15" t="n">
        <v>3910001</v>
      </c>
      <c r="L136" s="15" t="inlineStr">
        <is>
          <t>TUB-O-N-AUT-AW-FC-57.15X2.500X6.1000</t>
        </is>
      </c>
      <c r="M136" s="477" t="inlineStr">
        <is>
          <t>ERW</t>
        </is>
      </c>
      <c r="N136" s="15" t="inlineStr">
        <is>
          <t>AUT</t>
        </is>
      </c>
      <c r="O136" s="15" t="inlineStr">
        <is>
          <t>054</t>
        </is>
      </c>
      <c r="P136" s="15" t="inlineStr">
        <is>
          <t>AW</t>
        </is>
      </c>
      <c r="Q136" s="478" t="n">
        <v>57.15</v>
      </c>
      <c r="R136" s="478" t="n">
        <v>0</v>
      </c>
      <c r="S136" s="478" t="n">
        <v>2.5</v>
      </c>
      <c r="T136" s="479" t="n">
        <v>6.100000000000001</v>
      </c>
      <c r="U136" s="15" t="inlineStr">
        <is>
          <t>O</t>
        </is>
      </c>
      <c r="V136" s="15" t="inlineStr">
        <is>
          <t>O</t>
        </is>
      </c>
      <c r="W136" s="15" t="n">
        <v>30000</v>
      </c>
      <c r="X136" s="15" t="inlineStr">
        <is>
          <t>KG</t>
        </is>
      </c>
      <c r="Y136" s="492" t="n">
        <v>30</v>
      </c>
      <c r="AB136" s="162" t="n"/>
      <c r="AC136" s="174" t="n"/>
    </row>
    <row r="137">
      <c r="A137" s="91" t="inlineStr">
        <is>
          <t>056</t>
        </is>
      </c>
      <c r="B137" s="15" t="inlineStr">
        <is>
          <t>0000943209</t>
        </is>
      </c>
      <c r="C137" s="15" t="inlineStr">
        <is>
          <t>SOUTH</t>
        </is>
      </c>
      <c r="D137" s="15" t="inlineStr">
        <is>
          <t>MEGH STEELS PRIVATE LIMITED - TVS A</t>
        </is>
      </c>
      <c r="E137" s="15" t="inlineStr">
        <is>
          <t>HOSUR</t>
        </is>
      </c>
      <c r="F137" s="15" t="inlineStr">
        <is>
          <t>0000943209</t>
        </is>
      </c>
      <c r="G137" s="15" t="n">
        <v>19</v>
      </c>
      <c r="H137" s="15" t="inlineStr">
        <is>
          <t>9519038725</t>
        </is>
      </c>
      <c r="I137" s="15" t="inlineStr">
        <is>
          <t>000007</t>
        </is>
      </c>
      <c r="J137" s="15" t="inlineStr">
        <is>
          <t>57.152.55.75ERWFIN CUT</t>
        </is>
      </c>
      <c r="K137" s="15" t="n">
        <v>3501047</v>
      </c>
      <c r="L137" s="15" t="inlineStr">
        <is>
          <t>TUB-O-N-AUT-AW-FC-57.15X2.50X5.750-ERW 1</t>
        </is>
      </c>
      <c r="M137" s="477" t="inlineStr">
        <is>
          <t>ERW</t>
        </is>
      </c>
      <c r="N137" s="15" t="inlineStr">
        <is>
          <t>AUT</t>
        </is>
      </c>
      <c r="O137" s="15" t="inlineStr">
        <is>
          <t>054</t>
        </is>
      </c>
      <c r="P137" s="15" t="inlineStr">
        <is>
          <t>AW</t>
        </is>
      </c>
      <c r="Q137" s="478" t="n">
        <v>57.15</v>
      </c>
      <c r="R137" s="478" t="n">
        <v>0</v>
      </c>
      <c r="S137" s="478" t="n">
        <v>2.5</v>
      </c>
      <c r="T137" s="479" t="n">
        <v>5.75</v>
      </c>
      <c r="U137" s="15" t="inlineStr">
        <is>
          <t>O</t>
        </is>
      </c>
      <c r="V137" s="15" t="inlineStr">
        <is>
          <t>O</t>
        </is>
      </c>
      <c r="W137" s="15" t="n">
        <v>30000</v>
      </c>
      <c r="X137" s="15" t="inlineStr">
        <is>
          <t>KG</t>
        </is>
      </c>
      <c r="Y137" s="492" t="n">
        <v>30</v>
      </c>
      <c r="AB137" s="162" t="n"/>
      <c r="AC137" s="174" t="n"/>
    </row>
    <row r="138">
      <c r="A138" s="91" t="inlineStr">
        <is>
          <t>056</t>
        </is>
      </c>
      <c r="B138" s="15" t="inlineStr">
        <is>
          <t>0000943209</t>
        </is>
      </c>
      <c r="C138" s="15" t="inlineStr">
        <is>
          <t>SOUTH</t>
        </is>
      </c>
      <c r="D138" s="15" t="inlineStr">
        <is>
          <t>MEGH STEELS PRIVATE LIMITED - TVS A</t>
        </is>
      </c>
      <c r="E138" s="15" t="inlineStr">
        <is>
          <t>HOSUR</t>
        </is>
      </c>
      <c r="F138" s="15" t="inlineStr">
        <is>
          <t>0000943209</t>
        </is>
      </c>
      <c r="G138" s="15" t="n">
        <v>41</v>
      </c>
      <c r="H138" s="15" t="inlineStr">
        <is>
          <t>9518997184</t>
        </is>
      </c>
      <c r="I138" s="15" t="inlineStr">
        <is>
          <t>000010</t>
        </is>
      </c>
      <c r="J138" s="15">
        <f>_xlfn.XLOOKUP(orderbook[[#This Row],[MATL_NO]],Table29[TSL Material Code3],Table29[Key])</f>
        <v/>
      </c>
      <c r="K138" s="15" t="n">
        <v>3910001</v>
      </c>
      <c r="L138" s="15" t="inlineStr">
        <is>
          <t>TUB-O-N-AUT-AW-FC-57.15X2.500X6.1000</t>
        </is>
      </c>
      <c r="M138" s="477" t="inlineStr">
        <is>
          <t>ERW</t>
        </is>
      </c>
      <c r="N138" s="15" t="inlineStr">
        <is>
          <t>AUT</t>
        </is>
      </c>
      <c r="O138" s="15" t="inlineStr">
        <is>
          <t>054</t>
        </is>
      </c>
      <c r="P138" s="15" t="inlineStr">
        <is>
          <t>AW</t>
        </is>
      </c>
      <c r="Q138" s="478" t="n">
        <v>57.15</v>
      </c>
      <c r="R138" s="478" t="n">
        <v>0</v>
      </c>
      <c r="S138" s="478" t="n">
        <v>2.5</v>
      </c>
      <c r="T138" s="479" t="n">
        <v>6.100000000000001</v>
      </c>
      <c r="U138" s="15" t="inlineStr">
        <is>
          <t>O</t>
        </is>
      </c>
      <c r="V138" s="15" t="inlineStr">
        <is>
          <t>O</t>
        </is>
      </c>
      <c r="W138" s="15" t="n">
        <v>73000</v>
      </c>
      <c r="X138" s="15" t="inlineStr">
        <is>
          <t>KG</t>
        </is>
      </c>
      <c r="Y138" s="492" t="n">
        <v>73</v>
      </c>
      <c r="AB138" s="162" t="n"/>
      <c r="AC138" s="174" t="n"/>
    </row>
    <row r="139">
      <c r="A139" s="91" t="inlineStr">
        <is>
          <t>056</t>
        </is>
      </c>
      <c r="B139" s="15" t="inlineStr">
        <is>
          <t>0000943209</t>
        </is>
      </c>
      <c r="C139" s="15" t="inlineStr">
        <is>
          <t>SOUTH</t>
        </is>
      </c>
      <c r="D139" s="15" t="inlineStr">
        <is>
          <t>MEGH STEELS PRIVATE LIMITED - TVS A</t>
        </is>
      </c>
      <c r="E139" s="15" t="inlineStr">
        <is>
          <t>HOSUR</t>
        </is>
      </c>
      <c r="F139" s="15" t="inlineStr">
        <is>
          <t>0000943209</t>
        </is>
      </c>
      <c r="G139" s="15" t="n">
        <v>19</v>
      </c>
      <c r="H139" s="15" t="inlineStr">
        <is>
          <t>9519038725</t>
        </is>
      </c>
      <c r="I139" s="15" t="inlineStr">
        <is>
          <t>000008</t>
        </is>
      </c>
      <c r="J139" s="15">
        <f>_xlfn.XLOOKUP(orderbook[[#This Row],[MATL_NO]],Table29[TSL Material Code3],Table29[Key])</f>
        <v/>
      </c>
      <c r="K139" s="15" t="n">
        <v>3910001</v>
      </c>
      <c r="L139" s="15" t="inlineStr">
        <is>
          <t>TUB-O-N-AUT-AW-FC-57.15X2.500X6.1000</t>
        </is>
      </c>
      <c r="M139" s="477" t="inlineStr">
        <is>
          <t>ERW</t>
        </is>
      </c>
      <c r="N139" s="15" t="inlineStr">
        <is>
          <t>AUT</t>
        </is>
      </c>
      <c r="O139" s="15" t="inlineStr">
        <is>
          <t>054</t>
        </is>
      </c>
      <c r="P139" s="15" t="inlineStr">
        <is>
          <t>AW</t>
        </is>
      </c>
      <c r="Q139" s="478" t="n">
        <v>57.15</v>
      </c>
      <c r="R139" s="478" t="n">
        <v>0</v>
      </c>
      <c r="S139" s="478" t="n">
        <v>2.5</v>
      </c>
      <c r="T139" s="479" t="n">
        <v>6.100000000000001</v>
      </c>
      <c r="U139" s="15" t="inlineStr">
        <is>
          <t>O</t>
        </is>
      </c>
      <c r="V139" s="15" t="inlineStr">
        <is>
          <t>O</t>
        </is>
      </c>
      <c r="W139" s="15" t="n">
        <v>30000</v>
      </c>
      <c r="X139" s="15" t="inlineStr">
        <is>
          <t>KG</t>
        </is>
      </c>
      <c r="Y139" s="492" t="n">
        <v>30</v>
      </c>
      <c r="AB139" s="162" t="n"/>
      <c r="AC139" s="174" t="n"/>
    </row>
    <row r="140">
      <c r="A140" s="91" t="inlineStr">
        <is>
          <t>056</t>
        </is>
      </c>
      <c r="B140" s="15" t="inlineStr">
        <is>
          <t>0000943209</t>
        </is>
      </c>
      <c r="C140" s="15" t="inlineStr">
        <is>
          <t>SOUTH</t>
        </is>
      </c>
      <c r="D140" s="15" t="inlineStr">
        <is>
          <t>MEGH STEELS PRIVATE LIMITED - TVS A</t>
        </is>
      </c>
      <c r="E140" s="15" t="inlineStr">
        <is>
          <t>HOSUR</t>
        </is>
      </c>
      <c r="F140" s="15" t="inlineStr">
        <is>
          <t>0000943209</t>
        </is>
      </c>
      <c r="G140" s="15" t="n">
        <v>19</v>
      </c>
      <c r="H140" s="15" t="inlineStr">
        <is>
          <t>9519038725</t>
        </is>
      </c>
      <c r="I140" s="15" t="inlineStr">
        <is>
          <t>000006</t>
        </is>
      </c>
      <c r="J140" s="15">
        <f>_xlfn.XLOOKUP(orderbook[[#This Row],[MATL_NO]],Table29[TSL Material Code3],Table29[Key])</f>
        <v/>
      </c>
      <c r="K140" s="15" t="n">
        <v>3907863</v>
      </c>
      <c r="L140" s="15" t="inlineStr">
        <is>
          <t>TUB-O-N-AUT-AW-FC-57.15X2.500X5.7110</t>
        </is>
      </c>
      <c r="M140" s="477" t="inlineStr">
        <is>
          <t>ERW</t>
        </is>
      </c>
      <c r="N140" s="15" t="inlineStr">
        <is>
          <t>AUT</t>
        </is>
      </c>
      <c r="O140" s="15" t="inlineStr">
        <is>
          <t>054</t>
        </is>
      </c>
      <c r="P140" s="15" t="inlineStr">
        <is>
          <t>AW</t>
        </is>
      </c>
      <c r="Q140" s="478" t="n">
        <v>57.15</v>
      </c>
      <c r="R140" s="478" t="n">
        <v>0</v>
      </c>
      <c r="S140" s="478" t="n">
        <v>2.5</v>
      </c>
      <c r="T140" s="479" t="n">
        <v>5.711</v>
      </c>
      <c r="U140" s="15" t="inlineStr">
        <is>
          <t>O</t>
        </is>
      </c>
      <c r="V140" s="15" t="inlineStr">
        <is>
          <t>O</t>
        </is>
      </c>
      <c r="W140" s="15" t="n">
        <v>30000</v>
      </c>
      <c r="X140" s="15" t="inlineStr">
        <is>
          <t>KG</t>
        </is>
      </c>
      <c r="Y140" s="492" t="n">
        <v>30</v>
      </c>
      <c r="AB140" s="162" t="n"/>
      <c r="AC140" s="174" t="n"/>
    </row>
    <row r="141">
      <c r="A141" s="91" t="inlineStr">
        <is>
          <t>056</t>
        </is>
      </c>
      <c r="B141" s="15" t="inlineStr">
        <is>
          <t>0000943209</t>
        </is>
      </c>
      <c r="C141" s="15" t="inlineStr">
        <is>
          <t>SOUTH</t>
        </is>
      </c>
      <c r="D141" s="15" t="inlineStr">
        <is>
          <t>MEGH STEELS PRIVATE LIMITED - TVS A</t>
        </is>
      </c>
      <c r="E141" s="15" t="inlineStr">
        <is>
          <t>HOSUR</t>
        </is>
      </c>
      <c r="F141" s="15" t="inlineStr">
        <is>
          <t>0000943209</t>
        </is>
      </c>
      <c r="G141" s="15" t="n">
        <v>41</v>
      </c>
      <c r="H141" s="15" t="inlineStr">
        <is>
          <t>9518997184</t>
        </is>
      </c>
      <c r="I141" s="15" t="inlineStr">
        <is>
          <t>000009</t>
        </is>
      </c>
      <c r="J141" s="15">
        <f>_xlfn.XLOOKUP(orderbook[[#This Row],[MATL_NO]],Table29[TSL Material Code3],Table29[Key])</f>
        <v/>
      </c>
      <c r="K141" s="15" t="n">
        <v>3907863</v>
      </c>
      <c r="L141" s="15" t="inlineStr">
        <is>
          <t>TUB-O-N-AUT-AW-FC-57.15X2.500X5.7110</t>
        </is>
      </c>
      <c r="M141" s="477" t="inlineStr">
        <is>
          <t>ERW</t>
        </is>
      </c>
      <c r="N141" s="15" t="inlineStr">
        <is>
          <t>AUT</t>
        </is>
      </c>
      <c r="O141" s="15" t="inlineStr">
        <is>
          <t>054</t>
        </is>
      </c>
      <c r="P141" s="15" t="inlineStr">
        <is>
          <t>AW</t>
        </is>
      </c>
      <c r="Q141" s="478" t="n">
        <v>57.15</v>
      </c>
      <c r="R141" s="478" t="n">
        <v>0</v>
      </c>
      <c r="S141" s="478" t="n">
        <v>2.5</v>
      </c>
      <c r="T141" s="479" t="n">
        <v>5.711</v>
      </c>
      <c r="U141" s="15" t="inlineStr">
        <is>
          <t>O</t>
        </is>
      </c>
      <c r="V141" s="15" t="inlineStr">
        <is>
          <t>O</t>
        </is>
      </c>
      <c r="W141" s="15" t="n">
        <v>71000</v>
      </c>
      <c r="X141" s="15" t="inlineStr">
        <is>
          <t>KG</t>
        </is>
      </c>
      <c r="Y141" s="492" t="n">
        <v>71</v>
      </c>
      <c r="AB141" s="162" t="n"/>
      <c r="AC141" s="174" t="n"/>
    </row>
    <row r="142">
      <c r="A142" s="418" t="inlineStr">
        <is>
          <t>056</t>
        </is>
      </c>
      <c r="B142" s="423" t="inlineStr">
        <is>
          <t>0000943209</t>
        </is>
      </c>
      <c r="C142" s="423" t="inlineStr">
        <is>
          <t>SOUTH</t>
        </is>
      </c>
      <c r="D142" s="423" t="inlineStr">
        <is>
          <t>MEGH STEELS PRIVATE LIMITED - TVS A</t>
        </is>
      </c>
      <c r="E142" s="423" t="inlineStr">
        <is>
          <t>HOSUR</t>
        </is>
      </c>
      <c r="F142" s="423" t="inlineStr">
        <is>
          <t>0000943209</t>
        </is>
      </c>
      <c r="G142" s="423" t="n">
        <v>79</v>
      </c>
      <c r="H142" s="423" t="inlineStr">
        <is>
          <t>9518879623</t>
        </is>
      </c>
      <c r="I142" s="423" t="inlineStr">
        <is>
          <t>000010</t>
        </is>
      </c>
      <c r="J142" s="15">
        <f>_xlfn.XLOOKUP(orderbook[[#This Row],[MATL_NO]],Table29[TSL Material Code3],Table29[Key])</f>
        <v/>
      </c>
      <c r="K142" s="423" t="n">
        <v>3907863</v>
      </c>
      <c r="L142" s="423" t="inlineStr">
        <is>
          <t>TUB-O-N-AUT-AW-FC-57.15X2.500X5.7110</t>
        </is>
      </c>
      <c r="M142" s="496" t="inlineStr">
        <is>
          <t>ERW</t>
        </is>
      </c>
      <c r="N142" s="423" t="inlineStr">
        <is>
          <t>AUT</t>
        </is>
      </c>
      <c r="O142" s="423" t="inlineStr">
        <is>
          <t>054</t>
        </is>
      </c>
      <c r="P142" s="423" t="inlineStr">
        <is>
          <t>AW</t>
        </is>
      </c>
      <c r="Q142" s="497" t="n">
        <v>57.15</v>
      </c>
      <c r="R142" s="497" t="n">
        <v>0</v>
      </c>
      <c r="S142" s="497" t="n">
        <v>2.5</v>
      </c>
      <c r="T142" s="498" t="n">
        <v>5.711</v>
      </c>
      <c r="U142" s="423" t="inlineStr">
        <is>
          <t>O</t>
        </is>
      </c>
      <c r="V142" s="423" t="inlineStr">
        <is>
          <t>O</t>
        </is>
      </c>
      <c r="W142" s="423" t="n">
        <v>20000</v>
      </c>
      <c r="X142" s="423" t="inlineStr">
        <is>
          <t>KG</t>
        </is>
      </c>
      <c r="Y142" s="499" t="n">
        <v>1.215</v>
      </c>
      <c r="AB142" s="162" t="n"/>
      <c r="AC142" s="174" t="n"/>
    </row>
    <row r="144" ht="51" customHeight="1" s="584">
      <c r="A144" s="502" t="inlineStr">
        <is>
          <t>plant2</t>
        </is>
      </c>
      <c r="B144" s="502" t="inlineStr">
        <is>
          <t>OEM</t>
        </is>
      </c>
      <c r="C144" s="503" t="inlineStr">
        <is>
          <t>Customer Code</t>
        </is>
      </c>
      <c r="D144" s="502" t="inlineStr">
        <is>
          <t>OD</t>
        </is>
      </c>
      <c r="E144" s="504" t="inlineStr">
        <is>
          <t>ID</t>
        </is>
      </c>
      <c r="F144" s="502" t="inlineStr">
        <is>
          <t>THK</t>
        </is>
      </c>
      <c r="G144" s="502" t="inlineStr">
        <is>
          <t>LENGTH</t>
        </is>
      </c>
      <c r="H144" s="502" t="inlineStr">
        <is>
          <t>Length in Mtrs</t>
        </is>
      </c>
      <c r="I144" s="502" t="inlineStr">
        <is>
          <t>TSL Material Code3</t>
        </is>
      </c>
      <c r="J144" s="502" t="inlineStr">
        <is>
          <t xml:space="preserve"> INDENT  FOR Oct-25 recommended</t>
        </is>
      </c>
      <c r="K144" s="619" t="inlineStr">
        <is>
          <t>Metallurgy condition</t>
        </is>
      </c>
      <c r="L144" s="506" t="inlineStr">
        <is>
          <t>Material Type</t>
        </is>
      </c>
      <c r="M144" s="502" t="inlineStr">
        <is>
          <t>Material Description3</t>
        </is>
      </c>
      <c r="N144" s="502" t="inlineStr">
        <is>
          <t>SO</t>
        </is>
      </c>
      <c r="O144" s="502" t="inlineStr">
        <is>
          <t>STATUS</t>
        </is>
      </c>
    </row>
    <row r="145">
      <c r="A145" s="198" t="inlineStr">
        <is>
          <t>0789</t>
        </is>
      </c>
      <c r="B145" t="inlineStr">
        <is>
          <t>TVS</t>
        </is>
      </c>
      <c r="C145" t="n">
        <v>943209</v>
      </c>
      <c r="D145" t="n">
        <v>19.05</v>
      </c>
      <c r="E145" t="n">
        <v>0</v>
      </c>
      <c r="F145" t="n">
        <v>2</v>
      </c>
      <c r="G145" t="n">
        <v>5800</v>
      </c>
      <c r="H145" t="n">
        <v>5.8</v>
      </c>
      <c r="I145" t="n">
        <v>3212868</v>
      </c>
      <c r="J145" t="n">
        <v>5.5</v>
      </c>
      <c r="K145" t="inlineStr">
        <is>
          <t>ERW1</t>
        </is>
      </c>
      <c r="L145" t="inlineStr">
        <is>
          <t>NON FIN</t>
        </is>
      </c>
      <c r="M145" s="198">
        <f>VLOOKUP(Table31[[#This Row],[TSL Material Code3]],#REF!,2,0)</f>
        <v/>
      </c>
      <c r="N145" s="198" t="n">
        <v>9519138007</v>
      </c>
      <c r="O145" s="198" t="n"/>
    </row>
    <row r="146">
      <c r="A146" s="198" t="inlineStr">
        <is>
          <t>056</t>
        </is>
      </c>
      <c r="B146" t="inlineStr">
        <is>
          <t>TVS</t>
        </is>
      </c>
      <c r="C146" t="n">
        <v>943209</v>
      </c>
      <c r="D146" t="n">
        <v>22.2</v>
      </c>
      <c r="E146" t="n">
        <v>0</v>
      </c>
      <c r="F146" t="n">
        <v>1.2</v>
      </c>
      <c r="G146" t="n">
        <v>5870</v>
      </c>
      <c r="H146" t="n">
        <v>5.87</v>
      </c>
      <c r="I146" t="n">
        <v>3882110</v>
      </c>
      <c r="J146" t="n">
        <v>6</v>
      </c>
      <c r="K146" t="inlineStr">
        <is>
          <t>ERW1</t>
        </is>
      </c>
      <c r="L146" t="inlineStr">
        <is>
          <t>NON FIN</t>
        </is>
      </c>
      <c r="M146" s="198">
        <f>VLOOKUP(Table31[[#This Row],[TSL Material Code3]],#REF!,2,0)</f>
        <v/>
      </c>
      <c r="N146" s="198" t="n">
        <v>9519133131</v>
      </c>
      <c r="O146" s="198" t="n"/>
    </row>
    <row r="147">
      <c r="A147" s="198" t="inlineStr">
        <is>
          <t>0789</t>
        </is>
      </c>
      <c r="B147" t="inlineStr">
        <is>
          <t>TVS</t>
        </is>
      </c>
      <c r="C147" t="n">
        <v>943209</v>
      </c>
      <c r="D147" t="n">
        <v>22.2</v>
      </c>
      <c r="E147" t="n">
        <v>0</v>
      </c>
      <c r="F147" t="n">
        <v>1.6</v>
      </c>
      <c r="G147" t="n">
        <v>5670</v>
      </c>
      <c r="H147" t="n">
        <v>5.67</v>
      </c>
      <c r="I147" t="n">
        <v>4055022</v>
      </c>
      <c r="J147" t="n">
        <v>35</v>
      </c>
      <c r="K147" t="inlineStr">
        <is>
          <t>ERW1</t>
        </is>
      </c>
      <c r="L147" t="inlineStr">
        <is>
          <t>NON FIN</t>
        </is>
      </c>
      <c r="M147" s="198">
        <f>VLOOKUP(Table31[[#This Row],[TSL Material Code3]],#REF!,2,0)</f>
        <v/>
      </c>
      <c r="N147" s="198" t="n">
        <v>9519138007</v>
      </c>
      <c r="O147" s="198" t="n"/>
    </row>
    <row r="148">
      <c r="A148" s="198" t="inlineStr">
        <is>
          <t>056</t>
        </is>
      </c>
      <c r="B148" t="inlineStr">
        <is>
          <t>TVS</t>
        </is>
      </c>
      <c r="C148" t="n">
        <v>943209</v>
      </c>
      <c r="D148" t="n">
        <v>22.2</v>
      </c>
      <c r="E148" t="n">
        <v>0</v>
      </c>
      <c r="F148" t="n">
        <v>2</v>
      </c>
      <c r="G148" t="n">
        <v>5100</v>
      </c>
      <c r="H148" t="n">
        <v>5.1</v>
      </c>
      <c r="I148" t="n">
        <v>3500554</v>
      </c>
      <c r="J148" t="n">
        <v>7</v>
      </c>
      <c r="K148" t="inlineStr">
        <is>
          <t>ERW1</t>
        </is>
      </c>
      <c r="L148" t="inlineStr">
        <is>
          <t>NON FIN</t>
        </is>
      </c>
      <c r="M148" s="198">
        <f>VLOOKUP(Table31[[#This Row],[TSL Material Code3]],#REF!,2,0)</f>
        <v/>
      </c>
      <c r="N148" s="198" t="n">
        <v>9519133131</v>
      </c>
      <c r="O148" s="198" t="n"/>
    </row>
    <row r="149">
      <c r="A149" s="198" t="inlineStr">
        <is>
          <t>056</t>
        </is>
      </c>
      <c r="B149" t="inlineStr">
        <is>
          <t>HMSI</t>
        </is>
      </c>
      <c r="C149" t="n">
        <v>943210</v>
      </c>
      <c r="D149" t="n">
        <v>25.4</v>
      </c>
      <c r="E149" t="n">
        <v>0</v>
      </c>
      <c r="F149" t="n">
        <v>1.4</v>
      </c>
      <c r="G149" t="n">
        <v>5531</v>
      </c>
      <c r="H149" t="n">
        <v>5.531</v>
      </c>
      <c r="I149" t="n">
        <v>3501900</v>
      </c>
      <c r="J149" t="n">
        <v>16</v>
      </c>
      <c r="K149" t="inlineStr">
        <is>
          <t>ERW2</t>
        </is>
      </c>
      <c r="L149" t="inlineStr">
        <is>
          <t>FIN CUT</t>
        </is>
      </c>
      <c r="M149" s="198">
        <f>VLOOKUP(Table31[[#This Row],[TSL Material Code3]],#REF!,2,0)</f>
        <v/>
      </c>
      <c r="N149" s="198" t="n">
        <v>9519133240</v>
      </c>
      <c r="O149" s="198" t="n"/>
    </row>
    <row r="150">
      <c r="A150" s="198" t="inlineStr">
        <is>
          <t>056</t>
        </is>
      </c>
      <c r="B150" t="inlineStr">
        <is>
          <t>TVS</t>
        </is>
      </c>
      <c r="C150" t="n">
        <v>943209</v>
      </c>
      <c r="D150" t="n">
        <v>25.4</v>
      </c>
      <c r="E150" t="n">
        <v>0</v>
      </c>
      <c r="F150" t="n">
        <v>2</v>
      </c>
      <c r="G150" t="n">
        <v>5840</v>
      </c>
      <c r="H150" t="n">
        <v>5.82</v>
      </c>
      <c r="I150" t="n">
        <v>3673890</v>
      </c>
      <c r="J150" t="n">
        <v>9.5</v>
      </c>
      <c r="K150" t="inlineStr">
        <is>
          <t>ERW1</t>
        </is>
      </c>
      <c r="L150" t="inlineStr">
        <is>
          <t>NON FIN</t>
        </is>
      </c>
      <c r="M150" s="198">
        <f>VLOOKUP(Table31[[#This Row],[TSL Material Code3]],#REF!,2,0)</f>
        <v/>
      </c>
      <c r="N150" s="198" t="n">
        <v>9519137898</v>
      </c>
      <c r="O150" s="198" t="n"/>
    </row>
    <row r="151">
      <c r="A151" s="198" t="inlineStr">
        <is>
          <t>056</t>
        </is>
      </c>
      <c r="B151" t="inlineStr">
        <is>
          <t>TVS</t>
        </is>
      </c>
      <c r="C151" t="n">
        <v>943209</v>
      </c>
      <c r="D151" t="n">
        <v>25.4</v>
      </c>
      <c r="E151" t="n">
        <v>0</v>
      </c>
      <c r="F151" t="n">
        <v>2.5</v>
      </c>
      <c r="G151" t="n">
        <v>5530</v>
      </c>
      <c r="H151" t="n">
        <v>5.53</v>
      </c>
      <c r="I151" t="n">
        <v>3502256</v>
      </c>
      <c r="J151" t="n">
        <v>33</v>
      </c>
      <c r="K151" t="inlineStr">
        <is>
          <t>ERW1</t>
        </is>
      </c>
      <c r="L151" t="inlineStr">
        <is>
          <t>NON FIN</t>
        </is>
      </c>
      <c r="M151" s="198">
        <f>VLOOKUP(Table31[[#This Row],[TSL Material Code3]],#REF!,2,0)</f>
        <v/>
      </c>
      <c r="N151" s="198" t="n">
        <v>9519133131</v>
      </c>
      <c r="O151" s="198" t="n"/>
    </row>
    <row r="152">
      <c r="A152" s="198" t="inlineStr">
        <is>
          <t>056</t>
        </is>
      </c>
      <c r="B152" t="inlineStr">
        <is>
          <t>RE</t>
        </is>
      </c>
      <c r="C152" t="n">
        <v>943211</v>
      </c>
      <c r="D152" t="n">
        <v>34.93</v>
      </c>
      <c r="E152" t="n">
        <v>0</v>
      </c>
      <c r="F152" t="n">
        <v>1.2</v>
      </c>
      <c r="G152" t="n">
        <v>620</v>
      </c>
      <c r="H152" t="n">
        <v>0.62</v>
      </c>
      <c r="I152" t="n">
        <v>3499589</v>
      </c>
      <c r="J152" t="n">
        <v>34</v>
      </c>
      <c r="K152" t="inlineStr">
        <is>
          <t>ERW1</t>
        </is>
      </c>
      <c r="L152" t="inlineStr">
        <is>
          <t>FIN CUT</t>
        </is>
      </c>
      <c r="M152" s="198">
        <f>VLOOKUP(Table31[[#This Row],[TSL Material Code3]],#REF!,2,0)</f>
        <v/>
      </c>
      <c r="N152" s="198" t="n">
        <v>9519133650</v>
      </c>
      <c r="O152" s="198" t="n"/>
    </row>
    <row r="153">
      <c r="A153" s="198" t="inlineStr">
        <is>
          <t>056</t>
        </is>
      </c>
      <c r="B153" t="inlineStr">
        <is>
          <t>RE</t>
        </is>
      </c>
      <c r="C153" t="n">
        <v>943211</v>
      </c>
      <c r="D153" t="n">
        <v>34.93</v>
      </c>
      <c r="E153" t="n">
        <v>0</v>
      </c>
      <c r="F153" t="n">
        <v>1.2</v>
      </c>
      <c r="G153" t="n">
        <v>650</v>
      </c>
      <c r="H153" t="n">
        <v>0.65</v>
      </c>
      <c r="I153" t="n">
        <v>3499396</v>
      </c>
      <c r="J153" t="n">
        <v>28</v>
      </c>
      <c r="K153" t="inlineStr">
        <is>
          <t>ERW1</t>
        </is>
      </c>
      <c r="L153" t="inlineStr">
        <is>
          <t>FIN CUT</t>
        </is>
      </c>
      <c r="M153" s="198">
        <f>VLOOKUP(Table31[[#This Row],[TSL Material Code3]],#REF!,2,0)</f>
        <v/>
      </c>
      <c r="N153" s="198" t="n">
        <v>9519133650</v>
      </c>
      <c r="O153" s="198" t="n"/>
    </row>
    <row r="154">
      <c r="A154" s="198" t="inlineStr">
        <is>
          <t>056</t>
        </is>
      </c>
      <c r="B154" t="inlineStr">
        <is>
          <t>TVS</t>
        </is>
      </c>
      <c r="C154" t="n">
        <v>943209</v>
      </c>
      <c r="D154" t="n">
        <v>38.1</v>
      </c>
      <c r="E154" t="n">
        <v>0</v>
      </c>
      <c r="F154" t="n">
        <v>2</v>
      </c>
      <c r="G154" t="n">
        <v>5650</v>
      </c>
      <c r="H154" t="n">
        <v>5.65</v>
      </c>
      <c r="I154" t="n">
        <v>3500959</v>
      </c>
      <c r="J154" t="n">
        <v>17</v>
      </c>
      <c r="K154" t="inlineStr">
        <is>
          <t>ERW1</t>
        </is>
      </c>
      <c r="L154" t="inlineStr">
        <is>
          <t>FIN CUT</t>
        </is>
      </c>
      <c r="M154" s="198">
        <f>VLOOKUP(Table31[[#This Row],[TSL Material Code3]],#REF!,2,0)</f>
        <v/>
      </c>
      <c r="N154" s="198" t="n">
        <v>9519133131</v>
      </c>
      <c r="O154" s="198" t="n"/>
    </row>
    <row r="155">
      <c r="A155" s="198" t="inlineStr">
        <is>
          <t>056</t>
        </is>
      </c>
      <c r="B155" t="inlineStr">
        <is>
          <t>TVS</t>
        </is>
      </c>
      <c r="C155" t="n">
        <v>943209</v>
      </c>
      <c r="D155" t="n">
        <v>38.1</v>
      </c>
      <c r="E155" t="n">
        <v>0</v>
      </c>
      <c r="F155" t="n">
        <v>2.5</v>
      </c>
      <c r="G155" t="n">
        <v>6190</v>
      </c>
      <c r="H155" t="n">
        <v>6.19</v>
      </c>
      <c r="I155" t="n">
        <v>3502007</v>
      </c>
      <c r="J155" t="n">
        <v>82.5</v>
      </c>
      <c r="K155" t="inlineStr">
        <is>
          <t>ERW2</t>
        </is>
      </c>
      <c r="L155" t="inlineStr">
        <is>
          <t>FIN CUT</t>
        </is>
      </c>
      <c r="M155" s="198">
        <f>VLOOKUP(Table31[[#This Row],[TSL Material Code3]],#REF!,2,0)</f>
        <v/>
      </c>
      <c r="N155" s="198" t="n">
        <v>9519133131</v>
      </c>
      <c r="O155" s="198" t="n"/>
    </row>
    <row r="156">
      <c r="A156" s="198" t="inlineStr">
        <is>
          <t>056</t>
        </is>
      </c>
      <c r="B156" t="inlineStr">
        <is>
          <t>HMSI</t>
        </is>
      </c>
      <c r="C156" t="n">
        <v>943210</v>
      </c>
      <c r="D156" t="n">
        <v>41.28</v>
      </c>
      <c r="E156" t="n">
        <v>0</v>
      </c>
      <c r="F156" t="n">
        <v>3.15</v>
      </c>
      <c r="G156" t="n">
        <v>5860</v>
      </c>
      <c r="H156" t="n">
        <v>5.86</v>
      </c>
      <c r="I156" t="n">
        <v>3673889</v>
      </c>
      <c r="J156" t="n">
        <v>21.486</v>
      </c>
      <c r="K156" t="inlineStr">
        <is>
          <t>ERW1</t>
        </is>
      </c>
      <c r="L156" t="inlineStr">
        <is>
          <t>FIN CUT</t>
        </is>
      </c>
      <c r="M156" s="198">
        <f>VLOOKUP(Table31[[#This Row],[TSL Material Code3]],#REF!,2,0)</f>
        <v/>
      </c>
      <c r="N156" s="198" t="n">
        <v>9519138007</v>
      </c>
      <c r="O156" s="198" t="n"/>
    </row>
    <row r="157">
      <c r="A157" s="198" t="inlineStr">
        <is>
          <t>056</t>
        </is>
      </c>
      <c r="B157" t="inlineStr">
        <is>
          <t>HMSI</t>
        </is>
      </c>
      <c r="C157" t="n">
        <v>943210</v>
      </c>
      <c r="D157" t="n">
        <v>48.6</v>
      </c>
      <c r="E157" t="n">
        <v>0</v>
      </c>
      <c r="F157" t="n">
        <v>2.3</v>
      </c>
      <c r="G157" t="n">
        <v>6270</v>
      </c>
      <c r="H157" t="n">
        <v>6.27</v>
      </c>
      <c r="I157" t="n">
        <v>3549720</v>
      </c>
      <c r="J157" t="n">
        <v>1.5</v>
      </c>
      <c r="K157" t="inlineStr">
        <is>
          <t>ERW2</t>
        </is>
      </c>
      <c r="L157" t="inlineStr">
        <is>
          <t>FIN CUT</t>
        </is>
      </c>
      <c r="M157" s="198">
        <f>VLOOKUP(Table31[[#This Row],[TSL Material Code3]],#REF!,2,0)</f>
        <v/>
      </c>
      <c r="N157" s="198" t="n"/>
      <c r="O157" s="198" t="n"/>
    </row>
    <row r="158">
      <c r="A158" s="198" t="inlineStr">
        <is>
          <t>056</t>
        </is>
      </c>
      <c r="B158" t="inlineStr">
        <is>
          <t>RE</t>
        </is>
      </c>
      <c r="C158" t="n">
        <v>943211</v>
      </c>
      <c r="D158" t="inlineStr">
        <is>
          <t>50X50</t>
        </is>
      </c>
      <c r="E158" t="n">
        <v>0</v>
      </c>
      <c r="F158" t="n">
        <v>1.6</v>
      </c>
      <c r="G158" t="n">
        <v>6040</v>
      </c>
      <c r="H158" t="n">
        <v>6.04</v>
      </c>
      <c r="I158" t="n">
        <v>3751498</v>
      </c>
      <c r="J158" t="n">
        <v>10</v>
      </c>
      <c r="K158" t="inlineStr">
        <is>
          <t>ERW1</t>
        </is>
      </c>
      <c r="L158" t="inlineStr">
        <is>
          <t>FIN CUT</t>
        </is>
      </c>
      <c r="M158" s="198">
        <f>VLOOKUP(Table31[[#This Row],[TSL Material Code3]],#REF!,2,0)</f>
        <v/>
      </c>
      <c r="N158" s="198" t="n">
        <v>9519133650</v>
      </c>
      <c r="O158" s="198" t="n"/>
    </row>
    <row r="159">
      <c r="A159" s="198" t="inlineStr">
        <is>
          <t>056</t>
        </is>
      </c>
      <c r="B159" t="inlineStr">
        <is>
          <t>RE</t>
        </is>
      </c>
      <c r="C159" t="n">
        <v>943211</v>
      </c>
      <c r="D159" t="n">
        <v>50.8</v>
      </c>
      <c r="E159" t="n">
        <v>0</v>
      </c>
      <c r="F159" t="n">
        <v>2.6</v>
      </c>
      <c r="G159" t="n">
        <v>6000</v>
      </c>
      <c r="H159" t="n">
        <v>6</v>
      </c>
      <c r="I159" t="n">
        <v>3518437</v>
      </c>
      <c r="J159" t="n">
        <v>9.855</v>
      </c>
      <c r="K159" t="inlineStr">
        <is>
          <t>ERW1</t>
        </is>
      </c>
      <c r="L159" t="inlineStr">
        <is>
          <t>FIN CUT</t>
        </is>
      </c>
      <c r="M159" s="198">
        <f>VLOOKUP(Table31[[#This Row],[TSL Material Code3]],#REF!,2,0)</f>
        <v/>
      </c>
      <c r="N159" s="198" t="n">
        <v>9519133650</v>
      </c>
      <c r="O159" s="198" t="n"/>
    </row>
    <row r="160">
      <c r="A160" s="198" t="inlineStr">
        <is>
          <t>056</t>
        </is>
      </c>
      <c r="B160" t="inlineStr">
        <is>
          <t>RE</t>
        </is>
      </c>
      <c r="C160" t="n">
        <v>943211</v>
      </c>
      <c r="D160" t="n">
        <v>50.8</v>
      </c>
      <c r="E160" t="n">
        <v>45.6</v>
      </c>
      <c r="F160" t="n">
        <v>2.6</v>
      </c>
      <c r="G160" t="n">
        <v>6000</v>
      </c>
      <c r="H160" t="n">
        <v>6</v>
      </c>
      <c r="I160" t="n">
        <v>3500695</v>
      </c>
      <c r="J160" t="n">
        <v>7.5</v>
      </c>
      <c r="K160" t="inlineStr">
        <is>
          <t>CEW-1</t>
        </is>
      </c>
      <c r="L160" t="inlineStr">
        <is>
          <t>FIN CUT</t>
        </is>
      </c>
      <c r="M160" s="198">
        <f>VLOOKUP(Table31[[#This Row],[TSL Material Code3]],#REF!,2,0)</f>
        <v/>
      </c>
      <c r="N160" s="198" t="n">
        <v>9519133650</v>
      </c>
      <c r="O160" s="198" t="n"/>
    </row>
    <row r="161">
      <c r="A161" s="198" t="inlineStr">
        <is>
          <t>056</t>
        </is>
      </c>
      <c r="B161" t="inlineStr">
        <is>
          <t>TVS</t>
        </is>
      </c>
      <c r="C161" t="n">
        <v>943209</v>
      </c>
      <c r="D161" t="n">
        <v>57.15</v>
      </c>
      <c r="E161" t="n">
        <v>0</v>
      </c>
      <c r="F161" t="n">
        <v>2.5</v>
      </c>
      <c r="G161" t="n">
        <v>5710</v>
      </c>
      <c r="H161" t="n">
        <v>5.71</v>
      </c>
      <c r="I161" t="n">
        <v>3907863</v>
      </c>
      <c r="J161" t="n">
        <v>53.85599999999999</v>
      </c>
      <c r="K161" t="inlineStr">
        <is>
          <t>ERW1</t>
        </is>
      </c>
      <c r="L161" t="inlineStr">
        <is>
          <t>FIN CUT</t>
        </is>
      </c>
      <c r="M161" s="198">
        <f>VLOOKUP(Table31[[#This Row],[TSL Material Code3]],#REF!,2,0)</f>
        <v/>
      </c>
      <c r="N161" s="198" t="n">
        <v>9519133131</v>
      </c>
      <c r="O161" s="198" t="n"/>
    </row>
    <row r="162">
      <c r="A162" s="198" t="inlineStr">
        <is>
          <t>0788</t>
        </is>
      </c>
      <c r="B162" t="inlineStr">
        <is>
          <t>HMSI</t>
        </is>
      </c>
      <c r="C162" t="n">
        <v>943210</v>
      </c>
      <c r="D162" t="n">
        <v>34</v>
      </c>
      <c r="E162" t="n">
        <v>0</v>
      </c>
      <c r="F162" t="n">
        <v>1.4</v>
      </c>
      <c r="G162" t="n">
        <v>5660</v>
      </c>
      <c r="H162" t="n">
        <v>5.66</v>
      </c>
      <c r="I162" t="n">
        <v>3702855</v>
      </c>
      <c r="J162" t="n">
        <v>4.5</v>
      </c>
      <c r="K162" t="inlineStr">
        <is>
          <t>ERW2</t>
        </is>
      </c>
      <c r="L162" t="inlineStr">
        <is>
          <t>FIN CUT</t>
        </is>
      </c>
      <c r="M162" s="198">
        <f>VLOOKUP(Table31[[#This Row],[TSL Material Code3]],#REF!,2,0)</f>
        <v/>
      </c>
      <c r="N162" s="198" t="n"/>
      <c r="O162" s="198" t="n"/>
    </row>
    <row r="163">
      <c r="A163" s="198" t="inlineStr">
        <is>
          <t>0788</t>
        </is>
      </c>
      <c r="B163" t="inlineStr">
        <is>
          <t>RE</t>
        </is>
      </c>
      <c r="C163" t="n">
        <v>943211</v>
      </c>
      <c r="D163" t="n">
        <v>38.1</v>
      </c>
      <c r="E163" t="n">
        <v>0</v>
      </c>
      <c r="F163" t="n">
        <v>3.2</v>
      </c>
      <c r="G163" t="n">
        <v>6000</v>
      </c>
      <c r="H163" t="n">
        <v>6</v>
      </c>
      <c r="I163" t="n">
        <v>3500699</v>
      </c>
      <c r="J163" t="n">
        <v>7.5</v>
      </c>
      <c r="K163" t="inlineStr">
        <is>
          <t>CEW-1</t>
        </is>
      </c>
      <c r="L163" t="inlineStr">
        <is>
          <t>FIN CUT</t>
        </is>
      </c>
      <c r="M163" s="198">
        <f>VLOOKUP(Table31[[#This Row],[TSL Material Code3]],#REF!,2,0)</f>
        <v/>
      </c>
      <c r="N163" s="198" t="n">
        <v>9519133776</v>
      </c>
      <c r="O163" s="198" t="n"/>
    </row>
    <row r="164">
      <c r="A164" s="198" t="inlineStr">
        <is>
          <t>0788</t>
        </is>
      </c>
      <c r="B164" t="inlineStr">
        <is>
          <t>TVS</t>
        </is>
      </c>
      <c r="C164" t="n">
        <v>943209</v>
      </c>
      <c r="D164" t="n">
        <v>42.7</v>
      </c>
      <c r="E164" t="n">
        <v>0</v>
      </c>
      <c r="F164" t="n">
        <v>3.5</v>
      </c>
      <c r="G164" t="n">
        <v>6000</v>
      </c>
      <c r="H164" t="n">
        <v>6</v>
      </c>
      <c r="I164" t="n">
        <v>2396465</v>
      </c>
      <c r="J164" t="n">
        <v>2</v>
      </c>
      <c r="K164" t="inlineStr">
        <is>
          <t>ERW AN</t>
        </is>
      </c>
      <c r="L164" t="inlineStr">
        <is>
          <t>FIN CUT</t>
        </is>
      </c>
      <c r="M164" s="198">
        <f>VLOOKUP(Table31[[#This Row],[TSL Material Code3]],#REF!,2,0)</f>
        <v/>
      </c>
      <c r="N164" s="198" t="n"/>
      <c r="O164" s="198" t="n"/>
    </row>
    <row r="165">
      <c r="A165" s="198" t="inlineStr">
        <is>
          <t>0788</t>
        </is>
      </c>
      <c r="B165" t="inlineStr">
        <is>
          <t>TVS</t>
        </is>
      </c>
      <c r="C165" t="n">
        <v>943209</v>
      </c>
      <c r="D165" t="n">
        <v>42.7</v>
      </c>
      <c r="E165" t="n">
        <v>0</v>
      </c>
      <c r="F165" t="n">
        <v>4</v>
      </c>
      <c r="G165" t="n">
        <v>6000</v>
      </c>
      <c r="H165" t="n">
        <v>6</v>
      </c>
      <c r="I165" t="n">
        <v>3501985</v>
      </c>
      <c r="J165" t="n">
        <v>30.5</v>
      </c>
      <c r="K165" t="inlineStr">
        <is>
          <t>ERW AN</t>
        </is>
      </c>
      <c r="L165" t="inlineStr">
        <is>
          <t>FIN CUT</t>
        </is>
      </c>
      <c r="M165" s="198">
        <f>VLOOKUP(Table31[[#This Row],[TSL Material Code3]],#REF!,2,0)</f>
        <v/>
      </c>
      <c r="N165" s="198" t="n"/>
      <c r="O165" s="198" t="n"/>
    </row>
    <row r="166">
      <c r="A166" s="198" t="inlineStr">
        <is>
          <t>0788</t>
        </is>
      </c>
      <c r="B166" t="inlineStr">
        <is>
          <t>RE</t>
        </is>
      </c>
      <c r="C166" t="n">
        <v>943211</v>
      </c>
      <c r="D166" t="n">
        <v>47.63</v>
      </c>
      <c r="E166" t="n">
        <v>0</v>
      </c>
      <c r="F166" t="n">
        <v>4</v>
      </c>
      <c r="G166" t="n">
        <v>6040</v>
      </c>
      <c r="H166" t="n">
        <v>6.04</v>
      </c>
      <c r="I166" t="n">
        <v>3500635</v>
      </c>
      <c r="J166" t="n">
        <v>15</v>
      </c>
      <c r="K166" t="inlineStr">
        <is>
          <t>CEW-1</t>
        </is>
      </c>
      <c r="L166" t="inlineStr">
        <is>
          <t>FIN CUT</t>
        </is>
      </c>
      <c r="M166" s="198">
        <f>VLOOKUP(Table31[[#This Row],[TSL Material Code3]],#REF!,2,0)</f>
        <v/>
      </c>
      <c r="N166" s="198" t="n">
        <v>9519133776</v>
      </c>
      <c r="O166" s="198" t="n"/>
    </row>
    <row r="167">
      <c r="A167" s="198" t="inlineStr">
        <is>
          <t>0788</t>
        </is>
      </c>
      <c r="B167" t="inlineStr">
        <is>
          <t>TVS</t>
        </is>
      </c>
      <c r="C167" t="n">
        <v>943209</v>
      </c>
      <c r="D167" t="n">
        <v>60.3</v>
      </c>
      <c r="E167" t="n">
        <v>0</v>
      </c>
      <c r="F167" t="n">
        <v>2</v>
      </c>
      <c r="G167" t="n">
        <v>5900</v>
      </c>
      <c r="H167" t="n">
        <v>5.9</v>
      </c>
      <c r="I167" t="n">
        <v>3905049</v>
      </c>
      <c r="J167" t="n">
        <v>10.9</v>
      </c>
      <c r="K167" t="inlineStr">
        <is>
          <t>ERW1</t>
        </is>
      </c>
      <c r="L167" t="inlineStr">
        <is>
          <t>FIN CUT</t>
        </is>
      </c>
      <c r="M167" s="198">
        <f>VLOOKUP(Table31[[#This Row],[TSL Material Code3]],#REF!,2,0)</f>
        <v/>
      </c>
      <c r="N167" s="198" t="n"/>
      <c r="O167" s="198" t="n"/>
    </row>
    <row r="168">
      <c r="A168" s="198" t="inlineStr">
        <is>
          <t>0789</t>
        </is>
      </c>
      <c r="B168" t="inlineStr">
        <is>
          <t>TVS</t>
        </is>
      </c>
      <c r="C168" t="n">
        <v>943209</v>
      </c>
      <c r="D168" t="n">
        <v>12.7</v>
      </c>
      <c r="E168" t="n">
        <v>0</v>
      </c>
      <c r="F168" t="n">
        <v>1.2</v>
      </c>
      <c r="G168" t="n">
        <v>6000</v>
      </c>
      <c r="H168" t="n">
        <v>6</v>
      </c>
      <c r="I168" t="n">
        <v>1939985</v>
      </c>
      <c r="J168" t="n">
        <v>24</v>
      </c>
      <c r="K168" t="inlineStr">
        <is>
          <t>ERW1</t>
        </is>
      </c>
      <c r="L168" t="inlineStr">
        <is>
          <t>NON FIN</t>
        </is>
      </c>
      <c r="M168" s="198">
        <f>VLOOKUP(Table31[[#This Row],[TSL Material Code3]],#REF!,2,0)</f>
        <v/>
      </c>
      <c r="N168" s="198" t="n">
        <v>9519133854</v>
      </c>
      <c r="O168" s="198" t="n"/>
    </row>
    <row r="169">
      <c r="A169" s="198" t="inlineStr">
        <is>
          <t>0789</t>
        </is>
      </c>
      <c r="B169" t="inlineStr">
        <is>
          <t>TVS</t>
        </is>
      </c>
      <c r="C169" t="n">
        <v>943209</v>
      </c>
      <c r="D169" t="n">
        <v>12.7</v>
      </c>
      <c r="E169" t="n">
        <v>0</v>
      </c>
      <c r="F169" t="n">
        <v>2</v>
      </c>
      <c r="G169" t="n">
        <v>6000</v>
      </c>
      <c r="H169" t="n">
        <v>6</v>
      </c>
      <c r="I169" t="n">
        <v>236166</v>
      </c>
      <c r="J169" t="n">
        <v>4.5</v>
      </c>
      <c r="K169" t="inlineStr">
        <is>
          <t>ERW1</t>
        </is>
      </c>
      <c r="L169" t="inlineStr">
        <is>
          <t>NON FIN</t>
        </is>
      </c>
      <c r="M169" s="198">
        <f>VLOOKUP(Table31[[#This Row],[TSL Material Code3]],#REF!,2,0)</f>
        <v/>
      </c>
      <c r="N169" s="198" t="n"/>
      <c r="O169" s="198" t="n"/>
    </row>
    <row r="170">
      <c r="A170" s="198" t="inlineStr">
        <is>
          <t>0789</t>
        </is>
      </c>
      <c r="B170" t="inlineStr">
        <is>
          <t>TVS</t>
        </is>
      </c>
      <c r="C170" t="n">
        <v>943209</v>
      </c>
      <c r="D170" t="n">
        <v>15.88</v>
      </c>
      <c r="E170" t="n">
        <v>0</v>
      </c>
      <c r="F170" t="n">
        <v>1.2</v>
      </c>
      <c r="G170" t="n">
        <v>6000</v>
      </c>
      <c r="H170" t="n">
        <v>6</v>
      </c>
      <c r="I170" t="n">
        <v>1940054</v>
      </c>
      <c r="J170" t="n">
        <v>11.5</v>
      </c>
      <c r="K170" t="inlineStr">
        <is>
          <t>ERW1</t>
        </is>
      </c>
      <c r="L170" t="inlineStr">
        <is>
          <t>NON FIN</t>
        </is>
      </c>
      <c r="M170" s="198">
        <f>VLOOKUP(Table31[[#This Row],[TSL Material Code3]],#REF!,2,0)</f>
        <v/>
      </c>
      <c r="N170" s="198" t="n">
        <v>9519133854</v>
      </c>
      <c r="O170" s="198" t="n"/>
    </row>
    <row r="171">
      <c r="A171" s="198" t="inlineStr">
        <is>
          <t>0789</t>
        </is>
      </c>
      <c r="B171" t="inlineStr">
        <is>
          <t>HMSI</t>
        </is>
      </c>
      <c r="C171" t="n">
        <v>943210</v>
      </c>
      <c r="D171" t="n">
        <v>15.88</v>
      </c>
      <c r="E171" t="n">
        <v>0</v>
      </c>
      <c r="F171" t="n">
        <v>2</v>
      </c>
      <c r="G171" t="n">
        <v>6000</v>
      </c>
      <c r="H171" t="n">
        <v>6</v>
      </c>
      <c r="I171" t="n">
        <v>1940120</v>
      </c>
      <c r="J171" t="n">
        <v>5.5</v>
      </c>
      <c r="K171" t="inlineStr">
        <is>
          <t>ERW1</t>
        </is>
      </c>
      <c r="L171" t="inlineStr">
        <is>
          <t>NON FIN</t>
        </is>
      </c>
      <c r="M171" s="198">
        <f>VLOOKUP(Table31[[#This Row],[TSL Material Code3]],#REF!,2,0)</f>
        <v/>
      </c>
      <c r="N171" s="198" t="n">
        <v>9519133982</v>
      </c>
      <c r="O171" s="198" t="n"/>
    </row>
    <row r="172">
      <c r="A172" s="198" t="inlineStr">
        <is>
          <t>0789</t>
        </is>
      </c>
      <c r="B172" t="inlineStr">
        <is>
          <t>TVS</t>
        </is>
      </c>
      <c r="C172" t="n">
        <v>943209</v>
      </c>
      <c r="D172" t="n">
        <v>18.3</v>
      </c>
      <c r="E172" t="n">
        <v>0</v>
      </c>
      <c r="F172" t="n">
        <v>1</v>
      </c>
      <c r="G172" t="n">
        <v>6000</v>
      </c>
      <c r="H172" t="n">
        <v>6</v>
      </c>
      <c r="I172" t="n">
        <v>2288945</v>
      </c>
      <c r="J172" t="n">
        <v>21</v>
      </c>
      <c r="K172" t="inlineStr">
        <is>
          <t>ERW1</t>
        </is>
      </c>
      <c r="L172" t="inlineStr">
        <is>
          <t>NON FIN</t>
        </is>
      </c>
      <c r="M172" s="198">
        <f>VLOOKUP(Table31[[#This Row],[TSL Material Code3]],#REF!,2,0)</f>
        <v/>
      </c>
      <c r="N172" s="198" t="n">
        <v>9519133854</v>
      </c>
      <c r="O172" s="198" t="n"/>
    </row>
    <row r="173">
      <c r="A173" s="198" t="inlineStr">
        <is>
          <t>0789</t>
        </is>
      </c>
      <c r="B173" t="inlineStr">
        <is>
          <t>TVS</t>
        </is>
      </c>
      <c r="C173" t="n">
        <v>943209</v>
      </c>
      <c r="D173" t="n">
        <v>21.4</v>
      </c>
      <c r="E173" t="n">
        <v>0</v>
      </c>
      <c r="F173" t="n">
        <v>1.6</v>
      </c>
      <c r="G173" t="n">
        <v>6000</v>
      </c>
      <c r="H173" t="n">
        <v>6</v>
      </c>
      <c r="I173" t="n">
        <v>3219710</v>
      </c>
      <c r="J173" t="n">
        <v>6</v>
      </c>
      <c r="K173" t="inlineStr">
        <is>
          <t>ERW1</t>
        </is>
      </c>
      <c r="L173" t="inlineStr">
        <is>
          <t>NON FIN</t>
        </is>
      </c>
      <c r="M173" s="198">
        <f>VLOOKUP(Table31[[#This Row],[TSL Material Code3]],#REF!,2,0)</f>
        <v/>
      </c>
      <c r="N173" s="198" t="n">
        <v>9519133854</v>
      </c>
      <c r="O173" s="198" t="n"/>
    </row>
    <row r="174">
      <c r="A174" s="198" t="inlineStr">
        <is>
          <t>0789</t>
        </is>
      </c>
      <c r="B174" t="inlineStr">
        <is>
          <t>TVS</t>
        </is>
      </c>
      <c r="C174" t="n">
        <v>943209</v>
      </c>
      <c r="D174" t="n">
        <v>22.2</v>
      </c>
      <c r="E174" t="n">
        <v>0</v>
      </c>
      <c r="F174" t="n">
        <v>1.6</v>
      </c>
      <c r="G174" t="n">
        <v>5270</v>
      </c>
      <c r="H174" t="n">
        <v>5.27</v>
      </c>
      <c r="I174" t="n">
        <v>3575894</v>
      </c>
      <c r="J174" t="n">
        <v>40</v>
      </c>
      <c r="K174" t="inlineStr">
        <is>
          <t>ERW1</t>
        </is>
      </c>
      <c r="L174" t="inlineStr">
        <is>
          <t>NON FIN</t>
        </is>
      </c>
      <c r="M174" s="198">
        <f>VLOOKUP(Table31[[#This Row],[TSL Material Code3]],#REF!,2,0)</f>
        <v/>
      </c>
      <c r="N174" s="198" t="n">
        <v>9519133854</v>
      </c>
      <c r="O174" s="198" t="n"/>
    </row>
    <row r="175">
      <c r="A175" s="198" t="inlineStr">
        <is>
          <t>0789</t>
        </is>
      </c>
      <c r="B175" t="inlineStr">
        <is>
          <t>HMSI</t>
        </is>
      </c>
      <c r="C175" t="n">
        <v>943210</v>
      </c>
      <c r="D175" t="n">
        <v>22.2</v>
      </c>
      <c r="E175" t="n">
        <v>0</v>
      </c>
      <c r="F175" t="n">
        <v>2</v>
      </c>
      <c r="G175" t="n">
        <v>5390</v>
      </c>
      <c r="H175" t="n">
        <v>5.39</v>
      </c>
      <c r="I175" t="n">
        <v>2431251</v>
      </c>
      <c r="J175" t="n">
        <v>67</v>
      </c>
      <c r="K175" t="inlineStr">
        <is>
          <t>CR ERW 1</t>
        </is>
      </c>
      <c r="L175" t="inlineStr">
        <is>
          <t>FIN CUT</t>
        </is>
      </c>
      <c r="M175" s="198">
        <f>VLOOKUP(Table31[[#This Row],[TSL Material Code3]],#REF!,2,0)</f>
        <v/>
      </c>
      <c r="N175" s="198" t="n">
        <v>9519133982</v>
      </c>
      <c r="O175" s="198" t="n"/>
    </row>
    <row r="176">
      <c r="A176" s="198" t="inlineStr">
        <is>
          <t>0789</t>
        </is>
      </c>
      <c r="B176" t="inlineStr">
        <is>
          <t>TVS</t>
        </is>
      </c>
      <c r="C176" t="n">
        <v>943209</v>
      </c>
      <c r="D176" t="n">
        <v>25.4</v>
      </c>
      <c r="E176" t="n">
        <v>0</v>
      </c>
      <c r="F176" t="n">
        <v>2</v>
      </c>
      <c r="G176" t="n">
        <v>6050</v>
      </c>
      <c r="H176" t="n">
        <v>6.05</v>
      </c>
      <c r="I176" t="n">
        <v>4055021</v>
      </c>
      <c r="J176" t="n">
        <v>23</v>
      </c>
      <c r="K176" t="inlineStr">
        <is>
          <t>ERW1</t>
        </is>
      </c>
      <c r="L176" t="inlineStr">
        <is>
          <t>NON FIN</t>
        </is>
      </c>
      <c r="M176" s="198">
        <f>VLOOKUP(Table31[[#This Row],[TSL Material Code3]],#REF!,2,0)</f>
        <v/>
      </c>
      <c r="N176" s="198" t="n">
        <v>9519133854</v>
      </c>
      <c r="O176" s="198" t="n"/>
    </row>
    <row r="177">
      <c r="A177" s="198" t="inlineStr">
        <is>
          <t>0789</t>
        </is>
      </c>
      <c r="B177" t="inlineStr">
        <is>
          <t>TVS</t>
        </is>
      </c>
      <c r="C177" t="n">
        <v>943209</v>
      </c>
      <c r="D177" t="n">
        <v>28.6</v>
      </c>
      <c r="E177" t="n">
        <v>0</v>
      </c>
      <c r="F177" t="n">
        <v>1.2</v>
      </c>
      <c r="G177" t="n">
        <v>6000</v>
      </c>
      <c r="H177" t="n">
        <v>6</v>
      </c>
      <c r="I177" t="n">
        <v>3702101</v>
      </c>
      <c r="J177" t="n">
        <v>1.5</v>
      </c>
      <c r="K177" t="inlineStr">
        <is>
          <t>ERW1</t>
        </is>
      </c>
      <c r="L177" t="inlineStr">
        <is>
          <t>FIN CUT</t>
        </is>
      </c>
      <c r="M177" s="198">
        <f>VLOOKUP(Table31[[#This Row],[TSL Material Code3]],#REF!,2,0)</f>
        <v/>
      </c>
      <c r="N177" s="198" t="n"/>
      <c r="O177" s="198" t="n"/>
    </row>
    <row r="178">
      <c r="A178" s="198" t="inlineStr">
        <is>
          <t>0789</t>
        </is>
      </c>
      <c r="B178" t="inlineStr">
        <is>
          <t>TVS</t>
        </is>
      </c>
      <c r="C178" t="n">
        <v>943209</v>
      </c>
      <c r="D178" t="n">
        <v>31.75</v>
      </c>
      <c r="E178" t="n">
        <v>0</v>
      </c>
      <c r="F178" t="n">
        <v>2</v>
      </c>
      <c r="G178" t="n">
        <v>6000</v>
      </c>
      <c r="H178" t="n">
        <v>6</v>
      </c>
      <c r="I178" t="n">
        <v>1931387</v>
      </c>
      <c r="J178" t="n">
        <v>15</v>
      </c>
      <c r="K178" t="inlineStr">
        <is>
          <t>ERW1</t>
        </is>
      </c>
      <c r="L178" t="inlineStr">
        <is>
          <t>FIN CUT</t>
        </is>
      </c>
      <c r="M178" s="198">
        <f>VLOOKUP(Table31[[#This Row],[TSL Material Code3]],#REF!,2,0)</f>
        <v/>
      </c>
      <c r="N178" s="198" t="n">
        <v>9519133854</v>
      </c>
      <c r="O178" s="198" t="n"/>
    </row>
    <row r="179">
      <c r="A179" s="198" t="inlineStr">
        <is>
          <t>0789</t>
        </is>
      </c>
      <c r="B179" t="inlineStr">
        <is>
          <t>TVS</t>
        </is>
      </c>
      <c r="C179" t="n">
        <v>943209</v>
      </c>
      <c r="D179" t="n">
        <v>34.93</v>
      </c>
      <c r="E179" t="n">
        <v>0</v>
      </c>
      <c r="F179" t="n">
        <v>1.2</v>
      </c>
      <c r="G179" t="n">
        <v>6000</v>
      </c>
      <c r="H179" t="n">
        <v>6</v>
      </c>
      <c r="I179" t="n">
        <v>1940701</v>
      </c>
      <c r="J179" t="n">
        <v>4.5</v>
      </c>
      <c r="K179" t="inlineStr">
        <is>
          <t>ERW1</t>
        </is>
      </c>
      <c r="L179" t="inlineStr">
        <is>
          <t>FIN CUT</t>
        </is>
      </c>
      <c r="M179" s="198">
        <f>VLOOKUP(Table31[[#This Row],[TSL Material Code3]],#REF!,2,0)</f>
        <v/>
      </c>
      <c r="N179" s="198" t="n"/>
      <c r="O179" s="198" t="n"/>
    </row>
    <row r="180">
      <c r="A180" s="198" t="inlineStr">
        <is>
          <t>0789</t>
        </is>
      </c>
      <c r="B180" t="inlineStr">
        <is>
          <t>TVS</t>
        </is>
      </c>
      <c r="C180" t="n">
        <v>943209</v>
      </c>
      <c r="D180" t="n">
        <v>41.28</v>
      </c>
      <c r="E180" t="n">
        <v>0</v>
      </c>
      <c r="F180" t="n">
        <v>2.6</v>
      </c>
      <c r="G180" t="n">
        <v>6000</v>
      </c>
      <c r="H180" t="n">
        <v>6</v>
      </c>
      <c r="I180" t="n">
        <v>3974563</v>
      </c>
      <c r="J180" t="n">
        <v>42</v>
      </c>
      <c r="K180" t="inlineStr">
        <is>
          <t>ERW1</t>
        </is>
      </c>
      <c r="L180" t="inlineStr">
        <is>
          <t>FIN CUT</t>
        </is>
      </c>
      <c r="M180" s="198">
        <f>VLOOKUP(Table31[[#This Row],[TSL Material Code3]],#REF!,2,0)</f>
        <v/>
      </c>
      <c r="N180" s="198" t="n"/>
      <c r="O180" s="198" t="n"/>
    </row>
    <row r="181">
      <c r="A181" s="198" t="inlineStr">
        <is>
          <t>0789</t>
        </is>
      </c>
      <c r="B181" t="inlineStr">
        <is>
          <t>TVS</t>
        </is>
      </c>
      <c r="C181" t="n">
        <v>943209</v>
      </c>
      <c r="D181" t="inlineStr">
        <is>
          <t>40x25</t>
        </is>
      </c>
      <c r="E181" t="n">
        <v>0</v>
      </c>
      <c r="F181" t="n">
        <v>1.6</v>
      </c>
      <c r="G181" t="n">
        <v>6130</v>
      </c>
      <c r="H181" t="n">
        <v>6.13</v>
      </c>
      <c r="I181" t="n">
        <v>3919144</v>
      </c>
      <c r="J181" t="n">
        <v>7.5</v>
      </c>
      <c r="K181" t="inlineStr">
        <is>
          <t>ERW1</t>
        </is>
      </c>
      <c r="L181" t="inlineStr">
        <is>
          <t>FIN CUT</t>
        </is>
      </c>
      <c r="M181" s="198">
        <f>VLOOKUP(Table31[[#This Row],[TSL Material Code3]],#REF!,2,0)</f>
        <v/>
      </c>
      <c r="N181" s="198" t="n">
        <v>9519133854</v>
      </c>
      <c r="O181" s="198" t="n"/>
    </row>
    <row r="182">
      <c r="A182" s="198" t="inlineStr">
        <is>
          <t>0789</t>
        </is>
      </c>
      <c r="B182" t="inlineStr">
        <is>
          <t>TVS</t>
        </is>
      </c>
      <c r="C182" t="n">
        <v>943209</v>
      </c>
      <c r="D182" t="inlineStr">
        <is>
          <t>40x30</t>
        </is>
      </c>
      <c r="E182" t="n">
        <v>0</v>
      </c>
      <c r="F182" t="n">
        <v>1.6</v>
      </c>
      <c r="G182" t="n">
        <v>5900</v>
      </c>
      <c r="H182" t="n">
        <v>5.9</v>
      </c>
      <c r="I182" t="n">
        <v>3836440</v>
      </c>
      <c r="J182" t="n">
        <v>12</v>
      </c>
      <c r="K182" t="inlineStr">
        <is>
          <t>ERW1</t>
        </is>
      </c>
      <c r="L182" t="inlineStr">
        <is>
          <t>FIN CUT</t>
        </is>
      </c>
      <c r="M182" s="198">
        <f>VLOOKUP(Table31[[#This Row],[TSL Material Code3]],#REF!,2,0)</f>
        <v/>
      </c>
      <c r="N182" s="198" t="n">
        <v>9519134323</v>
      </c>
      <c r="O182" s="198" t="n"/>
    </row>
    <row r="183">
      <c r="A183" s="198" t="inlineStr">
        <is>
          <t>0789</t>
        </is>
      </c>
      <c r="B183" t="inlineStr">
        <is>
          <t>HMSI</t>
        </is>
      </c>
      <c r="C183" t="n">
        <v>943210</v>
      </c>
      <c r="D183" t="n">
        <v>45</v>
      </c>
      <c r="E183" t="n">
        <v>0</v>
      </c>
      <c r="F183" t="n">
        <v>1.4</v>
      </c>
      <c r="G183" t="n">
        <v>6400</v>
      </c>
      <c r="H183" t="n">
        <v>6.42</v>
      </c>
      <c r="I183" t="n">
        <v>3502343</v>
      </c>
      <c r="J183" t="n">
        <v>30</v>
      </c>
      <c r="K183" t="inlineStr">
        <is>
          <t>ERW2</t>
        </is>
      </c>
      <c r="L183" t="inlineStr">
        <is>
          <t>FIN CUT</t>
        </is>
      </c>
      <c r="M183" s="198">
        <f>VLOOKUP(Table31[[#This Row],[TSL Material Code3]],#REF!,2,0)</f>
        <v/>
      </c>
      <c r="N183" s="198" t="n">
        <v>9519134360</v>
      </c>
      <c r="O183" s="198" t="n"/>
    </row>
    <row r="184">
      <c r="A184" s="198" t="inlineStr">
        <is>
          <t>0789</t>
        </is>
      </c>
      <c r="B184" t="inlineStr">
        <is>
          <t>HMSI</t>
        </is>
      </c>
      <c r="C184" t="n">
        <v>943210</v>
      </c>
      <c r="D184" t="n">
        <v>45</v>
      </c>
      <c r="E184" t="n">
        <v>0</v>
      </c>
      <c r="F184" t="n">
        <v>1.6</v>
      </c>
      <c r="G184" t="n">
        <v>6400</v>
      </c>
      <c r="H184" t="n">
        <v>6.42</v>
      </c>
      <c r="I184" t="n">
        <v>3502388</v>
      </c>
      <c r="J184" t="n">
        <v>30</v>
      </c>
      <c r="K184" t="inlineStr">
        <is>
          <t>ERW2</t>
        </is>
      </c>
      <c r="L184" t="inlineStr">
        <is>
          <t>FIN CUT</t>
        </is>
      </c>
      <c r="M184" s="198">
        <f>VLOOKUP(Table31[[#This Row],[TSL Material Code3]],#REF!,2,0)</f>
        <v/>
      </c>
      <c r="N184" s="198" t="n">
        <v>9519134360</v>
      </c>
      <c r="O184" s="198" t="n"/>
    </row>
    <row r="185">
      <c r="A185" s="198" t="inlineStr">
        <is>
          <t>0789</t>
        </is>
      </c>
      <c r="B185" t="inlineStr">
        <is>
          <t>RE</t>
        </is>
      </c>
      <c r="C185" t="n">
        <v>943211</v>
      </c>
      <c r="D185" t="n">
        <v>48</v>
      </c>
      <c r="E185" t="n">
        <v>0</v>
      </c>
      <c r="F185" t="n">
        <v>1.2</v>
      </c>
      <c r="G185" t="n">
        <v>620</v>
      </c>
      <c r="H185" t="n">
        <v>0.62</v>
      </c>
      <c r="I185" t="n">
        <v>2397072</v>
      </c>
      <c r="J185" t="n">
        <v>40</v>
      </c>
      <c r="K185" t="inlineStr">
        <is>
          <t>ERW1</t>
        </is>
      </c>
      <c r="L185" t="inlineStr">
        <is>
          <t>FIN CUT</t>
        </is>
      </c>
      <c r="M185" s="198">
        <f>VLOOKUP(Table31[[#This Row],[TSL Material Code3]],#REF!,2,0)</f>
        <v/>
      </c>
      <c r="N185" s="198" t="n">
        <v>9519132397</v>
      </c>
      <c r="O185" s="198" t="n"/>
    </row>
    <row r="186">
      <c r="A186" s="198" t="inlineStr">
        <is>
          <t>0789</t>
        </is>
      </c>
      <c r="B186" t="inlineStr">
        <is>
          <t>RE</t>
        </is>
      </c>
      <c r="C186" t="n">
        <v>943211</v>
      </c>
      <c r="D186" t="n">
        <v>48</v>
      </c>
      <c r="E186" t="n">
        <v>0</v>
      </c>
      <c r="F186" t="n">
        <v>1.2</v>
      </c>
      <c r="G186" t="n">
        <v>650</v>
      </c>
      <c r="H186" t="n">
        <v>0.65</v>
      </c>
      <c r="I186" t="n">
        <v>2397060</v>
      </c>
      <c r="J186" t="n">
        <v>36</v>
      </c>
      <c r="K186" t="inlineStr">
        <is>
          <t>ERW1</t>
        </is>
      </c>
      <c r="L186" t="inlineStr">
        <is>
          <t>FIN CUT</t>
        </is>
      </c>
      <c r="M186" s="198">
        <f>VLOOKUP(Table31[[#This Row],[TSL Material Code3]],#REF!,2,0)</f>
        <v/>
      </c>
      <c r="N186" s="198" t="n">
        <v>9519132397</v>
      </c>
      <c r="O186" s="198" t="n"/>
    </row>
    <row r="187">
      <c r="A187" s="198" t="inlineStr">
        <is>
          <t>0789</t>
        </is>
      </c>
      <c r="B187" t="inlineStr">
        <is>
          <t>HMSI</t>
        </is>
      </c>
      <c r="C187" t="n">
        <v>943210</v>
      </c>
      <c r="D187" t="n">
        <v>48.6</v>
      </c>
      <c r="E187" t="n">
        <v>0</v>
      </c>
      <c r="F187" t="n">
        <v>3.5</v>
      </c>
      <c r="G187" t="n">
        <v>6000</v>
      </c>
      <c r="H187" t="n">
        <v>6</v>
      </c>
      <c r="I187" t="n">
        <v>3502422</v>
      </c>
      <c r="J187" t="n">
        <v>28.5</v>
      </c>
      <c r="K187" t="inlineStr">
        <is>
          <t>ERW1</t>
        </is>
      </c>
      <c r="L187" t="inlineStr">
        <is>
          <t>FIN CUT</t>
        </is>
      </c>
      <c r="M187" s="198">
        <f>VLOOKUP(Table31[[#This Row],[TSL Material Code3]],#REF!,2,0)</f>
        <v/>
      </c>
      <c r="N187" s="198" t="n">
        <v>9519133982</v>
      </c>
      <c r="O187" s="198" t="n"/>
    </row>
    <row r="188">
      <c r="A188" s="198" t="inlineStr">
        <is>
          <t>0789</t>
        </is>
      </c>
      <c r="B188" t="inlineStr">
        <is>
          <t>TVS</t>
        </is>
      </c>
      <c r="C188" t="n">
        <v>943209</v>
      </c>
      <c r="D188" t="inlineStr">
        <is>
          <t>59x30</t>
        </is>
      </c>
      <c r="E188" t="n">
        <v>0</v>
      </c>
      <c r="F188" t="n">
        <v>1.6</v>
      </c>
      <c r="G188" t="n">
        <v>6000</v>
      </c>
      <c r="H188" t="n">
        <v>6</v>
      </c>
      <c r="I188" t="n">
        <v>1940925</v>
      </c>
      <c r="J188" t="n">
        <v>10.5</v>
      </c>
      <c r="K188" t="inlineStr">
        <is>
          <t>ERW1</t>
        </is>
      </c>
      <c r="L188" t="inlineStr">
        <is>
          <t>FIN CUT</t>
        </is>
      </c>
      <c r="M188" s="198">
        <f>VLOOKUP(Table31[[#This Row],[TSL Material Code3]],#REF!,2,0)</f>
        <v/>
      </c>
      <c r="N188" s="198" t="n">
        <v>9519133854</v>
      </c>
      <c r="O188" s="198" t="n"/>
    </row>
    <row r="189">
      <c r="A189" s="198" t="inlineStr">
        <is>
          <t>0789</t>
        </is>
      </c>
      <c r="B189" t="inlineStr">
        <is>
          <t>RE</t>
        </is>
      </c>
      <c r="C189" t="n">
        <v>943211</v>
      </c>
      <c r="D189" t="inlineStr">
        <is>
          <t>59x30</t>
        </is>
      </c>
      <c r="E189" t="n">
        <v>0</v>
      </c>
      <c r="F189" t="n">
        <v>1.6</v>
      </c>
      <c r="G189" t="n">
        <v>572.5</v>
      </c>
      <c r="H189" t="n">
        <v>0.5725</v>
      </c>
      <c r="I189" t="n">
        <v>2420716</v>
      </c>
      <c r="J189" t="n">
        <v>115</v>
      </c>
      <c r="K189" t="inlineStr">
        <is>
          <t>ERW1</t>
        </is>
      </c>
      <c r="L189" t="inlineStr">
        <is>
          <t>FIN CUT</t>
        </is>
      </c>
      <c r="M189" s="198">
        <f>VLOOKUP(Table31[[#This Row],[TSL Material Code3]],#REF!,2,0)</f>
        <v/>
      </c>
      <c r="N189" s="198" t="n">
        <v>9519132397</v>
      </c>
      <c r="O189" s="198" t="n"/>
    </row>
  </sheetData>
  <conditionalFormatting sqref="L2:L68">
    <cfRule type="duplicateValues" priority="394" dxfId="0"/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tabColor rgb="FF7030A0"/>
    <outlinePr summaryBelow="1" summaryRight="1"/>
    <pageSetUpPr/>
  </sheetPr>
  <dimension ref="A1:W14"/>
  <sheetViews>
    <sheetView workbookViewId="0">
      <selection activeCell="A1" sqref="A1:W14"/>
    </sheetView>
  </sheetViews>
  <sheetFormatPr baseColWidth="8" defaultRowHeight="15"/>
  <cols>
    <col hidden="1" outlineLevel="1" style="584" min="13" max="15"/>
    <col collapsed="1" width="9.140625" customWidth="1" style="584" min="16" max="16"/>
  </cols>
  <sheetData>
    <row r="1" ht="51" customHeight="1" s="584">
      <c r="A1" s="410" t="inlineStr">
        <is>
          <t>OEM</t>
        </is>
      </c>
      <c r="B1" s="395" t="inlineStr">
        <is>
          <t>Customer</t>
        </is>
      </c>
      <c r="C1" s="617" t="inlineStr">
        <is>
          <t>Metallurgy condition</t>
        </is>
      </c>
      <c r="D1" s="395" t="inlineStr">
        <is>
          <t>Material Type</t>
        </is>
      </c>
      <c r="E1" s="395" t="inlineStr">
        <is>
          <t>GRADE</t>
        </is>
      </c>
      <c r="F1" s="411" t="inlineStr">
        <is>
          <t>OD</t>
        </is>
      </c>
      <c r="G1" s="411" t="inlineStr">
        <is>
          <t>ID</t>
        </is>
      </c>
      <c r="H1" s="411" t="inlineStr">
        <is>
          <t>THK</t>
        </is>
      </c>
      <c r="I1" s="395" t="inlineStr">
        <is>
          <t>LENGTH</t>
        </is>
      </c>
      <c r="J1" s="395" t="inlineStr">
        <is>
          <t>Length in Mtrs</t>
        </is>
      </c>
      <c r="K1" s="395" t="inlineStr">
        <is>
          <t xml:space="preserve">count of </t>
        </is>
      </c>
      <c r="L1" s="395" t="inlineStr">
        <is>
          <t>Column1</t>
        </is>
      </c>
      <c r="M1" s="395" t="inlineStr">
        <is>
          <t>Key</t>
        </is>
      </c>
      <c r="N1" s="395" t="inlineStr">
        <is>
          <t>Bucket</t>
        </is>
      </c>
      <c r="O1" s="395" t="inlineStr">
        <is>
          <t>Bucket CTL</t>
        </is>
      </c>
      <c r="P1" s="395" t="inlineStr">
        <is>
          <t>Value added</t>
        </is>
      </c>
      <c r="Q1" s="395" t="inlineStr">
        <is>
          <t>plant</t>
        </is>
      </c>
      <c r="R1" s="412" t="inlineStr">
        <is>
          <t>TSL Material Code</t>
        </is>
      </c>
      <c r="S1" s="413" t="inlineStr">
        <is>
          <t>SCH Sept</t>
        </is>
      </c>
      <c r="T1" s="395" t="inlineStr">
        <is>
          <t>Total Order Logged for Sept</t>
        </is>
      </c>
      <c r="U1" s="395" t="inlineStr">
        <is>
          <t>Delivered</t>
        </is>
      </c>
      <c r="V1" s="395" t="inlineStr">
        <is>
          <t>Balance</t>
        </is>
      </c>
      <c r="W1" s="395" t="inlineStr">
        <is>
          <t>Todays Stock</t>
        </is>
      </c>
    </row>
    <row r="2">
      <c r="A2" s="265" t="inlineStr">
        <is>
          <t>TVS</t>
        </is>
      </c>
      <c r="B2" s="147" t="inlineStr">
        <is>
          <t>RUCHA</t>
        </is>
      </c>
      <c r="C2" s="147" t="inlineStr">
        <is>
          <t>ERW1</t>
        </is>
      </c>
      <c r="D2" s="147" t="inlineStr">
        <is>
          <t>NON FIN</t>
        </is>
      </c>
      <c r="E2" s="147" t="inlineStr">
        <is>
          <t>ERW</t>
        </is>
      </c>
      <c r="F2" s="148" t="n">
        <v>12.7</v>
      </c>
      <c r="G2" s="148" t="n"/>
      <c r="H2" s="148" t="n">
        <v>1.2</v>
      </c>
      <c r="I2" s="147" t="n">
        <v>6000</v>
      </c>
      <c r="J2" s="147" t="n">
        <v>6</v>
      </c>
      <c r="K2" s="147" t="n">
        <v>0</v>
      </c>
      <c r="L2" s="147" t="n"/>
      <c r="M2" s="147" t="inlineStr">
        <is>
          <t>12.71.26ERWNON FIN</t>
        </is>
      </c>
      <c r="N2" s="147" t="inlineStr">
        <is>
          <t>No Key</t>
        </is>
      </c>
      <c r="O2" s="147" t="inlineStr">
        <is>
          <t>No Key</t>
        </is>
      </c>
      <c r="P2" s="147" t="inlineStr">
        <is>
          <t>Value Added</t>
        </is>
      </c>
      <c r="Q2" s="151" t="inlineStr">
        <is>
          <t>0789</t>
        </is>
      </c>
      <c r="R2" s="150" t="n">
        <v>1939985</v>
      </c>
      <c r="S2" s="19" t="n">
        <v>20</v>
      </c>
      <c r="T2" s="147" t="n">
        <v>24</v>
      </c>
      <c r="U2" s="416" t="n"/>
      <c r="V2" s="416" t="n"/>
      <c r="W2" s="147" t="n">
        <v>4</v>
      </c>
    </row>
    <row r="3">
      <c r="A3" s="265" t="inlineStr">
        <is>
          <t>TVS</t>
        </is>
      </c>
      <c r="B3" s="147" t="inlineStr">
        <is>
          <t>RUCHA</t>
        </is>
      </c>
      <c r="C3" s="153" t="inlineStr">
        <is>
          <t>ERW1</t>
        </is>
      </c>
      <c r="D3" s="147" t="inlineStr">
        <is>
          <t>NON FIN</t>
        </is>
      </c>
      <c r="E3" s="147" t="inlineStr">
        <is>
          <t>ERW</t>
        </is>
      </c>
      <c r="F3" s="154" t="n">
        <v>19.05</v>
      </c>
      <c r="G3" s="154" t="n"/>
      <c r="H3" s="154" t="n">
        <v>2</v>
      </c>
      <c r="I3" s="155" t="n">
        <v>5800</v>
      </c>
      <c r="J3" s="147" t="n">
        <v>5.8</v>
      </c>
      <c r="K3" s="147" t="n">
        <v>0</v>
      </c>
      <c r="L3" s="147" t="n"/>
      <c r="M3" s="147" t="inlineStr">
        <is>
          <t>19.0525.8ERWNON FIN</t>
        </is>
      </c>
      <c r="N3" s="147" t="inlineStr">
        <is>
          <t>19.05-0-2-ERW 1-PE</t>
        </is>
      </c>
      <c r="O3" s="147" t="inlineStr">
        <is>
          <t>19.05-0-2-ERW 1-PE-5.8</t>
        </is>
      </c>
      <c r="P3" s="147" t="inlineStr">
        <is>
          <t>Value Added</t>
        </is>
      </c>
      <c r="Q3" s="151" t="inlineStr">
        <is>
          <t>056</t>
        </is>
      </c>
      <c r="R3" s="150" t="n">
        <v>4067800</v>
      </c>
      <c r="S3" s="19" t="n">
        <v>35</v>
      </c>
      <c r="T3" s="147" t="n">
        <v>10</v>
      </c>
      <c r="U3" s="416" t="n"/>
      <c r="V3" s="416" t="n"/>
      <c r="W3" s="147" t="n">
        <v>50</v>
      </c>
    </row>
    <row r="4">
      <c r="A4" s="265" t="inlineStr">
        <is>
          <t>TVS</t>
        </is>
      </c>
      <c r="B4" s="147" t="inlineStr">
        <is>
          <t>RUCHA</t>
        </is>
      </c>
      <c r="C4" s="153" t="inlineStr">
        <is>
          <t>ERW1</t>
        </is>
      </c>
      <c r="D4" s="147" t="inlineStr">
        <is>
          <t>NON FIN</t>
        </is>
      </c>
      <c r="E4" s="147" t="inlineStr">
        <is>
          <t>ERW</t>
        </is>
      </c>
      <c r="F4" s="148" t="n">
        <v>22.2</v>
      </c>
      <c r="G4" s="148" t="n"/>
      <c r="H4" s="148" t="n">
        <v>1.2</v>
      </c>
      <c r="I4" s="147" t="n">
        <v>5870</v>
      </c>
      <c r="J4" s="147" t="n">
        <v>5.87</v>
      </c>
      <c r="K4" s="147" t="n">
        <v>0</v>
      </c>
      <c r="L4" s="147" t="n"/>
      <c r="M4" s="147" t="inlineStr">
        <is>
          <t>22.21.25.87ERWNON FIN</t>
        </is>
      </c>
      <c r="N4" s="147" t="inlineStr">
        <is>
          <t>22.23-0-1.2-ERW 1-PE</t>
        </is>
      </c>
      <c r="O4" s="147" t="inlineStr">
        <is>
          <t>22.23-0-1.2-ERW 1-PE-5.87</t>
        </is>
      </c>
      <c r="P4" s="147" t="inlineStr">
        <is>
          <t>Value Added</t>
        </is>
      </c>
      <c r="Q4" s="151" t="inlineStr">
        <is>
          <t>056</t>
        </is>
      </c>
      <c r="R4" s="385" t="n">
        <v>3882110</v>
      </c>
      <c r="S4" s="19" t="n">
        <v>20</v>
      </c>
      <c r="T4" s="147" t="n">
        <v>0</v>
      </c>
      <c r="U4" s="416" t="n"/>
      <c r="V4" s="416" t="n"/>
      <c r="W4" s="147" t="n">
        <v>35</v>
      </c>
    </row>
    <row r="5">
      <c r="A5" s="265" t="inlineStr">
        <is>
          <t>TVS</t>
        </is>
      </c>
      <c r="B5" s="147" t="inlineStr">
        <is>
          <t>RUCHA</t>
        </is>
      </c>
      <c r="C5" s="153" t="inlineStr">
        <is>
          <t>ERW1</t>
        </is>
      </c>
      <c r="D5" s="147" t="inlineStr">
        <is>
          <t>NON FIN</t>
        </is>
      </c>
      <c r="E5" s="147" t="inlineStr">
        <is>
          <t>ERW</t>
        </is>
      </c>
      <c r="F5" s="148" t="n">
        <v>22.2</v>
      </c>
      <c r="G5" s="148" t="n"/>
      <c r="H5" s="148" t="n">
        <v>1.6</v>
      </c>
      <c r="I5" s="147" t="n">
        <v>5270</v>
      </c>
      <c r="J5" s="147" t="n">
        <v>5.27</v>
      </c>
      <c r="K5" s="147" t="n">
        <v>0</v>
      </c>
      <c r="L5" s="147" t="n"/>
      <c r="M5" s="147" t="inlineStr">
        <is>
          <t>22.21.65.27ERWNON FIN</t>
        </is>
      </c>
      <c r="N5" s="147" t="inlineStr">
        <is>
          <t>22.23-0-1.6-ERW 1-PE</t>
        </is>
      </c>
      <c r="O5" s="147" t="inlineStr">
        <is>
          <t>22.23-0-1.6-ERW 1-PE-5.27</t>
        </is>
      </c>
      <c r="P5" s="147" t="inlineStr">
        <is>
          <t>Value Added</t>
        </is>
      </c>
      <c r="Q5" s="151" t="inlineStr">
        <is>
          <t>0789</t>
        </is>
      </c>
      <c r="R5" s="150" t="n">
        <v>3575894</v>
      </c>
      <c r="S5" s="19" t="n">
        <v>35</v>
      </c>
      <c r="T5" s="147" t="n">
        <v>40</v>
      </c>
      <c r="U5" s="416" t="n"/>
      <c r="V5" s="416" t="n"/>
      <c r="W5" s="147" t="n">
        <v>3</v>
      </c>
    </row>
    <row r="6">
      <c r="A6" s="265" t="inlineStr">
        <is>
          <t>TVS</t>
        </is>
      </c>
      <c r="B6" s="147" t="inlineStr">
        <is>
          <t>RUCHA</t>
        </is>
      </c>
      <c r="C6" s="153" t="inlineStr">
        <is>
          <t>ERW1</t>
        </is>
      </c>
      <c r="D6" s="147" t="inlineStr">
        <is>
          <t>NON FIN</t>
        </is>
      </c>
      <c r="E6" s="147" t="inlineStr">
        <is>
          <t>ERW</t>
        </is>
      </c>
      <c r="F6" s="148" t="n">
        <v>22.2</v>
      </c>
      <c r="G6" s="148" t="n"/>
      <c r="H6" s="148" t="n">
        <v>1.6</v>
      </c>
      <c r="I6" s="147" t="n">
        <v>5670</v>
      </c>
      <c r="J6" s="147" t="n">
        <v>5.67</v>
      </c>
      <c r="K6" s="147" t="n">
        <v>0</v>
      </c>
      <c r="L6" s="147" t="n"/>
      <c r="M6" s="147" t="inlineStr">
        <is>
          <t>22.21.65.67ERWNON FIN</t>
        </is>
      </c>
      <c r="N6" s="147" t="inlineStr">
        <is>
          <t>22.23-0-1.6-ERW 1-PE</t>
        </is>
      </c>
      <c r="O6" s="147" t="inlineStr">
        <is>
          <t>22.23-0-1.6-ERW 1-PE-5.67</t>
        </is>
      </c>
      <c r="P6" s="147" t="inlineStr">
        <is>
          <t>Value Added</t>
        </is>
      </c>
      <c r="Q6" s="151" t="inlineStr">
        <is>
          <t>056</t>
        </is>
      </c>
      <c r="R6" s="150" t="n">
        <v>4055022</v>
      </c>
      <c r="S6" s="19" t="n">
        <v>40</v>
      </c>
      <c r="T6" s="147" t="n">
        <v>15</v>
      </c>
      <c r="U6" s="416" t="n"/>
      <c r="V6" s="416" t="n"/>
      <c r="W6" s="147" t="n">
        <v>38</v>
      </c>
    </row>
    <row r="7">
      <c r="A7" s="265" t="inlineStr">
        <is>
          <t>TVS</t>
        </is>
      </c>
      <c r="B7" s="147" t="inlineStr">
        <is>
          <t>RUCHA</t>
        </is>
      </c>
      <c r="C7" s="155" t="inlineStr">
        <is>
          <t>ERW1</t>
        </is>
      </c>
      <c r="D7" s="147" t="inlineStr">
        <is>
          <t>NON FIN</t>
        </is>
      </c>
      <c r="E7" s="147" t="inlineStr">
        <is>
          <t>ERW</t>
        </is>
      </c>
      <c r="F7" s="154" t="n">
        <v>22.2</v>
      </c>
      <c r="G7" s="154" t="n"/>
      <c r="H7" s="154" t="n">
        <v>2</v>
      </c>
      <c r="I7" s="155" t="n">
        <v>5950</v>
      </c>
      <c r="J7" s="147" t="n">
        <v>5.95</v>
      </c>
      <c r="K7" s="147" t="n">
        <v>0</v>
      </c>
      <c r="L7" s="147" t="n"/>
      <c r="M7" s="147" t="inlineStr">
        <is>
          <t>22.225.95ERWNON FIN</t>
        </is>
      </c>
      <c r="N7" s="147" t="inlineStr">
        <is>
          <t>22.23-0-2-ERW 1-PE</t>
        </is>
      </c>
      <c r="O7" s="147" t="inlineStr">
        <is>
          <t>22.23-0-2-ERW 1-PE-5.951</t>
        </is>
      </c>
      <c r="P7" s="147" t="inlineStr">
        <is>
          <t>Value Added</t>
        </is>
      </c>
      <c r="Q7" s="151" t="inlineStr">
        <is>
          <t>056</t>
        </is>
      </c>
      <c r="R7" s="385" t="n">
        <v>3905466</v>
      </c>
      <c r="S7" s="19" t="n">
        <v>50</v>
      </c>
      <c r="T7" s="147" t="n">
        <v>87</v>
      </c>
      <c r="U7" s="416" t="n"/>
      <c r="V7" s="416" t="n"/>
      <c r="W7" s="147" t="n">
        <v>0</v>
      </c>
    </row>
    <row r="8">
      <c r="A8" s="265" t="inlineStr">
        <is>
          <t>TVS</t>
        </is>
      </c>
      <c r="B8" s="147" t="inlineStr">
        <is>
          <t>RUCHA</t>
        </is>
      </c>
      <c r="C8" s="147" t="inlineStr">
        <is>
          <t>ERW2</t>
        </is>
      </c>
      <c r="D8" s="147" t="inlineStr">
        <is>
          <t>FIN CUT</t>
        </is>
      </c>
      <c r="E8" s="147" t="inlineStr">
        <is>
          <t>HST</t>
        </is>
      </c>
      <c r="F8" s="148" t="n">
        <v>22.2</v>
      </c>
      <c r="G8" s="148" t="n"/>
      <c r="H8" s="148" t="n">
        <v>2</v>
      </c>
      <c r="I8" s="147" t="n">
        <v>6000</v>
      </c>
      <c r="J8" s="147" t="n">
        <v>6000</v>
      </c>
      <c r="K8" s="147" t="n">
        <v>0</v>
      </c>
      <c r="L8" s="147" t="n"/>
      <c r="M8" s="147" t="inlineStr">
        <is>
          <t>22.226000HSTFIN CUT</t>
        </is>
      </c>
      <c r="N8" s="147" t="inlineStr">
        <is>
          <t>22.23-0-2-ERW 2 MAHS-FC</t>
        </is>
      </c>
      <c r="O8" s="147" t="inlineStr">
        <is>
          <t>22.23-0-2-ERW 2 MAHS-FC-6.001</t>
        </is>
      </c>
      <c r="P8" s="147" t="inlineStr">
        <is>
          <t>Value Added</t>
        </is>
      </c>
      <c r="Q8" s="151" t="inlineStr">
        <is>
          <t>056</t>
        </is>
      </c>
      <c r="R8" s="150" t="n">
        <v>3502494</v>
      </c>
      <c r="S8" s="19" t="n">
        <v>50</v>
      </c>
      <c r="T8" s="147" t="n">
        <v>34</v>
      </c>
      <c r="U8" s="416" t="n"/>
      <c r="V8" s="416" t="n"/>
      <c r="W8" s="147" t="n">
        <v>5</v>
      </c>
    </row>
    <row r="9">
      <c r="A9" s="265" t="inlineStr">
        <is>
          <t>TVS</t>
        </is>
      </c>
      <c r="B9" s="147" t="inlineStr">
        <is>
          <t>RUCHA,METALMAN</t>
        </is>
      </c>
      <c r="C9" s="153" t="inlineStr">
        <is>
          <t>ERW1</t>
        </is>
      </c>
      <c r="D9" s="147" t="inlineStr">
        <is>
          <t>FIN CUT</t>
        </is>
      </c>
      <c r="E9" s="147" t="inlineStr">
        <is>
          <t>ERW</t>
        </is>
      </c>
      <c r="F9" s="148" t="n">
        <v>38.1</v>
      </c>
      <c r="G9" s="148" t="n"/>
      <c r="H9" s="148" t="n">
        <v>2</v>
      </c>
      <c r="I9" s="147" t="n">
        <v>5650</v>
      </c>
      <c r="J9" s="147" t="n">
        <v>5.65</v>
      </c>
      <c r="K9" s="147" t="n">
        <v>0</v>
      </c>
      <c r="L9" s="147" t="n"/>
      <c r="M9" s="147" t="inlineStr">
        <is>
          <t>38.125.65ERWFIN CUT</t>
        </is>
      </c>
      <c r="N9" s="147" t="inlineStr">
        <is>
          <t>38.1-0-2-ERW 1-FC</t>
        </is>
      </c>
      <c r="O9" s="147" t="inlineStr">
        <is>
          <t>38.1-0-2-ERW 1-FC-5.65</t>
        </is>
      </c>
      <c r="P9" s="147" t="inlineStr">
        <is>
          <t>Value Added</t>
        </is>
      </c>
      <c r="Q9" s="151" t="inlineStr">
        <is>
          <t>056</t>
        </is>
      </c>
      <c r="R9" s="150" t="n">
        <v>3500959</v>
      </c>
      <c r="S9" s="19" t="n">
        <v>30</v>
      </c>
      <c r="T9" s="147" t="n">
        <v>49</v>
      </c>
      <c r="U9" s="416" t="n"/>
      <c r="V9" s="416" t="n"/>
      <c r="W9" s="147" t="n">
        <v>28</v>
      </c>
    </row>
    <row r="10">
      <c r="A10" s="265" t="inlineStr">
        <is>
          <t>TVS</t>
        </is>
      </c>
      <c r="B10" s="147" t="inlineStr">
        <is>
          <t>RUCHA,METALMAN</t>
        </is>
      </c>
      <c r="C10" s="153" t="inlineStr">
        <is>
          <t>ERW1</t>
        </is>
      </c>
      <c r="D10" s="147" t="inlineStr">
        <is>
          <t>FIN CUT</t>
        </is>
      </c>
      <c r="E10" s="147" t="inlineStr">
        <is>
          <t>ERW</t>
        </is>
      </c>
      <c r="F10" s="148" t="n">
        <v>57.15</v>
      </c>
      <c r="G10" s="148" t="n"/>
      <c r="H10" s="148" t="n">
        <v>2.5</v>
      </c>
      <c r="I10" s="147" t="n">
        <v>5710</v>
      </c>
      <c r="J10" s="147" t="n">
        <v>5.71</v>
      </c>
      <c r="K10" s="147" t="n">
        <v>0</v>
      </c>
      <c r="L10" s="147" t="n"/>
      <c r="M10" s="147" t="inlineStr">
        <is>
          <t>57.152.55.71ERWFIN CUT</t>
        </is>
      </c>
      <c r="N10" s="147" t="inlineStr">
        <is>
          <t>57.15-0-2.5-ERW 1-FC</t>
        </is>
      </c>
      <c r="O10" s="147" t="inlineStr">
        <is>
          <t>57.15-0-2.5-ERW 1-FC-5.711</t>
        </is>
      </c>
      <c r="P10" s="147" t="inlineStr">
        <is>
          <t>Value Added</t>
        </is>
      </c>
      <c r="Q10" s="151" t="inlineStr">
        <is>
          <t>056</t>
        </is>
      </c>
      <c r="R10" s="150" t="n">
        <v>3907863</v>
      </c>
      <c r="S10" s="19" t="n">
        <v>80</v>
      </c>
      <c r="T10" s="147">
        <f>128+27.5</f>
        <v/>
      </c>
      <c r="U10" s="416" t="n"/>
      <c r="V10" s="416" t="n"/>
      <c r="W10" s="147" t="n">
        <v>80</v>
      </c>
    </row>
    <row r="11">
      <c r="A11" s="265" t="inlineStr">
        <is>
          <t>TVS</t>
        </is>
      </c>
      <c r="B11" s="147" t="inlineStr">
        <is>
          <t>RUCHA,METALMAN</t>
        </is>
      </c>
      <c r="C11" s="153" t="inlineStr">
        <is>
          <t>ERW1</t>
        </is>
      </c>
      <c r="D11" s="147" t="inlineStr">
        <is>
          <t>FIN CUT</t>
        </is>
      </c>
      <c r="E11" s="147" t="inlineStr">
        <is>
          <t>ERW</t>
        </is>
      </c>
      <c r="F11" s="148" t="n">
        <v>57.15</v>
      </c>
      <c r="G11" s="148" t="n"/>
      <c r="H11" s="148" t="n">
        <v>2.5</v>
      </c>
      <c r="I11" s="147" t="n">
        <v>5950</v>
      </c>
      <c r="J11" s="147" t="n">
        <v>5.95</v>
      </c>
      <c r="K11" s="147" t="n">
        <v>0</v>
      </c>
      <c r="L11" s="147" t="n"/>
      <c r="M11" s="147" t="inlineStr">
        <is>
          <t>57.152.55.95ERWFIN CUT</t>
        </is>
      </c>
      <c r="N11" s="147" t="inlineStr">
        <is>
          <t>57.15-0-2.5-ERW 1-FC</t>
        </is>
      </c>
      <c r="O11" s="147" t="inlineStr">
        <is>
          <t>57.15-0-2.5-ERW 1-FC-5.95</t>
        </is>
      </c>
      <c r="P11" s="147" t="inlineStr">
        <is>
          <t>Value Added</t>
        </is>
      </c>
      <c r="Q11" s="151" t="inlineStr">
        <is>
          <t>056</t>
        </is>
      </c>
      <c r="R11" s="150" t="n">
        <v>4054700</v>
      </c>
      <c r="S11" s="19" t="n">
        <v>20</v>
      </c>
      <c r="T11" s="147" t="n">
        <v>0</v>
      </c>
      <c r="U11" s="416" t="n"/>
      <c r="V11" s="416" t="n"/>
      <c r="W11" s="147" t="n">
        <v>0</v>
      </c>
    </row>
    <row r="12">
      <c r="A12" s="265" t="inlineStr">
        <is>
          <t>TVS</t>
        </is>
      </c>
      <c r="B12" s="147" t="inlineStr">
        <is>
          <t>RUCHA,METALMAN</t>
        </is>
      </c>
      <c r="C12" s="153" t="inlineStr">
        <is>
          <t>ERW1</t>
        </is>
      </c>
      <c r="D12" s="147" t="inlineStr">
        <is>
          <t>FIN CUT</t>
        </is>
      </c>
      <c r="E12" s="147" t="inlineStr">
        <is>
          <t>ERW</t>
        </is>
      </c>
      <c r="F12" s="148" t="n">
        <v>57.15</v>
      </c>
      <c r="G12" s="148" t="n"/>
      <c r="H12" s="148" t="n">
        <v>2.5</v>
      </c>
      <c r="I12" s="147" t="n">
        <v>6100</v>
      </c>
      <c r="J12" s="147" t="n">
        <v>6.1</v>
      </c>
      <c r="K12" s="147" t="n">
        <v>0</v>
      </c>
      <c r="L12" s="147" t="n"/>
      <c r="M12" s="147" t="inlineStr">
        <is>
          <t>57.152.56.1ERWFIN CUT</t>
        </is>
      </c>
      <c r="N12" s="147" t="inlineStr">
        <is>
          <t>57.15-0-2.5-ERW 1-FC</t>
        </is>
      </c>
      <c r="O12" s="147" t="inlineStr">
        <is>
          <t>57.15-0-2.5-ERW 1-FC-6.1</t>
        </is>
      </c>
      <c r="P12" s="147" t="inlineStr">
        <is>
          <t>Value Added</t>
        </is>
      </c>
      <c r="Q12" s="151" t="inlineStr">
        <is>
          <t>056</t>
        </is>
      </c>
      <c r="R12" s="150" t="n">
        <v>3910001</v>
      </c>
      <c r="S12" s="19" t="n">
        <v>80</v>
      </c>
      <c r="T12" s="147" t="n">
        <v>147</v>
      </c>
      <c r="U12" s="416" t="n"/>
      <c r="V12" s="416" t="n"/>
      <c r="W12" s="147" t="n">
        <v>4</v>
      </c>
    </row>
    <row r="13">
      <c r="A13" s="389" t="inlineStr">
        <is>
          <t>TVS</t>
        </is>
      </c>
      <c r="B13" s="285" t="inlineStr">
        <is>
          <t>METALMAN</t>
        </is>
      </c>
      <c r="C13" s="390" t="inlineStr">
        <is>
          <t>ERW1</t>
        </is>
      </c>
      <c r="D13" s="285" t="inlineStr">
        <is>
          <t>FIN CUT</t>
        </is>
      </c>
      <c r="E13" s="285" t="inlineStr">
        <is>
          <t>ERW</t>
        </is>
      </c>
      <c r="F13" s="391" t="n">
        <v>60.3</v>
      </c>
      <c r="G13" s="391" t="n"/>
      <c r="H13" s="391" t="n">
        <v>2</v>
      </c>
      <c r="I13" s="285" t="n">
        <v>5900</v>
      </c>
      <c r="J13" s="285" t="n">
        <v>5.9</v>
      </c>
      <c r="K13" s="285" t="n">
        <v>0</v>
      </c>
      <c r="L13" s="285" t="n"/>
      <c r="M13" s="285" t="inlineStr">
        <is>
          <t>60.325.9ERWFIN CUT</t>
        </is>
      </c>
      <c r="N13" s="147" t="inlineStr">
        <is>
          <t>60.3-0-2-ERW 1-FC</t>
        </is>
      </c>
      <c r="O13" s="147" t="inlineStr">
        <is>
          <t>60.3-0-2-ERW 1-FC-5.9</t>
        </is>
      </c>
      <c r="P13" s="147" t="inlineStr">
        <is>
          <t>Value Added</t>
        </is>
      </c>
      <c r="Q13" s="151" t="inlineStr">
        <is>
          <t>0788</t>
        </is>
      </c>
      <c r="R13" s="147" t="n">
        <v>3905049</v>
      </c>
      <c r="S13" s="392" t="n">
        <v>30</v>
      </c>
      <c r="T13" s="147" t="n">
        <v>0</v>
      </c>
      <c r="U13" s="416" t="n"/>
      <c r="V13" s="416" t="n"/>
      <c r="W13" s="147" t="n">
        <v>30</v>
      </c>
    </row>
    <row r="14">
      <c r="I14" s="152" t="inlineStr">
        <is>
          <t>TOTAL</t>
        </is>
      </c>
      <c r="J14" s="152" t="n"/>
      <c r="K14" s="147" t="n"/>
      <c r="L14" s="147" t="n"/>
      <c r="M14" s="152" t="n"/>
      <c r="N14" s="152" t="n"/>
      <c r="O14" s="152" t="n"/>
      <c r="P14" s="152" t="n"/>
      <c r="Q14" s="152" t="n"/>
      <c r="R14" s="152" t="n"/>
      <c r="S14" s="152" t="n">
        <v>583.4</v>
      </c>
      <c r="T14" s="446" t="n">
        <v>523.5</v>
      </c>
      <c r="U14" s="446" t="n"/>
      <c r="V14" s="446" t="n"/>
    </row>
  </sheetData>
  <conditionalFormatting sqref="M2:P13">
    <cfRule type="duplicateValues" priority="1" dxfId="0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:A1048576"/>
    </sheetView>
  </sheetViews>
  <sheetFormatPr baseColWidth="8" defaultRowHeight="15"/>
  <cols>
    <col width="14.85546875" bestFit="1" customWidth="1" style="584" min="2" max="2"/>
    <col width="31.7109375" bestFit="1" customWidth="1" style="584" min="3" max="3"/>
    <col width="6" bestFit="1" customWidth="1" style="584" min="4" max="4"/>
    <col width="42.7109375" bestFit="1" customWidth="1" style="584" min="13" max="13"/>
    <col width="10" bestFit="1" customWidth="1" style="584" min="15" max="15"/>
  </cols>
  <sheetData>
    <row r="1" ht="42.75" customHeight="1" s="584">
      <c r="A1" s="429" t="inlineStr">
        <is>
          <t>S. No.</t>
        </is>
      </c>
      <c r="B1" s="429" t="inlineStr">
        <is>
          <t>Item ID</t>
        </is>
      </c>
      <c r="C1" s="429" t="inlineStr">
        <is>
          <t>Description</t>
        </is>
      </c>
      <c r="D1" s="429" t="inlineStr">
        <is>
          <t>Units</t>
        </is>
      </c>
      <c r="E1" s="429" t="inlineStr">
        <is>
          <t>Total Schedule</t>
        </is>
      </c>
      <c r="F1" s="429" t="inlineStr">
        <is>
          <t>OD</t>
        </is>
      </c>
      <c r="G1" s="429" t="inlineStr">
        <is>
          <t>ID</t>
        </is>
      </c>
      <c r="H1" s="429" t="inlineStr">
        <is>
          <t>Thickness</t>
        </is>
      </c>
      <c r="I1" s="429" t="inlineStr">
        <is>
          <t>Length</t>
        </is>
      </c>
      <c r="J1" s="429" t="inlineStr">
        <is>
          <t>Grade</t>
        </is>
      </c>
      <c r="K1" s="429" t="inlineStr">
        <is>
          <t>Mother Length</t>
        </is>
      </c>
      <c r="L1" s="429" t="inlineStr">
        <is>
          <t>Material Code</t>
        </is>
      </c>
      <c r="M1" s="429" t="inlineStr">
        <is>
          <t>Material Description</t>
        </is>
      </c>
      <c r="N1" s="429" t="inlineStr">
        <is>
          <t>Plant</t>
        </is>
      </c>
      <c r="O1" s="429" t="inlineStr">
        <is>
          <t>KG</t>
        </is>
      </c>
    </row>
    <row r="2">
      <c r="A2" s="428" t="n">
        <v>2</v>
      </c>
      <c r="B2" s="428" t="inlineStr">
        <is>
          <t>AAA231082AR</t>
        </is>
      </c>
      <c r="C2" s="430" t="inlineStr">
        <is>
          <t>19.05 x 2.00 x R/L ERW UN ANN</t>
        </is>
      </c>
      <c r="D2" s="431" t="inlineStr">
        <is>
          <t>Mtrs</t>
        </is>
      </c>
      <c r="E2" s="620" t="n">
        <v>3000</v>
      </c>
      <c r="F2" s="15" t="n">
        <v>19.05</v>
      </c>
      <c r="G2" s="15" t="n">
        <v>0</v>
      </c>
      <c r="H2" s="15" t="n">
        <v>2</v>
      </c>
      <c r="I2" s="15" t="n">
        <v>1000</v>
      </c>
      <c r="J2" s="15" t="inlineStr">
        <is>
          <t>ERW 1</t>
        </is>
      </c>
      <c r="K2" s="15">
        <f>(I2)*6</f>
        <v/>
      </c>
      <c r="L2" s="15" t="n">
        <v>3499307</v>
      </c>
      <c r="M2" s="15">
        <f>VLOOKUP(L2,#REF!,2,0)</f>
        <v/>
      </c>
      <c r="N2" s="61" t="inlineStr">
        <is>
          <t>056</t>
        </is>
      </c>
      <c r="O2" s="109">
        <f>(3.14*(F2-H2)*H2*7.85*1000)/1000000*I2/1000*E2</f>
        <v/>
      </c>
    </row>
    <row r="3">
      <c r="A3" s="428" t="n">
        <v>5</v>
      </c>
      <c r="B3" s="428" t="inlineStr">
        <is>
          <t>AAA247224AR</t>
        </is>
      </c>
      <c r="C3" s="430" t="inlineStr">
        <is>
          <t>22.23 x 1.60 x 1222 ERW1-270</t>
        </is>
      </c>
      <c r="D3" s="431" t="inlineStr">
        <is>
          <t>Nos</t>
        </is>
      </c>
      <c r="E3" s="620" t="n">
        <v>8000</v>
      </c>
      <c r="F3" s="15" t="n">
        <v>22.23</v>
      </c>
      <c r="G3" s="15" t="n">
        <v>0</v>
      </c>
      <c r="H3" s="15" t="n">
        <v>1.6</v>
      </c>
      <c r="I3" s="15" t="n">
        <v>1222</v>
      </c>
      <c r="J3" s="15" t="inlineStr">
        <is>
          <t>ERW 1</t>
        </is>
      </c>
      <c r="K3" s="15">
        <f>(I3+3)*4+60</f>
        <v/>
      </c>
      <c r="L3" s="15" t="n">
        <v>3501116</v>
      </c>
      <c r="M3" s="15">
        <f>VLOOKUP(L3,#REF!,2,0)</f>
        <v/>
      </c>
      <c r="N3" s="61" t="inlineStr">
        <is>
          <t>056</t>
        </is>
      </c>
      <c r="O3" s="109">
        <f>(3.14*(F3-H3)*H3*7.85*1000)/1000000*I3/1000*E3</f>
        <v/>
      </c>
    </row>
    <row r="4">
      <c r="A4" s="428" t="n">
        <v>6</v>
      </c>
      <c r="B4" s="428" t="inlineStr">
        <is>
          <t>AAA247225AR</t>
        </is>
      </c>
      <c r="C4" s="430" t="inlineStr">
        <is>
          <t>22.23 x 1.60 x 1290 ERW1-270</t>
        </is>
      </c>
      <c r="D4" s="431" t="inlineStr">
        <is>
          <t>Nos</t>
        </is>
      </c>
      <c r="E4" s="620" t="n">
        <v>19000</v>
      </c>
      <c r="F4" s="15" t="n">
        <v>22.23</v>
      </c>
      <c r="G4" s="15" t="n">
        <v>0</v>
      </c>
      <c r="H4" s="15" t="n">
        <v>1.6</v>
      </c>
      <c r="I4" s="15" t="n">
        <v>1290</v>
      </c>
      <c r="J4" s="15" t="inlineStr">
        <is>
          <t>ERW 1</t>
        </is>
      </c>
      <c r="K4" s="15">
        <f>(I4+3)*4+60</f>
        <v/>
      </c>
      <c r="L4" s="15" t="n">
        <v>3501116</v>
      </c>
      <c r="M4" s="15">
        <f>VLOOKUP(L4,#REF!,2,0)</f>
        <v/>
      </c>
      <c r="N4" s="61" t="inlineStr">
        <is>
          <t>056</t>
        </is>
      </c>
      <c r="O4" s="109">
        <f>(3.14*(F4-H4)*H4*7.85*1000)/1000000*I4/1000*E4</f>
        <v/>
      </c>
    </row>
    <row r="5">
      <c r="A5" s="428" t="n">
        <v>7</v>
      </c>
      <c r="B5" s="428" t="inlineStr">
        <is>
          <t>AAA147196AR</t>
        </is>
      </c>
      <c r="C5" s="428" t="inlineStr">
        <is>
          <t>34.93 x 1.20 x 390 ERW UNANN</t>
        </is>
      </c>
      <c r="D5" s="431" t="inlineStr">
        <is>
          <t>Nos</t>
        </is>
      </c>
      <c r="E5" s="620" t="n">
        <v>17000</v>
      </c>
      <c r="F5" s="15" t="n">
        <v>34.93</v>
      </c>
      <c r="G5" s="15" t="n">
        <v>0</v>
      </c>
      <c r="H5" s="15" t="n">
        <v>1.2</v>
      </c>
      <c r="I5" s="15" t="n">
        <v>390</v>
      </c>
      <c r="J5" s="15" t="inlineStr">
        <is>
          <t>ERW 1</t>
        </is>
      </c>
      <c r="K5" s="15">
        <f>(I5+3)*13+60</f>
        <v/>
      </c>
      <c r="L5" s="15" t="n">
        <v>3499589</v>
      </c>
      <c r="M5" s="15">
        <f>VLOOKUP(L5,#REF!,2,0)</f>
        <v/>
      </c>
      <c r="N5" s="61" t="inlineStr">
        <is>
          <t>056</t>
        </is>
      </c>
      <c r="O5" s="109">
        <f>(3.14*(F5-H5)*H5*7.85*1000)/1000000*I5/1000*E5</f>
        <v/>
      </c>
    </row>
    <row r="6">
      <c r="A6" s="428" t="n">
        <v>9</v>
      </c>
      <c r="B6" s="428" t="inlineStr">
        <is>
          <t>AAA231266AR</t>
        </is>
      </c>
      <c r="C6" s="428" t="inlineStr">
        <is>
          <t>22.23 x 2.00 x 812 ERW HST</t>
        </is>
      </c>
      <c r="D6" s="431" t="inlineStr">
        <is>
          <t>Nos</t>
        </is>
      </c>
      <c r="E6" s="620" t="n">
        <v>300</v>
      </c>
      <c r="F6" s="15" t="n">
        <v>22.23</v>
      </c>
      <c r="G6" s="15" t="n">
        <v>0</v>
      </c>
      <c r="H6" s="15" t="n">
        <v>2</v>
      </c>
      <c r="I6" s="15" t="n">
        <v>812</v>
      </c>
      <c r="J6" s="15" t="inlineStr">
        <is>
          <t>ERW 2</t>
        </is>
      </c>
      <c r="K6" s="15">
        <f>(I6+3)*7+60</f>
        <v/>
      </c>
      <c r="L6" s="15" t="n">
        <v>3502494</v>
      </c>
      <c r="M6" s="15">
        <f>VLOOKUP(L6,#REF!,2,0)</f>
        <v/>
      </c>
      <c r="N6" s="61" t="inlineStr">
        <is>
          <t>056</t>
        </is>
      </c>
      <c r="O6" s="109">
        <f>(3.14*(F6-H6)*H6*7.85*1000)/1000000*I6/1000*E6</f>
        <v/>
      </c>
    </row>
    <row r="7">
      <c r="O7" s="108">
        <f>SUM(O2:O6)</f>
        <v/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28" workbookViewId="0">
      <selection activeCell="A3" sqref="A3:A47"/>
    </sheetView>
  </sheetViews>
  <sheetFormatPr baseColWidth="8" defaultRowHeight="15"/>
  <cols>
    <col width="18.28515625" bestFit="1" customWidth="1" style="584" min="1" max="1"/>
  </cols>
  <sheetData>
    <row r="1">
      <c r="A1" t="inlineStr">
        <is>
          <t>TVS Material Codes</t>
        </is>
      </c>
      <c r="C1" t="inlineStr">
        <is>
          <t>HMSIL</t>
        </is>
      </c>
      <c r="E1" t="inlineStr">
        <is>
          <t>RE</t>
        </is>
      </c>
    </row>
    <row r="3">
      <c r="A3" t="n">
        <v>1939985</v>
      </c>
      <c r="C3" t="n">
        <v>1940120</v>
      </c>
      <c r="E3" t="n">
        <v>2397073</v>
      </c>
    </row>
    <row r="4">
      <c r="A4" t="n">
        <v>1940054</v>
      </c>
      <c r="C4" t="n">
        <v>3891285</v>
      </c>
      <c r="E4" t="n">
        <v>3649699</v>
      </c>
    </row>
    <row r="5">
      <c r="A5" t="n">
        <v>2288945</v>
      </c>
      <c r="C5" t="n">
        <v>3498997</v>
      </c>
      <c r="E5" t="n">
        <v>2397072</v>
      </c>
    </row>
    <row r="6">
      <c r="A6" t="n">
        <v>3500582</v>
      </c>
      <c r="C6" t="n">
        <v>3829175</v>
      </c>
      <c r="E6" t="n">
        <v>3649700</v>
      </c>
    </row>
    <row r="7">
      <c r="A7" t="n">
        <v>3219710</v>
      </c>
      <c r="C7" t="n">
        <v>2431251</v>
      </c>
      <c r="E7" t="n">
        <v>3751498</v>
      </c>
    </row>
    <row r="8">
      <c r="A8" t="n">
        <v>3882110</v>
      </c>
      <c r="C8" t="n">
        <v>3501900</v>
      </c>
      <c r="E8" t="n">
        <v>3500641</v>
      </c>
    </row>
    <row r="9">
      <c r="A9" t="n">
        <v>3500554</v>
      </c>
      <c r="C9" t="n">
        <v>3557792</v>
      </c>
      <c r="E9" t="n">
        <v>3518437</v>
      </c>
    </row>
    <row r="10">
      <c r="A10" t="n">
        <v>3905466</v>
      </c>
      <c r="C10" t="n">
        <v>3673889</v>
      </c>
      <c r="E10" t="n">
        <v>3500695</v>
      </c>
    </row>
    <row r="11">
      <c r="A11" t="n">
        <v>3502494</v>
      </c>
      <c r="C11" t="n">
        <v>3502343</v>
      </c>
      <c r="E11" t="n">
        <v>3781647</v>
      </c>
    </row>
    <row r="12">
      <c r="A12" t="n">
        <v>3575893</v>
      </c>
      <c r="C12" t="n">
        <v>3502388</v>
      </c>
      <c r="E12" t="n">
        <v>2420716</v>
      </c>
    </row>
    <row r="13">
      <c r="A13" t="n">
        <v>3575894</v>
      </c>
      <c r="C13" t="n">
        <v>3500263</v>
      </c>
      <c r="E13" t="n">
        <v>4072797</v>
      </c>
    </row>
    <row r="14">
      <c r="A14" t="n">
        <v>3500097</v>
      </c>
      <c r="C14" t="n">
        <v>3549720</v>
      </c>
      <c r="E14" t="n">
        <v>3500699</v>
      </c>
    </row>
    <row r="15">
      <c r="A15" t="n">
        <v>3673890</v>
      </c>
      <c r="C15" t="n">
        <v>3502422</v>
      </c>
      <c r="E15" t="n">
        <v>3500635</v>
      </c>
    </row>
    <row r="16">
      <c r="A16" t="n">
        <v>4055021</v>
      </c>
      <c r="C16" t="n">
        <v>3501105</v>
      </c>
    </row>
    <row r="17">
      <c r="A17" t="n">
        <v>3502256</v>
      </c>
      <c r="C17" t="n">
        <v>3702855</v>
      </c>
    </row>
    <row r="18">
      <c r="A18" t="n">
        <v>3884381</v>
      </c>
      <c r="C18" t="n">
        <v>3545558</v>
      </c>
    </row>
    <row r="19">
      <c r="A19" t="n">
        <v>1931387</v>
      </c>
      <c r="C19" t="n">
        <v>3514380</v>
      </c>
    </row>
    <row r="20">
      <c r="A20" t="n">
        <v>3502254</v>
      </c>
      <c r="C20" t="n">
        <v>3502301</v>
      </c>
    </row>
    <row r="21">
      <c r="A21" t="n">
        <v>3500959</v>
      </c>
    </row>
    <row r="22">
      <c r="A22" t="n">
        <v>3533165</v>
      </c>
    </row>
    <row r="23">
      <c r="A23" t="n">
        <v>3502007</v>
      </c>
    </row>
    <row r="24">
      <c r="A24" t="n">
        <v>3919144</v>
      </c>
    </row>
    <row r="25">
      <c r="A25" t="n">
        <v>3925391</v>
      </c>
    </row>
    <row r="26">
      <c r="A26" t="n">
        <v>3974563</v>
      </c>
    </row>
    <row r="27">
      <c r="A27" t="n">
        <v>3994149</v>
      </c>
    </row>
    <row r="28">
      <c r="A28" t="n">
        <v>3597050</v>
      </c>
    </row>
    <row r="29">
      <c r="A29" t="n">
        <v>3500650</v>
      </c>
    </row>
    <row r="30">
      <c r="A30" t="n">
        <v>3500714</v>
      </c>
    </row>
    <row r="31">
      <c r="A31" t="n">
        <v>3907863</v>
      </c>
    </row>
    <row r="32">
      <c r="A32" t="n">
        <v>3501047</v>
      </c>
    </row>
    <row r="33">
      <c r="A33" t="n">
        <v>4045220</v>
      </c>
    </row>
    <row r="34">
      <c r="A34" t="n">
        <v>3910001</v>
      </c>
    </row>
    <row r="35">
      <c r="A35" t="n">
        <v>1940925</v>
      </c>
    </row>
    <row r="36">
      <c r="A36" t="n">
        <v>3905049</v>
      </c>
    </row>
    <row r="37">
      <c r="A37" t="n">
        <v>2442390</v>
      </c>
    </row>
    <row r="38">
      <c r="A38" t="n">
        <v>236166</v>
      </c>
    </row>
    <row r="39">
      <c r="A39" t="n">
        <v>3212868</v>
      </c>
    </row>
    <row r="40">
      <c r="A40" t="n">
        <v>4055022</v>
      </c>
    </row>
    <row r="41">
      <c r="A41" t="n">
        <v>3240023</v>
      </c>
    </row>
    <row r="42">
      <c r="A42" t="n">
        <v>3702101</v>
      </c>
    </row>
    <row r="43">
      <c r="A43" t="n">
        <v>2410388</v>
      </c>
    </row>
    <row r="44">
      <c r="A44" t="n">
        <v>1940701</v>
      </c>
    </row>
    <row r="45">
      <c r="A45" t="n">
        <v>2396465</v>
      </c>
    </row>
    <row r="46">
      <c r="A46" t="n">
        <v>3501985</v>
      </c>
    </row>
    <row r="47">
      <c r="A47" t="n">
        <v>3836440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 codeName="Sheet38">
    <outlinePr summaryBelow="1" summaryRight="1"/>
    <pageSetUpPr/>
  </sheetPr>
  <dimension ref="A1:G67"/>
  <sheetViews>
    <sheetView topLeftCell="B1" workbookViewId="0">
      <selection activeCell="D7" sqref="D7"/>
    </sheetView>
  </sheetViews>
  <sheetFormatPr baseColWidth="8" defaultRowHeight="15"/>
  <cols>
    <col width="14.42578125" bestFit="1" customWidth="1" style="584" min="1" max="1"/>
    <col width="35.7109375" bestFit="1" customWidth="1" style="584" min="2" max="2"/>
    <col width="18.7109375" bestFit="1" customWidth="1" style="584" min="3" max="3"/>
    <col width="42.7109375" bestFit="1" customWidth="1" style="584" min="4" max="4"/>
    <col width="24.7109375" bestFit="1" customWidth="1" style="584" min="6" max="6"/>
  </cols>
  <sheetData>
    <row r="1">
      <c r="A1" s="163" t="inlineStr">
        <is>
          <t>CUSTOMER  CD</t>
        </is>
      </c>
      <c r="B1" s="164" t="inlineStr">
        <is>
          <t>CUSTOMER  NAME</t>
        </is>
      </c>
      <c r="C1" s="164" t="inlineStr">
        <is>
          <t>MATERAIL NUMBER</t>
        </is>
      </c>
      <c r="D1" s="164" t="inlineStr">
        <is>
          <t>Material   Description</t>
        </is>
      </c>
      <c r="E1" s="164" t="inlineStr">
        <is>
          <t>Length for TATA Tubes Material</t>
        </is>
      </c>
      <c r="F1" s="166" t="inlineStr">
        <is>
          <t>Bucket</t>
        </is>
      </c>
      <c r="G1" s="166" t="inlineStr">
        <is>
          <t>Length Bucket</t>
        </is>
      </c>
    </row>
    <row r="2">
      <c r="A2">
        <f t="array" ref="A2:E67">_xlfn.UNIQUE(_xlfn.CHOOSECOLS(meghsteelsales_currentmonth[],_xlfn.XMATCH(A1:E1,meghsteelsales_currentmonth[#Headers])))</f>
        <v/>
      </c>
      <c r="B2" t="inlineStr">
        <is>
          <t>MEGH STEELS PRIVATE LIMITED - TVS A</t>
        </is>
      </c>
      <c r="C2" t="n">
        <v>3907863</v>
      </c>
      <c r="D2" t="inlineStr">
        <is>
          <t>TUB-O-N-AUT-AW-FC-57.15X2.500X5.7110</t>
        </is>
      </c>
      <c r="E2" t="n">
        <v>5.711</v>
      </c>
      <c r="F2">
        <f>VLOOKUP(C2,buckets[#All],9,0)</f>
        <v/>
      </c>
    </row>
    <row r="3">
      <c r="A3" t="inlineStr">
        <is>
          <t>0000943209</t>
        </is>
      </c>
      <c r="B3" t="inlineStr">
        <is>
          <t>MEGH STEELS PRIVATE LIMITED - TVS A</t>
        </is>
      </c>
      <c r="C3" t="n">
        <v>3500582</v>
      </c>
      <c r="D3" t="inlineStr">
        <is>
          <t>TUB-O-N-AUT-AW-PE-19.05X2.300X7.00-ERW 1</t>
        </is>
      </c>
      <c r="E3" t="n">
        <v>7</v>
      </c>
      <c r="F3">
        <f>VLOOKUP(C3,buckets[#All],9,0)</f>
        <v/>
      </c>
    </row>
    <row r="4">
      <c r="A4" t="inlineStr">
        <is>
          <t>0000943209</t>
        </is>
      </c>
      <c r="B4" t="inlineStr">
        <is>
          <t>MEGH STEELS PRIVATE LIMITED - TVS A</t>
        </is>
      </c>
      <c r="C4" t="n">
        <v>3905466</v>
      </c>
      <c r="D4" t="inlineStr">
        <is>
          <t>TUB-O-N-AUT-AW-PE-22.20X2.000X5.9510</t>
        </is>
      </c>
      <c r="E4" t="n">
        <v>5.951</v>
      </c>
      <c r="F4">
        <f>VLOOKUP(C4,buckets[#All],9,0)</f>
        <v/>
      </c>
    </row>
    <row r="5">
      <c r="A5" t="inlineStr">
        <is>
          <t>0000943209</t>
        </is>
      </c>
      <c r="B5" t="inlineStr">
        <is>
          <t>MEGH STEELS PRIVATE LIMITED - TVS A</t>
        </is>
      </c>
      <c r="C5" t="n">
        <v>3910001</v>
      </c>
      <c r="D5" t="inlineStr">
        <is>
          <t>TUB-O-N-AUT-AW-FC-57.15X2.500X6.1000</t>
        </is>
      </c>
      <c r="E5" t="n">
        <v>6.1</v>
      </c>
      <c r="F5">
        <f>VLOOKUP(C5,buckets[#All],9,0)</f>
        <v/>
      </c>
    </row>
    <row r="6">
      <c r="A6" t="inlineStr">
        <is>
          <t>0000943209</t>
        </is>
      </c>
      <c r="B6" t="inlineStr">
        <is>
          <t>MEGH STEELS PRIVATE LIMITED - TVS A</t>
        </is>
      </c>
      <c r="C6" t="n">
        <v>3502422</v>
      </c>
      <c r="D6" t="inlineStr">
        <is>
          <t>TUB-O-N-AUT-AW-FC-48.60X3.500X6.0500</t>
        </is>
      </c>
      <c r="E6" t="n">
        <v>6.05</v>
      </c>
      <c r="F6">
        <f>VLOOKUP(C6,buckets[#All],9,0)</f>
        <v/>
      </c>
    </row>
    <row r="7">
      <c r="A7" t="inlineStr">
        <is>
          <t>0000943209</t>
        </is>
      </c>
      <c r="B7" t="inlineStr">
        <is>
          <t>MEGH STEELS PRIVATE LIMITED - TVS A</t>
        </is>
      </c>
      <c r="C7" t="n">
        <v>3502007</v>
      </c>
      <c r="D7" t="inlineStr">
        <is>
          <t>TUB-O-N-AUT-AH-FC-38.10X2.500X6.1900 HST</t>
        </is>
      </c>
      <c r="E7" t="n">
        <v>6.19</v>
      </c>
      <c r="F7">
        <f>VLOOKUP(C7,buckets[#All],9,0)</f>
        <v/>
      </c>
    </row>
    <row r="8">
      <c r="A8" t="inlineStr">
        <is>
          <t>0000943209</t>
        </is>
      </c>
      <c r="B8" t="inlineStr">
        <is>
          <t>MEGH STEELS PRIVATE LIMITED - TVS A</t>
        </is>
      </c>
      <c r="C8" t="n">
        <v>4045220</v>
      </c>
      <c r="D8" t="inlineStr">
        <is>
          <t>TUB-O-N-AUT-AW-FC-57.15X2.500X5.9500</t>
        </is>
      </c>
      <c r="E8" t="n">
        <v>5.95</v>
      </c>
      <c r="F8">
        <f>VLOOKUP(C8,buckets[#All],9,0)</f>
        <v/>
      </c>
    </row>
    <row r="9">
      <c r="A9" t="inlineStr">
        <is>
          <t>0000943210</t>
        </is>
      </c>
      <c r="B9" t="inlineStr">
        <is>
          <t>MEGH STEELS PRIVATE LIMITED - HMSIL</t>
        </is>
      </c>
      <c r="C9" t="n">
        <v>3673889</v>
      </c>
      <c r="D9" t="inlineStr">
        <is>
          <t>TUB-O-N-AUT-AW-FC-41.28X3.150X5.8600</t>
        </is>
      </c>
      <c r="E9" t="n">
        <v>5.86</v>
      </c>
      <c r="F9">
        <f>VLOOKUP(C9,buckets[#All],9,0)</f>
        <v/>
      </c>
    </row>
    <row r="10">
      <c r="A10" t="inlineStr">
        <is>
          <t>0000943209</t>
        </is>
      </c>
      <c r="B10" t="inlineStr">
        <is>
          <t>MEGH STEELS PRIVATE LIMITED - TVS A</t>
        </is>
      </c>
      <c r="C10" t="n">
        <v>4173571</v>
      </c>
      <c r="D10" t="inlineStr">
        <is>
          <t>TUB-O-N-AUT-AW-PE-22.20X1.600X5.6850</t>
        </is>
      </c>
      <c r="E10" t="n">
        <v>5.685</v>
      </c>
      <c r="F10">
        <f>VLOOKUP(C10,buckets[#All],9,0)</f>
        <v/>
      </c>
    </row>
    <row r="11">
      <c r="A11" t="inlineStr">
        <is>
          <t>0000943209</t>
        </is>
      </c>
      <c r="B11" t="inlineStr">
        <is>
          <t>MEGH STEELS PRIVATE LIMITED - TVS A</t>
        </is>
      </c>
      <c r="C11" t="n">
        <v>3882110</v>
      </c>
      <c r="D11" t="inlineStr">
        <is>
          <t>TUB-O-N-AUT-AW-PE-22.20X1.200X5.8700</t>
        </is>
      </c>
      <c r="E11" t="n">
        <v>5.87</v>
      </c>
      <c r="F11">
        <f>VLOOKUP(C11,buckets[#All],9,0)</f>
        <v/>
      </c>
    </row>
    <row r="12">
      <c r="A12" t="inlineStr">
        <is>
          <t>0000943209</t>
        </is>
      </c>
      <c r="B12" t="inlineStr">
        <is>
          <t>MEGH STEELS PRIVATE LIMITED - TVS A</t>
        </is>
      </c>
      <c r="C12" t="n">
        <v>3498997</v>
      </c>
      <c r="D12" t="inlineStr">
        <is>
          <t>TUB-O-N-AUT-AW-PE-19.05X1.60X6.000-ERW 1</t>
        </is>
      </c>
      <c r="E12" t="n">
        <v>6</v>
      </c>
      <c r="F12" t="inlineStr">
        <is>
          <t>22.23-0-1.2-ERW 1-PE</t>
        </is>
      </c>
    </row>
    <row r="13">
      <c r="A13" t="inlineStr">
        <is>
          <t>0000943209</t>
        </is>
      </c>
      <c r="B13" t="inlineStr">
        <is>
          <t>MEGH STEELS PRIVATE LIMITED - TVS A</t>
        </is>
      </c>
      <c r="C13" t="n">
        <v>3954021</v>
      </c>
      <c r="D13" t="inlineStr">
        <is>
          <t>TUB-O-N-AUT-AW-PE-22.20X1.600X5.6700</t>
        </is>
      </c>
      <c r="E13" t="n">
        <v>5.67</v>
      </c>
      <c r="F13">
        <f>VLOOKUP(C13,buckets[#All],9,0)</f>
        <v/>
      </c>
    </row>
    <row r="14">
      <c r="A14" t="inlineStr">
        <is>
          <t>0000943209</t>
        </is>
      </c>
      <c r="B14" t="inlineStr">
        <is>
          <t>MEGH STEELS PRIVATE LIMITED - TVS A</t>
        </is>
      </c>
      <c r="C14" t="n">
        <v>3501116</v>
      </c>
      <c r="D14" t="inlineStr">
        <is>
          <t>TUB-O-N-AUT-AW-PE-22.20X1.600X5.2640</t>
        </is>
      </c>
      <c r="E14" t="n">
        <v>5.264</v>
      </c>
      <c r="F14">
        <f>VLOOKUP(C14,buckets[#All],9,0)</f>
        <v/>
      </c>
    </row>
    <row r="15">
      <c r="A15" t="inlineStr">
        <is>
          <t>0000943210</t>
        </is>
      </c>
      <c r="B15" t="inlineStr">
        <is>
          <t>MEGH STEELS PRIVATE LIMITED - HMSIL</t>
        </is>
      </c>
      <c r="C15" t="n">
        <v>3501105</v>
      </c>
      <c r="D15" t="inlineStr">
        <is>
          <t>TUB-O-N-AUT-AW-FC-57.15X3.000X5.65-ERW 1</t>
        </is>
      </c>
      <c r="E15" t="n">
        <v>5.65</v>
      </c>
      <c r="F15">
        <f>VLOOKUP(C15,buckets[#All],9,0)</f>
        <v/>
      </c>
    </row>
    <row r="16">
      <c r="A16" t="inlineStr">
        <is>
          <t>0000943210</t>
        </is>
      </c>
      <c r="B16" t="inlineStr">
        <is>
          <t>MEGH STEELS PRIVATE LIMITED - HMSIL</t>
        </is>
      </c>
      <c r="C16" t="n">
        <v>3502301</v>
      </c>
      <c r="D16" t="inlineStr">
        <is>
          <t>TUB-O-N-AUT-AW-FC-48.60X2.000X6.270 HST</t>
        </is>
      </c>
      <c r="E16" t="n">
        <v>6.27</v>
      </c>
      <c r="F16">
        <f>VLOOKUP(C16,buckets[#All],9,0)</f>
        <v/>
      </c>
    </row>
    <row r="17">
      <c r="A17" t="inlineStr">
        <is>
          <t>0000943210</t>
        </is>
      </c>
      <c r="B17" t="inlineStr">
        <is>
          <t>MEGH STEELS PRIVATE LIMITED - HMSIL</t>
        </is>
      </c>
      <c r="C17" t="n">
        <v>3549720</v>
      </c>
      <c r="D17" t="inlineStr">
        <is>
          <t>TUB-O-N-AUT-AW-FC-48.60X2.300X6.270 HST</t>
        </is>
      </c>
      <c r="E17" t="n">
        <v>6.27</v>
      </c>
      <c r="F17">
        <f>VLOOKUP(C17,buckets[#All],9,0)</f>
        <v/>
      </c>
    </row>
    <row r="18">
      <c r="A18" t="inlineStr">
        <is>
          <t>0000943210</t>
        </is>
      </c>
      <c r="B18" t="inlineStr">
        <is>
          <t>MEGH STEELS PRIVATE LIMITED - HMSIL</t>
        </is>
      </c>
      <c r="C18" t="n">
        <v>3891285</v>
      </c>
      <c r="D18" t="inlineStr">
        <is>
          <t>TUB-O-N-AUT-AW-PE-19.05X1.40X6.000 HST</t>
        </is>
      </c>
      <c r="E18" t="n">
        <v>6</v>
      </c>
      <c r="F18">
        <f>VLOOKUP(C18,buckets[#All],9,0)</f>
        <v/>
      </c>
    </row>
    <row r="19">
      <c r="A19" t="inlineStr">
        <is>
          <t>0000943211</t>
        </is>
      </c>
      <c r="B19" t="inlineStr">
        <is>
          <t>MEGH STEELS PRIVATE LIMITED - RE</t>
        </is>
      </c>
      <c r="C19" t="n">
        <v>3499396</v>
      </c>
      <c r="D19" t="inlineStr">
        <is>
          <t>TUB-O-N-AUT-AW-FC-34.93X1.200X5.900</t>
        </is>
      </c>
      <c r="E19" t="n">
        <v>5.9</v>
      </c>
      <c r="F19">
        <f>VLOOKUP(C19,buckets[#All],9,0)</f>
        <v/>
      </c>
    </row>
    <row r="20">
      <c r="A20" t="inlineStr">
        <is>
          <t>0000943209</t>
        </is>
      </c>
      <c r="B20" t="inlineStr">
        <is>
          <t>MEGH STEELS PRIVATE LIMITED - TVS A</t>
        </is>
      </c>
      <c r="C20" t="n">
        <v>3502256</v>
      </c>
      <c r="D20" t="inlineStr">
        <is>
          <t>TUB-O-N-AUT-AW-PE-25.40X2.500X5.5300</t>
        </is>
      </c>
      <c r="E20" t="n">
        <v>5.53</v>
      </c>
      <c r="F20">
        <f>VLOOKUP(C20,buckets[#All],9,0)</f>
        <v/>
      </c>
    </row>
    <row r="21">
      <c r="A21" t="inlineStr">
        <is>
          <t>0000943209</t>
        </is>
      </c>
      <c r="B21" t="inlineStr">
        <is>
          <t>MEGH STEELS PRIVATE LIMITED - TVS A</t>
        </is>
      </c>
      <c r="C21" t="n">
        <v>3500650</v>
      </c>
      <c r="D21" t="inlineStr">
        <is>
          <t>TUB-O-N-AUT-BH-FC-42.70X3.500X6.000</t>
        </is>
      </c>
      <c r="E21" t="n">
        <v>6</v>
      </c>
      <c r="F21">
        <f>VLOOKUP(C21,buckets[#All],9,0)</f>
        <v/>
      </c>
    </row>
    <row r="22">
      <c r="A22" t="inlineStr">
        <is>
          <t>0000943209</t>
        </is>
      </c>
      <c r="B22" t="inlineStr">
        <is>
          <t>MEGH STEELS PRIVATE LIMITED - TVS A</t>
        </is>
      </c>
      <c r="C22" t="n">
        <v>3500391</v>
      </c>
      <c r="D22" t="inlineStr">
        <is>
          <t>TUB-O-N-AUT-AW-FC-54.00X3.000X5.910</t>
        </is>
      </c>
      <c r="E22" t="n">
        <v>5.91</v>
      </c>
      <c r="F22">
        <f>VLOOKUP(C22,buckets[#All],9,0)</f>
        <v/>
      </c>
    </row>
    <row r="23">
      <c r="A23" t="inlineStr">
        <is>
          <t>0000943211</t>
        </is>
      </c>
      <c r="B23" t="inlineStr">
        <is>
          <t>MEGH STEELS PRIVATE LIMITED - RE</t>
        </is>
      </c>
      <c r="C23" t="n">
        <v>3500641</v>
      </c>
      <c r="D23" t="inlineStr">
        <is>
          <t>TUB-S-AW-SHS-50.0X50.0X1.6X6.121 FC HDP</t>
        </is>
      </c>
      <c r="E23" t="n">
        <v>6.1</v>
      </c>
      <c r="F23">
        <f>VLOOKUP(C23,buckets[#All],9,0)</f>
        <v/>
      </c>
    </row>
    <row r="24">
      <c r="A24" t="inlineStr">
        <is>
          <t>0000943209</t>
        </is>
      </c>
      <c r="B24" t="inlineStr">
        <is>
          <t>MEGH STEELS PRIVATE LIMITED - TVS A</t>
        </is>
      </c>
      <c r="C24" t="n">
        <v>3500714</v>
      </c>
      <c r="D24" t="inlineStr">
        <is>
          <t>TUB-O-N-AUT-BH-FC-42.70X4.000X5.50-ERW 1</t>
        </is>
      </c>
      <c r="E24" t="n">
        <v>5.5</v>
      </c>
      <c r="F24">
        <f>VLOOKUP(C24,buckets[#All],9,0)</f>
        <v/>
      </c>
    </row>
    <row r="25">
      <c r="A25" t="inlineStr">
        <is>
          <t>0000943210</t>
        </is>
      </c>
      <c r="B25" t="inlineStr">
        <is>
          <t>MEGH STEELS PRIVATE LIMITED - HMSIL</t>
        </is>
      </c>
      <c r="C25" t="n">
        <v>1931046</v>
      </c>
      <c r="D25" t="inlineStr">
        <is>
          <t>TUB-O-N-AUT-AW-FC-28.58X3.250X6.0600</t>
        </is>
      </c>
      <c r="E25" t="n">
        <v>6.06</v>
      </c>
      <c r="F25">
        <f>VLOOKUP(C25,buckets[#All],9,0)</f>
        <v/>
      </c>
    </row>
    <row r="26">
      <c r="A26" t="inlineStr">
        <is>
          <t>0000943209</t>
        </is>
      </c>
      <c r="B26" t="inlineStr">
        <is>
          <t>MEGH STEELS PRIVATE LIMITED - TVS A</t>
        </is>
      </c>
      <c r="C26" t="n">
        <v>4265906</v>
      </c>
      <c r="D26" t="inlineStr">
        <is>
          <t>TUB-R-AW-AUT-50.00X30.00X2.500X6.1930</t>
        </is>
      </c>
      <c r="E26" t="n">
        <v>6.193</v>
      </c>
      <c r="F26">
        <f>VLOOKUP(C26,buckets[#All],9,0)</f>
        <v/>
      </c>
    </row>
    <row r="27">
      <c r="A27" t="inlineStr">
        <is>
          <t>0000943209</t>
        </is>
      </c>
      <c r="B27" t="inlineStr">
        <is>
          <t>MEGH STEELS PRIVATE LIMITED - TVS A</t>
        </is>
      </c>
      <c r="C27" t="n">
        <v>1940292</v>
      </c>
      <c r="D27" t="inlineStr">
        <is>
          <t>TUB-O-O-AUT-AW-PE-19.05X2.000X5.8000</t>
        </is>
      </c>
      <c r="E27" t="n">
        <v>5.8</v>
      </c>
      <c r="F27">
        <f>VLOOKUP(C27,buckets[#All],9,0)</f>
        <v/>
      </c>
    </row>
    <row r="28">
      <c r="A28" t="inlineStr">
        <is>
          <t>0000943209</t>
        </is>
      </c>
      <c r="B28" t="inlineStr">
        <is>
          <t>MEGH STEELS PRIVATE LIMITED - TVS A</t>
        </is>
      </c>
      <c r="C28" t="n">
        <v>3994149</v>
      </c>
      <c r="D28" t="inlineStr">
        <is>
          <t>TUB-O-N-AUT-AW-FC-41.28X2.600X6.0010</t>
        </is>
      </c>
      <c r="E28" t="n">
        <v>6.001</v>
      </c>
      <c r="F28">
        <f>VLOOKUP(C28,buckets[#All],9,0)</f>
        <v/>
      </c>
    </row>
    <row r="29">
      <c r="A29" t="inlineStr">
        <is>
          <t>0000943209</t>
        </is>
      </c>
      <c r="B29" t="inlineStr">
        <is>
          <t>MEGH STEELS PRIVATE LIMITED - TVS A</t>
        </is>
      </c>
      <c r="C29" t="n">
        <v>2430128</v>
      </c>
      <c r="D29" t="inlineStr">
        <is>
          <t>TUB-R-AW-AUT-50.00X30.00X1.600X1.1000</t>
        </is>
      </c>
      <c r="E29" t="n">
        <v>1.1</v>
      </c>
      <c r="F29">
        <f>VLOOKUP(C29,buckets[#All],9,0)</f>
        <v/>
      </c>
    </row>
    <row r="30">
      <c r="A30" t="inlineStr">
        <is>
          <t>0000943209</t>
        </is>
      </c>
      <c r="B30" t="inlineStr">
        <is>
          <t>MEGH STEELS PRIVATE LIMITED - TVS A</t>
        </is>
      </c>
      <c r="C30" t="n">
        <v>2409618</v>
      </c>
      <c r="D30" t="inlineStr">
        <is>
          <t>TUB-O-N-AUT-AW-PE-25.40X1.600X2.5900</t>
        </is>
      </c>
      <c r="E30" t="n">
        <v>2.59</v>
      </c>
      <c r="F30">
        <f>VLOOKUP(C30,buckets[#All],9,0)</f>
        <v/>
      </c>
    </row>
    <row r="31">
      <c r="A31" t="inlineStr">
        <is>
          <t>0000943209</t>
        </is>
      </c>
      <c r="B31" t="inlineStr">
        <is>
          <t>MEGH STEELS PRIVATE LIMITED - TVS A</t>
        </is>
      </c>
      <c r="C31" t="n">
        <v>1940045</v>
      </c>
      <c r="D31" t="inlineStr">
        <is>
          <t>TUB-O-O-AUT-AW-PE-15.88X1.200X1.1300</t>
        </is>
      </c>
      <c r="E31" t="n">
        <v>1.13</v>
      </c>
      <c r="F31">
        <f>VLOOKUP(C31,buckets[#All],9,0)</f>
        <v/>
      </c>
    </row>
    <row r="32">
      <c r="A32" t="inlineStr">
        <is>
          <t>0000943209</t>
        </is>
      </c>
      <c r="B32" t="inlineStr">
        <is>
          <t>MEGH STEELS PRIVATE LIMITED - TVS A</t>
        </is>
      </c>
      <c r="C32" t="n">
        <v>3409366</v>
      </c>
      <c r="D32" t="inlineStr">
        <is>
          <t>TUB-O-N-AUT-AW-PE-19.05X1.200X0.1090</t>
        </is>
      </c>
      <c r="E32" t="n">
        <v>0.109</v>
      </c>
      <c r="F32">
        <f>VLOOKUP(C32,buckets[#All],9,0)</f>
        <v/>
      </c>
    </row>
    <row r="33">
      <c r="A33" t="inlineStr">
        <is>
          <t>0000943209</t>
        </is>
      </c>
      <c r="B33" t="inlineStr">
        <is>
          <t>MEGH STEELS PRIVATE LIMITED - TVS A</t>
        </is>
      </c>
      <c r="C33" t="n">
        <v>3229740</v>
      </c>
      <c r="D33" t="inlineStr">
        <is>
          <t>TUB-O-N-AUT-AW-PE-19.05X1.200X1.0750</t>
        </is>
      </c>
      <c r="E33" t="n">
        <v>1.075</v>
      </c>
      <c r="F33">
        <f>VLOOKUP(C33,buckets[#All],9,0)</f>
        <v/>
      </c>
    </row>
    <row r="34">
      <c r="A34" t="inlineStr">
        <is>
          <t>0000943209</t>
        </is>
      </c>
      <c r="B34" t="inlineStr">
        <is>
          <t>MEGH STEELS PRIVATE LIMITED - TVS A</t>
        </is>
      </c>
      <c r="C34" t="n">
        <v>2409616</v>
      </c>
      <c r="D34" t="inlineStr">
        <is>
          <t>TUB-O-N-AUT-AW-PE-19.05X1.200X0.5130</t>
        </is>
      </c>
      <c r="E34" t="n">
        <v>0.513</v>
      </c>
      <c r="F34">
        <f>VLOOKUP(C34,buckets[#All],9,0)</f>
        <v/>
      </c>
    </row>
    <row r="35">
      <c r="A35" t="inlineStr">
        <is>
          <t>0000943209</t>
        </is>
      </c>
      <c r="B35" t="inlineStr">
        <is>
          <t>MEGH STEELS PRIVATE LIMITED - TVS A</t>
        </is>
      </c>
      <c r="C35" t="n">
        <v>3432081</v>
      </c>
      <c r="D35" t="inlineStr">
        <is>
          <t>TUB-O-N-AUT-AW-PE-12.70X1.600X0.1890</t>
        </is>
      </c>
      <c r="E35" t="n">
        <v>0.189</v>
      </c>
      <c r="F35">
        <f>VLOOKUP(C35,buckets[#All],9,0)</f>
        <v/>
      </c>
    </row>
    <row r="36">
      <c r="A36" t="inlineStr">
        <is>
          <t>0000943209</t>
        </is>
      </c>
      <c r="B36" t="inlineStr">
        <is>
          <t>MEGH STEELS PRIVATE LIMITED - TVS A</t>
        </is>
      </c>
      <c r="C36" t="n">
        <v>4110464</v>
      </c>
      <c r="D36" t="inlineStr">
        <is>
          <t>TUB-O-N-AUT-AW-PE-19.05X1.200X1.1450</t>
        </is>
      </c>
      <c r="E36" t="n">
        <v>1.145</v>
      </c>
      <c r="F36">
        <f>VLOOKUP(C36,buckets[#All],9,0)</f>
        <v/>
      </c>
    </row>
    <row r="37">
      <c r="A37" t="inlineStr">
        <is>
          <t>0000943211</t>
        </is>
      </c>
      <c r="B37" t="inlineStr">
        <is>
          <t>MEGH STEELS PRIVATE LIMITED - RE</t>
        </is>
      </c>
      <c r="C37" t="n">
        <v>4038150</v>
      </c>
      <c r="D37" t="inlineStr">
        <is>
          <t>TUB-O-N-AUT-AW-FC-48.00X1.200X5.2850</t>
        </is>
      </c>
      <c r="E37" t="n">
        <v>5.285</v>
      </c>
      <c r="F37">
        <f>VLOOKUP(C37,buckets[#All],9,0)</f>
        <v/>
      </c>
    </row>
    <row r="38">
      <c r="A38" t="inlineStr">
        <is>
          <t>0000943211</t>
        </is>
      </c>
      <c r="B38" t="inlineStr">
        <is>
          <t>MEGH STEELS PRIVATE LIMITED - RE</t>
        </is>
      </c>
      <c r="C38" t="n">
        <v>1940684</v>
      </c>
      <c r="D38" t="inlineStr">
        <is>
          <t>TUB-O-O-AUT-AW-FC-31.75X2.300X6.0000</t>
        </is>
      </c>
      <c r="E38" t="n">
        <v>6</v>
      </c>
      <c r="F38">
        <f>VLOOKUP(C38,buckets[#All],9,0)</f>
        <v/>
      </c>
    </row>
    <row r="39">
      <c r="A39" t="inlineStr">
        <is>
          <t>0000943209</t>
        </is>
      </c>
      <c r="B39" t="inlineStr">
        <is>
          <t>MEGH STEELS PRIVATE LIMITED - TVS A</t>
        </is>
      </c>
      <c r="C39" t="n">
        <v>1939985</v>
      </c>
      <c r="D39" t="inlineStr">
        <is>
          <t>TUB-O-O-AUT-AW-PE-12.70X1.200X6.0000</t>
        </is>
      </c>
      <c r="E39" t="n">
        <v>6</v>
      </c>
      <c r="F39">
        <f>VLOOKUP(C39,buckets[#All],9,0)</f>
        <v/>
      </c>
    </row>
    <row r="40">
      <c r="A40" t="inlineStr">
        <is>
          <t>0000943209</t>
        </is>
      </c>
      <c r="B40" t="inlineStr">
        <is>
          <t>MEGH STEELS PRIVATE LIMITED - TVS A</t>
        </is>
      </c>
      <c r="C40" t="n">
        <v>3929640</v>
      </c>
      <c r="D40" t="inlineStr">
        <is>
          <t>TUB-O-N-AUT-AW-PE-22.23X1.200X5.3000</t>
        </is>
      </c>
      <c r="E40" t="n">
        <v>5.3</v>
      </c>
    </row>
    <row r="41">
      <c r="A41" t="inlineStr">
        <is>
          <t>0000943209</t>
        </is>
      </c>
      <c r="B41" t="inlineStr">
        <is>
          <t>MEGH STEELS PRIVATE LIMITED - TVS A</t>
        </is>
      </c>
      <c r="C41" t="n">
        <v>1940337</v>
      </c>
      <c r="D41" t="inlineStr">
        <is>
          <t>TUB-O-O-AUT-AW-PE-19.05X2.300X6.3200</t>
        </is>
      </c>
      <c r="E41" t="n">
        <v>6.32</v>
      </c>
    </row>
    <row r="42">
      <c r="A42" t="inlineStr">
        <is>
          <t>0000943209</t>
        </is>
      </c>
      <c r="B42" t="inlineStr">
        <is>
          <t>MEGH STEELS PRIVATE LIMITED - TVS A</t>
        </is>
      </c>
      <c r="C42" t="n">
        <v>3239890</v>
      </c>
      <c r="D42" t="inlineStr">
        <is>
          <t>TUB-O-N-AUT-AW-PE-19.05X1.200X0.3300</t>
        </is>
      </c>
      <c r="E42" t="n">
        <v>0.33</v>
      </c>
    </row>
    <row r="43">
      <c r="A43" t="inlineStr">
        <is>
          <t>0000943209</t>
        </is>
      </c>
      <c r="B43" t="inlineStr">
        <is>
          <t>MEGH STEELS PRIVATE LIMITED - TVS A</t>
        </is>
      </c>
      <c r="C43" t="n">
        <v>3635694</v>
      </c>
      <c r="D43" t="inlineStr">
        <is>
          <t>TUB-O-N-AUT-AW-PE-19.05X1.000X1.2000</t>
        </is>
      </c>
      <c r="E43" t="n">
        <v>1.2</v>
      </c>
    </row>
    <row r="44">
      <c r="A44" t="inlineStr">
        <is>
          <t>0000943211</t>
        </is>
      </c>
      <c r="B44" t="inlineStr">
        <is>
          <t>MEGH STEELS PRIVATE LIMITED - RE</t>
        </is>
      </c>
      <c r="C44" t="n">
        <v>2397073</v>
      </c>
      <c r="D44" t="inlineStr">
        <is>
          <t>TUB-O-N-AUT-AW-FC-34.93X1.200X0.6200</t>
        </is>
      </c>
      <c r="E44" t="n">
        <v>0.62</v>
      </c>
    </row>
    <row r="45">
      <c r="A45" t="inlineStr">
        <is>
          <t>0000943210</t>
        </is>
      </c>
      <c r="B45" t="inlineStr">
        <is>
          <t>MEGH STEELS PRIVATE LIMITED - HMSIL</t>
        </is>
      </c>
      <c r="C45" t="n">
        <v>3731691</v>
      </c>
      <c r="D45" t="inlineStr">
        <is>
          <t>TUB-O-N-AUT-AW-FC-42.70X1.600X0.4160</t>
        </is>
      </c>
      <c r="E45" t="n">
        <v>0.416</v>
      </c>
    </row>
    <row r="46">
      <c r="A46" t="inlineStr">
        <is>
          <t>0000943209</t>
        </is>
      </c>
      <c r="B46" t="inlineStr">
        <is>
          <t>MEGH STEELS PRIVATE LIMITED - TVS A</t>
        </is>
      </c>
      <c r="C46" t="n">
        <v>3597050</v>
      </c>
      <c r="D46" t="inlineStr">
        <is>
          <t>TUB-O-N-AUT-AW-FC-41.28X3.150X5.9400</t>
        </is>
      </c>
      <c r="E46" t="n">
        <v>5.94</v>
      </c>
    </row>
    <row r="47">
      <c r="A47" t="inlineStr">
        <is>
          <t>0000943209</t>
        </is>
      </c>
      <c r="B47" t="inlineStr">
        <is>
          <t>MEGH STEELS PRIVATE LIMITED - TVS A</t>
        </is>
      </c>
      <c r="C47" t="n">
        <v>3410966</v>
      </c>
      <c r="D47" t="inlineStr">
        <is>
          <t>TUB-O-N-AUT-AW-FC-22.23X2.000X6.0000</t>
        </is>
      </c>
      <c r="E47" t="n">
        <v>6</v>
      </c>
    </row>
    <row r="48">
      <c r="A48" t="inlineStr">
        <is>
          <t>0000943209</t>
        </is>
      </c>
      <c r="B48" t="inlineStr">
        <is>
          <t>MEGH STEELS PRIVATE LIMITED - TVS A</t>
        </is>
      </c>
      <c r="C48" t="n">
        <v>4272693</v>
      </c>
      <c r="D48" t="inlineStr">
        <is>
          <t>TUB-O-N-AUT-AW-FC-22.20X2.000X5.9500</t>
        </is>
      </c>
      <c r="E48" t="n">
        <v>5.95</v>
      </c>
    </row>
    <row r="49">
      <c r="A49" t="inlineStr">
        <is>
          <t>0000943209</t>
        </is>
      </c>
      <c r="B49" t="inlineStr">
        <is>
          <t>MEGH STEELS PRIVATE LIMITED - TVS A</t>
        </is>
      </c>
      <c r="C49" t="n">
        <v>2431251</v>
      </c>
      <c r="D49" t="inlineStr">
        <is>
          <t>TUB-O-N-AUT-AW-PE-22.23X2.000X5.4000</t>
        </is>
      </c>
      <c r="E49" t="n">
        <v>5.4</v>
      </c>
    </row>
    <row r="50">
      <c r="A50" t="inlineStr">
        <is>
          <t>0000943209</t>
        </is>
      </c>
      <c r="B50" t="inlineStr">
        <is>
          <t>MEGH STEELS PRIVATE LIMITED - TVS A</t>
        </is>
      </c>
      <c r="C50" t="n">
        <v>1940046</v>
      </c>
      <c r="D50" t="inlineStr">
        <is>
          <t>TUB-O-O-AUT-AW-PE-15.88X1.200X1.3100</t>
        </is>
      </c>
      <c r="E50" t="n">
        <v>1.31</v>
      </c>
    </row>
    <row r="51">
      <c r="A51" t="inlineStr">
        <is>
          <t>0000943209</t>
        </is>
      </c>
      <c r="B51" t="inlineStr">
        <is>
          <t>MEGH STEELS PRIVATE LIMITED - TVS A</t>
        </is>
      </c>
      <c r="C51" t="n">
        <v>4241099</v>
      </c>
      <c r="D51" t="inlineStr">
        <is>
          <t>CUT-O-N-AUT-AW-PE-15.88X1.200X0.7300</t>
        </is>
      </c>
      <c r="E51" t="n">
        <v>0.73</v>
      </c>
    </row>
    <row r="52">
      <c r="A52" t="inlineStr">
        <is>
          <t>0000943211</t>
        </is>
      </c>
      <c r="B52" t="inlineStr">
        <is>
          <t>MEGH STEELS PRIVATE LIMITED - RE</t>
        </is>
      </c>
      <c r="C52" t="n">
        <v>3460088</v>
      </c>
      <c r="D52" t="inlineStr">
        <is>
          <t>TUB-O-N-AUT-AW-FC-48.00X1.200X5.6700</t>
        </is>
      </c>
      <c r="E52" t="n">
        <v>5.67</v>
      </c>
    </row>
    <row r="53">
      <c r="A53" t="inlineStr">
        <is>
          <t>0000943209</t>
        </is>
      </c>
      <c r="B53" t="inlineStr">
        <is>
          <t>MEGH STEELS PRIVATE LIMITED - TVS A</t>
        </is>
      </c>
      <c r="C53" t="n">
        <v>3457574</v>
      </c>
      <c r="D53" t="inlineStr">
        <is>
          <t>TUB-O-N-AUT-AW-PE-41.28X2.600X6.0200</t>
        </is>
      </c>
      <c r="E53" t="n">
        <v>6.02</v>
      </c>
    </row>
    <row r="54">
      <c r="A54" t="inlineStr">
        <is>
          <t>0000943209</t>
        </is>
      </c>
      <c r="B54" t="inlineStr">
        <is>
          <t>MEGH STEELS PRIVATE LIMITED - TVS A</t>
        </is>
      </c>
      <c r="C54" t="n">
        <v>3545558</v>
      </c>
      <c r="D54" t="inlineStr">
        <is>
          <t>TUB-O-N-AUT-AW-FC-45.00X1.400X5.7000</t>
        </is>
      </c>
      <c r="E54" t="n">
        <v>5.7</v>
      </c>
    </row>
    <row r="55">
      <c r="A55" t="inlineStr">
        <is>
          <t>0000943209</t>
        </is>
      </c>
      <c r="B55" t="inlineStr">
        <is>
          <t>MEGH STEELS PRIVATE LIMITED - TVS A</t>
        </is>
      </c>
      <c r="C55" t="n">
        <v>3501716</v>
      </c>
      <c r="D55" t="inlineStr">
        <is>
          <t>TUB-O-N-AUT-AW-FC-41.28X2.600X6.0000</t>
        </is>
      </c>
      <c r="E55" t="n">
        <v>6</v>
      </c>
    </row>
    <row r="56">
      <c r="A56" t="inlineStr">
        <is>
          <t>0000943209</t>
        </is>
      </c>
      <c r="B56" t="inlineStr">
        <is>
          <t>MEGH STEELS PRIVATE LIMITED - TVS A</t>
        </is>
      </c>
      <c r="C56" t="n">
        <v>3775569</v>
      </c>
      <c r="D56" t="inlineStr">
        <is>
          <t>TUB-I-C-AUT-AD-FC-12.50X3.250X6.2000</t>
        </is>
      </c>
      <c r="E56" t="n">
        <v>6.2</v>
      </c>
    </row>
    <row r="57">
      <c r="A57" t="inlineStr">
        <is>
          <t>0000943209</t>
        </is>
      </c>
      <c r="B57" t="inlineStr">
        <is>
          <t>MEGH STEELS PRIVATE LIMITED - TVS A</t>
        </is>
      </c>
      <c r="C57" t="n">
        <v>3702875</v>
      </c>
      <c r="D57" t="inlineStr">
        <is>
          <t>TUB-O-N-AUT-AW-FC-60.30X2.000X6.0000</t>
        </is>
      </c>
      <c r="E57" t="n">
        <v>6</v>
      </c>
    </row>
    <row r="58">
      <c r="A58" t="inlineStr">
        <is>
          <t>0000943209</t>
        </is>
      </c>
      <c r="B58" t="inlineStr">
        <is>
          <t>MEGH STEELS PRIVATE LIMITED - TVS A</t>
        </is>
      </c>
      <c r="C58" t="n">
        <v>3502254</v>
      </c>
      <c r="D58" t="inlineStr">
        <is>
          <t>TUB-O-N-AUT-AW-FC-38.10X1.600X6.1900</t>
        </is>
      </c>
      <c r="E58" t="n">
        <v>6.19</v>
      </c>
    </row>
    <row r="59">
      <c r="A59" t="inlineStr">
        <is>
          <t>0000943209</t>
        </is>
      </c>
      <c r="B59" t="inlineStr">
        <is>
          <t>MEGH STEELS PRIVATE LIMITED - TVS A</t>
        </is>
      </c>
      <c r="C59" t="n">
        <v>3501047</v>
      </c>
      <c r="D59" t="inlineStr">
        <is>
          <t>TUB-O-N-AUT-AW-FC-57.15X2.50X5.750-ERW 1</t>
        </is>
      </c>
      <c r="E59" t="n">
        <v>5.75</v>
      </c>
    </row>
    <row r="60">
      <c r="A60" t="inlineStr">
        <is>
          <t>0000943210</t>
        </is>
      </c>
      <c r="B60" t="inlineStr">
        <is>
          <t>MEGH STEELS PRIVATE LIMITED - HMSIL</t>
        </is>
      </c>
      <c r="C60" t="n">
        <v>3545558</v>
      </c>
      <c r="D60" t="inlineStr">
        <is>
          <t>TUB-O-N-AUT-AW-FC-45.00X1.400X5.7000</t>
        </is>
      </c>
      <c r="E60" t="n">
        <v>5.7</v>
      </c>
    </row>
    <row r="61">
      <c r="A61" t="inlineStr">
        <is>
          <t>0000943210</t>
        </is>
      </c>
      <c r="B61" t="inlineStr">
        <is>
          <t>MEGH STEELS PRIVATE LIMITED - HMSIL</t>
        </is>
      </c>
      <c r="C61" t="n">
        <v>3701546</v>
      </c>
      <c r="D61" t="inlineStr">
        <is>
          <t>TUB-O-N-AUT-AW-FC-28.58X3.250X6.0600</t>
        </is>
      </c>
      <c r="E61" t="n">
        <v>6.06</v>
      </c>
    </row>
    <row r="62">
      <c r="A62" t="inlineStr">
        <is>
          <t>0000943211</t>
        </is>
      </c>
      <c r="B62" t="inlineStr">
        <is>
          <t>MEGH STEELS PRIVATE LIMITED - RE</t>
        </is>
      </c>
      <c r="C62" t="n">
        <v>4072797</v>
      </c>
      <c r="D62" t="inlineStr">
        <is>
          <t>TUB-O-N-AUT-AW-FC-31.75X2.300X5.9200</t>
        </is>
      </c>
      <c r="E62" t="n">
        <v>5.92</v>
      </c>
    </row>
    <row r="63">
      <c r="A63" t="inlineStr">
        <is>
          <t>0000943209</t>
        </is>
      </c>
      <c r="B63" t="inlineStr">
        <is>
          <t>MEGH STEELS PRIVATE LIMITED - TVS A</t>
        </is>
      </c>
      <c r="C63" t="n">
        <v>3597718</v>
      </c>
      <c r="D63" t="inlineStr">
        <is>
          <t>TUB-R-AW-RHS-40.00X25.00X1.600X5.9900</t>
        </is>
      </c>
      <c r="E63" t="n">
        <v>5.99</v>
      </c>
    </row>
    <row r="64">
      <c r="A64" t="inlineStr">
        <is>
          <t>0000943209</t>
        </is>
      </c>
      <c r="B64" t="inlineStr">
        <is>
          <t>MEGH STEELS PRIVATE LIMITED - TVS A</t>
        </is>
      </c>
      <c r="C64" t="n">
        <v>3500240</v>
      </c>
      <c r="D64" t="inlineStr">
        <is>
          <t>TUB-O-N-AUT-AH-FC-38.10X2.5X5.65 HSTERW2</t>
        </is>
      </c>
      <c r="E64" t="n">
        <v>5.65</v>
      </c>
    </row>
    <row r="65">
      <c r="A65" t="inlineStr">
        <is>
          <t>0000943209</t>
        </is>
      </c>
      <c r="B65" t="inlineStr">
        <is>
          <t>MEGH STEELS PRIVATE LIMITED - TVS A</t>
        </is>
      </c>
      <c r="C65" t="n">
        <v>3948187</v>
      </c>
      <c r="D65" t="inlineStr">
        <is>
          <t>CUT-O-C-AUT-AD-FC-29.40X4.500X0.3590</t>
        </is>
      </c>
      <c r="E65" t="n">
        <v>0.359</v>
      </c>
    </row>
    <row r="66">
      <c r="A66" t="inlineStr">
        <is>
          <t>0000943209</t>
        </is>
      </c>
      <c r="B66" t="inlineStr">
        <is>
          <t>MEGH STEELS PRIVATE LIMITED - TVS A</t>
        </is>
      </c>
      <c r="C66" t="n">
        <v>1940458</v>
      </c>
      <c r="D66" t="inlineStr">
        <is>
          <t>TUB-O-O-AUT-AW-PE-22.23X2.000X0.7390</t>
        </is>
      </c>
      <c r="E66" t="n">
        <v>0.739</v>
      </c>
    </row>
    <row r="67">
      <c r="A67" t="inlineStr">
        <is>
          <t>0000943209</t>
        </is>
      </c>
      <c r="B67" t="inlineStr">
        <is>
          <t>MEGH STEELS PRIVATE LIMITED - TVS A</t>
        </is>
      </c>
      <c r="C67" t="n">
        <v>3186831</v>
      </c>
      <c r="D67" t="inlineStr">
        <is>
          <t>TUB-O-N-AUT-AW-FC-41.28X2.600X0.8480</t>
        </is>
      </c>
      <c r="E67" t="n">
        <v>0.848</v>
      </c>
    </row>
  </sheetData>
  <autoFilter ref="A1:G39"/>
  <pageMargins left="0.7" right="0.7" top="0.75" bottom="0.75" header="0.3" footer="0.3"/>
</worksheet>
</file>

<file path=xl/worksheets/sheet51.xml><?xml version="1.0" encoding="utf-8"?>
<worksheet xmlns="http://schemas.openxmlformats.org/spreadsheetml/2006/main">
  <sheetPr codeName="Sheet39">
    <outlinePr summaryBelow="1" summaryRight="1"/>
    <pageSetUpPr/>
  </sheetPr>
  <dimension ref="A1:BC4704"/>
  <sheetViews>
    <sheetView topLeftCell="AC1" workbookViewId="0">
      <selection activeCell="AK18" sqref="AK18"/>
    </sheetView>
  </sheetViews>
  <sheetFormatPr baseColWidth="8" defaultRowHeight="15"/>
  <cols>
    <col width="37.5703125" bestFit="1" customWidth="1" style="584" min="8" max="8"/>
    <col width="37.42578125" bestFit="1" customWidth="1" style="584" min="36" max="36"/>
    <col width="38.5703125" bestFit="1" customWidth="1" style="584" min="37" max="37"/>
    <col width="34.7109375" bestFit="1" customWidth="1" style="584" min="38" max="38"/>
    <col width="19.85546875" bestFit="1" customWidth="1" style="584" min="44" max="45"/>
    <col width="19.85546875" bestFit="1" customWidth="1" style="584" min="48" max="48"/>
    <col width="32.42578125" bestFit="1" customWidth="1" style="584" min="54" max="54"/>
  </cols>
  <sheetData>
    <row r="1">
      <c r="A1" t="n">
        <v>1931253</v>
      </c>
      <c r="B1">
        <f t="array" ref="B1:B385">_xlfn.UNIQUE(Bucketting!A39:A1752)</f>
        <v/>
      </c>
      <c r="D1" t="inlineStr">
        <is>
          <t>All sales material sheet tvs megh</t>
        </is>
      </c>
      <c r="E1" t="inlineStr">
        <is>
          <t>unique</t>
        </is>
      </c>
      <c r="H1" t="inlineStr">
        <is>
          <t>Customer name from stock sheet</t>
        </is>
      </c>
      <c r="I1" t="inlineStr">
        <is>
          <t>unique name</t>
        </is>
      </c>
      <c r="J1" t="inlineStr">
        <is>
          <t>customer name in oem_key</t>
        </is>
      </c>
      <c r="P1" t="inlineStr">
        <is>
          <t xml:space="preserve">index number of local stock sheet </t>
        </is>
      </c>
      <c r="Q1" t="inlineStr">
        <is>
          <t xml:space="preserve">index number of prakash stock sheet </t>
        </is>
      </c>
      <c r="W1" t="inlineStr">
        <is>
          <t>sales</t>
        </is>
      </c>
      <c r="X1" t="n">
        <v>876</v>
      </c>
      <c r="AC1" t="inlineStr">
        <is>
          <t>TVSM sales forecast sheet Bucket</t>
        </is>
      </c>
      <c r="AD1" t="n">
        <v>836</v>
      </c>
      <c r="AJ1">
        <f t="array" ref="AJ1:AJ23">_xlfn.UNIQUE(salesTVS[CUSTOMER  NAME])</f>
        <v/>
      </c>
      <c r="AK1" t="inlineStr">
        <is>
          <t>ELKAYEM AUTO ANCILLARIES (PVT) LTD.</t>
        </is>
      </c>
      <c r="AL1" t="inlineStr">
        <is>
          <t>ELKAYEM AUTO(Mysore + Hosur)</t>
        </is>
      </c>
      <c r="AM1">
        <f>SUMIF(salesTVS[CUSTOMER  NAME],AK1,salesTVS[Quantity])</f>
        <v/>
      </c>
      <c r="AQ1" t="inlineStr">
        <is>
          <t>Material Codes codes from sales data</t>
        </is>
      </c>
      <c r="AV1" t="inlineStr">
        <is>
          <t>bucket sheet</t>
        </is>
      </c>
      <c r="BB1" t="inlineStr">
        <is>
          <t>Schedule Sheet</t>
        </is>
      </c>
      <c r="BC1" t="inlineStr">
        <is>
          <t>Bucket</t>
        </is>
      </c>
    </row>
    <row r="2">
      <c r="A2" t="n">
        <v>2364548</v>
      </c>
      <c r="B2" t="n">
        <v>1940045</v>
      </c>
      <c r="D2" t="n">
        <v>2442390</v>
      </c>
      <c r="E2" t="n">
        <v>2442390</v>
      </c>
      <c r="H2" t="inlineStr">
        <is>
          <t>ELKAYEM AUTO ANCILLARIES (PVT) LTD.</t>
        </is>
      </c>
      <c r="I2">
        <f t="array" ref="I2:I65">_xlfn.UNIQUE(H2:H2503)</f>
        <v/>
      </c>
      <c r="J2">
        <f t="array" ref="J2:J160">_xlfn.UNIQUE(OEM_Key[[Customer ]])</f>
        <v/>
      </c>
      <c r="P2" t="n">
        <v>1</v>
      </c>
      <c r="Q2" t="n">
        <v>1</v>
      </c>
      <c r="W2" t="inlineStr">
        <is>
          <t>19.05-0-2.3-ERW 1-PE</t>
        </is>
      </c>
      <c r="X2">
        <f t="array" ref="X2:X79">_xlfn.UNIQUE(W2:W1009)</f>
        <v/>
      </c>
      <c r="Y2" t="inlineStr">
        <is>
          <t>19.05-0-2.3-ERW 1-PE</t>
        </is>
      </c>
      <c r="AC2" t="inlineStr">
        <is>
          <t>12.7-0-1.2-ERW 1-PE</t>
        </is>
      </c>
      <c r="AD2">
        <f t="array" ref="AD2:AD112">_xlfn.UNIQUE(AC2:AC121)</f>
        <v/>
      </c>
      <c r="AE2" t="inlineStr">
        <is>
          <t>12.7-0-1.2-ERW 1-PE</t>
        </is>
      </c>
      <c r="AJ2" t="inlineStr">
        <is>
          <t>SRIKAM HITECH ENGINEERING PRIVATE L</t>
        </is>
      </c>
      <c r="AK2" t="inlineStr">
        <is>
          <t>SRIKAM HITECH ENGINEERING PRIVATE L</t>
        </is>
      </c>
      <c r="AL2" t="inlineStr">
        <is>
          <t>Srikam HI-Tech</t>
        </is>
      </c>
      <c r="AM2">
        <f>SUMIF(salesTVS[CUSTOMER  NAME],AK2,salesTVS[Quantity])</f>
        <v/>
      </c>
      <c r="AQ2" t="n">
        <v>1938119</v>
      </c>
      <c r="AR2">
        <f>VLOOKUP(AQ2,buckets[],9,0)</f>
        <v/>
      </c>
      <c r="AS2">
        <f t="array" ref="AS2:AS20">_xlfn.UNIQUE(AR2:AR33)</f>
        <v/>
      </c>
      <c r="AT2" t="inlineStr">
        <is>
          <t>17.3-0-1.6-ERW 1-PE</t>
        </is>
      </c>
      <c r="AV2" t="inlineStr">
        <is>
          <t>31.75-0-1.2-ERW 1-PE</t>
        </is>
      </c>
      <c r="AW2">
        <f t="array" ref="AW2:AW20">_xlfn.UNIQUE(AV2:AV133)</f>
        <v/>
      </c>
      <c r="BA2" s="557">
        <f t="array" ref="BA2">_xlfn._xlws.FILTER(#REF!,#REF!&gt;0)</f>
        <v/>
      </c>
      <c r="BB2">
        <f t="array" ref="BB2:BB3">_xlfn.UNIQUE(BA2:BA370)</f>
        <v/>
      </c>
      <c r="BC2" t="inlineStr">
        <is>
          <t>11--1.5-CEW-NON FIN</t>
        </is>
      </c>
    </row>
    <row r="3">
      <c r="A3" t="n">
        <v>3675724</v>
      </c>
      <c r="B3" t="n">
        <v>1940046</v>
      </c>
      <c r="D3" t="n">
        <v>2442390</v>
      </c>
      <c r="E3" t="n">
        <v>2426342</v>
      </c>
      <c r="H3" t="inlineStr">
        <is>
          <t>ELKAYEM AUTO ANCILLARIES (PVT) LTD.</t>
        </is>
      </c>
      <c r="I3" t="inlineStr">
        <is>
          <t>Surya Steels</t>
        </is>
      </c>
      <c r="J3" t="inlineStr">
        <is>
          <t>BALAJI INDUSTRIES</t>
        </is>
      </c>
      <c r="P3" t="n">
        <v>2</v>
      </c>
      <c r="Q3" t="n">
        <v>2</v>
      </c>
      <c r="W3" t="inlineStr">
        <is>
          <t>19.05-0-2.3-ERW 1-PE</t>
        </is>
      </c>
      <c r="X3" t="inlineStr">
        <is>
          <t>40-25-1.6-ERW 1-FC</t>
        </is>
      </c>
      <c r="Y3" t="inlineStr">
        <is>
          <t>40-25-1.6-ERW 1-FC</t>
        </is>
      </c>
      <c r="AC3" t="inlineStr">
        <is>
          <t>12.7-0-1.6-ERW 1-PE</t>
        </is>
      </c>
      <c r="AD3" t="inlineStr">
        <is>
          <t>12.7-0-1.6-ERW 1-PE</t>
        </is>
      </c>
      <c r="AE3" t="inlineStr">
        <is>
          <t>12.7-0-1.6-ERW 1-PE</t>
        </is>
      </c>
      <c r="AJ3" t="inlineStr">
        <is>
          <t>ELKAYEM AUTO ANCILLARIES (PVT) LTD.</t>
        </is>
      </c>
      <c r="AK3" t="inlineStr">
        <is>
          <t>ELKAYEM AUTO ANCILLARIES PRIVATE LI</t>
        </is>
      </c>
      <c r="AL3" t="inlineStr">
        <is>
          <t>ELKAYEM AUTO(Mysore + Hosur)</t>
        </is>
      </c>
      <c r="AM3">
        <f>SUMIF(salesTVS[CUSTOMER  NAME],AK3,salesTVS[Quantity])</f>
        <v/>
      </c>
      <c r="AQ3" t="n">
        <v>1937022</v>
      </c>
      <c r="AR3">
        <f>VLOOKUP(AQ3,buckets[],9,0)</f>
        <v/>
      </c>
      <c r="AS3" t="inlineStr">
        <is>
          <t>19.05-0-1.2-ERW 1-PE</t>
        </is>
      </c>
      <c r="AT3" t="inlineStr">
        <is>
          <t>19.05-0-1.2-ERW 1-PE</t>
        </is>
      </c>
      <c r="AV3" t="inlineStr">
        <is>
          <t>31.75-0-1.2-ERW 1-PE</t>
        </is>
      </c>
      <c r="AW3" t="inlineStr">
        <is>
          <t>22.23-0-1.6-ERW 1-PE</t>
        </is>
      </c>
      <c r="BA3" s="557" t="n"/>
      <c r="BB3" t="n">
        <v>0</v>
      </c>
      <c r="BC3" t="inlineStr">
        <is>
          <t>11--1.5-CEW-NON FIN</t>
        </is>
      </c>
    </row>
    <row r="4">
      <c r="A4" t="n">
        <v>1941615</v>
      </c>
      <c r="B4" t="n">
        <v>1940054</v>
      </c>
      <c r="D4" t="n">
        <v>2426342</v>
      </c>
      <c r="E4" t="n">
        <v>1939303</v>
      </c>
      <c r="H4" t="inlineStr">
        <is>
          <t>ELKAYEM AUTO ANCILLARIES (PVT) LTD.</t>
        </is>
      </c>
      <c r="I4" t="inlineStr">
        <is>
          <t>A.R.Automotive And Engg Industries</t>
        </is>
      </c>
      <c r="J4" t="inlineStr">
        <is>
          <t>BALAJI PRESS PRODUCTS INDIA</t>
        </is>
      </c>
      <c r="P4" t="n">
        <v>3</v>
      </c>
      <c r="Q4" t="n">
        <v>3</v>
      </c>
      <c r="W4" t="inlineStr">
        <is>
          <t>19.05-0-2.3-ERW 1-PE</t>
        </is>
      </c>
      <c r="X4" t="inlineStr">
        <is>
          <t>12.7-0-1.2-ERW 1-PE</t>
        </is>
      </c>
      <c r="Y4" t="inlineStr">
        <is>
          <t>12.7-0-1.2-ERW 1-PE</t>
        </is>
      </c>
      <c r="AC4" t="inlineStr">
        <is>
          <t>14-0-1.6-CEW-CEW</t>
        </is>
      </c>
      <c r="AD4" t="inlineStr">
        <is>
          <t>14-0-1.6-CEW-CEW</t>
        </is>
      </c>
      <c r="AE4" t="inlineStr">
        <is>
          <t>14-0-1.6-CEW-CEW</t>
        </is>
      </c>
      <c r="AJ4" t="inlineStr">
        <is>
          <t>BALAJI PRESS PRODUCTS INDIA</t>
        </is>
      </c>
      <c r="AK4" t="inlineStr">
        <is>
          <t>ELKAYEM AUTO ANCILLARIES PVT LTD -U</t>
        </is>
      </c>
      <c r="AL4" t="inlineStr">
        <is>
          <t>ELKAYEM AUTO(Mysore + Hosur)</t>
        </is>
      </c>
      <c r="AM4">
        <f>SUMIF(salesTVS[CUSTOMER  NAME],AK4,salesTVS[Quantity])</f>
        <v/>
      </c>
      <c r="AQ4" t="n">
        <v>1940247</v>
      </c>
      <c r="AR4">
        <f>VLOOKUP(AQ4,buckets[],9,0)</f>
        <v/>
      </c>
      <c r="AS4" t="inlineStr">
        <is>
          <t>19.05-0-1.6-ERW 1-PE</t>
        </is>
      </c>
      <c r="AT4" t="inlineStr">
        <is>
          <t>19.05-0-1.6-ERW 1-PE</t>
        </is>
      </c>
      <c r="AV4" t="inlineStr">
        <is>
          <t>31.75-0-1.2-ERW 1-PE</t>
        </is>
      </c>
      <c r="AW4" t="inlineStr">
        <is>
          <t>19.05-0-1.6-ERW 1-PE</t>
        </is>
      </c>
      <c r="BA4" s="557" t="n"/>
      <c r="BC4" t="inlineStr">
        <is>
          <t>11--1.5-CEW-NON FIN</t>
        </is>
      </c>
    </row>
    <row r="5">
      <c r="A5" t="n">
        <v>1940057</v>
      </c>
      <c r="B5" t="n">
        <v>1940078</v>
      </c>
      <c r="D5" t="n">
        <v>2426342</v>
      </c>
      <c r="E5" t="n">
        <v>1939963</v>
      </c>
      <c r="H5" t="inlineStr">
        <is>
          <t>Surya Steels</t>
        </is>
      </c>
      <c r="I5" t="inlineStr">
        <is>
          <t>SANDHAR ENGINEERING PVT LTD.(KA) -U</t>
        </is>
      </c>
      <c r="J5" t="inlineStr">
        <is>
          <t>BCC PIPES &amp; TUBES PRIVATE LIMITED</t>
        </is>
      </c>
      <c r="P5" t="n">
        <v>6</v>
      </c>
      <c r="Q5" t="n">
        <v>6</v>
      </c>
      <c r="W5" t="inlineStr">
        <is>
          <t>19.05-0-2.3-ERW 1-PE</t>
        </is>
      </c>
      <c r="X5" t="inlineStr">
        <is>
          <t>22.23-0-2-ERW 1-PE</t>
        </is>
      </c>
      <c r="Y5" t="inlineStr">
        <is>
          <t>22.23-0-2-ERW 1-PE</t>
        </is>
      </c>
      <c r="AC5" t="inlineStr">
        <is>
          <t>14-0-1.95-CEW-CEW</t>
        </is>
      </c>
      <c r="AD5" t="inlineStr">
        <is>
          <t>14-0-1.95-CEW-CEW</t>
        </is>
      </c>
      <c r="AE5" t="inlineStr">
        <is>
          <t>14-0-1.95-CEW-CEW</t>
        </is>
      </c>
      <c r="AJ5" t="inlineStr">
        <is>
          <t>Rajsriya Automotive Industries</t>
        </is>
      </c>
      <c r="AK5" t="inlineStr">
        <is>
          <t>Neel Metal Products Limited</t>
        </is>
      </c>
      <c r="AL5" t="inlineStr">
        <is>
          <t>NMPL 1</t>
        </is>
      </c>
      <c r="AM5">
        <f>SUMIF(salesTVS[CUSTOMER  NAME],AK5,salesTVS[Quantity])</f>
        <v/>
      </c>
      <c r="AQ5" t="n">
        <v>2320564</v>
      </c>
      <c r="AR5">
        <f>VLOOKUP(AQ5,buckets[],9,0)</f>
        <v/>
      </c>
      <c r="AS5" t="inlineStr">
        <is>
          <t>19.05-0-2.3-ERW 1-PE</t>
        </is>
      </c>
      <c r="AT5" t="inlineStr">
        <is>
          <t>19.05-0-2.3-ERW 1-PE</t>
        </is>
      </c>
      <c r="AV5" t="inlineStr">
        <is>
          <t>31.75-0-1.2-ERW 1-PE</t>
        </is>
      </c>
      <c r="AW5" t="inlineStr">
        <is>
          <t>22.23-0-2-ERW 1-PE</t>
        </is>
      </c>
      <c r="BA5" s="557" t="n"/>
      <c r="BC5" t="inlineStr">
        <is>
          <t>12.7-0-1.2-ERW 1-PE</t>
        </is>
      </c>
    </row>
    <row r="6">
      <c r="A6" t="n">
        <v>3614251</v>
      </c>
      <c r="B6" t="n">
        <v>1940090</v>
      </c>
      <c r="D6" t="n">
        <v>1939303</v>
      </c>
      <c r="E6" t="n">
        <v>1939966</v>
      </c>
      <c r="H6" t="inlineStr">
        <is>
          <t>A.R.Automotive And Engg Industries</t>
        </is>
      </c>
      <c r="I6" t="inlineStr">
        <is>
          <t>Rajsriya Automotive Ind Pvt Ltd.</t>
        </is>
      </c>
      <c r="J6" t="inlineStr">
        <is>
          <t>BHARAT TUBES CORPORATION</t>
        </is>
      </c>
      <c r="P6" t="n">
        <v>7</v>
      </c>
      <c r="Q6" t="n">
        <v>7</v>
      </c>
      <c r="W6" t="inlineStr">
        <is>
          <t>19.05-0-2.3-ERW 1-PE</t>
        </is>
      </c>
      <c r="X6" t="inlineStr">
        <is>
          <t>22.23-0-1.6-ERW 1-PE</t>
        </is>
      </c>
      <c r="Y6" t="inlineStr">
        <is>
          <t>22.23-0-1.6-ERW 1-PE</t>
        </is>
      </c>
      <c r="AC6" t="inlineStr">
        <is>
          <t>14-0-2.5-CEW-CEW</t>
        </is>
      </c>
      <c r="AD6" t="inlineStr">
        <is>
          <t>14-0-2.5-CEW-CEW</t>
        </is>
      </c>
      <c r="AE6" t="inlineStr">
        <is>
          <t>14-0-2.5-CEW-CEW</t>
        </is>
      </c>
      <c r="AJ6" t="inlineStr">
        <is>
          <t>Marathwada Auto Compo Pvt. Ltd.</t>
        </is>
      </c>
      <c r="AK6" t="inlineStr">
        <is>
          <t>BALAJI PRESS PRODUCTS INDIA</t>
        </is>
      </c>
      <c r="AL6" t="inlineStr">
        <is>
          <t>Balaji Press Product</t>
        </is>
      </c>
      <c r="AM6">
        <f>SUMIF(salesTVS[CUSTOMER  NAME],AK6,salesTVS[Quantity])</f>
        <v/>
      </c>
      <c r="AQ6" t="n">
        <v>319684</v>
      </c>
      <c r="AR6">
        <f>VLOOKUP(AQ6,buckets[],9,0)</f>
        <v/>
      </c>
      <c r="AS6" t="inlineStr">
        <is>
          <t>22.23-0-2-ERW 1-PE</t>
        </is>
      </c>
      <c r="AT6" t="inlineStr">
        <is>
          <t>22.23-0-2-ERW 1-PE</t>
        </is>
      </c>
      <c r="AV6" t="inlineStr">
        <is>
          <t>31.75-0-1.2-ERW 1-PE</t>
        </is>
      </c>
      <c r="AW6" t="inlineStr">
        <is>
          <t>19.05-0-2.3-ERW 1-PE</t>
        </is>
      </c>
      <c r="BA6" s="557" t="n"/>
      <c r="BC6" t="inlineStr">
        <is>
          <t>12.7-0-1.2-ERW 1-PE</t>
        </is>
      </c>
    </row>
    <row r="7">
      <c r="A7" t="n">
        <v>1940255</v>
      </c>
      <c r="B7" t="n">
        <v>1940124</v>
      </c>
      <c r="D7" t="n">
        <v>1939303</v>
      </c>
      <c r="E7" t="n">
        <v>2386074</v>
      </c>
      <c r="H7" t="inlineStr">
        <is>
          <t>SANDHAR ENGINEERING PVT LTD.(KA) -U</t>
        </is>
      </c>
      <c r="I7" t="inlineStr">
        <is>
          <t>SRIKAM HITECH ENGINEERING PRIVATE L</t>
        </is>
      </c>
      <c r="J7" t="inlineStr">
        <is>
          <t>ELKAYEM AUTO ANCILLARIES (PVT) LTD.</t>
        </is>
      </c>
      <c r="P7" t="n">
        <v>7</v>
      </c>
      <c r="Q7" t="n">
        <v>8</v>
      </c>
      <c r="W7" t="inlineStr">
        <is>
          <t>19.05-0-2.3-ERW 1-PE</t>
        </is>
      </c>
      <c r="X7" t="inlineStr">
        <is>
          <t>22.23-0-2.3-ERW 1-PE</t>
        </is>
      </c>
      <c r="Y7" t="inlineStr">
        <is>
          <t>22.23-0-2.3-ERW 1-PE</t>
        </is>
      </c>
      <c r="AC7" t="inlineStr">
        <is>
          <t>15.88-0-1-ERW 1-PE</t>
        </is>
      </c>
      <c r="AD7" t="inlineStr">
        <is>
          <t>15.88-0-1-ERW 1-PE</t>
        </is>
      </c>
      <c r="AE7" t="inlineStr">
        <is>
          <t>15.88-0-1-ERW 1-PE</t>
        </is>
      </c>
      <c r="AJ7" t="inlineStr">
        <is>
          <t>ELKAYEM AUTO ANCILLARIES PRIVATE LI</t>
        </is>
      </c>
      <c r="AK7" t="inlineStr">
        <is>
          <t>Rajsriya Automotive Ind.P.Ltd Unit-</t>
        </is>
      </c>
      <c r="AL7" t="inlineStr">
        <is>
          <t>Rajsriya Automotive(Mysore + Hosur)</t>
        </is>
      </c>
      <c r="AM7">
        <f>SUMIF(salesTVS[CUSTOMER  NAME],AK7,salesTVS[Quantity])</f>
        <v/>
      </c>
      <c r="AQ7" t="n">
        <v>1154248</v>
      </c>
      <c r="AR7">
        <f>VLOOKUP(AQ7,buckets[],9,0)</f>
        <v/>
      </c>
      <c r="AS7" t="inlineStr">
        <is>
          <t>22.23-0-1.6-ERW 1-PE</t>
        </is>
      </c>
      <c r="AT7" t="inlineStr">
        <is>
          <t>22.23-0-1.6-ERW 1-PE</t>
        </is>
      </c>
      <c r="AV7" t="inlineStr">
        <is>
          <t>31.75-0-1.2-ERW 1-PE</t>
        </is>
      </c>
      <c r="AW7" t="inlineStr">
        <is>
          <t>38.1-0-2-ERW 1-FC</t>
        </is>
      </c>
      <c r="BA7" s="557" t="n"/>
      <c r="BC7" t="inlineStr">
        <is>
          <t>12.7-0-1.2-ERW 1-PE</t>
        </is>
      </c>
    </row>
    <row r="8">
      <c r="A8" t="n">
        <v>3402381</v>
      </c>
      <c r="B8" t="n">
        <v>1940146</v>
      </c>
      <c r="D8" t="n">
        <v>1939963</v>
      </c>
      <c r="E8" t="n">
        <v>1939974</v>
      </c>
      <c r="H8" t="inlineStr">
        <is>
          <t>Rajsriya Automotive Ind Pvt Ltd.</t>
        </is>
      </c>
      <c r="I8" t="inlineStr">
        <is>
          <t>MEGH STEELS PRIVATE LIMITED - HMSIL</t>
        </is>
      </c>
      <c r="J8" t="inlineStr">
        <is>
          <t>ELKAYEM AUTO ANCILLARIES PRIVATE LI</t>
        </is>
      </c>
      <c r="P8" t="n">
        <v>8</v>
      </c>
      <c r="Q8" t="n">
        <v>9</v>
      </c>
      <c r="W8" t="inlineStr">
        <is>
          <t>40-25-1.6-ERW 1-FC</t>
        </is>
      </c>
      <c r="X8" t="inlineStr">
        <is>
          <t>48.6-0-4-ERW 2-FC-Ampere</t>
        </is>
      </c>
      <c r="Y8" t="inlineStr">
        <is>
          <t>48.6-0-4-ERW 2-FC-Ampere</t>
        </is>
      </c>
      <c r="AC8" t="inlineStr">
        <is>
          <t>15.88-0-1.2-ERW 1-PE</t>
        </is>
      </c>
      <c r="AD8" t="inlineStr">
        <is>
          <t>15.88-0-1.2-ERW 1-PE</t>
        </is>
      </c>
      <c r="AE8" t="inlineStr">
        <is>
          <t>15.88-0-1.2-ERW 1-PE</t>
        </is>
      </c>
      <c r="AJ8" t="inlineStr">
        <is>
          <t>Sri Balaji Gears</t>
        </is>
      </c>
      <c r="AK8" t="inlineStr">
        <is>
          <t>KNITVEL NEEDLES P LTD</t>
        </is>
      </c>
      <c r="AL8" t="inlineStr">
        <is>
          <t>KNITVEL</t>
        </is>
      </c>
      <c r="AM8">
        <f>SUMIF(salesTVS[CUSTOMER  NAME],AK8,salesTVS[Quantity])</f>
        <v/>
      </c>
      <c r="AQ8" t="n">
        <v>3553684</v>
      </c>
      <c r="AR8">
        <f>VLOOKUP(AQ8,buckets[],9,0)</f>
        <v/>
      </c>
      <c r="AS8" t="inlineStr">
        <is>
          <t>22.23-0-2-ERW 2-FC</t>
        </is>
      </c>
      <c r="AT8" t="inlineStr">
        <is>
          <t>25.4-0-2-ERW 1-FC</t>
        </is>
      </c>
      <c r="AV8" t="inlineStr">
        <is>
          <t>31.75-0-1.2-ERW 1-PE</t>
        </is>
      </c>
      <c r="AW8" t="inlineStr">
        <is>
          <t>17.3-0-1.6-ERW 1-PE</t>
        </is>
      </c>
      <c r="BA8" s="557" t="n"/>
      <c r="BC8" t="inlineStr">
        <is>
          <t>12.7-0-1.2-ERW 1-PE</t>
        </is>
      </c>
    </row>
    <row r="9">
      <c r="A9" t="n">
        <v>3451560</v>
      </c>
      <c r="B9" t="n">
        <v>1940151</v>
      </c>
      <c r="D9" t="n">
        <v>1939963</v>
      </c>
      <c r="E9" t="n">
        <v>2403436</v>
      </c>
      <c r="H9" t="inlineStr">
        <is>
          <t>Rajsriya Automotive Ind Pvt Ltd.</t>
        </is>
      </c>
      <c r="I9" t="inlineStr">
        <is>
          <t>MEGH STEELS PRIVATE LIMITED - TVS A</t>
        </is>
      </c>
      <c r="J9" t="inlineStr">
        <is>
          <t>ELKAYEM AUTO ANCILLARIES PVT LTD -U</t>
        </is>
      </c>
      <c r="P9" t="n">
        <v>8</v>
      </c>
      <c r="Q9" t="n">
        <v>13</v>
      </c>
      <c r="W9" t="inlineStr">
        <is>
          <t>40-25-1.6-ERW 1-FC</t>
        </is>
      </c>
      <c r="X9" t="inlineStr">
        <is>
          <t>37.6-31.2-3.2-CEW-CEW</t>
        </is>
      </c>
      <c r="Y9" t="inlineStr">
        <is>
          <t>37.6-31.2-3.2-CEW-CEW</t>
        </is>
      </c>
      <c r="AC9" t="inlineStr">
        <is>
          <t>15.88-0-1.6-ERW 1-PE</t>
        </is>
      </c>
      <c r="AD9" t="inlineStr">
        <is>
          <t>15.88-0-1.6-ERW 1-PE</t>
        </is>
      </c>
      <c r="AE9" t="inlineStr">
        <is>
          <t>15.88-0-1.6-ERW 1-PE</t>
        </is>
      </c>
      <c r="AJ9" t="inlineStr">
        <is>
          <t>Neel Metal Products Limited</t>
        </is>
      </c>
      <c r="AK9" t="inlineStr">
        <is>
          <t>SANDHAR ENGINEERING PVT LTD.(KA) -U</t>
        </is>
      </c>
      <c r="AL9" t="inlineStr">
        <is>
          <t>SANDHAR ENGINEERING PVT LTD.</t>
        </is>
      </c>
      <c r="AM9">
        <f>SUMIF(salesTVS[CUSTOMER  NAME],AK9,salesTVS[Quantity])</f>
        <v/>
      </c>
      <c r="AQ9" t="n">
        <v>3714733</v>
      </c>
      <c r="AR9">
        <f>VLOOKUP(AQ9,buckets[],9,0)</f>
        <v/>
      </c>
      <c r="AS9" t="inlineStr">
        <is>
          <t>25.4-0-2-ERW 1-FC</t>
        </is>
      </c>
      <c r="AT9" t="inlineStr">
        <is>
          <t>25.4-0-2.5-ERW 1-FC</t>
        </is>
      </c>
      <c r="AV9" t="inlineStr">
        <is>
          <t>22.23-0-1.6-ERW 1-PE</t>
        </is>
      </c>
      <c r="AW9" t="inlineStr">
        <is>
          <t>38.1-0-2-ERW 1-PE</t>
        </is>
      </c>
      <c r="BA9" s="557" t="n"/>
      <c r="BC9" t="inlineStr">
        <is>
          <t>12.7-0-1.2-ERW 1-PE</t>
        </is>
      </c>
    </row>
    <row r="10">
      <c r="A10" t="n">
        <v>3584139</v>
      </c>
      <c r="B10" t="n">
        <v>1940220</v>
      </c>
      <c r="D10" t="n">
        <v>1939963</v>
      </c>
      <c r="E10" t="n">
        <v>1939985</v>
      </c>
      <c r="H10" t="inlineStr">
        <is>
          <t>SRIKAM HITECH ENGINEERING PRIVATE L</t>
        </is>
      </c>
      <c r="I10" t="inlineStr">
        <is>
          <t>Indo Autotech Limited (Unit V)</t>
        </is>
      </c>
      <c r="J10" t="inlineStr">
        <is>
          <t>GANESH INDUSTRAIL SUPPLIES</t>
        </is>
      </c>
      <c r="P10" t="n">
        <v>9</v>
      </c>
      <c r="Q10" t="n">
        <v>14</v>
      </c>
      <c r="W10" t="inlineStr">
        <is>
          <t>40-25-1.6-ERW 1-FC</t>
        </is>
      </c>
      <c r="X10" t="inlineStr">
        <is>
          <t>12.7-0-1.6-ERW 1-PE</t>
        </is>
      </c>
      <c r="Y10" t="inlineStr">
        <is>
          <t>12.7-0-1.6-ERW 1-PE</t>
        </is>
      </c>
      <c r="AC10" t="inlineStr">
        <is>
          <t>15.88-0-2-ERW 1-PE</t>
        </is>
      </c>
      <c r="AD10" t="inlineStr">
        <is>
          <t>15.88-0-2-ERW 1-PE</t>
        </is>
      </c>
      <c r="AE10" t="inlineStr">
        <is>
          <t>15.88-0-2-ERW 1-PE</t>
        </is>
      </c>
      <c r="AJ10" t="inlineStr">
        <is>
          <t>ELKAYEM AUTO ANCILLARIES PVT LTD -U</t>
        </is>
      </c>
      <c r="AK10" t="inlineStr">
        <is>
          <t>RAJSRIYA AUTOMOTIVE IND. P LTD</t>
        </is>
      </c>
      <c r="AL10" t="inlineStr">
        <is>
          <t>Rajsriya Automotive(Mysore + Hosur)</t>
        </is>
      </c>
      <c r="AM10">
        <f>SUMIF(salesTVS[CUSTOMER  NAME],AK10,salesTVS[Quantity])</f>
        <v/>
      </c>
      <c r="AQ10" t="n">
        <v>3910650</v>
      </c>
      <c r="AR10">
        <f>VLOOKUP(AQ10,buckets[],9,0)</f>
        <v/>
      </c>
      <c r="AS10" t="inlineStr">
        <is>
          <t>25.4-0-2.5-ERW 1-FC</t>
        </is>
      </c>
      <c r="AT10" t="inlineStr">
        <is>
          <t>28.58-0-1.2-ERW 1-PE</t>
        </is>
      </c>
      <c r="AV10" t="inlineStr">
        <is>
          <t>22.23-0-1.6-ERW 1-PE</t>
        </is>
      </c>
      <c r="AW10" t="inlineStr">
        <is>
          <t>19.05-0-1.2-ERW 1-PE</t>
        </is>
      </c>
      <c r="BA10" s="557" t="n"/>
      <c r="BC10" t="inlineStr">
        <is>
          <t>12.7-0-1.2-ERW 1-PE</t>
        </is>
      </c>
    </row>
    <row r="11">
      <c r="A11" t="n">
        <v>3452432</v>
      </c>
      <c r="B11" t="n">
        <v>1940236</v>
      </c>
      <c r="D11" t="n">
        <v>1939963</v>
      </c>
      <c r="E11" t="n">
        <v>1900037</v>
      </c>
      <c r="H11" t="inlineStr">
        <is>
          <t>MEGH STEELS PRIVATE LIMITED - HMSIL</t>
        </is>
      </c>
      <c r="I11" t="inlineStr">
        <is>
          <t>Neel Metal Products Limited</t>
        </is>
      </c>
      <c r="J11" t="inlineStr">
        <is>
          <t>Indo Autotech Limited (Unit V)</t>
        </is>
      </c>
      <c r="P11" t="n">
        <v>13</v>
      </c>
      <c r="Q11" t="n">
        <v>15</v>
      </c>
      <c r="W11" t="inlineStr">
        <is>
          <t>12.7-0-1.2-ERW 1-PE</t>
        </is>
      </c>
      <c r="X11" t="inlineStr">
        <is>
          <t>57.15-0-2-ERW 1-FC</t>
        </is>
      </c>
      <c r="Y11" t="inlineStr">
        <is>
          <t>57.15-0-2-ERW 1-FC</t>
        </is>
      </c>
      <c r="AC11" t="inlineStr">
        <is>
          <t>16.1-0-2.8-CEW-CEW</t>
        </is>
      </c>
      <c r="AD11" t="inlineStr">
        <is>
          <t>16.1-0-2.8-CEW-CEW</t>
        </is>
      </c>
      <c r="AE11" t="inlineStr">
        <is>
          <t>16.1-0-2.8-CEW-CEW</t>
        </is>
      </c>
      <c r="AJ11" t="inlineStr">
        <is>
          <t>SANDHAR ENGINEERING PVT LTD.(KA) -U</t>
        </is>
      </c>
      <c r="AK11" t="inlineStr">
        <is>
          <t>Rajsriya Automotive Industries</t>
        </is>
      </c>
      <c r="AL11" t="inlineStr">
        <is>
          <t>Rajsriya Automotive(Mysore + Hosur)</t>
        </is>
      </c>
      <c r="AM11">
        <f>SUMIF(salesTVS[CUSTOMER  NAME],AK11,salesTVS[Quantity])</f>
        <v/>
      </c>
      <c r="AQ11" t="n">
        <v>3910649</v>
      </c>
      <c r="AR11">
        <f>VLOOKUP(AQ11,buckets[],9,0)</f>
        <v/>
      </c>
      <c r="AS11" t="inlineStr">
        <is>
          <t>28.58-0-1.2-ERW 1-PE</t>
        </is>
      </c>
      <c r="AT11" t="inlineStr">
        <is>
          <t>31.75-0-1.2-ERW 1-PE</t>
        </is>
      </c>
      <c r="AV11" t="inlineStr">
        <is>
          <t>19.05-0-1.6-ERW 1-PE</t>
        </is>
      </c>
      <c r="AW11" t="inlineStr">
        <is>
          <t>42.7-0-3.5-ERW 1-FC</t>
        </is>
      </c>
      <c r="BA11" s="557" t="n"/>
      <c r="BC11" t="inlineStr">
        <is>
          <t>12.7-0-1.2-ERW 1-PE</t>
        </is>
      </c>
    </row>
    <row r="12">
      <c r="A12" t="n">
        <v>2432084</v>
      </c>
      <c r="B12" t="n">
        <v>1940241</v>
      </c>
      <c r="D12" t="n">
        <v>1939963</v>
      </c>
      <c r="E12" t="n">
        <v>1939986</v>
      </c>
      <c r="H12" t="inlineStr">
        <is>
          <t>Surya Steels</t>
        </is>
      </c>
      <c r="I12" t="inlineStr">
        <is>
          <t>FREE STOCK</t>
        </is>
      </c>
      <c r="J12" t="inlineStr">
        <is>
          <t>JBM AUTO LIMITED</t>
        </is>
      </c>
      <c r="P12" t="n">
        <v>14</v>
      </c>
      <c r="Q12" t="n">
        <v>17</v>
      </c>
      <c r="W12" t="inlineStr">
        <is>
          <t>12.7-0-1.2-ERW 1-PE</t>
        </is>
      </c>
      <c r="X12" t="inlineStr">
        <is>
          <t>34.93-0-2.5-ERW 1-PE</t>
        </is>
      </c>
      <c r="Y12" t="inlineStr">
        <is>
          <t>34.93-0-2.5-ERW 1-PE</t>
        </is>
      </c>
      <c r="AC12" t="inlineStr">
        <is>
          <t>16.1-10.4-2.7-CEW-CEW</t>
        </is>
      </c>
      <c r="AD12" t="inlineStr">
        <is>
          <t>16.1-10.4-2.7-CEW-CEW</t>
        </is>
      </c>
      <c r="AE12" t="inlineStr">
        <is>
          <t>16.1-10.4-2.7-CEW-CEW</t>
        </is>
      </c>
      <c r="AJ12" t="inlineStr">
        <is>
          <t>Rajsriya Automotive Industries(P)</t>
        </is>
      </c>
      <c r="AK12" t="inlineStr">
        <is>
          <t>RAJSRIYA AUTOMOTIVE INDUSTRIES PVT</t>
        </is>
      </c>
      <c r="AL12" t="inlineStr">
        <is>
          <t>Rajsriya Automotive(Mysore + Hosur)</t>
        </is>
      </c>
      <c r="AM12">
        <f>SUMIF(salesTVS[CUSTOMER  NAME],AK12,salesTVS[Quantity])</f>
        <v/>
      </c>
      <c r="AQ12" t="n">
        <v>2413708</v>
      </c>
      <c r="AR12">
        <f>VLOOKUP(AQ12,buckets[],9,0)</f>
        <v/>
      </c>
      <c r="AS12" t="inlineStr">
        <is>
          <t>31.75-0-1.2-ERW 1-PE</t>
        </is>
      </c>
      <c r="AT12" t="inlineStr">
        <is>
          <t>31.75-0-1.2-ERW 1-FC</t>
        </is>
      </c>
      <c r="AV12" t="inlineStr">
        <is>
          <t>19.05-0-1.6-ERW 1-PE</t>
        </is>
      </c>
      <c r="AW12" t="inlineStr">
        <is>
          <t>42.7-0-4-ERW 1-FC</t>
        </is>
      </c>
      <c r="BA12" s="557" t="n"/>
      <c r="BC12" t="inlineStr">
        <is>
          <t>12.7-0-1.2-ERW 1-PE</t>
        </is>
      </c>
    </row>
    <row r="13">
      <c r="A13" t="n">
        <v>1940792</v>
      </c>
      <c r="B13" t="n">
        <v>1940247</v>
      </c>
      <c r="D13" t="n">
        <v>1939963</v>
      </c>
      <c r="E13" t="n">
        <v>3552188</v>
      </c>
      <c r="H13" t="inlineStr">
        <is>
          <t>MEGH STEELS PRIVATE LIMITED - TVS A</t>
        </is>
      </c>
      <c r="I13" t="inlineStr">
        <is>
          <t>RAJSRIYA AUTOMOTIVE IND. P LTD</t>
        </is>
      </c>
      <c r="J13" t="inlineStr">
        <is>
          <t>JK ENGINEERING WORKS</t>
        </is>
      </c>
      <c r="P13" t="n">
        <v>15</v>
      </c>
      <c r="Q13" t="n">
        <v>18</v>
      </c>
      <c r="W13" t="inlineStr">
        <is>
          <t>12.7-0-1.2-ERW 1-PE</t>
        </is>
      </c>
      <c r="X13" t="inlineStr">
        <is>
          <t>34.93-0-1.6-ERW 1-PE</t>
        </is>
      </c>
      <c r="Y13" t="inlineStr">
        <is>
          <t>34.93-0-1.6-ERW 1-PE</t>
        </is>
      </c>
      <c r="AC13" t="inlineStr">
        <is>
          <t>16.1-10.7-2.95-CEW-CEW</t>
        </is>
      </c>
      <c r="AD13" t="inlineStr">
        <is>
          <t>16.1-10.7-2.95-CEW-CEW</t>
        </is>
      </c>
      <c r="AE13" t="inlineStr">
        <is>
          <t>16.1-10.7-2.95-CEW-CEW</t>
        </is>
      </c>
      <c r="AJ13" t="inlineStr">
        <is>
          <t>Rajsriya Automotive Ind.P.Ltd Unit-</t>
        </is>
      </c>
      <c r="AK13" t="inlineStr">
        <is>
          <t>Metalman Auto Private Limited</t>
        </is>
      </c>
      <c r="AL13" t="inlineStr">
        <is>
          <t>Metalman</t>
        </is>
      </c>
      <c r="AM13">
        <f>SUMIF(salesTVS[CUSTOMER  NAME],AK13,salesTVS[Quantity])</f>
        <v/>
      </c>
      <c r="AQ13" t="n">
        <v>3926270</v>
      </c>
      <c r="AR13">
        <f>VLOOKUP(AQ13,buckets[],9,0)</f>
        <v/>
      </c>
      <c r="AS13" t="inlineStr">
        <is>
          <t>31.75-0-1.2-ERW 1-FC</t>
        </is>
      </c>
      <c r="AT13" t="inlineStr">
        <is>
          <t>38.1-0-2-ERW 1-FC</t>
        </is>
      </c>
      <c r="AV13" t="inlineStr">
        <is>
          <t>19.05-0-1.6-ERW 1-PE</t>
        </is>
      </c>
      <c r="AW13" t="inlineStr">
        <is>
          <t>50-30-1.6-ERW 2-FC</t>
        </is>
      </c>
      <c r="BA13" s="557" t="n"/>
      <c r="BC13" t="inlineStr">
        <is>
          <t>12.7--1.4-ERW 1-NON FIN</t>
        </is>
      </c>
    </row>
    <row r="14">
      <c r="A14" t="n">
        <v>3484632</v>
      </c>
      <c r="B14" t="n">
        <v>1940262</v>
      </c>
      <c r="D14" t="n">
        <v>1939963</v>
      </c>
      <c r="E14" t="n">
        <v>1931117</v>
      </c>
      <c r="H14" t="inlineStr">
        <is>
          <t>ELKAYEM AUTO ANCILLARIES (PVT) LTD.</t>
        </is>
      </c>
      <c r="I14" t="inlineStr">
        <is>
          <t>Rajsriya Automotive Ind. Pvt Ltd</t>
        </is>
      </c>
      <c r="J14" t="inlineStr">
        <is>
          <t>Kay Jay Forgings Pvt Ltd Unit Vi</t>
        </is>
      </c>
      <c r="P14" t="n">
        <v>17</v>
      </c>
      <c r="Q14" t="n">
        <v>19</v>
      </c>
      <c r="W14" t="inlineStr">
        <is>
          <t>12.7-0-1.2-ERW 1-PE</t>
        </is>
      </c>
      <c r="X14" t="inlineStr">
        <is>
          <t>59-30-1.6-ERW-FIN CUT</t>
        </is>
      </c>
      <c r="Y14" t="inlineStr">
        <is>
          <t>59-30-1.6-ERW-FIN CUT</t>
        </is>
      </c>
      <c r="AC14" t="inlineStr">
        <is>
          <t>17.3-0-1.2-ERW 1-PE</t>
        </is>
      </c>
      <c r="AD14" t="inlineStr">
        <is>
          <t>17.3-0-1.2-ERW 1-PE</t>
        </is>
      </c>
      <c r="AE14" t="inlineStr">
        <is>
          <t>17.3-0-1.2-ERW 1-PE</t>
        </is>
      </c>
      <c r="AJ14" t="inlineStr">
        <is>
          <t>Rajsriya Automotive Ind. Pvt Ltd</t>
        </is>
      </c>
      <c r="AK14" t="inlineStr">
        <is>
          <t>Sri Balaji Gears</t>
        </is>
      </c>
      <c r="AL14" t="inlineStr">
        <is>
          <t>Sri Balaji Gear</t>
        </is>
      </c>
      <c r="AM14">
        <f>SUMIF(salesTVS[CUSTOMER  NAME],AK14,salesTVS[Quantity])</f>
        <v/>
      </c>
      <c r="AQ14" t="n">
        <v>3924502</v>
      </c>
      <c r="AR14">
        <f>VLOOKUP(AQ14,buckets[],9,0)</f>
        <v/>
      </c>
      <c r="AS14" t="inlineStr">
        <is>
          <t>38.1-0-2-ERW 1-FC</t>
        </is>
      </c>
      <c r="AT14" t="inlineStr">
        <is>
          <t>38.1-0-2-ERW 1-PE</t>
        </is>
      </c>
      <c r="AV14" t="inlineStr">
        <is>
          <t>22.23-0-2-ERW 1-PE</t>
        </is>
      </c>
      <c r="AW14" t="inlineStr">
        <is>
          <t>40-25-1.6-ERW 2-FC</t>
        </is>
      </c>
      <c r="BA14" s="557" t="n"/>
      <c r="BC14" t="inlineStr">
        <is>
          <t>12.7--1.4-ERW 1-NON FIN</t>
        </is>
      </c>
    </row>
    <row r="15">
      <c r="A15" t="n">
        <v>1940617</v>
      </c>
      <c r="B15" t="n">
        <v>1940273</v>
      </c>
      <c r="D15" t="n">
        <v>1939963</v>
      </c>
      <c r="E15" t="n">
        <v>2288968</v>
      </c>
      <c r="H15" t="inlineStr">
        <is>
          <t>ELKAYEM AUTO ANCILLARIES (PVT) LTD.</t>
        </is>
      </c>
      <c r="I15" t="inlineStr">
        <is>
          <t>BALAJI PRESS PRODUCTS INDIA</t>
        </is>
      </c>
      <c r="J15" t="inlineStr">
        <is>
          <t>KNITVEL NEEDLES P LTD</t>
        </is>
      </c>
      <c r="P15" t="n">
        <v>18</v>
      </c>
      <c r="Q15" t="n">
        <v>20</v>
      </c>
      <c r="W15" t="inlineStr">
        <is>
          <t>22.23-0-2-ERW 1-PE</t>
        </is>
      </c>
      <c r="X15" t="inlineStr">
        <is>
          <t>14-0-1.6-CEW-CEW</t>
        </is>
      </c>
      <c r="Y15" t="inlineStr">
        <is>
          <t>14-0-1.6-CEW-CEW</t>
        </is>
      </c>
      <c r="AC15" t="inlineStr">
        <is>
          <t>17.3-0-1.6-ERW 1-PE</t>
        </is>
      </c>
      <c r="AD15" t="inlineStr">
        <is>
          <t>17.3-0-1.6-ERW 1-PE</t>
        </is>
      </c>
      <c r="AE15" t="inlineStr">
        <is>
          <t>17.3-0-1.6-ERW 1-PE</t>
        </is>
      </c>
      <c r="AJ15" t="inlineStr">
        <is>
          <t>SANDHAR ENGINEERING PVTLTD(KA)U-III</t>
        </is>
      </c>
      <c r="AK15" t="inlineStr">
        <is>
          <t>Marathwada Auto Compo Pvt. Ltd.</t>
        </is>
      </c>
      <c r="AL15" t="inlineStr">
        <is>
          <t>Marathwada</t>
        </is>
      </c>
      <c r="AM15">
        <f>SUMIF(salesTVS[CUSTOMER  NAME],AK15,salesTVS[Quantity])</f>
        <v/>
      </c>
      <c r="AQ15" t="n">
        <v>1940588</v>
      </c>
      <c r="AR15">
        <f>VLOOKUP(AQ15,buckets[],9,0)</f>
        <v/>
      </c>
      <c r="AS15" t="inlineStr">
        <is>
          <t>40-25-1.6-ERW 1-FC</t>
        </is>
      </c>
      <c r="AT15" t="inlineStr">
        <is>
          <t>40-25-1.6-ERW 2-FC</t>
        </is>
      </c>
      <c r="AV15" t="inlineStr">
        <is>
          <t>22.23-0-2-ERW 1-PE</t>
        </is>
      </c>
      <c r="AW15" t="inlineStr">
        <is>
          <t>25.4-0-2-ERW 1-FC</t>
        </is>
      </c>
      <c r="BA15" s="557" t="n"/>
      <c r="BC15" t="inlineStr">
        <is>
          <t>check tdc for Annealed</t>
        </is>
      </c>
    </row>
    <row r="16">
      <c r="A16" t="n">
        <v>2279516</v>
      </c>
      <c r="B16" t="n">
        <v>1940292</v>
      </c>
      <c r="D16" t="n">
        <v>1939963</v>
      </c>
      <c r="E16" t="n">
        <v>1939991</v>
      </c>
      <c r="H16" t="inlineStr">
        <is>
          <t>ELKAYEM AUTO ANCILLARIES (PVT) LTD.</t>
        </is>
      </c>
      <c r="I16" t="inlineStr">
        <is>
          <t>Rajsriya Automotive Industries(P)</t>
        </is>
      </c>
      <c r="J16" t="inlineStr">
        <is>
          <t>KNITVEL NEEDLES PRIVATE LIMITED</t>
        </is>
      </c>
      <c r="P16" t="n">
        <v>19</v>
      </c>
      <c r="Q16" t="n">
        <v>21</v>
      </c>
      <c r="W16" t="inlineStr">
        <is>
          <t>22.23-0-2-ERW 1-PE</t>
        </is>
      </c>
      <c r="X16" t="inlineStr">
        <is>
          <t>check fc usage</t>
        </is>
      </c>
      <c r="Y16" t="inlineStr">
        <is>
          <t>check fc usage</t>
        </is>
      </c>
      <c r="AC16" t="inlineStr">
        <is>
          <t>18-10.8-3.6-CEW-CEW</t>
        </is>
      </c>
      <c r="AD16" t="inlineStr">
        <is>
          <t>18-10.8-3.6-CEW-CEW</t>
        </is>
      </c>
      <c r="AE16" t="inlineStr">
        <is>
          <t>18-10.8-3.6-CEW-CEW</t>
        </is>
      </c>
      <c r="AJ16" t="inlineStr">
        <is>
          <t>Metalman Auto Private Limited</t>
        </is>
      </c>
      <c r="AK16" t="inlineStr">
        <is>
          <t>Rucha Engineers Pvt Ltd.</t>
        </is>
      </c>
      <c r="AL16" t="inlineStr">
        <is>
          <t>Rucha Engineers Pvt Ltd.</t>
        </is>
      </c>
      <c r="AM16">
        <f>SUMIF(salesTVS[CUSTOMER  NAME],AK16,salesTVS[Quantity])</f>
        <v/>
      </c>
      <c r="AQ16" t="n">
        <v>3775636</v>
      </c>
      <c r="AR16">
        <f>VLOOKUP(AQ16,buckets[],9,0)</f>
        <v/>
      </c>
      <c r="AS16" t="inlineStr">
        <is>
          <t>41.28-0-2.6-ERW 1-FC</t>
        </is>
      </c>
      <c r="AT16" t="inlineStr">
        <is>
          <t>41.28-0-2.6-ERW 1-FC</t>
        </is>
      </c>
      <c r="AV16" t="inlineStr">
        <is>
          <t>22.23-0-2-ERW 1-PE</t>
        </is>
      </c>
      <c r="AW16" t="inlineStr">
        <is>
          <t>28.58-0-1.2-ERW 1-PE</t>
        </is>
      </c>
      <c r="BA16" s="557" t="n"/>
      <c r="BC16" t="inlineStr">
        <is>
          <t>12.7-0-1.6-ERW 1-PE</t>
        </is>
      </c>
    </row>
    <row r="17">
      <c r="A17" t="n">
        <v>3702439</v>
      </c>
      <c r="B17" t="n">
        <v>1940299</v>
      </c>
      <c r="D17" t="n">
        <v>1939963</v>
      </c>
      <c r="E17" t="n">
        <v>1939992</v>
      </c>
      <c r="H17" t="inlineStr">
        <is>
          <t>Indo Autotech Limited (Unit V)</t>
        </is>
      </c>
      <c r="I17" t="inlineStr">
        <is>
          <t>Sri Balaji Gears</t>
        </is>
      </c>
      <c r="J17" t="inlineStr">
        <is>
          <t>LAXMI METAL PRESSING WORKS PVT LTD</t>
        </is>
      </c>
      <c r="P17" t="n">
        <v>20</v>
      </c>
      <c r="Q17" t="n">
        <v>22</v>
      </c>
      <c r="W17" t="inlineStr">
        <is>
          <t>12.7-0-1.2-ERW 1-PE</t>
        </is>
      </c>
      <c r="X17" t="inlineStr">
        <is>
          <t>15.88-0-1-ERW 1-PE</t>
        </is>
      </c>
      <c r="Y17" t="inlineStr">
        <is>
          <t>15.88-0-1-ERW 1-PE</t>
        </is>
      </c>
      <c r="AC17" t="inlineStr">
        <is>
          <t>18.2-0-1-ERW 1-PE</t>
        </is>
      </c>
      <c r="AD17" t="inlineStr">
        <is>
          <t>18.2-0-1-ERW 1-PE</t>
        </is>
      </c>
      <c r="AE17" t="inlineStr">
        <is>
          <t>18.2-0-1-ERW 1-PE</t>
        </is>
      </c>
      <c r="AJ17" t="inlineStr">
        <is>
          <t>SANDHAR ENGINEERING PVTLTD (KA)UIII</t>
        </is>
      </c>
      <c r="AK17" t="inlineStr">
        <is>
          <t>Sandhar EngineeringPvt.Ltd.(KA)-Uni</t>
        </is>
      </c>
      <c r="AL17" t="inlineStr">
        <is>
          <t>SANDHAR ENGINEERING PVT LTD.</t>
        </is>
      </c>
      <c r="AM17">
        <f>SUMIF(salesTVS[CUSTOMER  NAME],AK17,salesTVS[Quantity])</f>
        <v/>
      </c>
      <c r="AQ17" t="n">
        <v>1940614</v>
      </c>
      <c r="AR17">
        <f>VLOOKUP(AQ17,buckets[],9,0)</f>
        <v/>
      </c>
      <c r="AS17" t="inlineStr">
        <is>
          <t>42.7-0-3.5-ERW 1-FC</t>
        </is>
      </c>
      <c r="AT17" t="inlineStr">
        <is>
          <t>42.7-0-3.5-ERW 1-FC</t>
        </is>
      </c>
      <c r="AV17" t="inlineStr">
        <is>
          <t>19.05-0-2.3-ERW 1-PE</t>
        </is>
      </c>
      <c r="AW17" t="inlineStr">
        <is>
          <t>48.6-0-1.2-ERW 1-FC</t>
        </is>
      </c>
      <c r="BA17" s="557" t="n"/>
      <c r="BC17" t="inlineStr">
        <is>
          <t>12.7-0-1.6-ERW 1-PE</t>
        </is>
      </c>
    </row>
    <row r="18">
      <c r="A18" t="n">
        <v>1940675</v>
      </c>
      <c r="B18" t="n">
        <v>1940306</v>
      </c>
      <c r="D18" t="n">
        <v>1939966</v>
      </c>
      <c r="E18" t="n">
        <v>3432081</v>
      </c>
      <c r="H18" t="inlineStr">
        <is>
          <t>SANDHAR ENGINEERING PVT LTD.(KA) -U</t>
        </is>
      </c>
      <c r="I18" t="inlineStr">
        <is>
          <t>Marathwada Auto Compo Pvt. Ltd.</t>
        </is>
      </c>
      <c r="J18" t="inlineStr">
        <is>
          <t>LOCHANA INDUSTRIES</t>
        </is>
      </c>
      <c r="P18" t="n">
        <v>21</v>
      </c>
      <c r="Q18" t="n">
        <v>23</v>
      </c>
      <c r="W18" t="inlineStr">
        <is>
          <t>22.23-0-1.6-ERW 1-PE</t>
        </is>
      </c>
      <c r="X18" t="inlineStr">
        <is>
          <t>31.75-0-1.2-ERW 1-PE</t>
        </is>
      </c>
      <c r="Y18" t="inlineStr">
        <is>
          <t>31.75-0-1.2-ERW 1-PE</t>
        </is>
      </c>
      <c r="AC18" t="inlineStr">
        <is>
          <t>18.2-12.3-2.95-CEW-CEW</t>
        </is>
      </c>
      <c r="AD18" t="inlineStr">
        <is>
          <t>18.2-12.3-2.95-CEW-CEW</t>
        </is>
      </c>
      <c r="AE18" t="inlineStr">
        <is>
          <t>18.2-12.3-2.95-CEW-CEW</t>
        </is>
      </c>
      <c r="AJ18" t="inlineStr">
        <is>
          <t>LAXMI METAL PRESSING WORKS PVT LTD</t>
        </is>
      </c>
      <c r="AK18" t="inlineStr">
        <is>
          <t>Rajsriya Automotive Ind. Pvt Ltd</t>
        </is>
      </c>
      <c r="AL18" t="inlineStr">
        <is>
          <t>Rajsriya Automotive(Mysore + Hosur)</t>
        </is>
      </c>
      <c r="AM18">
        <f>SUMIF(salesTVS[CUSTOMER  NAME],AK18,salesTVS[Quantity])</f>
        <v/>
      </c>
      <c r="AQ18" t="n">
        <v>3508456</v>
      </c>
      <c r="AR18">
        <f>VLOOKUP(AQ18,buckets[],9,0)</f>
        <v/>
      </c>
      <c r="AS18" t="inlineStr">
        <is>
          <t>42.7-0-4-ERW 1-FC</t>
        </is>
      </c>
      <c r="AT18" t="inlineStr">
        <is>
          <t>42.7-0-4-ERW 1-FC</t>
        </is>
      </c>
      <c r="AV18" t="inlineStr">
        <is>
          <t>19.05-0-2.3-ERW 1-PE</t>
        </is>
      </c>
      <c r="AW18" t="inlineStr">
        <is>
          <t>25.4-0-2.5-ERW 1-FC</t>
        </is>
      </c>
      <c r="BA18" s="557" t="n"/>
      <c r="BC18" t="inlineStr">
        <is>
          <t>12.7-0-1.6-ERW 1-PE</t>
        </is>
      </c>
    </row>
    <row r="19">
      <c r="A19" t="n">
        <v>1932361</v>
      </c>
      <c r="B19" t="n">
        <v>1940309</v>
      </c>
      <c r="D19" t="n">
        <v>1939966</v>
      </c>
      <c r="E19" t="n">
        <v>1939993</v>
      </c>
      <c r="H19" t="inlineStr">
        <is>
          <t>SANDHAR ENGINEERING PVT LTD.(KA) -U</t>
        </is>
      </c>
      <c r="I19" t="inlineStr">
        <is>
          <t>Tushar Steel Traders</t>
        </is>
      </c>
      <c r="J19" t="inlineStr">
        <is>
          <t>Marathwada Auto Compo Pvt. Ltd.</t>
        </is>
      </c>
      <c r="P19" t="n">
        <v>22</v>
      </c>
      <c r="Q19" t="n">
        <v>24</v>
      </c>
      <c r="W19" t="inlineStr">
        <is>
          <t>22.23-0-1.6-ERW 1-PE</t>
        </is>
      </c>
      <c r="X19" t="inlineStr">
        <is>
          <t>15.88-0-1.2-ERW 1-PE</t>
        </is>
      </c>
      <c r="Y19" t="inlineStr">
        <is>
          <t>15.88-0-1.2-ERW 1-PE</t>
        </is>
      </c>
      <c r="AC19" t="inlineStr">
        <is>
          <t>19-12.5-3.25-CEW-CEW</t>
        </is>
      </c>
      <c r="AD19" t="inlineStr">
        <is>
          <t>19-12.5-3.25-CEW-CEW</t>
        </is>
      </c>
      <c r="AE19" t="inlineStr">
        <is>
          <t>19-12.5-3.25-CEW-CEW</t>
        </is>
      </c>
      <c r="AJ19" t="inlineStr">
        <is>
          <t>Sandhar EngineeringPvt.Ltd.(KA)-Uni</t>
        </is>
      </c>
      <c r="AK19" t="inlineStr">
        <is>
          <t>Rajsriya Automotive Industries(P)</t>
        </is>
      </c>
      <c r="AL19" t="inlineStr">
        <is>
          <t>Rajsriya Automotive(Mysore + Hosur)</t>
        </is>
      </c>
      <c r="AM19">
        <f>SUMIF(salesTVS[CUSTOMER  NAME],AK19,salesTVS[Quantity])</f>
        <v/>
      </c>
      <c r="AQ19" t="n">
        <v>3819143</v>
      </c>
      <c r="AR19">
        <f>VLOOKUP(AQ19,buckets[],9,0)</f>
        <v/>
      </c>
      <c r="AS19" t="inlineStr">
        <is>
          <t>48.6-0-1.2-ERW 1-FC</t>
        </is>
      </c>
      <c r="AT19" t="inlineStr">
        <is>
          <t>48.6-0-1.2-ERW 1-FC</t>
        </is>
      </c>
      <c r="AV19" t="inlineStr">
        <is>
          <t>19.05-0-2.3-ERW 1-PE</t>
        </is>
      </c>
      <c r="AW19" t="inlineStr">
        <is>
          <t>31.75-0-1.2-ERW 1-FC</t>
        </is>
      </c>
      <c r="BA19" s="557" t="n"/>
      <c r="BC19" t="inlineStr">
        <is>
          <t>12.7-0-1.6-ERW 1-PE</t>
        </is>
      </c>
    </row>
    <row r="20">
      <c r="A20" t="n">
        <v>1940592</v>
      </c>
      <c r="B20" t="n">
        <v>1940312</v>
      </c>
      <c r="D20" t="n">
        <v>1939966</v>
      </c>
      <c r="E20" t="n">
        <v>3223304</v>
      </c>
      <c r="H20" t="inlineStr">
        <is>
          <t>SANDHAR ENGINEERING PVT LTD.(KA) -U</t>
        </is>
      </c>
      <c r="I20" t="inlineStr">
        <is>
          <t>Krishna Industries</t>
        </is>
      </c>
      <c r="J20" t="inlineStr">
        <is>
          <t>Maruthi Auto Components</t>
        </is>
      </c>
      <c r="P20" t="n">
        <v>23</v>
      </c>
      <c r="Q20" t="n">
        <v>25</v>
      </c>
      <c r="W20" t="inlineStr">
        <is>
          <t>22.23-0-2.3-ERW 1-PE</t>
        </is>
      </c>
      <c r="X20" t="inlineStr">
        <is>
          <t>19.05-0-1.6-ERW 1-PE</t>
        </is>
      </c>
      <c r="Y20" t="inlineStr">
        <is>
          <t>19.05-0-1.6-ERW 1-PE</t>
        </is>
      </c>
      <c r="AC20" t="inlineStr">
        <is>
          <t>19.05-0-1-ERW 1-PE</t>
        </is>
      </c>
      <c r="AD20" t="inlineStr">
        <is>
          <t>19.05-0-1-ERW 1-PE</t>
        </is>
      </c>
      <c r="AE20" t="inlineStr">
        <is>
          <t>19.05-0-1-ERW 1-PE</t>
        </is>
      </c>
      <c r="AJ20" t="inlineStr">
        <is>
          <t>KAY JAY FORGINGS LIMITED</t>
        </is>
      </c>
      <c r="AK20" t="inlineStr">
        <is>
          <t>Narasipur Auto Component(P)Ltd</t>
        </is>
      </c>
      <c r="AL20" t="inlineStr">
        <is>
          <t>Narasipur Auto Component(P)Ltd</t>
        </is>
      </c>
      <c r="AM20">
        <f>SUMIF(salesTVS[CUSTOMER  NAME],AK20,salesTVS[Quantity])</f>
        <v/>
      </c>
      <c r="AQ20" t="n">
        <v>2256593</v>
      </c>
      <c r="AR20">
        <f>VLOOKUP(AQ20,buckets[],9,0)</f>
        <v/>
      </c>
      <c r="AS20" t="inlineStr">
        <is>
          <t>50-30-1.6-ERW 2-FC</t>
        </is>
      </c>
      <c r="AT20" t="inlineStr">
        <is>
          <t>50-30-1.6-ERW 2-FC</t>
        </is>
      </c>
      <c r="AV20" t="inlineStr">
        <is>
          <t>22.23-0-2-ERW 1-PE</t>
        </is>
      </c>
      <c r="AW20" t="inlineStr">
        <is>
          <t>41.28-0-2.6-ERW 1-FC</t>
        </is>
      </c>
      <c r="BA20" s="557" t="n"/>
      <c r="BC20" t="inlineStr">
        <is>
          <t>12.7-0-1.6-ERW 1-PE</t>
        </is>
      </c>
    </row>
    <row r="21">
      <c r="A21" t="n">
        <v>2288959</v>
      </c>
      <c r="B21" t="n">
        <v>1940313</v>
      </c>
      <c r="D21" t="n">
        <v>1939966</v>
      </c>
      <c r="E21" t="n">
        <v>3676336</v>
      </c>
      <c r="H21" t="inlineStr">
        <is>
          <t>SANDHAR ENGINEERING PVT LTD.(KA) -U</t>
        </is>
      </c>
      <c r="I21" t="inlineStr">
        <is>
          <t>U M A Industries</t>
        </is>
      </c>
      <c r="J21" t="inlineStr">
        <is>
          <t>MEGH STEELS PRIVATE LIMITED - HMSIL</t>
        </is>
      </c>
      <c r="P21" t="n">
        <v>24</v>
      </c>
      <c r="Q21" t="n">
        <v>26</v>
      </c>
      <c r="W21" t="inlineStr">
        <is>
          <t>22.23-0-2.3-ERW 1-PE</t>
        </is>
      </c>
      <c r="X21" t="inlineStr">
        <is>
          <t>15.88-0-1.6-ERW 1-PE</t>
        </is>
      </c>
      <c r="Y21" t="inlineStr">
        <is>
          <t>15.88-0-1.6-ERW 1-PE</t>
        </is>
      </c>
      <c r="AC21" t="inlineStr">
        <is>
          <t>19.05-0-1.2-ERW 1-PE</t>
        </is>
      </c>
      <c r="AD21" t="inlineStr">
        <is>
          <t>19.05-0-1.2-ERW 1-PE</t>
        </is>
      </c>
      <c r="AE21" t="inlineStr">
        <is>
          <t>19.05-0-1.2-ERW 1-PE</t>
        </is>
      </c>
      <c r="AJ21" t="inlineStr">
        <is>
          <t>Rajsriya Automotive Ind Pvt Ltd.</t>
        </is>
      </c>
      <c r="AK21" t="inlineStr">
        <is>
          <t>Kay Jay Forgings Pvt Ltd Unit Vi</t>
        </is>
      </c>
      <c r="AL21" t="inlineStr">
        <is>
          <t>KAY JAY</t>
        </is>
      </c>
      <c r="AM21">
        <f>SUMIF(salesTVS[CUSTOMER  NAME],AK21,salesTVS[Quantity])</f>
        <v/>
      </c>
      <c r="AQ21" t="n">
        <v>1904406</v>
      </c>
      <c r="AR21">
        <f>VLOOKUP(AQ21,buckets[],9,0)</f>
        <v/>
      </c>
      <c r="AV21" t="inlineStr">
        <is>
          <t>22.23-0-2-ERW 1-PE</t>
        </is>
      </c>
      <c r="BA21" s="557" t="n"/>
      <c r="BC21" t="inlineStr">
        <is>
          <t>12.7-0-1.6-ERW 1-PE</t>
        </is>
      </c>
    </row>
    <row r="22">
      <c r="A22" t="n">
        <v>1940167</v>
      </c>
      <c r="B22" t="n">
        <v>1940318</v>
      </c>
      <c r="D22" t="n">
        <v>1939966</v>
      </c>
      <c r="E22" t="n">
        <v>1932848</v>
      </c>
      <c r="H22" t="inlineStr">
        <is>
          <t>ELKAYEM AUTO ANCILLARIES (PVT) LTD.</t>
        </is>
      </c>
      <c r="I22" t="inlineStr">
        <is>
          <t>Metalman Auto Private Limited</t>
        </is>
      </c>
      <c r="J22" t="inlineStr">
        <is>
          <t>MEGH STEELS PRIVATE LIMITED - RANE</t>
        </is>
      </c>
      <c r="P22" t="n">
        <v>25</v>
      </c>
      <c r="Q22" t="n">
        <v>27</v>
      </c>
      <c r="W22" t="inlineStr">
        <is>
          <t>22.23-0-2.3-ERW 1-PE</t>
        </is>
      </c>
      <c r="X22" t="inlineStr">
        <is>
          <t>38.1-0-2-ERW 1-FC</t>
        </is>
      </c>
      <c r="Y22" t="inlineStr">
        <is>
          <t>38.1-0-2-ERW 1-FC</t>
        </is>
      </c>
      <c r="AC22" t="inlineStr">
        <is>
          <t>19.05-0-1.6-ERW 1-PE</t>
        </is>
      </c>
      <c r="AD22" t="inlineStr">
        <is>
          <t>19.05-0-1.6-ERW 1-PE</t>
        </is>
      </c>
      <c r="AE22" t="inlineStr">
        <is>
          <t>19.05-0-1.6-ERW 1-PE</t>
        </is>
      </c>
      <c r="AJ22" t="inlineStr">
        <is>
          <t>KNITVEL NEEDLES P LTD</t>
        </is>
      </c>
      <c r="AK22" t="inlineStr">
        <is>
          <t>Rajsriya Automotive Ind Pvt Ltd.</t>
        </is>
      </c>
      <c r="AL22" t="inlineStr">
        <is>
          <t>Rajsriya Automotive(Mysore + Hosur)</t>
        </is>
      </c>
      <c r="AM22">
        <f>SUMIF(salesTVS[CUSTOMER  NAME],AK22,salesTVS[Quantity])</f>
        <v/>
      </c>
      <c r="AQ22" t="n">
        <v>3508742</v>
      </c>
      <c r="AR22">
        <f>VLOOKUP(AQ22,buckets[],9,0)</f>
        <v/>
      </c>
      <c r="AV22" t="inlineStr">
        <is>
          <t>22.23-0-2-ERW 1-PE</t>
        </is>
      </c>
      <c r="BA22" s="557" t="n"/>
      <c r="BC22" t="inlineStr">
        <is>
          <t>12.7-0-1.6-ERW 1-PE</t>
        </is>
      </c>
    </row>
    <row r="23">
      <c r="A23" t="n">
        <v>1281652</v>
      </c>
      <c r="B23" t="n">
        <v>1940322</v>
      </c>
      <c r="D23" t="n">
        <v>1939966</v>
      </c>
      <c r="E23" t="n">
        <v>1939994</v>
      </c>
      <c r="H23" t="inlineStr">
        <is>
          <t>Neel Metal Products Limited</t>
        </is>
      </c>
      <c r="I23" t="inlineStr">
        <is>
          <t>Sandhar Technologies (KA)–Unit-III</t>
        </is>
      </c>
      <c r="J23" t="inlineStr">
        <is>
          <t>MEGH STEELS PRIVATE LIMITED - RE</t>
        </is>
      </c>
      <c r="P23" t="n">
        <v>26</v>
      </c>
      <c r="Q23" t="n">
        <v>28</v>
      </c>
      <c r="W23" t="inlineStr">
        <is>
          <t>22.23-0-2.3-ERW 1-PE</t>
        </is>
      </c>
      <c r="X23" t="inlineStr">
        <is>
          <t>15.88-0-2-ERW 1-PE</t>
        </is>
      </c>
      <c r="Y23" t="inlineStr">
        <is>
          <t>15.88-0-2-ERW 1-PE</t>
        </is>
      </c>
      <c r="AC23" t="inlineStr">
        <is>
          <t>19.05-0-1.6-ERW 2 MAHS-PE</t>
        </is>
      </c>
      <c r="AD23" t="inlineStr">
        <is>
          <t>19.05-0-1.6-ERW 2 MAHS-PE</t>
        </is>
      </c>
      <c r="AE23" t="inlineStr">
        <is>
          <t>19.05-0-1.6-ERW 2 MAHS-PE</t>
        </is>
      </c>
      <c r="AJ23" t="inlineStr">
        <is>
          <t>RAJSRIYA AUTOMOTIVE IND. P LTD</t>
        </is>
      </c>
      <c r="AK23" t="inlineStr">
        <is>
          <t>Sandhar Technologies (KA)–Unit-III</t>
        </is>
      </c>
      <c r="AL23" t="inlineStr">
        <is>
          <t>Sandhar Technology</t>
        </is>
      </c>
      <c r="AM23">
        <f>SUMIF(salesTVS[CUSTOMER  NAME],AK23,salesTVS[Quantity])</f>
        <v/>
      </c>
      <c r="AQ23" t="n">
        <v>1903849</v>
      </c>
      <c r="AR23">
        <f>VLOOKUP(AQ23,buckets[],9,0)</f>
        <v/>
      </c>
      <c r="AV23" t="inlineStr">
        <is>
          <t>38.1-0-2-ERW 1-FC</t>
        </is>
      </c>
      <c r="BA23" s="557" t="n"/>
      <c r="BC23" t="inlineStr">
        <is>
          <t>12.7-0-1.6-ERW 1-PE</t>
        </is>
      </c>
    </row>
    <row r="24">
      <c r="A24" t="n">
        <v>1940655</v>
      </c>
      <c r="B24" t="n">
        <v>1940325</v>
      </c>
      <c r="D24" t="n">
        <v>1939966</v>
      </c>
      <c r="E24" t="n">
        <v>2440974</v>
      </c>
      <c r="H24" t="inlineStr">
        <is>
          <t>Neel Metal Products Limited</t>
        </is>
      </c>
      <c r="I24" t="inlineStr">
        <is>
          <t>Rajsriya Automotive Ind.P.Ltd Unit-</t>
        </is>
      </c>
      <c r="J24" t="inlineStr">
        <is>
          <t>MEGH STEELS PRIVATE LIMITED - TVS A</t>
        </is>
      </c>
      <c r="P24" t="n">
        <v>27</v>
      </c>
      <c r="Q24" t="n">
        <v>29</v>
      </c>
      <c r="W24" t="inlineStr">
        <is>
          <t>22.23-0-2.3-ERW 1-PE</t>
        </is>
      </c>
      <c r="X24" t="inlineStr">
        <is>
          <t>31.75-0-2.5-ERW 1-FC</t>
        </is>
      </c>
      <c r="Y24" t="inlineStr">
        <is>
          <t>31.75-0-2.5-ERW 1-FC</t>
        </is>
      </c>
      <c r="AC24" t="inlineStr">
        <is>
          <t>19.05-0-2-ERW 1-PE</t>
        </is>
      </c>
      <c r="AD24" t="inlineStr">
        <is>
          <t>19.05-0-2-ERW 1-PE</t>
        </is>
      </c>
      <c r="AE24" t="inlineStr">
        <is>
          <t>19.05-0-2-ERW 1-PE</t>
        </is>
      </c>
      <c r="AK24" t="inlineStr">
        <is>
          <t>TVS MOTOR COMPANY LIMITED</t>
        </is>
      </c>
      <c r="AL24" t="inlineStr">
        <is>
          <t>TVSM direct</t>
        </is>
      </c>
      <c r="AM24">
        <f>SUMIF(salesTVS[CUSTOMER  NAME],AK24,salesTVS[Quantity])</f>
        <v/>
      </c>
      <c r="AQ24" t="n">
        <v>3516769</v>
      </c>
      <c r="AR24">
        <f>VLOOKUP(AQ24,buckets[],9,0)</f>
        <v/>
      </c>
      <c r="AV24" t="inlineStr">
        <is>
          <t>38.1-0-2-ERW 1-FC</t>
        </is>
      </c>
      <c r="BA24" s="557" t="n"/>
      <c r="BC24" t="inlineStr">
        <is>
          <t>12.7-0-1.6-ERW 1-PE</t>
        </is>
      </c>
    </row>
    <row r="25">
      <c r="A25" t="n">
        <v>3234374</v>
      </c>
      <c r="B25" t="n">
        <v>1940329</v>
      </c>
      <c r="D25" t="n">
        <v>1939966</v>
      </c>
      <c r="E25" t="n">
        <v>1939996</v>
      </c>
      <c r="H25" t="inlineStr">
        <is>
          <t>Neel Metal Products Limited</t>
        </is>
      </c>
      <c r="I25" t="inlineStr">
        <is>
          <t>Rajsriya Automotive Industries</t>
        </is>
      </c>
      <c r="J25" t="inlineStr">
        <is>
          <t>METAL TECH ENGINEERS</t>
        </is>
      </c>
      <c r="P25" t="n">
        <v>31</v>
      </c>
      <c r="Q25" t="n">
        <v>31</v>
      </c>
      <c r="W25" t="inlineStr">
        <is>
          <t>22.23-0-2.3-ERW 1-PE</t>
        </is>
      </c>
      <c r="X25" t="inlineStr">
        <is>
          <t>38.1-0-1.6-ERW 2 MAHS-FC</t>
        </is>
      </c>
      <c r="Y25" t="inlineStr">
        <is>
          <t>38.1-0-1.6-ERW 2 MAHS-FC</t>
        </is>
      </c>
      <c r="AC25" t="inlineStr">
        <is>
          <t>19.05-0-2.3-ERW 1-PE</t>
        </is>
      </c>
      <c r="AD25" t="inlineStr">
        <is>
          <t>19.05-0-2.3-ERW 1-PE</t>
        </is>
      </c>
      <c r="AE25" t="inlineStr">
        <is>
          <t>19.05-0-2.3-ERW 1-PE</t>
        </is>
      </c>
      <c r="AK25" t="inlineStr">
        <is>
          <t>KNITVEL NEEDLES PRIVATE LIMITED</t>
        </is>
      </c>
      <c r="AL25" t="inlineStr">
        <is>
          <t>KNITVEL</t>
        </is>
      </c>
      <c r="AM25">
        <f>SUMIF(salesTVS[CUSTOMER  NAME],AK25,salesTVS[Quantity])</f>
        <v/>
      </c>
      <c r="AQ25" t="n">
        <v>1940743</v>
      </c>
      <c r="AR25">
        <f>VLOOKUP(AQ25,buckets[],9,0)</f>
        <v/>
      </c>
      <c r="AV25" t="inlineStr">
        <is>
          <t>38.1-0-2-ERW 1-FC</t>
        </is>
      </c>
      <c r="BA25" s="557" t="n"/>
      <c r="BC25" t="inlineStr">
        <is>
          <t>12.7-0-1.6-ERW 1-PE</t>
        </is>
      </c>
    </row>
    <row r="26">
      <c r="A26" t="n">
        <v>2362827</v>
      </c>
      <c r="B26" t="n">
        <v>1940333</v>
      </c>
      <c r="D26" t="n">
        <v>1939966</v>
      </c>
      <c r="E26" t="n">
        <v>3676337</v>
      </c>
      <c r="H26" t="inlineStr">
        <is>
          <t>Neel Metal Products Limited</t>
        </is>
      </c>
      <c r="I26" t="inlineStr">
        <is>
          <t>NALANDA INDUSTRIAL CORPOR</t>
        </is>
      </c>
      <c r="J26" t="inlineStr">
        <is>
          <t>NAHARS ENGINEERING INDIA PRIVATE LI</t>
        </is>
      </c>
      <c r="P26" t="n">
        <v>32</v>
      </c>
      <c r="Q26" t="n">
        <v>32</v>
      </c>
      <c r="W26" t="inlineStr">
        <is>
          <t>48.6-0-4-ERW 2-FC-Ampere</t>
        </is>
      </c>
      <c r="X26" t="inlineStr">
        <is>
          <t>38.1-0-2.5-ERW 2 MAHS-FC</t>
        </is>
      </c>
      <c r="Y26" t="inlineStr">
        <is>
          <t>38.1-0-2.5-ERW 2 MAHS-FC</t>
        </is>
      </c>
      <c r="AC26" t="inlineStr">
        <is>
          <t>20-12.4-3.8-CEW-CEW</t>
        </is>
      </c>
      <c r="AD26" t="inlineStr">
        <is>
          <t>20-12.4-3.8-CEW-CEW</t>
        </is>
      </c>
      <c r="AE26" t="inlineStr">
        <is>
          <t>20-12.4-3.8-CEW-CEW</t>
        </is>
      </c>
      <c r="AQ26" t="n">
        <v>257093</v>
      </c>
      <c r="AR26">
        <f>VLOOKUP(AQ26,buckets[],9,0)</f>
        <v/>
      </c>
      <c r="AV26" t="inlineStr">
        <is>
          <t>38.1-0-2-ERW 1-FC</t>
        </is>
      </c>
      <c r="BA26" s="557" t="n"/>
      <c r="BC26" t="inlineStr">
        <is>
          <t>12.7-0-1.6-ERW 1-PE</t>
        </is>
      </c>
    </row>
    <row r="27">
      <c r="A27" t="n">
        <v>1940620</v>
      </c>
      <c r="B27" t="n">
        <v>1940335</v>
      </c>
      <c r="D27" t="n">
        <v>1939966</v>
      </c>
      <c r="E27" t="n">
        <v>1940003</v>
      </c>
      <c r="H27" t="inlineStr">
        <is>
          <t>Neel Metal Products Limited</t>
        </is>
      </c>
      <c r="I27" t="inlineStr">
        <is>
          <t>NAHARS ENGINEERING INDIA PRIVATE LI</t>
        </is>
      </c>
      <c r="J27" t="inlineStr">
        <is>
          <t>Navaladian Engineering Industries</t>
        </is>
      </c>
      <c r="P27" t="n">
        <v>33</v>
      </c>
      <c r="Q27" t="n">
        <v>33</v>
      </c>
      <c r="W27" t="inlineStr">
        <is>
          <t>48.6-0-4-ERW 2-FC-Ampere</t>
        </is>
      </c>
      <c r="X27" t="inlineStr">
        <is>
          <t>16.1-10.4-2.7-CEW-CEW</t>
        </is>
      </c>
      <c r="Y27" t="inlineStr">
        <is>
          <t>16.1-10.4-2.7-CEW-CEW</t>
        </is>
      </c>
      <c r="AC27" t="inlineStr">
        <is>
          <t>20-12.4-4.5-CEW-CEW</t>
        </is>
      </c>
      <c r="AD27" t="inlineStr">
        <is>
          <t>20-12.4-4.5-CEW-CEW</t>
        </is>
      </c>
      <c r="AE27" t="inlineStr">
        <is>
          <t>20-12.4-4.5-CEW-CEW</t>
        </is>
      </c>
      <c r="AQ27" t="n">
        <v>3801265</v>
      </c>
      <c r="AR27">
        <f>VLOOKUP(AQ27,buckets[],9,0)</f>
        <v/>
      </c>
      <c r="AV27" t="inlineStr">
        <is>
          <t>38.1-0-2-ERW 1-FC</t>
        </is>
      </c>
      <c r="BA27" s="557" t="n"/>
      <c r="BC27" t="inlineStr">
        <is>
          <t>12.7-0-1.6-ERW 1-PE</t>
        </is>
      </c>
    </row>
    <row r="28">
      <c r="A28" t="n">
        <v>3634582</v>
      </c>
      <c r="B28" t="n">
        <v>1940363</v>
      </c>
      <c r="D28" t="n">
        <v>1939966</v>
      </c>
      <c r="E28" t="n">
        <v>3172238</v>
      </c>
      <c r="H28" t="inlineStr">
        <is>
          <t>ELKAYEM AUTO ANCILLARIES (PVT) LTD.</t>
        </is>
      </c>
      <c r="I28" t="inlineStr">
        <is>
          <t>ELKAYEM AUTO ANCILLARIES PVT LTD</t>
        </is>
      </c>
      <c r="J28" t="inlineStr">
        <is>
          <t>NEEL METAL PRODUCTS LIMITED</t>
        </is>
      </c>
      <c r="P28" t="n">
        <v>34</v>
      </c>
      <c r="Q28" t="n">
        <v>34</v>
      </c>
      <c r="W28" t="inlineStr">
        <is>
          <t>48.6-0-4-ERW 2-FC-Ampere</t>
        </is>
      </c>
      <c r="X28" t="inlineStr">
        <is>
          <t>17.3-0-1.2-ERW 1-PE</t>
        </is>
      </c>
      <c r="Y28" t="inlineStr">
        <is>
          <t>17.3-0-1.2-ERW 1-PE</t>
        </is>
      </c>
      <c r="AC28" t="inlineStr">
        <is>
          <t>20-17.16-1.42-CEW-CEW</t>
        </is>
      </c>
      <c r="AD28" t="inlineStr">
        <is>
          <t>20-17.16-1.42-CEW-CEW</t>
        </is>
      </c>
      <c r="AE28" t="inlineStr">
        <is>
          <t>20-17.16-1.42-CEW-CEW</t>
        </is>
      </c>
      <c r="AQ28" t="n">
        <v>3910648</v>
      </c>
      <c r="AR28">
        <f>VLOOKUP(AQ28,buckets[],9,0)</f>
        <v/>
      </c>
      <c r="AV28" t="inlineStr">
        <is>
          <t>38.1-0-2-ERW 1-FC</t>
        </is>
      </c>
      <c r="BA28" s="557" t="n"/>
      <c r="BC28" t="inlineStr">
        <is>
          <t>12.7-0-1.6-ERW 1-PE</t>
        </is>
      </c>
    </row>
    <row r="29">
      <c r="A29" t="n">
        <v>3411883</v>
      </c>
      <c r="B29" t="n">
        <v>1940364</v>
      </c>
      <c r="D29" t="n">
        <v>1939966</v>
      </c>
      <c r="E29" t="n">
        <v>3620427</v>
      </c>
      <c r="H29" t="inlineStr">
        <is>
          <t>FREE STOCK</t>
        </is>
      </c>
      <c r="I29" t="inlineStr">
        <is>
          <t>ELKAYEM AUTO ANCILLARIES PVT LTD -U</t>
        </is>
      </c>
      <c r="J29" t="inlineStr">
        <is>
          <t>Ragul Industries</t>
        </is>
      </c>
      <c r="P29" t="n">
        <v>35</v>
      </c>
      <c r="Q29" t="n">
        <v>35</v>
      </c>
      <c r="W29" t="inlineStr">
        <is>
          <t>48.6-0-4-ERW 2-FC-Ampere</t>
        </is>
      </c>
      <c r="X29" t="inlineStr">
        <is>
          <t>17.3-0-1.6-ERW 1-PE</t>
        </is>
      </c>
      <c r="Y29" t="inlineStr">
        <is>
          <t>17.3-0-1.6-ERW 1-PE</t>
        </is>
      </c>
      <c r="AC29" t="inlineStr">
        <is>
          <t>21.7-16.2-2.75-CEW-CEW</t>
        </is>
      </c>
      <c r="AD29" t="inlineStr">
        <is>
          <t>21.7-16.2-2.75-CEW-CEW</t>
        </is>
      </c>
      <c r="AE29" t="inlineStr">
        <is>
          <t>21.7-16.2-2.75-CEW-CEW</t>
        </is>
      </c>
      <c r="AQ29" t="n">
        <v>3722021</v>
      </c>
      <c r="AR29">
        <f>VLOOKUP(AQ29,buckets[],9,0)</f>
        <v/>
      </c>
      <c r="AV29" t="inlineStr">
        <is>
          <t>38.1-0-2-ERW 1-FC</t>
        </is>
      </c>
      <c r="BA29" s="557" t="n"/>
      <c r="BC29" t="inlineStr">
        <is>
          <t>12.7-0-1.6-ERW 1-PE</t>
        </is>
      </c>
    </row>
    <row r="30">
      <c r="A30" t="n">
        <v>2397481</v>
      </c>
      <c r="B30" t="n">
        <v>1940369</v>
      </c>
      <c r="D30" t="n">
        <v>1939966</v>
      </c>
      <c r="E30" t="n">
        <v>1940014</v>
      </c>
      <c r="H30" t="inlineStr">
        <is>
          <t>FREE STOCK</t>
        </is>
      </c>
      <c r="I30" t="inlineStr">
        <is>
          <t>TVS MOTOR COMPANY LIMITED</t>
        </is>
      </c>
      <c r="J30" t="inlineStr">
        <is>
          <t>RAJSRIYA AUTOMOTIVE IND. P LTD</t>
        </is>
      </c>
      <c r="P30" t="n">
        <v>36</v>
      </c>
      <c r="Q30" t="n">
        <v>36</v>
      </c>
      <c r="W30" t="inlineStr">
        <is>
          <t>48.6-0-4-ERW 2-FC-Ampere</t>
        </is>
      </c>
      <c r="X30" t="inlineStr">
        <is>
          <t>57.15-0-2.3-ERW 2-FC</t>
        </is>
      </c>
      <c r="Y30" t="inlineStr">
        <is>
          <t>57.15-0-2.3-ERW 2-FC</t>
        </is>
      </c>
      <c r="AC30" t="inlineStr">
        <is>
          <t>21.75-0-3.5-CEW-CEW</t>
        </is>
      </c>
      <c r="AD30" t="inlineStr">
        <is>
          <t>21.75-0-3.5-CEW-CEW</t>
        </is>
      </c>
      <c r="AE30" t="inlineStr">
        <is>
          <t>21.75-0-3.5-CEW-CEW</t>
        </is>
      </c>
      <c r="AQ30" t="n">
        <v>3901714</v>
      </c>
      <c r="AR30">
        <f>VLOOKUP(AQ30,buckets[],9,0)</f>
        <v/>
      </c>
      <c r="AV30" t="inlineStr">
        <is>
          <t>38.1-0-2-ERW 1-FC</t>
        </is>
      </c>
      <c r="BA30" s="557" t="n"/>
      <c r="BC30" t="inlineStr">
        <is>
          <t>12.7-0-1.6-ERW 1-PE</t>
        </is>
      </c>
    </row>
    <row r="31">
      <c r="A31" t="n">
        <v>235479</v>
      </c>
      <c r="B31" t="n">
        <v>1940390</v>
      </c>
      <c r="D31" t="n">
        <v>1939966</v>
      </c>
      <c r="E31" t="n">
        <v>1931154</v>
      </c>
      <c r="H31" t="inlineStr">
        <is>
          <t>MEGH STEELS PRIVATE LIMITED - TVS A</t>
        </is>
      </c>
      <c r="I31" t="inlineStr">
        <is>
          <t>Skb Industries</t>
        </is>
      </c>
      <c r="J31" t="inlineStr">
        <is>
          <t>Rajsriya Automotive Ind.P.Ltd Unit-</t>
        </is>
      </c>
      <c r="P31" t="n">
        <v>37</v>
      </c>
      <c r="Q31" t="n">
        <v>37</v>
      </c>
      <c r="W31" t="inlineStr">
        <is>
          <t>48.6-0-4-ERW 2-FC-Ampere</t>
        </is>
      </c>
      <c r="X31" t="inlineStr">
        <is>
          <t>18.2-0-1-ERW 1-PE</t>
        </is>
      </c>
      <c r="Y31" t="inlineStr">
        <is>
          <t>18.2-0-1-ERW 1-PE</t>
        </is>
      </c>
      <c r="AC31" t="inlineStr">
        <is>
          <t>22.23-0-1.2-ERW 1-PE</t>
        </is>
      </c>
      <c r="AD31" t="inlineStr">
        <is>
          <t>22.23-0-1.2-ERW 1-PE</t>
        </is>
      </c>
      <c r="AE31" t="inlineStr">
        <is>
          <t>22.23-0-1.2-ERW 1-PE</t>
        </is>
      </c>
      <c r="AQ31" t="n">
        <v>2325421</v>
      </c>
      <c r="AR31">
        <f>VLOOKUP(AQ31,buckets[],9,0)</f>
        <v/>
      </c>
      <c r="AV31" t="inlineStr">
        <is>
          <t>38.1-0-2-ERW 1-FC</t>
        </is>
      </c>
      <c r="BA31" s="557" t="n"/>
      <c r="BC31" t="inlineStr">
        <is>
          <t>12.7-0-1.6-ERW 1-PE</t>
        </is>
      </c>
    </row>
    <row r="32">
      <c r="A32" t="n">
        <v>2359776</v>
      </c>
      <c r="B32" t="n">
        <v>1940393</v>
      </c>
      <c r="D32" t="n">
        <v>1939966</v>
      </c>
      <c r="E32" t="n">
        <v>1931049</v>
      </c>
      <c r="H32" t="inlineStr">
        <is>
          <t>SRIKAM HITECH ENGINEERING PRIVATE L</t>
        </is>
      </c>
      <c r="I32" t="inlineStr">
        <is>
          <t>Garg Steel Centre</t>
        </is>
      </c>
      <c r="J32" t="inlineStr">
        <is>
          <t>Rajsriya Automotive Industries</t>
        </is>
      </c>
      <c r="P32" t="n">
        <v>39</v>
      </c>
      <c r="Q32" t="n">
        <v>39</v>
      </c>
      <c r="W32" t="inlineStr">
        <is>
          <t>12.7-0-1.2-ERW 1-PE</t>
        </is>
      </c>
      <c r="X32" t="inlineStr">
        <is>
          <t>38.1-0-2-ERW 1-PE</t>
        </is>
      </c>
      <c r="Y32" t="inlineStr">
        <is>
          <t>38.1-0-2-ERW 1-PE</t>
        </is>
      </c>
      <c r="AC32" t="inlineStr">
        <is>
          <t>22.23-0-1.6-ERW 1-PE</t>
        </is>
      </c>
      <c r="AD32" t="inlineStr">
        <is>
          <t>22.23-0-1.6-ERW 1-PE</t>
        </is>
      </c>
      <c r="AE32" t="inlineStr">
        <is>
          <t>22.23-0-1.6-ERW 1-PE</t>
        </is>
      </c>
      <c r="AQ32" t="n">
        <v>3780004</v>
      </c>
      <c r="AR32">
        <f>VLOOKUP(AQ32,buckets[],9,0)</f>
        <v/>
      </c>
      <c r="AV32" t="inlineStr">
        <is>
          <t>17.3-0-1.6-ERW 1-PE</t>
        </is>
      </c>
      <c r="BA32" s="557" t="n"/>
      <c r="BC32" t="inlineStr">
        <is>
          <t>12.7-0-1.6-ERW 1-PE</t>
        </is>
      </c>
    </row>
    <row r="33">
      <c r="A33" t="n">
        <v>3240023</v>
      </c>
      <c r="B33" t="n">
        <v>1940403</v>
      </c>
      <c r="D33" t="n">
        <v>1939966</v>
      </c>
      <c r="E33" t="n">
        <v>3188791</v>
      </c>
      <c r="H33" t="inlineStr">
        <is>
          <t>SRIKAM HITECH ENGINEERING PRIVATE L</t>
        </is>
      </c>
      <c r="I33" t="inlineStr">
        <is>
          <t>Thai Summit Autoparts India Pvt Ltd</t>
        </is>
      </c>
      <c r="J33" t="inlineStr">
        <is>
          <t>RAJSRIYA AUTOMOTIVE INDUSTRIES PVT</t>
        </is>
      </c>
      <c r="P33" t="n">
        <v>40</v>
      </c>
      <c r="Q33" t="n">
        <v>40</v>
      </c>
      <c r="W33" t="inlineStr">
        <is>
          <t>12.7-0-1.2-ERW 1-PE</t>
        </is>
      </c>
      <c r="X33" t="inlineStr">
        <is>
          <t>38.1-0-1.6-ERW 1-FC</t>
        </is>
      </c>
      <c r="Y33" t="inlineStr">
        <is>
          <t>38.1-0-1.6-ERW 1-FC</t>
        </is>
      </c>
      <c r="AC33" t="inlineStr">
        <is>
          <t>22.23-0-1.6-ERW 2 MAHS-PE</t>
        </is>
      </c>
      <c r="AD33" t="inlineStr">
        <is>
          <t>22.23-0-1.6-ERW 2 MAHS-PE</t>
        </is>
      </c>
      <c r="AE33" t="inlineStr">
        <is>
          <t>22.23-0-1.6-ERW 2 MAHS-PE</t>
        </is>
      </c>
      <c r="AQ33" t="n">
        <v>3780005</v>
      </c>
      <c r="AR33">
        <f>VLOOKUP(AQ33,buckets[],9,0)</f>
        <v/>
      </c>
      <c r="AV33" t="inlineStr">
        <is>
          <t>17.3-0-1.6-ERW 1-PE</t>
        </is>
      </c>
      <c r="BA33" s="557" t="n"/>
      <c r="BC33" t="inlineStr">
        <is>
          <t>check tdc for CEW</t>
        </is>
      </c>
    </row>
    <row r="34">
      <c r="B34" t="n">
        <v>1940404</v>
      </c>
      <c r="D34" t="n">
        <v>1939966</v>
      </c>
      <c r="E34" t="n">
        <v>2410389</v>
      </c>
      <c r="H34" t="inlineStr">
        <is>
          <t>Neel Metal Products Limited</t>
        </is>
      </c>
      <c r="I34" t="inlineStr">
        <is>
          <t>Allied Industries (India)</t>
        </is>
      </c>
      <c r="J34" t="inlineStr">
        <is>
          <t>Rajsriya Automotive Industries(P)</t>
        </is>
      </c>
      <c r="P34" t="n">
        <v>41</v>
      </c>
      <c r="Q34" t="n">
        <v>41</v>
      </c>
      <c r="W34" t="inlineStr">
        <is>
          <t>37.6-31.2-3.2-CEW-CEW</t>
        </is>
      </c>
      <c r="X34" t="inlineStr">
        <is>
          <t>19-12.5-3.25-CEW-CEW</t>
        </is>
      </c>
      <c r="Y34" t="inlineStr">
        <is>
          <t>19-12.5-3.25-CEW-CEW</t>
        </is>
      </c>
      <c r="AC34" t="inlineStr">
        <is>
          <t>22.23-0-2-ERW 1-FC</t>
        </is>
      </c>
      <c r="AD34" t="inlineStr">
        <is>
          <t>22.23-0-2-ERW 1-FC</t>
        </is>
      </c>
      <c r="AE34" t="inlineStr">
        <is>
          <t>22.23-0-2-ERW 1-FC</t>
        </is>
      </c>
      <c r="AV34" t="inlineStr">
        <is>
          <t>17.3-0-1.6-ERW 1-PE</t>
        </is>
      </c>
      <c r="BA34" s="557" t="n"/>
      <c r="BC34" t="inlineStr">
        <is>
          <t>14-0-1.6-CEW-CEW</t>
        </is>
      </c>
    </row>
    <row r="35">
      <c r="B35" t="n">
        <v>1940407</v>
      </c>
      <c r="D35" t="n">
        <v>2386074</v>
      </c>
      <c r="E35" t="n">
        <v>3402383</v>
      </c>
      <c r="H35" t="inlineStr">
        <is>
          <t>RAJSRIYA AUTOMOTIVE IND. P LTD</t>
        </is>
      </c>
      <c r="I35" t="inlineStr">
        <is>
          <t>JBM AUTO LIMITED</t>
        </is>
      </c>
      <c r="J35" t="inlineStr">
        <is>
          <t>Rucha Engineers Pvt Ltd.</t>
        </is>
      </c>
      <c r="P35" t="n">
        <v>42</v>
      </c>
      <c r="Q35" t="n">
        <v>42</v>
      </c>
      <c r="W35" t="inlineStr">
        <is>
          <t>37.6-31.2-3.2-CEW-CEW</t>
        </is>
      </c>
      <c r="X35" t="inlineStr">
        <is>
          <t>70-0-3.2-ERW 2-FC</t>
        </is>
      </c>
      <c r="Y35" t="inlineStr">
        <is>
          <t>70-0-3.2-ERW 2-FC</t>
        </is>
      </c>
      <c r="AC35" t="inlineStr">
        <is>
          <t>22.23-0-2-ERW 1-PE</t>
        </is>
      </c>
      <c r="AD35" t="inlineStr">
        <is>
          <t>22.23-0-2-ERW 1-PE</t>
        </is>
      </c>
      <c r="AE35" t="inlineStr">
        <is>
          <t>22.23-0-2-ERW 1-PE</t>
        </is>
      </c>
      <c r="AV35" t="inlineStr">
        <is>
          <t>38.1-0-2-ERW 1-PE</t>
        </is>
      </c>
      <c r="BA35" s="557" t="n"/>
      <c r="BC35" t="inlineStr">
        <is>
          <t>14-0-2.5-CEW-CEW</t>
        </is>
      </c>
    </row>
    <row r="36">
      <c r="B36" t="n">
        <v>1940408</v>
      </c>
      <c r="D36" t="n">
        <v>2386074</v>
      </c>
      <c r="E36" t="n">
        <v>2363145</v>
      </c>
      <c r="H36" t="inlineStr">
        <is>
          <t>Rajsriya Automotive Ind. Pvt Ltd</t>
        </is>
      </c>
      <c r="I36" t="inlineStr">
        <is>
          <t>NASH INDUSTRIES (I) PVT LTD</t>
        </is>
      </c>
      <c r="J36" t="inlineStr">
        <is>
          <t>Sadhan Tool Room (P) Ltd.</t>
        </is>
      </c>
      <c r="P36" t="n">
        <v>43</v>
      </c>
      <c r="Q36" t="n">
        <v>43</v>
      </c>
      <c r="W36" t="inlineStr">
        <is>
          <t>37.6-31.2-3.2-CEW-CEW</t>
        </is>
      </c>
      <c r="X36" t="inlineStr">
        <is>
          <t>42.7-0-3.5-ERW 1-FC</t>
        </is>
      </c>
      <c r="Y36" t="inlineStr">
        <is>
          <t>42.7-0-3.5-ERW 1-FC</t>
        </is>
      </c>
      <c r="AC36" t="inlineStr">
        <is>
          <t>22.23-0-2-ERW 2 MAHS-PE</t>
        </is>
      </c>
      <c r="AD36" t="inlineStr">
        <is>
          <t>22.23-0-2-ERW 2 MAHS-PE</t>
        </is>
      </c>
      <c r="AE36" t="inlineStr">
        <is>
          <t>22.23-0-2-ERW 2 MAHS-PE</t>
        </is>
      </c>
      <c r="AV36" t="inlineStr">
        <is>
          <t>38.1-0-2-ERW 1-PE</t>
        </is>
      </c>
      <c r="BA36" s="557" t="n"/>
      <c r="BC36" t="inlineStr">
        <is>
          <t>14-0-2.5-CEW-CEW</t>
        </is>
      </c>
    </row>
    <row r="37">
      <c r="B37" t="n">
        <v>1940416</v>
      </c>
      <c r="D37" t="n">
        <v>1939974</v>
      </c>
      <c r="E37" t="n">
        <v>2410963</v>
      </c>
      <c r="H37" t="inlineStr">
        <is>
          <t>SRIKAM HITECH ENGINEERING PRIVATE L</t>
        </is>
      </c>
      <c r="I37" t="inlineStr">
        <is>
          <t>SAKURA AUTOPARTS INDIA PRIVATE LIMI</t>
        </is>
      </c>
      <c r="J37" t="inlineStr">
        <is>
          <t>SAKURA AUTOPARTS INDIA PRIVATE LIMI</t>
        </is>
      </c>
      <c r="P37" t="n">
        <v>44</v>
      </c>
      <c r="Q37" t="n">
        <v>44</v>
      </c>
      <c r="W37" t="inlineStr">
        <is>
          <t>37.6-31.2-3.2-CEW-CEW</t>
        </is>
      </c>
      <c r="X37" t="inlineStr">
        <is>
          <t>19-19-1-CRFH-PE</t>
        </is>
      </c>
      <c r="Y37" t="inlineStr">
        <is>
          <t>19-19-1-CRFH-PE</t>
        </is>
      </c>
      <c r="AC37" t="inlineStr">
        <is>
          <t>22.23-0-2.3-ERW 1-PE</t>
        </is>
      </c>
      <c r="AD37" t="inlineStr">
        <is>
          <t>22.23-0-2.3-ERW 1-PE</t>
        </is>
      </c>
      <c r="AE37" t="inlineStr">
        <is>
          <t>22.23-0-2.3-ERW 1-PE</t>
        </is>
      </c>
      <c r="AV37" t="inlineStr">
        <is>
          <t>22.23-0-1.6-ERW 1-PE</t>
        </is>
      </c>
      <c r="BA37" s="557" t="n"/>
      <c r="BC37" t="inlineStr">
        <is>
          <t>14-10.1-1.95-CEW-CEW</t>
        </is>
      </c>
    </row>
    <row r="38">
      <c r="B38" t="n">
        <v>1940418</v>
      </c>
      <c r="D38" t="n">
        <v>1939974</v>
      </c>
      <c r="E38" t="n">
        <v>3487710</v>
      </c>
      <c r="H38" t="inlineStr">
        <is>
          <t>Neel Metal Products Limited</t>
        </is>
      </c>
      <c r="I38" t="inlineStr">
        <is>
          <t>MEGH STEELS PRIVATE LIMITED - RE</t>
        </is>
      </c>
      <c r="J38" t="inlineStr">
        <is>
          <t>SANDHAR ENGINEERING PVT LTD.(KA) -U</t>
        </is>
      </c>
      <c r="P38" t="n">
        <v>45</v>
      </c>
      <c r="Q38" t="n">
        <v>45</v>
      </c>
      <c r="W38" t="inlineStr">
        <is>
          <t>12.7-0-1.6-ERW 1-PE</t>
        </is>
      </c>
      <c r="X38" t="inlineStr">
        <is>
          <t>50-50-1.6-ERW 2-PE</t>
        </is>
      </c>
      <c r="Y38" t="inlineStr">
        <is>
          <t>50-50-1.6-ERW 2-PE</t>
        </is>
      </c>
      <c r="AC38" t="inlineStr">
        <is>
          <t>19-19-1-CRFH-PE</t>
        </is>
      </c>
      <c r="AD38" t="inlineStr">
        <is>
          <t>19-19-1-CRFH-PE</t>
        </is>
      </c>
      <c r="AE38" t="inlineStr">
        <is>
          <t>19-19-1-CRFH-PE</t>
        </is>
      </c>
      <c r="AV38" t="inlineStr">
        <is>
          <t>22.23-0-1.6-ERW 1-PE</t>
        </is>
      </c>
      <c r="BA38" s="557" t="n"/>
      <c r="BC38" t="inlineStr">
        <is>
          <t>14-10.1-1.95-CEW-CEW</t>
        </is>
      </c>
    </row>
    <row r="39">
      <c r="B39" t="n">
        <v>1940420</v>
      </c>
      <c r="D39" t="n">
        <v>1939974</v>
      </c>
      <c r="E39" t="n">
        <v>1940019</v>
      </c>
      <c r="H39" t="inlineStr">
        <is>
          <t>MEGH STEELS PRIVATE LIMITED - TVS A</t>
        </is>
      </c>
      <c r="I39" t="inlineStr">
        <is>
          <t>Thirupathi Industries</t>
        </is>
      </c>
      <c r="J39" t="inlineStr">
        <is>
          <t>Sandhar EngineeringPvt.Ltd.(KA)-Uni</t>
        </is>
      </c>
      <c r="P39" t="n">
        <v>46</v>
      </c>
      <c r="Q39" t="n">
        <v>46</v>
      </c>
      <c r="W39" t="inlineStr">
        <is>
          <t>57.15-0-2-ERW 1-FC</t>
        </is>
      </c>
      <c r="X39" t="inlineStr">
        <is>
          <t>63.5-0-4-ERW 1-FC</t>
        </is>
      </c>
      <c r="Y39" t="inlineStr">
        <is>
          <t>63.5-0-4-ERW 1-FC</t>
        </is>
      </c>
      <c r="AC39" t="inlineStr">
        <is>
          <t>19-19-1.2-CRFH-PE</t>
        </is>
      </c>
      <c r="AD39" t="inlineStr">
        <is>
          <t>19-19-1.2-CRFH-PE</t>
        </is>
      </c>
      <c r="AE39" t="inlineStr">
        <is>
          <t>19-19-1.2-CRFH-PE</t>
        </is>
      </c>
      <c r="AV39" t="inlineStr">
        <is>
          <t>22.23-0-1.6-ERW 1-PE</t>
        </is>
      </c>
      <c r="BA39" s="557" t="n"/>
      <c r="BC39" t="inlineStr">
        <is>
          <t>15-10.3-2.35-CEW-FIN CUT</t>
        </is>
      </c>
    </row>
    <row r="40">
      <c r="B40" t="n">
        <v>1940430</v>
      </c>
      <c r="D40" t="n">
        <v>1939974</v>
      </c>
      <c r="E40" t="n">
        <v>1941845</v>
      </c>
      <c r="H40" t="inlineStr">
        <is>
          <t>BALAJI PRESS PRODUCTS INDIA</t>
        </is>
      </c>
      <c r="I40" t="inlineStr">
        <is>
          <t>A.S.(E) Exports Pvt.Ltd.</t>
        </is>
      </c>
      <c r="J40" t="inlineStr">
        <is>
          <t>Sandhar Technologies (KA)–Unit-III</t>
        </is>
      </c>
      <c r="P40" t="n">
        <v>48</v>
      </c>
      <c r="Q40" t="n">
        <v>48</v>
      </c>
      <c r="W40" t="inlineStr">
        <is>
          <t>57.15-0-2-ERW 1-FC</t>
        </is>
      </c>
      <c r="X40" t="inlineStr">
        <is>
          <t>25.4-0-2-ERW 1-FC</t>
        </is>
      </c>
      <c r="Y40" t="inlineStr">
        <is>
          <t>25.4-0-2-ERW 1-FC</t>
        </is>
      </c>
      <c r="AC40" t="inlineStr">
        <is>
          <t>25.4-0-1.2-ERW 1-PE</t>
        </is>
      </c>
      <c r="AD40" t="inlineStr">
        <is>
          <t>25.4-0-1.2-ERW 1-PE</t>
        </is>
      </c>
      <c r="AE40" t="inlineStr">
        <is>
          <t>25.4-0-1.2-ERW 1-PE</t>
        </is>
      </c>
      <c r="AV40" t="inlineStr">
        <is>
          <t>22.23-0-1.6-ERW 1-PE</t>
        </is>
      </c>
      <c r="BA40" s="557" t="n"/>
      <c r="BC40" t="inlineStr">
        <is>
          <t>15.88-0-1-ERW 1-PE</t>
        </is>
      </c>
    </row>
    <row r="41">
      <c r="B41" t="n">
        <v>1940433</v>
      </c>
      <c r="D41" t="n">
        <v>1939974</v>
      </c>
      <c r="E41" t="n">
        <v>1941846</v>
      </c>
      <c r="H41" t="inlineStr">
        <is>
          <t>BALAJI PRESS PRODUCTS INDIA</t>
        </is>
      </c>
      <c r="I41" t="inlineStr">
        <is>
          <t>LAXMI METAL PRESSING WORKS PVT LTD</t>
        </is>
      </c>
      <c r="J41" t="inlineStr">
        <is>
          <t>Shetdass Engineers (P) Ltd.</t>
        </is>
      </c>
      <c r="P41" t="n">
        <v>49</v>
      </c>
      <c r="Q41" t="n">
        <v>49</v>
      </c>
      <c r="W41" t="inlineStr">
        <is>
          <t>57.15-0-2-ERW 1-FC</t>
        </is>
      </c>
      <c r="X41" t="inlineStr">
        <is>
          <t>19.05-0-2-ERW 1-PE</t>
        </is>
      </c>
      <c r="Y41" t="inlineStr">
        <is>
          <t>19.05-0-2-ERW 1-PE</t>
        </is>
      </c>
      <c r="AC41" t="inlineStr">
        <is>
          <t>25.4-0-1.4-ERW 2-PE</t>
        </is>
      </c>
      <c r="AD41" t="inlineStr">
        <is>
          <t>25.4-0-1.4-ERW 2-PE</t>
        </is>
      </c>
      <c r="AE41" t="inlineStr">
        <is>
          <t>25.4-0-1.4-ERW 2-PE</t>
        </is>
      </c>
      <c r="AV41" t="inlineStr">
        <is>
          <t>22.23-0-1.6-ERW 1-PE</t>
        </is>
      </c>
      <c r="BA41" s="557" t="n"/>
      <c r="BC41" t="inlineStr">
        <is>
          <t>15.88-0-1-ERW 1-PE</t>
        </is>
      </c>
    </row>
    <row r="42">
      <c r="B42" t="n">
        <v>1940437</v>
      </c>
      <c r="D42" t="n">
        <v>1939974</v>
      </c>
      <c r="E42" t="n">
        <v>1941847</v>
      </c>
      <c r="H42" t="inlineStr">
        <is>
          <t>BALAJI PRESS PRODUCTS INDIA</t>
        </is>
      </c>
      <c r="I42" t="inlineStr">
        <is>
          <t>YOSHIKA ENGINEERING PVT LTD</t>
        </is>
      </c>
      <c r="J42" t="inlineStr">
        <is>
          <t>SHREE SIVAM ENTERPRISES</t>
        </is>
      </c>
      <c r="P42" t="n">
        <v>56</v>
      </c>
      <c r="Q42" t="n">
        <v>56</v>
      </c>
      <c r="W42" t="inlineStr">
        <is>
          <t>57.15-0-2-ERW 1-FC</t>
        </is>
      </c>
      <c r="X42" t="inlineStr">
        <is>
          <t>19-19-1.2-CRFH-PE</t>
        </is>
      </c>
      <c r="Y42" t="inlineStr">
        <is>
          <t>19-19-1.2-CRFH-PE</t>
        </is>
      </c>
      <c r="AC42" t="inlineStr">
        <is>
          <t>25.4-0-1.6-ERW 1-FC</t>
        </is>
      </c>
      <c r="AD42" t="inlineStr">
        <is>
          <t>25.4-0-1.6-ERW 1-FC</t>
        </is>
      </c>
      <c r="AE42" t="inlineStr">
        <is>
          <t>25.4-0-1.6-ERW 1-FC</t>
        </is>
      </c>
      <c r="AV42" t="inlineStr">
        <is>
          <t>22.23-0-1.6-ERW 1-PE</t>
        </is>
      </c>
      <c r="BA42" s="557" t="n"/>
      <c r="BC42" t="inlineStr">
        <is>
          <t>15.88-0-1-ERW 1-PE</t>
        </is>
      </c>
    </row>
    <row r="43">
      <c r="B43" t="n">
        <v>1940445</v>
      </c>
      <c r="D43" t="n">
        <v>1939974</v>
      </c>
      <c r="E43" t="n">
        <v>3541434</v>
      </c>
      <c r="H43" t="inlineStr">
        <is>
          <t>BALAJI PRESS PRODUCTS INDIA</t>
        </is>
      </c>
      <c r="I43" t="inlineStr">
        <is>
          <t>SM EXHAUST TECHNOLOGY PVT LTD</t>
        </is>
      </c>
      <c r="J43" t="inlineStr">
        <is>
          <t>Skb Industries</t>
        </is>
      </c>
      <c r="P43" t="n">
        <v>59</v>
      </c>
      <c r="Q43" t="n">
        <v>59</v>
      </c>
      <c r="W43" t="inlineStr">
        <is>
          <t>57.15-0-2-ERW 1-FC</t>
        </is>
      </c>
      <c r="X43" t="inlineStr">
        <is>
          <t>19.05-0-1-ERW 1-PE</t>
        </is>
      </c>
      <c r="Y43" t="inlineStr">
        <is>
          <t>19.05-0-1-ERW 1-PE</t>
        </is>
      </c>
      <c r="AC43" t="inlineStr">
        <is>
          <t>25.4-0-1.6-ERW 1-PE</t>
        </is>
      </c>
      <c r="AD43" t="inlineStr">
        <is>
          <t>25.4-0-1.6-ERW 1-PE</t>
        </is>
      </c>
      <c r="AE43" t="inlineStr">
        <is>
          <t>25.4-0-1.6-ERW 1-PE</t>
        </is>
      </c>
      <c r="AV43" t="inlineStr">
        <is>
          <t>22.23-0-1.6-ERW 1-PE</t>
        </is>
      </c>
      <c r="BA43" s="557" t="n"/>
      <c r="BC43" t="inlineStr">
        <is>
          <t>15.88-0-1-ERW 1-PE</t>
        </is>
      </c>
    </row>
    <row r="44">
      <c r="B44" t="n">
        <v>1940466</v>
      </c>
      <c r="D44" t="n">
        <v>1939974</v>
      </c>
      <c r="E44" t="n">
        <v>1931385</v>
      </c>
      <c r="H44" t="inlineStr">
        <is>
          <t>BALAJI PRESS PRODUCTS INDIA</t>
        </is>
      </c>
      <c r="I44" t="inlineStr">
        <is>
          <t>TECHNICO INDUSTRIES LIMITED</t>
        </is>
      </c>
      <c r="J44" t="inlineStr">
        <is>
          <t>SM EXHAUST TECHNOLOGY PVT LTD</t>
        </is>
      </c>
      <c r="P44" t="n">
        <v>60</v>
      </c>
      <c r="Q44" t="n">
        <v>60</v>
      </c>
      <c r="W44" t="inlineStr">
        <is>
          <t>12.7-0-1.6-ERW 1-PE</t>
        </is>
      </c>
      <c r="X44" t="inlineStr">
        <is>
          <t>19.05-0-1.2-ERW 1-PE</t>
        </is>
      </c>
      <c r="Y44" t="inlineStr">
        <is>
          <t>19.05-0-1.2-ERW 1-PE</t>
        </is>
      </c>
      <c r="AC44" t="inlineStr">
        <is>
          <t>25.4-0-2-ERW 1-FC</t>
        </is>
      </c>
      <c r="AD44" t="inlineStr">
        <is>
          <t>25.4-0-2-ERW 1-FC</t>
        </is>
      </c>
      <c r="AE44" t="inlineStr">
        <is>
          <t>25.4-0-2-ERW 1-FC</t>
        </is>
      </c>
      <c r="AV44" t="inlineStr">
        <is>
          <t>38.1-0-2-ERW 1-FC</t>
        </is>
      </c>
      <c r="BA44" s="557" t="n"/>
      <c r="BC44" t="inlineStr">
        <is>
          <t>15.88-0-1-ERW 1-PE</t>
        </is>
      </c>
    </row>
    <row r="45">
      <c r="B45" t="n">
        <v>1940470</v>
      </c>
      <c r="D45" t="n">
        <v>1939974</v>
      </c>
      <c r="E45" t="n">
        <v>1940026</v>
      </c>
      <c r="H45" t="inlineStr">
        <is>
          <t>BALAJI PRESS PRODUCTS INDIA</t>
        </is>
      </c>
      <c r="I45" t="inlineStr">
        <is>
          <t>Sandhar EngineeringPvt.Ltd.(KA)-Uni</t>
        </is>
      </c>
      <c r="J45" t="inlineStr">
        <is>
          <t>SREE VENKATESWARA ENTERPRISES</t>
        </is>
      </c>
      <c r="P45" t="n">
        <v>61</v>
      </c>
      <c r="Q45" t="n">
        <v>61</v>
      </c>
      <c r="W45" t="inlineStr">
        <is>
          <t>12.7-0-1.6-ERW 1-PE</t>
        </is>
      </c>
      <c r="X45" t="inlineStr">
        <is>
          <t>48.6-0-3.5-ERW 1-FC</t>
        </is>
      </c>
      <c r="Y45" t="inlineStr">
        <is>
          <t>48.6-0-3.5-ERW 1-FC</t>
        </is>
      </c>
      <c r="AC45" t="inlineStr">
        <is>
          <t>25.4-0-2-ERW 1-PE</t>
        </is>
      </c>
      <c r="AD45" t="inlineStr">
        <is>
          <t>25.4-0-2-ERW 1-PE</t>
        </is>
      </c>
      <c r="AE45" t="inlineStr">
        <is>
          <t>25.4-0-2-ERW 1-PE</t>
        </is>
      </c>
      <c r="AV45" t="inlineStr">
        <is>
          <t>38.1-0-2-ERW 1-FC</t>
        </is>
      </c>
      <c r="BA45" s="557" t="n"/>
      <c r="BC45" t="inlineStr">
        <is>
          <t>15.88-0-1-ERW 1-PE</t>
        </is>
      </c>
    </row>
    <row r="46">
      <c r="B46" t="n">
        <v>1940472</v>
      </c>
      <c r="D46" t="n">
        <v>1939974</v>
      </c>
      <c r="E46" t="n">
        <v>1940027</v>
      </c>
      <c r="H46" t="inlineStr">
        <is>
          <t>BALAJI PRESS PRODUCTS INDIA</t>
        </is>
      </c>
      <c r="I46" t="inlineStr">
        <is>
          <t>CHANDI CREATIVES</t>
        </is>
      </c>
      <c r="J46" t="inlineStr">
        <is>
          <t>Sri Balaji Gears</t>
        </is>
      </c>
      <c r="P46" t="n">
        <v>62</v>
      </c>
      <c r="Q46" t="n">
        <v>62</v>
      </c>
      <c r="W46" t="inlineStr">
        <is>
          <t>12.7-0-1.6-ERW 1-PE</t>
        </is>
      </c>
      <c r="X46" t="inlineStr">
        <is>
          <t>34.93-0-2.3-ERW 2-FC-Ampere</t>
        </is>
      </c>
      <c r="Y46" t="inlineStr">
        <is>
          <t>34.93-0-2.3-ERW 2-FC-Ampere</t>
        </is>
      </c>
      <c r="AC46" t="inlineStr">
        <is>
          <t>25.4-0-2.5-CEW-CEW</t>
        </is>
      </c>
      <c r="AD46" t="inlineStr">
        <is>
          <t>25.4-0-2.5-CEW-CEW</t>
        </is>
      </c>
      <c r="AE46" t="inlineStr">
        <is>
          <t>25.4-0-2.5-CEW-CEW</t>
        </is>
      </c>
      <c r="AV46" t="inlineStr">
        <is>
          <t>38.1-0-2-ERW 1-FC</t>
        </is>
      </c>
      <c r="BA46" s="557" t="n"/>
      <c r="BC46" t="inlineStr">
        <is>
          <t>15.88-0-1-ERW 1-PE</t>
        </is>
      </c>
    </row>
    <row r="47">
      <c r="B47" t="n">
        <v>1940481</v>
      </c>
      <c r="D47" t="n">
        <v>1939974</v>
      </c>
      <c r="E47" t="n">
        <v>1940034</v>
      </c>
      <c r="H47" t="inlineStr">
        <is>
          <t>BALAJI PRESS PRODUCTS INDIA</t>
        </is>
      </c>
      <c r="I47" t="inlineStr">
        <is>
          <t>ALF ENGINEERING PRIVATE LIMITED</t>
        </is>
      </c>
      <c r="J47" t="inlineStr">
        <is>
          <t>SRIKAM HITECH ENGINEERING PRIVATE L</t>
        </is>
      </c>
      <c r="P47" t="n">
        <v>63</v>
      </c>
      <c r="Q47" t="n">
        <v>63</v>
      </c>
      <c r="W47" t="inlineStr">
        <is>
          <t>22.23-0-2-ERW 1-PE</t>
        </is>
      </c>
      <c r="X47" t="inlineStr">
        <is>
          <t>19.05-0-1.6-ERW 2 MAHS-PE</t>
        </is>
      </c>
      <c r="Y47" t="inlineStr">
        <is>
          <t>19.05-0-1.6-ERW 2 MAHS-PE</t>
        </is>
      </c>
      <c r="AC47" t="inlineStr">
        <is>
          <t>25.4-18.4-3.5-CEW-CEW</t>
        </is>
      </c>
      <c r="AD47" t="inlineStr">
        <is>
          <t>25.4-18.4-3.5-CEW-CEW</t>
        </is>
      </c>
      <c r="AE47" t="inlineStr">
        <is>
          <t>25.4-18.4-3.5-CEW-CEW</t>
        </is>
      </c>
      <c r="AV47" t="inlineStr">
        <is>
          <t>38.1-0-2-ERW 1-FC</t>
        </is>
      </c>
      <c r="BA47" s="557" t="n"/>
      <c r="BC47" t="inlineStr">
        <is>
          <t>15.88-0-1-ERW 1-PE</t>
        </is>
      </c>
    </row>
    <row r="48">
      <c r="B48" t="n">
        <v>1940493</v>
      </c>
      <c r="D48" t="n">
        <v>1939974</v>
      </c>
      <c r="E48" t="n">
        <v>1940038</v>
      </c>
      <c r="H48" t="inlineStr">
        <is>
          <t>MEGH STEELS PRIVATE LIMITED - TVS A</t>
        </is>
      </c>
      <c r="I48" t="inlineStr">
        <is>
          <t>SHIVAM PRIME STEELS PRIVATE LIMITED</t>
        </is>
      </c>
      <c r="J48" t="inlineStr">
        <is>
          <t>Star Engineering Works</t>
        </is>
      </c>
      <c r="P48" t="n">
        <v>64</v>
      </c>
      <c r="Q48" t="n">
        <v>64</v>
      </c>
      <c r="W48" t="inlineStr">
        <is>
          <t>22.23-0-2-ERW 1-PE</t>
        </is>
      </c>
      <c r="X48" t="inlineStr">
        <is>
          <t>40-30-2-ERW 1-FC</t>
        </is>
      </c>
      <c r="Y48" t="inlineStr">
        <is>
          <t>40-30-2-ERW 1-FC</t>
        </is>
      </c>
      <c r="AC48" t="inlineStr">
        <is>
          <t>25.4-19-3.2-CEW-CEW</t>
        </is>
      </c>
      <c r="AD48" t="inlineStr">
        <is>
          <t>25.4-19-3.2-CEW-CEW</t>
        </is>
      </c>
      <c r="AE48" t="inlineStr">
        <is>
          <t>25.4-19-3.2-CEW-CEW</t>
        </is>
      </c>
      <c r="AV48" t="inlineStr">
        <is>
          <t>38.1-0-2-ERW 1-FC</t>
        </is>
      </c>
      <c r="BA48" s="557" t="n"/>
      <c r="BC48" t="inlineStr">
        <is>
          <t>15.88-0-1-ERW 1-PE</t>
        </is>
      </c>
    </row>
    <row r="49">
      <c r="B49" t="n">
        <v>1940494</v>
      </c>
      <c r="D49" t="n">
        <v>1939974</v>
      </c>
      <c r="E49" t="n">
        <v>3715199</v>
      </c>
      <c r="H49" t="inlineStr">
        <is>
          <t>SRIKAM HITECH ENGINEERING PRIVATE L</t>
        </is>
      </c>
      <c r="I49" t="inlineStr">
        <is>
          <t>KNITVEL NEEDLES P LTD</t>
        </is>
      </c>
      <c r="J49" t="inlineStr">
        <is>
          <t>Surya Steels</t>
        </is>
      </c>
      <c r="P49" t="n">
        <v>65</v>
      </c>
      <c r="Q49" t="n">
        <v>65</v>
      </c>
      <c r="W49" t="inlineStr">
        <is>
          <t>22.23-0-2-ERW 1-PE</t>
        </is>
      </c>
      <c r="X49" t="inlineStr">
        <is>
          <t>40-30-1.6-ERW 1-FC</t>
        </is>
      </c>
      <c r="Y49" t="inlineStr">
        <is>
          <t>40-30-1.6-ERW 1-FC</t>
        </is>
      </c>
      <c r="AC49" t="inlineStr">
        <is>
          <t>25.4-0-2.5-ERW 1-FC</t>
        </is>
      </c>
      <c r="AD49" t="inlineStr">
        <is>
          <t>25.4-0-2.5-ERW 1-FC</t>
        </is>
      </c>
      <c r="AE49" t="inlineStr">
        <is>
          <t>25.4-0-2.5-ERW 1-FC</t>
        </is>
      </c>
      <c r="AV49" t="inlineStr">
        <is>
          <t>38.1-0-2-ERW 1-FC</t>
        </is>
      </c>
      <c r="BA49" s="557" t="n"/>
      <c r="BC49" t="inlineStr">
        <is>
          <t>15.88-0-1.2-ERW 1-PE</t>
        </is>
      </c>
    </row>
    <row r="50">
      <c r="B50" t="n">
        <v>1940497</v>
      </c>
      <c r="D50" t="n">
        <v>1939974</v>
      </c>
      <c r="E50" t="n">
        <v>2409610</v>
      </c>
      <c r="H50" t="inlineStr">
        <is>
          <t>Rajsriya Automotive Industries(P)</t>
        </is>
      </c>
      <c r="I50" t="inlineStr">
        <is>
          <t>Rucha Engineers Pvt Ltd.</t>
        </is>
      </c>
      <c r="J50" t="inlineStr">
        <is>
          <t>TECHNICO INDUSTRIES LIMITED</t>
        </is>
      </c>
      <c r="P50" t="n">
        <v>66</v>
      </c>
      <c r="Q50" t="n">
        <v>66</v>
      </c>
      <c r="W50" t="inlineStr">
        <is>
          <t>22.23-0-2-ERW 1-PE</t>
        </is>
      </c>
      <c r="X50" t="inlineStr">
        <is>
          <t>25.4-18.4-3.5-CEW-CEW</t>
        </is>
      </c>
      <c r="Y50" t="inlineStr">
        <is>
          <t>25.4-18.4-3.5-CEW-CEW</t>
        </is>
      </c>
      <c r="AC50" t="inlineStr">
        <is>
          <t>28.58-0-1.2-ERW 1-PE</t>
        </is>
      </c>
      <c r="AD50" t="inlineStr">
        <is>
          <t>28.58-0-1.2-ERW 1-PE</t>
        </is>
      </c>
      <c r="AE50" t="inlineStr">
        <is>
          <t>28.58-0-1.2-ERW 1-PE</t>
        </is>
      </c>
      <c r="AV50" t="inlineStr">
        <is>
          <t>38.1-0-2-ERW 1-FC</t>
        </is>
      </c>
      <c r="BA50" s="557" t="n"/>
      <c r="BC50" t="inlineStr">
        <is>
          <t>15.88-0-1.2-ERW 1-PE</t>
        </is>
      </c>
    </row>
    <row r="51">
      <c r="B51" t="n">
        <v>1940498</v>
      </c>
      <c r="D51" t="n">
        <v>1939974</v>
      </c>
      <c r="E51" t="n">
        <v>1940043</v>
      </c>
      <c r="H51" t="inlineStr">
        <is>
          <t>MEGH STEELS PRIVATE LIMITED - TVS A</t>
        </is>
      </c>
      <c r="I51" t="inlineStr">
        <is>
          <t>ELKAYEM AUTO ANCILLARIES PRIVATE LI</t>
        </is>
      </c>
      <c r="J51" t="inlineStr">
        <is>
          <t>Thai Summit Autoparts India Pvt Ltd</t>
        </is>
      </c>
      <c r="P51" t="n">
        <v>67</v>
      </c>
      <c r="Q51" t="n">
        <v>67</v>
      </c>
      <c r="W51" t="inlineStr">
        <is>
          <t>22.23-0-2-ERW 1-PE</t>
        </is>
      </c>
      <c r="X51" t="inlineStr">
        <is>
          <t>42.7-0-4-ERW 1-FC-Ampere</t>
        </is>
      </c>
      <c r="Y51" t="inlineStr">
        <is>
          <t>42.7-0-4-ERW 1-FC-Ampere</t>
        </is>
      </c>
      <c r="AC51" t="inlineStr">
        <is>
          <t>28.58-0-1.6-ERW 1-FC</t>
        </is>
      </c>
      <c r="AD51" t="inlineStr">
        <is>
          <t>28.58-0-1.6-ERW 1-FC</t>
        </is>
      </c>
      <c r="AE51" t="inlineStr">
        <is>
          <t>28.58-0-1.6-ERW 1-FC</t>
        </is>
      </c>
      <c r="AV51" t="inlineStr">
        <is>
          <t>38.1-0-2-ERW 1-FC</t>
        </is>
      </c>
      <c r="BA51" s="557" t="n"/>
      <c r="BC51" t="inlineStr">
        <is>
          <t>15.88-0-1.2-ERW 1-PE</t>
        </is>
      </c>
    </row>
    <row r="52">
      <c r="B52" t="n">
        <v>1940504</v>
      </c>
      <c r="D52" t="n">
        <v>1939974</v>
      </c>
      <c r="E52" t="n">
        <v>1940045</v>
      </c>
      <c r="H52" t="inlineStr">
        <is>
          <t>MEGH STEELS PRIVATE LIMITED - TVS A</t>
        </is>
      </c>
      <c r="I52" t="inlineStr">
        <is>
          <t>Kay Jay Forgings Pvt Ltd Unit Vi</t>
        </is>
      </c>
      <c r="J52" t="inlineStr">
        <is>
          <t>Thirupathi Industries</t>
        </is>
      </c>
      <c r="P52" t="n">
        <v>72</v>
      </c>
      <c r="Q52" t="n">
        <v>72</v>
      </c>
      <c r="W52" t="inlineStr">
        <is>
          <t>22.23-0-2-ERW 1-PE</t>
        </is>
      </c>
      <c r="X52" t="inlineStr">
        <is>
          <t>42.7-0-4-ERW 1-FC</t>
        </is>
      </c>
      <c r="Y52" t="inlineStr">
        <is>
          <t>42.7-0-4-ERW 1-FC</t>
        </is>
      </c>
      <c r="AC52" t="inlineStr">
        <is>
          <t>28.58-0-1.6-ERW 1-PE</t>
        </is>
      </c>
      <c r="AD52" t="inlineStr">
        <is>
          <t>28.58-0-1.6-ERW 1-PE</t>
        </is>
      </c>
      <c r="AE52" t="inlineStr">
        <is>
          <t>28.58-0-1.6-ERW 1-PE</t>
        </is>
      </c>
      <c r="AV52" t="inlineStr">
        <is>
          <t>38.1-0-2-ERW 1-FC</t>
        </is>
      </c>
      <c r="BA52" s="557" t="n"/>
      <c r="BC52" t="inlineStr">
        <is>
          <t>15.88-0-1.2-ERW 1-PE</t>
        </is>
      </c>
    </row>
    <row r="53">
      <c r="B53" t="n">
        <v>1940510</v>
      </c>
      <c r="D53" t="n">
        <v>1939974</v>
      </c>
      <c r="E53" t="n">
        <v>1940046</v>
      </c>
      <c r="H53" t="inlineStr">
        <is>
          <t>MEGH STEELS PRIVATE LIMITED - TVS A</t>
        </is>
      </c>
      <c r="I53" t="inlineStr">
        <is>
          <t>SREE VENKATESWARA ENTERPRISES</t>
        </is>
      </c>
      <c r="J53" t="inlineStr">
        <is>
          <t>Ttp Technologies Private Ltd</t>
        </is>
      </c>
      <c r="P53" t="n">
        <v>74</v>
      </c>
      <c r="Q53" t="n">
        <v>74</v>
      </c>
      <c r="W53" t="inlineStr">
        <is>
          <t>22.23-0-2-ERW 1-PE</t>
        </is>
      </c>
      <c r="X53" t="inlineStr">
        <is>
          <t>50-30-1.6-ERW 2-FC</t>
        </is>
      </c>
      <c r="Y53" t="inlineStr">
        <is>
          <t>50-30-1.6-ERW 2-FC</t>
        </is>
      </c>
      <c r="AC53" t="inlineStr">
        <is>
          <t>28.58-0-2-ERW 1-FC</t>
        </is>
      </c>
      <c r="AD53" t="inlineStr">
        <is>
          <t>28.58-0-2-ERW 1-FC</t>
        </is>
      </c>
      <c r="AE53" t="inlineStr">
        <is>
          <t>28.58-0-2-ERW 1-FC</t>
        </is>
      </c>
      <c r="AV53" t="inlineStr">
        <is>
          <t>19.05-0-1.2-ERW 1-PE</t>
        </is>
      </c>
      <c r="BA53" s="557" t="n"/>
      <c r="BC53" t="inlineStr">
        <is>
          <t>15.88-0-1.2-ERW 1-PE</t>
        </is>
      </c>
    </row>
    <row r="54">
      <c r="B54" t="n">
        <v>1940538</v>
      </c>
      <c r="D54" t="n">
        <v>1939974</v>
      </c>
      <c r="E54" t="n">
        <v>2288948</v>
      </c>
      <c r="H54" t="inlineStr">
        <is>
          <t>MEGH STEELS PRIVATE LIMITED - TVS A</t>
        </is>
      </c>
      <c r="I54" t="inlineStr">
        <is>
          <t>C.S.K.Tube Corporation</t>
        </is>
      </c>
      <c r="J54" t="inlineStr">
        <is>
          <t>TUBE INVESTMENTS OF INDIA LIMITED</t>
        </is>
      </c>
      <c r="P54" t="n">
        <v>75</v>
      </c>
      <c r="Q54" t="n">
        <v>75</v>
      </c>
      <c r="W54" t="inlineStr">
        <is>
          <t>12.7-0-1.6-ERW 1-PE</t>
        </is>
      </c>
      <c r="X54" t="inlineStr">
        <is>
          <t>28.6-0-2.65-CEW-CEW</t>
        </is>
      </c>
      <c r="Y54" t="inlineStr">
        <is>
          <t>28.6-0-2.65-CEW-CEW</t>
        </is>
      </c>
      <c r="AC54" t="inlineStr">
        <is>
          <t>28.58-0-3.2-ERW 1-FC</t>
        </is>
      </c>
      <c r="AD54" t="inlineStr">
        <is>
          <t>28.58-0-3.2-ERW 1-FC</t>
        </is>
      </c>
      <c r="AE54" t="inlineStr">
        <is>
          <t>28.58-0-3.2-ERW 1-FC</t>
        </is>
      </c>
      <c r="AV54" t="inlineStr">
        <is>
          <t>19.05-0-1.2-ERW 1-PE</t>
        </is>
      </c>
      <c r="BA54" s="557" t="n"/>
      <c r="BC54" t="inlineStr">
        <is>
          <t>15.88-0-1.2-ERW 1-PE</t>
        </is>
      </c>
    </row>
    <row r="55">
      <c r="B55" t="n">
        <v>1940584</v>
      </c>
      <c r="D55" t="n">
        <v>2403436</v>
      </c>
      <c r="E55" t="n">
        <v>1940054</v>
      </c>
      <c r="H55" t="inlineStr">
        <is>
          <t>A.R.Automotive And Engg Industries</t>
        </is>
      </c>
      <c r="I55" t="inlineStr">
        <is>
          <t>Ttp Technologies Private Ltd</t>
        </is>
      </c>
      <c r="J55" t="inlineStr">
        <is>
          <t>U M A Industries</t>
        </is>
      </c>
      <c r="P55" t="n">
        <v>76</v>
      </c>
      <c r="Q55" t="n">
        <v>76</v>
      </c>
      <c r="W55" t="inlineStr">
        <is>
          <t>12.7-0-1.6-ERW 1-PE</t>
        </is>
      </c>
      <c r="X55" t="inlineStr">
        <is>
          <t>40-25-1.6-ERW 2-FC</t>
        </is>
      </c>
      <c r="Y55" t="inlineStr">
        <is>
          <t>40-25-1.6-ERW 2-FC</t>
        </is>
      </c>
      <c r="AC55" t="inlineStr">
        <is>
          <t>28.6-0-2.65-CEW-CEW</t>
        </is>
      </c>
      <c r="AD55" t="inlineStr">
        <is>
          <t>28.6-0-2.65-CEW-CEW</t>
        </is>
      </c>
      <c r="AE55" t="inlineStr">
        <is>
          <t>28.6-0-2.65-CEW-CEW</t>
        </is>
      </c>
      <c r="AV55" t="inlineStr">
        <is>
          <t>42.7-0-3.5-ERW 1-FC</t>
        </is>
      </c>
      <c r="BA55" s="557" t="n"/>
      <c r="BC55" t="inlineStr">
        <is>
          <t>15.88-0-1.2-ERW 1-PE</t>
        </is>
      </c>
    </row>
    <row r="56">
      <c r="B56" t="n">
        <v>1940588</v>
      </c>
      <c r="D56" t="n">
        <v>1939985</v>
      </c>
      <c r="E56" t="n">
        <v>1931425</v>
      </c>
      <c r="H56" t="inlineStr">
        <is>
          <t>A.R.Automotive And Engg Industries</t>
        </is>
      </c>
      <c r="I56" t="inlineStr">
        <is>
          <t>Narasipur Auto Component(P)Ltd</t>
        </is>
      </c>
      <c r="J56" t="inlineStr">
        <is>
          <t>YOSHIKA ENGINEERING PVT LTD</t>
        </is>
      </c>
      <c r="P56" t="n">
        <v>77</v>
      </c>
      <c r="Q56" t="n">
        <v>77</v>
      </c>
      <c r="W56" t="inlineStr">
        <is>
          <t>12.7-0-1.6-ERW 1-PE</t>
        </is>
      </c>
      <c r="X56" t="inlineStr">
        <is>
          <t>37.95-32-2.95-CEW-CEW</t>
        </is>
      </c>
      <c r="Y56" t="inlineStr">
        <is>
          <t>37.95-32-2.95-CEW-CEW</t>
        </is>
      </c>
      <c r="AC56" t="inlineStr">
        <is>
          <t>29.28-0-3.4-CEW-CEW</t>
        </is>
      </c>
      <c r="AD56" t="inlineStr">
        <is>
          <t>29.28-0-3.4-CEW-CEW</t>
        </is>
      </c>
      <c r="AE56" t="inlineStr">
        <is>
          <t>29.28-0-3.4-CEW-CEW</t>
        </is>
      </c>
      <c r="AV56" t="inlineStr">
        <is>
          <t>42.7-0-3.5-ERW 1-FC</t>
        </is>
      </c>
      <c r="BA56" s="557" t="n"/>
      <c r="BC56" t="inlineStr">
        <is>
          <t>15.88-0-1.2-ERW 1-PE</t>
        </is>
      </c>
    </row>
    <row r="57">
      <c r="B57" t="n">
        <v>1940626</v>
      </c>
      <c r="D57" t="n">
        <v>1939985</v>
      </c>
      <c r="E57" t="n">
        <v>1940055</v>
      </c>
      <c r="H57" t="inlineStr">
        <is>
          <t>SRIKAM HITECH ENGINEERING PRIVATE L</t>
        </is>
      </c>
      <c r="I57" t="inlineStr">
        <is>
          <t>BALAJI INDUSTRIES</t>
        </is>
      </c>
      <c r="J57" t="inlineStr">
        <is>
          <t>Narasipur Auto Component(P)Ltd</t>
        </is>
      </c>
      <c r="P57" t="n">
        <v>78</v>
      </c>
      <c r="Q57" t="n">
        <v>78</v>
      </c>
      <c r="W57" t="inlineStr">
        <is>
          <t>12.7-0-1.6-ERW 1-PE</t>
        </is>
      </c>
      <c r="X57" t="inlineStr">
        <is>
          <t>29.4-20.4-4.5-CEW STKM 13C-CEW</t>
        </is>
      </c>
      <c r="Y57" t="inlineStr">
        <is>
          <t>29.4-20.4-4.5-CEW STKM 13C-CEW</t>
        </is>
      </c>
      <c r="AC57" t="inlineStr">
        <is>
          <t>29.4-20.4-4.5-CEW-CEW</t>
        </is>
      </c>
      <c r="AD57" t="inlineStr">
        <is>
          <t>29.4-20.4-4.5-CEW-CEW</t>
        </is>
      </c>
      <c r="AE57" t="inlineStr">
        <is>
          <t>29.4-20.4-4.5-CEW-CEW</t>
        </is>
      </c>
      <c r="AV57" t="inlineStr">
        <is>
          <t>42.7-0-3.5-ERW 1-FC</t>
        </is>
      </c>
      <c r="BA57" s="557" t="n"/>
      <c r="BC57" t="inlineStr">
        <is>
          <t>15.88-0-1.2-ERW 1-PE</t>
        </is>
      </c>
    </row>
    <row r="58">
      <c r="B58" t="n">
        <v>1940627</v>
      </c>
      <c r="D58" t="n">
        <v>1939985</v>
      </c>
      <c r="E58" t="n">
        <v>1931276</v>
      </c>
      <c r="H58" t="inlineStr">
        <is>
          <t>MEGH STEELS PRIVATE LIMITED - HMSIL</t>
        </is>
      </c>
      <c r="I58" t="inlineStr">
        <is>
          <t>Elkayem Auto Ancillaries ( P ) LTD</t>
        </is>
      </c>
      <c r="J58" t="inlineStr">
        <is>
          <t>Rajsriya Automotive Ind Pvt Ltd.</t>
        </is>
      </c>
      <c r="P58" t="n">
        <v>79</v>
      </c>
      <c r="Q58" t="n">
        <v>79</v>
      </c>
      <c r="W58" t="inlineStr">
        <is>
          <t>12.7-0-1.6-ERW 1-PE</t>
        </is>
      </c>
      <c r="X58" t="inlineStr">
        <is>
          <t>20-12.4-3.8-CEW-CEW</t>
        </is>
      </c>
      <c r="Y58" t="inlineStr">
        <is>
          <t>20-12.4-3.8-CEW-CEW</t>
        </is>
      </c>
      <c r="AC58" t="inlineStr">
        <is>
          <t>29.4-20.4-4.5-CEW STKM 13C-CEW</t>
        </is>
      </c>
      <c r="AD58" t="inlineStr">
        <is>
          <t>29.4-20.4-4.5-CEW STKM 13C-CEW</t>
        </is>
      </c>
      <c r="AE58" t="inlineStr">
        <is>
          <t>29.4-20.4-4.5-CEW STKM 13C-CEW</t>
        </is>
      </c>
      <c r="AV58" t="inlineStr">
        <is>
          <t>42.7-0-3.5-ERW 1-FC</t>
        </is>
      </c>
      <c r="BA58" s="557" t="n"/>
      <c r="BC58" t="inlineStr">
        <is>
          <t>15.88-0-1.2-ERW 1-PE</t>
        </is>
      </c>
    </row>
    <row r="59">
      <c r="B59" t="n">
        <v>1940653</v>
      </c>
      <c r="D59" t="n">
        <v>1939985</v>
      </c>
      <c r="E59" t="n">
        <v>3620428</v>
      </c>
      <c r="H59" t="inlineStr">
        <is>
          <t>MEGH STEELS PRIVATE LIMITED - HMSIL</t>
        </is>
      </c>
      <c r="I59" t="inlineStr">
        <is>
          <t>Star Engineering Works</t>
        </is>
      </c>
      <c r="J59" t="inlineStr">
        <is>
          <t>Allied Industries (India)</t>
        </is>
      </c>
      <c r="P59" t="n">
        <v>80</v>
      </c>
      <c r="Q59" t="n">
        <v>80</v>
      </c>
      <c r="W59" t="inlineStr">
        <is>
          <t>12.7-0-1.6-ERW 1-PE</t>
        </is>
      </c>
      <c r="X59" t="inlineStr">
        <is>
          <t>54-0-3-ERW 2-FC</t>
        </is>
      </c>
      <c r="Y59" t="inlineStr">
        <is>
          <t>54-0-3-ERW 2-FC</t>
        </is>
      </c>
      <c r="AC59" t="inlineStr">
        <is>
          <t>30-25.5-2.25-CEW-CEW</t>
        </is>
      </c>
      <c r="AD59" t="inlineStr">
        <is>
          <t>30-25.5-2.25-CEW-CEW</t>
        </is>
      </c>
      <c r="AE59" t="inlineStr">
        <is>
          <t>30-25.5-2.25-CEW-CEW</t>
        </is>
      </c>
      <c r="AV59" t="inlineStr">
        <is>
          <t>42.7-0-3.5-ERW 1-FC</t>
        </is>
      </c>
      <c r="BA59" s="557" t="n"/>
      <c r="BC59" t="inlineStr">
        <is>
          <t>15.88-0-1.2-ERW 1-PE</t>
        </is>
      </c>
    </row>
    <row r="60">
      <c r="B60" t="n">
        <v>1940716</v>
      </c>
      <c r="D60" t="n">
        <v>1939985</v>
      </c>
      <c r="E60" t="n">
        <v>3217233</v>
      </c>
      <c r="H60" t="inlineStr">
        <is>
          <t>SRIKAM HITECH ENGINEERING PRIVATE L</t>
        </is>
      </c>
      <c r="I60" t="inlineStr">
        <is>
          <t>OWERE PRECISION</t>
        </is>
      </c>
      <c r="J60" t="inlineStr">
        <is>
          <t>FREE STOCK</t>
        </is>
      </c>
      <c r="P60" t="n">
        <v>81</v>
      </c>
      <c r="Q60" t="n">
        <v>81</v>
      </c>
      <c r="W60" t="inlineStr">
        <is>
          <t>12.7-0-1.6-ERW 1-PE</t>
        </is>
      </c>
      <c r="X60" t="inlineStr">
        <is>
          <t>21.7-16.2-2.75-CEW-CEW</t>
        </is>
      </c>
      <c r="Y60" t="inlineStr">
        <is>
          <t>21.7-16.2-2.75-CEW-CEW</t>
        </is>
      </c>
      <c r="AC60" t="inlineStr">
        <is>
          <t>25-25-1.2-CRFH-PE</t>
        </is>
      </c>
      <c r="AD60" t="inlineStr">
        <is>
          <t>25-25-1.2-CRFH-PE</t>
        </is>
      </c>
      <c r="AE60" t="inlineStr">
        <is>
          <t>25-25-1.2-CRFH-PE</t>
        </is>
      </c>
      <c r="AV60" t="inlineStr">
        <is>
          <t>42.7-0-3.5-ERW 1-FC</t>
        </is>
      </c>
      <c r="BA60" s="557" t="n"/>
      <c r="BC60" t="inlineStr">
        <is>
          <t>15.88-0-1.2-ERW 1-PE</t>
        </is>
      </c>
    </row>
    <row r="61">
      <c r="B61" t="n">
        <v>1940730</v>
      </c>
      <c r="D61" t="n">
        <v>1939985</v>
      </c>
      <c r="E61" t="n">
        <v>2387804</v>
      </c>
      <c r="H61" t="inlineStr">
        <is>
          <t>Sri Balaji Gears</t>
        </is>
      </c>
      <c r="I61" t="inlineStr">
        <is>
          <t>SHETDASS ENGG</t>
        </is>
      </c>
      <c r="J61" t="inlineStr">
        <is>
          <t>Rajsriya Automotive Ind. Pvt Ltd</t>
        </is>
      </c>
      <c r="P61" t="n">
        <v>82</v>
      </c>
      <c r="Q61" t="n">
        <v>82</v>
      </c>
      <c r="W61" t="inlineStr">
        <is>
          <t>12.7-0-1.6-ERW 1-PE</t>
        </is>
      </c>
      <c r="X61" t="inlineStr">
        <is>
          <t>25.4-0-2.5-CEW-CEW</t>
        </is>
      </c>
      <c r="Y61" t="inlineStr">
        <is>
          <t>25.4-0-2.5-CEW-CEW</t>
        </is>
      </c>
      <c r="AC61" t="inlineStr">
        <is>
          <t>31.75-0-1.2-ERW 1-FC</t>
        </is>
      </c>
      <c r="AD61" t="inlineStr">
        <is>
          <t>31.75-0-1.2-ERW 1-FC</t>
        </is>
      </c>
      <c r="AE61" t="inlineStr">
        <is>
          <t>31.75-0-1.2-ERW 1-FC</t>
        </is>
      </c>
      <c r="AV61" t="inlineStr">
        <is>
          <t>42.7-0-3.5-ERW 1-FC</t>
        </is>
      </c>
      <c r="BA61" s="557" t="n"/>
      <c r="BC61" t="inlineStr">
        <is>
          <t>15.88-0-1.6-ERW 1-PE</t>
        </is>
      </c>
    </row>
    <row r="62">
      <c r="B62" t="n">
        <v>1940732</v>
      </c>
      <c r="D62" t="n">
        <v>1939985</v>
      </c>
      <c r="E62" t="n">
        <v>3478135</v>
      </c>
      <c r="H62" t="inlineStr">
        <is>
          <t>Sri Balaji Gears</t>
        </is>
      </c>
      <c r="I62" t="inlineStr">
        <is>
          <t>Indo AutoTech</t>
        </is>
      </c>
      <c r="J62" t="inlineStr">
        <is>
          <t>Krishna Industries</t>
        </is>
      </c>
      <c r="P62" t="n">
        <v>83</v>
      </c>
      <c r="Q62" t="n">
        <v>83</v>
      </c>
      <c r="W62" t="inlineStr">
        <is>
          <t>12.7-0-1.6-ERW 1-PE</t>
        </is>
      </c>
      <c r="X62" t="inlineStr">
        <is>
          <t>31.75-25-3.37-CEW-CEW</t>
        </is>
      </c>
      <c r="Y62" t="inlineStr">
        <is>
          <t>31.75-25-3.37-CEW-CEW</t>
        </is>
      </c>
      <c r="AC62" t="inlineStr">
        <is>
          <t>31.75-0-1.2-ERW 1-PE</t>
        </is>
      </c>
      <c r="AD62" t="inlineStr">
        <is>
          <t>31.75-0-1.2-ERW 1-PE</t>
        </is>
      </c>
      <c r="AE62" t="inlineStr">
        <is>
          <t>31.75-0-1.2-ERW 1-PE</t>
        </is>
      </c>
      <c r="AV62" t="inlineStr">
        <is>
          <t>42.7-0-3.5-ERW 1-FC</t>
        </is>
      </c>
      <c r="BA62" s="557" t="n"/>
      <c r="BC62" t="inlineStr">
        <is>
          <t>15.88-0-1.6-ERW 1-PE</t>
        </is>
      </c>
    </row>
    <row r="63">
      <c r="B63" t="n">
        <v>1940739</v>
      </c>
      <c r="D63" t="n">
        <v>1939985</v>
      </c>
      <c r="E63" t="n">
        <v>1900224</v>
      </c>
      <c r="H63" t="inlineStr">
        <is>
          <t>Sri Balaji Gears</t>
        </is>
      </c>
      <c r="I63" t="inlineStr">
        <is>
          <t>RANAE</t>
        </is>
      </c>
      <c r="J63" t="inlineStr">
        <is>
          <t>NALANDA INDUSTRIAL CORPOR</t>
        </is>
      </c>
      <c r="P63" t="n">
        <v>84</v>
      </c>
      <c r="Q63" t="n">
        <v>84</v>
      </c>
      <c r="W63" t="inlineStr">
        <is>
          <t>12.7-0-1.6-ERW 1-PE</t>
        </is>
      </c>
      <c r="X63" t="inlineStr">
        <is>
          <t>28.58-0-1.2-ERW 1-PE</t>
        </is>
      </c>
      <c r="Y63" t="inlineStr">
        <is>
          <t>28.58-0-1.2-ERW 1-PE</t>
        </is>
      </c>
      <c r="AC63" t="inlineStr">
        <is>
          <t>31.75-0-1.6-ERW 1-FC</t>
        </is>
      </c>
      <c r="AD63" t="inlineStr">
        <is>
          <t>31.75-0-1.6-ERW 1-FC</t>
        </is>
      </c>
      <c r="AE63" t="inlineStr">
        <is>
          <t>31.75-0-1.6-ERW 1-FC</t>
        </is>
      </c>
      <c r="AV63" t="inlineStr">
        <is>
          <t>42.7-0-3.5-ERW 1-FC</t>
        </is>
      </c>
      <c r="BA63" s="557" t="n"/>
      <c r="BC63" t="inlineStr">
        <is>
          <t>15.88-0-1.6-ERW 1-PE</t>
        </is>
      </c>
    </row>
    <row r="64">
      <c r="B64" t="n">
        <v>1940743</v>
      </c>
      <c r="D64" t="n">
        <v>1900037</v>
      </c>
      <c r="E64" t="n">
        <v>1940078</v>
      </c>
      <c r="H64" t="inlineStr">
        <is>
          <t>Sri Balaji Gears</t>
        </is>
      </c>
      <c r="I64" t="inlineStr">
        <is>
          <t>KNITVEL</t>
        </is>
      </c>
      <c r="J64" t="inlineStr">
        <is>
          <t>Hi-Esteem Auto Komponents Pvt Ltd</t>
        </is>
      </c>
      <c r="P64" t="n">
        <v>85</v>
      </c>
      <c r="Q64" t="n">
        <v>85</v>
      </c>
      <c r="W64" t="inlineStr">
        <is>
          <t>12.7-0-1.6-ERW 1-PE</t>
        </is>
      </c>
      <c r="X64" t="inlineStr">
        <is>
          <t>40-40-1.2-CRFH-PE</t>
        </is>
      </c>
      <c r="Y64" t="inlineStr">
        <is>
          <t>40-40-1.2-CRFH-PE</t>
        </is>
      </c>
      <c r="AC64" t="inlineStr">
        <is>
          <t>31.75-0-2.5-ERW 1-FC</t>
        </is>
      </c>
      <c r="AD64" t="inlineStr">
        <is>
          <t>31.75-0-2.5-ERW 1-FC</t>
        </is>
      </c>
      <c r="AE64" t="inlineStr">
        <is>
          <t>31.75-0-2.5-ERW 1-FC</t>
        </is>
      </c>
      <c r="AV64" t="inlineStr">
        <is>
          <t>42.7-0-4-ERW 1-FC</t>
        </is>
      </c>
      <c r="BA64" s="557" t="n"/>
      <c r="BC64" t="inlineStr">
        <is>
          <t>15.88-0-1.6-ERW 1-PE</t>
        </is>
      </c>
    </row>
    <row r="65">
      <c r="B65" t="n">
        <v>1940794</v>
      </c>
      <c r="D65" t="n">
        <v>1900037</v>
      </c>
      <c r="E65" t="n">
        <v>1940075</v>
      </c>
      <c r="H65" t="inlineStr">
        <is>
          <t>Sri Balaji Gears</t>
        </is>
      </c>
      <c r="I65" t="inlineStr">
        <is>
          <t>TRANSIT STOCK</t>
        </is>
      </c>
      <c r="J65" t="inlineStr">
        <is>
          <t>BALAJI GEARS</t>
        </is>
      </c>
      <c r="P65" t="n">
        <v>86</v>
      </c>
      <c r="Q65" t="n">
        <v>86</v>
      </c>
      <c r="W65" t="inlineStr">
        <is>
          <t>12.7-0-1.6-ERW 1-PE</t>
        </is>
      </c>
      <c r="X65" t="inlineStr">
        <is>
          <t>40-20-1.2-CRFH-PE</t>
        </is>
      </c>
      <c r="Y65" t="inlineStr">
        <is>
          <t>40-20-1.2-CRFH-PE</t>
        </is>
      </c>
      <c r="AC65" t="inlineStr">
        <is>
          <t>31.75-25-3.37-CEW-CEW</t>
        </is>
      </c>
      <c r="AD65" t="inlineStr">
        <is>
          <t>31.75-25-3.37-CEW-CEW</t>
        </is>
      </c>
      <c r="AE65" t="inlineStr">
        <is>
          <t>31.75-25-3.37-CEW-CEW</t>
        </is>
      </c>
      <c r="AV65" t="inlineStr">
        <is>
          <t>42.7-0-4-ERW 1-FC</t>
        </is>
      </c>
      <c r="BA65" s="557" t="n"/>
      <c r="BC65" t="inlineStr">
        <is>
          <t>15.88-0-1.6-ERW 1-PE</t>
        </is>
      </c>
    </row>
    <row r="66">
      <c r="B66" t="n">
        <v>1940795</v>
      </c>
      <c r="D66" t="n">
        <v>1939986</v>
      </c>
      <c r="E66" t="n">
        <v>2420205</v>
      </c>
      <c r="H66" t="inlineStr">
        <is>
          <t>Marathwada Auto Compo Pvt. Ltd.</t>
        </is>
      </c>
      <c r="J66" t="inlineStr">
        <is>
          <t>ELKAYEM AUTO ANCILLARIES PVT LTD</t>
        </is>
      </c>
      <c r="P66" t="n">
        <v>87</v>
      </c>
      <c r="Q66" t="n">
        <v>87</v>
      </c>
      <c r="W66" t="inlineStr">
        <is>
          <t>12.7-0-1.6-ERW 1-PE</t>
        </is>
      </c>
      <c r="X66" t="inlineStr">
        <is>
          <t>22.23-0-1.2-ERW 1-PE</t>
        </is>
      </c>
      <c r="Y66" t="inlineStr">
        <is>
          <t>22.23-0-1.2-ERW 1-PE</t>
        </is>
      </c>
      <c r="AC66" t="inlineStr">
        <is>
          <t>32-0-4.5-CEW-CEW</t>
        </is>
      </c>
      <c r="AD66" t="inlineStr">
        <is>
          <t>32-0-4.5-CEW-CEW</t>
        </is>
      </c>
      <c r="AE66" t="inlineStr">
        <is>
          <t>32-0-4.5-CEW-CEW</t>
        </is>
      </c>
      <c r="AV66" t="inlineStr">
        <is>
          <t>42.7-0-4-ERW 1-FC</t>
        </is>
      </c>
      <c r="BA66" s="557" t="n"/>
      <c r="BC66" t="inlineStr">
        <is>
          <t>15.88-0-1.6-ERW 1-PE</t>
        </is>
      </c>
    </row>
    <row r="67">
      <c r="B67" t="n">
        <v>1940796</v>
      </c>
      <c r="D67" t="n">
        <v>1939986</v>
      </c>
      <c r="E67" t="n">
        <v>3706751</v>
      </c>
      <c r="H67" t="inlineStr">
        <is>
          <t>Marathwada Auto Compo Pvt. Ltd.</t>
        </is>
      </c>
      <c r="J67" t="inlineStr">
        <is>
          <t>ROYAL ENFIELD</t>
        </is>
      </c>
      <c r="P67" t="n">
        <v>88</v>
      </c>
      <c r="Q67" t="n">
        <v>88</v>
      </c>
      <c r="W67" t="inlineStr">
        <is>
          <t>12.7-0-1.6-ERW 1-PE</t>
        </is>
      </c>
      <c r="X67" t="inlineStr">
        <is>
          <t>48.6-0-1.2-ERW 1-FC</t>
        </is>
      </c>
      <c r="Y67" t="inlineStr">
        <is>
          <t>48.6-0-1.2-ERW 1-FC</t>
        </is>
      </c>
      <c r="AC67" t="inlineStr">
        <is>
          <t>33.3-29.3-2-CEW-CEW</t>
        </is>
      </c>
      <c r="AD67" t="inlineStr">
        <is>
          <t>33.3-29.3-2-CEW-CEW</t>
        </is>
      </c>
      <c r="AE67" t="inlineStr">
        <is>
          <t>33.3-29.3-2-CEW-CEW</t>
        </is>
      </c>
      <c r="AV67" t="inlineStr">
        <is>
          <t>42.7-0-4-ERW 1-FC</t>
        </is>
      </c>
      <c r="BA67" s="557" t="n"/>
      <c r="BC67" t="inlineStr">
        <is>
          <t>15.88-0-1.6-ERW 1-PE</t>
        </is>
      </c>
    </row>
    <row r="68">
      <c r="B68" t="n">
        <v>1940801</v>
      </c>
      <c r="D68" t="n">
        <v>1939986</v>
      </c>
      <c r="E68" t="n">
        <v>468311</v>
      </c>
      <c r="H68" t="inlineStr">
        <is>
          <t>Sri Balaji Gears</t>
        </is>
      </c>
      <c r="J68" t="inlineStr">
        <is>
          <t>HI-TECH INDUSTRIES</t>
        </is>
      </c>
      <c r="P68" t="n">
        <v>89</v>
      </c>
      <c r="Q68" t="n">
        <v>89</v>
      </c>
      <c r="W68" t="inlineStr">
        <is>
          <t>12.7-0-1.6-ERW 1-PE</t>
        </is>
      </c>
      <c r="X68" t="inlineStr">
        <is>
          <t>22.23-0-1.6-ERW 2 MAHS-PE</t>
        </is>
      </c>
      <c r="Y68" t="inlineStr">
        <is>
          <t>22.23-0-1.6-ERW 2 MAHS-PE</t>
        </is>
      </c>
      <c r="AC68" t="inlineStr">
        <is>
          <t>34.93-0-1.2-ERW 1-FC</t>
        </is>
      </c>
      <c r="AD68" t="inlineStr">
        <is>
          <t>34.93-0-1.2-ERW 1-FC</t>
        </is>
      </c>
      <c r="AE68" t="inlineStr">
        <is>
          <t>34.93-0-1.2-ERW 1-FC</t>
        </is>
      </c>
      <c r="AV68" t="inlineStr">
        <is>
          <t>42.7-0-4-ERW 1-FC</t>
        </is>
      </c>
      <c r="BA68" s="557" t="n"/>
      <c r="BC68" t="inlineStr">
        <is>
          <t>15.88-0-2-ERW 1-PE</t>
        </is>
      </c>
    </row>
    <row r="69">
      <c r="B69" t="n">
        <v>1940807</v>
      </c>
      <c r="D69" t="n">
        <v>1939986</v>
      </c>
      <c r="E69" t="n">
        <v>1940090</v>
      </c>
      <c r="H69" t="inlineStr">
        <is>
          <t>Tushar Steel Traders</t>
        </is>
      </c>
      <c r="J69" t="inlineStr">
        <is>
          <t>K P ENGINEERING</t>
        </is>
      </c>
      <c r="P69" t="n">
        <v>90</v>
      </c>
      <c r="Q69" t="n">
        <v>90</v>
      </c>
      <c r="W69" t="inlineStr">
        <is>
          <t>12.7-0-1.6-ERW 1-PE</t>
        </is>
      </c>
      <c r="X69" t="inlineStr">
        <is>
          <t>22.23-0-2-ERW 2 MAHS-PE</t>
        </is>
      </c>
      <c r="Y69" t="inlineStr">
        <is>
          <t>22.23-0-2-ERW 2 MAHS-PE</t>
        </is>
      </c>
      <c r="AC69" t="inlineStr">
        <is>
          <t>34.93-0-1.6-ERW 1-PE</t>
        </is>
      </c>
      <c r="AD69" t="inlineStr">
        <is>
          <t>34.93-0-1.6-ERW 1-PE</t>
        </is>
      </c>
      <c r="AE69" t="inlineStr">
        <is>
          <t>34.93-0-1.6-ERW 1-PE</t>
        </is>
      </c>
      <c r="AV69" t="inlineStr">
        <is>
          <t>42.7-0-4-ERW 1-FC</t>
        </is>
      </c>
      <c r="BA69" s="557" t="n"/>
      <c r="BC69" t="inlineStr">
        <is>
          <t>15.88-0-2-ERW 1-PE</t>
        </is>
      </c>
    </row>
    <row r="70">
      <c r="B70" t="n">
        <v>1940816</v>
      </c>
      <c r="D70" t="n">
        <v>1939986</v>
      </c>
      <c r="E70" t="n">
        <v>3506797</v>
      </c>
      <c r="H70" t="inlineStr">
        <is>
          <t>Krishna Industries</t>
        </is>
      </c>
      <c r="J70" t="inlineStr">
        <is>
          <t>HI-ESTEEM AUTO KOMPONENTS PRIVATE L</t>
        </is>
      </c>
      <c r="P70" t="n">
        <v>91</v>
      </c>
      <c r="Q70" t="n">
        <v>91</v>
      </c>
      <c r="W70" t="inlineStr">
        <is>
          <t>34.93-0-2.5-ERW 1-PE</t>
        </is>
      </c>
      <c r="X70" t="inlineStr">
        <is>
          <t>check tdc</t>
        </is>
      </c>
      <c r="Y70" t="inlineStr">
        <is>
          <t>check tdc</t>
        </is>
      </c>
      <c r="AC70" t="inlineStr">
        <is>
          <t>34.93-0-1.6-ERW 1-FC</t>
        </is>
      </c>
      <c r="AD70" t="inlineStr">
        <is>
          <t>34.93-0-1.6-ERW 1-FC</t>
        </is>
      </c>
      <c r="AE70" t="inlineStr">
        <is>
          <t>34.93-0-1.6-ERW 1-FC</t>
        </is>
      </c>
      <c r="AV70" t="inlineStr">
        <is>
          <t>42.7-0-4-ERW 1-FC</t>
        </is>
      </c>
      <c r="BA70" s="557" t="n"/>
      <c r="BC70" t="inlineStr">
        <is>
          <t>15.88-0-2-ERW 1-PE</t>
        </is>
      </c>
    </row>
    <row r="71">
      <c r="B71" t="n">
        <v>1940820</v>
      </c>
      <c r="D71" t="n">
        <v>1939986</v>
      </c>
      <c r="E71" t="n">
        <v>2243845</v>
      </c>
      <c r="H71" t="inlineStr">
        <is>
          <t>Indo Autotech Limited (Unit V)</t>
        </is>
      </c>
      <c r="J71" t="inlineStr">
        <is>
          <t>M.S.K. Enterprises</t>
        </is>
      </c>
      <c r="P71" t="n">
        <v>91</v>
      </c>
      <c r="Q71" t="n">
        <v>93</v>
      </c>
      <c r="W71" t="inlineStr">
        <is>
          <t>34.93-0-2.5-ERW 1-PE</t>
        </is>
      </c>
      <c r="X71" t="inlineStr">
        <is>
          <t>25.4-0-2.5-ERW 1-FC</t>
        </is>
      </c>
      <c r="Y71" t="inlineStr">
        <is>
          <t>25.4-0-2.5-ERW 1-FC</t>
        </is>
      </c>
      <c r="AC71" t="inlineStr">
        <is>
          <t>34.93-0-2.5-ERW 1-PE</t>
        </is>
      </c>
      <c r="AD71" t="inlineStr">
        <is>
          <t>34.93-0-2.5-ERW 1-PE</t>
        </is>
      </c>
      <c r="AE71" t="inlineStr">
        <is>
          <t>34.93-0-2.5-ERW 1-PE</t>
        </is>
      </c>
      <c r="AV71" t="inlineStr">
        <is>
          <t>42.7-0-4-ERW 1-FC</t>
        </is>
      </c>
      <c r="BA71" s="557" t="n"/>
      <c r="BC71" t="inlineStr">
        <is>
          <t>15.88-0-2-ERW 1-PE</t>
        </is>
      </c>
    </row>
    <row r="72">
      <c r="B72" t="n">
        <v>1940821</v>
      </c>
      <c r="D72" t="n">
        <v>1939986</v>
      </c>
      <c r="E72" t="n">
        <v>2384087</v>
      </c>
      <c r="H72" t="inlineStr">
        <is>
          <t>Indo Autotech Limited (Unit V)</t>
        </is>
      </c>
      <c r="J72" t="inlineStr">
        <is>
          <t>NASH INDUSTRIES (I) PVT LTD</t>
        </is>
      </c>
      <c r="P72" t="n">
        <v>93</v>
      </c>
      <c r="Q72" t="n">
        <v>94</v>
      </c>
      <c r="W72" t="inlineStr">
        <is>
          <t>34.93-0-1.6-ERW 1-PE</t>
        </is>
      </c>
      <c r="X72" t="inlineStr">
        <is>
          <t>25-25-1.2-CRFH-PE</t>
        </is>
      </c>
      <c r="Y72" t="inlineStr">
        <is>
          <t>25-25-1.2-CRFH-PE</t>
        </is>
      </c>
      <c r="AC72" t="inlineStr">
        <is>
          <t>34.93-0-2.6-ERW 1-FC</t>
        </is>
      </c>
      <c r="AD72" t="inlineStr">
        <is>
          <t>34.93-0-2.6-ERW 1-FC</t>
        </is>
      </c>
      <c r="AE72" t="inlineStr">
        <is>
          <t>34.93-0-2.6-ERW 1-FC</t>
        </is>
      </c>
      <c r="AV72" t="inlineStr">
        <is>
          <t>42.7-0-4-ERW 1-FC</t>
        </is>
      </c>
      <c r="BA72" s="557" t="n"/>
      <c r="BC72" t="inlineStr">
        <is>
          <t>15.88-0-2-ERW 1-PE</t>
        </is>
      </c>
    </row>
    <row r="73">
      <c r="B73" t="n">
        <v>1940822</v>
      </c>
      <c r="D73" t="n">
        <v>1939986</v>
      </c>
      <c r="E73" t="n">
        <v>1940120</v>
      </c>
      <c r="H73" t="inlineStr">
        <is>
          <t>FREE STOCK</t>
        </is>
      </c>
      <c r="J73" t="inlineStr">
        <is>
          <t>Sandhar Automach</t>
        </is>
      </c>
      <c r="P73" t="n">
        <v>94</v>
      </c>
      <c r="Q73" t="n">
        <v>101</v>
      </c>
      <c r="W73" t="inlineStr">
        <is>
          <t>34.93-0-1.6-ERW 1-PE</t>
        </is>
      </c>
      <c r="X73" t="inlineStr">
        <is>
          <t>25.4-0-1.2-ERW 1-PE</t>
        </is>
      </c>
      <c r="Y73" t="inlineStr">
        <is>
          <t>25.4-0-1.2-ERW 1-PE</t>
        </is>
      </c>
      <c r="AC73" t="inlineStr">
        <is>
          <t>37.6-31.2-3.2-CEW-CEW</t>
        </is>
      </c>
      <c r="AD73" t="inlineStr">
        <is>
          <t>37.6-31.2-3.2-CEW-CEW</t>
        </is>
      </c>
      <c r="AE73" t="inlineStr">
        <is>
          <t>37.6-31.2-3.2-CEW-CEW</t>
        </is>
      </c>
      <c r="AV73" t="inlineStr">
        <is>
          <t>42.7-0-4-ERW 1-FC</t>
        </is>
      </c>
      <c r="BA73" s="557" t="n"/>
      <c r="BC73" t="inlineStr">
        <is>
          <t>15.88-0-2-ERW 1-PE</t>
        </is>
      </c>
    </row>
    <row r="74">
      <c r="B74" t="n">
        <v>1940823</v>
      </c>
      <c r="D74" t="n">
        <v>1939986</v>
      </c>
      <c r="E74" t="n">
        <v>3188792</v>
      </c>
      <c r="H74" t="inlineStr">
        <is>
          <t>Tushar Steel Traders</t>
        </is>
      </c>
      <c r="J74" t="inlineStr">
        <is>
          <t>INDO AUTO</t>
        </is>
      </c>
      <c r="P74" t="n">
        <v>101</v>
      </c>
      <c r="Q74" t="n">
        <v>102</v>
      </c>
      <c r="W74" t="inlineStr">
        <is>
          <t>12.7-0-1.6-ERW 1-PE</t>
        </is>
      </c>
      <c r="X74" t="inlineStr">
        <is>
          <t>31.75-0-1.2-ERW 1-FC</t>
        </is>
      </c>
      <c r="Y74" t="inlineStr">
        <is>
          <t>31.75-0-1.2-ERW 1-FC</t>
        </is>
      </c>
      <c r="AC74" t="inlineStr">
        <is>
          <t>37.95-32-2.95-CEW-CEW</t>
        </is>
      </c>
      <c r="AD74" t="inlineStr">
        <is>
          <t>37.95-32-2.95-CEW-CEW</t>
        </is>
      </c>
      <c r="AE74" t="inlineStr">
        <is>
          <t>37.95-32-2.95-CEW-CEW</t>
        </is>
      </c>
      <c r="AV74" t="inlineStr">
        <is>
          <t>42.7-0-4-ERW 1-FC</t>
        </is>
      </c>
      <c r="BA74" s="557" t="n"/>
      <c r="BC74" t="inlineStr">
        <is>
          <t>15.88-0-2-ERW 1-PE</t>
        </is>
      </c>
    </row>
    <row r="75">
      <c r="B75" t="n">
        <v>1940825</v>
      </c>
      <c r="D75" t="n">
        <v>1939986</v>
      </c>
      <c r="E75" t="n">
        <v>2410995</v>
      </c>
      <c r="H75" t="inlineStr">
        <is>
          <t>FREE STOCK</t>
        </is>
      </c>
      <c r="J75" t="inlineStr">
        <is>
          <t>MEGH STEELS PRIVATE LIMITED</t>
        </is>
      </c>
      <c r="P75" t="n">
        <v>102</v>
      </c>
      <c r="Q75" t="n">
        <v>103</v>
      </c>
      <c r="W75" t="inlineStr">
        <is>
          <t>12.7-0-1.6-ERW 1-PE</t>
        </is>
      </c>
      <c r="X75" t="inlineStr">
        <is>
          <t>25.4-0-1.6-ERW 1-PE</t>
        </is>
      </c>
      <c r="Y75" t="inlineStr">
        <is>
          <t>25.4-0-1.6-ERW 1-PE</t>
        </is>
      </c>
      <c r="AC75" t="inlineStr">
        <is>
          <t>30-30-1.2-CRFH-PE</t>
        </is>
      </c>
      <c r="AD75" t="inlineStr">
        <is>
          <t>30-30-1.2-CRFH-PE</t>
        </is>
      </c>
      <c r="AE75" t="inlineStr">
        <is>
          <t>30-30-1.2-CRFH-PE</t>
        </is>
      </c>
      <c r="AV75" t="inlineStr">
        <is>
          <t>42.7-0-4-ERW 1-FC</t>
        </is>
      </c>
      <c r="BA75" s="557" t="n"/>
      <c r="BC75" t="inlineStr">
        <is>
          <t>15.88-0-2-ERW 1-PE</t>
        </is>
      </c>
    </row>
    <row r="76">
      <c r="B76" t="n">
        <v>1940829</v>
      </c>
      <c r="D76" t="n">
        <v>1939986</v>
      </c>
      <c r="E76" t="n">
        <v>2410996</v>
      </c>
      <c r="H76" t="inlineStr">
        <is>
          <t>SANDHAR ENGINEERING PVT LTD.(KA) -U</t>
        </is>
      </c>
      <c r="J76" t="inlineStr">
        <is>
          <t>Tushar Steel Traders</t>
        </is>
      </c>
      <c r="P76" t="n">
        <v>103</v>
      </c>
      <c r="Q76" t="n">
        <v>104</v>
      </c>
      <c r="W76" t="inlineStr">
        <is>
          <t>12.7-0-1.6-ERW 1-PE</t>
        </is>
      </c>
      <c r="X76" t="inlineStr">
        <is>
          <t>41.28-0-2.6-ERW 1-FC</t>
        </is>
      </c>
      <c r="Y76" t="inlineStr">
        <is>
          <t>41.28-0-2.6-ERW 1-FC</t>
        </is>
      </c>
      <c r="AC76" t="inlineStr">
        <is>
          <t>38.1-0-1.6-ERW 1-FC</t>
        </is>
      </c>
      <c r="AD76" t="inlineStr">
        <is>
          <t>38.1-0-1.6-ERW 1-FC</t>
        </is>
      </c>
      <c r="AE76" t="inlineStr">
        <is>
          <t>38.1-0-1.6-ERW 1-FC</t>
        </is>
      </c>
      <c r="AV76" t="inlineStr">
        <is>
          <t>42.7-0-4-ERW 1-FC</t>
        </is>
      </c>
      <c r="BA76" s="557" t="n"/>
      <c r="BC76" t="inlineStr">
        <is>
          <t>15.88-0-2-ERW 1-PE</t>
        </is>
      </c>
    </row>
    <row r="77">
      <c r="B77" t="n">
        <v>1940830</v>
      </c>
      <c r="D77" t="n">
        <v>3552188</v>
      </c>
      <c r="E77" t="n">
        <v>1938195</v>
      </c>
      <c r="H77" t="inlineStr">
        <is>
          <t>SRIKAM HITECH ENGINEERING PRIVATE L</t>
        </is>
      </c>
      <c r="J77" t="inlineStr">
        <is>
          <t>SANDHAR ENGINEERING PVT LTD.</t>
        </is>
      </c>
      <c r="P77" t="n">
        <v>104</v>
      </c>
      <c r="Q77" t="n">
        <v>105</v>
      </c>
      <c r="W77" t="inlineStr">
        <is>
          <t>12.7-0-1.6-ERW 1-PE</t>
        </is>
      </c>
      <c r="X77" t="inlineStr">
        <is>
          <t>50-30-1.6-ERW 1-FC</t>
        </is>
      </c>
      <c r="Y77" t="inlineStr">
        <is>
          <t>50-30-1.6-ERW 1-FC</t>
        </is>
      </c>
      <c r="AC77" t="inlineStr">
        <is>
          <t>38.1-0-1.6-ERW 2 MAHS-FC</t>
        </is>
      </c>
      <c r="AD77" t="inlineStr">
        <is>
          <t>38.1-0-1.6-ERW 2 MAHS-FC</t>
        </is>
      </c>
      <c r="AE77" t="inlineStr">
        <is>
          <t>38.1-0-1.6-ERW 2 MAHS-FC</t>
        </is>
      </c>
      <c r="AV77" t="inlineStr">
        <is>
          <t>42.7-0-4-ERW 1-FC</t>
        </is>
      </c>
      <c r="BA77" s="557" t="n"/>
      <c r="BC77" t="inlineStr">
        <is>
          <t>15.88-0-2-ERW 1-PE</t>
        </is>
      </c>
    </row>
    <row r="78">
      <c r="B78" t="n">
        <v>1940834</v>
      </c>
      <c r="D78" t="n">
        <v>3552188</v>
      </c>
      <c r="E78" t="n">
        <v>1225244</v>
      </c>
      <c r="H78" t="inlineStr">
        <is>
          <t>FREE STOCK</t>
        </is>
      </c>
      <c r="J78" t="inlineStr">
        <is>
          <t>ALF ENGINEERING PRIVATE LIMITED</t>
        </is>
      </c>
      <c r="P78" t="n">
        <v>105</v>
      </c>
      <c r="Q78" t="n">
        <v>106</v>
      </c>
      <c r="W78" t="inlineStr">
        <is>
          <t>12.7-0-1.6-ERW 1-PE</t>
        </is>
      </c>
      <c r="X78" t="inlineStr">
        <is>
          <t>28.58-0-1.6-ERW 1-FC</t>
        </is>
      </c>
      <c r="Y78" t="inlineStr">
        <is>
          <t>28.58-0-1.6-ERW 1-FC</t>
        </is>
      </c>
      <c r="AC78" t="inlineStr">
        <is>
          <t>38.1-0-2-ERW 1-FC</t>
        </is>
      </c>
      <c r="AD78" t="inlineStr">
        <is>
          <t>38.1-0-2-ERW 1-FC</t>
        </is>
      </c>
      <c r="AE78" t="inlineStr">
        <is>
          <t>38.1-0-2-ERW 1-FC</t>
        </is>
      </c>
      <c r="AV78" t="inlineStr">
        <is>
          <t>42.7-0-4-ERW 1-FC</t>
        </is>
      </c>
      <c r="BA78" s="557" t="n"/>
      <c r="BC78" t="inlineStr">
        <is>
          <t>16.1-0-2.8-CEW-CEW</t>
        </is>
      </c>
    </row>
    <row r="79">
      <c r="B79" t="n">
        <v>1940848</v>
      </c>
      <c r="D79" t="n">
        <v>1931117</v>
      </c>
      <c r="E79" t="n">
        <v>1931824</v>
      </c>
      <c r="H79" t="inlineStr">
        <is>
          <t>SRIKAM HITECH ENGINEERING PRIVATE L</t>
        </is>
      </c>
      <c r="J79" t="inlineStr">
        <is>
          <t>C.S.K.Tube Corporation</t>
        </is>
      </c>
      <c r="P79" t="n">
        <v>106</v>
      </c>
      <c r="Q79" t="n">
        <v>107</v>
      </c>
      <c r="W79" t="inlineStr">
        <is>
          <t>59-30-1.6-ERW-FIN CUT</t>
        </is>
      </c>
      <c r="X79" t="inlineStr">
        <is>
          <t>30-25.5-2.25-CEW-CEW</t>
        </is>
      </c>
      <c r="Y79" t="inlineStr">
        <is>
          <t>30-25.5-2.25-CEW-CEW</t>
        </is>
      </c>
      <c r="AC79" t="inlineStr">
        <is>
          <t>38.1-0-2-ERW 1-PE</t>
        </is>
      </c>
      <c r="AD79" t="inlineStr">
        <is>
          <t>38.1-0-2-ERW 1-PE</t>
        </is>
      </c>
      <c r="AE79" t="inlineStr">
        <is>
          <t>38.1-0-2-ERW 1-PE</t>
        </is>
      </c>
      <c r="AV79" t="inlineStr">
        <is>
          <t>42.7-0-4-ERW 1-FC</t>
        </is>
      </c>
      <c r="BA79" s="557" t="n"/>
      <c r="BC79" t="inlineStr">
        <is>
          <t>16.1-10.7-2.95-CEW-CEW</t>
        </is>
      </c>
    </row>
    <row r="80">
      <c r="B80" t="n">
        <v>1940849</v>
      </c>
      <c r="D80" t="n">
        <v>2288968</v>
      </c>
      <c r="E80" t="n">
        <v>3702201</v>
      </c>
      <c r="H80" t="inlineStr">
        <is>
          <t>SRIKAM HITECH ENGINEERING PRIVATE L</t>
        </is>
      </c>
      <c r="J80" t="inlineStr">
        <is>
          <t>Shri Durga Steel Tubes</t>
        </is>
      </c>
      <c r="P80" t="n">
        <v>107</v>
      </c>
      <c r="Q80" t="n">
        <v>108</v>
      </c>
      <c r="W80" t="inlineStr">
        <is>
          <t>59-30-1.6-ERW-FIN CUT</t>
        </is>
      </c>
      <c r="AC80" t="inlineStr">
        <is>
          <t>38.1-0-2.5-ERW 2 MAHS-FC</t>
        </is>
      </c>
      <c r="AD80" t="inlineStr">
        <is>
          <t>38.1-0-2.5-ERW 2 MAHS-FC</t>
        </is>
      </c>
      <c r="AE80" t="inlineStr">
        <is>
          <t>38.1-0-2.5-ERW 2 MAHS-FC</t>
        </is>
      </c>
      <c r="AV80" t="inlineStr">
        <is>
          <t>42.7-0-4-ERW 1-FC</t>
        </is>
      </c>
      <c r="BA80" s="557" t="n"/>
      <c r="BC80" t="inlineStr">
        <is>
          <t>16.1-10.4-2.7-CEW-CEW</t>
        </is>
      </c>
    </row>
    <row r="81">
      <c r="B81" t="n">
        <v>1940850</v>
      </c>
      <c r="D81" t="n">
        <v>1939991</v>
      </c>
      <c r="E81" t="n">
        <v>1938118</v>
      </c>
      <c r="H81" t="inlineStr">
        <is>
          <t>SRIKAM HITECH ENGINEERING PRIVATE L</t>
        </is>
      </c>
      <c r="J81" t="inlineStr">
        <is>
          <t>Elkayem Auto Ancillaries ( P ) LTD</t>
        </is>
      </c>
      <c r="P81" t="n">
        <v>108</v>
      </c>
      <c r="Q81" t="n">
        <v>109</v>
      </c>
      <c r="W81" t="inlineStr">
        <is>
          <t>59-30-1.6-ERW-FIN CUT</t>
        </is>
      </c>
      <c r="AC81" t="inlineStr">
        <is>
          <t>38.1-0-3.66-ERW 1-FC</t>
        </is>
      </c>
      <c r="AD81" t="inlineStr">
        <is>
          <t>38.1-0-3.66-ERW 1-FC</t>
        </is>
      </c>
      <c r="AE81" t="inlineStr">
        <is>
          <t>38.1-0-3.66-ERW 1-FC</t>
        </is>
      </c>
      <c r="AV81" t="inlineStr">
        <is>
          <t>42.7-0-4-ERW 1-FC</t>
        </is>
      </c>
      <c r="BA81" s="557" t="n"/>
      <c r="BC81" t="inlineStr">
        <is>
          <t>17.3-0-1.2-ERW 1-PE</t>
        </is>
      </c>
    </row>
    <row r="82">
      <c r="B82" t="n">
        <v>1940852</v>
      </c>
      <c r="D82" t="n">
        <v>1939991</v>
      </c>
      <c r="E82" t="n">
        <v>1938382</v>
      </c>
      <c r="H82" t="inlineStr">
        <is>
          <t>SRIKAM HITECH ENGINEERING PRIVATE L</t>
        </is>
      </c>
      <c r="J82" t="inlineStr">
        <is>
          <t>TELUGUNADU STEELS PVT LTD</t>
        </is>
      </c>
      <c r="P82" t="n">
        <v>109</v>
      </c>
      <c r="Q82" t="n">
        <v>110</v>
      </c>
      <c r="W82" t="inlineStr">
        <is>
          <t>59-30-1.6-ERW-FIN CUT</t>
        </is>
      </c>
      <c r="AC82" t="inlineStr">
        <is>
          <t>40-20-1.2-CRFH-PE</t>
        </is>
      </c>
      <c r="AD82" t="inlineStr">
        <is>
          <t>40-20-1.2-CRFH-PE</t>
        </is>
      </c>
      <c r="AE82" t="inlineStr">
        <is>
          <t>40-20-1.2-CRFH-PE</t>
        </is>
      </c>
      <c r="AV82" t="inlineStr">
        <is>
          <t>42.7-0-4-ERW 1-FC</t>
        </is>
      </c>
      <c r="BA82" s="557" t="n"/>
      <c r="BC82" t="inlineStr">
        <is>
          <t>17.3-0-1.2-ERW 1-PE</t>
        </is>
      </c>
    </row>
    <row r="83">
      <c r="B83" t="n">
        <v>1940879</v>
      </c>
      <c r="D83" t="n">
        <v>1939991</v>
      </c>
      <c r="E83" t="n">
        <v>1938119</v>
      </c>
      <c r="H83" t="inlineStr">
        <is>
          <t>SRIKAM HITECH ENGINEERING PRIVATE L</t>
        </is>
      </c>
      <c r="J83" t="inlineStr">
        <is>
          <t>Tenneco Automotive India Pvt Ltd.</t>
        </is>
      </c>
      <c r="P83" t="n">
        <v>110</v>
      </c>
      <c r="Q83" t="n">
        <v>111</v>
      </c>
      <c r="W83" t="inlineStr">
        <is>
          <t>59-30-1.6-ERW-FIN CUT</t>
        </is>
      </c>
      <c r="AC83" t="inlineStr">
        <is>
          <t>40-20-1.6-ERW 1-FC</t>
        </is>
      </c>
      <c r="AD83" t="inlineStr">
        <is>
          <t>40-20-1.6-ERW 1-FC</t>
        </is>
      </c>
      <c r="AE83" t="inlineStr">
        <is>
          <t>40-20-1.6-ERW 1-FC</t>
        </is>
      </c>
      <c r="AV83" t="inlineStr">
        <is>
          <t>42.7-0-4-ERW 1-FC</t>
        </is>
      </c>
      <c r="BA83" s="557" t="n"/>
      <c r="BC83" t="inlineStr">
        <is>
          <t>17.3-0-1.2-ERW 1-PE</t>
        </is>
      </c>
    </row>
    <row r="84">
      <c r="B84" t="n">
        <v>1940911</v>
      </c>
      <c r="D84" t="n">
        <v>1939991</v>
      </c>
      <c r="E84" t="n">
        <v>1938163</v>
      </c>
      <c r="H84" t="inlineStr">
        <is>
          <t>SRIKAM HITECH ENGINEERING PRIVATE L</t>
        </is>
      </c>
      <c r="J84" t="inlineStr">
        <is>
          <t>THAI SUMMIT</t>
        </is>
      </c>
      <c r="P84" t="n">
        <v>111</v>
      </c>
      <c r="Q84" t="n">
        <v>112</v>
      </c>
      <c r="W84" t="inlineStr">
        <is>
          <t>59-30-1.6-ERW-FIN CUT</t>
        </is>
      </c>
      <c r="AC84" t="inlineStr">
        <is>
          <t>39-34-2.5-CEW-CEW</t>
        </is>
      </c>
      <c r="AD84" t="inlineStr">
        <is>
          <t>39-34-2.5-CEW-CEW</t>
        </is>
      </c>
      <c r="AE84" t="inlineStr">
        <is>
          <t>39-34-2.5-CEW-CEW</t>
        </is>
      </c>
      <c r="AV84" t="inlineStr">
        <is>
          <t>50-30-1.6-ERW 2-FC</t>
        </is>
      </c>
      <c r="BA84" s="557" t="n"/>
      <c r="BC84" t="inlineStr">
        <is>
          <t>17.3-0-1.2-ERW 1-PE</t>
        </is>
      </c>
    </row>
    <row r="85">
      <c r="B85" t="n">
        <v>1941353</v>
      </c>
      <c r="D85" t="n">
        <v>1939991</v>
      </c>
      <c r="E85" t="n">
        <v>2410642</v>
      </c>
      <c r="H85" t="inlineStr">
        <is>
          <t>SRIKAM HITECH ENGINEERING PRIVATE L</t>
        </is>
      </c>
      <c r="J85" t="inlineStr">
        <is>
          <t>NARASIPUR AUTO</t>
        </is>
      </c>
      <c r="P85" t="n">
        <v>112</v>
      </c>
      <c r="Q85" t="n">
        <v>113</v>
      </c>
      <c r="W85" t="inlineStr">
        <is>
          <t>59-30-1.6-ERW-FIN CUT</t>
        </is>
      </c>
      <c r="AC85" t="inlineStr">
        <is>
          <t>40-25-1.6-CRFH-FC</t>
        </is>
      </c>
      <c r="AD85" t="inlineStr">
        <is>
          <t>40-25-1.6-CRFH-FC</t>
        </is>
      </c>
      <c r="AE85" t="inlineStr">
        <is>
          <t>40-25-1.6-CRFH-FC</t>
        </is>
      </c>
      <c r="AV85" t="inlineStr">
        <is>
          <t>50-30-1.6-ERW 2-FC</t>
        </is>
      </c>
      <c r="BA85" s="557" t="n"/>
      <c r="BC85" t="inlineStr">
        <is>
          <t>17.3-0-1.6-ERW 1-PE</t>
        </is>
      </c>
    </row>
    <row r="86">
      <c r="B86" t="n">
        <v>1941847</v>
      </c>
      <c r="D86" t="n">
        <v>1939991</v>
      </c>
      <c r="E86" t="n">
        <v>1938116</v>
      </c>
      <c r="H86" t="inlineStr">
        <is>
          <t>SRIKAM HITECH ENGINEERING PRIVATE L</t>
        </is>
      </c>
      <c r="J86" t="inlineStr">
        <is>
          <t>kaYJAY FORGING</t>
        </is>
      </c>
      <c r="P86" t="n">
        <v>113</v>
      </c>
      <c r="Q86" t="n">
        <v>114</v>
      </c>
      <c r="W86" t="inlineStr">
        <is>
          <t>59-30-1.6-ERW-FIN CUT</t>
        </is>
      </c>
      <c r="AC86" t="inlineStr">
        <is>
          <t>40-25-1.6-ERW 1-FC</t>
        </is>
      </c>
      <c r="AD86" t="inlineStr">
        <is>
          <t>40-25-1.6-ERW 1-FC</t>
        </is>
      </c>
      <c r="AE86" t="inlineStr">
        <is>
          <t>40-25-1.6-ERW 1-FC</t>
        </is>
      </c>
      <c r="AV86" t="inlineStr">
        <is>
          <t>50-30-1.6-ERW 2-FC</t>
        </is>
      </c>
      <c r="BA86" s="557" t="n"/>
      <c r="BC86" t="inlineStr">
        <is>
          <t>17.3-0-1.6-ERW 1-PE</t>
        </is>
      </c>
    </row>
    <row r="87">
      <c r="B87" t="n">
        <v>1941860</v>
      </c>
      <c r="D87" t="n">
        <v>1939992</v>
      </c>
      <c r="E87" t="n">
        <v>1938117</v>
      </c>
      <c r="H87" t="inlineStr">
        <is>
          <t>Neel Metal Products Limited</t>
        </is>
      </c>
      <c r="J87" t="inlineStr">
        <is>
          <t>SHETDASS ENGG</t>
        </is>
      </c>
      <c r="P87" t="n">
        <v>114</v>
      </c>
      <c r="Q87" t="n">
        <v>115</v>
      </c>
      <c r="W87" t="inlineStr">
        <is>
          <t>14-0-1.6-CEW-CEW</t>
        </is>
      </c>
      <c r="AC87" t="inlineStr">
        <is>
          <t>40-25-1.6-ERW 2-FC</t>
        </is>
      </c>
      <c r="AD87" t="inlineStr">
        <is>
          <t>40-25-1.6-ERW 2-FC</t>
        </is>
      </c>
      <c r="AE87" t="inlineStr">
        <is>
          <t>40-25-1.6-ERW 2-FC</t>
        </is>
      </c>
      <c r="AV87" t="inlineStr">
        <is>
          <t>50-30-1.6-ERW 2-FC</t>
        </is>
      </c>
      <c r="BA87" s="557" t="n"/>
      <c r="BC87" t="inlineStr">
        <is>
          <t>17.3-0-1.6-ERW 1-PE</t>
        </is>
      </c>
    </row>
    <row r="88">
      <c r="B88" t="n">
        <v>2243845</v>
      </c>
      <c r="D88" t="n">
        <v>1939992</v>
      </c>
      <c r="E88" t="n">
        <v>2288945</v>
      </c>
      <c r="H88" t="inlineStr">
        <is>
          <t>FREE STOCK</t>
        </is>
      </c>
      <c r="J88" t="inlineStr">
        <is>
          <t>Indo AutoTech</t>
        </is>
      </c>
      <c r="P88" t="n">
        <v>115</v>
      </c>
      <c r="Q88" t="n">
        <v>116</v>
      </c>
      <c r="W88" t="inlineStr">
        <is>
          <t>22.23-0-1.6-ERW 1-PE</t>
        </is>
      </c>
      <c r="AC88" t="inlineStr">
        <is>
          <t>40-25-2-ERW 1-FC</t>
        </is>
      </c>
      <c r="AD88" t="inlineStr">
        <is>
          <t>40-25-2-ERW 1-FC</t>
        </is>
      </c>
      <c r="AE88" t="inlineStr">
        <is>
          <t>40-25-2-ERW 1-FC</t>
        </is>
      </c>
      <c r="AV88" t="inlineStr">
        <is>
          <t>50-30-1.6-ERW 2-FC</t>
        </is>
      </c>
      <c r="BA88" s="557" t="n"/>
      <c r="BC88" t="inlineStr">
        <is>
          <t>17.3-0-1.6-ERW 1-PE</t>
        </is>
      </c>
    </row>
    <row r="89">
      <c r="B89" t="n">
        <v>2244449</v>
      </c>
      <c r="D89" t="n">
        <v>1939992</v>
      </c>
      <c r="E89" t="n">
        <v>2410998</v>
      </c>
      <c r="H89" t="inlineStr">
        <is>
          <t>SRIKAM HITECH ENGINEERING PRIVATE L</t>
        </is>
      </c>
      <c r="J89" t="inlineStr">
        <is>
          <t>MEGH STEELS PVT LTD - TVS</t>
        </is>
      </c>
      <c r="P89" t="n">
        <v>116</v>
      </c>
      <c r="Q89" t="n">
        <v>117</v>
      </c>
      <c r="W89" t="inlineStr">
        <is>
          <t>22.23-0-1.6-ERW 1-PE</t>
        </is>
      </c>
      <c r="AC89" t="inlineStr">
        <is>
          <t>41.28-0-2.6-ERW 1-FC</t>
        </is>
      </c>
      <c r="AD89" t="inlineStr">
        <is>
          <t>41.28-0-2.6-ERW 1-FC</t>
        </is>
      </c>
      <c r="AE89" t="inlineStr">
        <is>
          <t>41.28-0-2.6-ERW 1-FC</t>
        </is>
      </c>
      <c r="AV89" t="inlineStr">
        <is>
          <t>40-25-1.6-ERW 2-FC</t>
        </is>
      </c>
      <c r="BA89" s="557" t="n"/>
      <c r="BC89" t="inlineStr">
        <is>
          <t>17.3-0-1.6-ERW 1-PE</t>
        </is>
      </c>
    </row>
    <row r="90">
      <c r="B90" t="n">
        <v>2256593</v>
      </c>
      <c r="D90" t="n">
        <v>3432081</v>
      </c>
      <c r="E90" t="n">
        <v>3842023</v>
      </c>
      <c r="H90" t="inlineStr">
        <is>
          <t>SRIKAM HITECH ENGINEERING PRIVATE L</t>
        </is>
      </c>
      <c r="J90" t="inlineStr">
        <is>
          <t>KAYJAY FORGING/ NARASIPUR AUTO</t>
        </is>
      </c>
      <c r="P90" t="n">
        <v>117</v>
      </c>
      <c r="Q90" t="n">
        <v>118</v>
      </c>
      <c r="W90" t="inlineStr">
        <is>
          <t>22.23-0-1.6-ERW 1-PE</t>
        </is>
      </c>
      <c r="AC90" t="inlineStr">
        <is>
          <t>41.28-0-3.2-ERW 1-FC</t>
        </is>
      </c>
      <c r="AD90" t="inlineStr">
        <is>
          <t>41.28-0-3.2-ERW 1-FC</t>
        </is>
      </c>
      <c r="AE90" t="inlineStr">
        <is>
          <t>41.28-0-3.2-ERW 1-FC</t>
        </is>
      </c>
      <c r="AV90" t="inlineStr">
        <is>
          <t>40-25-1.6-ERW 2-FC</t>
        </is>
      </c>
      <c r="BA90" s="557" t="n"/>
      <c r="BC90" t="inlineStr">
        <is>
          <t>17.3-0-1.6-ERW 1-PE</t>
        </is>
      </c>
    </row>
    <row r="91">
      <c r="B91" t="n">
        <v>2320560</v>
      </c>
      <c r="D91" t="n">
        <v>3432081</v>
      </c>
      <c r="E91" t="n">
        <v>3545493</v>
      </c>
      <c r="H91" t="inlineStr">
        <is>
          <t>SRIKAM HITECH ENGINEERING PRIVATE L</t>
        </is>
      </c>
      <c r="J91" t="inlineStr">
        <is>
          <t>HITECH/METALMAN</t>
        </is>
      </c>
      <c r="P91" t="n">
        <v>118</v>
      </c>
      <c r="Q91" t="n">
        <v>119</v>
      </c>
      <c r="W91" t="inlineStr">
        <is>
          <t>22.23-0-1.6-ERW 1-PE</t>
        </is>
      </c>
      <c r="AC91" t="inlineStr">
        <is>
          <t>42.7-0-3.5-ERW 1-FC</t>
        </is>
      </c>
      <c r="AD91" t="inlineStr">
        <is>
          <t>42.7-0-3.5-ERW 1-FC</t>
        </is>
      </c>
      <c r="AE91" t="inlineStr">
        <is>
          <t>42.7-0-3.5-ERW 1-FC</t>
        </is>
      </c>
      <c r="AV91" t="inlineStr">
        <is>
          <t>40-25-1.6-ERW 2-FC</t>
        </is>
      </c>
      <c r="BA91" s="557" t="n"/>
      <c r="BC91" t="inlineStr">
        <is>
          <t>18-10.8-3.6-CEW-CEW</t>
        </is>
      </c>
    </row>
    <row r="92">
      <c r="B92" t="n">
        <v>2320566</v>
      </c>
      <c r="D92" t="n">
        <v>3432081</v>
      </c>
      <c r="E92" t="n">
        <v>3842024</v>
      </c>
      <c r="H92" t="inlineStr">
        <is>
          <t>Rajsriya Automotive Ind Pvt Ltd.</t>
        </is>
      </c>
      <c r="J92" t="inlineStr">
        <is>
          <t>METALMAN</t>
        </is>
      </c>
      <c r="P92" t="n">
        <v>119</v>
      </c>
      <c r="Q92" t="n">
        <v>120</v>
      </c>
      <c r="W92" t="inlineStr">
        <is>
          <t>22.23-0-1.6-ERW 1-PE</t>
        </is>
      </c>
      <c r="AC92" t="inlineStr">
        <is>
          <t>42.7-0-4-ERW 1-FC</t>
        </is>
      </c>
      <c r="AD92" t="inlineStr">
        <is>
          <t>42.7-0-4-ERW 1-FC</t>
        </is>
      </c>
      <c r="AE92" t="inlineStr">
        <is>
          <t>42.7-0-4-ERW 1-FC</t>
        </is>
      </c>
      <c r="AV92" t="inlineStr">
        <is>
          <t>25.4-0-2-ERW 1-FC</t>
        </is>
      </c>
      <c r="BA92" s="557" t="n"/>
      <c r="BC92" t="inlineStr">
        <is>
          <t>18.2-0-1-ERW 1-PE</t>
        </is>
      </c>
    </row>
    <row r="93">
      <c r="B93" t="n">
        <v>2325421</v>
      </c>
      <c r="D93" t="n">
        <v>3432081</v>
      </c>
      <c r="E93" t="n">
        <v>3545492</v>
      </c>
      <c r="H93" t="inlineStr">
        <is>
          <t>MEGH STEELS PRIVATE LIMITED - TVS A</t>
        </is>
      </c>
      <c r="J93" t="inlineStr">
        <is>
          <t>JBM AUTO</t>
        </is>
      </c>
      <c r="P93" t="n">
        <v>120</v>
      </c>
      <c r="Q93" t="n">
        <v>121</v>
      </c>
      <c r="W93" t="inlineStr">
        <is>
          <t>22.23-0-1.6-ERW 1-PE</t>
        </is>
      </c>
      <c r="AC93" t="inlineStr">
        <is>
          <t>40-30-1.6-ERW 1-FC</t>
        </is>
      </c>
      <c r="AD93" t="inlineStr">
        <is>
          <t>40-30-1.6-ERW 1-FC</t>
        </is>
      </c>
      <c r="AE93" t="inlineStr">
        <is>
          <t>40-30-1.6-ERW 1-FC</t>
        </is>
      </c>
      <c r="AV93" t="inlineStr">
        <is>
          <t>25.4-0-2-ERW 1-FC</t>
        </is>
      </c>
      <c r="BA93" s="557" t="n"/>
      <c r="BC93" t="inlineStr">
        <is>
          <t>18.2-0-1-ERW 1-PE</t>
        </is>
      </c>
    </row>
    <row r="94">
      <c r="B94" t="n">
        <v>2331952</v>
      </c>
      <c r="D94" t="n">
        <v>3432081</v>
      </c>
      <c r="E94" t="n">
        <v>1939459</v>
      </c>
      <c r="H94" t="inlineStr">
        <is>
          <t>ELKAYEM AUTO ANCILLARIES (PVT) LTD.</t>
        </is>
      </c>
      <c r="J94" t="inlineStr">
        <is>
          <t>KNITVEL</t>
        </is>
      </c>
      <c r="P94" t="n">
        <v>121</v>
      </c>
      <c r="Q94" t="n">
        <v>122</v>
      </c>
      <c r="W94" t="inlineStr">
        <is>
          <t>22.23-0-1.6-ERW 1-PE</t>
        </is>
      </c>
      <c r="AC94" t="inlineStr">
        <is>
          <t>40-30-2-ERW 1-FC</t>
        </is>
      </c>
      <c r="AD94" t="inlineStr">
        <is>
          <t>40-30-2-ERW 1-FC</t>
        </is>
      </c>
      <c r="AE94" t="inlineStr">
        <is>
          <t>40-30-2-ERW 1-FC</t>
        </is>
      </c>
      <c r="AV94" t="inlineStr">
        <is>
          <t>25.4-0-2-ERW 1-FC</t>
        </is>
      </c>
      <c r="BA94" s="557" t="n"/>
      <c r="BC94" t="inlineStr">
        <is>
          <t>18.2-0-1-ERW 1-PE</t>
        </is>
      </c>
    </row>
    <row r="95">
      <c r="B95" t="n">
        <v>2331953</v>
      </c>
      <c r="D95" t="n">
        <v>3432081</v>
      </c>
      <c r="E95" t="n">
        <v>3545491</v>
      </c>
      <c r="H95" t="inlineStr">
        <is>
          <t>FREE STOCK</t>
        </is>
      </c>
      <c r="J95" t="inlineStr">
        <is>
          <t>ether</t>
        </is>
      </c>
      <c r="P95" t="n">
        <v>122</v>
      </c>
      <c r="Q95" t="n">
        <v>123</v>
      </c>
      <c r="W95" t="inlineStr">
        <is>
          <t>22.23-0-1.6-ERW 1-PE</t>
        </is>
      </c>
      <c r="AC95" t="inlineStr">
        <is>
          <t>48.6-0-1.2-ERW 1-FC</t>
        </is>
      </c>
      <c r="AD95" t="inlineStr">
        <is>
          <t>48.6-0-1.2-ERW 1-FC</t>
        </is>
      </c>
      <c r="AE95" t="inlineStr">
        <is>
          <t>48.6-0-1.2-ERW 1-FC</t>
        </is>
      </c>
      <c r="AV95" t="inlineStr">
        <is>
          <t>25.4-0-2-ERW 1-FC</t>
        </is>
      </c>
      <c r="BA95" s="557" t="n"/>
      <c r="BC95" t="inlineStr">
        <is>
          <t>18.2-12.3-2.95-CEW-CEW</t>
        </is>
      </c>
    </row>
    <row r="96">
      <c r="B96" t="n">
        <v>2349249</v>
      </c>
      <c r="D96" t="n">
        <v>3432081</v>
      </c>
      <c r="E96" t="n">
        <v>1938191</v>
      </c>
      <c r="H96" t="inlineStr">
        <is>
          <t>MEGH STEELS PRIVATE LIMITED - TVS A</t>
        </is>
      </c>
      <c r="J96" t="inlineStr">
        <is>
          <t>RUCHA</t>
        </is>
      </c>
      <c r="P96" t="n">
        <v>123</v>
      </c>
      <c r="Q96" t="n">
        <v>124</v>
      </c>
      <c r="W96" t="inlineStr">
        <is>
          <t>22.23-0-1.6-ERW 1-PE</t>
        </is>
      </c>
      <c r="AC96" t="inlineStr">
        <is>
          <t>48.6-0-3.5-ERW 1-FC</t>
        </is>
      </c>
      <c r="AD96" t="inlineStr">
        <is>
          <t>48.6-0-3.5-ERW 1-FC</t>
        </is>
      </c>
      <c r="AE96" t="inlineStr">
        <is>
          <t>48.6-0-3.5-ERW 1-FC</t>
        </is>
      </c>
      <c r="AV96" t="inlineStr">
        <is>
          <t>31.75-0-1.2-ERW 1-PE</t>
        </is>
      </c>
      <c r="BA96" s="557" t="n"/>
      <c r="BC96" t="inlineStr">
        <is>
          <t>19-12.5-3.25-CEW-CEW</t>
        </is>
      </c>
    </row>
    <row r="97">
      <c r="B97" t="n">
        <v>2356405</v>
      </c>
      <c r="D97" t="n">
        <v>3432081</v>
      </c>
      <c r="E97" t="n">
        <v>2419066</v>
      </c>
      <c r="H97" t="inlineStr">
        <is>
          <t>U M A Industries</t>
        </is>
      </c>
      <c r="J97" t="inlineStr">
        <is>
          <t>SHIVAM PRIME STEELS PRIVATE LIMITED</t>
        </is>
      </c>
      <c r="P97" t="n">
        <v>124</v>
      </c>
      <c r="Q97" t="n">
        <v>125</v>
      </c>
      <c r="W97" t="inlineStr">
        <is>
          <t>22.23-0-1.6-ERW 1-PE</t>
        </is>
      </c>
      <c r="AC97" t="inlineStr">
        <is>
          <t>50-50-1.6-ERW 2-PE</t>
        </is>
      </c>
      <c r="AD97" t="inlineStr">
        <is>
          <t>50-50-1.6-ERW 2-PE</t>
        </is>
      </c>
      <c r="AE97" t="inlineStr">
        <is>
          <t>50-50-1.6-ERW 2-PE</t>
        </is>
      </c>
      <c r="AV97" t="inlineStr">
        <is>
          <t>31.75-0-1.2-ERW 1-PE</t>
        </is>
      </c>
      <c r="BA97" s="557" t="n"/>
      <c r="BC97" t="inlineStr">
        <is>
          <t>19-12.5-3.25-CEW-CEW</t>
        </is>
      </c>
    </row>
    <row r="98">
      <c r="B98" t="n">
        <v>2356445</v>
      </c>
      <c r="D98" t="n">
        <v>3432081</v>
      </c>
      <c r="E98" t="n">
        <v>3230486</v>
      </c>
      <c r="H98" t="inlineStr">
        <is>
          <t>U M A Industries</t>
        </is>
      </c>
      <c r="J98" t="inlineStr">
        <is>
          <t>SICAGEN INDIA LIMITED</t>
        </is>
      </c>
      <c r="P98" t="n">
        <v>125</v>
      </c>
      <c r="Q98" t="n">
        <v>126</v>
      </c>
      <c r="W98" t="inlineStr">
        <is>
          <t>22.23-0-1.6-ERW 1-PE</t>
        </is>
      </c>
      <c r="AC98" t="inlineStr">
        <is>
          <t>40-40-1.2-CRFH-PE</t>
        </is>
      </c>
      <c r="AD98" t="inlineStr">
        <is>
          <t>40-40-1.2-CRFH-PE</t>
        </is>
      </c>
      <c r="AE98" t="inlineStr">
        <is>
          <t>40-40-1.2-CRFH-PE</t>
        </is>
      </c>
      <c r="AV98" t="inlineStr">
        <is>
          <t>31.75-0-1.2-ERW 1-PE</t>
        </is>
      </c>
      <c r="BA98" s="557" t="n"/>
      <c r="BC98" t="inlineStr">
        <is>
          <t>19-12.5-3.25-CEW-CEW</t>
        </is>
      </c>
    </row>
    <row r="99">
      <c r="B99" t="n">
        <v>2385290</v>
      </c>
      <c r="D99" t="n">
        <v>3432081</v>
      </c>
      <c r="E99" t="n">
        <v>3571862</v>
      </c>
      <c r="H99" t="inlineStr">
        <is>
          <t>U M A Industries</t>
        </is>
      </c>
      <c r="J99" t="inlineStr">
        <is>
          <t>P E ENGINEERS PVT LIMITED</t>
        </is>
      </c>
      <c r="P99" t="n">
        <v>126</v>
      </c>
      <c r="Q99" t="n">
        <v>127</v>
      </c>
      <c r="W99" t="inlineStr">
        <is>
          <t>22.23-0-1.6-ERW 1-PE</t>
        </is>
      </c>
      <c r="AC99" t="inlineStr">
        <is>
          <t>50-30-1.6-ERW 1-FC</t>
        </is>
      </c>
      <c r="AD99" t="inlineStr">
        <is>
          <t>50-30-1.6-ERW 1-FC</t>
        </is>
      </c>
      <c r="AE99" t="inlineStr">
        <is>
          <t>50-30-1.6-ERW 1-FC</t>
        </is>
      </c>
      <c r="AV99" t="inlineStr">
        <is>
          <t>28.58-0-1.2-ERW 1-PE</t>
        </is>
      </c>
      <c r="BA99" s="557" t="n"/>
      <c r="BC99" t="inlineStr">
        <is>
          <t>19-12.5-3.25-CEW-CEW</t>
        </is>
      </c>
    </row>
    <row r="100">
      <c r="B100" t="n">
        <v>2386074</v>
      </c>
      <c r="D100" t="n">
        <v>3432081</v>
      </c>
      <c r="E100" t="n">
        <v>3584173</v>
      </c>
      <c r="H100" t="inlineStr">
        <is>
          <t>U M A Industries</t>
        </is>
      </c>
      <c r="J100" t="inlineStr">
        <is>
          <t>V.R.Steel Traders</t>
        </is>
      </c>
      <c r="P100" t="n">
        <v>127</v>
      </c>
      <c r="Q100" t="n">
        <v>128</v>
      </c>
      <c r="W100" t="inlineStr">
        <is>
          <t>22.23-0-1.6-ERW 1-PE</t>
        </is>
      </c>
      <c r="AC100" t="inlineStr">
        <is>
          <t>50-30-1.6-ERW 2-FC</t>
        </is>
      </c>
      <c r="AD100" t="inlineStr">
        <is>
          <t>50-30-1.6-ERW 2-FC</t>
        </is>
      </c>
      <c r="AE100" t="inlineStr">
        <is>
          <t>50-30-1.6-ERW 2-FC</t>
        </is>
      </c>
      <c r="AV100" t="inlineStr">
        <is>
          <t>28.58-0-1.2-ERW 1-PE</t>
        </is>
      </c>
      <c r="BA100" s="557" t="n"/>
      <c r="BC100" t="inlineStr">
        <is>
          <t>19-12.5-3.25-CEW-CEW</t>
        </is>
      </c>
    </row>
    <row r="101">
      <c r="B101" t="n">
        <v>2402914</v>
      </c>
      <c r="D101" t="n">
        <v>3432081</v>
      </c>
      <c r="E101" t="n">
        <v>3571863</v>
      </c>
      <c r="H101" t="inlineStr">
        <is>
          <t>U M A Industries</t>
        </is>
      </c>
      <c r="J101" t="inlineStr">
        <is>
          <t>Vardhman Tube Industries</t>
        </is>
      </c>
      <c r="P101" t="n">
        <v>128</v>
      </c>
      <c r="Q101" t="n">
        <v>129</v>
      </c>
      <c r="W101" t="inlineStr">
        <is>
          <t>22.23-0-1.6-ERW 1-PE</t>
        </is>
      </c>
      <c r="AC101" t="inlineStr">
        <is>
          <t>50-30-2-ERW 1-FC</t>
        </is>
      </c>
      <c r="AD101" t="inlineStr">
        <is>
          <t>50-30-2-ERW 1-FC</t>
        </is>
      </c>
      <c r="AE101" t="inlineStr">
        <is>
          <t>50-30-2-ERW 1-FC</t>
        </is>
      </c>
      <c r="AV101" t="inlineStr">
        <is>
          <t>28.58-0-1.2-ERW 1-PE</t>
        </is>
      </c>
      <c r="BA101" s="557" t="n"/>
      <c r="BC101" t="inlineStr">
        <is>
          <t>19-12.5-3.25-CEW-CEW</t>
        </is>
      </c>
    </row>
    <row r="102">
      <c r="B102" t="n">
        <v>2403383</v>
      </c>
      <c r="D102" t="n">
        <v>3432081</v>
      </c>
      <c r="E102" t="n">
        <v>3571864</v>
      </c>
      <c r="H102" t="inlineStr">
        <is>
          <t>SRIKAM HITECH ENGINEERING PRIVATE L</t>
        </is>
      </c>
      <c r="J102" t="inlineStr">
        <is>
          <t>JAICO TUBES CORPORATION- BAN</t>
        </is>
      </c>
      <c r="P102" t="n">
        <v>129</v>
      </c>
      <c r="Q102" t="n">
        <v>130</v>
      </c>
      <c r="W102" t="inlineStr">
        <is>
          <t>22.23-0-1.6-ERW 1-PE</t>
        </is>
      </c>
      <c r="AC102" t="inlineStr">
        <is>
          <t>50.8-0-1.4-ERW 2-FC</t>
        </is>
      </c>
      <c r="AD102" t="inlineStr">
        <is>
          <t>50.8-0-1.4-ERW 2-FC</t>
        </is>
      </c>
      <c r="AE102" t="inlineStr">
        <is>
          <t>50.8-0-1.4-ERW 2-FC</t>
        </is>
      </c>
      <c r="AV102" t="inlineStr">
        <is>
          <t>28.58-0-1.2-ERW 1-PE</t>
        </is>
      </c>
      <c r="BA102" s="557" t="n"/>
      <c r="BC102" t="inlineStr">
        <is>
          <t>19-12.5-3.25-CEW-CEW</t>
        </is>
      </c>
    </row>
    <row r="103">
      <c r="B103" t="n">
        <v>2403386</v>
      </c>
      <c r="D103" t="n">
        <v>3432081</v>
      </c>
      <c r="E103" t="n">
        <v>3571866</v>
      </c>
      <c r="H103" t="inlineStr">
        <is>
          <t>SRIKAM HITECH ENGINEERING PRIVATE L</t>
        </is>
      </c>
      <c r="J103" t="inlineStr">
        <is>
          <t>PAMS ENGINEERING</t>
        </is>
      </c>
      <c r="P103" t="n">
        <v>130</v>
      </c>
      <c r="Q103" t="n">
        <v>131</v>
      </c>
      <c r="W103" t="inlineStr">
        <is>
          <t>22.23-0-1.6-ERW 1-PE</t>
        </is>
      </c>
      <c r="AC103" t="inlineStr">
        <is>
          <t>50.8-0-1.6-ERW 1-FC</t>
        </is>
      </c>
      <c r="AD103" t="inlineStr">
        <is>
          <t>50.8-0-1.6-ERW 1-FC</t>
        </is>
      </c>
      <c r="AE103" t="inlineStr">
        <is>
          <t>50.8-0-1.6-ERW 1-FC</t>
        </is>
      </c>
      <c r="AV103" t="inlineStr">
        <is>
          <t>28.58-0-1.2-ERW 1-PE</t>
        </is>
      </c>
      <c r="BA103" s="557" t="n"/>
      <c r="BC103" t="inlineStr">
        <is>
          <t>19-12.5-3.25-CEW-CEW</t>
        </is>
      </c>
    </row>
    <row r="104">
      <c r="B104" t="n">
        <v>2409618</v>
      </c>
      <c r="D104" t="n">
        <v>3432081</v>
      </c>
      <c r="E104" t="n">
        <v>3838020</v>
      </c>
      <c r="H104" t="inlineStr">
        <is>
          <t>SRIKAM HITECH ENGINEERING PRIVATE L</t>
        </is>
      </c>
      <c r="J104" t="inlineStr">
        <is>
          <t>TRANSIT STOCK</t>
        </is>
      </c>
      <c r="P104" t="n">
        <v>131</v>
      </c>
      <c r="Q104" t="n">
        <v>132</v>
      </c>
      <c r="W104" t="inlineStr">
        <is>
          <t>22.23-0-1.6-ERW 1-PE</t>
        </is>
      </c>
      <c r="AC104" t="inlineStr">
        <is>
          <t>54-0-3-ERW 2-FC</t>
        </is>
      </c>
      <c r="AD104" t="inlineStr">
        <is>
          <t>54-0-3-ERW 2-FC</t>
        </is>
      </c>
      <c r="AE104" t="inlineStr">
        <is>
          <t>54-0-3-ERW 2-FC</t>
        </is>
      </c>
      <c r="AV104" t="inlineStr">
        <is>
          <t>48.6-0-1.2-ERW 1-FC</t>
        </is>
      </c>
      <c r="BA104" s="557" t="n"/>
      <c r="BC104" t="inlineStr">
        <is>
          <t>19-12.5-3.25-CEW-CEW</t>
        </is>
      </c>
    </row>
    <row r="105">
      <c r="B105" t="n">
        <v>2413708</v>
      </c>
      <c r="D105" t="n">
        <v>3432081</v>
      </c>
      <c r="E105" t="n">
        <v>3230490</v>
      </c>
      <c r="H105" t="inlineStr">
        <is>
          <t>SRIKAM HITECH ENGINEERING PRIVATE L</t>
        </is>
      </c>
      <c r="J105" t="inlineStr">
        <is>
          <t>OWERE PRECISION</t>
        </is>
      </c>
      <c r="P105" t="n">
        <v>132</v>
      </c>
      <c r="Q105" t="n">
        <v>133</v>
      </c>
      <c r="W105" t="inlineStr">
        <is>
          <t>22.23-0-1.6-ERW 1-PE</t>
        </is>
      </c>
      <c r="AC105" t="inlineStr">
        <is>
          <t>57.15-0-2-ERW 1-FC</t>
        </is>
      </c>
      <c r="AD105" t="inlineStr">
        <is>
          <t>57.15-0-2-ERW 1-FC</t>
        </is>
      </c>
      <c r="AE105" t="inlineStr">
        <is>
          <t>57.15-0-2-ERW 1-FC</t>
        </is>
      </c>
      <c r="AV105" t="inlineStr">
        <is>
          <t>48.6-0-1.2-ERW 1-FC</t>
        </is>
      </c>
      <c r="BA105" s="557" t="n"/>
      <c r="BC105" t="inlineStr">
        <is>
          <t>19-19-1-CRFH-PE</t>
        </is>
      </c>
    </row>
    <row r="106">
      <c r="B106" t="n">
        <v>2418687</v>
      </c>
      <c r="D106" t="n">
        <v>1939993</v>
      </c>
      <c r="E106" t="n">
        <v>3571867</v>
      </c>
      <c r="H106" t="inlineStr">
        <is>
          <t>SRIKAM HITECH ENGINEERING PRIVATE L</t>
        </is>
      </c>
      <c r="J106" t="inlineStr">
        <is>
          <t>SANDHAR TECHNOLOGIESPvt.Ltd.(KA)Uni</t>
        </is>
      </c>
      <c r="P106" t="n">
        <v>133</v>
      </c>
      <c r="Q106" t="n">
        <v>136</v>
      </c>
      <c r="W106" t="inlineStr">
        <is>
          <t>22.23-0-1.6-ERW 1-PE</t>
        </is>
      </c>
      <c r="AC106" t="inlineStr">
        <is>
          <t>57.15-0-2.3-ERW 2-FC</t>
        </is>
      </c>
      <c r="AD106" t="inlineStr">
        <is>
          <t>57.15-0-2.3-ERW 2-FC</t>
        </is>
      </c>
      <c r="AE106" t="inlineStr">
        <is>
          <t>57.15-0-2.3-ERW 2-FC</t>
        </is>
      </c>
      <c r="AV106" t="inlineStr">
        <is>
          <t>48.6-0-1.2-ERW 1-FC</t>
        </is>
      </c>
      <c r="BA106" s="557" t="n"/>
      <c r="BC106" t="inlineStr">
        <is>
          <t>19-19-1-CRFH-PE</t>
        </is>
      </c>
    </row>
    <row r="107">
      <c r="B107" t="n">
        <v>2420106</v>
      </c>
      <c r="D107" t="n">
        <v>1939993</v>
      </c>
      <c r="E107" t="n">
        <v>3571868</v>
      </c>
      <c r="H107" t="inlineStr">
        <is>
          <t>FREE STOCK</t>
        </is>
      </c>
      <c r="J107" t="inlineStr">
        <is>
          <t>GOLDEN INDUSTRIES</t>
        </is>
      </c>
      <c r="P107" t="n">
        <v>133</v>
      </c>
      <c r="Q107" t="n">
        <v>137</v>
      </c>
      <c r="W107" t="inlineStr">
        <is>
          <t>22.23-0-1.6-ERW 1-PE</t>
        </is>
      </c>
      <c r="AC107" t="inlineStr">
        <is>
          <t>57.15-0-2.5-ERW 1-FC</t>
        </is>
      </c>
      <c r="AD107" t="inlineStr">
        <is>
          <t>57.15-0-2.5-ERW 1-FC</t>
        </is>
      </c>
      <c r="AE107" t="inlineStr">
        <is>
          <t>57.15-0-2.5-ERW 1-FC</t>
        </is>
      </c>
      <c r="AV107" t="inlineStr">
        <is>
          <t>48.6-0-1.2-ERW 1-FC</t>
        </is>
      </c>
      <c r="BA107" s="557" t="n"/>
      <c r="BC107" t="inlineStr">
        <is>
          <t>19-19-1-CRFH-PE</t>
        </is>
      </c>
    </row>
    <row r="108">
      <c r="B108" t="n">
        <v>2420107</v>
      </c>
      <c r="D108" t="n">
        <v>1939993</v>
      </c>
      <c r="E108" t="n">
        <v>3230487</v>
      </c>
      <c r="H108" t="inlineStr">
        <is>
          <t>FREE STOCK</t>
        </is>
      </c>
      <c r="J108" t="inlineStr">
        <is>
          <t>SANDHAR ENGINEERING PRIVATE LIMITED</t>
        </is>
      </c>
      <c r="P108" t="n">
        <v>136</v>
      </c>
      <c r="Q108" t="n">
        <v>138</v>
      </c>
      <c r="W108" t="inlineStr">
        <is>
          <t>check fc usage</t>
        </is>
      </c>
      <c r="AC108" t="inlineStr">
        <is>
          <t>60.3-0-2-ERW 1-FC</t>
        </is>
      </c>
      <c r="AD108" t="inlineStr">
        <is>
          <t>60.3-0-2-ERW 1-FC</t>
        </is>
      </c>
      <c r="AE108" t="inlineStr">
        <is>
          <t>60.3-0-2-ERW 1-FC</t>
        </is>
      </c>
      <c r="AV108" t="inlineStr">
        <is>
          <t>48.6-0-1.2-ERW 1-FC</t>
        </is>
      </c>
      <c r="BA108" s="557" t="n"/>
      <c r="BC108" t="inlineStr">
        <is>
          <t>19-19-1-CRFH-PE</t>
        </is>
      </c>
    </row>
    <row r="109">
      <c r="B109" t="n">
        <v>2423535</v>
      </c>
      <c r="D109" t="n">
        <v>1939993</v>
      </c>
      <c r="E109" t="n">
        <v>3234371</v>
      </c>
      <c r="H109" t="inlineStr">
        <is>
          <t>Neel Metal Products Limited</t>
        </is>
      </c>
      <c r="J109" t="inlineStr">
        <is>
          <t>BENDTECH INDUSTRIES</t>
        </is>
      </c>
      <c r="P109" t="n">
        <v>137</v>
      </c>
      <c r="Q109" t="n">
        <v>139</v>
      </c>
      <c r="W109" t="inlineStr">
        <is>
          <t>check fc usage</t>
        </is>
      </c>
      <c r="AC109" t="inlineStr">
        <is>
          <t>63.5-0-4-ERW 1-FC</t>
        </is>
      </c>
      <c r="AD109" t="inlineStr">
        <is>
          <t>63.5-0-4-ERW 1-FC</t>
        </is>
      </c>
      <c r="AE109" t="inlineStr">
        <is>
          <t>63.5-0-4-ERW 1-FC</t>
        </is>
      </c>
      <c r="AV109" t="inlineStr">
        <is>
          <t>38.1-0-2-ERW 1-FC</t>
        </is>
      </c>
      <c r="BA109" s="557" t="n"/>
      <c r="BC109" t="inlineStr">
        <is>
          <t>19-19-1-CRFH-PE</t>
        </is>
      </c>
    </row>
    <row r="110">
      <c r="B110" t="n">
        <v>2427158</v>
      </c>
      <c r="D110" t="n">
        <v>1939993</v>
      </c>
      <c r="E110" t="n">
        <v>3230488</v>
      </c>
      <c r="H110" t="inlineStr">
        <is>
          <t>FREE STOCK</t>
        </is>
      </c>
      <c r="J110" t="inlineStr">
        <is>
          <t>DEVI DASS &amp; SONS</t>
        </is>
      </c>
      <c r="P110" t="n">
        <v>138</v>
      </c>
      <c r="Q110" t="n">
        <v>140</v>
      </c>
      <c r="W110" t="inlineStr">
        <is>
          <t>check fc usage</t>
        </is>
      </c>
      <c r="AC110" t="inlineStr">
        <is>
          <t>70-0-3.2-ERW 2-FC</t>
        </is>
      </c>
      <c r="AD110" t="inlineStr">
        <is>
          <t>70-0-3.2-ERW 2-FC</t>
        </is>
      </c>
      <c r="AE110" t="inlineStr">
        <is>
          <t>70-0-3.2-ERW 2-FC</t>
        </is>
      </c>
      <c r="AV110" t="inlineStr">
        <is>
          <t>38.1-0-2-ERW 1-FC</t>
        </is>
      </c>
      <c r="BA110" s="557" t="n"/>
      <c r="BC110" t="inlineStr">
        <is>
          <t>19-19-1-CRFH-PE</t>
        </is>
      </c>
    </row>
    <row r="111">
      <c r="B111" t="n">
        <v>2427712</v>
      </c>
      <c r="D111" t="n">
        <v>1939993</v>
      </c>
      <c r="E111" t="n">
        <v>3571869</v>
      </c>
      <c r="H111" t="inlineStr">
        <is>
          <t>Metalman Auto Private Limited</t>
        </is>
      </c>
      <c r="J111" t="inlineStr">
        <is>
          <t>A.V.M. TUBE CO.</t>
        </is>
      </c>
      <c r="P111" t="n">
        <v>139</v>
      </c>
      <c r="Q111" t="n">
        <v>141</v>
      </c>
      <c r="W111" t="inlineStr">
        <is>
          <t>15.88-0-1-ERW 1-PE</t>
        </is>
      </c>
      <c r="AC111" t="inlineStr">
        <is>
          <t>59-30-1.6-ERW-FIN CUT</t>
        </is>
      </c>
      <c r="AD111" t="inlineStr">
        <is>
          <t>59-30-1.6-ERW-FIN CUT</t>
        </is>
      </c>
      <c r="AE111" t="inlineStr">
        <is>
          <t>59-30-1.6-ERW-FIN CUT</t>
        </is>
      </c>
      <c r="AV111" t="inlineStr">
        <is>
          <t>38.1-0-2-ERW 1-FC</t>
        </is>
      </c>
      <c r="BA111" s="557" t="n"/>
      <c r="BC111" t="inlineStr">
        <is>
          <t>19-19-1-CRFH-PE</t>
        </is>
      </c>
    </row>
    <row r="112">
      <c r="B112" t="n">
        <v>2428449</v>
      </c>
      <c r="D112" t="n">
        <v>3223304</v>
      </c>
      <c r="E112" t="n">
        <v>3571870</v>
      </c>
      <c r="H112" t="inlineStr">
        <is>
          <t>Metalman Auto Private Limited</t>
        </is>
      </c>
      <c r="J112" t="inlineStr">
        <is>
          <t>SGR TRADING COMPANY</t>
        </is>
      </c>
      <c r="P112" t="n">
        <v>140</v>
      </c>
      <c r="Q112" t="n">
        <v>142</v>
      </c>
      <c r="W112" t="inlineStr">
        <is>
          <t>15.88-0-1-ERW 1-PE</t>
        </is>
      </c>
      <c r="AD112" t="n">
        <v>0</v>
      </c>
      <c r="AV112" t="inlineStr">
        <is>
          <t>38.1-0-2-ERW 1-FC</t>
        </is>
      </c>
      <c r="BA112" s="557" t="n"/>
      <c r="BC112" t="inlineStr">
        <is>
          <t>19-19-1-CRFH-PE</t>
        </is>
      </c>
    </row>
    <row r="113">
      <c r="B113" t="n">
        <v>2430125</v>
      </c>
      <c r="D113" t="n">
        <v>3223304</v>
      </c>
      <c r="E113" t="n">
        <v>3230491</v>
      </c>
      <c r="H113" t="inlineStr">
        <is>
          <t>Neel Metal Products Limited</t>
        </is>
      </c>
      <c r="J113" t="inlineStr">
        <is>
          <t>Golas Steel Tubes</t>
        </is>
      </c>
      <c r="P113" t="n">
        <v>141</v>
      </c>
      <c r="Q113" t="n">
        <v>144</v>
      </c>
      <c r="W113" t="inlineStr">
        <is>
          <t>15.88-0-1-ERW 1-PE</t>
        </is>
      </c>
      <c r="AV113" t="inlineStr">
        <is>
          <t>38.1-0-2-ERW 1-FC</t>
        </is>
      </c>
      <c r="BA113" s="557" t="n"/>
      <c r="BC113" t="inlineStr">
        <is>
          <t>19-19-1-CRFH-PE</t>
        </is>
      </c>
    </row>
    <row r="114">
      <c r="B114" t="n">
        <v>2430128</v>
      </c>
      <c r="D114" t="n">
        <v>3223304</v>
      </c>
      <c r="E114" t="n">
        <v>3572031</v>
      </c>
      <c r="H114" t="inlineStr">
        <is>
          <t>Neel Metal Products Limited</t>
        </is>
      </c>
      <c r="J114" t="inlineStr">
        <is>
          <t>Garg Steel Centre</t>
        </is>
      </c>
      <c r="P114" t="n">
        <v>142</v>
      </c>
      <c r="Q114" t="n">
        <v>145</v>
      </c>
      <c r="W114" t="inlineStr">
        <is>
          <t>31.75-0-1.2-ERW 1-PE</t>
        </is>
      </c>
      <c r="AV114" t="inlineStr">
        <is>
          <t>38.1-0-2-ERW 1-FC</t>
        </is>
      </c>
      <c r="BA114" s="557" t="n"/>
      <c r="BC114" t="inlineStr">
        <is>
          <t>19-19-1-CRFH-PE</t>
        </is>
      </c>
    </row>
    <row r="115">
      <c r="B115" t="n">
        <v>2440970</v>
      </c>
      <c r="D115" t="n">
        <v>3223304</v>
      </c>
      <c r="E115" t="n">
        <v>3572032</v>
      </c>
      <c r="H115" t="inlineStr">
        <is>
          <t>Sandhar Technologies (KA)–Unit-III</t>
        </is>
      </c>
      <c r="J115" t="inlineStr">
        <is>
          <t>SATHYA METAL PROCESS</t>
        </is>
      </c>
      <c r="P115" t="n">
        <v>144</v>
      </c>
      <c r="Q115" t="n">
        <v>146</v>
      </c>
      <c r="W115" t="inlineStr">
        <is>
          <t>31.75-0-1.2-ERW 1-PE</t>
        </is>
      </c>
      <c r="AV115" t="inlineStr">
        <is>
          <t>38.1-0-2-ERW 1-FC</t>
        </is>
      </c>
      <c r="BA115" s="557" t="n"/>
      <c r="BC115" t="inlineStr">
        <is>
          <t>19-19-1-CRFH-PE</t>
        </is>
      </c>
    </row>
    <row r="116">
      <c r="B116" t="n">
        <v>2440971</v>
      </c>
      <c r="D116" t="n">
        <v>3223304</v>
      </c>
      <c r="E116" t="n">
        <v>3572033</v>
      </c>
      <c r="H116" t="inlineStr">
        <is>
          <t>Sandhar Technologies (KA)–Unit-III</t>
        </is>
      </c>
      <c r="J116" t="inlineStr">
        <is>
          <t>GALAXY STEELS</t>
        </is>
      </c>
      <c r="P116" t="n">
        <v>145</v>
      </c>
      <c r="Q116" t="n">
        <v>147</v>
      </c>
      <c r="W116" t="inlineStr">
        <is>
          <t>31.75-0-1.2-ERW 1-PE</t>
        </is>
      </c>
      <c r="AV116" t="inlineStr">
        <is>
          <t>38.1-0-2-ERW 1-FC</t>
        </is>
      </c>
      <c r="BA116" s="557" t="n"/>
      <c r="BC116" t="inlineStr">
        <is>
          <t>19-19-1-CRFH-PE</t>
        </is>
      </c>
    </row>
    <row r="117">
      <c r="B117" t="n">
        <v>2440972</v>
      </c>
      <c r="D117" t="n">
        <v>3223304</v>
      </c>
      <c r="E117" t="n">
        <v>3230485</v>
      </c>
      <c r="H117" t="inlineStr">
        <is>
          <t>SRIKAM HITECH ENGINEERING PRIVATE L</t>
        </is>
      </c>
      <c r="J117" t="inlineStr">
        <is>
          <t>NA  STEELS AND SCRAPS</t>
        </is>
      </c>
      <c r="P117" t="n">
        <v>146</v>
      </c>
      <c r="Q117" t="n">
        <v>148</v>
      </c>
      <c r="W117" t="inlineStr">
        <is>
          <t>31.75-0-1.2-ERW 1-PE</t>
        </is>
      </c>
      <c r="AV117" t="inlineStr">
        <is>
          <t>22.23-0-2-ERW 1-PE</t>
        </is>
      </c>
      <c r="BA117" s="557" t="n"/>
      <c r="BC117" t="inlineStr">
        <is>
          <t>19-19-1-CRFH-PE</t>
        </is>
      </c>
    </row>
    <row r="118">
      <c r="B118" t="n">
        <v>3171772</v>
      </c>
      <c r="D118" t="n">
        <v>3223304</v>
      </c>
      <c r="E118" t="n">
        <v>3233560</v>
      </c>
      <c r="H118" t="inlineStr">
        <is>
          <t>RAJSRIYA AUTOMOTIVE IND. P LTD</t>
        </is>
      </c>
      <c r="J118" t="inlineStr">
        <is>
          <t>FIRETECH BOILERS PRIVATE LIMITED</t>
        </is>
      </c>
      <c r="P118" t="n">
        <v>147</v>
      </c>
      <c r="Q118" t="n">
        <v>150</v>
      </c>
      <c r="W118" t="inlineStr">
        <is>
          <t>31.75-0-1.2-ERW 1-PE</t>
        </is>
      </c>
      <c r="AV118" t="inlineStr">
        <is>
          <t>22.23-0-2-ERW 1-PE</t>
        </is>
      </c>
      <c r="BA118" s="557" t="n"/>
      <c r="BC118" t="inlineStr">
        <is>
          <t>19-19-1-CRFH-PE</t>
        </is>
      </c>
    </row>
    <row r="119">
      <c r="B119" t="n">
        <v>3191747</v>
      </c>
      <c r="D119" t="n">
        <v>3676336</v>
      </c>
      <c r="E119" t="n">
        <v>3230492</v>
      </c>
      <c r="H119" t="inlineStr">
        <is>
          <t>Rajsriya Automotive Ind.P.Ltd Unit-</t>
        </is>
      </c>
      <c r="J119" t="inlineStr">
        <is>
          <t>Garuda Pipes Private Limited</t>
        </is>
      </c>
      <c r="P119" t="n">
        <v>148</v>
      </c>
      <c r="Q119" t="n">
        <v>151</v>
      </c>
      <c r="W119" t="inlineStr">
        <is>
          <t>31.75-0-1.2-ERW 1-PE</t>
        </is>
      </c>
      <c r="AV119" t="inlineStr">
        <is>
          <t>22.23-0-2-ERW 1-PE</t>
        </is>
      </c>
      <c r="BA119" s="557" t="n"/>
      <c r="BC119" t="inlineStr">
        <is>
          <t>19-19-1-CRFH-PE</t>
        </is>
      </c>
    </row>
    <row r="120">
      <c r="B120" t="n">
        <v>3216121</v>
      </c>
      <c r="D120" t="n">
        <v>3676336</v>
      </c>
      <c r="E120" t="n">
        <v>3572034</v>
      </c>
      <c r="H120" t="inlineStr">
        <is>
          <t>RAJSRIYA AUTOMOTIVE IND. P LTD</t>
        </is>
      </c>
      <c r="J120" t="inlineStr">
        <is>
          <t>M/S.TVS MOTOR COMPANY LIMITED</t>
        </is>
      </c>
      <c r="P120" t="n">
        <v>150</v>
      </c>
      <c r="Q120" t="n">
        <v>152</v>
      </c>
      <c r="W120" t="inlineStr">
        <is>
          <t>31.75-0-1.2-ERW 1-PE</t>
        </is>
      </c>
      <c r="AV120" t="inlineStr">
        <is>
          <t>25.4-0-2.5-ERW 1-FC</t>
        </is>
      </c>
      <c r="BA120" s="557" t="n"/>
      <c r="BC120" t="inlineStr">
        <is>
          <t>19-19-1-CRFH-PE</t>
        </is>
      </c>
    </row>
    <row r="121">
      <c r="B121" t="n">
        <v>3219710</v>
      </c>
      <c r="D121" t="n">
        <v>3676336</v>
      </c>
      <c r="E121" t="n">
        <v>3572035</v>
      </c>
      <c r="H121" t="inlineStr">
        <is>
          <t>RAJSRIYA AUTOMOTIVE IND. P LTD</t>
        </is>
      </c>
      <c r="J121" t="inlineStr">
        <is>
          <t>Owari Preecision Products (India)</t>
        </is>
      </c>
      <c r="P121" t="n">
        <v>151</v>
      </c>
      <c r="Q121" t="n">
        <v>155</v>
      </c>
      <c r="W121" t="inlineStr">
        <is>
          <t>15.88-0-1.2-ERW 1-PE</t>
        </is>
      </c>
      <c r="AV121" t="inlineStr">
        <is>
          <t>25.4-0-2.5-ERW 1-FC</t>
        </is>
      </c>
      <c r="BA121" s="557" t="n"/>
      <c r="BC121" t="inlineStr">
        <is>
          <t>19-19-1-CRFH-PE</t>
        </is>
      </c>
    </row>
    <row r="122">
      <c r="B122" t="n">
        <v>3230465</v>
      </c>
      <c r="D122" t="n">
        <v>3676336</v>
      </c>
      <c r="E122" t="n">
        <v>3572036</v>
      </c>
      <c r="H122" t="inlineStr">
        <is>
          <t>RAJSRIYA AUTOMOTIVE IND. P LTD</t>
        </is>
      </c>
      <c r="J122" t="inlineStr">
        <is>
          <t>VISHAL ENTERPRISES</t>
        </is>
      </c>
      <c r="P122" t="n">
        <v>152</v>
      </c>
      <c r="Q122" t="n">
        <v>156</v>
      </c>
      <c r="W122" t="inlineStr">
        <is>
          <t>15.88-0-1.2-ERW 1-PE</t>
        </is>
      </c>
      <c r="AV122" t="inlineStr">
        <is>
          <t>25.4-0-2.5-ERW 1-FC</t>
        </is>
      </c>
      <c r="BA122" s="557" t="n"/>
      <c r="BC122" t="inlineStr">
        <is>
          <t>19-19-1-CRFH-PE</t>
        </is>
      </c>
    </row>
    <row r="123">
      <c r="B123" t="n">
        <v>3230470</v>
      </c>
      <c r="D123" t="n">
        <v>3676336</v>
      </c>
      <c r="E123" t="n">
        <v>3572037</v>
      </c>
      <c r="H123" t="inlineStr">
        <is>
          <t>SRIKAM HITECH ENGINEERING PRIVATE L</t>
        </is>
      </c>
      <c r="J123" t="inlineStr">
        <is>
          <t>FIRETECH INDUSTRIES</t>
        </is>
      </c>
      <c r="P123" t="n">
        <v>155</v>
      </c>
      <c r="Q123" t="n">
        <v>157</v>
      </c>
      <c r="W123" t="inlineStr">
        <is>
          <t>15.88-0-1.2-ERW 1-PE</t>
        </is>
      </c>
      <c r="AV123" t="inlineStr">
        <is>
          <t>25.4-0-2.5-ERW 1-FC</t>
        </is>
      </c>
      <c r="BA123" s="557" t="n"/>
      <c r="BC123" t="inlineStr">
        <is>
          <t>19-19-1-CRFH-PE</t>
        </is>
      </c>
    </row>
    <row r="124">
      <c r="B124" t="n">
        <v>3230483</v>
      </c>
      <c r="D124" t="n">
        <v>3676336</v>
      </c>
      <c r="E124" t="n">
        <v>3572038</v>
      </c>
      <c r="H124" t="inlineStr">
        <is>
          <t>FREE STOCK</t>
        </is>
      </c>
      <c r="J124" t="inlineStr">
        <is>
          <t>MAXTHERM BOILERS PRIVATE LIMITED</t>
        </is>
      </c>
      <c r="P124" t="n">
        <v>156</v>
      </c>
      <c r="Q124" t="n">
        <v>158</v>
      </c>
      <c r="W124" t="inlineStr">
        <is>
          <t>15.88-0-1.2-ERW 1-PE</t>
        </is>
      </c>
      <c r="AV124" t="inlineStr">
        <is>
          <t>31.75-0-1.2-ERW 1-FC</t>
        </is>
      </c>
      <c r="BA124" s="557" t="n"/>
      <c r="BC124" t="inlineStr">
        <is>
          <t>19-19-1-CRFH-PE</t>
        </is>
      </c>
    </row>
    <row r="125">
      <c r="B125" t="n">
        <v>3230485</v>
      </c>
      <c r="D125" t="n">
        <v>3676336</v>
      </c>
      <c r="E125" t="n">
        <v>3230494</v>
      </c>
      <c r="H125" t="inlineStr">
        <is>
          <t>Rajsriya Automotive Industries</t>
        </is>
      </c>
      <c r="J125" t="inlineStr">
        <is>
          <t>M/S VARDHMAN TUBE INDUSTRIES</t>
        </is>
      </c>
      <c r="P125" t="n">
        <v>157</v>
      </c>
      <c r="Q125" t="n">
        <v>162</v>
      </c>
      <c r="W125" t="inlineStr">
        <is>
          <t>15.88-0-1.2-ERW 1-PE</t>
        </is>
      </c>
      <c r="AV125" t="inlineStr">
        <is>
          <t>31.75-0-1.2-ERW 1-FC</t>
        </is>
      </c>
      <c r="BA125" s="557" t="n"/>
      <c r="BC125" t="inlineStr">
        <is>
          <t>19-19-1-CRFH-PE</t>
        </is>
      </c>
    </row>
    <row r="126">
      <c r="B126" t="n">
        <v>3230486</v>
      </c>
      <c r="D126" t="n">
        <v>3676336</v>
      </c>
      <c r="E126" t="n">
        <v>3572039</v>
      </c>
      <c r="H126" t="inlineStr">
        <is>
          <t>Neel Metal Products Limited</t>
        </is>
      </c>
      <c r="J126" t="inlineStr">
        <is>
          <t>TVS MOTOR COMPANY LIMITED</t>
        </is>
      </c>
      <c r="P126" t="n">
        <v>158</v>
      </c>
      <c r="Q126" t="n">
        <v>163</v>
      </c>
      <c r="W126" t="inlineStr">
        <is>
          <t>15.88-0-1.2-ERW 1-PE</t>
        </is>
      </c>
      <c r="AV126" t="inlineStr">
        <is>
          <t>31.75-0-1.2-ERW 1-FC</t>
        </is>
      </c>
      <c r="BA126" s="557" t="n"/>
      <c r="BC126" t="inlineStr">
        <is>
          <t>19-19-1-CRFH-PE</t>
        </is>
      </c>
    </row>
    <row r="127">
      <c r="B127" t="n">
        <v>3230487</v>
      </c>
      <c r="D127" t="n">
        <v>3676336</v>
      </c>
      <c r="E127" t="n">
        <v>3572040</v>
      </c>
      <c r="H127" t="inlineStr">
        <is>
          <t>Neel Metal Products Limited</t>
        </is>
      </c>
      <c r="J127" t="inlineStr">
        <is>
          <t>INDO AUTOTECH LIMITED UNIT-V</t>
        </is>
      </c>
      <c r="P127" t="n">
        <v>162</v>
      </c>
      <c r="Q127" t="n">
        <v>164</v>
      </c>
      <c r="W127" t="inlineStr">
        <is>
          <t>15.88-0-1.2-ERW 1-PE</t>
        </is>
      </c>
      <c r="AV127" t="inlineStr">
        <is>
          <t>25.4-0-2-ERW 1-FC</t>
        </is>
      </c>
      <c r="BA127" s="557" t="n"/>
      <c r="BC127" t="inlineStr">
        <is>
          <t>19-19-1-CRFH-PE</t>
        </is>
      </c>
    </row>
    <row r="128">
      <c r="B128" t="n">
        <v>3230488</v>
      </c>
      <c r="D128" t="n">
        <v>3676336</v>
      </c>
      <c r="E128" t="n">
        <v>3576132</v>
      </c>
      <c r="H128" t="inlineStr">
        <is>
          <t>RAJSRIYA AUTOMOTIVE IND. P LTD</t>
        </is>
      </c>
      <c r="J128" t="inlineStr">
        <is>
          <t>HERO MOTORS LIMITED</t>
        </is>
      </c>
      <c r="P128" t="n">
        <v>163</v>
      </c>
      <c r="Q128" t="n">
        <v>165</v>
      </c>
      <c r="W128" t="inlineStr">
        <is>
          <t>15.88-0-1.2-ERW 1-PE</t>
        </is>
      </c>
      <c r="AV128" t="inlineStr">
        <is>
          <t>41.28-0-2.6-ERW 1-FC</t>
        </is>
      </c>
      <c r="BA128" s="557" t="n"/>
      <c r="BC128" t="inlineStr">
        <is>
          <t>19-19-1-CRFH-PE</t>
        </is>
      </c>
    </row>
    <row r="129">
      <c r="B129" t="n">
        <v>3230490</v>
      </c>
      <c r="D129" t="n">
        <v>3676336</v>
      </c>
      <c r="E129" t="n">
        <v>1940146</v>
      </c>
      <c r="H129" t="inlineStr">
        <is>
          <t>RAJSRIYA AUTOMOTIVE IND. P LTD</t>
        </is>
      </c>
      <c r="J129" t="inlineStr">
        <is>
          <t>Chanda Enterprises Pvt Ltd</t>
        </is>
      </c>
      <c r="P129" t="n">
        <v>164</v>
      </c>
      <c r="Q129" t="n">
        <v>166</v>
      </c>
      <c r="W129" t="inlineStr">
        <is>
          <t>15.88-0-1.2-ERW 1-PE</t>
        </is>
      </c>
      <c r="AV129" t="inlineStr">
        <is>
          <t>25.4-0-2-ERW 1-FC</t>
        </is>
      </c>
      <c r="BA129" s="557" t="n"/>
      <c r="BC129" t="inlineStr">
        <is>
          <t>19-19-1-CRFH-PE</t>
        </is>
      </c>
    </row>
    <row r="130">
      <c r="B130" t="n">
        <v>3230491</v>
      </c>
      <c r="D130" t="n">
        <v>3676336</v>
      </c>
      <c r="E130" t="n">
        <v>3597679</v>
      </c>
      <c r="H130" t="inlineStr">
        <is>
          <t>RAJSRIYA AUTOMOTIVE IND. P LTD</t>
        </is>
      </c>
      <c r="J130" t="inlineStr">
        <is>
          <t>CHANDI CREATIVES</t>
        </is>
      </c>
      <c r="P130" t="n">
        <v>165</v>
      </c>
      <c r="Q130" t="n">
        <v>167</v>
      </c>
      <c r="W130" t="inlineStr">
        <is>
          <t>15.88-0-1.2-ERW 1-PE</t>
        </is>
      </c>
      <c r="AV130" t="inlineStr">
        <is>
          <t>25.4-0-2-ERW 1-FC</t>
        </is>
      </c>
      <c r="BA130" s="557" t="n"/>
      <c r="BC130" t="inlineStr">
        <is>
          <t>19-19-1-CRFH-PE</t>
        </is>
      </c>
    </row>
    <row r="131">
      <c r="B131" t="n">
        <v>3230492</v>
      </c>
      <c r="D131" t="n">
        <v>3676336</v>
      </c>
      <c r="E131" t="n">
        <v>3695242</v>
      </c>
      <c r="H131" t="inlineStr">
        <is>
          <t>RAJSRIYA AUTOMOTIVE IND. P LTD</t>
        </is>
      </c>
      <c r="J131" t="inlineStr">
        <is>
          <t>RANAE</t>
        </is>
      </c>
      <c r="P131" t="n">
        <v>166</v>
      </c>
      <c r="Q131" t="n">
        <v>168</v>
      </c>
      <c r="W131" t="inlineStr">
        <is>
          <t>15.88-0-1.2-ERW 1-PE</t>
        </is>
      </c>
      <c r="AV131" t="inlineStr">
        <is>
          <t>42.7-0-4-ERW 1-FC</t>
        </is>
      </c>
      <c r="BA131" s="557" t="n"/>
      <c r="BC131" t="inlineStr">
        <is>
          <t>19-19-1-CRFH-PE</t>
        </is>
      </c>
    </row>
    <row r="132">
      <c r="B132" t="n">
        <v>3230494</v>
      </c>
      <c r="D132" t="n">
        <v>1932848</v>
      </c>
      <c r="E132" t="n">
        <v>3576133</v>
      </c>
      <c r="H132" t="inlineStr">
        <is>
          <t>RAJSRIYA AUTOMOTIVE IND. P LTD</t>
        </is>
      </c>
      <c r="J132" t="inlineStr">
        <is>
          <t>Hosur EPA</t>
        </is>
      </c>
      <c r="P132" t="n">
        <v>167</v>
      </c>
      <c r="Q132" t="n">
        <v>169</v>
      </c>
      <c r="W132" t="inlineStr">
        <is>
          <t>15.88-0-1.2-ERW 1-PE</t>
        </is>
      </c>
      <c r="AV132" t="inlineStr">
        <is>
          <t>42.7-0-4-ERW 1-FC</t>
        </is>
      </c>
      <c r="BA132" s="557" t="n"/>
      <c r="BC132" t="inlineStr">
        <is>
          <t>19-19-1-CRFH-PE</t>
        </is>
      </c>
    </row>
    <row r="133">
      <c r="B133" t="n">
        <v>3230495</v>
      </c>
      <c r="D133" t="n">
        <v>1932848</v>
      </c>
      <c r="E133" t="n">
        <v>3695241</v>
      </c>
      <c r="H133" t="inlineStr">
        <is>
          <t>RAJSRIYA AUTOMOTIVE IND. P LTD</t>
        </is>
      </c>
      <c r="J133" t="inlineStr">
        <is>
          <t>Thai Summit Autoparts India Pv</t>
        </is>
      </c>
      <c r="P133" t="n">
        <v>168</v>
      </c>
      <c r="Q133" t="n">
        <v>170</v>
      </c>
      <c r="W133" t="inlineStr">
        <is>
          <t>15.88-0-1.2-ERW 1-PE</t>
        </is>
      </c>
      <c r="AV133" t="inlineStr">
        <is>
          <t>42.7-0-3.5-ERW 1-FC</t>
        </is>
      </c>
      <c r="BA133" s="557" t="n"/>
      <c r="BC133" t="inlineStr">
        <is>
          <t>19-19-1-CRFH-PE</t>
        </is>
      </c>
    </row>
    <row r="134">
      <c r="B134" t="n">
        <v>3233553</v>
      </c>
      <c r="D134" t="n">
        <v>1932848</v>
      </c>
      <c r="E134" t="n">
        <v>3605740</v>
      </c>
      <c r="H134" t="inlineStr">
        <is>
          <t>Rajsriya Automotive Ind Pvt Ltd.</t>
        </is>
      </c>
      <c r="J134" t="inlineStr">
        <is>
          <t>ELKAYEM AUTO ANCILLARIES PVT L</t>
        </is>
      </c>
      <c r="P134" t="n">
        <v>169</v>
      </c>
      <c r="Q134" t="n">
        <v>171</v>
      </c>
      <c r="W134" t="inlineStr">
        <is>
          <t>22.23-0-1.6-ERW 1-PE</t>
        </is>
      </c>
      <c r="BA134" s="557" t="n"/>
      <c r="BC134" t="inlineStr">
        <is>
          <t>19-19-1-CRFH-PE</t>
        </is>
      </c>
    </row>
    <row r="135">
      <c r="B135" t="n">
        <v>3233554</v>
      </c>
      <c r="D135" t="n">
        <v>1932848</v>
      </c>
      <c r="E135" t="n">
        <v>3605739</v>
      </c>
      <c r="H135" t="inlineStr">
        <is>
          <t>NALANDA INDUSTRIAL CORPOR</t>
        </is>
      </c>
      <c r="J135" t="inlineStr">
        <is>
          <t>SANDHAR ENGINEERING PVT LTD.(K</t>
        </is>
      </c>
      <c r="P135" t="n">
        <v>170</v>
      </c>
      <c r="Q135" t="n">
        <v>172</v>
      </c>
      <c r="W135" t="inlineStr">
        <is>
          <t>22.23-0-1.6-ERW 1-PE</t>
        </is>
      </c>
      <c r="BA135" s="557" t="n"/>
      <c r="BC135" t="inlineStr">
        <is>
          <t>19-19-1-CRFH-PE</t>
        </is>
      </c>
    </row>
    <row r="136">
      <c r="B136" t="n">
        <v>3233555</v>
      </c>
      <c r="D136" t="n">
        <v>1932848</v>
      </c>
      <c r="E136" t="n">
        <v>3234372</v>
      </c>
      <c r="H136" t="inlineStr">
        <is>
          <t>MEGH STEELS PRIVATE LIMITED - TVS A</t>
        </is>
      </c>
      <c r="J136" t="inlineStr">
        <is>
          <t>NAHARS ENGINEERING INDIA PRIVA</t>
        </is>
      </c>
      <c r="P136" t="n">
        <v>171</v>
      </c>
      <c r="Q136" t="n">
        <v>173</v>
      </c>
      <c r="W136" t="inlineStr">
        <is>
          <t>15.88-0-1.2-ERW 1-PE</t>
        </is>
      </c>
      <c r="BA136" s="557" t="n"/>
      <c r="BC136" t="inlineStr">
        <is>
          <t>19-19-1-CRFH-PE</t>
        </is>
      </c>
    </row>
    <row r="137">
      <c r="B137" t="n">
        <v>3233556</v>
      </c>
      <c r="D137" t="n">
        <v>1932848</v>
      </c>
      <c r="E137" t="n">
        <v>1940151</v>
      </c>
      <c r="H137" t="inlineStr">
        <is>
          <t>FREE STOCK</t>
        </is>
      </c>
      <c r="J137" t="inlineStr">
        <is>
          <t>MEGH STEELS PRIVATE LIMITED -</t>
        </is>
      </c>
      <c r="P137" t="n">
        <v>172</v>
      </c>
      <c r="Q137" t="n">
        <v>174</v>
      </c>
      <c r="W137" t="inlineStr">
        <is>
          <t>15.88-0-1.2-ERW 1-PE</t>
        </is>
      </c>
      <c r="BA137" s="557" t="n"/>
      <c r="BC137" t="inlineStr">
        <is>
          <t>19-19-1-CRFH-PE</t>
        </is>
      </c>
    </row>
    <row r="138">
      <c r="B138" t="n">
        <v>3233557</v>
      </c>
      <c r="D138" t="n">
        <v>1932848</v>
      </c>
      <c r="E138" t="n">
        <v>3676019</v>
      </c>
      <c r="H138" t="inlineStr">
        <is>
          <t>FREE STOCK</t>
        </is>
      </c>
      <c r="J138" t="inlineStr">
        <is>
          <t>SAKURA AUTOPARTS INDIA PRIVATE</t>
        </is>
      </c>
      <c r="P138" t="n">
        <v>173</v>
      </c>
      <c r="Q138" t="n">
        <v>175</v>
      </c>
      <c r="W138" t="inlineStr">
        <is>
          <t>15.88-0-1.2-ERW 1-PE</t>
        </is>
      </c>
      <c r="BA138" s="557" t="n"/>
      <c r="BC138" t="inlineStr">
        <is>
          <t>19-19-1-CRFH-PE</t>
        </is>
      </c>
    </row>
    <row r="139">
      <c r="B139" t="n">
        <v>3233558</v>
      </c>
      <c r="D139" t="n">
        <v>1932848</v>
      </c>
      <c r="E139" t="n">
        <v>3676020</v>
      </c>
      <c r="H139" t="inlineStr">
        <is>
          <t>FREE STOCK</t>
        </is>
      </c>
      <c r="J139" t="inlineStr">
        <is>
          <t>ELKAYEM AUTO ANCILLARIES (PVT)</t>
        </is>
      </c>
      <c r="P139" t="n">
        <v>174</v>
      </c>
      <c r="Q139" t="n">
        <v>176</v>
      </c>
      <c r="W139" t="inlineStr">
        <is>
          <t>15.88-0-1.2-ERW 1-PE</t>
        </is>
      </c>
      <c r="BA139" s="557" t="n"/>
      <c r="BC139" t="inlineStr">
        <is>
          <t>19-19-1-CRFH-PE</t>
        </is>
      </c>
    </row>
    <row r="140">
      <c r="B140" t="n">
        <v>3233559</v>
      </c>
      <c r="D140" t="n">
        <v>1932848</v>
      </c>
      <c r="E140" t="n">
        <v>3676021</v>
      </c>
      <c r="H140" t="inlineStr">
        <is>
          <t>FREE STOCK</t>
        </is>
      </c>
      <c r="J140" t="inlineStr">
        <is>
          <t>A.R.Automotive And Engg Indust</t>
        </is>
      </c>
      <c r="P140" t="n">
        <v>175</v>
      </c>
      <c r="Q140" t="n">
        <v>177</v>
      </c>
      <c r="W140" t="inlineStr">
        <is>
          <t>15.88-0-1.2-ERW 1-PE</t>
        </is>
      </c>
      <c r="BA140" s="557" t="n"/>
      <c r="BC140" t="inlineStr">
        <is>
          <t>19-19-1-CRFH-PE</t>
        </is>
      </c>
    </row>
    <row r="141">
      <c r="B141" t="n">
        <v>3234371</v>
      </c>
      <c r="D141" t="n">
        <v>1932848</v>
      </c>
      <c r="E141" t="n">
        <v>3676022</v>
      </c>
      <c r="H141" t="inlineStr">
        <is>
          <t>Rajsriya Automotive Industries</t>
        </is>
      </c>
      <c r="J141" t="inlineStr">
        <is>
          <t>SRIKAM HITECH ENGINEERING PRIV</t>
        </is>
      </c>
      <c r="P141" t="n">
        <v>176</v>
      </c>
      <c r="Q141" t="n">
        <v>179</v>
      </c>
      <c r="W141" t="inlineStr">
        <is>
          <t>15.88-0-1.2-ERW 1-PE</t>
        </is>
      </c>
      <c r="BA141" s="557" t="n"/>
      <c r="BC141" t="inlineStr">
        <is>
          <t>19-19-1-CRFH-PE</t>
        </is>
      </c>
    </row>
    <row r="142">
      <c r="B142" t="n">
        <v>3234372</v>
      </c>
      <c r="D142" t="n">
        <v>1932848</v>
      </c>
      <c r="E142" t="n">
        <v>3676023</v>
      </c>
      <c r="H142" t="inlineStr">
        <is>
          <t>Rajsriya Automotive Industries</t>
        </is>
      </c>
      <c r="J142" t="inlineStr">
        <is>
          <t>Sandhar EngineeringPvt.Ltd.(KA</t>
        </is>
      </c>
      <c r="P142" t="n">
        <v>177</v>
      </c>
      <c r="Q142" t="n">
        <v>180</v>
      </c>
      <c r="W142" t="inlineStr">
        <is>
          <t>15.88-0-1.2-ERW 1-PE</t>
        </is>
      </c>
      <c r="BA142" s="557" t="n"/>
      <c r="BC142" t="inlineStr">
        <is>
          <t>19-19-1-CRFH-PE</t>
        </is>
      </c>
    </row>
    <row r="143">
      <c r="B143" t="n">
        <v>3409366</v>
      </c>
      <c r="D143" t="n">
        <v>1932848</v>
      </c>
      <c r="E143" t="n">
        <v>3676024</v>
      </c>
      <c r="H143" t="inlineStr">
        <is>
          <t>Neel Metal Products Limited</t>
        </is>
      </c>
      <c r="J143" t="inlineStr">
        <is>
          <t>Tisco Tubes C/A -Hosur</t>
        </is>
      </c>
      <c r="P143" t="n">
        <v>179</v>
      </c>
      <c r="Q143" t="n">
        <v>183</v>
      </c>
      <c r="W143" t="inlineStr">
        <is>
          <t>15.88-0-1.2-ERW 1-PE</t>
        </is>
      </c>
      <c r="BA143" s="557" t="n"/>
      <c r="BC143" t="inlineStr">
        <is>
          <t>19-19-1.2-CRFH-PE</t>
        </is>
      </c>
    </row>
    <row r="144">
      <c r="B144" t="n">
        <v>3409367</v>
      </c>
      <c r="D144" t="n">
        <v>1932848</v>
      </c>
      <c r="E144" t="n">
        <v>3676025</v>
      </c>
      <c r="H144" t="inlineStr">
        <is>
          <t>Surya Steels</t>
        </is>
      </c>
      <c r="J144" t="inlineStr">
        <is>
          <t>Sandhar Technologies (KA)–Unit</t>
        </is>
      </c>
      <c r="P144" t="n">
        <v>180</v>
      </c>
      <c r="Q144" t="n">
        <v>184</v>
      </c>
      <c r="W144" t="inlineStr">
        <is>
          <t>15.88-0-1.2-ERW 1-PE</t>
        </is>
      </c>
      <c r="BA144" s="557" t="n"/>
      <c r="BC144" t="inlineStr">
        <is>
          <t>19-19-1.2-CRFH-PE</t>
        </is>
      </c>
    </row>
    <row r="145">
      <c r="B145" t="n">
        <v>3441727</v>
      </c>
      <c r="D145" t="n">
        <v>1932848</v>
      </c>
      <c r="E145" t="n">
        <v>3676026</v>
      </c>
      <c r="H145" t="inlineStr">
        <is>
          <t>SRIKAM HITECH ENGINEERING PRIVATE L</t>
        </is>
      </c>
      <c r="J145" t="inlineStr">
        <is>
          <t>ELKAYEM AUTO ANCILLARIES PRIVA</t>
        </is>
      </c>
      <c r="P145" t="n">
        <v>183</v>
      </c>
      <c r="Q145" t="n">
        <v>185</v>
      </c>
      <c r="W145" t="inlineStr">
        <is>
          <t>19.05-0-1.6-ERW 1-PE</t>
        </is>
      </c>
      <c r="BA145" s="557" t="n"/>
      <c r="BC145" t="inlineStr">
        <is>
          <t>check for ALF</t>
        </is>
      </c>
    </row>
    <row r="146">
      <c r="B146" t="n">
        <v>3500352</v>
      </c>
      <c r="D146" t="n">
        <v>1932848</v>
      </c>
      <c r="E146" t="n">
        <v>3676027</v>
      </c>
      <c r="H146" t="inlineStr">
        <is>
          <t>SANDHAR ENGINEERING PVT LTD.(KA) -U</t>
        </is>
      </c>
      <c r="J146" t="inlineStr">
        <is>
          <t>Marathwada Auto Compo Pvt. Ltd</t>
        </is>
      </c>
      <c r="P146" t="n">
        <v>184</v>
      </c>
      <c r="Q146" t="n">
        <v>186</v>
      </c>
      <c r="W146" t="inlineStr">
        <is>
          <t>19.05-0-1.6-ERW 1-PE</t>
        </is>
      </c>
      <c r="BA146" s="557" t="n"/>
      <c r="BC146" t="inlineStr">
        <is>
          <t>check for ALF</t>
        </is>
      </c>
    </row>
    <row r="147">
      <c r="B147" t="n">
        <v>3502422</v>
      </c>
      <c r="D147" t="n">
        <v>1939994</v>
      </c>
      <c r="E147" t="n">
        <v>3676028</v>
      </c>
      <c r="H147" t="inlineStr">
        <is>
          <t>SANDHAR ENGINEERING PVT LTD.(KA) -U</t>
        </is>
      </c>
      <c r="J147" t="inlineStr">
        <is>
          <t>LAXMI METAL PRESSING WORKS PVT</t>
        </is>
      </c>
      <c r="P147" t="n">
        <v>185</v>
      </c>
      <c r="Q147" t="n">
        <v>187</v>
      </c>
      <c r="W147" t="inlineStr">
        <is>
          <t>19.05-0-1.6-ERW 1-PE</t>
        </is>
      </c>
      <c r="BA147" s="557" t="n"/>
      <c r="BC147" t="inlineStr">
        <is>
          <t>check for ALF</t>
        </is>
      </c>
    </row>
    <row r="148">
      <c r="B148" t="n">
        <v>3506173</v>
      </c>
      <c r="D148" t="n">
        <v>1939994</v>
      </c>
      <c r="E148" t="n">
        <v>3676029</v>
      </c>
      <c r="H148" t="inlineStr">
        <is>
          <t>SANDHAR ENGINEERING PVT LTD.(KA) -U</t>
        </is>
      </c>
      <c r="J148" t="inlineStr">
        <is>
          <t>Hosur Tube Plant</t>
        </is>
      </c>
      <c r="P148" t="n">
        <v>186</v>
      </c>
      <c r="Q148" t="n">
        <v>188</v>
      </c>
      <c r="W148" t="inlineStr">
        <is>
          <t>22.23-0-2-ERW 1-PE</t>
        </is>
      </c>
      <c r="BA148" s="557" t="n"/>
      <c r="BC148" t="inlineStr">
        <is>
          <t>check for ALF</t>
        </is>
      </c>
    </row>
    <row r="149">
      <c r="B149" t="n">
        <v>3507336</v>
      </c>
      <c r="D149" t="n">
        <v>1939994</v>
      </c>
      <c r="E149" t="n">
        <v>3676030</v>
      </c>
      <c r="H149" t="inlineStr">
        <is>
          <t>SANDHAR ENGINEERING PVT LTD.(KA) -U</t>
        </is>
      </c>
      <c r="J149" t="inlineStr">
        <is>
          <t>Sri Sai Tubes And Pipes</t>
        </is>
      </c>
      <c r="P149" t="n">
        <v>187</v>
      </c>
      <c r="Q149" t="n">
        <v>189</v>
      </c>
      <c r="W149" t="inlineStr">
        <is>
          <t>22.23-0-2-ERW 1-PE</t>
        </is>
      </c>
      <c r="BA149" s="557" t="n"/>
      <c r="BC149" t="inlineStr">
        <is>
          <t>check for ALF</t>
        </is>
      </c>
    </row>
    <row r="150">
      <c r="B150" t="n">
        <v>3508742</v>
      </c>
      <c r="D150" t="n">
        <v>1939994</v>
      </c>
      <c r="E150" t="n">
        <v>3676031</v>
      </c>
      <c r="H150" t="inlineStr">
        <is>
          <t>Indo Autotech Limited (Unit V)</t>
        </is>
      </c>
      <c r="J150" t="inlineStr">
        <is>
          <t>M/S TAJ TRADING CORPORATION</t>
        </is>
      </c>
      <c r="P150" t="n">
        <v>188</v>
      </c>
      <c r="Q150" t="n">
        <v>190</v>
      </c>
      <c r="W150" t="inlineStr">
        <is>
          <t>22.23-0-2-ERW 1-PE</t>
        </is>
      </c>
      <c r="BA150" s="557" t="n"/>
      <c r="BC150" t="inlineStr">
        <is>
          <t>check for ALF</t>
        </is>
      </c>
    </row>
    <row r="151">
      <c r="B151" t="n">
        <v>3508992</v>
      </c>
      <c r="D151" t="n">
        <v>1939994</v>
      </c>
      <c r="E151" t="n">
        <v>3676032</v>
      </c>
      <c r="H151" t="inlineStr">
        <is>
          <t>ELKAYEM AUTO ANCILLARIES (PVT) LTD.</t>
        </is>
      </c>
      <c r="J151" t="inlineStr">
        <is>
          <t>KAY JAY FORGINGS LIMITED</t>
        </is>
      </c>
      <c r="P151" t="n">
        <v>189</v>
      </c>
      <c r="Q151" t="n">
        <v>191</v>
      </c>
      <c r="W151" t="inlineStr">
        <is>
          <t>19.05-0-2.3-ERW 1-PE</t>
        </is>
      </c>
      <c r="BA151" s="557" t="n"/>
      <c r="BC151" t="inlineStr">
        <is>
          <t>check for ALF</t>
        </is>
      </c>
    </row>
    <row r="152">
      <c r="B152" t="n">
        <v>3509030</v>
      </c>
      <c r="D152" t="n">
        <v>1939994</v>
      </c>
      <c r="E152" t="n">
        <v>3676033</v>
      </c>
      <c r="H152" t="inlineStr">
        <is>
          <t>Metalman Auto Private Limited</t>
        </is>
      </c>
      <c r="J152" t="inlineStr">
        <is>
          <t>MYSORE PIPE SUPPLIERS</t>
        </is>
      </c>
      <c r="P152" t="n">
        <v>190</v>
      </c>
      <c r="Q152" t="n">
        <v>192</v>
      </c>
      <c r="W152" t="inlineStr">
        <is>
          <t>19.05-0-2.3-ERW 1-PE</t>
        </is>
      </c>
      <c r="BA152" s="557" t="n"/>
      <c r="BC152" t="inlineStr">
        <is>
          <t>check for ALF</t>
        </is>
      </c>
    </row>
    <row r="153">
      <c r="B153" t="n">
        <v>3509633</v>
      </c>
      <c r="D153" t="n">
        <v>1939994</v>
      </c>
      <c r="E153" t="n">
        <v>3676034</v>
      </c>
      <c r="H153" t="inlineStr">
        <is>
          <t>Neel Metal Products Limited</t>
        </is>
      </c>
      <c r="J153" t="inlineStr">
        <is>
          <t>ADISHWAR STEELS</t>
        </is>
      </c>
      <c r="P153" t="n">
        <v>191</v>
      </c>
      <c r="Q153" t="n">
        <v>193</v>
      </c>
      <c r="W153" t="inlineStr">
        <is>
          <t>19.05-0-2.3-ERW 1-PE</t>
        </is>
      </c>
      <c r="BA153" s="557" t="n"/>
      <c r="BC153" t="inlineStr">
        <is>
          <t>check for ALF</t>
        </is>
      </c>
    </row>
    <row r="154">
      <c r="B154" t="n">
        <v>3509640</v>
      </c>
      <c r="D154" t="n">
        <v>1939994</v>
      </c>
      <c r="E154" t="n">
        <v>3676035</v>
      </c>
      <c r="H154" t="inlineStr">
        <is>
          <t>U M A Industries</t>
        </is>
      </c>
      <c r="J154" t="inlineStr">
        <is>
          <t>SANDHAR ENGINEERING PVTLTD(KA)U-III</t>
        </is>
      </c>
      <c r="P154" t="n">
        <v>192</v>
      </c>
      <c r="Q154" t="n">
        <v>194</v>
      </c>
      <c r="W154" t="inlineStr">
        <is>
          <t>22.23-0-2-ERW 1-PE</t>
        </is>
      </c>
      <c r="BA154" s="557" t="n"/>
      <c r="BC154" t="inlineStr">
        <is>
          <t>check for ALF</t>
        </is>
      </c>
    </row>
    <row r="155">
      <c r="B155" t="n">
        <v>3514376</v>
      </c>
      <c r="D155" t="n">
        <v>1939994</v>
      </c>
      <c r="E155" t="n">
        <v>3676036</v>
      </c>
      <c r="H155" t="inlineStr">
        <is>
          <t>MEGH STEELS PRIVATE LIMITED - TVS A</t>
        </is>
      </c>
      <c r="J155" t="inlineStr">
        <is>
          <t>SANDHAR ENGINEERING PVTLTD (KA)UIII</t>
        </is>
      </c>
      <c r="P155" t="n">
        <v>193</v>
      </c>
      <c r="Q155" t="n">
        <v>195</v>
      </c>
      <c r="W155" t="inlineStr">
        <is>
          <t>22.23-0-2-ERW 1-PE</t>
        </is>
      </c>
      <c r="BA155" s="557" t="n"/>
      <c r="BC155" t="inlineStr">
        <is>
          <t>check for ALF</t>
        </is>
      </c>
    </row>
    <row r="156">
      <c r="B156" t="n">
        <v>3515489</v>
      </c>
      <c r="D156" t="n">
        <v>1939994</v>
      </c>
      <c r="E156" t="n">
        <v>3576136</v>
      </c>
      <c r="H156" t="inlineStr">
        <is>
          <t>Neel Metal Products Limited</t>
        </is>
      </c>
      <c r="J156" t="inlineStr">
        <is>
          <t>NY TECH BOILER TUBES CORPORATION</t>
        </is>
      </c>
      <c r="P156" t="n">
        <v>194</v>
      </c>
      <c r="Q156" t="n">
        <v>196</v>
      </c>
      <c r="W156" t="inlineStr">
        <is>
          <t>22.23-0-2-ERW 1-PE</t>
        </is>
      </c>
      <c r="BA156" s="557" t="n"/>
      <c r="BC156" t="inlineStr">
        <is>
          <t>check for ALF</t>
        </is>
      </c>
    </row>
    <row r="157">
      <c r="B157" t="n">
        <v>3515521</v>
      </c>
      <c r="D157" t="n">
        <v>1939994</v>
      </c>
      <c r="E157" t="n">
        <v>2426140</v>
      </c>
      <c r="H157" t="inlineStr">
        <is>
          <t>Metalman Auto Private Limited</t>
        </is>
      </c>
      <c r="J157" t="inlineStr">
        <is>
          <t>Metalman Auto Private Limited</t>
        </is>
      </c>
      <c r="P157" t="n">
        <v>195</v>
      </c>
      <c r="Q157" t="n">
        <v>197</v>
      </c>
      <c r="W157" t="inlineStr">
        <is>
          <t>22.23-0-2-ERW 1-PE</t>
        </is>
      </c>
      <c r="BA157" s="557" t="n"/>
      <c r="BC157" t="inlineStr">
        <is>
          <t>check for ALF</t>
        </is>
      </c>
    </row>
    <row r="158">
      <c r="B158" t="n">
        <v>3517682</v>
      </c>
      <c r="D158" t="n">
        <v>2440974</v>
      </c>
      <c r="E158" t="n">
        <v>3635694</v>
      </c>
      <c r="H158" t="inlineStr">
        <is>
          <t>Neel Metal Products Limited</t>
        </is>
      </c>
      <c r="J158" t="inlineStr">
        <is>
          <t>A.S.(E) Exports Pvt.Ltd.</t>
        </is>
      </c>
      <c r="P158" t="n">
        <v>196</v>
      </c>
      <c r="Q158" t="n">
        <v>198</v>
      </c>
      <c r="W158" t="inlineStr">
        <is>
          <t>22.23-0-2-ERW 1-PE</t>
        </is>
      </c>
      <c r="BA158" s="557" t="n"/>
      <c r="BC158" t="inlineStr">
        <is>
          <t>check for ALF</t>
        </is>
      </c>
    </row>
    <row r="159">
      <c r="B159" t="n">
        <v>3517684</v>
      </c>
      <c r="D159" t="n">
        <v>2440974</v>
      </c>
      <c r="E159" t="n">
        <v>3518158</v>
      </c>
      <c r="H159" t="inlineStr">
        <is>
          <t>Neel Metal Products Limited</t>
        </is>
      </c>
      <c r="J159" t="inlineStr">
        <is>
          <t>TARANG ENGINEERING PVT.LTD</t>
        </is>
      </c>
      <c r="P159" t="n">
        <v>197</v>
      </c>
      <c r="Q159" t="n">
        <v>199</v>
      </c>
      <c r="W159" t="inlineStr">
        <is>
          <t>15.88-0-1.6-ERW 1-PE</t>
        </is>
      </c>
      <c r="BA159" s="557" t="n"/>
      <c r="BC159" t="inlineStr">
        <is>
          <t>check for ALF</t>
        </is>
      </c>
    </row>
    <row r="160">
      <c r="B160" t="n">
        <v>3518158</v>
      </c>
      <c r="D160" t="n">
        <v>2440974</v>
      </c>
      <c r="E160" t="n">
        <v>3409366</v>
      </c>
      <c r="H160" t="inlineStr">
        <is>
          <t>Surya Steels</t>
        </is>
      </c>
      <c r="J160" t="inlineStr">
        <is>
          <t>SHIVAMPRIME STEELS PRIVATE LIMITED</t>
        </is>
      </c>
      <c r="P160" t="n">
        <v>198</v>
      </c>
      <c r="Q160" t="n">
        <v>200</v>
      </c>
      <c r="W160" t="inlineStr">
        <is>
          <t>15.88-0-1.6-ERW 1-PE</t>
        </is>
      </c>
      <c r="BA160" s="557" t="n"/>
      <c r="BC160" t="inlineStr">
        <is>
          <t>check for ALF</t>
        </is>
      </c>
    </row>
    <row r="161">
      <c r="B161" t="n">
        <v>3531648</v>
      </c>
      <c r="D161" t="n">
        <v>1939996</v>
      </c>
      <c r="E161" t="n">
        <v>3239890</v>
      </c>
      <c r="H161" t="inlineStr">
        <is>
          <t>Surya Steels</t>
        </is>
      </c>
      <c r="P161" t="n">
        <v>199</v>
      </c>
      <c r="Q161" t="n">
        <v>201</v>
      </c>
      <c r="W161" t="inlineStr">
        <is>
          <t>38.1-0-2-ERW 1-FC</t>
        </is>
      </c>
      <c r="BA161" s="557" t="n"/>
      <c r="BC161" t="inlineStr">
        <is>
          <t>check for ALF</t>
        </is>
      </c>
    </row>
    <row r="162">
      <c r="B162" t="n">
        <v>3531649</v>
      </c>
      <c r="D162" t="n">
        <v>1939996</v>
      </c>
      <c r="E162" t="n">
        <v>1936576</v>
      </c>
      <c r="H162" t="inlineStr">
        <is>
          <t>Surya Steels</t>
        </is>
      </c>
      <c r="P162" t="n">
        <v>200</v>
      </c>
      <c r="Q162" t="n">
        <v>202</v>
      </c>
      <c r="W162" t="inlineStr">
        <is>
          <t>38.1-0-2-ERW 1-FC</t>
        </is>
      </c>
      <c r="BA162" s="557" t="n"/>
      <c r="BC162" t="inlineStr">
        <is>
          <t>check for ALF</t>
        </is>
      </c>
    </row>
    <row r="163">
      <c r="B163" t="n">
        <v>3533164</v>
      </c>
      <c r="D163" t="n">
        <v>1939996</v>
      </c>
      <c r="E163" t="n">
        <v>3675612</v>
      </c>
      <c r="H163" t="inlineStr">
        <is>
          <t>Sri Balaji Gears</t>
        </is>
      </c>
      <c r="P163" t="n">
        <v>201</v>
      </c>
      <c r="Q163" t="n">
        <v>203</v>
      </c>
      <c r="W163" t="inlineStr">
        <is>
          <t>38.1-0-2-ERW 1-FC</t>
        </is>
      </c>
      <c r="BA163" s="557" t="n"/>
      <c r="BC163" t="inlineStr">
        <is>
          <t>19-19-1.2-CRFH-PE</t>
        </is>
      </c>
    </row>
    <row r="164">
      <c r="B164" t="n">
        <v>3535743</v>
      </c>
      <c r="D164" t="n">
        <v>1939996</v>
      </c>
      <c r="E164" t="n">
        <v>2409616</v>
      </c>
      <c r="H164" t="inlineStr">
        <is>
          <t>Sri Balaji Gears</t>
        </is>
      </c>
      <c r="P164" t="n">
        <v>202</v>
      </c>
      <c r="Q164" t="n">
        <v>204</v>
      </c>
      <c r="W164" t="inlineStr">
        <is>
          <t>38.1-0-2-ERW 1-FC</t>
        </is>
      </c>
      <c r="BA164" s="557" t="n"/>
      <c r="BC164" t="inlineStr">
        <is>
          <t>19.05-0-1-ERW 1-PE</t>
        </is>
      </c>
    </row>
    <row r="165">
      <c r="B165" t="n">
        <v>3541434</v>
      </c>
      <c r="D165" t="n">
        <v>1939996</v>
      </c>
      <c r="E165" t="n">
        <v>3506438</v>
      </c>
      <c r="H165" t="inlineStr">
        <is>
          <t>Sri Balaji Gears</t>
        </is>
      </c>
      <c r="P165" t="n">
        <v>203</v>
      </c>
      <c r="Q165" t="n">
        <v>205</v>
      </c>
      <c r="W165" t="inlineStr">
        <is>
          <t>38.1-0-2-ERW 1-FC</t>
        </is>
      </c>
      <c r="BA165" s="557" t="n"/>
      <c r="BC165" t="inlineStr">
        <is>
          <t>19.05-0-1-ERW 1-PE</t>
        </is>
      </c>
    </row>
    <row r="166">
      <c r="B166" t="n">
        <v>3556680</v>
      </c>
      <c r="D166" t="n">
        <v>1939996</v>
      </c>
      <c r="E166" t="n">
        <v>1940188</v>
      </c>
      <c r="H166" t="inlineStr">
        <is>
          <t>Sri Balaji Gears</t>
        </is>
      </c>
      <c r="P166" t="n">
        <v>204</v>
      </c>
      <c r="Q166" t="n">
        <v>206</v>
      </c>
      <c r="W166" t="inlineStr">
        <is>
          <t>38.1-0-2-ERW 1-FC</t>
        </is>
      </c>
      <c r="BA166" s="557" t="n"/>
      <c r="BC166" t="inlineStr">
        <is>
          <t>19.05-0-1-ERW 1-PE</t>
        </is>
      </c>
    </row>
    <row r="167">
      <c r="B167" t="n">
        <v>3557791</v>
      </c>
      <c r="D167" t="n">
        <v>3676337</v>
      </c>
      <c r="E167" t="n">
        <v>3675616</v>
      </c>
      <c r="H167" t="inlineStr">
        <is>
          <t>Sri Balaji Gears</t>
        </is>
      </c>
      <c r="P167" t="n">
        <v>205</v>
      </c>
      <c r="Q167" t="n">
        <v>207</v>
      </c>
      <c r="W167" t="inlineStr">
        <is>
          <t>38.1-0-2-ERW 1-FC</t>
        </is>
      </c>
      <c r="BA167" s="557" t="n"/>
      <c r="BC167" t="inlineStr">
        <is>
          <t>19.05-0-1.2-ERW 1-PE</t>
        </is>
      </c>
    </row>
    <row r="168">
      <c r="B168" t="n">
        <v>3569429</v>
      </c>
      <c r="D168" t="n">
        <v>3676337</v>
      </c>
      <c r="E168" t="n">
        <v>1937022</v>
      </c>
      <c r="H168" t="inlineStr">
        <is>
          <t>Marathwada Auto Compo Pvt. Ltd.</t>
        </is>
      </c>
      <c r="P168" t="n">
        <v>206</v>
      </c>
      <c r="Q168" t="n">
        <v>208</v>
      </c>
      <c r="W168" t="inlineStr">
        <is>
          <t>38.1-0-2-ERW 1-FC</t>
        </is>
      </c>
      <c r="BA168" s="557" t="n"/>
      <c r="BC168" t="inlineStr">
        <is>
          <t>19.05-0-1.2-ERW 1-PE</t>
        </is>
      </c>
    </row>
    <row r="169">
      <c r="B169" t="n">
        <v>3571864</v>
      </c>
      <c r="D169" t="n">
        <v>3676337</v>
      </c>
      <c r="E169" t="n">
        <v>3781600</v>
      </c>
      <c r="H169" t="inlineStr">
        <is>
          <t>Marathwada Auto Compo Pvt. Ltd.</t>
        </is>
      </c>
      <c r="P169" t="n">
        <v>207</v>
      </c>
      <c r="Q169" t="n">
        <v>209</v>
      </c>
      <c r="W169" t="inlineStr">
        <is>
          <t>38.1-0-2-ERW 1-FC</t>
        </is>
      </c>
      <c r="BA169" s="557" t="n"/>
      <c r="BC169" t="inlineStr">
        <is>
          <t>19.05-0-1.2-ERW 1-PE</t>
        </is>
      </c>
    </row>
    <row r="170">
      <c r="B170" t="n">
        <v>3571866</v>
      </c>
      <c r="D170" t="n">
        <v>3676337</v>
      </c>
      <c r="E170" t="n">
        <v>1940189</v>
      </c>
      <c r="H170" t="inlineStr">
        <is>
          <t>Marathwada Auto Compo Pvt. Ltd.</t>
        </is>
      </c>
      <c r="P170" t="n">
        <v>207</v>
      </c>
      <c r="Q170" t="n">
        <v>210</v>
      </c>
      <c r="W170" t="inlineStr">
        <is>
          <t>15.88-0-1.6-ERW 1-PE</t>
        </is>
      </c>
      <c r="BA170" s="557" t="n"/>
      <c r="BC170" t="inlineStr">
        <is>
          <t>check for ALF</t>
        </is>
      </c>
    </row>
    <row r="171">
      <c r="B171" t="n">
        <v>3571867</v>
      </c>
      <c r="D171" t="n">
        <v>3676337</v>
      </c>
      <c r="E171" t="n">
        <v>296369</v>
      </c>
      <c r="H171" t="inlineStr">
        <is>
          <t>Marathwada Auto Compo Pvt. Ltd.</t>
        </is>
      </c>
      <c r="P171" t="n">
        <v>208</v>
      </c>
      <c r="Q171" t="n">
        <v>211</v>
      </c>
      <c r="W171" t="inlineStr">
        <is>
          <t>15.88-0-1.6-ERW 1-PE</t>
        </is>
      </c>
      <c r="BA171" s="557" t="n"/>
      <c r="BC171" t="inlineStr">
        <is>
          <t>19.05-0-1.2-ERW 1-PE</t>
        </is>
      </c>
    </row>
    <row r="172">
      <c r="B172" t="n">
        <v>3571868</v>
      </c>
      <c r="D172" t="n">
        <v>3676337</v>
      </c>
      <c r="E172" t="n">
        <v>3675617</v>
      </c>
      <c r="H172" t="inlineStr">
        <is>
          <t>Marathwada Auto Compo Pvt. Ltd.</t>
        </is>
      </c>
      <c r="P172" t="n">
        <v>208</v>
      </c>
      <c r="Q172" t="n">
        <v>212</v>
      </c>
      <c r="W172" t="inlineStr">
        <is>
          <t>15.88-0-1.6-ERW 1-PE</t>
        </is>
      </c>
      <c r="BA172" s="557" t="n"/>
      <c r="BC172" t="inlineStr">
        <is>
          <t>19.05-0-1.2-ERW 1-PE</t>
        </is>
      </c>
    </row>
    <row r="173">
      <c r="B173" t="n">
        <v>3571869</v>
      </c>
      <c r="D173" t="n">
        <v>3676337</v>
      </c>
      <c r="E173" t="n">
        <v>3675618</v>
      </c>
      <c r="H173" t="inlineStr">
        <is>
          <t>Marathwada Auto Compo Pvt. Ltd.</t>
        </is>
      </c>
      <c r="P173" t="n">
        <v>209</v>
      </c>
      <c r="Q173" t="n">
        <v>213</v>
      </c>
      <c r="W173" t="inlineStr">
        <is>
          <t>15.88-0-1.6-ERW 1-PE</t>
        </is>
      </c>
      <c r="BA173" s="557" t="n"/>
      <c r="BC173" t="inlineStr">
        <is>
          <t>19.05-0-1.2-ERW 1-PE</t>
        </is>
      </c>
    </row>
    <row r="174">
      <c r="B174" t="n">
        <v>3571870</v>
      </c>
      <c r="D174" t="n">
        <v>3676337</v>
      </c>
      <c r="E174" t="n">
        <v>3675619</v>
      </c>
      <c r="H174" t="inlineStr">
        <is>
          <t>Marathwada Auto Compo Pvt. Ltd.</t>
        </is>
      </c>
      <c r="P174" t="n">
        <v>209</v>
      </c>
      <c r="Q174" t="n">
        <v>214</v>
      </c>
      <c r="W174" t="inlineStr">
        <is>
          <t>15.88-0-1.6-ERW 1-PE</t>
        </is>
      </c>
      <c r="BA174" s="557" t="n"/>
      <c r="BC174" t="inlineStr">
        <is>
          <t>check for ALF</t>
        </is>
      </c>
    </row>
    <row r="175">
      <c r="B175" t="n">
        <v>3572031</v>
      </c>
      <c r="D175" t="n">
        <v>3676337</v>
      </c>
      <c r="E175" t="n">
        <v>3675620</v>
      </c>
      <c r="H175" t="inlineStr">
        <is>
          <t>Sri Balaji Gears</t>
        </is>
      </c>
      <c r="P175" t="n">
        <v>210</v>
      </c>
      <c r="Q175" t="n">
        <v>215</v>
      </c>
      <c r="W175" t="inlineStr">
        <is>
          <t>15.88-0-1.6-ERW 1-PE</t>
        </is>
      </c>
      <c r="BA175" s="557" t="n"/>
      <c r="BC175" t="inlineStr">
        <is>
          <t>19.05-0-1.2-ERW 1-PE</t>
        </is>
      </c>
    </row>
    <row r="176">
      <c r="B176" t="n">
        <v>3572032</v>
      </c>
      <c r="D176" t="n">
        <v>3676337</v>
      </c>
      <c r="E176" t="n">
        <v>3675641</v>
      </c>
      <c r="H176" t="inlineStr">
        <is>
          <t>Sri Balaji Gears</t>
        </is>
      </c>
      <c r="P176" t="n">
        <v>211</v>
      </c>
      <c r="Q176" t="n">
        <v>216</v>
      </c>
      <c r="W176" t="inlineStr">
        <is>
          <t>19.05-0-2.3-ERW 1-PE</t>
        </is>
      </c>
      <c r="BA176" s="557" t="n"/>
      <c r="BC176" t="inlineStr">
        <is>
          <t>19.05-0-1.2-ERW 1-PE</t>
        </is>
      </c>
    </row>
    <row r="177">
      <c r="B177" t="n">
        <v>3572033</v>
      </c>
      <c r="D177" t="n">
        <v>3676337</v>
      </c>
      <c r="E177" t="n">
        <v>3675642</v>
      </c>
      <c r="H177" t="inlineStr">
        <is>
          <t>Sri Balaji Gears</t>
        </is>
      </c>
      <c r="P177" t="n">
        <v>212</v>
      </c>
      <c r="Q177" t="n">
        <v>221</v>
      </c>
      <c r="W177" t="inlineStr">
        <is>
          <t>19.05-0-2.3-ERW 1-PE</t>
        </is>
      </c>
      <c r="BA177" s="557" t="n"/>
      <c r="BC177" t="inlineStr">
        <is>
          <t>19.05-0-1.2-ERW 1-PE</t>
        </is>
      </c>
    </row>
    <row r="178">
      <c r="B178" t="n">
        <v>3572034</v>
      </c>
      <c r="D178" t="n">
        <v>3676337</v>
      </c>
      <c r="E178" t="n">
        <v>3675643</v>
      </c>
      <c r="H178" t="inlineStr">
        <is>
          <t>Marathwada Auto Compo Pvt. Ltd.</t>
        </is>
      </c>
      <c r="P178" t="n">
        <v>213</v>
      </c>
      <c r="Q178" t="n">
        <v>222</v>
      </c>
      <c r="W178" t="inlineStr">
        <is>
          <t>22.23-0-1.6-ERW 1-PE</t>
        </is>
      </c>
      <c r="BA178" s="557" t="n"/>
      <c r="BC178" t="inlineStr">
        <is>
          <t>19.05-0-1.2-ERW 1-PE</t>
        </is>
      </c>
    </row>
    <row r="179">
      <c r="B179" t="n">
        <v>3572035</v>
      </c>
      <c r="D179" t="n">
        <v>3676337</v>
      </c>
      <c r="E179" t="n">
        <v>3675644</v>
      </c>
      <c r="H179" t="inlineStr">
        <is>
          <t>NAHARS ENGINEERING INDIA PRIVATE LI</t>
        </is>
      </c>
      <c r="P179" t="n">
        <v>214</v>
      </c>
      <c r="Q179" t="n">
        <v>223</v>
      </c>
      <c r="W179" t="inlineStr">
        <is>
          <t>22.23-0-1.6-ERW 1-PE</t>
        </is>
      </c>
      <c r="BA179" s="557" t="n"/>
      <c r="BC179" t="inlineStr">
        <is>
          <t>check for ALF</t>
        </is>
      </c>
    </row>
    <row r="180">
      <c r="B180" t="n">
        <v>3572036</v>
      </c>
      <c r="D180" t="n">
        <v>3676337</v>
      </c>
      <c r="E180" t="n">
        <v>3229740</v>
      </c>
      <c r="H180" t="inlineStr">
        <is>
          <t>Neel Metal Products Limited</t>
        </is>
      </c>
      <c r="P180" t="n">
        <v>215</v>
      </c>
      <c r="Q180" t="n">
        <v>224</v>
      </c>
      <c r="W180" t="inlineStr">
        <is>
          <t>22.23-0-2-ERW 1-PE</t>
        </is>
      </c>
      <c r="BA180" s="557" t="n"/>
      <c r="BC180" t="inlineStr">
        <is>
          <t>check for ALF</t>
        </is>
      </c>
    </row>
    <row r="181">
      <c r="B181" t="n">
        <v>3572037</v>
      </c>
      <c r="D181" t="n">
        <v>1940003</v>
      </c>
      <c r="E181" t="n">
        <v>3675645</v>
      </c>
      <c r="H181" t="inlineStr">
        <is>
          <t>Neel Metal Products Limited</t>
        </is>
      </c>
      <c r="P181" t="n">
        <v>216</v>
      </c>
      <c r="Q181" t="n">
        <v>225</v>
      </c>
      <c r="W181" t="inlineStr">
        <is>
          <t>22.23-0-2-ERW 1-PE</t>
        </is>
      </c>
      <c r="BA181" s="557" t="n"/>
      <c r="BC181" t="inlineStr">
        <is>
          <t>check for ALF</t>
        </is>
      </c>
    </row>
    <row r="182">
      <c r="B182" t="n">
        <v>3572038</v>
      </c>
      <c r="D182" t="n">
        <v>1940003</v>
      </c>
      <c r="E182" t="n">
        <v>3675646</v>
      </c>
      <c r="H182" t="inlineStr">
        <is>
          <t>Indo Autotech Limited (Unit V)</t>
        </is>
      </c>
      <c r="P182" t="n">
        <v>228</v>
      </c>
      <c r="Q182" t="n">
        <v>226</v>
      </c>
      <c r="W182" t="inlineStr">
        <is>
          <t>22.23-0-2-ERW 1-PE</t>
        </is>
      </c>
      <c r="BA182" s="557" t="n"/>
      <c r="BC182" t="inlineStr">
        <is>
          <t>check for ALF</t>
        </is>
      </c>
    </row>
    <row r="183">
      <c r="B183" t="n">
        <v>3572039</v>
      </c>
      <c r="D183" t="n">
        <v>1940003</v>
      </c>
      <c r="E183" t="n">
        <v>3675647</v>
      </c>
      <c r="H183" t="inlineStr">
        <is>
          <t>Indo Autotech Limited (Unit V)</t>
        </is>
      </c>
      <c r="P183" t="n">
        <v>229</v>
      </c>
      <c r="Q183" t="n">
        <v>227</v>
      </c>
      <c r="W183" t="inlineStr">
        <is>
          <t>15.88-0-2-ERW 1-PE</t>
        </is>
      </c>
      <c r="BA183" s="557" t="n"/>
      <c r="BC183" t="inlineStr">
        <is>
          <t>check for ALF</t>
        </is>
      </c>
    </row>
    <row r="184">
      <c r="B184" t="n">
        <v>3572040</v>
      </c>
      <c r="D184" t="n">
        <v>3172238</v>
      </c>
      <c r="E184" t="n">
        <v>3229739</v>
      </c>
      <c r="H184" t="inlineStr">
        <is>
          <t>Sri Balaji Gears</t>
        </is>
      </c>
      <c r="P184" t="n">
        <v>231</v>
      </c>
      <c r="Q184" t="n">
        <v>228</v>
      </c>
      <c r="W184" t="inlineStr">
        <is>
          <t>15.88-0-2-ERW 1-PE</t>
        </is>
      </c>
      <c r="BA184" s="557" t="n"/>
      <c r="BC184" t="inlineStr">
        <is>
          <t>check for ALF</t>
        </is>
      </c>
    </row>
    <row r="185">
      <c r="B185" t="n">
        <v>3572043</v>
      </c>
      <c r="D185" t="n">
        <v>3172238</v>
      </c>
      <c r="E185" t="n">
        <v>3509884</v>
      </c>
      <c r="H185" t="inlineStr">
        <is>
          <t>SANDHAR ENGINEERING PVT LTD.(KA) -U</t>
        </is>
      </c>
      <c r="P185" t="n">
        <v>236</v>
      </c>
      <c r="Q185" t="n">
        <v>229</v>
      </c>
      <c r="W185" t="inlineStr">
        <is>
          <t>15.88-0-2-ERW 1-PE</t>
        </is>
      </c>
      <c r="BA185" s="557" t="n"/>
      <c r="BC185" t="inlineStr">
        <is>
          <t>check for ALF</t>
        </is>
      </c>
    </row>
    <row r="186">
      <c r="B186" t="n">
        <v>3572044</v>
      </c>
      <c r="D186" t="n">
        <v>3172238</v>
      </c>
      <c r="E186" t="n">
        <v>2409617</v>
      </c>
      <c r="H186" t="inlineStr">
        <is>
          <t>ELKAYEM AUTO ANCILLARIES (PVT) LTD.</t>
        </is>
      </c>
      <c r="P186" t="n">
        <v>237</v>
      </c>
      <c r="Q186" t="n">
        <v>230</v>
      </c>
      <c r="W186" t="inlineStr">
        <is>
          <t>15.88-0-2-ERW 1-PE</t>
        </is>
      </c>
      <c r="BA186" s="557" t="n"/>
      <c r="BC186" t="inlineStr">
        <is>
          <t>check for ALF</t>
        </is>
      </c>
    </row>
    <row r="187">
      <c r="B187" t="n">
        <v>3572046</v>
      </c>
      <c r="D187" t="n">
        <v>3172238</v>
      </c>
      <c r="E187" t="n">
        <v>3675648</v>
      </c>
      <c r="H187" t="inlineStr">
        <is>
          <t>ELKAYEM AUTO ANCILLARIES (PVT) LTD.</t>
        </is>
      </c>
      <c r="P187" t="n">
        <v>254</v>
      </c>
      <c r="Q187" t="n">
        <v>231</v>
      </c>
      <c r="W187" t="inlineStr">
        <is>
          <t>15.88-0-2-ERW 1-PE</t>
        </is>
      </c>
      <c r="BA187" s="557" t="n"/>
      <c r="BC187" t="inlineStr">
        <is>
          <t>19.05-0-1.2-ERW 1-PE</t>
        </is>
      </c>
    </row>
    <row r="188">
      <c r="B188" t="n">
        <v>3572047</v>
      </c>
      <c r="D188" t="n">
        <v>3172238</v>
      </c>
      <c r="E188" t="n">
        <v>3409367</v>
      </c>
      <c r="H188" t="inlineStr">
        <is>
          <t>ELKAYEM AUTO ANCILLARIES (PVT) LTD.</t>
        </is>
      </c>
      <c r="P188" t="n">
        <v>255</v>
      </c>
      <c r="Q188" t="n">
        <v>236</v>
      </c>
      <c r="W188" t="inlineStr">
        <is>
          <t>15.88-0-2-ERW 1-PE</t>
        </is>
      </c>
      <c r="BA188" s="557" t="n"/>
      <c r="BC188" t="inlineStr">
        <is>
          <t>check for ALF</t>
        </is>
      </c>
    </row>
    <row r="189">
      <c r="B189" t="n">
        <v>3572048</v>
      </c>
      <c r="D189" t="n">
        <v>3172238</v>
      </c>
      <c r="E189" t="n">
        <v>3675649</v>
      </c>
      <c r="H189" t="inlineStr">
        <is>
          <t>ELKAYEM AUTO ANCILLARIES (PVT) LTD.</t>
        </is>
      </c>
      <c r="P189" t="n">
        <v>256</v>
      </c>
      <c r="Q189" t="n">
        <v>237</v>
      </c>
      <c r="W189" t="inlineStr">
        <is>
          <t>15.88-0-2-ERW 1-PE</t>
        </is>
      </c>
      <c r="BA189" s="557" t="n"/>
      <c r="BC189" t="inlineStr">
        <is>
          <t>check for ALF</t>
        </is>
      </c>
    </row>
    <row r="190">
      <c r="B190" t="n">
        <v>3572049</v>
      </c>
      <c r="D190" t="n">
        <v>3172238</v>
      </c>
      <c r="E190" t="n">
        <v>3675650</v>
      </c>
      <c r="H190" t="inlineStr">
        <is>
          <t>ELKAYEM AUTO ANCILLARIES (PVT) LTD.</t>
        </is>
      </c>
      <c r="P190" t="n">
        <v>257</v>
      </c>
      <c r="Q190" t="n">
        <v>254</v>
      </c>
      <c r="W190" t="inlineStr">
        <is>
          <t>22.23-0-2-ERW 1-PE</t>
        </is>
      </c>
      <c r="BA190" s="557" t="n"/>
      <c r="BC190" t="inlineStr">
        <is>
          <t>check for ALF</t>
        </is>
      </c>
    </row>
    <row r="191">
      <c r="B191" t="n">
        <v>3572050</v>
      </c>
      <c r="D191" t="n">
        <v>3172238</v>
      </c>
      <c r="E191" t="n">
        <v>2405724</v>
      </c>
      <c r="H191" t="inlineStr">
        <is>
          <t>ELKAYEM AUTO ANCILLARIES (PVT) LTD.</t>
        </is>
      </c>
      <c r="P191" t="n">
        <v>258</v>
      </c>
      <c r="Q191" t="n">
        <v>255</v>
      </c>
      <c r="W191" t="inlineStr">
        <is>
          <t>22.23-0-2-ERW 1-PE</t>
        </is>
      </c>
      <c r="BA191" s="557" t="n"/>
      <c r="BC191" t="inlineStr">
        <is>
          <t>19.05-0-1.2-ERW 1-PE</t>
        </is>
      </c>
    </row>
    <row r="192">
      <c r="B192" t="n">
        <v>3572051</v>
      </c>
      <c r="D192" t="n">
        <v>3172238</v>
      </c>
      <c r="E192" t="n">
        <v>2404748</v>
      </c>
      <c r="H192" t="inlineStr">
        <is>
          <t>ELKAYEM AUTO ANCILLARIES (PVT) LTD.</t>
        </is>
      </c>
      <c r="P192" t="n">
        <v>259</v>
      </c>
      <c r="Q192" t="n">
        <v>256</v>
      </c>
      <c r="W192" t="inlineStr">
        <is>
          <t>22.23-0-2-ERW 1-PE</t>
        </is>
      </c>
      <c r="BA192" s="557" t="n"/>
      <c r="BC192" t="inlineStr">
        <is>
          <t>19.05-0-1.2-ERW 1-PE</t>
        </is>
      </c>
    </row>
    <row r="193">
      <c r="B193" t="n">
        <v>3572052</v>
      </c>
      <c r="D193" t="n">
        <v>3172238</v>
      </c>
      <c r="E193" t="n">
        <v>3498996</v>
      </c>
      <c r="H193" t="inlineStr">
        <is>
          <t>ELKAYEM AUTO ANCILLARIES (PVT) LTD.</t>
        </is>
      </c>
      <c r="P193" t="n">
        <v>260</v>
      </c>
      <c r="Q193" t="n">
        <v>257</v>
      </c>
      <c r="W193" t="inlineStr">
        <is>
          <t>15.88-0-2-ERW 1-PE</t>
        </is>
      </c>
      <c r="BA193" s="557" t="n"/>
      <c r="BC193" t="inlineStr">
        <is>
          <t>19.05-0-1.2-ERW 1-PE</t>
        </is>
      </c>
    </row>
    <row r="194">
      <c r="B194" t="n">
        <v>3572053</v>
      </c>
      <c r="D194" t="n">
        <v>3172238</v>
      </c>
      <c r="E194" t="n">
        <v>1931848</v>
      </c>
      <c r="H194" t="inlineStr">
        <is>
          <t>ELKAYEM AUTO ANCILLARIES (PVT) LTD.</t>
        </is>
      </c>
      <c r="P194" t="n">
        <v>261</v>
      </c>
      <c r="Q194" t="n">
        <v>258</v>
      </c>
      <c r="W194" t="inlineStr">
        <is>
          <t>15.88-0-2-ERW 1-PE</t>
        </is>
      </c>
      <c r="BA194" s="557" t="n"/>
      <c r="BC194" t="inlineStr">
        <is>
          <t>check for ALF</t>
        </is>
      </c>
    </row>
    <row r="195">
      <c r="B195" t="n">
        <v>3572054</v>
      </c>
      <c r="D195" t="n">
        <v>3172238</v>
      </c>
      <c r="E195" t="n">
        <v>2288879</v>
      </c>
      <c r="H195" t="inlineStr">
        <is>
          <t>ELKAYEM AUTO ANCILLARIES (PVT) LTD.</t>
        </is>
      </c>
      <c r="P195" t="n">
        <v>262</v>
      </c>
      <c r="Q195" t="n">
        <v>259</v>
      </c>
      <c r="W195" t="inlineStr">
        <is>
          <t>31.75-0-2.5-ERW 1-FC</t>
        </is>
      </c>
      <c r="BA195" s="557" t="n"/>
      <c r="BC195" t="inlineStr">
        <is>
          <t>19.05-0-1.2-ERW 1-PE</t>
        </is>
      </c>
    </row>
    <row r="196">
      <c r="B196" t="n">
        <v>3572055</v>
      </c>
      <c r="D196" t="n">
        <v>3172238</v>
      </c>
      <c r="E196" t="n">
        <v>3209979</v>
      </c>
      <c r="H196" t="inlineStr">
        <is>
          <t>ELKAYEM AUTO ANCILLARIES (PVT) LTD.</t>
        </is>
      </c>
      <c r="P196" t="n">
        <v>264</v>
      </c>
      <c r="Q196" t="n">
        <v>260</v>
      </c>
      <c r="W196" t="inlineStr">
        <is>
          <t>31.75-0-2.5-ERW 1-FC</t>
        </is>
      </c>
      <c r="BA196" s="557" t="n"/>
      <c r="BC196" t="inlineStr">
        <is>
          <t>check for ALF</t>
        </is>
      </c>
    </row>
    <row r="197">
      <c r="B197" t="n">
        <v>3573306</v>
      </c>
      <c r="D197" t="n">
        <v>3172238</v>
      </c>
      <c r="E197" t="n">
        <v>3510169</v>
      </c>
      <c r="H197" t="inlineStr">
        <is>
          <t>ELKAYEM AUTO ANCILLARIES (PVT) LTD.</t>
        </is>
      </c>
      <c r="P197" t="n">
        <v>265</v>
      </c>
      <c r="Q197" t="n">
        <v>261</v>
      </c>
      <c r="W197" t="inlineStr">
        <is>
          <t>31.75-0-2.5-ERW 1-FC</t>
        </is>
      </c>
      <c r="BA197" s="557" t="n"/>
      <c r="BC197" t="inlineStr">
        <is>
          <t>check for ALF</t>
        </is>
      </c>
    </row>
    <row r="198">
      <c r="B198" t="n">
        <v>3575897</v>
      </c>
      <c r="D198" t="n">
        <v>3620427</v>
      </c>
      <c r="E198" t="n">
        <v>3838038</v>
      </c>
      <c r="H198" t="inlineStr">
        <is>
          <t>ELKAYEM AUTO ANCILLARIES (PVT) LTD.</t>
        </is>
      </c>
      <c r="P198" t="n">
        <v>266</v>
      </c>
      <c r="Q198" t="n">
        <v>262</v>
      </c>
      <c r="W198" t="inlineStr">
        <is>
          <t>31.75-0-2.5-ERW 1-FC</t>
        </is>
      </c>
      <c r="BA198" s="557" t="n"/>
      <c r="BC198" t="inlineStr">
        <is>
          <t>not mine</t>
        </is>
      </c>
    </row>
    <row r="199">
      <c r="B199" t="n">
        <v>3576136</v>
      </c>
      <c r="D199" t="n">
        <v>3620427</v>
      </c>
      <c r="E199" t="n">
        <v>3850310</v>
      </c>
      <c r="H199" t="inlineStr">
        <is>
          <t>ELKAYEM AUTO ANCILLARIES (PVT) LTD.</t>
        </is>
      </c>
      <c r="P199" t="n">
        <v>279</v>
      </c>
      <c r="Q199" t="n">
        <v>264</v>
      </c>
      <c r="W199" t="inlineStr">
        <is>
          <t>31.75-0-2.5-ERW 1-FC</t>
        </is>
      </c>
      <c r="BA199" s="557" t="n"/>
      <c r="BC199" t="inlineStr">
        <is>
          <t>not mine</t>
        </is>
      </c>
    </row>
    <row r="200">
      <c r="B200" t="n">
        <v>3577684</v>
      </c>
      <c r="D200" t="n">
        <v>3620427</v>
      </c>
      <c r="E200" t="n">
        <v>3484653</v>
      </c>
      <c r="H200" t="inlineStr">
        <is>
          <t>ELKAYEM AUTO ANCILLARIES (PVT) LTD.</t>
        </is>
      </c>
      <c r="P200" t="n">
        <v>312</v>
      </c>
      <c r="Q200" t="n">
        <v>265</v>
      </c>
      <c r="W200" t="inlineStr">
        <is>
          <t>31.75-0-2.5-ERW 1-FC</t>
        </is>
      </c>
      <c r="BA200" s="557" t="n"/>
      <c r="BC200" t="inlineStr">
        <is>
          <t>not mine</t>
        </is>
      </c>
    </row>
    <row r="201">
      <c r="B201" t="n">
        <v>3584171</v>
      </c>
      <c r="D201" t="n">
        <v>3620427</v>
      </c>
      <c r="E201" t="n">
        <v>3217232</v>
      </c>
      <c r="H201" t="inlineStr">
        <is>
          <t>ELKAYEM AUTO ANCILLARIES (PVT) LTD.</t>
        </is>
      </c>
      <c r="P201" t="n">
        <v>313</v>
      </c>
      <c r="Q201" t="n">
        <v>266</v>
      </c>
      <c r="W201" t="inlineStr">
        <is>
          <t>38.1-0-1.6-ERW 2 MAHS-FC</t>
        </is>
      </c>
      <c r="BA201" s="557" t="n"/>
      <c r="BC201" t="inlineStr">
        <is>
          <t>not mine</t>
        </is>
      </c>
    </row>
    <row r="202">
      <c r="B202" t="n">
        <v>3584172</v>
      </c>
      <c r="D202" t="n">
        <v>3620427</v>
      </c>
      <c r="E202" t="n">
        <v>1529261</v>
      </c>
      <c r="H202" t="inlineStr">
        <is>
          <t>ELKAYEM AUTO ANCILLARIES (PVT) LTD.</t>
        </is>
      </c>
      <c r="P202" t="n">
        <v>314</v>
      </c>
      <c r="Q202" t="n">
        <v>279</v>
      </c>
      <c r="W202" t="inlineStr">
        <is>
          <t>38.1-0-1.6-ERW 2 MAHS-FC</t>
        </is>
      </c>
      <c r="BA202" s="557" t="n"/>
      <c r="BC202" t="inlineStr">
        <is>
          <t>not mine</t>
        </is>
      </c>
    </row>
    <row r="203">
      <c r="B203" t="n">
        <v>3584174</v>
      </c>
      <c r="D203" t="n">
        <v>3620427</v>
      </c>
      <c r="E203" t="n">
        <v>1529260</v>
      </c>
      <c r="H203" t="inlineStr">
        <is>
          <t>ELKAYEM AUTO ANCILLARIES (PVT) LTD.</t>
        </is>
      </c>
      <c r="P203" t="n">
        <v>315</v>
      </c>
      <c r="Q203" t="n">
        <v>312</v>
      </c>
      <c r="W203" t="inlineStr">
        <is>
          <t>38.1-0-1.6-ERW 2 MAHS-FC</t>
        </is>
      </c>
      <c r="BA203" s="557" t="n"/>
      <c r="BC203" t="inlineStr">
        <is>
          <t>check grade tdc</t>
        </is>
      </c>
    </row>
    <row r="204">
      <c r="B204" t="n">
        <v>3586640</v>
      </c>
      <c r="D204" t="n">
        <v>3620427</v>
      </c>
      <c r="E204" t="n">
        <v>1174861</v>
      </c>
      <c r="H204" t="inlineStr">
        <is>
          <t>ELKAYEM AUTO ANCILLARIES (PVT) LTD.</t>
        </is>
      </c>
      <c r="P204" t="n">
        <v>316</v>
      </c>
      <c r="Q204" t="n">
        <v>313</v>
      </c>
      <c r="W204" t="inlineStr">
        <is>
          <t>38.1-0-2.5-ERW 2 MAHS-FC</t>
        </is>
      </c>
      <c r="BA204" s="557" t="n"/>
      <c r="BC204" t="inlineStr">
        <is>
          <t>19.05-0-1.6-ERW 1-PE</t>
        </is>
      </c>
    </row>
    <row r="205">
      <c r="B205" t="n">
        <v>3586641</v>
      </c>
      <c r="D205" t="n">
        <v>3620427</v>
      </c>
      <c r="E205" t="n">
        <v>464578</v>
      </c>
      <c r="H205" t="inlineStr">
        <is>
          <t>ELKAYEM AUTO ANCILLARIES (PVT) LTD.</t>
        </is>
      </c>
      <c r="P205" t="n">
        <v>317</v>
      </c>
      <c r="Q205" t="n">
        <v>314</v>
      </c>
      <c r="W205" t="inlineStr">
        <is>
          <t>38.1-0-2.5-ERW 2 MAHS-FC</t>
        </is>
      </c>
      <c r="BA205" s="557" t="n"/>
      <c r="BC205" t="inlineStr">
        <is>
          <t>check TDC for FC</t>
        </is>
      </c>
    </row>
    <row r="206">
      <c r="B206" t="n">
        <v>3586644</v>
      </c>
      <c r="D206" t="n">
        <v>3620427</v>
      </c>
      <c r="E206" t="n">
        <v>3187716</v>
      </c>
      <c r="H206" t="inlineStr">
        <is>
          <t>ELKAYEM AUTO ANCILLARIES (PVT) LTD.</t>
        </is>
      </c>
      <c r="P206" t="n">
        <v>318</v>
      </c>
      <c r="Q206" t="n">
        <v>315</v>
      </c>
      <c r="W206" t="inlineStr">
        <is>
          <t>38.1-0-2.5-ERW 2 MAHS-FC</t>
        </is>
      </c>
      <c r="BA206" s="557" t="n"/>
      <c r="BC206" t="inlineStr">
        <is>
          <t>19.05-0-1.6-ERW 1-PE</t>
        </is>
      </c>
    </row>
    <row r="207">
      <c r="B207" t="n">
        <v>3586645</v>
      </c>
      <c r="D207" t="n">
        <v>3620427</v>
      </c>
      <c r="E207" t="n">
        <v>3063589</v>
      </c>
      <c r="H207" t="inlineStr">
        <is>
          <t>Metalman Auto Private Limited</t>
        </is>
      </c>
      <c r="P207" t="n">
        <v>319</v>
      </c>
      <c r="Q207" t="n">
        <v>316</v>
      </c>
      <c r="W207" t="inlineStr">
        <is>
          <t>38.1-0-2.5-ERW 2 MAHS-FC</t>
        </is>
      </c>
      <c r="BA207" s="557" t="n"/>
      <c r="BC207" t="inlineStr">
        <is>
          <t>19.05-0-1.6-ERW 1-PE</t>
        </is>
      </c>
    </row>
    <row r="208">
      <c r="B208" t="n">
        <v>3605739</v>
      </c>
      <c r="D208" t="n">
        <v>3620427</v>
      </c>
      <c r="E208" t="n">
        <v>3453631</v>
      </c>
      <c r="H208" t="inlineStr">
        <is>
          <t>Rajsriya Automotive Ind Pvt Ltd.</t>
        </is>
      </c>
      <c r="P208" t="n">
        <v>321</v>
      </c>
      <c r="Q208" t="n">
        <v>317</v>
      </c>
      <c r="W208" t="inlineStr">
        <is>
          <t>38.1-0-2.5-ERW 2 MAHS-FC</t>
        </is>
      </c>
      <c r="BA208" s="557" t="n"/>
      <c r="BC208" t="inlineStr">
        <is>
          <t>19.05-0-1.6-ERW 1-PE</t>
        </is>
      </c>
    </row>
    <row r="209">
      <c r="B209" t="n">
        <v>3605740</v>
      </c>
      <c r="D209" t="n">
        <v>3620427</v>
      </c>
      <c r="E209" t="n">
        <v>2384088</v>
      </c>
      <c r="H209" t="inlineStr">
        <is>
          <t>Rajsriya Automotive Ind Pvt Ltd.</t>
        </is>
      </c>
      <c r="P209" t="n">
        <v>322</v>
      </c>
      <c r="Q209" t="n">
        <v>318</v>
      </c>
      <c r="W209" t="inlineStr">
        <is>
          <t>16.1-10.4-2.7-CEW-CEW</t>
        </is>
      </c>
      <c r="BA209" s="557" t="n"/>
      <c r="BC209" t="inlineStr">
        <is>
          <t>19.05-0-1.6-ERW 1-PE</t>
        </is>
      </c>
    </row>
    <row r="210">
      <c r="B210" t="n">
        <v>3616912</v>
      </c>
      <c r="D210" t="n">
        <v>3620427</v>
      </c>
      <c r="E210" t="n">
        <v>1531612</v>
      </c>
      <c r="H210" t="inlineStr">
        <is>
          <t>Rajsriya Automotive Ind Pvt Ltd.</t>
        </is>
      </c>
      <c r="P210" t="n">
        <v>323</v>
      </c>
      <c r="Q210" t="n">
        <v>319</v>
      </c>
      <c r="W210" t="inlineStr">
        <is>
          <t>16.1-10.4-2.7-CEW-CEW</t>
        </is>
      </c>
      <c r="BA210" s="557" t="n"/>
      <c r="BC210" t="inlineStr">
        <is>
          <t>19.05-0-1.6-ERW 1-PE</t>
        </is>
      </c>
    </row>
    <row r="211">
      <c r="B211" t="n">
        <v>3673011</v>
      </c>
      <c r="D211" t="n">
        <v>1940014</v>
      </c>
      <c r="E211" t="n">
        <v>3122347</v>
      </c>
      <c r="H211" t="inlineStr">
        <is>
          <t>ELKAYEM AUTO ANCILLARIES PVT LTD</t>
        </is>
      </c>
      <c r="P211" t="n">
        <v>324</v>
      </c>
      <c r="Q211" t="n">
        <v>321</v>
      </c>
      <c r="W211" t="inlineStr">
        <is>
          <t>16.1-10.4-2.7-CEW-CEW</t>
        </is>
      </c>
      <c r="BA211" s="557" t="n"/>
      <c r="BC211" t="inlineStr">
        <is>
          <t>19.05-0-1.6-ERW 1-PE</t>
        </is>
      </c>
    </row>
    <row r="212">
      <c r="B212" t="n">
        <v>3677047</v>
      </c>
      <c r="D212" t="n">
        <v>1940014</v>
      </c>
      <c r="E212" t="n">
        <v>3210052</v>
      </c>
      <c r="H212" t="inlineStr">
        <is>
          <t>ELKAYEM AUTO ANCILLARIES (PVT) LTD.</t>
        </is>
      </c>
      <c r="P212" t="n">
        <v>325</v>
      </c>
      <c r="Q212" t="n">
        <v>322</v>
      </c>
      <c r="W212" t="inlineStr">
        <is>
          <t>16.1-10.4-2.7-CEW-CEW</t>
        </is>
      </c>
      <c r="BA212" s="557" t="n"/>
      <c r="BC212" t="inlineStr">
        <is>
          <t>19.05-0-1.6-ERW 1-PE</t>
        </is>
      </c>
    </row>
    <row r="213">
      <c r="B213" t="n">
        <v>3677064</v>
      </c>
      <c r="D213" t="n">
        <v>1940014</v>
      </c>
      <c r="E213" t="n">
        <v>3510171</v>
      </c>
      <c r="H213" t="inlineStr">
        <is>
          <t>Sri Balaji Gears</t>
        </is>
      </c>
      <c r="P213" t="n">
        <v>326</v>
      </c>
      <c r="Q213" t="n">
        <v>323</v>
      </c>
      <c r="W213" t="inlineStr">
        <is>
          <t>16.1-10.4-2.7-CEW-CEW</t>
        </is>
      </c>
      <c r="BA213" s="557" t="n"/>
      <c r="BC213" t="inlineStr">
        <is>
          <t>19.05-0-1.6-ERW 1-PE</t>
        </is>
      </c>
    </row>
    <row r="214">
      <c r="B214" t="n">
        <v>3706751</v>
      </c>
      <c r="D214" t="n">
        <v>1940014</v>
      </c>
      <c r="E214" t="n">
        <v>3213875</v>
      </c>
      <c r="H214" t="inlineStr">
        <is>
          <t>Sri Balaji Gears</t>
        </is>
      </c>
      <c r="P214" t="n">
        <v>327</v>
      </c>
      <c r="Q214" t="n">
        <v>324</v>
      </c>
      <c r="W214" t="inlineStr">
        <is>
          <t>16.1-10.4-2.7-CEW-CEW</t>
        </is>
      </c>
      <c r="BA214" s="557" t="n"/>
      <c r="BC214" t="inlineStr">
        <is>
          <t>19.05-0-1.6-ERW 1-PE</t>
        </is>
      </c>
    </row>
    <row r="215">
      <c r="B215" t="n">
        <v>3712521</v>
      </c>
      <c r="D215" t="n">
        <v>1940014</v>
      </c>
      <c r="E215" t="n">
        <v>1940247</v>
      </c>
      <c r="H215" t="inlineStr">
        <is>
          <t>Sri Balaji Gears</t>
        </is>
      </c>
      <c r="P215" t="n">
        <v>328</v>
      </c>
      <c r="Q215" t="n">
        <v>325</v>
      </c>
      <c r="W215" t="inlineStr">
        <is>
          <t>16.1-10.4-2.7-CEW-CEW</t>
        </is>
      </c>
      <c r="BA215" s="557" t="n"/>
      <c r="BC215" t="inlineStr">
        <is>
          <t>19.05-0-1.6-ERW 1-PE</t>
        </is>
      </c>
    </row>
    <row r="216">
      <c r="B216" t="n">
        <v>3715133</v>
      </c>
      <c r="D216" t="n">
        <v>1940014</v>
      </c>
      <c r="E216" t="n">
        <v>236341</v>
      </c>
      <c r="H216" t="inlineStr">
        <is>
          <t>Marathwada Auto Compo Pvt. Ltd.</t>
        </is>
      </c>
      <c r="P216" t="n">
        <v>345</v>
      </c>
      <c r="Q216" t="n">
        <v>326</v>
      </c>
      <c r="W216" t="inlineStr">
        <is>
          <t>17.3-0-1.2-ERW 1-PE</t>
        </is>
      </c>
      <c r="BA216" s="557" t="n"/>
      <c r="BC216" t="inlineStr">
        <is>
          <t>19.05-0-1.6-ERW 1-PE</t>
        </is>
      </c>
    </row>
    <row r="217">
      <c r="B217" t="n">
        <v>3731697</v>
      </c>
      <c r="D217" t="n">
        <v>1940014</v>
      </c>
      <c r="E217" t="n">
        <v>2331953</v>
      </c>
      <c r="H217" t="inlineStr">
        <is>
          <t>Marathwada Auto Compo Pvt. Ltd.</t>
        </is>
      </c>
      <c r="P217" t="n">
        <v>346</v>
      </c>
      <c r="Q217" t="n">
        <v>327</v>
      </c>
      <c r="W217" t="inlineStr">
        <is>
          <t>17.3-0-1.2-ERW 1-PE</t>
        </is>
      </c>
      <c r="BA217" s="557" t="n"/>
      <c r="BC217" t="inlineStr">
        <is>
          <t>check TDC for FC</t>
        </is>
      </c>
    </row>
    <row r="218">
      <c r="B218" t="n">
        <v>3732177</v>
      </c>
      <c r="D218" t="n">
        <v>1940014</v>
      </c>
      <c r="E218" t="n">
        <v>2425969</v>
      </c>
      <c r="H218" t="inlineStr">
        <is>
          <t>Indo Autotech Limited (Unit V)</t>
        </is>
      </c>
      <c r="P218" t="n">
        <v>347</v>
      </c>
      <c r="Q218" t="n">
        <v>328</v>
      </c>
      <c r="W218" t="inlineStr">
        <is>
          <t>17.3-0-1.6-ERW 1-PE</t>
        </is>
      </c>
      <c r="BA218" s="557" t="n"/>
      <c r="BC218" t="inlineStr">
        <is>
          <t>19.05-0-1.6-ERW 1-PE</t>
        </is>
      </c>
    </row>
    <row r="219">
      <c r="B219" t="n">
        <v>3738265</v>
      </c>
      <c r="D219" t="n">
        <v>1940014</v>
      </c>
      <c r="E219" t="n">
        <v>1908799</v>
      </c>
      <c r="H219" t="inlineStr">
        <is>
          <t>Indo Autotech Limited (Unit V)</t>
        </is>
      </c>
      <c r="P219" t="n">
        <v>348</v>
      </c>
      <c r="Q219" t="n">
        <v>345</v>
      </c>
      <c r="W219" t="inlineStr">
        <is>
          <t>57.15-0-2.3-ERW 2-FC</t>
        </is>
      </c>
      <c r="BA219" s="557" t="n"/>
      <c r="BC219" t="inlineStr">
        <is>
          <t>19.05-0-1.6-ERW 1-PE</t>
        </is>
      </c>
    </row>
    <row r="220">
      <c r="B220" t="n">
        <v>3747393</v>
      </c>
      <c r="D220" t="n">
        <v>1940014</v>
      </c>
      <c r="E220" t="n">
        <v>2418569</v>
      </c>
      <c r="H220" t="inlineStr">
        <is>
          <t>Indo Autotech Limited (Unit V)</t>
        </is>
      </c>
      <c r="P220" t="n">
        <v>349</v>
      </c>
      <c r="Q220" t="n">
        <v>346</v>
      </c>
      <c r="W220" t="inlineStr">
        <is>
          <t>57.15-0-2.3-ERW 2-FC</t>
        </is>
      </c>
      <c r="BA220" s="557" t="n"/>
      <c r="BC220" t="inlineStr">
        <is>
          <t>19.05-0-1.6-ERW 1-PE</t>
        </is>
      </c>
    </row>
    <row r="221">
      <c r="B221" t="n">
        <v>3752128</v>
      </c>
      <c r="D221" t="n">
        <v>1940014</v>
      </c>
      <c r="E221" t="n">
        <v>235953</v>
      </c>
      <c r="H221" t="inlineStr">
        <is>
          <t>Indo Autotech Limited (Unit V)</t>
        </is>
      </c>
      <c r="P221" t="n">
        <v>350</v>
      </c>
      <c r="Q221" t="n">
        <v>347</v>
      </c>
      <c r="W221" t="inlineStr">
        <is>
          <t>57.15-0-2.3-ERW 2-FC</t>
        </is>
      </c>
      <c r="BA221" s="557" t="n"/>
      <c r="BC221" t="inlineStr">
        <is>
          <t>19.05-0-1.6-ERW 2 MAHS-PE</t>
        </is>
      </c>
    </row>
    <row r="222">
      <c r="B222" t="n">
        <v>3768905</v>
      </c>
      <c r="D222" t="n">
        <v>1940014</v>
      </c>
      <c r="E222" t="n">
        <v>3498997</v>
      </c>
      <c r="H222" t="inlineStr">
        <is>
          <t>ELKAYEM AUTO ANCILLARIES PVT LTD -U</t>
        </is>
      </c>
      <c r="P222" t="n">
        <v>351</v>
      </c>
      <c r="Q222" t="n">
        <v>348</v>
      </c>
      <c r="W222" t="inlineStr">
        <is>
          <t>57.15-0-2.3-ERW 2-FC</t>
        </is>
      </c>
      <c r="BA222" s="557" t="n"/>
      <c r="BC222" t="inlineStr">
        <is>
          <t>19.05-0-1.6-ERW 1-PE</t>
        </is>
      </c>
    </row>
    <row r="223">
      <c r="B223" t="n">
        <v>3768907</v>
      </c>
      <c r="D223" t="n">
        <v>1940014</v>
      </c>
      <c r="E223" t="n">
        <v>1940256</v>
      </c>
      <c r="H223" t="inlineStr">
        <is>
          <t>ELKAYEM AUTO ANCILLARIES PVT LTD -U</t>
        </is>
      </c>
      <c r="P223" t="n">
        <v>352</v>
      </c>
      <c r="Q223" t="n">
        <v>349</v>
      </c>
      <c r="W223" t="inlineStr">
        <is>
          <t>57.15-0-2.3-ERW 2-FC</t>
        </is>
      </c>
      <c r="BA223" s="557" t="n"/>
      <c r="BC223" t="inlineStr">
        <is>
          <t>check TDC for FC</t>
        </is>
      </c>
    </row>
    <row r="224">
      <c r="B224" t="n">
        <v>3770753</v>
      </c>
      <c r="D224" t="n">
        <v>1940014</v>
      </c>
      <c r="E224" t="n">
        <v>319456</v>
      </c>
      <c r="H224" t="inlineStr">
        <is>
          <t>ELKAYEM AUTO ANCILLARIES PVT LTD -U</t>
        </is>
      </c>
      <c r="P224" t="n">
        <v>353</v>
      </c>
      <c r="Q224" t="n">
        <v>350</v>
      </c>
      <c r="W224" t="inlineStr">
        <is>
          <t>57.15-0-2.3-ERW 2-FC</t>
        </is>
      </c>
      <c r="BA224" s="557" t="n"/>
      <c r="BC224" t="inlineStr">
        <is>
          <t>19.05-0-1.6-ERW 1-PE</t>
        </is>
      </c>
    </row>
    <row r="225">
      <c r="B225" t="n">
        <v>3780005</v>
      </c>
      <c r="D225" t="n">
        <v>1940014</v>
      </c>
      <c r="E225" t="n">
        <v>3781674</v>
      </c>
      <c r="H225" t="inlineStr">
        <is>
          <t>ELKAYEM AUTO ANCILLARIES PVT LTD -U</t>
        </is>
      </c>
      <c r="P225" t="n">
        <v>354</v>
      </c>
      <c r="Q225" t="n">
        <v>351</v>
      </c>
      <c r="W225" t="inlineStr">
        <is>
          <t>57.15-0-2.3-ERW 2-FC</t>
        </is>
      </c>
      <c r="BA225" s="557" t="n"/>
      <c r="BC225" t="inlineStr">
        <is>
          <t>19.05-0-1.6-ERW 2 MAHS-PE</t>
        </is>
      </c>
    </row>
    <row r="226">
      <c r="B226" t="n">
        <v>3786201</v>
      </c>
      <c r="D226" t="n">
        <v>1931154</v>
      </c>
      <c r="E226" t="n">
        <v>1940262</v>
      </c>
      <c r="H226" t="inlineStr">
        <is>
          <t>ELKAYEM AUTO ANCILLARIES PVT LTD -U</t>
        </is>
      </c>
      <c r="P226" t="n">
        <v>355</v>
      </c>
      <c r="Q226" t="n">
        <v>352</v>
      </c>
      <c r="W226" t="inlineStr">
        <is>
          <t>57.15-0-2.3-ERW 2-FC</t>
        </is>
      </c>
      <c r="BA226" s="557" t="n"/>
      <c r="BC226" t="inlineStr">
        <is>
          <t>19.05-0-1.6-ERW 1-PE</t>
        </is>
      </c>
    </row>
    <row r="227">
      <c r="B227" t="n">
        <v>3786202</v>
      </c>
      <c r="D227" t="n">
        <v>1931154</v>
      </c>
      <c r="E227" t="n">
        <v>511882</v>
      </c>
      <c r="H227" t="inlineStr">
        <is>
          <t>ELKAYEM AUTO ANCILLARIES PVT LTD -U</t>
        </is>
      </c>
      <c r="P227" t="n">
        <v>368</v>
      </c>
      <c r="Q227" t="n">
        <v>353</v>
      </c>
      <c r="W227" t="inlineStr">
        <is>
          <t>57.15-0-2.3-ERW 2-FC</t>
        </is>
      </c>
      <c r="BA227" s="557" t="n"/>
      <c r="BC227" t="inlineStr">
        <is>
          <t>19.05-0-1.6-ERW 1-PE</t>
        </is>
      </c>
    </row>
    <row r="228">
      <c r="B228" t="n">
        <v>3819143</v>
      </c>
      <c r="D228" t="n">
        <v>1931049</v>
      </c>
      <c r="E228" t="n">
        <v>1940266</v>
      </c>
      <c r="H228" t="inlineStr">
        <is>
          <t>ELKAYEM AUTO ANCILLARIES PVT LTD -U</t>
        </is>
      </c>
      <c r="P228" t="n">
        <v>370</v>
      </c>
      <c r="Q228" t="n">
        <v>354</v>
      </c>
      <c r="W228" t="inlineStr">
        <is>
          <t>57.15-0-2.3-ERW 2-FC</t>
        </is>
      </c>
      <c r="BA228" s="557" t="n"/>
      <c r="BC228" t="inlineStr">
        <is>
          <t>19.05-0-1.6-ERW 1-PE</t>
        </is>
      </c>
    </row>
    <row r="229">
      <c r="B229" t="n">
        <v>3838020</v>
      </c>
      <c r="D229" t="n">
        <v>1931049</v>
      </c>
      <c r="E229" t="n">
        <v>521117</v>
      </c>
      <c r="H229" t="inlineStr">
        <is>
          <t>RAJSRIYA AUTOMOTIVE IND. P LTD</t>
        </is>
      </c>
      <c r="P229" t="n">
        <v>371</v>
      </c>
      <c r="Q229" t="n">
        <v>355</v>
      </c>
      <c r="W229" t="inlineStr">
        <is>
          <t>57.15-0-2.3-ERW 2-FC</t>
        </is>
      </c>
      <c r="BA229" s="557" t="n"/>
      <c r="BC229" t="inlineStr">
        <is>
          <t>check TDC for FC</t>
        </is>
      </c>
    </row>
    <row r="230">
      <c r="B230" t="n">
        <v>3838038</v>
      </c>
      <c r="D230" t="n">
        <v>3188791</v>
      </c>
      <c r="E230" t="n">
        <v>3122348</v>
      </c>
      <c r="H230" t="inlineStr">
        <is>
          <t>FREE STOCK</t>
        </is>
      </c>
      <c r="P230" t="n">
        <v>378</v>
      </c>
      <c r="Q230" t="n">
        <v>368</v>
      </c>
      <c r="W230" t="inlineStr">
        <is>
          <t>57.15-0-2.3-ERW 2-FC</t>
        </is>
      </c>
      <c r="BA230" s="557" t="n"/>
      <c r="BC230" t="inlineStr">
        <is>
          <t>19.05-0-1.6-ERW 1-PE</t>
        </is>
      </c>
    </row>
    <row r="231">
      <c r="B231" t="n">
        <v>3841884</v>
      </c>
      <c r="D231" t="n">
        <v>3188791</v>
      </c>
      <c r="E231" t="n">
        <v>1940269</v>
      </c>
      <c r="H231" t="inlineStr">
        <is>
          <t>Neel Metal Products Limited</t>
        </is>
      </c>
      <c r="P231" t="n">
        <v>390</v>
      </c>
      <c r="Q231" t="n">
        <v>370</v>
      </c>
      <c r="W231" t="inlineStr">
        <is>
          <t>57.15-0-2.3-ERW 2-FC</t>
        </is>
      </c>
      <c r="BA231" s="557" t="n"/>
      <c r="BC231" t="inlineStr">
        <is>
          <t>19.05-0-1.6-ERW 1-PE</t>
        </is>
      </c>
    </row>
    <row r="232">
      <c r="B232" t="n">
        <v>3850310</v>
      </c>
      <c r="D232" t="n">
        <v>3188791</v>
      </c>
      <c r="E232" t="n">
        <v>1180079</v>
      </c>
      <c r="H232" t="inlineStr">
        <is>
          <t>TVS MOTOR COMPANY LIMITED</t>
        </is>
      </c>
      <c r="P232" t="n">
        <v>393</v>
      </c>
      <c r="Q232" t="n">
        <v>371</v>
      </c>
      <c r="W232" t="inlineStr">
        <is>
          <t>57.15-0-2.3-ERW 2-FC</t>
        </is>
      </c>
      <c r="BA232" s="557" t="n"/>
      <c r="BC232" t="inlineStr">
        <is>
          <t>19.05-0-1.6-ERW 1-PE</t>
        </is>
      </c>
    </row>
    <row r="233">
      <c r="B233" t="n">
        <v>3893101</v>
      </c>
      <c r="D233" t="n">
        <v>2410389</v>
      </c>
      <c r="E233" t="n">
        <v>3507270</v>
      </c>
      <c r="H233" t="inlineStr">
        <is>
          <t>NAHARS ENGINEERING INDIA PRIVATE LI</t>
        </is>
      </c>
      <c r="P233" t="n">
        <v>394</v>
      </c>
      <c r="Q233" t="n">
        <v>378</v>
      </c>
      <c r="W233" t="inlineStr">
        <is>
          <t>57.15-0-2.3-ERW 2-FC</t>
        </is>
      </c>
      <c r="BA233" s="557" t="n"/>
      <c r="BC233" t="inlineStr">
        <is>
          <t>19.05-0-1.6-ERW 1-PE</t>
        </is>
      </c>
    </row>
    <row r="234">
      <c r="B234" t="n">
        <v>3909479</v>
      </c>
      <c r="D234" t="n">
        <v>2410389</v>
      </c>
      <c r="E234" t="n">
        <v>3507089</v>
      </c>
      <c r="H234" t="inlineStr">
        <is>
          <t>NAHARS ENGINEERING INDIA PRIVATE LI</t>
        </is>
      </c>
      <c r="P234" t="n">
        <v>395</v>
      </c>
      <c r="Q234" t="n">
        <v>390</v>
      </c>
      <c r="W234" t="inlineStr">
        <is>
          <t>57.15-0-2.3-ERW 2-FC</t>
        </is>
      </c>
      <c r="BA234" s="557" t="n"/>
      <c r="BC234" t="inlineStr">
        <is>
          <t>19.05-0-1.6-ERW 1-PE</t>
        </is>
      </c>
    </row>
    <row r="235">
      <c r="B235" t="n">
        <v>3910648</v>
      </c>
      <c r="D235" t="n">
        <v>2410389</v>
      </c>
      <c r="E235" t="n">
        <v>521115</v>
      </c>
      <c r="H235" t="inlineStr">
        <is>
          <t>NAHARS ENGINEERING INDIA PRIVATE LI</t>
        </is>
      </c>
      <c r="P235" t="n">
        <v>396</v>
      </c>
      <c r="Q235" t="n">
        <v>393</v>
      </c>
      <c r="W235" t="inlineStr">
        <is>
          <t>17.3-0-1.6-ERW 1-PE</t>
        </is>
      </c>
      <c r="BA235" s="557" t="n"/>
      <c r="BC235" t="inlineStr">
        <is>
          <t>check TDC for FC</t>
        </is>
      </c>
    </row>
    <row r="236">
      <c r="B236" t="n">
        <v>3911992</v>
      </c>
      <c r="D236" t="n">
        <v>2410389</v>
      </c>
      <c r="E236" t="n">
        <v>1940272</v>
      </c>
      <c r="H236" t="inlineStr">
        <is>
          <t>NAHARS ENGINEERING INDIA PRIVATE LI</t>
        </is>
      </c>
      <c r="P236" t="n">
        <v>397</v>
      </c>
      <c r="Q236" t="n">
        <v>394</v>
      </c>
      <c r="W236" t="inlineStr">
        <is>
          <t>17.3-0-1.6-ERW 1-PE</t>
        </is>
      </c>
      <c r="BA236" s="557" t="n"/>
      <c r="BC236" t="inlineStr">
        <is>
          <t>19.05-0-1.6-ERW 1-PE</t>
        </is>
      </c>
    </row>
    <row r="237">
      <c r="B237" t="n">
        <v>3911993</v>
      </c>
      <c r="D237" t="n">
        <v>3402383</v>
      </c>
      <c r="E237" t="n">
        <v>2422190</v>
      </c>
      <c r="H237" t="inlineStr">
        <is>
          <t>Rajsriya Automotive Ind.P.Ltd Unit-</t>
        </is>
      </c>
      <c r="P237" t="n">
        <v>398</v>
      </c>
      <c r="Q237" t="n">
        <v>395</v>
      </c>
      <c r="W237" t="inlineStr">
        <is>
          <t>17.3-0-1.6-ERW 1-PE</t>
        </is>
      </c>
      <c r="BA237" s="557" t="n"/>
      <c r="BC237" t="inlineStr">
        <is>
          <t>19.05-0-2-ERW 1-PE</t>
        </is>
      </c>
    </row>
    <row r="238">
      <c r="B238" t="n">
        <v>3924502</v>
      </c>
      <c r="D238" t="n">
        <v>3402383</v>
      </c>
      <c r="E238" t="n">
        <v>2403386</v>
      </c>
      <c r="H238" t="inlineStr">
        <is>
          <t>Rajsriya Automotive Ind.P.Ltd Unit-</t>
        </is>
      </c>
      <c r="P238" t="n">
        <v>399</v>
      </c>
      <c r="Q238" t="n">
        <v>396</v>
      </c>
      <c r="W238" t="inlineStr">
        <is>
          <t>17.3-0-1.6-ERW 1-PE</t>
        </is>
      </c>
      <c r="BA238" s="557" t="n"/>
      <c r="BC238" t="inlineStr">
        <is>
          <t>19.05-0-2-ERW 1-PE</t>
        </is>
      </c>
    </row>
    <row r="239">
      <c r="B239" t="n">
        <v>1930110</v>
      </c>
      <c r="D239" t="n">
        <v>2363145</v>
      </c>
      <c r="E239" t="n">
        <v>1432171</v>
      </c>
      <c r="H239" t="inlineStr">
        <is>
          <t>Indo Autotech Limited (Unit V)</t>
        </is>
      </c>
      <c r="P239" t="n">
        <v>400</v>
      </c>
      <c r="Q239" t="n">
        <v>397</v>
      </c>
      <c r="W239" t="inlineStr">
        <is>
          <t>17.3-0-1.6-ERW 1-PE</t>
        </is>
      </c>
      <c r="BA239" s="557" t="n"/>
      <c r="BC239" t="inlineStr">
        <is>
          <t>19.05-0-2-ERW 1-PE</t>
        </is>
      </c>
    </row>
    <row r="240">
      <c r="B240" t="n">
        <v>1942166</v>
      </c>
      <c r="D240" t="n">
        <v>2363145</v>
      </c>
      <c r="E240" t="n">
        <v>1432169</v>
      </c>
      <c r="H240" t="inlineStr">
        <is>
          <t>Indo Autotech Limited (Unit V)</t>
        </is>
      </c>
      <c r="P240" t="n">
        <v>401</v>
      </c>
      <c r="Q240" t="n">
        <v>398</v>
      </c>
      <c r="W240" t="inlineStr">
        <is>
          <t>17.3-0-1.6-ERW 1-PE</t>
        </is>
      </c>
      <c r="BA240" s="557" t="n"/>
      <c r="BC240" t="inlineStr">
        <is>
          <t>19.05-0-2-ERW 1-PE</t>
        </is>
      </c>
    </row>
    <row r="241">
      <c r="B241" t="n">
        <v>2410388</v>
      </c>
      <c r="D241" t="n">
        <v>2363145</v>
      </c>
      <c r="E241" t="n">
        <v>3508947</v>
      </c>
      <c r="H241" t="inlineStr">
        <is>
          <t>Indo Autotech Limited (Unit V)</t>
        </is>
      </c>
      <c r="P241" t="n">
        <v>402</v>
      </c>
      <c r="Q241" t="n">
        <v>399</v>
      </c>
      <c r="W241" t="inlineStr">
        <is>
          <t>31.75-0-1.2-ERW 1-PE</t>
        </is>
      </c>
      <c r="BA241" s="557" t="n"/>
      <c r="BC241" t="inlineStr">
        <is>
          <t>19.05-0-2-ERW 1-PE</t>
        </is>
      </c>
    </row>
    <row r="242">
      <c r="B242" t="n">
        <v>3500714</v>
      </c>
      <c r="D242" t="n">
        <v>2410963</v>
      </c>
      <c r="E242" t="n">
        <v>1432170</v>
      </c>
      <c r="H242" t="inlineStr">
        <is>
          <t>Indo Autotech Limited (Unit V)</t>
        </is>
      </c>
      <c r="P242" t="n">
        <v>403</v>
      </c>
      <c r="Q242" t="n">
        <v>400</v>
      </c>
      <c r="W242" t="inlineStr">
        <is>
          <t>31.75-0-1.2-ERW 1-PE</t>
        </is>
      </c>
      <c r="BA242" s="557" t="n"/>
      <c r="BC242" t="inlineStr">
        <is>
          <t>19.05-0-2-ERW 1-PE</t>
        </is>
      </c>
    </row>
    <row r="243">
      <c r="B243" t="n">
        <v>3770393</v>
      </c>
      <c r="D243" t="n">
        <v>2410963</v>
      </c>
      <c r="E243" t="n">
        <v>2403384</v>
      </c>
      <c r="H243" t="inlineStr">
        <is>
          <t>Indo Autotech Limited (Unit V)</t>
        </is>
      </c>
      <c r="P243" t="n">
        <v>404</v>
      </c>
      <c r="Q243" t="n">
        <v>401</v>
      </c>
      <c r="W243" t="inlineStr">
        <is>
          <t>31.75-0-1.2-ERW 1-PE</t>
        </is>
      </c>
      <c r="BA243" s="557" t="n"/>
      <c r="BC243" t="inlineStr">
        <is>
          <t>19.05-0-2-ERW 1-PE</t>
        </is>
      </c>
    </row>
    <row r="244">
      <c r="B244" t="n">
        <v>1931823</v>
      </c>
      <c r="D244" t="n">
        <v>2410963</v>
      </c>
      <c r="E244" t="n">
        <v>1637759</v>
      </c>
      <c r="H244" t="inlineStr">
        <is>
          <t>Indo Autotech Limited (Unit V)</t>
        </is>
      </c>
      <c r="P244" t="n">
        <v>405</v>
      </c>
      <c r="Q244" t="n">
        <v>402</v>
      </c>
      <c r="W244" t="inlineStr">
        <is>
          <t>31.75-0-1.2-ERW 1-PE</t>
        </is>
      </c>
      <c r="BA244" s="557" t="n"/>
      <c r="BC244" t="inlineStr">
        <is>
          <t>19.05-0-2-ERW 1-PE</t>
        </is>
      </c>
    </row>
    <row r="245">
      <c r="B245" t="n">
        <v>2288945</v>
      </c>
      <c r="D245" t="n">
        <v>2410963</v>
      </c>
      <c r="E245" t="n">
        <v>2403383</v>
      </c>
      <c r="H245" t="inlineStr">
        <is>
          <t>Indo Autotech Limited (Unit V)</t>
        </is>
      </c>
      <c r="P245" t="n">
        <v>406</v>
      </c>
      <c r="Q245" t="n">
        <v>403</v>
      </c>
      <c r="W245" t="inlineStr">
        <is>
          <t>31.75-0-1.2-ERW 1-PE</t>
        </is>
      </c>
      <c r="BA245" s="557" t="n"/>
      <c r="BC245" t="inlineStr">
        <is>
          <t>19.05-0-2-ERW 1-PE</t>
        </is>
      </c>
    </row>
    <row r="246">
      <c r="B246" t="n">
        <v>2410960</v>
      </c>
      <c r="D246" t="n">
        <v>2410963</v>
      </c>
      <c r="E246" t="n">
        <v>1432172</v>
      </c>
      <c r="H246" t="inlineStr">
        <is>
          <t>Indo Autotech Limited (Unit V)</t>
        </is>
      </c>
      <c r="P246" t="n">
        <v>407</v>
      </c>
      <c r="Q246" t="n">
        <v>404</v>
      </c>
      <c r="W246" t="inlineStr">
        <is>
          <t>18.2-0-1-ERW 1-PE</t>
        </is>
      </c>
      <c r="BA246" s="557" t="n"/>
      <c r="BC246" t="inlineStr">
        <is>
          <t>19.05-0-2-ERW 1-PE</t>
        </is>
      </c>
    </row>
    <row r="247">
      <c r="B247" t="n">
        <v>2410994</v>
      </c>
      <c r="D247" t="n">
        <v>3487710</v>
      </c>
      <c r="E247" t="n">
        <v>3236719</v>
      </c>
      <c r="H247" t="inlineStr">
        <is>
          <t>Indo Autotech Limited (Unit V)</t>
        </is>
      </c>
      <c r="P247" t="n">
        <v>408</v>
      </c>
      <c r="Q247" t="n">
        <v>405</v>
      </c>
      <c r="W247" t="inlineStr">
        <is>
          <t>18.2-0-1-ERW 1-PE</t>
        </is>
      </c>
      <c r="BA247" s="557" t="n"/>
      <c r="BC247" t="inlineStr">
        <is>
          <t>19.05-0-2-ERW 1-PE</t>
        </is>
      </c>
    </row>
    <row r="248">
      <c r="B248" t="n">
        <v>2410996</v>
      </c>
      <c r="D248" t="n">
        <v>1940019</v>
      </c>
      <c r="E248" t="n">
        <v>1249097</v>
      </c>
      <c r="H248" t="inlineStr">
        <is>
          <t>Indo Autotech Limited (Unit V)</t>
        </is>
      </c>
      <c r="P248" t="n">
        <v>409</v>
      </c>
      <c r="Q248" t="n">
        <v>406</v>
      </c>
      <c r="W248" t="inlineStr">
        <is>
          <t>38.1-0-2-ERW 1-FC</t>
        </is>
      </c>
      <c r="BA248" s="557" t="n"/>
      <c r="BC248" t="inlineStr">
        <is>
          <t>19.05-0-2-ERW 1-PE</t>
        </is>
      </c>
    </row>
    <row r="249">
      <c r="B249" t="n">
        <v>2410998</v>
      </c>
      <c r="D249" t="n">
        <v>1940019</v>
      </c>
      <c r="E249" t="n">
        <v>1940284</v>
      </c>
      <c r="H249" t="inlineStr">
        <is>
          <t>Indo Autotech Limited (Unit V)</t>
        </is>
      </c>
      <c r="P249" t="n">
        <v>410</v>
      </c>
      <c r="Q249" t="n">
        <v>407</v>
      </c>
      <c r="W249" t="inlineStr">
        <is>
          <t>38.1-0-2-ERW 1-FC</t>
        </is>
      </c>
      <c r="BA249" s="557" t="n"/>
      <c r="BC249" t="inlineStr">
        <is>
          <t>19.05-0-2-ERW 1-PE</t>
        </is>
      </c>
    </row>
    <row r="250">
      <c r="B250" t="n">
        <v>2410999</v>
      </c>
      <c r="D250" t="n">
        <v>1940019</v>
      </c>
      <c r="E250" t="n">
        <v>1188598</v>
      </c>
      <c r="H250" t="inlineStr">
        <is>
          <t>Indo Autotech Limited (Unit V)</t>
        </is>
      </c>
      <c r="P250" t="n">
        <v>411</v>
      </c>
      <c r="Q250" t="n">
        <v>408</v>
      </c>
      <c r="W250" t="inlineStr">
        <is>
          <t>38.1-0-2-ERW 1-FC</t>
        </is>
      </c>
      <c r="BA250" s="557" t="n"/>
      <c r="BC250" t="inlineStr">
        <is>
          <t>19.05-0-2-ERW 1-PE</t>
        </is>
      </c>
    </row>
    <row r="251">
      <c r="B251" t="n">
        <v>2418610</v>
      </c>
      <c r="D251" t="n">
        <v>1941845</v>
      </c>
      <c r="E251" t="n">
        <v>3784368</v>
      </c>
      <c r="H251" t="inlineStr">
        <is>
          <t>Indo Autotech Limited (Unit V)</t>
        </is>
      </c>
      <c r="P251" t="n">
        <v>415</v>
      </c>
      <c r="Q251" t="n">
        <v>409</v>
      </c>
      <c r="W251" t="inlineStr">
        <is>
          <t>38.1-0-2-ERW 1-FC</t>
        </is>
      </c>
      <c r="BA251" s="557" t="n"/>
      <c r="BC251" t="inlineStr">
        <is>
          <t>19.05-0-2-ERW 1-PE</t>
        </is>
      </c>
    </row>
    <row r="252">
      <c r="B252" t="n">
        <v>3188792</v>
      </c>
      <c r="D252" t="n">
        <v>1941845</v>
      </c>
      <c r="E252" t="n">
        <v>1284065</v>
      </c>
      <c r="H252" t="inlineStr">
        <is>
          <t>Indo Autotech Limited (Unit V)</t>
        </is>
      </c>
      <c r="P252" t="n">
        <v>416</v>
      </c>
      <c r="Q252" t="n">
        <v>410</v>
      </c>
      <c r="W252" t="inlineStr">
        <is>
          <t>18.2-0-1-ERW 1-PE</t>
        </is>
      </c>
      <c r="BA252" s="557" t="n"/>
      <c r="BC252" t="inlineStr">
        <is>
          <t>19.05-0-2-ERW 1-PE</t>
        </is>
      </c>
    </row>
    <row r="253">
      <c r="B253" t="n">
        <v>3499608</v>
      </c>
      <c r="D253" t="n">
        <v>1941845</v>
      </c>
      <c r="E253" t="n">
        <v>1940287</v>
      </c>
      <c r="H253" t="inlineStr">
        <is>
          <t>Indo Autotech Limited (Unit V)</t>
        </is>
      </c>
      <c r="P253" t="n">
        <v>417</v>
      </c>
      <c r="Q253" t="n">
        <v>411</v>
      </c>
      <c r="W253" t="inlineStr">
        <is>
          <t>18.2-0-1-ERW 1-PE</t>
        </is>
      </c>
      <c r="BA253" s="557" t="n"/>
      <c r="BC253" t="inlineStr">
        <is>
          <t>19.05-0-2-ERW 1-PE</t>
        </is>
      </c>
    </row>
    <row r="254">
      <c r="B254" t="n">
        <v>3500641</v>
      </c>
      <c r="D254" t="n">
        <v>1941845</v>
      </c>
      <c r="E254" t="n">
        <v>3509196</v>
      </c>
      <c r="H254" t="inlineStr">
        <is>
          <t>Indo Autotech Limited (Unit V)</t>
        </is>
      </c>
      <c r="P254" t="n">
        <v>418</v>
      </c>
      <c r="Q254" t="n">
        <v>412</v>
      </c>
      <c r="W254" t="inlineStr">
        <is>
          <t>38.1-0-2-ERW 1-PE</t>
        </is>
      </c>
      <c r="BA254" s="557" t="n"/>
      <c r="BC254" t="inlineStr">
        <is>
          <t>19.05-0-2-ERW 1-PE</t>
        </is>
      </c>
    </row>
    <row r="255">
      <c r="B255" t="n">
        <v>3500650</v>
      </c>
      <c r="D255" t="n">
        <v>1941845</v>
      </c>
      <c r="E255" t="n">
        <v>3732182</v>
      </c>
      <c r="H255" t="inlineStr">
        <is>
          <t>FREE STOCK</t>
        </is>
      </c>
      <c r="P255" t="n">
        <v>419</v>
      </c>
      <c r="Q255" t="n">
        <v>413</v>
      </c>
      <c r="W255" t="inlineStr">
        <is>
          <t>38.1-0-2-ERW 1-PE</t>
        </is>
      </c>
      <c r="BA255" s="557" t="n"/>
      <c r="BC255" t="inlineStr">
        <is>
          <t>19.05-0-2-ERW 1-PE</t>
        </is>
      </c>
    </row>
    <row r="256">
      <c r="B256" t="n">
        <v>3500718</v>
      </c>
      <c r="D256" t="n">
        <v>1941845</v>
      </c>
      <c r="E256" t="n">
        <v>1479701</v>
      </c>
      <c r="H256" t="inlineStr">
        <is>
          <t>SANDHAR ENGINEERING PVT LTD.(KA) -U</t>
        </is>
      </c>
      <c r="P256" t="n">
        <v>420</v>
      </c>
      <c r="Q256" t="n">
        <v>415</v>
      </c>
      <c r="W256" t="inlineStr">
        <is>
          <t>38.1-0-2-ERW 1-PE</t>
        </is>
      </c>
      <c r="BA256" s="557" t="n"/>
      <c r="BC256" t="inlineStr">
        <is>
          <t>19.05-0-2-ERW 1-PE</t>
        </is>
      </c>
    </row>
    <row r="257">
      <c r="B257" t="n">
        <v>3500816</v>
      </c>
      <c r="D257" t="n">
        <v>1941845</v>
      </c>
      <c r="E257" t="n">
        <v>1399341</v>
      </c>
      <c r="H257" t="inlineStr">
        <is>
          <t>SANDHAR ENGINEERING PVT LTD.(KA) -U</t>
        </is>
      </c>
      <c r="P257" t="n">
        <v>421</v>
      </c>
      <c r="Q257" t="n">
        <v>416</v>
      </c>
      <c r="W257" t="inlineStr">
        <is>
          <t>38.1-0-2-ERW 1-PE</t>
        </is>
      </c>
      <c r="BA257" s="557" t="n"/>
      <c r="BC257" t="inlineStr">
        <is>
          <t>19.05-0-2-ERW 1-PE</t>
        </is>
      </c>
    </row>
    <row r="258">
      <c r="B258" t="n">
        <v>3594528</v>
      </c>
      <c r="D258" t="n">
        <v>1941846</v>
      </c>
      <c r="E258" t="n">
        <v>451367</v>
      </c>
      <c r="H258" t="inlineStr">
        <is>
          <t>SRIKAM HITECH ENGINEERING PRIVATE L</t>
        </is>
      </c>
      <c r="P258" t="n">
        <v>422</v>
      </c>
      <c r="Q258" t="n">
        <v>417</v>
      </c>
      <c r="W258" t="inlineStr">
        <is>
          <t>38.1-0-2-ERW 1-PE</t>
        </is>
      </c>
      <c r="BA258" s="557" t="n"/>
      <c r="BC258" t="inlineStr">
        <is>
          <t>19.05-0-2-ERW 1-PE</t>
        </is>
      </c>
    </row>
    <row r="259">
      <c r="B259" t="n">
        <v>3702200</v>
      </c>
      <c r="D259" t="n">
        <v>1941847</v>
      </c>
      <c r="E259" t="n">
        <v>440216</v>
      </c>
      <c r="H259" t="inlineStr">
        <is>
          <t>SRIKAM HITECH ENGINEERING PRIVATE L</t>
        </is>
      </c>
      <c r="P259" t="n">
        <v>423</v>
      </c>
      <c r="Q259" t="n">
        <v>418</v>
      </c>
      <c r="W259" t="inlineStr">
        <is>
          <t>38.1-0-2-ERW 1-PE</t>
        </is>
      </c>
      <c r="BA259" s="557" t="n"/>
      <c r="BC259" t="inlineStr">
        <is>
          <t>19.05-0-2-ERW 1-PE</t>
        </is>
      </c>
    </row>
    <row r="260">
      <c r="B260" t="n">
        <v>3702201</v>
      </c>
      <c r="D260" t="n">
        <v>3541434</v>
      </c>
      <c r="E260" t="n">
        <v>3682071</v>
      </c>
      <c r="H260" t="inlineStr">
        <is>
          <t>SRIKAM HITECH ENGINEERING PRIVATE L</t>
        </is>
      </c>
      <c r="P260" t="n">
        <v>424</v>
      </c>
      <c r="Q260" t="n">
        <v>419</v>
      </c>
      <c r="W260" t="inlineStr">
        <is>
          <t>38.1-0-1.6-ERW 1-FC</t>
        </is>
      </c>
      <c r="BA260" s="557" t="n"/>
      <c r="BC260" t="inlineStr">
        <is>
          <t>19.05-0-2-ERW 1-PE</t>
        </is>
      </c>
    </row>
    <row r="261">
      <c r="B261" t="n">
        <v>3769066</v>
      </c>
      <c r="D261" t="n">
        <v>3541434</v>
      </c>
      <c r="E261" t="n">
        <v>3673888</v>
      </c>
      <c r="H261" t="inlineStr">
        <is>
          <t>SANDHAR ENGINEERING PVT LTD.(KA) -U</t>
        </is>
      </c>
      <c r="P261" t="n">
        <v>428</v>
      </c>
      <c r="Q261" t="n">
        <v>420</v>
      </c>
      <c r="W261" t="inlineStr">
        <is>
          <t>38.1-0-1.6-ERW 1-FC</t>
        </is>
      </c>
      <c r="BA261" s="557" t="n"/>
      <c r="BC261" t="inlineStr">
        <is>
          <t>check tdc for ERW 2</t>
        </is>
      </c>
    </row>
    <row r="262">
      <c r="B262" t="n">
        <v>3770391</v>
      </c>
      <c r="D262" t="n">
        <v>3541434</v>
      </c>
      <c r="E262" t="n">
        <v>1940293</v>
      </c>
      <c r="H262" t="inlineStr">
        <is>
          <t>Neel Metal Products Limited</t>
        </is>
      </c>
      <c r="P262" t="n">
        <v>432</v>
      </c>
      <c r="Q262" t="n">
        <v>421</v>
      </c>
      <c r="W262" t="inlineStr">
        <is>
          <t>38.1-0-1.6-ERW 1-FC</t>
        </is>
      </c>
      <c r="BA262" s="557" t="n"/>
      <c r="BC262" t="inlineStr">
        <is>
          <t>19.05-0-2-ERW 1-PE</t>
        </is>
      </c>
    </row>
    <row r="263">
      <c r="B263" t="n">
        <v>3770392</v>
      </c>
      <c r="D263" t="n">
        <v>3541434</v>
      </c>
      <c r="E263" t="n">
        <v>235292</v>
      </c>
      <c r="H263" t="inlineStr">
        <is>
          <t>Neel Metal Products Limited</t>
        </is>
      </c>
      <c r="P263" t="n">
        <v>450</v>
      </c>
      <c r="Q263" t="n">
        <v>422</v>
      </c>
      <c r="W263" t="inlineStr">
        <is>
          <t>19-12.5-3.25-CEW-CEW</t>
        </is>
      </c>
      <c r="BA263" s="557" t="n"/>
      <c r="BC263" t="inlineStr">
        <is>
          <t>19.05-0-2-ERW 1-PE</t>
        </is>
      </c>
    </row>
    <row r="264">
      <c r="B264" t="n">
        <v>3770394</v>
      </c>
      <c r="D264" t="n">
        <v>3541434</v>
      </c>
      <c r="E264" t="n">
        <v>3499307</v>
      </c>
      <c r="H264" t="inlineStr">
        <is>
          <t>Skb Industries</t>
        </is>
      </c>
      <c r="P264" t="n">
        <v>451</v>
      </c>
      <c r="Q264" t="n">
        <v>423</v>
      </c>
      <c r="W264" t="inlineStr">
        <is>
          <t>19-12.5-3.25-CEW-CEW</t>
        </is>
      </c>
      <c r="BA264" s="557" t="n"/>
      <c r="BC264" t="inlineStr">
        <is>
          <t>19.05-0-2-ERW 1-PE</t>
        </is>
      </c>
    </row>
    <row r="265">
      <c r="B265" t="n">
        <v>3770398</v>
      </c>
      <c r="D265" t="n">
        <v>1931385</v>
      </c>
      <c r="E265" t="n">
        <v>1937438</v>
      </c>
      <c r="H265" t="inlineStr">
        <is>
          <t>SRIKAM HITECH ENGINEERING PRIVATE L</t>
        </is>
      </c>
      <c r="P265" t="n">
        <v>452</v>
      </c>
      <c r="Q265" t="n">
        <v>424</v>
      </c>
      <c r="W265" t="inlineStr">
        <is>
          <t>19-12.5-3.25-CEW-CEW</t>
        </is>
      </c>
      <c r="BA265" s="557" t="n"/>
      <c r="BC265" t="inlineStr">
        <is>
          <t>19.05-0-2-ERW 1-PE</t>
        </is>
      </c>
    </row>
    <row r="266">
      <c r="B266" t="n">
        <v>3775569</v>
      </c>
      <c r="D266" t="n">
        <v>1940026</v>
      </c>
      <c r="E266" t="n">
        <v>1333189</v>
      </c>
      <c r="H266" t="inlineStr">
        <is>
          <t>SRIKAM HITECH ENGINEERING PRIVATE L</t>
        </is>
      </c>
      <c r="P266" t="n">
        <v>453</v>
      </c>
      <c r="Q266" t="n">
        <v>428</v>
      </c>
      <c r="W266" t="inlineStr">
        <is>
          <t>70-0-3.2-ERW 2-FC</t>
        </is>
      </c>
      <c r="BA266" s="557" t="n"/>
      <c r="BC266" t="inlineStr">
        <is>
          <t>19.05-0-2-ERW 1-PE</t>
        </is>
      </c>
    </row>
    <row r="267">
      <c r="B267" t="n">
        <v>3777563</v>
      </c>
      <c r="D267" t="n">
        <v>1940026</v>
      </c>
      <c r="E267" t="n">
        <v>1940302</v>
      </c>
      <c r="H267" t="inlineStr">
        <is>
          <t>SRIKAM HITECH ENGINEERING PRIVATE L</t>
        </is>
      </c>
      <c r="P267" t="n">
        <v>454</v>
      </c>
      <c r="Q267" t="n">
        <v>432</v>
      </c>
      <c r="W267" t="inlineStr">
        <is>
          <t>42.7-0-3.5-ERW 1-FC</t>
        </is>
      </c>
      <c r="BA267" s="557" t="n"/>
      <c r="BC267" t="inlineStr">
        <is>
          <t>19.05-0-2-ERW 1-PE</t>
        </is>
      </c>
    </row>
    <row r="268">
      <c r="B268" t="n">
        <v>1568170</v>
      </c>
      <c r="D268" t="n">
        <v>1940027</v>
      </c>
      <c r="E268" t="n">
        <v>1259405</v>
      </c>
      <c r="H268" t="inlineStr">
        <is>
          <t>MEGH STEELS PRIVATE LIMITED - TVS A</t>
        </is>
      </c>
      <c r="P268" t="n">
        <v>455</v>
      </c>
      <c r="Q268" t="n">
        <v>450</v>
      </c>
      <c r="W268" t="inlineStr">
        <is>
          <t>42.7-0-3.5-ERW 1-FC</t>
        </is>
      </c>
      <c r="BA268" s="557" t="n"/>
      <c r="BC268" t="inlineStr">
        <is>
          <t>19.05-0-2-ERW 1-PE</t>
        </is>
      </c>
    </row>
    <row r="269">
      <c r="B269" t="n">
        <v>1931824</v>
      </c>
      <c r="D269" t="n">
        <v>1940027</v>
      </c>
      <c r="E269" t="n">
        <v>3781673</v>
      </c>
      <c r="H269" t="inlineStr">
        <is>
          <t>MEGH STEELS PRIVATE LIMITED - TVS A</t>
        </is>
      </c>
      <c r="P269" t="n">
        <v>456</v>
      </c>
      <c r="Q269" t="n">
        <v>451</v>
      </c>
      <c r="W269" t="inlineStr">
        <is>
          <t>42.7-0-3.5-ERW 1-FC</t>
        </is>
      </c>
      <c r="BA269" s="557" t="n"/>
      <c r="BC269" t="inlineStr">
        <is>
          <t>19.05-0-2-ERW 1-PE</t>
        </is>
      </c>
    </row>
    <row r="270">
      <c r="B270" t="n">
        <v>1931843</v>
      </c>
      <c r="D270" t="n">
        <v>1940034</v>
      </c>
      <c r="E270" t="n">
        <v>1940306</v>
      </c>
      <c r="H270" t="inlineStr">
        <is>
          <t>MEGH STEELS PRIVATE LIMITED - TVS A</t>
        </is>
      </c>
      <c r="P270" t="n">
        <v>457</v>
      </c>
      <c r="Q270" t="n">
        <v>452</v>
      </c>
      <c r="W270" t="inlineStr">
        <is>
          <t>38.1-0-2-ERW 1-FC</t>
        </is>
      </c>
      <c r="BA270" s="557" t="n"/>
      <c r="BC270" t="inlineStr">
        <is>
          <t>19.05-0-2-ERW 1-PE</t>
        </is>
      </c>
    </row>
    <row r="271">
      <c r="B271" t="n">
        <v>1932290</v>
      </c>
      <c r="D271" t="n">
        <v>1940034</v>
      </c>
      <c r="E271" t="n">
        <v>511879</v>
      </c>
      <c r="H271" t="inlineStr">
        <is>
          <t>Garg Steel Centre</t>
        </is>
      </c>
      <c r="P271" t="n">
        <v>458</v>
      </c>
      <c r="Q271" t="n">
        <v>453</v>
      </c>
      <c r="W271" t="inlineStr">
        <is>
          <t>38.1-0-2-ERW 1-FC</t>
        </is>
      </c>
      <c r="BA271" s="557" t="n"/>
      <c r="BC271" t="inlineStr">
        <is>
          <t>19.05-0-2-ERW 1-PE</t>
        </is>
      </c>
    </row>
    <row r="272">
      <c r="B272" t="n">
        <v>1938118</v>
      </c>
      <c r="D272" t="n">
        <v>1940034</v>
      </c>
      <c r="E272" t="n">
        <v>437147</v>
      </c>
      <c r="H272" t="inlineStr">
        <is>
          <t>Thai Summit Autoparts India Pvt Ltd</t>
        </is>
      </c>
      <c r="P272" t="n">
        <v>459</v>
      </c>
      <c r="Q272" t="n">
        <v>454</v>
      </c>
      <c r="W272" t="inlineStr">
        <is>
          <t>38.1-0-2-ERW 1-FC</t>
        </is>
      </c>
      <c r="BA272" s="557" t="n"/>
      <c r="BC272" t="inlineStr">
        <is>
          <t>19.05-0-2-ERW 1-PE</t>
        </is>
      </c>
    </row>
    <row r="273">
      <c r="B273" t="n">
        <v>1938121</v>
      </c>
      <c r="D273" t="n">
        <v>1940034</v>
      </c>
      <c r="E273" t="n">
        <v>1940307</v>
      </c>
      <c r="H273" t="inlineStr">
        <is>
          <t>Thai Summit Autoparts India Pvt Ltd</t>
        </is>
      </c>
      <c r="P273" t="n">
        <v>461</v>
      </c>
      <c r="Q273" t="n">
        <v>455</v>
      </c>
      <c r="W273" t="inlineStr">
        <is>
          <t>19-19-1-CRFH-PE</t>
        </is>
      </c>
      <c r="BA273" s="557" t="n"/>
      <c r="BC273" t="inlineStr">
        <is>
          <t>19.05-0-2-ERW 1-PE</t>
        </is>
      </c>
    </row>
    <row r="274">
      <c r="B274" t="n">
        <v>1938125</v>
      </c>
      <c r="D274" t="n">
        <v>1940034</v>
      </c>
      <c r="E274" t="n">
        <v>2427712</v>
      </c>
      <c r="H274" t="inlineStr">
        <is>
          <t>Thai Summit Autoparts India Pvt Ltd</t>
        </is>
      </c>
      <c r="P274" t="n">
        <v>462</v>
      </c>
      <c r="Q274" t="n">
        <v>456</v>
      </c>
      <c r="W274" t="inlineStr">
        <is>
          <t>19-19-1-CRFH-PE</t>
        </is>
      </c>
      <c r="BA274" s="557" t="n"/>
      <c r="BC274" t="inlineStr">
        <is>
          <t>19.05-0-2-ERW 1-PE</t>
        </is>
      </c>
    </row>
    <row r="275">
      <c r="B275" t="n">
        <v>1938127</v>
      </c>
      <c r="D275" t="n">
        <v>1940034</v>
      </c>
      <c r="E275" t="n">
        <v>1442308</v>
      </c>
      <c r="H275" t="inlineStr">
        <is>
          <t>Thai Summit Autoparts India Pvt Ltd</t>
        </is>
      </c>
      <c r="P275" t="n">
        <v>463</v>
      </c>
      <c r="Q275" t="n">
        <v>457</v>
      </c>
      <c r="W275" t="inlineStr">
        <is>
          <t>19-19-1-CRFH-PE</t>
        </is>
      </c>
      <c r="BA275" s="557" t="n"/>
      <c r="BC275" t="inlineStr">
        <is>
          <t>19.05-0-2-ERW 1-PE</t>
        </is>
      </c>
    </row>
    <row r="276">
      <c r="B276" t="n">
        <v>1938191</v>
      </c>
      <c r="D276" t="n">
        <v>1940034</v>
      </c>
      <c r="E276" t="n">
        <v>3508993</v>
      </c>
      <c r="H276" t="inlineStr">
        <is>
          <t>Thai Summit Autoparts India Pvt Ltd</t>
        </is>
      </c>
      <c r="P276" t="n">
        <v>464</v>
      </c>
      <c r="Q276" t="n">
        <v>458</v>
      </c>
      <c r="W276" t="inlineStr">
        <is>
          <t>19-19-1-CRFH-PE</t>
        </is>
      </c>
      <c r="BA276" s="557" t="n"/>
      <c r="BC276" t="inlineStr">
        <is>
          <t>19.05-0-2-ERW 1-PE</t>
        </is>
      </c>
    </row>
    <row r="277">
      <c r="B277" t="n">
        <v>1938195</v>
      </c>
      <c r="D277" t="n">
        <v>1940034</v>
      </c>
      <c r="E277" t="n">
        <v>1300148</v>
      </c>
      <c r="H277" t="inlineStr">
        <is>
          <t>Allied Industries (India)</t>
        </is>
      </c>
      <c r="P277" t="n">
        <v>465</v>
      </c>
      <c r="Q277" t="n">
        <v>459</v>
      </c>
      <c r="W277" t="inlineStr">
        <is>
          <t>19-19-1-CRFH-PE</t>
        </is>
      </c>
      <c r="BA277" s="557" t="n"/>
      <c r="BC277" t="inlineStr">
        <is>
          <t>19.05-0-2-ERW 1-PE</t>
        </is>
      </c>
    </row>
    <row r="278">
      <c r="B278" t="n">
        <v>1939479</v>
      </c>
      <c r="D278" t="n">
        <v>1940034</v>
      </c>
      <c r="E278" t="n">
        <v>1940309</v>
      </c>
      <c r="H278" t="inlineStr">
        <is>
          <t>JBM AUTO LIMITED</t>
        </is>
      </c>
      <c r="P278" t="n">
        <v>466</v>
      </c>
      <c r="Q278" t="n">
        <v>461</v>
      </c>
      <c r="W278" t="inlineStr">
        <is>
          <t>19-19-1-CRFH-PE</t>
        </is>
      </c>
      <c r="BA278" s="557" t="n"/>
      <c r="BC278" t="inlineStr">
        <is>
          <t>19.05-0-2-ERW 1-PE</t>
        </is>
      </c>
    </row>
    <row r="279">
      <c r="B279" t="n">
        <v>1940614</v>
      </c>
      <c r="D279" t="n">
        <v>1940034</v>
      </c>
      <c r="E279" t="n">
        <v>437156</v>
      </c>
      <c r="H279" t="inlineStr">
        <is>
          <t>JBM AUTO LIMITED</t>
        </is>
      </c>
      <c r="P279" t="n">
        <v>467</v>
      </c>
      <c r="Q279" t="n">
        <v>462</v>
      </c>
      <c r="W279" t="inlineStr">
        <is>
          <t>19-19-1-CRFH-PE</t>
        </is>
      </c>
      <c r="BA279" s="557" t="n"/>
      <c r="BC279" t="inlineStr">
        <is>
          <t>19.05-0-2-ERW 1-PE</t>
        </is>
      </c>
    </row>
    <row r="280">
      <c r="B280" t="n">
        <v>1941303</v>
      </c>
      <c r="D280" t="n">
        <v>1940038</v>
      </c>
      <c r="E280" t="n">
        <v>477004</v>
      </c>
      <c r="H280" t="inlineStr">
        <is>
          <t>Sandhar Technologies (KA)–Unit-III</t>
        </is>
      </c>
      <c r="P280" t="n">
        <v>468</v>
      </c>
      <c r="Q280" t="n">
        <v>463</v>
      </c>
      <c r="W280" t="inlineStr">
        <is>
          <t>19-19-1-CRFH-PE</t>
        </is>
      </c>
      <c r="BA280" s="557" t="n"/>
      <c r="BC280" t="inlineStr">
        <is>
          <t>19.05-0-2-ERW 1-PE</t>
        </is>
      </c>
    </row>
    <row r="281">
      <c r="B281" t="n">
        <v>2359912</v>
      </c>
      <c r="D281" t="n">
        <v>1940038</v>
      </c>
      <c r="E281" t="n">
        <v>1940310</v>
      </c>
      <c r="H281" t="inlineStr">
        <is>
          <t>NASH INDUSTRIES (I) PVT LTD</t>
        </is>
      </c>
      <c r="P281" t="n">
        <v>469</v>
      </c>
      <c r="Q281" t="n">
        <v>464</v>
      </c>
      <c r="W281" t="inlineStr">
        <is>
          <t>19-19-1-CRFH-PE</t>
        </is>
      </c>
      <c r="BA281" s="557" t="n"/>
      <c r="BC281" t="inlineStr">
        <is>
          <t>19.05-0-2-ERW 1-PE</t>
        </is>
      </c>
    </row>
    <row r="282">
      <c r="B282" t="n">
        <v>2396465</v>
      </c>
      <c r="D282" t="n">
        <v>1940038</v>
      </c>
      <c r="E282" t="n">
        <v>2427711</v>
      </c>
      <c r="H282" t="inlineStr">
        <is>
          <t>NASH INDUSTRIES (I) PVT LTD</t>
        </is>
      </c>
      <c r="P282" t="n">
        <v>470</v>
      </c>
      <c r="Q282" t="n">
        <v>465</v>
      </c>
      <c r="W282" t="inlineStr">
        <is>
          <t>19-19-1-CRFH-PE</t>
        </is>
      </c>
      <c r="BA282" s="557" t="n"/>
      <c r="BC282" t="inlineStr">
        <is>
          <t>19.05-0-2-ERW 1-PE</t>
        </is>
      </c>
    </row>
    <row r="283">
      <c r="B283" t="n">
        <v>2410389</v>
      </c>
      <c r="D283" t="n">
        <v>1940038</v>
      </c>
      <c r="E283" t="n">
        <v>3781637</v>
      </c>
      <c r="H283" t="inlineStr">
        <is>
          <t>NASH INDUSTRIES (I) PVT LTD</t>
        </is>
      </c>
      <c r="P283" t="n">
        <v>471</v>
      </c>
      <c r="Q283" t="n">
        <v>466</v>
      </c>
      <c r="W283" t="inlineStr">
        <is>
          <t>19-19-1-CRFH-PE</t>
        </is>
      </c>
      <c r="BA283" s="557" t="n"/>
      <c r="BC283" t="inlineStr">
        <is>
          <t>19.05-0-2.3-ERW 1-PE</t>
        </is>
      </c>
    </row>
    <row r="284">
      <c r="B284" t="n">
        <v>2410995</v>
      </c>
      <c r="D284" t="n">
        <v>1940038</v>
      </c>
      <c r="E284" t="n">
        <v>1940312</v>
      </c>
      <c r="H284" t="inlineStr">
        <is>
          <t>SAKURA AUTOPARTS INDIA PRIVATE LIMI</t>
        </is>
      </c>
      <c r="P284" t="n">
        <v>495</v>
      </c>
      <c r="Q284" t="n">
        <v>467</v>
      </c>
      <c r="W284" t="inlineStr">
        <is>
          <t>19-19-1-CRFH-PE</t>
        </is>
      </c>
      <c r="BA284" s="557" t="n"/>
      <c r="BC284" t="inlineStr">
        <is>
          <t>19.05-0-2.3-ERW 1-PE</t>
        </is>
      </c>
    </row>
    <row r="285">
      <c r="B285" t="n">
        <v>2410997</v>
      </c>
      <c r="D285" t="n">
        <v>1940038</v>
      </c>
      <c r="E285" t="n">
        <v>437154</v>
      </c>
      <c r="H285" t="inlineStr">
        <is>
          <t>SAKURA AUTOPARTS INDIA PRIVATE LIMI</t>
        </is>
      </c>
      <c r="P285" t="n">
        <v>496</v>
      </c>
      <c r="Q285" t="n">
        <v>468</v>
      </c>
      <c r="W285" t="inlineStr">
        <is>
          <t>50-50-1.6-ERW 2-PE</t>
        </is>
      </c>
      <c r="BA285" s="557" t="n"/>
      <c r="BC285" t="inlineStr">
        <is>
          <t>19.05-0-2.3-ERW 1-PE</t>
        </is>
      </c>
    </row>
    <row r="286">
      <c r="B286" t="n">
        <v>2417648</v>
      </c>
      <c r="D286" t="n">
        <v>1940038</v>
      </c>
      <c r="E286" t="n">
        <v>1940313</v>
      </c>
      <c r="H286" t="inlineStr">
        <is>
          <t>SAKURA AUTOPARTS INDIA PRIVATE LIMI</t>
        </is>
      </c>
      <c r="P286" t="n">
        <v>501</v>
      </c>
      <c r="Q286" t="n">
        <v>469</v>
      </c>
      <c r="W286" t="inlineStr">
        <is>
          <t>50-50-1.6-ERW 2-PE</t>
        </is>
      </c>
      <c r="BA286" s="557" t="n"/>
      <c r="BC286" t="inlineStr">
        <is>
          <t>19.05-0-2.3-ERW 1-PE</t>
        </is>
      </c>
    </row>
    <row r="287">
      <c r="B287" t="n">
        <v>2432009</v>
      </c>
      <c r="D287" t="n">
        <v>1940038</v>
      </c>
      <c r="E287" t="n">
        <v>508988</v>
      </c>
      <c r="H287" t="inlineStr">
        <is>
          <t>SAKURA AUTOPARTS INDIA PRIVATE LIMI</t>
        </is>
      </c>
      <c r="P287" t="n">
        <v>502</v>
      </c>
      <c r="Q287" t="n">
        <v>470</v>
      </c>
      <c r="W287" t="inlineStr">
        <is>
          <t>19-19-1-CRFH-PE</t>
        </is>
      </c>
      <c r="BA287" s="557" t="n"/>
      <c r="BC287" t="inlineStr">
        <is>
          <t>19.05-0-2.3-ERW 1-PE</t>
        </is>
      </c>
    </row>
    <row r="288">
      <c r="B288" t="n">
        <v>2439535</v>
      </c>
      <c r="D288" t="n">
        <v>1940038</v>
      </c>
      <c r="E288" t="n">
        <v>1940318</v>
      </c>
      <c r="H288" t="inlineStr">
        <is>
          <t>SAKURA AUTOPARTS INDIA PRIVATE LIMI</t>
        </is>
      </c>
      <c r="P288" t="n">
        <v>503</v>
      </c>
      <c r="Q288" t="n">
        <v>471</v>
      </c>
      <c r="W288" t="inlineStr">
        <is>
          <t>19-19-1-CRFH-PE</t>
        </is>
      </c>
      <c r="BA288" s="557" t="n"/>
      <c r="BC288" t="inlineStr">
        <is>
          <t>19.05-0-2.3-ERW 1-PE</t>
        </is>
      </c>
    </row>
    <row r="289">
      <c r="B289" t="n">
        <v>3190072</v>
      </c>
      <c r="D289" t="n">
        <v>3715199</v>
      </c>
      <c r="E289" t="n">
        <v>437148</v>
      </c>
      <c r="H289" t="inlineStr">
        <is>
          <t>SAKURA AUTOPARTS INDIA PRIVATE LIMI</t>
        </is>
      </c>
      <c r="P289" t="n">
        <v>507</v>
      </c>
      <c r="Q289" t="n">
        <v>495</v>
      </c>
      <c r="W289" t="inlineStr">
        <is>
          <t>19-19-1-CRFH-PE</t>
        </is>
      </c>
      <c r="BA289" s="557" t="n"/>
      <c r="BC289" t="inlineStr">
        <is>
          <t>19.05-0-2.3-ERW 1-PE</t>
        </is>
      </c>
    </row>
    <row r="290">
      <c r="B290" t="n">
        <v>3191790</v>
      </c>
      <c r="D290" t="n">
        <v>3715199</v>
      </c>
      <c r="E290" t="n">
        <v>2320564</v>
      </c>
      <c r="H290" t="inlineStr">
        <is>
          <t>MEGH STEELS PRIVATE LIMITED - RE</t>
        </is>
      </c>
      <c r="P290" t="n">
        <v>517</v>
      </c>
      <c r="Q290" t="n">
        <v>496</v>
      </c>
      <c r="W290" t="inlineStr">
        <is>
          <t>31.75-0-1.2-ERW 1-PE</t>
        </is>
      </c>
      <c r="BA290" s="557" t="n"/>
      <c r="BC290" t="inlineStr">
        <is>
          <t>19.05-0-2.3-ERW 1-PE</t>
        </is>
      </c>
    </row>
    <row r="291">
      <c r="B291" t="n">
        <v>3219709</v>
      </c>
      <c r="D291" t="n">
        <v>3715199</v>
      </c>
      <c r="E291" t="n">
        <v>508992</v>
      </c>
      <c r="H291" t="inlineStr">
        <is>
          <t>SAKURA AUTOPARTS INDIA PRIVATE LIMI</t>
        </is>
      </c>
      <c r="P291" t="n">
        <v>518</v>
      </c>
      <c r="Q291" t="n">
        <v>497</v>
      </c>
      <c r="W291" t="inlineStr">
        <is>
          <t>19-19-1-CRFH-PE</t>
        </is>
      </c>
      <c r="BA291" s="557" t="n"/>
      <c r="BC291" t="inlineStr">
        <is>
          <t>19.05-0-2.3-ERW 1-PE</t>
        </is>
      </c>
    </row>
    <row r="292">
      <c r="B292" t="n">
        <v>3487459</v>
      </c>
      <c r="D292" t="n">
        <v>3715199</v>
      </c>
      <c r="E292" t="n">
        <v>513789</v>
      </c>
      <c r="H292" t="inlineStr">
        <is>
          <t>SAKURA AUTOPARTS INDIA PRIVATE LIMI</t>
        </is>
      </c>
      <c r="P292" t="n">
        <v>519</v>
      </c>
      <c r="Q292" t="n">
        <v>501</v>
      </c>
      <c r="W292" t="inlineStr">
        <is>
          <t>19-19-1-CRFH-PE</t>
        </is>
      </c>
      <c r="BA292" s="557" t="n"/>
      <c r="BC292" t="inlineStr">
        <is>
          <t>19.05-0-2.3-ERW 1-PE</t>
        </is>
      </c>
    </row>
    <row r="293">
      <c r="B293" t="n">
        <v>3499828</v>
      </c>
      <c r="D293" t="n">
        <v>3715199</v>
      </c>
      <c r="E293" t="n">
        <v>1940324</v>
      </c>
      <c r="H293" t="inlineStr">
        <is>
          <t>MEGH STEELS PRIVATE LIMITED - RE</t>
        </is>
      </c>
      <c r="P293" t="n">
        <v>520</v>
      </c>
      <c r="Q293" t="n">
        <v>502</v>
      </c>
      <c r="W293" t="inlineStr">
        <is>
          <t>19-19-1-CRFH-PE</t>
        </is>
      </c>
      <c r="BA293" s="557" t="n"/>
      <c r="BC293" t="inlineStr">
        <is>
          <t>19.05-0-2.3-ERW 1-PE</t>
        </is>
      </c>
    </row>
    <row r="294">
      <c r="B294" t="n">
        <v>3531650</v>
      </c>
      <c r="D294" t="n">
        <v>3715199</v>
      </c>
      <c r="E294" t="n">
        <v>437150</v>
      </c>
      <c r="H294" t="inlineStr">
        <is>
          <t>MEGH STEELS PRIVATE LIMITED - RE</t>
        </is>
      </c>
      <c r="P294" t="n">
        <v>521</v>
      </c>
      <c r="Q294" t="n">
        <v>503</v>
      </c>
      <c r="W294" t="inlineStr">
        <is>
          <t>19-19-1-CRFH-PE</t>
        </is>
      </c>
      <c r="BA294" s="557" t="n"/>
      <c r="BC294" t="inlineStr">
        <is>
          <t>19.05-0-2.3-ERW 1-PE</t>
        </is>
      </c>
    </row>
    <row r="295">
      <c r="B295" t="n">
        <v>3702679</v>
      </c>
      <c r="D295" t="n">
        <v>3715199</v>
      </c>
      <c r="E295" t="n">
        <v>511878</v>
      </c>
      <c r="H295" t="inlineStr">
        <is>
          <t>SAKURA AUTOPARTS INDIA PRIVATE LIMI</t>
        </is>
      </c>
      <c r="P295" t="n">
        <v>522</v>
      </c>
      <c r="Q295" t="n">
        <v>507</v>
      </c>
      <c r="W295" t="inlineStr">
        <is>
          <t>19-19-1-CRFH-PE</t>
        </is>
      </c>
      <c r="BA295" s="557" t="n"/>
      <c r="BC295" t="inlineStr">
        <is>
          <t>19.05-0-2.3-ERW 1-PE</t>
        </is>
      </c>
    </row>
    <row r="296">
      <c r="B296" t="n">
        <v>3702717</v>
      </c>
      <c r="D296" t="n">
        <v>2409610</v>
      </c>
      <c r="E296" t="n">
        <v>1940325</v>
      </c>
      <c r="H296" t="inlineStr">
        <is>
          <t>Thirupathi Industries</t>
        </is>
      </c>
      <c r="P296" t="n">
        <v>523</v>
      </c>
      <c r="Q296" t="n">
        <v>516</v>
      </c>
      <c r="W296" t="inlineStr">
        <is>
          <t>19-19-1-CRFH-PE</t>
        </is>
      </c>
      <c r="BA296" s="557" t="n"/>
      <c r="BC296" t="inlineStr">
        <is>
          <t>19.05-0-2.3-ERW 1-PE</t>
        </is>
      </c>
    </row>
    <row r="297">
      <c r="B297" t="n">
        <v>3702820</v>
      </c>
      <c r="D297" t="n">
        <v>2409610</v>
      </c>
      <c r="E297" t="n">
        <v>3507077</v>
      </c>
      <c r="H297" t="inlineStr">
        <is>
          <t>Thirupathi Industries</t>
        </is>
      </c>
      <c r="P297" t="n">
        <v>524</v>
      </c>
      <c r="Q297" t="n">
        <v>517</v>
      </c>
      <c r="W297" t="inlineStr">
        <is>
          <t>19-19-1-CRFH-PE</t>
        </is>
      </c>
      <c r="BA297" s="557" t="n"/>
      <c r="BC297" t="inlineStr">
        <is>
          <t>19.05-0-2.3-ERW 1-PE</t>
        </is>
      </c>
    </row>
    <row r="298">
      <c r="B298" t="n">
        <v>3746291</v>
      </c>
      <c r="D298" t="n">
        <v>2409610</v>
      </c>
      <c r="E298" t="n">
        <v>437144</v>
      </c>
      <c r="H298" t="inlineStr">
        <is>
          <t>Thirupathi Industries</t>
        </is>
      </c>
      <c r="P298" t="n">
        <v>525</v>
      </c>
      <c r="Q298" t="n">
        <v>518</v>
      </c>
      <c r="W298" t="inlineStr">
        <is>
          <t>19-19-1-CRFH-PE</t>
        </is>
      </c>
      <c r="BA298" s="557" t="n"/>
      <c r="BC298" t="inlineStr">
        <is>
          <t>19.05-0-2.3-ERW 1-PE</t>
        </is>
      </c>
    </row>
    <row r="299">
      <c r="B299" t="n">
        <v>3775122</v>
      </c>
      <c r="D299" t="n">
        <v>2409610</v>
      </c>
      <c r="E299" t="n">
        <v>1940327</v>
      </c>
      <c r="H299" t="inlineStr">
        <is>
          <t>Thirupathi Industries</t>
        </is>
      </c>
      <c r="P299" t="n">
        <v>526</v>
      </c>
      <c r="Q299" t="n">
        <v>519</v>
      </c>
      <c r="W299" t="inlineStr">
        <is>
          <t>19-19-1-CRFH-PE</t>
        </is>
      </c>
      <c r="BA299" s="557" t="n"/>
      <c r="BC299" t="inlineStr">
        <is>
          <t>19.05-0-2.3-ERW 1-PE</t>
        </is>
      </c>
    </row>
    <row r="300">
      <c r="B300" t="n">
        <v>3775631</v>
      </c>
      <c r="D300" t="n">
        <v>1940043</v>
      </c>
      <c r="E300" t="n">
        <v>3508521</v>
      </c>
      <c r="H300" t="inlineStr">
        <is>
          <t>Thirupathi Industries</t>
        </is>
      </c>
      <c r="P300" t="n">
        <v>527</v>
      </c>
      <c r="Q300" t="n">
        <v>520</v>
      </c>
      <c r="W300" t="inlineStr">
        <is>
          <t>19-19-1-CRFH-PE</t>
        </is>
      </c>
      <c r="BA300" s="557" t="n"/>
      <c r="BC300" t="inlineStr">
        <is>
          <t>19.05-0-2.3-ERW 1-PE</t>
        </is>
      </c>
    </row>
    <row r="301">
      <c r="B301" t="n">
        <v>3855139</v>
      </c>
      <c r="D301" t="n">
        <v>1940043</v>
      </c>
      <c r="E301" t="n">
        <v>1940329</v>
      </c>
      <c r="H301" t="inlineStr">
        <is>
          <t>Thirupathi Industries</t>
        </is>
      </c>
      <c r="P301" t="n">
        <v>528</v>
      </c>
      <c r="Q301" t="n">
        <v>521</v>
      </c>
      <c r="W301" t="inlineStr">
        <is>
          <t>22.23-0-1.6-ERW 1-PE</t>
        </is>
      </c>
      <c r="BA301" s="557" t="n"/>
      <c r="BC301" t="inlineStr">
        <is>
          <t>19.05-0-2.3-ERW 1-PE</t>
        </is>
      </c>
    </row>
    <row r="302">
      <c r="B302" t="n">
        <v>3870803</v>
      </c>
      <c r="D302" t="n">
        <v>1940043</v>
      </c>
      <c r="E302" t="n">
        <v>1372704</v>
      </c>
      <c r="H302" t="inlineStr">
        <is>
          <t>NAHARS ENGINEERING INDIA PRIVATE LI</t>
        </is>
      </c>
      <c r="P302" t="n">
        <v>529</v>
      </c>
      <c r="Q302" t="n">
        <v>522</v>
      </c>
      <c r="W302" t="inlineStr">
        <is>
          <t>22.23-0-1.6-ERW 1-PE</t>
        </is>
      </c>
      <c r="BA302" s="557" t="n"/>
      <c r="BC302" t="inlineStr">
        <is>
          <t>19.05-0-2.3-ERW 1-PE</t>
        </is>
      </c>
    </row>
    <row r="303">
      <c r="B303" t="n">
        <v>3915667</v>
      </c>
      <c r="D303" t="n">
        <v>1940043</v>
      </c>
      <c r="E303" t="n">
        <v>1940335</v>
      </c>
      <c r="H303" t="inlineStr">
        <is>
          <t>NAHARS ENGINEERING INDIA PRIVATE LI</t>
        </is>
      </c>
      <c r="P303" t="n">
        <v>530</v>
      </c>
      <c r="Q303" t="n">
        <v>523</v>
      </c>
      <c r="W303" t="inlineStr">
        <is>
          <t>22.23-0-1.6-ERW 1-PE</t>
        </is>
      </c>
      <c r="BA303" s="557" t="n"/>
      <c r="BC303" t="inlineStr">
        <is>
          <t>19.05-0-2.3-ERW 1-PE</t>
        </is>
      </c>
    </row>
    <row r="304">
      <c r="B304" t="n">
        <v>257093</v>
      </c>
      <c r="D304" t="n">
        <v>1940043</v>
      </c>
      <c r="E304" t="n">
        <v>3500582</v>
      </c>
      <c r="H304" t="inlineStr">
        <is>
          <t>NAHARS ENGINEERING INDIA PRIVATE LI</t>
        </is>
      </c>
      <c r="P304" t="n">
        <v>531</v>
      </c>
      <c r="Q304" t="n">
        <v>524</v>
      </c>
      <c r="W304" t="inlineStr">
        <is>
          <t>22.23-0-1.6-ERW 1-PE</t>
        </is>
      </c>
      <c r="BA304" s="557" t="n"/>
      <c r="BC304" t="inlineStr">
        <is>
          <t>19.05-0-2.3-ERW 1-PE</t>
        </is>
      </c>
    </row>
    <row r="305">
      <c r="B305" t="n">
        <v>302897</v>
      </c>
      <c r="D305" t="n">
        <v>1940043</v>
      </c>
      <c r="E305" t="n">
        <v>1268694</v>
      </c>
      <c r="H305" t="inlineStr">
        <is>
          <t>NAHARS ENGINEERING INDIA PRIVATE LI</t>
        </is>
      </c>
      <c r="P305" t="n">
        <v>532</v>
      </c>
      <c r="Q305" t="n">
        <v>525</v>
      </c>
      <c r="W305" t="inlineStr">
        <is>
          <t>22.23-0-1.6-ERW 1-PE</t>
        </is>
      </c>
      <c r="BA305" s="557" t="n"/>
      <c r="BC305" t="inlineStr">
        <is>
          <t>19.05-0-2.3-ERW 1-PE</t>
        </is>
      </c>
    </row>
    <row r="306">
      <c r="B306" t="n">
        <v>437147</v>
      </c>
      <c r="D306" t="n">
        <v>1940043</v>
      </c>
      <c r="E306" t="n">
        <v>238726</v>
      </c>
      <c r="H306" t="inlineStr">
        <is>
          <t>NAHARS ENGINEERING INDIA PRIVATE LI</t>
        </is>
      </c>
      <c r="P306" t="n">
        <v>533</v>
      </c>
      <c r="Q306" t="n">
        <v>526</v>
      </c>
      <c r="W306" t="inlineStr">
        <is>
          <t>22.23-0-1.6-ERW 1-PE</t>
        </is>
      </c>
      <c r="BA306" s="557" t="n"/>
      <c r="BC306" t="inlineStr">
        <is>
          <t>19.05-0-2.3-ERW 1-PE</t>
        </is>
      </c>
    </row>
    <row r="307">
      <c r="B307" t="n">
        <v>437159</v>
      </c>
      <c r="D307" t="n">
        <v>1940043</v>
      </c>
      <c r="E307" t="n">
        <v>3718926</v>
      </c>
      <c r="H307" t="inlineStr">
        <is>
          <t>A.S.(E) Exports Pvt.Ltd.</t>
        </is>
      </c>
      <c r="P307" t="n">
        <v>534</v>
      </c>
      <c r="Q307" t="n">
        <v>527</v>
      </c>
      <c r="W307" t="inlineStr">
        <is>
          <t>19-19-1-CRFH-PE</t>
        </is>
      </c>
      <c r="BA307" s="557" t="n"/>
      <c r="BC307" t="inlineStr">
        <is>
          <t>19.05-0-2.3-ERW 1-PE</t>
        </is>
      </c>
    </row>
    <row r="308">
      <c r="B308" t="n">
        <v>444029</v>
      </c>
      <c r="D308" t="n">
        <v>1940043</v>
      </c>
      <c r="E308" t="n">
        <v>238539</v>
      </c>
      <c r="H308" t="inlineStr">
        <is>
          <t>A.S.(E) Exports Pvt.Ltd.</t>
        </is>
      </c>
      <c r="P308" t="n">
        <v>535</v>
      </c>
      <c r="Q308" t="n">
        <v>528</v>
      </c>
      <c r="W308" t="inlineStr">
        <is>
          <t>19-19-1-CRFH-PE</t>
        </is>
      </c>
      <c r="BA308" s="557" t="n"/>
      <c r="BC308" t="inlineStr">
        <is>
          <t>19.05-0-2.3-ERW 1-PE</t>
        </is>
      </c>
    </row>
    <row r="309">
      <c r="B309" t="n">
        <v>468843</v>
      </c>
      <c r="D309" t="n">
        <v>1940043</v>
      </c>
      <c r="E309" t="n">
        <v>2410643</v>
      </c>
      <c r="H309" t="inlineStr">
        <is>
          <t>LAXMI METAL PRESSING WORKS PVT LTD</t>
        </is>
      </c>
      <c r="P309" t="n">
        <v>536</v>
      </c>
      <c r="Q309" t="n">
        <v>529</v>
      </c>
      <c r="W309" t="inlineStr">
        <is>
          <t>19-19-1-CRFH-PE</t>
        </is>
      </c>
      <c r="BA309" s="557" t="n"/>
      <c r="BC309" t="inlineStr">
        <is>
          <t>19.05-0-2.3-ERW 1-PE</t>
        </is>
      </c>
    </row>
    <row r="310">
      <c r="B310" t="n">
        <v>1155165</v>
      </c>
      <c r="D310" t="n">
        <v>1940043</v>
      </c>
      <c r="E310" t="n">
        <v>3228788</v>
      </c>
      <c r="H310" t="inlineStr">
        <is>
          <t>LAXMI METAL PRESSING WORKS PVT LTD</t>
        </is>
      </c>
      <c r="P310" t="n">
        <v>537</v>
      </c>
      <c r="Q310" t="n">
        <v>530</v>
      </c>
      <c r="W310" t="inlineStr">
        <is>
          <t>19-19-1-CRFH-PE</t>
        </is>
      </c>
      <c r="BA310" s="557" t="n"/>
      <c r="BC310" t="inlineStr">
        <is>
          <t>19.05-0-2.3-ERW 1-PE</t>
        </is>
      </c>
    </row>
    <row r="311">
      <c r="B311" t="n">
        <v>1931310</v>
      </c>
      <c r="D311" t="n">
        <v>1940043</v>
      </c>
      <c r="E311" t="n">
        <v>2439536</v>
      </c>
      <c r="H311" t="inlineStr">
        <is>
          <t>LAXMI METAL PRESSING WORKS PVT LTD</t>
        </is>
      </c>
      <c r="P311" t="n">
        <v>538</v>
      </c>
      <c r="Q311" t="n">
        <v>531</v>
      </c>
      <c r="W311" t="inlineStr">
        <is>
          <t>19-19-1-CRFH-PE</t>
        </is>
      </c>
      <c r="BA311" s="557" t="n"/>
      <c r="BC311" t="inlineStr">
        <is>
          <t>19.05-0-2.3-ERW 1-PE</t>
        </is>
      </c>
    </row>
    <row r="312">
      <c r="B312" t="n">
        <v>1938116</v>
      </c>
      <c r="D312" t="n">
        <v>1940043</v>
      </c>
      <c r="E312" t="n">
        <v>2439535</v>
      </c>
      <c r="H312" t="inlineStr">
        <is>
          <t>MEGH STEELS PRIVATE LIMITED - TVS A</t>
        </is>
      </c>
      <c r="P312" t="n">
        <v>539</v>
      </c>
      <c r="Q312" t="n">
        <v>532</v>
      </c>
      <c r="W312" t="inlineStr">
        <is>
          <t>19-19-1-CRFH-PE</t>
        </is>
      </c>
      <c r="BA312" s="557" t="n"/>
      <c r="BC312" t="inlineStr">
        <is>
          <t>19.05-0-2.3-ERW 1-PE</t>
        </is>
      </c>
    </row>
    <row r="313">
      <c r="B313" t="n">
        <v>1938119</v>
      </c>
      <c r="D313" t="n">
        <v>1940045</v>
      </c>
      <c r="E313" t="n">
        <v>3219710</v>
      </c>
      <c r="H313" t="inlineStr">
        <is>
          <t>Rajsriya Automotive Ind.P.Ltd Unit-</t>
        </is>
      </c>
      <c r="P313" t="n">
        <v>540</v>
      </c>
      <c r="Q313" t="n">
        <v>533</v>
      </c>
      <c r="W313" t="inlineStr">
        <is>
          <t>19-19-1-CRFH-PE</t>
        </is>
      </c>
      <c r="BA313" s="557" t="n"/>
      <c r="BC313" t="inlineStr">
        <is>
          <t>19.05-0-2.3-ERW 1-PE</t>
        </is>
      </c>
    </row>
    <row r="314">
      <c r="B314" t="n">
        <v>1938163</v>
      </c>
      <c r="D314" t="n">
        <v>1940045</v>
      </c>
      <c r="E314" t="n">
        <v>1940348</v>
      </c>
      <c r="H314" t="inlineStr">
        <is>
          <t>RAJSRIYA AUTOMOTIVE IND. P LTD</t>
        </is>
      </c>
      <c r="P314" t="n">
        <v>541</v>
      </c>
      <c r="Q314" t="n">
        <v>534</v>
      </c>
      <c r="W314" t="inlineStr">
        <is>
          <t>19-19-1-CRFH-PE</t>
        </is>
      </c>
      <c r="BA314" s="557" t="n"/>
      <c r="BC314" t="inlineStr">
        <is>
          <t>19.05-0-2.3-ERW 1-PE</t>
        </is>
      </c>
    </row>
    <row r="315">
      <c r="B315" t="n">
        <v>1938358</v>
      </c>
      <c r="D315" t="n">
        <v>1940045</v>
      </c>
      <c r="E315" t="n">
        <v>2410999</v>
      </c>
      <c r="H315" t="inlineStr">
        <is>
          <t>Rajsriya Automotive Industries</t>
        </is>
      </c>
      <c r="P315" t="n">
        <v>545</v>
      </c>
      <c r="Q315" t="n">
        <v>535</v>
      </c>
      <c r="W315" t="inlineStr">
        <is>
          <t>19-19-1-CRFH-PE</t>
        </is>
      </c>
      <c r="BA315" s="557" t="n"/>
      <c r="BC315" t="inlineStr">
        <is>
          <t>19.05-0-2.3-ERW 1-PE</t>
        </is>
      </c>
    </row>
    <row r="316">
      <c r="B316" t="n">
        <v>1938382</v>
      </c>
      <c r="D316" t="n">
        <v>1940045</v>
      </c>
      <c r="E316" t="n">
        <v>2410994</v>
      </c>
      <c r="H316" t="inlineStr">
        <is>
          <t>Rajsriya Automotive Industries</t>
        </is>
      </c>
      <c r="P316" t="n">
        <v>546</v>
      </c>
      <c r="Q316" t="n">
        <v>536</v>
      </c>
      <c r="W316" t="inlineStr">
        <is>
          <t>19-19-1-CRFH-PE</t>
        </is>
      </c>
      <c r="BA316" s="557" t="n"/>
      <c r="BC316" t="inlineStr">
        <is>
          <t>19.05-0-2.3-ERW 1-PE</t>
        </is>
      </c>
    </row>
    <row r="317">
      <c r="B317" t="n">
        <v>1939283</v>
      </c>
      <c r="D317" t="n">
        <v>1940045</v>
      </c>
      <c r="E317" t="n">
        <v>314118</v>
      </c>
      <c r="H317" t="inlineStr">
        <is>
          <t>Rajsriya Automotive Industries</t>
        </is>
      </c>
      <c r="P317" t="n">
        <v>547</v>
      </c>
      <c r="Q317" t="n">
        <v>537</v>
      </c>
      <c r="W317" t="inlineStr">
        <is>
          <t>19-19-1-CRFH-PE</t>
        </is>
      </c>
      <c r="BA317" s="557" t="n"/>
      <c r="BC317" t="inlineStr">
        <is>
          <t>19.05-0-2.3-ERW 1-PE</t>
        </is>
      </c>
    </row>
    <row r="318">
      <c r="B318" t="n">
        <v>1940213</v>
      </c>
      <c r="D318" t="n">
        <v>1940045</v>
      </c>
      <c r="E318" t="n">
        <v>420489</v>
      </c>
      <c r="H318" t="inlineStr">
        <is>
          <t>Rajsriya Automotive Industries</t>
        </is>
      </c>
      <c r="P318" t="n">
        <v>548</v>
      </c>
      <c r="Q318" t="n">
        <v>538</v>
      </c>
      <c r="W318" t="inlineStr">
        <is>
          <t>38.1-0-2.5-ERW 2 MAHS-FC</t>
        </is>
      </c>
      <c r="BA318" s="557" t="n"/>
      <c r="BC318" t="inlineStr">
        <is>
          <t>19.05-0-2.3-ERW 1-PE</t>
        </is>
      </c>
    </row>
    <row r="319">
      <c r="B319" t="n">
        <v>2359755</v>
      </c>
      <c r="D319" t="n">
        <v>1940045</v>
      </c>
      <c r="E319" t="n">
        <v>3180928</v>
      </c>
      <c r="H319" t="inlineStr">
        <is>
          <t>RAJSRIYA AUTOMOTIVE IND. P LTD</t>
        </is>
      </c>
      <c r="P319" t="n">
        <v>549</v>
      </c>
      <c r="Q319" t="n">
        <v>539</v>
      </c>
      <c r="W319" t="inlineStr">
        <is>
          <t>38.1-0-2.5-ERW 2 MAHS-FC</t>
        </is>
      </c>
      <c r="BA319" s="557" t="n"/>
      <c r="BC319" t="inlineStr">
        <is>
          <t>19.05-0-2.3-ERW 1-PE</t>
        </is>
      </c>
    </row>
    <row r="320">
      <c r="B320" t="n">
        <v>2363145</v>
      </c>
      <c r="D320" t="n">
        <v>1940045</v>
      </c>
      <c r="E320" t="n">
        <v>3667938</v>
      </c>
      <c r="H320" t="inlineStr">
        <is>
          <t>RAJSRIYA AUTOMOTIVE IND. P LTD</t>
        </is>
      </c>
      <c r="P320" t="n">
        <v>550</v>
      </c>
      <c r="Q320" t="n">
        <v>540</v>
      </c>
      <c r="W320" t="inlineStr">
        <is>
          <t>38.1-0-2.5-ERW 2 MAHS-FC</t>
        </is>
      </c>
      <c r="BA320" s="557" t="n"/>
      <c r="BC320" t="inlineStr">
        <is>
          <t>19.05-0-2.3-ERW 1-PE</t>
        </is>
      </c>
    </row>
    <row r="321">
      <c r="B321" t="n">
        <v>2396464</v>
      </c>
      <c r="D321" t="n">
        <v>1940045</v>
      </c>
      <c r="E321" t="n">
        <v>3507568</v>
      </c>
      <c r="H321" t="inlineStr">
        <is>
          <t>NASH INDUSTRIES (I) PVT LTD</t>
        </is>
      </c>
      <c r="P321" t="n">
        <v>551</v>
      </c>
      <c r="Q321" t="n">
        <v>541</v>
      </c>
      <c r="W321" t="inlineStr">
        <is>
          <t>38.1-0-2.5-ERW 2 MAHS-FC</t>
        </is>
      </c>
      <c r="BA321" s="557" t="n"/>
      <c r="BC321" t="inlineStr">
        <is>
          <t>19.05-0-2.3-ERW 1-PE</t>
        </is>
      </c>
    </row>
    <row r="322">
      <c r="B322" t="n">
        <v>2397139</v>
      </c>
      <c r="D322" t="n">
        <v>1940045</v>
      </c>
      <c r="E322" t="n">
        <v>1270328</v>
      </c>
      <c r="H322" t="inlineStr">
        <is>
          <t>BALAJI PRESS PRODUCTS INDIA</t>
        </is>
      </c>
      <c r="P322" t="n">
        <v>552</v>
      </c>
      <c r="Q322" t="n">
        <v>545</v>
      </c>
      <c r="W322" t="inlineStr">
        <is>
          <t>38.1-0-2.5-ERW 2 MAHS-FC</t>
        </is>
      </c>
      <c r="BA322" s="557" t="n"/>
      <c r="BC322" t="inlineStr">
        <is>
          <t>19.05-0-2.3-ERW 1-PE</t>
        </is>
      </c>
    </row>
    <row r="323">
      <c r="B323" t="n">
        <v>2410988</v>
      </c>
      <c r="D323" t="n">
        <v>1940045</v>
      </c>
      <c r="E323" t="n">
        <v>521118</v>
      </c>
      <c r="H323" t="inlineStr">
        <is>
          <t>Neel Metal Products Limited</t>
        </is>
      </c>
      <c r="P323" t="n">
        <v>553</v>
      </c>
      <c r="Q323" t="n">
        <v>546</v>
      </c>
      <c r="W323" t="inlineStr">
        <is>
          <t>19-19-1-CRFH-PE</t>
        </is>
      </c>
      <c r="BA323" s="557" t="n"/>
      <c r="BC323" t="inlineStr">
        <is>
          <t>19.05-0-2.3-ERW 1-PE</t>
        </is>
      </c>
    </row>
    <row r="324">
      <c r="B324" t="n">
        <v>2411624</v>
      </c>
      <c r="D324" t="n">
        <v>1940045</v>
      </c>
      <c r="E324" t="n">
        <v>3669081</v>
      </c>
      <c r="H324" t="inlineStr">
        <is>
          <t>Metalman Auto Private Limited</t>
        </is>
      </c>
      <c r="P324" t="n">
        <v>554</v>
      </c>
      <c r="Q324" t="n">
        <v>547</v>
      </c>
      <c r="W324" t="inlineStr">
        <is>
          <t>19-19-1-CRFH-PE</t>
        </is>
      </c>
      <c r="BA324" s="557" t="n"/>
      <c r="BC324" t="inlineStr">
        <is>
          <t>19.05-0-2.3-ERW 1-PE</t>
        </is>
      </c>
    </row>
    <row r="325">
      <c r="B325" t="n">
        <v>2426240</v>
      </c>
      <c r="D325" t="n">
        <v>1940046</v>
      </c>
      <c r="E325" t="n">
        <v>3498972</v>
      </c>
      <c r="H325" t="inlineStr">
        <is>
          <t>Metalman Auto Private Limited</t>
        </is>
      </c>
      <c r="P325" t="n">
        <v>555</v>
      </c>
      <c r="Q325" t="n">
        <v>548</v>
      </c>
      <c r="W325" t="inlineStr">
        <is>
          <t>19-19-1-CRFH-PE</t>
        </is>
      </c>
      <c r="BA325" s="557" t="n"/>
      <c r="BC325" t="inlineStr">
        <is>
          <t>19.05-0-2.3-ERW 1-PE</t>
        </is>
      </c>
    </row>
    <row r="326">
      <c r="B326" t="n">
        <v>2428441</v>
      </c>
      <c r="D326" t="n">
        <v>1940046</v>
      </c>
      <c r="E326" t="n">
        <v>3500906</v>
      </c>
      <c r="H326" t="inlineStr">
        <is>
          <t>Rajsriya Automotive Ind. Pvt Ltd</t>
        </is>
      </c>
      <c r="P326" t="n">
        <v>556</v>
      </c>
      <c r="Q326" t="n">
        <v>549</v>
      </c>
      <c r="W326" t="inlineStr">
        <is>
          <t>19-19-1-CRFH-PE</t>
        </is>
      </c>
      <c r="BA326" s="557" t="n"/>
      <c r="BC326" t="inlineStr">
        <is>
          <t>19.05-0-2.3-ERW 1-PE</t>
        </is>
      </c>
    </row>
    <row r="327">
      <c r="B327" t="n">
        <v>2436343</v>
      </c>
      <c r="D327" t="n">
        <v>1940046</v>
      </c>
      <c r="E327" t="n">
        <v>3499662</v>
      </c>
      <c r="H327" t="inlineStr">
        <is>
          <t>RAJSRIYA AUTOMOTIVE IND. P LTD</t>
        </is>
      </c>
      <c r="P327" t="n">
        <v>557</v>
      </c>
      <c r="Q327" t="n">
        <v>550</v>
      </c>
      <c r="W327" t="inlineStr">
        <is>
          <t>19-19-1-CRFH-PE</t>
        </is>
      </c>
      <c r="BA327" s="557" t="n"/>
      <c r="BC327" t="inlineStr">
        <is>
          <t>19.05-0-2.3-ERW 1-PE</t>
        </is>
      </c>
    </row>
    <row r="328">
      <c r="B328" t="n">
        <v>3182342</v>
      </c>
      <c r="D328" t="n">
        <v>1940046</v>
      </c>
      <c r="E328" t="n">
        <v>3829175</v>
      </c>
      <c r="H328" t="inlineStr">
        <is>
          <t>Rajsriya Automotive Ind. Pvt Ltd</t>
        </is>
      </c>
      <c r="P328" t="n">
        <v>558</v>
      </c>
      <c r="Q328" t="n">
        <v>551</v>
      </c>
      <c r="W328" t="inlineStr">
        <is>
          <t>19-19-1-CRFH-PE</t>
        </is>
      </c>
      <c r="BA328" s="557" t="n"/>
      <c r="BC328" t="inlineStr">
        <is>
          <t>19.05-0-2.3-ERW 1-PE</t>
        </is>
      </c>
    </row>
    <row r="329">
      <c r="B329" t="n">
        <v>3228788</v>
      </c>
      <c r="D329" t="n">
        <v>1940046</v>
      </c>
      <c r="E329" t="n">
        <v>355991</v>
      </c>
      <c r="H329" t="inlineStr">
        <is>
          <t>SRIKAM HITECH ENGINEERING PRIVATE L</t>
        </is>
      </c>
      <c r="P329" t="n">
        <v>559</v>
      </c>
      <c r="Q329" t="n">
        <v>552</v>
      </c>
      <c r="W329" t="inlineStr">
        <is>
          <t>19-19-1-CRFH-PE</t>
        </is>
      </c>
      <c r="BA329" s="557" t="n"/>
      <c r="BC329" t="inlineStr">
        <is>
          <t>19.05-0-2.3-ERW 1-PE</t>
        </is>
      </c>
    </row>
    <row r="330">
      <c r="B330" t="n">
        <v>3433148</v>
      </c>
      <c r="D330" t="n">
        <v>1940046</v>
      </c>
      <c r="E330" t="n">
        <v>237644</v>
      </c>
      <c r="H330" t="inlineStr">
        <is>
          <t>Thirupathi Industries</t>
        </is>
      </c>
      <c r="P330" t="n">
        <v>560</v>
      </c>
      <c r="Q330" t="n">
        <v>553</v>
      </c>
      <c r="W330" t="inlineStr">
        <is>
          <t>19-19-1-CRFH-PE</t>
        </is>
      </c>
      <c r="BA330" s="557" t="n"/>
      <c r="BC330" t="inlineStr">
        <is>
          <t>19.05-0-2.3-ERW 1-PE</t>
        </is>
      </c>
    </row>
    <row r="331">
      <c r="B331" t="n">
        <v>3498972</v>
      </c>
      <c r="D331" t="n">
        <v>1940046</v>
      </c>
      <c r="E331" t="n">
        <v>256860</v>
      </c>
      <c r="H331" t="inlineStr">
        <is>
          <t>Thai Summit Autoparts India Pvt Ltd</t>
        </is>
      </c>
      <c r="P331" t="n">
        <v>563</v>
      </c>
      <c r="Q331" t="n">
        <v>554</v>
      </c>
      <c r="W331" t="inlineStr">
        <is>
          <t>19.05-0-2.3-ERW 1-PE</t>
        </is>
      </c>
      <c r="BA331" s="557" t="n"/>
      <c r="BC331" t="inlineStr">
        <is>
          <t>19.1-16.1-1.5-CEW-FIN CUT</t>
        </is>
      </c>
    </row>
    <row r="332">
      <c r="B332" t="n">
        <v>3499121</v>
      </c>
      <c r="D332" t="n">
        <v>1940046</v>
      </c>
      <c r="E332" t="n">
        <v>3747395</v>
      </c>
      <c r="H332" t="inlineStr">
        <is>
          <t>MEGH STEELS PRIVATE LIMITED - RE</t>
        </is>
      </c>
      <c r="P332" t="n">
        <v>564</v>
      </c>
      <c r="Q332" t="n">
        <v>555</v>
      </c>
      <c r="W332" t="inlineStr">
        <is>
          <t>19.05-0-2.3-ERW 1-PE</t>
        </is>
      </c>
      <c r="BA332" s="557" t="n"/>
      <c r="BC332" t="inlineStr">
        <is>
          <t>20-17.16-1.42-CEW-CEW</t>
        </is>
      </c>
    </row>
    <row r="333">
      <c r="B333" t="n">
        <v>3499231</v>
      </c>
      <c r="D333" t="n">
        <v>1940046</v>
      </c>
      <c r="E333" t="n">
        <v>292334</v>
      </c>
      <c r="H333" t="inlineStr">
        <is>
          <t>MEGH STEELS PRIVATE LIMITED - RE</t>
        </is>
      </c>
      <c r="P333" t="n">
        <v>565</v>
      </c>
      <c r="Q333" t="n">
        <v>556</v>
      </c>
      <c r="W333" t="inlineStr">
        <is>
          <t>19.05-0-2.3-ERW 1-PE</t>
        </is>
      </c>
      <c r="BA333" s="557" t="n"/>
      <c r="BC333" t="inlineStr">
        <is>
          <t>20-17.16-1.42-CEW-CEW</t>
        </is>
      </c>
    </row>
    <row r="334">
      <c r="B334" t="n">
        <v>3499307</v>
      </c>
      <c r="D334" t="n">
        <v>1940046</v>
      </c>
      <c r="E334" t="n">
        <v>508985</v>
      </c>
      <c r="H334" t="inlineStr">
        <is>
          <t>MEGH STEELS PRIVATE LIMITED - RE</t>
        </is>
      </c>
      <c r="P334" t="n">
        <v>567</v>
      </c>
      <c r="Q334" t="n">
        <v>557</v>
      </c>
      <c r="W334" t="inlineStr">
        <is>
          <t>19.05-0-2.3-ERW 1-PE</t>
        </is>
      </c>
      <c r="BA334" s="557" t="n"/>
      <c r="BC334" t="inlineStr">
        <is>
          <t>20-12.4-3.8-CEW-CEW</t>
        </is>
      </c>
    </row>
    <row r="335">
      <c r="B335" t="n">
        <v>3499903</v>
      </c>
      <c r="D335" t="n">
        <v>1940046</v>
      </c>
      <c r="E335" t="n">
        <v>3214089</v>
      </c>
      <c r="H335" t="inlineStr">
        <is>
          <t>NAHARS ENGINEERING INDIA PRIVATE LI</t>
        </is>
      </c>
      <c r="P335" t="n">
        <v>568</v>
      </c>
      <c r="Q335" t="n">
        <v>558</v>
      </c>
      <c r="W335" t="inlineStr">
        <is>
          <t>19.05-0-2.3-ERW 1-PE</t>
        </is>
      </c>
      <c r="BA335" s="557" t="n"/>
      <c r="BC335" t="inlineStr">
        <is>
          <t>20-12.4-4.5-CEW-CEW</t>
        </is>
      </c>
    </row>
    <row r="336">
      <c r="B336" t="n">
        <v>3500083</v>
      </c>
      <c r="D336" t="n">
        <v>1940046</v>
      </c>
      <c r="E336" t="n">
        <v>3556680</v>
      </c>
      <c r="H336" t="inlineStr">
        <is>
          <t>NAHARS ENGINEERING INDIA PRIVATE LI</t>
        </is>
      </c>
      <c r="P336" t="n">
        <v>569</v>
      </c>
      <c r="Q336" t="n">
        <v>559</v>
      </c>
      <c r="W336" t="inlineStr">
        <is>
          <t>19-19-1-CRFH-PE</t>
        </is>
      </c>
      <c r="BA336" s="557" t="n"/>
      <c r="BC336" t="inlineStr">
        <is>
          <t>check grade tdc</t>
        </is>
      </c>
    </row>
    <row r="337">
      <c r="B337" t="n">
        <v>3500223</v>
      </c>
      <c r="D337" t="n">
        <v>2288948</v>
      </c>
      <c r="E337" t="n">
        <v>1448372</v>
      </c>
      <c r="H337" t="inlineStr">
        <is>
          <t>NAHARS ENGINEERING INDIA PRIVATE LI</t>
        </is>
      </c>
      <c r="P337" t="n">
        <v>570</v>
      </c>
      <c r="Q337" t="n">
        <v>560</v>
      </c>
      <c r="W337" t="inlineStr">
        <is>
          <t>19-19-1-CRFH-PE</t>
        </is>
      </c>
      <c r="BA337" s="557" t="n"/>
      <c r="BC337" t="inlineStr">
        <is>
          <t>21.4--1.6-ERW 1-NON FIN</t>
        </is>
      </c>
    </row>
    <row r="338">
      <c r="B338" t="n">
        <v>3500233</v>
      </c>
      <c r="D338" t="n">
        <v>2288948</v>
      </c>
      <c r="E338" t="n">
        <v>1399344</v>
      </c>
      <c r="H338" t="inlineStr">
        <is>
          <t>NAHARS ENGINEERING INDIA PRIVATE LI</t>
        </is>
      </c>
      <c r="P338" t="n">
        <v>571</v>
      </c>
      <c r="Q338" t="n">
        <v>562</v>
      </c>
      <c r="W338" t="inlineStr">
        <is>
          <t>19-19-1-CRFH-PE</t>
        </is>
      </c>
      <c r="BA338" s="557" t="n"/>
      <c r="BC338" t="inlineStr">
        <is>
          <t>check grade tdc</t>
        </is>
      </c>
    </row>
    <row r="339">
      <c r="B339" t="n">
        <v>3500240</v>
      </c>
      <c r="D339" t="n">
        <v>1940054</v>
      </c>
      <c r="E339" t="n">
        <v>292333</v>
      </c>
      <c r="H339" t="inlineStr">
        <is>
          <t>NAHARS ENGINEERING INDIA PRIVATE LI</t>
        </is>
      </c>
      <c r="P339" t="n">
        <v>572</v>
      </c>
      <c r="Q339" t="n">
        <v>563</v>
      </c>
      <c r="W339" t="inlineStr">
        <is>
          <t>19-19-1-CRFH-PE</t>
        </is>
      </c>
      <c r="BA339" s="557" t="n"/>
      <c r="BC339" t="inlineStr">
        <is>
          <t>21.7-16.2-2.75-CEW-CEW</t>
        </is>
      </c>
    </row>
    <row r="340">
      <c r="B340" t="n">
        <v>3500268</v>
      </c>
      <c r="D340" t="n">
        <v>1940054</v>
      </c>
      <c r="E340" t="n">
        <v>1254735</v>
      </c>
      <c r="H340" t="inlineStr">
        <is>
          <t>NAHARS ENGINEERING INDIA PRIVATE LI</t>
        </is>
      </c>
      <c r="P340" t="n">
        <v>573</v>
      </c>
      <c r="Q340" t="n">
        <v>564</v>
      </c>
      <c r="W340" t="inlineStr">
        <is>
          <t>19-19-1-CRFH-PE</t>
        </is>
      </c>
      <c r="BA340" s="557" t="n"/>
      <c r="BC340" t="inlineStr">
        <is>
          <t>21.75-0-3.5-CEW-CEW</t>
        </is>
      </c>
    </row>
    <row r="341">
      <c r="B341" t="n">
        <v>3500308</v>
      </c>
      <c r="D341" t="n">
        <v>1940054</v>
      </c>
      <c r="E341" t="n">
        <v>3507486</v>
      </c>
      <c r="H341" t="inlineStr">
        <is>
          <t>NAHARS ENGINEERING INDIA PRIVATE LI</t>
        </is>
      </c>
      <c r="P341" t="n">
        <v>574</v>
      </c>
      <c r="Q341" t="n">
        <v>565</v>
      </c>
      <c r="W341" t="inlineStr">
        <is>
          <t>19-19-1-CRFH-PE</t>
        </is>
      </c>
      <c r="BA341" s="557" t="n"/>
      <c r="BC341" t="inlineStr">
        <is>
          <t>22.23-0-2-ERW 1-PE</t>
        </is>
      </c>
    </row>
    <row r="342">
      <c r="B342" t="n">
        <v>3500554</v>
      </c>
      <c r="D342" t="n">
        <v>1940054</v>
      </c>
      <c r="E342" t="n">
        <v>420528</v>
      </c>
      <c r="H342" t="inlineStr">
        <is>
          <t>NAHARS ENGINEERING INDIA PRIVATE LI</t>
        </is>
      </c>
      <c r="P342" t="n">
        <v>592</v>
      </c>
      <c r="Q342" t="n">
        <v>567</v>
      </c>
      <c r="W342" t="inlineStr">
        <is>
          <t>38.1-0-1.6-ERW 2 MAHS-FC</t>
        </is>
      </c>
      <c r="BA342" s="557" t="n"/>
      <c r="BC342" t="inlineStr">
        <is>
          <t>22.23-0-2-ERW 1-PE</t>
        </is>
      </c>
    </row>
    <row r="343">
      <c r="B343" t="n">
        <v>3501133</v>
      </c>
      <c r="D343" t="n">
        <v>1940054</v>
      </c>
      <c r="E343" t="n">
        <v>3509824</v>
      </c>
      <c r="H343" t="inlineStr">
        <is>
          <t>NAHARS ENGINEERING INDIA PRIVATE LI</t>
        </is>
      </c>
      <c r="P343" t="n">
        <v>593</v>
      </c>
      <c r="Q343" t="n">
        <v>568</v>
      </c>
      <c r="W343" t="inlineStr">
        <is>
          <t>38.1-0-1.6-ERW 2 MAHS-FC</t>
        </is>
      </c>
      <c r="BA343" s="557" t="n"/>
      <c r="BC343" t="inlineStr">
        <is>
          <t>22.23-0-2-ERW 1-PE</t>
        </is>
      </c>
    </row>
    <row r="344">
      <c r="B344" t="n">
        <v>3501264</v>
      </c>
      <c r="D344" t="n">
        <v>1940054</v>
      </c>
      <c r="E344" t="n">
        <v>3533249</v>
      </c>
      <c r="H344" t="inlineStr">
        <is>
          <t>Skb Industries</t>
        </is>
      </c>
      <c r="P344" t="n">
        <v>594</v>
      </c>
      <c r="Q344" t="n">
        <v>569</v>
      </c>
      <c r="W344" t="inlineStr">
        <is>
          <t>38.1-0-1.6-ERW 2 MAHS-FC</t>
        </is>
      </c>
      <c r="BA344" s="557" t="n"/>
      <c r="BC344" t="inlineStr">
        <is>
          <t>22.23-0-2-ERW 1-PE</t>
        </is>
      </c>
    </row>
    <row r="345">
      <c r="B345" t="n">
        <v>3501386</v>
      </c>
      <c r="D345" t="n">
        <v>1940054</v>
      </c>
      <c r="E345" t="n">
        <v>3533248</v>
      </c>
      <c r="H345" t="inlineStr">
        <is>
          <t>Skb Industries</t>
        </is>
      </c>
      <c r="P345" t="n">
        <v>595</v>
      </c>
      <c r="Q345" t="n">
        <v>570</v>
      </c>
      <c r="W345" t="inlineStr">
        <is>
          <t>19-19-1-CRFH-PE</t>
        </is>
      </c>
      <c r="BA345" s="557" t="n"/>
      <c r="BC345" t="inlineStr">
        <is>
          <t>22.23-0-2-ERW 1-PE</t>
        </is>
      </c>
    </row>
    <row r="346">
      <c r="B346" t="n">
        <v>3502252</v>
      </c>
      <c r="D346" t="n">
        <v>1931425</v>
      </c>
      <c r="E346" t="n">
        <v>267070</v>
      </c>
      <c r="H346" t="inlineStr">
        <is>
          <t>Sandhar Technologies (KA)–Unit-III</t>
        </is>
      </c>
      <c r="P346" t="n">
        <v>600</v>
      </c>
      <c r="Q346" t="n">
        <v>571</v>
      </c>
      <c r="W346" t="inlineStr">
        <is>
          <t>19-19-1-CRFH-PE</t>
        </is>
      </c>
      <c r="BA346" s="557" t="n"/>
      <c r="BC346" t="inlineStr">
        <is>
          <t>22.23-0-2-ERW 1-PE</t>
        </is>
      </c>
    </row>
    <row r="347">
      <c r="B347" t="n">
        <v>3502496</v>
      </c>
      <c r="D347" t="n">
        <v>1940055</v>
      </c>
      <c r="E347" t="n">
        <v>1385283</v>
      </c>
      <c r="H347" t="inlineStr">
        <is>
          <t>ELKAYEM AUTO ANCILLARIES (PVT) LTD.</t>
        </is>
      </c>
      <c r="P347" t="n">
        <v>601</v>
      </c>
      <c r="Q347" t="n">
        <v>572</v>
      </c>
      <c r="W347" t="inlineStr">
        <is>
          <t>19-19-1-CRFH-PE</t>
        </is>
      </c>
      <c r="BA347" s="557" t="n"/>
      <c r="BC347" t="inlineStr">
        <is>
          <t>22.23-0-2-ERW 1-PE</t>
        </is>
      </c>
    </row>
    <row r="348">
      <c r="B348" t="n">
        <v>3515987</v>
      </c>
      <c r="D348" t="n">
        <v>1931276</v>
      </c>
      <c r="E348" t="n">
        <v>3682123</v>
      </c>
      <c r="H348" t="inlineStr">
        <is>
          <t>ELKAYEM AUTO ANCILLARIES (PVT) LTD.</t>
        </is>
      </c>
      <c r="P348" t="n">
        <v>607</v>
      </c>
      <c r="Q348" t="n">
        <v>573</v>
      </c>
      <c r="W348" t="inlineStr">
        <is>
          <t>19-19-1-CRFH-PE</t>
        </is>
      </c>
      <c r="BA348" s="557" t="n"/>
      <c r="BC348" t="inlineStr">
        <is>
          <t>22.23-0-2-ERW 1-PE</t>
        </is>
      </c>
    </row>
    <row r="349">
      <c r="B349" t="n">
        <v>3516769</v>
      </c>
      <c r="D349" t="n">
        <v>1931276</v>
      </c>
      <c r="E349" t="n">
        <v>3502468</v>
      </c>
      <c r="H349" t="inlineStr">
        <is>
          <t>ELKAYEM AUTO ANCILLARIES (PVT) LTD.</t>
        </is>
      </c>
      <c r="P349" t="n">
        <v>608</v>
      </c>
      <c r="Q349" t="n">
        <v>574</v>
      </c>
      <c r="W349" t="inlineStr">
        <is>
          <t>19-19-1-CRFH-PE</t>
        </is>
      </c>
      <c r="BA349" s="557" t="n"/>
      <c r="BC349" t="inlineStr">
        <is>
          <t>22.23-0-1.2-ERW 1-PE</t>
        </is>
      </c>
    </row>
    <row r="350">
      <c r="B350" t="n">
        <v>3545373</v>
      </c>
      <c r="D350" t="n">
        <v>1931276</v>
      </c>
      <c r="E350" t="n">
        <v>3499239</v>
      </c>
      <c r="H350" t="inlineStr">
        <is>
          <t>ELKAYEM AUTO ANCILLARIES (PVT) LTD.</t>
        </is>
      </c>
      <c r="P350" t="n">
        <v>623</v>
      </c>
      <c r="Q350" t="n">
        <v>592</v>
      </c>
      <c r="W350" t="inlineStr">
        <is>
          <t>19-19-1-CRFH-PE</t>
        </is>
      </c>
      <c r="BA350" s="557" t="n"/>
      <c r="BC350" t="inlineStr">
        <is>
          <t>22.2--1.4-ERW 2-NON FIN</t>
        </is>
      </c>
    </row>
    <row r="351">
      <c r="B351" t="n">
        <v>3548921</v>
      </c>
      <c r="D351" t="n">
        <v>1931276</v>
      </c>
      <c r="E351" t="n">
        <v>235001</v>
      </c>
      <c r="H351" t="inlineStr">
        <is>
          <t>ELKAYEM AUTO ANCILLARIES (PVT) LTD.</t>
        </is>
      </c>
      <c r="P351" t="n">
        <v>624</v>
      </c>
      <c r="Q351" t="n">
        <v>593</v>
      </c>
      <c r="W351" t="inlineStr">
        <is>
          <t>63.5-0-4-ERW 1-FC</t>
        </is>
      </c>
      <c r="BA351" s="557" t="n"/>
      <c r="BC351" t="inlineStr">
        <is>
          <t>check thickness tdc</t>
        </is>
      </c>
    </row>
    <row r="352">
      <c r="B352" t="n">
        <v>3549718</v>
      </c>
      <c r="D352" t="n">
        <v>3620428</v>
      </c>
      <c r="E352" t="n">
        <v>3682124</v>
      </c>
      <c r="H352" t="inlineStr">
        <is>
          <t>ELKAYEM AUTO ANCILLARIES (PVT) LTD.</t>
        </is>
      </c>
      <c r="P352" t="n">
        <v>625</v>
      </c>
      <c r="Q352" t="n">
        <v>594</v>
      </c>
      <c r="W352" t="inlineStr">
        <is>
          <t>63.5-0-4-ERW 1-FC</t>
        </is>
      </c>
      <c r="BA352" s="557" t="n"/>
      <c r="BC352" t="inlineStr">
        <is>
          <t>22.2--1.4-ERW 2-NON FIN</t>
        </is>
      </c>
    </row>
    <row r="353">
      <c r="B353" t="n">
        <v>3586648</v>
      </c>
      <c r="D353" t="n">
        <v>3620428</v>
      </c>
      <c r="E353" t="n">
        <v>3506193</v>
      </c>
      <c r="H353" t="inlineStr">
        <is>
          <t>ELKAYEM AUTO ANCILLARIES (PVT) LTD.</t>
        </is>
      </c>
      <c r="P353" t="n">
        <v>626</v>
      </c>
      <c r="Q353" t="n">
        <v>595</v>
      </c>
      <c r="W353" t="inlineStr">
        <is>
          <t>63.5-0-4-ERW 1-FC</t>
        </is>
      </c>
      <c r="BA353" s="557" t="n"/>
      <c r="BC353" t="inlineStr">
        <is>
          <t>22.23-0-1.6-ERW 1-PE</t>
        </is>
      </c>
    </row>
    <row r="354">
      <c r="B354" t="n">
        <v>3617058</v>
      </c>
      <c r="D354" t="n">
        <v>3620428</v>
      </c>
      <c r="E354" t="n">
        <v>296754</v>
      </c>
      <c r="H354" t="inlineStr">
        <is>
          <t>ELKAYEM AUTO ANCILLARIES (PVT) LTD.</t>
        </is>
      </c>
      <c r="P354" t="n">
        <v>632</v>
      </c>
      <c r="Q354" t="n">
        <v>600</v>
      </c>
      <c r="W354" t="inlineStr">
        <is>
          <t>63.5-0-4-ERW 1-FC</t>
        </is>
      </c>
      <c r="BA354" s="557" t="n"/>
      <c r="BC354" t="inlineStr">
        <is>
          <t>22.23-0-1.6-ERW 1-PE</t>
        </is>
      </c>
    </row>
    <row r="355">
      <c r="B355" t="n">
        <v>3682063</v>
      </c>
      <c r="D355" t="n">
        <v>3620428</v>
      </c>
      <c r="E355" t="n">
        <v>1159568</v>
      </c>
      <c r="H355" t="inlineStr">
        <is>
          <t>ELKAYEM AUTO ANCILLARIES (PVT) LTD.</t>
        </is>
      </c>
      <c r="P355" t="n">
        <v>633</v>
      </c>
      <c r="Q355" t="n">
        <v>601</v>
      </c>
      <c r="W355" t="inlineStr">
        <is>
          <t>63.5-0-4-ERW 1-FC</t>
        </is>
      </c>
      <c r="BA355" s="557" t="n"/>
      <c r="BC355" t="inlineStr">
        <is>
          <t>22.23-0-1.6-ERW 1-PE</t>
        </is>
      </c>
    </row>
    <row r="356">
      <c r="B356" t="n">
        <v>3682118</v>
      </c>
      <c r="D356" t="n">
        <v>3217233</v>
      </c>
      <c r="E356" t="n">
        <v>471489</v>
      </c>
      <c r="H356" t="inlineStr">
        <is>
          <t>ELKAYEM AUTO ANCILLARIES (PVT) LTD.</t>
        </is>
      </c>
      <c r="P356" t="n">
        <v>634</v>
      </c>
      <c r="Q356" t="n">
        <v>607</v>
      </c>
      <c r="W356" t="inlineStr">
        <is>
          <t>63.5-0-4-ERW 1-FC</t>
        </is>
      </c>
      <c r="BA356" s="557" t="n"/>
      <c r="BC356" t="inlineStr">
        <is>
          <t>22.23-0-1.6-ERW 1-PE</t>
        </is>
      </c>
    </row>
    <row r="357">
      <c r="B357" t="n">
        <v>3682122</v>
      </c>
      <c r="D357" t="n">
        <v>3217233</v>
      </c>
      <c r="E357" t="n">
        <v>508984</v>
      </c>
      <c r="H357" t="inlineStr">
        <is>
          <t>YOSHIKA ENGINEERING PVT LTD</t>
        </is>
      </c>
      <c r="P357" t="n">
        <v>636</v>
      </c>
      <c r="Q357" t="n">
        <v>608</v>
      </c>
      <c r="W357" t="inlineStr">
        <is>
          <t>19-19-1-CRFH-PE</t>
        </is>
      </c>
      <c r="BA357" s="557" t="n"/>
      <c r="BC357" t="inlineStr">
        <is>
          <t>22.23-0-1.6-ERW 1-PE</t>
        </is>
      </c>
    </row>
    <row r="358">
      <c r="B358" t="n">
        <v>3682123</v>
      </c>
      <c r="D358" t="n">
        <v>2387804</v>
      </c>
      <c r="E358" t="n">
        <v>3781669</v>
      </c>
      <c r="H358" t="inlineStr">
        <is>
          <t>MEGH STEELS PRIVATE LIMITED - TVS A</t>
        </is>
      </c>
      <c r="P358" t="n">
        <v>639</v>
      </c>
      <c r="Q358" t="n">
        <v>616</v>
      </c>
      <c r="W358" t="inlineStr">
        <is>
          <t>19-19-1-CRFH-PE</t>
        </is>
      </c>
      <c r="BA358" s="557" t="n"/>
      <c r="BC358" t="inlineStr">
        <is>
          <t>22.23-0-1.6-ERW 1-PE</t>
        </is>
      </c>
    </row>
    <row r="359">
      <c r="B359" t="n">
        <v>3682124</v>
      </c>
      <c r="D359" t="n">
        <v>2387804</v>
      </c>
      <c r="E359" t="n">
        <v>1154248</v>
      </c>
      <c r="H359" t="inlineStr">
        <is>
          <t>MEGH STEELS PRIVATE LIMITED - TVS A</t>
        </is>
      </c>
      <c r="P359" t="n">
        <v>641</v>
      </c>
      <c r="Q359" t="n">
        <v>617</v>
      </c>
      <c r="W359" t="inlineStr">
        <is>
          <t>19-19-1-CRFH-PE</t>
        </is>
      </c>
      <c r="BA359" s="557" t="n"/>
      <c r="BC359" t="inlineStr">
        <is>
          <t>22.23-0-1.6-ERW 1-PE</t>
        </is>
      </c>
    </row>
    <row r="360">
      <c r="B360" t="n">
        <v>3682960</v>
      </c>
      <c r="D360" t="n">
        <v>3478135</v>
      </c>
      <c r="E360" t="n">
        <v>1174856</v>
      </c>
      <c r="H360" t="inlineStr">
        <is>
          <t>MEGH STEELS PRIVATE LIMITED - TVS A</t>
        </is>
      </c>
      <c r="P360" t="n">
        <v>646</v>
      </c>
      <c r="Q360" t="n">
        <v>623</v>
      </c>
      <c r="W360" t="inlineStr">
        <is>
          <t>19-19-1-CRFH-PE</t>
        </is>
      </c>
      <c r="BA360" s="557" t="n"/>
      <c r="BC360" t="inlineStr">
        <is>
          <t>22.23-0-1.6-ERW 1-PE</t>
        </is>
      </c>
    </row>
    <row r="361">
      <c r="B361" t="n">
        <v>3702207</v>
      </c>
      <c r="D361" t="n">
        <v>1900224</v>
      </c>
      <c r="E361" t="n">
        <v>475364</v>
      </c>
      <c r="H361" t="inlineStr">
        <is>
          <t>NAHARS ENGINEERING INDIA PRIVATE LI</t>
        </is>
      </c>
      <c r="P361" t="n">
        <v>647</v>
      </c>
      <c r="Q361" t="n">
        <v>624</v>
      </c>
      <c r="W361" t="inlineStr">
        <is>
          <t>19-19-1-CRFH-PE</t>
        </is>
      </c>
      <c r="BA361" s="557" t="n"/>
      <c r="BC361" t="inlineStr">
        <is>
          <t>22.23-0-1.6-ERW 1-PE</t>
        </is>
      </c>
    </row>
    <row r="362">
      <c r="B362" t="n">
        <v>3702863</v>
      </c>
      <c r="D362" t="n">
        <v>1900224</v>
      </c>
      <c r="E362" t="n">
        <v>1405728</v>
      </c>
      <c r="H362" t="inlineStr">
        <is>
          <t>MEGH STEELS PRIVATE LIMITED - HMSIL</t>
        </is>
      </c>
      <c r="P362" t="n">
        <v>648</v>
      </c>
      <c r="Q362" t="n">
        <v>625</v>
      </c>
      <c r="W362" t="inlineStr">
        <is>
          <t>19-19-1-CRFH-PE</t>
        </is>
      </c>
      <c r="BA362" s="557" t="n"/>
      <c r="BC362" t="inlineStr">
        <is>
          <t>22.23-0-1.6-ERW 1-PE</t>
        </is>
      </c>
    </row>
    <row r="363">
      <c r="B363" t="n">
        <v>3702875</v>
      </c>
      <c r="D363" t="n">
        <v>1900224</v>
      </c>
      <c r="E363" t="n">
        <v>1405729</v>
      </c>
      <c r="H363" t="inlineStr">
        <is>
          <t>Thai Summit Autoparts India Pvt Ltd</t>
        </is>
      </c>
      <c r="P363" t="n">
        <v>649</v>
      </c>
      <c r="Q363" t="n">
        <v>626</v>
      </c>
      <c r="W363" t="inlineStr">
        <is>
          <t>19-19-1-CRFH-PE</t>
        </is>
      </c>
      <c r="BA363" s="557" t="n"/>
      <c r="BC363" t="inlineStr">
        <is>
          <t>22.23-0-1.6-ERW 1-PE</t>
        </is>
      </c>
    </row>
    <row r="364">
      <c r="B364" t="n">
        <v>3711330</v>
      </c>
      <c r="D364" t="n">
        <v>1900224</v>
      </c>
      <c r="E364" t="n">
        <v>288719</v>
      </c>
      <c r="H364" t="inlineStr">
        <is>
          <t>Thai Summit Autoparts India Pvt Ltd</t>
        </is>
      </c>
      <c r="P364" t="n">
        <v>650</v>
      </c>
      <c r="Q364" t="n">
        <v>632</v>
      </c>
      <c r="W364" t="inlineStr">
        <is>
          <t>19-19-1-CRFH-PE</t>
        </is>
      </c>
      <c r="BA364" s="557" t="n"/>
      <c r="BC364" t="inlineStr">
        <is>
          <t>22.23-0-1.6-ERW 1-PE</t>
        </is>
      </c>
    </row>
    <row r="365">
      <c r="B365" t="n">
        <v>3722021</v>
      </c>
      <c r="D365" t="n">
        <v>1900224</v>
      </c>
      <c r="E365" t="n">
        <v>3506173</v>
      </c>
      <c r="H365" t="inlineStr">
        <is>
          <t>Thai Summit Autoparts India Pvt Ltd</t>
        </is>
      </c>
      <c r="P365" t="n">
        <v>651</v>
      </c>
      <c r="Q365" t="n">
        <v>633</v>
      </c>
      <c r="W365" t="inlineStr">
        <is>
          <t>19-19-1-CRFH-PE</t>
        </is>
      </c>
      <c r="BA365" s="557" t="n"/>
      <c r="BC365" t="inlineStr">
        <is>
          <t>22.23-0-1.6-ERW 1-PE</t>
        </is>
      </c>
    </row>
    <row r="366">
      <c r="B366" t="n">
        <v>3770405</v>
      </c>
      <c r="D366" t="n">
        <v>1900224</v>
      </c>
      <c r="E366" t="n">
        <v>3775108</v>
      </c>
      <c r="H366" t="inlineStr">
        <is>
          <t>Thai Summit Autoparts India Pvt Ltd</t>
        </is>
      </c>
      <c r="P366" t="n">
        <v>652</v>
      </c>
      <c r="Q366" t="n">
        <v>634</v>
      </c>
      <c r="W366" t="inlineStr">
        <is>
          <t>19-19-1-CRFH-PE</t>
        </is>
      </c>
      <c r="BA366" s="557" t="n"/>
      <c r="BC366" t="inlineStr">
        <is>
          <t>22.23-0-1.6-ERW 1-PE</t>
        </is>
      </c>
    </row>
    <row r="367">
      <c r="B367" t="n">
        <v>3775788</v>
      </c>
      <c r="D367" t="n">
        <v>1900224</v>
      </c>
      <c r="E367" t="n">
        <v>1936862</v>
      </c>
      <c r="H367" t="inlineStr">
        <is>
          <t>Thai Summit Autoparts India Pvt Ltd</t>
        </is>
      </c>
      <c r="P367" t="n">
        <v>653</v>
      </c>
      <c r="Q367" t="n">
        <v>636</v>
      </c>
      <c r="W367" t="inlineStr">
        <is>
          <t>19-19-1-CRFH-PE</t>
        </is>
      </c>
      <c r="BA367" s="557" t="n"/>
      <c r="BC367" t="inlineStr">
        <is>
          <t>22.23-0-1.6-ERW 1-PE</t>
        </is>
      </c>
    </row>
    <row r="368">
      <c r="B368" t="n">
        <v>3780004</v>
      </c>
      <c r="D368" t="n">
        <v>1900224</v>
      </c>
      <c r="E368" t="n">
        <v>437135</v>
      </c>
      <c r="H368" t="inlineStr">
        <is>
          <t>SM EXHAUST TECHNOLOGY PVT LTD</t>
        </is>
      </c>
      <c r="P368" t="n">
        <v>656</v>
      </c>
      <c r="Q368" t="n">
        <v>639</v>
      </c>
      <c r="W368" t="inlineStr">
        <is>
          <t>19-19-1-CRFH-PE</t>
        </is>
      </c>
      <c r="BA368" s="557" t="n"/>
      <c r="BC368" t="inlineStr">
        <is>
          <t>22.23-0-1.6-ERW 1-PE</t>
        </is>
      </c>
    </row>
    <row r="369">
      <c r="B369" t="n">
        <v>3781637</v>
      </c>
      <c r="D369" t="n">
        <v>1900224</v>
      </c>
      <c r="E369" t="n">
        <v>319684</v>
      </c>
      <c r="H369" t="inlineStr">
        <is>
          <t>FREE STOCK</t>
        </is>
      </c>
      <c r="P369" t="n">
        <v>657</v>
      </c>
      <c r="Q369" t="n">
        <v>641</v>
      </c>
      <c r="W369" t="inlineStr">
        <is>
          <t>19-19-1-CRFH-PE</t>
        </is>
      </c>
      <c r="BA369" s="557" t="n"/>
      <c r="BC369" t="inlineStr">
        <is>
          <t>22.23-0-1.6-ERW 1-PE</t>
        </is>
      </c>
    </row>
    <row r="370">
      <c r="B370" t="n">
        <v>3784469</v>
      </c>
      <c r="D370" t="n">
        <v>1900224</v>
      </c>
      <c r="E370" t="n">
        <v>1140411</v>
      </c>
      <c r="H370" t="inlineStr">
        <is>
          <t>MEGH STEELS PRIVATE LIMITED - TVS A</t>
        </is>
      </c>
      <c r="P370" t="n">
        <v>658</v>
      </c>
      <c r="Q370" t="n">
        <v>646</v>
      </c>
      <c r="W370" t="inlineStr">
        <is>
          <t>19-19-1-CRFH-PE</t>
        </is>
      </c>
      <c r="BA370" s="557" t="n"/>
      <c r="BC370" t="inlineStr">
        <is>
          <t>22.23-0-1.6-ERW 1-PE</t>
        </is>
      </c>
    </row>
    <row r="371">
      <c r="B371" t="n">
        <v>3788034</v>
      </c>
      <c r="D371" t="n">
        <v>1900224</v>
      </c>
      <c r="E371" t="n">
        <v>3673949</v>
      </c>
      <c r="H371" t="inlineStr">
        <is>
          <t>Metalman Auto Private Limited</t>
        </is>
      </c>
      <c r="P371" t="n">
        <v>659</v>
      </c>
      <c r="Q371" t="n">
        <v>647</v>
      </c>
      <c r="W371" t="inlineStr">
        <is>
          <t>19-19-1-CRFH-PE</t>
        </is>
      </c>
      <c r="BA371" s="557" t="n"/>
      <c r="BC371" t="inlineStr">
        <is>
          <t>22.23-0-1.6-ERW 1-PE</t>
        </is>
      </c>
    </row>
    <row r="372">
      <c r="B372" t="n">
        <v>3801265</v>
      </c>
      <c r="D372" t="n">
        <v>1940078</v>
      </c>
      <c r="E372" t="n">
        <v>3508391</v>
      </c>
      <c r="H372" t="inlineStr">
        <is>
          <t>Metalman Auto Private Limited</t>
        </is>
      </c>
      <c r="P372" t="n">
        <v>672</v>
      </c>
      <c r="Q372" t="n">
        <v>648</v>
      </c>
      <c r="W372" t="inlineStr">
        <is>
          <t>22.23-0-1.6-ERW 1-PE</t>
        </is>
      </c>
      <c r="BA372" s="557" t="n"/>
      <c r="BC372" t="inlineStr">
        <is>
          <t>22.23-0-1.6-ERW 1-PE</t>
        </is>
      </c>
    </row>
    <row r="373">
      <c r="B373" t="n">
        <v>3806599</v>
      </c>
      <c r="D373" t="n">
        <v>1940078</v>
      </c>
      <c r="E373" t="n">
        <v>1361680</v>
      </c>
      <c r="H373" t="inlineStr">
        <is>
          <t>Indo Autotech Limited (Unit V)</t>
        </is>
      </c>
      <c r="P373" t="n">
        <v>673</v>
      </c>
      <c r="Q373" t="n">
        <v>649</v>
      </c>
      <c r="W373" t="inlineStr">
        <is>
          <t>22.23-0-1.6-ERW 1-PE</t>
        </is>
      </c>
      <c r="BA373" s="557" t="n"/>
      <c r="BC373" t="inlineStr">
        <is>
          <t>22.23-0-1.6-ERW 1-PE</t>
        </is>
      </c>
    </row>
    <row r="374">
      <c r="B374" t="n">
        <v>3870804</v>
      </c>
      <c r="D374" t="n">
        <v>1940078</v>
      </c>
      <c r="E374" t="n">
        <v>1455510</v>
      </c>
      <c r="H374" t="inlineStr">
        <is>
          <t>Indo Autotech Limited (Unit V)</t>
        </is>
      </c>
      <c r="P374" t="n">
        <v>683</v>
      </c>
      <c r="Q374" t="n">
        <v>650</v>
      </c>
      <c r="W374" t="inlineStr">
        <is>
          <t>19-19-1-CRFH-PE</t>
        </is>
      </c>
      <c r="BA374" s="557" t="n"/>
      <c r="BC374" t="inlineStr">
        <is>
          <t>22.23-0-1.6-ERW 1-PE</t>
        </is>
      </c>
    </row>
    <row r="375">
      <c r="B375" t="n">
        <v>3901714</v>
      </c>
      <c r="D375" t="n">
        <v>1940078</v>
      </c>
      <c r="E375" t="n">
        <v>3697417</v>
      </c>
      <c r="H375" t="inlineStr">
        <is>
          <t>Indo Autotech Limited (Unit V)</t>
        </is>
      </c>
      <c r="P375" t="n">
        <v>684</v>
      </c>
      <c r="Q375" t="n">
        <v>651</v>
      </c>
      <c r="W375" t="inlineStr">
        <is>
          <t>19-19-1-CRFH-PE</t>
        </is>
      </c>
      <c r="BA375" s="557" t="n"/>
      <c r="BC375" t="inlineStr">
        <is>
          <t>22.23-0-1.6-ERW 1-PE</t>
        </is>
      </c>
    </row>
    <row r="376">
      <c r="B376" t="n">
        <v>3514379</v>
      </c>
      <c r="D376" t="n">
        <v>1940078</v>
      </c>
      <c r="E376" t="n">
        <v>3500554</v>
      </c>
      <c r="H376" t="inlineStr">
        <is>
          <t>Indo Autotech Limited (Unit V)</t>
        </is>
      </c>
      <c r="P376" t="n">
        <v>759</v>
      </c>
      <c r="Q376" t="n">
        <v>652</v>
      </c>
      <c r="W376" t="inlineStr">
        <is>
          <t>19-19-1-CRFH-PE</t>
        </is>
      </c>
      <c r="BA376" s="557" t="n"/>
      <c r="BC376" t="inlineStr">
        <is>
          <t>22.23-0-1.6-ERW 1-PE</t>
        </is>
      </c>
    </row>
    <row r="377">
      <c r="B377" t="n">
        <v>3502487</v>
      </c>
      <c r="D377" t="n">
        <v>1940078</v>
      </c>
      <c r="E377" t="n">
        <v>3568328</v>
      </c>
      <c r="H377" t="inlineStr">
        <is>
          <t>Indo Autotech Limited (Unit V)</t>
        </is>
      </c>
      <c r="P377" t="n">
        <v>891</v>
      </c>
      <c r="Q377" t="n">
        <v>653</v>
      </c>
      <c r="W377" t="inlineStr">
        <is>
          <t>19-19-1-CRFH-PE</t>
        </is>
      </c>
      <c r="BA377" s="557" t="n"/>
      <c r="BC377" t="inlineStr">
        <is>
          <t>22.23-0-1.6-ERW 1-PE</t>
        </is>
      </c>
    </row>
    <row r="378">
      <c r="B378" t="n">
        <v>3682070</v>
      </c>
      <c r="D378" t="n">
        <v>1940078</v>
      </c>
      <c r="E378" t="n">
        <v>3500471</v>
      </c>
      <c r="H378" t="inlineStr">
        <is>
          <t>Indo Autotech Limited (Unit V)</t>
        </is>
      </c>
      <c r="P378" t="n">
        <v>892</v>
      </c>
      <c r="Q378" t="n">
        <v>656</v>
      </c>
      <c r="W378" t="inlineStr">
        <is>
          <t>19-19-1-CRFH-PE</t>
        </is>
      </c>
      <c r="BA378" s="557" t="n"/>
      <c r="BC378" t="inlineStr">
        <is>
          <t>22.23-0-1.6-ERW 1-PE</t>
        </is>
      </c>
    </row>
    <row r="379">
      <c r="B379" t="n">
        <v>3502322</v>
      </c>
      <c r="D379" t="n">
        <v>1940078</v>
      </c>
      <c r="E379" t="n">
        <v>1196779</v>
      </c>
      <c r="H379" t="inlineStr">
        <is>
          <t>Rajsriya Automotive Ind. Pvt Ltd</t>
        </is>
      </c>
      <c r="P379" t="n">
        <v>893</v>
      </c>
      <c r="Q379" t="n">
        <v>657</v>
      </c>
      <c r="W379" t="inlineStr">
        <is>
          <t>19-19-1-CRFH-PE</t>
        </is>
      </c>
      <c r="BA379" s="557" t="n"/>
      <c r="BC379" t="inlineStr">
        <is>
          <t>22.23-0-2-ERW 1-PE</t>
        </is>
      </c>
    </row>
    <row r="380">
      <c r="B380" t="n">
        <v>3636656</v>
      </c>
      <c r="D380" t="n">
        <v>1940078</v>
      </c>
      <c r="E380" t="n">
        <v>3500134</v>
      </c>
      <c r="H380" t="inlineStr">
        <is>
          <t>MEGH STEELS PRIVATE LIMITED - TVS A</t>
        </is>
      </c>
      <c r="P380" t="n">
        <v>894</v>
      </c>
      <c r="Q380" t="n">
        <v>658</v>
      </c>
      <c r="W380" t="inlineStr">
        <is>
          <t>19-19-1-CRFH-PE</t>
        </is>
      </c>
      <c r="BA380" s="557" t="n"/>
      <c r="BC380" t="inlineStr">
        <is>
          <t>22.23-0-2-ERW 1-PE</t>
        </is>
      </c>
    </row>
    <row r="381">
      <c r="B381" t="n">
        <v>2439536</v>
      </c>
      <c r="D381" t="n">
        <v>1940078</v>
      </c>
      <c r="E381" t="n">
        <v>3499230</v>
      </c>
      <c r="H381" t="inlineStr">
        <is>
          <t>JBM AUTO LIMITED</t>
        </is>
      </c>
      <c r="P381" t="n">
        <v>895</v>
      </c>
      <c r="Q381" t="n">
        <v>659</v>
      </c>
      <c r="W381" t="inlineStr">
        <is>
          <t>19-19-1-CRFH-PE</t>
        </is>
      </c>
      <c r="BA381" s="557" t="n"/>
      <c r="BC381" t="inlineStr">
        <is>
          <t>22.23-0-2-ERW 1-PE</t>
        </is>
      </c>
    </row>
    <row r="382">
      <c r="B382" t="n">
        <v>3500635</v>
      </c>
      <c r="D382" t="n">
        <v>1940078</v>
      </c>
      <c r="E382" t="n">
        <v>3502303</v>
      </c>
      <c r="H382" t="inlineStr">
        <is>
          <t>JBM AUTO LIMITED</t>
        </is>
      </c>
      <c r="P382" t="n">
        <v>896</v>
      </c>
      <c r="Q382" t="n">
        <v>672</v>
      </c>
      <c r="W382" t="inlineStr">
        <is>
          <t>19-19-1-CRFH-PE</t>
        </is>
      </c>
      <c r="BA382" s="557" t="n"/>
      <c r="BC382" t="inlineStr">
        <is>
          <t>22.23-0-2-ERW 1-PE</t>
        </is>
      </c>
    </row>
    <row r="383">
      <c r="B383" t="n">
        <v>1930116</v>
      </c>
      <c r="D383" t="n">
        <v>1940078</v>
      </c>
      <c r="E383" t="n">
        <v>3245308</v>
      </c>
      <c r="H383" t="inlineStr">
        <is>
          <t>JBM AUTO LIMITED</t>
        </is>
      </c>
      <c r="P383" t="n">
        <v>897</v>
      </c>
      <c r="Q383" t="n">
        <v>673</v>
      </c>
      <c r="W383" t="inlineStr">
        <is>
          <t>19-19-1-CRFH-PE</t>
        </is>
      </c>
      <c r="BA383" s="557" t="n"/>
      <c r="BC383" t="inlineStr">
        <is>
          <t>22.23-0-2-ERW 1-PE</t>
        </is>
      </c>
    </row>
    <row r="384">
      <c r="B384" t="n">
        <v>3774983</v>
      </c>
      <c r="D384" t="n">
        <v>1940078</v>
      </c>
      <c r="E384" t="n">
        <v>3686335</v>
      </c>
      <c r="H384" t="inlineStr">
        <is>
          <t>JBM AUTO LIMITED</t>
        </is>
      </c>
      <c r="P384" t="n">
        <v>898</v>
      </c>
      <c r="Q384" t="n">
        <v>674</v>
      </c>
      <c r="W384" t="inlineStr">
        <is>
          <t>19-19-1-CRFH-PE</t>
        </is>
      </c>
      <c r="BA384" s="557" t="n"/>
      <c r="BC384" t="inlineStr">
        <is>
          <t>22.23-0-2-ERW 1-FC</t>
        </is>
      </c>
    </row>
    <row r="385">
      <c r="B385" t="n">
        <v>3502026</v>
      </c>
      <c r="D385" t="n">
        <v>1940078</v>
      </c>
      <c r="E385" t="n">
        <v>3682068</v>
      </c>
      <c r="H385" t="inlineStr">
        <is>
          <t>JBM AUTO LIMITED</t>
        </is>
      </c>
      <c r="P385" t="n">
        <v>899</v>
      </c>
      <c r="Q385" t="n">
        <v>675</v>
      </c>
      <c r="W385" t="inlineStr">
        <is>
          <t>25.4-0-2-ERW 1-FC</t>
        </is>
      </c>
      <c r="BA385" s="557" t="n"/>
      <c r="BC385" t="inlineStr">
        <is>
          <t>22.23-0-2-ERW 1-PE</t>
        </is>
      </c>
    </row>
    <row r="386">
      <c r="D386" t="n">
        <v>1940078</v>
      </c>
      <c r="E386" t="n">
        <v>250198</v>
      </c>
      <c r="H386" t="inlineStr">
        <is>
          <t>Thai Summit Autoparts India Pvt Ltd</t>
        </is>
      </c>
      <c r="P386" t="n">
        <v>900</v>
      </c>
      <c r="Q386" t="n">
        <v>676</v>
      </c>
      <c r="W386" t="inlineStr">
        <is>
          <t>19-19-1-CRFH-PE</t>
        </is>
      </c>
      <c r="BA386" s="557" t="n"/>
      <c r="BC386" t="inlineStr">
        <is>
          <t>22.23-0-2-ERW 1-PE</t>
        </is>
      </c>
    </row>
    <row r="387">
      <c r="D387" t="n">
        <v>1940075</v>
      </c>
      <c r="E387" t="n">
        <v>3673948</v>
      </c>
      <c r="H387" t="inlineStr">
        <is>
          <t>Thai Summit Autoparts India Pvt Ltd</t>
        </is>
      </c>
      <c r="P387" t="n">
        <v>901</v>
      </c>
      <c r="Q387" t="n">
        <v>677</v>
      </c>
      <c r="W387" t="inlineStr">
        <is>
          <t>19-19-1-CRFH-PE</t>
        </is>
      </c>
      <c r="BA387" s="557" t="n"/>
      <c r="BC387" t="inlineStr">
        <is>
          <t>22.23-0-2-ERW 1-PE</t>
        </is>
      </c>
    </row>
    <row r="388">
      <c r="D388" t="n">
        <v>2420205</v>
      </c>
      <c r="E388" t="n">
        <v>3508156</v>
      </c>
      <c r="H388" t="inlineStr">
        <is>
          <t>Thai Summit Autoparts India Pvt Ltd</t>
        </is>
      </c>
      <c r="P388" t="n">
        <v>902</v>
      </c>
      <c r="Q388" t="n">
        <v>678</v>
      </c>
      <c r="W388" t="inlineStr">
        <is>
          <t>19-19-1-CRFH-PE</t>
        </is>
      </c>
      <c r="BA388" s="557" t="n"/>
      <c r="BC388" t="inlineStr">
        <is>
          <t>22.23-0-2-ERW 1-PE</t>
        </is>
      </c>
    </row>
    <row r="389">
      <c r="D389" t="n">
        <v>2420205</v>
      </c>
      <c r="E389" t="n">
        <v>1333188</v>
      </c>
      <c r="H389" t="inlineStr">
        <is>
          <t>Thai Summit Autoparts India Pvt Ltd</t>
        </is>
      </c>
      <c r="P389" t="n">
        <v>903</v>
      </c>
      <c r="Q389" t="n">
        <v>679</v>
      </c>
      <c r="W389" t="inlineStr">
        <is>
          <t>19-19-1-CRFH-PE</t>
        </is>
      </c>
      <c r="BA389" s="557" t="n"/>
      <c r="BC389" t="inlineStr">
        <is>
          <t>22.23-0-2-ERW 1-PE</t>
        </is>
      </c>
    </row>
    <row r="390">
      <c r="D390" t="n">
        <v>2420205</v>
      </c>
      <c r="E390" t="n">
        <v>1364720</v>
      </c>
      <c r="H390" t="inlineStr">
        <is>
          <t>Thai Summit Autoparts India Pvt Ltd</t>
        </is>
      </c>
      <c r="P390" t="n">
        <v>904</v>
      </c>
      <c r="Q390" t="n">
        <v>683</v>
      </c>
      <c r="W390" t="inlineStr">
        <is>
          <t>19-19-1-CRFH-PE</t>
        </is>
      </c>
      <c r="BA390" s="557" t="n"/>
      <c r="BC390" t="inlineStr">
        <is>
          <t>22.23-0-2-ERW 1-PE</t>
        </is>
      </c>
    </row>
    <row r="391">
      <c r="D391" t="n">
        <v>2420205</v>
      </c>
      <c r="E391" t="n">
        <v>1241174</v>
      </c>
      <c r="H391" t="inlineStr">
        <is>
          <t>FREE STOCK</t>
        </is>
      </c>
      <c r="P391" t="n">
        <v>905</v>
      </c>
      <c r="Q391" t="n">
        <v>684</v>
      </c>
      <c r="W391" t="inlineStr">
        <is>
          <t>19-19-1-CRFH-PE</t>
        </is>
      </c>
      <c r="BA391" s="557" t="n"/>
      <c r="BC391" t="inlineStr">
        <is>
          <t>22.23-0-2-ERW 1-PE</t>
        </is>
      </c>
    </row>
    <row r="392">
      <c r="D392" t="n">
        <v>3706751</v>
      </c>
      <c r="E392" t="n">
        <v>3087645</v>
      </c>
      <c r="H392" t="inlineStr">
        <is>
          <t>MEGH STEELS PRIVATE LIMITED - TVS A</t>
        </is>
      </c>
      <c r="P392" t="n">
        <v>906</v>
      </c>
      <c r="Q392" t="n">
        <v>759</v>
      </c>
      <c r="W392" t="inlineStr">
        <is>
          <t>19-19-1-CRFH-PE</t>
        </is>
      </c>
      <c r="BA392" s="557" t="n"/>
      <c r="BC392" t="inlineStr">
        <is>
          <t>22.23-0-2-ERW 1-PE</t>
        </is>
      </c>
    </row>
    <row r="393">
      <c r="D393" t="n">
        <v>3706751</v>
      </c>
      <c r="E393" t="n">
        <v>3506579</v>
      </c>
      <c r="H393" t="inlineStr">
        <is>
          <t>MEGH STEELS PRIVATE LIMITED - TVS A</t>
        </is>
      </c>
      <c r="P393" t="n">
        <v>907</v>
      </c>
      <c r="Q393" t="n">
        <v>891</v>
      </c>
      <c r="W393" t="inlineStr">
        <is>
          <t>19-19-1-CRFH-PE</t>
        </is>
      </c>
      <c r="BA393" s="557" t="n"/>
      <c r="BC393" t="inlineStr">
        <is>
          <t>22.23-0-2-ERW 1-PE</t>
        </is>
      </c>
    </row>
    <row r="394">
      <c r="D394" t="n">
        <v>3706751</v>
      </c>
      <c r="E394" t="n">
        <v>3501890</v>
      </c>
      <c r="H394" t="inlineStr">
        <is>
          <t>Sri Balaji Gears</t>
        </is>
      </c>
      <c r="P394" t="n">
        <v>908</v>
      </c>
      <c r="Q394" t="n">
        <v>892</v>
      </c>
      <c r="W394" t="inlineStr">
        <is>
          <t>19-19-1-CRFH-PE</t>
        </is>
      </c>
      <c r="BA394" s="557" t="n"/>
      <c r="BC394" t="inlineStr">
        <is>
          <t>22.23-0-2-ERW 1-PE</t>
        </is>
      </c>
    </row>
    <row r="395">
      <c r="D395" t="n">
        <v>468311</v>
      </c>
      <c r="E395" t="n">
        <v>3502302</v>
      </c>
      <c r="H395" t="inlineStr">
        <is>
          <t>Sri Balaji Gears</t>
        </is>
      </c>
      <c r="P395" t="n">
        <v>909</v>
      </c>
      <c r="Q395" t="n">
        <v>893</v>
      </c>
      <c r="W395" t="inlineStr">
        <is>
          <t>22.23-0-1.6-ERW 1-PE</t>
        </is>
      </c>
      <c r="BA395" s="557" t="n"/>
      <c r="BC395" t="inlineStr">
        <is>
          <t>22.23-0-2-ERW 1-PE</t>
        </is>
      </c>
    </row>
    <row r="396">
      <c r="D396" t="n">
        <v>468311</v>
      </c>
      <c r="E396" t="n">
        <v>235488</v>
      </c>
      <c r="H396" t="inlineStr">
        <is>
          <t>Sri Balaji Gears</t>
        </is>
      </c>
      <c r="P396" t="n">
        <v>910</v>
      </c>
      <c r="Q396" t="n">
        <v>894</v>
      </c>
      <c r="W396" t="inlineStr">
        <is>
          <t>22.23-0-1.6-ERW 1-PE</t>
        </is>
      </c>
      <c r="BA396" s="557" t="n"/>
      <c r="BC396" t="inlineStr">
        <is>
          <t>22.23-0-2-ERW 1-PE</t>
        </is>
      </c>
    </row>
    <row r="397">
      <c r="D397" t="n">
        <v>468311</v>
      </c>
      <c r="E397" t="n">
        <v>1144880</v>
      </c>
      <c r="H397" t="inlineStr">
        <is>
          <t>Sri Balaji Gears</t>
        </is>
      </c>
      <c r="P397" t="n">
        <v>911</v>
      </c>
      <c r="Q397" t="n">
        <v>895</v>
      </c>
      <c r="W397" t="inlineStr">
        <is>
          <t>19-19-1-CRFH-PE</t>
        </is>
      </c>
      <c r="BA397" s="557" t="n"/>
      <c r="BC397" t="inlineStr">
        <is>
          <t>22.23-0-2-ERW 1-PE</t>
        </is>
      </c>
    </row>
    <row r="398">
      <c r="D398" t="n">
        <v>1940090</v>
      </c>
      <c r="E398" t="n">
        <v>1940357</v>
      </c>
      <c r="H398" t="inlineStr">
        <is>
          <t>Sri Balaji Gears</t>
        </is>
      </c>
      <c r="P398" t="n">
        <v>912</v>
      </c>
      <c r="Q398" t="n">
        <v>896</v>
      </c>
      <c r="W398" t="inlineStr">
        <is>
          <t>19-19-1-CRFH-PE</t>
        </is>
      </c>
      <c r="BA398" s="557" t="n"/>
      <c r="BC398" t="inlineStr">
        <is>
          <t>22.23-0-2-ERW 1-PE</t>
        </is>
      </c>
    </row>
    <row r="399">
      <c r="D399" t="n">
        <v>1940090</v>
      </c>
      <c r="E399" t="n">
        <v>1940360</v>
      </c>
      <c r="H399" t="inlineStr">
        <is>
          <t>Sri Balaji Gears</t>
        </is>
      </c>
      <c r="P399" t="n">
        <v>913</v>
      </c>
      <c r="Q399" t="n">
        <v>897</v>
      </c>
      <c r="W399" t="inlineStr">
        <is>
          <t>19-19-1-CRFH-PE</t>
        </is>
      </c>
      <c r="BA399" s="557" t="n"/>
      <c r="BC399" t="inlineStr">
        <is>
          <t>22.23-0-2-ERW 1-PE</t>
        </is>
      </c>
    </row>
    <row r="400">
      <c r="D400" t="n">
        <v>1940090</v>
      </c>
      <c r="E400" t="n">
        <v>1900466</v>
      </c>
      <c r="H400" t="inlineStr">
        <is>
          <t>Sri Balaji Gears</t>
        </is>
      </c>
      <c r="P400" t="n">
        <v>914</v>
      </c>
      <c r="Q400" t="n">
        <v>898</v>
      </c>
      <c r="W400" t="inlineStr">
        <is>
          <t>19-19-1-CRFH-PE</t>
        </is>
      </c>
      <c r="BA400" s="557" t="n"/>
      <c r="BC400" t="inlineStr">
        <is>
          <t>22.23-0-2-ERW 1-PE</t>
        </is>
      </c>
    </row>
    <row r="401">
      <c r="D401" t="n">
        <v>1940090</v>
      </c>
      <c r="E401" t="n">
        <v>1940363</v>
      </c>
      <c r="H401" t="inlineStr">
        <is>
          <t>Sri Balaji Gears</t>
        </is>
      </c>
      <c r="P401" t="n">
        <v>915</v>
      </c>
      <c r="Q401" t="n">
        <v>899</v>
      </c>
      <c r="W401" t="inlineStr">
        <is>
          <t>19-19-1-CRFH-PE</t>
        </is>
      </c>
      <c r="BA401" s="557" t="n"/>
      <c r="BC401" t="inlineStr">
        <is>
          <t>22.23-0-2-ERW 1-FC</t>
        </is>
      </c>
    </row>
    <row r="402">
      <c r="D402" t="n">
        <v>1940090</v>
      </c>
      <c r="E402" t="n">
        <v>3747393</v>
      </c>
      <c r="H402" t="inlineStr">
        <is>
          <t>Sri Balaji Gears</t>
        </is>
      </c>
      <c r="P402" t="n">
        <v>916</v>
      </c>
      <c r="Q402" t="n">
        <v>900</v>
      </c>
      <c r="W402" t="inlineStr">
        <is>
          <t>19-19-1-CRFH-PE</t>
        </is>
      </c>
      <c r="BA402" s="557" t="n"/>
      <c r="BC402" t="inlineStr">
        <is>
          <t>22.23-0-2-ERW 1-PE</t>
        </is>
      </c>
    </row>
    <row r="403">
      <c r="D403" t="n">
        <v>1940090</v>
      </c>
      <c r="E403" t="n">
        <v>2423535</v>
      </c>
      <c r="H403" t="inlineStr">
        <is>
          <t>Sri Balaji Gears</t>
        </is>
      </c>
      <c r="P403" t="n">
        <v>917</v>
      </c>
      <c r="Q403" t="n">
        <v>901</v>
      </c>
      <c r="W403" t="inlineStr">
        <is>
          <t>19-19-1-CRFH-PE</t>
        </is>
      </c>
      <c r="BA403" s="557" t="n"/>
      <c r="BC403" t="inlineStr">
        <is>
          <t>22.23-0-2-ERW 1-PE</t>
        </is>
      </c>
    </row>
    <row r="404">
      <c r="D404" t="n">
        <v>1940090</v>
      </c>
      <c r="E404" t="n">
        <v>3183145</v>
      </c>
      <c r="H404" t="inlineStr">
        <is>
          <t>Sri Balaji Gears</t>
        </is>
      </c>
      <c r="P404" t="n">
        <v>918</v>
      </c>
      <c r="Q404" t="n">
        <v>902</v>
      </c>
      <c r="W404" t="inlineStr">
        <is>
          <t>19-19-1-CRFH-PE</t>
        </is>
      </c>
      <c r="BA404" s="557" t="n"/>
      <c r="BC404" t="inlineStr">
        <is>
          <t>22.23-0-2-ERW 1-PE</t>
        </is>
      </c>
    </row>
    <row r="405">
      <c r="D405" t="n">
        <v>1940090</v>
      </c>
      <c r="E405" t="n">
        <v>1940369</v>
      </c>
      <c r="H405" t="inlineStr">
        <is>
          <t>Sri Balaji Gears</t>
        </is>
      </c>
      <c r="P405" t="n">
        <v>919</v>
      </c>
      <c r="Q405" t="n">
        <v>903</v>
      </c>
      <c r="W405" t="inlineStr">
        <is>
          <t>19.05-0-2-ERW 1-PE</t>
        </is>
      </c>
      <c r="BA405" s="557" t="n"/>
      <c r="BC405" t="inlineStr">
        <is>
          <t>22.23-0-2-ERW 1-FC</t>
        </is>
      </c>
    </row>
    <row r="406">
      <c r="D406" t="n">
        <v>1940090</v>
      </c>
      <c r="E406" t="n">
        <v>2364549</v>
      </c>
      <c r="H406" t="inlineStr">
        <is>
          <t>Sri Balaji Gears</t>
        </is>
      </c>
      <c r="P406" t="n">
        <v>920</v>
      </c>
      <c r="Q406" t="n">
        <v>904</v>
      </c>
      <c r="W406" t="inlineStr">
        <is>
          <t>19-19-1-CRFH-PE</t>
        </is>
      </c>
      <c r="BA406" s="557" t="n"/>
      <c r="BC406" t="inlineStr">
        <is>
          <t>22.23-0-2-ERW 1-FC</t>
        </is>
      </c>
    </row>
    <row r="407">
      <c r="D407" t="n">
        <v>1940090</v>
      </c>
      <c r="E407" t="n">
        <v>2404870</v>
      </c>
      <c r="H407" t="inlineStr">
        <is>
          <t>Sri Balaji Gears</t>
        </is>
      </c>
      <c r="P407" t="n">
        <v>921</v>
      </c>
      <c r="Q407" t="n">
        <v>905</v>
      </c>
      <c r="W407" t="inlineStr">
        <is>
          <t>19-19-1-CRFH-PE</t>
        </is>
      </c>
      <c r="BA407" s="557" t="n"/>
      <c r="BC407" t="inlineStr">
        <is>
          <t>22.23-0-2-ERW 1-FC</t>
        </is>
      </c>
    </row>
    <row r="408">
      <c r="D408" t="n">
        <v>1940090</v>
      </c>
      <c r="E408" t="n">
        <v>3702143</v>
      </c>
      <c r="H408" t="inlineStr">
        <is>
          <t>Sri Balaji Gears</t>
        </is>
      </c>
      <c r="P408" t="n">
        <v>922</v>
      </c>
      <c r="Q408" t="n">
        <v>906</v>
      </c>
      <c r="W408" t="inlineStr">
        <is>
          <t>19-19-1-CRFH-PE</t>
        </is>
      </c>
      <c r="BA408" s="557" t="n"/>
      <c r="BC408" t="inlineStr">
        <is>
          <t>22.23-0-2-ERW 1-PE</t>
        </is>
      </c>
    </row>
    <row r="409">
      <c r="D409" t="n">
        <v>1940090</v>
      </c>
      <c r="E409" t="n">
        <v>3553684</v>
      </c>
      <c r="H409" t="inlineStr">
        <is>
          <t>Sri Balaji Gears</t>
        </is>
      </c>
      <c r="P409" t="n">
        <v>923</v>
      </c>
      <c r="Q409" t="n">
        <v>907</v>
      </c>
      <c r="W409" t="inlineStr">
        <is>
          <t>19-19-1-CRFH-PE</t>
        </is>
      </c>
      <c r="BA409" s="557" t="n"/>
      <c r="BC409" t="inlineStr">
        <is>
          <t>22.23-0-2-ERW 1-PE</t>
        </is>
      </c>
    </row>
    <row r="410">
      <c r="D410" t="n">
        <v>1940090</v>
      </c>
      <c r="E410" t="n">
        <v>1940390</v>
      </c>
      <c r="H410" t="inlineStr">
        <is>
          <t>Sri Balaji Gears</t>
        </is>
      </c>
      <c r="P410" t="n">
        <v>924</v>
      </c>
      <c r="Q410" t="n">
        <v>908</v>
      </c>
      <c r="W410" t="inlineStr">
        <is>
          <t>19-19-1-CRFH-PE</t>
        </is>
      </c>
      <c r="BA410" s="557" t="n"/>
      <c r="BC410" t="inlineStr">
        <is>
          <t>22.23-0-2-ERW 1-PE</t>
        </is>
      </c>
    </row>
    <row r="411">
      <c r="D411" t="n">
        <v>1940090</v>
      </c>
      <c r="E411" t="n">
        <v>1940392</v>
      </c>
      <c r="H411" t="inlineStr">
        <is>
          <t>Sri Balaji Gears</t>
        </is>
      </c>
      <c r="P411" t="n">
        <v>925</v>
      </c>
      <c r="Q411" t="n">
        <v>909</v>
      </c>
      <c r="W411" t="inlineStr">
        <is>
          <t>19-19-1.2-CRFH-PE</t>
        </is>
      </c>
      <c r="BA411" s="557" t="n"/>
      <c r="BC411" t="inlineStr">
        <is>
          <t>22.23-0-2.3-ERW 1-PE</t>
        </is>
      </c>
    </row>
    <row r="412">
      <c r="D412" t="n">
        <v>1940090</v>
      </c>
      <c r="E412" t="n">
        <v>1938251</v>
      </c>
      <c r="H412" t="inlineStr">
        <is>
          <t>Sri Balaji Gears</t>
        </is>
      </c>
      <c r="P412" t="n">
        <v>926</v>
      </c>
      <c r="Q412" t="n">
        <v>910</v>
      </c>
      <c r="W412" t="inlineStr">
        <is>
          <t>19-19-1.2-CRFH-PE</t>
        </is>
      </c>
      <c r="BA412" s="557" t="n"/>
      <c r="BC412" t="inlineStr">
        <is>
          <t>22.23-0-2.3-ERW 1-PE</t>
        </is>
      </c>
    </row>
    <row r="413">
      <c r="D413" t="n">
        <v>3506797</v>
      </c>
      <c r="E413" t="n">
        <v>1940398</v>
      </c>
      <c r="H413" t="inlineStr">
        <is>
          <t>Sri Balaji Gears</t>
        </is>
      </c>
      <c r="P413" t="n">
        <v>927</v>
      </c>
      <c r="Q413" t="n">
        <v>911</v>
      </c>
      <c r="W413" t="inlineStr">
        <is>
          <t>19-19-1.2-CRFH-PE</t>
        </is>
      </c>
      <c r="BA413" s="557" t="n"/>
      <c r="BC413" t="inlineStr">
        <is>
          <t>22.23-0-2.3-ERW 1-PE</t>
        </is>
      </c>
    </row>
    <row r="414">
      <c r="D414" t="n">
        <v>2243845</v>
      </c>
      <c r="E414" t="n">
        <v>1940399</v>
      </c>
      <c r="H414" t="inlineStr">
        <is>
          <t>Sri Balaji Gears</t>
        </is>
      </c>
      <c r="P414" t="n">
        <v>928</v>
      </c>
      <c r="Q414" t="n">
        <v>912</v>
      </c>
      <c r="W414" t="inlineStr">
        <is>
          <t>19-19-1.2-CRFH-PE</t>
        </is>
      </c>
      <c r="BA414" s="557" t="n"/>
      <c r="BC414" t="inlineStr">
        <is>
          <t>22.23-0-2.3-ERW 1-PE</t>
        </is>
      </c>
    </row>
    <row r="415">
      <c r="D415" t="n">
        <v>2243845</v>
      </c>
      <c r="E415" t="n">
        <v>1940400</v>
      </c>
      <c r="H415" t="inlineStr">
        <is>
          <t>JBM AUTO LIMITED</t>
        </is>
      </c>
      <c r="P415" t="n">
        <v>929</v>
      </c>
      <c r="Q415" t="n">
        <v>913</v>
      </c>
      <c r="W415" t="inlineStr">
        <is>
          <t>19.05-0-2.3-ERW 1-PE</t>
        </is>
      </c>
      <c r="BA415" s="557" t="n"/>
      <c r="BC415" t="inlineStr">
        <is>
          <t>22.23-0-2.3-ERW 1-PE</t>
        </is>
      </c>
    </row>
    <row r="416">
      <c r="D416" t="n">
        <v>2243845</v>
      </c>
      <c r="E416" t="n">
        <v>1940403</v>
      </c>
      <c r="H416" t="inlineStr">
        <is>
          <t>Sri Balaji Gears</t>
        </is>
      </c>
      <c r="P416" t="n">
        <v>930</v>
      </c>
      <c r="Q416" t="n">
        <v>914</v>
      </c>
      <c r="W416" t="inlineStr">
        <is>
          <t>22.23-0-1.6-ERW 1-PE</t>
        </is>
      </c>
      <c r="BA416" s="557" t="n"/>
      <c r="BC416" t="inlineStr">
        <is>
          <t>22.23-0-2.3-ERW 1-PE</t>
        </is>
      </c>
    </row>
    <row r="417">
      <c r="D417" t="n">
        <v>2243845</v>
      </c>
      <c r="E417" t="n">
        <v>2427960</v>
      </c>
      <c r="H417" t="inlineStr">
        <is>
          <t>Sri Balaji Gears</t>
        </is>
      </c>
      <c r="P417" t="n">
        <v>931</v>
      </c>
      <c r="Q417" t="n">
        <v>915</v>
      </c>
      <c r="W417" t="inlineStr">
        <is>
          <t>22.23-0-1.6-ERW 1-PE</t>
        </is>
      </c>
      <c r="BA417" s="557" t="n"/>
      <c r="BC417" t="inlineStr">
        <is>
          <t>22.23-0-2.3-ERW 1-PE</t>
        </is>
      </c>
    </row>
    <row r="418">
      <c r="D418" t="n">
        <v>2243845</v>
      </c>
      <c r="E418" t="n">
        <v>2427939</v>
      </c>
      <c r="H418" t="inlineStr">
        <is>
          <t>Sri Balaji Gears</t>
        </is>
      </c>
      <c r="P418" t="n">
        <v>932</v>
      </c>
      <c r="Q418" t="n">
        <v>916</v>
      </c>
      <c r="W418" t="inlineStr">
        <is>
          <t>22.23-0-1.6-ERW 1-PE</t>
        </is>
      </c>
      <c r="BA418" s="557" t="n"/>
      <c r="BC418" t="inlineStr">
        <is>
          <t>22.23-0-2.3-ERW 1-PE</t>
        </is>
      </c>
    </row>
    <row r="419">
      <c r="D419" t="n">
        <v>2243845</v>
      </c>
      <c r="E419" t="n">
        <v>3714733</v>
      </c>
      <c r="H419" t="inlineStr">
        <is>
          <t>Sri Balaji Gears</t>
        </is>
      </c>
      <c r="P419" t="n">
        <v>933</v>
      </c>
      <c r="Q419" t="n">
        <v>917</v>
      </c>
      <c r="W419" t="inlineStr">
        <is>
          <t>22.23-0-1.6-ERW 1-PE</t>
        </is>
      </c>
      <c r="BA419" s="557" t="n"/>
      <c r="BC419" t="inlineStr">
        <is>
          <t>22.23-0-2.3-ERW 1-PE</t>
        </is>
      </c>
    </row>
    <row r="420">
      <c r="D420" t="n">
        <v>2243845</v>
      </c>
      <c r="E420" t="n">
        <v>2270133</v>
      </c>
      <c r="H420" t="inlineStr">
        <is>
          <t>Sri Balaji Gears</t>
        </is>
      </c>
      <c r="P420" t="n">
        <v>934</v>
      </c>
      <c r="Q420" t="n">
        <v>918</v>
      </c>
      <c r="W420" t="inlineStr">
        <is>
          <t>22.23-0-1.6-ERW 1-PE</t>
        </is>
      </c>
      <c r="BA420" s="557" t="n"/>
      <c r="BC420" t="inlineStr">
        <is>
          <t>22.23-0-2.3-ERW 1-PE</t>
        </is>
      </c>
    </row>
    <row r="421">
      <c r="D421" t="n">
        <v>2384087</v>
      </c>
      <c r="E421" t="n">
        <v>1940407</v>
      </c>
      <c r="H421" t="inlineStr">
        <is>
          <t>Sri Balaji Gears</t>
        </is>
      </c>
      <c r="P421" t="n">
        <v>935</v>
      </c>
      <c r="Q421" t="n">
        <v>919</v>
      </c>
      <c r="W421" t="inlineStr">
        <is>
          <t>22.23-0-1.6-ERW 1-PE</t>
        </is>
      </c>
      <c r="BA421" s="557" t="n"/>
      <c r="BC421" t="inlineStr">
        <is>
          <t>22.23-0-2.3-ERW 1-PE</t>
        </is>
      </c>
    </row>
    <row r="422">
      <c r="D422" t="n">
        <v>1940120</v>
      </c>
      <c r="E422" t="n">
        <v>1940408</v>
      </c>
      <c r="H422" t="inlineStr">
        <is>
          <t>Sri Balaji Gears</t>
        </is>
      </c>
      <c r="P422" t="n">
        <v>936</v>
      </c>
      <c r="Q422" t="n">
        <v>920</v>
      </c>
      <c r="W422" t="inlineStr">
        <is>
          <t>22.23-0-1.6-ERW 1-PE</t>
        </is>
      </c>
      <c r="BA422" s="557" t="n"/>
      <c r="BC422" t="inlineStr">
        <is>
          <t>22.23-0-2.3-ERW 1-PE</t>
        </is>
      </c>
    </row>
    <row r="423">
      <c r="D423" t="n">
        <v>1940120</v>
      </c>
      <c r="E423" t="n">
        <v>3628242</v>
      </c>
      <c r="H423" t="inlineStr">
        <is>
          <t>Sri Balaji Gears</t>
        </is>
      </c>
      <c r="P423" t="n">
        <v>937</v>
      </c>
      <c r="Q423" t="n">
        <v>921</v>
      </c>
      <c r="W423" t="inlineStr">
        <is>
          <t>19.05-0-2-ERW 1-PE</t>
        </is>
      </c>
      <c r="BA423" s="557" t="n"/>
      <c r="BC423" t="inlineStr">
        <is>
          <t>check thickness tdc</t>
        </is>
      </c>
    </row>
    <row r="424">
      <c r="D424" t="n">
        <v>1940120</v>
      </c>
      <c r="E424" t="n">
        <v>2418687</v>
      </c>
      <c r="H424" t="inlineStr">
        <is>
          <t>Sri Balaji Gears</t>
        </is>
      </c>
      <c r="P424" t="n">
        <v>938</v>
      </c>
      <c r="Q424" t="n">
        <v>922</v>
      </c>
      <c r="W424" t="inlineStr">
        <is>
          <t>19.05-0-2-ERW 1-PE</t>
        </is>
      </c>
      <c r="BA424" s="557" t="n"/>
      <c r="BC424" t="inlineStr">
        <is>
          <t>22.23-0-1.2-ERW 1-PE</t>
        </is>
      </c>
    </row>
    <row r="425">
      <c r="D425" t="n">
        <v>1940120</v>
      </c>
      <c r="E425" t="n">
        <v>1940415</v>
      </c>
      <c r="H425" t="inlineStr">
        <is>
          <t>Sri Balaji Gears</t>
        </is>
      </c>
      <c r="P425" t="n">
        <v>939</v>
      </c>
      <c r="Q425" t="n">
        <v>923</v>
      </c>
      <c r="W425" t="inlineStr">
        <is>
          <t>19.05-0-2.3-ERW 1-PE</t>
        </is>
      </c>
      <c r="BA425" s="557" t="n"/>
      <c r="BC425" t="inlineStr">
        <is>
          <t>22.23-0-1.2-ERW 1-PE</t>
        </is>
      </c>
    </row>
    <row r="426">
      <c r="D426" t="n">
        <v>1940120</v>
      </c>
      <c r="E426" t="n">
        <v>1940416</v>
      </c>
      <c r="H426" t="inlineStr">
        <is>
          <t>TECHNICO INDUSTRIES LIMITED</t>
        </is>
      </c>
      <c r="P426" t="n">
        <v>940</v>
      </c>
      <c r="Q426" t="n">
        <v>924</v>
      </c>
      <c r="W426" t="inlineStr">
        <is>
          <t>19.05-0-2.3-ERW 1-PE</t>
        </is>
      </c>
      <c r="BA426" s="557" t="n"/>
      <c r="BC426" t="inlineStr">
        <is>
          <t>22.23-0-1.2-ERW 1-PE</t>
        </is>
      </c>
    </row>
    <row r="427">
      <c r="D427" t="n">
        <v>1940120</v>
      </c>
      <c r="E427" t="n">
        <v>3599863</v>
      </c>
      <c r="H427" t="inlineStr">
        <is>
          <t>TECHNICO INDUSTRIES LIMITED</t>
        </is>
      </c>
      <c r="P427" t="n">
        <v>941</v>
      </c>
      <c r="Q427" t="n">
        <v>925</v>
      </c>
      <c r="W427" t="inlineStr">
        <is>
          <t>19.05-0-2.3-ERW 1-PE</t>
        </is>
      </c>
      <c r="BA427" s="557" t="n"/>
      <c r="BC427" t="inlineStr">
        <is>
          <t>22.23-0-1.2-ERW 1-PE</t>
        </is>
      </c>
    </row>
    <row r="428">
      <c r="D428" t="n">
        <v>1940120</v>
      </c>
      <c r="E428" t="n">
        <v>3599035</v>
      </c>
      <c r="H428" t="inlineStr">
        <is>
          <t>Tushar Steel Traders</t>
        </is>
      </c>
      <c r="P428" t="n">
        <v>942</v>
      </c>
      <c r="Q428" t="n">
        <v>926</v>
      </c>
      <c r="W428" t="inlineStr">
        <is>
          <t>19.05-0-1-ERW 1-PE</t>
        </is>
      </c>
      <c r="BA428" s="557" t="n"/>
      <c r="BC428" t="inlineStr">
        <is>
          <t>22.23-0-1.2-ERW 1-PE</t>
        </is>
      </c>
    </row>
    <row r="429">
      <c r="D429" t="n">
        <v>1940120</v>
      </c>
      <c r="E429" t="n">
        <v>3672992</v>
      </c>
      <c r="H429" t="inlineStr">
        <is>
          <t>BALAJI PRESS PRODUCTS INDIA</t>
        </is>
      </c>
      <c r="P429" t="n">
        <v>943</v>
      </c>
      <c r="Q429" t="n">
        <v>927</v>
      </c>
      <c r="W429" t="inlineStr">
        <is>
          <t>19.05-0-1-ERW 1-PE</t>
        </is>
      </c>
      <c r="BA429" s="557" t="n"/>
      <c r="BC429" t="inlineStr">
        <is>
          <t>22.23-0-1.2-ERW 1-PE</t>
        </is>
      </c>
    </row>
    <row r="430">
      <c r="D430" t="n">
        <v>1940120</v>
      </c>
      <c r="E430" t="n">
        <v>3673012</v>
      </c>
      <c r="H430" t="inlineStr">
        <is>
          <t>A.R.Automotive And Engg Industries</t>
        </is>
      </c>
      <c r="P430" t="n">
        <v>944</v>
      </c>
      <c r="Q430" t="n">
        <v>928</v>
      </c>
      <c r="W430" t="inlineStr">
        <is>
          <t>19.05-0-1-ERW 1-PE</t>
        </is>
      </c>
      <c r="BA430" s="557" t="n"/>
      <c r="BC430" t="inlineStr">
        <is>
          <t>22.23-0-1.2-ERW 1-PE</t>
        </is>
      </c>
    </row>
    <row r="431">
      <c r="D431" t="n">
        <v>1940120</v>
      </c>
      <c r="E431" t="n">
        <v>1940418</v>
      </c>
      <c r="H431" t="inlineStr">
        <is>
          <t>A.R.Automotive And Engg Industries</t>
        </is>
      </c>
      <c r="P431" t="n">
        <v>945</v>
      </c>
      <c r="Q431" t="n">
        <v>929</v>
      </c>
      <c r="W431" t="inlineStr">
        <is>
          <t>19.05-0-1-ERW 1-PE</t>
        </is>
      </c>
      <c r="BA431" s="557" t="n"/>
      <c r="BC431" t="inlineStr">
        <is>
          <t>22.23-0-1.2-ERW 1-PE</t>
        </is>
      </c>
    </row>
    <row r="432">
      <c r="D432" t="n">
        <v>1940120</v>
      </c>
      <c r="E432" t="n">
        <v>1940420</v>
      </c>
      <c r="H432" t="inlineStr">
        <is>
          <t>A.R.Automotive And Engg Industries</t>
        </is>
      </c>
      <c r="P432" t="n">
        <v>946</v>
      </c>
      <c r="Q432" t="n">
        <v>930</v>
      </c>
      <c r="W432" t="inlineStr">
        <is>
          <t>38.1-0-2-ERW 1-FC</t>
        </is>
      </c>
      <c r="BA432" s="557" t="n"/>
      <c r="BC432" t="inlineStr">
        <is>
          <t>22.23-0-1.2-ERW 1-PE</t>
        </is>
      </c>
    </row>
    <row r="433">
      <c r="D433" t="n">
        <v>1940120</v>
      </c>
      <c r="E433" t="n">
        <v>3673011</v>
      </c>
      <c r="H433" t="inlineStr">
        <is>
          <t>ELKAYEM AUTO ANCILLARIES (PVT) LTD.</t>
        </is>
      </c>
      <c r="P433" t="n">
        <v>947</v>
      </c>
      <c r="Q433" t="n">
        <v>931</v>
      </c>
      <c r="W433" t="inlineStr">
        <is>
          <t>38.1-0-2-ERW 1-FC</t>
        </is>
      </c>
      <c r="BA433" s="557" t="n"/>
      <c r="BC433" t="inlineStr">
        <is>
          <t>22.23-0-1.2-ERW 1-PE</t>
        </is>
      </c>
    </row>
    <row r="434">
      <c r="D434" t="n">
        <v>3188792</v>
      </c>
      <c r="E434" t="n">
        <v>2349249</v>
      </c>
      <c r="H434" t="inlineStr">
        <is>
          <t>MEGH STEELS PRIVATE LIMITED - TVS A</t>
        </is>
      </c>
      <c r="P434" t="n">
        <v>948</v>
      </c>
      <c r="Q434" t="n">
        <v>932</v>
      </c>
      <c r="W434" t="inlineStr">
        <is>
          <t>38.1-0-2-ERW 1-FC</t>
        </is>
      </c>
      <c r="BA434" s="557" t="n"/>
      <c r="BC434" t="inlineStr">
        <is>
          <t>check thickness usage</t>
        </is>
      </c>
    </row>
    <row r="435">
      <c r="D435" t="n">
        <v>3188792</v>
      </c>
      <c r="E435" t="n">
        <v>1931050</v>
      </c>
      <c r="H435" t="inlineStr">
        <is>
          <t>A.R.Automotive And Engg Industries</t>
        </is>
      </c>
      <c r="P435" t="n">
        <v>949</v>
      </c>
      <c r="Q435" t="n">
        <v>933</v>
      </c>
      <c r="W435" t="inlineStr">
        <is>
          <t>38.1-0-2-ERW 1-FC</t>
        </is>
      </c>
      <c r="BA435" s="557" t="n"/>
      <c r="BC435" t="inlineStr">
        <is>
          <t>check thickness usage</t>
        </is>
      </c>
    </row>
    <row r="436">
      <c r="D436" t="n">
        <v>3188792</v>
      </c>
      <c r="E436" t="n">
        <v>3575897</v>
      </c>
      <c r="H436" t="inlineStr">
        <is>
          <t>A.R.Automotive And Engg Industries</t>
        </is>
      </c>
      <c r="P436" t="n">
        <v>950</v>
      </c>
      <c r="Q436" t="n">
        <v>934</v>
      </c>
      <c r="W436" t="inlineStr">
        <is>
          <t>38.1-0-2-ERW 1-FC</t>
        </is>
      </c>
      <c r="BA436" s="557" t="n"/>
      <c r="BC436" t="inlineStr">
        <is>
          <t>22.23-0-1.6-ERW 1-PE</t>
        </is>
      </c>
    </row>
    <row r="437">
      <c r="D437" t="n">
        <v>3188792</v>
      </c>
      <c r="E437" t="n">
        <v>1940430</v>
      </c>
      <c r="H437" t="inlineStr">
        <is>
          <t>A.R.Automotive And Engg Industries</t>
        </is>
      </c>
      <c r="P437" t="n">
        <v>951</v>
      </c>
      <c r="Q437" t="n">
        <v>935</v>
      </c>
      <c r="W437" t="inlineStr">
        <is>
          <t>38.1-0-2-ERW 1-FC</t>
        </is>
      </c>
      <c r="BA437" s="557" t="n"/>
      <c r="BC437" t="inlineStr">
        <is>
          <t>22.23-0-1.6-ERW 1-PE</t>
        </is>
      </c>
    </row>
    <row r="438">
      <c r="D438" t="n">
        <v>2410995</v>
      </c>
      <c r="E438" t="n">
        <v>1905990</v>
      </c>
      <c r="H438" t="inlineStr">
        <is>
          <t>A.R.Automotive And Engg Industries</t>
        </is>
      </c>
      <c r="P438" t="n">
        <v>952</v>
      </c>
      <c r="Q438" t="n">
        <v>936</v>
      </c>
      <c r="W438" t="inlineStr">
        <is>
          <t>38.1-0-2-ERW 1-FC</t>
        </is>
      </c>
      <c r="BA438" s="557" t="n"/>
      <c r="BC438" t="inlineStr">
        <is>
          <t>22.23-0-1.6-ERW 1-PE</t>
        </is>
      </c>
    </row>
    <row r="439">
      <c r="D439" t="n">
        <v>2410995</v>
      </c>
      <c r="E439" t="n">
        <v>1940437</v>
      </c>
      <c r="H439" t="inlineStr">
        <is>
          <t>TECHNICO INDUSTRIES LIMITED</t>
        </is>
      </c>
      <c r="P439" t="n">
        <v>953</v>
      </c>
      <c r="Q439" t="n">
        <v>937</v>
      </c>
      <c r="W439" t="inlineStr">
        <is>
          <t>38.1-0-2-ERW 1-FC</t>
        </is>
      </c>
      <c r="BA439" s="557" t="n"/>
      <c r="BC439" t="inlineStr">
        <is>
          <t>22.23-0-1.6-ERW 1-PE</t>
        </is>
      </c>
    </row>
    <row r="440">
      <c r="D440" t="n">
        <v>2410996</v>
      </c>
      <c r="E440" t="n">
        <v>1940445</v>
      </c>
      <c r="H440" t="inlineStr">
        <is>
          <t>TECHNICO INDUSTRIES LIMITED</t>
        </is>
      </c>
      <c r="P440" t="n">
        <v>954</v>
      </c>
      <c r="Q440" t="n">
        <v>938</v>
      </c>
      <c r="W440" t="inlineStr">
        <is>
          <t>38.1-0-2-ERW 1-FC</t>
        </is>
      </c>
      <c r="BA440" s="557" t="n"/>
      <c r="BC440" t="inlineStr">
        <is>
          <t>22.23-0-1.6-ERW 1-PE</t>
        </is>
      </c>
    </row>
    <row r="441">
      <c r="D441" t="n">
        <v>2410996</v>
      </c>
      <c r="E441" t="n">
        <v>1940449</v>
      </c>
      <c r="H441" t="inlineStr">
        <is>
          <t>TECHNICO INDUSTRIES LIMITED</t>
        </is>
      </c>
      <c r="P441" t="n">
        <v>955</v>
      </c>
      <c r="Q441" t="n">
        <v>939</v>
      </c>
      <c r="W441" t="inlineStr">
        <is>
          <t>38.1-0-2-ERW 1-FC</t>
        </is>
      </c>
      <c r="BA441" s="557" t="n"/>
      <c r="BC441" t="inlineStr">
        <is>
          <t>22.23-0-1.6-ERW 1-PE</t>
        </is>
      </c>
    </row>
    <row r="442">
      <c r="D442" t="n">
        <v>2410996</v>
      </c>
      <c r="E442" t="n">
        <v>2422186</v>
      </c>
      <c r="H442" t="inlineStr">
        <is>
          <t>TECHNICO INDUSTRIES LIMITED</t>
        </is>
      </c>
      <c r="P442" t="n">
        <v>956</v>
      </c>
      <c r="Q442" t="n">
        <v>940</v>
      </c>
      <c r="W442" t="inlineStr">
        <is>
          <t>38.1-0-2-ERW 1-FC</t>
        </is>
      </c>
      <c r="BA442" s="557" t="n"/>
      <c r="BC442" t="inlineStr">
        <is>
          <t>22.23-0-1.6-ERW 1-PE</t>
        </is>
      </c>
    </row>
    <row r="443">
      <c r="D443" t="n">
        <v>1938195</v>
      </c>
      <c r="E443" t="n">
        <v>1940464</v>
      </c>
      <c r="H443" t="inlineStr">
        <is>
          <t>SM EXHAUST TECHNOLOGY PVT LTD</t>
        </is>
      </c>
      <c r="P443" t="n">
        <v>957</v>
      </c>
      <c r="Q443" t="n">
        <v>941</v>
      </c>
      <c r="W443" t="inlineStr">
        <is>
          <t>38.1-0-2-ERW 1-FC</t>
        </is>
      </c>
      <c r="BA443" s="557" t="n"/>
      <c r="BC443" t="inlineStr">
        <is>
          <t>22.23-0-1.6-ERW 1-PE</t>
        </is>
      </c>
    </row>
    <row r="444">
      <c r="D444" t="n">
        <v>1938195</v>
      </c>
      <c r="E444" t="n">
        <v>1940466</v>
      </c>
      <c r="H444" t="inlineStr">
        <is>
          <t>SM EXHAUST TECHNOLOGY PVT LTD</t>
        </is>
      </c>
      <c r="P444" t="n">
        <v>958</v>
      </c>
      <c r="Q444" t="n">
        <v>942</v>
      </c>
      <c r="W444" t="inlineStr">
        <is>
          <t>38.1-0-2-ERW 1-FC</t>
        </is>
      </c>
      <c r="BA444" s="557" t="n"/>
      <c r="BC444" t="inlineStr">
        <is>
          <t>22.23-0-1.6-ERW 1-PE</t>
        </is>
      </c>
    </row>
    <row r="445">
      <c r="D445" t="n">
        <v>1938195</v>
      </c>
      <c r="E445" t="n">
        <v>1940467</v>
      </c>
      <c r="H445" t="inlineStr">
        <is>
          <t>SM EXHAUST TECHNOLOGY PVT LTD</t>
        </is>
      </c>
      <c r="P445" t="n">
        <v>959</v>
      </c>
      <c r="Q445" t="n">
        <v>943</v>
      </c>
      <c r="W445" t="inlineStr">
        <is>
          <t>38.1-0-2-ERW 1-FC</t>
        </is>
      </c>
      <c r="BA445" s="557" t="n"/>
      <c r="BC445" t="inlineStr">
        <is>
          <t>22.23-0-1.6-ERW 2 MAHS-PE</t>
        </is>
      </c>
    </row>
    <row r="446">
      <c r="D446" t="n">
        <v>1938195</v>
      </c>
      <c r="E446" t="n">
        <v>2413708</v>
      </c>
      <c r="H446" t="inlineStr">
        <is>
          <t>SM EXHAUST TECHNOLOGY PVT LTD</t>
        </is>
      </c>
      <c r="P446" t="n">
        <v>960</v>
      </c>
      <c r="Q446" t="n">
        <v>944</v>
      </c>
      <c r="W446" t="inlineStr">
        <is>
          <t>38.1-0-2-ERW 1-FC</t>
        </is>
      </c>
      <c r="BA446" s="557" t="n"/>
      <c r="BC446" t="inlineStr">
        <is>
          <t>22.23-0-1.6-ERW 2 MAHS-PE</t>
        </is>
      </c>
    </row>
    <row r="447">
      <c r="D447" t="n">
        <v>1938195</v>
      </c>
      <c r="E447" t="n">
        <v>1940470</v>
      </c>
      <c r="H447" t="inlineStr">
        <is>
          <t>SM EXHAUST TECHNOLOGY PVT LTD</t>
        </is>
      </c>
      <c r="P447" t="n">
        <v>961</v>
      </c>
      <c r="Q447" t="n">
        <v>945</v>
      </c>
      <c r="W447" t="inlineStr">
        <is>
          <t>38.1-0-2-ERW 1-FC</t>
        </is>
      </c>
      <c r="BA447" s="557" t="n"/>
      <c r="BC447" t="inlineStr">
        <is>
          <t>22.23-0-1.6-ERW 1-PE</t>
        </is>
      </c>
    </row>
    <row r="448">
      <c r="D448" t="n">
        <v>1938195</v>
      </c>
      <c r="E448" t="n">
        <v>1940472</v>
      </c>
      <c r="H448" t="inlineStr">
        <is>
          <t>SM EXHAUST TECHNOLOGY PVT LTD</t>
        </is>
      </c>
      <c r="P448" t="n">
        <v>962</v>
      </c>
      <c r="Q448" t="n">
        <v>946</v>
      </c>
      <c r="W448" t="inlineStr">
        <is>
          <t>38.1-0-2-ERW 1-FC</t>
        </is>
      </c>
      <c r="BA448" s="557" t="n"/>
      <c r="BC448" t="inlineStr">
        <is>
          <t>22.23-0-1.6-ERW 1-PE</t>
        </is>
      </c>
    </row>
    <row r="449">
      <c r="D449" t="n">
        <v>1225244</v>
      </c>
      <c r="E449" t="n">
        <v>1940474</v>
      </c>
      <c r="H449" t="inlineStr">
        <is>
          <t>YOSHIKA ENGINEERING PVT LTD</t>
        </is>
      </c>
      <c r="P449" t="n">
        <v>963</v>
      </c>
      <c r="Q449" t="n">
        <v>947</v>
      </c>
      <c r="W449" t="inlineStr">
        <is>
          <t>38.1-0-2-ERW 1-FC</t>
        </is>
      </c>
      <c r="BA449" s="557" t="n"/>
      <c r="BC449" t="inlineStr">
        <is>
          <t>22.23-0-1.6-ERW 1-PE</t>
        </is>
      </c>
    </row>
    <row r="450">
      <c r="D450" t="n">
        <v>1931824</v>
      </c>
      <c r="E450" t="n">
        <v>1940478</v>
      </c>
      <c r="H450" t="inlineStr">
        <is>
          <t>NALANDA INDUSTRIAL CORPOR</t>
        </is>
      </c>
      <c r="P450" t="n">
        <v>964</v>
      </c>
      <c r="Q450" t="n">
        <v>948</v>
      </c>
      <c r="W450" t="inlineStr">
        <is>
          <t>38.1-0-2-ERW 1-FC</t>
        </is>
      </c>
      <c r="BA450" s="557" t="n"/>
      <c r="BC450" t="inlineStr">
        <is>
          <t>22.23-0-1.6-ERW 1-PE</t>
        </is>
      </c>
    </row>
    <row r="451">
      <c r="D451" t="n">
        <v>1931824</v>
      </c>
      <c r="E451" t="n">
        <v>2420106</v>
      </c>
      <c r="H451" t="inlineStr">
        <is>
          <t>Rajsriya Automotive Ind.P.Ltd Unit-</t>
        </is>
      </c>
      <c r="P451" t="n">
        <v>965</v>
      </c>
      <c r="Q451" t="n">
        <v>949</v>
      </c>
      <c r="W451" t="inlineStr">
        <is>
          <t>19.05-0-1-ERW 1-PE</t>
        </is>
      </c>
      <c r="BA451" s="557" t="n"/>
      <c r="BC451" t="inlineStr">
        <is>
          <t>22.23-0-1.6-ERW 1-PE</t>
        </is>
      </c>
    </row>
    <row r="452">
      <c r="D452" t="n">
        <v>1931824</v>
      </c>
      <c r="E452" t="n">
        <v>1940490</v>
      </c>
      <c r="H452" t="inlineStr">
        <is>
          <t>Rajsriya Automotive Ind.P.Ltd Unit-</t>
        </is>
      </c>
      <c r="P452" t="n">
        <v>966</v>
      </c>
      <c r="Q452" t="n">
        <v>950</v>
      </c>
      <c r="W452" t="inlineStr">
        <is>
          <t>19.05-0-1-ERW 1-PE</t>
        </is>
      </c>
      <c r="BA452" s="557" t="n"/>
      <c r="BC452" t="inlineStr">
        <is>
          <t>22.23-0-1.6-ERW 1-PE</t>
        </is>
      </c>
    </row>
    <row r="453">
      <c r="D453" t="n">
        <v>1931824</v>
      </c>
      <c r="E453" t="n">
        <v>1940489</v>
      </c>
      <c r="H453" t="inlineStr">
        <is>
          <t>Metalman Auto Private Limited</t>
        </is>
      </c>
      <c r="P453" t="n">
        <v>967</v>
      </c>
      <c r="Q453" t="n">
        <v>951</v>
      </c>
      <c r="W453" t="inlineStr">
        <is>
          <t>19.05-0-1.2-ERW 1-PE</t>
        </is>
      </c>
      <c r="BA453" s="557" t="n"/>
      <c r="BC453" t="inlineStr">
        <is>
          <t>22.23-0-1.6-ERW 2 MAHS-PE</t>
        </is>
      </c>
    </row>
    <row r="454">
      <c r="D454" t="n">
        <v>1931824</v>
      </c>
      <c r="E454" t="n">
        <v>2349840</v>
      </c>
      <c r="H454" t="inlineStr">
        <is>
          <t>Metalman Auto Private Limited</t>
        </is>
      </c>
      <c r="P454" t="n">
        <v>968</v>
      </c>
      <c r="Q454" t="n">
        <v>952</v>
      </c>
      <c r="W454" t="inlineStr">
        <is>
          <t>19.05-0-1.2-ERW 1-PE</t>
        </is>
      </c>
      <c r="BA454" s="557" t="n"/>
      <c r="BC454" t="inlineStr">
        <is>
          <t>22.23-0-1.6-ERW 1-PE</t>
        </is>
      </c>
    </row>
    <row r="455">
      <c r="D455" t="n">
        <v>1931824</v>
      </c>
      <c r="E455" t="n">
        <v>3557791</v>
      </c>
      <c r="H455" t="inlineStr">
        <is>
          <t>Metalman Auto Private Limited</t>
        </is>
      </c>
      <c r="P455" t="n">
        <v>969</v>
      </c>
      <c r="Q455" t="n">
        <v>953</v>
      </c>
      <c r="W455" t="inlineStr">
        <is>
          <t>19.05-0-1.2-ERW 1-PE</t>
        </is>
      </c>
      <c r="BA455" s="557" t="n"/>
      <c r="BC455" t="inlineStr">
        <is>
          <t>22.23-0-1.6-ERW 2 MAHS-PE</t>
        </is>
      </c>
    </row>
    <row r="456">
      <c r="D456" t="n">
        <v>3702201</v>
      </c>
      <c r="E456" t="n">
        <v>2431251</v>
      </c>
      <c r="H456" t="inlineStr">
        <is>
          <t>Metalman Auto Private Limited</t>
        </is>
      </c>
      <c r="P456" t="n">
        <v>970</v>
      </c>
      <c r="Q456" t="n">
        <v>954</v>
      </c>
      <c r="W456" t="inlineStr">
        <is>
          <t>19.05-0-1.2-ERW 1-PE</t>
        </is>
      </c>
      <c r="BA456" s="557" t="n"/>
      <c r="BC456" t="inlineStr">
        <is>
          <t>22.23-0-1.6-ERW 2 MAHS-PE</t>
        </is>
      </c>
    </row>
    <row r="457">
      <c r="D457" t="n">
        <v>1938118</v>
      </c>
      <c r="E457" t="n">
        <v>3575899</v>
      </c>
      <c r="H457" t="inlineStr">
        <is>
          <t>Metalman Auto Private Limited</t>
        </is>
      </c>
      <c r="P457" t="n">
        <v>971</v>
      </c>
      <c r="Q457" t="n">
        <v>955</v>
      </c>
      <c r="W457" t="inlineStr">
        <is>
          <t>19.05-0-1.2-ERW 1-PE</t>
        </is>
      </c>
      <c r="BA457" s="557" t="n"/>
      <c r="BC457" t="inlineStr">
        <is>
          <t>22.23-0-1.6-ERW 1-PE</t>
        </is>
      </c>
    </row>
    <row r="458">
      <c r="D458" t="n">
        <v>1938118</v>
      </c>
      <c r="E458" t="n">
        <v>1940493</v>
      </c>
      <c r="H458" t="inlineStr">
        <is>
          <t>Neel Metal Products Limited</t>
        </is>
      </c>
      <c r="P458" t="n">
        <v>972</v>
      </c>
      <c r="Q458" t="n">
        <v>956</v>
      </c>
      <c r="W458" t="inlineStr">
        <is>
          <t>19.05-0-1.2-ERW 1-PE</t>
        </is>
      </c>
      <c r="BA458" s="557" t="n"/>
      <c r="BC458" t="inlineStr">
        <is>
          <t>22.23-0-1.6-ERW 1-PE</t>
        </is>
      </c>
    </row>
    <row r="459">
      <c r="D459" t="n">
        <v>1938118</v>
      </c>
      <c r="E459" t="n">
        <v>3230499</v>
      </c>
      <c r="H459" t="inlineStr">
        <is>
          <t>ELKAYEM AUTO ANCILLARIES PVT LTD -U</t>
        </is>
      </c>
      <c r="P459" t="n">
        <v>973</v>
      </c>
      <c r="Q459" t="n">
        <v>957</v>
      </c>
      <c r="W459" t="inlineStr">
        <is>
          <t>19.05-0-1.2-ERW 1-PE</t>
        </is>
      </c>
      <c r="BA459" s="557" t="n"/>
      <c r="BC459" t="inlineStr">
        <is>
          <t>22.23-0-1.6-ERW 1-PE</t>
        </is>
      </c>
    </row>
    <row r="460">
      <c r="D460" t="n">
        <v>1938118</v>
      </c>
      <c r="E460" t="n">
        <v>2402914</v>
      </c>
      <c r="H460" t="inlineStr">
        <is>
          <t>Neel Metal Products Limited</t>
        </is>
      </c>
      <c r="P460" t="n">
        <v>974</v>
      </c>
      <c r="Q460" t="n">
        <v>958</v>
      </c>
      <c r="W460" t="inlineStr">
        <is>
          <t>19.05-0-1.2-ERW 1-PE</t>
        </is>
      </c>
      <c r="BA460" s="557" t="n"/>
      <c r="BC460" t="inlineStr">
        <is>
          <t>22.23-0-1.6-ERW 1-PE</t>
        </is>
      </c>
    </row>
    <row r="461">
      <c r="D461" t="n">
        <v>1938118</v>
      </c>
      <c r="E461" t="n">
        <v>3442057</v>
      </c>
      <c r="H461" t="inlineStr">
        <is>
          <t>NAHARS ENGINEERING INDIA PRIVATE LI</t>
        </is>
      </c>
      <c r="P461" t="n">
        <v>975</v>
      </c>
      <c r="Q461" t="n">
        <v>959</v>
      </c>
      <c r="W461" t="inlineStr">
        <is>
          <t>19.05-0-1.2-ERW 1-PE</t>
        </is>
      </c>
      <c r="BA461" s="557" t="n"/>
      <c r="BC461" t="inlineStr">
        <is>
          <t>22.23-0-1.6-ERW 1-PE</t>
        </is>
      </c>
    </row>
    <row r="462">
      <c r="D462" t="n">
        <v>1938118</v>
      </c>
      <c r="E462" t="n">
        <v>1940498</v>
      </c>
      <c r="H462" t="inlineStr">
        <is>
          <t>Sandhar EngineeringPvt.Ltd.(KA)-Uni</t>
        </is>
      </c>
      <c r="P462" t="n">
        <v>976</v>
      </c>
      <c r="Q462" t="n">
        <v>960</v>
      </c>
      <c r="W462" t="inlineStr">
        <is>
          <t>19.05-0-1.2-ERW 1-PE</t>
        </is>
      </c>
      <c r="BA462" s="557" t="n"/>
      <c r="BC462" t="inlineStr">
        <is>
          <t>22.23-0-1.6-ERW 1-PE</t>
        </is>
      </c>
    </row>
    <row r="463">
      <c r="D463" t="n">
        <v>1938118</v>
      </c>
      <c r="E463" t="n">
        <v>1940504</v>
      </c>
      <c r="H463" t="inlineStr">
        <is>
          <t>Sandhar EngineeringPvt.Ltd.(KA)-Uni</t>
        </is>
      </c>
      <c r="P463" t="n">
        <v>977</v>
      </c>
      <c r="Q463" t="n">
        <v>961</v>
      </c>
      <c r="W463" t="inlineStr">
        <is>
          <t>22.23-0-1.6-ERW 1-PE</t>
        </is>
      </c>
      <c r="BA463" s="557" t="n"/>
      <c r="BC463" t="inlineStr">
        <is>
          <t>22.23-0-1.6-ERW 1-PE</t>
        </is>
      </c>
    </row>
    <row r="464">
      <c r="D464" t="n">
        <v>1938118</v>
      </c>
      <c r="E464" t="n">
        <v>1940510</v>
      </c>
      <c r="H464" t="inlineStr">
        <is>
          <t>Sandhar EngineeringPvt.Ltd.(KA)-Uni</t>
        </is>
      </c>
      <c r="P464" t="n">
        <v>978</v>
      </c>
      <c r="Q464" t="n">
        <v>962</v>
      </c>
      <c r="W464" t="inlineStr">
        <is>
          <t>48.6-0-3.5-ERW 1-FC</t>
        </is>
      </c>
      <c r="BA464" s="557" t="n"/>
      <c r="BC464" t="inlineStr">
        <is>
          <t>22.23-0-1.6-ERW 1-PE</t>
        </is>
      </c>
    </row>
    <row r="465">
      <c r="D465" t="n">
        <v>1938118</v>
      </c>
      <c r="E465" t="n">
        <v>3557584</v>
      </c>
      <c r="H465" t="inlineStr">
        <is>
          <t>SRIKAM HITECH ENGINEERING PRIVATE L</t>
        </is>
      </c>
      <c r="P465" t="n">
        <v>979</v>
      </c>
      <c r="Q465" t="n">
        <v>963</v>
      </c>
      <c r="W465" t="inlineStr">
        <is>
          <t>19.05-0-1.2-ERW 1-PE</t>
        </is>
      </c>
      <c r="BA465" s="557" t="n"/>
      <c r="BC465" t="inlineStr">
        <is>
          <t>22.23-0-1.6-ERW 1-PE</t>
        </is>
      </c>
    </row>
    <row r="466">
      <c r="D466" t="n">
        <v>1938118</v>
      </c>
      <c r="E466" t="n">
        <v>3230483</v>
      </c>
      <c r="H466" t="inlineStr">
        <is>
          <t>SRIKAM HITECH ENGINEERING PRIVATE L</t>
        </is>
      </c>
      <c r="P466" t="n">
        <v>980</v>
      </c>
      <c r="Q466" t="n">
        <v>964</v>
      </c>
      <c r="W466" t="inlineStr">
        <is>
          <t>19.05-0-1.2-ERW 1-PE</t>
        </is>
      </c>
      <c r="BA466" s="557" t="n"/>
      <c r="BC466" t="inlineStr">
        <is>
          <t>22.23-0-1.6-ERW 1-PE</t>
        </is>
      </c>
    </row>
    <row r="467">
      <c r="D467" t="n">
        <v>1938118</v>
      </c>
      <c r="E467" t="n">
        <v>3572043</v>
      </c>
      <c r="H467" t="inlineStr">
        <is>
          <t>Neel Metal Products Limited</t>
        </is>
      </c>
      <c r="P467" t="n">
        <v>981</v>
      </c>
      <c r="Q467" t="n">
        <v>965</v>
      </c>
      <c r="W467" t="inlineStr">
        <is>
          <t>19.05-0-1.2-ERW 1-PE</t>
        </is>
      </c>
      <c r="BA467" s="557" t="n"/>
      <c r="BC467" t="inlineStr">
        <is>
          <t>22.23-0-1.6-ERW 1-PE</t>
        </is>
      </c>
    </row>
    <row r="468">
      <c r="D468" t="n">
        <v>1938382</v>
      </c>
      <c r="E468" t="n">
        <v>3230482</v>
      </c>
      <c r="H468" t="inlineStr">
        <is>
          <t>FREE STOCK</t>
        </is>
      </c>
      <c r="P468" t="n">
        <v>990</v>
      </c>
      <c r="Q468" t="n">
        <v>966</v>
      </c>
      <c r="W468" t="inlineStr">
        <is>
          <t>19.05-0-1.2-ERW 1-PE</t>
        </is>
      </c>
      <c r="BA468" s="557" t="n"/>
      <c r="BC468" t="inlineStr">
        <is>
          <t>22.23-0-1.6-ERW 1-PE</t>
        </is>
      </c>
    </row>
    <row r="469">
      <c r="D469" t="n">
        <v>1938382</v>
      </c>
      <c r="E469" t="n">
        <v>3230484</v>
      </c>
      <c r="H469" t="inlineStr">
        <is>
          <t>RAJSRIYA AUTOMOTIVE IND. P LTD</t>
        </is>
      </c>
      <c r="P469" t="n">
        <v>991</v>
      </c>
      <c r="Q469" t="n">
        <v>967</v>
      </c>
      <c r="W469" t="inlineStr">
        <is>
          <t>19.05-0-1.2-ERW 1-PE</t>
        </is>
      </c>
      <c r="BA469" s="557" t="n"/>
      <c r="BC469" t="inlineStr">
        <is>
          <t>22.23-0-2-ERW 1-PE</t>
        </is>
      </c>
    </row>
    <row r="470">
      <c r="D470" t="n">
        <v>1938382</v>
      </c>
      <c r="E470" t="n">
        <v>3572044</v>
      </c>
      <c r="H470" t="inlineStr">
        <is>
          <t>RAJSRIYA AUTOMOTIVE IND. P LTD</t>
        </is>
      </c>
      <c r="P470" t="n">
        <v>992</v>
      </c>
      <c r="Q470" t="n">
        <v>968</v>
      </c>
      <c r="W470" t="inlineStr">
        <is>
          <t>19.05-0-1.2-ERW 1-PE</t>
        </is>
      </c>
      <c r="BA470" s="557" t="n"/>
      <c r="BC470" t="inlineStr">
        <is>
          <t>22.23-0-2-ERW 1-PE</t>
        </is>
      </c>
    </row>
    <row r="471">
      <c r="D471" t="n">
        <v>1938119</v>
      </c>
      <c r="E471" t="n">
        <v>3752128</v>
      </c>
      <c r="H471" t="inlineStr">
        <is>
          <t>RAJSRIYA AUTOMOTIVE IND. P LTD</t>
        </is>
      </c>
      <c r="P471" t="n">
        <v>993</v>
      </c>
      <c r="Q471" t="n">
        <v>969</v>
      </c>
      <c r="W471" t="inlineStr">
        <is>
          <t>19.05-0-2-ERW 1-PE</t>
        </is>
      </c>
      <c r="BA471" s="557" t="n"/>
      <c r="BC471" t="inlineStr">
        <is>
          <t>22.23-0-2-ERW 1-PE</t>
        </is>
      </c>
    </row>
    <row r="472">
      <c r="D472" t="n">
        <v>1938119</v>
      </c>
      <c r="E472" t="n">
        <v>1940538</v>
      </c>
      <c r="H472" t="inlineStr">
        <is>
          <t>RAJSRIYA AUTOMOTIVE IND. P LTD</t>
        </is>
      </c>
      <c r="P472" t="n">
        <v>994</v>
      </c>
      <c r="Q472" t="n">
        <v>970</v>
      </c>
      <c r="W472" t="inlineStr">
        <is>
          <t>19.05-0-2-ERW 1-PE</t>
        </is>
      </c>
      <c r="BA472" s="557" t="n"/>
      <c r="BC472" t="inlineStr">
        <is>
          <t>22.23-0-2-ERW 1-PE</t>
        </is>
      </c>
    </row>
    <row r="473">
      <c r="D473" t="n">
        <v>1938119</v>
      </c>
      <c r="E473" t="n">
        <v>435963</v>
      </c>
      <c r="H473" t="inlineStr">
        <is>
          <t>MEGH STEELS PRIVATE LIMITED - TVS A</t>
        </is>
      </c>
      <c r="P473" t="n">
        <v>995</v>
      </c>
      <c r="Q473" t="n">
        <v>971</v>
      </c>
      <c r="W473" t="inlineStr">
        <is>
          <t>19.05-0-2-ERW 1-PE</t>
        </is>
      </c>
      <c r="BA473" s="557" t="n"/>
      <c r="BC473" t="inlineStr">
        <is>
          <t>22.23-0-2-ERW 1-PE</t>
        </is>
      </c>
    </row>
    <row r="474">
      <c r="D474" t="n">
        <v>1938119</v>
      </c>
      <c r="E474" t="n">
        <v>3675671</v>
      </c>
      <c r="H474" t="inlineStr">
        <is>
          <t>MEGH STEELS PRIVATE LIMITED - TVS A</t>
        </is>
      </c>
      <c r="P474" t="n">
        <v>996</v>
      </c>
      <c r="Q474" t="n">
        <v>972</v>
      </c>
      <c r="W474" t="inlineStr">
        <is>
          <t>19.05-0-2-ERW 1-PE</t>
        </is>
      </c>
      <c r="BA474" s="557" t="n"/>
      <c r="BC474" t="inlineStr">
        <is>
          <t>22.23-0-2-ERW 1-PE</t>
        </is>
      </c>
    </row>
    <row r="475">
      <c r="D475" t="n">
        <v>1938119</v>
      </c>
      <c r="E475" t="n">
        <v>3675672</v>
      </c>
      <c r="H475" t="inlineStr">
        <is>
          <t>MEGH STEELS PRIVATE LIMITED - TVS A</t>
        </is>
      </c>
      <c r="P475" t="n">
        <v>997</v>
      </c>
      <c r="Q475" t="n">
        <v>973</v>
      </c>
      <c r="W475" t="inlineStr">
        <is>
          <t>19.05-0-2-ERW 1-PE</t>
        </is>
      </c>
      <c r="BA475" s="557" t="n"/>
      <c r="BC475" t="inlineStr">
        <is>
          <t>22.23-0-2-ERW 1-PE</t>
        </is>
      </c>
    </row>
    <row r="476">
      <c r="D476" t="n">
        <v>1938119</v>
      </c>
      <c r="E476" t="n">
        <v>3605862</v>
      </c>
      <c r="H476" t="inlineStr">
        <is>
          <t>MEGH STEELS PRIVATE LIMITED - TVS A</t>
        </is>
      </c>
      <c r="P476" t="n">
        <v>998</v>
      </c>
      <c r="Q476" t="n">
        <v>974</v>
      </c>
      <c r="W476" t="inlineStr">
        <is>
          <t>19.05-0-2-ERW 1-PE</t>
        </is>
      </c>
      <c r="BA476" s="557" t="n"/>
      <c r="BC476" t="inlineStr">
        <is>
          <t>22.23-0-2-ERW 1-PE</t>
        </is>
      </c>
    </row>
    <row r="477">
      <c r="D477" t="n">
        <v>1938119</v>
      </c>
      <c r="E477" t="n">
        <v>1940545</v>
      </c>
      <c r="H477" t="inlineStr">
        <is>
          <t>MEGH STEELS PRIVATE LIMITED - TVS A</t>
        </is>
      </c>
      <c r="P477" t="n">
        <v>999</v>
      </c>
      <c r="Q477" t="n">
        <v>975</v>
      </c>
      <c r="W477" t="inlineStr">
        <is>
          <t>19.05-0-2-ERW 1-PE</t>
        </is>
      </c>
      <c r="BA477" s="557" t="n"/>
      <c r="BC477" t="inlineStr">
        <is>
          <t>22.23-0-2-ERW 2 MAHS-PE</t>
        </is>
      </c>
    </row>
    <row r="478">
      <c r="D478" t="n">
        <v>1938163</v>
      </c>
      <c r="E478" t="n">
        <v>2371410</v>
      </c>
      <c r="H478" t="inlineStr">
        <is>
          <t>MEGH STEELS PRIVATE LIMITED - TVS A</t>
        </is>
      </c>
      <c r="P478" t="n">
        <v>1000</v>
      </c>
      <c r="Q478" t="n">
        <v>976</v>
      </c>
      <c r="W478" t="inlineStr">
        <is>
          <t>34.93-0-2.3-ERW 2-FC-Ampere</t>
        </is>
      </c>
      <c r="BA478" s="557" t="n"/>
      <c r="BC478" t="inlineStr">
        <is>
          <t>22.23-0-2-ERW 1-PE</t>
        </is>
      </c>
    </row>
    <row r="479">
      <c r="D479" t="n">
        <v>1938163</v>
      </c>
      <c r="E479" t="n">
        <v>3501900</v>
      </c>
      <c r="H479" t="inlineStr">
        <is>
          <t>MEGH STEELS PRIVATE LIMITED - TVS A</t>
        </is>
      </c>
      <c r="P479" t="n">
        <v>1001</v>
      </c>
      <c r="Q479" t="n">
        <v>977</v>
      </c>
      <c r="W479" t="inlineStr">
        <is>
          <t>34.93-0-2.3-ERW 2-FC-Ampere</t>
        </is>
      </c>
      <c r="BA479" s="557" t="n"/>
      <c r="BC479" t="inlineStr">
        <is>
          <t>22.23-0-2-ERW 2 MAHS-PE</t>
        </is>
      </c>
    </row>
    <row r="480">
      <c r="D480" t="n">
        <v>1938163</v>
      </c>
      <c r="E480" t="n">
        <v>3556885</v>
      </c>
      <c r="H480" t="inlineStr">
        <is>
          <t>MEGH STEELS PRIVATE LIMITED - TVS A</t>
        </is>
      </c>
      <c r="P480" t="n">
        <v>1002</v>
      </c>
      <c r="Q480" t="n">
        <v>978</v>
      </c>
      <c r="W480" t="inlineStr">
        <is>
          <t>34.93-0-2.3-ERW 2-FC-Ampere</t>
        </is>
      </c>
      <c r="BA480" s="557" t="n"/>
      <c r="BC480" t="inlineStr">
        <is>
          <t>22.23-0-2-ERW 1-PE</t>
        </is>
      </c>
    </row>
    <row r="481">
      <c r="D481" t="n">
        <v>1938163</v>
      </c>
      <c r="E481" t="n">
        <v>3557792</v>
      </c>
      <c r="H481" t="inlineStr">
        <is>
          <t>MEGH STEELS PRIVATE LIMITED - TVS A</t>
        </is>
      </c>
      <c r="P481" t="n">
        <v>1003</v>
      </c>
      <c r="Q481" t="n">
        <v>979</v>
      </c>
      <c r="W481" t="inlineStr">
        <is>
          <t>34.93-0-2.3-ERW 2-FC-Ampere</t>
        </is>
      </c>
      <c r="BA481" s="557" t="n"/>
      <c r="BC481" t="inlineStr">
        <is>
          <t>22.23-0-2-ERW 2 MAHS-PE</t>
        </is>
      </c>
    </row>
    <row r="482">
      <c r="D482" t="n">
        <v>2410642</v>
      </c>
      <c r="E482" t="n">
        <v>438186</v>
      </c>
      <c r="H482" t="inlineStr">
        <is>
          <t>MEGH STEELS PRIVATE LIMITED - TVS A</t>
        </is>
      </c>
      <c r="P482" t="n">
        <v>1004</v>
      </c>
      <c r="Q482" t="n">
        <v>980</v>
      </c>
      <c r="W482" t="inlineStr">
        <is>
          <t>34.93-0-2.3-ERW 2-FC-Ampere</t>
        </is>
      </c>
      <c r="BA482" s="557" t="n"/>
      <c r="BC482" t="inlineStr">
        <is>
          <t>22.23-0-2-ERW 1-PE</t>
        </is>
      </c>
    </row>
    <row r="483">
      <c r="D483" t="n">
        <v>2410642</v>
      </c>
      <c r="E483" t="n">
        <v>1903091</v>
      </c>
      <c r="H483" t="inlineStr">
        <is>
          <t>MEGH STEELS PRIVATE LIMITED - TVS A</t>
        </is>
      </c>
      <c r="P483" t="n">
        <v>1005</v>
      </c>
      <c r="Q483" t="n">
        <v>981</v>
      </c>
      <c r="W483" t="inlineStr">
        <is>
          <t>19.05-0-1.2-ERW 1-PE</t>
        </is>
      </c>
      <c r="BA483" s="557" t="n"/>
      <c r="BC483" t="inlineStr">
        <is>
          <t>22.23-0-2-ERW 1-PE</t>
        </is>
      </c>
    </row>
    <row r="484">
      <c r="D484" t="n">
        <v>1938116</v>
      </c>
      <c r="E484" t="n">
        <v>3732180</v>
      </c>
      <c r="H484" t="inlineStr">
        <is>
          <t>MEGH STEELS PRIVATE LIMITED - TVS A</t>
        </is>
      </c>
      <c r="P484" t="n">
        <v>1006</v>
      </c>
      <c r="Q484" t="n">
        <v>986</v>
      </c>
      <c r="W484" t="inlineStr">
        <is>
          <t>19.05-0-1.2-ERW 1-PE</t>
        </is>
      </c>
      <c r="BA484" s="557" t="n"/>
      <c r="BC484" t="inlineStr">
        <is>
          <t>22.23-0-2-ERW 2 MAHS-PE</t>
        </is>
      </c>
    </row>
    <row r="485">
      <c r="D485" t="n">
        <v>1938116</v>
      </c>
      <c r="E485" t="n">
        <v>1119129</v>
      </c>
      <c r="H485" t="inlineStr">
        <is>
          <t>MEGH STEELS PRIVATE LIMITED - TVS A</t>
        </is>
      </c>
      <c r="P485" t="n">
        <v>1007</v>
      </c>
      <c r="Q485" t="n">
        <v>987</v>
      </c>
      <c r="W485" t="inlineStr">
        <is>
          <t>19.05-0-1.2-ERW 1-PE</t>
        </is>
      </c>
      <c r="BA485" s="557" t="n"/>
      <c r="BC485" t="inlineStr">
        <is>
          <t>22.23-0-2-ERW 2 MAHS-PE</t>
        </is>
      </c>
    </row>
    <row r="486">
      <c r="D486" t="n">
        <v>1938116</v>
      </c>
      <c r="E486" t="n">
        <v>1940562</v>
      </c>
      <c r="H486" t="inlineStr">
        <is>
          <t>MEGH STEELS PRIVATE LIMITED - TVS A</t>
        </is>
      </c>
      <c r="P486" t="n">
        <v>1008</v>
      </c>
      <c r="Q486" t="n">
        <v>988</v>
      </c>
      <c r="W486" t="inlineStr">
        <is>
          <t>19.05-0-1.2-ERW 1-PE</t>
        </is>
      </c>
      <c r="BA486" s="557" t="n"/>
      <c r="BC486" t="inlineStr">
        <is>
          <t>22.23-0-2-ERW 1-PE</t>
        </is>
      </c>
    </row>
    <row r="487">
      <c r="D487" t="n">
        <v>1938116</v>
      </c>
      <c r="E487" t="n">
        <v>249132</v>
      </c>
      <c r="H487" t="inlineStr">
        <is>
          <t>MEGH STEELS PRIVATE LIMITED - TVS A</t>
        </is>
      </c>
      <c r="P487" t="n">
        <v>1009</v>
      </c>
      <c r="Q487" t="n">
        <v>989</v>
      </c>
      <c r="W487" t="inlineStr">
        <is>
          <t>19.05-0-1.2-ERW 1-PE</t>
        </is>
      </c>
      <c r="BA487" s="557" t="n"/>
      <c r="BC487" t="inlineStr">
        <is>
          <t>22.23-0-2-ERW 1-PE</t>
        </is>
      </c>
    </row>
    <row r="488">
      <c r="D488" t="n">
        <v>1938116</v>
      </c>
      <c r="E488" t="n">
        <v>3677047</v>
      </c>
      <c r="H488" t="inlineStr">
        <is>
          <t>MEGH STEELS PRIVATE LIMITED - TVS A</t>
        </is>
      </c>
      <c r="P488" t="n">
        <v>1010</v>
      </c>
      <c r="Q488" t="n">
        <v>990</v>
      </c>
      <c r="W488" t="inlineStr">
        <is>
          <t>19.05-0-1.2-ERW 1-PE</t>
        </is>
      </c>
      <c r="BA488" s="557" t="n"/>
      <c r="BC488" t="inlineStr">
        <is>
          <t>22.23-0-2-ERW 1-PE</t>
        </is>
      </c>
    </row>
    <row r="489">
      <c r="D489" t="n">
        <v>1938116</v>
      </c>
      <c r="E489" t="n">
        <v>1448370</v>
      </c>
      <c r="H489" t="inlineStr">
        <is>
          <t>MEGH STEELS PRIVATE LIMITED - TVS A</t>
        </is>
      </c>
      <c r="P489" t="n">
        <v>1011</v>
      </c>
      <c r="Q489" t="n">
        <v>991</v>
      </c>
      <c r="W489" t="inlineStr">
        <is>
          <t>38.1-0-2-ERW 1-FC</t>
        </is>
      </c>
      <c r="BA489" s="557" t="n"/>
      <c r="BC489" t="inlineStr">
        <is>
          <t>22.23-0-2-ERW 2 MAHS-PE</t>
        </is>
      </c>
    </row>
    <row r="490">
      <c r="D490" t="n">
        <v>1938116</v>
      </c>
      <c r="E490" t="n">
        <v>3551623</v>
      </c>
      <c r="H490" t="inlineStr">
        <is>
          <t>MEGH STEELS PRIVATE LIMITED - TVS A</t>
        </is>
      </c>
      <c r="P490" t="n">
        <v>1012</v>
      </c>
      <c r="Q490" t="n">
        <v>992</v>
      </c>
      <c r="W490" t="inlineStr">
        <is>
          <t>38.1-0-2-ERW 1-FC</t>
        </is>
      </c>
      <c r="BA490" s="557" t="n"/>
      <c r="BC490" t="inlineStr">
        <is>
          <t>check grade tdc</t>
        </is>
      </c>
    </row>
    <row r="491">
      <c r="D491" t="n">
        <v>1938116</v>
      </c>
      <c r="E491" t="n">
        <v>2400891</v>
      </c>
      <c r="H491" t="inlineStr">
        <is>
          <t>LAXMI METAL PRESSING WORKS PVT LTD</t>
        </is>
      </c>
      <c r="P491" t="n">
        <v>1013</v>
      </c>
      <c r="Q491" t="n">
        <v>993</v>
      </c>
      <c r="W491" t="inlineStr">
        <is>
          <t>19.05-0-1.2-ERW 1-PE</t>
        </is>
      </c>
      <c r="BA491" s="557" t="n"/>
      <c r="BC491" t="inlineStr">
        <is>
          <t>22.23-0-2-ERW 1-FC</t>
        </is>
      </c>
    </row>
    <row r="492">
      <c r="D492" t="n">
        <v>1938117</v>
      </c>
      <c r="E492" t="n">
        <v>3727130</v>
      </c>
      <c r="H492" t="inlineStr">
        <is>
          <t>LAXMI METAL PRESSING WORKS PVT LTD</t>
        </is>
      </c>
      <c r="P492" t="n">
        <v>1014</v>
      </c>
      <c r="Q492" t="n">
        <v>994</v>
      </c>
      <c r="W492" t="inlineStr">
        <is>
          <t>19.05-0-1.2-ERW 1-PE</t>
        </is>
      </c>
      <c r="BA492" s="557" t="n"/>
      <c r="BC492" t="inlineStr">
        <is>
          <t>22.23-0-2-ERW 1-PE</t>
        </is>
      </c>
    </row>
    <row r="493">
      <c r="D493" t="n">
        <v>1938117</v>
      </c>
      <c r="E493" t="n">
        <v>2409618</v>
      </c>
      <c r="H493" t="inlineStr">
        <is>
          <t>LAXMI METAL PRESSING WORKS PVT LTD</t>
        </is>
      </c>
      <c r="P493" t="n">
        <v>1015</v>
      </c>
      <c r="Q493" t="n">
        <v>995</v>
      </c>
      <c r="W493" t="inlineStr">
        <is>
          <t>19.05-0-1.2-ERW 1-PE</t>
        </is>
      </c>
      <c r="BA493" s="557" t="n"/>
      <c r="BC493" t="inlineStr">
        <is>
          <t>22.23-0-2-ERW 1-PE</t>
        </is>
      </c>
    </row>
    <row r="494">
      <c r="D494" t="n">
        <v>1938117</v>
      </c>
      <c r="E494" t="n">
        <v>1940571</v>
      </c>
      <c r="H494" t="inlineStr">
        <is>
          <t>Thai Summit Autoparts India Pvt Ltd</t>
        </is>
      </c>
      <c r="P494" t="n">
        <v>1016</v>
      </c>
      <c r="Q494" t="n">
        <v>996</v>
      </c>
      <c r="W494" t="inlineStr">
        <is>
          <t>19.05-0-2-ERW 1-PE</t>
        </is>
      </c>
      <c r="BA494" s="557" t="n"/>
      <c r="BC494" t="inlineStr">
        <is>
          <t>22.23-0-2-ERW 2 MAHS-PE</t>
        </is>
      </c>
    </row>
    <row r="495">
      <c r="D495" t="n">
        <v>1938117</v>
      </c>
      <c r="E495" t="n">
        <v>3500097</v>
      </c>
      <c r="H495" t="inlineStr">
        <is>
          <t>Thai Summit Autoparts India Pvt Ltd</t>
        </is>
      </c>
      <c r="P495" t="n">
        <v>1017</v>
      </c>
      <c r="Q495" t="n">
        <v>997</v>
      </c>
      <c r="W495" t="inlineStr">
        <is>
          <t>19.05-0-2-ERW 1-PE</t>
        </is>
      </c>
      <c r="BA495" s="557" t="n"/>
      <c r="BC495" t="inlineStr">
        <is>
          <t>22.23-0-2-ERW 1-PE</t>
        </is>
      </c>
    </row>
    <row r="496">
      <c r="D496" t="n">
        <v>1938117</v>
      </c>
      <c r="E496" t="n">
        <v>1940574</v>
      </c>
      <c r="H496" t="inlineStr">
        <is>
          <t>Metalman Auto Private Limited</t>
        </is>
      </c>
      <c r="P496" t="n">
        <v>1018</v>
      </c>
      <c r="Q496" t="n">
        <v>998</v>
      </c>
      <c r="W496" t="inlineStr">
        <is>
          <t>22.23-0-1.6-ERW 1-PE</t>
        </is>
      </c>
      <c r="BA496" s="557" t="n"/>
      <c r="BC496" t="inlineStr">
        <is>
          <t>22.23-0-2-ERW 1-PE</t>
        </is>
      </c>
    </row>
    <row r="497">
      <c r="D497" t="n">
        <v>2288945</v>
      </c>
      <c r="E497" t="n">
        <v>1940584</v>
      </c>
      <c r="H497" t="inlineStr">
        <is>
          <t>Metalman Auto Private Limited</t>
        </is>
      </c>
      <c r="P497" t="n">
        <v>1019</v>
      </c>
      <c r="Q497" t="n">
        <v>999</v>
      </c>
      <c r="W497" t="inlineStr">
        <is>
          <t>22.23-0-1.6-ERW 1-PE</t>
        </is>
      </c>
      <c r="BA497" s="557" t="n"/>
      <c r="BC497" t="inlineStr">
        <is>
          <t>22.23-0-2-ERW 1-PE</t>
        </is>
      </c>
    </row>
    <row r="498">
      <c r="D498" t="n">
        <v>2288945</v>
      </c>
      <c r="E498" t="n">
        <v>299981</v>
      </c>
      <c r="H498" t="inlineStr">
        <is>
          <t>Metalman Auto Private Limited</t>
        </is>
      </c>
      <c r="P498" t="n">
        <v>1020</v>
      </c>
      <c r="Q498" t="n">
        <v>1000</v>
      </c>
      <c r="W498" t="inlineStr">
        <is>
          <t>22.23-0-1.6-ERW 1-PE</t>
        </is>
      </c>
      <c r="BA498" s="557" t="n"/>
      <c r="BC498" t="inlineStr">
        <is>
          <t>22.23-0-2-ERW 2-FC</t>
        </is>
      </c>
    </row>
    <row r="499">
      <c r="D499" t="n">
        <v>2410998</v>
      </c>
      <c r="E499" t="n">
        <v>3506206</v>
      </c>
      <c r="H499" t="inlineStr">
        <is>
          <t>Allied Industries (India)</t>
        </is>
      </c>
      <c r="P499" t="n">
        <v>1021</v>
      </c>
      <c r="Q499" t="n">
        <v>1001</v>
      </c>
      <c r="W499" t="inlineStr">
        <is>
          <t>19.05-0-1.2-ERW 1-PE</t>
        </is>
      </c>
      <c r="BA499" s="557" t="n"/>
      <c r="BC499" t="inlineStr">
        <is>
          <t>22.23-0-2-ERW 1-FC</t>
        </is>
      </c>
    </row>
    <row r="500">
      <c r="D500" t="n">
        <v>2410998</v>
      </c>
      <c r="E500" t="n">
        <v>1413976</v>
      </c>
      <c r="H500" t="inlineStr">
        <is>
          <t>MEGH STEELS PRIVATE LIMITED - TVS A</t>
        </is>
      </c>
      <c r="P500" t="n">
        <v>1022</v>
      </c>
      <c r="Q500" t="n">
        <v>1002</v>
      </c>
      <c r="W500" t="inlineStr">
        <is>
          <t>19.05-0-1.2-ERW 1-PE</t>
        </is>
      </c>
      <c r="BA500" s="557" t="n"/>
      <c r="BC500" t="inlineStr">
        <is>
          <t>22.23-0-2-ERW 1-PE</t>
        </is>
      </c>
    </row>
    <row r="501">
      <c r="D501" t="n">
        <v>2410998</v>
      </c>
      <c r="E501" t="n">
        <v>3508859</v>
      </c>
      <c r="H501" t="inlineStr">
        <is>
          <t>MEGH STEELS PRIVATE LIMITED - TVS A</t>
        </is>
      </c>
      <c r="P501" t="n">
        <v>1023</v>
      </c>
      <c r="Q501" t="n">
        <v>1003</v>
      </c>
      <c r="W501" t="inlineStr">
        <is>
          <t>19.05-0-1.2-ERW 1-PE</t>
        </is>
      </c>
      <c r="BA501" s="557" t="n"/>
      <c r="BC501" t="inlineStr">
        <is>
          <t>22.23-0-2-ERW 1-FC</t>
        </is>
      </c>
    </row>
    <row r="502">
      <c r="D502" t="n">
        <v>2410998</v>
      </c>
      <c r="E502" t="n">
        <v>3209978</v>
      </c>
      <c r="H502" t="inlineStr">
        <is>
          <t>Rajsriya Automotive Ind. Pvt Ltd</t>
        </is>
      </c>
      <c r="P502" t="n">
        <v>1024</v>
      </c>
      <c r="Q502" t="n">
        <v>1004</v>
      </c>
      <c r="W502" t="inlineStr">
        <is>
          <t>19.05-0-1.2-ERW 1-PE</t>
        </is>
      </c>
      <c r="BA502" s="557" t="n"/>
      <c r="BC502" t="inlineStr">
        <is>
          <t>22.23-0-2-ERW 1-PE</t>
        </is>
      </c>
    </row>
    <row r="503">
      <c r="D503" t="n">
        <v>2410998</v>
      </c>
      <c r="E503" t="n">
        <v>1940588</v>
      </c>
      <c r="H503" t="inlineStr">
        <is>
          <t>RAJSRIYA AUTOMOTIVE IND. P LTD</t>
        </is>
      </c>
      <c r="P503" t="n">
        <v>1025</v>
      </c>
      <c r="Q503" t="n">
        <v>1005</v>
      </c>
      <c r="W503" t="inlineStr">
        <is>
          <t>19.05-0-1.2-ERW 1-PE</t>
        </is>
      </c>
      <c r="BA503" s="557" t="n"/>
      <c r="BC503" t="inlineStr">
        <is>
          <t>22.23-0-2-ERW 2 MAHS-PE</t>
        </is>
      </c>
    </row>
    <row r="504">
      <c r="D504" t="n">
        <v>2410998</v>
      </c>
      <c r="E504" t="n">
        <v>3122350</v>
      </c>
      <c r="H504" t="inlineStr">
        <is>
          <t>RAJSRIYA AUTOMOTIVE IND. P LTD</t>
        </is>
      </c>
      <c r="P504" t="n">
        <v>1026</v>
      </c>
      <c r="Q504" t="n">
        <v>1006</v>
      </c>
      <c r="W504" t="inlineStr">
        <is>
          <t>19.05-0-2-ERW 1-PE</t>
        </is>
      </c>
      <c r="BA504" s="557" t="n"/>
      <c r="BC504" t="inlineStr">
        <is>
          <t>22.23-0-2.3-ERW 1-PE</t>
        </is>
      </c>
    </row>
    <row r="505">
      <c r="D505" t="n">
        <v>3842023</v>
      </c>
      <c r="E505" t="n">
        <v>3863819</v>
      </c>
      <c r="H505" t="inlineStr">
        <is>
          <t>NAHARS ENGINEERING INDIA PRIVATE LI</t>
        </is>
      </c>
      <c r="P505" t="n">
        <v>1027</v>
      </c>
      <c r="Q505" t="n">
        <v>1007</v>
      </c>
      <c r="W505" t="inlineStr">
        <is>
          <t>19.05-0-2-ERW 1-PE</t>
        </is>
      </c>
      <c r="BA505" s="557" t="n"/>
      <c r="BC505" t="inlineStr">
        <is>
          <t>22.23-0-2.3-ERW 1-PE</t>
        </is>
      </c>
    </row>
    <row r="506">
      <c r="D506" t="n">
        <v>3545493</v>
      </c>
      <c r="E506" t="n">
        <v>3863800</v>
      </c>
      <c r="H506" t="inlineStr">
        <is>
          <t>NAHARS ENGINEERING INDIA PRIVATE LI</t>
        </is>
      </c>
      <c r="P506" t="n">
        <v>1028</v>
      </c>
      <c r="Q506" t="n">
        <v>1008</v>
      </c>
      <c r="W506" t="inlineStr">
        <is>
          <t>19.05-0-2.3-ERW 1-PE</t>
        </is>
      </c>
      <c r="BA506" s="557" t="n"/>
      <c r="BC506" t="inlineStr">
        <is>
          <t>22.23-0-2.3-ERW 1-PE</t>
        </is>
      </c>
    </row>
    <row r="507">
      <c r="D507" t="n">
        <v>3842024</v>
      </c>
      <c r="E507" t="n">
        <v>2382577</v>
      </c>
      <c r="H507" t="inlineStr">
        <is>
          <t>NALANDA INDUSTRIAL CORPOR</t>
        </is>
      </c>
      <c r="P507" t="n">
        <v>1029</v>
      </c>
      <c r="Q507" t="n">
        <v>1009</v>
      </c>
      <c r="W507" t="inlineStr">
        <is>
          <t>19.05-0-2.3-ERW 1-PE</t>
        </is>
      </c>
      <c r="BA507" s="557" t="n"/>
      <c r="BC507" t="inlineStr">
        <is>
          <t>22.23-0-2.3-ERW 1-PE</t>
        </is>
      </c>
    </row>
    <row r="508">
      <c r="D508" t="n">
        <v>3545492</v>
      </c>
      <c r="E508" t="n">
        <v>1386656</v>
      </c>
      <c r="H508" t="inlineStr">
        <is>
          <t>RAJSRIYA AUTOMOTIVE IND. P LTD</t>
        </is>
      </c>
      <c r="P508" t="n">
        <v>1030</v>
      </c>
      <c r="Q508" t="n">
        <v>1010</v>
      </c>
      <c r="W508" t="inlineStr">
        <is>
          <t>19.05-0-1.6-ERW 1-PE</t>
        </is>
      </c>
      <c r="BA508" s="557" t="n"/>
      <c r="BC508" t="inlineStr">
        <is>
          <t>checkness thickness tdc</t>
        </is>
      </c>
    </row>
    <row r="509">
      <c r="D509" t="n">
        <v>3545492</v>
      </c>
      <c r="E509" t="n">
        <v>3509211</v>
      </c>
      <c r="H509" t="inlineStr">
        <is>
          <t>MEGH STEELS PRIVATE LIMITED - TVS A</t>
        </is>
      </c>
      <c r="P509" t="n">
        <v>1036</v>
      </c>
      <c r="Q509" t="n">
        <v>1011</v>
      </c>
      <c r="W509" t="inlineStr">
        <is>
          <t>19.05-0-1.6-ERW 1-PE</t>
        </is>
      </c>
      <c r="BA509" s="557" t="n"/>
      <c r="BC509" t="inlineStr">
        <is>
          <t>22.23-0-2-ERW 2 MAHS-PE</t>
        </is>
      </c>
    </row>
    <row r="510">
      <c r="D510" t="n">
        <v>1939459</v>
      </c>
      <c r="E510" t="n">
        <v>1482265</v>
      </c>
      <c r="H510" t="inlineStr">
        <is>
          <t>MEGH STEELS PRIVATE LIMITED - HMSIL</t>
        </is>
      </c>
      <c r="P510" t="n">
        <v>1037</v>
      </c>
      <c r="Q510" t="n">
        <v>1012</v>
      </c>
      <c r="W510" t="inlineStr">
        <is>
          <t>19.05-0-1.6-ERW 1-PE</t>
        </is>
      </c>
      <c r="BA510" s="557" t="n"/>
      <c r="BC510" t="inlineStr">
        <is>
          <t>25-25-1.2-CRFH-PE</t>
        </is>
      </c>
    </row>
    <row r="511">
      <c r="D511" t="n">
        <v>1939459</v>
      </c>
      <c r="E511" t="n">
        <v>3218520</v>
      </c>
      <c r="H511" t="inlineStr">
        <is>
          <t>MEGH STEELS PRIVATE LIMITED - HMSIL</t>
        </is>
      </c>
      <c r="P511" t="n">
        <v>1038</v>
      </c>
      <c r="Q511" t="n">
        <v>1013</v>
      </c>
      <c r="W511" t="inlineStr">
        <is>
          <t>19.05-0-1.6-ERW 2 MAHS-PE</t>
        </is>
      </c>
      <c r="BA511" s="557" t="n"/>
      <c r="BC511" t="inlineStr">
        <is>
          <t>25-25-1.2-CRFH-PE</t>
        </is>
      </c>
    </row>
    <row r="512">
      <c r="D512" t="n">
        <v>3545491</v>
      </c>
      <c r="E512" t="n">
        <v>1531609</v>
      </c>
      <c r="H512" t="inlineStr">
        <is>
          <t>MEGH STEELS PRIVATE LIMITED - HMSIL</t>
        </is>
      </c>
      <c r="P512" t="n">
        <v>1039</v>
      </c>
      <c r="Q512" t="n">
        <v>1014</v>
      </c>
      <c r="W512" t="inlineStr">
        <is>
          <t>19.05-0-1.6-ERW 2 MAHS-PE</t>
        </is>
      </c>
      <c r="BA512" s="557" t="n"/>
      <c r="BC512" t="inlineStr">
        <is>
          <t>25-25-1.2-CRFH-PE</t>
        </is>
      </c>
    </row>
    <row r="513">
      <c r="D513" t="n">
        <v>3545491</v>
      </c>
      <c r="E513" t="n">
        <v>1190412</v>
      </c>
      <c r="H513" t="inlineStr">
        <is>
          <t>MEGH STEELS PRIVATE LIMITED - HMSIL</t>
        </is>
      </c>
      <c r="P513" t="n">
        <v>1040</v>
      </c>
      <c r="Q513" t="n">
        <v>1015</v>
      </c>
      <c r="W513" t="inlineStr">
        <is>
          <t>19.05-0-1.6-ERW 2 MAHS-PE</t>
        </is>
      </c>
      <c r="BA513" s="557" t="n"/>
      <c r="BC513" t="inlineStr">
        <is>
          <t>25-25-1.2-CRFH-PE</t>
        </is>
      </c>
    </row>
    <row r="514">
      <c r="D514" t="n">
        <v>1938191</v>
      </c>
      <c r="E514" t="n">
        <v>2420715</v>
      </c>
      <c r="H514" t="inlineStr">
        <is>
          <t>MEGH STEELS PRIVATE LIMITED - HMSIL</t>
        </is>
      </c>
      <c r="P514" t="n">
        <v>1041</v>
      </c>
      <c r="Q514" t="n">
        <v>1016</v>
      </c>
      <c r="W514" t="inlineStr">
        <is>
          <t>19.05-0-1.6-ERW 2 MAHS-PE</t>
        </is>
      </c>
      <c r="BA514" s="557" t="n"/>
      <c r="BC514" t="inlineStr">
        <is>
          <t>25-25-1.2-CRFH-PE</t>
        </is>
      </c>
    </row>
    <row r="515">
      <c r="D515" t="n">
        <v>1938191</v>
      </c>
      <c r="E515" t="n">
        <v>3667329</v>
      </c>
      <c r="H515" t="inlineStr">
        <is>
          <t>MEGH STEELS PRIVATE LIMITED - HMSIL</t>
        </is>
      </c>
      <c r="P515" t="n">
        <v>1042</v>
      </c>
      <c r="Q515" t="n">
        <v>1017</v>
      </c>
      <c r="W515" t="inlineStr">
        <is>
          <t>19.05-0-1.6-ERW 2 MAHS-PE</t>
        </is>
      </c>
      <c r="BA515" s="557" t="n"/>
      <c r="BC515" t="inlineStr">
        <is>
          <t>25-25-1.2-CRFH-PE</t>
        </is>
      </c>
    </row>
    <row r="516">
      <c r="D516" t="n">
        <v>1938191</v>
      </c>
      <c r="E516" t="n">
        <v>3673890</v>
      </c>
      <c r="H516" t="inlineStr">
        <is>
          <t>MEGH STEELS PRIVATE LIMITED - HMSIL</t>
        </is>
      </c>
      <c r="P516" t="n">
        <v>1043</v>
      </c>
      <c r="Q516" t="n">
        <v>1018</v>
      </c>
      <c r="W516" t="inlineStr">
        <is>
          <t>19.05-0-1.6-ERW 2 MAHS-PE</t>
        </is>
      </c>
      <c r="BA516" s="557" t="n"/>
      <c r="BC516" t="inlineStr">
        <is>
          <t>25.4-0-1.2-ERW 1-PE</t>
        </is>
      </c>
    </row>
    <row r="517">
      <c r="D517" t="n">
        <v>1938191</v>
      </c>
      <c r="E517" t="n">
        <v>3230760</v>
      </c>
      <c r="H517" t="inlineStr">
        <is>
          <t>Neel Metal Products Limited</t>
        </is>
      </c>
      <c r="P517" t="n">
        <v>1044</v>
      </c>
      <c r="Q517" t="n">
        <v>1019</v>
      </c>
      <c r="W517" t="inlineStr">
        <is>
          <t>19.05-0-1.6-ERW 2 MAHS-PE</t>
        </is>
      </c>
      <c r="BA517" s="557" t="n"/>
      <c r="BC517" t="inlineStr">
        <is>
          <t>25.4-0-1.2-ERW 1-PE</t>
        </is>
      </c>
    </row>
    <row r="518">
      <c r="D518" t="n">
        <v>1938191</v>
      </c>
      <c r="E518" t="n">
        <v>3500096</v>
      </c>
      <c r="H518" t="inlineStr">
        <is>
          <t>ELKAYEM AUTO ANCILLARIES (PVT) LTD.</t>
        </is>
      </c>
      <c r="P518" t="n">
        <v>1045</v>
      </c>
      <c r="Q518" t="n">
        <v>1020</v>
      </c>
      <c r="W518" t="inlineStr">
        <is>
          <t>40-30-2-ERW 1-FC</t>
        </is>
      </c>
      <c r="BA518" s="557" t="n"/>
      <c r="BC518" t="inlineStr">
        <is>
          <t>25.4-0-1.2-ERW 1-PE</t>
        </is>
      </c>
    </row>
    <row r="519">
      <c r="D519" t="n">
        <v>1938191</v>
      </c>
      <c r="E519" t="n">
        <v>3230755</v>
      </c>
      <c r="H519" t="inlineStr">
        <is>
          <t>Sri Balaji Gears</t>
        </is>
      </c>
      <c r="P519" t="n">
        <v>1046</v>
      </c>
      <c r="Q519" t="n">
        <v>1021</v>
      </c>
      <c r="W519" t="inlineStr">
        <is>
          <t>40-30-2-ERW 1-FC</t>
        </is>
      </c>
      <c r="BA519" s="557" t="n"/>
      <c r="BC519" t="inlineStr">
        <is>
          <t>25.4-0-1.2-ERW 1-PE</t>
        </is>
      </c>
    </row>
    <row r="520">
      <c r="D520" t="n">
        <v>1938191</v>
      </c>
      <c r="E520" t="n">
        <v>1909397</v>
      </c>
      <c r="H520" t="inlineStr">
        <is>
          <t>Sri Balaji Gears</t>
        </is>
      </c>
      <c r="P520" t="n">
        <v>1047</v>
      </c>
      <c r="Q520" t="n">
        <v>1022</v>
      </c>
      <c r="W520" t="inlineStr">
        <is>
          <t>40-30-2-ERW 1-FC</t>
        </is>
      </c>
      <c r="BA520" s="557" t="n"/>
      <c r="BC520" t="inlineStr">
        <is>
          <t>25.4-0-1.2-ERW 1-PE</t>
        </is>
      </c>
    </row>
    <row r="521">
      <c r="D521" t="n">
        <v>1938191</v>
      </c>
      <c r="E521" t="n">
        <v>3520755</v>
      </c>
      <c r="H521" t="inlineStr">
        <is>
          <t>Sri Balaji Gears</t>
        </is>
      </c>
      <c r="P521" t="n">
        <v>1048</v>
      </c>
      <c r="Q521" t="n">
        <v>1023</v>
      </c>
      <c r="W521" t="inlineStr">
        <is>
          <t>40-30-2-ERW 1-FC</t>
        </is>
      </c>
      <c r="BA521" s="557" t="n"/>
      <c r="BC521" t="inlineStr">
        <is>
          <t>25.4-0-1.2-ERW 1-PE</t>
        </is>
      </c>
    </row>
    <row r="522">
      <c r="D522" t="n">
        <v>1938191</v>
      </c>
      <c r="E522" t="n">
        <v>3410967</v>
      </c>
      <c r="H522" t="inlineStr">
        <is>
          <t>Sri Balaji Gears</t>
        </is>
      </c>
      <c r="P522" t="n">
        <v>1049</v>
      </c>
      <c r="Q522" t="n">
        <v>1024</v>
      </c>
      <c r="W522" t="inlineStr">
        <is>
          <t>40-30-2-ERW 1-FC</t>
        </is>
      </c>
      <c r="BA522" s="557" t="n"/>
      <c r="BC522" t="inlineStr">
        <is>
          <t>check thickness tdc</t>
        </is>
      </c>
    </row>
    <row r="523">
      <c r="D523" t="n">
        <v>1938191</v>
      </c>
      <c r="E523" t="n">
        <v>1939544</v>
      </c>
      <c r="H523" t="inlineStr">
        <is>
          <t>Sri Balaji Gears</t>
        </is>
      </c>
      <c r="P523" t="n">
        <v>1050</v>
      </c>
      <c r="Q523" t="n">
        <v>1025</v>
      </c>
      <c r="W523" t="inlineStr">
        <is>
          <t>40-30-2-ERW 1-FC</t>
        </is>
      </c>
      <c r="BA523" s="557" t="n"/>
      <c r="BC523" t="inlineStr">
        <is>
          <t>25.4-0-1.4-ERW 2-PE</t>
        </is>
      </c>
    </row>
    <row r="524">
      <c r="D524" t="n">
        <v>2419066</v>
      </c>
      <c r="E524" t="n">
        <v>1941293</v>
      </c>
      <c r="H524" t="inlineStr">
        <is>
          <t>Sri Balaji Gears</t>
        </is>
      </c>
      <c r="P524" t="n">
        <v>1051</v>
      </c>
      <c r="Q524" t="n">
        <v>1026</v>
      </c>
      <c r="W524" t="inlineStr">
        <is>
          <t>40-30-2-ERW 1-FC</t>
        </is>
      </c>
      <c r="BA524" s="557" t="n"/>
      <c r="BC524" t="inlineStr">
        <is>
          <t>25.4-0-1.4-ERW 2-PE</t>
        </is>
      </c>
    </row>
    <row r="525">
      <c r="D525" t="n">
        <v>3230486</v>
      </c>
      <c r="E525" t="n">
        <v>1940595</v>
      </c>
      <c r="H525" t="inlineStr">
        <is>
          <t>Sri Balaji Gears</t>
        </is>
      </c>
      <c r="P525" t="n">
        <v>1052</v>
      </c>
      <c r="Q525" t="n">
        <v>1027</v>
      </c>
      <c r="W525" t="inlineStr">
        <is>
          <t>40-30-1.6-ERW 1-FC</t>
        </is>
      </c>
      <c r="BA525" s="557" t="n"/>
      <c r="BC525" t="inlineStr">
        <is>
          <t>check thickness tdc</t>
        </is>
      </c>
    </row>
    <row r="526">
      <c r="D526" t="n">
        <v>3230486</v>
      </c>
      <c r="E526" t="n">
        <v>3542856</v>
      </c>
      <c r="H526" t="inlineStr">
        <is>
          <t>Sri Balaji Gears</t>
        </is>
      </c>
      <c r="P526" t="n">
        <v>1053</v>
      </c>
      <c r="Q526" t="n">
        <v>1028</v>
      </c>
      <c r="W526" t="inlineStr">
        <is>
          <t>40-30-1.6-ERW 1-FC</t>
        </is>
      </c>
      <c r="BA526" s="557" t="n"/>
      <c r="BC526" t="inlineStr">
        <is>
          <t>25.4--1.4-ERW 1-FIN CUT</t>
        </is>
      </c>
    </row>
    <row r="527">
      <c r="D527" t="n">
        <v>3230486</v>
      </c>
      <c r="E527" t="n">
        <v>3775636</v>
      </c>
      <c r="H527" t="inlineStr">
        <is>
          <t>Sri Balaji Gears</t>
        </is>
      </c>
      <c r="P527" t="n">
        <v>1054</v>
      </c>
      <c r="Q527" t="n">
        <v>1029</v>
      </c>
      <c r="W527" t="inlineStr">
        <is>
          <t>40-30-1.6-ERW 1-FC</t>
        </is>
      </c>
      <c r="BA527" s="557" t="n"/>
      <c r="BC527" t="inlineStr">
        <is>
          <t>check thickness tdc</t>
        </is>
      </c>
    </row>
    <row r="528">
      <c r="D528" t="n">
        <v>3230486</v>
      </c>
      <c r="E528" t="n">
        <v>2280506</v>
      </c>
      <c r="H528" t="inlineStr">
        <is>
          <t>Sri Balaji Gears</t>
        </is>
      </c>
      <c r="P528" t="n">
        <v>1055</v>
      </c>
      <c r="Q528" t="n">
        <v>1030</v>
      </c>
      <c r="W528" t="inlineStr">
        <is>
          <t>40-30-1.6-ERW 1-FC</t>
        </is>
      </c>
      <c r="BA528" s="557" t="n"/>
      <c r="BC528" t="inlineStr">
        <is>
          <t>25.4-0-1.6-ERW 1-PE</t>
        </is>
      </c>
    </row>
    <row r="529">
      <c r="D529" t="n">
        <v>3230486</v>
      </c>
      <c r="E529" t="n">
        <v>3502256</v>
      </c>
      <c r="H529" t="inlineStr">
        <is>
          <t>Sri Balaji Gears</t>
        </is>
      </c>
      <c r="P529" t="n">
        <v>1056</v>
      </c>
      <c r="Q529" t="n">
        <v>1036</v>
      </c>
      <c r="W529" t="inlineStr">
        <is>
          <t>40-30-1.6-ERW 1-FC</t>
        </is>
      </c>
      <c r="BA529" s="557" t="n"/>
      <c r="BC529" t="inlineStr">
        <is>
          <t>25.4-0-1.6-ERW 1-PE</t>
        </is>
      </c>
    </row>
    <row r="530">
      <c r="D530" t="n">
        <v>3230486</v>
      </c>
      <c r="E530" t="n">
        <v>3586645</v>
      </c>
      <c r="H530" t="inlineStr">
        <is>
          <t>Sri Balaji Gears</t>
        </is>
      </c>
      <c r="P530" t="n">
        <v>1057</v>
      </c>
      <c r="Q530" t="n">
        <v>1037</v>
      </c>
      <c r="W530" t="inlineStr">
        <is>
          <t>40-30-1.6-ERW 1-FC</t>
        </is>
      </c>
      <c r="BA530" s="557" t="n"/>
      <c r="BC530" t="inlineStr">
        <is>
          <t>25.4-0-1.6-ERW 1-PE</t>
        </is>
      </c>
    </row>
    <row r="531">
      <c r="D531" t="n">
        <v>3230486</v>
      </c>
      <c r="E531" t="n">
        <v>3677043</v>
      </c>
      <c r="H531" t="inlineStr">
        <is>
          <t>Sri Balaji Gears</t>
        </is>
      </c>
      <c r="P531" t="n">
        <v>1058</v>
      </c>
      <c r="Q531" t="n">
        <v>1038</v>
      </c>
      <c r="W531" t="inlineStr">
        <is>
          <t>40-30-1.6-ERW 1-FC</t>
        </is>
      </c>
      <c r="BA531" s="557" t="n"/>
      <c r="BC531" t="inlineStr">
        <is>
          <t>25.4-0-1.6-ERW 1-FC</t>
        </is>
      </c>
    </row>
    <row r="532">
      <c r="D532" t="n">
        <v>3230486</v>
      </c>
      <c r="E532" t="n">
        <v>1931813</v>
      </c>
      <c r="H532" t="inlineStr">
        <is>
          <t>Sri Balaji Gears</t>
        </is>
      </c>
      <c r="P532" t="n">
        <v>1059</v>
      </c>
      <c r="Q532" t="n">
        <v>1039</v>
      </c>
      <c r="W532" t="inlineStr">
        <is>
          <t>19.05-0-1.6-ERW 1-PE</t>
        </is>
      </c>
      <c r="BA532" s="557" t="n"/>
      <c r="BC532" t="inlineStr">
        <is>
          <t>25.4-0-1.6-ERW 1-PE</t>
        </is>
      </c>
    </row>
    <row r="533">
      <c r="D533" t="n">
        <v>3230486</v>
      </c>
      <c r="E533" t="n">
        <v>3441355</v>
      </c>
      <c r="H533" t="inlineStr">
        <is>
          <t>Sri Balaji Gears</t>
        </is>
      </c>
      <c r="P533" t="n">
        <v>1060</v>
      </c>
      <c r="Q533" t="n">
        <v>1040</v>
      </c>
      <c r="W533" t="inlineStr">
        <is>
          <t>19.05-0-2.3-ERW 1-PE</t>
        </is>
      </c>
      <c r="BA533" s="557" t="n"/>
      <c r="BC533" t="inlineStr">
        <is>
          <t>25.4-0-1.6-ERW 1-FC</t>
        </is>
      </c>
    </row>
    <row r="534">
      <c r="D534" t="n">
        <v>3230486</v>
      </c>
      <c r="E534" t="n">
        <v>1140302</v>
      </c>
      <c r="H534" t="inlineStr">
        <is>
          <t>Sri Balaji Gears</t>
        </is>
      </c>
      <c r="P534" t="n">
        <v>1061</v>
      </c>
      <c r="Q534" t="n">
        <v>1041</v>
      </c>
      <c r="W534" t="inlineStr">
        <is>
          <t>19.05-0-2-ERW 1-PE</t>
        </is>
      </c>
      <c r="BA534" s="557" t="n"/>
      <c r="BC534" t="inlineStr">
        <is>
          <t>25.4-0-1.6-ERW 1-PE</t>
        </is>
      </c>
    </row>
    <row r="535">
      <c r="D535" t="n">
        <v>3230486</v>
      </c>
      <c r="E535" t="n">
        <v>1940603</v>
      </c>
      <c r="H535" t="inlineStr">
        <is>
          <t>Sri Balaji Gears</t>
        </is>
      </c>
      <c r="P535" t="n">
        <v>1062</v>
      </c>
      <c r="Q535" t="n">
        <v>1042</v>
      </c>
      <c r="W535" t="inlineStr">
        <is>
          <t>19.05-0-2-ERW 1-PE</t>
        </is>
      </c>
      <c r="BA535" s="557" t="n"/>
      <c r="BC535" t="inlineStr">
        <is>
          <t>25.4-0-1.6-ERW 1-PE</t>
        </is>
      </c>
    </row>
    <row r="536">
      <c r="D536" t="n">
        <v>3230486</v>
      </c>
      <c r="E536" t="n">
        <v>1931264</v>
      </c>
      <c r="H536" t="inlineStr">
        <is>
          <t>Sri Balaji Gears</t>
        </is>
      </c>
      <c r="P536" t="n">
        <v>1063</v>
      </c>
      <c r="Q536" t="n">
        <v>1043</v>
      </c>
      <c r="W536" t="inlineStr">
        <is>
          <t>19.05-0-2-ERW 1-PE</t>
        </is>
      </c>
      <c r="BA536" s="557" t="n"/>
      <c r="BC536" t="inlineStr">
        <is>
          <t>25.4-0-1.6-ERW 1-PE</t>
        </is>
      </c>
    </row>
    <row r="537">
      <c r="D537" t="n">
        <v>3230486</v>
      </c>
      <c r="E537" t="n">
        <v>2410997</v>
      </c>
      <c r="H537" t="inlineStr">
        <is>
          <t>Sri Balaji Gears</t>
        </is>
      </c>
      <c r="P537" t="n">
        <v>1064</v>
      </c>
      <c r="Q537" t="n">
        <v>1044</v>
      </c>
      <c r="W537" t="inlineStr">
        <is>
          <t>19.05-0-2-ERW 1-PE</t>
        </is>
      </c>
      <c r="BA537" s="557" t="n"/>
      <c r="BC537" t="inlineStr">
        <is>
          <t>25.4-0-1.6-ERW 1-FC</t>
        </is>
      </c>
    </row>
    <row r="538">
      <c r="D538" t="n">
        <v>3230486</v>
      </c>
      <c r="E538" t="n">
        <v>1939284</v>
      </c>
      <c r="H538" t="inlineStr">
        <is>
          <t>Sri Balaji Gears</t>
        </is>
      </c>
      <c r="P538" t="n">
        <v>1065</v>
      </c>
      <c r="Q538" t="n">
        <v>1045</v>
      </c>
      <c r="W538" t="inlineStr">
        <is>
          <t>19.05-0-2-ERW 1-PE</t>
        </is>
      </c>
      <c r="BA538" s="557" t="n"/>
      <c r="BC538" t="inlineStr">
        <is>
          <t>25.4-0-1.6-ERW 1-PE</t>
        </is>
      </c>
    </row>
    <row r="539">
      <c r="D539" t="n">
        <v>3230486</v>
      </c>
      <c r="E539" t="n">
        <v>1939283</v>
      </c>
      <c r="H539" t="inlineStr">
        <is>
          <t>Sri Balaji Gears</t>
        </is>
      </c>
      <c r="P539" t="n">
        <v>1066</v>
      </c>
      <c r="Q539" t="n">
        <v>1046</v>
      </c>
      <c r="W539" t="inlineStr">
        <is>
          <t>19.05-0-1.6-ERW 1-PE</t>
        </is>
      </c>
      <c r="BA539" s="557" t="n"/>
      <c r="BC539" t="inlineStr">
        <is>
          <t>25.4-0-1.6-ERW 1-PE</t>
        </is>
      </c>
    </row>
    <row r="540">
      <c r="D540" t="n">
        <v>3230486</v>
      </c>
      <c r="E540" t="n">
        <v>2410992</v>
      </c>
      <c r="H540" t="inlineStr">
        <is>
          <t>Sri Balaji Gears</t>
        </is>
      </c>
      <c r="P540" t="n">
        <v>1067</v>
      </c>
      <c r="Q540" t="n">
        <v>1047</v>
      </c>
      <c r="W540" t="inlineStr">
        <is>
          <t>22.23-0-2-ERW 1-PE</t>
        </is>
      </c>
      <c r="BA540" s="557" t="n"/>
      <c r="BC540" t="inlineStr">
        <is>
          <t>25.4-0-1.6-ERW 1-PE</t>
        </is>
      </c>
    </row>
    <row r="541">
      <c r="D541" t="n">
        <v>3230486</v>
      </c>
      <c r="E541" t="n">
        <v>2432009</v>
      </c>
      <c r="H541" t="inlineStr">
        <is>
          <t>Sri Balaji Gears</t>
        </is>
      </c>
      <c r="P541" t="n">
        <v>1068</v>
      </c>
      <c r="Q541" t="n">
        <v>1048</v>
      </c>
      <c r="W541" t="inlineStr">
        <is>
          <t>19.05-0-2-ERW 1-PE</t>
        </is>
      </c>
      <c r="BA541" s="557" t="n"/>
      <c r="BC541" t="inlineStr">
        <is>
          <t>25.4-0-1.6-ERW 1-PE</t>
        </is>
      </c>
    </row>
    <row r="542">
      <c r="D542" t="n">
        <v>3230486</v>
      </c>
      <c r="E542" t="n">
        <v>2426241</v>
      </c>
      <c r="H542" t="inlineStr">
        <is>
          <t>Sri Balaji Gears</t>
        </is>
      </c>
      <c r="P542" t="n">
        <v>1069</v>
      </c>
      <c r="Q542" t="n">
        <v>1049</v>
      </c>
      <c r="W542" t="inlineStr">
        <is>
          <t>42.7-0-3.5-ERW 1-FC</t>
        </is>
      </c>
      <c r="BA542" s="557" t="n"/>
      <c r="BC542" t="inlineStr">
        <is>
          <t>25.4-0-1.6-ERW 1-PE</t>
        </is>
      </c>
    </row>
    <row r="543">
      <c r="D543" t="n">
        <v>3230486</v>
      </c>
      <c r="E543" t="n">
        <v>1938483</v>
      </c>
      <c r="H543" t="inlineStr">
        <is>
          <t>CHANDI CREATIVES</t>
        </is>
      </c>
      <c r="P543" t="n">
        <v>1070</v>
      </c>
      <c r="Q543" t="n">
        <v>1050</v>
      </c>
      <c r="W543" t="inlineStr">
        <is>
          <t>42.7-0-3.5-ERW 1-FC</t>
        </is>
      </c>
      <c r="BA543" s="557" t="n"/>
      <c r="BC543" t="inlineStr">
        <is>
          <t>25.4-0-1.6-ERW 1-PE</t>
        </is>
      </c>
    </row>
    <row r="544">
      <c r="D544" t="n">
        <v>3230486</v>
      </c>
      <c r="E544" t="n">
        <v>1940614</v>
      </c>
      <c r="H544" t="inlineStr">
        <is>
          <t>CHANDI CREATIVES</t>
        </is>
      </c>
      <c r="P544" t="n">
        <v>1071</v>
      </c>
      <c r="Q544" t="n">
        <v>1051</v>
      </c>
      <c r="W544" t="inlineStr">
        <is>
          <t>42.7-0-3.5-ERW 1-FC</t>
        </is>
      </c>
      <c r="BA544" s="557" t="n"/>
      <c r="BC544" t="inlineStr">
        <is>
          <t>25.4-0-2-ERW 1-FC</t>
        </is>
      </c>
    </row>
    <row r="545">
      <c r="D545" t="n">
        <v>3230486</v>
      </c>
      <c r="E545" t="n">
        <v>237726</v>
      </c>
      <c r="H545" t="inlineStr">
        <is>
          <t>CHANDI CREATIVES</t>
        </is>
      </c>
      <c r="P545" t="n">
        <v>1072</v>
      </c>
      <c r="Q545" t="n">
        <v>1052</v>
      </c>
      <c r="W545" t="inlineStr">
        <is>
          <t>42.7-0-3.5-ERW 1-FC</t>
        </is>
      </c>
      <c r="BA545" s="557" t="n"/>
      <c r="BC545" t="inlineStr">
        <is>
          <t>25.4-0-2-ERW 1-FC</t>
        </is>
      </c>
    </row>
    <row r="546">
      <c r="D546" t="n">
        <v>3230486</v>
      </c>
      <c r="E546" t="n">
        <v>2331952</v>
      </c>
      <c r="H546" t="inlineStr">
        <is>
          <t>Sri Balaji Gears</t>
        </is>
      </c>
      <c r="P546" t="n">
        <v>1073</v>
      </c>
      <c r="Q546" t="n">
        <v>1053</v>
      </c>
      <c r="W546" t="inlineStr">
        <is>
          <t>42.7-0-3.5-ERW 1-FC</t>
        </is>
      </c>
      <c r="BA546" s="557" t="n"/>
      <c r="BC546" t="inlineStr">
        <is>
          <t>25.4-0-2-ERW 1-PE</t>
        </is>
      </c>
    </row>
    <row r="547">
      <c r="D547" t="n">
        <v>3230486</v>
      </c>
      <c r="E547" t="n">
        <v>3702101</v>
      </c>
      <c r="H547" t="inlineStr">
        <is>
          <t>Sri Balaji Gears</t>
        </is>
      </c>
      <c r="P547" t="n">
        <v>1074</v>
      </c>
      <c r="Q547" t="n">
        <v>1054</v>
      </c>
      <c r="W547" t="inlineStr">
        <is>
          <t>42.7-0-3.5-ERW 1-FC</t>
        </is>
      </c>
      <c r="BA547" s="557" t="n"/>
      <c r="BC547" t="inlineStr">
        <is>
          <t>25.4-0-2-ERW 1-PE</t>
        </is>
      </c>
    </row>
    <row r="548">
      <c r="D548" t="n">
        <v>3230486</v>
      </c>
      <c r="E548" t="n">
        <v>3727212</v>
      </c>
      <c r="H548" t="inlineStr">
        <is>
          <t>Sri Balaji Gears</t>
        </is>
      </c>
      <c r="P548" t="n">
        <v>1075</v>
      </c>
      <c r="Q548" t="n">
        <v>1055</v>
      </c>
      <c r="W548" t="inlineStr">
        <is>
          <t>42.7-0-3.5-ERW 1-FC</t>
        </is>
      </c>
      <c r="BA548" s="557" t="n"/>
      <c r="BC548" t="inlineStr">
        <is>
          <t>25.4-0-2-ERW 1-PE</t>
        </is>
      </c>
    </row>
    <row r="549">
      <c r="D549" t="n">
        <v>3230486</v>
      </c>
      <c r="E549" t="n">
        <v>3598957</v>
      </c>
      <c r="H549" t="inlineStr">
        <is>
          <t>Sri Balaji Gears</t>
        </is>
      </c>
      <c r="P549" t="n">
        <v>1076</v>
      </c>
      <c r="Q549" t="n">
        <v>1056</v>
      </c>
      <c r="W549" t="inlineStr">
        <is>
          <t>42.7-0-3.5-ERW 1-FC</t>
        </is>
      </c>
      <c r="BA549" s="557" t="n"/>
      <c r="BC549" t="inlineStr">
        <is>
          <t>25.4-0-2-ERW 1-PE</t>
        </is>
      </c>
    </row>
    <row r="550">
      <c r="D550" t="n">
        <v>3230486</v>
      </c>
      <c r="E550" t="n">
        <v>3598958</v>
      </c>
      <c r="H550" t="inlineStr">
        <is>
          <t>Sri Balaji Gears</t>
        </is>
      </c>
      <c r="P550" t="n">
        <v>1077</v>
      </c>
      <c r="Q550" t="n">
        <v>1057</v>
      </c>
      <c r="W550" t="inlineStr">
        <is>
          <t>42.7-0-3.5-ERW 1-FC</t>
        </is>
      </c>
      <c r="BA550" s="557" t="n"/>
      <c r="BC550" t="inlineStr">
        <is>
          <t>25.4-0-2-ERW 1-FC</t>
        </is>
      </c>
    </row>
    <row r="551">
      <c r="D551" t="n">
        <v>3571862</v>
      </c>
      <c r="E551" t="n">
        <v>1940621</v>
      </c>
      <c r="H551" t="inlineStr">
        <is>
          <t>Sri Balaji Gears</t>
        </is>
      </c>
      <c r="P551" t="n">
        <v>1078</v>
      </c>
      <c r="Q551" t="n">
        <v>1058</v>
      </c>
      <c r="W551" t="inlineStr">
        <is>
          <t>25.4-18.4-3.5-CEW-CEW</t>
        </is>
      </c>
      <c r="BA551" s="557" t="n"/>
      <c r="BC551" t="inlineStr">
        <is>
          <t>25.4-0-2-ERW 1-FC</t>
        </is>
      </c>
    </row>
    <row r="552">
      <c r="D552" t="n">
        <v>3571862</v>
      </c>
      <c r="E552" t="n">
        <v>2397074</v>
      </c>
      <c r="H552" t="inlineStr">
        <is>
          <t>Sri Balaji Gears</t>
        </is>
      </c>
      <c r="P552" t="n">
        <v>1079</v>
      </c>
      <c r="Q552" t="n">
        <v>1059</v>
      </c>
      <c r="W552" t="inlineStr">
        <is>
          <t>25.4-18.4-3.5-CEW-CEW</t>
        </is>
      </c>
      <c r="BA552" s="557" t="n"/>
      <c r="BC552" t="inlineStr">
        <is>
          <t>25.4-0-2-ERW 1-FC</t>
        </is>
      </c>
    </row>
    <row r="553">
      <c r="D553" t="n">
        <v>3571862</v>
      </c>
      <c r="E553" t="n">
        <v>1940626</v>
      </c>
      <c r="H553" t="inlineStr">
        <is>
          <t>Sri Balaji Gears</t>
        </is>
      </c>
      <c r="P553" t="n">
        <v>1080</v>
      </c>
      <c r="Q553" t="n">
        <v>1060</v>
      </c>
      <c r="W553" t="inlineStr">
        <is>
          <t>25.4-18.4-3.5-CEW-CEW</t>
        </is>
      </c>
      <c r="BA553" s="557" t="n"/>
      <c r="BC553" t="inlineStr">
        <is>
          <t>25.4-0-2-ERW 1-FC</t>
        </is>
      </c>
    </row>
    <row r="554">
      <c r="D554" t="n">
        <v>3571862</v>
      </c>
      <c r="E554" t="n">
        <v>1940627</v>
      </c>
      <c r="H554" t="inlineStr">
        <is>
          <t>Sri Balaji Gears</t>
        </is>
      </c>
      <c r="P554" t="n">
        <v>1081</v>
      </c>
      <c r="Q554" t="n">
        <v>1061</v>
      </c>
      <c r="W554" t="inlineStr">
        <is>
          <t>25.4-18.4-3.5-CEW-CEW</t>
        </is>
      </c>
      <c r="BA554" s="557" t="n"/>
      <c r="BC554" t="inlineStr">
        <is>
          <t>25.4-0-2-ERW 1-PE</t>
        </is>
      </c>
    </row>
    <row r="555">
      <c r="D555" t="n">
        <v>3571862</v>
      </c>
      <c r="E555" t="n">
        <v>3617058</v>
      </c>
      <c r="H555" t="inlineStr">
        <is>
          <t>Sri Balaji Gears</t>
        </is>
      </c>
      <c r="P555" t="n">
        <v>1082</v>
      </c>
      <c r="Q555" t="n">
        <v>1062</v>
      </c>
      <c r="W555" t="inlineStr">
        <is>
          <t>25.4-18.4-3.5-CEW-CEW</t>
        </is>
      </c>
      <c r="BA555" s="557" t="n"/>
      <c r="BC555" t="inlineStr">
        <is>
          <t>25.4-0-2-ERW 1-FC</t>
        </is>
      </c>
    </row>
    <row r="556">
      <c r="D556" t="n">
        <v>3571862</v>
      </c>
      <c r="E556" t="n">
        <v>2410388</v>
      </c>
      <c r="H556" t="inlineStr">
        <is>
          <t>Sri Balaji Gears</t>
        </is>
      </c>
      <c r="P556" t="n">
        <v>1083</v>
      </c>
      <c r="Q556" t="n">
        <v>1063</v>
      </c>
      <c r="W556" t="inlineStr">
        <is>
          <t>25.4-18.4-3.5-CEW-CEW</t>
        </is>
      </c>
      <c r="BA556" s="557" t="n"/>
      <c r="BC556" t="inlineStr">
        <is>
          <t>25.4-0-2-ERW 1-FC</t>
        </is>
      </c>
    </row>
    <row r="557">
      <c r="D557" t="n">
        <v>3571862</v>
      </c>
      <c r="E557" t="n">
        <v>3472102</v>
      </c>
      <c r="H557" t="inlineStr">
        <is>
          <t>Sri Balaji Gears</t>
        </is>
      </c>
      <c r="P557" t="n">
        <v>1084</v>
      </c>
      <c r="Q557" t="n">
        <v>1064</v>
      </c>
      <c r="W557" t="inlineStr">
        <is>
          <t>25.4-18.4-3.5-CEW-CEW</t>
        </is>
      </c>
      <c r="BA557" s="557" t="n"/>
      <c r="BC557" t="inlineStr">
        <is>
          <t>25.4-0-2-ERW 1-FC</t>
        </is>
      </c>
    </row>
    <row r="558">
      <c r="D558" t="n">
        <v>3571862</v>
      </c>
      <c r="E558" t="n">
        <v>3770393</v>
      </c>
      <c r="H558" t="inlineStr">
        <is>
          <t>Sri Balaji Gears</t>
        </is>
      </c>
      <c r="P558" t="n">
        <v>1085</v>
      </c>
      <c r="Q558" t="n">
        <v>1065</v>
      </c>
      <c r="W558" t="inlineStr">
        <is>
          <t>25.4-18.4-3.5-CEW-CEW</t>
        </is>
      </c>
      <c r="BA558" s="557" t="n"/>
      <c r="BC558" t="inlineStr">
        <is>
          <t>25.4-0-2-ERW 1-PE</t>
        </is>
      </c>
    </row>
    <row r="559">
      <c r="D559" t="n">
        <v>3571862</v>
      </c>
      <c r="E559" t="n">
        <v>3190072</v>
      </c>
      <c r="H559" t="inlineStr">
        <is>
          <t>Sri Balaji Gears</t>
        </is>
      </c>
      <c r="P559" t="n">
        <v>1086</v>
      </c>
      <c r="Q559" t="n">
        <v>1066</v>
      </c>
      <c r="W559" t="inlineStr">
        <is>
          <t>42.7-0-4-ERW 1-FC-Ampere</t>
        </is>
      </c>
      <c r="BA559" s="557" t="n"/>
      <c r="BC559" t="inlineStr">
        <is>
          <t>25.4-0-2-ERW 1-PE</t>
        </is>
      </c>
    </row>
    <row r="560">
      <c r="D560" t="n">
        <v>3571862</v>
      </c>
      <c r="E560" t="n">
        <v>3909903</v>
      </c>
      <c r="H560" t="inlineStr">
        <is>
          <t>Sri Balaji Gears</t>
        </is>
      </c>
      <c r="P560" t="n">
        <v>1087</v>
      </c>
      <c r="Q560" t="n">
        <v>1067</v>
      </c>
      <c r="W560" t="inlineStr">
        <is>
          <t>42.7-0-4-ERW 1-FC-Ampere</t>
        </is>
      </c>
      <c r="BA560" s="557" t="n"/>
      <c r="BC560" t="inlineStr">
        <is>
          <t>25.4-0-2-ERW 1-PE</t>
        </is>
      </c>
    </row>
    <row r="561">
      <c r="D561" t="n">
        <v>3571862</v>
      </c>
      <c r="E561" t="n">
        <v>1939285</v>
      </c>
      <c r="H561" t="inlineStr">
        <is>
          <t>SRIKAM HITECH ENGINEERING PRIVATE L</t>
        </is>
      </c>
      <c r="P561" t="n">
        <v>1088</v>
      </c>
      <c r="Q561" t="n">
        <v>1068</v>
      </c>
      <c r="W561" t="inlineStr">
        <is>
          <t>42.7-0-4-ERW 1-FC-Ampere</t>
        </is>
      </c>
      <c r="BA561" s="557" t="n"/>
      <c r="BC561" t="inlineStr">
        <is>
          <t>25.4-0-2-ERW 1-FC</t>
        </is>
      </c>
    </row>
    <row r="562">
      <c r="D562" t="n">
        <v>3571862</v>
      </c>
      <c r="E562" t="n">
        <v>1941303</v>
      </c>
      <c r="H562" t="inlineStr">
        <is>
          <t>MEGH STEELS PRIVATE LIMITED - TVS A</t>
        </is>
      </c>
      <c r="P562" t="n">
        <v>1089</v>
      </c>
      <c r="Q562" t="n">
        <v>1069</v>
      </c>
      <c r="W562" t="inlineStr">
        <is>
          <t>42.7-0-4-ERW 1-FC-Ampere</t>
        </is>
      </c>
      <c r="BA562" s="557" t="n"/>
      <c r="BC562" t="inlineStr">
        <is>
          <t>25.4-0-2-ERW 1-PE</t>
        </is>
      </c>
    </row>
    <row r="563">
      <c r="D563" t="n">
        <v>3571862</v>
      </c>
      <c r="E563" t="n">
        <v>2359912</v>
      </c>
      <c r="H563" t="inlineStr">
        <is>
          <t>Rajsriya Automotive Ind Pvt Ltd.</t>
        </is>
      </c>
      <c r="P563" t="n">
        <v>1090</v>
      </c>
      <c r="Q563" t="n">
        <v>1070</v>
      </c>
      <c r="W563" t="inlineStr">
        <is>
          <t>42.7-0-4-ERW 1-FC-Ampere</t>
        </is>
      </c>
      <c r="BA563" s="557" t="n"/>
      <c r="BC563" t="inlineStr">
        <is>
          <t>25.4-0-2-ERW 1-FC</t>
        </is>
      </c>
    </row>
    <row r="564">
      <c r="D564" t="n">
        <v>3571862</v>
      </c>
      <c r="E564" t="n">
        <v>3190073</v>
      </c>
      <c r="H564" t="inlineStr">
        <is>
          <t>Sri Balaji Gears</t>
        </is>
      </c>
      <c r="P564" t="n">
        <v>1091</v>
      </c>
      <c r="Q564" t="n">
        <v>1071</v>
      </c>
      <c r="W564" t="inlineStr">
        <is>
          <t>42.7-0-4-ERW 1-FC-Ampere</t>
        </is>
      </c>
      <c r="BA564" s="557" t="n"/>
      <c r="BC564" t="inlineStr">
        <is>
          <t>25.4-0-2-ERW 1-PE</t>
        </is>
      </c>
    </row>
    <row r="565">
      <c r="D565" t="n">
        <v>3584173</v>
      </c>
      <c r="E565" t="n">
        <v>1939282</v>
      </c>
      <c r="H565" t="inlineStr">
        <is>
          <t>Sri Balaji Gears</t>
        </is>
      </c>
      <c r="P565" t="n">
        <v>1092</v>
      </c>
      <c r="Q565" t="n">
        <v>1072</v>
      </c>
      <c r="W565" t="inlineStr">
        <is>
          <t>42.7-0-4-ERW 1-FC-Ampere</t>
        </is>
      </c>
      <c r="BA565" s="557" t="n"/>
      <c r="BC565" t="inlineStr">
        <is>
          <t>25.4-0-2-ERW 1-PE</t>
        </is>
      </c>
    </row>
    <row r="566">
      <c r="D566" t="n">
        <v>3584173</v>
      </c>
      <c r="E566" t="n">
        <v>2359755</v>
      </c>
      <c r="H566" t="inlineStr">
        <is>
          <t>Sri Balaji Gears</t>
        </is>
      </c>
      <c r="P566" t="n">
        <v>1093</v>
      </c>
      <c r="Q566" t="n">
        <v>1073</v>
      </c>
      <c r="W566" t="inlineStr">
        <is>
          <t>42.7-0-4-ERW 1-FC-Ampere</t>
        </is>
      </c>
      <c r="BA566" s="557" t="n"/>
      <c r="BC566" t="inlineStr">
        <is>
          <t>25.4-0-2-ERW 1-FC</t>
        </is>
      </c>
    </row>
    <row r="567">
      <c r="D567" t="n">
        <v>3584173</v>
      </c>
      <c r="E567" t="n">
        <v>2410991</v>
      </c>
      <c r="H567" t="inlineStr">
        <is>
          <t>ALF ENGINEERING PRIVATE LIMITED</t>
        </is>
      </c>
      <c r="P567" t="n">
        <v>1094</v>
      </c>
      <c r="Q567" t="n">
        <v>1074</v>
      </c>
      <c r="W567" t="inlineStr">
        <is>
          <t>42.7-0-4-ERW 1-FC-Ampere</t>
        </is>
      </c>
      <c r="BA567" s="557" t="n"/>
      <c r="BC567" t="inlineStr">
        <is>
          <t>25.4-0-2-ERW 1-PE</t>
        </is>
      </c>
    </row>
    <row r="568">
      <c r="D568" t="n">
        <v>3584173</v>
      </c>
      <c r="E568" t="n">
        <v>1938121</v>
      </c>
      <c r="H568" t="inlineStr">
        <is>
          <t>Sri Balaji Gears</t>
        </is>
      </c>
      <c r="P568" t="n">
        <v>1095</v>
      </c>
      <c r="Q568" t="n">
        <v>1075</v>
      </c>
      <c r="W568" t="inlineStr">
        <is>
          <t>42.7-0-4-ERW 1-FC-Ampere</t>
        </is>
      </c>
      <c r="BA568" s="557" t="n"/>
      <c r="BC568" t="inlineStr">
        <is>
          <t>25.4-0-2-ERW 1-FC</t>
        </is>
      </c>
    </row>
    <row r="569">
      <c r="D569" t="n">
        <v>3584173</v>
      </c>
      <c r="E569" t="n">
        <v>3572045</v>
      </c>
      <c r="H569" t="inlineStr">
        <is>
          <t>Sri Balaji Gears</t>
        </is>
      </c>
      <c r="P569" t="n">
        <v>1096</v>
      </c>
      <c r="Q569" t="n">
        <v>1076</v>
      </c>
      <c r="W569" t="inlineStr">
        <is>
          <t>42.7-0-4-ERW 1-FC-Ampere</t>
        </is>
      </c>
      <c r="BA569" s="557" t="n"/>
      <c r="BC569" t="inlineStr">
        <is>
          <t>25.4-0-2-ERW 1-FC</t>
        </is>
      </c>
    </row>
    <row r="570">
      <c r="D570" t="n">
        <v>3584173</v>
      </c>
      <c r="E570" t="n">
        <v>3230495</v>
      </c>
      <c r="H570" t="inlineStr">
        <is>
          <t>Sri Balaji Gears</t>
        </is>
      </c>
      <c r="P570" t="n">
        <v>1097</v>
      </c>
      <c r="Q570" t="n">
        <v>1077</v>
      </c>
      <c r="W570" t="inlineStr">
        <is>
          <t>42.7-0-4-ERW 1-FC-Ampere</t>
        </is>
      </c>
      <c r="BA570" s="557" t="n"/>
      <c r="BC570" t="inlineStr">
        <is>
          <t>25.4-0-2-ERW 1-PE</t>
        </is>
      </c>
    </row>
    <row r="571">
      <c r="D571" t="n">
        <v>3584173</v>
      </c>
      <c r="E571" t="n">
        <v>403040</v>
      </c>
      <c r="H571" t="inlineStr">
        <is>
          <t>Sri Balaji Gears</t>
        </is>
      </c>
      <c r="P571" t="n">
        <v>1098</v>
      </c>
      <c r="Q571" t="n">
        <v>1078</v>
      </c>
      <c r="W571" t="inlineStr">
        <is>
          <t>42.7-0-4-ERW 1-FC-Ampere</t>
        </is>
      </c>
      <c r="BA571" s="557" t="n"/>
      <c r="BC571" t="inlineStr">
        <is>
          <t>check grade tdc</t>
        </is>
      </c>
    </row>
    <row r="572">
      <c r="D572" t="n">
        <v>3584173</v>
      </c>
      <c r="E572" t="n">
        <v>503108</v>
      </c>
      <c r="H572" t="inlineStr">
        <is>
          <t>Sri Balaji Gears</t>
        </is>
      </c>
      <c r="P572" t="n">
        <v>1099</v>
      </c>
      <c r="Q572" t="n">
        <v>1079</v>
      </c>
      <c r="W572" t="inlineStr">
        <is>
          <t>42.7-0-4-ERW 1-FC-Ampere</t>
        </is>
      </c>
      <c r="BA572" s="557" t="n"/>
      <c r="BC572" t="inlineStr">
        <is>
          <t>check grade tdc</t>
        </is>
      </c>
    </row>
    <row r="573">
      <c r="D573" t="n">
        <v>3584173</v>
      </c>
      <c r="E573" t="n">
        <v>3774983</v>
      </c>
      <c r="H573" t="inlineStr">
        <is>
          <t>Neel Metal Products Limited</t>
        </is>
      </c>
      <c r="P573" t="n">
        <v>1100</v>
      </c>
      <c r="Q573" t="n">
        <v>1080</v>
      </c>
      <c r="W573" t="inlineStr">
        <is>
          <t>42.7-0-4-ERW 1-FC-Ampere</t>
        </is>
      </c>
      <c r="BA573" s="557" t="n"/>
      <c r="BC573" t="inlineStr">
        <is>
          <t>25.4-0-2.5-CEW-CEW</t>
        </is>
      </c>
    </row>
    <row r="574">
      <c r="D574" t="n">
        <v>3584173</v>
      </c>
      <c r="E574" t="n">
        <v>2256593</v>
      </c>
      <c r="H574" t="inlineStr">
        <is>
          <t>FREE STOCK</t>
        </is>
      </c>
      <c r="P574" t="n">
        <v>1101</v>
      </c>
      <c r="Q574" t="n">
        <v>1081</v>
      </c>
      <c r="W574" t="inlineStr">
        <is>
          <t>22.23-0-2-ERW 1-PE</t>
        </is>
      </c>
      <c r="BA574" s="557" t="n"/>
      <c r="BC574" t="inlineStr">
        <is>
          <t>25.4-0-2.5-CEW-CEW</t>
        </is>
      </c>
    </row>
    <row r="575">
      <c r="D575" t="n">
        <v>3584173</v>
      </c>
      <c r="E575" t="n">
        <v>3508456</v>
      </c>
      <c r="H575" t="inlineStr">
        <is>
          <t>FREE STOCK</t>
        </is>
      </c>
      <c r="P575" t="n">
        <v>1102</v>
      </c>
      <c r="Q575" t="n">
        <v>1082</v>
      </c>
      <c r="W575" t="inlineStr">
        <is>
          <t>22.23-0-2-ERW 1-PE</t>
        </is>
      </c>
      <c r="BA575" s="557" t="n"/>
      <c r="BC575" t="inlineStr">
        <is>
          <t>25.4-0-2.5-ERW 1-FC</t>
        </is>
      </c>
    </row>
    <row r="576">
      <c r="D576" t="n">
        <v>3584173</v>
      </c>
      <c r="E576" t="n">
        <v>444028</v>
      </c>
      <c r="H576" t="inlineStr">
        <is>
          <t>MEGH STEELS PRIVATE LIMITED - TVS A</t>
        </is>
      </c>
      <c r="P576" t="n">
        <v>1103</v>
      </c>
      <c r="Q576" t="n">
        <v>1083</v>
      </c>
      <c r="W576" t="inlineStr">
        <is>
          <t>42.7-0-4-ERW 1-FC</t>
        </is>
      </c>
      <c r="BA576" s="557" t="n"/>
      <c r="BC576" t="inlineStr">
        <is>
          <t>25.4-0-2.5-ERW 1-FC</t>
        </is>
      </c>
    </row>
    <row r="577">
      <c r="D577" t="n">
        <v>3584173</v>
      </c>
      <c r="E577" t="n">
        <v>3507795</v>
      </c>
      <c r="H577" t="inlineStr">
        <is>
          <t>MEGH STEELS PRIVATE LIMITED - TVS A</t>
        </is>
      </c>
      <c r="P577" t="n">
        <v>1104</v>
      </c>
      <c r="Q577" t="n">
        <v>1084</v>
      </c>
      <c r="W577" t="inlineStr">
        <is>
          <t>42.7-0-4-ERW 1-FC</t>
        </is>
      </c>
      <c r="BA577" s="557" t="n"/>
      <c r="BC577" t="inlineStr">
        <is>
          <t>25.4-0-2.5-ERW 1-FC</t>
        </is>
      </c>
    </row>
    <row r="578">
      <c r="D578" t="n">
        <v>3584173</v>
      </c>
      <c r="E578" t="n">
        <v>373013</v>
      </c>
      <c r="H578" t="inlineStr">
        <is>
          <t>MEGH STEELS PRIVATE LIMITED - TVS A</t>
        </is>
      </c>
      <c r="P578" t="n">
        <v>1105</v>
      </c>
      <c r="Q578" t="n">
        <v>1085</v>
      </c>
      <c r="W578" t="inlineStr">
        <is>
          <t>42.7-0-4-ERW 1-FC</t>
        </is>
      </c>
      <c r="BA578" s="557" t="n"/>
      <c r="BC578" t="inlineStr">
        <is>
          <t>25.4-0-2.5-ERW 1-FC</t>
        </is>
      </c>
    </row>
    <row r="579">
      <c r="D579" t="n">
        <v>3571863</v>
      </c>
      <c r="E579" t="n">
        <v>1940653</v>
      </c>
      <c r="H579" t="inlineStr">
        <is>
          <t>MEGH STEELS PRIVATE LIMITED - TVS A</t>
        </is>
      </c>
      <c r="P579" t="n">
        <v>1106</v>
      </c>
      <c r="Q579" t="n">
        <v>1086</v>
      </c>
      <c r="W579" t="inlineStr">
        <is>
          <t>42.7-0-4-ERW 1-FC</t>
        </is>
      </c>
      <c r="BA579" s="557" t="n"/>
      <c r="BC579" t="inlineStr">
        <is>
          <t>check tdc for PE</t>
        </is>
      </c>
    </row>
    <row r="580">
      <c r="D580" t="n">
        <v>3571863</v>
      </c>
      <c r="E580" t="n">
        <v>3506437</v>
      </c>
      <c r="H580" t="inlineStr">
        <is>
          <t>MEGH STEELS PRIVATE LIMITED - TVS A</t>
        </is>
      </c>
      <c r="P580" t="n">
        <v>1107</v>
      </c>
      <c r="Q580" t="n">
        <v>1087</v>
      </c>
      <c r="W580" t="inlineStr">
        <is>
          <t>42.7-0-4-ERW 1-FC</t>
        </is>
      </c>
      <c r="BA580" s="557" t="n"/>
      <c r="BC580" t="inlineStr">
        <is>
          <t>check tdc for PE</t>
        </is>
      </c>
    </row>
    <row r="581">
      <c r="D581" t="n">
        <v>3571863</v>
      </c>
      <c r="E581" t="n">
        <v>3819143</v>
      </c>
      <c r="H581" t="inlineStr">
        <is>
          <t>MEGH STEELS PRIVATE LIMITED - TVS A</t>
        </is>
      </c>
      <c r="P581" t="n">
        <v>1108</v>
      </c>
      <c r="Q581" t="n">
        <v>1088</v>
      </c>
      <c r="W581" t="inlineStr">
        <is>
          <t>42.7-0-4-ERW 1-FC</t>
        </is>
      </c>
      <c r="BA581" s="557" t="n"/>
      <c r="BC581" t="inlineStr">
        <is>
          <t>check tdc for PE</t>
        </is>
      </c>
    </row>
    <row r="582">
      <c r="D582" t="n">
        <v>3571863</v>
      </c>
      <c r="E582" t="n">
        <v>1904406</v>
      </c>
      <c r="H582" t="inlineStr">
        <is>
          <t>Indo Autotech Limited (Unit V)</t>
        </is>
      </c>
      <c r="P582" t="n">
        <v>1109</v>
      </c>
      <c r="Q582" t="n">
        <v>1089</v>
      </c>
      <c r="W582" t="inlineStr">
        <is>
          <t>42.7-0-4-ERW 1-FC</t>
        </is>
      </c>
      <c r="BA582" s="601" t="n"/>
      <c r="BC582" t="inlineStr">
        <is>
          <t>check tdc for PE</t>
        </is>
      </c>
    </row>
    <row r="583">
      <c r="D583" t="n">
        <v>3571863</v>
      </c>
      <c r="E583" t="n">
        <v>3586648</v>
      </c>
      <c r="H583" t="inlineStr">
        <is>
          <t>Indo Autotech Limited (Unit V)</t>
        </is>
      </c>
      <c r="P583" t="n">
        <v>1110</v>
      </c>
      <c r="Q583" t="n">
        <v>1090</v>
      </c>
      <c r="W583" t="inlineStr">
        <is>
          <t>42.7-0-4-ERW 1-FC</t>
        </is>
      </c>
      <c r="BC583" t="inlineStr">
        <is>
          <t>25.4-0-2.5-CEW-CEW</t>
        </is>
      </c>
    </row>
    <row r="584">
      <c r="D584" t="n">
        <v>3571863</v>
      </c>
      <c r="E584" t="n">
        <v>331629</v>
      </c>
      <c r="H584" t="inlineStr">
        <is>
          <t>Indo Autotech Limited (Unit V)</t>
        </is>
      </c>
      <c r="P584" t="n">
        <v>1111</v>
      </c>
      <c r="Q584" t="n">
        <v>1091</v>
      </c>
      <c r="W584" t="inlineStr">
        <is>
          <t>42.7-0-4-ERW 1-FC</t>
        </is>
      </c>
      <c r="BC584" t="inlineStr">
        <is>
          <t>25.4-0-2.5-CEW-CEW</t>
        </is>
      </c>
    </row>
    <row r="585">
      <c r="D585" t="n">
        <v>3571863</v>
      </c>
      <c r="E585" t="n">
        <v>3171772</v>
      </c>
      <c r="H585" t="inlineStr">
        <is>
          <t>Indo Autotech Limited (Unit V)</t>
        </is>
      </c>
      <c r="P585" t="n">
        <v>1112</v>
      </c>
      <c r="Q585" t="n">
        <v>1092</v>
      </c>
      <c r="W585" t="inlineStr">
        <is>
          <t>42.7-0-4-ERW 1-FC</t>
        </is>
      </c>
      <c r="BC585" t="inlineStr">
        <is>
          <t>check PE tdc</t>
        </is>
      </c>
    </row>
    <row r="586">
      <c r="D586" t="n">
        <v>3571863</v>
      </c>
      <c r="E586" t="n">
        <v>3500689</v>
      </c>
      <c r="H586" t="inlineStr">
        <is>
          <t>Indo Autotech Limited (Unit V)</t>
        </is>
      </c>
      <c r="P586" t="n">
        <v>1147</v>
      </c>
      <c r="Q586" t="n">
        <v>1093</v>
      </c>
      <c r="W586" t="inlineStr">
        <is>
          <t>42.7-0-4-ERW 1-FC</t>
        </is>
      </c>
      <c r="BC586" t="inlineStr">
        <is>
          <t>25.4-0-2.5-ERW 1-FC</t>
        </is>
      </c>
    </row>
    <row r="587">
      <c r="D587" t="n">
        <v>3571863</v>
      </c>
      <c r="E587" t="n">
        <v>3682122</v>
      </c>
      <c r="H587" t="inlineStr">
        <is>
          <t>Indo Autotech Limited (Unit V)</t>
        </is>
      </c>
      <c r="P587" t="n">
        <v>1148</v>
      </c>
      <c r="Q587" t="n">
        <v>1094</v>
      </c>
      <c r="W587" t="inlineStr">
        <is>
          <t>42.7-0-4-ERW 1-FC</t>
        </is>
      </c>
      <c r="BC587" t="inlineStr">
        <is>
          <t>check PE tdc</t>
        </is>
      </c>
    </row>
    <row r="588">
      <c r="D588" t="n">
        <v>3571863</v>
      </c>
      <c r="E588" t="n">
        <v>3715133</v>
      </c>
      <c r="H588" t="inlineStr">
        <is>
          <t>Indo Autotech Limited (Unit V)</t>
        </is>
      </c>
      <c r="P588" t="n">
        <v>1149</v>
      </c>
      <c r="Q588" t="n">
        <v>1095</v>
      </c>
      <c r="W588" t="inlineStr">
        <is>
          <t>42.7-0-4-ERW 1-FC</t>
        </is>
      </c>
      <c r="BC588" t="inlineStr">
        <is>
          <t>25.4-19-3.2-CEW-CEW</t>
        </is>
      </c>
    </row>
    <row r="589">
      <c r="D589" t="n">
        <v>3571863</v>
      </c>
      <c r="E589" t="n">
        <v>3447257</v>
      </c>
      <c r="H589" t="inlineStr">
        <is>
          <t>Indo Autotech Limited (Unit V)</t>
        </is>
      </c>
      <c r="P589" t="n">
        <v>1150</v>
      </c>
      <c r="Q589" t="n">
        <v>1096</v>
      </c>
      <c r="W589" t="inlineStr">
        <is>
          <t>42.7-0-4-ERW 1-FC</t>
        </is>
      </c>
      <c r="BC589" t="inlineStr">
        <is>
          <t>25.4-18.4-3.5-CEW-CEW</t>
        </is>
      </c>
    </row>
    <row r="590">
      <c r="D590" t="n">
        <v>3571863</v>
      </c>
      <c r="E590" t="n">
        <v>3502255</v>
      </c>
      <c r="H590" t="inlineStr">
        <is>
          <t>Indo Autotech Limited (Unit V)</t>
        </is>
      </c>
      <c r="P590" t="n">
        <v>1151</v>
      </c>
      <c r="Q590" t="n">
        <v>1097</v>
      </c>
      <c r="W590" t="inlineStr">
        <is>
          <t>42.7-0-4-ERW 1-FC</t>
        </is>
      </c>
      <c r="BC590" t="inlineStr">
        <is>
          <t>25.4-18.4-3.5-CEW-CEW</t>
        </is>
      </c>
    </row>
    <row r="591">
      <c r="D591" t="n">
        <v>3571863</v>
      </c>
      <c r="E591" t="n">
        <v>3502018</v>
      </c>
      <c r="H591" t="inlineStr">
        <is>
          <t>Indo Autotech Limited (Unit V)</t>
        </is>
      </c>
      <c r="P591" t="n">
        <v>1152</v>
      </c>
      <c r="Q591" t="n">
        <v>1098</v>
      </c>
      <c r="W591" t="inlineStr">
        <is>
          <t>42.7-0-4-ERW 1-FC</t>
        </is>
      </c>
      <c r="BC591" t="inlineStr">
        <is>
          <t>25.4-18.4-3.5-CEW-CEW</t>
        </is>
      </c>
    </row>
    <row r="592">
      <c r="D592" t="n">
        <v>3571863</v>
      </c>
      <c r="E592" t="n">
        <v>3500081</v>
      </c>
      <c r="H592" t="inlineStr">
        <is>
          <t>Indo Autotech Limited (Unit V)</t>
        </is>
      </c>
      <c r="P592" t="n">
        <v>1153</v>
      </c>
      <c r="Q592" t="n">
        <v>1099</v>
      </c>
      <c r="W592" t="inlineStr">
        <is>
          <t>42.7-0-4-ERW 1-FC</t>
        </is>
      </c>
      <c r="BC592" t="inlineStr">
        <is>
          <t>25.4-18.4-3.5-CEW-CEW</t>
        </is>
      </c>
    </row>
    <row r="593">
      <c r="D593" t="n">
        <v>3571864</v>
      </c>
      <c r="E593" t="n">
        <v>3500352</v>
      </c>
      <c r="H593" t="inlineStr">
        <is>
          <t>Marathwada Auto Compo Pvt. Ltd.</t>
        </is>
      </c>
      <c r="P593" t="n">
        <v>1154</v>
      </c>
      <c r="Q593" t="n">
        <v>1100</v>
      </c>
      <c r="W593" t="inlineStr">
        <is>
          <t>42.7-0-4-ERW 1-FC</t>
        </is>
      </c>
      <c r="BC593" t="inlineStr">
        <is>
          <t>Check tdc for thickness</t>
        </is>
      </c>
    </row>
    <row r="594">
      <c r="D594" t="n">
        <v>3571864</v>
      </c>
      <c r="E594" t="n">
        <v>1940686</v>
      </c>
      <c r="H594" t="inlineStr">
        <is>
          <t>Marathwada Auto Compo Pvt. Ltd.</t>
        </is>
      </c>
      <c r="P594" t="n">
        <v>1155</v>
      </c>
      <c r="Q594" t="n">
        <v>1101</v>
      </c>
      <c r="W594" t="inlineStr">
        <is>
          <t>42.7-0-4-ERW 1-FC</t>
        </is>
      </c>
      <c r="BC594" t="inlineStr">
        <is>
          <t>25.4--4-CEW-FIN CUT</t>
        </is>
      </c>
    </row>
    <row r="595">
      <c r="D595" t="n">
        <v>3571864</v>
      </c>
      <c r="E595" t="n">
        <v>1138892</v>
      </c>
      <c r="H595" t="inlineStr">
        <is>
          <t>Marathwada Auto Compo Pvt. Ltd.</t>
        </is>
      </c>
      <c r="P595" t="n">
        <v>1156</v>
      </c>
      <c r="Q595" t="n">
        <v>1102</v>
      </c>
      <c r="W595" t="inlineStr">
        <is>
          <t>42.7-0-4-ERW 1-FC</t>
        </is>
      </c>
      <c r="BC595" t="inlineStr">
        <is>
          <t>check grade tdc</t>
        </is>
      </c>
    </row>
    <row r="596">
      <c r="D596" t="n">
        <v>3571864</v>
      </c>
      <c r="E596" t="n">
        <v>1941840</v>
      </c>
      <c r="H596" t="inlineStr">
        <is>
          <t>Marathwada Auto Compo Pvt. Ltd.</t>
        </is>
      </c>
      <c r="P596" t="n">
        <v>1157</v>
      </c>
      <c r="Q596" t="n">
        <v>1103</v>
      </c>
      <c r="W596" t="inlineStr">
        <is>
          <t>19.05-0-2-ERW 1-PE</t>
        </is>
      </c>
      <c r="BC596" t="inlineStr">
        <is>
          <t>check grade tdc</t>
        </is>
      </c>
    </row>
    <row r="597">
      <c r="D597" t="n">
        <v>3571864</v>
      </c>
      <c r="E597" t="n">
        <v>1940685</v>
      </c>
      <c r="H597" t="inlineStr">
        <is>
          <t>JBM AUTO LIMITED</t>
        </is>
      </c>
      <c r="P597" t="n">
        <v>1158</v>
      </c>
      <c r="Q597" t="n">
        <v>1104</v>
      </c>
      <c r="W597" t="inlineStr">
        <is>
          <t>50-30-1.6-ERW 2-FC</t>
        </is>
      </c>
      <c r="BC597" t="inlineStr">
        <is>
          <t>28.58-0-1.2-ERW 1-PE</t>
        </is>
      </c>
    </row>
    <row r="598">
      <c r="D598" t="n">
        <v>3571864</v>
      </c>
      <c r="E598" t="n">
        <v>2410960</v>
      </c>
      <c r="H598" t="inlineStr">
        <is>
          <t>JBM AUTO LIMITED</t>
        </is>
      </c>
      <c r="P598" t="n">
        <v>1159</v>
      </c>
      <c r="Q598" t="n">
        <v>1105</v>
      </c>
      <c r="W598" t="inlineStr">
        <is>
          <t>50-30-1.6-ERW 2-FC</t>
        </is>
      </c>
      <c r="BC598" t="inlineStr">
        <is>
          <t>check FC tdc</t>
        </is>
      </c>
    </row>
    <row r="599">
      <c r="D599" t="n">
        <v>3571864</v>
      </c>
      <c r="E599" t="n">
        <v>3673945</v>
      </c>
      <c r="H599" t="inlineStr">
        <is>
          <t>JBM AUTO LIMITED</t>
        </is>
      </c>
      <c r="P599" t="n">
        <v>1160</v>
      </c>
      <c r="Q599" t="n">
        <v>1106</v>
      </c>
      <c r="W599" t="inlineStr">
        <is>
          <t>50-30-1.6-ERW 2-FC</t>
        </is>
      </c>
      <c r="BC599" t="inlineStr">
        <is>
          <t>28.58-0-1.2-ERW 1-PE</t>
        </is>
      </c>
    </row>
    <row r="600">
      <c r="D600" t="n">
        <v>3571864</v>
      </c>
      <c r="E600" t="n">
        <v>3673942</v>
      </c>
      <c r="H600" t="inlineStr">
        <is>
          <t>JBM AUTO LIMITED</t>
        </is>
      </c>
      <c r="P600" t="n">
        <v>1161</v>
      </c>
      <c r="Q600" t="n">
        <v>1107</v>
      </c>
      <c r="W600" t="inlineStr">
        <is>
          <t>50-30-1.6-ERW 2-FC</t>
        </is>
      </c>
      <c r="BC600" t="inlineStr">
        <is>
          <t>28.58-0-1.2-ERW 1-PE</t>
        </is>
      </c>
    </row>
    <row r="601">
      <c r="D601" t="n">
        <v>3571864</v>
      </c>
      <c r="E601" t="n">
        <v>3673944</v>
      </c>
      <c r="H601" t="inlineStr">
        <is>
          <t>Rajsriya Automotive Industries(P)</t>
        </is>
      </c>
      <c r="P601" t="n">
        <v>1162</v>
      </c>
      <c r="Q601" t="n">
        <v>1108</v>
      </c>
      <c r="W601" t="inlineStr">
        <is>
          <t>28.6-0-2.65-CEW-CEW</t>
        </is>
      </c>
      <c r="BC601" t="inlineStr">
        <is>
          <t>28.58-0-1.6-ERW 1-FC</t>
        </is>
      </c>
    </row>
    <row r="602">
      <c r="D602" t="n">
        <v>3571864</v>
      </c>
      <c r="E602" t="n">
        <v>1939872</v>
      </c>
      <c r="H602" t="inlineStr">
        <is>
          <t>SRIKAM HITECH ENGINEERING PRIVATE L</t>
        </is>
      </c>
      <c r="P602" t="n">
        <v>1163</v>
      </c>
      <c r="Q602" t="n">
        <v>1109</v>
      </c>
      <c r="W602" t="inlineStr">
        <is>
          <t>28.6-0-2.65-CEW-CEW</t>
        </is>
      </c>
      <c r="BC602" t="inlineStr">
        <is>
          <t>28.58-0-1.6-ERW 1-FC</t>
        </is>
      </c>
    </row>
    <row r="603">
      <c r="D603" t="n">
        <v>3571864</v>
      </c>
      <c r="E603" t="n">
        <v>3694074</v>
      </c>
      <c r="H603" t="inlineStr">
        <is>
          <t>MEGH STEELS PRIVATE LIMITED - RE</t>
        </is>
      </c>
      <c r="P603" t="n">
        <v>1164</v>
      </c>
      <c r="Q603" t="n">
        <v>1110</v>
      </c>
      <c r="W603" t="inlineStr">
        <is>
          <t>28.6-0-2.65-CEW-CEW</t>
        </is>
      </c>
      <c r="BC603" t="inlineStr">
        <is>
          <t>28.58-0-1.6-ERW 1-FC</t>
        </is>
      </c>
    </row>
    <row r="604">
      <c r="D604" t="n">
        <v>3571864</v>
      </c>
      <c r="E604" t="n">
        <v>2410993</v>
      </c>
      <c r="H604" t="inlineStr">
        <is>
          <t>MEGH STEELS PRIVATE LIMITED - RE</t>
        </is>
      </c>
      <c r="P604" t="n">
        <v>1165</v>
      </c>
      <c r="Q604" t="n">
        <v>1111</v>
      </c>
      <c r="W604" t="inlineStr">
        <is>
          <t>28.6-0-2.65-CEW-CEW</t>
        </is>
      </c>
      <c r="BC604" t="inlineStr">
        <is>
          <t>28.58-0-1.6-ERW 1-PE</t>
        </is>
      </c>
    </row>
    <row r="605">
      <c r="D605" t="n">
        <v>3571864</v>
      </c>
      <c r="E605" t="n">
        <v>2412748</v>
      </c>
      <c r="H605" t="inlineStr">
        <is>
          <t>MEGH STEELS PRIVATE LIMITED - RE</t>
        </is>
      </c>
      <c r="P605" t="n">
        <v>1166</v>
      </c>
      <c r="Q605" t="n">
        <v>1112</v>
      </c>
      <c r="W605" t="inlineStr">
        <is>
          <t>28.6-0-2.65-CEW-CEW</t>
        </is>
      </c>
      <c r="BC605" t="inlineStr">
        <is>
          <t>28.58-0-2-ERW 1-FC</t>
        </is>
      </c>
    </row>
    <row r="606">
      <c r="D606" t="n">
        <v>3571864</v>
      </c>
      <c r="E606" t="n">
        <v>3552194</v>
      </c>
      <c r="H606" t="inlineStr">
        <is>
          <t>Surya Steels</t>
        </is>
      </c>
      <c r="P606" t="n">
        <v>1167</v>
      </c>
      <c r="Q606" t="n">
        <v>1147</v>
      </c>
      <c r="W606" t="inlineStr">
        <is>
          <t>28.6-0-2.65-CEW-CEW</t>
        </is>
      </c>
      <c r="BC606" t="inlineStr">
        <is>
          <t>28.58-0-2-ERW 1-FC</t>
        </is>
      </c>
    </row>
    <row r="607">
      <c r="D607" t="n">
        <v>3571866</v>
      </c>
      <c r="E607" t="n">
        <v>3702855</v>
      </c>
      <c r="H607" t="inlineStr">
        <is>
          <t>SHIVAM PRIME STEELS PRIVATE LIMITED</t>
        </is>
      </c>
      <c r="P607" t="n">
        <v>1168</v>
      </c>
      <c r="Q607" t="n">
        <v>1148</v>
      </c>
      <c r="W607" t="inlineStr">
        <is>
          <t>28.6-0-2.65-CEW-CEW</t>
        </is>
      </c>
      <c r="BC607" t="inlineStr">
        <is>
          <t>28.58-0-3.2-ERW 1-FC</t>
        </is>
      </c>
    </row>
    <row r="608">
      <c r="D608" t="n">
        <v>3571866</v>
      </c>
      <c r="E608" t="n">
        <v>3138219</v>
      </c>
      <c r="H608" t="inlineStr">
        <is>
          <t>SRIKAM HITECH ENGINEERING PRIVATE L</t>
        </is>
      </c>
      <c r="P608" t="n">
        <v>1169</v>
      </c>
      <c r="Q608" t="n">
        <v>1149</v>
      </c>
      <c r="W608" t="inlineStr">
        <is>
          <t>28.6-0-2.65-CEW-CEW</t>
        </is>
      </c>
      <c r="BC608" t="inlineStr">
        <is>
          <t>28.6-0-2.65-CEW-CEW</t>
        </is>
      </c>
    </row>
    <row r="609">
      <c r="D609" t="n">
        <v>3571866</v>
      </c>
      <c r="E609" t="n">
        <v>3210433</v>
      </c>
      <c r="H609" t="inlineStr">
        <is>
          <t>SRIKAM HITECH ENGINEERING PRIVATE L</t>
        </is>
      </c>
      <c r="P609" t="n">
        <v>1170</v>
      </c>
      <c r="Q609" t="n">
        <v>1150</v>
      </c>
      <c r="W609" t="inlineStr">
        <is>
          <t>28.6-0-2.65-CEW-CEW</t>
        </is>
      </c>
      <c r="BC609" t="inlineStr">
        <is>
          <t>28.6-0-2.65-CEW-CEW</t>
        </is>
      </c>
    </row>
    <row r="610">
      <c r="D610" t="n">
        <v>3571866</v>
      </c>
      <c r="E610" t="n">
        <v>1438913</v>
      </c>
      <c r="H610" t="inlineStr">
        <is>
          <t>Indo Autotech Limited (Unit V)</t>
        </is>
      </c>
      <c r="P610" t="n">
        <v>1171</v>
      </c>
      <c r="Q610" t="n">
        <v>1151</v>
      </c>
      <c r="W610" t="inlineStr">
        <is>
          <t>28.6-0-2.65-CEW-CEW</t>
        </is>
      </c>
      <c r="BC610" t="inlineStr">
        <is>
          <t>28.6-0-2.65-CEW-CEW</t>
        </is>
      </c>
    </row>
    <row r="611">
      <c r="D611" t="n">
        <v>3571866</v>
      </c>
      <c r="E611" t="n">
        <v>2397073</v>
      </c>
      <c r="H611" t="inlineStr">
        <is>
          <t>Indo Autotech Limited (Unit V)</t>
        </is>
      </c>
      <c r="P611" t="n">
        <v>1172</v>
      </c>
      <c r="Q611" t="n">
        <v>1152</v>
      </c>
      <c r="W611" t="inlineStr">
        <is>
          <t>28.6-0-2.65-CEW-CEW</t>
        </is>
      </c>
      <c r="BC611" t="inlineStr">
        <is>
          <t>28.6-0-2.65-CEW-CEW</t>
        </is>
      </c>
    </row>
    <row r="612">
      <c r="D612" t="n">
        <v>3571866</v>
      </c>
      <c r="E612" t="n">
        <v>3649699</v>
      </c>
      <c r="H612" t="inlineStr">
        <is>
          <t>Indo Autotech Limited (Unit V)</t>
        </is>
      </c>
      <c r="P612" t="n">
        <v>1173</v>
      </c>
      <c r="Q612" t="n">
        <v>1153</v>
      </c>
      <c r="W612" t="inlineStr">
        <is>
          <t>28.6-0-2.65-CEW-CEW</t>
        </is>
      </c>
      <c r="BC612" t="inlineStr">
        <is>
          <t>check grade tdc</t>
        </is>
      </c>
    </row>
    <row r="613">
      <c r="D613" t="n">
        <v>3571866</v>
      </c>
      <c r="E613" t="n">
        <v>3447254</v>
      </c>
      <c r="H613" t="inlineStr">
        <is>
          <t>Indo Autotech Limited (Unit V)</t>
        </is>
      </c>
      <c r="P613" t="n">
        <v>1174</v>
      </c>
      <c r="Q613" t="n">
        <v>1154</v>
      </c>
      <c r="W613" t="inlineStr">
        <is>
          <t>28.6-0-2.65-CEW-CEW</t>
        </is>
      </c>
      <c r="BC613" t="inlineStr">
        <is>
          <t>29.4-20.4-4.5-CEW STKM 13C-CEW</t>
        </is>
      </c>
    </row>
    <row r="614">
      <c r="D614" t="n">
        <v>3571866</v>
      </c>
      <c r="E614" t="n">
        <v>3499611</v>
      </c>
      <c r="H614" t="inlineStr">
        <is>
          <t>Surya Steels</t>
        </is>
      </c>
      <c r="P614" t="n">
        <v>1175</v>
      </c>
      <c r="Q614" t="n">
        <v>1155</v>
      </c>
      <c r="W614" t="inlineStr">
        <is>
          <t>28.6-0-2.65-CEW-CEW</t>
        </is>
      </c>
      <c r="BC614" t="inlineStr">
        <is>
          <t>29.4-20.4-4.5-CEW-CEW</t>
        </is>
      </c>
    </row>
    <row r="615">
      <c r="D615" t="n">
        <v>3571866</v>
      </c>
      <c r="E615" t="n">
        <v>1940701</v>
      </c>
      <c r="H615" t="inlineStr">
        <is>
          <t>Tushar Steel Traders</t>
        </is>
      </c>
      <c r="P615" t="n">
        <v>1176</v>
      </c>
      <c r="Q615" t="n">
        <v>1156</v>
      </c>
      <c r="W615" t="inlineStr">
        <is>
          <t>19.05-0-2-ERW 1-PE</t>
        </is>
      </c>
      <c r="BC615" t="inlineStr">
        <is>
          <t>29.4-20.4-4.5-CEW STKM 13C-CEW</t>
        </is>
      </c>
    </row>
    <row r="616">
      <c r="D616" t="n">
        <v>3571866</v>
      </c>
      <c r="E616" t="n">
        <v>3584140</v>
      </c>
      <c r="H616" t="inlineStr">
        <is>
          <t>Thai Summit Autoparts India Pvt Ltd</t>
        </is>
      </c>
      <c r="P616" t="n">
        <v>1177</v>
      </c>
      <c r="Q616" t="n">
        <v>1157</v>
      </c>
      <c r="W616" t="inlineStr">
        <is>
          <t>19.05-0-2-ERW 1-PE</t>
        </is>
      </c>
      <c r="BC616" t="inlineStr">
        <is>
          <t>29.4-20.4-4.5-CEW STKM 13C-CEW</t>
        </is>
      </c>
    </row>
    <row r="617">
      <c r="D617" t="n">
        <v>3571866</v>
      </c>
      <c r="E617" t="n">
        <v>1155165</v>
      </c>
      <c r="H617" t="inlineStr">
        <is>
          <t>KNITVEL NEEDLES P LTD</t>
        </is>
      </c>
      <c r="P617" t="n">
        <v>1178</v>
      </c>
      <c r="Q617" t="n">
        <v>1158</v>
      </c>
      <c r="W617" t="inlineStr">
        <is>
          <t>19.05-0-2-ERW 1-PE</t>
        </is>
      </c>
      <c r="BC617" t="inlineStr">
        <is>
          <t>29.4-20.4-4.5-CEW STKM 13C-CEW</t>
        </is>
      </c>
    </row>
    <row r="618">
      <c r="D618" t="n">
        <v>3571866</v>
      </c>
      <c r="E618" t="n">
        <v>1940711</v>
      </c>
      <c r="H618" t="inlineStr">
        <is>
          <t>KNITVEL NEEDLES P LTD</t>
        </is>
      </c>
      <c r="P618" t="n">
        <v>1179</v>
      </c>
      <c r="Q618" t="n">
        <v>1159</v>
      </c>
      <c r="W618" t="inlineStr">
        <is>
          <t>19.05-0-2-ERW 1-PE</t>
        </is>
      </c>
      <c r="BC618" t="inlineStr">
        <is>
          <t>29.4-20.4-4.5-CEW STKM 13C-CEW</t>
        </is>
      </c>
    </row>
    <row r="619">
      <c r="D619" t="n">
        <v>3571866</v>
      </c>
      <c r="E619" t="n">
        <v>3210055</v>
      </c>
      <c r="H619" t="inlineStr">
        <is>
          <t>A.R.Automotive And Engg Industries</t>
        </is>
      </c>
      <c r="P619" t="n">
        <v>1180</v>
      </c>
      <c r="Q619" t="n">
        <v>1160</v>
      </c>
      <c r="W619" t="inlineStr">
        <is>
          <t>19.05-0-2-ERW 1-PE</t>
        </is>
      </c>
      <c r="BC619" t="inlineStr">
        <is>
          <t>29.4-20.4-4.5-CEW STKM 13C-CEW</t>
        </is>
      </c>
    </row>
    <row r="620">
      <c r="D620" t="n">
        <v>3571866</v>
      </c>
      <c r="E620" t="n">
        <v>1551280</v>
      </c>
      <c r="H620" t="inlineStr">
        <is>
          <t>A.R.Automotive And Engg Industries</t>
        </is>
      </c>
      <c r="P620" t="n">
        <v>1181</v>
      </c>
      <c r="Q620" t="n">
        <v>1161</v>
      </c>
      <c r="W620" t="inlineStr">
        <is>
          <t>19.05-0-2-ERW 1-PE</t>
        </is>
      </c>
      <c r="BC620" t="inlineStr">
        <is>
          <t>29.4-20.4-4.5-CEW-CEW</t>
        </is>
      </c>
    </row>
    <row r="621">
      <c r="D621" t="n">
        <v>3838020</v>
      </c>
      <c r="E621" t="n">
        <v>3210054</v>
      </c>
      <c r="H621" t="inlineStr">
        <is>
          <t>A.R.Automotive And Engg Industries</t>
        </is>
      </c>
      <c r="P621" t="n">
        <v>1182</v>
      </c>
      <c r="Q621" t="n">
        <v>1162</v>
      </c>
      <c r="W621" t="inlineStr">
        <is>
          <t>19.05-0-2-ERW 1-PE</t>
        </is>
      </c>
      <c r="BC621" t="inlineStr">
        <is>
          <t>29.4-20.4-4.5-CEW STKM 13C-CEW</t>
        </is>
      </c>
    </row>
    <row r="622">
      <c r="D622" t="n">
        <v>3838020</v>
      </c>
      <c r="E622" t="n">
        <v>1236370</v>
      </c>
      <c r="H622" t="inlineStr">
        <is>
          <t>A.R.Automotive And Engg Industries</t>
        </is>
      </c>
      <c r="P622" t="n">
        <v>1183</v>
      </c>
      <c r="Q622" t="n">
        <v>1163</v>
      </c>
      <c r="W622" t="inlineStr">
        <is>
          <t>19.05-0-2-ERW 1-PE</t>
        </is>
      </c>
      <c r="BC622" t="inlineStr">
        <is>
          <t>29.4-20.4-4.5-CEW STKM 13C-CEW</t>
        </is>
      </c>
    </row>
    <row r="623">
      <c r="D623" t="n">
        <v>3838020</v>
      </c>
      <c r="E623" t="n">
        <v>3210056</v>
      </c>
      <c r="H623" t="inlineStr">
        <is>
          <t>A.R.Automotive And Engg Industries</t>
        </is>
      </c>
      <c r="P623" t="n">
        <v>1184</v>
      </c>
      <c r="Q623" t="n">
        <v>1164</v>
      </c>
      <c r="W623" t="inlineStr">
        <is>
          <t>50-30-1.6-ERW 2-FC</t>
        </is>
      </c>
      <c r="BC623" t="inlineStr">
        <is>
          <t>30-25.5-2.25-CEW-CEW</t>
        </is>
      </c>
    </row>
    <row r="624">
      <c r="D624" t="n">
        <v>3838020</v>
      </c>
      <c r="E624" t="n">
        <v>3484654</v>
      </c>
      <c r="H624" t="inlineStr">
        <is>
          <t>SRIKAM HITECH ENGINEERING PRIVATE L</t>
        </is>
      </c>
      <c r="P624" t="n">
        <v>1185</v>
      </c>
      <c r="Q624" t="n">
        <v>1165</v>
      </c>
      <c r="W624" t="inlineStr">
        <is>
          <t>40-25-1.6-ERW 2-FC</t>
        </is>
      </c>
      <c r="BC624" t="inlineStr">
        <is>
          <t>check tdc</t>
        </is>
      </c>
    </row>
    <row r="625">
      <c r="D625" t="n">
        <v>3230490</v>
      </c>
      <c r="E625" t="n">
        <v>3677064</v>
      </c>
      <c r="H625" t="inlineStr">
        <is>
          <t>Metalman Auto Private Limited</t>
        </is>
      </c>
      <c r="P625" t="n">
        <v>1186</v>
      </c>
      <c r="Q625" t="n">
        <v>1166</v>
      </c>
      <c r="W625" t="inlineStr">
        <is>
          <t>40-25-1.6-ERW 2-FC</t>
        </is>
      </c>
      <c r="BC625" t="inlineStr">
        <is>
          <t>30-25.5-2.25-CEW-CEW</t>
        </is>
      </c>
    </row>
    <row r="626">
      <c r="D626" t="n">
        <v>3230490</v>
      </c>
      <c r="E626" t="n">
        <v>3910451</v>
      </c>
      <c r="H626" t="inlineStr">
        <is>
          <t>Metalman Auto Private Limited</t>
        </is>
      </c>
      <c r="P626" t="n">
        <v>1187</v>
      </c>
      <c r="Q626" t="n">
        <v>1167</v>
      </c>
      <c r="W626" t="inlineStr">
        <is>
          <t>40-25-1.6-ERW 2-FC</t>
        </is>
      </c>
      <c r="BC626" t="inlineStr">
        <is>
          <t>30-25.5-2.25-CEW-CEW</t>
        </is>
      </c>
    </row>
    <row r="627">
      <c r="D627" t="n">
        <v>3230490</v>
      </c>
      <c r="E627" t="n">
        <v>3453789</v>
      </c>
      <c r="H627" t="inlineStr">
        <is>
          <t>Metalman Auto Private Limited</t>
        </is>
      </c>
      <c r="P627" t="n">
        <v>1190</v>
      </c>
      <c r="Q627" t="n">
        <v>1168</v>
      </c>
      <c r="W627" t="inlineStr">
        <is>
          <t>19.05-0-2.3-ERW 1-PE</t>
        </is>
      </c>
      <c r="BC627" t="inlineStr">
        <is>
          <t>30-25.5-2.25-CEW-CEW</t>
        </is>
      </c>
    </row>
    <row r="628">
      <c r="D628" t="n">
        <v>3230490</v>
      </c>
      <c r="E628" t="n">
        <v>3911992</v>
      </c>
      <c r="H628" t="inlineStr">
        <is>
          <t>A.R.Automotive And Engg Industries</t>
        </is>
      </c>
      <c r="P628" t="n">
        <v>1191</v>
      </c>
      <c r="Q628" t="n">
        <v>1169</v>
      </c>
      <c r="W628" t="inlineStr">
        <is>
          <t>19.05-0-2.3-ERW 1-PE</t>
        </is>
      </c>
      <c r="BC628" t="inlineStr">
        <is>
          <t>30-30-1.2-CRFH-PE</t>
        </is>
      </c>
    </row>
    <row r="629">
      <c r="D629" t="n">
        <v>3230490</v>
      </c>
      <c r="E629" t="n">
        <v>3454801</v>
      </c>
      <c r="H629" t="inlineStr">
        <is>
          <t>A.R.Automotive And Engg Industries</t>
        </is>
      </c>
      <c r="P629" t="n">
        <v>1192</v>
      </c>
      <c r="Q629" t="n">
        <v>1170</v>
      </c>
      <c r="W629" t="inlineStr">
        <is>
          <t>28.6-0-2.65-CEW-CEW</t>
        </is>
      </c>
      <c r="BC629" t="inlineStr">
        <is>
          <t>30-30-1.2-CRFH-PE</t>
        </is>
      </c>
    </row>
    <row r="630">
      <c r="D630" t="n">
        <v>3230490</v>
      </c>
      <c r="E630" t="n">
        <v>3911993</v>
      </c>
      <c r="H630" t="inlineStr">
        <is>
          <t>A.R.Automotive And Engg Industries</t>
        </is>
      </c>
      <c r="P630" t="n">
        <v>1192</v>
      </c>
      <c r="Q630" t="n">
        <v>1171</v>
      </c>
      <c r="W630" t="inlineStr">
        <is>
          <t>28.6-0-2.65-CEW-CEW</t>
        </is>
      </c>
      <c r="BC630" t="inlineStr">
        <is>
          <t>30-25.5-2.25-CEW-CEW</t>
        </is>
      </c>
    </row>
    <row r="631">
      <c r="D631" t="n">
        <v>3230490</v>
      </c>
      <c r="E631" t="n">
        <v>1155164</v>
      </c>
      <c r="H631" t="inlineStr">
        <is>
          <t>A.R.Automotive And Engg Industries</t>
        </is>
      </c>
      <c r="P631" t="n">
        <v>1193</v>
      </c>
      <c r="Q631" t="n">
        <v>1172</v>
      </c>
      <c r="W631" t="inlineStr">
        <is>
          <t>28.6-0-2.65-CEW-CEW</t>
        </is>
      </c>
      <c r="BC631" t="inlineStr">
        <is>
          <t>30-25.5-2.25-CEW-CEW</t>
        </is>
      </c>
    </row>
    <row r="632">
      <c r="D632" t="n">
        <v>3230490</v>
      </c>
      <c r="E632" t="n">
        <v>1940718</v>
      </c>
      <c r="H632" t="inlineStr">
        <is>
          <t>Indo Autotech Limited (Unit V)</t>
        </is>
      </c>
      <c r="P632" t="n">
        <v>1194</v>
      </c>
      <c r="Q632" t="n">
        <v>1173</v>
      </c>
      <c r="W632" t="inlineStr">
        <is>
          <t>28.6-0-2.65-CEW-CEW</t>
        </is>
      </c>
      <c r="BC632" t="inlineStr">
        <is>
          <t>31-24.6-3.2-CEW-FIN CUT</t>
        </is>
      </c>
    </row>
    <row r="633">
      <c r="D633" t="n">
        <v>3230490</v>
      </c>
      <c r="E633" t="n">
        <v>3547256</v>
      </c>
      <c r="H633" t="inlineStr">
        <is>
          <t>Rucha Engineers Pvt Ltd.</t>
        </is>
      </c>
      <c r="P633" t="n">
        <v>1197</v>
      </c>
      <c r="Q633" t="n">
        <v>1174</v>
      </c>
      <c r="W633" t="inlineStr">
        <is>
          <t>28.6-0-2.65-CEW-CEW</t>
        </is>
      </c>
      <c r="BC633" t="inlineStr">
        <is>
          <t>31.75-0-1.2-ERW 1-FC</t>
        </is>
      </c>
    </row>
    <row r="634">
      <c r="D634" t="n">
        <v>3230490</v>
      </c>
      <c r="E634" t="n">
        <v>3578410</v>
      </c>
      <c r="H634" t="inlineStr">
        <is>
          <t>Rucha Engineers Pvt Ltd.</t>
        </is>
      </c>
      <c r="P634" t="n">
        <v>1198</v>
      </c>
      <c r="Q634" t="n">
        <v>1175</v>
      </c>
      <c r="W634" t="inlineStr">
        <is>
          <t>28.6-0-2.65-CEW-CEW</t>
        </is>
      </c>
      <c r="BC634" t="inlineStr">
        <is>
          <t>31.75-0-1.2-ERW 1-PE</t>
        </is>
      </c>
    </row>
    <row r="635">
      <c r="D635" t="n">
        <v>3230490</v>
      </c>
      <c r="E635" t="n">
        <v>3501132</v>
      </c>
      <c r="H635" t="inlineStr">
        <is>
          <t>Rucha Engineers Pvt Ltd.</t>
        </is>
      </c>
      <c r="P635" t="n">
        <v>1208</v>
      </c>
      <c r="Q635" t="n">
        <v>1176</v>
      </c>
      <c r="W635" t="inlineStr">
        <is>
          <t>19.05-0-2.3-ERW 1-PE</t>
        </is>
      </c>
      <c r="BC635" t="inlineStr">
        <is>
          <t>31.75-0-1.2-ERW 1-PE</t>
        </is>
      </c>
    </row>
    <row r="636">
      <c r="D636" t="n">
        <v>3230490</v>
      </c>
      <c r="E636" t="n">
        <v>1374708</v>
      </c>
      <c r="H636" t="inlineStr">
        <is>
          <t>MEGH STEELS PRIVATE LIMITED - TVS A</t>
        </is>
      </c>
      <c r="P636" t="n">
        <v>1209</v>
      </c>
      <c r="Q636" t="n">
        <v>1177</v>
      </c>
      <c r="W636" t="inlineStr">
        <is>
          <t>19.05-0-2.3-ERW 1-PE</t>
        </is>
      </c>
      <c r="BC636" t="inlineStr">
        <is>
          <t>31.75-0-1.2-ERW 1-PE</t>
        </is>
      </c>
    </row>
    <row r="637">
      <c r="D637" t="n">
        <v>3230490</v>
      </c>
      <c r="E637" t="n">
        <v>403039</v>
      </c>
      <c r="H637" t="inlineStr">
        <is>
          <t>Sri Balaji Gears</t>
        </is>
      </c>
      <c r="P637" t="n">
        <v>1210</v>
      </c>
      <c r="Q637" t="n">
        <v>1178</v>
      </c>
      <c r="W637" t="inlineStr">
        <is>
          <t>19.05-0-2.3-ERW 1-PE</t>
        </is>
      </c>
      <c r="BC637" t="inlineStr">
        <is>
          <t>31.75-0-1.2-ERW 1-PE</t>
        </is>
      </c>
    </row>
    <row r="638">
      <c r="D638" t="n">
        <v>3230490</v>
      </c>
      <c r="E638" t="n">
        <v>3731917</v>
      </c>
      <c r="H638" t="inlineStr">
        <is>
          <t>Skb Industries</t>
        </is>
      </c>
      <c r="P638" t="n">
        <v>1211</v>
      </c>
      <c r="Q638" t="n">
        <v>1179</v>
      </c>
      <c r="W638" t="inlineStr">
        <is>
          <t>19.05-0-2.3-ERW 1-PE</t>
        </is>
      </c>
      <c r="BC638" t="inlineStr">
        <is>
          <t>31.75-0-1.2-ERW 1-PE</t>
        </is>
      </c>
    </row>
    <row r="639">
      <c r="D639" t="n">
        <v>3230490</v>
      </c>
      <c r="E639" t="n">
        <v>238413</v>
      </c>
      <c r="H639" t="inlineStr">
        <is>
          <t>Skb Industries</t>
        </is>
      </c>
      <c r="P639" t="n">
        <v>1212</v>
      </c>
      <c r="Q639" t="n">
        <v>1180</v>
      </c>
      <c r="W639" t="inlineStr">
        <is>
          <t>19.05-0-2.3-ERW 1-PE</t>
        </is>
      </c>
      <c r="BC639" t="inlineStr">
        <is>
          <t>31.75-0-1.2-ERW 1-PE</t>
        </is>
      </c>
    </row>
    <row r="640">
      <c r="D640" t="n">
        <v>3230490</v>
      </c>
      <c r="E640" t="n">
        <v>293855</v>
      </c>
      <c r="H640" t="inlineStr">
        <is>
          <t>Metalman Auto Private Limited</t>
        </is>
      </c>
      <c r="P640" t="n">
        <v>1213</v>
      </c>
      <c r="Q640" t="n">
        <v>1181</v>
      </c>
      <c r="W640" t="inlineStr">
        <is>
          <t>37.95-32-2.95-CEW-CEW</t>
        </is>
      </c>
      <c r="BC640" t="inlineStr">
        <is>
          <t>31.75-0-1.2-ERW 1-PE</t>
        </is>
      </c>
    </row>
    <row r="641">
      <c r="D641" t="n">
        <v>3230490</v>
      </c>
      <c r="E641" t="n">
        <v>1940730</v>
      </c>
      <c r="H641" t="inlineStr">
        <is>
          <t>TECHNICO INDUSTRIES LIMITED</t>
        </is>
      </c>
      <c r="P641" t="n">
        <v>1214</v>
      </c>
      <c r="Q641" t="n">
        <v>1182</v>
      </c>
      <c r="W641" t="inlineStr">
        <is>
          <t>37.95-32-2.95-CEW-CEW</t>
        </is>
      </c>
      <c r="BC641" t="inlineStr">
        <is>
          <t>31.75-0-1.2-ERW 1-PE</t>
        </is>
      </c>
    </row>
    <row r="642">
      <c r="D642" t="n">
        <v>3230490</v>
      </c>
      <c r="E642" t="n">
        <v>302897</v>
      </c>
      <c r="H642" t="inlineStr">
        <is>
          <t>Sandhar EngineeringPvt.Ltd.(KA)-Uni</t>
        </is>
      </c>
      <c r="P642" t="n">
        <v>1215</v>
      </c>
      <c r="Q642" t="n">
        <v>1183</v>
      </c>
      <c r="W642" t="inlineStr">
        <is>
          <t>29.4-20.4-4.5-CEW STKM 13C-CEW</t>
        </is>
      </c>
      <c r="BC642" t="inlineStr">
        <is>
          <t>31.75-0-1.2-ERW 1-PE</t>
        </is>
      </c>
    </row>
    <row r="643">
      <c r="D643" t="n">
        <v>3230490</v>
      </c>
      <c r="E643" t="n">
        <v>1940731</v>
      </c>
      <c r="H643" t="inlineStr">
        <is>
          <t>MEGH STEELS PRIVATE LIMITED - RE</t>
        </is>
      </c>
      <c r="P643" t="n">
        <v>1216</v>
      </c>
      <c r="Q643" t="n">
        <v>1184</v>
      </c>
      <c r="W643" t="inlineStr">
        <is>
          <t>29.4-20.4-4.5-CEW STKM 13C-CEW</t>
        </is>
      </c>
      <c r="BC643" t="inlineStr">
        <is>
          <t>31.75-0-1.2-ERW 1-FC</t>
        </is>
      </c>
    </row>
    <row r="644">
      <c r="D644" t="n">
        <v>3230490</v>
      </c>
      <c r="E644" t="n">
        <v>3507790</v>
      </c>
      <c r="H644" t="inlineStr">
        <is>
          <t>Thai Summit Autoparts India Pvt Ltd</t>
        </is>
      </c>
      <c r="P644" t="n">
        <v>1217</v>
      </c>
      <c r="Q644" t="n">
        <v>1185</v>
      </c>
      <c r="W644" t="inlineStr">
        <is>
          <t>29.4-20.4-4.5-CEW STKM 13C-CEW</t>
        </is>
      </c>
      <c r="BC644" t="inlineStr">
        <is>
          <t>31.75-0-1.2-ERW 1-PE</t>
        </is>
      </c>
    </row>
    <row r="645">
      <c r="D645" t="n">
        <v>3230490</v>
      </c>
      <c r="E645" t="n">
        <v>1940732</v>
      </c>
      <c r="H645" t="inlineStr">
        <is>
          <t>Thai Summit Autoparts India Pvt Ltd</t>
        </is>
      </c>
      <c r="P645" t="n">
        <v>1218</v>
      </c>
      <c r="Q645" t="n">
        <v>1186</v>
      </c>
      <c r="W645" t="inlineStr">
        <is>
          <t>29.4-20.4-4.5-CEW STKM 13C-CEW</t>
        </is>
      </c>
      <c r="BC645" t="inlineStr">
        <is>
          <t>31.75-0-1.2-ERW 1-FC</t>
        </is>
      </c>
    </row>
    <row r="646">
      <c r="D646" t="n">
        <v>3230490</v>
      </c>
      <c r="E646" t="n">
        <v>2436343</v>
      </c>
      <c r="H646" t="inlineStr">
        <is>
          <t>Thai Summit Autoparts India Pvt Ltd</t>
        </is>
      </c>
      <c r="P646" t="n">
        <v>1231</v>
      </c>
      <c r="Q646" t="n">
        <v>1187</v>
      </c>
      <c r="W646" t="inlineStr">
        <is>
          <t>29.4-20.4-4.5-CEW STKM 13C-CEW</t>
        </is>
      </c>
      <c r="BC646" t="inlineStr">
        <is>
          <t>31.75-0-1.2-ERW 1-FC</t>
        </is>
      </c>
    </row>
    <row r="647">
      <c r="D647" t="n">
        <v>3230490</v>
      </c>
      <c r="E647" t="n">
        <v>3841884</v>
      </c>
      <c r="H647" t="inlineStr">
        <is>
          <t>Marathwada Auto Compo Pvt. Ltd.</t>
        </is>
      </c>
      <c r="P647" t="n">
        <v>1232</v>
      </c>
      <c r="Q647" t="n">
        <v>1189</v>
      </c>
      <c r="W647" t="inlineStr">
        <is>
          <t>29.4-20.4-4.5-CEW STKM 13C-CEW</t>
        </is>
      </c>
      <c r="BC647" t="inlineStr">
        <is>
          <t>31.75-0-1.6-ERW 1-FC</t>
        </is>
      </c>
    </row>
    <row r="648">
      <c r="D648" t="n">
        <v>3230490</v>
      </c>
      <c r="E648" t="n">
        <v>1523477</v>
      </c>
      <c r="H648" t="inlineStr">
        <is>
          <t>Marathwada Auto Compo Pvt. Ltd.</t>
        </is>
      </c>
      <c r="P648" t="n">
        <v>1235</v>
      </c>
      <c r="Q648" t="n">
        <v>1190</v>
      </c>
      <c r="W648" t="inlineStr">
        <is>
          <t>29.4-20.4-4.5-CEW STKM 13C-CEW</t>
        </is>
      </c>
      <c r="BC648" t="inlineStr">
        <is>
          <t>31.75-0-1.6-ERW 1-FC</t>
        </is>
      </c>
    </row>
    <row r="649">
      <c r="D649" t="n">
        <v>3230490</v>
      </c>
      <c r="E649" t="n">
        <v>3768904</v>
      </c>
      <c r="H649" t="inlineStr">
        <is>
          <t>SANDHAR ENGINEERING PVT LTD.(KA) -U</t>
        </is>
      </c>
      <c r="P649" t="n">
        <v>1236</v>
      </c>
      <c r="Q649" t="n">
        <v>1191</v>
      </c>
      <c r="W649" t="inlineStr">
        <is>
          <t>29.4-20.4-4.5-CEW STKM 13C-CEW</t>
        </is>
      </c>
      <c r="BC649" t="inlineStr">
        <is>
          <t>31.75--2-ERW 1-FIN CUT</t>
        </is>
      </c>
    </row>
    <row r="650">
      <c r="D650" t="n">
        <v>3230490</v>
      </c>
      <c r="E650" t="n">
        <v>3191747</v>
      </c>
      <c r="H650" t="inlineStr">
        <is>
          <t>Sri Balaji Gears</t>
        </is>
      </c>
      <c r="P650" t="n">
        <v>1237</v>
      </c>
      <c r="Q650" t="n">
        <v>1192</v>
      </c>
      <c r="W650" t="inlineStr">
        <is>
          <t>29.4-20.4-4.5-CEW STKM 13C-CEW</t>
        </is>
      </c>
      <c r="BC650" t="inlineStr">
        <is>
          <t>31.75--2.3-ERW 1-FIN CUT</t>
        </is>
      </c>
    </row>
    <row r="651">
      <c r="D651" t="n">
        <v>3230490</v>
      </c>
      <c r="E651" t="n">
        <v>1194658</v>
      </c>
      <c r="H651" t="inlineStr">
        <is>
          <t>SRIKAM HITECH ENGINEERING PRIVATE L</t>
        </is>
      </c>
      <c r="P651" t="n">
        <v>1238</v>
      </c>
      <c r="Q651" t="n">
        <v>1193</v>
      </c>
      <c r="W651" t="inlineStr">
        <is>
          <t>25.4-18.4-3.5-CEW-CEW</t>
        </is>
      </c>
      <c r="BC651" t="inlineStr">
        <is>
          <t>31.75--2.3-ERW 1-FIN CUT</t>
        </is>
      </c>
    </row>
    <row r="652">
      <c r="D652" t="n">
        <v>3230490</v>
      </c>
      <c r="E652" t="n">
        <v>3505953</v>
      </c>
      <c r="H652" t="inlineStr">
        <is>
          <t>SRIKAM HITECH ENGINEERING PRIVATE L</t>
        </is>
      </c>
      <c r="P652" t="n">
        <v>1239</v>
      </c>
      <c r="Q652" t="n">
        <v>1194</v>
      </c>
      <c r="W652" t="inlineStr">
        <is>
          <t>25.4-18.4-3.5-CEW-CEW</t>
        </is>
      </c>
      <c r="BC652" t="inlineStr">
        <is>
          <t>31.75-0-2.5-ERW 1-FC</t>
        </is>
      </c>
    </row>
    <row r="653">
      <c r="D653" t="n">
        <v>3230490</v>
      </c>
      <c r="E653" t="n">
        <v>3442533</v>
      </c>
      <c r="H653" t="inlineStr">
        <is>
          <t>SRIKAM HITECH ENGINEERING PRIVATE L</t>
        </is>
      </c>
      <c r="P653" t="n">
        <v>1240</v>
      </c>
      <c r="Q653" t="n">
        <v>1195</v>
      </c>
      <c r="W653" t="inlineStr">
        <is>
          <t>25.4-18.4-3.5-CEW-CEW</t>
        </is>
      </c>
      <c r="BC653" t="inlineStr">
        <is>
          <t>31.75-0-2.5-ERW 1-FC</t>
        </is>
      </c>
    </row>
    <row r="654">
      <c r="D654" t="n">
        <v>3571867</v>
      </c>
      <c r="E654" t="n">
        <v>3500470</v>
      </c>
      <c r="H654" t="inlineStr">
        <is>
          <t>SRIKAM HITECH ENGINEERING PRIVATE L</t>
        </is>
      </c>
      <c r="P654" t="n">
        <v>1241</v>
      </c>
      <c r="Q654" t="n">
        <v>1196</v>
      </c>
      <c r="W654" t="inlineStr">
        <is>
          <t>25.4-18.4-3.5-CEW-CEW</t>
        </is>
      </c>
      <c r="BC654" t="inlineStr">
        <is>
          <t>31.75-0-2.5-ERW 1-FC</t>
        </is>
      </c>
    </row>
    <row r="655">
      <c r="D655" t="n">
        <v>3571867</v>
      </c>
      <c r="E655" t="n">
        <v>3502254</v>
      </c>
      <c r="H655" t="inlineStr">
        <is>
          <t>MEGH STEELS PRIVATE LIMITED - TVS A</t>
        </is>
      </c>
      <c r="P655" t="n">
        <v>1242</v>
      </c>
      <c r="Q655" t="n">
        <v>1197</v>
      </c>
      <c r="W655" t="inlineStr">
        <is>
          <t>42.7-0-3.5-ERW 1-FC</t>
        </is>
      </c>
      <c r="BC655" t="inlineStr">
        <is>
          <t>31.75-0-2.5-ERW 1-FC</t>
        </is>
      </c>
    </row>
    <row r="656">
      <c r="D656" t="n">
        <v>3571867</v>
      </c>
      <c r="E656" t="n">
        <v>3768902</v>
      </c>
      <c r="H656" t="inlineStr">
        <is>
          <t>MEGH STEELS PRIVATE LIMITED - TVS A</t>
        </is>
      </c>
      <c r="P656" t="n">
        <v>1243</v>
      </c>
      <c r="Q656" t="n">
        <v>1198</v>
      </c>
      <c r="W656" t="inlineStr">
        <is>
          <t>42.7-0-3.5-ERW 1-FC</t>
        </is>
      </c>
      <c r="BC656" t="inlineStr">
        <is>
          <t>31.75-0-2.5-ERW 1-FC</t>
        </is>
      </c>
    </row>
    <row r="657">
      <c r="D657" t="n">
        <v>3571867</v>
      </c>
      <c r="E657" t="n">
        <v>1448371</v>
      </c>
      <c r="H657" t="inlineStr">
        <is>
          <t>SRIKAM HITECH ENGINEERING PRIVATE L</t>
        </is>
      </c>
      <c r="P657" t="n">
        <v>1244</v>
      </c>
      <c r="Q657" t="n">
        <v>1204</v>
      </c>
      <c r="W657" t="inlineStr">
        <is>
          <t>42.7-0-3.5-ERW 1-FC</t>
        </is>
      </c>
      <c r="BC657" t="inlineStr">
        <is>
          <t>31.75-25-3.37-CEW-CEW</t>
        </is>
      </c>
    </row>
    <row r="658">
      <c r="D658" t="n">
        <v>3571867</v>
      </c>
      <c r="E658" t="n">
        <v>3509030</v>
      </c>
      <c r="H658" t="inlineStr">
        <is>
          <t>SRIKAM HITECH ENGINEERING PRIVATE L</t>
        </is>
      </c>
      <c r="P658" t="n">
        <v>1245</v>
      </c>
      <c r="Q658" t="n">
        <v>1205</v>
      </c>
      <c r="W658" t="inlineStr">
        <is>
          <t>42.7-0-3.5-ERW 1-FC</t>
        </is>
      </c>
      <c r="BC658" t="inlineStr">
        <is>
          <t>32-0-4.5-CEW-CEW</t>
        </is>
      </c>
    </row>
    <row r="659">
      <c r="D659" t="n">
        <v>3571867</v>
      </c>
      <c r="E659" t="n">
        <v>2422183</v>
      </c>
      <c r="H659" t="inlineStr">
        <is>
          <t>SRIKAM HITECH ENGINEERING PRIVATE L</t>
        </is>
      </c>
      <c r="P659" t="n">
        <v>1246</v>
      </c>
      <c r="Q659" t="n">
        <v>1206</v>
      </c>
      <c r="W659" t="inlineStr">
        <is>
          <t>42.7-0-3.5-ERW 1-FC</t>
        </is>
      </c>
      <c r="BC659" t="inlineStr">
        <is>
          <t>32-0-4.5-CEW-CEW</t>
        </is>
      </c>
    </row>
    <row r="660">
      <c r="D660" t="n">
        <v>3571867</v>
      </c>
      <c r="E660" t="n">
        <v>3508742</v>
      </c>
      <c r="H660" t="inlineStr">
        <is>
          <t>SRIKAM HITECH ENGINEERING PRIVATE L</t>
        </is>
      </c>
      <c r="P660" t="n">
        <v>1247</v>
      </c>
      <c r="Q660" t="n">
        <v>1207</v>
      </c>
      <c r="W660" t="inlineStr">
        <is>
          <t>19.05-0-2.3-ERW 1-PE</t>
        </is>
      </c>
      <c r="BC660" t="inlineStr">
        <is>
          <t>32-0-4.5-CEW-CEW</t>
        </is>
      </c>
    </row>
    <row r="661">
      <c r="D661" t="n">
        <v>3571867</v>
      </c>
      <c r="E661" t="n">
        <v>1940738</v>
      </c>
      <c r="H661" t="inlineStr">
        <is>
          <t>A.R.Automotive And Engg Industries</t>
        </is>
      </c>
      <c r="P661" t="n">
        <v>1248</v>
      </c>
      <c r="Q661" t="n">
        <v>1208</v>
      </c>
      <c r="W661" t="inlineStr">
        <is>
          <t>19.05-0-2.3-ERW 1-PE</t>
        </is>
      </c>
      <c r="BC661" t="inlineStr">
        <is>
          <t>32-0-4.5-CEW-CEW</t>
        </is>
      </c>
    </row>
    <row r="662">
      <c r="D662" t="n">
        <v>3571867</v>
      </c>
      <c r="E662" t="n">
        <v>444029</v>
      </c>
      <c r="H662" t="inlineStr">
        <is>
          <t>A.R.Automotive And Engg Industries</t>
        </is>
      </c>
      <c r="P662" t="n">
        <v>1249</v>
      </c>
      <c r="Q662" t="n">
        <v>1209</v>
      </c>
      <c r="W662" t="inlineStr">
        <is>
          <t>19.05-0-2.3-ERW 1-PE</t>
        </is>
      </c>
      <c r="BC662" t="inlineStr">
        <is>
          <t>32-0-4.5-CEW-CEW</t>
        </is>
      </c>
    </row>
    <row r="663">
      <c r="D663" t="n">
        <v>3571867</v>
      </c>
      <c r="E663" t="n">
        <v>1903849</v>
      </c>
      <c r="H663" t="inlineStr">
        <is>
          <t>A.R.Automotive And Engg Industries</t>
        </is>
      </c>
      <c r="P663" t="n">
        <v>1257</v>
      </c>
      <c r="Q663" t="n">
        <v>1210</v>
      </c>
      <c r="W663" t="inlineStr">
        <is>
          <t>20-12.4-3.8-CEW-CEW</t>
        </is>
      </c>
      <c r="BC663" t="inlineStr">
        <is>
          <t>check tdc</t>
        </is>
      </c>
    </row>
    <row r="664">
      <c r="D664" t="n">
        <v>3571867</v>
      </c>
      <c r="E664" t="n">
        <v>1438332</v>
      </c>
      <c r="H664" t="inlineStr">
        <is>
          <t>SAKURA AUTOPARTS INDIA PRIVATE LIMI</t>
        </is>
      </c>
      <c r="P664" t="n">
        <v>1258</v>
      </c>
      <c r="Q664" t="n">
        <v>1211</v>
      </c>
      <c r="W664" t="inlineStr">
        <is>
          <t>20-12.4-3.8-CEW-CEW</t>
        </is>
      </c>
      <c r="BC664" t="inlineStr">
        <is>
          <t>33.3-29.3-2-CEW-CEW</t>
        </is>
      </c>
    </row>
    <row r="665">
      <c r="D665" t="n">
        <v>3571867</v>
      </c>
      <c r="E665" t="n">
        <v>3508985</v>
      </c>
      <c r="H665" t="inlineStr">
        <is>
          <t>SAKURA AUTOPARTS INDIA PRIVATE LIMI</t>
        </is>
      </c>
      <c r="P665" t="n">
        <v>1259</v>
      </c>
      <c r="Q665" t="n">
        <v>1212</v>
      </c>
      <c r="W665" t="inlineStr">
        <is>
          <t>20-12.4-3.8-CEW-CEW</t>
        </is>
      </c>
      <c r="BC665" t="inlineStr">
        <is>
          <t>33.3-29.3-2-CEW-CEW</t>
        </is>
      </c>
    </row>
    <row r="666">
      <c r="D666" t="n">
        <v>3571867</v>
      </c>
      <c r="E666" t="n">
        <v>1940739</v>
      </c>
      <c r="H666" t="inlineStr">
        <is>
          <t>SAKURA AUTOPARTS INDIA PRIVATE LIMI</t>
        </is>
      </c>
      <c r="P666" t="n">
        <v>1260</v>
      </c>
      <c r="Q666" t="n">
        <v>1213</v>
      </c>
      <c r="W666" t="inlineStr">
        <is>
          <t>54-0-3-ERW 2-FC</t>
        </is>
      </c>
      <c r="BC666" t="inlineStr">
        <is>
          <t>check tdc</t>
        </is>
      </c>
    </row>
    <row r="667">
      <c r="D667" t="n">
        <v>3571867</v>
      </c>
      <c r="E667" t="n">
        <v>437159</v>
      </c>
      <c r="H667" t="inlineStr">
        <is>
          <t>SAKURA AUTOPARTS INDIA PRIVATE LIMI</t>
        </is>
      </c>
      <c r="P667" t="n">
        <v>1261</v>
      </c>
      <c r="Q667" t="n">
        <v>1214</v>
      </c>
      <c r="W667" t="inlineStr">
        <is>
          <t>54-0-3-ERW 2-FC</t>
        </is>
      </c>
      <c r="BC667" t="inlineStr">
        <is>
          <t>check tdc</t>
        </is>
      </c>
    </row>
    <row r="668">
      <c r="D668" t="n">
        <v>3571868</v>
      </c>
      <c r="E668" t="n">
        <v>3774058</v>
      </c>
      <c r="H668" t="inlineStr">
        <is>
          <t>SAKURA AUTOPARTS INDIA PRIVATE LIMI</t>
        </is>
      </c>
      <c r="P668" t="n">
        <v>1262</v>
      </c>
      <c r="Q668" t="n">
        <v>1215</v>
      </c>
      <c r="W668" t="inlineStr">
        <is>
          <t>54-0-3-ERW 2-FC</t>
        </is>
      </c>
      <c r="BC668" t="inlineStr">
        <is>
          <t>34.93-0-1.2-ERW 1-FC</t>
        </is>
      </c>
    </row>
    <row r="669">
      <c r="D669" t="n">
        <v>3571868</v>
      </c>
      <c r="E669" t="n">
        <v>3516769</v>
      </c>
      <c r="H669" t="inlineStr">
        <is>
          <t>SAKURA AUTOPARTS INDIA PRIVATE LIMI</t>
        </is>
      </c>
      <c r="P669" t="n">
        <v>1264</v>
      </c>
      <c r="Q669" t="n">
        <v>1216</v>
      </c>
      <c r="W669" t="inlineStr">
        <is>
          <t>54-0-3-ERW 2-FC</t>
        </is>
      </c>
      <c r="BC669" t="inlineStr">
        <is>
          <t>check tdc for PE</t>
        </is>
      </c>
    </row>
    <row r="670">
      <c r="D670" t="n">
        <v>3571868</v>
      </c>
      <c r="E670" t="n">
        <v>1940743</v>
      </c>
      <c r="H670" t="inlineStr">
        <is>
          <t>Indo Autotech Limited (Unit V)</t>
        </is>
      </c>
      <c r="P670" t="n">
        <v>1265</v>
      </c>
      <c r="Q670" t="n">
        <v>1217</v>
      </c>
      <c r="W670" t="inlineStr">
        <is>
          <t>40-30-1.6-ERW 1-FC</t>
        </is>
      </c>
      <c r="BC670" t="inlineStr">
        <is>
          <t>check tdc for PE</t>
        </is>
      </c>
    </row>
    <row r="671">
      <c r="D671" t="n">
        <v>3571868</v>
      </c>
      <c r="E671" t="n">
        <v>1940744</v>
      </c>
      <c r="H671" t="inlineStr">
        <is>
          <t>MEGH STEELS PRIVATE LIMITED - TVS A</t>
        </is>
      </c>
      <c r="P671" t="n">
        <v>1271</v>
      </c>
      <c r="Q671" t="n">
        <v>1218</v>
      </c>
      <c r="W671" t="inlineStr">
        <is>
          <t>40-30-1.6-ERW 1-FC</t>
        </is>
      </c>
      <c r="BC671" t="inlineStr">
        <is>
          <t>34.93-0-1.2-ERW 1-FC</t>
        </is>
      </c>
    </row>
    <row r="672">
      <c r="D672" t="n">
        <v>3571868</v>
      </c>
      <c r="E672" t="n">
        <v>1308858</v>
      </c>
      <c r="H672" t="inlineStr">
        <is>
          <t>MEGH STEELS PRIVATE LIMITED - TVS A</t>
        </is>
      </c>
      <c r="P672" t="n">
        <v>1278</v>
      </c>
      <c r="Q672" t="n">
        <v>1231</v>
      </c>
      <c r="W672" t="inlineStr">
        <is>
          <t>40-30-1.6-ERW 1-FC</t>
        </is>
      </c>
      <c r="BC672" t="inlineStr">
        <is>
          <t>34.93-0-1.2-ERW 1-FC</t>
        </is>
      </c>
    </row>
    <row r="673">
      <c r="D673" t="n">
        <v>3571868</v>
      </c>
      <c r="E673" t="n">
        <v>1940745</v>
      </c>
      <c r="H673" t="inlineStr">
        <is>
          <t>Metalman Auto Private Limited</t>
        </is>
      </c>
      <c r="P673" t="n">
        <v>1279</v>
      </c>
      <c r="Q673" t="n">
        <v>1232</v>
      </c>
      <c r="W673" t="inlineStr">
        <is>
          <t>40-30-1.6-ERW 1-FC</t>
        </is>
      </c>
      <c r="BC673" t="inlineStr">
        <is>
          <t>34.93-0-1.2-ERW 1-FC</t>
        </is>
      </c>
    </row>
    <row r="674">
      <c r="D674" t="n">
        <v>3571868</v>
      </c>
      <c r="E674" t="n">
        <v>3191748</v>
      </c>
      <c r="H674" t="inlineStr">
        <is>
          <t>Metalman Auto Private Limited</t>
        </is>
      </c>
      <c r="P674" t="n">
        <v>1280</v>
      </c>
      <c r="Q674" t="n">
        <v>1235</v>
      </c>
      <c r="W674" t="inlineStr">
        <is>
          <t>40-30-1.6-ERW 1-FC</t>
        </is>
      </c>
      <c r="BC674" t="inlineStr">
        <is>
          <t>34.93-0-1.2-ERW 1-FC</t>
        </is>
      </c>
    </row>
    <row r="675">
      <c r="D675" t="n">
        <v>3571868</v>
      </c>
      <c r="E675" t="n">
        <v>3515521</v>
      </c>
      <c r="H675" t="inlineStr">
        <is>
          <t>ELKAYEM AUTO ANCILLARIES PVT LTD -U</t>
        </is>
      </c>
      <c r="P675" t="n">
        <v>1288</v>
      </c>
      <c r="Q675" t="n">
        <v>1236</v>
      </c>
      <c r="W675" t="inlineStr">
        <is>
          <t>40-30-1.6-ERW 1-FC</t>
        </is>
      </c>
      <c r="BC675" t="inlineStr">
        <is>
          <t>34.93-0-1.2-ERW 1-FC</t>
        </is>
      </c>
    </row>
    <row r="676">
      <c r="D676" t="n">
        <v>3571868</v>
      </c>
      <c r="E676" t="n">
        <v>3500959</v>
      </c>
      <c r="H676" t="inlineStr">
        <is>
          <t>ELKAYEM AUTO ANCILLARIES PVT LTD -U</t>
        </is>
      </c>
      <c r="P676" t="n">
        <v>1289</v>
      </c>
      <c r="Q676" t="n">
        <v>1237</v>
      </c>
      <c r="W676" t="inlineStr">
        <is>
          <t>40-30-1.6-ERW 1-FC</t>
        </is>
      </c>
      <c r="BC676" t="inlineStr">
        <is>
          <t>34.93-0-1.2-ERW 1-FC</t>
        </is>
      </c>
    </row>
    <row r="677">
      <c r="D677" t="n">
        <v>3571868</v>
      </c>
      <c r="E677" t="n">
        <v>3502253</v>
      </c>
      <c r="H677" t="inlineStr">
        <is>
          <t>ELKAYEM AUTO ANCILLARIES PVT LTD -U</t>
        </is>
      </c>
      <c r="P677" t="n">
        <v>1290</v>
      </c>
      <c r="Q677" t="n">
        <v>1238</v>
      </c>
      <c r="W677" t="inlineStr">
        <is>
          <t>40-30-1.6-ERW 1-FC</t>
        </is>
      </c>
      <c r="BC677" t="inlineStr">
        <is>
          <t>34.93-0-1.6-ERW 1-FC</t>
        </is>
      </c>
    </row>
    <row r="678">
      <c r="D678" t="n">
        <v>3571868</v>
      </c>
      <c r="E678" t="n">
        <v>3442534</v>
      </c>
      <c r="H678" t="inlineStr">
        <is>
          <t>ELKAYEM AUTO ANCILLARIES PRIVATE LI</t>
        </is>
      </c>
      <c r="P678" t="n">
        <v>1294</v>
      </c>
      <c r="Q678" t="n">
        <v>1239</v>
      </c>
      <c r="W678" t="inlineStr">
        <is>
          <t>40-30-1.6-ERW 1-FC</t>
        </is>
      </c>
      <c r="BC678" t="inlineStr">
        <is>
          <t>34.93-0-1.6-ERW 1-FC</t>
        </is>
      </c>
    </row>
    <row r="679">
      <c r="D679" t="n">
        <v>3571868</v>
      </c>
      <c r="E679" t="n">
        <v>3682063</v>
      </c>
      <c r="H679" t="inlineStr">
        <is>
          <t>ELKAYEM AUTO ANCILLARIES PRIVATE LI</t>
        </is>
      </c>
      <c r="P679" t="n">
        <v>1294</v>
      </c>
      <c r="Q679" t="n">
        <v>1240</v>
      </c>
      <c r="W679" t="inlineStr">
        <is>
          <t>40-30-1.6-ERW 1-FC</t>
        </is>
      </c>
      <c r="BC679" t="inlineStr">
        <is>
          <t>34.93-0-1.6-ERW 1-FC</t>
        </is>
      </c>
    </row>
    <row r="680">
      <c r="D680" t="n">
        <v>3571868</v>
      </c>
      <c r="E680" t="n">
        <v>3533164</v>
      </c>
      <c r="H680" t="inlineStr">
        <is>
          <t>ELKAYEM AUTO ANCILLARIES PRIVATE LI</t>
        </is>
      </c>
      <c r="P680" t="n">
        <v>1295</v>
      </c>
      <c r="Q680" t="n">
        <v>1241</v>
      </c>
      <c r="W680" t="inlineStr">
        <is>
          <t>40-30-1.6-ERW 1-FC</t>
        </is>
      </c>
      <c r="BC680" t="inlineStr">
        <is>
          <t>check tdc for PE</t>
        </is>
      </c>
    </row>
    <row r="681">
      <c r="D681" t="n">
        <v>3571868</v>
      </c>
      <c r="E681" t="n">
        <v>257093</v>
      </c>
      <c r="H681" t="inlineStr">
        <is>
          <t>Skb Industries</t>
        </is>
      </c>
      <c r="P681" t="n">
        <v>1295</v>
      </c>
      <c r="Q681" t="n">
        <v>1242</v>
      </c>
      <c r="W681" t="inlineStr">
        <is>
          <t>40-30-1.6-ERW 1-FC</t>
        </is>
      </c>
      <c r="BC681" t="inlineStr">
        <is>
          <t>check tdc for PE</t>
        </is>
      </c>
    </row>
    <row r="682">
      <c r="D682" t="n">
        <v>3230487</v>
      </c>
      <c r="E682" t="n">
        <v>3509424</v>
      </c>
      <c r="H682" t="inlineStr">
        <is>
          <t>Skb Industries</t>
        </is>
      </c>
      <c r="P682" t="n">
        <v>1296</v>
      </c>
      <c r="Q682" t="n">
        <v>1243</v>
      </c>
      <c r="W682" t="inlineStr">
        <is>
          <t>40-30-1.6-ERW 1-FC</t>
        </is>
      </c>
      <c r="BC682" t="inlineStr">
        <is>
          <t>check tdc for PE</t>
        </is>
      </c>
    </row>
    <row r="683">
      <c r="D683" t="n">
        <v>3230487</v>
      </c>
      <c r="E683" t="n">
        <v>1529742</v>
      </c>
      <c r="H683" t="inlineStr">
        <is>
          <t>Skb Industries</t>
        </is>
      </c>
      <c r="P683" t="n">
        <v>1296</v>
      </c>
      <c r="Q683" t="n">
        <v>1244</v>
      </c>
      <c r="W683" t="inlineStr">
        <is>
          <t>40-30-1.6-ERW 1-FC</t>
        </is>
      </c>
      <c r="BC683" t="inlineStr">
        <is>
          <t>check tdc for thickness</t>
        </is>
      </c>
    </row>
    <row r="684">
      <c r="D684" t="n">
        <v>3230487</v>
      </c>
      <c r="E684" t="n">
        <v>3788034</v>
      </c>
      <c r="H684" t="inlineStr">
        <is>
          <t>Sandhar EngineeringPvt.Ltd.(KA)-Uni</t>
        </is>
      </c>
      <c r="P684" t="n">
        <v>1297</v>
      </c>
      <c r="Q684" t="n">
        <v>1245</v>
      </c>
      <c r="W684" t="inlineStr">
        <is>
          <t>40-30-1.6-ERW 1-FC</t>
        </is>
      </c>
      <c r="BC684" t="inlineStr">
        <is>
          <t>check tdc for PE</t>
        </is>
      </c>
    </row>
    <row r="685">
      <c r="D685" t="n">
        <v>3230487</v>
      </c>
      <c r="E685" t="n">
        <v>3500240</v>
      </c>
      <c r="H685" t="inlineStr">
        <is>
          <t>Kay Jay Forgings Pvt Ltd Unit Vi</t>
        </is>
      </c>
      <c r="P685" t="n">
        <v>1297</v>
      </c>
      <c r="Q685" t="n">
        <v>1246</v>
      </c>
      <c r="W685" t="inlineStr">
        <is>
          <t>40-30-1.6-ERW 1-FC</t>
        </is>
      </c>
      <c r="BC685" t="inlineStr">
        <is>
          <t>check tdc for PE</t>
        </is>
      </c>
    </row>
    <row r="686">
      <c r="D686" t="n">
        <v>3230487</v>
      </c>
      <c r="E686" t="n">
        <v>3502007</v>
      </c>
      <c r="H686" t="inlineStr">
        <is>
          <t>A.S.(E) Exports Pvt.Ltd.</t>
        </is>
      </c>
      <c r="P686" t="n">
        <v>1298</v>
      </c>
      <c r="Q686" t="n">
        <v>1247</v>
      </c>
      <c r="W686" t="inlineStr">
        <is>
          <t>40-30-1.6-ERW 1-FC</t>
        </is>
      </c>
      <c r="BC686" t="inlineStr">
        <is>
          <t>check tdc for PE</t>
        </is>
      </c>
    </row>
    <row r="687">
      <c r="D687" t="n">
        <v>3230487</v>
      </c>
      <c r="E687" t="n">
        <v>3747392</v>
      </c>
      <c r="H687" t="inlineStr">
        <is>
          <t>SURYA STEELS</t>
        </is>
      </c>
      <c r="P687" t="n">
        <v>1298</v>
      </c>
      <c r="Q687" t="n">
        <v>1248</v>
      </c>
      <c r="W687" t="inlineStr">
        <is>
          <t>40-30-1.6-ERW 1-FC</t>
        </is>
      </c>
      <c r="BC687" t="inlineStr">
        <is>
          <t>check tdc for PE</t>
        </is>
      </c>
    </row>
    <row r="688">
      <c r="D688" t="n">
        <v>3230487</v>
      </c>
      <c r="E688" t="n">
        <v>1940779</v>
      </c>
      <c r="H688" t="inlineStr">
        <is>
          <t>SREE VENKATESWARA ENTERPRISES</t>
        </is>
      </c>
      <c r="P688" t="n">
        <v>1299</v>
      </c>
      <c r="Q688" t="n">
        <v>1249</v>
      </c>
      <c r="W688" t="inlineStr">
        <is>
          <t>40-30-1.6-ERW 1-FC</t>
        </is>
      </c>
      <c r="BC688" t="inlineStr">
        <is>
          <t>check tdc for thickness</t>
        </is>
      </c>
    </row>
    <row r="689">
      <c r="D689" t="n">
        <v>3230487</v>
      </c>
      <c r="E689" t="n">
        <v>3784540</v>
      </c>
      <c r="H689" t="inlineStr">
        <is>
          <t>SREE VENKATESWARA ENTERPRISES</t>
        </is>
      </c>
      <c r="P689" t="n">
        <v>1299</v>
      </c>
      <c r="Q689" t="n">
        <v>1257</v>
      </c>
      <c r="W689" t="inlineStr">
        <is>
          <t>40-30-1.6-ERW 1-FC</t>
        </is>
      </c>
      <c r="BC689" t="inlineStr">
        <is>
          <t>34.93-0-2.3-ERW 2-FC-Ampere</t>
        </is>
      </c>
    </row>
    <row r="690">
      <c r="D690" t="n">
        <v>3230487</v>
      </c>
      <c r="E690" t="n">
        <v>1938125</v>
      </c>
      <c r="H690" t="inlineStr">
        <is>
          <t>Indo Autotech Limited (Unit V)</t>
        </is>
      </c>
      <c r="P690" t="n">
        <v>1300</v>
      </c>
      <c r="Q690" t="n">
        <v>1258</v>
      </c>
      <c r="W690" t="inlineStr">
        <is>
          <t>40-30-1.6-ERW 1-FC</t>
        </is>
      </c>
      <c r="BC690" t="inlineStr">
        <is>
          <t>34.93-0-2.3-ERW 2-FC-Ampere</t>
        </is>
      </c>
    </row>
    <row r="691">
      <c r="D691" t="n">
        <v>3230487</v>
      </c>
      <c r="E691" t="n">
        <v>1130592</v>
      </c>
      <c r="H691" t="inlineStr">
        <is>
          <t>Surya Steels</t>
        </is>
      </c>
      <c r="P691" t="n">
        <v>1300</v>
      </c>
      <c r="Q691" t="n">
        <v>1259</v>
      </c>
      <c r="W691" t="inlineStr">
        <is>
          <t>40-30-1.6-ERW 1-FC</t>
        </is>
      </c>
      <c r="BC691" t="inlineStr">
        <is>
          <t>34.93-0-2.3-ERW 2-FC-Ampere</t>
        </is>
      </c>
    </row>
    <row r="692">
      <c r="D692" t="n">
        <v>3230487</v>
      </c>
      <c r="E692" t="n">
        <v>329678</v>
      </c>
      <c r="H692" t="inlineStr">
        <is>
          <t>Surya Steels</t>
        </is>
      </c>
      <c r="P692" t="n">
        <v>1301</v>
      </c>
      <c r="Q692" t="n">
        <v>1260</v>
      </c>
      <c r="W692" t="inlineStr">
        <is>
          <t>40-30-1.6-ERW 1-FC</t>
        </is>
      </c>
      <c r="BC692" t="inlineStr">
        <is>
          <t>34.93-0-2.3-ERW 2-FC-Ampere</t>
        </is>
      </c>
    </row>
    <row r="693">
      <c r="D693" t="n">
        <v>3230487</v>
      </c>
      <c r="E693" t="n">
        <v>1116276</v>
      </c>
      <c r="H693" t="inlineStr">
        <is>
          <t>Surya Steels</t>
        </is>
      </c>
      <c r="P693" t="n">
        <v>1302</v>
      </c>
      <c r="Q693" t="n">
        <v>1261</v>
      </c>
      <c r="W693" t="inlineStr">
        <is>
          <t>40-30-1.6-ERW 1-FC</t>
        </is>
      </c>
      <c r="BC693" t="inlineStr">
        <is>
          <t>34.93-0-2.3-ERW 2-FC-Ampere</t>
        </is>
      </c>
    </row>
    <row r="694">
      <c r="D694" t="n">
        <v>3230487</v>
      </c>
      <c r="E694" t="n">
        <v>1116782</v>
      </c>
      <c r="H694" t="inlineStr">
        <is>
          <t>Surya Steels</t>
        </is>
      </c>
      <c r="P694" t="n">
        <v>1303</v>
      </c>
      <c r="Q694" t="n">
        <v>1262</v>
      </c>
      <c r="W694" t="inlineStr">
        <is>
          <t>40-30-1.6-ERW 1-FC</t>
        </is>
      </c>
      <c r="BC694" t="inlineStr">
        <is>
          <t>34.93-0-2.3-ERW 2-FC-Ampere</t>
        </is>
      </c>
    </row>
    <row r="695">
      <c r="D695" t="n">
        <v>3230487</v>
      </c>
      <c r="E695" t="n">
        <v>1116686</v>
      </c>
      <c r="H695" t="inlineStr">
        <is>
          <t>Surya Steels</t>
        </is>
      </c>
      <c r="P695" t="n">
        <v>1304</v>
      </c>
      <c r="Q695" t="n">
        <v>1264</v>
      </c>
      <c r="W695" t="inlineStr">
        <is>
          <t>40-30-1.6-ERW 1-FC</t>
        </is>
      </c>
      <c r="BC695" t="inlineStr">
        <is>
          <t>34.93-0-2.6-ERW 1-FC</t>
        </is>
      </c>
    </row>
    <row r="696">
      <c r="D696" t="n">
        <v>3230487</v>
      </c>
      <c r="E696" t="n">
        <v>431498</v>
      </c>
      <c r="H696" t="inlineStr">
        <is>
          <t>Surya Steels</t>
        </is>
      </c>
      <c r="P696" t="n">
        <v>1305</v>
      </c>
      <c r="Q696" t="n">
        <v>1265</v>
      </c>
      <c r="W696" t="inlineStr">
        <is>
          <t>21.7-16.2-2.75-CEW-CEW</t>
        </is>
      </c>
      <c r="BC696" t="inlineStr">
        <is>
          <t>34.93-0-2.6-ERW 1-FC</t>
        </is>
      </c>
    </row>
    <row r="697">
      <c r="D697" t="n">
        <v>3230487</v>
      </c>
      <c r="E697" t="n">
        <v>3842022</v>
      </c>
      <c r="H697" t="inlineStr">
        <is>
          <t>Surya Steels</t>
        </is>
      </c>
      <c r="P697" t="n">
        <v>1308</v>
      </c>
      <c r="Q697" t="n">
        <v>1266</v>
      </c>
      <c r="W697" t="inlineStr">
        <is>
          <t>22.23-0-2.3-ERW 1-PE</t>
        </is>
      </c>
      <c r="BC697" t="inlineStr">
        <is>
          <t>34.93-0-2.6-ERW 1-FC</t>
        </is>
      </c>
    </row>
    <row r="698">
      <c r="D698" t="n">
        <v>3230487</v>
      </c>
      <c r="E698" t="n">
        <v>349227</v>
      </c>
      <c r="H698" t="inlineStr">
        <is>
          <t>Surya Steels</t>
        </is>
      </c>
      <c r="P698" t="n">
        <v>1309</v>
      </c>
      <c r="Q698" t="n">
        <v>1267</v>
      </c>
      <c r="W698" t="inlineStr">
        <is>
          <t>22.23-0-2.3-ERW 1-PE</t>
        </is>
      </c>
      <c r="BC698" t="inlineStr">
        <is>
          <t>34.93-0-2.6-ERW 1-FC</t>
        </is>
      </c>
    </row>
    <row r="699">
      <c r="D699" t="n">
        <v>3230487</v>
      </c>
      <c r="E699" t="n">
        <v>3501038</v>
      </c>
      <c r="H699" t="inlineStr">
        <is>
          <t>Surya Steels</t>
        </is>
      </c>
      <c r="P699" t="n">
        <v>1316</v>
      </c>
      <c r="Q699" t="n">
        <v>1268</v>
      </c>
      <c r="W699" t="inlineStr">
        <is>
          <t>22.23-0-2.3-ERW 1-PE</t>
        </is>
      </c>
      <c r="BC699" t="inlineStr">
        <is>
          <t>check tdc</t>
        </is>
      </c>
    </row>
    <row r="700">
      <c r="D700" t="n">
        <v>3230487</v>
      </c>
      <c r="E700" t="n">
        <v>3572046</v>
      </c>
      <c r="H700" t="inlineStr">
        <is>
          <t>Surya Steels</t>
        </is>
      </c>
      <c r="P700" t="n">
        <v>1317</v>
      </c>
      <c r="Q700" t="n">
        <v>1269</v>
      </c>
      <c r="W700" t="inlineStr">
        <is>
          <t>22.23-0-2.3-ERW 1-PE</t>
        </is>
      </c>
      <c r="BC700" t="inlineStr">
        <is>
          <t>check tdc</t>
        </is>
      </c>
    </row>
    <row r="701">
      <c r="D701" t="n">
        <v>3230487</v>
      </c>
      <c r="E701" t="n">
        <v>3572047</v>
      </c>
      <c r="H701" t="inlineStr">
        <is>
          <t>Surya Steels</t>
        </is>
      </c>
      <c r="P701" t="n">
        <v>1327</v>
      </c>
      <c r="Q701" t="n">
        <v>1270</v>
      </c>
      <c r="W701" t="inlineStr">
        <is>
          <t>22.23-0-2.3-ERW 1-PE</t>
        </is>
      </c>
      <c r="BC701" t="inlineStr">
        <is>
          <t>check tdc</t>
        </is>
      </c>
    </row>
    <row r="702">
      <c r="D702" t="n">
        <v>3230487</v>
      </c>
      <c r="E702" t="n">
        <v>3584174</v>
      </c>
      <c r="H702" t="inlineStr">
        <is>
          <t>Surya Steels</t>
        </is>
      </c>
      <c r="P702" t="n">
        <v>1331</v>
      </c>
      <c r="Q702" t="n">
        <v>1271</v>
      </c>
      <c r="W702" t="inlineStr">
        <is>
          <t>22.23-0-2.3-ERW 1-PE</t>
        </is>
      </c>
      <c r="BC702" t="inlineStr">
        <is>
          <t>check tdc</t>
        </is>
      </c>
    </row>
    <row r="703">
      <c r="D703" t="n">
        <v>3230487</v>
      </c>
      <c r="E703" t="n">
        <v>3230467</v>
      </c>
      <c r="H703" t="inlineStr">
        <is>
          <t>Surya Steels</t>
        </is>
      </c>
      <c r="P703" t="n">
        <v>1332</v>
      </c>
      <c r="Q703" t="n">
        <v>1278</v>
      </c>
      <c r="W703" t="inlineStr">
        <is>
          <t>22.23-0-2.3-ERW 1-PE</t>
        </is>
      </c>
      <c r="BC703" t="inlineStr">
        <is>
          <t>check tdc</t>
        </is>
      </c>
    </row>
    <row r="704">
      <c r="D704" t="n">
        <v>3230487</v>
      </c>
      <c r="E704" t="n">
        <v>3584171</v>
      </c>
      <c r="H704" t="inlineStr">
        <is>
          <t>Surya Steels</t>
        </is>
      </c>
      <c r="P704" t="n">
        <v>1333</v>
      </c>
      <c r="Q704" t="n">
        <v>1279</v>
      </c>
      <c r="W704" t="inlineStr">
        <is>
          <t>25.4-0-2.5-CEW-CEW</t>
        </is>
      </c>
      <c r="BC704" t="inlineStr">
        <is>
          <t>check thickness tdc</t>
        </is>
      </c>
    </row>
    <row r="705">
      <c r="D705" t="n">
        <v>3230487</v>
      </c>
      <c r="E705" t="n">
        <v>3572048</v>
      </c>
      <c r="H705" t="inlineStr">
        <is>
          <t>Surya Steels</t>
        </is>
      </c>
      <c r="P705" t="n">
        <v>1334</v>
      </c>
      <c r="Q705" t="n">
        <v>1280</v>
      </c>
      <c r="W705" t="inlineStr">
        <is>
          <t>25.4-0-2.5-CEW-CEW</t>
        </is>
      </c>
      <c r="BC705" t="inlineStr">
        <is>
          <t>37.6-31.2-3.2-CEW-CEW</t>
        </is>
      </c>
    </row>
    <row r="706">
      <c r="D706" t="n">
        <v>3230487</v>
      </c>
      <c r="E706" t="n">
        <v>3675690</v>
      </c>
      <c r="H706" t="inlineStr">
        <is>
          <t>Surya Steels</t>
        </is>
      </c>
      <c r="P706" t="n">
        <v>1335</v>
      </c>
      <c r="Q706" t="n">
        <v>1287</v>
      </c>
      <c r="W706" t="inlineStr">
        <is>
          <t>25.4-0-2.5-CEW-CEW</t>
        </is>
      </c>
      <c r="BC706" t="inlineStr">
        <is>
          <t>37.6-31.2-3.2-CEW-CEW</t>
        </is>
      </c>
    </row>
    <row r="707">
      <c r="D707" t="n">
        <v>3230487</v>
      </c>
      <c r="E707" t="n">
        <v>3676011</v>
      </c>
      <c r="H707" t="inlineStr">
        <is>
          <t>Surya Steels</t>
        </is>
      </c>
      <c r="P707" t="n">
        <v>1336</v>
      </c>
      <c r="Q707" t="n">
        <v>1288</v>
      </c>
      <c r="W707" t="inlineStr">
        <is>
          <t>25.4-0-2.5-CEW-CEW</t>
        </is>
      </c>
      <c r="BC707" t="inlineStr">
        <is>
          <t>37.95-32-2.95-CEW-CEW</t>
        </is>
      </c>
    </row>
    <row r="708">
      <c r="D708" t="n">
        <v>3230487</v>
      </c>
      <c r="E708" t="n">
        <v>3676012</v>
      </c>
      <c r="H708" t="inlineStr">
        <is>
          <t>Surya Steels</t>
        </is>
      </c>
      <c r="P708" t="n">
        <v>1337</v>
      </c>
      <c r="Q708" t="n">
        <v>1289</v>
      </c>
      <c r="W708" t="inlineStr">
        <is>
          <t>42.7-0-3.5-ERW 1-FC</t>
        </is>
      </c>
      <c r="BC708" t="inlineStr">
        <is>
          <t>37.95-32-2.95-CEW-CEW</t>
        </is>
      </c>
    </row>
    <row r="709">
      <c r="D709" t="n">
        <v>3230487</v>
      </c>
      <c r="E709" t="n">
        <v>3572049</v>
      </c>
      <c r="H709" t="inlineStr">
        <is>
          <t>Surya Steels</t>
        </is>
      </c>
      <c r="P709" t="n">
        <v>1338</v>
      </c>
      <c r="Q709" t="n">
        <v>1290</v>
      </c>
      <c r="W709" t="inlineStr">
        <is>
          <t>42.7-0-3.5-ERW 1-FC</t>
        </is>
      </c>
      <c r="BC709" t="inlineStr">
        <is>
          <t>37.95-32-2.95-CEW-CEW</t>
        </is>
      </c>
    </row>
    <row r="710">
      <c r="D710" t="n">
        <v>3230487</v>
      </c>
      <c r="E710" t="n">
        <v>3572050</v>
      </c>
      <c r="H710" t="inlineStr">
        <is>
          <t>Surya Steels</t>
        </is>
      </c>
      <c r="P710" t="n">
        <v>1339</v>
      </c>
      <c r="Q710" t="n">
        <v>1294</v>
      </c>
      <c r="W710" t="inlineStr">
        <is>
          <t>42.7-0-3.5-ERW 1-FC</t>
        </is>
      </c>
      <c r="BC710" t="inlineStr">
        <is>
          <t>check tdc for PE</t>
        </is>
      </c>
    </row>
    <row r="711">
      <c r="D711" t="n">
        <v>3234371</v>
      </c>
      <c r="E711" t="n">
        <v>3676013</v>
      </c>
      <c r="H711" t="inlineStr">
        <is>
          <t>Surya Steels</t>
        </is>
      </c>
      <c r="P711" t="n">
        <v>1340</v>
      </c>
      <c r="Q711" t="n">
        <v>1295</v>
      </c>
      <c r="W711" t="inlineStr">
        <is>
          <t>42.7-0-3.5-ERW 1-FC</t>
        </is>
      </c>
      <c r="BC711" t="inlineStr">
        <is>
          <t>38.1-0-1.6-ERW 1-FC</t>
        </is>
      </c>
    </row>
    <row r="712">
      <c r="D712" t="n">
        <v>3234371</v>
      </c>
      <c r="E712" t="n">
        <v>3572051</v>
      </c>
      <c r="H712" t="inlineStr">
        <is>
          <t>Surya Steels</t>
        </is>
      </c>
      <c r="P712" t="n">
        <v>1343</v>
      </c>
      <c r="Q712" t="n">
        <v>1296</v>
      </c>
      <c r="W712" t="inlineStr">
        <is>
          <t>42.7-0-3.5-ERW 1-FC</t>
        </is>
      </c>
      <c r="BC712" t="inlineStr">
        <is>
          <t>38.1-0-1.6-ERW 1-FC</t>
        </is>
      </c>
    </row>
    <row r="713">
      <c r="D713" t="n">
        <v>3234371</v>
      </c>
      <c r="E713" t="n">
        <v>3676014</v>
      </c>
      <c r="H713" t="inlineStr">
        <is>
          <t>Surya Steels</t>
        </is>
      </c>
      <c r="P713" t="n">
        <v>1344</v>
      </c>
      <c r="Q713" t="n">
        <v>1297</v>
      </c>
      <c r="W713" t="inlineStr">
        <is>
          <t>42.7-0-3.5-ERW 1-FC</t>
        </is>
      </c>
      <c r="BC713" t="inlineStr">
        <is>
          <t>38.1-0-1.6-ERW 1-FC</t>
        </is>
      </c>
    </row>
    <row r="714">
      <c r="D714" t="n">
        <v>3234371</v>
      </c>
      <c r="E714" t="n">
        <v>3676015</v>
      </c>
      <c r="H714" t="inlineStr">
        <is>
          <t>Surya Steels</t>
        </is>
      </c>
      <c r="P714" t="n">
        <v>1345</v>
      </c>
      <c r="Q714" t="n">
        <v>1298</v>
      </c>
      <c r="W714" t="inlineStr">
        <is>
          <t>31.75-25-3.37-CEW-CEW</t>
        </is>
      </c>
      <c r="BC714" t="inlineStr">
        <is>
          <t>38.1-0-1.6-ERW 1-FC</t>
        </is>
      </c>
    </row>
    <row r="715">
      <c r="D715" t="n">
        <v>3234371</v>
      </c>
      <c r="E715" t="n">
        <v>3572052</v>
      </c>
      <c r="H715" t="inlineStr">
        <is>
          <t>Surya Steels</t>
        </is>
      </c>
      <c r="P715" t="n">
        <v>1346</v>
      </c>
      <c r="Q715" t="n">
        <v>1299</v>
      </c>
      <c r="W715" t="inlineStr">
        <is>
          <t>31.75-25-3.37-CEW-CEW</t>
        </is>
      </c>
      <c r="BC715" t="inlineStr">
        <is>
          <t>38.1-0-1.6-ERW 1-FC</t>
        </is>
      </c>
    </row>
    <row r="716">
      <c r="D716" t="n">
        <v>3234371</v>
      </c>
      <c r="E716" t="n">
        <v>3676016</v>
      </c>
      <c r="H716" t="inlineStr">
        <is>
          <t>Surya Steels</t>
        </is>
      </c>
      <c r="P716" t="n">
        <v>1349</v>
      </c>
      <c r="Q716" t="n">
        <v>1300</v>
      </c>
      <c r="W716" t="inlineStr">
        <is>
          <t>31.75-25-3.37-CEW-CEW</t>
        </is>
      </c>
      <c r="BC716" t="inlineStr">
        <is>
          <t>38.1-0-1.6-ERW 2 MAHS-FC</t>
        </is>
      </c>
    </row>
    <row r="717">
      <c r="D717" t="n">
        <v>3234371</v>
      </c>
      <c r="E717" t="n">
        <v>3676017</v>
      </c>
      <c r="H717" t="inlineStr">
        <is>
          <t>Surya Steels</t>
        </is>
      </c>
      <c r="P717" t="n">
        <v>1350</v>
      </c>
      <c r="Q717" t="n">
        <v>1301</v>
      </c>
      <c r="W717" t="inlineStr">
        <is>
          <t>25.4-0-2-ERW 1-FC</t>
        </is>
      </c>
      <c r="BC717" t="inlineStr">
        <is>
          <t>38.1-0-1.6-ERW 2 MAHS-FC</t>
        </is>
      </c>
    </row>
    <row r="718">
      <c r="D718" t="n">
        <v>3234371</v>
      </c>
      <c r="E718" t="n">
        <v>3572053</v>
      </c>
      <c r="H718" t="inlineStr">
        <is>
          <t>Surya Steels</t>
        </is>
      </c>
      <c r="P718" t="n">
        <v>1351</v>
      </c>
      <c r="Q718" t="n">
        <v>1302</v>
      </c>
      <c r="W718" t="inlineStr">
        <is>
          <t>25.4-0-2-ERW 1-FC</t>
        </is>
      </c>
      <c r="BC718" t="inlineStr">
        <is>
          <t>38.1-0-1.6-ERW 1-FC</t>
        </is>
      </c>
    </row>
    <row r="719">
      <c r="D719" t="n">
        <v>3234371</v>
      </c>
      <c r="E719" t="n">
        <v>3572054</v>
      </c>
      <c r="H719" t="inlineStr">
        <is>
          <t>Surya Steels</t>
        </is>
      </c>
      <c r="P719" t="n">
        <v>1352</v>
      </c>
      <c r="Q719" t="n">
        <v>1303</v>
      </c>
      <c r="W719" t="inlineStr">
        <is>
          <t>25.4-0-2-ERW 1-FC</t>
        </is>
      </c>
      <c r="BC719" t="inlineStr">
        <is>
          <t>38.1-0-1.6-ERW 2 MAHS-FC</t>
        </is>
      </c>
    </row>
    <row r="720">
      <c r="D720" t="n">
        <v>3234371</v>
      </c>
      <c r="E720" t="n">
        <v>3230465</v>
      </c>
      <c r="H720" t="inlineStr">
        <is>
          <t>Surya Steels</t>
        </is>
      </c>
      <c r="P720" t="n">
        <v>1353</v>
      </c>
      <c r="Q720" t="n">
        <v>1304</v>
      </c>
      <c r="W720" t="inlineStr">
        <is>
          <t>25.4-0-2-ERW 1-FC</t>
        </is>
      </c>
      <c r="BC720" t="inlineStr">
        <is>
          <t>38.1-0-1.6-ERW 2 MAHS-FC</t>
        </is>
      </c>
    </row>
    <row r="721">
      <c r="D721" t="n">
        <v>3234371</v>
      </c>
      <c r="E721" t="n">
        <v>3230470</v>
      </c>
      <c r="H721" t="inlineStr">
        <is>
          <t>Surya Steels</t>
        </is>
      </c>
      <c r="P721" t="n">
        <v>1354</v>
      </c>
      <c r="Q721" t="n">
        <v>1305</v>
      </c>
      <c r="W721" t="inlineStr">
        <is>
          <t>25.4-0-2-ERW 1-FC</t>
        </is>
      </c>
      <c r="BC721" t="inlineStr">
        <is>
          <t>38.1-0-1.6-ERW 1-FC</t>
        </is>
      </c>
    </row>
    <row r="722">
      <c r="D722" t="n">
        <v>3234371</v>
      </c>
      <c r="E722" t="n">
        <v>3676018</v>
      </c>
      <c r="H722" t="inlineStr">
        <is>
          <t>Surya Steels</t>
        </is>
      </c>
      <c r="P722" t="n">
        <v>1355</v>
      </c>
      <c r="Q722" t="n">
        <v>1308</v>
      </c>
      <c r="W722" t="inlineStr">
        <is>
          <t>25.4-0-2-ERW 1-FC</t>
        </is>
      </c>
      <c r="BC722" t="inlineStr">
        <is>
          <t>38.1-0-1.6-ERW 1-FC</t>
        </is>
      </c>
    </row>
    <row r="723">
      <c r="D723" t="n">
        <v>3234371</v>
      </c>
      <c r="E723" t="n">
        <v>3597713</v>
      </c>
      <c r="H723" t="inlineStr">
        <is>
          <t>Surya Steels</t>
        </is>
      </c>
      <c r="P723" t="n">
        <v>1356</v>
      </c>
      <c r="Q723" t="n">
        <v>1309</v>
      </c>
      <c r="W723" t="inlineStr">
        <is>
          <t>25.4-0-2-ERW 1-FC</t>
        </is>
      </c>
      <c r="BC723" t="inlineStr">
        <is>
          <t>38.1-0-1.6-ERW 1-FC</t>
        </is>
      </c>
    </row>
    <row r="724">
      <c r="D724" t="n">
        <v>3234371</v>
      </c>
      <c r="E724" t="n">
        <v>3597714</v>
      </c>
      <c r="H724" t="inlineStr">
        <is>
          <t>Surya Steels</t>
        </is>
      </c>
      <c r="P724" t="n">
        <v>1357</v>
      </c>
      <c r="Q724" t="n">
        <v>1316</v>
      </c>
      <c r="W724" t="inlineStr">
        <is>
          <t>31.75-0-1.2-ERW 1-PE</t>
        </is>
      </c>
      <c r="BC724" t="inlineStr">
        <is>
          <t>38.1-0-1.6-ERW 2 MAHS-FC</t>
        </is>
      </c>
    </row>
    <row r="725">
      <c r="D725" t="n">
        <v>3234371</v>
      </c>
      <c r="E725" t="n">
        <v>3233559</v>
      </c>
      <c r="H725" t="inlineStr">
        <is>
          <t>Surya Steels</t>
        </is>
      </c>
      <c r="P725" t="n">
        <v>1358</v>
      </c>
      <c r="Q725" t="n">
        <v>1317</v>
      </c>
      <c r="W725" t="inlineStr">
        <is>
          <t>31.75-0-1.2-ERW 1-PE</t>
        </is>
      </c>
      <c r="BC725" t="inlineStr">
        <is>
          <t>38.1-0-1.6-ERW 1-FC</t>
        </is>
      </c>
    </row>
    <row r="726">
      <c r="D726" t="n">
        <v>3234371</v>
      </c>
      <c r="E726" t="n">
        <v>3233557</v>
      </c>
      <c r="H726" t="inlineStr">
        <is>
          <t>Surya Steels</t>
        </is>
      </c>
      <c r="P726" t="n">
        <v>1359</v>
      </c>
      <c r="Q726" t="n">
        <v>1323</v>
      </c>
      <c r="W726" t="inlineStr">
        <is>
          <t>31.75-0-1.2-ERW 1-PE</t>
        </is>
      </c>
      <c r="BC726" t="inlineStr">
        <is>
          <t>38.1-0-1.6-ERW 2 MAHS-FC</t>
        </is>
      </c>
    </row>
    <row r="727">
      <c r="D727" t="n">
        <v>3234371</v>
      </c>
      <c r="E727" t="n">
        <v>3233556</v>
      </c>
      <c r="H727" t="inlineStr">
        <is>
          <t>Surya Steels</t>
        </is>
      </c>
      <c r="P727" t="n">
        <v>1360</v>
      </c>
      <c r="Q727" t="n">
        <v>1324</v>
      </c>
      <c r="W727" t="inlineStr">
        <is>
          <t>28.58-0-1.2-ERW 1-PE</t>
        </is>
      </c>
      <c r="BC727" t="inlineStr">
        <is>
          <t>38.1-0-1.6-ERW 1-FC</t>
        </is>
      </c>
    </row>
    <row r="728">
      <c r="D728" t="n">
        <v>3234371</v>
      </c>
      <c r="E728" t="n">
        <v>3233555</v>
      </c>
      <c r="H728" t="inlineStr">
        <is>
          <t>Surya Steels</t>
        </is>
      </c>
      <c r="P728" t="n">
        <v>1361</v>
      </c>
      <c r="Q728" t="n">
        <v>1325</v>
      </c>
      <c r="W728" t="inlineStr">
        <is>
          <t>28.58-0-1.2-ERW 1-PE</t>
        </is>
      </c>
      <c r="BC728" t="inlineStr">
        <is>
          <t>38.1-0-1.6-ERW 1-FC</t>
        </is>
      </c>
    </row>
    <row r="729">
      <c r="D729" t="n">
        <v>3234371</v>
      </c>
      <c r="E729" t="n">
        <v>3233554</v>
      </c>
      <c r="H729" t="inlineStr">
        <is>
          <t>Surya Steels</t>
        </is>
      </c>
      <c r="P729" t="n">
        <v>1362</v>
      </c>
      <c r="Q729" t="n">
        <v>1326</v>
      </c>
      <c r="W729" t="inlineStr">
        <is>
          <t>28.58-0-1.2-ERW 1-PE</t>
        </is>
      </c>
      <c r="BC729" t="inlineStr">
        <is>
          <t>38.1-0-2-ERW 1-FC</t>
        </is>
      </c>
    </row>
    <row r="730">
      <c r="D730" t="n">
        <v>3234371</v>
      </c>
      <c r="E730" t="n">
        <v>3233553</v>
      </c>
      <c r="H730" t="inlineStr">
        <is>
          <t>Surya Steels</t>
        </is>
      </c>
      <c r="P730" t="n">
        <v>1363</v>
      </c>
      <c r="Q730" t="n">
        <v>1327</v>
      </c>
      <c r="W730" t="inlineStr">
        <is>
          <t>28.58-0-1.2-ERW 1-PE</t>
        </is>
      </c>
      <c r="BC730" t="inlineStr">
        <is>
          <t>38.1-0-2-ERW 1-PE</t>
        </is>
      </c>
    </row>
    <row r="731">
      <c r="D731" t="n">
        <v>3234371</v>
      </c>
      <c r="E731" t="n">
        <v>1940801</v>
      </c>
      <c r="H731" t="inlineStr">
        <is>
          <t>Surya Steels</t>
        </is>
      </c>
      <c r="P731" t="n">
        <v>1363</v>
      </c>
      <c r="Q731" t="n">
        <v>1331</v>
      </c>
      <c r="W731" t="inlineStr">
        <is>
          <t>28.58-0-1.2-ERW 1-PE</t>
        </is>
      </c>
      <c r="BC731" t="inlineStr">
        <is>
          <t>38.1-0-2-ERW 1-PE</t>
        </is>
      </c>
    </row>
    <row r="732">
      <c r="D732" t="n">
        <v>3234371</v>
      </c>
      <c r="E732" t="n">
        <v>1940807</v>
      </c>
      <c r="H732" t="inlineStr">
        <is>
          <t>Surya Steels</t>
        </is>
      </c>
      <c r="P732" t="n">
        <v>1364</v>
      </c>
      <c r="Q732" t="n">
        <v>1332</v>
      </c>
      <c r="W732" t="inlineStr">
        <is>
          <t>40-40-1.2-CRFH-PE</t>
        </is>
      </c>
      <c r="BC732" t="inlineStr">
        <is>
          <t>38.1-0-2-ERW 1-FC</t>
        </is>
      </c>
    </row>
    <row r="733">
      <c r="D733" t="n">
        <v>3234371</v>
      </c>
      <c r="E733" t="n">
        <v>1940815</v>
      </c>
      <c r="H733" t="inlineStr">
        <is>
          <t>SURYA STEELS</t>
        </is>
      </c>
      <c r="P733" t="n">
        <v>1364</v>
      </c>
      <c r="Q733" t="n">
        <v>1333</v>
      </c>
      <c r="W733" t="inlineStr">
        <is>
          <t>40-40-1.2-CRFH-PE</t>
        </is>
      </c>
      <c r="BC733" t="inlineStr">
        <is>
          <t>38.1-0-2-ERW 1-FC</t>
        </is>
      </c>
    </row>
    <row r="734">
      <c r="D734" t="n">
        <v>3234371</v>
      </c>
      <c r="E734" t="n">
        <v>2440971</v>
      </c>
      <c r="H734" t="inlineStr">
        <is>
          <t>SURYA STEELS</t>
        </is>
      </c>
      <c r="P734" t="n">
        <v>1365</v>
      </c>
      <c r="Q734" t="n">
        <v>1334</v>
      </c>
      <c r="W734" t="inlineStr">
        <is>
          <t>40-40-1.2-CRFH-PE</t>
        </is>
      </c>
      <c r="BC734" t="inlineStr">
        <is>
          <t>38.1-0-2-ERW 1-FC</t>
        </is>
      </c>
    </row>
    <row r="735">
      <c r="D735" t="n">
        <v>3234371</v>
      </c>
      <c r="E735" t="n">
        <v>3768905</v>
      </c>
      <c r="H735" t="inlineStr">
        <is>
          <t>Surya Steels</t>
        </is>
      </c>
      <c r="P735" t="n">
        <v>1365</v>
      </c>
      <c r="Q735" t="n">
        <v>1335</v>
      </c>
      <c r="W735" t="inlineStr">
        <is>
          <t>40-40-1.2-CRFH-PE</t>
        </is>
      </c>
      <c r="BC735" t="inlineStr">
        <is>
          <t>38.1-0-2-ERW 1-FC</t>
        </is>
      </c>
    </row>
    <row r="736">
      <c r="D736" t="n">
        <v>3234371</v>
      </c>
      <c r="E736" t="n">
        <v>1940821</v>
      </c>
      <c r="H736" t="inlineStr">
        <is>
          <t>Surya Steels</t>
        </is>
      </c>
      <c r="P736" t="n">
        <v>1366</v>
      </c>
      <c r="Q736" t="n">
        <v>1336</v>
      </c>
      <c r="W736" t="inlineStr">
        <is>
          <t>40-40-1.2-CRFH-PE</t>
        </is>
      </c>
      <c r="BC736" t="inlineStr">
        <is>
          <t>38.1-0-2-ERW 1-FC</t>
        </is>
      </c>
    </row>
    <row r="737">
      <c r="D737" t="n">
        <v>3234371</v>
      </c>
      <c r="E737" t="n">
        <v>3438761</v>
      </c>
      <c r="H737" t="inlineStr">
        <is>
          <t>Surya Steels</t>
        </is>
      </c>
      <c r="P737" t="n">
        <v>1366</v>
      </c>
      <c r="Q737" t="n">
        <v>1337</v>
      </c>
      <c r="W737" t="inlineStr">
        <is>
          <t>40-40-1.2-CRFH-PE</t>
        </is>
      </c>
      <c r="BC737" t="inlineStr">
        <is>
          <t>38.1-0-2-ERW 1-FC</t>
        </is>
      </c>
    </row>
    <row r="738">
      <c r="D738" t="n">
        <v>3234371</v>
      </c>
      <c r="E738" t="n">
        <v>1940822</v>
      </c>
      <c r="H738" t="inlineStr">
        <is>
          <t>Surya Steels</t>
        </is>
      </c>
      <c r="P738" t="n">
        <v>1367</v>
      </c>
      <c r="Q738" t="n">
        <v>1338</v>
      </c>
      <c r="W738" t="inlineStr">
        <is>
          <t>40-40-1.2-CRFH-PE</t>
        </is>
      </c>
      <c r="BC738" t="inlineStr">
        <is>
          <t>38.1-0-2-ERW 1-FC</t>
        </is>
      </c>
    </row>
    <row r="739">
      <c r="D739" t="n">
        <v>3234371</v>
      </c>
      <c r="E739" t="n">
        <v>3786201</v>
      </c>
      <c r="H739" t="inlineStr">
        <is>
          <t>Surya Steels</t>
        </is>
      </c>
      <c r="P739" t="n">
        <v>1367</v>
      </c>
      <c r="Q739" t="n">
        <v>1339</v>
      </c>
      <c r="W739" t="inlineStr">
        <is>
          <t>40-40-1.2-CRFH-PE</t>
        </is>
      </c>
      <c r="BC739" t="inlineStr">
        <is>
          <t>38.1-0-2-ERW 1-FC</t>
        </is>
      </c>
    </row>
    <row r="740">
      <c r="D740" t="n">
        <v>3230488</v>
      </c>
      <c r="E740" t="n">
        <v>1940823</v>
      </c>
      <c r="H740" t="inlineStr">
        <is>
          <t>Surya Steels</t>
        </is>
      </c>
      <c r="P740" t="n">
        <v>1368</v>
      </c>
      <c r="Q740" t="n">
        <v>1340</v>
      </c>
      <c r="W740" t="inlineStr">
        <is>
          <t>40-20-1.2-CRFH-PE</t>
        </is>
      </c>
      <c r="BC740" t="inlineStr">
        <is>
          <t>38.1-0-2-ERW 1-FC</t>
        </is>
      </c>
    </row>
    <row r="741">
      <c r="D741" t="n">
        <v>3230488</v>
      </c>
      <c r="E741" t="n">
        <v>3801265</v>
      </c>
      <c r="H741" t="inlineStr">
        <is>
          <t>Surya Steels</t>
        </is>
      </c>
      <c r="P741" t="n">
        <v>1369</v>
      </c>
      <c r="Q741" t="n">
        <v>1341</v>
      </c>
      <c r="W741" t="inlineStr">
        <is>
          <t>40-20-1.2-CRFH-PE</t>
        </is>
      </c>
      <c r="BC741" t="inlineStr">
        <is>
          <t>38.1-0-2-ERW 1-FC</t>
        </is>
      </c>
    </row>
    <row r="742">
      <c r="D742" t="n">
        <v>3230488</v>
      </c>
      <c r="E742" t="n">
        <v>1940825</v>
      </c>
      <c r="H742" t="inlineStr">
        <is>
          <t>Surya Steels</t>
        </is>
      </c>
      <c r="P742" t="n">
        <v>1370</v>
      </c>
      <c r="Q742" t="n">
        <v>1342</v>
      </c>
      <c r="W742" t="inlineStr">
        <is>
          <t>40-20-1.2-CRFH-PE</t>
        </is>
      </c>
      <c r="BC742" t="inlineStr">
        <is>
          <t>38.1-0-2-ERW 1-FC</t>
        </is>
      </c>
    </row>
    <row r="743">
      <c r="D743" t="n">
        <v>3230488</v>
      </c>
      <c r="E743" t="n">
        <v>3786202</v>
      </c>
      <c r="H743" t="inlineStr">
        <is>
          <t>Surya Steels</t>
        </is>
      </c>
      <c r="P743" t="n">
        <v>1371</v>
      </c>
      <c r="Q743" t="n">
        <v>1343</v>
      </c>
      <c r="W743" t="inlineStr">
        <is>
          <t>40-30-2-ERW 1-FC</t>
        </is>
      </c>
      <c r="BC743" t="inlineStr">
        <is>
          <t>38.1-0-2-ERW 1-FC</t>
        </is>
      </c>
    </row>
    <row r="744">
      <c r="D744" t="n">
        <v>3230488</v>
      </c>
      <c r="E744" t="n">
        <v>2430125</v>
      </c>
      <c r="H744" t="inlineStr">
        <is>
          <t>Surya Steels</t>
        </is>
      </c>
      <c r="P744" t="n">
        <v>1372</v>
      </c>
      <c r="Q744" t="n">
        <v>1344</v>
      </c>
      <c r="W744" t="inlineStr">
        <is>
          <t>22.23-0-1.2-ERW 1-PE</t>
        </is>
      </c>
      <c r="BC744" t="inlineStr">
        <is>
          <t>38.1-0-2-ERW 1-FC</t>
        </is>
      </c>
    </row>
    <row r="745">
      <c r="D745" t="n">
        <v>3230488</v>
      </c>
      <c r="E745" t="n">
        <v>1940826</v>
      </c>
      <c r="H745" t="inlineStr">
        <is>
          <t>SURYA STEELS</t>
        </is>
      </c>
      <c r="P745" t="n">
        <v>1373</v>
      </c>
      <c r="Q745" t="n">
        <v>1345</v>
      </c>
      <c r="W745" t="inlineStr">
        <is>
          <t>22.23-0-1.2-ERW 1-PE</t>
        </is>
      </c>
      <c r="BC745" t="inlineStr">
        <is>
          <t>38.1-0-2-ERW 1-FC</t>
        </is>
      </c>
    </row>
    <row r="746">
      <c r="D746" t="n">
        <v>3230488</v>
      </c>
      <c r="E746" t="n">
        <v>1932559</v>
      </c>
      <c r="H746" t="inlineStr">
        <is>
          <t>SURYA STEELS</t>
        </is>
      </c>
      <c r="P746" t="n">
        <v>1374</v>
      </c>
      <c r="Q746" t="n">
        <v>1346</v>
      </c>
      <c r="W746" t="inlineStr">
        <is>
          <t>22.23-0-1.2-ERW 1-PE</t>
        </is>
      </c>
      <c r="BC746" t="inlineStr">
        <is>
          <t>38.1-0-2-ERW 1-FC</t>
        </is>
      </c>
    </row>
    <row r="747">
      <c r="D747" t="n">
        <v>3230488</v>
      </c>
      <c r="E747" t="n">
        <v>1940829</v>
      </c>
      <c r="H747" t="inlineStr">
        <is>
          <t>SURYA STEELS</t>
        </is>
      </c>
      <c r="P747" t="n">
        <v>1375</v>
      </c>
      <c r="Q747" t="n">
        <v>1349</v>
      </c>
      <c r="W747" t="inlineStr">
        <is>
          <t>22.23-0-1.2-ERW 1-PE</t>
        </is>
      </c>
      <c r="BC747" t="inlineStr">
        <is>
          <t>check usage for grade</t>
        </is>
      </c>
    </row>
    <row r="748">
      <c r="D748" t="n">
        <v>3230488</v>
      </c>
      <c r="E748" t="n">
        <v>1941860</v>
      </c>
      <c r="H748" t="inlineStr">
        <is>
          <t>SURYA STEELS</t>
        </is>
      </c>
      <c r="P748" t="n">
        <v>1376</v>
      </c>
      <c r="Q748" t="n">
        <v>1350</v>
      </c>
      <c r="W748" t="inlineStr">
        <is>
          <t>22.23-0-1.6-ERW 1-PE</t>
        </is>
      </c>
      <c r="BC748" t="inlineStr">
        <is>
          <t>check usage for grade</t>
        </is>
      </c>
    </row>
    <row r="749">
      <c r="D749" t="n">
        <v>3230488</v>
      </c>
      <c r="E749" t="n">
        <v>3712521</v>
      </c>
      <c r="H749" t="inlineStr">
        <is>
          <t>SURYA STEELS</t>
        </is>
      </c>
      <c r="P749" t="n">
        <v>1377</v>
      </c>
      <c r="Q749" t="n">
        <v>1351</v>
      </c>
      <c r="W749" t="inlineStr">
        <is>
          <t>22.23-0-1.6-ERW 1-PE</t>
        </is>
      </c>
      <c r="BC749" t="inlineStr">
        <is>
          <t>38.1-0-2-ERW 1-FC</t>
        </is>
      </c>
    </row>
    <row r="750">
      <c r="D750" t="n">
        <v>3230488</v>
      </c>
      <c r="E750" t="n">
        <v>3616912</v>
      </c>
      <c r="H750" t="inlineStr">
        <is>
          <t>SURYA STEELS</t>
        </is>
      </c>
      <c r="P750" t="n">
        <v>1378</v>
      </c>
      <c r="Q750" t="n">
        <v>1352</v>
      </c>
      <c r="W750" t="inlineStr">
        <is>
          <t>22.23-0-1.6-ERW 1-PE</t>
        </is>
      </c>
      <c r="BC750" t="inlineStr">
        <is>
          <t>38.1-0-2-ERW 1-FC</t>
        </is>
      </c>
    </row>
    <row r="751">
      <c r="D751" t="n">
        <v>3230488</v>
      </c>
      <c r="E751" t="n">
        <v>1940830</v>
      </c>
      <c r="H751" t="inlineStr">
        <is>
          <t>SURYA STEELS</t>
        </is>
      </c>
      <c r="P751" t="n">
        <v>1379</v>
      </c>
      <c r="Q751" t="n">
        <v>1353</v>
      </c>
      <c r="W751" t="inlineStr">
        <is>
          <t>48.6-0-1.2-ERW 1-FC</t>
        </is>
      </c>
      <c r="BC751" t="inlineStr">
        <is>
          <t>check usage for grade</t>
        </is>
      </c>
    </row>
    <row r="752">
      <c r="D752" t="n">
        <v>3230488</v>
      </c>
      <c r="E752" t="n">
        <v>1940831</v>
      </c>
      <c r="H752" t="inlineStr">
        <is>
          <t>SURYA STEELS</t>
        </is>
      </c>
      <c r="P752" t="n">
        <v>1380</v>
      </c>
      <c r="Q752" t="n">
        <v>1354</v>
      </c>
      <c r="W752" t="inlineStr">
        <is>
          <t>48.6-0-1.2-ERW 1-FC</t>
        </is>
      </c>
      <c r="BC752" t="inlineStr">
        <is>
          <t>38.1-0-2-ERW 1-FC</t>
        </is>
      </c>
    </row>
    <row r="753">
      <c r="D753" t="n">
        <v>3230488</v>
      </c>
      <c r="E753" t="n">
        <v>3441727</v>
      </c>
      <c r="H753" t="inlineStr">
        <is>
          <t>SURYA STEELS</t>
        </is>
      </c>
      <c r="P753" t="n">
        <v>1381</v>
      </c>
      <c r="Q753" t="n">
        <v>1355</v>
      </c>
      <c r="W753" t="inlineStr">
        <is>
          <t>48.6-0-1.2-ERW 1-FC</t>
        </is>
      </c>
      <c r="BC753" t="inlineStr">
        <is>
          <t>38.1-0-2-ERW 1-FC</t>
        </is>
      </c>
    </row>
    <row r="754">
      <c r="D754" t="n">
        <v>3230488</v>
      </c>
      <c r="E754" t="n">
        <v>1940832</v>
      </c>
      <c r="H754" t="inlineStr">
        <is>
          <t>Surya Steels</t>
        </is>
      </c>
      <c r="P754" t="n">
        <v>1382</v>
      </c>
      <c r="Q754" t="n">
        <v>1356</v>
      </c>
      <c r="W754" t="inlineStr">
        <is>
          <t>48.6-0-1.2-ERW 1-FC</t>
        </is>
      </c>
      <c r="BC754" t="inlineStr">
        <is>
          <t>38.1-0-2-ERW 1-PE</t>
        </is>
      </c>
    </row>
    <row r="755">
      <c r="D755" t="n">
        <v>3230488</v>
      </c>
      <c r="E755" t="n">
        <v>1940833</v>
      </c>
      <c r="H755" t="inlineStr">
        <is>
          <t>Surya Steels</t>
        </is>
      </c>
      <c r="P755" t="n">
        <v>1383</v>
      </c>
      <c r="Q755" t="n">
        <v>1357</v>
      </c>
      <c r="W755" t="inlineStr">
        <is>
          <t>48.6-0-1.2-ERW 1-FC</t>
        </is>
      </c>
      <c r="BC755" t="inlineStr">
        <is>
          <t>38.1-0-2.5-ERW 2 MAHS-FC</t>
        </is>
      </c>
    </row>
    <row r="756">
      <c r="D756" t="n">
        <v>3230488</v>
      </c>
      <c r="E756" t="n">
        <v>3569651</v>
      </c>
      <c r="H756" t="inlineStr">
        <is>
          <t>SURYA STEELS</t>
        </is>
      </c>
      <c r="P756" t="n">
        <v>1384</v>
      </c>
      <c r="Q756" t="n">
        <v>1358</v>
      </c>
      <c r="W756" t="inlineStr">
        <is>
          <t>48.6-0-1.2-ERW 1-FC</t>
        </is>
      </c>
      <c r="BC756" t="inlineStr">
        <is>
          <t>38.1-0-2.5-ERW 2 MAHS-FC</t>
        </is>
      </c>
    </row>
    <row r="757">
      <c r="D757" t="n">
        <v>3230488</v>
      </c>
      <c r="E757" t="n">
        <v>1940837</v>
      </c>
      <c r="H757" t="inlineStr">
        <is>
          <t>MEGH STEELS PRIVATE LIMITED - HMSIL</t>
        </is>
      </c>
      <c r="P757" t="n">
        <v>1385</v>
      </c>
      <c r="Q757" t="n">
        <v>1359</v>
      </c>
      <c r="W757" t="inlineStr">
        <is>
          <t>38.1-0-2-ERW 1-FC</t>
        </is>
      </c>
      <c r="BC757" t="inlineStr">
        <is>
          <t>38.1-0-2.5-ERW 2 MAHS-FC</t>
        </is>
      </c>
    </row>
    <row r="758">
      <c r="D758" t="n">
        <v>3230488</v>
      </c>
      <c r="E758" t="n">
        <v>1940838</v>
      </c>
      <c r="H758" t="inlineStr">
        <is>
          <t>MEGH STEELS PRIVATE LIMITED - HMSIL</t>
        </is>
      </c>
      <c r="P758" t="n">
        <v>1386</v>
      </c>
      <c r="Q758" t="n">
        <v>1360</v>
      </c>
      <c r="W758" t="inlineStr">
        <is>
          <t>38.1-0-2-ERW 1-FC</t>
        </is>
      </c>
      <c r="BC758" t="inlineStr">
        <is>
          <t>38.1-0-2.5-ERW 2 MAHS-FC</t>
        </is>
      </c>
    </row>
    <row r="759">
      <c r="D759" t="n">
        <v>3230488</v>
      </c>
      <c r="E759" t="n">
        <v>1940840</v>
      </c>
      <c r="H759" t="inlineStr">
        <is>
          <t>A.S.(E) Exports Pvt.Ltd.</t>
        </is>
      </c>
      <c r="P759" t="n">
        <v>1387</v>
      </c>
      <c r="Q759" t="n">
        <v>1361</v>
      </c>
      <c r="W759" t="inlineStr">
        <is>
          <t>22.23-0-1.6-ERW 1-PE</t>
        </is>
      </c>
      <c r="BC759" t="inlineStr">
        <is>
          <t>38.1-0-2.5-ERW 2 MAHS-FC</t>
        </is>
      </c>
    </row>
    <row r="760">
      <c r="D760" t="n">
        <v>3230488</v>
      </c>
      <c r="E760" t="n">
        <v>3474555</v>
      </c>
      <c r="H760" t="inlineStr">
        <is>
          <t>Rajsriya Automotive Industries(P)</t>
        </is>
      </c>
      <c r="P760" t="n">
        <v>1388</v>
      </c>
      <c r="Q760" t="n">
        <v>1362</v>
      </c>
      <c r="W760" t="inlineStr">
        <is>
          <t>22.23-0-1.6-ERW 1-PE</t>
        </is>
      </c>
      <c r="BC760" t="inlineStr">
        <is>
          <t>38.1-0-2.5-ERW 2 MAHS-FC</t>
        </is>
      </c>
    </row>
    <row r="761">
      <c r="D761" t="n">
        <v>3230488</v>
      </c>
      <c r="E761" t="n">
        <v>3569652</v>
      </c>
      <c r="H761" t="inlineStr">
        <is>
          <t>SURYA STEELS</t>
        </is>
      </c>
      <c r="P761" t="n">
        <v>1389</v>
      </c>
      <c r="Q761" t="n">
        <v>1363</v>
      </c>
      <c r="W761" t="inlineStr">
        <is>
          <t>22.23-0-1.6-ERW 1-PE</t>
        </is>
      </c>
      <c r="BC761" t="inlineStr">
        <is>
          <t>38.1-0-2.5-ERW 2 MAHS-FC</t>
        </is>
      </c>
    </row>
    <row r="762">
      <c r="D762" t="n">
        <v>3230488</v>
      </c>
      <c r="E762" t="n">
        <v>1940849</v>
      </c>
      <c r="H762" t="inlineStr">
        <is>
          <t>SURYA STEELS</t>
        </is>
      </c>
      <c r="P762" t="n">
        <v>1392</v>
      </c>
      <c r="Q762" t="n">
        <v>1364</v>
      </c>
      <c r="W762" t="inlineStr">
        <is>
          <t>22.23-0-1.6-ERW 1-PE</t>
        </is>
      </c>
      <c r="BC762" t="inlineStr">
        <is>
          <t>check thickness usage</t>
        </is>
      </c>
    </row>
    <row r="763">
      <c r="D763" t="n">
        <v>3230488</v>
      </c>
      <c r="E763" t="n">
        <v>1940850</v>
      </c>
      <c r="H763" t="inlineStr">
        <is>
          <t>Surya Steels</t>
        </is>
      </c>
      <c r="P763" t="n">
        <v>1393</v>
      </c>
      <c r="Q763" t="n">
        <v>1365</v>
      </c>
      <c r="W763" t="inlineStr">
        <is>
          <t>22.23-0-1.6-ERW 1-PE</t>
        </is>
      </c>
      <c r="BC763" t="inlineStr">
        <is>
          <t>38.1-0-3.66-ERW 1-FC</t>
        </is>
      </c>
    </row>
    <row r="764">
      <c r="D764" t="n">
        <v>3230488</v>
      </c>
      <c r="E764" t="n">
        <v>3584172</v>
      </c>
      <c r="H764" t="inlineStr">
        <is>
          <t>Surya Steels</t>
        </is>
      </c>
      <c r="P764" t="n">
        <v>1394</v>
      </c>
      <c r="Q764" t="n">
        <v>1366</v>
      </c>
      <c r="W764" t="inlineStr">
        <is>
          <t>25.4-0-2-ERW 1-FC</t>
        </is>
      </c>
      <c r="BC764" t="inlineStr">
        <is>
          <t>38.1-0-3.66-ERW 1-FC</t>
        </is>
      </c>
    </row>
    <row r="765">
      <c r="D765" t="n">
        <v>3230488</v>
      </c>
      <c r="E765" t="n">
        <v>3572055</v>
      </c>
      <c r="H765" t="inlineStr">
        <is>
          <t>Surya Steels</t>
        </is>
      </c>
      <c r="P765" t="n">
        <v>1395</v>
      </c>
      <c r="Q765" t="n">
        <v>1367</v>
      </c>
      <c r="W765" t="inlineStr">
        <is>
          <t>25.4-0-2-ERW 1-FC</t>
        </is>
      </c>
      <c r="BC765" t="inlineStr">
        <is>
          <t>39-34-2.5-CEW-CEW</t>
        </is>
      </c>
    </row>
    <row r="766">
      <c r="D766" t="n">
        <v>3230488</v>
      </c>
      <c r="E766" t="n">
        <v>3828833</v>
      </c>
      <c r="H766" t="inlineStr">
        <is>
          <t>Surya Steels</t>
        </is>
      </c>
      <c r="P766" t="n">
        <v>1396</v>
      </c>
      <c r="Q766" t="n">
        <v>1368</v>
      </c>
      <c r="W766" t="inlineStr">
        <is>
          <t>25.4-0-2-ERW 1-FC</t>
        </is>
      </c>
      <c r="BC766" t="inlineStr">
        <is>
          <t>39-34-2.5-CEW-CEW</t>
        </is>
      </c>
    </row>
    <row r="767">
      <c r="D767" t="n">
        <v>3230488</v>
      </c>
      <c r="E767" t="n">
        <v>1940852</v>
      </c>
      <c r="H767" t="inlineStr">
        <is>
          <t>Surya Steels</t>
        </is>
      </c>
      <c r="P767" t="n">
        <v>1396</v>
      </c>
      <c r="Q767" t="n">
        <v>1369</v>
      </c>
      <c r="W767" t="inlineStr">
        <is>
          <t>25.4-0-2-ERW 1-FC</t>
        </is>
      </c>
      <c r="BC767" t="inlineStr">
        <is>
          <t>39-34-2.5-CEW-CEW</t>
        </is>
      </c>
    </row>
    <row r="768">
      <c r="D768" t="n">
        <v>3230488</v>
      </c>
      <c r="E768" t="n">
        <v>3466052</v>
      </c>
      <c r="H768" t="inlineStr">
        <is>
          <t>Surya Steels</t>
        </is>
      </c>
      <c r="P768" t="n">
        <v>1397</v>
      </c>
      <c r="Q768" t="n">
        <v>1370</v>
      </c>
      <c r="W768" t="inlineStr">
        <is>
          <t>25.4-0-2-ERW 1-FC</t>
        </is>
      </c>
      <c r="BC768" t="inlineStr">
        <is>
          <t>39-34-2.5-CEW-CEW</t>
        </is>
      </c>
    </row>
    <row r="769">
      <c r="D769" t="n">
        <v>3571869</v>
      </c>
      <c r="E769" t="n">
        <v>3500639</v>
      </c>
      <c r="H769" t="inlineStr">
        <is>
          <t>SREE VENKATESWARA ENTERPRISES</t>
        </is>
      </c>
      <c r="P769" t="n">
        <v>1398</v>
      </c>
      <c r="Q769" t="n">
        <v>1371</v>
      </c>
      <c r="W769" t="inlineStr">
        <is>
          <t>25.4-0-2-ERW 1-FC</t>
        </is>
      </c>
      <c r="BC769" t="inlineStr">
        <is>
          <t>SLT-40-5.8-Rane-SLT</t>
        </is>
      </c>
    </row>
    <row r="770">
      <c r="D770" t="n">
        <v>3571869</v>
      </c>
      <c r="E770" t="n">
        <v>3087646</v>
      </c>
      <c r="H770" t="inlineStr">
        <is>
          <t>SREE VENKATESWARA ENTERPRISES</t>
        </is>
      </c>
      <c r="P770" t="n">
        <v>1399</v>
      </c>
      <c r="Q770" t="n">
        <v>1372</v>
      </c>
      <c r="W770" t="inlineStr">
        <is>
          <t>25.4-0-2-ERW 1-FC</t>
        </is>
      </c>
      <c r="BC770" t="inlineStr">
        <is>
          <t>SLT-40-5.8-Rane-SLT</t>
        </is>
      </c>
    </row>
    <row r="771">
      <c r="D771" t="n">
        <v>3571869</v>
      </c>
      <c r="E771" t="n">
        <v>3186831</v>
      </c>
      <c r="H771" t="inlineStr">
        <is>
          <t>SREE VENKATESWARA ENTERPRISES</t>
        </is>
      </c>
      <c r="P771" t="n">
        <v>1400</v>
      </c>
      <c r="Q771" t="n">
        <v>1373</v>
      </c>
      <c r="W771" t="inlineStr">
        <is>
          <t>25.4-0-2-ERW 1-FC</t>
        </is>
      </c>
      <c r="BC771" t="inlineStr">
        <is>
          <t>SLT-40-5.8-Rane-SLT</t>
        </is>
      </c>
    </row>
    <row r="772">
      <c r="D772" t="n">
        <v>3571869</v>
      </c>
      <c r="E772" t="n">
        <v>3509829</v>
      </c>
      <c r="H772" t="inlineStr">
        <is>
          <t>A.S.(E) Exports Pvt.Ltd.</t>
        </is>
      </c>
      <c r="P772" t="n">
        <v>1401</v>
      </c>
      <c r="Q772" t="n">
        <v>1374</v>
      </c>
      <c r="W772" t="inlineStr">
        <is>
          <t>25.4-0-2-ERW 1-FC</t>
        </is>
      </c>
      <c r="BC772" t="inlineStr">
        <is>
          <t>SLT-40-5.8-Rane-SLT</t>
        </is>
      </c>
    </row>
    <row r="773">
      <c r="D773" t="n">
        <v>3571869</v>
      </c>
      <c r="E773" t="n">
        <v>3214495</v>
      </c>
      <c r="H773" t="inlineStr">
        <is>
          <t>A.S.(E) Exports Pvt.Ltd.</t>
        </is>
      </c>
      <c r="P773" t="n">
        <v>1402</v>
      </c>
      <c r="Q773" t="n">
        <v>1375</v>
      </c>
      <c r="W773" t="inlineStr">
        <is>
          <t>25.4-0-2-ERW 1-FC</t>
        </is>
      </c>
      <c r="BC773" t="inlineStr">
        <is>
          <t>SLT-40-5.8-Rane-SLT</t>
        </is>
      </c>
    </row>
    <row r="774">
      <c r="D774" t="n">
        <v>3571869</v>
      </c>
      <c r="E774" t="n">
        <v>3502252</v>
      </c>
      <c r="H774" t="inlineStr">
        <is>
          <t>MEGH STEELS PRIVATE LIMITED - TVS A</t>
        </is>
      </c>
      <c r="P774" t="n">
        <v>1403</v>
      </c>
      <c r="Q774" t="n">
        <v>1376</v>
      </c>
      <c r="W774" t="inlineStr">
        <is>
          <t>22.23-0-1.6-ERW 1-PE</t>
        </is>
      </c>
      <c r="BC774" t="inlineStr">
        <is>
          <t>SLT-40-5.8-Rane-SLT</t>
        </is>
      </c>
    </row>
    <row r="775">
      <c r="D775" t="n">
        <v>3571869</v>
      </c>
      <c r="E775" t="n">
        <v>3239889</v>
      </c>
      <c r="H775" t="inlineStr">
        <is>
          <t>MEGH STEELS PRIVATE LIMITED - TVS A</t>
        </is>
      </c>
      <c r="P775" t="n">
        <v>1404</v>
      </c>
      <c r="Q775" t="n">
        <v>1377</v>
      </c>
      <c r="W775" t="inlineStr">
        <is>
          <t>22.23-0-1.6-ERW 1-PE</t>
        </is>
      </c>
      <c r="BC775" t="inlineStr">
        <is>
          <t>SLT-40-5.8-Rane-SLT</t>
        </is>
      </c>
    </row>
    <row r="776">
      <c r="D776" t="n">
        <v>3571869</v>
      </c>
      <c r="E776" t="n">
        <v>3539418</v>
      </c>
      <c r="H776" t="inlineStr">
        <is>
          <t>MEGH STEELS PRIVATE LIMITED - TVS A</t>
        </is>
      </c>
      <c r="P776" t="n">
        <v>1405</v>
      </c>
      <c r="Q776" t="n">
        <v>1378</v>
      </c>
      <c r="W776" t="inlineStr">
        <is>
          <t>22.23-0-1.6-ERW 1-PE</t>
        </is>
      </c>
      <c r="BC776" t="inlineStr">
        <is>
          <t>SLT-40-5.8-Rane-SLT</t>
        </is>
      </c>
    </row>
    <row r="777">
      <c r="D777" t="n">
        <v>3571869</v>
      </c>
      <c r="E777" t="n">
        <v>2403433</v>
      </c>
      <c r="H777" t="inlineStr">
        <is>
          <t>MEGH STEELS PRIVATE LIMITED - TVS A</t>
        </is>
      </c>
      <c r="P777" t="n">
        <v>1406</v>
      </c>
      <c r="Q777" t="n">
        <v>1379</v>
      </c>
      <c r="W777" t="inlineStr">
        <is>
          <t>22.23-0-1.6-ERW 1-PE</t>
        </is>
      </c>
      <c r="BC777" t="inlineStr">
        <is>
          <t>SLT-40-5.8-Rane-SLT</t>
        </is>
      </c>
    </row>
    <row r="778">
      <c r="D778" t="n">
        <v>3571869</v>
      </c>
      <c r="E778" t="n">
        <v>280076</v>
      </c>
      <c r="H778" t="inlineStr">
        <is>
          <t>MEGH STEELS PRIVATE LIMITED - TVS A</t>
        </is>
      </c>
      <c r="P778" t="n">
        <v>1407</v>
      </c>
      <c r="Q778" t="n">
        <v>1380</v>
      </c>
      <c r="W778" t="inlineStr">
        <is>
          <t>22.23-0-1.6-ERW 1-PE</t>
        </is>
      </c>
      <c r="BC778" t="inlineStr">
        <is>
          <t>40-20-1.2-CRFH-PE</t>
        </is>
      </c>
    </row>
    <row r="779">
      <c r="D779" t="n">
        <v>3571869</v>
      </c>
      <c r="E779" t="n">
        <v>3499828</v>
      </c>
      <c r="H779" t="inlineStr">
        <is>
          <t>MEGH STEELS PRIVATE LIMITED - TVS A</t>
        </is>
      </c>
      <c r="P779" t="n">
        <v>1408</v>
      </c>
      <c r="Q779" t="n">
        <v>1381</v>
      </c>
      <c r="W779" t="inlineStr">
        <is>
          <t>22.23-0-1.6-ERW 1-PE</t>
        </is>
      </c>
      <c r="BC779" t="inlineStr">
        <is>
          <t>40-20-1.2-CRFH-PE</t>
        </is>
      </c>
    </row>
    <row r="780">
      <c r="D780" t="n">
        <v>3571869</v>
      </c>
      <c r="E780" t="n">
        <v>3673889</v>
      </c>
      <c r="H780" t="inlineStr">
        <is>
          <t>MEGH STEELS PRIVATE LIMITED - TVS A</t>
        </is>
      </c>
      <c r="P780" t="n">
        <v>1409</v>
      </c>
      <c r="Q780" t="n">
        <v>1382</v>
      </c>
      <c r="W780" t="inlineStr">
        <is>
          <t>22.23-0-1.6-ERW 1-PE</t>
        </is>
      </c>
      <c r="BC780" t="inlineStr">
        <is>
          <t>40-20-1.2-CRFH-PE</t>
        </is>
      </c>
    </row>
    <row r="781">
      <c r="D781" t="n">
        <v>3571869</v>
      </c>
      <c r="E781" t="n">
        <v>3502334</v>
      </c>
      <c r="H781" t="inlineStr">
        <is>
          <t>MEGH STEELS PRIVATE LIMITED - TVS A</t>
        </is>
      </c>
      <c r="P781" t="n">
        <v>1410</v>
      </c>
      <c r="Q781" t="n">
        <v>1383</v>
      </c>
      <c r="W781" t="inlineStr">
        <is>
          <t>22.23-0-1.6-ERW 1-PE</t>
        </is>
      </c>
      <c r="BC781" t="inlineStr">
        <is>
          <t>40-20-1.2-CRFH-PE</t>
        </is>
      </c>
    </row>
    <row r="782">
      <c r="D782" t="n">
        <v>3571869</v>
      </c>
      <c r="E782" t="n">
        <v>2415020</v>
      </c>
      <c r="H782" t="inlineStr">
        <is>
          <t>MEGH STEELS PRIVATE LIMITED - TVS A</t>
        </is>
      </c>
      <c r="P782" t="n">
        <v>1411</v>
      </c>
      <c r="Q782" t="n">
        <v>1384</v>
      </c>
      <c r="W782" t="inlineStr">
        <is>
          <t>22.23-0-1.6-ERW 1-PE</t>
        </is>
      </c>
      <c r="BC782" t="inlineStr">
        <is>
          <t>40-20-1.2-CRFH-PE</t>
        </is>
      </c>
    </row>
    <row r="783">
      <c r="D783" t="n">
        <v>3571870</v>
      </c>
      <c r="E783" t="n">
        <v>3514972</v>
      </c>
      <c r="H783" t="inlineStr">
        <is>
          <t>MEGH STEELS PRIVATE LIMITED - TVS A</t>
        </is>
      </c>
      <c r="P783" t="n">
        <v>1416</v>
      </c>
      <c r="Q783" t="n">
        <v>1385</v>
      </c>
      <c r="W783" t="inlineStr">
        <is>
          <t>22.23-0-1.6-ERW 1-PE</t>
        </is>
      </c>
      <c r="BC783" t="inlineStr">
        <is>
          <t>40-20-1.2-CRFH-PE</t>
        </is>
      </c>
    </row>
    <row r="784">
      <c r="D784" t="n">
        <v>3571870</v>
      </c>
      <c r="E784" t="n">
        <v>3605867</v>
      </c>
      <c r="H784" t="inlineStr">
        <is>
          <t>MEGH STEELS PRIVATE LIMITED - TVS A</t>
        </is>
      </c>
      <c r="P784" t="n">
        <v>1417</v>
      </c>
      <c r="Q784" t="n">
        <v>1386</v>
      </c>
      <c r="W784" t="inlineStr">
        <is>
          <t>22.23-0-1.6-ERW 1-PE</t>
        </is>
      </c>
      <c r="BC784" t="inlineStr">
        <is>
          <t>40-20-1.2-CRFH-PE</t>
        </is>
      </c>
    </row>
    <row r="785">
      <c r="D785" t="n">
        <v>3571870</v>
      </c>
      <c r="E785" t="n">
        <v>3768907</v>
      </c>
      <c r="H785" t="inlineStr">
        <is>
          <t>MEGH STEELS PRIVATE LIMITED - TVS A</t>
        </is>
      </c>
      <c r="P785" t="n">
        <v>1418</v>
      </c>
      <c r="Q785" t="n">
        <v>1387</v>
      </c>
      <c r="W785" t="inlineStr">
        <is>
          <t>22.23-0-1.6-ERW 1-PE</t>
        </is>
      </c>
      <c r="BC785" t="inlineStr">
        <is>
          <t>40-20-1.2-CRFH-PE</t>
        </is>
      </c>
    </row>
    <row r="786">
      <c r="D786" t="n">
        <v>3571870</v>
      </c>
      <c r="E786" t="n">
        <v>3531649</v>
      </c>
      <c r="H786" t="inlineStr">
        <is>
          <t>MEGH STEELS PRIVATE LIMITED - TVS A</t>
        </is>
      </c>
      <c r="P786" t="n">
        <v>1419</v>
      </c>
      <c r="Q786" t="n">
        <v>1388</v>
      </c>
      <c r="W786" t="inlineStr">
        <is>
          <t>22.23-0-1.6-ERW 1-PE</t>
        </is>
      </c>
      <c r="BC786" t="inlineStr">
        <is>
          <t>40-20-1.2-CRFH-PE</t>
        </is>
      </c>
    </row>
    <row r="787">
      <c r="D787" t="n">
        <v>3571870</v>
      </c>
      <c r="E787" t="n">
        <v>1496408</v>
      </c>
      <c r="H787" t="inlineStr">
        <is>
          <t>MEGH STEELS PRIVATE LIMITED - TVS A</t>
        </is>
      </c>
      <c r="P787" t="n">
        <v>1420</v>
      </c>
      <c r="Q787" t="n">
        <v>1389</v>
      </c>
      <c r="W787" t="inlineStr">
        <is>
          <t>22.23-0-1.6-ERW 1-PE</t>
        </is>
      </c>
      <c r="BC787" t="inlineStr">
        <is>
          <t>40-20-1.2-CRFH-PE</t>
        </is>
      </c>
    </row>
    <row r="788">
      <c r="D788" t="n">
        <v>3571870</v>
      </c>
      <c r="E788" t="n">
        <v>3722021</v>
      </c>
      <c r="H788" t="inlineStr">
        <is>
          <t>MEGH STEELS PRIVATE LIMITED - TVS A</t>
        </is>
      </c>
      <c r="P788" t="n">
        <v>1421</v>
      </c>
      <c r="Q788" t="n">
        <v>1390</v>
      </c>
      <c r="W788" t="inlineStr">
        <is>
          <t>22.23-0-1.6-ERW 1-PE</t>
        </is>
      </c>
      <c r="BC788" t="inlineStr">
        <is>
          <t>40-20-1.2-CRFH-PE</t>
        </is>
      </c>
    </row>
    <row r="789">
      <c r="D789" t="n">
        <v>3571870</v>
      </c>
      <c r="E789" t="n">
        <v>2417648</v>
      </c>
      <c r="H789" t="inlineStr">
        <is>
          <t>MEGH STEELS PRIVATE LIMITED - TVS A</t>
        </is>
      </c>
      <c r="P789" t="n">
        <v>1422</v>
      </c>
      <c r="Q789" t="n">
        <v>1391</v>
      </c>
      <c r="W789" t="inlineStr">
        <is>
          <t>22.23-0-1.6-ERW 1-PE</t>
        </is>
      </c>
      <c r="BC789" t="inlineStr">
        <is>
          <t>40-20-1.2-CRFH-PE</t>
        </is>
      </c>
    </row>
    <row r="790">
      <c r="D790" t="n">
        <v>3571870</v>
      </c>
      <c r="E790" t="n">
        <v>1310731</v>
      </c>
      <c r="H790" t="inlineStr">
        <is>
          <t>MEGH STEELS PRIVATE LIMITED - TVS A</t>
        </is>
      </c>
      <c r="P790" t="n">
        <v>1423</v>
      </c>
      <c r="Q790" t="n">
        <v>1392</v>
      </c>
      <c r="W790" t="inlineStr">
        <is>
          <t>22.23-0-1.6-ERW 1-PE</t>
        </is>
      </c>
      <c r="BC790" t="inlineStr">
        <is>
          <t>40-20-1.2-CRFH-PE</t>
        </is>
      </c>
    </row>
    <row r="791">
      <c r="D791" t="n">
        <v>3571870</v>
      </c>
      <c r="E791" t="n">
        <v>2417649</v>
      </c>
      <c r="H791" t="inlineStr">
        <is>
          <t>MEGH STEELS PRIVATE LIMITED - TVS A</t>
        </is>
      </c>
      <c r="P791" t="n">
        <v>1424</v>
      </c>
      <c r="Q791" t="n">
        <v>1393</v>
      </c>
      <c r="W791" t="inlineStr">
        <is>
          <t>22.23-0-1.6-ERW 1-PE</t>
        </is>
      </c>
      <c r="BC791" t="inlineStr">
        <is>
          <t>40-20-1.2-CRFH-PE</t>
        </is>
      </c>
    </row>
    <row r="792">
      <c r="D792" t="n">
        <v>3571870</v>
      </c>
      <c r="E792" t="n">
        <v>3433148</v>
      </c>
      <c r="H792" t="inlineStr">
        <is>
          <t>MEGH STEELS PRIVATE LIMITED - TVS A</t>
        </is>
      </c>
      <c r="P792" t="n">
        <v>1425</v>
      </c>
      <c r="Q792" t="n">
        <v>1394</v>
      </c>
      <c r="W792" t="inlineStr">
        <is>
          <t>22.23-0-1.6-ERW 1-PE</t>
        </is>
      </c>
      <c r="BC792" t="inlineStr">
        <is>
          <t>40-20-1.2-CRFH-PE</t>
        </is>
      </c>
    </row>
    <row r="793">
      <c r="D793" t="n">
        <v>3571870</v>
      </c>
      <c r="E793" t="n">
        <v>3502013</v>
      </c>
      <c r="H793" t="inlineStr">
        <is>
          <t>MEGH STEELS PRIVATE LIMITED - TVS A</t>
        </is>
      </c>
      <c r="P793" t="n">
        <v>1426</v>
      </c>
      <c r="Q793" t="n">
        <v>1395</v>
      </c>
      <c r="W793" t="inlineStr">
        <is>
          <t>22.23-0-1.6-ERW 1-PE</t>
        </is>
      </c>
      <c r="BC793" t="inlineStr">
        <is>
          <t>40-20-1.2-CRFH-PE</t>
        </is>
      </c>
    </row>
    <row r="794">
      <c r="D794" t="n">
        <v>3571870</v>
      </c>
      <c r="E794" t="n">
        <v>3500650</v>
      </c>
      <c r="H794" t="inlineStr">
        <is>
          <t>MEGH STEELS PRIVATE LIMITED - TVS A</t>
        </is>
      </c>
      <c r="P794" t="n">
        <v>1427</v>
      </c>
      <c r="Q794" t="n">
        <v>1396</v>
      </c>
      <c r="W794" t="inlineStr">
        <is>
          <t>22.23-0-1.6-ERW 1-PE</t>
        </is>
      </c>
      <c r="BC794" t="inlineStr">
        <is>
          <t>40-20-1.2-CRFH-PE</t>
        </is>
      </c>
    </row>
    <row r="795">
      <c r="D795" t="n">
        <v>3571870</v>
      </c>
      <c r="E795" t="n">
        <v>2396465</v>
      </c>
      <c r="H795" t="inlineStr">
        <is>
          <t>MEGH STEELS PRIVATE LIMITED - TVS A</t>
        </is>
      </c>
      <c r="P795" t="n">
        <v>1428</v>
      </c>
      <c r="Q795" t="n">
        <v>1397</v>
      </c>
      <c r="W795" t="inlineStr">
        <is>
          <t>22.23-0-1.6-ERW 1-PE</t>
        </is>
      </c>
      <c r="BC795" t="inlineStr">
        <is>
          <t>40-20-1.2-CRFH-PE</t>
        </is>
      </c>
    </row>
    <row r="796">
      <c r="D796" t="n">
        <v>3571870</v>
      </c>
      <c r="E796" t="n">
        <v>1511515</v>
      </c>
      <c r="H796" t="inlineStr">
        <is>
          <t>MEGH STEELS PRIVATE LIMITED - TVS A</t>
        </is>
      </c>
      <c r="P796" t="n">
        <v>1429</v>
      </c>
      <c r="Q796" t="n">
        <v>1398</v>
      </c>
      <c r="W796" t="inlineStr">
        <is>
          <t>22.23-0-1.6-ERW 1-PE</t>
        </is>
      </c>
      <c r="BC796" t="inlineStr">
        <is>
          <t>40-20-1.2-CRFH-PE</t>
        </is>
      </c>
    </row>
    <row r="797">
      <c r="D797" t="n">
        <v>3230491</v>
      </c>
      <c r="E797" t="n">
        <v>2422135</v>
      </c>
      <c r="H797" t="inlineStr">
        <is>
          <t>MEGH STEELS PRIVATE LIMITED - TVS A</t>
        </is>
      </c>
      <c r="P797" t="n">
        <v>1430</v>
      </c>
      <c r="Q797" t="n">
        <v>1399</v>
      </c>
      <c r="W797" t="inlineStr">
        <is>
          <t>22.23-0-1.6-ERW 1-PE</t>
        </is>
      </c>
      <c r="BC797" t="inlineStr">
        <is>
          <t>40-20-1.2-CRFH-PE</t>
        </is>
      </c>
    </row>
    <row r="798">
      <c r="D798" t="n">
        <v>3230491</v>
      </c>
      <c r="E798" t="n">
        <v>3784469</v>
      </c>
      <c r="H798" t="inlineStr">
        <is>
          <t>MEGH STEELS PRIVATE LIMITED - TVS A</t>
        </is>
      </c>
      <c r="P798" t="n">
        <v>1445</v>
      </c>
      <c r="Q798" t="n">
        <v>1400</v>
      </c>
      <c r="W798" t="inlineStr">
        <is>
          <t>22.23-0-2.3-ERW 1-PE</t>
        </is>
      </c>
      <c r="BC798" t="inlineStr">
        <is>
          <t>40-20-1.2-CRFH-PE</t>
        </is>
      </c>
    </row>
    <row r="799">
      <c r="D799" t="n">
        <v>3230491</v>
      </c>
      <c r="E799" t="n">
        <v>3901714</v>
      </c>
      <c r="H799" t="inlineStr">
        <is>
          <t>MEGH STEELS PRIVATE LIMITED - TVS A</t>
        </is>
      </c>
      <c r="P799" t="n">
        <v>1446</v>
      </c>
      <c r="Q799" t="n">
        <v>1401</v>
      </c>
      <c r="W799" t="inlineStr">
        <is>
          <t>22.23-0-2.3-ERW 1-PE</t>
        </is>
      </c>
      <c r="BC799" t="inlineStr">
        <is>
          <t>40-20-1.2-CRFH-PE</t>
        </is>
      </c>
    </row>
    <row r="800">
      <c r="D800" t="n">
        <v>3230491</v>
      </c>
      <c r="E800" t="n">
        <v>3187964</v>
      </c>
      <c r="H800" t="inlineStr">
        <is>
          <t>Indo Autotech Limited (Unit V)</t>
        </is>
      </c>
      <c r="P800" t="n">
        <v>1447</v>
      </c>
      <c r="Q800" t="n">
        <v>1402</v>
      </c>
      <c r="W800" t="inlineStr">
        <is>
          <t>22.23-0-2.3-ERW 1-PE</t>
        </is>
      </c>
      <c r="BC800" t="inlineStr">
        <is>
          <t>40-20-1.2-CRFH-PE</t>
        </is>
      </c>
    </row>
    <row r="801">
      <c r="D801" t="n">
        <v>3230491</v>
      </c>
      <c r="E801" t="n">
        <v>1310732</v>
      </c>
      <c r="H801" t="inlineStr">
        <is>
          <t>SREE VENKATESWARA ENTERPRISES</t>
        </is>
      </c>
      <c r="P801" t="n">
        <v>1448</v>
      </c>
      <c r="Q801" t="n">
        <v>1403</v>
      </c>
      <c r="W801" t="inlineStr">
        <is>
          <t>22.23-0-2.3-ERW 1-PE</t>
        </is>
      </c>
      <c r="BC801" t="inlineStr">
        <is>
          <t>40-20-1.2-CRFH-PE</t>
        </is>
      </c>
    </row>
    <row r="802">
      <c r="D802" t="n">
        <v>3230491</v>
      </c>
      <c r="E802" t="n">
        <v>2428441</v>
      </c>
      <c r="H802" t="inlineStr">
        <is>
          <t>SHIVAM PRIME STEELS PRIVATE LIMITED</t>
        </is>
      </c>
      <c r="P802" t="n">
        <v>1449</v>
      </c>
      <c r="Q802" t="n">
        <v>1404</v>
      </c>
      <c r="W802" t="inlineStr">
        <is>
          <t>34.93-0-2.3-ERW 2-FC-Ampere</t>
        </is>
      </c>
      <c r="BC802" t="inlineStr">
        <is>
          <t>40-20-1.2-CRFH-PE</t>
        </is>
      </c>
    </row>
    <row r="803">
      <c r="D803" t="n">
        <v>3230491</v>
      </c>
      <c r="E803" t="n">
        <v>1399335</v>
      </c>
      <c r="H803" t="inlineStr">
        <is>
          <t>Surya Steels</t>
        </is>
      </c>
      <c r="P803" t="n">
        <v>1450</v>
      </c>
      <c r="Q803" t="n">
        <v>1405</v>
      </c>
      <c r="W803" t="inlineStr">
        <is>
          <t>34.93-0-2.3-ERW 2-FC-Ampere</t>
        </is>
      </c>
      <c r="BC803" t="inlineStr">
        <is>
          <t>40-20-1.2-CRFH-PE</t>
        </is>
      </c>
    </row>
    <row r="804">
      <c r="D804" t="n">
        <v>3230491</v>
      </c>
      <c r="E804" t="n">
        <v>1938358</v>
      </c>
      <c r="H804" t="inlineStr">
        <is>
          <t>Surya Steels</t>
        </is>
      </c>
      <c r="P804" t="n">
        <v>1451</v>
      </c>
      <c r="Q804" t="n">
        <v>1406</v>
      </c>
      <c r="W804" t="inlineStr">
        <is>
          <t>22.23-0-1.6-ERW 1-PE</t>
        </is>
      </c>
      <c r="BC804" t="inlineStr">
        <is>
          <t>40-20-1.2-CRFH-PE</t>
        </is>
      </c>
    </row>
    <row r="805">
      <c r="D805" t="n">
        <v>3230491</v>
      </c>
      <c r="E805" t="n">
        <v>1311453</v>
      </c>
      <c r="H805" t="inlineStr">
        <is>
          <t>Surya Steels</t>
        </is>
      </c>
      <c r="P805" t="n">
        <v>1459</v>
      </c>
      <c r="Q805" t="n">
        <v>1407</v>
      </c>
      <c r="W805" t="inlineStr">
        <is>
          <t>22.23-0-1.6-ERW 1-PE</t>
        </is>
      </c>
      <c r="BC805" t="inlineStr">
        <is>
          <t>40-20-1.2-CRFH-PE</t>
        </is>
      </c>
    </row>
    <row r="806">
      <c r="D806" t="n">
        <v>3230491</v>
      </c>
      <c r="E806" t="n">
        <v>3439767</v>
      </c>
      <c r="H806" t="inlineStr">
        <is>
          <t>Surya Steels</t>
        </is>
      </c>
      <c r="P806" t="n">
        <v>1460</v>
      </c>
      <c r="Q806" t="n">
        <v>1408</v>
      </c>
      <c r="W806" t="inlineStr">
        <is>
          <t>34.93-0-2.3-ERW 2-FC-Ampere</t>
        </is>
      </c>
      <c r="BC806" t="inlineStr">
        <is>
          <t>40-20-1.2-CRFH-PE</t>
        </is>
      </c>
    </row>
    <row r="807">
      <c r="D807" t="n">
        <v>3230491</v>
      </c>
      <c r="E807" t="n">
        <v>3499121</v>
      </c>
      <c r="H807" t="inlineStr">
        <is>
          <t>Surya Steels</t>
        </is>
      </c>
      <c r="P807" t="n">
        <v>1461</v>
      </c>
      <c r="Q807" t="n">
        <v>1409</v>
      </c>
      <c r="W807" t="inlineStr">
        <is>
          <t>34.93-0-2.3-ERW 2-FC-Ampere</t>
        </is>
      </c>
      <c r="BC807" t="inlineStr">
        <is>
          <t>40-20-1.2-CRFH-PE</t>
        </is>
      </c>
    </row>
    <row r="808">
      <c r="D808" t="n">
        <v>3230491</v>
      </c>
      <c r="E808" t="n">
        <v>3500714</v>
      </c>
      <c r="H808" t="inlineStr">
        <is>
          <t>Surya Steels</t>
        </is>
      </c>
      <c r="P808" t="n">
        <v>1462</v>
      </c>
      <c r="Q808" t="n">
        <v>1410</v>
      </c>
      <c r="W808" t="inlineStr">
        <is>
          <t>22.23-0-1.6-ERW 1-PE</t>
        </is>
      </c>
      <c r="BC808" t="inlineStr">
        <is>
          <t>40-20-1.2-CRFH-PE</t>
        </is>
      </c>
    </row>
    <row r="809">
      <c r="D809" t="n">
        <v>3230491</v>
      </c>
      <c r="E809" t="n">
        <v>2426233</v>
      </c>
      <c r="H809" t="inlineStr">
        <is>
          <t>Surya Steels</t>
        </is>
      </c>
      <c r="P809" t="n">
        <v>1463</v>
      </c>
      <c r="Q809" t="n">
        <v>1411</v>
      </c>
      <c r="W809" t="inlineStr">
        <is>
          <t>22.23-0-1.6-ERW 1-PE</t>
        </is>
      </c>
      <c r="BC809" t="inlineStr">
        <is>
          <t>40-20-1.2-CRFH-PE</t>
        </is>
      </c>
    </row>
    <row r="810">
      <c r="D810" t="n">
        <v>3230491</v>
      </c>
      <c r="E810" t="n">
        <v>3501985</v>
      </c>
      <c r="H810" t="inlineStr">
        <is>
          <t>Skb Industries</t>
        </is>
      </c>
      <c r="P810" t="n">
        <v>1464</v>
      </c>
      <c r="Q810" t="n">
        <v>1416</v>
      </c>
      <c r="W810" t="inlineStr">
        <is>
          <t>22.23-0-1.6-ERW 1-PE</t>
        </is>
      </c>
      <c r="BC810" t="inlineStr">
        <is>
          <t>40-20-1.2-CRFH-PE</t>
        </is>
      </c>
    </row>
    <row r="811">
      <c r="D811" t="n">
        <v>3230491</v>
      </c>
      <c r="E811" t="n">
        <v>1490699</v>
      </c>
      <c r="H811" t="inlineStr">
        <is>
          <t>MEGH STEELS PRIVATE LIMITED - RE</t>
        </is>
      </c>
      <c r="P811" t="n">
        <v>1465</v>
      </c>
      <c r="Q811" t="n">
        <v>1417</v>
      </c>
      <c r="W811" t="inlineStr">
        <is>
          <t>22.23-0-1.6-ERW 2 MAHS-PE</t>
        </is>
      </c>
      <c r="BC811" t="inlineStr">
        <is>
          <t>40-20-1.2-CRFH-PE</t>
        </is>
      </c>
    </row>
    <row r="812">
      <c r="D812" t="n">
        <v>3572031</v>
      </c>
      <c r="E812" t="n">
        <v>2420077</v>
      </c>
      <c r="H812" t="inlineStr">
        <is>
          <t>MEGH STEELS PRIVATE LIMITED - TVS A</t>
        </is>
      </c>
      <c r="P812" t="n">
        <v>1466</v>
      </c>
      <c r="Q812" t="n">
        <v>1418</v>
      </c>
      <c r="W812" t="inlineStr">
        <is>
          <t>22.23-0-1.6-ERW 2 MAHS-PE</t>
        </is>
      </c>
      <c r="BC812" t="inlineStr">
        <is>
          <t>40-20-1.2-CRFH-PE</t>
        </is>
      </c>
    </row>
    <row r="813">
      <c r="D813" t="n">
        <v>3572031</v>
      </c>
      <c r="E813" t="n">
        <v>3545558</v>
      </c>
      <c r="H813" t="inlineStr">
        <is>
          <t>SREE VENKATESWARA ENTERPRISES</t>
        </is>
      </c>
      <c r="P813" t="n">
        <v>1467</v>
      </c>
      <c r="Q813" t="n">
        <v>1419</v>
      </c>
      <c r="W813" t="inlineStr">
        <is>
          <t>22.23-0-1.6-ERW 2 MAHS-PE</t>
        </is>
      </c>
      <c r="BC813" t="inlineStr">
        <is>
          <t>40-20-1.2-CRFH-PE</t>
        </is>
      </c>
    </row>
    <row r="814">
      <c r="D814" t="n">
        <v>3572031</v>
      </c>
      <c r="E814" t="n">
        <v>3514971</v>
      </c>
      <c r="H814" t="inlineStr">
        <is>
          <t>Surya Steels</t>
        </is>
      </c>
      <c r="P814" t="n">
        <v>1468</v>
      </c>
      <c r="Q814" t="n">
        <v>1420</v>
      </c>
      <c r="W814" t="inlineStr">
        <is>
          <t>22.23-0-1.6-ERW 2 MAHS-PE</t>
        </is>
      </c>
      <c r="BC814" t="inlineStr">
        <is>
          <t>40-20-1.2-CRFH-PE</t>
        </is>
      </c>
    </row>
    <row r="815">
      <c r="D815" t="n">
        <v>3572031</v>
      </c>
      <c r="E815" t="n">
        <v>3502343</v>
      </c>
      <c r="H815" t="inlineStr">
        <is>
          <t>Surya Steels</t>
        </is>
      </c>
      <c r="P815" t="n">
        <v>1469</v>
      </c>
      <c r="Q815" t="n">
        <v>1421</v>
      </c>
      <c r="W815" t="inlineStr">
        <is>
          <t>22.23-0-1.6-ERW 2 MAHS-PE</t>
        </is>
      </c>
      <c r="BC815" t="inlineStr">
        <is>
          <t>40-20-1.2-CRFH-PE</t>
        </is>
      </c>
    </row>
    <row r="816">
      <c r="D816" t="n">
        <v>3572031</v>
      </c>
      <c r="E816" t="n">
        <v>3501095</v>
      </c>
      <c r="H816" t="inlineStr">
        <is>
          <t>Surya Steels</t>
        </is>
      </c>
      <c r="P816" t="n">
        <v>1470</v>
      </c>
      <c r="Q816" t="n">
        <v>1422</v>
      </c>
      <c r="W816" t="inlineStr">
        <is>
          <t>22.23-0-1.6-ERW 2 MAHS-PE</t>
        </is>
      </c>
      <c r="BC816" t="inlineStr">
        <is>
          <t>40-20-1.6-ERW 1-FC</t>
        </is>
      </c>
    </row>
    <row r="817">
      <c r="D817" t="n">
        <v>3572031</v>
      </c>
      <c r="E817" t="n">
        <v>1490698</v>
      </c>
      <c r="H817" t="inlineStr">
        <is>
          <t>C.S.K.Tube Corporation</t>
        </is>
      </c>
      <c r="P817" t="n">
        <v>1471</v>
      </c>
      <c r="Q817" t="n">
        <v>1423</v>
      </c>
      <c r="W817" t="inlineStr">
        <is>
          <t>22.23-0-1.6-ERW 2 MAHS-PE</t>
        </is>
      </c>
      <c r="BC817" t="inlineStr">
        <is>
          <t>40-20-1.6-ERW 1-FC</t>
        </is>
      </c>
    </row>
    <row r="818">
      <c r="D818" t="n">
        <v>3572031</v>
      </c>
      <c r="E818" t="n">
        <v>3514380</v>
      </c>
      <c r="H818" t="inlineStr">
        <is>
          <t>Surya Steels</t>
        </is>
      </c>
      <c r="P818" t="n">
        <v>1472</v>
      </c>
      <c r="Q818" t="n">
        <v>1424</v>
      </c>
      <c r="W818" t="inlineStr">
        <is>
          <t>22.23-0-1.6-ERW 1-PE</t>
        </is>
      </c>
      <c r="BC818" t="inlineStr">
        <is>
          <t>40-20-1.6-ERW 1-FC</t>
        </is>
      </c>
    </row>
    <row r="819">
      <c r="D819" t="n">
        <v>3572031</v>
      </c>
      <c r="E819" t="n">
        <v>3502388</v>
      </c>
      <c r="H819" t="inlineStr">
        <is>
          <t>Surya Steels</t>
        </is>
      </c>
      <c r="P819" t="n">
        <v>1473</v>
      </c>
      <c r="Q819" t="n">
        <v>1425</v>
      </c>
      <c r="W819" t="inlineStr">
        <is>
          <t>22.23-0-1.6-ERW 1-PE</t>
        </is>
      </c>
      <c r="BC819" t="inlineStr">
        <is>
          <t>40-25-1.6-ERW 1-FC</t>
        </is>
      </c>
    </row>
    <row r="820">
      <c r="D820" t="n">
        <v>3572031</v>
      </c>
      <c r="E820" t="n">
        <v>2397072</v>
      </c>
      <c r="H820" t="inlineStr">
        <is>
          <t>Surya Steels</t>
        </is>
      </c>
      <c r="P820" t="n">
        <v>1474</v>
      </c>
      <c r="Q820" t="n">
        <v>1426</v>
      </c>
      <c r="W820" t="inlineStr">
        <is>
          <t>38.1-0-2-ERW 1-FC</t>
        </is>
      </c>
      <c r="BC820" t="inlineStr">
        <is>
          <t>40-25-1.6-ERW 1-FC</t>
        </is>
      </c>
    </row>
    <row r="821">
      <c r="D821" t="n">
        <v>3572031</v>
      </c>
      <c r="E821" t="n">
        <v>3649700</v>
      </c>
      <c r="H821" t="inlineStr">
        <is>
          <t>Ttp Technologies Private Ltd</t>
        </is>
      </c>
      <c r="P821" t="n">
        <v>1475</v>
      </c>
      <c r="Q821" t="n">
        <v>1427</v>
      </c>
      <c r="W821" t="inlineStr">
        <is>
          <t>38.1-0-2-ERW 1-FC</t>
        </is>
      </c>
      <c r="BC821" t="inlineStr">
        <is>
          <t>40-25-1.6-ERW 1-FC</t>
        </is>
      </c>
    </row>
    <row r="822">
      <c r="D822" t="n">
        <v>3572031</v>
      </c>
      <c r="E822" t="n">
        <v>2397327</v>
      </c>
      <c r="H822" t="inlineStr">
        <is>
          <t>Ttp Technologies Private Ltd</t>
        </is>
      </c>
      <c r="P822" t="n">
        <v>1476</v>
      </c>
      <c r="Q822" t="n">
        <v>1428</v>
      </c>
      <c r="W822" t="inlineStr">
        <is>
          <t>38.1-0-2-ERW 1-FC</t>
        </is>
      </c>
      <c r="BC822" t="inlineStr">
        <is>
          <t>40-25-1.6-ERW 1-FC</t>
        </is>
      </c>
    </row>
    <row r="823">
      <c r="D823" t="n">
        <v>3572031</v>
      </c>
      <c r="E823" t="n">
        <v>3460088</v>
      </c>
      <c r="H823" t="inlineStr">
        <is>
          <t>Ttp Technologies Private Ltd</t>
        </is>
      </c>
      <c r="P823" t="n">
        <v>1477</v>
      </c>
      <c r="Q823" t="n">
        <v>1429</v>
      </c>
      <c r="W823" t="inlineStr">
        <is>
          <t>38.1-0-2-ERW 1-FC</t>
        </is>
      </c>
      <c r="BC823" t="inlineStr">
        <is>
          <t>40-25-1.6-ERW 1-FC</t>
        </is>
      </c>
    </row>
    <row r="824">
      <c r="D824" t="n">
        <v>3572031</v>
      </c>
      <c r="E824" t="n">
        <v>2325421</v>
      </c>
      <c r="H824" t="inlineStr">
        <is>
          <t>Ttp Technologies Private Ltd</t>
        </is>
      </c>
      <c r="P824" t="n">
        <v>1478</v>
      </c>
      <c r="Q824" t="n">
        <v>1430</v>
      </c>
      <c r="W824" t="inlineStr">
        <is>
          <t>38.1-0-2-ERW 1-FC</t>
        </is>
      </c>
      <c r="BC824" t="inlineStr">
        <is>
          <t>40-25-1.6-ERW 1-FC</t>
        </is>
      </c>
    </row>
    <row r="825">
      <c r="D825" t="n">
        <v>3572031</v>
      </c>
      <c r="E825" t="n">
        <v>3453634</v>
      </c>
      <c r="H825" t="inlineStr">
        <is>
          <t>Ttp Technologies Private Ltd</t>
        </is>
      </c>
      <c r="P825" t="n">
        <v>1481</v>
      </c>
      <c r="Q825" t="n">
        <v>1445</v>
      </c>
      <c r="W825" t="inlineStr">
        <is>
          <t>38.1-0-2-ERW 1-FC</t>
        </is>
      </c>
      <c r="BC825" t="inlineStr">
        <is>
          <t>40-25-1.6-ERW 1-FC</t>
        </is>
      </c>
    </row>
    <row r="826">
      <c r="D826" t="n">
        <v>3572032</v>
      </c>
      <c r="E826" t="n">
        <v>3545559</v>
      </c>
      <c r="H826" t="inlineStr">
        <is>
          <t>Ttp Technologies Private Ltd</t>
        </is>
      </c>
      <c r="P826" t="n">
        <v>1482</v>
      </c>
      <c r="Q826" t="n">
        <v>1446</v>
      </c>
      <c r="W826" t="inlineStr">
        <is>
          <t>22.23-0-2-ERW 1-PE</t>
        </is>
      </c>
      <c r="BC826" t="inlineStr">
        <is>
          <t>40-25-1.6-ERW 2-FC</t>
        </is>
      </c>
    </row>
    <row r="827">
      <c r="D827" t="n">
        <v>3572032</v>
      </c>
      <c r="E827" t="n">
        <v>3502301</v>
      </c>
      <c r="H827" t="inlineStr">
        <is>
          <t>Ttp Technologies Private Ltd</t>
        </is>
      </c>
      <c r="P827" t="n">
        <v>1483</v>
      </c>
      <c r="Q827" t="n">
        <v>1447</v>
      </c>
      <c r="W827" t="inlineStr">
        <is>
          <t>22.23-0-2-ERW 1-PE</t>
        </is>
      </c>
      <c r="BC827" t="inlineStr">
        <is>
          <t>40-25-1.6-ERW 1-FC</t>
        </is>
      </c>
    </row>
    <row r="828">
      <c r="D828" t="n">
        <v>3572032</v>
      </c>
      <c r="E828" t="n">
        <v>3597587</v>
      </c>
      <c r="H828" t="inlineStr">
        <is>
          <t>Ttp Technologies Private Ltd</t>
        </is>
      </c>
      <c r="P828" t="n">
        <v>1484</v>
      </c>
      <c r="Q828" t="n">
        <v>1448</v>
      </c>
      <c r="W828" t="inlineStr">
        <is>
          <t>22.23-0-2-ERW 1-PE</t>
        </is>
      </c>
      <c r="BC828" t="inlineStr">
        <is>
          <t>40-25-1.6-ERW 1-FC</t>
        </is>
      </c>
    </row>
    <row r="829">
      <c r="D829" t="n">
        <v>3572032</v>
      </c>
      <c r="E829" t="n">
        <v>1325388</v>
      </c>
      <c r="H829" t="inlineStr">
        <is>
          <t>Ttp Technologies Private Ltd</t>
        </is>
      </c>
      <c r="P829" t="n">
        <v>1485</v>
      </c>
      <c r="Q829" t="n">
        <v>1449</v>
      </c>
      <c r="W829" t="inlineStr">
        <is>
          <t>22.23-0-2-ERW 1-PE</t>
        </is>
      </c>
      <c r="BC829" t="inlineStr">
        <is>
          <t>40-25-1.6-ERW 2-FC</t>
        </is>
      </c>
    </row>
    <row r="830">
      <c r="D830" t="n">
        <v>3572032</v>
      </c>
      <c r="E830" t="n">
        <v>3508060</v>
      </c>
      <c r="H830" t="inlineStr">
        <is>
          <t>Ttp Technologies Private Ltd</t>
        </is>
      </c>
      <c r="P830" t="n">
        <v>1486</v>
      </c>
      <c r="Q830" t="n">
        <v>1450</v>
      </c>
      <c r="W830" t="inlineStr">
        <is>
          <t>22.23-0-2-ERW 1-PE</t>
        </is>
      </c>
      <c r="BC830" t="inlineStr">
        <is>
          <t>40-25-1.6-ERW 1-FC</t>
        </is>
      </c>
    </row>
    <row r="831">
      <c r="D831" t="n">
        <v>3572032</v>
      </c>
      <c r="E831" t="n">
        <v>3501092</v>
      </c>
      <c r="H831" t="inlineStr">
        <is>
          <t>Ttp Technologies Private Ltd</t>
        </is>
      </c>
      <c r="P831" t="n">
        <v>1487</v>
      </c>
      <c r="Q831" t="n">
        <v>1451</v>
      </c>
      <c r="W831" t="inlineStr">
        <is>
          <t>22.23-0-2-ERW 1-PE</t>
        </is>
      </c>
      <c r="BC831" t="inlineStr">
        <is>
          <t>40-25-1.6-ERW 1-FC</t>
        </is>
      </c>
    </row>
    <row r="832">
      <c r="D832" t="n">
        <v>3572032</v>
      </c>
      <c r="E832" t="n">
        <v>3230505</v>
      </c>
      <c r="H832" t="inlineStr">
        <is>
          <t>Ttp Technologies Private Ltd</t>
        </is>
      </c>
      <c r="P832" t="n">
        <v>1488</v>
      </c>
      <c r="Q832" t="n">
        <v>1452</v>
      </c>
      <c r="W832" t="inlineStr">
        <is>
          <t>22.23-0-2-ERW 1-PE</t>
        </is>
      </c>
      <c r="BC832" t="inlineStr">
        <is>
          <t>40-25-2-ERW 1-FC</t>
        </is>
      </c>
    </row>
    <row r="833">
      <c r="D833" t="n">
        <v>3572032</v>
      </c>
      <c r="E833" t="n">
        <v>2404864</v>
      </c>
      <c r="H833" t="inlineStr">
        <is>
          <t>Ttp Technologies Private Ltd</t>
        </is>
      </c>
      <c r="P833" t="n">
        <v>1489</v>
      </c>
      <c r="Q833" t="n">
        <v>1453</v>
      </c>
      <c r="W833" t="inlineStr">
        <is>
          <t>22.23-0-2-ERW 1-PE</t>
        </is>
      </c>
      <c r="BC833" t="inlineStr">
        <is>
          <t>40-30-1.6-ERW 1-FC</t>
        </is>
      </c>
    </row>
    <row r="834">
      <c r="D834" t="n">
        <v>3572032</v>
      </c>
      <c r="E834" t="n">
        <v>3549720</v>
      </c>
      <c r="H834" t="inlineStr">
        <is>
          <t>Ttp Technologies Private Ltd</t>
        </is>
      </c>
      <c r="P834" t="n">
        <v>1490</v>
      </c>
      <c r="Q834" t="n">
        <v>1454</v>
      </c>
      <c r="W834" t="inlineStr">
        <is>
          <t>22.23-0-2-ERW 1-PE</t>
        </is>
      </c>
      <c r="BC834" t="inlineStr">
        <is>
          <t>40-30-1.6-ERW 1-FC</t>
        </is>
      </c>
    </row>
    <row r="835">
      <c r="D835" t="n">
        <v>3572032</v>
      </c>
      <c r="E835" t="n">
        <v>3238860</v>
      </c>
      <c r="H835" t="inlineStr">
        <is>
          <t>Ttp Technologies Private Ltd</t>
        </is>
      </c>
      <c r="P835" t="n">
        <v>1491</v>
      </c>
      <c r="Q835" t="n">
        <v>1455</v>
      </c>
      <c r="W835" t="inlineStr">
        <is>
          <t>22.23-0-2-ERW 1-PE</t>
        </is>
      </c>
      <c r="BC835" t="inlineStr">
        <is>
          <t>40-30-1.6-ERW 1-FC</t>
        </is>
      </c>
    </row>
    <row r="836">
      <c r="D836" t="n">
        <v>3572032</v>
      </c>
      <c r="E836" t="n">
        <v>3742593</v>
      </c>
      <c r="H836" t="inlineStr">
        <is>
          <t>Ttp Technologies Private Ltd</t>
        </is>
      </c>
      <c r="P836" t="n">
        <v>1492</v>
      </c>
      <c r="Q836" t="n">
        <v>1456</v>
      </c>
      <c r="W836" t="inlineStr">
        <is>
          <t>22.23-0-2-ERW 1-PE</t>
        </is>
      </c>
      <c r="BC836" t="inlineStr">
        <is>
          <t>40-30-1.6-ERW 1-FC</t>
        </is>
      </c>
    </row>
    <row r="837">
      <c r="D837" t="n">
        <v>3572032</v>
      </c>
      <c r="E837" t="n">
        <v>2356445</v>
      </c>
      <c r="H837" t="inlineStr">
        <is>
          <t>Ttp Technologies Private Ltd</t>
        </is>
      </c>
      <c r="P837" t="n">
        <v>1495</v>
      </c>
      <c r="Q837" t="n">
        <v>1457</v>
      </c>
      <c r="W837" t="inlineStr">
        <is>
          <t>22.23-0-2-ERW 2 MAHS-PE</t>
        </is>
      </c>
      <c r="BC837" t="inlineStr">
        <is>
          <t>40-30-1.6-ERW 1-FC</t>
        </is>
      </c>
    </row>
    <row r="838">
      <c r="D838" t="n">
        <v>3572032</v>
      </c>
      <c r="E838" t="n">
        <v>3239049</v>
      </c>
      <c r="H838" t="inlineStr">
        <is>
          <t>Ttp Technologies Private Ltd</t>
        </is>
      </c>
      <c r="P838" t="n">
        <v>1496</v>
      </c>
      <c r="Q838" t="n">
        <v>1458</v>
      </c>
      <c r="W838" t="inlineStr">
        <is>
          <t>22.23-0-2-ERW 2 MAHS-PE</t>
        </is>
      </c>
      <c r="BC838" t="inlineStr">
        <is>
          <t>40-30-1.6-ERW 1-FC</t>
        </is>
      </c>
    </row>
    <row r="839">
      <c r="D839" t="n">
        <v>3572032</v>
      </c>
      <c r="E839" t="n">
        <v>282519</v>
      </c>
      <c r="H839" t="inlineStr">
        <is>
          <t>Ttp Technologies Private Ltd</t>
        </is>
      </c>
      <c r="P839" t="n">
        <v>1497</v>
      </c>
      <c r="Q839" t="n">
        <v>1459</v>
      </c>
      <c r="W839" t="inlineStr">
        <is>
          <t>22.23-0-2-ERW 2 MAHS-PE</t>
        </is>
      </c>
      <c r="BC839" t="inlineStr">
        <is>
          <t>40-30-1.6-ERW 1-FC</t>
        </is>
      </c>
    </row>
    <row r="840">
      <c r="D840" t="n">
        <v>3572033</v>
      </c>
      <c r="E840" t="n">
        <v>3531650</v>
      </c>
      <c r="H840" t="inlineStr">
        <is>
          <t>Ttp Technologies Private Ltd</t>
        </is>
      </c>
      <c r="P840" t="n">
        <v>1500</v>
      </c>
      <c r="Q840" t="n">
        <v>1460</v>
      </c>
      <c r="W840" t="inlineStr">
        <is>
          <t>22.23-0-2-ERW 2 MAHS-PE</t>
        </is>
      </c>
      <c r="BC840" t="inlineStr">
        <is>
          <t>40-30-1.6-ERW 1-FC</t>
        </is>
      </c>
    </row>
    <row r="841">
      <c r="D841" t="n">
        <v>3572033</v>
      </c>
      <c r="E841" t="n">
        <v>1568170</v>
      </c>
      <c r="H841" t="inlineStr">
        <is>
          <t>Ttp Technologies Private Ltd</t>
        </is>
      </c>
      <c r="P841" t="n">
        <v>1501</v>
      </c>
      <c r="Q841" t="n">
        <v>1461</v>
      </c>
      <c r="W841" t="inlineStr">
        <is>
          <t>22.23-0-2-ERW 2 MAHS-PE</t>
        </is>
      </c>
      <c r="BC841" t="inlineStr">
        <is>
          <t>40-30-1.6-ERW 1-FC</t>
        </is>
      </c>
    </row>
    <row r="842">
      <c r="D842" t="n">
        <v>3572033</v>
      </c>
      <c r="E842" t="n">
        <v>281785</v>
      </c>
      <c r="H842" t="inlineStr">
        <is>
          <t>Ttp Technologies Private Ltd</t>
        </is>
      </c>
      <c r="P842" t="n">
        <v>1502</v>
      </c>
      <c r="Q842" t="n">
        <v>1462</v>
      </c>
      <c r="W842" t="inlineStr">
        <is>
          <t>22.23-0-2-ERW 2 MAHS-PE</t>
        </is>
      </c>
      <c r="BC842" t="inlineStr">
        <is>
          <t>40-30-1.6-ERW 1-FC</t>
        </is>
      </c>
    </row>
    <row r="843">
      <c r="D843" t="n">
        <v>3572033</v>
      </c>
      <c r="E843" t="n">
        <v>3718726</v>
      </c>
      <c r="H843" t="inlineStr">
        <is>
          <t>Ttp Technologies Private Ltd</t>
        </is>
      </c>
      <c r="P843" t="n">
        <v>1503</v>
      </c>
      <c r="Q843" t="n">
        <v>1463</v>
      </c>
      <c r="W843" t="inlineStr">
        <is>
          <t>22.23-0-2-ERW 2 MAHS-PE</t>
        </is>
      </c>
      <c r="BC843" t="inlineStr">
        <is>
          <t>40-30-2-ERW 1-FC</t>
        </is>
      </c>
    </row>
    <row r="844">
      <c r="D844" t="n">
        <v>3572033</v>
      </c>
      <c r="E844" t="n">
        <v>3548921</v>
      </c>
      <c r="H844" t="inlineStr">
        <is>
          <t>Ttp Technologies Private Ltd</t>
        </is>
      </c>
      <c r="P844" t="n">
        <v>1504</v>
      </c>
      <c r="Q844" t="n">
        <v>1464</v>
      </c>
      <c r="W844" t="inlineStr">
        <is>
          <t>22.23-0-2-ERW 2 MAHS-PE</t>
        </is>
      </c>
      <c r="BC844" t="inlineStr">
        <is>
          <t>40-30-2-ERW 1-FC</t>
        </is>
      </c>
    </row>
    <row r="845">
      <c r="D845" t="n">
        <v>3572033</v>
      </c>
      <c r="E845" t="n">
        <v>3500540</v>
      </c>
      <c r="H845" t="inlineStr">
        <is>
          <t>Ttp Technologies Private Ltd</t>
        </is>
      </c>
      <c r="P845" t="n">
        <v>1505</v>
      </c>
      <c r="Q845" t="n">
        <v>1465</v>
      </c>
      <c r="W845" t="inlineStr">
        <is>
          <t>22.23-0-2-ERW 2 MAHS-PE</t>
        </is>
      </c>
      <c r="BC845" t="inlineStr">
        <is>
          <t>40-30-2-ERW 1-FC</t>
        </is>
      </c>
    </row>
    <row r="846">
      <c r="D846" t="n">
        <v>3572033</v>
      </c>
      <c r="E846" t="n">
        <v>3501438</v>
      </c>
      <c r="H846" t="inlineStr">
        <is>
          <t>Ttp Technologies Private Ltd</t>
        </is>
      </c>
      <c r="P846" t="n">
        <v>1506</v>
      </c>
      <c r="Q846" t="n">
        <v>1466</v>
      </c>
      <c r="W846" t="inlineStr">
        <is>
          <t>check tdc</t>
        </is>
      </c>
      <c r="BC846" t="inlineStr">
        <is>
          <t>40-30-2-ERW 1-FC</t>
        </is>
      </c>
    </row>
    <row r="847">
      <c r="D847" t="n">
        <v>3572033</v>
      </c>
      <c r="E847" t="n">
        <v>3502422</v>
      </c>
      <c r="H847" t="inlineStr">
        <is>
          <t>Ttp Technologies Private Ltd</t>
        </is>
      </c>
      <c r="P847" t="n">
        <v>1507</v>
      </c>
      <c r="Q847" t="n">
        <v>1467</v>
      </c>
      <c r="W847" t="inlineStr">
        <is>
          <t>check tdc</t>
        </is>
      </c>
      <c r="BC847" t="inlineStr">
        <is>
          <t>40-30-2-ERW 1-FC</t>
        </is>
      </c>
    </row>
    <row r="848">
      <c r="D848" t="n">
        <v>3572033</v>
      </c>
      <c r="E848" t="n">
        <v>3545983</v>
      </c>
      <c r="H848" t="inlineStr">
        <is>
          <t>Ttp Technologies Private Ltd</t>
        </is>
      </c>
      <c r="P848" t="n">
        <v>1508</v>
      </c>
      <c r="Q848" t="n">
        <v>1468</v>
      </c>
      <c r="W848" t="inlineStr">
        <is>
          <t>check tdc</t>
        </is>
      </c>
      <c r="BC848" t="inlineStr">
        <is>
          <t>40-30-2-ERW 1-FC</t>
        </is>
      </c>
    </row>
    <row r="849">
      <c r="D849" t="n">
        <v>3572033</v>
      </c>
      <c r="E849" t="n">
        <v>3502725</v>
      </c>
      <c r="H849" t="inlineStr">
        <is>
          <t>Ttp Technologies Private Ltd</t>
        </is>
      </c>
      <c r="P849" t="n">
        <v>1509</v>
      </c>
      <c r="Q849" t="n">
        <v>1469</v>
      </c>
      <c r="W849" t="inlineStr">
        <is>
          <t>check tdc</t>
        </is>
      </c>
      <c r="BC849" t="inlineStr">
        <is>
          <t>40-40-1.2-CRFH-PE</t>
        </is>
      </c>
    </row>
    <row r="850">
      <c r="D850" t="n">
        <v>3572033</v>
      </c>
      <c r="E850" t="n">
        <v>3499123</v>
      </c>
      <c r="H850" t="inlineStr">
        <is>
          <t>Ttp Technologies Private Ltd</t>
        </is>
      </c>
      <c r="P850" t="n">
        <v>1510</v>
      </c>
      <c r="Q850" t="n">
        <v>1470</v>
      </c>
      <c r="W850" t="inlineStr">
        <is>
          <t>check tdc</t>
        </is>
      </c>
      <c r="BC850" t="inlineStr">
        <is>
          <t>40-40-1.2-CRFH-PE</t>
        </is>
      </c>
    </row>
    <row r="851">
      <c r="D851" t="n">
        <v>3572033</v>
      </c>
      <c r="E851" t="n">
        <v>3772811</v>
      </c>
      <c r="H851" t="inlineStr">
        <is>
          <t>Ttp Technologies Private Ltd</t>
        </is>
      </c>
      <c r="P851" t="n">
        <v>1511</v>
      </c>
      <c r="Q851" t="n">
        <v>1471</v>
      </c>
      <c r="W851" t="inlineStr">
        <is>
          <t>check tdc</t>
        </is>
      </c>
      <c r="BC851" t="inlineStr">
        <is>
          <t>40-40-1.2-CRFH-PE</t>
        </is>
      </c>
    </row>
    <row r="852">
      <c r="D852" t="n">
        <v>3572033</v>
      </c>
      <c r="E852" t="n">
        <v>2427158</v>
      </c>
      <c r="H852" t="inlineStr">
        <is>
          <t>Ttp Technologies Private Ltd</t>
        </is>
      </c>
      <c r="P852" t="n">
        <v>1512</v>
      </c>
      <c r="Q852" t="n">
        <v>1472</v>
      </c>
      <c r="W852" t="inlineStr">
        <is>
          <t>check tdc</t>
        </is>
      </c>
      <c r="BC852" t="inlineStr">
        <is>
          <t>40-40-1.2-CRFH-PE</t>
        </is>
      </c>
    </row>
    <row r="853">
      <c r="D853" t="n">
        <v>3572033</v>
      </c>
      <c r="E853" t="n">
        <v>3780004</v>
      </c>
      <c r="H853" t="inlineStr">
        <is>
          <t>Ttp Technologies Private Ltd</t>
        </is>
      </c>
      <c r="P853" t="n">
        <v>1513</v>
      </c>
      <c r="Q853" t="n">
        <v>1473</v>
      </c>
      <c r="W853" t="inlineStr">
        <is>
          <t>check tdc</t>
        </is>
      </c>
      <c r="BC853" t="inlineStr">
        <is>
          <t>40-40-1.2-CRFH-PE</t>
        </is>
      </c>
    </row>
    <row r="854">
      <c r="D854" t="n">
        <v>3230485</v>
      </c>
      <c r="E854" t="n">
        <v>3775637</v>
      </c>
      <c r="H854" t="inlineStr">
        <is>
          <t>Ttp Technologies Private Ltd</t>
        </is>
      </c>
      <c r="P854" t="n">
        <v>1514</v>
      </c>
      <c r="Q854" t="n">
        <v>1474</v>
      </c>
      <c r="W854" t="inlineStr">
        <is>
          <t>25.4-0-2.5-ERW 1-FC</t>
        </is>
      </c>
      <c r="BC854" t="inlineStr">
        <is>
          <t>40-40-1.2-CRFH-PE</t>
        </is>
      </c>
    </row>
    <row r="855">
      <c r="D855" t="n">
        <v>3230485</v>
      </c>
      <c r="E855" t="n">
        <v>1940879</v>
      </c>
      <c r="H855" t="inlineStr">
        <is>
          <t>Ttp Technologies Private Ltd</t>
        </is>
      </c>
      <c r="P855" t="n">
        <v>1515</v>
      </c>
      <c r="Q855" t="n">
        <v>1475</v>
      </c>
      <c r="W855" t="inlineStr">
        <is>
          <t>25.4-0-2.5-ERW 1-FC</t>
        </is>
      </c>
      <c r="BC855" t="inlineStr">
        <is>
          <t>40-40-1.2-CRFH-PE</t>
        </is>
      </c>
    </row>
    <row r="856">
      <c r="D856" t="n">
        <v>3230485</v>
      </c>
      <c r="E856" t="n">
        <v>3780005</v>
      </c>
      <c r="H856" t="inlineStr">
        <is>
          <t>Ttp Technologies Private Ltd</t>
        </is>
      </c>
      <c r="P856" t="n">
        <v>1516</v>
      </c>
      <c r="Q856" t="n">
        <v>1476</v>
      </c>
      <c r="W856" t="inlineStr">
        <is>
          <t>25.4-0-2.5-ERW 1-FC</t>
        </is>
      </c>
      <c r="BC856" t="inlineStr">
        <is>
          <t>32-0-4.5-CEW-CEW</t>
        </is>
      </c>
    </row>
    <row r="857">
      <c r="D857" t="n">
        <v>3230485</v>
      </c>
      <c r="E857" t="n">
        <v>3775638</v>
      </c>
      <c r="H857" t="inlineStr">
        <is>
          <t>Ttp Technologies Private Ltd</t>
        </is>
      </c>
      <c r="P857" t="n">
        <v>1517</v>
      </c>
      <c r="Q857" t="n">
        <v>1477</v>
      </c>
      <c r="W857" t="inlineStr">
        <is>
          <t>25.4-0-2.5-ERW 1-FC</t>
        </is>
      </c>
      <c r="BC857" t="inlineStr">
        <is>
          <t>32-0-4.5-CEW-CEW</t>
        </is>
      </c>
    </row>
    <row r="858">
      <c r="D858" t="n">
        <v>3230485</v>
      </c>
      <c r="E858" t="n">
        <v>2430128</v>
      </c>
      <c r="H858" t="inlineStr">
        <is>
          <t>Ttp Technologies Private Ltd</t>
        </is>
      </c>
      <c r="P858" t="n">
        <v>1518</v>
      </c>
      <c r="Q858" t="n">
        <v>1478</v>
      </c>
      <c r="W858" t="inlineStr">
        <is>
          <t>25-25-1.2-CRFH-PE</t>
        </is>
      </c>
      <c r="BC858" t="inlineStr">
        <is>
          <t>41.28-0-2.6-ERW 1-FC</t>
        </is>
      </c>
    </row>
    <row r="859">
      <c r="D859" t="n">
        <v>3230485</v>
      </c>
      <c r="E859" t="n">
        <v>2325414</v>
      </c>
      <c r="H859" t="inlineStr">
        <is>
          <t>Ttp Technologies Private Ltd</t>
        </is>
      </c>
      <c r="P859" t="n">
        <v>1519</v>
      </c>
      <c r="Q859" t="n">
        <v>1481</v>
      </c>
      <c r="W859" t="inlineStr">
        <is>
          <t>38.1-0-1.6-ERW 1-FC</t>
        </is>
      </c>
      <c r="BC859" t="inlineStr">
        <is>
          <t>41.28-0-2.6-ERW 1-FC</t>
        </is>
      </c>
    </row>
    <row r="860">
      <c r="D860" t="n">
        <v>3230485</v>
      </c>
      <c r="E860" t="n">
        <v>3219709</v>
      </c>
      <c r="H860" t="inlineStr">
        <is>
          <t>Ttp Technologies Private Ltd</t>
        </is>
      </c>
      <c r="P860" t="n">
        <v>1520</v>
      </c>
      <c r="Q860" t="n">
        <v>1482</v>
      </c>
      <c r="W860" t="inlineStr">
        <is>
          <t>25-25-1.2-CRFH-PE</t>
        </is>
      </c>
      <c r="BC860" t="inlineStr">
        <is>
          <t>41.28-0-2.6-ERW 1-FC</t>
        </is>
      </c>
    </row>
    <row r="861">
      <c r="D861" t="n">
        <v>3230485</v>
      </c>
      <c r="E861" t="n">
        <v>1940881</v>
      </c>
      <c r="H861" t="inlineStr">
        <is>
          <t>Ttp Technologies Private Ltd</t>
        </is>
      </c>
      <c r="P861" t="n">
        <v>1521</v>
      </c>
      <c r="Q861" t="n">
        <v>1483</v>
      </c>
      <c r="W861" t="inlineStr">
        <is>
          <t>25-25-1.2-CRFH-PE</t>
        </is>
      </c>
      <c r="BC861" t="inlineStr">
        <is>
          <t>41.28-0-2.6-ERW 1-FC</t>
        </is>
      </c>
    </row>
    <row r="862">
      <c r="D862" t="n">
        <v>3230485</v>
      </c>
      <c r="E862" t="n">
        <v>1938127</v>
      </c>
      <c r="H862" t="inlineStr">
        <is>
          <t>Ttp Technologies Private Ltd</t>
        </is>
      </c>
      <c r="P862" t="n">
        <v>1522</v>
      </c>
      <c r="Q862" t="n">
        <v>1484</v>
      </c>
      <c r="W862" t="inlineStr">
        <is>
          <t>25-25-1.2-CRFH-PE</t>
        </is>
      </c>
      <c r="BC862" t="inlineStr">
        <is>
          <t>41.28-0-2.6-ERW 1-FC</t>
        </is>
      </c>
    </row>
    <row r="863">
      <c r="D863" t="n">
        <v>3230485</v>
      </c>
      <c r="E863" t="n">
        <v>468843</v>
      </c>
      <c r="H863" t="inlineStr">
        <is>
          <t>SREE VENKATESWARA ENTERPRISES</t>
        </is>
      </c>
      <c r="P863" t="n">
        <v>1523</v>
      </c>
      <c r="Q863" t="n">
        <v>1485</v>
      </c>
      <c r="W863" t="inlineStr">
        <is>
          <t>25-25-1.2-CRFH-PE</t>
        </is>
      </c>
      <c r="BC863" t="inlineStr">
        <is>
          <t>41.28-0-2.6-ERW 1-FC</t>
        </is>
      </c>
    </row>
    <row r="864">
      <c r="D864" t="n">
        <v>3230485</v>
      </c>
      <c r="E864" t="n">
        <v>1931849</v>
      </c>
      <c r="H864" t="inlineStr">
        <is>
          <t>SREE VENKATESWARA ENTERPRISES</t>
        </is>
      </c>
      <c r="P864" t="n">
        <v>1524</v>
      </c>
      <c r="Q864" t="n">
        <v>1486</v>
      </c>
      <c r="W864" t="inlineStr">
        <is>
          <t>25-25-1.2-CRFH-PE</t>
        </is>
      </c>
      <c r="BC864" t="inlineStr">
        <is>
          <t>41.28-0-2.6-ERW 1-FC</t>
        </is>
      </c>
    </row>
    <row r="865">
      <c r="D865" t="n">
        <v>3230485</v>
      </c>
      <c r="E865" t="n">
        <v>3500641</v>
      </c>
      <c r="H865" t="inlineStr">
        <is>
          <t>SREE VENKATESWARA ENTERPRISES</t>
        </is>
      </c>
      <c r="P865" t="n">
        <v>1525</v>
      </c>
      <c r="Q865" t="n">
        <v>1487</v>
      </c>
      <c r="W865" t="inlineStr">
        <is>
          <t>25-25-1.2-CRFH-PE</t>
        </is>
      </c>
      <c r="BC865" t="inlineStr">
        <is>
          <t>41.28-0-2.9-ERW 1-PE</t>
        </is>
      </c>
    </row>
    <row r="866">
      <c r="D866" t="n">
        <v>3230485</v>
      </c>
      <c r="E866" t="n">
        <v>3531648</v>
      </c>
      <c r="H866" t="inlineStr">
        <is>
          <t>SREE VENKATESWARA ENTERPRISES</t>
        </is>
      </c>
      <c r="P866" t="n">
        <v>1526</v>
      </c>
      <c r="Q866" t="n">
        <v>1488</v>
      </c>
      <c r="W866" t="inlineStr">
        <is>
          <t>25-25-1.2-CRFH-PE</t>
        </is>
      </c>
      <c r="BC866" t="inlineStr">
        <is>
          <t>41.28-0-3.2-ERW 1-FC</t>
        </is>
      </c>
    </row>
    <row r="867">
      <c r="D867" t="n">
        <v>3230485</v>
      </c>
      <c r="E867" t="n">
        <v>1932730</v>
      </c>
      <c r="H867" t="inlineStr">
        <is>
          <t>SREE VENKATESWARA ENTERPRISES</t>
        </is>
      </c>
      <c r="P867" t="n">
        <v>1527</v>
      </c>
      <c r="Q867" t="n">
        <v>1489</v>
      </c>
      <c r="W867" t="inlineStr">
        <is>
          <t>25-25-1.2-CRFH-PE</t>
        </is>
      </c>
      <c r="BC867" t="inlineStr">
        <is>
          <t>41.28-0-3.2-ERW 1-FC</t>
        </is>
      </c>
    </row>
    <row r="868">
      <c r="D868" t="n">
        <v>3230485</v>
      </c>
      <c r="E868" t="n">
        <v>3508740</v>
      </c>
      <c r="H868" t="inlineStr">
        <is>
          <t>SREE VENKATESWARA ENTERPRISES</t>
        </is>
      </c>
      <c r="P868" t="n">
        <v>1528</v>
      </c>
      <c r="Q868" t="n">
        <v>1490</v>
      </c>
      <c r="W868" t="inlineStr">
        <is>
          <t>25-25-1.2-CRFH-PE</t>
        </is>
      </c>
      <c r="BC868" t="inlineStr">
        <is>
          <t>41.28-0-3.2-ERW 1-FC</t>
        </is>
      </c>
    </row>
    <row r="869">
      <c r="D869" t="n">
        <v>3230485</v>
      </c>
      <c r="E869" t="n">
        <v>2353927</v>
      </c>
      <c r="H869" t="inlineStr">
        <is>
          <t>SREE VENKATESWARA ENTERPRISES</t>
        </is>
      </c>
      <c r="P869" t="n">
        <v>1529</v>
      </c>
      <c r="Q869" t="n">
        <v>1491</v>
      </c>
      <c r="W869" t="inlineStr">
        <is>
          <t>25-25-1.2-CRFH-PE</t>
        </is>
      </c>
      <c r="BC869" t="inlineStr">
        <is>
          <t>41.28-0-3.2-ERW 1-FC</t>
        </is>
      </c>
    </row>
    <row r="870">
      <c r="D870" t="n">
        <v>3230485</v>
      </c>
      <c r="E870" t="n">
        <v>1399336</v>
      </c>
      <c r="H870" t="inlineStr">
        <is>
          <t>SREE VENKATESWARA ENTERPRISES</t>
        </is>
      </c>
      <c r="P870" t="n">
        <v>1536</v>
      </c>
      <c r="Q870" t="n">
        <v>1492</v>
      </c>
      <c r="W870" t="inlineStr">
        <is>
          <t>25-25-1.2-CRFH-PE</t>
        </is>
      </c>
      <c r="BC870" t="inlineStr">
        <is>
          <t>41.28-0-3.2-ERW 1-FC</t>
        </is>
      </c>
    </row>
    <row r="871">
      <c r="D871" t="n">
        <v>3230485</v>
      </c>
      <c r="E871" t="n">
        <v>2396464</v>
      </c>
      <c r="H871" t="inlineStr">
        <is>
          <t>SREE VENKATESWARA ENTERPRISES</t>
        </is>
      </c>
      <c r="P871" t="n">
        <v>1537</v>
      </c>
      <c r="Q871" t="n">
        <v>1493</v>
      </c>
      <c r="W871" t="inlineStr">
        <is>
          <t>25-25-1.2-CRFH-PE</t>
        </is>
      </c>
      <c r="BC871" t="inlineStr">
        <is>
          <t>41.28-0-3.2-ERW 1-FC</t>
        </is>
      </c>
    </row>
    <row r="872">
      <c r="D872" t="n">
        <v>3230485</v>
      </c>
      <c r="E872" t="n">
        <v>3711330</v>
      </c>
      <c r="H872" t="inlineStr">
        <is>
          <t>SREE VENKATESWARA ENTERPRISES</t>
        </is>
      </c>
      <c r="P872" t="n">
        <v>1538</v>
      </c>
      <c r="Q872" t="n">
        <v>1495</v>
      </c>
      <c r="W872" t="inlineStr">
        <is>
          <t>25-25-1.2-CRFH-PE</t>
        </is>
      </c>
      <c r="BC872" t="inlineStr">
        <is>
          <t>41.28-0-3.2-ERW 1-FC</t>
        </is>
      </c>
    </row>
    <row r="873">
      <c r="D873" t="n">
        <v>3230485</v>
      </c>
      <c r="E873" t="n">
        <v>1474091</v>
      </c>
      <c r="H873" t="inlineStr">
        <is>
          <t>SREE VENKATESWARA ENTERPRISES</t>
        </is>
      </c>
      <c r="P873" t="n">
        <v>1539</v>
      </c>
      <c r="Q873" t="n">
        <v>1496</v>
      </c>
      <c r="W873" t="inlineStr">
        <is>
          <t>25-25-1.2-CRFH-PE</t>
        </is>
      </c>
      <c r="BC873" t="inlineStr">
        <is>
          <t>41.28-0-3.2-ERW 1-FC</t>
        </is>
      </c>
    </row>
    <row r="874">
      <c r="D874" t="n">
        <v>3230485</v>
      </c>
      <c r="E874" t="n">
        <v>277172</v>
      </c>
      <c r="H874" t="inlineStr">
        <is>
          <t>SREE VENKATESWARA ENTERPRISES</t>
        </is>
      </c>
      <c r="P874" t="n">
        <v>1540</v>
      </c>
      <c r="Q874" t="n">
        <v>1497</v>
      </c>
      <c r="W874" t="inlineStr">
        <is>
          <t>25-25-1.2-CRFH-PE</t>
        </is>
      </c>
      <c r="BC874" t="inlineStr">
        <is>
          <t>41.28-0-3.2-ERW 1-FC</t>
        </is>
      </c>
    </row>
    <row r="875">
      <c r="D875" t="n">
        <v>3230485</v>
      </c>
      <c r="E875" t="n">
        <v>2427938</v>
      </c>
      <c r="H875" t="inlineStr">
        <is>
          <t>SREE VENKATESWARA ENTERPRISES</t>
        </is>
      </c>
      <c r="P875" t="n">
        <v>1541</v>
      </c>
      <c r="Q875" t="n">
        <v>1500</v>
      </c>
      <c r="W875" t="inlineStr">
        <is>
          <t>25-25-1.2-CRFH-PE</t>
        </is>
      </c>
      <c r="BC875" t="inlineStr">
        <is>
          <t>42.7-0-1.6-ERW 2-FC-HMSIL</t>
        </is>
      </c>
    </row>
    <row r="876">
      <c r="D876" t="n">
        <v>3230485</v>
      </c>
      <c r="E876" t="n">
        <v>3727461</v>
      </c>
      <c r="H876" t="inlineStr">
        <is>
          <t>SREE VENKATESWARA ENTERPRISES</t>
        </is>
      </c>
      <c r="P876" t="n">
        <v>1542</v>
      </c>
      <c r="Q876" t="n">
        <v>1501</v>
      </c>
      <c r="W876" t="inlineStr">
        <is>
          <t>25-25-1.2-CRFH-PE</t>
        </is>
      </c>
      <c r="BC876" t="inlineStr">
        <is>
          <t>42.7-0-3.5-ERW 1-FC</t>
        </is>
      </c>
    </row>
    <row r="877">
      <c r="D877" t="n">
        <v>3230485</v>
      </c>
      <c r="E877" t="n">
        <v>3616160</v>
      </c>
      <c r="H877" t="inlineStr">
        <is>
          <t>SREE VENKATESWARA ENTERPRISES</t>
        </is>
      </c>
      <c r="P877" t="n">
        <v>1543</v>
      </c>
      <c r="Q877" t="n">
        <v>1502</v>
      </c>
      <c r="W877" t="inlineStr">
        <is>
          <t>25-25-1.2-CRFH-PE</t>
        </is>
      </c>
      <c r="BC877" t="inlineStr">
        <is>
          <t>42.7-0-3.5-ERW 1-FC</t>
        </is>
      </c>
    </row>
    <row r="878">
      <c r="D878" t="n">
        <v>3230485</v>
      </c>
      <c r="E878" t="n">
        <v>460176</v>
      </c>
      <c r="H878" t="inlineStr">
        <is>
          <t>Surya Steels</t>
        </is>
      </c>
      <c r="P878" t="n">
        <v>1544</v>
      </c>
      <c r="Q878" t="n">
        <v>1503</v>
      </c>
      <c r="W878" t="inlineStr">
        <is>
          <t>40-25-1.6-ERW 1-FC</t>
        </is>
      </c>
      <c r="BC878" t="inlineStr">
        <is>
          <t>42.7-0-3.5-ERW 1-FC</t>
        </is>
      </c>
    </row>
    <row r="879">
      <c r="D879" t="n">
        <v>3230485</v>
      </c>
      <c r="E879" t="n">
        <v>3182342</v>
      </c>
      <c r="H879" t="inlineStr">
        <is>
          <t>Surya Steels</t>
        </is>
      </c>
      <c r="P879" t="n">
        <v>1545</v>
      </c>
      <c r="Q879" t="n">
        <v>1504</v>
      </c>
      <c r="W879" t="inlineStr">
        <is>
          <t>40-25-1.6-ERW 1-FC</t>
        </is>
      </c>
      <c r="BC879" t="inlineStr">
        <is>
          <t>42.7-0-3.5-ERW 1-FC</t>
        </is>
      </c>
    </row>
    <row r="880">
      <c r="D880" t="n">
        <v>3230485</v>
      </c>
      <c r="E880" t="n">
        <v>3157631</v>
      </c>
      <c r="H880" t="inlineStr">
        <is>
          <t>Surya Steels</t>
        </is>
      </c>
      <c r="P880" t="n">
        <v>1546</v>
      </c>
      <c r="Q880" t="n">
        <v>1505</v>
      </c>
      <c r="W880" t="inlineStr">
        <is>
          <t>40-25-1.6-ERW 1-FC</t>
        </is>
      </c>
      <c r="BC880" t="inlineStr">
        <is>
          <t>42.7-0-3.5-ERW 1-FC</t>
        </is>
      </c>
    </row>
    <row r="881">
      <c r="D881" t="n">
        <v>3230485</v>
      </c>
      <c r="E881" t="n">
        <v>3732177</v>
      </c>
      <c r="H881" t="inlineStr">
        <is>
          <t>Surya Steels</t>
        </is>
      </c>
      <c r="P881" t="n">
        <v>1547</v>
      </c>
      <c r="Q881" t="n">
        <v>1506</v>
      </c>
      <c r="W881" t="inlineStr">
        <is>
          <t>40-25-1.6-ERW 1-FC</t>
        </is>
      </c>
      <c r="BC881" t="inlineStr">
        <is>
          <t>42.7-0-3.5-ERW 1-FC</t>
        </is>
      </c>
    </row>
    <row r="882">
      <c r="D882" t="n">
        <v>3230485</v>
      </c>
      <c r="E882" t="n">
        <v>3768906</v>
      </c>
      <c r="H882" t="inlineStr">
        <is>
          <t>Surya Steels</t>
        </is>
      </c>
      <c r="P882" t="n">
        <v>1548</v>
      </c>
      <c r="Q882" t="n">
        <v>1507</v>
      </c>
      <c r="W882" t="inlineStr">
        <is>
          <t>40-25-1.6-ERW 1-FC</t>
        </is>
      </c>
      <c r="BC882" t="inlineStr">
        <is>
          <t>42.7-0-3.5-ERW 1-FC</t>
        </is>
      </c>
    </row>
    <row r="883">
      <c r="D883" t="n">
        <v>3233560</v>
      </c>
      <c r="E883" t="n">
        <v>2440972</v>
      </c>
      <c r="H883" t="inlineStr">
        <is>
          <t>Surya Steels</t>
        </is>
      </c>
      <c r="P883" t="n">
        <v>1549</v>
      </c>
      <c r="Q883" t="n">
        <v>1508</v>
      </c>
      <c r="W883" t="inlineStr">
        <is>
          <t>40-25-1.6-ERW 1-FC</t>
        </is>
      </c>
      <c r="BC883" t="inlineStr">
        <is>
          <t>42.7-0-3.5-ERW 1-FC</t>
        </is>
      </c>
    </row>
    <row r="884">
      <c r="D884" t="n">
        <v>3233560</v>
      </c>
      <c r="E884" t="n">
        <v>3731697</v>
      </c>
      <c r="H884" t="inlineStr">
        <is>
          <t>Surya Steels</t>
        </is>
      </c>
      <c r="P884" t="n">
        <v>1550</v>
      </c>
      <c r="Q884" t="n">
        <v>1509</v>
      </c>
      <c r="W884" t="inlineStr">
        <is>
          <t>40-25-1.6-ERW 1-FC</t>
        </is>
      </c>
      <c r="BC884" t="inlineStr">
        <is>
          <t>42.7-0-3.5-ERW 1-FC</t>
        </is>
      </c>
    </row>
    <row r="885">
      <c r="D885" t="n">
        <v>3233560</v>
      </c>
      <c r="E885" t="n">
        <v>1174860</v>
      </c>
      <c r="H885" t="inlineStr">
        <is>
          <t>Surya Steels</t>
        </is>
      </c>
      <c r="P885" t="n">
        <v>1551</v>
      </c>
      <c r="Q885" t="n">
        <v>1510</v>
      </c>
      <c r="W885" t="inlineStr">
        <is>
          <t>25.4-0-1.2-ERW 1-PE</t>
        </is>
      </c>
      <c r="BC885" t="inlineStr">
        <is>
          <t>42.7-0-3.5-ERW 1-FC</t>
        </is>
      </c>
    </row>
    <row r="886">
      <c r="D886" t="n">
        <v>3233560</v>
      </c>
      <c r="E886" t="n">
        <v>1940911</v>
      </c>
      <c r="H886" t="inlineStr">
        <is>
          <t>Surya Steels</t>
        </is>
      </c>
      <c r="P886" t="n">
        <v>1552</v>
      </c>
      <c r="Q886" t="n">
        <v>1511</v>
      </c>
      <c r="W886" t="inlineStr">
        <is>
          <t>25.4-0-1.2-ERW 1-PE</t>
        </is>
      </c>
      <c r="BC886" t="inlineStr">
        <is>
          <t>42.7-0-4-ERW 1-FC</t>
        </is>
      </c>
    </row>
    <row r="887">
      <c r="D887" t="n">
        <v>3233560</v>
      </c>
      <c r="E887" t="n">
        <v>3542858</v>
      </c>
      <c r="H887" t="inlineStr">
        <is>
          <t>Surya Steels</t>
        </is>
      </c>
      <c r="P887" t="n">
        <v>1553</v>
      </c>
      <c r="Q887" t="n">
        <v>1512</v>
      </c>
      <c r="W887" t="inlineStr">
        <is>
          <t>25.4-0-1.2-ERW 1-PE</t>
        </is>
      </c>
      <c r="BC887" t="inlineStr">
        <is>
          <t>42.7-0-4-ERW 1-FC</t>
        </is>
      </c>
    </row>
    <row r="888">
      <c r="D888" t="n">
        <v>3233560</v>
      </c>
      <c r="E888" t="n">
        <v>1342334</v>
      </c>
      <c r="H888" t="inlineStr">
        <is>
          <t>Surya Steels</t>
        </is>
      </c>
      <c r="P888" t="n">
        <v>1554</v>
      </c>
      <c r="Q888" t="n">
        <v>1513</v>
      </c>
      <c r="W888" t="inlineStr">
        <is>
          <t>25.4-0-1.2-ERW 1-PE</t>
        </is>
      </c>
      <c r="BC888" t="inlineStr">
        <is>
          <t>42.7-0-4-ERW 1-FC</t>
        </is>
      </c>
    </row>
    <row r="889">
      <c r="D889" t="n">
        <v>3233560</v>
      </c>
      <c r="E889" t="n">
        <v>1248570</v>
      </c>
      <c r="H889" t="inlineStr">
        <is>
          <t>C.S.K.Tube Corporation</t>
        </is>
      </c>
      <c r="P889" t="n">
        <v>1555</v>
      </c>
      <c r="Q889" t="n">
        <v>1514</v>
      </c>
      <c r="W889" t="inlineStr">
        <is>
          <t>25.4-0-1.2-ERW 1-PE</t>
        </is>
      </c>
      <c r="BC889" t="inlineStr">
        <is>
          <t>42.7-0-4-ERW 1-FC</t>
        </is>
      </c>
    </row>
    <row r="890">
      <c r="D890" t="n">
        <v>3233560</v>
      </c>
      <c r="E890" t="n">
        <v>3542857</v>
      </c>
      <c r="H890" t="inlineStr">
        <is>
          <t>MEGH STEELS PRIVATE LIMITED - TVS A</t>
        </is>
      </c>
      <c r="P890" t="n">
        <v>1556</v>
      </c>
      <c r="Q890" t="n">
        <v>1515</v>
      </c>
      <c r="W890" t="inlineStr">
        <is>
          <t>25.4-0-1.2-ERW 1-PE</t>
        </is>
      </c>
      <c r="BC890" t="inlineStr">
        <is>
          <t>42.7-0-4-ERW 1-FC</t>
        </is>
      </c>
    </row>
    <row r="891">
      <c r="D891" t="n">
        <v>3233560</v>
      </c>
      <c r="E891" t="n">
        <v>1940913</v>
      </c>
      <c r="H891" t="inlineStr">
        <is>
          <t>MEGH STEELS PRIVATE LIMITED - TVS A</t>
        </is>
      </c>
      <c r="P891" t="n">
        <v>1557</v>
      </c>
      <c r="Q891" t="n">
        <v>1516</v>
      </c>
      <c r="W891" t="inlineStr">
        <is>
          <t>40-30-1.6-ERW 1-FC</t>
        </is>
      </c>
      <c r="BC891" t="inlineStr">
        <is>
          <t>42.7-0-4-ERW 1-FC</t>
        </is>
      </c>
    </row>
    <row r="892">
      <c r="D892" t="n">
        <v>3233560</v>
      </c>
      <c r="E892" t="n">
        <v>3500277</v>
      </c>
      <c r="H892" t="inlineStr">
        <is>
          <t>Kay Jay Forgings Pvt Ltd Unit Vi</t>
        </is>
      </c>
      <c r="P892" t="n">
        <v>1558</v>
      </c>
      <c r="Q892" t="n">
        <v>1517</v>
      </c>
      <c r="W892" t="inlineStr">
        <is>
          <t>40-30-1.6-ERW 1-FC</t>
        </is>
      </c>
      <c r="BC892" t="inlineStr">
        <is>
          <t>42.7-0-4-ERW 1-FC</t>
        </is>
      </c>
    </row>
    <row r="893">
      <c r="D893" t="n">
        <v>3233560</v>
      </c>
      <c r="E893" t="n">
        <v>3500955</v>
      </c>
      <c r="H893" t="inlineStr">
        <is>
          <t>Kay Jay Forgings Pvt Ltd Unit Vi</t>
        </is>
      </c>
      <c r="P893" t="n">
        <v>1559</v>
      </c>
      <c r="Q893" t="n">
        <v>1518</v>
      </c>
      <c r="W893" t="inlineStr">
        <is>
          <t>40-30-1.6-ERW 1-FC</t>
        </is>
      </c>
      <c r="BC893" t="inlineStr">
        <is>
          <t>42.7-0-4-ERW 1-FC</t>
        </is>
      </c>
    </row>
    <row r="894">
      <c r="D894" t="n">
        <v>3233560</v>
      </c>
      <c r="E894" t="n">
        <v>3497967</v>
      </c>
      <c r="H894" t="inlineStr">
        <is>
          <t>Kay Jay Forgings Pvt Ltd Unit Vi</t>
        </is>
      </c>
      <c r="P894" t="n">
        <v>1560</v>
      </c>
      <c r="Q894" t="n">
        <v>1519</v>
      </c>
      <c r="W894" t="inlineStr">
        <is>
          <t>31.75-0-1.2-ERW 1-FC</t>
        </is>
      </c>
      <c r="BC894" t="inlineStr">
        <is>
          <t>42.7-0-4-ERW 1-FC</t>
        </is>
      </c>
    </row>
    <row r="895">
      <c r="D895" t="n">
        <v>3233560</v>
      </c>
      <c r="E895" t="n">
        <v>3501047</v>
      </c>
      <c r="H895" t="inlineStr">
        <is>
          <t>ELKAYEM AUTO ANCILLARIES (PVT) LTD.</t>
        </is>
      </c>
      <c r="P895" t="n">
        <v>1561</v>
      </c>
      <c r="Q895" t="n">
        <v>1520</v>
      </c>
      <c r="W895" t="inlineStr">
        <is>
          <t>31.75-0-1.2-ERW 1-FC</t>
        </is>
      </c>
      <c r="BC895" t="inlineStr">
        <is>
          <t>42.7-0-4-ERW 1-FC</t>
        </is>
      </c>
    </row>
    <row r="896">
      <c r="D896" t="n">
        <v>3233560</v>
      </c>
      <c r="E896" t="n">
        <v>2356405</v>
      </c>
      <c r="H896" t="inlineStr">
        <is>
          <t>Neel Metal Products Limited</t>
        </is>
      </c>
      <c r="P896" t="n">
        <v>1562</v>
      </c>
      <c r="Q896" t="n">
        <v>1521</v>
      </c>
      <c r="W896" t="inlineStr">
        <is>
          <t>31.75-0-1.2-ERW 1-FC</t>
        </is>
      </c>
      <c r="BC896" t="inlineStr">
        <is>
          <t>42.7-0-4-ERW 1-FC</t>
        </is>
      </c>
    </row>
    <row r="897">
      <c r="D897" t="n">
        <v>3233560</v>
      </c>
      <c r="E897" t="n">
        <v>3500626</v>
      </c>
      <c r="H897" t="inlineStr">
        <is>
          <t>Neel Metal Products Limited</t>
        </is>
      </c>
      <c r="P897" t="n">
        <v>1563</v>
      </c>
      <c r="Q897" t="n">
        <v>1522</v>
      </c>
      <c r="W897" t="inlineStr">
        <is>
          <t>25.4-0-1.6-ERW 1-PE</t>
        </is>
      </c>
      <c r="BC897" t="inlineStr">
        <is>
          <t>42.7-0-4-ERW 1-FC-Ampere</t>
        </is>
      </c>
    </row>
    <row r="898">
      <c r="D898" t="n">
        <v>3230492</v>
      </c>
      <c r="E898" t="n">
        <v>3520581</v>
      </c>
      <c r="H898" t="inlineStr">
        <is>
          <t>Neel Metal Products Limited</t>
        </is>
      </c>
      <c r="P898" t="n">
        <v>1564</v>
      </c>
      <c r="Q898" t="n">
        <v>1523</v>
      </c>
      <c r="W898" t="inlineStr">
        <is>
          <t>25.4-0-1.6-ERW 1-PE</t>
        </is>
      </c>
      <c r="BC898" t="inlineStr">
        <is>
          <t>42.7-0-4-ERW 1-FC</t>
        </is>
      </c>
    </row>
    <row r="899">
      <c r="D899" t="n">
        <v>3230492</v>
      </c>
      <c r="E899" t="n">
        <v>3515489</v>
      </c>
      <c r="H899" t="inlineStr">
        <is>
          <t>Neel Metal Products Limited</t>
        </is>
      </c>
      <c r="P899" t="n">
        <v>1565</v>
      </c>
      <c r="Q899" t="n">
        <v>1524</v>
      </c>
      <c r="W899" t="inlineStr">
        <is>
          <t>25.4-0-1.6-ERW 1-PE</t>
        </is>
      </c>
      <c r="BC899" t="inlineStr">
        <is>
          <t>42.7-0-4-ERW 1-FC</t>
        </is>
      </c>
    </row>
    <row r="900">
      <c r="D900" t="n">
        <v>3230492</v>
      </c>
      <c r="E900" t="n">
        <v>3520439</v>
      </c>
      <c r="H900" t="inlineStr">
        <is>
          <t>Neel Metal Products Limited</t>
        </is>
      </c>
      <c r="P900" t="n">
        <v>1566</v>
      </c>
      <c r="Q900" t="n">
        <v>1525</v>
      </c>
      <c r="W900" t="inlineStr">
        <is>
          <t>25.4-0-1.6-ERW 1-PE</t>
        </is>
      </c>
      <c r="BC900" t="inlineStr">
        <is>
          <t>42.7-0-4-ERW 1-FC</t>
        </is>
      </c>
    </row>
    <row r="901">
      <c r="D901" t="n">
        <v>3230492</v>
      </c>
      <c r="E901" t="n">
        <v>3893101</v>
      </c>
      <c r="H901" t="inlineStr">
        <is>
          <t>Neel Metal Products Limited</t>
        </is>
      </c>
      <c r="P901" t="n">
        <v>1567</v>
      </c>
      <c r="Q901" t="n">
        <v>1526</v>
      </c>
      <c r="W901" t="inlineStr">
        <is>
          <t>25.4-0-1.6-ERW 1-PE</t>
        </is>
      </c>
      <c r="BC901" t="inlineStr">
        <is>
          <t>45--1.4-ERW 2-FIN CUT</t>
        </is>
      </c>
    </row>
    <row r="902">
      <c r="D902" t="n">
        <v>3230492</v>
      </c>
      <c r="E902" t="n">
        <v>3136139</v>
      </c>
      <c r="H902" t="inlineStr">
        <is>
          <t>Neel Metal Products Limited</t>
        </is>
      </c>
      <c r="P902" t="n">
        <v>1584</v>
      </c>
      <c r="Q902" t="n">
        <v>1527</v>
      </c>
      <c r="W902" t="inlineStr">
        <is>
          <t>25.4-0-1.6-ERW 1-PE</t>
        </is>
      </c>
      <c r="BC902" t="inlineStr">
        <is>
          <t>45--1.4-ERW 2-FIN CUT</t>
        </is>
      </c>
    </row>
    <row r="903">
      <c r="D903" t="n">
        <v>3230492</v>
      </c>
      <c r="E903" t="n">
        <v>3597590</v>
      </c>
      <c r="H903" t="inlineStr">
        <is>
          <t>Neel Metal Products Limited</t>
        </is>
      </c>
      <c r="P903" t="n">
        <v>1585</v>
      </c>
      <c r="Q903" t="n">
        <v>1528</v>
      </c>
      <c r="W903" t="inlineStr">
        <is>
          <t>25.4-0-2-ERW 1-FC</t>
        </is>
      </c>
      <c r="BC903" t="inlineStr">
        <is>
          <t>45--1.4-ERW 1-FIN CUT</t>
        </is>
      </c>
    </row>
    <row r="904">
      <c r="D904" t="n">
        <v>3230492</v>
      </c>
      <c r="E904" t="n">
        <v>3702886</v>
      </c>
      <c r="H904" t="inlineStr">
        <is>
          <t>Neel Metal Products Limited</t>
        </is>
      </c>
      <c r="P904" t="n">
        <v>1586</v>
      </c>
      <c r="Q904" t="n">
        <v>1529</v>
      </c>
      <c r="W904" t="inlineStr">
        <is>
          <t>31.75-0-1.2-ERW 1-PE</t>
        </is>
      </c>
      <c r="BC904" t="inlineStr">
        <is>
          <t>45--1.4-ERW 2-FIN CUT</t>
        </is>
      </c>
    </row>
    <row r="905">
      <c r="D905" t="n">
        <v>3230492</v>
      </c>
      <c r="E905" t="n">
        <v>3501105</v>
      </c>
      <c r="H905" t="inlineStr">
        <is>
          <t>Neel Metal Products Limited</t>
        </is>
      </c>
      <c r="P905" t="n">
        <v>1587</v>
      </c>
      <c r="Q905" t="n">
        <v>1536</v>
      </c>
      <c r="W905" t="inlineStr">
        <is>
          <t>31.75-0-1.2-ERW 1-PE</t>
        </is>
      </c>
      <c r="BC905" t="inlineStr">
        <is>
          <t>45--1.4-ERW 2-FIN CUT</t>
        </is>
      </c>
    </row>
    <row r="906">
      <c r="D906" t="n">
        <v>3230492</v>
      </c>
      <c r="E906" t="n">
        <v>2412743</v>
      </c>
      <c r="H906" t="inlineStr">
        <is>
          <t>Neel Metal Products Limited</t>
        </is>
      </c>
      <c r="P906" t="n">
        <v>1588</v>
      </c>
      <c r="Q906" t="n">
        <v>1537</v>
      </c>
      <c r="W906" t="inlineStr">
        <is>
          <t>38.1-0-1.6-ERW 1-FC</t>
        </is>
      </c>
      <c r="BC906" t="inlineStr">
        <is>
          <t>45--1.4-ERW 2-FIN CUT</t>
        </is>
      </c>
    </row>
    <row r="907">
      <c r="D907" t="n">
        <v>3230492</v>
      </c>
      <c r="E907" t="n">
        <v>3502342</v>
      </c>
      <c r="H907" t="inlineStr">
        <is>
          <t>ELKAYEM AUTO ANCILLARIES (PVT) LTD.</t>
        </is>
      </c>
      <c r="P907" t="n">
        <v>1589</v>
      </c>
      <c r="Q907" t="n">
        <v>1538</v>
      </c>
      <c r="W907" t="inlineStr">
        <is>
          <t>41.28-0-2.6-ERW 1-FC</t>
        </is>
      </c>
      <c r="BC907" t="inlineStr">
        <is>
          <t>45--1.6-ERW 2-FIN CUT</t>
        </is>
      </c>
    </row>
    <row r="908">
      <c r="D908" t="n">
        <v>3230492</v>
      </c>
      <c r="E908" t="n">
        <v>3781647</v>
      </c>
      <c r="H908" t="inlineStr">
        <is>
          <t>Neel Metal Products Limited</t>
        </is>
      </c>
      <c r="P908" t="n">
        <v>1590</v>
      </c>
      <c r="Q908" t="n">
        <v>1539</v>
      </c>
      <c r="W908" t="inlineStr">
        <is>
          <t>50-30-1.6-ERW 1-FC</t>
        </is>
      </c>
      <c r="BC908" t="inlineStr">
        <is>
          <t>45--1.6-ERW 2-FIN CUT</t>
        </is>
      </c>
    </row>
    <row r="909">
      <c r="D909" t="n">
        <v>3230492</v>
      </c>
      <c r="E909" t="n">
        <v>2420716</v>
      </c>
      <c r="H909" t="inlineStr">
        <is>
          <t>Neel Metal Products Limited</t>
        </is>
      </c>
      <c r="P909" t="n">
        <v>1591</v>
      </c>
      <c r="Q909" t="n">
        <v>1540</v>
      </c>
      <c r="W909" t="inlineStr">
        <is>
          <t>50-30-1.6-ERW 1-FC</t>
        </is>
      </c>
      <c r="BC909" t="inlineStr">
        <is>
          <t>45--1.6-ERW 2-FIN CUT</t>
        </is>
      </c>
    </row>
    <row r="910">
      <c r="D910" t="n">
        <v>3230492</v>
      </c>
      <c r="E910" t="n">
        <v>3164112</v>
      </c>
      <c r="H910" t="inlineStr">
        <is>
          <t>Neel Metal Products Limited</t>
        </is>
      </c>
      <c r="P910" t="n">
        <v>1592</v>
      </c>
      <c r="Q910" t="n">
        <v>1541</v>
      </c>
      <c r="W910" t="inlineStr">
        <is>
          <t>50-30-1.6-ERW 1-FC</t>
        </is>
      </c>
      <c r="BC910" t="inlineStr">
        <is>
          <t>check grade tdc</t>
        </is>
      </c>
    </row>
    <row r="911">
      <c r="D911" t="n">
        <v>3230492</v>
      </c>
      <c r="E911" t="n">
        <v>3781649</v>
      </c>
      <c r="H911" t="inlineStr">
        <is>
          <t>Neel Metal Products Limited</t>
        </is>
      </c>
      <c r="P911" t="n">
        <v>1593</v>
      </c>
      <c r="Q911" t="n">
        <v>1542</v>
      </c>
      <c r="W911" t="inlineStr">
        <is>
          <t>50-30-1.6-ERW 1-FC</t>
        </is>
      </c>
      <c r="BC911" t="inlineStr">
        <is>
          <t>48--1.2-ERW 1-FIN CUT</t>
        </is>
      </c>
    </row>
    <row r="912">
      <c r="D912" t="n">
        <v>3230492</v>
      </c>
      <c r="E912" t="n">
        <v>2424885</v>
      </c>
      <c r="H912" t="inlineStr">
        <is>
          <t>Rajsriya Automotive Industries(P)</t>
        </is>
      </c>
      <c r="P912" t="n">
        <v>1594</v>
      </c>
      <c r="Q912" t="n">
        <v>1543</v>
      </c>
      <c r="W912" t="inlineStr">
        <is>
          <t>50-30-1.6-ERW 1-FC</t>
        </is>
      </c>
      <c r="BC912" t="inlineStr">
        <is>
          <t>48--1.2-ERW 1-FIN CUT</t>
        </is>
      </c>
    </row>
    <row r="913">
      <c r="D913" t="n">
        <v>3230492</v>
      </c>
      <c r="E913" t="n">
        <v>3444065</v>
      </c>
      <c r="H913" t="inlineStr">
        <is>
          <t>Rajsriya Automotive Industries(P)</t>
        </is>
      </c>
      <c r="P913" t="n">
        <v>1595</v>
      </c>
      <c r="Q913" t="n">
        <v>1544</v>
      </c>
      <c r="W913" t="inlineStr">
        <is>
          <t>50-30-1.6-ERW 1-FC</t>
        </is>
      </c>
      <c r="BC913" t="inlineStr">
        <is>
          <t>48--1.2-ERW 1-FIN CUT</t>
        </is>
      </c>
    </row>
    <row r="914">
      <c r="D914" t="n">
        <v>3230492</v>
      </c>
      <c r="E914" t="n">
        <v>1940925</v>
      </c>
      <c r="H914" t="inlineStr">
        <is>
          <t>Rajsriya Automotive Industries(P)</t>
        </is>
      </c>
      <c r="P914" t="n">
        <v>1596</v>
      </c>
      <c r="Q914" t="n">
        <v>1545</v>
      </c>
      <c r="W914" t="inlineStr">
        <is>
          <t>50-30-1.6-ERW 1-FC</t>
        </is>
      </c>
      <c r="BC914" t="inlineStr">
        <is>
          <t>48--1.2-ERW 1-FIN CUT</t>
        </is>
      </c>
    </row>
    <row r="915">
      <c r="D915" t="n">
        <v>3230492</v>
      </c>
      <c r="E915" t="n">
        <v>1931843</v>
      </c>
      <c r="H915" t="inlineStr">
        <is>
          <t>Rajsriya Automotive Industries(P)</t>
        </is>
      </c>
      <c r="P915" t="n">
        <v>1597</v>
      </c>
      <c r="Q915" t="n">
        <v>1546</v>
      </c>
      <c r="W915" t="inlineStr">
        <is>
          <t>50-30-1.6-ERW 1-FC</t>
        </is>
      </c>
      <c r="BC915" t="inlineStr">
        <is>
          <t>48.6-0-1.2-ERW 1-FC</t>
        </is>
      </c>
    </row>
    <row r="916">
      <c r="D916" t="n">
        <v>3230492</v>
      </c>
      <c r="E916" t="n">
        <v>3662752</v>
      </c>
      <c r="H916" t="inlineStr">
        <is>
          <t>Rajsriya Automotive Industries(P)</t>
        </is>
      </c>
      <c r="P916" t="n">
        <v>1598</v>
      </c>
      <c r="Q916" t="n">
        <v>1547</v>
      </c>
      <c r="W916" t="inlineStr">
        <is>
          <t>50-30-1.6-ERW 1-FC</t>
        </is>
      </c>
      <c r="BC916" t="inlineStr">
        <is>
          <t>48.6--2-HST-FIN CUT</t>
        </is>
      </c>
    </row>
    <row r="917">
      <c r="D917" t="n">
        <v>3230492</v>
      </c>
      <c r="E917" t="n">
        <v>3768903</v>
      </c>
      <c r="H917" t="inlineStr">
        <is>
          <t>Rajsriya Automotive Industries(P)</t>
        </is>
      </c>
      <c r="P917" t="n">
        <v>1599</v>
      </c>
      <c r="Q917" t="n">
        <v>1548</v>
      </c>
      <c r="W917" t="inlineStr">
        <is>
          <t>50-30-1.6-ERW 1-FC</t>
        </is>
      </c>
      <c r="BC917" t="inlineStr">
        <is>
          <t>48.6--2-HST-FIN CUT</t>
        </is>
      </c>
    </row>
    <row r="918">
      <c r="D918" t="n">
        <v>3230492</v>
      </c>
      <c r="E918" t="n">
        <v>3702875</v>
      </c>
      <c r="H918" t="inlineStr">
        <is>
          <t>Rajsriya Automotive Industries(P)</t>
        </is>
      </c>
      <c r="P918" t="n">
        <v>1600</v>
      </c>
      <c r="Q918" t="n">
        <v>1549</v>
      </c>
      <c r="W918" t="inlineStr">
        <is>
          <t>50-30-1.6-ERW 1-FC</t>
        </is>
      </c>
      <c r="BC918" t="inlineStr">
        <is>
          <t>48.6--2-HST-FIN CUT</t>
        </is>
      </c>
    </row>
    <row r="919">
      <c r="D919" t="n">
        <v>3230492</v>
      </c>
      <c r="E919" t="n">
        <v>3594528</v>
      </c>
      <c r="H919" t="inlineStr">
        <is>
          <t>Rajsriya Automotive Industries(P)</t>
        </is>
      </c>
      <c r="P919" t="n">
        <v>1601</v>
      </c>
      <c r="Q919" t="n">
        <v>1550</v>
      </c>
      <c r="W919" t="inlineStr">
        <is>
          <t>50-30-1.6-ERW 1-FC</t>
        </is>
      </c>
      <c r="BC919" t="inlineStr">
        <is>
          <t>48.6--2-HST-FIN CUT</t>
        </is>
      </c>
    </row>
    <row r="920">
      <c r="D920" t="n">
        <v>3230492</v>
      </c>
      <c r="E920" t="n">
        <v>1470103</v>
      </c>
      <c r="H920" t="inlineStr">
        <is>
          <t>Rajsriya Automotive Industries(P)</t>
        </is>
      </c>
      <c r="P920" t="n">
        <v>1602</v>
      </c>
      <c r="Q920" t="n">
        <v>1551</v>
      </c>
      <c r="W920" t="inlineStr">
        <is>
          <t>50-30-1.6-ERW 1-FC</t>
        </is>
      </c>
      <c r="BC920" t="inlineStr">
        <is>
          <t>48.6--2-HST-FIN CUT</t>
        </is>
      </c>
    </row>
    <row r="921">
      <c r="D921" t="n">
        <v>3230492</v>
      </c>
      <c r="E921" t="n">
        <v>2429059</v>
      </c>
      <c r="H921" t="inlineStr">
        <is>
          <t>Rajsriya Automotive Industries(P)</t>
        </is>
      </c>
      <c r="P921" t="n">
        <v>1603</v>
      </c>
      <c r="Q921" t="n">
        <v>1552</v>
      </c>
      <c r="W921" t="inlineStr">
        <is>
          <t>50-30-1.6-ERW 1-FC</t>
        </is>
      </c>
      <c r="BC921" t="inlineStr">
        <is>
          <t>48.6--2.3-HST-FIN CUT</t>
        </is>
      </c>
    </row>
    <row r="922">
      <c r="D922" t="n">
        <v>3230492</v>
      </c>
      <c r="E922" t="n">
        <v>424601</v>
      </c>
      <c r="H922" t="inlineStr">
        <is>
          <t>Rajsriya Automotive Industries(P)</t>
        </is>
      </c>
      <c r="P922" t="n">
        <v>1604</v>
      </c>
      <c r="Q922" t="n">
        <v>1553</v>
      </c>
      <c r="W922" t="inlineStr">
        <is>
          <t>50-30-1.6-ERW 1-FC</t>
        </is>
      </c>
      <c r="BC922" t="inlineStr">
        <is>
          <t>48.6--2.3-HST-FIN CUT</t>
        </is>
      </c>
    </row>
    <row r="923">
      <c r="D923" t="n">
        <v>3230492</v>
      </c>
      <c r="E923" t="n">
        <v>1931860</v>
      </c>
      <c r="H923" t="inlineStr">
        <is>
          <t>Rajsriya Automotive Industries(P)</t>
        </is>
      </c>
      <c r="P923" t="n">
        <v>1605</v>
      </c>
      <c r="Q923" t="n">
        <v>1554</v>
      </c>
      <c r="W923" t="inlineStr">
        <is>
          <t>50-30-1.6-ERW 1-FC</t>
        </is>
      </c>
      <c r="BC923" t="inlineStr">
        <is>
          <t>48.6--2.3-HST-FIN CUT</t>
        </is>
      </c>
    </row>
    <row r="924">
      <c r="D924" t="n">
        <v>3230492</v>
      </c>
      <c r="E924" t="n">
        <v>3595229</v>
      </c>
      <c r="H924" t="inlineStr">
        <is>
          <t>Rajsriya Automotive Industries(P)</t>
        </is>
      </c>
      <c r="P924" t="n">
        <v>1606</v>
      </c>
      <c r="Q924" t="n">
        <v>1555</v>
      </c>
      <c r="W924" t="inlineStr">
        <is>
          <t>50-30-1.6-ERW 1-FC</t>
        </is>
      </c>
      <c r="BC924" t="inlineStr">
        <is>
          <t>48.6--2.3-HST-FIN CUT</t>
        </is>
      </c>
    </row>
    <row r="925">
      <c r="D925" t="n">
        <v>3230492</v>
      </c>
      <c r="H925" t="inlineStr">
        <is>
          <t>Rajsriya Automotive Industries(P)</t>
        </is>
      </c>
      <c r="P925" t="n">
        <v>1607</v>
      </c>
      <c r="Q925" t="n">
        <v>1556</v>
      </c>
      <c r="W925" t="inlineStr">
        <is>
          <t>50-30-1.6-ERW 1-FC</t>
        </is>
      </c>
      <c r="BC925" t="inlineStr">
        <is>
          <t>48.6--2.3-HST-FIN CUT</t>
        </is>
      </c>
    </row>
    <row r="926">
      <c r="D926" t="n">
        <v>3230492</v>
      </c>
      <c r="H926" t="inlineStr">
        <is>
          <t>Rajsriya Automotive Industries(P)</t>
        </is>
      </c>
      <c r="P926" t="n">
        <v>1608</v>
      </c>
      <c r="Q926" t="n">
        <v>1557</v>
      </c>
      <c r="W926" t="inlineStr">
        <is>
          <t>50-30-1.6-ERW 1-FC</t>
        </is>
      </c>
      <c r="BC926" t="inlineStr">
        <is>
          <t>48.6--2.3-HST-FIN CUT</t>
        </is>
      </c>
    </row>
    <row r="927">
      <c r="D927" t="n">
        <v>3572034</v>
      </c>
      <c r="H927" t="inlineStr">
        <is>
          <t>Rajsriya Automotive Industries(P)</t>
        </is>
      </c>
      <c r="P927" t="n">
        <v>1609</v>
      </c>
      <c r="Q927" t="n">
        <v>1558</v>
      </c>
      <c r="W927" t="inlineStr">
        <is>
          <t>50-30-1.6-ERW 1-FC</t>
        </is>
      </c>
      <c r="BC927" t="inlineStr">
        <is>
          <t>48.6-0-3.5-ERW 1-FC</t>
        </is>
      </c>
    </row>
    <row r="928">
      <c r="D928" t="n">
        <v>3572034</v>
      </c>
      <c r="H928" t="inlineStr">
        <is>
          <t>Rajsriya Automotive Industries(P)</t>
        </is>
      </c>
      <c r="P928" t="n">
        <v>1610</v>
      </c>
      <c r="Q928" t="n">
        <v>1559</v>
      </c>
      <c r="W928" t="inlineStr">
        <is>
          <t>50-30-1.6-ERW 1-FC</t>
        </is>
      </c>
      <c r="BC928" t="inlineStr">
        <is>
          <t>48.6-0-3.5-ERW 1-FC</t>
        </is>
      </c>
    </row>
    <row r="929">
      <c r="D929" t="n">
        <v>3572034</v>
      </c>
      <c r="H929" t="inlineStr">
        <is>
          <t>Rajsriya Automotive Industries(P)</t>
        </is>
      </c>
      <c r="P929" t="n">
        <v>1611</v>
      </c>
      <c r="Q929" t="n">
        <v>1560</v>
      </c>
      <c r="W929" t="inlineStr">
        <is>
          <t>50-30-1.6-ERW 1-FC</t>
        </is>
      </c>
      <c r="BC929" t="inlineStr">
        <is>
          <t>48.6-0-3.5-ERW 1-FC</t>
        </is>
      </c>
    </row>
    <row r="930">
      <c r="D930" t="n">
        <v>3572034</v>
      </c>
      <c r="H930" t="inlineStr">
        <is>
          <t>Rajsriya Automotive Industries(P)</t>
        </is>
      </c>
      <c r="P930" t="n">
        <v>1612</v>
      </c>
      <c r="Q930" t="n">
        <v>1561</v>
      </c>
      <c r="W930" t="inlineStr">
        <is>
          <t>50-30-1.6-ERW 1-FC</t>
        </is>
      </c>
      <c r="BC930" t="inlineStr">
        <is>
          <t>48.6-0-3.5-ERW 1-FC</t>
        </is>
      </c>
    </row>
    <row r="931">
      <c r="D931" t="n">
        <v>3572034</v>
      </c>
      <c r="H931" t="inlineStr">
        <is>
          <t>Rajsriya Automotive Industries(P)</t>
        </is>
      </c>
      <c r="P931" t="n">
        <v>1613</v>
      </c>
      <c r="Q931" t="n">
        <v>1562</v>
      </c>
      <c r="W931" t="inlineStr">
        <is>
          <t>50-30-1.6-ERW 1-FC</t>
        </is>
      </c>
      <c r="BC931" t="inlineStr">
        <is>
          <t>48.6-0-3.5-ERW 1-FC</t>
        </is>
      </c>
    </row>
    <row r="932">
      <c r="D932" t="n">
        <v>3572034</v>
      </c>
      <c r="H932" t="inlineStr">
        <is>
          <t>Rajsriya Automotive Industries(P)</t>
        </is>
      </c>
      <c r="P932" t="n">
        <v>1614</v>
      </c>
      <c r="Q932" t="n">
        <v>1563</v>
      </c>
      <c r="W932" t="inlineStr">
        <is>
          <t>50-30-1.6-ERW 1-FC</t>
        </is>
      </c>
      <c r="BC932" t="inlineStr">
        <is>
          <t>48.6-0-3.5-ERW 1-FC</t>
        </is>
      </c>
    </row>
    <row r="933">
      <c r="D933" t="n">
        <v>3572034</v>
      </c>
      <c r="H933" t="inlineStr">
        <is>
          <t>Rajsriya Automotive Industries(P)</t>
        </is>
      </c>
      <c r="P933" t="n">
        <v>1615</v>
      </c>
      <c r="Q933" t="n">
        <v>1564</v>
      </c>
      <c r="W933" t="inlineStr">
        <is>
          <t>28.58-0-1.6-ERW 1-FC</t>
        </is>
      </c>
      <c r="BC933" t="inlineStr">
        <is>
          <t>48.6-0-3.5-ERW 1-FC</t>
        </is>
      </c>
    </row>
    <row r="934">
      <c r="D934" t="n">
        <v>3572034</v>
      </c>
      <c r="H934" t="inlineStr">
        <is>
          <t>Rajsriya Automotive Industries(P)</t>
        </is>
      </c>
      <c r="P934" t="n">
        <v>1616</v>
      </c>
      <c r="Q934" t="n">
        <v>1565</v>
      </c>
      <c r="W934" t="inlineStr">
        <is>
          <t>28.58-0-1.6-ERW 1-FC</t>
        </is>
      </c>
      <c r="BC934" t="inlineStr">
        <is>
          <t>48.6-0-3.5-ERW 1-FC</t>
        </is>
      </c>
    </row>
    <row r="935">
      <c r="D935" t="n">
        <v>3572034</v>
      </c>
      <c r="H935" t="inlineStr">
        <is>
          <t>Rajsriya Automotive Industries(P)</t>
        </is>
      </c>
      <c r="P935" t="n">
        <v>1617</v>
      </c>
      <c r="Q935" t="n">
        <v>1566</v>
      </c>
      <c r="W935" t="inlineStr">
        <is>
          <t>28.58-0-1.6-ERW 1-FC</t>
        </is>
      </c>
      <c r="BC935" t="inlineStr">
        <is>
          <t>48.6-0-3.5-ERW 1-FC</t>
        </is>
      </c>
    </row>
    <row r="936">
      <c r="D936" t="n">
        <v>3572034</v>
      </c>
      <c r="H936" t="inlineStr">
        <is>
          <t>Rajsriya Automotive Industries(P)</t>
        </is>
      </c>
      <c r="P936" t="n">
        <v>1618</v>
      </c>
      <c r="Q936" t="n">
        <v>1567</v>
      </c>
      <c r="W936" t="inlineStr">
        <is>
          <t>40-20-1.2-CRFH-PE</t>
        </is>
      </c>
      <c r="BC936" t="inlineStr">
        <is>
          <t>48.6-0-3.5-ERW 1-FC</t>
        </is>
      </c>
    </row>
    <row r="937">
      <c r="D937" t="n">
        <v>3572034</v>
      </c>
      <c r="H937" t="inlineStr">
        <is>
          <t>Kay Jay Forgings Pvt Ltd Unit Vi</t>
        </is>
      </c>
      <c r="P937" t="n">
        <v>1619</v>
      </c>
      <c r="Q937" t="n">
        <v>1584</v>
      </c>
      <c r="W937" t="inlineStr">
        <is>
          <t>40-20-1.2-CRFH-PE</t>
        </is>
      </c>
      <c r="BC937" t="inlineStr">
        <is>
          <t>48.6-0-3.5-ERW 1-FC</t>
        </is>
      </c>
    </row>
    <row r="938">
      <c r="D938" t="n">
        <v>3572034</v>
      </c>
      <c r="H938" t="inlineStr">
        <is>
          <t>Rajsriya Automotive Industries(P)</t>
        </is>
      </c>
      <c r="P938" t="n">
        <v>1620</v>
      </c>
      <c r="Q938" t="n">
        <v>1585</v>
      </c>
      <c r="W938" t="inlineStr">
        <is>
          <t>40-20-1.2-CRFH-PE</t>
        </is>
      </c>
      <c r="BC938" t="inlineStr">
        <is>
          <t>48.6-0-3.5-ERW 1-FC</t>
        </is>
      </c>
    </row>
    <row r="939">
      <c r="D939" t="n">
        <v>3572034</v>
      </c>
      <c r="H939" t="inlineStr">
        <is>
          <t>Rajsriya Automotive Industries(P)</t>
        </is>
      </c>
      <c r="P939" t="n">
        <v>1621</v>
      </c>
      <c r="Q939" t="n">
        <v>1586</v>
      </c>
      <c r="W939" t="inlineStr">
        <is>
          <t>40-20-1.2-CRFH-PE</t>
        </is>
      </c>
      <c r="BC939" t="inlineStr">
        <is>
          <t>48.6-0-3.5-ERW 1-FC</t>
        </is>
      </c>
    </row>
    <row r="940">
      <c r="D940" t="n">
        <v>3572034</v>
      </c>
      <c r="H940" t="inlineStr">
        <is>
          <t>Rajsriya Automotive Industries(P)</t>
        </is>
      </c>
      <c r="P940" t="n">
        <v>1622</v>
      </c>
      <c r="Q940" t="n">
        <v>1587</v>
      </c>
      <c r="W940" t="inlineStr">
        <is>
          <t>40-20-1.2-CRFH-PE</t>
        </is>
      </c>
      <c r="BC940" t="inlineStr">
        <is>
          <t>48.6-0-3.5-ERW 1-FC</t>
        </is>
      </c>
    </row>
    <row r="941">
      <c r="D941" t="n">
        <v>3572035</v>
      </c>
      <c r="H941" t="inlineStr">
        <is>
          <t>Rajsriya Automotive Industries(P)</t>
        </is>
      </c>
      <c r="P941" t="n">
        <v>1623</v>
      </c>
      <c r="Q941" t="n">
        <v>1588</v>
      </c>
      <c r="W941" t="inlineStr">
        <is>
          <t>40-20-1.2-CRFH-PE</t>
        </is>
      </c>
      <c r="BC941" t="inlineStr">
        <is>
          <t>48.6-0-3.5-ERW 1-FC</t>
        </is>
      </c>
    </row>
    <row r="942">
      <c r="D942" t="n">
        <v>3572035</v>
      </c>
      <c r="H942" t="inlineStr">
        <is>
          <t>Rajsriya Automotive Industries(P)</t>
        </is>
      </c>
      <c r="P942" t="n">
        <v>1624</v>
      </c>
      <c r="Q942" t="n">
        <v>1589</v>
      </c>
      <c r="W942" t="inlineStr">
        <is>
          <t>40-20-1.2-CRFH-PE</t>
        </is>
      </c>
      <c r="BC942" t="inlineStr">
        <is>
          <t>48.6-0-3.5-ERW 1-FC</t>
        </is>
      </c>
    </row>
    <row r="943">
      <c r="D943" t="n">
        <v>3572035</v>
      </c>
      <c r="H943" t="inlineStr">
        <is>
          <t>Rajsriya Automotive Industries(P)</t>
        </is>
      </c>
      <c r="P943" t="n">
        <v>1625</v>
      </c>
      <c r="Q943" t="n">
        <v>1590</v>
      </c>
      <c r="W943" t="inlineStr">
        <is>
          <t>40-20-1.2-CRFH-PE</t>
        </is>
      </c>
      <c r="BC943" t="inlineStr">
        <is>
          <t>48.6-0-4-ERW 2-FC-Ampere</t>
        </is>
      </c>
    </row>
    <row r="944">
      <c r="D944" t="n">
        <v>3572035</v>
      </c>
      <c r="H944" t="inlineStr">
        <is>
          <t>Rajsriya Automotive Industries(P)</t>
        </is>
      </c>
      <c r="P944" t="n">
        <v>1626</v>
      </c>
      <c r="Q944" t="n">
        <v>1591</v>
      </c>
      <c r="W944" t="inlineStr">
        <is>
          <t>40-20-1.2-CRFH-PE</t>
        </is>
      </c>
      <c r="BC944" t="inlineStr">
        <is>
          <t>48.6-0-4-ERW 2-FC-Ampere</t>
        </is>
      </c>
    </row>
    <row r="945">
      <c r="D945" t="n">
        <v>3572035</v>
      </c>
      <c r="H945" t="inlineStr">
        <is>
          <t>Rajsriya Automotive Industries(P)</t>
        </is>
      </c>
      <c r="P945" t="n">
        <v>1627</v>
      </c>
      <c r="Q945" t="n">
        <v>1592</v>
      </c>
      <c r="W945" t="inlineStr">
        <is>
          <t>40-20-1.2-CRFH-PE</t>
        </is>
      </c>
      <c r="BC945" t="inlineStr">
        <is>
          <t>SLT-50-5.8-Rane-SLT</t>
        </is>
      </c>
    </row>
    <row r="946">
      <c r="D946" t="n">
        <v>3572035</v>
      </c>
      <c r="H946" t="inlineStr">
        <is>
          <t>Rajsriya Automotive Industries(P)</t>
        </is>
      </c>
      <c r="P946" t="n">
        <v>1628</v>
      </c>
      <c r="Q946" t="n">
        <v>1593</v>
      </c>
      <c r="W946" t="inlineStr">
        <is>
          <t>40-20-1.2-CRFH-PE</t>
        </is>
      </c>
      <c r="BC946" t="inlineStr">
        <is>
          <t>SLT-50-5.8-Rane-SLT</t>
        </is>
      </c>
    </row>
    <row r="947">
      <c r="D947" t="n">
        <v>3572035</v>
      </c>
      <c r="H947" t="inlineStr">
        <is>
          <t>Rajsriya Automotive Industries(P)</t>
        </is>
      </c>
      <c r="P947" t="n">
        <v>1629</v>
      </c>
      <c r="Q947" t="n">
        <v>1594</v>
      </c>
      <c r="W947" t="inlineStr">
        <is>
          <t>40-20-1.2-CRFH-PE</t>
        </is>
      </c>
      <c r="BC947" t="inlineStr">
        <is>
          <t>SLT-50-5.8-Rane-SLT</t>
        </is>
      </c>
    </row>
    <row r="948">
      <c r="D948" t="n">
        <v>3572035</v>
      </c>
      <c r="H948" t="inlineStr">
        <is>
          <t>Rajsriya Automotive Industries(P)</t>
        </is>
      </c>
      <c r="P948" t="n">
        <v>1630</v>
      </c>
      <c r="Q948" t="n">
        <v>1595</v>
      </c>
      <c r="W948" t="inlineStr">
        <is>
          <t>40-20-1.2-CRFH-PE</t>
        </is>
      </c>
      <c r="BC948" t="inlineStr">
        <is>
          <t>50-30-1.6-ERW 1-FC</t>
        </is>
      </c>
    </row>
    <row r="949">
      <c r="D949" t="n">
        <v>3572035</v>
      </c>
      <c r="H949" t="inlineStr">
        <is>
          <t>Rajsriya Automotive Industries(P)</t>
        </is>
      </c>
      <c r="P949" t="n">
        <v>1631</v>
      </c>
      <c r="Q949" t="n">
        <v>1596</v>
      </c>
      <c r="W949" t="inlineStr">
        <is>
          <t>40-20-1.2-CRFH-PE</t>
        </is>
      </c>
      <c r="BC949" t="inlineStr">
        <is>
          <t>50-30-1.6-ERW 2-FC</t>
        </is>
      </c>
    </row>
    <row r="950">
      <c r="D950" t="n">
        <v>3572035</v>
      </c>
      <c r="H950" t="inlineStr">
        <is>
          <t>Narasipur Auto Component(P)Ltd</t>
        </is>
      </c>
      <c r="P950" t="n">
        <v>1632</v>
      </c>
      <c r="Q950" t="n">
        <v>1597</v>
      </c>
      <c r="W950" t="inlineStr">
        <is>
          <t>40-20-1.2-CRFH-PE</t>
        </is>
      </c>
      <c r="BC950" t="inlineStr">
        <is>
          <t>50-30-1.6-ERW 1-FC</t>
        </is>
      </c>
    </row>
    <row r="951">
      <c r="D951" t="n">
        <v>3572035</v>
      </c>
      <c r="H951" t="inlineStr">
        <is>
          <t>Narasipur Auto Component(P)Ltd</t>
        </is>
      </c>
      <c r="P951" t="n">
        <v>1633</v>
      </c>
      <c r="Q951" t="n">
        <v>1598</v>
      </c>
      <c r="W951" t="inlineStr">
        <is>
          <t>40-20-1.2-CRFH-PE</t>
        </is>
      </c>
      <c r="BC951" t="inlineStr">
        <is>
          <t>50-30-1.6-ERW 1-FC</t>
        </is>
      </c>
    </row>
    <row r="952">
      <c r="D952" t="n">
        <v>3572035</v>
      </c>
      <c r="H952" t="inlineStr">
        <is>
          <t>Narasipur Auto Component(P)Ltd</t>
        </is>
      </c>
      <c r="P952" t="n">
        <v>1634</v>
      </c>
      <c r="Q952" t="n">
        <v>1599</v>
      </c>
      <c r="W952" t="inlineStr">
        <is>
          <t>40-20-1.2-CRFH-PE</t>
        </is>
      </c>
      <c r="BC952" t="inlineStr">
        <is>
          <t>50-30-1.6-ERW 2-FC</t>
        </is>
      </c>
    </row>
    <row r="953">
      <c r="D953" t="n">
        <v>3572035</v>
      </c>
      <c r="H953" t="inlineStr">
        <is>
          <t>Narasipur Auto Component(P)Ltd</t>
        </is>
      </c>
      <c r="P953" t="n">
        <v>1635</v>
      </c>
      <c r="Q953" t="n">
        <v>1600</v>
      </c>
      <c r="W953" t="inlineStr">
        <is>
          <t>40-20-1.2-CRFH-PE</t>
        </is>
      </c>
      <c r="BC953" t="inlineStr">
        <is>
          <t>50-30-1.6-ERW 2-FC</t>
        </is>
      </c>
    </row>
    <row r="954">
      <c r="D954" t="n">
        <v>3572035</v>
      </c>
      <c r="H954" t="inlineStr">
        <is>
          <t>Narasipur Auto Component(P)Ltd</t>
        </is>
      </c>
      <c r="P954" t="n">
        <v>1636</v>
      </c>
      <c r="Q954" t="n">
        <v>1601</v>
      </c>
      <c r="W954" t="inlineStr">
        <is>
          <t>40-20-1.2-CRFH-PE</t>
        </is>
      </c>
      <c r="BC954" t="inlineStr">
        <is>
          <t>50-30-1.6-ERW 1-FC</t>
        </is>
      </c>
    </row>
    <row r="955">
      <c r="D955" t="n">
        <v>3572036</v>
      </c>
      <c r="H955" t="inlineStr">
        <is>
          <t>Narasipur Auto Component(P)Ltd</t>
        </is>
      </c>
      <c r="P955" t="n">
        <v>1637</v>
      </c>
      <c r="Q955" t="n">
        <v>1602</v>
      </c>
      <c r="W955" t="inlineStr">
        <is>
          <t>40-20-1.2-CRFH-PE</t>
        </is>
      </c>
      <c r="BC955" t="inlineStr">
        <is>
          <t>50-30-1.6-ERW 1-FC</t>
        </is>
      </c>
    </row>
    <row r="956">
      <c r="D956" t="n">
        <v>3572036</v>
      </c>
      <c r="H956" t="inlineStr">
        <is>
          <t>Narasipur Auto Component(P)Ltd</t>
        </is>
      </c>
      <c r="P956" t="n">
        <v>1638</v>
      </c>
      <c r="Q956" t="n">
        <v>1603</v>
      </c>
      <c r="W956" t="inlineStr">
        <is>
          <t>40-20-1.2-CRFH-PE</t>
        </is>
      </c>
      <c r="BC956" t="inlineStr">
        <is>
          <t>50-30-1.6-ERW 2-FC</t>
        </is>
      </c>
    </row>
    <row r="957">
      <c r="D957" t="n">
        <v>3572036</v>
      </c>
      <c r="H957" t="inlineStr">
        <is>
          <t>Neel Metal Products Limited</t>
        </is>
      </c>
      <c r="P957" t="n">
        <v>1639</v>
      </c>
      <c r="Q957" t="n">
        <v>1604</v>
      </c>
      <c r="W957" t="inlineStr">
        <is>
          <t>40-20-1.2-CRFH-PE</t>
        </is>
      </c>
      <c r="BC957" t="inlineStr">
        <is>
          <t>50-30-2-ERW 1-FC</t>
        </is>
      </c>
    </row>
    <row r="958">
      <c r="D958" t="n">
        <v>3572036</v>
      </c>
      <c r="H958" t="inlineStr">
        <is>
          <t>Neel Metal Products Limited</t>
        </is>
      </c>
      <c r="P958" t="n">
        <v>1640</v>
      </c>
      <c r="Q958" t="n">
        <v>1605</v>
      </c>
      <c r="W958" t="inlineStr">
        <is>
          <t>40-20-1.2-CRFH-PE</t>
        </is>
      </c>
      <c r="BC958" t="inlineStr">
        <is>
          <t>50-30-2-ERW 1-FC</t>
        </is>
      </c>
    </row>
    <row r="959">
      <c r="D959" t="n">
        <v>3572036</v>
      </c>
      <c r="H959" t="inlineStr">
        <is>
          <t>Neel Metal Products Limited</t>
        </is>
      </c>
      <c r="P959" t="n">
        <v>1641</v>
      </c>
      <c r="Q959" t="n">
        <v>1606</v>
      </c>
      <c r="W959" t="inlineStr">
        <is>
          <t>40-20-1.2-CRFH-PE</t>
        </is>
      </c>
      <c r="BC959" t="inlineStr">
        <is>
          <t>50-30-2-ERW 1-FC</t>
        </is>
      </c>
    </row>
    <row r="960">
      <c r="D960" t="n">
        <v>3572036</v>
      </c>
      <c r="H960" t="inlineStr">
        <is>
          <t>Neel Metal Products Limited</t>
        </is>
      </c>
      <c r="P960" t="n">
        <v>1642</v>
      </c>
      <c r="Q960" t="n">
        <v>1607</v>
      </c>
      <c r="W960" t="inlineStr">
        <is>
          <t>40-20-1.2-CRFH-PE</t>
        </is>
      </c>
      <c r="BC960" t="inlineStr">
        <is>
          <t>check tdc for grade</t>
        </is>
      </c>
    </row>
    <row r="961">
      <c r="D961" t="n">
        <v>3572036</v>
      </c>
      <c r="H961" t="inlineStr">
        <is>
          <t>Neel Metal Products Limited</t>
        </is>
      </c>
      <c r="P961" t="n">
        <v>1643</v>
      </c>
      <c r="Q961" t="n">
        <v>1608</v>
      </c>
      <c r="W961" t="inlineStr">
        <is>
          <t>40-20-1.2-CRFH-PE</t>
        </is>
      </c>
      <c r="BC961" t="inlineStr">
        <is>
          <t>check tdc for grade</t>
        </is>
      </c>
    </row>
    <row r="962">
      <c r="D962" t="n">
        <v>3572036</v>
      </c>
      <c r="H962" t="inlineStr">
        <is>
          <t>Neel Metal Products Limited</t>
        </is>
      </c>
      <c r="P962" t="n">
        <v>1644</v>
      </c>
      <c r="Q962" t="n">
        <v>1609</v>
      </c>
      <c r="W962" t="inlineStr">
        <is>
          <t>40-20-1.2-CRFH-PE</t>
        </is>
      </c>
      <c r="BC962" t="inlineStr">
        <is>
          <t>50-50-1.6-ERW 2-PE</t>
        </is>
      </c>
    </row>
    <row r="963">
      <c r="D963" t="n">
        <v>3572036</v>
      </c>
      <c r="H963" t="inlineStr">
        <is>
          <t>Neel Metal Products Limited</t>
        </is>
      </c>
      <c r="P963" t="n">
        <v>1645</v>
      </c>
      <c r="Q963" t="n">
        <v>1610</v>
      </c>
      <c r="W963" t="inlineStr">
        <is>
          <t>40-20-1.2-CRFH-PE</t>
        </is>
      </c>
      <c r="BC963" t="inlineStr">
        <is>
          <t>check tdc for grade</t>
        </is>
      </c>
    </row>
    <row r="964">
      <c r="D964" t="n">
        <v>3572036</v>
      </c>
      <c r="H964" t="inlineStr">
        <is>
          <t>Neel Metal Products Limited</t>
        </is>
      </c>
      <c r="P964" t="n">
        <v>1646</v>
      </c>
      <c r="Q964" t="n">
        <v>1611</v>
      </c>
      <c r="W964" t="inlineStr">
        <is>
          <t>40-20-1.2-CRFH-PE</t>
        </is>
      </c>
      <c r="BC964" t="inlineStr">
        <is>
          <t>50-50-1.6-ERW 2-PE</t>
        </is>
      </c>
    </row>
    <row r="965">
      <c r="D965" t="n">
        <v>3572036</v>
      </c>
      <c r="H965" t="inlineStr">
        <is>
          <t>Neel Metal Products Limited</t>
        </is>
      </c>
      <c r="P965" t="n">
        <v>1647</v>
      </c>
      <c r="Q965" t="n">
        <v>1612</v>
      </c>
      <c r="W965" t="inlineStr">
        <is>
          <t>40-20-1.2-CRFH-PE</t>
        </is>
      </c>
      <c r="BC965" t="inlineStr">
        <is>
          <t>check tdc for grade</t>
        </is>
      </c>
    </row>
    <row r="966">
      <c r="D966" t="n">
        <v>3572036</v>
      </c>
      <c r="H966" t="inlineStr">
        <is>
          <t>Rajsriya Automotive Industries(P)</t>
        </is>
      </c>
      <c r="P966" t="n">
        <v>1648</v>
      </c>
      <c r="Q966" t="n">
        <v>1613</v>
      </c>
      <c r="W966" t="inlineStr">
        <is>
          <t>40-20-1.2-CRFH-PE</t>
        </is>
      </c>
      <c r="BC966" t="inlineStr">
        <is>
          <t>50-50-1.6-ERW 2-PE</t>
        </is>
      </c>
    </row>
    <row r="967">
      <c r="D967" t="n">
        <v>3572036</v>
      </c>
      <c r="H967" t="inlineStr">
        <is>
          <t>Rajsriya Automotive Industries(P)</t>
        </is>
      </c>
      <c r="P967" t="n">
        <v>1649</v>
      </c>
      <c r="Q967" t="n">
        <v>1614</v>
      </c>
      <c r="W967" t="inlineStr">
        <is>
          <t>40-20-1.2-CRFH-PE</t>
        </is>
      </c>
      <c r="BC967" t="inlineStr">
        <is>
          <t>50.8-0-1.4-ERW 2-FC</t>
        </is>
      </c>
    </row>
    <row r="968">
      <c r="D968" t="n">
        <v>3572036</v>
      </c>
      <c r="H968" t="inlineStr">
        <is>
          <t>Rajsriya Automotive Industries(P)</t>
        </is>
      </c>
      <c r="P968" t="n">
        <v>1650</v>
      </c>
      <c r="Q968" t="n">
        <v>1615</v>
      </c>
      <c r="W968" t="inlineStr">
        <is>
          <t>40-20-1.2-CRFH-PE</t>
        </is>
      </c>
      <c r="BC968" t="inlineStr">
        <is>
          <t>50.8-0-1.4-ERW 2-FC</t>
        </is>
      </c>
    </row>
    <row r="969">
      <c r="D969" t="n">
        <v>3572037</v>
      </c>
      <c r="H969" t="inlineStr">
        <is>
          <t>Rajsriya Automotive Industries(P)</t>
        </is>
      </c>
      <c r="P969" t="n">
        <v>1651</v>
      </c>
      <c r="Q969" t="n">
        <v>1616</v>
      </c>
      <c r="W969" t="inlineStr">
        <is>
          <t>40-20-1.2-CRFH-PE</t>
        </is>
      </c>
      <c r="BC969" t="inlineStr">
        <is>
          <t>50.8-0-1.4-ERW 2-FC</t>
        </is>
      </c>
    </row>
    <row r="970">
      <c r="D970" t="n">
        <v>3572037</v>
      </c>
      <c r="H970" t="inlineStr">
        <is>
          <t>Rajsriya Automotive Industries(P)</t>
        </is>
      </c>
      <c r="P970" t="n">
        <v>1652</v>
      </c>
      <c r="Q970" t="n">
        <v>1617</v>
      </c>
      <c r="W970" t="inlineStr">
        <is>
          <t>40-20-1.2-CRFH-PE</t>
        </is>
      </c>
      <c r="BC970" t="inlineStr">
        <is>
          <t>50.8-0-1.4-ERW 2-FC</t>
        </is>
      </c>
    </row>
    <row r="971">
      <c r="D971" t="n">
        <v>3572037</v>
      </c>
      <c r="H971" t="inlineStr">
        <is>
          <t>Rajsriya Automotive Industries(P)</t>
        </is>
      </c>
      <c r="P971" t="n">
        <v>1653</v>
      </c>
      <c r="Q971" t="n">
        <v>1618</v>
      </c>
      <c r="W971" t="inlineStr">
        <is>
          <t>40-20-1.2-CRFH-PE</t>
        </is>
      </c>
      <c r="BC971" t="inlineStr">
        <is>
          <t>50.8-0-1.6-ERW 1-FC</t>
        </is>
      </c>
    </row>
    <row r="972">
      <c r="D972" t="n">
        <v>3572037</v>
      </c>
      <c r="H972" t="inlineStr">
        <is>
          <t>Neel Metal Products Limited</t>
        </is>
      </c>
      <c r="P972" t="n">
        <v>1654</v>
      </c>
      <c r="Q972" t="n">
        <v>1619</v>
      </c>
      <c r="W972" t="inlineStr">
        <is>
          <t>40-20-1.2-CRFH-PE</t>
        </is>
      </c>
      <c r="BC972" t="inlineStr">
        <is>
          <t>50.8-0-1.6-ERW 1-FC</t>
        </is>
      </c>
    </row>
    <row r="973">
      <c r="D973" t="n">
        <v>3572037</v>
      </c>
      <c r="H973" t="inlineStr">
        <is>
          <t>Neel Metal Products Limited</t>
        </is>
      </c>
      <c r="P973" t="n">
        <v>1655</v>
      </c>
      <c r="Q973" t="n">
        <v>1620</v>
      </c>
      <c r="W973" t="inlineStr">
        <is>
          <t>40-20-1.2-CRFH-PE</t>
        </is>
      </c>
      <c r="BC973" t="inlineStr">
        <is>
          <t>50.8-0-1.6-ERW 1-FC</t>
        </is>
      </c>
    </row>
    <row r="974">
      <c r="D974" t="n">
        <v>3572037</v>
      </c>
      <c r="H974" t="inlineStr">
        <is>
          <t>Neel Metal Products Limited</t>
        </is>
      </c>
      <c r="P974" t="n">
        <v>1656</v>
      </c>
      <c r="Q974" t="n">
        <v>1621</v>
      </c>
      <c r="W974" t="inlineStr">
        <is>
          <t>40-20-1.2-CRFH-PE</t>
        </is>
      </c>
      <c r="BC974" t="inlineStr">
        <is>
          <t>54-0-3-ERW 2-FC</t>
        </is>
      </c>
    </row>
    <row r="975">
      <c r="D975" t="n">
        <v>3572037</v>
      </c>
      <c r="H975" t="inlineStr">
        <is>
          <t>Neel Metal Products Limited</t>
        </is>
      </c>
      <c r="P975" t="n">
        <v>1657</v>
      </c>
      <c r="Q975" t="n">
        <v>1622</v>
      </c>
      <c r="W975" t="inlineStr">
        <is>
          <t>40-20-1.2-CRFH-PE</t>
        </is>
      </c>
      <c r="BC975" t="inlineStr">
        <is>
          <t>54-0-3-ERW 2-FC</t>
        </is>
      </c>
    </row>
    <row r="976">
      <c r="D976" t="n">
        <v>3572037</v>
      </c>
      <c r="H976" t="inlineStr">
        <is>
          <t>Neel Metal Products Limited</t>
        </is>
      </c>
      <c r="P976" t="n">
        <v>1658</v>
      </c>
      <c r="Q976" t="n">
        <v>1623</v>
      </c>
      <c r="W976" t="inlineStr">
        <is>
          <t>40-20-1.2-CRFH-PE</t>
        </is>
      </c>
      <c r="BC976" t="inlineStr">
        <is>
          <t>54-0-3-ERW 2-FC</t>
        </is>
      </c>
    </row>
    <row r="977">
      <c r="D977" t="n">
        <v>3572037</v>
      </c>
      <c r="H977" t="inlineStr">
        <is>
          <t>Neel Metal Products Limited</t>
        </is>
      </c>
      <c r="P977" t="n">
        <v>1659</v>
      </c>
      <c r="Q977" t="n">
        <v>1624</v>
      </c>
      <c r="W977" t="inlineStr">
        <is>
          <t>40-20-1.2-CRFH-PE</t>
        </is>
      </c>
      <c r="BC977" t="inlineStr">
        <is>
          <t>54-0-3-ERW 2-FC</t>
        </is>
      </c>
    </row>
    <row r="978">
      <c r="D978" t="n">
        <v>3572037</v>
      </c>
      <c r="H978" t="inlineStr">
        <is>
          <t>Neel Metal Products Limited</t>
        </is>
      </c>
      <c r="P978" t="n">
        <v>1660</v>
      </c>
      <c r="Q978" t="n">
        <v>1625</v>
      </c>
      <c r="W978" t="inlineStr">
        <is>
          <t>40-20-1.2-CRFH-PE</t>
        </is>
      </c>
      <c r="BC978" t="inlineStr">
        <is>
          <t>54-0-3-ERW 2-FC</t>
        </is>
      </c>
    </row>
    <row r="979">
      <c r="D979" t="n">
        <v>3572037</v>
      </c>
      <c r="H979" t="inlineStr">
        <is>
          <t>Neel Metal Products Limited</t>
        </is>
      </c>
      <c r="P979" t="n">
        <v>1661</v>
      </c>
      <c r="Q979" t="n">
        <v>1626</v>
      </c>
      <c r="W979" t="inlineStr">
        <is>
          <t>40-20-1.2-CRFH-PE</t>
        </is>
      </c>
      <c r="BC979" t="inlineStr">
        <is>
          <t>54-0-3-ERW 2-FC</t>
        </is>
      </c>
    </row>
    <row r="980">
      <c r="D980" t="n">
        <v>3572037</v>
      </c>
      <c r="H980" t="inlineStr">
        <is>
          <t>Neel Metal Products Limited</t>
        </is>
      </c>
      <c r="P980" t="n">
        <v>1662</v>
      </c>
      <c r="Q980" t="n">
        <v>1627</v>
      </c>
      <c r="W980" t="inlineStr">
        <is>
          <t>40-20-1.2-CRFH-PE</t>
        </is>
      </c>
      <c r="BC980" t="inlineStr">
        <is>
          <t>57.15-0-2-ERW 1-FC</t>
        </is>
      </c>
    </row>
    <row r="981">
      <c r="D981" t="n">
        <v>3572037</v>
      </c>
      <c r="H981" t="inlineStr">
        <is>
          <t>Neel Metal Products Limited</t>
        </is>
      </c>
      <c r="P981" t="n">
        <v>1663</v>
      </c>
      <c r="Q981" t="n">
        <v>1628</v>
      </c>
      <c r="W981" t="inlineStr">
        <is>
          <t>40-20-1.2-CRFH-PE</t>
        </is>
      </c>
      <c r="BC981" t="inlineStr">
        <is>
          <t>57.15-0-2-ERW 1-FC</t>
        </is>
      </c>
    </row>
    <row r="982">
      <c r="D982" t="n">
        <v>3572037</v>
      </c>
      <c r="H982" t="inlineStr">
        <is>
          <t>Neel Metal Products Limited</t>
        </is>
      </c>
      <c r="P982" t="n">
        <v>1664</v>
      </c>
      <c r="Q982" t="n">
        <v>1629</v>
      </c>
      <c r="W982" t="inlineStr">
        <is>
          <t>40-20-1.2-CRFH-PE</t>
        </is>
      </c>
      <c r="BC982" t="inlineStr">
        <is>
          <t>57.15-0-2-ERW 1-FC</t>
        </is>
      </c>
    </row>
    <row r="983">
      <c r="D983" t="n">
        <v>3572038</v>
      </c>
      <c r="H983" t="inlineStr">
        <is>
          <t>Thai Summit Autoparts India Pvt Ltd</t>
        </is>
      </c>
      <c r="P983" t="n">
        <v>1665</v>
      </c>
      <c r="Q983" t="n">
        <v>1630</v>
      </c>
      <c r="W983" t="inlineStr">
        <is>
          <t>40-20-1.2-CRFH-PE</t>
        </is>
      </c>
      <c r="BC983" t="inlineStr">
        <is>
          <t>57.15-0-2-ERW 1-FC</t>
        </is>
      </c>
    </row>
    <row r="984">
      <c r="D984" t="n">
        <v>3572038</v>
      </c>
      <c r="H984" t="inlineStr">
        <is>
          <t>Thai Summit Autoparts India Pvt Ltd</t>
        </is>
      </c>
      <c r="P984" t="n">
        <v>1666</v>
      </c>
      <c r="Q984" t="n">
        <v>1631</v>
      </c>
      <c r="W984" t="inlineStr">
        <is>
          <t>40-20-1.2-CRFH-PE</t>
        </is>
      </c>
      <c r="BC984" t="inlineStr">
        <is>
          <t>57.15-0-2-ERW 1-FC</t>
        </is>
      </c>
    </row>
    <row r="985">
      <c r="D985" t="n">
        <v>3572038</v>
      </c>
      <c r="H985" t="inlineStr">
        <is>
          <t>Thai Summit Autoparts India Pvt Ltd</t>
        </is>
      </c>
      <c r="P985" t="n">
        <v>1667</v>
      </c>
      <c r="Q985" t="n">
        <v>1632</v>
      </c>
      <c r="W985" t="inlineStr">
        <is>
          <t>40-20-1.2-CRFH-PE</t>
        </is>
      </c>
      <c r="BC985" t="inlineStr">
        <is>
          <t>57.15-0-2-ERW 1-FC</t>
        </is>
      </c>
    </row>
    <row r="986">
      <c r="D986" t="n">
        <v>3572038</v>
      </c>
      <c r="H986" t="inlineStr">
        <is>
          <t>Thai Summit Autoparts India Pvt Ltd</t>
        </is>
      </c>
      <c r="P986" t="n">
        <v>1668</v>
      </c>
      <c r="Q986" t="n">
        <v>1633</v>
      </c>
      <c r="W986" t="inlineStr">
        <is>
          <t>40-20-1.2-CRFH-PE</t>
        </is>
      </c>
      <c r="BC986" t="inlineStr">
        <is>
          <t>57.15-0-2.3-ERW 2-FC</t>
        </is>
      </c>
    </row>
    <row r="987">
      <c r="D987" t="n">
        <v>3572038</v>
      </c>
      <c r="H987" t="inlineStr">
        <is>
          <t>Neel Metal Products Limited</t>
        </is>
      </c>
      <c r="P987" t="n">
        <v>1669</v>
      </c>
      <c r="Q987" t="n">
        <v>1634</v>
      </c>
      <c r="W987" t="inlineStr">
        <is>
          <t>40-20-1.2-CRFH-PE</t>
        </is>
      </c>
      <c r="BC987" t="inlineStr">
        <is>
          <t>57.15-0-2.3-ERW 2-FC</t>
        </is>
      </c>
    </row>
    <row r="988">
      <c r="D988" t="n">
        <v>3572038</v>
      </c>
      <c r="H988" t="inlineStr">
        <is>
          <t>Neel Metal Products Limited</t>
        </is>
      </c>
      <c r="P988" t="n">
        <v>1670</v>
      </c>
      <c r="Q988" t="n">
        <v>1635</v>
      </c>
      <c r="W988" t="inlineStr">
        <is>
          <t>40-20-1.2-CRFH-PE</t>
        </is>
      </c>
      <c r="BC988" t="inlineStr">
        <is>
          <t>57.15-0-2.3-ERW 2-FC</t>
        </is>
      </c>
    </row>
    <row r="989">
      <c r="D989" t="n">
        <v>3572038</v>
      </c>
      <c r="H989" t="inlineStr">
        <is>
          <t>Neel Metal Products Limited</t>
        </is>
      </c>
      <c r="P989" t="n">
        <v>1671</v>
      </c>
      <c r="Q989" t="n">
        <v>1636</v>
      </c>
      <c r="W989" t="inlineStr">
        <is>
          <t>40-20-1.2-CRFH-PE</t>
        </is>
      </c>
      <c r="BC989" t="inlineStr">
        <is>
          <t>57.15-0-2.5-ERW 1-FC</t>
        </is>
      </c>
    </row>
    <row r="990">
      <c r="D990" t="n">
        <v>3572038</v>
      </c>
      <c r="H990" t="inlineStr">
        <is>
          <t>Neel Metal Products Limited</t>
        </is>
      </c>
      <c r="P990" t="n">
        <v>1672</v>
      </c>
      <c r="Q990" t="n">
        <v>1637</v>
      </c>
      <c r="W990" t="inlineStr">
        <is>
          <t>40-20-1.2-CRFH-PE</t>
        </is>
      </c>
      <c r="BC990" t="inlineStr">
        <is>
          <t>57.15-0-2.5-ERW 1-FC</t>
        </is>
      </c>
    </row>
    <row r="991">
      <c r="D991" t="n">
        <v>3572038</v>
      </c>
      <c r="H991" t="inlineStr">
        <is>
          <t>Neel Metal Products Limited</t>
        </is>
      </c>
      <c r="P991" t="n">
        <v>1673</v>
      </c>
      <c r="Q991" t="n">
        <v>1638</v>
      </c>
      <c r="W991" t="inlineStr">
        <is>
          <t>40-20-1.2-CRFH-PE</t>
        </is>
      </c>
      <c r="BC991" t="inlineStr">
        <is>
          <t>57.15-0-2.5-ERW 1-FC</t>
        </is>
      </c>
    </row>
    <row r="992">
      <c r="D992" t="n">
        <v>3572038</v>
      </c>
      <c r="H992" t="inlineStr">
        <is>
          <t>Neel Metal Products Limited</t>
        </is>
      </c>
      <c r="P992" t="n">
        <v>1674</v>
      </c>
      <c r="Q992" t="n">
        <v>1639</v>
      </c>
      <c r="W992" t="inlineStr">
        <is>
          <t>40-20-1.2-CRFH-PE</t>
        </is>
      </c>
      <c r="BC992" t="inlineStr">
        <is>
          <t>57.15-0-2.5-ERW 1-FC</t>
        </is>
      </c>
    </row>
    <row r="993">
      <c r="D993" t="n">
        <v>3572038</v>
      </c>
      <c r="H993" t="inlineStr">
        <is>
          <t>Neel Metal Products Limited</t>
        </is>
      </c>
      <c r="P993" t="n">
        <v>1675</v>
      </c>
      <c r="Q993" t="n">
        <v>1640</v>
      </c>
      <c r="W993" t="inlineStr">
        <is>
          <t>40-20-1.2-CRFH-PE</t>
        </is>
      </c>
      <c r="BC993" t="inlineStr">
        <is>
          <t>57.15-0-2.5-ERW 1-FC</t>
        </is>
      </c>
    </row>
    <row r="994">
      <c r="D994" t="n">
        <v>3572038</v>
      </c>
      <c r="H994" t="inlineStr">
        <is>
          <t>Neel Metal Products Limited</t>
        </is>
      </c>
      <c r="P994" t="n">
        <v>1676</v>
      </c>
      <c r="Q994" t="n">
        <v>1641</v>
      </c>
      <c r="W994" t="inlineStr">
        <is>
          <t>40-20-1.2-CRFH-PE</t>
        </is>
      </c>
      <c r="BC994" t="inlineStr">
        <is>
          <t>57.15-0-2.5-ERW 1-FC</t>
        </is>
      </c>
    </row>
    <row r="995">
      <c r="D995" t="n">
        <v>3572038</v>
      </c>
      <c r="H995" t="inlineStr">
        <is>
          <t>Neel Metal Products Limited</t>
        </is>
      </c>
      <c r="P995" t="n">
        <v>1677</v>
      </c>
      <c r="Q995" t="n">
        <v>1642</v>
      </c>
      <c r="W995" t="inlineStr">
        <is>
          <t>40-20-1.2-CRFH-PE</t>
        </is>
      </c>
      <c r="BC995" t="inlineStr">
        <is>
          <t>57.15-0-2.5-ERW 1-PE</t>
        </is>
      </c>
    </row>
    <row r="996">
      <c r="D996" t="n">
        <v>3572038</v>
      </c>
      <c r="H996" t="inlineStr">
        <is>
          <t>Neel Metal Products Limited</t>
        </is>
      </c>
      <c r="P996" t="n">
        <v>1678</v>
      </c>
      <c r="Q996" t="n">
        <v>1643</v>
      </c>
      <c r="W996" t="inlineStr">
        <is>
          <t>40-20-1.2-CRFH-PE</t>
        </is>
      </c>
      <c r="BC996" t="inlineStr">
        <is>
          <t>57.15-0-2.5-ERW 1-FC</t>
        </is>
      </c>
    </row>
    <row r="997">
      <c r="D997" t="n">
        <v>3230494</v>
      </c>
      <c r="H997" t="inlineStr">
        <is>
          <t>Neel Metal Products Limited</t>
        </is>
      </c>
      <c r="P997" t="n">
        <v>1679</v>
      </c>
      <c r="Q997" t="n">
        <v>1644</v>
      </c>
      <c r="W997" t="inlineStr">
        <is>
          <t>40-20-1.2-CRFH-PE</t>
        </is>
      </c>
      <c r="BC997" t="inlineStr">
        <is>
          <t>57.15-0-2.5-ERW 1-FC</t>
        </is>
      </c>
    </row>
    <row r="998">
      <c r="D998" t="n">
        <v>3230494</v>
      </c>
      <c r="H998" t="inlineStr">
        <is>
          <t>Neel Metal Products Limited</t>
        </is>
      </c>
      <c r="P998" t="n">
        <v>1680</v>
      </c>
      <c r="Q998" t="n">
        <v>1645</v>
      </c>
      <c r="W998" t="inlineStr">
        <is>
          <t>40-20-1.2-CRFH-PE</t>
        </is>
      </c>
      <c r="BC998" t="inlineStr">
        <is>
          <t>57.15-0-2.5-ERW 1-PE</t>
        </is>
      </c>
    </row>
    <row r="999">
      <c r="D999" t="n">
        <v>3230494</v>
      </c>
      <c r="H999" t="inlineStr">
        <is>
          <t>Neel Metal Products Limited</t>
        </is>
      </c>
      <c r="P999" t="n">
        <v>1699</v>
      </c>
      <c r="Q999" t="n">
        <v>1646</v>
      </c>
      <c r="W999" t="inlineStr">
        <is>
          <t>40-20-1.2-CRFH-PE</t>
        </is>
      </c>
      <c r="BC999" t="inlineStr">
        <is>
          <t>57.15-0-2.5-ERW 1-PE</t>
        </is>
      </c>
    </row>
    <row r="1000">
      <c r="D1000" t="n">
        <v>3230494</v>
      </c>
      <c r="H1000" t="inlineStr">
        <is>
          <t>Neel Metal Products Limited</t>
        </is>
      </c>
      <c r="P1000" t="n">
        <v>1700</v>
      </c>
      <c r="Q1000" t="n">
        <v>1647</v>
      </c>
      <c r="W1000" t="inlineStr">
        <is>
          <t>30-25.5-2.25-CEW-CEW</t>
        </is>
      </c>
      <c r="BC1000" t="inlineStr">
        <is>
          <t>57.15-0-2.5-ERW 1-FC</t>
        </is>
      </c>
    </row>
    <row r="1001">
      <c r="D1001" t="n">
        <v>3230494</v>
      </c>
      <c r="H1001" t="inlineStr">
        <is>
          <t>Neel Metal Products Limited</t>
        </is>
      </c>
      <c r="P1001" t="n">
        <v>1701</v>
      </c>
      <c r="Q1001" t="n">
        <v>1648</v>
      </c>
      <c r="W1001" t="inlineStr">
        <is>
          <t>check tdc</t>
        </is>
      </c>
      <c r="BC1001" t="inlineStr">
        <is>
          <t>57.15-0-2.5-ERW 1-FC</t>
        </is>
      </c>
    </row>
    <row r="1002">
      <c r="D1002" t="n">
        <v>3230494</v>
      </c>
      <c r="H1002" t="inlineStr">
        <is>
          <t>Neel Metal Products Limited</t>
        </is>
      </c>
      <c r="P1002" t="n">
        <v>1702</v>
      </c>
      <c r="Q1002" t="n">
        <v>1649</v>
      </c>
      <c r="W1002" t="inlineStr">
        <is>
          <t>40-20-1.2-CRFH-PE</t>
        </is>
      </c>
      <c r="BC1002" t="inlineStr">
        <is>
          <t>57.15-0-2.5-ERW 1-PE</t>
        </is>
      </c>
    </row>
    <row r="1003">
      <c r="D1003" t="n">
        <v>3230494</v>
      </c>
      <c r="H1003" t="inlineStr">
        <is>
          <t>Neel Metal Products Limited</t>
        </is>
      </c>
      <c r="P1003" t="n">
        <v>1703</v>
      </c>
      <c r="Q1003" t="n">
        <v>1650</v>
      </c>
      <c r="W1003" t="inlineStr">
        <is>
          <t>40-20-1.2-CRFH-PE</t>
        </is>
      </c>
      <c r="BC1003" t="inlineStr">
        <is>
          <t>57.15-0-2.5-ERW 1-FC</t>
        </is>
      </c>
    </row>
    <row r="1004">
      <c r="D1004" t="n">
        <v>3230494</v>
      </c>
      <c r="H1004" t="inlineStr">
        <is>
          <t>Neel Metal Products Limited</t>
        </is>
      </c>
      <c r="P1004" t="n">
        <v>1704</v>
      </c>
      <c r="Q1004" t="n">
        <v>1651</v>
      </c>
      <c r="W1004" t="inlineStr">
        <is>
          <t>40-20-1.2-CRFH-PE</t>
        </is>
      </c>
      <c r="BC1004" t="inlineStr">
        <is>
          <t>57.15-0-2.5-ERW 1-FC</t>
        </is>
      </c>
    </row>
    <row r="1005">
      <c r="D1005" t="n">
        <v>3230494</v>
      </c>
      <c r="H1005" t="inlineStr">
        <is>
          <t>Neel Metal Products Limited</t>
        </is>
      </c>
      <c r="P1005" t="n">
        <v>1705</v>
      </c>
      <c r="Q1005" t="n">
        <v>1652</v>
      </c>
      <c r="W1005" t="inlineStr">
        <is>
          <t>40-20-1.2-CRFH-PE</t>
        </is>
      </c>
      <c r="BC1005" t="inlineStr">
        <is>
          <t>57.15-0-2.5-ERW 1-FC</t>
        </is>
      </c>
    </row>
    <row r="1006">
      <c r="D1006" t="n">
        <v>3230494</v>
      </c>
      <c r="H1006" t="inlineStr">
        <is>
          <t>Neel Metal Products Limited</t>
        </is>
      </c>
      <c r="P1006" t="n">
        <v>1706</v>
      </c>
      <c r="Q1006" t="n">
        <v>1653</v>
      </c>
      <c r="W1006" t="inlineStr">
        <is>
          <t>40-20-1.2-CRFH-PE</t>
        </is>
      </c>
      <c r="BC1006" t="inlineStr">
        <is>
          <t>57.15-0-2.5-ERW 1-PE</t>
        </is>
      </c>
    </row>
    <row r="1007">
      <c r="D1007" t="n">
        <v>3230494</v>
      </c>
      <c r="H1007" t="inlineStr">
        <is>
          <t>Neel Metal Products Limited</t>
        </is>
      </c>
      <c r="P1007" t="n">
        <v>1707</v>
      </c>
      <c r="Q1007" t="n">
        <v>1654</v>
      </c>
      <c r="W1007" t="inlineStr">
        <is>
          <t>40-20-1.2-CRFH-PE</t>
        </is>
      </c>
      <c r="BC1007" t="inlineStr">
        <is>
          <t>57.15-0-2.5-ERW 1-PE</t>
        </is>
      </c>
    </row>
    <row r="1008">
      <c r="D1008" t="n">
        <v>3230494</v>
      </c>
      <c r="H1008" t="inlineStr">
        <is>
          <t>Neel Metal Products Limited</t>
        </is>
      </c>
      <c r="P1008" t="n">
        <v>1708</v>
      </c>
      <c r="Q1008" t="n">
        <v>1655</v>
      </c>
      <c r="W1008" t="inlineStr">
        <is>
          <t>40-20-1.2-CRFH-PE</t>
        </is>
      </c>
      <c r="BC1008" t="inlineStr">
        <is>
          <t>57.15-0-2.5-ERW 1-FC</t>
        </is>
      </c>
    </row>
    <row r="1009">
      <c r="D1009" t="n">
        <v>3230494</v>
      </c>
      <c r="H1009" t="inlineStr">
        <is>
          <t>Neel Metal Products Limited</t>
        </is>
      </c>
      <c r="P1009" t="n">
        <v>1721</v>
      </c>
      <c r="Q1009" t="n">
        <v>1656</v>
      </c>
      <c r="W1009" t="inlineStr">
        <is>
          <t>40-20-1.2-CRFH-PE</t>
        </is>
      </c>
      <c r="BC1009" t="inlineStr">
        <is>
          <t>57.15-0-2.5-ERW 1-FC</t>
        </is>
      </c>
    </row>
    <row r="1010">
      <c r="D1010" t="n">
        <v>3230494</v>
      </c>
      <c r="H1010" t="inlineStr">
        <is>
          <t>Neel Metal Products Limited</t>
        </is>
      </c>
      <c r="P1010" t="n">
        <v>1722</v>
      </c>
      <c r="Q1010" t="n">
        <v>1657</v>
      </c>
      <c r="W1010" t="inlineStr">
        <is>
          <t>40-20-1.2-CRFH-PE</t>
        </is>
      </c>
      <c r="BC1010" t="inlineStr">
        <is>
          <t>57.15-0-2.5-ERW 1-FC</t>
        </is>
      </c>
    </row>
    <row r="1011">
      <c r="D1011" t="n">
        <v>3230494</v>
      </c>
      <c r="H1011" t="inlineStr">
        <is>
          <t>Neel Metal Products Limited</t>
        </is>
      </c>
      <c r="P1011" t="n">
        <v>1723</v>
      </c>
      <c r="Q1011" t="n">
        <v>1658</v>
      </c>
      <c r="W1011" t="inlineStr">
        <is>
          <t>40-20-1.2-CRFH-PE</t>
        </is>
      </c>
      <c r="BC1011" t="inlineStr">
        <is>
          <t>57.15-0-2.5-ERW 1-FC</t>
        </is>
      </c>
    </row>
    <row r="1012">
      <c r="D1012" t="n">
        <v>3230494</v>
      </c>
      <c r="H1012" t="inlineStr">
        <is>
          <t>Neel Metal Products Limited</t>
        </is>
      </c>
      <c r="P1012" t="n">
        <v>1724</v>
      </c>
      <c r="Q1012" t="n">
        <v>1659</v>
      </c>
      <c r="W1012" t="inlineStr">
        <is>
          <t>40-20-1.2-CRFH-PE</t>
        </is>
      </c>
      <c r="BC1012" t="inlineStr">
        <is>
          <t>57.15--3-ERW 1-FIN CUT</t>
        </is>
      </c>
    </row>
    <row r="1013">
      <c r="D1013" t="n">
        <v>3230494</v>
      </c>
      <c r="H1013" t="inlineStr">
        <is>
          <t>Neel Metal Products Limited</t>
        </is>
      </c>
      <c r="P1013" t="n">
        <v>1725</v>
      </c>
      <c r="Q1013" t="n">
        <v>1660</v>
      </c>
      <c r="W1013" t="inlineStr">
        <is>
          <t>40-20-1.2-CRFH-PE</t>
        </is>
      </c>
      <c r="BC1013" t="inlineStr">
        <is>
          <t>57.15--3-ERW 1-FIN CUT</t>
        </is>
      </c>
    </row>
    <row r="1014">
      <c r="D1014" t="n">
        <v>3230494</v>
      </c>
      <c r="H1014" t="inlineStr">
        <is>
          <t>Neel Metal Products Limited</t>
        </is>
      </c>
      <c r="P1014" t="n">
        <v>1726</v>
      </c>
      <c r="Q1014" t="n">
        <v>1661</v>
      </c>
      <c r="W1014" t="inlineStr">
        <is>
          <t>40-40-1.2-CRFH-PE</t>
        </is>
      </c>
      <c r="BC1014" t="inlineStr">
        <is>
          <t>57.15--3-ERW 1-FIN CUT</t>
        </is>
      </c>
    </row>
    <row r="1015">
      <c r="D1015" t="n">
        <v>3230494</v>
      </c>
      <c r="H1015" t="inlineStr">
        <is>
          <t>Neel Metal Products Limited</t>
        </is>
      </c>
      <c r="P1015" t="n">
        <v>1727</v>
      </c>
      <c r="Q1015" t="n">
        <v>1662</v>
      </c>
      <c r="W1015" t="inlineStr">
        <is>
          <t>40-40-1.2-CRFH-PE</t>
        </is>
      </c>
      <c r="BC1015" t="inlineStr">
        <is>
          <t>57.15--3-ERW 1-FIN CUT</t>
        </is>
      </c>
    </row>
    <row r="1016">
      <c r="D1016" t="n">
        <v>3230494</v>
      </c>
      <c r="H1016" t="inlineStr">
        <is>
          <t>Neel Metal Products Limited</t>
        </is>
      </c>
      <c r="P1016" t="n">
        <v>1728</v>
      </c>
      <c r="Q1016" t="n">
        <v>1663</v>
      </c>
      <c r="W1016" t="inlineStr">
        <is>
          <t>40-40-1.2-CRFH-PE</t>
        </is>
      </c>
      <c r="BC1016" t="inlineStr">
        <is>
          <t>57.15--3-ERW 1-FIN CUT</t>
        </is>
      </c>
    </row>
    <row r="1017">
      <c r="D1017" t="n">
        <v>3230494</v>
      </c>
      <c r="H1017" t="inlineStr">
        <is>
          <t>Neel Metal Products Limited</t>
        </is>
      </c>
      <c r="P1017" t="n">
        <v>1729</v>
      </c>
      <c r="Q1017" t="n">
        <v>1664</v>
      </c>
      <c r="W1017" t="inlineStr">
        <is>
          <t>40-40-1.2-CRFH-PE</t>
        </is>
      </c>
      <c r="BC1017" t="inlineStr">
        <is>
          <t>57.15--3-ERW 1-FIN CUT</t>
        </is>
      </c>
    </row>
    <row r="1018">
      <c r="D1018" t="n">
        <v>3230494</v>
      </c>
      <c r="H1018" t="inlineStr">
        <is>
          <t>Neel Metal Products Limited</t>
        </is>
      </c>
      <c r="P1018" t="n">
        <v>1730</v>
      </c>
      <c r="Q1018" t="n">
        <v>1665</v>
      </c>
      <c r="W1018" t="inlineStr">
        <is>
          <t>40-40-1.2-CRFH-PE</t>
        </is>
      </c>
      <c r="BC1018" t="inlineStr">
        <is>
          <t>59-30-1.6-ERW 1-FIN CUT</t>
        </is>
      </c>
    </row>
    <row r="1019">
      <c r="D1019" t="n">
        <v>3230494</v>
      </c>
      <c r="H1019" t="inlineStr">
        <is>
          <t>Neel Metal Products Limited</t>
        </is>
      </c>
      <c r="P1019" t="n">
        <v>1731</v>
      </c>
      <c r="Q1019" t="n">
        <v>1666</v>
      </c>
      <c r="W1019" t="inlineStr">
        <is>
          <t>40-40-1.2-CRFH-PE</t>
        </is>
      </c>
      <c r="BC1019" t="inlineStr">
        <is>
          <t>59-30-1.6-ERW 1-FIN CUT</t>
        </is>
      </c>
    </row>
    <row r="1020">
      <c r="D1020" t="n">
        <v>3230494</v>
      </c>
      <c r="H1020" t="inlineStr">
        <is>
          <t>Neel Metal Products Limited</t>
        </is>
      </c>
      <c r="P1020" t="n">
        <v>1732</v>
      </c>
      <c r="Q1020" t="n">
        <v>1667</v>
      </c>
      <c r="W1020" t="inlineStr">
        <is>
          <t>40-40-1.2-CRFH-PE</t>
        </is>
      </c>
      <c r="BC1020" t="inlineStr">
        <is>
          <t>59-30-1.6-ERW 1-FIN CUT</t>
        </is>
      </c>
    </row>
    <row r="1021">
      <c r="D1021" t="n">
        <v>3230494</v>
      </c>
      <c r="H1021" t="inlineStr">
        <is>
          <t>Neel Metal Products Limited</t>
        </is>
      </c>
      <c r="P1021" t="n">
        <v>1733</v>
      </c>
      <c r="Q1021" t="n">
        <v>1668</v>
      </c>
      <c r="W1021" t="inlineStr">
        <is>
          <t>40-30-2-ERW 1-FC</t>
        </is>
      </c>
      <c r="BC1021" t="inlineStr">
        <is>
          <t>59-30-1.6-ERW 1-FIN CUT</t>
        </is>
      </c>
    </row>
    <row r="1022">
      <c r="D1022" t="n">
        <v>3230494</v>
      </c>
      <c r="H1022" t="inlineStr">
        <is>
          <t>Neel Metal Products Limited</t>
        </is>
      </c>
      <c r="P1022" t="n">
        <v>1734</v>
      </c>
      <c r="Q1022" t="n">
        <v>1669</v>
      </c>
      <c r="W1022" t="inlineStr">
        <is>
          <t>40-30-2-ERW 1-FC</t>
        </is>
      </c>
      <c r="BC1022" t="inlineStr">
        <is>
          <t>59-30-1.6-ERW 1-FIN CUT</t>
        </is>
      </c>
    </row>
    <row r="1023">
      <c r="D1023" t="n">
        <v>3230494</v>
      </c>
      <c r="H1023" t="inlineStr">
        <is>
          <t>Neel Metal Products Limited</t>
        </is>
      </c>
      <c r="P1023" t="n">
        <v>1735</v>
      </c>
      <c r="Q1023" t="n">
        <v>1670</v>
      </c>
      <c r="W1023" t="inlineStr">
        <is>
          <t>40-30-2-ERW 1-FC</t>
        </is>
      </c>
      <c r="BC1023" t="inlineStr">
        <is>
          <t>59-30-1.6-ERW 1-FIN CUT</t>
        </is>
      </c>
    </row>
    <row r="1024">
      <c r="D1024" t="n">
        <v>3230494</v>
      </c>
      <c r="H1024" t="inlineStr">
        <is>
          <t>Neel Metal Products Limited</t>
        </is>
      </c>
      <c r="P1024" t="n">
        <v>1736</v>
      </c>
      <c r="Q1024" t="n">
        <v>1671</v>
      </c>
      <c r="W1024" t="inlineStr">
        <is>
          <t>40-30-2-ERW 1-FC</t>
        </is>
      </c>
      <c r="BC1024" t="inlineStr">
        <is>
          <t>59-30-1.6-ERW 1-FIN CUT</t>
        </is>
      </c>
    </row>
    <row r="1025">
      <c r="D1025" t="n">
        <v>3230494</v>
      </c>
      <c r="H1025" t="inlineStr">
        <is>
          <t>Neel Metal Products Limited</t>
        </is>
      </c>
      <c r="P1025" t="n">
        <v>1737</v>
      </c>
      <c r="Q1025" t="n">
        <v>1672</v>
      </c>
      <c r="W1025" t="inlineStr">
        <is>
          <t>50.8-0-1.4-ERW 2-FC</t>
        </is>
      </c>
      <c r="BC1025" t="inlineStr">
        <is>
          <t>check usage for grade</t>
        </is>
      </c>
    </row>
    <row r="1026">
      <c r="D1026" t="n">
        <v>3572039</v>
      </c>
      <c r="H1026" t="inlineStr">
        <is>
          <t>Neel Metal Products Limited</t>
        </is>
      </c>
      <c r="P1026" t="n">
        <v>1738</v>
      </c>
      <c r="Q1026" t="n">
        <v>1673</v>
      </c>
      <c r="W1026" t="inlineStr">
        <is>
          <t>50.8-0-1.4-ERW 2-FC</t>
        </is>
      </c>
      <c r="BC1026" t="inlineStr">
        <is>
          <t>check usage for grade</t>
        </is>
      </c>
    </row>
    <row r="1027">
      <c r="D1027" t="n">
        <v>3572039</v>
      </c>
      <c r="H1027" t="inlineStr">
        <is>
          <t>Neel Metal Products Limited</t>
        </is>
      </c>
      <c r="P1027" t="n">
        <v>1739</v>
      </c>
      <c r="Q1027" t="n">
        <v>1674</v>
      </c>
      <c r="W1027" t="inlineStr">
        <is>
          <t>50.8-0-1.4-ERW 2-FC</t>
        </is>
      </c>
      <c r="BC1027" t="inlineStr">
        <is>
          <t>60.3-0-2-ERW 1-FC</t>
        </is>
      </c>
    </row>
    <row r="1028">
      <c r="D1028" t="n">
        <v>3572039</v>
      </c>
      <c r="H1028" t="inlineStr">
        <is>
          <t>Neel Metal Products Limited</t>
        </is>
      </c>
      <c r="P1028" t="n">
        <v>1740</v>
      </c>
      <c r="Q1028" t="n">
        <v>1675</v>
      </c>
      <c r="W1028" t="inlineStr">
        <is>
          <t>42.7-0-1.6-ERW 2-FC-HMSIL</t>
        </is>
      </c>
      <c r="BC1028" t="inlineStr">
        <is>
          <t>60.3-0-2-ERW 1-FC</t>
        </is>
      </c>
    </row>
    <row r="1029">
      <c r="D1029" t="n">
        <v>3572039</v>
      </c>
      <c r="H1029" t="inlineStr">
        <is>
          <t>Neel Metal Products Limited</t>
        </is>
      </c>
      <c r="P1029" t="n">
        <v>1741</v>
      </c>
      <c r="Q1029" t="n">
        <v>1676</v>
      </c>
      <c r="W1029" t="inlineStr">
        <is>
          <t>42.7-0-1.6-ERW 2-FC-HMSIL</t>
        </is>
      </c>
      <c r="BC1029" t="inlineStr">
        <is>
          <t>60.3-0-2-ERW 1-FC</t>
        </is>
      </c>
    </row>
    <row r="1030">
      <c r="D1030" t="n">
        <v>3572039</v>
      </c>
      <c r="H1030" t="inlineStr">
        <is>
          <t>Neel Metal Products Limited</t>
        </is>
      </c>
      <c r="P1030" t="n">
        <v>1742</v>
      </c>
      <c r="Q1030" t="n">
        <v>1677</v>
      </c>
      <c r="W1030" t="inlineStr">
        <is>
          <t>57.15-0-2.5-ERW 1-FC</t>
        </is>
      </c>
      <c r="BC1030" t="inlineStr">
        <is>
          <t>60.3-0-2-ERW 1-FC</t>
        </is>
      </c>
    </row>
    <row r="1031">
      <c r="D1031" t="n">
        <v>3572039</v>
      </c>
      <c r="H1031" t="inlineStr">
        <is>
          <t>Neel Metal Products Limited</t>
        </is>
      </c>
      <c r="P1031" t="n">
        <v>1744</v>
      </c>
      <c r="Q1031" t="n">
        <v>1678</v>
      </c>
      <c r="W1031" t="inlineStr">
        <is>
          <t>57.15-0-2.5-ERW 1-FC</t>
        </is>
      </c>
      <c r="BC1031" t="inlineStr">
        <is>
          <t>63.5-0-4-ERW 1-FC</t>
        </is>
      </c>
    </row>
    <row r="1032">
      <c r="D1032" t="n">
        <v>3572039</v>
      </c>
      <c r="H1032" t="inlineStr">
        <is>
          <t>Thai Summit Autoparts India Pvt Ltd</t>
        </is>
      </c>
      <c r="P1032" t="n">
        <v>1744</v>
      </c>
      <c r="Q1032" t="n">
        <v>1679</v>
      </c>
      <c r="W1032" t="inlineStr">
        <is>
          <t>57.15-0-2.5-ERW 1-FC</t>
        </is>
      </c>
      <c r="BC1032" t="inlineStr">
        <is>
          <t>63.5-0-4-ERW 1-FC</t>
        </is>
      </c>
    </row>
    <row r="1033">
      <c r="D1033" t="n">
        <v>3572039</v>
      </c>
      <c r="H1033" t="inlineStr">
        <is>
          <t>Thai Summit Autoparts India Pvt Ltd</t>
        </is>
      </c>
      <c r="P1033" t="n">
        <v>1745</v>
      </c>
      <c r="Q1033" t="n">
        <v>1680</v>
      </c>
      <c r="W1033" t="inlineStr">
        <is>
          <t>34.93-0-2.6-ERW 1-FC</t>
        </is>
      </c>
      <c r="BC1033" t="inlineStr">
        <is>
          <t>63.5-0-4-ERW 1-FC</t>
        </is>
      </c>
    </row>
    <row r="1034">
      <c r="D1034" t="n">
        <v>3572039</v>
      </c>
      <c r="H1034" t="inlineStr">
        <is>
          <t>Thai Summit Autoparts India Pvt Ltd</t>
        </is>
      </c>
      <c r="P1034" t="n">
        <v>1745</v>
      </c>
      <c r="Q1034" t="n">
        <v>1681</v>
      </c>
      <c r="W1034" t="inlineStr">
        <is>
          <t>34.93-0-2.6-ERW 1-FC</t>
        </is>
      </c>
      <c r="BC1034" t="inlineStr">
        <is>
          <t>63.5-0-4-ERW 1-FC</t>
        </is>
      </c>
    </row>
    <row r="1035">
      <c r="D1035" t="n">
        <v>3572039</v>
      </c>
      <c r="H1035" t="inlineStr">
        <is>
          <t>Thai Summit Autoparts India Pvt Ltd</t>
        </is>
      </c>
      <c r="P1035" t="n">
        <v>1746</v>
      </c>
      <c r="Q1035" t="n">
        <v>1682</v>
      </c>
      <c r="W1035" t="inlineStr">
        <is>
          <t>38.1-0-1.6-ERW 2 MAHS-FC</t>
        </is>
      </c>
      <c r="BC1035" t="inlineStr">
        <is>
          <t>63.5-0-4-ERW 1-FC</t>
        </is>
      </c>
    </row>
    <row r="1036">
      <c r="D1036" t="n">
        <v>3572039</v>
      </c>
      <c r="H1036" t="inlineStr">
        <is>
          <t>Thai Summit Autoparts India Pvt Ltd</t>
        </is>
      </c>
      <c r="P1036" t="n">
        <v>1746</v>
      </c>
      <c r="Q1036" t="n">
        <v>1683</v>
      </c>
      <c r="W1036" t="inlineStr">
        <is>
          <t>38.1-0-1.6-ERW 2 MAHS-FC</t>
        </is>
      </c>
      <c r="BC1036" t="inlineStr">
        <is>
          <t>check usage for grade</t>
        </is>
      </c>
    </row>
    <row r="1037">
      <c r="D1037" t="n">
        <v>3572039</v>
      </c>
      <c r="H1037" t="inlineStr">
        <is>
          <t>Rajsriya Automotive Industries(P)</t>
        </is>
      </c>
      <c r="P1037" t="n">
        <v>1747</v>
      </c>
      <c r="Q1037" t="n">
        <v>1684</v>
      </c>
      <c r="W1037" t="inlineStr">
        <is>
          <t>38.1-0-1.6-ERW 2 MAHS-FC</t>
        </is>
      </c>
      <c r="BC1037" t="inlineStr">
        <is>
          <t>70-0-3.2-ERW 2-FC</t>
        </is>
      </c>
    </row>
    <row r="1038">
      <c r="D1038" t="n">
        <v>3572039</v>
      </c>
      <c r="H1038" t="inlineStr">
        <is>
          <t>Rajsriya Automotive Industries(P)</t>
        </is>
      </c>
      <c r="P1038" t="n">
        <v>1747</v>
      </c>
      <c r="Q1038" t="n">
        <v>1685</v>
      </c>
      <c r="W1038" t="inlineStr">
        <is>
          <t>40-20-1.2-CRFH-PE</t>
        </is>
      </c>
      <c r="BC1038" t="inlineStr">
        <is>
          <t>70-0-3.2-ERW 2-FC</t>
        </is>
      </c>
    </row>
    <row r="1039">
      <c r="D1039" t="n">
        <v>3572039</v>
      </c>
      <c r="H1039" t="inlineStr">
        <is>
          <t>Rajsriya Automotive Industries(P)</t>
        </is>
      </c>
      <c r="P1039" t="n">
        <v>1748</v>
      </c>
      <c r="Q1039" t="n">
        <v>1686</v>
      </c>
      <c r="W1039" t="inlineStr">
        <is>
          <t>40-20-1.2-CRFH-PE</t>
        </is>
      </c>
      <c r="BC1039" t="inlineStr">
        <is>
          <t>70-0-3.2-ERW 2-FC</t>
        </is>
      </c>
    </row>
    <row r="1040">
      <c r="D1040" t="n">
        <v>3572040</v>
      </c>
      <c r="H1040" t="inlineStr">
        <is>
          <t>Rajsriya Automotive Industries(P)</t>
        </is>
      </c>
      <c r="P1040" t="n">
        <v>1748</v>
      </c>
      <c r="Q1040" t="n">
        <v>1687</v>
      </c>
      <c r="W1040" t="inlineStr">
        <is>
          <t>40-20-1.2-CRFH-PE</t>
        </is>
      </c>
      <c r="BC1040" t="inlineStr">
        <is>
          <t>70-0-3.2-ERW 2-FC</t>
        </is>
      </c>
    </row>
    <row r="1041">
      <c r="D1041" t="n">
        <v>3572040</v>
      </c>
      <c r="H1041" t="inlineStr">
        <is>
          <t>Rajsriya Automotive Industries(P)</t>
        </is>
      </c>
      <c r="P1041" t="n">
        <v>1749</v>
      </c>
      <c r="Q1041" t="n">
        <v>1688</v>
      </c>
      <c r="W1041" t="inlineStr">
        <is>
          <t>40-20-1.2-CRFH-PE</t>
        </is>
      </c>
      <c r="BC1041" t="inlineStr">
        <is>
          <t>check usage for grade</t>
        </is>
      </c>
    </row>
    <row r="1042">
      <c r="D1042" t="n">
        <v>3572040</v>
      </c>
      <c r="H1042" t="inlineStr">
        <is>
          <t>Rajsriya Automotive Industries(P)</t>
        </is>
      </c>
      <c r="P1042" t="n">
        <v>1749</v>
      </c>
      <c r="Q1042" t="n">
        <v>1689</v>
      </c>
      <c r="W1042" t="inlineStr">
        <is>
          <t>40-20-1.2-CRFH-PE</t>
        </is>
      </c>
      <c r="BC1042" t="inlineStr">
        <is>
          <t>22.23-0-2.3-ERW 1-PE</t>
        </is>
      </c>
    </row>
    <row r="1043">
      <c r="D1043" t="n">
        <v>3572040</v>
      </c>
      <c r="H1043" t="inlineStr">
        <is>
          <t>Rajsriya Automotive Industries(P)</t>
        </is>
      </c>
      <c r="P1043" t="n">
        <v>1750</v>
      </c>
      <c r="Q1043" t="n">
        <v>1699</v>
      </c>
      <c r="W1043" t="inlineStr">
        <is>
          <t>40-20-1.2-CRFH-PE</t>
        </is>
      </c>
      <c r="BC1043" t="inlineStr">
        <is>
          <t>48.6-0-4-ERW 2-FC-Ampere</t>
        </is>
      </c>
    </row>
    <row r="1044">
      <c r="D1044" t="n">
        <v>3572040</v>
      </c>
      <c r="H1044" t="inlineStr">
        <is>
          <t>Rajsriya Automotive Industries(P)</t>
        </is>
      </c>
      <c r="P1044" t="n">
        <v>1750</v>
      </c>
      <c r="Q1044" t="n">
        <v>1700</v>
      </c>
      <c r="W1044" t="inlineStr">
        <is>
          <t>40-20-1.2-CRFH-PE</t>
        </is>
      </c>
      <c r="BC1044" t="inlineStr">
        <is>
          <t>22.23-0-2-ERW 1-FC</t>
        </is>
      </c>
    </row>
    <row r="1045">
      <c r="D1045" t="n">
        <v>3572040</v>
      </c>
      <c r="H1045" t="inlineStr">
        <is>
          <t>Rajsriya Automotive Industries(P)</t>
        </is>
      </c>
      <c r="P1045" t="n">
        <v>1751</v>
      </c>
      <c r="Q1045" t="n">
        <v>1701</v>
      </c>
      <c r="W1045" t="inlineStr">
        <is>
          <t>40-20-1.2-CRFH-PE</t>
        </is>
      </c>
      <c r="BC1045" t="inlineStr">
        <is>
          <t>57.15-0-2-ERW 1-FC</t>
        </is>
      </c>
    </row>
    <row r="1046">
      <c r="D1046" t="n">
        <v>3572040</v>
      </c>
      <c r="H1046" t="inlineStr">
        <is>
          <t>Rajsriya Automotive Industries(P)</t>
        </is>
      </c>
      <c r="P1046" t="n">
        <v>1753</v>
      </c>
      <c r="Q1046" t="n">
        <v>1702</v>
      </c>
      <c r="W1046" t="inlineStr">
        <is>
          <t>40-20-1.2-CRFH-PE</t>
        </is>
      </c>
      <c r="BC1046" t="inlineStr">
        <is>
          <t>22.23-0-1.2-ERW 1-PE</t>
        </is>
      </c>
    </row>
    <row r="1047">
      <c r="D1047" t="n">
        <v>3572040</v>
      </c>
      <c r="H1047" t="inlineStr">
        <is>
          <t>Rajsriya Automotive Industries(P)</t>
        </is>
      </c>
      <c r="P1047" t="n">
        <v>1754</v>
      </c>
      <c r="Q1047" t="n">
        <v>1703</v>
      </c>
      <c r="W1047" t="inlineStr">
        <is>
          <t>40-20-1.2-CRFH-PE</t>
        </is>
      </c>
      <c r="BC1047" t="inlineStr">
        <is>
          <t>50-30-2-ERW 1-FC</t>
        </is>
      </c>
    </row>
    <row r="1048">
      <c r="D1048" t="n">
        <v>3572040</v>
      </c>
      <c r="H1048" t="inlineStr">
        <is>
          <t>Rajsriya Automotive Industries(P)</t>
        </is>
      </c>
      <c r="P1048" t="n">
        <v>1760</v>
      </c>
      <c r="Q1048" t="n">
        <v>1704</v>
      </c>
      <c r="W1048" t="inlineStr">
        <is>
          <t>40-20-1.2-CRFH-PE</t>
        </is>
      </c>
      <c r="BC1048" t="inlineStr">
        <is>
          <t>19.05-0-1.2-ERW 1-PE</t>
        </is>
      </c>
    </row>
    <row r="1049">
      <c r="D1049" t="n">
        <v>3572040</v>
      </c>
      <c r="H1049" t="inlineStr">
        <is>
          <t>Rajsriya Automotive Industries(P)</t>
        </is>
      </c>
      <c r="P1049" t="n">
        <v>1761</v>
      </c>
      <c r="Q1049" t="n">
        <v>1705</v>
      </c>
      <c r="W1049" t="inlineStr">
        <is>
          <t>40-20-1.2-CRFH-PE</t>
        </is>
      </c>
      <c r="BC1049" t="inlineStr">
        <is>
          <t>19.05-0-1-ERW 1-PE</t>
        </is>
      </c>
    </row>
    <row r="1050">
      <c r="D1050" t="n">
        <v>3572040</v>
      </c>
      <c r="H1050" t="inlineStr">
        <is>
          <t>FREE STOCK</t>
        </is>
      </c>
      <c r="P1050" t="n">
        <v>1762</v>
      </c>
      <c r="Q1050" t="n">
        <v>1706</v>
      </c>
      <c r="W1050" t="inlineStr">
        <is>
          <t>40-20-1.2-CRFH-PE</t>
        </is>
      </c>
      <c r="BC1050" t="inlineStr">
        <is>
          <t>25.4-0-1.6-ERW 1-FC</t>
        </is>
      </c>
    </row>
    <row r="1051">
      <c r="D1051" t="n">
        <v>3572040</v>
      </c>
      <c r="H1051" t="inlineStr">
        <is>
          <t>FREE STOCK</t>
        </is>
      </c>
      <c r="P1051" t="n">
        <v>1763</v>
      </c>
      <c r="Q1051" t="n">
        <v>1707</v>
      </c>
      <c r="W1051" t="inlineStr">
        <is>
          <t>38.1-0-2-ERW 1-FC</t>
        </is>
      </c>
      <c r="BC1051" t="inlineStr">
        <is>
          <t>34.93-0-1.6-ERW 1-FC</t>
        </is>
      </c>
    </row>
    <row r="1052">
      <c r="D1052" t="n">
        <v>3572040</v>
      </c>
      <c r="H1052" t="inlineStr">
        <is>
          <t>Neel Metal Products Limited</t>
        </is>
      </c>
      <c r="P1052" t="n">
        <v>1764</v>
      </c>
      <c r="Q1052" t="n">
        <v>1708</v>
      </c>
      <c r="W1052" t="inlineStr">
        <is>
          <t>40-40-1.2-CRFH-PE</t>
        </is>
      </c>
      <c r="BC1052" t="inlineStr">
        <is>
          <t>25.4-0-2-ERW 1-FC</t>
        </is>
      </c>
    </row>
    <row r="1053">
      <c r="D1053" t="n">
        <v>3572040</v>
      </c>
      <c r="H1053" t="inlineStr">
        <is>
          <t>Neel Metal Products Limited</t>
        </is>
      </c>
      <c r="P1053" t="n">
        <v>1765</v>
      </c>
      <c r="Q1053" t="n">
        <v>1714</v>
      </c>
      <c r="W1053" t="inlineStr">
        <is>
          <t>25.4-0-2-ERW 1-FC</t>
        </is>
      </c>
      <c r="BC1053" t="inlineStr">
        <is>
          <t>15.88-0-1.6-ERW 1-PE</t>
        </is>
      </c>
    </row>
    <row r="1054">
      <c r="D1054" t="n">
        <v>3576132</v>
      </c>
      <c r="H1054" t="inlineStr">
        <is>
          <t>Neel Metal Products Limited</t>
        </is>
      </c>
      <c r="P1054" t="n">
        <v>1766</v>
      </c>
      <c r="Q1054" t="n">
        <v>1715</v>
      </c>
      <c r="W1054" t="inlineStr">
        <is>
          <t>25.4-0-2-ERW 1-FC</t>
        </is>
      </c>
      <c r="BC1054" t="inlineStr">
        <is>
          <t>22.23-0-1.6-ERW 1-PE</t>
        </is>
      </c>
    </row>
    <row r="1055">
      <c r="D1055" t="n">
        <v>1940146</v>
      </c>
      <c r="H1055" t="inlineStr">
        <is>
          <t>Neel Metal Products Limited</t>
        </is>
      </c>
      <c r="P1055" t="n">
        <v>1767</v>
      </c>
      <c r="Q1055" t="n">
        <v>1716</v>
      </c>
      <c r="W1055" t="inlineStr">
        <is>
          <t>50-30-1.6-ERW 1-FC</t>
        </is>
      </c>
      <c r="BC1055" t="inlineStr">
        <is>
          <t>22.23-0-2-ERW 2 MAHS-PE</t>
        </is>
      </c>
    </row>
    <row r="1056">
      <c r="D1056" t="n">
        <v>1940146</v>
      </c>
      <c r="H1056" t="inlineStr">
        <is>
          <t>Neel Metal Products Limited</t>
        </is>
      </c>
      <c r="P1056" t="n">
        <v>1768</v>
      </c>
      <c r="Q1056" t="n">
        <v>1717</v>
      </c>
      <c r="W1056" t="inlineStr">
        <is>
          <t>50-30-1.6-ERW 1-FC</t>
        </is>
      </c>
      <c r="BC1056" t="inlineStr">
        <is>
          <t>22.23-0-1.6-ERW 1-PE</t>
        </is>
      </c>
    </row>
    <row r="1057">
      <c r="D1057" t="n">
        <v>1940146</v>
      </c>
      <c r="H1057" t="inlineStr">
        <is>
          <t>Neel Metal Products Limited</t>
        </is>
      </c>
      <c r="P1057" t="n">
        <v>1769</v>
      </c>
      <c r="Q1057" t="n">
        <v>1718</v>
      </c>
      <c r="W1057" t="inlineStr">
        <is>
          <t>39-34-2.5-CEW-CEW</t>
        </is>
      </c>
      <c r="BC1057" t="inlineStr">
        <is>
          <t>50.8-0-1.6-ERW 1-FC</t>
        </is>
      </c>
    </row>
    <row r="1058">
      <c r="D1058" t="n">
        <v>1940146</v>
      </c>
      <c r="H1058" t="inlineStr">
        <is>
          <t>Neel Metal Products Limited</t>
        </is>
      </c>
      <c r="P1058" t="n">
        <v>1770</v>
      </c>
      <c r="Q1058" t="n">
        <v>1719</v>
      </c>
      <c r="W1058" t="inlineStr">
        <is>
          <t>40-25-1.6-ERW 1-FC</t>
        </is>
      </c>
      <c r="BC1058" t="inlineStr">
        <is>
          <t>22.23-0-1.6-ERW 1-PE</t>
        </is>
      </c>
    </row>
    <row r="1059">
      <c r="D1059" t="n">
        <v>1940146</v>
      </c>
      <c r="H1059" t="inlineStr">
        <is>
          <t>Neel Metal Products Limited</t>
        </is>
      </c>
      <c r="P1059" t="n">
        <v>1771</v>
      </c>
      <c r="Q1059" t="n">
        <v>1720</v>
      </c>
      <c r="W1059" t="inlineStr">
        <is>
          <t>40-25-1.6-ERW 1-FC</t>
        </is>
      </c>
      <c r="BC1059" t="inlineStr">
        <is>
          <t>19.05-0-1.2-ERW 1-PE</t>
        </is>
      </c>
    </row>
    <row r="1060">
      <c r="D1060" t="n">
        <v>1940146</v>
      </c>
      <c r="H1060" t="inlineStr">
        <is>
          <t>Neel Metal Products Limited</t>
        </is>
      </c>
      <c r="P1060" t="n">
        <v>1772</v>
      </c>
      <c r="Q1060" t="n">
        <v>1721</v>
      </c>
      <c r="W1060" t="inlineStr">
        <is>
          <t>40-25-1.6-ERW 1-FC</t>
        </is>
      </c>
      <c r="BC1060" t="inlineStr">
        <is>
          <t>50.8-0-1.6-ERW 1-FC</t>
        </is>
      </c>
    </row>
    <row r="1061">
      <c r="D1061" t="n">
        <v>1940146</v>
      </c>
      <c r="H1061" t="inlineStr">
        <is>
          <t>Neel Metal Products Limited</t>
        </is>
      </c>
      <c r="P1061" t="n">
        <v>1773</v>
      </c>
      <c r="Q1061" t="n">
        <v>1722</v>
      </c>
      <c r="W1061" t="inlineStr">
        <is>
          <t>40-25-1.6-ERW 1-FC</t>
        </is>
      </c>
      <c r="BC1061" t="inlineStr">
        <is>
          <t>19.05-0-1-ERW 1-PE</t>
        </is>
      </c>
    </row>
    <row r="1062">
      <c r="D1062" t="n">
        <v>1940146</v>
      </c>
      <c r="H1062" t="inlineStr">
        <is>
          <t>Neel Metal Products Limited</t>
        </is>
      </c>
      <c r="P1062" t="n">
        <v>1774</v>
      </c>
      <c r="Q1062" t="n">
        <v>1723</v>
      </c>
      <c r="W1062" t="inlineStr">
        <is>
          <t>40-25-1.6-ERW 1-FC</t>
        </is>
      </c>
      <c r="BC1062" t="inlineStr">
        <is>
          <t>22.23-0-2-ERW 1-PE</t>
        </is>
      </c>
    </row>
    <row r="1063">
      <c r="D1063" t="n">
        <v>1940146</v>
      </c>
      <c r="H1063" t="inlineStr">
        <is>
          <t>Neel Metal Products Limited</t>
        </is>
      </c>
      <c r="P1063" t="n">
        <v>1775</v>
      </c>
      <c r="Q1063" t="n">
        <v>1724</v>
      </c>
      <c r="W1063" t="inlineStr">
        <is>
          <t>50-30-1.6-ERW 1-FC</t>
        </is>
      </c>
      <c r="BC1063" t="inlineStr">
        <is>
          <t>22.23-0-2-ERW 1-PE</t>
        </is>
      </c>
    </row>
    <row r="1064">
      <c r="D1064" t="n">
        <v>1940146</v>
      </c>
      <c r="H1064" t="inlineStr">
        <is>
          <t>Neel Metal Products Limited</t>
        </is>
      </c>
      <c r="P1064" t="n">
        <v>1776</v>
      </c>
      <c r="Q1064" t="n">
        <v>1725</v>
      </c>
      <c r="W1064" t="inlineStr">
        <is>
          <t>50-30-1.6-ERW 1-FC</t>
        </is>
      </c>
      <c r="BC1064" t="inlineStr">
        <is>
          <t>38.1-0-2-ERW 1-FC</t>
        </is>
      </c>
    </row>
    <row r="1065">
      <c r="D1065" t="n">
        <v>1940146</v>
      </c>
      <c r="H1065" t="inlineStr">
        <is>
          <t>Neel Metal Products Limited</t>
        </is>
      </c>
      <c r="P1065" t="n">
        <v>1777</v>
      </c>
      <c r="Q1065" t="n">
        <v>1726</v>
      </c>
      <c r="W1065" t="inlineStr">
        <is>
          <t>50-30-1.6-ERW 1-FC</t>
        </is>
      </c>
      <c r="BC1065" t="inlineStr">
        <is>
          <t>19.05-0-2-ERW 1-PE</t>
        </is>
      </c>
    </row>
    <row r="1066">
      <c r="D1066" t="n">
        <v>1940146</v>
      </c>
      <c r="H1066" t="inlineStr">
        <is>
          <t>Neel Metal Products Limited</t>
        </is>
      </c>
      <c r="P1066" t="n">
        <v>1778</v>
      </c>
      <c r="Q1066" t="n">
        <v>1727</v>
      </c>
      <c r="W1066" t="inlineStr">
        <is>
          <t>50-30-1.6-ERW 1-FC</t>
        </is>
      </c>
      <c r="BC1066" t="inlineStr">
        <is>
          <t>19.05-0-1.6-ERW 2 MAHS-PE</t>
        </is>
      </c>
    </row>
    <row r="1067">
      <c r="D1067" t="n">
        <v>1940146</v>
      </c>
      <c r="H1067" t="inlineStr">
        <is>
          <t>Neel Metal Products Limited</t>
        </is>
      </c>
      <c r="P1067" t="n">
        <v>1779</v>
      </c>
      <c r="Q1067" t="n">
        <v>1728</v>
      </c>
      <c r="W1067" t="inlineStr">
        <is>
          <t>50-30-1.6-ERW 1-FC</t>
        </is>
      </c>
      <c r="BC1067" t="inlineStr">
        <is>
          <t>19.05-0-1.6-ERW 2 MAHS-PE</t>
        </is>
      </c>
    </row>
    <row r="1068">
      <c r="D1068" t="n">
        <v>1940146</v>
      </c>
      <c r="H1068" t="inlineStr">
        <is>
          <t>Neel Metal Products Limited</t>
        </is>
      </c>
      <c r="P1068" t="n">
        <v>1780</v>
      </c>
      <c r="Q1068" t="n">
        <v>1729</v>
      </c>
      <c r="W1068" t="inlineStr">
        <is>
          <t>50-30-1.6-ERW 1-FC</t>
        </is>
      </c>
      <c r="BC1068" t="inlineStr">
        <is>
          <t>19.05-0-1.6-ERW 2 MAHS-PE</t>
        </is>
      </c>
    </row>
    <row r="1069">
      <c r="D1069" t="n">
        <v>1940146</v>
      </c>
      <c r="H1069" t="inlineStr">
        <is>
          <t>Neel Metal Products Limited</t>
        </is>
      </c>
      <c r="P1069" t="n">
        <v>1783</v>
      </c>
      <c r="Q1069" t="n">
        <v>1730</v>
      </c>
      <c r="W1069" t="inlineStr">
        <is>
          <t>50-30-1.6-ERW 1-FC</t>
        </is>
      </c>
      <c r="BC1069" t="inlineStr">
        <is>
          <t>19.05-0-2-ERW 1-PE</t>
        </is>
      </c>
    </row>
    <row r="1070">
      <c r="D1070" t="n">
        <v>1940146</v>
      </c>
      <c r="H1070" t="inlineStr">
        <is>
          <t>Neel Metal Products Limited</t>
        </is>
      </c>
      <c r="P1070" t="n">
        <v>1783</v>
      </c>
      <c r="Q1070" t="n">
        <v>1731</v>
      </c>
      <c r="W1070" t="inlineStr">
        <is>
          <t>50-30-1.6-ERW 1-FC</t>
        </is>
      </c>
      <c r="BC1070" t="inlineStr">
        <is>
          <t>19.05-0-2-ERW 1-PE</t>
        </is>
      </c>
    </row>
    <row r="1071">
      <c r="D1071" t="n">
        <v>1940146</v>
      </c>
      <c r="H1071" t="inlineStr">
        <is>
          <t>Neel Metal Products Limited</t>
        </is>
      </c>
      <c r="P1071" t="n">
        <v>1784</v>
      </c>
      <c r="Q1071" t="n">
        <v>1732</v>
      </c>
      <c r="W1071" t="inlineStr">
        <is>
          <t>50-30-1.6-ERW 1-FC</t>
        </is>
      </c>
      <c r="BC1071" t="inlineStr">
        <is>
          <t>19.05-0-2-ERW 1-PE</t>
        </is>
      </c>
    </row>
    <row r="1072">
      <c r="D1072" t="n">
        <v>1940146</v>
      </c>
      <c r="H1072" t="inlineStr">
        <is>
          <t>Neel Metal Products Limited</t>
        </is>
      </c>
      <c r="P1072" t="n">
        <v>1784</v>
      </c>
      <c r="Q1072" t="n">
        <v>1733</v>
      </c>
      <c r="W1072" t="inlineStr">
        <is>
          <t>22.23-0-2-ERW 1-FC</t>
        </is>
      </c>
      <c r="BC1072" t="inlineStr">
        <is>
          <t>19.05-0-2-ERW 1-PE</t>
        </is>
      </c>
    </row>
    <row r="1073">
      <c r="D1073" t="n">
        <v>1940146</v>
      </c>
      <c r="H1073" t="inlineStr">
        <is>
          <t>ELKAYEM AUTO ANCILLARIES (PVT) LTD.</t>
        </is>
      </c>
      <c r="P1073" t="n">
        <v>1785</v>
      </c>
      <c r="Q1073" t="n">
        <v>1734</v>
      </c>
      <c r="W1073" t="inlineStr">
        <is>
          <t>22.23-0-2-ERW 1-FC</t>
        </is>
      </c>
      <c r="BC1073" t="inlineStr">
        <is>
          <t>22.23-0-1.2-ERW 1-PE</t>
        </is>
      </c>
    </row>
    <row r="1074">
      <c r="D1074" t="n">
        <v>1940146</v>
      </c>
      <c r="H1074" t="inlineStr">
        <is>
          <t>ELKAYEM AUTO ANCILLARIES (PVT) LTD.</t>
        </is>
      </c>
      <c r="P1074" t="n">
        <v>1785</v>
      </c>
      <c r="Q1074" t="n">
        <v>1735</v>
      </c>
      <c r="W1074" t="inlineStr">
        <is>
          <t>41.28-0-3.2-ERW 1-FC</t>
        </is>
      </c>
      <c r="BC1074" t="inlineStr">
        <is>
          <t>22.23-0-1.2-ERW 1-PE</t>
        </is>
      </c>
    </row>
    <row r="1075">
      <c r="D1075" t="n">
        <v>1940146</v>
      </c>
      <c r="H1075" t="inlineStr">
        <is>
          <t>ELKAYEM AUTO ANCILLARIES (PVT) LTD.</t>
        </is>
      </c>
      <c r="P1075" t="n">
        <v>1786</v>
      </c>
      <c r="Q1075" t="n">
        <v>1736</v>
      </c>
      <c r="W1075" t="inlineStr">
        <is>
          <t>34.93-0-1.6-ERW 1-FC</t>
        </is>
      </c>
      <c r="BC1075" t="inlineStr">
        <is>
          <t>22.23-0-1.2-ERW 1-PE</t>
        </is>
      </c>
    </row>
    <row r="1076">
      <c r="D1076" t="n">
        <v>1940146</v>
      </c>
      <c r="H1076" t="inlineStr">
        <is>
          <t>ELKAYEM AUTO ANCILLARIES (PVT) LTD.</t>
        </is>
      </c>
      <c r="P1076" t="n">
        <v>1786</v>
      </c>
      <c r="Q1076" t="n">
        <v>1737</v>
      </c>
      <c r="W1076" t="inlineStr">
        <is>
          <t>34.93-0-1.6-ERW 1-FC</t>
        </is>
      </c>
      <c r="BC1076" t="inlineStr">
        <is>
          <t>22.23-0-1.2-ERW 1-PE</t>
        </is>
      </c>
    </row>
    <row r="1077">
      <c r="D1077" t="n">
        <v>3597679</v>
      </c>
      <c r="H1077" t="inlineStr">
        <is>
          <t>ELKAYEM AUTO ANCILLARIES (PVT) LTD.</t>
        </is>
      </c>
      <c r="P1077" t="n">
        <v>1787</v>
      </c>
      <c r="Q1077" t="n">
        <v>1738</v>
      </c>
      <c r="W1077" t="inlineStr">
        <is>
          <t>19-19-1.2-CRFH-PE</t>
        </is>
      </c>
      <c r="BC1077" t="inlineStr">
        <is>
          <t>22.23-0-1.2-ERW 1-PE</t>
        </is>
      </c>
    </row>
    <row r="1078">
      <c r="D1078" t="n">
        <v>3597679</v>
      </c>
      <c r="H1078" t="inlineStr">
        <is>
          <t>ELKAYEM AUTO ANCILLARIES (PVT) LTD.</t>
        </is>
      </c>
      <c r="P1078" t="n">
        <v>1787</v>
      </c>
      <c r="Q1078" t="n">
        <v>1739</v>
      </c>
      <c r="W1078" t="inlineStr">
        <is>
          <t>57.15-0-2-ERW 1-FC</t>
        </is>
      </c>
      <c r="BC1078" t="inlineStr">
        <is>
          <t>25.4-0-1.2-ERW 1-PE</t>
        </is>
      </c>
    </row>
    <row r="1079">
      <c r="D1079" t="n">
        <v>3597679</v>
      </c>
      <c r="H1079" t="inlineStr">
        <is>
          <t>ELKAYEM AUTO ANCILLARIES (PVT) LTD.</t>
        </is>
      </c>
      <c r="P1079" t="n">
        <v>1788</v>
      </c>
      <c r="Q1079" t="n">
        <v>1740</v>
      </c>
      <c r="W1079" t="inlineStr">
        <is>
          <t>34.93-0-2.6-ERW 1-FC</t>
        </is>
      </c>
      <c r="BC1079" t="inlineStr">
        <is>
          <t>25.4-0-1.2-ERW 1-PE</t>
        </is>
      </c>
    </row>
    <row r="1080">
      <c r="D1080" t="n">
        <v>3695242</v>
      </c>
      <c r="H1080" t="inlineStr">
        <is>
          <t>ELKAYEM AUTO ANCILLARIES (PVT) LTD.</t>
        </is>
      </c>
      <c r="P1080" t="n">
        <v>1788</v>
      </c>
      <c r="Q1080" t="n">
        <v>1741</v>
      </c>
      <c r="W1080" t="inlineStr">
        <is>
          <t>30-25.5-2.25-CEW-CEW</t>
        </is>
      </c>
      <c r="BC1080" t="inlineStr">
        <is>
          <t>38.1-0-2-ERW 1-FC</t>
        </is>
      </c>
    </row>
    <row r="1081">
      <c r="D1081" t="n">
        <v>3576133</v>
      </c>
      <c r="H1081" t="inlineStr">
        <is>
          <t>ELKAYEM AUTO ANCILLARIES (PVT) LTD.</t>
        </is>
      </c>
      <c r="P1081" t="n">
        <v>1789</v>
      </c>
      <c r="Q1081" t="n">
        <v>1742</v>
      </c>
      <c r="W1081" t="inlineStr">
        <is>
          <t>30-25.5-2.25-CEW-CEW</t>
        </is>
      </c>
      <c r="BC1081" t="inlineStr">
        <is>
          <t>38.1-0-1.6-ERW 1-FC</t>
        </is>
      </c>
    </row>
    <row r="1082">
      <c r="D1082" t="n">
        <v>3695241</v>
      </c>
      <c r="H1082" t="inlineStr">
        <is>
          <t>ELKAYEM AUTO ANCILLARIES (PVT) LTD.</t>
        </is>
      </c>
      <c r="P1082" t="n">
        <v>1789</v>
      </c>
      <c r="Q1082" t="n">
        <v>1744</v>
      </c>
      <c r="W1082" t="inlineStr">
        <is>
          <t>18.2-0-1-ERW 1-PE</t>
        </is>
      </c>
      <c r="BC1082" t="inlineStr">
        <is>
          <t>40-30-2-ERW 1-FC</t>
        </is>
      </c>
    </row>
    <row r="1083">
      <c r="D1083" t="n">
        <v>3695241</v>
      </c>
      <c r="H1083" t="inlineStr">
        <is>
          <t>ELKAYEM AUTO ANCILLARIES (PVT) LTD.</t>
        </is>
      </c>
      <c r="P1083" t="n">
        <v>1790</v>
      </c>
      <c r="Q1083" t="n">
        <v>1745</v>
      </c>
      <c r="W1083" t="inlineStr">
        <is>
          <t>48.6-0-3.5-ERW 1-FC</t>
        </is>
      </c>
      <c r="BC1083" t="inlineStr">
        <is>
          <t>57.15-0-2.5-ERW 1-FC</t>
        </is>
      </c>
    </row>
    <row r="1084">
      <c r="D1084" t="n">
        <v>3605740</v>
      </c>
      <c r="H1084" t="inlineStr">
        <is>
          <t>ELKAYEM AUTO ANCILLARIES (PVT) LTD.</t>
        </is>
      </c>
      <c r="P1084" t="n">
        <v>1790</v>
      </c>
      <c r="Q1084" t="n">
        <v>1746</v>
      </c>
      <c r="W1084" t="inlineStr">
        <is>
          <t>48.6-0-3.5-ERW 1-FC</t>
        </is>
      </c>
      <c r="BC1084" t="inlineStr">
        <is>
          <t>34.93-0-2.6-ERW 1-FC</t>
        </is>
      </c>
    </row>
    <row r="1085">
      <c r="D1085" t="n">
        <v>3605740</v>
      </c>
      <c r="H1085" t="inlineStr">
        <is>
          <t>Neel Metal Products Limited</t>
        </is>
      </c>
      <c r="P1085" t="n">
        <v>1791</v>
      </c>
      <c r="Q1085" t="n">
        <v>1747</v>
      </c>
      <c r="W1085" t="inlineStr">
        <is>
          <t>48.6-0-3.5-ERW 1-FC</t>
        </is>
      </c>
      <c r="BC1085" t="inlineStr">
        <is>
          <t>19-19-1.2-CRFH-PE</t>
        </is>
      </c>
    </row>
    <row r="1086">
      <c r="D1086" t="n">
        <v>3605740</v>
      </c>
      <c r="H1086" t="inlineStr">
        <is>
          <t>Marathwada Auto Compo Pvt. Ltd.</t>
        </is>
      </c>
      <c r="P1086" t="n">
        <v>1791</v>
      </c>
      <c r="Q1086" t="n">
        <v>1748</v>
      </c>
      <c r="W1086" t="inlineStr">
        <is>
          <t>39-34-2.5-CEW-CEW</t>
        </is>
      </c>
      <c r="BC1086" t="inlineStr">
        <is>
          <t>22.23-0-2-ERW 2-FC</t>
        </is>
      </c>
    </row>
    <row r="1087">
      <c r="D1087" t="n">
        <v>3605740</v>
      </c>
      <c r="H1087" t="inlineStr">
        <is>
          <t>Marathwada Auto Compo Pvt. Ltd.</t>
        </is>
      </c>
      <c r="P1087" t="n">
        <v>1792</v>
      </c>
      <c r="Q1087" t="n">
        <v>1749</v>
      </c>
      <c r="W1087" t="inlineStr">
        <is>
          <t>39-34-2.5-CEW-CEW</t>
        </is>
      </c>
      <c r="BC1087" t="inlineStr">
        <is>
          <t>22.23-0-2-ERW 2-FC</t>
        </is>
      </c>
    </row>
    <row r="1088">
      <c r="D1088" t="n">
        <v>3605740</v>
      </c>
      <c r="H1088" t="inlineStr">
        <is>
          <t>Marathwada Auto Compo Pvt. Ltd.</t>
        </is>
      </c>
      <c r="P1088" t="n">
        <v>1792</v>
      </c>
      <c r="Q1088" t="n">
        <v>1750</v>
      </c>
      <c r="W1088" t="inlineStr">
        <is>
          <t>30-25.5-2.25-CEW-CEW</t>
        </is>
      </c>
      <c r="BC1088" t="inlineStr">
        <is>
          <t>19-19-1.2-CRFH-PE</t>
        </is>
      </c>
    </row>
    <row r="1089">
      <c r="D1089" t="n">
        <v>3605740</v>
      </c>
      <c r="H1089" t="inlineStr">
        <is>
          <t>Marathwada Auto Compo Pvt. Ltd.</t>
        </is>
      </c>
      <c r="P1089" t="n">
        <v>1793</v>
      </c>
      <c r="Q1089" t="n">
        <v>1751</v>
      </c>
      <c r="W1089" t="inlineStr">
        <is>
          <t>30-25.5-2.25-CEW-CEW</t>
        </is>
      </c>
      <c r="BC1089" t="inlineStr">
        <is>
          <t>38.1-0-2-ERW 1-FC</t>
        </is>
      </c>
    </row>
    <row r="1090">
      <c r="D1090" t="n">
        <v>3605740</v>
      </c>
      <c r="H1090" t="inlineStr">
        <is>
          <t>Narasipur Auto Component(P)Ltd</t>
        </is>
      </c>
      <c r="P1090" t="n">
        <v>1793</v>
      </c>
      <c r="Q1090" t="n">
        <v>1753</v>
      </c>
      <c r="W1090" t="inlineStr">
        <is>
          <t>48.6-0-3.5-ERW 1-FC</t>
        </is>
      </c>
      <c r="BC1090" t="inlineStr">
        <is>
          <t>19.05-0-1.6-ERW 2 MAHS-PE</t>
        </is>
      </c>
    </row>
    <row r="1091">
      <c r="D1091" t="n">
        <v>3605740</v>
      </c>
      <c r="H1091" t="inlineStr">
        <is>
          <t>Kay Jay Forgings Pvt Ltd Unit Vi</t>
        </is>
      </c>
      <c r="P1091" t="n">
        <v>1794</v>
      </c>
      <c r="Q1091" t="n">
        <v>1754</v>
      </c>
      <c r="W1091" t="inlineStr">
        <is>
          <t>42.7-0-4-ERW 1-FC</t>
        </is>
      </c>
      <c r="BC1091" t="inlineStr">
        <is>
          <t>38.1-0-1.6-ERW 2 MAHS-FC</t>
        </is>
      </c>
    </row>
    <row r="1092">
      <c r="D1092" t="n">
        <v>3605740</v>
      </c>
      <c r="H1092" t="inlineStr">
        <is>
          <t>Marathwada Auto Compo Pvt. Ltd.</t>
        </is>
      </c>
      <c r="P1092" t="n">
        <v>1795</v>
      </c>
      <c r="Q1092" t="n">
        <v>1755</v>
      </c>
      <c r="W1092" t="inlineStr">
        <is>
          <t>42.7-0-4-ERW 1-FC</t>
        </is>
      </c>
      <c r="BC1092" t="inlineStr">
        <is>
          <t>38.1-0-1.6-ERW 2 MAHS-FC</t>
        </is>
      </c>
    </row>
    <row r="1093">
      <c r="D1093" t="n">
        <v>3605740</v>
      </c>
      <c r="H1093" t="inlineStr">
        <is>
          <t>Marathwada Auto Compo Pvt. Ltd.</t>
        </is>
      </c>
      <c r="P1093" t="n">
        <v>1796</v>
      </c>
      <c r="Q1093" t="n">
        <v>1760</v>
      </c>
      <c r="W1093" t="inlineStr">
        <is>
          <t>42.7-0-4-ERW 1-FC</t>
        </is>
      </c>
      <c r="BC1093" t="inlineStr">
        <is>
          <t>22.23-0-2-ERW 2 MAHS-PE</t>
        </is>
      </c>
    </row>
    <row r="1094">
      <c r="D1094" t="n">
        <v>3605740</v>
      </c>
      <c r="H1094" t="inlineStr">
        <is>
          <t>Marathwada Auto Compo Pvt. Ltd.</t>
        </is>
      </c>
      <c r="P1094" t="n">
        <v>1797</v>
      </c>
      <c r="Q1094" t="n">
        <v>1761</v>
      </c>
      <c r="W1094" t="inlineStr">
        <is>
          <t>48.6-0-3.5-ERW 1-FC</t>
        </is>
      </c>
      <c r="BC1094" t="inlineStr">
        <is>
          <t>22.23-0-2-ERW 2 MAHS-FC</t>
        </is>
      </c>
    </row>
    <row r="1095">
      <c r="D1095" t="n">
        <v>3605740</v>
      </c>
      <c r="H1095" t="inlineStr">
        <is>
          <t>Marathwada Auto Compo Pvt. Ltd.</t>
        </is>
      </c>
      <c r="P1095" t="n">
        <v>1798</v>
      </c>
      <c r="Q1095" t="n">
        <v>1762</v>
      </c>
      <c r="W1095" t="inlineStr">
        <is>
          <t>48.6-0-3.5-ERW 1-FC</t>
        </is>
      </c>
      <c r="BC1095" t="inlineStr">
        <is>
          <t>22.23-0-2-ERW 2 MAHS-FC</t>
        </is>
      </c>
    </row>
    <row r="1096">
      <c r="D1096" t="n">
        <v>3605740</v>
      </c>
      <c r="H1096" t="inlineStr">
        <is>
          <t>Marathwada Auto Compo Pvt. Ltd.</t>
        </is>
      </c>
      <c r="P1096" t="n">
        <v>1799</v>
      </c>
      <c r="Q1096" t="n">
        <v>1763</v>
      </c>
      <c r="W1096" t="inlineStr">
        <is>
          <t>42.7-0-3.5-ERW 1-FC</t>
        </is>
      </c>
      <c r="BC1096" t="inlineStr">
        <is>
          <t>19-19-1-CRFH-PE</t>
        </is>
      </c>
    </row>
    <row r="1097">
      <c r="D1097" t="n">
        <v>3605740</v>
      </c>
      <c r="H1097" t="inlineStr">
        <is>
          <t>Marathwada Auto Compo Pvt. Ltd.</t>
        </is>
      </c>
      <c r="P1097" t="n">
        <v>1800</v>
      </c>
      <c r="Q1097" t="n">
        <v>1764</v>
      </c>
      <c r="W1097" t="inlineStr">
        <is>
          <t>30-25.5-2.25-CEW-CEW</t>
        </is>
      </c>
      <c r="BC1097" t="inlineStr">
        <is>
          <t>41.28-0-3.2-ERW 1-FC</t>
        </is>
      </c>
    </row>
    <row r="1098">
      <c r="D1098" t="n">
        <v>3605740</v>
      </c>
      <c r="H1098" t="inlineStr">
        <is>
          <t>Marathwada Auto Compo Pvt. Ltd.</t>
        </is>
      </c>
      <c r="P1098" t="n">
        <v>1801</v>
      </c>
      <c r="Q1098" t="n">
        <v>1765</v>
      </c>
      <c r="W1098" t="inlineStr">
        <is>
          <t>30-25.5-2.25-CEW-CEW</t>
        </is>
      </c>
      <c r="BC1098" t="inlineStr">
        <is>
          <t>22.23-0-2-ERW 2-FC</t>
        </is>
      </c>
    </row>
    <row r="1099">
      <c r="D1099" t="n">
        <v>3605739</v>
      </c>
      <c r="H1099" t="inlineStr">
        <is>
          <t>Marathwada Auto Compo Pvt. Ltd.</t>
        </is>
      </c>
      <c r="P1099" t="n">
        <v>1802</v>
      </c>
      <c r="Q1099" t="n">
        <v>1766</v>
      </c>
      <c r="W1099" t="inlineStr">
        <is>
          <t>42.7-0-4-ERW 1-FC-Ampere</t>
        </is>
      </c>
      <c r="BC1099" t="inlineStr">
        <is>
          <t>22.23-0-2-ERW 2-FC</t>
        </is>
      </c>
    </row>
    <row r="1100">
      <c r="D1100" t="n">
        <v>3605739</v>
      </c>
      <c r="H1100" t="inlineStr">
        <is>
          <t>Marathwada Auto Compo Pvt. Ltd.</t>
        </is>
      </c>
      <c r="P1100" t="n">
        <v>1803</v>
      </c>
      <c r="Q1100" t="n">
        <v>1767</v>
      </c>
      <c r="W1100" t="inlineStr">
        <is>
          <t>42.7-0-3.5-ERW 1-FC</t>
        </is>
      </c>
      <c r="BC1100" t="inlineStr">
        <is>
          <t>40-20-1.2-CRFH-PE</t>
        </is>
      </c>
    </row>
    <row r="1101">
      <c r="D1101" t="n">
        <v>3605739</v>
      </c>
      <c r="H1101" t="inlineStr">
        <is>
          <t>Marathwada Auto Compo Pvt. Ltd.</t>
        </is>
      </c>
      <c r="P1101" t="n">
        <v>1804</v>
      </c>
      <c r="Q1101" t="n">
        <v>1768</v>
      </c>
      <c r="W1101" t="inlineStr">
        <is>
          <t>39-34-2.5-CEW-CEW</t>
        </is>
      </c>
      <c r="BC1101" t="inlineStr">
        <is>
          <t>19-19-1-CRFH-PE</t>
        </is>
      </c>
    </row>
    <row r="1102">
      <c r="D1102" t="n">
        <v>3605739</v>
      </c>
      <c r="H1102" t="inlineStr">
        <is>
          <t>Marathwada Auto Compo Pvt. Ltd.</t>
        </is>
      </c>
      <c r="P1102" t="n">
        <v>1805</v>
      </c>
      <c r="Q1102" t="n">
        <v>1769</v>
      </c>
      <c r="W1102" t="inlineStr">
        <is>
          <t>39-34-2.5-CEW-CEW</t>
        </is>
      </c>
      <c r="BC1102" t="inlineStr">
        <is>
          <t>19-19-1-CRFH-PE</t>
        </is>
      </c>
    </row>
    <row r="1103">
      <c r="D1103" t="n">
        <v>3605739</v>
      </c>
      <c r="H1103" t="inlineStr">
        <is>
          <t>Marathwada Auto Compo Pvt. Ltd.</t>
        </is>
      </c>
      <c r="P1103" t="n">
        <v>1806</v>
      </c>
      <c r="Q1103" t="n">
        <v>1770</v>
      </c>
      <c r="W1103" t="inlineStr">
        <is>
          <t>30-25.5-2.25-CEW-CEW</t>
        </is>
      </c>
      <c r="BC1103" t="inlineStr">
        <is>
          <t>40-40-1.2-CRFH-PE</t>
        </is>
      </c>
    </row>
    <row r="1104">
      <c r="D1104" t="n">
        <v>3605739</v>
      </c>
      <c r="H1104" t="inlineStr">
        <is>
          <t>Marathwada Auto Compo Pvt. Ltd.</t>
        </is>
      </c>
      <c r="P1104" t="n">
        <v>1807</v>
      </c>
      <c r="Q1104" t="n">
        <v>1771</v>
      </c>
      <c r="W1104" t="inlineStr">
        <is>
          <t>30-25.5-2.25-CEW-CEW</t>
        </is>
      </c>
      <c r="BC1104" t="inlineStr">
        <is>
          <t>19-19-1-CRFH-PE</t>
        </is>
      </c>
    </row>
    <row r="1105">
      <c r="D1105" t="n">
        <v>3605739</v>
      </c>
      <c r="H1105" t="inlineStr">
        <is>
          <t>Marathwada Auto Compo Pvt. Ltd.</t>
        </is>
      </c>
      <c r="P1105" t="n">
        <v>1808</v>
      </c>
      <c r="Q1105" t="n">
        <v>1772</v>
      </c>
      <c r="W1105" t="inlineStr">
        <is>
          <t>30-25.5-2.25-CEW-CEW</t>
        </is>
      </c>
      <c r="BC1105" t="inlineStr">
        <is>
          <t>19-19-1-CRFH-PE</t>
        </is>
      </c>
    </row>
    <row r="1106">
      <c r="D1106" t="n">
        <v>3605739</v>
      </c>
      <c r="H1106" t="inlineStr">
        <is>
          <t>Marathwada Auto Compo Pvt. Ltd.</t>
        </is>
      </c>
      <c r="P1106" t="n">
        <v>1809</v>
      </c>
      <c r="Q1106" t="n">
        <v>1773</v>
      </c>
      <c r="W1106" t="inlineStr">
        <is>
          <t>30-25.5-2.25-CEW-CEW</t>
        </is>
      </c>
      <c r="BC1106" t="inlineStr">
        <is>
          <t>19-19-1-CRFH-PE</t>
        </is>
      </c>
    </row>
    <row r="1107">
      <c r="D1107" t="n">
        <v>3605739</v>
      </c>
      <c r="H1107" t="inlineStr">
        <is>
          <t>Marathwada Auto Compo Pvt. Ltd.</t>
        </is>
      </c>
      <c r="P1107" t="n">
        <v>1810</v>
      </c>
      <c r="Q1107" t="n">
        <v>1774</v>
      </c>
      <c r="W1107" t="inlineStr">
        <is>
          <t>48.6-0-3.5-ERW 1-FC</t>
        </is>
      </c>
      <c r="BC1107" t="inlineStr">
        <is>
          <t>19-19-1-CRFH-PE</t>
        </is>
      </c>
    </row>
    <row r="1108">
      <c r="D1108" t="n">
        <v>3605739</v>
      </c>
      <c r="H1108" t="inlineStr">
        <is>
          <t>Marathwada Auto Compo Pvt. Ltd.</t>
        </is>
      </c>
      <c r="P1108" t="n">
        <v>1811</v>
      </c>
      <c r="Q1108" t="n">
        <v>1775</v>
      </c>
      <c r="W1108" t="inlineStr">
        <is>
          <t>22.23-0-2-ERW 2 MAHS-PE</t>
        </is>
      </c>
      <c r="BC1108" t="inlineStr">
        <is>
          <t>19-19-1-CRFH-PE</t>
        </is>
      </c>
    </row>
    <row r="1109">
      <c r="D1109" t="n">
        <v>3605739</v>
      </c>
      <c r="H1109" t="inlineStr">
        <is>
          <t>Marathwada Auto Compo Pvt. Ltd.</t>
        </is>
      </c>
      <c r="P1109" t="n">
        <v>1812</v>
      </c>
      <c r="Q1109" t="n">
        <v>1776</v>
      </c>
      <c r="W1109" t="inlineStr">
        <is>
          <t>30-25.5-2.25-CEW-CEW</t>
        </is>
      </c>
      <c r="BC1109" t="inlineStr">
        <is>
          <t>19-19-1-CRFH-PE</t>
        </is>
      </c>
    </row>
    <row r="1110">
      <c r="D1110" t="n">
        <v>3605739</v>
      </c>
      <c r="H1110" t="inlineStr">
        <is>
          <t>Marathwada Auto Compo Pvt. Ltd.</t>
        </is>
      </c>
      <c r="P1110" t="n">
        <v>1813</v>
      </c>
      <c r="Q1110" t="n">
        <v>1777</v>
      </c>
      <c r="W1110" t="inlineStr">
        <is>
          <t>30-25.5-2.25-CEW-CEW</t>
        </is>
      </c>
      <c r="BC1110" t="inlineStr">
        <is>
          <t>19-19-1-CRFH-PE</t>
        </is>
      </c>
    </row>
    <row r="1111">
      <c r="D1111" t="n">
        <v>3605739</v>
      </c>
      <c r="H1111" t="inlineStr">
        <is>
          <t>Marathwada Auto Compo Pvt. Ltd.</t>
        </is>
      </c>
      <c r="P1111" t="n">
        <v>1814</v>
      </c>
      <c r="Q1111" t="n">
        <v>1778</v>
      </c>
      <c r="W1111" t="inlineStr">
        <is>
          <t>30-25.5-2.25-CEW-CEW</t>
        </is>
      </c>
      <c r="BC1111" t="inlineStr">
        <is>
          <t>19-19-1-CRFH-PE</t>
        </is>
      </c>
    </row>
    <row r="1112">
      <c r="D1112" t="n">
        <v>3605739</v>
      </c>
      <c r="H1112" t="inlineStr">
        <is>
          <t>Marathwada Auto Compo Pvt. Ltd.</t>
        </is>
      </c>
      <c r="P1112" t="n">
        <v>1815</v>
      </c>
      <c r="Q1112" t="n">
        <v>1779</v>
      </c>
      <c r="BC1112" t="inlineStr">
        <is>
          <t>15.88-0-1-ERW 1-PE</t>
        </is>
      </c>
    </row>
    <row r="1113">
      <c r="D1113" t="n">
        <v>3605739</v>
      </c>
      <c r="H1113" t="inlineStr">
        <is>
          <t>Marathwada Auto Compo Pvt. Ltd.</t>
        </is>
      </c>
      <c r="P1113" t="n">
        <v>1816</v>
      </c>
      <c r="Q1113" t="n">
        <v>1780</v>
      </c>
      <c r="BC1113" t="inlineStr">
        <is>
          <t>22.23-0-1.6-ERW 1-PE</t>
        </is>
      </c>
    </row>
    <row r="1114">
      <c r="D1114" t="n">
        <v>3234372</v>
      </c>
      <c r="H1114" t="inlineStr">
        <is>
          <t>Thirupathi Industries</t>
        </is>
      </c>
      <c r="P1114" t="n">
        <v>1817</v>
      </c>
      <c r="Q1114" t="n">
        <v>1783</v>
      </c>
      <c r="BC1114" t="inlineStr">
        <is>
          <t>19.05-0-1.2-CRFH-PE</t>
        </is>
      </c>
    </row>
    <row r="1115">
      <c r="D1115" t="n">
        <v>3234372</v>
      </c>
      <c r="H1115" t="inlineStr">
        <is>
          <t>Thirupathi Industries</t>
        </is>
      </c>
      <c r="P1115" t="n">
        <v>1853</v>
      </c>
      <c r="Q1115" t="n">
        <v>1784</v>
      </c>
    </row>
    <row r="1116">
      <c r="D1116" t="n">
        <v>3234372</v>
      </c>
      <c r="H1116" t="inlineStr">
        <is>
          <t>Thirupathi Industries</t>
        </is>
      </c>
      <c r="P1116" t="n">
        <v>1854</v>
      </c>
      <c r="Q1116" t="n">
        <v>1785</v>
      </c>
    </row>
    <row r="1117">
      <c r="D1117" t="n">
        <v>3234372</v>
      </c>
      <c r="H1117" t="inlineStr">
        <is>
          <t>Thirupathi Industries</t>
        </is>
      </c>
      <c r="P1117" t="n">
        <v>1855</v>
      </c>
      <c r="Q1117" t="n">
        <v>1786</v>
      </c>
    </row>
    <row r="1118">
      <c r="D1118" t="n">
        <v>3234372</v>
      </c>
      <c r="H1118" t="inlineStr">
        <is>
          <t>Thirupathi Industries</t>
        </is>
      </c>
      <c r="P1118" t="n">
        <v>1856</v>
      </c>
      <c r="Q1118" t="n">
        <v>1787</v>
      </c>
    </row>
    <row r="1119">
      <c r="D1119" t="n">
        <v>3234372</v>
      </c>
      <c r="H1119" t="inlineStr">
        <is>
          <t>Thirupathi Industries</t>
        </is>
      </c>
      <c r="P1119" t="n">
        <v>1857</v>
      </c>
      <c r="Q1119" t="n">
        <v>1788</v>
      </c>
    </row>
    <row r="1120">
      <c r="D1120" t="n">
        <v>3234372</v>
      </c>
      <c r="H1120" t="inlineStr">
        <is>
          <t>Thirupathi Industries</t>
        </is>
      </c>
      <c r="P1120" t="n">
        <v>1858</v>
      </c>
      <c r="Q1120" t="n">
        <v>1789</v>
      </c>
    </row>
    <row r="1121">
      <c r="D1121" t="n">
        <v>3234372</v>
      </c>
      <c r="H1121" t="inlineStr">
        <is>
          <t>Thirupathi Industries</t>
        </is>
      </c>
      <c r="P1121" t="n">
        <v>1859</v>
      </c>
      <c r="Q1121" t="n">
        <v>1790</v>
      </c>
    </row>
    <row r="1122">
      <c r="D1122" t="n">
        <v>3234372</v>
      </c>
      <c r="H1122" t="inlineStr">
        <is>
          <t>Thirupathi Industries</t>
        </is>
      </c>
      <c r="P1122" t="n">
        <v>1860</v>
      </c>
      <c r="Q1122" t="n">
        <v>1791</v>
      </c>
    </row>
    <row r="1123">
      <c r="D1123" t="n">
        <v>3234372</v>
      </c>
      <c r="H1123" t="inlineStr">
        <is>
          <t>Thirupathi Industries</t>
        </is>
      </c>
      <c r="P1123" t="n">
        <v>1861</v>
      </c>
      <c r="Q1123" t="n">
        <v>1792</v>
      </c>
    </row>
    <row r="1124">
      <c r="D1124" t="n">
        <v>3234372</v>
      </c>
      <c r="H1124" t="inlineStr">
        <is>
          <t>Thirupathi Industries</t>
        </is>
      </c>
      <c r="P1124" t="n">
        <v>1862</v>
      </c>
      <c r="Q1124" t="n">
        <v>1793</v>
      </c>
    </row>
    <row r="1125">
      <c r="D1125" t="n">
        <v>3234372</v>
      </c>
      <c r="H1125" t="inlineStr">
        <is>
          <t>Thirupathi Industries</t>
        </is>
      </c>
      <c r="P1125" t="n">
        <v>1863</v>
      </c>
      <c r="Q1125" t="n">
        <v>1794</v>
      </c>
    </row>
    <row r="1126">
      <c r="D1126" t="n">
        <v>3234372</v>
      </c>
      <c r="H1126" t="inlineStr">
        <is>
          <t>Thirupathi Industries</t>
        </is>
      </c>
      <c r="P1126" t="n">
        <v>1864</v>
      </c>
      <c r="Q1126" t="n">
        <v>1795</v>
      </c>
    </row>
    <row r="1127">
      <c r="D1127" t="n">
        <v>3234372</v>
      </c>
      <c r="H1127" t="inlineStr">
        <is>
          <t>Thirupathi Industries</t>
        </is>
      </c>
      <c r="P1127" t="n">
        <v>1865</v>
      </c>
      <c r="Q1127" t="n">
        <v>1796</v>
      </c>
    </row>
    <row r="1128">
      <c r="D1128" t="n">
        <v>3234372</v>
      </c>
      <c r="H1128" t="inlineStr">
        <is>
          <t>Thirupathi Industries</t>
        </is>
      </c>
      <c r="P1128" t="n">
        <v>1866</v>
      </c>
      <c r="Q1128" t="n">
        <v>1797</v>
      </c>
    </row>
    <row r="1129">
      <c r="D1129" t="n">
        <v>3234372</v>
      </c>
      <c r="H1129" t="inlineStr">
        <is>
          <t>Thirupathi Industries</t>
        </is>
      </c>
      <c r="P1129" t="n">
        <v>1867</v>
      </c>
      <c r="Q1129" t="n">
        <v>1798</v>
      </c>
    </row>
    <row r="1130">
      <c r="D1130" t="n">
        <v>3234372</v>
      </c>
      <c r="H1130" t="inlineStr">
        <is>
          <t>Thirupathi Industries</t>
        </is>
      </c>
      <c r="P1130" t="n">
        <v>1868</v>
      </c>
      <c r="Q1130" t="n">
        <v>1799</v>
      </c>
    </row>
    <row r="1131">
      <c r="D1131" t="n">
        <v>3234372</v>
      </c>
      <c r="H1131" t="inlineStr">
        <is>
          <t>Thirupathi Industries</t>
        </is>
      </c>
      <c r="P1131" t="n">
        <v>1869</v>
      </c>
      <c r="Q1131" t="n">
        <v>1800</v>
      </c>
    </row>
    <row r="1132">
      <c r="D1132" t="n">
        <v>3234372</v>
      </c>
      <c r="H1132" t="inlineStr">
        <is>
          <t>Thirupathi Industries</t>
        </is>
      </c>
      <c r="P1132" t="n">
        <v>1870</v>
      </c>
      <c r="Q1132" t="n">
        <v>1801</v>
      </c>
    </row>
    <row r="1133">
      <c r="D1133" t="n">
        <v>3234372</v>
      </c>
      <c r="H1133" t="inlineStr">
        <is>
          <t>Thirupathi Industries</t>
        </is>
      </c>
      <c r="P1133" t="n">
        <v>1871</v>
      </c>
      <c r="Q1133" t="n">
        <v>1802</v>
      </c>
    </row>
    <row r="1134">
      <c r="D1134" t="n">
        <v>3234372</v>
      </c>
      <c r="H1134" t="inlineStr">
        <is>
          <t>Thirupathi Industries</t>
        </is>
      </c>
      <c r="P1134" t="n">
        <v>1872</v>
      </c>
      <c r="Q1134" t="n">
        <v>1803</v>
      </c>
    </row>
    <row r="1135">
      <c r="D1135" t="n">
        <v>3234372</v>
      </c>
      <c r="H1135" t="inlineStr">
        <is>
          <t>Thirupathi Industries</t>
        </is>
      </c>
      <c r="P1135" t="n">
        <v>1873</v>
      </c>
      <c r="Q1135" t="n">
        <v>1804</v>
      </c>
    </row>
    <row r="1136">
      <c r="D1136" t="n">
        <v>3234372</v>
      </c>
      <c r="H1136" t="inlineStr">
        <is>
          <t>Thirupathi Industries</t>
        </is>
      </c>
      <c r="P1136" t="n">
        <v>1874</v>
      </c>
      <c r="Q1136" t="n">
        <v>1805</v>
      </c>
    </row>
    <row r="1137">
      <c r="D1137" t="n">
        <v>3234372</v>
      </c>
      <c r="H1137" t="inlineStr">
        <is>
          <t>Thirupathi Industries</t>
        </is>
      </c>
      <c r="P1137" t="n">
        <v>1875</v>
      </c>
      <c r="Q1137" t="n">
        <v>1806</v>
      </c>
    </row>
    <row r="1138">
      <c r="D1138" t="n">
        <v>3234372</v>
      </c>
      <c r="H1138" t="inlineStr">
        <is>
          <t>Thirupathi Industries</t>
        </is>
      </c>
      <c r="P1138" t="n">
        <v>1876</v>
      </c>
      <c r="Q1138" t="n">
        <v>1807</v>
      </c>
    </row>
    <row r="1139">
      <c r="D1139" t="n">
        <v>3234372</v>
      </c>
      <c r="H1139" t="inlineStr">
        <is>
          <t>Thirupathi Industries</t>
        </is>
      </c>
      <c r="P1139" t="n">
        <v>1877</v>
      </c>
      <c r="Q1139" t="n">
        <v>1808</v>
      </c>
    </row>
    <row r="1140">
      <c r="D1140" t="n">
        <v>3234372</v>
      </c>
      <c r="H1140" t="inlineStr">
        <is>
          <t>Thirupathi Industries</t>
        </is>
      </c>
      <c r="P1140" t="n">
        <v>1878</v>
      </c>
      <c r="Q1140" t="n">
        <v>1809</v>
      </c>
    </row>
    <row r="1141">
      <c r="D1141" t="n">
        <v>3234372</v>
      </c>
      <c r="H1141" t="inlineStr">
        <is>
          <t>Thirupathi Industries</t>
        </is>
      </c>
      <c r="P1141" t="n">
        <v>1879</v>
      </c>
      <c r="Q1141" t="n">
        <v>1810</v>
      </c>
    </row>
    <row r="1142">
      <c r="D1142" t="n">
        <v>1940151</v>
      </c>
      <c r="H1142" t="inlineStr">
        <is>
          <t>Thirupathi Industries</t>
        </is>
      </c>
      <c r="P1142" t="n">
        <v>1880</v>
      </c>
      <c r="Q1142" t="n">
        <v>1811</v>
      </c>
    </row>
    <row r="1143">
      <c r="D1143" t="n">
        <v>1940151</v>
      </c>
      <c r="H1143" t="inlineStr">
        <is>
          <t>Thirupathi Industries</t>
        </is>
      </c>
      <c r="P1143" t="n">
        <v>1881</v>
      </c>
      <c r="Q1143" t="n">
        <v>1812</v>
      </c>
    </row>
    <row r="1144">
      <c r="D1144" t="n">
        <v>3676019</v>
      </c>
      <c r="H1144" t="inlineStr">
        <is>
          <t>Thirupathi Industries</t>
        </is>
      </c>
      <c r="P1144" t="n">
        <v>1882</v>
      </c>
      <c r="Q1144" t="n">
        <v>1813</v>
      </c>
    </row>
    <row r="1145">
      <c r="D1145" t="n">
        <v>3676020</v>
      </c>
      <c r="H1145" t="inlineStr">
        <is>
          <t>Thirupathi Industries</t>
        </is>
      </c>
      <c r="P1145" t="n">
        <v>1883</v>
      </c>
      <c r="Q1145" t="n">
        <v>1814</v>
      </c>
    </row>
    <row r="1146">
      <c r="D1146" t="n">
        <v>3676021</v>
      </c>
      <c r="H1146" t="inlineStr">
        <is>
          <t>Thirupathi Industries</t>
        </is>
      </c>
      <c r="P1146" t="n">
        <v>1884</v>
      </c>
      <c r="Q1146" t="n">
        <v>1815</v>
      </c>
    </row>
    <row r="1147">
      <c r="D1147" t="n">
        <v>3676022</v>
      </c>
      <c r="H1147" t="inlineStr">
        <is>
          <t>Thirupathi Industries</t>
        </is>
      </c>
      <c r="P1147" t="n">
        <v>1885</v>
      </c>
      <c r="Q1147" t="n">
        <v>1816</v>
      </c>
    </row>
    <row r="1148">
      <c r="D1148" t="n">
        <v>3676023</v>
      </c>
      <c r="H1148" t="inlineStr">
        <is>
          <t>Rajsriya Automotive Industries(P)</t>
        </is>
      </c>
      <c r="P1148" t="n">
        <v>1886</v>
      </c>
      <c r="Q1148" t="n">
        <v>1817</v>
      </c>
    </row>
    <row r="1149">
      <c r="D1149" t="n">
        <v>3676024</v>
      </c>
      <c r="H1149" t="inlineStr">
        <is>
          <t>Rajsriya Automotive Industries(P)</t>
        </is>
      </c>
      <c r="P1149" t="n">
        <v>1887</v>
      </c>
      <c r="Q1149" t="n">
        <v>1818</v>
      </c>
    </row>
    <row r="1150">
      <c r="D1150" t="n">
        <v>3676025</v>
      </c>
      <c r="H1150" t="inlineStr">
        <is>
          <t>Rajsriya Automotive Industries(P)</t>
        </is>
      </c>
      <c r="P1150" t="n">
        <v>1888</v>
      </c>
      <c r="Q1150" t="n">
        <v>1819</v>
      </c>
    </row>
    <row r="1151">
      <c r="D1151" t="n">
        <v>3676026</v>
      </c>
      <c r="H1151" t="inlineStr">
        <is>
          <t>Rajsriya Automotive Industries(P)</t>
        </is>
      </c>
      <c r="P1151" t="n">
        <v>1889</v>
      </c>
      <c r="Q1151" t="n">
        <v>1820</v>
      </c>
    </row>
    <row r="1152">
      <c r="D1152" t="n">
        <v>3676027</v>
      </c>
      <c r="H1152" t="inlineStr">
        <is>
          <t>Rajsriya Automotive Industries(P)</t>
        </is>
      </c>
      <c r="P1152" t="n">
        <v>1890</v>
      </c>
      <c r="Q1152" t="n">
        <v>1821</v>
      </c>
    </row>
    <row r="1153">
      <c r="D1153" t="n">
        <v>3676028</v>
      </c>
      <c r="H1153" t="inlineStr">
        <is>
          <t>Rajsriya Automotive Industries(P)</t>
        </is>
      </c>
      <c r="P1153" t="n">
        <v>1891</v>
      </c>
      <c r="Q1153" t="n">
        <v>1822</v>
      </c>
    </row>
    <row r="1154">
      <c r="D1154" t="n">
        <v>3676029</v>
      </c>
      <c r="H1154" t="inlineStr">
        <is>
          <t>Rajsriya Automotive Industries(P)</t>
        </is>
      </c>
      <c r="P1154" t="n">
        <v>1892</v>
      </c>
      <c r="Q1154" t="n">
        <v>1823</v>
      </c>
    </row>
    <row r="1155">
      <c r="D1155" t="n">
        <v>3676030</v>
      </c>
      <c r="H1155" t="inlineStr">
        <is>
          <t>Rajsriya Automotive Industries(P)</t>
        </is>
      </c>
      <c r="P1155" t="n">
        <v>1893</v>
      </c>
      <c r="Q1155" t="n">
        <v>1824</v>
      </c>
    </row>
    <row r="1156">
      <c r="D1156" t="n">
        <v>3676031</v>
      </c>
      <c r="H1156" t="inlineStr">
        <is>
          <t>Rajsriya Automotive Industries(P)</t>
        </is>
      </c>
      <c r="P1156" t="n">
        <v>1894</v>
      </c>
      <c r="Q1156" t="n">
        <v>1825</v>
      </c>
    </row>
    <row r="1157">
      <c r="D1157" t="n">
        <v>3676032</v>
      </c>
      <c r="H1157" t="inlineStr">
        <is>
          <t>Rajsriya Automotive Industries(P)</t>
        </is>
      </c>
      <c r="P1157" t="n">
        <v>1895</v>
      </c>
      <c r="Q1157" t="n">
        <v>1826</v>
      </c>
    </row>
    <row r="1158">
      <c r="D1158" t="n">
        <v>3676033</v>
      </c>
      <c r="H1158" t="inlineStr">
        <is>
          <t>Marathwada Auto Compo Pvt. Ltd.</t>
        </is>
      </c>
      <c r="P1158" t="n">
        <v>1896</v>
      </c>
      <c r="Q1158" t="n">
        <v>1827</v>
      </c>
    </row>
    <row r="1159">
      <c r="D1159" t="n">
        <v>3676034</v>
      </c>
      <c r="H1159" t="inlineStr">
        <is>
          <t>Marathwada Auto Compo Pvt. Ltd.</t>
        </is>
      </c>
      <c r="P1159" t="n">
        <v>1909</v>
      </c>
      <c r="Q1159" t="n">
        <v>1828</v>
      </c>
    </row>
    <row r="1160">
      <c r="D1160" t="n">
        <v>3676035</v>
      </c>
      <c r="H1160" t="inlineStr">
        <is>
          <t>Marathwada Auto Compo Pvt. Ltd.</t>
        </is>
      </c>
      <c r="P1160" t="n">
        <v>1910</v>
      </c>
      <c r="Q1160" t="n">
        <v>1829</v>
      </c>
    </row>
    <row r="1161">
      <c r="D1161" t="n">
        <v>3676036</v>
      </c>
      <c r="H1161" t="inlineStr">
        <is>
          <t>Marathwada Auto Compo Pvt. Ltd.</t>
        </is>
      </c>
      <c r="P1161" t="n">
        <v>1911</v>
      </c>
      <c r="Q1161" t="n">
        <v>1830</v>
      </c>
    </row>
    <row r="1162">
      <c r="D1162" t="n">
        <v>3576136</v>
      </c>
      <c r="H1162" t="inlineStr">
        <is>
          <t>Marathwada Auto Compo Pvt. Ltd.</t>
        </is>
      </c>
      <c r="P1162" t="n">
        <v>1912</v>
      </c>
      <c r="Q1162" t="n">
        <v>1831</v>
      </c>
    </row>
    <row r="1163">
      <c r="D1163" t="n">
        <v>2426140</v>
      </c>
      <c r="H1163" t="inlineStr">
        <is>
          <t>Neel Metal Products Limited</t>
        </is>
      </c>
      <c r="P1163" t="n">
        <v>1913</v>
      </c>
      <c r="Q1163" t="n">
        <v>1832</v>
      </c>
    </row>
    <row r="1164">
      <c r="D1164" t="n">
        <v>3635694</v>
      </c>
      <c r="H1164" t="inlineStr">
        <is>
          <t>Neel Metal Products Limited</t>
        </is>
      </c>
      <c r="P1164" t="n">
        <v>1914</v>
      </c>
      <c r="Q1164" t="n">
        <v>1833</v>
      </c>
    </row>
    <row r="1165">
      <c r="D1165" t="n">
        <v>3635694</v>
      </c>
      <c r="H1165" t="inlineStr">
        <is>
          <t>Neel Metal Products Limited</t>
        </is>
      </c>
      <c r="P1165" t="n">
        <v>1915</v>
      </c>
      <c r="Q1165" t="n">
        <v>1834</v>
      </c>
    </row>
    <row r="1166">
      <c r="D1166" t="n">
        <v>3635694</v>
      </c>
      <c r="H1166" t="inlineStr">
        <is>
          <t>Neel Metal Products Limited</t>
        </is>
      </c>
      <c r="P1166" t="n">
        <v>1916</v>
      </c>
      <c r="Q1166" t="n">
        <v>1835</v>
      </c>
    </row>
    <row r="1167">
      <c r="D1167" t="n">
        <v>3635694</v>
      </c>
      <c r="H1167" t="inlineStr">
        <is>
          <t>Neel Metal Products Limited</t>
        </is>
      </c>
      <c r="P1167" t="n">
        <v>1940</v>
      </c>
      <c r="Q1167" t="n">
        <v>1836</v>
      </c>
    </row>
    <row r="1168">
      <c r="D1168" t="n">
        <v>3635694</v>
      </c>
      <c r="H1168" t="inlineStr">
        <is>
          <t>Neel Metal Products Limited</t>
        </is>
      </c>
      <c r="P1168" t="n">
        <v>1941</v>
      </c>
      <c r="Q1168" t="n">
        <v>1837</v>
      </c>
    </row>
    <row r="1169">
      <c r="D1169" t="n">
        <v>3635694</v>
      </c>
      <c r="H1169" t="inlineStr">
        <is>
          <t>Neel Metal Products Limited</t>
        </is>
      </c>
      <c r="P1169" t="n">
        <v>1942</v>
      </c>
      <c r="Q1169" t="n">
        <v>1838</v>
      </c>
    </row>
    <row r="1170">
      <c r="D1170" t="n">
        <v>3635694</v>
      </c>
      <c r="H1170" t="inlineStr">
        <is>
          <t>Neel Metal Products Limited</t>
        </is>
      </c>
      <c r="P1170" t="n">
        <v>1943</v>
      </c>
      <c r="Q1170" t="n">
        <v>1839</v>
      </c>
    </row>
    <row r="1171">
      <c r="D1171" t="n">
        <v>3635694</v>
      </c>
      <c r="H1171" t="inlineStr">
        <is>
          <t>Neel Metal Products Limited</t>
        </is>
      </c>
      <c r="P1171" t="n">
        <v>1944</v>
      </c>
      <c r="Q1171" t="n">
        <v>1840</v>
      </c>
    </row>
    <row r="1172">
      <c r="D1172" t="n">
        <v>3635694</v>
      </c>
      <c r="H1172" t="inlineStr">
        <is>
          <t>Neel Metal Products Limited</t>
        </is>
      </c>
      <c r="P1172" t="n">
        <v>1945</v>
      </c>
      <c r="Q1172" t="n">
        <v>1841</v>
      </c>
    </row>
    <row r="1173">
      <c r="D1173" t="n">
        <v>3635694</v>
      </c>
      <c r="H1173" t="inlineStr">
        <is>
          <t>Neel Metal Products Limited</t>
        </is>
      </c>
      <c r="P1173" t="n">
        <v>1946</v>
      </c>
      <c r="Q1173" t="n">
        <v>1842</v>
      </c>
    </row>
    <row r="1174">
      <c r="D1174" t="n">
        <v>3635694</v>
      </c>
      <c r="H1174" t="inlineStr">
        <is>
          <t>Neel Metal Products Limited</t>
        </is>
      </c>
      <c r="P1174" t="n">
        <v>1947</v>
      </c>
      <c r="Q1174" t="n">
        <v>1843</v>
      </c>
    </row>
    <row r="1175">
      <c r="D1175" t="n">
        <v>3635694</v>
      </c>
      <c r="H1175" t="inlineStr">
        <is>
          <t>Neel Metal Products Limited</t>
        </is>
      </c>
      <c r="P1175" t="n">
        <v>1948</v>
      </c>
      <c r="Q1175" t="n">
        <v>1844</v>
      </c>
    </row>
    <row r="1176">
      <c r="D1176" t="n">
        <v>3518158</v>
      </c>
      <c r="H1176" t="inlineStr">
        <is>
          <t>Neel Metal Products Limited</t>
        </is>
      </c>
      <c r="P1176" t="n">
        <v>1949</v>
      </c>
      <c r="Q1176" t="n">
        <v>1845</v>
      </c>
    </row>
    <row r="1177">
      <c r="D1177" t="n">
        <v>3518158</v>
      </c>
      <c r="H1177" t="inlineStr">
        <is>
          <t>Neel Metal Products Limited</t>
        </is>
      </c>
      <c r="P1177" t="n">
        <v>1950</v>
      </c>
      <c r="Q1177" t="n">
        <v>1846</v>
      </c>
    </row>
    <row r="1178">
      <c r="D1178" t="n">
        <v>3518158</v>
      </c>
      <c r="H1178" t="inlineStr">
        <is>
          <t>Neel Metal Products Limited</t>
        </is>
      </c>
      <c r="P1178" t="n">
        <v>1951</v>
      </c>
      <c r="Q1178" t="n">
        <v>1847</v>
      </c>
    </row>
    <row r="1179">
      <c r="D1179" t="n">
        <v>3518158</v>
      </c>
      <c r="H1179" t="inlineStr">
        <is>
          <t>Neel Metal Products Limited</t>
        </is>
      </c>
      <c r="P1179" t="n">
        <v>1952</v>
      </c>
      <c r="Q1179" t="n">
        <v>1848</v>
      </c>
    </row>
    <row r="1180">
      <c r="D1180" t="n">
        <v>3518158</v>
      </c>
      <c r="H1180" t="inlineStr">
        <is>
          <t>Neel Metal Products Limited</t>
        </is>
      </c>
      <c r="P1180" t="n">
        <v>1953</v>
      </c>
      <c r="Q1180" t="n">
        <v>1849</v>
      </c>
    </row>
    <row r="1181">
      <c r="D1181" t="n">
        <v>3518158</v>
      </c>
      <c r="H1181" t="inlineStr">
        <is>
          <t>Neel Metal Products Limited</t>
        </is>
      </c>
      <c r="P1181" t="n">
        <v>1958</v>
      </c>
      <c r="Q1181" t="n">
        <v>1850</v>
      </c>
    </row>
    <row r="1182">
      <c r="D1182" t="n">
        <v>3518158</v>
      </c>
      <c r="H1182" t="inlineStr">
        <is>
          <t>Neel Metal Products Limited</t>
        </is>
      </c>
      <c r="P1182" t="n">
        <v>1959</v>
      </c>
      <c r="Q1182" t="n">
        <v>1851</v>
      </c>
    </row>
    <row r="1183">
      <c r="D1183" t="n">
        <v>3409366</v>
      </c>
      <c r="H1183" t="inlineStr">
        <is>
          <t>Neel Metal Products Limited</t>
        </is>
      </c>
      <c r="P1183" t="n">
        <v>1959</v>
      </c>
      <c r="Q1183" t="n">
        <v>1852</v>
      </c>
    </row>
    <row r="1184">
      <c r="D1184" t="n">
        <v>3409366</v>
      </c>
      <c r="H1184" t="inlineStr">
        <is>
          <t>Neel Metal Products Limited</t>
        </is>
      </c>
      <c r="P1184" t="n">
        <v>1990</v>
      </c>
      <c r="Q1184" t="n">
        <v>1853</v>
      </c>
    </row>
    <row r="1185">
      <c r="D1185" t="n">
        <v>3409366</v>
      </c>
      <c r="H1185" t="inlineStr">
        <is>
          <t>Neel Metal Products Limited</t>
        </is>
      </c>
      <c r="P1185" t="n">
        <v>1990</v>
      </c>
      <c r="Q1185" t="n">
        <v>1854</v>
      </c>
    </row>
    <row r="1186">
      <c r="D1186" t="n">
        <v>3409366</v>
      </c>
      <c r="H1186" t="inlineStr">
        <is>
          <t>Neel Metal Products Limited</t>
        </is>
      </c>
      <c r="P1186" t="n">
        <v>1991</v>
      </c>
      <c r="Q1186" t="n">
        <v>1855</v>
      </c>
    </row>
    <row r="1187">
      <c r="D1187" t="n">
        <v>3239890</v>
      </c>
      <c r="H1187" t="inlineStr">
        <is>
          <t>Rajsriya Automotive Industries(P)</t>
        </is>
      </c>
      <c r="P1187" t="n">
        <v>1992</v>
      </c>
      <c r="Q1187" t="n">
        <v>1856</v>
      </c>
    </row>
    <row r="1188">
      <c r="D1188" t="n">
        <v>3239890</v>
      </c>
      <c r="H1188" t="inlineStr">
        <is>
          <t>Rajsriya Automotive Industries(P)</t>
        </is>
      </c>
      <c r="P1188" t="n">
        <v>1993</v>
      </c>
      <c r="Q1188" t="n">
        <v>1857</v>
      </c>
    </row>
    <row r="1189">
      <c r="D1189" t="n">
        <v>3239890</v>
      </c>
      <c r="H1189" t="inlineStr">
        <is>
          <t>BALAJI INDUSTRIES</t>
        </is>
      </c>
      <c r="P1189" t="n">
        <v>1994</v>
      </c>
      <c r="Q1189" t="n">
        <v>1858</v>
      </c>
    </row>
    <row r="1190">
      <c r="D1190" t="n">
        <v>3239890</v>
      </c>
      <c r="H1190" t="inlineStr">
        <is>
          <t>FREE STOCK</t>
        </is>
      </c>
      <c r="P1190" t="n">
        <v>1995</v>
      </c>
      <c r="Q1190" t="n">
        <v>1859</v>
      </c>
    </row>
    <row r="1191">
      <c r="D1191" t="n">
        <v>3239890</v>
      </c>
      <c r="H1191" t="inlineStr">
        <is>
          <t>Elkayem Auto Ancillaries ( P ) LTD</t>
        </is>
      </c>
      <c r="P1191" t="n">
        <v>1996</v>
      </c>
      <c r="Q1191" t="n">
        <v>1860</v>
      </c>
    </row>
    <row r="1192">
      <c r="D1192" t="n">
        <v>3239890</v>
      </c>
      <c r="H1192" t="inlineStr">
        <is>
          <t>Elkayem Auto Ancillaries ( P ) LTD</t>
        </is>
      </c>
      <c r="P1192" t="n">
        <v>1997</v>
      </c>
      <c r="Q1192" t="n">
        <v>1861</v>
      </c>
    </row>
    <row r="1193">
      <c r="D1193" t="n">
        <v>3239890</v>
      </c>
      <c r="H1193" t="inlineStr">
        <is>
          <t>Rajsriya Automotive Ind Pvt Ltd.</t>
        </is>
      </c>
      <c r="P1193" t="n">
        <v>1998</v>
      </c>
      <c r="Q1193" t="n">
        <v>1862</v>
      </c>
    </row>
    <row r="1194">
      <c r="D1194" t="n">
        <v>3239890</v>
      </c>
      <c r="H1194" t="inlineStr">
        <is>
          <t>Marathwada Auto Compo Pvt. Ltd.</t>
        </is>
      </c>
      <c r="P1194" t="n">
        <v>1999</v>
      </c>
      <c r="Q1194" t="n">
        <v>1863</v>
      </c>
    </row>
    <row r="1195">
      <c r="D1195" t="n">
        <v>3239890</v>
      </c>
      <c r="H1195" t="inlineStr">
        <is>
          <t>Marathwada Auto Compo Pvt. Ltd.</t>
        </is>
      </c>
      <c r="P1195" t="n">
        <v>2000</v>
      </c>
      <c r="Q1195" t="n">
        <v>1864</v>
      </c>
    </row>
    <row r="1196">
      <c r="D1196" t="n">
        <v>1936576</v>
      </c>
      <c r="H1196" t="inlineStr">
        <is>
          <t>Neel Metal Products Limited</t>
        </is>
      </c>
      <c r="P1196" t="n">
        <v>2001</v>
      </c>
      <c r="Q1196" t="n">
        <v>1865</v>
      </c>
    </row>
    <row r="1197">
      <c r="D1197" t="n">
        <v>1936576</v>
      </c>
      <c r="H1197" t="inlineStr">
        <is>
          <t>Neel Metal Products Limited</t>
        </is>
      </c>
      <c r="P1197" t="n">
        <v>2002</v>
      </c>
      <c r="Q1197" t="n">
        <v>1866</v>
      </c>
    </row>
    <row r="1198">
      <c r="D1198" t="n">
        <v>3675612</v>
      </c>
      <c r="H1198" t="inlineStr">
        <is>
          <t>SRIKAM HITECH ENGINEERING PRIVATE L</t>
        </is>
      </c>
      <c r="P1198" t="n">
        <v>2003</v>
      </c>
      <c r="Q1198" t="n">
        <v>1867</v>
      </c>
    </row>
    <row r="1199">
      <c r="D1199" t="n">
        <v>2409616</v>
      </c>
      <c r="H1199" t="inlineStr">
        <is>
          <t>Neel Metal Products Limited</t>
        </is>
      </c>
      <c r="P1199" t="n">
        <v>2019</v>
      </c>
      <c r="Q1199" t="n">
        <v>1868</v>
      </c>
    </row>
    <row r="1200">
      <c r="D1200" t="n">
        <v>2409616</v>
      </c>
      <c r="H1200" t="inlineStr">
        <is>
          <t>JBM AUTO LIMITED</t>
        </is>
      </c>
      <c r="P1200" t="n">
        <v>2035</v>
      </c>
      <c r="Q1200" t="n">
        <v>1869</v>
      </c>
    </row>
    <row r="1201">
      <c r="D1201" t="n">
        <v>2409616</v>
      </c>
      <c r="H1201" t="inlineStr">
        <is>
          <t>Indo Autotech Limited (Unit V)</t>
        </is>
      </c>
      <c r="P1201" t="n">
        <v>2037</v>
      </c>
      <c r="Q1201" t="n">
        <v>1870</v>
      </c>
    </row>
    <row r="1202">
      <c r="D1202" t="n">
        <v>2409616</v>
      </c>
      <c r="H1202" t="inlineStr">
        <is>
          <t>Indo Autotech Limited (Unit V)</t>
        </is>
      </c>
      <c r="P1202" t="n">
        <v>2038</v>
      </c>
      <c r="Q1202" t="n">
        <v>1871</v>
      </c>
    </row>
    <row r="1203">
      <c r="D1203" t="n">
        <v>2409616</v>
      </c>
      <c r="H1203" t="inlineStr">
        <is>
          <t>Indo Autotech Limited (Unit V)</t>
        </is>
      </c>
      <c r="P1203" t="n">
        <v>2039</v>
      </c>
      <c r="Q1203" t="n">
        <v>1872</v>
      </c>
    </row>
    <row r="1204">
      <c r="D1204" t="n">
        <v>2409616</v>
      </c>
      <c r="H1204" t="inlineStr">
        <is>
          <t>Indo Autotech Limited (Unit V)</t>
        </is>
      </c>
      <c r="P1204" t="n">
        <v>2040</v>
      </c>
      <c r="Q1204" t="n">
        <v>1873</v>
      </c>
    </row>
    <row r="1205">
      <c r="D1205" t="n">
        <v>2409616</v>
      </c>
      <c r="H1205" t="inlineStr">
        <is>
          <t>FREE STOCK</t>
        </is>
      </c>
      <c r="P1205" t="n">
        <v>2041</v>
      </c>
      <c r="Q1205" t="n">
        <v>1874</v>
      </c>
    </row>
    <row r="1206">
      <c r="D1206" t="n">
        <v>2409616</v>
      </c>
      <c r="H1206" t="inlineStr">
        <is>
          <t>FREE STOCK</t>
        </is>
      </c>
      <c r="P1206" t="n">
        <v>2042</v>
      </c>
      <c r="Q1206" t="n">
        <v>1875</v>
      </c>
    </row>
    <row r="1207">
      <c r="D1207" t="n">
        <v>2409616</v>
      </c>
      <c r="H1207" t="inlineStr">
        <is>
          <t>FREE STOCK</t>
        </is>
      </c>
      <c r="P1207" t="n">
        <v>2043</v>
      </c>
      <c r="Q1207" t="n">
        <v>1876</v>
      </c>
    </row>
    <row r="1208">
      <c r="D1208" t="n">
        <v>2409616</v>
      </c>
      <c r="H1208" t="inlineStr">
        <is>
          <t>Neel Metal Products Limited</t>
        </is>
      </c>
      <c r="P1208" t="n">
        <v>2044</v>
      </c>
      <c r="Q1208" t="n">
        <v>1877</v>
      </c>
    </row>
    <row r="1209">
      <c r="D1209" t="n">
        <v>2409616</v>
      </c>
      <c r="H1209" t="inlineStr">
        <is>
          <t>Elkayem Auto Ancillaries ( P ) LTD</t>
        </is>
      </c>
      <c r="P1209" t="n">
        <v>2045</v>
      </c>
      <c r="Q1209" t="n">
        <v>1878</v>
      </c>
    </row>
    <row r="1210">
      <c r="D1210" t="n">
        <v>2409616</v>
      </c>
      <c r="H1210" t="inlineStr">
        <is>
          <t>Kay Jay Forgings Pvt Ltd Unit Vi</t>
        </is>
      </c>
      <c r="P1210" t="n">
        <v>2046</v>
      </c>
      <c r="Q1210" t="n">
        <v>1879</v>
      </c>
    </row>
    <row r="1211">
      <c r="D1211" t="n">
        <v>2409616</v>
      </c>
      <c r="H1211" t="inlineStr">
        <is>
          <t>Kay Jay Forgings Pvt Ltd Unit Vi</t>
        </is>
      </c>
      <c r="P1211" t="n">
        <v>2047</v>
      </c>
      <c r="Q1211" t="n">
        <v>1880</v>
      </c>
    </row>
    <row r="1212">
      <c r="D1212" t="n">
        <v>2409616</v>
      </c>
      <c r="H1212" t="inlineStr">
        <is>
          <t>Kay Jay Forgings Pvt Ltd Unit Vi</t>
        </is>
      </c>
      <c r="P1212" t="n">
        <v>2048</v>
      </c>
      <c r="Q1212" t="n">
        <v>1881</v>
      </c>
    </row>
    <row r="1213">
      <c r="D1213" t="n">
        <v>3506438</v>
      </c>
      <c r="H1213" t="inlineStr">
        <is>
          <t>Neel Metal Products Limited</t>
        </is>
      </c>
      <c r="P1213" t="n">
        <v>2049</v>
      </c>
      <c r="Q1213" t="n">
        <v>1882</v>
      </c>
    </row>
    <row r="1214">
      <c r="D1214" t="n">
        <v>3506438</v>
      </c>
      <c r="H1214" t="inlineStr">
        <is>
          <t>Neel Metal Products Limited</t>
        </is>
      </c>
      <c r="P1214" t="n">
        <v>2050</v>
      </c>
      <c r="Q1214" t="n">
        <v>1883</v>
      </c>
    </row>
    <row r="1215">
      <c r="D1215" t="n">
        <v>3506438</v>
      </c>
      <c r="H1215" t="inlineStr">
        <is>
          <t>Neel Metal Products Limited</t>
        </is>
      </c>
      <c r="P1215" t="n">
        <v>2051</v>
      </c>
      <c r="Q1215" t="n">
        <v>1884</v>
      </c>
    </row>
    <row r="1216">
      <c r="D1216" t="n">
        <v>1940188</v>
      </c>
      <c r="H1216" t="inlineStr">
        <is>
          <t>Neel Metal Products Limited</t>
        </is>
      </c>
      <c r="P1216" t="n">
        <v>2052</v>
      </c>
      <c r="Q1216" t="n">
        <v>1885</v>
      </c>
    </row>
    <row r="1217">
      <c r="D1217" t="n">
        <v>1940188</v>
      </c>
      <c r="H1217" t="inlineStr">
        <is>
          <t>Marathwada Auto Compo Pvt. Ltd.</t>
        </is>
      </c>
      <c r="P1217" t="n">
        <v>2053</v>
      </c>
      <c r="Q1217" t="n">
        <v>1886</v>
      </c>
    </row>
    <row r="1218">
      <c r="D1218" t="n">
        <v>1940188</v>
      </c>
      <c r="H1218" t="inlineStr">
        <is>
          <t>Marathwada Auto Compo Pvt. Ltd.</t>
        </is>
      </c>
      <c r="P1218" t="n">
        <v>2054</v>
      </c>
      <c r="Q1218" t="n">
        <v>1887</v>
      </c>
    </row>
    <row r="1219">
      <c r="D1219" t="n">
        <v>1940188</v>
      </c>
      <c r="H1219" t="inlineStr">
        <is>
          <t>Kay Jay Forgings Pvt Ltd Unit Vi</t>
        </is>
      </c>
      <c r="P1219" t="n">
        <v>2055</v>
      </c>
      <c r="Q1219" t="n">
        <v>1888</v>
      </c>
    </row>
    <row r="1220">
      <c r="D1220" t="n">
        <v>1940188</v>
      </c>
      <c r="H1220" t="inlineStr">
        <is>
          <t>JBM AUTO LIMITED</t>
        </is>
      </c>
      <c r="P1220" t="n">
        <v>2060</v>
      </c>
      <c r="Q1220" t="n">
        <v>1889</v>
      </c>
    </row>
    <row r="1221">
      <c r="D1221" t="n">
        <v>1940188</v>
      </c>
      <c r="H1221" t="inlineStr">
        <is>
          <t>JBM AUTO LIMITED</t>
        </is>
      </c>
      <c r="P1221" t="n">
        <v>2061</v>
      </c>
      <c r="Q1221" t="n">
        <v>1890</v>
      </c>
    </row>
    <row r="1222">
      <c r="D1222" t="n">
        <v>1940188</v>
      </c>
      <c r="H1222" t="inlineStr">
        <is>
          <t>A.S.(E) Exports Pvt.Ltd.</t>
        </is>
      </c>
      <c r="P1222" t="n">
        <v>2073</v>
      </c>
      <c r="Q1222" t="n">
        <v>1891</v>
      </c>
    </row>
    <row r="1223">
      <c r="D1223" t="n">
        <v>1940188</v>
      </c>
      <c r="H1223" t="inlineStr">
        <is>
          <t>A.S.(E) Exports Pvt.Ltd.</t>
        </is>
      </c>
      <c r="P1223" t="n">
        <v>2073</v>
      </c>
      <c r="Q1223" t="n">
        <v>1892</v>
      </c>
    </row>
    <row r="1224">
      <c r="D1224" t="n">
        <v>3675616</v>
      </c>
      <c r="H1224" t="inlineStr">
        <is>
          <t>A.S.(E) Exports Pvt.Ltd.</t>
        </is>
      </c>
      <c r="P1224" t="n">
        <v>2074</v>
      </c>
      <c r="Q1224" t="n">
        <v>1893</v>
      </c>
    </row>
    <row r="1225">
      <c r="D1225" t="n">
        <v>1937022</v>
      </c>
      <c r="H1225" t="inlineStr">
        <is>
          <t>A.S.(E) Exports Pvt.Ltd.</t>
        </is>
      </c>
      <c r="P1225" t="n">
        <v>2074</v>
      </c>
      <c r="Q1225" t="n">
        <v>1894</v>
      </c>
    </row>
    <row r="1226">
      <c r="D1226" t="n">
        <v>1937022</v>
      </c>
      <c r="H1226" t="inlineStr">
        <is>
          <t>A.S.(E) Exports Pvt.Ltd.</t>
        </is>
      </c>
      <c r="P1226" t="n">
        <v>2075</v>
      </c>
      <c r="Q1226" t="n">
        <v>1895</v>
      </c>
    </row>
    <row r="1227">
      <c r="D1227" t="n">
        <v>1937022</v>
      </c>
      <c r="H1227" t="inlineStr">
        <is>
          <t>MEGH STEELS PRIVATE LIMITED - TVS A</t>
        </is>
      </c>
      <c r="P1227" t="n">
        <v>2075</v>
      </c>
      <c r="Q1227" t="n">
        <v>1896</v>
      </c>
    </row>
    <row r="1228">
      <c r="D1228" t="n">
        <v>1937022</v>
      </c>
      <c r="H1228" t="inlineStr">
        <is>
          <t>YOSHIKA ENGINEERING PVT LTD</t>
        </is>
      </c>
      <c r="P1228" t="n">
        <v>2076</v>
      </c>
      <c r="Q1228" t="n">
        <v>1902</v>
      </c>
    </row>
    <row r="1229">
      <c r="D1229" t="n">
        <v>1937022</v>
      </c>
      <c r="H1229" t="inlineStr">
        <is>
          <t>YOSHIKA ENGINEERING PVT LTD</t>
        </is>
      </c>
      <c r="P1229" t="n">
        <v>2076</v>
      </c>
      <c r="Q1229" t="n">
        <v>1903</v>
      </c>
    </row>
    <row r="1230">
      <c r="D1230" t="n">
        <v>1937022</v>
      </c>
      <c r="H1230" t="inlineStr">
        <is>
          <t>YOSHIKA ENGINEERING PVT LTD</t>
        </is>
      </c>
      <c r="P1230" t="n">
        <v>2077</v>
      </c>
      <c r="Q1230" t="n">
        <v>1904</v>
      </c>
    </row>
    <row r="1231">
      <c r="D1231" t="n">
        <v>3781600</v>
      </c>
      <c r="H1231" t="inlineStr">
        <is>
          <t>YOSHIKA ENGINEERING PVT LTD</t>
        </is>
      </c>
      <c r="P1231" t="n">
        <v>2077</v>
      </c>
      <c r="Q1231" t="n">
        <v>1905</v>
      </c>
    </row>
    <row r="1232">
      <c r="D1232" t="n">
        <v>1940189</v>
      </c>
      <c r="H1232" t="inlineStr">
        <is>
          <t>ELKAYEM AUTO ANCILLARIES (PVT) LTD.</t>
        </is>
      </c>
      <c r="P1232" t="n">
        <v>2092</v>
      </c>
      <c r="Q1232" t="n">
        <v>1906</v>
      </c>
    </row>
    <row r="1233">
      <c r="D1233" t="n">
        <v>1940189</v>
      </c>
      <c r="H1233" t="inlineStr">
        <is>
          <t>ELKAYEM AUTO ANCILLARIES (PVT) LTD.</t>
        </is>
      </c>
      <c r="P1233" t="n">
        <v>2101</v>
      </c>
      <c r="Q1233" t="n">
        <v>1907</v>
      </c>
    </row>
    <row r="1234">
      <c r="D1234" t="n">
        <v>1940189</v>
      </c>
      <c r="H1234" t="inlineStr">
        <is>
          <t>Star Engineering Works</t>
        </is>
      </c>
      <c r="P1234" t="n">
        <v>2102</v>
      </c>
      <c r="Q1234" t="n">
        <v>1908</v>
      </c>
    </row>
    <row r="1235">
      <c r="D1235" t="n">
        <v>296369</v>
      </c>
      <c r="H1235" t="inlineStr">
        <is>
          <t>Indo Autotech Limited (Unit V)</t>
        </is>
      </c>
      <c r="P1235" t="n">
        <v>2103</v>
      </c>
      <c r="Q1235" t="n">
        <v>1909</v>
      </c>
    </row>
    <row r="1236">
      <c r="D1236" t="n">
        <v>3675617</v>
      </c>
      <c r="H1236" t="inlineStr">
        <is>
          <t>FREE STOCK</t>
        </is>
      </c>
      <c r="P1236" t="n">
        <v>2104</v>
      </c>
      <c r="Q1236" t="n">
        <v>1910</v>
      </c>
    </row>
    <row r="1237">
      <c r="D1237" t="n">
        <v>3675618</v>
      </c>
      <c r="H1237" t="inlineStr">
        <is>
          <t>Neel Metal Products Limited</t>
        </is>
      </c>
      <c r="P1237" t="n">
        <v>2105</v>
      </c>
      <c r="Q1237" t="n">
        <v>1911</v>
      </c>
    </row>
    <row r="1238">
      <c r="D1238" t="n">
        <v>3675619</v>
      </c>
      <c r="H1238" t="inlineStr">
        <is>
          <t>Neel Metal Products Limited</t>
        </is>
      </c>
      <c r="P1238" t="n">
        <v>2106</v>
      </c>
      <c r="Q1238" t="n">
        <v>1912</v>
      </c>
    </row>
    <row r="1239">
      <c r="D1239" t="n">
        <v>3675620</v>
      </c>
      <c r="H1239" t="inlineStr">
        <is>
          <t>Neel Metal Products Limited</t>
        </is>
      </c>
      <c r="P1239" t="n">
        <v>2107</v>
      </c>
      <c r="Q1239" t="n">
        <v>1913</v>
      </c>
    </row>
    <row r="1240">
      <c r="D1240" t="n">
        <v>3675641</v>
      </c>
      <c r="H1240" t="inlineStr">
        <is>
          <t>Neel Metal Products Limited</t>
        </is>
      </c>
      <c r="P1240" t="n">
        <v>2108</v>
      </c>
      <c r="Q1240" t="n">
        <v>1914</v>
      </c>
    </row>
    <row r="1241">
      <c r="D1241" t="n">
        <v>3675642</v>
      </c>
      <c r="H1241" t="inlineStr">
        <is>
          <t>Neel Metal Products Limited</t>
        </is>
      </c>
      <c r="P1241" t="n">
        <v>2109</v>
      </c>
      <c r="Q1241" t="n">
        <v>1915</v>
      </c>
    </row>
    <row r="1242">
      <c r="D1242" t="n">
        <v>3675643</v>
      </c>
      <c r="H1242" t="inlineStr">
        <is>
          <t>Neel Metal Products Limited</t>
        </is>
      </c>
      <c r="P1242" t="n">
        <v>2110</v>
      </c>
      <c r="Q1242" t="n">
        <v>1916</v>
      </c>
    </row>
    <row r="1243">
      <c r="D1243" t="n">
        <v>3675644</v>
      </c>
      <c r="H1243" t="inlineStr">
        <is>
          <t>Neel Metal Products Limited</t>
        </is>
      </c>
      <c r="P1243" t="n">
        <v>2111</v>
      </c>
      <c r="Q1243" t="n">
        <v>1940</v>
      </c>
    </row>
    <row r="1244">
      <c r="D1244" t="n">
        <v>3229740</v>
      </c>
      <c r="H1244" t="inlineStr">
        <is>
          <t>Neel Metal Products Limited</t>
        </is>
      </c>
      <c r="P1244" t="n">
        <v>2112</v>
      </c>
      <c r="Q1244" t="n">
        <v>1941</v>
      </c>
    </row>
    <row r="1245">
      <c r="D1245" t="n">
        <v>3229740</v>
      </c>
      <c r="H1245" t="inlineStr">
        <is>
          <t>SRIKAM HITECH ENGINEERING PRIVATE L</t>
        </is>
      </c>
      <c r="P1245" t="n">
        <v>2113</v>
      </c>
      <c r="Q1245" t="n">
        <v>1942</v>
      </c>
    </row>
    <row r="1246">
      <c r="D1246" t="n">
        <v>3229740</v>
      </c>
      <c r="H1246" t="inlineStr">
        <is>
          <t>SRIKAM HITECH ENGINEERING PRIVATE L</t>
        </is>
      </c>
      <c r="P1246" t="n">
        <v>2114</v>
      </c>
      <c r="Q1246" t="n">
        <v>1943</v>
      </c>
    </row>
    <row r="1247">
      <c r="D1247" t="n">
        <v>3229740</v>
      </c>
      <c r="H1247" t="inlineStr">
        <is>
          <t>SRIKAM HITECH ENGINEERING PRIVATE L</t>
        </is>
      </c>
      <c r="P1247" t="n">
        <v>2115</v>
      </c>
      <c r="Q1247" t="n">
        <v>1944</v>
      </c>
    </row>
    <row r="1248">
      <c r="D1248" t="n">
        <v>3229740</v>
      </c>
      <c r="H1248" t="inlineStr">
        <is>
          <t>SRIKAM HITECH ENGINEERING PRIVATE L</t>
        </is>
      </c>
      <c r="P1248" t="n">
        <v>2116</v>
      </c>
      <c r="Q1248" t="n">
        <v>1945</v>
      </c>
    </row>
    <row r="1249">
      <c r="D1249" t="n">
        <v>3229740</v>
      </c>
      <c r="H1249" t="inlineStr">
        <is>
          <t>Neel Metal Products Limited</t>
        </is>
      </c>
      <c r="P1249" t="n">
        <v>2117</v>
      </c>
      <c r="Q1249" t="n">
        <v>1946</v>
      </c>
    </row>
    <row r="1250">
      <c r="D1250" t="n">
        <v>3229740</v>
      </c>
      <c r="H1250" t="inlineStr">
        <is>
          <t>Neel Metal Products Limited</t>
        </is>
      </c>
      <c r="P1250" t="n">
        <v>2118</v>
      </c>
      <c r="Q1250" t="n">
        <v>1947</v>
      </c>
    </row>
    <row r="1251">
      <c r="D1251" t="n">
        <v>3229740</v>
      </c>
      <c r="H1251" t="inlineStr">
        <is>
          <t>YOSHIKA ENGINEERING PVT LTD</t>
        </is>
      </c>
      <c r="P1251" t="n">
        <v>2119</v>
      </c>
      <c r="Q1251" t="n">
        <v>1948</v>
      </c>
    </row>
    <row r="1252">
      <c r="D1252" t="n">
        <v>3229740</v>
      </c>
      <c r="H1252" t="inlineStr">
        <is>
          <t>YOSHIKA ENGINEERING PVT LTD</t>
        </is>
      </c>
      <c r="P1252" t="n">
        <v>2120</v>
      </c>
      <c r="Q1252" t="n">
        <v>1949</v>
      </c>
    </row>
    <row r="1253">
      <c r="D1253" t="n">
        <v>3229740</v>
      </c>
      <c r="H1253" t="inlineStr">
        <is>
          <t>YOSHIKA ENGINEERING PVT LTD</t>
        </is>
      </c>
      <c r="P1253" t="n">
        <v>2121</v>
      </c>
      <c r="Q1253" t="n">
        <v>1950</v>
      </c>
    </row>
    <row r="1254">
      <c r="D1254" t="n">
        <v>3229740</v>
      </c>
      <c r="H1254" t="inlineStr">
        <is>
          <t>YOSHIKA ENGINEERING PVT LTD</t>
        </is>
      </c>
      <c r="P1254" t="n">
        <v>2122</v>
      </c>
      <c r="Q1254" t="n">
        <v>1951</v>
      </c>
    </row>
    <row r="1255">
      <c r="D1255" t="n">
        <v>3229740</v>
      </c>
      <c r="H1255" t="inlineStr">
        <is>
          <t>YOSHIKA ENGINEERING PVT LTD</t>
        </is>
      </c>
      <c r="P1255" t="n">
        <v>2123</v>
      </c>
      <c r="Q1255" t="n">
        <v>1952</v>
      </c>
    </row>
    <row r="1256">
      <c r="D1256" t="n">
        <v>3229740</v>
      </c>
      <c r="H1256" t="inlineStr">
        <is>
          <t>YOSHIKA ENGINEERING PVT LTD</t>
        </is>
      </c>
      <c r="P1256" t="n">
        <v>2124</v>
      </c>
      <c r="Q1256" t="n">
        <v>1953</v>
      </c>
    </row>
    <row r="1257">
      <c r="D1257" t="n">
        <v>3675645</v>
      </c>
      <c r="H1257" t="inlineStr">
        <is>
          <t>YOSHIKA ENGINEERING PVT LTD</t>
        </is>
      </c>
      <c r="P1257" t="n">
        <v>2125</v>
      </c>
      <c r="Q1257" t="n">
        <v>1958</v>
      </c>
    </row>
    <row r="1258">
      <c r="D1258" t="n">
        <v>3675646</v>
      </c>
      <c r="H1258" t="inlineStr">
        <is>
          <t>Metalman Auto Private Limited</t>
        </is>
      </c>
      <c r="P1258" t="n">
        <v>2126</v>
      </c>
      <c r="Q1258" t="n">
        <v>1959</v>
      </c>
    </row>
    <row r="1259">
      <c r="D1259" t="n">
        <v>3675647</v>
      </c>
      <c r="H1259" t="inlineStr">
        <is>
          <t>FREE STOCK</t>
        </is>
      </c>
      <c r="P1259" t="n">
        <v>2127</v>
      </c>
      <c r="Q1259" t="n">
        <v>1990</v>
      </c>
    </row>
    <row r="1260">
      <c r="D1260" t="n">
        <v>3229739</v>
      </c>
      <c r="H1260" t="inlineStr">
        <is>
          <t>FREE STOCK</t>
        </is>
      </c>
      <c r="P1260" t="n">
        <v>2128</v>
      </c>
      <c r="Q1260" t="n">
        <v>1991</v>
      </c>
    </row>
    <row r="1261">
      <c r="D1261" t="n">
        <v>3229739</v>
      </c>
      <c r="H1261" t="inlineStr">
        <is>
          <t>Neel Metal Products Limited</t>
        </is>
      </c>
      <c r="P1261" t="n">
        <v>2129</v>
      </c>
      <c r="Q1261" t="n">
        <v>1992</v>
      </c>
    </row>
    <row r="1262">
      <c r="D1262" t="n">
        <v>3229739</v>
      </c>
      <c r="H1262" t="inlineStr">
        <is>
          <t>Neel Metal Products Limited</t>
        </is>
      </c>
      <c r="P1262" t="n">
        <v>2129</v>
      </c>
      <c r="Q1262" t="n">
        <v>1993</v>
      </c>
    </row>
    <row r="1263">
      <c r="D1263" t="n">
        <v>3229739</v>
      </c>
      <c r="H1263" t="inlineStr">
        <is>
          <t>Neel Metal Products Limited</t>
        </is>
      </c>
      <c r="P1263" t="n">
        <v>2130</v>
      </c>
      <c r="Q1263" t="n">
        <v>1994</v>
      </c>
    </row>
    <row r="1264">
      <c r="D1264" t="n">
        <v>3229739</v>
      </c>
      <c r="H1264" t="inlineStr">
        <is>
          <t>JBM AUTO LIMITED</t>
        </is>
      </c>
      <c r="P1264" t="n">
        <v>2130</v>
      </c>
      <c r="Q1264" t="n">
        <v>1995</v>
      </c>
    </row>
    <row r="1265">
      <c r="D1265" t="n">
        <v>3229739</v>
      </c>
      <c r="H1265" t="inlineStr">
        <is>
          <t>Kay Jay Forgings Pvt Ltd Unit Vi</t>
        </is>
      </c>
      <c r="P1265" t="n">
        <v>2131</v>
      </c>
      <c r="Q1265" t="n">
        <v>1996</v>
      </c>
    </row>
    <row r="1266">
      <c r="D1266" t="n">
        <v>3229739</v>
      </c>
      <c r="H1266" t="inlineStr">
        <is>
          <t>Kay Jay Forgings Pvt Ltd Unit Vi</t>
        </is>
      </c>
      <c r="P1266" t="n">
        <v>2131</v>
      </c>
      <c r="Q1266" t="n">
        <v>1997</v>
      </c>
    </row>
    <row r="1267">
      <c r="D1267" t="n">
        <v>3229739</v>
      </c>
      <c r="H1267" t="inlineStr">
        <is>
          <t>Neel Metal Products Limited</t>
        </is>
      </c>
      <c r="P1267" t="n">
        <v>2132</v>
      </c>
      <c r="Q1267" t="n">
        <v>1998</v>
      </c>
    </row>
    <row r="1268">
      <c r="D1268" t="n">
        <v>3229739</v>
      </c>
      <c r="H1268" t="inlineStr">
        <is>
          <t>Neel Metal Products Limited</t>
        </is>
      </c>
      <c r="P1268" t="n">
        <v>2132</v>
      </c>
      <c r="Q1268" t="n">
        <v>1999</v>
      </c>
    </row>
    <row r="1269">
      <c r="D1269" t="n">
        <v>3229739</v>
      </c>
      <c r="H1269" t="inlineStr">
        <is>
          <t>Neel Metal Products Limited</t>
        </is>
      </c>
      <c r="P1269" t="n">
        <v>2133</v>
      </c>
      <c r="Q1269" t="n">
        <v>2000</v>
      </c>
    </row>
    <row r="1270">
      <c r="D1270" t="n">
        <v>3509884</v>
      </c>
      <c r="H1270" t="inlineStr">
        <is>
          <t>Neel Metal Products Limited</t>
        </is>
      </c>
      <c r="P1270" t="n">
        <v>2133</v>
      </c>
      <c r="Q1270" t="n">
        <v>2001</v>
      </c>
    </row>
    <row r="1271">
      <c r="D1271" t="n">
        <v>2409617</v>
      </c>
      <c r="H1271" t="inlineStr">
        <is>
          <t>Neel Metal Products Limited</t>
        </is>
      </c>
      <c r="P1271" t="n">
        <v>2134</v>
      </c>
      <c r="Q1271" t="n">
        <v>2002</v>
      </c>
    </row>
    <row r="1272">
      <c r="D1272" t="n">
        <v>3675648</v>
      </c>
      <c r="H1272" t="inlineStr">
        <is>
          <t>Metalman Auto Private Limited</t>
        </is>
      </c>
      <c r="P1272" t="n">
        <v>2134</v>
      </c>
      <c r="Q1272" t="n">
        <v>2003</v>
      </c>
    </row>
    <row r="1273">
      <c r="D1273" t="n">
        <v>3409367</v>
      </c>
      <c r="H1273" t="inlineStr">
        <is>
          <t>MEGH STEELS PRIVATE LIMITED - RE</t>
        </is>
      </c>
      <c r="P1273" t="n">
        <v>2135</v>
      </c>
      <c r="Q1273" t="n">
        <v>2013</v>
      </c>
    </row>
    <row r="1274">
      <c r="D1274" t="n">
        <v>3409367</v>
      </c>
      <c r="H1274" t="inlineStr">
        <is>
          <t>MEGH STEELS PRIVATE LIMITED - RE</t>
        </is>
      </c>
      <c r="P1274" t="n">
        <v>2135</v>
      </c>
      <c r="Q1274" t="n">
        <v>2014</v>
      </c>
    </row>
    <row r="1275">
      <c r="D1275" t="n">
        <v>3409367</v>
      </c>
      <c r="H1275" t="inlineStr">
        <is>
          <t>MEGH STEELS PRIVATE LIMITED - RE</t>
        </is>
      </c>
      <c r="P1275" t="n">
        <v>2136</v>
      </c>
      <c r="Q1275" t="n">
        <v>2015</v>
      </c>
    </row>
    <row r="1276">
      <c r="D1276" t="n">
        <v>3409367</v>
      </c>
      <c r="H1276" t="inlineStr">
        <is>
          <t>YOSHIKA ENGINEERING PVT LTD</t>
        </is>
      </c>
      <c r="P1276" t="n">
        <v>2136</v>
      </c>
      <c r="Q1276" t="n">
        <v>2016</v>
      </c>
    </row>
    <row r="1277">
      <c r="D1277" t="n">
        <v>3409367</v>
      </c>
      <c r="H1277" t="inlineStr">
        <is>
          <t>OWERE PRECISION</t>
        </is>
      </c>
      <c r="P1277" t="n">
        <v>2137</v>
      </c>
      <c r="Q1277" t="n">
        <v>2017</v>
      </c>
    </row>
    <row r="1278">
      <c r="D1278" t="n">
        <v>3409367</v>
      </c>
      <c r="H1278" t="inlineStr">
        <is>
          <t>OWERE PRECISION</t>
        </is>
      </c>
      <c r="P1278" t="n">
        <v>2137</v>
      </c>
      <c r="Q1278" t="n">
        <v>2018</v>
      </c>
    </row>
    <row r="1279">
      <c r="D1279" t="n">
        <v>3409367</v>
      </c>
      <c r="H1279" t="inlineStr">
        <is>
          <t>FREE STOCK</t>
        </is>
      </c>
      <c r="P1279" t="n">
        <v>2138</v>
      </c>
      <c r="Q1279" t="n">
        <v>2019</v>
      </c>
    </row>
    <row r="1280">
      <c r="D1280" t="n">
        <v>3409367</v>
      </c>
      <c r="H1280" t="inlineStr">
        <is>
          <t>FREE STOCK</t>
        </is>
      </c>
      <c r="P1280" t="n">
        <v>2138</v>
      </c>
      <c r="Q1280" t="n">
        <v>2035</v>
      </c>
    </row>
    <row r="1281">
      <c r="D1281" t="n">
        <v>3409367</v>
      </c>
      <c r="H1281" t="inlineStr">
        <is>
          <t>FREE STOCK</t>
        </is>
      </c>
      <c r="P1281" t="n">
        <v>2139</v>
      </c>
      <c r="Q1281" t="n">
        <v>2037</v>
      </c>
    </row>
    <row r="1282">
      <c r="D1282" t="n">
        <v>3409367</v>
      </c>
      <c r="H1282" t="inlineStr">
        <is>
          <t>YOSHIKA ENGINEERING PVT LTD</t>
        </is>
      </c>
      <c r="P1282" t="n">
        <v>2139</v>
      </c>
      <c r="Q1282" t="n">
        <v>2038</v>
      </c>
    </row>
    <row r="1283">
      <c r="D1283" t="n">
        <v>3409367</v>
      </c>
      <c r="H1283" t="inlineStr">
        <is>
          <t>YOSHIKA ENGINEERING PVT LTD</t>
        </is>
      </c>
      <c r="P1283" t="n">
        <v>2140</v>
      </c>
      <c r="Q1283" t="n">
        <v>2039</v>
      </c>
    </row>
    <row r="1284">
      <c r="D1284" t="n">
        <v>3409367</v>
      </c>
      <c r="H1284" t="inlineStr">
        <is>
          <t>YOSHIKA ENGINEERING PVT LTD</t>
        </is>
      </c>
      <c r="P1284" t="n">
        <v>2140</v>
      </c>
      <c r="Q1284" t="n">
        <v>2040</v>
      </c>
    </row>
    <row r="1285">
      <c r="D1285" t="n">
        <v>3675649</v>
      </c>
      <c r="H1285" t="inlineStr">
        <is>
          <t>YOSHIKA ENGINEERING PVT LTD</t>
        </is>
      </c>
      <c r="P1285" t="n">
        <v>2141</v>
      </c>
      <c r="Q1285" t="n">
        <v>2041</v>
      </c>
    </row>
    <row r="1286">
      <c r="D1286" t="n">
        <v>3675650</v>
      </c>
      <c r="H1286" t="inlineStr">
        <is>
          <t>Thai Summit Autoparts India Pvt Ltd</t>
        </is>
      </c>
      <c r="P1286" t="n">
        <v>2141</v>
      </c>
      <c r="Q1286" t="n">
        <v>2042</v>
      </c>
    </row>
    <row r="1287">
      <c r="D1287" t="n">
        <v>2405724</v>
      </c>
      <c r="H1287" t="inlineStr">
        <is>
          <t>Thai Summit Autoparts India Pvt Ltd</t>
        </is>
      </c>
      <c r="P1287" t="n">
        <v>2142</v>
      </c>
      <c r="Q1287" t="n">
        <v>2043</v>
      </c>
    </row>
    <row r="1288">
      <c r="D1288" t="n">
        <v>2404748</v>
      </c>
      <c r="H1288" t="inlineStr">
        <is>
          <t>Neel Metal Products Limited</t>
        </is>
      </c>
      <c r="P1288" t="n">
        <v>2142</v>
      </c>
      <c r="Q1288" t="n">
        <v>2044</v>
      </c>
    </row>
    <row r="1289">
      <c r="D1289" t="n">
        <v>3498996</v>
      </c>
      <c r="H1289" t="inlineStr">
        <is>
          <t>Neel Metal Products Limited</t>
        </is>
      </c>
      <c r="P1289" t="n">
        <v>2143</v>
      </c>
      <c r="Q1289" t="n">
        <v>2045</v>
      </c>
    </row>
    <row r="1290">
      <c r="D1290" t="n">
        <v>3498996</v>
      </c>
      <c r="H1290" t="inlineStr">
        <is>
          <t>Neel Metal Products Limited</t>
        </is>
      </c>
      <c r="P1290" t="n">
        <v>2143</v>
      </c>
      <c r="Q1290" t="n">
        <v>2046</v>
      </c>
    </row>
    <row r="1291">
      <c r="D1291" t="n">
        <v>3498996</v>
      </c>
      <c r="H1291" t="inlineStr">
        <is>
          <t>Neel Metal Products Limited</t>
        </is>
      </c>
      <c r="P1291" t="n">
        <v>2144</v>
      </c>
      <c r="Q1291" t="n">
        <v>2047</v>
      </c>
    </row>
    <row r="1292">
      <c r="D1292" t="n">
        <v>3498996</v>
      </c>
      <c r="H1292" t="inlineStr">
        <is>
          <t>JBM AUTO LIMITED</t>
        </is>
      </c>
      <c r="P1292" t="n">
        <v>2144</v>
      </c>
      <c r="Q1292" t="n">
        <v>2048</v>
      </c>
    </row>
    <row r="1293">
      <c r="D1293" t="n">
        <v>3498996</v>
      </c>
      <c r="H1293" t="inlineStr">
        <is>
          <t>JBM AUTO LIMITED</t>
        </is>
      </c>
      <c r="P1293" t="n">
        <v>2145</v>
      </c>
      <c r="Q1293" t="n">
        <v>2049</v>
      </c>
    </row>
    <row r="1294">
      <c r="D1294" t="n">
        <v>1931848</v>
      </c>
      <c r="H1294" t="inlineStr">
        <is>
          <t>JBM AUTO LIMITED</t>
        </is>
      </c>
      <c r="P1294" t="n">
        <v>2145</v>
      </c>
      <c r="Q1294" t="n">
        <v>2050</v>
      </c>
    </row>
    <row r="1295">
      <c r="D1295" t="n">
        <v>1931848</v>
      </c>
      <c r="H1295" t="inlineStr">
        <is>
          <t>Rajsriya Automotive Ind Pvt Ltd.</t>
        </is>
      </c>
      <c r="P1295" t="n">
        <v>2146</v>
      </c>
      <c r="Q1295" t="n">
        <v>2051</v>
      </c>
    </row>
    <row r="1296">
      <c r="D1296" t="n">
        <v>1931848</v>
      </c>
      <c r="H1296" t="inlineStr">
        <is>
          <t>Rajsriya Automotive Ind Pvt Ltd.</t>
        </is>
      </c>
      <c r="P1296" t="n">
        <v>2146</v>
      </c>
      <c r="Q1296" t="n">
        <v>2052</v>
      </c>
    </row>
    <row r="1297">
      <c r="D1297" t="n">
        <v>2288879</v>
      </c>
      <c r="H1297" t="inlineStr">
        <is>
          <t>Rajsriya Automotive Ind Pvt Ltd.</t>
        </is>
      </c>
      <c r="P1297" t="n">
        <v>2147</v>
      </c>
      <c r="Q1297" t="n">
        <v>2053</v>
      </c>
    </row>
    <row r="1298">
      <c r="D1298" t="n">
        <v>2288879</v>
      </c>
      <c r="H1298" t="inlineStr">
        <is>
          <t>Rajsriya Automotive Ind Pvt Ltd.</t>
        </is>
      </c>
      <c r="P1298" t="n">
        <v>2147</v>
      </c>
      <c r="Q1298" t="n">
        <v>2054</v>
      </c>
    </row>
    <row r="1299">
      <c r="D1299" t="n">
        <v>2288879</v>
      </c>
      <c r="H1299" t="inlineStr">
        <is>
          <t>Rajsriya Automotive Ind Pvt Ltd.</t>
        </is>
      </c>
      <c r="P1299" t="n">
        <v>2148</v>
      </c>
      <c r="Q1299" t="n">
        <v>2055</v>
      </c>
    </row>
    <row r="1300">
      <c r="D1300" t="n">
        <v>3209979</v>
      </c>
      <c r="H1300" t="inlineStr">
        <is>
          <t>Rajsriya Automotive Ind Pvt Ltd.</t>
        </is>
      </c>
      <c r="P1300" t="n">
        <v>2148</v>
      </c>
      <c r="Q1300" t="n">
        <v>2060</v>
      </c>
    </row>
    <row r="1301">
      <c r="D1301" t="n">
        <v>3510169</v>
      </c>
      <c r="H1301" t="inlineStr">
        <is>
          <t>Rajsriya Automotive Ind Pvt Ltd.</t>
        </is>
      </c>
      <c r="P1301" t="n">
        <v>2149</v>
      </c>
      <c r="Q1301" t="n">
        <v>2061</v>
      </c>
    </row>
    <row r="1302">
      <c r="D1302" t="n">
        <v>3838038</v>
      </c>
      <c r="H1302" t="inlineStr">
        <is>
          <t>FREE STOCK</t>
        </is>
      </c>
      <c r="P1302" t="n">
        <v>2149</v>
      </c>
      <c r="Q1302" t="n">
        <v>2073</v>
      </c>
    </row>
    <row r="1303">
      <c r="D1303" t="n">
        <v>3838038</v>
      </c>
      <c r="H1303" t="inlineStr">
        <is>
          <t>FREE STOCK</t>
        </is>
      </c>
      <c r="P1303" t="n">
        <v>2150</v>
      </c>
      <c r="Q1303" t="n">
        <v>2074</v>
      </c>
    </row>
    <row r="1304">
      <c r="D1304" t="n">
        <v>3838038</v>
      </c>
      <c r="H1304" t="inlineStr">
        <is>
          <t>Neel Metal Products Limited</t>
        </is>
      </c>
      <c r="P1304" t="n">
        <v>2150</v>
      </c>
      <c r="Q1304" t="n">
        <v>2075</v>
      </c>
    </row>
    <row r="1305">
      <c r="D1305" t="n">
        <v>3850310</v>
      </c>
      <c r="H1305" t="inlineStr">
        <is>
          <t>Neel Metal Products Limited</t>
        </is>
      </c>
      <c r="P1305" t="n">
        <v>2151</v>
      </c>
      <c r="Q1305" t="n">
        <v>2076</v>
      </c>
    </row>
    <row r="1306">
      <c r="D1306" t="n">
        <v>3850310</v>
      </c>
      <c r="H1306" t="inlineStr">
        <is>
          <t>Neel Metal Products Limited</t>
        </is>
      </c>
      <c r="P1306" t="n">
        <v>2152</v>
      </c>
      <c r="Q1306" t="n">
        <v>2077</v>
      </c>
    </row>
    <row r="1307">
      <c r="D1307" t="n">
        <v>3484653</v>
      </c>
      <c r="H1307" t="inlineStr">
        <is>
          <t>MEGH STEELS PRIVATE LIMITED - HMSIL</t>
        </is>
      </c>
      <c r="P1307" t="n">
        <v>2153</v>
      </c>
      <c r="Q1307" t="n">
        <v>2092</v>
      </c>
    </row>
    <row r="1308">
      <c r="D1308" t="n">
        <v>3484653</v>
      </c>
      <c r="H1308" t="inlineStr">
        <is>
          <t>MEGH STEELS PRIVATE LIMITED - HMSIL</t>
        </is>
      </c>
      <c r="P1308" t="n">
        <v>2154</v>
      </c>
      <c r="Q1308" t="n">
        <v>2101</v>
      </c>
    </row>
    <row r="1309">
      <c r="D1309" t="n">
        <v>3217232</v>
      </c>
      <c r="H1309" t="inlineStr">
        <is>
          <t>Metalman Auto Private Limited</t>
        </is>
      </c>
      <c r="P1309" t="n">
        <v>2155</v>
      </c>
      <c r="Q1309" t="n">
        <v>2102</v>
      </c>
    </row>
    <row r="1310">
      <c r="D1310" t="n">
        <v>3217232</v>
      </c>
      <c r="H1310" t="inlineStr">
        <is>
          <t>Metalman Auto Private Limited</t>
        </is>
      </c>
      <c r="P1310" t="n">
        <v>2156</v>
      </c>
      <c r="Q1310" t="n">
        <v>2103</v>
      </c>
    </row>
    <row r="1311">
      <c r="D1311" t="n">
        <v>3217232</v>
      </c>
      <c r="H1311" t="inlineStr">
        <is>
          <t>Indo Autotech Limited (Unit V)</t>
        </is>
      </c>
      <c r="P1311" t="n">
        <v>2157</v>
      </c>
      <c r="Q1311" t="n">
        <v>2104</v>
      </c>
    </row>
    <row r="1312">
      <c r="D1312" t="n">
        <v>3217232</v>
      </c>
      <c r="H1312" t="inlineStr">
        <is>
          <t>Indo Autotech Limited (Unit V)</t>
        </is>
      </c>
      <c r="P1312" t="n">
        <v>2158</v>
      </c>
      <c r="Q1312" t="n">
        <v>2105</v>
      </c>
    </row>
    <row r="1313">
      <c r="D1313" t="n">
        <v>3217232</v>
      </c>
      <c r="H1313" t="inlineStr">
        <is>
          <t>Indo Autotech Limited (Unit V)</t>
        </is>
      </c>
      <c r="P1313" t="n">
        <v>2159</v>
      </c>
      <c r="Q1313" t="n">
        <v>2106</v>
      </c>
    </row>
    <row r="1314">
      <c r="D1314" t="n">
        <v>1529261</v>
      </c>
      <c r="H1314" t="inlineStr">
        <is>
          <t>Indo Autotech Limited (Unit V)</t>
        </is>
      </c>
      <c r="P1314" t="n">
        <v>2160</v>
      </c>
      <c r="Q1314" t="n">
        <v>2107</v>
      </c>
    </row>
    <row r="1315">
      <c r="D1315" t="n">
        <v>1529260</v>
      </c>
      <c r="H1315" t="inlineStr">
        <is>
          <t>Indo Autotech Limited (Unit V)</t>
        </is>
      </c>
      <c r="P1315" t="n">
        <v>2161</v>
      </c>
      <c r="Q1315" t="n">
        <v>2108</v>
      </c>
    </row>
    <row r="1316">
      <c r="D1316" t="n">
        <v>1174861</v>
      </c>
      <c r="H1316" t="inlineStr">
        <is>
          <t>Indo Autotech Limited (Unit V)</t>
        </is>
      </c>
      <c r="P1316" t="n">
        <v>2162</v>
      </c>
      <c r="Q1316" t="n">
        <v>2109</v>
      </c>
    </row>
    <row r="1317">
      <c r="D1317" t="n">
        <v>464578</v>
      </c>
      <c r="H1317" t="inlineStr">
        <is>
          <t>Metalman Auto Private Limited</t>
        </is>
      </c>
      <c r="P1317" t="n">
        <v>2163</v>
      </c>
      <c r="Q1317" t="n">
        <v>2110</v>
      </c>
    </row>
    <row r="1318">
      <c r="D1318" t="n">
        <v>3187716</v>
      </c>
      <c r="H1318" t="inlineStr">
        <is>
          <t>Metalman Auto Private Limited</t>
        </is>
      </c>
      <c r="P1318" t="n">
        <v>2164</v>
      </c>
      <c r="Q1318" t="n">
        <v>2111</v>
      </c>
    </row>
    <row r="1319">
      <c r="D1319" t="n">
        <v>3187716</v>
      </c>
      <c r="H1319" t="inlineStr">
        <is>
          <t>Indo Autotech Limited (Unit V)</t>
        </is>
      </c>
      <c r="P1319" t="n">
        <v>2165</v>
      </c>
      <c r="Q1319" t="n">
        <v>2112</v>
      </c>
    </row>
    <row r="1320">
      <c r="D1320" t="n">
        <v>3063589</v>
      </c>
      <c r="H1320" t="inlineStr">
        <is>
          <t>Indo Autotech Limited (Unit V)</t>
        </is>
      </c>
      <c r="P1320" t="n">
        <v>2166</v>
      </c>
      <c r="Q1320" t="n">
        <v>2113</v>
      </c>
    </row>
    <row r="1321">
      <c r="D1321" t="n">
        <v>3453631</v>
      </c>
      <c r="H1321" t="inlineStr">
        <is>
          <t>Tushar Steel Traders</t>
        </is>
      </c>
      <c r="P1321" t="n">
        <v>2167</v>
      </c>
      <c r="Q1321" t="n">
        <v>2114</v>
      </c>
    </row>
    <row r="1322">
      <c r="D1322" t="n">
        <v>2384088</v>
      </c>
      <c r="H1322" t="inlineStr">
        <is>
          <t>Tushar Steel Traders</t>
        </is>
      </c>
      <c r="P1322" t="n">
        <v>2168</v>
      </c>
      <c r="Q1322" t="n">
        <v>2115</v>
      </c>
    </row>
    <row r="1323">
      <c r="D1323" t="n">
        <v>2384088</v>
      </c>
      <c r="H1323" t="inlineStr">
        <is>
          <t>Tushar Steel Traders</t>
        </is>
      </c>
      <c r="P1323" t="n">
        <v>2169</v>
      </c>
      <c r="Q1323" t="n">
        <v>2116</v>
      </c>
    </row>
    <row r="1324">
      <c r="D1324" t="n">
        <v>1531612</v>
      </c>
      <c r="H1324" t="inlineStr">
        <is>
          <t>Neel Metal Products Limited</t>
        </is>
      </c>
      <c r="P1324" t="n">
        <v>2170</v>
      </c>
      <c r="Q1324" t="n">
        <v>2117</v>
      </c>
    </row>
    <row r="1325">
      <c r="D1325" t="n">
        <v>1531612</v>
      </c>
      <c r="H1325" t="inlineStr">
        <is>
          <t>Neel Metal Products Limited</t>
        </is>
      </c>
      <c r="P1325" t="n">
        <v>2171</v>
      </c>
      <c r="Q1325" t="n">
        <v>2118</v>
      </c>
    </row>
    <row r="1326">
      <c r="D1326" t="n">
        <v>3122347</v>
      </c>
      <c r="H1326" t="inlineStr">
        <is>
          <t>Neel Metal Products Limited</t>
        </is>
      </c>
      <c r="P1326" t="n">
        <v>2172</v>
      </c>
      <c r="Q1326" t="n">
        <v>2119</v>
      </c>
    </row>
    <row r="1327">
      <c r="D1327" t="n">
        <v>3122347</v>
      </c>
      <c r="H1327" t="inlineStr">
        <is>
          <t>Neel Metal Products Limited</t>
        </is>
      </c>
      <c r="P1327" t="n">
        <v>2173</v>
      </c>
      <c r="Q1327" t="n">
        <v>2120</v>
      </c>
    </row>
    <row r="1328">
      <c r="D1328" t="n">
        <v>3122347</v>
      </c>
      <c r="H1328" t="inlineStr">
        <is>
          <t>Neel Metal Products Limited</t>
        </is>
      </c>
      <c r="P1328" t="n">
        <v>2174</v>
      </c>
      <c r="Q1328" t="n">
        <v>2121</v>
      </c>
    </row>
    <row r="1329">
      <c r="D1329" t="n">
        <v>3122347</v>
      </c>
      <c r="H1329" t="inlineStr">
        <is>
          <t>JBM AUTO LIMITED</t>
        </is>
      </c>
      <c r="P1329" t="n">
        <v>2175</v>
      </c>
      <c r="Q1329" t="n">
        <v>2122</v>
      </c>
    </row>
    <row r="1330">
      <c r="D1330" t="n">
        <v>3122347</v>
      </c>
      <c r="H1330" t="inlineStr">
        <is>
          <t>JBM AUTO LIMITED</t>
        </is>
      </c>
      <c r="P1330" t="n">
        <v>2176</v>
      </c>
      <c r="Q1330" t="n">
        <v>2123</v>
      </c>
    </row>
    <row r="1331">
      <c r="D1331" t="n">
        <v>3122347</v>
      </c>
      <c r="H1331" t="inlineStr">
        <is>
          <t>JBM AUTO LIMITED</t>
        </is>
      </c>
      <c r="P1331" t="n">
        <v>2177</v>
      </c>
      <c r="Q1331" t="n">
        <v>2124</v>
      </c>
    </row>
    <row r="1332">
      <c r="D1332" t="n">
        <v>3122347</v>
      </c>
      <c r="H1332" t="inlineStr">
        <is>
          <t>Elkayem Auto Ancillaries ( P ) LTD</t>
        </is>
      </c>
      <c r="P1332" t="n">
        <v>2178</v>
      </c>
      <c r="Q1332" t="n">
        <v>2125</v>
      </c>
    </row>
    <row r="1333">
      <c r="D1333" t="n">
        <v>3122347</v>
      </c>
      <c r="H1333" t="inlineStr">
        <is>
          <t>Elkayem Auto Ancillaries ( P ) LTD</t>
        </is>
      </c>
      <c r="P1333" t="n">
        <v>2179</v>
      </c>
      <c r="Q1333" t="n">
        <v>2126</v>
      </c>
    </row>
    <row r="1334">
      <c r="D1334" t="n">
        <v>3122347</v>
      </c>
      <c r="H1334" t="inlineStr">
        <is>
          <t>Elkayem Auto Ancillaries ( P ) LTD</t>
        </is>
      </c>
      <c r="P1334" t="n">
        <v>2180</v>
      </c>
      <c r="Q1334" t="n">
        <v>2127</v>
      </c>
    </row>
    <row r="1335">
      <c r="D1335" t="n">
        <v>3122347</v>
      </c>
      <c r="H1335" t="inlineStr">
        <is>
          <t>Elkayem Auto Ancillaries ( P ) LTD</t>
        </is>
      </c>
      <c r="P1335" t="n">
        <v>2181</v>
      </c>
      <c r="Q1335" t="n">
        <v>2128</v>
      </c>
    </row>
    <row r="1336">
      <c r="D1336" t="n">
        <v>3122347</v>
      </c>
      <c r="H1336" t="inlineStr">
        <is>
          <t>Elkayem Auto Ancillaries ( P ) LTD</t>
        </is>
      </c>
      <c r="P1336" t="n">
        <v>2182</v>
      </c>
      <c r="Q1336" t="n">
        <v>2129</v>
      </c>
    </row>
    <row r="1337">
      <c r="D1337" t="n">
        <v>3210052</v>
      </c>
      <c r="H1337" t="inlineStr">
        <is>
          <t>Elkayem Auto Ancillaries ( P ) LTD</t>
        </is>
      </c>
      <c r="P1337" t="n">
        <v>2183</v>
      </c>
      <c r="Q1337" t="n">
        <v>2130</v>
      </c>
    </row>
    <row r="1338">
      <c r="D1338" t="n">
        <v>3510171</v>
      </c>
      <c r="H1338" t="inlineStr">
        <is>
          <t>Elkayem Auto Ancillaries ( P ) LTD</t>
        </is>
      </c>
      <c r="P1338" t="n">
        <v>2184</v>
      </c>
      <c r="Q1338" t="n">
        <v>2131</v>
      </c>
    </row>
    <row r="1339">
      <c r="D1339" t="n">
        <v>3213875</v>
      </c>
      <c r="H1339" t="inlineStr">
        <is>
          <t>Elkayem Auto Ancillaries ( P ) LTD</t>
        </is>
      </c>
      <c r="P1339" t="n">
        <v>2185</v>
      </c>
      <c r="Q1339" t="n">
        <v>2132</v>
      </c>
    </row>
    <row r="1340">
      <c r="D1340" t="n">
        <v>3213875</v>
      </c>
      <c r="H1340" t="inlineStr">
        <is>
          <t>Neel Metal Products Limited</t>
        </is>
      </c>
      <c r="P1340" t="n">
        <v>2186</v>
      </c>
      <c r="Q1340" t="n">
        <v>2133</v>
      </c>
    </row>
    <row r="1341">
      <c r="D1341" t="n">
        <v>1940247</v>
      </c>
      <c r="H1341" t="inlineStr">
        <is>
          <t>Neel Metal Products Limited</t>
        </is>
      </c>
      <c r="P1341" t="n">
        <v>2187</v>
      </c>
      <c r="Q1341" t="n">
        <v>2134</v>
      </c>
    </row>
    <row r="1342">
      <c r="D1342" t="n">
        <v>1940247</v>
      </c>
      <c r="H1342" t="inlineStr">
        <is>
          <t>FREE STOCK</t>
        </is>
      </c>
      <c r="P1342" t="n">
        <v>2188</v>
      </c>
      <c r="Q1342" t="n">
        <v>2135</v>
      </c>
    </row>
    <row r="1343">
      <c r="D1343" t="n">
        <v>1940247</v>
      </c>
      <c r="H1343" t="inlineStr">
        <is>
          <t>FREE STOCK</t>
        </is>
      </c>
      <c r="P1343" t="n">
        <v>2189</v>
      </c>
      <c r="Q1343" t="n">
        <v>2136</v>
      </c>
    </row>
    <row r="1344">
      <c r="D1344" t="n">
        <v>1940247</v>
      </c>
      <c r="H1344" t="inlineStr">
        <is>
          <t>SANDHAR ENGINEERING PVT LTD.(KA) -U</t>
        </is>
      </c>
      <c r="P1344" t="n">
        <v>2190</v>
      </c>
      <c r="Q1344" t="n">
        <v>2137</v>
      </c>
    </row>
    <row r="1345">
      <c r="D1345" t="n">
        <v>1940247</v>
      </c>
      <c r="H1345" t="inlineStr">
        <is>
          <t>SANDHAR ENGINEERING PVT LTD.(KA) -U</t>
        </is>
      </c>
      <c r="P1345" t="n">
        <v>2191</v>
      </c>
      <c r="Q1345" t="n">
        <v>2138</v>
      </c>
    </row>
    <row r="1346">
      <c r="D1346" t="n">
        <v>1940247</v>
      </c>
      <c r="H1346" t="inlineStr">
        <is>
          <t>SANDHAR ENGINEERING PVT LTD.(KA) -U</t>
        </is>
      </c>
      <c r="P1346" t="n">
        <v>2192</v>
      </c>
      <c r="Q1346" t="n">
        <v>2139</v>
      </c>
    </row>
    <row r="1347">
      <c r="D1347" t="n">
        <v>1940247</v>
      </c>
      <c r="H1347" t="inlineStr">
        <is>
          <t>Neel Metal Products Limited</t>
        </is>
      </c>
      <c r="P1347" t="n">
        <v>2193</v>
      </c>
      <c r="Q1347" t="n">
        <v>2140</v>
      </c>
    </row>
    <row r="1348">
      <c r="D1348" t="n">
        <v>1940247</v>
      </c>
      <c r="H1348" t="inlineStr">
        <is>
          <t>YOSHIKA ENGINEERING PVT LTD</t>
        </is>
      </c>
      <c r="P1348" t="n">
        <v>2194</v>
      </c>
      <c r="Q1348" t="n">
        <v>2141</v>
      </c>
    </row>
    <row r="1349">
      <c r="D1349" t="n">
        <v>1940247</v>
      </c>
      <c r="H1349" t="inlineStr">
        <is>
          <t>YOSHIKA ENGINEERING PVT LTD</t>
        </is>
      </c>
      <c r="P1349" t="n">
        <v>2195</v>
      </c>
      <c r="Q1349" t="n">
        <v>2142</v>
      </c>
    </row>
    <row r="1350">
      <c r="D1350" t="n">
        <v>236341</v>
      </c>
      <c r="H1350" t="inlineStr">
        <is>
          <t>Metalman Auto Private Limited</t>
        </is>
      </c>
      <c r="P1350" t="n">
        <v>2196</v>
      </c>
      <c r="Q1350" t="n">
        <v>2143</v>
      </c>
    </row>
    <row r="1351">
      <c r="D1351" t="n">
        <v>2331953</v>
      </c>
      <c r="H1351" t="inlineStr">
        <is>
          <t>Narasipur Auto Component(P)Ltd</t>
        </is>
      </c>
      <c r="P1351" t="n">
        <v>2196</v>
      </c>
      <c r="Q1351" t="n">
        <v>2144</v>
      </c>
    </row>
    <row r="1352">
      <c r="D1352" t="n">
        <v>2425969</v>
      </c>
      <c r="H1352" t="inlineStr">
        <is>
          <t>Narasipur Auto Component(P)Ltd</t>
        </is>
      </c>
      <c r="P1352" t="n">
        <v>2197</v>
      </c>
      <c r="Q1352" t="n">
        <v>2145</v>
      </c>
    </row>
    <row r="1353">
      <c r="D1353" t="n">
        <v>2425969</v>
      </c>
      <c r="H1353" t="inlineStr">
        <is>
          <t>Narasipur Auto Component(P)Ltd</t>
        </is>
      </c>
      <c r="P1353" t="n">
        <v>2197</v>
      </c>
      <c r="Q1353" t="n">
        <v>2146</v>
      </c>
    </row>
    <row r="1354">
      <c r="D1354" t="n">
        <v>1908799</v>
      </c>
      <c r="H1354" t="inlineStr">
        <is>
          <t>Narasipur Auto Component(P)Ltd</t>
        </is>
      </c>
      <c r="P1354" t="n">
        <v>2198</v>
      </c>
      <c r="Q1354" t="n">
        <v>2147</v>
      </c>
    </row>
    <row r="1355">
      <c r="D1355" t="n">
        <v>1908799</v>
      </c>
      <c r="H1355" t="inlineStr">
        <is>
          <t>Narasipur Auto Component(P)Ltd</t>
        </is>
      </c>
      <c r="P1355" t="n">
        <v>2198</v>
      </c>
      <c r="Q1355" t="n">
        <v>2148</v>
      </c>
    </row>
    <row r="1356">
      <c r="D1356" t="n">
        <v>1908799</v>
      </c>
      <c r="H1356" t="inlineStr">
        <is>
          <t>Marathwada Auto Compo Pvt. Ltd.</t>
        </is>
      </c>
      <c r="P1356" t="n">
        <v>2199</v>
      </c>
      <c r="Q1356" t="n">
        <v>2149</v>
      </c>
    </row>
    <row r="1357">
      <c r="D1357" t="n">
        <v>2418569</v>
      </c>
      <c r="H1357" t="inlineStr">
        <is>
          <t>Marathwada Auto Compo Pvt. Ltd.</t>
        </is>
      </c>
      <c r="P1357" t="n">
        <v>2199</v>
      </c>
      <c r="Q1357" t="n">
        <v>2150</v>
      </c>
    </row>
    <row r="1358">
      <c r="D1358" t="n">
        <v>2418569</v>
      </c>
      <c r="H1358" t="inlineStr">
        <is>
          <t>Marathwada Auto Compo Pvt. Ltd.</t>
        </is>
      </c>
      <c r="P1358" t="n">
        <v>2200</v>
      </c>
      <c r="Q1358" t="n">
        <v>2151</v>
      </c>
    </row>
    <row r="1359">
      <c r="D1359" t="n">
        <v>2418569</v>
      </c>
      <c r="H1359" t="inlineStr">
        <is>
          <t>Marathwada Auto Compo Pvt. Ltd.</t>
        </is>
      </c>
      <c r="P1359" t="n">
        <v>2200</v>
      </c>
      <c r="Q1359" t="n">
        <v>2152</v>
      </c>
    </row>
    <row r="1360">
      <c r="D1360" t="n">
        <v>2418569</v>
      </c>
      <c r="H1360" t="inlineStr">
        <is>
          <t>Marathwada Auto Compo Pvt. Ltd.</t>
        </is>
      </c>
      <c r="P1360" t="n">
        <v>2201</v>
      </c>
      <c r="Q1360" t="n">
        <v>2153</v>
      </c>
    </row>
    <row r="1361">
      <c r="D1361" t="n">
        <v>2418569</v>
      </c>
      <c r="H1361" t="inlineStr">
        <is>
          <t>Marathwada Auto Compo Pvt. Ltd.</t>
        </is>
      </c>
      <c r="P1361" t="n">
        <v>2201</v>
      </c>
      <c r="Q1361" t="n">
        <v>2154</v>
      </c>
    </row>
    <row r="1362">
      <c r="D1362" t="n">
        <v>2418569</v>
      </c>
      <c r="H1362" t="inlineStr">
        <is>
          <t>Marathwada Auto Compo Pvt. Ltd.</t>
        </is>
      </c>
      <c r="P1362" t="n">
        <v>2202</v>
      </c>
      <c r="Q1362" t="n">
        <v>2155</v>
      </c>
    </row>
    <row r="1363">
      <c r="D1363" t="n">
        <v>2418569</v>
      </c>
      <c r="H1363" t="inlineStr">
        <is>
          <t>Neel Metal Products Limited</t>
        </is>
      </c>
      <c r="P1363" t="n">
        <v>2202</v>
      </c>
      <c r="Q1363" t="n">
        <v>2156</v>
      </c>
    </row>
    <row r="1364">
      <c r="D1364" t="n">
        <v>2418569</v>
      </c>
      <c r="H1364" t="inlineStr">
        <is>
          <t>Rajsriya Automotive Ind Pvt Ltd.</t>
        </is>
      </c>
      <c r="P1364" t="n">
        <v>2203</v>
      </c>
      <c r="Q1364" t="n">
        <v>2157</v>
      </c>
    </row>
    <row r="1365">
      <c r="D1365" t="n">
        <v>2418569</v>
      </c>
      <c r="H1365" t="inlineStr">
        <is>
          <t>Rajsriya Automotive Ind Pvt Ltd.</t>
        </is>
      </c>
      <c r="P1365" t="n">
        <v>2203</v>
      </c>
      <c r="Q1365" t="n">
        <v>2158</v>
      </c>
    </row>
    <row r="1366">
      <c r="D1366" t="n">
        <v>2418569</v>
      </c>
      <c r="H1366" t="inlineStr">
        <is>
          <t>Rajsriya Automotive Ind Pvt Ltd.</t>
        </is>
      </c>
      <c r="P1366" t="n">
        <v>2204</v>
      </c>
      <c r="Q1366" t="n">
        <v>2159</v>
      </c>
    </row>
    <row r="1367">
      <c r="D1367" t="n">
        <v>2418569</v>
      </c>
      <c r="H1367" t="inlineStr">
        <is>
          <t>Rajsriya Automotive Ind Pvt Ltd.</t>
        </is>
      </c>
      <c r="P1367" t="n">
        <v>2204</v>
      </c>
      <c r="Q1367" t="n">
        <v>2160</v>
      </c>
    </row>
    <row r="1368">
      <c r="D1368" t="n">
        <v>2418569</v>
      </c>
      <c r="H1368" t="inlineStr">
        <is>
          <t>Rajsriya Automotive Ind Pvt Ltd.</t>
        </is>
      </c>
      <c r="P1368" t="n">
        <v>2205</v>
      </c>
      <c r="Q1368" t="n">
        <v>2161</v>
      </c>
    </row>
    <row r="1369">
      <c r="D1369" t="n">
        <v>235953</v>
      </c>
      <c r="H1369" t="inlineStr">
        <is>
          <t>Kay Jay Forgings Pvt Ltd Unit Vi</t>
        </is>
      </c>
      <c r="P1369" t="n">
        <v>2205</v>
      </c>
      <c r="Q1369" t="n">
        <v>2162</v>
      </c>
    </row>
    <row r="1370">
      <c r="D1370" t="n">
        <v>235953</v>
      </c>
      <c r="H1370" t="inlineStr">
        <is>
          <t>Kay Jay Forgings Pvt Ltd Unit Vi</t>
        </is>
      </c>
      <c r="P1370" t="n">
        <v>2206</v>
      </c>
      <c r="Q1370" t="n">
        <v>2163</v>
      </c>
    </row>
    <row r="1371">
      <c r="D1371" t="n">
        <v>3498997</v>
      </c>
      <c r="H1371" t="inlineStr">
        <is>
          <t>Kay Jay Forgings Pvt Ltd Unit Vi</t>
        </is>
      </c>
      <c r="P1371" t="n">
        <v>2206</v>
      </c>
      <c r="Q1371" t="n">
        <v>2164</v>
      </c>
    </row>
    <row r="1372">
      <c r="D1372" t="n">
        <v>3498997</v>
      </c>
      <c r="H1372" t="inlineStr">
        <is>
          <t>Kay Jay Forgings Pvt Ltd Unit Vi</t>
        </is>
      </c>
      <c r="P1372" t="n">
        <v>2207</v>
      </c>
      <c r="Q1372" t="n">
        <v>2165</v>
      </c>
    </row>
    <row r="1373">
      <c r="D1373" t="n">
        <v>3498997</v>
      </c>
      <c r="H1373" t="inlineStr">
        <is>
          <t>Kay Jay Forgings Pvt Ltd Unit Vi</t>
        </is>
      </c>
      <c r="P1373" t="n">
        <v>2207</v>
      </c>
      <c r="Q1373" t="n">
        <v>2166</v>
      </c>
    </row>
    <row r="1374">
      <c r="D1374" t="n">
        <v>3498997</v>
      </c>
      <c r="H1374" t="inlineStr">
        <is>
          <t>Kay Jay Forgings Pvt Ltd Unit Vi</t>
        </is>
      </c>
      <c r="P1374" t="n">
        <v>2208</v>
      </c>
      <c r="Q1374" t="n">
        <v>2167</v>
      </c>
    </row>
    <row r="1375">
      <c r="D1375" t="n">
        <v>3498997</v>
      </c>
      <c r="H1375" t="inlineStr">
        <is>
          <t>Kay Jay Forgings Pvt Ltd Unit Vi</t>
        </is>
      </c>
      <c r="P1375" t="n">
        <v>2208</v>
      </c>
      <c r="Q1375" t="n">
        <v>2168</v>
      </c>
    </row>
    <row r="1376">
      <c r="D1376" t="n">
        <v>3498997</v>
      </c>
      <c r="H1376" t="inlineStr">
        <is>
          <t>Neel Metal Products Limited</t>
        </is>
      </c>
      <c r="P1376" t="n">
        <v>2209</v>
      </c>
      <c r="Q1376" t="n">
        <v>2169</v>
      </c>
    </row>
    <row r="1377">
      <c r="D1377" t="n">
        <v>3498997</v>
      </c>
      <c r="H1377" t="inlineStr">
        <is>
          <t>SANDHAR ENGINEERING PVT LTD.(KA) -U</t>
        </is>
      </c>
      <c r="P1377" t="n">
        <v>2209</v>
      </c>
      <c r="Q1377" t="n">
        <v>2170</v>
      </c>
    </row>
    <row r="1378">
      <c r="D1378" t="n">
        <v>3498997</v>
      </c>
      <c r="H1378" t="inlineStr">
        <is>
          <t>SANDHAR ENGINEERING PVT LTD.(KA) -U</t>
        </is>
      </c>
      <c r="P1378" t="n">
        <v>2210</v>
      </c>
      <c r="Q1378" t="n">
        <v>2171</v>
      </c>
    </row>
    <row r="1379">
      <c r="D1379" t="n">
        <v>3498997</v>
      </c>
      <c r="H1379" t="inlineStr">
        <is>
          <t>Metalman Auto Private Limited</t>
        </is>
      </c>
      <c r="P1379" t="n">
        <v>2210</v>
      </c>
      <c r="Q1379" t="n">
        <v>2172</v>
      </c>
    </row>
    <row r="1380">
      <c r="D1380" t="n">
        <v>3498997</v>
      </c>
      <c r="H1380" t="inlineStr">
        <is>
          <t>Metalman Auto Private Limited</t>
        </is>
      </c>
      <c r="P1380" t="n">
        <v>2211</v>
      </c>
      <c r="Q1380" t="n">
        <v>2173</v>
      </c>
    </row>
    <row r="1381">
      <c r="D1381" t="n">
        <v>3498997</v>
      </c>
      <c r="H1381" t="inlineStr">
        <is>
          <t>Metalman Auto Private Limited</t>
        </is>
      </c>
      <c r="P1381" t="n">
        <v>2211</v>
      </c>
      <c r="Q1381" t="n">
        <v>2174</v>
      </c>
    </row>
    <row r="1382">
      <c r="D1382" t="n">
        <v>1940256</v>
      </c>
      <c r="H1382" t="inlineStr">
        <is>
          <t>Metalman Auto Private Limited</t>
        </is>
      </c>
      <c r="P1382" t="n">
        <v>2212</v>
      </c>
      <c r="Q1382" t="n">
        <v>2175</v>
      </c>
    </row>
    <row r="1383">
      <c r="D1383" t="n">
        <v>319456</v>
      </c>
      <c r="H1383" t="inlineStr">
        <is>
          <t>FREE STOCK</t>
        </is>
      </c>
      <c r="P1383" t="n">
        <v>2212</v>
      </c>
      <c r="Q1383" t="n">
        <v>2176</v>
      </c>
    </row>
    <row r="1384">
      <c r="D1384" t="n">
        <v>3781674</v>
      </c>
      <c r="H1384" t="inlineStr">
        <is>
          <t>Neel Metal Products Limited</t>
        </is>
      </c>
      <c r="P1384" t="n">
        <v>2213</v>
      </c>
      <c r="Q1384" t="n">
        <v>2177</v>
      </c>
    </row>
    <row r="1385">
      <c r="D1385" t="n">
        <v>1940262</v>
      </c>
      <c r="H1385" t="inlineStr">
        <is>
          <t>Neel Metal Products Limited</t>
        </is>
      </c>
      <c r="P1385" t="n">
        <v>2213</v>
      </c>
      <c r="Q1385" t="n">
        <v>2178</v>
      </c>
    </row>
    <row r="1386">
      <c r="D1386" t="n">
        <v>1940262</v>
      </c>
      <c r="H1386" t="inlineStr">
        <is>
          <t>Neel Metal Products Limited</t>
        </is>
      </c>
      <c r="P1386" t="n">
        <v>2214</v>
      </c>
      <c r="Q1386" t="n">
        <v>2179</v>
      </c>
    </row>
    <row r="1387">
      <c r="D1387" t="n">
        <v>1940262</v>
      </c>
      <c r="H1387" t="inlineStr">
        <is>
          <t>SRIKAM HITECH ENGINEERING PRIVATE L</t>
        </is>
      </c>
      <c r="P1387" t="n">
        <v>2214</v>
      </c>
      <c r="Q1387" t="n">
        <v>2180</v>
      </c>
    </row>
    <row r="1388">
      <c r="D1388" t="n">
        <v>1940262</v>
      </c>
      <c r="H1388" t="inlineStr">
        <is>
          <t>Neel Metal Products Limited</t>
        </is>
      </c>
      <c r="P1388" t="n">
        <v>2215</v>
      </c>
      <c r="Q1388" t="n">
        <v>2181</v>
      </c>
    </row>
    <row r="1389">
      <c r="D1389" t="n">
        <v>1940262</v>
      </c>
      <c r="H1389" t="inlineStr">
        <is>
          <t>Neel Metal Products Limited</t>
        </is>
      </c>
      <c r="P1389" t="n">
        <v>2215</v>
      </c>
      <c r="Q1389" t="n">
        <v>2182</v>
      </c>
    </row>
    <row r="1390">
      <c r="D1390" t="n">
        <v>1940262</v>
      </c>
      <c r="H1390" t="inlineStr">
        <is>
          <t>Neel Metal Products Limited</t>
        </is>
      </c>
      <c r="P1390" t="n">
        <v>2216</v>
      </c>
      <c r="Q1390" t="n">
        <v>2183</v>
      </c>
    </row>
    <row r="1391">
      <c r="D1391" t="n">
        <v>1940262</v>
      </c>
      <c r="H1391" t="inlineStr">
        <is>
          <t>KNITVEL NEEDLES P LTD</t>
        </is>
      </c>
      <c r="P1391" t="n">
        <v>2216</v>
      </c>
      <c r="Q1391" t="n">
        <v>2184</v>
      </c>
    </row>
    <row r="1392">
      <c r="D1392" t="n">
        <v>1940262</v>
      </c>
      <c r="H1392" t="inlineStr">
        <is>
          <t>Neel Metal Products Limited</t>
        </is>
      </c>
      <c r="P1392" t="n">
        <v>2217</v>
      </c>
      <c r="Q1392" t="n">
        <v>2185</v>
      </c>
    </row>
    <row r="1393">
      <c r="D1393" t="n">
        <v>1940262</v>
      </c>
      <c r="H1393" t="inlineStr">
        <is>
          <t>Neel Metal Products Limited</t>
        </is>
      </c>
      <c r="P1393" t="n">
        <v>2217</v>
      </c>
      <c r="Q1393" t="n">
        <v>2186</v>
      </c>
    </row>
    <row r="1394">
      <c r="D1394" t="n">
        <v>1940262</v>
      </c>
      <c r="H1394" t="inlineStr">
        <is>
          <t>Neel Metal Products Limited</t>
        </is>
      </c>
      <c r="P1394" t="n">
        <v>2218</v>
      </c>
      <c r="Q1394" t="n">
        <v>2187</v>
      </c>
    </row>
    <row r="1395">
      <c r="D1395" t="n">
        <v>1940262</v>
      </c>
      <c r="H1395" t="inlineStr">
        <is>
          <t>Neel Metal Products Limited</t>
        </is>
      </c>
      <c r="P1395" t="n">
        <v>2218</v>
      </c>
      <c r="Q1395" t="n">
        <v>2188</v>
      </c>
    </row>
    <row r="1396">
      <c r="D1396" t="n">
        <v>1940262</v>
      </c>
      <c r="H1396" t="inlineStr">
        <is>
          <t>Neel Metal Products Limited</t>
        </is>
      </c>
      <c r="P1396" t="n">
        <v>2219</v>
      </c>
      <c r="Q1396" t="n">
        <v>2189</v>
      </c>
    </row>
    <row r="1397">
      <c r="D1397" t="n">
        <v>511882</v>
      </c>
      <c r="H1397" t="inlineStr">
        <is>
          <t>Rajsriya Automotive Ind Pvt Ltd.</t>
        </is>
      </c>
      <c r="P1397" t="n">
        <v>2219</v>
      </c>
      <c r="Q1397" t="n">
        <v>2190</v>
      </c>
    </row>
    <row r="1398">
      <c r="D1398" t="n">
        <v>1940266</v>
      </c>
      <c r="H1398" t="inlineStr">
        <is>
          <t>FREE STOCK</t>
        </is>
      </c>
      <c r="P1398" t="n">
        <v>2220</v>
      </c>
      <c r="Q1398" t="n">
        <v>2191</v>
      </c>
    </row>
    <row r="1399">
      <c r="D1399" t="n">
        <v>1940266</v>
      </c>
      <c r="H1399" t="inlineStr">
        <is>
          <t>FREE STOCK</t>
        </is>
      </c>
      <c r="P1399" t="n">
        <v>2220</v>
      </c>
      <c r="Q1399" t="n">
        <v>2192</v>
      </c>
    </row>
    <row r="1400">
      <c r="D1400" t="n">
        <v>1940266</v>
      </c>
      <c r="H1400" t="inlineStr">
        <is>
          <t>FREE STOCK</t>
        </is>
      </c>
      <c r="P1400" t="n">
        <v>2221</v>
      </c>
      <c r="Q1400" t="n">
        <v>2193</v>
      </c>
    </row>
    <row r="1401">
      <c r="D1401" t="n">
        <v>1940266</v>
      </c>
      <c r="H1401" t="inlineStr">
        <is>
          <t>FREE STOCK</t>
        </is>
      </c>
      <c r="P1401" t="n">
        <v>2222</v>
      </c>
      <c r="Q1401" t="n">
        <v>2194</v>
      </c>
    </row>
    <row r="1402">
      <c r="D1402" t="n">
        <v>1940266</v>
      </c>
      <c r="H1402" t="inlineStr">
        <is>
          <t>ELKAYEM AUTO ANCILLARIES (PVT) LTD.</t>
        </is>
      </c>
      <c r="P1402" t="n">
        <v>2223</v>
      </c>
      <c r="Q1402" t="n">
        <v>2195</v>
      </c>
    </row>
    <row r="1403">
      <c r="D1403" t="n">
        <v>1940266</v>
      </c>
      <c r="H1403" t="inlineStr">
        <is>
          <t>Rajsriya Automotive Industries(P)</t>
        </is>
      </c>
      <c r="P1403" t="n">
        <v>2224</v>
      </c>
      <c r="Q1403" t="n">
        <v>2196</v>
      </c>
    </row>
    <row r="1404">
      <c r="D1404" t="n">
        <v>521117</v>
      </c>
      <c r="H1404" t="inlineStr">
        <is>
          <t>Rajsriya Automotive Industries(P)</t>
        </is>
      </c>
      <c r="P1404" t="n">
        <v>2225</v>
      </c>
      <c r="Q1404" t="n">
        <v>2197</v>
      </c>
    </row>
    <row r="1405">
      <c r="D1405" t="n">
        <v>3122348</v>
      </c>
      <c r="H1405" t="inlineStr">
        <is>
          <t>Rajsriya Automotive Industries(P)</t>
        </is>
      </c>
      <c r="P1405" t="n">
        <v>2226</v>
      </c>
      <c r="Q1405" t="n">
        <v>2198</v>
      </c>
    </row>
    <row r="1406">
      <c r="D1406" t="n">
        <v>3122348</v>
      </c>
      <c r="H1406" t="inlineStr">
        <is>
          <t>Rajsriya Automotive Industries(P)</t>
        </is>
      </c>
      <c r="P1406" t="n">
        <v>2227</v>
      </c>
      <c r="Q1406" t="n">
        <v>2199</v>
      </c>
    </row>
    <row r="1407">
      <c r="D1407" t="n">
        <v>3122348</v>
      </c>
      <c r="H1407" t="inlineStr">
        <is>
          <t>Rajsriya Automotive Industries(P)</t>
        </is>
      </c>
      <c r="P1407" t="n">
        <v>2228</v>
      </c>
      <c r="Q1407" t="n">
        <v>2200</v>
      </c>
    </row>
    <row r="1408">
      <c r="D1408" t="n">
        <v>3122348</v>
      </c>
      <c r="H1408" t="inlineStr">
        <is>
          <t>Rajsriya Automotive Industries(P)</t>
        </is>
      </c>
      <c r="P1408" t="n">
        <v>2229</v>
      </c>
      <c r="Q1408" t="n">
        <v>2201</v>
      </c>
    </row>
    <row r="1409">
      <c r="D1409" t="n">
        <v>3122348</v>
      </c>
      <c r="H1409" t="inlineStr">
        <is>
          <t>Rajsriya Automotive Industries(P)</t>
        </is>
      </c>
      <c r="P1409" t="n">
        <v>2230</v>
      </c>
      <c r="Q1409" t="n">
        <v>2202</v>
      </c>
    </row>
    <row r="1410">
      <c r="D1410" t="n">
        <v>1940269</v>
      </c>
      <c r="H1410" t="inlineStr">
        <is>
          <t>Rajsriya Automotive Industries(P)</t>
        </is>
      </c>
      <c r="P1410" t="n">
        <v>2231</v>
      </c>
      <c r="Q1410" t="n">
        <v>2203</v>
      </c>
    </row>
    <row r="1411">
      <c r="D1411" t="n">
        <v>1940269</v>
      </c>
      <c r="H1411" t="inlineStr">
        <is>
          <t>Rajsriya Automotive Industries(P)</t>
        </is>
      </c>
      <c r="P1411" t="n">
        <v>2232</v>
      </c>
      <c r="Q1411" t="n">
        <v>2204</v>
      </c>
    </row>
    <row r="1412">
      <c r="D1412" t="n">
        <v>1940269</v>
      </c>
      <c r="H1412" t="inlineStr">
        <is>
          <t>Rajsriya Automotive Industries(P)</t>
        </is>
      </c>
      <c r="P1412" t="n">
        <v>2233</v>
      </c>
      <c r="Q1412" t="n">
        <v>2205</v>
      </c>
    </row>
    <row r="1413">
      <c r="D1413" t="n">
        <v>1940269</v>
      </c>
      <c r="H1413" t="inlineStr">
        <is>
          <t>Indo Autotech Limited (Unit V)</t>
        </is>
      </c>
      <c r="P1413" t="n">
        <v>2234</v>
      </c>
      <c r="Q1413" t="n">
        <v>2206</v>
      </c>
    </row>
    <row r="1414">
      <c r="D1414" t="n">
        <v>1940269</v>
      </c>
      <c r="H1414" t="inlineStr">
        <is>
          <t>Indo Autotech Limited (Unit V)</t>
        </is>
      </c>
      <c r="P1414" t="n">
        <v>2235</v>
      </c>
      <c r="Q1414" t="n">
        <v>2207</v>
      </c>
    </row>
    <row r="1415">
      <c r="D1415" t="n">
        <v>1180079</v>
      </c>
      <c r="H1415" t="inlineStr">
        <is>
          <t>Indo Autotech Limited (Unit V)</t>
        </is>
      </c>
      <c r="P1415" t="n">
        <v>2236</v>
      </c>
      <c r="Q1415" t="n">
        <v>2208</v>
      </c>
    </row>
    <row r="1416">
      <c r="D1416" t="n">
        <v>3507270</v>
      </c>
      <c r="H1416" t="inlineStr">
        <is>
          <t>Indo Autotech Limited (Unit V)</t>
        </is>
      </c>
      <c r="P1416" t="n">
        <v>2237</v>
      </c>
      <c r="Q1416" t="n">
        <v>2209</v>
      </c>
    </row>
    <row r="1417">
      <c r="D1417" t="n">
        <v>3507089</v>
      </c>
      <c r="H1417" t="inlineStr">
        <is>
          <t>Neel Metal Products Limited</t>
        </is>
      </c>
      <c r="P1417" t="n">
        <v>2238</v>
      </c>
      <c r="Q1417" t="n">
        <v>2210</v>
      </c>
    </row>
    <row r="1418">
      <c r="D1418" t="n">
        <v>3507089</v>
      </c>
      <c r="H1418" t="inlineStr">
        <is>
          <t>Neel Metal Products Limited</t>
        </is>
      </c>
      <c r="P1418" t="n">
        <v>2239</v>
      </c>
      <c r="Q1418" t="n">
        <v>2211</v>
      </c>
    </row>
    <row r="1419">
      <c r="D1419" t="n">
        <v>521115</v>
      </c>
      <c r="H1419" t="inlineStr">
        <is>
          <t>Elkayem Auto Ancillaries ( P ) LTD</t>
        </is>
      </c>
      <c r="P1419" t="n">
        <v>2246</v>
      </c>
      <c r="Q1419" t="n">
        <v>2212</v>
      </c>
    </row>
    <row r="1420">
      <c r="D1420" t="n">
        <v>1940272</v>
      </c>
      <c r="H1420" t="inlineStr">
        <is>
          <t>Elkayem Auto Ancillaries ( P ) LTD</t>
        </is>
      </c>
      <c r="P1420" t="n">
        <v>2247</v>
      </c>
      <c r="Q1420" t="n">
        <v>2213</v>
      </c>
    </row>
    <row r="1421">
      <c r="D1421" t="n">
        <v>1940272</v>
      </c>
      <c r="H1421" t="inlineStr">
        <is>
          <t>Elkayem Auto Ancillaries ( P ) LTD</t>
        </is>
      </c>
      <c r="P1421" t="n">
        <v>2248</v>
      </c>
      <c r="Q1421" t="n">
        <v>2214</v>
      </c>
    </row>
    <row r="1422">
      <c r="D1422" t="n">
        <v>1940272</v>
      </c>
      <c r="H1422" t="inlineStr">
        <is>
          <t>Elkayem Auto Ancillaries ( P ) LTD</t>
        </is>
      </c>
      <c r="P1422" t="n">
        <v>2249</v>
      </c>
      <c r="Q1422" t="n">
        <v>2215</v>
      </c>
    </row>
    <row r="1423">
      <c r="D1423" t="n">
        <v>1940272</v>
      </c>
      <c r="H1423" t="inlineStr">
        <is>
          <t>Elkayem Auto Ancillaries ( P ) LTD</t>
        </is>
      </c>
      <c r="P1423" t="n">
        <v>2250</v>
      </c>
      <c r="Q1423" t="n">
        <v>2216</v>
      </c>
    </row>
    <row r="1424">
      <c r="D1424" t="n">
        <v>2422190</v>
      </c>
      <c r="H1424" t="inlineStr">
        <is>
          <t>Elkayem Auto Ancillaries ( P ) LTD</t>
        </is>
      </c>
      <c r="P1424" t="n">
        <v>2251</v>
      </c>
      <c r="Q1424" t="n">
        <v>2217</v>
      </c>
    </row>
    <row r="1425">
      <c r="D1425" t="n">
        <v>2403386</v>
      </c>
      <c r="H1425" t="inlineStr">
        <is>
          <t>Elkayem Auto Ancillaries ( P ) LTD</t>
        </is>
      </c>
      <c r="P1425" t="n">
        <v>2252</v>
      </c>
      <c r="Q1425" t="n">
        <v>2218</v>
      </c>
    </row>
    <row r="1426">
      <c r="D1426" t="n">
        <v>2403386</v>
      </c>
      <c r="H1426" t="inlineStr">
        <is>
          <t>Elkayem Auto Ancillaries ( P ) LTD</t>
        </is>
      </c>
      <c r="P1426" t="n">
        <v>2253</v>
      </c>
      <c r="Q1426" t="n">
        <v>2219</v>
      </c>
    </row>
    <row r="1427">
      <c r="D1427" t="n">
        <v>2403386</v>
      </c>
      <c r="H1427" t="inlineStr">
        <is>
          <t>Marathwada Auto Compo Pvt. Ltd.</t>
        </is>
      </c>
      <c r="P1427" t="n">
        <v>2254</v>
      </c>
      <c r="Q1427" t="n">
        <v>2220</v>
      </c>
    </row>
    <row r="1428">
      <c r="D1428" t="n">
        <v>2403386</v>
      </c>
      <c r="H1428" t="inlineStr">
        <is>
          <t>SRIKAM HITECH ENGINEERING PRIVATE L</t>
        </is>
      </c>
      <c r="P1428" t="n">
        <v>2255</v>
      </c>
      <c r="Q1428" t="n">
        <v>2221</v>
      </c>
    </row>
    <row r="1429">
      <c r="D1429" t="n">
        <v>2403386</v>
      </c>
      <c r="H1429" t="inlineStr">
        <is>
          <t>SRIKAM HITECH ENGINEERING PRIVATE L</t>
        </is>
      </c>
      <c r="P1429" t="n">
        <v>2256</v>
      </c>
      <c r="Q1429" t="n">
        <v>2222</v>
      </c>
    </row>
    <row r="1430">
      <c r="D1430" t="n">
        <v>2403386</v>
      </c>
      <c r="H1430" t="inlineStr">
        <is>
          <t>SRIKAM HITECH ENGINEERING PRIVATE L</t>
        </is>
      </c>
      <c r="P1430" t="n">
        <v>2259</v>
      </c>
      <c r="Q1430" t="n">
        <v>2223</v>
      </c>
    </row>
    <row r="1431">
      <c r="D1431" t="n">
        <v>2403386</v>
      </c>
      <c r="H1431" t="inlineStr">
        <is>
          <t>SRIKAM HITECH ENGINEERING PRIVATE L</t>
        </is>
      </c>
      <c r="P1431" t="n">
        <v>2260</v>
      </c>
      <c r="Q1431" t="n">
        <v>2224</v>
      </c>
    </row>
    <row r="1432">
      <c r="D1432" t="n">
        <v>2403386</v>
      </c>
      <c r="H1432" t="inlineStr">
        <is>
          <t>JBM AUTO LIMITED</t>
        </is>
      </c>
      <c r="P1432" t="n">
        <v>2261</v>
      </c>
      <c r="Q1432" t="n">
        <v>2225</v>
      </c>
    </row>
    <row r="1433">
      <c r="D1433" t="n">
        <v>2403386</v>
      </c>
      <c r="H1433" t="inlineStr">
        <is>
          <t>JBM AUTO LIMITED</t>
        </is>
      </c>
      <c r="P1433" t="n">
        <v>2267</v>
      </c>
      <c r="Q1433" t="n">
        <v>2226</v>
      </c>
    </row>
    <row r="1434">
      <c r="D1434" t="n">
        <v>2403386</v>
      </c>
      <c r="H1434" t="inlineStr">
        <is>
          <t>JBM AUTO LIMITED</t>
        </is>
      </c>
      <c r="P1434" t="n">
        <v>2268</v>
      </c>
      <c r="Q1434" t="n">
        <v>2227</v>
      </c>
    </row>
    <row r="1435">
      <c r="D1435" t="n">
        <v>1432171</v>
      </c>
      <c r="H1435" t="inlineStr">
        <is>
          <t>JBM AUTO LIMITED</t>
        </is>
      </c>
      <c r="P1435" t="n">
        <v>2269</v>
      </c>
      <c r="Q1435" t="n">
        <v>2228</v>
      </c>
    </row>
    <row r="1436">
      <c r="D1436" t="n">
        <v>1432171</v>
      </c>
      <c r="H1436" t="inlineStr">
        <is>
          <t>JBM AUTO LIMITED</t>
        </is>
      </c>
      <c r="P1436" t="n">
        <v>2270</v>
      </c>
      <c r="Q1436" t="n">
        <v>2229</v>
      </c>
    </row>
    <row r="1437">
      <c r="D1437" t="n">
        <v>1432171</v>
      </c>
      <c r="H1437" t="inlineStr">
        <is>
          <t>JBM AUTO LIMITED</t>
        </is>
      </c>
      <c r="P1437" t="n">
        <v>2271</v>
      </c>
      <c r="Q1437" t="n">
        <v>2230</v>
      </c>
    </row>
    <row r="1438">
      <c r="D1438" t="n">
        <v>1432171</v>
      </c>
      <c r="H1438" t="inlineStr">
        <is>
          <t>JBM AUTO LIMITED</t>
        </is>
      </c>
      <c r="P1438" t="n">
        <v>2272</v>
      </c>
      <c r="Q1438" t="n">
        <v>2231</v>
      </c>
    </row>
    <row r="1439">
      <c r="D1439" t="n">
        <v>1432171</v>
      </c>
      <c r="H1439" t="inlineStr">
        <is>
          <t>JBM AUTO LIMITED</t>
        </is>
      </c>
      <c r="P1439" t="n">
        <v>2273</v>
      </c>
      <c r="Q1439" t="n">
        <v>2232</v>
      </c>
    </row>
    <row r="1440">
      <c r="D1440" t="n">
        <v>1432169</v>
      </c>
      <c r="H1440" t="inlineStr">
        <is>
          <t>JBM AUTO LIMITED</t>
        </is>
      </c>
      <c r="P1440" t="n">
        <v>2274</v>
      </c>
      <c r="Q1440" t="n">
        <v>2233</v>
      </c>
    </row>
    <row r="1441">
      <c r="D1441" t="n">
        <v>1432169</v>
      </c>
      <c r="H1441" t="inlineStr">
        <is>
          <t>JBM AUTO LIMITED</t>
        </is>
      </c>
      <c r="P1441" t="n">
        <v>2275</v>
      </c>
      <c r="Q1441" t="n">
        <v>2234</v>
      </c>
    </row>
    <row r="1442">
      <c r="D1442" t="n">
        <v>3508947</v>
      </c>
      <c r="H1442" t="inlineStr">
        <is>
          <t>JBM AUTO LIMITED</t>
        </is>
      </c>
      <c r="P1442" t="n">
        <v>2276</v>
      </c>
      <c r="Q1442" t="n">
        <v>2235</v>
      </c>
    </row>
    <row r="1443">
      <c r="D1443" t="n">
        <v>3508947</v>
      </c>
      <c r="H1443" t="inlineStr">
        <is>
          <t>JBM AUTO LIMITED</t>
        </is>
      </c>
      <c r="P1443" t="n">
        <v>2277</v>
      </c>
      <c r="Q1443" t="n">
        <v>2236</v>
      </c>
    </row>
    <row r="1444">
      <c r="D1444" t="n">
        <v>1432170</v>
      </c>
      <c r="H1444" t="inlineStr">
        <is>
          <t>JBM AUTO LIMITED</t>
        </is>
      </c>
      <c r="P1444" t="n">
        <v>2278</v>
      </c>
      <c r="Q1444" t="n">
        <v>2237</v>
      </c>
    </row>
    <row r="1445">
      <c r="D1445" t="n">
        <v>2403384</v>
      </c>
      <c r="H1445" t="inlineStr">
        <is>
          <t>JBM AUTO LIMITED</t>
        </is>
      </c>
      <c r="P1445" t="n">
        <v>2279</v>
      </c>
      <c r="Q1445" t="n">
        <v>2238</v>
      </c>
    </row>
    <row r="1446">
      <c r="D1446" t="n">
        <v>2403384</v>
      </c>
      <c r="H1446" t="inlineStr">
        <is>
          <t>Elkayem Auto Ancillaries ( P ) LTD</t>
        </is>
      </c>
      <c r="P1446" t="n">
        <v>2280</v>
      </c>
      <c r="Q1446" t="n">
        <v>2239</v>
      </c>
    </row>
    <row r="1447">
      <c r="D1447" t="n">
        <v>2403384</v>
      </c>
      <c r="H1447" t="inlineStr">
        <is>
          <t>Elkayem Auto Ancillaries ( P ) LTD</t>
        </is>
      </c>
      <c r="P1447" t="n">
        <v>2281</v>
      </c>
      <c r="Q1447" t="n">
        <v>2240</v>
      </c>
    </row>
    <row r="1448">
      <c r="D1448" t="n">
        <v>2403384</v>
      </c>
      <c r="H1448" t="inlineStr">
        <is>
          <t>Narasipur Auto Component(P)Ltd</t>
        </is>
      </c>
      <c r="P1448" t="n">
        <v>2282</v>
      </c>
      <c r="Q1448" t="n">
        <v>2241</v>
      </c>
    </row>
    <row r="1449">
      <c r="D1449" t="n">
        <v>2403384</v>
      </c>
      <c r="H1449" t="inlineStr">
        <is>
          <t>Narasipur Auto Component(P)Ltd</t>
        </is>
      </c>
      <c r="P1449" t="n">
        <v>2283</v>
      </c>
      <c r="Q1449" t="n">
        <v>2242</v>
      </c>
    </row>
    <row r="1450">
      <c r="D1450" t="n">
        <v>1637759</v>
      </c>
      <c r="H1450" t="inlineStr">
        <is>
          <t>Narasipur Auto Component(P)Ltd</t>
        </is>
      </c>
      <c r="P1450" t="n">
        <v>2284</v>
      </c>
      <c r="Q1450" t="n">
        <v>2243</v>
      </c>
    </row>
    <row r="1451">
      <c r="D1451" t="n">
        <v>2403383</v>
      </c>
      <c r="H1451" t="inlineStr">
        <is>
          <t>Narasipur Auto Component(P)Ltd</t>
        </is>
      </c>
      <c r="P1451" t="n">
        <v>2285</v>
      </c>
      <c r="Q1451" t="n">
        <v>2244</v>
      </c>
    </row>
    <row r="1452">
      <c r="D1452" t="n">
        <v>2403383</v>
      </c>
      <c r="H1452" t="inlineStr">
        <is>
          <t>Narasipur Auto Component(P)Ltd</t>
        </is>
      </c>
      <c r="P1452" t="n">
        <v>2286</v>
      </c>
      <c r="Q1452" t="n">
        <v>2245</v>
      </c>
    </row>
    <row r="1453">
      <c r="D1453" t="n">
        <v>2403383</v>
      </c>
      <c r="H1453" t="inlineStr">
        <is>
          <t>FREE STOCK</t>
        </is>
      </c>
      <c r="P1453" t="n">
        <v>2287</v>
      </c>
      <c r="Q1453" t="n">
        <v>2246</v>
      </c>
    </row>
    <row r="1454">
      <c r="D1454" t="n">
        <v>2403383</v>
      </c>
      <c r="H1454" t="inlineStr">
        <is>
          <t>FREE STOCK</t>
        </is>
      </c>
      <c r="P1454" t="n">
        <v>2288</v>
      </c>
      <c r="Q1454" t="n">
        <v>2247</v>
      </c>
    </row>
    <row r="1455">
      <c r="D1455" t="n">
        <v>2403383</v>
      </c>
      <c r="H1455" t="inlineStr">
        <is>
          <t>FREE STOCK</t>
        </is>
      </c>
      <c r="P1455" t="n">
        <v>2289</v>
      </c>
      <c r="Q1455" t="n">
        <v>2248</v>
      </c>
    </row>
    <row r="1456">
      <c r="D1456" t="n">
        <v>2403383</v>
      </c>
      <c r="H1456" t="inlineStr">
        <is>
          <t>FREE STOCK</t>
        </is>
      </c>
      <c r="P1456" t="n">
        <v>2290</v>
      </c>
      <c r="Q1456" t="n">
        <v>2249</v>
      </c>
    </row>
    <row r="1457">
      <c r="D1457" t="n">
        <v>2403383</v>
      </c>
      <c r="H1457" t="inlineStr">
        <is>
          <t>FREE STOCK</t>
        </is>
      </c>
      <c r="P1457" t="n">
        <v>2291</v>
      </c>
      <c r="Q1457" t="n">
        <v>2250</v>
      </c>
    </row>
    <row r="1458">
      <c r="D1458" t="n">
        <v>1432172</v>
      </c>
      <c r="H1458" t="inlineStr">
        <is>
          <t>FREE STOCK</t>
        </is>
      </c>
      <c r="P1458" t="n">
        <v>2292</v>
      </c>
      <c r="Q1458" t="n">
        <v>2251</v>
      </c>
    </row>
    <row r="1459">
      <c r="D1459" t="n">
        <v>1432172</v>
      </c>
      <c r="H1459" t="inlineStr">
        <is>
          <t>FREE STOCK</t>
        </is>
      </c>
      <c r="P1459" t="n">
        <v>2293</v>
      </c>
      <c r="Q1459" t="n">
        <v>2252</v>
      </c>
    </row>
    <row r="1460">
      <c r="D1460" t="n">
        <v>1432172</v>
      </c>
      <c r="H1460" t="inlineStr">
        <is>
          <t>SRIKAM HITECH ENGINEERING PRIVATE L</t>
        </is>
      </c>
      <c r="P1460" t="n">
        <v>2294</v>
      </c>
      <c r="Q1460" t="n">
        <v>2253</v>
      </c>
    </row>
    <row r="1461">
      <c r="D1461" t="n">
        <v>1432172</v>
      </c>
      <c r="H1461" t="inlineStr">
        <is>
          <t>SRIKAM HITECH ENGINEERING PRIVATE L</t>
        </is>
      </c>
      <c r="P1461" t="n">
        <v>2295</v>
      </c>
      <c r="Q1461" t="n">
        <v>2254</v>
      </c>
    </row>
    <row r="1462">
      <c r="D1462" t="n">
        <v>1432172</v>
      </c>
      <c r="H1462" t="inlineStr">
        <is>
          <t>SRIKAM HITECH ENGINEERING PRIVATE L</t>
        </is>
      </c>
      <c r="P1462" t="n">
        <v>2296</v>
      </c>
      <c r="Q1462" t="n">
        <v>2255</v>
      </c>
    </row>
    <row r="1463">
      <c r="D1463" t="n">
        <v>3236719</v>
      </c>
      <c r="H1463" t="inlineStr">
        <is>
          <t>SRIKAM HITECH ENGINEERING PRIVATE L</t>
        </is>
      </c>
      <c r="P1463" t="n">
        <v>2297</v>
      </c>
      <c r="Q1463" t="n">
        <v>2256</v>
      </c>
    </row>
    <row r="1464">
      <c r="D1464" t="n">
        <v>3236719</v>
      </c>
      <c r="H1464" t="inlineStr">
        <is>
          <t>Neel Metal Products Limited</t>
        </is>
      </c>
      <c r="P1464" t="n">
        <v>2298</v>
      </c>
      <c r="Q1464" t="n">
        <v>2259</v>
      </c>
    </row>
    <row r="1465">
      <c r="D1465" t="n">
        <v>1249097</v>
      </c>
      <c r="H1465" t="inlineStr">
        <is>
          <t>Rajsriya Automotive Industries</t>
        </is>
      </c>
      <c r="P1465" t="n">
        <v>2299</v>
      </c>
      <c r="Q1465" t="n">
        <v>2260</v>
      </c>
    </row>
    <row r="1466">
      <c r="D1466" t="n">
        <v>1940284</v>
      </c>
      <c r="H1466" t="inlineStr">
        <is>
          <t>Rajsriya Automotive Industries</t>
        </is>
      </c>
      <c r="P1466" t="n">
        <v>2300</v>
      </c>
      <c r="Q1466" t="n">
        <v>2261</v>
      </c>
    </row>
    <row r="1467">
      <c r="D1467" t="n">
        <v>1940284</v>
      </c>
      <c r="H1467" t="inlineStr">
        <is>
          <t>Rajsriya Automotive Industries</t>
        </is>
      </c>
      <c r="P1467" t="n">
        <v>2301</v>
      </c>
      <c r="Q1467" t="n">
        <v>2267</v>
      </c>
    </row>
    <row r="1468">
      <c r="D1468" t="n">
        <v>1940284</v>
      </c>
      <c r="H1468" t="inlineStr">
        <is>
          <t>Rajsriya Automotive Industries</t>
        </is>
      </c>
      <c r="P1468" t="n">
        <v>2302</v>
      </c>
      <c r="Q1468" t="n">
        <v>2268</v>
      </c>
    </row>
    <row r="1469">
      <c r="D1469" t="n">
        <v>1940284</v>
      </c>
      <c r="H1469" t="inlineStr">
        <is>
          <t>Rajsriya Automotive Industries</t>
        </is>
      </c>
      <c r="P1469" t="n">
        <v>2303</v>
      </c>
      <c r="Q1469" t="n">
        <v>2269</v>
      </c>
    </row>
    <row r="1470">
      <c r="D1470" t="n">
        <v>1940284</v>
      </c>
      <c r="H1470" t="inlineStr">
        <is>
          <t>Rajsriya Automotive Industries</t>
        </is>
      </c>
      <c r="P1470" t="n">
        <v>2304</v>
      </c>
      <c r="Q1470" t="n">
        <v>2270</v>
      </c>
    </row>
    <row r="1471">
      <c r="D1471" t="n">
        <v>1940284</v>
      </c>
      <c r="H1471" t="inlineStr">
        <is>
          <t>Rajsriya Automotive Industries</t>
        </is>
      </c>
      <c r="P1471" t="n">
        <v>2305</v>
      </c>
      <c r="Q1471" t="n">
        <v>2271</v>
      </c>
    </row>
    <row r="1472">
      <c r="D1472" t="n">
        <v>1940284</v>
      </c>
      <c r="H1472" t="inlineStr">
        <is>
          <t>Rajsriya Automotive Industries</t>
        </is>
      </c>
      <c r="P1472" t="n">
        <v>2306</v>
      </c>
      <c r="Q1472" t="n">
        <v>2272</v>
      </c>
    </row>
    <row r="1473">
      <c r="D1473" t="n">
        <v>1940284</v>
      </c>
      <c r="H1473" t="inlineStr">
        <is>
          <t>Rajsriya Automotive Industries</t>
        </is>
      </c>
      <c r="P1473" t="n">
        <v>2307</v>
      </c>
      <c r="Q1473" t="n">
        <v>2273</v>
      </c>
    </row>
    <row r="1474">
      <c r="D1474" t="n">
        <v>1940284</v>
      </c>
      <c r="H1474" t="inlineStr">
        <is>
          <t>Rajsriya Automotive Industries</t>
        </is>
      </c>
      <c r="P1474" t="n">
        <v>2308</v>
      </c>
      <c r="Q1474" t="n">
        <v>2274</v>
      </c>
    </row>
    <row r="1475">
      <c r="D1475" t="n">
        <v>1940284</v>
      </c>
      <c r="H1475" t="inlineStr">
        <is>
          <t>Neel Metal Products Limited</t>
        </is>
      </c>
      <c r="P1475" t="n">
        <v>2309</v>
      </c>
      <c r="Q1475" t="n">
        <v>2275</v>
      </c>
    </row>
    <row r="1476">
      <c r="D1476" t="n">
        <v>1188598</v>
      </c>
      <c r="H1476" t="inlineStr">
        <is>
          <t>Kay Jay Forgings Pvt Ltd Unit Vi</t>
        </is>
      </c>
      <c r="P1476" t="n">
        <v>2310</v>
      </c>
      <c r="Q1476" t="n">
        <v>2276</v>
      </c>
    </row>
    <row r="1477">
      <c r="D1477" t="n">
        <v>1188598</v>
      </c>
      <c r="H1477" t="inlineStr">
        <is>
          <t>Kay Jay Forgings Pvt Ltd Unit Vi</t>
        </is>
      </c>
      <c r="P1477" t="n">
        <v>2311</v>
      </c>
      <c r="Q1477" t="n">
        <v>2277</v>
      </c>
    </row>
    <row r="1478">
      <c r="D1478" t="n">
        <v>1188598</v>
      </c>
      <c r="H1478" t="inlineStr">
        <is>
          <t>Kay Jay Forgings Pvt Ltd Unit Vi</t>
        </is>
      </c>
      <c r="P1478" t="n">
        <v>2312</v>
      </c>
      <c r="Q1478" t="n">
        <v>2278</v>
      </c>
    </row>
    <row r="1479">
      <c r="D1479" t="n">
        <v>3784368</v>
      </c>
      <c r="H1479" t="inlineStr">
        <is>
          <t>Kay Jay Forgings Pvt Ltd Unit Vi</t>
        </is>
      </c>
      <c r="P1479" t="n">
        <v>2313</v>
      </c>
      <c r="Q1479" t="n">
        <v>2279</v>
      </c>
    </row>
    <row r="1480">
      <c r="D1480" t="n">
        <v>1284065</v>
      </c>
      <c r="H1480" t="inlineStr">
        <is>
          <t>Indo Autotech Limited (Unit V)</t>
        </is>
      </c>
      <c r="P1480" t="n">
        <v>2314</v>
      </c>
      <c r="Q1480" t="n">
        <v>2280</v>
      </c>
    </row>
    <row r="1481">
      <c r="D1481" t="n">
        <v>1284065</v>
      </c>
      <c r="H1481" t="inlineStr">
        <is>
          <t>Indo Autotech Limited (Unit V)</t>
        </is>
      </c>
      <c r="P1481" t="n">
        <v>2315</v>
      </c>
      <c r="Q1481" t="n">
        <v>2281</v>
      </c>
    </row>
    <row r="1482">
      <c r="D1482" t="n">
        <v>1284065</v>
      </c>
      <c r="H1482" t="inlineStr">
        <is>
          <t>Neel Metal Products Limited</t>
        </is>
      </c>
      <c r="P1482" t="n">
        <v>2316</v>
      </c>
      <c r="Q1482" t="n">
        <v>2282</v>
      </c>
    </row>
    <row r="1483">
      <c r="D1483" t="n">
        <v>1940287</v>
      </c>
      <c r="H1483" t="inlineStr">
        <is>
          <t>Neel Metal Products Limited</t>
        </is>
      </c>
      <c r="P1483" t="n">
        <v>2317</v>
      </c>
      <c r="Q1483" t="n">
        <v>2283</v>
      </c>
    </row>
    <row r="1484">
      <c r="D1484" t="n">
        <v>1940287</v>
      </c>
      <c r="H1484" t="inlineStr">
        <is>
          <t>Neel Metal Products Limited</t>
        </is>
      </c>
      <c r="P1484" t="n">
        <v>2333</v>
      </c>
      <c r="Q1484" t="n">
        <v>2284</v>
      </c>
    </row>
    <row r="1485">
      <c r="D1485" t="n">
        <v>1940287</v>
      </c>
      <c r="H1485" t="inlineStr">
        <is>
          <t>Neel Metal Products Limited</t>
        </is>
      </c>
      <c r="P1485" t="n">
        <v>2333</v>
      </c>
      <c r="Q1485" t="n">
        <v>2285</v>
      </c>
    </row>
    <row r="1486">
      <c r="D1486" t="n">
        <v>1940287</v>
      </c>
      <c r="H1486" t="inlineStr">
        <is>
          <t>Neel Metal Products Limited</t>
        </is>
      </c>
      <c r="P1486" t="n">
        <v>2334</v>
      </c>
      <c r="Q1486" t="n">
        <v>2286</v>
      </c>
    </row>
    <row r="1487">
      <c r="D1487" t="n">
        <v>1940287</v>
      </c>
      <c r="H1487" t="inlineStr">
        <is>
          <t>Neel Metal Products Limited</t>
        </is>
      </c>
      <c r="P1487" t="n">
        <v>2335</v>
      </c>
      <c r="Q1487" t="n">
        <v>2287</v>
      </c>
    </row>
    <row r="1488">
      <c r="D1488" t="n">
        <v>1940287</v>
      </c>
      <c r="H1488" t="inlineStr">
        <is>
          <t>Neel Metal Products Limited</t>
        </is>
      </c>
      <c r="P1488" t="n">
        <v>2336</v>
      </c>
      <c r="Q1488" t="n">
        <v>2288</v>
      </c>
    </row>
    <row r="1489">
      <c r="D1489" t="n">
        <v>1940287</v>
      </c>
      <c r="H1489" t="inlineStr">
        <is>
          <t>Neel Metal Products Limited</t>
        </is>
      </c>
      <c r="P1489" t="n">
        <v>2337</v>
      </c>
      <c r="Q1489" t="n">
        <v>2289</v>
      </c>
    </row>
    <row r="1490">
      <c r="D1490" t="n">
        <v>1940287</v>
      </c>
      <c r="H1490" t="inlineStr">
        <is>
          <t>Neel Metal Products Limited</t>
        </is>
      </c>
      <c r="P1490" t="n">
        <v>2338</v>
      </c>
      <c r="Q1490" t="n">
        <v>2290</v>
      </c>
    </row>
    <row r="1491">
      <c r="D1491" t="n">
        <v>1940287</v>
      </c>
      <c r="H1491" t="inlineStr">
        <is>
          <t>Neel Metal Products Limited</t>
        </is>
      </c>
      <c r="P1491" t="n">
        <v>2339</v>
      </c>
      <c r="Q1491" t="n">
        <v>2291</v>
      </c>
    </row>
    <row r="1492">
      <c r="D1492" t="n">
        <v>3509196</v>
      </c>
      <c r="H1492" t="inlineStr">
        <is>
          <t>Neel Metal Products Limited</t>
        </is>
      </c>
      <c r="P1492" t="n">
        <v>2340</v>
      </c>
      <c r="Q1492" t="n">
        <v>2292</v>
      </c>
    </row>
    <row r="1493">
      <c r="D1493" t="n">
        <v>3509196</v>
      </c>
      <c r="H1493" t="inlineStr">
        <is>
          <t>Neel Metal Products Limited</t>
        </is>
      </c>
      <c r="P1493" t="n">
        <v>2341</v>
      </c>
      <c r="Q1493" t="n">
        <v>2293</v>
      </c>
    </row>
    <row r="1494">
      <c r="D1494" t="n">
        <v>3509196</v>
      </c>
      <c r="H1494" t="inlineStr">
        <is>
          <t>SRIKAM HITECH ENGINEERING PRIVATE L</t>
        </is>
      </c>
      <c r="P1494" t="n">
        <v>2346</v>
      </c>
      <c r="Q1494" t="n">
        <v>2294</v>
      </c>
    </row>
    <row r="1495">
      <c r="D1495" t="n">
        <v>3732182</v>
      </c>
      <c r="H1495" t="inlineStr">
        <is>
          <t>MEGH STEELS PRIVATE LIMITED - TVS A</t>
        </is>
      </c>
      <c r="P1495" t="n">
        <v>2347</v>
      </c>
      <c r="Q1495" t="n">
        <v>2295</v>
      </c>
    </row>
    <row r="1496">
      <c r="D1496" t="n">
        <v>1479701</v>
      </c>
      <c r="H1496" t="inlineStr">
        <is>
          <t>Marathwada Auto Compo Pvt. Ltd.</t>
        </is>
      </c>
      <c r="P1496" t="n">
        <v>2348</v>
      </c>
      <c r="Q1496" t="n">
        <v>2296</v>
      </c>
    </row>
    <row r="1497">
      <c r="D1497" t="n">
        <v>1399341</v>
      </c>
      <c r="H1497" t="inlineStr">
        <is>
          <t>Marathwada Auto Compo Pvt. Ltd.</t>
        </is>
      </c>
      <c r="P1497" t="n">
        <v>2349</v>
      </c>
      <c r="Q1497" t="n">
        <v>2297</v>
      </c>
    </row>
    <row r="1498">
      <c r="D1498" t="n">
        <v>1399341</v>
      </c>
      <c r="H1498" t="inlineStr">
        <is>
          <t>Neel Metal Products Limited</t>
        </is>
      </c>
      <c r="P1498" t="n">
        <v>2350</v>
      </c>
      <c r="Q1498" t="n">
        <v>2298</v>
      </c>
    </row>
    <row r="1499">
      <c r="D1499" t="n">
        <v>1399341</v>
      </c>
      <c r="H1499" t="inlineStr">
        <is>
          <t>NAHARS ENGINEERING INDIA PRIVATE LI</t>
        </is>
      </c>
      <c r="P1499" t="n">
        <v>2351</v>
      </c>
      <c r="Q1499" t="n">
        <v>2299</v>
      </c>
    </row>
    <row r="1500">
      <c r="D1500" t="n">
        <v>451367</v>
      </c>
      <c r="H1500" t="inlineStr">
        <is>
          <t>NAHARS ENGINEERING INDIA PRIVATE LI</t>
        </is>
      </c>
      <c r="P1500" t="n">
        <v>2352</v>
      </c>
      <c r="Q1500" t="n">
        <v>2300</v>
      </c>
    </row>
    <row r="1501">
      <c r="D1501" t="n">
        <v>451367</v>
      </c>
      <c r="H1501" t="inlineStr">
        <is>
          <t>Neel Metal Products Limited</t>
        </is>
      </c>
      <c r="P1501" t="n">
        <v>2353</v>
      </c>
      <c r="Q1501" t="n">
        <v>2301</v>
      </c>
    </row>
    <row r="1502">
      <c r="D1502" t="n">
        <v>440216</v>
      </c>
      <c r="H1502" t="inlineStr">
        <is>
          <t>Neel Metal Products Limited</t>
        </is>
      </c>
      <c r="P1502" t="n">
        <v>2354</v>
      </c>
      <c r="Q1502" t="n">
        <v>2302</v>
      </c>
    </row>
    <row r="1503">
      <c r="D1503" t="n">
        <v>3682071</v>
      </c>
      <c r="H1503" t="inlineStr">
        <is>
          <t>Neel Metal Products Limited</t>
        </is>
      </c>
      <c r="P1503" t="n">
        <v>2355</v>
      </c>
      <c r="Q1503" t="n">
        <v>2303</v>
      </c>
    </row>
    <row r="1504">
      <c r="D1504" t="n">
        <v>3673888</v>
      </c>
      <c r="H1504" t="inlineStr">
        <is>
          <t>ELKAYEM AUTO ANCILLARIES (PVT) LTD.</t>
        </is>
      </c>
      <c r="P1504" t="n">
        <v>2356</v>
      </c>
      <c r="Q1504" t="n">
        <v>2304</v>
      </c>
    </row>
    <row r="1505">
      <c r="D1505" t="n">
        <v>3673888</v>
      </c>
      <c r="H1505" t="inlineStr">
        <is>
          <t>ELKAYEM AUTO ANCILLARIES (PVT) LTD.</t>
        </is>
      </c>
      <c r="P1505" t="n">
        <v>2357</v>
      </c>
      <c r="Q1505" t="n">
        <v>2305</v>
      </c>
    </row>
    <row r="1506">
      <c r="D1506" t="n">
        <v>3673888</v>
      </c>
      <c r="H1506" t="inlineStr">
        <is>
          <t>ELKAYEM AUTO ANCILLARIES (PVT) LTD.</t>
        </is>
      </c>
      <c r="P1506" t="n">
        <v>2358</v>
      </c>
      <c r="Q1506" t="n">
        <v>2306</v>
      </c>
    </row>
    <row r="1507">
      <c r="D1507" t="n">
        <v>3673888</v>
      </c>
      <c r="H1507" t="inlineStr">
        <is>
          <t>ELKAYEM AUTO ANCILLARIES (PVT) LTD.</t>
        </is>
      </c>
      <c r="P1507" t="n">
        <v>2359</v>
      </c>
      <c r="Q1507" t="n">
        <v>2307</v>
      </c>
    </row>
    <row r="1508">
      <c r="D1508" t="n">
        <v>3673888</v>
      </c>
      <c r="H1508" t="inlineStr">
        <is>
          <t>ELKAYEM AUTO ANCILLARIES (PVT) LTD.</t>
        </is>
      </c>
      <c r="P1508" t="n">
        <v>2360</v>
      </c>
      <c r="Q1508" t="n">
        <v>2308</v>
      </c>
    </row>
    <row r="1509">
      <c r="D1509" t="n">
        <v>3673888</v>
      </c>
      <c r="H1509" t="inlineStr">
        <is>
          <t>ELKAYEM AUTO ANCILLARIES (PVT) LTD.</t>
        </is>
      </c>
      <c r="P1509" t="n">
        <v>2361</v>
      </c>
      <c r="Q1509" t="n">
        <v>2309</v>
      </c>
    </row>
    <row r="1510">
      <c r="D1510" t="n">
        <v>3673888</v>
      </c>
      <c r="H1510" t="inlineStr">
        <is>
          <t>ELKAYEM AUTO ANCILLARIES (PVT) LTD.</t>
        </is>
      </c>
      <c r="P1510" t="n">
        <v>2362</v>
      </c>
      <c r="Q1510" t="n">
        <v>2310</v>
      </c>
    </row>
    <row r="1511">
      <c r="D1511" t="n">
        <v>1940293</v>
      </c>
      <c r="H1511" t="inlineStr">
        <is>
          <t>ELKAYEM AUTO ANCILLARIES (PVT) LTD.</t>
        </is>
      </c>
      <c r="P1511" t="n">
        <v>2363</v>
      </c>
      <c r="Q1511" t="n">
        <v>2311</v>
      </c>
    </row>
    <row r="1512">
      <c r="D1512" t="n">
        <v>1940293</v>
      </c>
      <c r="H1512" t="inlineStr">
        <is>
          <t>ELKAYEM AUTO ANCILLARIES (PVT) LTD.</t>
        </is>
      </c>
      <c r="P1512" t="n">
        <v>2364</v>
      </c>
      <c r="Q1512" t="n">
        <v>2312</v>
      </c>
    </row>
    <row r="1513">
      <c r="D1513" t="n">
        <v>235292</v>
      </c>
      <c r="H1513" t="inlineStr">
        <is>
          <t>ELKAYEM AUTO ANCILLARIES (PVT) LTD.</t>
        </is>
      </c>
      <c r="P1513" t="n">
        <v>2365</v>
      </c>
      <c r="Q1513" t="n">
        <v>2313</v>
      </c>
    </row>
    <row r="1514">
      <c r="D1514" t="n">
        <v>235292</v>
      </c>
      <c r="H1514" t="inlineStr">
        <is>
          <t>ELKAYEM AUTO ANCILLARIES (PVT) LTD.</t>
        </is>
      </c>
      <c r="P1514" t="n">
        <v>2366</v>
      </c>
      <c r="Q1514" t="n">
        <v>2314</v>
      </c>
    </row>
    <row r="1515">
      <c r="D1515" t="n">
        <v>235292</v>
      </c>
      <c r="H1515" t="inlineStr">
        <is>
          <t>ELKAYEM AUTO ANCILLARIES (PVT) LTD.</t>
        </is>
      </c>
      <c r="P1515" t="n">
        <v>2367</v>
      </c>
      <c r="Q1515" t="n">
        <v>2315</v>
      </c>
    </row>
    <row r="1516">
      <c r="D1516" t="n">
        <v>3499307</v>
      </c>
      <c r="H1516" t="inlineStr">
        <is>
          <t>ELKAYEM AUTO ANCILLARIES (PVT) LTD.</t>
        </is>
      </c>
      <c r="P1516" t="n">
        <v>2367</v>
      </c>
      <c r="Q1516" t="n">
        <v>2316</v>
      </c>
    </row>
    <row r="1517">
      <c r="D1517" t="n">
        <v>3499307</v>
      </c>
      <c r="H1517" t="inlineStr">
        <is>
          <t>ELKAYEM AUTO ANCILLARIES (PVT) LTD.</t>
        </is>
      </c>
      <c r="P1517" t="n">
        <v>2369</v>
      </c>
      <c r="Q1517" t="n">
        <v>2317</v>
      </c>
    </row>
    <row r="1518">
      <c r="D1518" t="n">
        <v>3499307</v>
      </c>
      <c r="H1518" t="inlineStr">
        <is>
          <t>ELKAYEM AUTO ANCILLARIES (PVT) LTD.</t>
        </is>
      </c>
      <c r="P1518" t="n">
        <v>2371</v>
      </c>
      <c r="Q1518" t="n">
        <v>2318</v>
      </c>
    </row>
    <row r="1519">
      <c r="D1519" t="n">
        <v>3499307</v>
      </c>
      <c r="H1519" t="inlineStr">
        <is>
          <t>ELKAYEM AUTO ANCILLARIES (PVT) LTD.</t>
        </is>
      </c>
      <c r="P1519" t="n">
        <v>2372</v>
      </c>
      <c r="Q1519" t="n">
        <v>2319</v>
      </c>
    </row>
    <row r="1520">
      <c r="D1520" t="n">
        <v>3499307</v>
      </c>
      <c r="H1520" t="inlineStr">
        <is>
          <t>ELKAYEM AUTO ANCILLARIES (PVT) LTD.</t>
        </is>
      </c>
      <c r="P1520" t="n">
        <v>2373</v>
      </c>
      <c r="Q1520" t="n">
        <v>2320</v>
      </c>
    </row>
    <row r="1521">
      <c r="D1521" t="n">
        <v>3499307</v>
      </c>
      <c r="H1521" t="inlineStr">
        <is>
          <t>ELKAYEM AUTO ANCILLARIES (PVT) LTD.</t>
        </is>
      </c>
      <c r="P1521" t="n">
        <v>2374</v>
      </c>
      <c r="Q1521" t="n">
        <v>2321</v>
      </c>
    </row>
    <row r="1522">
      <c r="D1522" t="n">
        <v>1937438</v>
      </c>
      <c r="H1522" t="inlineStr">
        <is>
          <t>ELKAYEM AUTO ANCILLARIES (PVT) LTD.</t>
        </is>
      </c>
      <c r="P1522" t="n">
        <v>2375</v>
      </c>
      <c r="Q1522" t="n">
        <v>2322</v>
      </c>
    </row>
    <row r="1523">
      <c r="D1523" t="n">
        <v>1937438</v>
      </c>
      <c r="H1523" t="inlineStr">
        <is>
          <t>ELKAYEM AUTO ANCILLARIES (PVT) LTD.</t>
        </is>
      </c>
      <c r="P1523" t="n">
        <v>2376</v>
      </c>
      <c r="Q1523" t="n">
        <v>2323</v>
      </c>
    </row>
    <row r="1524">
      <c r="D1524" t="n">
        <v>1937438</v>
      </c>
      <c r="H1524" t="inlineStr">
        <is>
          <t>ELKAYEM AUTO ANCILLARIES (PVT) LTD.</t>
        </is>
      </c>
      <c r="P1524" t="n">
        <v>2377</v>
      </c>
      <c r="Q1524" t="n">
        <v>2324</v>
      </c>
    </row>
    <row r="1525">
      <c r="D1525" t="n">
        <v>1937438</v>
      </c>
      <c r="H1525" t="inlineStr">
        <is>
          <t>ELKAYEM AUTO ANCILLARIES (PVT) LTD.</t>
        </is>
      </c>
      <c r="P1525" t="n">
        <v>2378</v>
      </c>
      <c r="Q1525" t="n">
        <v>2325</v>
      </c>
    </row>
    <row r="1526">
      <c r="D1526" t="n">
        <v>1937438</v>
      </c>
      <c r="H1526" t="inlineStr">
        <is>
          <t>ELKAYEM AUTO ANCILLARIES (PVT) LTD.</t>
        </is>
      </c>
      <c r="P1526" t="n">
        <v>2379</v>
      </c>
      <c r="Q1526" t="n">
        <v>2326</v>
      </c>
    </row>
    <row r="1527">
      <c r="D1527" t="n">
        <v>1937438</v>
      </c>
      <c r="H1527" t="inlineStr">
        <is>
          <t>ELKAYEM AUTO ANCILLARIES (PVT) LTD.</t>
        </is>
      </c>
      <c r="P1527" t="n">
        <v>2380</v>
      </c>
      <c r="Q1527" t="n">
        <v>2327</v>
      </c>
    </row>
    <row r="1528">
      <c r="D1528" t="n">
        <v>1937438</v>
      </c>
      <c r="H1528" t="inlineStr">
        <is>
          <t>ELKAYEM AUTO ANCILLARIES (PVT) LTD.</t>
        </is>
      </c>
      <c r="P1528" t="n">
        <v>2398</v>
      </c>
      <c r="Q1528" t="n">
        <v>2328</v>
      </c>
    </row>
    <row r="1529">
      <c r="D1529" t="n">
        <v>1937438</v>
      </c>
      <c r="H1529" t="inlineStr">
        <is>
          <t>ELKAYEM AUTO ANCILLARIES (PVT) LTD.</t>
        </is>
      </c>
      <c r="P1529" t="n">
        <v>2399</v>
      </c>
      <c r="Q1529" t="n">
        <v>2329</v>
      </c>
    </row>
    <row r="1530">
      <c r="D1530" t="n">
        <v>1937438</v>
      </c>
      <c r="H1530" t="inlineStr">
        <is>
          <t>ELKAYEM AUTO ANCILLARIES (PVT) LTD.</t>
        </is>
      </c>
      <c r="P1530" t="n">
        <v>2400</v>
      </c>
      <c r="Q1530" t="n">
        <v>2330</v>
      </c>
    </row>
    <row r="1531">
      <c r="D1531" t="n">
        <v>1937438</v>
      </c>
      <c r="H1531" t="inlineStr">
        <is>
          <t>Star Engineering Works</t>
        </is>
      </c>
      <c r="P1531" t="n">
        <v>2401</v>
      </c>
      <c r="Q1531" t="n">
        <v>2331</v>
      </c>
    </row>
    <row r="1532">
      <c r="D1532" t="n">
        <v>1333189</v>
      </c>
      <c r="H1532" t="inlineStr">
        <is>
          <t>Star Engineering Works</t>
        </is>
      </c>
      <c r="P1532" t="n">
        <v>2402</v>
      </c>
      <c r="Q1532" t="n">
        <v>2333</v>
      </c>
    </row>
    <row r="1533">
      <c r="D1533" t="n">
        <v>1333189</v>
      </c>
      <c r="H1533" t="inlineStr">
        <is>
          <t>Indo Autotech Limited (Unit V)</t>
        </is>
      </c>
      <c r="P1533" t="n">
        <v>2403</v>
      </c>
      <c r="Q1533" t="n">
        <v>2334</v>
      </c>
    </row>
    <row r="1534">
      <c r="D1534" t="n">
        <v>1940302</v>
      </c>
      <c r="H1534" t="inlineStr">
        <is>
          <t>Indo Autotech Limited (Unit V)</t>
        </is>
      </c>
      <c r="P1534" t="n">
        <v>2404</v>
      </c>
      <c r="Q1534" t="n">
        <v>2335</v>
      </c>
    </row>
    <row r="1535">
      <c r="D1535" t="n">
        <v>1940302</v>
      </c>
      <c r="H1535" t="inlineStr">
        <is>
          <t>Indo Autotech Limited (Unit V)</t>
        </is>
      </c>
      <c r="P1535" t="n">
        <v>2405</v>
      </c>
      <c r="Q1535" t="n">
        <v>2336</v>
      </c>
    </row>
    <row r="1536">
      <c r="D1536" t="n">
        <v>1940302</v>
      </c>
      <c r="H1536" t="inlineStr">
        <is>
          <t>Indo Autotech Limited (Unit V)</t>
        </is>
      </c>
      <c r="P1536" t="n">
        <v>2406</v>
      </c>
      <c r="Q1536" t="n">
        <v>2337</v>
      </c>
    </row>
    <row r="1537">
      <c r="D1537" t="n">
        <v>1940302</v>
      </c>
      <c r="H1537" t="inlineStr">
        <is>
          <t>ELKAYEM AUTO ANCILLARIES (PVT) LTD.</t>
        </is>
      </c>
      <c r="P1537" t="n">
        <v>2407</v>
      </c>
      <c r="Q1537" t="n">
        <v>2338</v>
      </c>
    </row>
    <row r="1538">
      <c r="D1538" t="n">
        <v>1940302</v>
      </c>
      <c r="H1538" t="inlineStr">
        <is>
          <t>ELKAYEM AUTO ANCILLARIES (PVT) LTD.</t>
        </is>
      </c>
      <c r="P1538" t="n">
        <v>2408</v>
      </c>
      <c r="Q1538" t="n">
        <v>2339</v>
      </c>
    </row>
    <row r="1539">
      <c r="D1539" t="n">
        <v>1259405</v>
      </c>
      <c r="H1539" t="inlineStr">
        <is>
          <t>ELKAYEM AUTO ANCILLARIES (PVT) LTD.</t>
        </is>
      </c>
      <c r="P1539" t="n">
        <v>2409</v>
      </c>
      <c r="Q1539" t="n">
        <v>2340</v>
      </c>
    </row>
    <row r="1540">
      <c r="D1540" t="n">
        <v>3781673</v>
      </c>
      <c r="H1540" t="inlineStr">
        <is>
          <t>ELKAYEM AUTO ANCILLARIES (PVT) LTD.</t>
        </is>
      </c>
      <c r="P1540" t="n">
        <v>2410</v>
      </c>
      <c r="Q1540" t="n">
        <v>2341</v>
      </c>
    </row>
    <row r="1541">
      <c r="D1541" t="n">
        <v>1940306</v>
      </c>
      <c r="H1541" t="inlineStr">
        <is>
          <t>ELKAYEM AUTO ANCILLARIES (PVT) LTD.</t>
        </is>
      </c>
      <c r="P1541" t="n">
        <v>2411</v>
      </c>
      <c r="Q1541" t="n">
        <v>2342</v>
      </c>
    </row>
    <row r="1542">
      <c r="D1542" t="n">
        <v>1940306</v>
      </c>
      <c r="H1542" t="inlineStr">
        <is>
          <t>ELKAYEM AUTO ANCILLARIES (PVT) LTD.</t>
        </is>
      </c>
      <c r="P1542" t="n">
        <v>2412</v>
      </c>
      <c r="Q1542" t="n">
        <v>2343</v>
      </c>
    </row>
    <row r="1543">
      <c r="D1543" t="n">
        <v>1940306</v>
      </c>
      <c r="H1543" t="inlineStr">
        <is>
          <t>ELKAYEM AUTO ANCILLARIES (PVT) LTD.</t>
        </is>
      </c>
      <c r="P1543" t="n">
        <v>2413</v>
      </c>
      <c r="Q1543" t="n">
        <v>2344</v>
      </c>
    </row>
    <row r="1544">
      <c r="D1544" t="n">
        <v>1940306</v>
      </c>
      <c r="H1544" t="inlineStr">
        <is>
          <t>ELKAYEM AUTO ANCILLARIES (PVT) LTD.</t>
        </is>
      </c>
      <c r="P1544" t="n">
        <v>2414</v>
      </c>
      <c r="Q1544" t="n">
        <v>2345</v>
      </c>
    </row>
    <row r="1545">
      <c r="D1545" t="n">
        <v>1940306</v>
      </c>
      <c r="H1545" t="inlineStr">
        <is>
          <t>ELKAYEM AUTO ANCILLARIES (PVT) LTD.</t>
        </is>
      </c>
      <c r="P1545" t="n">
        <v>2415</v>
      </c>
      <c r="Q1545" t="n">
        <v>2346</v>
      </c>
    </row>
    <row r="1546">
      <c r="D1546" t="n">
        <v>1940306</v>
      </c>
      <c r="H1546" t="inlineStr">
        <is>
          <t>ELKAYEM AUTO ANCILLARIES (PVT) LTD.</t>
        </is>
      </c>
      <c r="P1546" t="n">
        <v>2416</v>
      </c>
      <c r="Q1546" t="n">
        <v>2347</v>
      </c>
    </row>
    <row r="1547">
      <c r="D1547" t="n">
        <v>1940306</v>
      </c>
      <c r="H1547" t="inlineStr">
        <is>
          <t>ELKAYEM AUTO ANCILLARIES (PVT) LTD.</t>
        </is>
      </c>
      <c r="P1547" t="n">
        <v>2417</v>
      </c>
      <c r="Q1547" t="n">
        <v>2348</v>
      </c>
    </row>
    <row r="1548">
      <c r="D1548" t="n">
        <v>1940306</v>
      </c>
      <c r="H1548" t="inlineStr">
        <is>
          <t>ELKAYEM AUTO ANCILLARIES (PVT) LTD.</t>
        </is>
      </c>
      <c r="P1548" t="n">
        <v>2425</v>
      </c>
      <c r="Q1548" t="n">
        <v>2349</v>
      </c>
    </row>
    <row r="1549">
      <c r="D1549" t="n">
        <v>1940306</v>
      </c>
      <c r="H1549" t="inlineStr">
        <is>
          <t>ELKAYEM AUTO ANCILLARIES (PVT) LTD.</t>
        </is>
      </c>
      <c r="P1549" t="n">
        <v>2426</v>
      </c>
      <c r="Q1549" t="n">
        <v>2350</v>
      </c>
    </row>
    <row r="1550">
      <c r="D1550" t="n">
        <v>1940306</v>
      </c>
      <c r="H1550" t="inlineStr">
        <is>
          <t>ELKAYEM AUTO ANCILLARIES (PVT) LTD.</t>
        </is>
      </c>
      <c r="P1550" t="n">
        <v>2427</v>
      </c>
      <c r="Q1550" t="n">
        <v>2351</v>
      </c>
    </row>
    <row r="1551">
      <c r="D1551" t="n">
        <v>1940306</v>
      </c>
      <c r="H1551" t="inlineStr">
        <is>
          <t>ELKAYEM AUTO ANCILLARIES (PVT) LTD.</t>
        </is>
      </c>
      <c r="P1551" t="n">
        <v>2428</v>
      </c>
      <c r="Q1551" t="n">
        <v>2352</v>
      </c>
    </row>
    <row r="1552">
      <c r="D1552" t="n">
        <v>1940306</v>
      </c>
      <c r="H1552" t="inlineStr">
        <is>
          <t>ELKAYEM AUTO ANCILLARIES (PVT) LTD.</t>
        </is>
      </c>
      <c r="P1552" t="n">
        <v>2429</v>
      </c>
      <c r="Q1552" t="n">
        <v>2353</v>
      </c>
    </row>
    <row r="1553">
      <c r="D1553" t="n">
        <v>1940306</v>
      </c>
      <c r="H1553" t="inlineStr">
        <is>
          <t>ELKAYEM AUTO ANCILLARIES (PVT) LTD.</t>
        </is>
      </c>
      <c r="P1553" t="n">
        <v>2430</v>
      </c>
      <c r="Q1553" t="n">
        <v>2354</v>
      </c>
    </row>
    <row r="1554">
      <c r="D1554" t="n">
        <v>511879</v>
      </c>
      <c r="H1554" t="inlineStr">
        <is>
          <t>ELKAYEM AUTO ANCILLARIES (PVT) LTD.</t>
        </is>
      </c>
      <c r="P1554" t="n">
        <v>2431</v>
      </c>
      <c r="Q1554" t="n">
        <v>2355</v>
      </c>
    </row>
    <row r="1555">
      <c r="D1555" t="n">
        <v>437147</v>
      </c>
      <c r="H1555" t="inlineStr">
        <is>
          <t>ELKAYEM AUTO ANCILLARIES (PVT) LTD.</t>
        </is>
      </c>
      <c r="P1555" t="n">
        <v>2432</v>
      </c>
      <c r="Q1555" t="n">
        <v>2356</v>
      </c>
    </row>
    <row r="1556">
      <c r="D1556" t="n">
        <v>437147</v>
      </c>
      <c r="H1556" t="inlineStr">
        <is>
          <t>ELKAYEM AUTO ANCILLARIES (PVT) LTD.</t>
        </is>
      </c>
      <c r="P1556" t="n">
        <v>2433</v>
      </c>
      <c r="Q1556" t="n">
        <v>2357</v>
      </c>
    </row>
    <row r="1557">
      <c r="D1557" t="n">
        <v>437147</v>
      </c>
      <c r="H1557" t="inlineStr">
        <is>
          <t>ELKAYEM AUTO ANCILLARIES (PVT) LTD.</t>
        </is>
      </c>
      <c r="P1557" t="n">
        <v>2434</v>
      </c>
      <c r="Q1557" t="n">
        <v>2358</v>
      </c>
    </row>
    <row r="1558">
      <c r="D1558" t="n">
        <v>1940307</v>
      </c>
      <c r="H1558" t="inlineStr">
        <is>
          <t>ELKAYEM AUTO ANCILLARIES (PVT) LTD.</t>
        </is>
      </c>
      <c r="P1558" t="n">
        <v>2435</v>
      </c>
      <c r="Q1558" t="n">
        <v>2359</v>
      </c>
    </row>
    <row r="1559">
      <c r="D1559" t="n">
        <v>1940307</v>
      </c>
      <c r="H1559" t="inlineStr">
        <is>
          <t>ELKAYEM AUTO ANCILLARIES (PVT) LTD.</t>
        </is>
      </c>
      <c r="P1559" t="n">
        <v>2436</v>
      </c>
      <c r="Q1559" t="n">
        <v>2360</v>
      </c>
    </row>
    <row r="1560">
      <c r="D1560" t="n">
        <v>1940307</v>
      </c>
      <c r="H1560" t="inlineStr">
        <is>
          <t>ELKAYEM AUTO ANCILLARIES (PVT) LTD.</t>
        </is>
      </c>
      <c r="P1560" t="n">
        <v>2437</v>
      </c>
      <c r="Q1560" t="n">
        <v>2361</v>
      </c>
    </row>
    <row r="1561">
      <c r="D1561" t="n">
        <v>1940307</v>
      </c>
      <c r="H1561" t="inlineStr">
        <is>
          <t>ELKAYEM AUTO ANCILLARIES (PVT) LTD.</t>
        </is>
      </c>
      <c r="P1561" t="n">
        <v>2438</v>
      </c>
      <c r="Q1561" t="n">
        <v>2362</v>
      </c>
    </row>
    <row r="1562">
      <c r="D1562" t="n">
        <v>1940307</v>
      </c>
      <c r="H1562" t="inlineStr">
        <is>
          <t>ELKAYEM AUTO ANCILLARIES (PVT) LTD.</t>
        </is>
      </c>
      <c r="P1562" t="n">
        <v>2439</v>
      </c>
      <c r="Q1562" t="n">
        <v>2363</v>
      </c>
    </row>
    <row r="1563">
      <c r="D1563" t="n">
        <v>1940307</v>
      </c>
      <c r="H1563" t="inlineStr">
        <is>
          <t>ELKAYEM AUTO ANCILLARIES (PVT) LTD.</t>
        </is>
      </c>
      <c r="P1563" t="n">
        <v>2440</v>
      </c>
      <c r="Q1563" t="n">
        <v>2364</v>
      </c>
    </row>
    <row r="1564">
      <c r="D1564" t="n">
        <v>1940307</v>
      </c>
      <c r="H1564" t="inlineStr">
        <is>
          <t>ELKAYEM AUTO ANCILLARIES (PVT) LTD.</t>
        </is>
      </c>
      <c r="P1564" t="n">
        <v>2441</v>
      </c>
      <c r="Q1564" t="n">
        <v>2365</v>
      </c>
    </row>
    <row r="1565">
      <c r="D1565" t="n">
        <v>1940307</v>
      </c>
      <c r="H1565" t="inlineStr">
        <is>
          <t>FREE STOCK</t>
        </is>
      </c>
      <c r="P1565" t="n">
        <v>2442</v>
      </c>
      <c r="Q1565" t="n">
        <v>2366</v>
      </c>
    </row>
    <row r="1566">
      <c r="D1566" t="n">
        <v>1940307</v>
      </c>
      <c r="H1566" t="inlineStr">
        <is>
          <t>FREE STOCK</t>
        </is>
      </c>
      <c r="P1566" t="n">
        <v>2443</v>
      </c>
      <c r="Q1566" t="n">
        <v>2367</v>
      </c>
    </row>
    <row r="1567">
      <c r="D1567" t="n">
        <v>1940307</v>
      </c>
      <c r="H1567" t="inlineStr">
        <is>
          <t>FREE STOCK</t>
        </is>
      </c>
      <c r="P1567" t="n">
        <v>2444</v>
      </c>
      <c r="Q1567" t="n">
        <v>2369</v>
      </c>
    </row>
    <row r="1568">
      <c r="D1568" t="n">
        <v>1940307</v>
      </c>
      <c r="H1568" t="inlineStr">
        <is>
          <t>FREE STOCK</t>
        </is>
      </c>
      <c r="P1568" t="n">
        <v>2445</v>
      </c>
      <c r="Q1568" t="n">
        <v>2370</v>
      </c>
    </row>
    <row r="1569">
      <c r="D1569" t="n">
        <v>2427712</v>
      </c>
      <c r="H1569" t="inlineStr">
        <is>
          <t>Indo Autotech Limited (Unit V)</t>
        </is>
      </c>
      <c r="P1569" t="n">
        <v>2446</v>
      </c>
      <c r="Q1569" t="n">
        <v>2371</v>
      </c>
    </row>
    <row r="1570">
      <c r="D1570" t="n">
        <v>2427712</v>
      </c>
      <c r="H1570" t="inlineStr">
        <is>
          <t>Indo Autotech Limited (Unit V)</t>
        </is>
      </c>
      <c r="P1570" t="n">
        <v>2447</v>
      </c>
      <c r="Q1570" t="n">
        <v>2372</v>
      </c>
    </row>
    <row r="1571">
      <c r="D1571" t="n">
        <v>2427712</v>
      </c>
      <c r="H1571" t="inlineStr">
        <is>
          <t>Indo Autotech Limited (Unit V)</t>
        </is>
      </c>
      <c r="P1571" t="n">
        <v>2448</v>
      </c>
      <c r="Q1571" t="n">
        <v>2373</v>
      </c>
    </row>
    <row r="1572">
      <c r="D1572" t="n">
        <v>2427712</v>
      </c>
      <c r="H1572" t="inlineStr">
        <is>
          <t>Indo Autotech Limited (Unit V)</t>
        </is>
      </c>
      <c r="P1572" t="n">
        <v>2449</v>
      </c>
      <c r="Q1572" t="n">
        <v>2374</v>
      </c>
    </row>
    <row r="1573">
      <c r="D1573" t="n">
        <v>2427712</v>
      </c>
      <c r="H1573" t="inlineStr">
        <is>
          <t>Indo Autotech Limited (Unit V)</t>
        </is>
      </c>
      <c r="P1573" t="n">
        <v>2450</v>
      </c>
      <c r="Q1573" t="n">
        <v>2375</v>
      </c>
    </row>
    <row r="1574">
      <c r="D1574" t="n">
        <v>2427712</v>
      </c>
      <c r="H1574" t="inlineStr">
        <is>
          <t>Indo Autotech Limited (Unit V)</t>
        </is>
      </c>
      <c r="P1574" t="n">
        <v>2451</v>
      </c>
      <c r="Q1574" t="n">
        <v>2376</v>
      </c>
    </row>
    <row r="1575">
      <c r="D1575" t="n">
        <v>2427712</v>
      </c>
      <c r="H1575" t="inlineStr">
        <is>
          <t>Indo Autotech Limited (Unit V)</t>
        </is>
      </c>
      <c r="P1575" t="n">
        <v>2452</v>
      </c>
      <c r="Q1575" t="n">
        <v>2377</v>
      </c>
    </row>
    <row r="1576">
      <c r="D1576" t="n">
        <v>2427712</v>
      </c>
      <c r="H1576" t="inlineStr">
        <is>
          <t>Indo Autotech Limited (Unit V)</t>
        </is>
      </c>
      <c r="P1576" t="n">
        <v>2453</v>
      </c>
      <c r="Q1576" t="n">
        <v>2378</v>
      </c>
    </row>
    <row r="1577">
      <c r="D1577" t="n">
        <v>2427712</v>
      </c>
      <c r="H1577" t="inlineStr">
        <is>
          <t>Indo Autotech Limited (Unit V)</t>
        </is>
      </c>
      <c r="P1577" t="n">
        <v>2454</v>
      </c>
      <c r="Q1577" t="n">
        <v>2379</v>
      </c>
    </row>
    <row r="1578">
      <c r="D1578" t="n">
        <v>1442308</v>
      </c>
      <c r="H1578" t="inlineStr">
        <is>
          <t>Indo Autotech Limited (Unit V)</t>
        </is>
      </c>
      <c r="P1578" t="n">
        <v>2455</v>
      </c>
      <c r="Q1578" t="n">
        <v>2380</v>
      </c>
    </row>
    <row r="1579">
      <c r="D1579" t="n">
        <v>3508993</v>
      </c>
      <c r="H1579" t="inlineStr">
        <is>
          <t>Indo Autotech Limited (Unit V)</t>
        </is>
      </c>
      <c r="P1579" t="n">
        <v>2456</v>
      </c>
      <c r="Q1579" t="n">
        <v>2398</v>
      </c>
    </row>
    <row r="1580">
      <c r="D1580" t="n">
        <v>1300148</v>
      </c>
      <c r="H1580" t="inlineStr">
        <is>
          <t>Indo Autotech Limited (Unit V)</t>
        </is>
      </c>
      <c r="P1580" t="n">
        <v>2457</v>
      </c>
      <c r="Q1580" t="n">
        <v>2399</v>
      </c>
    </row>
    <row r="1581">
      <c r="D1581" t="n">
        <v>1300148</v>
      </c>
      <c r="H1581" t="inlineStr">
        <is>
          <t>Indo Autotech Limited (Unit V)</t>
        </is>
      </c>
      <c r="P1581" t="n">
        <v>2458</v>
      </c>
      <c r="Q1581" t="n">
        <v>2400</v>
      </c>
    </row>
    <row r="1582">
      <c r="D1582" t="n">
        <v>1940309</v>
      </c>
      <c r="H1582" t="inlineStr">
        <is>
          <t>Indo Autotech Limited (Unit V)</t>
        </is>
      </c>
      <c r="P1582" t="n">
        <v>2459</v>
      </c>
      <c r="Q1582" t="n">
        <v>2401</v>
      </c>
    </row>
    <row r="1583">
      <c r="D1583" t="n">
        <v>1940309</v>
      </c>
      <c r="H1583" t="inlineStr">
        <is>
          <t>Indo Autotech Limited (Unit V)</t>
        </is>
      </c>
      <c r="P1583" t="n">
        <v>2460</v>
      </c>
      <c r="Q1583" t="n">
        <v>2402</v>
      </c>
    </row>
    <row r="1584">
      <c r="D1584" t="n">
        <v>1940309</v>
      </c>
      <c r="H1584" t="inlineStr">
        <is>
          <t>Indo Autotech Limited (Unit V)</t>
        </is>
      </c>
      <c r="P1584" t="n">
        <v>2461</v>
      </c>
      <c r="Q1584" t="n">
        <v>2403</v>
      </c>
    </row>
    <row r="1585">
      <c r="D1585" t="n">
        <v>1940309</v>
      </c>
      <c r="H1585" t="inlineStr">
        <is>
          <t>Neel Metal Products Limited</t>
        </is>
      </c>
      <c r="P1585" t="n">
        <v>2462</v>
      </c>
      <c r="Q1585" t="n">
        <v>2404</v>
      </c>
    </row>
    <row r="1586">
      <c r="D1586" t="n">
        <v>1940309</v>
      </c>
      <c r="H1586" t="inlineStr">
        <is>
          <t>FREE STOCK</t>
        </is>
      </c>
      <c r="P1586" t="n">
        <v>2463</v>
      </c>
      <c r="Q1586" t="n">
        <v>2405</v>
      </c>
    </row>
    <row r="1587">
      <c r="D1587" t="n">
        <v>1940309</v>
      </c>
      <c r="H1587" t="inlineStr">
        <is>
          <t>FREE STOCK</t>
        </is>
      </c>
      <c r="P1587" t="n">
        <v>2464</v>
      </c>
      <c r="Q1587" t="n">
        <v>2406</v>
      </c>
    </row>
    <row r="1588">
      <c r="D1588" t="n">
        <v>1940309</v>
      </c>
      <c r="H1588" t="inlineStr">
        <is>
          <t>FREE STOCK</t>
        </is>
      </c>
      <c r="P1588" t="n">
        <v>2465</v>
      </c>
      <c r="Q1588" t="n">
        <v>2407</v>
      </c>
    </row>
    <row r="1589">
      <c r="D1589" t="n">
        <v>1940309</v>
      </c>
      <c r="H1589" t="inlineStr">
        <is>
          <t>FREE STOCK</t>
        </is>
      </c>
      <c r="P1589" t="n">
        <v>2466</v>
      </c>
      <c r="Q1589" t="n">
        <v>2408</v>
      </c>
    </row>
    <row r="1590">
      <c r="D1590" t="n">
        <v>1940309</v>
      </c>
      <c r="H1590" t="inlineStr">
        <is>
          <t>FREE STOCK</t>
        </is>
      </c>
      <c r="P1590" t="n">
        <v>2467</v>
      </c>
      <c r="Q1590" t="n">
        <v>2409</v>
      </c>
    </row>
    <row r="1591">
      <c r="D1591" t="n">
        <v>1940309</v>
      </c>
      <c r="H1591" t="inlineStr">
        <is>
          <t>ELKAYEM AUTO ANCILLARIES (PVT) LTD.</t>
        </is>
      </c>
      <c r="P1591" t="n">
        <v>2468</v>
      </c>
      <c r="Q1591" t="n">
        <v>2410</v>
      </c>
    </row>
    <row r="1592">
      <c r="D1592" t="n">
        <v>437156</v>
      </c>
      <c r="H1592" t="inlineStr">
        <is>
          <t>ELKAYEM AUTO ANCILLARIES (PVT) LTD.</t>
        </is>
      </c>
      <c r="P1592" t="n">
        <v>2469</v>
      </c>
      <c r="Q1592" t="n">
        <v>2411</v>
      </c>
    </row>
    <row r="1593">
      <c r="D1593" t="n">
        <v>477004</v>
      </c>
      <c r="H1593" t="inlineStr">
        <is>
          <t>ELKAYEM AUTO ANCILLARIES (PVT) LTD.</t>
        </is>
      </c>
      <c r="P1593" t="n">
        <v>2470</v>
      </c>
      <c r="Q1593" t="n">
        <v>2412</v>
      </c>
    </row>
    <row r="1594">
      <c r="D1594" t="n">
        <v>1940310</v>
      </c>
      <c r="H1594" t="inlineStr">
        <is>
          <t>ELKAYEM AUTO ANCILLARIES (PVT) LTD.</t>
        </is>
      </c>
      <c r="P1594" t="n">
        <v>2471</v>
      </c>
      <c r="Q1594" t="n">
        <v>2413</v>
      </c>
    </row>
    <row r="1595">
      <c r="D1595" t="n">
        <v>1940310</v>
      </c>
      <c r="H1595" t="inlineStr">
        <is>
          <t>ELKAYEM AUTO ANCILLARIES (PVT) LTD.</t>
        </is>
      </c>
      <c r="P1595" t="n">
        <v>2472</v>
      </c>
      <c r="Q1595" t="n">
        <v>2414</v>
      </c>
    </row>
    <row r="1596">
      <c r="D1596" t="n">
        <v>1940310</v>
      </c>
      <c r="H1596" t="inlineStr">
        <is>
          <t>ELKAYEM AUTO ANCILLARIES (PVT) LTD.</t>
        </is>
      </c>
      <c r="P1596" t="n">
        <v>2473</v>
      </c>
      <c r="Q1596" t="n">
        <v>2415</v>
      </c>
    </row>
    <row r="1597">
      <c r="D1597" t="n">
        <v>1940310</v>
      </c>
      <c r="H1597" t="inlineStr">
        <is>
          <t>ELKAYEM AUTO ANCILLARIES (PVT) LTD.</t>
        </is>
      </c>
      <c r="P1597" t="n">
        <v>2474</v>
      </c>
      <c r="Q1597" t="n">
        <v>2416</v>
      </c>
    </row>
    <row r="1598">
      <c r="D1598" t="n">
        <v>1940310</v>
      </c>
      <c r="H1598" t="inlineStr">
        <is>
          <t>ELKAYEM AUTO ANCILLARIES (PVT) LTD.</t>
        </is>
      </c>
      <c r="P1598" t="n">
        <v>2475</v>
      </c>
      <c r="Q1598" t="n">
        <v>2417</v>
      </c>
    </row>
    <row r="1599">
      <c r="D1599" t="n">
        <v>1940310</v>
      </c>
      <c r="H1599" t="inlineStr">
        <is>
          <t>ELKAYEM AUTO ANCILLARIES (PVT) LTD.</t>
        </is>
      </c>
      <c r="P1599" t="n">
        <v>2476</v>
      </c>
      <c r="Q1599" t="n">
        <v>2418</v>
      </c>
    </row>
    <row r="1600">
      <c r="D1600" t="n">
        <v>2427711</v>
      </c>
      <c r="H1600" t="inlineStr">
        <is>
          <t>ELKAYEM AUTO ANCILLARIES (PVT) LTD.</t>
        </is>
      </c>
      <c r="P1600" t="n">
        <v>2478</v>
      </c>
      <c r="Q1600" t="n">
        <v>2419</v>
      </c>
    </row>
    <row r="1601">
      <c r="D1601" t="n">
        <v>2427711</v>
      </c>
      <c r="H1601" t="inlineStr">
        <is>
          <t>ELKAYEM AUTO ANCILLARIES (PVT) LTD.</t>
        </is>
      </c>
      <c r="P1601" t="n">
        <v>2479</v>
      </c>
      <c r="Q1601" t="n">
        <v>2420</v>
      </c>
    </row>
    <row r="1602">
      <c r="D1602" t="n">
        <v>2427711</v>
      </c>
      <c r="H1602" t="inlineStr">
        <is>
          <t>ELKAYEM AUTO ANCILLARIES (PVT) LTD.</t>
        </is>
      </c>
      <c r="P1602" t="n">
        <v>2480</v>
      </c>
      <c r="Q1602" t="n">
        <v>2421</v>
      </c>
    </row>
    <row r="1603">
      <c r="D1603" t="n">
        <v>2427711</v>
      </c>
      <c r="H1603" t="inlineStr">
        <is>
          <t>ELKAYEM AUTO ANCILLARIES (PVT) LTD.</t>
        </is>
      </c>
      <c r="P1603" t="n">
        <v>2481</v>
      </c>
      <c r="Q1603" t="n">
        <v>2422</v>
      </c>
    </row>
    <row r="1604">
      <c r="D1604" t="n">
        <v>2427711</v>
      </c>
      <c r="H1604" t="inlineStr">
        <is>
          <t>ELKAYEM AUTO ANCILLARIES (PVT) LTD.</t>
        </is>
      </c>
      <c r="P1604" t="n">
        <v>2482</v>
      </c>
      <c r="Q1604" t="n">
        <v>2423</v>
      </c>
    </row>
    <row r="1605">
      <c r="D1605" t="n">
        <v>2427711</v>
      </c>
      <c r="H1605" t="inlineStr">
        <is>
          <t>ELKAYEM AUTO ANCILLARIES (PVT) LTD.</t>
        </is>
      </c>
      <c r="P1605" t="n">
        <v>2483</v>
      </c>
      <c r="Q1605" t="n">
        <v>2424</v>
      </c>
    </row>
    <row r="1606">
      <c r="D1606" t="n">
        <v>2427711</v>
      </c>
      <c r="H1606" t="inlineStr">
        <is>
          <t>ELKAYEM AUTO ANCILLARIES (PVT) LTD.</t>
        </is>
      </c>
      <c r="P1606" t="n">
        <v>2484</v>
      </c>
      <c r="Q1606" t="n">
        <v>2425</v>
      </c>
    </row>
    <row r="1607">
      <c r="D1607" t="n">
        <v>2427711</v>
      </c>
      <c r="H1607" t="inlineStr">
        <is>
          <t>ELKAYEM AUTO ANCILLARIES (PVT) LTD.</t>
        </is>
      </c>
      <c r="P1607" t="n">
        <v>2485</v>
      </c>
      <c r="Q1607" t="n">
        <v>2426</v>
      </c>
    </row>
    <row r="1608">
      <c r="D1608" t="n">
        <v>2427711</v>
      </c>
      <c r="H1608" t="inlineStr">
        <is>
          <t>ELKAYEM AUTO ANCILLARIES (PVT) LTD.</t>
        </is>
      </c>
      <c r="P1608" t="n">
        <v>2486</v>
      </c>
      <c r="Q1608" t="n">
        <v>2427</v>
      </c>
    </row>
    <row r="1609">
      <c r="D1609" t="n">
        <v>2427711</v>
      </c>
      <c r="H1609" t="inlineStr">
        <is>
          <t>ELKAYEM AUTO ANCILLARIES (PVT) LTD.</t>
        </is>
      </c>
      <c r="P1609" t="n">
        <v>2487</v>
      </c>
      <c r="Q1609" t="n">
        <v>2428</v>
      </c>
    </row>
    <row r="1610">
      <c r="D1610" t="n">
        <v>2427711</v>
      </c>
      <c r="H1610" t="inlineStr">
        <is>
          <t>ELKAYEM AUTO ANCILLARIES (PVT) LTD.</t>
        </is>
      </c>
      <c r="P1610" t="n">
        <v>2488</v>
      </c>
      <c r="Q1610" t="n">
        <v>2429</v>
      </c>
    </row>
    <row r="1611">
      <c r="D1611" t="n">
        <v>2427711</v>
      </c>
      <c r="H1611" t="inlineStr">
        <is>
          <t>ELKAYEM AUTO ANCILLARIES (PVT) LTD.</t>
        </is>
      </c>
      <c r="P1611" t="n">
        <v>2489</v>
      </c>
      <c r="Q1611" t="n">
        <v>2430</v>
      </c>
    </row>
    <row r="1612">
      <c r="D1612" t="n">
        <v>3781637</v>
      </c>
      <c r="H1612" t="inlineStr">
        <is>
          <t>ELKAYEM AUTO ANCILLARIES (PVT) LTD.</t>
        </is>
      </c>
      <c r="P1612" t="n">
        <v>2490</v>
      </c>
      <c r="Q1612" t="n">
        <v>2431</v>
      </c>
    </row>
    <row r="1613">
      <c r="D1613" t="n">
        <v>1940312</v>
      </c>
      <c r="H1613" t="inlineStr">
        <is>
          <t>ELKAYEM AUTO ANCILLARIES (PVT) LTD.</t>
        </is>
      </c>
      <c r="P1613" t="n">
        <v>2491</v>
      </c>
      <c r="Q1613" t="n">
        <v>2432</v>
      </c>
    </row>
    <row r="1614">
      <c r="D1614" t="n">
        <v>1940312</v>
      </c>
      <c r="H1614" t="inlineStr">
        <is>
          <t>ELKAYEM AUTO ANCILLARIES (PVT) LTD.</t>
        </is>
      </c>
      <c r="P1614" t="n">
        <v>2492</v>
      </c>
      <c r="Q1614" t="n">
        <v>2433</v>
      </c>
    </row>
    <row r="1615">
      <c r="D1615" t="n">
        <v>1940312</v>
      </c>
      <c r="H1615" t="inlineStr">
        <is>
          <t>ELKAYEM AUTO ANCILLARIES (PVT) LTD.</t>
        </is>
      </c>
      <c r="Q1615" t="n">
        <v>2434</v>
      </c>
    </row>
    <row r="1616">
      <c r="D1616" t="n">
        <v>1940312</v>
      </c>
      <c r="H1616" t="inlineStr">
        <is>
          <t>Neel Metal Products Limited</t>
        </is>
      </c>
      <c r="Q1616" t="n">
        <v>2435</v>
      </c>
    </row>
    <row r="1617">
      <c r="D1617" t="n">
        <v>1940312</v>
      </c>
      <c r="H1617" t="inlineStr">
        <is>
          <t>Neel Metal Products Limited</t>
        </is>
      </c>
      <c r="Q1617" t="n">
        <v>2436</v>
      </c>
    </row>
    <row r="1618">
      <c r="D1618" t="n">
        <v>1940312</v>
      </c>
      <c r="H1618" t="inlineStr">
        <is>
          <t>Neel Metal Products Limited</t>
        </is>
      </c>
      <c r="Q1618" t="n">
        <v>2437</v>
      </c>
    </row>
    <row r="1619">
      <c r="D1619" t="n">
        <v>1940312</v>
      </c>
      <c r="H1619" t="inlineStr">
        <is>
          <t>Neel Metal Products Limited</t>
        </is>
      </c>
      <c r="Q1619" t="n">
        <v>2438</v>
      </c>
    </row>
    <row r="1620">
      <c r="D1620" t="n">
        <v>1940312</v>
      </c>
      <c r="H1620" t="inlineStr">
        <is>
          <t>Neel Metal Products Limited</t>
        </is>
      </c>
      <c r="Q1620" t="n">
        <v>2439</v>
      </c>
    </row>
    <row r="1621">
      <c r="D1621" t="n">
        <v>1940312</v>
      </c>
      <c r="H1621" t="inlineStr">
        <is>
          <t>Neel Metal Products Limited</t>
        </is>
      </c>
      <c r="Q1621" t="n">
        <v>2440</v>
      </c>
    </row>
    <row r="1622">
      <c r="D1622" t="n">
        <v>1940312</v>
      </c>
      <c r="H1622" t="inlineStr">
        <is>
          <t>Neel Metal Products Limited</t>
        </is>
      </c>
      <c r="Q1622" t="n">
        <v>2441</v>
      </c>
    </row>
    <row r="1623">
      <c r="D1623" t="n">
        <v>1940312</v>
      </c>
      <c r="H1623" t="inlineStr">
        <is>
          <t>Neel Metal Products Limited</t>
        </is>
      </c>
      <c r="Q1623" t="n">
        <v>2442</v>
      </c>
    </row>
    <row r="1624">
      <c r="D1624" t="n">
        <v>1940312</v>
      </c>
      <c r="H1624" t="inlineStr">
        <is>
          <t>Neel Metal Products Limited</t>
        </is>
      </c>
      <c r="Q1624" t="n">
        <v>2443</v>
      </c>
    </row>
    <row r="1625">
      <c r="D1625" t="n">
        <v>1940312</v>
      </c>
      <c r="H1625" t="inlineStr">
        <is>
          <t>Neel Metal Products Limited</t>
        </is>
      </c>
      <c r="Q1625" t="n">
        <v>2444</v>
      </c>
    </row>
    <row r="1626">
      <c r="D1626" t="n">
        <v>1940312</v>
      </c>
      <c r="H1626" t="inlineStr">
        <is>
          <t>Neel Metal Products Limited</t>
        </is>
      </c>
      <c r="Q1626" t="n">
        <v>2445</v>
      </c>
    </row>
    <row r="1627">
      <c r="D1627" t="n">
        <v>1940312</v>
      </c>
      <c r="H1627" t="inlineStr">
        <is>
          <t>Neel Metal Products Limited</t>
        </is>
      </c>
      <c r="Q1627" t="n">
        <v>2446</v>
      </c>
    </row>
    <row r="1628">
      <c r="D1628" t="n">
        <v>1940312</v>
      </c>
      <c r="H1628" t="inlineStr">
        <is>
          <t>RAJSRIYA AUTOMOTIVE IND. P LTD</t>
        </is>
      </c>
      <c r="Q1628" t="n">
        <v>2447</v>
      </c>
    </row>
    <row r="1629">
      <c r="D1629" t="n">
        <v>1940312</v>
      </c>
      <c r="H1629" t="inlineStr">
        <is>
          <t>RAJSRIYA AUTOMOTIVE IND. P LTD</t>
        </is>
      </c>
      <c r="Q1629" t="n">
        <v>2448</v>
      </c>
    </row>
    <row r="1630">
      <c r="D1630" t="n">
        <v>1940312</v>
      </c>
      <c r="H1630" t="inlineStr">
        <is>
          <t>RAJSRIYA AUTOMOTIVE IND. P LTD</t>
        </is>
      </c>
      <c r="Q1630" t="n">
        <v>2449</v>
      </c>
    </row>
    <row r="1631">
      <c r="D1631" t="n">
        <v>437154</v>
      </c>
      <c r="H1631" t="inlineStr">
        <is>
          <t>RAJSRIYA AUTOMOTIVE IND. P LTD</t>
        </is>
      </c>
      <c r="Q1631" t="n">
        <v>2450</v>
      </c>
    </row>
    <row r="1632">
      <c r="D1632" t="n">
        <v>1940313</v>
      </c>
      <c r="H1632" t="inlineStr">
        <is>
          <t>RAJSRIYA AUTOMOTIVE IND. P LTD</t>
        </is>
      </c>
      <c r="Q1632" t="n">
        <v>2451</v>
      </c>
    </row>
    <row r="1633">
      <c r="D1633" t="n">
        <v>1940313</v>
      </c>
      <c r="H1633" t="inlineStr">
        <is>
          <t>RAJSRIYA AUTOMOTIVE IND. P LTD</t>
        </is>
      </c>
      <c r="Q1633" t="n">
        <v>2452</v>
      </c>
    </row>
    <row r="1634">
      <c r="D1634" t="n">
        <v>1940313</v>
      </c>
      <c r="H1634" t="inlineStr">
        <is>
          <t>RAJSRIYA AUTOMOTIVE IND. P LTD</t>
        </is>
      </c>
      <c r="Q1634" t="n">
        <v>2453</v>
      </c>
    </row>
    <row r="1635">
      <c r="D1635" t="n">
        <v>1940313</v>
      </c>
      <c r="H1635" t="inlineStr">
        <is>
          <t>RAJSRIYA AUTOMOTIVE IND. P LTD</t>
        </is>
      </c>
      <c r="Q1635" t="n">
        <v>2454</v>
      </c>
    </row>
    <row r="1636">
      <c r="D1636" t="n">
        <v>1940313</v>
      </c>
      <c r="H1636" t="inlineStr">
        <is>
          <t>RAJSRIYA AUTOMOTIVE IND. P LTD</t>
        </is>
      </c>
      <c r="Q1636" t="n">
        <v>2455</v>
      </c>
    </row>
    <row r="1637">
      <c r="D1637" t="n">
        <v>1940313</v>
      </c>
      <c r="H1637" t="inlineStr">
        <is>
          <t>RAJSRIYA AUTOMOTIVE IND. P LTD</t>
        </is>
      </c>
      <c r="Q1637" t="n">
        <v>2456</v>
      </c>
    </row>
    <row r="1638">
      <c r="D1638" t="n">
        <v>1940313</v>
      </c>
      <c r="H1638" t="inlineStr">
        <is>
          <t>RAJSRIYA AUTOMOTIVE IND. P LTD</t>
        </is>
      </c>
      <c r="Q1638" t="n">
        <v>2457</v>
      </c>
    </row>
    <row r="1639">
      <c r="D1639" t="n">
        <v>1940313</v>
      </c>
      <c r="H1639" t="inlineStr">
        <is>
          <t>RAJSRIYA AUTOMOTIVE IND. P LTD</t>
        </is>
      </c>
      <c r="Q1639" t="n">
        <v>2458</v>
      </c>
    </row>
    <row r="1640">
      <c r="D1640" t="n">
        <v>1940313</v>
      </c>
      <c r="H1640" t="inlineStr">
        <is>
          <t>RAJSRIYA AUTOMOTIVE IND. P LTD</t>
        </is>
      </c>
      <c r="Q1640" t="n">
        <v>2459</v>
      </c>
    </row>
    <row r="1641">
      <c r="D1641" t="n">
        <v>1940313</v>
      </c>
      <c r="H1641" t="inlineStr">
        <is>
          <t>RAJSRIYA AUTOMOTIVE IND. P LTD</t>
        </is>
      </c>
      <c r="Q1641" t="n">
        <v>2460</v>
      </c>
    </row>
    <row r="1642">
      <c r="D1642" t="n">
        <v>1940313</v>
      </c>
      <c r="H1642" t="inlineStr">
        <is>
          <t>RAJSRIYA AUTOMOTIVE IND. P LTD</t>
        </is>
      </c>
      <c r="Q1642" t="n">
        <v>2461</v>
      </c>
    </row>
    <row r="1643">
      <c r="D1643" t="n">
        <v>1940313</v>
      </c>
      <c r="H1643" t="inlineStr">
        <is>
          <t>RAJSRIYA AUTOMOTIVE IND. P LTD</t>
        </is>
      </c>
      <c r="Q1643" t="n">
        <v>2462</v>
      </c>
    </row>
    <row r="1644">
      <c r="D1644" t="n">
        <v>508988</v>
      </c>
      <c r="H1644" t="inlineStr">
        <is>
          <t>SRIKAM HITECH ENGINEERING PRIVATE L</t>
        </is>
      </c>
      <c r="Q1644" t="n">
        <v>2463</v>
      </c>
    </row>
    <row r="1645">
      <c r="D1645" t="n">
        <v>508988</v>
      </c>
      <c r="H1645" t="inlineStr">
        <is>
          <t>SRIKAM HITECH ENGINEERING PRIVATE L</t>
        </is>
      </c>
      <c r="Q1645" t="n">
        <v>2464</v>
      </c>
    </row>
    <row r="1646">
      <c r="D1646" t="n">
        <v>508988</v>
      </c>
      <c r="H1646" t="inlineStr">
        <is>
          <t>SRIKAM HITECH ENGINEERING PRIVATE L</t>
        </is>
      </c>
      <c r="Q1646" t="n">
        <v>2465</v>
      </c>
    </row>
    <row r="1647">
      <c r="D1647" t="n">
        <v>508988</v>
      </c>
      <c r="H1647" t="inlineStr">
        <is>
          <t>SRIKAM HITECH ENGINEERING PRIVATE L</t>
        </is>
      </c>
      <c r="Q1647" t="n">
        <v>2466</v>
      </c>
    </row>
    <row r="1648">
      <c r="D1648" t="n">
        <v>1940318</v>
      </c>
      <c r="H1648" t="inlineStr">
        <is>
          <t>SRIKAM HITECH ENGINEERING PRIVATE L</t>
        </is>
      </c>
      <c r="Q1648" t="n">
        <v>2467</v>
      </c>
    </row>
    <row r="1649">
      <c r="D1649" t="n">
        <v>1940318</v>
      </c>
      <c r="H1649" t="inlineStr">
        <is>
          <t>SRIKAM HITECH ENGINEERING PRIVATE L</t>
        </is>
      </c>
      <c r="Q1649" t="n">
        <v>2468</v>
      </c>
    </row>
    <row r="1650">
      <c r="D1650" t="n">
        <v>1940318</v>
      </c>
      <c r="H1650" t="inlineStr">
        <is>
          <t>SRIKAM HITECH ENGINEERING PRIVATE L</t>
        </is>
      </c>
      <c r="Q1650" t="n">
        <v>2469</v>
      </c>
    </row>
    <row r="1651">
      <c r="D1651" t="n">
        <v>1940318</v>
      </c>
      <c r="H1651" t="inlineStr">
        <is>
          <t>SRIKAM HITECH ENGINEERING PRIVATE L</t>
        </is>
      </c>
      <c r="Q1651" t="n">
        <v>2470</v>
      </c>
    </row>
    <row r="1652">
      <c r="D1652" t="n">
        <v>437148</v>
      </c>
      <c r="H1652" t="inlineStr">
        <is>
          <t>SRIKAM HITECH ENGINEERING PRIVATE L</t>
        </is>
      </c>
      <c r="Q1652" t="n">
        <v>2471</v>
      </c>
    </row>
    <row r="1653">
      <c r="D1653" t="n">
        <v>2320564</v>
      </c>
      <c r="H1653" t="inlineStr">
        <is>
          <t>SRIKAM HITECH ENGINEERING PRIVATE L</t>
        </is>
      </c>
      <c r="Q1653" t="n">
        <v>2472</v>
      </c>
    </row>
    <row r="1654">
      <c r="D1654" t="n">
        <v>508992</v>
      </c>
      <c r="H1654" t="inlineStr">
        <is>
          <t>SRIKAM HITECH ENGINEERING PRIVATE L</t>
        </is>
      </c>
      <c r="Q1654" t="n">
        <v>2473</v>
      </c>
    </row>
    <row r="1655">
      <c r="D1655" t="n">
        <v>513789</v>
      </c>
      <c r="H1655" t="inlineStr">
        <is>
          <t>SRIKAM HITECH ENGINEERING PRIVATE L</t>
        </is>
      </c>
      <c r="Q1655" t="n">
        <v>2474</v>
      </c>
    </row>
    <row r="1656">
      <c r="D1656" t="n">
        <v>1940324</v>
      </c>
      <c r="H1656" t="inlineStr">
        <is>
          <t>SRIKAM HITECH ENGINEERING PRIVATE L</t>
        </is>
      </c>
      <c r="Q1656" t="n">
        <v>2475</v>
      </c>
    </row>
    <row r="1657">
      <c r="D1657" t="n">
        <v>1940324</v>
      </c>
      <c r="H1657" t="inlineStr">
        <is>
          <t>SRIKAM HITECH ENGINEERING PRIVATE L</t>
        </is>
      </c>
      <c r="Q1657" t="n">
        <v>2476</v>
      </c>
    </row>
    <row r="1658">
      <c r="D1658" t="n">
        <v>1940324</v>
      </c>
      <c r="H1658" t="inlineStr">
        <is>
          <t>SRIKAM HITECH ENGINEERING PRIVATE L</t>
        </is>
      </c>
      <c r="Q1658" t="n">
        <v>2477</v>
      </c>
    </row>
    <row r="1659">
      <c r="D1659" t="n">
        <v>1940324</v>
      </c>
      <c r="H1659" t="inlineStr">
        <is>
          <t>SRIKAM HITECH ENGINEERING PRIVATE L</t>
        </is>
      </c>
      <c r="Q1659" t="n">
        <v>2478</v>
      </c>
    </row>
    <row r="1660">
      <c r="D1660" t="n">
        <v>1940324</v>
      </c>
      <c r="H1660" t="inlineStr">
        <is>
          <t>SRIKAM HITECH ENGINEERING PRIVATE L</t>
        </is>
      </c>
      <c r="Q1660" t="n">
        <v>2479</v>
      </c>
    </row>
    <row r="1661">
      <c r="D1661" t="n">
        <v>1940324</v>
      </c>
      <c r="H1661" t="inlineStr">
        <is>
          <t>SRIKAM HITECH ENGINEERING PRIVATE L</t>
        </is>
      </c>
      <c r="Q1661" t="n">
        <v>2480</v>
      </c>
    </row>
    <row r="1662">
      <c r="D1662" t="n">
        <v>437150</v>
      </c>
      <c r="H1662" t="inlineStr">
        <is>
          <t>SRIKAM HITECH ENGINEERING PRIVATE L</t>
        </is>
      </c>
      <c r="Q1662" t="n">
        <v>2481</v>
      </c>
    </row>
    <row r="1663">
      <c r="D1663" t="n">
        <v>511878</v>
      </c>
      <c r="H1663" t="inlineStr">
        <is>
          <t>SRIKAM HITECH ENGINEERING PRIVATE L</t>
        </is>
      </c>
      <c r="Q1663" t="n">
        <v>2482</v>
      </c>
    </row>
    <row r="1664">
      <c r="D1664" t="n">
        <v>511878</v>
      </c>
      <c r="H1664" t="inlineStr">
        <is>
          <t>SRIKAM HITECH ENGINEERING PRIVATE L</t>
        </is>
      </c>
      <c r="Q1664" t="n">
        <v>2483</v>
      </c>
    </row>
    <row r="1665">
      <c r="D1665" t="n">
        <v>511878</v>
      </c>
      <c r="H1665" t="inlineStr">
        <is>
          <t>SRIKAM HITECH ENGINEERING PRIVATE L</t>
        </is>
      </c>
      <c r="Q1665" t="n">
        <v>2484</v>
      </c>
    </row>
    <row r="1666">
      <c r="D1666" t="n">
        <v>1940325</v>
      </c>
      <c r="H1666" t="inlineStr">
        <is>
          <t>SRIKAM HITECH ENGINEERING PRIVATE L</t>
        </is>
      </c>
      <c r="Q1666" t="n">
        <v>2485</v>
      </c>
    </row>
    <row r="1667">
      <c r="D1667" t="n">
        <v>1940325</v>
      </c>
      <c r="H1667" t="inlineStr">
        <is>
          <t>SRIKAM HITECH ENGINEERING PRIVATE L</t>
        </is>
      </c>
      <c r="Q1667" t="n">
        <v>2486</v>
      </c>
    </row>
    <row r="1668">
      <c r="D1668" t="n">
        <v>1940325</v>
      </c>
      <c r="H1668" t="inlineStr">
        <is>
          <t>SRIKAM HITECH ENGINEERING PRIVATE L</t>
        </is>
      </c>
      <c r="Q1668" t="n">
        <v>2487</v>
      </c>
    </row>
    <row r="1669">
      <c r="D1669" t="n">
        <v>1940325</v>
      </c>
      <c r="H1669" t="inlineStr">
        <is>
          <t>SRIKAM HITECH ENGINEERING PRIVATE L</t>
        </is>
      </c>
      <c r="Q1669" t="n">
        <v>2488</v>
      </c>
    </row>
    <row r="1670">
      <c r="D1670" t="n">
        <v>1940325</v>
      </c>
      <c r="H1670" t="inlineStr">
        <is>
          <t>SRIKAM HITECH ENGINEERING PRIVATE L</t>
        </is>
      </c>
      <c r="Q1670" t="n">
        <v>2489</v>
      </c>
    </row>
    <row r="1671">
      <c r="D1671" t="n">
        <v>1940325</v>
      </c>
      <c r="H1671" t="inlineStr">
        <is>
          <t>SRIKAM HITECH ENGINEERING PRIVATE L</t>
        </is>
      </c>
      <c r="Q1671" t="n">
        <v>2490</v>
      </c>
    </row>
    <row r="1672">
      <c r="D1672" t="n">
        <v>1940325</v>
      </c>
      <c r="H1672" t="inlineStr">
        <is>
          <t>SRIKAM HITECH ENGINEERING PRIVATE L</t>
        </is>
      </c>
      <c r="Q1672" t="n">
        <v>2491</v>
      </c>
    </row>
    <row r="1673">
      <c r="D1673" t="n">
        <v>1940325</v>
      </c>
      <c r="H1673" t="inlineStr">
        <is>
          <t>SRIKAM HITECH ENGINEERING PRIVATE L</t>
        </is>
      </c>
      <c r="Q1673" t="n">
        <v>2492</v>
      </c>
    </row>
    <row r="1674">
      <c r="D1674" t="n">
        <v>1940325</v>
      </c>
      <c r="H1674" t="inlineStr">
        <is>
          <t>SRIKAM HITECH ENGINEERING PRIVATE L</t>
        </is>
      </c>
      <c r="Q1674" t="n">
        <v>2493</v>
      </c>
    </row>
    <row r="1675">
      <c r="D1675" t="n">
        <v>1940325</v>
      </c>
      <c r="H1675" t="inlineStr">
        <is>
          <t>SRIKAM HITECH ENGINEERING PRIVATE L</t>
        </is>
      </c>
      <c r="Q1675" t="n">
        <v>2494</v>
      </c>
    </row>
    <row r="1676">
      <c r="D1676" t="n">
        <v>3507077</v>
      </c>
      <c r="H1676" t="inlineStr">
        <is>
          <t>SRIKAM HITECH ENGINEERING PRIVATE L</t>
        </is>
      </c>
      <c r="Q1676" t="n">
        <v>2495</v>
      </c>
    </row>
    <row r="1677">
      <c r="D1677" t="n">
        <v>3507077</v>
      </c>
      <c r="H1677" t="inlineStr">
        <is>
          <t>SRIKAM HITECH ENGINEERING PRIVATE L</t>
        </is>
      </c>
      <c r="Q1677" t="n">
        <v>2496</v>
      </c>
    </row>
    <row r="1678">
      <c r="D1678" t="n">
        <v>3507077</v>
      </c>
      <c r="H1678" t="inlineStr">
        <is>
          <t>SRIKAM HITECH ENGINEERING PRIVATE L</t>
        </is>
      </c>
      <c r="Q1678" t="n">
        <v>2497</v>
      </c>
    </row>
    <row r="1679">
      <c r="D1679" t="n">
        <v>437144</v>
      </c>
      <c r="H1679" t="inlineStr">
        <is>
          <t>SRIKAM HITECH ENGINEERING PRIVATE L</t>
        </is>
      </c>
      <c r="Q1679" t="n">
        <v>2498</v>
      </c>
    </row>
    <row r="1680">
      <c r="D1680" t="n">
        <v>437144</v>
      </c>
      <c r="H1680" t="inlineStr">
        <is>
          <t>SRIKAM HITECH ENGINEERING PRIVATE L</t>
        </is>
      </c>
      <c r="Q1680" t="n">
        <v>2499</v>
      </c>
    </row>
    <row r="1681">
      <c r="D1681" t="n">
        <v>437144</v>
      </c>
      <c r="H1681" t="inlineStr">
        <is>
          <t>SRIKAM HITECH ENGINEERING PRIVATE L</t>
        </is>
      </c>
      <c r="Q1681" t="n">
        <v>2500</v>
      </c>
    </row>
    <row r="1682">
      <c r="D1682" t="n">
        <v>1940327</v>
      </c>
      <c r="H1682" t="inlineStr">
        <is>
          <t>SRIKAM HITECH ENGINEERING PRIVATE L</t>
        </is>
      </c>
      <c r="Q1682" t="n">
        <v>2501</v>
      </c>
    </row>
    <row r="1683">
      <c r="D1683" t="n">
        <v>1940327</v>
      </c>
      <c r="H1683" t="inlineStr">
        <is>
          <t>SRIKAM HITECH ENGINEERING PRIVATE L</t>
        </is>
      </c>
      <c r="Q1683" t="n">
        <v>2502</v>
      </c>
    </row>
    <row r="1684">
      <c r="D1684" t="n">
        <v>1940327</v>
      </c>
      <c r="H1684" t="inlineStr">
        <is>
          <t>SRIKAM HITECH ENGINEERING PRIVATE L</t>
        </is>
      </c>
    </row>
    <row r="1685">
      <c r="D1685" t="n">
        <v>3508521</v>
      </c>
      <c r="H1685" t="inlineStr">
        <is>
          <t>SRIKAM HITECH ENGINEERING PRIVATE L</t>
        </is>
      </c>
    </row>
    <row r="1686">
      <c r="D1686" t="n">
        <v>3508521</v>
      </c>
      <c r="H1686" t="inlineStr">
        <is>
          <t>SRIKAM HITECH ENGINEERING PRIVATE L</t>
        </is>
      </c>
    </row>
    <row r="1687">
      <c r="D1687" t="n">
        <v>3508521</v>
      </c>
      <c r="H1687" t="inlineStr">
        <is>
          <t>SRIKAM HITECH ENGINEERING PRIVATE L</t>
        </is>
      </c>
    </row>
    <row r="1688">
      <c r="D1688" t="n">
        <v>1940329</v>
      </c>
      <c r="H1688" t="inlineStr">
        <is>
          <t>SRIKAM HITECH ENGINEERING PRIVATE L</t>
        </is>
      </c>
    </row>
    <row r="1689">
      <c r="D1689" t="n">
        <v>1940329</v>
      </c>
      <c r="H1689" t="inlineStr">
        <is>
          <t>SRIKAM HITECH ENGINEERING PRIVATE L</t>
        </is>
      </c>
    </row>
    <row r="1690">
      <c r="D1690" t="n">
        <v>1940329</v>
      </c>
      <c r="H1690" t="inlineStr">
        <is>
          <t>SRIKAM HITECH ENGINEERING PRIVATE L</t>
        </is>
      </c>
    </row>
    <row r="1691">
      <c r="D1691" t="n">
        <v>1940329</v>
      </c>
      <c r="H1691" t="inlineStr">
        <is>
          <t>Indo Autotech Limited (Unit V)</t>
        </is>
      </c>
    </row>
    <row r="1692">
      <c r="D1692" t="n">
        <v>1940329</v>
      </c>
      <c r="H1692" t="inlineStr">
        <is>
          <t>Indo Autotech Limited (Unit V)</t>
        </is>
      </c>
    </row>
    <row r="1693">
      <c r="D1693" t="n">
        <v>1940329</v>
      </c>
      <c r="H1693" t="inlineStr">
        <is>
          <t>Indo Autotech Limited (Unit V)</t>
        </is>
      </c>
    </row>
    <row r="1694">
      <c r="D1694" t="n">
        <v>1940329</v>
      </c>
      <c r="H1694" t="inlineStr">
        <is>
          <t>Indo Autotech Limited (Unit V)</t>
        </is>
      </c>
    </row>
    <row r="1695">
      <c r="D1695" t="n">
        <v>1940329</v>
      </c>
      <c r="H1695" t="inlineStr">
        <is>
          <t>Indo Autotech Limited (Unit V)</t>
        </is>
      </c>
    </row>
    <row r="1696">
      <c r="D1696" t="n">
        <v>1940329</v>
      </c>
      <c r="H1696" t="inlineStr">
        <is>
          <t>Indo Autotech Limited (Unit V)</t>
        </is>
      </c>
    </row>
    <row r="1697">
      <c r="D1697" t="n">
        <v>1372704</v>
      </c>
      <c r="H1697" t="inlineStr">
        <is>
          <t>Indo Autotech Limited (Unit V)</t>
        </is>
      </c>
    </row>
    <row r="1698">
      <c r="D1698" t="n">
        <v>1940335</v>
      </c>
      <c r="H1698" t="inlineStr">
        <is>
          <t>Indo Autotech Limited (Unit V)</t>
        </is>
      </c>
    </row>
    <row r="1699">
      <c r="D1699" t="n">
        <v>1940335</v>
      </c>
      <c r="H1699" t="inlineStr">
        <is>
          <t>Indo Autotech Limited (Unit V)</t>
        </is>
      </c>
    </row>
    <row r="1700">
      <c r="D1700" t="n">
        <v>1940335</v>
      </c>
      <c r="H1700" t="inlineStr">
        <is>
          <t>Narasipur Auto Component(P)Ltd</t>
        </is>
      </c>
    </row>
    <row r="1701">
      <c r="D1701" t="n">
        <v>1940335</v>
      </c>
      <c r="H1701" t="inlineStr">
        <is>
          <t>Narasipur Auto Component(P)Ltd</t>
        </is>
      </c>
    </row>
    <row r="1702">
      <c r="D1702" t="n">
        <v>3500582</v>
      </c>
      <c r="H1702" t="inlineStr">
        <is>
          <t>Narasipur Auto Component(P)Ltd</t>
        </is>
      </c>
    </row>
    <row r="1703">
      <c r="D1703" t="n">
        <v>3500582</v>
      </c>
      <c r="H1703" t="inlineStr">
        <is>
          <t>Narasipur Auto Component(P)Ltd</t>
        </is>
      </c>
    </row>
    <row r="1704">
      <c r="D1704" t="n">
        <v>3500582</v>
      </c>
      <c r="H1704" t="inlineStr">
        <is>
          <t>Narasipur Auto Component(P)Ltd</t>
        </is>
      </c>
    </row>
    <row r="1705">
      <c r="D1705" t="n">
        <v>3500582</v>
      </c>
      <c r="H1705" t="inlineStr">
        <is>
          <t>Narasipur Auto Component(P)Ltd</t>
        </is>
      </c>
    </row>
    <row r="1706">
      <c r="D1706" t="n">
        <v>3500582</v>
      </c>
      <c r="H1706" t="inlineStr">
        <is>
          <t>Narasipur Auto Component(P)Ltd</t>
        </is>
      </c>
    </row>
    <row r="1707">
      <c r="D1707" t="n">
        <v>3500582</v>
      </c>
      <c r="H1707" t="inlineStr">
        <is>
          <t>Narasipur Auto Component(P)Ltd</t>
        </is>
      </c>
    </row>
    <row r="1708">
      <c r="D1708" t="n">
        <v>3500582</v>
      </c>
      <c r="H1708" t="inlineStr">
        <is>
          <t>Narasipur Auto Component(P)Ltd</t>
        </is>
      </c>
    </row>
    <row r="1709">
      <c r="D1709" t="n">
        <v>3500582</v>
      </c>
      <c r="H1709" t="inlineStr">
        <is>
          <t>Narasipur Auto Component(P)Ltd</t>
        </is>
      </c>
    </row>
    <row r="1710">
      <c r="D1710" t="n">
        <v>3500582</v>
      </c>
      <c r="H1710" t="inlineStr">
        <is>
          <t>NAHARS ENGINEERING INDIA PRIVATE LI</t>
        </is>
      </c>
    </row>
    <row r="1711">
      <c r="D1711" t="n">
        <v>3500582</v>
      </c>
      <c r="H1711" t="inlineStr">
        <is>
          <t>NAHARS ENGINEERING INDIA PRIVATE LI</t>
        </is>
      </c>
    </row>
    <row r="1712">
      <c r="D1712" t="n">
        <v>3500582</v>
      </c>
      <c r="H1712" t="inlineStr">
        <is>
          <t>NAHARS ENGINEERING INDIA PRIVATE LI</t>
        </is>
      </c>
    </row>
    <row r="1713">
      <c r="D1713" t="n">
        <v>3500582</v>
      </c>
      <c r="H1713" t="inlineStr">
        <is>
          <t>NAHARS ENGINEERING INDIA PRIVATE LI</t>
        </is>
      </c>
    </row>
    <row r="1714">
      <c r="D1714" t="n">
        <v>3500582</v>
      </c>
      <c r="H1714" t="inlineStr">
        <is>
          <t>NAHARS ENGINEERING INDIA PRIVATE LI</t>
        </is>
      </c>
    </row>
    <row r="1715">
      <c r="D1715" t="n">
        <v>3500582</v>
      </c>
      <c r="H1715" t="inlineStr">
        <is>
          <t>Narasipur Auto Component(P)Ltd</t>
        </is>
      </c>
    </row>
    <row r="1716">
      <c r="D1716" t="n">
        <v>3500582</v>
      </c>
      <c r="H1716" t="inlineStr">
        <is>
          <t>Narasipur Auto Component(P)Ltd</t>
        </is>
      </c>
    </row>
    <row r="1717">
      <c r="D1717" t="n">
        <v>3500582</v>
      </c>
      <c r="H1717" t="inlineStr">
        <is>
          <t>Narasipur Auto Component(P)Ltd</t>
        </is>
      </c>
    </row>
    <row r="1718">
      <c r="D1718" t="n">
        <v>1268694</v>
      </c>
      <c r="H1718" t="inlineStr">
        <is>
          <t>Narasipur Auto Component(P)Ltd</t>
        </is>
      </c>
    </row>
    <row r="1719">
      <c r="D1719" t="n">
        <v>238726</v>
      </c>
      <c r="H1719" t="inlineStr">
        <is>
          <t>Narasipur Auto Component(P)Ltd</t>
        </is>
      </c>
    </row>
    <row r="1720">
      <c r="D1720" t="n">
        <v>3718926</v>
      </c>
      <c r="H1720" t="inlineStr">
        <is>
          <t>Narasipur Auto Component(P)Ltd</t>
        </is>
      </c>
    </row>
    <row r="1721">
      <c r="D1721" t="n">
        <v>238539</v>
      </c>
      <c r="H1721" t="inlineStr">
        <is>
          <t>Narasipur Auto Component(P)Ltd</t>
        </is>
      </c>
    </row>
    <row r="1722">
      <c r="D1722" t="n">
        <v>238539</v>
      </c>
      <c r="H1722" t="inlineStr">
        <is>
          <t>Metalman Auto Private Limited</t>
        </is>
      </c>
    </row>
    <row r="1723">
      <c r="D1723" t="n">
        <v>2410643</v>
      </c>
      <c r="H1723" t="inlineStr">
        <is>
          <t>Rucha Engineers Pvt Ltd.</t>
        </is>
      </c>
    </row>
    <row r="1724">
      <c r="D1724" t="n">
        <v>2410643</v>
      </c>
      <c r="H1724" t="inlineStr">
        <is>
          <t>Neel Metal Products Limited</t>
        </is>
      </c>
    </row>
    <row r="1725">
      <c r="D1725" t="n">
        <v>2410643</v>
      </c>
      <c r="H1725" t="inlineStr">
        <is>
          <t>Neel Metal Products Limited</t>
        </is>
      </c>
    </row>
    <row r="1726">
      <c r="D1726" t="n">
        <v>2410643</v>
      </c>
      <c r="H1726" t="inlineStr">
        <is>
          <t>Neel Metal Products Limited</t>
        </is>
      </c>
    </row>
    <row r="1727">
      <c r="D1727" t="n">
        <v>3228788</v>
      </c>
      <c r="H1727" t="inlineStr">
        <is>
          <t>Neel Metal Products Limited</t>
        </is>
      </c>
    </row>
    <row r="1728">
      <c r="D1728" t="n">
        <v>3228788</v>
      </c>
      <c r="H1728" t="inlineStr">
        <is>
          <t>Neel Metal Products Limited</t>
        </is>
      </c>
    </row>
    <row r="1729">
      <c r="D1729" t="n">
        <v>3228788</v>
      </c>
      <c r="H1729" t="inlineStr">
        <is>
          <t>Neel Metal Products Limited</t>
        </is>
      </c>
    </row>
    <row r="1730">
      <c r="D1730" t="n">
        <v>3228788</v>
      </c>
      <c r="H1730" t="inlineStr">
        <is>
          <t>Neel Metal Products Limited</t>
        </is>
      </c>
    </row>
    <row r="1731">
      <c r="D1731" t="n">
        <v>3228788</v>
      </c>
      <c r="H1731" t="inlineStr">
        <is>
          <t>Neel Metal Products Limited</t>
        </is>
      </c>
    </row>
    <row r="1732">
      <c r="D1732" t="n">
        <v>3228788</v>
      </c>
      <c r="H1732" t="inlineStr">
        <is>
          <t>Neel Metal Products Limited</t>
        </is>
      </c>
    </row>
    <row r="1733">
      <c r="D1733" t="n">
        <v>2439536</v>
      </c>
      <c r="H1733" t="inlineStr">
        <is>
          <t>Neel Metal Products Limited</t>
        </is>
      </c>
    </row>
    <row r="1734">
      <c r="D1734" t="n">
        <v>2439536</v>
      </c>
      <c r="H1734" t="inlineStr">
        <is>
          <t>Neel Metal Products Limited</t>
        </is>
      </c>
    </row>
    <row r="1735">
      <c r="D1735" t="n">
        <v>2439536</v>
      </c>
      <c r="H1735" t="inlineStr">
        <is>
          <t>Neel Metal Products Limited</t>
        </is>
      </c>
    </row>
    <row r="1736">
      <c r="D1736" t="n">
        <v>2439536</v>
      </c>
      <c r="H1736" t="inlineStr">
        <is>
          <t>Neel Metal Products Limited</t>
        </is>
      </c>
    </row>
    <row r="1737">
      <c r="D1737" t="n">
        <v>2439536</v>
      </c>
      <c r="H1737" t="inlineStr">
        <is>
          <t>Neel Metal Products Limited</t>
        </is>
      </c>
    </row>
    <row r="1738">
      <c r="D1738" t="n">
        <v>2439536</v>
      </c>
      <c r="H1738" t="inlineStr">
        <is>
          <t>Neel Metal Products Limited</t>
        </is>
      </c>
    </row>
    <row r="1739">
      <c r="D1739" t="n">
        <v>2439535</v>
      </c>
      <c r="H1739" t="inlineStr">
        <is>
          <t>Neel Metal Products Limited</t>
        </is>
      </c>
    </row>
    <row r="1740">
      <c r="D1740" t="n">
        <v>2439535</v>
      </c>
      <c r="H1740" t="inlineStr">
        <is>
          <t>Neel Metal Products Limited</t>
        </is>
      </c>
    </row>
    <row r="1741">
      <c r="D1741" t="n">
        <v>3219710</v>
      </c>
      <c r="H1741" t="inlineStr">
        <is>
          <t>Neel Metal Products Limited</t>
        </is>
      </c>
    </row>
    <row r="1742">
      <c r="D1742" t="n">
        <v>1940348</v>
      </c>
      <c r="H1742" t="inlineStr">
        <is>
          <t>Neel Metal Products Limited</t>
        </is>
      </c>
    </row>
    <row r="1743">
      <c r="D1743" t="n">
        <v>2410999</v>
      </c>
      <c r="H1743" t="inlineStr">
        <is>
          <t>Neel Metal Products Limited</t>
        </is>
      </c>
    </row>
    <row r="1744">
      <c r="D1744" t="n">
        <v>2410999</v>
      </c>
      <c r="H1744" t="inlineStr">
        <is>
          <t>JBM AUTO LIMITED</t>
        </is>
      </c>
    </row>
    <row r="1745">
      <c r="D1745" t="n">
        <v>2410999</v>
      </c>
      <c r="H1745" t="inlineStr">
        <is>
          <t>Rajsriya Automotive Ind Pvt Ltd.</t>
        </is>
      </c>
    </row>
    <row r="1746">
      <c r="D1746" t="n">
        <v>2410999</v>
      </c>
      <c r="H1746" t="inlineStr">
        <is>
          <t>Rajsriya Automotive Ind Pvt Ltd.</t>
        </is>
      </c>
    </row>
    <row r="1747">
      <c r="D1747" t="n">
        <v>2410999</v>
      </c>
      <c r="H1747" t="inlineStr">
        <is>
          <t>Rajsriya Automotive Ind Pvt Ltd.</t>
        </is>
      </c>
    </row>
    <row r="1748">
      <c r="D1748" t="n">
        <v>2410999</v>
      </c>
      <c r="H1748" t="inlineStr">
        <is>
          <t>Rajsriya Automotive Ind Pvt Ltd.</t>
        </is>
      </c>
    </row>
    <row r="1749">
      <c r="D1749" t="n">
        <v>2410999</v>
      </c>
      <c r="H1749" t="inlineStr">
        <is>
          <t>Rajsriya Automotive Ind Pvt Ltd.</t>
        </is>
      </c>
    </row>
    <row r="1750">
      <c r="D1750" t="n">
        <v>2410999</v>
      </c>
      <c r="H1750" t="inlineStr">
        <is>
          <t>Rajsriya Automotive Ind Pvt Ltd.</t>
        </is>
      </c>
    </row>
    <row r="1751">
      <c r="D1751" t="n">
        <v>2410999</v>
      </c>
      <c r="H1751" t="inlineStr">
        <is>
          <t>Rajsriya Automotive Ind Pvt Ltd.</t>
        </is>
      </c>
    </row>
    <row r="1752">
      <c r="D1752" t="n">
        <v>2410994</v>
      </c>
      <c r="H1752" t="inlineStr">
        <is>
          <t>Kay Jay Forgings Pvt Ltd Unit Vi</t>
        </is>
      </c>
    </row>
    <row r="1753">
      <c r="D1753" t="n">
        <v>2410994</v>
      </c>
      <c r="H1753" t="inlineStr">
        <is>
          <t>SHETDASS ENGG</t>
        </is>
      </c>
    </row>
    <row r="1754">
      <c r="D1754" t="n">
        <v>2410994</v>
      </c>
      <c r="H1754" t="inlineStr">
        <is>
          <t>Neel Metal Products Limited</t>
        </is>
      </c>
    </row>
    <row r="1755">
      <c r="D1755" t="n">
        <v>2410994</v>
      </c>
      <c r="H1755" t="inlineStr">
        <is>
          <t>Neel Metal Products Limited</t>
        </is>
      </c>
    </row>
    <row r="1756">
      <c r="D1756" t="n">
        <v>2410994</v>
      </c>
      <c r="H1756" t="inlineStr">
        <is>
          <t>Elkayem Auto Ancillaries ( P ) LTD</t>
        </is>
      </c>
    </row>
    <row r="1757">
      <c r="D1757" t="n">
        <v>2410994</v>
      </c>
      <c r="H1757" t="inlineStr">
        <is>
          <t>OWERE PRECISION</t>
        </is>
      </c>
    </row>
    <row r="1758">
      <c r="D1758" t="n">
        <v>2410994</v>
      </c>
      <c r="H1758" t="inlineStr">
        <is>
          <t>OWERE PRECISION</t>
        </is>
      </c>
    </row>
    <row r="1759">
      <c r="D1759" t="n">
        <v>314118</v>
      </c>
      <c r="H1759" t="inlineStr">
        <is>
          <t>OWERE PRECISION</t>
        </is>
      </c>
    </row>
    <row r="1760">
      <c r="D1760" t="n">
        <v>314118</v>
      </c>
      <c r="H1760" t="inlineStr">
        <is>
          <t>OWERE PRECISION</t>
        </is>
      </c>
    </row>
    <row r="1761">
      <c r="D1761" t="n">
        <v>420489</v>
      </c>
      <c r="H1761" t="inlineStr">
        <is>
          <t>Elkayem Auto Ancillaries ( P ) LTD</t>
        </is>
      </c>
    </row>
    <row r="1762">
      <c r="D1762" t="n">
        <v>420489</v>
      </c>
      <c r="H1762" t="inlineStr">
        <is>
          <t>Elkayem Auto Ancillaries ( P ) LTD</t>
        </is>
      </c>
    </row>
    <row r="1763">
      <c r="D1763" t="n">
        <v>3180928</v>
      </c>
      <c r="H1763" t="inlineStr">
        <is>
          <t>Elkayem Auto Ancillaries ( P ) LTD</t>
        </is>
      </c>
    </row>
    <row r="1764">
      <c r="D1764" t="n">
        <v>3667938</v>
      </c>
      <c r="H1764" t="inlineStr">
        <is>
          <t>Elkayem Auto Ancillaries ( P ) LTD</t>
        </is>
      </c>
    </row>
    <row r="1765">
      <c r="D1765" t="n">
        <v>3667938</v>
      </c>
      <c r="H1765" t="inlineStr">
        <is>
          <t>Elkayem Auto Ancillaries ( P ) LTD</t>
        </is>
      </c>
    </row>
    <row r="1766">
      <c r="D1766" t="n">
        <v>3667938</v>
      </c>
      <c r="H1766" t="inlineStr">
        <is>
          <t>Elkayem Auto Ancillaries ( P ) LTD</t>
        </is>
      </c>
    </row>
    <row r="1767">
      <c r="D1767" t="n">
        <v>3667938</v>
      </c>
      <c r="H1767" t="inlineStr">
        <is>
          <t>Elkayem Auto Ancillaries ( P ) LTD</t>
        </is>
      </c>
    </row>
    <row r="1768">
      <c r="D1768" t="n">
        <v>3667938</v>
      </c>
      <c r="H1768" t="inlineStr">
        <is>
          <t>Elkayem Auto Ancillaries ( P ) LTD</t>
        </is>
      </c>
    </row>
    <row r="1769">
      <c r="D1769" t="n">
        <v>3667938</v>
      </c>
      <c r="H1769" t="inlineStr">
        <is>
          <t>Elkayem Auto Ancillaries ( P ) LTD</t>
        </is>
      </c>
    </row>
    <row r="1770">
      <c r="D1770" t="n">
        <v>3667938</v>
      </c>
      <c r="H1770" t="inlineStr">
        <is>
          <t>Elkayem Auto Ancillaries ( P ) LTD</t>
        </is>
      </c>
    </row>
    <row r="1771">
      <c r="D1771" t="n">
        <v>3507568</v>
      </c>
      <c r="H1771" t="inlineStr">
        <is>
          <t>Elkayem Auto Ancillaries ( P ) LTD</t>
        </is>
      </c>
    </row>
    <row r="1772">
      <c r="D1772" t="n">
        <v>1270328</v>
      </c>
      <c r="H1772" t="inlineStr">
        <is>
          <t>Elkayem Auto Ancillaries ( P ) LTD</t>
        </is>
      </c>
    </row>
    <row r="1773">
      <c r="D1773" t="n">
        <v>1270328</v>
      </c>
      <c r="H1773" t="inlineStr">
        <is>
          <t>Elkayem Auto Ancillaries ( P ) LTD</t>
        </is>
      </c>
    </row>
    <row r="1774">
      <c r="D1774" t="n">
        <v>521118</v>
      </c>
      <c r="H1774" t="inlineStr">
        <is>
          <t>Elkayem Auto Ancillaries ( P ) LTD</t>
        </is>
      </c>
    </row>
    <row r="1775">
      <c r="D1775" t="n">
        <v>521118</v>
      </c>
      <c r="H1775" t="inlineStr">
        <is>
          <t>Elkayem Auto Ancillaries ( P ) LTD</t>
        </is>
      </c>
    </row>
    <row r="1776">
      <c r="D1776" t="n">
        <v>3669081</v>
      </c>
      <c r="H1776" t="inlineStr">
        <is>
          <t>Elkayem Auto Ancillaries ( P ) LTD</t>
        </is>
      </c>
    </row>
    <row r="1777">
      <c r="D1777" t="n">
        <v>3498972</v>
      </c>
      <c r="H1777" t="inlineStr">
        <is>
          <t>Elkayem Auto Ancillaries ( P ) LTD</t>
        </is>
      </c>
    </row>
    <row r="1778">
      <c r="D1778" t="n">
        <v>3498972</v>
      </c>
      <c r="H1778" t="inlineStr">
        <is>
          <t>Elkayem Auto Ancillaries ( P ) LTD</t>
        </is>
      </c>
    </row>
    <row r="1779">
      <c r="D1779" t="n">
        <v>3498972</v>
      </c>
      <c r="H1779" t="inlineStr">
        <is>
          <t>Elkayem Auto Ancillaries ( P ) LTD</t>
        </is>
      </c>
    </row>
    <row r="1780">
      <c r="D1780" t="n">
        <v>3498972</v>
      </c>
      <c r="H1780" t="inlineStr">
        <is>
          <t>Elkayem Auto Ancillaries ( P ) LTD</t>
        </is>
      </c>
    </row>
    <row r="1781">
      <c r="D1781" t="n">
        <v>3500906</v>
      </c>
      <c r="H1781" t="inlineStr">
        <is>
          <t>Elkayem Auto Ancillaries ( P ) LTD</t>
        </is>
      </c>
    </row>
    <row r="1782">
      <c r="D1782" t="n">
        <v>3500906</v>
      </c>
      <c r="H1782" t="inlineStr">
        <is>
          <t>MEGH STEELS PRIVATE LIMITED - TVS A</t>
        </is>
      </c>
    </row>
    <row r="1783">
      <c r="D1783" t="n">
        <v>3499662</v>
      </c>
      <c r="H1783" t="inlineStr">
        <is>
          <t>MEGH STEELS PRIVATE LIMITED - TVS A</t>
        </is>
      </c>
    </row>
    <row r="1784">
      <c r="D1784" t="n">
        <v>3829175</v>
      </c>
      <c r="H1784" t="inlineStr">
        <is>
          <t>Rajsriya Automotive Ind Pvt Ltd.</t>
        </is>
      </c>
    </row>
    <row r="1785">
      <c r="D1785" t="n">
        <v>3829175</v>
      </c>
      <c r="H1785" t="inlineStr">
        <is>
          <t>Rajsriya Automotive Ind Pvt Ltd.</t>
        </is>
      </c>
    </row>
    <row r="1786">
      <c r="D1786" t="n">
        <v>355991</v>
      </c>
      <c r="H1786" t="inlineStr">
        <is>
          <t>Rajsriya Automotive Ind Pvt Ltd.</t>
        </is>
      </c>
    </row>
    <row r="1787">
      <c r="D1787" t="n">
        <v>355991</v>
      </c>
      <c r="H1787" t="inlineStr">
        <is>
          <t>Rajsriya Automotive Ind Pvt Ltd.</t>
        </is>
      </c>
    </row>
    <row r="1788">
      <c r="D1788" t="n">
        <v>355991</v>
      </c>
      <c r="H1788" t="inlineStr">
        <is>
          <t>Rajsriya Automotive Ind Pvt Ltd.</t>
        </is>
      </c>
    </row>
    <row r="1789">
      <c r="D1789" t="n">
        <v>237644</v>
      </c>
      <c r="H1789" t="inlineStr">
        <is>
          <t>Rajsriya Automotive Ind Pvt Ltd.</t>
        </is>
      </c>
    </row>
    <row r="1790">
      <c r="D1790" t="n">
        <v>237644</v>
      </c>
      <c r="H1790" t="inlineStr">
        <is>
          <t>Rajsriya Automotive Ind Pvt Ltd.</t>
        </is>
      </c>
    </row>
    <row r="1791">
      <c r="D1791" t="n">
        <v>237644</v>
      </c>
      <c r="H1791" t="inlineStr">
        <is>
          <t>Rajsriya Automotive Ind Pvt Ltd.</t>
        </is>
      </c>
    </row>
    <row r="1792">
      <c r="D1792" t="n">
        <v>256860</v>
      </c>
      <c r="H1792" t="inlineStr">
        <is>
          <t>Rajsriya Automotive Ind Pvt Ltd.</t>
        </is>
      </c>
    </row>
    <row r="1793">
      <c r="D1793" t="n">
        <v>256860</v>
      </c>
      <c r="H1793" t="inlineStr">
        <is>
          <t>Rajsriya Automotive Ind Pvt Ltd.</t>
        </is>
      </c>
    </row>
    <row r="1794">
      <c r="D1794" t="n">
        <v>3747395</v>
      </c>
      <c r="H1794" t="inlineStr">
        <is>
          <t>Rajsriya Automotive Ind Pvt Ltd.</t>
        </is>
      </c>
    </row>
    <row r="1795">
      <c r="D1795" t="n">
        <v>292334</v>
      </c>
      <c r="H1795" t="inlineStr">
        <is>
          <t>Neel Metal Products Limited</t>
        </is>
      </c>
    </row>
    <row r="1796">
      <c r="D1796" t="n">
        <v>292334</v>
      </c>
      <c r="H1796" t="inlineStr">
        <is>
          <t>Neel Metal Products Limited</t>
        </is>
      </c>
    </row>
    <row r="1797">
      <c r="D1797" t="n">
        <v>292334</v>
      </c>
      <c r="H1797" t="inlineStr">
        <is>
          <t>Neel Metal Products Limited</t>
        </is>
      </c>
    </row>
    <row r="1798">
      <c r="D1798" t="n">
        <v>508985</v>
      </c>
      <c r="H1798" t="inlineStr">
        <is>
          <t>Neel Metal Products Limited</t>
        </is>
      </c>
    </row>
    <row r="1799">
      <c r="D1799" t="n">
        <v>508985</v>
      </c>
      <c r="H1799" t="inlineStr">
        <is>
          <t>Neel Metal Products Limited</t>
        </is>
      </c>
    </row>
    <row r="1800">
      <c r="D1800" t="n">
        <v>3214089</v>
      </c>
      <c r="H1800" t="inlineStr">
        <is>
          <t>Neel Metal Products Limited</t>
        </is>
      </c>
    </row>
    <row r="1801">
      <c r="D1801" t="n">
        <v>3556680</v>
      </c>
      <c r="H1801" t="inlineStr">
        <is>
          <t>Neel Metal Products Limited</t>
        </is>
      </c>
    </row>
    <row r="1802">
      <c r="D1802" t="n">
        <v>3556680</v>
      </c>
      <c r="H1802" t="inlineStr">
        <is>
          <t>Neel Metal Products Limited</t>
        </is>
      </c>
    </row>
    <row r="1803">
      <c r="D1803" t="n">
        <v>3556680</v>
      </c>
      <c r="H1803" t="inlineStr">
        <is>
          <t>Neel Metal Products Limited</t>
        </is>
      </c>
    </row>
    <row r="1804">
      <c r="D1804" t="n">
        <v>3556680</v>
      </c>
      <c r="H1804" t="inlineStr">
        <is>
          <t>Neel Metal Products Limited</t>
        </is>
      </c>
    </row>
    <row r="1805">
      <c r="D1805" t="n">
        <v>3556680</v>
      </c>
      <c r="H1805" t="inlineStr">
        <is>
          <t>Neel Metal Products Limited</t>
        </is>
      </c>
    </row>
    <row r="1806">
      <c r="D1806" t="n">
        <v>1448372</v>
      </c>
      <c r="H1806" t="inlineStr">
        <is>
          <t>FREE STOCK</t>
        </is>
      </c>
    </row>
    <row r="1807">
      <c r="D1807" t="n">
        <v>1448372</v>
      </c>
      <c r="H1807" t="inlineStr">
        <is>
          <t>FREE STOCK</t>
        </is>
      </c>
    </row>
    <row r="1808">
      <c r="D1808" t="n">
        <v>1448372</v>
      </c>
      <c r="H1808" t="inlineStr">
        <is>
          <t>FREE STOCK</t>
        </is>
      </c>
    </row>
    <row r="1809">
      <c r="D1809" t="n">
        <v>1448372</v>
      </c>
      <c r="H1809" t="inlineStr">
        <is>
          <t>FREE STOCK</t>
        </is>
      </c>
    </row>
    <row r="1810">
      <c r="D1810" t="n">
        <v>1399344</v>
      </c>
      <c r="H1810" t="inlineStr">
        <is>
          <t>FREE STOCK</t>
        </is>
      </c>
    </row>
    <row r="1811">
      <c r="D1811" t="n">
        <v>1399344</v>
      </c>
      <c r="H1811" t="inlineStr">
        <is>
          <t>FREE STOCK</t>
        </is>
      </c>
    </row>
    <row r="1812">
      <c r="D1812" t="n">
        <v>1399344</v>
      </c>
      <c r="H1812" t="inlineStr">
        <is>
          <t>FREE STOCK</t>
        </is>
      </c>
    </row>
    <row r="1813">
      <c r="D1813" t="n">
        <v>1399344</v>
      </c>
      <c r="H1813" t="inlineStr">
        <is>
          <t>FREE STOCK</t>
        </is>
      </c>
    </row>
    <row r="1814">
      <c r="D1814" t="n">
        <v>1399344</v>
      </c>
      <c r="H1814" t="inlineStr">
        <is>
          <t>FREE STOCK</t>
        </is>
      </c>
    </row>
    <row r="1815">
      <c r="D1815" t="n">
        <v>292333</v>
      </c>
      <c r="H1815" t="inlineStr">
        <is>
          <t>FREE STOCK</t>
        </is>
      </c>
    </row>
    <row r="1816">
      <c r="D1816" t="n">
        <v>292333</v>
      </c>
      <c r="H1816" t="inlineStr">
        <is>
          <t>FREE STOCK</t>
        </is>
      </c>
    </row>
    <row r="1817">
      <c r="D1817" t="n">
        <v>292333</v>
      </c>
      <c r="H1817" t="inlineStr">
        <is>
          <t>FREE STOCK</t>
        </is>
      </c>
    </row>
    <row r="1818">
      <c r="D1818" t="n">
        <v>292333</v>
      </c>
      <c r="H1818" t="inlineStr">
        <is>
          <t>FREE STOCK</t>
        </is>
      </c>
    </row>
    <row r="1819">
      <c r="D1819" t="n">
        <v>292333</v>
      </c>
      <c r="H1819" t="inlineStr">
        <is>
          <t>Elkayem Auto Ancillaries ( P ) LTD</t>
        </is>
      </c>
    </row>
    <row r="1820">
      <c r="D1820" t="n">
        <v>1254735</v>
      </c>
      <c r="H1820" t="inlineStr">
        <is>
          <t>Elkayem Auto Ancillaries ( P ) LTD</t>
        </is>
      </c>
    </row>
    <row r="1821">
      <c r="D1821" t="n">
        <v>1254735</v>
      </c>
      <c r="H1821" t="inlineStr">
        <is>
          <t>Elkayem Auto Ancillaries ( P ) LTD</t>
        </is>
      </c>
    </row>
    <row r="1822">
      <c r="D1822" t="n">
        <v>3507486</v>
      </c>
      <c r="H1822" t="inlineStr">
        <is>
          <t>Elkayem Auto Ancillaries ( P ) LTD</t>
        </is>
      </c>
    </row>
    <row r="1823">
      <c r="D1823" t="n">
        <v>420528</v>
      </c>
      <c r="H1823" t="inlineStr">
        <is>
          <t>Elkayem Auto Ancillaries ( P ) LTD</t>
        </is>
      </c>
    </row>
    <row r="1824">
      <c r="D1824" t="n">
        <v>420528</v>
      </c>
      <c r="H1824" t="inlineStr">
        <is>
          <t>Elkayem Auto Ancillaries ( P ) LTD</t>
        </is>
      </c>
    </row>
    <row r="1825">
      <c r="D1825" t="n">
        <v>3509824</v>
      </c>
      <c r="H1825" t="inlineStr">
        <is>
          <t>Elkayem Auto Ancillaries ( P ) LTD</t>
        </is>
      </c>
    </row>
    <row r="1826">
      <c r="D1826" t="n">
        <v>3533249</v>
      </c>
      <c r="H1826" t="inlineStr">
        <is>
          <t>Elkayem Auto Ancillaries ( P ) LTD</t>
        </is>
      </c>
    </row>
    <row r="1827">
      <c r="D1827" t="n">
        <v>3533249</v>
      </c>
      <c r="H1827" t="inlineStr">
        <is>
          <t>Elkayem Auto Ancillaries ( P ) LTD</t>
        </is>
      </c>
    </row>
    <row r="1828">
      <c r="D1828" t="n">
        <v>3533248</v>
      </c>
      <c r="H1828" t="inlineStr">
        <is>
          <t>Elkayem Auto Ancillaries ( P ) LTD</t>
        </is>
      </c>
    </row>
    <row r="1829">
      <c r="D1829" t="n">
        <v>3533248</v>
      </c>
      <c r="H1829" t="inlineStr">
        <is>
          <t>Elkayem Auto Ancillaries ( P ) LTD</t>
        </is>
      </c>
    </row>
    <row r="1830">
      <c r="D1830" t="n">
        <v>267070</v>
      </c>
      <c r="H1830" t="inlineStr">
        <is>
          <t>Elkayem Auto Ancillaries ( P ) LTD</t>
        </is>
      </c>
    </row>
    <row r="1831">
      <c r="D1831" t="n">
        <v>267070</v>
      </c>
      <c r="H1831" t="inlineStr">
        <is>
          <t>Elkayem Auto Ancillaries ( P ) LTD</t>
        </is>
      </c>
    </row>
    <row r="1832">
      <c r="D1832" t="n">
        <v>267070</v>
      </c>
      <c r="H1832" t="inlineStr">
        <is>
          <t>Elkayem Auto Ancillaries ( P ) LTD</t>
        </is>
      </c>
    </row>
    <row r="1833">
      <c r="D1833" t="n">
        <v>267070</v>
      </c>
      <c r="H1833" t="inlineStr">
        <is>
          <t>Elkayem Auto Ancillaries ( P ) LTD</t>
        </is>
      </c>
    </row>
    <row r="1834">
      <c r="D1834" t="n">
        <v>1385283</v>
      </c>
      <c r="H1834" t="inlineStr">
        <is>
          <t>Elkayem Auto Ancillaries ( P ) LTD</t>
        </is>
      </c>
    </row>
    <row r="1835">
      <c r="D1835" t="n">
        <v>1385283</v>
      </c>
      <c r="H1835" t="inlineStr">
        <is>
          <t>Elkayem Auto Ancillaries ( P ) LTD</t>
        </is>
      </c>
    </row>
    <row r="1836">
      <c r="D1836" t="n">
        <v>1385283</v>
      </c>
      <c r="H1836" t="inlineStr">
        <is>
          <t>Elkayem Auto Ancillaries ( P ) LTD</t>
        </is>
      </c>
    </row>
    <row r="1837">
      <c r="D1837" t="n">
        <v>3682123</v>
      </c>
      <c r="H1837" t="inlineStr">
        <is>
          <t>Elkayem Auto Ancillaries ( P ) LTD</t>
        </is>
      </c>
    </row>
    <row r="1838">
      <c r="D1838" t="n">
        <v>3682123</v>
      </c>
      <c r="H1838" t="inlineStr">
        <is>
          <t>Elkayem Auto Ancillaries ( P ) LTD</t>
        </is>
      </c>
    </row>
    <row r="1839">
      <c r="D1839" t="n">
        <v>3502468</v>
      </c>
      <c r="H1839" t="inlineStr">
        <is>
          <t>Elkayem Auto Ancillaries ( P ) LTD</t>
        </is>
      </c>
    </row>
    <row r="1840">
      <c r="D1840" t="n">
        <v>3499239</v>
      </c>
      <c r="H1840" t="inlineStr">
        <is>
          <t>Elkayem Auto Ancillaries ( P ) LTD</t>
        </is>
      </c>
    </row>
    <row r="1841">
      <c r="D1841" t="n">
        <v>3499239</v>
      </c>
      <c r="H1841" t="inlineStr">
        <is>
          <t>Elkayem Auto Ancillaries ( P ) LTD</t>
        </is>
      </c>
    </row>
    <row r="1842">
      <c r="D1842" t="n">
        <v>3499239</v>
      </c>
      <c r="H1842" t="inlineStr">
        <is>
          <t>Elkayem Auto Ancillaries ( P ) LTD</t>
        </is>
      </c>
    </row>
    <row r="1843">
      <c r="D1843" t="n">
        <v>3499239</v>
      </c>
      <c r="H1843" t="inlineStr">
        <is>
          <t>Elkayem Auto Ancillaries ( P ) LTD</t>
        </is>
      </c>
    </row>
    <row r="1844">
      <c r="D1844" t="n">
        <v>3499239</v>
      </c>
      <c r="H1844" t="inlineStr">
        <is>
          <t>Elkayem Auto Ancillaries ( P ) LTD</t>
        </is>
      </c>
    </row>
    <row r="1845">
      <c r="D1845" t="n">
        <v>3499239</v>
      </c>
      <c r="H1845" t="inlineStr">
        <is>
          <t>Elkayem Auto Ancillaries ( P ) LTD</t>
        </is>
      </c>
    </row>
    <row r="1846">
      <c r="D1846" t="n">
        <v>3499239</v>
      </c>
      <c r="H1846" t="inlineStr">
        <is>
          <t>Elkayem Auto Ancillaries ( P ) LTD</t>
        </is>
      </c>
    </row>
    <row r="1847">
      <c r="D1847" t="n">
        <v>3499239</v>
      </c>
      <c r="H1847" t="inlineStr">
        <is>
          <t>Elkayem Auto Ancillaries ( P ) LTD</t>
        </is>
      </c>
    </row>
    <row r="1848">
      <c r="D1848" t="n">
        <v>3499239</v>
      </c>
      <c r="H1848" t="inlineStr">
        <is>
          <t>Elkayem Auto Ancillaries ( P ) LTD</t>
        </is>
      </c>
    </row>
    <row r="1849">
      <c r="D1849" t="n">
        <v>3499239</v>
      </c>
      <c r="H1849" t="inlineStr">
        <is>
          <t>Elkayem Auto Ancillaries ( P ) LTD</t>
        </is>
      </c>
    </row>
    <row r="1850">
      <c r="D1850" t="n">
        <v>3499239</v>
      </c>
      <c r="H1850" t="inlineStr">
        <is>
          <t>Elkayem Auto Ancillaries ( P ) LTD</t>
        </is>
      </c>
    </row>
    <row r="1851">
      <c r="D1851" t="n">
        <v>3499239</v>
      </c>
      <c r="H1851" t="inlineStr">
        <is>
          <t>Elkayem Auto Ancillaries ( P ) LTD</t>
        </is>
      </c>
    </row>
    <row r="1852">
      <c r="D1852" t="n">
        <v>3499239</v>
      </c>
      <c r="H1852" t="inlineStr">
        <is>
          <t>Elkayem Auto Ancillaries ( P ) LTD</t>
        </is>
      </c>
    </row>
    <row r="1853">
      <c r="D1853" t="n">
        <v>3499239</v>
      </c>
      <c r="H1853" t="inlineStr">
        <is>
          <t>Elkayem Auto Ancillaries ( P ) LTD</t>
        </is>
      </c>
    </row>
    <row r="1854">
      <c r="D1854" t="n">
        <v>3499239</v>
      </c>
      <c r="H1854" t="inlineStr">
        <is>
          <t>Neel Metal Products Limited</t>
        </is>
      </c>
    </row>
    <row r="1855">
      <c r="D1855" t="n">
        <v>235001</v>
      </c>
      <c r="H1855" t="inlineStr">
        <is>
          <t>Neel Metal Products Limited</t>
        </is>
      </c>
    </row>
    <row r="1856">
      <c r="D1856" t="n">
        <v>3682124</v>
      </c>
      <c r="H1856" t="inlineStr">
        <is>
          <t>Neel Metal Products Limited</t>
        </is>
      </c>
    </row>
    <row r="1857">
      <c r="D1857" t="n">
        <v>3506193</v>
      </c>
      <c r="H1857" t="inlineStr">
        <is>
          <t>Neel Metal Products Limited</t>
        </is>
      </c>
    </row>
    <row r="1858">
      <c r="D1858" t="n">
        <v>3506193</v>
      </c>
      <c r="H1858" t="inlineStr">
        <is>
          <t>Neel Metal Products Limited</t>
        </is>
      </c>
    </row>
    <row r="1859">
      <c r="D1859" t="n">
        <v>3506193</v>
      </c>
      <c r="H1859" t="inlineStr">
        <is>
          <t>Neel Metal Products Limited</t>
        </is>
      </c>
    </row>
    <row r="1860">
      <c r="D1860" t="n">
        <v>296754</v>
      </c>
      <c r="H1860" t="inlineStr">
        <is>
          <t>Neel Metal Products Limited</t>
        </is>
      </c>
    </row>
    <row r="1861">
      <c r="D1861" t="n">
        <v>296754</v>
      </c>
      <c r="H1861" t="inlineStr">
        <is>
          <t>Neel Metal Products Limited</t>
        </is>
      </c>
    </row>
    <row r="1862">
      <c r="D1862" t="n">
        <v>1159568</v>
      </c>
      <c r="H1862" t="inlineStr">
        <is>
          <t>Neel Metal Products Limited</t>
        </is>
      </c>
    </row>
    <row r="1863">
      <c r="D1863" t="n">
        <v>471489</v>
      </c>
      <c r="H1863" t="inlineStr">
        <is>
          <t>Neel Metal Products Limited</t>
        </is>
      </c>
    </row>
    <row r="1864">
      <c r="D1864" t="n">
        <v>471489</v>
      </c>
      <c r="H1864" t="inlineStr">
        <is>
          <t>Neel Metal Products Limited</t>
        </is>
      </c>
    </row>
    <row r="1865">
      <c r="D1865" t="n">
        <v>508984</v>
      </c>
      <c r="H1865" t="inlineStr">
        <is>
          <t>Rucha Engineers Pvt Ltd.</t>
        </is>
      </c>
    </row>
    <row r="1866">
      <c r="D1866" t="n">
        <v>3781669</v>
      </c>
      <c r="H1866" t="inlineStr">
        <is>
          <t>Rucha Engineers Pvt Ltd.</t>
        </is>
      </c>
    </row>
    <row r="1867">
      <c r="D1867" t="n">
        <v>3781669</v>
      </c>
      <c r="H1867" t="inlineStr">
        <is>
          <t>Rucha Engineers Pvt Ltd.</t>
        </is>
      </c>
    </row>
    <row r="1868">
      <c r="D1868" t="n">
        <v>1154248</v>
      </c>
      <c r="H1868" t="inlineStr">
        <is>
          <t>Rucha Engineers Pvt Ltd.</t>
        </is>
      </c>
    </row>
    <row r="1869">
      <c r="D1869" t="n">
        <v>1154248</v>
      </c>
      <c r="H1869" t="inlineStr">
        <is>
          <t>Rucha Engineers Pvt Ltd.</t>
        </is>
      </c>
    </row>
    <row r="1870">
      <c r="D1870" t="n">
        <v>1154248</v>
      </c>
      <c r="H1870" t="inlineStr">
        <is>
          <t>Rucha Engineers Pvt Ltd.</t>
        </is>
      </c>
    </row>
    <row r="1871">
      <c r="D1871" t="n">
        <v>1154248</v>
      </c>
      <c r="H1871" t="inlineStr">
        <is>
          <t>Rucha Engineers Pvt Ltd.</t>
        </is>
      </c>
    </row>
    <row r="1872">
      <c r="D1872" t="n">
        <v>1154248</v>
      </c>
      <c r="H1872" t="inlineStr">
        <is>
          <t>Rucha Engineers Pvt Ltd.</t>
        </is>
      </c>
    </row>
    <row r="1873">
      <c r="D1873" t="n">
        <v>1174856</v>
      </c>
      <c r="H1873" t="inlineStr">
        <is>
          <t>Neel Metal Products Limited</t>
        </is>
      </c>
    </row>
    <row r="1874">
      <c r="D1874" t="n">
        <v>1174856</v>
      </c>
      <c r="H1874" t="inlineStr">
        <is>
          <t>Neel Metal Products Limited</t>
        </is>
      </c>
    </row>
    <row r="1875">
      <c r="D1875" t="n">
        <v>475364</v>
      </c>
      <c r="H1875" t="inlineStr">
        <is>
          <t>Neel Metal Products Limited</t>
        </is>
      </c>
    </row>
    <row r="1876">
      <c r="D1876" t="n">
        <v>1405728</v>
      </c>
      <c r="H1876" t="inlineStr">
        <is>
          <t>Neel Metal Products Limited</t>
        </is>
      </c>
    </row>
    <row r="1877">
      <c r="D1877" t="n">
        <v>1405729</v>
      </c>
      <c r="H1877" t="inlineStr">
        <is>
          <t>Elkayem Auto Ancillaries ( P ) LTD</t>
        </is>
      </c>
    </row>
    <row r="1878">
      <c r="D1878" t="n">
        <v>288719</v>
      </c>
      <c r="H1878" t="inlineStr">
        <is>
          <t>Elkayem Auto Ancillaries ( P ) LTD</t>
        </is>
      </c>
    </row>
    <row r="1879">
      <c r="D1879" t="n">
        <v>288719</v>
      </c>
      <c r="H1879" t="inlineStr">
        <is>
          <t>Elkayem Auto Ancillaries ( P ) LTD</t>
        </is>
      </c>
    </row>
    <row r="1880">
      <c r="D1880" t="n">
        <v>288719</v>
      </c>
      <c r="H1880" t="inlineStr">
        <is>
          <t>Elkayem Auto Ancillaries ( P ) LTD</t>
        </is>
      </c>
    </row>
    <row r="1881">
      <c r="D1881" t="n">
        <v>288719</v>
      </c>
      <c r="H1881" t="inlineStr">
        <is>
          <t>Rajsriya Automotive Ind.P.Ltd Unit-</t>
        </is>
      </c>
    </row>
    <row r="1882">
      <c r="D1882" t="n">
        <v>3506173</v>
      </c>
      <c r="H1882" t="inlineStr">
        <is>
          <t>Rajsriya Automotive Ind.P.Ltd Unit-</t>
        </is>
      </c>
    </row>
    <row r="1883">
      <c r="D1883" t="n">
        <v>3506173</v>
      </c>
      <c r="H1883" t="inlineStr">
        <is>
          <t>Rajsriya Automotive Ind.P.Ltd Unit-</t>
        </is>
      </c>
    </row>
    <row r="1884">
      <c r="D1884" t="n">
        <v>3775108</v>
      </c>
      <c r="H1884" t="inlineStr">
        <is>
          <t>Rajsriya Automotive Ind.P.Ltd Unit-</t>
        </is>
      </c>
    </row>
    <row r="1885">
      <c r="D1885" t="n">
        <v>1936862</v>
      </c>
      <c r="H1885" t="inlineStr">
        <is>
          <t>SRIKAM HITECH ENGINEERING PRIVATE L</t>
        </is>
      </c>
    </row>
    <row r="1886">
      <c r="D1886" t="n">
        <v>437135</v>
      </c>
      <c r="H1886" t="inlineStr">
        <is>
          <t>SRIKAM HITECH ENGINEERING PRIVATE L</t>
        </is>
      </c>
    </row>
    <row r="1887">
      <c r="D1887" t="n">
        <v>437135</v>
      </c>
      <c r="H1887" t="inlineStr">
        <is>
          <t>SRIKAM HITECH ENGINEERING PRIVATE L</t>
        </is>
      </c>
    </row>
    <row r="1888">
      <c r="D1888" t="n">
        <v>437135</v>
      </c>
      <c r="H1888" t="inlineStr">
        <is>
          <t>SRIKAM HITECH ENGINEERING PRIVATE L</t>
        </is>
      </c>
    </row>
    <row r="1889">
      <c r="D1889" t="n">
        <v>437135</v>
      </c>
      <c r="H1889" t="inlineStr">
        <is>
          <t>SRIKAM HITECH ENGINEERING PRIVATE L</t>
        </is>
      </c>
    </row>
    <row r="1890">
      <c r="D1890" t="n">
        <v>437135</v>
      </c>
      <c r="H1890" t="inlineStr">
        <is>
          <t>SRIKAM HITECH ENGINEERING PRIVATE L</t>
        </is>
      </c>
    </row>
    <row r="1891">
      <c r="D1891" t="n">
        <v>437135</v>
      </c>
      <c r="H1891" t="inlineStr">
        <is>
          <t>SRIKAM HITECH ENGINEERING PRIVATE L</t>
        </is>
      </c>
    </row>
    <row r="1892">
      <c r="D1892" t="n">
        <v>319684</v>
      </c>
      <c r="H1892" t="inlineStr">
        <is>
          <t>SRIKAM HITECH ENGINEERING PRIVATE L</t>
        </is>
      </c>
    </row>
    <row r="1893">
      <c r="D1893" t="n">
        <v>319684</v>
      </c>
      <c r="H1893" t="inlineStr">
        <is>
          <t>SRIKAM HITECH ENGINEERING PRIVATE L</t>
        </is>
      </c>
    </row>
    <row r="1894">
      <c r="D1894" t="n">
        <v>319684</v>
      </c>
      <c r="H1894" t="inlineStr">
        <is>
          <t>SRIKAM HITECH ENGINEERING PRIVATE L</t>
        </is>
      </c>
    </row>
    <row r="1895">
      <c r="D1895" t="n">
        <v>319684</v>
      </c>
      <c r="H1895" t="inlineStr">
        <is>
          <t>SRIKAM HITECH ENGINEERING PRIVATE L</t>
        </is>
      </c>
    </row>
    <row r="1896">
      <c r="D1896" t="n">
        <v>319684</v>
      </c>
      <c r="H1896" t="inlineStr">
        <is>
          <t>SRIKAM HITECH ENGINEERING PRIVATE L</t>
        </is>
      </c>
    </row>
    <row r="1897">
      <c r="D1897" t="n">
        <v>319684</v>
      </c>
      <c r="H1897" t="inlineStr">
        <is>
          <t>SRIKAM HITECH ENGINEERING PRIVATE L</t>
        </is>
      </c>
    </row>
    <row r="1898">
      <c r="D1898" t="n">
        <v>1140411</v>
      </c>
      <c r="H1898" t="inlineStr">
        <is>
          <t>Thai Summit Autoparts India Pvt Ltd</t>
        </is>
      </c>
    </row>
    <row r="1899">
      <c r="D1899" t="n">
        <v>1140411</v>
      </c>
      <c r="H1899" t="inlineStr">
        <is>
          <t>Thai Summit Autoparts India Pvt Ltd</t>
        </is>
      </c>
    </row>
    <row r="1900">
      <c r="D1900" t="n">
        <v>3673949</v>
      </c>
      <c r="H1900" t="inlineStr">
        <is>
          <t>Thai Summit Autoparts India Pvt Ltd</t>
        </is>
      </c>
    </row>
    <row r="1901">
      <c r="D1901" t="n">
        <v>3508391</v>
      </c>
      <c r="H1901" t="inlineStr">
        <is>
          <t>Thai Summit Autoparts India Pvt Ltd</t>
        </is>
      </c>
    </row>
    <row r="1902">
      <c r="D1902" t="n">
        <v>3508391</v>
      </c>
      <c r="H1902" t="inlineStr">
        <is>
          <t>Thai Summit Autoparts India Pvt Ltd</t>
        </is>
      </c>
    </row>
    <row r="1903">
      <c r="D1903" t="n">
        <v>1361680</v>
      </c>
      <c r="H1903" t="inlineStr">
        <is>
          <t>Neel Metal Products Limited</t>
        </is>
      </c>
    </row>
    <row r="1904">
      <c r="D1904" t="n">
        <v>1455510</v>
      </c>
      <c r="H1904" t="inlineStr">
        <is>
          <t>Neel Metal Products Limited</t>
        </is>
      </c>
    </row>
    <row r="1905">
      <c r="D1905" t="n">
        <v>3697417</v>
      </c>
      <c r="H1905" t="inlineStr">
        <is>
          <t>Neel Metal Products Limited</t>
        </is>
      </c>
    </row>
    <row r="1906">
      <c r="D1906" t="n">
        <v>3697417</v>
      </c>
      <c r="H1906" t="inlineStr">
        <is>
          <t>Neel Metal Products Limited</t>
        </is>
      </c>
    </row>
    <row r="1907">
      <c r="D1907" t="n">
        <v>3697417</v>
      </c>
      <c r="H1907" t="inlineStr">
        <is>
          <t>Neel Metal Products Limited</t>
        </is>
      </c>
    </row>
    <row r="1908">
      <c r="D1908" t="n">
        <v>3500554</v>
      </c>
      <c r="H1908" t="inlineStr">
        <is>
          <t>Neel Metal Products Limited</t>
        </is>
      </c>
    </row>
    <row r="1909">
      <c r="D1909" t="n">
        <v>3500554</v>
      </c>
      <c r="H1909" t="inlineStr">
        <is>
          <t>Neel Metal Products Limited</t>
        </is>
      </c>
    </row>
    <row r="1910">
      <c r="D1910" t="n">
        <v>3500554</v>
      </c>
      <c r="H1910" t="inlineStr">
        <is>
          <t>Neel Metal Products Limited</t>
        </is>
      </c>
    </row>
    <row r="1911">
      <c r="D1911" t="n">
        <v>3500554</v>
      </c>
      <c r="H1911" t="inlineStr">
        <is>
          <t>Neel Metal Products Limited</t>
        </is>
      </c>
    </row>
    <row r="1912">
      <c r="D1912" t="n">
        <v>3500554</v>
      </c>
      <c r="H1912" t="inlineStr">
        <is>
          <t>Neel Metal Products Limited</t>
        </is>
      </c>
    </row>
    <row r="1913">
      <c r="D1913" t="n">
        <v>3500554</v>
      </c>
      <c r="H1913" t="inlineStr">
        <is>
          <t>Neel Metal Products Limited</t>
        </is>
      </c>
    </row>
    <row r="1914">
      <c r="D1914" t="n">
        <v>3500554</v>
      </c>
      <c r="H1914" t="inlineStr">
        <is>
          <t>Neel Metal Products Limited</t>
        </is>
      </c>
    </row>
    <row r="1915">
      <c r="D1915" t="n">
        <v>3500554</v>
      </c>
      <c r="H1915" t="inlineStr">
        <is>
          <t>Neel Metal Products Limited</t>
        </is>
      </c>
    </row>
    <row r="1916">
      <c r="D1916" t="n">
        <v>3500554</v>
      </c>
      <c r="H1916" t="inlineStr">
        <is>
          <t>Neel Metal Products Limited</t>
        </is>
      </c>
    </row>
    <row r="1917">
      <c r="D1917" t="n">
        <v>3500554</v>
      </c>
      <c r="H1917" t="inlineStr">
        <is>
          <t>Neel Metal Products Limited</t>
        </is>
      </c>
    </row>
    <row r="1918">
      <c r="D1918" t="n">
        <v>3500554</v>
      </c>
      <c r="H1918" t="inlineStr">
        <is>
          <t>JBM AUTO LIMITED</t>
        </is>
      </c>
    </row>
    <row r="1919">
      <c r="D1919" t="n">
        <v>3500554</v>
      </c>
      <c r="H1919" t="inlineStr">
        <is>
          <t>JBM AUTO LIMITED</t>
        </is>
      </c>
    </row>
    <row r="1920">
      <c r="D1920" t="n">
        <v>3500554</v>
      </c>
      <c r="H1920" t="inlineStr">
        <is>
          <t>JBM AUTO LIMITED</t>
        </is>
      </c>
    </row>
    <row r="1921">
      <c r="D1921" t="n">
        <v>3500554</v>
      </c>
      <c r="H1921" t="inlineStr">
        <is>
          <t>JBM AUTO LIMITED</t>
        </is>
      </c>
    </row>
    <row r="1922">
      <c r="D1922" t="n">
        <v>3568328</v>
      </c>
      <c r="H1922" t="inlineStr">
        <is>
          <t>JBM AUTO LIMITED</t>
        </is>
      </c>
    </row>
    <row r="1923">
      <c r="D1923" t="n">
        <v>3568328</v>
      </c>
      <c r="H1923" t="inlineStr">
        <is>
          <t>JBM AUTO LIMITED</t>
        </is>
      </c>
    </row>
    <row r="1924">
      <c r="D1924" t="n">
        <v>3568328</v>
      </c>
      <c r="H1924" t="inlineStr">
        <is>
          <t>JBM AUTO LIMITED</t>
        </is>
      </c>
    </row>
    <row r="1925">
      <c r="D1925" t="n">
        <v>3568328</v>
      </c>
      <c r="H1925" t="inlineStr">
        <is>
          <t>JBM AUTO LIMITED</t>
        </is>
      </c>
    </row>
    <row r="1926">
      <c r="D1926" t="n">
        <v>3568328</v>
      </c>
      <c r="H1926" t="inlineStr">
        <is>
          <t>JBM AUTO LIMITED</t>
        </is>
      </c>
    </row>
    <row r="1927">
      <c r="D1927" t="n">
        <v>3568328</v>
      </c>
      <c r="H1927" t="inlineStr">
        <is>
          <t>JBM AUTO LIMITED</t>
        </is>
      </c>
    </row>
    <row r="1928">
      <c r="D1928" t="n">
        <v>3568328</v>
      </c>
      <c r="H1928" t="inlineStr">
        <is>
          <t>JBM AUTO LIMITED</t>
        </is>
      </c>
    </row>
    <row r="1929">
      <c r="D1929" t="n">
        <v>3568328</v>
      </c>
      <c r="H1929" t="inlineStr">
        <is>
          <t>JBM AUTO LIMITED</t>
        </is>
      </c>
    </row>
    <row r="1930">
      <c r="D1930" t="n">
        <v>3568328</v>
      </c>
      <c r="H1930" t="inlineStr">
        <is>
          <t>JBM AUTO LIMITED</t>
        </is>
      </c>
    </row>
    <row r="1931">
      <c r="D1931" t="n">
        <v>3568328</v>
      </c>
      <c r="H1931" t="inlineStr">
        <is>
          <t>JBM AUTO LIMITED</t>
        </is>
      </c>
    </row>
    <row r="1932">
      <c r="D1932" t="n">
        <v>3568328</v>
      </c>
      <c r="H1932" t="inlineStr">
        <is>
          <t>JBM AUTO LIMITED</t>
        </is>
      </c>
    </row>
    <row r="1933">
      <c r="D1933" t="n">
        <v>3568328</v>
      </c>
      <c r="H1933" t="inlineStr">
        <is>
          <t>JBM AUTO LIMITED</t>
        </is>
      </c>
    </row>
    <row r="1934">
      <c r="D1934" t="n">
        <v>3500471</v>
      </c>
      <c r="H1934" t="inlineStr">
        <is>
          <t>JBM AUTO LIMITED</t>
        </is>
      </c>
    </row>
    <row r="1935">
      <c r="D1935" t="n">
        <v>3500471</v>
      </c>
      <c r="H1935" t="inlineStr">
        <is>
          <t>JBM AUTO LIMITED</t>
        </is>
      </c>
    </row>
    <row r="1936">
      <c r="D1936" t="n">
        <v>3500471</v>
      </c>
      <c r="H1936" t="inlineStr">
        <is>
          <t>JBM AUTO LIMITED</t>
        </is>
      </c>
    </row>
    <row r="1937">
      <c r="D1937" t="n">
        <v>1196779</v>
      </c>
      <c r="H1937" t="inlineStr">
        <is>
          <t>JBM AUTO LIMITED</t>
        </is>
      </c>
    </row>
    <row r="1938">
      <c r="D1938" t="n">
        <v>3500134</v>
      </c>
      <c r="H1938" t="inlineStr">
        <is>
          <t>JBM AUTO LIMITED</t>
        </is>
      </c>
    </row>
    <row r="1939">
      <c r="D1939" t="n">
        <v>3500134</v>
      </c>
      <c r="H1939" t="inlineStr">
        <is>
          <t>JBM AUTO LIMITED</t>
        </is>
      </c>
    </row>
    <row r="1940">
      <c r="D1940" t="n">
        <v>3500134</v>
      </c>
      <c r="H1940" t="inlineStr">
        <is>
          <t>JBM AUTO LIMITED</t>
        </is>
      </c>
    </row>
    <row r="1941">
      <c r="D1941" t="n">
        <v>3500134</v>
      </c>
      <c r="H1941" t="inlineStr">
        <is>
          <t>FREE STOCK</t>
        </is>
      </c>
    </row>
    <row r="1942">
      <c r="D1942" t="n">
        <v>3500134</v>
      </c>
      <c r="H1942" t="inlineStr">
        <is>
          <t>FREE STOCK</t>
        </is>
      </c>
    </row>
    <row r="1943">
      <c r="D1943" t="n">
        <v>3500134</v>
      </c>
      <c r="H1943" t="inlineStr">
        <is>
          <t>Neel Metal Products Limited</t>
        </is>
      </c>
    </row>
    <row r="1944">
      <c r="D1944" t="n">
        <v>3500134</v>
      </c>
      <c r="H1944" t="inlineStr">
        <is>
          <t>Neel Metal Products Limited</t>
        </is>
      </c>
    </row>
    <row r="1945">
      <c r="D1945" t="n">
        <v>3500134</v>
      </c>
      <c r="H1945" t="inlineStr">
        <is>
          <t>Neel Metal Products Limited</t>
        </is>
      </c>
    </row>
    <row r="1946">
      <c r="D1946" t="n">
        <v>3500134</v>
      </c>
      <c r="H1946" t="inlineStr">
        <is>
          <t>Neel Metal Products Limited</t>
        </is>
      </c>
    </row>
    <row r="1947">
      <c r="D1947" t="n">
        <v>3500134</v>
      </c>
      <c r="H1947" t="inlineStr">
        <is>
          <t>Neel Metal Products Limited</t>
        </is>
      </c>
    </row>
    <row r="1948">
      <c r="D1948" t="n">
        <v>3500134</v>
      </c>
      <c r="H1948" t="inlineStr">
        <is>
          <t>Neel Metal Products Limited</t>
        </is>
      </c>
    </row>
    <row r="1949">
      <c r="D1949" t="n">
        <v>3500134</v>
      </c>
      <c r="H1949" t="inlineStr">
        <is>
          <t>Neel Metal Products Limited</t>
        </is>
      </c>
    </row>
    <row r="1950">
      <c r="D1950" t="n">
        <v>3499230</v>
      </c>
      <c r="H1950" t="inlineStr">
        <is>
          <t>Neel Metal Products Limited</t>
        </is>
      </c>
    </row>
    <row r="1951">
      <c r="D1951" t="n">
        <v>3502303</v>
      </c>
      <c r="H1951" t="inlineStr">
        <is>
          <t>Neel Metal Products Limited</t>
        </is>
      </c>
    </row>
    <row r="1952">
      <c r="D1952" t="n">
        <v>3502303</v>
      </c>
      <c r="H1952" t="inlineStr">
        <is>
          <t>Neel Metal Products Limited</t>
        </is>
      </c>
    </row>
    <row r="1953">
      <c r="D1953" t="n">
        <v>3502303</v>
      </c>
      <c r="H1953" t="inlineStr">
        <is>
          <t>Neel Metal Products Limited</t>
        </is>
      </c>
    </row>
    <row r="1954">
      <c r="D1954" t="n">
        <v>3502303</v>
      </c>
      <c r="H1954" t="inlineStr">
        <is>
          <t>Neel Metal Products Limited</t>
        </is>
      </c>
    </row>
    <row r="1955">
      <c r="D1955" t="n">
        <v>3502303</v>
      </c>
      <c r="H1955" t="inlineStr">
        <is>
          <t>Indo Autotech Limited (Unit V)</t>
        </is>
      </c>
    </row>
    <row r="1956">
      <c r="D1956" t="n">
        <v>3502303</v>
      </c>
      <c r="H1956" t="inlineStr">
        <is>
          <t>Indo Autotech Limited (Unit V)</t>
        </is>
      </c>
    </row>
    <row r="1957">
      <c r="D1957" t="n">
        <v>3502303</v>
      </c>
      <c r="H1957" t="inlineStr">
        <is>
          <t>Indo Autotech Limited (Unit V)</t>
        </is>
      </c>
    </row>
    <row r="1958">
      <c r="D1958" t="n">
        <v>3502303</v>
      </c>
      <c r="H1958" t="inlineStr">
        <is>
          <t>Indo AutoTech</t>
        </is>
      </c>
    </row>
    <row r="1959">
      <c r="D1959" t="n">
        <v>3502303</v>
      </c>
      <c r="H1959" t="inlineStr">
        <is>
          <t>Neel Metal Products Limited</t>
        </is>
      </c>
    </row>
    <row r="1960">
      <c r="D1960" t="n">
        <v>3502303</v>
      </c>
      <c r="H1960" t="inlineStr">
        <is>
          <t>Rajsriya Automotive Ind Pvt Ltd.</t>
        </is>
      </c>
    </row>
    <row r="1961">
      <c r="D1961" t="n">
        <v>3502303</v>
      </c>
      <c r="H1961" t="inlineStr">
        <is>
          <t>RANAE</t>
        </is>
      </c>
    </row>
    <row r="1962">
      <c r="D1962" t="n">
        <v>3245308</v>
      </c>
      <c r="H1962" t="inlineStr">
        <is>
          <t>NAHARS ENGINEERING INDIA PRIVATE LI</t>
        </is>
      </c>
    </row>
    <row r="1963">
      <c r="D1963" t="n">
        <v>3686335</v>
      </c>
      <c r="H1963" t="inlineStr">
        <is>
          <t>NAHARS ENGINEERING INDIA PRIVATE LI</t>
        </is>
      </c>
    </row>
    <row r="1964">
      <c r="D1964" t="n">
        <v>3682068</v>
      </c>
      <c r="H1964" t="inlineStr">
        <is>
          <t>NAHARS ENGINEERING INDIA PRIVATE LI</t>
        </is>
      </c>
    </row>
    <row r="1965">
      <c r="D1965" t="n">
        <v>250198</v>
      </c>
      <c r="H1965" t="inlineStr">
        <is>
          <t>NAHARS ENGINEERING INDIA PRIVATE LI</t>
        </is>
      </c>
    </row>
    <row r="1966">
      <c r="D1966" t="n">
        <v>250198</v>
      </c>
      <c r="H1966" t="inlineStr">
        <is>
          <t>NAHARS ENGINEERING INDIA PRIVATE LI</t>
        </is>
      </c>
    </row>
    <row r="1967">
      <c r="D1967" t="n">
        <v>3673948</v>
      </c>
      <c r="H1967" t="inlineStr">
        <is>
          <t>NAHARS ENGINEERING INDIA PRIVATE LI</t>
        </is>
      </c>
    </row>
    <row r="1968">
      <c r="D1968" t="n">
        <v>3508156</v>
      </c>
      <c r="H1968" t="inlineStr">
        <is>
          <t>NAHARS ENGINEERING INDIA PRIVATE LI</t>
        </is>
      </c>
    </row>
    <row r="1969">
      <c r="D1969" t="n">
        <v>1333188</v>
      </c>
      <c r="H1969" t="inlineStr">
        <is>
          <t>NAHARS ENGINEERING INDIA PRIVATE LI</t>
        </is>
      </c>
    </row>
    <row r="1970">
      <c r="D1970" t="n">
        <v>1333188</v>
      </c>
      <c r="H1970" t="inlineStr">
        <is>
          <t>NAHARS ENGINEERING INDIA PRIVATE LI</t>
        </is>
      </c>
    </row>
    <row r="1971">
      <c r="D1971" t="n">
        <v>1364720</v>
      </c>
      <c r="H1971" t="inlineStr">
        <is>
          <t>NAHARS ENGINEERING INDIA PRIVATE LI</t>
        </is>
      </c>
    </row>
    <row r="1972">
      <c r="D1972" t="n">
        <v>1241174</v>
      </c>
      <c r="H1972" t="inlineStr">
        <is>
          <t>NAHARS ENGINEERING INDIA PRIVATE LI</t>
        </is>
      </c>
    </row>
    <row r="1973">
      <c r="D1973" t="n">
        <v>3087645</v>
      </c>
      <c r="H1973" t="inlineStr">
        <is>
          <t>NAHARS ENGINEERING INDIA PRIVATE LI</t>
        </is>
      </c>
    </row>
    <row r="1974">
      <c r="D1974" t="n">
        <v>3087645</v>
      </c>
      <c r="H1974" t="inlineStr">
        <is>
          <t>NAHARS ENGINEERING INDIA PRIVATE LI</t>
        </is>
      </c>
    </row>
    <row r="1975">
      <c r="D1975" t="n">
        <v>3087645</v>
      </c>
      <c r="H1975" t="inlineStr">
        <is>
          <t>NAHARS ENGINEERING INDIA PRIVATE LI</t>
        </is>
      </c>
    </row>
    <row r="1976">
      <c r="D1976" t="n">
        <v>3506579</v>
      </c>
      <c r="H1976" t="inlineStr">
        <is>
          <t>NAHARS ENGINEERING INDIA PRIVATE LI</t>
        </is>
      </c>
    </row>
    <row r="1977">
      <c r="D1977" t="n">
        <v>3501890</v>
      </c>
      <c r="H1977" t="inlineStr">
        <is>
          <t>NAHARS ENGINEERING INDIA PRIVATE LI</t>
        </is>
      </c>
    </row>
    <row r="1978">
      <c r="D1978" t="n">
        <v>3502302</v>
      </c>
      <c r="H1978" t="inlineStr">
        <is>
          <t>NAHARS ENGINEERING INDIA PRIVATE LI</t>
        </is>
      </c>
    </row>
    <row r="1979">
      <c r="D1979" t="n">
        <v>3502302</v>
      </c>
      <c r="H1979" t="inlineStr">
        <is>
          <t>TECHNICO INDUSTRIES LIMITED</t>
        </is>
      </c>
    </row>
    <row r="1980">
      <c r="D1980" t="n">
        <v>235488</v>
      </c>
      <c r="H1980" t="inlineStr">
        <is>
          <t>TECHNICO INDUSTRIES LIMITED</t>
        </is>
      </c>
    </row>
    <row r="1981">
      <c r="D1981" t="n">
        <v>235488</v>
      </c>
      <c r="H1981" t="inlineStr">
        <is>
          <t>Thai Summit Autoparts India Pvt Ltd</t>
        </is>
      </c>
    </row>
    <row r="1982">
      <c r="D1982" t="n">
        <v>235488</v>
      </c>
      <c r="H1982" t="inlineStr">
        <is>
          <t>Thai Summit Autoparts India Pvt Ltd</t>
        </is>
      </c>
    </row>
    <row r="1983">
      <c r="D1983" t="n">
        <v>235488</v>
      </c>
      <c r="H1983" t="inlineStr">
        <is>
          <t>Thai Summit Autoparts India Pvt Ltd</t>
        </is>
      </c>
    </row>
    <row r="1984">
      <c r="D1984" t="n">
        <v>235488</v>
      </c>
      <c r="H1984" t="inlineStr">
        <is>
          <t>MEGH STEELS PRIVATE LIMITED - HMSIL</t>
        </is>
      </c>
    </row>
    <row r="1985">
      <c r="D1985" t="n">
        <v>235488</v>
      </c>
      <c r="H1985" t="inlineStr">
        <is>
          <t>MEGH STEELS PRIVATE LIMITED - HMSIL</t>
        </is>
      </c>
    </row>
    <row r="1986">
      <c r="D1986" t="n">
        <v>1144880</v>
      </c>
      <c r="H1986" t="inlineStr">
        <is>
          <t>MEGH STEELS PRIVATE LIMITED - HMSIL</t>
        </is>
      </c>
    </row>
    <row r="1987">
      <c r="D1987" t="n">
        <v>1940357</v>
      </c>
      <c r="H1987" t="inlineStr">
        <is>
          <t>MEGH STEELS PRIVATE LIMITED - HMSIL</t>
        </is>
      </c>
    </row>
    <row r="1988">
      <c r="D1988" t="n">
        <v>1940357</v>
      </c>
      <c r="H1988" t="inlineStr">
        <is>
          <t>MEGH STEELS PRIVATE LIMITED - HMSIL</t>
        </is>
      </c>
    </row>
    <row r="1989">
      <c r="D1989" t="n">
        <v>1940357</v>
      </c>
      <c r="H1989" t="inlineStr">
        <is>
          <t>MEGH STEELS PRIVATE LIMITED - HMSIL</t>
        </is>
      </c>
    </row>
    <row r="1990">
      <c r="D1990" t="n">
        <v>1940360</v>
      </c>
      <c r="H1990" t="inlineStr">
        <is>
          <t>MEGH STEELS PRIVATE LIMITED - HMSIL</t>
        </is>
      </c>
    </row>
    <row r="1991">
      <c r="D1991" t="n">
        <v>1900466</v>
      </c>
      <c r="H1991" t="inlineStr">
        <is>
          <t>Rajsriya Automotive Ind Pvt Ltd.</t>
        </is>
      </c>
    </row>
    <row r="1992">
      <c r="D1992" t="n">
        <v>1900466</v>
      </c>
      <c r="H1992" t="inlineStr">
        <is>
          <t>Neel Metal Products Limited</t>
        </is>
      </c>
    </row>
    <row r="1993">
      <c r="D1993" t="n">
        <v>1940363</v>
      </c>
      <c r="H1993" t="inlineStr">
        <is>
          <t>Neel Metal Products Limited</t>
        </is>
      </c>
    </row>
    <row r="1994">
      <c r="D1994" t="n">
        <v>1940363</v>
      </c>
      <c r="H1994" t="inlineStr">
        <is>
          <t>Neel Metal Products Limited</t>
        </is>
      </c>
    </row>
    <row r="1995">
      <c r="D1995" t="n">
        <v>1940363</v>
      </c>
      <c r="H1995" t="inlineStr">
        <is>
          <t>Neel Metal Products Limited</t>
        </is>
      </c>
    </row>
    <row r="1996">
      <c r="D1996" t="n">
        <v>1940363</v>
      </c>
      <c r="H1996" t="inlineStr">
        <is>
          <t>Neel Metal Products Limited</t>
        </is>
      </c>
    </row>
    <row r="1997">
      <c r="D1997" t="n">
        <v>1940363</v>
      </c>
      <c r="H1997" t="inlineStr">
        <is>
          <t>Neel Metal Products Limited</t>
        </is>
      </c>
    </row>
    <row r="1998">
      <c r="D1998" t="n">
        <v>1940363</v>
      </c>
      <c r="H1998" t="inlineStr">
        <is>
          <t>Neel Metal Products Limited</t>
        </is>
      </c>
    </row>
    <row r="1999">
      <c r="D1999" t="n">
        <v>1940363</v>
      </c>
      <c r="H1999" t="inlineStr">
        <is>
          <t>Neel Metal Products Limited</t>
        </is>
      </c>
    </row>
    <row r="2000">
      <c r="D2000" t="n">
        <v>1940363</v>
      </c>
      <c r="H2000" t="inlineStr">
        <is>
          <t>Neel Metal Products Limited</t>
        </is>
      </c>
    </row>
    <row r="2001">
      <c r="D2001" t="n">
        <v>1940363</v>
      </c>
      <c r="H2001" t="inlineStr">
        <is>
          <t>Neel Metal Products Limited</t>
        </is>
      </c>
    </row>
    <row r="2002">
      <c r="D2002" t="n">
        <v>1940363</v>
      </c>
      <c r="H2002" t="inlineStr">
        <is>
          <t>Neel Metal Products Limited</t>
        </is>
      </c>
    </row>
    <row r="2003">
      <c r="D2003" t="n">
        <v>1940363</v>
      </c>
      <c r="H2003" t="inlineStr">
        <is>
          <t>Metalman Auto Private Limited</t>
        </is>
      </c>
    </row>
    <row r="2004">
      <c r="D2004" t="n">
        <v>1940363</v>
      </c>
      <c r="H2004" t="inlineStr">
        <is>
          <t>Metalman Auto Private Limited</t>
        </is>
      </c>
    </row>
    <row r="2005">
      <c r="D2005" t="n">
        <v>3747393</v>
      </c>
      <c r="H2005" t="inlineStr">
        <is>
          <t>Indo Autotech Limited (Unit V)</t>
        </is>
      </c>
    </row>
    <row r="2006">
      <c r="D2006" t="n">
        <v>3747393</v>
      </c>
      <c r="H2006" t="inlineStr">
        <is>
          <t>Indo Autotech Limited (Unit V)</t>
        </is>
      </c>
    </row>
    <row r="2007">
      <c r="D2007" t="n">
        <v>3747393</v>
      </c>
      <c r="H2007" t="inlineStr">
        <is>
          <t>Indo Autotech Limited (Unit V)</t>
        </is>
      </c>
    </row>
    <row r="2008">
      <c r="D2008" t="n">
        <v>3747393</v>
      </c>
      <c r="H2008" t="inlineStr">
        <is>
          <t>Indo Autotech Limited (Unit V)</t>
        </is>
      </c>
    </row>
    <row r="2009">
      <c r="D2009" t="n">
        <v>3747393</v>
      </c>
      <c r="H2009" t="inlineStr">
        <is>
          <t>Indo Autotech Limited (Unit V)</t>
        </is>
      </c>
    </row>
    <row r="2010">
      <c r="D2010" t="n">
        <v>3747393</v>
      </c>
      <c r="H2010" t="inlineStr">
        <is>
          <t>Indo Autotech Limited (Unit V)</t>
        </is>
      </c>
    </row>
    <row r="2011">
      <c r="D2011" t="n">
        <v>2423535</v>
      </c>
      <c r="H2011" t="inlineStr">
        <is>
          <t>Indo Autotech Limited (Unit V)</t>
        </is>
      </c>
    </row>
    <row r="2012">
      <c r="D2012" t="n">
        <v>2423535</v>
      </c>
      <c r="H2012" t="inlineStr">
        <is>
          <t>Indo Autotech Limited (Unit V)</t>
        </is>
      </c>
    </row>
    <row r="2013">
      <c r="D2013" t="n">
        <v>2423535</v>
      </c>
      <c r="H2013" t="inlineStr">
        <is>
          <t>Indo Autotech Limited (Unit V)</t>
        </is>
      </c>
    </row>
    <row r="2014">
      <c r="D2014" t="n">
        <v>2423535</v>
      </c>
      <c r="H2014" t="inlineStr">
        <is>
          <t>SRIKAM HITECH ENGINEERING PRIVATE L</t>
        </is>
      </c>
    </row>
    <row r="2015">
      <c r="D2015" t="n">
        <v>2423535</v>
      </c>
      <c r="H2015" t="inlineStr">
        <is>
          <t>SRIKAM HITECH ENGINEERING PRIVATE L</t>
        </is>
      </c>
    </row>
    <row r="2016">
      <c r="D2016" t="n">
        <v>2423535</v>
      </c>
      <c r="H2016" t="inlineStr">
        <is>
          <t>SRIKAM HITECH ENGINEERING PRIVATE L</t>
        </is>
      </c>
    </row>
    <row r="2017">
      <c r="D2017" t="n">
        <v>2423535</v>
      </c>
      <c r="H2017" t="inlineStr">
        <is>
          <t>SRIKAM HITECH ENGINEERING PRIVATE L</t>
        </is>
      </c>
    </row>
    <row r="2018">
      <c r="D2018" t="n">
        <v>2423535</v>
      </c>
      <c r="H2018" t="inlineStr">
        <is>
          <t>SRIKAM HITECH ENGINEERING PRIVATE L</t>
        </is>
      </c>
    </row>
    <row r="2019">
      <c r="D2019" t="n">
        <v>2423535</v>
      </c>
      <c r="H2019" t="inlineStr">
        <is>
          <t>SRIKAM HITECH ENGINEERING PRIVATE L</t>
        </is>
      </c>
    </row>
    <row r="2020">
      <c r="D2020" t="n">
        <v>2423535</v>
      </c>
      <c r="H2020" t="inlineStr">
        <is>
          <t>Neel Metal Products Limited</t>
        </is>
      </c>
    </row>
    <row r="2021">
      <c r="D2021" t="n">
        <v>2423535</v>
      </c>
      <c r="H2021" t="inlineStr">
        <is>
          <t>NAHARS ENGINEERING INDIA PRIVATE LI</t>
        </is>
      </c>
    </row>
    <row r="2022">
      <c r="D2022" t="n">
        <v>3183145</v>
      </c>
      <c r="H2022" t="inlineStr">
        <is>
          <t>Indo Autotech Limited (Unit V)</t>
        </is>
      </c>
    </row>
    <row r="2023">
      <c r="D2023" t="n">
        <v>3183145</v>
      </c>
      <c r="H2023" t="inlineStr">
        <is>
          <t>Indo Autotech Limited (Unit V)</t>
        </is>
      </c>
    </row>
    <row r="2024">
      <c r="D2024" t="n">
        <v>1940369</v>
      </c>
      <c r="H2024" t="inlineStr">
        <is>
          <t>Indo Autotech Limited (Unit V)</t>
        </is>
      </c>
    </row>
    <row r="2025">
      <c r="D2025" t="n">
        <v>2364549</v>
      </c>
      <c r="H2025" t="inlineStr">
        <is>
          <t>Indo Autotech Limited (Unit V)</t>
        </is>
      </c>
    </row>
    <row r="2026">
      <c r="D2026" t="n">
        <v>2404870</v>
      </c>
      <c r="H2026" t="inlineStr">
        <is>
          <t>Indo Autotech Limited (Unit V)</t>
        </is>
      </c>
    </row>
    <row r="2027">
      <c r="D2027" t="n">
        <v>3702143</v>
      </c>
      <c r="H2027" t="inlineStr">
        <is>
          <t>Indo Autotech Limited (Unit V)</t>
        </is>
      </c>
    </row>
    <row r="2028">
      <c r="D2028" t="n">
        <v>3553684</v>
      </c>
      <c r="H2028" t="inlineStr">
        <is>
          <t>Indo Autotech Limited (Unit V)</t>
        </is>
      </c>
    </row>
    <row r="2029">
      <c r="D2029" t="n">
        <v>3553684</v>
      </c>
      <c r="H2029" t="inlineStr">
        <is>
          <t>Indo Autotech Limited (Unit V)</t>
        </is>
      </c>
    </row>
    <row r="2030">
      <c r="D2030" t="n">
        <v>3553684</v>
      </c>
      <c r="H2030" t="inlineStr">
        <is>
          <t>Indo Autotech Limited (Unit V)</t>
        </is>
      </c>
    </row>
    <row r="2031">
      <c r="D2031" t="n">
        <v>3553684</v>
      </c>
      <c r="H2031" t="inlineStr">
        <is>
          <t>Indo Autotech Limited (Unit V)</t>
        </is>
      </c>
    </row>
    <row r="2032">
      <c r="D2032" t="n">
        <v>3553684</v>
      </c>
      <c r="H2032" t="inlineStr">
        <is>
          <t>Indo Autotech Limited (Unit V)</t>
        </is>
      </c>
    </row>
    <row r="2033">
      <c r="D2033" t="n">
        <v>3553684</v>
      </c>
      <c r="H2033" t="inlineStr">
        <is>
          <t>Indo Autotech Limited (Unit V)</t>
        </is>
      </c>
    </row>
    <row r="2034">
      <c r="D2034" t="n">
        <v>3553684</v>
      </c>
      <c r="H2034" t="inlineStr">
        <is>
          <t>Indo Autotech Limited (Unit V)</t>
        </is>
      </c>
    </row>
    <row r="2035">
      <c r="D2035" t="n">
        <v>3553684</v>
      </c>
      <c r="H2035" t="inlineStr">
        <is>
          <t>Indo Autotech Limited (Unit V)</t>
        </is>
      </c>
    </row>
    <row r="2036">
      <c r="D2036" t="n">
        <v>3553684</v>
      </c>
      <c r="H2036" t="inlineStr">
        <is>
          <t>FREE STOCK</t>
        </is>
      </c>
    </row>
    <row r="2037">
      <c r="D2037" t="n">
        <v>3553684</v>
      </c>
      <c r="H2037" t="inlineStr">
        <is>
          <t>Skb Industries</t>
        </is>
      </c>
    </row>
    <row r="2038">
      <c r="D2038" t="n">
        <v>3553684</v>
      </c>
      <c r="H2038" t="inlineStr">
        <is>
          <t>SANDHAR ENGINEERING PVT LTD.(KA) -U</t>
        </is>
      </c>
    </row>
    <row r="2039">
      <c r="D2039" t="n">
        <v>3553684</v>
      </c>
      <c r="H2039" t="inlineStr">
        <is>
          <t>Metalman Auto Private Limited</t>
        </is>
      </c>
    </row>
    <row r="2040">
      <c r="D2040" t="n">
        <v>3553684</v>
      </c>
      <c r="H2040" t="inlineStr">
        <is>
          <t>Neel Metal Products Limited</t>
        </is>
      </c>
    </row>
    <row r="2041">
      <c r="D2041" t="n">
        <v>3553684</v>
      </c>
      <c r="H2041" t="inlineStr">
        <is>
          <t>Neel Metal Products Limited</t>
        </is>
      </c>
    </row>
    <row r="2042">
      <c r="D2042" t="n">
        <v>3553684</v>
      </c>
      <c r="H2042" t="inlineStr">
        <is>
          <t>Neel Metal Products Limited</t>
        </is>
      </c>
    </row>
    <row r="2043">
      <c r="D2043" t="n">
        <v>1940390</v>
      </c>
      <c r="H2043" t="inlineStr">
        <is>
          <t>Neel Metal Products Limited</t>
        </is>
      </c>
    </row>
    <row r="2044">
      <c r="D2044" t="n">
        <v>1940390</v>
      </c>
      <c r="H2044" t="inlineStr">
        <is>
          <t>Neel Metal Products Limited</t>
        </is>
      </c>
    </row>
    <row r="2045">
      <c r="D2045" t="n">
        <v>1940390</v>
      </c>
      <c r="H2045" t="inlineStr">
        <is>
          <t>Neel Metal Products Limited</t>
        </is>
      </c>
    </row>
    <row r="2046">
      <c r="D2046" t="n">
        <v>1940390</v>
      </c>
      <c r="H2046" t="inlineStr">
        <is>
          <t>Neel Metal Products Limited</t>
        </is>
      </c>
    </row>
    <row r="2047">
      <c r="D2047" t="n">
        <v>1940390</v>
      </c>
      <c r="H2047" t="inlineStr">
        <is>
          <t>Neel Metal Products Limited</t>
        </is>
      </c>
    </row>
    <row r="2048">
      <c r="D2048" t="n">
        <v>1940390</v>
      </c>
      <c r="H2048" t="inlineStr">
        <is>
          <t>Neel Metal Products Limited</t>
        </is>
      </c>
    </row>
    <row r="2049">
      <c r="D2049" t="n">
        <v>1940392</v>
      </c>
      <c r="H2049" t="inlineStr">
        <is>
          <t>Neel Metal Products Limited</t>
        </is>
      </c>
    </row>
    <row r="2050">
      <c r="D2050" t="n">
        <v>1940392</v>
      </c>
      <c r="H2050" t="inlineStr">
        <is>
          <t>Neel Metal Products Limited</t>
        </is>
      </c>
    </row>
    <row r="2051">
      <c r="D2051" t="n">
        <v>1940392</v>
      </c>
      <c r="H2051" t="inlineStr">
        <is>
          <t>Neel Metal Products Limited</t>
        </is>
      </c>
    </row>
    <row r="2052">
      <c r="D2052" t="n">
        <v>1938251</v>
      </c>
      <c r="H2052" t="inlineStr">
        <is>
          <t>Neel Metal Products Limited</t>
        </is>
      </c>
    </row>
    <row r="2053">
      <c r="D2053" t="n">
        <v>1938251</v>
      </c>
      <c r="H2053" t="inlineStr">
        <is>
          <t>Neel Metal Products Limited</t>
        </is>
      </c>
    </row>
    <row r="2054">
      <c r="D2054" t="n">
        <v>1938251</v>
      </c>
      <c r="H2054" t="inlineStr">
        <is>
          <t>Neel Metal Products Limited</t>
        </is>
      </c>
    </row>
    <row r="2055">
      <c r="D2055" t="n">
        <v>1938251</v>
      </c>
      <c r="H2055" t="inlineStr">
        <is>
          <t>Neel Metal Products Limited</t>
        </is>
      </c>
    </row>
    <row r="2056">
      <c r="D2056" t="n">
        <v>1938251</v>
      </c>
      <c r="H2056" t="inlineStr">
        <is>
          <t>Neel Metal Products Limited</t>
        </is>
      </c>
    </row>
    <row r="2057">
      <c r="D2057" t="n">
        <v>1938251</v>
      </c>
      <c r="H2057" t="inlineStr">
        <is>
          <t>Indo AutoTech</t>
        </is>
      </c>
    </row>
    <row r="2058">
      <c r="D2058" t="n">
        <v>1938251</v>
      </c>
      <c r="H2058" t="inlineStr">
        <is>
          <t>Indo AutoTech</t>
        </is>
      </c>
    </row>
    <row r="2059">
      <c r="D2059" t="n">
        <v>1938251</v>
      </c>
      <c r="H2059" t="inlineStr">
        <is>
          <t>Indo AutoTech</t>
        </is>
      </c>
    </row>
    <row r="2060">
      <c r="D2060" t="n">
        <v>1938251</v>
      </c>
      <c r="H2060" t="inlineStr">
        <is>
          <t>Indo AutoTech</t>
        </is>
      </c>
    </row>
    <row r="2061">
      <c r="D2061" t="n">
        <v>1938251</v>
      </c>
      <c r="H2061" t="inlineStr">
        <is>
          <t>KNITVEL</t>
        </is>
      </c>
    </row>
    <row r="2062">
      <c r="D2062" t="n">
        <v>1940398</v>
      </c>
      <c r="H2062" t="inlineStr">
        <is>
          <t>SANDHAR ENGINEERING PVT LTD.(KA) -U</t>
        </is>
      </c>
    </row>
    <row r="2063">
      <c r="D2063" t="n">
        <v>1940398</v>
      </c>
      <c r="H2063" t="inlineStr">
        <is>
          <t>Indo Autotech Limited (Unit V)</t>
        </is>
      </c>
    </row>
    <row r="2064">
      <c r="D2064" t="n">
        <v>1940399</v>
      </c>
      <c r="H2064" t="inlineStr">
        <is>
          <t>Indo Autotech Limited (Unit V)</t>
        </is>
      </c>
    </row>
    <row r="2065">
      <c r="D2065" t="n">
        <v>1940399</v>
      </c>
      <c r="H2065" t="inlineStr">
        <is>
          <t>Indo Autotech Limited (Unit V)</t>
        </is>
      </c>
    </row>
    <row r="2066">
      <c r="D2066" t="n">
        <v>1940399</v>
      </c>
      <c r="H2066" t="inlineStr">
        <is>
          <t>Indo Autotech Limited (Unit V)</t>
        </is>
      </c>
    </row>
    <row r="2067">
      <c r="D2067" t="n">
        <v>1940399</v>
      </c>
      <c r="H2067" t="inlineStr">
        <is>
          <t>Indo Autotech Limited (Unit V)</t>
        </is>
      </c>
    </row>
    <row r="2068">
      <c r="D2068" t="n">
        <v>1940399</v>
      </c>
      <c r="H2068" t="inlineStr">
        <is>
          <t>Indo Autotech Limited (Unit V)</t>
        </is>
      </c>
    </row>
    <row r="2069">
      <c r="D2069" t="n">
        <v>1940399</v>
      </c>
      <c r="H2069" t="inlineStr">
        <is>
          <t>Indo Autotech Limited (Unit V)</t>
        </is>
      </c>
    </row>
    <row r="2070">
      <c r="D2070" t="n">
        <v>1940400</v>
      </c>
      <c r="H2070" t="inlineStr">
        <is>
          <t>Indo Autotech Limited (Unit V)</t>
        </is>
      </c>
    </row>
    <row r="2071">
      <c r="D2071" t="n">
        <v>1940403</v>
      </c>
      <c r="H2071" t="inlineStr">
        <is>
          <t>Indo Autotech Limited (Unit V)</t>
        </is>
      </c>
    </row>
    <row r="2072">
      <c r="D2072" t="n">
        <v>1940403</v>
      </c>
      <c r="H2072" t="inlineStr">
        <is>
          <t>Indo Autotech Limited (Unit V)</t>
        </is>
      </c>
    </row>
    <row r="2073">
      <c r="D2073" t="n">
        <v>2427960</v>
      </c>
      <c r="H2073" t="inlineStr">
        <is>
          <t>Indo Autotech Limited (Unit V)</t>
        </is>
      </c>
    </row>
    <row r="2074">
      <c r="D2074" t="n">
        <v>2427960</v>
      </c>
      <c r="H2074" t="inlineStr">
        <is>
          <t>Rajsriya Automotive Ind Pvt Ltd.</t>
        </is>
      </c>
    </row>
    <row r="2075">
      <c r="D2075" t="n">
        <v>2427960</v>
      </c>
      <c r="H2075" t="inlineStr">
        <is>
          <t>Rajsriya Automotive Ind Pvt Ltd.</t>
        </is>
      </c>
    </row>
    <row r="2076">
      <c r="D2076" t="n">
        <v>2427960</v>
      </c>
      <c r="H2076" t="inlineStr">
        <is>
          <t>Rajsriya Automotive Ind Pvt Ltd.</t>
        </is>
      </c>
    </row>
    <row r="2077">
      <c r="D2077" t="n">
        <v>2427960</v>
      </c>
      <c r="H2077" t="inlineStr">
        <is>
          <t>Rajsriya Automotive Ind Pvt Ltd.</t>
        </is>
      </c>
    </row>
    <row r="2078">
      <c r="D2078" t="n">
        <v>2427939</v>
      </c>
      <c r="H2078" t="inlineStr">
        <is>
          <t>Rajsriya Automotive Ind Pvt Ltd.</t>
        </is>
      </c>
    </row>
    <row r="2079">
      <c r="D2079" t="n">
        <v>2427939</v>
      </c>
      <c r="H2079" t="inlineStr">
        <is>
          <t>Indo Autotech Limited (Unit V)</t>
        </is>
      </c>
    </row>
    <row r="2080">
      <c r="D2080" t="n">
        <v>2427939</v>
      </c>
      <c r="H2080" t="inlineStr">
        <is>
          <t>Indo Autotech Limited (Unit V)</t>
        </is>
      </c>
    </row>
    <row r="2081">
      <c r="D2081" t="n">
        <v>2427939</v>
      </c>
      <c r="H2081" t="inlineStr">
        <is>
          <t>Indo Autotech Limited (Unit V)</t>
        </is>
      </c>
    </row>
    <row r="2082">
      <c r="D2082" t="n">
        <v>2427939</v>
      </c>
      <c r="H2082" t="inlineStr">
        <is>
          <t>Indo Autotech Limited (Unit V)</t>
        </is>
      </c>
    </row>
    <row r="2083">
      <c r="D2083" t="n">
        <v>2427939</v>
      </c>
      <c r="H2083" t="inlineStr">
        <is>
          <t>Indo Autotech Limited (Unit V)</t>
        </is>
      </c>
    </row>
    <row r="2084">
      <c r="D2084" t="n">
        <v>3714733</v>
      </c>
      <c r="H2084" t="inlineStr">
        <is>
          <t>Indo Autotech Limited (Unit V)</t>
        </is>
      </c>
    </row>
    <row r="2085">
      <c r="D2085" t="n">
        <v>3714733</v>
      </c>
      <c r="H2085" t="inlineStr">
        <is>
          <t>Indo Autotech Limited (Unit V)</t>
        </is>
      </c>
    </row>
    <row r="2086">
      <c r="D2086" t="n">
        <v>3714733</v>
      </c>
      <c r="H2086" t="inlineStr">
        <is>
          <t>Indo Autotech Limited (Unit V)</t>
        </is>
      </c>
    </row>
    <row r="2087">
      <c r="D2087" t="n">
        <v>3714733</v>
      </c>
      <c r="H2087" t="inlineStr">
        <is>
          <t>Indo Autotech Limited (Unit V)</t>
        </is>
      </c>
    </row>
    <row r="2088">
      <c r="D2088" t="n">
        <v>3714733</v>
      </c>
      <c r="H2088" t="inlineStr">
        <is>
          <t>JBM AUTO LIMITED</t>
        </is>
      </c>
    </row>
    <row r="2089">
      <c r="D2089" t="n">
        <v>2270133</v>
      </c>
      <c r="H2089" t="inlineStr">
        <is>
          <t>JBM AUTO LIMITED</t>
        </is>
      </c>
    </row>
    <row r="2090">
      <c r="D2090" t="n">
        <v>2270133</v>
      </c>
      <c r="H2090" t="inlineStr">
        <is>
          <t>JBM AUTO LIMITED</t>
        </is>
      </c>
    </row>
    <row r="2091">
      <c r="D2091" t="n">
        <v>2270133</v>
      </c>
      <c r="H2091" t="inlineStr">
        <is>
          <t>JBM AUTO LIMITED</t>
        </is>
      </c>
    </row>
    <row r="2092">
      <c r="D2092" t="n">
        <v>2270133</v>
      </c>
      <c r="H2092" t="inlineStr">
        <is>
          <t>JBM AUTO LIMITED</t>
        </is>
      </c>
    </row>
    <row r="2093">
      <c r="D2093" t="n">
        <v>2270133</v>
      </c>
      <c r="H2093" t="inlineStr">
        <is>
          <t>Elkayem Auto Ancillaries ( P ) LTD</t>
        </is>
      </c>
    </row>
    <row r="2094">
      <c r="D2094" t="n">
        <v>2270133</v>
      </c>
      <c r="H2094" t="inlineStr">
        <is>
          <t>Indo Autotech Limited (Unit V)</t>
        </is>
      </c>
    </row>
    <row r="2095">
      <c r="D2095" t="n">
        <v>2270133</v>
      </c>
      <c r="H2095" t="inlineStr">
        <is>
          <t>Indo Autotech Limited (Unit V)</t>
        </is>
      </c>
    </row>
    <row r="2096">
      <c r="D2096" t="n">
        <v>2270133</v>
      </c>
      <c r="H2096" t="inlineStr">
        <is>
          <t>Indo Autotech Limited (Unit V)</t>
        </is>
      </c>
    </row>
    <row r="2097">
      <c r="D2097" t="n">
        <v>2270133</v>
      </c>
      <c r="H2097" t="inlineStr">
        <is>
          <t>Indo Autotech Limited (Unit V)</t>
        </is>
      </c>
    </row>
    <row r="2098">
      <c r="D2098" t="n">
        <v>2270133</v>
      </c>
      <c r="H2098" t="inlineStr">
        <is>
          <t>Indo Autotech Limited (Unit V)</t>
        </is>
      </c>
    </row>
    <row r="2099">
      <c r="D2099" t="n">
        <v>2270133</v>
      </c>
      <c r="H2099" t="inlineStr">
        <is>
          <t>Indo Autotech Limited (Unit V)</t>
        </is>
      </c>
    </row>
    <row r="2100">
      <c r="D2100" t="n">
        <v>2270133</v>
      </c>
      <c r="H2100" t="inlineStr">
        <is>
          <t>Indo Autotech Limited (Unit V)</t>
        </is>
      </c>
    </row>
    <row r="2101">
      <c r="D2101" t="n">
        <v>1940407</v>
      </c>
      <c r="H2101" t="inlineStr">
        <is>
          <t>Indo Autotech Limited (Unit V)</t>
        </is>
      </c>
    </row>
    <row r="2102">
      <c r="D2102" t="n">
        <v>1940407</v>
      </c>
      <c r="H2102" t="inlineStr">
        <is>
          <t>Neel Metal Products Limited</t>
        </is>
      </c>
    </row>
    <row r="2103">
      <c r="D2103" t="n">
        <v>1940407</v>
      </c>
      <c r="H2103" t="inlineStr">
        <is>
          <t>Neel Metal Products Limited</t>
        </is>
      </c>
    </row>
    <row r="2104">
      <c r="D2104" t="n">
        <v>1940407</v>
      </c>
      <c r="H2104" t="inlineStr">
        <is>
          <t>Neel Metal Products Limited</t>
        </is>
      </c>
    </row>
    <row r="2105">
      <c r="D2105" t="n">
        <v>1940407</v>
      </c>
      <c r="H2105" t="inlineStr">
        <is>
          <t>SRIKAM HITECH ENGINEERING PRIVATE L</t>
        </is>
      </c>
    </row>
    <row r="2106">
      <c r="D2106" t="n">
        <v>1940407</v>
      </c>
      <c r="H2106" t="inlineStr">
        <is>
          <t>SRIKAM HITECH ENGINEERING PRIVATE L</t>
        </is>
      </c>
    </row>
    <row r="2107">
      <c r="D2107" t="n">
        <v>1940407</v>
      </c>
      <c r="H2107" t="inlineStr">
        <is>
          <t>SRIKAM HITECH ENGINEERING PRIVATE L</t>
        </is>
      </c>
    </row>
    <row r="2108">
      <c r="D2108" t="n">
        <v>1940407</v>
      </c>
      <c r="H2108" t="inlineStr">
        <is>
          <t>SRIKAM HITECH ENGINEERING PRIVATE L</t>
        </is>
      </c>
    </row>
    <row r="2109">
      <c r="D2109" t="n">
        <v>1940408</v>
      </c>
      <c r="H2109" t="inlineStr">
        <is>
          <t>SRIKAM HITECH ENGINEERING PRIVATE L</t>
        </is>
      </c>
    </row>
    <row r="2110">
      <c r="D2110" t="n">
        <v>1940408</v>
      </c>
      <c r="H2110" t="inlineStr">
        <is>
          <t>SRIKAM HITECH ENGINEERING PRIVATE L</t>
        </is>
      </c>
    </row>
    <row r="2111">
      <c r="D2111" t="n">
        <v>1940408</v>
      </c>
      <c r="H2111" t="inlineStr">
        <is>
          <t>SRIKAM HITECH ENGINEERING PRIVATE L</t>
        </is>
      </c>
    </row>
    <row r="2112">
      <c r="D2112" t="n">
        <v>1940408</v>
      </c>
      <c r="H2112" t="inlineStr">
        <is>
          <t>SRIKAM HITECH ENGINEERING PRIVATE L</t>
        </is>
      </c>
    </row>
    <row r="2113">
      <c r="D2113" t="n">
        <v>1940408</v>
      </c>
      <c r="H2113" t="inlineStr">
        <is>
          <t>SRIKAM HITECH ENGINEERING PRIVATE L</t>
        </is>
      </c>
    </row>
    <row r="2114">
      <c r="D2114" t="n">
        <v>1940408</v>
      </c>
      <c r="H2114" t="inlineStr">
        <is>
          <t>SRIKAM HITECH ENGINEERING PRIVATE L</t>
        </is>
      </c>
    </row>
    <row r="2115">
      <c r="D2115" t="n">
        <v>1940408</v>
      </c>
      <c r="H2115" t="inlineStr">
        <is>
          <t>SRIKAM HITECH ENGINEERING PRIVATE L</t>
        </is>
      </c>
    </row>
    <row r="2116">
      <c r="D2116" t="n">
        <v>1940408</v>
      </c>
      <c r="H2116" t="inlineStr">
        <is>
          <t>SRIKAM HITECH ENGINEERING PRIVATE L</t>
        </is>
      </c>
    </row>
    <row r="2117">
      <c r="D2117" t="n">
        <v>1940408</v>
      </c>
      <c r="H2117" t="inlineStr">
        <is>
          <t>SRIKAM HITECH ENGINEERING PRIVATE L</t>
        </is>
      </c>
    </row>
    <row r="2118">
      <c r="D2118" t="n">
        <v>1940408</v>
      </c>
      <c r="H2118" t="inlineStr">
        <is>
          <t>SRIKAM HITECH ENGINEERING PRIVATE L</t>
        </is>
      </c>
    </row>
    <row r="2119">
      <c r="D2119" t="n">
        <v>1940408</v>
      </c>
      <c r="H2119" t="inlineStr">
        <is>
          <t>SRIKAM HITECH ENGINEERING PRIVATE L</t>
        </is>
      </c>
    </row>
    <row r="2120">
      <c r="D2120" t="n">
        <v>1940408</v>
      </c>
      <c r="H2120" t="inlineStr">
        <is>
          <t>SRIKAM HITECH ENGINEERING PRIVATE L</t>
        </is>
      </c>
    </row>
    <row r="2121">
      <c r="D2121" t="n">
        <v>1940408</v>
      </c>
      <c r="H2121" t="inlineStr">
        <is>
          <t>SRIKAM HITECH ENGINEERING PRIVATE L</t>
        </is>
      </c>
    </row>
    <row r="2122">
      <c r="D2122" t="n">
        <v>3628242</v>
      </c>
      <c r="H2122" t="inlineStr">
        <is>
          <t>SRIKAM HITECH ENGINEERING PRIVATE L</t>
        </is>
      </c>
    </row>
    <row r="2123">
      <c r="D2123" t="n">
        <v>2418687</v>
      </c>
      <c r="H2123" t="inlineStr">
        <is>
          <t>SRIKAM HITECH ENGINEERING PRIVATE L</t>
        </is>
      </c>
    </row>
    <row r="2124">
      <c r="D2124" t="n">
        <v>2418687</v>
      </c>
      <c r="H2124" t="inlineStr">
        <is>
          <t>SRIKAM HITECH ENGINEERING PRIVATE L</t>
        </is>
      </c>
    </row>
    <row r="2125">
      <c r="D2125" t="n">
        <v>2418687</v>
      </c>
      <c r="H2125" t="inlineStr">
        <is>
          <t>SRIKAM HITECH ENGINEERING PRIVATE L</t>
        </is>
      </c>
    </row>
    <row r="2126">
      <c r="D2126" t="n">
        <v>2418687</v>
      </c>
      <c r="H2126" t="inlineStr">
        <is>
          <t>SRIKAM HITECH ENGINEERING PRIVATE L</t>
        </is>
      </c>
    </row>
    <row r="2127">
      <c r="D2127" t="n">
        <v>2418687</v>
      </c>
      <c r="H2127" t="inlineStr">
        <is>
          <t>SRIKAM HITECH ENGINEERING PRIVATE L</t>
        </is>
      </c>
    </row>
    <row r="2128">
      <c r="D2128" t="n">
        <v>2418687</v>
      </c>
      <c r="H2128" t="inlineStr">
        <is>
          <t>SRIKAM HITECH ENGINEERING PRIVATE L</t>
        </is>
      </c>
    </row>
    <row r="2129">
      <c r="D2129" t="n">
        <v>2418687</v>
      </c>
      <c r="H2129" t="inlineStr">
        <is>
          <t>SRIKAM HITECH ENGINEERING PRIVATE L</t>
        </is>
      </c>
    </row>
    <row r="2130">
      <c r="D2130" t="n">
        <v>2418687</v>
      </c>
      <c r="H2130" t="inlineStr">
        <is>
          <t>Rajsriya Automotive Ind Pvt Ltd.</t>
        </is>
      </c>
    </row>
    <row r="2131">
      <c r="D2131" t="n">
        <v>2418687</v>
      </c>
      <c r="H2131" t="inlineStr">
        <is>
          <t>Rajsriya Automotive Ind Pvt Ltd.</t>
        </is>
      </c>
    </row>
    <row r="2132">
      <c r="D2132" t="n">
        <v>2418687</v>
      </c>
      <c r="H2132" t="inlineStr">
        <is>
          <t>Rajsriya Automotive Ind Pvt Ltd.</t>
        </is>
      </c>
    </row>
    <row r="2133">
      <c r="D2133" t="n">
        <v>1940415</v>
      </c>
      <c r="H2133" t="inlineStr">
        <is>
          <t>Rajsriya Automotive Ind Pvt Ltd.</t>
        </is>
      </c>
    </row>
    <row r="2134">
      <c r="D2134" t="n">
        <v>1940415</v>
      </c>
      <c r="H2134" t="inlineStr">
        <is>
          <t>Rajsriya Automotive Ind Pvt Ltd.</t>
        </is>
      </c>
    </row>
    <row r="2135">
      <c r="D2135" t="n">
        <v>1940416</v>
      </c>
      <c r="H2135" t="inlineStr">
        <is>
          <t>Rajsriya Automotive Ind Pvt Ltd.</t>
        </is>
      </c>
    </row>
    <row r="2136">
      <c r="D2136" t="n">
        <v>1940416</v>
      </c>
      <c r="H2136" t="inlineStr">
        <is>
          <t>Rajsriya Automotive Ind Pvt Ltd.</t>
        </is>
      </c>
    </row>
    <row r="2137">
      <c r="D2137" t="n">
        <v>1940416</v>
      </c>
      <c r="H2137" t="inlineStr">
        <is>
          <t>Rajsriya Automotive Ind Pvt Ltd.</t>
        </is>
      </c>
    </row>
    <row r="2138">
      <c r="D2138" t="n">
        <v>1940416</v>
      </c>
      <c r="H2138" t="inlineStr">
        <is>
          <t>Rajsriya Automotive Ind Pvt Ltd.</t>
        </is>
      </c>
    </row>
    <row r="2139">
      <c r="D2139" t="n">
        <v>1940416</v>
      </c>
      <c r="H2139" t="inlineStr">
        <is>
          <t>Rajsriya Automotive Ind Pvt Ltd.</t>
        </is>
      </c>
    </row>
    <row r="2140">
      <c r="D2140" t="n">
        <v>1940416</v>
      </c>
      <c r="H2140" t="inlineStr">
        <is>
          <t>Rajsriya Automotive Ind Pvt Ltd.</t>
        </is>
      </c>
    </row>
    <row r="2141">
      <c r="D2141" t="n">
        <v>1940416</v>
      </c>
      <c r="H2141" t="inlineStr">
        <is>
          <t>Rajsriya Automotive Ind Pvt Ltd.</t>
        </is>
      </c>
    </row>
    <row r="2142">
      <c r="D2142" t="n">
        <v>1940416</v>
      </c>
      <c r="H2142" t="inlineStr">
        <is>
          <t>Rajsriya Automotive Ind Pvt Ltd.</t>
        </is>
      </c>
    </row>
    <row r="2143">
      <c r="D2143" t="n">
        <v>1940416</v>
      </c>
      <c r="H2143" t="inlineStr">
        <is>
          <t>Rajsriya Automotive Ind Pvt Ltd.</t>
        </is>
      </c>
    </row>
    <row r="2144">
      <c r="D2144" t="n">
        <v>1940416</v>
      </c>
      <c r="H2144" t="inlineStr">
        <is>
          <t>Rajsriya Automotive Ind Pvt Ltd.</t>
        </is>
      </c>
    </row>
    <row r="2145">
      <c r="D2145" t="n">
        <v>1940416</v>
      </c>
      <c r="H2145" t="inlineStr">
        <is>
          <t>Rajsriya Automotive Ind Pvt Ltd.</t>
        </is>
      </c>
    </row>
    <row r="2146">
      <c r="D2146" t="n">
        <v>1940416</v>
      </c>
      <c r="H2146" t="inlineStr">
        <is>
          <t>Rajsriya Automotive Ind Pvt Ltd.</t>
        </is>
      </c>
    </row>
    <row r="2147">
      <c r="D2147" t="n">
        <v>1940416</v>
      </c>
      <c r="H2147" t="inlineStr">
        <is>
          <t>Rajsriya Automotive Ind Pvt Ltd.</t>
        </is>
      </c>
    </row>
    <row r="2148">
      <c r="D2148" t="n">
        <v>1940416</v>
      </c>
      <c r="H2148" t="inlineStr">
        <is>
          <t>Rajsriya Automotive Ind Pvt Ltd.</t>
        </is>
      </c>
    </row>
    <row r="2149">
      <c r="D2149" t="n">
        <v>1940416</v>
      </c>
      <c r="H2149" t="inlineStr">
        <is>
          <t>Rajsriya Automotive Ind Pvt Ltd.</t>
        </is>
      </c>
    </row>
    <row r="2150">
      <c r="D2150" t="n">
        <v>1940416</v>
      </c>
      <c r="H2150" t="inlineStr">
        <is>
          <t>Rajsriya Automotive Ind Pvt Ltd.</t>
        </is>
      </c>
    </row>
    <row r="2151">
      <c r="D2151" t="n">
        <v>1940416</v>
      </c>
      <c r="H2151" t="inlineStr">
        <is>
          <t>Rajsriya Automotive Ind Pvt Ltd.</t>
        </is>
      </c>
    </row>
    <row r="2152">
      <c r="D2152" t="n">
        <v>1940416</v>
      </c>
      <c r="H2152" t="inlineStr">
        <is>
          <t>SANDHAR ENGINEERING PVT LTD.(KA) -U</t>
        </is>
      </c>
    </row>
    <row r="2153">
      <c r="D2153" t="n">
        <v>1940416</v>
      </c>
      <c r="H2153" t="inlineStr">
        <is>
          <t>SANDHAR ENGINEERING PVT LTD.(KA) -U</t>
        </is>
      </c>
    </row>
    <row r="2154">
      <c r="D2154" t="n">
        <v>3599863</v>
      </c>
      <c r="H2154" t="inlineStr">
        <is>
          <t>SANDHAR ENGINEERING PVT LTD.(KA) -U</t>
        </is>
      </c>
    </row>
    <row r="2155">
      <c r="D2155" t="n">
        <v>3599863</v>
      </c>
      <c r="H2155" t="inlineStr">
        <is>
          <t>SANDHAR ENGINEERING PVT LTD.(KA) -U</t>
        </is>
      </c>
    </row>
    <row r="2156">
      <c r="D2156" t="n">
        <v>3599863</v>
      </c>
      <c r="H2156" t="inlineStr">
        <is>
          <t>SANDHAR ENGINEERING PVT LTD.(KA) -U</t>
        </is>
      </c>
    </row>
    <row r="2157">
      <c r="D2157" t="n">
        <v>3599863</v>
      </c>
      <c r="H2157" t="inlineStr">
        <is>
          <t>SANDHAR ENGINEERING PVT LTD.(KA) -U</t>
        </is>
      </c>
    </row>
    <row r="2158">
      <c r="D2158" t="n">
        <v>3599863</v>
      </c>
      <c r="H2158" t="inlineStr">
        <is>
          <t>SANDHAR ENGINEERING PVT LTD.(KA) -U</t>
        </is>
      </c>
    </row>
    <row r="2159">
      <c r="D2159" t="n">
        <v>3599035</v>
      </c>
      <c r="H2159" t="inlineStr">
        <is>
          <t>SANDHAR ENGINEERING PVT LTD.(KA) -U</t>
        </is>
      </c>
    </row>
    <row r="2160">
      <c r="D2160" t="n">
        <v>3672992</v>
      </c>
      <c r="H2160" t="inlineStr">
        <is>
          <t>SANDHAR ENGINEERING PVT LTD.(KA) -U</t>
        </is>
      </c>
    </row>
    <row r="2161">
      <c r="D2161" t="n">
        <v>3672992</v>
      </c>
      <c r="H2161" t="inlineStr">
        <is>
          <t>SANDHAR ENGINEERING PVT LTD.(KA) -U</t>
        </is>
      </c>
    </row>
    <row r="2162">
      <c r="D2162" t="n">
        <v>3672992</v>
      </c>
      <c r="H2162" t="inlineStr">
        <is>
          <t>SANDHAR ENGINEERING PVT LTD.(KA) -U</t>
        </is>
      </c>
    </row>
    <row r="2163">
      <c r="D2163" t="n">
        <v>3673012</v>
      </c>
      <c r="H2163" t="inlineStr">
        <is>
          <t>SANDHAR ENGINEERING PVT LTD.(KA) -U</t>
        </is>
      </c>
    </row>
    <row r="2164">
      <c r="D2164" t="n">
        <v>3673012</v>
      </c>
      <c r="H2164" t="inlineStr">
        <is>
          <t>SANDHAR ENGINEERING PVT LTD.(KA) -U</t>
        </is>
      </c>
    </row>
    <row r="2165">
      <c r="D2165" t="n">
        <v>3673012</v>
      </c>
      <c r="H2165" t="inlineStr">
        <is>
          <t>SANDHAR ENGINEERING PVT LTD.(KA) -U</t>
        </is>
      </c>
    </row>
    <row r="2166">
      <c r="D2166" t="n">
        <v>3673012</v>
      </c>
      <c r="H2166" t="inlineStr">
        <is>
          <t>SANDHAR ENGINEERING PVT LTD.(KA) -U</t>
        </is>
      </c>
    </row>
    <row r="2167">
      <c r="D2167" t="n">
        <v>3673012</v>
      </c>
      <c r="H2167" t="inlineStr">
        <is>
          <t>SANDHAR ENGINEERING PVT LTD.(KA) -U</t>
        </is>
      </c>
    </row>
    <row r="2168">
      <c r="D2168" t="n">
        <v>3673012</v>
      </c>
      <c r="H2168" t="inlineStr">
        <is>
          <t>SANDHAR ENGINEERING PVT LTD.(KA) -U</t>
        </is>
      </c>
    </row>
    <row r="2169">
      <c r="D2169" t="n">
        <v>3673012</v>
      </c>
      <c r="H2169" t="inlineStr">
        <is>
          <t>SANDHAR ENGINEERING PVT LTD.(KA) -U</t>
        </is>
      </c>
    </row>
    <row r="2170">
      <c r="D2170" t="n">
        <v>3673012</v>
      </c>
      <c r="H2170" t="inlineStr">
        <is>
          <t>SANDHAR ENGINEERING PVT LTD.(KA) -U</t>
        </is>
      </c>
    </row>
    <row r="2171">
      <c r="D2171" t="n">
        <v>3673012</v>
      </c>
      <c r="H2171" t="inlineStr">
        <is>
          <t>SANDHAR ENGINEERING PVT LTD.(KA) -U</t>
        </is>
      </c>
    </row>
    <row r="2172">
      <c r="D2172" t="n">
        <v>3673012</v>
      </c>
      <c r="H2172" t="inlineStr">
        <is>
          <t>SANDHAR ENGINEERING PVT LTD.(KA) -U</t>
        </is>
      </c>
    </row>
    <row r="2173">
      <c r="D2173" t="n">
        <v>3673012</v>
      </c>
      <c r="H2173" t="inlineStr">
        <is>
          <t>SANDHAR ENGINEERING PVT LTD.(KA) -U</t>
        </is>
      </c>
    </row>
    <row r="2174">
      <c r="D2174" t="n">
        <v>1940418</v>
      </c>
      <c r="H2174" t="inlineStr">
        <is>
          <t>SANDHAR ENGINEERING PVT LTD.(KA) -U</t>
        </is>
      </c>
    </row>
    <row r="2175">
      <c r="D2175" t="n">
        <v>1940418</v>
      </c>
      <c r="H2175" t="inlineStr">
        <is>
          <t>SANDHAR ENGINEERING PVT LTD.(KA) -U</t>
        </is>
      </c>
    </row>
    <row r="2176">
      <c r="D2176" t="n">
        <v>1940418</v>
      </c>
      <c r="H2176" t="inlineStr">
        <is>
          <t>SANDHAR ENGINEERING PVT LTD.(KA) -U</t>
        </is>
      </c>
    </row>
    <row r="2177">
      <c r="D2177" t="n">
        <v>1940418</v>
      </c>
      <c r="H2177" t="inlineStr">
        <is>
          <t>SANDHAR ENGINEERING PVT LTD.(KA) -U</t>
        </is>
      </c>
    </row>
    <row r="2178">
      <c r="D2178" t="n">
        <v>1940420</v>
      </c>
      <c r="H2178" t="inlineStr">
        <is>
          <t>SANDHAR ENGINEERING PVT LTD.(KA) -U</t>
        </is>
      </c>
    </row>
    <row r="2179">
      <c r="D2179" t="n">
        <v>1940420</v>
      </c>
      <c r="H2179" t="inlineStr">
        <is>
          <t>SANDHAR ENGINEERING PVT LTD.(KA) -U</t>
        </is>
      </c>
    </row>
    <row r="2180">
      <c r="D2180" t="n">
        <v>1940420</v>
      </c>
      <c r="H2180" t="inlineStr">
        <is>
          <t>Neel Metal Products Limited</t>
        </is>
      </c>
    </row>
    <row r="2181">
      <c r="D2181" t="n">
        <v>1940420</v>
      </c>
      <c r="H2181" t="inlineStr">
        <is>
          <t>Neel Metal Products Limited</t>
        </is>
      </c>
    </row>
    <row r="2182">
      <c r="D2182" t="n">
        <v>1940420</v>
      </c>
      <c r="H2182" t="inlineStr">
        <is>
          <t>Neel Metal Products Limited</t>
        </is>
      </c>
    </row>
    <row r="2183">
      <c r="D2183" t="n">
        <v>3673011</v>
      </c>
      <c r="H2183" t="inlineStr">
        <is>
          <t>Neel Metal Products Limited</t>
        </is>
      </c>
    </row>
    <row r="2184">
      <c r="D2184" t="n">
        <v>3673011</v>
      </c>
      <c r="H2184" t="inlineStr">
        <is>
          <t>Neel Metal Products Limited</t>
        </is>
      </c>
    </row>
    <row r="2185">
      <c r="D2185" t="n">
        <v>3673011</v>
      </c>
      <c r="H2185" t="inlineStr">
        <is>
          <t>Neel Metal Products Limited</t>
        </is>
      </c>
    </row>
    <row r="2186">
      <c r="D2186" t="n">
        <v>3673011</v>
      </c>
      <c r="H2186" t="inlineStr">
        <is>
          <t>Neel Metal Products Limited</t>
        </is>
      </c>
    </row>
    <row r="2187">
      <c r="D2187" t="n">
        <v>3673011</v>
      </c>
      <c r="H2187" t="inlineStr">
        <is>
          <t>Neel Metal Products Limited</t>
        </is>
      </c>
    </row>
    <row r="2188">
      <c r="D2188" t="n">
        <v>2349249</v>
      </c>
      <c r="H2188" t="inlineStr">
        <is>
          <t>Neel Metal Products Limited</t>
        </is>
      </c>
    </row>
    <row r="2189">
      <c r="D2189" t="n">
        <v>2349249</v>
      </c>
      <c r="H2189" t="inlineStr">
        <is>
          <t>Neel Metal Products Limited</t>
        </is>
      </c>
    </row>
    <row r="2190">
      <c r="D2190" t="n">
        <v>2349249</v>
      </c>
      <c r="H2190" t="inlineStr">
        <is>
          <t>Neel Metal Products Limited</t>
        </is>
      </c>
    </row>
    <row r="2191">
      <c r="D2191" t="n">
        <v>2349249</v>
      </c>
      <c r="H2191" t="inlineStr">
        <is>
          <t>Neel Metal Products Limited</t>
        </is>
      </c>
    </row>
    <row r="2192">
      <c r="D2192" t="n">
        <v>1931050</v>
      </c>
      <c r="H2192" t="inlineStr">
        <is>
          <t>Neel Metal Products Limited</t>
        </is>
      </c>
    </row>
    <row r="2193">
      <c r="D2193" t="n">
        <v>3575897</v>
      </c>
      <c r="H2193" t="inlineStr">
        <is>
          <t>Neel Metal Products Limited</t>
        </is>
      </c>
    </row>
    <row r="2194">
      <c r="D2194" t="n">
        <v>3714733</v>
      </c>
      <c r="H2194" t="inlineStr">
        <is>
          <t>Neel Metal Products Limited</t>
        </is>
      </c>
    </row>
    <row r="2195">
      <c r="D2195" t="n">
        <v>1940430</v>
      </c>
      <c r="H2195" t="inlineStr">
        <is>
          <t>Neel Metal Products Limited</t>
        </is>
      </c>
    </row>
    <row r="2196">
      <c r="D2196" t="n">
        <v>1940430</v>
      </c>
      <c r="H2196" t="inlineStr">
        <is>
          <t>Neel Metal Products Limited</t>
        </is>
      </c>
    </row>
    <row r="2197">
      <c r="D2197" t="n">
        <v>1940430</v>
      </c>
      <c r="H2197" t="inlineStr">
        <is>
          <t>Rajsriya Automotive Ind Pvt Ltd.</t>
        </is>
      </c>
    </row>
    <row r="2198">
      <c r="D2198" t="n">
        <v>1940430</v>
      </c>
      <c r="H2198" t="inlineStr">
        <is>
          <t>Rajsriya Automotive Ind Pvt Ltd.</t>
        </is>
      </c>
    </row>
    <row r="2199">
      <c r="D2199" t="n">
        <v>1940430</v>
      </c>
      <c r="H2199" t="inlineStr">
        <is>
          <t>Rajsriya Automotive Ind Pvt Ltd.</t>
        </is>
      </c>
    </row>
    <row r="2200">
      <c r="D2200" t="n">
        <v>1940430</v>
      </c>
      <c r="H2200" t="inlineStr">
        <is>
          <t>Rajsriya Automotive Ind Pvt Ltd.</t>
        </is>
      </c>
    </row>
    <row r="2201">
      <c r="D2201" t="n">
        <v>1940430</v>
      </c>
      <c r="H2201" t="inlineStr">
        <is>
          <t>Rajsriya Automotive Ind Pvt Ltd.</t>
        </is>
      </c>
    </row>
    <row r="2202">
      <c r="D2202" t="n">
        <v>1940430</v>
      </c>
      <c r="H2202" t="inlineStr">
        <is>
          <t>Rajsriya Automotive Ind Pvt Ltd.</t>
        </is>
      </c>
    </row>
    <row r="2203">
      <c r="D2203" t="n">
        <v>1940430</v>
      </c>
      <c r="H2203" t="inlineStr">
        <is>
          <t>Rajsriya Automotive Ind Pvt Ltd.</t>
        </is>
      </c>
    </row>
    <row r="2204">
      <c r="D2204" t="n">
        <v>1940430</v>
      </c>
      <c r="H2204" t="inlineStr">
        <is>
          <t>Rajsriya Automotive Ind Pvt Ltd.</t>
        </is>
      </c>
    </row>
    <row r="2205">
      <c r="D2205" t="n">
        <v>1905990</v>
      </c>
      <c r="H2205" t="inlineStr">
        <is>
          <t>Rajsriya Automotive Ind Pvt Ltd.</t>
        </is>
      </c>
    </row>
    <row r="2206">
      <c r="D2206" t="n">
        <v>1905990</v>
      </c>
      <c r="H2206" t="inlineStr">
        <is>
          <t>Rajsriya Automotive Ind Pvt Ltd.</t>
        </is>
      </c>
    </row>
    <row r="2207">
      <c r="D2207" t="n">
        <v>1905990</v>
      </c>
      <c r="H2207" t="inlineStr">
        <is>
          <t>Rajsriya Automotive Ind Pvt Ltd.</t>
        </is>
      </c>
    </row>
    <row r="2208">
      <c r="D2208" t="n">
        <v>1905990</v>
      </c>
      <c r="H2208" t="inlineStr">
        <is>
          <t>Rajsriya Automotive Ind Pvt Ltd.</t>
        </is>
      </c>
    </row>
    <row r="2209">
      <c r="D2209" t="n">
        <v>1940437</v>
      </c>
      <c r="H2209" t="inlineStr">
        <is>
          <t>Rajsriya Automotive Ind Pvt Ltd.</t>
        </is>
      </c>
    </row>
    <row r="2210">
      <c r="D2210" t="n">
        <v>1940437</v>
      </c>
      <c r="H2210" t="inlineStr">
        <is>
          <t>Rajsriya Automotive Ind Pvt Ltd.</t>
        </is>
      </c>
    </row>
    <row r="2211">
      <c r="D2211" t="n">
        <v>1940437</v>
      </c>
      <c r="H2211" t="inlineStr">
        <is>
          <t>Rajsriya Automotive Ind Pvt Ltd.</t>
        </is>
      </c>
    </row>
    <row r="2212">
      <c r="D2212" t="n">
        <v>1940437</v>
      </c>
      <c r="H2212" t="inlineStr">
        <is>
          <t>Rajsriya Automotive Ind Pvt Ltd.</t>
        </is>
      </c>
    </row>
    <row r="2213">
      <c r="D2213" t="n">
        <v>1940437</v>
      </c>
      <c r="H2213" t="inlineStr">
        <is>
          <t>Rajsriya Automotive Ind Pvt Ltd.</t>
        </is>
      </c>
    </row>
    <row r="2214">
      <c r="D2214" t="n">
        <v>1940437</v>
      </c>
      <c r="H2214" t="inlineStr">
        <is>
          <t>Rajsriya Automotive Ind Pvt Ltd.</t>
        </is>
      </c>
    </row>
    <row r="2215">
      <c r="D2215" t="n">
        <v>1940437</v>
      </c>
      <c r="H2215" t="inlineStr">
        <is>
          <t>Rajsriya Automotive Ind Pvt Ltd.</t>
        </is>
      </c>
    </row>
    <row r="2216">
      <c r="D2216" t="n">
        <v>1940437</v>
      </c>
      <c r="H2216" t="inlineStr">
        <is>
          <t>Rajsriya Automotive Ind Pvt Ltd.</t>
        </is>
      </c>
    </row>
    <row r="2217">
      <c r="D2217" t="n">
        <v>1940437</v>
      </c>
      <c r="H2217" t="inlineStr">
        <is>
          <t>Rajsriya Automotive Ind Pvt Ltd.</t>
        </is>
      </c>
    </row>
    <row r="2218">
      <c r="D2218" t="n">
        <v>1940437</v>
      </c>
      <c r="H2218" t="inlineStr">
        <is>
          <t>Rajsriya Automotive Ind Pvt Ltd.</t>
        </is>
      </c>
    </row>
    <row r="2219">
      <c r="D2219" t="n">
        <v>1940437</v>
      </c>
      <c r="H2219" t="inlineStr">
        <is>
          <t>Rajsriya Automotive Ind Pvt Ltd.</t>
        </is>
      </c>
    </row>
    <row r="2220">
      <c r="D2220" t="n">
        <v>1940437</v>
      </c>
      <c r="H2220" t="inlineStr">
        <is>
          <t>Rajsriya Automotive Ind Pvt Ltd.</t>
        </is>
      </c>
    </row>
    <row r="2221">
      <c r="D2221" t="n">
        <v>1940437</v>
      </c>
      <c r="H2221" t="inlineStr">
        <is>
          <t>Rajsriya Automotive Ind Pvt Ltd.</t>
        </is>
      </c>
    </row>
    <row r="2222">
      <c r="D2222" t="n">
        <v>1940437</v>
      </c>
      <c r="H2222" t="inlineStr">
        <is>
          <t>Elkayem Auto Ancillaries ( P ) LTD</t>
        </is>
      </c>
    </row>
    <row r="2223">
      <c r="D2223" t="n">
        <v>1940437</v>
      </c>
      <c r="H2223" t="inlineStr">
        <is>
          <t>Elkayem Auto Ancillaries ( P ) LTD</t>
        </is>
      </c>
    </row>
    <row r="2224">
      <c r="D2224" t="n">
        <v>1940437</v>
      </c>
      <c r="H2224" t="inlineStr">
        <is>
          <t>Elkayem Auto Ancillaries ( P ) LTD</t>
        </is>
      </c>
    </row>
    <row r="2225">
      <c r="D2225" t="n">
        <v>1940437</v>
      </c>
      <c r="H2225" t="inlineStr">
        <is>
          <t>Elkayem Auto Ancillaries ( P ) LTD</t>
        </is>
      </c>
    </row>
    <row r="2226">
      <c r="D2226" t="n">
        <v>1940437</v>
      </c>
      <c r="H2226" t="inlineStr">
        <is>
          <t>Elkayem Auto Ancillaries ( P ) LTD</t>
        </is>
      </c>
    </row>
    <row r="2227">
      <c r="D2227" t="n">
        <v>1940437</v>
      </c>
      <c r="H2227" t="inlineStr">
        <is>
          <t>Elkayem Auto Ancillaries ( P ) LTD</t>
        </is>
      </c>
    </row>
    <row r="2228">
      <c r="D2228" t="n">
        <v>1940437</v>
      </c>
      <c r="H2228" t="inlineStr">
        <is>
          <t>Elkayem Auto Ancillaries ( P ) LTD</t>
        </is>
      </c>
    </row>
    <row r="2229">
      <c r="D2229" t="n">
        <v>1940437</v>
      </c>
      <c r="H2229" t="inlineStr">
        <is>
          <t>Elkayem Auto Ancillaries ( P ) LTD</t>
        </is>
      </c>
    </row>
    <row r="2230">
      <c r="D2230" t="n">
        <v>1940445</v>
      </c>
      <c r="H2230" t="inlineStr">
        <is>
          <t>Elkayem Auto Ancillaries ( P ) LTD</t>
        </is>
      </c>
    </row>
    <row r="2231">
      <c r="D2231" t="n">
        <v>1940445</v>
      </c>
      <c r="H2231" t="inlineStr">
        <is>
          <t>Elkayem Auto Ancillaries ( P ) LTD</t>
        </is>
      </c>
    </row>
    <row r="2232">
      <c r="D2232" t="n">
        <v>1940445</v>
      </c>
      <c r="H2232" t="inlineStr">
        <is>
          <t>Elkayem Auto Ancillaries ( P ) LTD</t>
        </is>
      </c>
    </row>
    <row r="2233">
      <c r="D2233" t="n">
        <v>1940445</v>
      </c>
      <c r="H2233" t="inlineStr">
        <is>
          <t>Elkayem Auto Ancillaries ( P ) LTD</t>
        </is>
      </c>
    </row>
    <row r="2234">
      <c r="D2234" t="n">
        <v>1940445</v>
      </c>
      <c r="H2234" t="inlineStr">
        <is>
          <t>Elkayem Auto Ancillaries ( P ) LTD</t>
        </is>
      </c>
    </row>
    <row r="2235">
      <c r="D2235" t="n">
        <v>1940449</v>
      </c>
      <c r="H2235" t="inlineStr">
        <is>
          <t>Elkayem Auto Ancillaries ( P ) LTD</t>
        </is>
      </c>
    </row>
    <row r="2236">
      <c r="D2236" t="n">
        <v>1940449</v>
      </c>
      <c r="H2236" t="inlineStr">
        <is>
          <t>Elkayem Auto Ancillaries ( P ) LTD</t>
        </is>
      </c>
    </row>
    <row r="2237">
      <c r="D2237" t="n">
        <v>1940449</v>
      </c>
      <c r="H2237" t="inlineStr">
        <is>
          <t>Elkayem Auto Ancillaries ( P ) LTD</t>
        </is>
      </c>
    </row>
    <row r="2238">
      <c r="D2238" t="n">
        <v>2422186</v>
      </c>
      <c r="H2238" t="inlineStr">
        <is>
          <t>Elkayem Auto Ancillaries ( P ) LTD</t>
        </is>
      </c>
    </row>
    <row r="2239">
      <c r="D2239" t="n">
        <v>2422186</v>
      </c>
      <c r="H2239" t="inlineStr">
        <is>
          <t>Elkayem Auto Ancillaries ( P ) LTD</t>
        </is>
      </c>
    </row>
    <row r="2240">
      <c r="D2240" t="n">
        <v>2422186</v>
      </c>
      <c r="H2240" t="inlineStr">
        <is>
          <t>Elkayem Auto Ancillaries ( P ) LTD</t>
        </is>
      </c>
    </row>
    <row r="2241">
      <c r="D2241" t="n">
        <v>2422186</v>
      </c>
      <c r="H2241" t="inlineStr">
        <is>
          <t>FREE STOCK</t>
        </is>
      </c>
    </row>
    <row r="2242">
      <c r="D2242" t="n">
        <v>2422186</v>
      </c>
      <c r="H2242" t="inlineStr">
        <is>
          <t>FREE STOCK</t>
        </is>
      </c>
    </row>
    <row r="2243">
      <c r="D2243" t="n">
        <v>2422186</v>
      </c>
      <c r="H2243" t="inlineStr">
        <is>
          <t>FREE STOCK</t>
        </is>
      </c>
    </row>
    <row r="2244">
      <c r="D2244" t="n">
        <v>2422186</v>
      </c>
      <c r="H2244" t="inlineStr">
        <is>
          <t>FREE STOCK</t>
        </is>
      </c>
    </row>
    <row r="2245">
      <c r="D2245" t="n">
        <v>2422186</v>
      </c>
      <c r="H2245" t="inlineStr">
        <is>
          <t>FREE STOCK</t>
        </is>
      </c>
    </row>
    <row r="2246">
      <c r="D2246" t="n">
        <v>2422186</v>
      </c>
      <c r="H2246" t="inlineStr">
        <is>
          <t>FREE STOCK</t>
        </is>
      </c>
    </row>
    <row r="2247">
      <c r="D2247" t="n">
        <v>2422186</v>
      </c>
      <c r="H2247" t="inlineStr">
        <is>
          <t>Neel Metal Products Limited</t>
        </is>
      </c>
    </row>
    <row r="2248">
      <c r="D2248" t="n">
        <v>1940464</v>
      </c>
      <c r="H2248" t="inlineStr">
        <is>
          <t>Neel Metal Products Limited</t>
        </is>
      </c>
    </row>
    <row r="2249">
      <c r="D2249" t="n">
        <v>1940466</v>
      </c>
      <c r="H2249" t="inlineStr">
        <is>
          <t>Neel Metal Products Limited</t>
        </is>
      </c>
    </row>
    <row r="2250">
      <c r="D2250" t="n">
        <v>1940466</v>
      </c>
      <c r="H2250" t="inlineStr">
        <is>
          <t>Neel Metal Products Limited</t>
        </is>
      </c>
    </row>
    <row r="2251">
      <c r="D2251" t="n">
        <v>1940466</v>
      </c>
      <c r="H2251" t="inlineStr">
        <is>
          <t>Neel Metal Products Limited</t>
        </is>
      </c>
    </row>
    <row r="2252">
      <c r="D2252" t="n">
        <v>1940466</v>
      </c>
      <c r="H2252" t="inlineStr">
        <is>
          <t>Neel Metal Products Limited</t>
        </is>
      </c>
    </row>
    <row r="2253">
      <c r="D2253" t="n">
        <v>1940466</v>
      </c>
      <c r="H2253" t="inlineStr">
        <is>
          <t>Neel Metal Products Limited</t>
        </is>
      </c>
    </row>
    <row r="2254">
      <c r="D2254" t="n">
        <v>1940466</v>
      </c>
      <c r="H2254" t="inlineStr">
        <is>
          <t>Neel Metal Products Limited</t>
        </is>
      </c>
    </row>
    <row r="2255">
      <c r="D2255" t="n">
        <v>1940466</v>
      </c>
      <c r="H2255" t="inlineStr">
        <is>
          <t>Neel Metal Products Limited</t>
        </is>
      </c>
    </row>
    <row r="2256">
      <c r="D2256" t="n">
        <v>1940466</v>
      </c>
      <c r="H2256" t="inlineStr">
        <is>
          <t>Neel Metal Products Limited</t>
        </is>
      </c>
    </row>
    <row r="2257">
      <c r="D2257" t="n">
        <v>1940466</v>
      </c>
      <c r="H2257" t="inlineStr">
        <is>
          <t>Metalman Auto Private Limited</t>
        </is>
      </c>
    </row>
    <row r="2258">
      <c r="D2258" t="n">
        <v>1940466</v>
      </c>
      <c r="H2258" t="inlineStr">
        <is>
          <t>Indo Autotech Limited (Unit V)</t>
        </is>
      </c>
    </row>
    <row r="2259">
      <c r="D2259" t="n">
        <v>1940466</v>
      </c>
      <c r="H2259" t="inlineStr">
        <is>
          <t>Indo Autotech Limited (Unit V)</t>
        </is>
      </c>
    </row>
    <row r="2260">
      <c r="D2260" t="n">
        <v>1940466</v>
      </c>
      <c r="H2260" t="inlineStr">
        <is>
          <t>Neel Metal Products Limited</t>
        </is>
      </c>
    </row>
    <row r="2261">
      <c r="D2261" t="n">
        <v>1940466</v>
      </c>
      <c r="H2261" t="inlineStr">
        <is>
          <t>SANDHAR ENGINEERING PVT LTD.(KA) -U</t>
        </is>
      </c>
    </row>
    <row r="2262">
      <c r="D2262" t="n">
        <v>1940466</v>
      </c>
      <c r="H2262" t="inlineStr">
        <is>
          <t>SANDHAR ENGINEERING PVT LTD.(KA) -U</t>
        </is>
      </c>
    </row>
    <row r="2263">
      <c r="D2263" t="n">
        <v>1940466</v>
      </c>
      <c r="H2263" t="inlineStr">
        <is>
          <t>NAHARS ENGINEERING INDIA PRIVATE LI</t>
        </is>
      </c>
    </row>
    <row r="2264">
      <c r="D2264" t="n">
        <v>1940466</v>
      </c>
      <c r="H2264" t="inlineStr">
        <is>
          <t>NAHARS ENGINEERING INDIA PRIVATE LI</t>
        </is>
      </c>
    </row>
    <row r="2265">
      <c r="D2265" t="n">
        <v>1940467</v>
      </c>
      <c r="H2265" t="inlineStr">
        <is>
          <t>NAHARS ENGINEERING INDIA PRIVATE LI</t>
        </is>
      </c>
    </row>
    <row r="2266">
      <c r="D2266" t="n">
        <v>2413708</v>
      </c>
      <c r="H2266" t="inlineStr">
        <is>
          <t>Indo Autotech Limited (Unit V)</t>
        </is>
      </c>
    </row>
    <row r="2267">
      <c r="D2267" t="n">
        <v>2413708</v>
      </c>
      <c r="H2267" t="inlineStr">
        <is>
          <t>Indo Autotech Limited (Unit V)</t>
        </is>
      </c>
    </row>
    <row r="2268">
      <c r="D2268" t="n">
        <v>2413708</v>
      </c>
      <c r="H2268" t="inlineStr">
        <is>
          <t>Neel Metal Products Limited</t>
        </is>
      </c>
    </row>
    <row r="2269">
      <c r="D2269" t="n">
        <v>2413708</v>
      </c>
      <c r="H2269" t="inlineStr">
        <is>
          <t>Neel Metal Products Limited</t>
        </is>
      </c>
    </row>
    <row r="2270">
      <c r="D2270" t="n">
        <v>2413708</v>
      </c>
      <c r="H2270" t="inlineStr">
        <is>
          <t>Neel Metal Products Limited</t>
        </is>
      </c>
    </row>
    <row r="2271">
      <c r="D2271" t="n">
        <v>2413708</v>
      </c>
      <c r="H2271" t="inlineStr">
        <is>
          <t>Neel Metal Products Limited</t>
        </is>
      </c>
    </row>
    <row r="2272">
      <c r="D2272" t="n">
        <v>2413708</v>
      </c>
      <c r="H2272" t="inlineStr">
        <is>
          <t>Neel Metal Products Limited</t>
        </is>
      </c>
    </row>
    <row r="2273">
      <c r="D2273" t="n">
        <v>2413708</v>
      </c>
      <c r="H2273" t="inlineStr">
        <is>
          <t>Marathwada Auto Compo Pvt. Ltd.</t>
        </is>
      </c>
    </row>
    <row r="2274">
      <c r="D2274" t="n">
        <v>2413708</v>
      </c>
      <c r="H2274" t="inlineStr">
        <is>
          <t>Marathwada Auto Compo Pvt. Ltd.</t>
        </is>
      </c>
    </row>
    <row r="2275">
      <c r="D2275" t="n">
        <v>2413708</v>
      </c>
      <c r="H2275" t="inlineStr">
        <is>
          <t>Marathwada Auto Compo Pvt. Ltd.</t>
        </is>
      </c>
    </row>
    <row r="2276">
      <c r="D2276" t="n">
        <v>2413708</v>
      </c>
      <c r="H2276" t="inlineStr">
        <is>
          <t>Marathwada Auto Compo Pvt. Ltd.</t>
        </is>
      </c>
    </row>
    <row r="2277">
      <c r="D2277" t="n">
        <v>2413708</v>
      </c>
      <c r="H2277" t="inlineStr">
        <is>
          <t>Marathwada Auto Compo Pvt. Ltd.</t>
        </is>
      </c>
    </row>
    <row r="2278">
      <c r="D2278" t="n">
        <v>2413708</v>
      </c>
      <c r="H2278" t="inlineStr">
        <is>
          <t>Marathwada Auto Compo Pvt. Ltd.</t>
        </is>
      </c>
    </row>
    <row r="2279">
      <c r="D2279" t="n">
        <v>2413708</v>
      </c>
      <c r="H2279" t="inlineStr">
        <is>
          <t>Marathwada Auto Compo Pvt. Ltd.</t>
        </is>
      </c>
    </row>
    <row r="2280">
      <c r="D2280" t="n">
        <v>2413708</v>
      </c>
      <c r="H2280" t="inlineStr">
        <is>
          <t>Marathwada Auto Compo Pvt. Ltd.</t>
        </is>
      </c>
    </row>
    <row r="2281">
      <c r="D2281" t="n">
        <v>1940470</v>
      </c>
      <c r="H2281" t="inlineStr">
        <is>
          <t>Marathwada Auto Compo Pvt. Ltd.</t>
        </is>
      </c>
    </row>
    <row r="2282">
      <c r="D2282" t="n">
        <v>1940470</v>
      </c>
      <c r="H2282" t="inlineStr">
        <is>
          <t>Marathwada Auto Compo Pvt. Ltd.</t>
        </is>
      </c>
    </row>
    <row r="2283">
      <c r="D2283" t="n">
        <v>1940470</v>
      </c>
      <c r="H2283" t="inlineStr">
        <is>
          <t>Marathwada Auto Compo Pvt. Ltd.</t>
        </is>
      </c>
    </row>
    <row r="2284">
      <c r="D2284" t="n">
        <v>1940470</v>
      </c>
      <c r="H2284" t="inlineStr">
        <is>
          <t>Marathwada Auto Compo Pvt. Ltd.</t>
        </is>
      </c>
    </row>
    <row r="2285">
      <c r="D2285" t="n">
        <v>1940470</v>
      </c>
      <c r="H2285" t="inlineStr">
        <is>
          <t>Marathwada Auto Compo Pvt. Ltd.</t>
        </is>
      </c>
    </row>
    <row r="2286">
      <c r="D2286" t="n">
        <v>1940472</v>
      </c>
      <c r="H2286" t="inlineStr">
        <is>
          <t>Marathwada Auto Compo Pvt. Ltd.</t>
        </is>
      </c>
    </row>
    <row r="2287">
      <c r="D2287" t="n">
        <v>1940472</v>
      </c>
      <c r="H2287" t="inlineStr">
        <is>
          <t>Marathwada Auto Compo Pvt. Ltd.</t>
        </is>
      </c>
    </row>
    <row r="2288">
      <c r="D2288" t="n">
        <v>1940472</v>
      </c>
      <c r="H2288" t="inlineStr">
        <is>
          <t>Marathwada Auto Compo Pvt. Ltd.</t>
        </is>
      </c>
    </row>
    <row r="2289">
      <c r="D2289" t="n">
        <v>1940472</v>
      </c>
      <c r="H2289" t="inlineStr">
        <is>
          <t>Marathwada Auto Compo Pvt. Ltd.</t>
        </is>
      </c>
    </row>
    <row r="2290">
      <c r="D2290" t="n">
        <v>1940472</v>
      </c>
      <c r="H2290" t="inlineStr">
        <is>
          <t>Marathwada Auto Compo Pvt. Ltd.</t>
        </is>
      </c>
    </row>
    <row r="2291">
      <c r="D2291" t="n">
        <v>1940474</v>
      </c>
      <c r="H2291" t="inlineStr">
        <is>
          <t>Marathwada Auto Compo Pvt. Ltd.</t>
        </is>
      </c>
    </row>
    <row r="2292">
      <c r="D2292" t="n">
        <v>1940474</v>
      </c>
      <c r="H2292" t="inlineStr">
        <is>
          <t>Marathwada Auto Compo Pvt. Ltd.</t>
        </is>
      </c>
    </row>
    <row r="2293">
      <c r="D2293" t="n">
        <v>1940474</v>
      </c>
      <c r="H2293" t="inlineStr">
        <is>
          <t>Marathwada Auto Compo Pvt. Ltd.</t>
        </is>
      </c>
    </row>
    <row r="2294">
      <c r="D2294" t="n">
        <v>1940474</v>
      </c>
      <c r="H2294" t="inlineStr">
        <is>
          <t>Marathwada Auto Compo Pvt. Ltd.</t>
        </is>
      </c>
    </row>
    <row r="2295">
      <c r="D2295" t="n">
        <v>1940474</v>
      </c>
      <c r="H2295" t="inlineStr">
        <is>
          <t>Marathwada Auto Compo Pvt. Ltd.</t>
        </is>
      </c>
    </row>
    <row r="2296">
      <c r="D2296" t="n">
        <v>1940478</v>
      </c>
      <c r="H2296" t="inlineStr">
        <is>
          <t>Marathwada Auto Compo Pvt. Ltd.</t>
        </is>
      </c>
    </row>
    <row r="2297">
      <c r="D2297" t="n">
        <v>1940478</v>
      </c>
      <c r="H2297" t="inlineStr">
        <is>
          <t>Marathwada Auto Compo Pvt. Ltd.</t>
        </is>
      </c>
    </row>
    <row r="2298">
      <c r="D2298" t="n">
        <v>1940478</v>
      </c>
      <c r="H2298" t="inlineStr">
        <is>
          <t>Narasipur Auto Component(P)Ltd</t>
        </is>
      </c>
    </row>
    <row r="2299">
      <c r="D2299" t="n">
        <v>1940478</v>
      </c>
      <c r="H2299" t="inlineStr">
        <is>
          <t>Narasipur Auto Component(P)Ltd</t>
        </is>
      </c>
    </row>
    <row r="2300">
      <c r="D2300" t="n">
        <v>1940478</v>
      </c>
      <c r="H2300" t="inlineStr">
        <is>
          <t>Narasipur Auto Component(P)Ltd</t>
        </is>
      </c>
    </row>
    <row r="2301">
      <c r="D2301" t="n">
        <v>1940478</v>
      </c>
      <c r="H2301" t="inlineStr">
        <is>
          <t>Narasipur Auto Component(P)Ltd</t>
        </is>
      </c>
    </row>
    <row r="2302">
      <c r="D2302" t="n">
        <v>1940478</v>
      </c>
      <c r="H2302" t="inlineStr">
        <is>
          <t>Narasipur Auto Component(P)Ltd</t>
        </is>
      </c>
    </row>
    <row r="2303">
      <c r="D2303" t="n">
        <v>1940478</v>
      </c>
      <c r="H2303" t="inlineStr">
        <is>
          <t>Narasipur Auto Component(P)Ltd</t>
        </is>
      </c>
    </row>
    <row r="2304">
      <c r="D2304" t="n">
        <v>1940478</v>
      </c>
      <c r="H2304" t="inlineStr">
        <is>
          <t>Narasipur Auto Component(P)Ltd</t>
        </is>
      </c>
    </row>
    <row r="2305">
      <c r="D2305" t="n">
        <v>1940478</v>
      </c>
      <c r="H2305" t="inlineStr">
        <is>
          <t>Narasipur Auto Component(P)Ltd</t>
        </is>
      </c>
    </row>
    <row r="2306">
      <c r="D2306" t="n">
        <v>1940478</v>
      </c>
      <c r="H2306" t="inlineStr">
        <is>
          <t>Narasipur Auto Component(P)Ltd</t>
        </is>
      </c>
    </row>
    <row r="2307">
      <c r="D2307" t="n">
        <v>1940478</v>
      </c>
      <c r="H2307" t="inlineStr">
        <is>
          <t>Narasipur Auto Component(P)Ltd</t>
        </is>
      </c>
    </row>
    <row r="2308">
      <c r="D2308" t="n">
        <v>1940478</v>
      </c>
      <c r="H2308" t="inlineStr">
        <is>
          <t>Narasipur Auto Component(P)Ltd</t>
        </is>
      </c>
    </row>
    <row r="2309">
      <c r="D2309" t="n">
        <v>1940478</v>
      </c>
      <c r="H2309" t="inlineStr">
        <is>
          <t>Narasipur Auto Component(P)Ltd</t>
        </is>
      </c>
    </row>
    <row r="2310">
      <c r="D2310" t="n">
        <v>1940478</v>
      </c>
      <c r="H2310" t="inlineStr">
        <is>
          <t>Narasipur Auto Component(P)Ltd</t>
        </is>
      </c>
    </row>
    <row r="2311">
      <c r="D2311" t="n">
        <v>1940478</v>
      </c>
      <c r="H2311" t="inlineStr">
        <is>
          <t>Narasipur Auto Component(P)Ltd</t>
        </is>
      </c>
    </row>
    <row r="2312">
      <c r="D2312" t="n">
        <v>1940478</v>
      </c>
      <c r="H2312" t="inlineStr">
        <is>
          <t>Marathwada Auto Compo Pvt. Ltd.</t>
        </is>
      </c>
    </row>
    <row r="2313">
      <c r="D2313" t="n">
        <v>1940478</v>
      </c>
      <c r="H2313" t="inlineStr">
        <is>
          <t>Marathwada Auto Compo Pvt. Ltd.</t>
        </is>
      </c>
    </row>
    <row r="2314">
      <c r="D2314" t="n">
        <v>2420106</v>
      </c>
      <c r="H2314" t="inlineStr">
        <is>
          <t>Marathwada Auto Compo Pvt. Ltd.</t>
        </is>
      </c>
    </row>
    <row r="2315">
      <c r="D2315" t="n">
        <v>2420106</v>
      </c>
      <c r="H2315" t="inlineStr">
        <is>
          <t>Marathwada Auto Compo Pvt. Ltd.</t>
        </is>
      </c>
    </row>
    <row r="2316">
      <c r="D2316" t="n">
        <v>1940490</v>
      </c>
      <c r="H2316" t="inlineStr">
        <is>
          <t>Marathwada Auto Compo Pvt. Ltd.</t>
        </is>
      </c>
    </row>
    <row r="2317">
      <c r="D2317" t="n">
        <v>1940490</v>
      </c>
      <c r="H2317" t="inlineStr">
        <is>
          <t>Marathwada Auto Compo Pvt. Ltd.</t>
        </is>
      </c>
    </row>
    <row r="2318">
      <c r="D2318" t="n">
        <v>1940490</v>
      </c>
      <c r="H2318" t="inlineStr">
        <is>
          <t>Marathwada Auto Compo Pvt. Ltd.</t>
        </is>
      </c>
    </row>
    <row r="2319">
      <c r="D2319" t="n">
        <v>1940490</v>
      </c>
      <c r="H2319" t="inlineStr">
        <is>
          <t>FREE STOCK</t>
        </is>
      </c>
    </row>
    <row r="2320">
      <c r="D2320" t="n">
        <v>1940490</v>
      </c>
      <c r="H2320" t="inlineStr">
        <is>
          <t>FREE STOCK</t>
        </is>
      </c>
    </row>
    <row r="2321">
      <c r="D2321" t="n">
        <v>1940489</v>
      </c>
      <c r="H2321" t="inlineStr">
        <is>
          <t>FREE STOCK</t>
        </is>
      </c>
    </row>
    <row r="2322">
      <c r="D2322" t="n">
        <v>2349840</v>
      </c>
      <c r="H2322" t="inlineStr">
        <is>
          <t>FREE STOCK</t>
        </is>
      </c>
    </row>
    <row r="2323">
      <c r="D2323" t="n">
        <v>2349840</v>
      </c>
      <c r="H2323" t="inlineStr">
        <is>
          <t>FREE STOCK</t>
        </is>
      </c>
    </row>
    <row r="2324">
      <c r="D2324" t="n">
        <v>3557791</v>
      </c>
      <c r="H2324" t="inlineStr">
        <is>
          <t>FREE STOCK</t>
        </is>
      </c>
    </row>
    <row r="2325">
      <c r="D2325" t="n">
        <v>3557791</v>
      </c>
      <c r="H2325" t="inlineStr">
        <is>
          <t>FREE STOCK</t>
        </is>
      </c>
    </row>
    <row r="2326">
      <c r="D2326" t="n">
        <v>3557791</v>
      </c>
      <c r="H2326" t="inlineStr">
        <is>
          <t>FREE STOCK</t>
        </is>
      </c>
    </row>
    <row r="2327">
      <c r="D2327" t="n">
        <v>2431251</v>
      </c>
      <c r="H2327" t="inlineStr">
        <is>
          <t>FREE STOCK</t>
        </is>
      </c>
    </row>
    <row r="2328">
      <c r="D2328" t="n">
        <v>3575899</v>
      </c>
      <c r="H2328" t="inlineStr">
        <is>
          <t>FREE STOCK</t>
        </is>
      </c>
    </row>
    <row r="2329">
      <c r="D2329" t="n">
        <v>1940493</v>
      </c>
      <c r="H2329" t="inlineStr">
        <is>
          <t>FREE STOCK</t>
        </is>
      </c>
    </row>
    <row r="2330">
      <c r="D2330" t="n">
        <v>3230499</v>
      </c>
      <c r="H2330" t="inlineStr">
        <is>
          <t>FREE STOCK</t>
        </is>
      </c>
    </row>
    <row r="2331">
      <c r="D2331" t="n">
        <v>2402914</v>
      </c>
      <c r="H2331" t="inlineStr">
        <is>
          <t>FREE STOCK</t>
        </is>
      </c>
    </row>
    <row r="2332">
      <c r="D2332" t="n">
        <v>2402914</v>
      </c>
      <c r="H2332" t="inlineStr">
        <is>
          <t>FREE STOCK</t>
        </is>
      </c>
    </row>
    <row r="2333">
      <c r="D2333" t="n">
        <v>3442057</v>
      </c>
      <c r="H2333" t="inlineStr">
        <is>
          <t>MEGH STEELS PRIVATE LIMITED - HMSIL</t>
        </is>
      </c>
    </row>
    <row r="2334">
      <c r="D2334" t="n">
        <v>1940498</v>
      </c>
      <c r="H2334" t="inlineStr">
        <is>
          <t>Rajsriya Automotive Ind Pvt Ltd.</t>
        </is>
      </c>
    </row>
    <row r="2335">
      <c r="D2335" t="n">
        <v>1940498</v>
      </c>
      <c r="H2335" t="inlineStr">
        <is>
          <t>Kay Jay Forgings Pvt Ltd Unit Vi</t>
        </is>
      </c>
    </row>
    <row r="2336">
      <c r="D2336" t="n">
        <v>1940498</v>
      </c>
      <c r="H2336" t="inlineStr">
        <is>
          <t>Kay Jay Forgings Pvt Ltd Unit Vi</t>
        </is>
      </c>
    </row>
    <row r="2337">
      <c r="D2337" t="n">
        <v>1940498</v>
      </c>
      <c r="H2337" t="inlineStr">
        <is>
          <t>Kay Jay Forgings Pvt Ltd Unit Vi</t>
        </is>
      </c>
    </row>
    <row r="2338">
      <c r="D2338" t="n">
        <v>1940498</v>
      </c>
      <c r="H2338" t="inlineStr">
        <is>
          <t>Kay Jay Forgings Pvt Ltd Unit Vi</t>
        </is>
      </c>
    </row>
    <row r="2339">
      <c r="D2339" t="n">
        <v>1940498</v>
      </c>
      <c r="H2339" t="inlineStr">
        <is>
          <t>Kay Jay Forgings Pvt Ltd Unit Vi</t>
        </is>
      </c>
    </row>
    <row r="2340">
      <c r="D2340" t="n">
        <v>1940498</v>
      </c>
      <c r="H2340" t="inlineStr">
        <is>
          <t>Kay Jay Forgings Pvt Ltd Unit Vi</t>
        </is>
      </c>
    </row>
    <row r="2341">
      <c r="D2341" t="n">
        <v>1940498</v>
      </c>
      <c r="H2341" t="inlineStr">
        <is>
          <t>Kay Jay Forgings Pvt Ltd Unit Vi</t>
        </is>
      </c>
    </row>
    <row r="2342">
      <c r="D2342" t="n">
        <v>1940498</v>
      </c>
      <c r="H2342" t="inlineStr">
        <is>
          <t>Kay Jay Forgings Pvt Ltd Unit Vi</t>
        </is>
      </c>
    </row>
    <row r="2343">
      <c r="D2343" t="n">
        <v>1940498</v>
      </c>
      <c r="H2343" t="inlineStr">
        <is>
          <t>FREE STOCK</t>
        </is>
      </c>
    </row>
    <row r="2344">
      <c r="D2344" t="n">
        <v>1940498</v>
      </c>
      <c r="H2344" t="inlineStr">
        <is>
          <t>FREE STOCK</t>
        </is>
      </c>
    </row>
    <row r="2345">
      <c r="D2345" t="n">
        <v>1940498</v>
      </c>
      <c r="H2345" t="inlineStr">
        <is>
          <t>FREE STOCK</t>
        </is>
      </c>
    </row>
    <row r="2346">
      <c r="D2346" t="n">
        <v>1940498</v>
      </c>
      <c r="H2346" t="inlineStr">
        <is>
          <t>FREE STOCK</t>
        </is>
      </c>
    </row>
    <row r="2347">
      <c r="D2347" t="n">
        <v>1940504</v>
      </c>
      <c r="H2347" t="inlineStr">
        <is>
          <t>Neel Metal Products Limited</t>
        </is>
      </c>
    </row>
    <row r="2348">
      <c r="D2348" t="n">
        <v>1940510</v>
      </c>
      <c r="H2348" t="inlineStr">
        <is>
          <t>Neel Metal Products Limited</t>
        </is>
      </c>
    </row>
    <row r="2349">
      <c r="D2349" t="n">
        <v>1940510</v>
      </c>
      <c r="H2349" t="inlineStr">
        <is>
          <t>Neel Metal Products Limited</t>
        </is>
      </c>
    </row>
    <row r="2350">
      <c r="D2350" t="n">
        <v>1940510</v>
      </c>
      <c r="H2350" t="inlineStr">
        <is>
          <t>Neel Metal Products Limited</t>
        </is>
      </c>
    </row>
    <row r="2351">
      <c r="D2351" t="n">
        <v>1940510</v>
      </c>
      <c r="H2351" t="inlineStr">
        <is>
          <t>Neel Metal Products Limited</t>
        </is>
      </c>
    </row>
    <row r="2352">
      <c r="D2352" t="n">
        <v>1940510</v>
      </c>
      <c r="H2352" t="inlineStr">
        <is>
          <t>Neel Metal Products Limited</t>
        </is>
      </c>
    </row>
    <row r="2353">
      <c r="D2353" t="n">
        <v>1940510</v>
      </c>
      <c r="H2353" t="inlineStr">
        <is>
          <t>Neel Metal Products Limited</t>
        </is>
      </c>
    </row>
    <row r="2354">
      <c r="D2354" t="n">
        <v>3557584</v>
      </c>
      <c r="H2354" t="inlineStr">
        <is>
          <t>Neel Metal Products Limited</t>
        </is>
      </c>
    </row>
    <row r="2355">
      <c r="D2355" t="n">
        <v>3230483</v>
      </c>
      <c r="H2355" t="inlineStr">
        <is>
          <t>Neel Metal Products Limited</t>
        </is>
      </c>
    </row>
    <row r="2356">
      <c r="D2356" t="n">
        <v>3230483</v>
      </c>
      <c r="H2356" t="inlineStr">
        <is>
          <t>Neel Metal Products Limited</t>
        </is>
      </c>
    </row>
    <row r="2357">
      <c r="D2357" t="n">
        <v>3230483</v>
      </c>
      <c r="H2357" t="inlineStr">
        <is>
          <t>Neel Metal Products Limited</t>
        </is>
      </c>
    </row>
    <row r="2358">
      <c r="D2358" t="n">
        <v>3230483</v>
      </c>
      <c r="H2358" t="inlineStr">
        <is>
          <t>Neel Metal Products Limited</t>
        </is>
      </c>
    </row>
    <row r="2359">
      <c r="D2359" t="n">
        <v>3230483</v>
      </c>
      <c r="H2359" t="inlineStr">
        <is>
          <t>Neel Metal Products Limited</t>
        </is>
      </c>
    </row>
    <row r="2360">
      <c r="D2360" t="n">
        <v>3230483</v>
      </c>
      <c r="H2360" t="inlineStr">
        <is>
          <t>Neel Metal Products Limited</t>
        </is>
      </c>
    </row>
    <row r="2361">
      <c r="D2361" t="n">
        <v>3230483</v>
      </c>
      <c r="H2361" t="inlineStr">
        <is>
          <t>SANDHAR ENGINEERING PVT LTD.(KA) -U</t>
        </is>
      </c>
    </row>
    <row r="2362">
      <c r="D2362" t="n">
        <v>3230483</v>
      </c>
      <c r="H2362" t="inlineStr">
        <is>
          <t>SANDHAR ENGINEERING PVT LTD.(KA) -U</t>
        </is>
      </c>
    </row>
    <row r="2363">
      <c r="D2363" t="n">
        <v>3230483</v>
      </c>
      <c r="H2363" t="inlineStr">
        <is>
          <t>SRIKAM HITECH ENGINEERING PRIVATE L</t>
        </is>
      </c>
    </row>
    <row r="2364">
      <c r="D2364" t="n">
        <v>3230483</v>
      </c>
      <c r="H2364" t="inlineStr">
        <is>
          <t>SRIKAM HITECH ENGINEERING PRIVATE L</t>
        </is>
      </c>
    </row>
    <row r="2365">
      <c r="D2365" t="n">
        <v>3230483</v>
      </c>
      <c r="H2365" t="inlineStr">
        <is>
          <t>SRIKAM HITECH ENGINEERING PRIVATE L</t>
        </is>
      </c>
    </row>
    <row r="2366">
      <c r="D2366" t="n">
        <v>3230483</v>
      </c>
      <c r="H2366" t="inlineStr">
        <is>
          <t>SRIKAM HITECH ENGINEERING PRIVATE L</t>
        </is>
      </c>
    </row>
    <row r="2367">
      <c r="D2367" t="n">
        <v>3230483</v>
      </c>
      <c r="H2367" t="inlineStr">
        <is>
          <t>SRIKAM HITECH ENGINEERING PRIVATE L</t>
        </is>
      </c>
    </row>
    <row r="2368">
      <c r="D2368" t="n">
        <v>3230483</v>
      </c>
      <c r="H2368" t="inlineStr">
        <is>
          <t>Rajsriya Automotive Ind Pvt Ltd.</t>
        </is>
      </c>
    </row>
    <row r="2369">
      <c r="D2369" t="n">
        <v>3230483</v>
      </c>
      <c r="H2369" t="inlineStr">
        <is>
          <t>JBM AUTO LIMITED</t>
        </is>
      </c>
    </row>
    <row r="2370">
      <c r="D2370" t="n">
        <v>3230483</v>
      </c>
      <c r="H2370" t="inlineStr">
        <is>
          <t>Metalman Auto Private Limited</t>
        </is>
      </c>
    </row>
    <row r="2371">
      <c r="D2371" t="n">
        <v>3230483</v>
      </c>
      <c r="H2371" t="inlineStr">
        <is>
          <t>FREE STOCK</t>
        </is>
      </c>
    </row>
    <row r="2372">
      <c r="D2372" t="n">
        <v>3230483</v>
      </c>
      <c r="H2372" t="inlineStr">
        <is>
          <t>Kay Jay Forgings Pvt Ltd Unit Vi</t>
        </is>
      </c>
    </row>
    <row r="2373">
      <c r="D2373" t="n">
        <v>3230483</v>
      </c>
      <c r="H2373" t="inlineStr">
        <is>
          <t>Kay Jay Forgings Pvt Ltd Unit Vi</t>
        </is>
      </c>
    </row>
    <row r="2374">
      <c r="D2374" t="n">
        <v>3230483</v>
      </c>
      <c r="H2374" t="inlineStr">
        <is>
          <t>Kay Jay Forgings Pvt Ltd Unit Vi</t>
        </is>
      </c>
    </row>
    <row r="2375">
      <c r="D2375" t="n">
        <v>3230483</v>
      </c>
      <c r="H2375" t="inlineStr">
        <is>
          <t>Kay Jay Forgings Pvt Ltd Unit Vi</t>
        </is>
      </c>
    </row>
    <row r="2376">
      <c r="D2376" t="n">
        <v>3230483</v>
      </c>
      <c r="H2376" t="inlineStr">
        <is>
          <t>Kay Jay Forgings Pvt Ltd Unit Vi</t>
        </is>
      </c>
    </row>
    <row r="2377">
      <c r="D2377" t="n">
        <v>3230483</v>
      </c>
      <c r="H2377" t="inlineStr">
        <is>
          <t>Kay Jay Forgings Pvt Ltd Unit Vi</t>
        </is>
      </c>
    </row>
    <row r="2378">
      <c r="D2378" t="n">
        <v>3230483</v>
      </c>
      <c r="H2378" t="inlineStr">
        <is>
          <t>Kay Jay Forgings Pvt Ltd Unit Vi</t>
        </is>
      </c>
    </row>
    <row r="2379">
      <c r="D2379" t="n">
        <v>3572043</v>
      </c>
      <c r="H2379" t="inlineStr">
        <is>
          <t>Kay Jay Forgings Pvt Ltd Unit Vi</t>
        </is>
      </c>
    </row>
    <row r="2380">
      <c r="D2380" t="n">
        <v>3572043</v>
      </c>
      <c r="H2380" t="inlineStr">
        <is>
          <t>Kay Jay Forgings Pvt Ltd Unit Vi</t>
        </is>
      </c>
    </row>
    <row r="2381">
      <c r="D2381" t="n">
        <v>3572043</v>
      </c>
      <c r="H2381" t="inlineStr">
        <is>
          <t>Kay Jay Forgings Pvt Ltd Unit Vi</t>
        </is>
      </c>
    </row>
    <row r="2382">
      <c r="D2382" t="n">
        <v>3572043</v>
      </c>
      <c r="H2382" t="inlineStr">
        <is>
          <t>Indo Autotech Limited (Unit V)</t>
        </is>
      </c>
    </row>
    <row r="2383">
      <c r="D2383" t="n">
        <v>3572043</v>
      </c>
      <c r="H2383" t="inlineStr">
        <is>
          <t>Indo Autotech Limited (Unit V)</t>
        </is>
      </c>
    </row>
    <row r="2384">
      <c r="D2384" t="n">
        <v>3572043</v>
      </c>
      <c r="H2384" t="inlineStr">
        <is>
          <t>Indo Autotech Limited (Unit V)</t>
        </is>
      </c>
    </row>
    <row r="2385">
      <c r="D2385" t="n">
        <v>3572043</v>
      </c>
      <c r="H2385" t="inlineStr">
        <is>
          <t>Indo Autotech Limited (Unit V)</t>
        </is>
      </c>
    </row>
    <row r="2386">
      <c r="D2386" t="n">
        <v>3572043</v>
      </c>
      <c r="H2386" t="inlineStr">
        <is>
          <t>Indo Autotech Limited (Unit V)</t>
        </is>
      </c>
    </row>
    <row r="2387">
      <c r="D2387" t="n">
        <v>3572043</v>
      </c>
      <c r="H2387" t="inlineStr">
        <is>
          <t>Indo Autotech Limited (Unit V)</t>
        </is>
      </c>
    </row>
    <row r="2388">
      <c r="D2388" t="n">
        <v>3572043</v>
      </c>
      <c r="H2388" t="inlineStr">
        <is>
          <t>Indo Autotech Limited (Unit V)</t>
        </is>
      </c>
    </row>
    <row r="2389">
      <c r="D2389" t="n">
        <v>3572043</v>
      </c>
      <c r="H2389" t="inlineStr">
        <is>
          <t>Indo Autotech Limited (Unit V)</t>
        </is>
      </c>
    </row>
    <row r="2390">
      <c r="D2390" t="n">
        <v>3572043</v>
      </c>
      <c r="H2390" t="inlineStr">
        <is>
          <t>Indo Autotech Limited (Unit V)</t>
        </is>
      </c>
    </row>
    <row r="2391">
      <c r="D2391" t="n">
        <v>3572043</v>
      </c>
      <c r="H2391" t="inlineStr">
        <is>
          <t>Indo Autotech Limited (Unit V)</t>
        </is>
      </c>
    </row>
    <row r="2392">
      <c r="D2392" t="n">
        <v>3572043</v>
      </c>
      <c r="H2392" t="inlineStr">
        <is>
          <t>Indo Autotech Limited (Unit V)</t>
        </is>
      </c>
    </row>
    <row r="2393">
      <c r="D2393" t="n">
        <v>3230482</v>
      </c>
      <c r="H2393" t="inlineStr">
        <is>
          <t>Indo Autotech Limited (Unit V)</t>
        </is>
      </c>
    </row>
    <row r="2394">
      <c r="D2394" t="n">
        <v>3230482</v>
      </c>
      <c r="H2394" t="inlineStr">
        <is>
          <t>Indo Autotech Limited (Unit V)</t>
        </is>
      </c>
    </row>
    <row r="2395">
      <c r="D2395" t="n">
        <v>3230482</v>
      </c>
      <c r="H2395" t="inlineStr">
        <is>
          <t>Indo Autotech Limited (Unit V)</t>
        </is>
      </c>
    </row>
    <row r="2396">
      <c r="D2396" t="n">
        <v>3230482</v>
      </c>
      <c r="H2396" t="inlineStr">
        <is>
          <t>Indo Autotech Limited (Unit V)</t>
        </is>
      </c>
    </row>
    <row r="2397">
      <c r="D2397" t="n">
        <v>3230482</v>
      </c>
      <c r="H2397" t="inlineStr">
        <is>
          <t>Indo Autotech Limited (Unit V)</t>
        </is>
      </c>
    </row>
    <row r="2398">
      <c r="D2398" t="n">
        <v>3230482</v>
      </c>
      <c r="H2398" t="inlineStr">
        <is>
          <t>Indo Autotech Limited (Unit V)</t>
        </is>
      </c>
    </row>
    <row r="2399">
      <c r="D2399" t="n">
        <v>3230482</v>
      </c>
      <c r="H2399" t="inlineStr">
        <is>
          <t>Neel Metal Products Limited</t>
        </is>
      </c>
    </row>
    <row r="2400">
      <c r="D2400" t="n">
        <v>3230482</v>
      </c>
      <c r="H2400" t="inlineStr">
        <is>
          <t>Neel Metal Products Limited</t>
        </is>
      </c>
    </row>
    <row r="2401">
      <c r="D2401" t="n">
        <v>3230482</v>
      </c>
      <c r="H2401" t="inlineStr">
        <is>
          <t>Elkayem Auto Ancillaries ( P ) LTD</t>
        </is>
      </c>
    </row>
    <row r="2402">
      <c r="D2402" t="n">
        <v>3230482</v>
      </c>
      <c r="H2402" t="inlineStr">
        <is>
          <t>Elkayem Auto Ancillaries ( P ) LTD</t>
        </is>
      </c>
    </row>
    <row r="2403">
      <c r="D2403" t="n">
        <v>3230482</v>
      </c>
      <c r="H2403" t="inlineStr">
        <is>
          <t>Elkayem Auto Ancillaries ( P ) LTD</t>
        </is>
      </c>
    </row>
    <row r="2404">
      <c r="D2404" t="n">
        <v>3230482</v>
      </c>
      <c r="H2404" t="inlineStr">
        <is>
          <t>Elkayem Auto Ancillaries ( P ) LTD</t>
        </is>
      </c>
    </row>
    <row r="2405">
      <c r="D2405" t="n">
        <v>3230482</v>
      </c>
      <c r="H2405" t="inlineStr">
        <is>
          <t>Elkayem Auto Ancillaries ( P ) LTD</t>
        </is>
      </c>
    </row>
    <row r="2406">
      <c r="D2406" t="n">
        <v>3230482</v>
      </c>
      <c r="H2406" t="inlineStr">
        <is>
          <t>Elkayem Auto Ancillaries ( P ) LTD</t>
        </is>
      </c>
    </row>
    <row r="2407">
      <c r="D2407" t="n">
        <v>3230482</v>
      </c>
      <c r="H2407" t="inlineStr">
        <is>
          <t>Elkayem Auto Ancillaries ( P ) LTD</t>
        </is>
      </c>
    </row>
    <row r="2408">
      <c r="D2408" t="n">
        <v>3230482</v>
      </c>
      <c r="H2408" t="inlineStr">
        <is>
          <t>TRANSIT STOCK</t>
        </is>
      </c>
    </row>
    <row r="2409">
      <c r="D2409" t="n">
        <v>3230482</v>
      </c>
      <c r="H2409" t="inlineStr">
        <is>
          <t>TRANSIT STOCK</t>
        </is>
      </c>
    </row>
    <row r="2410">
      <c r="D2410" t="n">
        <v>3230482</v>
      </c>
      <c r="H2410" t="inlineStr">
        <is>
          <t>TRANSIT STOCK</t>
        </is>
      </c>
    </row>
    <row r="2411">
      <c r="D2411" t="n">
        <v>3230482</v>
      </c>
      <c r="H2411" t="inlineStr">
        <is>
          <t>TRANSIT STOCK</t>
        </is>
      </c>
    </row>
    <row r="2412">
      <c r="D2412" t="n">
        <v>3230482</v>
      </c>
      <c r="H2412" t="inlineStr">
        <is>
          <t>TRANSIT STOCK</t>
        </is>
      </c>
    </row>
    <row r="2413">
      <c r="D2413" t="n">
        <v>3230482</v>
      </c>
      <c r="H2413" t="inlineStr">
        <is>
          <t>TRANSIT STOCK</t>
        </is>
      </c>
    </row>
    <row r="2414">
      <c r="D2414" t="n">
        <v>3230482</v>
      </c>
      <c r="H2414" t="inlineStr">
        <is>
          <t>TRANSIT STOCK</t>
        </is>
      </c>
    </row>
    <row r="2415">
      <c r="D2415" t="n">
        <v>3230482</v>
      </c>
      <c r="H2415" t="inlineStr">
        <is>
          <t>TRANSIT STOCK</t>
        </is>
      </c>
    </row>
    <row r="2416">
      <c r="D2416" t="n">
        <v>3230482</v>
      </c>
      <c r="H2416" t="inlineStr">
        <is>
          <t>TRANSIT STOCK</t>
        </is>
      </c>
    </row>
    <row r="2417">
      <c r="D2417" t="n">
        <v>3230482</v>
      </c>
      <c r="H2417" t="inlineStr">
        <is>
          <t>TRANSIT STOCK</t>
        </is>
      </c>
    </row>
    <row r="2418">
      <c r="D2418" t="n">
        <v>3230482</v>
      </c>
      <c r="H2418" t="inlineStr">
        <is>
          <t>TRANSIT STOCK</t>
        </is>
      </c>
    </row>
    <row r="2419">
      <c r="D2419" t="n">
        <v>3230482</v>
      </c>
      <c r="H2419" t="inlineStr">
        <is>
          <t>TRANSIT STOCK</t>
        </is>
      </c>
    </row>
    <row r="2420">
      <c r="D2420" t="n">
        <v>3230482</v>
      </c>
      <c r="H2420" t="inlineStr">
        <is>
          <t>TRANSIT STOCK</t>
        </is>
      </c>
    </row>
    <row r="2421">
      <c r="D2421" t="n">
        <v>3230484</v>
      </c>
      <c r="H2421" t="inlineStr">
        <is>
          <t>TRANSIT STOCK</t>
        </is>
      </c>
    </row>
    <row r="2422">
      <c r="D2422" t="n">
        <v>3230484</v>
      </c>
      <c r="H2422" t="inlineStr">
        <is>
          <t>TRANSIT STOCK</t>
        </is>
      </c>
    </row>
    <row r="2423">
      <c r="D2423" t="n">
        <v>3230484</v>
      </c>
      <c r="H2423" t="inlineStr">
        <is>
          <t>TRANSIT STOCK</t>
        </is>
      </c>
    </row>
    <row r="2424">
      <c r="D2424" t="n">
        <v>3230484</v>
      </c>
      <c r="H2424" t="inlineStr">
        <is>
          <t>TRANSIT STOCK</t>
        </is>
      </c>
    </row>
    <row r="2425">
      <c r="D2425" t="n">
        <v>3230484</v>
      </c>
      <c r="H2425" t="inlineStr">
        <is>
          <t>TRANSIT STOCK</t>
        </is>
      </c>
    </row>
    <row r="2426">
      <c r="D2426" t="n">
        <v>3230484</v>
      </c>
      <c r="H2426" t="inlineStr">
        <is>
          <t>TRANSIT STOCK</t>
        </is>
      </c>
    </row>
    <row r="2427">
      <c r="D2427" t="n">
        <v>3230484</v>
      </c>
      <c r="H2427" t="inlineStr">
        <is>
          <t>TRANSIT STOCK</t>
        </is>
      </c>
    </row>
    <row r="2428">
      <c r="D2428" t="n">
        <v>3230484</v>
      </c>
      <c r="H2428" t="inlineStr">
        <is>
          <t>TRANSIT STOCK</t>
        </is>
      </c>
    </row>
    <row r="2429">
      <c r="D2429" t="n">
        <v>3230484</v>
      </c>
      <c r="H2429" t="inlineStr">
        <is>
          <t>TRANSIT STOCK</t>
        </is>
      </c>
    </row>
    <row r="2430">
      <c r="D2430" t="n">
        <v>3230484</v>
      </c>
      <c r="H2430" t="inlineStr">
        <is>
          <t>TRANSIT STOCK</t>
        </is>
      </c>
    </row>
    <row r="2431">
      <c r="D2431" t="n">
        <v>3230484</v>
      </c>
      <c r="H2431" t="inlineStr">
        <is>
          <t>TRANSIT STOCK</t>
        </is>
      </c>
    </row>
    <row r="2432">
      <c r="D2432" t="n">
        <v>3230484</v>
      </c>
      <c r="H2432" t="inlineStr">
        <is>
          <t>TRANSIT STOCK</t>
        </is>
      </c>
    </row>
    <row r="2433">
      <c r="D2433" t="n">
        <v>3230484</v>
      </c>
      <c r="H2433" t="inlineStr">
        <is>
          <t>TRANSIT STOCK</t>
        </is>
      </c>
    </row>
    <row r="2434">
      <c r="D2434" t="n">
        <v>3230484</v>
      </c>
      <c r="H2434" t="inlineStr">
        <is>
          <t>TRANSIT STOCK</t>
        </is>
      </c>
    </row>
    <row r="2435">
      <c r="D2435" t="n">
        <v>3230484</v>
      </c>
      <c r="H2435" t="inlineStr">
        <is>
          <t>TRANSIT STOCK</t>
        </is>
      </c>
    </row>
    <row r="2436">
      <c r="D2436" t="n">
        <v>3230484</v>
      </c>
      <c r="H2436" t="inlineStr">
        <is>
          <t>TRANSIT STOCK</t>
        </is>
      </c>
    </row>
    <row r="2437">
      <c r="D2437" t="n">
        <v>3230484</v>
      </c>
      <c r="H2437" t="inlineStr">
        <is>
          <t>TRANSIT STOCK</t>
        </is>
      </c>
    </row>
    <row r="2438">
      <c r="D2438" t="n">
        <v>3230484</v>
      </c>
      <c r="H2438" t="inlineStr">
        <is>
          <t>TRANSIT STOCK</t>
        </is>
      </c>
    </row>
    <row r="2439">
      <c r="D2439" t="n">
        <v>3230484</v>
      </c>
      <c r="H2439" t="inlineStr">
        <is>
          <t>TRANSIT STOCK</t>
        </is>
      </c>
    </row>
    <row r="2440">
      <c r="D2440" t="n">
        <v>3230484</v>
      </c>
      <c r="H2440" t="inlineStr">
        <is>
          <t>TRANSIT STOCK</t>
        </is>
      </c>
    </row>
    <row r="2441">
      <c r="D2441" t="n">
        <v>3230484</v>
      </c>
      <c r="H2441" t="inlineStr">
        <is>
          <t>TRANSIT STOCK</t>
        </is>
      </c>
    </row>
    <row r="2442">
      <c r="D2442" t="n">
        <v>3230484</v>
      </c>
      <c r="H2442" t="inlineStr">
        <is>
          <t>TRANSIT STOCK</t>
        </is>
      </c>
    </row>
    <row r="2443">
      <c r="D2443" t="n">
        <v>3230484</v>
      </c>
      <c r="H2443" t="inlineStr">
        <is>
          <t>TRANSIT STOCK</t>
        </is>
      </c>
    </row>
    <row r="2444">
      <c r="D2444" t="n">
        <v>3230484</v>
      </c>
      <c r="H2444" t="inlineStr">
        <is>
          <t>TRANSIT STOCK</t>
        </is>
      </c>
    </row>
    <row r="2445">
      <c r="D2445" t="n">
        <v>3230484</v>
      </c>
      <c r="H2445" t="inlineStr">
        <is>
          <t>TRANSIT STOCK</t>
        </is>
      </c>
    </row>
    <row r="2446">
      <c r="D2446" t="n">
        <v>3230484</v>
      </c>
      <c r="H2446" t="inlineStr">
        <is>
          <t>TRANSIT STOCK</t>
        </is>
      </c>
    </row>
    <row r="2447">
      <c r="D2447" t="n">
        <v>3230484</v>
      </c>
      <c r="H2447" t="inlineStr">
        <is>
          <t>TRANSIT STOCK</t>
        </is>
      </c>
    </row>
    <row r="2448">
      <c r="D2448" t="n">
        <v>3230484</v>
      </c>
      <c r="H2448" t="inlineStr">
        <is>
          <t>TRANSIT STOCK</t>
        </is>
      </c>
    </row>
    <row r="2449">
      <c r="D2449" t="n">
        <v>3572044</v>
      </c>
      <c r="H2449" t="inlineStr">
        <is>
          <t>TRANSIT STOCK</t>
        </is>
      </c>
    </row>
    <row r="2450">
      <c r="D2450" t="n">
        <v>3752128</v>
      </c>
      <c r="H2450" t="inlineStr">
        <is>
          <t>TRANSIT STOCK</t>
        </is>
      </c>
    </row>
    <row r="2451">
      <c r="D2451" t="n">
        <v>1940538</v>
      </c>
      <c r="H2451" t="inlineStr">
        <is>
          <t>TRANSIT STOCK</t>
        </is>
      </c>
    </row>
    <row r="2452">
      <c r="D2452" t="n">
        <v>1940538</v>
      </c>
      <c r="H2452" t="inlineStr">
        <is>
          <t>TRANSIT STOCK</t>
        </is>
      </c>
    </row>
    <row r="2453">
      <c r="D2453" t="n">
        <v>1940538</v>
      </c>
      <c r="H2453" t="inlineStr">
        <is>
          <t>TRANSIT STOCK</t>
        </is>
      </c>
    </row>
    <row r="2454">
      <c r="D2454" t="n">
        <v>1940538</v>
      </c>
      <c r="H2454" t="inlineStr">
        <is>
          <t>TRANSIT STOCK</t>
        </is>
      </c>
    </row>
    <row r="2455">
      <c r="D2455" t="n">
        <v>1940538</v>
      </c>
      <c r="H2455" t="inlineStr">
        <is>
          <t>TRANSIT STOCK</t>
        </is>
      </c>
    </row>
    <row r="2456">
      <c r="D2456" t="n">
        <v>435963</v>
      </c>
      <c r="H2456" t="inlineStr">
        <is>
          <t>TRANSIT STOCK</t>
        </is>
      </c>
    </row>
    <row r="2457">
      <c r="D2457" t="n">
        <v>435963</v>
      </c>
      <c r="H2457" t="inlineStr">
        <is>
          <t>TRANSIT STOCK</t>
        </is>
      </c>
    </row>
    <row r="2458">
      <c r="D2458" t="n">
        <v>435963</v>
      </c>
      <c r="H2458" t="inlineStr">
        <is>
          <t>TRANSIT STOCK</t>
        </is>
      </c>
    </row>
    <row r="2459">
      <c r="D2459" t="n">
        <v>3675671</v>
      </c>
      <c r="H2459" t="inlineStr">
        <is>
          <t>TRANSIT STOCK</t>
        </is>
      </c>
    </row>
    <row r="2460">
      <c r="D2460" t="n">
        <v>3675672</v>
      </c>
      <c r="H2460" t="inlineStr">
        <is>
          <t>TRANSIT STOCK</t>
        </is>
      </c>
    </row>
    <row r="2461">
      <c r="D2461" t="n">
        <v>3605862</v>
      </c>
      <c r="H2461" t="inlineStr">
        <is>
          <t>TRANSIT STOCK</t>
        </is>
      </c>
    </row>
    <row r="2462">
      <c r="D2462" t="n">
        <v>1940545</v>
      </c>
      <c r="H2462" t="inlineStr">
        <is>
          <t>TRANSIT STOCK</t>
        </is>
      </c>
    </row>
    <row r="2463">
      <c r="D2463" t="n">
        <v>1940545</v>
      </c>
      <c r="H2463" t="inlineStr">
        <is>
          <t>TRANSIT STOCK</t>
        </is>
      </c>
    </row>
    <row r="2464">
      <c r="D2464" t="n">
        <v>2371410</v>
      </c>
      <c r="H2464" t="inlineStr">
        <is>
          <t>TRANSIT STOCK</t>
        </is>
      </c>
    </row>
    <row r="2465">
      <c r="D2465" t="n">
        <v>2371410</v>
      </c>
      <c r="H2465" t="inlineStr">
        <is>
          <t>TRANSIT STOCK</t>
        </is>
      </c>
    </row>
    <row r="2466">
      <c r="D2466" t="n">
        <v>3501900</v>
      </c>
      <c r="H2466" t="inlineStr">
        <is>
          <t>TRANSIT STOCK</t>
        </is>
      </c>
    </row>
    <row r="2467">
      <c r="D2467" t="n">
        <v>3501900</v>
      </c>
      <c r="H2467" t="inlineStr">
        <is>
          <t>TRANSIT STOCK</t>
        </is>
      </c>
    </row>
    <row r="2468">
      <c r="D2468" t="n">
        <v>3501900</v>
      </c>
      <c r="H2468" t="inlineStr">
        <is>
          <t>TRANSIT STOCK</t>
        </is>
      </c>
    </row>
    <row r="2469">
      <c r="D2469" t="n">
        <v>3501900</v>
      </c>
      <c r="H2469" t="inlineStr">
        <is>
          <t>TRANSIT STOCK</t>
        </is>
      </c>
    </row>
    <row r="2470">
      <c r="D2470" t="n">
        <v>3501900</v>
      </c>
      <c r="H2470" t="inlineStr">
        <is>
          <t>TRANSIT STOCK</t>
        </is>
      </c>
    </row>
    <row r="2471">
      <c r="D2471" t="n">
        <v>3501900</v>
      </c>
      <c r="H2471" t="inlineStr">
        <is>
          <t>TRANSIT STOCK</t>
        </is>
      </c>
    </row>
    <row r="2472">
      <c r="D2472" t="n">
        <v>3556885</v>
      </c>
      <c r="H2472" t="inlineStr">
        <is>
          <t>TRANSIT STOCK</t>
        </is>
      </c>
    </row>
    <row r="2473">
      <c r="D2473" t="n">
        <v>3556885</v>
      </c>
      <c r="H2473" t="inlineStr">
        <is>
          <t>TRANSIT STOCK</t>
        </is>
      </c>
    </row>
    <row r="2474">
      <c r="D2474" t="n">
        <v>3556885</v>
      </c>
      <c r="H2474" t="inlineStr">
        <is>
          <t>TRANSIT STOCK</t>
        </is>
      </c>
    </row>
    <row r="2475">
      <c r="D2475" t="n">
        <v>3556885</v>
      </c>
      <c r="H2475" t="inlineStr">
        <is>
          <t>TRANSIT STOCK</t>
        </is>
      </c>
    </row>
    <row r="2476">
      <c r="D2476" t="n">
        <v>3556885</v>
      </c>
      <c r="H2476" t="inlineStr">
        <is>
          <t>TRANSIT STOCK</t>
        </is>
      </c>
    </row>
    <row r="2477">
      <c r="D2477" t="n">
        <v>3556885</v>
      </c>
      <c r="H2477" t="inlineStr">
        <is>
          <t>TRANSIT STOCK</t>
        </is>
      </c>
    </row>
    <row r="2478">
      <c r="D2478" t="n">
        <v>3556885</v>
      </c>
      <c r="H2478" t="inlineStr">
        <is>
          <t>TRANSIT STOCK</t>
        </is>
      </c>
    </row>
    <row r="2479">
      <c r="D2479" t="n">
        <v>3556885</v>
      </c>
      <c r="H2479" t="inlineStr">
        <is>
          <t>TRANSIT STOCK</t>
        </is>
      </c>
    </row>
    <row r="2480">
      <c r="D2480" t="n">
        <v>3556885</v>
      </c>
      <c r="H2480" t="inlineStr">
        <is>
          <t>TRANSIT STOCK</t>
        </is>
      </c>
    </row>
    <row r="2481">
      <c r="D2481" t="n">
        <v>3556885</v>
      </c>
      <c r="H2481" t="inlineStr">
        <is>
          <t>TRANSIT STOCK</t>
        </is>
      </c>
    </row>
    <row r="2482">
      <c r="D2482" t="n">
        <v>3557792</v>
      </c>
      <c r="H2482" t="inlineStr">
        <is>
          <t>TRANSIT STOCK</t>
        </is>
      </c>
    </row>
    <row r="2483">
      <c r="D2483" t="n">
        <v>3557792</v>
      </c>
      <c r="H2483" t="inlineStr">
        <is>
          <t>TRANSIT STOCK</t>
        </is>
      </c>
    </row>
    <row r="2484">
      <c r="D2484" t="n">
        <v>3557792</v>
      </c>
      <c r="H2484" t="inlineStr">
        <is>
          <t>TRANSIT STOCK</t>
        </is>
      </c>
    </row>
    <row r="2485">
      <c r="D2485" t="n">
        <v>3557792</v>
      </c>
      <c r="H2485" t="inlineStr">
        <is>
          <t>TRANSIT STOCK</t>
        </is>
      </c>
    </row>
    <row r="2486">
      <c r="D2486" t="n">
        <v>3557792</v>
      </c>
      <c r="H2486" t="inlineStr">
        <is>
          <t>TRANSIT STOCK</t>
        </is>
      </c>
    </row>
    <row r="2487">
      <c r="D2487" t="n">
        <v>3557792</v>
      </c>
      <c r="H2487" t="inlineStr">
        <is>
          <t>TRANSIT STOCK</t>
        </is>
      </c>
    </row>
    <row r="2488">
      <c r="D2488" t="n">
        <v>3557792</v>
      </c>
      <c r="H2488" t="inlineStr">
        <is>
          <t>TRANSIT STOCK</t>
        </is>
      </c>
    </row>
    <row r="2489">
      <c r="D2489" t="n">
        <v>438186</v>
      </c>
      <c r="H2489" t="inlineStr">
        <is>
          <t>TRANSIT STOCK</t>
        </is>
      </c>
    </row>
    <row r="2490">
      <c r="D2490" t="n">
        <v>1903091</v>
      </c>
      <c r="H2490" t="inlineStr">
        <is>
          <t>TRANSIT STOCK</t>
        </is>
      </c>
    </row>
    <row r="2491">
      <c r="D2491" t="n">
        <v>1903091</v>
      </c>
      <c r="H2491" t="inlineStr">
        <is>
          <t>TRANSIT STOCK</t>
        </is>
      </c>
    </row>
    <row r="2492">
      <c r="D2492" t="n">
        <v>3732180</v>
      </c>
      <c r="H2492" t="inlineStr">
        <is>
          <t>TRANSIT STOCK</t>
        </is>
      </c>
    </row>
    <row r="2493">
      <c r="D2493" t="n">
        <v>3732180</v>
      </c>
      <c r="H2493" t="inlineStr">
        <is>
          <t>TRANSIT STOCK</t>
        </is>
      </c>
    </row>
    <row r="2494">
      <c r="D2494" t="n">
        <v>3732180</v>
      </c>
      <c r="H2494" t="inlineStr">
        <is>
          <t>TRANSIT STOCK</t>
        </is>
      </c>
    </row>
    <row r="2495">
      <c r="D2495" t="n">
        <v>3732180</v>
      </c>
      <c r="H2495" t="inlineStr">
        <is>
          <t>TRANSIT STOCK</t>
        </is>
      </c>
    </row>
    <row r="2496">
      <c r="D2496" t="n">
        <v>3732180</v>
      </c>
      <c r="H2496" t="inlineStr">
        <is>
          <t>TRANSIT STOCK</t>
        </is>
      </c>
    </row>
    <row r="2497">
      <c r="D2497" t="n">
        <v>3732180</v>
      </c>
      <c r="H2497" t="inlineStr">
        <is>
          <t>TRANSIT STOCK</t>
        </is>
      </c>
    </row>
    <row r="2498">
      <c r="D2498" t="n">
        <v>3732180</v>
      </c>
      <c r="H2498" t="inlineStr">
        <is>
          <t>TRANSIT STOCK</t>
        </is>
      </c>
    </row>
    <row r="2499">
      <c r="D2499" t="n">
        <v>3732180</v>
      </c>
      <c r="H2499" t="inlineStr">
        <is>
          <t>TRANSIT STOCK</t>
        </is>
      </c>
    </row>
    <row r="2500">
      <c r="D2500" t="n">
        <v>3732180</v>
      </c>
      <c r="H2500" t="inlineStr">
        <is>
          <t>TRANSIT STOCK</t>
        </is>
      </c>
    </row>
    <row r="2501">
      <c r="D2501" t="n">
        <v>3732180</v>
      </c>
      <c r="H2501" t="inlineStr">
        <is>
          <t>TRANSIT STOCK</t>
        </is>
      </c>
    </row>
    <row r="2502">
      <c r="D2502" t="n">
        <v>3732180</v>
      </c>
      <c r="H2502" t="inlineStr">
        <is>
          <t>TRANSIT STOCK</t>
        </is>
      </c>
    </row>
    <row r="2503">
      <c r="D2503" t="n">
        <v>3732180</v>
      </c>
      <c r="H2503" t="inlineStr">
        <is>
          <t>TRANSIT STOCK</t>
        </is>
      </c>
    </row>
    <row r="2504">
      <c r="D2504" t="n">
        <v>1119129</v>
      </c>
    </row>
    <row r="2505">
      <c r="D2505" t="n">
        <v>1119129</v>
      </c>
    </row>
    <row r="2506">
      <c r="D2506" t="n">
        <v>1119129</v>
      </c>
    </row>
    <row r="2507">
      <c r="D2507" t="n">
        <v>1940562</v>
      </c>
    </row>
    <row r="2508">
      <c r="D2508" t="n">
        <v>1940562</v>
      </c>
    </row>
    <row r="2509">
      <c r="D2509" t="n">
        <v>1940562</v>
      </c>
    </row>
    <row r="2510">
      <c r="D2510" t="n">
        <v>1940562</v>
      </c>
    </row>
    <row r="2511">
      <c r="D2511" t="n">
        <v>1940562</v>
      </c>
    </row>
    <row r="2512">
      <c r="D2512" t="n">
        <v>1940562</v>
      </c>
    </row>
    <row r="2513">
      <c r="D2513" t="n">
        <v>249132</v>
      </c>
    </row>
    <row r="2514">
      <c r="D2514" t="n">
        <v>249132</v>
      </c>
    </row>
    <row r="2515">
      <c r="D2515" t="n">
        <v>249132</v>
      </c>
    </row>
    <row r="2516">
      <c r="D2516" t="n">
        <v>249132</v>
      </c>
    </row>
    <row r="2517">
      <c r="D2517" t="n">
        <v>249132</v>
      </c>
    </row>
    <row r="2518">
      <c r="D2518" t="n">
        <v>249132</v>
      </c>
    </row>
    <row r="2519">
      <c r="D2519" t="n">
        <v>3677047</v>
      </c>
    </row>
    <row r="2520">
      <c r="D2520" t="n">
        <v>3677047</v>
      </c>
    </row>
    <row r="2521">
      <c r="D2521" t="n">
        <v>3677047</v>
      </c>
    </row>
    <row r="2522">
      <c r="D2522" t="n">
        <v>1448370</v>
      </c>
    </row>
    <row r="2523">
      <c r="D2523" t="n">
        <v>3551623</v>
      </c>
    </row>
    <row r="2524">
      <c r="D2524" t="n">
        <v>2400891</v>
      </c>
    </row>
    <row r="2525">
      <c r="D2525" t="n">
        <v>2400891</v>
      </c>
    </row>
    <row r="2526">
      <c r="D2526" t="n">
        <v>2400891</v>
      </c>
    </row>
    <row r="2527">
      <c r="D2527" t="n">
        <v>2400891</v>
      </c>
    </row>
    <row r="2528">
      <c r="D2528" t="n">
        <v>2400891</v>
      </c>
    </row>
    <row r="2529">
      <c r="D2529" t="n">
        <v>2400891</v>
      </c>
    </row>
    <row r="2530">
      <c r="D2530" t="n">
        <v>3727130</v>
      </c>
    </row>
    <row r="2531">
      <c r="D2531" t="n">
        <v>2409618</v>
      </c>
    </row>
    <row r="2532">
      <c r="D2532" t="n">
        <v>2409618</v>
      </c>
    </row>
    <row r="2533">
      <c r="D2533" t="n">
        <v>2409618</v>
      </c>
    </row>
    <row r="2534">
      <c r="D2534" t="n">
        <v>2409618</v>
      </c>
    </row>
    <row r="2535">
      <c r="D2535" t="n">
        <v>2409618</v>
      </c>
    </row>
    <row r="2536">
      <c r="D2536" t="n">
        <v>2409618</v>
      </c>
    </row>
    <row r="2537">
      <c r="D2537" t="n">
        <v>2409618</v>
      </c>
    </row>
    <row r="2538">
      <c r="D2538" t="n">
        <v>2409618</v>
      </c>
    </row>
    <row r="2539">
      <c r="D2539" t="n">
        <v>2409618</v>
      </c>
    </row>
    <row r="2540">
      <c r="D2540" t="n">
        <v>2409618</v>
      </c>
    </row>
    <row r="2541">
      <c r="D2541" t="n">
        <v>2409618</v>
      </c>
    </row>
    <row r="2542">
      <c r="D2542" t="n">
        <v>2409618</v>
      </c>
    </row>
    <row r="2543">
      <c r="D2543" t="n">
        <v>2409618</v>
      </c>
    </row>
    <row r="2544">
      <c r="D2544" t="n">
        <v>1940571</v>
      </c>
    </row>
    <row r="2545">
      <c r="D2545" t="n">
        <v>3500097</v>
      </c>
    </row>
    <row r="2546">
      <c r="D2546" t="n">
        <v>3500097</v>
      </c>
    </row>
    <row r="2547">
      <c r="D2547" t="n">
        <v>3500097</v>
      </c>
    </row>
    <row r="2548">
      <c r="D2548" t="n">
        <v>3500097</v>
      </c>
    </row>
    <row r="2549">
      <c r="D2549" t="n">
        <v>3500097</v>
      </c>
    </row>
    <row r="2550">
      <c r="D2550" t="n">
        <v>3500097</v>
      </c>
    </row>
    <row r="2551">
      <c r="D2551" t="n">
        <v>3500097</v>
      </c>
    </row>
    <row r="2552">
      <c r="D2552" t="n">
        <v>3500097</v>
      </c>
    </row>
    <row r="2553">
      <c r="D2553" t="n">
        <v>3500097</v>
      </c>
    </row>
    <row r="2554">
      <c r="D2554" t="n">
        <v>3500097</v>
      </c>
    </row>
    <row r="2555">
      <c r="D2555" t="n">
        <v>3500097</v>
      </c>
    </row>
    <row r="2556">
      <c r="D2556" t="n">
        <v>3500097</v>
      </c>
    </row>
    <row r="2557">
      <c r="D2557" t="n">
        <v>3500097</v>
      </c>
    </row>
    <row r="2558">
      <c r="D2558" t="n">
        <v>3500097</v>
      </c>
    </row>
    <row r="2559">
      <c r="D2559" t="n">
        <v>1940574</v>
      </c>
    </row>
    <row r="2560">
      <c r="D2560" t="n">
        <v>1940584</v>
      </c>
    </row>
    <row r="2561">
      <c r="D2561" t="n">
        <v>1940584</v>
      </c>
    </row>
    <row r="2562">
      <c r="D2562" t="n">
        <v>1940584</v>
      </c>
    </row>
    <row r="2563">
      <c r="D2563" t="n">
        <v>1940584</v>
      </c>
    </row>
    <row r="2564">
      <c r="D2564" t="n">
        <v>1940584</v>
      </c>
    </row>
    <row r="2565">
      <c r="D2565" t="n">
        <v>1940584</v>
      </c>
    </row>
    <row r="2566">
      <c r="D2566" t="n">
        <v>1940584</v>
      </c>
    </row>
    <row r="2567">
      <c r="D2567" t="n">
        <v>1940584</v>
      </c>
    </row>
    <row r="2568">
      <c r="D2568" t="n">
        <v>1940584</v>
      </c>
    </row>
    <row r="2569">
      <c r="D2569" t="n">
        <v>299981</v>
      </c>
    </row>
    <row r="2570">
      <c r="D2570" t="n">
        <v>3506206</v>
      </c>
    </row>
    <row r="2571">
      <c r="D2571" t="n">
        <v>1413976</v>
      </c>
    </row>
    <row r="2572">
      <c r="D2572" t="n">
        <v>3508859</v>
      </c>
    </row>
    <row r="2573">
      <c r="D2573" t="n">
        <v>3209978</v>
      </c>
    </row>
    <row r="2574">
      <c r="D2574" t="n">
        <v>1940588</v>
      </c>
    </row>
    <row r="2575">
      <c r="D2575" t="n">
        <v>1940588</v>
      </c>
    </row>
    <row r="2576">
      <c r="D2576" t="n">
        <v>1940588</v>
      </c>
    </row>
    <row r="2577">
      <c r="D2577" t="n">
        <v>1940588</v>
      </c>
    </row>
    <row r="2578">
      <c r="D2578" t="n">
        <v>1940588</v>
      </c>
    </row>
    <row r="2579">
      <c r="D2579" t="n">
        <v>1940588</v>
      </c>
    </row>
    <row r="2580">
      <c r="D2580" t="n">
        <v>1940588</v>
      </c>
    </row>
    <row r="2581">
      <c r="D2581" t="n">
        <v>1940588</v>
      </c>
    </row>
    <row r="2582">
      <c r="D2582" t="n">
        <v>1940588</v>
      </c>
    </row>
    <row r="2583">
      <c r="D2583" t="n">
        <v>1940588</v>
      </c>
    </row>
    <row r="2584">
      <c r="D2584" t="n">
        <v>1940588</v>
      </c>
    </row>
    <row r="2585">
      <c r="D2585" t="n">
        <v>1940588</v>
      </c>
    </row>
    <row r="2586">
      <c r="D2586" t="n">
        <v>1940588</v>
      </c>
    </row>
    <row r="2587">
      <c r="D2587" t="n">
        <v>1940588</v>
      </c>
    </row>
    <row r="2588">
      <c r="D2588" t="n">
        <v>1940588</v>
      </c>
    </row>
    <row r="2589">
      <c r="D2589" t="n">
        <v>1940588</v>
      </c>
    </row>
    <row r="2590">
      <c r="D2590" t="n">
        <v>1940588</v>
      </c>
    </row>
    <row r="2591">
      <c r="D2591" t="n">
        <v>1940588</v>
      </c>
    </row>
    <row r="2592">
      <c r="D2592" t="n">
        <v>1940588</v>
      </c>
    </row>
    <row r="2593">
      <c r="D2593" t="n">
        <v>1940588</v>
      </c>
    </row>
    <row r="2594">
      <c r="D2594" t="n">
        <v>1940588</v>
      </c>
    </row>
    <row r="2595">
      <c r="D2595" t="n">
        <v>1940588</v>
      </c>
    </row>
    <row r="2596">
      <c r="D2596" t="n">
        <v>1940588</v>
      </c>
    </row>
    <row r="2597">
      <c r="D2597" t="n">
        <v>1940588</v>
      </c>
    </row>
    <row r="2598">
      <c r="D2598" t="n">
        <v>1940588</v>
      </c>
    </row>
    <row r="2599">
      <c r="D2599" t="n">
        <v>1940588</v>
      </c>
    </row>
    <row r="2600">
      <c r="D2600" t="n">
        <v>1940588</v>
      </c>
    </row>
    <row r="2601">
      <c r="D2601" t="n">
        <v>1940588</v>
      </c>
    </row>
    <row r="2602">
      <c r="D2602" t="n">
        <v>1940588</v>
      </c>
    </row>
    <row r="2603">
      <c r="D2603" t="n">
        <v>1940588</v>
      </c>
    </row>
    <row r="2604">
      <c r="D2604" t="n">
        <v>1940588</v>
      </c>
    </row>
    <row r="2605">
      <c r="D2605" t="n">
        <v>1940588</v>
      </c>
    </row>
    <row r="2606">
      <c r="D2606" t="n">
        <v>1940588</v>
      </c>
    </row>
    <row r="2607">
      <c r="D2607" t="n">
        <v>1940588</v>
      </c>
    </row>
    <row r="2608">
      <c r="D2608" t="n">
        <v>3122350</v>
      </c>
    </row>
    <row r="2609">
      <c r="D2609" t="n">
        <v>3863819</v>
      </c>
    </row>
    <row r="2610">
      <c r="D2610" t="n">
        <v>3863800</v>
      </c>
    </row>
    <row r="2611">
      <c r="D2611" t="n">
        <v>2382577</v>
      </c>
    </row>
    <row r="2612">
      <c r="D2612" t="n">
        <v>1386656</v>
      </c>
    </row>
    <row r="2613">
      <c r="D2613" t="n">
        <v>3509211</v>
      </c>
    </row>
    <row r="2614">
      <c r="D2614" t="n">
        <v>1482265</v>
      </c>
    </row>
    <row r="2615">
      <c r="D2615" t="n">
        <v>3218520</v>
      </c>
    </row>
    <row r="2616">
      <c r="D2616" t="n">
        <v>1531609</v>
      </c>
    </row>
    <row r="2617">
      <c r="D2617" t="n">
        <v>1531609</v>
      </c>
    </row>
    <row r="2618">
      <c r="D2618" t="n">
        <v>1190412</v>
      </c>
    </row>
    <row r="2619">
      <c r="D2619" t="n">
        <v>2420715</v>
      </c>
    </row>
    <row r="2620">
      <c r="D2620" t="n">
        <v>3667329</v>
      </c>
    </row>
    <row r="2621">
      <c r="D2621" t="n">
        <v>3667329</v>
      </c>
    </row>
    <row r="2622">
      <c r="D2622" t="n">
        <v>3667329</v>
      </c>
    </row>
    <row r="2623">
      <c r="D2623" t="n">
        <v>3673890</v>
      </c>
    </row>
    <row r="2624">
      <c r="D2624" t="n">
        <v>3230760</v>
      </c>
    </row>
    <row r="2625">
      <c r="D2625" t="n">
        <v>3500096</v>
      </c>
    </row>
    <row r="2626">
      <c r="D2626" t="n">
        <v>3500096</v>
      </c>
    </row>
    <row r="2627">
      <c r="D2627" t="n">
        <v>3500096</v>
      </c>
    </row>
    <row r="2628">
      <c r="D2628" t="n">
        <v>3500096</v>
      </c>
    </row>
    <row r="2629">
      <c r="D2629" t="n">
        <v>3500096</v>
      </c>
    </row>
    <row r="2630">
      <c r="D2630" t="n">
        <v>3500096</v>
      </c>
    </row>
    <row r="2631">
      <c r="D2631" t="n">
        <v>3500096</v>
      </c>
    </row>
    <row r="2632">
      <c r="D2632" t="n">
        <v>3500096</v>
      </c>
    </row>
    <row r="2633">
      <c r="D2633" t="n">
        <v>3500096</v>
      </c>
    </row>
    <row r="2634">
      <c r="D2634" t="n">
        <v>3500096</v>
      </c>
    </row>
    <row r="2635">
      <c r="D2635" t="n">
        <v>3500096</v>
      </c>
    </row>
    <row r="2636">
      <c r="D2636" t="n">
        <v>3500096</v>
      </c>
    </row>
    <row r="2637">
      <c r="D2637" t="n">
        <v>3500096</v>
      </c>
    </row>
    <row r="2638">
      <c r="D2638" t="n">
        <v>3500096</v>
      </c>
    </row>
    <row r="2639">
      <c r="D2639" t="n">
        <v>3230755</v>
      </c>
    </row>
    <row r="2640">
      <c r="D2640" t="n">
        <v>1909397</v>
      </c>
    </row>
    <row r="2641">
      <c r="D2641" t="n">
        <v>3520755</v>
      </c>
    </row>
    <row r="2642">
      <c r="D2642" t="n">
        <v>3410967</v>
      </c>
    </row>
    <row r="2643">
      <c r="D2643" t="n">
        <v>1939544</v>
      </c>
    </row>
    <row r="2644">
      <c r="D2644" t="n">
        <v>1939544</v>
      </c>
    </row>
    <row r="2645">
      <c r="D2645" t="n">
        <v>1939544</v>
      </c>
    </row>
    <row r="2646">
      <c r="D2646" t="n">
        <v>1939544</v>
      </c>
    </row>
    <row r="2647">
      <c r="D2647" t="n">
        <v>1939544</v>
      </c>
    </row>
    <row r="2648">
      <c r="D2648" t="n">
        <v>1939544</v>
      </c>
    </row>
    <row r="2649">
      <c r="D2649" t="n">
        <v>1941293</v>
      </c>
    </row>
    <row r="2650">
      <c r="D2650" t="n">
        <v>1940595</v>
      </c>
    </row>
    <row r="2651">
      <c r="D2651" t="n">
        <v>1940595</v>
      </c>
    </row>
    <row r="2652">
      <c r="D2652" t="n">
        <v>1940595</v>
      </c>
    </row>
    <row r="2653">
      <c r="D2653" t="n">
        <v>1940595</v>
      </c>
    </row>
    <row r="2654">
      <c r="D2654" t="n">
        <v>1940595</v>
      </c>
    </row>
    <row r="2655">
      <c r="D2655" t="n">
        <v>1940595</v>
      </c>
    </row>
    <row r="2656">
      <c r="D2656" t="n">
        <v>1940595</v>
      </c>
    </row>
    <row r="2657">
      <c r="D2657" t="n">
        <v>3542856</v>
      </c>
    </row>
    <row r="2658">
      <c r="D2658" t="n">
        <v>3775636</v>
      </c>
    </row>
    <row r="2659">
      <c r="D2659" t="n">
        <v>2280506</v>
      </c>
    </row>
    <row r="2660">
      <c r="D2660" t="n">
        <v>3502256</v>
      </c>
    </row>
    <row r="2661">
      <c r="D2661" t="n">
        <v>3502256</v>
      </c>
    </row>
    <row r="2662">
      <c r="D2662" t="n">
        <v>3502256</v>
      </c>
    </row>
    <row r="2663">
      <c r="D2663" t="n">
        <v>3502256</v>
      </c>
    </row>
    <row r="2664">
      <c r="D2664" t="n">
        <v>3502256</v>
      </c>
    </row>
    <row r="2665">
      <c r="D2665" t="n">
        <v>3502256</v>
      </c>
    </row>
    <row r="2666">
      <c r="D2666" t="n">
        <v>3502256</v>
      </c>
    </row>
    <row r="2667">
      <c r="D2667" t="n">
        <v>3502256</v>
      </c>
    </row>
    <row r="2668">
      <c r="D2668" t="n">
        <v>3502256</v>
      </c>
    </row>
    <row r="2669">
      <c r="D2669" t="n">
        <v>3502256</v>
      </c>
    </row>
    <row r="2670">
      <c r="D2670" t="n">
        <v>3502256</v>
      </c>
    </row>
    <row r="2671">
      <c r="D2671" t="n">
        <v>3502256</v>
      </c>
    </row>
    <row r="2672">
      <c r="D2672" t="n">
        <v>3586645</v>
      </c>
    </row>
    <row r="2673">
      <c r="D2673" t="n">
        <v>3586645</v>
      </c>
    </row>
    <row r="2674">
      <c r="D2674" t="n">
        <v>3677043</v>
      </c>
    </row>
    <row r="2675">
      <c r="D2675" t="n">
        <v>1931813</v>
      </c>
    </row>
    <row r="2676">
      <c r="D2676" t="n">
        <v>3441355</v>
      </c>
    </row>
    <row r="2677">
      <c r="D2677" t="n">
        <v>3441355</v>
      </c>
    </row>
    <row r="2678">
      <c r="D2678" t="n">
        <v>3441355</v>
      </c>
    </row>
    <row r="2679">
      <c r="D2679" t="n">
        <v>1140302</v>
      </c>
    </row>
    <row r="2680">
      <c r="D2680" t="n">
        <v>1140302</v>
      </c>
    </row>
    <row r="2681">
      <c r="D2681" t="n">
        <v>1140302</v>
      </c>
    </row>
    <row r="2682">
      <c r="D2682" t="n">
        <v>1940603</v>
      </c>
    </row>
    <row r="2683">
      <c r="D2683" t="n">
        <v>1940603</v>
      </c>
    </row>
    <row r="2684">
      <c r="D2684" t="n">
        <v>1940603</v>
      </c>
    </row>
    <row r="2685">
      <c r="D2685" t="n">
        <v>1940603</v>
      </c>
    </row>
    <row r="2686">
      <c r="D2686" t="n">
        <v>1931264</v>
      </c>
    </row>
    <row r="2687">
      <c r="D2687" t="n">
        <v>2410997</v>
      </c>
    </row>
    <row r="2688">
      <c r="D2688" t="n">
        <v>2410997</v>
      </c>
    </row>
    <row r="2689">
      <c r="D2689" t="n">
        <v>2410997</v>
      </c>
    </row>
    <row r="2690">
      <c r="D2690" t="n">
        <v>2410997</v>
      </c>
    </row>
    <row r="2691">
      <c r="D2691" t="n">
        <v>2410997</v>
      </c>
    </row>
    <row r="2692">
      <c r="D2692" t="n">
        <v>2410997</v>
      </c>
    </row>
    <row r="2693">
      <c r="D2693" t="n">
        <v>1939284</v>
      </c>
    </row>
    <row r="2694">
      <c r="D2694" t="n">
        <v>1939284</v>
      </c>
    </row>
    <row r="2695">
      <c r="D2695" t="n">
        <v>1939284</v>
      </c>
    </row>
    <row r="2696">
      <c r="D2696" t="n">
        <v>1939284</v>
      </c>
    </row>
    <row r="2697">
      <c r="D2697" t="n">
        <v>1939284</v>
      </c>
    </row>
    <row r="2698">
      <c r="D2698" t="n">
        <v>1939284</v>
      </c>
    </row>
    <row r="2699">
      <c r="D2699" t="n">
        <v>1939284</v>
      </c>
    </row>
    <row r="2700">
      <c r="D2700" t="n">
        <v>1939283</v>
      </c>
    </row>
    <row r="2701">
      <c r="D2701" t="n">
        <v>1939283</v>
      </c>
    </row>
    <row r="2702">
      <c r="D2702" t="n">
        <v>1939283</v>
      </c>
    </row>
    <row r="2703">
      <c r="D2703" t="n">
        <v>1939283</v>
      </c>
    </row>
    <row r="2704">
      <c r="D2704" t="n">
        <v>1939283</v>
      </c>
    </row>
    <row r="2705">
      <c r="D2705" t="n">
        <v>1939283</v>
      </c>
    </row>
    <row r="2706">
      <c r="D2706" t="n">
        <v>2410992</v>
      </c>
    </row>
    <row r="2707">
      <c r="D2707" t="n">
        <v>2432009</v>
      </c>
    </row>
    <row r="2708">
      <c r="D2708" t="n">
        <v>2432009</v>
      </c>
    </row>
    <row r="2709">
      <c r="D2709" t="n">
        <v>2426241</v>
      </c>
    </row>
    <row r="2710">
      <c r="D2710" t="n">
        <v>1938483</v>
      </c>
    </row>
    <row r="2711">
      <c r="D2711" t="n">
        <v>1940614</v>
      </c>
    </row>
    <row r="2712">
      <c r="D2712" t="n">
        <v>1940614</v>
      </c>
    </row>
    <row r="2713">
      <c r="D2713" t="n">
        <v>1940614</v>
      </c>
    </row>
    <row r="2714">
      <c r="D2714" t="n">
        <v>1940614</v>
      </c>
    </row>
    <row r="2715">
      <c r="D2715" t="n">
        <v>1940614</v>
      </c>
    </row>
    <row r="2716">
      <c r="D2716" t="n">
        <v>1940614</v>
      </c>
    </row>
    <row r="2717">
      <c r="D2717" t="n">
        <v>1940614</v>
      </c>
    </row>
    <row r="2718">
      <c r="D2718" t="n">
        <v>1940614</v>
      </c>
    </row>
    <row r="2719">
      <c r="D2719" t="n">
        <v>237726</v>
      </c>
    </row>
    <row r="2720">
      <c r="D2720" t="n">
        <v>237726</v>
      </c>
    </row>
    <row r="2721">
      <c r="D2721" t="n">
        <v>237726</v>
      </c>
    </row>
    <row r="2722">
      <c r="D2722" t="n">
        <v>2331952</v>
      </c>
    </row>
    <row r="2723">
      <c r="D2723" t="n">
        <v>3702101</v>
      </c>
    </row>
    <row r="2724">
      <c r="D2724" t="n">
        <v>3727212</v>
      </c>
    </row>
    <row r="2725">
      <c r="D2725" t="n">
        <v>3727212</v>
      </c>
    </row>
    <row r="2726">
      <c r="D2726" t="n">
        <v>3727212</v>
      </c>
    </row>
    <row r="2727">
      <c r="D2727" t="n">
        <v>3727212</v>
      </c>
    </row>
    <row r="2728">
      <c r="D2728" t="n">
        <v>3727212</v>
      </c>
    </row>
    <row r="2729">
      <c r="D2729" t="n">
        <v>3727212</v>
      </c>
    </row>
    <row r="2730">
      <c r="D2730" t="n">
        <v>3598957</v>
      </c>
    </row>
    <row r="2731">
      <c r="D2731" t="n">
        <v>3598957</v>
      </c>
    </row>
    <row r="2732">
      <c r="D2732" t="n">
        <v>3598957</v>
      </c>
    </row>
    <row r="2733">
      <c r="D2733" t="n">
        <v>3598957</v>
      </c>
    </row>
    <row r="2734">
      <c r="D2734" t="n">
        <v>3598957</v>
      </c>
    </row>
    <row r="2735">
      <c r="D2735" t="n">
        <v>3598957</v>
      </c>
    </row>
    <row r="2736">
      <c r="D2736" t="n">
        <v>3598957</v>
      </c>
    </row>
    <row r="2737">
      <c r="D2737" t="n">
        <v>3598957</v>
      </c>
    </row>
    <row r="2738">
      <c r="D2738" t="n">
        <v>3598957</v>
      </c>
    </row>
    <row r="2739">
      <c r="D2739" t="n">
        <v>3598957</v>
      </c>
    </row>
    <row r="2740">
      <c r="D2740" t="n">
        <v>3598957</v>
      </c>
    </row>
    <row r="2741">
      <c r="D2741" t="n">
        <v>3598957</v>
      </c>
    </row>
    <row r="2742">
      <c r="D2742" t="n">
        <v>3598957</v>
      </c>
    </row>
    <row r="2743">
      <c r="D2743" t="n">
        <v>3598957</v>
      </c>
    </row>
    <row r="2744">
      <c r="D2744" t="n">
        <v>3598958</v>
      </c>
    </row>
    <row r="2745">
      <c r="D2745" t="n">
        <v>1940621</v>
      </c>
    </row>
    <row r="2746">
      <c r="D2746" t="n">
        <v>2397074</v>
      </c>
    </row>
    <row r="2747">
      <c r="D2747" t="n">
        <v>2397074</v>
      </c>
    </row>
    <row r="2748">
      <c r="D2748" t="n">
        <v>2397074</v>
      </c>
    </row>
    <row r="2749">
      <c r="D2749" t="n">
        <v>2397074</v>
      </c>
    </row>
    <row r="2750">
      <c r="D2750" t="n">
        <v>2397074</v>
      </c>
    </row>
    <row r="2751">
      <c r="D2751" t="n">
        <v>2397074</v>
      </c>
    </row>
    <row r="2752">
      <c r="D2752" t="n">
        <v>2397074</v>
      </c>
    </row>
    <row r="2753">
      <c r="D2753" t="n">
        <v>2397074</v>
      </c>
    </row>
    <row r="2754">
      <c r="D2754" t="n">
        <v>2397074</v>
      </c>
    </row>
    <row r="2755">
      <c r="D2755" t="n">
        <v>2397074</v>
      </c>
    </row>
    <row r="2756">
      <c r="D2756" t="n">
        <v>2397074</v>
      </c>
    </row>
    <row r="2757">
      <c r="D2757" t="n">
        <v>1940626</v>
      </c>
    </row>
    <row r="2758">
      <c r="D2758" t="n">
        <v>1940626</v>
      </c>
    </row>
    <row r="2759">
      <c r="D2759" t="n">
        <v>1940627</v>
      </c>
    </row>
    <row r="2760">
      <c r="D2760" t="n">
        <v>1940627</v>
      </c>
    </row>
    <row r="2761">
      <c r="D2761" t="n">
        <v>1940627</v>
      </c>
    </row>
    <row r="2762">
      <c r="D2762" t="n">
        <v>1940627</v>
      </c>
    </row>
    <row r="2763">
      <c r="D2763" t="n">
        <v>1940627</v>
      </c>
    </row>
    <row r="2764">
      <c r="D2764" t="n">
        <v>1940627</v>
      </c>
    </row>
    <row r="2765">
      <c r="D2765" t="n">
        <v>1940627</v>
      </c>
    </row>
    <row r="2766">
      <c r="D2766" t="n">
        <v>3617058</v>
      </c>
    </row>
    <row r="2767">
      <c r="D2767" t="n">
        <v>3617058</v>
      </c>
    </row>
    <row r="2768">
      <c r="D2768" t="n">
        <v>3617058</v>
      </c>
    </row>
    <row r="2769">
      <c r="D2769" t="n">
        <v>3617058</v>
      </c>
    </row>
    <row r="2770">
      <c r="D2770" t="n">
        <v>3617058</v>
      </c>
    </row>
    <row r="2771">
      <c r="D2771" t="n">
        <v>3617058</v>
      </c>
    </row>
    <row r="2772">
      <c r="D2772" t="n">
        <v>2410388</v>
      </c>
    </row>
    <row r="2773">
      <c r="D2773" t="n">
        <v>2410388</v>
      </c>
    </row>
    <row r="2774">
      <c r="D2774" t="n">
        <v>2410388</v>
      </c>
    </row>
    <row r="2775">
      <c r="D2775" t="n">
        <v>2410388</v>
      </c>
    </row>
    <row r="2776">
      <c r="D2776" t="n">
        <v>2410388</v>
      </c>
    </row>
    <row r="2777">
      <c r="D2777" t="n">
        <v>2410388</v>
      </c>
    </row>
    <row r="2778">
      <c r="D2778" t="n">
        <v>2410388</v>
      </c>
    </row>
    <row r="2779">
      <c r="D2779" t="n">
        <v>2410388</v>
      </c>
    </row>
    <row r="2780">
      <c r="D2780" t="n">
        <v>2410388</v>
      </c>
    </row>
    <row r="2781">
      <c r="D2781" t="n">
        <v>2410388</v>
      </c>
    </row>
    <row r="2782">
      <c r="D2782" t="n">
        <v>2410388</v>
      </c>
    </row>
    <row r="2783">
      <c r="D2783" t="n">
        <v>2410388</v>
      </c>
    </row>
    <row r="2784">
      <c r="D2784" t="n">
        <v>3472102</v>
      </c>
    </row>
    <row r="2785">
      <c r="D2785" t="n">
        <v>3770393</v>
      </c>
    </row>
    <row r="2786">
      <c r="D2786" t="n">
        <v>3190072</v>
      </c>
    </row>
    <row r="2787">
      <c r="D2787" t="n">
        <v>3190072</v>
      </c>
    </row>
    <row r="2788">
      <c r="D2788" t="n">
        <v>3190072</v>
      </c>
    </row>
    <row r="2789">
      <c r="D2789" t="n">
        <v>3190072</v>
      </c>
    </row>
    <row r="2790">
      <c r="D2790" t="n">
        <v>3190072</v>
      </c>
    </row>
    <row r="2791">
      <c r="D2791" t="n">
        <v>3190072</v>
      </c>
    </row>
    <row r="2792">
      <c r="D2792" t="n">
        <v>3190072</v>
      </c>
    </row>
    <row r="2793">
      <c r="D2793" t="n">
        <v>3909903</v>
      </c>
    </row>
    <row r="2794">
      <c r="D2794" t="n">
        <v>1939285</v>
      </c>
    </row>
    <row r="2795">
      <c r="D2795" t="n">
        <v>1939285</v>
      </c>
    </row>
    <row r="2796">
      <c r="D2796" t="n">
        <v>1939285</v>
      </c>
    </row>
    <row r="2797">
      <c r="D2797" t="n">
        <v>1939285</v>
      </c>
    </row>
    <row r="2798">
      <c r="D2798" t="n">
        <v>1939285</v>
      </c>
    </row>
    <row r="2799">
      <c r="D2799" t="n">
        <v>1941303</v>
      </c>
    </row>
    <row r="2800">
      <c r="D2800" t="n">
        <v>1941303</v>
      </c>
    </row>
    <row r="2801">
      <c r="D2801" t="n">
        <v>1941303</v>
      </c>
    </row>
    <row r="2802">
      <c r="D2802" t="n">
        <v>1941303</v>
      </c>
    </row>
    <row r="2803">
      <c r="D2803" t="n">
        <v>2359912</v>
      </c>
    </row>
    <row r="2804">
      <c r="D2804" t="n">
        <v>2359912</v>
      </c>
    </row>
    <row r="2805">
      <c r="D2805" t="n">
        <v>2359912</v>
      </c>
    </row>
    <row r="2806">
      <c r="D2806" t="n">
        <v>2359912</v>
      </c>
    </row>
    <row r="2807">
      <c r="D2807" t="n">
        <v>3190073</v>
      </c>
    </row>
    <row r="2808">
      <c r="D2808" t="n">
        <v>3190073</v>
      </c>
    </row>
    <row r="2809">
      <c r="D2809" t="n">
        <v>1939282</v>
      </c>
    </row>
    <row r="2810">
      <c r="D2810" t="n">
        <v>1939282</v>
      </c>
    </row>
    <row r="2811">
      <c r="D2811" t="n">
        <v>1939282</v>
      </c>
    </row>
    <row r="2812">
      <c r="D2812" t="n">
        <v>1939282</v>
      </c>
    </row>
    <row r="2813">
      <c r="D2813" t="n">
        <v>2359755</v>
      </c>
    </row>
    <row r="2814">
      <c r="D2814" t="n">
        <v>2359755</v>
      </c>
    </row>
    <row r="2815">
      <c r="D2815" t="n">
        <v>2359755</v>
      </c>
    </row>
    <row r="2816">
      <c r="D2816" t="n">
        <v>2359755</v>
      </c>
    </row>
    <row r="2817">
      <c r="D2817" t="n">
        <v>2359755</v>
      </c>
    </row>
    <row r="2818">
      <c r="D2818" t="n">
        <v>2359755</v>
      </c>
    </row>
    <row r="2819">
      <c r="D2819" t="n">
        <v>2359755</v>
      </c>
    </row>
    <row r="2820">
      <c r="D2820" t="n">
        <v>2359755</v>
      </c>
    </row>
    <row r="2821">
      <c r="D2821" t="n">
        <v>2410991</v>
      </c>
    </row>
    <row r="2822">
      <c r="D2822" t="n">
        <v>1938121</v>
      </c>
    </row>
    <row r="2823">
      <c r="D2823" t="n">
        <v>1938121</v>
      </c>
    </row>
    <row r="2824">
      <c r="D2824" t="n">
        <v>3572045</v>
      </c>
    </row>
    <row r="2825">
      <c r="D2825" t="n">
        <v>3572045</v>
      </c>
    </row>
    <row r="2826">
      <c r="D2826" t="n">
        <v>3572045</v>
      </c>
    </row>
    <row r="2827">
      <c r="D2827" t="n">
        <v>3572045</v>
      </c>
    </row>
    <row r="2828">
      <c r="D2828" t="n">
        <v>3572045</v>
      </c>
    </row>
    <row r="2829">
      <c r="D2829" t="n">
        <v>3572045</v>
      </c>
    </row>
    <row r="2830">
      <c r="D2830" t="n">
        <v>3572045</v>
      </c>
    </row>
    <row r="2831">
      <c r="D2831" t="n">
        <v>3572045</v>
      </c>
    </row>
    <row r="2832">
      <c r="D2832" t="n">
        <v>3572045</v>
      </c>
    </row>
    <row r="2833">
      <c r="D2833" t="n">
        <v>3572045</v>
      </c>
    </row>
    <row r="2834">
      <c r="D2834" t="n">
        <v>3572045</v>
      </c>
    </row>
    <row r="2835">
      <c r="D2835" t="n">
        <v>3572045</v>
      </c>
    </row>
    <row r="2836">
      <c r="D2836" t="n">
        <v>3572045</v>
      </c>
    </row>
    <row r="2837">
      <c r="D2837" t="n">
        <v>3572045</v>
      </c>
    </row>
    <row r="2838">
      <c r="D2838" t="n">
        <v>3230495</v>
      </c>
    </row>
    <row r="2839">
      <c r="D2839" t="n">
        <v>3230495</v>
      </c>
    </row>
    <row r="2840">
      <c r="D2840" t="n">
        <v>3230495</v>
      </c>
    </row>
    <row r="2841">
      <c r="D2841" t="n">
        <v>3230495</v>
      </c>
    </row>
    <row r="2842">
      <c r="D2842" t="n">
        <v>3230495</v>
      </c>
    </row>
    <row r="2843">
      <c r="D2843" t="n">
        <v>3230495</v>
      </c>
    </row>
    <row r="2844">
      <c r="D2844" t="n">
        <v>3230495</v>
      </c>
    </row>
    <row r="2845">
      <c r="D2845" t="n">
        <v>3230495</v>
      </c>
    </row>
    <row r="2846">
      <c r="D2846" t="n">
        <v>3230495</v>
      </c>
    </row>
    <row r="2847">
      <c r="D2847" t="n">
        <v>3230495</v>
      </c>
    </row>
    <row r="2848">
      <c r="D2848" t="n">
        <v>3230495</v>
      </c>
    </row>
    <row r="2849">
      <c r="D2849" t="n">
        <v>3230495</v>
      </c>
    </row>
    <row r="2850">
      <c r="D2850" t="n">
        <v>3230495</v>
      </c>
    </row>
    <row r="2851">
      <c r="D2851" t="n">
        <v>3230495</v>
      </c>
    </row>
    <row r="2852">
      <c r="D2852" t="n">
        <v>3230495</v>
      </c>
    </row>
    <row r="2853">
      <c r="D2853" t="n">
        <v>3230495</v>
      </c>
    </row>
    <row r="2854">
      <c r="D2854" t="n">
        <v>3230495</v>
      </c>
    </row>
    <row r="2855">
      <c r="D2855" t="n">
        <v>3230495</v>
      </c>
    </row>
    <row r="2856">
      <c r="D2856" t="n">
        <v>3230495</v>
      </c>
    </row>
    <row r="2857">
      <c r="D2857" t="n">
        <v>3230495</v>
      </c>
    </row>
    <row r="2858">
      <c r="D2858" t="n">
        <v>3230495</v>
      </c>
    </row>
    <row r="2859">
      <c r="D2859" t="n">
        <v>3230495</v>
      </c>
    </row>
    <row r="2860">
      <c r="D2860" t="n">
        <v>3230495</v>
      </c>
    </row>
    <row r="2861">
      <c r="D2861" t="n">
        <v>3230495</v>
      </c>
    </row>
    <row r="2862">
      <c r="D2862" t="n">
        <v>3230495</v>
      </c>
    </row>
    <row r="2863">
      <c r="D2863" t="n">
        <v>3230495</v>
      </c>
    </row>
    <row r="2864">
      <c r="D2864" t="n">
        <v>3230495</v>
      </c>
    </row>
    <row r="2865">
      <c r="D2865" t="n">
        <v>3230495</v>
      </c>
    </row>
    <row r="2866">
      <c r="D2866" t="n">
        <v>3230495</v>
      </c>
    </row>
    <row r="2867">
      <c r="D2867" t="n">
        <v>403040</v>
      </c>
    </row>
    <row r="2868">
      <c r="D2868" t="n">
        <v>403040</v>
      </c>
    </row>
    <row r="2869">
      <c r="D2869" t="n">
        <v>403040</v>
      </c>
    </row>
    <row r="2870">
      <c r="D2870" t="n">
        <v>403040</v>
      </c>
    </row>
    <row r="2871">
      <c r="D2871" t="n">
        <v>403040</v>
      </c>
    </row>
    <row r="2872">
      <c r="D2872" t="n">
        <v>503108</v>
      </c>
    </row>
    <row r="2873">
      <c r="D2873" t="n">
        <v>503108</v>
      </c>
    </row>
    <row r="2874">
      <c r="D2874" t="n">
        <v>503108</v>
      </c>
    </row>
    <row r="2875">
      <c r="D2875" t="n">
        <v>3774983</v>
      </c>
    </row>
    <row r="2876">
      <c r="D2876" t="n">
        <v>2256593</v>
      </c>
    </row>
    <row r="2877">
      <c r="D2877" t="n">
        <v>2256593</v>
      </c>
    </row>
    <row r="2878">
      <c r="D2878" t="n">
        <v>2256593</v>
      </c>
    </row>
    <row r="2879">
      <c r="D2879" t="n">
        <v>2256593</v>
      </c>
    </row>
    <row r="2880">
      <c r="D2880" t="n">
        <v>2256593</v>
      </c>
    </row>
    <row r="2881">
      <c r="D2881" t="n">
        <v>2256593</v>
      </c>
    </row>
    <row r="2882">
      <c r="D2882" t="n">
        <v>2256593</v>
      </c>
    </row>
    <row r="2883">
      <c r="D2883" t="n">
        <v>2256593</v>
      </c>
    </row>
    <row r="2884">
      <c r="D2884" t="n">
        <v>2256593</v>
      </c>
    </row>
    <row r="2885">
      <c r="D2885" t="n">
        <v>2256593</v>
      </c>
    </row>
    <row r="2886">
      <c r="D2886" t="n">
        <v>3508456</v>
      </c>
    </row>
    <row r="2887">
      <c r="D2887" t="n">
        <v>3508456</v>
      </c>
    </row>
    <row r="2888">
      <c r="D2888" t="n">
        <v>444028</v>
      </c>
    </row>
    <row r="2889">
      <c r="D2889" t="n">
        <v>3507795</v>
      </c>
    </row>
    <row r="2890">
      <c r="D2890" t="n">
        <v>373013</v>
      </c>
    </row>
    <row r="2891">
      <c r="D2891" t="n">
        <v>373013</v>
      </c>
    </row>
    <row r="2892">
      <c r="D2892" t="n">
        <v>1940653</v>
      </c>
    </row>
    <row r="2893">
      <c r="D2893" t="n">
        <v>1940653</v>
      </c>
    </row>
    <row r="2894">
      <c r="D2894" t="n">
        <v>1940653</v>
      </c>
    </row>
    <row r="2895">
      <c r="D2895" t="n">
        <v>1940653</v>
      </c>
    </row>
    <row r="2896">
      <c r="D2896" t="n">
        <v>1940653</v>
      </c>
    </row>
    <row r="2897">
      <c r="D2897" t="n">
        <v>1940653</v>
      </c>
    </row>
    <row r="2898">
      <c r="D2898" t="n">
        <v>1940653</v>
      </c>
    </row>
    <row r="2899">
      <c r="D2899" t="n">
        <v>3506437</v>
      </c>
    </row>
    <row r="2900">
      <c r="D2900" t="n">
        <v>3819143</v>
      </c>
    </row>
    <row r="2901">
      <c r="D2901" t="n">
        <v>3819143</v>
      </c>
    </row>
    <row r="2902">
      <c r="D2902" t="n">
        <v>1904406</v>
      </c>
    </row>
    <row r="2903">
      <c r="D2903" t="n">
        <v>1904406</v>
      </c>
    </row>
    <row r="2904">
      <c r="D2904" t="n">
        <v>3586648</v>
      </c>
    </row>
    <row r="2905">
      <c r="D2905" t="n">
        <v>3586648</v>
      </c>
    </row>
    <row r="2906">
      <c r="D2906" t="n">
        <v>3586648</v>
      </c>
    </row>
    <row r="2907">
      <c r="D2907" t="n">
        <v>331629</v>
      </c>
    </row>
    <row r="2908">
      <c r="D2908" t="n">
        <v>3171772</v>
      </c>
    </row>
    <row r="2909">
      <c r="D2909" t="n">
        <v>3171772</v>
      </c>
    </row>
    <row r="2910">
      <c r="D2910" t="n">
        <v>3500689</v>
      </c>
    </row>
    <row r="2911">
      <c r="D2911" t="n">
        <v>3682122</v>
      </c>
    </row>
    <row r="2912">
      <c r="D2912" t="n">
        <v>3715133</v>
      </c>
    </row>
    <row r="2913">
      <c r="D2913" t="n">
        <v>3715133</v>
      </c>
    </row>
    <row r="2914">
      <c r="D2914" t="n">
        <v>3715133</v>
      </c>
    </row>
    <row r="2915">
      <c r="D2915" t="n">
        <v>3715133</v>
      </c>
    </row>
    <row r="2916">
      <c r="D2916" t="n">
        <v>3447257</v>
      </c>
    </row>
    <row r="2917">
      <c r="D2917" t="n">
        <v>3502255</v>
      </c>
    </row>
    <row r="2918">
      <c r="D2918" t="n">
        <v>3502018</v>
      </c>
    </row>
    <row r="2919">
      <c r="D2919" t="n">
        <v>3500081</v>
      </c>
    </row>
    <row r="2920">
      <c r="D2920" t="n">
        <v>3500081</v>
      </c>
    </row>
    <row r="2921">
      <c r="D2921" t="n">
        <v>3500081</v>
      </c>
    </row>
    <row r="2922">
      <c r="D2922" t="n">
        <v>3500081</v>
      </c>
    </row>
    <row r="2923">
      <c r="D2923" t="n">
        <v>3500352</v>
      </c>
    </row>
    <row r="2924">
      <c r="D2924" t="n">
        <v>3500352</v>
      </c>
    </row>
    <row r="2925">
      <c r="D2925" t="n">
        <v>3500352</v>
      </c>
    </row>
    <row r="2926">
      <c r="D2926" t="n">
        <v>3500352</v>
      </c>
    </row>
    <row r="2927">
      <c r="D2927" t="n">
        <v>3500352</v>
      </c>
    </row>
    <row r="2928">
      <c r="D2928" t="n">
        <v>3500352</v>
      </c>
    </row>
    <row r="2929">
      <c r="D2929" t="n">
        <v>3500352</v>
      </c>
    </row>
    <row r="2930">
      <c r="D2930" t="n">
        <v>3500352</v>
      </c>
    </row>
    <row r="2931">
      <c r="D2931" t="n">
        <v>3500352</v>
      </c>
    </row>
    <row r="2932">
      <c r="D2932" t="n">
        <v>3500352</v>
      </c>
    </row>
    <row r="2933">
      <c r="D2933" t="n">
        <v>3500352</v>
      </c>
    </row>
    <row r="2934">
      <c r="D2934" t="n">
        <v>3500352</v>
      </c>
    </row>
    <row r="2935">
      <c r="D2935" t="n">
        <v>3500352</v>
      </c>
    </row>
    <row r="2936">
      <c r="D2936" t="n">
        <v>3500352</v>
      </c>
    </row>
    <row r="2937">
      <c r="D2937" t="n">
        <v>1940686</v>
      </c>
    </row>
    <row r="2938">
      <c r="D2938" t="n">
        <v>1940686</v>
      </c>
    </row>
    <row r="2939">
      <c r="D2939" t="n">
        <v>1138892</v>
      </c>
    </row>
    <row r="2940">
      <c r="D2940" t="n">
        <v>1138892</v>
      </c>
    </row>
    <row r="2941">
      <c r="D2941" t="n">
        <v>1138892</v>
      </c>
    </row>
    <row r="2942">
      <c r="D2942" t="n">
        <v>1941840</v>
      </c>
    </row>
    <row r="2943">
      <c r="D2943" t="n">
        <v>1941840</v>
      </c>
    </row>
    <row r="2944">
      <c r="D2944" t="n">
        <v>1940685</v>
      </c>
    </row>
    <row r="2945">
      <c r="D2945" t="n">
        <v>2410960</v>
      </c>
    </row>
    <row r="2946">
      <c r="D2946" t="n">
        <v>2410960</v>
      </c>
    </row>
    <row r="2947">
      <c r="D2947" t="n">
        <v>2410960</v>
      </c>
    </row>
    <row r="2948">
      <c r="D2948" t="n">
        <v>2410960</v>
      </c>
    </row>
    <row r="2949">
      <c r="D2949" t="n">
        <v>3673945</v>
      </c>
    </row>
    <row r="2950">
      <c r="D2950" t="n">
        <v>3673942</v>
      </c>
    </row>
    <row r="2951">
      <c r="D2951" t="n">
        <v>3673944</v>
      </c>
    </row>
    <row r="2952">
      <c r="D2952" t="n">
        <v>1939872</v>
      </c>
    </row>
    <row r="2953">
      <c r="D2953" t="n">
        <v>3694074</v>
      </c>
    </row>
    <row r="2954">
      <c r="D2954" t="n">
        <v>3694074</v>
      </c>
    </row>
    <row r="2955">
      <c r="D2955" t="n">
        <v>3694074</v>
      </c>
    </row>
    <row r="2956">
      <c r="D2956" t="n">
        <v>3694074</v>
      </c>
    </row>
    <row r="2957">
      <c r="D2957" t="n">
        <v>3694074</v>
      </c>
    </row>
    <row r="2958">
      <c r="D2958" t="n">
        <v>2410993</v>
      </c>
    </row>
    <row r="2959">
      <c r="D2959" t="n">
        <v>2410993</v>
      </c>
    </row>
    <row r="2960">
      <c r="D2960" t="n">
        <v>2410993</v>
      </c>
    </row>
    <row r="2961">
      <c r="D2961" t="n">
        <v>2412748</v>
      </c>
    </row>
    <row r="2962">
      <c r="D2962" t="n">
        <v>2412748</v>
      </c>
    </row>
    <row r="2963">
      <c r="D2963" t="n">
        <v>2412748</v>
      </c>
    </row>
    <row r="2964">
      <c r="D2964" t="n">
        <v>2412748</v>
      </c>
    </row>
    <row r="2965">
      <c r="D2965" t="n">
        <v>2412748</v>
      </c>
    </row>
    <row r="2966">
      <c r="D2966" t="n">
        <v>3552194</v>
      </c>
    </row>
    <row r="2967">
      <c r="D2967" t="n">
        <v>3552194</v>
      </c>
    </row>
    <row r="2968">
      <c r="D2968" t="n">
        <v>3552194</v>
      </c>
    </row>
    <row r="2969">
      <c r="D2969" t="n">
        <v>3702855</v>
      </c>
    </row>
    <row r="2970">
      <c r="D2970" t="n">
        <v>3138219</v>
      </c>
    </row>
    <row r="2971">
      <c r="D2971" t="n">
        <v>3210433</v>
      </c>
    </row>
    <row r="2972">
      <c r="D2972" t="n">
        <v>1438913</v>
      </c>
    </row>
    <row r="2973">
      <c r="D2973" t="n">
        <v>2397073</v>
      </c>
    </row>
    <row r="2974">
      <c r="D2974" t="n">
        <v>2397073</v>
      </c>
    </row>
    <row r="2975">
      <c r="D2975" t="n">
        <v>2397073</v>
      </c>
    </row>
    <row r="2976">
      <c r="D2976" t="n">
        <v>2397073</v>
      </c>
    </row>
    <row r="2977">
      <c r="D2977" t="n">
        <v>2397073</v>
      </c>
    </row>
    <row r="2978">
      <c r="D2978" t="n">
        <v>3649699</v>
      </c>
    </row>
    <row r="2979">
      <c r="D2979" t="n">
        <v>3649699</v>
      </c>
    </row>
    <row r="2980">
      <c r="D2980" t="n">
        <v>3649699</v>
      </c>
    </row>
    <row r="2981">
      <c r="D2981" t="n">
        <v>3649699</v>
      </c>
    </row>
    <row r="2982">
      <c r="D2982" t="n">
        <v>3649699</v>
      </c>
    </row>
    <row r="2983">
      <c r="D2983" t="n">
        <v>3649699</v>
      </c>
    </row>
    <row r="2984">
      <c r="D2984" t="n">
        <v>3649699</v>
      </c>
    </row>
    <row r="2985">
      <c r="D2985" t="n">
        <v>3447254</v>
      </c>
    </row>
    <row r="2986">
      <c r="D2986" t="n">
        <v>3447254</v>
      </c>
    </row>
    <row r="2987">
      <c r="D2987" t="n">
        <v>3447254</v>
      </c>
    </row>
    <row r="2988">
      <c r="D2988" t="n">
        <v>3447254</v>
      </c>
    </row>
    <row r="2989">
      <c r="D2989" t="n">
        <v>3499611</v>
      </c>
    </row>
    <row r="2990">
      <c r="D2990" t="n">
        <v>3499611</v>
      </c>
    </row>
    <row r="2991">
      <c r="D2991" t="n">
        <v>3499611</v>
      </c>
    </row>
    <row r="2992">
      <c r="D2992" t="n">
        <v>1940701</v>
      </c>
    </row>
    <row r="2993">
      <c r="D2993" t="n">
        <v>1940701</v>
      </c>
    </row>
    <row r="2994">
      <c r="D2994" t="n">
        <v>1940701</v>
      </c>
    </row>
    <row r="2995">
      <c r="D2995" t="n">
        <v>3584140</v>
      </c>
    </row>
    <row r="2996">
      <c r="D2996" t="n">
        <v>1155165</v>
      </c>
    </row>
    <row r="2997">
      <c r="D2997" t="n">
        <v>1155165</v>
      </c>
    </row>
    <row r="2998">
      <c r="D2998" t="n">
        <v>1155165</v>
      </c>
    </row>
    <row r="2999">
      <c r="D2999" t="n">
        <v>1940711</v>
      </c>
    </row>
    <row r="3000">
      <c r="D3000" t="n">
        <v>1940711</v>
      </c>
    </row>
    <row r="3001">
      <c r="D3001" t="n">
        <v>3210055</v>
      </c>
    </row>
    <row r="3002">
      <c r="D3002" t="n">
        <v>1551280</v>
      </c>
    </row>
    <row r="3003">
      <c r="D3003" t="n">
        <v>1551280</v>
      </c>
    </row>
    <row r="3004">
      <c r="D3004" t="n">
        <v>3210054</v>
      </c>
    </row>
    <row r="3005">
      <c r="D3005" t="n">
        <v>1236370</v>
      </c>
    </row>
    <row r="3006">
      <c r="D3006" t="n">
        <v>1236370</v>
      </c>
    </row>
    <row r="3007">
      <c r="D3007" t="n">
        <v>3210056</v>
      </c>
    </row>
    <row r="3008">
      <c r="D3008" t="n">
        <v>3484654</v>
      </c>
    </row>
    <row r="3009">
      <c r="D3009" t="n">
        <v>3484654</v>
      </c>
    </row>
    <row r="3010">
      <c r="D3010" t="n">
        <v>3484654</v>
      </c>
    </row>
    <row r="3011">
      <c r="D3011" t="n">
        <v>3677064</v>
      </c>
    </row>
    <row r="3012">
      <c r="D3012" t="n">
        <v>3677064</v>
      </c>
    </row>
    <row r="3013">
      <c r="D3013" t="n">
        <v>3910451</v>
      </c>
    </row>
    <row r="3014">
      <c r="D3014" t="n">
        <v>3910451</v>
      </c>
    </row>
    <row r="3015">
      <c r="D3015" t="n">
        <v>3453789</v>
      </c>
    </row>
    <row r="3016">
      <c r="D3016" t="n">
        <v>3911992</v>
      </c>
    </row>
    <row r="3017">
      <c r="D3017" t="n">
        <v>3454801</v>
      </c>
    </row>
    <row r="3018">
      <c r="D3018" t="n">
        <v>3911993</v>
      </c>
    </row>
    <row r="3019">
      <c r="D3019" t="n">
        <v>1155164</v>
      </c>
    </row>
    <row r="3020">
      <c r="D3020" t="n">
        <v>1155164</v>
      </c>
    </row>
    <row r="3021">
      <c r="D3021" t="n">
        <v>1155164</v>
      </c>
    </row>
    <row r="3022">
      <c r="D3022" t="n">
        <v>1940718</v>
      </c>
    </row>
    <row r="3023">
      <c r="D3023" t="n">
        <v>3547256</v>
      </c>
    </row>
    <row r="3024">
      <c r="D3024" t="n">
        <v>3578410</v>
      </c>
    </row>
    <row r="3025">
      <c r="D3025" t="n">
        <v>3501132</v>
      </c>
    </row>
    <row r="3026">
      <c r="D3026" t="n">
        <v>3501132</v>
      </c>
    </row>
    <row r="3027">
      <c r="D3027" t="n">
        <v>1374708</v>
      </c>
    </row>
    <row r="3028">
      <c r="D3028" t="n">
        <v>403039</v>
      </c>
    </row>
    <row r="3029">
      <c r="D3029" t="n">
        <v>403039</v>
      </c>
    </row>
    <row r="3030">
      <c r="D3030" t="n">
        <v>403039</v>
      </c>
    </row>
    <row r="3031">
      <c r="D3031" t="n">
        <v>3731917</v>
      </c>
    </row>
    <row r="3032">
      <c r="D3032" t="n">
        <v>3731917</v>
      </c>
    </row>
    <row r="3033">
      <c r="D3033" t="n">
        <v>3731917</v>
      </c>
    </row>
    <row r="3034">
      <c r="D3034" t="n">
        <v>3731917</v>
      </c>
    </row>
    <row r="3035">
      <c r="D3035" t="n">
        <v>238413</v>
      </c>
    </row>
    <row r="3036">
      <c r="D3036" t="n">
        <v>238413</v>
      </c>
    </row>
    <row r="3037">
      <c r="D3037" t="n">
        <v>238413</v>
      </c>
    </row>
    <row r="3038">
      <c r="D3038" t="n">
        <v>293855</v>
      </c>
    </row>
    <row r="3039">
      <c r="D3039" t="n">
        <v>293855</v>
      </c>
    </row>
    <row r="3040">
      <c r="D3040" t="n">
        <v>1940730</v>
      </c>
    </row>
    <row r="3041">
      <c r="D3041" t="n">
        <v>302897</v>
      </c>
    </row>
    <row r="3042">
      <c r="D3042" t="n">
        <v>302897</v>
      </c>
    </row>
    <row r="3043">
      <c r="D3043" t="n">
        <v>302897</v>
      </c>
    </row>
    <row r="3044">
      <c r="D3044" t="n">
        <v>302897</v>
      </c>
    </row>
    <row r="3045">
      <c r="D3045" t="n">
        <v>302897</v>
      </c>
    </row>
    <row r="3046">
      <c r="D3046" t="n">
        <v>302897</v>
      </c>
    </row>
    <row r="3047">
      <c r="D3047" t="n">
        <v>1940731</v>
      </c>
    </row>
    <row r="3048">
      <c r="D3048" t="n">
        <v>1940731</v>
      </c>
    </row>
    <row r="3049">
      <c r="D3049" t="n">
        <v>1940731</v>
      </c>
    </row>
    <row r="3050">
      <c r="D3050" t="n">
        <v>1940731</v>
      </c>
    </row>
    <row r="3051">
      <c r="D3051" t="n">
        <v>1940731</v>
      </c>
    </row>
    <row r="3052">
      <c r="D3052" t="n">
        <v>1940731</v>
      </c>
    </row>
    <row r="3053">
      <c r="D3053" t="n">
        <v>1940731</v>
      </c>
    </row>
    <row r="3054">
      <c r="D3054" t="n">
        <v>1940731</v>
      </c>
    </row>
    <row r="3055">
      <c r="D3055" t="n">
        <v>1940731</v>
      </c>
    </row>
    <row r="3056">
      <c r="D3056" t="n">
        <v>1940731</v>
      </c>
    </row>
    <row r="3057">
      <c r="D3057" t="n">
        <v>1940731</v>
      </c>
    </row>
    <row r="3058">
      <c r="D3058" t="n">
        <v>1940731</v>
      </c>
    </row>
    <row r="3059">
      <c r="D3059" t="n">
        <v>3507790</v>
      </c>
    </row>
    <row r="3060">
      <c r="D3060" t="n">
        <v>1940732</v>
      </c>
    </row>
    <row r="3061">
      <c r="D3061" t="n">
        <v>1940732</v>
      </c>
    </row>
    <row r="3062">
      <c r="D3062" t="n">
        <v>1940732</v>
      </c>
    </row>
    <row r="3063">
      <c r="D3063" t="n">
        <v>1940732</v>
      </c>
    </row>
    <row r="3064">
      <c r="D3064" t="n">
        <v>1940732</v>
      </c>
    </row>
    <row r="3065">
      <c r="D3065" t="n">
        <v>1940732</v>
      </c>
    </row>
    <row r="3066">
      <c r="D3066" t="n">
        <v>1940732</v>
      </c>
    </row>
    <row r="3067">
      <c r="D3067" t="n">
        <v>1940732</v>
      </c>
    </row>
    <row r="3068">
      <c r="D3068" t="n">
        <v>2436343</v>
      </c>
    </row>
    <row r="3069">
      <c r="D3069" t="n">
        <v>2436343</v>
      </c>
    </row>
    <row r="3070">
      <c r="D3070" t="n">
        <v>2436343</v>
      </c>
    </row>
    <row r="3071">
      <c r="D3071" t="n">
        <v>2436343</v>
      </c>
    </row>
    <row r="3072">
      <c r="D3072" t="n">
        <v>2436343</v>
      </c>
    </row>
    <row r="3073">
      <c r="D3073" t="n">
        <v>2436343</v>
      </c>
    </row>
    <row r="3074">
      <c r="D3074" t="n">
        <v>2436343</v>
      </c>
    </row>
    <row r="3075">
      <c r="D3075" t="n">
        <v>3841884</v>
      </c>
    </row>
    <row r="3076">
      <c r="D3076" t="n">
        <v>1523477</v>
      </c>
    </row>
    <row r="3077">
      <c r="D3077" t="n">
        <v>3768904</v>
      </c>
    </row>
    <row r="3078">
      <c r="D3078" t="n">
        <v>3768904</v>
      </c>
    </row>
    <row r="3079">
      <c r="D3079" t="n">
        <v>3768904</v>
      </c>
    </row>
    <row r="3080">
      <c r="D3080" t="n">
        <v>3768904</v>
      </c>
    </row>
    <row r="3081">
      <c r="D3081" t="n">
        <v>3768904</v>
      </c>
    </row>
    <row r="3082">
      <c r="D3082" t="n">
        <v>3768904</v>
      </c>
    </row>
    <row r="3083">
      <c r="D3083" t="n">
        <v>3191747</v>
      </c>
    </row>
    <row r="3084">
      <c r="D3084" t="n">
        <v>3191747</v>
      </c>
    </row>
    <row r="3085">
      <c r="D3085" t="n">
        <v>3191747</v>
      </c>
    </row>
    <row r="3086">
      <c r="D3086" t="n">
        <v>3191747</v>
      </c>
    </row>
    <row r="3087">
      <c r="D3087" t="n">
        <v>3191747</v>
      </c>
    </row>
    <row r="3088">
      <c r="D3088" t="n">
        <v>3191747</v>
      </c>
    </row>
    <row r="3089">
      <c r="D3089" t="n">
        <v>3191747</v>
      </c>
    </row>
    <row r="3090">
      <c r="D3090" t="n">
        <v>3191747</v>
      </c>
    </row>
    <row r="3091">
      <c r="D3091" t="n">
        <v>3191747</v>
      </c>
    </row>
    <row r="3092">
      <c r="D3092" t="n">
        <v>1194658</v>
      </c>
    </row>
    <row r="3093">
      <c r="D3093" t="n">
        <v>3505953</v>
      </c>
    </row>
    <row r="3094">
      <c r="D3094" t="n">
        <v>3505953</v>
      </c>
    </row>
    <row r="3095">
      <c r="D3095" t="n">
        <v>3505953</v>
      </c>
    </row>
    <row r="3096">
      <c r="D3096" t="n">
        <v>3505953</v>
      </c>
    </row>
    <row r="3097">
      <c r="D3097" t="n">
        <v>3505953</v>
      </c>
    </row>
    <row r="3098">
      <c r="D3098" t="n">
        <v>3505953</v>
      </c>
    </row>
    <row r="3099">
      <c r="D3099" t="n">
        <v>3505953</v>
      </c>
    </row>
    <row r="3100">
      <c r="D3100" t="n">
        <v>3505953</v>
      </c>
    </row>
    <row r="3101">
      <c r="D3101" t="n">
        <v>3505953</v>
      </c>
    </row>
    <row r="3102">
      <c r="D3102" t="n">
        <v>3442533</v>
      </c>
    </row>
    <row r="3103">
      <c r="D3103" t="n">
        <v>3500470</v>
      </c>
    </row>
    <row r="3104">
      <c r="D3104" t="n">
        <v>3500470</v>
      </c>
    </row>
    <row r="3105">
      <c r="D3105" t="n">
        <v>3500470</v>
      </c>
    </row>
    <row r="3106">
      <c r="D3106" t="n">
        <v>3500470</v>
      </c>
    </row>
    <row r="3107">
      <c r="D3107" t="n">
        <v>3500470</v>
      </c>
    </row>
    <row r="3108">
      <c r="D3108" t="n">
        <v>3500470</v>
      </c>
    </row>
    <row r="3109">
      <c r="D3109" t="n">
        <v>3502254</v>
      </c>
    </row>
    <row r="3110">
      <c r="D3110" t="n">
        <v>3502254</v>
      </c>
    </row>
    <row r="3111">
      <c r="D3111" t="n">
        <v>3502254</v>
      </c>
    </row>
    <row r="3112">
      <c r="D3112" t="n">
        <v>3502254</v>
      </c>
    </row>
    <row r="3113">
      <c r="D3113" t="n">
        <v>3502254</v>
      </c>
    </row>
    <row r="3114">
      <c r="D3114" t="n">
        <v>3502254</v>
      </c>
    </row>
    <row r="3115">
      <c r="D3115" t="n">
        <v>3502254</v>
      </c>
    </row>
    <row r="3116">
      <c r="D3116" t="n">
        <v>3502254</v>
      </c>
    </row>
    <row r="3117">
      <c r="D3117" t="n">
        <v>3502254</v>
      </c>
    </row>
    <row r="3118">
      <c r="D3118" t="n">
        <v>3502254</v>
      </c>
    </row>
    <row r="3119">
      <c r="D3119" t="n">
        <v>3502254</v>
      </c>
    </row>
    <row r="3120">
      <c r="D3120" t="n">
        <v>3502254</v>
      </c>
    </row>
    <row r="3121">
      <c r="D3121" t="n">
        <v>3502254</v>
      </c>
    </row>
    <row r="3122">
      <c r="D3122" t="n">
        <v>3502254</v>
      </c>
    </row>
    <row r="3123">
      <c r="D3123" t="n">
        <v>3768902</v>
      </c>
    </row>
    <row r="3124">
      <c r="D3124" t="n">
        <v>3768902</v>
      </c>
    </row>
    <row r="3125">
      <c r="D3125" t="n">
        <v>3768902</v>
      </c>
    </row>
    <row r="3126">
      <c r="D3126" t="n">
        <v>3768902</v>
      </c>
    </row>
    <row r="3127">
      <c r="D3127" t="n">
        <v>1448371</v>
      </c>
    </row>
    <row r="3128">
      <c r="D3128" t="n">
        <v>1448371</v>
      </c>
    </row>
    <row r="3129">
      <c r="D3129" t="n">
        <v>1448371</v>
      </c>
    </row>
    <row r="3130">
      <c r="D3130" t="n">
        <v>1448371</v>
      </c>
    </row>
    <row r="3131">
      <c r="D3131" t="n">
        <v>3509030</v>
      </c>
    </row>
    <row r="3132">
      <c r="D3132" t="n">
        <v>3509030</v>
      </c>
    </row>
    <row r="3133">
      <c r="D3133" t="n">
        <v>3509030</v>
      </c>
    </row>
    <row r="3134">
      <c r="D3134" t="n">
        <v>2422183</v>
      </c>
    </row>
    <row r="3135">
      <c r="D3135" t="n">
        <v>3508742</v>
      </c>
    </row>
    <row r="3136">
      <c r="D3136" t="n">
        <v>3508742</v>
      </c>
    </row>
    <row r="3137">
      <c r="D3137" t="n">
        <v>3508742</v>
      </c>
    </row>
    <row r="3138">
      <c r="D3138" t="n">
        <v>3508742</v>
      </c>
    </row>
    <row r="3139">
      <c r="D3139" t="n">
        <v>3508742</v>
      </c>
    </row>
    <row r="3140">
      <c r="D3140" t="n">
        <v>3508742</v>
      </c>
    </row>
    <row r="3141">
      <c r="D3141" t="n">
        <v>1940738</v>
      </c>
    </row>
    <row r="3142">
      <c r="D3142" t="n">
        <v>1940738</v>
      </c>
    </row>
    <row r="3143">
      <c r="D3143" t="n">
        <v>1940738</v>
      </c>
    </row>
    <row r="3144">
      <c r="D3144" t="n">
        <v>1940738</v>
      </c>
    </row>
    <row r="3145">
      <c r="D3145" t="n">
        <v>444029</v>
      </c>
    </row>
    <row r="3146">
      <c r="D3146" t="n">
        <v>444029</v>
      </c>
    </row>
    <row r="3147">
      <c r="D3147" t="n">
        <v>1903849</v>
      </c>
    </row>
    <row r="3148">
      <c r="D3148" t="n">
        <v>1903849</v>
      </c>
    </row>
    <row r="3149">
      <c r="D3149" t="n">
        <v>1903849</v>
      </c>
    </row>
    <row r="3150">
      <c r="D3150" t="n">
        <v>1903849</v>
      </c>
    </row>
    <row r="3151">
      <c r="D3151" t="n">
        <v>1903849</v>
      </c>
    </row>
    <row r="3152">
      <c r="D3152" t="n">
        <v>1903849</v>
      </c>
    </row>
    <row r="3153">
      <c r="D3153" t="n">
        <v>1903849</v>
      </c>
    </row>
    <row r="3154">
      <c r="D3154" t="n">
        <v>1903849</v>
      </c>
    </row>
    <row r="3155">
      <c r="D3155" t="n">
        <v>1903849</v>
      </c>
    </row>
    <row r="3156">
      <c r="D3156" t="n">
        <v>1903849</v>
      </c>
    </row>
    <row r="3157">
      <c r="D3157" t="n">
        <v>1438332</v>
      </c>
    </row>
    <row r="3158">
      <c r="D3158" t="n">
        <v>1438332</v>
      </c>
    </row>
    <row r="3159">
      <c r="D3159" t="n">
        <v>1438332</v>
      </c>
    </row>
    <row r="3160">
      <c r="D3160" t="n">
        <v>3508985</v>
      </c>
    </row>
    <row r="3161">
      <c r="D3161" t="n">
        <v>1940739</v>
      </c>
    </row>
    <row r="3162">
      <c r="D3162" t="n">
        <v>1940739</v>
      </c>
    </row>
    <row r="3163">
      <c r="D3163" t="n">
        <v>1940739</v>
      </c>
    </row>
    <row r="3164">
      <c r="D3164" t="n">
        <v>1940739</v>
      </c>
    </row>
    <row r="3165">
      <c r="D3165" t="n">
        <v>437159</v>
      </c>
    </row>
    <row r="3166">
      <c r="D3166" t="n">
        <v>3774058</v>
      </c>
    </row>
    <row r="3167">
      <c r="D3167" t="n">
        <v>3516769</v>
      </c>
    </row>
    <row r="3168">
      <c r="D3168" t="n">
        <v>3516769</v>
      </c>
    </row>
    <row r="3169">
      <c r="D3169" t="n">
        <v>3516769</v>
      </c>
    </row>
    <row r="3170">
      <c r="D3170" t="n">
        <v>1940743</v>
      </c>
    </row>
    <row r="3171">
      <c r="D3171" t="n">
        <v>1940743</v>
      </c>
    </row>
    <row r="3172">
      <c r="D3172" t="n">
        <v>1940743</v>
      </c>
    </row>
    <row r="3173">
      <c r="D3173" t="n">
        <v>1940743</v>
      </c>
    </row>
    <row r="3174">
      <c r="D3174" t="n">
        <v>1940743</v>
      </c>
    </row>
    <row r="3175">
      <c r="D3175" t="n">
        <v>1940743</v>
      </c>
    </row>
    <row r="3176">
      <c r="D3176" t="n">
        <v>1940743</v>
      </c>
    </row>
    <row r="3177">
      <c r="D3177" t="n">
        <v>1940743</v>
      </c>
    </row>
    <row r="3178">
      <c r="D3178" t="n">
        <v>1940743</v>
      </c>
    </row>
    <row r="3179">
      <c r="D3179" t="n">
        <v>1940743</v>
      </c>
    </row>
    <row r="3180">
      <c r="D3180" t="n">
        <v>1940743</v>
      </c>
    </row>
    <row r="3181">
      <c r="D3181" t="n">
        <v>1940743</v>
      </c>
    </row>
    <row r="3182">
      <c r="D3182" t="n">
        <v>1940743</v>
      </c>
    </row>
    <row r="3183">
      <c r="D3183" t="n">
        <v>1940743</v>
      </c>
    </row>
    <row r="3184">
      <c r="D3184" t="n">
        <v>1940743</v>
      </c>
    </row>
    <row r="3185">
      <c r="D3185" t="n">
        <v>1940743</v>
      </c>
    </row>
    <row r="3186">
      <c r="D3186" t="n">
        <v>1940743</v>
      </c>
    </row>
    <row r="3187">
      <c r="D3187" t="n">
        <v>1940743</v>
      </c>
    </row>
    <row r="3188">
      <c r="D3188" t="n">
        <v>1940743</v>
      </c>
    </row>
    <row r="3189">
      <c r="D3189" t="n">
        <v>1940743</v>
      </c>
    </row>
    <row r="3190">
      <c r="D3190" t="n">
        <v>1940743</v>
      </c>
    </row>
    <row r="3191">
      <c r="D3191" t="n">
        <v>1940743</v>
      </c>
    </row>
    <row r="3192">
      <c r="D3192" t="n">
        <v>1940743</v>
      </c>
    </row>
    <row r="3193">
      <c r="D3193" t="n">
        <v>1940743</v>
      </c>
    </row>
    <row r="3194">
      <c r="D3194" t="n">
        <v>1940744</v>
      </c>
    </row>
    <row r="3195">
      <c r="D3195" t="n">
        <v>1940744</v>
      </c>
    </row>
    <row r="3196">
      <c r="D3196" t="n">
        <v>1940744</v>
      </c>
    </row>
    <row r="3197">
      <c r="D3197" t="n">
        <v>1940744</v>
      </c>
    </row>
    <row r="3198">
      <c r="D3198" t="n">
        <v>1940744</v>
      </c>
    </row>
    <row r="3199">
      <c r="D3199" t="n">
        <v>1940744</v>
      </c>
    </row>
    <row r="3200">
      <c r="D3200" t="n">
        <v>1940744</v>
      </c>
    </row>
    <row r="3201">
      <c r="D3201" t="n">
        <v>1308858</v>
      </c>
    </row>
    <row r="3202">
      <c r="D3202" t="n">
        <v>1940745</v>
      </c>
    </row>
    <row r="3203">
      <c r="D3203" t="n">
        <v>1940745</v>
      </c>
    </row>
    <row r="3204">
      <c r="D3204" t="n">
        <v>1940745</v>
      </c>
    </row>
    <row r="3205">
      <c r="D3205" t="n">
        <v>1940745</v>
      </c>
    </row>
    <row r="3206">
      <c r="D3206" t="n">
        <v>3191748</v>
      </c>
    </row>
    <row r="3207">
      <c r="D3207" t="n">
        <v>3191748</v>
      </c>
    </row>
    <row r="3208">
      <c r="D3208" t="n">
        <v>3191748</v>
      </c>
    </row>
    <row r="3209">
      <c r="D3209" t="n">
        <v>3191748</v>
      </c>
    </row>
    <row r="3210">
      <c r="D3210" t="n">
        <v>3191748</v>
      </c>
    </row>
    <row r="3211">
      <c r="D3211" t="n">
        <v>3191748</v>
      </c>
    </row>
    <row r="3212">
      <c r="D3212" t="n">
        <v>3191748</v>
      </c>
    </row>
    <row r="3213">
      <c r="D3213" t="n">
        <v>3191748</v>
      </c>
    </row>
    <row r="3214">
      <c r="D3214" t="n">
        <v>3191748</v>
      </c>
    </row>
    <row r="3215">
      <c r="D3215" t="n">
        <v>3515521</v>
      </c>
    </row>
    <row r="3216">
      <c r="D3216" t="n">
        <v>3500959</v>
      </c>
    </row>
    <row r="3217">
      <c r="D3217" t="n">
        <v>3500959</v>
      </c>
    </row>
    <row r="3218">
      <c r="D3218" t="n">
        <v>3500959</v>
      </c>
    </row>
    <row r="3219">
      <c r="D3219" t="n">
        <v>3500959</v>
      </c>
    </row>
    <row r="3220">
      <c r="D3220" t="n">
        <v>3500959</v>
      </c>
    </row>
    <row r="3221">
      <c r="D3221" t="n">
        <v>3500959</v>
      </c>
    </row>
    <row r="3222">
      <c r="D3222" t="n">
        <v>3500959</v>
      </c>
    </row>
    <row r="3223">
      <c r="D3223" t="n">
        <v>3500959</v>
      </c>
    </row>
    <row r="3224">
      <c r="D3224" t="n">
        <v>3500959</v>
      </c>
    </row>
    <row r="3225">
      <c r="D3225" t="n">
        <v>3500959</v>
      </c>
    </row>
    <row r="3226">
      <c r="D3226" t="n">
        <v>3500959</v>
      </c>
    </row>
    <row r="3227">
      <c r="D3227" t="n">
        <v>3502253</v>
      </c>
    </row>
    <row r="3228">
      <c r="D3228" t="n">
        <v>3442534</v>
      </c>
    </row>
    <row r="3229">
      <c r="D3229" t="n">
        <v>3682063</v>
      </c>
    </row>
    <row r="3230">
      <c r="D3230" t="n">
        <v>3533164</v>
      </c>
    </row>
    <row r="3231">
      <c r="D3231" t="n">
        <v>3533164</v>
      </c>
    </row>
    <row r="3232">
      <c r="D3232" t="n">
        <v>257093</v>
      </c>
    </row>
    <row r="3233">
      <c r="D3233" t="n">
        <v>257093</v>
      </c>
    </row>
    <row r="3234">
      <c r="D3234" t="n">
        <v>257093</v>
      </c>
    </row>
    <row r="3235">
      <c r="D3235" t="n">
        <v>257093</v>
      </c>
    </row>
    <row r="3236">
      <c r="D3236" t="n">
        <v>257093</v>
      </c>
    </row>
    <row r="3237">
      <c r="D3237" t="n">
        <v>257093</v>
      </c>
    </row>
    <row r="3238">
      <c r="D3238" t="n">
        <v>3509424</v>
      </c>
    </row>
    <row r="3239">
      <c r="D3239" t="n">
        <v>3509424</v>
      </c>
    </row>
    <row r="3240">
      <c r="D3240" t="n">
        <v>1529742</v>
      </c>
    </row>
    <row r="3241">
      <c r="D3241" t="n">
        <v>3788034</v>
      </c>
    </row>
    <row r="3242">
      <c r="D3242" t="n">
        <v>3500240</v>
      </c>
    </row>
    <row r="3243">
      <c r="D3243" t="n">
        <v>3500240</v>
      </c>
    </row>
    <row r="3244">
      <c r="D3244" t="n">
        <v>3500240</v>
      </c>
    </row>
    <row r="3245">
      <c r="D3245" t="n">
        <v>3502007</v>
      </c>
    </row>
    <row r="3246">
      <c r="D3246" t="n">
        <v>3502007</v>
      </c>
    </row>
    <row r="3247">
      <c r="D3247" t="n">
        <v>3502007</v>
      </c>
    </row>
    <row r="3248">
      <c r="D3248" t="n">
        <v>3502007</v>
      </c>
    </row>
    <row r="3249">
      <c r="D3249" t="n">
        <v>3502007</v>
      </c>
    </row>
    <row r="3250">
      <c r="D3250" t="n">
        <v>3502007</v>
      </c>
    </row>
    <row r="3251">
      <c r="D3251" t="n">
        <v>3502007</v>
      </c>
    </row>
    <row r="3252">
      <c r="D3252" t="n">
        <v>3502007</v>
      </c>
    </row>
    <row r="3253">
      <c r="D3253" t="n">
        <v>3502007</v>
      </c>
    </row>
    <row r="3254">
      <c r="D3254" t="n">
        <v>3502007</v>
      </c>
    </row>
    <row r="3255">
      <c r="D3255" t="n">
        <v>3502007</v>
      </c>
    </row>
    <row r="3256">
      <c r="D3256" t="n">
        <v>3502007</v>
      </c>
    </row>
    <row r="3257">
      <c r="D3257" t="n">
        <v>3502007</v>
      </c>
    </row>
    <row r="3258">
      <c r="D3258" t="n">
        <v>3502007</v>
      </c>
    </row>
    <row r="3259">
      <c r="D3259" t="n">
        <v>3747392</v>
      </c>
    </row>
    <row r="3260">
      <c r="D3260" t="n">
        <v>1940779</v>
      </c>
    </row>
    <row r="3261">
      <c r="D3261" t="n">
        <v>1940779</v>
      </c>
    </row>
    <row r="3262">
      <c r="D3262" t="n">
        <v>1940779</v>
      </c>
    </row>
    <row r="3263">
      <c r="D3263" t="n">
        <v>3784540</v>
      </c>
    </row>
    <row r="3264">
      <c r="D3264" t="n">
        <v>3784540</v>
      </c>
    </row>
    <row r="3265">
      <c r="D3265" t="n">
        <v>1938125</v>
      </c>
    </row>
    <row r="3266">
      <c r="D3266" t="n">
        <v>1938125</v>
      </c>
    </row>
    <row r="3267">
      <c r="D3267" t="n">
        <v>1938125</v>
      </c>
    </row>
    <row r="3268">
      <c r="D3268" t="n">
        <v>1938125</v>
      </c>
    </row>
    <row r="3269">
      <c r="D3269" t="n">
        <v>1938125</v>
      </c>
    </row>
    <row r="3270">
      <c r="D3270" t="n">
        <v>1938125</v>
      </c>
    </row>
    <row r="3271">
      <c r="D3271" t="n">
        <v>1938125</v>
      </c>
    </row>
    <row r="3272">
      <c r="D3272" t="n">
        <v>1938125</v>
      </c>
    </row>
    <row r="3273">
      <c r="D3273" t="n">
        <v>1938125</v>
      </c>
    </row>
    <row r="3274">
      <c r="D3274" t="n">
        <v>1938125</v>
      </c>
    </row>
    <row r="3275">
      <c r="D3275" t="n">
        <v>1938125</v>
      </c>
    </row>
    <row r="3276">
      <c r="D3276" t="n">
        <v>1938125</v>
      </c>
    </row>
    <row r="3277">
      <c r="D3277" t="n">
        <v>1938125</v>
      </c>
    </row>
    <row r="3278">
      <c r="D3278" t="n">
        <v>1938125</v>
      </c>
    </row>
    <row r="3279">
      <c r="D3279" t="n">
        <v>1130592</v>
      </c>
    </row>
    <row r="3280">
      <c r="D3280" t="n">
        <v>329678</v>
      </c>
    </row>
    <row r="3281">
      <c r="D3281" t="n">
        <v>1116276</v>
      </c>
    </row>
    <row r="3282">
      <c r="D3282" t="n">
        <v>1116782</v>
      </c>
    </row>
    <row r="3283">
      <c r="D3283" t="n">
        <v>1116686</v>
      </c>
    </row>
    <row r="3284">
      <c r="D3284" t="n">
        <v>431498</v>
      </c>
    </row>
    <row r="3285">
      <c r="D3285" t="n">
        <v>3842022</v>
      </c>
    </row>
    <row r="3286">
      <c r="D3286" t="n">
        <v>349227</v>
      </c>
    </row>
    <row r="3287">
      <c r="D3287" t="n">
        <v>3501038</v>
      </c>
    </row>
    <row r="3288">
      <c r="D3288" t="n">
        <v>3501038</v>
      </c>
    </row>
    <row r="3289">
      <c r="D3289" t="n">
        <v>3501038</v>
      </c>
    </row>
    <row r="3290">
      <c r="D3290" t="n">
        <v>3501038</v>
      </c>
    </row>
    <row r="3291">
      <c r="D3291" t="n">
        <v>3501038</v>
      </c>
    </row>
    <row r="3292">
      <c r="D3292" t="n">
        <v>3501038</v>
      </c>
    </row>
    <row r="3293">
      <c r="D3293" t="n">
        <v>3501038</v>
      </c>
    </row>
    <row r="3294">
      <c r="D3294" t="n">
        <v>3501038</v>
      </c>
    </row>
    <row r="3295">
      <c r="D3295" t="n">
        <v>3501038</v>
      </c>
    </row>
    <row r="3296">
      <c r="D3296" t="n">
        <v>3501038</v>
      </c>
    </row>
    <row r="3297">
      <c r="D3297" t="n">
        <v>3572046</v>
      </c>
    </row>
    <row r="3298">
      <c r="D3298" t="n">
        <v>3572046</v>
      </c>
    </row>
    <row r="3299">
      <c r="D3299" t="n">
        <v>3572046</v>
      </c>
    </row>
    <row r="3300">
      <c r="D3300" t="n">
        <v>3572046</v>
      </c>
    </row>
    <row r="3301">
      <c r="D3301" t="n">
        <v>3572046</v>
      </c>
    </row>
    <row r="3302">
      <c r="D3302" t="n">
        <v>3572046</v>
      </c>
    </row>
    <row r="3303">
      <c r="D3303" t="n">
        <v>3572046</v>
      </c>
    </row>
    <row r="3304">
      <c r="D3304" t="n">
        <v>3572046</v>
      </c>
    </row>
    <row r="3305">
      <c r="D3305" t="n">
        <v>3572046</v>
      </c>
    </row>
    <row r="3306">
      <c r="D3306" t="n">
        <v>3572046</v>
      </c>
    </row>
    <row r="3307">
      <c r="D3307" t="n">
        <v>3572046</v>
      </c>
    </row>
    <row r="3308">
      <c r="D3308" t="n">
        <v>3572046</v>
      </c>
    </row>
    <row r="3309">
      <c r="D3309" t="n">
        <v>3572046</v>
      </c>
    </row>
    <row r="3310">
      <c r="D3310" t="n">
        <v>3572046</v>
      </c>
    </row>
    <row r="3311">
      <c r="D3311" t="n">
        <v>3572047</v>
      </c>
    </row>
    <row r="3312">
      <c r="D3312" t="n">
        <v>3572047</v>
      </c>
    </row>
    <row r="3313">
      <c r="D3313" t="n">
        <v>3572047</v>
      </c>
    </row>
    <row r="3314">
      <c r="D3314" t="n">
        <v>3572047</v>
      </c>
    </row>
    <row r="3315">
      <c r="D3315" t="n">
        <v>3572047</v>
      </c>
    </row>
    <row r="3316">
      <c r="D3316" t="n">
        <v>3572047</v>
      </c>
    </row>
    <row r="3317">
      <c r="D3317" t="n">
        <v>3572047</v>
      </c>
    </row>
    <row r="3318">
      <c r="D3318" t="n">
        <v>3572047</v>
      </c>
    </row>
    <row r="3319">
      <c r="D3319" t="n">
        <v>3572047</v>
      </c>
    </row>
    <row r="3320">
      <c r="D3320" t="n">
        <v>3572047</v>
      </c>
    </row>
    <row r="3321">
      <c r="D3321" t="n">
        <v>3572047</v>
      </c>
    </row>
    <row r="3322">
      <c r="D3322" t="n">
        <v>3572047</v>
      </c>
    </row>
    <row r="3323">
      <c r="D3323" t="n">
        <v>3572047</v>
      </c>
    </row>
    <row r="3324">
      <c r="D3324" t="n">
        <v>3572047</v>
      </c>
    </row>
    <row r="3325">
      <c r="D3325" t="n">
        <v>3584174</v>
      </c>
    </row>
    <row r="3326">
      <c r="D3326" t="n">
        <v>3584174</v>
      </c>
    </row>
    <row r="3327">
      <c r="D3327" t="n">
        <v>3584174</v>
      </c>
    </row>
    <row r="3328">
      <c r="D3328" t="n">
        <v>3584174</v>
      </c>
    </row>
    <row r="3329">
      <c r="D3329" t="n">
        <v>3584174</v>
      </c>
    </row>
    <row r="3330">
      <c r="D3330" t="n">
        <v>3584174</v>
      </c>
    </row>
    <row r="3331">
      <c r="D3331" t="n">
        <v>3584174</v>
      </c>
    </row>
    <row r="3332">
      <c r="D3332" t="n">
        <v>3584174</v>
      </c>
    </row>
    <row r="3333">
      <c r="D3333" t="n">
        <v>3584174</v>
      </c>
    </row>
    <row r="3334">
      <c r="D3334" t="n">
        <v>3584174</v>
      </c>
    </row>
    <row r="3335">
      <c r="D3335" t="n">
        <v>3584174</v>
      </c>
    </row>
    <row r="3336">
      <c r="D3336" t="n">
        <v>3584174</v>
      </c>
    </row>
    <row r="3337">
      <c r="D3337" t="n">
        <v>3584174</v>
      </c>
    </row>
    <row r="3338">
      <c r="D3338" t="n">
        <v>3584174</v>
      </c>
    </row>
    <row r="3339">
      <c r="D3339" t="n">
        <v>3230467</v>
      </c>
    </row>
    <row r="3340">
      <c r="D3340" t="n">
        <v>3584171</v>
      </c>
    </row>
    <row r="3341">
      <c r="D3341" t="n">
        <v>3584171</v>
      </c>
    </row>
    <row r="3342">
      <c r="D3342" t="n">
        <v>3584171</v>
      </c>
    </row>
    <row r="3343">
      <c r="D3343" t="n">
        <v>3584171</v>
      </c>
    </row>
    <row r="3344">
      <c r="D3344" t="n">
        <v>3584171</v>
      </c>
    </row>
    <row r="3345">
      <c r="D3345" t="n">
        <v>3584171</v>
      </c>
    </row>
    <row r="3346">
      <c r="D3346" t="n">
        <v>3584171</v>
      </c>
    </row>
    <row r="3347">
      <c r="D3347" t="n">
        <v>3584171</v>
      </c>
    </row>
    <row r="3348">
      <c r="D3348" t="n">
        <v>3584171</v>
      </c>
    </row>
    <row r="3349">
      <c r="D3349" t="n">
        <v>3584171</v>
      </c>
    </row>
    <row r="3350">
      <c r="D3350" t="n">
        <v>3584171</v>
      </c>
    </row>
    <row r="3351">
      <c r="D3351" t="n">
        <v>3584171</v>
      </c>
    </row>
    <row r="3352">
      <c r="D3352" t="n">
        <v>3584171</v>
      </c>
    </row>
    <row r="3353">
      <c r="D3353" t="n">
        <v>3584171</v>
      </c>
    </row>
    <row r="3354">
      <c r="D3354" t="n">
        <v>3572048</v>
      </c>
    </row>
    <row r="3355">
      <c r="D3355" t="n">
        <v>3572048</v>
      </c>
    </row>
    <row r="3356">
      <c r="D3356" t="n">
        <v>3572048</v>
      </c>
    </row>
    <row r="3357">
      <c r="D3357" t="n">
        <v>3572048</v>
      </c>
    </row>
    <row r="3358">
      <c r="D3358" t="n">
        <v>3572048</v>
      </c>
    </row>
    <row r="3359">
      <c r="D3359" t="n">
        <v>3572048</v>
      </c>
    </row>
    <row r="3360">
      <c r="D3360" t="n">
        <v>3572048</v>
      </c>
    </row>
    <row r="3361">
      <c r="D3361" t="n">
        <v>3572048</v>
      </c>
    </row>
    <row r="3362">
      <c r="D3362" t="n">
        <v>3572048</v>
      </c>
    </row>
    <row r="3363">
      <c r="D3363" t="n">
        <v>3572048</v>
      </c>
    </row>
    <row r="3364">
      <c r="D3364" t="n">
        <v>3572048</v>
      </c>
    </row>
    <row r="3365">
      <c r="D3365" t="n">
        <v>3572048</v>
      </c>
    </row>
    <row r="3366">
      <c r="D3366" t="n">
        <v>3572048</v>
      </c>
    </row>
    <row r="3367">
      <c r="D3367" t="n">
        <v>3572048</v>
      </c>
    </row>
    <row r="3368">
      <c r="D3368" t="n">
        <v>3675690</v>
      </c>
    </row>
    <row r="3369">
      <c r="D3369" t="n">
        <v>3676011</v>
      </c>
    </row>
    <row r="3370">
      <c r="D3370" t="n">
        <v>3676012</v>
      </c>
    </row>
    <row r="3371">
      <c r="D3371" t="n">
        <v>3572049</v>
      </c>
    </row>
    <row r="3372">
      <c r="D3372" t="n">
        <v>3572049</v>
      </c>
    </row>
    <row r="3373">
      <c r="D3373" t="n">
        <v>3572049</v>
      </c>
    </row>
    <row r="3374">
      <c r="D3374" t="n">
        <v>3572049</v>
      </c>
    </row>
    <row r="3375">
      <c r="D3375" t="n">
        <v>3572049</v>
      </c>
    </row>
    <row r="3376">
      <c r="D3376" t="n">
        <v>3572049</v>
      </c>
    </row>
    <row r="3377">
      <c r="D3377" t="n">
        <v>3572049</v>
      </c>
    </row>
    <row r="3378">
      <c r="D3378" t="n">
        <v>3572049</v>
      </c>
    </row>
    <row r="3379">
      <c r="D3379" t="n">
        <v>3572049</v>
      </c>
    </row>
    <row r="3380">
      <c r="D3380" t="n">
        <v>3572049</v>
      </c>
    </row>
    <row r="3381">
      <c r="D3381" t="n">
        <v>3572049</v>
      </c>
    </row>
    <row r="3382">
      <c r="D3382" t="n">
        <v>3572049</v>
      </c>
    </row>
    <row r="3383">
      <c r="D3383" t="n">
        <v>3572049</v>
      </c>
    </row>
    <row r="3384">
      <c r="D3384" t="n">
        <v>3572049</v>
      </c>
    </row>
    <row r="3385">
      <c r="D3385" t="n">
        <v>3572050</v>
      </c>
    </row>
    <row r="3386">
      <c r="D3386" t="n">
        <v>3572050</v>
      </c>
    </row>
    <row r="3387">
      <c r="D3387" t="n">
        <v>3572050</v>
      </c>
    </row>
    <row r="3388">
      <c r="D3388" t="n">
        <v>3572050</v>
      </c>
    </row>
    <row r="3389">
      <c r="D3389" t="n">
        <v>3572050</v>
      </c>
    </row>
    <row r="3390">
      <c r="D3390" t="n">
        <v>3572050</v>
      </c>
    </row>
    <row r="3391">
      <c r="D3391" t="n">
        <v>3572050</v>
      </c>
    </row>
    <row r="3392">
      <c r="D3392" t="n">
        <v>3572050</v>
      </c>
    </row>
    <row r="3393">
      <c r="D3393" t="n">
        <v>3572050</v>
      </c>
    </row>
    <row r="3394">
      <c r="D3394" t="n">
        <v>3572050</v>
      </c>
    </row>
    <row r="3395">
      <c r="D3395" t="n">
        <v>3572050</v>
      </c>
    </row>
    <row r="3396">
      <c r="D3396" t="n">
        <v>3572050</v>
      </c>
    </row>
    <row r="3397">
      <c r="D3397" t="n">
        <v>3572050</v>
      </c>
    </row>
    <row r="3398">
      <c r="D3398" t="n">
        <v>3572050</v>
      </c>
    </row>
    <row r="3399">
      <c r="D3399" t="n">
        <v>3676013</v>
      </c>
    </row>
    <row r="3400">
      <c r="D3400" t="n">
        <v>3572051</v>
      </c>
    </row>
    <row r="3401">
      <c r="D3401" t="n">
        <v>3572051</v>
      </c>
    </row>
    <row r="3402">
      <c r="D3402" t="n">
        <v>3572051</v>
      </c>
    </row>
    <row r="3403">
      <c r="D3403" t="n">
        <v>3572051</v>
      </c>
    </row>
    <row r="3404">
      <c r="D3404" t="n">
        <v>3572051</v>
      </c>
    </row>
    <row r="3405">
      <c r="D3405" t="n">
        <v>3572051</v>
      </c>
    </row>
    <row r="3406">
      <c r="D3406" t="n">
        <v>3572051</v>
      </c>
    </row>
    <row r="3407">
      <c r="D3407" t="n">
        <v>3572051</v>
      </c>
    </row>
    <row r="3408">
      <c r="D3408" t="n">
        <v>3572051</v>
      </c>
    </row>
    <row r="3409">
      <c r="D3409" t="n">
        <v>3572051</v>
      </c>
    </row>
    <row r="3410">
      <c r="D3410" t="n">
        <v>3572051</v>
      </c>
    </row>
    <row r="3411">
      <c r="D3411" t="n">
        <v>3572051</v>
      </c>
    </row>
    <row r="3412">
      <c r="D3412" t="n">
        <v>3572051</v>
      </c>
    </row>
    <row r="3413">
      <c r="D3413" t="n">
        <v>3572051</v>
      </c>
    </row>
    <row r="3414">
      <c r="D3414" t="n">
        <v>3676014</v>
      </c>
    </row>
    <row r="3415">
      <c r="D3415" t="n">
        <v>3676015</v>
      </c>
    </row>
    <row r="3416">
      <c r="D3416" t="n">
        <v>3572052</v>
      </c>
    </row>
    <row r="3417">
      <c r="D3417" t="n">
        <v>3572052</v>
      </c>
    </row>
    <row r="3418">
      <c r="D3418" t="n">
        <v>3572052</v>
      </c>
    </row>
    <row r="3419">
      <c r="D3419" t="n">
        <v>3572052</v>
      </c>
    </row>
    <row r="3420">
      <c r="D3420" t="n">
        <v>3572052</v>
      </c>
    </row>
    <row r="3421">
      <c r="D3421" t="n">
        <v>3572052</v>
      </c>
    </row>
    <row r="3422">
      <c r="D3422" t="n">
        <v>3572052</v>
      </c>
    </row>
    <row r="3423">
      <c r="D3423" t="n">
        <v>3572052</v>
      </c>
    </row>
    <row r="3424">
      <c r="D3424" t="n">
        <v>3572052</v>
      </c>
    </row>
    <row r="3425">
      <c r="D3425" t="n">
        <v>3572052</v>
      </c>
    </row>
    <row r="3426">
      <c r="D3426" t="n">
        <v>3572052</v>
      </c>
    </row>
    <row r="3427">
      <c r="D3427" t="n">
        <v>3572052</v>
      </c>
    </row>
    <row r="3428">
      <c r="D3428" t="n">
        <v>3572052</v>
      </c>
    </row>
    <row r="3429">
      <c r="D3429" t="n">
        <v>3572052</v>
      </c>
    </row>
    <row r="3430">
      <c r="D3430" t="n">
        <v>3676016</v>
      </c>
    </row>
    <row r="3431">
      <c r="D3431" t="n">
        <v>3676017</v>
      </c>
    </row>
    <row r="3432">
      <c r="D3432" t="n">
        <v>3572053</v>
      </c>
    </row>
    <row r="3433">
      <c r="D3433" t="n">
        <v>3572053</v>
      </c>
    </row>
    <row r="3434">
      <c r="D3434" t="n">
        <v>3572053</v>
      </c>
    </row>
    <row r="3435">
      <c r="D3435" t="n">
        <v>3572053</v>
      </c>
    </row>
    <row r="3436">
      <c r="D3436" t="n">
        <v>3572053</v>
      </c>
    </row>
    <row r="3437">
      <c r="D3437" t="n">
        <v>3572053</v>
      </c>
    </row>
    <row r="3438">
      <c r="D3438" t="n">
        <v>3572053</v>
      </c>
    </row>
    <row r="3439">
      <c r="D3439" t="n">
        <v>3572053</v>
      </c>
    </row>
    <row r="3440">
      <c r="D3440" t="n">
        <v>3572053</v>
      </c>
    </row>
    <row r="3441">
      <c r="D3441" t="n">
        <v>3572053</v>
      </c>
    </row>
    <row r="3442">
      <c r="D3442" t="n">
        <v>3572053</v>
      </c>
    </row>
    <row r="3443">
      <c r="D3443" t="n">
        <v>3572053</v>
      </c>
    </row>
    <row r="3444">
      <c r="D3444" t="n">
        <v>3572053</v>
      </c>
    </row>
    <row r="3445">
      <c r="D3445" t="n">
        <v>3572053</v>
      </c>
    </row>
    <row r="3446">
      <c r="D3446" t="n">
        <v>3572054</v>
      </c>
    </row>
    <row r="3447">
      <c r="D3447" t="n">
        <v>3572054</v>
      </c>
    </row>
    <row r="3448">
      <c r="D3448" t="n">
        <v>3572054</v>
      </c>
    </row>
    <row r="3449">
      <c r="D3449" t="n">
        <v>3572054</v>
      </c>
    </row>
    <row r="3450">
      <c r="D3450" t="n">
        <v>3572054</v>
      </c>
    </row>
    <row r="3451">
      <c r="D3451" t="n">
        <v>3572054</v>
      </c>
    </row>
    <row r="3452">
      <c r="D3452" t="n">
        <v>3572054</v>
      </c>
    </row>
    <row r="3453">
      <c r="D3453" t="n">
        <v>3572054</v>
      </c>
    </row>
    <row r="3454">
      <c r="D3454" t="n">
        <v>3572054</v>
      </c>
    </row>
    <row r="3455">
      <c r="D3455" t="n">
        <v>3572054</v>
      </c>
    </row>
    <row r="3456">
      <c r="D3456" t="n">
        <v>3572054</v>
      </c>
    </row>
    <row r="3457">
      <c r="D3457" t="n">
        <v>3572054</v>
      </c>
    </row>
    <row r="3458">
      <c r="D3458" t="n">
        <v>3572054</v>
      </c>
    </row>
    <row r="3459">
      <c r="D3459" t="n">
        <v>3572054</v>
      </c>
    </row>
    <row r="3460">
      <c r="D3460" t="n">
        <v>3230465</v>
      </c>
    </row>
    <row r="3461">
      <c r="D3461" t="n">
        <v>3230465</v>
      </c>
    </row>
    <row r="3462">
      <c r="D3462" t="n">
        <v>3230465</v>
      </c>
    </row>
    <row r="3463">
      <c r="D3463" t="n">
        <v>3230465</v>
      </c>
    </row>
    <row r="3464">
      <c r="D3464" t="n">
        <v>3230465</v>
      </c>
    </row>
    <row r="3465">
      <c r="D3465" t="n">
        <v>3230465</v>
      </c>
    </row>
    <row r="3466">
      <c r="D3466" t="n">
        <v>3230465</v>
      </c>
    </row>
    <row r="3467">
      <c r="D3467" t="n">
        <v>3230465</v>
      </c>
    </row>
    <row r="3468">
      <c r="D3468" t="n">
        <v>3230465</v>
      </c>
    </row>
    <row r="3469">
      <c r="D3469" t="n">
        <v>3230465</v>
      </c>
    </row>
    <row r="3470">
      <c r="D3470" t="n">
        <v>3230465</v>
      </c>
    </row>
    <row r="3471">
      <c r="D3471" t="n">
        <v>3230465</v>
      </c>
    </row>
    <row r="3472">
      <c r="D3472" t="n">
        <v>3230465</v>
      </c>
    </row>
    <row r="3473">
      <c r="D3473" t="n">
        <v>3230465</v>
      </c>
    </row>
    <row r="3474">
      <c r="D3474" t="n">
        <v>3230470</v>
      </c>
    </row>
    <row r="3475">
      <c r="D3475" t="n">
        <v>3230470</v>
      </c>
    </row>
    <row r="3476">
      <c r="D3476" t="n">
        <v>3230470</v>
      </c>
    </row>
    <row r="3477">
      <c r="D3477" t="n">
        <v>3230470</v>
      </c>
    </row>
    <row r="3478">
      <c r="D3478" t="n">
        <v>3230470</v>
      </c>
    </row>
    <row r="3479">
      <c r="D3479" t="n">
        <v>3230470</v>
      </c>
    </row>
    <row r="3480">
      <c r="D3480" t="n">
        <v>3230470</v>
      </c>
    </row>
    <row r="3481">
      <c r="D3481" t="n">
        <v>3230470</v>
      </c>
    </row>
    <row r="3482">
      <c r="D3482" t="n">
        <v>3230470</v>
      </c>
    </row>
    <row r="3483">
      <c r="D3483" t="n">
        <v>3230470</v>
      </c>
    </row>
    <row r="3484">
      <c r="D3484" t="n">
        <v>3230470</v>
      </c>
    </row>
    <row r="3485">
      <c r="D3485" t="n">
        <v>3230470</v>
      </c>
    </row>
    <row r="3486">
      <c r="D3486" t="n">
        <v>3230470</v>
      </c>
    </row>
    <row r="3487">
      <c r="D3487" t="n">
        <v>3230470</v>
      </c>
    </row>
    <row r="3488">
      <c r="D3488" t="n">
        <v>3676018</v>
      </c>
    </row>
    <row r="3489">
      <c r="D3489" t="n">
        <v>3597713</v>
      </c>
    </row>
    <row r="3490">
      <c r="D3490" t="n">
        <v>3597713</v>
      </c>
    </row>
    <row r="3491">
      <c r="D3491" t="n">
        <v>3597714</v>
      </c>
    </row>
    <row r="3492">
      <c r="D3492" t="n">
        <v>3233559</v>
      </c>
    </row>
    <row r="3493">
      <c r="D3493" t="n">
        <v>3233559</v>
      </c>
    </row>
    <row r="3494">
      <c r="D3494" t="n">
        <v>3233559</v>
      </c>
    </row>
    <row r="3495">
      <c r="D3495" t="n">
        <v>3233559</v>
      </c>
    </row>
    <row r="3496">
      <c r="D3496" t="n">
        <v>3233559</v>
      </c>
    </row>
    <row r="3497">
      <c r="D3497" t="n">
        <v>3233559</v>
      </c>
    </row>
    <row r="3498">
      <c r="D3498" t="n">
        <v>3233559</v>
      </c>
    </row>
    <row r="3499">
      <c r="D3499" t="n">
        <v>3233559</v>
      </c>
    </row>
    <row r="3500">
      <c r="D3500" t="n">
        <v>3233559</v>
      </c>
    </row>
    <row r="3501">
      <c r="D3501" t="n">
        <v>3233559</v>
      </c>
    </row>
    <row r="3502">
      <c r="D3502" t="n">
        <v>3233559</v>
      </c>
    </row>
    <row r="3503">
      <c r="D3503" t="n">
        <v>3233559</v>
      </c>
    </row>
    <row r="3504">
      <c r="D3504" t="n">
        <v>3233559</v>
      </c>
    </row>
    <row r="3505">
      <c r="D3505" t="n">
        <v>3233559</v>
      </c>
    </row>
    <row r="3506">
      <c r="D3506" t="n">
        <v>3233559</v>
      </c>
    </row>
    <row r="3507">
      <c r="D3507" t="n">
        <v>3233559</v>
      </c>
    </row>
    <row r="3508">
      <c r="D3508" t="n">
        <v>3233559</v>
      </c>
    </row>
    <row r="3509">
      <c r="D3509" t="n">
        <v>3233559</v>
      </c>
    </row>
    <row r="3510">
      <c r="D3510" t="n">
        <v>3233559</v>
      </c>
    </row>
    <row r="3511">
      <c r="D3511" t="n">
        <v>3233559</v>
      </c>
    </row>
    <row r="3512">
      <c r="D3512" t="n">
        <v>3233559</v>
      </c>
    </row>
    <row r="3513">
      <c r="D3513" t="n">
        <v>3233559</v>
      </c>
    </row>
    <row r="3514">
      <c r="D3514" t="n">
        <v>3233559</v>
      </c>
    </row>
    <row r="3515">
      <c r="D3515" t="n">
        <v>3233559</v>
      </c>
    </row>
    <row r="3516">
      <c r="D3516" t="n">
        <v>3233559</v>
      </c>
    </row>
    <row r="3517">
      <c r="D3517" t="n">
        <v>3233559</v>
      </c>
    </row>
    <row r="3518">
      <c r="D3518" t="n">
        <v>3233559</v>
      </c>
    </row>
    <row r="3519">
      <c r="D3519" t="n">
        <v>3233559</v>
      </c>
    </row>
    <row r="3520">
      <c r="D3520" t="n">
        <v>3233557</v>
      </c>
    </row>
    <row r="3521">
      <c r="D3521" t="n">
        <v>3233557</v>
      </c>
    </row>
    <row r="3522">
      <c r="D3522" t="n">
        <v>3233557</v>
      </c>
    </row>
    <row r="3523">
      <c r="D3523" t="n">
        <v>3233557</v>
      </c>
    </row>
    <row r="3524">
      <c r="D3524" t="n">
        <v>3233557</v>
      </c>
    </row>
    <row r="3525">
      <c r="D3525" t="n">
        <v>3233557</v>
      </c>
    </row>
    <row r="3526">
      <c r="D3526" t="n">
        <v>3233557</v>
      </c>
    </row>
    <row r="3527">
      <c r="D3527" t="n">
        <v>3233557</v>
      </c>
    </row>
    <row r="3528">
      <c r="D3528" t="n">
        <v>3233557</v>
      </c>
    </row>
    <row r="3529">
      <c r="D3529" t="n">
        <v>3233557</v>
      </c>
    </row>
    <row r="3530">
      <c r="D3530" t="n">
        <v>3233557</v>
      </c>
    </row>
    <row r="3531">
      <c r="D3531" t="n">
        <v>3233557</v>
      </c>
    </row>
    <row r="3532">
      <c r="D3532" t="n">
        <v>3233557</v>
      </c>
    </row>
    <row r="3533">
      <c r="D3533" t="n">
        <v>3233557</v>
      </c>
    </row>
    <row r="3534">
      <c r="D3534" t="n">
        <v>3233557</v>
      </c>
    </row>
    <row r="3535">
      <c r="D3535" t="n">
        <v>3233557</v>
      </c>
    </row>
    <row r="3536">
      <c r="D3536" t="n">
        <v>3233557</v>
      </c>
    </row>
    <row r="3537">
      <c r="D3537" t="n">
        <v>3233557</v>
      </c>
    </row>
    <row r="3538">
      <c r="D3538" t="n">
        <v>3233557</v>
      </c>
    </row>
    <row r="3539">
      <c r="D3539" t="n">
        <v>3233557</v>
      </c>
    </row>
    <row r="3540">
      <c r="D3540" t="n">
        <v>3233557</v>
      </c>
    </row>
    <row r="3541">
      <c r="D3541" t="n">
        <v>3233557</v>
      </c>
    </row>
    <row r="3542">
      <c r="D3542" t="n">
        <v>3233557</v>
      </c>
    </row>
    <row r="3543">
      <c r="D3543" t="n">
        <v>3233557</v>
      </c>
    </row>
    <row r="3544">
      <c r="D3544" t="n">
        <v>3233557</v>
      </c>
    </row>
    <row r="3545">
      <c r="D3545" t="n">
        <v>3233557</v>
      </c>
    </row>
    <row r="3546">
      <c r="D3546" t="n">
        <v>3233557</v>
      </c>
    </row>
    <row r="3547">
      <c r="D3547" t="n">
        <v>3233557</v>
      </c>
    </row>
    <row r="3548">
      <c r="D3548" t="n">
        <v>3233557</v>
      </c>
    </row>
    <row r="3549">
      <c r="D3549" t="n">
        <v>3233556</v>
      </c>
    </row>
    <row r="3550">
      <c r="D3550" t="n">
        <v>3233556</v>
      </c>
    </row>
    <row r="3551">
      <c r="D3551" t="n">
        <v>3233556</v>
      </c>
    </row>
    <row r="3552">
      <c r="D3552" t="n">
        <v>3233556</v>
      </c>
    </row>
    <row r="3553">
      <c r="D3553" t="n">
        <v>3233556</v>
      </c>
    </row>
    <row r="3554">
      <c r="D3554" t="n">
        <v>3233556</v>
      </c>
    </row>
    <row r="3555">
      <c r="D3555" t="n">
        <v>3233556</v>
      </c>
    </row>
    <row r="3556">
      <c r="D3556" t="n">
        <v>3233556</v>
      </c>
    </row>
    <row r="3557">
      <c r="D3557" t="n">
        <v>3233556</v>
      </c>
    </row>
    <row r="3558">
      <c r="D3558" t="n">
        <v>3233556</v>
      </c>
    </row>
    <row r="3559">
      <c r="D3559" t="n">
        <v>3233556</v>
      </c>
    </row>
    <row r="3560">
      <c r="D3560" t="n">
        <v>3233556</v>
      </c>
    </row>
    <row r="3561">
      <c r="D3561" t="n">
        <v>3233556</v>
      </c>
    </row>
    <row r="3562">
      <c r="D3562" t="n">
        <v>3233556</v>
      </c>
    </row>
    <row r="3563">
      <c r="D3563" t="n">
        <v>3233556</v>
      </c>
    </row>
    <row r="3564">
      <c r="D3564" t="n">
        <v>3233556</v>
      </c>
    </row>
    <row r="3565">
      <c r="D3565" t="n">
        <v>3233556</v>
      </c>
    </row>
    <row r="3566">
      <c r="D3566" t="n">
        <v>3233556</v>
      </c>
    </row>
    <row r="3567">
      <c r="D3567" t="n">
        <v>3233556</v>
      </c>
    </row>
    <row r="3568">
      <c r="D3568" t="n">
        <v>3233556</v>
      </c>
    </row>
    <row r="3569">
      <c r="D3569" t="n">
        <v>3233556</v>
      </c>
    </row>
    <row r="3570">
      <c r="D3570" t="n">
        <v>3233556</v>
      </c>
    </row>
    <row r="3571">
      <c r="D3571" t="n">
        <v>3233556</v>
      </c>
    </row>
    <row r="3572">
      <c r="D3572" t="n">
        <v>3233556</v>
      </c>
    </row>
    <row r="3573">
      <c r="D3573" t="n">
        <v>3233556</v>
      </c>
    </row>
    <row r="3574">
      <c r="D3574" t="n">
        <v>3233556</v>
      </c>
    </row>
    <row r="3575">
      <c r="D3575" t="n">
        <v>3233556</v>
      </c>
    </row>
    <row r="3576">
      <c r="D3576" t="n">
        <v>3233556</v>
      </c>
    </row>
    <row r="3577">
      <c r="D3577" t="n">
        <v>3233556</v>
      </c>
    </row>
    <row r="3578">
      <c r="D3578" t="n">
        <v>3233555</v>
      </c>
    </row>
    <row r="3579">
      <c r="D3579" t="n">
        <v>3233555</v>
      </c>
    </row>
    <row r="3580">
      <c r="D3580" t="n">
        <v>3233555</v>
      </c>
    </row>
    <row r="3581">
      <c r="D3581" t="n">
        <v>3233555</v>
      </c>
    </row>
    <row r="3582">
      <c r="D3582" t="n">
        <v>3233555</v>
      </c>
    </row>
    <row r="3583">
      <c r="D3583" t="n">
        <v>3233555</v>
      </c>
    </row>
    <row r="3584">
      <c r="D3584" t="n">
        <v>3233555</v>
      </c>
    </row>
    <row r="3585">
      <c r="D3585" t="n">
        <v>3233555</v>
      </c>
    </row>
    <row r="3586">
      <c r="D3586" t="n">
        <v>3233555</v>
      </c>
    </row>
    <row r="3587">
      <c r="D3587" t="n">
        <v>3233555</v>
      </c>
    </row>
    <row r="3588">
      <c r="D3588" t="n">
        <v>3233555</v>
      </c>
    </row>
    <row r="3589">
      <c r="D3589" t="n">
        <v>3233555</v>
      </c>
    </row>
    <row r="3590">
      <c r="D3590" t="n">
        <v>3233555</v>
      </c>
    </row>
    <row r="3591">
      <c r="D3591" t="n">
        <v>3233555</v>
      </c>
    </row>
    <row r="3592">
      <c r="D3592" t="n">
        <v>3233555</v>
      </c>
    </row>
    <row r="3593">
      <c r="D3593" t="n">
        <v>3233555</v>
      </c>
    </row>
    <row r="3594">
      <c r="D3594" t="n">
        <v>3233555</v>
      </c>
    </row>
    <row r="3595">
      <c r="D3595" t="n">
        <v>3233555</v>
      </c>
    </row>
    <row r="3596">
      <c r="D3596" t="n">
        <v>3233555</v>
      </c>
    </row>
    <row r="3597">
      <c r="D3597" t="n">
        <v>3233555</v>
      </c>
    </row>
    <row r="3598">
      <c r="D3598" t="n">
        <v>3233555</v>
      </c>
    </row>
    <row r="3599">
      <c r="D3599" t="n">
        <v>3233555</v>
      </c>
    </row>
    <row r="3600">
      <c r="D3600" t="n">
        <v>3233555</v>
      </c>
    </row>
    <row r="3601">
      <c r="D3601" t="n">
        <v>3233555</v>
      </c>
    </row>
    <row r="3602">
      <c r="D3602" t="n">
        <v>3233555</v>
      </c>
    </row>
    <row r="3603">
      <c r="D3603" t="n">
        <v>3233555</v>
      </c>
    </row>
    <row r="3604">
      <c r="D3604" t="n">
        <v>3233555</v>
      </c>
    </row>
    <row r="3605">
      <c r="D3605" t="n">
        <v>3233555</v>
      </c>
    </row>
    <row r="3606">
      <c r="D3606" t="n">
        <v>3233555</v>
      </c>
    </row>
    <row r="3607">
      <c r="D3607" t="n">
        <v>3233554</v>
      </c>
    </row>
    <row r="3608">
      <c r="D3608" t="n">
        <v>3233554</v>
      </c>
    </row>
    <row r="3609">
      <c r="D3609" t="n">
        <v>3233554</v>
      </c>
    </row>
    <row r="3610">
      <c r="D3610" t="n">
        <v>3233554</v>
      </c>
    </row>
    <row r="3611">
      <c r="D3611" t="n">
        <v>3233554</v>
      </c>
    </row>
    <row r="3612">
      <c r="D3612" t="n">
        <v>3233554</v>
      </c>
    </row>
    <row r="3613">
      <c r="D3613" t="n">
        <v>3233554</v>
      </c>
    </row>
    <row r="3614">
      <c r="D3614" t="n">
        <v>3233554</v>
      </c>
    </row>
    <row r="3615">
      <c r="D3615" t="n">
        <v>3233554</v>
      </c>
    </row>
    <row r="3616">
      <c r="D3616" t="n">
        <v>3233554</v>
      </c>
    </row>
    <row r="3617">
      <c r="D3617" t="n">
        <v>3233554</v>
      </c>
    </row>
    <row r="3618">
      <c r="D3618" t="n">
        <v>3233554</v>
      </c>
    </row>
    <row r="3619">
      <c r="D3619" t="n">
        <v>3233554</v>
      </c>
    </row>
    <row r="3620">
      <c r="D3620" t="n">
        <v>3233554</v>
      </c>
    </row>
    <row r="3621">
      <c r="D3621" t="n">
        <v>3233554</v>
      </c>
    </row>
    <row r="3622">
      <c r="D3622" t="n">
        <v>3233554</v>
      </c>
    </row>
    <row r="3623">
      <c r="D3623" t="n">
        <v>3233554</v>
      </c>
    </row>
    <row r="3624">
      <c r="D3624" t="n">
        <v>3233554</v>
      </c>
    </row>
    <row r="3625">
      <c r="D3625" t="n">
        <v>3233554</v>
      </c>
    </row>
    <row r="3626">
      <c r="D3626" t="n">
        <v>3233554</v>
      </c>
    </row>
    <row r="3627">
      <c r="D3627" t="n">
        <v>3233554</v>
      </c>
    </row>
    <row r="3628">
      <c r="D3628" t="n">
        <v>3233554</v>
      </c>
    </row>
    <row r="3629">
      <c r="D3629" t="n">
        <v>3233554</v>
      </c>
    </row>
    <row r="3630">
      <c r="D3630" t="n">
        <v>3233554</v>
      </c>
    </row>
    <row r="3631">
      <c r="D3631" t="n">
        <v>3233554</v>
      </c>
    </row>
    <row r="3632">
      <c r="D3632" t="n">
        <v>3233554</v>
      </c>
    </row>
    <row r="3633">
      <c r="D3633" t="n">
        <v>3233554</v>
      </c>
    </row>
    <row r="3634">
      <c r="D3634" t="n">
        <v>3233554</v>
      </c>
    </row>
    <row r="3635">
      <c r="D3635" t="n">
        <v>3233554</v>
      </c>
    </row>
    <row r="3636">
      <c r="D3636" t="n">
        <v>3233553</v>
      </c>
    </row>
    <row r="3637">
      <c r="D3637" t="n">
        <v>3233553</v>
      </c>
    </row>
    <row r="3638">
      <c r="D3638" t="n">
        <v>3233553</v>
      </c>
    </row>
    <row r="3639">
      <c r="D3639" t="n">
        <v>3233553</v>
      </c>
    </row>
    <row r="3640">
      <c r="D3640" t="n">
        <v>3233553</v>
      </c>
    </row>
    <row r="3641">
      <c r="D3641" t="n">
        <v>3233553</v>
      </c>
    </row>
    <row r="3642">
      <c r="D3642" t="n">
        <v>3233553</v>
      </c>
    </row>
    <row r="3643">
      <c r="D3643" t="n">
        <v>3233553</v>
      </c>
    </row>
    <row r="3644">
      <c r="D3644" t="n">
        <v>3233553</v>
      </c>
    </row>
    <row r="3645">
      <c r="D3645" t="n">
        <v>3233553</v>
      </c>
    </row>
    <row r="3646">
      <c r="D3646" t="n">
        <v>3233553</v>
      </c>
    </row>
    <row r="3647">
      <c r="D3647" t="n">
        <v>3233553</v>
      </c>
    </row>
    <row r="3648">
      <c r="D3648" t="n">
        <v>3233553</v>
      </c>
    </row>
    <row r="3649">
      <c r="D3649" t="n">
        <v>3233553</v>
      </c>
    </row>
    <row r="3650">
      <c r="D3650" t="n">
        <v>3233553</v>
      </c>
    </row>
    <row r="3651">
      <c r="D3651" t="n">
        <v>3233553</v>
      </c>
    </row>
    <row r="3652">
      <c r="D3652" t="n">
        <v>3233553</v>
      </c>
    </row>
    <row r="3653">
      <c r="D3653" t="n">
        <v>3233553</v>
      </c>
    </row>
    <row r="3654">
      <c r="D3654" t="n">
        <v>3233553</v>
      </c>
    </row>
    <row r="3655">
      <c r="D3655" t="n">
        <v>3233553</v>
      </c>
    </row>
    <row r="3656">
      <c r="D3656" t="n">
        <v>3233553</v>
      </c>
    </row>
    <row r="3657">
      <c r="D3657" t="n">
        <v>3233553</v>
      </c>
    </row>
    <row r="3658">
      <c r="D3658" t="n">
        <v>3233553</v>
      </c>
    </row>
    <row r="3659">
      <c r="D3659" t="n">
        <v>3233553</v>
      </c>
    </row>
    <row r="3660">
      <c r="D3660" t="n">
        <v>3233553</v>
      </c>
    </row>
    <row r="3661">
      <c r="D3661" t="n">
        <v>3233553</v>
      </c>
    </row>
    <row r="3662">
      <c r="D3662" t="n">
        <v>3233553</v>
      </c>
    </row>
    <row r="3663">
      <c r="D3663" t="n">
        <v>3233553</v>
      </c>
    </row>
    <row r="3664">
      <c r="D3664" t="n">
        <v>3233553</v>
      </c>
    </row>
    <row r="3665">
      <c r="D3665" t="n">
        <v>1940801</v>
      </c>
    </row>
    <row r="3666">
      <c r="D3666" t="n">
        <v>1940801</v>
      </c>
    </row>
    <row r="3667">
      <c r="D3667" t="n">
        <v>1940801</v>
      </c>
    </row>
    <row r="3668">
      <c r="D3668" t="n">
        <v>1940801</v>
      </c>
    </row>
    <row r="3669">
      <c r="D3669" t="n">
        <v>1940801</v>
      </c>
    </row>
    <row r="3670">
      <c r="D3670" t="n">
        <v>1940801</v>
      </c>
    </row>
    <row r="3671">
      <c r="D3671" t="n">
        <v>1940801</v>
      </c>
    </row>
    <row r="3672">
      <c r="D3672" t="n">
        <v>1940801</v>
      </c>
    </row>
    <row r="3673">
      <c r="D3673" t="n">
        <v>1940801</v>
      </c>
    </row>
    <row r="3674">
      <c r="D3674" t="n">
        <v>1940801</v>
      </c>
    </row>
    <row r="3675">
      <c r="D3675" t="n">
        <v>1940801</v>
      </c>
    </row>
    <row r="3676">
      <c r="D3676" t="n">
        <v>1940801</v>
      </c>
    </row>
    <row r="3677">
      <c r="D3677" t="n">
        <v>1940801</v>
      </c>
    </row>
    <row r="3678">
      <c r="D3678" t="n">
        <v>1940801</v>
      </c>
    </row>
    <row r="3679">
      <c r="D3679" t="n">
        <v>1940801</v>
      </c>
    </row>
    <row r="3680">
      <c r="D3680" t="n">
        <v>1940801</v>
      </c>
    </row>
    <row r="3681">
      <c r="D3681" t="n">
        <v>1940801</v>
      </c>
    </row>
    <row r="3682">
      <c r="D3682" t="n">
        <v>1940801</v>
      </c>
    </row>
    <row r="3683">
      <c r="D3683" t="n">
        <v>1940801</v>
      </c>
    </row>
    <row r="3684">
      <c r="D3684" t="n">
        <v>1940801</v>
      </c>
    </row>
    <row r="3685">
      <c r="D3685" t="n">
        <v>1940801</v>
      </c>
    </row>
    <row r="3686">
      <c r="D3686" t="n">
        <v>1940801</v>
      </c>
    </row>
    <row r="3687">
      <c r="D3687" t="n">
        <v>1940801</v>
      </c>
    </row>
    <row r="3688">
      <c r="D3688" t="n">
        <v>1940801</v>
      </c>
    </row>
    <row r="3689">
      <c r="D3689" t="n">
        <v>1940801</v>
      </c>
    </row>
    <row r="3690">
      <c r="D3690" t="n">
        <v>1940801</v>
      </c>
    </row>
    <row r="3691">
      <c r="D3691" t="n">
        <v>1940801</v>
      </c>
    </row>
    <row r="3692">
      <c r="D3692" t="n">
        <v>1940801</v>
      </c>
    </row>
    <row r="3693">
      <c r="D3693" t="n">
        <v>1940801</v>
      </c>
    </row>
    <row r="3694">
      <c r="D3694" t="n">
        <v>1940801</v>
      </c>
    </row>
    <row r="3695">
      <c r="D3695" t="n">
        <v>1940801</v>
      </c>
    </row>
    <row r="3696">
      <c r="D3696" t="n">
        <v>1940801</v>
      </c>
    </row>
    <row r="3697">
      <c r="D3697" t="n">
        <v>1940801</v>
      </c>
    </row>
    <row r="3698">
      <c r="D3698" t="n">
        <v>1940801</v>
      </c>
    </row>
    <row r="3699">
      <c r="D3699" t="n">
        <v>1940801</v>
      </c>
    </row>
    <row r="3700">
      <c r="D3700" t="n">
        <v>1940801</v>
      </c>
    </row>
    <row r="3701">
      <c r="D3701" t="n">
        <v>1940801</v>
      </c>
    </row>
    <row r="3702">
      <c r="D3702" t="n">
        <v>1940801</v>
      </c>
    </row>
    <row r="3703">
      <c r="D3703" t="n">
        <v>1940801</v>
      </c>
    </row>
    <row r="3704">
      <c r="D3704" t="n">
        <v>1940801</v>
      </c>
    </row>
    <row r="3705">
      <c r="D3705" t="n">
        <v>1940801</v>
      </c>
    </row>
    <row r="3706">
      <c r="D3706" t="n">
        <v>1940801</v>
      </c>
    </row>
    <row r="3707">
      <c r="D3707" t="n">
        <v>1940801</v>
      </c>
    </row>
    <row r="3708">
      <c r="D3708" t="n">
        <v>1940807</v>
      </c>
    </row>
    <row r="3709">
      <c r="D3709" t="n">
        <v>1940807</v>
      </c>
    </row>
    <row r="3710">
      <c r="D3710" t="n">
        <v>1940807</v>
      </c>
    </row>
    <row r="3711">
      <c r="D3711" t="n">
        <v>1940807</v>
      </c>
    </row>
    <row r="3712">
      <c r="D3712" t="n">
        <v>1940807</v>
      </c>
    </row>
    <row r="3713">
      <c r="D3713" t="n">
        <v>1940807</v>
      </c>
    </row>
    <row r="3714">
      <c r="D3714" t="n">
        <v>1940807</v>
      </c>
    </row>
    <row r="3715">
      <c r="D3715" t="n">
        <v>1940807</v>
      </c>
    </row>
    <row r="3716">
      <c r="D3716" t="n">
        <v>1940807</v>
      </c>
    </row>
    <row r="3717">
      <c r="D3717" t="n">
        <v>1940807</v>
      </c>
    </row>
    <row r="3718">
      <c r="D3718" t="n">
        <v>1940807</v>
      </c>
    </row>
    <row r="3719">
      <c r="D3719" t="n">
        <v>1940807</v>
      </c>
    </row>
    <row r="3720">
      <c r="D3720" t="n">
        <v>1940807</v>
      </c>
    </row>
    <row r="3721">
      <c r="D3721" t="n">
        <v>1940807</v>
      </c>
    </row>
    <row r="3722">
      <c r="D3722" t="n">
        <v>1940807</v>
      </c>
    </row>
    <row r="3723">
      <c r="D3723" t="n">
        <v>1940807</v>
      </c>
    </row>
    <row r="3724">
      <c r="D3724" t="n">
        <v>1940815</v>
      </c>
    </row>
    <row r="3725">
      <c r="D3725" t="n">
        <v>1940815</v>
      </c>
    </row>
    <row r="3726">
      <c r="D3726" t="n">
        <v>1940815</v>
      </c>
    </row>
    <row r="3727">
      <c r="D3727" t="n">
        <v>1940815</v>
      </c>
    </row>
    <row r="3728">
      <c r="D3728" t="n">
        <v>1940815</v>
      </c>
    </row>
    <row r="3729">
      <c r="D3729" t="n">
        <v>1940815</v>
      </c>
    </row>
    <row r="3730">
      <c r="D3730" t="n">
        <v>1940815</v>
      </c>
    </row>
    <row r="3731">
      <c r="D3731" t="n">
        <v>1940815</v>
      </c>
    </row>
    <row r="3732">
      <c r="D3732" t="n">
        <v>1940815</v>
      </c>
    </row>
    <row r="3733">
      <c r="D3733" t="n">
        <v>1940815</v>
      </c>
    </row>
    <row r="3734">
      <c r="D3734" t="n">
        <v>1940815</v>
      </c>
    </row>
    <row r="3735">
      <c r="D3735" t="n">
        <v>1940815</v>
      </c>
    </row>
    <row r="3736">
      <c r="D3736" t="n">
        <v>1940815</v>
      </c>
    </row>
    <row r="3737">
      <c r="D3737" t="n">
        <v>1940815</v>
      </c>
    </row>
    <row r="3738">
      <c r="D3738" t="n">
        <v>1940815</v>
      </c>
    </row>
    <row r="3739">
      <c r="D3739" t="n">
        <v>1940815</v>
      </c>
    </row>
    <row r="3740">
      <c r="D3740" t="n">
        <v>1940815</v>
      </c>
    </row>
    <row r="3741">
      <c r="D3741" t="n">
        <v>2440971</v>
      </c>
    </row>
    <row r="3742">
      <c r="D3742" t="n">
        <v>2440971</v>
      </c>
    </row>
    <row r="3743">
      <c r="D3743" t="n">
        <v>2440971</v>
      </c>
    </row>
    <row r="3744">
      <c r="D3744" t="n">
        <v>2440971</v>
      </c>
    </row>
    <row r="3745">
      <c r="D3745" t="n">
        <v>2440971</v>
      </c>
    </row>
    <row r="3746">
      <c r="D3746" t="n">
        <v>2440971</v>
      </c>
    </row>
    <row r="3747">
      <c r="D3747" t="n">
        <v>2440971</v>
      </c>
    </row>
    <row r="3748">
      <c r="D3748" t="n">
        <v>3768905</v>
      </c>
    </row>
    <row r="3749">
      <c r="D3749" t="n">
        <v>3768905</v>
      </c>
    </row>
    <row r="3750">
      <c r="D3750" t="n">
        <v>3768905</v>
      </c>
    </row>
    <row r="3751">
      <c r="D3751" t="n">
        <v>3768905</v>
      </c>
    </row>
    <row r="3752">
      <c r="D3752" t="n">
        <v>1940821</v>
      </c>
    </row>
    <row r="3753">
      <c r="D3753" t="n">
        <v>1940821</v>
      </c>
    </row>
    <row r="3754">
      <c r="D3754" t="n">
        <v>1940821</v>
      </c>
    </row>
    <row r="3755">
      <c r="D3755" t="n">
        <v>1940821</v>
      </c>
    </row>
    <row r="3756">
      <c r="D3756" t="n">
        <v>1940821</v>
      </c>
    </row>
    <row r="3757">
      <c r="D3757" t="n">
        <v>1940821</v>
      </c>
    </row>
    <row r="3758">
      <c r="D3758" t="n">
        <v>1940821</v>
      </c>
    </row>
    <row r="3759">
      <c r="D3759" t="n">
        <v>1940821</v>
      </c>
    </row>
    <row r="3760">
      <c r="D3760" t="n">
        <v>1940821</v>
      </c>
    </row>
    <row r="3761">
      <c r="D3761" t="n">
        <v>1940821</v>
      </c>
    </row>
    <row r="3762">
      <c r="D3762" t="n">
        <v>1940821</v>
      </c>
    </row>
    <row r="3763">
      <c r="D3763" t="n">
        <v>1940821</v>
      </c>
    </row>
    <row r="3764">
      <c r="D3764" t="n">
        <v>1940821</v>
      </c>
    </row>
    <row r="3765">
      <c r="D3765" t="n">
        <v>1940821</v>
      </c>
    </row>
    <row r="3766">
      <c r="D3766" t="n">
        <v>1940821</v>
      </c>
    </row>
    <row r="3767">
      <c r="D3767" t="n">
        <v>1940821</v>
      </c>
    </row>
    <row r="3768">
      <c r="D3768" t="n">
        <v>3438761</v>
      </c>
    </row>
    <row r="3769">
      <c r="D3769" t="n">
        <v>3438761</v>
      </c>
    </row>
    <row r="3770">
      <c r="D3770" t="n">
        <v>3438761</v>
      </c>
    </row>
    <row r="3771">
      <c r="D3771" t="n">
        <v>3438761</v>
      </c>
    </row>
    <row r="3772">
      <c r="D3772" t="n">
        <v>1940822</v>
      </c>
    </row>
    <row r="3773">
      <c r="D3773" t="n">
        <v>1940822</v>
      </c>
    </row>
    <row r="3774">
      <c r="D3774" t="n">
        <v>1940822</v>
      </c>
    </row>
    <row r="3775">
      <c r="D3775" t="n">
        <v>1940822</v>
      </c>
    </row>
    <row r="3776">
      <c r="D3776" t="n">
        <v>1940822</v>
      </c>
    </row>
    <row r="3777">
      <c r="D3777" t="n">
        <v>1940822</v>
      </c>
    </row>
    <row r="3778">
      <c r="D3778" t="n">
        <v>1940822</v>
      </c>
    </row>
    <row r="3779">
      <c r="D3779" t="n">
        <v>1940822</v>
      </c>
    </row>
    <row r="3780">
      <c r="D3780" t="n">
        <v>1940822</v>
      </c>
    </row>
    <row r="3781">
      <c r="D3781" t="n">
        <v>1940822</v>
      </c>
    </row>
    <row r="3782">
      <c r="D3782" t="n">
        <v>1940822</v>
      </c>
    </row>
    <row r="3783">
      <c r="D3783" t="n">
        <v>1940822</v>
      </c>
    </row>
    <row r="3784">
      <c r="D3784" t="n">
        <v>1940822</v>
      </c>
    </row>
    <row r="3785">
      <c r="D3785" t="n">
        <v>1940822</v>
      </c>
    </row>
    <row r="3786">
      <c r="D3786" t="n">
        <v>1940822</v>
      </c>
    </row>
    <row r="3787">
      <c r="D3787" t="n">
        <v>1940822</v>
      </c>
    </row>
    <row r="3788">
      <c r="D3788" t="n">
        <v>1940822</v>
      </c>
    </row>
    <row r="3789">
      <c r="D3789" t="n">
        <v>1940822</v>
      </c>
    </row>
    <row r="3790">
      <c r="D3790" t="n">
        <v>1940822</v>
      </c>
    </row>
    <row r="3791">
      <c r="D3791" t="n">
        <v>1940822</v>
      </c>
    </row>
    <row r="3792">
      <c r="D3792" t="n">
        <v>1940822</v>
      </c>
    </row>
    <row r="3793">
      <c r="D3793" t="n">
        <v>1940822</v>
      </c>
    </row>
    <row r="3794">
      <c r="D3794" t="n">
        <v>1940822</v>
      </c>
    </row>
    <row r="3795">
      <c r="D3795" t="n">
        <v>1940822</v>
      </c>
    </row>
    <row r="3796">
      <c r="D3796" t="n">
        <v>1940822</v>
      </c>
    </row>
    <row r="3797">
      <c r="D3797" t="n">
        <v>1940822</v>
      </c>
    </row>
    <row r="3798">
      <c r="D3798" t="n">
        <v>1940822</v>
      </c>
    </row>
    <row r="3799">
      <c r="D3799" t="n">
        <v>3786201</v>
      </c>
    </row>
    <row r="3800">
      <c r="D3800" t="n">
        <v>3786201</v>
      </c>
    </row>
    <row r="3801">
      <c r="D3801" t="n">
        <v>3786201</v>
      </c>
    </row>
    <row r="3802">
      <c r="D3802" t="n">
        <v>3786201</v>
      </c>
    </row>
    <row r="3803">
      <c r="D3803" t="n">
        <v>3786201</v>
      </c>
    </row>
    <row r="3804">
      <c r="D3804" t="n">
        <v>3786201</v>
      </c>
    </row>
    <row r="3805">
      <c r="D3805" t="n">
        <v>1940823</v>
      </c>
    </row>
    <row r="3806">
      <c r="D3806" t="n">
        <v>1940823</v>
      </c>
    </row>
    <row r="3807">
      <c r="D3807" t="n">
        <v>1940823</v>
      </c>
    </row>
    <row r="3808">
      <c r="D3808" t="n">
        <v>1940823</v>
      </c>
    </row>
    <row r="3809">
      <c r="D3809" t="n">
        <v>1940823</v>
      </c>
    </row>
    <row r="3810">
      <c r="D3810" t="n">
        <v>1940823</v>
      </c>
    </row>
    <row r="3811">
      <c r="D3811" t="n">
        <v>1940823</v>
      </c>
    </row>
    <row r="3812">
      <c r="D3812" t="n">
        <v>1940823</v>
      </c>
    </row>
    <row r="3813">
      <c r="D3813" t="n">
        <v>1940823</v>
      </c>
    </row>
    <row r="3814">
      <c r="D3814" t="n">
        <v>1940823</v>
      </c>
    </row>
    <row r="3815">
      <c r="D3815" t="n">
        <v>1940823</v>
      </c>
    </row>
    <row r="3816">
      <c r="D3816" t="n">
        <v>1940823</v>
      </c>
    </row>
    <row r="3817">
      <c r="D3817" t="n">
        <v>1940823</v>
      </c>
    </row>
    <row r="3818">
      <c r="D3818" t="n">
        <v>1940823</v>
      </c>
    </row>
    <row r="3819">
      <c r="D3819" t="n">
        <v>1940823</v>
      </c>
    </row>
    <row r="3820">
      <c r="D3820" t="n">
        <v>1940823</v>
      </c>
    </row>
    <row r="3821">
      <c r="D3821" t="n">
        <v>1940823</v>
      </c>
    </row>
    <row r="3822">
      <c r="D3822" t="n">
        <v>1940823</v>
      </c>
    </row>
    <row r="3823">
      <c r="D3823" t="n">
        <v>1940823</v>
      </c>
    </row>
    <row r="3824">
      <c r="D3824" t="n">
        <v>1940823</v>
      </c>
    </row>
    <row r="3825">
      <c r="D3825" t="n">
        <v>3801265</v>
      </c>
    </row>
    <row r="3826">
      <c r="D3826" t="n">
        <v>3801265</v>
      </c>
    </row>
    <row r="3827">
      <c r="D3827" t="n">
        <v>1940825</v>
      </c>
    </row>
    <row r="3828">
      <c r="D3828" t="n">
        <v>1940825</v>
      </c>
    </row>
    <row r="3829">
      <c r="D3829" t="n">
        <v>1940825</v>
      </c>
    </row>
    <row r="3830">
      <c r="D3830" t="n">
        <v>1940825</v>
      </c>
    </row>
    <row r="3831">
      <c r="D3831" t="n">
        <v>1940825</v>
      </c>
    </row>
    <row r="3832">
      <c r="D3832" t="n">
        <v>1940825</v>
      </c>
    </row>
    <row r="3833">
      <c r="D3833" t="n">
        <v>1940825</v>
      </c>
    </row>
    <row r="3834">
      <c r="D3834" t="n">
        <v>1940825</v>
      </c>
    </row>
    <row r="3835">
      <c r="D3835" t="n">
        <v>1940825</v>
      </c>
    </row>
    <row r="3836">
      <c r="D3836" t="n">
        <v>1940825</v>
      </c>
    </row>
    <row r="3837">
      <c r="D3837" t="n">
        <v>1940825</v>
      </c>
    </row>
    <row r="3838">
      <c r="D3838" t="n">
        <v>1940825</v>
      </c>
    </row>
    <row r="3839">
      <c r="D3839" t="n">
        <v>1940825</v>
      </c>
    </row>
    <row r="3840">
      <c r="D3840" t="n">
        <v>1940825</v>
      </c>
    </row>
    <row r="3841">
      <c r="D3841" t="n">
        <v>1940825</v>
      </c>
    </row>
    <row r="3842">
      <c r="D3842" t="n">
        <v>1940825</v>
      </c>
    </row>
    <row r="3843">
      <c r="D3843" t="n">
        <v>1940825</v>
      </c>
    </row>
    <row r="3844">
      <c r="D3844" t="n">
        <v>1940825</v>
      </c>
    </row>
    <row r="3845">
      <c r="D3845" t="n">
        <v>1940825</v>
      </c>
    </row>
    <row r="3846">
      <c r="D3846" t="n">
        <v>3786202</v>
      </c>
    </row>
    <row r="3847">
      <c r="D3847" t="n">
        <v>3786202</v>
      </c>
    </row>
    <row r="3848">
      <c r="D3848" t="n">
        <v>3786202</v>
      </c>
    </row>
    <row r="3849">
      <c r="D3849" t="n">
        <v>3786202</v>
      </c>
    </row>
    <row r="3850">
      <c r="D3850" t="n">
        <v>3786202</v>
      </c>
    </row>
    <row r="3851">
      <c r="D3851" t="n">
        <v>2430125</v>
      </c>
    </row>
    <row r="3852">
      <c r="D3852" t="n">
        <v>2430125</v>
      </c>
    </row>
    <row r="3853">
      <c r="D3853" t="n">
        <v>2430125</v>
      </c>
    </row>
    <row r="3854">
      <c r="D3854" t="n">
        <v>2430125</v>
      </c>
    </row>
    <row r="3855">
      <c r="D3855" t="n">
        <v>2430125</v>
      </c>
    </row>
    <row r="3856">
      <c r="D3856" t="n">
        <v>1940826</v>
      </c>
    </row>
    <row r="3857">
      <c r="D3857" t="n">
        <v>1940826</v>
      </c>
    </row>
    <row r="3858">
      <c r="D3858" t="n">
        <v>1940826</v>
      </c>
    </row>
    <row r="3859">
      <c r="D3859" t="n">
        <v>1932559</v>
      </c>
    </row>
    <row r="3860">
      <c r="D3860" t="n">
        <v>1932559</v>
      </c>
    </row>
    <row r="3861">
      <c r="D3861" t="n">
        <v>1932559</v>
      </c>
    </row>
    <row r="3862">
      <c r="D3862" t="n">
        <v>1940829</v>
      </c>
    </row>
    <row r="3863">
      <c r="D3863" t="n">
        <v>1940829</v>
      </c>
    </row>
    <row r="3864">
      <c r="D3864" t="n">
        <v>1940829</v>
      </c>
    </row>
    <row r="3865">
      <c r="D3865" t="n">
        <v>1940829</v>
      </c>
    </row>
    <row r="3866">
      <c r="D3866" t="n">
        <v>1940829</v>
      </c>
    </row>
    <row r="3867">
      <c r="D3867" t="n">
        <v>1940829</v>
      </c>
    </row>
    <row r="3868">
      <c r="D3868" t="n">
        <v>1940829</v>
      </c>
    </row>
    <row r="3869">
      <c r="D3869" t="n">
        <v>1940829</v>
      </c>
    </row>
    <row r="3870">
      <c r="D3870" t="n">
        <v>1940829</v>
      </c>
    </row>
    <row r="3871">
      <c r="D3871" t="n">
        <v>1940829</v>
      </c>
    </row>
    <row r="3872">
      <c r="D3872" t="n">
        <v>1940829</v>
      </c>
    </row>
    <row r="3873">
      <c r="D3873" t="n">
        <v>1941860</v>
      </c>
    </row>
    <row r="3874">
      <c r="D3874" t="n">
        <v>1941860</v>
      </c>
    </row>
    <row r="3875">
      <c r="D3875" t="n">
        <v>1941860</v>
      </c>
    </row>
    <row r="3876">
      <c r="D3876" t="n">
        <v>1941860</v>
      </c>
    </row>
    <row r="3877">
      <c r="D3877" t="n">
        <v>1941860</v>
      </c>
    </row>
    <row r="3878">
      <c r="D3878" t="n">
        <v>1941860</v>
      </c>
    </row>
    <row r="3879">
      <c r="D3879" t="n">
        <v>3712521</v>
      </c>
    </row>
    <row r="3880">
      <c r="D3880" t="n">
        <v>3712521</v>
      </c>
    </row>
    <row r="3881">
      <c r="D3881" t="n">
        <v>3712521</v>
      </c>
    </row>
    <row r="3882">
      <c r="D3882" t="n">
        <v>3712521</v>
      </c>
    </row>
    <row r="3883">
      <c r="D3883" t="n">
        <v>3712521</v>
      </c>
    </row>
    <row r="3884">
      <c r="D3884" t="n">
        <v>3712521</v>
      </c>
    </row>
    <row r="3885">
      <c r="D3885" t="n">
        <v>3712521</v>
      </c>
    </row>
    <row r="3886">
      <c r="D3886" t="n">
        <v>3712521</v>
      </c>
    </row>
    <row r="3887">
      <c r="D3887" t="n">
        <v>3712521</v>
      </c>
    </row>
    <row r="3888">
      <c r="D3888" t="n">
        <v>3712521</v>
      </c>
    </row>
    <row r="3889">
      <c r="D3889" t="n">
        <v>3712521</v>
      </c>
    </row>
    <row r="3890">
      <c r="D3890" t="n">
        <v>3712521</v>
      </c>
    </row>
    <row r="3891">
      <c r="D3891" t="n">
        <v>3712521</v>
      </c>
    </row>
    <row r="3892">
      <c r="D3892" t="n">
        <v>3712521</v>
      </c>
    </row>
    <row r="3893">
      <c r="D3893" t="n">
        <v>3712521</v>
      </c>
    </row>
    <row r="3894">
      <c r="D3894" t="n">
        <v>3616912</v>
      </c>
    </row>
    <row r="3895">
      <c r="D3895" t="n">
        <v>3616912</v>
      </c>
    </row>
    <row r="3896">
      <c r="D3896" t="n">
        <v>1940830</v>
      </c>
    </row>
    <row r="3897">
      <c r="D3897" t="n">
        <v>1940830</v>
      </c>
    </row>
    <row r="3898">
      <c r="D3898" t="n">
        <v>1940830</v>
      </c>
    </row>
    <row r="3899">
      <c r="D3899" t="n">
        <v>1940830</v>
      </c>
    </row>
    <row r="3900">
      <c r="D3900" t="n">
        <v>1940830</v>
      </c>
    </row>
    <row r="3901">
      <c r="D3901" t="n">
        <v>1940830</v>
      </c>
    </row>
    <row r="3902">
      <c r="D3902" t="n">
        <v>1940830</v>
      </c>
    </row>
    <row r="3903">
      <c r="D3903" t="n">
        <v>1940830</v>
      </c>
    </row>
    <row r="3904">
      <c r="D3904" t="n">
        <v>1940830</v>
      </c>
    </row>
    <row r="3905">
      <c r="D3905" t="n">
        <v>1940830</v>
      </c>
    </row>
    <row r="3906">
      <c r="D3906" t="n">
        <v>1940830</v>
      </c>
    </row>
    <row r="3907">
      <c r="D3907" t="n">
        <v>1940830</v>
      </c>
    </row>
    <row r="3908">
      <c r="D3908" t="n">
        <v>1940830</v>
      </c>
    </row>
    <row r="3909">
      <c r="D3909" t="n">
        <v>1940830</v>
      </c>
    </row>
    <row r="3910">
      <c r="D3910" t="n">
        <v>1940830</v>
      </c>
    </row>
    <row r="3911">
      <c r="D3911" t="n">
        <v>1940830</v>
      </c>
    </row>
    <row r="3912">
      <c r="D3912" t="n">
        <v>1940830</v>
      </c>
    </row>
    <row r="3913">
      <c r="D3913" t="n">
        <v>1940831</v>
      </c>
    </row>
    <row r="3914">
      <c r="D3914" t="n">
        <v>1940831</v>
      </c>
    </row>
    <row r="3915">
      <c r="D3915" t="n">
        <v>1940831</v>
      </c>
    </row>
    <row r="3916">
      <c r="D3916" t="n">
        <v>1940831</v>
      </c>
    </row>
    <row r="3917">
      <c r="D3917" t="n">
        <v>1940831</v>
      </c>
    </row>
    <row r="3918">
      <c r="D3918" t="n">
        <v>1940831</v>
      </c>
    </row>
    <row r="3919">
      <c r="D3919" t="n">
        <v>1940831</v>
      </c>
    </row>
    <row r="3920">
      <c r="D3920" t="n">
        <v>1940831</v>
      </c>
    </row>
    <row r="3921">
      <c r="D3921" t="n">
        <v>1940831</v>
      </c>
    </row>
    <row r="3922">
      <c r="D3922" t="n">
        <v>1940831</v>
      </c>
    </row>
    <row r="3923">
      <c r="D3923" t="n">
        <v>1940831</v>
      </c>
    </row>
    <row r="3924">
      <c r="D3924" t="n">
        <v>1940831</v>
      </c>
    </row>
    <row r="3925">
      <c r="D3925" t="n">
        <v>1940831</v>
      </c>
    </row>
    <row r="3926">
      <c r="D3926" t="n">
        <v>1940831</v>
      </c>
    </row>
    <row r="3927">
      <c r="D3927" t="n">
        <v>1940831</v>
      </c>
    </row>
    <row r="3928">
      <c r="D3928" t="n">
        <v>3441727</v>
      </c>
    </row>
    <row r="3929">
      <c r="D3929" t="n">
        <v>3441727</v>
      </c>
    </row>
    <row r="3930">
      <c r="D3930" t="n">
        <v>3441727</v>
      </c>
    </row>
    <row r="3931">
      <c r="D3931" t="n">
        <v>3441727</v>
      </c>
    </row>
    <row r="3932">
      <c r="D3932" t="n">
        <v>3441727</v>
      </c>
    </row>
    <row r="3933">
      <c r="D3933" t="n">
        <v>3441727</v>
      </c>
    </row>
    <row r="3934">
      <c r="D3934" t="n">
        <v>3441727</v>
      </c>
    </row>
    <row r="3935">
      <c r="D3935" t="n">
        <v>3441727</v>
      </c>
    </row>
    <row r="3936">
      <c r="D3936" t="n">
        <v>3441727</v>
      </c>
    </row>
    <row r="3937">
      <c r="D3937" t="n">
        <v>3441727</v>
      </c>
    </row>
    <row r="3938">
      <c r="D3938" t="n">
        <v>3441727</v>
      </c>
    </row>
    <row r="3939">
      <c r="D3939" t="n">
        <v>3441727</v>
      </c>
    </row>
    <row r="3940">
      <c r="D3940" t="n">
        <v>1940832</v>
      </c>
    </row>
    <row r="3941">
      <c r="D3941" t="n">
        <v>1940833</v>
      </c>
    </row>
    <row r="3942">
      <c r="D3942" t="n">
        <v>3569651</v>
      </c>
    </row>
    <row r="3943">
      <c r="D3943" t="n">
        <v>3569651</v>
      </c>
    </row>
    <row r="3944">
      <c r="D3944" t="n">
        <v>1940837</v>
      </c>
    </row>
    <row r="3945">
      <c r="D3945" t="n">
        <v>1940837</v>
      </c>
    </row>
    <row r="3946">
      <c r="D3946" t="n">
        <v>1940837</v>
      </c>
    </row>
    <row r="3947">
      <c r="D3947" t="n">
        <v>1940837</v>
      </c>
    </row>
    <row r="3948">
      <c r="D3948" t="n">
        <v>1940837</v>
      </c>
    </row>
    <row r="3949">
      <c r="D3949" t="n">
        <v>1940837</v>
      </c>
    </row>
    <row r="3950">
      <c r="D3950" t="n">
        <v>1940837</v>
      </c>
    </row>
    <row r="3951">
      <c r="D3951" t="n">
        <v>1940837</v>
      </c>
    </row>
    <row r="3952">
      <c r="D3952" t="n">
        <v>1940837</v>
      </c>
    </row>
    <row r="3953">
      <c r="D3953" t="n">
        <v>1940837</v>
      </c>
    </row>
    <row r="3954">
      <c r="D3954" t="n">
        <v>1940837</v>
      </c>
    </row>
    <row r="3955">
      <c r="D3955" t="n">
        <v>1940837</v>
      </c>
    </row>
    <row r="3956">
      <c r="D3956" t="n">
        <v>1940837</v>
      </c>
    </row>
    <row r="3957">
      <c r="D3957" t="n">
        <v>1940837</v>
      </c>
    </row>
    <row r="3958">
      <c r="D3958" t="n">
        <v>1940837</v>
      </c>
    </row>
    <row r="3959">
      <c r="D3959" t="n">
        <v>1940837</v>
      </c>
    </row>
    <row r="3960">
      <c r="D3960" t="n">
        <v>1940837</v>
      </c>
    </row>
    <row r="3961">
      <c r="D3961" t="n">
        <v>1940837</v>
      </c>
    </row>
    <row r="3962">
      <c r="D3962" t="n">
        <v>1940837</v>
      </c>
    </row>
    <row r="3963">
      <c r="D3963" t="n">
        <v>1940837</v>
      </c>
    </row>
    <row r="3964">
      <c r="D3964" t="n">
        <v>1940838</v>
      </c>
    </row>
    <row r="3965">
      <c r="D3965" t="n">
        <v>1940840</v>
      </c>
    </row>
    <row r="3966">
      <c r="D3966" t="n">
        <v>1940840</v>
      </c>
    </row>
    <row r="3967">
      <c r="D3967" t="n">
        <v>1940840</v>
      </c>
    </row>
    <row r="3968">
      <c r="D3968" t="n">
        <v>1940840</v>
      </c>
    </row>
    <row r="3969">
      <c r="D3969" t="n">
        <v>1940840</v>
      </c>
    </row>
    <row r="3970">
      <c r="D3970" t="n">
        <v>1940840</v>
      </c>
    </row>
    <row r="3971">
      <c r="D3971" t="n">
        <v>1940840</v>
      </c>
    </row>
    <row r="3972">
      <c r="D3972" t="n">
        <v>1940840</v>
      </c>
    </row>
    <row r="3973">
      <c r="D3973" t="n">
        <v>1940840</v>
      </c>
    </row>
    <row r="3974">
      <c r="D3974" t="n">
        <v>1940840</v>
      </c>
    </row>
    <row r="3975">
      <c r="D3975" t="n">
        <v>1940840</v>
      </c>
    </row>
    <row r="3976">
      <c r="D3976" t="n">
        <v>1940840</v>
      </c>
    </row>
    <row r="3977">
      <c r="D3977" t="n">
        <v>1940840</v>
      </c>
    </row>
    <row r="3978">
      <c r="D3978" t="n">
        <v>1940840</v>
      </c>
    </row>
    <row r="3979">
      <c r="D3979" t="n">
        <v>1940840</v>
      </c>
    </row>
    <row r="3980">
      <c r="D3980" t="n">
        <v>1940840</v>
      </c>
    </row>
    <row r="3981">
      <c r="D3981" t="n">
        <v>1940840</v>
      </c>
    </row>
    <row r="3982">
      <c r="D3982" t="n">
        <v>1940840</v>
      </c>
    </row>
    <row r="3983">
      <c r="D3983" t="n">
        <v>1940840</v>
      </c>
    </row>
    <row r="3984">
      <c r="D3984" t="n">
        <v>1940840</v>
      </c>
    </row>
    <row r="3985">
      <c r="D3985" t="n">
        <v>1940840</v>
      </c>
    </row>
    <row r="3986">
      <c r="D3986" t="n">
        <v>1940840</v>
      </c>
    </row>
    <row r="3987">
      <c r="D3987" t="n">
        <v>1940840</v>
      </c>
    </row>
    <row r="3988">
      <c r="D3988" t="n">
        <v>1940840</v>
      </c>
    </row>
    <row r="3989">
      <c r="D3989" t="n">
        <v>3474555</v>
      </c>
    </row>
    <row r="3990">
      <c r="D3990" t="n">
        <v>3474555</v>
      </c>
    </row>
    <row r="3991">
      <c r="D3991" t="n">
        <v>3474555</v>
      </c>
    </row>
    <row r="3992">
      <c r="D3992" t="n">
        <v>3474555</v>
      </c>
    </row>
    <row r="3993">
      <c r="D3993" t="n">
        <v>3474555</v>
      </c>
    </row>
    <row r="3994">
      <c r="D3994" t="n">
        <v>3569652</v>
      </c>
    </row>
    <row r="3995">
      <c r="D3995" t="n">
        <v>1940849</v>
      </c>
    </row>
    <row r="3996">
      <c r="D3996" t="n">
        <v>1940849</v>
      </c>
    </row>
    <row r="3997">
      <c r="D3997" t="n">
        <v>1940849</v>
      </c>
    </row>
    <row r="3998">
      <c r="D3998" t="n">
        <v>1940849</v>
      </c>
    </row>
    <row r="3999">
      <c r="D3999" t="n">
        <v>1940849</v>
      </c>
    </row>
    <row r="4000">
      <c r="D4000" t="n">
        <v>1940849</v>
      </c>
    </row>
    <row r="4001">
      <c r="D4001" t="n">
        <v>1940849</v>
      </c>
    </row>
    <row r="4002">
      <c r="D4002" t="n">
        <v>1940849</v>
      </c>
    </row>
    <row r="4003">
      <c r="D4003" t="n">
        <v>1940849</v>
      </c>
    </row>
    <row r="4004">
      <c r="D4004" t="n">
        <v>1940849</v>
      </c>
    </row>
    <row r="4005">
      <c r="D4005" t="n">
        <v>1940849</v>
      </c>
    </row>
    <row r="4006">
      <c r="D4006" t="n">
        <v>1940849</v>
      </c>
    </row>
    <row r="4007">
      <c r="D4007" t="n">
        <v>1940849</v>
      </c>
    </row>
    <row r="4008">
      <c r="D4008" t="n">
        <v>1940849</v>
      </c>
    </row>
    <row r="4009">
      <c r="D4009" t="n">
        <v>1940850</v>
      </c>
    </row>
    <row r="4010">
      <c r="D4010" t="n">
        <v>1940850</v>
      </c>
    </row>
    <row r="4011">
      <c r="D4011" t="n">
        <v>1940850</v>
      </c>
    </row>
    <row r="4012">
      <c r="D4012" t="n">
        <v>1940850</v>
      </c>
    </row>
    <row r="4013">
      <c r="D4013" t="n">
        <v>1940850</v>
      </c>
    </row>
    <row r="4014">
      <c r="D4014" t="n">
        <v>1940850</v>
      </c>
    </row>
    <row r="4015">
      <c r="D4015" t="n">
        <v>1940850</v>
      </c>
    </row>
    <row r="4016">
      <c r="D4016" t="n">
        <v>1940850</v>
      </c>
    </row>
    <row r="4017">
      <c r="D4017" t="n">
        <v>1940850</v>
      </c>
    </row>
    <row r="4018">
      <c r="D4018" t="n">
        <v>1940850</v>
      </c>
    </row>
    <row r="4019">
      <c r="D4019" t="n">
        <v>1940850</v>
      </c>
    </row>
    <row r="4020">
      <c r="D4020" t="n">
        <v>1940850</v>
      </c>
    </row>
    <row r="4021">
      <c r="D4021" t="n">
        <v>1940850</v>
      </c>
    </row>
    <row r="4022">
      <c r="D4022" t="n">
        <v>1940850</v>
      </c>
    </row>
    <row r="4023">
      <c r="D4023" t="n">
        <v>3584172</v>
      </c>
    </row>
    <row r="4024">
      <c r="D4024" t="n">
        <v>3584172</v>
      </c>
    </row>
    <row r="4025">
      <c r="D4025" t="n">
        <v>3584172</v>
      </c>
    </row>
    <row r="4026">
      <c r="D4026" t="n">
        <v>3584172</v>
      </c>
    </row>
    <row r="4027">
      <c r="D4027" t="n">
        <v>3584172</v>
      </c>
    </row>
    <row r="4028">
      <c r="D4028" t="n">
        <v>3584172</v>
      </c>
    </row>
    <row r="4029">
      <c r="D4029" t="n">
        <v>3584172</v>
      </c>
    </row>
    <row r="4030">
      <c r="D4030" t="n">
        <v>3584172</v>
      </c>
    </row>
    <row r="4031">
      <c r="D4031" t="n">
        <v>3584172</v>
      </c>
    </row>
    <row r="4032">
      <c r="D4032" t="n">
        <v>3584172</v>
      </c>
    </row>
    <row r="4033">
      <c r="D4033" t="n">
        <v>3572055</v>
      </c>
    </row>
    <row r="4034">
      <c r="D4034" t="n">
        <v>3572055</v>
      </c>
    </row>
    <row r="4035">
      <c r="D4035" t="n">
        <v>3572055</v>
      </c>
    </row>
    <row r="4036">
      <c r="D4036" t="n">
        <v>3572055</v>
      </c>
    </row>
    <row r="4037">
      <c r="D4037" t="n">
        <v>3572055</v>
      </c>
    </row>
    <row r="4038">
      <c r="D4038" t="n">
        <v>3572055</v>
      </c>
    </row>
    <row r="4039">
      <c r="D4039" t="n">
        <v>3572055</v>
      </c>
    </row>
    <row r="4040">
      <c r="D4040" t="n">
        <v>3572055</v>
      </c>
    </row>
    <row r="4041">
      <c r="D4041" t="n">
        <v>3572055</v>
      </c>
    </row>
    <row r="4042">
      <c r="D4042" t="n">
        <v>3572055</v>
      </c>
    </row>
    <row r="4043">
      <c r="D4043" t="n">
        <v>3572055</v>
      </c>
    </row>
    <row r="4044">
      <c r="D4044" t="n">
        <v>3572055</v>
      </c>
    </row>
    <row r="4045">
      <c r="D4045" t="n">
        <v>3572055</v>
      </c>
    </row>
    <row r="4046">
      <c r="D4046" t="n">
        <v>3572055</v>
      </c>
    </row>
    <row r="4047">
      <c r="D4047" t="n">
        <v>3828833</v>
      </c>
    </row>
    <row r="4048">
      <c r="D4048" t="n">
        <v>1940852</v>
      </c>
    </row>
    <row r="4049">
      <c r="D4049" t="n">
        <v>1940852</v>
      </c>
    </row>
    <row r="4050">
      <c r="D4050" t="n">
        <v>1940852</v>
      </c>
    </row>
    <row r="4051">
      <c r="D4051" t="n">
        <v>1940852</v>
      </c>
    </row>
    <row r="4052">
      <c r="D4052" t="n">
        <v>1940852</v>
      </c>
    </row>
    <row r="4053">
      <c r="D4053" t="n">
        <v>1940852</v>
      </c>
    </row>
    <row r="4054">
      <c r="D4054" t="n">
        <v>1940852</v>
      </c>
    </row>
    <row r="4055">
      <c r="D4055" t="n">
        <v>1940852</v>
      </c>
    </row>
    <row r="4056">
      <c r="D4056" t="n">
        <v>1940852</v>
      </c>
    </row>
    <row r="4057">
      <c r="D4057" t="n">
        <v>1940852</v>
      </c>
    </row>
    <row r="4058">
      <c r="D4058" t="n">
        <v>1940852</v>
      </c>
    </row>
    <row r="4059">
      <c r="D4059" t="n">
        <v>1940852</v>
      </c>
    </row>
    <row r="4060">
      <c r="D4060" t="n">
        <v>1940852</v>
      </c>
    </row>
    <row r="4061">
      <c r="D4061" t="n">
        <v>1940852</v>
      </c>
    </row>
    <row r="4062">
      <c r="D4062" t="n">
        <v>1940852</v>
      </c>
    </row>
    <row r="4063">
      <c r="D4063" t="n">
        <v>1940852</v>
      </c>
    </row>
    <row r="4064">
      <c r="D4064" t="n">
        <v>1940852</v>
      </c>
    </row>
    <row r="4065">
      <c r="D4065" t="n">
        <v>1940852</v>
      </c>
    </row>
    <row r="4066">
      <c r="D4066" t="n">
        <v>3466052</v>
      </c>
    </row>
    <row r="4067">
      <c r="D4067" t="n">
        <v>3466052</v>
      </c>
    </row>
    <row r="4068">
      <c r="D4068" t="n">
        <v>3500639</v>
      </c>
    </row>
    <row r="4069">
      <c r="D4069" t="n">
        <v>3500639</v>
      </c>
    </row>
    <row r="4070">
      <c r="D4070" t="n">
        <v>3500639</v>
      </c>
    </row>
    <row r="4071">
      <c r="D4071" t="n">
        <v>3087646</v>
      </c>
    </row>
    <row r="4072">
      <c r="D4072" t="n">
        <v>3087646</v>
      </c>
    </row>
    <row r="4073">
      <c r="D4073" t="n">
        <v>3087646</v>
      </c>
    </row>
    <row r="4074">
      <c r="D4074" t="n">
        <v>3087646</v>
      </c>
    </row>
    <row r="4075">
      <c r="D4075" t="n">
        <v>3186831</v>
      </c>
    </row>
    <row r="4076">
      <c r="D4076" t="n">
        <v>3186831</v>
      </c>
    </row>
    <row r="4077">
      <c r="D4077" t="n">
        <v>3186831</v>
      </c>
    </row>
    <row r="4078">
      <c r="D4078" t="n">
        <v>3186831</v>
      </c>
    </row>
    <row r="4079">
      <c r="D4079" t="n">
        <v>3509829</v>
      </c>
    </row>
    <row r="4080">
      <c r="D4080" t="n">
        <v>3214495</v>
      </c>
    </row>
    <row r="4081">
      <c r="D4081" t="n">
        <v>3502252</v>
      </c>
    </row>
    <row r="4082">
      <c r="D4082" t="n">
        <v>3502252</v>
      </c>
    </row>
    <row r="4083">
      <c r="D4083" t="n">
        <v>3502252</v>
      </c>
    </row>
    <row r="4084">
      <c r="D4084" t="n">
        <v>3502252</v>
      </c>
    </row>
    <row r="4085">
      <c r="D4085" t="n">
        <v>3502252</v>
      </c>
    </row>
    <row r="4086">
      <c r="D4086" t="n">
        <v>3502252</v>
      </c>
    </row>
    <row r="4087">
      <c r="D4087" t="n">
        <v>3502252</v>
      </c>
    </row>
    <row r="4088">
      <c r="D4088" t="n">
        <v>3502252</v>
      </c>
    </row>
    <row r="4089">
      <c r="D4089" t="n">
        <v>3502252</v>
      </c>
    </row>
    <row r="4090">
      <c r="D4090" t="n">
        <v>3502252</v>
      </c>
    </row>
    <row r="4091">
      <c r="D4091" t="n">
        <v>3502252</v>
      </c>
    </row>
    <row r="4092">
      <c r="D4092" t="n">
        <v>3502252</v>
      </c>
    </row>
    <row r="4093">
      <c r="D4093" t="n">
        <v>3502252</v>
      </c>
    </row>
    <row r="4094">
      <c r="D4094" t="n">
        <v>3502252</v>
      </c>
    </row>
    <row r="4095">
      <c r="D4095" t="n">
        <v>3502252</v>
      </c>
    </row>
    <row r="4096">
      <c r="D4096" t="n">
        <v>3239889</v>
      </c>
    </row>
    <row r="4097">
      <c r="D4097" t="n">
        <v>3239889</v>
      </c>
    </row>
    <row r="4098">
      <c r="D4098" t="n">
        <v>3539418</v>
      </c>
    </row>
    <row r="4099">
      <c r="D4099" t="n">
        <v>2403433</v>
      </c>
    </row>
    <row r="4100">
      <c r="D4100" t="n">
        <v>2403433</v>
      </c>
    </row>
    <row r="4101">
      <c r="D4101" t="n">
        <v>2403433</v>
      </c>
    </row>
    <row r="4102">
      <c r="D4102" t="n">
        <v>280076</v>
      </c>
    </row>
    <row r="4103">
      <c r="D4103" t="n">
        <v>3499828</v>
      </c>
    </row>
    <row r="4104">
      <c r="D4104" t="n">
        <v>3499828</v>
      </c>
    </row>
    <row r="4105">
      <c r="D4105" t="n">
        <v>3499828</v>
      </c>
    </row>
    <row r="4106">
      <c r="D4106" t="n">
        <v>3499828</v>
      </c>
    </row>
    <row r="4107">
      <c r="D4107" t="n">
        <v>3673889</v>
      </c>
    </row>
    <row r="4108">
      <c r="D4108" t="n">
        <v>3673889</v>
      </c>
    </row>
    <row r="4109">
      <c r="D4109" t="n">
        <v>3673889</v>
      </c>
    </row>
    <row r="4110">
      <c r="D4110" t="n">
        <v>3673889</v>
      </c>
    </row>
    <row r="4111">
      <c r="D4111" t="n">
        <v>3673889</v>
      </c>
    </row>
    <row r="4112">
      <c r="D4112" t="n">
        <v>3673889</v>
      </c>
    </row>
    <row r="4113">
      <c r="D4113" t="n">
        <v>3673889</v>
      </c>
    </row>
    <row r="4114">
      <c r="D4114" t="n">
        <v>3673889</v>
      </c>
    </row>
    <row r="4115">
      <c r="D4115" t="n">
        <v>3673889</v>
      </c>
    </row>
    <row r="4116">
      <c r="D4116" t="n">
        <v>3673889</v>
      </c>
    </row>
    <row r="4117">
      <c r="D4117" t="n">
        <v>3673889</v>
      </c>
    </row>
    <row r="4118">
      <c r="D4118" t="n">
        <v>3673889</v>
      </c>
    </row>
    <row r="4119">
      <c r="D4119" t="n">
        <v>3673889</v>
      </c>
    </row>
    <row r="4120">
      <c r="D4120" t="n">
        <v>3502334</v>
      </c>
    </row>
    <row r="4121">
      <c r="D4121" t="n">
        <v>3502334</v>
      </c>
    </row>
    <row r="4122">
      <c r="D4122" t="n">
        <v>3502334</v>
      </c>
    </row>
    <row r="4123">
      <c r="D4123" t="n">
        <v>2415020</v>
      </c>
    </row>
    <row r="4124">
      <c r="D4124" t="n">
        <v>3514972</v>
      </c>
    </row>
    <row r="4125">
      <c r="D4125" t="n">
        <v>3605867</v>
      </c>
    </row>
    <row r="4126">
      <c r="D4126" t="n">
        <v>3768907</v>
      </c>
    </row>
    <row r="4127">
      <c r="D4127" t="n">
        <v>3768907</v>
      </c>
    </row>
    <row r="4128">
      <c r="D4128" t="n">
        <v>3768907</v>
      </c>
    </row>
    <row r="4129">
      <c r="D4129" t="n">
        <v>3768907</v>
      </c>
    </row>
    <row r="4130">
      <c r="D4130" t="n">
        <v>3531649</v>
      </c>
    </row>
    <row r="4131">
      <c r="D4131" t="n">
        <v>3531649</v>
      </c>
    </row>
    <row r="4132">
      <c r="D4132" t="n">
        <v>3531649</v>
      </c>
    </row>
    <row r="4133">
      <c r="D4133" t="n">
        <v>3531649</v>
      </c>
    </row>
    <row r="4134">
      <c r="D4134" t="n">
        <v>3531649</v>
      </c>
    </row>
    <row r="4135">
      <c r="D4135" t="n">
        <v>3531649</v>
      </c>
    </row>
    <row r="4136">
      <c r="D4136" t="n">
        <v>3531649</v>
      </c>
    </row>
    <row r="4137">
      <c r="D4137" t="n">
        <v>3531649</v>
      </c>
    </row>
    <row r="4138">
      <c r="D4138" t="n">
        <v>3531649</v>
      </c>
    </row>
    <row r="4139">
      <c r="D4139" t="n">
        <v>3531649</v>
      </c>
    </row>
    <row r="4140">
      <c r="D4140" t="n">
        <v>3531649</v>
      </c>
    </row>
    <row r="4141">
      <c r="D4141" t="n">
        <v>3531649</v>
      </c>
    </row>
    <row r="4142">
      <c r="D4142" t="n">
        <v>3531649</v>
      </c>
    </row>
    <row r="4143">
      <c r="D4143" t="n">
        <v>3531649</v>
      </c>
    </row>
    <row r="4144">
      <c r="D4144" t="n">
        <v>1496408</v>
      </c>
    </row>
    <row r="4145">
      <c r="D4145" t="n">
        <v>3722021</v>
      </c>
    </row>
    <row r="4146">
      <c r="D4146" t="n">
        <v>3722021</v>
      </c>
    </row>
    <row r="4147">
      <c r="D4147" t="n">
        <v>3722021</v>
      </c>
    </row>
    <row r="4148">
      <c r="D4148" t="n">
        <v>2417648</v>
      </c>
    </row>
    <row r="4149">
      <c r="D4149" t="n">
        <v>2417648</v>
      </c>
    </row>
    <row r="4150">
      <c r="D4150" t="n">
        <v>2417648</v>
      </c>
    </row>
    <row r="4151">
      <c r="D4151" t="n">
        <v>2417648</v>
      </c>
    </row>
    <row r="4152">
      <c r="D4152" t="n">
        <v>2417648</v>
      </c>
    </row>
    <row r="4153">
      <c r="D4153" t="n">
        <v>2417648</v>
      </c>
    </row>
    <row r="4154">
      <c r="D4154" t="n">
        <v>2417648</v>
      </c>
    </row>
    <row r="4155">
      <c r="D4155" t="n">
        <v>2417648</v>
      </c>
    </row>
    <row r="4156">
      <c r="D4156" t="n">
        <v>2417648</v>
      </c>
    </row>
    <row r="4157">
      <c r="D4157" t="n">
        <v>2417648</v>
      </c>
    </row>
    <row r="4158">
      <c r="D4158" t="n">
        <v>2417648</v>
      </c>
    </row>
    <row r="4159">
      <c r="D4159" t="n">
        <v>2417648</v>
      </c>
    </row>
    <row r="4160">
      <c r="D4160" t="n">
        <v>1310731</v>
      </c>
    </row>
    <row r="4161">
      <c r="D4161" t="n">
        <v>1310731</v>
      </c>
    </row>
    <row r="4162">
      <c r="D4162" t="n">
        <v>1310731</v>
      </c>
    </row>
    <row r="4163">
      <c r="D4163" t="n">
        <v>1310731</v>
      </c>
    </row>
    <row r="4164">
      <c r="D4164" t="n">
        <v>1310731</v>
      </c>
    </row>
    <row r="4165">
      <c r="D4165" t="n">
        <v>2417649</v>
      </c>
    </row>
    <row r="4166">
      <c r="D4166" t="n">
        <v>2417649</v>
      </c>
    </row>
    <row r="4167">
      <c r="D4167" t="n">
        <v>2417649</v>
      </c>
    </row>
    <row r="4168">
      <c r="D4168" t="n">
        <v>3433148</v>
      </c>
    </row>
    <row r="4169">
      <c r="D4169" t="n">
        <v>3433148</v>
      </c>
    </row>
    <row r="4170">
      <c r="D4170" t="n">
        <v>3433148</v>
      </c>
    </row>
    <row r="4171">
      <c r="D4171" t="n">
        <v>3433148</v>
      </c>
    </row>
    <row r="4172">
      <c r="D4172" t="n">
        <v>3433148</v>
      </c>
    </row>
    <row r="4173">
      <c r="D4173" t="n">
        <v>3502013</v>
      </c>
    </row>
    <row r="4174">
      <c r="D4174" t="n">
        <v>3502013</v>
      </c>
    </row>
    <row r="4175">
      <c r="D4175" t="n">
        <v>3502013</v>
      </c>
    </row>
    <row r="4176">
      <c r="D4176" t="n">
        <v>3502013</v>
      </c>
    </row>
    <row r="4177">
      <c r="D4177" t="n">
        <v>3502013</v>
      </c>
    </row>
    <row r="4178">
      <c r="D4178" t="n">
        <v>3502013</v>
      </c>
    </row>
    <row r="4179">
      <c r="D4179" t="n">
        <v>3502013</v>
      </c>
    </row>
    <row r="4180">
      <c r="D4180" t="n">
        <v>3502013</v>
      </c>
    </row>
    <row r="4181">
      <c r="D4181" t="n">
        <v>3502013</v>
      </c>
    </row>
    <row r="4182">
      <c r="D4182" t="n">
        <v>3500650</v>
      </c>
    </row>
    <row r="4183">
      <c r="D4183" t="n">
        <v>3500650</v>
      </c>
    </row>
    <row r="4184">
      <c r="D4184" t="n">
        <v>3500650</v>
      </c>
    </row>
    <row r="4185">
      <c r="D4185" t="n">
        <v>3500650</v>
      </c>
    </row>
    <row r="4186">
      <c r="D4186" t="n">
        <v>3500650</v>
      </c>
    </row>
    <row r="4187">
      <c r="D4187" t="n">
        <v>3500650</v>
      </c>
    </row>
    <row r="4188">
      <c r="D4188" t="n">
        <v>2396465</v>
      </c>
    </row>
    <row r="4189">
      <c r="D4189" t="n">
        <v>2396465</v>
      </c>
    </row>
    <row r="4190">
      <c r="D4190" t="n">
        <v>2396465</v>
      </c>
    </row>
    <row r="4191">
      <c r="D4191" t="n">
        <v>2396465</v>
      </c>
    </row>
    <row r="4192">
      <c r="D4192" t="n">
        <v>2396465</v>
      </c>
    </row>
    <row r="4193">
      <c r="D4193" t="n">
        <v>2396465</v>
      </c>
    </row>
    <row r="4194">
      <c r="D4194" t="n">
        <v>2396465</v>
      </c>
    </row>
    <row r="4195">
      <c r="D4195" t="n">
        <v>1511515</v>
      </c>
    </row>
    <row r="4196">
      <c r="D4196" t="n">
        <v>1511515</v>
      </c>
    </row>
    <row r="4197">
      <c r="D4197" t="n">
        <v>1511515</v>
      </c>
    </row>
    <row r="4198">
      <c r="D4198" t="n">
        <v>1511515</v>
      </c>
    </row>
    <row r="4199">
      <c r="D4199" t="n">
        <v>1511515</v>
      </c>
    </row>
    <row r="4200">
      <c r="D4200" t="n">
        <v>1511515</v>
      </c>
    </row>
    <row r="4201">
      <c r="D4201" t="n">
        <v>1511515</v>
      </c>
    </row>
    <row r="4202">
      <c r="D4202" t="n">
        <v>1511515</v>
      </c>
    </row>
    <row r="4203">
      <c r="D4203" t="n">
        <v>2422135</v>
      </c>
    </row>
    <row r="4204">
      <c r="D4204" t="n">
        <v>3784469</v>
      </c>
    </row>
    <row r="4205">
      <c r="D4205" t="n">
        <v>3901714</v>
      </c>
    </row>
    <row r="4206">
      <c r="D4206" t="n">
        <v>3187964</v>
      </c>
    </row>
    <row r="4207">
      <c r="D4207" t="n">
        <v>3187964</v>
      </c>
    </row>
    <row r="4208">
      <c r="D4208" t="n">
        <v>3187964</v>
      </c>
    </row>
    <row r="4209">
      <c r="D4209" t="n">
        <v>1310732</v>
      </c>
    </row>
    <row r="4210">
      <c r="D4210" t="n">
        <v>1310732</v>
      </c>
    </row>
    <row r="4211">
      <c r="D4211" t="n">
        <v>2428441</v>
      </c>
    </row>
    <row r="4212">
      <c r="D4212" t="n">
        <v>2428441</v>
      </c>
    </row>
    <row r="4213">
      <c r="D4213" t="n">
        <v>2428441</v>
      </c>
    </row>
    <row r="4214">
      <c r="D4214" t="n">
        <v>2428441</v>
      </c>
    </row>
    <row r="4215">
      <c r="D4215" t="n">
        <v>2428441</v>
      </c>
    </row>
    <row r="4216">
      <c r="D4216" t="n">
        <v>2428441</v>
      </c>
    </row>
    <row r="4217">
      <c r="D4217" t="n">
        <v>2428441</v>
      </c>
    </row>
    <row r="4218">
      <c r="D4218" t="n">
        <v>1399335</v>
      </c>
    </row>
    <row r="4219">
      <c r="D4219" t="n">
        <v>1938358</v>
      </c>
    </row>
    <row r="4220">
      <c r="D4220" t="n">
        <v>1938358</v>
      </c>
    </row>
    <row r="4221">
      <c r="D4221" t="n">
        <v>1938358</v>
      </c>
    </row>
    <row r="4222">
      <c r="D4222" t="n">
        <v>1938358</v>
      </c>
    </row>
    <row r="4223">
      <c r="D4223" t="n">
        <v>1938358</v>
      </c>
    </row>
    <row r="4224">
      <c r="D4224" t="n">
        <v>1938358</v>
      </c>
    </row>
    <row r="4225">
      <c r="D4225" t="n">
        <v>1938358</v>
      </c>
    </row>
    <row r="4226">
      <c r="D4226" t="n">
        <v>1938358</v>
      </c>
    </row>
    <row r="4227">
      <c r="D4227" t="n">
        <v>1311453</v>
      </c>
    </row>
    <row r="4228">
      <c r="D4228" t="n">
        <v>1311453</v>
      </c>
    </row>
    <row r="4229">
      <c r="D4229" t="n">
        <v>1311453</v>
      </c>
    </row>
    <row r="4230">
      <c r="D4230" t="n">
        <v>1311453</v>
      </c>
    </row>
    <row r="4231">
      <c r="D4231" t="n">
        <v>3439767</v>
      </c>
    </row>
    <row r="4232">
      <c r="D4232" t="n">
        <v>3439767</v>
      </c>
    </row>
    <row r="4233">
      <c r="D4233" t="n">
        <v>3499121</v>
      </c>
    </row>
    <row r="4234">
      <c r="D4234" t="n">
        <v>3499121</v>
      </c>
    </row>
    <row r="4235">
      <c r="D4235" t="n">
        <v>3499121</v>
      </c>
    </row>
    <row r="4236">
      <c r="D4236" t="n">
        <v>3500714</v>
      </c>
    </row>
    <row r="4237">
      <c r="D4237" t="n">
        <v>3500714</v>
      </c>
    </row>
    <row r="4238">
      <c r="D4238" t="n">
        <v>3500714</v>
      </c>
    </row>
    <row r="4239">
      <c r="D4239" t="n">
        <v>3500714</v>
      </c>
    </row>
    <row r="4240">
      <c r="D4240" t="n">
        <v>3500714</v>
      </c>
    </row>
    <row r="4241">
      <c r="D4241" t="n">
        <v>3500714</v>
      </c>
    </row>
    <row r="4242">
      <c r="D4242" t="n">
        <v>3500714</v>
      </c>
    </row>
    <row r="4243">
      <c r="D4243" t="n">
        <v>3500714</v>
      </c>
    </row>
    <row r="4244">
      <c r="D4244" t="n">
        <v>3500714</v>
      </c>
    </row>
    <row r="4245">
      <c r="D4245" t="n">
        <v>3500714</v>
      </c>
    </row>
    <row r="4246">
      <c r="D4246" t="n">
        <v>3500714</v>
      </c>
    </row>
    <row r="4247">
      <c r="D4247" t="n">
        <v>3500714</v>
      </c>
    </row>
    <row r="4248">
      <c r="D4248" t="n">
        <v>3500714</v>
      </c>
    </row>
    <row r="4249">
      <c r="D4249" t="n">
        <v>3500714</v>
      </c>
    </row>
    <row r="4250">
      <c r="D4250" t="n">
        <v>3500714</v>
      </c>
    </row>
    <row r="4251">
      <c r="D4251" t="n">
        <v>3500714</v>
      </c>
    </row>
    <row r="4252">
      <c r="D4252" t="n">
        <v>3500714</v>
      </c>
    </row>
    <row r="4253">
      <c r="D4253" t="n">
        <v>3500714</v>
      </c>
    </row>
    <row r="4254">
      <c r="D4254" t="n">
        <v>2426233</v>
      </c>
    </row>
    <row r="4255">
      <c r="D4255" t="n">
        <v>2426233</v>
      </c>
    </row>
    <row r="4256">
      <c r="D4256" t="n">
        <v>3501985</v>
      </c>
    </row>
    <row r="4257">
      <c r="D4257" t="n">
        <v>1490699</v>
      </c>
    </row>
    <row r="4258">
      <c r="D4258" t="n">
        <v>2420077</v>
      </c>
    </row>
    <row r="4259">
      <c r="D4259" t="n">
        <v>2420077</v>
      </c>
    </row>
    <row r="4260">
      <c r="D4260" t="n">
        <v>3545558</v>
      </c>
    </row>
    <row r="4261">
      <c r="D4261" t="n">
        <v>3545558</v>
      </c>
    </row>
    <row r="4262">
      <c r="D4262" t="n">
        <v>3545558</v>
      </c>
    </row>
    <row r="4263">
      <c r="D4263" t="n">
        <v>3545558</v>
      </c>
    </row>
    <row r="4264">
      <c r="D4264" t="n">
        <v>3545558</v>
      </c>
    </row>
    <row r="4265">
      <c r="D4265" t="n">
        <v>3545558</v>
      </c>
    </row>
    <row r="4266">
      <c r="D4266" t="n">
        <v>3545558</v>
      </c>
    </row>
    <row r="4267">
      <c r="D4267" t="n">
        <v>3545558</v>
      </c>
    </row>
    <row r="4268">
      <c r="D4268" t="n">
        <v>3545558</v>
      </c>
    </row>
    <row r="4269">
      <c r="D4269" t="n">
        <v>3545558</v>
      </c>
    </row>
    <row r="4270">
      <c r="D4270" t="n">
        <v>3514971</v>
      </c>
    </row>
    <row r="4271">
      <c r="D4271" t="n">
        <v>3514971</v>
      </c>
    </row>
    <row r="4272">
      <c r="D4272" t="n">
        <v>3502343</v>
      </c>
    </row>
    <row r="4273">
      <c r="D4273" t="n">
        <v>3502343</v>
      </c>
    </row>
    <row r="4274">
      <c r="D4274" t="n">
        <v>3502343</v>
      </c>
    </row>
    <row r="4275">
      <c r="D4275" t="n">
        <v>3502343</v>
      </c>
    </row>
    <row r="4276">
      <c r="D4276" t="n">
        <v>3502343</v>
      </c>
    </row>
    <row r="4277">
      <c r="D4277" t="n">
        <v>3502343</v>
      </c>
    </row>
    <row r="4278">
      <c r="D4278" t="n">
        <v>3501095</v>
      </c>
    </row>
    <row r="4279">
      <c r="D4279" t="n">
        <v>1490698</v>
      </c>
    </row>
    <row r="4280">
      <c r="D4280" t="n">
        <v>3514380</v>
      </c>
    </row>
    <row r="4281">
      <c r="D4281" t="n">
        <v>3514380</v>
      </c>
    </row>
    <row r="4282">
      <c r="D4282" t="n">
        <v>3502388</v>
      </c>
    </row>
    <row r="4283">
      <c r="D4283" t="n">
        <v>3502388</v>
      </c>
    </row>
    <row r="4284">
      <c r="D4284" t="n">
        <v>3502388</v>
      </c>
    </row>
    <row r="4285">
      <c r="D4285" t="n">
        <v>3502388</v>
      </c>
    </row>
    <row r="4286">
      <c r="D4286" t="n">
        <v>3502388</v>
      </c>
    </row>
    <row r="4287">
      <c r="D4287" t="n">
        <v>3502388</v>
      </c>
    </row>
    <row r="4288">
      <c r="D4288" t="n">
        <v>3502388</v>
      </c>
    </row>
    <row r="4289">
      <c r="D4289" t="n">
        <v>2397072</v>
      </c>
    </row>
    <row r="4290">
      <c r="D4290" t="n">
        <v>2397072</v>
      </c>
    </row>
    <row r="4291">
      <c r="D4291" t="n">
        <v>2397072</v>
      </c>
    </row>
    <row r="4292">
      <c r="D4292" t="n">
        <v>2397072</v>
      </c>
    </row>
    <row r="4293">
      <c r="D4293" t="n">
        <v>2397072</v>
      </c>
    </row>
    <row r="4294">
      <c r="D4294" t="n">
        <v>3649700</v>
      </c>
    </row>
    <row r="4295">
      <c r="D4295" t="n">
        <v>3649700</v>
      </c>
    </row>
    <row r="4296">
      <c r="D4296" t="n">
        <v>3649700</v>
      </c>
    </row>
    <row r="4297">
      <c r="D4297" t="n">
        <v>3649700</v>
      </c>
    </row>
    <row r="4298">
      <c r="D4298" t="n">
        <v>3649700</v>
      </c>
    </row>
    <row r="4299">
      <c r="D4299" t="n">
        <v>3649700</v>
      </c>
    </row>
    <row r="4300">
      <c r="D4300" t="n">
        <v>3649700</v>
      </c>
    </row>
    <row r="4301">
      <c r="D4301" t="n">
        <v>2397327</v>
      </c>
    </row>
    <row r="4302">
      <c r="D4302" t="n">
        <v>3460088</v>
      </c>
    </row>
    <row r="4303">
      <c r="D4303" t="n">
        <v>3460088</v>
      </c>
    </row>
    <row r="4304">
      <c r="D4304" t="n">
        <v>3460088</v>
      </c>
    </row>
    <row r="4305">
      <c r="D4305" t="n">
        <v>3460088</v>
      </c>
    </row>
    <row r="4306">
      <c r="D4306" t="n">
        <v>2325421</v>
      </c>
    </row>
    <row r="4307">
      <c r="D4307" t="n">
        <v>2325421</v>
      </c>
    </row>
    <row r="4308">
      <c r="D4308" t="n">
        <v>2325421</v>
      </c>
    </row>
    <row r="4309">
      <c r="D4309" t="n">
        <v>2325421</v>
      </c>
    </row>
    <row r="4310">
      <c r="D4310" t="n">
        <v>2325421</v>
      </c>
    </row>
    <row r="4311">
      <c r="D4311" t="n">
        <v>2325421</v>
      </c>
    </row>
    <row r="4312">
      <c r="D4312" t="n">
        <v>2325421</v>
      </c>
    </row>
    <row r="4313">
      <c r="D4313" t="n">
        <v>2325421</v>
      </c>
    </row>
    <row r="4314">
      <c r="D4314" t="n">
        <v>2325421</v>
      </c>
    </row>
    <row r="4315">
      <c r="D4315" t="n">
        <v>2325421</v>
      </c>
    </row>
    <row r="4316">
      <c r="D4316" t="n">
        <v>2325421</v>
      </c>
    </row>
    <row r="4317">
      <c r="D4317" t="n">
        <v>2325421</v>
      </c>
    </row>
    <row r="4318">
      <c r="D4318" t="n">
        <v>2325421</v>
      </c>
    </row>
    <row r="4319">
      <c r="D4319" t="n">
        <v>2325421</v>
      </c>
    </row>
    <row r="4320">
      <c r="D4320" t="n">
        <v>2325421</v>
      </c>
    </row>
    <row r="4321">
      <c r="D4321" t="n">
        <v>2325421</v>
      </c>
    </row>
    <row r="4322">
      <c r="D4322" t="n">
        <v>2325421</v>
      </c>
    </row>
    <row r="4323">
      <c r="D4323" t="n">
        <v>2325421</v>
      </c>
    </row>
    <row r="4324">
      <c r="D4324" t="n">
        <v>2325421</v>
      </c>
    </row>
    <row r="4325">
      <c r="D4325" t="n">
        <v>2325421</v>
      </c>
    </row>
    <row r="4326">
      <c r="D4326" t="n">
        <v>2325421</v>
      </c>
    </row>
    <row r="4327">
      <c r="D4327" t="n">
        <v>2325421</v>
      </c>
    </row>
    <row r="4328">
      <c r="D4328" t="n">
        <v>2325421</v>
      </c>
    </row>
    <row r="4329">
      <c r="D4329" t="n">
        <v>2325421</v>
      </c>
    </row>
    <row r="4330">
      <c r="D4330" t="n">
        <v>2325421</v>
      </c>
    </row>
    <row r="4331">
      <c r="D4331" t="n">
        <v>2325421</v>
      </c>
    </row>
    <row r="4332">
      <c r="D4332" t="n">
        <v>2325421</v>
      </c>
    </row>
    <row r="4333">
      <c r="D4333" t="n">
        <v>2325421</v>
      </c>
    </row>
    <row r="4334">
      <c r="D4334" t="n">
        <v>2325421</v>
      </c>
    </row>
    <row r="4335">
      <c r="D4335" t="n">
        <v>3453634</v>
      </c>
    </row>
    <row r="4336">
      <c r="D4336" t="n">
        <v>3545559</v>
      </c>
    </row>
    <row r="4337">
      <c r="D4337" t="n">
        <v>3545559</v>
      </c>
    </row>
    <row r="4338">
      <c r="D4338" t="n">
        <v>3545559</v>
      </c>
    </row>
    <row r="4339">
      <c r="D4339" t="n">
        <v>3545559</v>
      </c>
    </row>
    <row r="4340">
      <c r="D4340" t="n">
        <v>3502301</v>
      </c>
    </row>
    <row r="4341">
      <c r="D4341" t="n">
        <v>3502301</v>
      </c>
    </row>
    <row r="4342">
      <c r="D4342" t="n">
        <v>3502301</v>
      </c>
    </row>
    <row r="4343">
      <c r="D4343" t="n">
        <v>3502301</v>
      </c>
    </row>
    <row r="4344">
      <c r="D4344" t="n">
        <v>3502301</v>
      </c>
    </row>
    <row r="4345">
      <c r="D4345" t="n">
        <v>3597587</v>
      </c>
    </row>
    <row r="4346">
      <c r="D4346" t="n">
        <v>3597587</v>
      </c>
    </row>
    <row r="4347">
      <c r="D4347" t="n">
        <v>1325388</v>
      </c>
    </row>
    <row r="4348">
      <c r="D4348" t="n">
        <v>3508060</v>
      </c>
    </row>
    <row r="4349">
      <c r="D4349" t="n">
        <v>3501092</v>
      </c>
    </row>
    <row r="4350">
      <c r="D4350" t="n">
        <v>3230505</v>
      </c>
    </row>
    <row r="4351">
      <c r="D4351" t="n">
        <v>2404864</v>
      </c>
    </row>
    <row r="4352">
      <c r="D4352" t="n">
        <v>2404864</v>
      </c>
    </row>
    <row r="4353">
      <c r="D4353" t="n">
        <v>3549720</v>
      </c>
    </row>
    <row r="4354">
      <c r="D4354" t="n">
        <v>3549720</v>
      </c>
    </row>
    <row r="4355">
      <c r="D4355" t="n">
        <v>3549720</v>
      </c>
    </row>
    <row r="4356">
      <c r="D4356" t="n">
        <v>3549720</v>
      </c>
    </row>
    <row r="4357">
      <c r="D4357" t="n">
        <v>3549720</v>
      </c>
    </row>
    <row r="4358">
      <c r="D4358" t="n">
        <v>3549720</v>
      </c>
    </row>
    <row r="4359">
      <c r="D4359" t="n">
        <v>3549720</v>
      </c>
    </row>
    <row r="4360">
      <c r="D4360" t="n">
        <v>3238860</v>
      </c>
    </row>
    <row r="4361">
      <c r="D4361" t="n">
        <v>3742593</v>
      </c>
    </row>
    <row r="4362">
      <c r="D4362" t="n">
        <v>2356445</v>
      </c>
    </row>
    <row r="4363">
      <c r="D4363" t="n">
        <v>2356445</v>
      </c>
    </row>
    <row r="4364">
      <c r="D4364" t="n">
        <v>2356445</v>
      </c>
    </row>
    <row r="4365">
      <c r="D4365" t="n">
        <v>3239049</v>
      </c>
    </row>
    <row r="4366">
      <c r="D4366" t="n">
        <v>282519</v>
      </c>
    </row>
    <row r="4367">
      <c r="D4367" t="n">
        <v>3531650</v>
      </c>
    </row>
    <row r="4368">
      <c r="D4368" t="n">
        <v>3531650</v>
      </c>
    </row>
    <row r="4369">
      <c r="D4369" t="n">
        <v>3531650</v>
      </c>
    </row>
    <row r="4370">
      <c r="D4370" t="n">
        <v>3531650</v>
      </c>
    </row>
    <row r="4371">
      <c r="D4371" t="n">
        <v>1568170</v>
      </c>
    </row>
    <row r="4372">
      <c r="D4372" t="n">
        <v>1568170</v>
      </c>
    </row>
    <row r="4373">
      <c r="D4373" t="n">
        <v>1568170</v>
      </c>
    </row>
    <row r="4374">
      <c r="D4374" t="n">
        <v>1568170</v>
      </c>
    </row>
    <row r="4375">
      <c r="D4375" t="n">
        <v>1568170</v>
      </c>
    </row>
    <row r="4376">
      <c r="D4376" t="n">
        <v>1568170</v>
      </c>
    </row>
    <row r="4377">
      <c r="D4377" t="n">
        <v>281785</v>
      </c>
    </row>
    <row r="4378">
      <c r="D4378" t="n">
        <v>281785</v>
      </c>
    </row>
    <row r="4379">
      <c r="D4379" t="n">
        <v>3718726</v>
      </c>
    </row>
    <row r="4380">
      <c r="D4380" t="n">
        <v>3718726</v>
      </c>
    </row>
    <row r="4381">
      <c r="D4381" t="n">
        <v>3548921</v>
      </c>
    </row>
    <row r="4382">
      <c r="D4382" t="n">
        <v>3548921</v>
      </c>
    </row>
    <row r="4383">
      <c r="D4383" t="n">
        <v>3500540</v>
      </c>
    </row>
    <row r="4384">
      <c r="D4384" t="n">
        <v>3500540</v>
      </c>
    </row>
    <row r="4385">
      <c r="D4385" t="n">
        <v>3500540</v>
      </c>
    </row>
    <row r="4386">
      <c r="D4386" t="n">
        <v>3501438</v>
      </c>
    </row>
    <row r="4387">
      <c r="D4387" t="n">
        <v>3501438</v>
      </c>
    </row>
    <row r="4388">
      <c r="D4388" t="n">
        <v>3502422</v>
      </c>
    </row>
    <row r="4389">
      <c r="D4389" t="n">
        <v>3502422</v>
      </c>
    </row>
    <row r="4390">
      <c r="D4390" t="n">
        <v>3502422</v>
      </c>
    </row>
    <row r="4391">
      <c r="D4391" t="n">
        <v>3502422</v>
      </c>
    </row>
    <row r="4392">
      <c r="D4392" t="n">
        <v>3502422</v>
      </c>
    </row>
    <row r="4393">
      <c r="D4393" t="n">
        <v>3545983</v>
      </c>
    </row>
    <row r="4394">
      <c r="D4394" t="n">
        <v>3545983</v>
      </c>
    </row>
    <row r="4395">
      <c r="D4395" t="n">
        <v>3502725</v>
      </c>
    </row>
    <row r="4396">
      <c r="D4396" t="n">
        <v>3502725</v>
      </c>
    </row>
    <row r="4397">
      <c r="D4397" t="n">
        <v>3502725</v>
      </c>
    </row>
    <row r="4398">
      <c r="D4398" t="n">
        <v>3502725</v>
      </c>
    </row>
    <row r="4399">
      <c r="D4399" t="n">
        <v>3502725</v>
      </c>
    </row>
    <row r="4400">
      <c r="D4400" t="n">
        <v>3502725</v>
      </c>
    </row>
    <row r="4401">
      <c r="D4401" t="n">
        <v>3502725</v>
      </c>
    </row>
    <row r="4402">
      <c r="D4402" t="n">
        <v>3502725</v>
      </c>
    </row>
    <row r="4403">
      <c r="D4403" t="n">
        <v>3502725</v>
      </c>
    </row>
    <row r="4404">
      <c r="D4404" t="n">
        <v>3502725</v>
      </c>
    </row>
    <row r="4405">
      <c r="D4405" t="n">
        <v>3502725</v>
      </c>
    </row>
    <row r="4406">
      <c r="D4406" t="n">
        <v>3502725</v>
      </c>
    </row>
    <row r="4407">
      <c r="D4407" t="n">
        <v>3502725</v>
      </c>
    </row>
    <row r="4408">
      <c r="D4408" t="n">
        <v>3502725</v>
      </c>
    </row>
    <row r="4409">
      <c r="D4409" t="n">
        <v>3502725</v>
      </c>
    </row>
    <row r="4410">
      <c r="D4410" t="n">
        <v>3499123</v>
      </c>
    </row>
    <row r="4411">
      <c r="D4411" t="n">
        <v>3772811</v>
      </c>
    </row>
    <row r="4412">
      <c r="D4412" t="n">
        <v>2427158</v>
      </c>
    </row>
    <row r="4413">
      <c r="D4413" t="n">
        <v>2427158</v>
      </c>
    </row>
    <row r="4414">
      <c r="D4414" t="n">
        <v>2427158</v>
      </c>
    </row>
    <row r="4415">
      <c r="D4415" t="n">
        <v>2427158</v>
      </c>
    </row>
    <row r="4416">
      <c r="D4416" t="n">
        <v>2427158</v>
      </c>
    </row>
    <row r="4417">
      <c r="D4417" t="n">
        <v>2427158</v>
      </c>
    </row>
    <row r="4418">
      <c r="D4418" t="n">
        <v>2427158</v>
      </c>
    </row>
    <row r="4419">
      <c r="D4419" t="n">
        <v>2427158</v>
      </c>
    </row>
    <row r="4420">
      <c r="D4420" t="n">
        <v>2427158</v>
      </c>
    </row>
    <row r="4421">
      <c r="D4421" t="n">
        <v>2427158</v>
      </c>
    </row>
    <row r="4422">
      <c r="D4422" t="n">
        <v>2427158</v>
      </c>
    </row>
    <row r="4423">
      <c r="D4423" t="n">
        <v>2427158</v>
      </c>
    </row>
    <row r="4424">
      <c r="D4424" t="n">
        <v>2427158</v>
      </c>
    </row>
    <row r="4425">
      <c r="D4425" t="n">
        <v>2427158</v>
      </c>
    </row>
    <row r="4426">
      <c r="D4426" t="n">
        <v>2427158</v>
      </c>
    </row>
    <row r="4427">
      <c r="D4427" t="n">
        <v>2427158</v>
      </c>
    </row>
    <row r="4428">
      <c r="D4428" t="n">
        <v>2427158</v>
      </c>
    </row>
    <row r="4429">
      <c r="D4429" t="n">
        <v>2427158</v>
      </c>
    </row>
    <row r="4430">
      <c r="D4430" t="n">
        <v>3780004</v>
      </c>
    </row>
    <row r="4431">
      <c r="D4431" t="n">
        <v>3780004</v>
      </c>
    </row>
    <row r="4432">
      <c r="D4432" t="n">
        <v>3780004</v>
      </c>
    </row>
    <row r="4433">
      <c r="D4433" t="n">
        <v>3780004</v>
      </c>
    </row>
    <row r="4434">
      <c r="D4434" t="n">
        <v>3775637</v>
      </c>
    </row>
    <row r="4435">
      <c r="D4435" t="n">
        <v>1940879</v>
      </c>
    </row>
    <row r="4436">
      <c r="D4436" t="n">
        <v>1940879</v>
      </c>
    </row>
    <row r="4437">
      <c r="D4437" t="n">
        <v>1940879</v>
      </c>
    </row>
    <row r="4438">
      <c r="D4438" t="n">
        <v>1940879</v>
      </c>
    </row>
    <row r="4439">
      <c r="D4439" t="n">
        <v>1940879</v>
      </c>
    </row>
    <row r="4440">
      <c r="D4440" t="n">
        <v>1940879</v>
      </c>
    </row>
    <row r="4441">
      <c r="D4441" t="n">
        <v>1940879</v>
      </c>
    </row>
    <row r="4442">
      <c r="D4442" t="n">
        <v>1940879</v>
      </c>
    </row>
    <row r="4443">
      <c r="D4443" t="n">
        <v>1940879</v>
      </c>
    </row>
    <row r="4444">
      <c r="D4444" t="n">
        <v>1940879</v>
      </c>
    </row>
    <row r="4445">
      <c r="D4445" t="n">
        <v>3780005</v>
      </c>
    </row>
    <row r="4446">
      <c r="D4446" t="n">
        <v>3780005</v>
      </c>
    </row>
    <row r="4447">
      <c r="D4447" t="n">
        <v>3775638</v>
      </c>
    </row>
    <row r="4448">
      <c r="D4448" t="n">
        <v>2430128</v>
      </c>
    </row>
    <row r="4449">
      <c r="D4449" t="n">
        <v>2430128</v>
      </c>
    </row>
    <row r="4450">
      <c r="D4450" t="n">
        <v>2430128</v>
      </c>
    </row>
    <row r="4451">
      <c r="D4451" t="n">
        <v>2430128</v>
      </c>
    </row>
    <row r="4452">
      <c r="D4452" t="n">
        <v>2430128</v>
      </c>
    </row>
    <row r="4453">
      <c r="D4453" t="n">
        <v>2430128</v>
      </c>
    </row>
    <row r="4454">
      <c r="D4454" t="n">
        <v>2430128</v>
      </c>
    </row>
    <row r="4455">
      <c r="D4455" t="n">
        <v>2430128</v>
      </c>
    </row>
    <row r="4456">
      <c r="D4456" t="n">
        <v>2430128</v>
      </c>
    </row>
    <row r="4457">
      <c r="D4457" t="n">
        <v>2430128</v>
      </c>
    </row>
    <row r="4458">
      <c r="D4458" t="n">
        <v>2325414</v>
      </c>
    </row>
    <row r="4459">
      <c r="D4459" t="n">
        <v>2325414</v>
      </c>
    </row>
    <row r="4460">
      <c r="D4460" t="n">
        <v>3219709</v>
      </c>
    </row>
    <row r="4461">
      <c r="D4461" t="n">
        <v>1940881</v>
      </c>
    </row>
    <row r="4462">
      <c r="D4462" t="n">
        <v>1940881</v>
      </c>
    </row>
    <row r="4463">
      <c r="D4463" t="n">
        <v>1940881</v>
      </c>
    </row>
    <row r="4464">
      <c r="D4464" t="n">
        <v>1940881</v>
      </c>
    </row>
    <row r="4465">
      <c r="D4465" t="n">
        <v>1940881</v>
      </c>
    </row>
    <row r="4466">
      <c r="D4466" t="n">
        <v>1940881</v>
      </c>
    </row>
    <row r="4467">
      <c r="D4467" t="n">
        <v>1938127</v>
      </c>
    </row>
    <row r="4468">
      <c r="D4468" t="n">
        <v>1938127</v>
      </c>
    </row>
    <row r="4469">
      <c r="D4469" t="n">
        <v>468843</v>
      </c>
    </row>
    <row r="4470">
      <c r="D4470" t="n">
        <v>468843</v>
      </c>
    </row>
    <row r="4471">
      <c r="D4471" t="n">
        <v>468843</v>
      </c>
    </row>
    <row r="4472">
      <c r="D4472" t="n">
        <v>468843</v>
      </c>
    </row>
    <row r="4473">
      <c r="D4473" t="n">
        <v>1931849</v>
      </c>
    </row>
    <row r="4474">
      <c r="D4474" t="n">
        <v>1931849</v>
      </c>
    </row>
    <row r="4475">
      <c r="D4475" t="n">
        <v>1931849</v>
      </c>
    </row>
    <row r="4476">
      <c r="D4476" t="n">
        <v>3500641</v>
      </c>
    </row>
    <row r="4477">
      <c r="D4477" t="n">
        <v>3531648</v>
      </c>
    </row>
    <row r="4478">
      <c r="D4478" t="n">
        <v>3531648</v>
      </c>
    </row>
    <row r="4479">
      <c r="D4479" t="n">
        <v>3531648</v>
      </c>
    </row>
    <row r="4480">
      <c r="D4480" t="n">
        <v>3531648</v>
      </c>
    </row>
    <row r="4481">
      <c r="D4481" t="n">
        <v>3531648</v>
      </c>
    </row>
    <row r="4482">
      <c r="D4482" t="n">
        <v>3531648</v>
      </c>
    </row>
    <row r="4483">
      <c r="D4483" t="n">
        <v>3531648</v>
      </c>
    </row>
    <row r="4484">
      <c r="D4484" t="n">
        <v>3531648</v>
      </c>
    </row>
    <row r="4485">
      <c r="D4485" t="n">
        <v>3531648</v>
      </c>
    </row>
    <row r="4486">
      <c r="D4486" t="n">
        <v>3531648</v>
      </c>
    </row>
    <row r="4487">
      <c r="D4487" t="n">
        <v>3531648</v>
      </c>
    </row>
    <row r="4488">
      <c r="D4488" t="n">
        <v>3531648</v>
      </c>
    </row>
    <row r="4489">
      <c r="D4489" t="n">
        <v>3531648</v>
      </c>
    </row>
    <row r="4490">
      <c r="D4490" t="n">
        <v>3531648</v>
      </c>
    </row>
    <row r="4491">
      <c r="D4491" t="n">
        <v>1932730</v>
      </c>
    </row>
    <row r="4492">
      <c r="D4492" t="n">
        <v>3508740</v>
      </c>
    </row>
    <row r="4493">
      <c r="D4493" t="n">
        <v>3508740</v>
      </c>
    </row>
    <row r="4494">
      <c r="D4494" t="n">
        <v>2353927</v>
      </c>
    </row>
    <row r="4495">
      <c r="D4495" t="n">
        <v>2353927</v>
      </c>
    </row>
    <row r="4496">
      <c r="D4496" t="n">
        <v>2353927</v>
      </c>
    </row>
    <row r="4497">
      <c r="D4497" t="n">
        <v>2353927</v>
      </c>
    </row>
    <row r="4498">
      <c r="D4498" t="n">
        <v>2353927</v>
      </c>
    </row>
    <row r="4499">
      <c r="D4499" t="n">
        <v>1399336</v>
      </c>
    </row>
    <row r="4500">
      <c r="D4500" t="n">
        <v>2396464</v>
      </c>
    </row>
    <row r="4501">
      <c r="D4501" t="n">
        <v>2396464</v>
      </c>
    </row>
    <row r="4502">
      <c r="D4502" t="n">
        <v>2396464</v>
      </c>
    </row>
    <row r="4503">
      <c r="D4503" t="n">
        <v>3711330</v>
      </c>
    </row>
    <row r="4504">
      <c r="D4504" t="n">
        <v>3711330</v>
      </c>
    </row>
    <row r="4505">
      <c r="D4505" t="n">
        <v>3711330</v>
      </c>
    </row>
    <row r="4506">
      <c r="D4506" t="n">
        <v>1474091</v>
      </c>
    </row>
    <row r="4507">
      <c r="D4507" t="n">
        <v>1474091</v>
      </c>
    </row>
    <row r="4508">
      <c r="D4508" t="n">
        <v>1474091</v>
      </c>
    </row>
    <row r="4509">
      <c r="D4509" t="n">
        <v>277172</v>
      </c>
    </row>
    <row r="4510">
      <c r="D4510" t="n">
        <v>2427938</v>
      </c>
    </row>
    <row r="4511">
      <c r="D4511" t="n">
        <v>3727461</v>
      </c>
    </row>
    <row r="4512">
      <c r="D4512" t="n">
        <v>3727461</v>
      </c>
    </row>
    <row r="4513">
      <c r="D4513" t="n">
        <v>3727461</v>
      </c>
    </row>
    <row r="4514">
      <c r="D4514" t="n">
        <v>3727461</v>
      </c>
    </row>
    <row r="4515">
      <c r="D4515" t="n">
        <v>3727461</v>
      </c>
    </row>
    <row r="4516">
      <c r="D4516" t="n">
        <v>3616160</v>
      </c>
    </row>
    <row r="4517">
      <c r="D4517" t="n">
        <v>3616160</v>
      </c>
    </row>
    <row r="4518">
      <c r="D4518" t="n">
        <v>3616160</v>
      </c>
    </row>
    <row r="4519">
      <c r="D4519" t="n">
        <v>3616160</v>
      </c>
    </row>
    <row r="4520">
      <c r="D4520" t="n">
        <v>3616160</v>
      </c>
    </row>
    <row r="4521">
      <c r="D4521" t="n">
        <v>460176</v>
      </c>
    </row>
    <row r="4522">
      <c r="D4522" t="n">
        <v>460176</v>
      </c>
    </row>
    <row r="4523">
      <c r="D4523" t="n">
        <v>460176</v>
      </c>
    </row>
    <row r="4524">
      <c r="D4524" t="n">
        <v>3182342</v>
      </c>
    </row>
    <row r="4525">
      <c r="D4525" t="n">
        <v>3182342</v>
      </c>
    </row>
    <row r="4526">
      <c r="D4526" t="n">
        <v>3182342</v>
      </c>
    </row>
    <row r="4527">
      <c r="D4527" t="n">
        <v>3182342</v>
      </c>
    </row>
    <row r="4528">
      <c r="D4528" t="n">
        <v>3157631</v>
      </c>
    </row>
    <row r="4529">
      <c r="D4529" t="n">
        <v>3157631</v>
      </c>
    </row>
    <row r="4530">
      <c r="D4530" t="n">
        <v>3157631</v>
      </c>
    </row>
    <row r="4531">
      <c r="D4531" t="n">
        <v>3157631</v>
      </c>
    </row>
    <row r="4532">
      <c r="D4532" t="n">
        <v>3732177</v>
      </c>
    </row>
    <row r="4533">
      <c r="D4533" t="n">
        <v>3732177</v>
      </c>
    </row>
    <row r="4534">
      <c r="D4534" t="n">
        <v>3732177</v>
      </c>
    </row>
    <row r="4535">
      <c r="D4535" t="n">
        <v>3732177</v>
      </c>
    </row>
    <row r="4536">
      <c r="D4536" t="n">
        <v>3732177</v>
      </c>
    </row>
    <row r="4537">
      <c r="D4537" t="n">
        <v>3732177</v>
      </c>
    </row>
    <row r="4538">
      <c r="D4538" t="n">
        <v>3732177</v>
      </c>
    </row>
    <row r="4539">
      <c r="D4539" t="n">
        <v>3768906</v>
      </c>
    </row>
    <row r="4540">
      <c r="D4540" t="n">
        <v>3768906</v>
      </c>
    </row>
    <row r="4541">
      <c r="D4541" t="n">
        <v>2440972</v>
      </c>
    </row>
    <row r="4542">
      <c r="D4542" t="n">
        <v>2440972</v>
      </c>
    </row>
    <row r="4543">
      <c r="D4543" t="n">
        <v>2440972</v>
      </c>
    </row>
    <row r="4544">
      <c r="D4544" t="n">
        <v>2440972</v>
      </c>
    </row>
    <row r="4545">
      <c r="D4545" t="n">
        <v>2440972</v>
      </c>
    </row>
    <row r="4546">
      <c r="D4546" t="n">
        <v>2440972</v>
      </c>
    </row>
    <row r="4547">
      <c r="D4547" t="n">
        <v>2440972</v>
      </c>
    </row>
    <row r="4548">
      <c r="D4548" t="n">
        <v>2440972</v>
      </c>
    </row>
    <row r="4549">
      <c r="D4549" t="n">
        <v>2440972</v>
      </c>
    </row>
    <row r="4550">
      <c r="D4550" t="n">
        <v>2440972</v>
      </c>
    </row>
    <row r="4551">
      <c r="D4551" t="n">
        <v>2440972</v>
      </c>
    </row>
    <row r="4552">
      <c r="D4552" t="n">
        <v>2440972</v>
      </c>
    </row>
    <row r="4553">
      <c r="D4553" t="n">
        <v>2440972</v>
      </c>
    </row>
    <row r="4554">
      <c r="D4554" t="n">
        <v>3731697</v>
      </c>
    </row>
    <row r="4555">
      <c r="D4555" t="n">
        <v>3731697</v>
      </c>
    </row>
    <row r="4556">
      <c r="D4556" t="n">
        <v>3731697</v>
      </c>
    </row>
    <row r="4557">
      <c r="D4557" t="n">
        <v>3731697</v>
      </c>
    </row>
    <row r="4558">
      <c r="D4558" t="n">
        <v>3731697</v>
      </c>
    </row>
    <row r="4559">
      <c r="D4559" t="n">
        <v>3731697</v>
      </c>
    </row>
    <row r="4560">
      <c r="D4560" t="n">
        <v>3731697</v>
      </c>
    </row>
    <row r="4561">
      <c r="D4561" t="n">
        <v>1174860</v>
      </c>
    </row>
    <row r="4562">
      <c r="D4562" t="n">
        <v>1174860</v>
      </c>
    </row>
    <row r="4563">
      <c r="D4563" t="n">
        <v>1174860</v>
      </c>
    </row>
    <row r="4564">
      <c r="D4564" t="n">
        <v>1174860</v>
      </c>
    </row>
    <row r="4565">
      <c r="D4565" t="n">
        <v>1174860</v>
      </c>
    </row>
    <row r="4566">
      <c r="D4566" t="n">
        <v>1940911</v>
      </c>
    </row>
    <row r="4567">
      <c r="D4567" t="n">
        <v>1940911</v>
      </c>
    </row>
    <row r="4568">
      <c r="D4568" t="n">
        <v>1940911</v>
      </c>
    </row>
    <row r="4569">
      <c r="D4569" t="n">
        <v>1940911</v>
      </c>
    </row>
    <row r="4570">
      <c r="D4570" t="n">
        <v>1940911</v>
      </c>
    </row>
    <row r="4571">
      <c r="D4571" t="n">
        <v>1940911</v>
      </c>
    </row>
    <row r="4572">
      <c r="D4572" t="n">
        <v>1940911</v>
      </c>
    </row>
    <row r="4573">
      <c r="D4573" t="n">
        <v>1940911</v>
      </c>
    </row>
    <row r="4574">
      <c r="D4574" t="n">
        <v>1940911</v>
      </c>
    </row>
    <row r="4575">
      <c r="D4575" t="n">
        <v>1940911</v>
      </c>
    </row>
    <row r="4576">
      <c r="D4576" t="n">
        <v>1940911</v>
      </c>
    </row>
    <row r="4577">
      <c r="D4577" t="n">
        <v>1940911</v>
      </c>
    </row>
    <row r="4578">
      <c r="D4578" t="n">
        <v>1940911</v>
      </c>
    </row>
    <row r="4579">
      <c r="D4579" t="n">
        <v>1940911</v>
      </c>
    </row>
    <row r="4580">
      <c r="D4580" t="n">
        <v>1940911</v>
      </c>
    </row>
    <row r="4581">
      <c r="D4581" t="n">
        <v>1940911</v>
      </c>
    </row>
    <row r="4582">
      <c r="D4582" t="n">
        <v>3542858</v>
      </c>
    </row>
    <row r="4583">
      <c r="D4583" t="n">
        <v>1342334</v>
      </c>
    </row>
    <row r="4584">
      <c r="D4584" t="n">
        <v>1342334</v>
      </c>
    </row>
    <row r="4585">
      <c r="D4585" t="n">
        <v>1248570</v>
      </c>
    </row>
    <row r="4586">
      <c r="D4586" t="n">
        <v>3542857</v>
      </c>
    </row>
    <row r="4587">
      <c r="D4587" t="n">
        <v>3542857</v>
      </c>
    </row>
    <row r="4588">
      <c r="D4588" t="n">
        <v>3542857</v>
      </c>
    </row>
    <row r="4589">
      <c r="D4589" t="n">
        <v>3542857</v>
      </c>
    </row>
    <row r="4590">
      <c r="D4590" t="n">
        <v>3542857</v>
      </c>
    </row>
    <row r="4591">
      <c r="D4591" t="n">
        <v>3542857</v>
      </c>
    </row>
    <row r="4592">
      <c r="D4592" t="n">
        <v>3542857</v>
      </c>
    </row>
    <row r="4593">
      <c r="D4593" t="n">
        <v>3542857</v>
      </c>
    </row>
    <row r="4594">
      <c r="D4594" t="n">
        <v>3542857</v>
      </c>
    </row>
    <row r="4595">
      <c r="D4595" t="n">
        <v>1940913</v>
      </c>
    </row>
    <row r="4596">
      <c r="D4596" t="n">
        <v>1940913</v>
      </c>
    </row>
    <row r="4597">
      <c r="D4597" t="n">
        <v>3500277</v>
      </c>
    </row>
    <row r="4598">
      <c r="D4598" t="n">
        <v>3500277</v>
      </c>
    </row>
    <row r="4599">
      <c r="D4599" t="n">
        <v>3500277</v>
      </c>
    </row>
    <row r="4600">
      <c r="D4600" t="n">
        <v>3500277</v>
      </c>
    </row>
    <row r="4601">
      <c r="D4601" t="n">
        <v>3500277</v>
      </c>
    </row>
    <row r="4602">
      <c r="D4602" t="n">
        <v>3500955</v>
      </c>
    </row>
    <row r="4603">
      <c r="D4603" t="n">
        <v>3500955</v>
      </c>
    </row>
    <row r="4604">
      <c r="D4604" t="n">
        <v>3497967</v>
      </c>
    </row>
    <row r="4605">
      <c r="D4605" t="n">
        <v>3501047</v>
      </c>
    </row>
    <row r="4606">
      <c r="D4606" t="n">
        <v>3501047</v>
      </c>
    </row>
    <row r="4607">
      <c r="D4607" t="n">
        <v>3501047</v>
      </c>
    </row>
    <row r="4608">
      <c r="D4608" t="n">
        <v>3501047</v>
      </c>
    </row>
    <row r="4609">
      <c r="D4609" t="n">
        <v>3501047</v>
      </c>
    </row>
    <row r="4610">
      <c r="D4610" t="n">
        <v>3501047</v>
      </c>
    </row>
    <row r="4611">
      <c r="D4611" t="n">
        <v>3501047</v>
      </c>
    </row>
    <row r="4612">
      <c r="D4612" t="n">
        <v>3501047</v>
      </c>
    </row>
    <row r="4613">
      <c r="D4613" t="n">
        <v>3501047</v>
      </c>
    </row>
    <row r="4614">
      <c r="D4614" t="n">
        <v>3501047</v>
      </c>
    </row>
    <row r="4615">
      <c r="D4615" t="n">
        <v>3501047</v>
      </c>
    </row>
    <row r="4616">
      <c r="D4616" t="n">
        <v>3501047</v>
      </c>
    </row>
    <row r="4617">
      <c r="D4617" t="n">
        <v>3501047</v>
      </c>
    </row>
    <row r="4618">
      <c r="D4618" t="n">
        <v>3501047</v>
      </c>
    </row>
    <row r="4619">
      <c r="D4619" t="n">
        <v>2356405</v>
      </c>
    </row>
    <row r="4620">
      <c r="D4620" t="n">
        <v>2356405</v>
      </c>
    </row>
    <row r="4621">
      <c r="D4621" t="n">
        <v>2356405</v>
      </c>
    </row>
    <row r="4622">
      <c r="D4622" t="n">
        <v>2356405</v>
      </c>
    </row>
    <row r="4623">
      <c r="D4623" t="n">
        <v>2356405</v>
      </c>
    </row>
    <row r="4624">
      <c r="D4624" t="n">
        <v>3500626</v>
      </c>
    </row>
    <row r="4625">
      <c r="D4625" t="n">
        <v>3520581</v>
      </c>
    </row>
    <row r="4626">
      <c r="D4626" t="n">
        <v>3520581</v>
      </c>
    </row>
    <row r="4627">
      <c r="D4627" t="n">
        <v>3520581</v>
      </c>
    </row>
    <row r="4628">
      <c r="D4628" t="n">
        <v>3520581</v>
      </c>
    </row>
    <row r="4629">
      <c r="D4629" t="n">
        <v>3515489</v>
      </c>
    </row>
    <row r="4630">
      <c r="D4630" t="n">
        <v>3520439</v>
      </c>
    </row>
    <row r="4631">
      <c r="D4631" t="n">
        <v>3893101</v>
      </c>
    </row>
    <row r="4632">
      <c r="D4632" t="n">
        <v>3136139</v>
      </c>
    </row>
    <row r="4633">
      <c r="D4633" t="n">
        <v>3597590</v>
      </c>
    </row>
    <row r="4634">
      <c r="D4634" t="n">
        <v>3702886</v>
      </c>
    </row>
    <row r="4635">
      <c r="D4635" t="n">
        <v>3501105</v>
      </c>
    </row>
    <row r="4636">
      <c r="D4636" t="n">
        <v>3501105</v>
      </c>
    </row>
    <row r="4637">
      <c r="D4637" t="n">
        <v>3501105</v>
      </c>
    </row>
    <row r="4638">
      <c r="D4638" t="n">
        <v>3501105</v>
      </c>
    </row>
    <row r="4639">
      <c r="D4639" t="n">
        <v>3501105</v>
      </c>
    </row>
    <row r="4640">
      <c r="D4640" t="n">
        <v>3501105</v>
      </c>
    </row>
    <row r="4641">
      <c r="D4641" t="n">
        <v>3501105</v>
      </c>
    </row>
    <row r="4642">
      <c r="D4642" t="n">
        <v>3501105</v>
      </c>
    </row>
    <row r="4643">
      <c r="D4643" t="n">
        <v>2412743</v>
      </c>
    </row>
    <row r="4644">
      <c r="D4644" t="n">
        <v>3502342</v>
      </c>
    </row>
    <row r="4645">
      <c r="D4645" t="n">
        <v>3781647</v>
      </c>
    </row>
    <row r="4646">
      <c r="D4646" t="n">
        <v>3781647</v>
      </c>
    </row>
    <row r="4647">
      <c r="D4647" t="n">
        <v>3781647</v>
      </c>
    </row>
    <row r="4648">
      <c r="D4648" t="n">
        <v>3781647</v>
      </c>
    </row>
    <row r="4649">
      <c r="D4649" t="n">
        <v>2420716</v>
      </c>
    </row>
    <row r="4650">
      <c r="D4650" t="n">
        <v>2420716</v>
      </c>
    </row>
    <row r="4651">
      <c r="D4651" t="n">
        <v>2420716</v>
      </c>
    </row>
    <row r="4652">
      <c r="D4652" t="n">
        <v>2420716</v>
      </c>
    </row>
    <row r="4653">
      <c r="D4653" t="n">
        <v>2420716</v>
      </c>
    </row>
    <row r="4654">
      <c r="D4654" t="n">
        <v>2420716</v>
      </c>
    </row>
    <row r="4655">
      <c r="D4655" t="n">
        <v>2420716</v>
      </c>
    </row>
    <row r="4656">
      <c r="D4656" t="n">
        <v>2420716</v>
      </c>
    </row>
    <row r="4657">
      <c r="D4657" t="n">
        <v>2420716</v>
      </c>
    </row>
    <row r="4658">
      <c r="D4658" t="n">
        <v>2420716</v>
      </c>
    </row>
    <row r="4659">
      <c r="D4659" t="n">
        <v>2420716</v>
      </c>
    </row>
    <row r="4660">
      <c r="D4660" t="n">
        <v>3164112</v>
      </c>
    </row>
    <row r="4661">
      <c r="D4661" t="n">
        <v>3164112</v>
      </c>
    </row>
    <row r="4662">
      <c r="D4662" t="n">
        <v>3164112</v>
      </c>
    </row>
    <row r="4663">
      <c r="D4663" t="n">
        <v>3164112</v>
      </c>
    </row>
    <row r="4664">
      <c r="D4664" t="n">
        <v>3164112</v>
      </c>
    </row>
    <row r="4665">
      <c r="D4665" t="n">
        <v>3164112</v>
      </c>
    </row>
    <row r="4666">
      <c r="D4666" t="n">
        <v>3164112</v>
      </c>
    </row>
    <row r="4667">
      <c r="D4667" t="n">
        <v>3164112</v>
      </c>
    </row>
    <row r="4668">
      <c r="D4668" t="n">
        <v>3164112</v>
      </c>
    </row>
    <row r="4669">
      <c r="D4669" t="n">
        <v>3164112</v>
      </c>
    </row>
    <row r="4670">
      <c r="D4670" t="n">
        <v>3164112</v>
      </c>
    </row>
    <row r="4671">
      <c r="D4671" t="n">
        <v>3164112</v>
      </c>
    </row>
    <row r="4672">
      <c r="D4672" t="n">
        <v>3781649</v>
      </c>
    </row>
    <row r="4673">
      <c r="D4673" t="n">
        <v>3781649</v>
      </c>
    </row>
    <row r="4674">
      <c r="D4674" t="n">
        <v>2424885</v>
      </c>
    </row>
    <row r="4675">
      <c r="D4675" t="n">
        <v>3444065</v>
      </c>
    </row>
    <row r="4676">
      <c r="D4676" t="n">
        <v>1940925</v>
      </c>
    </row>
    <row r="4677">
      <c r="D4677" t="n">
        <v>1940925</v>
      </c>
    </row>
    <row r="4678">
      <c r="D4678" t="n">
        <v>1931843</v>
      </c>
    </row>
    <row r="4679">
      <c r="D4679" t="n">
        <v>3662752</v>
      </c>
    </row>
    <row r="4680">
      <c r="D4680" t="n">
        <v>3768903</v>
      </c>
    </row>
    <row r="4681">
      <c r="D4681" t="n">
        <v>3768903</v>
      </c>
    </row>
    <row r="4682">
      <c r="D4682" t="n">
        <v>3702875</v>
      </c>
    </row>
    <row r="4683">
      <c r="D4683" t="n">
        <v>3702875</v>
      </c>
    </row>
    <row r="4684">
      <c r="D4684" t="n">
        <v>3702875</v>
      </c>
    </row>
    <row r="4685">
      <c r="D4685" t="n">
        <v>3702875</v>
      </c>
    </row>
    <row r="4686">
      <c r="D4686" t="n">
        <v>3702875</v>
      </c>
    </row>
    <row r="4687">
      <c r="D4687" t="n">
        <v>3702875</v>
      </c>
    </row>
    <row r="4688">
      <c r="D4688" t="n">
        <v>3594528</v>
      </c>
    </row>
    <row r="4689">
      <c r="D4689" t="n">
        <v>3594528</v>
      </c>
    </row>
    <row r="4690">
      <c r="D4690" t="n">
        <v>3594528</v>
      </c>
    </row>
    <row r="4691">
      <c r="D4691" t="n">
        <v>1470103</v>
      </c>
    </row>
    <row r="4692">
      <c r="D4692" t="n">
        <v>1470103</v>
      </c>
    </row>
    <row r="4693">
      <c r="D4693" t="n">
        <v>1470103</v>
      </c>
    </row>
    <row r="4694">
      <c r="D4694" t="n">
        <v>1470103</v>
      </c>
    </row>
    <row r="4695">
      <c r="D4695" t="n">
        <v>1470103</v>
      </c>
    </row>
    <row r="4696">
      <c r="D4696" t="n">
        <v>2429059</v>
      </c>
    </row>
    <row r="4697">
      <c r="D4697" t="n">
        <v>2429059</v>
      </c>
    </row>
    <row r="4698">
      <c r="D4698" t="n">
        <v>2429059</v>
      </c>
    </row>
    <row r="4699">
      <c r="D4699" t="n">
        <v>424601</v>
      </c>
    </row>
    <row r="4700">
      <c r="D4700" t="n">
        <v>424601</v>
      </c>
    </row>
    <row r="4701">
      <c r="D4701" t="n">
        <v>424601</v>
      </c>
    </row>
    <row r="4702">
      <c r="D4702" t="n">
        <v>424601</v>
      </c>
    </row>
    <row r="4703">
      <c r="D4703" t="n">
        <v>1931860</v>
      </c>
    </row>
    <row r="4704">
      <c r="D4704" t="n">
        <v>3595229</v>
      </c>
    </row>
  </sheetData>
  <autoFilter ref="A1:BC386"/>
  <conditionalFormatting sqref="B1:B1048576 E1:E1048576">
    <cfRule type="duplicateValues" priority="6" dxfId="0"/>
  </conditionalFormatting>
  <conditionalFormatting sqref="I1:J1048576">
    <cfRule type="duplicateValues" priority="5" dxfId="0"/>
  </conditionalFormatting>
  <conditionalFormatting sqref="Y1:Y1048576 AE1:AE1048576">
    <cfRule type="duplicateValues" priority="4" dxfId="0"/>
  </conditionalFormatting>
  <conditionalFormatting sqref="AJ1:AK1048576">
    <cfRule type="duplicateValues" priority="3" dxfId="0"/>
  </conditionalFormatting>
  <conditionalFormatting sqref="AT1:AT1048576 AW1:AW1048576">
    <cfRule type="duplicateValues" priority="2" dxfId="0"/>
  </conditionalFormatting>
  <conditionalFormatting sqref="BB1:BC1048576">
    <cfRule type="duplicateValues" priority="1" dxfId="0"/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>
  <sheetPr codeName="Sheet40">
    <outlinePr summaryBelow="1" summaryRight="1"/>
    <pageSetUpPr/>
  </sheetPr>
  <dimension ref="A2:AN689"/>
  <sheetViews>
    <sheetView topLeftCell="V2" zoomScaleNormal="100" workbookViewId="0">
      <pane ySplit="5" topLeftCell="A20" activePane="bottomLeft" state="frozen"/>
      <selection activeCell="D2" sqref="D2"/>
      <selection pane="bottomLeft" activeCell="V20" sqref="V20"/>
    </sheetView>
  </sheetViews>
  <sheetFormatPr baseColWidth="8" defaultColWidth="8.85546875" defaultRowHeight="15"/>
  <cols>
    <col width="9" bestFit="1" customWidth="1" style="15" min="1" max="1"/>
    <col width="13.85546875" customWidth="1" style="15" min="2" max="2"/>
    <col width="33.7109375" bestFit="1" customWidth="1" style="15" min="3" max="3"/>
    <col hidden="1" width="19.5703125" customWidth="1" style="15" min="4" max="4"/>
    <col width="18" customWidth="1" style="15" min="5" max="5"/>
    <col width="19.28515625" bestFit="1" customWidth="1" style="10" min="6" max="6"/>
    <col width="45.7109375" customWidth="1" style="15" min="7" max="7"/>
    <col width="13" bestFit="1" customWidth="1" style="15" min="8" max="8"/>
    <col hidden="1" width="11.28515625" customWidth="1" style="15" min="9" max="15"/>
    <col hidden="1" width="37.140625" customWidth="1" style="15" min="16" max="18"/>
    <col width="13.140625" customWidth="1" style="10" min="19" max="19"/>
    <col width="9" bestFit="1" customWidth="1" style="10" min="20" max="21"/>
    <col width="11.140625" customWidth="1" style="10" min="22" max="22"/>
    <col width="10" customWidth="1" style="10" min="23" max="23"/>
    <col hidden="1" width="10" customWidth="1" style="10" min="24" max="24"/>
    <col width="11.85546875" customWidth="1" style="19" min="25" max="25"/>
    <col width="11.5703125" customWidth="1" style="15" min="26" max="26"/>
    <col width="13.7109375" customWidth="1" style="15" min="27" max="27"/>
    <col width="17.42578125" customWidth="1" style="15" min="28" max="28"/>
    <col width="17.140625" customWidth="1" style="15" min="29" max="29"/>
    <col width="21.7109375" customWidth="1" style="15" min="30" max="31"/>
    <col width="15.7109375" customWidth="1" style="15" min="32" max="33"/>
    <col width="28.28515625" customWidth="1" style="15" min="34" max="34"/>
    <col width="12.7109375" customWidth="1" style="15" min="35" max="35"/>
    <col width="11" bestFit="1" customWidth="1" style="15" min="36" max="36"/>
    <col width="8.85546875" customWidth="1" style="15" min="37" max="16384"/>
  </cols>
  <sheetData>
    <row r="2" ht="18.75" customHeight="1" s="584">
      <c r="A2" s="11" t="n"/>
      <c r="B2" s="11" t="n"/>
      <c r="C2" s="11" t="n"/>
      <c r="D2" s="11" t="n"/>
      <c r="E2" s="11" t="n"/>
      <c r="F2" s="8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8" t="n"/>
      <c r="T2" s="12" t="n"/>
      <c r="U2" s="12" t="n"/>
      <c r="V2" s="12" t="n"/>
      <c r="W2" s="13" t="n"/>
      <c r="X2" s="13" t="n"/>
      <c r="Y2" s="20">
        <f>SUBTOTAL(9,Y4:Y1048576)</f>
        <v/>
      </c>
      <c r="Z2" s="20">
        <f>SUBTOTAL(9,Z4:Z1048576)</f>
        <v/>
      </c>
      <c r="AA2" s="20">
        <f>SUBTOTAL(9,AA4:AA1048576)</f>
        <v/>
      </c>
      <c r="AB2" s="21">
        <f>SUBTOTAL(9,AB4:AB1048576)</f>
        <v/>
      </c>
      <c r="AC2" s="21">
        <f>SUBTOTAL(9,AC4:AC1048576)</f>
        <v/>
      </c>
      <c r="AD2" s="21">
        <f>SUBTOTAL(9,AD4:AD1048576)</f>
        <v/>
      </c>
      <c r="AE2" s="21" t="n"/>
      <c r="AF2" s="14">
        <f>SUBTOTAL(9,AF4:AF1048576)</f>
        <v/>
      </c>
      <c r="AG2" s="14" t="n"/>
      <c r="AH2" s="14">
        <f>SUBTOTAL(9,AH4:AH1048576)</f>
        <v/>
      </c>
      <c r="AI2" s="11" t="n"/>
    </row>
    <row r="3" ht="23.45" customHeight="1" s="584">
      <c r="A3" s="31" t="inlineStr">
        <is>
          <t>SNO</t>
        </is>
      </c>
      <c r="B3" s="32" t="inlineStr">
        <is>
          <t>RM Loaction</t>
        </is>
      </c>
      <c r="C3" s="33" t="inlineStr">
        <is>
          <t>CUSTOMER NAME</t>
        </is>
      </c>
      <c r="D3" s="33" t="inlineStr">
        <is>
          <t>Helper Customer</t>
        </is>
      </c>
      <c r="E3" s="34" t="inlineStr">
        <is>
          <t>CUSTOMER CODE</t>
        </is>
      </c>
      <c r="F3" s="35" t="inlineStr">
        <is>
          <t>MATERIAL NO</t>
        </is>
      </c>
      <c r="G3" s="36" t="inlineStr">
        <is>
          <t>MATERIAL DESCRIPTION</t>
        </is>
      </c>
      <c r="H3" s="37" t="inlineStr">
        <is>
          <t>GRADE</t>
        </is>
      </c>
      <c r="I3" s="37" t="inlineStr">
        <is>
          <t>Annealed/Unannealed</t>
        </is>
      </c>
      <c r="J3" s="37" t="inlineStr">
        <is>
          <t>FC/NFC</t>
        </is>
      </c>
      <c r="K3" s="37" t="inlineStr">
        <is>
          <t>HR/CR</t>
        </is>
      </c>
      <c r="L3" s="37" t="inlineStr">
        <is>
          <t>HR/CR Check</t>
        </is>
      </c>
      <c r="M3" s="37" t="inlineStr">
        <is>
          <t xml:space="preserve">Chamferring </t>
        </is>
      </c>
      <c r="N3" s="37" t="inlineStr">
        <is>
          <t>Angle Cut</t>
        </is>
      </c>
      <c r="O3" s="37" t="inlineStr">
        <is>
          <t>Surface Critical</t>
        </is>
      </c>
      <c r="P3" s="37" t="inlineStr">
        <is>
          <t>Bucket</t>
        </is>
      </c>
      <c r="Q3" s="37" t="inlineStr">
        <is>
          <t>CTL Bucket</t>
        </is>
      </c>
      <c r="R3" s="37" t="inlineStr">
        <is>
          <t>Check if CTL bucket is in sales sheet or not</t>
        </is>
      </c>
      <c r="S3" s="38" t="inlineStr">
        <is>
          <t>ACTUAL OD</t>
        </is>
      </c>
      <c r="T3" s="38" t="inlineStr">
        <is>
          <t>OD</t>
        </is>
      </c>
      <c r="U3" s="38" t="inlineStr">
        <is>
          <t>ID</t>
        </is>
      </c>
      <c r="V3" s="38" t="inlineStr">
        <is>
          <t>TICKNESS</t>
        </is>
      </c>
      <c r="W3" s="38" t="inlineStr">
        <is>
          <t>LENGTH</t>
        </is>
      </c>
      <c r="X3" s="38" t="inlineStr">
        <is>
          <t>UoM</t>
        </is>
      </c>
      <c r="Y3" s="39" t="inlineStr">
        <is>
          <t>SCHEDULE</t>
        </is>
      </c>
      <c r="Z3" s="40" t="inlineStr">
        <is>
          <t>DISPATCH</t>
        </is>
      </c>
      <c r="AA3" s="41" t="inlineStr">
        <is>
          <t>BAL IN NOS</t>
        </is>
      </c>
      <c r="AB3" s="104" t="inlineStr">
        <is>
          <t>SCHEDULE IN MT</t>
        </is>
      </c>
      <c r="AC3" s="104" t="inlineStr">
        <is>
          <t>DISPATCH MT</t>
        </is>
      </c>
      <c r="AD3" s="104" t="inlineStr">
        <is>
          <t>BALANCE FOR DISP</t>
        </is>
      </c>
      <c r="AE3" s="104" t="inlineStr">
        <is>
          <t>CTL stock Numbers</t>
        </is>
      </c>
      <c r="AF3" s="104" t="inlineStr">
        <is>
          <t>CTL Stock</t>
        </is>
      </c>
      <c r="AG3" s="104" t="inlineStr">
        <is>
          <t>LL Stock</t>
        </is>
      </c>
      <c r="AH3" s="105" t="inlineStr">
        <is>
          <t>BALANCE REQUIRED IN MT</t>
        </is>
      </c>
      <c r="AI3" s="117" t="inlineStr">
        <is>
          <t>% COMP</t>
        </is>
      </c>
      <c r="AJ3" s="15" t="inlineStr">
        <is>
          <t>so</t>
        </is>
      </c>
    </row>
    <row r="4" hidden="1" s="584">
      <c r="A4" s="594" t="n">
        <v>243</v>
      </c>
      <c r="B4" s="5" t="inlineStr">
        <is>
          <t>Hosur</t>
        </is>
      </c>
      <c r="C4" s="601" t="inlineStr">
        <is>
          <t>Balaji press product</t>
        </is>
      </c>
      <c r="D4" s="601" t="n"/>
      <c r="E4" s="601" t="n">
        <v>189287</v>
      </c>
      <c r="F4" s="601" t="n">
        <v>3432081</v>
      </c>
      <c r="G4" s="601" t="inlineStr">
        <is>
          <t>TUB-O-N-AUT-AW-PE-12.70X1.600X0.1890</t>
        </is>
      </c>
      <c r="H4" s="601" t="inlineStr">
        <is>
          <t>ERW 1</t>
        </is>
      </c>
      <c r="I4" s="601" t="n"/>
      <c r="J4" s="601" t="inlineStr">
        <is>
          <t>PE</t>
        </is>
      </c>
      <c r="K4" s="601" t="inlineStr">
        <is>
          <t>CR</t>
        </is>
      </c>
      <c r="L4" s="596" t="inlineStr">
        <is>
          <t>HROP</t>
        </is>
      </c>
      <c r="M4" s="601" t="n"/>
      <c r="N4" s="601" t="n"/>
      <c r="O4" s="601" t="n"/>
      <c r="P4" s="557">
        <f>CONCATENATE(schedule13[[#This Row],[OD]],"-",schedule13[[#This Row],[ID]],"-",schedule13[[#This Row],[TICKNESS]],"-",schedule13[[#This Row],[GRADE]],"-",schedule13[[#This Row],[FC/NFC]])</f>
        <v/>
      </c>
      <c r="Q4" s="557" t="n"/>
      <c r="R4" s="557" t="n"/>
      <c r="S4" s="599" t="n">
        <v>12.7</v>
      </c>
      <c r="T4" s="599" t="n">
        <v>12.7</v>
      </c>
      <c r="U4" s="599" t="n">
        <v>0</v>
      </c>
      <c r="V4" s="599" t="n">
        <v>1.6</v>
      </c>
      <c r="W4" s="600" t="n">
        <v>189</v>
      </c>
      <c r="X4" s="600" t="n"/>
      <c r="Y4" s="601" t="n">
        <v>30000</v>
      </c>
      <c r="Z4" s="601" t="n"/>
      <c r="AA4" s="602">
        <f>Y4-Z4</f>
        <v/>
      </c>
      <c r="AB4" s="599">
        <f>(S4-V4)*V4*W4*0.024653*Y4/1000000</f>
        <v/>
      </c>
      <c r="AC4" s="599">
        <f>(S4-V4)*V4*W4*0.024653*Z4/1000000</f>
        <v/>
      </c>
      <c r="AD4" s="599">
        <f>AB4-AC4</f>
        <v/>
      </c>
      <c r="AE4" s="599" t="n"/>
      <c r="AF4" s="599" t="n">
        <v>1.23071</v>
      </c>
      <c r="AG4" s="599" t="n"/>
      <c r="AH4" s="599">
        <f>AB3-AF4</f>
        <v/>
      </c>
      <c r="AI4" s="118">
        <f>(AC4+AF4)/AB3</f>
        <v/>
      </c>
    </row>
    <row r="5" hidden="1" s="584">
      <c r="A5" s="594" t="n">
        <v>244</v>
      </c>
      <c r="B5" s="5" t="inlineStr">
        <is>
          <t>Hosur</t>
        </is>
      </c>
      <c r="C5" s="601" t="inlineStr">
        <is>
          <t>Balaji press product</t>
        </is>
      </c>
      <c r="D5" s="601" t="n"/>
      <c r="E5" s="601" t="n">
        <v>189287</v>
      </c>
      <c r="F5" s="601" t="n">
        <v>3239890</v>
      </c>
      <c r="G5" s="601" t="inlineStr">
        <is>
          <t>TUB-O-N-GEN-AW-PE-19.05X1.200X0.3300</t>
        </is>
      </c>
      <c r="H5" s="601" t="inlineStr">
        <is>
          <t>ERW 1</t>
        </is>
      </c>
      <c r="I5" s="601" t="n"/>
      <c r="J5" s="601" t="inlineStr">
        <is>
          <t>PE</t>
        </is>
      </c>
      <c r="K5" s="601" t="inlineStr">
        <is>
          <t>CR</t>
        </is>
      </c>
      <c r="L5" s="601" t="n"/>
      <c r="M5" s="601" t="n"/>
      <c r="N5" s="601" t="n"/>
      <c r="O5" s="601" t="n"/>
      <c r="P5" s="557">
        <f>CONCATENATE(schedule13[[#This Row],[OD]],"-",schedule13[[#This Row],[ID]],"-",schedule13[[#This Row],[TICKNESS]],"-",schedule13[[#This Row],[GRADE]],"-",schedule13[[#This Row],[FC/NFC]])</f>
        <v/>
      </c>
      <c r="Q5" s="557" t="n"/>
      <c r="R5" s="557" t="n"/>
      <c r="S5" s="599" t="n">
        <v>19.05</v>
      </c>
      <c r="T5" s="599" t="n">
        <v>19.05</v>
      </c>
      <c r="U5" s="599" t="n">
        <v>0</v>
      </c>
      <c r="V5" s="599" t="n">
        <v>1.2</v>
      </c>
      <c r="W5" s="600" t="n">
        <v>330</v>
      </c>
      <c r="X5" s="600" t="n"/>
      <c r="Y5" s="601" t="n">
        <v>4000</v>
      </c>
      <c r="Z5" s="601" t="n"/>
      <c r="AA5" s="602">
        <f>Y5-Z5</f>
        <v/>
      </c>
      <c r="AB5" s="599">
        <f>(S5-V5)*V5*W5*0.024653*Y5/1000000</f>
        <v/>
      </c>
      <c r="AC5" s="599">
        <f>(S5-V5)*V5*W5*0.024653*Z5/1000000</f>
        <v/>
      </c>
      <c r="AD5" s="599">
        <f>AB5-AC5</f>
        <v/>
      </c>
      <c r="AE5" s="599" t="n"/>
      <c r="AF5" s="599" t="n"/>
      <c r="AG5" s="599" t="n"/>
      <c r="AH5" s="599">
        <f>AB4-AF5</f>
        <v/>
      </c>
      <c r="AI5" s="118">
        <f>(AC5+AF5)/AB4</f>
        <v/>
      </c>
    </row>
    <row r="6" hidden="1" s="584">
      <c r="A6" s="594" t="n">
        <v>245</v>
      </c>
      <c r="B6" s="5" t="inlineStr">
        <is>
          <t>Hosur</t>
        </is>
      </c>
      <c r="C6" s="601" t="inlineStr">
        <is>
          <t>Balaji press product</t>
        </is>
      </c>
      <c r="D6" s="601" t="n"/>
      <c r="E6" s="601" t="n">
        <v>189287</v>
      </c>
      <c r="F6" s="601" t="n">
        <v>1940045</v>
      </c>
      <c r="G6" s="601" t="inlineStr">
        <is>
          <t>TUB-O-O-AUT-AW-PE-15.88X1.200X1.1300</t>
        </is>
      </c>
      <c r="H6" s="601" t="inlineStr">
        <is>
          <t>ERW 1</t>
        </is>
      </c>
      <c r="I6" s="601" t="n"/>
      <c r="J6" s="601" t="inlineStr">
        <is>
          <t>PE</t>
        </is>
      </c>
      <c r="K6" s="601" t="inlineStr">
        <is>
          <t>HR</t>
        </is>
      </c>
      <c r="L6" s="601" t="n"/>
      <c r="M6" s="601" t="n"/>
      <c r="N6" s="601" t="n"/>
      <c r="O6" s="601" t="n"/>
      <c r="P6" s="557">
        <f>CONCATENATE(schedule13[[#This Row],[OD]],"-",schedule13[[#This Row],[ID]],"-",schedule13[[#This Row],[TICKNESS]],"-",schedule13[[#This Row],[GRADE]],"-",schedule13[[#This Row],[FC/NFC]])</f>
        <v/>
      </c>
      <c r="Q6" s="557" t="n"/>
      <c r="R6" s="557" t="n"/>
      <c r="S6" s="599" t="n">
        <v>15.88</v>
      </c>
      <c r="T6" s="599" t="n">
        <v>15.88</v>
      </c>
      <c r="U6" s="599" t="n">
        <v>0</v>
      </c>
      <c r="V6" s="599" t="n">
        <v>1.2</v>
      </c>
      <c r="W6" s="600" t="n">
        <v>1130</v>
      </c>
      <c r="X6" s="600" t="n"/>
      <c r="Y6" s="601" t="n">
        <v>2000</v>
      </c>
      <c r="Z6" s="601" t="n"/>
      <c r="AA6" s="602">
        <f>Y6-Z6</f>
        <v/>
      </c>
      <c r="AB6" s="599">
        <f>(S6-V6)*V6*W6*0.024653*Y6/1000000</f>
        <v/>
      </c>
      <c r="AC6" s="599">
        <f>(S6-V6)*V6*W6*0.024653*Z6/1000000</f>
        <v/>
      </c>
      <c r="AD6" s="599">
        <f>AB6-AC6</f>
        <v/>
      </c>
      <c r="AE6" s="599" t="n"/>
      <c r="AF6" s="599" t="n">
        <v>0.8774500000000001</v>
      </c>
      <c r="AG6" s="599" t="n"/>
      <c r="AH6" s="599">
        <f>AB5-AF6</f>
        <v/>
      </c>
      <c r="AI6" s="118">
        <f>(AC6+AF6)/AB5</f>
        <v/>
      </c>
    </row>
    <row r="7" hidden="1" s="584">
      <c r="A7" s="594" t="n">
        <v>246</v>
      </c>
      <c r="B7" s="5" t="inlineStr">
        <is>
          <t>Hosur</t>
        </is>
      </c>
      <c r="C7" s="601" t="inlineStr">
        <is>
          <t>Balaji press product</t>
        </is>
      </c>
      <c r="D7" s="601" t="n"/>
      <c r="E7" s="601" t="n">
        <v>189287</v>
      </c>
      <c r="F7" s="9" t="n">
        <v>3929662</v>
      </c>
      <c r="G7" s="9" t="inlineStr">
        <is>
          <t>CUT-O-N-AUT-AW-PE-19.05X1.200X0.4030</t>
        </is>
      </c>
      <c r="H7" s="601" t="inlineStr">
        <is>
          <t>ERW 1</t>
        </is>
      </c>
      <c r="I7" s="601" t="n"/>
      <c r="J7" s="601" t="inlineStr">
        <is>
          <t>PE</t>
        </is>
      </c>
      <c r="K7" s="601" t="inlineStr">
        <is>
          <t>CR</t>
        </is>
      </c>
      <c r="L7" s="601" t="n"/>
      <c r="M7" s="601" t="n"/>
      <c r="N7" s="601" t="n"/>
      <c r="O7" s="601" t="n"/>
      <c r="P7" s="557">
        <f>CONCATENATE(schedule13[[#This Row],[OD]],"-",schedule13[[#This Row],[ID]],"-",schedule13[[#This Row],[TICKNESS]],"-",schedule13[[#This Row],[GRADE]],"-",schedule13[[#This Row],[FC/NFC]])</f>
        <v/>
      </c>
      <c r="Q7" s="557" t="n"/>
      <c r="R7" s="557" t="n"/>
      <c r="S7" s="599" t="n">
        <v>19.05</v>
      </c>
      <c r="T7" s="599" t="n">
        <v>19.05</v>
      </c>
      <c r="U7" s="599" t="n">
        <v>0</v>
      </c>
      <c r="V7" s="599" t="n">
        <v>1.2</v>
      </c>
      <c r="W7" s="600" t="n">
        <v>403</v>
      </c>
      <c r="X7" s="600" t="n"/>
      <c r="Y7" s="601" t="n">
        <v>0</v>
      </c>
      <c r="Z7" s="601" t="n"/>
      <c r="AA7" s="602">
        <f>Y7-Z7</f>
        <v/>
      </c>
      <c r="AB7" s="599">
        <f>(S7-V7)*V7*W7*0.024653*Y7/1000000</f>
        <v/>
      </c>
      <c r="AC7" s="599">
        <f>(S7-V7)*V7*W7*0.024653*Z7/1000000</f>
        <v/>
      </c>
      <c r="AD7" s="599">
        <f>AB7-AC7</f>
        <v/>
      </c>
      <c r="AE7" s="599" t="n"/>
      <c r="AF7" s="599" t="n"/>
      <c r="AG7" s="599" t="n"/>
      <c r="AH7" s="599">
        <f>AB6-AF7</f>
        <v/>
      </c>
      <c r="AI7" s="118">
        <f>(AC7+AF7)/AB6</f>
        <v/>
      </c>
    </row>
    <row r="8" hidden="1" s="584">
      <c r="A8" s="594" t="n">
        <v>247</v>
      </c>
      <c r="B8" s="5" t="inlineStr">
        <is>
          <t>Hosur</t>
        </is>
      </c>
      <c r="C8" s="601" t="inlineStr">
        <is>
          <t>Balaji press product</t>
        </is>
      </c>
      <c r="D8" s="601" t="n"/>
      <c r="E8" s="601" t="n">
        <v>189287</v>
      </c>
      <c r="F8" s="601" t="n">
        <v>1940046</v>
      </c>
      <c r="G8" s="601" t="inlineStr">
        <is>
          <t>TUB-O-O-AUT-AW-PE-15.88X1.200X1.3100</t>
        </is>
      </c>
      <c r="H8" s="601" t="inlineStr">
        <is>
          <t>ERW 1</t>
        </is>
      </c>
      <c r="I8" s="601" t="n"/>
      <c r="J8" s="601" t="inlineStr">
        <is>
          <t>PE</t>
        </is>
      </c>
      <c r="K8" s="601" t="inlineStr">
        <is>
          <t>HR</t>
        </is>
      </c>
      <c r="L8" s="601" t="n"/>
      <c r="M8" s="601" t="n"/>
      <c r="N8" s="601" t="n"/>
      <c r="O8" s="601" t="n"/>
      <c r="P8" s="557">
        <f>CONCATENATE(schedule13[[#This Row],[OD]],"-",schedule13[[#This Row],[ID]],"-",schedule13[[#This Row],[TICKNESS]],"-",schedule13[[#This Row],[GRADE]],"-",schedule13[[#This Row],[FC/NFC]])</f>
        <v/>
      </c>
      <c r="Q8" s="557" t="n"/>
      <c r="R8" s="557" t="n"/>
      <c r="S8" s="599" t="n">
        <v>15.88</v>
      </c>
      <c r="T8" s="599" t="n">
        <v>15.88</v>
      </c>
      <c r="U8" s="599" t="n">
        <v>0</v>
      </c>
      <c r="V8" s="599" t="n">
        <v>1.2</v>
      </c>
      <c r="W8" s="600" t="n">
        <v>1310</v>
      </c>
      <c r="X8" s="600" t="n"/>
      <c r="Y8" s="601" t="n">
        <v>3000</v>
      </c>
      <c r="Z8" s="601" t="n"/>
      <c r="AA8" s="602">
        <f>Y8-Z8</f>
        <v/>
      </c>
      <c r="AB8" s="599">
        <f>(S8-V8)*V8*W8*0.024653*Y8/1000000</f>
        <v/>
      </c>
      <c r="AC8" s="599">
        <f>(S8-V8)*V8*W8*0.024653*Z8/1000000</f>
        <v/>
      </c>
      <c r="AD8" s="599">
        <f>AB8-AC8</f>
        <v/>
      </c>
      <c r="AE8" s="599" t="n"/>
      <c r="AF8" s="599" t="n"/>
      <c r="AG8" s="599" t="n"/>
      <c r="AH8" s="599" t="n"/>
      <c r="AI8" s="118" t="n"/>
    </row>
    <row r="9" hidden="1" s="584">
      <c r="A9" s="594" t="n">
        <v>248</v>
      </c>
      <c r="B9" s="5" t="inlineStr">
        <is>
          <t>Hosur</t>
        </is>
      </c>
      <c r="C9" s="601" t="inlineStr">
        <is>
          <t>Balaji press product</t>
        </is>
      </c>
      <c r="D9" s="601" t="n"/>
      <c r="E9" s="601" t="n">
        <v>189287</v>
      </c>
      <c r="F9" s="601" t="n">
        <v>1940034</v>
      </c>
      <c r="G9" s="601" t="inlineStr">
        <is>
          <t>TUB-O-O-AUT-AW-PE-15.88X1.200X0.5400</t>
        </is>
      </c>
      <c r="H9" s="601" t="inlineStr">
        <is>
          <t>ERW 1</t>
        </is>
      </c>
      <c r="I9" s="601" t="n"/>
      <c r="J9" s="601" t="inlineStr">
        <is>
          <t>PE</t>
        </is>
      </c>
      <c r="K9" s="601" t="inlineStr">
        <is>
          <t>HR</t>
        </is>
      </c>
      <c r="L9" s="601" t="n"/>
      <c r="M9" s="601" t="n"/>
      <c r="N9" s="601" t="n"/>
      <c r="O9" s="601" t="n"/>
      <c r="P9" s="557">
        <f>CONCATENATE(schedule13[[#This Row],[OD]],"-",schedule13[[#This Row],[ID]],"-",schedule13[[#This Row],[TICKNESS]],"-",schedule13[[#This Row],[GRADE]],"-",schedule13[[#This Row],[FC/NFC]])</f>
        <v/>
      </c>
      <c r="Q9" s="557" t="n"/>
      <c r="R9" s="557" t="n"/>
      <c r="S9" s="599" t="n">
        <v>15.88</v>
      </c>
      <c r="T9" s="599" t="n">
        <v>15.88</v>
      </c>
      <c r="U9" s="599" t="n">
        <v>0</v>
      </c>
      <c r="V9" s="599" t="n">
        <v>1.2</v>
      </c>
      <c r="W9" s="600" t="n">
        <v>540</v>
      </c>
      <c r="X9" s="600" t="n"/>
      <c r="Y9" s="601" t="n">
        <v>3000</v>
      </c>
      <c r="Z9" s="601" t="n"/>
      <c r="AA9" s="602">
        <f>Y9-Z9</f>
        <v/>
      </c>
      <c r="AB9" s="599">
        <f>(S9-V9)*V9*W9*0.024653*Y9/1000000</f>
        <v/>
      </c>
      <c r="AC9" s="599">
        <f>(S9-V9)*V9*W9*0.024653*Z9/1000000</f>
        <v/>
      </c>
      <c r="AD9" s="599">
        <f>AB9-AC9</f>
        <v/>
      </c>
      <c r="AE9" s="599" t="n"/>
      <c r="AF9" s="599" t="n">
        <v>0.9037459999999999</v>
      </c>
      <c r="AG9" s="599" t="n"/>
      <c r="AH9" s="599">
        <f>AB8-AF9</f>
        <v/>
      </c>
      <c r="AI9" s="118">
        <f>(AC9+AF9)/AB8</f>
        <v/>
      </c>
    </row>
    <row r="10" hidden="1" s="584">
      <c r="A10" s="594" t="n">
        <v>249</v>
      </c>
      <c r="B10" s="5" t="inlineStr">
        <is>
          <t>Hosur</t>
        </is>
      </c>
      <c r="C10" s="601" t="inlineStr">
        <is>
          <t>Balaji press product</t>
        </is>
      </c>
      <c r="D10" s="601" t="n"/>
      <c r="E10" s="601" t="n">
        <v>189287</v>
      </c>
      <c r="F10" s="601" t="n">
        <v>3715199</v>
      </c>
      <c r="G10" s="601" t="inlineStr">
        <is>
          <t>TUB-O-N-AUT-AW-PE-15.88X1.200X0.7550</t>
        </is>
      </c>
      <c r="H10" s="601" t="inlineStr">
        <is>
          <t>ERW 1</t>
        </is>
      </c>
      <c r="I10" s="601" t="n"/>
      <c r="J10" s="601" t="inlineStr">
        <is>
          <t>PE</t>
        </is>
      </c>
      <c r="K10" s="601" t="inlineStr">
        <is>
          <t>CR</t>
        </is>
      </c>
      <c r="L10" s="601" t="n"/>
      <c r="M10" s="601" t="n"/>
      <c r="N10" s="601" t="n"/>
      <c r="O10" s="601" t="n"/>
      <c r="P10" s="557">
        <f>CONCATENATE(schedule13[[#This Row],[OD]],"-",schedule13[[#This Row],[ID]],"-",schedule13[[#This Row],[TICKNESS]],"-",schedule13[[#This Row],[GRADE]],"-",schedule13[[#This Row],[FC/NFC]])</f>
        <v/>
      </c>
      <c r="Q10" s="557" t="n"/>
      <c r="R10" s="557" t="n"/>
      <c r="S10" s="599" t="n">
        <v>15.88</v>
      </c>
      <c r="T10" s="599" t="n">
        <v>15.88</v>
      </c>
      <c r="U10" s="599" t="n">
        <v>0</v>
      </c>
      <c r="V10" s="599" t="n">
        <v>1.2</v>
      </c>
      <c r="W10" s="600" t="n">
        <v>755</v>
      </c>
      <c r="X10" s="600" t="n"/>
      <c r="Y10" s="601" t="n">
        <v>4000</v>
      </c>
      <c r="Z10" s="601" t="n"/>
      <c r="AA10" s="602">
        <f>Y10-Z10</f>
        <v/>
      </c>
      <c r="AB10" s="599">
        <f>(S10-V10)*V10*W10*0.024653*Y10/1000000</f>
        <v/>
      </c>
      <c r="AC10" s="599">
        <f>(S10-V10)*V10*W10*0.024653*Z10/1000000</f>
        <v/>
      </c>
      <c r="AD10" s="599">
        <f>AB10-AC10</f>
        <v/>
      </c>
      <c r="AE10" s="599" t="n"/>
      <c r="AF10" s="599" t="n">
        <v>0.8768899999999999</v>
      </c>
      <c r="AG10" s="599" t="n"/>
      <c r="AH10" s="599">
        <f>AB9-AF10</f>
        <v/>
      </c>
      <c r="AI10" s="118">
        <f>(AC10+AF10)/AB9</f>
        <v/>
      </c>
    </row>
    <row r="11" hidden="1" s="584">
      <c r="A11" s="594" t="n">
        <v>250</v>
      </c>
      <c r="B11" s="5" t="inlineStr">
        <is>
          <t>Hosur</t>
        </is>
      </c>
      <c r="C11" s="601" t="inlineStr">
        <is>
          <t>Balaji press product</t>
        </is>
      </c>
      <c r="D11" s="601" t="n"/>
      <c r="E11" s="601" t="n">
        <v>189287</v>
      </c>
      <c r="F11" s="601" t="n">
        <v>3635694</v>
      </c>
      <c r="G11" s="601" t="inlineStr">
        <is>
          <t>TUB-O-N-AUT-AW-PE-19.05X1.000X1.2000</t>
        </is>
      </c>
      <c r="H11" s="601" t="inlineStr">
        <is>
          <t>ERW 1</t>
        </is>
      </c>
      <c r="I11" s="601" t="n"/>
      <c r="J11" s="601" t="inlineStr">
        <is>
          <t>PE</t>
        </is>
      </c>
      <c r="K11" s="601" t="inlineStr">
        <is>
          <t>CR</t>
        </is>
      </c>
      <c r="L11" s="601" t="n"/>
      <c r="M11" s="601" t="n"/>
      <c r="N11" s="601" t="n"/>
      <c r="O11" s="601" t="n"/>
      <c r="P11" s="557">
        <f>CONCATENATE(schedule13[[#This Row],[OD]],"-",schedule13[[#This Row],[ID]],"-",schedule13[[#This Row],[TICKNESS]],"-",schedule13[[#This Row],[GRADE]],"-",schedule13[[#This Row],[FC/NFC]])</f>
        <v/>
      </c>
      <c r="Q11" s="557" t="n"/>
      <c r="R11" s="557" t="n"/>
      <c r="S11" s="599" t="n">
        <v>19.05</v>
      </c>
      <c r="T11" s="599" t="n">
        <v>19.05</v>
      </c>
      <c r="U11" s="599" t="n">
        <v>0</v>
      </c>
      <c r="V11" s="599" t="n">
        <v>1</v>
      </c>
      <c r="W11" s="600" t="n">
        <v>1200</v>
      </c>
      <c r="X11" s="600" t="n"/>
      <c r="Y11" s="601" t="n">
        <v>7000</v>
      </c>
      <c r="Z11" s="601" t="n"/>
      <c r="AA11" s="602">
        <f>Y11-Z11</f>
        <v/>
      </c>
      <c r="AB11" s="599">
        <f>(S11-V11)*V11*W11*0.024653*Y11/1000000</f>
        <v/>
      </c>
      <c r="AC11" s="599">
        <f>(S11-V11)*V11*W11*0.024653*Z11/1000000</f>
        <v/>
      </c>
      <c r="AD11" s="599">
        <f>AB11-AC11</f>
        <v/>
      </c>
      <c r="AE11" s="599" t="n"/>
      <c r="AF11" s="599" t="n">
        <v>0.911</v>
      </c>
      <c r="AG11" s="599" t="n"/>
      <c r="AH11" s="599">
        <f>AB10-AF11</f>
        <v/>
      </c>
      <c r="AI11" s="118">
        <f>(AC11+AF11)/AB10</f>
        <v/>
      </c>
    </row>
    <row r="12" hidden="1" s="584">
      <c r="A12" s="594" t="n">
        <v>251</v>
      </c>
      <c r="B12" s="5" t="inlineStr">
        <is>
          <t>Hosur</t>
        </is>
      </c>
      <c r="C12" s="601" t="inlineStr">
        <is>
          <t>Balaji press product</t>
        </is>
      </c>
      <c r="D12" s="601" t="n"/>
      <c r="E12" s="601" t="n">
        <v>189287</v>
      </c>
      <c r="F12" s="601" t="n">
        <v>3229740</v>
      </c>
      <c r="G12" s="601" t="inlineStr">
        <is>
          <t>TUB-O-N-AUT-AW-PE-19.05X1.200X1.0750</t>
        </is>
      </c>
      <c r="H12" s="601" t="inlineStr">
        <is>
          <t>ERW 1</t>
        </is>
      </c>
      <c r="I12" s="601" t="n"/>
      <c r="J12" s="601" t="inlineStr">
        <is>
          <t>PE</t>
        </is>
      </c>
      <c r="K12" s="601" t="inlineStr">
        <is>
          <t>CR</t>
        </is>
      </c>
      <c r="L12" s="601" t="n"/>
      <c r="M12" s="601" t="n"/>
      <c r="N12" s="601" t="n"/>
      <c r="O12" s="601" t="n"/>
      <c r="P12" s="557">
        <f>CONCATENATE(schedule13[[#This Row],[OD]],"-",schedule13[[#This Row],[ID]],"-",schedule13[[#This Row],[TICKNESS]],"-",schedule13[[#This Row],[GRADE]],"-",schedule13[[#This Row],[FC/NFC]])</f>
        <v/>
      </c>
      <c r="Q12" s="557" t="n"/>
      <c r="R12" s="557" t="n"/>
      <c r="S12" s="599" t="n">
        <v>19.05</v>
      </c>
      <c r="T12" s="599" t="n">
        <v>19.05</v>
      </c>
      <c r="U12" s="599" t="n">
        <v>0</v>
      </c>
      <c r="V12" s="599" t="n">
        <v>1.2</v>
      </c>
      <c r="W12" s="600" t="n">
        <v>1075</v>
      </c>
      <c r="X12" s="600" t="n"/>
      <c r="Y12" s="601" t="n">
        <v>2000</v>
      </c>
      <c r="Z12" s="601" t="n"/>
      <c r="AA12" s="602">
        <f>Y12-Z12</f>
        <v/>
      </c>
      <c r="AB12" s="599">
        <f>(S12-V12)*V12*W12*0.024653*Y12/1000000</f>
        <v/>
      </c>
      <c r="AC12" s="599">
        <f>(S12-V12)*V12*W12*0.024653*Z12/1000000</f>
        <v/>
      </c>
      <c r="AD12" s="599">
        <f>AB12-AC12</f>
        <v/>
      </c>
      <c r="AE12" s="599" t="n"/>
      <c r="AF12" s="599" t="n">
        <v>0.481176</v>
      </c>
      <c r="AG12" s="599" t="n"/>
      <c r="AH12" s="599">
        <f>AB11-AF12</f>
        <v/>
      </c>
      <c r="AI12" s="118">
        <f>(AC12+AF12)/AB11</f>
        <v/>
      </c>
    </row>
    <row r="13" hidden="1" s="584">
      <c r="A13" s="594" t="n">
        <v>252</v>
      </c>
      <c r="B13" s="5" t="inlineStr">
        <is>
          <t>Hosur</t>
        </is>
      </c>
      <c r="C13" s="601" t="inlineStr">
        <is>
          <t>Balaji press product</t>
        </is>
      </c>
      <c r="D13" s="601" t="n"/>
      <c r="E13" s="601" t="n">
        <v>189287</v>
      </c>
      <c r="F13" s="601" t="n">
        <v>3409367</v>
      </c>
      <c r="G13" s="601" t="inlineStr">
        <is>
          <t>TUB-O-N-AUT-AW-PE-19.05X1.200X1.2750</t>
        </is>
      </c>
      <c r="H13" s="601" t="inlineStr">
        <is>
          <t>ERW 1</t>
        </is>
      </c>
      <c r="I13" s="601" t="n"/>
      <c r="J13" s="601" t="inlineStr">
        <is>
          <t>PE</t>
        </is>
      </c>
      <c r="K13" s="601" t="inlineStr">
        <is>
          <t>CR</t>
        </is>
      </c>
      <c r="L13" s="601" t="n"/>
      <c r="M13" s="601" t="n"/>
      <c r="N13" s="601" t="n"/>
      <c r="O13" s="601" t="n"/>
      <c r="P13" s="557">
        <f>CONCATENATE(schedule13[[#This Row],[OD]],"-",schedule13[[#This Row],[ID]],"-",schedule13[[#This Row],[TICKNESS]],"-",schedule13[[#This Row],[GRADE]],"-",schedule13[[#This Row],[FC/NFC]])</f>
        <v/>
      </c>
      <c r="Q13" s="557" t="n"/>
      <c r="R13" s="557" t="n"/>
      <c r="S13" s="599" t="n">
        <v>19.05</v>
      </c>
      <c r="T13" s="599" t="n">
        <v>19.05</v>
      </c>
      <c r="U13" s="599" t="n">
        <v>0</v>
      </c>
      <c r="V13" s="599" t="n">
        <v>1.2</v>
      </c>
      <c r="W13" s="600" t="n">
        <v>1275</v>
      </c>
      <c r="X13" s="600" t="n"/>
      <c r="Y13" s="601" t="n">
        <v>2000</v>
      </c>
      <c r="Z13" s="601" t="n"/>
      <c r="AA13" s="602">
        <f>Y13-Z13</f>
        <v/>
      </c>
      <c r="AB13" s="599">
        <f>(S13-V13)*V13*W13*0.024653*Y13/1000000</f>
        <v/>
      </c>
      <c r="AC13" s="599">
        <f>(S13-V13)*V13*W13*0.024653*Z13/1000000</f>
        <v/>
      </c>
      <c r="AD13" s="599">
        <f>AB13-AC13</f>
        <v/>
      </c>
      <c r="AE13" s="599" t="n"/>
      <c r="AF13" s="599" t="n"/>
      <c r="AG13" s="599" t="n"/>
      <c r="AH13" s="599">
        <f>AB12-AF13</f>
        <v/>
      </c>
      <c r="AI13" s="118">
        <f>(AC13+AF13)/AB12</f>
        <v/>
      </c>
    </row>
    <row r="14" hidden="1" s="584">
      <c r="A14" s="594" t="n">
        <v>253</v>
      </c>
      <c r="B14" s="5" t="inlineStr">
        <is>
          <t>Hosur</t>
        </is>
      </c>
      <c r="C14" s="601" t="inlineStr">
        <is>
          <t>Balaji press product</t>
        </is>
      </c>
      <c r="D14" s="601" t="n"/>
      <c r="E14" s="601" t="n">
        <v>189287</v>
      </c>
      <c r="F14" s="601" t="n">
        <v>2409616</v>
      </c>
      <c r="G14" s="601" t="inlineStr">
        <is>
          <t>TUB-O-N-AUT-AW-PE-19.05X1.200X0.5130</t>
        </is>
      </c>
      <c r="H14" s="601" t="inlineStr">
        <is>
          <t>ERW 1</t>
        </is>
      </c>
      <c r="I14" s="601" t="n"/>
      <c r="J14" s="601" t="inlineStr">
        <is>
          <t>PE</t>
        </is>
      </c>
      <c r="K14" s="601" t="inlineStr">
        <is>
          <t>CR</t>
        </is>
      </c>
      <c r="L14" s="601" t="n"/>
      <c r="M14" s="601" t="n"/>
      <c r="N14" s="601" t="n"/>
      <c r="O14" s="601" t="n"/>
      <c r="P14" s="557">
        <f>CONCATENATE(schedule13[[#This Row],[OD]],"-",schedule13[[#This Row],[ID]],"-",schedule13[[#This Row],[TICKNESS]],"-",schedule13[[#This Row],[GRADE]],"-",schedule13[[#This Row],[FC/NFC]])</f>
        <v/>
      </c>
      <c r="Q14" s="557" t="n"/>
      <c r="R14" s="557" t="n"/>
      <c r="S14" s="599" t="n">
        <v>19.05</v>
      </c>
      <c r="T14" s="599" t="n">
        <v>19.05</v>
      </c>
      <c r="U14" s="599" t="n">
        <v>0</v>
      </c>
      <c r="V14" s="599" t="n">
        <v>1.2</v>
      </c>
      <c r="W14" s="600" t="n">
        <v>513</v>
      </c>
      <c r="X14" s="600" t="n"/>
      <c r="Y14" s="601" t="n">
        <v>2000</v>
      </c>
      <c r="Z14" s="601" t="n"/>
      <c r="AA14" s="602">
        <f>Y14-Z14</f>
        <v/>
      </c>
      <c r="AB14" s="599">
        <f>(S14-V14)*V14*W14*0.024653*Y14/1000000</f>
        <v/>
      </c>
      <c r="AC14" s="599">
        <f>(S14-V14)*V14*W14*0.024653*Z14/1000000</f>
        <v/>
      </c>
      <c r="AD14" s="599">
        <f>AB14-AC14</f>
        <v/>
      </c>
      <c r="AE14" s="599" t="n"/>
      <c r="AF14" s="599" t="n"/>
      <c r="AG14" s="599" t="n"/>
      <c r="AH14" s="599">
        <f>AB13-AF14</f>
        <v/>
      </c>
      <c r="AI14" s="118">
        <f>(AC14+AF14)/AB13</f>
        <v/>
      </c>
    </row>
    <row r="15" hidden="1" s="584">
      <c r="A15" s="594" t="n">
        <v>254</v>
      </c>
      <c r="B15" s="5" t="inlineStr">
        <is>
          <t>Hosur</t>
        </is>
      </c>
      <c r="C15" s="601" t="inlineStr">
        <is>
          <t>Balaji press product</t>
        </is>
      </c>
      <c r="D15" s="601" t="n"/>
      <c r="E15" s="601" t="n">
        <v>189287</v>
      </c>
      <c r="F15" s="601" t="n">
        <v>3229739</v>
      </c>
      <c r="G15" s="601" t="inlineStr">
        <is>
          <t>TUB-O-N-AUT-AW-PE-19.05X1.200X1.1300</t>
        </is>
      </c>
      <c r="H15" s="601" t="inlineStr">
        <is>
          <t>ERW 1</t>
        </is>
      </c>
      <c r="I15" s="601" t="n"/>
      <c r="J15" s="601" t="inlineStr">
        <is>
          <t>PE</t>
        </is>
      </c>
      <c r="K15" s="601" t="inlineStr">
        <is>
          <t>CR</t>
        </is>
      </c>
      <c r="L15" s="601" t="n"/>
      <c r="M15" s="601" t="n"/>
      <c r="N15" s="601" t="n"/>
      <c r="O15" s="601" t="n"/>
      <c r="P15" s="557">
        <f>CONCATENATE(schedule13[[#This Row],[OD]],"-",schedule13[[#This Row],[ID]],"-",schedule13[[#This Row],[TICKNESS]],"-",schedule13[[#This Row],[GRADE]],"-",schedule13[[#This Row],[FC/NFC]])</f>
        <v/>
      </c>
      <c r="Q15" s="557" t="n"/>
      <c r="R15" s="557" t="n"/>
      <c r="S15" s="599" t="n">
        <v>19.05</v>
      </c>
      <c r="T15" s="599" t="n">
        <v>19.05</v>
      </c>
      <c r="U15" s="599" t="n">
        <v>0</v>
      </c>
      <c r="V15" s="599" t="n">
        <v>1.2</v>
      </c>
      <c r="W15" s="600" t="n">
        <v>1130</v>
      </c>
      <c r="X15" s="600" t="n"/>
      <c r="Y15" s="601" t="n">
        <v>3000</v>
      </c>
      <c r="Z15" s="601" t="n"/>
      <c r="AA15" s="602">
        <f>Y15-Z15</f>
        <v/>
      </c>
      <c r="AB15" s="599">
        <f>(S15-V15)*V15*W15*0.024653*Y15/1000000</f>
        <v/>
      </c>
      <c r="AC15" s="599">
        <f>(S15-V15)*V15*W15*0.024653*Z15/1000000</f>
        <v/>
      </c>
      <c r="AD15" s="599">
        <f>AB15-AC15</f>
        <v/>
      </c>
      <c r="AE15" s="599" t="n"/>
      <c r="AF15" s="599" t="n">
        <v>0.445</v>
      </c>
      <c r="AG15" s="599" t="n"/>
      <c r="AH15" s="599">
        <f>AB14-AF15</f>
        <v/>
      </c>
      <c r="AI15" s="118">
        <f>(AC15+AF15)/AB14</f>
        <v/>
      </c>
    </row>
    <row r="16" hidden="1" s="584">
      <c r="A16" s="594" t="n">
        <v>255</v>
      </c>
      <c r="B16" s="5" t="inlineStr">
        <is>
          <t>Hosur</t>
        </is>
      </c>
      <c r="C16" s="601" t="inlineStr">
        <is>
          <t>Balaji press product</t>
        </is>
      </c>
      <c r="D16" s="601" t="n"/>
      <c r="E16" s="601" t="n">
        <v>189287</v>
      </c>
      <c r="F16" s="601" t="n">
        <v>2430128</v>
      </c>
      <c r="G16" s="601" t="inlineStr">
        <is>
          <t>TUB-R-AW-AUT-50.00X30.00X1.600X1.1000</t>
        </is>
      </c>
      <c r="H16" s="601" t="inlineStr">
        <is>
          <t>ERW 1</t>
        </is>
      </c>
      <c r="I16" s="601" t="n"/>
      <c r="J16" s="601" t="inlineStr">
        <is>
          <t>FC</t>
        </is>
      </c>
      <c r="K16" s="601" t="inlineStr">
        <is>
          <t>HR</t>
        </is>
      </c>
      <c r="L16" s="601" t="inlineStr">
        <is>
          <t>HROP</t>
        </is>
      </c>
      <c r="M16" s="601" t="n"/>
      <c r="N16" s="601" t="n"/>
      <c r="O16" s="601" t="n"/>
      <c r="P16" s="557">
        <f>CONCATENATE(schedule13[[#This Row],[OD]],"-",schedule13[[#This Row],[ID]],"-",schedule13[[#This Row],[TICKNESS]],"-",schedule13[[#This Row],[GRADE]],"-",schedule13[[#This Row],[FC/NFC]])</f>
        <v/>
      </c>
      <c r="Q16" s="557" t="n"/>
      <c r="R16" s="557" t="n"/>
      <c r="S16" s="599" t="n">
        <v>50.8</v>
      </c>
      <c r="T16" s="599" t="n">
        <v>50</v>
      </c>
      <c r="U16" s="599" t="n">
        <v>30</v>
      </c>
      <c r="V16" s="599" t="n">
        <v>1.6</v>
      </c>
      <c r="W16" s="600" t="n">
        <v>1100</v>
      </c>
      <c r="X16" s="600" t="n"/>
      <c r="Y16" s="601" t="n">
        <v>6000</v>
      </c>
      <c r="Z16" s="601" t="n"/>
      <c r="AA16" s="602">
        <f>Y16-Z16</f>
        <v/>
      </c>
      <c r="AB16" s="599">
        <f>(S16-V16)*V16*W16*0.024653*Y16/1000000</f>
        <v/>
      </c>
      <c r="AC16" s="599">
        <f>(S16-V16)*V16*W16*0.024653*Z16/1000000</f>
        <v/>
      </c>
      <c r="AD16" s="599">
        <f>AB16-AC16</f>
        <v/>
      </c>
      <c r="AE16" s="599" t="n"/>
      <c r="AF16" s="599" t="n"/>
      <c r="AG16" s="599" t="n"/>
      <c r="AH16" s="599">
        <f>AB15-AF16</f>
        <v/>
      </c>
      <c r="AI16" s="118">
        <f>(AC16+AF16)/AB15</f>
        <v/>
      </c>
    </row>
    <row r="17" hidden="1" s="584">
      <c r="A17" s="594" t="n">
        <v>256</v>
      </c>
      <c r="B17" s="5" t="inlineStr">
        <is>
          <t>Hosur</t>
        </is>
      </c>
      <c r="C17" s="601" t="inlineStr">
        <is>
          <t>Balaji press product</t>
        </is>
      </c>
      <c r="D17" s="601" t="n"/>
      <c r="E17" s="601" t="n">
        <v>189287</v>
      </c>
      <c r="F17" s="601" t="n">
        <v>3409366</v>
      </c>
      <c r="G17" s="601" t="inlineStr">
        <is>
          <t>TUB-O-N-AUT-AW-PE-19.05X1.200X0.1090</t>
        </is>
      </c>
      <c r="H17" s="601" t="inlineStr">
        <is>
          <t>ERW 1</t>
        </is>
      </c>
      <c r="I17" s="601" t="n"/>
      <c r="J17" s="601" t="inlineStr">
        <is>
          <t>PE</t>
        </is>
      </c>
      <c r="K17" s="601" t="inlineStr">
        <is>
          <t>CR</t>
        </is>
      </c>
      <c r="L17" s="601" t="n"/>
      <c r="M17" s="601" t="n"/>
      <c r="N17" s="601" t="n"/>
      <c r="O17" s="601" t="n"/>
      <c r="P17" s="557">
        <f>CONCATENATE(schedule13[[#This Row],[OD]],"-",schedule13[[#This Row],[ID]],"-",schedule13[[#This Row],[TICKNESS]],"-",schedule13[[#This Row],[GRADE]],"-",schedule13[[#This Row],[FC/NFC]])</f>
        <v/>
      </c>
      <c r="Q17" s="557" t="n"/>
      <c r="R17" s="557" t="n"/>
      <c r="S17" s="599" t="n">
        <v>19.05</v>
      </c>
      <c r="T17" s="599" t="n">
        <v>19.05</v>
      </c>
      <c r="U17" s="599" t="n">
        <v>0</v>
      </c>
      <c r="V17" s="599" t="n">
        <v>1.2</v>
      </c>
      <c r="W17" s="600" t="n">
        <v>109</v>
      </c>
      <c r="X17" s="600" t="n"/>
      <c r="Y17" s="601" t="n">
        <v>3000</v>
      </c>
      <c r="Z17" s="601" t="n"/>
      <c r="AA17" s="602">
        <f>Y17-Z17</f>
        <v/>
      </c>
      <c r="AB17" s="599">
        <f>(S17-V17)*V17*W17*0.024653*Y17/1000000</f>
        <v/>
      </c>
      <c r="AC17" s="599">
        <f>(S17-V17)*V17*W17*0.024653*Z17/1000000</f>
        <v/>
      </c>
      <c r="AD17" s="599">
        <f>AB17-AC17</f>
        <v/>
      </c>
      <c r="AE17" s="599" t="n"/>
      <c r="AF17" s="599" t="n">
        <v>0.769</v>
      </c>
      <c r="AG17" s="599" t="n"/>
      <c r="AH17" s="599">
        <f>AB16-AF17</f>
        <v/>
      </c>
      <c r="AI17" s="118">
        <f>(AC17+AF17)/AB16</f>
        <v/>
      </c>
    </row>
    <row r="18" hidden="1" s="584">
      <c r="A18" s="594" t="n">
        <v>257</v>
      </c>
      <c r="B18" s="5" t="inlineStr">
        <is>
          <t>Hosur</t>
        </is>
      </c>
      <c r="C18" s="601" t="inlineStr">
        <is>
          <t>Balaji press product</t>
        </is>
      </c>
      <c r="D18" s="601" t="n"/>
      <c r="E18" s="601" t="n">
        <v>189287</v>
      </c>
      <c r="F18" s="601" t="n">
        <v>2409618</v>
      </c>
      <c r="G18" s="601" t="inlineStr">
        <is>
          <t>TUB-O-N-AUT-AW-PE-25.40X1.600X2.5900</t>
        </is>
      </c>
      <c r="H18" s="601" t="inlineStr">
        <is>
          <t>ERW 1</t>
        </is>
      </c>
      <c r="I18" s="601" t="n"/>
      <c r="J18" s="601" t="inlineStr">
        <is>
          <t>PE</t>
        </is>
      </c>
      <c r="K18" s="601" t="inlineStr">
        <is>
          <t>CR</t>
        </is>
      </c>
      <c r="L18" s="596" t="inlineStr">
        <is>
          <t>HROP</t>
        </is>
      </c>
      <c r="M18" s="601" t="n"/>
      <c r="N18" s="601" t="n"/>
      <c r="O18" s="601" t="n"/>
      <c r="P18" s="557">
        <f>CONCATENATE(schedule13[[#This Row],[OD]],"-",schedule13[[#This Row],[ID]],"-",schedule13[[#This Row],[TICKNESS]],"-",schedule13[[#This Row],[GRADE]],"-",schedule13[[#This Row],[FC/NFC]])</f>
        <v/>
      </c>
      <c r="Q18" s="557" t="n"/>
      <c r="R18" s="557" t="n"/>
      <c r="S18" s="599" t="n">
        <v>25.4</v>
      </c>
      <c r="T18" s="599" t="n">
        <v>25.4</v>
      </c>
      <c r="U18" s="599" t="n">
        <v>0</v>
      </c>
      <c r="V18" s="599" t="n">
        <v>1.6</v>
      </c>
      <c r="W18" s="600" t="n">
        <v>2590</v>
      </c>
      <c r="X18" s="600" t="n"/>
      <c r="Y18" s="601" t="n">
        <v>4000</v>
      </c>
      <c r="Z18" s="601" t="n"/>
      <c r="AA18" s="602">
        <f>Y18-Z18</f>
        <v/>
      </c>
      <c r="AB18" s="599">
        <f>(S18-V18)*V18*W18*0.024653*Y18/1000000</f>
        <v/>
      </c>
      <c r="AC18" s="599">
        <f>(S18-V18)*V18*W18*0.024653*Z18/1000000</f>
        <v/>
      </c>
      <c r="AD18" s="599">
        <f>AB18-AC18</f>
        <v/>
      </c>
      <c r="AE18" s="599" t="n"/>
      <c r="AF18" s="599" t="n">
        <v>0.4609</v>
      </c>
      <c r="AG18" s="599" t="n"/>
      <c r="AH18" s="599">
        <f>AB17-AF18</f>
        <v/>
      </c>
      <c r="AI18" s="118">
        <f>(AC18+AF18)/AB17</f>
        <v/>
      </c>
    </row>
    <row r="19" hidden="1" s="584">
      <c r="A19" s="594" t="n">
        <v>258</v>
      </c>
      <c r="B19" s="5" t="inlineStr">
        <is>
          <t>Hosur</t>
        </is>
      </c>
      <c r="C19" s="601" t="inlineStr">
        <is>
          <t>Balaji press product</t>
        </is>
      </c>
      <c r="D19" s="601" t="n"/>
      <c r="E19" s="601" t="n">
        <v>189287</v>
      </c>
      <c r="F19" s="601" t="n">
        <v>1940038</v>
      </c>
      <c r="G19" s="601" t="inlineStr">
        <is>
          <t>TUB-O-O-AUT-AW-PE-15.88X1.200X0.6800</t>
        </is>
      </c>
      <c r="H19" s="601" t="inlineStr">
        <is>
          <t>ERW 1</t>
        </is>
      </c>
      <c r="I19" s="601" t="n"/>
      <c r="J19" s="601" t="inlineStr">
        <is>
          <t>PE</t>
        </is>
      </c>
      <c r="K19" s="601" t="inlineStr">
        <is>
          <t>HR</t>
        </is>
      </c>
      <c r="L19" s="601" t="n"/>
      <c r="M19" s="601" t="n"/>
      <c r="N19" s="601" t="n"/>
      <c r="O19" s="601" t="n"/>
      <c r="P19" s="557">
        <f>CONCATENATE(schedule13[[#This Row],[OD]],"-",schedule13[[#This Row],[ID]],"-",schedule13[[#This Row],[TICKNESS]],"-",schedule13[[#This Row],[GRADE]],"-",schedule13[[#This Row],[FC/NFC]])</f>
        <v/>
      </c>
      <c r="Q19" s="557" t="n"/>
      <c r="R19" s="557" t="n"/>
      <c r="S19" s="599" t="n">
        <v>15.88</v>
      </c>
      <c r="T19" s="599" t="n">
        <v>15.88</v>
      </c>
      <c r="U19" s="599" t="n">
        <v>0</v>
      </c>
      <c r="V19" s="599" t="n">
        <v>1.2</v>
      </c>
      <c r="W19" s="600" t="n">
        <v>680</v>
      </c>
      <c r="X19" s="600" t="n"/>
      <c r="Y19" s="601" t="n">
        <v>3000</v>
      </c>
      <c r="Z19" s="601" t="n"/>
      <c r="AA19" s="602">
        <f>Y19-Z19</f>
        <v/>
      </c>
      <c r="AB19" s="599">
        <f>(S19-V19)*V19*W19*0.024653*Y19/1000000</f>
        <v/>
      </c>
      <c r="AC19" s="599">
        <f>(S19-V19)*V19*W19*0.024653*Z19/1000000</f>
        <v/>
      </c>
      <c r="AD19" s="599">
        <f>AB19-AC19</f>
        <v/>
      </c>
      <c r="AE19" s="599" t="n"/>
      <c r="AF19" s="599" t="n"/>
      <c r="AG19" s="599" t="n"/>
      <c r="AH19" s="599">
        <f>AB18-AF19</f>
        <v/>
      </c>
      <c r="AI19" s="118">
        <f>(AC19+AF19)/AB18</f>
        <v/>
      </c>
    </row>
    <row r="20">
      <c r="A20" s="594" t="n">
        <v>584</v>
      </c>
      <c r="B20" s="568" t="n"/>
      <c r="C20" s="569" t="inlineStr">
        <is>
          <t>ELKAYEM AMPERE</t>
        </is>
      </c>
      <c r="D20" s="569" t="n"/>
      <c r="E20" s="569" t="n"/>
      <c r="F20" s="569" t="n">
        <v>3911993</v>
      </c>
      <c r="G20" s="569" t="inlineStr">
        <is>
          <t>CUT-O-N-AUT-AW-FC-34.93X2.300X1.5010</t>
        </is>
      </c>
      <c r="H20" s="569" t="inlineStr">
        <is>
          <t>ERW 2</t>
        </is>
      </c>
      <c r="I20" s="569" t="n"/>
      <c r="J20" s="569" t="n"/>
      <c r="K20" s="569" t="n"/>
      <c r="L20" s="569" t="n"/>
      <c r="M20" s="569" t="n"/>
      <c r="N20" s="569" t="n"/>
      <c r="O20" s="569" t="n"/>
      <c r="P20" s="569">
        <f>CONCATENATE(schedule13[[#This Row],[OD]],"-",schedule13[[#This Row],[ID]],"-",schedule13[[#This Row],[TICKNESS]],"-",schedule13[[#This Row],[GRADE]],"-",schedule13[[#This Row],[FC/NFC]])</f>
        <v/>
      </c>
      <c r="Q20" s="569" t="n"/>
      <c r="R20" s="569" t="n"/>
      <c r="S20" s="570" t="n">
        <v>34.93</v>
      </c>
      <c r="T20" s="570" t="n">
        <v>34.93</v>
      </c>
      <c r="U20" s="112" t="n">
        <v>0</v>
      </c>
      <c r="V20" s="570" t="n">
        <v>2.3</v>
      </c>
      <c r="W20" s="474" t="n">
        <v>1500</v>
      </c>
      <c r="X20" s="474" t="n"/>
      <c r="Y20" s="569" t="n">
        <v>6500</v>
      </c>
      <c r="Z20" s="569" t="n"/>
      <c r="AA20" s="571">
        <f>Y20-Z20</f>
        <v/>
      </c>
      <c r="AB20" s="570">
        <f>(S20-V20)*V20*W20*0.024653*Y20/1000000</f>
        <v/>
      </c>
      <c r="AC20" s="123" t="n"/>
      <c r="AD20" s="124">
        <f>AB20-AC20</f>
        <v/>
      </c>
      <c r="AE20" s="572" t="n"/>
      <c r="AF20" s="10" t="n"/>
      <c r="AG20" s="10" t="n"/>
      <c r="AH20" s="10" t="n"/>
      <c r="AI20" s="121" t="n"/>
    </row>
    <row r="21">
      <c r="A21" s="594" t="n">
        <v>585</v>
      </c>
      <c r="B21" s="568" t="n"/>
      <c r="C21" s="569" t="inlineStr">
        <is>
          <t>ELKAYEM AMPERE</t>
        </is>
      </c>
      <c r="D21" s="569" t="n"/>
      <c r="E21" s="569" t="n"/>
      <c r="F21" s="569" t="n">
        <v>1241174</v>
      </c>
      <c r="G21" s="569" t="inlineStr">
        <is>
          <t>TUB-O-N-AUT-AW-PE-22.20X2.300X0.370</t>
        </is>
      </c>
      <c r="H21" s="569" t="inlineStr">
        <is>
          <t>ERW 2</t>
        </is>
      </c>
      <c r="I21" s="569" t="n"/>
      <c r="J21" s="569" t="n"/>
      <c r="K21" s="569" t="n"/>
      <c r="L21" s="569" t="n"/>
      <c r="M21" s="569" t="n"/>
      <c r="N21" s="569" t="n"/>
      <c r="O21" s="569" t="n"/>
      <c r="P21" s="569">
        <f>CONCATENATE(schedule13[[#This Row],[OD]],"-",schedule13[[#This Row],[ID]],"-",schedule13[[#This Row],[TICKNESS]],"-",schedule13[[#This Row],[GRADE]],"-",schedule13[[#This Row],[FC/NFC]])</f>
        <v/>
      </c>
      <c r="Q21" s="569" t="n"/>
      <c r="R21" s="569" t="n"/>
      <c r="S21" s="570" t="n">
        <v>22.23</v>
      </c>
      <c r="T21" s="570" t="n">
        <v>22.23</v>
      </c>
      <c r="U21" s="112" t="n">
        <v>0</v>
      </c>
      <c r="V21" s="570" t="n">
        <v>2.3</v>
      </c>
      <c r="W21" s="474" t="n">
        <v>370</v>
      </c>
      <c r="X21" s="474" t="n"/>
      <c r="Y21" s="569" t="n">
        <v>2000</v>
      </c>
      <c r="Z21" s="569" t="n"/>
      <c r="AA21" s="571">
        <f>Y21-Z21</f>
        <v/>
      </c>
      <c r="AB21" s="570">
        <f>(S21-V21)*V21*W21*0.024653*Y21/1000000</f>
        <v/>
      </c>
      <c r="AC21" s="123" t="n"/>
      <c r="AD21" s="124">
        <f>AB21-AC21</f>
        <v/>
      </c>
      <c r="AE21" s="572" t="n"/>
      <c r="AF21" s="10" t="n"/>
      <c r="AG21" s="10" t="n"/>
      <c r="AH21" s="10" t="n"/>
      <c r="AI21" s="121" t="n"/>
    </row>
    <row r="22">
      <c r="A22" s="594" t="n">
        <v>586</v>
      </c>
      <c r="B22" s="568" t="n"/>
      <c r="C22" s="569" t="inlineStr">
        <is>
          <t>ELKAYEM AMPERE</t>
        </is>
      </c>
      <c r="D22" s="569" t="n"/>
      <c r="E22" s="569" t="n"/>
      <c r="F22" s="569" t="n">
        <v>3484652</v>
      </c>
      <c r="G22" s="569" t="inlineStr">
        <is>
          <t>TUB-O-N-AUT-AW-PE-22.20X2.300X0.2250</t>
        </is>
      </c>
      <c r="H22" s="569" t="inlineStr">
        <is>
          <t>ERW 2</t>
        </is>
      </c>
      <c r="I22" s="569" t="n"/>
      <c r="J22" s="569" t="n"/>
      <c r="K22" s="569" t="n"/>
      <c r="L22" s="569" t="n"/>
      <c r="M22" s="569" t="n"/>
      <c r="N22" s="569" t="n"/>
      <c r="O22" s="569" t="n"/>
      <c r="P22" s="569">
        <f>CONCATENATE(schedule13[[#This Row],[OD]],"-",schedule13[[#This Row],[ID]],"-",schedule13[[#This Row],[TICKNESS]],"-",schedule13[[#This Row],[GRADE]],"-",schedule13[[#This Row],[FC/NFC]])</f>
        <v/>
      </c>
      <c r="Q22" s="569" t="n"/>
      <c r="R22" s="569" t="n"/>
      <c r="S22" s="570" t="n">
        <v>22.23</v>
      </c>
      <c r="T22" s="570" t="n">
        <v>22.23</v>
      </c>
      <c r="U22" s="112" t="n">
        <v>0</v>
      </c>
      <c r="V22" s="570" t="n">
        <v>2.3</v>
      </c>
      <c r="W22" s="474" t="n">
        <v>225</v>
      </c>
      <c r="X22" s="474" t="n"/>
      <c r="Y22" s="569" t="n">
        <v>500</v>
      </c>
      <c r="Z22" s="569" t="n"/>
      <c r="AA22" s="571">
        <f>Y22-Z22</f>
        <v/>
      </c>
      <c r="AB22" s="570">
        <f>(S22-V22)*V22*W22*0.024653*Y22/1000000</f>
        <v/>
      </c>
      <c r="AC22" s="123" t="n"/>
      <c r="AD22" s="124">
        <f>AB22-AC22</f>
        <v/>
      </c>
      <c r="AE22" s="572" t="n"/>
      <c r="AF22" s="10" t="n"/>
      <c r="AG22" s="10" t="n"/>
      <c r="AH22" s="10" t="n"/>
      <c r="AI22" s="121" t="n"/>
    </row>
    <row r="23">
      <c r="A23" s="594" t="n">
        <v>587</v>
      </c>
      <c r="B23" s="568" t="n"/>
      <c r="C23" s="569" t="inlineStr">
        <is>
          <t>ELKAYEM AMPERE</t>
        </is>
      </c>
      <c r="D23" s="569" t="n"/>
      <c r="E23" s="569" t="n"/>
      <c r="F23" s="9" t="n">
        <v>3472304</v>
      </c>
      <c r="G23" s="9" t="inlineStr">
        <is>
          <t>TUB-O-N-AUT-AW-FC-48.60X4.000X0.5650</t>
        </is>
      </c>
      <c r="H23" s="569" t="inlineStr">
        <is>
          <t>ERW 2</t>
        </is>
      </c>
      <c r="I23" s="569" t="n"/>
      <c r="J23" s="569" t="n"/>
      <c r="K23" s="569" t="n"/>
      <c r="L23" s="569" t="n"/>
      <c r="M23" s="569" t="n"/>
      <c r="N23" s="569" t="n"/>
      <c r="O23" s="569" t="n"/>
      <c r="P23" s="569">
        <f>CONCATENATE(schedule13[[#This Row],[OD]],"-",schedule13[[#This Row],[ID]],"-",schedule13[[#This Row],[TICKNESS]],"-",schedule13[[#This Row],[GRADE]],"-",schedule13[[#This Row],[FC/NFC]])</f>
        <v/>
      </c>
      <c r="Q23" s="569" t="n"/>
      <c r="R23" s="569" t="n"/>
      <c r="S23" s="570" t="n">
        <v>48.6</v>
      </c>
      <c r="T23" s="570" t="n">
        <v>48.6</v>
      </c>
      <c r="U23" s="112" t="n">
        <v>0</v>
      </c>
      <c r="V23" s="570" t="n">
        <v>4</v>
      </c>
      <c r="W23" s="474" t="n">
        <v>565</v>
      </c>
      <c r="X23" s="474" t="n"/>
      <c r="Y23" s="569" t="n">
        <v>3000</v>
      </c>
      <c r="Z23" s="569" t="n"/>
      <c r="AA23" s="571">
        <f>Y23-Z23</f>
        <v/>
      </c>
      <c r="AB23" s="570">
        <f>(S23-V23)*V23*W23*0.024653*Y23/1000000</f>
        <v/>
      </c>
      <c r="AC23" s="123" t="n"/>
      <c r="AD23" s="124">
        <f>AB23-AC23</f>
        <v/>
      </c>
      <c r="AE23" s="572" t="n"/>
      <c r="AF23" s="10" t="n"/>
      <c r="AG23" s="10" t="n"/>
      <c r="AH23" s="10" t="n"/>
      <c r="AI23" s="121" t="n"/>
    </row>
    <row r="24">
      <c r="A24" s="594" t="n">
        <v>588</v>
      </c>
      <c r="B24" s="568" t="n"/>
      <c r="C24" s="569" t="inlineStr">
        <is>
          <t>ELKAYEM AMPERE</t>
        </is>
      </c>
      <c r="D24" s="569" t="n"/>
      <c r="E24" s="569" t="n"/>
      <c r="F24" s="569" t="n">
        <v>3499121</v>
      </c>
      <c r="G24" s="569" t="inlineStr">
        <is>
          <t>TUB-N-AUT-BH-FC-42.70X4.000X0.2900</t>
        </is>
      </c>
      <c r="H24" s="569" t="inlineStr">
        <is>
          <t>ERW 1</t>
        </is>
      </c>
      <c r="I24" s="569" t="n"/>
      <c r="J24" s="569" t="n"/>
      <c r="K24" s="569" t="n"/>
      <c r="L24" s="569" t="n"/>
      <c r="M24" s="569" t="n"/>
      <c r="N24" s="569" t="n"/>
      <c r="O24" s="569" t="n"/>
      <c r="P24" s="569">
        <f>CONCATENATE(schedule13[[#This Row],[OD]],"-",schedule13[[#This Row],[ID]],"-",schedule13[[#This Row],[TICKNESS]],"-",schedule13[[#This Row],[GRADE]],"-",schedule13[[#This Row],[FC/NFC]])</f>
        <v/>
      </c>
      <c r="Q24" s="569" t="n"/>
      <c r="R24" s="569" t="n"/>
      <c r="S24" s="570" t="n">
        <v>42.7</v>
      </c>
      <c r="T24" s="570" t="n">
        <v>42.7</v>
      </c>
      <c r="U24" s="112" t="n">
        <v>0</v>
      </c>
      <c r="V24" s="570" t="n">
        <v>4</v>
      </c>
      <c r="W24" s="474" t="n">
        <v>290</v>
      </c>
      <c r="X24" s="474" t="n"/>
      <c r="Y24" s="569" t="n">
        <v>4006</v>
      </c>
      <c r="Z24" s="569" t="n"/>
      <c r="AA24" s="571">
        <f>Y24-Z24</f>
        <v/>
      </c>
      <c r="AB24" s="570">
        <f>(S24-V24)*V24*W24*0.024653*Y24/1000000</f>
        <v/>
      </c>
      <c r="AC24" s="123" t="n"/>
      <c r="AD24" s="124">
        <f>AB24-AC24</f>
        <v/>
      </c>
      <c r="AE24" s="572" t="n"/>
      <c r="AF24" s="10" t="n"/>
      <c r="AG24" s="10" t="n"/>
      <c r="AH24" s="10" t="n"/>
      <c r="AI24" s="121" t="n"/>
    </row>
    <row r="25" hidden="1" s="584">
      <c r="A25" s="594" t="n">
        <v>410</v>
      </c>
      <c r="B25" s="5" t="inlineStr">
        <is>
          <t>Hosur</t>
        </is>
      </c>
      <c r="C25" s="601" t="inlineStr">
        <is>
          <t>ELKAYEM AUTO</t>
        </is>
      </c>
      <c r="D25" s="601" t="n"/>
      <c r="E25" s="601" t="n">
        <v>129663</v>
      </c>
      <c r="F25" s="601" t="n">
        <v>2397074</v>
      </c>
      <c r="G25" s="601" t="inlineStr">
        <is>
          <t>TUB-O-N-AUT-AW-FC-28.58X2.000X0.4690</t>
        </is>
      </c>
      <c r="H25" s="601" t="inlineStr">
        <is>
          <t>ERW 1</t>
        </is>
      </c>
      <c r="I25" s="601" t="n"/>
      <c r="J25" s="601" t="n"/>
      <c r="K25" s="601" t="inlineStr">
        <is>
          <t>HR</t>
        </is>
      </c>
      <c r="L25" s="601" t="n"/>
      <c r="M25" s="601" t="n"/>
      <c r="N25" s="601" t="n"/>
      <c r="O25" s="601" t="n"/>
      <c r="P25" s="557">
        <f>CONCATENATE(schedule13[[#This Row],[OD]],"-",schedule13[[#This Row],[ID]],"-",schedule13[[#This Row],[TICKNESS]],"-",schedule13[[#This Row],[GRADE]],"-",schedule13[[#This Row],[FC/NFC]])</f>
        <v/>
      </c>
      <c r="Q25" s="557" t="n"/>
      <c r="R25" s="557" t="n"/>
      <c r="S25" s="599" t="n">
        <v>28.58</v>
      </c>
      <c r="T25" s="599" t="n">
        <v>28.58</v>
      </c>
      <c r="U25" s="599" t="n">
        <v>0</v>
      </c>
      <c r="V25" s="599" t="n">
        <v>2</v>
      </c>
      <c r="W25" s="22" t="n">
        <v>469</v>
      </c>
      <c r="X25" s="22" t="n"/>
      <c r="Y25" s="601" t="n">
        <v>0</v>
      </c>
      <c r="Z25" s="601" t="n"/>
      <c r="AA25" s="602">
        <f>Y25-Z25</f>
        <v/>
      </c>
      <c r="AB25" s="599">
        <f>(S25-V25)*V25*W25*0.024653*Y25/1000000</f>
        <v/>
      </c>
      <c r="AC25" s="599">
        <f>(S25-V25)*V25*W25*0.024653*Z25/1000000</f>
        <v/>
      </c>
      <c r="AD25" s="599">
        <f>AB25-AC25</f>
        <v/>
      </c>
      <c r="AE25" s="599" t="n"/>
      <c r="AF25" s="599" t="n">
        <v>4.775849999999999</v>
      </c>
      <c r="AG25" s="599" t="n"/>
      <c r="AH25" s="599">
        <f>AB24-AF25</f>
        <v/>
      </c>
      <c r="AI25" s="118">
        <f>(AC25+AF25)/AB24</f>
        <v/>
      </c>
    </row>
    <row r="26" hidden="1" s="584">
      <c r="A26" s="594" t="n">
        <v>411</v>
      </c>
      <c r="B26" s="5" t="inlineStr">
        <is>
          <t>Hosur</t>
        </is>
      </c>
      <c r="C26" s="601" t="inlineStr">
        <is>
          <t>ELKAYEM AUTO</t>
        </is>
      </c>
      <c r="D26" s="601" t="n"/>
      <c r="E26" s="601" t="n">
        <v>129663</v>
      </c>
      <c r="F26" s="601" t="n">
        <v>1932548</v>
      </c>
      <c r="G26" s="601" t="inlineStr">
        <is>
          <t>TUB-S-AW-SHS-25.00X25.00X2.000X6.0000</t>
        </is>
      </c>
      <c r="H26" s="601" t="inlineStr">
        <is>
          <t>ERW 1</t>
        </is>
      </c>
      <c r="I26" s="601" t="n"/>
      <c r="J26" s="601" t="n"/>
      <c r="K26" s="601" t="inlineStr">
        <is>
          <t>HR</t>
        </is>
      </c>
      <c r="L26" s="601" t="n"/>
      <c r="M26" s="601" t="n"/>
      <c r="N26" s="601" t="n"/>
      <c r="O26" s="601" t="n"/>
      <c r="P26" s="557">
        <f>CONCATENATE(schedule13[[#This Row],[OD]],"-",schedule13[[#This Row],[ID]],"-",schedule13[[#This Row],[TICKNESS]],"-",schedule13[[#This Row],[GRADE]],"-",schedule13[[#This Row],[FC/NFC]])</f>
        <v/>
      </c>
      <c r="Q26" s="557" t="n"/>
      <c r="R26" s="557" t="n"/>
      <c r="S26" s="599" t="n">
        <v>31.75</v>
      </c>
      <c r="T26" s="599" t="n">
        <v>25</v>
      </c>
      <c r="U26" s="599" t="n">
        <v>25</v>
      </c>
      <c r="V26" s="599" t="n">
        <v>2</v>
      </c>
      <c r="W26" s="22" t="n">
        <v>6000</v>
      </c>
      <c r="X26" s="22" t="n"/>
      <c r="Y26" s="601" t="n">
        <v>0</v>
      </c>
      <c r="Z26" s="601" t="n"/>
      <c r="AA26" s="602">
        <f>Y26-Z26</f>
        <v/>
      </c>
      <c r="AB26" s="599">
        <f>(S26-V26)*V26*W26*0.024653*Y26/1000000</f>
        <v/>
      </c>
      <c r="AC26" s="599">
        <f>(S26-V26)*V26*W26*0.024653*Z26/1000000</f>
        <v/>
      </c>
      <c r="AD26" s="599">
        <f>AB26-AC26</f>
        <v/>
      </c>
      <c r="AE26" s="599" t="n"/>
      <c r="AF26" s="599" t="n">
        <v>0.089</v>
      </c>
      <c r="AG26" s="599" t="n"/>
      <c r="AH26" s="599">
        <f>AB25-AF26</f>
        <v/>
      </c>
      <c r="AI26" s="118">
        <f>(AC26+AF26)/AB25</f>
        <v/>
      </c>
    </row>
    <row r="27" hidden="1" s="584">
      <c r="A27" s="594" t="n">
        <v>412</v>
      </c>
      <c r="B27" s="5" t="inlineStr">
        <is>
          <t>Hosur</t>
        </is>
      </c>
      <c r="C27" s="601" t="inlineStr">
        <is>
          <t>ELKAYEM AUTO</t>
        </is>
      </c>
      <c r="D27" s="601" t="n"/>
      <c r="E27" s="601" t="n">
        <v>129663</v>
      </c>
      <c r="F27" s="601" t="inlineStr">
        <is>
          <t>NO MATERIAL CODE</t>
        </is>
      </c>
      <c r="G27" s="601" t="n"/>
      <c r="H27" s="601" t="n"/>
      <c r="I27" s="601" t="n"/>
      <c r="J27" s="601" t="n"/>
      <c r="K27" s="601" t="inlineStr">
        <is>
          <t>HR</t>
        </is>
      </c>
      <c r="L27" s="601" t="n"/>
      <c r="M27" s="601" t="n"/>
      <c r="N27" s="601" t="n"/>
      <c r="O27" s="601" t="n"/>
      <c r="P27" s="557">
        <f>CONCATENATE(schedule13[[#This Row],[OD]],"-",schedule13[[#This Row],[ID]],"-",schedule13[[#This Row],[TICKNESS]],"-",schedule13[[#This Row],[GRADE]],"-",schedule13[[#This Row],[FC/NFC]])</f>
        <v/>
      </c>
      <c r="Q27" s="557" t="n"/>
      <c r="R27" s="557" t="n"/>
      <c r="S27" s="599" t="n">
        <v>12.7</v>
      </c>
      <c r="T27" s="599" t="n">
        <v>12.7</v>
      </c>
      <c r="U27" s="599" t="n">
        <v>0</v>
      </c>
      <c r="V27" s="599" t="n">
        <v>1.6</v>
      </c>
      <c r="W27" s="22" t="n">
        <v>252</v>
      </c>
      <c r="X27" s="22" t="n"/>
      <c r="Y27" s="601" t="n">
        <v>0</v>
      </c>
      <c r="Z27" s="601" t="n"/>
      <c r="AA27" s="602">
        <f>Y27-Z27</f>
        <v/>
      </c>
      <c r="AB27" s="599">
        <f>(S27-V27)*V27*W27*0.024653*Y27/1000000</f>
        <v/>
      </c>
      <c r="AC27" s="599">
        <f>(S27-V27)*V27*W27*0.024653*Z27/1000000</f>
        <v/>
      </c>
      <c r="AD27" s="599">
        <f>AB27-AC27</f>
        <v/>
      </c>
      <c r="AE27" s="599" t="n"/>
      <c r="AF27" s="599" t="n"/>
      <c r="AG27" s="599" t="n"/>
      <c r="AH27" s="599">
        <f>AB26-AF27</f>
        <v/>
      </c>
      <c r="AI27" s="118" t="n"/>
    </row>
    <row r="28" hidden="1" s="584">
      <c r="A28" s="594" t="n">
        <v>413</v>
      </c>
      <c r="B28" s="5" t="inlineStr">
        <is>
          <t>Hosur</t>
        </is>
      </c>
      <c r="C28" s="601" t="inlineStr">
        <is>
          <t>ELKAYEM AUTO</t>
        </is>
      </c>
      <c r="D28" s="601" t="n"/>
      <c r="E28" s="601" t="n">
        <v>129663</v>
      </c>
      <c r="F28" s="601" t="n">
        <v>1940588</v>
      </c>
      <c r="G28" s="601" t="inlineStr">
        <is>
          <t>TUB-O-O-AUT-AW-FC-25.40X2.000X0.3550</t>
        </is>
      </c>
      <c r="H28" s="601" t="inlineStr">
        <is>
          <t>ERW 1</t>
        </is>
      </c>
      <c r="I28" s="601" t="n"/>
      <c r="J28" s="601" t="inlineStr">
        <is>
          <t>FC</t>
        </is>
      </c>
      <c r="K28" s="601" t="inlineStr">
        <is>
          <t>HR</t>
        </is>
      </c>
      <c r="L28" s="601" t="n"/>
      <c r="M28" s="601" t="n"/>
      <c r="N28" s="601" t="n"/>
      <c r="O28" s="601" t="n"/>
      <c r="P28" s="557">
        <f>CONCATENATE(schedule13[[#This Row],[OD]],"-",schedule13[[#This Row],[ID]],"-",schedule13[[#This Row],[TICKNESS]],"-",schedule13[[#This Row],[GRADE]],"-",schedule13[[#This Row],[FC/NFC]])</f>
        <v/>
      </c>
      <c r="Q28" s="557" t="n"/>
      <c r="R28" s="557" t="n"/>
      <c r="S28" s="599" t="n">
        <v>25.4</v>
      </c>
      <c r="T28" s="599" t="n">
        <v>25.4</v>
      </c>
      <c r="U28" s="599" t="n">
        <v>0</v>
      </c>
      <c r="V28" s="599" t="n">
        <v>2</v>
      </c>
      <c r="W28" s="23" t="n">
        <v>355</v>
      </c>
      <c r="X28" s="23" t="n"/>
      <c r="Y28" s="7" t="n">
        <v>2500</v>
      </c>
      <c r="Z28" s="601" t="n"/>
      <c r="AA28" s="602">
        <f>Y28-Z28</f>
        <v/>
      </c>
      <c r="AB28" s="599">
        <f>(S28-V28)*V28*W28*0.024653*Y28/1000000</f>
        <v/>
      </c>
      <c r="AC28" s="599">
        <f>(S28-V28)*V28*W28*0.024653*Z28/1000000</f>
        <v/>
      </c>
      <c r="AD28" s="599">
        <f>AB28-AC28</f>
        <v/>
      </c>
      <c r="AE28" s="599" t="n"/>
      <c r="AF28" s="599" t="n"/>
      <c r="AG28" s="599" t="n"/>
      <c r="AH28" s="599">
        <f>AB27-AF28</f>
        <v/>
      </c>
      <c r="AI28" s="118">
        <f>(AC28+AF28)/AB27</f>
        <v/>
      </c>
    </row>
    <row r="29" hidden="1" s="584">
      <c r="A29" s="594" t="n">
        <v>414</v>
      </c>
      <c r="B29" s="5" t="inlineStr">
        <is>
          <t>Hosur</t>
        </is>
      </c>
      <c r="C29" s="601" t="inlineStr">
        <is>
          <t>ELKAYEM AUTO</t>
        </is>
      </c>
      <c r="D29" s="601" t="n"/>
      <c r="E29" s="601" t="n">
        <v>129663</v>
      </c>
      <c r="F29" s="601" t="n">
        <v>1939966</v>
      </c>
      <c r="G29" s="601" t="inlineStr">
        <is>
          <t>TUB-O-O-AUT-AW-PE-12.70X1.200X0.4080</t>
        </is>
      </c>
      <c r="H29" s="601" t="inlineStr">
        <is>
          <t>ERW 1</t>
        </is>
      </c>
      <c r="I29" s="601" t="n"/>
      <c r="J29" s="601" t="inlineStr">
        <is>
          <t>PE</t>
        </is>
      </c>
      <c r="K29" s="601" t="inlineStr">
        <is>
          <t>CR</t>
        </is>
      </c>
      <c r="L29" s="601" t="n"/>
      <c r="M29" s="601" t="n"/>
      <c r="N29" s="601" t="n"/>
      <c r="O29" s="601" t="n"/>
      <c r="P29" s="557">
        <f>CONCATENATE(schedule13[[#This Row],[OD]],"-",schedule13[[#This Row],[ID]],"-",schedule13[[#This Row],[TICKNESS]],"-",schedule13[[#This Row],[GRADE]],"-",schedule13[[#This Row],[FC/NFC]])</f>
        <v/>
      </c>
      <c r="Q29" s="557" t="n"/>
      <c r="R29" s="557" t="n"/>
      <c r="S29" s="599" t="n">
        <v>12.7</v>
      </c>
      <c r="T29" s="599" t="n">
        <v>12.7</v>
      </c>
      <c r="U29" s="599" t="n">
        <v>0</v>
      </c>
      <c r="V29" s="599" t="n">
        <v>1.2</v>
      </c>
      <c r="W29" s="23" t="n">
        <v>408</v>
      </c>
      <c r="X29" s="23" t="n"/>
      <c r="Y29" s="7" t="n">
        <v>15000</v>
      </c>
      <c r="Z29" s="601" t="n"/>
      <c r="AA29" s="602">
        <f>Y29-Z29</f>
        <v/>
      </c>
      <c r="AB29" s="599">
        <f>(S29-V29)*V29*W29*0.024653*Y29/1000000</f>
        <v/>
      </c>
      <c r="AC29" s="599">
        <f>(S29-V29)*V29*W29*0.024653*Z29/1000000</f>
        <v/>
      </c>
      <c r="AD29" s="599">
        <f>AB29-AC29</f>
        <v/>
      </c>
      <c r="AE29" s="599" t="n"/>
      <c r="AF29" s="599" t="n">
        <v>1.25622</v>
      </c>
      <c r="AG29" s="599" t="n"/>
      <c r="AH29" s="599">
        <f>AB28-AF29</f>
        <v/>
      </c>
      <c r="AI29" s="118">
        <f>(AC29+AF29)/AB28</f>
        <v/>
      </c>
    </row>
    <row r="30" hidden="1" s="584">
      <c r="A30" s="594" t="n">
        <v>415</v>
      </c>
      <c r="B30" s="5" t="inlineStr">
        <is>
          <t>Hosur</t>
        </is>
      </c>
      <c r="C30" s="601" t="inlineStr">
        <is>
          <t>ELKAYEM AUTO</t>
        </is>
      </c>
      <c r="D30" s="601" t="n"/>
      <c r="E30" s="601" t="n">
        <v>129663</v>
      </c>
      <c r="F30" s="601" t="n"/>
      <c r="G30" s="601" t="inlineStr">
        <is>
          <t>TUB-O-N-AUT-AW-FC-28.58X2.000X0.475</t>
        </is>
      </c>
      <c r="H30" s="601" t="inlineStr">
        <is>
          <t>ERW 1</t>
        </is>
      </c>
      <c r="I30" s="601" t="n"/>
      <c r="J30" s="601" t="inlineStr">
        <is>
          <t>FC</t>
        </is>
      </c>
      <c r="K30" s="601" t="inlineStr">
        <is>
          <t>HR</t>
        </is>
      </c>
      <c r="L30" s="601" t="n"/>
      <c r="M30" s="601" t="n"/>
      <c r="N30" s="601" t="n"/>
      <c r="O30" s="601" t="n"/>
      <c r="P30" s="557">
        <f>CONCATENATE(schedule13[[#This Row],[OD]],"-",schedule13[[#This Row],[ID]],"-",schedule13[[#This Row],[TICKNESS]],"-",schedule13[[#This Row],[GRADE]],"-",schedule13[[#This Row],[FC/NFC]])</f>
        <v/>
      </c>
      <c r="Q30" s="557" t="n"/>
      <c r="R30" s="557" t="n"/>
      <c r="S30" s="599" t="n">
        <v>28.58</v>
      </c>
      <c r="T30" s="599" t="n">
        <v>28.58</v>
      </c>
      <c r="U30" s="599" t="n">
        <v>0</v>
      </c>
      <c r="V30" s="599" t="n">
        <v>2</v>
      </c>
      <c r="W30" s="23" t="n">
        <v>475</v>
      </c>
      <c r="X30" s="23" t="n"/>
      <c r="Y30" s="7" t="n">
        <v>13500</v>
      </c>
      <c r="Z30" s="601" t="n"/>
      <c r="AA30" s="602">
        <f>Y30-Z30</f>
        <v/>
      </c>
      <c r="AB30" s="599">
        <f>(S30-V30)*V30*W30*0.024653*Y30/1000000</f>
        <v/>
      </c>
      <c r="AC30" s="599">
        <f>(S30-V30)*V30*W30*0.024653*Z30/1000000</f>
        <v/>
      </c>
      <c r="AD30" s="599">
        <f>AB30-AC30</f>
        <v/>
      </c>
      <c r="AE30" s="599" t="n"/>
      <c r="AF30" s="599" t="n"/>
      <c r="AG30" s="599" t="n"/>
      <c r="AH30" s="599">
        <f>AB29-AF30</f>
        <v/>
      </c>
      <c r="AI30" s="118">
        <f>(AC30+AF30)/AB29</f>
        <v/>
      </c>
    </row>
    <row r="31" hidden="1" s="584">
      <c r="A31" s="594" t="n">
        <v>416</v>
      </c>
      <c r="B31" s="5" t="inlineStr">
        <is>
          <t>Hosur</t>
        </is>
      </c>
      <c r="C31" s="601" t="inlineStr">
        <is>
          <t>ELKAYEM AUTO</t>
        </is>
      </c>
      <c r="D31" s="601" t="n"/>
      <c r="E31" s="601" t="n">
        <v>129663</v>
      </c>
      <c r="F31" s="601" t="n">
        <v>3598957</v>
      </c>
      <c r="G31" s="601" t="inlineStr">
        <is>
          <t>TUB-O-N-AUT-AW-FC-28.58X1.600X0.4140</t>
        </is>
      </c>
      <c r="H31" s="601" t="inlineStr">
        <is>
          <t>ERW 1</t>
        </is>
      </c>
      <c r="I31" s="601" t="n"/>
      <c r="J31" s="601" t="inlineStr">
        <is>
          <t>FC</t>
        </is>
      </c>
      <c r="K31" s="601" t="inlineStr">
        <is>
          <t>CR</t>
        </is>
      </c>
      <c r="L31" s="596" t="inlineStr">
        <is>
          <t>HROP</t>
        </is>
      </c>
      <c r="M31" s="601" t="n"/>
      <c r="N31" s="601" t="n"/>
      <c r="O31" s="601" t="n"/>
      <c r="P31" s="557">
        <f>CONCATENATE(schedule13[[#This Row],[OD]],"-",schedule13[[#This Row],[ID]],"-",schedule13[[#This Row],[TICKNESS]],"-",schedule13[[#This Row],[GRADE]],"-",schedule13[[#This Row],[FC/NFC]])</f>
        <v/>
      </c>
      <c r="Q31" s="557" t="n"/>
      <c r="R31" s="557" t="n"/>
      <c r="S31" s="599" t="n">
        <v>28.58</v>
      </c>
      <c r="T31" s="599" t="n">
        <v>28.58</v>
      </c>
      <c r="U31" s="6" t="n">
        <v>0</v>
      </c>
      <c r="V31" s="599" t="n">
        <v>1.6</v>
      </c>
      <c r="W31" s="23" t="n">
        <v>414</v>
      </c>
      <c r="X31" s="23" t="n"/>
      <c r="Y31" s="7" t="n">
        <v>15000</v>
      </c>
      <c r="Z31" s="601" t="n"/>
      <c r="AA31" s="602">
        <f>Y31-Z31</f>
        <v/>
      </c>
      <c r="AB31" s="599">
        <f>(S31-V31)*V31*W31*0.024653*Y31/1000000</f>
        <v/>
      </c>
      <c r="AC31" s="599">
        <f>(S31-V31)*V31*W31*0.024653*Z31/1000000</f>
        <v/>
      </c>
      <c r="AD31" s="599">
        <f>AB31-AC31</f>
        <v/>
      </c>
      <c r="AE31" s="599" t="n"/>
      <c r="AF31" s="599" t="n"/>
      <c r="AG31" s="599" t="n"/>
      <c r="AH31" s="599" t="n"/>
      <c r="AI31" s="118" t="n"/>
    </row>
    <row r="32" hidden="1" s="584">
      <c r="A32" s="594" t="n">
        <v>417</v>
      </c>
      <c r="B32" s="5" t="inlineStr">
        <is>
          <t>Hosur</t>
        </is>
      </c>
      <c r="C32" s="601" t="inlineStr">
        <is>
          <t>ELKAYEM AUTO</t>
        </is>
      </c>
      <c r="D32" s="601" t="n"/>
      <c r="E32" s="601" t="n">
        <v>129663</v>
      </c>
      <c r="F32" s="601" t="n">
        <v>1940815</v>
      </c>
      <c r="G32" s="601" t="inlineStr">
        <is>
          <t>TUB-R-AW-RHS-40.00X20.00X1.600X0.4800</t>
        </is>
      </c>
      <c r="H32" s="601" t="inlineStr">
        <is>
          <t>ERW 1</t>
        </is>
      </c>
      <c r="I32" s="601" t="n"/>
      <c r="J32" s="601" t="inlineStr">
        <is>
          <t>FC</t>
        </is>
      </c>
      <c r="K32" s="601" t="inlineStr">
        <is>
          <t>HR</t>
        </is>
      </c>
      <c r="L32" s="601" t="inlineStr">
        <is>
          <t>GR1</t>
        </is>
      </c>
      <c r="M32" s="601" t="n"/>
      <c r="N32" s="601" t="n"/>
      <c r="O32" s="601" t="inlineStr">
        <is>
          <t>SC</t>
        </is>
      </c>
      <c r="P32" s="557">
        <f>CONCATENATE(schedule13[[#This Row],[OD]],"-",schedule13[[#This Row],[ID]],"-",schedule13[[#This Row],[TICKNESS]],"-",schedule13[[#This Row],[GRADE]],"-",schedule13[[#This Row],[FC/NFC]])</f>
        <v/>
      </c>
      <c r="Q32" s="557" t="n"/>
      <c r="R32" s="557" t="n"/>
      <c r="S32" s="599" t="n">
        <v>38.1</v>
      </c>
      <c r="T32" s="599" t="n">
        <v>40</v>
      </c>
      <c r="U32" s="599" t="n">
        <v>20</v>
      </c>
      <c r="V32" s="599" t="n">
        <v>1.6</v>
      </c>
      <c r="W32" s="23" t="n">
        <v>480</v>
      </c>
      <c r="X32" s="23" t="n"/>
      <c r="Y32" s="7" t="n">
        <v>10000</v>
      </c>
      <c r="Z32" s="601" t="n"/>
      <c r="AA32" s="602">
        <f>Y32-Z32</f>
        <v/>
      </c>
      <c r="AB32" s="599">
        <f>(S32-V32)*V32*W32*0.024653*Y32/1000000</f>
        <v/>
      </c>
      <c r="AC32" s="599">
        <f>(S32-V32)*V32*W32*0.024653*Z32/1000000</f>
        <v/>
      </c>
      <c r="AD32" s="599">
        <f>AB32-AC32</f>
        <v/>
      </c>
      <c r="AE32" s="599" t="n"/>
      <c r="AF32" s="599" t="n">
        <v>2.858</v>
      </c>
      <c r="AG32" s="599" t="n"/>
      <c r="AH32" s="599">
        <f>AB31-AF32</f>
        <v/>
      </c>
      <c r="AI32" s="118">
        <f>(AC32+AF32)/AB31</f>
        <v/>
      </c>
    </row>
    <row r="33" hidden="1" s="584">
      <c r="A33" s="594" t="n">
        <v>418</v>
      </c>
      <c r="B33" s="5" t="inlineStr">
        <is>
          <t>Hosur</t>
        </is>
      </c>
      <c r="C33" s="601" t="inlineStr">
        <is>
          <t>ELKAYEM AUTO</t>
        </is>
      </c>
      <c r="D33" s="601" t="n"/>
      <c r="E33" s="601" t="n">
        <v>129663</v>
      </c>
      <c r="F33" s="601" t="n">
        <v>1940821</v>
      </c>
      <c r="G33" s="601" t="inlineStr">
        <is>
          <t>TUB-R-AW-RHS-40.00X25.00X1.600X0.5130</t>
        </is>
      </c>
      <c r="H33" s="601" t="inlineStr">
        <is>
          <t>ERW 1</t>
        </is>
      </c>
      <c r="I33" s="601" t="n"/>
      <c r="J33" s="601" t="inlineStr">
        <is>
          <t>FC</t>
        </is>
      </c>
      <c r="K33" s="601" t="inlineStr">
        <is>
          <t>CR</t>
        </is>
      </c>
      <c r="L33" s="596" t="inlineStr">
        <is>
          <t>GR1</t>
        </is>
      </c>
      <c r="M33" s="601" t="n"/>
      <c r="N33" s="601" t="n"/>
      <c r="O33" s="601" t="inlineStr">
        <is>
          <t>SC</t>
        </is>
      </c>
      <c r="P33" s="557">
        <f>CONCATENATE(schedule13[[#This Row],[OD]],"-",schedule13[[#This Row],[ID]],"-",schedule13[[#This Row],[TICKNESS]],"-",schedule13[[#This Row],[GRADE]],"-",schedule13[[#This Row],[FC/NFC]])</f>
        <v/>
      </c>
      <c r="Q33" s="557" t="n"/>
      <c r="R33" s="557" t="n"/>
      <c r="S33" s="599" t="n">
        <v>41.28</v>
      </c>
      <c r="T33" s="599" t="n">
        <v>40</v>
      </c>
      <c r="U33" s="599" t="n">
        <v>25</v>
      </c>
      <c r="V33" s="599" t="n">
        <v>1.6</v>
      </c>
      <c r="W33" s="23" t="n">
        <v>513</v>
      </c>
      <c r="X33" s="23" t="n"/>
      <c r="Y33" s="601" t="n">
        <v>6000</v>
      </c>
      <c r="Z33" s="601" t="n"/>
      <c r="AA33" s="602">
        <f>Y33-Z33</f>
        <v/>
      </c>
      <c r="AB33" s="599">
        <f>(S33-V33)*V33*W33*0.024653*Y33/1000000</f>
        <v/>
      </c>
      <c r="AC33" s="599">
        <f>(S33-V33)*V33*W33*0.024653*Z33/1000000</f>
        <v/>
      </c>
      <c r="AD33" s="599">
        <f>AB33-AC33</f>
        <v/>
      </c>
      <c r="AE33" s="599" t="n"/>
      <c r="AF33" s="599" t="n"/>
      <c r="AG33" s="599" t="n"/>
      <c r="AH33" s="599">
        <f>AB32-AF33</f>
        <v/>
      </c>
      <c r="AI33" s="118">
        <f>(AC33+AF33)/AB32</f>
        <v/>
      </c>
    </row>
    <row r="34" hidden="1" s="584">
      <c r="A34" s="594" t="n">
        <v>419</v>
      </c>
      <c r="B34" s="5" t="inlineStr">
        <is>
          <t>Hosur</t>
        </is>
      </c>
      <c r="C34" s="601" t="inlineStr">
        <is>
          <t>ELKAYEM AUTO</t>
        </is>
      </c>
      <c r="D34" s="601" t="n"/>
      <c r="E34" s="601" t="n">
        <v>129663</v>
      </c>
      <c r="F34" s="601" t="n">
        <v>3727212</v>
      </c>
      <c r="G34" s="601" t="inlineStr">
        <is>
          <t>TUB-O-N-AUT-AW-FC-28.58X1.600X0.2150</t>
        </is>
      </c>
      <c r="H34" s="601" t="inlineStr">
        <is>
          <t>ERW 1</t>
        </is>
      </c>
      <c r="I34" s="601" t="n"/>
      <c r="J34" s="601" t="inlineStr">
        <is>
          <t>FC</t>
        </is>
      </c>
      <c r="K34" s="601" t="inlineStr">
        <is>
          <t>CR</t>
        </is>
      </c>
      <c r="L34" s="596" t="inlineStr">
        <is>
          <t>HROP</t>
        </is>
      </c>
      <c r="M34" s="601" t="n"/>
      <c r="N34" s="601" t="n"/>
      <c r="O34" s="601" t="n"/>
      <c r="P34" s="557">
        <f>CONCATENATE(schedule13[[#This Row],[OD]],"-",schedule13[[#This Row],[ID]],"-",schedule13[[#This Row],[TICKNESS]],"-",schedule13[[#This Row],[GRADE]],"-",schedule13[[#This Row],[FC/NFC]])</f>
        <v/>
      </c>
      <c r="Q34" s="557" t="n"/>
      <c r="R34" s="557" t="n"/>
      <c r="S34" s="599" t="n">
        <v>28.58</v>
      </c>
      <c r="T34" s="599" t="n">
        <v>28.58</v>
      </c>
      <c r="U34" s="6" t="n">
        <v>0</v>
      </c>
      <c r="V34" s="599" t="n">
        <v>1.6</v>
      </c>
      <c r="W34" s="23" t="n">
        <v>215</v>
      </c>
      <c r="X34" s="23" t="n"/>
      <c r="Y34" s="601" t="n">
        <v>5000</v>
      </c>
      <c r="Z34" s="601" t="n"/>
      <c r="AA34" s="602">
        <f>Y34-Z34</f>
        <v/>
      </c>
      <c r="AB34" s="599">
        <f>(S34-V34)*V34*W34*0.024653*Y34/1000000</f>
        <v/>
      </c>
      <c r="AC34" s="599">
        <f>(S34-V34)*V34*W34*0.024653*Z34/1000000</f>
        <v/>
      </c>
      <c r="AD34" s="599">
        <f>AB34-AC34</f>
        <v/>
      </c>
      <c r="AE34" s="599" t="n"/>
      <c r="AF34" s="599" t="n">
        <v>1.01349</v>
      </c>
      <c r="AG34" s="599" t="n"/>
      <c r="AH34" s="599">
        <f>AB33-AF34</f>
        <v/>
      </c>
      <c r="AI34" s="118">
        <f>(AC34+AF34)/AB33</f>
        <v/>
      </c>
    </row>
    <row r="35" hidden="1" s="584">
      <c r="A35" s="594" t="n">
        <v>420</v>
      </c>
      <c r="B35" s="5" t="inlineStr">
        <is>
          <t>Hosur</t>
        </is>
      </c>
      <c r="C35" s="601" t="inlineStr">
        <is>
          <t>ELKAYEM AUTO</t>
        </is>
      </c>
      <c r="D35" s="601" t="n"/>
      <c r="E35" s="601" t="n">
        <v>129663</v>
      </c>
      <c r="F35" s="601" t="n">
        <v>1940822</v>
      </c>
      <c r="G35" s="601" t="inlineStr">
        <is>
          <t>TUB-R-AW-RHS-40.00X25.00X1.600X0.5360</t>
        </is>
      </c>
      <c r="H35" s="601" t="inlineStr">
        <is>
          <t>ERW 1</t>
        </is>
      </c>
      <c r="I35" s="601" t="n"/>
      <c r="J35" s="601" t="inlineStr">
        <is>
          <t>FC</t>
        </is>
      </c>
      <c r="K35" s="601" t="inlineStr">
        <is>
          <t>CR</t>
        </is>
      </c>
      <c r="L35" s="596" t="inlineStr">
        <is>
          <t>GR1</t>
        </is>
      </c>
      <c r="M35" s="601" t="n"/>
      <c r="N35" s="601" t="n"/>
      <c r="O35" s="601" t="inlineStr">
        <is>
          <t>SC</t>
        </is>
      </c>
      <c r="P35" s="557">
        <f>CONCATENATE(schedule13[[#This Row],[OD]],"-",schedule13[[#This Row],[ID]],"-",schedule13[[#This Row],[TICKNESS]],"-",schedule13[[#This Row],[GRADE]],"-",schedule13[[#This Row],[FC/NFC]])</f>
        <v/>
      </c>
      <c r="Q35" s="557" t="n"/>
      <c r="R35" s="557" t="n"/>
      <c r="S35" s="599" t="n">
        <v>41.28</v>
      </c>
      <c r="T35" s="599" t="n">
        <v>40</v>
      </c>
      <c r="U35" s="599" t="n">
        <v>25</v>
      </c>
      <c r="V35" s="599" t="n">
        <v>1.6</v>
      </c>
      <c r="W35" s="23" t="n">
        <v>536</v>
      </c>
      <c r="X35" s="23" t="n"/>
      <c r="Y35" s="7" t="n">
        <v>38000</v>
      </c>
      <c r="Z35" s="601" t="n"/>
      <c r="AA35" s="602">
        <f>Y35-Z35</f>
        <v/>
      </c>
      <c r="AB35" s="599">
        <f>(S35-V35)*V35*W35*0.024653*Y35/1000000</f>
        <v/>
      </c>
      <c r="AC35" s="599">
        <f>(S35-V35)*V35*W35*0.024653*Z35/1000000</f>
        <v/>
      </c>
      <c r="AD35" s="599">
        <f>AB35-AC35</f>
        <v/>
      </c>
      <c r="AE35" s="599" t="n"/>
      <c r="AF35" s="599" t="n">
        <v>1.499</v>
      </c>
      <c r="AG35" s="599" t="n"/>
      <c r="AH35" s="599">
        <f>AB34-AF35</f>
        <v/>
      </c>
      <c r="AI35" s="118">
        <f>(AC35+AF35)/AB34</f>
        <v/>
      </c>
    </row>
    <row r="36" hidden="1" s="584">
      <c r="A36" s="594" t="n">
        <v>421</v>
      </c>
      <c r="B36" s="5" t="inlineStr">
        <is>
          <t>Hosur</t>
        </is>
      </c>
      <c r="C36" s="601" t="inlineStr">
        <is>
          <t>ELKAYEM AUTO</t>
        </is>
      </c>
      <c r="D36" s="601" t="n"/>
      <c r="E36" s="601" t="n">
        <v>129663</v>
      </c>
      <c r="F36" s="601" t="n">
        <v>1940823</v>
      </c>
      <c r="G36" s="601" t="inlineStr">
        <is>
          <t>TUB-R-AW-RHS-40.00X25.00X1.600X0.5600</t>
        </is>
      </c>
      <c r="H36" s="601" t="inlineStr">
        <is>
          <t>ERW 1</t>
        </is>
      </c>
      <c r="I36" s="601" t="n"/>
      <c r="J36" s="601" t="inlineStr">
        <is>
          <t>FC</t>
        </is>
      </c>
      <c r="K36" s="601" t="inlineStr">
        <is>
          <t>CR</t>
        </is>
      </c>
      <c r="L36" s="596" t="inlineStr">
        <is>
          <t>GR1</t>
        </is>
      </c>
      <c r="M36" s="601" t="n"/>
      <c r="N36" s="601" t="n"/>
      <c r="O36" s="601" t="inlineStr">
        <is>
          <t>SC</t>
        </is>
      </c>
      <c r="P36" s="557">
        <f>CONCATENATE(schedule13[[#This Row],[OD]],"-",schedule13[[#This Row],[ID]],"-",schedule13[[#This Row],[TICKNESS]],"-",schedule13[[#This Row],[GRADE]],"-",schedule13[[#This Row],[FC/NFC]])</f>
        <v/>
      </c>
      <c r="Q36" s="557" t="n"/>
      <c r="R36" s="557" t="n"/>
      <c r="S36" s="599" t="n">
        <v>41.28</v>
      </c>
      <c r="T36" s="599" t="n">
        <v>40</v>
      </c>
      <c r="U36" s="599" t="n">
        <v>25</v>
      </c>
      <c r="V36" s="599" t="n">
        <v>1.6</v>
      </c>
      <c r="W36" s="23" t="n">
        <v>560</v>
      </c>
      <c r="X36" s="23" t="n"/>
      <c r="Y36" s="7" t="n">
        <v>16000</v>
      </c>
      <c r="Z36" s="601" t="n"/>
      <c r="AA36" s="602">
        <f>Y36-Z36</f>
        <v/>
      </c>
      <c r="AB36" s="599">
        <f>(S36-V36)*V36*W36*0.024653*Y36/1000000</f>
        <v/>
      </c>
      <c r="AC36" s="599">
        <f>(S36-V36)*V36*W36*0.024653*Z36/1000000</f>
        <v/>
      </c>
      <c r="AD36" s="599">
        <f>AB36-AC36</f>
        <v/>
      </c>
      <c r="AE36" s="599" t="n"/>
      <c r="AF36" s="599" t="n"/>
      <c r="AG36" s="599" t="n"/>
      <c r="AH36" s="599">
        <f>AB35-AF36</f>
        <v/>
      </c>
      <c r="AI36" s="118">
        <f>(AC36+AF36)/AB35</f>
        <v/>
      </c>
    </row>
    <row r="37" hidden="1" s="584">
      <c r="A37" s="594" t="n">
        <v>422</v>
      </c>
      <c r="B37" s="5" t="inlineStr">
        <is>
          <t>Hosur</t>
        </is>
      </c>
      <c r="C37" s="601" t="inlineStr">
        <is>
          <t>ELKAYEM AUTO</t>
        </is>
      </c>
      <c r="D37" s="601" t="n"/>
      <c r="E37" s="601" t="n">
        <v>129663</v>
      </c>
      <c r="F37" s="601" t="n">
        <v>1940825</v>
      </c>
      <c r="G37" s="601" t="inlineStr">
        <is>
          <t>TUB-R-AW-RHS-40.00X25.00X1.600X0.5850</t>
        </is>
      </c>
      <c r="H37" s="601" t="inlineStr">
        <is>
          <t>ERW 1</t>
        </is>
      </c>
      <c r="I37" s="601" t="n"/>
      <c r="J37" s="601" t="inlineStr">
        <is>
          <t>FC</t>
        </is>
      </c>
      <c r="K37" s="601" t="inlineStr">
        <is>
          <t>CR</t>
        </is>
      </c>
      <c r="L37" s="596" t="inlineStr">
        <is>
          <t>GR1</t>
        </is>
      </c>
      <c r="M37" s="601" t="n"/>
      <c r="N37" s="601" t="n"/>
      <c r="O37" s="601" t="inlineStr">
        <is>
          <t>SC</t>
        </is>
      </c>
      <c r="P37" s="557">
        <f>CONCATENATE(schedule13[[#This Row],[OD]],"-",schedule13[[#This Row],[ID]],"-",schedule13[[#This Row],[TICKNESS]],"-",schedule13[[#This Row],[GRADE]],"-",schedule13[[#This Row],[FC/NFC]])</f>
        <v/>
      </c>
      <c r="Q37" s="557" t="n"/>
      <c r="R37" s="557" t="n"/>
      <c r="S37" s="599" t="n">
        <v>41.28</v>
      </c>
      <c r="T37" s="599" t="n">
        <v>40</v>
      </c>
      <c r="U37" s="599" t="n">
        <v>25</v>
      </c>
      <c r="V37" s="599" t="n">
        <v>1.6</v>
      </c>
      <c r="W37" s="23" t="n">
        <v>585</v>
      </c>
      <c r="X37" s="23" t="n"/>
      <c r="Y37" s="7" t="n">
        <v>14500</v>
      </c>
      <c r="Z37" s="601" t="n"/>
      <c r="AA37" s="602">
        <f>Y37-Z37</f>
        <v/>
      </c>
      <c r="AB37" s="599">
        <f>(S37-V37)*V37*W37*0.024653*Y37/1000000</f>
        <v/>
      </c>
      <c r="AC37" s="599">
        <f>(S37-V37)*V37*W37*0.024653*Z37/1000000</f>
        <v/>
      </c>
      <c r="AD37" s="599">
        <f>AB37-AC37</f>
        <v/>
      </c>
      <c r="AE37" s="599" t="n"/>
      <c r="AF37" s="599" t="n"/>
      <c r="AG37" s="599" t="n"/>
      <c r="AH37" s="599">
        <f>AB36-AF37</f>
        <v/>
      </c>
      <c r="AI37" s="118">
        <f>(AC37+AF37)/AB36</f>
        <v/>
      </c>
    </row>
    <row r="38" hidden="1" s="584">
      <c r="A38" s="594" t="n">
        <v>423</v>
      </c>
      <c r="B38" s="5" t="inlineStr">
        <is>
          <t>Hosur</t>
        </is>
      </c>
      <c r="C38" s="601" t="inlineStr">
        <is>
          <t>ELKAYEM AUTO</t>
        </is>
      </c>
      <c r="D38" s="601" t="n"/>
      <c r="E38" s="601" t="n">
        <v>129663</v>
      </c>
      <c r="F38" s="601" t="n">
        <v>3441727</v>
      </c>
      <c r="G38" s="9" t="inlineStr">
        <is>
          <t>TUB-R-AW-AUT-40.00X30.00X1.600X6.0000</t>
        </is>
      </c>
      <c r="H38" s="601" t="inlineStr">
        <is>
          <t>ERW 1</t>
        </is>
      </c>
      <c r="I38" s="601" t="n"/>
      <c r="J38" s="601" t="inlineStr">
        <is>
          <t>FC</t>
        </is>
      </c>
      <c r="K38" s="601" t="inlineStr">
        <is>
          <t>HR</t>
        </is>
      </c>
      <c r="L38" s="601" t="n"/>
      <c r="M38" s="601" t="n"/>
      <c r="N38" s="601" t="n"/>
      <c r="O38" s="601" t="n"/>
      <c r="P38" s="557">
        <f>CONCATENATE(schedule13[[#This Row],[OD]],"-",schedule13[[#This Row],[ID]],"-",schedule13[[#This Row],[TICKNESS]],"-",schedule13[[#This Row],[GRADE]],"-",schedule13[[#This Row],[FC/NFC]])</f>
        <v/>
      </c>
      <c r="Q38" s="557" t="n"/>
      <c r="R38" s="557" t="n"/>
      <c r="S38" s="599" t="n">
        <v>44.45</v>
      </c>
      <c r="T38" s="599" t="n">
        <v>40</v>
      </c>
      <c r="U38" s="599" t="n">
        <v>30</v>
      </c>
      <c r="V38" s="599" t="n">
        <v>1.6</v>
      </c>
      <c r="W38" s="23" t="n">
        <v>6000</v>
      </c>
      <c r="X38" s="23" t="n"/>
      <c r="Y38" s="7" t="n">
        <v>250</v>
      </c>
      <c r="Z38" s="601" t="n"/>
      <c r="AA38" s="602">
        <f>Y38-Z38</f>
        <v/>
      </c>
      <c r="AB38" s="599">
        <f>(S38-V38)*V38*W38*0.024653*Y38/1000000</f>
        <v/>
      </c>
      <c r="AC38" s="599">
        <f>(S38-V38)*V38*W38*0.024653*Z38/1000000</f>
        <v/>
      </c>
      <c r="AD38" s="599">
        <f>AB38-AC38</f>
        <v/>
      </c>
      <c r="AE38" s="599" t="n"/>
      <c r="AF38" s="599" t="n">
        <v>6.376068</v>
      </c>
      <c r="AG38" s="599" t="n"/>
      <c r="AH38" s="599">
        <f>AB37-AF38</f>
        <v/>
      </c>
      <c r="AI38" s="118">
        <f>(AC38+AF38)/AB37</f>
        <v/>
      </c>
    </row>
    <row r="39" hidden="1" s="584">
      <c r="A39" s="594" t="n">
        <v>424</v>
      </c>
      <c r="B39" s="5" t="inlineStr">
        <is>
          <t>Hosur</t>
        </is>
      </c>
      <c r="C39" s="601" t="inlineStr">
        <is>
          <t>ELKAYEM AUTO</t>
        </is>
      </c>
      <c r="D39" s="601" t="n"/>
      <c r="E39" s="601" t="n">
        <v>129663</v>
      </c>
      <c r="F39" s="601" t="n">
        <v>1932559</v>
      </c>
      <c r="G39" s="601" t="inlineStr">
        <is>
          <t>TUB-R-AW-RHS-40.00X25.00X2.000X6.0000</t>
        </is>
      </c>
      <c r="H39" s="601" t="inlineStr">
        <is>
          <t>ERW 1</t>
        </is>
      </c>
      <c r="I39" s="601" t="n"/>
      <c r="J39" s="601" t="inlineStr">
        <is>
          <t>FC</t>
        </is>
      </c>
      <c r="K39" s="601" t="inlineStr">
        <is>
          <t>HR</t>
        </is>
      </c>
      <c r="L39" s="601" t="n"/>
      <c r="M39" s="601" t="n"/>
      <c r="N39" s="601" t="n"/>
      <c r="O39" s="601" t="inlineStr">
        <is>
          <t>SC</t>
        </is>
      </c>
      <c r="P39" s="557">
        <f>CONCATENATE(schedule13[[#This Row],[OD]],"-",schedule13[[#This Row],[ID]],"-",schedule13[[#This Row],[TICKNESS]],"-",schedule13[[#This Row],[GRADE]],"-",schedule13[[#This Row],[FC/NFC]])</f>
        <v/>
      </c>
      <c r="Q39" s="557" t="n"/>
      <c r="R39" s="557" t="n"/>
      <c r="S39" s="599" t="n">
        <v>41.28</v>
      </c>
      <c r="T39" s="599" t="n">
        <v>40</v>
      </c>
      <c r="U39" s="599" t="n">
        <v>25</v>
      </c>
      <c r="V39" s="599" t="n">
        <v>2</v>
      </c>
      <c r="W39" s="23" t="n">
        <v>6000</v>
      </c>
      <c r="X39" s="23" t="n"/>
      <c r="Y39" s="601" t="n">
        <v>209</v>
      </c>
      <c r="Z39" s="601" t="n"/>
      <c r="AA39" s="602">
        <f>Y39-Z39</f>
        <v/>
      </c>
      <c r="AB39" s="599">
        <f>(S39-V39)*V39*W39*0.024653*Y39/1000000</f>
        <v/>
      </c>
      <c r="AC39" s="599">
        <f>(S39-V39)*V39*W39*0.024653*Z39/1000000</f>
        <v/>
      </c>
      <c r="AD39" s="599">
        <f>AB39-AC39</f>
        <v/>
      </c>
      <c r="AE39" s="599" t="n"/>
      <c r="AF39" s="599" t="n"/>
      <c r="AG39" s="599" t="n"/>
      <c r="AH39" s="599" t="n"/>
      <c r="AI39" s="118" t="n"/>
    </row>
    <row r="40" hidden="1" s="584">
      <c r="A40" s="594" t="n">
        <v>425</v>
      </c>
      <c r="B40" s="5" t="inlineStr">
        <is>
          <t>Hosur</t>
        </is>
      </c>
      <c r="C40" s="601" t="inlineStr">
        <is>
          <t>ELKAYEM AUTO</t>
        </is>
      </c>
      <c r="D40" s="601" t="n"/>
      <c r="E40" s="601" t="n">
        <v>129663</v>
      </c>
      <c r="F40" s="601" t="n">
        <v>2427711</v>
      </c>
      <c r="G40" s="601" t="inlineStr">
        <is>
          <t>TUB-O-N-AUT-AW-PE-19.05X2.300X0.2850</t>
        </is>
      </c>
      <c r="H40" s="601" t="inlineStr">
        <is>
          <t>ERW 1</t>
        </is>
      </c>
      <c r="I40" s="601" t="n"/>
      <c r="J40" s="601" t="inlineStr">
        <is>
          <t>PE</t>
        </is>
      </c>
      <c r="K40" s="601" t="inlineStr">
        <is>
          <t>HR</t>
        </is>
      </c>
      <c r="L40" s="601" t="n"/>
      <c r="M40" s="601" t="n"/>
      <c r="N40" s="601" t="n"/>
      <c r="O40" s="601" t="n"/>
      <c r="P40" s="557">
        <f>CONCATENATE(schedule13[[#This Row],[OD]],"-",schedule13[[#This Row],[ID]],"-",schedule13[[#This Row],[TICKNESS]],"-",schedule13[[#This Row],[GRADE]],"-",schedule13[[#This Row],[FC/NFC]])</f>
        <v/>
      </c>
      <c r="Q40" s="557" t="n"/>
      <c r="R40" s="557" t="n"/>
      <c r="S40" s="599" t="n">
        <v>19.05</v>
      </c>
      <c r="T40" s="599" t="n">
        <v>19.05</v>
      </c>
      <c r="U40" s="599" t="n">
        <v>0</v>
      </c>
      <c r="V40" s="599" t="n">
        <v>2.3</v>
      </c>
      <c r="W40" s="23" t="n">
        <v>285</v>
      </c>
      <c r="X40" s="23" t="n"/>
      <c r="Y40" s="7" t="n">
        <v>5000</v>
      </c>
      <c r="Z40" s="601" t="n"/>
      <c r="AA40" s="602">
        <f>Y40-Z40</f>
        <v/>
      </c>
      <c r="AB40" s="599">
        <f>(S40-V40)*V40*W40*0.024653*Y40/1000000</f>
        <v/>
      </c>
      <c r="AC40" s="599">
        <f>(S40-V40)*V40*W40*0.024653*Z40/1000000</f>
        <v/>
      </c>
      <c r="AD40" s="599">
        <f>AB40-AC40</f>
        <v/>
      </c>
      <c r="AE40" s="599" t="n"/>
      <c r="AF40" s="599" t="n">
        <v>2.853581</v>
      </c>
      <c r="AG40" s="599" t="n"/>
      <c r="AH40" s="599">
        <f>AB39-AF40</f>
        <v/>
      </c>
      <c r="AI40" s="118">
        <f>(AC40+AF40)/AB39</f>
        <v/>
      </c>
    </row>
    <row r="41" hidden="1" s="584">
      <c r="A41" s="594" t="n">
        <v>426</v>
      </c>
      <c r="B41" s="5" t="inlineStr">
        <is>
          <t>Hosur</t>
        </is>
      </c>
      <c r="C41" s="601" t="inlineStr">
        <is>
          <t>ELKAYEM AUTO</t>
        </is>
      </c>
      <c r="D41" s="601" t="n"/>
      <c r="E41" s="601" t="n">
        <v>129663</v>
      </c>
      <c r="F41" s="601" t="n">
        <v>2427158</v>
      </c>
      <c r="G41" s="601" t="inlineStr">
        <is>
          <t>TUB-R-AW-AUT-50.00X30.00X1.600X0.6040</t>
        </is>
      </c>
      <c r="H41" s="601" t="inlineStr">
        <is>
          <t>ERW 1</t>
        </is>
      </c>
      <c r="I41" s="601" t="n"/>
      <c r="J41" s="601" t="inlineStr">
        <is>
          <t>FC</t>
        </is>
      </c>
      <c r="K41" s="601" t="inlineStr">
        <is>
          <t>HR</t>
        </is>
      </c>
      <c r="L41" s="601" t="inlineStr">
        <is>
          <t>HROP</t>
        </is>
      </c>
      <c r="M41" s="601" t="n"/>
      <c r="N41" s="601" t="n"/>
      <c r="O41" s="601" t="n"/>
      <c r="P41" s="557">
        <f>CONCATENATE(schedule13[[#This Row],[OD]],"-",schedule13[[#This Row],[ID]],"-",schedule13[[#This Row],[TICKNESS]],"-",schedule13[[#This Row],[GRADE]],"-",schedule13[[#This Row],[FC/NFC]])</f>
        <v/>
      </c>
      <c r="Q41" s="557" t="n"/>
      <c r="R41" s="557" t="n"/>
      <c r="S41" s="599" t="n">
        <v>50.8</v>
      </c>
      <c r="T41" s="599" t="n">
        <v>50</v>
      </c>
      <c r="U41" s="599" t="n">
        <v>30</v>
      </c>
      <c r="V41" s="599" t="n">
        <v>1.6</v>
      </c>
      <c r="W41" s="23" t="n">
        <v>604</v>
      </c>
      <c r="X41" s="23" t="n"/>
      <c r="Y41" s="7" t="n">
        <v>30000</v>
      </c>
      <c r="Z41" s="601" t="n"/>
      <c r="AA41" s="602">
        <f>Y41-Z41</f>
        <v/>
      </c>
      <c r="AB41" s="599">
        <f>(S41-V41)*V41*W41*0.024653*Y41/1000000</f>
        <v/>
      </c>
      <c r="AC41" s="599">
        <f>(S41-V41)*V41*W41*0.024653*Z41/1000000</f>
        <v/>
      </c>
      <c r="AD41" s="599">
        <f>AB41-AC41</f>
        <v/>
      </c>
      <c r="AE41" s="599" t="n"/>
      <c r="AF41" s="599" t="n"/>
      <c r="AG41" s="599" t="n"/>
      <c r="AH41" s="599">
        <f>AB40-AF41</f>
        <v/>
      </c>
      <c r="AI41" s="118">
        <f>(AC41+AF41)/AB40</f>
        <v/>
      </c>
    </row>
    <row r="42" hidden="1" s="584">
      <c r="A42" s="594" t="n">
        <v>427</v>
      </c>
      <c r="B42" s="5" t="inlineStr">
        <is>
          <t>Hosur</t>
        </is>
      </c>
      <c r="C42" s="601" t="inlineStr">
        <is>
          <t>ELKAYEM AUTO</t>
        </is>
      </c>
      <c r="D42" s="601" t="n"/>
      <c r="E42" s="601" t="n">
        <v>129663</v>
      </c>
      <c r="F42" s="601" t="n">
        <v>1940840</v>
      </c>
      <c r="G42" s="601" t="inlineStr">
        <is>
          <t>TUB-R-AW-RHS-40.00X30.00X2.000X6.0000</t>
        </is>
      </c>
      <c r="H42" s="601" t="inlineStr">
        <is>
          <t>ERW 1</t>
        </is>
      </c>
      <c r="I42" s="601" t="n"/>
      <c r="J42" s="601" t="inlineStr">
        <is>
          <t>FC</t>
        </is>
      </c>
      <c r="K42" s="601" t="inlineStr">
        <is>
          <t>HR</t>
        </is>
      </c>
      <c r="L42" s="601" t="n"/>
      <c r="M42" s="601" t="n"/>
      <c r="N42" s="601" t="n"/>
      <c r="O42" s="601" t="n"/>
      <c r="P42" s="557">
        <f>CONCATENATE(schedule13[[#This Row],[OD]],"-",schedule13[[#This Row],[ID]],"-",schedule13[[#This Row],[TICKNESS]],"-",schedule13[[#This Row],[GRADE]],"-",schedule13[[#This Row],[FC/NFC]])</f>
        <v/>
      </c>
      <c r="Q42" s="557" t="n"/>
      <c r="R42" s="557" t="n"/>
      <c r="S42" s="599" t="n">
        <v>44.45</v>
      </c>
      <c r="T42" s="599" t="n">
        <v>40</v>
      </c>
      <c r="U42" s="6" t="n">
        <v>30</v>
      </c>
      <c r="V42" s="599" t="n">
        <v>2</v>
      </c>
      <c r="W42" s="23" t="n">
        <v>6000</v>
      </c>
      <c r="X42" s="23" t="n"/>
      <c r="Y42" s="7" t="n">
        <v>500</v>
      </c>
      <c r="Z42" s="601" t="n"/>
      <c r="AA42" s="602">
        <f>Y42-Z42</f>
        <v/>
      </c>
      <c r="AB42" s="599">
        <f>(S42-V42)*V42*W42*0.024653*Y42/1000000</f>
        <v/>
      </c>
      <c r="AC42" s="599">
        <f>(S42-V42)*V42*W42*0.024653*Z42/1000000</f>
        <v/>
      </c>
      <c r="AD42" s="599">
        <f>AB42-AC42</f>
        <v/>
      </c>
      <c r="AE42" s="599" t="n"/>
      <c r="AF42" s="599" t="n">
        <v>11.085435</v>
      </c>
      <c r="AG42" s="599" t="n"/>
      <c r="AH42" s="599">
        <f>AB41-AF42</f>
        <v/>
      </c>
      <c r="AI42" s="118">
        <f>(AC42+AF42)/AB41</f>
        <v/>
      </c>
    </row>
    <row r="43" hidden="1" s="584">
      <c r="A43" s="594" t="n">
        <v>428</v>
      </c>
      <c r="B43" s="5" t="inlineStr">
        <is>
          <t>Hosur</t>
        </is>
      </c>
      <c r="C43" s="601" t="inlineStr">
        <is>
          <t>ELKAYEM AUTO</t>
        </is>
      </c>
      <c r="D43" s="601" t="n"/>
      <c r="E43" s="601" t="n">
        <v>129663</v>
      </c>
      <c r="F43" s="601" t="n">
        <v>1940313</v>
      </c>
      <c r="G43" s="601" t="inlineStr">
        <is>
          <t>TUB-O-O-AUT-AW-PE-19.05X2.300X0.3030</t>
        </is>
      </c>
      <c r="H43" s="601" t="inlineStr">
        <is>
          <t>ERW 1</t>
        </is>
      </c>
      <c r="I43" s="601" t="n"/>
      <c r="J43" s="601" t="inlineStr">
        <is>
          <t>PE</t>
        </is>
      </c>
      <c r="K43" s="601" t="inlineStr">
        <is>
          <t>HR</t>
        </is>
      </c>
      <c r="L43" s="601" t="n"/>
      <c r="M43" s="601" t="n"/>
      <c r="N43" s="601" t="n"/>
      <c r="O43" s="601" t="n"/>
      <c r="P43" s="557">
        <f>CONCATENATE(schedule13[[#This Row],[OD]],"-",schedule13[[#This Row],[ID]],"-",schedule13[[#This Row],[TICKNESS]],"-",schedule13[[#This Row],[GRADE]],"-",schedule13[[#This Row],[FC/NFC]])</f>
        <v/>
      </c>
      <c r="Q43" s="557" t="n"/>
      <c r="R43" s="557" t="n"/>
      <c r="S43" s="599" t="n">
        <v>19.05</v>
      </c>
      <c r="T43" s="599" t="n">
        <v>19.05</v>
      </c>
      <c r="U43" s="599" t="n">
        <v>0</v>
      </c>
      <c r="V43" s="599" t="n">
        <v>2.3</v>
      </c>
      <c r="W43" s="23" t="n">
        <v>303</v>
      </c>
      <c r="X43" s="23" t="n"/>
      <c r="Y43" s="7" t="n">
        <v>14000</v>
      </c>
      <c r="Z43" s="601" t="n"/>
      <c r="AA43" s="602">
        <f>Y43-Z43</f>
        <v/>
      </c>
      <c r="AB43" s="599">
        <f>(S43-V43)*V43*W43*0.024653*Y43/1000000</f>
        <v/>
      </c>
      <c r="AC43" s="599">
        <f>(S43-V43)*V43*W43*0.024653*Z43/1000000</f>
        <v/>
      </c>
      <c r="AD43" s="599">
        <f>AB43-AC43</f>
        <v/>
      </c>
      <c r="AE43" s="599" t="n"/>
      <c r="AF43" s="599" t="n">
        <v>2.762287000000001</v>
      </c>
      <c r="AG43" s="599" t="n"/>
      <c r="AH43" s="599">
        <f>AB42-AF43</f>
        <v/>
      </c>
      <c r="AI43" s="118">
        <f>(AC43+AF43)/AB42</f>
        <v/>
      </c>
    </row>
    <row r="44" hidden="1" s="584">
      <c r="A44" s="594" t="n">
        <v>429</v>
      </c>
      <c r="B44" s="5" t="inlineStr">
        <is>
          <t xml:space="preserve">Khopoli </t>
        </is>
      </c>
      <c r="C44" s="601" t="inlineStr">
        <is>
          <t>ELKAYEM AUTO</t>
        </is>
      </c>
      <c r="D44" s="601" t="n"/>
      <c r="E44" s="601" t="n">
        <v>129663</v>
      </c>
      <c r="F44" s="601" t="n">
        <v>3188792</v>
      </c>
      <c r="G44" s="601" t="inlineStr">
        <is>
          <t>TUB-O-C-AUT-AD-FC-16.00X2.800X04-06</t>
        </is>
      </c>
      <c r="H44" s="601" t="inlineStr">
        <is>
          <t>CEW</t>
        </is>
      </c>
      <c r="I44" s="601" t="n"/>
      <c r="J44" s="601" t="inlineStr">
        <is>
          <t>CEW</t>
        </is>
      </c>
      <c r="K44" s="601" t="inlineStr">
        <is>
          <t>HR</t>
        </is>
      </c>
      <c r="L44" s="601" t="n"/>
      <c r="M44" s="601" t="n"/>
      <c r="N44" s="601" t="n"/>
      <c r="O44" s="601" t="n"/>
      <c r="P44" s="557">
        <f>CONCATENATE(schedule13[[#This Row],[OD]],"-",schedule13[[#This Row],[ID]],"-",schedule13[[#This Row],[TICKNESS]],"-",schedule13[[#This Row],[GRADE]],"-",schedule13[[#This Row],[FC/NFC]])</f>
        <v/>
      </c>
      <c r="Q44" s="557" t="n"/>
      <c r="R44" s="557" t="n"/>
      <c r="S44" s="599" t="n">
        <v>16.1</v>
      </c>
      <c r="T44" s="599" t="n">
        <v>16.1</v>
      </c>
      <c r="U44" s="599" t="n">
        <v>0</v>
      </c>
      <c r="V44" s="599" t="n">
        <v>2.8</v>
      </c>
      <c r="W44" s="23" t="n">
        <v>4500</v>
      </c>
      <c r="X44" s="23" t="n"/>
      <c r="Y44" s="7" t="n">
        <v>667</v>
      </c>
      <c r="Z44" s="601" t="n"/>
      <c r="AA44" s="602">
        <f>Y44-Z44</f>
        <v/>
      </c>
      <c r="AB44" s="599">
        <f>(S44-V44)*V44*W44*0.024653*Y44/1000000</f>
        <v/>
      </c>
      <c r="AC44" s="599">
        <f>(S44-V44)*V44*W44*0.024653*Z44/1000000</f>
        <v/>
      </c>
      <c r="AD44" s="599">
        <f>AB44-AC44</f>
        <v/>
      </c>
      <c r="AE44" s="599" t="n"/>
      <c r="AF44" s="599" t="n"/>
      <c r="AG44" s="599" t="n"/>
      <c r="AH44" s="599">
        <f>AB43-AF44</f>
        <v/>
      </c>
      <c r="AI44" s="118">
        <f>(AC44+AF44)/AB43</f>
        <v/>
      </c>
    </row>
    <row r="45" hidden="1" s="584">
      <c r="A45" s="594" t="n">
        <v>430</v>
      </c>
      <c r="B45" s="5" t="inlineStr">
        <is>
          <t>Hosur</t>
        </is>
      </c>
      <c r="C45" s="601" t="inlineStr">
        <is>
          <t>ELKAYEM AUTO</t>
        </is>
      </c>
      <c r="D45" s="601" t="n"/>
      <c r="E45" s="601" t="n">
        <v>129663</v>
      </c>
      <c r="F45" s="601" t="n">
        <v>2427712</v>
      </c>
      <c r="G45" s="601" t="inlineStr">
        <is>
          <t>TUB-O-N-AUT-AW-PE-19.05X2.300X0.2550</t>
        </is>
      </c>
      <c r="H45" s="601" t="inlineStr">
        <is>
          <t>ERW 1</t>
        </is>
      </c>
      <c r="I45" s="601" t="n"/>
      <c r="J45" s="601" t="inlineStr">
        <is>
          <t>PE</t>
        </is>
      </c>
      <c r="K45" s="601" t="inlineStr">
        <is>
          <t>HR</t>
        </is>
      </c>
      <c r="L45" s="601" t="n"/>
      <c r="M45" s="601" t="n"/>
      <c r="N45" s="601" t="n"/>
      <c r="O45" s="601" t="n"/>
      <c r="P45" s="557">
        <f>CONCATENATE(schedule13[[#This Row],[OD]],"-",schedule13[[#This Row],[ID]],"-",schedule13[[#This Row],[TICKNESS]],"-",schedule13[[#This Row],[GRADE]],"-",schedule13[[#This Row],[FC/NFC]])</f>
        <v/>
      </c>
      <c r="Q45" s="557" t="n"/>
      <c r="R45" s="557" t="n"/>
      <c r="S45" s="599" t="n">
        <v>19.05</v>
      </c>
      <c r="T45" s="599" t="n">
        <v>19.05</v>
      </c>
      <c r="U45" s="599" t="n">
        <v>0</v>
      </c>
      <c r="V45" s="599" t="n">
        <v>2.3</v>
      </c>
      <c r="W45" s="23" t="n">
        <v>255</v>
      </c>
      <c r="X45" s="23" t="n"/>
      <c r="Y45" s="7" t="n">
        <v>8000</v>
      </c>
      <c r="Z45" s="601" t="n"/>
      <c r="AA45" s="602">
        <f>Y45-Z45</f>
        <v/>
      </c>
      <c r="AB45" s="599">
        <f>(S45-V45)*V45*W45*0.024653*Y45/1000000</f>
        <v/>
      </c>
      <c r="AC45" s="599">
        <f>(S45-V45)*V45*W45*0.024653*Z45/1000000</f>
        <v/>
      </c>
      <c r="AD45" s="599">
        <f>AB45-AC45</f>
        <v/>
      </c>
      <c r="AE45" s="599" t="n"/>
      <c r="AF45" s="599" t="n"/>
      <c r="AG45" s="599" t="n"/>
      <c r="AH45" s="599">
        <f>AB44-AF45</f>
        <v/>
      </c>
      <c r="AI45" s="118">
        <f>(AC45+AF45)/AB44</f>
        <v/>
      </c>
    </row>
    <row r="46" hidden="1" s="584">
      <c r="A46" s="594" t="n">
        <v>431</v>
      </c>
      <c r="B46" s="5" t="inlineStr">
        <is>
          <t>Hosur</t>
        </is>
      </c>
      <c r="C46" s="601" t="inlineStr">
        <is>
          <t>ELKAYEM AUTO</t>
        </is>
      </c>
      <c r="D46" s="601" t="n"/>
      <c r="E46" s="601" t="n">
        <v>129663</v>
      </c>
      <c r="F46" s="601" t="n">
        <v>3164112</v>
      </c>
      <c r="G46" s="601" t="inlineStr">
        <is>
          <t>TUB-E-AW-AUT-59.00X30.00X1.600X0.6410</t>
        </is>
      </c>
      <c r="H46" s="601" t="inlineStr">
        <is>
          <t>ERW 1</t>
        </is>
      </c>
      <c r="I46" s="601" t="n"/>
      <c r="J46" s="601" t="inlineStr">
        <is>
          <t>FIN CUT</t>
        </is>
      </c>
      <c r="K46" s="601" t="inlineStr">
        <is>
          <t>HR</t>
        </is>
      </c>
      <c r="L46" s="601" t="n"/>
      <c r="M46" s="601" t="n"/>
      <c r="N46" s="601" t="n"/>
      <c r="O46" s="601" t="n"/>
      <c r="P46" s="557">
        <f>CONCATENATE(schedule13[[#This Row],[OD]],"-",schedule13[[#This Row],[ID]],"-",schedule13[[#This Row],[TICKNESS]],"-",schedule13[[#This Row],[GRADE]],"-",schedule13[[#This Row],[FC/NFC]])</f>
        <v/>
      </c>
      <c r="Q46" s="557" t="n"/>
      <c r="R46" s="557" t="n"/>
      <c r="S46" s="599" t="n">
        <v>48.6</v>
      </c>
      <c r="T46" s="599" t="n">
        <v>59</v>
      </c>
      <c r="U46" s="599" t="n">
        <v>30</v>
      </c>
      <c r="V46" s="599" t="n">
        <v>1.6</v>
      </c>
      <c r="W46" s="23" t="n">
        <v>641</v>
      </c>
      <c r="X46" s="23" t="n"/>
      <c r="Y46" s="7" t="n">
        <v>0</v>
      </c>
      <c r="Z46" s="601" t="n"/>
      <c r="AA46" s="602">
        <f>Y46-Z46</f>
        <v/>
      </c>
      <c r="AB46" s="599">
        <f>(S46-V46)*V46*W46*0.024653*Y46/1000000</f>
        <v/>
      </c>
      <c r="AC46" s="599">
        <f>(S46-V46)*V46*W46*0.024653*Z46/1000000</f>
        <v/>
      </c>
      <c r="AD46" s="599">
        <f>AB46-AC46</f>
        <v/>
      </c>
      <c r="AE46" s="599" t="n"/>
      <c r="AF46" s="599" t="n"/>
      <c r="AG46" s="599" t="n"/>
      <c r="AH46" s="599">
        <f>AB45-AF46</f>
        <v/>
      </c>
      <c r="AI46" s="118">
        <f>(AC46+AF46)/AB45</f>
        <v/>
      </c>
    </row>
    <row r="47" hidden="1" s="584">
      <c r="A47" s="594" t="n">
        <v>432</v>
      </c>
      <c r="B47" s="5" t="inlineStr">
        <is>
          <t>Hosur</t>
        </is>
      </c>
      <c r="C47" s="601" t="inlineStr">
        <is>
          <t>ELKAYEM AUTO</t>
        </is>
      </c>
      <c r="D47" s="601" t="n"/>
      <c r="E47" s="601" t="n">
        <v>129663</v>
      </c>
      <c r="F47" s="601" t="n">
        <v>1939974</v>
      </c>
      <c r="G47" s="601" t="inlineStr">
        <is>
          <t>TUB-O-O-AUT-AW-PE-12.70X1.200X0.7720</t>
        </is>
      </c>
      <c r="H47" s="601" t="inlineStr">
        <is>
          <t>ERW 1</t>
        </is>
      </c>
      <c r="I47" s="601" t="n"/>
      <c r="J47" s="601" t="inlineStr">
        <is>
          <t>PE</t>
        </is>
      </c>
      <c r="K47" s="601" t="inlineStr">
        <is>
          <t>CR</t>
        </is>
      </c>
      <c r="L47" s="601" t="n"/>
      <c r="M47" s="601" t="n"/>
      <c r="N47" s="601" t="n"/>
      <c r="O47" s="601" t="n"/>
      <c r="P47" s="557">
        <f>CONCATENATE(schedule13[[#This Row],[OD]],"-",schedule13[[#This Row],[ID]],"-",schedule13[[#This Row],[TICKNESS]],"-",schedule13[[#This Row],[GRADE]],"-",schedule13[[#This Row],[FC/NFC]])</f>
        <v/>
      </c>
      <c r="Q47" s="557" t="n"/>
      <c r="R47" s="557" t="n"/>
      <c r="S47" s="599" t="n">
        <v>12.7</v>
      </c>
      <c r="T47" s="599" t="n">
        <v>12.7</v>
      </c>
      <c r="U47" s="599" t="n">
        <v>0</v>
      </c>
      <c r="V47" s="599" t="n">
        <v>1.2</v>
      </c>
      <c r="W47" s="23" t="n">
        <v>772</v>
      </c>
      <c r="X47" s="23" t="n"/>
      <c r="Y47" s="7" t="n">
        <v>13500</v>
      </c>
      <c r="Z47" s="601" t="n"/>
      <c r="AA47" s="602">
        <f>Y47-Z47</f>
        <v/>
      </c>
      <c r="AB47" s="599">
        <f>(S47-V47)*V47*W47*0.024653*Y47/1000000</f>
        <v/>
      </c>
      <c r="AC47" s="599">
        <f>(S47-V47)*V47*W47*0.024653*Z47/1000000</f>
        <v/>
      </c>
      <c r="AD47" s="599">
        <f>AB47-AC47</f>
        <v/>
      </c>
      <c r="AE47" s="599" t="n"/>
      <c r="AF47" s="599" t="n"/>
      <c r="AG47" s="599" t="n"/>
      <c r="AH47" s="599">
        <f>AB46-AF47</f>
        <v/>
      </c>
      <c r="AI47" s="118">
        <f>(AC47+AF47)/AB46</f>
        <v/>
      </c>
    </row>
    <row r="48" hidden="1" s="584">
      <c r="A48" s="594" t="n">
        <v>433</v>
      </c>
      <c r="B48" s="5" t="inlineStr">
        <is>
          <t>Hosur</t>
        </is>
      </c>
      <c r="C48" s="601" t="inlineStr">
        <is>
          <t>ELKAYEM AUTO</t>
        </is>
      </c>
      <c r="D48" s="601" t="n"/>
      <c r="E48" s="601" t="n">
        <v>129663</v>
      </c>
      <c r="F48" s="601" t="n">
        <v>1940284</v>
      </c>
      <c r="G48" s="601" t="inlineStr">
        <is>
          <t>TUB-O-O-AUT-AW-PE-19.05X2.000X0.7850</t>
        </is>
      </c>
      <c r="H48" s="601" t="inlineStr">
        <is>
          <t>ERW 1</t>
        </is>
      </c>
      <c r="I48" s="601" t="n"/>
      <c r="J48" s="601" t="inlineStr">
        <is>
          <t>PE</t>
        </is>
      </c>
      <c r="K48" s="601" t="inlineStr">
        <is>
          <t>HR</t>
        </is>
      </c>
      <c r="L48" s="601" t="n"/>
      <c r="M48" s="601" t="n"/>
      <c r="N48" s="601" t="n"/>
      <c r="O48" s="601" t="n"/>
      <c r="P48" s="557">
        <f>CONCATENATE(schedule13[[#This Row],[OD]],"-",schedule13[[#This Row],[ID]],"-",schedule13[[#This Row],[TICKNESS]],"-",schedule13[[#This Row],[GRADE]],"-",schedule13[[#This Row],[FC/NFC]])</f>
        <v/>
      </c>
      <c r="Q48" s="557" t="n"/>
      <c r="R48" s="557" t="n"/>
      <c r="S48" s="599" t="n">
        <v>19.05</v>
      </c>
      <c r="T48" s="599" t="n">
        <v>19.05</v>
      </c>
      <c r="U48" s="599" t="n">
        <v>0</v>
      </c>
      <c r="V48" s="599" t="n">
        <v>2</v>
      </c>
      <c r="W48" s="23" t="n">
        <v>785</v>
      </c>
      <c r="X48" s="23" t="n"/>
      <c r="Y48" s="7" t="n">
        <v>3000</v>
      </c>
      <c r="Z48" s="601" t="n"/>
      <c r="AA48" s="602">
        <f>Y48-Z48</f>
        <v/>
      </c>
      <c r="AB48" s="599">
        <f>(S48-V48)*V48*W48*0.024653*Y48/1000000</f>
        <v/>
      </c>
      <c r="AC48" s="599">
        <f>(S48-V48)*V48*W48*0.024653*Z48/1000000</f>
        <v/>
      </c>
      <c r="AD48" s="599">
        <f>AB48-AC48</f>
        <v/>
      </c>
      <c r="AE48" s="599" t="n"/>
      <c r="AF48" s="599" t="n"/>
      <c r="AG48" s="599" t="n"/>
      <c r="AH48" s="599">
        <f>AB47-AF48</f>
        <v/>
      </c>
      <c r="AI48" s="118">
        <f>(AC48+AF48)/AB47</f>
        <v/>
      </c>
    </row>
    <row r="49" hidden="1" s="584">
      <c r="A49" s="594" t="n">
        <v>434</v>
      </c>
      <c r="B49" s="5" t="inlineStr">
        <is>
          <t>Hosur</t>
        </is>
      </c>
      <c r="C49" s="601" t="inlineStr">
        <is>
          <t>ELKAYEM AUTO</t>
        </is>
      </c>
      <c r="D49" s="601" t="n"/>
      <c r="E49" s="601" t="n">
        <v>129663</v>
      </c>
      <c r="F49" s="601" t="n">
        <v>1937438</v>
      </c>
      <c r="G49" s="601" t="inlineStr">
        <is>
          <t>TUB-O-N-AUT-AW-PE-19.05X2.030X0.8300</t>
        </is>
      </c>
      <c r="H49" s="601" t="inlineStr">
        <is>
          <t>ERW 1</t>
        </is>
      </c>
      <c r="I49" s="601" t="n"/>
      <c r="J49" s="601" t="inlineStr">
        <is>
          <t>PE</t>
        </is>
      </c>
      <c r="K49" s="601" t="inlineStr">
        <is>
          <t>HR</t>
        </is>
      </c>
      <c r="L49" s="601" t="n"/>
      <c r="M49" s="601" t="n"/>
      <c r="N49" s="601" t="n"/>
      <c r="O49" s="601" t="n"/>
      <c r="P49" s="557">
        <f>CONCATENATE(schedule13[[#This Row],[OD]],"-",schedule13[[#This Row],[ID]],"-",schedule13[[#This Row],[TICKNESS]],"-",schedule13[[#This Row],[GRADE]],"-",schedule13[[#This Row],[FC/NFC]])</f>
        <v/>
      </c>
      <c r="Q49" s="557" t="n"/>
      <c r="R49" s="557" t="n"/>
      <c r="S49" s="599" t="n">
        <v>19.05</v>
      </c>
      <c r="T49" s="599" t="n">
        <v>19.05</v>
      </c>
      <c r="U49" s="599" t="n">
        <v>0</v>
      </c>
      <c r="V49" s="599" t="n">
        <v>2</v>
      </c>
      <c r="W49" s="23" t="n">
        <v>830</v>
      </c>
      <c r="X49" s="23" t="n"/>
      <c r="Y49" s="7" t="n">
        <v>3000</v>
      </c>
      <c r="Z49" s="601" t="n"/>
      <c r="AA49" s="602">
        <f>Y49-Z49</f>
        <v/>
      </c>
      <c r="AB49" s="599">
        <f>(S49-V49)*V49*W49*0.024653*Y49/1000000</f>
        <v/>
      </c>
      <c r="AC49" s="599">
        <f>(S49-V49)*V49*W49*0.024653*Z49/1000000</f>
        <v/>
      </c>
      <c r="AD49" s="599">
        <f>AB49-AC49</f>
        <v/>
      </c>
      <c r="AE49" s="599" t="n"/>
      <c r="AF49" s="599" t="n"/>
      <c r="AG49" s="599" t="n"/>
      <c r="AH49" s="599">
        <f>AB48-AF49</f>
        <v/>
      </c>
      <c r="AI49" s="118">
        <f>(AC49+AF49)/AB48</f>
        <v/>
      </c>
    </row>
    <row r="50" hidden="1" s="584">
      <c r="A50" s="594" t="n">
        <v>435</v>
      </c>
      <c r="B50" s="5" t="inlineStr">
        <is>
          <t>Hosur</t>
        </is>
      </c>
      <c r="C50" s="601" t="inlineStr">
        <is>
          <t>ELKAYEM AUTO</t>
        </is>
      </c>
      <c r="D50" s="601" t="n"/>
      <c r="E50" s="601" t="n">
        <v>129663</v>
      </c>
      <c r="F50" s="601" t="n">
        <v>3172238</v>
      </c>
      <c r="G50" s="601" t="inlineStr">
        <is>
          <t>TUB-O-N-AUT-AW-PE-12.70X1.600X0.9500</t>
        </is>
      </c>
      <c r="H50" s="601" t="inlineStr">
        <is>
          <t>ERW 1</t>
        </is>
      </c>
      <c r="I50" s="601" t="n"/>
      <c r="J50" s="601" t="inlineStr">
        <is>
          <t>PE</t>
        </is>
      </c>
      <c r="K50" s="601" t="inlineStr">
        <is>
          <t>CR</t>
        </is>
      </c>
      <c r="L50" s="596" t="inlineStr">
        <is>
          <t>HROP</t>
        </is>
      </c>
      <c r="M50" s="601" t="n"/>
      <c r="N50" s="601" t="n"/>
      <c r="O50" s="601" t="n"/>
      <c r="P50" s="557">
        <f>CONCATENATE(schedule13[[#This Row],[OD]],"-",schedule13[[#This Row],[ID]],"-",schedule13[[#This Row],[TICKNESS]],"-",schedule13[[#This Row],[GRADE]],"-",schedule13[[#This Row],[FC/NFC]])</f>
        <v/>
      </c>
      <c r="Q50" s="557" t="n"/>
      <c r="R50" s="557" t="n"/>
      <c r="S50" s="599" t="n">
        <v>12.7</v>
      </c>
      <c r="T50" s="599" t="n">
        <v>12.7</v>
      </c>
      <c r="U50" s="599" t="n">
        <v>0</v>
      </c>
      <c r="V50" s="599" t="n">
        <v>1.6</v>
      </c>
      <c r="W50" s="23" t="n">
        <v>950</v>
      </c>
      <c r="X50" s="23" t="n"/>
      <c r="Y50" s="7" t="n">
        <v>12500</v>
      </c>
      <c r="Z50" s="601" t="n"/>
      <c r="AA50" s="602">
        <f>Y50-Z50</f>
        <v/>
      </c>
      <c r="AB50" s="599">
        <f>(S50-V50)*V50*W50*0.024653*Y50/1000000</f>
        <v/>
      </c>
      <c r="AC50" s="599">
        <f>(S50-V50)*V50*W50*0.024653*Z50/1000000</f>
        <v/>
      </c>
      <c r="AD50" s="599">
        <f>AB50-AC50</f>
        <v/>
      </c>
      <c r="AE50" s="599" t="n"/>
      <c r="AF50" s="599" t="n">
        <v>0.191</v>
      </c>
      <c r="AG50" s="599" t="n"/>
      <c r="AH50" s="599">
        <f>AB49-AF50</f>
        <v/>
      </c>
      <c r="AI50" s="118">
        <f>(AC50+AF50)/AB49</f>
        <v/>
      </c>
    </row>
    <row r="51" hidden="1" s="584">
      <c r="A51" s="594" t="n">
        <v>436</v>
      </c>
      <c r="B51" s="5" t="inlineStr">
        <is>
          <t>Hosur</t>
        </is>
      </c>
      <c r="C51" s="601" t="inlineStr">
        <is>
          <t>ELKAYEM AUTO</t>
        </is>
      </c>
      <c r="D51" s="601" t="n"/>
      <c r="E51" s="601" t="n">
        <v>129663</v>
      </c>
      <c r="F51" s="601" t="n">
        <v>1940014</v>
      </c>
      <c r="G51" s="601" t="inlineStr">
        <is>
          <t>TUB-O-O-GEN-AW-PE-12.70X1.600X6.0000</t>
        </is>
      </c>
      <c r="H51" s="601" t="inlineStr">
        <is>
          <t>ERW 1</t>
        </is>
      </c>
      <c r="I51" s="601" t="n"/>
      <c r="J51" s="601" t="n"/>
      <c r="K51" s="601" t="inlineStr">
        <is>
          <t>HR</t>
        </is>
      </c>
      <c r="L51" s="601" t="n"/>
      <c r="M51" s="601" t="n"/>
      <c r="N51" s="601" t="n"/>
      <c r="O51" s="601" t="n"/>
      <c r="P51" s="557">
        <f>CONCATENATE(schedule13[[#This Row],[OD]],"-",schedule13[[#This Row],[ID]],"-",schedule13[[#This Row],[TICKNESS]],"-",schedule13[[#This Row],[GRADE]],"-",schedule13[[#This Row],[FC/NFC]])</f>
        <v/>
      </c>
      <c r="Q51" s="557" t="n"/>
      <c r="R51" s="557" t="n"/>
      <c r="S51" s="599" t="n">
        <v>12.7</v>
      </c>
      <c r="T51" s="599" t="n">
        <v>12.7</v>
      </c>
      <c r="U51" s="599" t="n">
        <v>0</v>
      </c>
      <c r="V51" s="599" t="n">
        <v>1.6</v>
      </c>
      <c r="W51" s="23" t="n">
        <v>6000</v>
      </c>
      <c r="X51" s="23" t="n"/>
      <c r="Y51" s="601" t="n">
        <v>0</v>
      </c>
      <c r="Z51" s="601" t="n"/>
      <c r="AA51" s="602">
        <f>Y51-Z51</f>
        <v/>
      </c>
      <c r="AB51" s="599">
        <f>(S51-V51)*V51*W51*0.024653*Y51/1000000</f>
        <v/>
      </c>
      <c r="AC51" s="599">
        <f>(S51-V51)*V51*W51*0.024653*Z51/1000000</f>
        <v/>
      </c>
      <c r="AD51" s="599">
        <f>AB51-AC51</f>
        <v/>
      </c>
      <c r="AE51" s="599" t="n"/>
      <c r="AF51" s="599" t="n">
        <v>1.584127</v>
      </c>
      <c r="AG51" s="599" t="n"/>
      <c r="AH51" s="599">
        <f>AB50-AF51</f>
        <v/>
      </c>
      <c r="AI51" s="118">
        <f>(AC51+AF51)/AB50</f>
        <v/>
      </c>
    </row>
    <row r="52" hidden="1" s="584">
      <c r="A52" s="594" t="n">
        <v>437</v>
      </c>
      <c r="B52" s="5" t="inlineStr">
        <is>
          <t>Hosur</t>
        </is>
      </c>
      <c r="C52" s="601" t="inlineStr">
        <is>
          <t>ELKAYEM AUTO</t>
        </is>
      </c>
      <c r="D52" s="601" t="n"/>
      <c r="E52" s="601" t="n">
        <v>129663</v>
      </c>
      <c r="F52" s="601" t="n">
        <v>1900224</v>
      </c>
      <c r="G52" s="601" t="inlineStr">
        <is>
          <t>TUB-O-O-AUT-AW-PE-15.88X1.6.000X6.0000</t>
        </is>
      </c>
      <c r="H52" s="601" t="inlineStr">
        <is>
          <t>ERW 1</t>
        </is>
      </c>
      <c r="I52" s="601" t="n"/>
      <c r="J52" s="601" t="inlineStr">
        <is>
          <t>PE</t>
        </is>
      </c>
      <c r="K52" s="601" t="inlineStr">
        <is>
          <t>CR</t>
        </is>
      </c>
      <c r="L52" s="596" t="inlineStr">
        <is>
          <t>HROP</t>
        </is>
      </c>
      <c r="M52" s="601" t="n"/>
      <c r="N52" s="601" t="n"/>
      <c r="O52" s="601" t="n"/>
      <c r="P52" s="557">
        <f>CONCATENATE(schedule13[[#This Row],[OD]],"-",schedule13[[#This Row],[ID]],"-",schedule13[[#This Row],[TICKNESS]],"-",schedule13[[#This Row],[GRADE]],"-",schedule13[[#This Row],[FC/NFC]])</f>
        <v/>
      </c>
      <c r="Q52" s="557" t="n"/>
      <c r="R52" s="557" t="n"/>
      <c r="S52" s="599" t="n">
        <v>15.88</v>
      </c>
      <c r="T52" s="599" t="n">
        <v>15.88</v>
      </c>
      <c r="U52" s="599" t="n">
        <v>0</v>
      </c>
      <c r="V52" s="599" t="n">
        <v>1.6</v>
      </c>
      <c r="W52" s="23" t="n">
        <v>6000</v>
      </c>
      <c r="X52" s="23" t="n"/>
      <c r="Y52" s="7" t="n">
        <v>1000</v>
      </c>
      <c r="Z52" s="601" t="n"/>
      <c r="AA52" s="602">
        <f>Y52-Z52</f>
        <v/>
      </c>
      <c r="AB52" s="599">
        <f>(S52-V52)*V52*W52*0.024653*Y52/1000000</f>
        <v/>
      </c>
      <c r="AC52" s="599">
        <f>(S52-V52)*V52*W52*0.024653*Z52/1000000</f>
        <v/>
      </c>
      <c r="AD52" s="599">
        <f>AB52-AC52</f>
        <v/>
      </c>
      <c r="AE52" s="599" t="n"/>
      <c r="AF52" s="599" t="n">
        <v>2.729049</v>
      </c>
      <c r="AG52" s="599" t="n"/>
      <c r="AH52" s="599">
        <f>AB51-AF52</f>
        <v/>
      </c>
      <c r="AI52" s="118">
        <f>(AC52+AF52)/AB51</f>
        <v/>
      </c>
    </row>
    <row r="53" hidden="1" s="584">
      <c r="A53" s="594" t="n">
        <v>438</v>
      </c>
      <c r="B53" s="5" t="inlineStr">
        <is>
          <t xml:space="preserve">Khopoli </t>
        </is>
      </c>
      <c r="C53" s="601" t="inlineStr">
        <is>
          <t>ELKAYEM AUTO</t>
        </is>
      </c>
      <c r="D53" s="601" t="n"/>
      <c r="E53" s="601" t="n">
        <v>129663</v>
      </c>
      <c r="F53" s="601" t="n">
        <v>2410960</v>
      </c>
      <c r="G53" s="601" t="inlineStr">
        <is>
          <t>TUB-O-C-AUT-AD-FC-31.75X3.375X04-05</t>
        </is>
      </c>
      <c r="H53" s="601" t="inlineStr">
        <is>
          <t>CEW</t>
        </is>
      </c>
      <c r="I53" s="601" t="n"/>
      <c r="J53" s="601" t="inlineStr">
        <is>
          <t>CEW</t>
        </is>
      </c>
      <c r="K53" s="601" t="inlineStr">
        <is>
          <t>HR</t>
        </is>
      </c>
      <c r="L53" s="601" t="n"/>
      <c r="M53" s="601" t="n"/>
      <c r="N53" s="601" t="n"/>
      <c r="O53" s="601" t="n"/>
      <c r="P53" s="557">
        <f>CONCATENATE(schedule13[[#This Row],[OD]],"-",schedule13[[#This Row],[ID]],"-",schedule13[[#This Row],[TICKNESS]],"-",schedule13[[#This Row],[GRADE]],"-",schedule13[[#This Row],[FC/NFC]])</f>
        <v/>
      </c>
      <c r="Q53" s="557" t="n"/>
      <c r="R53" s="557" t="n"/>
      <c r="S53" s="599" t="n">
        <v>31.75</v>
      </c>
      <c r="T53" s="599" t="n">
        <v>31.75</v>
      </c>
      <c r="U53" s="599" t="n">
        <v>25</v>
      </c>
      <c r="V53" s="599" t="n">
        <v>3.37</v>
      </c>
      <c r="W53" s="23" t="n">
        <v>4500</v>
      </c>
      <c r="X53" s="23" t="n"/>
      <c r="Y53" s="7" t="n">
        <v>445</v>
      </c>
      <c r="Z53" s="601" t="n"/>
      <c r="AA53" s="602">
        <f>Y53-Z53</f>
        <v/>
      </c>
      <c r="AB53" s="599">
        <f>(S53-V53)*V53*W53*0.024653*Y53/1000000</f>
        <v/>
      </c>
      <c r="AC53" s="599">
        <f>(S53-V53)*V53*W53*0.024653*Z53/1000000</f>
        <v/>
      </c>
      <c r="AD53" s="599">
        <f>AB53-AC53</f>
        <v/>
      </c>
      <c r="AE53" s="599" t="n"/>
      <c r="AF53" s="599" t="n">
        <v>3.354139</v>
      </c>
      <c r="AG53" s="599" t="n"/>
      <c r="AH53" s="599">
        <f>AB52-AF53</f>
        <v/>
      </c>
      <c r="AI53" s="118">
        <f>(AC53+AF53)/AB52</f>
        <v/>
      </c>
    </row>
    <row r="54" hidden="1" s="584">
      <c r="A54" s="594" t="n">
        <v>439</v>
      </c>
      <c r="B54" s="5" t="inlineStr">
        <is>
          <t>Hosur</t>
        </is>
      </c>
      <c r="C54" s="601" t="inlineStr">
        <is>
          <t>ELKAYEM AUTO</t>
        </is>
      </c>
      <c r="D54" s="601" t="n"/>
      <c r="E54" s="601" t="n">
        <v>129663</v>
      </c>
      <c r="F54" s="601" t="n">
        <v>1940363</v>
      </c>
      <c r="G54" s="601" t="inlineStr">
        <is>
          <t>TUB-O-O-AUT-AW-PE-22.23X1.200X1.1620</t>
        </is>
      </c>
      <c r="H54" s="601" t="inlineStr">
        <is>
          <t>ERW 1</t>
        </is>
      </c>
      <c r="I54" s="601" t="n"/>
      <c r="J54" s="601" t="inlineStr">
        <is>
          <t>PE</t>
        </is>
      </c>
      <c r="K54" s="601" t="inlineStr">
        <is>
          <t>CR</t>
        </is>
      </c>
      <c r="L54" s="601" t="n"/>
      <c r="M54" s="601" t="n"/>
      <c r="N54" s="601" t="n"/>
      <c r="O54" s="601" t="n"/>
      <c r="P54" s="557">
        <f>CONCATENATE(schedule13[[#This Row],[OD]],"-",schedule13[[#This Row],[ID]],"-",schedule13[[#This Row],[TICKNESS]],"-",schedule13[[#This Row],[GRADE]],"-",schedule13[[#This Row],[FC/NFC]])</f>
        <v/>
      </c>
      <c r="Q54" s="557" t="n"/>
      <c r="R54" s="557" t="n"/>
      <c r="S54" s="599" t="n">
        <v>22.23</v>
      </c>
      <c r="T54" s="599" t="n">
        <v>22.23</v>
      </c>
      <c r="U54" s="599" t="n">
        <v>0</v>
      </c>
      <c r="V54" s="599" t="n">
        <v>1.2</v>
      </c>
      <c r="W54" s="22" t="n">
        <v>1162</v>
      </c>
      <c r="X54" s="22" t="n"/>
      <c r="Y54" s="7" t="n">
        <v>6000</v>
      </c>
      <c r="Z54" s="601" t="n"/>
      <c r="AA54" s="602">
        <f>Y54-Z54</f>
        <v/>
      </c>
      <c r="AB54" s="599">
        <f>(S54-V54)*V54*W54*0.024653*Y54/1000000</f>
        <v/>
      </c>
      <c r="AC54" s="599">
        <f>(S54-V54)*V54*W54*0.024653*Z54/1000000</f>
        <v/>
      </c>
      <c r="AD54" s="599">
        <f>AB54-AC54</f>
        <v/>
      </c>
      <c r="AE54" s="599" t="n"/>
      <c r="AF54" s="599" t="n">
        <v>4.803917999999999</v>
      </c>
      <c r="AG54" s="599" t="n"/>
      <c r="AH54" s="599">
        <f>AB53-AF54</f>
        <v/>
      </c>
      <c r="AI54" s="118">
        <f>(AC54+AF54)/AB53</f>
        <v/>
      </c>
    </row>
    <row r="55" hidden="1" s="584">
      <c r="A55" s="594" t="n">
        <v>440</v>
      </c>
      <c r="B55" s="5" t="inlineStr">
        <is>
          <t xml:space="preserve">Khopoli </t>
        </is>
      </c>
      <c r="C55" s="601" t="inlineStr">
        <is>
          <t>ELKAYEM AUTO</t>
        </is>
      </c>
      <c r="D55" s="601" t="n"/>
      <c r="E55" s="601" t="n">
        <v>129663</v>
      </c>
      <c r="F55" s="601" t="n">
        <v>1938119</v>
      </c>
      <c r="G55" s="601" t="inlineStr">
        <is>
          <t>TUB-O-N-AUT-AW-PE-17.30X1.600X0.4000</t>
        </is>
      </c>
      <c r="H55" s="601" t="inlineStr">
        <is>
          <t>ERW 1</t>
        </is>
      </c>
      <c r="I55" s="601" t="n"/>
      <c r="J55" s="601" t="inlineStr">
        <is>
          <t>PE</t>
        </is>
      </c>
      <c r="K55" s="601" t="inlineStr">
        <is>
          <t>CR</t>
        </is>
      </c>
      <c r="L55" s="601" t="inlineStr">
        <is>
          <t>D</t>
        </is>
      </c>
      <c r="M55" s="601" t="n"/>
      <c r="N55" s="601" t="n"/>
      <c r="O55" s="601" t="n"/>
      <c r="P55" s="557">
        <f>CONCATENATE(schedule13[[#This Row],[OD]],"-",schedule13[[#This Row],[ID]],"-",schedule13[[#This Row],[TICKNESS]],"-",schedule13[[#This Row],[GRADE]],"-",schedule13[[#This Row],[FC/NFC]])</f>
        <v/>
      </c>
      <c r="Q55" s="557" t="n"/>
      <c r="R55" s="557" t="n"/>
      <c r="S55" s="6" t="n">
        <v>17.3</v>
      </c>
      <c r="T55" s="6" t="n">
        <v>17.3</v>
      </c>
      <c r="U55" s="599" t="n">
        <v>0</v>
      </c>
      <c r="V55" s="599" t="n">
        <v>1.6</v>
      </c>
      <c r="W55" s="26" t="n">
        <v>400</v>
      </c>
      <c r="X55" s="26" t="n"/>
      <c r="Y55" s="7" t="n">
        <v>12500</v>
      </c>
      <c r="Z55" s="601" t="n"/>
      <c r="AA55" s="602">
        <f>Y55-Z55</f>
        <v/>
      </c>
      <c r="AB55" s="599">
        <f>(S55-V55)*V55*W55*0.024653*Y55/1000000</f>
        <v/>
      </c>
      <c r="AC55" s="599">
        <f>(S55-V55)*V55*W55*0.024653*Z55/1000000</f>
        <v/>
      </c>
      <c r="AD55" s="599">
        <f>AB55-AC55</f>
        <v/>
      </c>
      <c r="AE55" s="599" t="n"/>
      <c r="AF55" s="599" t="n"/>
      <c r="AG55" s="599" t="n"/>
      <c r="AH55" s="599">
        <f>AB54-AF55</f>
        <v/>
      </c>
      <c r="AI55" s="118">
        <f>(AC55+AF55)/AB54</f>
        <v/>
      </c>
    </row>
    <row r="56" hidden="1" s="584">
      <c r="A56" s="594" t="n">
        <v>441</v>
      </c>
      <c r="B56" s="5" t="inlineStr">
        <is>
          <t xml:space="preserve">Khopoli </t>
        </is>
      </c>
      <c r="C56" s="601" t="inlineStr">
        <is>
          <t>ELKAYEM AUTO</t>
        </is>
      </c>
      <c r="D56" s="601" t="n"/>
      <c r="E56" s="601" t="n">
        <v>129663</v>
      </c>
      <c r="F56" s="601" t="n">
        <v>1938118</v>
      </c>
      <c r="G56" s="601" t="inlineStr">
        <is>
          <t>TUB-O-N-AUT-AW-PE-17.30X1.600X0.3550</t>
        </is>
      </c>
      <c r="H56" s="601" t="inlineStr">
        <is>
          <t>ERW 1</t>
        </is>
      </c>
      <c r="I56" s="601" t="n"/>
      <c r="J56" s="601" t="inlineStr">
        <is>
          <t>PE</t>
        </is>
      </c>
      <c r="K56" s="601" t="inlineStr">
        <is>
          <t>CR</t>
        </is>
      </c>
      <c r="L56" s="601" t="inlineStr">
        <is>
          <t>D</t>
        </is>
      </c>
      <c r="M56" s="601" t="n"/>
      <c r="N56" s="601" t="n"/>
      <c r="O56" s="601" t="n"/>
      <c r="P56" s="557">
        <f>CONCATENATE(schedule13[[#This Row],[OD]],"-",schedule13[[#This Row],[ID]],"-",schedule13[[#This Row],[TICKNESS]],"-",schedule13[[#This Row],[GRADE]],"-",schedule13[[#This Row],[FC/NFC]])</f>
        <v/>
      </c>
      <c r="Q56" s="557" t="n"/>
      <c r="R56" s="557" t="n"/>
      <c r="S56" s="6" t="n">
        <v>17.3</v>
      </c>
      <c r="T56" s="6" t="n">
        <v>17.3</v>
      </c>
      <c r="U56" s="599" t="n">
        <v>0</v>
      </c>
      <c r="V56" s="599" t="n">
        <v>1.6</v>
      </c>
      <c r="W56" s="26" t="n">
        <v>355</v>
      </c>
      <c r="X56" s="26" t="n"/>
      <c r="Y56" s="7" t="n">
        <v>20000</v>
      </c>
      <c r="Z56" s="601" t="n"/>
      <c r="AA56" s="602">
        <f>Y56-Z56</f>
        <v/>
      </c>
      <c r="AB56" s="599">
        <f>(S56-V56)*V56*W56*0.024653*Y56/1000000</f>
        <v/>
      </c>
      <c r="AC56" s="599">
        <f>(S56-V56)*V56*W56*0.024653*Z56/1000000</f>
        <v/>
      </c>
      <c r="AD56" s="599">
        <f>AB56-AC56</f>
        <v/>
      </c>
      <c r="AE56" s="599" t="n"/>
      <c r="AF56" s="599" t="n">
        <v>0.4</v>
      </c>
      <c r="AG56" s="599" t="n"/>
      <c r="AH56" s="599">
        <f>AB55-AF56</f>
        <v/>
      </c>
      <c r="AI56" s="118">
        <f>(AC56+AF56)/AB55</f>
        <v/>
      </c>
    </row>
    <row r="57" hidden="1" s="584">
      <c r="A57" s="594" t="n">
        <v>442</v>
      </c>
      <c r="B57" s="5" t="inlineStr">
        <is>
          <t xml:space="preserve">Khopoli </t>
        </is>
      </c>
      <c r="C57" s="601" t="inlineStr">
        <is>
          <t>ELKAYEM AUTO</t>
        </is>
      </c>
      <c r="D57" s="601" t="n"/>
      <c r="E57" s="601" t="n">
        <v>129663</v>
      </c>
      <c r="F57" s="601" t="n">
        <v>1938382</v>
      </c>
      <c r="G57" s="601" t="inlineStr">
        <is>
          <t>TUB-O-N-AUT-AW-PE-17.30X1.600X0.3870</t>
        </is>
      </c>
      <c r="H57" s="601" t="inlineStr">
        <is>
          <t>ERW 1</t>
        </is>
      </c>
      <c r="I57" s="601" t="n"/>
      <c r="J57" s="601" t="inlineStr">
        <is>
          <t>PE</t>
        </is>
      </c>
      <c r="K57" s="601" t="inlineStr">
        <is>
          <t>HR</t>
        </is>
      </c>
      <c r="L57" s="601" t="n"/>
      <c r="M57" s="601" t="n"/>
      <c r="N57" s="601" t="n"/>
      <c r="O57" s="601" t="n"/>
      <c r="P57" s="557">
        <f>CONCATENATE(schedule13[[#This Row],[OD]],"-",schedule13[[#This Row],[ID]],"-",schedule13[[#This Row],[TICKNESS]],"-",schedule13[[#This Row],[GRADE]],"-",schedule13[[#This Row],[FC/NFC]])</f>
        <v/>
      </c>
      <c r="Q57" s="557" t="n"/>
      <c r="R57" s="557" t="n"/>
      <c r="S57" s="6" t="n">
        <v>17.3</v>
      </c>
      <c r="T57" s="6" t="n">
        <v>17.3</v>
      </c>
      <c r="U57" s="599" t="n">
        <v>0</v>
      </c>
      <c r="V57" s="599" t="n">
        <v>1.6</v>
      </c>
      <c r="W57" s="26" t="n">
        <v>385</v>
      </c>
      <c r="X57" s="26" t="n"/>
      <c r="Y57" s="601" t="n">
        <v>5000</v>
      </c>
      <c r="Z57" s="601" t="n"/>
      <c r="AA57" s="602">
        <f>Y57-Z57</f>
        <v/>
      </c>
      <c r="AB57" s="599">
        <f>(S57-V57)*V57*W57*0.024653*Y57/1000000</f>
        <v/>
      </c>
      <c r="AC57" s="599">
        <f>(S57-V57)*V57*W57*0.024653*Z57/1000000</f>
        <v/>
      </c>
      <c r="AD57" s="599">
        <f>AB57-AC57</f>
        <v/>
      </c>
      <c r="AE57" s="599" t="n"/>
      <c r="AF57" s="599" t="n">
        <v>0.127</v>
      </c>
      <c r="AG57" s="599" t="n"/>
      <c r="AH57" s="599">
        <f>AB56-AF57</f>
        <v/>
      </c>
      <c r="AI57" s="118">
        <f>(AC57+AF57)/AB56</f>
        <v/>
      </c>
    </row>
    <row r="58" hidden="1" s="584">
      <c r="A58" s="594" t="n">
        <v>443</v>
      </c>
      <c r="B58" s="5" t="inlineStr">
        <is>
          <t xml:space="preserve">Khopoli </t>
        </is>
      </c>
      <c r="C58" s="601" t="inlineStr">
        <is>
          <t>ELKAYEM AUTO</t>
        </is>
      </c>
      <c r="D58" s="601" t="n"/>
      <c r="E58" s="601" t="n">
        <v>129663</v>
      </c>
      <c r="F58" s="601" t="n">
        <v>403039</v>
      </c>
      <c r="G58" s="601" t="inlineStr">
        <is>
          <t>PT3-I-C-AUT-AD-CH-31.20X3.200X0.295</t>
        </is>
      </c>
      <c r="H58" s="601" t="n"/>
      <c r="I58" s="601" t="n"/>
      <c r="J58" s="601" t="n"/>
      <c r="K58" s="601" t="inlineStr">
        <is>
          <t>HR</t>
        </is>
      </c>
      <c r="L58" s="601" t="n"/>
      <c r="M58" s="601" t="n"/>
      <c r="N58" s="601" t="n"/>
      <c r="O58" s="601" t="n"/>
      <c r="P58" s="557">
        <f>CONCATENATE(schedule13[[#This Row],[OD]],"-",schedule13[[#This Row],[ID]],"-",schedule13[[#This Row],[TICKNESS]],"-",schedule13[[#This Row],[GRADE]],"-",schedule13[[#This Row],[FC/NFC]])</f>
        <v/>
      </c>
      <c r="Q58" s="557" t="n"/>
      <c r="R58" s="557" t="n"/>
      <c r="S58" s="6" t="n">
        <v>31.2</v>
      </c>
      <c r="T58" s="6" t="n">
        <v>37.6</v>
      </c>
      <c r="U58" s="599" t="n">
        <v>31.2</v>
      </c>
      <c r="V58" s="599" t="n">
        <v>3.2</v>
      </c>
      <c r="W58" s="22" t="n">
        <v>295</v>
      </c>
      <c r="X58" s="22" t="n"/>
      <c r="Y58" s="601" t="n">
        <v>0</v>
      </c>
      <c r="Z58" s="601" t="n"/>
      <c r="AA58" s="602">
        <f>Y58-Z58</f>
        <v/>
      </c>
      <c r="AB58" s="599">
        <f>(S58-V58)*V58*W58*0.024653*Y58/1000000</f>
        <v/>
      </c>
      <c r="AC58" s="599">
        <f>(S58-V58)*V58*W58*0.024653*Z58/1000000</f>
        <v/>
      </c>
      <c r="AD58" s="599">
        <f>AB58-AC58</f>
        <v/>
      </c>
      <c r="AE58" s="599" t="n"/>
      <c r="AF58" s="599" t="n">
        <v>0.0592</v>
      </c>
      <c r="AG58" s="599" t="n"/>
      <c r="AH58" s="599">
        <f>AB57-AF58</f>
        <v/>
      </c>
      <c r="AI58" s="118">
        <f>(AC58+AF58)/AB57</f>
        <v/>
      </c>
    </row>
    <row r="59" hidden="1" s="584">
      <c r="A59" s="594" t="n">
        <v>444</v>
      </c>
      <c r="B59" s="5" t="inlineStr">
        <is>
          <t xml:space="preserve">Khopoli </t>
        </is>
      </c>
      <c r="C59" s="601" t="inlineStr">
        <is>
          <t>ELKAYEM AUTO</t>
        </is>
      </c>
      <c r="D59" s="601" t="n"/>
      <c r="E59" s="601" t="n">
        <v>129663</v>
      </c>
      <c r="F59" s="601" t="n">
        <v>1155164</v>
      </c>
      <c r="G59" s="601" t="inlineStr">
        <is>
          <t>TUB-O-N-AUT-NR-PE-34.93X2.500X1.723</t>
        </is>
      </c>
      <c r="H59" s="601" t="inlineStr">
        <is>
          <t>ERW 1</t>
        </is>
      </c>
      <c r="I59" s="601" t="n"/>
      <c r="J59" s="601" t="inlineStr">
        <is>
          <t>FC</t>
        </is>
      </c>
      <c r="K59" s="601" t="inlineStr">
        <is>
          <t>HR</t>
        </is>
      </c>
      <c r="L59" s="601" t="n"/>
      <c r="M59" s="601" t="n"/>
      <c r="N59" s="601" t="n"/>
      <c r="O59" s="601" t="n"/>
      <c r="P59" s="557">
        <f>CONCATENATE(schedule13[[#This Row],[OD]],"-",schedule13[[#This Row],[ID]],"-",schedule13[[#This Row],[TICKNESS]],"-",schedule13[[#This Row],[GRADE]],"-",schedule13[[#This Row],[FC/NFC]])</f>
        <v/>
      </c>
      <c r="Q59" s="557" t="n"/>
      <c r="R59" s="557" t="n"/>
      <c r="S59" s="6" t="n">
        <v>34.93</v>
      </c>
      <c r="T59" s="6" t="n">
        <v>34.93</v>
      </c>
      <c r="U59" s="599" t="n">
        <v>0</v>
      </c>
      <c r="V59" s="599" t="n">
        <v>2.5</v>
      </c>
      <c r="W59" s="22" t="n">
        <v>1723</v>
      </c>
      <c r="X59" s="22" t="n"/>
      <c r="Y59" s="601" t="n">
        <v>0</v>
      </c>
      <c r="Z59" s="601" t="n"/>
      <c r="AA59" s="602">
        <f>Y59-Z59</f>
        <v/>
      </c>
      <c r="AB59" s="599">
        <f>(S59-V59)*V59*W59*0.024653*Y59/1000000</f>
        <v/>
      </c>
      <c r="AC59" s="599">
        <f>(S59-V59)*V59*W59*0.024653*Z59/1000000</f>
        <v/>
      </c>
      <c r="AD59" s="599">
        <f>AB59-AC59</f>
        <v/>
      </c>
      <c r="AE59" s="599" t="n"/>
      <c r="AF59" s="599" t="n">
        <v>0.479062</v>
      </c>
      <c r="AG59" s="599" t="n"/>
      <c r="AH59" s="599">
        <f>AB58-AF59</f>
        <v/>
      </c>
      <c r="AI59" s="118">
        <f>(AC59+AF59)/AB58</f>
        <v/>
      </c>
    </row>
    <row r="60" hidden="1" s="584">
      <c r="A60" s="594" t="n">
        <v>445</v>
      </c>
      <c r="B60" s="5" t="inlineStr">
        <is>
          <t>Hosur</t>
        </is>
      </c>
      <c r="C60" s="601" t="inlineStr">
        <is>
          <t>ELKAYEM AUTO</t>
        </is>
      </c>
      <c r="D60" s="601" t="n"/>
      <c r="E60" s="601" t="n">
        <v>129663</v>
      </c>
      <c r="F60" s="601" t="n">
        <v>1155165</v>
      </c>
      <c r="G60" s="601" t="inlineStr">
        <is>
          <t>TUB-O-N-AUT-AW-PE-34.93X1.600X1.726</t>
        </is>
      </c>
      <c r="H60" s="601" t="inlineStr">
        <is>
          <t>ERW 1</t>
        </is>
      </c>
      <c r="I60" s="601" t="n"/>
      <c r="J60" s="601" t="inlineStr">
        <is>
          <t>FC</t>
        </is>
      </c>
      <c r="K60" s="601" t="inlineStr">
        <is>
          <t>HR</t>
        </is>
      </c>
      <c r="L60" s="601" t="n"/>
      <c r="M60" s="601" t="n"/>
      <c r="N60" s="601" t="n"/>
      <c r="O60" s="601" t="n"/>
      <c r="P60" s="557">
        <f>CONCATENATE(schedule13[[#This Row],[OD]],"-",schedule13[[#This Row],[ID]],"-",schedule13[[#This Row],[TICKNESS]],"-",schedule13[[#This Row],[GRADE]],"-",schedule13[[#This Row],[FC/NFC]])</f>
        <v/>
      </c>
      <c r="Q60" s="557" t="n"/>
      <c r="R60" s="557" t="n"/>
      <c r="S60" s="6" t="n">
        <v>34.93</v>
      </c>
      <c r="T60" s="6" t="n">
        <v>34.93</v>
      </c>
      <c r="U60" s="599" t="n">
        <v>0</v>
      </c>
      <c r="V60" s="599" t="n">
        <v>1.6</v>
      </c>
      <c r="W60" s="22" t="n">
        <v>1726</v>
      </c>
      <c r="X60" s="22" t="n"/>
      <c r="Y60" s="601" t="n">
        <v>0</v>
      </c>
      <c r="Z60" s="601" t="n"/>
      <c r="AA60" s="602">
        <f>Y60-Z60</f>
        <v/>
      </c>
      <c r="AB60" s="599">
        <f>(S60-V60)*V60*W60*0.024653*Y60/1000000</f>
        <v/>
      </c>
      <c r="AC60" s="599">
        <f>(S60-V60)*V60*W60*0.024653*Z60/1000000</f>
        <v/>
      </c>
      <c r="AD60" s="599">
        <f>AB60-AC60</f>
        <v/>
      </c>
      <c r="AE60" s="599" t="n"/>
      <c r="AF60" s="599" t="n">
        <v>2.062484</v>
      </c>
      <c r="AG60" s="599" t="n"/>
      <c r="AH60" s="599">
        <f>AB59-AF60</f>
        <v/>
      </c>
      <c r="AI60" s="118">
        <f>(AC60+AF60)/AB59</f>
        <v/>
      </c>
    </row>
    <row r="61" hidden="1" s="584">
      <c r="A61" s="594" t="n">
        <v>446</v>
      </c>
      <c r="B61" s="5" t="inlineStr">
        <is>
          <t>Hosur</t>
        </is>
      </c>
      <c r="C61" s="601" t="inlineStr">
        <is>
          <t>ELKAYEM AUTO</t>
        </is>
      </c>
      <c r="D61" s="601" t="n"/>
      <c r="E61" s="601" t="n">
        <v>129663</v>
      </c>
      <c r="F61" s="601" t="n">
        <v>1482265</v>
      </c>
      <c r="G61" s="601" t="inlineStr">
        <is>
          <t>TUB-O-N-AUT-AW-PE-25.40X2.000X0.4780</t>
        </is>
      </c>
      <c r="H61" s="601" t="n"/>
      <c r="I61" s="601" t="n"/>
      <c r="J61" s="601" t="n"/>
      <c r="K61" s="601" t="inlineStr">
        <is>
          <t>HR</t>
        </is>
      </c>
      <c r="L61" s="601" t="n"/>
      <c r="M61" s="601" t="n"/>
      <c r="N61" s="601" t="n"/>
      <c r="O61" s="601" t="n"/>
      <c r="P61" s="557">
        <f>CONCATENATE(schedule13[[#This Row],[OD]],"-",schedule13[[#This Row],[ID]],"-",schedule13[[#This Row],[TICKNESS]],"-",schedule13[[#This Row],[GRADE]],"-",schedule13[[#This Row],[FC/NFC]])</f>
        <v/>
      </c>
      <c r="Q61" s="557" t="n"/>
      <c r="R61" s="557" t="n"/>
      <c r="S61" s="6" t="n">
        <v>25.4</v>
      </c>
      <c r="T61" s="6" t="n">
        <v>25.4</v>
      </c>
      <c r="U61" s="599" t="n">
        <v>0</v>
      </c>
      <c r="V61" s="599" t="n">
        <v>2</v>
      </c>
      <c r="W61" s="22" t="n">
        <v>478</v>
      </c>
      <c r="X61" s="22" t="n"/>
      <c r="Y61" s="601" t="n">
        <v>0</v>
      </c>
      <c r="Z61" s="601" t="n"/>
      <c r="AA61" s="602">
        <f>Y61-Z61</f>
        <v/>
      </c>
      <c r="AB61" s="599">
        <f>(S61-V61)*V61*W61*0.024653*Y61/1000000</f>
        <v/>
      </c>
      <c r="AC61" s="599">
        <f>(S61-V61)*V61*W61*0.024653*Z61/1000000</f>
        <v/>
      </c>
      <c r="AD61" s="599">
        <f>AB61-AC61</f>
        <v/>
      </c>
      <c r="AE61" s="599" t="n"/>
      <c r="AF61" s="599" t="n">
        <v>0.334871</v>
      </c>
      <c r="AG61" s="599" t="n"/>
      <c r="AH61" s="599">
        <f>AB60-AF61</f>
        <v/>
      </c>
      <c r="AI61" s="118">
        <f>(AC61+AF61)/AB60</f>
        <v/>
      </c>
    </row>
    <row r="62" hidden="1" s="584">
      <c r="A62" s="594" t="n">
        <v>447</v>
      </c>
      <c r="B62" s="5" t="inlineStr">
        <is>
          <t>Hosur</t>
        </is>
      </c>
      <c r="C62" s="601" t="inlineStr">
        <is>
          <t>ELKAYEM AUTO</t>
        </is>
      </c>
      <c r="D62" s="601" t="n"/>
      <c r="E62" s="601" t="n">
        <v>129663</v>
      </c>
      <c r="F62" s="601" t="n">
        <v>1531612</v>
      </c>
      <c r="G62" s="601" t="inlineStr">
        <is>
          <t>TUB-O-N-AUT-AW-PE-19.05X1.600X0.3800</t>
        </is>
      </c>
      <c r="H62" s="601" t="n"/>
      <c r="I62" s="601" t="n"/>
      <c r="J62" s="601" t="n"/>
      <c r="K62" s="601" t="inlineStr">
        <is>
          <t>HR</t>
        </is>
      </c>
      <c r="L62" s="601" t="n"/>
      <c r="M62" s="601" t="n"/>
      <c r="N62" s="601" t="n"/>
      <c r="O62" s="601" t="n"/>
      <c r="P62" s="557">
        <f>CONCATENATE(schedule13[[#This Row],[OD]],"-",schedule13[[#This Row],[ID]],"-",schedule13[[#This Row],[TICKNESS]],"-",schedule13[[#This Row],[GRADE]],"-",schedule13[[#This Row],[FC/NFC]])</f>
        <v/>
      </c>
      <c r="Q62" s="557" t="n"/>
      <c r="R62" s="557" t="n"/>
      <c r="S62" s="6" t="n">
        <v>19.05</v>
      </c>
      <c r="T62" s="6" t="n">
        <v>19.05</v>
      </c>
      <c r="U62" s="599" t="n">
        <v>0</v>
      </c>
      <c r="V62" s="599" t="n">
        <v>1.6</v>
      </c>
      <c r="W62" s="22" t="n">
        <v>380</v>
      </c>
      <c r="X62" s="22" t="n"/>
      <c r="Y62" s="601" t="n">
        <v>0</v>
      </c>
      <c r="Z62" s="601" t="n"/>
      <c r="AA62" s="602">
        <f>Y62-Z62</f>
        <v/>
      </c>
      <c r="AB62" s="599">
        <f>(S62-V62)*V62*W62*0.024653*Y62/1000000</f>
        <v/>
      </c>
      <c r="AC62" s="599">
        <f>(S62-V62)*V62*W62*0.024653*Z62/1000000</f>
        <v/>
      </c>
      <c r="AD62" s="599">
        <f>AB62-AC62</f>
        <v/>
      </c>
      <c r="AE62" s="599" t="n"/>
      <c r="AF62" s="599" t="n"/>
      <c r="AG62" s="599" t="n"/>
      <c r="AH62" s="599">
        <f>AB61-AF62</f>
        <v/>
      </c>
      <c r="AI62" s="118">
        <f>(AC62+AF62)/AB61</f>
        <v/>
      </c>
    </row>
    <row r="63" hidden="1" s="584">
      <c r="A63" s="594" t="n">
        <v>448</v>
      </c>
      <c r="B63" s="5" t="inlineStr">
        <is>
          <t>Hosur</t>
        </is>
      </c>
      <c r="C63" s="601" t="inlineStr">
        <is>
          <t>ELKAYEM AUTO</t>
        </is>
      </c>
      <c r="D63" s="601" t="n"/>
      <c r="E63" s="601" t="n">
        <v>129663</v>
      </c>
      <c r="F63" s="601" t="n">
        <v>3510169</v>
      </c>
      <c r="G63" s="601" t="inlineStr">
        <is>
          <t>CUT-O-N-AUT-AW-FC-19.05X1.600X0.2380</t>
        </is>
      </c>
      <c r="H63" s="601" t="n"/>
      <c r="I63" s="601" t="n"/>
      <c r="J63" s="601" t="n"/>
      <c r="K63" s="601" t="inlineStr">
        <is>
          <t>HR</t>
        </is>
      </c>
      <c r="L63" s="601" t="n"/>
      <c r="M63" s="601" t="n"/>
      <c r="N63" s="601" t="n"/>
      <c r="O63" s="601" t="n"/>
      <c r="P63" s="557">
        <f>CONCATENATE(schedule13[[#This Row],[OD]],"-",schedule13[[#This Row],[ID]],"-",schedule13[[#This Row],[TICKNESS]],"-",schedule13[[#This Row],[GRADE]],"-",schedule13[[#This Row],[FC/NFC]])</f>
        <v/>
      </c>
      <c r="Q63" s="557" t="n"/>
      <c r="R63" s="557" t="n"/>
      <c r="S63" s="6" t="n">
        <v>19.05</v>
      </c>
      <c r="T63" s="6" t="n">
        <v>19.05</v>
      </c>
      <c r="U63" s="599" t="n">
        <v>0</v>
      </c>
      <c r="V63" s="599" t="n">
        <v>1.6</v>
      </c>
      <c r="W63" s="22" t="n">
        <v>238</v>
      </c>
      <c r="X63" s="22" t="n"/>
      <c r="Y63" s="601" t="n">
        <v>0</v>
      </c>
      <c r="Z63" s="601" t="n"/>
      <c r="AA63" s="602">
        <f>Y63-Z63</f>
        <v/>
      </c>
      <c r="AB63" s="599">
        <f>(S63-V63)*V63*W63*0.024653*Y63/1000000</f>
        <v/>
      </c>
      <c r="AC63" s="599">
        <f>(S63-V63)*V63*W63*0.024653*Z63/1000000</f>
        <v/>
      </c>
      <c r="AD63" s="599">
        <f>AB63-AC63</f>
        <v/>
      </c>
      <c r="AE63" s="599" t="n"/>
      <c r="AF63" s="599" t="n"/>
      <c r="AG63" s="599" t="n"/>
      <c r="AH63" s="599">
        <f>AB62-AF63</f>
        <v/>
      </c>
      <c r="AI63" s="118">
        <f>(AC63+AF63)/AB62</f>
        <v/>
      </c>
    </row>
    <row r="64" hidden="1" s="584">
      <c r="A64" s="594" t="n">
        <v>449</v>
      </c>
      <c r="B64" s="5" t="inlineStr">
        <is>
          <t>Hosur</t>
        </is>
      </c>
      <c r="C64" s="601" t="inlineStr">
        <is>
          <t>ELKAYEM AUTO</t>
        </is>
      </c>
      <c r="D64" s="601" t="n"/>
      <c r="E64" s="601" t="n">
        <v>129663</v>
      </c>
      <c r="F64" s="601" t="n">
        <v>3213875</v>
      </c>
      <c r="G64" s="601" t="inlineStr">
        <is>
          <t>TUB-O-N-AUT-AW-PE-19.05X1.60X0.485-MAHS</t>
        </is>
      </c>
      <c r="H64" s="601" t="n"/>
      <c r="I64" s="601" t="n"/>
      <c r="J64" s="601" t="n"/>
      <c r="K64" s="601" t="inlineStr">
        <is>
          <t>HR</t>
        </is>
      </c>
      <c r="L64" s="601" t="n"/>
      <c r="M64" s="601" t="n"/>
      <c r="N64" s="601" t="n"/>
      <c r="O64" s="601" t="n"/>
      <c r="P64" s="557">
        <f>CONCATENATE(schedule13[[#This Row],[OD]],"-",schedule13[[#This Row],[ID]],"-",schedule13[[#This Row],[TICKNESS]],"-",schedule13[[#This Row],[GRADE]],"-",schedule13[[#This Row],[FC/NFC]])</f>
        <v/>
      </c>
      <c r="Q64" s="557" t="n"/>
      <c r="R64" s="557" t="n"/>
      <c r="S64" s="6" t="n">
        <v>19.05</v>
      </c>
      <c r="T64" s="6" t="n">
        <v>19.05</v>
      </c>
      <c r="U64" s="599" t="n">
        <v>0</v>
      </c>
      <c r="V64" s="599" t="n">
        <v>1.6</v>
      </c>
      <c r="W64" s="22" t="n">
        <v>485</v>
      </c>
      <c r="X64" s="22" t="n"/>
      <c r="Y64" s="601" t="n">
        <v>0</v>
      </c>
      <c r="Z64" s="601" t="n"/>
      <c r="AA64" s="602">
        <f>Y64-Z64</f>
        <v/>
      </c>
      <c r="AB64" s="599">
        <f>(S64-V64)*V64*W64*0.024653*Y64/1000000</f>
        <v/>
      </c>
      <c r="AC64" s="599">
        <f>(S64-V64)*V64*W64*0.024653*Z64/1000000</f>
        <v/>
      </c>
      <c r="AD64" s="599">
        <f>AB64-AC64</f>
        <v/>
      </c>
      <c r="AE64" s="599" t="n"/>
      <c r="AF64" s="599" t="n"/>
      <c r="AG64" s="599" t="n"/>
      <c r="AH64" s="599">
        <f>AB63-AF64</f>
        <v/>
      </c>
      <c r="AI64" s="118">
        <f>(AC64+AF64)/AB63</f>
        <v/>
      </c>
    </row>
    <row r="65" hidden="1" s="584">
      <c r="A65" s="594" t="n">
        <v>450</v>
      </c>
      <c r="B65" s="5" t="inlineStr">
        <is>
          <t xml:space="preserve">Khopoli </t>
        </is>
      </c>
      <c r="C65" s="601" t="inlineStr">
        <is>
          <t>ELKAYEM AUTO</t>
        </is>
      </c>
      <c r="D65" s="601" t="n"/>
      <c r="E65" s="601" t="n">
        <v>129663</v>
      </c>
      <c r="F65" s="601" t="n">
        <v>460176</v>
      </c>
      <c r="G65" s="601" t="inlineStr">
        <is>
          <t>PT4-O-N-AUT-NR-AG-57.15X2.000X0.713</t>
        </is>
      </c>
      <c r="H65" s="601" t="n"/>
      <c r="I65" s="601" t="n"/>
      <c r="J65" s="601" t="n"/>
      <c r="K65" s="601" t="inlineStr">
        <is>
          <t>HR</t>
        </is>
      </c>
      <c r="L65" s="601" t="n"/>
      <c r="M65" s="601" t="n"/>
      <c r="N65" s="601" t="n"/>
      <c r="O65" s="601" t="n"/>
      <c r="P65" s="557">
        <f>CONCATENATE(schedule13[[#This Row],[OD]],"-",schedule13[[#This Row],[ID]],"-",schedule13[[#This Row],[TICKNESS]],"-",schedule13[[#This Row],[GRADE]],"-",schedule13[[#This Row],[FC/NFC]])</f>
        <v/>
      </c>
      <c r="Q65" s="557" t="n"/>
      <c r="R65" s="557" t="n"/>
      <c r="S65" s="6" t="n">
        <v>57.15</v>
      </c>
      <c r="T65" s="6" t="n">
        <v>57.15</v>
      </c>
      <c r="U65" s="599" t="n">
        <v>0</v>
      </c>
      <c r="V65" s="599" t="n">
        <v>2</v>
      </c>
      <c r="W65" s="22" t="n">
        <v>713</v>
      </c>
      <c r="X65" s="22" t="n"/>
      <c r="Y65" s="601" t="n">
        <v>0</v>
      </c>
      <c r="Z65" s="601" t="n"/>
      <c r="AA65" s="602">
        <f>Y65-Z65</f>
        <v/>
      </c>
      <c r="AB65" s="599">
        <f>(S65-V65)*V65*W65*0.024653*Y65/1000000</f>
        <v/>
      </c>
      <c r="AC65" s="599">
        <f>(S65-V65)*V65*W65*0.024653*Z65/1000000</f>
        <v/>
      </c>
      <c r="AD65" s="599">
        <f>AB65-AC65</f>
        <v/>
      </c>
      <c r="AE65" s="599" t="n"/>
      <c r="AF65" s="599" t="n"/>
      <c r="AG65" s="599" t="n"/>
      <c r="AH65" s="599">
        <f>AB64-AF65</f>
        <v/>
      </c>
      <c r="AI65" s="118">
        <f>(AC65+AF65)/AB64</f>
        <v/>
      </c>
    </row>
    <row r="66" hidden="1" s="584">
      <c r="A66" s="594" t="n">
        <v>451</v>
      </c>
      <c r="B66" s="5" t="inlineStr">
        <is>
          <t xml:space="preserve">Khopoli </t>
        </is>
      </c>
      <c r="C66" s="601" t="inlineStr">
        <is>
          <t>ELKAYEM AUTO</t>
        </is>
      </c>
      <c r="D66" s="601" t="n"/>
      <c r="E66" s="601" t="n">
        <v>129663</v>
      </c>
      <c r="F66" s="601" t="n">
        <v>3617058</v>
      </c>
      <c r="G66" s="601" t="inlineStr">
        <is>
          <t>TUB-O-C-AUT-AD-FC-28.60X2.650X0.2090</t>
        </is>
      </c>
      <c r="H66" s="601" t="inlineStr">
        <is>
          <t>CEW</t>
        </is>
      </c>
      <c r="I66" s="601" t="n"/>
      <c r="J66" s="601" t="inlineStr">
        <is>
          <t>CEW</t>
        </is>
      </c>
      <c r="K66" s="601" t="inlineStr">
        <is>
          <t>HR</t>
        </is>
      </c>
      <c r="L66" s="601" t="n"/>
      <c r="M66" s="601" t="n"/>
      <c r="N66" s="601" t="n"/>
      <c r="O66" s="601" t="n"/>
      <c r="P66" s="557">
        <f>CONCATENATE(schedule13[[#This Row],[OD]],"-",schedule13[[#This Row],[ID]],"-",schedule13[[#This Row],[TICKNESS]],"-",schedule13[[#This Row],[GRADE]],"-",schedule13[[#This Row],[FC/NFC]])</f>
        <v/>
      </c>
      <c r="Q66" s="557" t="n"/>
      <c r="R66" s="557" t="n"/>
      <c r="S66" s="599" t="n">
        <v>28.6</v>
      </c>
      <c r="T66" s="599" t="n">
        <v>28.6</v>
      </c>
      <c r="U66" s="599" t="n">
        <v>0</v>
      </c>
      <c r="V66" s="599" t="n">
        <v>2.65</v>
      </c>
      <c r="W66" s="22" t="n">
        <v>209</v>
      </c>
      <c r="X66" s="22" t="n"/>
      <c r="Y66" s="7" t="n">
        <v>15000</v>
      </c>
      <c r="Z66" s="601" t="n"/>
      <c r="AA66" s="602">
        <f>Y66-Z66</f>
        <v/>
      </c>
      <c r="AB66" s="599">
        <f>(S66-V66)*V66*W66*0.024653*Y66/1000000</f>
        <v/>
      </c>
      <c r="AC66" s="599">
        <f>(S66-V66)*V66*W66*0.024653*Z66/1000000</f>
        <v/>
      </c>
      <c r="AD66" s="599">
        <f>AB66-AC66</f>
        <v/>
      </c>
      <c r="AE66" s="599" t="n"/>
      <c r="AF66" s="599" t="n">
        <v>0.430188</v>
      </c>
      <c r="AG66" s="599" t="n"/>
      <c r="AH66" s="599">
        <f>AB65-AF66</f>
        <v/>
      </c>
      <c r="AI66" s="118">
        <f>(AC66+AF66)/AB65</f>
        <v/>
      </c>
    </row>
    <row r="67" hidden="1" s="584">
      <c r="A67" s="594" t="n">
        <v>452</v>
      </c>
      <c r="B67" s="5" t="inlineStr">
        <is>
          <t>Hosur</t>
        </is>
      </c>
      <c r="C67" s="601" t="inlineStr">
        <is>
          <t>ELKAYEM AUTO</t>
        </is>
      </c>
      <c r="D67" s="601" t="n"/>
      <c r="E67" s="601" t="n">
        <v>129663</v>
      </c>
      <c r="F67" s="601" t="n">
        <v>464578</v>
      </c>
      <c r="G67" s="601" t="inlineStr">
        <is>
          <t>PT2-O-N-AUT-AW-PE-19.05X1.600X0.310</t>
        </is>
      </c>
      <c r="H67" s="601" t="n"/>
      <c r="I67" s="601" t="n"/>
      <c r="J67" s="601" t="n"/>
      <c r="K67" s="601" t="inlineStr">
        <is>
          <t>HR</t>
        </is>
      </c>
      <c r="L67" s="601" t="n"/>
      <c r="M67" s="601" t="n"/>
      <c r="N67" s="601" t="n"/>
      <c r="O67" s="601" t="n"/>
      <c r="P67" s="557">
        <f>CONCATENATE(schedule13[[#This Row],[OD]],"-",schedule13[[#This Row],[ID]],"-",schedule13[[#This Row],[TICKNESS]],"-",schedule13[[#This Row],[GRADE]],"-",schedule13[[#This Row],[FC/NFC]])</f>
        <v/>
      </c>
      <c r="Q67" s="557" t="n"/>
      <c r="R67" s="557" t="n"/>
      <c r="S67" s="6" t="n">
        <v>19.05</v>
      </c>
      <c r="T67" s="6" t="n">
        <v>19.05</v>
      </c>
      <c r="U67" s="599" t="n">
        <v>0</v>
      </c>
      <c r="V67" s="599" t="n">
        <v>1.6</v>
      </c>
      <c r="W67" s="22" t="n">
        <v>310</v>
      </c>
      <c r="X67" s="22" t="n"/>
      <c r="Y67" s="601" t="n">
        <v>0</v>
      </c>
      <c r="Z67" s="601" t="n"/>
      <c r="AA67" s="602">
        <f>Y67-Z67</f>
        <v/>
      </c>
      <c r="AB67" s="599">
        <f>(S67-V67)*V67*W67*0.024653*Y67/1000000</f>
        <v/>
      </c>
      <c r="AC67" s="599">
        <f>(S67-V67)*V67*W67*0.024653*Z67/1000000</f>
        <v/>
      </c>
      <c r="AD67" s="599">
        <f>AB67-AC67</f>
        <v/>
      </c>
      <c r="AE67" s="599" t="n"/>
      <c r="AF67" s="599" t="n"/>
      <c r="AG67" s="599" t="n"/>
      <c r="AH67" s="599">
        <f>AB66-AF67</f>
        <v/>
      </c>
      <c r="AI67" s="118">
        <f>(AC67+AF67)/AB66</f>
        <v/>
      </c>
    </row>
    <row r="68" hidden="1" s="584">
      <c r="A68" s="594" t="n">
        <v>453</v>
      </c>
      <c r="B68" s="5" t="inlineStr">
        <is>
          <t>Hosur</t>
        </is>
      </c>
      <c r="C68" s="601" t="inlineStr">
        <is>
          <t>ELKAYEM AUTO</t>
        </is>
      </c>
      <c r="D68" s="601" t="n"/>
      <c r="E68" s="601" t="n">
        <v>129663</v>
      </c>
      <c r="F68" s="601" t="n">
        <v>1236370</v>
      </c>
      <c r="G68" s="601" t="inlineStr">
        <is>
          <t>TUB-O-N-AUT-AW-FC-34.93X2.000X0.339</t>
        </is>
      </c>
      <c r="H68" s="601" t="n"/>
      <c r="I68" s="601" t="n"/>
      <c r="J68" s="601" t="n"/>
      <c r="K68" s="601" t="inlineStr">
        <is>
          <t>HR</t>
        </is>
      </c>
      <c r="L68" s="601" t="n"/>
      <c r="M68" s="601" t="n"/>
      <c r="N68" s="601" t="n"/>
      <c r="O68" s="601" t="n"/>
      <c r="P68" s="557">
        <f>CONCATENATE(schedule13[[#This Row],[OD]],"-",schedule13[[#This Row],[ID]],"-",schedule13[[#This Row],[TICKNESS]],"-",schedule13[[#This Row],[GRADE]],"-",schedule13[[#This Row],[FC/NFC]])</f>
        <v/>
      </c>
      <c r="Q68" s="557" t="n"/>
      <c r="R68" s="557" t="n"/>
      <c r="S68" s="6" t="n">
        <v>34.93</v>
      </c>
      <c r="T68" s="6" t="n">
        <v>34.93</v>
      </c>
      <c r="U68" s="599" t="n">
        <v>0</v>
      </c>
      <c r="V68" s="599" t="n">
        <v>2</v>
      </c>
      <c r="W68" s="22" t="n">
        <v>339</v>
      </c>
      <c r="X68" s="22" t="n"/>
      <c r="Y68" s="601" t="n">
        <v>0</v>
      </c>
      <c r="Z68" s="601" t="n"/>
      <c r="AA68" s="602">
        <f>Y68-Z68</f>
        <v/>
      </c>
      <c r="AB68" s="599">
        <f>(S68-V68)*V68*W68*0.024653*Y68/1000000</f>
        <v/>
      </c>
      <c r="AC68" s="599">
        <f>(S68-V68)*V68*W68*0.024653*Z68/1000000</f>
        <v/>
      </c>
      <c r="AD68" s="599">
        <f>AB68-AC68</f>
        <v/>
      </c>
      <c r="AE68" s="599" t="n"/>
      <c r="AF68" s="599" t="n"/>
      <c r="AG68" s="599" t="n"/>
      <c r="AH68" s="599">
        <f>AB67-AF68</f>
        <v/>
      </c>
      <c r="AI68" s="118">
        <f>(AC68+AF68)/AB67</f>
        <v/>
      </c>
    </row>
    <row r="69" hidden="1" s="584">
      <c r="A69" s="594" t="n">
        <v>454</v>
      </c>
      <c r="B69" s="5" t="inlineStr">
        <is>
          <t xml:space="preserve">Khopoli </t>
        </is>
      </c>
      <c r="C69" s="601" t="inlineStr">
        <is>
          <t>ELKAYEM AUTO</t>
        </is>
      </c>
      <c r="D69" s="601" t="n"/>
      <c r="E69" s="601" t="n">
        <v>129663</v>
      </c>
      <c r="F69" s="601" t="n">
        <v>1938382</v>
      </c>
      <c r="G69" s="601" t="inlineStr">
        <is>
          <t>TUB-O-N-AUT-AW-PE-17.30X1.600X0.3870</t>
        </is>
      </c>
      <c r="H69" s="601" t="inlineStr">
        <is>
          <t>CEW</t>
        </is>
      </c>
      <c r="I69" s="601" t="n"/>
      <c r="J69" s="601" t="n"/>
      <c r="K69" s="601" t="inlineStr">
        <is>
          <t>HR</t>
        </is>
      </c>
      <c r="L69" s="601" t="n"/>
      <c r="M69" s="601" t="n"/>
      <c r="N69" s="601" t="n"/>
      <c r="O69" s="601" t="n"/>
      <c r="P69" s="557">
        <f>CONCATENATE(schedule13[[#This Row],[OD]],"-",schedule13[[#This Row],[ID]],"-",schedule13[[#This Row],[TICKNESS]],"-",schedule13[[#This Row],[GRADE]],"-",schedule13[[#This Row],[FC/NFC]])</f>
        <v/>
      </c>
      <c r="Q69" s="557" t="n"/>
      <c r="R69" s="557" t="n"/>
      <c r="S69" s="6" t="n">
        <v>17.3</v>
      </c>
      <c r="T69" s="6" t="n">
        <v>17.3</v>
      </c>
      <c r="U69" s="599" t="n">
        <v>0</v>
      </c>
      <c r="V69" s="599" t="n">
        <v>1.6</v>
      </c>
      <c r="W69" s="22" t="n">
        <v>387</v>
      </c>
      <c r="X69" s="22" t="n"/>
      <c r="Y69" s="601" t="n">
        <v>0</v>
      </c>
      <c r="Z69" s="601" t="n"/>
      <c r="AA69" s="602">
        <f>Y69-Z69</f>
        <v/>
      </c>
      <c r="AB69" s="599">
        <f>(S69-V69)*V69*W69*0.024653*Y69/1000000</f>
        <v/>
      </c>
      <c r="AC69" s="599">
        <f>(S69-V69)*V69*W69*0.024653*Z69/1000000</f>
        <v/>
      </c>
      <c r="AD69" s="599">
        <f>AB69-AC69</f>
        <v/>
      </c>
      <c r="AE69" s="599" t="n"/>
      <c r="AF69" s="599" t="n"/>
      <c r="AG69" s="599" t="n"/>
      <c r="AH69" s="599">
        <f>AB68-AF69</f>
        <v/>
      </c>
      <c r="AI69" s="118">
        <f>(AC69+AF69)/AB68</f>
        <v/>
      </c>
    </row>
    <row r="70" hidden="1" s="584">
      <c r="A70" s="594" t="n">
        <v>455</v>
      </c>
      <c r="B70" s="5" t="inlineStr">
        <is>
          <t>Hosur</t>
        </is>
      </c>
      <c r="C70" s="601" t="inlineStr">
        <is>
          <t>ELKAYEM AUTO</t>
        </is>
      </c>
      <c r="D70" s="601" t="n"/>
      <c r="E70" s="601" t="n">
        <v>129663</v>
      </c>
      <c r="F70" s="601" t="n">
        <v>1413976</v>
      </c>
      <c r="G70" s="601" t="inlineStr">
        <is>
          <t>TUB-O-N-AUT-AH-PE-25.40X2.000X0.3150 HST</t>
        </is>
      </c>
      <c r="H70" s="601" t="n"/>
      <c r="I70" s="601" t="n"/>
      <c r="J70" s="601" t="n"/>
      <c r="K70" s="601" t="inlineStr">
        <is>
          <t>HR</t>
        </is>
      </c>
      <c r="L70" s="601" t="n"/>
      <c r="M70" s="601" t="n"/>
      <c r="N70" s="601" t="n"/>
      <c r="O70" s="601" t="n"/>
      <c r="P70" s="557">
        <f>CONCATENATE(schedule13[[#This Row],[OD]],"-",schedule13[[#This Row],[ID]],"-",schedule13[[#This Row],[TICKNESS]],"-",schedule13[[#This Row],[GRADE]],"-",schedule13[[#This Row],[FC/NFC]])</f>
        <v/>
      </c>
      <c r="Q70" s="557" t="n"/>
      <c r="R70" s="557" t="n"/>
      <c r="S70" s="6" t="n">
        <v>25.4</v>
      </c>
      <c r="T70" s="6" t="n">
        <v>25.4</v>
      </c>
      <c r="U70" s="599" t="n">
        <v>0</v>
      </c>
      <c r="V70" s="599" t="n">
        <v>2</v>
      </c>
      <c r="W70" s="22" t="n">
        <v>315</v>
      </c>
      <c r="X70" s="22" t="n"/>
      <c r="Y70" s="601" t="n">
        <v>0</v>
      </c>
      <c r="Z70" s="601" t="n"/>
      <c r="AA70" s="602">
        <f>Y70-Z70</f>
        <v/>
      </c>
      <c r="AB70" s="599">
        <f>(S70-V70)*V70*W70*0.024653*Y70/1000000</f>
        <v/>
      </c>
      <c r="AC70" s="599">
        <f>(S70-V70)*V70*W70*0.024653*Z70/1000000</f>
        <v/>
      </c>
      <c r="AD70" s="599">
        <f>AB70-AC70</f>
        <v/>
      </c>
      <c r="AE70" s="599" t="n"/>
      <c r="AF70" s="599" t="n">
        <v>0.0592</v>
      </c>
      <c r="AG70" s="599" t="n"/>
      <c r="AH70" s="599">
        <f>AB69-AF70</f>
        <v/>
      </c>
      <c r="AI70" s="118">
        <f>(AC70+AF70)/AB69</f>
        <v/>
      </c>
    </row>
    <row r="71" hidden="1" s="584">
      <c r="A71" s="594" t="n">
        <v>456</v>
      </c>
      <c r="B71" s="5" t="inlineStr">
        <is>
          <t>Hosur</t>
        </is>
      </c>
      <c r="C71" s="601" t="inlineStr">
        <is>
          <t>ELKAYEM AUTO</t>
        </is>
      </c>
      <c r="D71" s="601" t="n"/>
      <c r="E71" s="601" t="n">
        <v>129663</v>
      </c>
      <c r="F71" s="601" t="n">
        <v>1551280</v>
      </c>
      <c r="G71" s="601" t="inlineStr">
        <is>
          <t>TUB-O-N-AUT-AW-PE-34.93X2.000X0.2840</t>
        </is>
      </c>
      <c r="H71" s="601" t="n"/>
      <c r="I71" s="601" t="n"/>
      <c r="J71" s="601" t="n"/>
      <c r="K71" s="601" t="inlineStr">
        <is>
          <t>HR</t>
        </is>
      </c>
      <c r="L71" s="601" t="n"/>
      <c r="M71" s="601" t="n"/>
      <c r="N71" s="601" t="n"/>
      <c r="O71" s="601" t="n"/>
      <c r="P71" s="557">
        <f>CONCATENATE(schedule13[[#This Row],[OD]],"-",schedule13[[#This Row],[ID]],"-",schedule13[[#This Row],[TICKNESS]],"-",schedule13[[#This Row],[GRADE]],"-",schedule13[[#This Row],[FC/NFC]])</f>
        <v/>
      </c>
      <c r="Q71" s="557" t="n"/>
      <c r="R71" s="557" t="n"/>
      <c r="S71" s="6" t="n">
        <v>34.93</v>
      </c>
      <c r="T71" s="6" t="n">
        <v>34.93</v>
      </c>
      <c r="U71" s="599" t="n">
        <v>0</v>
      </c>
      <c r="V71" s="599" t="n">
        <v>2</v>
      </c>
      <c r="W71" s="22" t="n">
        <v>284</v>
      </c>
      <c r="X71" s="22" t="n"/>
      <c r="Y71" s="601" t="n">
        <v>0</v>
      </c>
      <c r="Z71" s="601" t="n"/>
      <c r="AA71" s="602">
        <f>Y71-Z71</f>
        <v/>
      </c>
      <c r="AB71" s="599">
        <f>(S71-V71)*V71*W71*0.024653*Y71/1000000</f>
        <v/>
      </c>
      <c r="AC71" s="599">
        <f>(S71-V71)*V71*W71*0.024653*Z71/1000000</f>
        <v/>
      </c>
      <c r="AD71" s="599">
        <f>AB71-AC71</f>
        <v/>
      </c>
      <c r="AE71" s="599" t="n"/>
      <c r="AF71" s="599" t="n"/>
      <c r="AG71" s="599" t="n"/>
      <c r="AH71" s="599">
        <f>AB70-AF71</f>
        <v/>
      </c>
      <c r="AI71" s="118">
        <f>(AC71+AF71)/AB70</f>
        <v/>
      </c>
    </row>
    <row r="72" hidden="1" s="584">
      <c r="A72" s="594" t="n">
        <v>457</v>
      </c>
      <c r="B72" s="5" t="inlineStr">
        <is>
          <t>Hosur</t>
        </is>
      </c>
      <c r="C72" s="601" t="inlineStr">
        <is>
          <t>ELKAYEM AUTO</t>
        </is>
      </c>
      <c r="D72" s="601" t="n"/>
      <c r="E72" s="601" t="n">
        <v>129663</v>
      </c>
      <c r="F72" s="601" t="n">
        <v>3218520</v>
      </c>
      <c r="G72" s="601" t="inlineStr">
        <is>
          <t>TUB-O-N-AUT-AW-PE-25.40X2.000X0.4960</t>
        </is>
      </c>
      <c r="H72" s="601" t="n"/>
      <c r="I72" s="601" t="n"/>
      <c r="J72" s="601" t="n"/>
      <c r="K72" s="601" t="inlineStr">
        <is>
          <t>HR</t>
        </is>
      </c>
      <c r="L72" s="601" t="n"/>
      <c r="M72" s="601" t="n"/>
      <c r="N72" s="601" t="n"/>
      <c r="O72" s="601" t="n"/>
      <c r="P72" s="557">
        <f>CONCATENATE(schedule13[[#This Row],[OD]],"-",schedule13[[#This Row],[ID]],"-",schedule13[[#This Row],[TICKNESS]],"-",schedule13[[#This Row],[GRADE]],"-",schedule13[[#This Row],[FC/NFC]])</f>
        <v/>
      </c>
      <c r="Q72" s="557" t="n"/>
      <c r="R72" s="557" t="n"/>
      <c r="S72" s="6" t="n">
        <v>25.4</v>
      </c>
      <c r="T72" s="6" t="n">
        <v>25.4</v>
      </c>
      <c r="U72" s="599" t="n">
        <v>0</v>
      </c>
      <c r="V72" s="599" t="n">
        <v>2</v>
      </c>
      <c r="W72" s="22" t="n">
        <v>496</v>
      </c>
      <c r="X72" s="22" t="n"/>
      <c r="Y72" s="601" t="n">
        <v>0</v>
      </c>
      <c r="Z72" s="601" t="n"/>
      <c r="AA72" s="602">
        <f>Y72-Z72</f>
        <v/>
      </c>
      <c r="AB72" s="599">
        <f>(S72-V72)*V72*W72*0.024653*Y72/1000000</f>
        <v/>
      </c>
      <c r="AC72" s="599">
        <f>(S72-V72)*V72*W72*0.024653*Z72/1000000</f>
        <v/>
      </c>
      <c r="AD72" s="599">
        <f>AB72-AC72</f>
        <v/>
      </c>
      <c r="AE72" s="599" t="n"/>
      <c r="AF72" s="599" t="n"/>
      <c r="AG72" s="599" t="n"/>
      <c r="AH72" s="599">
        <f>AB71-AF72</f>
        <v/>
      </c>
      <c r="AI72" s="118">
        <f>(AC72+AF72)/AB71</f>
        <v/>
      </c>
    </row>
    <row r="73" hidden="1" s="584">
      <c r="A73" s="594" t="n">
        <v>458</v>
      </c>
      <c r="B73" s="5" t="inlineStr">
        <is>
          <t>Hosur</t>
        </is>
      </c>
      <c r="C73" s="601" t="inlineStr">
        <is>
          <t>ELKAYEM AUTO</t>
        </is>
      </c>
      <c r="D73" s="601" t="n"/>
      <c r="E73" s="601" t="n">
        <v>129663</v>
      </c>
      <c r="F73" s="601" t="n">
        <v>288719</v>
      </c>
      <c r="G73" s="601" t="inlineStr">
        <is>
          <t>PT2-O-N-AUT-AW-PE-22.20X2.000X0.715</t>
        </is>
      </c>
      <c r="H73" s="601" t="inlineStr">
        <is>
          <t>ERW 1</t>
        </is>
      </c>
      <c r="I73" s="601" t="n"/>
      <c r="J73" s="601" t="n"/>
      <c r="K73" s="601" t="inlineStr">
        <is>
          <t>HR</t>
        </is>
      </c>
      <c r="L73" s="601" t="n"/>
      <c r="M73" s="601" t="n"/>
      <c r="N73" s="601" t="n"/>
      <c r="O73" s="601" t="n"/>
      <c r="P73" s="557">
        <f>CONCATENATE(schedule13[[#This Row],[OD]],"-",schedule13[[#This Row],[ID]],"-",schedule13[[#This Row],[TICKNESS]],"-",schedule13[[#This Row],[GRADE]],"-",schedule13[[#This Row],[FC/NFC]])</f>
        <v/>
      </c>
      <c r="Q73" s="557" t="n"/>
      <c r="R73" s="557" t="n"/>
      <c r="S73" s="6" t="n">
        <v>22.23</v>
      </c>
      <c r="T73" s="6" t="n">
        <v>22.23</v>
      </c>
      <c r="U73" s="599" t="n">
        <v>0</v>
      </c>
      <c r="V73" s="599" t="n">
        <v>2</v>
      </c>
      <c r="W73" s="22" t="n">
        <v>715</v>
      </c>
      <c r="X73" s="22" t="n"/>
      <c r="Y73" s="601" t="n">
        <v>0</v>
      </c>
      <c r="Z73" s="601" t="n"/>
      <c r="AA73" s="602">
        <f>Y73-Z73</f>
        <v/>
      </c>
      <c r="AB73" s="599">
        <f>(S73-V73)*V73*W73*0.024653*Y73/1000000</f>
        <v/>
      </c>
      <c r="AC73" s="599">
        <f>(S73-V73)*V73*W73*0.024653*Z73/1000000</f>
        <v/>
      </c>
      <c r="AD73" s="599">
        <f>AB73-AC73</f>
        <v/>
      </c>
      <c r="AE73" s="599" t="n"/>
      <c r="AF73" s="599" t="n"/>
      <c r="AG73" s="599" t="n"/>
      <c r="AH73" s="599">
        <f>AB72-AF73</f>
        <v/>
      </c>
      <c r="AI73" s="118">
        <f>(AC73+AF73)/AB72</f>
        <v/>
      </c>
    </row>
    <row r="74" hidden="1" s="584">
      <c r="A74" s="594" t="n">
        <v>459</v>
      </c>
      <c r="B74" s="5" t="inlineStr">
        <is>
          <t>Hosur</t>
        </is>
      </c>
      <c r="C74" s="601" t="inlineStr">
        <is>
          <t>ELKAYEM AUTO</t>
        </is>
      </c>
      <c r="D74" s="601" t="n"/>
      <c r="E74" s="601" t="n">
        <v>129663</v>
      </c>
      <c r="F74" s="601" t="n">
        <v>468311</v>
      </c>
      <c r="G74" s="601" t="inlineStr">
        <is>
          <t>TUB-O-N-AUT-AW-PE-15.88X2.000X0.291</t>
        </is>
      </c>
      <c r="H74" s="601" t="n"/>
      <c r="I74" s="601" t="n"/>
      <c r="J74" s="601" t="n"/>
      <c r="K74" s="601" t="inlineStr">
        <is>
          <t>HR</t>
        </is>
      </c>
      <c r="L74" s="601" t="n"/>
      <c r="M74" s="601" t="n"/>
      <c r="N74" s="601" t="n"/>
      <c r="O74" s="601" t="n"/>
      <c r="P74" s="557">
        <f>CONCATENATE(schedule13[[#This Row],[OD]],"-",schedule13[[#This Row],[ID]],"-",schedule13[[#This Row],[TICKNESS]],"-",schedule13[[#This Row],[GRADE]],"-",schedule13[[#This Row],[FC/NFC]])</f>
        <v/>
      </c>
      <c r="Q74" s="557" t="n"/>
      <c r="R74" s="557" t="n"/>
      <c r="S74" s="6" t="n">
        <v>15.88</v>
      </c>
      <c r="T74" s="6" t="n">
        <v>15.88</v>
      </c>
      <c r="U74" s="599" t="n">
        <v>0</v>
      </c>
      <c r="V74" s="599" t="n">
        <v>2</v>
      </c>
      <c r="W74" s="22" t="n">
        <v>291</v>
      </c>
      <c r="X74" s="22" t="n"/>
      <c r="Y74" s="601" t="n">
        <v>0</v>
      </c>
      <c r="Z74" s="601" t="n"/>
      <c r="AA74" s="602">
        <f>Y74-Z74</f>
        <v/>
      </c>
      <c r="AB74" s="599">
        <f>(S74-V74)*V74*W74*0.024653*Y74/1000000</f>
        <v/>
      </c>
      <c r="AC74" s="599">
        <f>(S74-V74)*V74*W74*0.024653*Z74/1000000</f>
        <v/>
      </c>
      <c r="AD74" s="599">
        <f>AB74-AC74</f>
        <v/>
      </c>
      <c r="AE74" s="599" t="n"/>
      <c r="AF74" s="599" t="n"/>
      <c r="AG74" s="599" t="n"/>
      <c r="AH74" s="599">
        <f>AB73-AF74</f>
        <v/>
      </c>
      <c r="AI74" s="118">
        <f>(AC74+AF74)/AB73</f>
        <v/>
      </c>
    </row>
    <row r="75" hidden="1" s="584">
      <c r="A75" s="594" t="n">
        <v>460</v>
      </c>
      <c r="B75" s="5" t="inlineStr">
        <is>
          <t>Hosur</t>
        </is>
      </c>
      <c r="C75" s="601" t="inlineStr">
        <is>
          <t>ELKAYEM AUTO</t>
        </is>
      </c>
      <c r="D75" s="601" t="n"/>
      <c r="E75" s="601" t="n">
        <v>129663</v>
      </c>
      <c r="F75" s="601" t="n">
        <v>3599863</v>
      </c>
      <c r="G75" s="601" t="inlineStr">
        <is>
          <t>TUB-O-N-AUT-AW-PE-22.23X1.600X0.9450</t>
        </is>
      </c>
      <c r="H75" s="601" t="inlineStr">
        <is>
          <t>ERW 1</t>
        </is>
      </c>
      <c r="I75" s="601" t="n"/>
      <c r="J75" s="601" t="inlineStr">
        <is>
          <t>PE</t>
        </is>
      </c>
      <c r="K75" s="601" t="inlineStr">
        <is>
          <t>CR</t>
        </is>
      </c>
      <c r="L75" s="596" t="inlineStr">
        <is>
          <t>HROP</t>
        </is>
      </c>
      <c r="M75" s="601" t="n"/>
      <c r="N75" s="601" t="n"/>
      <c r="O75" s="601" t="n"/>
      <c r="P75" s="557">
        <f>CONCATENATE(schedule13[[#This Row],[OD]],"-",schedule13[[#This Row],[ID]],"-",schedule13[[#This Row],[TICKNESS]],"-",schedule13[[#This Row],[GRADE]],"-",schedule13[[#This Row],[FC/NFC]])</f>
        <v/>
      </c>
      <c r="Q75" s="557" t="n"/>
      <c r="R75" s="557" t="n"/>
      <c r="S75" s="6" t="n">
        <v>22.23</v>
      </c>
      <c r="T75" s="6" t="n">
        <v>22.23</v>
      </c>
      <c r="U75" s="599" t="n">
        <v>0</v>
      </c>
      <c r="V75" s="599" t="n">
        <v>1.6</v>
      </c>
      <c r="W75" s="22" t="n">
        <v>945</v>
      </c>
      <c r="X75" s="22" t="n"/>
      <c r="Y75" s="7" t="n">
        <v>2500</v>
      </c>
      <c r="Z75" s="601" t="n"/>
      <c r="AA75" s="602">
        <f>Y75-Z75</f>
        <v/>
      </c>
      <c r="AB75" s="599">
        <f>(S75-V75)*V75*W75*0.024653*Y75/1000000</f>
        <v/>
      </c>
      <c r="AC75" s="599">
        <f>(S75-V75)*V75*W75*0.024653*Z75/1000000</f>
        <v/>
      </c>
      <c r="AD75" s="599">
        <f>AB75-AC75</f>
        <v/>
      </c>
      <c r="AE75" s="599" t="n"/>
      <c r="AF75" s="599" t="n"/>
      <c r="AG75" s="599" t="n"/>
      <c r="AH75" s="599">
        <f>AB74-AF75</f>
        <v/>
      </c>
      <c r="AI75" s="118">
        <f>(AC75+AF75)/AB74</f>
        <v/>
      </c>
    </row>
    <row r="76" hidden="1" s="584">
      <c r="A76" s="594" t="n">
        <v>461</v>
      </c>
      <c r="B76" s="5" t="inlineStr">
        <is>
          <t>Hosur</t>
        </is>
      </c>
      <c r="C76" s="601" t="inlineStr">
        <is>
          <t>ELKAYEM AUTO</t>
        </is>
      </c>
      <c r="D76" s="601" t="n"/>
      <c r="E76" s="601" t="n">
        <v>129663</v>
      </c>
      <c r="F76" s="601" t="n">
        <v>3545983</v>
      </c>
      <c r="G76" s="601" t="inlineStr">
        <is>
          <t>CUT-N-AUT-AW-FC-48.60X4.000X0.5950</t>
        </is>
      </c>
      <c r="H76" s="601" t="n"/>
      <c r="I76" s="601" t="n"/>
      <c r="J76" s="601" t="n"/>
      <c r="K76" s="601" t="inlineStr">
        <is>
          <t>HR</t>
        </is>
      </c>
      <c r="L76" s="601" t="n"/>
      <c r="M76" s="601" t="n"/>
      <c r="N76" s="601" t="n"/>
      <c r="O76" s="601" t="n"/>
      <c r="P76" s="557">
        <f>CONCATENATE(schedule13[[#This Row],[OD]],"-",schedule13[[#This Row],[ID]],"-",schedule13[[#This Row],[TICKNESS]],"-",schedule13[[#This Row],[GRADE]],"-",schedule13[[#This Row],[FC/NFC]])</f>
        <v/>
      </c>
      <c r="Q76" s="557" t="n"/>
      <c r="R76" s="557" t="n"/>
      <c r="S76" s="6" t="n">
        <v>48.6</v>
      </c>
      <c r="T76" s="6" t="n">
        <v>48.6</v>
      </c>
      <c r="U76" s="599" t="n">
        <v>0</v>
      </c>
      <c r="V76" s="599" t="n">
        <v>4</v>
      </c>
      <c r="W76" s="22" t="n">
        <v>595</v>
      </c>
      <c r="X76" s="22" t="n"/>
      <c r="Y76" s="601" t="n">
        <v>0</v>
      </c>
      <c r="Z76" s="601" t="n"/>
      <c r="AA76" s="602">
        <f>Y76-Z76</f>
        <v/>
      </c>
      <c r="AB76" s="599">
        <f>(S76-V76)*V76*W76*0.024653*Y76/1000000</f>
        <v/>
      </c>
      <c r="AC76" s="599">
        <f>(S76-V76)*V76*W76*0.024653*Z76/1000000</f>
        <v/>
      </c>
      <c r="AD76" s="599">
        <f>AB76-AC76</f>
        <v/>
      </c>
      <c r="AE76" s="599" t="n"/>
      <c r="AF76" s="599" t="n"/>
      <c r="AG76" s="599" t="n"/>
      <c r="AH76" s="599">
        <f>AB75-AF76</f>
        <v/>
      </c>
      <c r="AI76" s="118">
        <f>(AC76+AF76)/AB75</f>
        <v/>
      </c>
    </row>
    <row r="77" hidden="1" s="584">
      <c r="A77" s="594" t="n">
        <v>462</v>
      </c>
      <c r="B77" s="5" t="inlineStr">
        <is>
          <t xml:space="preserve">Khopoli </t>
        </is>
      </c>
      <c r="C77" s="601" t="inlineStr">
        <is>
          <t>ELKAYEM AUTO</t>
        </is>
      </c>
      <c r="D77" s="601" t="n"/>
      <c r="E77" s="601" t="n">
        <v>129663</v>
      </c>
      <c r="F77" s="601" t="n">
        <v>2410388</v>
      </c>
      <c r="G77" s="601" t="inlineStr">
        <is>
          <t>TUB-O-C-AUT-AD-FC-28.60X2.650X04-05</t>
        </is>
      </c>
      <c r="H77" s="601" t="inlineStr">
        <is>
          <t>CEW</t>
        </is>
      </c>
      <c r="I77" s="601" t="n"/>
      <c r="J77" s="601" t="inlineStr">
        <is>
          <t>CEW</t>
        </is>
      </c>
      <c r="K77" s="601" t="inlineStr">
        <is>
          <t>HR</t>
        </is>
      </c>
      <c r="L77" s="601" t="n"/>
      <c r="M77" s="601" t="n"/>
      <c r="N77" s="601" t="n"/>
      <c r="O77" s="601" t="n"/>
      <c r="P77" s="557">
        <f>CONCATENATE(schedule13[[#This Row],[OD]],"-",schedule13[[#This Row],[ID]],"-",schedule13[[#This Row],[TICKNESS]],"-",schedule13[[#This Row],[GRADE]],"-",schedule13[[#This Row],[FC/NFC]])</f>
        <v/>
      </c>
      <c r="Q77" s="557" t="n"/>
      <c r="R77" s="557" t="n"/>
      <c r="S77" s="599" t="n">
        <v>28.6</v>
      </c>
      <c r="T77" s="599" t="n">
        <v>28.6</v>
      </c>
      <c r="U77" s="599" t="n">
        <v>0</v>
      </c>
      <c r="V77" s="599" t="n">
        <v>2.65</v>
      </c>
      <c r="W77" s="23" t="n">
        <v>4500</v>
      </c>
      <c r="X77" s="23" t="n"/>
      <c r="Y77" s="7" t="n">
        <v>1778</v>
      </c>
      <c r="Z77" s="601" t="n"/>
      <c r="AA77" s="602">
        <f>Y77-Z77</f>
        <v/>
      </c>
      <c r="AB77" s="599">
        <f>(S77-V77)*V77*W77*0.024653*Y77/1000000</f>
        <v/>
      </c>
      <c r="AC77" s="599">
        <f>(S77-V77)*V77*W77*0.024653*Z77/1000000</f>
        <v/>
      </c>
      <c r="AD77" s="599">
        <f>AB77-AC77</f>
        <v/>
      </c>
      <c r="AE77" s="599" t="n"/>
      <c r="AF77" s="599" t="n">
        <v>0.962831</v>
      </c>
      <c r="AG77" s="599" t="n"/>
      <c r="AH77" s="599">
        <f>AB76-AF77</f>
        <v/>
      </c>
      <c r="AI77" s="118">
        <f>(AC77+AF77)/AB76</f>
        <v/>
      </c>
    </row>
    <row r="78" hidden="1" s="584">
      <c r="A78" s="594" t="n">
        <v>463</v>
      </c>
      <c r="B78" s="5" t="inlineStr">
        <is>
          <t>Hosur</t>
        </is>
      </c>
      <c r="C78" s="601" t="inlineStr">
        <is>
          <t>ELKAYEM AUTO</t>
        </is>
      </c>
      <c r="D78" s="601" t="n"/>
      <c r="E78" s="601" t="n">
        <v>129663</v>
      </c>
      <c r="F78" s="601" t="n">
        <v>3453634</v>
      </c>
      <c r="G78" s="17" t="inlineStr">
        <is>
          <t>TUB-O-N-AUT-AW-FC-48.60X2.000X0.5450</t>
        </is>
      </c>
      <c r="H78" s="601" t="n"/>
      <c r="I78" s="601" t="n"/>
      <c r="J78" s="601" t="n"/>
      <c r="K78" s="601" t="inlineStr">
        <is>
          <t>HR</t>
        </is>
      </c>
      <c r="L78" s="601" t="n"/>
      <c r="M78" s="601" t="n"/>
      <c r="N78" s="601" t="n"/>
      <c r="O78" s="601" t="n"/>
      <c r="P78" s="557">
        <f>CONCATENATE(schedule13[[#This Row],[OD]],"-",schedule13[[#This Row],[ID]],"-",schedule13[[#This Row],[TICKNESS]],"-",schedule13[[#This Row],[GRADE]],"-",schedule13[[#This Row],[FC/NFC]])</f>
        <v/>
      </c>
      <c r="Q78" s="557" t="n"/>
      <c r="R78" s="557" t="n"/>
      <c r="S78" s="599" t="n">
        <v>48.6</v>
      </c>
      <c r="T78" s="599" t="n">
        <v>48.6</v>
      </c>
      <c r="U78" s="599" t="n">
        <v>0</v>
      </c>
      <c r="V78" s="599" t="n">
        <v>2</v>
      </c>
      <c r="W78" s="23" t="n">
        <v>545</v>
      </c>
      <c r="X78" s="23" t="n"/>
      <c r="Y78" s="601" t="n">
        <v>0</v>
      </c>
      <c r="Z78" s="601" t="n"/>
      <c r="AA78" s="602">
        <f>Y78-Z78</f>
        <v/>
      </c>
      <c r="AB78" s="599">
        <f>(S78-V78)*V78*W78*0.024653*Y78/1000000</f>
        <v/>
      </c>
      <c r="AC78" s="599">
        <f>(S78-V78)*V78*W78*0.024653*Z78/1000000</f>
        <v/>
      </c>
      <c r="AD78" s="599">
        <f>AB78-AC78</f>
        <v/>
      </c>
      <c r="AE78" s="599" t="n"/>
      <c r="AF78" s="599" t="n">
        <v>16.948178</v>
      </c>
      <c r="AG78" s="599" t="n"/>
      <c r="AH78" s="599">
        <f>AB77-AF78</f>
        <v/>
      </c>
      <c r="AI78" s="118">
        <f>(AC78+AF78)/AB77</f>
        <v/>
      </c>
    </row>
    <row r="79" hidden="1" s="584">
      <c r="A79" s="594" t="n">
        <v>464</v>
      </c>
      <c r="B79" s="5" t="inlineStr">
        <is>
          <t xml:space="preserve">Khopoli </t>
        </is>
      </c>
      <c r="C79" s="601" t="inlineStr">
        <is>
          <t>ELKAYEM AUTO</t>
        </is>
      </c>
      <c r="D79" s="601" t="n"/>
      <c r="E79" s="601" t="n">
        <v>129663</v>
      </c>
      <c r="F79" s="601" t="n">
        <v>2410389</v>
      </c>
      <c r="G79" s="601" t="inlineStr">
        <is>
          <t>TUB-O-C-AUT-AN-FC-14.00X1.600X04-05</t>
        </is>
      </c>
      <c r="H79" s="601" t="inlineStr">
        <is>
          <t>CEW</t>
        </is>
      </c>
      <c r="I79" s="601" t="n"/>
      <c r="J79" s="601" t="inlineStr">
        <is>
          <t>CEW</t>
        </is>
      </c>
      <c r="K79" s="601" t="inlineStr">
        <is>
          <t>CR</t>
        </is>
      </c>
      <c r="L79" s="601" t="inlineStr">
        <is>
          <t>KGR2</t>
        </is>
      </c>
      <c r="M79" s="601" t="n"/>
      <c r="N79" s="601" t="n"/>
      <c r="O79" s="601" t="n"/>
      <c r="P79" s="557">
        <f>CONCATENATE(schedule13[[#This Row],[OD]],"-",schedule13[[#This Row],[ID]],"-",schedule13[[#This Row],[TICKNESS]],"-",schedule13[[#This Row],[GRADE]],"-",schedule13[[#This Row],[FC/NFC]])</f>
        <v/>
      </c>
      <c r="Q79" s="557" t="n"/>
      <c r="R79" s="557" t="n"/>
      <c r="S79" s="599" t="n">
        <v>14</v>
      </c>
      <c r="T79" s="599" t="n">
        <v>14</v>
      </c>
      <c r="U79" s="599" t="n">
        <v>0</v>
      </c>
      <c r="V79" s="599" t="n">
        <v>1.6</v>
      </c>
      <c r="W79" s="23" t="n">
        <v>4500</v>
      </c>
      <c r="X79" s="23" t="n"/>
      <c r="Y79" s="7" t="n">
        <v>556</v>
      </c>
      <c r="Z79" s="601" t="n"/>
      <c r="AA79" s="602">
        <f>Y79-Z79</f>
        <v/>
      </c>
      <c r="AB79" s="599">
        <f>(S79-V79)*V79*W79*0.024653*Y79/1000000</f>
        <v/>
      </c>
      <c r="AC79" s="599">
        <f>(S79-V79)*V79*W79*0.024653*Z79/1000000</f>
        <v/>
      </c>
      <c r="AD79" s="599">
        <f>AB79-AC79</f>
        <v/>
      </c>
      <c r="AE79" s="599" t="n"/>
      <c r="AF79" s="599" t="n"/>
      <c r="AG79" s="599" t="n"/>
      <c r="AH79" s="599">
        <f>AB78-AF79</f>
        <v/>
      </c>
      <c r="AI79" s="118">
        <f>(AC79+AF79)/AB78</f>
        <v/>
      </c>
    </row>
    <row r="80" hidden="1" s="584">
      <c r="A80" s="594" t="n">
        <v>465</v>
      </c>
      <c r="B80" s="5" t="inlineStr">
        <is>
          <t>Hosur</t>
        </is>
      </c>
      <c r="C80" s="601" t="inlineStr">
        <is>
          <t>ELKAYEM AUTO</t>
        </is>
      </c>
      <c r="D80" s="601" t="n"/>
      <c r="E80" s="601" t="n">
        <v>129663</v>
      </c>
      <c r="F80" s="601" t="n">
        <v>3210056</v>
      </c>
      <c r="G80" s="601" t="inlineStr">
        <is>
          <t>TUB-O-N-AUT-AW-PE-34.93X2.000X1.1750</t>
        </is>
      </c>
      <c r="H80" s="601" t="inlineStr">
        <is>
          <t>ERW 1</t>
        </is>
      </c>
      <c r="I80" s="601" t="n"/>
      <c r="J80" s="601" t="n"/>
      <c r="K80" s="601" t="inlineStr">
        <is>
          <t>HR</t>
        </is>
      </c>
      <c r="L80" s="601" t="n"/>
      <c r="M80" s="601" t="n"/>
      <c r="N80" s="601" t="n"/>
      <c r="O80" s="601" t="n"/>
      <c r="P80" s="557">
        <f>CONCATENATE(schedule13[[#This Row],[OD]],"-",schedule13[[#This Row],[ID]],"-",schedule13[[#This Row],[TICKNESS]],"-",schedule13[[#This Row],[GRADE]],"-",schedule13[[#This Row],[FC/NFC]])</f>
        <v/>
      </c>
      <c r="Q80" s="557" t="n"/>
      <c r="R80" s="557" t="n"/>
      <c r="S80" s="599" t="n">
        <v>34.93</v>
      </c>
      <c r="T80" s="599" t="n">
        <v>34.93</v>
      </c>
      <c r="U80" s="599" t="n">
        <v>0</v>
      </c>
      <c r="V80" s="599" t="n">
        <v>2</v>
      </c>
      <c r="W80" s="23" t="n">
        <v>1175</v>
      </c>
      <c r="X80" s="23" t="n"/>
      <c r="Y80" s="601" t="n">
        <v>0</v>
      </c>
      <c r="Z80" s="601" t="n"/>
      <c r="AA80" s="602">
        <f>Y80-Z80</f>
        <v/>
      </c>
      <c r="AB80" s="599">
        <f>(S80-V80)*V80*W80*0.024653*Y80/1000000</f>
        <v/>
      </c>
      <c r="AC80" s="599">
        <f>(S80-V80)*V80*W80*0.024653*Z80/1000000</f>
        <v/>
      </c>
      <c r="AD80" s="599">
        <f>AB80-AC80</f>
        <v/>
      </c>
      <c r="AE80" s="599" t="n"/>
      <c r="AF80" s="599" t="n">
        <v>10.500966</v>
      </c>
      <c r="AG80" s="599" t="n"/>
      <c r="AH80" s="599">
        <f>AB79-AF80</f>
        <v/>
      </c>
      <c r="AI80" s="118">
        <f>(AC80+AF80)/AB79</f>
        <v/>
      </c>
    </row>
    <row r="81" hidden="1" s="584">
      <c r="A81" s="594" t="n">
        <v>466</v>
      </c>
      <c r="B81" s="5" t="inlineStr">
        <is>
          <t>Hosur</t>
        </is>
      </c>
      <c r="C81" s="601" t="inlineStr">
        <is>
          <t>ELKAYEM AUTO</t>
        </is>
      </c>
      <c r="D81" s="601" t="n"/>
      <c r="E81" s="601" t="n">
        <v>129663</v>
      </c>
      <c r="F81" s="601" t="n">
        <v>3453631</v>
      </c>
      <c r="G81" s="601" t="inlineStr">
        <is>
          <t>TUB-O-N-AUT-AW-FC-19.05X1.600X0.3500</t>
        </is>
      </c>
      <c r="H81" s="601" t="n"/>
      <c r="I81" s="601" t="n"/>
      <c r="J81" s="601" t="n"/>
      <c r="K81" s="601" t="inlineStr">
        <is>
          <t>HR</t>
        </is>
      </c>
      <c r="L81" s="601" t="n"/>
      <c r="M81" s="601" t="n"/>
      <c r="N81" s="601" t="n"/>
      <c r="O81" s="601" t="n"/>
      <c r="P81" s="557">
        <f>CONCATENATE(schedule13[[#This Row],[OD]],"-",schedule13[[#This Row],[ID]],"-",schedule13[[#This Row],[TICKNESS]],"-",schedule13[[#This Row],[GRADE]],"-",schedule13[[#This Row],[FC/NFC]])</f>
        <v/>
      </c>
      <c r="Q81" s="557" t="n"/>
      <c r="R81" s="557" t="n"/>
      <c r="S81" s="599" t="n">
        <v>19.05</v>
      </c>
      <c r="T81" s="6" t="n">
        <v>19.05</v>
      </c>
      <c r="U81" s="599" t="n">
        <v>0</v>
      </c>
      <c r="V81" s="599" t="n">
        <v>1.6</v>
      </c>
      <c r="W81" s="23" t="n">
        <v>350</v>
      </c>
      <c r="X81" s="23" t="n"/>
      <c r="Y81" s="601" t="n">
        <v>0</v>
      </c>
      <c r="Z81" s="601" t="n"/>
      <c r="AA81" s="602">
        <f>Y81-Z81</f>
        <v/>
      </c>
      <c r="AB81" s="599">
        <f>(S81-V81)*V81*W81*0.024653*Y81/1000000</f>
        <v/>
      </c>
      <c r="AC81" s="599">
        <f>(S81-V81)*V81*W81*0.024653*Z81/1000000</f>
        <v/>
      </c>
      <c r="AD81" s="599">
        <f>AB81-AC81</f>
        <v/>
      </c>
      <c r="AE81" s="599" t="n"/>
      <c r="AF81" s="599" t="n"/>
      <c r="AG81" s="599" t="n"/>
      <c r="AH81" s="599">
        <f>AB80-AF81</f>
        <v/>
      </c>
      <c r="AI81" s="118">
        <f>(AC81+AF81)/AB80</f>
        <v/>
      </c>
    </row>
    <row r="82" hidden="1" s="584">
      <c r="A82" s="594" t="n">
        <v>467</v>
      </c>
      <c r="B82" s="5" t="inlineStr">
        <is>
          <t>Hosur</t>
        </is>
      </c>
      <c r="C82" s="601" t="inlineStr">
        <is>
          <t>ELKAYEM AUTO</t>
        </is>
      </c>
      <c r="D82" s="601" t="n"/>
      <c r="E82" s="601" t="n">
        <v>129663</v>
      </c>
      <c r="F82" s="601" t="n">
        <v>3510171</v>
      </c>
      <c r="G82" s="601" t="inlineStr">
        <is>
          <t>CUT-O-N-AUT-AW-FC-19.05X1.600X0.4690</t>
        </is>
      </c>
      <c r="H82" s="601" t="n"/>
      <c r="I82" s="601" t="n"/>
      <c r="J82" s="601" t="n"/>
      <c r="K82" s="601" t="inlineStr">
        <is>
          <t>HR</t>
        </is>
      </c>
      <c r="L82" s="601" t="n"/>
      <c r="M82" s="601" t="n"/>
      <c r="N82" s="601" t="n"/>
      <c r="O82" s="601" t="n"/>
      <c r="P82" s="557">
        <f>CONCATENATE(schedule13[[#This Row],[OD]],"-",schedule13[[#This Row],[ID]],"-",schedule13[[#This Row],[TICKNESS]],"-",schedule13[[#This Row],[GRADE]],"-",schedule13[[#This Row],[FC/NFC]])</f>
        <v/>
      </c>
      <c r="Q82" s="557" t="n"/>
      <c r="R82" s="557" t="n"/>
      <c r="S82" s="599" t="n">
        <v>19.05</v>
      </c>
      <c r="T82" s="599" t="n">
        <v>19.05</v>
      </c>
      <c r="U82" s="599" t="n">
        <v>0</v>
      </c>
      <c r="V82" s="599" t="n">
        <v>1.6</v>
      </c>
      <c r="W82" s="23" t="n">
        <v>469</v>
      </c>
      <c r="X82" s="23" t="n"/>
      <c r="Y82" s="601" t="n">
        <v>0</v>
      </c>
      <c r="Z82" s="601" t="n"/>
      <c r="AA82" s="602">
        <f>Y82-Z82</f>
        <v/>
      </c>
      <c r="AB82" s="599">
        <f>(S82-V82)*V82*W82*0.024653*Y82/1000000</f>
        <v/>
      </c>
      <c r="AC82" s="599">
        <f>(S82-V82)*V82*W82*0.024653*Z82/1000000</f>
        <v/>
      </c>
      <c r="AD82" s="599">
        <f>AB82-AC82</f>
        <v/>
      </c>
      <c r="AE82" s="599" t="n"/>
      <c r="AF82" s="599" t="n"/>
      <c r="AG82" s="599" t="n"/>
      <c r="AH82" s="599">
        <f>AB81-AF82</f>
        <v/>
      </c>
      <c r="AI82" s="118">
        <f>(AC82+AF82)/AB81</f>
        <v/>
      </c>
    </row>
    <row r="83" hidden="1" s="584">
      <c r="A83" s="594" t="n">
        <v>468</v>
      </c>
      <c r="B83" s="5" t="inlineStr">
        <is>
          <t>Hosur</t>
        </is>
      </c>
      <c r="C83" s="601" t="inlineStr">
        <is>
          <t>ELKAYEM AUTO</t>
        </is>
      </c>
      <c r="D83" s="601" t="n"/>
      <c r="E83" s="601" t="n">
        <v>129663</v>
      </c>
      <c r="F83" s="601" t="n">
        <v>3499121</v>
      </c>
      <c r="G83" s="601" t="inlineStr">
        <is>
          <t>TUB-N-AUT-BH-FC-42.70X4.000X0.2900</t>
        </is>
      </c>
      <c r="H83" s="601" t="inlineStr">
        <is>
          <t>ERW 1</t>
        </is>
      </c>
      <c r="I83" s="601" t="inlineStr">
        <is>
          <t>Annealed</t>
        </is>
      </c>
      <c r="J83" s="601" t="inlineStr">
        <is>
          <t>FC</t>
        </is>
      </c>
      <c r="K83" s="601" t="inlineStr">
        <is>
          <t>HR</t>
        </is>
      </c>
      <c r="L83" s="601" t="n"/>
      <c r="M83" s="601" t="n"/>
      <c r="N83" s="601" t="n"/>
      <c r="O83" s="601" t="n"/>
      <c r="P83" s="557">
        <f>CONCATENATE(schedule13[[#This Row],[OD]],"-",schedule13[[#This Row],[ID]],"-",schedule13[[#This Row],[TICKNESS]],"-",schedule13[[#This Row],[GRADE]],"-",schedule13[[#This Row],[FC/NFC]])</f>
        <v/>
      </c>
      <c r="Q83" s="557" t="n"/>
      <c r="R83" s="557" t="n"/>
      <c r="S83" s="599" t="n">
        <v>42.7</v>
      </c>
      <c r="T83" s="599" t="n">
        <v>42.7</v>
      </c>
      <c r="U83" s="599" t="n">
        <v>0</v>
      </c>
      <c r="V83" s="599" t="n">
        <v>4</v>
      </c>
      <c r="W83" s="29" t="n">
        <v>290</v>
      </c>
      <c r="X83" s="29" t="n"/>
      <c r="Y83" s="601" t="n">
        <v>0</v>
      </c>
      <c r="Z83" s="601" t="n"/>
      <c r="AA83" s="602">
        <f>Y83-Z83</f>
        <v/>
      </c>
      <c r="AB83" s="599">
        <f>(S83-V83)*V83*W83*0.024653*Y83/1000000</f>
        <v/>
      </c>
      <c r="AC83" s="599">
        <f>(S83-V83)*V83*W83*0.024653*Z83/1000000</f>
        <v/>
      </c>
      <c r="AD83" s="599">
        <f>AB83-AC83</f>
        <v/>
      </c>
      <c r="AE83" s="599" t="n"/>
      <c r="AF83" s="599" t="n"/>
      <c r="AG83" s="599" t="n"/>
      <c r="AH83" s="599">
        <f>AB82-AF83</f>
        <v/>
      </c>
      <c r="AI83" s="118">
        <f>(AC83+AF83)/AB82</f>
        <v/>
      </c>
    </row>
    <row r="84" hidden="1" s="584">
      <c r="A84" s="594" t="n">
        <v>469</v>
      </c>
      <c r="B84" s="5" t="inlineStr">
        <is>
          <t>Hosur</t>
        </is>
      </c>
      <c r="C84" s="601" t="inlineStr">
        <is>
          <t>ELKAYEM AUTO</t>
        </is>
      </c>
      <c r="D84" s="601" t="n"/>
      <c r="E84" s="601" t="n">
        <v>129663</v>
      </c>
      <c r="F84" s="601" t="n">
        <v>319456</v>
      </c>
      <c r="G84" s="601" t="inlineStr">
        <is>
          <t>PT2-O-N-AUT-AW-PE-19.05X1.630X0.336</t>
        </is>
      </c>
      <c r="H84" s="601" t="n"/>
      <c r="I84" s="601" t="n"/>
      <c r="J84" s="601" t="n"/>
      <c r="K84" s="601" t="inlineStr">
        <is>
          <t>HR</t>
        </is>
      </c>
      <c r="L84" s="601" t="n"/>
      <c r="M84" s="601" t="n"/>
      <c r="N84" s="601" t="n"/>
      <c r="O84" s="601" t="n"/>
      <c r="P84" s="557">
        <f>CONCATENATE(schedule13[[#This Row],[OD]],"-",schedule13[[#This Row],[ID]],"-",schedule13[[#This Row],[TICKNESS]],"-",schedule13[[#This Row],[GRADE]],"-",schedule13[[#This Row],[FC/NFC]])</f>
        <v/>
      </c>
      <c r="Q84" s="557" t="n"/>
      <c r="R84" s="557" t="n"/>
      <c r="S84" s="599" t="n">
        <v>19.05</v>
      </c>
      <c r="T84" s="599" t="n">
        <v>19.05</v>
      </c>
      <c r="U84" s="599" t="n">
        <v>0</v>
      </c>
      <c r="V84" s="599" t="n">
        <v>1.63</v>
      </c>
      <c r="W84" s="23" t="n">
        <v>336</v>
      </c>
      <c r="X84" s="23" t="n"/>
      <c r="Y84" s="601" t="n">
        <v>0</v>
      </c>
      <c r="Z84" s="601" t="n"/>
      <c r="AA84" s="602">
        <f>Y84-Z84</f>
        <v/>
      </c>
      <c r="AB84" s="599">
        <f>(S84-V84)*V84*W84*0.024653*Y84/1000000</f>
        <v/>
      </c>
      <c r="AC84" s="599">
        <f>(S84-V84)*V84*W84*0.024653*Z84/1000000</f>
        <v/>
      </c>
      <c r="AD84" s="599">
        <f>AB84-AC84</f>
        <v/>
      </c>
      <c r="AE84" s="599" t="n"/>
      <c r="AF84" s="599" t="n"/>
      <c r="AG84" s="599" t="n"/>
      <c r="AH84" s="599">
        <f>AB83-AF84</f>
        <v/>
      </c>
      <c r="AI84" s="118">
        <f>(AC84+AF84)/AB83</f>
        <v/>
      </c>
    </row>
    <row r="85" hidden="1" s="584">
      <c r="A85" s="594" t="n">
        <v>470</v>
      </c>
      <c r="B85" s="5" t="inlineStr">
        <is>
          <t>Hosur</t>
        </is>
      </c>
      <c r="C85" s="601" t="inlineStr">
        <is>
          <t>ELKAYEM AUTO</t>
        </is>
      </c>
      <c r="D85" s="601" t="n"/>
      <c r="E85" s="601" t="n">
        <v>129663</v>
      </c>
      <c r="F85" s="601" t="n">
        <v>2410995</v>
      </c>
      <c r="G85" s="601" t="inlineStr">
        <is>
          <t>TUB-O-C-AUT-AD-FC-16.00X2.950X04-06</t>
        </is>
      </c>
      <c r="H85" s="601" t="inlineStr">
        <is>
          <t>CEW</t>
        </is>
      </c>
      <c r="I85" s="601" t="n"/>
      <c r="J85" s="601" t="inlineStr">
        <is>
          <t>CEW</t>
        </is>
      </c>
      <c r="K85" s="601" t="inlineStr">
        <is>
          <t>HR</t>
        </is>
      </c>
      <c r="L85" s="601" t="n"/>
      <c r="M85" s="601" t="n"/>
      <c r="N85" s="601" t="n"/>
      <c r="O85" s="601" t="n"/>
      <c r="P85" s="557">
        <f>CONCATENATE(schedule13[[#This Row],[OD]],"-",schedule13[[#This Row],[ID]],"-",schedule13[[#This Row],[TICKNESS]],"-",schedule13[[#This Row],[GRADE]],"-",schedule13[[#This Row],[FC/NFC]])</f>
        <v/>
      </c>
      <c r="Q85" s="557" t="n"/>
      <c r="R85" s="557" t="n"/>
      <c r="S85" s="599" t="n">
        <v>16.1</v>
      </c>
      <c r="T85" s="599" t="n">
        <v>16.1</v>
      </c>
      <c r="U85" s="599" t="n">
        <v>10.7</v>
      </c>
      <c r="V85" s="599" t="n">
        <v>2.95</v>
      </c>
      <c r="W85" s="23" t="n">
        <v>4600</v>
      </c>
      <c r="X85" s="23" t="n"/>
      <c r="Y85" s="601" t="n">
        <v>218</v>
      </c>
      <c r="Z85" s="601" t="n"/>
      <c r="AA85" s="602">
        <f>Y85-Z85</f>
        <v/>
      </c>
      <c r="AB85" s="599">
        <f>(S85-V85)*V85*W85*0.024653*Y85/1000000</f>
        <v/>
      </c>
      <c r="AC85" s="599">
        <f>(S85-V85)*V85*W85*0.024653*Z85/1000000</f>
        <v/>
      </c>
      <c r="AD85" s="599">
        <f>AB85-AC85</f>
        <v/>
      </c>
      <c r="AE85" s="599" t="n"/>
      <c r="AF85" s="599" t="n"/>
      <c r="AG85" s="599" t="n"/>
      <c r="AH85" s="599">
        <f>AB84-AF85</f>
        <v/>
      </c>
      <c r="AI85" s="118">
        <f>(AC85+AF85)/AB84</f>
        <v/>
      </c>
    </row>
    <row r="86" hidden="1" s="584">
      <c r="A86" s="594" t="n">
        <v>471</v>
      </c>
      <c r="B86" s="5" t="inlineStr">
        <is>
          <t xml:space="preserve">Khopoli </t>
        </is>
      </c>
      <c r="C86" s="601" t="inlineStr">
        <is>
          <t>ELKAYEM AUTO ANCILLARIES (PVT)</t>
        </is>
      </c>
      <c r="D86" s="601" t="n"/>
      <c r="E86" s="601" t="n">
        <v>129663</v>
      </c>
      <c r="F86" s="601" t="n">
        <v>1931823</v>
      </c>
      <c r="G86" s="601" t="inlineStr">
        <is>
          <t>TUB-O-N-AUT-AW-PE-17.30X1.600X6.0000</t>
        </is>
      </c>
      <c r="H86" s="601" t="inlineStr">
        <is>
          <t>CEW</t>
        </is>
      </c>
      <c r="I86" s="601" t="n"/>
      <c r="J86" s="601" t="n"/>
      <c r="K86" s="601" t="inlineStr">
        <is>
          <t>HR</t>
        </is>
      </c>
      <c r="L86" s="601" t="n"/>
      <c r="M86" s="601" t="n"/>
      <c r="N86" s="601" t="n"/>
      <c r="O86" s="601" t="n"/>
      <c r="P86" s="557">
        <f>CONCATENATE(schedule13[[#This Row],[OD]],"-",schedule13[[#This Row],[ID]],"-",schedule13[[#This Row],[TICKNESS]],"-",schedule13[[#This Row],[GRADE]],"-",schedule13[[#This Row],[FC/NFC]])</f>
        <v/>
      </c>
      <c r="Q86" s="557" t="n"/>
      <c r="R86" s="557" t="n"/>
      <c r="S86" s="599" t="n">
        <v>17.3</v>
      </c>
      <c r="T86" s="599" t="n">
        <v>17.3</v>
      </c>
      <c r="U86" s="599" t="n">
        <v>0</v>
      </c>
      <c r="V86" s="599" t="n">
        <v>1.6</v>
      </c>
      <c r="W86" s="23" t="n">
        <v>6000</v>
      </c>
      <c r="X86" s="23" t="n"/>
      <c r="Y86" s="601" t="n">
        <v>0</v>
      </c>
      <c r="Z86" s="601" t="n"/>
      <c r="AA86" s="602">
        <f>Y86-Z86</f>
        <v/>
      </c>
      <c r="AB86" s="599">
        <f>(S86-V86)*V86*W86*0.024653*Y86/1000000</f>
        <v/>
      </c>
      <c r="AC86" s="599">
        <f>(S86-V86)*V86*W86*0.024653*Z86/1000000</f>
        <v/>
      </c>
      <c r="AD86" s="599">
        <f>AB86-AC86</f>
        <v/>
      </c>
      <c r="AE86" s="599" t="n"/>
      <c r="AF86" s="599" t="n"/>
      <c r="AG86" s="599" t="n"/>
      <c r="AH86" s="599">
        <f>AB85-AF86</f>
        <v/>
      </c>
      <c r="AI86" s="118">
        <f>(AC86+AF86)/AB85</f>
        <v/>
      </c>
    </row>
    <row r="87" hidden="1" s="584">
      <c r="A87" s="594" t="n">
        <v>472</v>
      </c>
      <c r="B87" s="5" t="inlineStr">
        <is>
          <t>Hosur</t>
        </is>
      </c>
      <c r="C87" s="601" t="inlineStr">
        <is>
          <t xml:space="preserve">ELKAYEM AUTO MYSORE </t>
        </is>
      </c>
      <c r="D87" s="601" t="n"/>
      <c r="E87" s="601" t="n">
        <v>940921</v>
      </c>
      <c r="F87" s="601" t="n">
        <v>1940879</v>
      </c>
      <c r="G87" s="601" t="inlineStr">
        <is>
          <t>TUB-R-AW-RHS-50.00X30.00X1.600X0.6360</t>
        </is>
      </c>
      <c r="H87" s="601" t="inlineStr">
        <is>
          <t>ERW 1</t>
        </is>
      </c>
      <c r="I87" s="601" t="n"/>
      <c r="J87" s="601" t="inlineStr">
        <is>
          <t>FC</t>
        </is>
      </c>
      <c r="K87" s="601" t="inlineStr">
        <is>
          <t>HR</t>
        </is>
      </c>
      <c r="L87" s="601" t="inlineStr">
        <is>
          <t>GR1</t>
        </is>
      </c>
      <c r="M87" s="601" t="n"/>
      <c r="N87" s="601" t="n"/>
      <c r="O87" s="601" t="n"/>
      <c r="P87" s="557">
        <f>CONCATENATE(schedule13[[#This Row],[OD]],"-",schedule13[[#This Row],[ID]],"-",schedule13[[#This Row],[TICKNESS]],"-",schedule13[[#This Row],[GRADE]],"-",schedule13[[#This Row],[FC/NFC]])</f>
        <v/>
      </c>
      <c r="Q87" s="557" t="n"/>
      <c r="R87" s="557" t="n"/>
      <c r="S87" s="599" t="n">
        <v>50.8</v>
      </c>
      <c r="T87" s="599" t="n">
        <v>50</v>
      </c>
      <c r="U87" s="599" t="n">
        <v>30</v>
      </c>
      <c r="V87" s="599" t="n">
        <v>1.6</v>
      </c>
      <c r="W87" s="23" t="n">
        <v>636</v>
      </c>
      <c r="X87" s="23" t="n"/>
      <c r="Y87" s="601" t="n">
        <v>7750</v>
      </c>
      <c r="Z87" s="601" t="n"/>
      <c r="AA87" s="602">
        <f>Y87-Z87</f>
        <v/>
      </c>
      <c r="AB87" s="599">
        <f>(S87-V87)*V87*W87*0.024653*Y87/1000000</f>
        <v/>
      </c>
      <c r="AC87" s="599">
        <f>(S87-V87)*V87*W87*0.024653*Z87/1000000</f>
        <v/>
      </c>
      <c r="AD87" s="599">
        <f>AB87-AC87</f>
        <v/>
      </c>
      <c r="AE87" s="599" t="n"/>
      <c r="AF87" s="599" t="n">
        <v>0.754754</v>
      </c>
      <c r="AG87" s="599" t="n"/>
      <c r="AH87" s="599">
        <f>AB86-AF87</f>
        <v/>
      </c>
      <c r="AI87" s="118">
        <f>(AC87+AF87)/AB86</f>
        <v/>
      </c>
    </row>
    <row r="88" hidden="1" s="584">
      <c r="A88" s="594" t="n">
        <v>473</v>
      </c>
      <c r="B88" s="5" t="inlineStr">
        <is>
          <t>Hosur</t>
        </is>
      </c>
      <c r="C88" s="601" t="inlineStr">
        <is>
          <t xml:space="preserve">ELKAYEM AUTO MYSORE </t>
        </is>
      </c>
      <c r="D88" s="601" t="n"/>
      <c r="E88" s="601" t="n">
        <v>940921</v>
      </c>
      <c r="F88" s="601" t="n">
        <v>1940718</v>
      </c>
      <c r="G88" s="601" t="inlineStr">
        <is>
          <t>TUB-O-O-AUT-AW-FC-34.93X2.600X1.7210</t>
        </is>
      </c>
      <c r="H88" s="601" t="inlineStr">
        <is>
          <t>ERW 1</t>
        </is>
      </c>
      <c r="I88" s="601" t="n"/>
      <c r="J88" s="601" t="inlineStr">
        <is>
          <t>FC</t>
        </is>
      </c>
      <c r="K88" s="601" t="inlineStr">
        <is>
          <t>HR</t>
        </is>
      </c>
      <c r="L88" s="601" t="n"/>
      <c r="M88" s="601" t="n"/>
      <c r="N88" s="601" t="n"/>
      <c r="O88" s="601" t="n"/>
      <c r="P88" s="557">
        <f>CONCATENATE(schedule13[[#This Row],[OD]],"-",schedule13[[#This Row],[ID]],"-",schedule13[[#This Row],[TICKNESS]],"-",schedule13[[#This Row],[GRADE]],"-",schedule13[[#This Row],[FC/NFC]])</f>
        <v/>
      </c>
      <c r="Q88" s="557" t="n"/>
      <c r="R88" s="557" t="n"/>
      <c r="S88" s="599" t="n">
        <v>34.93</v>
      </c>
      <c r="T88" s="599" t="n">
        <v>34.93</v>
      </c>
      <c r="U88" s="599" t="n">
        <v>0</v>
      </c>
      <c r="V88" s="599" t="n">
        <v>2.6</v>
      </c>
      <c r="W88" s="600" t="n">
        <v>1721</v>
      </c>
      <c r="X88" s="600" t="n"/>
      <c r="Y88" s="601" t="n">
        <v>2450</v>
      </c>
      <c r="Z88" s="601" t="n"/>
      <c r="AA88" s="602">
        <f>Y88-Z88</f>
        <v/>
      </c>
      <c r="AB88" s="599">
        <f>(S88-V88)*V88*W88*0.024653*Y88/1000000</f>
        <v/>
      </c>
      <c r="AC88" s="599">
        <f>(S88-V88)*V88*W88*0.024653*Z88/1000000</f>
        <v/>
      </c>
      <c r="AD88" s="599">
        <f>AB88-AC88</f>
        <v/>
      </c>
      <c r="AE88" s="599" t="n"/>
      <c r="AF88" s="599" t="n">
        <v>2.954536</v>
      </c>
      <c r="AG88" s="599" t="n"/>
      <c r="AH88" s="599">
        <f>AB87-AF88</f>
        <v/>
      </c>
      <c r="AI88" s="118">
        <f>(AC88+AF88)/AB87</f>
        <v/>
      </c>
    </row>
    <row r="89" hidden="1" s="584">
      <c r="A89" s="594" t="n">
        <v>474</v>
      </c>
      <c r="B89" s="5" t="inlineStr">
        <is>
          <t>Hosur</t>
        </is>
      </c>
      <c r="C89" s="601" t="inlineStr">
        <is>
          <t xml:space="preserve">ELKAYEM AUTO MYSORE </t>
        </is>
      </c>
      <c r="D89" s="601" t="n"/>
      <c r="E89" s="601" t="n">
        <v>940921</v>
      </c>
      <c r="F89" s="601" t="n">
        <v>1155165</v>
      </c>
      <c r="G89" s="601" t="inlineStr">
        <is>
          <t>TUB-O-N-AUT-AW-PE-34.93X1.600X1.726</t>
        </is>
      </c>
      <c r="H89" s="601" t="inlineStr">
        <is>
          <t>ERW 1</t>
        </is>
      </c>
      <c r="I89" s="601" t="n"/>
      <c r="J89" s="601" t="inlineStr">
        <is>
          <t>FC</t>
        </is>
      </c>
      <c r="K89" s="601" t="inlineStr">
        <is>
          <t>CR</t>
        </is>
      </c>
      <c r="L89" s="596" t="inlineStr"/>
      <c r="M89" s="601" t="n"/>
      <c r="N89" s="601" t="n"/>
      <c r="O89" s="601" t="n"/>
      <c r="P89" s="557">
        <f>CONCATENATE(schedule13[[#This Row],[OD]],"-",schedule13[[#This Row],[ID]],"-",schedule13[[#This Row],[TICKNESS]],"-",schedule13[[#This Row],[GRADE]],"-",schedule13[[#This Row],[FC/NFC]])</f>
        <v/>
      </c>
      <c r="Q89" s="557" t="n"/>
      <c r="R89" s="557" t="n"/>
      <c r="S89" s="599" t="n">
        <v>34.93</v>
      </c>
      <c r="T89" s="599" t="n">
        <v>34.93</v>
      </c>
      <c r="U89" s="599" t="n">
        <v>0</v>
      </c>
      <c r="V89" s="599" t="n">
        <v>1.6</v>
      </c>
      <c r="W89" s="600" t="n">
        <v>1726</v>
      </c>
      <c r="X89" s="600" t="n"/>
      <c r="Y89" s="601" t="n">
        <v>2600</v>
      </c>
      <c r="Z89" s="601" t="n"/>
      <c r="AA89" s="602">
        <f>Y89-Z89</f>
        <v/>
      </c>
      <c r="AB89" s="599">
        <f>(S89-V89)*V89*W89*0.024653*Y89/1000000</f>
        <v/>
      </c>
      <c r="AC89" s="599">
        <f>(S89-V89)*V89*W89*0.024653*Z89/1000000</f>
        <v/>
      </c>
      <c r="AD89" s="599">
        <f>AB89-AC89</f>
        <v/>
      </c>
      <c r="AE89" s="599" t="n"/>
      <c r="AF89" s="599" t="n"/>
      <c r="AG89" s="599" t="n"/>
      <c r="AH89" s="599">
        <f>AB88-AF89</f>
        <v/>
      </c>
      <c r="AI89" s="118">
        <f>(AC89+AF89)/AB88</f>
        <v/>
      </c>
    </row>
    <row r="90" hidden="1" s="584">
      <c r="A90" s="594" t="n">
        <v>475</v>
      </c>
      <c r="B90" s="5" t="inlineStr">
        <is>
          <t>Hosur</t>
        </is>
      </c>
      <c r="C90" s="601" t="inlineStr">
        <is>
          <t xml:space="preserve">ELKAYEM AUTO MYSORE </t>
        </is>
      </c>
      <c r="D90" s="601" t="n"/>
      <c r="E90" s="601" t="n">
        <v>940921</v>
      </c>
      <c r="F90" s="601" t="n">
        <v>460176</v>
      </c>
      <c r="G90" s="601" t="inlineStr">
        <is>
          <t>PT4-O-N-AUT-NR-AG-57.15X2.000X0.713</t>
        </is>
      </c>
      <c r="H90" s="601" t="inlineStr">
        <is>
          <t>ERW 1</t>
        </is>
      </c>
      <c r="I90" s="601" t="n"/>
      <c r="J90" s="601" t="inlineStr">
        <is>
          <t>FC</t>
        </is>
      </c>
      <c r="K90" s="601" t="inlineStr">
        <is>
          <t>HR</t>
        </is>
      </c>
      <c r="L90" s="601" t="n"/>
      <c r="M90" s="601" t="n"/>
      <c r="N90" s="601" t="inlineStr">
        <is>
          <t>AG</t>
        </is>
      </c>
      <c r="O90" s="601" t="n"/>
      <c r="P90" s="557">
        <f>CONCATENATE(schedule13[[#This Row],[OD]],"-",schedule13[[#This Row],[ID]],"-",schedule13[[#This Row],[TICKNESS]],"-",schedule13[[#This Row],[GRADE]],"-",schedule13[[#This Row],[FC/NFC]])</f>
        <v/>
      </c>
      <c r="Q90" s="557">
        <f>_xlfn.CONCAT(schedule13[[#This Row],[Bucket]],"-",schedule13[[#This Row],[LENGTH]]/1000)</f>
        <v/>
      </c>
      <c r="R90" s="557">
        <f>COUNTIF(buckets[CTL Bucket],schedule13[[#This Row],[CTL Bucket]])</f>
        <v/>
      </c>
      <c r="S90" s="599" t="n">
        <v>57.15</v>
      </c>
      <c r="T90" s="599" t="n">
        <v>57.15</v>
      </c>
      <c r="U90" s="599" t="n">
        <v>0</v>
      </c>
      <c r="V90" s="599" t="n">
        <v>2</v>
      </c>
      <c r="W90" s="600" t="n">
        <v>713</v>
      </c>
      <c r="X90" s="22" t="inlineStr">
        <is>
          <t>NOS</t>
        </is>
      </c>
      <c r="Y90" s="601" t="n">
        <v>6300</v>
      </c>
      <c r="Z90" s="601" t="n"/>
      <c r="AA90" s="602">
        <f>Y90-Z90</f>
        <v/>
      </c>
      <c r="AB90" s="599">
        <f>(S90-V90)*V90*W90*0.024653*Y90/1000000</f>
        <v/>
      </c>
      <c r="AC90" s="599">
        <f>(S90-V90)*V90*W90*0.024653*Z90/1000000</f>
        <v/>
      </c>
      <c r="AD90" s="599">
        <f>AB90-AC90</f>
        <v/>
      </c>
      <c r="AE90" s="599" t="n"/>
      <c r="AF90" s="599" t="n">
        <v>0.334871</v>
      </c>
      <c r="AG90" s="599" t="n"/>
      <c r="AH90" s="599">
        <f>AB89-AF90</f>
        <v/>
      </c>
      <c r="AI90" s="118">
        <f>(AC90+AF90)/AB89</f>
        <v/>
      </c>
    </row>
    <row r="91" hidden="1" s="584">
      <c r="A91" s="594" t="n">
        <v>476</v>
      </c>
      <c r="B91" s="5" t="inlineStr">
        <is>
          <t>Hosur</t>
        </is>
      </c>
      <c r="C91" s="601" t="inlineStr">
        <is>
          <t xml:space="preserve">ELKAYEM AUTO MYSORE </t>
        </is>
      </c>
      <c r="D91" s="601" t="n"/>
      <c r="E91" s="601" t="n">
        <v>940921</v>
      </c>
      <c r="F91" s="601" t="n">
        <v>468311</v>
      </c>
      <c r="G91" s="601" t="inlineStr">
        <is>
          <t>TUB-O-N-AUT-AW-PE-15.88X2.000X0.291</t>
        </is>
      </c>
      <c r="H91" s="601" t="inlineStr">
        <is>
          <t>ERW 1</t>
        </is>
      </c>
      <c r="I91" s="601" t="n"/>
      <c r="J91" s="601" t="inlineStr">
        <is>
          <t>PE</t>
        </is>
      </c>
      <c r="K91" s="601" t="inlineStr">
        <is>
          <t>HR</t>
        </is>
      </c>
      <c r="L91" s="601" t="n"/>
      <c r="M91" s="601" t="n"/>
      <c r="N91" s="601" t="n"/>
      <c r="O91" s="601" t="n"/>
      <c r="P91" s="557">
        <f>CONCATENATE(schedule13[[#This Row],[OD]],"-",schedule13[[#This Row],[ID]],"-",schedule13[[#This Row],[TICKNESS]],"-",schedule13[[#This Row],[GRADE]],"-",schedule13[[#This Row],[FC/NFC]])</f>
        <v/>
      </c>
      <c r="Q91" s="557" t="n"/>
      <c r="R91" s="557" t="n"/>
      <c r="S91" s="599" t="n">
        <v>15.88</v>
      </c>
      <c r="T91" s="599" t="n">
        <v>15.88</v>
      </c>
      <c r="U91" s="599" t="n">
        <v>0</v>
      </c>
      <c r="V91" s="599" t="n">
        <v>2</v>
      </c>
      <c r="W91" s="600" t="n">
        <v>291</v>
      </c>
      <c r="X91" s="600" t="n"/>
      <c r="Y91" s="601" t="n">
        <v>9100</v>
      </c>
      <c r="Z91" s="601" t="n"/>
      <c r="AA91" s="602">
        <f>Y91-Z91</f>
        <v/>
      </c>
      <c r="AB91" s="599">
        <f>(S91-V91)*V91*W91*0.024653*Y91/1000000</f>
        <v/>
      </c>
      <c r="AC91" s="599">
        <f>(S91-V91)*V91*W91*0.024653*Z91/1000000</f>
        <v/>
      </c>
      <c r="AD91" s="599">
        <f>AB91-AC91</f>
        <v/>
      </c>
      <c r="AE91" s="599" t="n"/>
      <c r="AF91" s="599" t="n">
        <v>0.430188</v>
      </c>
      <c r="AG91" s="599" t="n"/>
      <c r="AH91" s="599">
        <f>AB90-AF91</f>
        <v/>
      </c>
      <c r="AI91" s="118">
        <f>(AC91+AF91)/AB90</f>
        <v/>
      </c>
    </row>
    <row r="92" hidden="1" s="584">
      <c r="A92" s="594" t="n">
        <v>477</v>
      </c>
      <c r="B92" s="5" t="inlineStr">
        <is>
          <t>Hosur</t>
        </is>
      </c>
      <c r="C92" s="601" t="inlineStr">
        <is>
          <t xml:space="preserve">ELKAYEM AUTO MYSORE </t>
        </is>
      </c>
      <c r="D92" s="601" t="n"/>
      <c r="E92" s="601" t="n">
        <v>940921</v>
      </c>
      <c r="F92" s="601" t="n">
        <v>3164112</v>
      </c>
      <c r="G92" s="601" t="inlineStr">
        <is>
          <t>TUB-E-AW-AUT-59.00X30.00X1.600X0.6410</t>
        </is>
      </c>
      <c r="H92" s="601" t="inlineStr">
        <is>
          <t>ERW 1</t>
        </is>
      </c>
      <c r="I92" s="601" t="n"/>
      <c r="J92" s="601" t="inlineStr">
        <is>
          <t>FC</t>
        </is>
      </c>
      <c r="K92" s="601" t="n"/>
      <c r="L92" s="601" t="n"/>
      <c r="M92" s="601" t="n"/>
      <c r="N92" s="601" t="n"/>
      <c r="O92" s="601" t="n"/>
      <c r="P92" s="557" t="inlineStr">
        <is>
          <t>59-30-1.6-ERW 1-FIN CUT</t>
        </is>
      </c>
      <c r="Q92" s="557" t="n"/>
      <c r="R92" s="557" t="n"/>
      <c r="S92" s="599" t="n">
        <v>48.6</v>
      </c>
      <c r="T92" s="599" t="n">
        <v>59</v>
      </c>
      <c r="U92" s="599" t="n">
        <v>30</v>
      </c>
      <c r="V92" s="599" t="n">
        <v>1.6</v>
      </c>
      <c r="W92" s="600" t="n">
        <v>641</v>
      </c>
      <c r="X92" s="600" t="n"/>
      <c r="Y92" s="601" t="n">
        <v>11600</v>
      </c>
      <c r="Z92" s="601" t="n"/>
      <c r="AA92" s="602">
        <f>Y92-Z92</f>
        <v/>
      </c>
      <c r="AB92" s="599">
        <f>(S92-V92)*V92*W92*0.024653*Y92/1000000</f>
        <v/>
      </c>
      <c r="AC92" s="599">
        <f>(S92-V92)*V92*W92*0.024653*Z92/1000000</f>
        <v/>
      </c>
      <c r="AD92" s="599">
        <f>AB92-AC92</f>
        <v/>
      </c>
      <c r="AE92" s="599" t="n"/>
      <c r="AF92" s="599" t="n"/>
      <c r="AG92" s="599" t="n"/>
      <c r="AH92" s="599" t="n"/>
      <c r="AI92" s="118" t="n"/>
    </row>
    <row r="93" hidden="1" s="584">
      <c r="A93" s="594" t="n">
        <v>478</v>
      </c>
      <c r="B93" s="5" t="inlineStr">
        <is>
          <t>Hosur</t>
        </is>
      </c>
      <c r="C93" s="601" t="inlineStr">
        <is>
          <t xml:space="preserve">ELKAYEM AUTO MYSORE </t>
        </is>
      </c>
      <c r="D93" s="601" t="n"/>
      <c r="E93" s="601" t="n">
        <v>940921</v>
      </c>
      <c r="F93" s="601" t="n">
        <v>403039</v>
      </c>
      <c r="G93" s="601" t="inlineStr">
        <is>
          <t>PT3-I-C-AUT-AD-CH-31.20X3.200X0.295</t>
        </is>
      </c>
      <c r="H93" s="601" t="inlineStr">
        <is>
          <t>CEW</t>
        </is>
      </c>
      <c r="I93" s="601" t="n"/>
      <c r="J93" s="601" t="inlineStr">
        <is>
          <t>CEW</t>
        </is>
      </c>
      <c r="K93" s="601" t="inlineStr">
        <is>
          <t>HR</t>
        </is>
      </c>
      <c r="L93" s="601" t="n"/>
      <c r="M93" s="601" t="n"/>
      <c r="N93" s="601" t="n"/>
      <c r="O93" s="601" t="n"/>
      <c r="P93" s="557">
        <f>CONCATENATE(schedule13[[#This Row],[OD]],"-",schedule13[[#This Row],[ID]],"-",schedule13[[#This Row],[TICKNESS]],"-",schedule13[[#This Row],[GRADE]],"-",schedule13[[#This Row],[FC/NFC]])</f>
        <v/>
      </c>
      <c r="Q93" s="557">
        <f>_xlfn.CONCAT(schedule13[[#This Row],[Bucket]],"-",schedule13[[#This Row],[LENGTH]]/1000)</f>
        <v/>
      </c>
      <c r="R93" s="557">
        <f>COUNTIF(buckets[CTL Bucket],schedule13[[#This Row],[CTL Bucket]])</f>
        <v/>
      </c>
      <c r="S93" s="599" t="n">
        <v>37.6</v>
      </c>
      <c r="T93" s="599" t="n">
        <v>37.6</v>
      </c>
      <c r="U93" s="599" t="n">
        <v>31.2</v>
      </c>
      <c r="V93" s="599" t="n">
        <v>3.2</v>
      </c>
      <c r="W93" s="600" t="n">
        <v>295</v>
      </c>
      <c r="X93" s="600" t="inlineStr">
        <is>
          <t>NOS</t>
        </is>
      </c>
      <c r="Y93" s="601" t="n">
        <v>6200</v>
      </c>
      <c r="Z93" s="601" t="n"/>
      <c r="AA93" s="602">
        <f>Y93-Z93</f>
        <v/>
      </c>
      <c r="AB93" s="599">
        <f>(S93-V93)*V93*W93*0.024653*Y93/1000000</f>
        <v/>
      </c>
      <c r="AC93" s="599">
        <f>(S93-V93)*V93*W93*0.024653*Z93/1000000</f>
        <v/>
      </c>
      <c r="AD93" s="599">
        <f>AB93-AC93</f>
        <v/>
      </c>
      <c r="AE93" s="599" t="n"/>
      <c r="AF93" s="599" t="n"/>
      <c r="AG93" s="599" t="n"/>
      <c r="AH93" s="599">
        <f>AB91-AF93</f>
        <v/>
      </c>
      <c r="AI93" s="118">
        <f>(AC93+AF93)/AB91</f>
        <v/>
      </c>
    </row>
    <row r="94" hidden="1" s="584">
      <c r="A94" s="594" t="n">
        <v>479</v>
      </c>
      <c r="B94" s="5" t="inlineStr">
        <is>
          <t>Hosur</t>
        </is>
      </c>
      <c r="C94" s="601" t="inlineStr">
        <is>
          <t xml:space="preserve">ELKAYEM AUTO MYSORE </t>
        </is>
      </c>
      <c r="D94" s="601" t="n"/>
      <c r="E94" s="601" t="n">
        <v>940921</v>
      </c>
      <c r="F94" s="601" t="n"/>
      <c r="G94" s="601" t="n"/>
      <c r="H94" s="601" t="n"/>
      <c r="I94" s="601" t="n"/>
      <c r="J94" s="601" t="n"/>
      <c r="K94" s="601" t="inlineStr">
        <is>
          <t>HR</t>
        </is>
      </c>
      <c r="L94" s="601" t="n"/>
      <c r="M94" s="601" t="n"/>
      <c r="N94" s="601" t="n"/>
      <c r="O94" s="601" t="n"/>
      <c r="P94" s="557">
        <f>CONCATENATE(schedule13[[#This Row],[OD]],"-",schedule13[[#This Row],[ID]],"-",schedule13[[#This Row],[TICKNESS]],"-",schedule13[[#This Row],[GRADE]],"-",schedule13[[#This Row],[FC/NFC]])</f>
        <v/>
      </c>
      <c r="Q94" s="557" t="n"/>
      <c r="R94" s="557" t="n"/>
      <c r="S94" s="599" t="n">
        <v>22.23</v>
      </c>
      <c r="T94" s="599" t="n">
        <v>22.23</v>
      </c>
      <c r="U94" s="599" t="n">
        <v>0</v>
      </c>
      <c r="V94" s="599" t="n">
        <v>2</v>
      </c>
      <c r="W94" s="600" t="n">
        <v>706</v>
      </c>
      <c r="X94" s="600" t="n"/>
      <c r="Y94" s="601" t="n">
        <v>0</v>
      </c>
      <c r="Z94" s="601" t="n"/>
      <c r="AA94" s="602">
        <f>Y94-Z94</f>
        <v/>
      </c>
      <c r="AB94" s="599">
        <f>(S94-V94)*V94*W94*0.024653*Y94/1000000</f>
        <v/>
      </c>
      <c r="AC94" s="599">
        <f>(S94-V94)*V94*W94*0.024653*Z94/1000000</f>
        <v/>
      </c>
      <c r="AD94" s="599">
        <f>AB94-AC94</f>
        <v/>
      </c>
      <c r="AE94" s="599" t="n"/>
      <c r="AF94" s="599" t="n">
        <v>0.479062</v>
      </c>
      <c r="AG94" s="599" t="n"/>
      <c r="AH94" s="599">
        <f>AB93-AF94</f>
        <v/>
      </c>
      <c r="AI94" s="118">
        <f>(AC94+AF94)/AB93</f>
        <v/>
      </c>
    </row>
    <row r="95" hidden="1" s="584">
      <c r="A95" s="594" t="n">
        <v>480</v>
      </c>
      <c r="B95" s="5" t="inlineStr">
        <is>
          <t>Hosur</t>
        </is>
      </c>
      <c r="C95" s="601" t="inlineStr">
        <is>
          <t xml:space="preserve">ELKAYEM AUTO MYSORE </t>
        </is>
      </c>
      <c r="D95" s="601" t="n"/>
      <c r="E95" s="601" t="n">
        <v>940921</v>
      </c>
      <c r="F95" s="601" t="n">
        <v>288719</v>
      </c>
      <c r="G95" s="601" t="inlineStr">
        <is>
          <t>PT2-O-N-AUT-AW-PE-22.20X2.000X0.715</t>
        </is>
      </c>
      <c r="H95" s="601" t="inlineStr">
        <is>
          <t>ERW 1</t>
        </is>
      </c>
      <c r="I95" s="601" t="n"/>
      <c r="J95" s="601" t="inlineStr">
        <is>
          <t>FC</t>
        </is>
      </c>
      <c r="K95" s="601" t="inlineStr">
        <is>
          <t>HR</t>
        </is>
      </c>
      <c r="L95" s="601" t="n"/>
      <c r="M95" s="601" t="n"/>
      <c r="N95" s="601" t="n"/>
      <c r="O95" s="601" t="n"/>
      <c r="P95" s="557">
        <f>CONCATENATE(schedule13[[#This Row],[OD]],"-",schedule13[[#This Row],[ID]],"-",schedule13[[#This Row],[TICKNESS]],"-",schedule13[[#This Row],[GRADE]],"-",schedule13[[#This Row],[FC/NFC]])</f>
        <v/>
      </c>
      <c r="Q95" s="557" t="n"/>
      <c r="R95" s="557" t="n"/>
      <c r="S95" s="599" t="n">
        <v>22.23</v>
      </c>
      <c r="T95" s="599" t="n">
        <v>22.23</v>
      </c>
      <c r="U95" s="599" t="n">
        <v>0</v>
      </c>
      <c r="V95" s="599" t="n">
        <v>2</v>
      </c>
      <c r="W95" s="600" t="n">
        <v>715</v>
      </c>
      <c r="X95" s="600" t="n"/>
      <c r="Y95" s="601" t="n">
        <v>7800</v>
      </c>
      <c r="Z95" s="601" t="n"/>
      <c r="AA95" s="602">
        <f>Y95-Z95</f>
        <v/>
      </c>
      <c r="AB95" s="599">
        <f>(S95-V95)*V95*W95*0.024653*Y95/1000000</f>
        <v/>
      </c>
      <c r="AC95" s="599">
        <f>(S95-V95)*V95*W95*0.024653*Z95/1000000</f>
        <v/>
      </c>
      <c r="AD95" s="599">
        <f>AB95-AC95</f>
        <v/>
      </c>
      <c r="AE95" s="599" t="n"/>
      <c r="AF95" s="599" t="n"/>
      <c r="AG95" s="599" t="n"/>
      <c r="AH95" s="599">
        <f>AB94-AF95</f>
        <v/>
      </c>
      <c r="AI95" s="118">
        <f>(AC95+AF95)/AB94</f>
        <v/>
      </c>
    </row>
    <row r="96" hidden="1" s="584">
      <c r="A96" s="594" t="n">
        <v>259</v>
      </c>
      <c r="B96" s="5" t="inlineStr">
        <is>
          <t xml:space="preserve">Khopoli </t>
        </is>
      </c>
      <c r="C96" s="601" t="inlineStr">
        <is>
          <t>KAY JAY</t>
        </is>
      </c>
      <c r="D96" s="601" t="n"/>
      <c r="E96" s="601" t="n">
        <v>188934</v>
      </c>
      <c r="F96" s="601" t="n">
        <v>2359912</v>
      </c>
      <c r="G96" s="601" t="inlineStr">
        <is>
          <t>TUB-O-C-CEW-AD-FC-29.40X4.500X0.3760</t>
        </is>
      </c>
      <c r="H96" s="601" t="inlineStr">
        <is>
          <t>CEW STKM 13C</t>
        </is>
      </c>
      <c r="I96" s="601" t="n"/>
      <c r="J96" s="601" t="inlineStr">
        <is>
          <t>CEW</t>
        </is>
      </c>
      <c r="K96" s="601" t="inlineStr">
        <is>
          <t>HR</t>
        </is>
      </c>
      <c r="L96" s="601" t="n"/>
      <c r="M96" s="601" t="inlineStr">
        <is>
          <t>Chamferring</t>
        </is>
      </c>
      <c r="N96" s="601" t="n"/>
      <c r="O96" s="601" t="n"/>
      <c r="P96" s="557">
        <f>CONCATENATE(schedule13[[#This Row],[OD]],"-",schedule13[[#This Row],[ID]],"-",schedule13[[#This Row],[TICKNESS]],"-",schedule13[[#This Row],[GRADE]],"-",schedule13[[#This Row],[FC/NFC]])</f>
        <v/>
      </c>
      <c r="Q96" s="557">
        <f>_xlfn.CONCAT(schedule13[[#This Row],[Bucket]],"-",schedule13[[#This Row],[LENGTH]]/1000)</f>
        <v/>
      </c>
      <c r="R96" s="557">
        <f>COUNTIF(buckets[CTL Bucket],schedule13[[#This Row],[CTL Bucket]])</f>
        <v/>
      </c>
      <c r="S96" s="599" t="n">
        <v>29.4</v>
      </c>
      <c r="T96" s="599" t="n">
        <v>29.4</v>
      </c>
      <c r="U96" s="599" t="n">
        <v>20.4</v>
      </c>
      <c r="V96" s="599" t="n">
        <v>4.5</v>
      </c>
      <c r="W96" s="600" t="n">
        <v>376</v>
      </c>
      <c r="X96" s="22" t="inlineStr">
        <is>
          <t>NOS</t>
        </is>
      </c>
      <c r="Y96" s="601" t="n">
        <v>8000</v>
      </c>
      <c r="Z96" s="601" t="n"/>
      <c r="AA96" s="602">
        <f>Y96-Z96</f>
        <v/>
      </c>
      <c r="AB96" s="599">
        <f>(S96-V96)*V96*W96*0.024653*Y96/1000000</f>
        <v/>
      </c>
      <c r="AC96" s="599">
        <f>(S96-V96)*V96*W96*0.024653*Z96/1000000</f>
        <v/>
      </c>
      <c r="AD96" s="599">
        <f>AB96-AC96</f>
        <v/>
      </c>
      <c r="AE96" s="599" t="n"/>
      <c r="AF96" s="599" t="n">
        <v>0.178404</v>
      </c>
      <c r="AG96" s="599" t="n"/>
      <c r="AH96" s="599">
        <f>AB95-AF96</f>
        <v/>
      </c>
      <c r="AI96" s="118">
        <f>(AC96+AF96)/AB95</f>
        <v/>
      </c>
    </row>
    <row r="97" hidden="1" s="584">
      <c r="A97" s="594" t="n">
        <v>260</v>
      </c>
      <c r="B97" s="5" t="inlineStr">
        <is>
          <t xml:space="preserve">Khopoli </t>
        </is>
      </c>
      <c r="C97" s="601" t="inlineStr">
        <is>
          <t>KAY JAY</t>
        </is>
      </c>
      <c r="D97" s="601" t="n"/>
      <c r="E97" s="601" t="n">
        <v>188934</v>
      </c>
      <c r="F97" s="601" t="n">
        <v>1941303</v>
      </c>
      <c r="G97" s="601" t="inlineStr">
        <is>
          <t>TUB-O-C-AUT-AD-FC-29.40X4.500X0.3610</t>
        </is>
      </c>
      <c r="H97" s="601" t="inlineStr">
        <is>
          <t>CEW STKM 13C</t>
        </is>
      </c>
      <c r="I97" s="601" t="n"/>
      <c r="J97" s="601" t="inlineStr">
        <is>
          <t>CEW</t>
        </is>
      </c>
      <c r="K97" s="601" t="inlineStr">
        <is>
          <t>HR</t>
        </is>
      </c>
      <c r="L97" s="601" t="n"/>
      <c r="M97" s="601" t="inlineStr">
        <is>
          <t>Chamferring</t>
        </is>
      </c>
      <c r="N97" s="601" t="n"/>
      <c r="O97" s="601" t="n"/>
      <c r="P97" s="557">
        <f>CONCATENATE(schedule13[[#This Row],[OD]],"-",schedule13[[#This Row],[ID]],"-",schedule13[[#This Row],[TICKNESS]],"-",schedule13[[#This Row],[GRADE]],"-",schedule13[[#This Row],[FC/NFC]])</f>
        <v/>
      </c>
      <c r="Q97" s="557">
        <f>_xlfn.CONCAT(schedule13[[#This Row],[Bucket]],"-",schedule13[[#This Row],[LENGTH]]/1000)</f>
        <v/>
      </c>
      <c r="R97" s="557">
        <f>COUNTIF(buckets[CTL Bucket],schedule13[[#This Row],[CTL Bucket]])</f>
        <v/>
      </c>
      <c r="S97" s="599" t="n">
        <v>29.4</v>
      </c>
      <c r="T97" s="599" t="n">
        <v>29.4</v>
      </c>
      <c r="U97" s="599" t="n">
        <v>20.4</v>
      </c>
      <c r="V97" s="599" t="n">
        <v>4.5</v>
      </c>
      <c r="W97" s="600" t="n">
        <v>361</v>
      </c>
      <c r="X97" s="22" t="inlineStr">
        <is>
          <t>NOS</t>
        </is>
      </c>
      <c r="Y97" s="601" t="n">
        <v>8000</v>
      </c>
      <c r="Z97" s="601" t="n"/>
      <c r="AA97" s="602">
        <f>Y97-Z97</f>
        <v/>
      </c>
      <c r="AB97" s="599">
        <f>(S97-V97)*V97*W97*0.024653*Y97/1000000</f>
        <v/>
      </c>
      <c r="AC97" s="599">
        <f>(S97-V97)*V97*W97*0.024653*Z97/1000000</f>
        <v/>
      </c>
      <c r="AD97" s="599">
        <f>AB97-AC97</f>
        <v/>
      </c>
      <c r="AE97" s="599" t="n"/>
      <c r="AF97" s="599" t="n">
        <v>0.856437</v>
      </c>
      <c r="AG97" s="599" t="n"/>
      <c r="AH97" s="599">
        <f>AB96-AF97</f>
        <v/>
      </c>
      <c r="AI97" s="118">
        <f>(AC97+AF97)/AB96</f>
        <v/>
      </c>
    </row>
    <row r="98" hidden="1" s="584">
      <c r="A98" s="594" t="n">
        <v>261</v>
      </c>
      <c r="B98" s="5" t="inlineStr">
        <is>
          <t xml:space="preserve">Khopoli </t>
        </is>
      </c>
      <c r="C98" s="601" t="inlineStr">
        <is>
          <t>KAY JAY</t>
        </is>
      </c>
      <c r="D98" s="601" t="n"/>
      <c r="E98" s="601" t="n">
        <v>188934</v>
      </c>
      <c r="F98" s="601" t="n">
        <v>3190072</v>
      </c>
      <c r="G98" s="601" t="inlineStr">
        <is>
          <t>TUB-O-C-AUT-AD-FC-29.40X4.500X0.3570</t>
        </is>
      </c>
      <c r="H98" s="601" t="inlineStr">
        <is>
          <t>CEW STKM 13C</t>
        </is>
      </c>
      <c r="I98" s="601" t="n"/>
      <c r="J98" s="601" t="inlineStr">
        <is>
          <t>CEW</t>
        </is>
      </c>
      <c r="K98" s="601" t="inlineStr">
        <is>
          <t>HR</t>
        </is>
      </c>
      <c r="L98" s="601" t="n"/>
      <c r="M98" s="601" t="n"/>
      <c r="N98" s="601" t="n"/>
      <c r="O98" s="601" t="n"/>
      <c r="P98" s="557">
        <f>CONCATENATE(schedule13[[#This Row],[OD]],"-",schedule13[[#This Row],[ID]],"-",schedule13[[#This Row],[TICKNESS]],"-",schedule13[[#This Row],[GRADE]],"-",schedule13[[#This Row],[FC/NFC]])</f>
        <v/>
      </c>
      <c r="Q98" s="557">
        <f>_xlfn.CONCAT(schedule13[[#This Row],[Bucket]],"-",schedule13[[#This Row],[LENGTH]]/1000)</f>
        <v/>
      </c>
      <c r="R98" s="557">
        <f>COUNTIF(buckets[CTL Bucket],schedule13[[#This Row],[CTL Bucket]])</f>
        <v/>
      </c>
      <c r="S98" s="599" t="n">
        <v>29.4</v>
      </c>
      <c r="T98" s="599" t="n">
        <v>29.4</v>
      </c>
      <c r="U98" s="599" t="n">
        <v>20.4</v>
      </c>
      <c r="V98" s="599" t="n">
        <v>4.5</v>
      </c>
      <c r="W98" s="600" t="n">
        <v>357</v>
      </c>
      <c r="X98" s="22" t="inlineStr">
        <is>
          <t>NOS</t>
        </is>
      </c>
      <c r="Y98" s="601" t="n">
        <v>0</v>
      </c>
      <c r="Z98" s="601" t="n"/>
      <c r="AA98" s="602">
        <f>Y98-Z98</f>
        <v/>
      </c>
      <c r="AB98" s="599">
        <f>(S98-V98)*V98*W98*0.024653*Y98/1000000</f>
        <v/>
      </c>
      <c r="AC98" s="599">
        <f>(S98-V98)*V98*W98*0.024653*Z98/1000000</f>
        <v/>
      </c>
      <c r="AD98" s="599">
        <f>AB98-AC98</f>
        <v/>
      </c>
      <c r="AE98" s="599" t="n"/>
      <c r="AF98" s="599" t="n">
        <v>1.641434</v>
      </c>
      <c r="AG98" s="599" t="n"/>
      <c r="AH98" s="599">
        <f>AB97-AF98</f>
        <v/>
      </c>
      <c r="AI98" s="118">
        <f>(AC98+AF98)/AB97</f>
        <v/>
      </c>
    </row>
    <row r="99" hidden="1" s="584">
      <c r="A99" s="594" t="n">
        <v>262</v>
      </c>
      <c r="B99" s="5" t="inlineStr">
        <is>
          <t xml:space="preserve">Khopoli </t>
        </is>
      </c>
      <c r="C99" s="601" t="inlineStr">
        <is>
          <t>KAY JAY</t>
        </is>
      </c>
      <c r="D99" s="601" t="n"/>
      <c r="E99" s="601" t="n">
        <v>188934</v>
      </c>
      <c r="F99" s="601" t="n">
        <v>3190073</v>
      </c>
      <c r="G99" s="601" t="inlineStr">
        <is>
          <t>TUB-O-C-AUT-AD-FC-29.40X4.500X0.3850</t>
        </is>
      </c>
      <c r="H99" s="601" t="inlineStr">
        <is>
          <t>CEW</t>
        </is>
      </c>
      <c r="I99" s="601" t="n"/>
      <c r="J99" s="601" t="inlineStr">
        <is>
          <t>CEW</t>
        </is>
      </c>
      <c r="K99" s="601" t="inlineStr">
        <is>
          <t>HR</t>
        </is>
      </c>
      <c r="L99" s="601" t="n"/>
      <c r="M99" s="601" t="n"/>
      <c r="N99" s="601" t="n"/>
      <c r="O99" s="601" t="n"/>
      <c r="P99" s="557">
        <f>CONCATENATE(schedule13[[#This Row],[OD]],"-",schedule13[[#This Row],[ID]],"-",schedule13[[#This Row],[TICKNESS]],"-",schedule13[[#This Row],[GRADE]],"-",schedule13[[#This Row],[FC/NFC]])</f>
        <v/>
      </c>
      <c r="Q99" s="557" t="n"/>
      <c r="R99" s="557" t="n"/>
      <c r="S99" s="599" t="n">
        <v>29.4</v>
      </c>
      <c r="T99" s="599" t="n">
        <v>29.4</v>
      </c>
      <c r="U99" s="599" t="n">
        <v>20.4</v>
      </c>
      <c r="V99" s="599" t="n">
        <v>4.5</v>
      </c>
      <c r="W99" s="600" t="n">
        <v>385</v>
      </c>
      <c r="X99" s="600" t="n"/>
      <c r="Y99" s="601" t="n">
        <v>2000</v>
      </c>
      <c r="Z99" s="601" t="n"/>
      <c r="AA99" s="602">
        <f>Y99-Z99</f>
        <v/>
      </c>
      <c r="AB99" s="599">
        <f>(S99-V99)*V99*W99*0.024653*Y99/1000000</f>
        <v/>
      </c>
      <c r="AC99" s="599">
        <f>(S99-V99)*V99*W99*0.024653*Z99/1000000</f>
        <v/>
      </c>
      <c r="AD99" s="599">
        <f>AB99-AC99</f>
        <v/>
      </c>
      <c r="AE99" s="599" t="n"/>
      <c r="AF99" s="599" t="n">
        <v>0.7964</v>
      </c>
      <c r="AG99" s="599" t="n"/>
      <c r="AH99" s="599">
        <f>AB98-AF99</f>
        <v/>
      </c>
      <c r="AI99" s="118">
        <f>(AC99+AF99)/AB98</f>
        <v/>
      </c>
    </row>
    <row r="100" hidden="1" s="584">
      <c r="A100" s="594" t="n">
        <v>263</v>
      </c>
      <c r="B100" s="5" t="inlineStr">
        <is>
          <t xml:space="preserve">Khopoli </t>
        </is>
      </c>
      <c r="C100" s="601" t="inlineStr">
        <is>
          <t>KAY JAY</t>
        </is>
      </c>
      <c r="D100" s="557" t="n"/>
      <c r="E100" s="601" t="n">
        <v>188934</v>
      </c>
      <c r="F100" s="557" t="n">
        <v>3940551</v>
      </c>
      <c r="G100" s="601" t="inlineStr">
        <is>
          <t>TUB-O-C-AUT-AD-FC-29.40X4.500X0.360</t>
        </is>
      </c>
      <c r="H100" s="601" t="inlineStr">
        <is>
          <t>CEW</t>
        </is>
      </c>
      <c r="I100" s="557" t="n"/>
      <c r="J100" s="601" t="inlineStr">
        <is>
          <t>CEW</t>
        </is>
      </c>
      <c r="K100" s="601" t="inlineStr">
        <is>
          <t>HR</t>
        </is>
      </c>
      <c r="L100" s="557" t="n"/>
      <c r="M100" s="557" t="inlineStr">
        <is>
          <t>Chamferring</t>
        </is>
      </c>
      <c r="N100" s="557" t="n"/>
      <c r="O100" s="557" t="n"/>
      <c r="P100" s="557">
        <f>CONCATENATE(schedule13[[#This Row],[OD]],"-",schedule13[[#This Row],[ID]],"-",schedule13[[#This Row],[TICKNESS]],"-",schedule13[[#This Row],[GRADE]],"-",schedule13[[#This Row],[FC/NFC]])</f>
        <v/>
      </c>
      <c r="Q100" s="557">
        <f>_xlfn.CONCAT(schedule13[[#This Row],[Bucket]],"-",schedule13[[#This Row],[LENGTH]]/1000)</f>
        <v/>
      </c>
      <c r="R100" s="557">
        <f>COUNTIF(buckets[CTL Bucket],schedule13[[#This Row],[CTL Bucket]])</f>
        <v/>
      </c>
      <c r="S100" s="599" t="n">
        <v>29.4</v>
      </c>
      <c r="T100" s="599" t="n">
        <v>29.4</v>
      </c>
      <c r="U100" s="599" t="n">
        <v>20.4</v>
      </c>
      <c r="V100" s="599" t="n">
        <v>4.5</v>
      </c>
      <c r="W100" s="600" t="n">
        <v>360</v>
      </c>
      <c r="X100" s="22" t="inlineStr">
        <is>
          <t>NOS</t>
        </is>
      </c>
      <c r="Y100" s="557" t="n">
        <v>20000</v>
      </c>
      <c r="Z100" s="601" t="n"/>
      <c r="AA100" s="560">
        <f>Y100-Z100</f>
        <v/>
      </c>
      <c r="AB100" s="559">
        <f>(S100-V100)*V100*W100*0.024653*Y100/1000000</f>
        <v/>
      </c>
      <c r="AC100" s="599">
        <f>(S100-V100)*V100*W100*0.024653*Z100/1000000</f>
        <v/>
      </c>
      <c r="AD100" s="599">
        <f>AB100-AC100</f>
        <v/>
      </c>
      <c r="AE100" s="599" t="n"/>
      <c r="AF100" s="599" t="n"/>
      <c r="AG100" s="599" t="n"/>
      <c r="AH100" s="599" t="n"/>
      <c r="AI100" s="118" t="n"/>
    </row>
    <row r="101" hidden="1" s="584">
      <c r="A101" s="594" t="n">
        <v>264</v>
      </c>
      <c r="B101" s="5" t="inlineStr">
        <is>
          <t xml:space="preserve">Khopoli </t>
        </is>
      </c>
      <c r="C101" s="601" t="inlineStr">
        <is>
          <t>KAY JAY</t>
        </is>
      </c>
      <c r="D101" s="601" t="n"/>
      <c r="E101" s="601" t="n">
        <v>188934</v>
      </c>
      <c r="F101" s="601" t="n">
        <v>1939282</v>
      </c>
      <c r="G101" s="601" t="inlineStr">
        <is>
          <t>TUB-O-C-CEW-AD-FC-29.40X4.500X0.4500</t>
        </is>
      </c>
      <c r="H101" s="601" t="inlineStr">
        <is>
          <t>CEW</t>
        </is>
      </c>
      <c r="I101" s="601" t="n"/>
      <c r="J101" s="601" t="inlineStr">
        <is>
          <t>CEW</t>
        </is>
      </c>
      <c r="K101" s="601" t="inlineStr">
        <is>
          <t>HR</t>
        </is>
      </c>
      <c r="L101" s="601" t="n"/>
      <c r="M101" s="601" t="n"/>
      <c r="N101" s="601" t="n"/>
      <c r="O101" s="601" t="n"/>
      <c r="P101" s="557">
        <f>CONCATENATE(schedule13[[#This Row],[OD]],"-",schedule13[[#This Row],[ID]],"-",schedule13[[#This Row],[TICKNESS]],"-",schedule13[[#This Row],[GRADE]],"-",schedule13[[#This Row],[FC/NFC]])</f>
        <v/>
      </c>
      <c r="Q101" s="557" t="n"/>
      <c r="R101" s="557" t="n"/>
      <c r="S101" s="599" t="n">
        <v>29.4</v>
      </c>
      <c r="T101" s="599" t="n">
        <v>29.4</v>
      </c>
      <c r="U101" s="599" t="n">
        <v>20.4</v>
      </c>
      <c r="V101" s="599" t="n">
        <v>4.5</v>
      </c>
      <c r="W101" s="600" t="n">
        <v>450</v>
      </c>
      <c r="X101" s="600" t="n"/>
      <c r="Y101" s="601" t="n">
        <v>4000</v>
      </c>
      <c r="Z101" s="601" t="n"/>
      <c r="AA101" s="602">
        <f>Y101-Z101</f>
        <v/>
      </c>
      <c r="AB101" s="599">
        <f>(S101-V101)*V101*W101*0.024653*Y101/1000000</f>
        <v/>
      </c>
      <c r="AC101" s="599">
        <f>(S101-V101)*V101*W101*0.024653*Z101/1000000</f>
        <v/>
      </c>
      <c r="AD101" s="599">
        <f>AB101-AC101</f>
        <v/>
      </c>
      <c r="AE101" s="599" t="n"/>
      <c r="AF101" s="599" t="n">
        <v>0.333593</v>
      </c>
      <c r="AG101" s="599" t="n"/>
      <c r="AH101" s="599">
        <f>AB99-AF101</f>
        <v/>
      </c>
      <c r="AI101" s="118">
        <f>(AC101+AF101)/AB99</f>
        <v/>
      </c>
    </row>
    <row r="102" hidden="1" s="584">
      <c r="A102" s="594" t="n">
        <v>381</v>
      </c>
      <c r="B102" s="5" t="inlineStr">
        <is>
          <t xml:space="preserve">Khopoli </t>
        </is>
      </c>
      <c r="C102" s="601" t="inlineStr">
        <is>
          <t>KAY JAY</t>
        </is>
      </c>
      <c r="D102" s="601" t="n"/>
      <c r="E102" s="601" t="n">
        <v>188934</v>
      </c>
      <c r="F102" s="601" t="n">
        <v>1930110</v>
      </c>
      <c r="G102" s="601" t="inlineStr">
        <is>
          <t>TUB-O-C-CEW-AD-FC-29.40X4.500X5.2000</t>
        </is>
      </c>
      <c r="H102" s="601" t="inlineStr">
        <is>
          <t>CEW</t>
        </is>
      </c>
      <c r="I102" s="601" t="n"/>
      <c r="J102" s="601" t="inlineStr">
        <is>
          <t>CEW</t>
        </is>
      </c>
      <c r="K102" s="601" t="inlineStr">
        <is>
          <t>HR</t>
        </is>
      </c>
      <c r="L102" s="601" t="n"/>
      <c r="M102" s="601" t="n"/>
      <c r="N102" s="601" t="n"/>
      <c r="O102" s="601" t="n"/>
      <c r="P102" s="557">
        <f>CONCATENATE(schedule13[[#This Row],[OD]],"-",schedule13[[#This Row],[ID]],"-",schedule13[[#This Row],[TICKNESS]],"-",schedule13[[#This Row],[GRADE]],"-",schedule13[[#This Row],[FC/NFC]])</f>
        <v/>
      </c>
      <c r="Q102" s="557" t="n"/>
      <c r="R102" s="557" t="n"/>
      <c r="S102" s="599" t="n">
        <v>29.4</v>
      </c>
      <c r="T102" s="599" t="n">
        <v>29.4</v>
      </c>
      <c r="U102" s="599" t="n">
        <v>20.4</v>
      </c>
      <c r="V102" s="599" t="n">
        <v>4.5</v>
      </c>
      <c r="W102" s="23" t="n">
        <v>5200</v>
      </c>
      <c r="X102" s="23" t="n"/>
      <c r="Y102" s="601" t="n">
        <v>0</v>
      </c>
      <c r="Z102" s="601" t="n"/>
      <c r="AA102" s="602">
        <f>Y102-Z102</f>
        <v/>
      </c>
      <c r="AB102" s="599">
        <f>(S102-V102)*V102*W102*0.024653*Y102/1000000</f>
        <v/>
      </c>
      <c r="AC102" s="599">
        <f>(S102-V102)*V102*W102*0.024653*Z102/1000000</f>
        <v/>
      </c>
      <c r="AD102" s="599">
        <f>AB102-AC102</f>
        <v/>
      </c>
      <c r="AE102" s="599" t="n"/>
      <c r="AF102" s="599" t="n">
        <v>0.878</v>
      </c>
      <c r="AG102" s="599" t="n"/>
      <c r="AH102" s="599">
        <f>AB101-AF102</f>
        <v/>
      </c>
      <c r="AI102" s="118">
        <f>(AC102+AF102)/AB101</f>
        <v/>
      </c>
    </row>
    <row r="103" hidden="1" s="584">
      <c r="A103" s="594" t="n">
        <v>370</v>
      </c>
      <c r="B103" s="5" t="inlineStr">
        <is>
          <t>Hosur</t>
        </is>
      </c>
      <c r="C103" s="601" t="inlineStr">
        <is>
          <t>KNITVEL NEEDLES P LTD</t>
        </is>
      </c>
      <c r="D103" s="601" t="n"/>
      <c r="E103" s="601" t="n">
        <v>819045</v>
      </c>
      <c r="F103" s="601" t="n">
        <v>3533249</v>
      </c>
      <c r="G103" s="601" t="inlineStr">
        <is>
          <t>CUT-O-N-AUT-AW-PE-22.20X1.600X1.2220</t>
        </is>
      </c>
      <c r="H103" s="601" t="inlineStr">
        <is>
          <t>ERW 1</t>
        </is>
      </c>
      <c r="I103" s="601" t="n"/>
      <c r="J103" s="601" t="inlineStr">
        <is>
          <t>PE</t>
        </is>
      </c>
      <c r="K103" s="601" t="inlineStr">
        <is>
          <t>CR</t>
        </is>
      </c>
      <c r="L103" s="596" t="inlineStr">
        <is>
          <t>GR1</t>
        </is>
      </c>
      <c r="M103" s="601" t="n"/>
      <c r="N103" s="601" t="n"/>
      <c r="O103" s="601" t="n"/>
      <c r="P103" s="557">
        <f>CONCATENATE(schedule13[[#This Row],[OD]],"-",schedule13[[#This Row],[ID]],"-",schedule13[[#This Row],[TICKNESS]],"-",schedule13[[#This Row],[GRADE]],"-",schedule13[[#This Row],[FC/NFC]])</f>
        <v/>
      </c>
      <c r="Q103" s="557" t="n"/>
      <c r="R103" s="557" t="n"/>
      <c r="S103" s="599" t="n">
        <v>22.23</v>
      </c>
      <c r="T103" s="599" t="n">
        <v>22.23</v>
      </c>
      <c r="U103" s="599" t="n">
        <v>0</v>
      </c>
      <c r="V103" s="599" t="n">
        <v>1.6</v>
      </c>
      <c r="W103" s="23" t="n">
        <v>1222</v>
      </c>
      <c r="X103" s="23" t="n"/>
      <c r="Y103" s="601" t="n">
        <v>0</v>
      </c>
      <c r="Z103" s="601" t="n"/>
      <c r="AA103" s="602">
        <f>Y103-Z103</f>
        <v/>
      </c>
      <c r="AB103" s="599">
        <f>(S103-V103)*V103*W103*0.024653*Y103/1000000</f>
        <v/>
      </c>
      <c r="AC103" s="599">
        <f>(S103-V103)*V103*W103*0.024653*Z103/1000000</f>
        <v/>
      </c>
      <c r="AD103" s="599">
        <f>AB103-AC103</f>
        <v/>
      </c>
      <c r="AE103" s="599" t="n"/>
      <c r="AF103" s="599" t="n"/>
      <c r="AG103" s="599" t="n"/>
      <c r="AH103" s="599">
        <f>AB102-AF103</f>
        <v/>
      </c>
      <c r="AI103" s="118">
        <f>(AC103+AF103)/AB102</f>
        <v/>
      </c>
    </row>
    <row r="104" hidden="1" s="584">
      <c r="A104" s="594" t="n">
        <v>371</v>
      </c>
      <c r="B104" s="5" t="inlineStr">
        <is>
          <t>Hosur</t>
        </is>
      </c>
      <c r="C104" s="601" t="inlineStr">
        <is>
          <t>KNITVEL NEEDLES P LTD</t>
        </is>
      </c>
      <c r="D104" s="601" t="n"/>
      <c r="E104" s="601" t="n">
        <v>819045</v>
      </c>
      <c r="F104" s="601" t="n">
        <v>1940467</v>
      </c>
      <c r="G104" s="601" t="inlineStr">
        <is>
          <t>TUB-O-O-AUT-AW-PE-22.23X2.00X0.812-MAHS</t>
        </is>
      </c>
      <c r="H104" s="601" t="inlineStr">
        <is>
          <t>ERW 2 MAHS</t>
        </is>
      </c>
      <c r="I104" s="601" t="n"/>
      <c r="J104" s="601" t="inlineStr">
        <is>
          <t>PE</t>
        </is>
      </c>
      <c r="K104" s="601" t="inlineStr">
        <is>
          <t>HR</t>
        </is>
      </c>
      <c r="L104" s="596" t="inlineStr">
        <is>
          <t>ST52AL</t>
        </is>
      </c>
      <c r="M104" s="601" t="n"/>
      <c r="N104" s="601" t="n"/>
      <c r="O104" s="601" t="n"/>
      <c r="P104" s="557">
        <f>CONCATENATE(schedule13[[#This Row],[OD]],"-",schedule13[[#This Row],[ID]],"-",schedule13[[#This Row],[TICKNESS]],"-",schedule13[[#This Row],[GRADE]],"-",schedule13[[#This Row],[FC/NFC]])</f>
        <v/>
      </c>
      <c r="Q104" s="557" t="n"/>
      <c r="R104" s="557" t="n"/>
      <c r="S104" s="599" t="n">
        <v>22.23</v>
      </c>
      <c r="T104" s="599" t="n">
        <v>22.23</v>
      </c>
      <c r="U104" s="599" t="n">
        <v>0</v>
      </c>
      <c r="V104" s="599" t="n">
        <v>2</v>
      </c>
      <c r="W104" s="23" t="n">
        <v>812</v>
      </c>
      <c r="X104" s="23" t="n"/>
      <c r="Y104" s="601" t="n">
        <v>0</v>
      </c>
      <c r="Z104" s="601" t="n"/>
      <c r="AA104" s="602">
        <f>Y104-Z104</f>
        <v/>
      </c>
      <c r="AB104" s="599">
        <f>(S104-V104)*V104*W104*0.024653*Y104/1000000</f>
        <v/>
      </c>
      <c r="AC104" s="599">
        <f>(S104-V104)*V104*W104*0.024653*Z104/1000000</f>
        <v/>
      </c>
      <c r="AD104" s="599">
        <f>AB104-AC104</f>
        <v/>
      </c>
      <c r="AE104" s="599" t="n"/>
      <c r="AF104" s="599" t="n">
        <v>0.178715</v>
      </c>
      <c r="AG104" s="599" t="n"/>
      <c r="AH104" s="599">
        <f>AB103-AF104</f>
        <v/>
      </c>
      <c r="AI104" s="118">
        <f>(AC104+AF104)/AB103</f>
        <v/>
      </c>
    </row>
    <row r="105" hidden="1" s="584">
      <c r="A105" s="594" t="n">
        <v>372</v>
      </c>
      <c r="B105" s="5" t="inlineStr">
        <is>
          <t>Hosur</t>
        </is>
      </c>
      <c r="C105" s="601" t="inlineStr">
        <is>
          <t>KNITVEL NEEDLES P LTD</t>
        </is>
      </c>
      <c r="D105" s="601" t="n"/>
      <c r="E105" s="601" t="n">
        <v>819045</v>
      </c>
      <c r="F105" s="601" t="n">
        <v>3775108</v>
      </c>
      <c r="G105" s="601" t="inlineStr">
        <is>
          <t>CUT-O-N-AUT-AW-PE-22.20X2.000X0.7720</t>
        </is>
      </c>
      <c r="H105" s="601" t="n"/>
      <c r="I105" s="601" t="n"/>
      <c r="J105" s="601" t="n"/>
      <c r="K105" s="601" t="inlineStr">
        <is>
          <t>HR</t>
        </is>
      </c>
      <c r="L105" s="601" t="n"/>
      <c r="M105" s="601" t="n"/>
      <c r="N105" s="601" t="n"/>
      <c r="O105" s="601" t="n"/>
      <c r="P105" s="557">
        <f>CONCATENATE(schedule13[[#This Row],[OD]],"-",schedule13[[#This Row],[ID]],"-",schedule13[[#This Row],[TICKNESS]],"-",schedule13[[#This Row],[GRADE]],"-",schedule13[[#This Row],[FC/NFC]])</f>
        <v/>
      </c>
      <c r="Q105" s="557" t="n"/>
      <c r="R105" s="557" t="n"/>
      <c r="S105" s="599" t="n">
        <v>22.23</v>
      </c>
      <c r="T105" s="599" t="n">
        <v>22.23</v>
      </c>
      <c r="U105" s="599" t="n">
        <v>0</v>
      </c>
      <c r="V105" s="599" t="n">
        <v>2</v>
      </c>
      <c r="W105" s="23" t="n">
        <v>772</v>
      </c>
      <c r="X105" s="23" t="n"/>
      <c r="Y105" s="601" t="n">
        <v>0</v>
      </c>
      <c r="Z105" s="601" t="n"/>
      <c r="AA105" s="602">
        <f>Y105-Z105</f>
        <v/>
      </c>
      <c r="AB105" s="599">
        <f>(S105-V105)*V105*W105*0.024653*Y105/1000000</f>
        <v/>
      </c>
      <c r="AC105" s="599">
        <f>(S105-V105)*V105*W105*0.024653*Z105/1000000</f>
        <v/>
      </c>
      <c r="AD105" s="599">
        <f>AB105-AC105</f>
        <v/>
      </c>
      <c r="AE105" s="599" t="n"/>
      <c r="AF105" s="599" t="n"/>
      <c r="AG105" s="599" t="n"/>
      <c r="AH105" s="599">
        <f>AB104-AF105</f>
        <v/>
      </c>
      <c r="AI105" s="118">
        <f>(AC105+AF105)/AB104</f>
        <v/>
      </c>
    </row>
    <row r="106" hidden="1" s="584">
      <c r="A106" s="594" t="n">
        <v>373</v>
      </c>
      <c r="B106" s="5" t="inlineStr">
        <is>
          <t>Hosur</t>
        </is>
      </c>
      <c r="C106" s="601" t="inlineStr">
        <is>
          <t>KNITVEL NEEDLES P LTD</t>
        </is>
      </c>
      <c r="D106" s="601" t="n"/>
      <c r="E106" s="601" t="n">
        <v>819045</v>
      </c>
      <c r="F106" s="601" t="n">
        <v>3533248</v>
      </c>
      <c r="G106" s="601" t="inlineStr">
        <is>
          <t>CUT-O-N-AUT-AW-PE-22.20X1.600X1.2900</t>
        </is>
      </c>
      <c r="H106" s="601" t="inlineStr">
        <is>
          <t>ERW 1</t>
        </is>
      </c>
      <c r="I106" s="601" t="n"/>
      <c r="J106" s="601" t="inlineStr">
        <is>
          <t>PE</t>
        </is>
      </c>
      <c r="K106" s="601" t="inlineStr">
        <is>
          <t>CR</t>
        </is>
      </c>
      <c r="L106" s="596" t="inlineStr">
        <is>
          <t>GR1</t>
        </is>
      </c>
      <c r="M106" s="601" t="n"/>
      <c r="N106" s="601" t="n"/>
      <c r="O106" s="601" t="n"/>
      <c r="P106" s="557">
        <f>CONCATENATE(schedule13[[#This Row],[OD]],"-",schedule13[[#This Row],[ID]],"-",schedule13[[#This Row],[TICKNESS]],"-",schedule13[[#This Row],[GRADE]],"-",schedule13[[#This Row],[FC/NFC]])</f>
        <v/>
      </c>
      <c r="Q106" s="557" t="n"/>
      <c r="R106" s="557" t="n"/>
      <c r="S106" s="599" t="n">
        <v>22.23</v>
      </c>
      <c r="T106" s="599" t="n">
        <v>22.23</v>
      </c>
      <c r="U106" s="599" t="n">
        <v>0</v>
      </c>
      <c r="V106" s="599" t="n">
        <v>1.6</v>
      </c>
      <c r="W106" s="23" t="n">
        <v>1290</v>
      </c>
      <c r="X106" s="23" t="n"/>
      <c r="Y106" s="601" t="n">
        <v>0</v>
      </c>
      <c r="Z106" s="601" t="n"/>
      <c r="AA106" s="602">
        <f>Y106-Z106</f>
        <v/>
      </c>
      <c r="AB106" s="599">
        <f>(S106-V106)*V106*W106*0.024653*Y106/1000000</f>
        <v/>
      </c>
      <c r="AC106" s="599">
        <f>(S106-V106)*V106*W106*0.024653*Z106/1000000</f>
        <v/>
      </c>
      <c r="AD106" s="599">
        <f>AB106-AC106</f>
        <v/>
      </c>
      <c r="AE106" s="599" t="n"/>
      <c r="AF106" s="599" t="n"/>
      <c r="AG106" s="599" t="n"/>
      <c r="AH106" s="599">
        <f>AB105-AF106</f>
        <v/>
      </c>
      <c r="AI106" s="118" t="n"/>
    </row>
    <row r="107" hidden="1" s="584">
      <c r="A107" s="594" t="n">
        <v>374</v>
      </c>
      <c r="B107" s="5" t="inlineStr">
        <is>
          <t>Hosur</t>
        </is>
      </c>
      <c r="C107" s="601" t="inlineStr">
        <is>
          <t>KNITVEL NEEDLES P LTD</t>
        </is>
      </c>
      <c r="D107" s="601" t="n"/>
      <c r="E107" s="601" t="n">
        <v>819045</v>
      </c>
      <c r="F107" s="601" t="n"/>
      <c r="G107" s="601" t="n"/>
      <c r="H107" s="601" t="n"/>
      <c r="I107" s="601" t="n"/>
      <c r="J107" s="601" t="n"/>
      <c r="K107" s="601" t="inlineStr">
        <is>
          <t>HR</t>
        </is>
      </c>
      <c r="L107" s="601" t="n"/>
      <c r="M107" s="601" t="n"/>
      <c r="N107" s="601" t="n"/>
      <c r="O107" s="601" t="n"/>
      <c r="P107" s="557">
        <f>CONCATENATE(schedule13[[#This Row],[OD]],"-",schedule13[[#This Row],[ID]],"-",schedule13[[#This Row],[TICKNESS]],"-",schedule13[[#This Row],[GRADE]],"-",schedule13[[#This Row],[FC/NFC]])</f>
        <v/>
      </c>
      <c r="Q107" s="557" t="n"/>
      <c r="R107" s="557" t="n"/>
      <c r="S107" s="599" t="n">
        <v>25.4</v>
      </c>
      <c r="T107" s="599" t="n">
        <v>25.4</v>
      </c>
      <c r="U107" s="599" t="n">
        <v>0</v>
      </c>
      <c r="V107" s="599" t="n">
        <v>2</v>
      </c>
      <c r="W107" s="23" t="n">
        <v>600</v>
      </c>
      <c r="X107" s="23" t="n"/>
      <c r="Y107" s="601" t="n">
        <v>0</v>
      </c>
      <c r="Z107" s="601" t="n"/>
      <c r="AA107" s="602">
        <f>Y107-Z107</f>
        <v/>
      </c>
      <c r="AB107" s="599">
        <f>(S107-V107)*V107*W107*0.024653*Y107/1000000</f>
        <v/>
      </c>
      <c r="AC107" s="599">
        <f>(S107-V107)*V107*W107*0.024653*Z107/1000000</f>
        <v/>
      </c>
      <c r="AD107" s="599">
        <f>AB107-AC107</f>
        <v/>
      </c>
      <c r="AE107" s="599" t="n"/>
      <c r="AF107" s="599" t="n"/>
      <c r="AG107" s="599" t="n"/>
      <c r="AH107" s="599">
        <f>AB106-AF107</f>
        <v/>
      </c>
      <c r="AI107" s="118">
        <f>(AC107+AF107)/AB106</f>
        <v/>
      </c>
    </row>
    <row r="108" hidden="1" s="584">
      <c r="A108" s="594" t="n">
        <v>375</v>
      </c>
      <c r="B108" s="5" t="inlineStr">
        <is>
          <t>Hosur</t>
        </is>
      </c>
      <c r="C108" s="601" t="inlineStr">
        <is>
          <t>KNITVEL NEEDLES P LTD</t>
        </is>
      </c>
      <c r="D108" s="601" t="n"/>
      <c r="E108" s="601" t="n">
        <v>819045</v>
      </c>
      <c r="F108" s="601" t="n"/>
      <c r="G108" s="601" t="inlineStr">
        <is>
          <t>CUT-N-AUT-AW-FC-48.60X3.500X0.5950</t>
        </is>
      </c>
      <c r="H108" s="601" t="n"/>
      <c r="I108" s="601" t="n"/>
      <c r="J108" s="601" t="n"/>
      <c r="K108" s="601" t="inlineStr">
        <is>
          <t>HR</t>
        </is>
      </c>
      <c r="L108" s="601" t="n"/>
      <c r="M108" s="601" t="n"/>
      <c r="N108" s="601" t="n"/>
      <c r="O108" s="601" t="n"/>
      <c r="P108" s="557">
        <f>CONCATENATE(schedule13[[#This Row],[OD]],"-",schedule13[[#This Row],[ID]],"-",schedule13[[#This Row],[TICKNESS]],"-",schedule13[[#This Row],[GRADE]],"-",schedule13[[#This Row],[FC/NFC]])</f>
        <v/>
      </c>
      <c r="Q108" s="557" t="n"/>
      <c r="R108" s="557" t="n"/>
      <c r="S108" s="599" t="n">
        <v>48.6</v>
      </c>
      <c r="T108" s="599" t="n">
        <v>48.6</v>
      </c>
      <c r="U108" s="599" t="n">
        <v>0</v>
      </c>
      <c r="V108" s="599" t="n">
        <v>3.5</v>
      </c>
      <c r="W108" s="23" t="n">
        <v>595</v>
      </c>
      <c r="X108" s="23" t="n"/>
      <c r="Y108" s="601" t="n">
        <v>0</v>
      </c>
      <c r="Z108" s="601" t="n"/>
      <c r="AA108" s="602">
        <f>Y108-Z108</f>
        <v/>
      </c>
      <c r="AB108" s="599">
        <f>(S108-V108)*V108*W108*0.024653*Y108/1000000</f>
        <v/>
      </c>
      <c r="AC108" s="599">
        <f>(S108-V108)*V108*W108*0.024653*Z108/1000000</f>
        <v/>
      </c>
      <c r="AD108" s="599">
        <f>AB108-AC108</f>
        <v/>
      </c>
      <c r="AE108" s="599" t="n"/>
      <c r="AF108" s="599" t="n"/>
      <c r="AG108" s="599" t="n"/>
      <c r="AH108" s="599">
        <f>AB107-AF108</f>
        <v/>
      </c>
      <c r="AI108" s="118">
        <f>(AC108+AF108)/AB107</f>
        <v/>
      </c>
    </row>
    <row r="109" hidden="1" s="584">
      <c r="A109" s="594" t="n">
        <v>376</v>
      </c>
      <c r="B109" s="5" t="inlineStr">
        <is>
          <t xml:space="preserve">Khopoli </t>
        </is>
      </c>
      <c r="C109" s="601" t="inlineStr">
        <is>
          <t>KNITVEL NEEDLES P LTD</t>
        </is>
      </c>
      <c r="D109" s="601" t="n"/>
      <c r="E109" s="601" t="n">
        <v>819045</v>
      </c>
      <c r="F109" s="601" t="n">
        <v>3500714</v>
      </c>
      <c r="G109" s="601" t="inlineStr">
        <is>
          <t>TUB-O-N-AUT-BH-FC-42.70X4.000X5.50-ERW 1</t>
        </is>
      </c>
      <c r="H109" s="601" t="inlineStr">
        <is>
          <t>ERW 1</t>
        </is>
      </c>
      <c r="I109" s="601" t="inlineStr">
        <is>
          <t>Annealed</t>
        </is>
      </c>
      <c r="J109" s="601" t="n"/>
      <c r="K109" s="601" t="inlineStr">
        <is>
          <t>HR</t>
        </is>
      </c>
      <c r="L109" s="601" t="n"/>
      <c r="M109" s="601" t="n"/>
      <c r="N109" s="601" t="n"/>
      <c r="O109" s="601" t="n"/>
      <c r="P109" s="557">
        <f>CONCATENATE(schedule13[[#This Row],[OD]],"-",schedule13[[#This Row],[ID]],"-",schedule13[[#This Row],[TICKNESS]],"-",schedule13[[#This Row],[GRADE]],"-",schedule13[[#This Row],[FC/NFC]])</f>
        <v/>
      </c>
      <c r="Q109" s="557" t="n"/>
      <c r="R109" s="557" t="n"/>
      <c r="S109" s="599" t="n">
        <v>42.7</v>
      </c>
      <c r="T109" s="599" t="n">
        <v>42.7</v>
      </c>
      <c r="U109" s="599" t="n">
        <v>0</v>
      </c>
      <c r="V109" s="599" t="n">
        <v>4</v>
      </c>
      <c r="W109" s="23" t="n">
        <v>5500</v>
      </c>
      <c r="X109" s="23" t="n"/>
      <c r="Y109" s="601" t="n">
        <v>0</v>
      </c>
      <c r="Z109" s="601" t="n"/>
      <c r="AA109" s="602">
        <f>Y109-Z109</f>
        <v/>
      </c>
      <c r="AB109" s="599">
        <f>(S109-V109)*V109*W109*0.024653*Y109/1000000</f>
        <v/>
      </c>
      <c r="AC109" s="599">
        <f>(S109-V109)*V109*W109*0.024653*Z109/1000000</f>
        <v/>
      </c>
      <c r="AD109" s="599">
        <f>AB109-AC109</f>
        <v/>
      </c>
      <c r="AE109" s="599" t="n"/>
      <c r="AF109" s="599" t="n">
        <v>0.962831</v>
      </c>
      <c r="AG109" s="599" t="n"/>
      <c r="AH109" s="599">
        <f>AB108-AF109</f>
        <v/>
      </c>
      <c r="AI109" s="118">
        <f>(AC109+AF109)/AB108</f>
        <v/>
      </c>
    </row>
    <row r="110" hidden="1" s="584">
      <c r="A110" s="594" t="n">
        <v>377</v>
      </c>
      <c r="B110" s="5" t="inlineStr">
        <is>
          <t>Hosur</t>
        </is>
      </c>
      <c r="C110" s="601" t="inlineStr">
        <is>
          <t>KNITVEL NEEDLES P LTD</t>
        </is>
      </c>
      <c r="D110" s="601" t="n"/>
      <c r="E110" s="601" t="n">
        <v>819045</v>
      </c>
      <c r="F110" s="601" t="n">
        <v>235292</v>
      </c>
      <c r="G110" s="601" t="inlineStr">
        <is>
          <t>PT2-O-N-AUT-AW-PE-19.05X2.00X6.000-ERW 1</t>
        </is>
      </c>
      <c r="H110" s="601" t="inlineStr">
        <is>
          <t>ERW 1</t>
        </is>
      </c>
      <c r="I110" s="601" t="n"/>
      <c r="J110" s="601" t="inlineStr">
        <is>
          <t>PE</t>
        </is>
      </c>
      <c r="K110" s="601" t="inlineStr">
        <is>
          <t>HR</t>
        </is>
      </c>
      <c r="L110" s="601" t="n"/>
      <c r="M110" s="601" t="n"/>
      <c r="N110" s="601" t="n"/>
      <c r="O110" s="601" t="n"/>
      <c r="P110" s="557">
        <f>CONCATENATE(schedule13[[#This Row],[OD]],"-",schedule13[[#This Row],[ID]],"-",schedule13[[#This Row],[TICKNESS]],"-",schedule13[[#This Row],[GRADE]],"-",schedule13[[#This Row],[FC/NFC]])</f>
        <v/>
      </c>
      <c r="Q110" s="557" t="n"/>
      <c r="R110" s="557" t="n"/>
      <c r="S110" s="599" t="n">
        <v>19.05</v>
      </c>
      <c r="T110" s="599" t="n">
        <v>19.05</v>
      </c>
      <c r="U110" s="599" t="n">
        <v>0</v>
      </c>
      <c r="V110" s="599" t="n">
        <v>2</v>
      </c>
      <c r="W110" s="23" t="n">
        <v>6000</v>
      </c>
      <c r="X110" s="23" t="n"/>
      <c r="Y110" s="601" t="n">
        <v>0</v>
      </c>
      <c r="Z110" s="601" t="n"/>
      <c r="AA110" s="602">
        <f>Y110-Z110</f>
        <v/>
      </c>
      <c r="AB110" s="599">
        <f>(S110-V110)*V110*W110*0.024653*Y110/1000000</f>
        <v/>
      </c>
      <c r="AC110" s="599">
        <f>(S110-V110)*V110*W110*0.024653*Z110/1000000</f>
        <v/>
      </c>
      <c r="AD110" s="599">
        <f>AB110-AC110</f>
        <v/>
      </c>
      <c r="AE110" s="599" t="n"/>
      <c r="AF110" s="599" t="n">
        <v>31.876309</v>
      </c>
      <c r="AG110" s="599" t="n"/>
      <c r="AH110" s="599">
        <f>AB109-AF110</f>
        <v/>
      </c>
      <c r="AI110" s="118" t="n"/>
    </row>
    <row r="111" hidden="1" s="584">
      <c r="A111" s="594" t="n">
        <v>378</v>
      </c>
      <c r="B111" s="5" t="inlineStr">
        <is>
          <t>Hosur</t>
        </is>
      </c>
      <c r="C111" s="601" t="inlineStr">
        <is>
          <t>KNITVEL NEEDLES P LTD</t>
        </is>
      </c>
      <c r="D111" s="601" t="n"/>
      <c r="E111" s="601" t="n">
        <v>819045</v>
      </c>
      <c r="F111" s="601" t="n">
        <v>3138219</v>
      </c>
      <c r="G111" s="601" t="inlineStr">
        <is>
          <t>TUB-O-N-AUT-AW-FC-34.93X1.200X0.3900</t>
        </is>
      </c>
      <c r="H111" s="601" t="inlineStr">
        <is>
          <t>ERW 1</t>
        </is>
      </c>
      <c r="I111" s="601" t="n"/>
      <c r="J111" s="601" t="inlineStr">
        <is>
          <t>FC</t>
        </is>
      </c>
      <c r="K111" s="601" t="inlineStr">
        <is>
          <t>CR</t>
        </is>
      </c>
      <c r="L111" s="601" t="n"/>
      <c r="M111" s="601" t="n"/>
      <c r="N111" s="601" t="n"/>
      <c r="O111" s="601" t="n"/>
      <c r="P111" s="557">
        <f>CONCATENATE(schedule13[[#This Row],[OD]],"-",schedule13[[#This Row],[ID]],"-",schedule13[[#This Row],[TICKNESS]],"-",schedule13[[#This Row],[GRADE]],"-",schedule13[[#This Row],[FC/NFC]])</f>
        <v/>
      </c>
      <c r="Q111" s="557" t="n"/>
      <c r="R111" s="557" t="n"/>
      <c r="S111" s="599" t="n">
        <v>34.93</v>
      </c>
      <c r="T111" s="599" t="n">
        <v>34.93</v>
      </c>
      <c r="U111" s="599" t="n">
        <v>0</v>
      </c>
      <c r="V111" s="599" t="n">
        <v>1.2</v>
      </c>
      <c r="W111" s="23" t="n">
        <v>390</v>
      </c>
      <c r="X111" s="23" t="n"/>
      <c r="Y111" s="601" t="n">
        <v>0</v>
      </c>
      <c r="Z111" s="601" t="n"/>
      <c r="AA111" s="602">
        <f>Y111-Z111</f>
        <v/>
      </c>
      <c r="AB111" s="599">
        <f>(S111-V111)*V111*W111*0.024653*Y111/1000000</f>
        <v/>
      </c>
      <c r="AC111" s="599">
        <f>(S111-V111)*V111*W111*0.024653*Z111/1000000</f>
        <v/>
      </c>
      <c r="AD111" s="599">
        <f>AB111-AC111</f>
        <v/>
      </c>
      <c r="AE111" s="599" t="n"/>
      <c r="AF111" s="599" t="n"/>
      <c r="AG111" s="599" t="n"/>
      <c r="AH111" s="599">
        <f>AB110-AF111</f>
        <v/>
      </c>
      <c r="AI111" s="118">
        <f>(AC111+AF111)/AB110</f>
        <v/>
      </c>
    </row>
    <row r="112" hidden="1" s="584">
      <c r="A112" s="594" t="n">
        <v>379</v>
      </c>
      <c r="B112" s="5" t="inlineStr">
        <is>
          <t>Hosur</t>
        </is>
      </c>
      <c r="C112" s="601" t="inlineStr">
        <is>
          <t>KNITVEL NEEDLES P LTD</t>
        </is>
      </c>
      <c r="D112" s="601" t="n"/>
      <c r="E112" s="601" t="n">
        <v>819045</v>
      </c>
      <c r="F112" s="601" t="n">
        <v>3484654</v>
      </c>
      <c r="G112" s="601" t="inlineStr">
        <is>
          <t>TUB-O-N-AUT-AW-PE-34.93X2.000X1.2800</t>
        </is>
      </c>
      <c r="H112" s="601" t="n"/>
      <c r="I112" s="601" t="n"/>
      <c r="J112" s="601" t="n"/>
      <c r="K112" s="601" t="inlineStr">
        <is>
          <t>HR</t>
        </is>
      </c>
      <c r="L112" s="601" t="n"/>
      <c r="M112" s="601" t="n"/>
      <c r="N112" s="601" t="n"/>
      <c r="O112" s="601" t="n"/>
      <c r="P112" s="557">
        <f>CONCATENATE(schedule13[[#This Row],[OD]],"-",schedule13[[#This Row],[ID]],"-",schedule13[[#This Row],[TICKNESS]],"-",schedule13[[#This Row],[GRADE]],"-",schedule13[[#This Row],[FC/NFC]])</f>
        <v/>
      </c>
      <c r="Q112" s="557" t="n"/>
      <c r="R112" s="557" t="n"/>
      <c r="S112" s="599" t="n">
        <v>34.93</v>
      </c>
      <c r="T112" s="599" t="n">
        <v>34.93</v>
      </c>
      <c r="U112" s="599" t="n">
        <v>0</v>
      </c>
      <c r="V112" s="599" t="n">
        <v>2</v>
      </c>
      <c r="W112" s="23" t="n">
        <v>1280</v>
      </c>
      <c r="X112" s="23" t="n"/>
      <c r="Y112" s="601" t="n">
        <v>0</v>
      </c>
      <c r="Z112" s="601" t="n"/>
      <c r="AA112" s="602">
        <f>Y112-Z112</f>
        <v/>
      </c>
      <c r="AB112" s="599">
        <f>(S112-V112)*V112*W112*0.024653*Y112/1000000</f>
        <v/>
      </c>
      <c r="AC112" s="599">
        <f>(S112-V112)*V112*W112*0.024653*Z112/1000000</f>
        <v/>
      </c>
      <c r="AD112" s="599">
        <f>AB112-AC112</f>
        <v/>
      </c>
      <c r="AE112" s="599" t="n"/>
      <c r="AF112" s="599" t="n"/>
      <c r="AG112" s="599" t="n"/>
      <c r="AH112" s="599">
        <f>AB111-AF112</f>
        <v/>
      </c>
      <c r="AI112" s="118">
        <f>(AC112+AF112)/AB111</f>
        <v/>
      </c>
    </row>
    <row r="113" hidden="1" s="584">
      <c r="A113" s="594" t="n">
        <v>332</v>
      </c>
      <c r="B113" s="5" t="inlineStr">
        <is>
          <t>Hosur</t>
        </is>
      </c>
      <c r="C113" s="601" t="inlineStr">
        <is>
          <t>Marathwada</t>
        </is>
      </c>
      <c r="D113" s="601" t="n"/>
      <c r="E113" s="601" t="n">
        <v>189002</v>
      </c>
      <c r="F113" s="601" t="n">
        <v>1940801</v>
      </c>
      <c r="G113" s="601" t="inlineStr">
        <is>
          <t>TUB-R-AW-RHS-40.00X20.00X1.210X1.3100</t>
        </is>
      </c>
      <c r="H113" s="601" t="inlineStr">
        <is>
          <t>CRFH</t>
        </is>
      </c>
      <c r="I113" s="601" t="n"/>
      <c r="J113" s="601" t="inlineStr">
        <is>
          <t>PE</t>
        </is>
      </c>
      <c r="K113" s="601" t="inlineStr">
        <is>
          <t>CR</t>
        </is>
      </c>
      <c r="L113" s="601" t="n"/>
      <c r="M113" s="601" t="n"/>
      <c r="N113" s="601" t="n"/>
      <c r="O113" s="601" t="n"/>
      <c r="P113" s="557">
        <f>CONCATENATE(schedule13[[#This Row],[OD]],"-",schedule13[[#This Row],[ID]],"-",schedule13[[#This Row],[TICKNESS]],"-",schedule13[[#This Row],[GRADE]],"-",schedule13[[#This Row],[FC/NFC]])</f>
        <v/>
      </c>
      <c r="Q113" s="557" t="n"/>
      <c r="R113" s="557" t="n"/>
      <c r="S113" s="599" t="n">
        <v>38.1</v>
      </c>
      <c r="T113" s="599" t="n">
        <v>40</v>
      </c>
      <c r="U113" s="599" t="n">
        <v>20</v>
      </c>
      <c r="V113" s="599" t="n">
        <v>1.2</v>
      </c>
      <c r="W113" s="600" t="n">
        <v>1310</v>
      </c>
      <c r="X113" s="600" t="n"/>
      <c r="Y113" s="601" t="n">
        <v>0</v>
      </c>
      <c r="Z113" s="601" t="n"/>
      <c r="AA113" s="602">
        <f>Y113-Z113</f>
        <v/>
      </c>
      <c r="AB113" s="599">
        <f>(S113-V113)*V113*W113*0.024653*Y113/1000000</f>
        <v/>
      </c>
      <c r="AC113" s="599">
        <f>(S113-V113)*V113*W113*0.024653*Z113/1000000</f>
        <v/>
      </c>
      <c r="AD113" s="599">
        <f>AB113-AC113</f>
        <v/>
      </c>
      <c r="AE113" s="599" t="n"/>
      <c r="AF113" s="599" t="n">
        <v>2.282</v>
      </c>
      <c r="AG113" s="599" t="n"/>
      <c r="AH113" s="599">
        <f>AB112-AF113</f>
        <v/>
      </c>
      <c r="AI113" s="118">
        <f>(AC113+AF113)/AB112</f>
        <v/>
      </c>
    </row>
    <row r="114" hidden="1" s="584">
      <c r="A114" s="594" t="n">
        <v>333</v>
      </c>
      <c r="B114" s="5" t="inlineStr">
        <is>
          <t>Hosur</t>
        </is>
      </c>
      <c r="C114" s="601" t="inlineStr">
        <is>
          <t>Marathwada</t>
        </is>
      </c>
      <c r="D114" s="601" t="n"/>
      <c r="E114" s="601" t="n">
        <v>189002</v>
      </c>
      <c r="F114" s="601" t="n">
        <v>3233553</v>
      </c>
      <c r="G114" s="601" t="inlineStr">
        <is>
          <t>TUB-R-AW-AUT-40.00X20.00X1.210X1.2980</t>
        </is>
      </c>
      <c r="H114" s="601" t="inlineStr">
        <is>
          <t>CRFH</t>
        </is>
      </c>
      <c r="I114" s="601" t="n"/>
      <c r="J114" s="601" t="inlineStr">
        <is>
          <t>PE</t>
        </is>
      </c>
      <c r="K114" s="601" t="inlineStr">
        <is>
          <t>CR</t>
        </is>
      </c>
      <c r="L114" s="601" t="n"/>
      <c r="M114" s="601" t="n"/>
      <c r="N114" s="601" t="n"/>
      <c r="O114" s="601" t="n"/>
      <c r="P114" s="557">
        <f>CONCATENATE(schedule13[[#This Row],[OD]],"-",schedule13[[#This Row],[ID]],"-",schedule13[[#This Row],[TICKNESS]],"-",schedule13[[#This Row],[GRADE]],"-",schedule13[[#This Row],[FC/NFC]])</f>
        <v/>
      </c>
      <c r="Q114" s="557" t="n"/>
      <c r="R114" s="557" t="n"/>
      <c r="S114" s="599" t="n">
        <v>38.1</v>
      </c>
      <c r="T114" s="599" t="n">
        <v>40</v>
      </c>
      <c r="U114" s="599" t="n">
        <v>20</v>
      </c>
      <c r="V114" s="599" t="n">
        <v>1.2</v>
      </c>
      <c r="W114" s="600" t="n">
        <v>1298</v>
      </c>
      <c r="X114" s="600" t="n"/>
      <c r="Y114" s="601" t="n">
        <v>0</v>
      </c>
      <c r="Z114" s="601" t="n"/>
      <c r="AA114" s="602">
        <f>Y114-Z114</f>
        <v/>
      </c>
      <c r="AB114" s="599">
        <f>(S114-V114)*V114*W114*0.024653*Y114/1000000</f>
        <v/>
      </c>
      <c r="AC114" s="599">
        <f>(S114-V114)*V114*W114*0.024653*Z114/1000000</f>
        <v/>
      </c>
      <c r="AD114" s="599">
        <f>AB114-AC114</f>
        <v/>
      </c>
      <c r="AE114" s="599" t="n"/>
      <c r="AF114" s="599" t="n">
        <v>0.485221</v>
      </c>
      <c r="AG114" s="599" t="n"/>
      <c r="AH114" s="599">
        <f>AB113-AF114</f>
        <v/>
      </c>
      <c r="AI114" s="118">
        <f>(AC114+AF114)/AB113</f>
        <v/>
      </c>
    </row>
    <row r="115" hidden="1" s="584">
      <c r="A115" s="594" t="n">
        <v>334</v>
      </c>
      <c r="B115" s="5" t="inlineStr">
        <is>
          <t>Hosur</t>
        </is>
      </c>
      <c r="C115" s="601" t="inlineStr">
        <is>
          <t>Marathwada</t>
        </is>
      </c>
      <c r="D115" s="601" t="n"/>
      <c r="E115" s="601" t="n">
        <v>189002</v>
      </c>
      <c r="F115" s="601" t="n">
        <v>3233554</v>
      </c>
      <c r="G115" s="601" t="inlineStr">
        <is>
          <t>TUB-R-AW-AUT-40.00X20.00X1.210X1.2460</t>
        </is>
      </c>
      <c r="H115" s="601" t="inlineStr">
        <is>
          <t>CRFH</t>
        </is>
      </c>
      <c r="I115" s="601" t="n"/>
      <c r="J115" s="601" t="inlineStr">
        <is>
          <t>PE</t>
        </is>
      </c>
      <c r="K115" s="601" t="inlineStr">
        <is>
          <t>CR</t>
        </is>
      </c>
      <c r="L115" s="601" t="n"/>
      <c r="M115" s="601" t="n"/>
      <c r="N115" s="601" t="n"/>
      <c r="O115" s="601" t="n"/>
      <c r="P115" s="557">
        <f>CONCATENATE(schedule13[[#This Row],[OD]],"-",schedule13[[#This Row],[ID]],"-",schedule13[[#This Row],[TICKNESS]],"-",schedule13[[#This Row],[GRADE]],"-",schedule13[[#This Row],[FC/NFC]])</f>
        <v/>
      </c>
      <c r="Q115" s="557" t="n"/>
      <c r="R115" s="557" t="n"/>
      <c r="S115" s="599" t="n">
        <v>38.1</v>
      </c>
      <c r="T115" s="599" t="n">
        <v>40</v>
      </c>
      <c r="U115" s="599" t="n">
        <v>20</v>
      </c>
      <c r="V115" s="599" t="n">
        <v>1.2</v>
      </c>
      <c r="W115" s="600" t="n">
        <v>1246</v>
      </c>
      <c r="X115" s="600" t="n"/>
      <c r="Y115" s="601" t="n">
        <v>0</v>
      </c>
      <c r="Z115" s="601" t="n"/>
      <c r="AA115" s="602">
        <f>Y115-Z115</f>
        <v/>
      </c>
      <c r="AB115" s="599">
        <f>(S115-V115)*V115*W115*0.024653*Y115/1000000</f>
        <v/>
      </c>
      <c r="AC115" s="599">
        <f>(S115-V115)*V115*W115*0.024653*Z115/1000000</f>
        <v/>
      </c>
      <c r="AD115" s="599">
        <f>AB115-AC115</f>
        <v/>
      </c>
      <c r="AE115" s="599" t="n"/>
      <c r="AF115" s="599" t="n">
        <v>0.52707</v>
      </c>
      <c r="AG115" s="599" t="n"/>
      <c r="AH115" s="599">
        <f>AB114-AF115</f>
        <v/>
      </c>
      <c r="AI115" s="118">
        <f>(AC115+AF115)/AB114</f>
        <v/>
      </c>
    </row>
    <row r="116" hidden="1" s="584">
      <c r="A116" s="594" t="n">
        <v>335</v>
      </c>
      <c r="B116" s="5" t="inlineStr">
        <is>
          <t>Hosur</t>
        </is>
      </c>
      <c r="C116" s="601" t="inlineStr">
        <is>
          <t>Marathwada</t>
        </is>
      </c>
      <c r="D116" s="601" t="n"/>
      <c r="E116" s="601" t="n">
        <v>189002</v>
      </c>
      <c r="F116" s="601" t="n">
        <v>3233555</v>
      </c>
      <c r="G116" s="601" t="inlineStr">
        <is>
          <t>TUB-R-AW-AUT-40.00X20.00X1.210X1.1200</t>
        </is>
      </c>
      <c r="H116" s="601" t="inlineStr">
        <is>
          <t>CRFH</t>
        </is>
      </c>
      <c r="I116" s="601" t="n"/>
      <c r="J116" s="601" t="inlineStr">
        <is>
          <t>PE</t>
        </is>
      </c>
      <c r="K116" s="601" t="inlineStr">
        <is>
          <t>CR</t>
        </is>
      </c>
      <c r="L116" s="601" t="n"/>
      <c r="M116" s="601" t="n"/>
      <c r="N116" s="601" t="n"/>
      <c r="O116" s="601" t="n"/>
      <c r="P116" s="557">
        <f>CONCATENATE(schedule13[[#This Row],[OD]],"-",schedule13[[#This Row],[ID]],"-",schedule13[[#This Row],[TICKNESS]],"-",schedule13[[#This Row],[GRADE]],"-",schedule13[[#This Row],[FC/NFC]])</f>
        <v/>
      </c>
      <c r="Q116" s="557" t="n"/>
      <c r="R116" s="557" t="n"/>
      <c r="S116" s="599" t="n">
        <v>38.1</v>
      </c>
      <c r="T116" s="599" t="n">
        <v>40</v>
      </c>
      <c r="U116" s="599" t="n">
        <v>20</v>
      </c>
      <c r="V116" s="599" t="n">
        <v>1.2</v>
      </c>
      <c r="W116" s="600" t="n">
        <v>1120</v>
      </c>
      <c r="X116" s="600" t="n"/>
      <c r="Y116" s="601" t="n">
        <v>0</v>
      </c>
      <c r="Z116" s="601" t="n"/>
      <c r="AA116" s="602">
        <f>Y116-Z116</f>
        <v/>
      </c>
      <c r="AB116" s="599">
        <f>(S116-V116)*V116*W116*0.024653*Y116/1000000</f>
        <v/>
      </c>
      <c r="AC116" s="599">
        <f>(S116-V116)*V116*W116*0.024653*Z116/1000000</f>
        <v/>
      </c>
      <c r="AD116" s="599">
        <f>AB116-AC116</f>
        <v/>
      </c>
      <c r="AE116" s="599" t="n"/>
      <c r="AF116" s="599" t="n">
        <v>2.045304</v>
      </c>
      <c r="AG116" s="599" t="n"/>
      <c r="AH116" s="599">
        <f>AB115-AF116</f>
        <v/>
      </c>
      <c r="AI116" s="118">
        <f>(AC116+AF116)/AB115</f>
        <v/>
      </c>
    </row>
    <row r="117" hidden="1" s="584">
      <c r="A117" s="594" t="n">
        <v>336</v>
      </c>
      <c r="B117" s="5" t="inlineStr">
        <is>
          <t>Hosur</t>
        </is>
      </c>
      <c r="C117" s="601" t="inlineStr">
        <is>
          <t>Marathwada</t>
        </is>
      </c>
      <c r="D117" s="601" t="n"/>
      <c r="E117" s="601" t="n">
        <v>189002</v>
      </c>
      <c r="F117" s="601" t="n">
        <v>2410388</v>
      </c>
      <c r="G117" s="601" t="inlineStr">
        <is>
          <t>TUB-O-C-AUT-AD-FC-28.60X2.650X04-05</t>
        </is>
      </c>
      <c r="H117" s="601" t="inlineStr">
        <is>
          <t>CEW</t>
        </is>
      </c>
      <c r="I117" s="9" t="n"/>
      <c r="J117" s="601" t="inlineStr">
        <is>
          <t>CEW</t>
        </is>
      </c>
      <c r="K117" s="601" t="inlineStr">
        <is>
          <t>HR</t>
        </is>
      </c>
      <c r="L117" s="601" t="n"/>
      <c r="M117" s="9" t="n"/>
      <c r="N117" s="9" t="n"/>
      <c r="O117" s="9" t="n"/>
      <c r="P117" s="557">
        <f>CONCATENATE(schedule13[[#This Row],[OD]],"-",schedule13[[#This Row],[ID]],"-",schedule13[[#This Row],[TICKNESS]],"-",schedule13[[#This Row],[GRADE]],"-",schedule13[[#This Row],[FC/NFC]])</f>
        <v/>
      </c>
      <c r="Q117" s="557" t="n"/>
      <c r="R117" s="557" t="n"/>
      <c r="S117" s="599" t="n">
        <v>28.6</v>
      </c>
      <c r="T117" s="599" t="n">
        <v>28.6</v>
      </c>
      <c r="U117" s="599" t="n">
        <v>0</v>
      </c>
      <c r="V117" s="599" t="n">
        <v>2.65</v>
      </c>
      <c r="W117" s="600" t="n">
        <v>4500</v>
      </c>
      <c r="X117" s="600" t="n"/>
      <c r="Y117" s="601" t="n">
        <v>0</v>
      </c>
      <c r="Z117" s="601" t="n"/>
      <c r="AA117" s="602">
        <f>Y117-Z117</f>
        <v/>
      </c>
      <c r="AB117" s="599">
        <f>(S117-V117)*V117*W117*0.024653*Y117/1000000</f>
        <v/>
      </c>
      <c r="AC117" s="599">
        <f>(S117-V117)*V117*W117*0.024653*Z117/1000000</f>
        <v/>
      </c>
      <c r="AD117" s="599">
        <f>AB117-AC117</f>
        <v/>
      </c>
      <c r="AE117" s="599" t="n"/>
      <c r="AF117" s="599" t="n">
        <v>0.173618</v>
      </c>
      <c r="AG117" s="599" t="n"/>
      <c r="AH117" s="599">
        <f>AB116-AF117</f>
        <v/>
      </c>
      <c r="AI117" s="118">
        <f>(AC117+AF117)/AB116</f>
        <v/>
      </c>
    </row>
    <row r="118" hidden="1" s="584">
      <c r="A118" s="594" t="n">
        <v>337</v>
      </c>
      <c r="B118" s="5" t="inlineStr">
        <is>
          <t>Hosur</t>
        </is>
      </c>
      <c r="C118" s="601" t="inlineStr">
        <is>
          <t>Marathwada</t>
        </is>
      </c>
      <c r="D118" s="601" t="n"/>
      <c r="E118" s="601" t="n">
        <v>189002</v>
      </c>
      <c r="F118" s="601" t="n">
        <v>3233556</v>
      </c>
      <c r="G118" s="601" t="inlineStr">
        <is>
          <t>TUB-R-AW-AUT-40.00X20.00X1.210X0.9400</t>
        </is>
      </c>
      <c r="H118" s="601" t="inlineStr">
        <is>
          <t>CRFH</t>
        </is>
      </c>
      <c r="I118" s="601" t="n"/>
      <c r="J118" s="601" t="inlineStr">
        <is>
          <t>PE</t>
        </is>
      </c>
      <c r="K118" s="601" t="inlineStr">
        <is>
          <t>CR</t>
        </is>
      </c>
      <c r="L118" s="601" t="n"/>
      <c r="M118" s="601" t="n"/>
      <c r="N118" s="601" t="n"/>
      <c r="O118" s="601" t="n"/>
      <c r="P118" s="557">
        <f>CONCATENATE(schedule13[[#This Row],[OD]],"-",schedule13[[#This Row],[ID]],"-",schedule13[[#This Row],[TICKNESS]],"-",schedule13[[#This Row],[GRADE]],"-",schedule13[[#This Row],[FC/NFC]])</f>
        <v/>
      </c>
      <c r="Q118" s="557" t="n"/>
      <c r="R118" s="557" t="n"/>
      <c r="S118" s="599" t="n">
        <v>38.1</v>
      </c>
      <c r="T118" s="599" t="n">
        <v>40</v>
      </c>
      <c r="U118" s="599" t="n">
        <v>20</v>
      </c>
      <c r="V118" s="599" t="n">
        <v>1.2</v>
      </c>
      <c r="W118" s="600" t="n">
        <v>940</v>
      </c>
      <c r="X118" s="600" t="n"/>
      <c r="Y118" s="601" t="n">
        <v>0</v>
      </c>
      <c r="Z118" s="601" t="n"/>
      <c r="AA118" s="602">
        <f>Y118-Z118</f>
        <v/>
      </c>
      <c r="AB118" s="599">
        <f>(S118-V118)*V118*W118*0.024653*Y118/1000000</f>
        <v/>
      </c>
      <c r="AC118" s="599">
        <f>(S118-V118)*V118*W118*0.024653*Z118/1000000</f>
        <v/>
      </c>
      <c r="AD118" s="599">
        <f>AB118-AC118</f>
        <v/>
      </c>
      <c r="AE118" s="599" t="n"/>
      <c r="AF118" s="599" t="n"/>
      <c r="AG118" s="599" t="n"/>
      <c r="AH118" s="599" t="n"/>
      <c r="AI118" s="118" t="n"/>
    </row>
    <row r="119" hidden="1" s="584">
      <c r="A119" s="594" t="n">
        <v>338</v>
      </c>
      <c r="B119" s="5" t="inlineStr">
        <is>
          <t>Hosur</t>
        </is>
      </c>
      <c r="C119" s="601" t="inlineStr">
        <is>
          <t>Marathwada</t>
        </is>
      </c>
      <c r="D119" s="601" t="n"/>
      <c r="E119" s="601" t="n">
        <v>189002</v>
      </c>
      <c r="F119" s="601" t="n">
        <v>3233557</v>
      </c>
      <c r="G119" s="601" t="inlineStr">
        <is>
          <t>TUB-R-AW-AUT-40.00X20.00X1.210X0.8000</t>
        </is>
      </c>
      <c r="H119" s="601" t="inlineStr">
        <is>
          <t>CRFH</t>
        </is>
      </c>
      <c r="I119" s="601" t="n"/>
      <c r="J119" s="601" t="inlineStr">
        <is>
          <t>PE</t>
        </is>
      </c>
      <c r="K119" s="601" t="inlineStr">
        <is>
          <t>CR</t>
        </is>
      </c>
      <c r="L119" s="601" t="n"/>
      <c r="M119" s="601" t="n"/>
      <c r="N119" s="601" t="n"/>
      <c r="O119" s="601" t="n"/>
      <c r="P119" s="557">
        <f>CONCATENATE(schedule13[[#This Row],[OD]],"-",schedule13[[#This Row],[ID]],"-",schedule13[[#This Row],[TICKNESS]],"-",schedule13[[#This Row],[GRADE]],"-",schedule13[[#This Row],[FC/NFC]])</f>
        <v/>
      </c>
      <c r="Q119" s="557" t="n"/>
      <c r="R119" s="557" t="n"/>
      <c r="S119" s="599" t="n">
        <v>38.1</v>
      </c>
      <c r="T119" s="599" t="n">
        <v>40</v>
      </c>
      <c r="U119" s="599" t="n">
        <v>20</v>
      </c>
      <c r="V119" s="599" t="n">
        <v>1.2</v>
      </c>
      <c r="W119" s="600" t="n">
        <v>800</v>
      </c>
      <c r="X119" s="600" t="n"/>
      <c r="Y119" s="601" t="n">
        <v>0</v>
      </c>
      <c r="Z119" s="601" t="n"/>
      <c r="AA119" s="602">
        <f>Y119-Z119</f>
        <v/>
      </c>
      <c r="AB119" s="599">
        <f>(S119-V119)*V119*W119*0.024653*Y119/1000000</f>
        <v/>
      </c>
      <c r="AC119" s="599">
        <f>(S119-V119)*V119*W119*0.024653*Z119/1000000</f>
        <v/>
      </c>
      <c r="AD119" s="599">
        <f>AB119-AC119</f>
        <v/>
      </c>
      <c r="AE119" s="599" t="n"/>
      <c r="AF119" s="599" t="n">
        <v>0.911212</v>
      </c>
      <c r="AG119" s="599" t="n"/>
      <c r="AH119" s="599">
        <f>AB118-AF119</f>
        <v/>
      </c>
      <c r="AI119" s="118">
        <f>(AC119+AF119)/AB118</f>
        <v/>
      </c>
    </row>
    <row r="120" hidden="1" s="584">
      <c r="A120" s="594" t="n">
        <v>339</v>
      </c>
      <c r="B120" s="5" t="inlineStr">
        <is>
          <t>Hosur</t>
        </is>
      </c>
      <c r="C120" s="601" t="inlineStr">
        <is>
          <t>Marathwada</t>
        </is>
      </c>
      <c r="D120" s="601" t="n"/>
      <c r="E120" s="601" t="n">
        <v>189002</v>
      </c>
      <c r="F120" s="601" t="n">
        <v>3230494</v>
      </c>
      <c r="G120" s="601" t="inlineStr">
        <is>
          <t>TUB-S-AW-AUT-19.00X19.00X1.000X1.3000</t>
        </is>
      </c>
      <c r="H120" s="601" t="inlineStr">
        <is>
          <t>CRFH</t>
        </is>
      </c>
      <c r="I120" s="601" t="n"/>
      <c r="J120" s="601" t="inlineStr">
        <is>
          <t>PE</t>
        </is>
      </c>
      <c r="K120" s="601" t="inlineStr">
        <is>
          <t>CR</t>
        </is>
      </c>
      <c r="L120" s="601" t="n"/>
      <c r="M120" s="601" t="n"/>
      <c r="N120" s="601" t="n"/>
      <c r="O120" s="601" t="n"/>
      <c r="P120" s="557">
        <f>CONCATENATE(schedule13[[#This Row],[OD]],"-",schedule13[[#This Row],[ID]],"-",schedule13[[#This Row],[TICKNESS]],"-",schedule13[[#This Row],[GRADE]],"-",schedule13[[#This Row],[FC/NFC]])</f>
        <v/>
      </c>
      <c r="Q120" s="557" t="n"/>
      <c r="R120" s="557" t="n"/>
      <c r="S120" s="599" t="n">
        <v>23.42</v>
      </c>
      <c r="T120" s="599" t="n">
        <v>19</v>
      </c>
      <c r="U120" s="599" t="n">
        <v>19</v>
      </c>
      <c r="V120" s="599" t="n">
        <v>1</v>
      </c>
      <c r="W120" s="600" t="n">
        <v>1300</v>
      </c>
      <c r="X120" s="600" t="n"/>
      <c r="Y120" s="601" t="n">
        <v>0</v>
      </c>
      <c r="Z120" s="601" t="n"/>
      <c r="AA120" s="602">
        <f>Y120-Z120</f>
        <v/>
      </c>
      <c r="AB120" s="599">
        <f>(S120-V120)*V120*W120*0.024653*Y120/1000000</f>
        <v/>
      </c>
      <c r="AC120" s="599">
        <f>(S120-V120)*V120*W120*0.024653*Z120/1000000</f>
        <v/>
      </c>
      <c r="AD120" s="599">
        <f>AB120-AC120</f>
        <v/>
      </c>
      <c r="AE120" s="599" t="n"/>
      <c r="AF120" s="599" t="n">
        <v>0.08991200000000001</v>
      </c>
      <c r="AG120" s="599" t="n"/>
      <c r="AH120" s="599">
        <f>AB119-AF120</f>
        <v/>
      </c>
      <c r="AI120" s="118">
        <f>(AC120+AF120)/AB119</f>
        <v/>
      </c>
    </row>
    <row r="121" hidden="1" s="584">
      <c r="A121" s="594" t="n">
        <v>340</v>
      </c>
      <c r="B121" s="5" t="inlineStr">
        <is>
          <t>Hosur</t>
        </is>
      </c>
      <c r="C121" s="601" t="inlineStr">
        <is>
          <t>Marathwada</t>
        </is>
      </c>
      <c r="D121" s="601" t="n"/>
      <c r="E121" s="601" t="n">
        <v>189002</v>
      </c>
      <c r="F121" s="601" t="n">
        <v>3230492</v>
      </c>
      <c r="G121" s="601" t="inlineStr">
        <is>
          <t>TUB-S-AW-AUT-19.00X19.00X1.000X0.8800</t>
        </is>
      </c>
      <c r="H121" s="601" t="inlineStr">
        <is>
          <t>CRFH</t>
        </is>
      </c>
      <c r="I121" s="601" t="n"/>
      <c r="J121" s="601" t="inlineStr">
        <is>
          <t>PE</t>
        </is>
      </c>
      <c r="K121" s="601" t="inlineStr">
        <is>
          <t>CR</t>
        </is>
      </c>
      <c r="L121" s="601" t="n"/>
      <c r="M121" s="601" t="n"/>
      <c r="N121" s="601" t="n"/>
      <c r="O121" s="601" t="n"/>
      <c r="P121" s="557">
        <f>CONCATENATE(schedule13[[#This Row],[OD]],"-",schedule13[[#This Row],[ID]],"-",schedule13[[#This Row],[TICKNESS]],"-",schedule13[[#This Row],[GRADE]],"-",schedule13[[#This Row],[FC/NFC]])</f>
        <v/>
      </c>
      <c r="Q121" s="557" t="n"/>
      <c r="R121" s="557" t="n"/>
      <c r="S121" s="599" t="n">
        <v>23.42</v>
      </c>
      <c r="T121" s="599" t="n">
        <v>19</v>
      </c>
      <c r="U121" s="599" t="n">
        <v>19</v>
      </c>
      <c r="V121" s="599" t="n">
        <v>1</v>
      </c>
      <c r="W121" s="600" t="n">
        <v>880</v>
      </c>
      <c r="X121" s="600" t="n"/>
      <c r="Y121" s="601" t="n">
        <v>0</v>
      </c>
      <c r="Z121" s="601" t="n"/>
      <c r="AA121" s="602">
        <f>Y121-Z121</f>
        <v/>
      </c>
      <c r="AB121" s="599">
        <f>(S121-V121)*V121*W121*0.024653*Y121/1000000</f>
        <v/>
      </c>
      <c r="AC121" s="599">
        <f>(S121-V121)*V121*W121*0.024653*Z121/1000000</f>
        <v/>
      </c>
      <c r="AD121" s="599">
        <f>AB121-AC121</f>
        <v/>
      </c>
      <c r="AE121" s="599" t="n"/>
      <c r="AF121" s="599" t="n">
        <v>0.06244</v>
      </c>
      <c r="AG121" s="599" t="n"/>
      <c r="AH121" s="599">
        <f>AB120-AF121</f>
        <v/>
      </c>
      <c r="AI121" s="118">
        <f>(AC121+AF121)/AB120</f>
        <v/>
      </c>
    </row>
    <row r="122" hidden="1" s="584">
      <c r="A122" s="594" t="n">
        <v>341</v>
      </c>
      <c r="B122" s="5" t="inlineStr">
        <is>
          <t>Hosur</t>
        </is>
      </c>
      <c r="C122" s="601" t="inlineStr">
        <is>
          <t>Marathwada</t>
        </is>
      </c>
      <c r="D122" s="601" t="n"/>
      <c r="E122" s="601" t="n">
        <v>189002</v>
      </c>
      <c r="F122" s="601" t="n">
        <v>3605739</v>
      </c>
      <c r="G122" s="601" t="inlineStr">
        <is>
          <t>TUB-S-AW-AUT-19.00X19.00X1.010X0.8710</t>
        </is>
      </c>
      <c r="H122" s="601" t="inlineStr">
        <is>
          <t>CRFH</t>
        </is>
      </c>
      <c r="I122" s="601" t="n"/>
      <c r="J122" s="601" t="inlineStr">
        <is>
          <t>PE</t>
        </is>
      </c>
      <c r="K122" s="601" t="inlineStr">
        <is>
          <t>CR</t>
        </is>
      </c>
      <c r="L122" s="601" t="n"/>
      <c r="M122" s="601" t="n"/>
      <c r="N122" s="601" t="n"/>
      <c r="O122" s="601" t="n"/>
      <c r="P122" s="557">
        <f>CONCATENATE(schedule13[[#This Row],[OD]],"-",schedule13[[#This Row],[ID]],"-",schedule13[[#This Row],[TICKNESS]],"-",schedule13[[#This Row],[GRADE]],"-",schedule13[[#This Row],[FC/NFC]])</f>
        <v/>
      </c>
      <c r="Q122" s="557" t="n"/>
      <c r="R122" s="557" t="n"/>
      <c r="S122" s="599" t="n">
        <v>23.42</v>
      </c>
      <c r="T122" s="599" t="n">
        <v>19</v>
      </c>
      <c r="U122" s="599" t="n">
        <v>19</v>
      </c>
      <c r="V122" s="599" t="n">
        <v>1</v>
      </c>
      <c r="W122" s="600" t="n">
        <v>871</v>
      </c>
      <c r="X122" s="600" t="n"/>
      <c r="Y122" s="601" t="n">
        <v>0</v>
      </c>
      <c r="Z122" s="601" t="n"/>
      <c r="AA122" s="602">
        <f>Y122-Z122</f>
        <v/>
      </c>
      <c r="AB122" s="599">
        <f>(S122-V122)*V122*W122*0.024653*Y122/1000000</f>
        <v/>
      </c>
      <c r="AC122" s="599">
        <f>(S122-V122)*V122*W122*0.024653*Z122/1000000</f>
        <v/>
      </c>
      <c r="AD122" s="599">
        <f>AB122-AC122</f>
        <v/>
      </c>
      <c r="AE122" s="599" t="n"/>
      <c r="AF122" s="599" t="n">
        <v>0.112</v>
      </c>
      <c r="AG122" s="599" t="n"/>
      <c r="AH122" s="599">
        <f>AB121-AF122</f>
        <v/>
      </c>
      <c r="AI122" s="118">
        <f>(AC122+AF122)/AB121</f>
        <v/>
      </c>
    </row>
    <row r="123" hidden="1" s="584">
      <c r="A123" s="594" t="n">
        <v>342</v>
      </c>
      <c r="B123" s="5" t="inlineStr">
        <is>
          <t>Hosur</t>
        </is>
      </c>
      <c r="C123" s="601" t="inlineStr">
        <is>
          <t>Marathwada</t>
        </is>
      </c>
      <c r="D123" s="601" t="n"/>
      <c r="E123" s="601" t="n">
        <v>189002</v>
      </c>
      <c r="F123" s="601" t="n">
        <v>3230485</v>
      </c>
      <c r="G123" s="601" t="inlineStr">
        <is>
          <t>TUB-S-AW-AUT-19.00X19.00X1.000X0.8400</t>
        </is>
      </c>
      <c r="H123" s="601" t="inlineStr">
        <is>
          <t>CRFH</t>
        </is>
      </c>
      <c r="I123" s="601" t="n"/>
      <c r="J123" s="601" t="inlineStr">
        <is>
          <t>PE</t>
        </is>
      </c>
      <c r="K123" s="601" t="inlineStr">
        <is>
          <t>CR</t>
        </is>
      </c>
      <c r="L123" s="601" t="n"/>
      <c r="M123" s="601" t="n"/>
      <c r="N123" s="601" t="n"/>
      <c r="O123" s="601" t="n"/>
      <c r="P123" s="557">
        <f>CONCATENATE(schedule13[[#This Row],[OD]],"-",schedule13[[#This Row],[ID]],"-",schedule13[[#This Row],[TICKNESS]],"-",schedule13[[#This Row],[GRADE]],"-",schedule13[[#This Row],[FC/NFC]])</f>
        <v/>
      </c>
      <c r="Q123" s="557" t="n"/>
      <c r="R123" s="557" t="n"/>
      <c r="S123" s="599" t="n">
        <v>23.42</v>
      </c>
      <c r="T123" s="599" t="n">
        <v>19</v>
      </c>
      <c r="U123" s="599" t="n">
        <v>19</v>
      </c>
      <c r="V123" s="599" t="n">
        <v>1</v>
      </c>
      <c r="W123" s="600" t="n">
        <v>840</v>
      </c>
      <c r="X123" s="600" t="n"/>
      <c r="Y123" s="601" t="n">
        <v>0</v>
      </c>
      <c r="Z123" s="601" t="n"/>
      <c r="AA123" s="602">
        <f>Y123-Z123</f>
        <v/>
      </c>
      <c r="AB123" s="599">
        <f>(S123-V123)*V123*W123*0.024653*Y123/1000000</f>
        <v/>
      </c>
      <c r="AC123" s="599">
        <f>(S123-V123)*V123*W123*0.024653*Z123/1000000</f>
        <v/>
      </c>
      <c r="AD123" s="599">
        <f>AB123-AC123</f>
        <v/>
      </c>
      <c r="AE123" s="599" t="n"/>
      <c r="AF123" s="599" t="n"/>
      <c r="AG123" s="599" t="n"/>
      <c r="AH123" s="599">
        <f>AB122-AF123</f>
        <v/>
      </c>
      <c r="AI123" s="118">
        <f>(AC123+AF123)/AB122</f>
        <v/>
      </c>
    </row>
    <row r="124" hidden="1" s="584">
      <c r="A124" s="594" t="n">
        <v>343</v>
      </c>
      <c r="B124" s="5" t="inlineStr">
        <is>
          <t>Hosur</t>
        </is>
      </c>
      <c r="C124" s="601" t="inlineStr">
        <is>
          <t>Marathwada</t>
        </is>
      </c>
      <c r="D124" s="601" t="n"/>
      <c r="E124" s="601" t="n">
        <v>189002</v>
      </c>
      <c r="F124" s="601" t="n">
        <v>3605740</v>
      </c>
      <c r="G124" s="601" t="inlineStr">
        <is>
          <t>TUB-S-AW-AUT-19.00X19.00X1.010X0.6750</t>
        </is>
      </c>
      <c r="H124" s="601" t="inlineStr">
        <is>
          <t>CRFH</t>
        </is>
      </c>
      <c r="I124" s="601" t="n"/>
      <c r="J124" s="601" t="inlineStr">
        <is>
          <t>PE</t>
        </is>
      </c>
      <c r="K124" s="601" t="inlineStr">
        <is>
          <t>CR</t>
        </is>
      </c>
      <c r="L124" s="601" t="n"/>
      <c r="M124" s="601" t="n"/>
      <c r="N124" s="601" t="n"/>
      <c r="O124" s="601" t="n"/>
      <c r="P124" s="557">
        <f>CONCATENATE(schedule13[[#This Row],[OD]],"-",schedule13[[#This Row],[ID]],"-",schedule13[[#This Row],[TICKNESS]],"-",schedule13[[#This Row],[GRADE]],"-",schedule13[[#This Row],[FC/NFC]])</f>
        <v/>
      </c>
      <c r="Q124" s="557" t="n"/>
      <c r="R124" s="557" t="n"/>
      <c r="S124" s="599" t="n">
        <v>23.42</v>
      </c>
      <c r="T124" s="599" t="n">
        <v>19</v>
      </c>
      <c r="U124" s="599" t="n">
        <v>19</v>
      </c>
      <c r="V124" s="599" t="n">
        <v>1</v>
      </c>
      <c r="W124" s="600" t="n">
        <v>675</v>
      </c>
      <c r="X124" s="600" t="n"/>
      <c r="Y124" s="601" t="n">
        <v>0</v>
      </c>
      <c r="Z124" s="601" t="n"/>
      <c r="AA124" s="602">
        <f>Y124-Z124</f>
        <v/>
      </c>
      <c r="AB124" s="599">
        <f>(S124-V124)*V124*W124*0.024653*Y124/1000000</f>
        <v/>
      </c>
      <c r="AC124" s="599">
        <f>(S124-V124)*V124*W124*0.024653*Z124/1000000</f>
        <v/>
      </c>
      <c r="AD124" s="599">
        <f>AB124-AC124</f>
        <v/>
      </c>
      <c r="AE124" s="599" t="n"/>
      <c r="AF124" s="599" t="n">
        <v>0.11557</v>
      </c>
      <c r="AG124" s="599" t="n"/>
      <c r="AH124" s="599">
        <f>AB123-AF124</f>
        <v/>
      </c>
      <c r="AI124" s="118">
        <f>(AC124+AF124)/AB123</f>
        <v/>
      </c>
    </row>
    <row r="125" hidden="1" s="584">
      <c r="A125" s="594" t="n">
        <v>344</v>
      </c>
      <c r="B125" s="5" t="inlineStr">
        <is>
          <t>Hosur</t>
        </is>
      </c>
      <c r="C125" s="601" t="inlineStr">
        <is>
          <t>Marathwada</t>
        </is>
      </c>
      <c r="D125" s="601" t="n"/>
      <c r="E125" s="601" t="n">
        <v>189002</v>
      </c>
      <c r="F125" s="601" t="n">
        <v>3230488</v>
      </c>
      <c r="G125" s="601" t="inlineStr">
        <is>
          <t>TUB-S-AW-AUT-19.00X19.00X1.000X0.4700</t>
        </is>
      </c>
      <c r="H125" s="601" t="inlineStr">
        <is>
          <t>CRFH</t>
        </is>
      </c>
      <c r="I125" s="601" t="n"/>
      <c r="J125" s="601" t="inlineStr">
        <is>
          <t>PE</t>
        </is>
      </c>
      <c r="K125" s="601" t="inlineStr">
        <is>
          <t>CR</t>
        </is>
      </c>
      <c r="L125" s="601" t="n"/>
      <c r="M125" s="601" t="n"/>
      <c r="N125" s="601" t="n"/>
      <c r="O125" s="601" t="n"/>
      <c r="P125" s="557">
        <f>CONCATENATE(schedule13[[#This Row],[OD]],"-",schedule13[[#This Row],[ID]],"-",schedule13[[#This Row],[TICKNESS]],"-",schedule13[[#This Row],[GRADE]],"-",schedule13[[#This Row],[FC/NFC]])</f>
        <v/>
      </c>
      <c r="Q125" s="557" t="n"/>
      <c r="R125" s="557" t="n"/>
      <c r="S125" s="599" t="n">
        <v>23.42</v>
      </c>
      <c r="T125" s="599" t="n">
        <v>19</v>
      </c>
      <c r="U125" s="599" t="n">
        <v>19</v>
      </c>
      <c r="V125" s="599" t="n">
        <v>1</v>
      </c>
      <c r="W125" s="600" t="n">
        <v>470</v>
      </c>
      <c r="X125" s="600" t="n"/>
      <c r="Y125" s="601" t="n">
        <v>0</v>
      </c>
      <c r="Z125" s="601" t="n"/>
      <c r="AA125" s="602">
        <f>Y125-Z125</f>
        <v/>
      </c>
      <c r="AB125" s="599">
        <f>(S125-V125)*V125*W125*0.024653*Y125/1000000</f>
        <v/>
      </c>
      <c r="AC125" s="599">
        <f>(S125-V125)*V125*W125*0.024653*Z125/1000000</f>
        <v/>
      </c>
      <c r="AD125" s="599">
        <f>AB125-AC125</f>
        <v/>
      </c>
      <c r="AE125" s="599" t="n"/>
      <c r="AF125" s="599" t="n">
        <v>0.350127</v>
      </c>
      <c r="AG125" s="599" t="n"/>
      <c r="AH125" s="599">
        <f>AB124-AF125</f>
        <v/>
      </c>
      <c r="AI125" s="118">
        <f>(AC125+AF125)/AB124</f>
        <v/>
      </c>
    </row>
    <row r="126" hidden="1" s="584">
      <c r="A126" s="594" t="n">
        <v>345</v>
      </c>
      <c r="B126" s="5" t="inlineStr">
        <is>
          <t>Hosur</t>
        </is>
      </c>
      <c r="C126" s="601" t="inlineStr">
        <is>
          <t>Marathwada</t>
        </is>
      </c>
      <c r="D126" s="601" t="n"/>
      <c r="E126" s="601" t="n">
        <v>189002</v>
      </c>
      <c r="F126" s="601" t="n">
        <v>3234371</v>
      </c>
      <c r="G126" s="601" t="inlineStr">
        <is>
          <t>TUB-S-AW-AUT-19.00X19.00X1.000X0.4620</t>
        </is>
      </c>
      <c r="H126" s="601" t="inlineStr">
        <is>
          <t>CRFH</t>
        </is>
      </c>
      <c r="I126" s="601" t="n"/>
      <c r="J126" s="601" t="inlineStr">
        <is>
          <t>PE</t>
        </is>
      </c>
      <c r="K126" s="601" t="inlineStr">
        <is>
          <t>CR</t>
        </is>
      </c>
      <c r="L126" s="601" t="n"/>
      <c r="M126" s="601" t="n"/>
      <c r="N126" s="601" t="n"/>
      <c r="O126" s="601" t="n"/>
      <c r="P126" s="557">
        <f>CONCATENATE(schedule13[[#This Row],[OD]],"-",schedule13[[#This Row],[ID]],"-",schedule13[[#This Row],[TICKNESS]],"-",schedule13[[#This Row],[GRADE]],"-",schedule13[[#This Row],[FC/NFC]])</f>
        <v/>
      </c>
      <c r="Q126" s="557" t="n"/>
      <c r="R126" s="557" t="n"/>
      <c r="S126" s="599" t="n">
        <v>23.42</v>
      </c>
      <c r="T126" s="599" t="n">
        <v>19</v>
      </c>
      <c r="U126" s="599" t="n">
        <v>19</v>
      </c>
      <c r="V126" s="599" t="n">
        <v>1</v>
      </c>
      <c r="W126" s="600" t="n">
        <v>462</v>
      </c>
      <c r="X126" s="600" t="n"/>
      <c r="Y126" s="601" t="n">
        <v>0</v>
      </c>
      <c r="Z126" s="601" t="n"/>
      <c r="AA126" s="602">
        <f>Y126-Z126</f>
        <v/>
      </c>
      <c r="AB126" s="599">
        <f>(S126-V126)*V126*W126*0.024653*Y126/1000000</f>
        <v/>
      </c>
      <c r="AC126" s="599">
        <f>(S126-V126)*V126*W126*0.024653*Z126/1000000</f>
        <v/>
      </c>
      <c r="AD126" s="599">
        <f>AB126-AC126</f>
        <v/>
      </c>
      <c r="AE126" s="599" t="n"/>
      <c r="AF126" s="599" t="n"/>
      <c r="AG126" s="599" t="n"/>
      <c r="AH126" s="599">
        <f>AB125-AF126</f>
        <v/>
      </c>
      <c r="AI126" s="118">
        <f>(AC126+AF126)/AB125</f>
        <v/>
      </c>
    </row>
    <row r="127" hidden="1" s="584">
      <c r="A127" s="594" t="n">
        <v>346</v>
      </c>
      <c r="B127" s="5" t="inlineStr">
        <is>
          <t>Hosur</t>
        </is>
      </c>
      <c r="C127" s="601" t="inlineStr">
        <is>
          <t>Marathwada</t>
        </is>
      </c>
      <c r="D127" s="601" t="n"/>
      <c r="E127" s="601" t="n">
        <v>189002</v>
      </c>
      <c r="F127" s="601" t="n">
        <v>3230487</v>
      </c>
      <c r="G127" s="601" t="inlineStr">
        <is>
          <t>TUB-S-AW-AUT-19.00X19.00X1.000X0.4000</t>
        </is>
      </c>
      <c r="H127" s="601" t="inlineStr">
        <is>
          <t>CRFH</t>
        </is>
      </c>
      <c r="I127" s="601" t="n"/>
      <c r="J127" s="601" t="inlineStr">
        <is>
          <t>PE</t>
        </is>
      </c>
      <c r="K127" s="601" t="inlineStr">
        <is>
          <t>CR</t>
        </is>
      </c>
      <c r="L127" s="601" t="n"/>
      <c r="M127" s="601" t="n"/>
      <c r="N127" s="601" t="n"/>
      <c r="O127" s="601" t="n"/>
      <c r="P127" s="557">
        <f>CONCATENATE(schedule13[[#This Row],[OD]],"-",schedule13[[#This Row],[ID]],"-",schedule13[[#This Row],[TICKNESS]],"-",schedule13[[#This Row],[GRADE]],"-",schedule13[[#This Row],[FC/NFC]])</f>
        <v/>
      </c>
      <c r="Q127" s="557" t="n"/>
      <c r="R127" s="557" t="n"/>
      <c r="S127" s="599" t="n">
        <v>23.42</v>
      </c>
      <c r="T127" s="599" t="n">
        <v>19</v>
      </c>
      <c r="U127" s="599" t="n">
        <v>19</v>
      </c>
      <c r="V127" s="599" t="n">
        <v>1</v>
      </c>
      <c r="W127" s="600" t="n">
        <v>400</v>
      </c>
      <c r="X127" s="600" t="n"/>
      <c r="Y127" s="601" t="n">
        <v>0</v>
      </c>
      <c r="Z127" s="601" t="n"/>
      <c r="AA127" s="602">
        <f>Y127-Z127</f>
        <v/>
      </c>
      <c r="AB127" s="599">
        <f>(S127-V127)*V127*W127*0.024653*Y127/1000000</f>
        <v/>
      </c>
      <c r="AC127" s="599">
        <f>(S127-V127)*V127*W127*0.024653*Z127/1000000</f>
        <v/>
      </c>
      <c r="AD127" s="599">
        <f>AB127-AC127</f>
        <v/>
      </c>
      <c r="AE127" s="599" t="n"/>
      <c r="AF127" s="599" t="n">
        <v>0.7789999999999999</v>
      </c>
      <c r="AG127" s="599" t="n"/>
      <c r="AH127" s="599">
        <f>AB126-AF127</f>
        <v/>
      </c>
      <c r="AI127" s="118">
        <f>(AC127+AF127)/AB126</f>
        <v/>
      </c>
    </row>
    <row r="128" hidden="1" s="584">
      <c r="A128" s="594" t="n">
        <v>347</v>
      </c>
      <c r="B128" s="78" t="inlineStr">
        <is>
          <t>Hosur</t>
        </is>
      </c>
      <c r="C128" s="596" t="inlineStr">
        <is>
          <t>Marathwada</t>
        </is>
      </c>
      <c r="D128" s="557" t="n"/>
      <c r="E128" s="596" t="n">
        <v>189002</v>
      </c>
      <c r="F128" s="596" t="n">
        <v>3432217</v>
      </c>
      <c r="G128" s="596" t="inlineStr">
        <is>
          <t>TUB-S-AW-AUT-19.00X19.00X1.210X0.3300</t>
        </is>
      </c>
      <c r="H128" s="596" t="inlineStr">
        <is>
          <t>CRFH</t>
        </is>
      </c>
      <c r="I128" s="599" t="n"/>
      <c r="J128" s="596" t="inlineStr">
        <is>
          <t>PE</t>
        </is>
      </c>
      <c r="K128" s="599" t="n"/>
      <c r="L128" s="599" t="n"/>
      <c r="M128" s="600" t="n"/>
      <c r="N128" s="601" t="n"/>
      <c r="O128" s="601" t="n"/>
      <c r="P128" s="557">
        <f>CONCATENATE(schedule13[[#This Row],[OD]],"-",schedule13[[#This Row],[ID]],"-",schedule13[[#This Row],[TICKNESS]],"-",schedule13[[#This Row],[GRADE]],"-",schedule13[[#This Row],[FC/NFC]])</f>
        <v/>
      </c>
      <c r="Q128" s="557" t="n"/>
      <c r="R128" s="557" t="n"/>
      <c r="S128" s="79" t="n">
        <v>23.42</v>
      </c>
      <c r="T128" s="79" t="n">
        <v>19</v>
      </c>
      <c r="U128" s="79" t="n">
        <v>19</v>
      </c>
      <c r="V128" s="79" t="n">
        <v>1</v>
      </c>
      <c r="W128" s="81" t="n">
        <v>330</v>
      </c>
      <c r="X128" s="81" t="n"/>
      <c r="Y128" s="601" t="n">
        <v>0</v>
      </c>
      <c r="Z128" s="558" t="n"/>
      <c r="AA128" s="573">
        <f>Y128-Z128</f>
        <v/>
      </c>
      <c r="AB128" s="561">
        <f>(S128-V128)*V128*W128*0.024653*Y128/1000000</f>
        <v/>
      </c>
      <c r="AC128" s="599">
        <f>(S128-V128)*V128*W128*0.024653*Z128/1000000</f>
        <v/>
      </c>
      <c r="AD128" s="599">
        <f>AB128-AC128</f>
        <v/>
      </c>
      <c r="AE128" s="599" t="n"/>
      <c r="AF128" s="599" t="n"/>
      <c r="AG128" s="599" t="n"/>
      <c r="AH128" s="599" t="n"/>
      <c r="AI128" s="118" t="n"/>
    </row>
    <row r="129" hidden="1" s="584">
      <c r="A129" s="594" t="n">
        <v>348</v>
      </c>
      <c r="B129" s="5" t="inlineStr">
        <is>
          <t>Hosur</t>
        </is>
      </c>
      <c r="C129" s="601" t="inlineStr">
        <is>
          <t>Marathwada</t>
        </is>
      </c>
      <c r="D129" s="601" t="n"/>
      <c r="E129" s="601" t="n">
        <v>189002</v>
      </c>
      <c r="F129" s="601" t="n">
        <v>3233560</v>
      </c>
      <c r="G129" s="601" t="inlineStr">
        <is>
          <t>TUB-S-AW-AUT-19.00X19.00X1.000X0.8750</t>
        </is>
      </c>
      <c r="H129" s="601" t="inlineStr">
        <is>
          <t>CRFH</t>
        </is>
      </c>
      <c r="I129" s="601" t="n"/>
      <c r="J129" s="601" t="n"/>
      <c r="K129" s="601" t="inlineStr">
        <is>
          <t>HR</t>
        </is>
      </c>
      <c r="L129" s="601" t="n"/>
      <c r="M129" s="601" t="n"/>
      <c r="N129" s="601" t="n"/>
      <c r="O129" s="601" t="n"/>
      <c r="P129" s="557">
        <f>CONCATENATE(schedule13[[#This Row],[OD]],"-",schedule13[[#This Row],[ID]],"-",schedule13[[#This Row],[TICKNESS]],"-",schedule13[[#This Row],[GRADE]],"-",schedule13[[#This Row],[FC/NFC]])</f>
        <v/>
      </c>
      <c r="Q129" s="557" t="n"/>
      <c r="R129" s="557" t="n"/>
      <c r="S129" s="599" t="n">
        <v>23.42</v>
      </c>
      <c r="T129" s="599" t="n">
        <v>19</v>
      </c>
      <c r="U129" s="599" t="n">
        <v>19</v>
      </c>
      <c r="V129" s="599" t="n">
        <v>1</v>
      </c>
      <c r="W129" s="600" t="n">
        <v>875</v>
      </c>
      <c r="X129" s="600" t="n"/>
      <c r="Y129" s="601" t="n">
        <v>0</v>
      </c>
      <c r="Z129" s="601" t="n"/>
      <c r="AA129" s="602">
        <f>Y129-Z129</f>
        <v/>
      </c>
      <c r="AB129" s="599">
        <f>(S129-V129)*V129*W129*0.024653*Y129/1000000</f>
        <v/>
      </c>
      <c r="AC129" s="599">
        <f>(S129-V129)*V129*W129*0.024653*Z129/1000000</f>
        <v/>
      </c>
      <c r="AD129" s="599">
        <f>AB129-AC129</f>
        <v/>
      </c>
      <c r="AE129" s="599" t="n"/>
      <c r="AF129" s="599" t="n">
        <v>0.20478</v>
      </c>
      <c r="AG129" s="599" t="n"/>
      <c r="AH129" s="599">
        <f>AB127-AF129</f>
        <v/>
      </c>
      <c r="AI129" s="118">
        <f>(AC129+AF129)/AB127</f>
        <v/>
      </c>
    </row>
    <row r="130" hidden="1" s="584">
      <c r="A130" s="594" t="n">
        <v>349</v>
      </c>
      <c r="B130" s="5" t="inlineStr">
        <is>
          <t>Hosur</t>
        </is>
      </c>
      <c r="C130" s="601" t="inlineStr">
        <is>
          <t>Marathwada</t>
        </is>
      </c>
      <c r="D130" s="601" t="n"/>
      <c r="E130" s="601" t="n">
        <v>189002</v>
      </c>
      <c r="F130" s="601" t="n">
        <v>3230491</v>
      </c>
      <c r="G130" s="601" t="inlineStr">
        <is>
          <t>TUB-S-AW-AUT-19.00X19.00X1.000X0.6820</t>
        </is>
      </c>
      <c r="H130" s="601" t="inlineStr">
        <is>
          <t>CRFH</t>
        </is>
      </c>
      <c r="I130" s="601" t="n"/>
      <c r="J130" s="601" t="n"/>
      <c r="K130" s="601" t="inlineStr">
        <is>
          <t>HR</t>
        </is>
      </c>
      <c r="L130" s="601" t="n"/>
      <c r="M130" s="601" t="n"/>
      <c r="N130" s="601" t="n"/>
      <c r="O130" s="601" t="n"/>
      <c r="P130" s="557">
        <f>CONCATENATE(schedule13[[#This Row],[OD]],"-",schedule13[[#This Row],[ID]],"-",schedule13[[#This Row],[TICKNESS]],"-",schedule13[[#This Row],[GRADE]],"-",schedule13[[#This Row],[FC/NFC]])</f>
        <v/>
      </c>
      <c r="Q130" s="557" t="n"/>
      <c r="R130" s="557" t="n"/>
      <c r="S130" s="599" t="n">
        <v>23.42</v>
      </c>
      <c r="T130" s="599" t="n">
        <v>19</v>
      </c>
      <c r="U130" s="599" t="n">
        <v>19</v>
      </c>
      <c r="V130" s="599" t="n">
        <v>1</v>
      </c>
      <c r="W130" s="600" t="n">
        <v>682</v>
      </c>
      <c r="X130" s="600" t="n"/>
      <c r="Y130" s="601" t="n">
        <v>0</v>
      </c>
      <c r="Z130" s="601" t="n"/>
      <c r="AA130" s="602">
        <f>Y130-Z130</f>
        <v/>
      </c>
      <c r="AB130" s="599">
        <f>(S130-V130)*V130*W130*0.024653*Y130/1000000</f>
        <v/>
      </c>
      <c r="AC130" s="599">
        <f>(S130-V130)*V130*W130*0.024653*Z130/1000000</f>
        <v/>
      </c>
      <c r="AD130" s="599">
        <f>AB130-AC130</f>
        <v/>
      </c>
      <c r="AE130" s="599" t="n"/>
      <c r="AF130" s="599" t="n"/>
      <c r="AG130" s="599" t="n"/>
      <c r="AH130" s="599">
        <f>AB129-AF130</f>
        <v/>
      </c>
      <c r="AI130" s="118">
        <f>(AC130+AF130)/AB129</f>
        <v/>
      </c>
    </row>
    <row r="131" hidden="1" s="584">
      <c r="A131" s="594" t="n">
        <v>350</v>
      </c>
      <c r="B131" s="5" t="inlineStr">
        <is>
          <t>Hosur</t>
        </is>
      </c>
      <c r="C131" s="601" t="inlineStr">
        <is>
          <t>Marathwada</t>
        </is>
      </c>
      <c r="D131" s="601" t="n"/>
      <c r="E131" s="601" t="n">
        <v>189002</v>
      </c>
      <c r="F131" s="601" t="n">
        <v>3230490</v>
      </c>
      <c r="G131" s="601" t="inlineStr">
        <is>
          <t>TUB-S-AW-AUT-19.00X19.00X1.000X0.3550</t>
        </is>
      </c>
      <c r="H131" s="601" t="inlineStr">
        <is>
          <t>CRFH</t>
        </is>
      </c>
      <c r="I131" s="601" t="n"/>
      <c r="J131" s="601" t="inlineStr">
        <is>
          <t>PE</t>
        </is>
      </c>
      <c r="K131" s="601" t="inlineStr">
        <is>
          <t>CR</t>
        </is>
      </c>
      <c r="L131" s="601" t="n"/>
      <c r="M131" s="601" t="n"/>
      <c r="N131" s="601" t="n"/>
      <c r="O131" s="601" t="n"/>
      <c r="P131" s="557">
        <f>CONCATENATE(schedule13[[#This Row],[OD]],"-",schedule13[[#This Row],[ID]],"-",schedule13[[#This Row],[TICKNESS]],"-",schedule13[[#This Row],[GRADE]],"-",schedule13[[#This Row],[FC/NFC]])</f>
        <v/>
      </c>
      <c r="Q131" s="557" t="n"/>
      <c r="R131" s="557" t="n"/>
      <c r="S131" s="599" t="n">
        <v>23.42</v>
      </c>
      <c r="T131" s="599" t="n">
        <v>19</v>
      </c>
      <c r="U131" s="599" t="n">
        <v>19</v>
      </c>
      <c r="V131" s="599" t="n">
        <v>1</v>
      </c>
      <c r="W131" s="600" t="n">
        <v>355</v>
      </c>
      <c r="X131" s="600" t="n"/>
      <c r="Y131" s="601" t="n">
        <v>0</v>
      </c>
      <c r="Z131" s="601" t="n"/>
      <c r="AA131" s="602">
        <f>Y131-Z131</f>
        <v/>
      </c>
      <c r="AB131" s="599">
        <f>(S131-V131)*V131*W131*0.024653*Y131/1000000</f>
        <v/>
      </c>
      <c r="AC131" s="599">
        <f>(S131-V131)*V131*W131*0.024653*Z131/1000000</f>
        <v/>
      </c>
      <c r="AD131" s="599">
        <f>AB131-AC131</f>
        <v/>
      </c>
      <c r="AE131" s="599" t="n"/>
      <c r="AF131" s="599" t="n">
        <v>0.283</v>
      </c>
      <c r="AG131" s="599" t="n"/>
      <c r="AH131" s="599">
        <f>AB130-AF131</f>
        <v/>
      </c>
      <c r="AI131" s="118">
        <f>(AC131+AF131)/AB130</f>
        <v/>
      </c>
    </row>
    <row r="132" hidden="1" s="584">
      <c r="A132" s="594" t="n">
        <v>351</v>
      </c>
      <c r="B132" s="5" t="inlineStr">
        <is>
          <t>Hosur</t>
        </is>
      </c>
      <c r="C132" s="601" t="inlineStr">
        <is>
          <t>Marathwada</t>
        </is>
      </c>
      <c r="D132" s="601" t="n"/>
      <c r="E132" s="601" t="n">
        <v>189002</v>
      </c>
      <c r="F132" s="601" t="n">
        <v>3230484</v>
      </c>
      <c r="G132" s="601" t="inlineStr">
        <is>
          <t>TUB-S-AW-AUT-25.00X25.00X1.200X1.2460</t>
        </is>
      </c>
      <c r="H132" s="601" t="inlineStr">
        <is>
          <t>CRFH</t>
        </is>
      </c>
      <c r="I132" s="601" t="n"/>
      <c r="J132" s="601" t="inlineStr">
        <is>
          <t>PE</t>
        </is>
      </c>
      <c r="K132" s="601" t="inlineStr">
        <is>
          <t>CR</t>
        </is>
      </c>
      <c r="L132" s="601" t="n"/>
      <c r="M132" s="601" t="n"/>
      <c r="N132" s="601" t="n"/>
      <c r="O132" s="601" t="n"/>
      <c r="P132" s="557">
        <f>CONCATENATE(schedule13[[#This Row],[OD]],"-",schedule13[[#This Row],[ID]],"-",schedule13[[#This Row],[TICKNESS]],"-",schedule13[[#This Row],[GRADE]],"-",schedule13[[#This Row],[FC/NFC]])</f>
        <v/>
      </c>
      <c r="Q132" s="557" t="n"/>
      <c r="R132" s="557" t="n"/>
      <c r="S132" s="599" t="n">
        <v>31.75</v>
      </c>
      <c r="T132" s="599" t="n">
        <v>25</v>
      </c>
      <c r="U132" s="599" t="n">
        <v>25</v>
      </c>
      <c r="V132" s="599" t="n">
        <v>1.2</v>
      </c>
      <c r="W132" s="600" t="n">
        <v>1246</v>
      </c>
      <c r="X132" s="600" t="n"/>
      <c r="Y132" s="601" t="n">
        <v>0</v>
      </c>
      <c r="Z132" s="601" t="n"/>
      <c r="AA132" s="602">
        <f>Y132-Z132</f>
        <v/>
      </c>
      <c r="AB132" s="599">
        <f>(S132-V132)*V132*W132*0.024653*Y132/1000000</f>
        <v/>
      </c>
      <c r="AC132" s="599">
        <f>(S132-V132)*V132*W132*0.024653*Z132/1000000</f>
        <v/>
      </c>
      <c r="AD132" s="599">
        <f>AB132-AC132</f>
        <v/>
      </c>
      <c r="AE132" s="599" t="n"/>
      <c r="AF132" s="599" t="n">
        <v>0.08685899999999999</v>
      </c>
      <c r="AG132" s="599" t="n"/>
      <c r="AH132" s="599">
        <f>AB131-AF132</f>
        <v/>
      </c>
      <c r="AI132" s="118">
        <f>(AC132+AF132)/AB131</f>
        <v/>
      </c>
    </row>
    <row r="133" hidden="1" s="584">
      <c r="A133" s="594" t="n">
        <v>352</v>
      </c>
      <c r="B133" s="5" t="inlineStr">
        <is>
          <t>Hosur</t>
        </is>
      </c>
      <c r="C133" s="601" t="inlineStr">
        <is>
          <t>Marathwada</t>
        </is>
      </c>
      <c r="D133" s="601" t="n"/>
      <c r="E133" s="601" t="n">
        <v>189002</v>
      </c>
      <c r="F133" s="601" t="n">
        <v>3230482</v>
      </c>
      <c r="G133" s="601" t="inlineStr">
        <is>
          <t>TUB-S-AW-AUT-25.00X25.00X1.200X0.7870</t>
        </is>
      </c>
      <c r="H133" s="601" t="inlineStr">
        <is>
          <t>CRFH</t>
        </is>
      </c>
      <c r="I133" s="601" t="n"/>
      <c r="J133" s="601" t="inlineStr">
        <is>
          <t>PE</t>
        </is>
      </c>
      <c r="K133" s="601" t="inlineStr">
        <is>
          <t>CR</t>
        </is>
      </c>
      <c r="L133" s="601" t="n"/>
      <c r="M133" s="601" t="n"/>
      <c r="N133" s="601" t="n"/>
      <c r="O133" s="601" t="n"/>
      <c r="P133" s="557">
        <f>CONCATENATE(schedule13[[#This Row],[OD]],"-",schedule13[[#This Row],[ID]],"-",schedule13[[#This Row],[TICKNESS]],"-",schedule13[[#This Row],[GRADE]],"-",schedule13[[#This Row],[FC/NFC]])</f>
        <v/>
      </c>
      <c r="Q133" s="557" t="n"/>
      <c r="R133" s="557" t="n"/>
      <c r="S133" s="599" t="n">
        <v>31.75</v>
      </c>
      <c r="T133" s="599" t="n">
        <v>25</v>
      </c>
      <c r="U133" s="599" t="n">
        <v>25</v>
      </c>
      <c r="V133" s="599" t="n">
        <v>1.2</v>
      </c>
      <c r="W133" s="600" t="n">
        <v>787</v>
      </c>
      <c r="X133" s="600" t="n"/>
      <c r="Y133" s="601" t="n">
        <v>0</v>
      </c>
      <c r="Z133" s="601" t="n"/>
      <c r="AA133" s="602">
        <f>Y133-Z133</f>
        <v/>
      </c>
      <c r="AB133" s="599">
        <f>(S133-V133)*V133*W133*0.024653*Y133/1000000</f>
        <v/>
      </c>
      <c r="AC133" s="599">
        <f>(S133-V133)*V133*W133*0.024653*Z133/1000000</f>
        <v/>
      </c>
      <c r="AD133" s="599">
        <f>AB133-AC133</f>
        <v/>
      </c>
      <c r="AE133" s="599" t="n"/>
      <c r="AF133" s="599" t="n">
        <v>0.156473</v>
      </c>
      <c r="AG133" s="599" t="n"/>
      <c r="AH133" s="599">
        <f>AB132-AF133</f>
        <v/>
      </c>
      <c r="AI133" s="118">
        <f>(AC133+AF133)/AB132</f>
        <v/>
      </c>
    </row>
    <row r="134" hidden="1" s="584">
      <c r="A134" s="594" t="n">
        <v>353</v>
      </c>
      <c r="B134" s="5" t="inlineStr">
        <is>
          <t>Hosur</t>
        </is>
      </c>
      <c r="C134" s="601" t="inlineStr">
        <is>
          <t>Marathwada</t>
        </is>
      </c>
      <c r="D134" s="601" t="n"/>
      <c r="E134" s="601" t="n">
        <v>189002</v>
      </c>
      <c r="F134" s="601" t="n">
        <v>3230483</v>
      </c>
      <c r="G134" s="601" t="inlineStr">
        <is>
          <t>TUB-S-AW-AUT-25.00X25.00X1.200X0.3300</t>
        </is>
      </c>
      <c r="H134" s="601" t="inlineStr">
        <is>
          <t>CRFH</t>
        </is>
      </c>
      <c r="I134" s="601" t="n"/>
      <c r="J134" s="601" t="inlineStr">
        <is>
          <t>PE</t>
        </is>
      </c>
      <c r="K134" s="601" t="inlineStr">
        <is>
          <t>CR</t>
        </is>
      </c>
      <c r="L134" s="601" t="n"/>
      <c r="M134" s="601" t="n"/>
      <c r="N134" s="601" t="n"/>
      <c r="O134" s="601" t="n"/>
      <c r="P134" s="557">
        <f>CONCATENATE(schedule13[[#This Row],[OD]],"-",schedule13[[#This Row],[ID]],"-",schedule13[[#This Row],[TICKNESS]],"-",schedule13[[#This Row],[GRADE]],"-",schedule13[[#This Row],[FC/NFC]])</f>
        <v/>
      </c>
      <c r="Q134" s="557" t="n"/>
      <c r="R134" s="557" t="n"/>
      <c r="S134" s="599" t="n">
        <v>31.75</v>
      </c>
      <c r="T134" s="599" t="n">
        <v>25</v>
      </c>
      <c r="U134" s="599" t="n">
        <v>25</v>
      </c>
      <c r="V134" s="599" t="n">
        <v>1.2</v>
      </c>
      <c r="W134" s="600" t="n">
        <v>330</v>
      </c>
      <c r="X134" s="600" t="n"/>
      <c r="Y134" s="601" t="n">
        <v>0</v>
      </c>
      <c r="Z134" s="601" t="n"/>
      <c r="AA134" s="602">
        <f>Y134-Z134</f>
        <v/>
      </c>
      <c r="AB134" s="599">
        <f>(S134-V134)*V134*W134*0.024653*Y134/1000000</f>
        <v/>
      </c>
      <c r="AC134" s="599">
        <f>(S134-V134)*V134*W134*0.024653*Z134/1000000</f>
        <v/>
      </c>
      <c r="AD134" s="599">
        <f>AB134-AC134</f>
        <v/>
      </c>
      <c r="AE134" s="599" t="n"/>
      <c r="AF134" s="599" t="n">
        <v>0.349</v>
      </c>
      <c r="AG134" s="599" t="n"/>
      <c r="AH134" s="599">
        <f>AB133-AF134</f>
        <v/>
      </c>
      <c r="AI134" s="118">
        <f>(AC134+AF134)/AB133</f>
        <v/>
      </c>
    </row>
    <row r="135" hidden="1" s="584">
      <c r="A135" s="594" t="n">
        <v>354</v>
      </c>
      <c r="B135" s="5" t="inlineStr">
        <is>
          <t>Hosur</t>
        </is>
      </c>
      <c r="C135" s="601" t="inlineStr">
        <is>
          <t>Marathwada</t>
        </is>
      </c>
      <c r="D135" s="601" t="n"/>
      <c r="E135" s="601" t="n">
        <v>189002</v>
      </c>
      <c r="F135" s="601" t="n">
        <v>3230495</v>
      </c>
      <c r="G135" s="601" t="inlineStr">
        <is>
          <t>TUB-S-AW-AUT-30.00X30.00X1.200X0.2200</t>
        </is>
      </c>
      <c r="H135" s="601" t="inlineStr">
        <is>
          <t>CRFH</t>
        </is>
      </c>
      <c r="I135" s="601" t="n"/>
      <c r="J135" s="601" t="inlineStr">
        <is>
          <t>PE</t>
        </is>
      </c>
      <c r="K135" s="601" t="inlineStr">
        <is>
          <t>CR</t>
        </is>
      </c>
      <c r="L135" s="601" t="n"/>
      <c r="M135" s="601" t="n"/>
      <c r="N135" s="601" t="n"/>
      <c r="O135" s="601" t="n"/>
      <c r="P135" s="557">
        <f>CONCATENATE(schedule13[[#This Row],[OD]],"-",schedule13[[#This Row],[ID]],"-",schedule13[[#This Row],[TICKNESS]],"-",schedule13[[#This Row],[GRADE]],"-",schedule13[[#This Row],[FC/NFC]])</f>
        <v/>
      </c>
      <c r="Q135" s="557" t="n"/>
      <c r="R135" s="557" t="n"/>
      <c r="S135" s="599" t="n">
        <v>38.1</v>
      </c>
      <c r="T135" s="599" t="n">
        <v>30</v>
      </c>
      <c r="U135" s="599" t="n">
        <v>30</v>
      </c>
      <c r="V135" s="599" t="n">
        <v>1.2</v>
      </c>
      <c r="W135" s="600" t="n">
        <v>220</v>
      </c>
      <c r="X135" s="600" t="n"/>
      <c r="Y135" s="601" t="n">
        <v>0</v>
      </c>
      <c r="Z135" s="601" t="n"/>
      <c r="AA135" s="602">
        <f>Y135-Z135</f>
        <v/>
      </c>
      <c r="AB135" s="599">
        <f>(S135-V135)*V135*W135*0.024653*Y135/1000000</f>
        <v/>
      </c>
      <c r="AC135" s="599">
        <f>(S135-V135)*V135*W135*0.024653*Z135/1000000</f>
        <v/>
      </c>
      <c r="AD135" s="599">
        <f>AB135-AC135</f>
        <v/>
      </c>
      <c r="AE135" s="599" t="n"/>
      <c r="AF135" s="599" t="n"/>
      <c r="AG135" s="599" t="n"/>
      <c r="AH135" s="599">
        <f>AB134-AF135</f>
        <v/>
      </c>
      <c r="AI135" s="118">
        <f>(AC135+AF135)/AB134</f>
        <v/>
      </c>
    </row>
    <row r="136" hidden="1" s="584">
      <c r="A136" s="594" t="n">
        <v>355</v>
      </c>
      <c r="B136" s="5" t="inlineStr">
        <is>
          <t xml:space="preserve">Khopoli </t>
        </is>
      </c>
      <c r="C136" s="601" t="inlineStr">
        <is>
          <t>Marathwada</t>
        </is>
      </c>
      <c r="D136" s="601" t="n"/>
      <c r="E136" s="601" t="n">
        <v>189002</v>
      </c>
      <c r="F136" s="601" t="n">
        <v>1938125</v>
      </c>
      <c r="G136" s="601" t="inlineStr">
        <is>
          <t>TUB-I-C-AUT-AN-FC-39.00X34.00X0.2720</t>
        </is>
      </c>
      <c r="H136" s="601" t="inlineStr">
        <is>
          <t>CEW</t>
        </is>
      </c>
      <c r="I136" s="601" t="n"/>
      <c r="J136" s="601" t="inlineStr">
        <is>
          <t>CEW</t>
        </is>
      </c>
      <c r="K136" s="601" t="inlineStr">
        <is>
          <t>HR</t>
        </is>
      </c>
      <c r="L136" s="601" t="n"/>
      <c r="M136" s="601" t="inlineStr">
        <is>
          <t>Chamferring</t>
        </is>
      </c>
      <c r="N136" s="601" t="n"/>
      <c r="O136" s="601" t="n"/>
      <c r="P136" s="557">
        <f>CONCATENATE(schedule13[[#This Row],[OD]],"-",schedule13[[#This Row],[ID]],"-",schedule13[[#This Row],[TICKNESS]],"-",schedule13[[#This Row],[GRADE]],"-",schedule13[[#This Row],[FC/NFC]])</f>
        <v/>
      </c>
      <c r="Q136" s="557">
        <f>_xlfn.CONCAT(schedule13[[#This Row],[Bucket]],"-",schedule13[[#This Row],[LENGTH]]/1000)</f>
        <v/>
      </c>
      <c r="R136" s="557">
        <f>COUNTIF(buckets[CTL Bucket],schedule13[[#This Row],[CTL Bucket]])</f>
        <v/>
      </c>
      <c r="S136" s="599" t="n">
        <v>39</v>
      </c>
      <c r="T136" s="599" t="n">
        <v>39</v>
      </c>
      <c r="U136" s="599" t="n">
        <v>34</v>
      </c>
      <c r="V136" s="599" t="n">
        <v>2.5</v>
      </c>
      <c r="W136" s="600" t="n">
        <v>272</v>
      </c>
      <c r="X136" s="22" t="inlineStr">
        <is>
          <t>NOS</t>
        </is>
      </c>
      <c r="Y136" s="601" t="n">
        <v>0</v>
      </c>
      <c r="Z136" s="601" t="n"/>
      <c r="AA136" s="602">
        <f>Y136-Z136</f>
        <v/>
      </c>
      <c r="AB136" s="599">
        <f>(S136-V136)*V136*W136*0.024653*Y136/1000000</f>
        <v/>
      </c>
      <c r="AC136" s="599">
        <f>(S136-V136)*V136*W136*0.024653*Z136/1000000</f>
        <v/>
      </c>
      <c r="AD136" s="599">
        <f>AB136-AC136</f>
        <v/>
      </c>
      <c r="AE136" s="599" t="n"/>
      <c r="AF136" s="599" t="n">
        <v>0.152786</v>
      </c>
      <c r="AG136" s="599" t="n"/>
      <c r="AH136" s="599">
        <f>AB135-AF136</f>
        <v/>
      </c>
      <c r="AI136" s="118">
        <f>(AC136+AF136)/AB135</f>
        <v/>
      </c>
    </row>
    <row r="137" hidden="1" s="584">
      <c r="A137" s="594" t="n">
        <v>356</v>
      </c>
      <c r="B137" s="5" t="inlineStr">
        <is>
          <t xml:space="preserve">Khopoli </t>
        </is>
      </c>
      <c r="C137" s="601" t="inlineStr">
        <is>
          <t>Marathwada</t>
        </is>
      </c>
      <c r="D137" s="601" t="n"/>
      <c r="E137" s="601" t="n">
        <v>189002</v>
      </c>
      <c r="F137" s="601" t="n">
        <v>2359755</v>
      </c>
      <c r="G137" s="601" t="inlineStr">
        <is>
          <t>TUB-O-C-AUT-AD-FC-30.00X2.250X0.4850</t>
        </is>
      </c>
      <c r="H137" s="601" t="inlineStr">
        <is>
          <t>CEW</t>
        </is>
      </c>
      <c r="I137" s="601" t="n"/>
      <c r="J137" s="601" t="inlineStr">
        <is>
          <t>CEW</t>
        </is>
      </c>
      <c r="K137" s="601" t="inlineStr">
        <is>
          <t>HR</t>
        </is>
      </c>
      <c r="L137" s="601" t="n"/>
      <c r="M137" s="601" t="inlineStr">
        <is>
          <t>Chamferring</t>
        </is>
      </c>
      <c r="N137" s="601" t="n"/>
      <c r="O137" s="601" t="n"/>
      <c r="P137" s="557">
        <f>CONCATENATE(schedule13[[#This Row],[OD]],"-",schedule13[[#This Row],[ID]],"-",schedule13[[#This Row],[TICKNESS]],"-",schedule13[[#This Row],[GRADE]],"-",schedule13[[#This Row],[FC/NFC]])</f>
        <v/>
      </c>
      <c r="Q137" s="557">
        <f>_xlfn.CONCAT(schedule13[[#This Row],[Bucket]],"-",schedule13[[#This Row],[LENGTH]]/1000)</f>
        <v/>
      </c>
      <c r="R137" s="557">
        <f>COUNTIF(buckets[CTL Bucket],schedule13[[#This Row],[CTL Bucket]])</f>
        <v/>
      </c>
      <c r="S137" s="599" t="n">
        <v>30.15</v>
      </c>
      <c r="T137" s="599" t="n">
        <v>30</v>
      </c>
      <c r="U137" s="599" t="n">
        <v>25.5</v>
      </c>
      <c r="V137" s="599" t="n">
        <v>2.25</v>
      </c>
      <c r="W137" s="600" t="n">
        <v>485</v>
      </c>
      <c r="X137" s="22" t="inlineStr">
        <is>
          <t>NOS</t>
        </is>
      </c>
      <c r="Y137" s="601" t="n">
        <v>0</v>
      </c>
      <c r="Z137" s="601" t="n"/>
      <c r="AA137" s="602">
        <f>Y137-Z137</f>
        <v/>
      </c>
      <c r="AB137" s="599">
        <f>(S137-V137)*V137*W137*0.024653*Y137/1000000</f>
        <v/>
      </c>
      <c r="AC137" s="599">
        <f>(S137-V137)*V137*W137*0.024653*Z137/1000000</f>
        <v/>
      </c>
      <c r="AD137" s="599">
        <f>AB137-AC137</f>
        <v/>
      </c>
      <c r="AE137" s="599" t="n"/>
      <c r="AF137" s="599" t="n">
        <v>1.23071</v>
      </c>
      <c r="AG137" s="599" t="n"/>
      <c r="AH137" s="599">
        <f>AB136-AF137</f>
        <v/>
      </c>
      <c r="AI137" s="118">
        <f>(AC137+AF137)/AB136</f>
        <v/>
      </c>
    </row>
    <row r="138" hidden="1" s="584">
      <c r="A138" s="594" t="n">
        <v>357</v>
      </c>
      <c r="B138" s="5" t="inlineStr">
        <is>
          <t xml:space="preserve">Khopoli </t>
        </is>
      </c>
      <c r="C138" s="601" t="inlineStr">
        <is>
          <t>Marathwada</t>
        </is>
      </c>
      <c r="D138" s="601" t="n"/>
      <c r="E138" s="601" t="n">
        <v>189002</v>
      </c>
      <c r="F138" s="601" t="n">
        <v>1939544</v>
      </c>
      <c r="G138" s="601" t="inlineStr">
        <is>
          <t>TUB-O-C-CEW-AD-FC-25.40X2.500X0.2170</t>
        </is>
      </c>
      <c r="H138" s="601" t="inlineStr">
        <is>
          <t>CEW</t>
        </is>
      </c>
      <c r="I138" s="601" t="n"/>
      <c r="J138" s="601" t="inlineStr">
        <is>
          <t>CEW</t>
        </is>
      </c>
      <c r="K138" s="601" t="inlineStr">
        <is>
          <t>HR</t>
        </is>
      </c>
      <c r="L138" s="601" t="n"/>
      <c r="M138" s="601" t="n"/>
      <c r="N138" s="601" t="n"/>
      <c r="O138" s="601" t="n"/>
      <c r="P138" s="557">
        <f>CONCATENATE(schedule13[[#This Row],[OD]],"-",schedule13[[#This Row],[ID]],"-",schedule13[[#This Row],[TICKNESS]],"-",schedule13[[#This Row],[GRADE]],"-",schedule13[[#This Row],[FC/NFC]])</f>
        <v/>
      </c>
      <c r="Q138" s="557" t="n"/>
      <c r="R138" s="557" t="n"/>
      <c r="S138" s="599" t="n">
        <v>25.4</v>
      </c>
      <c r="T138" s="599" t="n">
        <v>25.4</v>
      </c>
      <c r="U138" s="599" t="n">
        <v>0</v>
      </c>
      <c r="V138" s="599" t="n">
        <v>2.5</v>
      </c>
      <c r="W138" s="600" t="n">
        <v>217</v>
      </c>
      <c r="X138" s="600" t="n"/>
      <c r="Y138" s="601" t="n">
        <v>0</v>
      </c>
      <c r="Z138" s="601" t="n"/>
      <c r="AA138" s="602">
        <f>Y138-Z138</f>
        <v/>
      </c>
      <c r="AB138" s="599">
        <f>(S138-V138)*V138*W138*0.024653*Y138/1000000</f>
        <v/>
      </c>
      <c r="AC138" s="599">
        <f>(S138-V138)*V138*W138*0.024653*Z138/1000000</f>
        <v/>
      </c>
      <c r="AD138" s="599">
        <f>AB138-AC138</f>
        <v/>
      </c>
      <c r="AE138" s="599" t="n"/>
      <c r="AF138" s="599" t="n">
        <v>4.3706</v>
      </c>
      <c r="AG138" s="599" t="n"/>
      <c r="AH138" s="599">
        <f>AB137-AF138</f>
        <v/>
      </c>
      <c r="AI138" s="118">
        <f>(AC138+AF138)/AB137</f>
        <v/>
      </c>
    </row>
    <row r="139" hidden="1" s="584">
      <c r="A139" s="594" t="n">
        <v>358</v>
      </c>
      <c r="B139" s="5" t="inlineStr">
        <is>
          <t>Hosur</t>
        </is>
      </c>
      <c r="C139" s="601" t="inlineStr">
        <is>
          <t>Marathwada</t>
        </is>
      </c>
      <c r="D139" s="601" t="n"/>
      <c r="E139" s="601" t="n">
        <v>189002</v>
      </c>
      <c r="F139" s="601" t="n">
        <v>3438761</v>
      </c>
      <c r="G139" s="601" t="inlineStr">
        <is>
          <t>TUB-R-AW-AUT-40.00X25.00X1.600X0.5140</t>
        </is>
      </c>
      <c r="H139" s="601" t="inlineStr">
        <is>
          <t>ERW 1</t>
        </is>
      </c>
      <c r="I139" s="601" t="n"/>
      <c r="J139" s="601" t="inlineStr">
        <is>
          <t>FC</t>
        </is>
      </c>
      <c r="K139" s="601" t="inlineStr">
        <is>
          <t>CR</t>
        </is>
      </c>
      <c r="L139" s="596" t="inlineStr">
        <is>
          <t>HROP</t>
        </is>
      </c>
      <c r="M139" s="601" t="n"/>
      <c r="N139" s="601" t="n"/>
      <c r="O139" s="601" t="n"/>
      <c r="P139" s="557">
        <f>CONCATENATE(schedule13[[#This Row],[OD]],"-",schedule13[[#This Row],[ID]],"-",schedule13[[#This Row],[TICKNESS]],"-",schedule13[[#This Row],[GRADE]],"-",schedule13[[#This Row],[FC/NFC]])</f>
        <v/>
      </c>
      <c r="Q139" s="557" t="n"/>
      <c r="R139" s="557" t="n"/>
      <c r="S139" s="599" t="n">
        <v>41.28</v>
      </c>
      <c r="T139" s="599" t="n">
        <v>40</v>
      </c>
      <c r="U139" s="599" t="n">
        <v>25</v>
      </c>
      <c r="V139" s="599" t="n">
        <v>1.6</v>
      </c>
      <c r="W139" s="600" t="n">
        <v>514</v>
      </c>
      <c r="X139" s="600" t="n"/>
      <c r="Y139" s="601" t="n">
        <v>0</v>
      </c>
      <c r="Z139" s="601" t="n"/>
      <c r="AA139" s="602">
        <f>Y139-Z139</f>
        <v/>
      </c>
      <c r="AB139" s="599">
        <f>(S139-V139)*V139*W139*0.024653*Y139/1000000</f>
        <v/>
      </c>
      <c r="AC139" s="599">
        <f>(S139-V139)*V139*W139*0.024653*Z139/1000000</f>
        <v/>
      </c>
      <c r="AD139" s="599">
        <f>AB139-AC139</f>
        <v/>
      </c>
      <c r="AE139" s="599" t="n"/>
      <c r="AF139" s="599" t="n">
        <v>0.30275</v>
      </c>
      <c r="AG139" s="599" t="n"/>
      <c r="AH139" s="599">
        <f>AB138-AF139</f>
        <v/>
      </c>
      <c r="AI139" s="118">
        <f>(AC139+AF139)/AB138</f>
        <v/>
      </c>
    </row>
    <row r="140" hidden="1" s="584">
      <c r="A140" s="594" t="n">
        <v>359</v>
      </c>
      <c r="B140" s="5" t="inlineStr">
        <is>
          <t>Hosur</t>
        </is>
      </c>
      <c r="C140" s="601" t="inlineStr">
        <is>
          <t>Marathwada</t>
        </is>
      </c>
      <c r="D140" s="601" t="n"/>
      <c r="E140" s="601" t="n">
        <v>189002</v>
      </c>
      <c r="F140" s="601" t="n">
        <v>1940807</v>
      </c>
      <c r="G140" s="601" t="inlineStr">
        <is>
          <t>TUB-R-AW-RHS-40.00X20.00X1.210X6.0000</t>
        </is>
      </c>
      <c r="H140" s="601" t="inlineStr">
        <is>
          <t>CRFH</t>
        </is>
      </c>
      <c r="I140" s="601" t="n"/>
      <c r="J140" s="601" t="inlineStr">
        <is>
          <t>PE</t>
        </is>
      </c>
      <c r="K140" s="601" t="inlineStr">
        <is>
          <t>CR</t>
        </is>
      </c>
      <c r="L140" s="601" t="n"/>
      <c r="M140" s="601" t="n"/>
      <c r="N140" s="601" t="n"/>
      <c r="O140" s="601" t="n"/>
      <c r="P140" s="557">
        <f>CONCATENATE(schedule13[[#This Row],[OD]],"-",schedule13[[#This Row],[ID]],"-",schedule13[[#This Row],[TICKNESS]],"-",schedule13[[#This Row],[GRADE]],"-",schedule13[[#This Row],[FC/NFC]])</f>
        <v/>
      </c>
      <c r="Q140" s="557" t="n"/>
      <c r="R140" s="557" t="n"/>
      <c r="S140" s="599" t="n">
        <v>38.1</v>
      </c>
      <c r="T140" s="599" t="n">
        <v>40</v>
      </c>
      <c r="U140" s="599" t="n">
        <v>20</v>
      </c>
      <c r="V140" s="599" t="n">
        <v>1.2</v>
      </c>
      <c r="W140" s="600" t="n">
        <v>6000</v>
      </c>
      <c r="X140" s="600" t="n"/>
      <c r="Y140" s="601" t="n">
        <v>0</v>
      </c>
      <c r="Z140" s="601" t="n"/>
      <c r="AA140" s="602">
        <f>Y140-Z140</f>
        <v/>
      </c>
      <c r="AB140" s="599">
        <f>(S140-V140)*V140*W140*0.024653*Y140/1000000</f>
        <v/>
      </c>
      <c r="AC140" s="599">
        <f>(S140-V140)*V140*W140*0.024653*Z140/1000000</f>
        <v/>
      </c>
      <c r="AD140" s="599">
        <f>AB140-AC140</f>
        <v/>
      </c>
      <c r="AE140" s="599" t="n"/>
      <c r="AF140" s="599" t="n"/>
      <c r="AG140" s="599" t="n"/>
      <c r="AH140" s="599" t="n"/>
      <c r="AI140" s="118" t="n"/>
    </row>
    <row r="141" hidden="1" s="584">
      <c r="A141" s="594" t="n">
        <v>360</v>
      </c>
      <c r="B141" s="5" t="inlineStr">
        <is>
          <t xml:space="preserve">Khopoli </t>
        </is>
      </c>
      <c r="C141" s="601" t="inlineStr">
        <is>
          <t>Marathwada</t>
        </is>
      </c>
      <c r="D141" s="601" t="n"/>
      <c r="E141" s="601" t="n">
        <v>189002</v>
      </c>
      <c r="F141" s="601" t="n">
        <v>3784540</v>
      </c>
      <c r="G141" s="601" t="inlineStr">
        <is>
          <t>PT3-O-N-AUT-AW-FC-38.10X3.660X0.2010</t>
        </is>
      </c>
      <c r="H141" s="601" t="inlineStr">
        <is>
          <t>ERW 1</t>
        </is>
      </c>
      <c r="I141" s="601" t="n"/>
      <c r="J141" s="601" t="inlineStr">
        <is>
          <t>FC</t>
        </is>
      </c>
      <c r="K141" s="601" t="inlineStr">
        <is>
          <t>HR</t>
        </is>
      </c>
      <c r="L141" s="601" t="n"/>
      <c r="M141" s="601" t="n"/>
      <c r="N141" s="601" t="n"/>
      <c r="O141" s="601" t="n"/>
      <c r="P141" s="557">
        <f>CONCATENATE(schedule13[[#This Row],[OD]],"-",schedule13[[#This Row],[ID]],"-",schedule13[[#This Row],[TICKNESS]],"-",schedule13[[#This Row],[GRADE]],"-",schedule13[[#This Row],[FC/NFC]])</f>
        <v/>
      </c>
      <c r="Q141" s="557" t="n"/>
      <c r="R141" s="557" t="n"/>
      <c r="S141" s="599" t="n">
        <v>38.1</v>
      </c>
      <c r="T141" s="599" t="n">
        <v>38.1</v>
      </c>
      <c r="U141" s="599" t="n">
        <v>0</v>
      </c>
      <c r="V141" s="599" t="n">
        <v>3.66</v>
      </c>
      <c r="W141" s="600" t="n">
        <v>201</v>
      </c>
      <c r="X141" s="600" t="n"/>
      <c r="Y141" s="601" t="n">
        <v>0</v>
      </c>
      <c r="Z141" s="601" t="n"/>
      <c r="AA141" s="602">
        <f>Y141-Z141</f>
        <v/>
      </c>
      <c r="AB141" s="599">
        <f>(S141-V141)*V141*W141*0.024653*Y141/1000000</f>
        <v/>
      </c>
      <c r="AC141" s="599">
        <f>(S141-V141)*V141*W141*0.024653*Z141/1000000</f>
        <v/>
      </c>
      <c r="AD141" s="599">
        <f>AB141-AC141</f>
        <v/>
      </c>
      <c r="AE141" s="599" t="n"/>
      <c r="AF141" s="599" t="n">
        <v>3.644035</v>
      </c>
      <c r="AG141" s="599" t="n"/>
      <c r="AH141" s="599">
        <f>AB140-AF141</f>
        <v/>
      </c>
      <c r="AI141" s="118">
        <f>(AC141+AF141)/AB140</f>
        <v/>
      </c>
    </row>
    <row r="142" hidden="1" s="584">
      <c r="A142" s="594" t="n">
        <v>361</v>
      </c>
      <c r="B142" s="5" t="inlineStr">
        <is>
          <t>Hosur</t>
        </is>
      </c>
      <c r="C142" s="601" t="inlineStr">
        <is>
          <t>Marathwada</t>
        </is>
      </c>
      <c r="D142" s="601" t="n"/>
      <c r="E142" s="601" t="n">
        <v>189002</v>
      </c>
      <c r="F142" s="601" t="n">
        <v>3597713</v>
      </c>
      <c r="G142" s="601" t="inlineStr">
        <is>
          <t>TUB-R-AW-AUT-40.00X20.00X1.200X5.2600</t>
        </is>
      </c>
      <c r="H142" s="601" t="inlineStr">
        <is>
          <t>CRFH</t>
        </is>
      </c>
      <c r="I142" s="601" t="n"/>
      <c r="J142" s="601" t="n"/>
      <c r="K142" s="601" t="inlineStr">
        <is>
          <t>HR</t>
        </is>
      </c>
      <c r="L142" s="601" t="n"/>
      <c r="M142" s="601" t="n"/>
      <c r="N142" s="601" t="n"/>
      <c r="O142" s="601" t="n"/>
      <c r="P142" s="557">
        <f>CONCATENATE(schedule13[[#This Row],[OD]],"-",schedule13[[#This Row],[ID]],"-",schedule13[[#This Row],[TICKNESS]],"-",schedule13[[#This Row],[GRADE]],"-",schedule13[[#This Row],[FC/NFC]])</f>
        <v/>
      </c>
      <c r="Q142" s="557" t="n"/>
      <c r="R142" s="557" t="n"/>
      <c r="S142" s="599" t="n">
        <v>38.1</v>
      </c>
      <c r="T142" s="599" t="n">
        <v>40</v>
      </c>
      <c r="U142" s="599" t="n">
        <v>20</v>
      </c>
      <c r="V142" s="599" t="n">
        <v>1.2</v>
      </c>
      <c r="W142" s="600" t="n">
        <v>5260</v>
      </c>
      <c r="X142" s="600" t="n"/>
      <c r="Y142" s="601" t="n">
        <v>0</v>
      </c>
      <c r="Z142" s="601" t="n"/>
      <c r="AA142" s="602">
        <f>Y142-Z142</f>
        <v/>
      </c>
      <c r="AB142" s="599">
        <f>(S142-V142)*V142*W142*0.024653*Y142/1000000</f>
        <v/>
      </c>
      <c r="AC142" s="599">
        <f>(S142-V142)*V142*W142*0.024653*Z142/1000000</f>
        <v/>
      </c>
      <c r="AD142" s="599">
        <f>AB142-AC142</f>
        <v/>
      </c>
      <c r="AE142" s="599" t="n"/>
      <c r="AF142" s="599" t="n"/>
      <c r="AG142" s="599" t="n"/>
      <c r="AH142" s="599" t="n"/>
      <c r="AI142" s="118" t="n"/>
    </row>
    <row r="143" hidden="1" s="584">
      <c r="A143" s="594" t="n">
        <v>362</v>
      </c>
      <c r="B143" s="5" t="inlineStr">
        <is>
          <t>Hosur</t>
        </is>
      </c>
      <c r="C143" s="601" t="inlineStr">
        <is>
          <t>Marathwada</t>
        </is>
      </c>
      <c r="D143" s="601" t="n"/>
      <c r="E143" s="601" t="n">
        <v>189002</v>
      </c>
      <c r="F143" s="601" t="n">
        <v>1940852</v>
      </c>
      <c r="G143" s="601" t="inlineStr">
        <is>
          <t>TUB-S-AW-SHS-40.00X40.00X1.200X6.0000</t>
        </is>
      </c>
      <c r="H143" s="601" t="inlineStr">
        <is>
          <t>CRFH</t>
        </is>
      </c>
      <c r="I143" s="601" t="n"/>
      <c r="J143" s="601" t="inlineStr">
        <is>
          <t>PE</t>
        </is>
      </c>
      <c r="K143" s="601" t="inlineStr">
        <is>
          <t>CR</t>
        </is>
      </c>
      <c r="L143" s="601" t="n"/>
      <c r="M143" s="601" t="n"/>
      <c r="N143" s="601" t="n"/>
      <c r="O143" s="601" t="n"/>
      <c r="P143" s="557">
        <f>CONCATENATE(schedule13[[#This Row],[OD]],"-",schedule13[[#This Row],[ID]],"-",schedule13[[#This Row],[TICKNESS]],"-",schedule13[[#This Row],[GRADE]],"-",schedule13[[#This Row],[FC/NFC]])</f>
        <v/>
      </c>
      <c r="Q143" s="557" t="n"/>
      <c r="R143" s="557" t="n"/>
      <c r="S143" s="599" t="n">
        <v>50.8</v>
      </c>
      <c r="T143" s="599" t="n">
        <v>40</v>
      </c>
      <c r="U143" s="599" t="n">
        <v>40</v>
      </c>
      <c r="V143" s="599" t="n">
        <v>1.2</v>
      </c>
      <c r="W143" s="600" t="n">
        <v>6000</v>
      </c>
      <c r="X143" s="600" t="n"/>
      <c r="Y143" s="601" t="n">
        <v>0</v>
      </c>
      <c r="Z143" s="601" t="n"/>
      <c r="AA143" s="602">
        <f>Y143-Z143</f>
        <v/>
      </c>
      <c r="AB143" s="599">
        <f>(S143-V143)*V143*W143*0.024653*Y143/1000000</f>
        <v/>
      </c>
      <c r="AC143" s="599">
        <f>(S143-V143)*V143*W143*0.024653*Z143/1000000</f>
        <v/>
      </c>
      <c r="AD143" s="599">
        <f>AB143-AC143</f>
        <v/>
      </c>
      <c r="AE143" s="599" t="n"/>
      <c r="AF143" s="599" t="n"/>
      <c r="AG143" s="599" t="n"/>
      <c r="AH143" s="599">
        <f>AB142-AF143</f>
        <v/>
      </c>
      <c r="AI143" s="118">
        <f>(AC143+AF143)/AB142</f>
        <v/>
      </c>
    </row>
    <row r="144" hidden="1" s="584">
      <c r="A144" s="594" t="n">
        <v>363</v>
      </c>
      <c r="B144" s="5" t="inlineStr">
        <is>
          <t>Hosur</t>
        </is>
      </c>
      <c r="C144" s="601" t="inlineStr">
        <is>
          <t>Marathwada</t>
        </is>
      </c>
      <c r="D144" s="601" t="n"/>
      <c r="E144" s="601" t="n">
        <v>189002</v>
      </c>
      <c r="F144" s="601" t="n">
        <v>3786202</v>
      </c>
      <c r="G144" s="601" t="inlineStr">
        <is>
          <t>TUB-R-AW-RHS-40.00X25.00X1.600X0.5870</t>
        </is>
      </c>
      <c r="H144" s="601" t="inlineStr">
        <is>
          <t>ERW 1</t>
        </is>
      </c>
      <c r="I144" s="601" t="n"/>
      <c r="J144" s="601" t="inlineStr">
        <is>
          <t>FC</t>
        </is>
      </c>
      <c r="K144" s="601" t="inlineStr">
        <is>
          <t>CR</t>
        </is>
      </c>
      <c r="L144" s="596" t="inlineStr">
        <is>
          <t>KGR2</t>
        </is>
      </c>
      <c r="M144" s="601" t="n"/>
      <c r="N144" s="601" t="n"/>
      <c r="O144" s="601" t="n"/>
      <c r="P144" s="557">
        <f>CONCATENATE(schedule13[[#This Row],[OD]],"-",schedule13[[#This Row],[ID]],"-",schedule13[[#This Row],[TICKNESS]],"-",schedule13[[#This Row],[GRADE]],"-",schedule13[[#This Row],[FC/NFC]])</f>
        <v/>
      </c>
      <c r="Q144" s="557" t="n"/>
      <c r="R144" s="557" t="n"/>
      <c r="S144" s="599" t="n">
        <v>41.28</v>
      </c>
      <c r="T144" s="599" t="n">
        <v>40</v>
      </c>
      <c r="U144" s="599" t="n">
        <v>25</v>
      </c>
      <c r="V144" s="599" t="n">
        <v>1.6</v>
      </c>
      <c r="W144" s="600" t="n">
        <v>587</v>
      </c>
      <c r="X144" s="600" t="n"/>
      <c r="Y144" s="601" t="n">
        <v>0</v>
      </c>
      <c r="Z144" s="601" t="n"/>
      <c r="AA144" s="602">
        <f>Y144-Z144</f>
        <v/>
      </c>
      <c r="AB144" s="599">
        <f>(S144-V144)*V144*W144*0.024653*Y144/1000000</f>
        <v/>
      </c>
      <c r="AC144" s="599">
        <f>(S144-V144)*V144*W144*0.024653*Z144/1000000</f>
        <v/>
      </c>
      <c r="AD144" s="599">
        <f>AB144-AC144</f>
        <v/>
      </c>
      <c r="AE144" s="599" t="n"/>
      <c r="AF144" s="599" t="n">
        <v>0.57743</v>
      </c>
      <c r="AG144" s="599" t="n"/>
      <c r="AH144" s="599">
        <f>AB143-AF144</f>
        <v/>
      </c>
      <c r="AI144" s="118">
        <f>(AC144+AF144)/AB143</f>
        <v/>
      </c>
    </row>
    <row r="145" hidden="1" s="584">
      <c r="A145" s="594" t="n">
        <v>364</v>
      </c>
      <c r="B145" s="5" t="inlineStr">
        <is>
          <t>Hosur</t>
        </is>
      </c>
      <c r="C145" s="601" t="inlineStr">
        <is>
          <t>Marathwada</t>
        </is>
      </c>
      <c r="D145" s="601" t="n"/>
      <c r="E145" s="601" t="n">
        <v>189002</v>
      </c>
      <c r="F145" s="601" t="n">
        <v>3786201</v>
      </c>
      <c r="G145" s="601" t="inlineStr">
        <is>
          <t>TUB-R-AW-RHS-40.00X25.00X1.600X0.5380</t>
        </is>
      </c>
      <c r="H145" s="601" t="inlineStr">
        <is>
          <t>ERW 1</t>
        </is>
      </c>
      <c r="I145" s="601" t="n"/>
      <c r="J145" s="601" t="inlineStr">
        <is>
          <t>FC</t>
        </is>
      </c>
      <c r="K145" s="601" t="inlineStr">
        <is>
          <t>CR</t>
        </is>
      </c>
      <c r="L145" s="596" t="inlineStr">
        <is>
          <t>KGR2</t>
        </is>
      </c>
      <c r="M145" s="601" t="n"/>
      <c r="N145" s="601" t="n"/>
      <c r="O145" s="601" t="n"/>
      <c r="P145" s="557">
        <f>CONCATENATE(schedule13[[#This Row],[OD]],"-",schedule13[[#This Row],[ID]],"-",schedule13[[#This Row],[TICKNESS]],"-",schedule13[[#This Row],[GRADE]],"-",schedule13[[#This Row],[FC/NFC]])</f>
        <v/>
      </c>
      <c r="Q145" s="557" t="n"/>
      <c r="R145" s="557" t="n"/>
      <c r="S145" s="599" t="n">
        <v>41.28</v>
      </c>
      <c r="T145" s="599" t="n">
        <v>40</v>
      </c>
      <c r="U145" s="599" t="n">
        <v>25</v>
      </c>
      <c r="V145" s="599" t="n">
        <v>1.6</v>
      </c>
      <c r="W145" s="600" t="n">
        <v>538</v>
      </c>
      <c r="X145" s="600" t="n"/>
      <c r="Y145" s="601" t="n">
        <v>0</v>
      </c>
      <c r="Z145" s="601" t="n"/>
      <c r="AA145" s="602">
        <f>Y145-Z145</f>
        <v/>
      </c>
      <c r="AB145" s="599">
        <f>(S145-V145)*V145*W145*0.024653*Y145/1000000</f>
        <v/>
      </c>
      <c r="AC145" s="599">
        <f>(S145-V145)*V145*W145*0.024653*Z145/1000000</f>
        <v/>
      </c>
      <c r="AD145" s="599">
        <f>AB145-AC145</f>
        <v/>
      </c>
      <c r="AE145" s="599" t="n"/>
      <c r="AF145" s="599" t="n"/>
      <c r="AG145" s="599" t="n"/>
      <c r="AH145" s="599" t="n"/>
      <c r="AI145" s="118" t="n"/>
    </row>
    <row r="146" hidden="1" s="584">
      <c r="A146" s="594" t="n">
        <v>365</v>
      </c>
      <c r="B146" s="5" t="inlineStr">
        <is>
          <t>Hosur</t>
        </is>
      </c>
      <c r="C146" s="601" t="inlineStr">
        <is>
          <t>Marathwada</t>
        </is>
      </c>
      <c r="D146" s="601" t="n"/>
      <c r="E146" s="601" t="n">
        <v>189002</v>
      </c>
      <c r="F146" s="601" t="n">
        <v>1940146</v>
      </c>
      <c r="G146" s="601" t="inlineStr">
        <is>
          <t>TUB-S-AW-SHS-19.00X19.00X1.000X6.0000</t>
        </is>
      </c>
      <c r="H146" s="601" t="inlineStr">
        <is>
          <t>CRFH</t>
        </is>
      </c>
      <c r="I146" s="601" t="n"/>
      <c r="J146" s="601" t="inlineStr">
        <is>
          <t>PE</t>
        </is>
      </c>
      <c r="K146" s="601" t="inlineStr">
        <is>
          <t>CR</t>
        </is>
      </c>
      <c r="L146" s="601" t="n"/>
      <c r="M146" s="601" t="n"/>
      <c r="N146" s="601" t="n"/>
      <c r="O146" s="601" t="n"/>
      <c r="P146" s="557">
        <f>CONCATENATE(schedule13[[#This Row],[OD]],"-",schedule13[[#This Row],[ID]],"-",schedule13[[#This Row],[TICKNESS]],"-",schedule13[[#This Row],[GRADE]],"-",schedule13[[#This Row],[FC/NFC]])</f>
        <v/>
      </c>
      <c r="Q146" s="557" t="n"/>
      <c r="R146" s="557" t="n"/>
      <c r="S146" s="599" t="n">
        <v>23.42</v>
      </c>
      <c r="T146" s="599" t="n">
        <v>19</v>
      </c>
      <c r="U146" s="599" t="n">
        <v>19</v>
      </c>
      <c r="V146" s="599" t="n">
        <v>1</v>
      </c>
      <c r="W146" s="600" t="n">
        <v>6000</v>
      </c>
      <c r="X146" s="600" t="n"/>
      <c r="Y146" s="601" t="n">
        <v>0</v>
      </c>
      <c r="Z146" s="601" t="n"/>
      <c r="AA146" s="602">
        <f>Y146-Z146</f>
        <v/>
      </c>
      <c r="AB146" s="599">
        <f>(S146-V146)*V146*W146*0.024653*Y146/1000000</f>
        <v/>
      </c>
      <c r="AC146" s="599">
        <f>(S146-V146)*V146*W146*0.024653*Z146/1000000</f>
        <v/>
      </c>
      <c r="AD146" s="599">
        <f>AB146-AC146</f>
        <v/>
      </c>
      <c r="AE146" s="599" t="n"/>
      <c r="AF146" s="599" t="n"/>
      <c r="AG146" s="599" t="n"/>
      <c r="AH146" s="599" t="n"/>
      <c r="AI146" s="118" t="n"/>
    </row>
    <row r="147" hidden="1" s="584">
      <c r="A147" s="594" t="n">
        <v>382</v>
      </c>
      <c r="B147" s="5" t="inlineStr">
        <is>
          <t>Hosur</t>
        </is>
      </c>
      <c r="C147" s="601" t="inlineStr">
        <is>
          <t>Marathwada</t>
        </is>
      </c>
      <c r="D147" s="601" t="n"/>
      <c r="E147" s="601" t="n">
        <v>189002</v>
      </c>
      <c r="F147" s="16" t="n">
        <v>3597679</v>
      </c>
      <c r="G147" s="601" t="inlineStr">
        <is>
          <t>TUB-S-AW-AUT-19.00X19.00X1.000X6.1400</t>
        </is>
      </c>
      <c r="H147" s="601" t="inlineStr">
        <is>
          <t>CRFH</t>
        </is>
      </c>
      <c r="I147" s="601" t="n"/>
      <c r="J147" s="601" t="n"/>
      <c r="K147" s="601" t="inlineStr">
        <is>
          <t>HR</t>
        </is>
      </c>
      <c r="L147" s="601" t="n"/>
      <c r="M147" s="601" t="n"/>
      <c r="N147" s="601" t="n"/>
      <c r="O147" s="601" t="n"/>
      <c r="P147" s="557">
        <f>CONCATENATE(schedule13[[#This Row],[OD]],"-",schedule13[[#This Row],[ID]],"-",schedule13[[#This Row],[TICKNESS]],"-",schedule13[[#This Row],[GRADE]],"-",schedule13[[#This Row],[FC/NFC]])</f>
        <v/>
      </c>
      <c r="Q147" s="557" t="n"/>
      <c r="R147" s="557" t="n"/>
      <c r="S147" s="599" t="n">
        <v>23.42</v>
      </c>
      <c r="T147" s="599" t="n">
        <v>19</v>
      </c>
      <c r="U147" s="599" t="n">
        <v>19</v>
      </c>
      <c r="V147" s="599" t="n">
        <v>1</v>
      </c>
      <c r="W147" s="23" t="n">
        <v>6140</v>
      </c>
      <c r="X147" s="23" t="n"/>
      <c r="Y147" s="601" t="n">
        <v>0</v>
      </c>
      <c r="Z147" s="601" t="n"/>
      <c r="AA147" s="602">
        <f>Y147-Z147</f>
        <v/>
      </c>
      <c r="AB147" s="599">
        <f>(S147-V147)*V147*W147*0.024653*Y147/1000000</f>
        <v/>
      </c>
      <c r="AC147" s="599">
        <f>(S147-V147)*V147*W147*0.024653*Z147/1000000</f>
        <v/>
      </c>
      <c r="AD147" s="599">
        <f>AB147-AC147</f>
        <v/>
      </c>
      <c r="AE147" s="599" t="n"/>
      <c r="AF147" s="599" t="n">
        <v>35.614093</v>
      </c>
      <c r="AG147" s="599" t="n"/>
      <c r="AH147" s="599">
        <f>AB146-AF147</f>
        <v/>
      </c>
      <c r="AI147" s="118">
        <f>(AC147+AF147)/AB146</f>
        <v/>
      </c>
    </row>
    <row r="148" hidden="1" s="584">
      <c r="A148" s="594" t="n">
        <v>383</v>
      </c>
      <c r="B148" s="5" t="inlineStr">
        <is>
          <t>Hosur</t>
        </is>
      </c>
      <c r="C148" s="601" t="inlineStr">
        <is>
          <t>Marathwada</t>
        </is>
      </c>
      <c r="D148" s="601" t="n"/>
      <c r="E148" s="601" t="n">
        <v>189002</v>
      </c>
      <c r="F148" s="16" t="n">
        <v>3605862</v>
      </c>
      <c r="G148" s="601" t="inlineStr">
        <is>
          <t>TUB-O-N-AUT-AW-PE-25.40X1.220X2.5850</t>
        </is>
      </c>
      <c r="H148" s="601" t="n"/>
      <c r="I148" s="601" t="n"/>
      <c r="J148" s="601" t="n"/>
      <c r="K148" s="601" t="inlineStr">
        <is>
          <t>HR</t>
        </is>
      </c>
      <c r="L148" s="601" t="n"/>
      <c r="M148" s="601" t="n"/>
      <c r="N148" s="601" t="n"/>
      <c r="O148" s="601" t="n"/>
      <c r="P148" s="557">
        <f>CONCATENATE(schedule13[[#This Row],[OD]],"-",schedule13[[#This Row],[ID]],"-",schedule13[[#This Row],[TICKNESS]],"-",schedule13[[#This Row],[GRADE]],"-",schedule13[[#This Row],[FC/NFC]])</f>
        <v/>
      </c>
      <c r="Q148" s="557" t="n"/>
      <c r="R148" s="557" t="n"/>
      <c r="S148" s="599" t="n">
        <v>25.4</v>
      </c>
      <c r="T148" s="599" t="n">
        <v>25.4</v>
      </c>
      <c r="U148" s="599" t="n">
        <v>0</v>
      </c>
      <c r="V148" s="599" t="n">
        <v>1.22</v>
      </c>
      <c r="W148" s="23" t="n">
        <v>2585</v>
      </c>
      <c r="X148" s="23" t="n"/>
      <c r="Y148" s="601" t="n">
        <v>0</v>
      </c>
      <c r="Z148" s="601" t="n"/>
      <c r="AA148" s="602">
        <f>Y148-Z148</f>
        <v/>
      </c>
      <c r="AB148" s="599">
        <f>(S148-V148)*V148*W148*0.024653*Y148/1000000</f>
        <v/>
      </c>
      <c r="AC148" s="599">
        <f>(S148-V148)*V148*W148*0.024653*Z148/1000000</f>
        <v/>
      </c>
      <c r="AD148" s="599">
        <f>AB148-AC148</f>
        <v/>
      </c>
      <c r="AE148" s="599" t="n"/>
      <c r="AF148" s="599" t="n"/>
      <c r="AG148" s="599" t="n"/>
      <c r="AH148" s="599">
        <f>AB147-AF148</f>
        <v/>
      </c>
      <c r="AI148" s="118">
        <f>(AC148+AF148)/AB147</f>
        <v/>
      </c>
    </row>
    <row r="149" hidden="1" s="584">
      <c r="A149" s="594" t="n">
        <v>384</v>
      </c>
      <c r="B149" s="5" t="inlineStr">
        <is>
          <t>Hosur</t>
        </is>
      </c>
      <c r="C149" s="601" t="inlineStr">
        <is>
          <t>Marathwada</t>
        </is>
      </c>
      <c r="D149" s="601" t="n"/>
      <c r="E149" s="601" t="n">
        <v>189002</v>
      </c>
      <c r="F149" s="601" t="n">
        <v>3695241</v>
      </c>
      <c r="G149" s="601" t="inlineStr">
        <is>
          <t>TUB-S-AW-AUT-19.00X19.00X1.000X6.2500</t>
        </is>
      </c>
      <c r="H149" s="601" t="inlineStr">
        <is>
          <t>CRFH</t>
        </is>
      </c>
      <c r="I149" s="601" t="n"/>
      <c r="J149" s="601" t="n"/>
      <c r="K149" s="601" t="inlineStr">
        <is>
          <t>HR</t>
        </is>
      </c>
      <c r="L149" s="601" t="n"/>
      <c r="M149" s="601" t="n"/>
      <c r="N149" s="601" t="n"/>
      <c r="O149" s="601" t="n"/>
      <c r="P149" s="557">
        <f>CONCATENATE(schedule13[[#This Row],[OD]],"-",schedule13[[#This Row],[ID]],"-",schedule13[[#This Row],[TICKNESS]],"-",schedule13[[#This Row],[GRADE]],"-",schedule13[[#This Row],[FC/NFC]])</f>
        <v/>
      </c>
      <c r="Q149" s="557" t="n"/>
      <c r="R149" s="557" t="n"/>
      <c r="S149" s="599" t="n">
        <v>23.42</v>
      </c>
      <c r="T149" s="599" t="n">
        <v>19</v>
      </c>
      <c r="U149" s="599" t="n">
        <v>19</v>
      </c>
      <c r="V149" s="599" t="n">
        <v>1</v>
      </c>
      <c r="W149" s="23" t="n">
        <v>6250</v>
      </c>
      <c r="X149" s="23" t="n"/>
      <c r="Y149" s="601" t="n">
        <v>0</v>
      </c>
      <c r="Z149" s="601" t="n"/>
      <c r="AA149" s="602">
        <f>Y149-Z149</f>
        <v/>
      </c>
      <c r="AB149" s="599">
        <f>(S149-V149)*V149*W149*0.024653*Y149/1000000</f>
        <v/>
      </c>
      <c r="AC149" s="599">
        <f>(S149-V149)*V149*W149*0.024653*Z149/1000000</f>
        <v/>
      </c>
      <c r="AD149" s="599">
        <f>AB149-AC149</f>
        <v/>
      </c>
      <c r="AE149" s="599" t="n"/>
      <c r="AF149" s="599" t="n"/>
      <c r="AG149" s="599" t="n"/>
      <c r="AH149" s="599">
        <f>AB148-AF149</f>
        <v/>
      </c>
      <c r="AI149" s="118">
        <f>(AC149+AF149)/AB148</f>
        <v/>
      </c>
    </row>
    <row r="150" hidden="1" s="584">
      <c r="A150" s="594" t="n">
        <v>385</v>
      </c>
      <c r="B150" s="5" t="inlineStr">
        <is>
          <t>Hosur</t>
        </is>
      </c>
      <c r="C150" s="601" t="inlineStr">
        <is>
          <t>Marathwada</t>
        </is>
      </c>
      <c r="D150" s="601" t="n"/>
      <c r="E150" s="601" t="n">
        <v>189002</v>
      </c>
      <c r="F150" s="601" t="n">
        <v>1940840</v>
      </c>
      <c r="G150" s="601" t="inlineStr">
        <is>
          <t>TUB-R-AW-RHS-40.00X30.00X2.000X6.0000</t>
        </is>
      </c>
      <c r="H150" s="601" t="inlineStr">
        <is>
          <t>ERW 1</t>
        </is>
      </c>
      <c r="I150" s="601" t="n"/>
      <c r="J150" s="601" t="inlineStr">
        <is>
          <t>FC</t>
        </is>
      </c>
      <c r="K150" s="601" t="inlineStr">
        <is>
          <t>HR</t>
        </is>
      </c>
      <c r="L150" s="601" t="n"/>
      <c r="M150" s="601" t="n"/>
      <c r="N150" s="601" t="n"/>
      <c r="O150" s="601" t="n"/>
      <c r="P150" s="557">
        <f>CONCATENATE(schedule13[[#This Row],[OD]],"-",schedule13[[#This Row],[ID]],"-",schedule13[[#This Row],[TICKNESS]],"-",schedule13[[#This Row],[GRADE]],"-",schedule13[[#This Row],[FC/NFC]])</f>
        <v/>
      </c>
      <c r="Q150" s="557" t="n"/>
      <c r="R150" s="557" t="n"/>
      <c r="S150" s="599" t="n">
        <v>44.45</v>
      </c>
      <c r="T150" s="599" t="n">
        <v>40</v>
      </c>
      <c r="U150" s="599" t="n">
        <v>30</v>
      </c>
      <c r="V150" s="599" t="n">
        <v>2</v>
      </c>
      <c r="W150" s="23" t="n">
        <v>6000</v>
      </c>
      <c r="X150" s="23" t="n"/>
      <c r="Y150" s="601" t="n">
        <v>0</v>
      </c>
      <c r="Z150" s="601" t="n"/>
      <c r="AA150" s="602">
        <f>Y150-Z150</f>
        <v/>
      </c>
      <c r="AB150" s="599">
        <f>(S150-V150)*V150*W150*0.024653*Y150/1000000</f>
        <v/>
      </c>
      <c r="AC150" s="599">
        <f>(S150-V150)*V150*W150*0.024653*Z150/1000000</f>
        <v/>
      </c>
      <c r="AD150" s="599">
        <f>AB150-AC150</f>
        <v/>
      </c>
      <c r="AE150" s="599" t="n"/>
      <c r="AF150" s="599" t="n"/>
      <c r="AG150" s="599" t="n"/>
      <c r="AH150" s="599">
        <f>AB149-AF150</f>
        <v/>
      </c>
      <c r="AI150" s="118">
        <f>(AC150+AF150)/AB149</f>
        <v/>
      </c>
    </row>
    <row r="151" hidden="1" s="584">
      <c r="A151" s="594" t="n">
        <v>386</v>
      </c>
      <c r="B151" s="5" t="inlineStr">
        <is>
          <t xml:space="preserve">Khopoli </t>
        </is>
      </c>
      <c r="C151" s="601" t="inlineStr">
        <is>
          <t>Marathwada</t>
        </is>
      </c>
      <c r="D151" s="601" t="n"/>
      <c r="E151" s="601" t="n">
        <v>189002</v>
      </c>
      <c r="F151" s="601" t="n">
        <v>1930116</v>
      </c>
      <c r="G151" s="601" t="inlineStr">
        <is>
          <t>TUB-I-C-AUT-AN-FC-39.00X34.00X4.5000</t>
        </is>
      </c>
      <c r="H151" s="601" t="inlineStr">
        <is>
          <t>CEW</t>
        </is>
      </c>
      <c r="I151" s="601" t="n"/>
      <c r="J151" s="601" t="n"/>
      <c r="K151" s="601" t="inlineStr">
        <is>
          <t>HR</t>
        </is>
      </c>
      <c r="L151" s="601" t="n"/>
      <c r="M151" s="601" t="n"/>
      <c r="N151" s="601" t="n"/>
      <c r="O151" s="601" t="n"/>
      <c r="P151" s="557">
        <f>CONCATENATE(schedule13[[#This Row],[OD]],"-",schedule13[[#This Row],[ID]],"-",schedule13[[#This Row],[TICKNESS]],"-",schedule13[[#This Row],[GRADE]],"-",schedule13[[#This Row],[FC/NFC]])</f>
        <v/>
      </c>
      <c r="Q151" s="557" t="n"/>
      <c r="R151" s="557" t="n"/>
      <c r="S151" s="599" t="n">
        <v>39</v>
      </c>
      <c r="T151" s="599" t="n">
        <v>39</v>
      </c>
      <c r="U151" s="599" t="n">
        <v>34</v>
      </c>
      <c r="V151" s="599" t="n">
        <v>2.5</v>
      </c>
      <c r="W151" s="23" t="n">
        <v>4500</v>
      </c>
      <c r="X151" s="23" t="n"/>
      <c r="Y151" s="601" t="n">
        <v>0</v>
      </c>
      <c r="Z151" s="601" t="n"/>
      <c r="AA151" s="602">
        <f>Y151-Z151</f>
        <v/>
      </c>
      <c r="AB151" s="599">
        <f>(S151-V151)*V151*W151*0.024653*Y151/1000000</f>
        <v/>
      </c>
      <c r="AC151" s="599">
        <f>(S151-V151)*V151*W151*0.024653*Z151/1000000</f>
        <v/>
      </c>
      <c r="AD151" s="599">
        <f>AB151-AC151</f>
        <v/>
      </c>
      <c r="AE151" s="599" t="n"/>
      <c r="AF151" s="599" t="n">
        <v>2.762287000000001</v>
      </c>
      <c r="AG151" s="599" t="n"/>
      <c r="AH151" s="599">
        <f>AB150-AF151</f>
        <v/>
      </c>
      <c r="AI151" s="118">
        <f>(AC151+AF151)/AB150</f>
        <v/>
      </c>
    </row>
    <row r="152" hidden="1" s="584">
      <c r="A152" s="594" t="n">
        <v>387</v>
      </c>
      <c r="B152" s="5" t="inlineStr">
        <is>
          <t xml:space="preserve">Khopoli </t>
        </is>
      </c>
      <c r="C152" s="601" t="inlineStr">
        <is>
          <t>Marathwada</t>
        </is>
      </c>
      <c r="D152" s="601" t="n"/>
      <c r="E152" s="601" t="n">
        <v>189002</v>
      </c>
      <c r="F152" s="601" t="n">
        <v>1942166</v>
      </c>
      <c r="G152" s="601" t="inlineStr">
        <is>
          <t>TUB-O-C-AUT-AD-FC-30.00X2.250X5.9300</t>
        </is>
      </c>
      <c r="H152" s="601" t="inlineStr">
        <is>
          <t>CEW</t>
        </is>
      </c>
      <c r="I152" s="601" t="n"/>
      <c r="J152" s="601" t="n"/>
      <c r="K152" s="601" t="inlineStr">
        <is>
          <t>HR</t>
        </is>
      </c>
      <c r="L152" s="601" t="n"/>
      <c r="M152" s="601" t="n"/>
      <c r="N152" s="601" t="n"/>
      <c r="O152" s="601" t="n"/>
      <c r="P152" s="557">
        <f>CONCATENATE(schedule13[[#This Row],[OD]],"-",schedule13[[#This Row],[ID]],"-",schedule13[[#This Row],[TICKNESS]],"-",schedule13[[#This Row],[GRADE]],"-",schedule13[[#This Row],[FC/NFC]])</f>
        <v/>
      </c>
      <c r="Q152" s="557" t="n"/>
      <c r="R152" s="557" t="n"/>
      <c r="S152" s="599" t="n">
        <v>30</v>
      </c>
      <c r="T152" s="599" t="n">
        <v>30</v>
      </c>
      <c r="U152" s="599" t="n">
        <v>25.5</v>
      </c>
      <c r="V152" s="599" t="n">
        <v>2.25</v>
      </c>
      <c r="W152" s="23" t="n">
        <v>5930</v>
      </c>
      <c r="X152" s="23" t="n"/>
      <c r="Y152" s="601" t="n">
        <v>0</v>
      </c>
      <c r="Z152" s="601" t="n"/>
      <c r="AA152" s="602">
        <f>Y152-Z152</f>
        <v/>
      </c>
      <c r="AB152" s="599">
        <f>(S152-V152)*V152*W152*0.024653*Y152/1000000</f>
        <v/>
      </c>
      <c r="AC152" s="599">
        <f>(S152-V152)*V152*W152*0.024653*Z152/1000000</f>
        <v/>
      </c>
      <c r="AD152" s="599">
        <f>AB152-AC152</f>
        <v/>
      </c>
      <c r="AE152" s="599" t="n"/>
      <c r="AF152" s="599" t="n">
        <v>53.99935300000001</v>
      </c>
      <c r="AG152" s="599" t="n"/>
      <c r="AH152" s="599">
        <f>AB151-AF152</f>
        <v/>
      </c>
      <c r="AI152" s="118">
        <f>(AC152+AF152)/AB151</f>
        <v/>
      </c>
    </row>
    <row r="153" hidden="1" s="584">
      <c r="A153" s="594" t="n">
        <v>388</v>
      </c>
      <c r="B153" s="5" t="inlineStr">
        <is>
          <t xml:space="preserve">Khopoli </t>
        </is>
      </c>
      <c r="C153" s="601" t="inlineStr">
        <is>
          <t>Marathwada</t>
        </is>
      </c>
      <c r="D153" s="601" t="n"/>
      <c r="E153" s="601" t="n">
        <v>189002</v>
      </c>
      <c r="F153" s="601" t="n">
        <v>1941408</v>
      </c>
      <c r="G153" s="601" t="inlineStr">
        <is>
          <t>TUB-O-C-AUT-AD-FC-25.40X2.500X3.7300</t>
        </is>
      </c>
      <c r="H153" s="601" t="inlineStr">
        <is>
          <t>CEW</t>
        </is>
      </c>
      <c r="I153" s="601" t="n"/>
      <c r="J153" s="601" t="n"/>
      <c r="K153" s="601" t="inlineStr">
        <is>
          <t>HR</t>
        </is>
      </c>
      <c r="L153" s="601" t="n"/>
      <c r="M153" s="601" t="n"/>
      <c r="N153" s="601" t="n"/>
      <c r="O153" s="601" t="n"/>
      <c r="P153" s="557">
        <f>CONCATENATE(schedule13[[#This Row],[OD]],"-",schedule13[[#This Row],[ID]],"-",schedule13[[#This Row],[TICKNESS]],"-",schedule13[[#This Row],[GRADE]],"-",schedule13[[#This Row],[FC/NFC]])</f>
        <v/>
      </c>
      <c r="Q153" s="557" t="n"/>
      <c r="R153" s="557" t="n"/>
      <c r="S153" s="599" t="n">
        <v>25.4</v>
      </c>
      <c r="T153" s="599" t="n">
        <v>25.4</v>
      </c>
      <c r="U153" s="599" t="n">
        <v>20.4</v>
      </c>
      <c r="V153" s="599" t="n">
        <v>2.5</v>
      </c>
      <c r="W153" s="23" t="n">
        <v>3730</v>
      </c>
      <c r="X153" s="23" t="n"/>
      <c r="Y153" s="601" t="n">
        <v>0</v>
      </c>
      <c r="Z153" s="601" t="n"/>
      <c r="AA153" s="602">
        <f>Y153-Z153</f>
        <v/>
      </c>
      <c r="AB153" s="599">
        <f>(S153-V153)*V153*W153*0.024653*Y153/1000000</f>
        <v/>
      </c>
      <c r="AC153" s="599">
        <f>(S153-V153)*V153*W153*0.024653*Z153/1000000</f>
        <v/>
      </c>
      <c r="AD153" s="599">
        <f>AB153-AC153</f>
        <v/>
      </c>
      <c r="AE153" s="599" t="n"/>
      <c r="AF153" s="599" t="n">
        <v>38.685</v>
      </c>
      <c r="AG153" s="599" t="n"/>
      <c r="AH153" s="599">
        <f>AB152-AF153</f>
        <v/>
      </c>
      <c r="AI153" s="118">
        <f>(AC153+AF153)/AB152</f>
        <v/>
      </c>
    </row>
    <row r="154" hidden="1" s="584">
      <c r="A154" s="594" t="n">
        <v>265</v>
      </c>
      <c r="B154" s="5" t="inlineStr">
        <is>
          <t>Hosur</t>
        </is>
      </c>
      <c r="C154" s="601" t="inlineStr">
        <is>
          <t>Metalman</t>
        </is>
      </c>
      <c r="D154" s="601" t="n"/>
      <c r="E154" s="601" t="n">
        <v>188647</v>
      </c>
      <c r="F154" s="601" t="n">
        <v>2325421</v>
      </c>
      <c r="G154" s="601" t="inlineStr">
        <is>
          <t>TUB-O-N-AUT-AW-FC-48.60X1.200X0.3360</t>
        </is>
      </c>
      <c r="H154" s="601" t="inlineStr">
        <is>
          <t>ERW 1</t>
        </is>
      </c>
      <c r="I154" s="601" t="n"/>
      <c r="J154" s="601" t="inlineStr">
        <is>
          <t>FC</t>
        </is>
      </c>
      <c r="K154" s="601" t="inlineStr">
        <is>
          <t>CR</t>
        </is>
      </c>
      <c r="L154" s="601" t="n"/>
      <c r="M154" s="601" t="n"/>
      <c r="N154" s="601" t="n"/>
      <c r="O154" s="601" t="n"/>
      <c r="P154" s="557">
        <f>CONCATENATE(schedule13[[#This Row],[OD]],"-",schedule13[[#This Row],[ID]],"-",schedule13[[#This Row],[TICKNESS]],"-",schedule13[[#This Row],[GRADE]],"-",schedule13[[#This Row],[FC/NFC]])</f>
        <v/>
      </c>
      <c r="Q154" s="557" t="n"/>
      <c r="R154" s="557" t="n"/>
      <c r="S154" s="599" t="n">
        <v>48.6</v>
      </c>
      <c r="T154" s="599" t="n">
        <v>48.6</v>
      </c>
      <c r="U154" s="599" t="n">
        <v>0</v>
      </c>
      <c r="V154" s="599" t="n">
        <v>1.2</v>
      </c>
      <c r="W154" s="600" t="n">
        <v>336</v>
      </c>
      <c r="X154" s="600" t="n"/>
      <c r="Y154" s="601" t="n">
        <v>10000</v>
      </c>
      <c r="Z154" s="601" t="n"/>
      <c r="AA154" s="602">
        <f>Y154-Z154</f>
        <v/>
      </c>
      <c r="AB154" s="599">
        <f>(S154-V154)*V154*W154*0.024653*Y154/1000000</f>
        <v/>
      </c>
      <c r="AC154" s="599">
        <f>(S154-V154)*V154*W154*0.024653*Z154/1000000</f>
        <v/>
      </c>
      <c r="AD154" s="599">
        <f>AB154-AC154</f>
        <v/>
      </c>
      <c r="AE154" s="599" t="n"/>
      <c r="AF154" s="599" t="n"/>
      <c r="AG154" s="599" t="n"/>
      <c r="AH154" s="599">
        <f>AB153-AF154</f>
        <v/>
      </c>
      <c r="AI154" s="118">
        <f>(AC154+AF154)/AB153</f>
        <v/>
      </c>
    </row>
    <row r="155" hidden="1" s="584">
      <c r="A155" s="594" t="n">
        <v>266</v>
      </c>
      <c r="B155" s="5" t="inlineStr">
        <is>
          <t>Hosur</t>
        </is>
      </c>
      <c r="C155" s="601" t="inlineStr">
        <is>
          <t>Metalman</t>
        </is>
      </c>
      <c r="D155" s="601" t="n"/>
      <c r="E155" s="601" t="n">
        <v>188647</v>
      </c>
      <c r="F155" s="601" t="n">
        <v>2418569</v>
      </c>
      <c r="G155" s="601" t="inlineStr">
        <is>
          <t>TUB-O-N-AUT-AW-PE-19.05X1.600X1.4050</t>
        </is>
      </c>
      <c r="H155" s="601" t="inlineStr">
        <is>
          <t>ERW 1</t>
        </is>
      </c>
      <c r="I155" s="601" t="n"/>
      <c r="J155" s="601" t="inlineStr">
        <is>
          <t>PE</t>
        </is>
      </c>
      <c r="K155" s="601" t="inlineStr">
        <is>
          <t>CR</t>
        </is>
      </c>
      <c r="L155" s="601" t="inlineStr">
        <is>
          <t>WG</t>
        </is>
      </c>
      <c r="M155" s="601" t="n"/>
      <c r="N155" s="601" t="n"/>
      <c r="O155" s="601" t="n"/>
      <c r="P155" s="557">
        <f>CONCATENATE(schedule13[[#This Row],[OD]],"-",schedule13[[#This Row],[ID]],"-",schedule13[[#This Row],[TICKNESS]],"-",schedule13[[#This Row],[GRADE]],"-",schedule13[[#This Row],[FC/NFC]])</f>
        <v/>
      </c>
      <c r="Q155" s="557" t="n"/>
      <c r="R155" s="557" t="n"/>
      <c r="S155" s="599" t="n">
        <v>19.05</v>
      </c>
      <c r="T155" s="599" t="n">
        <v>19.05</v>
      </c>
      <c r="U155" s="599" t="n">
        <v>0</v>
      </c>
      <c r="V155" s="599" t="n">
        <v>1.6</v>
      </c>
      <c r="W155" s="600" t="n">
        <v>1405</v>
      </c>
      <c r="X155" s="600" t="n"/>
      <c r="Y155" s="601" t="n">
        <v>4000</v>
      </c>
      <c r="Z155" s="601" t="n"/>
      <c r="AA155" s="602">
        <f>Y155-Z155</f>
        <v/>
      </c>
      <c r="AB155" s="599">
        <f>(S155-V155)*V155*W155*0.024653*Y155/1000000</f>
        <v/>
      </c>
      <c r="AC155" s="599">
        <f>(S155-V155)*V155*W155*0.024653*Z155/1000000</f>
        <v/>
      </c>
      <c r="AD155" s="599">
        <f>AB155-AC155</f>
        <v/>
      </c>
      <c r="AE155" s="599" t="n"/>
      <c r="AF155" s="599" t="n">
        <v>0.36348</v>
      </c>
      <c r="AG155" s="599" t="n"/>
      <c r="AH155" s="599">
        <f>AB154-AF155</f>
        <v/>
      </c>
      <c r="AI155" s="118">
        <f>(AC155+AF155)/AB154</f>
        <v/>
      </c>
    </row>
    <row r="156" hidden="1" s="584">
      <c r="A156" s="594" t="n">
        <v>267</v>
      </c>
      <c r="B156" s="5" t="inlineStr">
        <is>
          <t>Hosur</t>
        </is>
      </c>
      <c r="C156" s="601" t="inlineStr">
        <is>
          <t>Metalman</t>
        </is>
      </c>
      <c r="D156" s="601" t="n"/>
      <c r="E156" s="601" t="n">
        <v>188647</v>
      </c>
      <c r="F156" s="601" t="n">
        <v>2418687</v>
      </c>
      <c r="G156" s="601" t="inlineStr">
        <is>
          <t>TUB-O-N-AUT-AW-PE-22.23X1.600X0.8800</t>
        </is>
      </c>
      <c r="H156" s="601" t="inlineStr">
        <is>
          <t>ERW 1</t>
        </is>
      </c>
      <c r="I156" s="601" t="n"/>
      <c r="J156" s="601" t="inlineStr">
        <is>
          <t>PE</t>
        </is>
      </c>
      <c r="K156" s="601" t="inlineStr">
        <is>
          <t>CR</t>
        </is>
      </c>
      <c r="L156" s="596" t="inlineStr">
        <is>
          <t>GR1</t>
        </is>
      </c>
      <c r="M156" s="601" t="n"/>
      <c r="N156" s="601" t="n"/>
      <c r="O156" s="601" t="n"/>
      <c r="P156" s="557">
        <f>CONCATENATE(schedule13[[#This Row],[OD]],"-",schedule13[[#This Row],[ID]],"-",schedule13[[#This Row],[TICKNESS]],"-",schedule13[[#This Row],[GRADE]],"-",schedule13[[#This Row],[FC/NFC]])</f>
        <v/>
      </c>
      <c r="Q156" s="557" t="n"/>
      <c r="R156" s="557" t="n"/>
      <c r="S156" s="599" t="n">
        <v>22.23</v>
      </c>
      <c r="T156" s="599" t="n">
        <v>22.23</v>
      </c>
      <c r="U156" s="599" t="n">
        <v>0</v>
      </c>
      <c r="V156" s="599" t="n">
        <v>1.6</v>
      </c>
      <c r="W156" s="600" t="n">
        <v>880</v>
      </c>
      <c r="X156" s="600" t="n"/>
      <c r="Y156" s="601" t="n">
        <v>3000</v>
      </c>
      <c r="Z156" s="601" t="n"/>
      <c r="AA156" s="602">
        <f>Y156-Z156</f>
        <v/>
      </c>
      <c r="AB156" s="599">
        <f>(S156-V156)*V156*W156*0.024653*Y156/1000000</f>
        <v/>
      </c>
      <c r="AC156" s="599">
        <f>(S156-V156)*V156*W156*0.024653*Z156/1000000</f>
        <v/>
      </c>
      <c r="AD156" s="599">
        <f>AB156-AC156</f>
        <v/>
      </c>
      <c r="AE156" s="599" t="n"/>
      <c r="AF156" s="599" t="n">
        <v>1.903952</v>
      </c>
      <c r="AG156" s="599" t="n"/>
      <c r="AH156" s="599">
        <f>AB155-AF156</f>
        <v/>
      </c>
      <c r="AI156" s="118">
        <f>(AC156+AF156)/AB155</f>
        <v/>
      </c>
    </row>
    <row r="157" hidden="1" s="584">
      <c r="A157" s="594" t="n">
        <v>268</v>
      </c>
      <c r="B157" s="5" t="inlineStr">
        <is>
          <t>Hosur</t>
        </is>
      </c>
      <c r="C157" s="601" t="inlineStr">
        <is>
          <t>Metalman</t>
        </is>
      </c>
      <c r="D157" s="601" t="n"/>
      <c r="E157" s="601" t="n">
        <v>188647</v>
      </c>
      <c r="F157" s="601" t="n">
        <v>1940595</v>
      </c>
      <c r="G157" s="601" t="inlineStr">
        <is>
          <t>TUB-O-O-AUT-AW-FC-25.40X2.500X0.3220</t>
        </is>
      </c>
      <c r="H157" s="601" t="inlineStr">
        <is>
          <t>ERW 1</t>
        </is>
      </c>
      <c r="I157" s="601" t="n"/>
      <c r="J157" s="601" t="n"/>
      <c r="K157" s="601" t="inlineStr">
        <is>
          <t>HR</t>
        </is>
      </c>
      <c r="L157" s="601" t="n"/>
      <c r="M157" s="601" t="n"/>
      <c r="N157" s="601" t="n"/>
      <c r="O157" s="601" t="n"/>
      <c r="P157" s="557">
        <f>CONCATENATE(schedule13[[#This Row],[OD]],"-",schedule13[[#This Row],[ID]],"-",schedule13[[#This Row],[TICKNESS]],"-",schedule13[[#This Row],[GRADE]],"-",schedule13[[#This Row],[FC/NFC]])</f>
        <v/>
      </c>
      <c r="Q157" s="557" t="n"/>
      <c r="R157" s="557" t="n"/>
      <c r="S157" s="599" t="n">
        <v>25.4</v>
      </c>
      <c r="T157" s="599" t="n">
        <v>25.4</v>
      </c>
      <c r="U157" s="599" t="n">
        <v>0</v>
      </c>
      <c r="V157" s="599" t="n">
        <v>2.5</v>
      </c>
      <c r="W157" s="600" t="n">
        <v>322</v>
      </c>
      <c r="X157" s="600" t="n"/>
      <c r="Y157" s="601" t="n">
        <v>0</v>
      </c>
      <c r="Z157" s="601" t="n"/>
      <c r="AA157" s="602">
        <f>Y157-Z157</f>
        <v/>
      </c>
      <c r="AB157" s="599">
        <f>(S157-V157)*V157*W157*0.024653*Y157/1000000</f>
        <v/>
      </c>
      <c r="AC157" s="599">
        <f>(S157-V157)*V157*W157*0.024653*Z157/1000000</f>
        <v/>
      </c>
      <c r="AD157" s="599">
        <f>AB157-AC157</f>
        <v/>
      </c>
      <c r="AE157" s="599" t="n"/>
      <c r="AF157" s="599" t="n"/>
      <c r="AG157" s="599" t="n"/>
      <c r="AH157" s="599">
        <f>AB156-AF157</f>
        <v/>
      </c>
      <c r="AI157" s="118">
        <f>(AC157+AF157)/AB156</f>
        <v/>
      </c>
    </row>
    <row r="158" hidden="1" s="584">
      <c r="A158" s="594" t="n">
        <v>269</v>
      </c>
      <c r="B158" s="5" t="inlineStr">
        <is>
          <t xml:space="preserve">Khopoli </t>
        </is>
      </c>
      <c r="C158" s="601" t="inlineStr">
        <is>
          <t>Metalman</t>
        </is>
      </c>
      <c r="D158" s="601" t="n"/>
      <c r="E158" s="601" t="n">
        <v>188647</v>
      </c>
      <c r="F158" s="601" t="n">
        <v>2428441</v>
      </c>
      <c r="G158" s="601" t="inlineStr">
        <is>
          <t>TUB-O-N-AUT-AN-FC-42.70X4.000X0.2350</t>
        </is>
      </c>
      <c r="H158" s="601" t="inlineStr">
        <is>
          <t>ERW 1</t>
        </is>
      </c>
      <c r="I158" s="601" t="inlineStr">
        <is>
          <t>Annealed</t>
        </is>
      </c>
      <c r="J158" s="601" t="inlineStr">
        <is>
          <t>FC</t>
        </is>
      </c>
      <c r="K158" s="601" t="inlineStr">
        <is>
          <t>HR</t>
        </is>
      </c>
      <c r="L158" s="601" t="n"/>
      <c r="M158" s="601" t="inlineStr">
        <is>
          <t>Chamferring</t>
        </is>
      </c>
      <c r="N158" s="601" t="n"/>
      <c r="O158" s="601" t="n"/>
      <c r="P158" s="557">
        <f>CONCATENATE(schedule13[[#This Row],[OD]],"-",schedule13[[#This Row],[ID]],"-",schedule13[[#This Row],[TICKNESS]],"-",schedule13[[#This Row],[GRADE]],"-",schedule13[[#This Row],[FC/NFC]])</f>
        <v/>
      </c>
      <c r="Q158" s="557">
        <f>_xlfn.CONCAT(schedule13[[#This Row],[Bucket]],"-",schedule13[[#This Row],[LENGTH]]/1000)</f>
        <v/>
      </c>
      <c r="R158" s="557">
        <f>COUNTIF(buckets[CTL Bucket],schedule13[[#This Row],[CTL Bucket]])</f>
        <v/>
      </c>
      <c r="S158" s="599" t="n">
        <v>42.7</v>
      </c>
      <c r="T158" s="599" t="n">
        <v>42.7</v>
      </c>
      <c r="U158" s="599" t="n">
        <v>0</v>
      </c>
      <c r="V158" s="599" t="n">
        <v>4</v>
      </c>
      <c r="W158" s="600" t="n">
        <v>235</v>
      </c>
      <c r="X158" s="22" t="inlineStr">
        <is>
          <t>NOS</t>
        </is>
      </c>
      <c r="Y158" s="601" t="n">
        <v>4000</v>
      </c>
      <c r="Z158" s="601" t="n"/>
      <c r="AA158" s="602">
        <f>Y158-Z158</f>
        <v/>
      </c>
      <c r="AB158" s="599">
        <f>(S158-V158)*V158*W158*0.024653*Y158/1000000</f>
        <v/>
      </c>
      <c r="AC158" s="599">
        <f>(S158-V158)*V158*W158*0.024653*Z158/1000000</f>
        <v/>
      </c>
      <c r="AD158" s="599">
        <f>AB158-AC158</f>
        <v/>
      </c>
      <c r="AE158" s="599" t="n"/>
      <c r="AF158" s="599" t="n"/>
      <c r="AG158" s="599" t="n"/>
      <c r="AH158" s="599">
        <f>AB157-AF158</f>
        <v/>
      </c>
      <c r="AI158" s="118">
        <f>(AC158+AF158)/AB157</f>
        <v/>
      </c>
    </row>
    <row r="159" hidden="1" s="584">
      <c r="A159" s="594" t="n">
        <v>270</v>
      </c>
      <c r="B159" s="5" t="inlineStr">
        <is>
          <t xml:space="preserve">Khopoli </t>
        </is>
      </c>
      <c r="C159" s="601" t="inlineStr">
        <is>
          <t>Metalman</t>
        </is>
      </c>
      <c r="D159" s="601" t="n"/>
      <c r="E159" s="601" t="n">
        <v>188647</v>
      </c>
      <c r="F159" s="601" t="n">
        <v>2417648</v>
      </c>
      <c r="G159" s="601" t="inlineStr">
        <is>
          <t>TUB-O-N-AUT-AN-FC-42.70X3.500X0.2100</t>
        </is>
      </c>
      <c r="H159" s="601" t="inlineStr">
        <is>
          <t>ERW 1</t>
        </is>
      </c>
      <c r="I159" s="601" t="inlineStr">
        <is>
          <t>Annealed</t>
        </is>
      </c>
      <c r="J159" s="601" t="inlineStr">
        <is>
          <t>FC</t>
        </is>
      </c>
      <c r="K159" s="601" t="inlineStr">
        <is>
          <t>HR</t>
        </is>
      </c>
      <c r="L159" s="601" t="n"/>
      <c r="M159" s="601" t="n"/>
      <c r="N159" s="601" t="n"/>
      <c r="O159" s="601" t="n"/>
      <c r="P159" s="557">
        <f>CONCATENATE(schedule13[[#This Row],[OD]],"-",schedule13[[#This Row],[ID]],"-",schedule13[[#This Row],[TICKNESS]],"-",schedule13[[#This Row],[GRADE]],"-",schedule13[[#This Row],[FC/NFC]])</f>
        <v/>
      </c>
      <c r="Q159" s="557" t="n"/>
      <c r="R159" s="557" t="n"/>
      <c r="S159" s="599" t="n">
        <v>42.7</v>
      </c>
      <c r="T159" s="599" t="n">
        <v>42.7</v>
      </c>
      <c r="U159" s="599" t="n">
        <v>0</v>
      </c>
      <c r="V159" s="599" t="n">
        <v>3.5</v>
      </c>
      <c r="W159" s="600" t="n">
        <v>210</v>
      </c>
      <c r="X159" s="600" t="n"/>
      <c r="Y159" s="601" t="n">
        <v>2000</v>
      </c>
      <c r="Z159" s="601" t="n"/>
      <c r="AA159" s="602">
        <f>Y159-Z159</f>
        <v/>
      </c>
      <c r="AB159" s="599">
        <f>(S159-V159)*V159*W159*0.024653*Y159/1000000</f>
        <v/>
      </c>
      <c r="AC159" s="599">
        <f>(S159-V159)*V159*W159*0.024653*Z159/1000000</f>
        <v/>
      </c>
      <c r="AD159" s="599">
        <f>AB159-AC159</f>
        <v/>
      </c>
      <c r="AE159" s="599" t="n"/>
      <c r="AF159" s="599" t="n">
        <v>0.305378</v>
      </c>
      <c r="AG159" s="599" t="n"/>
      <c r="AH159" s="599">
        <f>AB158-AF159</f>
        <v/>
      </c>
      <c r="AI159" s="118">
        <f>(AC159+AF159)/AB158</f>
        <v/>
      </c>
    </row>
    <row r="160" hidden="1" s="584">
      <c r="A160" s="594" t="n">
        <v>271</v>
      </c>
      <c r="B160" s="5" t="inlineStr">
        <is>
          <t>Hosur</t>
        </is>
      </c>
      <c r="C160" s="601" t="inlineStr">
        <is>
          <t>Metalman</t>
        </is>
      </c>
      <c r="D160" s="601" t="n"/>
      <c r="E160" s="601" t="n">
        <v>188647</v>
      </c>
      <c r="F160" s="601" t="n">
        <v>3191747</v>
      </c>
      <c r="G160" s="601" t="inlineStr">
        <is>
          <t>TUB-O-N-AUT-AW-FC-38.10X1.600X0.9300</t>
        </is>
      </c>
      <c r="H160" s="601" t="inlineStr">
        <is>
          <t>ERW 2 MAHS</t>
        </is>
      </c>
      <c r="I160" s="601" t="n"/>
      <c r="J160" s="601" t="inlineStr">
        <is>
          <t>FC</t>
        </is>
      </c>
      <c r="K160" s="601" t="inlineStr">
        <is>
          <t>HR</t>
        </is>
      </c>
      <c r="L160" s="596" t="inlineStr">
        <is>
          <t>ST52AL</t>
        </is>
      </c>
      <c r="M160" s="601" t="n"/>
      <c r="N160" s="601" t="n"/>
      <c r="O160" s="601" t="n"/>
      <c r="P160" s="557">
        <f>CONCATENATE(schedule13[[#This Row],[OD]],"-",schedule13[[#This Row],[ID]],"-",schedule13[[#This Row],[TICKNESS]],"-",schedule13[[#This Row],[GRADE]],"-",schedule13[[#This Row],[FC/NFC]])</f>
        <v/>
      </c>
      <c r="Q160" s="557" t="n"/>
      <c r="R160" s="557" t="n"/>
      <c r="S160" s="599" t="n">
        <v>38.1</v>
      </c>
      <c r="T160" s="599" t="n">
        <v>38.1</v>
      </c>
      <c r="U160" s="599" t="n">
        <v>0</v>
      </c>
      <c r="V160" s="599" t="n">
        <v>1.6</v>
      </c>
      <c r="W160" s="600" t="n">
        <v>930</v>
      </c>
      <c r="X160" s="600" t="n"/>
      <c r="Y160" s="601" t="n">
        <v>0</v>
      </c>
      <c r="Z160" s="601" t="n"/>
      <c r="AA160" s="602">
        <f>Y160-Z160</f>
        <v/>
      </c>
      <c r="AB160" s="599">
        <f>(S160-V160)*V160*W160*0.024653*Y160/1000000</f>
        <v/>
      </c>
      <c r="AC160" s="599">
        <f>(S160-V160)*V160*W160*0.024653*Z160/1000000</f>
        <v/>
      </c>
      <c r="AD160" s="599">
        <f>AB160-AC160</f>
        <v/>
      </c>
      <c r="AE160" s="599" t="n"/>
      <c r="AF160" s="599" t="n"/>
      <c r="AG160" s="599" t="n"/>
      <c r="AH160" s="599">
        <f>AB159-AF160</f>
        <v/>
      </c>
      <c r="AI160" s="118">
        <f>(AC160+AF160)/AB159</f>
        <v/>
      </c>
    </row>
    <row r="161" hidden="1" s="584">
      <c r="A161" s="594" t="n">
        <v>272</v>
      </c>
      <c r="B161" s="5" t="inlineStr">
        <is>
          <t>Hosur</t>
        </is>
      </c>
      <c r="C161" s="601" t="inlineStr">
        <is>
          <t>Metalman</t>
        </is>
      </c>
      <c r="D161" s="601" t="n"/>
      <c r="E161" s="601" t="n">
        <v>188647</v>
      </c>
      <c r="F161" s="601" t="n">
        <v>3191748</v>
      </c>
      <c r="G161" s="601" t="inlineStr">
        <is>
          <t>TUB-O-N-AUT-AW-FC-38.10X2.000X0.9300</t>
        </is>
      </c>
      <c r="H161" s="601" t="inlineStr">
        <is>
          <t>ERW 2 MAHS</t>
        </is>
      </c>
      <c r="I161" s="601" t="n"/>
      <c r="J161" s="601" t="n"/>
      <c r="K161" s="601" t="inlineStr">
        <is>
          <t>HR</t>
        </is>
      </c>
      <c r="L161" s="596" t="inlineStr">
        <is>
          <t>ST52AL</t>
        </is>
      </c>
      <c r="M161" s="601" t="n"/>
      <c r="N161" s="601" t="n"/>
      <c r="O161" s="601" t="n"/>
      <c r="P161" s="557">
        <f>CONCATENATE(schedule13[[#This Row],[OD]],"-",schedule13[[#This Row],[ID]],"-",schedule13[[#This Row],[TICKNESS]],"-",schedule13[[#This Row],[GRADE]],"-",schedule13[[#This Row],[FC/NFC]])</f>
        <v/>
      </c>
      <c r="Q161" s="557" t="n"/>
      <c r="R161" s="557" t="n"/>
      <c r="S161" s="599" t="n">
        <v>38.1</v>
      </c>
      <c r="T161" s="599" t="n">
        <v>38.1</v>
      </c>
      <c r="U161" s="599" t="n">
        <v>0</v>
      </c>
      <c r="V161" s="599" t="n">
        <v>2</v>
      </c>
      <c r="W161" s="600" t="n">
        <v>930</v>
      </c>
      <c r="X161" s="600" t="n"/>
      <c r="Y161" s="601" t="n">
        <v>0</v>
      </c>
      <c r="Z161" s="601" t="n"/>
      <c r="AA161" s="602">
        <f>Y161-Z161</f>
        <v/>
      </c>
      <c r="AB161" s="599">
        <f>(S161-V161)*V161*W161*0.024653*Y161/1000000</f>
        <v/>
      </c>
      <c r="AC161" s="599">
        <f>(S161-V161)*V161*W161*0.024653*Z161/1000000</f>
        <v/>
      </c>
      <c r="AD161" s="599">
        <f>AB161-AC161</f>
        <v/>
      </c>
      <c r="AE161" s="599" t="n"/>
      <c r="AF161" s="599" t="n"/>
      <c r="AG161" s="599" t="n"/>
      <c r="AH161" s="599">
        <f>AB160-AF161</f>
        <v/>
      </c>
      <c r="AI161" s="118">
        <f>(AC161+AF161)/AB160</f>
        <v/>
      </c>
    </row>
    <row r="162" hidden="1" s="584">
      <c r="A162" s="594" t="n">
        <v>273</v>
      </c>
      <c r="B162" s="5" t="inlineStr">
        <is>
          <t>Hosur</t>
        </is>
      </c>
      <c r="C162" s="601" t="inlineStr">
        <is>
          <t>Metalman</t>
        </is>
      </c>
      <c r="D162" s="601" t="n"/>
      <c r="E162" s="601" t="n">
        <v>188647</v>
      </c>
      <c r="F162" s="601" t="n">
        <v>3542857</v>
      </c>
      <c r="G162" s="601" t="inlineStr">
        <is>
          <t>TUB-O-N-AUT-AW-AG-57.15X2.500X0.8120</t>
        </is>
      </c>
      <c r="H162" s="601" t="inlineStr">
        <is>
          <t>ERW 1</t>
        </is>
      </c>
      <c r="I162" s="601" t="n"/>
      <c r="J162" s="601" t="n"/>
      <c r="K162" s="601" t="inlineStr">
        <is>
          <t>HR</t>
        </is>
      </c>
      <c r="L162" s="601" t="n"/>
      <c r="M162" s="601" t="n"/>
      <c r="N162" s="601" t="n"/>
      <c r="O162" s="601" t="n"/>
      <c r="P162" s="557">
        <f>CONCATENATE(schedule13[[#This Row],[OD]],"-",schedule13[[#This Row],[ID]],"-",schedule13[[#This Row],[TICKNESS]],"-",schedule13[[#This Row],[GRADE]],"-",schedule13[[#This Row],[FC/NFC]])</f>
        <v/>
      </c>
      <c r="Q162" s="557" t="n"/>
      <c r="R162" s="557" t="n"/>
      <c r="S162" s="599" t="n">
        <v>57.15</v>
      </c>
      <c r="T162" s="599" t="n">
        <v>57.15</v>
      </c>
      <c r="U162" s="599" t="n">
        <v>0</v>
      </c>
      <c r="V162" s="599" t="n">
        <v>2.5</v>
      </c>
      <c r="W162" s="600" t="n">
        <v>812</v>
      </c>
      <c r="X162" s="600" t="n"/>
      <c r="Y162" s="601" t="n">
        <v>0</v>
      </c>
      <c r="Z162" s="601" t="n"/>
      <c r="AA162" s="602">
        <f>Y162-Z162</f>
        <v/>
      </c>
      <c r="AB162" s="599">
        <f>(S162-V162)*V162*W162*0.024653*Y162/1000000</f>
        <v/>
      </c>
      <c r="AC162" s="599">
        <f>(S162-V162)*V162*W162*0.024653*Z162/1000000</f>
        <v/>
      </c>
      <c r="AD162" s="599">
        <f>AB162-AC162</f>
        <v/>
      </c>
      <c r="AE162" s="599" t="n"/>
      <c r="AF162" s="599" t="n"/>
      <c r="AG162" s="599" t="n"/>
      <c r="AH162" s="599">
        <f>AB161-AF162</f>
        <v/>
      </c>
      <c r="AI162" s="118">
        <f>(AC162+AF162)/AB161</f>
        <v/>
      </c>
    </row>
    <row r="163" hidden="1" s="584">
      <c r="A163" s="594" t="n">
        <v>274</v>
      </c>
      <c r="B163" s="5" t="inlineStr">
        <is>
          <t>Hosur</t>
        </is>
      </c>
      <c r="C163" s="601" t="inlineStr">
        <is>
          <t>Metalman</t>
        </is>
      </c>
      <c r="D163" s="601" t="n"/>
      <c r="E163" s="601" t="n">
        <v>188647</v>
      </c>
      <c r="F163" s="601" t="n">
        <v>1940407</v>
      </c>
      <c r="G163" s="601" t="inlineStr">
        <is>
          <t>TUB-O-O-AUT-AW-PE-22.23X1.600X0.7400</t>
        </is>
      </c>
      <c r="H163" s="601" t="inlineStr">
        <is>
          <t>ERW 1</t>
        </is>
      </c>
      <c r="I163" s="601" t="n"/>
      <c r="J163" s="601" t="inlineStr">
        <is>
          <t>PE</t>
        </is>
      </c>
      <c r="K163" s="601" t="inlineStr">
        <is>
          <t>CR</t>
        </is>
      </c>
      <c r="L163" s="596" t="inlineStr">
        <is>
          <t>GR1</t>
        </is>
      </c>
      <c r="M163" s="601" t="n"/>
      <c r="N163" s="601" t="n"/>
      <c r="O163" s="601" t="n"/>
      <c r="P163" s="557">
        <f>CONCATENATE(schedule13[[#This Row],[OD]],"-",schedule13[[#This Row],[ID]],"-",schedule13[[#This Row],[TICKNESS]],"-",schedule13[[#This Row],[GRADE]],"-",schedule13[[#This Row],[FC/NFC]])</f>
        <v/>
      </c>
      <c r="Q163" s="557" t="n"/>
      <c r="R163" s="557" t="n"/>
      <c r="S163" s="599" t="n">
        <v>22.23</v>
      </c>
      <c r="T163" s="599" t="n">
        <v>22.23</v>
      </c>
      <c r="U163" s="599" t="n">
        <v>0</v>
      </c>
      <c r="V163" s="599" t="n">
        <v>1.6</v>
      </c>
      <c r="W163" s="600" t="n">
        <v>740</v>
      </c>
      <c r="X163" s="600" t="n"/>
      <c r="Y163" s="601" t="n">
        <v>3000</v>
      </c>
      <c r="Z163" s="601" t="n"/>
      <c r="AA163" s="602">
        <f>Y163-Z163</f>
        <v/>
      </c>
      <c r="AB163" s="599">
        <f>(S163-V163)*V163*W163*0.024653*Y163/1000000</f>
        <v/>
      </c>
      <c r="AC163" s="599">
        <f>(S163-V163)*V163*W163*0.024653*Z163/1000000</f>
        <v/>
      </c>
      <c r="AD163" s="599">
        <f>AB163-AC163</f>
        <v/>
      </c>
      <c r="AE163" s="599" t="n"/>
      <c r="AF163" s="599" t="n"/>
      <c r="AG163" s="599" t="n"/>
      <c r="AH163" s="599">
        <f>AB162-AF163</f>
        <v/>
      </c>
      <c r="AI163" s="118">
        <f>(AC163+AF163)/AB162</f>
        <v/>
      </c>
    </row>
    <row r="164" hidden="1" s="584">
      <c r="A164" s="594" t="n">
        <v>275</v>
      </c>
      <c r="B164" s="5" t="inlineStr">
        <is>
          <t>Hosur</t>
        </is>
      </c>
      <c r="C164" s="601" t="inlineStr">
        <is>
          <t>Metalman</t>
        </is>
      </c>
      <c r="D164" s="601" t="n"/>
      <c r="E164" s="601" t="n">
        <v>188647</v>
      </c>
      <c r="F164" s="601" t="n">
        <v>1940829</v>
      </c>
      <c r="G164" s="601" t="inlineStr">
        <is>
          <t>TUB-R-AW-RHS-40.00X30.00X1.600X0.3140</t>
        </is>
      </c>
      <c r="H164" s="601" t="inlineStr">
        <is>
          <t>ERW 1</t>
        </is>
      </c>
      <c r="I164" s="601" t="n"/>
      <c r="J164" s="601" t="n"/>
      <c r="K164" s="601" t="inlineStr">
        <is>
          <t>HR</t>
        </is>
      </c>
      <c r="L164" s="601" t="n"/>
      <c r="M164" s="601" t="n"/>
      <c r="N164" s="601" t="n"/>
      <c r="O164" s="601" t="n"/>
      <c r="P164" s="557">
        <f>CONCATENATE(schedule13[[#This Row],[OD]],"-",schedule13[[#This Row],[ID]],"-",schedule13[[#This Row],[TICKNESS]],"-",schedule13[[#This Row],[GRADE]],"-",schedule13[[#This Row],[FC/NFC]])</f>
        <v/>
      </c>
      <c r="Q164" s="557" t="n"/>
      <c r="R164" s="557" t="n"/>
      <c r="S164" s="599" t="n">
        <v>44.45</v>
      </c>
      <c r="T164" s="599" t="n">
        <v>40</v>
      </c>
      <c r="U164" s="599" t="n">
        <v>30</v>
      </c>
      <c r="V164" s="599" t="n">
        <v>1.6</v>
      </c>
      <c r="W164" s="600" t="n">
        <v>314</v>
      </c>
      <c r="X164" s="600" t="n"/>
      <c r="Y164" s="601" t="n">
        <v>0</v>
      </c>
      <c r="Z164" s="601" t="n"/>
      <c r="AA164" s="602">
        <f>Y164-Z164</f>
        <v/>
      </c>
      <c r="AB164" s="599">
        <f>(S164-V164)*V164*W164*0.024653*Y164/1000000</f>
        <v/>
      </c>
      <c r="AC164" s="599">
        <f>(S164-V164)*V164*W164*0.024653*Z164/1000000</f>
        <v/>
      </c>
      <c r="AD164" s="599">
        <f>AB164-AC164</f>
        <v/>
      </c>
      <c r="AE164" s="599" t="n"/>
      <c r="AF164" s="599" t="n"/>
      <c r="AG164" s="599" t="n"/>
      <c r="AH164" s="599">
        <f>AB163-AF164</f>
        <v/>
      </c>
      <c r="AI164" s="118">
        <f>(AC164+AF164)/AB163</f>
        <v/>
      </c>
    </row>
    <row r="165" hidden="1" s="584">
      <c r="A165" s="594" t="n">
        <v>276</v>
      </c>
      <c r="B165" s="5" t="inlineStr">
        <is>
          <t xml:space="preserve">Khopoli </t>
        </is>
      </c>
      <c r="C165" s="601" t="inlineStr">
        <is>
          <t>Metalman</t>
        </is>
      </c>
      <c r="D165" s="601" t="n"/>
      <c r="E165" s="601" t="n">
        <v>188647</v>
      </c>
      <c r="F165" s="601" t="n">
        <v>2363145</v>
      </c>
      <c r="G165" s="601" t="inlineStr">
        <is>
          <t>TUB-O-C-AUT-AN-FC-14.00X2.450X5.0000</t>
        </is>
      </c>
      <c r="H165" s="601" t="inlineStr">
        <is>
          <t>CEW</t>
        </is>
      </c>
      <c r="I165" s="601" t="n"/>
      <c r="J165" s="601" t="n"/>
      <c r="K165" s="601" t="inlineStr">
        <is>
          <t>HR</t>
        </is>
      </c>
      <c r="L165" s="601" t="n"/>
      <c r="M165" s="601" t="n"/>
      <c r="N165" s="601" t="n"/>
      <c r="O165" s="601" t="n"/>
      <c r="P165" s="557">
        <f>CONCATENATE(schedule13[[#This Row],[OD]],"-",schedule13[[#This Row],[ID]],"-",schedule13[[#This Row],[TICKNESS]],"-",schedule13[[#This Row],[GRADE]],"-",schedule13[[#This Row],[FC/NFC]])</f>
        <v/>
      </c>
      <c r="Q165" s="557" t="n"/>
      <c r="R165" s="557" t="n"/>
      <c r="S165" s="599" t="n">
        <v>14</v>
      </c>
      <c r="T165" s="599" t="n">
        <v>14</v>
      </c>
      <c r="U165" s="599" t="n">
        <v>9.1</v>
      </c>
      <c r="V165" s="599" t="n">
        <v>2.45</v>
      </c>
      <c r="W165" s="600" t="n">
        <v>5000</v>
      </c>
      <c r="X165" s="600" t="n"/>
      <c r="Y165" s="601" t="n">
        <v>0</v>
      </c>
      <c r="Z165" s="601" t="n"/>
      <c r="AA165" s="602">
        <f>Y165-Z165</f>
        <v/>
      </c>
      <c r="AB165" s="599">
        <f>(S165-V165)*V165*W165*0.024653*Y165/1000000</f>
        <v/>
      </c>
      <c r="AC165" s="599">
        <f>(S165-V165)*V165*W165*0.024653*Z165/1000000</f>
        <v/>
      </c>
      <c r="AD165" s="599">
        <f>AB165-AC165</f>
        <v/>
      </c>
      <c r="AE165" s="599" t="n"/>
      <c r="AF165" s="599" t="n">
        <v>2.985</v>
      </c>
      <c r="AG165" s="599" t="n"/>
      <c r="AH165" s="599">
        <f>AB164-AF165</f>
        <v/>
      </c>
      <c r="AI165" s="118">
        <f>(AC165+AF165)/AB164</f>
        <v/>
      </c>
    </row>
    <row r="166" hidden="1" s="584">
      <c r="A166" s="594" t="n">
        <v>277</v>
      </c>
      <c r="B166" s="5" t="inlineStr">
        <is>
          <t>Hosur</t>
        </is>
      </c>
      <c r="C166" s="601" t="inlineStr">
        <is>
          <t>Metalman</t>
        </is>
      </c>
      <c r="D166" s="601" t="n"/>
      <c r="E166" s="601" t="n">
        <v>188647</v>
      </c>
      <c r="F166" s="601" t="n">
        <v>1940732</v>
      </c>
      <c r="G166" s="601" t="inlineStr">
        <is>
          <t>TUB-O-O-AUT-AW-FC-38.10X1.600X0.8210</t>
        </is>
      </c>
      <c r="H166" s="601" t="inlineStr">
        <is>
          <t>ERW 1</t>
        </is>
      </c>
      <c r="I166" s="601" t="n"/>
      <c r="J166" s="601" t="inlineStr">
        <is>
          <t>FC</t>
        </is>
      </c>
      <c r="K166" s="601" t="inlineStr">
        <is>
          <t>HR</t>
        </is>
      </c>
      <c r="L166" s="601" t="inlineStr">
        <is>
          <t>GR1</t>
        </is>
      </c>
      <c r="M166" s="601" t="n"/>
      <c r="N166" s="601" t="n"/>
      <c r="O166" s="601" t="n"/>
      <c r="P166" s="557">
        <f>CONCATENATE(schedule13[[#This Row],[OD]],"-",schedule13[[#This Row],[ID]],"-",schedule13[[#This Row],[TICKNESS]],"-",schedule13[[#This Row],[GRADE]],"-",schedule13[[#This Row],[FC/NFC]])</f>
        <v/>
      </c>
      <c r="Q166" s="557" t="n"/>
      <c r="R166" s="557" t="n"/>
      <c r="S166" s="599" t="n">
        <v>38.1</v>
      </c>
      <c r="T166" s="599" t="n">
        <v>38.1</v>
      </c>
      <c r="U166" s="599" t="n">
        <v>0</v>
      </c>
      <c r="V166" s="599" t="n">
        <v>1.6</v>
      </c>
      <c r="W166" s="600" t="n">
        <v>821</v>
      </c>
      <c r="X166" s="600" t="n"/>
      <c r="Y166" s="601" t="n">
        <v>0</v>
      </c>
      <c r="Z166" s="601" t="n"/>
      <c r="AA166" s="602">
        <f>Y166-Z166</f>
        <v/>
      </c>
      <c r="AB166" s="599">
        <f>(S166-V166)*V166*W166*0.024653*Y166/1000000</f>
        <v/>
      </c>
      <c r="AC166" s="599">
        <f>(S166-V166)*V166*W166*0.024653*Z166/1000000</f>
        <v/>
      </c>
      <c r="AD166" s="599">
        <f>AB166-AC166</f>
        <v/>
      </c>
      <c r="AE166" s="599" t="n"/>
      <c r="AF166" s="599" t="n"/>
      <c r="AG166" s="599" t="n"/>
      <c r="AH166" s="599">
        <f>AB165-AF166</f>
        <v/>
      </c>
      <c r="AI166" s="118">
        <f>(AC166+AF166)/AB165</f>
        <v/>
      </c>
    </row>
    <row r="167" hidden="1" s="584">
      <c r="A167" s="594" t="n">
        <v>278</v>
      </c>
      <c r="B167" s="5" t="inlineStr">
        <is>
          <t xml:space="preserve">Khopoli </t>
        </is>
      </c>
      <c r="C167" s="601" t="inlineStr">
        <is>
          <t>Metalman</t>
        </is>
      </c>
      <c r="D167" s="601" t="n"/>
      <c r="E167" s="601" t="n">
        <v>188647</v>
      </c>
      <c r="F167" s="601" t="n">
        <v>2410994</v>
      </c>
      <c r="G167" s="601" t="inlineStr">
        <is>
          <t>TUB-O-C-AUT-AD-FC-21.75X3.500X04-05</t>
        </is>
      </c>
      <c r="H167" s="601" t="inlineStr">
        <is>
          <t>CEW</t>
        </is>
      </c>
      <c r="I167" s="601" t="n"/>
      <c r="J167" s="601" t="n"/>
      <c r="K167" s="601" t="inlineStr">
        <is>
          <t>HR</t>
        </is>
      </c>
      <c r="L167" s="601" t="n"/>
      <c r="M167" s="601" t="n"/>
      <c r="N167" s="601" t="n"/>
      <c r="O167" s="601" t="n"/>
      <c r="P167" s="557">
        <f>CONCATENATE(schedule13[[#This Row],[OD]],"-",schedule13[[#This Row],[ID]],"-",schedule13[[#This Row],[TICKNESS]],"-",schedule13[[#This Row],[GRADE]],"-",schedule13[[#This Row],[FC/NFC]])</f>
        <v/>
      </c>
      <c r="Q167" s="557" t="n"/>
      <c r="R167" s="557" t="n"/>
      <c r="S167" s="599" t="n">
        <v>21.75</v>
      </c>
      <c r="T167" s="599" t="n">
        <v>21.75</v>
      </c>
      <c r="U167" s="599" t="n">
        <v>0</v>
      </c>
      <c r="V167" s="599" t="n">
        <v>3.5</v>
      </c>
      <c r="W167" s="600" t="n">
        <v>4500</v>
      </c>
      <c r="X167" s="600" t="n"/>
      <c r="Y167" s="601" t="n">
        <v>0</v>
      </c>
      <c r="Z167" s="601" t="n"/>
      <c r="AA167" s="602">
        <f>Y167-Z167</f>
        <v/>
      </c>
      <c r="AB167" s="599">
        <f>(S167-V167)*V167*W167*0.024653*Y167/1000000</f>
        <v/>
      </c>
      <c r="AC167" s="599">
        <f>(S167-V167)*V167*W167*0.024653*Z167/1000000</f>
        <v/>
      </c>
      <c r="AD167" s="599">
        <f>AB167-AC167</f>
        <v/>
      </c>
      <c r="AE167" s="599" t="n"/>
      <c r="AF167" s="599" t="n">
        <v>0.85176</v>
      </c>
      <c r="AG167" s="599" t="n"/>
      <c r="AH167" s="599">
        <f>AB166-AF167</f>
        <v/>
      </c>
      <c r="AI167" s="118">
        <f>(AC167+AF167)/AB166</f>
        <v/>
      </c>
    </row>
    <row r="168" hidden="1" s="584">
      <c r="A168" s="594" t="n">
        <v>279</v>
      </c>
      <c r="B168" s="5" t="inlineStr">
        <is>
          <t>Hosur</t>
        </is>
      </c>
      <c r="C168" s="601" t="inlineStr">
        <is>
          <t>Metalman</t>
        </is>
      </c>
      <c r="D168" s="601" t="n"/>
      <c r="E168" s="601" t="n">
        <v>188647</v>
      </c>
      <c r="F168" s="601" t="n">
        <v>1940831</v>
      </c>
      <c r="G168" s="601" t="inlineStr">
        <is>
          <t>TUB-R-AW-RHS-40.00X30.00X1.600X0.8800</t>
        </is>
      </c>
      <c r="H168" s="601" t="inlineStr">
        <is>
          <t>ERW 1</t>
        </is>
      </c>
      <c r="I168" s="601" t="n"/>
      <c r="J168" s="601" t="inlineStr">
        <is>
          <t>FC</t>
        </is>
      </c>
      <c r="K168" s="601" t="inlineStr">
        <is>
          <t>CR</t>
        </is>
      </c>
      <c r="L168" s="596" t="inlineStr">
        <is>
          <t>GR1</t>
        </is>
      </c>
      <c r="M168" s="601" t="n"/>
      <c r="N168" s="601" t="n"/>
      <c r="O168" s="601" t="n"/>
      <c r="P168" s="557">
        <f>CONCATENATE(schedule13[[#This Row],[OD]],"-",schedule13[[#This Row],[ID]],"-",schedule13[[#This Row],[TICKNESS]],"-",schedule13[[#This Row],[GRADE]],"-",schedule13[[#This Row],[FC/NFC]])</f>
        <v/>
      </c>
      <c r="Q168" s="557" t="n"/>
      <c r="R168" s="557" t="n"/>
      <c r="S168" s="599" t="n">
        <v>44.45</v>
      </c>
      <c r="T168" s="599" t="n">
        <v>40</v>
      </c>
      <c r="U168" s="599" t="n">
        <v>30</v>
      </c>
      <c r="V168" s="599" t="n">
        <v>1.6</v>
      </c>
      <c r="W168" s="600" t="n">
        <v>880</v>
      </c>
      <c r="X168" s="600" t="n"/>
      <c r="Y168" s="601" t="n">
        <v>2500</v>
      </c>
      <c r="Z168" s="601" t="n"/>
      <c r="AA168" s="602">
        <f>Y168-Z168</f>
        <v/>
      </c>
      <c r="AB168" s="599">
        <f>(S168-V168)*V168*W168*0.024653*Y168/1000000</f>
        <v/>
      </c>
      <c r="AC168" s="599">
        <f>(S168-V168)*V168*W168*0.024653*Z168/1000000</f>
        <v/>
      </c>
      <c r="AD168" s="599">
        <f>AB168-AC168</f>
        <v/>
      </c>
      <c r="AE168" s="599" t="n"/>
      <c r="AF168" s="599" t="n">
        <v>7.072933</v>
      </c>
      <c r="AG168" s="599" t="n"/>
      <c r="AH168" s="599">
        <f>AB167-AF168</f>
        <v/>
      </c>
      <c r="AI168" s="118">
        <f>(AC168+AF168)/AB167</f>
        <v/>
      </c>
    </row>
    <row r="169" hidden="1" s="584">
      <c r="A169" s="594" t="n">
        <v>280</v>
      </c>
      <c r="B169" s="5" t="inlineStr">
        <is>
          <t xml:space="preserve">Khopoli </t>
        </is>
      </c>
      <c r="C169" s="601" t="inlineStr">
        <is>
          <t>Metalman</t>
        </is>
      </c>
      <c r="D169" s="601" t="n"/>
      <c r="E169" s="601" t="n">
        <v>188647</v>
      </c>
      <c r="F169" s="601" t="n"/>
      <c r="G169" s="601" t="n"/>
      <c r="H169" s="601" t="inlineStr">
        <is>
          <t>ERW 1</t>
        </is>
      </c>
      <c r="I169" s="601" t="inlineStr">
        <is>
          <t>Annealed</t>
        </is>
      </c>
      <c r="J169" s="601" t="n"/>
      <c r="K169" s="601" t="inlineStr">
        <is>
          <t>HR</t>
        </is>
      </c>
      <c r="L169" s="601" t="n"/>
      <c r="M169" s="601" t="n"/>
      <c r="N169" s="601" t="n"/>
      <c r="O169" s="601" t="n"/>
      <c r="P169" s="557">
        <f>CONCATENATE(schedule13[[#This Row],[OD]],"-",schedule13[[#This Row],[ID]],"-",schedule13[[#This Row],[TICKNESS]],"-",schedule13[[#This Row],[GRADE]],"-",schedule13[[#This Row],[FC/NFC]])</f>
        <v/>
      </c>
      <c r="Q169" s="557" t="n"/>
      <c r="R169" s="557" t="n"/>
      <c r="S169" s="599" t="n">
        <v>42.7</v>
      </c>
      <c r="T169" s="599" t="n">
        <v>0</v>
      </c>
      <c r="U169" s="599" t="n">
        <v>0</v>
      </c>
      <c r="V169" s="599" t="n">
        <v>4</v>
      </c>
      <c r="W169" s="600" t="n">
        <v>266</v>
      </c>
      <c r="X169" s="600" t="n"/>
      <c r="Y169" s="601" t="n">
        <v>0</v>
      </c>
      <c r="Z169" s="601" t="n"/>
      <c r="AA169" s="602">
        <f>Y169-Z169</f>
        <v/>
      </c>
      <c r="AB169" s="599">
        <f>(S169-V169)*V169*W169*0.024653*Y169/1000000</f>
        <v/>
      </c>
      <c r="AC169" s="599">
        <f>(S169-V169)*V169*W169*0.024653*Z169/1000000</f>
        <v/>
      </c>
      <c r="AD169" s="599">
        <f>AB169-AC169</f>
        <v/>
      </c>
      <c r="AE169" s="599" t="n"/>
      <c r="AF169" s="599" t="n"/>
      <c r="AG169" s="599" t="n"/>
      <c r="AH169" s="599">
        <f>AB168-AF169</f>
        <v/>
      </c>
      <c r="AI169" s="118">
        <f>(AC169+AF169)/AB168</f>
        <v/>
      </c>
    </row>
    <row r="170" hidden="1" s="584">
      <c r="A170" s="594" t="n">
        <v>281</v>
      </c>
      <c r="B170" s="5" t="inlineStr">
        <is>
          <t>Hosur</t>
        </is>
      </c>
      <c r="C170" s="601" t="inlineStr">
        <is>
          <t>Metalman</t>
        </is>
      </c>
      <c r="D170" s="601" t="n"/>
      <c r="E170" s="601" t="n">
        <v>188647</v>
      </c>
      <c r="F170" s="601" t="n">
        <v>3712521</v>
      </c>
      <c r="G170" s="601" t="inlineStr">
        <is>
          <t>CUT-R-AW-RHS-40.00X30.00X1.600X0.8350</t>
        </is>
      </c>
      <c r="H170" s="601" t="inlineStr">
        <is>
          <t>ERW 1</t>
        </is>
      </c>
      <c r="I170" s="601" t="n"/>
      <c r="J170" s="601" t="inlineStr">
        <is>
          <t>FC</t>
        </is>
      </c>
      <c r="K170" s="601" t="inlineStr">
        <is>
          <t>CR</t>
        </is>
      </c>
      <c r="L170" s="596" t="inlineStr">
        <is>
          <t>HROP</t>
        </is>
      </c>
      <c r="M170" s="601" t="n"/>
      <c r="N170" s="601" t="n"/>
      <c r="O170" s="601" t="n"/>
      <c r="P170" s="557">
        <f>CONCATENATE(schedule13[[#This Row],[OD]],"-",schedule13[[#This Row],[ID]],"-",schedule13[[#This Row],[TICKNESS]],"-",schedule13[[#This Row],[GRADE]],"-",schedule13[[#This Row],[FC/NFC]])</f>
        <v/>
      </c>
      <c r="Q170" s="557" t="n"/>
      <c r="R170" s="557" t="n"/>
      <c r="S170" s="599" t="n">
        <v>44.45</v>
      </c>
      <c r="T170" s="599" t="n">
        <v>40</v>
      </c>
      <c r="U170" s="599" t="n">
        <v>30</v>
      </c>
      <c r="V170" s="599" t="n">
        <v>1.6</v>
      </c>
      <c r="W170" s="600" t="n">
        <v>835</v>
      </c>
      <c r="X170" s="600" t="n"/>
      <c r="Y170" s="601" t="n">
        <v>13000</v>
      </c>
      <c r="Z170" s="601" t="n"/>
      <c r="AA170" s="602">
        <f>Y170-Z170</f>
        <v/>
      </c>
      <c r="AB170" s="599">
        <f>(S170-V170)*V170*W170*0.024653*Y170/1000000</f>
        <v/>
      </c>
      <c r="AC170" s="599">
        <f>(S170-V170)*V170*W170*0.024653*Z170/1000000</f>
        <v/>
      </c>
      <c r="AD170" s="599">
        <f>AB170-AC170</f>
        <v/>
      </c>
      <c r="AE170" s="599" t="n"/>
      <c r="AF170" s="599" t="n"/>
      <c r="AG170" s="599" t="n"/>
      <c r="AH170" s="599">
        <f>AB169-AF170</f>
        <v/>
      </c>
      <c r="AI170" s="118">
        <f>(AC170+AF170)/AB169</f>
        <v/>
      </c>
    </row>
    <row r="171" hidden="1" s="584">
      <c r="A171" s="594" t="n">
        <v>282</v>
      </c>
      <c r="B171" s="5" t="inlineStr">
        <is>
          <t xml:space="preserve">Khopoli </t>
        </is>
      </c>
      <c r="C171" s="601" t="inlineStr">
        <is>
          <t>Metalman</t>
        </is>
      </c>
      <c r="D171" s="601" t="n"/>
      <c r="E171" s="601" t="n">
        <v>188647</v>
      </c>
      <c r="F171" s="601" t="n">
        <v>3768907</v>
      </c>
      <c r="G171" s="601" t="inlineStr">
        <is>
          <t>CUT-O-N-AUT-AW-FC-41.28X3.200X0.2460</t>
        </is>
      </c>
      <c r="H171" s="601" t="inlineStr">
        <is>
          <t>ERW 1</t>
        </is>
      </c>
      <c r="I171" s="601" t="n"/>
      <c r="J171" s="601" t="inlineStr">
        <is>
          <t>FC</t>
        </is>
      </c>
      <c r="K171" s="601" t="inlineStr">
        <is>
          <t>HR</t>
        </is>
      </c>
      <c r="L171" s="601" t="n"/>
      <c r="M171" s="601" t="inlineStr">
        <is>
          <t>Chamferring</t>
        </is>
      </c>
      <c r="N171" s="601" t="n"/>
      <c r="O171" s="601" t="n"/>
      <c r="P171" s="557">
        <f>CONCATENATE(schedule13[[#This Row],[OD]],"-",schedule13[[#This Row],[ID]],"-",schedule13[[#This Row],[TICKNESS]],"-",schedule13[[#This Row],[GRADE]],"-",schedule13[[#This Row],[FC/NFC]])</f>
        <v/>
      </c>
      <c r="Q171" s="557">
        <f>_xlfn.CONCAT(schedule13[[#This Row],[Bucket]],"-",schedule13[[#This Row],[LENGTH]]/1000)</f>
        <v/>
      </c>
      <c r="R171" s="557">
        <f>COUNTIF(buckets[CTL Bucket],schedule13[[#This Row],[CTL Bucket]])</f>
        <v/>
      </c>
      <c r="S171" s="599" t="n">
        <v>41.28</v>
      </c>
      <c r="T171" s="599" t="n">
        <v>41.28</v>
      </c>
      <c r="U171" s="599" t="n">
        <v>0</v>
      </c>
      <c r="V171" s="599" t="n">
        <v>3.2</v>
      </c>
      <c r="W171" s="600" t="n">
        <v>246</v>
      </c>
      <c r="X171" s="22" t="inlineStr">
        <is>
          <t>NOS</t>
        </is>
      </c>
      <c r="Y171" s="601" t="n">
        <v>8000</v>
      </c>
      <c r="Z171" s="601" t="n"/>
      <c r="AA171" s="602">
        <f>Y171-Z171</f>
        <v/>
      </c>
      <c r="AB171" s="599">
        <f>(S171-V171)*V171*W171*0.024653*Y171/1000000</f>
        <v/>
      </c>
      <c r="AC171" s="599">
        <f>(S171-V171)*V171*W171*0.024653*Z171/1000000</f>
        <v/>
      </c>
      <c r="AD171" s="599">
        <f>AB171-AC171</f>
        <v/>
      </c>
      <c r="AE171" s="599" t="n"/>
      <c r="AF171" s="599" t="n">
        <v>3.988855</v>
      </c>
      <c r="AG171" s="599" t="n"/>
      <c r="AH171" s="599">
        <f>AB170-AF171</f>
        <v/>
      </c>
      <c r="AI171" s="118">
        <f>(AC171+AF171)/AB170</f>
        <v/>
      </c>
    </row>
    <row r="172" hidden="1" s="584">
      <c r="A172" s="594" t="n">
        <v>283</v>
      </c>
      <c r="B172" s="5" t="inlineStr">
        <is>
          <t>Hosur</t>
        </is>
      </c>
      <c r="C172" s="601" t="inlineStr">
        <is>
          <t>Metalman</t>
        </is>
      </c>
      <c r="D172" s="601" t="n"/>
      <c r="E172" s="601" t="n">
        <v>188647</v>
      </c>
      <c r="F172" s="601" t="n">
        <v>3768904</v>
      </c>
      <c r="G172" s="601" t="inlineStr">
        <is>
          <t>CUT-O-N-AUT-AW-FC-38.10X1.600X0.8780</t>
        </is>
      </c>
      <c r="H172" s="601" t="inlineStr">
        <is>
          <t>ERW 2 MAHS</t>
        </is>
      </c>
      <c r="I172" s="601" t="n"/>
      <c r="J172" s="601" t="inlineStr">
        <is>
          <t>FC</t>
        </is>
      </c>
      <c r="K172" s="601" t="inlineStr">
        <is>
          <t>CR</t>
        </is>
      </c>
      <c r="L172" s="596" t="inlineStr">
        <is>
          <t>ST52AL</t>
        </is>
      </c>
      <c r="M172" s="601" t="n"/>
      <c r="N172" s="601" t="n"/>
      <c r="O172" s="601" t="n"/>
      <c r="P172" s="557">
        <f>CONCATENATE(schedule13[[#This Row],[OD]],"-",schedule13[[#This Row],[ID]],"-",schedule13[[#This Row],[TICKNESS]],"-",schedule13[[#This Row],[GRADE]],"-",schedule13[[#This Row],[FC/NFC]])</f>
        <v/>
      </c>
      <c r="Q172" s="557" t="n"/>
      <c r="R172" s="557" t="n"/>
      <c r="S172" s="599" t="n">
        <v>38.1</v>
      </c>
      <c r="T172" s="599" t="n">
        <v>38.1</v>
      </c>
      <c r="U172" s="599" t="n">
        <v>0</v>
      </c>
      <c r="V172" s="599" t="n">
        <v>1.6</v>
      </c>
      <c r="W172" s="600" t="n">
        <v>878</v>
      </c>
      <c r="X172" s="600" t="n"/>
      <c r="Y172" s="601" t="n">
        <v>6000</v>
      </c>
      <c r="Z172" s="601" t="n"/>
      <c r="AA172" s="602">
        <f>Y172-Z172</f>
        <v/>
      </c>
      <c r="AB172" s="599">
        <f>(S172-V172)*V172*W172*0.024653*Y172/1000000</f>
        <v/>
      </c>
      <c r="AC172" s="599">
        <f>(S172-V172)*V172*W172*0.024653*Z172/1000000</f>
        <v/>
      </c>
      <c r="AD172" s="599">
        <f>AB172-AC172</f>
        <v/>
      </c>
      <c r="AE172" s="599" t="n"/>
      <c r="AF172" s="599" t="n"/>
      <c r="AG172" s="599" t="n"/>
      <c r="AH172" s="599">
        <f>AB171-AF172</f>
        <v/>
      </c>
      <c r="AI172" s="118">
        <f>(AC172+AF172)/AB171</f>
        <v/>
      </c>
    </row>
    <row r="173" hidden="1" s="584">
      <c r="A173" s="594" t="n">
        <v>284</v>
      </c>
      <c r="B173" s="5" t="inlineStr">
        <is>
          <t>JSR</t>
        </is>
      </c>
      <c r="C173" s="601" t="inlineStr">
        <is>
          <t>Metalman</t>
        </is>
      </c>
      <c r="D173" s="601" t="n"/>
      <c r="E173" s="601" t="n">
        <v>188647</v>
      </c>
      <c r="F173" s="601" t="n">
        <v>3768904</v>
      </c>
      <c r="G173" s="601" t="inlineStr">
        <is>
          <t>CUT-O-N-AUT-AW-FC-38.10X2.500X0.8780</t>
        </is>
      </c>
      <c r="H173" s="51" t="inlineStr">
        <is>
          <t>ERW 2 MAHS</t>
        </is>
      </c>
      <c r="I173" s="601" t="n"/>
      <c r="J173" s="601" t="inlineStr">
        <is>
          <t>FC</t>
        </is>
      </c>
      <c r="K173" s="601" t="inlineStr">
        <is>
          <t>HR</t>
        </is>
      </c>
      <c r="L173" s="596" t="inlineStr">
        <is>
          <t>ST52AL</t>
        </is>
      </c>
      <c r="M173" s="601" t="n"/>
      <c r="N173" s="601" t="n"/>
      <c r="O173" s="601" t="n"/>
      <c r="P173" s="557">
        <f>CONCATENATE(schedule13[[#This Row],[OD]],"-",schedule13[[#This Row],[ID]],"-",schedule13[[#This Row],[TICKNESS]],"-",schedule13[[#This Row],[GRADE]],"-",schedule13[[#This Row],[FC/NFC]])</f>
        <v/>
      </c>
      <c r="Q173" s="557" t="n"/>
      <c r="R173" s="557" t="n"/>
      <c r="S173" s="599" t="n">
        <v>38.1</v>
      </c>
      <c r="T173" s="599" t="n">
        <v>38.1</v>
      </c>
      <c r="U173" s="599" t="n">
        <v>0</v>
      </c>
      <c r="V173" s="599" t="n">
        <v>2.5</v>
      </c>
      <c r="W173" s="600" t="n">
        <v>878</v>
      </c>
      <c r="X173" s="600" t="n"/>
      <c r="Y173" s="601" t="n">
        <v>6000</v>
      </c>
      <c r="Z173" s="601" t="n"/>
      <c r="AA173" s="602">
        <f>Y173-Z173</f>
        <v/>
      </c>
      <c r="AB173" s="599">
        <f>(S173-V173)*V173*W173*0.024653*Y173/1000000</f>
        <v/>
      </c>
      <c r="AC173" s="599">
        <f>(S173-V173)*V173*W173*0.024653*Z173/1000000</f>
        <v/>
      </c>
      <c r="AD173" s="599">
        <f>AB173-AC173</f>
        <v/>
      </c>
      <c r="AE173" s="599" t="n"/>
      <c r="AF173" s="599" t="n"/>
      <c r="AG173" s="599" t="n"/>
      <c r="AH173" s="599">
        <f>AB172-AF173</f>
        <v/>
      </c>
      <c r="AI173" s="118">
        <f>(AC173+AF173)/AB172</f>
        <v/>
      </c>
    </row>
    <row r="174" hidden="1" s="584">
      <c r="A174" s="594" t="n">
        <v>285</v>
      </c>
      <c r="B174" s="5" t="inlineStr">
        <is>
          <t xml:space="preserve">Khopoli </t>
        </is>
      </c>
      <c r="C174" s="601" t="inlineStr">
        <is>
          <t>Metalman</t>
        </is>
      </c>
      <c r="D174" s="601" t="n"/>
      <c r="E174" s="601" t="n">
        <v>188647</v>
      </c>
      <c r="F174" s="601" t="n">
        <v>3768903</v>
      </c>
      <c r="G174" s="601" t="inlineStr">
        <is>
          <t>CUT-O-N-AUT-AW-FC-60.30X2.000X0.5250</t>
        </is>
      </c>
      <c r="H174" s="601" t="inlineStr">
        <is>
          <t>ERW 1</t>
        </is>
      </c>
      <c r="I174" s="601" t="n"/>
      <c r="J174" s="601" t="inlineStr">
        <is>
          <t>FC</t>
        </is>
      </c>
      <c r="K174" s="601" t="inlineStr">
        <is>
          <t>HR</t>
        </is>
      </c>
      <c r="L174" s="601" t="n"/>
      <c r="M174" s="601" t="n"/>
      <c r="N174" s="601" t="inlineStr">
        <is>
          <t>AG</t>
        </is>
      </c>
      <c r="O174" s="601" t="n"/>
      <c r="P174" s="557">
        <f>CONCATENATE(schedule13[[#This Row],[OD]],"-",schedule13[[#This Row],[ID]],"-",schedule13[[#This Row],[TICKNESS]],"-",schedule13[[#This Row],[GRADE]],"-",schedule13[[#This Row],[FC/NFC]])</f>
        <v/>
      </c>
      <c r="Q174" s="557">
        <f>_xlfn.CONCAT(schedule13[[#This Row],[Bucket]],"-",schedule13[[#This Row],[LENGTH]]/1000)</f>
        <v/>
      </c>
      <c r="R174" s="557">
        <f>COUNTIF(buckets[CTL Bucket],schedule13[[#This Row],[CTL Bucket]])</f>
        <v/>
      </c>
      <c r="S174" s="599" t="n">
        <v>60.3</v>
      </c>
      <c r="T174" s="599" t="n">
        <v>60.3</v>
      </c>
      <c r="U174" s="599" t="n">
        <v>0</v>
      </c>
      <c r="V174" s="599" t="n">
        <v>2</v>
      </c>
      <c r="W174" s="600" t="n">
        <v>525</v>
      </c>
      <c r="X174" s="22" t="inlineStr">
        <is>
          <t>NOS</t>
        </is>
      </c>
      <c r="Y174" s="601" t="n">
        <v>6000</v>
      </c>
      <c r="Z174" s="601" t="n"/>
      <c r="AA174" s="602">
        <f>Y174-Z174</f>
        <v/>
      </c>
      <c r="AB174" s="599">
        <f>(S174-V174)*V174*W174*0.024653*Y174/1000000</f>
        <v/>
      </c>
      <c r="AC174" s="599">
        <f>(S174-V174)*V174*W174*0.024653*Z174/1000000</f>
        <v/>
      </c>
      <c r="AD174" s="599">
        <f>AB174-AC174</f>
        <v/>
      </c>
      <c r="AE174" s="599" t="n"/>
      <c r="AF174" s="599" t="n"/>
      <c r="AG174" s="599" t="n"/>
      <c r="AH174" s="599">
        <f>AB173-AF174</f>
        <v/>
      </c>
      <c r="AI174" s="118">
        <f>(AC174+AF174)/AB173</f>
        <v/>
      </c>
    </row>
    <row r="175" hidden="1" s="584">
      <c r="A175" s="594" t="n">
        <v>286</v>
      </c>
      <c r="B175" s="5" t="inlineStr">
        <is>
          <t>Hosur</t>
        </is>
      </c>
      <c r="C175" s="601" t="inlineStr">
        <is>
          <t>Metalman</t>
        </is>
      </c>
      <c r="D175" s="601" t="n"/>
      <c r="E175" s="601" t="n">
        <v>188647</v>
      </c>
      <c r="F175" s="601" t="n">
        <v>3768906</v>
      </c>
      <c r="G175" s="601" t="inlineStr">
        <is>
          <t>CUT-O-N-AUT-AW-AG-57.15X2.500X0.3460</t>
        </is>
      </c>
      <c r="H175" s="601" t="inlineStr">
        <is>
          <t>ERW 1</t>
        </is>
      </c>
      <c r="I175" s="601" t="n"/>
      <c r="J175" s="601" t="inlineStr">
        <is>
          <t>FC</t>
        </is>
      </c>
      <c r="K175" s="601" t="inlineStr">
        <is>
          <t>HR</t>
        </is>
      </c>
      <c r="L175" s="601" t="n"/>
      <c r="M175" s="601" t="n"/>
      <c r="N175" s="601" t="inlineStr">
        <is>
          <t>AG</t>
        </is>
      </c>
      <c r="O175" s="601" t="n"/>
      <c r="P175" s="557">
        <f>CONCATENATE(schedule13[[#This Row],[OD]],"-",schedule13[[#This Row],[ID]],"-",schedule13[[#This Row],[TICKNESS]],"-",schedule13[[#This Row],[GRADE]],"-",schedule13[[#This Row],[FC/NFC]])</f>
        <v/>
      </c>
      <c r="Q175" s="557">
        <f>_xlfn.CONCAT(schedule13[[#This Row],[Bucket]],"-",schedule13[[#This Row],[LENGTH]]/1000)</f>
        <v/>
      </c>
      <c r="R175" s="557" t="n"/>
      <c r="S175" s="599" t="n">
        <v>57.15</v>
      </c>
      <c r="T175" s="599" t="n">
        <v>57.15</v>
      </c>
      <c r="U175" s="599" t="n">
        <v>0</v>
      </c>
      <c r="V175" s="599" t="n">
        <v>2.5</v>
      </c>
      <c r="W175" s="600" t="n">
        <v>346</v>
      </c>
      <c r="X175" s="600" t="inlineStr">
        <is>
          <t>NOS</t>
        </is>
      </c>
      <c r="Y175" s="601" t="n">
        <v>0</v>
      </c>
      <c r="Z175" s="601" t="n"/>
      <c r="AA175" s="602">
        <f>Y175-Z175</f>
        <v/>
      </c>
      <c r="AB175" s="599">
        <f>(S175-V175)*V175*W175*0.024653*Y175/1000000</f>
        <v/>
      </c>
      <c r="AC175" s="599">
        <f>(S175-V175)*V175*W175*0.024653*Z175/1000000</f>
        <v/>
      </c>
      <c r="AD175" s="599">
        <f>AB175-AC175</f>
        <v/>
      </c>
      <c r="AE175" s="599" t="n"/>
      <c r="AF175" s="599" t="n"/>
      <c r="AG175" s="599" t="n"/>
      <c r="AH175" s="599">
        <f>AB174-AF175</f>
        <v/>
      </c>
      <c r="AI175" s="118">
        <f>(AC175+AF175)/AB174</f>
        <v/>
      </c>
    </row>
    <row r="176" hidden="1" s="584">
      <c r="A176" s="594" t="n">
        <v>287</v>
      </c>
      <c r="B176" s="5" t="inlineStr">
        <is>
          <t>Hosur</t>
        </is>
      </c>
      <c r="C176" s="601" t="inlineStr">
        <is>
          <t>Metalman</t>
        </is>
      </c>
      <c r="D176" s="601" t="n"/>
      <c r="E176" s="601" t="n">
        <v>188647</v>
      </c>
      <c r="F176" s="601" t="n">
        <v>2440972</v>
      </c>
      <c r="G176" s="601" t="inlineStr">
        <is>
          <t>TUB-O-N-AUT-AW-FC-57.15X2.500X0.3750</t>
        </is>
      </c>
      <c r="H176" s="601" t="inlineStr">
        <is>
          <t>ERW 1</t>
        </is>
      </c>
      <c r="I176" s="601" t="n"/>
      <c r="J176" s="601" t="inlineStr">
        <is>
          <t>FC</t>
        </is>
      </c>
      <c r="K176" s="601" t="inlineStr">
        <is>
          <t>HR</t>
        </is>
      </c>
      <c r="L176" s="601" t="n"/>
      <c r="M176" s="601" t="n"/>
      <c r="N176" s="601" t="n"/>
      <c r="O176" s="601" t="n"/>
      <c r="P176" s="557">
        <f>CONCATENATE(schedule13[[#This Row],[OD]],"-",schedule13[[#This Row],[ID]],"-",schedule13[[#This Row],[TICKNESS]],"-",schedule13[[#This Row],[GRADE]],"-",schedule13[[#This Row],[FC/NFC]])</f>
        <v/>
      </c>
      <c r="Q176" s="557" t="n"/>
      <c r="R176" s="557" t="n"/>
      <c r="S176" s="599" t="n">
        <v>57.15</v>
      </c>
      <c r="T176" s="599" t="n">
        <v>57.15</v>
      </c>
      <c r="U176" s="599" t="n">
        <v>0</v>
      </c>
      <c r="V176" s="599" t="n">
        <v>2.5</v>
      </c>
      <c r="W176" s="600" t="n">
        <v>375</v>
      </c>
      <c r="X176" s="600" t="n"/>
      <c r="Y176" s="601" t="n">
        <v>0</v>
      </c>
      <c r="Z176" s="601" t="n"/>
      <c r="AA176" s="602">
        <f>Y176-Z176</f>
        <v/>
      </c>
      <c r="AB176" s="599">
        <f>(S176-V176)*V176*W176*0.024653*Y176/1000000</f>
        <v/>
      </c>
      <c r="AC176" s="599">
        <f>(S176-V176)*V176*W176*0.024653*Z176/1000000</f>
        <v/>
      </c>
      <c r="AD176" s="599">
        <f>AB176-AC176</f>
        <v/>
      </c>
      <c r="AE176" s="599" t="n"/>
      <c r="AF176" s="599" t="n"/>
      <c r="AG176" s="599" t="n"/>
      <c r="AH176" s="599">
        <f>AB175-AF176</f>
        <v/>
      </c>
      <c r="AI176" s="118">
        <f>(AC176+AF176)/AB175</f>
        <v/>
      </c>
    </row>
    <row r="177" hidden="1" s="584">
      <c r="A177" s="594" t="n">
        <v>288</v>
      </c>
      <c r="B177" s="5" t="inlineStr">
        <is>
          <t>Hosur</t>
        </is>
      </c>
      <c r="C177" s="601" t="inlineStr">
        <is>
          <t>Metalman</t>
        </is>
      </c>
      <c r="D177" s="601" t="n"/>
      <c r="E177" s="601" t="n">
        <v>188647</v>
      </c>
      <c r="F177" s="601" t="n">
        <v>3768905</v>
      </c>
      <c r="G177" s="601" t="inlineStr">
        <is>
          <t>CUT-R-AW-AUT-40.00X25.00X1.600X0.3220</t>
        </is>
      </c>
      <c r="H177" s="601" t="inlineStr">
        <is>
          <t>ERW 1</t>
        </is>
      </c>
      <c r="I177" s="601" t="n"/>
      <c r="J177" s="601" t="inlineStr">
        <is>
          <t>FC</t>
        </is>
      </c>
      <c r="K177" s="601" t="inlineStr">
        <is>
          <t>CR</t>
        </is>
      </c>
      <c r="L177" s="596" t="inlineStr">
        <is>
          <t>KGR2</t>
        </is>
      </c>
      <c r="M177" s="601" t="n"/>
      <c r="N177" s="601" t="n"/>
      <c r="O177" s="601" t="n"/>
      <c r="P177" s="557">
        <f>CONCATENATE(schedule13[[#This Row],[OD]],"-",schedule13[[#This Row],[ID]],"-",schedule13[[#This Row],[TICKNESS]],"-",schedule13[[#This Row],[GRADE]],"-",schedule13[[#This Row],[FC/NFC]])</f>
        <v/>
      </c>
      <c r="Q177" s="557" t="n"/>
      <c r="R177" s="557" t="n"/>
      <c r="S177" s="599" t="n">
        <v>41.28</v>
      </c>
      <c r="T177" s="599" t="n">
        <v>40</v>
      </c>
      <c r="U177" s="599" t="n">
        <v>25</v>
      </c>
      <c r="V177" s="599" t="n">
        <v>1.6</v>
      </c>
      <c r="W177" s="600" t="n">
        <v>322</v>
      </c>
      <c r="X177" s="600" t="n"/>
      <c r="Y177" s="601" t="n">
        <v>0</v>
      </c>
      <c r="Z177" s="601" t="n"/>
      <c r="AA177" s="602">
        <f>Y177-Z177</f>
        <v/>
      </c>
      <c r="AB177" s="599">
        <f>(S177-V177)*V177*W177*0.024653*Y177/1000000</f>
        <v/>
      </c>
      <c r="AC177" s="599">
        <f>(S177-V177)*V177*W177*0.024653*Z177/1000000</f>
        <v/>
      </c>
      <c r="AD177" s="599">
        <f>AB177-AC177</f>
        <v/>
      </c>
      <c r="AE177" s="599" t="n"/>
      <c r="AF177" s="599" t="n">
        <v>0.164</v>
      </c>
      <c r="AG177" s="599" t="n"/>
      <c r="AH177" s="599">
        <f>AB176-AF177</f>
        <v/>
      </c>
      <c r="AI177" s="118">
        <f>(AC177+AF177)/AB176</f>
        <v/>
      </c>
    </row>
    <row r="178" hidden="1" s="584">
      <c r="A178" s="594" t="n">
        <v>290</v>
      </c>
      <c r="B178" s="5" t="inlineStr">
        <is>
          <t xml:space="preserve">Khopoli </t>
        </is>
      </c>
      <c r="C178" s="601" t="inlineStr">
        <is>
          <t>Metalman</t>
        </is>
      </c>
      <c r="D178" s="601" t="n"/>
      <c r="E178" s="601" t="n">
        <v>188647</v>
      </c>
      <c r="F178" s="601" t="n">
        <v>3545492</v>
      </c>
      <c r="G178" s="601" t="inlineStr">
        <is>
          <t>TUB-O-C-AUT-AD-FC-19.00X3.250X0.1950</t>
        </is>
      </c>
      <c r="H178" s="601" t="inlineStr">
        <is>
          <t>CEW</t>
        </is>
      </c>
      <c r="I178" s="601" t="n"/>
      <c r="J178" s="601" t="inlineStr">
        <is>
          <t>CEW</t>
        </is>
      </c>
      <c r="K178" s="601" t="n"/>
      <c r="L178" s="601" t="n"/>
      <c r="M178" s="601" t="n"/>
      <c r="N178" s="601" t="n"/>
      <c r="O178" s="601" t="n"/>
      <c r="P178" s="557">
        <f>CONCATENATE(schedule13[[#This Row],[OD]],"-",schedule13[[#This Row],[ID]],"-",schedule13[[#This Row],[TICKNESS]],"-",schedule13[[#This Row],[GRADE]],"-",schedule13[[#This Row],[FC/NFC]])</f>
        <v/>
      </c>
      <c r="Q178" s="557" t="n"/>
      <c r="R178" s="557" t="n"/>
      <c r="S178" s="599" t="n">
        <v>19.05</v>
      </c>
      <c r="T178" s="599" t="n">
        <v>19</v>
      </c>
      <c r="U178" s="599" t="n">
        <v>12.5</v>
      </c>
      <c r="V178" s="599" t="n">
        <v>3.25</v>
      </c>
      <c r="W178" s="600" t="n">
        <v>195</v>
      </c>
      <c r="X178" s="600" t="n"/>
      <c r="Y178" s="601" t="n">
        <v>8000</v>
      </c>
      <c r="Z178" s="601" t="n"/>
      <c r="AA178" s="602">
        <f>Y178-Z178</f>
        <v/>
      </c>
      <c r="AB178" s="599">
        <f>(S178-V178)*V178*W178*0.024653*Y178/1000000</f>
        <v/>
      </c>
      <c r="AC178" s="599">
        <f>(S178-V178)*V178*W178*0.024653*Z178/1000000</f>
        <v/>
      </c>
      <c r="AD178" s="599">
        <f>AB178-AC178</f>
        <v/>
      </c>
      <c r="AE178" s="599" t="n"/>
      <c r="AF178" s="599" t="n"/>
      <c r="AG178" s="599" t="n"/>
      <c r="AH178" s="599" t="n"/>
      <c r="AI178" s="118" t="n"/>
    </row>
    <row r="179" hidden="1" s="584">
      <c r="A179" s="594" t="n">
        <v>291</v>
      </c>
      <c r="B179" s="5" t="inlineStr">
        <is>
          <t xml:space="preserve">Khopoli </t>
        </is>
      </c>
      <c r="C179" s="601" t="inlineStr">
        <is>
          <t>Metalman</t>
        </is>
      </c>
      <c r="D179" s="601" t="n"/>
      <c r="E179" s="601" t="n">
        <v>188647</v>
      </c>
      <c r="F179" s="601" t="n">
        <v>3545493</v>
      </c>
      <c r="G179" s="601" t="inlineStr">
        <is>
          <t>TUB-O-C-AUT-AD-FC-19.00X3.250X0.1800</t>
        </is>
      </c>
      <c r="H179" s="601" t="inlineStr">
        <is>
          <t>CEW</t>
        </is>
      </c>
      <c r="I179" s="601" t="n"/>
      <c r="J179" s="601" t="inlineStr">
        <is>
          <t>CEW</t>
        </is>
      </c>
      <c r="K179" s="601" t="n"/>
      <c r="L179" s="601" t="n"/>
      <c r="M179" s="601" t="n"/>
      <c r="N179" s="601" t="n"/>
      <c r="O179" s="601" t="n"/>
      <c r="P179" s="557">
        <f>CONCATENATE(schedule13[[#This Row],[OD]],"-",schedule13[[#This Row],[ID]],"-",schedule13[[#This Row],[TICKNESS]],"-",schedule13[[#This Row],[GRADE]],"-",schedule13[[#This Row],[FC/NFC]])</f>
        <v/>
      </c>
      <c r="Q179" s="557" t="n"/>
      <c r="R179" s="557" t="n"/>
      <c r="S179" s="599" t="n">
        <v>19.05</v>
      </c>
      <c r="T179" s="599" t="n">
        <v>19</v>
      </c>
      <c r="U179" s="599" t="n">
        <v>12.5</v>
      </c>
      <c r="V179" s="599" t="n">
        <v>3.25</v>
      </c>
      <c r="W179" s="600" t="n">
        <v>180</v>
      </c>
      <c r="X179" s="600" t="n"/>
      <c r="Y179" s="601" t="n">
        <v>5000</v>
      </c>
      <c r="Z179" s="601" t="n"/>
      <c r="AA179" s="602">
        <f>Y179-Z179</f>
        <v/>
      </c>
      <c r="AB179" s="599">
        <f>(S179-V179)*V179*W179*0.024653*Y179/1000000</f>
        <v/>
      </c>
      <c r="AC179" s="599">
        <f>(S179-V179)*V179*W179*0.024653*Z179/1000000</f>
        <v/>
      </c>
      <c r="AD179" s="599">
        <f>AB179-AC179</f>
        <v/>
      </c>
      <c r="AE179" s="599" t="n"/>
      <c r="AF179" s="599" t="n">
        <v>0.06507399999999999</v>
      </c>
      <c r="AG179" s="599" t="n"/>
      <c r="AH179" s="599">
        <f>AB178-AF179</f>
        <v/>
      </c>
      <c r="AI179" s="118">
        <f>(AC179+AF179)/AB178</f>
        <v/>
      </c>
    </row>
    <row r="180" hidden="1" s="584">
      <c r="A180" s="594" t="n">
        <v>292</v>
      </c>
      <c r="B180" s="5" t="inlineStr">
        <is>
          <t>Hosur</t>
        </is>
      </c>
      <c r="C180" s="601" t="inlineStr">
        <is>
          <t>Metalman</t>
        </is>
      </c>
      <c r="D180" s="601" t="n"/>
      <c r="E180" s="601" t="n">
        <v>188647</v>
      </c>
      <c r="F180" s="601" t="n">
        <v>3732180</v>
      </c>
      <c r="G180" s="601" t="inlineStr">
        <is>
          <t>TUB-O-O-AUT-AW-FC-25.40X1.600X0.2080</t>
        </is>
      </c>
      <c r="H180" s="601" t="inlineStr">
        <is>
          <t>ERW 1</t>
        </is>
      </c>
      <c r="I180" s="601" t="n"/>
      <c r="J180" s="601" t="inlineStr">
        <is>
          <t>FC</t>
        </is>
      </c>
      <c r="K180" s="601" t="inlineStr">
        <is>
          <t>CR</t>
        </is>
      </c>
      <c r="L180" s="596" t="inlineStr">
        <is>
          <t>NORMAL</t>
        </is>
      </c>
      <c r="M180" s="601" t="n"/>
      <c r="N180" s="601" t="n"/>
      <c r="O180" s="601" t="n"/>
      <c r="P180" s="557">
        <f>CONCATENATE(schedule13[[#This Row],[OD]],"-",schedule13[[#This Row],[ID]],"-",schedule13[[#This Row],[TICKNESS]],"-",schedule13[[#This Row],[GRADE]],"-",schedule13[[#This Row],[FC/NFC]])</f>
        <v/>
      </c>
      <c r="Q180" s="557" t="n"/>
      <c r="R180" s="557" t="n"/>
      <c r="S180" s="599" t="n">
        <v>25.4</v>
      </c>
      <c r="T180" s="599" t="n">
        <v>25.4</v>
      </c>
      <c r="U180" s="599" t="n">
        <v>0</v>
      </c>
      <c r="V180" s="599" t="n">
        <v>1.6</v>
      </c>
      <c r="W180" s="600" t="n">
        <v>208</v>
      </c>
      <c r="X180" s="600" t="n"/>
      <c r="Y180" s="601" t="n">
        <v>0</v>
      </c>
      <c r="Z180" s="601" t="n"/>
      <c r="AA180" s="602">
        <f>Y180-Z180</f>
        <v/>
      </c>
      <c r="AB180" s="599">
        <f>(S180-V180)*V180*W180*0.024653*Y180/1000000</f>
        <v/>
      </c>
      <c r="AC180" s="599">
        <f>(S180-V180)*V180*W180*0.024653*Z180/1000000</f>
        <v/>
      </c>
      <c r="AD180" s="599">
        <f>AB180-AC180</f>
        <v/>
      </c>
      <c r="AE180" s="599" t="n"/>
      <c r="AF180" s="599" t="n"/>
      <c r="AG180" s="599" t="n"/>
      <c r="AH180" s="599">
        <f>AB179-AF180</f>
        <v/>
      </c>
      <c r="AI180" s="118" t="n"/>
    </row>
    <row r="181" hidden="1" s="584">
      <c r="A181" s="594" t="n">
        <v>293</v>
      </c>
      <c r="B181" s="5" t="inlineStr">
        <is>
          <t>Hosur</t>
        </is>
      </c>
      <c r="C181" s="601" t="inlineStr">
        <is>
          <t>Metalman</t>
        </is>
      </c>
      <c r="D181" s="601" t="n"/>
      <c r="E181" s="601" t="n">
        <v>188647</v>
      </c>
      <c r="F181" s="601" t="n">
        <v>3768902</v>
      </c>
      <c r="G181" s="601" t="inlineStr">
        <is>
          <t xml:space="preserve">CUT-O-N-AUT-AW-FC-38.10X2.000X0.2770 </t>
        </is>
      </c>
      <c r="H181" s="601" t="inlineStr">
        <is>
          <t>ERW 1</t>
        </is>
      </c>
      <c r="I181" s="601" t="n"/>
      <c r="J181" s="601" t="n"/>
      <c r="K181" s="601" t="inlineStr">
        <is>
          <t>HR</t>
        </is>
      </c>
      <c r="L181" s="601" t="n"/>
      <c r="M181" s="601" t="n"/>
      <c r="N181" s="601" t="n"/>
      <c r="O181" s="601" t="n"/>
      <c r="P181" s="557">
        <f>CONCATENATE(schedule13[[#This Row],[OD]],"-",schedule13[[#This Row],[ID]],"-",schedule13[[#This Row],[TICKNESS]],"-",schedule13[[#This Row],[GRADE]],"-",schedule13[[#This Row],[FC/NFC]])</f>
        <v/>
      </c>
      <c r="Q181" s="557" t="n"/>
      <c r="R181" s="557" t="n"/>
      <c r="S181" s="599" t="n">
        <v>38.1</v>
      </c>
      <c r="T181" s="599" t="n">
        <v>38.1</v>
      </c>
      <c r="U181" s="599" t="n">
        <v>0</v>
      </c>
      <c r="V181" s="599" t="n">
        <v>2</v>
      </c>
      <c r="W181" s="600" t="n">
        <v>276.5</v>
      </c>
      <c r="X181" s="600" t="n"/>
      <c r="Y181" s="601" t="n">
        <v>0</v>
      </c>
      <c r="Z181" s="601" t="n"/>
      <c r="AA181" s="602">
        <f>Y181-Z181</f>
        <v/>
      </c>
      <c r="AB181" s="599">
        <f>(S181-V181)*V181*W181*0.024653*Y181/1000000</f>
        <v/>
      </c>
      <c r="AC181" s="599">
        <f>(S181-V181)*V181*W181*0.024653*Z181/1000000</f>
        <v/>
      </c>
      <c r="AD181" s="599">
        <f>AB181-AC181</f>
        <v/>
      </c>
      <c r="AE181" s="599" t="n"/>
      <c r="AF181" s="599" t="n">
        <v>2.189</v>
      </c>
      <c r="AG181" s="599" t="n"/>
      <c r="AH181" s="599">
        <f>AB180-AF181</f>
        <v/>
      </c>
      <c r="AI181" s="118">
        <f>(AC181+AF181)/AB180</f>
        <v/>
      </c>
    </row>
    <row r="182" hidden="1" s="584">
      <c r="A182" s="594" t="n">
        <v>294</v>
      </c>
      <c r="B182" s="5" t="inlineStr">
        <is>
          <t>Hosur</t>
        </is>
      </c>
      <c r="C182" s="601" t="inlineStr">
        <is>
          <t>Metalman</t>
        </is>
      </c>
      <c r="D182" s="601" t="n"/>
      <c r="E182" s="601" t="n">
        <v>188647</v>
      </c>
      <c r="F182" s="601" t="n"/>
      <c r="G182" s="601" t="n"/>
      <c r="H182" s="601" t="inlineStr">
        <is>
          <t>ERW 1</t>
        </is>
      </c>
      <c r="I182" s="601" t="n"/>
      <c r="J182" s="601" t="n"/>
      <c r="K182" s="601" t="inlineStr">
        <is>
          <t>CR</t>
        </is>
      </c>
      <c r="L182" s="601" t="n"/>
      <c r="M182" s="601" t="n"/>
      <c r="N182" s="601" t="n"/>
      <c r="O182" s="601" t="n"/>
      <c r="P182" s="557">
        <f>CONCATENATE(schedule13[[#This Row],[OD]],"-",schedule13[[#This Row],[ID]],"-",schedule13[[#This Row],[TICKNESS]],"-",schedule13[[#This Row],[GRADE]],"-",schedule13[[#This Row],[FC/NFC]])</f>
        <v/>
      </c>
      <c r="Q182" s="557" t="n"/>
      <c r="R182" s="557" t="n"/>
      <c r="S182" s="599" t="n">
        <v>28.58</v>
      </c>
      <c r="T182" s="599" t="n">
        <v>28.58</v>
      </c>
      <c r="U182" s="6" t="n">
        <v>0</v>
      </c>
      <c r="V182" s="599" t="n">
        <v>1.6</v>
      </c>
      <c r="W182" s="600" t="n">
        <v>6000</v>
      </c>
      <c r="X182" s="600" t="n"/>
      <c r="Y182" s="601" t="n">
        <v>0</v>
      </c>
      <c r="Z182" s="601" t="n"/>
      <c r="AA182" s="602">
        <f>Y182-Z182</f>
        <v/>
      </c>
      <c r="AB182" s="599">
        <f>(S182-V182)*V182*W182*0.024653*Y182/1000000</f>
        <v/>
      </c>
      <c r="AC182" s="599">
        <f>(S182-V182)*V182*W182*0.024653*Z182/1000000</f>
        <v/>
      </c>
      <c r="AD182" s="599">
        <f>AB182-AC182</f>
        <v/>
      </c>
      <c r="AE182" s="599" t="n"/>
      <c r="AF182" s="599" t="n"/>
      <c r="AG182" s="599" t="n"/>
      <c r="AH182" s="599">
        <f>AB181-AF182</f>
        <v/>
      </c>
      <c r="AI182" s="118">
        <f>(AC182+AF182)/AB181</f>
        <v/>
      </c>
    </row>
    <row r="183" hidden="1" s="584">
      <c r="A183" s="594" t="n">
        <v>389</v>
      </c>
      <c r="B183" s="5" t="inlineStr">
        <is>
          <t xml:space="preserve">Khopoli </t>
        </is>
      </c>
      <c r="C183" s="601" t="inlineStr">
        <is>
          <t>Metalman</t>
        </is>
      </c>
      <c r="D183" s="601" t="n"/>
      <c r="E183" s="601" t="n">
        <v>188647</v>
      </c>
      <c r="F183" s="601" t="n">
        <v>2426233</v>
      </c>
      <c r="G183" s="601" t="inlineStr">
        <is>
          <t>TUB-O-N-AUT-AN-FC-42.70X4.000X5.7300</t>
        </is>
      </c>
      <c r="H183" s="601" t="inlineStr">
        <is>
          <t>CEW</t>
        </is>
      </c>
      <c r="I183" s="601" t="inlineStr">
        <is>
          <t>Annealed</t>
        </is>
      </c>
      <c r="J183" s="601" t="n"/>
      <c r="K183" s="601" t="inlineStr">
        <is>
          <t>HR</t>
        </is>
      </c>
      <c r="L183" s="601" t="n"/>
      <c r="M183" s="601" t="n"/>
      <c r="N183" s="601" t="n"/>
      <c r="O183" s="601" t="n"/>
      <c r="P183" s="557">
        <f>CONCATENATE(schedule13[[#This Row],[OD]],"-",schedule13[[#This Row],[ID]],"-",schedule13[[#This Row],[TICKNESS]],"-",schedule13[[#This Row],[GRADE]],"-",schedule13[[#This Row],[FC/NFC]])</f>
        <v/>
      </c>
      <c r="Q183" s="557" t="n"/>
      <c r="R183" s="557" t="n"/>
      <c r="S183" s="599" t="n">
        <v>42.7</v>
      </c>
      <c r="T183" s="599" t="n">
        <v>42.7</v>
      </c>
      <c r="U183" s="599" t="n">
        <v>0</v>
      </c>
      <c r="V183" s="599" t="n">
        <v>4</v>
      </c>
      <c r="W183" s="23" t="n">
        <v>5730</v>
      </c>
      <c r="X183" s="23" t="n"/>
      <c r="Y183" s="601" t="n">
        <v>0</v>
      </c>
      <c r="Z183" s="601" t="n"/>
      <c r="AA183" s="602">
        <f>Y183-Z183</f>
        <v/>
      </c>
      <c r="AB183" s="599">
        <f>(S183-V183)*V183*W183*0.024653*Y183/1000000</f>
        <v/>
      </c>
      <c r="AC183" s="599">
        <f>(S183-V183)*V183*W183*0.024653*Z183/1000000</f>
        <v/>
      </c>
      <c r="AD183" s="599">
        <f>AB183-AC183</f>
        <v/>
      </c>
      <c r="AE183" s="599" t="n"/>
      <c r="AF183" s="599" t="n">
        <v>4.775849999999999</v>
      </c>
      <c r="AG183" s="599" t="n"/>
      <c r="AH183" s="599">
        <f>AB182-AF183</f>
        <v/>
      </c>
      <c r="AI183" s="118">
        <f>(AC183+AF183)/AB182</f>
        <v/>
      </c>
    </row>
    <row r="184" hidden="1" s="584">
      <c r="A184" s="594" t="n">
        <v>390</v>
      </c>
      <c r="B184" s="5" t="inlineStr">
        <is>
          <t xml:space="preserve">Khopoli </t>
        </is>
      </c>
      <c r="C184" s="601" t="inlineStr">
        <is>
          <t>Metalman</t>
        </is>
      </c>
      <c r="D184" s="601" t="n"/>
      <c r="E184" s="601" t="n">
        <v>188647</v>
      </c>
      <c r="F184" s="601" t="n">
        <v>2396465</v>
      </c>
      <c r="G184" s="601" t="inlineStr">
        <is>
          <t>TUB-O-N-AUT-AN-FC-42.70X3.500X6.0000</t>
        </is>
      </c>
      <c r="H184" s="601" t="inlineStr">
        <is>
          <t>CEW</t>
        </is>
      </c>
      <c r="I184" s="601" t="inlineStr">
        <is>
          <t>Annealed</t>
        </is>
      </c>
      <c r="J184" s="601" t="n"/>
      <c r="K184" s="601" t="inlineStr">
        <is>
          <t>HR</t>
        </is>
      </c>
      <c r="L184" s="601" t="n"/>
      <c r="M184" s="601" t="n"/>
      <c r="N184" s="601" t="n"/>
      <c r="O184" s="601" t="n"/>
      <c r="P184" s="557">
        <f>CONCATENATE(schedule13[[#This Row],[OD]],"-",schedule13[[#This Row],[ID]],"-",schedule13[[#This Row],[TICKNESS]],"-",schedule13[[#This Row],[GRADE]],"-",schedule13[[#This Row],[FC/NFC]])</f>
        <v/>
      </c>
      <c r="Q184" s="557" t="n"/>
      <c r="R184" s="557" t="n"/>
      <c r="S184" s="599" t="n">
        <v>42.7</v>
      </c>
      <c r="T184" s="599" t="n">
        <v>42.7</v>
      </c>
      <c r="U184" s="599" t="n">
        <v>0</v>
      </c>
      <c r="V184" s="599" t="n">
        <v>3.5</v>
      </c>
      <c r="W184" s="23" t="n">
        <v>6000</v>
      </c>
      <c r="X184" s="23" t="n"/>
      <c r="Y184" s="601" t="n">
        <v>0</v>
      </c>
      <c r="Z184" s="601" t="n"/>
      <c r="AA184" s="602">
        <f>Y184-Z184</f>
        <v/>
      </c>
      <c r="AB184" s="599">
        <f>(S184-V184)*V184*W184*0.024653*Y184/1000000</f>
        <v/>
      </c>
      <c r="AC184" s="599">
        <f>(S184-V184)*V184*W184*0.024653*Z184/1000000</f>
        <v/>
      </c>
      <c r="AD184" s="599">
        <f>AB184-AC184</f>
        <v/>
      </c>
      <c r="AE184" s="599" t="n"/>
      <c r="AF184" s="599" t="n">
        <v>4.520126</v>
      </c>
      <c r="AG184" s="599" t="n"/>
      <c r="AH184" s="599">
        <f>AB183-AF184</f>
        <v/>
      </c>
      <c r="AI184" s="118">
        <f>(AC184+AF184)/AB183</f>
        <v/>
      </c>
    </row>
    <row r="185" hidden="1" s="584">
      <c r="A185" s="594" t="n">
        <v>295</v>
      </c>
      <c r="B185" s="5" t="inlineStr">
        <is>
          <t xml:space="preserve">Khopoli </t>
        </is>
      </c>
      <c r="C185" s="601" t="inlineStr">
        <is>
          <t>Narasipur Auto Component(P)Ltd</t>
        </is>
      </c>
      <c r="D185" s="601" t="n"/>
      <c r="E185" s="601" t="n">
        <v>187546</v>
      </c>
      <c r="F185" s="601" t="n">
        <v>1941303</v>
      </c>
      <c r="G185" s="601" t="inlineStr">
        <is>
          <t>TUB-O-C-AUT-AD-FC-29.40X4.500X0.3610</t>
        </is>
      </c>
      <c r="H185" s="601" t="inlineStr">
        <is>
          <t>CEW STKM 13C</t>
        </is>
      </c>
      <c r="I185" s="601" t="n"/>
      <c r="J185" s="601" t="inlineStr">
        <is>
          <t>CEW</t>
        </is>
      </c>
      <c r="K185" s="601" t="inlineStr">
        <is>
          <t>HR</t>
        </is>
      </c>
      <c r="L185" s="601" t="n"/>
      <c r="M185" s="601" t="inlineStr">
        <is>
          <t>Chamferring</t>
        </is>
      </c>
      <c r="N185" s="601" t="n"/>
      <c r="O185" s="601" t="n"/>
      <c r="P185" s="557">
        <f>CONCATENATE(schedule13[[#This Row],[OD]],"-",schedule13[[#This Row],[ID]],"-",schedule13[[#This Row],[TICKNESS]],"-",schedule13[[#This Row],[GRADE]],"-",schedule13[[#This Row],[FC/NFC]])</f>
        <v/>
      </c>
      <c r="Q185" s="557">
        <f>_xlfn.CONCAT(schedule13[[#This Row],[Bucket]],"-",schedule13[[#This Row],[LENGTH]]/1000)</f>
        <v/>
      </c>
      <c r="R185" s="557">
        <f>COUNTIF(buckets[CTL Bucket],schedule13[[#This Row],[CTL Bucket]])</f>
        <v/>
      </c>
      <c r="S185" s="599" t="n">
        <v>29.4</v>
      </c>
      <c r="T185" s="599" t="n">
        <v>29.4</v>
      </c>
      <c r="U185" s="599" t="n">
        <v>20.4</v>
      </c>
      <c r="V185" s="599" t="n">
        <v>4.5</v>
      </c>
      <c r="W185" s="600" t="n">
        <v>361</v>
      </c>
      <c r="X185" s="22" t="inlineStr">
        <is>
          <t>NOS</t>
        </is>
      </c>
      <c r="Y185" s="601" t="n">
        <v>10000</v>
      </c>
      <c r="Z185" s="601" t="n"/>
      <c r="AA185" s="602">
        <f>Y185-Z185</f>
        <v/>
      </c>
      <c r="AB185" s="599">
        <f>(S185-V185)*V185*W185*0.024653*Y185/1000000</f>
        <v/>
      </c>
      <c r="AC185" s="599">
        <f>(S185-V185)*V185*W185*0.024653*Z185/1000000</f>
        <v/>
      </c>
      <c r="AD185" s="599">
        <f>AB185-AC185</f>
        <v/>
      </c>
      <c r="AE185" s="599" t="n"/>
      <c r="AF185" s="599" t="n"/>
      <c r="AG185" s="599" t="n"/>
      <c r="AH185" s="599">
        <f>AB184-AF185</f>
        <v/>
      </c>
      <c r="AI185" s="118">
        <f>(AC185+AF185)/AB184</f>
        <v/>
      </c>
    </row>
    <row r="186" hidden="1" s="584">
      <c r="A186" s="594" t="n">
        <v>296</v>
      </c>
      <c r="B186" s="5" t="inlineStr">
        <is>
          <t xml:space="preserve">Khopoli </t>
        </is>
      </c>
      <c r="C186" s="601" t="inlineStr">
        <is>
          <t>Narasipur Auto Component(P)Ltd</t>
        </is>
      </c>
      <c r="D186" s="601" t="n"/>
      <c r="E186" s="601" t="n">
        <v>187546</v>
      </c>
      <c r="F186" s="601" t="n">
        <v>2418610</v>
      </c>
      <c r="G186" s="601" t="inlineStr">
        <is>
          <t>TUB-O-C-AUT-AD-FC-25.40X3.500X.24700</t>
        </is>
      </c>
      <c r="H186" s="601" t="inlineStr">
        <is>
          <t>CEW</t>
        </is>
      </c>
      <c r="I186" s="601" t="n"/>
      <c r="J186" s="601" t="inlineStr">
        <is>
          <t>CEW</t>
        </is>
      </c>
      <c r="K186" s="601" t="n"/>
      <c r="L186" s="601" t="n"/>
      <c r="M186" s="601" t="n"/>
      <c r="N186" s="601" t="n"/>
      <c r="O186" s="601" t="n"/>
      <c r="P186" s="557">
        <f>CONCATENATE(schedule13[[#This Row],[OD]],"-",schedule13[[#This Row],[ID]],"-",schedule13[[#This Row],[TICKNESS]],"-",schedule13[[#This Row],[GRADE]],"-",schedule13[[#This Row],[FC/NFC]])</f>
        <v/>
      </c>
      <c r="Q186" s="557" t="n"/>
      <c r="R186" s="557" t="n"/>
      <c r="S186" s="599" t="n">
        <v>25.4</v>
      </c>
      <c r="T186" s="599" t="n">
        <v>25.4</v>
      </c>
      <c r="U186" s="599" t="n">
        <v>18.4</v>
      </c>
      <c r="V186" s="599" t="n">
        <v>3.5</v>
      </c>
      <c r="W186" s="600" t="n">
        <v>247</v>
      </c>
      <c r="X186" s="600" t="n"/>
      <c r="Y186" s="601" t="n">
        <v>34000</v>
      </c>
      <c r="Z186" s="601" t="n"/>
      <c r="AA186" s="602">
        <f>Y186-Z186</f>
        <v/>
      </c>
      <c r="AB186" s="599">
        <f>(S186-V186)*V186*W186*0.024653*Y186/1000000</f>
        <v/>
      </c>
      <c r="AC186" s="599">
        <f>(S186-V186)*V186*W186*0.024653*Z186/1000000</f>
        <v/>
      </c>
      <c r="AD186" s="599">
        <f>AB186-AC186</f>
        <v/>
      </c>
      <c r="AE186" s="599" t="n"/>
      <c r="AF186" s="599" t="n">
        <v>1.641434</v>
      </c>
      <c r="AG186" s="599" t="n"/>
      <c r="AH186" s="599">
        <f>AB185-AF186</f>
        <v/>
      </c>
      <c r="AI186" s="118">
        <f>(AC186+AF186)/AB185</f>
        <v/>
      </c>
    </row>
    <row r="187" hidden="1" s="584">
      <c r="A187" s="594" t="n">
        <v>297</v>
      </c>
      <c r="B187" s="5" t="inlineStr">
        <is>
          <t xml:space="preserve">Khopoli </t>
        </is>
      </c>
      <c r="C187" s="601" t="inlineStr">
        <is>
          <t>Narasipur Auto Component(P)Ltd</t>
        </is>
      </c>
      <c r="D187" s="601" t="n"/>
      <c r="E187" s="601" t="n">
        <v>187546</v>
      </c>
      <c r="F187" s="601" t="n">
        <v>2418610</v>
      </c>
      <c r="G187" s="601" t="inlineStr">
        <is>
          <t>TUB-O-C-AUT-AD-FC-25.40X3.500X.26300</t>
        </is>
      </c>
      <c r="H187" s="601" t="inlineStr">
        <is>
          <t>CEW</t>
        </is>
      </c>
      <c r="I187" s="601" t="n"/>
      <c r="J187" s="601" t="inlineStr">
        <is>
          <t>CEW</t>
        </is>
      </c>
      <c r="K187" s="601" t="n"/>
      <c r="L187" s="601" t="n"/>
      <c r="M187" s="601" t="n"/>
      <c r="N187" s="601" t="n"/>
      <c r="O187" s="601" t="n"/>
      <c r="P187" s="557">
        <f>CONCATENATE(schedule13[[#This Row],[OD]],"-",schedule13[[#This Row],[ID]],"-",schedule13[[#This Row],[TICKNESS]],"-",schedule13[[#This Row],[GRADE]],"-",schedule13[[#This Row],[FC/NFC]])</f>
        <v/>
      </c>
      <c r="Q187" s="557" t="n"/>
      <c r="R187" s="557" t="n"/>
      <c r="S187" s="599" t="n">
        <v>25.4</v>
      </c>
      <c r="T187" s="599" t="n">
        <v>25.4</v>
      </c>
      <c r="U187" s="599" t="n">
        <v>18.4</v>
      </c>
      <c r="V187" s="599" t="n">
        <v>3.5</v>
      </c>
      <c r="W187" s="600" t="n">
        <v>263</v>
      </c>
      <c r="X187" s="600" t="n"/>
      <c r="Y187" s="601" t="n">
        <v>20000</v>
      </c>
      <c r="Z187" s="601" t="n"/>
      <c r="AA187" s="602">
        <f>Y187-Z187</f>
        <v/>
      </c>
      <c r="AB187" s="599">
        <f>(S187-V187)*V187*W187*0.024653*Y187/1000000</f>
        <v/>
      </c>
      <c r="AC187" s="599">
        <f>(S187-V187)*V187*W187*0.024653*Z187/1000000</f>
        <v/>
      </c>
      <c r="AD187" s="599">
        <f>AB187-AC187</f>
        <v/>
      </c>
      <c r="AE187" s="599" t="n"/>
      <c r="AF187" s="599" t="n">
        <v>6.406232999999999</v>
      </c>
      <c r="AG187" s="599" t="n"/>
      <c r="AH187" s="599">
        <f>AB186-AF187</f>
        <v/>
      </c>
      <c r="AI187" s="118">
        <f>(AC187+AF187)/AB186</f>
        <v/>
      </c>
    </row>
    <row r="188" hidden="1" s="584">
      <c r="A188" s="594" t="n">
        <v>391</v>
      </c>
      <c r="B188" s="5" t="inlineStr">
        <is>
          <t xml:space="preserve">Khopoli </t>
        </is>
      </c>
      <c r="C188" s="601" t="inlineStr">
        <is>
          <t>Narasipur Auto Component(P)Ltd</t>
        </is>
      </c>
      <c r="D188" s="601" t="n"/>
      <c r="E188" s="601" t="n">
        <v>187546</v>
      </c>
      <c r="F188" s="601" t="n">
        <v>3190072</v>
      </c>
      <c r="G188" s="601" t="inlineStr">
        <is>
          <t>TUB-O-C-AUT-AD-FC-29.40X4.500X0.3570</t>
        </is>
      </c>
      <c r="H188" s="601" t="inlineStr">
        <is>
          <t>CEW</t>
        </is>
      </c>
      <c r="I188" s="601" t="n"/>
      <c r="J188" s="601" t="inlineStr">
        <is>
          <t>CEW</t>
        </is>
      </c>
      <c r="K188" s="601" t="inlineStr">
        <is>
          <t>HR</t>
        </is>
      </c>
      <c r="L188" s="601" t="n"/>
      <c r="M188" s="601" t="inlineStr">
        <is>
          <t>Chamferring</t>
        </is>
      </c>
      <c r="N188" s="601" t="n"/>
      <c r="O188" s="601" t="n"/>
      <c r="P188" s="557">
        <f>CONCATENATE(schedule13[[#This Row],[OD]],"-",schedule13[[#This Row],[ID]],"-",schedule13[[#This Row],[TICKNESS]],"-",schedule13[[#This Row],[GRADE]],"-",schedule13[[#This Row],[FC/NFC]])</f>
        <v/>
      </c>
      <c r="Q188" s="557">
        <f>_xlfn.CONCAT(schedule13[[#This Row],[Bucket]],"-",schedule13[[#This Row],[LENGTH]]/1000)</f>
        <v/>
      </c>
      <c r="R188" s="557">
        <f>COUNTIF(buckets[CTL Bucket],schedule13[[#This Row],[CTL Bucket]])</f>
        <v/>
      </c>
      <c r="S188" s="599" t="n">
        <v>29.4</v>
      </c>
      <c r="T188" s="599" t="n">
        <v>29.4</v>
      </c>
      <c r="U188" s="599" t="n">
        <v>20.4</v>
      </c>
      <c r="V188" s="599" t="n">
        <v>4.5</v>
      </c>
      <c r="W188" s="23" t="n">
        <v>357</v>
      </c>
      <c r="X188" s="22" t="inlineStr">
        <is>
          <t>NOS</t>
        </is>
      </c>
      <c r="Y188" s="601" t="n">
        <v>20000</v>
      </c>
      <c r="Z188" s="601" t="n"/>
      <c r="AA188" s="602">
        <f>Y188-Z188</f>
        <v/>
      </c>
      <c r="AB188" s="599">
        <f>(S188-V188)*V188*W188*0.024653*Y188/1000000</f>
        <v/>
      </c>
      <c r="AC188" s="599">
        <f>(S188-V188)*V188*W188*0.024653*Z188/1000000</f>
        <v/>
      </c>
      <c r="AD188" s="599">
        <f>AB188-AC188</f>
        <v/>
      </c>
      <c r="AE188" s="599" t="n"/>
      <c r="AF188" s="599" t="n">
        <v>42.532</v>
      </c>
      <c r="AG188" s="599" t="n"/>
      <c r="AH188" s="599">
        <f>AB187-AF188</f>
        <v/>
      </c>
      <c r="AI188" s="118">
        <f>(AC188+AF188)/AB187</f>
        <v/>
      </c>
    </row>
    <row r="189" hidden="1" s="584">
      <c r="A189" s="594" t="n">
        <v>392</v>
      </c>
      <c r="B189" s="5" t="inlineStr">
        <is>
          <t xml:space="preserve">Khopoli </t>
        </is>
      </c>
      <c r="C189" s="601" t="inlineStr">
        <is>
          <t>Narasipur Auto Component(P)Ltd</t>
        </is>
      </c>
      <c r="D189" s="601" t="n"/>
      <c r="E189" s="601" t="n">
        <v>187546</v>
      </c>
      <c r="F189" s="601" t="n">
        <v>1938483</v>
      </c>
      <c r="G189" s="601" t="inlineStr">
        <is>
          <t>TUB-I-C-AUT-AD-FC-18.00X4.000X3.7000</t>
        </is>
      </c>
      <c r="H189" s="601" t="inlineStr">
        <is>
          <t>CEW</t>
        </is>
      </c>
      <c r="I189" s="601" t="n"/>
      <c r="J189" s="601" t="n"/>
      <c r="K189" s="601" t="inlineStr">
        <is>
          <t>HR</t>
        </is>
      </c>
      <c r="L189" s="601" t="n"/>
      <c r="M189" s="601" t="n"/>
      <c r="N189" s="601" t="n"/>
      <c r="O189" s="601" t="n"/>
      <c r="P189" s="557">
        <f>CONCATENATE(schedule13[[#This Row],[OD]],"-",schedule13[[#This Row],[ID]],"-",schedule13[[#This Row],[TICKNESS]],"-",schedule13[[#This Row],[GRADE]],"-",schedule13[[#This Row],[FC/NFC]])</f>
        <v/>
      </c>
      <c r="Q189" s="557" t="n"/>
      <c r="R189" s="557" t="n"/>
      <c r="S189" s="599" t="n">
        <v>18</v>
      </c>
      <c r="T189" s="599" t="n">
        <v>26</v>
      </c>
      <c r="U189" s="599" t="n">
        <v>18</v>
      </c>
      <c r="V189" s="599" t="n">
        <v>4</v>
      </c>
      <c r="W189" s="23" t="n">
        <v>3700</v>
      </c>
      <c r="X189" s="23" t="n"/>
      <c r="Y189" s="601" t="n">
        <v>0</v>
      </c>
      <c r="Z189" s="601" t="n"/>
      <c r="AA189" s="602">
        <f>Y189-Z189</f>
        <v/>
      </c>
      <c r="AB189" s="599">
        <f>(S189-V189)*V189*W189*0.024653*Y189/1000000</f>
        <v/>
      </c>
      <c r="AC189" s="599">
        <f>(S189-V189)*V189*W189*0.024653*Z189/1000000</f>
        <v/>
      </c>
      <c r="AD189" s="599">
        <f>AB189-AC189</f>
        <v/>
      </c>
      <c r="AE189" s="599" t="n"/>
      <c r="AF189" s="599" t="n">
        <v>0.7964</v>
      </c>
      <c r="AG189" s="599" t="n"/>
      <c r="AH189" s="599">
        <f>AB188-AF189</f>
        <v/>
      </c>
      <c r="AI189" s="118">
        <f>(AC189+AF189)/AB188</f>
        <v/>
      </c>
    </row>
    <row r="190" hidden="1" s="584">
      <c r="A190" s="594" t="n">
        <v>393</v>
      </c>
      <c r="B190" s="5" t="inlineStr">
        <is>
          <t xml:space="preserve">Khopoli </t>
        </is>
      </c>
      <c r="C190" s="601" t="inlineStr">
        <is>
          <t>Narasipur Auto Component(P)Ltd</t>
        </is>
      </c>
      <c r="D190" s="601" t="n"/>
      <c r="E190" s="601" t="n">
        <v>187546</v>
      </c>
      <c r="F190" s="601" t="n">
        <v>2426241</v>
      </c>
      <c r="G190" s="601" t="inlineStr">
        <is>
          <t>TUB-O-C-AUT-AD-FC-25.60X4.500X4.2000</t>
        </is>
      </c>
      <c r="H190" s="601" t="inlineStr">
        <is>
          <t>CEW</t>
        </is>
      </c>
      <c r="I190" s="601" t="n"/>
      <c r="J190" s="601" t="n"/>
      <c r="K190" s="601" t="inlineStr">
        <is>
          <t>HR</t>
        </is>
      </c>
      <c r="L190" s="601" t="n"/>
      <c r="M190" s="601" t="n"/>
      <c r="N190" s="601" t="n"/>
      <c r="O190" s="601" t="n"/>
      <c r="P190" s="557">
        <f>CONCATENATE(schedule13[[#This Row],[OD]],"-",schedule13[[#This Row],[ID]],"-",schedule13[[#This Row],[TICKNESS]],"-",schedule13[[#This Row],[GRADE]],"-",schedule13[[#This Row],[FC/NFC]])</f>
        <v/>
      </c>
      <c r="Q190" s="557" t="n"/>
      <c r="R190" s="557" t="n"/>
      <c r="S190" s="599" t="n">
        <v>25.6</v>
      </c>
      <c r="T190" s="599" t="n">
        <v>25.6</v>
      </c>
      <c r="U190" s="599" t="n">
        <v>16.6</v>
      </c>
      <c r="V190" s="599" t="n">
        <v>4.5</v>
      </c>
      <c r="W190" s="23" t="n">
        <v>4200</v>
      </c>
      <c r="X190" s="23" t="n"/>
      <c r="Y190" s="601" t="n">
        <v>0</v>
      </c>
      <c r="Z190" s="601" t="n"/>
      <c r="AA190" s="602">
        <f>Y190-Z190</f>
        <v/>
      </c>
      <c r="AB190" s="599">
        <f>(S190-V190)*V190*W190*0.024653*Y190/1000000</f>
        <v/>
      </c>
      <c r="AC190" s="599">
        <f>(S190-V190)*V190*W190*0.024653*Z190/1000000</f>
        <v/>
      </c>
      <c r="AD190" s="599">
        <f>AB190-AC190</f>
        <v/>
      </c>
      <c r="AE190" s="599" t="n"/>
      <c r="AF190" s="599" t="n"/>
      <c r="AG190" s="599" t="n"/>
      <c r="AH190" s="599">
        <f>AB189-AF190</f>
        <v/>
      </c>
      <c r="AI190" s="118">
        <f>(AC190+AF190)/AB189</f>
        <v/>
      </c>
    </row>
    <row r="191" hidden="1" s="584">
      <c r="A191" s="594" t="n">
        <v>394</v>
      </c>
      <c r="B191" s="5" t="inlineStr">
        <is>
          <t xml:space="preserve">Khopoli </t>
        </is>
      </c>
      <c r="C191" s="601" t="inlineStr">
        <is>
          <t>Narasipur Auto Component(P)Ltd</t>
        </is>
      </c>
      <c r="D191" s="601" t="n"/>
      <c r="E191" s="601" t="n">
        <v>187546</v>
      </c>
      <c r="F191" s="9" t="n">
        <v>1939872</v>
      </c>
      <c r="G191" s="9" t="inlineStr">
        <is>
          <t>TUB-O-C-CEW-AD-FC-32.00X4.500X3.3000</t>
        </is>
      </c>
      <c r="H191" s="601" t="inlineStr">
        <is>
          <t>CEW</t>
        </is>
      </c>
      <c r="I191" s="601" t="n"/>
      <c r="J191" s="601" t="n"/>
      <c r="K191" s="601" t="inlineStr">
        <is>
          <t>HR</t>
        </is>
      </c>
      <c r="L191" s="601" t="n"/>
      <c r="M191" s="601" t="n"/>
      <c r="N191" s="601" t="n"/>
      <c r="O191" s="601" t="n"/>
      <c r="P191" s="557">
        <f>CONCATENATE(schedule13[[#This Row],[OD]],"-",schedule13[[#This Row],[ID]],"-",schedule13[[#This Row],[TICKNESS]],"-",schedule13[[#This Row],[GRADE]],"-",schedule13[[#This Row],[FC/NFC]])</f>
        <v/>
      </c>
      <c r="Q191" s="557" t="n"/>
      <c r="R191" s="557" t="n"/>
      <c r="S191" s="599" t="n">
        <v>32</v>
      </c>
      <c r="T191" s="599" t="n">
        <v>32</v>
      </c>
      <c r="U191" s="599" t="n">
        <v>0</v>
      </c>
      <c r="V191" s="599" t="n">
        <v>4.5</v>
      </c>
      <c r="W191" s="23" t="n">
        <v>3300</v>
      </c>
      <c r="X191" s="23" t="n"/>
      <c r="Y191" s="601" t="n">
        <v>0</v>
      </c>
      <c r="Z191" s="601" t="n"/>
      <c r="AA191" s="602">
        <f>Y191-Z191</f>
        <v/>
      </c>
      <c r="AB191" s="599">
        <f>(S191-V191)*V191*W191*0.024653*Y191/1000000</f>
        <v/>
      </c>
      <c r="AC191" s="599">
        <f>(S191-V191)*V191*W191*0.024653*Z191/1000000</f>
        <v/>
      </c>
      <c r="AD191" s="599">
        <f>AB191-AC191</f>
        <v/>
      </c>
      <c r="AE191" s="599" t="n"/>
      <c r="AF191" s="599" t="n"/>
      <c r="AG191" s="599" t="n"/>
      <c r="AH191" s="599">
        <f>AB190-AF191</f>
        <v/>
      </c>
      <c r="AI191" s="118">
        <f>(AC191+AF191)/AB190</f>
        <v/>
      </c>
    </row>
    <row r="192" hidden="1" s="584">
      <c r="A192" s="594" t="n">
        <v>395</v>
      </c>
      <c r="B192" s="5" t="inlineStr">
        <is>
          <t xml:space="preserve">Khopoli </t>
        </is>
      </c>
      <c r="C192" s="601" t="inlineStr">
        <is>
          <t>Narasipur Auto Component(P)Ltd</t>
        </is>
      </c>
      <c r="D192" s="601" t="n"/>
      <c r="E192" s="601" t="n">
        <v>187546</v>
      </c>
      <c r="F192" s="601" t="n">
        <v>2418610</v>
      </c>
      <c r="G192" s="601" t="inlineStr">
        <is>
          <t>TUB-O-C-AUT-AD-FC-25.40X3.500X04-05</t>
        </is>
      </c>
      <c r="H192" s="601" t="inlineStr">
        <is>
          <t>CEW</t>
        </is>
      </c>
      <c r="I192" s="601" t="n"/>
      <c r="J192" s="601" t="n"/>
      <c r="K192" s="601" t="inlineStr">
        <is>
          <t>HR</t>
        </is>
      </c>
      <c r="L192" s="601" t="n"/>
      <c r="M192" s="601" t="n"/>
      <c r="N192" s="601" t="n"/>
      <c r="O192" s="601" t="n"/>
      <c r="P192" s="557">
        <f>CONCATENATE(schedule13[[#This Row],[OD]],"-",schedule13[[#This Row],[ID]],"-",schedule13[[#This Row],[TICKNESS]],"-",schedule13[[#This Row],[GRADE]],"-",schedule13[[#This Row],[FC/NFC]])</f>
        <v/>
      </c>
      <c r="Q192" s="557" t="n"/>
      <c r="R192" s="557" t="n"/>
      <c r="S192" s="599" t="n">
        <v>25.4</v>
      </c>
      <c r="T192" s="599" t="n">
        <v>25.4</v>
      </c>
      <c r="U192" s="599" t="n">
        <v>18.4</v>
      </c>
      <c r="V192" s="599" t="n">
        <v>3.5</v>
      </c>
      <c r="W192" s="23" t="n">
        <v>4500</v>
      </c>
      <c r="X192" s="23" t="n"/>
      <c r="Y192" s="601" t="n">
        <v>0</v>
      </c>
      <c r="Z192" s="601" t="n"/>
      <c r="AA192" s="602">
        <f>Y192-Z192</f>
        <v/>
      </c>
      <c r="AB192" s="599">
        <f>(S192-V192)*V192*W192*0.024653*Y192/1000000</f>
        <v/>
      </c>
      <c r="AC192" s="599">
        <f>(S192-V192)*V192*W192*0.024653*Z192/1000000</f>
        <v/>
      </c>
      <c r="AD192" s="599">
        <f>AB192-AC192</f>
        <v/>
      </c>
      <c r="AE192" s="599" t="n"/>
      <c r="AF192" s="599" t="n"/>
      <c r="AG192" s="599" t="n"/>
      <c r="AH192" s="599">
        <f>AB191-AF192</f>
        <v/>
      </c>
      <c r="AI192" s="118">
        <f>(AC192+AF192)/AB191</f>
        <v/>
      </c>
    </row>
    <row r="193" hidden="1" s="584">
      <c r="A193" s="594" t="n">
        <v>397</v>
      </c>
      <c r="B193" s="5" t="inlineStr">
        <is>
          <t xml:space="preserve">Khopoli </t>
        </is>
      </c>
      <c r="C193" s="601" t="inlineStr">
        <is>
          <t>NEEL METAL PRODUCTS LIMITED</t>
        </is>
      </c>
      <c r="D193" s="601" t="n"/>
      <c r="E193" s="601" t="n">
        <v>189226</v>
      </c>
      <c r="F193" s="601" t="n">
        <v>1931824</v>
      </c>
      <c r="G193" s="601" t="inlineStr">
        <is>
          <t>TUB-O-N-AUT-AW-PE-17.30X1.200X6.0000</t>
        </is>
      </c>
      <c r="H193" s="601" t="inlineStr">
        <is>
          <t>CEW</t>
        </is>
      </c>
      <c r="I193" s="601" t="n"/>
      <c r="J193" s="601" t="n"/>
      <c r="K193" s="601" t="inlineStr">
        <is>
          <t>HR</t>
        </is>
      </c>
      <c r="L193" s="601" t="n"/>
      <c r="M193" s="601" t="n"/>
      <c r="N193" s="601" t="n"/>
      <c r="O193" s="601" t="n"/>
      <c r="P193" s="557">
        <f>CONCATENATE(schedule13[[#This Row],[OD]],"-",schedule13[[#This Row],[ID]],"-",schedule13[[#This Row],[TICKNESS]],"-",schedule13[[#This Row],[GRADE]],"-",schedule13[[#This Row],[FC/NFC]])</f>
        <v/>
      </c>
      <c r="Q193" s="557" t="n"/>
      <c r="R193" s="557" t="n"/>
      <c r="S193" s="599" t="n">
        <v>17.3</v>
      </c>
      <c r="T193" s="599" t="n">
        <v>17.3</v>
      </c>
      <c r="U193" s="599" t="n">
        <v>0</v>
      </c>
      <c r="V193" s="599" t="n">
        <v>1.2</v>
      </c>
      <c r="W193" s="23" t="n">
        <v>6000</v>
      </c>
      <c r="X193" s="23" t="n"/>
      <c r="Y193" s="601" t="n">
        <v>0</v>
      </c>
      <c r="Z193" s="601" t="n"/>
      <c r="AA193" s="602">
        <f>Y193-Z193</f>
        <v/>
      </c>
      <c r="AB193" s="599">
        <f>(S193-V193)*V193*W193*0.024653*Y193/1000000</f>
        <v/>
      </c>
      <c r="AC193" s="599">
        <f>(S193-V193)*V193*W193*0.024653*Z193/1000000</f>
        <v/>
      </c>
      <c r="AD193" s="599">
        <f>AB193-AC193</f>
        <v/>
      </c>
      <c r="AE193" s="599" t="n"/>
      <c r="AF193" s="599" t="n"/>
      <c r="AG193" s="599" t="n"/>
      <c r="AH193" s="599" t="n"/>
      <c r="AI193" s="118" t="n"/>
    </row>
    <row r="194" hidden="1" s="584">
      <c r="A194" s="594" t="n">
        <v>398</v>
      </c>
      <c r="B194" s="5" t="inlineStr">
        <is>
          <t xml:space="preserve">Khopoli </t>
        </is>
      </c>
      <c r="C194" s="601" t="inlineStr">
        <is>
          <t>NEEL METAL PRODUCTS LIMITED</t>
        </is>
      </c>
      <c r="D194" s="601" t="n"/>
      <c r="E194" s="601" t="n">
        <v>189226</v>
      </c>
      <c r="F194" s="601" t="n">
        <v>2397139</v>
      </c>
      <c r="G194" s="601" t="inlineStr">
        <is>
          <t>TUB-O-N-AUT-AN-FC-54.00X3.000X5.7500</t>
        </is>
      </c>
      <c r="H194" s="601" t="inlineStr">
        <is>
          <t>ERW 2</t>
        </is>
      </c>
      <c r="I194" s="601" t="n"/>
      <c r="J194" s="601" t="inlineStr">
        <is>
          <t>FC</t>
        </is>
      </c>
      <c r="K194" s="601" t="inlineStr">
        <is>
          <t>HR</t>
        </is>
      </c>
      <c r="L194" s="601" t="n"/>
      <c r="M194" s="601" t="n"/>
      <c r="N194" s="601" t="n"/>
      <c r="O194" s="601" t="n"/>
      <c r="P194" s="557">
        <f>CONCATENATE(schedule13[[#This Row],[OD]],"-",schedule13[[#This Row],[ID]],"-",schedule13[[#This Row],[TICKNESS]],"-",schedule13[[#This Row],[GRADE]],"-",schedule13[[#This Row],[FC/NFC]])</f>
        <v/>
      </c>
      <c r="Q194" s="557" t="n"/>
      <c r="R194" s="557" t="n"/>
      <c r="S194" s="599" t="n">
        <v>54</v>
      </c>
      <c r="T194" s="599" t="n">
        <v>54</v>
      </c>
      <c r="U194" s="599" t="n">
        <v>0</v>
      </c>
      <c r="V194" s="599" t="n">
        <v>3</v>
      </c>
      <c r="W194" s="23" t="n">
        <v>5750</v>
      </c>
      <c r="X194" s="23" t="n"/>
      <c r="Y194" s="601" t="n">
        <v>0</v>
      </c>
      <c r="Z194" s="601" t="n"/>
      <c r="AA194" s="602">
        <f>Y194-Z194</f>
        <v/>
      </c>
      <c r="AB194" s="599">
        <f>(S194-V194)*V194*W194*0.024653*Y194/1000000</f>
        <v/>
      </c>
      <c r="AC194" s="599">
        <f>(S194-V194)*V194*W194*0.024653*Z194/1000000</f>
        <v/>
      </c>
      <c r="AD194" s="599">
        <f>AB194-AC194</f>
        <v/>
      </c>
      <c r="AE194" s="599" t="n"/>
      <c r="AF194" s="599" t="n">
        <v>7.359665999999999</v>
      </c>
      <c r="AG194" s="599" t="n"/>
      <c r="AH194" s="599">
        <f>AB193-AF194</f>
        <v/>
      </c>
      <c r="AI194" s="118">
        <f>(AC194+AF194)/AB193</f>
        <v/>
      </c>
    </row>
    <row r="195" hidden="1" s="584">
      <c r="A195" s="594" t="n">
        <v>399</v>
      </c>
      <c r="B195" s="5" t="inlineStr">
        <is>
          <t xml:space="preserve">Khopoli </t>
        </is>
      </c>
      <c r="C195" s="601" t="inlineStr">
        <is>
          <t>NEEL METAL PRODUCTS LIMITED</t>
        </is>
      </c>
      <c r="D195" s="601" t="n"/>
      <c r="E195" s="601" t="n">
        <v>189226</v>
      </c>
      <c r="F195" s="601" t="n">
        <v>2429289</v>
      </c>
      <c r="G195" s="601" t="inlineStr">
        <is>
          <t>TUB-O-N-AUT-AN-FC-63.50X4.000X5.0600</t>
        </is>
      </c>
      <c r="H195" s="601" t="inlineStr">
        <is>
          <t>ERW 1</t>
        </is>
      </c>
      <c r="I195" s="601" t="inlineStr">
        <is>
          <t>Annealed</t>
        </is>
      </c>
      <c r="J195" s="601" t="inlineStr">
        <is>
          <t>FC</t>
        </is>
      </c>
      <c r="K195" s="601" t="inlineStr">
        <is>
          <t>HR</t>
        </is>
      </c>
      <c r="L195" s="601" t="n"/>
      <c r="M195" s="601" t="n"/>
      <c r="N195" s="601" t="n"/>
      <c r="O195" s="601" t="n"/>
      <c r="P195" s="557">
        <f>CONCATENATE(schedule13[[#This Row],[OD]],"-",schedule13[[#This Row],[ID]],"-",schedule13[[#This Row],[TICKNESS]],"-",schedule13[[#This Row],[GRADE]],"-",schedule13[[#This Row],[FC/NFC]])</f>
        <v/>
      </c>
      <c r="Q195" s="557" t="n"/>
      <c r="R195" s="557" t="n"/>
      <c r="S195" s="599" t="n">
        <v>63.5</v>
      </c>
      <c r="T195" s="599" t="n">
        <v>63.5</v>
      </c>
      <c r="U195" s="599" t="n">
        <v>0</v>
      </c>
      <c r="V195" s="599" t="n">
        <v>4</v>
      </c>
      <c r="W195" s="23" t="n">
        <v>5060</v>
      </c>
      <c r="X195" s="23" t="n"/>
      <c r="Y195" s="601" t="n">
        <v>0</v>
      </c>
      <c r="Z195" s="601" t="n"/>
      <c r="AA195" s="602">
        <f>Y195-Z195</f>
        <v/>
      </c>
      <c r="AB195" s="599">
        <f>(S195-V195)*V195*W195*0.024653*Y195/1000000</f>
        <v/>
      </c>
      <c r="AC195" s="599">
        <f>(S195-V195)*V195*W195*0.024653*Z195/1000000</f>
        <v/>
      </c>
      <c r="AD195" s="599">
        <f>AB195-AC195</f>
        <v/>
      </c>
      <c r="AE195" s="599" t="n"/>
      <c r="AF195" s="599" t="n">
        <v>4.912712000000001</v>
      </c>
      <c r="AG195" s="599" t="n"/>
      <c r="AH195" s="599">
        <f>AB194-AF195</f>
        <v/>
      </c>
      <c r="AI195" s="118">
        <f>(AC195+AF195)/AB194</f>
        <v/>
      </c>
    </row>
    <row r="196" hidden="1" s="584">
      <c r="A196" s="594" t="n">
        <v>400</v>
      </c>
      <c r="B196" s="5" t="inlineStr">
        <is>
          <t xml:space="preserve">Khopoli </t>
        </is>
      </c>
      <c r="C196" s="601" t="inlineStr">
        <is>
          <t>NEEL METAL PRODUCTS LIMITED</t>
        </is>
      </c>
      <c r="D196" s="601" t="n"/>
      <c r="E196" s="601" t="n">
        <v>189226</v>
      </c>
      <c r="F196" s="601" t="n">
        <v>3557967</v>
      </c>
      <c r="G196" s="601" t="inlineStr">
        <is>
          <t>TUB-O-N-AUT-AN-FC-70.00X3.200X6.4550</t>
        </is>
      </c>
      <c r="H196" s="601" t="inlineStr">
        <is>
          <t>ERW 2</t>
        </is>
      </c>
      <c r="I196" s="601" t="n"/>
      <c r="J196" s="601" t="inlineStr">
        <is>
          <t>FC</t>
        </is>
      </c>
      <c r="K196" s="601" t="inlineStr">
        <is>
          <t>HR</t>
        </is>
      </c>
      <c r="L196" s="601" t="n"/>
      <c r="M196" s="601" t="n"/>
      <c r="N196" s="601" t="n"/>
      <c r="O196" s="601" t="n"/>
      <c r="P196" s="557">
        <f>CONCATENATE(schedule13[[#This Row],[OD]],"-",schedule13[[#This Row],[ID]],"-",schedule13[[#This Row],[TICKNESS]],"-",schedule13[[#This Row],[GRADE]],"-",schedule13[[#This Row],[FC/NFC]])</f>
        <v/>
      </c>
      <c r="Q196" s="557" t="n"/>
      <c r="R196" s="557" t="n"/>
      <c r="S196" s="599" t="n">
        <v>70</v>
      </c>
      <c r="T196" s="599" t="n">
        <v>70</v>
      </c>
      <c r="U196" s="599" t="n">
        <v>0</v>
      </c>
      <c r="V196" s="599" t="n">
        <v>3.2</v>
      </c>
      <c r="W196" s="23" t="n">
        <v>6455</v>
      </c>
      <c r="X196" s="23" t="n"/>
      <c r="Y196" s="601" t="n">
        <v>0</v>
      </c>
      <c r="Z196" s="601" t="n"/>
      <c r="AA196" s="602">
        <f>Y196-Z196</f>
        <v/>
      </c>
      <c r="AB196" s="599">
        <f>(S196-V196)*V196*W196*0.024653*Y196/1000000</f>
        <v/>
      </c>
      <c r="AC196" s="599">
        <f>(S196-V196)*V196*W196*0.024653*Z196/1000000</f>
        <v/>
      </c>
      <c r="AD196" s="599">
        <f>AB196-AC196</f>
        <v/>
      </c>
      <c r="AE196" s="599" t="n"/>
      <c r="AF196" s="599" t="n">
        <v>8.638380999999999</v>
      </c>
      <c r="AG196" s="599" t="n"/>
      <c r="AH196" s="599">
        <f>AB195-AF196</f>
        <v/>
      </c>
      <c r="AI196" s="118">
        <f>(AC196+AF196)/AB195</f>
        <v/>
      </c>
    </row>
    <row r="197" hidden="1" s="584">
      <c r="A197" s="594" t="n">
        <v>58</v>
      </c>
      <c r="B197" s="5" t="inlineStr">
        <is>
          <t>Hosur</t>
        </is>
      </c>
      <c r="C197" s="601" t="inlineStr">
        <is>
          <t>NMPL (HUB)</t>
        </is>
      </c>
      <c r="D197" s="601" t="n"/>
      <c r="E197" s="601" t="n">
        <v>189227</v>
      </c>
      <c r="F197" s="601" t="n">
        <v>2410993</v>
      </c>
      <c r="G197" s="601" t="inlineStr">
        <is>
          <t>TUB-O-C-AUT-AD-FC-33.30X2.000X04-05</t>
        </is>
      </c>
      <c r="H197" s="601" t="inlineStr">
        <is>
          <t>CEW</t>
        </is>
      </c>
      <c r="I197" s="601" t="n"/>
      <c r="J197" s="601" t="n"/>
      <c r="K197" s="601" t="inlineStr">
        <is>
          <t>HR</t>
        </is>
      </c>
      <c r="L197" s="601" t="n"/>
      <c r="M197" s="601" t="n"/>
      <c r="N197" s="601" t="n"/>
      <c r="O197" s="601" t="n"/>
      <c r="P197" s="557">
        <f>CONCATENATE(schedule13[[#This Row],[OD]],"-",schedule13[[#This Row],[ID]],"-",schedule13[[#This Row],[TICKNESS]],"-",schedule13[[#This Row],[GRADE]],"-",schedule13[[#This Row],[FC/NFC]])</f>
        <v/>
      </c>
      <c r="Q197" s="557" t="n"/>
      <c r="R197" s="557" t="n"/>
      <c r="S197" s="599" t="n">
        <v>33.3</v>
      </c>
      <c r="T197" s="599" t="n">
        <v>2.299999552645019</v>
      </c>
      <c r="U197" s="599" t="n">
        <v>29.3</v>
      </c>
      <c r="V197" s="599" t="n">
        <v>2</v>
      </c>
      <c r="W197" s="22" t="n">
        <v>4500</v>
      </c>
      <c r="X197" s="22" t="n"/>
      <c r="Y197" s="601" t="n">
        <v>0</v>
      </c>
      <c r="Z197" s="601" t="n"/>
      <c r="AA197" s="602">
        <f>Y197-Z197</f>
        <v/>
      </c>
      <c r="AB197" s="599">
        <f>(S197-V197)*V197*W197*0.024653*Y197/1000000</f>
        <v/>
      </c>
      <c r="AC197" s="599">
        <f>(S197-V197)*V197*W197*0.024653*Z197/1000000</f>
        <v/>
      </c>
      <c r="AD197" s="599">
        <f>AB197-AC197</f>
        <v/>
      </c>
      <c r="AE197" s="599" t="n"/>
      <c r="AF197" s="599" t="n">
        <v>1.645617</v>
      </c>
      <c r="AG197" s="599" t="n"/>
      <c r="AH197" s="599">
        <f>AB196-AF197</f>
        <v/>
      </c>
      <c r="AI197" s="118">
        <f>(AC197+AF197)/AB197</f>
        <v/>
      </c>
    </row>
    <row r="198" hidden="1" s="584">
      <c r="A198" s="594" t="n">
        <v>64</v>
      </c>
      <c r="B198" s="5" t="inlineStr">
        <is>
          <t>Hosur</t>
        </is>
      </c>
      <c r="C198" s="601" t="inlineStr">
        <is>
          <t>NMPL (HUB)</t>
        </is>
      </c>
      <c r="D198" s="601" t="n"/>
      <c r="E198" s="601" t="inlineStr">
        <is>
          <t>930801|189227</t>
        </is>
      </c>
      <c r="F198" s="601" t="n">
        <v>1940019</v>
      </c>
      <c r="G198" s="601" t="inlineStr">
        <is>
          <t>TUB-O-O-GEN-AW-PE-15.88X1.000X0.1400</t>
        </is>
      </c>
      <c r="H198" s="601" t="inlineStr">
        <is>
          <t>ERW 1</t>
        </is>
      </c>
      <c r="I198" s="601" t="n"/>
      <c r="J198" s="601" t="inlineStr">
        <is>
          <t>PE</t>
        </is>
      </c>
      <c r="K198" s="601" t="inlineStr">
        <is>
          <t>CR</t>
        </is>
      </c>
      <c r="L198" s="601" t="n"/>
      <c r="M198" s="601" t="n"/>
      <c r="N198" s="601" t="n"/>
      <c r="O198" s="601" t="n"/>
      <c r="P198" s="557">
        <f>CONCATENATE(schedule13[[#This Row],[OD]],"-",schedule13[[#This Row],[ID]],"-",schedule13[[#This Row],[TICKNESS]],"-",schedule13[[#This Row],[GRADE]],"-",schedule13[[#This Row],[FC/NFC]])</f>
        <v/>
      </c>
      <c r="Q198" s="557">
        <f>_xlfn.CONCAT(schedule13[[#This Row],[Bucket]],"-",schedule13[[#This Row],[LENGTH]]/1000)</f>
        <v/>
      </c>
      <c r="R198" s="557">
        <f>COUNTIF(buckets[CTL Bucket],schedule13[[#This Row],[CTL Bucket]])</f>
        <v/>
      </c>
      <c r="S198" s="599" t="n">
        <v>15.88</v>
      </c>
      <c r="T198" s="599" t="n">
        <v>15.88</v>
      </c>
      <c r="U198" s="599" t="n">
        <v>0</v>
      </c>
      <c r="V198" s="599" t="n">
        <v>1</v>
      </c>
      <c r="W198" s="22" t="n">
        <v>140</v>
      </c>
      <c r="X198" s="22" t="inlineStr">
        <is>
          <t>NOS</t>
        </is>
      </c>
      <c r="Y198" s="601" t="n">
        <v>4000</v>
      </c>
      <c r="Z198" s="601" t="n"/>
      <c r="AA198" s="602">
        <f>Y198-Z198</f>
        <v/>
      </c>
      <c r="AB198" s="599">
        <f>(3.14*(schedule13[[#This Row],[ACTUAL OD]]-schedule13[[#This Row],[TICKNESS]])*schedule13[[#This Row],[TICKNESS]]*schedule13[[#This Row],[LENGTH]]*7.85)/1000000*schedule13[[#This Row],[SCHEDULE]]/1000</f>
        <v/>
      </c>
      <c r="AC198" s="599">
        <f>(S198-V198)*V198*W198*0.024653*Z198/1000000</f>
        <v/>
      </c>
      <c r="AD198" s="599">
        <f>AB198-AC198</f>
        <v/>
      </c>
      <c r="AE198" s="598">
        <f>schedule13[[#This Row],[CTL Stock]]/schedule13[[#This Row],[SCHEDULE IN MT]]*schedule13[[#This Row],[SCHEDULE]]</f>
        <v/>
      </c>
      <c r="AF198" s="599">
        <f>SUMIFS(stock[MT],stock[Bucket],schedule13[[#This Row],[Bucket]],stock[CTL Bucket],schedule13[[#This Row],[CTL Bucket]])</f>
        <v/>
      </c>
      <c r="AG198" s="599">
        <f>SUMIFS(stock[MT],stock[Bucket],schedule13[[#This Row],[Bucket]])+SUMIFS(wip[Stock(Net Wt)],wip[Bucket],schedule13[[#This Row],[Bucket]])/1000</f>
        <v/>
      </c>
      <c r="AH198" s="599">
        <f>AB198-AF198</f>
        <v/>
      </c>
      <c r="AI198" s="118">
        <f>(AC198+AF198)/AB198</f>
        <v/>
      </c>
    </row>
    <row r="199" hidden="1" s="584">
      <c r="A199" s="594" t="n">
        <v>70</v>
      </c>
      <c r="B199" s="5" t="inlineStr">
        <is>
          <t xml:space="preserve">Khopoli </t>
        </is>
      </c>
      <c r="C199" s="601" t="inlineStr">
        <is>
          <t>NMPL (HUB)</t>
        </is>
      </c>
      <c r="D199" s="601" t="n"/>
      <c r="E199" s="601" t="inlineStr">
        <is>
          <t>930801|189227</t>
        </is>
      </c>
      <c r="F199" s="601" t="n">
        <v>1938195</v>
      </c>
      <c r="G199" s="601" t="inlineStr">
        <is>
          <t>TUB-O-N-AUT-AW-PE-17.30X1.200X0.1500</t>
        </is>
      </c>
      <c r="H199" s="601" t="inlineStr">
        <is>
          <t>ERW 1</t>
        </is>
      </c>
      <c r="I199" s="601" t="n"/>
      <c r="J199" s="601" t="inlineStr">
        <is>
          <t>PE</t>
        </is>
      </c>
      <c r="K199" s="601" t="inlineStr">
        <is>
          <t>CR</t>
        </is>
      </c>
      <c r="L199" s="601" t="n"/>
      <c r="M199" s="601" t="n"/>
      <c r="N199" s="601" t="n"/>
      <c r="O199" s="601" t="n"/>
      <c r="P199" s="557">
        <f>CONCATENATE(schedule13[[#This Row],[OD]],"-",schedule13[[#This Row],[ID]],"-",schedule13[[#This Row],[TICKNESS]],"-",schedule13[[#This Row],[GRADE]],"-",schedule13[[#This Row],[FC/NFC]])</f>
        <v/>
      </c>
      <c r="Q199" s="557">
        <f>_xlfn.CONCAT(schedule13[[#This Row],[Bucket]],"-",schedule13[[#This Row],[LENGTH]]/1000)</f>
        <v/>
      </c>
      <c r="R199" s="557">
        <f>COUNTIF(buckets[CTL Bucket],schedule13[[#This Row],[CTL Bucket]])</f>
        <v/>
      </c>
      <c r="S199" s="599" t="n">
        <v>17.3</v>
      </c>
      <c r="T199" s="599" t="n">
        <v>17.3</v>
      </c>
      <c r="U199" s="599" t="n">
        <v>0</v>
      </c>
      <c r="V199" s="599" t="n">
        <v>1.2</v>
      </c>
      <c r="W199" s="26" t="n">
        <v>150</v>
      </c>
      <c r="X199" s="22" t="inlineStr">
        <is>
          <t>NOS</t>
        </is>
      </c>
      <c r="Y199" s="601" t="n">
        <v>30000</v>
      </c>
      <c r="Z199" s="601" t="n"/>
      <c r="AA199" s="602">
        <f>Y199-Z199</f>
        <v/>
      </c>
      <c r="AB199" s="599">
        <f>(3.14*(schedule13[[#This Row],[ACTUAL OD]]-schedule13[[#This Row],[TICKNESS]])*schedule13[[#This Row],[TICKNESS]]*schedule13[[#This Row],[LENGTH]]*7.85)/1000000*schedule13[[#This Row],[SCHEDULE]]/1000</f>
        <v/>
      </c>
      <c r="AC199" s="599">
        <f>(S199-V199)*V199*W199*0.024653*Z199/1000000</f>
        <v/>
      </c>
      <c r="AD199" s="599">
        <f>AB199-AC199</f>
        <v/>
      </c>
      <c r="AE199" s="598">
        <f>schedule13[[#This Row],[CTL Stock]]/schedule13[[#This Row],[SCHEDULE IN MT]]*schedule13[[#This Row],[SCHEDULE]]</f>
        <v/>
      </c>
      <c r="AF199" s="599">
        <f>SUMIFS(stock[MT],stock[Bucket],schedule13[[#This Row],[Bucket]],stock[CTL Bucket],schedule13[[#This Row],[CTL Bucket]])</f>
        <v/>
      </c>
      <c r="AG199" s="599">
        <f>SUMIFS(stock[MT],stock[Bucket],schedule13[[#This Row],[Bucket]])+SUMIFS(wip[Stock(Net Wt)],wip[Bucket],schedule13[[#This Row],[Bucket]])/1000</f>
        <v/>
      </c>
      <c r="AH199" s="599">
        <f>AB199-AF199</f>
        <v/>
      </c>
      <c r="AI199" s="118">
        <f>(AC199+AF199)/AB199</f>
        <v/>
      </c>
    </row>
    <row r="200" hidden="1" s="584">
      <c r="A200" s="594" t="n">
        <v>71</v>
      </c>
      <c r="B200" s="5" t="inlineStr">
        <is>
          <t xml:space="preserve">Khopoli </t>
        </is>
      </c>
      <c r="C200" s="601" t="inlineStr">
        <is>
          <t>NMPL (HUB)</t>
        </is>
      </c>
      <c r="D200" s="601" t="n"/>
      <c r="E200" s="601" t="inlineStr">
        <is>
          <t>930801|189227</t>
        </is>
      </c>
      <c r="F200" s="601" t="n">
        <v>1938116</v>
      </c>
      <c r="G200" s="601" t="inlineStr">
        <is>
          <t>TUB-O-N-GEN-AW-PE-18.20X1.000X0.1100</t>
        </is>
      </c>
      <c r="H200" s="601" t="inlineStr">
        <is>
          <t>ERW 1</t>
        </is>
      </c>
      <c r="I200" s="601" t="n"/>
      <c r="J200" s="601" t="inlineStr">
        <is>
          <t>PE</t>
        </is>
      </c>
      <c r="K200" s="601" t="inlineStr">
        <is>
          <t>CR</t>
        </is>
      </c>
      <c r="L200" s="601" t="n"/>
      <c r="M200" s="601" t="n"/>
      <c r="N200" s="601" t="n"/>
      <c r="O200" s="601" t="n"/>
      <c r="P200" s="557">
        <f>CONCATENATE(schedule13[[#This Row],[OD]],"-",schedule13[[#This Row],[ID]],"-",schedule13[[#This Row],[TICKNESS]],"-",schedule13[[#This Row],[GRADE]],"-",schedule13[[#This Row],[FC/NFC]])</f>
        <v/>
      </c>
      <c r="Q200" s="557">
        <f>_xlfn.CONCAT(schedule13[[#This Row],[Bucket]],"-",schedule13[[#This Row],[LENGTH]]/1000)</f>
        <v/>
      </c>
      <c r="R200" s="557">
        <f>COUNTIF(buckets[CTL Bucket],schedule13[[#This Row],[CTL Bucket]])</f>
        <v/>
      </c>
      <c r="S200" s="599" t="n">
        <v>18.2</v>
      </c>
      <c r="T200" s="599" t="n">
        <v>18.2</v>
      </c>
      <c r="U200" s="6" t="n">
        <v>0</v>
      </c>
      <c r="V200" s="599" t="n">
        <v>1</v>
      </c>
      <c r="W200" s="22" t="n">
        <v>110</v>
      </c>
      <c r="X200" s="22" t="inlineStr">
        <is>
          <t>NOS</t>
        </is>
      </c>
      <c r="Y200" s="601" t="n">
        <v>30000</v>
      </c>
      <c r="Z200" s="601" t="n"/>
      <c r="AA200" s="602">
        <f>Y200-Z200</f>
        <v/>
      </c>
      <c r="AB200" s="599">
        <f>(3.14*(schedule13[[#This Row],[ACTUAL OD]]-schedule13[[#This Row],[TICKNESS]])*schedule13[[#This Row],[TICKNESS]]*schedule13[[#This Row],[LENGTH]]*7.85)/1000000*schedule13[[#This Row],[SCHEDULE]]/1000</f>
        <v/>
      </c>
      <c r="AC200" s="599">
        <f>(S200-V200)*V200*W200*0.024653*Z200/1000000</f>
        <v/>
      </c>
      <c r="AD200" s="599">
        <f>AB200-AC200</f>
        <v/>
      </c>
      <c r="AE200" s="598">
        <f>schedule13[[#This Row],[CTL Stock]]/schedule13[[#This Row],[SCHEDULE IN MT]]*schedule13[[#This Row],[SCHEDULE]]</f>
        <v/>
      </c>
      <c r="AF200" s="599">
        <f>SUMIFS(stock[MT],stock[Bucket],schedule13[[#This Row],[Bucket]],stock[CTL Bucket],schedule13[[#This Row],[CTL Bucket]])</f>
        <v/>
      </c>
      <c r="AG200" s="599">
        <f>SUMIFS(stock[MT],stock[Bucket],schedule13[[#This Row],[Bucket]])+SUMIFS(wip[Stock(Net Wt)],wip[Bucket],schedule13[[#This Row],[Bucket]])/1000</f>
        <v/>
      </c>
      <c r="AH200" s="599">
        <f>AB200-AF200</f>
        <v/>
      </c>
      <c r="AI200" s="118">
        <f>(AC200+AF200)/AB200</f>
        <v/>
      </c>
    </row>
    <row r="201" hidden="1" s="584">
      <c r="A201" s="594" t="n">
        <v>73</v>
      </c>
      <c r="B201" s="5" t="inlineStr">
        <is>
          <t xml:space="preserve">Khopoli </t>
        </is>
      </c>
      <c r="C201" s="601" t="inlineStr">
        <is>
          <t>NMPL (HUB)</t>
        </is>
      </c>
      <c r="D201" s="601" t="n"/>
      <c r="E201" s="601" t="inlineStr">
        <is>
          <t>930801|189227</t>
        </is>
      </c>
      <c r="F201" s="601" t="n">
        <v>1938117</v>
      </c>
      <c r="G201" s="601" t="inlineStr">
        <is>
          <t>TUB-O-N-GEN-AW-PE-18.20X1.000X0.1450</t>
        </is>
      </c>
      <c r="H201" s="601" t="inlineStr">
        <is>
          <t>ERW 1</t>
        </is>
      </c>
      <c r="I201" s="601" t="n"/>
      <c r="J201" s="601" t="inlineStr">
        <is>
          <t>PE</t>
        </is>
      </c>
      <c r="K201" s="601" t="inlineStr">
        <is>
          <t>CR</t>
        </is>
      </c>
      <c r="L201" s="601" t="n"/>
      <c r="M201" s="601" t="n"/>
      <c r="N201" s="601" t="n"/>
      <c r="O201" s="601" t="n"/>
      <c r="P201" s="557">
        <f>CONCATENATE(schedule13[[#This Row],[OD]],"-",schedule13[[#This Row],[ID]],"-",schedule13[[#This Row],[TICKNESS]],"-",schedule13[[#This Row],[GRADE]],"-",schedule13[[#This Row],[FC/NFC]])</f>
        <v/>
      </c>
      <c r="Q201" s="557">
        <f>_xlfn.CONCAT(schedule13[[#This Row],[Bucket]],"-",schedule13[[#This Row],[LENGTH]]/1000)</f>
        <v/>
      </c>
      <c r="R201" s="557">
        <f>COUNTIF(buckets[CTL Bucket],schedule13[[#This Row],[CTL Bucket]])</f>
        <v/>
      </c>
      <c r="S201" s="599" t="n">
        <v>18.2</v>
      </c>
      <c r="T201" s="599" t="n">
        <v>18.2</v>
      </c>
      <c r="U201" s="599" t="n">
        <v>0</v>
      </c>
      <c r="V201" s="599" t="n">
        <v>1</v>
      </c>
      <c r="W201" s="22" t="n">
        <v>145</v>
      </c>
      <c r="X201" s="22" t="inlineStr">
        <is>
          <t>NOS</t>
        </is>
      </c>
      <c r="Y201" s="601" t="n">
        <v>30000</v>
      </c>
      <c r="Z201" s="601" t="n"/>
      <c r="AA201" s="602">
        <f>Y201-Z201</f>
        <v/>
      </c>
      <c r="AB201" s="599">
        <f>(3.14*(schedule13[[#This Row],[ACTUAL OD]]-schedule13[[#This Row],[TICKNESS]])*schedule13[[#This Row],[TICKNESS]]*schedule13[[#This Row],[LENGTH]]*7.85)/1000000*schedule13[[#This Row],[SCHEDULE]]/1000</f>
        <v/>
      </c>
      <c r="AC201" s="599">
        <f>(S201-V201)*V201*W201*0.024653*Z201/1000000</f>
        <v/>
      </c>
      <c r="AD201" s="599">
        <f>AB201-AC201</f>
        <v/>
      </c>
      <c r="AE201" s="598">
        <f>schedule13[[#This Row],[CTL Stock]]/schedule13[[#This Row],[SCHEDULE IN MT]]*schedule13[[#This Row],[SCHEDULE]]</f>
        <v/>
      </c>
      <c r="AF201" s="599">
        <f>SUMIFS(stock[MT],stock[Bucket],schedule13[[#This Row],[Bucket]],stock[CTL Bucket],schedule13[[#This Row],[CTL Bucket]])</f>
        <v/>
      </c>
      <c r="AG201" s="599">
        <f>SUMIFS(stock[MT],stock[Bucket],schedule13[[#This Row],[Bucket]])+SUMIFS(wip[Stock(Net Wt)],wip[Bucket],schedule13[[#This Row],[Bucket]])/1000</f>
        <v/>
      </c>
      <c r="AH201" s="599">
        <f>AB201-AF201</f>
        <v/>
      </c>
      <c r="AI201" s="118">
        <f>(AC201+AF201)/AB201</f>
        <v/>
      </c>
    </row>
    <row r="202" hidden="1" s="584">
      <c r="A202" s="594" t="n">
        <v>81</v>
      </c>
      <c r="B202" s="5" t="inlineStr">
        <is>
          <t xml:space="preserve">Khopoli </t>
        </is>
      </c>
      <c r="C202" s="601" t="inlineStr">
        <is>
          <t>NMPL (HUB)</t>
        </is>
      </c>
      <c r="D202" s="601" t="n"/>
      <c r="E202" s="601" t="inlineStr">
        <is>
          <t>930801|189227</t>
        </is>
      </c>
      <c r="F202" s="601" t="n">
        <v>2439536</v>
      </c>
      <c r="G202" s="601" t="inlineStr">
        <is>
          <t>TUB-O-C-AUT-AD-FC-20.00X3.800X04-05</t>
        </is>
      </c>
      <c r="H202" s="601" t="inlineStr">
        <is>
          <t>CEW</t>
        </is>
      </c>
      <c r="I202" s="601" t="n"/>
      <c r="J202" s="601" t="inlineStr">
        <is>
          <t>CEW</t>
        </is>
      </c>
      <c r="K202" s="601" t="inlineStr">
        <is>
          <t>HR</t>
        </is>
      </c>
      <c r="L202" s="601" t="n"/>
      <c r="M202" s="601" t="n"/>
      <c r="N202" s="601" t="n"/>
      <c r="O202" s="601" t="n"/>
      <c r="P202" s="557">
        <f>CONCATENATE(schedule13[[#This Row],[OD]],"-",schedule13[[#This Row],[ID]],"-",schedule13[[#This Row],[TICKNESS]],"-",schedule13[[#This Row],[GRADE]],"-",schedule13[[#This Row],[FC/NFC]])</f>
        <v/>
      </c>
      <c r="Q202" s="557">
        <f>schedule13[[#This Row],[Bucket]]</f>
        <v/>
      </c>
      <c r="R202" s="557">
        <f>COUNTIF(buckets[CTL Bucket],schedule13[[#This Row],[CTL Bucket]])</f>
        <v/>
      </c>
      <c r="S202" s="599" t="n">
        <v>20</v>
      </c>
      <c r="T202" s="599" t="n">
        <v>20</v>
      </c>
      <c r="U202" s="599" t="n">
        <v>12.4</v>
      </c>
      <c r="V202" s="599" t="n">
        <v>3.8</v>
      </c>
      <c r="W202" s="22" t="n">
        <v>1000</v>
      </c>
      <c r="X202" s="22" t="inlineStr">
        <is>
          <t>M</t>
        </is>
      </c>
      <c r="Y202" s="601" t="n">
        <v>5000</v>
      </c>
      <c r="Z202" s="598" t="n"/>
      <c r="AA202" s="602">
        <f>Y202-Z202</f>
        <v/>
      </c>
      <c r="AB202" s="599">
        <f>(3.14*(schedule13[[#This Row],[ACTUAL OD]]-schedule13[[#This Row],[TICKNESS]])*schedule13[[#This Row],[TICKNESS]]*schedule13[[#This Row],[LENGTH]]*7.85)/1000000*schedule13[[#This Row],[SCHEDULE]]/1000</f>
        <v/>
      </c>
      <c r="AC202" s="599">
        <f>(S202-V202)*V202*W202*0.024653*Z202/1000000</f>
        <v/>
      </c>
      <c r="AD202" s="599">
        <f>AB202-AC202</f>
        <v/>
      </c>
      <c r="AE202" s="598">
        <f>schedule13[[#This Row],[CTL Stock]]/schedule13[[#This Row],[SCHEDULE IN MT]]*schedule13[[#This Row],[SCHEDULE]]</f>
        <v/>
      </c>
      <c r="AF202" s="599">
        <f>SUMIFS(stock[MT],stock[Bucket],schedule13[[#This Row],[Bucket]],stock[CTL Bucket],schedule13[[#This Row],[CTL Bucket]])</f>
        <v/>
      </c>
      <c r="AG202" s="599">
        <f>SUMIFS(stock[MT],stock[Bucket],schedule13[[#This Row],[Bucket]])+SUMIFS(wip[Stock(Net Wt)],wip[Bucket],schedule13[[#This Row],[Bucket]])/1000</f>
        <v/>
      </c>
      <c r="AH202" s="599">
        <f>AB202-AF202</f>
        <v/>
      </c>
      <c r="AI202" s="118">
        <f>(AC202+AF202)/AB202</f>
        <v/>
      </c>
    </row>
    <row r="203" hidden="1" s="584">
      <c r="A203" s="594" t="n">
        <v>83</v>
      </c>
      <c r="B203" s="5" t="inlineStr">
        <is>
          <t xml:space="preserve">Khopoli </t>
        </is>
      </c>
      <c r="C203" s="601" t="inlineStr">
        <is>
          <t>NMPL (HUB)</t>
        </is>
      </c>
      <c r="D203" s="601" t="n"/>
      <c r="E203" s="601" t="inlineStr">
        <is>
          <t>930801|189227</t>
        </is>
      </c>
      <c r="F203" s="601" t="n">
        <v>2439535</v>
      </c>
      <c r="G203" s="601" t="inlineStr">
        <is>
          <t>TUB-O-C-AUT-AD-FC-20.00X4.500X04-05</t>
        </is>
      </c>
      <c r="H203" s="601" t="inlineStr">
        <is>
          <t>CEW</t>
        </is>
      </c>
      <c r="I203" s="601" t="n"/>
      <c r="J203" s="601" t="inlineStr">
        <is>
          <t>CEW</t>
        </is>
      </c>
      <c r="K203" s="601" t="inlineStr">
        <is>
          <t>HR</t>
        </is>
      </c>
      <c r="L203" s="601" t="n"/>
      <c r="M203" s="601" t="n"/>
      <c r="N203" s="601" t="n"/>
      <c r="O203" s="601" t="n"/>
      <c r="P203" s="557">
        <f>CONCATENATE(schedule13[[#This Row],[OD]],"-",schedule13[[#This Row],[ID]],"-",schedule13[[#This Row],[TICKNESS]],"-",schedule13[[#This Row],[GRADE]],"-",schedule13[[#This Row],[FC/NFC]])</f>
        <v/>
      </c>
      <c r="Q203" s="557">
        <f>schedule13[[#This Row],[Bucket]]</f>
        <v/>
      </c>
      <c r="R203" s="557">
        <f>COUNTIF(buckets[CTL Bucket],schedule13[[#This Row],[CTL Bucket]])</f>
        <v/>
      </c>
      <c r="S203" s="599" t="n">
        <v>20</v>
      </c>
      <c r="T203" s="599" t="n">
        <v>20</v>
      </c>
      <c r="U203" s="599" t="n">
        <v>12.4</v>
      </c>
      <c r="V203" s="599" t="n">
        <v>4.5</v>
      </c>
      <c r="W203" s="22" t="n">
        <v>1000</v>
      </c>
      <c r="X203" s="22" t="inlineStr">
        <is>
          <t>M</t>
        </is>
      </c>
      <c r="Y203" s="601" t="n">
        <v>3500</v>
      </c>
      <c r="Z203" s="601" t="n"/>
      <c r="AA203" s="602">
        <f>Y203-Z203</f>
        <v/>
      </c>
      <c r="AB203" s="599">
        <f>(3.14*(schedule13[[#This Row],[ACTUAL OD]]-schedule13[[#This Row],[TICKNESS]])*schedule13[[#This Row],[TICKNESS]]*schedule13[[#This Row],[LENGTH]]*7.85)/1000000*schedule13[[#This Row],[SCHEDULE]]/1000</f>
        <v/>
      </c>
      <c r="AC203" s="599">
        <f>(S203-V203)*V203*W203*0.024653*Z203/1000000</f>
        <v/>
      </c>
      <c r="AD203" s="599">
        <f>AB203-AC203</f>
        <v/>
      </c>
      <c r="AE203" s="598">
        <f>schedule13[[#This Row],[CTL Stock]]/schedule13[[#This Row],[SCHEDULE IN MT]]*schedule13[[#This Row],[SCHEDULE]]</f>
        <v/>
      </c>
      <c r="AF203" s="599">
        <f>SUMIFS(stock[MT],stock[Bucket],schedule13[[#This Row],[Bucket]],stock[CTL Bucket],schedule13[[#This Row],[CTL Bucket]])</f>
        <v/>
      </c>
      <c r="AG203" s="599">
        <f>SUMIFS(stock[MT],stock[Bucket],schedule13[[#This Row],[Bucket]])+SUMIFS(wip[Stock(Net Wt)],wip[Bucket],schedule13[[#This Row],[Bucket]])/1000</f>
        <v/>
      </c>
      <c r="AH203" s="599">
        <f>AB203-AF203</f>
        <v/>
      </c>
      <c r="AI203" s="118">
        <f>(AC203+AF203)/AB203</f>
        <v/>
      </c>
    </row>
    <row r="204" hidden="1" s="584">
      <c r="A204" s="594" t="n">
        <v>86</v>
      </c>
      <c r="B204" s="5" t="inlineStr">
        <is>
          <t>Hosur</t>
        </is>
      </c>
      <c r="C204" s="601" t="inlineStr">
        <is>
          <t>NMPL (HUB)</t>
        </is>
      </c>
      <c r="D204" s="601" t="n"/>
      <c r="E204" s="601" t="inlineStr">
        <is>
          <t>930801|189227</t>
        </is>
      </c>
      <c r="F204" s="601" t="n">
        <v>1940357</v>
      </c>
      <c r="G204" s="601" t="inlineStr">
        <is>
          <t>TUB-O-O-AUT-AW-PE-22.23X1.200X0.1400</t>
        </is>
      </c>
      <c r="H204" s="601" t="inlineStr">
        <is>
          <t>ERW 1</t>
        </is>
      </c>
      <c r="I204" s="601" t="n"/>
      <c r="J204" s="601" t="inlineStr">
        <is>
          <t>PE</t>
        </is>
      </c>
      <c r="K204" s="601" t="inlineStr">
        <is>
          <t>CR</t>
        </is>
      </c>
      <c r="L204" s="601" t="n"/>
      <c r="M204" s="601" t="n"/>
      <c r="N204" s="601" t="n"/>
      <c r="O204" s="601" t="n"/>
      <c r="P204" s="557">
        <f>CONCATENATE(schedule13[[#This Row],[OD]],"-",schedule13[[#This Row],[ID]],"-",schedule13[[#This Row],[TICKNESS]],"-",schedule13[[#This Row],[GRADE]],"-",schedule13[[#This Row],[FC/NFC]])</f>
        <v/>
      </c>
      <c r="Q204" s="557">
        <f>_xlfn.CONCAT(schedule13[[#This Row],[Bucket]],"-",schedule13[[#This Row],[LENGTH]]/1000)</f>
        <v/>
      </c>
      <c r="R204" s="557">
        <f>COUNTIF(buckets[CTL Bucket],schedule13[[#This Row],[CTL Bucket]])</f>
        <v/>
      </c>
      <c r="S204" s="599" t="n">
        <v>22.23</v>
      </c>
      <c r="T204" s="599" t="n">
        <v>22.23</v>
      </c>
      <c r="U204" s="599" t="n">
        <v>0</v>
      </c>
      <c r="V204" s="599" t="n">
        <v>1.2</v>
      </c>
      <c r="W204" s="22" t="n">
        <v>140</v>
      </c>
      <c r="X204" s="22" t="inlineStr">
        <is>
          <t>NOS</t>
        </is>
      </c>
      <c r="Y204" s="601" t="n">
        <v>4000</v>
      </c>
      <c r="Z204" s="601" t="n"/>
      <c r="AA204" s="602">
        <f>Y204-Z204</f>
        <v/>
      </c>
      <c r="AB204" s="599">
        <f>(3.14*(schedule13[[#This Row],[ACTUAL OD]]-schedule13[[#This Row],[TICKNESS]])*schedule13[[#This Row],[TICKNESS]]*schedule13[[#This Row],[LENGTH]]*7.85)/1000000*schedule13[[#This Row],[SCHEDULE]]/1000</f>
        <v/>
      </c>
      <c r="AC204" s="599">
        <f>(S204-V204)*V204*W204*0.024653*Z204/1000000</f>
        <v/>
      </c>
      <c r="AD204" s="599">
        <f>AB204-AC204</f>
        <v/>
      </c>
      <c r="AE204" s="598">
        <f>schedule13[[#This Row],[CTL Stock]]/schedule13[[#This Row],[SCHEDULE IN MT]]*schedule13[[#This Row],[SCHEDULE]]</f>
        <v/>
      </c>
      <c r="AF204" s="599">
        <f>SUMIFS(stock[MT],stock[Bucket],schedule13[[#This Row],[Bucket]],stock[CTL Bucket],schedule13[[#This Row],[CTL Bucket]])</f>
        <v/>
      </c>
      <c r="AG204" s="599">
        <f>SUMIFS(stock[MT],stock[Bucket],schedule13[[#This Row],[Bucket]])+SUMIFS(wip[Stock(Net Wt)],wip[Bucket],schedule13[[#This Row],[Bucket]])/1000</f>
        <v/>
      </c>
      <c r="AH204" s="599">
        <f>AB203-AF204</f>
        <v/>
      </c>
      <c r="AI204" s="118">
        <f>(AC204+AF204)/AB204</f>
        <v/>
      </c>
    </row>
    <row r="205" hidden="1" s="584">
      <c r="A205" s="594" t="n">
        <v>88</v>
      </c>
      <c r="B205" s="5" t="inlineStr">
        <is>
          <t>Hosur</t>
        </is>
      </c>
      <c r="C205" s="601" t="inlineStr">
        <is>
          <t>NMPL (HUB)</t>
        </is>
      </c>
      <c r="D205" s="601" t="n"/>
      <c r="E205" s="601" t="inlineStr">
        <is>
          <t>930801|189227</t>
        </is>
      </c>
      <c r="F205" s="601" t="n">
        <v>1938251</v>
      </c>
      <c r="G205" s="601" t="inlineStr">
        <is>
          <t>TUB-O-N-AUT-AW-PE-22.23X1.600X0.3940</t>
        </is>
      </c>
      <c r="H205" s="601" t="inlineStr">
        <is>
          <t>ERW 1</t>
        </is>
      </c>
      <c r="I205" s="601" t="n"/>
      <c r="J205" s="601" t="inlineStr">
        <is>
          <t>PE</t>
        </is>
      </c>
      <c r="K205" s="601" t="inlineStr">
        <is>
          <t>CR</t>
        </is>
      </c>
      <c r="L205" s="596" t="inlineStr">
        <is>
          <t>D</t>
        </is>
      </c>
      <c r="M205" s="601" t="n"/>
      <c r="N205" s="601" t="n"/>
      <c r="O205" s="601" t="n"/>
      <c r="P205" s="557">
        <f>CONCATENATE(schedule13[[#This Row],[OD]],"-",schedule13[[#This Row],[ID]],"-",schedule13[[#This Row],[TICKNESS]],"-",schedule13[[#This Row],[GRADE]],"-",schedule13[[#This Row],[FC/NFC]])</f>
        <v/>
      </c>
      <c r="Q205" s="557">
        <f>_xlfn.CONCAT(schedule13[[#This Row],[Bucket]],"-",schedule13[[#This Row],[LENGTH]]/1000)</f>
        <v/>
      </c>
      <c r="R205" s="557">
        <f>COUNTIF(buckets[CTL Bucket],schedule13[[#This Row],[CTL Bucket]])</f>
        <v/>
      </c>
      <c r="S205" s="599" t="n">
        <v>22.23</v>
      </c>
      <c r="T205" s="599" t="n">
        <v>22.23</v>
      </c>
      <c r="U205" s="6" t="n">
        <v>0</v>
      </c>
      <c r="V205" s="599" t="n">
        <v>1.6</v>
      </c>
      <c r="W205" s="22" t="n">
        <v>394</v>
      </c>
      <c r="X205" s="22" t="inlineStr">
        <is>
          <t>NOS</t>
        </is>
      </c>
      <c r="Y205" s="601" t="n">
        <v>6000</v>
      </c>
      <c r="Z205" s="601" t="n"/>
      <c r="AA205" s="602">
        <f>Y205-Z205</f>
        <v/>
      </c>
      <c r="AB205" s="599">
        <f>(3.14*(schedule13[[#This Row],[ACTUAL OD]]-schedule13[[#This Row],[TICKNESS]])*schedule13[[#This Row],[TICKNESS]]*schedule13[[#This Row],[LENGTH]]*7.85)/1000000*schedule13[[#This Row],[SCHEDULE]]/1000</f>
        <v/>
      </c>
      <c r="AC205" s="599">
        <f>(S205-V205)*V205*W205*0.024653*Z205/1000000</f>
        <v/>
      </c>
      <c r="AD205" s="599">
        <f>AB205-AC205</f>
        <v/>
      </c>
      <c r="AE205" s="598">
        <f>schedule13[[#This Row],[CTL Stock]]/schedule13[[#This Row],[SCHEDULE IN MT]]*schedule13[[#This Row],[SCHEDULE]]</f>
        <v/>
      </c>
      <c r="AF205" s="599">
        <f>SUMIFS(stock[MT],stock[Bucket],schedule13[[#This Row],[Bucket]],stock[CTL Bucket],schedule13[[#This Row],[CTL Bucket]])</f>
        <v/>
      </c>
      <c r="AG205" s="599">
        <f>SUMIFS(stock[MT],stock[Bucket],schedule13[[#This Row],[Bucket]])+SUMIFS(wip[Stock(Net Wt)],wip[Bucket],schedule13[[#This Row],[Bucket]])/1000</f>
        <v/>
      </c>
      <c r="AH205" s="599">
        <f>AB205-AF205</f>
        <v/>
      </c>
      <c r="AI205" s="118">
        <f>(AC205+AF205)/AB205</f>
        <v/>
      </c>
    </row>
    <row r="206" hidden="1" s="584">
      <c r="A206" s="594" t="n">
        <v>89</v>
      </c>
      <c r="B206" s="5" t="inlineStr">
        <is>
          <t>Hosur</t>
        </is>
      </c>
      <c r="C206" s="601" t="inlineStr">
        <is>
          <t>NMPL (HUB)</t>
        </is>
      </c>
      <c r="D206" s="601" t="n"/>
      <c r="E206" s="601" t="inlineStr">
        <is>
          <t>930801|189227</t>
        </is>
      </c>
      <c r="F206" s="601" t="n">
        <v>2427960</v>
      </c>
      <c r="G206" s="601" t="inlineStr">
        <is>
          <t>TUB-O-N-AUT-AW-PE-22.23X1.600X0.6700</t>
        </is>
      </c>
      <c r="H206" s="601" t="inlineStr">
        <is>
          <t>ERW 1</t>
        </is>
      </c>
      <c r="I206" s="601" t="n"/>
      <c r="J206" s="596" t="inlineStr">
        <is>
          <t>PE</t>
        </is>
      </c>
      <c r="K206" s="601" t="inlineStr">
        <is>
          <t>CR</t>
        </is>
      </c>
      <c r="L206" s="596" t="inlineStr">
        <is>
          <t>HROP</t>
        </is>
      </c>
      <c r="M206" s="601" t="n"/>
      <c r="N206" s="601" t="n"/>
      <c r="O206" s="601" t="n"/>
      <c r="P206" s="557">
        <f>CONCATENATE(schedule13[[#This Row],[OD]],"-",schedule13[[#This Row],[ID]],"-",schedule13[[#This Row],[TICKNESS]],"-",schedule13[[#This Row],[GRADE]],"-",schedule13[[#This Row],[FC/NFC]])</f>
        <v/>
      </c>
      <c r="Q206" s="557">
        <f>_xlfn.CONCAT(schedule13[[#This Row],[Bucket]],"-",schedule13[[#This Row],[LENGTH]]/1000)</f>
        <v/>
      </c>
      <c r="R206" s="557">
        <f>COUNTIF(buckets[CTL Bucket],schedule13[[#This Row],[CTL Bucket]])</f>
        <v/>
      </c>
      <c r="S206" s="599" t="n">
        <v>22.23</v>
      </c>
      <c r="T206" s="599" t="n">
        <v>22.23</v>
      </c>
      <c r="U206" s="6" t="n">
        <v>0</v>
      </c>
      <c r="V206" s="599" t="n">
        <v>1.6</v>
      </c>
      <c r="W206" s="22" t="n">
        <v>670</v>
      </c>
      <c r="X206" s="22" t="inlineStr">
        <is>
          <t>NOS</t>
        </is>
      </c>
      <c r="Y206" s="601" t="n">
        <v>14000</v>
      </c>
      <c r="Z206" s="601" t="n"/>
      <c r="AA206" s="602">
        <f>Y206-Z206</f>
        <v/>
      </c>
      <c r="AB206" s="599">
        <f>(3.14*(schedule13[[#This Row],[ACTUAL OD]]-schedule13[[#This Row],[TICKNESS]])*schedule13[[#This Row],[TICKNESS]]*schedule13[[#This Row],[LENGTH]]*7.85)/1000000*schedule13[[#This Row],[SCHEDULE]]/1000</f>
        <v/>
      </c>
      <c r="AC206" s="599">
        <f>(S206-V206)*V206*W206*0.024653*Z206/1000000</f>
        <v/>
      </c>
      <c r="AD206" s="599">
        <f>AB206-AC206</f>
        <v/>
      </c>
      <c r="AE206" s="598">
        <f>schedule13[[#This Row],[CTL Stock]]/schedule13[[#This Row],[SCHEDULE IN MT]]*schedule13[[#This Row],[SCHEDULE]]</f>
        <v/>
      </c>
      <c r="AF206" s="599">
        <f>SUMIFS(stock[MT],stock[Bucket],schedule13[[#This Row],[Bucket]],stock[CTL Bucket],schedule13[[#This Row],[CTL Bucket]])</f>
        <v/>
      </c>
      <c r="AG206" s="599">
        <f>SUMIFS(stock[MT],stock[Bucket],schedule13[[#This Row],[Bucket]])+SUMIFS(wip[Stock(Net Wt)],wip[Bucket],schedule13[[#This Row],[Bucket]])/1000</f>
        <v/>
      </c>
      <c r="AH206" s="599">
        <f>AB206-AF206</f>
        <v/>
      </c>
      <c r="AI206" s="118">
        <f>(AC206+AF206)/AB206</f>
        <v/>
      </c>
    </row>
    <row r="207" hidden="1" s="584">
      <c r="A207" s="594" t="n">
        <v>90</v>
      </c>
      <c r="B207" s="5" t="inlineStr">
        <is>
          <t>Hosur</t>
        </is>
      </c>
      <c r="C207" s="601" t="inlineStr">
        <is>
          <t>NMPL (HUB)</t>
        </is>
      </c>
      <c r="D207" s="601" t="n"/>
      <c r="E207" s="601" t="inlineStr">
        <is>
          <t>930801|189227</t>
        </is>
      </c>
      <c r="F207" s="601" t="n">
        <v>2427939</v>
      </c>
      <c r="G207" s="601" t="inlineStr">
        <is>
          <t>TUB-O-N-AUT-AW-PE-22.23X1.600X0.6750</t>
        </is>
      </c>
      <c r="H207" s="601" t="inlineStr">
        <is>
          <t>ERW 1</t>
        </is>
      </c>
      <c r="I207" s="601" t="n"/>
      <c r="J207" s="596" t="inlineStr">
        <is>
          <t>PE</t>
        </is>
      </c>
      <c r="K207" s="601" t="inlineStr">
        <is>
          <t>CR</t>
        </is>
      </c>
      <c r="L207" s="596" t="inlineStr">
        <is>
          <t>HROP</t>
        </is>
      </c>
      <c r="M207" s="601" t="n"/>
      <c r="N207" s="601" t="inlineStr">
        <is>
          <t>AG</t>
        </is>
      </c>
      <c r="O207" s="601" t="n"/>
      <c r="P207" s="557">
        <f>CONCATENATE(schedule13[[#This Row],[OD]],"-",schedule13[[#This Row],[ID]],"-",schedule13[[#This Row],[TICKNESS]],"-",schedule13[[#This Row],[GRADE]],"-",schedule13[[#This Row],[FC/NFC]])</f>
        <v/>
      </c>
      <c r="Q207" s="557">
        <f>_xlfn.CONCAT(schedule13[[#This Row],[Bucket]],"-",schedule13[[#This Row],[LENGTH]]/1000)</f>
        <v/>
      </c>
      <c r="R207" s="557">
        <f>COUNTIF(buckets[CTL Bucket],schedule13[[#This Row],[CTL Bucket]])</f>
        <v/>
      </c>
      <c r="S207" s="599" t="n">
        <v>22.23</v>
      </c>
      <c r="T207" s="599" t="n">
        <v>22.23</v>
      </c>
      <c r="U207" s="6" t="n">
        <v>0</v>
      </c>
      <c r="V207" s="599" t="n">
        <v>1.6</v>
      </c>
      <c r="W207" s="22" t="n">
        <v>675</v>
      </c>
      <c r="X207" s="22" t="inlineStr">
        <is>
          <t>NOS</t>
        </is>
      </c>
      <c r="Y207" s="601" t="n">
        <v>14000</v>
      </c>
      <c r="Z207" s="601" t="n"/>
      <c r="AA207" s="602">
        <f>Y207-Z207</f>
        <v/>
      </c>
      <c r="AB207" s="599">
        <f>(3.14*(schedule13[[#This Row],[ACTUAL OD]]-schedule13[[#This Row],[TICKNESS]])*schedule13[[#This Row],[TICKNESS]]*schedule13[[#This Row],[LENGTH]]*7.85)/1000000*schedule13[[#This Row],[SCHEDULE]]/1000</f>
        <v/>
      </c>
      <c r="AC207" s="599">
        <f>(S207-V207)*V207*W207*0.024653*Z207/1000000</f>
        <v/>
      </c>
      <c r="AD207" s="599">
        <f>AB207-AC207</f>
        <v/>
      </c>
      <c r="AE207" s="598">
        <f>schedule13[[#This Row],[CTL Stock]]/schedule13[[#This Row],[SCHEDULE IN MT]]*schedule13[[#This Row],[SCHEDULE]]</f>
        <v/>
      </c>
      <c r="AF207" s="599">
        <f>SUMIFS(stock[MT],stock[Bucket],schedule13[[#This Row],[Bucket]],stock[CTL Bucket],schedule13[[#This Row],[CTL Bucket]])</f>
        <v/>
      </c>
      <c r="AG207" s="599">
        <f>SUMIFS(stock[MT],stock[Bucket],schedule13[[#This Row],[Bucket]])+SUMIFS(wip[Stock(Net Wt)],wip[Bucket],schedule13[[#This Row],[Bucket]])/1000</f>
        <v/>
      </c>
      <c r="AH207" s="599">
        <f>AB207-AF207</f>
        <v/>
      </c>
      <c r="AI207" s="118">
        <f>(AC207+AF207)/AB207</f>
        <v/>
      </c>
    </row>
    <row r="208" hidden="1" s="584">
      <c r="A208" s="594" t="n">
        <v>91</v>
      </c>
      <c r="B208" s="5" t="inlineStr">
        <is>
          <t>Hosur</t>
        </is>
      </c>
      <c r="C208" s="601" t="inlineStr">
        <is>
          <t>NMPL (HUB)</t>
        </is>
      </c>
      <c r="D208" s="601" t="n"/>
      <c r="E208" s="601" t="inlineStr">
        <is>
          <t>930801|189227</t>
        </is>
      </c>
      <c r="F208" s="601" t="n">
        <v>1940408</v>
      </c>
      <c r="G208" s="601" t="inlineStr">
        <is>
          <t>TUB-O-O-AUT-AW-PE-22.23X1.600X0.8090</t>
        </is>
      </c>
      <c r="H208" s="601" t="inlineStr">
        <is>
          <t>ERW 1</t>
        </is>
      </c>
      <c r="I208" s="601" t="n"/>
      <c r="J208" s="601" t="inlineStr">
        <is>
          <t>PE</t>
        </is>
      </c>
      <c r="K208" s="601" t="inlineStr">
        <is>
          <t>CR</t>
        </is>
      </c>
      <c r="L208" s="596" t="inlineStr">
        <is>
          <t>GR1</t>
        </is>
      </c>
      <c r="M208" s="601" t="n"/>
      <c r="N208" s="601" t="n"/>
      <c r="O208" s="601" t="n"/>
      <c r="P208" s="557">
        <f>CONCATENATE(schedule13[[#This Row],[OD]],"-",schedule13[[#This Row],[ID]],"-",schedule13[[#This Row],[TICKNESS]],"-",schedule13[[#This Row],[GRADE]],"-",schedule13[[#This Row],[FC/NFC]])</f>
        <v/>
      </c>
      <c r="Q208" s="557">
        <f>_xlfn.CONCAT(schedule13[[#This Row],[Bucket]],"-",schedule13[[#This Row],[LENGTH]]/1000)</f>
        <v/>
      </c>
      <c r="R208" s="557">
        <f>COUNTIF(buckets[CTL Bucket],schedule13[[#This Row],[CTL Bucket]])</f>
        <v/>
      </c>
      <c r="S208" s="599" t="n">
        <v>22.23</v>
      </c>
      <c r="T208" s="599" t="n">
        <v>22.23</v>
      </c>
      <c r="U208" s="6" t="n">
        <v>0</v>
      </c>
      <c r="V208" s="599" t="n">
        <v>1.6</v>
      </c>
      <c r="W208" s="22" t="n">
        <v>809</v>
      </c>
      <c r="X208" s="22" t="inlineStr">
        <is>
          <t>NOS</t>
        </is>
      </c>
      <c r="Y208" s="601" t="n">
        <v>2000</v>
      </c>
      <c r="Z208" s="601" t="n"/>
      <c r="AA208" s="602">
        <f>Y208-Z208</f>
        <v/>
      </c>
      <c r="AB208" s="599">
        <f>(3.14*(schedule13[[#This Row],[ACTUAL OD]]-schedule13[[#This Row],[TICKNESS]])*schedule13[[#This Row],[TICKNESS]]*schedule13[[#This Row],[LENGTH]]*7.85)/1000000*schedule13[[#This Row],[SCHEDULE]]/1000</f>
        <v/>
      </c>
      <c r="AC208" s="599">
        <f>(S208-V208)*V208*W208*0.024653*Z208/1000000</f>
        <v/>
      </c>
      <c r="AD208" s="599">
        <f>AB208-AC208</f>
        <v/>
      </c>
      <c r="AE208" s="598">
        <f>schedule13[[#This Row],[CTL Stock]]/schedule13[[#This Row],[SCHEDULE IN MT]]*schedule13[[#This Row],[SCHEDULE]]</f>
        <v/>
      </c>
      <c r="AF208" s="599">
        <f>SUMIFS(stock[MT],stock[Bucket],schedule13[[#This Row],[Bucket]],stock[CTL Bucket],schedule13[[#This Row],[CTL Bucket]])</f>
        <v/>
      </c>
      <c r="AG208" s="599">
        <f>SUMIFS(stock[MT],stock[Bucket],schedule13[[#This Row],[Bucket]])+SUMIFS(wip[Stock(Net Wt)],wip[Bucket],schedule13[[#This Row],[Bucket]])/1000</f>
        <v/>
      </c>
      <c r="AH208" s="599">
        <f>AB208-AF208</f>
        <v/>
      </c>
      <c r="AI208" s="118">
        <f>(AC208+AF208)/AB208</f>
        <v/>
      </c>
    </row>
    <row r="209" hidden="1" s="584">
      <c r="A209" s="594" t="n">
        <v>94</v>
      </c>
      <c r="B209" s="5" t="inlineStr">
        <is>
          <t>Hosur</t>
        </is>
      </c>
      <c r="C209" s="601" t="inlineStr">
        <is>
          <t>NMPL (HUB)</t>
        </is>
      </c>
      <c r="D209" s="601" t="n"/>
      <c r="E209" s="601" t="inlineStr">
        <is>
          <t>930801|189227</t>
        </is>
      </c>
      <c r="F209" s="601" t="n">
        <v>1940437</v>
      </c>
      <c r="G209" s="601" t="inlineStr">
        <is>
          <t>TUB-O-O-AUT-AW-PE-22.23X2.000X0.3940</t>
        </is>
      </c>
      <c r="H209" s="601" t="inlineStr">
        <is>
          <t>ERW 1</t>
        </is>
      </c>
      <c r="I209" s="601" t="n"/>
      <c r="J209" s="601" t="inlineStr">
        <is>
          <t>PE</t>
        </is>
      </c>
      <c r="K209" s="601" t="inlineStr">
        <is>
          <t>HR</t>
        </is>
      </c>
      <c r="L209" s="601" t="n"/>
      <c r="M209" s="601" t="n"/>
      <c r="N209" s="601" t="n"/>
      <c r="O209" s="601" t="n"/>
      <c r="P209" s="557">
        <f>CONCATENATE(schedule13[[#This Row],[OD]],"-",schedule13[[#This Row],[ID]],"-",schedule13[[#This Row],[TICKNESS]],"-",schedule13[[#This Row],[GRADE]],"-",schedule13[[#This Row],[FC/NFC]])</f>
        <v/>
      </c>
      <c r="Q209" s="557">
        <f>_xlfn.CONCAT(schedule13[[#This Row],[Bucket]],"-",schedule13[[#This Row],[LENGTH]]/1000)</f>
        <v/>
      </c>
      <c r="R209" s="557">
        <f>COUNTIF(buckets[CTL Bucket],schedule13[[#This Row],[CTL Bucket]])</f>
        <v/>
      </c>
      <c r="S209" s="599" t="n">
        <v>22.23</v>
      </c>
      <c r="T209" s="599" t="n">
        <v>22.23</v>
      </c>
      <c r="U209" s="6" t="n">
        <v>0</v>
      </c>
      <c r="V209" s="599" t="n">
        <v>2</v>
      </c>
      <c r="W209" s="22" t="n">
        <v>394</v>
      </c>
      <c r="X209" s="22" t="inlineStr">
        <is>
          <t>NOS</t>
        </is>
      </c>
      <c r="Y209" s="601" t="n">
        <v>15000</v>
      </c>
      <c r="Z209" s="601" t="n"/>
      <c r="AA209" s="602">
        <f>Y209-Z209</f>
        <v/>
      </c>
      <c r="AB209" s="599">
        <f>(3.14*(schedule13[[#This Row],[ACTUAL OD]]-schedule13[[#This Row],[TICKNESS]])*schedule13[[#This Row],[TICKNESS]]*schedule13[[#This Row],[LENGTH]]*7.85)/1000000*schedule13[[#This Row],[SCHEDULE]]/1000</f>
        <v/>
      </c>
      <c r="AC209" s="599">
        <f>(S209-V209)*V209*W209*0.024653*Z209/1000000</f>
        <v/>
      </c>
      <c r="AD209" s="599">
        <f>AB209-AC209</f>
        <v/>
      </c>
      <c r="AE209" s="598">
        <f>schedule13[[#This Row],[CTL Stock]]/schedule13[[#This Row],[SCHEDULE IN MT]]*schedule13[[#This Row],[SCHEDULE]]</f>
        <v/>
      </c>
      <c r="AF209" s="599">
        <f>SUMIFS(stock[MT],stock[Bucket],schedule13[[#This Row],[Bucket]],stock[CTL Bucket],schedule13[[#This Row],[CTL Bucket]])</f>
        <v/>
      </c>
      <c r="AG209" s="599">
        <f>SUMIFS(stock[MT],stock[Bucket],schedule13[[#This Row],[Bucket]])+SUMIFS(wip[Stock(Net Wt)],wip[Bucket],schedule13[[#This Row],[Bucket]])/1000</f>
        <v/>
      </c>
      <c r="AH209" s="599">
        <f>AB209-AF209</f>
        <v/>
      </c>
      <c r="AI209" s="118">
        <f>(AC209+AF209)/AB209</f>
        <v/>
      </c>
    </row>
    <row r="210" hidden="1" s="584">
      <c r="A210" s="594" t="n">
        <v>95</v>
      </c>
      <c r="B210" s="5" t="inlineStr">
        <is>
          <t>Hosur</t>
        </is>
      </c>
      <c r="C210" s="601" t="inlineStr">
        <is>
          <t>NMPL (HUB)</t>
        </is>
      </c>
      <c r="D210" s="601" t="n"/>
      <c r="E210" s="601" t="inlineStr">
        <is>
          <t>930801|189227</t>
        </is>
      </c>
      <c r="F210" s="601" t="n">
        <v>1940466</v>
      </c>
      <c r="G210" s="601" t="inlineStr">
        <is>
          <t>TUB-O-O-AUT-AW-PE-22.23X2.000X0.8090</t>
        </is>
      </c>
      <c r="H210" s="601" t="inlineStr">
        <is>
          <t>ERW 1</t>
        </is>
      </c>
      <c r="I210" s="601" t="n"/>
      <c r="J210" s="601" t="inlineStr">
        <is>
          <t>PE</t>
        </is>
      </c>
      <c r="K210" s="601" t="inlineStr">
        <is>
          <t>HR</t>
        </is>
      </c>
      <c r="L210" s="601" t="n"/>
      <c r="M210" s="601" t="n"/>
      <c r="N210" s="601" t="n"/>
      <c r="O210" s="601" t="n"/>
      <c r="P210" s="557">
        <f>CONCATENATE(schedule13[[#This Row],[OD]],"-",schedule13[[#This Row],[ID]],"-",schedule13[[#This Row],[TICKNESS]],"-",schedule13[[#This Row],[GRADE]],"-",schedule13[[#This Row],[FC/NFC]])</f>
        <v/>
      </c>
      <c r="Q210" s="557">
        <f>_xlfn.CONCAT(schedule13[[#This Row],[Bucket]],"-",schedule13[[#This Row],[LENGTH]]/1000)</f>
        <v/>
      </c>
      <c r="R210" s="557">
        <f>COUNTIF(buckets[CTL Bucket],schedule13[[#This Row],[CTL Bucket]])</f>
        <v/>
      </c>
      <c r="S210" s="599" t="n">
        <v>22.23</v>
      </c>
      <c r="T210" s="599" t="n">
        <v>22.23</v>
      </c>
      <c r="U210" s="6" t="n">
        <v>0</v>
      </c>
      <c r="V210" s="599" t="n">
        <v>2</v>
      </c>
      <c r="W210" s="22" t="n">
        <v>809</v>
      </c>
      <c r="X210" s="22" t="inlineStr">
        <is>
          <t>NOS</t>
        </is>
      </c>
      <c r="Y210" s="601" t="n">
        <v>6000</v>
      </c>
      <c r="Z210" s="601" t="n"/>
      <c r="AA210" s="602">
        <f>Y210-Z210</f>
        <v/>
      </c>
      <c r="AB210" s="599">
        <f>(3.14*(schedule13[[#This Row],[ACTUAL OD]]-schedule13[[#This Row],[TICKNESS]])*schedule13[[#This Row],[TICKNESS]]*schedule13[[#This Row],[LENGTH]]*7.85)/1000000*schedule13[[#This Row],[SCHEDULE]]/1000</f>
        <v/>
      </c>
      <c r="AC210" s="599">
        <f>(S210-V210)*V210*W210*0.024653*Z210/1000000</f>
        <v/>
      </c>
      <c r="AD210" s="599">
        <f>AB210-AC210</f>
        <v/>
      </c>
      <c r="AE210" s="598">
        <f>schedule13[[#This Row],[CTL Stock]]/schedule13[[#This Row],[SCHEDULE IN MT]]*schedule13[[#This Row],[SCHEDULE]]</f>
        <v/>
      </c>
      <c r="AF210" s="599">
        <f>SUMIFS(stock[MT],stock[Bucket],schedule13[[#This Row],[Bucket]],stock[CTL Bucket],schedule13[[#This Row],[CTL Bucket]])</f>
        <v/>
      </c>
      <c r="AG210" s="599">
        <f>SUMIFS(stock[MT],stock[Bucket],schedule13[[#This Row],[Bucket]])+SUMIFS(wip[Stock(Net Wt)],wip[Bucket],schedule13[[#This Row],[Bucket]])/1000</f>
        <v/>
      </c>
      <c r="AH210" s="599">
        <f>AB210-AF210</f>
        <v/>
      </c>
      <c r="AI210" s="118">
        <f>(AC210+AF210)/AB210</f>
        <v/>
      </c>
    </row>
    <row r="211" hidden="1" s="584">
      <c r="A211" s="594" t="n">
        <v>101</v>
      </c>
      <c r="B211" s="5" t="inlineStr">
        <is>
          <t>Hosur</t>
        </is>
      </c>
      <c r="C211" s="601" t="inlineStr">
        <is>
          <t>NMPL (HUB)</t>
        </is>
      </c>
      <c r="D211" s="601" t="n"/>
      <c r="E211" s="601" t="inlineStr">
        <is>
          <t>930801|189227</t>
        </is>
      </c>
      <c r="F211" s="601" t="n"/>
      <c r="G211" s="601" t="inlineStr">
        <is>
          <t>TUB-O-O-AUT-AW-PE-25.40X2.00X0.4120</t>
        </is>
      </c>
      <c r="H211" s="601" t="inlineStr">
        <is>
          <t>ERW 1</t>
        </is>
      </c>
      <c r="I211" s="601" t="n"/>
      <c r="J211" s="601" t="inlineStr">
        <is>
          <t>PE</t>
        </is>
      </c>
      <c r="K211" s="601" t="inlineStr">
        <is>
          <t>HR</t>
        </is>
      </c>
      <c r="L211" s="601" t="n"/>
      <c r="M211" s="601" t="n"/>
      <c r="N211" s="601" t="n"/>
      <c r="O211" s="601" t="n"/>
      <c r="P211" s="557">
        <f>CONCATENATE(schedule13[[#This Row],[OD]],"-",schedule13[[#This Row],[ID]],"-",schedule13[[#This Row],[TICKNESS]],"-",schedule13[[#This Row],[GRADE]],"-",schedule13[[#This Row],[FC/NFC]])</f>
        <v/>
      </c>
      <c r="Q211" s="557">
        <f>_xlfn.CONCAT(schedule13[[#This Row],[Bucket]],"-",schedule13[[#This Row],[LENGTH]]/1000)</f>
        <v/>
      </c>
      <c r="R211" s="557">
        <f>COUNTIF(buckets[CTL Bucket],schedule13[[#This Row],[CTL Bucket]])</f>
        <v/>
      </c>
      <c r="S211" s="599" t="n">
        <v>25.4</v>
      </c>
      <c r="T211" s="599" t="n">
        <v>25.4</v>
      </c>
      <c r="U211" s="599" t="n">
        <v>0</v>
      </c>
      <c r="V211" s="599" t="n">
        <v>2</v>
      </c>
      <c r="W211" s="22" t="n">
        <v>412</v>
      </c>
      <c r="X211" s="22" t="inlineStr">
        <is>
          <t>NOS</t>
        </is>
      </c>
      <c r="Y211" s="601" t="n">
        <v>8000</v>
      </c>
      <c r="Z211" s="601" t="n"/>
      <c r="AA211" s="602">
        <f>Y211-Z211</f>
        <v/>
      </c>
      <c r="AB211" s="599">
        <f>(3.14*(schedule13[[#This Row],[ACTUAL OD]]-schedule13[[#This Row],[TICKNESS]])*schedule13[[#This Row],[TICKNESS]]*schedule13[[#This Row],[LENGTH]]*7.85)/1000000*schedule13[[#This Row],[SCHEDULE]]/1000</f>
        <v/>
      </c>
      <c r="AC211" s="599">
        <f>(S211-V211)*V211*W211*0.024653*Z211/1000000</f>
        <v/>
      </c>
      <c r="AD211" s="599">
        <f>AB211-AC211</f>
        <v/>
      </c>
      <c r="AE211" s="598">
        <f>schedule13[[#This Row],[CTL Stock]]/schedule13[[#This Row],[SCHEDULE IN MT]]*schedule13[[#This Row],[SCHEDULE]]</f>
        <v/>
      </c>
      <c r="AF211" s="599">
        <f>SUMIFS(stock[MT],stock[Bucket],schedule13[[#This Row],[Bucket]],stock[CTL Bucket],schedule13[[#This Row],[CTL Bucket]])</f>
        <v/>
      </c>
      <c r="AG211" s="599">
        <f>SUMIFS(stock[MT],stock[Bucket],schedule13[[#This Row],[Bucket]])+SUMIFS(wip[Stock(Net Wt)],wip[Bucket],schedule13[[#This Row],[Bucket]])/1000</f>
        <v/>
      </c>
      <c r="AH211" s="599">
        <f>AB210-AF211</f>
        <v/>
      </c>
      <c r="AI211" s="118">
        <f>(AC211+AF211)/AB211</f>
        <v/>
      </c>
    </row>
    <row r="212" hidden="1" s="584">
      <c r="A212" s="594" t="n">
        <v>102</v>
      </c>
      <c r="B212" s="5" t="inlineStr">
        <is>
          <t xml:space="preserve">Khopoli </t>
        </is>
      </c>
      <c r="C212" s="601" t="inlineStr">
        <is>
          <t>NMPL (HUB)</t>
        </is>
      </c>
      <c r="D212" s="601" t="n"/>
      <c r="E212" s="601" t="inlineStr">
        <is>
          <t>930801|189227</t>
        </is>
      </c>
      <c r="F212" s="601" t="n">
        <v>2410997</v>
      </c>
      <c r="G212" s="601" t="inlineStr">
        <is>
          <t>TUB-O-C-AUT-AD-FC-25.40X3.200X04-05</t>
        </is>
      </c>
      <c r="H212" s="601" t="inlineStr">
        <is>
          <t>CEW</t>
        </is>
      </c>
      <c r="I212" s="601" t="n"/>
      <c r="J212" s="601" t="inlineStr">
        <is>
          <t>CEW</t>
        </is>
      </c>
      <c r="K212" s="601" t="inlineStr">
        <is>
          <t>HR</t>
        </is>
      </c>
      <c r="L212" s="601" t="n"/>
      <c r="M212" s="601" t="n"/>
      <c r="N212" s="601" t="n"/>
      <c r="O212" s="601" t="n"/>
      <c r="P212" s="557">
        <f>CONCATENATE(schedule13[[#This Row],[OD]],"-",schedule13[[#This Row],[ID]],"-",schedule13[[#This Row],[TICKNESS]],"-",schedule13[[#This Row],[GRADE]],"-",schedule13[[#This Row],[FC/NFC]])</f>
        <v/>
      </c>
      <c r="Q212" s="557">
        <f>schedule13[[#This Row],[Bucket]]</f>
        <v/>
      </c>
      <c r="R212" s="557">
        <f>COUNTIF(buckets[CTL Bucket],schedule13[[#This Row],[CTL Bucket]])</f>
        <v/>
      </c>
      <c r="S212" s="599" t="n">
        <v>25.4</v>
      </c>
      <c r="T212" s="599" t="n">
        <v>25.4</v>
      </c>
      <c r="U212" s="599" t="n">
        <v>19</v>
      </c>
      <c r="V212" s="599" t="n">
        <v>3.2</v>
      </c>
      <c r="W212" s="22" t="n">
        <v>1000</v>
      </c>
      <c r="X212" s="22" t="inlineStr">
        <is>
          <t>M</t>
        </is>
      </c>
      <c r="Y212" s="601" t="n">
        <v>3500</v>
      </c>
      <c r="Z212" s="601" t="n"/>
      <c r="AA212" s="602">
        <f>Y212-Z212</f>
        <v/>
      </c>
      <c r="AB212" s="599">
        <f>(3.14*(schedule13[[#This Row],[ACTUAL OD]]-schedule13[[#This Row],[TICKNESS]])*schedule13[[#This Row],[TICKNESS]]*schedule13[[#This Row],[LENGTH]]*7.85)/1000000*schedule13[[#This Row],[SCHEDULE]]/1000</f>
        <v/>
      </c>
      <c r="AC212" s="599">
        <f>(S212-V212)*V212*W212*0.024653*Z212/1000000</f>
        <v/>
      </c>
      <c r="AD212" s="599">
        <f>AB212-AC212</f>
        <v/>
      </c>
      <c r="AE212" s="598">
        <f>schedule13[[#This Row],[CTL Stock]]/schedule13[[#This Row],[SCHEDULE IN MT]]*schedule13[[#This Row],[SCHEDULE]]</f>
        <v/>
      </c>
      <c r="AF212" s="599">
        <f>SUMIFS(stock[MT],stock[Bucket],schedule13[[#This Row],[Bucket]],stock[CTL Bucket],schedule13[[#This Row],[CTL Bucket]])</f>
        <v/>
      </c>
      <c r="AG212" s="599">
        <f>SUMIFS(stock[MT],stock[Bucket],schedule13[[#This Row],[Bucket]])+SUMIFS(wip[Stock(Net Wt)],wip[Bucket],schedule13[[#This Row],[Bucket]])/1000</f>
        <v/>
      </c>
      <c r="AH212" s="599">
        <f>AB211-AF212</f>
        <v/>
      </c>
      <c r="AI212" s="118">
        <f>(AC212+AF212)/AB212</f>
        <v/>
      </c>
    </row>
    <row r="213" hidden="1" s="584">
      <c r="A213" s="594" t="n">
        <v>105</v>
      </c>
      <c r="B213" s="5" t="inlineStr">
        <is>
          <t>Hosur</t>
        </is>
      </c>
      <c r="C213" s="601" t="inlineStr">
        <is>
          <t>NMPL (HUB)</t>
        </is>
      </c>
      <c r="D213" s="601" t="n"/>
      <c r="E213" s="601" t="inlineStr">
        <is>
          <t>930801|189227</t>
        </is>
      </c>
      <c r="F213" s="601" t="n">
        <v>1933557</v>
      </c>
      <c r="G213" s="601" t="inlineStr">
        <is>
          <t>TUB-O-N-AUT-AW-PE-28.58X1.600X0.8450</t>
        </is>
      </c>
      <c r="H213" s="601" t="inlineStr">
        <is>
          <t>ERW 1</t>
        </is>
      </c>
      <c r="I213" s="601" t="n"/>
      <c r="J213" s="601" t="inlineStr">
        <is>
          <t>PE</t>
        </is>
      </c>
      <c r="K213" s="601" t="inlineStr">
        <is>
          <t>CR</t>
        </is>
      </c>
      <c r="L213" s="596" t="inlineStr">
        <is>
          <t>ST52AL</t>
        </is>
      </c>
      <c r="M213" s="601" t="n"/>
      <c r="N213" s="601" t="n"/>
      <c r="O213" s="601" t="n"/>
      <c r="P213" s="557">
        <f>CONCATENATE(schedule13[[#This Row],[OD]],"-",schedule13[[#This Row],[ID]],"-",schedule13[[#This Row],[TICKNESS]],"-",schedule13[[#This Row],[GRADE]],"-",schedule13[[#This Row],[FC/NFC]])</f>
        <v/>
      </c>
      <c r="Q213" s="557">
        <f>_xlfn.CONCAT(schedule13[[#This Row],[Bucket]],"-",schedule13[[#This Row],[LENGTH]]/1000)</f>
        <v/>
      </c>
      <c r="R213" s="557">
        <f>COUNTIF(buckets[CTL Bucket],schedule13[[#This Row],[CTL Bucket]])</f>
        <v/>
      </c>
      <c r="S213" s="599" t="n">
        <v>28.58</v>
      </c>
      <c r="T213" s="599" t="n">
        <v>28.58</v>
      </c>
      <c r="U213" s="6" t="n">
        <v>0</v>
      </c>
      <c r="V213" s="599" t="n">
        <v>1.6</v>
      </c>
      <c r="W213" s="22" t="n">
        <v>845</v>
      </c>
      <c r="X213" s="22" t="inlineStr">
        <is>
          <t>NOS</t>
        </is>
      </c>
      <c r="Y213" s="601" t="n">
        <v>100</v>
      </c>
      <c r="Z213" s="601" t="n"/>
      <c r="AA213" s="602">
        <f>Y213-Z213</f>
        <v/>
      </c>
      <c r="AB213" s="599">
        <f>(3.14*(schedule13[[#This Row],[ACTUAL OD]]-schedule13[[#This Row],[TICKNESS]])*schedule13[[#This Row],[TICKNESS]]*schedule13[[#This Row],[LENGTH]]*7.85)/1000000*schedule13[[#This Row],[SCHEDULE]]/1000</f>
        <v/>
      </c>
      <c r="AC213" s="599">
        <f>(S213-V213)*V213*W213*0.024653*Z213/1000000</f>
        <v/>
      </c>
      <c r="AD213" s="599">
        <f>AB213-AC213</f>
        <v/>
      </c>
      <c r="AE213" s="598">
        <f>schedule13[[#This Row],[CTL Stock]]/schedule13[[#This Row],[SCHEDULE IN MT]]*schedule13[[#This Row],[SCHEDULE]]</f>
        <v/>
      </c>
      <c r="AF213" s="599">
        <f>SUMIFS(stock[MT],stock[Bucket],schedule13[[#This Row],[Bucket]],stock[CTL Bucket],schedule13[[#This Row],[CTL Bucket]])</f>
        <v/>
      </c>
      <c r="AG213" s="599">
        <f>SUMIFS(stock[MT],stock[Bucket],schedule13[[#This Row],[Bucket]])+SUMIFS(wip[Stock(Net Wt)],wip[Bucket],schedule13[[#This Row],[Bucket]])/1000</f>
        <v/>
      </c>
      <c r="AH213" s="599">
        <f>AB212-AF213</f>
        <v/>
      </c>
      <c r="AI213" s="118">
        <f>(AC213+AF213)/AB213</f>
        <v/>
      </c>
    </row>
    <row r="214" hidden="1" s="584">
      <c r="A214" s="594" t="n">
        <v>110</v>
      </c>
      <c r="B214" s="5" t="inlineStr">
        <is>
          <t>Hosur</t>
        </is>
      </c>
      <c r="C214" s="601" t="inlineStr">
        <is>
          <t>NMPL (HUB)</t>
        </is>
      </c>
      <c r="D214" s="601" t="n"/>
      <c r="E214" s="601" t="inlineStr">
        <is>
          <t>930801|189227</t>
        </is>
      </c>
      <c r="F214" s="601" t="n">
        <v>1940731</v>
      </c>
      <c r="G214" s="601" t="inlineStr">
        <is>
          <t>TUB-O-O-AUT-AW-FC-38.10X1.600X0.8120</t>
        </is>
      </c>
      <c r="H214" s="601" t="inlineStr">
        <is>
          <t>ERW 1</t>
        </is>
      </c>
      <c r="I214" s="601" t="n"/>
      <c r="J214" s="601" t="inlineStr">
        <is>
          <t>FC</t>
        </is>
      </c>
      <c r="K214" s="601" t="inlineStr">
        <is>
          <t>HR</t>
        </is>
      </c>
      <c r="L214" s="601" t="inlineStr">
        <is>
          <t>GR1</t>
        </is>
      </c>
      <c r="M214" s="601" t="n"/>
      <c r="N214" s="601" t="n"/>
      <c r="O214" s="601" t="n"/>
      <c r="P214" s="557">
        <f>CONCATENATE(schedule13[[#This Row],[OD]],"-",schedule13[[#This Row],[ID]],"-",schedule13[[#This Row],[TICKNESS]],"-",schedule13[[#This Row],[GRADE]],"-",schedule13[[#This Row],[FC/NFC]])</f>
        <v/>
      </c>
      <c r="Q214" s="557">
        <f>_xlfn.CONCAT(schedule13[[#This Row],[Bucket]],"-",schedule13[[#This Row],[LENGTH]]/1000)</f>
        <v/>
      </c>
      <c r="R214" s="557">
        <f>COUNTIF(buckets[CTL Bucket],schedule13[[#This Row],[CTL Bucket]])</f>
        <v/>
      </c>
      <c r="S214" s="599" t="n">
        <v>38.1</v>
      </c>
      <c r="T214" s="599" t="n">
        <v>38.1</v>
      </c>
      <c r="U214" s="6" t="n">
        <v>0</v>
      </c>
      <c r="V214" s="599" t="n">
        <v>1.6</v>
      </c>
      <c r="W214" s="22" t="n">
        <v>812</v>
      </c>
      <c r="X214" s="22" t="inlineStr">
        <is>
          <t>NOS</t>
        </is>
      </c>
      <c r="Y214" s="601" t="n">
        <v>2000</v>
      </c>
      <c r="Z214" s="601" t="n"/>
      <c r="AA214" s="602">
        <f>Y214-Z214</f>
        <v/>
      </c>
      <c r="AB214" s="599">
        <f>(3.14*(schedule13[[#This Row],[ACTUAL OD]]-schedule13[[#This Row],[TICKNESS]])*schedule13[[#This Row],[TICKNESS]]*schedule13[[#This Row],[LENGTH]]*7.85)/1000000*schedule13[[#This Row],[SCHEDULE]]/1000</f>
        <v/>
      </c>
      <c r="AC214" s="599">
        <f>(S214-V214)*V214*W214*0.024653*Z214/1000000</f>
        <v/>
      </c>
      <c r="AD214" s="599">
        <f>AB214-AC214</f>
        <v/>
      </c>
      <c r="AE214" s="598">
        <f>schedule13[[#This Row],[CTL Stock]]/schedule13[[#This Row],[SCHEDULE IN MT]]*schedule13[[#This Row],[SCHEDULE]]</f>
        <v/>
      </c>
      <c r="AF214" s="599">
        <f>SUMIFS(stock[MT],stock[Bucket],schedule13[[#This Row],[Bucket]],stock[CTL Bucket],schedule13[[#This Row],[CTL Bucket]])</f>
        <v/>
      </c>
      <c r="AG214" s="599">
        <f>SUMIFS(stock[MT],stock[Bucket],schedule13[[#This Row],[Bucket]])+SUMIFS(wip[Stock(Net Wt)],wip[Bucket],schedule13[[#This Row],[Bucket]])/1000</f>
        <v/>
      </c>
      <c r="AH214" s="599">
        <f>AB213-AF214</f>
        <v/>
      </c>
      <c r="AI214" s="118">
        <f>(AC214+AF214)/AB214</f>
        <v/>
      </c>
    </row>
    <row r="215" hidden="1" s="584">
      <c r="A215" s="594" t="n">
        <v>114</v>
      </c>
      <c r="B215" s="5" t="inlineStr">
        <is>
          <t>Hosur</t>
        </is>
      </c>
      <c r="C215" s="601" t="inlineStr">
        <is>
          <t>NMPL (HUB)</t>
        </is>
      </c>
      <c r="D215" s="601" t="n"/>
      <c r="E215" s="601" t="inlineStr">
        <is>
          <t>930801|189227</t>
        </is>
      </c>
      <c r="F215" s="601" t="n">
        <v>3509030</v>
      </c>
      <c r="G215" s="601" t="inlineStr">
        <is>
          <t>TUB-O-N-AUT-AW-PE-38.10X2.000X0.4060</t>
        </is>
      </c>
      <c r="H215" s="601" t="inlineStr">
        <is>
          <t>ERW 1</t>
        </is>
      </c>
      <c r="I215" s="601" t="n"/>
      <c r="J215" s="601" t="inlineStr">
        <is>
          <t>PE</t>
        </is>
      </c>
      <c r="K215" s="601" t="inlineStr">
        <is>
          <t>HR</t>
        </is>
      </c>
      <c r="L215" s="601" t="n"/>
      <c r="M215" s="601" t="n"/>
      <c r="N215" s="601" t="n"/>
      <c r="O215" s="601" t="n"/>
      <c r="P215" s="557">
        <f>CONCATENATE(schedule13[[#This Row],[OD]],"-",schedule13[[#This Row],[ID]],"-",schedule13[[#This Row],[TICKNESS]],"-",schedule13[[#This Row],[GRADE]],"-",schedule13[[#This Row],[FC/NFC]])</f>
        <v/>
      </c>
      <c r="Q215" s="557">
        <f>_xlfn.CONCAT(schedule13[[#This Row],[Bucket]],"-",schedule13[[#This Row],[LENGTH]]/1000)</f>
        <v/>
      </c>
      <c r="R215" s="557">
        <f>COUNTIF(buckets[CTL Bucket],schedule13[[#This Row],[CTL Bucket]])</f>
        <v/>
      </c>
      <c r="S215" s="599" t="n">
        <v>38.1</v>
      </c>
      <c r="T215" s="599" t="n">
        <v>38.1</v>
      </c>
      <c r="U215" s="6" t="n">
        <v>0</v>
      </c>
      <c r="V215" s="599" t="n">
        <v>2</v>
      </c>
      <c r="W215" s="22" t="n">
        <v>406</v>
      </c>
      <c r="X215" s="22" t="inlineStr">
        <is>
          <t>NOS</t>
        </is>
      </c>
      <c r="Y215" s="601" t="n">
        <v>6000</v>
      </c>
      <c r="Z215" s="601" t="n"/>
      <c r="AA215" s="602">
        <f>Y215-Z215</f>
        <v/>
      </c>
      <c r="AB215" s="599">
        <f>(3.14*(schedule13[[#This Row],[ACTUAL OD]]-schedule13[[#This Row],[TICKNESS]])*schedule13[[#This Row],[TICKNESS]]*schedule13[[#This Row],[LENGTH]]*7.85)/1000000*schedule13[[#This Row],[SCHEDULE]]/1000</f>
        <v/>
      </c>
      <c r="AC215" s="599">
        <f>(S215-V215)*V215*W215*0.024653*Z215/1000000</f>
        <v/>
      </c>
      <c r="AD215" s="599">
        <f>AB215-AC215</f>
        <v/>
      </c>
      <c r="AE215" s="598">
        <f>schedule13[[#This Row],[CTL Stock]]/schedule13[[#This Row],[SCHEDULE IN MT]]*schedule13[[#This Row],[SCHEDULE]]</f>
        <v/>
      </c>
      <c r="AF215" s="599">
        <f>SUMIFS(stock[MT],stock[Bucket],schedule13[[#This Row],[Bucket]],stock[CTL Bucket],schedule13[[#This Row],[CTL Bucket]])</f>
        <v/>
      </c>
      <c r="AG215" s="599">
        <f>SUMIFS(stock[MT],stock[Bucket],schedule13[[#This Row],[Bucket]])+SUMIFS(wip[Stock(Net Wt)],wip[Bucket],schedule13[[#This Row],[Bucket]])/1000</f>
        <v/>
      </c>
      <c r="AH215" s="599">
        <f>AB214-AF215</f>
        <v/>
      </c>
      <c r="AI215" s="118">
        <f>(AC215+AF215)/AB215</f>
        <v/>
      </c>
    </row>
    <row r="216" hidden="1" s="584">
      <c r="A216" s="594" t="n">
        <v>117</v>
      </c>
      <c r="B216" s="5" t="inlineStr">
        <is>
          <t>Hosur</t>
        </is>
      </c>
      <c r="C216" s="601" t="inlineStr">
        <is>
          <t>NMPL (HUB)</t>
        </is>
      </c>
      <c r="D216" s="601" t="n"/>
      <c r="E216" s="601" t="inlineStr">
        <is>
          <t>930801|189227</t>
        </is>
      </c>
      <c r="F216" s="601" t="n">
        <v>1940743</v>
      </c>
      <c r="G216" s="601" t="inlineStr">
        <is>
          <t>TUB-O-O-AUT-AW-FC-38.10X2.000X0.8120</t>
        </is>
      </c>
      <c r="H216" s="601" t="inlineStr">
        <is>
          <t>ERW 1</t>
        </is>
      </c>
      <c r="I216" s="601" t="n"/>
      <c r="J216" s="601" t="inlineStr">
        <is>
          <t>FC</t>
        </is>
      </c>
      <c r="K216" s="601" t="inlineStr">
        <is>
          <t>HR</t>
        </is>
      </c>
      <c r="L216" s="601" t="n"/>
      <c r="M216" s="601" t="n"/>
      <c r="N216" s="601" t="n"/>
      <c r="O216" s="601" t="n"/>
      <c r="P216" s="557">
        <f>CONCATENATE(schedule13[[#This Row],[OD]],"-",schedule13[[#This Row],[ID]],"-",schedule13[[#This Row],[TICKNESS]],"-",schedule13[[#This Row],[GRADE]],"-",schedule13[[#This Row],[FC/NFC]])</f>
        <v/>
      </c>
      <c r="Q216" s="557">
        <f>_xlfn.CONCAT(schedule13[[#This Row],[Bucket]],"-",schedule13[[#This Row],[LENGTH]]/1000)</f>
        <v/>
      </c>
      <c r="R216" s="557">
        <f>COUNTIF(buckets[CTL Bucket],schedule13[[#This Row],[CTL Bucket]])</f>
        <v/>
      </c>
      <c r="S216" s="599" t="n">
        <v>38.1</v>
      </c>
      <c r="T216" s="599" t="n">
        <v>38.1</v>
      </c>
      <c r="U216" s="6" t="n">
        <v>0</v>
      </c>
      <c r="V216" s="599" t="n">
        <v>2</v>
      </c>
      <c r="W216" s="22" t="n">
        <v>812</v>
      </c>
      <c r="X216" s="22" t="inlineStr">
        <is>
          <t>NOS</t>
        </is>
      </c>
      <c r="Y216" s="601" t="n">
        <v>2000</v>
      </c>
      <c r="Z216" s="601" t="n"/>
      <c r="AA216" s="602">
        <f>Y216-Z216</f>
        <v/>
      </c>
      <c r="AB216" s="599">
        <f>(3.14*(schedule13[[#This Row],[ACTUAL OD]]-schedule13[[#This Row],[TICKNESS]])*schedule13[[#This Row],[TICKNESS]]*schedule13[[#This Row],[LENGTH]]*7.85)/1000000*schedule13[[#This Row],[SCHEDULE]]/1000</f>
        <v/>
      </c>
      <c r="AC216" s="599">
        <f>(S216-V216)*V216*W216*0.024653*Z216/1000000</f>
        <v/>
      </c>
      <c r="AD216" s="599">
        <f>AB216-AC216</f>
        <v/>
      </c>
      <c r="AE216" s="598">
        <f>schedule13[[#This Row],[CTL Stock]]/schedule13[[#This Row],[SCHEDULE IN MT]]*schedule13[[#This Row],[SCHEDULE]]</f>
        <v/>
      </c>
      <c r="AF216" s="599">
        <f>SUMIFS(stock[MT],stock[Bucket],schedule13[[#This Row],[Bucket]],stock[CTL Bucket],schedule13[[#This Row],[CTL Bucket]])</f>
        <v/>
      </c>
      <c r="AG216" s="599">
        <f>SUMIFS(stock[MT],stock[Bucket],schedule13[[#This Row],[Bucket]])+SUMIFS(wip[Stock(Net Wt)],wip[Bucket],schedule13[[#This Row],[Bucket]])/1000</f>
        <v/>
      </c>
      <c r="AH216" s="599">
        <f>AB215-AF216</f>
        <v/>
      </c>
      <c r="AI216" s="118">
        <f>(AC216+AF216)/AB216</f>
        <v/>
      </c>
    </row>
    <row r="217" hidden="1" s="584">
      <c r="A217" s="594" t="n">
        <v>121</v>
      </c>
      <c r="B217" s="5" t="inlineStr">
        <is>
          <t>JSR</t>
        </is>
      </c>
      <c r="C217" s="601" t="inlineStr">
        <is>
          <t>NMPL (HUB)</t>
        </is>
      </c>
      <c r="D217" s="601" t="n"/>
      <c r="E217" s="601" t="inlineStr">
        <is>
          <t>930801|189227</t>
        </is>
      </c>
      <c r="F217" s="601" t="n">
        <v>1568170</v>
      </c>
      <c r="G217" s="601" t="inlineStr">
        <is>
          <t>TUB-O-N-AUT-BH-FC-48.60X3.500X0.1960</t>
        </is>
      </c>
      <c r="H217" s="601" t="inlineStr">
        <is>
          <t>ERW 1</t>
        </is>
      </c>
      <c r="I217" s="601" t="inlineStr">
        <is>
          <t>Annealed</t>
        </is>
      </c>
      <c r="J217" s="601" t="inlineStr">
        <is>
          <t>FC</t>
        </is>
      </c>
      <c r="K217" s="601" t="inlineStr">
        <is>
          <t>HR</t>
        </is>
      </c>
      <c r="L217" s="601" t="n"/>
      <c r="M217" s="601" t="inlineStr">
        <is>
          <t>Chamferring</t>
        </is>
      </c>
      <c r="N217" s="601" t="n"/>
      <c r="O217" s="601" t="n"/>
      <c r="P217" s="557">
        <f>CONCATENATE(schedule13[[#This Row],[OD]],"-",schedule13[[#This Row],[ID]],"-",schedule13[[#This Row],[TICKNESS]],"-",schedule13[[#This Row],[GRADE]],"-",schedule13[[#This Row],[FC/NFC]])</f>
        <v/>
      </c>
      <c r="Q217" s="557">
        <f>_xlfn.CONCAT(schedule13[[#This Row],[Bucket]],"-",schedule13[[#This Row],[LENGTH]]/1000)</f>
        <v/>
      </c>
      <c r="R217" s="557">
        <f>COUNTIF(buckets[CTL Bucket],schedule13[[#This Row],[CTL Bucket]])</f>
        <v/>
      </c>
      <c r="S217" s="599" t="n">
        <v>48.6</v>
      </c>
      <c r="T217" s="599" t="n">
        <v>48.6</v>
      </c>
      <c r="U217" s="599" t="n">
        <v>0</v>
      </c>
      <c r="V217" s="599" t="n">
        <v>3.5</v>
      </c>
      <c r="W217" s="22" t="n">
        <v>196</v>
      </c>
      <c r="X217" s="22" t="inlineStr">
        <is>
          <t>NOS</t>
        </is>
      </c>
      <c r="Y217" s="601" t="n">
        <v>10000</v>
      </c>
      <c r="Z217" s="601" t="n"/>
      <c r="AA217" s="602">
        <f>Y217-Z217</f>
        <v/>
      </c>
      <c r="AB217" s="599">
        <f>(3.14*(schedule13[[#This Row],[ACTUAL OD]]-schedule13[[#This Row],[TICKNESS]])*schedule13[[#This Row],[TICKNESS]]*schedule13[[#This Row],[LENGTH]]*7.85)/1000000*schedule13[[#This Row],[SCHEDULE]]/1000</f>
        <v/>
      </c>
      <c r="AC217" s="599">
        <f>(S217-V217)*V217*W217*0.024653*Z217/1000000</f>
        <v/>
      </c>
      <c r="AD217" s="599">
        <f>AB217-AC217</f>
        <v/>
      </c>
      <c r="AE217" s="598">
        <f>schedule13[[#This Row],[CTL Stock]]/schedule13[[#This Row],[SCHEDULE IN MT]]*schedule13[[#This Row],[SCHEDULE]]</f>
        <v/>
      </c>
      <c r="AF217" s="599">
        <f>SUMIFS(stock[MT],stock[Bucket],schedule13[[#This Row],[Bucket]],stock[CTL Bucket],schedule13[[#This Row],[CTL Bucket]])</f>
        <v/>
      </c>
      <c r="AG217" s="599">
        <f>SUMIFS(stock[MT],stock[Bucket],schedule13[[#This Row],[Bucket]])+SUMIFS(wip[Stock(Net Wt)],wip[Bucket],schedule13[[#This Row],[Bucket]])/1000</f>
        <v/>
      </c>
      <c r="AH217" s="599">
        <f>AB216-AF217</f>
        <v/>
      </c>
      <c r="AI217" s="118">
        <f>(AC217+AF217)/AB217</f>
        <v/>
      </c>
    </row>
    <row r="218" hidden="1" s="584">
      <c r="A218" s="594" t="n">
        <v>125</v>
      </c>
      <c r="B218" s="5" t="inlineStr">
        <is>
          <t>Hosur</t>
        </is>
      </c>
      <c r="C218" s="601" t="inlineStr">
        <is>
          <t>NMPL (HUB)</t>
        </is>
      </c>
      <c r="D218" s="601" t="n"/>
      <c r="E218" s="601" t="inlineStr">
        <is>
          <t>930801|189227</t>
        </is>
      </c>
      <c r="F218" s="601" t="n">
        <v>2353927</v>
      </c>
      <c r="G218" s="601" t="inlineStr">
        <is>
          <t>TUB-O-N-AUT-AW--50.80X1.600X0.3850</t>
        </is>
      </c>
      <c r="H218" s="601" t="inlineStr">
        <is>
          <t>ERW 1</t>
        </is>
      </c>
      <c r="I218" s="601" t="n"/>
      <c r="J218" s="601" t="inlineStr">
        <is>
          <t>FC</t>
        </is>
      </c>
      <c r="K218" s="601" t="inlineStr">
        <is>
          <t>HR</t>
        </is>
      </c>
      <c r="L218" s="601" t="inlineStr">
        <is>
          <t>HROP</t>
        </is>
      </c>
      <c r="M218" s="601" t="n"/>
      <c r="N218" s="601" t="inlineStr">
        <is>
          <t>AG</t>
        </is>
      </c>
      <c r="O218" s="601" t="n"/>
      <c r="P218" s="557">
        <f>CONCATENATE(schedule13[[#This Row],[OD]],"-",schedule13[[#This Row],[ID]],"-",schedule13[[#This Row],[TICKNESS]],"-",schedule13[[#This Row],[GRADE]],"-",schedule13[[#This Row],[FC/NFC]])</f>
        <v/>
      </c>
      <c r="Q218" s="557">
        <f>_xlfn.CONCAT(schedule13[[#This Row],[Bucket]],"-",schedule13[[#This Row],[LENGTH]]/1000)</f>
        <v/>
      </c>
      <c r="R218" s="557">
        <f>COUNTIF(buckets[CTL Bucket],schedule13[[#This Row],[CTL Bucket]])</f>
        <v/>
      </c>
      <c r="S218" s="599" t="n">
        <v>50.8</v>
      </c>
      <c r="T218" s="599" t="n">
        <v>50.8</v>
      </c>
      <c r="U218" s="6" t="n">
        <v>0</v>
      </c>
      <c r="V218" s="599" t="n">
        <v>1.6</v>
      </c>
      <c r="W218" s="22" t="n">
        <v>385</v>
      </c>
      <c r="X218" s="22" t="inlineStr">
        <is>
          <t>NOS</t>
        </is>
      </c>
      <c r="Y218" s="601" t="n">
        <v>8000</v>
      </c>
      <c r="Z218" s="601" t="n"/>
      <c r="AA218" s="602">
        <f>Y218-Z218</f>
        <v/>
      </c>
      <c r="AB218" s="599">
        <f>(3.14*(schedule13[[#This Row],[ACTUAL OD]]-schedule13[[#This Row],[TICKNESS]])*schedule13[[#This Row],[TICKNESS]]*schedule13[[#This Row],[LENGTH]]*7.85)/1000000*schedule13[[#This Row],[SCHEDULE]]/1000</f>
        <v/>
      </c>
      <c r="AC218" s="599">
        <f>(S218-V218)*V218*W218*0.024653*Z218/1000000</f>
        <v/>
      </c>
      <c r="AD218" s="599">
        <f>AB218-AC218</f>
        <v/>
      </c>
      <c r="AE218" s="598">
        <f>schedule13[[#This Row],[CTL Stock]]/schedule13[[#This Row],[SCHEDULE IN MT]]*schedule13[[#This Row],[SCHEDULE]]</f>
        <v/>
      </c>
      <c r="AF218" s="599">
        <f>SUMIFS(stock[MT],stock[Bucket],schedule13[[#This Row],[Bucket]],stock[CTL Bucket],schedule13[[#This Row],[CTL Bucket]])</f>
        <v/>
      </c>
      <c r="AG218" s="599">
        <f>SUMIFS(stock[MT],stock[Bucket],schedule13[[#This Row],[Bucket]])+SUMIFS(wip[Stock(Net Wt)],wip[Bucket],schedule13[[#This Row],[Bucket]])/1000</f>
        <v/>
      </c>
      <c r="AH218" s="599">
        <f>AB217-AF218</f>
        <v/>
      </c>
      <c r="AI218" s="118">
        <f>(AC218+AF218)/AB218</f>
        <v/>
      </c>
    </row>
    <row r="219" hidden="1" s="584">
      <c r="A219" s="594" t="n">
        <v>127</v>
      </c>
      <c r="B219" s="5" t="inlineStr">
        <is>
          <t>JSR</t>
        </is>
      </c>
      <c r="C219" s="601" t="inlineStr">
        <is>
          <t>NMPL (HUB)</t>
        </is>
      </c>
      <c r="D219" s="601" t="n"/>
      <c r="E219" s="601" t="inlineStr">
        <is>
          <t>930801|189227</t>
        </is>
      </c>
      <c r="F219" s="601" t="n">
        <v>3157631</v>
      </c>
      <c r="G219" s="601" t="inlineStr">
        <is>
          <t>TUB-O-N-AUT-AW-FC-57.15X2.30X1.365-MAHS</t>
        </is>
      </c>
      <c r="H219" s="601" t="inlineStr">
        <is>
          <t>ERW 2</t>
        </is>
      </c>
      <c r="I219" s="601" t="n"/>
      <c r="J219" s="601" t="inlineStr">
        <is>
          <t>FC</t>
        </is>
      </c>
      <c r="K219" s="601" t="inlineStr">
        <is>
          <t>CR</t>
        </is>
      </c>
      <c r="L219" s="601" t="n"/>
      <c r="M219" s="601" t="n"/>
      <c r="N219" s="601" t="inlineStr">
        <is>
          <t>AG</t>
        </is>
      </c>
      <c r="O219" s="601" t="n"/>
      <c r="P219" s="557">
        <f>CONCATENATE(schedule13[[#This Row],[OD]],"-",schedule13[[#This Row],[ID]],"-",schedule13[[#This Row],[TICKNESS]],"-",schedule13[[#This Row],[GRADE]],"-",schedule13[[#This Row],[FC/NFC]])</f>
        <v/>
      </c>
      <c r="Q219" s="557">
        <f>_xlfn.CONCAT(schedule13[[#This Row],[Bucket]],"-",schedule13[[#This Row],[LENGTH]]/1000)</f>
        <v/>
      </c>
      <c r="R219" s="557">
        <f>COUNTIF(buckets[CTL Bucket],schedule13[[#This Row],[CTL Bucket]])</f>
        <v/>
      </c>
      <c r="S219" s="599" t="n">
        <v>57.15</v>
      </c>
      <c r="T219" s="599" t="n">
        <v>57.15</v>
      </c>
      <c r="U219" s="6" t="n">
        <v>0</v>
      </c>
      <c r="V219" s="599" t="n">
        <v>2.3</v>
      </c>
      <c r="W219" s="22" t="n">
        <v>1365</v>
      </c>
      <c r="X219" s="22" t="inlineStr">
        <is>
          <t>NOS</t>
        </is>
      </c>
      <c r="Y219" s="601" t="n">
        <v>15000</v>
      </c>
      <c r="Z219" s="601" t="n"/>
      <c r="AA219" s="602">
        <f>Y219-Z219</f>
        <v/>
      </c>
      <c r="AB219" s="599">
        <f>(3.14*(schedule13[[#This Row],[ACTUAL OD]]-schedule13[[#This Row],[TICKNESS]])*schedule13[[#This Row],[TICKNESS]]*schedule13[[#This Row],[LENGTH]]*7.85)/1000000*schedule13[[#This Row],[SCHEDULE]]/1000</f>
        <v/>
      </c>
      <c r="AC219" s="599">
        <f>(S219-V219)*V219*W219*0.024653*Z219/1000000</f>
        <v/>
      </c>
      <c r="AD219" s="599">
        <f>AB219-AC219</f>
        <v/>
      </c>
      <c r="AE219" s="598">
        <f>schedule13[[#This Row],[CTL Stock]]/schedule13[[#This Row],[SCHEDULE IN MT]]*schedule13[[#This Row],[SCHEDULE]]</f>
        <v/>
      </c>
      <c r="AF219" s="599">
        <f>SUMIFS(stock[MT],stock[Bucket],schedule13[[#This Row],[Bucket]],stock[CTL Bucket],schedule13[[#This Row],[CTL Bucket]])</f>
        <v/>
      </c>
      <c r="AG219" s="599">
        <f>SUMIFS(stock[MT],stock[Bucket],schedule13[[#This Row],[Bucket]])+SUMIFS(wip[Stock(Net Wt)],wip[Bucket],schedule13[[#This Row],[Bucket]])/1000</f>
        <v/>
      </c>
      <c r="AH219" s="599">
        <f>AB218-AF219</f>
        <v/>
      </c>
      <c r="AI219" s="118">
        <f>(AC219+AF219)/AB219</f>
        <v/>
      </c>
    </row>
    <row r="220" hidden="1" s="584">
      <c r="A220" s="594" t="n">
        <v>57</v>
      </c>
      <c r="B220" s="5" t="inlineStr">
        <is>
          <t xml:space="preserve">Khopoli </t>
        </is>
      </c>
      <c r="C220" s="601" t="inlineStr">
        <is>
          <t>NMPL 1</t>
        </is>
      </c>
      <c r="D220" s="601" t="n"/>
      <c r="E220" s="601" t="n">
        <v>189226</v>
      </c>
      <c r="F220" s="601" t="n">
        <v>2412748</v>
      </c>
      <c r="G220" s="601" t="inlineStr">
        <is>
          <t>TUB-O-C-AUT-AD-FC-33.30X2.000X4.3000</t>
        </is>
      </c>
      <c r="H220" s="601" t="inlineStr">
        <is>
          <t>CEW</t>
        </is>
      </c>
      <c r="I220" s="601" t="n"/>
      <c r="J220" s="601" t="n"/>
      <c r="K220" s="601" t="inlineStr">
        <is>
          <t>HR</t>
        </is>
      </c>
      <c r="L220" s="601" t="n"/>
      <c r="M220" s="601" t="n"/>
      <c r="N220" s="601" t="n"/>
      <c r="O220" s="601" t="n"/>
      <c r="P220" s="557">
        <f>CONCATENATE(schedule13[[#This Row],[OD]],"-",schedule13[[#This Row],[ID]],"-",schedule13[[#This Row],[TICKNESS]],"-",schedule13[[#This Row],[GRADE]],"-",schedule13[[#This Row],[FC/NFC]])</f>
        <v/>
      </c>
      <c r="Q220" s="557" t="n"/>
      <c r="R220" s="557" t="n"/>
      <c r="S220" s="599" t="n">
        <v>33.3</v>
      </c>
      <c r="T220" s="599" t="n">
        <v>0.09601098752945636</v>
      </c>
      <c r="U220" s="599" t="n">
        <v>0</v>
      </c>
      <c r="V220" s="599" t="n">
        <v>2</v>
      </c>
      <c r="W220" s="22" t="n">
        <v>4300</v>
      </c>
      <c r="X220" s="22" t="n"/>
      <c r="Y220" s="601" t="n">
        <v>0</v>
      </c>
      <c r="Z220" s="601" t="n"/>
      <c r="AA220" s="602">
        <f>Y220-Z220</f>
        <v/>
      </c>
      <c r="AB220" s="599">
        <f>(S220-V220)*V220*W220*0.024653*Y220/1000000</f>
        <v/>
      </c>
      <c r="AC220" s="599">
        <f>(S220-V220)*V220*W220*0.024653*Z220/1000000</f>
        <v/>
      </c>
      <c r="AD220" s="599">
        <f>AB220-AC220</f>
        <v/>
      </c>
      <c r="AE220" s="599" t="n"/>
      <c r="AF220" s="599" t="n"/>
      <c r="AG220" s="599" t="n"/>
      <c r="AH220" s="599">
        <f>AB219-AF220</f>
        <v/>
      </c>
      <c r="AI220" s="118">
        <f>(AC220+AF220)/AB220</f>
        <v/>
      </c>
    </row>
    <row r="221" hidden="1" s="584">
      <c r="A221" s="594" t="n">
        <v>59</v>
      </c>
      <c r="B221" s="5" t="inlineStr">
        <is>
          <t xml:space="preserve">Khopoli </t>
        </is>
      </c>
      <c r="C221" s="601" t="inlineStr">
        <is>
          <t>NMPL 1</t>
        </is>
      </c>
      <c r="D221" s="601" t="n"/>
      <c r="E221" s="601" t="n">
        <v>189226</v>
      </c>
      <c r="F221" s="601" t="n">
        <v>2426342</v>
      </c>
      <c r="G221" s="601" t="inlineStr">
        <is>
          <t>TUB-O-C-AUT-AD-FC-11.00X1.500X0.2630</t>
        </is>
      </c>
      <c r="H221" s="601" t="inlineStr">
        <is>
          <t>CEW</t>
        </is>
      </c>
      <c r="I221" s="601" t="n"/>
      <c r="J221" s="601" t="n"/>
      <c r="K221" s="601" t="inlineStr">
        <is>
          <t>HR</t>
        </is>
      </c>
      <c r="L221" s="601" t="n"/>
      <c r="M221" s="601" t="n"/>
      <c r="N221" s="601" t="n"/>
      <c r="O221" s="601" t="n"/>
      <c r="P221" s="557">
        <f>CONCATENATE(schedule13[[#This Row],[OD]],"-",schedule13[[#This Row],[ID]],"-",schedule13[[#This Row],[TICKNESS]],"-",schedule13[[#This Row],[GRADE]],"-",schedule13[[#This Row],[FC/NFC]])</f>
        <v/>
      </c>
      <c r="Q221" s="557" t="n"/>
      <c r="R221" s="557" t="n"/>
      <c r="S221" s="599" t="n">
        <v>11</v>
      </c>
      <c r="T221" s="599" t="n">
        <v>11</v>
      </c>
      <c r="U221" s="599" t="n">
        <v>8</v>
      </c>
      <c r="V221" s="599" t="n">
        <v>1.5</v>
      </c>
      <c r="W221" s="22" t="n">
        <v>263</v>
      </c>
      <c r="X221" s="22" t="n"/>
      <c r="Y221" s="601" t="n">
        <v>0</v>
      </c>
      <c r="Z221" s="601" t="n"/>
      <c r="AA221" s="602">
        <f>Y221-Z221</f>
        <v/>
      </c>
      <c r="AB221" s="599">
        <f>(S221-V221)*V221*W221*0.024653*Y221/1000000</f>
        <v/>
      </c>
      <c r="AC221" s="599">
        <f>(S221-V221)*V221*W221*0.024653*Z221/1000000</f>
        <v/>
      </c>
      <c r="AD221" s="599">
        <f>AB221-AC221</f>
        <v/>
      </c>
      <c r="AE221" s="599" t="n"/>
      <c r="AF221" s="599" t="n"/>
      <c r="AG221" s="599" t="n"/>
      <c r="AH221" s="599">
        <f>AB220-AF221</f>
        <v/>
      </c>
      <c r="AI221" s="118">
        <f>(AC221+AF221)/AB221</f>
        <v/>
      </c>
    </row>
    <row r="222" hidden="1" s="584">
      <c r="A222" s="594" t="n">
        <v>60</v>
      </c>
      <c r="B222" s="5" t="inlineStr">
        <is>
          <t xml:space="preserve">Khopoli </t>
        </is>
      </c>
      <c r="C222" s="601" t="inlineStr">
        <is>
          <t>NMPL 1</t>
        </is>
      </c>
      <c r="D222" s="601" t="n"/>
      <c r="E222" s="601" t="n">
        <v>189226</v>
      </c>
      <c r="F222" s="601" t="n">
        <v>1939303</v>
      </c>
      <c r="G222" s="601" t="inlineStr">
        <is>
          <t>TUB-O-C-AUT-AD-FC-11.00X1.500X0.330</t>
        </is>
      </c>
      <c r="H222" s="601" t="inlineStr">
        <is>
          <t>CEW</t>
        </is>
      </c>
      <c r="I222" s="601" t="n"/>
      <c r="J222" s="601" t="n"/>
      <c r="K222" s="601" t="inlineStr">
        <is>
          <t>HR</t>
        </is>
      </c>
      <c r="L222" s="601" t="n"/>
      <c r="M222" s="601" t="n"/>
      <c r="N222" s="601" t="n"/>
      <c r="O222" s="601" t="n"/>
      <c r="P222" s="557">
        <f>CONCATENATE(schedule13[[#This Row],[OD]],"-",schedule13[[#This Row],[ID]],"-",schedule13[[#This Row],[TICKNESS]],"-",schedule13[[#This Row],[GRADE]],"-",schedule13[[#This Row],[FC/NFC]])</f>
        <v/>
      </c>
      <c r="Q222" s="557" t="n"/>
      <c r="R222" s="557" t="n"/>
      <c r="S222" s="599" t="n">
        <v>11</v>
      </c>
      <c r="T222" s="599" t="n">
        <v>11</v>
      </c>
      <c r="U222" s="599" t="n">
        <v>8</v>
      </c>
      <c r="V222" s="599" t="n">
        <v>1.5</v>
      </c>
      <c r="W222" s="22" t="n">
        <v>330</v>
      </c>
      <c r="X222" s="22" t="n"/>
      <c r="Y222" s="601" t="n">
        <v>3000</v>
      </c>
      <c r="Z222" s="601" t="n"/>
      <c r="AA222" s="602">
        <f>Y222-Z222</f>
        <v/>
      </c>
      <c r="AB222" s="599">
        <f>(S222-V222)*V222*W222*0.024653*Y222/1000000</f>
        <v/>
      </c>
      <c r="AC222" s="599">
        <f>(S222-V222)*V222*W222*0.024653*Z222/1000000</f>
        <v/>
      </c>
      <c r="AD222" s="599">
        <f>AB222-AC222</f>
        <v/>
      </c>
      <c r="AE222" s="599" t="n"/>
      <c r="AF222" s="599" t="n"/>
      <c r="AG222" s="599" t="n"/>
      <c r="AH222" s="599">
        <f>AB221-AF222</f>
        <v/>
      </c>
      <c r="AI222" s="118">
        <f>(AC222+AF222)/AB222</f>
        <v/>
      </c>
    </row>
    <row r="223" hidden="1" s="584">
      <c r="A223" s="594" t="n">
        <v>61</v>
      </c>
      <c r="B223" s="5" t="inlineStr">
        <is>
          <t>Hosur</t>
        </is>
      </c>
      <c r="C223" s="601" t="inlineStr">
        <is>
          <t>NMPL 1</t>
        </is>
      </c>
      <c r="D223" s="601" t="n"/>
      <c r="E223" s="601" t="inlineStr">
        <is>
          <t>189226|930794</t>
        </is>
      </c>
      <c r="F223" s="601" t="n">
        <v>1939991</v>
      </c>
      <c r="G223" s="601" t="inlineStr">
        <is>
          <t>TUB-O-O-AUT-AW-PE-12.70X1.600X0.1450</t>
        </is>
      </c>
      <c r="H223" s="601" t="inlineStr">
        <is>
          <t>ERW 1</t>
        </is>
      </c>
      <c r="I223" s="601" t="n"/>
      <c r="J223" s="601" t="inlineStr">
        <is>
          <t>PE</t>
        </is>
      </c>
      <c r="K223" s="601" t="inlineStr">
        <is>
          <t>CR</t>
        </is>
      </c>
      <c r="L223" s="601" t="inlineStr">
        <is>
          <t>WG</t>
        </is>
      </c>
      <c r="M223" s="601" t="n"/>
      <c r="N223" s="601" t="n"/>
      <c r="O223" s="601" t="n"/>
      <c r="P223" s="557">
        <f>CONCATENATE(schedule13[[#This Row],[OD]],"-",schedule13[[#This Row],[ID]],"-",schedule13[[#This Row],[TICKNESS]],"-",schedule13[[#This Row],[GRADE]],"-",schedule13[[#This Row],[FC/NFC]])</f>
        <v/>
      </c>
      <c r="Q223" s="557">
        <f>_xlfn.CONCAT(schedule13[[#This Row],[Bucket]],"-",schedule13[[#This Row],[LENGTH]]/1000)</f>
        <v/>
      </c>
      <c r="R223" s="557">
        <f>COUNTIF(buckets[CTL Bucket],schedule13[[#This Row],[CTL Bucket]])</f>
        <v/>
      </c>
      <c r="S223" s="599" t="n">
        <v>12.7</v>
      </c>
      <c r="T223" s="599" t="n">
        <v>12.7</v>
      </c>
      <c r="U223" s="6" t="n">
        <v>0</v>
      </c>
      <c r="V223" s="599" t="n">
        <v>1.6</v>
      </c>
      <c r="W223" s="22" t="n">
        <v>145</v>
      </c>
      <c r="X223" s="22" t="inlineStr">
        <is>
          <t>NOS</t>
        </is>
      </c>
      <c r="Y223" s="601" t="n">
        <v>20000</v>
      </c>
      <c r="Z223" s="601" t="n"/>
      <c r="AA223" s="602">
        <f>Y223-Z223</f>
        <v/>
      </c>
      <c r="AB223" s="599">
        <f>(3.14*(schedule13[[#This Row],[ACTUAL OD]]-schedule13[[#This Row],[TICKNESS]])*schedule13[[#This Row],[TICKNESS]]*schedule13[[#This Row],[LENGTH]]*7.85)/1000000*schedule13[[#This Row],[SCHEDULE]]/1000</f>
        <v/>
      </c>
      <c r="AC223" s="599">
        <f>(S223-V223)*V223*W223*0.024653*Z223/1000000</f>
        <v/>
      </c>
      <c r="AD223" s="599">
        <f>AB223-AC223</f>
        <v/>
      </c>
      <c r="AE223" s="598">
        <f>schedule13[[#This Row],[CTL Stock]]/schedule13[[#This Row],[SCHEDULE IN MT]]*schedule13[[#This Row],[SCHEDULE]]</f>
        <v/>
      </c>
      <c r="AF223" s="599">
        <f>SUMIFS(stock[MT],stock[Bucket],schedule13[[#This Row],[Bucket]],stock[CTL Bucket],schedule13[[#This Row],[CTL Bucket]])</f>
        <v/>
      </c>
      <c r="AG223" s="599">
        <f>SUMIFS(stock[MT],stock[Bucket],schedule13[[#This Row],[Bucket]])+SUMIFS(wip[Stock(Net Wt)],wip[Bucket],schedule13[[#This Row],[Bucket]])/1000</f>
        <v/>
      </c>
      <c r="AH223" s="599">
        <f>AB223-AF223</f>
        <v/>
      </c>
      <c r="AI223" s="118">
        <f>(AC223+AF223)/AB223</f>
        <v/>
      </c>
    </row>
    <row r="224" hidden="1" s="584">
      <c r="A224" s="594" t="n">
        <v>62</v>
      </c>
      <c r="B224" s="5" t="inlineStr">
        <is>
          <t>Hosur</t>
        </is>
      </c>
      <c r="C224" s="601" t="inlineStr">
        <is>
          <t>NMPL 1</t>
        </is>
      </c>
      <c r="D224" s="601" t="n"/>
      <c r="E224" s="601" t="n">
        <v>189226</v>
      </c>
      <c r="F224" s="601" t="n">
        <v>1931237</v>
      </c>
      <c r="G224" s="601" t="inlineStr">
        <is>
          <t>TUB-O-N-GEN-AW-PE-12.70X2.000X5.0500</t>
        </is>
      </c>
      <c r="H224" s="601" t="inlineStr">
        <is>
          <t>ERW 1</t>
        </is>
      </c>
      <c r="I224" s="601" t="n"/>
      <c r="J224" s="601" t="n"/>
      <c r="K224" s="601" t="inlineStr">
        <is>
          <t>HR</t>
        </is>
      </c>
      <c r="L224" s="601" t="n"/>
      <c r="M224" s="601" t="n"/>
      <c r="N224" s="601" t="n"/>
      <c r="O224" s="601" t="n"/>
      <c r="P224" s="557">
        <f>CONCATENATE(schedule13[[#This Row],[OD]],"-",schedule13[[#This Row],[ID]],"-",schedule13[[#This Row],[TICKNESS]],"-",schedule13[[#This Row],[GRADE]],"-",schedule13[[#This Row],[FC/NFC]])</f>
        <v/>
      </c>
      <c r="Q224" s="557" t="n"/>
      <c r="R224" s="557" t="n"/>
      <c r="S224" s="599" t="n">
        <v>12.7</v>
      </c>
      <c r="T224" s="599" t="n">
        <v>12.7</v>
      </c>
      <c r="U224" s="6" t="n">
        <v>0</v>
      </c>
      <c r="V224" s="599" t="n">
        <v>2</v>
      </c>
      <c r="W224" s="22" t="n">
        <v>5050</v>
      </c>
      <c r="X224" s="22" t="n"/>
      <c r="Y224" s="601" t="n">
        <v>0</v>
      </c>
      <c r="Z224" s="601" t="n"/>
      <c r="AA224" s="602">
        <f>Y224-Z224</f>
        <v/>
      </c>
      <c r="AB224" s="599">
        <f>(S224-V224)*V224*W224*0.024653*Y224/1000000</f>
        <v/>
      </c>
      <c r="AC224" s="599">
        <f>(S224-V224)*V224*W224*0.024653*Z224/1000000</f>
        <v/>
      </c>
      <c r="AD224" s="599">
        <f>AB224-AC224</f>
        <v/>
      </c>
      <c r="AE224" s="599" t="n"/>
      <c r="AF224" s="599" t="n"/>
      <c r="AG224" s="599" t="n"/>
      <c r="AH224" s="599" t="n"/>
      <c r="AI224" s="118">
        <f>(AC224+AF224)/AB224</f>
        <v/>
      </c>
    </row>
    <row r="225" hidden="1" s="584">
      <c r="A225" s="594" t="n">
        <v>63</v>
      </c>
      <c r="B225" s="5" t="inlineStr">
        <is>
          <t xml:space="preserve">Khopoli </t>
        </is>
      </c>
      <c r="C225" s="601" t="inlineStr">
        <is>
          <t>NMPL 1</t>
        </is>
      </c>
      <c r="D225" s="601" t="n"/>
      <c r="E225" s="601" t="n">
        <v>189226</v>
      </c>
      <c r="F225" s="601" t="n">
        <v>2363145</v>
      </c>
      <c r="G225" s="601" t="inlineStr">
        <is>
          <t>TUB-O-C-AUT-AN-FC-14.00X2.450X5.0000</t>
        </is>
      </c>
      <c r="H225" s="601" t="inlineStr">
        <is>
          <t>CEW</t>
        </is>
      </c>
      <c r="I225" s="601" t="n"/>
      <c r="J225" s="601" t="inlineStr">
        <is>
          <t>CEW</t>
        </is>
      </c>
      <c r="K225" s="601" t="inlineStr">
        <is>
          <t>HR</t>
        </is>
      </c>
      <c r="L225" s="601" t="n"/>
      <c r="M225" s="601" t="n"/>
      <c r="N225" s="601" t="n"/>
      <c r="O225" s="601" t="n"/>
      <c r="P225" s="557" t="inlineStr">
        <is>
          <t>14-0-2.5-CEW-CEW</t>
        </is>
      </c>
      <c r="Q225" s="557" t="inlineStr">
        <is>
          <t>14-0-2.5-CEW-CEW</t>
        </is>
      </c>
      <c r="R225" s="557" t="n"/>
      <c r="S225" s="599" t="n">
        <v>14</v>
      </c>
      <c r="T225" s="599" t="n">
        <v>14</v>
      </c>
      <c r="U225" s="599" t="n">
        <v>0</v>
      </c>
      <c r="V225" s="599" t="n">
        <v>2.45</v>
      </c>
      <c r="W225" s="22" t="n">
        <v>1000</v>
      </c>
      <c r="X225" s="22" t="inlineStr">
        <is>
          <t>M</t>
        </is>
      </c>
      <c r="Y225" s="601" t="n">
        <v>4000</v>
      </c>
      <c r="Z225" s="601" t="n"/>
      <c r="AA225" s="602">
        <f>Y225-Z225</f>
        <v/>
      </c>
      <c r="AB225" s="599">
        <f>(3.14*(schedule13[[#This Row],[ACTUAL OD]]-schedule13[[#This Row],[TICKNESS]])*schedule13[[#This Row],[TICKNESS]]*schedule13[[#This Row],[LENGTH]]*7.85)/1000000*schedule13[[#This Row],[SCHEDULE]]/1000</f>
        <v/>
      </c>
      <c r="AC225" s="599">
        <f>(S225-V225)*V225*W225*0.024653*Z225/1000000</f>
        <v/>
      </c>
      <c r="AD225" s="599">
        <f>AB225-AC225</f>
        <v/>
      </c>
      <c r="AE225" s="598">
        <f>schedule13[[#This Row],[CTL Stock]]/schedule13[[#This Row],[SCHEDULE IN MT]]*schedule13[[#This Row],[SCHEDULE]]</f>
        <v/>
      </c>
      <c r="AF225" s="599">
        <f>SUMIFS(stock[MT],stock[Bucket],schedule13[[#This Row],[Bucket]],stock[CTL Bucket],schedule13[[#This Row],[CTL Bucket]])</f>
        <v/>
      </c>
      <c r="AG225" s="599">
        <f>SUMIFS(stock[MT],stock[Bucket],schedule13[[#This Row],[Bucket]])+SUMIFS(wip[Stock(Net Wt)],wip[Bucket],schedule13[[#This Row],[Bucket]])/1000</f>
        <v/>
      </c>
      <c r="AH225" s="599">
        <f>AB224-AF225</f>
        <v/>
      </c>
      <c r="AI225" s="118">
        <f>(AC225+AF225)/AB225</f>
        <v/>
      </c>
    </row>
    <row r="226" hidden="1" s="584">
      <c r="A226" s="594" t="n">
        <v>65</v>
      </c>
      <c r="B226" s="5" t="inlineStr">
        <is>
          <t>Hosur</t>
        </is>
      </c>
      <c r="C226" s="601" t="inlineStr">
        <is>
          <t>NMPL 1</t>
        </is>
      </c>
      <c r="D226" s="601" t="n"/>
      <c r="E226" s="601" t="inlineStr">
        <is>
          <t>189226|930794</t>
        </is>
      </c>
      <c r="F226" s="601" t="n">
        <v>1941845</v>
      </c>
      <c r="G226" s="601" t="inlineStr">
        <is>
          <t>TUB-E-O-AUT-AW-FC-15.88X1.000X1.2340</t>
        </is>
      </c>
      <c r="H226" s="601" t="inlineStr">
        <is>
          <t>ERW 1</t>
        </is>
      </c>
      <c r="I226" s="601" t="n"/>
      <c r="J226" s="601" t="inlineStr">
        <is>
          <t>PE</t>
        </is>
      </c>
      <c r="K226" s="601" t="inlineStr">
        <is>
          <t>HR</t>
        </is>
      </c>
      <c r="L226" s="601" t="n"/>
      <c r="M226" s="601" t="n"/>
      <c r="N226" s="601" t="n"/>
      <c r="O226" s="601" t="n"/>
      <c r="P226" s="557">
        <f>CONCATENATE(schedule13[[#This Row],[OD]],"-",schedule13[[#This Row],[ID]],"-",schedule13[[#This Row],[TICKNESS]],"-",schedule13[[#This Row],[GRADE]],"-",schedule13[[#This Row],[FC/NFC]])</f>
        <v/>
      </c>
      <c r="Q226" s="557">
        <f>_xlfn.CONCAT(schedule13[[#This Row],[Bucket]],"-",schedule13[[#This Row],[LENGTH]]/1000)</f>
        <v/>
      </c>
      <c r="R226" s="557">
        <f>COUNTIF(buckets[CTL Bucket],schedule13[[#This Row],[CTL Bucket]])</f>
        <v/>
      </c>
      <c r="S226" s="599" t="n">
        <v>15.88</v>
      </c>
      <c r="T226" s="599" t="n">
        <v>15.88</v>
      </c>
      <c r="U226" s="599" t="n">
        <v>0</v>
      </c>
      <c r="V226" s="599" t="n">
        <v>1</v>
      </c>
      <c r="W226" s="22" t="n">
        <v>1234</v>
      </c>
      <c r="X226" s="22" t="inlineStr">
        <is>
          <t>NOS</t>
        </is>
      </c>
      <c r="Y226" s="601" t="n">
        <v>6000</v>
      </c>
      <c r="Z226" s="601" t="n"/>
      <c r="AA226" s="602">
        <f>Y226-Z226</f>
        <v/>
      </c>
      <c r="AB226" s="599">
        <f>(3.14*(schedule13[[#This Row],[ACTUAL OD]]-schedule13[[#This Row],[TICKNESS]])*schedule13[[#This Row],[TICKNESS]]*schedule13[[#This Row],[LENGTH]]*7.85)/1000000*schedule13[[#This Row],[SCHEDULE]]/1000</f>
        <v/>
      </c>
      <c r="AC226" s="599">
        <f>(S226-V226)*V226*W226*0.024653*Z226/1000000</f>
        <v/>
      </c>
      <c r="AD226" s="599">
        <f>AB226-AC226</f>
        <v/>
      </c>
      <c r="AE226" s="598">
        <f>schedule13[[#This Row],[CTL Stock]]/schedule13[[#This Row],[SCHEDULE IN MT]]*schedule13[[#This Row],[SCHEDULE]]</f>
        <v/>
      </c>
      <c r="AF226" s="599">
        <f>SUMIFS(stock[MT],stock[Bucket],schedule13[[#This Row],[Bucket]],stock[CTL Bucket],schedule13[[#This Row],[CTL Bucket]])</f>
        <v/>
      </c>
      <c r="AG226" s="599">
        <f>SUMIFS(stock[MT],stock[Bucket],schedule13[[#This Row],[Bucket]])+SUMIFS(wip[Stock(Net Wt)],wip[Bucket],schedule13[[#This Row],[Bucket]])/1000</f>
        <v/>
      </c>
      <c r="AH226" s="599">
        <f>AB226-AF226</f>
        <v/>
      </c>
      <c r="AI226" s="118">
        <f>(AC226+AF226)/AB226</f>
        <v/>
      </c>
    </row>
    <row r="227" hidden="1" s="584">
      <c r="A227" s="594" t="n">
        <v>66</v>
      </c>
      <c r="B227" s="5" t="inlineStr">
        <is>
          <t>Hosur</t>
        </is>
      </c>
      <c r="C227" s="601" t="inlineStr">
        <is>
          <t>NMPL 1</t>
        </is>
      </c>
      <c r="D227" s="601" t="n"/>
      <c r="E227" s="601" t="inlineStr">
        <is>
          <t>189226|930794</t>
        </is>
      </c>
      <c r="F227" s="601" t="n">
        <v>1941846</v>
      </c>
      <c r="G227" s="601" t="inlineStr">
        <is>
          <t>TUB-E-O-AUT-AW-FC-15.88X1.000X1.6030</t>
        </is>
      </c>
      <c r="H227" s="601" t="inlineStr">
        <is>
          <t>ERW 1</t>
        </is>
      </c>
      <c r="I227" s="601" t="n"/>
      <c r="J227" s="601" t="inlineStr">
        <is>
          <t>PE</t>
        </is>
      </c>
      <c r="K227" s="601" t="inlineStr">
        <is>
          <t>HR</t>
        </is>
      </c>
      <c r="L227" s="601" t="n"/>
      <c r="M227" s="601" t="n"/>
      <c r="N227" s="601" t="n"/>
      <c r="O227" s="601" t="n"/>
      <c r="P227" s="557">
        <f>CONCATENATE(schedule13[[#This Row],[OD]],"-",schedule13[[#This Row],[ID]],"-",schedule13[[#This Row],[TICKNESS]],"-",schedule13[[#This Row],[GRADE]],"-",schedule13[[#This Row],[FC/NFC]])</f>
        <v/>
      </c>
      <c r="Q227" s="557">
        <f>_xlfn.CONCAT(schedule13[[#This Row],[Bucket]],"-",schedule13[[#This Row],[LENGTH]]/1000)</f>
        <v/>
      </c>
      <c r="R227" s="557">
        <f>COUNTIF(buckets[CTL Bucket],schedule13[[#This Row],[CTL Bucket]])</f>
        <v/>
      </c>
      <c r="S227" s="599" t="n">
        <v>15.88</v>
      </c>
      <c r="T227" s="599" t="n">
        <v>15.88</v>
      </c>
      <c r="U227" s="6" t="n">
        <v>0</v>
      </c>
      <c r="V227" s="599" t="n">
        <v>1</v>
      </c>
      <c r="W227" s="22" t="n">
        <v>1603</v>
      </c>
      <c r="X227" s="22" t="inlineStr">
        <is>
          <t>NOS</t>
        </is>
      </c>
      <c r="Y227" s="601" t="n">
        <v>6000</v>
      </c>
      <c r="Z227" s="601" t="n"/>
      <c r="AA227" s="602">
        <f>Y227-Z227</f>
        <v/>
      </c>
      <c r="AB227" s="599">
        <f>(3.14*(schedule13[[#This Row],[ACTUAL OD]]-schedule13[[#This Row],[TICKNESS]])*schedule13[[#This Row],[TICKNESS]]*schedule13[[#This Row],[LENGTH]]*7.85)/1000000*schedule13[[#This Row],[SCHEDULE]]/1000</f>
        <v/>
      </c>
      <c r="AC227" s="599">
        <f>(S227-V227)*V227*W227*0.024653*Z227/1000000</f>
        <v/>
      </c>
      <c r="AD227" s="599">
        <f>AB227-AC227</f>
        <v/>
      </c>
      <c r="AE227" s="598">
        <f>schedule13[[#This Row],[CTL Stock]]/schedule13[[#This Row],[SCHEDULE IN MT]]*schedule13[[#This Row],[SCHEDULE]]</f>
        <v/>
      </c>
      <c r="AF227" s="599">
        <f>SUMIFS(stock[MT],stock[Bucket],schedule13[[#This Row],[Bucket]],stock[CTL Bucket],schedule13[[#This Row],[CTL Bucket]])</f>
        <v/>
      </c>
      <c r="AG227" s="599">
        <f>SUMIFS(stock[MT],stock[Bucket],schedule13[[#This Row],[Bucket]])+SUMIFS(wip[Stock(Net Wt)],wip[Bucket],schedule13[[#This Row],[Bucket]])/1000</f>
        <v/>
      </c>
      <c r="AH227" s="599">
        <f>AB227-AF227</f>
        <v/>
      </c>
      <c r="AI227" s="118">
        <f>(AC227+AF227)/AB227</f>
        <v/>
      </c>
    </row>
    <row r="228" hidden="1" s="584">
      <c r="A228" s="594" t="n">
        <v>67</v>
      </c>
      <c r="B228" s="5" t="inlineStr">
        <is>
          <t>Hosur</t>
        </is>
      </c>
      <c r="C228" s="601" t="inlineStr">
        <is>
          <t>NMPL 1</t>
        </is>
      </c>
      <c r="D228" s="601" t="n"/>
      <c r="E228" s="601" t="inlineStr">
        <is>
          <t>189226|930794</t>
        </is>
      </c>
      <c r="F228" s="601" t="n">
        <v>1941847</v>
      </c>
      <c r="G228" s="601" t="inlineStr">
        <is>
          <t>TUB-E-O-AUT-AW-FC-15.88X1.000X2.1850</t>
        </is>
      </c>
      <c r="H228" s="601" t="inlineStr">
        <is>
          <t>ERW 1</t>
        </is>
      </c>
      <c r="I228" s="601" t="n"/>
      <c r="J228" s="601" t="inlineStr">
        <is>
          <t>PE</t>
        </is>
      </c>
      <c r="K228" s="601" t="inlineStr">
        <is>
          <t>HR</t>
        </is>
      </c>
      <c r="L228" s="601" t="n"/>
      <c r="M228" s="601" t="n"/>
      <c r="N228" s="601" t="n"/>
      <c r="O228" s="601" t="n"/>
      <c r="P228" s="557">
        <f>CONCATENATE(schedule13[[#This Row],[OD]],"-",schedule13[[#This Row],[ID]],"-",schedule13[[#This Row],[TICKNESS]],"-",schedule13[[#This Row],[GRADE]],"-",schedule13[[#This Row],[FC/NFC]])</f>
        <v/>
      </c>
      <c r="Q228" s="557">
        <f>_xlfn.CONCAT(schedule13[[#This Row],[Bucket]],"-",schedule13[[#This Row],[LENGTH]]/1000)</f>
        <v/>
      </c>
      <c r="R228" s="557">
        <f>COUNTIF(buckets[CTL Bucket],schedule13[[#This Row],[CTL Bucket]])</f>
        <v/>
      </c>
      <c r="S228" s="599" t="n">
        <v>15.88</v>
      </c>
      <c r="T228" s="599" t="n">
        <v>15.88</v>
      </c>
      <c r="U228" s="599" t="n">
        <v>0</v>
      </c>
      <c r="V228" s="599" t="n">
        <v>1</v>
      </c>
      <c r="W228" s="22" t="n">
        <v>2185</v>
      </c>
      <c r="X228" s="22" t="inlineStr">
        <is>
          <t>NOS</t>
        </is>
      </c>
      <c r="Y228" s="601" t="n">
        <v>4000</v>
      </c>
      <c r="Z228" s="601" t="n"/>
      <c r="AA228" s="602">
        <f>Y228-Z228</f>
        <v/>
      </c>
      <c r="AB228" s="599">
        <f>(3.14*(schedule13[[#This Row],[ACTUAL OD]]-schedule13[[#This Row],[TICKNESS]])*schedule13[[#This Row],[TICKNESS]]*schedule13[[#This Row],[LENGTH]]*7.85)/1000000*schedule13[[#This Row],[SCHEDULE]]/1000</f>
        <v/>
      </c>
      <c r="AC228" s="599">
        <f>(S228-V228)*V228*W228*0.024653*Z228/1000000</f>
        <v/>
      </c>
      <c r="AD228" s="599">
        <f>AB228-AC228</f>
        <v/>
      </c>
      <c r="AE228" s="598">
        <f>schedule13[[#This Row],[CTL Stock]]/schedule13[[#This Row],[SCHEDULE IN MT]]*schedule13[[#This Row],[SCHEDULE]]</f>
        <v/>
      </c>
      <c r="AF228" s="599">
        <f>SUMIFS(stock[MT],stock[Bucket],schedule13[[#This Row],[Bucket]],stock[CTL Bucket],schedule13[[#This Row],[CTL Bucket]])</f>
        <v/>
      </c>
      <c r="AG228" s="599">
        <f>SUMIFS(stock[MT],stock[Bucket],schedule13[[#This Row],[Bucket]])+SUMIFS(wip[Stock(Net Wt)],wip[Bucket],schedule13[[#This Row],[Bucket]])/1000</f>
        <v/>
      </c>
      <c r="AH228" s="599">
        <f>AB228-AF228</f>
        <v/>
      </c>
      <c r="AI228" s="118">
        <f>(AC228+AF228)/AB228</f>
        <v/>
      </c>
    </row>
    <row r="229" hidden="1" s="584">
      <c r="A229" s="594" t="n">
        <v>68</v>
      </c>
      <c r="B229" s="5" t="inlineStr">
        <is>
          <t>Hosur</t>
        </is>
      </c>
      <c r="C229" s="601" t="inlineStr">
        <is>
          <t>NMPL 1</t>
        </is>
      </c>
      <c r="D229" s="601" t="n"/>
      <c r="E229" s="601" t="inlineStr">
        <is>
          <t>189226|930794</t>
        </is>
      </c>
      <c r="F229" s="601" t="n">
        <v>1941848</v>
      </c>
      <c r="G229" s="601" t="inlineStr">
        <is>
          <t>TUB-E-O-AUT-AW-FC-15.88X1.000X2.4900</t>
        </is>
      </c>
      <c r="H229" s="601" t="inlineStr">
        <is>
          <t>ERW 1</t>
        </is>
      </c>
      <c r="I229" s="601" t="n"/>
      <c r="J229" s="601" t="inlineStr">
        <is>
          <t>PE</t>
        </is>
      </c>
      <c r="K229" s="601" t="inlineStr">
        <is>
          <t>HR</t>
        </is>
      </c>
      <c r="L229" s="601" t="n"/>
      <c r="M229" s="601" t="n"/>
      <c r="N229" s="601" t="n"/>
      <c r="O229" s="601" t="n"/>
      <c r="P229" s="557">
        <f>CONCATENATE(schedule13[[#This Row],[OD]],"-",schedule13[[#This Row],[ID]],"-",schedule13[[#This Row],[TICKNESS]],"-",schedule13[[#This Row],[GRADE]],"-",schedule13[[#This Row],[FC/NFC]])</f>
        <v/>
      </c>
      <c r="Q229" s="557">
        <f>_xlfn.CONCAT(schedule13[[#This Row],[Bucket]],"-",schedule13[[#This Row],[LENGTH]]/1000)</f>
        <v/>
      </c>
      <c r="R229" s="557">
        <f>COUNTIF(buckets[CTL Bucket],schedule13[[#This Row],[CTL Bucket]])</f>
        <v/>
      </c>
      <c r="S229" s="599" t="n">
        <v>15.88</v>
      </c>
      <c r="T229" s="599" t="n">
        <v>15.88</v>
      </c>
      <c r="U229" s="6" t="n">
        <v>0</v>
      </c>
      <c r="V229" s="599" t="n">
        <v>1</v>
      </c>
      <c r="W229" s="22" t="n">
        <v>2490</v>
      </c>
      <c r="X229" s="22" t="inlineStr">
        <is>
          <t>NOS</t>
        </is>
      </c>
      <c r="Y229" s="601" t="n">
        <v>4000</v>
      </c>
      <c r="Z229" s="601" t="n"/>
      <c r="AA229" s="602">
        <f>Y229-Z229</f>
        <v/>
      </c>
      <c r="AB229" s="599">
        <f>(3.14*(schedule13[[#This Row],[ACTUAL OD]]-schedule13[[#This Row],[TICKNESS]])*schedule13[[#This Row],[TICKNESS]]*schedule13[[#This Row],[LENGTH]]*7.85)/1000000*schedule13[[#This Row],[SCHEDULE]]/1000</f>
        <v/>
      </c>
      <c r="AC229" s="599">
        <f>(S229-V229)*V229*W229*0.024653*Z229/1000000</f>
        <v/>
      </c>
      <c r="AD229" s="599">
        <f>AB229-AC229</f>
        <v/>
      </c>
      <c r="AE229" s="598">
        <f>schedule13[[#This Row],[CTL Stock]]/schedule13[[#This Row],[SCHEDULE IN MT]]*schedule13[[#This Row],[SCHEDULE]]</f>
        <v/>
      </c>
      <c r="AF229" s="599">
        <f>SUMIFS(stock[MT],stock[Bucket],schedule13[[#This Row],[Bucket]],stock[CTL Bucket],schedule13[[#This Row],[CTL Bucket]])</f>
        <v/>
      </c>
      <c r="AG229" s="599">
        <f>SUMIFS(stock[MT],stock[Bucket],schedule13[[#This Row],[Bucket]])+SUMIFS(wip[Stock(Net Wt)],wip[Bucket],schedule13[[#This Row],[Bucket]])/1000</f>
        <v/>
      </c>
      <c r="AH229" s="599">
        <f>AB229-AF229</f>
        <v/>
      </c>
      <c r="AI229" s="118">
        <f>(AC229+AF229)/AB229</f>
        <v/>
      </c>
    </row>
    <row r="230" hidden="1" s="584">
      <c r="A230" s="594" t="n">
        <v>69</v>
      </c>
      <c r="B230" s="5" t="inlineStr">
        <is>
          <t>Hosur</t>
        </is>
      </c>
      <c r="C230" s="601" t="inlineStr">
        <is>
          <t>NMPL 1</t>
        </is>
      </c>
      <c r="D230" s="601" t="n"/>
      <c r="E230" s="601" t="inlineStr">
        <is>
          <t>189226|930794</t>
        </is>
      </c>
      <c r="F230" s="601" t="n">
        <v>3541434</v>
      </c>
      <c r="G230" s="601" t="inlineStr">
        <is>
          <t>TUB-E-O-AUT-AW-FC-15.88X1.000X2.9050</t>
        </is>
      </c>
      <c r="H230" s="601" t="inlineStr">
        <is>
          <t>ERW 1</t>
        </is>
      </c>
      <c r="I230" s="601" t="n"/>
      <c r="J230" s="601" t="inlineStr">
        <is>
          <t>PE</t>
        </is>
      </c>
      <c r="K230" s="601" t="inlineStr">
        <is>
          <t>CR</t>
        </is>
      </c>
      <c r="L230" s="601" t="n"/>
      <c r="M230" s="601" t="n"/>
      <c r="N230" s="601" t="n"/>
      <c r="O230" s="601" t="n"/>
      <c r="P230" s="557">
        <f>CONCATENATE(schedule13[[#This Row],[OD]],"-",schedule13[[#This Row],[ID]],"-",schedule13[[#This Row],[TICKNESS]],"-",schedule13[[#This Row],[GRADE]],"-",schedule13[[#This Row],[FC/NFC]])</f>
        <v/>
      </c>
      <c r="Q230" s="557">
        <f>_xlfn.CONCAT(schedule13[[#This Row],[Bucket]],"-",schedule13[[#This Row],[LENGTH]]/1000)</f>
        <v/>
      </c>
      <c r="R230" s="557">
        <f>COUNTIF(buckets[CTL Bucket],schedule13[[#This Row],[CTL Bucket]])</f>
        <v/>
      </c>
      <c r="S230" s="599" t="n">
        <v>15.88</v>
      </c>
      <c r="T230" s="599" t="n">
        <v>15.88</v>
      </c>
      <c r="U230" s="6" t="n">
        <v>0</v>
      </c>
      <c r="V230" s="599" t="n">
        <v>1</v>
      </c>
      <c r="W230" s="22" t="n">
        <v>2905</v>
      </c>
      <c r="X230" s="22" t="inlineStr">
        <is>
          <t>NOS</t>
        </is>
      </c>
      <c r="Y230" s="601" t="n">
        <v>4000</v>
      </c>
      <c r="Z230" s="601" t="n"/>
      <c r="AA230" s="602">
        <f>Y230-Z230</f>
        <v/>
      </c>
      <c r="AB230" s="599">
        <f>(3.14*(schedule13[[#This Row],[ACTUAL OD]]-schedule13[[#This Row],[TICKNESS]])*schedule13[[#This Row],[TICKNESS]]*schedule13[[#This Row],[LENGTH]]*7.85)/1000000*schedule13[[#This Row],[SCHEDULE]]/1000</f>
        <v/>
      </c>
      <c r="AC230" s="599">
        <f>(S230-V230)*V230*W230*0.024653*Z230/1000000</f>
        <v/>
      </c>
      <c r="AD230" s="599">
        <f>AB230-AC230</f>
        <v/>
      </c>
      <c r="AE230" s="598">
        <f>schedule13[[#This Row],[CTL Stock]]/schedule13[[#This Row],[SCHEDULE IN MT]]*schedule13[[#This Row],[SCHEDULE]]</f>
        <v/>
      </c>
      <c r="AF230" s="599">
        <f>SUMIFS(stock[MT],stock[Bucket],schedule13[[#This Row],[Bucket]],stock[CTL Bucket],schedule13[[#This Row],[CTL Bucket]])</f>
        <v/>
      </c>
      <c r="AG230" s="599">
        <f>SUMIFS(stock[MT],stock[Bucket],schedule13[[#This Row],[Bucket]])+SUMIFS(wip[Stock(Net Wt)],wip[Bucket],schedule13[[#This Row],[Bucket]])/1000</f>
        <v/>
      </c>
      <c r="AH230" s="599">
        <f>AB230-AF230</f>
        <v/>
      </c>
      <c r="AI230" s="118">
        <f>(AC230+AF230)/AB230</f>
        <v/>
      </c>
    </row>
    <row r="231" hidden="1" s="584">
      <c r="A231" s="594" t="n">
        <v>72</v>
      </c>
      <c r="B231" s="5" t="inlineStr">
        <is>
          <t xml:space="preserve">Khopoli </t>
        </is>
      </c>
      <c r="C231" s="601" t="inlineStr">
        <is>
          <t>NMPL 1</t>
        </is>
      </c>
      <c r="D231" s="601" t="n"/>
      <c r="E231" s="601" t="inlineStr">
        <is>
          <t>189226|930794</t>
        </is>
      </c>
      <c r="F231" s="601" t="n">
        <v>1938116</v>
      </c>
      <c r="G231" s="601" t="inlineStr">
        <is>
          <t>TUB-O-N-GEN-AW-PE-18.20X1.000X0.1100</t>
        </is>
      </c>
      <c r="H231" s="601" t="inlineStr">
        <is>
          <t>ERW 1</t>
        </is>
      </c>
      <c r="I231" s="601" t="n"/>
      <c r="J231" s="601" t="inlineStr">
        <is>
          <t>PE</t>
        </is>
      </c>
      <c r="K231" s="601" t="inlineStr">
        <is>
          <t>CR</t>
        </is>
      </c>
      <c r="L231" s="601" t="n"/>
      <c r="M231" s="601" t="n"/>
      <c r="N231" s="601" t="n"/>
      <c r="O231" s="601" t="n"/>
      <c r="P231" s="557">
        <f>CONCATENATE(schedule13[[#This Row],[OD]],"-",schedule13[[#This Row],[ID]],"-",schedule13[[#This Row],[TICKNESS]],"-",schedule13[[#This Row],[GRADE]],"-",schedule13[[#This Row],[FC/NFC]])</f>
        <v/>
      </c>
      <c r="Q231" s="557">
        <f>_xlfn.CONCAT(schedule13[[#This Row],[Bucket]],"-",schedule13[[#This Row],[LENGTH]]/1000)</f>
        <v/>
      </c>
      <c r="R231" s="557">
        <f>COUNTIF(buckets[CTL Bucket],schedule13[[#This Row],[CTL Bucket]])</f>
        <v/>
      </c>
      <c r="S231" s="599" t="n">
        <v>18.2</v>
      </c>
      <c r="T231" s="599" t="n">
        <v>18.2</v>
      </c>
      <c r="U231" s="6" t="n">
        <v>0</v>
      </c>
      <c r="V231" s="599" t="n">
        <v>1</v>
      </c>
      <c r="W231" s="22" t="n">
        <v>110</v>
      </c>
      <c r="X231" s="22" t="inlineStr">
        <is>
          <t>NOS</t>
        </is>
      </c>
      <c r="Y231" s="601" t="n">
        <v>10000</v>
      </c>
      <c r="Z231" s="601" t="n"/>
      <c r="AA231" s="602">
        <f>Y231-Z231</f>
        <v/>
      </c>
      <c r="AB231" s="599">
        <f>(3.14*(schedule13[[#This Row],[ACTUAL OD]]-schedule13[[#This Row],[TICKNESS]])*schedule13[[#This Row],[TICKNESS]]*schedule13[[#This Row],[LENGTH]]*7.85)/1000000*schedule13[[#This Row],[SCHEDULE]]/1000</f>
        <v/>
      </c>
      <c r="AC231" s="599">
        <f>(S231-V231)*V231*W231*0.024653*Z231/1000000</f>
        <v/>
      </c>
      <c r="AD231" s="599">
        <f>AB231-AC231</f>
        <v/>
      </c>
      <c r="AE231" s="598">
        <f>schedule13[[#This Row],[CTL Stock]]/schedule13[[#This Row],[SCHEDULE IN MT]]*schedule13[[#This Row],[SCHEDULE]]</f>
        <v/>
      </c>
      <c r="AF231" s="599">
        <f>SUMIFS(stock[MT],stock[Bucket],schedule13[[#This Row],[Bucket]],stock[CTL Bucket],schedule13[[#This Row],[CTL Bucket]])</f>
        <v/>
      </c>
      <c r="AG231" s="599">
        <f>SUMIFS(stock[MT],stock[Bucket],schedule13[[#This Row],[Bucket]])+SUMIFS(wip[Stock(Net Wt)],wip[Bucket],schedule13[[#This Row],[Bucket]])/1000</f>
        <v/>
      </c>
      <c r="AH231" s="599">
        <f>AB231-AF231</f>
        <v/>
      </c>
      <c r="AI231" s="118">
        <f>(AC231+AF231)/AB231</f>
        <v/>
      </c>
    </row>
    <row r="232" hidden="1" s="584">
      <c r="A232" s="594" t="n">
        <v>74</v>
      </c>
      <c r="B232" s="5" t="inlineStr">
        <is>
          <t>Hosur</t>
        </is>
      </c>
      <c r="C232" s="601" t="inlineStr">
        <is>
          <t>NMPL 1</t>
        </is>
      </c>
      <c r="D232" s="601" t="n"/>
      <c r="E232" s="601" t="inlineStr">
        <is>
          <t>189226|930794</t>
        </is>
      </c>
      <c r="F232" s="601" t="n">
        <v>3518158</v>
      </c>
      <c r="G232" s="601" t="inlineStr">
        <is>
          <t>TUB-O-N-AUT-AW-PE-19.05X1.000X1.0950</t>
        </is>
      </c>
      <c r="H232" s="601" t="inlineStr">
        <is>
          <t>ERW 1</t>
        </is>
      </c>
      <c r="I232" s="601" t="n"/>
      <c r="J232" s="601" t="inlineStr">
        <is>
          <t>PE</t>
        </is>
      </c>
      <c r="K232" s="601" t="inlineStr">
        <is>
          <t>CR</t>
        </is>
      </c>
      <c r="L232" s="601" t="n"/>
      <c r="M232" s="601" t="n"/>
      <c r="N232" s="601" t="n"/>
      <c r="O232" s="601" t="n"/>
      <c r="P232" s="557">
        <f>CONCATENATE(schedule13[[#This Row],[OD]],"-",schedule13[[#This Row],[ID]],"-",schedule13[[#This Row],[TICKNESS]],"-",schedule13[[#This Row],[GRADE]],"-",schedule13[[#This Row],[FC/NFC]])</f>
        <v/>
      </c>
      <c r="Q232" s="557">
        <f>_xlfn.CONCAT(schedule13[[#This Row],[Bucket]],"-",schedule13[[#This Row],[LENGTH]]/1000)</f>
        <v/>
      </c>
      <c r="R232" s="557">
        <f>COUNTIF(buckets[CTL Bucket],schedule13[[#This Row],[CTL Bucket]])</f>
        <v/>
      </c>
      <c r="S232" s="599" t="n">
        <v>19.05</v>
      </c>
      <c r="T232" s="599" t="n">
        <v>19.05</v>
      </c>
      <c r="U232" s="6" t="n">
        <v>0</v>
      </c>
      <c r="V232" s="599" t="n">
        <v>1</v>
      </c>
      <c r="W232" s="22" t="n">
        <v>1095</v>
      </c>
      <c r="X232" s="22" t="inlineStr">
        <is>
          <t>NOS</t>
        </is>
      </c>
      <c r="Y232" s="601" t="n">
        <v>8000</v>
      </c>
      <c r="Z232" s="601" t="n"/>
      <c r="AA232" s="602">
        <f>Y232-Z232</f>
        <v/>
      </c>
      <c r="AB232" s="599">
        <f>(3.14*(schedule13[[#This Row],[ACTUAL OD]]-schedule13[[#This Row],[TICKNESS]])*schedule13[[#This Row],[TICKNESS]]*schedule13[[#This Row],[LENGTH]]*7.85)/1000000*schedule13[[#This Row],[SCHEDULE]]/1000</f>
        <v/>
      </c>
      <c r="AC232" s="599">
        <f>(S232-V232)*V232*W232*0.024653*Z232/1000000</f>
        <v/>
      </c>
      <c r="AD232" s="599">
        <f>AB232-AC232</f>
        <v/>
      </c>
      <c r="AE232" s="598">
        <f>schedule13[[#This Row],[CTL Stock]]/schedule13[[#This Row],[SCHEDULE IN MT]]*schedule13[[#This Row],[SCHEDULE]]</f>
        <v/>
      </c>
      <c r="AF232" s="599">
        <f>SUMIFS(stock[MT],stock[Bucket],schedule13[[#This Row],[Bucket]],stock[CTL Bucket],schedule13[[#This Row],[CTL Bucket]])</f>
        <v/>
      </c>
      <c r="AG232" s="599">
        <f>SUMIFS(stock[MT],stock[Bucket],schedule13[[#This Row],[Bucket]])+SUMIFS(wip[Stock(Net Wt)],wip[Bucket],schedule13[[#This Row],[Bucket]])/1000</f>
        <v/>
      </c>
      <c r="AH232" s="599">
        <f>AB232-AF232</f>
        <v/>
      </c>
      <c r="AI232" s="118">
        <f>(AC232+AF232)/AB232</f>
        <v/>
      </c>
    </row>
    <row r="233" hidden="1" s="584">
      <c r="A233" s="594" t="n">
        <v>75</v>
      </c>
      <c r="B233" s="5" t="inlineStr">
        <is>
          <t>Hosur</t>
        </is>
      </c>
      <c r="C233" s="601" t="inlineStr">
        <is>
          <t>NMPL 1</t>
        </is>
      </c>
      <c r="D233" s="601" t="n"/>
      <c r="E233" s="601" t="inlineStr">
        <is>
          <t>189226|930794</t>
        </is>
      </c>
      <c r="F233" s="601" t="n">
        <v>1940188</v>
      </c>
      <c r="G233" s="601" t="inlineStr">
        <is>
          <t>TUB-O-O-AUT-AW-PE-19.05X1.200X0.6310</t>
        </is>
      </c>
      <c r="H233" s="601" t="inlineStr">
        <is>
          <t>ERW 1</t>
        </is>
      </c>
      <c r="I233" s="601" t="n"/>
      <c r="J233" s="601" t="inlineStr">
        <is>
          <t>PE</t>
        </is>
      </c>
      <c r="K233" s="601" t="inlineStr">
        <is>
          <t>HR</t>
        </is>
      </c>
      <c r="L233" s="601" t="n"/>
      <c r="M233" s="601" t="n"/>
      <c r="N233" s="601" t="n"/>
      <c r="O233" s="601" t="n"/>
      <c r="P233" s="557">
        <f>CONCATENATE(schedule13[[#This Row],[OD]],"-",schedule13[[#This Row],[ID]],"-",schedule13[[#This Row],[TICKNESS]],"-",schedule13[[#This Row],[GRADE]],"-",schedule13[[#This Row],[FC/NFC]])</f>
        <v/>
      </c>
      <c r="Q233" s="557">
        <f>_xlfn.CONCAT(schedule13[[#This Row],[Bucket]],"-",schedule13[[#This Row],[LENGTH]]/1000)</f>
        <v/>
      </c>
      <c r="R233" s="557">
        <f>COUNTIF(buckets[CTL Bucket],schedule13[[#This Row],[CTL Bucket]])</f>
        <v/>
      </c>
      <c r="S233" s="599" t="n">
        <v>19.05</v>
      </c>
      <c r="T233" s="599" t="n">
        <v>19.05</v>
      </c>
      <c r="U233" s="599" t="n">
        <v>0</v>
      </c>
      <c r="V233" s="599" t="n">
        <v>1.2</v>
      </c>
      <c r="W233" s="22" t="n">
        <v>631</v>
      </c>
      <c r="X233" s="22" t="inlineStr">
        <is>
          <t>NOS</t>
        </is>
      </c>
      <c r="Y233" s="601" t="n">
        <v>11000</v>
      </c>
      <c r="Z233" s="601" t="n"/>
      <c r="AA233" s="602">
        <f>Y233-Z233</f>
        <v/>
      </c>
      <c r="AB233" s="599">
        <f>(3.14*(schedule13[[#This Row],[ACTUAL OD]]-schedule13[[#This Row],[TICKNESS]])*schedule13[[#This Row],[TICKNESS]]*schedule13[[#This Row],[LENGTH]]*7.85)/1000000*schedule13[[#This Row],[SCHEDULE]]/1000</f>
        <v/>
      </c>
      <c r="AC233" s="599">
        <f>(S233-V233)*V233*W233*0.024653*Z233/1000000</f>
        <v/>
      </c>
      <c r="AD233" s="599">
        <f>AB233-AC233</f>
        <v/>
      </c>
      <c r="AE233" s="598">
        <f>schedule13[[#This Row],[CTL Stock]]/schedule13[[#This Row],[SCHEDULE IN MT]]*schedule13[[#This Row],[SCHEDULE]]</f>
        <v/>
      </c>
      <c r="AF233" s="599">
        <f>SUMIFS(stock[MT],stock[Bucket],schedule13[[#This Row],[Bucket]],stock[CTL Bucket],schedule13[[#This Row],[CTL Bucket]])</f>
        <v/>
      </c>
      <c r="AG233" s="599">
        <f>SUMIFS(stock[MT],stock[Bucket],schedule13[[#This Row],[Bucket]])+SUMIFS(wip[Stock(Net Wt)],wip[Bucket],schedule13[[#This Row],[Bucket]])/1000</f>
        <v/>
      </c>
      <c r="AH233" s="599">
        <f>AB233-AF233</f>
        <v/>
      </c>
      <c r="AI233" s="118">
        <f>(AC233+AF233)/AB233</f>
        <v/>
      </c>
    </row>
    <row r="234" hidden="1" s="584">
      <c r="A234" s="594" t="n">
        <v>76</v>
      </c>
      <c r="B234" s="5" t="inlineStr">
        <is>
          <t>Hosur</t>
        </is>
      </c>
      <c r="C234" s="601" t="inlineStr">
        <is>
          <t>NMPL 1</t>
        </is>
      </c>
      <c r="D234" s="601" t="n"/>
      <c r="E234" s="601" t="inlineStr">
        <is>
          <t>189226|930794</t>
        </is>
      </c>
      <c r="F234" s="601" t="n">
        <v>1940189</v>
      </c>
      <c r="G234" s="601" t="inlineStr">
        <is>
          <t>TUB-O-O-AUT-AW-PE-19.05X1.200X0.6800</t>
        </is>
      </c>
      <c r="H234" s="601" t="inlineStr">
        <is>
          <t>ERW 1</t>
        </is>
      </c>
      <c r="I234" s="601" t="n"/>
      <c r="J234" s="601" t="inlineStr">
        <is>
          <t>PE</t>
        </is>
      </c>
      <c r="K234" s="601" t="inlineStr">
        <is>
          <t>CR</t>
        </is>
      </c>
      <c r="L234" s="601" t="n"/>
      <c r="M234" s="601" t="n"/>
      <c r="N234" s="601" t="n"/>
      <c r="O234" s="601" t="n"/>
      <c r="P234" s="557">
        <f>CONCATENATE(schedule13[[#This Row],[OD]],"-",schedule13[[#This Row],[ID]],"-",schedule13[[#This Row],[TICKNESS]],"-",schedule13[[#This Row],[GRADE]],"-",schedule13[[#This Row],[FC/NFC]])</f>
        <v/>
      </c>
      <c r="Q234" s="557">
        <f>_xlfn.CONCAT(schedule13[[#This Row],[Bucket]],"-",schedule13[[#This Row],[LENGTH]]/1000)</f>
        <v/>
      </c>
      <c r="R234" s="557">
        <f>COUNTIF(buckets[CTL Bucket],schedule13[[#This Row],[CTL Bucket]])</f>
        <v/>
      </c>
      <c r="S234" s="599" t="n">
        <v>19.05</v>
      </c>
      <c r="T234" s="599" t="n">
        <v>19.05</v>
      </c>
      <c r="U234" s="599" t="n">
        <v>0</v>
      </c>
      <c r="V234" s="599" t="n">
        <v>1.2</v>
      </c>
      <c r="W234" s="22" t="n">
        <v>680</v>
      </c>
      <c r="X234" s="22" t="inlineStr">
        <is>
          <t>NOS</t>
        </is>
      </c>
      <c r="Y234" s="601" t="n">
        <v>7000</v>
      </c>
      <c r="Z234" s="601" t="n"/>
      <c r="AA234" s="602">
        <f>Y234-Z234</f>
        <v/>
      </c>
      <c r="AB234" s="599">
        <f>(3.14*(schedule13[[#This Row],[ACTUAL OD]]-schedule13[[#This Row],[TICKNESS]])*schedule13[[#This Row],[TICKNESS]]*schedule13[[#This Row],[LENGTH]]*7.85)/1000000*schedule13[[#This Row],[SCHEDULE]]/1000</f>
        <v/>
      </c>
      <c r="AC234" s="599">
        <f>(S234-V234)*V234*W234*0.024653*Z234/1000000</f>
        <v/>
      </c>
      <c r="AD234" s="599">
        <f>AB234-AC234</f>
        <v/>
      </c>
      <c r="AE234" s="598">
        <f>schedule13[[#This Row],[CTL Stock]]/schedule13[[#This Row],[SCHEDULE IN MT]]*schedule13[[#This Row],[SCHEDULE]]</f>
        <v/>
      </c>
      <c r="AF234" s="599">
        <f>SUMIFS(stock[MT],stock[Bucket],schedule13[[#This Row],[Bucket]],stock[CTL Bucket],schedule13[[#This Row],[CTL Bucket]])</f>
        <v/>
      </c>
      <c r="AG234" s="599">
        <f>SUMIFS(stock[MT],stock[Bucket],schedule13[[#This Row],[Bucket]])+SUMIFS(wip[Stock(Net Wt)],wip[Bucket],schedule13[[#This Row],[Bucket]])/1000</f>
        <v/>
      </c>
      <c r="AH234" s="599">
        <f>AB234-AF234</f>
        <v/>
      </c>
      <c r="AI234" s="118">
        <f>(AC234+AF234)/AB234</f>
        <v/>
      </c>
    </row>
    <row r="235" hidden="1" s="584">
      <c r="A235" s="594" t="n">
        <v>77</v>
      </c>
      <c r="B235" s="5" t="inlineStr">
        <is>
          <t>Hosur</t>
        </is>
      </c>
      <c r="C235" s="601" t="inlineStr">
        <is>
          <t>NMPL 1</t>
        </is>
      </c>
      <c r="D235" s="601" t="n"/>
      <c r="E235" s="601" t="n">
        <v>189226</v>
      </c>
      <c r="F235" s="601" t="n">
        <v>236341</v>
      </c>
      <c r="G235" s="601" t="inlineStr">
        <is>
          <t>TUB-O-N-AUT-AW-PE-19.05X1.600X0.610</t>
        </is>
      </c>
      <c r="H235" s="601" t="n"/>
      <c r="I235" s="601" t="n"/>
      <c r="J235" s="601" t="n"/>
      <c r="K235" s="601" t="inlineStr">
        <is>
          <t>HR</t>
        </is>
      </c>
      <c r="L235" s="601" t="n"/>
      <c r="M235" s="601" t="n"/>
      <c r="N235" s="601" t="n"/>
      <c r="O235" s="601" t="n"/>
      <c r="P235" s="557">
        <f>CONCATENATE(schedule13[[#This Row],[OD]],"-",schedule13[[#This Row],[ID]],"-",schedule13[[#This Row],[TICKNESS]],"-",schedule13[[#This Row],[GRADE]],"-",schedule13[[#This Row],[FC/NFC]])</f>
        <v/>
      </c>
      <c r="Q235" s="557" t="n"/>
      <c r="R235" s="557" t="n"/>
      <c r="S235" s="599" t="n">
        <v>19.05</v>
      </c>
      <c r="T235" s="599" t="n">
        <v>19.05</v>
      </c>
      <c r="U235" s="599" t="n">
        <v>0</v>
      </c>
      <c r="V235" s="599" t="n">
        <v>1.6</v>
      </c>
      <c r="W235" s="22" t="n">
        <v>610</v>
      </c>
      <c r="X235" s="22" t="n"/>
      <c r="Y235" s="601" t="n">
        <v>0</v>
      </c>
      <c r="Z235" s="601" t="n"/>
      <c r="AA235" s="602">
        <f>Y235-Z235</f>
        <v/>
      </c>
      <c r="AB235" s="599">
        <f>(S235-V235)*V235*W235*0.024653*Y235/1000000</f>
        <v/>
      </c>
      <c r="AC235" s="599">
        <f>(S235-V235)*V235*W235*0.024653*Z235/1000000</f>
        <v/>
      </c>
      <c r="AD235" s="599">
        <f>AB235-AC235</f>
        <v/>
      </c>
      <c r="AE235" s="599" t="n"/>
      <c r="AF235" s="599" t="n"/>
      <c r="AG235" s="599" t="n"/>
      <c r="AH235" s="599">
        <f>AB234-AF235</f>
        <v/>
      </c>
      <c r="AI235" s="118">
        <f>(AC235+AF235)/AB235</f>
        <v/>
      </c>
    </row>
    <row r="236" hidden="1" s="584">
      <c r="A236" s="594" t="n">
        <v>78</v>
      </c>
      <c r="B236" s="5" t="inlineStr">
        <is>
          <t>Hosur</t>
        </is>
      </c>
      <c r="C236" s="601" t="inlineStr">
        <is>
          <t>NMPL 1</t>
        </is>
      </c>
      <c r="D236" s="601" t="n"/>
      <c r="E236" s="601" t="n">
        <v>189226</v>
      </c>
      <c r="F236" s="601" t="n">
        <v>235953</v>
      </c>
      <c r="G236" s="601" t="inlineStr">
        <is>
          <t>TUB-O-N-AUT-AW-PE-19.05X1.60X5.475-ERW 1</t>
        </is>
      </c>
      <c r="H236" s="601" t="inlineStr">
        <is>
          <t>ERW 1</t>
        </is>
      </c>
      <c r="I236" s="601" t="n"/>
      <c r="J236" s="601" t="n"/>
      <c r="K236" s="601" t="inlineStr">
        <is>
          <t>HR</t>
        </is>
      </c>
      <c r="L236" s="601" t="n"/>
      <c r="M236" s="601" t="n"/>
      <c r="N236" s="601" t="n"/>
      <c r="O236" s="601" t="n"/>
      <c r="P236" s="557">
        <f>CONCATENATE(schedule13[[#This Row],[OD]],"-",schedule13[[#This Row],[ID]],"-",schedule13[[#This Row],[TICKNESS]],"-",schedule13[[#This Row],[GRADE]],"-",schedule13[[#This Row],[FC/NFC]])</f>
        <v/>
      </c>
      <c r="Q236" s="557" t="n"/>
      <c r="R236" s="557" t="n"/>
      <c r="S236" s="599" t="n">
        <v>19.05</v>
      </c>
      <c r="T236" s="599" t="n">
        <v>19.05</v>
      </c>
      <c r="U236" s="599" t="n">
        <v>0</v>
      </c>
      <c r="V236" s="6" t="n">
        <v>1.6</v>
      </c>
      <c r="W236" s="22" t="n">
        <v>5475</v>
      </c>
      <c r="X236" s="22" t="n"/>
      <c r="Y236" s="601" t="n">
        <v>0</v>
      </c>
      <c r="Z236" s="601" t="n"/>
      <c r="AA236" s="602">
        <f>Y236-Z236</f>
        <v/>
      </c>
      <c r="AB236" s="599">
        <f>(S236-V236)*V236*W236*0.024653*Y236/1000000</f>
        <v/>
      </c>
      <c r="AC236" s="599">
        <f>(S236-V236)*V236*W236*0.024653*Z236/1000000</f>
        <v/>
      </c>
      <c r="AD236" s="599">
        <f>AB236-AC236</f>
        <v/>
      </c>
      <c r="AE236" s="599" t="n"/>
      <c r="AF236" s="599" t="n"/>
      <c r="AG236" s="599" t="n"/>
      <c r="AH236" s="599">
        <f>AB235-AF236</f>
        <v/>
      </c>
      <c r="AI236" s="118">
        <f>(AC236+AF236)/AB236</f>
        <v/>
      </c>
    </row>
    <row r="237" hidden="1" s="584">
      <c r="A237" s="594" t="n">
        <v>79</v>
      </c>
      <c r="B237" s="5" t="inlineStr">
        <is>
          <t>Hosur</t>
        </is>
      </c>
      <c r="C237" s="601" t="inlineStr">
        <is>
          <t>NMPL 1</t>
        </is>
      </c>
      <c r="D237" s="601" t="n"/>
      <c r="E237" s="601" t="inlineStr">
        <is>
          <t>189226|930794</t>
        </is>
      </c>
      <c r="F237" s="601" t="n">
        <v>1940318</v>
      </c>
      <c r="G237" s="601" t="inlineStr">
        <is>
          <t>TUB-O-O-AUT-AW-PE-19.05X2.300X0.3940</t>
        </is>
      </c>
      <c r="H237" s="601" t="inlineStr">
        <is>
          <t>ERW 1</t>
        </is>
      </c>
      <c r="I237" s="601" t="n"/>
      <c r="J237" s="601" t="inlineStr">
        <is>
          <t>PE</t>
        </is>
      </c>
      <c r="K237" s="601" t="inlineStr">
        <is>
          <t>HR</t>
        </is>
      </c>
      <c r="L237" s="601" t="n"/>
      <c r="M237" s="601" t="n"/>
      <c r="N237" s="601" t="n"/>
      <c r="O237" s="601" t="n"/>
      <c r="P237" s="557">
        <f>CONCATENATE(schedule13[[#This Row],[OD]],"-",schedule13[[#This Row],[ID]],"-",schedule13[[#This Row],[TICKNESS]],"-",schedule13[[#This Row],[GRADE]],"-",schedule13[[#This Row],[FC/NFC]])</f>
        <v/>
      </c>
      <c r="Q237" s="557">
        <f>_xlfn.CONCAT(schedule13[[#This Row],[Bucket]],"-",schedule13[[#This Row],[LENGTH]]/1000)</f>
        <v/>
      </c>
      <c r="R237" s="557">
        <f>COUNTIF(buckets[CTL Bucket],schedule13[[#This Row],[CTL Bucket]])</f>
        <v/>
      </c>
      <c r="S237" s="599" t="n">
        <v>19.05</v>
      </c>
      <c r="T237" s="599" t="n">
        <v>19.05</v>
      </c>
      <c r="U237" s="6" t="n">
        <v>0</v>
      </c>
      <c r="V237" s="599" t="n">
        <v>2.3</v>
      </c>
      <c r="W237" s="22" t="n">
        <v>394</v>
      </c>
      <c r="X237" s="22" t="inlineStr">
        <is>
          <t>NOS</t>
        </is>
      </c>
      <c r="Y237" s="601" t="n">
        <v>8000</v>
      </c>
      <c r="Z237" s="601" t="n"/>
      <c r="AA237" s="602">
        <f>Y237-Z237</f>
        <v/>
      </c>
      <c r="AB237" s="599">
        <f>(3.14*(schedule13[[#This Row],[ACTUAL OD]]-schedule13[[#This Row],[TICKNESS]])*schedule13[[#This Row],[TICKNESS]]*schedule13[[#This Row],[LENGTH]]*7.85)/1000000*schedule13[[#This Row],[SCHEDULE]]/1000</f>
        <v/>
      </c>
      <c r="AC237" s="599">
        <f>(S237-V237)*V237*W237*0.024653*Z237/1000000</f>
        <v/>
      </c>
      <c r="AD237" s="599">
        <f>AB237-AC237</f>
        <v/>
      </c>
      <c r="AE237" s="598">
        <f>schedule13[[#This Row],[CTL Stock]]/schedule13[[#This Row],[SCHEDULE IN MT]]*schedule13[[#This Row],[SCHEDULE]]</f>
        <v/>
      </c>
      <c r="AF237" s="599">
        <f>SUMIFS(stock[MT],stock[Bucket],schedule13[[#This Row],[Bucket]],stock[CTL Bucket],schedule13[[#This Row],[CTL Bucket]])</f>
        <v/>
      </c>
      <c r="AG237" s="599">
        <f>SUMIFS(stock[MT],stock[Bucket],schedule13[[#This Row],[Bucket]])+SUMIFS(wip[Stock(Net Wt)],wip[Bucket],schedule13[[#This Row],[Bucket]])/1000</f>
        <v/>
      </c>
      <c r="AH237" s="599">
        <f>AB237-AF237</f>
        <v/>
      </c>
      <c r="AI237" s="118">
        <f>(AC237+AF237)/AB237</f>
        <v/>
      </c>
    </row>
    <row r="238" hidden="1" s="584">
      <c r="A238" s="594" t="n">
        <v>80</v>
      </c>
      <c r="B238" s="5" t="inlineStr">
        <is>
          <t xml:space="preserve">Khopoli </t>
        </is>
      </c>
      <c r="C238" s="601" t="inlineStr">
        <is>
          <t>NMPL 1</t>
        </is>
      </c>
      <c r="D238" s="601" t="n"/>
      <c r="E238" s="601" t="inlineStr">
        <is>
          <t>189226|930794</t>
        </is>
      </c>
      <c r="F238" s="601" t="n">
        <v>3228788</v>
      </c>
      <c r="G238" s="601" t="inlineStr">
        <is>
          <t>TUB-O-C-AUT-AD-FC-20.00X1.420X0.2730</t>
        </is>
      </c>
      <c r="H238" s="601" t="inlineStr">
        <is>
          <t>CEW</t>
        </is>
      </c>
      <c r="I238" s="601" t="n"/>
      <c r="J238" s="601" t="inlineStr">
        <is>
          <t>CEW</t>
        </is>
      </c>
      <c r="K238" s="601" t="inlineStr">
        <is>
          <t>HR</t>
        </is>
      </c>
      <c r="L238" s="601" t="n"/>
      <c r="M238" s="601" t="n"/>
      <c r="N238" s="601" t="n"/>
      <c r="O238" s="601" t="n"/>
      <c r="P238" s="557">
        <f>CONCATENATE(schedule13[[#This Row],[OD]],"-",schedule13[[#This Row],[ID]],"-",schedule13[[#This Row],[TICKNESS]],"-",schedule13[[#This Row],[GRADE]],"-",schedule13[[#This Row],[FC/NFC]])</f>
        <v/>
      </c>
      <c r="Q238" s="557">
        <f>_xlfn.CONCAT(schedule13[[#This Row],[Bucket]],"-",schedule13[[#This Row],[LENGTH]]/1000)</f>
        <v/>
      </c>
      <c r="R238" s="557">
        <f>COUNTIF(buckets[CTL Bucket],schedule13[[#This Row],[CTL Bucket]])</f>
        <v/>
      </c>
      <c r="S238" s="599" t="n">
        <v>20</v>
      </c>
      <c r="T238" s="599" t="n">
        <v>20</v>
      </c>
      <c r="U238" s="599" t="n">
        <v>17.16</v>
      </c>
      <c r="V238" s="599" t="n">
        <v>1.42</v>
      </c>
      <c r="W238" s="22" t="n">
        <v>273</v>
      </c>
      <c r="X238" s="22" t="inlineStr">
        <is>
          <t>NOS</t>
        </is>
      </c>
      <c r="Y238" s="601" t="n">
        <v>6000</v>
      </c>
      <c r="Z238" s="601" t="n"/>
      <c r="AA238" s="602">
        <f>Y238-Z238</f>
        <v/>
      </c>
      <c r="AB238" s="599">
        <f>(3.14*(schedule13[[#This Row],[ACTUAL OD]]-schedule13[[#This Row],[TICKNESS]])*schedule13[[#This Row],[TICKNESS]]*schedule13[[#This Row],[LENGTH]]*7.85)/1000000*schedule13[[#This Row],[SCHEDULE]]/1000</f>
        <v/>
      </c>
      <c r="AC238" s="599">
        <f>(S238-V238)*V238*W238*0.024653*Z238/1000000</f>
        <v/>
      </c>
      <c r="AD238" s="599">
        <f>AB238-AC238</f>
        <v/>
      </c>
      <c r="AE238" s="598">
        <f>schedule13[[#This Row],[CTL Stock]]/schedule13[[#This Row],[SCHEDULE IN MT]]*schedule13[[#This Row],[SCHEDULE]]</f>
        <v/>
      </c>
      <c r="AF238" s="599">
        <f>SUMIFS(stock[MT],stock[Bucket],schedule13[[#This Row],[Bucket]],stock[CTL Bucket],schedule13[[#This Row],[CTL Bucket]])</f>
        <v/>
      </c>
      <c r="AG238" s="599">
        <f>SUMIFS(stock[MT],stock[Bucket],schedule13[[#This Row],[Bucket]])+SUMIFS(wip[Stock(Net Wt)],wip[Bucket],schedule13[[#This Row],[Bucket]])/1000</f>
        <v/>
      </c>
      <c r="AH238" s="599">
        <f>AB238-AF238</f>
        <v/>
      </c>
      <c r="AI238" s="118">
        <f>(AC238+AF238)/AB238</f>
        <v/>
      </c>
    </row>
    <row r="239" hidden="1" s="584">
      <c r="A239" s="594" t="n">
        <v>82</v>
      </c>
      <c r="B239" s="5" t="inlineStr">
        <is>
          <t xml:space="preserve">Khopoli </t>
        </is>
      </c>
      <c r="C239" s="601" t="inlineStr">
        <is>
          <t>NMPL 1</t>
        </is>
      </c>
      <c r="D239" s="601" t="n"/>
      <c r="E239" s="601" t="inlineStr">
        <is>
          <t>189226|930794</t>
        </is>
      </c>
      <c r="F239" s="601" t="n">
        <v>2439536</v>
      </c>
      <c r="G239" s="601" t="inlineStr">
        <is>
          <t>TUB-O-C-AUT-AD-FC-20.00X3.800X04-05</t>
        </is>
      </c>
      <c r="H239" s="601" t="inlineStr">
        <is>
          <t>CEW</t>
        </is>
      </c>
      <c r="I239" s="601" t="n"/>
      <c r="J239" s="601" t="inlineStr">
        <is>
          <t>CEW</t>
        </is>
      </c>
      <c r="K239" s="601" t="n"/>
      <c r="L239" s="601" t="n"/>
      <c r="M239" s="601" t="n"/>
      <c r="N239" s="601" t="n"/>
      <c r="O239" s="601" t="n"/>
      <c r="P239" s="557">
        <f>CONCATENATE(schedule13[[#This Row],[OD]],"-",schedule13[[#This Row],[ID]],"-",schedule13[[#This Row],[TICKNESS]],"-",schedule13[[#This Row],[GRADE]],"-",schedule13[[#This Row],[FC/NFC]])</f>
        <v/>
      </c>
      <c r="Q239" s="557">
        <f>schedule13[[#This Row],[Bucket]]</f>
        <v/>
      </c>
      <c r="R239" s="557">
        <f>COUNTIF(buckets[CTL Bucket],schedule13[[#This Row],[CTL Bucket]])</f>
        <v/>
      </c>
      <c r="S239" s="599" t="n">
        <v>20</v>
      </c>
      <c r="T239" s="599" t="n">
        <v>20</v>
      </c>
      <c r="U239" s="599" t="n">
        <v>12.4</v>
      </c>
      <c r="V239" s="599" t="n">
        <v>3.8</v>
      </c>
      <c r="W239" s="22" t="n">
        <v>1000</v>
      </c>
      <c r="X239" s="22" t="inlineStr">
        <is>
          <t>M</t>
        </is>
      </c>
      <c r="Y239" s="601" t="n">
        <v>8000</v>
      </c>
      <c r="Z239" s="601" t="n"/>
      <c r="AA239" s="602">
        <f>Y239-Z239</f>
        <v/>
      </c>
      <c r="AB239" s="599">
        <f>(3.14*(schedule13[[#This Row],[ACTUAL OD]]-schedule13[[#This Row],[TICKNESS]])*schedule13[[#This Row],[TICKNESS]]*schedule13[[#This Row],[LENGTH]]*7.85)/1000000*schedule13[[#This Row],[SCHEDULE]]/1000</f>
        <v/>
      </c>
      <c r="AC239" s="599">
        <f>(S239-V239)*V239*W239*0.024653*Z239/1000000</f>
        <v/>
      </c>
      <c r="AD239" s="599">
        <f>AB239-AC239</f>
        <v/>
      </c>
      <c r="AE239" s="598">
        <f>schedule13[[#This Row],[CTL Stock]]/schedule13[[#This Row],[SCHEDULE IN MT]]*schedule13[[#This Row],[SCHEDULE]]</f>
        <v/>
      </c>
      <c r="AF239" s="599">
        <f>SUMIFS(stock[MT],stock[Bucket],schedule13[[#This Row],[Bucket]],stock[CTL Bucket],schedule13[[#This Row],[CTL Bucket]])</f>
        <v/>
      </c>
      <c r="AG239" s="599">
        <f>SUMIFS(stock[MT],stock[Bucket],schedule13[[#This Row],[Bucket]])+SUMIFS(wip[Stock(Net Wt)],wip[Bucket],schedule13[[#This Row],[Bucket]])/1000</f>
        <v/>
      </c>
      <c r="AH239" s="599">
        <f>AB239-AF239</f>
        <v/>
      </c>
      <c r="AI239" s="118">
        <f>(AC239+AF239)/AB239</f>
        <v/>
      </c>
    </row>
    <row r="240" hidden="1" s="584">
      <c r="A240" s="594" t="n">
        <v>84</v>
      </c>
      <c r="B240" s="5" t="inlineStr">
        <is>
          <t xml:space="preserve">Khopoli </t>
        </is>
      </c>
      <c r="C240" s="601" t="inlineStr">
        <is>
          <t>NMPL 1</t>
        </is>
      </c>
      <c r="D240" s="601" t="n"/>
      <c r="E240" s="601" t="n">
        <v>189226</v>
      </c>
      <c r="F240" s="601" t="n">
        <v>2410994</v>
      </c>
      <c r="G240" s="601" t="inlineStr">
        <is>
          <t>TUB-O-C-AUT-AD-FC-21.75X3.500X04-05</t>
        </is>
      </c>
      <c r="H240" s="601" t="inlineStr">
        <is>
          <t>CEW</t>
        </is>
      </c>
      <c r="I240" s="601" t="n"/>
      <c r="J240" s="601" t="inlineStr">
        <is>
          <t>FC</t>
        </is>
      </c>
      <c r="K240" s="601" t="inlineStr">
        <is>
          <t>HR</t>
        </is>
      </c>
      <c r="L240" s="601" t="n"/>
      <c r="M240" s="601" t="n"/>
      <c r="N240" s="601" t="n"/>
      <c r="O240" s="601" t="n"/>
      <c r="P240" s="557">
        <f>CONCATENATE(schedule13[[#This Row],[OD]],"-",schedule13[[#This Row],[ID]],"-",schedule13[[#This Row],[TICKNESS]],"-",schedule13[[#This Row],[GRADE]],"-",schedule13[[#This Row],[FC/NFC]])</f>
        <v/>
      </c>
      <c r="Q240" s="557" t="n"/>
      <c r="R240" s="557" t="n"/>
      <c r="S240" s="599" t="n">
        <v>21.7</v>
      </c>
      <c r="T240" s="6" t="n">
        <v>21.7</v>
      </c>
      <c r="U240" s="6" t="n">
        <v>16.2</v>
      </c>
      <c r="V240" s="6" t="n">
        <v>2.75</v>
      </c>
      <c r="W240" s="22" t="n">
        <v>4500</v>
      </c>
      <c r="X240" s="22" t="n"/>
      <c r="Y240" s="601" t="n">
        <v>112</v>
      </c>
      <c r="Z240" s="601" t="n"/>
      <c r="AA240" s="602">
        <f>Y240-Z240</f>
        <v/>
      </c>
      <c r="AB240" s="599">
        <f>(S240-V240)*V240*W240*0.024653*Y240/1000000</f>
        <v/>
      </c>
      <c r="AC240" s="599">
        <f>(S240-V240)*V240*W240*0.024653*Z240/1000000</f>
        <v/>
      </c>
      <c r="AD240" s="599">
        <f>AB240-AC240</f>
        <v/>
      </c>
      <c r="AE240" s="599" t="n"/>
      <c r="AF240" s="599" t="n"/>
      <c r="AG240" s="599" t="n"/>
      <c r="AH240" s="599">
        <f>AB239-AF240</f>
        <v/>
      </c>
      <c r="AI240" s="118">
        <f>(AC240+AF240)/AB240</f>
        <v/>
      </c>
    </row>
    <row r="241" hidden="1" s="584">
      <c r="A241" s="594" t="n">
        <v>85</v>
      </c>
      <c r="B241" s="5" t="inlineStr">
        <is>
          <t xml:space="preserve">Khopoli </t>
        </is>
      </c>
      <c r="C241" s="601" t="inlineStr">
        <is>
          <t>NMPL 1</t>
        </is>
      </c>
      <c r="D241" s="601" t="n">
        <v>189226</v>
      </c>
      <c r="E241" s="601" t="inlineStr">
        <is>
          <t>189226|930794</t>
        </is>
      </c>
      <c r="F241" s="601" t="n">
        <v>2410994</v>
      </c>
      <c r="G241" s="601" t="inlineStr">
        <is>
          <t>TUB-O-C-AUT-AD-FC-21.75X3.500X04-05</t>
        </is>
      </c>
      <c r="H241" s="601" t="inlineStr">
        <is>
          <t>CEW</t>
        </is>
      </c>
      <c r="I241" s="599" t="n"/>
      <c r="J241" s="601" t="inlineStr">
        <is>
          <t>CEW</t>
        </is>
      </c>
      <c r="K241" s="599" t="n"/>
      <c r="L241" s="599" t="n"/>
      <c r="M241" s="600" t="n"/>
      <c r="N241" s="601" t="n"/>
      <c r="O241" s="601" t="n"/>
      <c r="P241" s="557">
        <f>CONCATENATE(schedule13[[#This Row],[OD]],"-",schedule13[[#This Row],[ID]],"-",schedule13[[#This Row],[TICKNESS]],"-",schedule13[[#This Row],[GRADE]],"-",schedule13[[#This Row],[FC/NFC]])</f>
        <v/>
      </c>
      <c r="Q241" s="557">
        <f>schedule13[[#This Row],[Bucket]]</f>
        <v/>
      </c>
      <c r="R241" s="557">
        <f>COUNTIF(buckets[CTL Bucket],schedule13[[#This Row],[CTL Bucket]])</f>
        <v/>
      </c>
      <c r="S241" s="599" t="n">
        <v>21.75</v>
      </c>
      <c r="T241" s="599" t="n">
        <v>21.75</v>
      </c>
      <c r="U241" s="6" t="n">
        <v>0</v>
      </c>
      <c r="V241" s="599" t="n">
        <v>3.5</v>
      </c>
      <c r="W241" s="22" t="n">
        <v>1000</v>
      </c>
      <c r="X241" s="22" t="inlineStr">
        <is>
          <t>M</t>
        </is>
      </c>
      <c r="Y241" s="601" t="n">
        <v>0</v>
      </c>
      <c r="Z241" s="601" t="n"/>
      <c r="AA241" s="602">
        <f>Y241-Z241</f>
        <v/>
      </c>
      <c r="AB241" s="599">
        <f>(3.14*(schedule13[[#This Row],[ACTUAL OD]]-schedule13[[#This Row],[TICKNESS]])*schedule13[[#This Row],[TICKNESS]]*schedule13[[#This Row],[LENGTH]]*7.85)/1000000*schedule13[[#This Row],[SCHEDULE]]/1000</f>
        <v/>
      </c>
      <c r="AC241" s="599">
        <f>(S241-V241)*V241*W241*0.024653*Z241/1000000</f>
        <v/>
      </c>
      <c r="AD241" s="599">
        <f>AB241-AC241</f>
        <v/>
      </c>
      <c r="AE241" s="598">
        <f>schedule13[[#This Row],[CTL Stock]]/schedule13[[#This Row],[SCHEDULE IN MT]]*schedule13[[#This Row],[SCHEDULE]]</f>
        <v/>
      </c>
      <c r="AF241" s="599">
        <f>SUMIFS(stock[MT],stock[Bucket],schedule13[[#This Row],[Bucket]],stock[CTL Bucket],schedule13[[#This Row],[CTL Bucket]])</f>
        <v/>
      </c>
      <c r="AG241" s="599">
        <f>SUMIFS(stock[MT],stock[Bucket],schedule13[[#This Row],[Bucket]])+SUMIFS(wip[Stock(Net Wt)],wip[Bucket],schedule13[[#This Row],[Bucket]])/1000</f>
        <v/>
      </c>
      <c r="AH241" s="599">
        <f>AB241-AF241</f>
        <v/>
      </c>
      <c r="AI241" s="118">
        <f>(AC241+AF241)/AB241</f>
        <v/>
      </c>
    </row>
    <row r="242" hidden="1" s="584">
      <c r="A242" s="594" t="n">
        <v>87</v>
      </c>
      <c r="B242" s="5" t="inlineStr">
        <is>
          <t>Hosur</t>
        </is>
      </c>
      <c r="C242" s="601" t="inlineStr">
        <is>
          <t>NMPL 1</t>
        </is>
      </c>
      <c r="D242" s="601" t="n"/>
      <c r="E242" s="601" t="inlineStr">
        <is>
          <t>189226|930794</t>
        </is>
      </c>
      <c r="F242" s="601" t="n">
        <v>1940392</v>
      </c>
      <c r="G242" s="601" t="inlineStr">
        <is>
          <t>TUB-O-O-AUT-AW-PE-22.23X1.600X0.2850</t>
        </is>
      </c>
      <c r="H242" s="601" t="inlineStr">
        <is>
          <t>ERW 1</t>
        </is>
      </c>
      <c r="I242" s="601" t="n"/>
      <c r="J242" s="601" t="inlineStr">
        <is>
          <t>PE</t>
        </is>
      </c>
      <c r="K242" s="601" t="inlineStr">
        <is>
          <t>CR</t>
        </is>
      </c>
      <c r="L242" s="596" t="inlineStr">
        <is>
          <t>GR1</t>
        </is>
      </c>
      <c r="M242" s="601" t="n"/>
      <c r="N242" s="601" t="n"/>
      <c r="O242" s="601" t="n"/>
      <c r="P242" s="557">
        <f>CONCATENATE(schedule13[[#This Row],[OD]],"-",schedule13[[#This Row],[ID]],"-",schedule13[[#This Row],[TICKNESS]],"-",schedule13[[#This Row],[GRADE]],"-",schedule13[[#This Row],[FC/NFC]])</f>
        <v/>
      </c>
      <c r="Q242" s="557">
        <f>_xlfn.CONCAT(schedule13[[#This Row],[Bucket]],"-",schedule13[[#This Row],[LENGTH]]/1000)</f>
        <v/>
      </c>
      <c r="R242" s="557">
        <f>COUNTIF(buckets[CTL Bucket],schedule13[[#This Row],[CTL Bucket]])</f>
        <v/>
      </c>
      <c r="S242" s="599" t="n">
        <v>22.23</v>
      </c>
      <c r="T242" s="599" t="n">
        <v>22.23</v>
      </c>
      <c r="U242" s="599" t="n">
        <v>0</v>
      </c>
      <c r="V242" s="599" t="n">
        <v>1.6</v>
      </c>
      <c r="W242" s="22" t="n">
        <v>285</v>
      </c>
      <c r="X242" s="22" t="inlineStr">
        <is>
          <t>NOS</t>
        </is>
      </c>
      <c r="Y242" s="601" t="n">
        <v>10000</v>
      </c>
      <c r="Z242" s="601" t="n"/>
      <c r="AA242" s="602">
        <f>Y242-Z242</f>
        <v/>
      </c>
      <c r="AB242" s="599">
        <f>(3.14*(schedule13[[#This Row],[ACTUAL OD]]-schedule13[[#This Row],[TICKNESS]])*schedule13[[#This Row],[TICKNESS]]*schedule13[[#This Row],[LENGTH]]*7.85)/1000000*schedule13[[#This Row],[SCHEDULE]]/1000</f>
        <v/>
      </c>
      <c r="AC242" s="599">
        <f>(S242-V242)*V242*W242*0.024653*Z242/1000000</f>
        <v/>
      </c>
      <c r="AD242" s="599">
        <f>AB242-AC242</f>
        <v/>
      </c>
      <c r="AE242" s="598">
        <f>schedule13[[#This Row],[CTL Stock]]/schedule13[[#This Row],[SCHEDULE IN MT]]*schedule13[[#This Row],[SCHEDULE]]</f>
        <v/>
      </c>
      <c r="AF242" s="599">
        <f>SUMIFS(stock[MT],stock[Bucket],schedule13[[#This Row],[Bucket]],stock[CTL Bucket],schedule13[[#This Row],[CTL Bucket]])</f>
        <v/>
      </c>
      <c r="AG242" s="599">
        <f>SUMIFS(stock[MT],stock[Bucket],schedule13[[#This Row],[Bucket]])+SUMIFS(wip[Stock(Net Wt)],wip[Bucket],schedule13[[#This Row],[Bucket]])/1000</f>
        <v/>
      </c>
      <c r="AH242" s="599">
        <f>AB241-AF242</f>
        <v/>
      </c>
      <c r="AI242" s="118">
        <f>(AC242+AF242)/AB242</f>
        <v/>
      </c>
    </row>
    <row r="243" hidden="1" s="584">
      <c r="A243" s="594" t="n">
        <v>92</v>
      </c>
      <c r="B243" s="5" t="inlineStr">
        <is>
          <t>Hosur</t>
        </is>
      </c>
      <c r="C243" s="601" t="inlineStr">
        <is>
          <t>NMPL 1</t>
        </is>
      </c>
      <c r="D243" s="601" t="n"/>
      <c r="E243" s="601" t="inlineStr">
        <is>
          <t>189226|930794</t>
        </is>
      </c>
      <c r="F243" s="601" t="n">
        <v>1940408</v>
      </c>
      <c r="G243" s="601" t="inlineStr">
        <is>
          <t>TUB-O-O-AUT-AW-PE-22.23X1.600X0.8090</t>
        </is>
      </c>
      <c r="H243" s="601" t="inlineStr">
        <is>
          <t>ERW 1</t>
        </is>
      </c>
      <c r="I243" s="601" t="n"/>
      <c r="J243" s="601" t="inlineStr">
        <is>
          <t>PE</t>
        </is>
      </c>
      <c r="K243" s="601" t="inlineStr">
        <is>
          <t>CR</t>
        </is>
      </c>
      <c r="L243" s="596" t="inlineStr">
        <is>
          <t>GR1</t>
        </is>
      </c>
      <c r="M243" s="601" t="n"/>
      <c r="N243" s="601" t="n"/>
      <c r="O243" s="601" t="n"/>
      <c r="P243" s="557">
        <f>CONCATENATE(schedule13[[#This Row],[OD]],"-",schedule13[[#This Row],[ID]],"-",schedule13[[#This Row],[TICKNESS]],"-",schedule13[[#This Row],[GRADE]],"-",schedule13[[#This Row],[FC/NFC]])</f>
        <v/>
      </c>
      <c r="Q243" s="557">
        <f>_xlfn.CONCAT(schedule13[[#This Row],[Bucket]],"-",schedule13[[#This Row],[LENGTH]]/1000)</f>
        <v/>
      </c>
      <c r="R243" s="557">
        <f>COUNTIF(buckets[CTL Bucket],schedule13[[#This Row],[CTL Bucket]])</f>
        <v/>
      </c>
      <c r="S243" s="599" t="n">
        <v>22.23</v>
      </c>
      <c r="T243" s="599" t="n">
        <v>22.23</v>
      </c>
      <c r="U243" s="6" t="n">
        <v>0</v>
      </c>
      <c r="V243" s="599" t="n">
        <v>1.6</v>
      </c>
      <c r="W243" s="22" t="n">
        <v>809</v>
      </c>
      <c r="X243" s="22" t="inlineStr">
        <is>
          <t>NOS</t>
        </is>
      </c>
      <c r="Y243" s="601" t="n">
        <v>2000</v>
      </c>
      <c r="Z243" s="601" t="n"/>
      <c r="AA243" s="602">
        <f>Y243-Z243</f>
        <v/>
      </c>
      <c r="AB243" s="599">
        <f>(3.14*(schedule13[[#This Row],[ACTUAL OD]]-schedule13[[#This Row],[TICKNESS]])*schedule13[[#This Row],[TICKNESS]]*schedule13[[#This Row],[LENGTH]]*7.85)/1000000*schedule13[[#This Row],[SCHEDULE]]/1000</f>
        <v/>
      </c>
      <c r="AC243" s="599">
        <f>(S243-V243)*V243*W243*0.024653*Z243/1000000</f>
        <v/>
      </c>
      <c r="AD243" s="599">
        <f>AB243-AC243</f>
        <v/>
      </c>
      <c r="AE243" s="598">
        <f>schedule13[[#This Row],[CTL Stock]]/schedule13[[#This Row],[SCHEDULE IN MT]]*schedule13[[#This Row],[SCHEDULE]]</f>
        <v/>
      </c>
      <c r="AF243" s="599">
        <f>SUMIFS(stock[MT],stock[Bucket],schedule13[[#This Row],[Bucket]],stock[CTL Bucket],schedule13[[#This Row],[CTL Bucket]])</f>
        <v/>
      </c>
      <c r="AG243" s="599">
        <f>SUMIFS(stock[MT],stock[Bucket],schedule13[[#This Row],[Bucket]])+SUMIFS(wip[Stock(Net Wt)],wip[Bucket],schedule13[[#This Row],[Bucket]])/1000</f>
        <v/>
      </c>
      <c r="AH243" s="599">
        <f>AB242-AF243</f>
        <v/>
      </c>
      <c r="AI243" s="118">
        <f>(AC243+AF243)/AB243</f>
        <v/>
      </c>
    </row>
    <row r="244" hidden="1" s="584">
      <c r="A244" s="594" t="n">
        <v>93</v>
      </c>
      <c r="B244" s="5" t="inlineStr">
        <is>
          <t>Hosur</t>
        </is>
      </c>
      <c r="C244" s="601" t="inlineStr">
        <is>
          <t>NMPL 1</t>
        </is>
      </c>
      <c r="D244" s="601" t="n"/>
      <c r="E244" s="601" t="n">
        <v>189226</v>
      </c>
      <c r="F244" s="601" t="n">
        <v>1159568</v>
      </c>
      <c r="G244" s="601" t="inlineStr">
        <is>
          <t>TUB-O-N-AUT-AW-PE-22.20X2.000X0.180</t>
        </is>
      </c>
      <c r="H244" s="601" t="inlineStr">
        <is>
          <t>ERW 1</t>
        </is>
      </c>
      <c r="I244" s="601" t="n"/>
      <c r="J244" s="601" t="n"/>
      <c r="K244" s="601" t="inlineStr">
        <is>
          <t>HR</t>
        </is>
      </c>
      <c r="L244" s="601" t="n"/>
      <c r="M244" s="601" t="n"/>
      <c r="N244" s="601" t="n"/>
      <c r="O244" s="601" t="n"/>
      <c r="P244" s="557">
        <f>CONCATENATE(schedule13[[#This Row],[OD]],"-",schedule13[[#This Row],[ID]],"-",schedule13[[#This Row],[TICKNESS]],"-",schedule13[[#This Row],[GRADE]],"-",schedule13[[#This Row],[FC/NFC]])</f>
        <v/>
      </c>
      <c r="Q244" s="557" t="n"/>
      <c r="R244" s="557" t="n"/>
      <c r="S244" s="599" t="n">
        <v>22.23</v>
      </c>
      <c r="T244" s="599" t="n">
        <v>22.23</v>
      </c>
      <c r="U244" s="599" t="n">
        <v>0</v>
      </c>
      <c r="V244" s="599" t="n">
        <v>2</v>
      </c>
      <c r="W244" s="22" t="n">
        <v>180</v>
      </c>
      <c r="X244" s="22" t="n"/>
      <c r="Y244" s="601" t="n">
        <v>0</v>
      </c>
      <c r="Z244" s="601" t="n"/>
      <c r="AA244" s="602">
        <f>Y244-Z244</f>
        <v/>
      </c>
      <c r="AB244" s="599">
        <f>(S244-V244)*V244*W244*0.024653*Y244/1000000</f>
        <v/>
      </c>
      <c r="AC244" s="599">
        <f>(S244-V244)*V244*W244*0.024653*Z244/1000000</f>
        <v/>
      </c>
      <c r="AD244" s="599">
        <f>AB244-AC244</f>
        <v/>
      </c>
      <c r="AE244" s="599" t="n"/>
      <c r="AF244" s="599" t="n">
        <v>9.779453999999999</v>
      </c>
      <c r="AG244" s="599" t="n"/>
      <c r="AH244" s="599">
        <f>AB243-AF244</f>
        <v/>
      </c>
      <c r="AI244" s="118">
        <f>(AC244+AF244)/AB244</f>
        <v/>
      </c>
    </row>
    <row r="245" hidden="1" s="584">
      <c r="A245" s="594" t="n">
        <v>96</v>
      </c>
      <c r="B245" s="5" t="inlineStr">
        <is>
          <t>Hosur</t>
        </is>
      </c>
      <c r="C245" s="601" t="inlineStr">
        <is>
          <t>NMPL 1</t>
        </is>
      </c>
      <c r="D245" s="601" t="n"/>
      <c r="E245" s="601" t="inlineStr">
        <is>
          <t>189226|930794</t>
        </is>
      </c>
      <c r="F245" s="601" t="n">
        <v>1940466</v>
      </c>
      <c r="G245" s="601" t="inlineStr">
        <is>
          <t>TUB-O-O-AUT-AW-PE-22.23X2.000X0.8090</t>
        </is>
      </c>
      <c r="H245" s="601" t="inlineStr">
        <is>
          <t>ERW 1</t>
        </is>
      </c>
      <c r="I245" s="601" t="n"/>
      <c r="J245" s="601" t="inlineStr">
        <is>
          <t>PE</t>
        </is>
      </c>
      <c r="K245" s="601" t="inlineStr">
        <is>
          <t>HR</t>
        </is>
      </c>
      <c r="L245" s="601" t="n"/>
      <c r="M245" s="601" t="n"/>
      <c r="N245" s="601" t="n"/>
      <c r="O245" s="601" t="n"/>
      <c r="P245" s="557">
        <f>CONCATENATE(schedule13[[#This Row],[OD]],"-",schedule13[[#This Row],[ID]],"-",schedule13[[#This Row],[TICKNESS]],"-",schedule13[[#This Row],[GRADE]],"-",schedule13[[#This Row],[FC/NFC]])</f>
        <v/>
      </c>
      <c r="Q245" s="557">
        <f>_xlfn.CONCAT(schedule13[[#This Row],[Bucket]],"-",schedule13[[#This Row],[LENGTH]]/1000)</f>
        <v/>
      </c>
      <c r="R245" s="557">
        <f>COUNTIF(buckets[CTL Bucket],schedule13[[#This Row],[CTL Bucket]])</f>
        <v/>
      </c>
      <c r="S245" s="599" t="n">
        <v>22.23</v>
      </c>
      <c r="T245" s="599" t="n">
        <v>22.23</v>
      </c>
      <c r="U245" s="599" t="n">
        <v>0</v>
      </c>
      <c r="V245" s="599" t="n">
        <v>2</v>
      </c>
      <c r="W245" s="22" t="n">
        <v>809</v>
      </c>
      <c r="X245" s="22" t="inlineStr">
        <is>
          <t>NOS</t>
        </is>
      </c>
      <c r="Y245" s="601" t="n">
        <v>6000</v>
      </c>
      <c r="Z245" s="601" t="n"/>
      <c r="AA245" s="602">
        <f>Y245-Z245</f>
        <v/>
      </c>
      <c r="AB245" s="599">
        <f>(3.14*(schedule13[[#This Row],[ACTUAL OD]]-schedule13[[#This Row],[TICKNESS]])*schedule13[[#This Row],[TICKNESS]]*schedule13[[#This Row],[LENGTH]]*7.85)/1000000*schedule13[[#This Row],[SCHEDULE]]/1000</f>
        <v/>
      </c>
      <c r="AC245" s="599">
        <f>(S245-V245)*V245*W245*0.024653*Z245/1000000</f>
        <v/>
      </c>
      <c r="AD245" s="599">
        <f>AB245-AC245</f>
        <v/>
      </c>
      <c r="AE245" s="598">
        <f>schedule13[[#This Row],[CTL Stock]]/schedule13[[#This Row],[SCHEDULE IN MT]]*schedule13[[#This Row],[SCHEDULE]]</f>
        <v/>
      </c>
      <c r="AF245" s="599">
        <f>SUMIFS(stock[MT],stock[Bucket],schedule13[[#This Row],[Bucket]],stock[CTL Bucket],schedule13[[#This Row],[CTL Bucket]])</f>
        <v/>
      </c>
      <c r="AG245" s="599">
        <f>SUMIFS(stock[MT],stock[Bucket],schedule13[[#This Row],[Bucket]])+SUMIFS(wip[Stock(Net Wt)],wip[Bucket],schedule13[[#This Row],[Bucket]])/1000</f>
        <v/>
      </c>
      <c r="AH245" s="599" t="n"/>
      <c r="AI245" s="118">
        <f>(AC245+AF245)/AB245</f>
        <v/>
      </c>
    </row>
    <row r="246" hidden="1" s="584">
      <c r="A246" s="594" t="n">
        <v>97</v>
      </c>
      <c r="B246" s="5" t="inlineStr">
        <is>
          <t>Hosur</t>
        </is>
      </c>
      <c r="C246" s="601" t="inlineStr">
        <is>
          <t>NMPL 1</t>
        </is>
      </c>
      <c r="D246" s="601" t="n"/>
      <c r="E246" s="601" t="inlineStr">
        <is>
          <t>189226|930794</t>
        </is>
      </c>
      <c r="F246" s="601" t="n">
        <v>2413708</v>
      </c>
      <c r="G246" s="601" t="inlineStr">
        <is>
          <t>TUB-O-N-AUT-AW-PE-22.23X2.000X0.8150</t>
        </is>
      </c>
      <c r="H246" s="601" t="inlineStr">
        <is>
          <t>ERW 1</t>
        </is>
      </c>
      <c r="I246" s="601" t="n"/>
      <c r="J246" s="601" t="inlineStr">
        <is>
          <t>PE</t>
        </is>
      </c>
      <c r="K246" s="601" t="inlineStr">
        <is>
          <t>HR</t>
        </is>
      </c>
      <c r="L246" s="601" t="n"/>
      <c r="M246" s="601" t="n"/>
      <c r="N246" s="601" t="n"/>
      <c r="O246" s="601" t="n"/>
      <c r="P246" s="557">
        <f>CONCATENATE(schedule13[[#This Row],[OD]],"-",schedule13[[#This Row],[ID]],"-",schedule13[[#This Row],[TICKNESS]],"-",schedule13[[#This Row],[GRADE]],"-",schedule13[[#This Row],[FC/NFC]])</f>
        <v/>
      </c>
      <c r="Q246" s="557">
        <f>_xlfn.CONCAT(schedule13[[#This Row],[Bucket]],"-",schedule13[[#This Row],[LENGTH]]/1000)</f>
        <v/>
      </c>
      <c r="R246" s="557">
        <f>COUNTIF(buckets[CTL Bucket],schedule13[[#This Row],[CTL Bucket]])</f>
        <v/>
      </c>
      <c r="S246" s="599" t="n">
        <v>22.23</v>
      </c>
      <c r="T246" s="599" t="n">
        <v>22.23</v>
      </c>
      <c r="U246" s="599" t="n">
        <v>0</v>
      </c>
      <c r="V246" s="599" t="n">
        <v>2</v>
      </c>
      <c r="W246" s="22" t="n">
        <v>815</v>
      </c>
      <c r="X246" s="22" t="inlineStr">
        <is>
          <t>NOS</t>
        </is>
      </c>
      <c r="Y246" s="601" t="n">
        <v>6000</v>
      </c>
      <c r="Z246" s="601" t="n"/>
      <c r="AA246" s="602">
        <f>Y246-Z246</f>
        <v/>
      </c>
      <c r="AB246" s="599">
        <f>(3.14*(schedule13[[#This Row],[ACTUAL OD]]-schedule13[[#This Row],[TICKNESS]])*schedule13[[#This Row],[TICKNESS]]*schedule13[[#This Row],[LENGTH]]*7.85)/1000000*schedule13[[#This Row],[SCHEDULE]]/1000</f>
        <v/>
      </c>
      <c r="AC246" s="599">
        <f>(S246-V246)*V246*W246*0.024653*Z246/1000000</f>
        <v/>
      </c>
      <c r="AD246" s="599">
        <f>AB246-AC246</f>
        <v/>
      </c>
      <c r="AE246" s="598">
        <f>schedule13[[#This Row],[CTL Stock]]/schedule13[[#This Row],[SCHEDULE IN MT]]*schedule13[[#This Row],[SCHEDULE]]</f>
        <v/>
      </c>
      <c r="AF246" s="599">
        <f>SUMIFS(stock[MT],stock[Bucket],schedule13[[#This Row],[Bucket]],stock[CTL Bucket],schedule13[[#This Row],[CTL Bucket]])</f>
        <v/>
      </c>
      <c r="AG246" s="599">
        <f>SUMIFS(stock[MT],stock[Bucket],schedule13[[#This Row],[Bucket]])+SUMIFS(wip[Stock(Net Wt)],wip[Bucket],schedule13[[#This Row],[Bucket]])/1000</f>
        <v/>
      </c>
      <c r="AH246" s="599">
        <f>AB245-AF246</f>
        <v/>
      </c>
      <c r="AI246" s="118">
        <f>(AC246+AF246)/AB246</f>
        <v/>
      </c>
    </row>
    <row r="247" hidden="1" s="584">
      <c r="A247" s="594" t="n">
        <v>98</v>
      </c>
      <c r="B247" s="5" t="inlineStr">
        <is>
          <t>Hosur</t>
        </is>
      </c>
      <c r="C247" s="601" t="inlineStr">
        <is>
          <t>NMPL 1</t>
        </is>
      </c>
      <c r="D247" s="601" t="n"/>
      <c r="E247" s="601" t="n">
        <v>189226</v>
      </c>
      <c r="F247" s="601" t="n">
        <v>3506579</v>
      </c>
      <c r="G247" s="601" t="inlineStr">
        <is>
          <t>CUT-O-N-AUT-AW-PE-22.20X2.300X0.430</t>
        </is>
      </c>
      <c r="H247" s="601" t="inlineStr">
        <is>
          <t>ERW 1</t>
        </is>
      </c>
      <c r="I247" s="601" t="n"/>
      <c r="J247" s="601" t="n"/>
      <c r="K247" s="601" t="inlineStr">
        <is>
          <t>HR</t>
        </is>
      </c>
      <c r="L247" s="601" t="n"/>
      <c r="M247" s="601" t="n"/>
      <c r="N247" s="601" t="n"/>
      <c r="O247" s="601" t="n"/>
      <c r="P247" s="557">
        <f>CONCATENATE(schedule13[[#This Row],[OD]],"-",schedule13[[#This Row],[ID]],"-",schedule13[[#This Row],[TICKNESS]],"-",schedule13[[#This Row],[GRADE]],"-",schedule13[[#This Row],[FC/NFC]])</f>
        <v/>
      </c>
      <c r="Q247" s="557" t="n"/>
      <c r="R247" s="557" t="n"/>
      <c r="S247" s="599" t="n">
        <v>22.23</v>
      </c>
      <c r="T247" s="599" t="n">
        <v>22.23</v>
      </c>
      <c r="U247" s="599" t="n">
        <v>0</v>
      </c>
      <c r="V247" s="599" t="n">
        <v>2.3</v>
      </c>
      <c r="W247" s="22" t="n">
        <v>430</v>
      </c>
      <c r="X247" s="22" t="n"/>
      <c r="Y247" s="601" t="n">
        <v>0</v>
      </c>
      <c r="Z247" s="601" t="n"/>
      <c r="AA247" s="602">
        <f>Y247-Z247</f>
        <v/>
      </c>
      <c r="AB247" s="599">
        <f>(S247-V247)*V247*W247*0.024653*Y247/1000000</f>
        <v/>
      </c>
      <c r="AC247" s="599">
        <f>(S247-V247)*V247*W247*0.024653*Z247/1000000</f>
        <v/>
      </c>
      <c r="AD247" s="599">
        <f>AB247-AC247</f>
        <v/>
      </c>
      <c r="AE247" s="599" t="n"/>
      <c r="AF247" s="599" t="n"/>
      <c r="AG247" s="599" t="n"/>
      <c r="AH247" s="599" t="n"/>
      <c r="AI247" s="118">
        <f>(AC247+AF247)/AB247</f>
        <v/>
      </c>
      <c r="AJ247" s="15" t="n">
        <v>9518489722</v>
      </c>
    </row>
    <row r="248" hidden="1" s="584">
      <c r="A248" s="594" t="n">
        <v>99</v>
      </c>
      <c r="B248" s="5" t="inlineStr">
        <is>
          <t>Hosur</t>
        </is>
      </c>
      <c r="C248" s="601" t="inlineStr">
        <is>
          <t>NMPL 1</t>
        </is>
      </c>
      <c r="D248" s="601" t="n"/>
      <c r="E248" s="601" t="inlineStr">
        <is>
          <t>189226|930794</t>
        </is>
      </c>
      <c r="F248" s="601" t="n">
        <v>1940538</v>
      </c>
      <c r="G248" s="601" t="inlineStr">
        <is>
          <t>TUB-O-O-AUT-AW-PE-25.40X1.200X0.8450</t>
        </is>
      </c>
      <c r="H248" s="601" t="inlineStr">
        <is>
          <t>ERW 1</t>
        </is>
      </c>
      <c r="I248" s="601" t="n"/>
      <c r="J248" s="601" t="inlineStr">
        <is>
          <t>PE</t>
        </is>
      </c>
      <c r="K248" s="601" t="inlineStr">
        <is>
          <t>CR</t>
        </is>
      </c>
      <c r="L248" s="601" t="n"/>
      <c r="M248" s="601" t="n"/>
      <c r="N248" s="601" t="inlineStr">
        <is>
          <t>AG</t>
        </is>
      </c>
      <c r="O248" s="601" t="n"/>
      <c r="P248" s="557">
        <f>CONCATENATE(schedule13[[#This Row],[OD]],"-",schedule13[[#This Row],[ID]],"-",schedule13[[#This Row],[TICKNESS]],"-",schedule13[[#This Row],[GRADE]],"-",schedule13[[#This Row],[FC/NFC]])</f>
        <v/>
      </c>
      <c r="Q248" s="557">
        <f>_xlfn.CONCAT(schedule13[[#This Row],[Bucket]],"-",schedule13[[#This Row],[LENGTH]]/1000)</f>
        <v/>
      </c>
      <c r="R248" s="557">
        <f>COUNTIF(buckets[CTL Bucket],schedule13[[#This Row],[CTL Bucket]])</f>
        <v/>
      </c>
      <c r="S248" s="599" t="n">
        <v>25.4</v>
      </c>
      <c r="T248" s="599" t="n">
        <v>25.4</v>
      </c>
      <c r="U248" s="599" t="n">
        <v>0</v>
      </c>
      <c r="V248" s="599" t="n">
        <v>1.2</v>
      </c>
      <c r="W248" s="22" t="n">
        <v>845</v>
      </c>
      <c r="X248" s="22" t="inlineStr">
        <is>
          <t>NOS</t>
        </is>
      </c>
      <c r="Y248" s="601" t="n">
        <v>11000</v>
      </c>
      <c r="Z248" s="601" t="n"/>
      <c r="AA248" s="602">
        <f>Y248-Z248</f>
        <v/>
      </c>
      <c r="AB248" s="599">
        <f>(3.14*(schedule13[[#This Row],[ACTUAL OD]]-schedule13[[#This Row],[TICKNESS]])*schedule13[[#This Row],[TICKNESS]]*schedule13[[#This Row],[LENGTH]]*7.85)/1000000*schedule13[[#This Row],[SCHEDULE]]/1000</f>
        <v/>
      </c>
      <c r="AC248" s="599">
        <f>(S248-V248)*V248*W248*0.024653*Z248/1000000</f>
        <v/>
      </c>
      <c r="AD248" s="599">
        <f>AB248-AC248</f>
        <v/>
      </c>
      <c r="AE248" s="598">
        <f>schedule13[[#This Row],[CTL Stock]]/schedule13[[#This Row],[SCHEDULE IN MT]]*schedule13[[#This Row],[SCHEDULE]]</f>
        <v/>
      </c>
      <c r="AF248" s="599">
        <f>SUMIFS(stock[MT],stock[Bucket],schedule13[[#This Row],[Bucket]],stock[CTL Bucket],schedule13[[#This Row],[CTL Bucket]])</f>
        <v/>
      </c>
      <c r="AG248" s="599">
        <f>SUMIFS(stock[MT],stock[Bucket],schedule13[[#This Row],[Bucket]])+SUMIFS(wip[Stock(Net Wt)],wip[Bucket],schedule13[[#This Row],[Bucket]])/1000</f>
        <v/>
      </c>
      <c r="AH248" s="599">
        <f>AB247-AF248</f>
        <v/>
      </c>
      <c r="AI248" s="118">
        <f>(AC248+AF248)/AB248</f>
        <v/>
      </c>
    </row>
    <row r="249" hidden="1" s="584">
      <c r="A249" s="594" t="n">
        <v>100</v>
      </c>
      <c r="B249" s="5" t="inlineStr">
        <is>
          <t>Hosur</t>
        </is>
      </c>
      <c r="C249" s="601" t="inlineStr">
        <is>
          <t>NMPL 1</t>
        </is>
      </c>
      <c r="D249" s="601" t="n"/>
      <c r="E249" s="601" t="n">
        <v>189226</v>
      </c>
      <c r="F249" s="601" t="n">
        <v>3727130</v>
      </c>
      <c r="G249" s="601" t="inlineStr">
        <is>
          <t>CUT-O-N-AUT-AW-PE-25.40X1.600X0.5120</t>
        </is>
      </c>
      <c r="H249" s="601" t="inlineStr">
        <is>
          <t>ERW 1</t>
        </is>
      </c>
      <c r="I249" s="601" t="n"/>
      <c r="J249" s="601" t="n"/>
      <c r="K249" s="601" t="inlineStr">
        <is>
          <t>HR</t>
        </is>
      </c>
      <c r="L249" s="601" t="n"/>
      <c r="M249" s="601" t="n"/>
      <c r="N249" s="601" t="n"/>
      <c r="O249" s="601" t="n"/>
      <c r="P249" s="557">
        <f>CONCATENATE(schedule13[[#This Row],[OD]],"-",schedule13[[#This Row],[ID]],"-",schedule13[[#This Row],[TICKNESS]],"-",schedule13[[#This Row],[GRADE]],"-",schedule13[[#This Row],[FC/NFC]])</f>
        <v/>
      </c>
      <c r="Q249" s="557" t="n"/>
      <c r="R249" s="557" t="n"/>
      <c r="S249" s="599" t="n">
        <v>25.4</v>
      </c>
      <c r="T249" s="599" t="n">
        <v>25.4</v>
      </c>
      <c r="U249" s="6" t="n">
        <v>0</v>
      </c>
      <c r="V249" s="599" t="n">
        <v>1.6</v>
      </c>
      <c r="W249" s="22" t="n">
        <v>512</v>
      </c>
      <c r="X249" s="22" t="n"/>
      <c r="Y249" s="601" t="n">
        <v>0</v>
      </c>
      <c r="Z249" s="598" t="n"/>
      <c r="AA249" s="602">
        <f>Y249-Z249</f>
        <v/>
      </c>
      <c r="AB249" s="599">
        <f>(S249-V249)*V249*W249*0.024653*Y249/1000000</f>
        <v/>
      </c>
      <c r="AC249" s="599">
        <f>(S249-V249)*V249*W249*0.024653*Z249/1000000</f>
        <v/>
      </c>
      <c r="AD249" s="599">
        <f>AB249-AC249</f>
        <v/>
      </c>
      <c r="AE249" s="599" t="n"/>
      <c r="AF249" s="599" t="n"/>
      <c r="AG249" s="599" t="n"/>
      <c r="AH249" s="599">
        <f>AB249-AF249</f>
        <v/>
      </c>
      <c r="AI249" s="118">
        <f>(AC249+AF249)/AB249</f>
        <v/>
      </c>
    </row>
    <row r="250" hidden="1" s="584">
      <c r="A250" s="594" t="n">
        <v>103</v>
      </c>
      <c r="B250" s="5" t="inlineStr">
        <is>
          <t xml:space="preserve">Khopoli </t>
        </is>
      </c>
      <c r="C250" s="601" t="inlineStr">
        <is>
          <t>NMPL 1</t>
        </is>
      </c>
      <c r="D250" s="601" t="n"/>
      <c r="E250" s="601" t="inlineStr">
        <is>
          <t>189226|930794</t>
        </is>
      </c>
      <c r="F250" s="601" t="n">
        <v>2410997</v>
      </c>
      <c r="G250" s="601" t="inlineStr">
        <is>
          <t>TUB-O-C-AUT-AD-FC-25.40X3.200X04-05</t>
        </is>
      </c>
      <c r="H250" s="601" t="inlineStr">
        <is>
          <t>CEW</t>
        </is>
      </c>
      <c r="I250" s="601" t="n"/>
      <c r="J250" s="601" t="inlineStr">
        <is>
          <t>CEW</t>
        </is>
      </c>
      <c r="K250" s="601" t="inlineStr">
        <is>
          <t>HR</t>
        </is>
      </c>
      <c r="L250" s="601" t="n"/>
      <c r="M250" s="601" t="n"/>
      <c r="N250" s="601" t="n"/>
      <c r="O250" s="601" t="n"/>
      <c r="P250" s="557">
        <f>CONCATENATE(schedule13[[#This Row],[OD]],"-",schedule13[[#This Row],[ID]],"-",schedule13[[#This Row],[TICKNESS]],"-",schedule13[[#This Row],[GRADE]],"-",schedule13[[#This Row],[FC/NFC]])</f>
        <v/>
      </c>
      <c r="Q250" s="557">
        <f>schedule13[[#This Row],[Bucket]]</f>
        <v/>
      </c>
      <c r="R250" s="557">
        <f>COUNTIF(buckets[CTL Bucket],schedule13[[#This Row],[CTL Bucket]])</f>
        <v/>
      </c>
      <c r="S250" s="599" t="n">
        <v>25.4</v>
      </c>
      <c r="T250" s="599" t="n">
        <v>25.4</v>
      </c>
      <c r="U250" s="6" t="n">
        <v>19</v>
      </c>
      <c r="V250" s="599" t="n">
        <v>3.2</v>
      </c>
      <c r="W250" s="22" t="n">
        <v>1000</v>
      </c>
      <c r="X250" s="22" t="inlineStr">
        <is>
          <t>M</t>
        </is>
      </c>
      <c r="Y250" s="601" t="n">
        <v>2000</v>
      </c>
      <c r="Z250" s="601" t="n"/>
      <c r="AA250" s="602">
        <f>Y250-Z250</f>
        <v/>
      </c>
      <c r="AB250" s="599">
        <f>(3.14*(schedule13[[#This Row],[ACTUAL OD]]-schedule13[[#This Row],[TICKNESS]])*schedule13[[#This Row],[TICKNESS]]*schedule13[[#This Row],[LENGTH]]*7.85)/1000000*schedule13[[#This Row],[SCHEDULE]]/1000</f>
        <v/>
      </c>
      <c r="AC250" s="599">
        <f>(S250-V250)*V250*W250*0.024653*Z250/1000000</f>
        <v/>
      </c>
      <c r="AD250" s="599">
        <f>AB250-AC250</f>
        <v/>
      </c>
      <c r="AE250" s="598">
        <f>schedule13[[#This Row],[CTL Stock]]/schedule13[[#This Row],[SCHEDULE IN MT]]*schedule13[[#This Row],[SCHEDULE]]</f>
        <v/>
      </c>
      <c r="AF250" s="599">
        <f>SUMIFS(stock[MT],stock[Bucket],schedule13[[#This Row],[Bucket]],stock[CTL Bucket],schedule13[[#This Row],[CTL Bucket]])</f>
        <v/>
      </c>
      <c r="AG250" s="599">
        <f>SUMIFS(stock[MT],stock[Bucket],schedule13[[#This Row],[Bucket]])+SUMIFS(wip[Stock(Net Wt)],wip[Bucket],schedule13[[#This Row],[Bucket]])/1000</f>
        <v/>
      </c>
      <c r="AH250" s="599">
        <f>AB249-AF250</f>
        <v/>
      </c>
      <c r="AI250" s="118">
        <f>(AC250+AF250)/AB250</f>
        <v/>
      </c>
    </row>
    <row r="251" hidden="1" s="584">
      <c r="A251" s="594" t="n">
        <v>104</v>
      </c>
      <c r="B251" s="5" t="inlineStr">
        <is>
          <t>Hosur</t>
        </is>
      </c>
      <c r="C251" s="601" t="inlineStr">
        <is>
          <t>NMPL 1</t>
        </is>
      </c>
      <c r="D251" s="601" t="n"/>
      <c r="E251" s="601" t="n">
        <v>189226</v>
      </c>
      <c r="F251" s="601" t="n">
        <v>237726</v>
      </c>
      <c r="G251" s="601" t="inlineStr">
        <is>
          <t>PT2-O-N-AUT-AW-FC-28.58X1.200X0.610</t>
        </is>
      </c>
      <c r="H251" s="601" t="n"/>
      <c r="I251" s="601" t="n"/>
      <c r="J251" s="601" t="n"/>
      <c r="K251" s="601" t="inlineStr">
        <is>
          <t>HR</t>
        </is>
      </c>
      <c r="L251" s="601" t="n"/>
      <c r="M251" s="601" t="n"/>
      <c r="N251" s="601" t="n"/>
      <c r="O251" s="601" t="n"/>
      <c r="P251" s="557">
        <f>CONCATENATE(schedule13[[#This Row],[OD]],"-",schedule13[[#This Row],[ID]],"-",schedule13[[#This Row],[TICKNESS]],"-",schedule13[[#This Row],[GRADE]],"-",schedule13[[#This Row],[FC/NFC]])</f>
        <v/>
      </c>
      <c r="Q251" s="557" t="n"/>
      <c r="R251" s="557" t="n"/>
      <c r="S251" s="599" t="n">
        <v>28.58</v>
      </c>
      <c r="T251" s="599" t="n">
        <v>28.58</v>
      </c>
      <c r="U251" s="599" t="n">
        <v>0</v>
      </c>
      <c r="V251" s="599" t="n">
        <v>1.2</v>
      </c>
      <c r="W251" s="22" t="n">
        <v>610</v>
      </c>
      <c r="X251" s="22" t="n"/>
      <c r="Y251" s="601" t="n">
        <v>0</v>
      </c>
      <c r="Z251" s="601" t="n"/>
      <c r="AA251" s="602">
        <f>Y251-Z251</f>
        <v/>
      </c>
      <c r="AB251" s="599">
        <f>(S251-V251)*V251*W251*0.024653*Y251/1000000</f>
        <v/>
      </c>
      <c r="AC251" s="599">
        <f>(S251-V251)*V251*W251*0.024653*Z251/1000000</f>
        <v/>
      </c>
      <c r="AD251" s="599">
        <f>AB251-AC251</f>
        <v/>
      </c>
      <c r="AE251" s="599" t="n"/>
      <c r="AF251" s="599" t="n"/>
      <c r="AG251" s="599" t="n"/>
      <c r="AH251" s="599">
        <f>AB250-AF251</f>
        <v/>
      </c>
      <c r="AI251" s="118">
        <f>(AC251+AF251)/AB251</f>
        <v/>
      </c>
    </row>
    <row r="252" hidden="1" s="584">
      <c r="A252" s="594" t="n">
        <v>106</v>
      </c>
      <c r="B252" s="5" t="inlineStr">
        <is>
          <t>Hosur</t>
        </is>
      </c>
      <c r="C252" s="601" t="inlineStr">
        <is>
          <t>NMPL 1</t>
        </is>
      </c>
      <c r="D252" s="601" t="n"/>
      <c r="E252" s="601" t="inlineStr">
        <is>
          <t>189226|930794</t>
        </is>
      </c>
      <c r="F252" s="601" t="n">
        <v>1940653</v>
      </c>
      <c r="G252" s="601" t="inlineStr">
        <is>
          <t>TUB-O-O-AUT-AW-PE-31.75X1.200X0.6700</t>
        </is>
      </c>
      <c r="H252" s="601" t="inlineStr">
        <is>
          <t>ERW 1</t>
        </is>
      </c>
      <c r="I252" s="601" t="n"/>
      <c r="J252" s="601" t="inlineStr">
        <is>
          <t>PE</t>
        </is>
      </c>
      <c r="K252" s="601" t="inlineStr">
        <is>
          <t>CR</t>
        </is>
      </c>
      <c r="L252" s="601" t="n"/>
      <c r="M252" s="601" t="n"/>
      <c r="N252" s="601" t="n"/>
      <c r="O252" s="601" t="n"/>
      <c r="P252" s="557">
        <f>CONCATENATE(schedule13[[#This Row],[OD]],"-",schedule13[[#This Row],[ID]],"-",schedule13[[#This Row],[TICKNESS]],"-",schedule13[[#This Row],[GRADE]],"-",schedule13[[#This Row],[FC/NFC]])</f>
        <v/>
      </c>
      <c r="Q252" s="557">
        <f>_xlfn.CONCAT(schedule13[[#This Row],[Bucket]],"-",schedule13[[#This Row],[LENGTH]]/1000)</f>
        <v/>
      </c>
      <c r="R252" s="557">
        <f>COUNTIF(buckets[CTL Bucket],schedule13[[#This Row],[CTL Bucket]])</f>
        <v/>
      </c>
      <c r="S252" s="599" t="n">
        <v>31.75</v>
      </c>
      <c r="T252" s="599" t="n">
        <v>31.75</v>
      </c>
      <c r="U252" s="599" t="n">
        <v>0</v>
      </c>
      <c r="V252" s="6" t="n">
        <v>1.2</v>
      </c>
      <c r="W252" s="22" t="n">
        <v>670</v>
      </c>
      <c r="X252" s="22" t="inlineStr">
        <is>
          <t>NOS</t>
        </is>
      </c>
      <c r="Y252" s="601" t="n">
        <v>11000</v>
      </c>
      <c r="Z252" s="601" t="n"/>
      <c r="AA252" s="602">
        <f>Y252-Z252</f>
        <v/>
      </c>
      <c r="AB252" s="599">
        <f>(3.14*(schedule13[[#This Row],[ACTUAL OD]]-schedule13[[#This Row],[TICKNESS]])*schedule13[[#This Row],[TICKNESS]]*schedule13[[#This Row],[LENGTH]]*7.85)/1000000*schedule13[[#This Row],[SCHEDULE]]/1000</f>
        <v/>
      </c>
      <c r="AC252" s="599">
        <f>(S252-V252)*V252*W252*0.024653*Z252/1000000</f>
        <v/>
      </c>
      <c r="AD252" s="599">
        <f>AB252-AC252</f>
        <v/>
      </c>
      <c r="AE252" s="598">
        <f>schedule13[[#This Row],[CTL Stock]]/schedule13[[#This Row],[SCHEDULE IN MT]]*schedule13[[#This Row],[SCHEDULE]]</f>
        <v/>
      </c>
      <c r="AF252" s="599">
        <f>SUMIFS(stock[MT],stock[Bucket],schedule13[[#This Row],[Bucket]],stock[CTL Bucket],schedule13[[#This Row],[CTL Bucket]])</f>
        <v/>
      </c>
      <c r="AG252" s="599">
        <f>SUMIFS(stock[MT],stock[Bucket],schedule13[[#This Row],[Bucket]])+SUMIFS(wip[Stock(Net Wt)],wip[Bucket],schedule13[[#This Row],[Bucket]])/1000</f>
        <v/>
      </c>
      <c r="AH252" s="599">
        <f>AB251-AF252</f>
        <v/>
      </c>
      <c r="AI252" s="118">
        <f>(AC252+AF252)/AB252</f>
        <v/>
      </c>
    </row>
    <row r="253" hidden="1" s="584">
      <c r="A253" s="594" t="n">
        <v>107</v>
      </c>
      <c r="B253" s="5" t="inlineStr">
        <is>
          <t>Hosur</t>
        </is>
      </c>
      <c r="C253" s="601" t="inlineStr">
        <is>
          <t>NMPL 1</t>
        </is>
      </c>
      <c r="D253" s="601" t="n"/>
      <c r="E253" s="601" t="n">
        <v>189226</v>
      </c>
      <c r="F253" s="601" t="n">
        <v>1940701</v>
      </c>
      <c r="G253" s="601" t="inlineStr">
        <is>
          <t>TUB-O-O-AUT-AW-FC-34.93X1.200X6.0000</t>
        </is>
      </c>
      <c r="H253" s="601" t="inlineStr">
        <is>
          <t>ERW 1</t>
        </is>
      </c>
      <c r="I253" s="601" t="n"/>
      <c r="J253" s="601" t="n"/>
      <c r="K253" s="601" t="inlineStr">
        <is>
          <t>HR</t>
        </is>
      </c>
      <c r="L253" s="601" t="n"/>
      <c r="M253" s="601" t="n"/>
      <c r="N253" s="601" t="n"/>
      <c r="O253" s="601" t="n"/>
      <c r="P253" s="557">
        <f>CONCATENATE(schedule13[[#This Row],[OD]],"-",schedule13[[#This Row],[ID]],"-",schedule13[[#This Row],[TICKNESS]],"-",schedule13[[#This Row],[GRADE]],"-",schedule13[[#This Row],[FC/NFC]])</f>
        <v/>
      </c>
      <c r="Q253" s="557" t="n"/>
      <c r="R253" s="557" t="n"/>
      <c r="S253" s="599" t="n">
        <v>34.93</v>
      </c>
      <c r="T253" s="599" t="n">
        <v>34.93</v>
      </c>
      <c r="U253" s="599" t="n">
        <v>0</v>
      </c>
      <c r="V253" s="599" t="n">
        <v>1.2</v>
      </c>
      <c r="W253" s="22" t="n">
        <v>6000</v>
      </c>
      <c r="X253" s="22" t="n"/>
      <c r="Y253" s="601" t="n">
        <v>0</v>
      </c>
      <c r="Z253" s="601" t="n"/>
      <c r="AA253" s="602">
        <f>Y253-Z253</f>
        <v/>
      </c>
      <c r="AB253" s="599">
        <f>(S253-V253)*V253*W253*0.024653*Y253/1000000</f>
        <v/>
      </c>
      <c r="AC253" s="599">
        <f>(S253-V253)*V253*W253*0.024653*Z253/1000000</f>
        <v/>
      </c>
      <c r="AD253" s="599">
        <f>AB253-AC253</f>
        <v/>
      </c>
      <c r="AE253" s="599" t="n"/>
      <c r="AF253" s="599" t="n"/>
      <c r="AG253" s="599" t="n"/>
      <c r="AH253" s="599">
        <f>AB252-AF253</f>
        <v/>
      </c>
      <c r="AI253" s="118">
        <f>(AC253+AF253)/AB253</f>
        <v/>
      </c>
    </row>
    <row r="254" hidden="1" s="584">
      <c r="A254" s="594" t="n">
        <v>108</v>
      </c>
      <c r="B254" s="5" t="inlineStr">
        <is>
          <t>JSR</t>
        </is>
      </c>
      <c r="C254" s="601" t="inlineStr">
        <is>
          <t>NMPL 1</t>
        </is>
      </c>
      <c r="D254" s="601" t="n"/>
      <c r="E254" s="601" t="inlineStr">
        <is>
          <t>189226|930794</t>
        </is>
      </c>
      <c r="F254" s="601" t="n">
        <v>238413</v>
      </c>
      <c r="G254" s="601" t="inlineStr">
        <is>
          <t>TUB-I-C-AUT-AD-PE-32.00X2.950X0.940</t>
        </is>
      </c>
      <c r="H254" s="601" t="inlineStr">
        <is>
          <t>CEW</t>
        </is>
      </c>
      <c r="I254" s="601" t="n"/>
      <c r="J254" s="601" t="inlineStr">
        <is>
          <t>CEW</t>
        </is>
      </c>
      <c r="K254" s="601" t="inlineStr">
        <is>
          <t>HR</t>
        </is>
      </c>
      <c r="L254" s="601" t="n"/>
      <c r="M254" s="601" t="n"/>
      <c r="N254" s="601" t="n"/>
      <c r="O254" s="601" t="n"/>
      <c r="P254" s="557">
        <f>CONCATENATE(schedule13[[#This Row],[OD]],"-",schedule13[[#This Row],[ID]],"-",schedule13[[#This Row],[TICKNESS]],"-",schedule13[[#This Row],[GRADE]],"-",schedule13[[#This Row],[FC/NFC]])</f>
        <v/>
      </c>
      <c r="Q254" s="557">
        <f>_xlfn.CONCAT(schedule13[[#This Row],[Bucket]],"-",schedule13[[#This Row],[LENGTH]]/1000)</f>
        <v/>
      </c>
      <c r="R254" s="557">
        <f>COUNTIF(buckets[CTL Bucket],schedule13[[#This Row],[CTL Bucket]])</f>
        <v/>
      </c>
      <c r="S254" s="599" t="n">
        <v>37.95</v>
      </c>
      <c r="T254" s="599" t="n">
        <v>37.95</v>
      </c>
      <c r="U254" s="6" t="n">
        <v>32</v>
      </c>
      <c r="V254" s="599" t="n">
        <v>2.95</v>
      </c>
      <c r="W254" s="22" t="n">
        <v>940</v>
      </c>
      <c r="X254" s="22" t="inlineStr">
        <is>
          <t>NOS</t>
        </is>
      </c>
      <c r="Y254" s="601" t="n">
        <v>1000</v>
      </c>
      <c r="Z254" s="601" t="n"/>
      <c r="AA254" s="602">
        <f>Y254-Z254</f>
        <v/>
      </c>
      <c r="AB254" s="599">
        <f>(3.14*(schedule13[[#This Row],[ACTUAL OD]]-schedule13[[#This Row],[TICKNESS]])*schedule13[[#This Row],[TICKNESS]]*schedule13[[#This Row],[LENGTH]]*7.85)/1000000*schedule13[[#This Row],[SCHEDULE]]/1000</f>
        <v/>
      </c>
      <c r="AC254" s="599">
        <f>(S254-V254)*V254*W254*0.024653*Z254/1000000</f>
        <v/>
      </c>
      <c r="AD254" s="599">
        <f>AB254-AC254</f>
        <v/>
      </c>
      <c r="AE254" s="598">
        <f>schedule13[[#This Row],[CTL Stock]]/schedule13[[#This Row],[SCHEDULE IN MT]]*schedule13[[#This Row],[SCHEDULE]]</f>
        <v/>
      </c>
      <c r="AF254" s="599">
        <f>SUMIFS(stock[MT],stock[Bucket],schedule13[[#This Row],[Bucket]],stock[CTL Bucket],schedule13[[#This Row],[CTL Bucket]])</f>
        <v/>
      </c>
      <c r="AG254" s="599">
        <f>SUMIFS(stock[MT],stock[Bucket],schedule13[[#This Row],[Bucket]])+SUMIFS(wip[Stock(Net Wt)],wip[Bucket],schedule13[[#This Row],[Bucket]])/1000</f>
        <v/>
      </c>
      <c r="AH254" s="599">
        <f>AB253-AF254</f>
        <v/>
      </c>
      <c r="AI254" s="118">
        <f>(AC254+AF254)/AB254</f>
        <v/>
      </c>
    </row>
    <row r="255" hidden="1" s="584">
      <c r="A255" s="594" t="n">
        <v>109</v>
      </c>
      <c r="B255" s="5" t="inlineStr">
        <is>
          <t>Hosur</t>
        </is>
      </c>
      <c r="C255" s="601" t="inlineStr">
        <is>
          <t>NMPL 1</t>
        </is>
      </c>
      <c r="D255" s="601" t="n"/>
      <c r="E255" s="601" t="inlineStr">
        <is>
          <t>189226|930794</t>
        </is>
      </c>
      <c r="F255" s="601" t="n">
        <v>1940730</v>
      </c>
      <c r="G255" s="601" t="inlineStr">
        <is>
          <t>PT3-O-N-AUT-AW-PE-38.10X1.600X0.488</t>
        </is>
      </c>
      <c r="H255" s="601" t="inlineStr">
        <is>
          <t>ERW 1</t>
        </is>
      </c>
      <c r="I255" s="601" t="n"/>
      <c r="J255" s="601" t="inlineStr">
        <is>
          <t>FC</t>
        </is>
      </c>
      <c r="K255" s="601" t="inlineStr">
        <is>
          <t>HR</t>
        </is>
      </c>
      <c r="L255" s="601" t="n"/>
      <c r="M255" s="601" t="n"/>
      <c r="N255" s="601" t="n"/>
      <c r="O255" s="601" t="n"/>
      <c r="P255" s="557">
        <f>CONCATENATE(schedule13[[#This Row],[OD]],"-",schedule13[[#This Row],[ID]],"-",schedule13[[#This Row],[TICKNESS]],"-",schedule13[[#This Row],[GRADE]],"-",schedule13[[#This Row],[FC/NFC]])</f>
        <v/>
      </c>
      <c r="Q255" s="557">
        <f>_xlfn.CONCAT(schedule13[[#This Row],[Bucket]],"-",schedule13[[#This Row],[LENGTH]]/1000)</f>
        <v/>
      </c>
      <c r="R255" s="557">
        <f>COUNTIF(buckets[CTL Bucket],schedule13[[#This Row],[CTL Bucket]])</f>
        <v/>
      </c>
      <c r="S255" s="599" t="n">
        <v>38.1</v>
      </c>
      <c r="T255" s="599" t="n">
        <v>38.1</v>
      </c>
      <c r="U255" s="599" t="n">
        <v>0</v>
      </c>
      <c r="V255" s="599" t="n">
        <v>1.6</v>
      </c>
      <c r="W255" s="22" t="n">
        <v>488</v>
      </c>
      <c r="X255" s="22" t="inlineStr">
        <is>
          <t>NOS</t>
        </is>
      </c>
      <c r="Y255" s="601" t="n">
        <v>1000</v>
      </c>
      <c r="Z255" s="601" t="n"/>
      <c r="AA255" s="602">
        <f>Y255-Z255</f>
        <v/>
      </c>
      <c r="AB255" s="599">
        <f>(3.14*(schedule13[[#This Row],[ACTUAL OD]]-schedule13[[#This Row],[TICKNESS]])*schedule13[[#This Row],[TICKNESS]]*schedule13[[#This Row],[LENGTH]]*7.85)/1000000*schedule13[[#This Row],[SCHEDULE]]/1000</f>
        <v/>
      </c>
      <c r="AC255" s="599">
        <f>(S255-V255)*V255*W255*0.024653*Z255/1000000</f>
        <v/>
      </c>
      <c r="AD255" s="599">
        <f>AB255-AC255</f>
        <v/>
      </c>
      <c r="AE255" s="598">
        <f>schedule13[[#This Row],[CTL Stock]]/schedule13[[#This Row],[SCHEDULE IN MT]]*schedule13[[#This Row],[SCHEDULE]]</f>
        <v/>
      </c>
      <c r="AF255" s="599">
        <f>SUMIFS(stock[MT],stock[Bucket],schedule13[[#This Row],[Bucket]],stock[CTL Bucket],schedule13[[#This Row],[CTL Bucket]])</f>
        <v/>
      </c>
      <c r="AG255" s="599">
        <f>SUMIFS(stock[MT],stock[Bucket],schedule13[[#This Row],[Bucket]])+SUMIFS(wip[Stock(Net Wt)],wip[Bucket],schedule13[[#This Row],[Bucket]])/1000</f>
        <v/>
      </c>
      <c r="AH255" s="599">
        <f>AB254-AF255</f>
        <v/>
      </c>
      <c r="AI255" s="118">
        <f>(AC255+AF255)/AB255</f>
        <v/>
      </c>
    </row>
    <row r="256" hidden="1" s="584">
      <c r="A256" s="594" t="n">
        <v>111</v>
      </c>
      <c r="B256" s="5" t="inlineStr">
        <is>
          <t>Hosur</t>
        </is>
      </c>
      <c r="C256" s="601" t="inlineStr">
        <is>
          <t>NMPL 1</t>
        </is>
      </c>
      <c r="D256" s="601" t="n"/>
      <c r="E256" s="601" t="inlineStr">
        <is>
          <t>189226|930794</t>
        </is>
      </c>
      <c r="F256" s="601" t="n">
        <v>1940731</v>
      </c>
      <c r="G256" s="601" t="inlineStr">
        <is>
          <t>TUB-O-O-AUT-AW-FC-38.10X1.600X0.8120</t>
        </is>
      </c>
      <c r="H256" s="601" t="inlineStr">
        <is>
          <t>ERW 1</t>
        </is>
      </c>
      <c r="I256" s="601" t="n"/>
      <c r="J256" s="601" t="inlineStr">
        <is>
          <t>FC</t>
        </is>
      </c>
      <c r="K256" s="601" t="inlineStr">
        <is>
          <t>HR</t>
        </is>
      </c>
      <c r="L256" s="601" t="inlineStr">
        <is>
          <t>GR1</t>
        </is>
      </c>
      <c r="M256" s="601" t="n"/>
      <c r="N256" s="601" t="n"/>
      <c r="O256" s="601" t="n"/>
      <c r="P256" s="557">
        <f>CONCATENATE(schedule13[[#This Row],[OD]],"-",schedule13[[#This Row],[ID]],"-",schedule13[[#This Row],[TICKNESS]],"-",schedule13[[#This Row],[GRADE]],"-",schedule13[[#This Row],[FC/NFC]])</f>
        <v/>
      </c>
      <c r="Q256" s="557">
        <f>_xlfn.CONCAT(schedule13[[#This Row],[Bucket]],"-",schedule13[[#This Row],[LENGTH]]/1000)</f>
        <v/>
      </c>
      <c r="R256" s="557">
        <f>COUNTIF(buckets[CTL Bucket],schedule13[[#This Row],[CTL Bucket]])</f>
        <v/>
      </c>
      <c r="S256" s="599" t="n">
        <v>38.1</v>
      </c>
      <c r="T256" s="599" t="n">
        <v>38.1</v>
      </c>
      <c r="U256" s="6" t="n">
        <v>0</v>
      </c>
      <c r="V256" s="599" t="n">
        <v>1.6</v>
      </c>
      <c r="W256" s="22" t="n">
        <v>812</v>
      </c>
      <c r="X256" s="22" t="inlineStr">
        <is>
          <t>NOS</t>
        </is>
      </c>
      <c r="Y256" s="601" t="n">
        <v>2000</v>
      </c>
      <c r="Z256" s="601" t="n"/>
      <c r="AA256" s="602">
        <f>Y256-Z256</f>
        <v/>
      </c>
      <c r="AB256" s="599">
        <f>(3.14*(schedule13[[#This Row],[ACTUAL OD]]-schedule13[[#This Row],[TICKNESS]])*schedule13[[#This Row],[TICKNESS]]*schedule13[[#This Row],[LENGTH]]*7.85)/1000000*schedule13[[#This Row],[SCHEDULE]]/1000</f>
        <v/>
      </c>
      <c r="AC256" s="599">
        <f>(S256-V256)*V256*W256*0.024653*Z256/1000000</f>
        <v/>
      </c>
      <c r="AD256" s="599">
        <f>AB256-AC256</f>
        <v/>
      </c>
      <c r="AE256" s="598">
        <f>schedule13[[#This Row],[CTL Stock]]/schedule13[[#This Row],[SCHEDULE IN MT]]*schedule13[[#This Row],[SCHEDULE]]</f>
        <v/>
      </c>
      <c r="AF256" s="599">
        <f>SUMIFS(stock[MT],stock[Bucket],schedule13[[#This Row],[Bucket]],stock[CTL Bucket],schedule13[[#This Row],[CTL Bucket]])</f>
        <v/>
      </c>
      <c r="AG256" s="599">
        <f>SUMIFS(stock[MT],stock[Bucket],schedule13[[#This Row],[Bucket]])+SUMIFS(wip[Stock(Net Wt)],wip[Bucket],schedule13[[#This Row],[Bucket]])/1000</f>
        <v/>
      </c>
      <c r="AH256" s="599">
        <f>AB255-AF256</f>
        <v/>
      </c>
      <c r="AI256" s="118">
        <f>(AC256+AF256)/AB256</f>
        <v/>
      </c>
    </row>
    <row r="257" hidden="1" s="584">
      <c r="A257" s="594" t="n">
        <v>112</v>
      </c>
      <c r="B257" s="5" t="inlineStr">
        <is>
          <t>Hosur</t>
        </is>
      </c>
      <c r="C257" s="601" t="inlineStr">
        <is>
          <t>NMPL 1</t>
        </is>
      </c>
      <c r="D257" s="601" t="n"/>
      <c r="E257" s="601" t="inlineStr">
        <is>
          <t>189226|930794</t>
        </is>
      </c>
      <c r="F257" s="601" t="n">
        <v>3507790</v>
      </c>
      <c r="G257" s="601" t="inlineStr">
        <is>
          <t>CUT-O-N-AUT-AW-FC-38.10X1.600X0.8150</t>
        </is>
      </c>
      <c r="H257" s="601" t="inlineStr">
        <is>
          <t>ERW 1</t>
        </is>
      </c>
      <c r="I257" s="601" t="n"/>
      <c r="J257" s="601" t="inlineStr">
        <is>
          <t>FC</t>
        </is>
      </c>
      <c r="K257" s="601" t="inlineStr">
        <is>
          <t>HR</t>
        </is>
      </c>
      <c r="L257" s="601" t="n"/>
      <c r="M257" s="601" t="n"/>
      <c r="N257" s="601" t="n"/>
      <c r="O257" s="601" t="n"/>
      <c r="P257" s="557">
        <f>CONCATENATE(schedule13[[#This Row],[OD]],"-",schedule13[[#This Row],[ID]],"-",schedule13[[#This Row],[TICKNESS]],"-",schedule13[[#This Row],[GRADE]],"-",schedule13[[#This Row],[FC/NFC]])</f>
        <v/>
      </c>
      <c r="Q257" s="557">
        <f>_xlfn.CONCAT(schedule13[[#This Row],[Bucket]],"-",schedule13[[#This Row],[LENGTH]]/1000)</f>
        <v/>
      </c>
      <c r="R257" s="557">
        <f>COUNTIF(buckets[CTL Bucket],schedule13[[#This Row],[CTL Bucket]])</f>
        <v/>
      </c>
      <c r="S257" s="599" t="n">
        <v>38.1</v>
      </c>
      <c r="T257" s="599" t="n">
        <v>38.1</v>
      </c>
      <c r="U257" s="599" t="n">
        <v>0</v>
      </c>
      <c r="V257" s="599" t="n">
        <v>1.6</v>
      </c>
      <c r="W257" s="22" t="n">
        <v>815</v>
      </c>
      <c r="X257" s="22" t="inlineStr">
        <is>
          <t>NOS</t>
        </is>
      </c>
      <c r="Y257" s="601" t="n">
        <v>500</v>
      </c>
      <c r="Z257" s="601" t="n"/>
      <c r="AA257" s="602">
        <f>Y257-Z257</f>
        <v/>
      </c>
      <c r="AB257" s="599">
        <f>(3.14*(schedule13[[#This Row],[ACTUAL OD]]-schedule13[[#This Row],[TICKNESS]])*schedule13[[#This Row],[TICKNESS]]*schedule13[[#This Row],[LENGTH]]*7.85)/1000000*schedule13[[#This Row],[SCHEDULE]]/1000</f>
        <v/>
      </c>
      <c r="AC257" s="599">
        <f>(S257-V257)*V257*W257*0.024653*Z257/1000000</f>
        <v/>
      </c>
      <c r="AD257" s="599">
        <f>AB257-AC257</f>
        <v/>
      </c>
      <c r="AE257" s="598">
        <f>schedule13[[#This Row],[CTL Stock]]/schedule13[[#This Row],[SCHEDULE IN MT]]*schedule13[[#This Row],[SCHEDULE]]</f>
        <v/>
      </c>
      <c r="AF257" s="599">
        <f>SUMIFS(stock[MT],stock[Bucket],schedule13[[#This Row],[Bucket]],stock[CTL Bucket],schedule13[[#This Row],[CTL Bucket]])</f>
        <v/>
      </c>
      <c r="AG257" s="599">
        <f>SUMIFS(stock[MT],stock[Bucket],schedule13[[#This Row],[Bucket]])+SUMIFS(wip[Stock(Net Wt)],wip[Bucket],schedule13[[#This Row],[Bucket]])/1000</f>
        <v/>
      </c>
      <c r="AH257" s="599">
        <f>AB256-AF257</f>
        <v/>
      </c>
      <c r="AI257" s="118">
        <f>(AC257+AF257)/AB257</f>
        <v/>
      </c>
    </row>
    <row r="258" hidden="1" s="584">
      <c r="A258" s="594" t="n">
        <v>113</v>
      </c>
      <c r="B258" s="5" t="inlineStr">
        <is>
          <t>Hosur</t>
        </is>
      </c>
      <c r="C258" s="601" t="inlineStr">
        <is>
          <t>NMPL 1</t>
        </is>
      </c>
      <c r="D258" s="601" t="n"/>
      <c r="E258" s="601" t="n">
        <v>189226</v>
      </c>
      <c r="F258" s="601" t="n">
        <v>1194658</v>
      </c>
      <c r="G258" s="601" t="inlineStr">
        <is>
          <t>TUB-O-N-AUT-AW-FC-38.10X1.600X0.970</t>
        </is>
      </c>
      <c r="H258" s="601" t="inlineStr">
        <is>
          <t>ERW 1</t>
        </is>
      </c>
      <c r="I258" s="601" t="n"/>
      <c r="J258" s="601" t="n"/>
      <c r="K258" s="601" t="inlineStr">
        <is>
          <t>HR</t>
        </is>
      </c>
      <c r="L258" s="601" t="n"/>
      <c r="M258" s="601" t="n"/>
      <c r="N258" s="601" t="n"/>
      <c r="O258" s="601" t="n"/>
      <c r="P258" s="557">
        <f>CONCATENATE(schedule13[[#This Row],[OD]],"-",schedule13[[#This Row],[ID]],"-",schedule13[[#This Row],[TICKNESS]],"-",schedule13[[#This Row],[GRADE]],"-",schedule13[[#This Row],[FC/NFC]])</f>
        <v/>
      </c>
      <c r="Q258" s="557" t="n"/>
      <c r="R258" s="557" t="n"/>
      <c r="S258" s="599" t="n">
        <v>38.1</v>
      </c>
      <c r="T258" s="599" t="n">
        <v>38.1</v>
      </c>
      <c r="U258" s="599" t="n">
        <v>0</v>
      </c>
      <c r="V258" s="599" t="n">
        <v>1.6</v>
      </c>
      <c r="W258" s="22" t="n">
        <v>970</v>
      </c>
      <c r="X258" s="22" t="n"/>
      <c r="Y258" s="601" t="n">
        <v>0</v>
      </c>
      <c r="Z258" s="601" t="n"/>
      <c r="AA258" s="602">
        <f>Y258-Z258</f>
        <v/>
      </c>
      <c r="AB258" s="599">
        <f>(S258-V258)*V258*W258*0.024653*Y258/1000000</f>
        <v/>
      </c>
      <c r="AC258" s="599">
        <f>(S258-V258)*V258*W258*0.024653*Z258/1000000</f>
        <v/>
      </c>
      <c r="AD258" s="599">
        <f>AB258-AC258</f>
        <v/>
      </c>
      <c r="AE258" s="599" t="n"/>
      <c r="AF258" s="599" t="n"/>
      <c r="AG258" s="599" t="n"/>
      <c r="AH258" s="599">
        <f>AB257-AF258</f>
        <v/>
      </c>
      <c r="AI258" s="118">
        <f>(AC258+AF258)/AB258</f>
        <v/>
      </c>
    </row>
    <row r="259" hidden="1" s="584">
      <c r="A259" s="594" t="n">
        <v>115</v>
      </c>
      <c r="B259" s="5" t="inlineStr">
        <is>
          <t>Hosur</t>
        </is>
      </c>
      <c r="C259" s="601" t="inlineStr">
        <is>
          <t>NMPL 1</t>
        </is>
      </c>
      <c r="D259" s="601" t="n"/>
      <c r="E259" s="601" t="inlineStr">
        <is>
          <t>189226|930794</t>
        </is>
      </c>
      <c r="F259" s="601" t="n">
        <v>1940738</v>
      </c>
      <c r="G259" s="601" t="inlineStr">
        <is>
          <t>TUB-O-O-AUT-AW-FC-38.10X2.000X0.4250</t>
        </is>
      </c>
      <c r="H259" s="601" t="inlineStr">
        <is>
          <t>ERW 1</t>
        </is>
      </c>
      <c r="I259" s="601" t="n"/>
      <c r="J259" s="601" t="inlineStr">
        <is>
          <t>FC</t>
        </is>
      </c>
      <c r="K259" s="601" t="inlineStr">
        <is>
          <t>HR</t>
        </is>
      </c>
      <c r="L259" s="601" t="n"/>
      <c r="M259" s="601" t="n"/>
      <c r="N259" s="601" t="n"/>
      <c r="O259" s="601" t="n"/>
      <c r="P259" s="557">
        <f>CONCATENATE(schedule13[[#This Row],[OD]],"-",schedule13[[#This Row],[ID]],"-",schedule13[[#This Row],[TICKNESS]],"-",schedule13[[#This Row],[GRADE]],"-",schedule13[[#This Row],[FC/NFC]])</f>
        <v/>
      </c>
      <c r="Q259" s="557">
        <f>_xlfn.CONCAT(schedule13[[#This Row],[Bucket]],"-",schedule13[[#This Row],[LENGTH]]/1000)</f>
        <v/>
      </c>
      <c r="R259" s="557">
        <f>COUNTIF(buckets[CTL Bucket],schedule13[[#This Row],[CTL Bucket]])</f>
        <v/>
      </c>
      <c r="S259" s="599" t="n">
        <v>38.1</v>
      </c>
      <c r="T259" s="599" t="n">
        <v>38.1</v>
      </c>
      <c r="U259" s="599" t="n">
        <v>0</v>
      </c>
      <c r="V259" s="599" t="n">
        <v>2</v>
      </c>
      <c r="W259" s="22" t="n">
        <v>425</v>
      </c>
      <c r="X259" s="22" t="inlineStr">
        <is>
          <t>NOS</t>
        </is>
      </c>
      <c r="Y259" s="601" t="n">
        <v>6000</v>
      </c>
      <c r="Z259" s="601" t="n"/>
      <c r="AA259" s="602">
        <f>Y259-Z259</f>
        <v/>
      </c>
      <c r="AB259" s="599">
        <f>(3.14*(schedule13[[#This Row],[ACTUAL OD]]-schedule13[[#This Row],[TICKNESS]])*schedule13[[#This Row],[TICKNESS]]*schedule13[[#This Row],[LENGTH]]*7.85)/1000000*schedule13[[#This Row],[SCHEDULE]]/1000</f>
        <v/>
      </c>
      <c r="AC259" s="599">
        <f>(S259-V259)*V259*W259*0.024653*Z259/1000000</f>
        <v/>
      </c>
      <c r="AD259" s="599">
        <f>AB259-AC259</f>
        <v/>
      </c>
      <c r="AE259" s="598">
        <f>schedule13[[#This Row],[CTL Stock]]/schedule13[[#This Row],[SCHEDULE IN MT]]*schedule13[[#This Row],[SCHEDULE]]</f>
        <v/>
      </c>
      <c r="AF259" s="599">
        <f>SUMIFS(stock[MT],stock[Bucket],schedule13[[#This Row],[Bucket]],stock[CTL Bucket],schedule13[[#This Row],[CTL Bucket]])</f>
        <v/>
      </c>
      <c r="AG259" s="599">
        <f>SUMIFS(stock[MT],stock[Bucket],schedule13[[#This Row],[Bucket]])+SUMIFS(wip[Stock(Net Wt)],wip[Bucket],schedule13[[#This Row],[Bucket]])/1000</f>
        <v/>
      </c>
      <c r="AH259" s="599">
        <f>AB258-AF259</f>
        <v/>
      </c>
      <c r="AI259" s="118">
        <f>(AC259+AF259)/AB259</f>
        <v/>
      </c>
    </row>
    <row r="260" hidden="1" s="584">
      <c r="A260" s="594" t="n">
        <v>116</v>
      </c>
      <c r="B260" s="5" t="inlineStr">
        <is>
          <t>Hosur</t>
        </is>
      </c>
      <c r="C260" s="601" t="inlineStr">
        <is>
          <t>NMPL 1</t>
        </is>
      </c>
      <c r="D260" s="601" t="n"/>
      <c r="E260" s="601" t="inlineStr">
        <is>
          <t>189226|930794</t>
        </is>
      </c>
      <c r="F260" s="601" t="n">
        <v>1940739</v>
      </c>
      <c r="G260" s="601" t="inlineStr">
        <is>
          <t>TUB-O-O-AUT-AW-FC-38.10X2.000X0.4880</t>
        </is>
      </c>
      <c r="H260" s="601" t="inlineStr">
        <is>
          <t>ERW 1</t>
        </is>
      </c>
      <c r="I260" s="601" t="n"/>
      <c r="J260" s="601" t="inlineStr">
        <is>
          <t>FC</t>
        </is>
      </c>
      <c r="K260" s="601" t="inlineStr">
        <is>
          <t>HR</t>
        </is>
      </c>
      <c r="L260" s="601" t="n"/>
      <c r="M260" s="601" t="n"/>
      <c r="N260" s="601" t="n"/>
      <c r="O260" s="601" t="n"/>
      <c r="P260" s="557">
        <f>CONCATENATE(schedule13[[#This Row],[OD]],"-",schedule13[[#This Row],[ID]],"-",schedule13[[#This Row],[TICKNESS]],"-",schedule13[[#This Row],[GRADE]],"-",schedule13[[#This Row],[FC/NFC]])</f>
        <v/>
      </c>
      <c r="Q260" s="557">
        <f>_xlfn.CONCAT(schedule13[[#This Row],[Bucket]],"-",schedule13[[#This Row],[LENGTH]]/1000)</f>
        <v/>
      </c>
      <c r="R260" s="557">
        <f>COUNTIF(buckets[CTL Bucket],schedule13[[#This Row],[CTL Bucket]])</f>
        <v/>
      </c>
      <c r="S260" s="599" t="n">
        <v>38.1</v>
      </c>
      <c r="T260" s="599" t="n">
        <v>38.1</v>
      </c>
      <c r="U260" s="599" t="n">
        <v>0</v>
      </c>
      <c r="V260" s="599" t="n">
        <v>2</v>
      </c>
      <c r="W260" s="22" t="n">
        <v>488</v>
      </c>
      <c r="X260" s="22" t="inlineStr">
        <is>
          <t>NOS</t>
        </is>
      </c>
      <c r="Y260" s="601" t="n">
        <v>3000</v>
      </c>
      <c r="Z260" s="601" t="n"/>
      <c r="AA260" s="602">
        <f>Y260-Z260</f>
        <v/>
      </c>
      <c r="AB260" s="599">
        <f>(3.14*(schedule13[[#This Row],[ACTUAL OD]]-schedule13[[#This Row],[TICKNESS]])*schedule13[[#This Row],[TICKNESS]]*schedule13[[#This Row],[LENGTH]]*7.85)/1000000*schedule13[[#This Row],[SCHEDULE]]/1000</f>
        <v/>
      </c>
      <c r="AC260" s="599">
        <f>(S260-V260)*V260*W260*0.024653*Z260/1000000</f>
        <v/>
      </c>
      <c r="AD260" s="599">
        <f>AB260-AC260</f>
        <v/>
      </c>
      <c r="AE260" s="598">
        <f>schedule13[[#This Row],[CTL Stock]]/schedule13[[#This Row],[SCHEDULE IN MT]]*schedule13[[#This Row],[SCHEDULE]]</f>
        <v/>
      </c>
      <c r="AF260" s="599">
        <f>SUMIFS(stock[MT],stock[Bucket],schedule13[[#This Row],[Bucket]],stock[CTL Bucket],schedule13[[#This Row],[CTL Bucket]])</f>
        <v/>
      </c>
      <c r="AG260" s="599">
        <f>SUMIFS(stock[MT],stock[Bucket],schedule13[[#This Row],[Bucket]])+SUMIFS(wip[Stock(Net Wt)],wip[Bucket],schedule13[[#This Row],[Bucket]])/1000</f>
        <v/>
      </c>
      <c r="AH260" s="599">
        <f>AB259-AF260</f>
        <v/>
      </c>
      <c r="AI260" s="118">
        <f>(AC260+AF260)/AB260</f>
        <v/>
      </c>
    </row>
    <row r="261" hidden="1" s="584">
      <c r="A261" s="594" t="n">
        <v>118</v>
      </c>
      <c r="B261" s="5" t="inlineStr">
        <is>
          <t>Hosur</t>
        </is>
      </c>
      <c r="C261" s="601" t="inlineStr">
        <is>
          <t>NMPL 1</t>
        </is>
      </c>
      <c r="D261" s="601" t="n"/>
      <c r="E261" s="601" t="inlineStr">
        <is>
          <t>189226|930794</t>
        </is>
      </c>
      <c r="F261" s="601" t="n">
        <v>1940743</v>
      </c>
      <c r="G261" s="601" t="inlineStr">
        <is>
          <t>TUB-O-O-AUT-AW-FC-38.10X2.000X0.8120</t>
        </is>
      </c>
      <c r="H261" s="601" t="inlineStr">
        <is>
          <t>ERW 1</t>
        </is>
      </c>
      <c r="I261" s="601" t="n"/>
      <c r="J261" s="601" t="inlineStr">
        <is>
          <t>FC</t>
        </is>
      </c>
      <c r="K261" s="601" t="inlineStr">
        <is>
          <t>HR</t>
        </is>
      </c>
      <c r="L261" s="601" t="n"/>
      <c r="M261" s="601" t="n"/>
      <c r="N261" s="601" t="n"/>
      <c r="O261" s="601" t="n"/>
      <c r="P261" s="557">
        <f>CONCATENATE(schedule13[[#This Row],[OD]],"-",schedule13[[#This Row],[ID]],"-",schedule13[[#This Row],[TICKNESS]],"-",schedule13[[#This Row],[GRADE]],"-",schedule13[[#This Row],[FC/NFC]])</f>
        <v/>
      </c>
      <c r="Q261" s="557">
        <f>_xlfn.CONCAT(schedule13[[#This Row],[Bucket]],"-",schedule13[[#This Row],[LENGTH]]/1000)</f>
        <v/>
      </c>
      <c r="R261" s="557">
        <f>COUNTIF(buckets[CTL Bucket],schedule13[[#This Row],[CTL Bucket]])</f>
        <v/>
      </c>
      <c r="S261" s="599" t="n">
        <v>38.1</v>
      </c>
      <c r="T261" s="599" t="n">
        <v>38.1</v>
      </c>
      <c r="U261" s="6" t="n">
        <v>0</v>
      </c>
      <c r="V261" s="599" t="n">
        <v>2</v>
      </c>
      <c r="W261" s="22" t="n">
        <v>812</v>
      </c>
      <c r="X261" s="22" t="inlineStr">
        <is>
          <t>NOS</t>
        </is>
      </c>
      <c r="Y261" s="601" t="n">
        <v>8000</v>
      </c>
      <c r="Z261" s="601" t="n"/>
      <c r="AA261" s="602">
        <f>Y261-Z261</f>
        <v/>
      </c>
      <c r="AB261" s="599">
        <f>(3.14*(schedule13[[#This Row],[ACTUAL OD]]-schedule13[[#This Row],[TICKNESS]])*schedule13[[#This Row],[TICKNESS]]*schedule13[[#This Row],[LENGTH]]*7.85)/1000000*schedule13[[#This Row],[SCHEDULE]]/1000</f>
        <v/>
      </c>
      <c r="AC261" s="599">
        <f>(S261-V261)*V261*W261*0.024653*Z261/1000000</f>
        <v/>
      </c>
      <c r="AD261" s="599">
        <f>AB261-AC261</f>
        <v/>
      </c>
      <c r="AE261" s="598">
        <f>schedule13[[#This Row],[CTL Stock]]/schedule13[[#This Row],[SCHEDULE IN MT]]*schedule13[[#This Row],[SCHEDULE]]</f>
        <v/>
      </c>
      <c r="AF261" s="599">
        <f>SUMIFS(stock[MT],stock[Bucket],schedule13[[#This Row],[Bucket]],stock[CTL Bucket],schedule13[[#This Row],[CTL Bucket]])</f>
        <v/>
      </c>
      <c r="AG261" s="599">
        <f>SUMIFS(stock[MT],stock[Bucket],schedule13[[#This Row],[Bucket]])+SUMIFS(wip[Stock(Net Wt)],wip[Bucket],schedule13[[#This Row],[Bucket]])/1000</f>
        <v/>
      </c>
      <c r="AH261" s="599">
        <f>AB260-AF261</f>
        <v/>
      </c>
      <c r="AI261" s="118">
        <f>(AC261+AF261)/AB261</f>
        <v/>
      </c>
    </row>
    <row r="262" hidden="1" s="584">
      <c r="A262" s="594" t="n">
        <v>119</v>
      </c>
      <c r="B262" s="5" t="inlineStr">
        <is>
          <t>Hosur</t>
        </is>
      </c>
      <c r="C262" s="601" t="inlineStr">
        <is>
          <t>NMPL 1</t>
        </is>
      </c>
      <c r="D262" s="601" t="n"/>
      <c r="E262" s="601" t="n">
        <v>189226</v>
      </c>
      <c r="F262" s="601" t="n">
        <v>3539418</v>
      </c>
      <c r="G262" s="601" t="inlineStr">
        <is>
          <t>TUB-O-N-AUT-AW-PE-41.28X2.900X0.4200</t>
        </is>
      </c>
      <c r="H262" s="601" t="n"/>
      <c r="I262" s="601" t="n"/>
      <c r="J262" s="601" t="n"/>
      <c r="K262" s="601" t="inlineStr">
        <is>
          <t>HR</t>
        </is>
      </c>
      <c r="L262" s="601" t="n"/>
      <c r="M262" s="601" t="n"/>
      <c r="N262" s="601" t="n"/>
      <c r="O262" s="601" t="n"/>
      <c r="P262" s="557">
        <f>CONCATENATE(schedule13[[#This Row],[OD]],"-",schedule13[[#This Row],[ID]],"-",schedule13[[#This Row],[TICKNESS]],"-",schedule13[[#This Row],[GRADE]],"-",schedule13[[#This Row],[FC/NFC]])</f>
        <v/>
      </c>
      <c r="Q262" s="557" t="n"/>
      <c r="R262" s="557" t="n"/>
      <c r="S262" s="599" t="n">
        <v>41.28</v>
      </c>
      <c r="T262" s="599" t="n">
        <v>41.28</v>
      </c>
      <c r="U262" s="599" t="n">
        <v>0</v>
      </c>
      <c r="V262" s="599" t="n">
        <v>2.9</v>
      </c>
      <c r="W262" s="22" t="n">
        <v>420</v>
      </c>
      <c r="X262" s="22" t="n"/>
      <c r="Y262" s="601" t="n">
        <v>0</v>
      </c>
      <c r="Z262" s="601" t="n"/>
      <c r="AA262" s="602">
        <f>Y262-Z262</f>
        <v/>
      </c>
      <c r="AB262" s="599">
        <f>(S262-V262)*V262*W262*0.024653*Y262/1000000</f>
        <v/>
      </c>
      <c r="AC262" s="599">
        <f>(S262-V262)*V262*W262*0.024653*Z262/1000000</f>
        <v/>
      </c>
      <c r="AD262" s="599">
        <f>AB262-AC262</f>
        <v/>
      </c>
      <c r="AE262" s="599" t="n"/>
      <c r="AF262" s="599" t="n"/>
      <c r="AG262" s="599" t="n"/>
      <c r="AH262" s="599">
        <f>AB261-AF262</f>
        <v/>
      </c>
      <c r="AI262" s="118">
        <f>(AC262+AF262)/AB262</f>
        <v/>
      </c>
    </row>
    <row r="263" hidden="1" s="584">
      <c r="A263" s="594" t="n">
        <v>120</v>
      </c>
      <c r="B263" s="5" t="inlineStr">
        <is>
          <t xml:space="preserve">Khopoli </t>
        </is>
      </c>
      <c r="C263" s="601" t="inlineStr">
        <is>
          <t>NMPL 1</t>
        </is>
      </c>
      <c r="D263" s="601" t="n"/>
      <c r="E263" s="601" t="inlineStr">
        <is>
          <t>189226|930794</t>
        </is>
      </c>
      <c r="F263" s="601" t="n">
        <v>2417649</v>
      </c>
      <c r="G263" s="601" t="inlineStr">
        <is>
          <t>TUB-O-N-AUT-AN-FC-42.70X3.500X0.2096</t>
        </is>
      </c>
      <c r="H263" s="601" t="inlineStr">
        <is>
          <t>ERW 1</t>
        </is>
      </c>
      <c r="I263" s="601" t="inlineStr">
        <is>
          <t>Annealed</t>
        </is>
      </c>
      <c r="J263" s="601" t="inlineStr">
        <is>
          <t>FC</t>
        </is>
      </c>
      <c r="K263" s="601" t="inlineStr">
        <is>
          <t>HR</t>
        </is>
      </c>
      <c r="L263" s="601" t="n"/>
      <c r="M263" s="601" t="inlineStr">
        <is>
          <t>Chamferring</t>
        </is>
      </c>
      <c r="N263" s="601" t="n"/>
      <c r="O263" s="601" t="n"/>
      <c r="P263" s="557">
        <f>CONCATENATE(schedule13[[#This Row],[OD]],"-",schedule13[[#This Row],[ID]],"-",schedule13[[#This Row],[TICKNESS]],"-",schedule13[[#This Row],[GRADE]],"-",schedule13[[#This Row],[FC/NFC]])</f>
        <v/>
      </c>
      <c r="Q263" s="557">
        <f>_xlfn.CONCAT(schedule13[[#This Row],[Bucket]],"-",schedule13[[#This Row],[LENGTH]]/1000)</f>
        <v/>
      </c>
      <c r="R263" s="557">
        <f>COUNTIF(buckets[CTL Bucket],schedule13[[#This Row],[CTL Bucket]])</f>
        <v/>
      </c>
      <c r="S263" s="599" t="n">
        <v>42.7</v>
      </c>
      <c r="T263" s="599" t="n">
        <v>42.7</v>
      </c>
      <c r="U263" s="599" t="n">
        <v>0</v>
      </c>
      <c r="V263" s="599" t="n">
        <v>3.5</v>
      </c>
      <c r="W263" s="22" t="n">
        <v>210</v>
      </c>
      <c r="X263" s="22" t="inlineStr">
        <is>
          <t>NOS</t>
        </is>
      </c>
      <c r="Y263" s="601" t="n">
        <v>40000</v>
      </c>
      <c r="Z263" s="601" t="n"/>
      <c r="AA263" s="602">
        <f>Y263-Z263</f>
        <v/>
      </c>
      <c r="AB263" s="599">
        <f>(3.14*(schedule13[[#This Row],[ACTUAL OD]]-schedule13[[#This Row],[TICKNESS]])*schedule13[[#This Row],[TICKNESS]]*schedule13[[#This Row],[LENGTH]]*7.85)/1000000*schedule13[[#This Row],[SCHEDULE]]/1000</f>
        <v/>
      </c>
      <c r="AC263" s="599">
        <f>(S263-V263)*V263*W263*0.024653*Z263/1000000</f>
        <v/>
      </c>
      <c r="AD263" s="599">
        <f>AB263-AC263</f>
        <v/>
      </c>
      <c r="AE263" s="598">
        <f>schedule13[[#This Row],[CTL Stock]]/schedule13[[#This Row],[SCHEDULE IN MT]]*schedule13[[#This Row],[SCHEDULE]]</f>
        <v/>
      </c>
      <c r="AF263" s="599">
        <f>SUMIFS(stock[MT],stock[Bucket],schedule13[[#This Row],[Bucket]],stock[CTL Bucket],schedule13[[#This Row],[CTL Bucket]])</f>
        <v/>
      </c>
      <c r="AG263" s="599">
        <f>SUMIFS(stock[MT],stock[Bucket],schedule13[[#This Row],[Bucket]])+SUMIFS(wip[Stock(Net Wt)],wip[Bucket],schedule13[[#This Row],[Bucket]])/1000</f>
        <v/>
      </c>
      <c r="AH263" s="599">
        <f>AB262-AF263</f>
        <v/>
      </c>
      <c r="AI263" s="118">
        <f>(AC263+AF263)/AB263</f>
        <v/>
      </c>
    </row>
    <row r="264" hidden="1" s="584">
      <c r="A264" s="594" t="n">
        <v>122</v>
      </c>
      <c r="B264" s="5" t="inlineStr">
        <is>
          <t xml:space="preserve">Khopoli </t>
        </is>
      </c>
      <c r="C264" s="601" t="inlineStr">
        <is>
          <t>NMPL 1</t>
        </is>
      </c>
      <c r="D264" s="601" t="n"/>
      <c r="E264" s="601" t="inlineStr">
        <is>
          <t>189226|930794</t>
        </is>
      </c>
      <c r="F264" s="601" t="n">
        <v>1938127</v>
      </c>
      <c r="G264" s="601" t="inlineStr">
        <is>
          <t>TUB-S-AW-SHS-50.00X50.00X1.600X0.8470</t>
        </is>
      </c>
      <c r="H264" s="601" t="inlineStr">
        <is>
          <t>ERW 2</t>
        </is>
      </c>
      <c r="I264" s="601" t="n"/>
      <c r="J264" s="601" t="inlineStr">
        <is>
          <t>PE</t>
        </is>
      </c>
      <c r="K264" s="601" t="inlineStr">
        <is>
          <t>CR</t>
        </is>
      </c>
      <c r="L264" s="596" t="inlineStr">
        <is>
          <t>D</t>
        </is>
      </c>
      <c r="M264" s="601" t="n"/>
      <c r="N264" s="601" t="n"/>
      <c r="O264" s="601" t="n"/>
      <c r="P264" s="557">
        <f>CONCATENATE(schedule13[[#This Row],[OD]],"-",schedule13[[#This Row],[ID]],"-",schedule13[[#This Row],[TICKNESS]],"-",schedule13[[#This Row],[GRADE]],"-",schedule13[[#This Row],[FC/NFC]])</f>
        <v/>
      </c>
      <c r="Q264" s="557">
        <f>_xlfn.CONCAT(schedule13[[#This Row],[Bucket]],"-",schedule13[[#This Row],[LENGTH]]/1000)</f>
        <v/>
      </c>
      <c r="R264" s="557">
        <f>COUNTIF(buckets[CTL Bucket],schedule13[[#This Row],[CTL Bucket]])</f>
        <v/>
      </c>
      <c r="S264" s="599" t="n">
        <v>63.5</v>
      </c>
      <c r="T264" s="599" t="n">
        <v>50</v>
      </c>
      <c r="U264" s="599" t="n">
        <v>50</v>
      </c>
      <c r="V264" s="599" t="n">
        <v>1.6</v>
      </c>
      <c r="W264" s="22" t="n">
        <v>847</v>
      </c>
      <c r="X264" s="22" t="inlineStr">
        <is>
          <t>NOS</t>
        </is>
      </c>
      <c r="Y264" s="601" t="n">
        <v>4000</v>
      </c>
      <c r="Z264" s="601" t="n"/>
      <c r="AA264" s="602">
        <f>Y264-Z264</f>
        <v/>
      </c>
      <c r="AB264" s="599">
        <f>(3.14*(schedule13[[#This Row],[ACTUAL OD]]-schedule13[[#This Row],[TICKNESS]])*schedule13[[#This Row],[TICKNESS]]*schedule13[[#This Row],[LENGTH]]*7.85)/1000000*schedule13[[#This Row],[SCHEDULE]]/1000</f>
        <v/>
      </c>
      <c r="AC264" s="599">
        <f>(S264-V264)*V264*W264*0.024653*Z264/1000000</f>
        <v/>
      </c>
      <c r="AD264" s="599">
        <f>AB264-AC264</f>
        <v/>
      </c>
      <c r="AE264" s="598">
        <f>schedule13[[#This Row],[CTL Stock]]/schedule13[[#This Row],[SCHEDULE IN MT]]*schedule13[[#This Row],[SCHEDULE]]</f>
        <v/>
      </c>
      <c r="AF264" s="599">
        <f>SUMIFS(stock[MT],stock[Bucket],schedule13[[#This Row],[Bucket]],stock[CTL Bucket],schedule13[[#This Row],[CTL Bucket]])</f>
        <v/>
      </c>
      <c r="AG264" s="599">
        <f>SUMIFS(stock[MT],stock[Bucket],schedule13[[#This Row],[Bucket]])+SUMIFS(wip[Stock(Net Wt)],wip[Bucket],schedule13[[#This Row],[Bucket]])/1000</f>
        <v/>
      </c>
      <c r="AH264" s="599">
        <f>AB263-AF264</f>
        <v/>
      </c>
      <c r="AI264" s="118">
        <f>(AC264+AF264)/AB264</f>
        <v/>
      </c>
    </row>
    <row r="265" hidden="1" s="584">
      <c r="A265" s="594" t="n">
        <v>123</v>
      </c>
      <c r="B265" s="5" t="inlineStr">
        <is>
          <t>Hosur</t>
        </is>
      </c>
      <c r="C265" s="601" t="inlineStr">
        <is>
          <t>NMPL 1</t>
        </is>
      </c>
      <c r="D265" s="601" t="n"/>
      <c r="E265" s="601" t="n">
        <v>189226</v>
      </c>
      <c r="F265" s="9" t="n">
        <v>2325414</v>
      </c>
      <c r="G265" s="9" t="inlineStr">
        <is>
          <t>TUB-O-AW-RHS-50.00X30.00X2.000X0.1400</t>
        </is>
      </c>
      <c r="H265" s="601" t="inlineStr">
        <is>
          <t>ERW 1</t>
        </is>
      </c>
      <c r="I265" s="601" t="n"/>
      <c r="J265" s="601" t="n"/>
      <c r="K265" s="601" t="inlineStr">
        <is>
          <t>HR</t>
        </is>
      </c>
      <c r="L265" s="601" t="n"/>
      <c r="M265" s="601" t="n"/>
      <c r="N265" s="601" t="n"/>
      <c r="O265" s="601" t="n"/>
      <c r="P265" s="557">
        <f>CONCATENATE(schedule13[[#This Row],[OD]],"-",schedule13[[#This Row],[ID]],"-",schedule13[[#This Row],[TICKNESS]],"-",schedule13[[#This Row],[GRADE]],"-",schedule13[[#This Row],[FC/NFC]])</f>
        <v/>
      </c>
      <c r="Q265" s="557" t="n"/>
      <c r="R265" s="557" t="n"/>
      <c r="S265" s="599" t="n">
        <v>48.6</v>
      </c>
      <c r="T265" s="599" t="n">
        <v>50</v>
      </c>
      <c r="U265" s="599" t="n">
        <v>30</v>
      </c>
      <c r="V265" s="599" t="n">
        <v>2</v>
      </c>
      <c r="W265" s="23" t="n">
        <v>140</v>
      </c>
      <c r="X265" s="23" t="n"/>
      <c r="Y265" s="601" t="n">
        <v>0</v>
      </c>
      <c r="Z265" s="601" t="n"/>
      <c r="AA265" s="602">
        <f>Y265-Z265</f>
        <v/>
      </c>
      <c r="AB265" s="599">
        <f>(S265-V265)*V265*W265*0.024653*Y265/1000000</f>
        <v/>
      </c>
      <c r="AC265" s="599">
        <f>(S265-V265)*V265*W265*0.024653*Z265/1000000</f>
        <v/>
      </c>
      <c r="AD265" s="599">
        <f>AB265-AC265</f>
        <v/>
      </c>
      <c r="AE265" s="599" t="n"/>
      <c r="AF265" s="599" t="n">
        <v>6.406232999999999</v>
      </c>
      <c r="AG265" s="599" t="n"/>
      <c r="AH265" s="599">
        <f>AB264-AF265</f>
        <v/>
      </c>
      <c r="AI265" s="118">
        <f>(AC265+AF265)/AB264</f>
        <v/>
      </c>
    </row>
    <row r="266" hidden="1" s="584">
      <c r="A266" s="594" t="n">
        <v>124</v>
      </c>
      <c r="B266" s="5" t="inlineStr">
        <is>
          <t>Hosur</t>
        </is>
      </c>
      <c r="C266" s="601" t="inlineStr">
        <is>
          <t>NMPL 1</t>
        </is>
      </c>
      <c r="D266" s="601" t="n"/>
      <c r="E266" s="601" t="inlineStr">
        <is>
          <t>189226|930794</t>
        </is>
      </c>
      <c r="F266" s="601" t="n">
        <v>1940881</v>
      </c>
      <c r="G266" s="601" t="inlineStr">
        <is>
          <t>TUB-R-AW-RHS-50.00X30.00X2.000X0.7300</t>
        </is>
      </c>
      <c r="H266" s="601" t="inlineStr">
        <is>
          <t>ERW 1</t>
        </is>
      </c>
      <c r="I266" s="601" t="n"/>
      <c r="J266" s="601" t="inlineStr">
        <is>
          <t>FC</t>
        </is>
      </c>
      <c r="K266" s="601" t="inlineStr">
        <is>
          <t>HR</t>
        </is>
      </c>
      <c r="L266" s="601" t="n"/>
      <c r="M266" s="601" t="n"/>
      <c r="N266" s="601" t="n"/>
      <c r="O266" s="601" t="n"/>
      <c r="P266" s="557">
        <f>CONCATENATE(schedule13[[#This Row],[OD]],"-",schedule13[[#This Row],[ID]],"-",schedule13[[#This Row],[TICKNESS]],"-",schedule13[[#This Row],[GRADE]],"-",schedule13[[#This Row],[FC/NFC]])</f>
        <v/>
      </c>
      <c r="Q266" s="557">
        <f>_xlfn.CONCAT(schedule13[[#This Row],[Bucket]],"-",schedule13[[#This Row],[LENGTH]]/1000)</f>
        <v/>
      </c>
      <c r="R266" s="557">
        <f>COUNTIF(buckets[CTL Bucket],schedule13[[#This Row],[CTL Bucket]])</f>
        <v/>
      </c>
      <c r="S266" s="599" t="n">
        <v>50.8</v>
      </c>
      <c r="T266" s="599" t="n">
        <v>50</v>
      </c>
      <c r="U266" s="6" t="n">
        <v>30</v>
      </c>
      <c r="V266" s="599" t="n">
        <v>2</v>
      </c>
      <c r="W266" s="22" t="n">
        <v>730</v>
      </c>
      <c r="X266" s="22" t="inlineStr">
        <is>
          <t>NOS</t>
        </is>
      </c>
      <c r="Y266" s="601" t="n">
        <v>4500</v>
      </c>
      <c r="Z266" s="601" t="n"/>
      <c r="AA266" s="602">
        <f>Y266-Z266</f>
        <v/>
      </c>
      <c r="AB266" s="599">
        <f>(3.14*(schedule13[[#This Row],[ACTUAL OD]]-schedule13[[#This Row],[TICKNESS]])*schedule13[[#This Row],[TICKNESS]]*schedule13[[#This Row],[LENGTH]]*7.85)/1000000*schedule13[[#This Row],[SCHEDULE]]/1000</f>
        <v/>
      </c>
      <c r="AC266" s="599">
        <f>(S266-V266)*V266*W266*0.024653*Z266/1000000</f>
        <v/>
      </c>
      <c r="AD266" s="599">
        <f>AB266-AC266</f>
        <v/>
      </c>
      <c r="AE266" s="598">
        <f>schedule13[[#This Row],[CTL Stock]]/schedule13[[#This Row],[SCHEDULE IN MT]]*schedule13[[#This Row],[SCHEDULE]]</f>
        <v/>
      </c>
      <c r="AF266" s="599">
        <f>SUMIFS(stock[MT],stock[Bucket],schedule13[[#This Row],[Bucket]],stock[CTL Bucket],schedule13[[#This Row],[CTL Bucket]])</f>
        <v/>
      </c>
      <c r="AG266" s="599">
        <f>SUMIFS(stock[MT],stock[Bucket],schedule13[[#This Row],[Bucket]])+SUMIFS(wip[Stock(Net Wt)],wip[Bucket],schedule13[[#This Row],[Bucket]])/1000</f>
        <v/>
      </c>
      <c r="AH266" s="599">
        <f>AB265-AF266</f>
        <v/>
      </c>
      <c r="AI266" s="118">
        <f>(AC266+AF266)/AB266</f>
        <v/>
      </c>
    </row>
    <row r="267" hidden="1" s="584">
      <c r="A267" s="594" t="n">
        <v>126</v>
      </c>
      <c r="B267" s="5" t="inlineStr">
        <is>
          <t xml:space="preserve">Khopoli </t>
        </is>
      </c>
      <c r="C267" s="601" t="inlineStr">
        <is>
          <t>NMPL 1</t>
        </is>
      </c>
      <c r="D267" s="601" t="n"/>
      <c r="E267" s="601" t="inlineStr">
        <is>
          <t>189226|930794</t>
        </is>
      </c>
      <c r="F267" s="601" t="n">
        <v>2396464</v>
      </c>
      <c r="G267" s="601" t="inlineStr">
        <is>
          <t>TUB-O-N-AUT-AN-FC-54.00X3.000X1.1400</t>
        </is>
      </c>
      <c r="H267" s="601" t="inlineStr">
        <is>
          <t>ERW 2</t>
        </is>
      </c>
      <c r="I267" s="601" t="n"/>
      <c r="J267" s="601" t="inlineStr">
        <is>
          <t>FC</t>
        </is>
      </c>
      <c r="K267" s="601" t="inlineStr">
        <is>
          <t>HR</t>
        </is>
      </c>
      <c r="L267" s="601" t="n"/>
      <c r="M267" s="601" t="n"/>
      <c r="N267" s="601" t="n"/>
      <c r="O267" s="601" t="n"/>
      <c r="P267" s="557">
        <f>CONCATENATE(schedule13[[#This Row],[OD]],"-",schedule13[[#This Row],[ID]],"-",schedule13[[#This Row],[TICKNESS]],"-",schedule13[[#This Row],[GRADE]],"-",schedule13[[#This Row],[FC/NFC]])</f>
        <v/>
      </c>
      <c r="Q267" s="557">
        <f>_xlfn.CONCAT(schedule13[[#This Row],[Bucket]],"-",schedule13[[#This Row],[LENGTH]]/1000)</f>
        <v/>
      </c>
      <c r="R267" s="557">
        <f>COUNTIF(buckets[CTL Bucket],schedule13[[#This Row],[CTL Bucket]])</f>
        <v/>
      </c>
      <c r="S267" s="599" t="n">
        <v>54</v>
      </c>
      <c r="T267" s="599" t="n">
        <v>54</v>
      </c>
      <c r="U267" s="599" t="n">
        <v>0</v>
      </c>
      <c r="V267" s="599" t="n">
        <v>3</v>
      </c>
      <c r="W267" s="22" t="n">
        <v>1140</v>
      </c>
      <c r="X267" s="22" t="inlineStr">
        <is>
          <t>NOS</t>
        </is>
      </c>
      <c r="Y267" s="601" t="n">
        <v>4000</v>
      </c>
      <c r="Z267" s="601" t="n"/>
      <c r="AA267" s="602">
        <f>Y267-Z267</f>
        <v/>
      </c>
      <c r="AB267" s="599">
        <f>(3.14*(schedule13[[#This Row],[ACTUAL OD]]-schedule13[[#This Row],[TICKNESS]])*schedule13[[#This Row],[TICKNESS]]*schedule13[[#This Row],[LENGTH]]*7.85)/1000000*schedule13[[#This Row],[SCHEDULE]]/1000</f>
        <v/>
      </c>
      <c r="AC267" s="599">
        <f>(S267-V267)*V267*W267*0.024653*Z267/1000000</f>
        <v/>
      </c>
      <c r="AD267" s="599">
        <f>AB267-AC267</f>
        <v/>
      </c>
      <c r="AE267" s="598">
        <f>schedule13[[#This Row],[CTL Stock]]/schedule13[[#This Row],[SCHEDULE IN MT]]*schedule13[[#This Row],[SCHEDULE]]</f>
        <v/>
      </c>
      <c r="AF267" s="599">
        <f>SUMIFS(stock[MT],stock[Bucket],schedule13[[#This Row],[Bucket]],stock[CTL Bucket],schedule13[[#This Row],[CTL Bucket]])</f>
        <v/>
      </c>
      <c r="AG267" s="599">
        <f>SUMIFS(stock[MT],stock[Bucket],schedule13[[#This Row],[Bucket]])+SUMIFS(wip[Stock(Net Wt)],wip[Bucket],schedule13[[#This Row],[Bucket]])/1000</f>
        <v/>
      </c>
      <c r="AH267" s="599">
        <f>AB266-AF267</f>
        <v/>
      </c>
      <c r="AI267" s="118">
        <f>(AC267+AF267)/AB267</f>
        <v/>
      </c>
    </row>
    <row r="268" hidden="1" s="584">
      <c r="A268" s="594" t="n">
        <v>128</v>
      </c>
      <c r="B268" s="5" t="inlineStr">
        <is>
          <t xml:space="preserve">Khopoli </t>
        </is>
      </c>
      <c r="C268" s="601" t="inlineStr">
        <is>
          <t>NMPL 1</t>
        </is>
      </c>
      <c r="D268" s="601" t="n"/>
      <c r="E268" s="601" t="inlineStr">
        <is>
          <t>189226|930794</t>
        </is>
      </c>
      <c r="F268" s="601" t="n">
        <v>1470103</v>
      </c>
      <c r="G268" s="601" t="inlineStr">
        <is>
          <t>TUB-O-N-AUT-BH-FC-63.50X4.000X0.2360</t>
        </is>
      </c>
      <c r="H268" s="601" t="inlineStr">
        <is>
          <t>ERW 1</t>
        </is>
      </c>
      <c r="I268" s="601" t="inlineStr">
        <is>
          <t>Annealed</t>
        </is>
      </c>
      <c r="J268" s="601" t="inlineStr">
        <is>
          <t>FC</t>
        </is>
      </c>
      <c r="K268" s="601" t="inlineStr">
        <is>
          <t>HR</t>
        </is>
      </c>
      <c r="L268" s="601" t="n"/>
      <c r="M268" s="601" t="n"/>
      <c r="N268" s="601" t="n"/>
      <c r="O268" s="601" t="n"/>
      <c r="P268" s="557">
        <f>CONCATENATE(schedule13[[#This Row],[OD]],"-",schedule13[[#This Row],[ID]],"-",schedule13[[#This Row],[TICKNESS]],"-",schedule13[[#This Row],[GRADE]],"-",schedule13[[#This Row],[FC/NFC]])</f>
        <v/>
      </c>
      <c r="Q268" s="557">
        <f>_xlfn.CONCAT(schedule13[[#This Row],[Bucket]],"-",schedule13[[#This Row],[LENGTH]]/1000)</f>
        <v/>
      </c>
      <c r="R268" s="557">
        <f>COUNTIF(buckets[CTL Bucket],schedule13[[#This Row],[CTL Bucket]])</f>
        <v/>
      </c>
      <c r="S268" s="599" t="n">
        <v>63.5</v>
      </c>
      <c r="T268" s="599" t="n">
        <v>63.5</v>
      </c>
      <c r="U268" s="599" t="n">
        <v>0</v>
      </c>
      <c r="V268" s="599" t="n">
        <v>4</v>
      </c>
      <c r="W268" s="22" t="n">
        <v>236</v>
      </c>
      <c r="X268" s="22" t="inlineStr">
        <is>
          <t>NOS</t>
        </is>
      </c>
      <c r="Y268" s="601" t="n">
        <v>9500</v>
      </c>
      <c r="Z268" s="601" t="n"/>
      <c r="AA268" s="602">
        <f>Y268-Z268</f>
        <v/>
      </c>
      <c r="AB268" s="599">
        <f>(3.14*(schedule13[[#This Row],[ACTUAL OD]]-schedule13[[#This Row],[TICKNESS]])*schedule13[[#This Row],[TICKNESS]]*schedule13[[#This Row],[LENGTH]]*7.85)/1000000*schedule13[[#This Row],[SCHEDULE]]/1000</f>
        <v/>
      </c>
      <c r="AC268" s="599">
        <f>(S268-V268)*V268*W268*0.024653*Z268/1000000</f>
        <v/>
      </c>
      <c r="AD268" s="599">
        <f>AB268-AC268</f>
        <v/>
      </c>
      <c r="AE268" s="598">
        <f>schedule13[[#This Row],[CTL Stock]]/schedule13[[#This Row],[SCHEDULE IN MT]]*schedule13[[#This Row],[SCHEDULE]]</f>
        <v/>
      </c>
      <c r="AF268" s="599">
        <f>SUMIFS(stock[MT],stock[Bucket],schedule13[[#This Row],[Bucket]],stock[CTL Bucket],schedule13[[#This Row],[CTL Bucket]])</f>
        <v/>
      </c>
      <c r="AG268" s="599">
        <f>SUMIFS(stock[MT],stock[Bucket],schedule13[[#This Row],[Bucket]])+SUMIFS(wip[Stock(Net Wt)],wip[Bucket],schedule13[[#This Row],[Bucket]])/1000</f>
        <v/>
      </c>
      <c r="AH268" s="599">
        <f>AB267-AF268</f>
        <v/>
      </c>
      <c r="AI268" s="118">
        <f>(AC268+AF268)/AB268</f>
        <v/>
      </c>
    </row>
    <row r="269" hidden="1" ht="17.25" customHeight="1" s="584">
      <c r="A269" s="594" t="n">
        <v>396</v>
      </c>
      <c r="B269" s="5" t="inlineStr">
        <is>
          <t xml:space="preserve">Khopoli </t>
        </is>
      </c>
      <c r="C269" s="601" t="inlineStr">
        <is>
          <t>NMPL 1</t>
        </is>
      </c>
      <c r="D269" s="601" t="n"/>
      <c r="E269" s="601" t="inlineStr">
        <is>
          <t>189226|930794</t>
        </is>
      </c>
      <c r="F269" s="601" t="n">
        <v>1938128</v>
      </c>
      <c r="G269" s="601" t="inlineStr">
        <is>
          <t>TUB-O-N-AUT-AN-FC-70.00X3.200X0.4900</t>
        </is>
      </c>
      <c r="H269" s="601" t="inlineStr">
        <is>
          <t>ERW 2</t>
        </is>
      </c>
      <c r="I269" s="601" t="inlineStr">
        <is>
          <t>Annealed</t>
        </is>
      </c>
      <c r="J269" s="601" t="inlineStr">
        <is>
          <t>FC</t>
        </is>
      </c>
      <c r="K269" s="601" t="inlineStr">
        <is>
          <t>HR</t>
        </is>
      </c>
      <c r="L269" s="601" t="n"/>
      <c r="M269" s="601" t="n"/>
      <c r="N269" s="601" t="inlineStr">
        <is>
          <t>AG</t>
        </is>
      </c>
      <c r="O269" s="601" t="n"/>
      <c r="P269" s="557">
        <f>CONCATENATE(schedule13[[#This Row],[OD]],"-",schedule13[[#This Row],[ID]],"-",schedule13[[#This Row],[TICKNESS]],"-",schedule13[[#This Row],[GRADE]],"-",schedule13[[#This Row],[FC/NFC]])</f>
        <v/>
      </c>
      <c r="Q269" s="557">
        <f>_xlfn.CONCAT(schedule13[[#This Row],[Bucket]],"-",schedule13[[#This Row],[LENGTH]]/1000)</f>
        <v/>
      </c>
      <c r="R269" s="557">
        <f>COUNTIF(buckets[CTL Bucket],schedule13[[#This Row],[CTL Bucket]])</f>
        <v/>
      </c>
      <c r="S269" s="599" t="n">
        <v>70</v>
      </c>
      <c r="T269" s="599" t="n">
        <v>70</v>
      </c>
      <c r="U269" s="599" t="n">
        <v>0</v>
      </c>
      <c r="V269" s="599" t="n">
        <v>3.2</v>
      </c>
      <c r="W269" s="22" t="n">
        <v>490</v>
      </c>
      <c r="X269" s="22" t="inlineStr">
        <is>
          <t>NOS</t>
        </is>
      </c>
      <c r="Y269" s="601" t="n">
        <v>4000</v>
      </c>
      <c r="Z269" s="601" t="n"/>
      <c r="AA269" s="602">
        <f>Y269-Z269</f>
        <v/>
      </c>
      <c r="AB269" s="599">
        <f>(3.14*(schedule13[[#This Row],[ACTUAL OD]]-schedule13[[#This Row],[TICKNESS]])*schedule13[[#This Row],[TICKNESS]]*schedule13[[#This Row],[LENGTH]]*7.85)/1000000*schedule13[[#This Row],[SCHEDULE]]/1000</f>
        <v/>
      </c>
      <c r="AC269" s="599">
        <f>(S269-V269)*V269*W269*0.024653*Z269/1000000</f>
        <v/>
      </c>
      <c r="AD269" s="599">
        <f>AB269-AC269</f>
        <v/>
      </c>
      <c r="AE269" s="598">
        <f>schedule13[[#This Row],[CTL Stock]]/schedule13[[#This Row],[SCHEDULE IN MT]]*schedule13[[#This Row],[SCHEDULE]]</f>
        <v/>
      </c>
      <c r="AF269" s="599">
        <f>SUMIFS(stock[MT],stock[Bucket],schedule13[[#This Row],[Bucket]],stock[CTL Bucket],schedule13[[#This Row],[CTL Bucket]])</f>
        <v/>
      </c>
      <c r="AG269" s="599">
        <f>SUMIFS(stock[MT],stock[Bucket],schedule13[[#This Row],[Bucket]])+SUMIFS(wip[Stock(Net Wt)],wip[Bucket],schedule13[[#This Row],[Bucket]])/1000</f>
        <v/>
      </c>
      <c r="AH269" s="599">
        <f>AB268-AF269</f>
        <v/>
      </c>
      <c r="AI269" s="118">
        <f>(AC269+AF269)/AB269</f>
        <v/>
      </c>
      <c r="AJ269" s="83" t="n">
        <v>9518489778</v>
      </c>
    </row>
    <row r="270" hidden="1" s="584">
      <c r="A270" s="594" t="n">
        <v>136</v>
      </c>
      <c r="B270" s="5" t="inlineStr">
        <is>
          <t>Hosur</t>
        </is>
      </c>
      <c r="C270" s="601" t="inlineStr">
        <is>
          <t>Rajsriya Automotive</t>
        </is>
      </c>
      <c r="D270" s="601" t="inlineStr">
        <is>
          <t>Rajsriya</t>
        </is>
      </c>
      <c r="E270" s="601" t="inlineStr">
        <is>
          <t>129695|189481|187884|188415|189239|189240</t>
        </is>
      </c>
      <c r="F270" s="601" t="n"/>
      <c r="G270" s="601" t="n"/>
      <c r="H270" s="601" t="inlineStr">
        <is>
          <t>CEW</t>
        </is>
      </c>
      <c r="I270" s="601" t="n"/>
      <c r="J270" s="601" t="inlineStr">
        <is>
          <t>CEW</t>
        </is>
      </c>
      <c r="K270" s="601" t="inlineStr">
        <is>
          <t>HR</t>
        </is>
      </c>
      <c r="L270" s="601" t="n"/>
      <c r="M270" s="601" t="n"/>
      <c r="N270" s="601" t="n"/>
      <c r="O270" s="601" t="n"/>
      <c r="P270" s="557">
        <f>CONCATENATE(schedule13[[#This Row],[OD]],"-",schedule13[[#This Row],[ID]],"-",schedule13[[#This Row],[TICKNESS]],"-",schedule13[[#This Row],[GRADE]],"-",schedule13[[#This Row],[FC/NFC]])</f>
        <v/>
      </c>
      <c r="Q270" s="557">
        <f>_xlfn.CONCAT(schedule13[[#This Row],[Bucket]],"-",schedule13[[#This Row],[LENGTH]]/1000)</f>
        <v/>
      </c>
      <c r="R270" s="557">
        <f>COUNTIF(buckets[CTL Bucket],schedule13[[#This Row],[CTL Bucket]])</f>
        <v/>
      </c>
      <c r="S270" s="599" t="n">
        <v>36</v>
      </c>
      <c r="T270" s="599" t="n">
        <v>36</v>
      </c>
      <c r="U270" s="599" t="n">
        <v>34</v>
      </c>
      <c r="V270" s="599" t="n">
        <v>0.91</v>
      </c>
      <c r="W270" s="600" t="n">
        <v>168</v>
      </c>
      <c r="X270" s="600" t="n"/>
      <c r="Y270" s="601" t="n">
        <v>0</v>
      </c>
      <c r="Z270" s="601" t="n"/>
      <c r="AA270" s="602">
        <f>Y270-Z270</f>
        <v/>
      </c>
      <c r="AB270" s="599">
        <f>(S270-V270)*V270*W270*0.024653*Y270/1000000</f>
        <v/>
      </c>
      <c r="AC270" s="599">
        <f>(S270-V270)*V270*W270*0.024653*Z270/1000000</f>
        <v/>
      </c>
      <c r="AD270" s="599">
        <f>AB270-AC270</f>
        <v/>
      </c>
      <c r="AE270" s="599" t="n"/>
      <c r="AF270" s="599" t="n">
        <v>1.15118</v>
      </c>
      <c r="AG270" s="599" t="n"/>
      <c r="AH270" s="599">
        <f>AB269-AF270</f>
        <v/>
      </c>
      <c r="AI270" s="118">
        <f>(AC270+AF270)/AB269</f>
        <v/>
      </c>
    </row>
    <row r="271" hidden="1" s="584">
      <c r="A271" s="594" t="n">
        <v>138</v>
      </c>
      <c r="B271" s="5" t="inlineStr">
        <is>
          <t xml:space="preserve">Khopoli </t>
        </is>
      </c>
      <c r="C271" s="601" t="inlineStr">
        <is>
          <t>Rajsriya Automotive</t>
        </is>
      </c>
      <c r="D271" s="601" t="inlineStr">
        <is>
          <t>Rajsriya</t>
        </is>
      </c>
      <c r="E271" s="601" t="inlineStr">
        <is>
          <t>129695|189481|187884|188415|189239|189240</t>
        </is>
      </c>
      <c r="F271" s="601" t="n"/>
      <c r="G271" s="601" t="n"/>
      <c r="H271" s="601" t="inlineStr">
        <is>
          <t>CEW</t>
        </is>
      </c>
      <c r="I271" s="601" t="n"/>
      <c r="J271" s="601" t="inlineStr">
        <is>
          <t>CEW</t>
        </is>
      </c>
      <c r="K271" s="601" t="inlineStr">
        <is>
          <t>HR</t>
        </is>
      </c>
      <c r="L271" s="601" t="n"/>
      <c r="M271" s="601" t="n"/>
      <c r="N271" s="601" t="n"/>
      <c r="O271" s="601" t="n"/>
      <c r="P271" s="557">
        <f>CONCATENATE(schedule13[[#This Row],[OD]],"-",schedule13[[#This Row],[ID]],"-",schedule13[[#This Row],[TICKNESS]],"-",schedule13[[#This Row],[GRADE]],"-",schedule13[[#This Row],[FC/NFC]])</f>
        <v/>
      </c>
      <c r="Q271" s="557">
        <f>_xlfn.CONCAT(schedule13[[#This Row],[Bucket]],"-",schedule13[[#This Row],[LENGTH]]/1000)</f>
        <v/>
      </c>
      <c r="R271" s="557">
        <f>COUNTIF(buckets[CTL Bucket],schedule13[[#This Row],[CTL Bucket]])</f>
        <v/>
      </c>
      <c r="S271" s="599" t="n">
        <v>16.1</v>
      </c>
      <c r="T271" s="599" t="n">
        <v>16.1</v>
      </c>
      <c r="U271" s="599" t="n">
        <v>0</v>
      </c>
      <c r="V271" s="599" t="n">
        <v>2.8</v>
      </c>
      <c r="W271" s="600" t="n">
        <v>4500</v>
      </c>
      <c r="X271" s="600" t="n"/>
      <c r="Y271" s="601" t="n">
        <v>0</v>
      </c>
      <c r="Z271" s="601" t="n"/>
      <c r="AA271" s="602">
        <f>Y271-Z271</f>
        <v/>
      </c>
      <c r="AB271" s="599">
        <f>(S271-V271)*V271*W271*0.024653*Y271/1000000</f>
        <v/>
      </c>
      <c r="AC271" s="599">
        <f>(S271-V271)*V271*W271*0.024653*Z271/1000000</f>
        <v/>
      </c>
      <c r="AD271" s="599">
        <f>AB271-AC271</f>
        <v/>
      </c>
      <c r="AE271" s="599" t="n"/>
      <c r="AF271" s="599" t="n">
        <v>1.126828</v>
      </c>
      <c r="AG271" s="599" t="n"/>
      <c r="AH271" s="599">
        <f>AB270-AF271</f>
        <v/>
      </c>
      <c r="AI271" s="118">
        <f>(AC271+AF271)/AB270</f>
        <v/>
      </c>
    </row>
    <row r="272" hidden="1" s="584">
      <c r="A272" s="594" t="n">
        <v>146</v>
      </c>
      <c r="B272" s="5" t="inlineStr">
        <is>
          <t>Hosur</t>
        </is>
      </c>
      <c r="C272" s="601" t="inlineStr">
        <is>
          <t>Rajsriya Automotive</t>
        </is>
      </c>
      <c r="D272" s="601" t="inlineStr">
        <is>
          <t>Rajsriya</t>
        </is>
      </c>
      <c r="E272" s="601" t="inlineStr">
        <is>
          <t>129695|189481|187884|188415|189239|189240</t>
        </is>
      </c>
      <c r="F272" s="601" t="n">
        <v>1940360</v>
      </c>
      <c r="G272" s="601" t="inlineStr">
        <is>
          <t>TUB-O-O-AUT-AW-PE-22.23X1.200X0.6000</t>
        </is>
      </c>
      <c r="H272" s="601" t="inlineStr">
        <is>
          <t>ERW 1</t>
        </is>
      </c>
      <c r="I272" s="601" t="n"/>
      <c r="J272" s="601" t="n"/>
      <c r="K272" s="601" t="inlineStr">
        <is>
          <t>HR</t>
        </is>
      </c>
      <c r="L272" s="601" t="n"/>
      <c r="M272" s="601" t="n"/>
      <c r="N272" s="601" t="n"/>
      <c r="O272" s="601" t="n"/>
      <c r="P272" s="557">
        <f>CONCATENATE(schedule13[[#This Row],[OD]],"-",schedule13[[#This Row],[ID]],"-",schedule13[[#This Row],[TICKNESS]],"-",schedule13[[#This Row],[GRADE]],"-",schedule13[[#This Row],[FC/NFC]])</f>
        <v/>
      </c>
      <c r="Q272" s="557">
        <f>_xlfn.CONCAT(schedule13[[#This Row],[Bucket]],"-",schedule13[[#This Row],[LENGTH]]/1000)</f>
        <v/>
      </c>
      <c r="R272" s="557">
        <f>COUNTIF(buckets[CTL Bucket],schedule13[[#This Row],[CTL Bucket]])</f>
        <v/>
      </c>
      <c r="S272" s="599" t="n">
        <v>22.23</v>
      </c>
      <c r="T272" s="599" t="n">
        <v>22.23</v>
      </c>
      <c r="U272" s="599" t="n">
        <v>0</v>
      </c>
      <c r="V272" s="599" t="n">
        <v>1.2</v>
      </c>
      <c r="W272" s="600" t="n">
        <v>600</v>
      </c>
      <c r="X272" s="600" t="n"/>
      <c r="Y272" s="601" t="n">
        <v>0</v>
      </c>
      <c r="Z272" s="601" t="n"/>
      <c r="AA272" s="602">
        <f>Y272-Z272</f>
        <v/>
      </c>
      <c r="AB272" s="599">
        <f>(S272-V272)*V272*W272*0.024653*Y272/1000000</f>
        <v/>
      </c>
      <c r="AC272" s="599">
        <f>(S272-V272)*V272*W272*0.024653*Z272/1000000</f>
        <v/>
      </c>
      <c r="AD272" s="599">
        <f>AB272-AC272</f>
        <v/>
      </c>
      <c r="AE272" s="599" t="n"/>
      <c r="AF272" s="599" t="n"/>
      <c r="AG272" s="599" t="n"/>
      <c r="AH272" s="599">
        <f>AB271-AF272</f>
        <v/>
      </c>
      <c r="AI272" s="118">
        <f>(AC272+AF272)/AB271</f>
        <v/>
      </c>
    </row>
    <row r="273" hidden="1" s="584">
      <c r="A273" s="594" t="n">
        <v>149</v>
      </c>
      <c r="B273" s="5" t="inlineStr">
        <is>
          <t>Hosur</t>
        </is>
      </c>
      <c r="C273" s="601" t="inlineStr">
        <is>
          <t>Rajsriya Automotive</t>
        </is>
      </c>
      <c r="D273" s="601" t="inlineStr">
        <is>
          <t>Rajsriya</t>
        </is>
      </c>
      <c r="E273" s="601" t="inlineStr">
        <is>
          <t>129695|189481|187884|188415|189239|189240</t>
        </is>
      </c>
      <c r="F273" s="601" t="n">
        <v>2332783</v>
      </c>
      <c r="G273" s="601" t="inlineStr">
        <is>
          <t>TUB-O-N-AUT-AW-PE-19.05X2.300X0.5500</t>
        </is>
      </c>
      <c r="H273" s="601" t="inlineStr">
        <is>
          <t>ERW 1</t>
        </is>
      </c>
      <c r="I273" s="601" t="n"/>
      <c r="J273" s="601" t="n"/>
      <c r="K273" s="601" t="inlineStr">
        <is>
          <t>HR</t>
        </is>
      </c>
      <c r="L273" s="601" t="n"/>
      <c r="M273" s="601" t="n"/>
      <c r="N273" s="601" t="n"/>
      <c r="O273" s="601" t="n"/>
      <c r="P273" s="557">
        <f>CONCATENATE(schedule13[[#This Row],[OD]],"-",schedule13[[#This Row],[ID]],"-",schedule13[[#This Row],[TICKNESS]],"-",schedule13[[#This Row],[GRADE]],"-",schedule13[[#This Row],[FC/NFC]])</f>
        <v/>
      </c>
      <c r="Q273" s="557">
        <f>_xlfn.CONCAT(schedule13[[#This Row],[Bucket]],"-",schedule13[[#This Row],[LENGTH]]/1000)</f>
        <v/>
      </c>
      <c r="R273" s="557">
        <f>COUNTIF(buckets[CTL Bucket],schedule13[[#This Row],[CTL Bucket]])</f>
        <v/>
      </c>
      <c r="S273" s="599" t="n">
        <v>19.05</v>
      </c>
      <c r="T273" s="599" t="n">
        <v>19.05</v>
      </c>
      <c r="U273" s="599" t="n">
        <v>0</v>
      </c>
      <c r="V273" s="599" t="n">
        <v>2.34</v>
      </c>
      <c r="W273" s="600" t="n">
        <v>550</v>
      </c>
      <c r="X273" s="600" t="n"/>
      <c r="Y273" s="601" t="n">
        <v>0</v>
      </c>
      <c r="Z273" s="601" t="n"/>
      <c r="AA273" s="602">
        <f>Y273-Z273</f>
        <v/>
      </c>
      <c r="AB273" s="599">
        <f>(S273-V273)*V273*W273*0.024653*Y273/1000000</f>
        <v/>
      </c>
      <c r="AC273" s="599">
        <f>(S273-V273)*V273*W273*0.024653*Z273/1000000</f>
        <v/>
      </c>
      <c r="AD273" s="599">
        <f>AB273-AC273</f>
        <v/>
      </c>
      <c r="AE273" s="599" t="n"/>
      <c r="AF273" s="599" t="n">
        <v>0.30275</v>
      </c>
      <c r="AG273" s="599" t="n"/>
      <c r="AH273" s="599">
        <f>AB272-AF273</f>
        <v/>
      </c>
      <c r="AI273" s="118">
        <f>(AC273+AF273)/AB272</f>
        <v/>
      </c>
    </row>
    <row r="274" hidden="1" s="584">
      <c r="A274" s="594" t="n">
        <v>150</v>
      </c>
      <c r="B274" s="5" t="inlineStr">
        <is>
          <t>Hosur</t>
        </is>
      </c>
      <c r="C274" s="601" t="inlineStr">
        <is>
          <t>Rajsriya Automotive</t>
        </is>
      </c>
      <c r="D274" s="601" t="inlineStr">
        <is>
          <t>Rajsriya</t>
        </is>
      </c>
      <c r="E274" s="601" t="inlineStr">
        <is>
          <t>129695|189481|187884|188415|189239|189240</t>
        </is>
      </c>
      <c r="F274" s="601" t="n">
        <v>1940500</v>
      </c>
      <c r="G274" s="601" t="inlineStr">
        <is>
          <t>TUB-O-O-AUT-AW-PE-22.23X2.300X0.3500</t>
        </is>
      </c>
      <c r="H274" s="601" t="inlineStr">
        <is>
          <t>ERW 1</t>
        </is>
      </c>
      <c r="I274" s="601" t="n"/>
      <c r="J274" s="601" t="n"/>
      <c r="K274" s="601" t="inlineStr">
        <is>
          <t>HR</t>
        </is>
      </c>
      <c r="L274" s="601" t="n"/>
      <c r="M274" s="601" t="n"/>
      <c r="N274" s="601" t="n"/>
      <c r="O274" s="601" t="n"/>
      <c r="P274" s="557">
        <f>CONCATENATE(schedule13[[#This Row],[OD]],"-",schedule13[[#This Row],[ID]],"-",schedule13[[#This Row],[TICKNESS]],"-",schedule13[[#This Row],[GRADE]],"-",schedule13[[#This Row],[FC/NFC]])</f>
        <v/>
      </c>
      <c r="Q274" s="557">
        <f>_xlfn.CONCAT(schedule13[[#This Row],[Bucket]],"-",schedule13[[#This Row],[LENGTH]]/1000)</f>
        <v/>
      </c>
      <c r="R274" s="557">
        <f>COUNTIF(buckets[CTL Bucket],schedule13[[#This Row],[CTL Bucket]])</f>
        <v/>
      </c>
      <c r="S274" s="599" t="n">
        <v>22.23</v>
      </c>
      <c r="T274" s="599" t="n">
        <v>22.23</v>
      </c>
      <c r="U274" s="599" t="n">
        <v>0</v>
      </c>
      <c r="V274" s="599" t="n">
        <v>2.3</v>
      </c>
      <c r="W274" s="600" t="n">
        <v>350</v>
      </c>
      <c r="X274" s="600" t="n"/>
      <c r="Y274" s="601" t="n">
        <v>0</v>
      </c>
      <c r="Z274" s="601" t="n"/>
      <c r="AA274" s="602">
        <f>Y274-Z274</f>
        <v/>
      </c>
      <c r="AB274" s="599">
        <f>(S274-V274)*V274*W274*0.024653*Y274/1000000</f>
        <v/>
      </c>
      <c r="AC274" s="599">
        <f>(S274-V274)*V274*W274*0.024653*Z274/1000000</f>
        <v/>
      </c>
      <c r="AD274" s="599">
        <f>AB274-AC274</f>
        <v/>
      </c>
      <c r="AE274" s="599" t="n"/>
      <c r="AF274" s="599" t="n"/>
      <c r="AG274" s="599" t="n"/>
      <c r="AH274" s="599">
        <f>AB273-AF274</f>
        <v/>
      </c>
      <c r="AI274" s="118">
        <f>(AC274+AF274)/AB273</f>
        <v/>
      </c>
    </row>
    <row r="275" hidden="1" s="584">
      <c r="A275" s="594" t="n">
        <v>154</v>
      </c>
      <c r="B275" s="5" t="inlineStr">
        <is>
          <t>Hosur</t>
        </is>
      </c>
      <c r="C275" s="601" t="inlineStr">
        <is>
          <t>Rajsriya Automotive</t>
        </is>
      </c>
      <c r="D275" s="601" t="inlineStr">
        <is>
          <t>Rajsriya</t>
        </is>
      </c>
      <c r="E275" s="601" t="inlineStr">
        <is>
          <t>129695|189481|187884|188415|189239|189240</t>
        </is>
      </c>
      <c r="F275" s="601" t="n">
        <v>3616912</v>
      </c>
      <c r="G275" s="601" t="inlineStr">
        <is>
          <t>TUB-R-AW-AUT-40.00X30.00X1.600X0.8520</t>
        </is>
      </c>
      <c r="H275" s="601" t="inlineStr">
        <is>
          <t>ERW 1</t>
        </is>
      </c>
      <c r="I275" s="601" t="n"/>
      <c r="J275" s="601" t="n"/>
      <c r="K275" s="601" t="inlineStr">
        <is>
          <t>HR</t>
        </is>
      </c>
      <c r="L275" s="601" t="n"/>
      <c r="M275" s="601" t="n"/>
      <c r="N275" s="601" t="n"/>
      <c r="O275" s="601" t="n"/>
      <c r="P275" s="557">
        <f>CONCATENATE(schedule13[[#This Row],[OD]],"-",schedule13[[#This Row],[ID]],"-",schedule13[[#This Row],[TICKNESS]],"-",schedule13[[#This Row],[GRADE]],"-",schedule13[[#This Row],[FC/NFC]])</f>
        <v/>
      </c>
      <c r="Q275" s="557">
        <f>_xlfn.CONCAT(schedule13[[#This Row],[Bucket]],"-",schedule13[[#This Row],[LENGTH]]/1000)</f>
        <v/>
      </c>
      <c r="R275" s="557">
        <f>COUNTIF(buckets[CTL Bucket],schedule13[[#This Row],[CTL Bucket]])</f>
        <v/>
      </c>
      <c r="S275" s="599" t="n">
        <v>44.45</v>
      </c>
      <c r="T275" s="599" t="n">
        <v>40</v>
      </c>
      <c r="U275" s="6" t="n">
        <v>30</v>
      </c>
      <c r="V275" s="599" t="n">
        <v>1.6</v>
      </c>
      <c r="W275" s="600" t="n">
        <v>852</v>
      </c>
      <c r="X275" s="600" t="n"/>
      <c r="Y275" s="601" t="n">
        <v>0</v>
      </c>
      <c r="Z275" s="601" t="n"/>
      <c r="AA275" s="602">
        <f>Y275-Z275</f>
        <v/>
      </c>
      <c r="AB275" s="599">
        <f>(S275-V275)*V275*W275*0.024653*Y275/1000000</f>
        <v/>
      </c>
      <c r="AC275" s="599">
        <f>(S275-V275)*V275*W275*0.024653*Z275/1000000</f>
        <v/>
      </c>
      <c r="AD275" s="599">
        <f>AB275-AC275</f>
        <v/>
      </c>
      <c r="AE275" s="599" t="n"/>
      <c r="AF275" s="599" t="n">
        <v>3.988855</v>
      </c>
      <c r="AG275" s="599" t="n"/>
      <c r="AH275" s="599">
        <f>AB274-AF275</f>
        <v/>
      </c>
      <c r="AI275" s="118">
        <f>(AC275+AF275)/AB274</f>
        <v/>
      </c>
    </row>
    <row r="276" hidden="1" s="584">
      <c r="A276" s="594" t="n">
        <v>156</v>
      </c>
      <c r="B276" s="5" t="inlineStr">
        <is>
          <t>Hosur</t>
        </is>
      </c>
      <c r="C276" s="601" t="inlineStr">
        <is>
          <t>Rajsriya Automotive</t>
        </is>
      </c>
      <c r="D276" s="601" t="inlineStr">
        <is>
          <t>Rajsriya</t>
        </is>
      </c>
      <c r="E276" s="601" t="inlineStr">
        <is>
          <t>129695|189481|187884|188415|189239|189240</t>
        </is>
      </c>
      <c r="F276" s="601" t="n"/>
      <c r="G276" s="601" t="inlineStr">
        <is>
          <t>CUT-O-N-AUT-AW-FC-57.15X2.000X0.409</t>
        </is>
      </c>
      <c r="H276" s="601" t="inlineStr">
        <is>
          <t>ERW 1</t>
        </is>
      </c>
      <c r="I276" s="601" t="n"/>
      <c r="J276" s="601" t="n"/>
      <c r="K276" s="601" t="inlineStr">
        <is>
          <t>HR</t>
        </is>
      </c>
      <c r="L276" s="601" t="n"/>
      <c r="M276" s="601" t="n"/>
      <c r="N276" s="601" t="n"/>
      <c r="O276" s="601" t="n"/>
      <c r="P276" s="557">
        <f>CONCATENATE(schedule13[[#This Row],[OD]],"-",schedule13[[#This Row],[ID]],"-",schedule13[[#This Row],[TICKNESS]],"-",schedule13[[#This Row],[GRADE]],"-",schedule13[[#This Row],[FC/NFC]])</f>
        <v/>
      </c>
      <c r="Q276" s="557">
        <f>_xlfn.CONCAT(schedule13[[#This Row],[Bucket]],"-",schedule13[[#This Row],[LENGTH]]/1000)</f>
        <v/>
      </c>
      <c r="R276" s="557">
        <f>COUNTIF(buckets[CTL Bucket],schedule13[[#This Row],[CTL Bucket]])</f>
        <v/>
      </c>
      <c r="S276" s="599" t="n">
        <v>57.15</v>
      </c>
      <c r="T276" s="599" t="n">
        <v>57.15</v>
      </c>
      <c r="U276" s="599" t="n">
        <v>0</v>
      </c>
      <c r="V276" s="599" t="n">
        <v>2</v>
      </c>
      <c r="W276" s="600" t="n">
        <v>409</v>
      </c>
      <c r="X276" s="600" t="n"/>
      <c r="Y276" s="601" t="n">
        <v>0</v>
      </c>
      <c r="Z276" s="601" t="n"/>
      <c r="AA276" s="602">
        <f>Y276-Z276</f>
        <v/>
      </c>
      <c r="AB276" s="599">
        <f>(S276-V276)*V276*W276*0.024653*Y276/1000000</f>
        <v/>
      </c>
      <c r="AC276" s="599">
        <f>(S276-V276)*V276*W276*0.024653*Z276/1000000</f>
        <v/>
      </c>
      <c r="AD276" s="599">
        <f>AB276-AC276</f>
        <v/>
      </c>
      <c r="AE276" s="599" t="n"/>
      <c r="AF276" s="599" t="n"/>
      <c r="AG276" s="599" t="n"/>
      <c r="AH276" s="599">
        <f>AB275-AF276</f>
        <v/>
      </c>
      <c r="AI276" s="118">
        <f>(AC276+AF276)/AB275</f>
        <v/>
      </c>
    </row>
    <row r="277" hidden="1" s="584">
      <c r="A277" s="594" t="n">
        <v>160</v>
      </c>
      <c r="B277" s="5" t="inlineStr">
        <is>
          <t>Hosur</t>
        </is>
      </c>
      <c r="C277" s="601" t="inlineStr">
        <is>
          <t>Rajsriya Automotive</t>
        </is>
      </c>
      <c r="D277" s="601" t="inlineStr">
        <is>
          <t>Rajsriya</t>
        </is>
      </c>
      <c r="E277" s="601" t="inlineStr">
        <is>
          <t>129695|189481|187884|188415|189239|189240</t>
        </is>
      </c>
      <c r="F277" s="601" t="n">
        <v>1432169</v>
      </c>
      <c r="G277" s="601" t="inlineStr">
        <is>
          <t>TUB-O-N-AUT-AW-PE-19.05X2.000X0.4300</t>
        </is>
      </c>
      <c r="H277" s="601" t="n"/>
      <c r="I277" s="601" t="n"/>
      <c r="J277" s="601" t="n"/>
      <c r="K277" s="601" t="inlineStr">
        <is>
          <t>HR</t>
        </is>
      </c>
      <c r="L277" s="601" t="n"/>
      <c r="M277" s="601" t="n"/>
      <c r="N277" s="601" t="n"/>
      <c r="O277" s="601" t="n"/>
      <c r="P277" s="557">
        <f>CONCATENATE(schedule13[[#This Row],[OD]],"-",schedule13[[#This Row],[ID]],"-",schedule13[[#This Row],[TICKNESS]],"-",schedule13[[#This Row],[GRADE]],"-",schedule13[[#This Row],[FC/NFC]])</f>
        <v/>
      </c>
      <c r="Q277" s="557">
        <f>_xlfn.CONCAT(schedule13[[#This Row],[Bucket]],"-",schedule13[[#This Row],[LENGTH]]/1000)</f>
        <v/>
      </c>
      <c r="R277" s="557">
        <f>COUNTIF(buckets[CTL Bucket],schedule13[[#This Row],[CTL Bucket]])</f>
        <v/>
      </c>
      <c r="S277" s="599" t="n">
        <v>19.05</v>
      </c>
      <c r="T277" s="599" t="n">
        <v>19.05</v>
      </c>
      <c r="U277" s="599" t="n">
        <v>0</v>
      </c>
      <c r="V277" s="599" t="n">
        <v>2</v>
      </c>
      <c r="W277" s="600" t="n">
        <v>430</v>
      </c>
      <c r="X277" s="600" t="n"/>
      <c r="Y277" s="601" t="n">
        <v>0</v>
      </c>
      <c r="Z277" s="601" t="n"/>
      <c r="AA277" s="602">
        <f>Y277-Z277</f>
        <v/>
      </c>
      <c r="AB277" s="599">
        <f>(S277-V277)*V277*W277*0.024653*Y277/1000000</f>
        <v/>
      </c>
      <c r="AC277" s="599">
        <f>(S277-V277)*V277*W277*0.024653*Z277/1000000</f>
        <v/>
      </c>
      <c r="AD277" s="599">
        <f>AB277-AC277</f>
        <v/>
      </c>
      <c r="AE277" s="599" t="n"/>
      <c r="AF277" s="599" t="n"/>
      <c r="AG277" s="599" t="n"/>
      <c r="AH277" s="599">
        <f>AB276-AF277</f>
        <v/>
      </c>
      <c r="AI277" s="118">
        <f>(AC277+AF277)/AB276</f>
        <v/>
      </c>
    </row>
    <row r="278" hidden="1" s="584">
      <c r="A278" s="594" t="n">
        <v>180</v>
      </c>
      <c r="B278" s="5" t="inlineStr">
        <is>
          <t>Hosur</t>
        </is>
      </c>
      <c r="C278" s="601" t="inlineStr">
        <is>
          <t>Rajsriya Automotive</t>
        </is>
      </c>
      <c r="D278" s="601" t="inlineStr">
        <is>
          <t>Rajsriya</t>
        </is>
      </c>
      <c r="E278" s="601" t="inlineStr">
        <is>
          <t>129695|189481|187884|188415|189239|189240</t>
        </is>
      </c>
      <c r="F278" s="601" t="n">
        <v>1940430</v>
      </c>
      <c r="G278" s="601" t="inlineStr">
        <is>
          <t>TUB-O-O-AUT-AW-PE-22.23X2.000X0.2200</t>
        </is>
      </c>
      <c r="H278" s="601" t="inlineStr">
        <is>
          <t>ERW 1</t>
        </is>
      </c>
      <c r="I278" s="601" t="n"/>
      <c r="J278" s="601" t="n"/>
      <c r="K278" s="601" t="inlineStr">
        <is>
          <t>HR</t>
        </is>
      </c>
      <c r="L278" s="601" t="n"/>
      <c r="M278" s="601" t="n"/>
      <c r="N278" s="601" t="n"/>
      <c r="O278" s="601" t="n"/>
      <c r="P278" s="557">
        <f>CONCATENATE(schedule13[[#This Row],[OD]],"-",schedule13[[#This Row],[ID]],"-",schedule13[[#This Row],[TICKNESS]],"-",schedule13[[#This Row],[GRADE]],"-",schedule13[[#This Row],[FC/NFC]])</f>
        <v/>
      </c>
      <c r="Q278" s="557">
        <f>_xlfn.CONCAT(schedule13[[#This Row],[Bucket]],"-",schedule13[[#This Row],[LENGTH]]/1000)</f>
        <v/>
      </c>
      <c r="R278" s="557">
        <f>COUNTIF(buckets[CTL Bucket],schedule13[[#This Row],[CTL Bucket]])</f>
        <v/>
      </c>
      <c r="S278" s="599" t="n">
        <v>22.23</v>
      </c>
      <c r="T278" s="599" t="n">
        <v>22.23</v>
      </c>
      <c r="U278" s="599" t="n">
        <v>0</v>
      </c>
      <c r="V278" s="599" t="n">
        <v>2</v>
      </c>
      <c r="W278" s="23" t="n">
        <v>220</v>
      </c>
      <c r="X278" s="23" t="n"/>
      <c r="Y278" s="601" t="n">
        <v>0</v>
      </c>
      <c r="Z278" s="601" t="n"/>
      <c r="AA278" s="602">
        <f>Y278-Z278</f>
        <v/>
      </c>
      <c r="AB278" s="599">
        <f>(S278-V278)*V278*W278*0.024653*Y278/1000000</f>
        <v/>
      </c>
      <c r="AC278" s="599">
        <f>(S278-V278)*V278*W278*0.024653*Z278/1000000</f>
        <v/>
      </c>
      <c r="AD278" s="599">
        <f>AB278-AC278</f>
        <v/>
      </c>
      <c r="AE278" s="599" t="n"/>
      <c r="AF278" s="599" t="n">
        <v>0.389968</v>
      </c>
      <c r="AG278" s="599" t="n"/>
      <c r="AH278" s="599">
        <f>AB277-AF278</f>
        <v/>
      </c>
      <c r="AI278" s="118">
        <f>(AC278+AF278)/AB277</f>
        <v/>
      </c>
    </row>
    <row r="279" hidden="1" s="584">
      <c r="A279" s="594" t="n">
        <v>181</v>
      </c>
      <c r="B279" s="5" t="inlineStr">
        <is>
          <t>Hosur</t>
        </is>
      </c>
      <c r="C279" s="601" t="inlineStr">
        <is>
          <t>Rajsriya Automotive</t>
        </is>
      </c>
      <c r="D279" s="601" t="inlineStr">
        <is>
          <t>Rajsriya</t>
        </is>
      </c>
      <c r="E279" s="601" t="inlineStr">
        <is>
          <t>129695|189481|187884|188415|189239|189240</t>
        </is>
      </c>
      <c r="F279" s="601" t="n">
        <v>1939992</v>
      </c>
      <c r="G279" s="601" t="inlineStr">
        <is>
          <t>TUB-O-O-AUT-AW-PE-12.70X1.600X0.1870</t>
        </is>
      </c>
      <c r="H279" s="601" t="inlineStr">
        <is>
          <t>ERW 1</t>
        </is>
      </c>
      <c r="I279" s="601" t="n"/>
      <c r="J279" s="601" t="n"/>
      <c r="K279" s="601" t="inlineStr">
        <is>
          <t>HR</t>
        </is>
      </c>
      <c r="L279" s="601" t="n"/>
      <c r="M279" s="601" t="n"/>
      <c r="N279" s="601" t="n"/>
      <c r="O279" s="601" t="n"/>
      <c r="P279" s="557">
        <f>CONCATENATE(schedule13[[#This Row],[OD]],"-",schedule13[[#This Row],[ID]],"-",schedule13[[#This Row],[TICKNESS]],"-",schedule13[[#This Row],[GRADE]],"-",schedule13[[#This Row],[FC/NFC]])</f>
        <v/>
      </c>
      <c r="Q279" s="557">
        <f>_xlfn.CONCAT(schedule13[[#This Row],[Bucket]],"-",schedule13[[#This Row],[LENGTH]]/1000)</f>
        <v/>
      </c>
      <c r="R279" s="557">
        <f>COUNTIF(buckets[CTL Bucket],schedule13[[#This Row],[CTL Bucket]])</f>
        <v/>
      </c>
      <c r="S279" s="599" t="n">
        <v>12.7</v>
      </c>
      <c r="T279" s="599" t="n">
        <v>12.7</v>
      </c>
      <c r="U279" s="599" t="n">
        <v>0</v>
      </c>
      <c r="V279" s="599" t="n">
        <v>1.6</v>
      </c>
      <c r="W279" s="23" t="n">
        <v>187</v>
      </c>
      <c r="X279" s="23" t="n"/>
      <c r="Y279" s="601" t="n">
        <v>0</v>
      </c>
      <c r="Z279" s="601" t="n"/>
      <c r="AA279" s="602">
        <f>Y279-Z279</f>
        <v/>
      </c>
      <c r="AB279" s="599">
        <f>(S279-V279)*V279*W279*0.024653*Y279/1000000</f>
        <v/>
      </c>
      <c r="AC279" s="599">
        <f>(S279-V279)*V279*W279*0.024653*Z279/1000000</f>
        <v/>
      </c>
      <c r="AD279" s="599">
        <f>AB279-AC279</f>
        <v/>
      </c>
      <c r="AE279" s="599" t="n"/>
      <c r="AF279" s="599" t="n">
        <v>1.891</v>
      </c>
      <c r="AG279" s="599" t="n"/>
      <c r="AH279" s="599">
        <f>AB278-AF279</f>
        <v/>
      </c>
      <c r="AI279" s="118">
        <f>(AC279+AF279)/AB278</f>
        <v/>
      </c>
    </row>
    <row r="280" hidden="1" s="584">
      <c r="A280" s="594" t="n">
        <v>190</v>
      </c>
      <c r="B280" s="5" t="inlineStr">
        <is>
          <t>Hosur</t>
        </is>
      </c>
      <c r="C280" s="601" t="inlineStr">
        <is>
          <t>Rajsriya Automotive</t>
        </is>
      </c>
      <c r="D280" s="601" t="inlineStr">
        <is>
          <t>Rajsriya</t>
        </is>
      </c>
      <c r="E280" s="601" t="inlineStr">
        <is>
          <t>129695|189481|187884|188415|189239|189240</t>
        </is>
      </c>
      <c r="F280" s="601" t="n">
        <v>2403384</v>
      </c>
      <c r="G280" s="601" t="inlineStr">
        <is>
          <t>TUB-O-N-AUT-AW-PE-19.05X2.000X0.4490</t>
        </is>
      </c>
      <c r="H280" s="601" t="inlineStr">
        <is>
          <t>ERW 1</t>
        </is>
      </c>
      <c r="I280" s="601" t="n"/>
      <c r="J280" s="601" t="n"/>
      <c r="K280" s="601" t="inlineStr">
        <is>
          <t>HR</t>
        </is>
      </c>
      <c r="L280" s="601" t="n"/>
      <c r="M280" s="601" t="n"/>
      <c r="N280" s="601" t="n"/>
      <c r="O280" s="601" t="n"/>
      <c r="P280" s="557">
        <f>CONCATENATE(schedule13[[#This Row],[OD]],"-",schedule13[[#This Row],[ID]],"-",schedule13[[#This Row],[TICKNESS]],"-",schedule13[[#This Row],[GRADE]],"-",schedule13[[#This Row],[FC/NFC]])</f>
        <v/>
      </c>
      <c r="Q280" s="557">
        <f>_xlfn.CONCAT(schedule13[[#This Row],[Bucket]],"-",schedule13[[#This Row],[LENGTH]]/1000)</f>
        <v/>
      </c>
      <c r="R280" s="557">
        <f>COUNTIF(buckets[CTL Bucket],schedule13[[#This Row],[CTL Bucket]])</f>
        <v/>
      </c>
      <c r="S280" s="599" t="n">
        <v>19.05</v>
      </c>
      <c r="T280" s="599" t="n">
        <v>19.05</v>
      </c>
      <c r="U280" s="599" t="n">
        <v>0</v>
      </c>
      <c r="V280" s="599" t="n">
        <v>2</v>
      </c>
      <c r="W280" s="27" t="n">
        <v>449</v>
      </c>
      <c r="X280" s="27" t="n"/>
      <c r="Y280" s="601" t="n">
        <v>0</v>
      </c>
      <c r="Z280" s="601" t="n"/>
      <c r="AA280" s="602">
        <f>Y280-Z280</f>
        <v/>
      </c>
      <c r="AB280" s="599">
        <f>(S280-V280)*V280*W280*0.024653*Y280/1000000</f>
        <v/>
      </c>
      <c r="AC280" s="599">
        <f>(S280-V280)*V280*W280*0.024653*Z280/1000000</f>
        <v/>
      </c>
      <c r="AD280" s="599">
        <f>AB280-AC280</f>
        <v/>
      </c>
      <c r="AE280" s="599" t="n"/>
      <c r="AF280" s="599" t="n">
        <v>3.057</v>
      </c>
      <c r="AG280" s="599" t="n"/>
      <c r="AH280" s="599">
        <f>AB279-AF280</f>
        <v/>
      </c>
      <c r="AI280" s="118">
        <f>(AC280+AF280)/AB279</f>
        <v/>
      </c>
    </row>
    <row r="281" hidden="1" s="584">
      <c r="A281" s="594" t="n">
        <v>192</v>
      </c>
      <c r="B281" s="5" t="inlineStr">
        <is>
          <t>Hosur</t>
        </is>
      </c>
      <c r="C281" s="601" t="inlineStr">
        <is>
          <t>Rajsriya Automotive</t>
        </is>
      </c>
      <c r="D281" s="601" t="inlineStr">
        <is>
          <t>Rajsriya</t>
        </is>
      </c>
      <c r="E281" s="601" t="inlineStr">
        <is>
          <t>129695|189481|187884|188415|189239|189240</t>
        </is>
      </c>
      <c r="F281" s="601" t="n">
        <v>2403386</v>
      </c>
      <c r="G281" s="601" t="inlineStr">
        <is>
          <t>TUB-O-N-AUT-AW-PE-19.05X2.000X0.3580</t>
        </is>
      </c>
      <c r="H281" s="601" t="inlineStr">
        <is>
          <t>ERW 1</t>
        </is>
      </c>
      <c r="I281" s="601" t="n"/>
      <c r="J281" s="601" t="n"/>
      <c r="K281" s="601" t="inlineStr">
        <is>
          <t>HR</t>
        </is>
      </c>
      <c r="L281" s="601" t="n"/>
      <c r="M281" s="601" t="n"/>
      <c r="N281" s="601" t="n"/>
      <c r="O281" s="601" t="n"/>
      <c r="P281" s="557">
        <f>CONCATENATE(schedule13[[#This Row],[OD]],"-",schedule13[[#This Row],[ID]],"-",schedule13[[#This Row],[TICKNESS]],"-",schedule13[[#This Row],[GRADE]],"-",schedule13[[#This Row],[FC/NFC]])</f>
        <v/>
      </c>
      <c r="Q281" s="557">
        <f>_xlfn.CONCAT(schedule13[[#This Row],[Bucket]],"-",schedule13[[#This Row],[LENGTH]]/1000)</f>
        <v/>
      </c>
      <c r="R281" s="557">
        <f>COUNTIF(buckets[CTL Bucket],schedule13[[#This Row],[CTL Bucket]])</f>
        <v/>
      </c>
      <c r="S281" s="599" t="n">
        <v>19.05</v>
      </c>
      <c r="T281" s="599" t="n">
        <v>19.05</v>
      </c>
      <c r="U281" s="599" t="n">
        <v>0</v>
      </c>
      <c r="V281" s="599" t="n">
        <v>2</v>
      </c>
      <c r="W281" s="27" t="n">
        <v>358</v>
      </c>
      <c r="X281" s="27" t="n"/>
      <c r="Y281" s="601" t="n">
        <v>0</v>
      </c>
      <c r="Z281" s="601" t="n"/>
      <c r="AA281" s="602">
        <f>Y281-Z281</f>
        <v/>
      </c>
      <c r="AB281" s="599">
        <f>(S281-V281)*V281*W281*0.024653*Y281/1000000</f>
        <v/>
      </c>
      <c r="AC281" s="599">
        <f>(S281-V281)*V281*W281*0.024653*Z281/1000000</f>
        <v/>
      </c>
      <c r="AD281" s="599">
        <f>AB281-AC281</f>
        <v/>
      </c>
      <c r="AE281" s="599" t="n"/>
      <c r="AF281" s="599" t="n"/>
      <c r="AG281" s="599" t="n"/>
      <c r="AH281" s="599">
        <f>AB280-AF281</f>
        <v/>
      </c>
      <c r="AI281" s="118">
        <f>(AC281+AF281)/AB280</f>
        <v/>
      </c>
    </row>
    <row r="282" hidden="1" s="584">
      <c r="A282" s="594" t="n">
        <v>195</v>
      </c>
      <c r="B282" s="5" t="inlineStr">
        <is>
          <t>Hosur</t>
        </is>
      </c>
      <c r="C282" s="601" t="inlineStr">
        <is>
          <t>Rajsriya Automotive</t>
        </is>
      </c>
      <c r="D282" s="601" t="inlineStr">
        <is>
          <t>Rajsriya</t>
        </is>
      </c>
      <c r="E282" s="601" t="inlineStr">
        <is>
          <t>129695|189481|187884|188415|189239|189240</t>
        </is>
      </c>
      <c r="F282" s="601" t="n">
        <v>2440974</v>
      </c>
      <c r="G282" s="601" t="inlineStr">
        <is>
          <t>TUB-O-O-AUT-AW-PE-12.70X1.600X0.2800</t>
        </is>
      </c>
      <c r="H282" s="601" t="inlineStr">
        <is>
          <t>ERW 1</t>
        </is>
      </c>
      <c r="I282" s="601" t="n"/>
      <c r="J282" s="601" t="n"/>
      <c r="K282" s="601" t="inlineStr">
        <is>
          <t>HR</t>
        </is>
      </c>
      <c r="L282" s="601" t="n"/>
      <c r="M282" s="601" t="n"/>
      <c r="N282" s="601" t="n"/>
      <c r="O282" s="601" t="n"/>
      <c r="P282" s="557">
        <f>CONCATENATE(schedule13[[#This Row],[OD]],"-",schedule13[[#This Row],[ID]],"-",schedule13[[#This Row],[TICKNESS]],"-",schedule13[[#This Row],[GRADE]],"-",schedule13[[#This Row],[FC/NFC]])</f>
        <v/>
      </c>
      <c r="Q282" s="557">
        <f>_xlfn.CONCAT(schedule13[[#This Row],[Bucket]],"-",schedule13[[#This Row],[LENGTH]]/1000)</f>
        <v/>
      </c>
      <c r="R282" s="557">
        <f>COUNTIF(buckets[CTL Bucket],schedule13[[#This Row],[CTL Bucket]])</f>
        <v/>
      </c>
      <c r="S282" s="599" t="n">
        <v>12.7</v>
      </c>
      <c r="T282" s="599" t="n">
        <v>12.7</v>
      </c>
      <c r="U282" s="599" t="n">
        <v>0</v>
      </c>
      <c r="V282" s="599" t="n">
        <v>1.6</v>
      </c>
      <c r="W282" s="27" t="n">
        <v>280</v>
      </c>
      <c r="X282" s="27" t="n"/>
      <c r="Y282" s="601" t="n">
        <v>0</v>
      </c>
      <c r="Z282" s="601" t="n"/>
      <c r="AA282" s="602">
        <f>Y282-Z282</f>
        <v/>
      </c>
      <c r="AB282" s="599">
        <f>(S282-V282)*V282*W282*0.024653*Y282/1000000</f>
        <v/>
      </c>
      <c r="AC282" s="599">
        <f>(S282-V282)*V282*W282*0.024653*Z282/1000000</f>
        <v/>
      </c>
      <c r="AD282" s="599">
        <f>AB282-AC282</f>
        <v/>
      </c>
      <c r="AE282" s="599" t="n"/>
      <c r="AF282" s="599" t="n">
        <v>0.329424</v>
      </c>
      <c r="AG282" s="599" t="n"/>
      <c r="AH282" s="599">
        <f>AB281-AF282</f>
        <v/>
      </c>
      <c r="AI282" s="118">
        <f>(AC282+AF282)/AB281</f>
        <v/>
      </c>
    </row>
    <row r="283" hidden="1" s="584">
      <c r="A283" s="594" t="n">
        <v>201</v>
      </c>
      <c r="B283" s="5" t="inlineStr">
        <is>
          <t>Hosur</t>
        </is>
      </c>
      <c r="C283" s="601" t="inlineStr">
        <is>
          <t>Rajsriya Automotive</t>
        </is>
      </c>
      <c r="D283" s="601" t="inlineStr">
        <is>
          <t>Rajsriya</t>
        </is>
      </c>
      <c r="E283" s="601" t="inlineStr">
        <is>
          <t>129695|189481|187884|188415|189239|189240</t>
        </is>
      </c>
      <c r="F283" s="601" t="n">
        <v>1940745</v>
      </c>
      <c r="G283" s="601" t="inlineStr">
        <is>
          <t>TUB-O-O-AUT-AW-FC-38.10X2.000X0.9270</t>
        </is>
      </c>
      <c r="H283" s="601" t="inlineStr">
        <is>
          <t>ERW 1</t>
        </is>
      </c>
      <c r="I283" s="601" t="n"/>
      <c r="J283" s="601" t="n"/>
      <c r="K283" s="601" t="inlineStr">
        <is>
          <t>HR</t>
        </is>
      </c>
      <c r="L283" s="601" t="n"/>
      <c r="M283" s="601" t="n"/>
      <c r="N283" s="601" t="n"/>
      <c r="O283" s="601" t="n"/>
      <c r="P283" s="557">
        <f>CONCATENATE(schedule13[[#This Row],[OD]],"-",schedule13[[#This Row],[ID]],"-",schedule13[[#This Row],[TICKNESS]],"-",schedule13[[#This Row],[GRADE]],"-",schedule13[[#This Row],[FC/NFC]])</f>
        <v/>
      </c>
      <c r="Q283" s="557">
        <f>_xlfn.CONCAT(schedule13[[#This Row],[Bucket]],"-",schedule13[[#This Row],[LENGTH]]/1000)</f>
        <v/>
      </c>
      <c r="R283" s="557">
        <f>COUNTIF(buckets[CTL Bucket],schedule13[[#This Row],[CTL Bucket]])</f>
        <v/>
      </c>
      <c r="S283" s="599" t="n">
        <v>38.1</v>
      </c>
      <c r="T283" s="599" t="n">
        <v>38.1</v>
      </c>
      <c r="U283" s="599" t="n">
        <v>0</v>
      </c>
      <c r="V283" s="599" t="n">
        <v>2</v>
      </c>
      <c r="W283" s="23" t="n">
        <v>927</v>
      </c>
      <c r="X283" s="23" t="n"/>
      <c r="Y283" s="601" t="n">
        <v>0</v>
      </c>
      <c r="Z283" s="601" t="n"/>
      <c r="AA283" s="602">
        <f>Y283-Z283</f>
        <v/>
      </c>
      <c r="AB283" s="599">
        <f>(S283-V283)*V283*W283*0.024653*Y283/1000000</f>
        <v/>
      </c>
      <c r="AC283" s="599">
        <f>(S283-V283)*V283*W283*0.024653*Z283/1000000</f>
        <v/>
      </c>
      <c r="AD283" s="599">
        <f>AB283-AC283</f>
        <v/>
      </c>
      <c r="AE283" s="599" t="n"/>
      <c r="AF283" s="599" t="n">
        <v>1.232</v>
      </c>
      <c r="AG283" s="599" t="n"/>
      <c r="AH283" s="599">
        <f>AB282-AF283</f>
        <v/>
      </c>
      <c r="AI283" s="118">
        <f>(AC283+AF283)/AB282</f>
        <v/>
      </c>
    </row>
    <row r="284" hidden="1" s="584">
      <c r="A284" s="594" t="n">
        <v>204</v>
      </c>
      <c r="B284" s="5" t="inlineStr">
        <is>
          <t>Hosur</t>
        </is>
      </c>
      <c r="C284" s="601" t="inlineStr">
        <is>
          <t>Rajsriya Automotive</t>
        </is>
      </c>
      <c r="D284" s="601" t="inlineStr">
        <is>
          <t>Rajsriya</t>
        </is>
      </c>
      <c r="E284" s="601" t="inlineStr">
        <is>
          <t>129695|189481|187884|188415|189239|189240</t>
        </is>
      </c>
      <c r="F284" s="601" t="n">
        <v>1900224</v>
      </c>
      <c r="G284" s="601" t="inlineStr">
        <is>
          <t>TUB-O-O-AUT-AW-PE-15.88X1.6.000X6.0000</t>
        </is>
      </c>
      <c r="H284" s="601" t="inlineStr">
        <is>
          <t>ERW 1</t>
        </is>
      </c>
      <c r="I284" s="601" t="n"/>
      <c r="J284" s="601" t="n"/>
      <c r="K284" s="601" t="inlineStr">
        <is>
          <t>HR</t>
        </is>
      </c>
      <c r="L284" s="601" t="n"/>
      <c r="M284" s="601" t="n"/>
      <c r="N284" s="601" t="n"/>
      <c r="O284" s="601" t="n"/>
      <c r="P284" s="557">
        <f>CONCATENATE(schedule13[[#This Row],[OD]],"-",schedule13[[#This Row],[ID]],"-",schedule13[[#This Row],[TICKNESS]],"-",schedule13[[#This Row],[GRADE]],"-",schedule13[[#This Row],[FC/NFC]])</f>
        <v/>
      </c>
      <c r="Q284" s="557">
        <f>_xlfn.CONCAT(schedule13[[#This Row],[Bucket]],"-",schedule13[[#This Row],[LENGTH]]/1000)</f>
        <v/>
      </c>
      <c r="R284" s="557">
        <f>COUNTIF(buckets[CTL Bucket],schedule13[[#This Row],[CTL Bucket]])</f>
        <v/>
      </c>
      <c r="S284" s="599" t="n">
        <v>15.88</v>
      </c>
      <c r="T284" s="599" t="n">
        <v>15.88</v>
      </c>
      <c r="U284" s="599" t="n">
        <v>0</v>
      </c>
      <c r="V284" s="599" t="n">
        <v>1.6</v>
      </c>
      <c r="W284" s="23" t="n">
        <v>6000</v>
      </c>
      <c r="X284" s="23" t="n"/>
      <c r="Y284" s="601" t="n">
        <v>0</v>
      </c>
      <c r="Z284" s="601" t="n"/>
      <c r="AA284" s="602">
        <f>Y284-Z284</f>
        <v/>
      </c>
      <c r="AB284" s="599">
        <f>(S284-V284)*V284*W284*0.024653*Y284/1000000</f>
        <v/>
      </c>
      <c r="AC284" s="599">
        <f>(S284-V284)*V284*W284*0.024653*Z284/1000000</f>
        <v/>
      </c>
      <c r="AD284" s="599">
        <f>AB284-AC284</f>
        <v/>
      </c>
      <c r="AE284" s="599" t="n"/>
      <c r="AF284" s="599" t="n"/>
      <c r="AG284" s="599" t="n"/>
      <c r="AH284" s="599">
        <f>AB283-AF284</f>
        <v/>
      </c>
      <c r="AI284" s="118">
        <f>(AC284+AF284)/AB283</f>
        <v/>
      </c>
    </row>
    <row r="285" hidden="1" s="584">
      <c r="A285" s="594" t="n">
        <v>206</v>
      </c>
      <c r="B285" s="5" t="inlineStr">
        <is>
          <t>Hosur</t>
        </is>
      </c>
      <c r="C285" s="601" t="inlineStr">
        <is>
          <t>Rajsriya Automotive</t>
        </is>
      </c>
      <c r="D285" s="601" t="inlineStr">
        <is>
          <t>Rajsriya</t>
        </is>
      </c>
      <c r="E285" s="601" t="inlineStr">
        <is>
          <t>129695|189481|187884|188415|189239|189240</t>
        </is>
      </c>
      <c r="F285" s="601" t="n">
        <v>508992</v>
      </c>
      <c r="G285" s="601" t="inlineStr">
        <is>
          <t>PT2-O-N-AUT-AW-PE-19.05X2.300X0.459</t>
        </is>
      </c>
      <c r="H285" s="601" t="inlineStr">
        <is>
          <t>ERW 1</t>
        </is>
      </c>
      <c r="I285" s="601" t="n"/>
      <c r="J285" s="601" t="n"/>
      <c r="K285" s="601" t="inlineStr">
        <is>
          <t>HR</t>
        </is>
      </c>
      <c r="L285" s="601" t="n"/>
      <c r="M285" s="601" t="n"/>
      <c r="N285" s="601" t="n"/>
      <c r="O285" s="601" t="n"/>
      <c r="P285" s="557">
        <f>CONCATENATE(schedule13[[#This Row],[OD]],"-",schedule13[[#This Row],[ID]],"-",schedule13[[#This Row],[TICKNESS]],"-",schedule13[[#This Row],[GRADE]],"-",schedule13[[#This Row],[FC/NFC]])</f>
        <v/>
      </c>
      <c r="Q285" s="557">
        <f>_xlfn.CONCAT(schedule13[[#This Row],[Bucket]],"-",schedule13[[#This Row],[LENGTH]]/1000)</f>
        <v/>
      </c>
      <c r="R285" s="557">
        <f>COUNTIF(buckets[CTL Bucket],schedule13[[#This Row],[CTL Bucket]])</f>
        <v/>
      </c>
      <c r="S285" s="599" t="n">
        <v>19.05</v>
      </c>
      <c r="T285" s="599" t="n">
        <v>19.05</v>
      </c>
      <c r="U285" s="599" t="n">
        <v>0</v>
      </c>
      <c r="V285" s="599" t="n">
        <v>2.3</v>
      </c>
      <c r="W285" s="23" t="n">
        <v>459</v>
      </c>
      <c r="X285" s="23" t="n"/>
      <c r="Y285" s="601" t="n">
        <v>0</v>
      </c>
      <c r="Z285" s="601" t="n"/>
      <c r="AA285" s="602">
        <f>Y285-Z285</f>
        <v/>
      </c>
      <c r="AB285" s="599">
        <f>(S285-V285)*V285*W285*0.024653*Y285/1000000</f>
        <v/>
      </c>
      <c r="AC285" s="599">
        <f>(S285-V285)*V285*W285*0.024653*Z285/1000000</f>
        <v/>
      </c>
      <c r="AD285" s="599">
        <f>AB285-AC285</f>
        <v/>
      </c>
      <c r="AE285" s="599" t="n"/>
      <c r="AF285" s="599" t="n">
        <v>1.15118</v>
      </c>
      <c r="AG285" s="599" t="n"/>
      <c r="AH285" s="599">
        <f>AB284-AF285</f>
        <v/>
      </c>
      <c r="AI285" s="118">
        <f>(AC285+AF285)/AB284</f>
        <v/>
      </c>
    </row>
    <row r="286" hidden="1" s="584">
      <c r="A286" s="594" t="n">
        <v>208</v>
      </c>
      <c r="B286" s="5" t="inlineStr">
        <is>
          <t>Hosur</t>
        </is>
      </c>
      <c r="C286" s="601" t="inlineStr">
        <is>
          <t>Rajsriya Automotive</t>
        </is>
      </c>
      <c r="D286" s="601" t="inlineStr">
        <is>
          <t>Rajsriya</t>
        </is>
      </c>
      <c r="E286" s="601" t="inlineStr">
        <is>
          <t>129695|189481|187884|188415|189239|189240</t>
        </is>
      </c>
      <c r="F286" s="601" t="n">
        <v>314118</v>
      </c>
      <c r="G286" s="601" t="inlineStr">
        <is>
          <t>TUB-O-N-AUT-AW-PE-22.20X1.200X0.300</t>
        </is>
      </c>
      <c r="H286" s="601" t="n"/>
      <c r="I286" s="601" t="n"/>
      <c r="J286" s="601" t="n"/>
      <c r="K286" s="601" t="inlineStr">
        <is>
          <t>HR</t>
        </is>
      </c>
      <c r="L286" s="601" t="n"/>
      <c r="M286" s="601" t="n"/>
      <c r="N286" s="601" t="n"/>
      <c r="O286" s="601" t="n"/>
      <c r="P286" s="557">
        <f>CONCATENATE(schedule13[[#This Row],[OD]],"-",schedule13[[#This Row],[ID]],"-",schedule13[[#This Row],[TICKNESS]],"-",schedule13[[#This Row],[GRADE]],"-",schedule13[[#This Row],[FC/NFC]])</f>
        <v/>
      </c>
      <c r="Q286" s="557">
        <f>_xlfn.CONCAT(schedule13[[#This Row],[Bucket]],"-",schedule13[[#This Row],[LENGTH]]/1000)</f>
        <v/>
      </c>
      <c r="R286" s="557">
        <f>COUNTIF(buckets[CTL Bucket],schedule13[[#This Row],[CTL Bucket]])</f>
        <v/>
      </c>
      <c r="S286" s="599" t="n">
        <v>22.23</v>
      </c>
      <c r="T286" s="599" t="n">
        <v>22.2</v>
      </c>
      <c r="U286" s="599" t="n">
        <v>0</v>
      </c>
      <c r="V286" s="599" t="n">
        <v>1.2</v>
      </c>
      <c r="W286" s="600" t="n">
        <v>300</v>
      </c>
      <c r="X286" s="600" t="n"/>
      <c r="Y286" s="601" t="n">
        <v>0</v>
      </c>
      <c r="Z286" s="601" t="n"/>
      <c r="AA286" s="602">
        <f>Y286-Z286</f>
        <v/>
      </c>
      <c r="AB286" s="599">
        <f>(S286-V286)*V286*W286*0.024653*Y286/1000000</f>
        <v/>
      </c>
      <c r="AC286" s="599">
        <f>(S286-V286)*V286*W286*0.024653*Z286/1000000</f>
        <v/>
      </c>
      <c r="AD286" s="599">
        <f>AB286-AC286</f>
        <v/>
      </c>
      <c r="AE286" s="599" t="n"/>
      <c r="AF286" s="599" t="n"/>
      <c r="AG286" s="599" t="n"/>
      <c r="AH286" s="599">
        <f>AB285-AF286</f>
        <v/>
      </c>
      <c r="AI286" s="118">
        <f>(AC286+AF286)/AB285</f>
        <v/>
      </c>
    </row>
    <row r="287" hidden="1" s="584">
      <c r="A287" s="594" t="n">
        <v>210</v>
      </c>
      <c r="B287" s="5" t="inlineStr">
        <is>
          <t xml:space="preserve">Khopoli </t>
        </is>
      </c>
      <c r="C287" s="601" t="inlineStr">
        <is>
          <t>Rajsriya Automotive</t>
        </is>
      </c>
      <c r="D287" s="601" t="inlineStr">
        <is>
          <t>Rajsriya</t>
        </is>
      </c>
      <c r="E287" s="601" t="inlineStr">
        <is>
          <t>129695|189481|187884|188415|189239|189240</t>
        </is>
      </c>
      <c r="F287" s="601" t="n">
        <v>3545491</v>
      </c>
      <c r="G287" s="601" t="inlineStr">
        <is>
          <t>TUB-I-C-AUT-AD-FC-12.50X3.250X0.3190</t>
        </is>
      </c>
      <c r="H287" s="601" t="inlineStr">
        <is>
          <t>CEW</t>
        </is>
      </c>
      <c r="I287" s="601" t="n"/>
      <c r="J287" s="601" t="inlineStr">
        <is>
          <t>CEW</t>
        </is>
      </c>
      <c r="K287" s="601" t="inlineStr">
        <is>
          <t>HR</t>
        </is>
      </c>
      <c r="L287" s="601" t="n"/>
      <c r="M287" s="601" t="n"/>
      <c r="N287" s="601" t="n"/>
      <c r="O287" s="601" t="n"/>
      <c r="P287" s="557">
        <f>CONCATENATE(schedule13[[#This Row],[OD]],"-",schedule13[[#This Row],[ID]],"-",schedule13[[#This Row],[TICKNESS]],"-",schedule13[[#This Row],[GRADE]],"-",schedule13[[#This Row],[FC/NFC]])</f>
        <v/>
      </c>
      <c r="Q287" s="557">
        <f>_xlfn.CONCAT(schedule13[[#This Row],[Bucket]],"-",schedule13[[#This Row],[LENGTH]]/1000)</f>
        <v/>
      </c>
      <c r="R287" s="557">
        <f>COUNTIF(buckets[CTL Bucket],schedule13[[#This Row],[CTL Bucket]])</f>
        <v/>
      </c>
      <c r="S287" s="599" t="n">
        <v>19.05</v>
      </c>
      <c r="T287" s="599" t="n">
        <v>19</v>
      </c>
      <c r="U287" s="599" t="n">
        <v>12.5</v>
      </c>
      <c r="V287" s="599" t="n">
        <v>3.25</v>
      </c>
      <c r="W287" s="600" t="n">
        <v>319</v>
      </c>
      <c r="X287" s="600" t="n"/>
      <c r="Y287" s="601" t="n">
        <v>0</v>
      </c>
      <c r="Z287" s="602" t="n"/>
      <c r="AA287" s="602">
        <f>Y287-Z287</f>
        <v/>
      </c>
      <c r="AB287" s="599">
        <f>(S287-V287)*V287*W287*0.024653*Y287/1000000</f>
        <v/>
      </c>
      <c r="AC287" s="599">
        <f>(S287-V287)*V287*W287*0.024653*Z287/1000000</f>
        <v/>
      </c>
      <c r="AD287" s="599">
        <f>AB287-AC287</f>
        <v/>
      </c>
      <c r="AE287" s="599" t="n"/>
      <c r="AF287" s="599" t="n">
        <v>0.06377000000000001</v>
      </c>
      <c r="AG287" s="599" t="n"/>
      <c r="AH287" s="599">
        <f>AB286-AF287</f>
        <v/>
      </c>
      <c r="AI287" s="118">
        <f>(AC287+AF287)/AB286</f>
        <v/>
      </c>
    </row>
    <row r="288" hidden="1" s="584">
      <c r="A288" s="594" t="n">
        <v>211</v>
      </c>
      <c r="B288" s="5" t="inlineStr">
        <is>
          <t xml:space="preserve">Khopoli </t>
        </is>
      </c>
      <c r="C288" s="601" t="inlineStr">
        <is>
          <t>Rajsriya Automotive</t>
        </is>
      </c>
      <c r="D288" s="601" t="inlineStr">
        <is>
          <t>Rajsriya</t>
        </is>
      </c>
      <c r="E288" s="601" t="inlineStr">
        <is>
          <t>129695|189481|187884|188415|189239|189240</t>
        </is>
      </c>
      <c r="F288" s="601" t="n"/>
      <c r="G288" s="601" t="n"/>
      <c r="H288" s="601" t="inlineStr">
        <is>
          <t>CEW</t>
        </is>
      </c>
      <c r="I288" s="601" t="n"/>
      <c r="J288" s="601" t="inlineStr">
        <is>
          <t>CEW</t>
        </is>
      </c>
      <c r="K288" s="601" t="inlineStr">
        <is>
          <t>HR</t>
        </is>
      </c>
      <c r="L288" s="601" t="n"/>
      <c r="M288" s="601" t="n"/>
      <c r="N288" s="601" t="n"/>
      <c r="O288" s="601" t="n"/>
      <c r="P288" s="557">
        <f>CONCATENATE(schedule13[[#This Row],[OD]],"-",schedule13[[#This Row],[ID]],"-",schedule13[[#This Row],[TICKNESS]],"-",schedule13[[#This Row],[GRADE]],"-",schedule13[[#This Row],[FC/NFC]])</f>
        <v/>
      </c>
      <c r="Q288" s="557">
        <f>_xlfn.CONCAT(schedule13[[#This Row],[Bucket]],"-",schedule13[[#This Row],[LENGTH]]/1000)</f>
        <v/>
      </c>
      <c r="R288" s="557">
        <f>COUNTIF(buckets[CTL Bucket],schedule13[[#This Row],[CTL Bucket]])</f>
        <v/>
      </c>
      <c r="S288" s="599" t="n">
        <v>19.05</v>
      </c>
      <c r="T288" s="599" t="n">
        <v>19</v>
      </c>
      <c r="U288" s="599" t="n">
        <v>12.5</v>
      </c>
      <c r="V288" s="599" t="n">
        <v>3.25</v>
      </c>
      <c r="W288" s="600" t="n">
        <v>200</v>
      </c>
      <c r="X288" s="600" t="n"/>
      <c r="Y288" s="601" t="n">
        <v>0</v>
      </c>
      <c r="Z288" s="602" t="n"/>
      <c r="AA288" s="602">
        <f>Y288-Z288</f>
        <v/>
      </c>
      <c r="AB288" s="599">
        <f>(S288-V288)*V288*W288*0.024653*Y288/1000000</f>
        <v/>
      </c>
      <c r="AC288" s="599">
        <f>(S288-V288)*V288*W288*0.024653*Z288/1000000</f>
        <v/>
      </c>
      <c r="AD288" s="599">
        <f>AB288-AC288</f>
        <v/>
      </c>
      <c r="AE288" s="599" t="n"/>
      <c r="AF288" s="599" t="n"/>
      <c r="AG288" s="599" t="n"/>
      <c r="AH288" s="599">
        <f>AB287-AF288</f>
        <v/>
      </c>
      <c r="AI288" s="118">
        <f>(AC288+AF288)/AB287</f>
        <v/>
      </c>
    </row>
    <row r="289" hidden="1" s="584">
      <c r="A289" s="594" t="n">
        <v>213</v>
      </c>
      <c r="B289" s="5" t="inlineStr">
        <is>
          <t xml:space="preserve">Khopoli </t>
        </is>
      </c>
      <c r="C289" s="601" t="inlineStr">
        <is>
          <t>Rajsriya Automotive</t>
        </is>
      </c>
      <c r="D289" s="601" t="inlineStr">
        <is>
          <t>Rajsriya</t>
        </is>
      </c>
      <c r="E289" s="601" t="inlineStr">
        <is>
          <t>129695|189481|187884|188415|189239|189240</t>
        </is>
      </c>
      <c r="F289" s="601" t="n">
        <v>503108</v>
      </c>
      <c r="G289" s="601" t="inlineStr">
        <is>
          <t>PT3-I-C-AUT-AD-CH-25.50X2.320X0.485</t>
        </is>
      </c>
      <c r="H289" s="601" t="inlineStr">
        <is>
          <t>CEW</t>
        </is>
      </c>
      <c r="I289" s="601" t="n"/>
      <c r="J289" s="601" t="inlineStr">
        <is>
          <t>CEW</t>
        </is>
      </c>
      <c r="K289" s="601" t="inlineStr">
        <is>
          <t>HR</t>
        </is>
      </c>
      <c r="L289" s="601" t="n"/>
      <c r="M289" s="601" t="n"/>
      <c r="N289" s="601" t="n"/>
      <c r="O289" s="601" t="n"/>
      <c r="P289" s="557">
        <f>CONCATENATE(schedule13[[#This Row],[OD]],"-",schedule13[[#This Row],[ID]],"-",schedule13[[#This Row],[TICKNESS]],"-",schedule13[[#This Row],[GRADE]],"-",schedule13[[#This Row],[FC/NFC]])</f>
        <v/>
      </c>
      <c r="Q289" s="557">
        <f>_xlfn.CONCAT(schedule13[[#This Row],[Bucket]],"-",schedule13[[#This Row],[LENGTH]]/1000)</f>
        <v/>
      </c>
      <c r="R289" s="557">
        <f>COUNTIF(buckets[CTL Bucket],schedule13[[#This Row],[CTL Bucket]])</f>
        <v/>
      </c>
      <c r="S289" s="599" t="n">
        <v>25.5</v>
      </c>
      <c r="T289" s="599" t="n">
        <v>30.15</v>
      </c>
      <c r="U289" s="599" t="n">
        <v>25.5</v>
      </c>
      <c r="V289" s="599" t="n">
        <v>2.32</v>
      </c>
      <c r="W289" s="600" t="n">
        <v>485</v>
      </c>
      <c r="X289" s="600" t="n"/>
      <c r="Y289" s="601" t="n">
        <v>0</v>
      </c>
      <c r="Z289" s="602" t="n"/>
      <c r="AA289" s="602">
        <f>Y289-Z289</f>
        <v/>
      </c>
      <c r="AB289" s="599">
        <f>(S289-V289)*V289*W289*0.024653*Y289/1000000</f>
        <v/>
      </c>
      <c r="AC289" s="599">
        <f>(S289-V289)*V289*W289*0.024653*Z289/1000000</f>
        <v/>
      </c>
      <c r="AD289" s="599">
        <f>AB289-AC289</f>
        <v/>
      </c>
      <c r="AE289" s="599" t="n"/>
      <c r="AF289" s="599" t="n"/>
      <c r="AG289" s="599" t="n"/>
      <c r="AH289" s="599">
        <f>AB288-AF289</f>
        <v/>
      </c>
      <c r="AI289" s="118">
        <f>(AC289+AF289)/AB288</f>
        <v/>
      </c>
    </row>
    <row r="290" hidden="1" s="584">
      <c r="A290" s="594" t="n">
        <v>214</v>
      </c>
      <c r="B290" s="5" t="inlineStr">
        <is>
          <t>Hosur</t>
        </is>
      </c>
      <c r="C290" s="601" t="inlineStr">
        <is>
          <t>Rajsriya Automotive</t>
        </is>
      </c>
      <c r="D290" s="601" t="inlineStr">
        <is>
          <t>Rajsriya</t>
        </is>
      </c>
      <c r="E290" s="601" t="inlineStr">
        <is>
          <t>129695|189481|187884|188415|189239|189240</t>
        </is>
      </c>
      <c r="F290" s="601" t="n">
        <v>1940829</v>
      </c>
      <c r="G290" s="601" t="inlineStr">
        <is>
          <t>TUB-R-AW-RHS-40.00X30.00X1.600X0.3140</t>
        </is>
      </c>
      <c r="H290" s="601" t="inlineStr">
        <is>
          <t>ERW 1</t>
        </is>
      </c>
      <c r="I290" s="601" t="n"/>
      <c r="J290" s="601" t="n"/>
      <c r="K290" s="601" t="inlineStr">
        <is>
          <t>HR</t>
        </is>
      </c>
      <c r="L290" s="601" t="n"/>
      <c r="M290" s="601" t="n"/>
      <c r="N290" s="601" t="n"/>
      <c r="O290" s="601" t="n"/>
      <c r="P290" s="557">
        <f>CONCATENATE(schedule13[[#This Row],[OD]],"-",schedule13[[#This Row],[ID]],"-",schedule13[[#This Row],[TICKNESS]],"-",schedule13[[#This Row],[GRADE]],"-",schedule13[[#This Row],[FC/NFC]])</f>
        <v/>
      </c>
      <c r="Q290" s="557">
        <f>_xlfn.CONCAT(schedule13[[#This Row],[Bucket]],"-",schedule13[[#This Row],[LENGTH]]/1000)</f>
        <v/>
      </c>
      <c r="R290" s="557">
        <f>COUNTIF(buckets[CTL Bucket],schedule13[[#This Row],[CTL Bucket]])</f>
        <v/>
      </c>
      <c r="S290" s="599" t="n">
        <v>44.45</v>
      </c>
      <c r="T290" s="599" t="n">
        <v>40</v>
      </c>
      <c r="U290" s="599" t="n">
        <v>30</v>
      </c>
      <c r="V290" s="599" t="n">
        <v>1.6</v>
      </c>
      <c r="W290" s="600" t="n">
        <v>314</v>
      </c>
      <c r="X290" s="600" t="n"/>
      <c r="Y290" s="601" t="n">
        <v>0</v>
      </c>
      <c r="Z290" s="602" t="n"/>
      <c r="AA290" s="602">
        <f>Y290-Z290</f>
        <v/>
      </c>
      <c r="AB290" s="599">
        <f>(S290-V290)*V290*W290*0.024653*Y290/1000000</f>
        <v/>
      </c>
      <c r="AC290" s="599">
        <f>(S290-V290)*V290*W290*0.024653*Z290/1000000</f>
        <v/>
      </c>
      <c r="AD290" s="599">
        <f>AB290-AC290</f>
        <v/>
      </c>
      <c r="AE290" s="599" t="n"/>
      <c r="AF290" s="599" t="n"/>
      <c r="AG290" s="599" t="n"/>
      <c r="AH290" s="599">
        <f>AB289-AF290</f>
        <v/>
      </c>
      <c r="AI290" s="118">
        <f>(AC290+AF290)/AB289</f>
        <v/>
      </c>
    </row>
    <row r="291" hidden="1" s="584">
      <c r="A291" s="594" t="n">
        <v>215</v>
      </c>
      <c r="B291" s="5" t="inlineStr">
        <is>
          <t>Hosur</t>
        </is>
      </c>
      <c r="C291" s="601" t="inlineStr">
        <is>
          <t>Rajsriya Automotive</t>
        </is>
      </c>
      <c r="D291" s="601" t="inlineStr">
        <is>
          <t>Rajsriya</t>
        </is>
      </c>
      <c r="E291" s="601" t="inlineStr">
        <is>
          <t>129695|189481|187884|188415|189239|189240</t>
        </is>
      </c>
      <c r="F291" s="601" t="n">
        <v>1531609</v>
      </c>
      <c r="G291" s="601" t="inlineStr">
        <is>
          <t>TUB-O-N-AUT-AW-FC-25.40X2.000X0.6000</t>
        </is>
      </c>
      <c r="H291" s="601" t="n"/>
      <c r="I291" s="601" t="n"/>
      <c r="J291" s="601" t="n"/>
      <c r="K291" s="601" t="inlineStr">
        <is>
          <t>HR</t>
        </is>
      </c>
      <c r="L291" s="601" t="n"/>
      <c r="M291" s="601" t="n"/>
      <c r="N291" s="601" t="n"/>
      <c r="O291" s="601" t="n"/>
      <c r="P291" s="557">
        <f>CONCATENATE(schedule13[[#This Row],[OD]],"-",schedule13[[#This Row],[ID]],"-",schedule13[[#This Row],[TICKNESS]],"-",schedule13[[#This Row],[GRADE]],"-",schedule13[[#This Row],[FC/NFC]])</f>
        <v/>
      </c>
      <c r="Q291" s="557">
        <f>_xlfn.CONCAT(schedule13[[#This Row],[Bucket]],"-",schedule13[[#This Row],[LENGTH]]/1000)</f>
        <v/>
      </c>
      <c r="R291" s="557">
        <f>COUNTIF(buckets[CTL Bucket],schedule13[[#This Row],[CTL Bucket]])</f>
        <v/>
      </c>
      <c r="S291" s="599" t="n">
        <v>25.4</v>
      </c>
      <c r="T291" s="599" t="n">
        <v>25.4</v>
      </c>
      <c r="U291" s="599" t="n">
        <v>0</v>
      </c>
      <c r="V291" s="599" t="n">
        <v>2</v>
      </c>
      <c r="W291" s="600" t="n">
        <v>600</v>
      </c>
      <c r="X291" s="600" t="n"/>
      <c r="Y291" s="601" t="n">
        <v>0</v>
      </c>
      <c r="Z291" s="602" t="n"/>
      <c r="AA291" s="602">
        <f>Y291-Z291</f>
        <v/>
      </c>
      <c r="AB291" s="599">
        <f>(S291-V291)*V291*W291*0.024653*Y291/1000000</f>
        <v/>
      </c>
      <c r="AC291" s="599">
        <f>(S291-V291)*V291*W291*0.024653*Z291/1000000</f>
        <v/>
      </c>
      <c r="AD291" s="599">
        <f>AB291-AC291</f>
        <v/>
      </c>
      <c r="AE291" s="599" t="n"/>
      <c r="AF291" s="599" t="n">
        <v>2.985</v>
      </c>
      <c r="AG291" s="599" t="n"/>
      <c r="AH291" s="599">
        <f>AB290-AF291</f>
        <v/>
      </c>
      <c r="AI291" s="118">
        <f>(AC291+AF291)/AB290</f>
        <v/>
      </c>
    </row>
    <row r="292" hidden="1" s="584">
      <c r="A292" s="594" t="n">
        <v>216</v>
      </c>
      <c r="B292" s="5" t="inlineStr">
        <is>
          <t>Hosur</t>
        </is>
      </c>
      <c r="C292" s="601" t="inlineStr">
        <is>
          <t>Rajsriya Automotive</t>
        </is>
      </c>
      <c r="D292" s="601" t="inlineStr">
        <is>
          <t>Rajsriya</t>
        </is>
      </c>
      <c r="E292" s="601" t="inlineStr">
        <is>
          <t>129695|189481|187884|188415|189239|189240</t>
        </is>
      </c>
      <c r="F292" s="601" t="n">
        <v>3605867</v>
      </c>
      <c r="G292" s="601" t="inlineStr">
        <is>
          <t>TUB-O-N-AUT-AW-FC-41.28X3.200X0.2350</t>
        </is>
      </c>
      <c r="H292" s="601" t="inlineStr">
        <is>
          <t>ERW 1</t>
        </is>
      </c>
      <c r="I292" s="601" t="n"/>
      <c r="J292" s="601" t="n"/>
      <c r="K292" s="601" t="inlineStr">
        <is>
          <t>HR</t>
        </is>
      </c>
      <c r="L292" s="601" t="n"/>
      <c r="M292" s="601" t="n"/>
      <c r="N292" s="601" t="n"/>
      <c r="O292" s="601" t="n"/>
      <c r="P292" s="557">
        <f>CONCATENATE(schedule13[[#This Row],[OD]],"-",schedule13[[#This Row],[ID]],"-",schedule13[[#This Row],[TICKNESS]],"-",schedule13[[#This Row],[GRADE]],"-",schedule13[[#This Row],[FC/NFC]])</f>
        <v/>
      </c>
      <c r="Q292" s="557">
        <f>_xlfn.CONCAT(schedule13[[#This Row],[Bucket]],"-",schedule13[[#This Row],[LENGTH]]/1000)</f>
        <v/>
      </c>
      <c r="R292" s="557">
        <f>COUNTIF(buckets[CTL Bucket],schedule13[[#This Row],[CTL Bucket]])</f>
        <v/>
      </c>
      <c r="S292" s="599" t="n">
        <v>41.28</v>
      </c>
      <c r="T292" s="599" t="n">
        <v>41.28</v>
      </c>
      <c r="U292" s="599" t="n">
        <v>0</v>
      </c>
      <c r="V292" s="599" t="n">
        <v>3.2</v>
      </c>
      <c r="W292" s="600" t="n">
        <v>235</v>
      </c>
      <c r="X292" s="600" t="n"/>
      <c r="Y292" s="601" t="n">
        <v>0</v>
      </c>
      <c r="Z292" s="602" t="n"/>
      <c r="AA292" s="602">
        <f>Y292-Z292</f>
        <v/>
      </c>
      <c r="AB292" s="599">
        <f>(S292-V292)*V292*W292*0.024653*Y292/1000000</f>
        <v/>
      </c>
      <c r="AC292" s="599">
        <f>(S292-V292)*V292*W292*0.024653*Z292/1000000</f>
        <v/>
      </c>
      <c r="AD292" s="599">
        <f>AB292-AC292</f>
        <v/>
      </c>
      <c r="AE292" s="599" t="n"/>
      <c r="AF292" s="599" t="n"/>
      <c r="AG292" s="599" t="n"/>
      <c r="AH292" s="599">
        <f>AB291-AF292</f>
        <v/>
      </c>
      <c r="AI292" s="118">
        <f>(AC292+AF292)/AB291</f>
        <v/>
      </c>
    </row>
    <row r="293" hidden="1" s="584">
      <c r="A293" s="594" t="n">
        <v>217</v>
      </c>
      <c r="B293" s="5" t="inlineStr">
        <is>
          <t xml:space="preserve">Khopoli </t>
        </is>
      </c>
      <c r="C293" s="601" t="inlineStr">
        <is>
          <t>Rajsriya Automotive</t>
        </is>
      </c>
      <c r="D293" s="601" t="inlineStr">
        <is>
          <t>Rajsriya</t>
        </is>
      </c>
      <c r="E293" s="601" t="inlineStr">
        <is>
          <t>129695|189481|187884|188415|189239|189240</t>
        </is>
      </c>
      <c r="F293" s="601" t="n">
        <v>3662752</v>
      </c>
      <c r="G293" s="601" t="inlineStr">
        <is>
          <t>TUB-O-N-AUT-AW-FC-60.30X2.000X0.4930</t>
        </is>
      </c>
      <c r="H293" s="601" t="n"/>
      <c r="I293" s="601" t="n"/>
      <c r="J293" s="601" t="n"/>
      <c r="K293" s="601" t="inlineStr">
        <is>
          <t>HR</t>
        </is>
      </c>
      <c r="L293" s="601" t="n"/>
      <c r="M293" s="601" t="n"/>
      <c r="N293" s="601" t="n"/>
      <c r="O293" s="601" t="n"/>
      <c r="P293" s="557">
        <f>CONCATENATE(schedule13[[#This Row],[OD]],"-",schedule13[[#This Row],[ID]],"-",schedule13[[#This Row],[TICKNESS]],"-",schedule13[[#This Row],[GRADE]],"-",schedule13[[#This Row],[FC/NFC]])</f>
        <v/>
      </c>
      <c r="Q293" s="557">
        <f>_xlfn.CONCAT(schedule13[[#This Row],[Bucket]],"-",schedule13[[#This Row],[LENGTH]]/1000)</f>
        <v/>
      </c>
      <c r="R293" s="557">
        <f>COUNTIF(buckets[CTL Bucket],schedule13[[#This Row],[CTL Bucket]])</f>
        <v/>
      </c>
      <c r="S293" s="599" t="n">
        <v>60.3</v>
      </c>
      <c r="T293" s="599" t="n">
        <v>60.3</v>
      </c>
      <c r="U293" s="599" t="n">
        <v>0</v>
      </c>
      <c r="V293" s="599" t="n">
        <v>2</v>
      </c>
      <c r="W293" s="600" t="n">
        <v>493</v>
      </c>
      <c r="X293" s="600" t="n"/>
      <c r="Y293" s="601" t="n">
        <v>0</v>
      </c>
      <c r="Z293" s="602" t="n"/>
      <c r="AA293" s="602">
        <f>Y293-Z293</f>
        <v/>
      </c>
      <c r="AB293" s="599">
        <f>(S293-V293)*V293*W293*0.024653*Y293/1000000</f>
        <v/>
      </c>
      <c r="AC293" s="599">
        <f>(S293-V293)*V293*W293*0.024653*Z293/1000000</f>
        <v/>
      </c>
      <c r="AD293" s="599">
        <f>AB293-AC293</f>
        <v/>
      </c>
      <c r="AE293" s="599" t="n"/>
      <c r="AF293" s="599" t="n"/>
      <c r="AG293" s="599" t="n"/>
      <c r="AH293" s="599">
        <f>AB292-AF293</f>
        <v/>
      </c>
      <c r="AI293" s="118">
        <f>(AC293+AF293)/AB292</f>
        <v/>
      </c>
    </row>
    <row r="294" hidden="1" s="584">
      <c r="A294" s="594" t="n">
        <v>220</v>
      </c>
      <c r="B294" s="5" t="inlineStr">
        <is>
          <t>Hosur</t>
        </is>
      </c>
      <c r="C294" s="601" t="inlineStr">
        <is>
          <t>Rajsriya Automotive</t>
        </is>
      </c>
      <c r="D294" s="601" t="inlineStr">
        <is>
          <t>Rajsriya</t>
        </is>
      </c>
      <c r="E294" s="601" t="inlineStr">
        <is>
          <t>129695|189481|187884|188415|189239|189240</t>
        </is>
      </c>
      <c r="F294" s="601" t="inlineStr">
        <is>
          <t>NO MATERIAL CODE</t>
        </is>
      </c>
      <c r="G294" s="601" t="n"/>
      <c r="H294" s="601" t="n"/>
      <c r="I294" s="601" t="n"/>
      <c r="J294" s="601" t="n"/>
      <c r="K294" s="601" t="inlineStr">
        <is>
          <t>HR</t>
        </is>
      </c>
      <c r="L294" s="601" t="n"/>
      <c r="M294" s="601" t="n"/>
      <c r="N294" s="601" t="n"/>
      <c r="O294" s="601" t="n"/>
      <c r="P294" s="557">
        <f>CONCATENATE(schedule13[[#This Row],[OD]],"-",schedule13[[#This Row],[ID]],"-",schedule13[[#This Row],[TICKNESS]],"-",schedule13[[#This Row],[GRADE]],"-",schedule13[[#This Row],[FC/NFC]])</f>
        <v/>
      </c>
      <c r="Q294" s="557">
        <f>_xlfn.CONCAT(schedule13[[#This Row],[Bucket]],"-",schedule13[[#This Row],[LENGTH]]/1000)</f>
        <v/>
      </c>
      <c r="R294" s="557">
        <f>COUNTIF(buckets[CTL Bucket],schedule13[[#This Row],[CTL Bucket]])</f>
        <v/>
      </c>
      <c r="S294" s="599" t="n">
        <v>57.15</v>
      </c>
      <c r="T294" s="599" t="n">
        <v>57.15</v>
      </c>
      <c r="U294" s="599" t="n">
        <v>0</v>
      </c>
      <c r="V294" s="599" t="n">
        <v>2.5</v>
      </c>
      <c r="W294" s="600" t="n">
        <v>376</v>
      </c>
      <c r="X294" s="600" t="n"/>
      <c r="Y294" s="601" t="n">
        <v>0</v>
      </c>
      <c r="Z294" s="602" t="n"/>
      <c r="AA294" s="602">
        <f>Y294-Z294</f>
        <v/>
      </c>
      <c r="AB294" s="599">
        <f>(S294-V294)*V294*W294*0.024653*Y294/1000000</f>
        <v/>
      </c>
      <c r="AC294" s="599">
        <f>(S294-V294)*V294*W294*0.024653*Z294/1000000</f>
        <v/>
      </c>
      <c r="AD294" s="599">
        <f>AB294-AC294</f>
        <v/>
      </c>
      <c r="AE294" s="599" t="n"/>
      <c r="AF294" s="599" t="n">
        <v>5.141999999999999</v>
      </c>
      <c r="AG294" s="599" t="n"/>
      <c r="AH294" s="599">
        <f>AB293-AF294</f>
        <v/>
      </c>
      <c r="AI294" s="118">
        <f>(AC294+AF294)/AB293</f>
        <v/>
      </c>
    </row>
    <row r="295" hidden="1" s="584">
      <c r="A295" s="594" t="n">
        <v>221</v>
      </c>
      <c r="B295" s="5" t="inlineStr">
        <is>
          <t>Hosur</t>
        </is>
      </c>
      <c r="C295" s="601" t="inlineStr">
        <is>
          <t>Rajsriya Automotive</t>
        </is>
      </c>
      <c r="D295" s="601" t="inlineStr">
        <is>
          <t>Rajsriya</t>
        </is>
      </c>
      <c r="E295" s="601" t="inlineStr">
        <is>
          <t>129695|189481|187884|188415|189239|189240</t>
        </is>
      </c>
      <c r="F295" s="601" t="inlineStr">
        <is>
          <t>NEW SIZE</t>
        </is>
      </c>
      <c r="G295" s="601" t="n"/>
      <c r="H295" s="601" t="n"/>
      <c r="I295" s="601" t="n"/>
      <c r="J295" s="601" t="n"/>
      <c r="K295" s="601" t="inlineStr">
        <is>
          <t>HR</t>
        </is>
      </c>
      <c r="L295" s="601" t="n"/>
      <c r="M295" s="601" t="n"/>
      <c r="N295" s="601" t="n"/>
      <c r="O295" s="601" t="n"/>
      <c r="P295" s="557">
        <f>CONCATENATE(schedule13[[#This Row],[OD]],"-",schedule13[[#This Row],[ID]],"-",schedule13[[#This Row],[TICKNESS]],"-",schedule13[[#This Row],[GRADE]],"-",schedule13[[#This Row],[FC/NFC]])</f>
        <v/>
      </c>
      <c r="Q295" s="557">
        <f>_xlfn.CONCAT(schedule13[[#This Row],[Bucket]],"-",schedule13[[#This Row],[LENGTH]]/1000)</f>
        <v/>
      </c>
      <c r="R295" s="557">
        <f>COUNTIF(buckets[CTL Bucket],schedule13[[#This Row],[CTL Bucket]])</f>
        <v/>
      </c>
      <c r="S295" s="599" t="n">
        <v>25.4</v>
      </c>
      <c r="T295" s="599" t="n">
        <v>25.4</v>
      </c>
      <c r="U295" s="599" t="n">
        <v>0</v>
      </c>
      <c r="V295" s="599" t="n">
        <v>2</v>
      </c>
      <c r="W295" s="600" t="n">
        <v>660</v>
      </c>
      <c r="X295" s="600" t="n"/>
      <c r="Y295" s="601" t="n">
        <v>0</v>
      </c>
      <c r="Z295" s="602" t="n"/>
      <c r="AA295" s="602">
        <f>Y295-Z295</f>
        <v/>
      </c>
      <c r="AB295" s="599">
        <f>(S295-V295)*V295*W295*0.024653*Y295/1000000</f>
        <v/>
      </c>
      <c r="AC295" s="599">
        <f>(S295-V295)*V295*W295*0.024653*Z295/1000000</f>
        <v/>
      </c>
      <c r="AD295" s="599">
        <f>AB295-AC295</f>
        <v/>
      </c>
      <c r="AE295" s="599" t="n"/>
      <c r="AF295" s="599" t="n"/>
      <c r="AG295" s="599" t="n"/>
      <c r="AH295" s="599">
        <f>AB294-AF295</f>
        <v/>
      </c>
      <c r="AI295" s="118">
        <f>(AC295+AF295)/AB294</f>
        <v/>
      </c>
    </row>
    <row r="296" hidden="1" s="584">
      <c r="A296" s="594" t="n">
        <v>222</v>
      </c>
      <c r="B296" s="5" t="inlineStr">
        <is>
          <t>Hosur</t>
        </is>
      </c>
      <c r="C296" s="601" t="inlineStr">
        <is>
          <t>Rajsriya Automotive</t>
        </is>
      </c>
      <c r="D296" s="601" t="inlineStr">
        <is>
          <t>Rajsriya</t>
        </is>
      </c>
      <c r="E296" s="601" t="inlineStr">
        <is>
          <t>129695|189481|187884|188415|189239|189240</t>
        </is>
      </c>
      <c r="F296" s="601" t="inlineStr">
        <is>
          <t>NEW SIZE</t>
        </is>
      </c>
      <c r="G296" s="601" t="n"/>
      <c r="H296" s="601" t="n"/>
      <c r="I296" s="601" t="n"/>
      <c r="J296" s="601" t="n"/>
      <c r="K296" s="601" t="inlineStr">
        <is>
          <t>HR</t>
        </is>
      </c>
      <c r="L296" s="601" t="n"/>
      <c r="M296" s="601" t="n"/>
      <c r="N296" s="601" t="n"/>
      <c r="O296" s="601" t="n"/>
      <c r="P296" s="557">
        <f>CONCATENATE(schedule13[[#This Row],[OD]],"-",schedule13[[#This Row],[ID]],"-",schedule13[[#This Row],[TICKNESS]],"-",schedule13[[#This Row],[GRADE]],"-",schedule13[[#This Row],[FC/NFC]])</f>
        <v/>
      </c>
      <c r="Q296" s="557">
        <f>_xlfn.CONCAT(schedule13[[#This Row],[Bucket]],"-",schedule13[[#This Row],[LENGTH]]/1000)</f>
        <v/>
      </c>
      <c r="R296" s="557">
        <f>COUNTIF(buckets[CTL Bucket],schedule13[[#This Row],[CTL Bucket]])</f>
        <v/>
      </c>
      <c r="S296" s="599" t="n">
        <v>25.4</v>
      </c>
      <c r="T296" s="599" t="n">
        <v>25.4</v>
      </c>
      <c r="U296" s="599" t="n">
        <v>0</v>
      </c>
      <c r="V296" s="599" t="n">
        <v>2</v>
      </c>
      <c r="W296" s="600" t="n">
        <v>567</v>
      </c>
      <c r="X296" s="600" t="n"/>
      <c r="Y296" s="601" t="n">
        <v>0</v>
      </c>
      <c r="Z296" s="602" t="n"/>
      <c r="AA296" s="602">
        <f>Y296-Z296</f>
        <v/>
      </c>
      <c r="AB296" s="599">
        <f>(S296-V296)*V296*W296*0.024653*Y296/1000000</f>
        <v/>
      </c>
      <c r="AC296" s="599">
        <f>(S296-V296)*V296*W296*0.024653*Z296/1000000</f>
        <v/>
      </c>
      <c r="AD296" s="599">
        <f>AB296-AC296</f>
        <v/>
      </c>
      <c r="AE296" s="599" t="n"/>
      <c r="AF296" s="599" t="n"/>
      <c r="AG296" s="599" t="n"/>
      <c r="AH296" s="599" t="n"/>
      <c r="AI296" s="118" t="n"/>
    </row>
    <row r="297" hidden="1" s="584">
      <c r="A297" s="594" t="n">
        <v>223</v>
      </c>
      <c r="B297" s="5" t="inlineStr">
        <is>
          <t>Hosur</t>
        </is>
      </c>
      <c r="C297" s="601" t="inlineStr">
        <is>
          <t>Rajsriya Automotive</t>
        </is>
      </c>
      <c r="D297" s="601" t="inlineStr">
        <is>
          <t>Rajsriya</t>
        </is>
      </c>
      <c r="E297" s="601" t="inlineStr">
        <is>
          <t>129695|189481|187884|188415|189239|189240</t>
        </is>
      </c>
      <c r="F297" s="601" t="n">
        <v>1190412</v>
      </c>
      <c r="G297" s="601" t="inlineStr">
        <is>
          <t>TUB-O-N-AUT-AW-PE-25.40X2.000X0.657</t>
        </is>
      </c>
      <c r="H297" s="601" t="n"/>
      <c r="I297" s="601" t="n"/>
      <c r="J297" s="601" t="n"/>
      <c r="K297" s="601" t="inlineStr">
        <is>
          <t>HR</t>
        </is>
      </c>
      <c r="L297" s="601" t="n"/>
      <c r="M297" s="601" t="n"/>
      <c r="N297" s="601" t="n"/>
      <c r="O297" s="601" t="n"/>
      <c r="P297" s="557">
        <f>CONCATENATE(schedule13[[#This Row],[OD]],"-",schedule13[[#This Row],[ID]],"-",schedule13[[#This Row],[TICKNESS]],"-",schedule13[[#This Row],[GRADE]],"-",schedule13[[#This Row],[FC/NFC]])</f>
        <v/>
      </c>
      <c r="Q297" s="557">
        <f>_xlfn.CONCAT(schedule13[[#This Row],[Bucket]],"-",schedule13[[#This Row],[LENGTH]]/1000)</f>
        <v/>
      </c>
      <c r="R297" s="557">
        <f>COUNTIF(buckets[CTL Bucket],schedule13[[#This Row],[CTL Bucket]])</f>
        <v/>
      </c>
      <c r="S297" s="599" t="n">
        <v>25.4</v>
      </c>
      <c r="T297" s="599" t="n">
        <v>25.4</v>
      </c>
      <c r="U297" s="599" t="n">
        <v>0</v>
      </c>
      <c r="V297" s="599" t="n">
        <v>2</v>
      </c>
      <c r="W297" s="600" t="n">
        <v>657</v>
      </c>
      <c r="X297" s="600" t="n"/>
      <c r="Y297" s="601" t="n">
        <v>0</v>
      </c>
      <c r="Z297" s="602" t="n"/>
      <c r="AA297" s="602">
        <f>Y297-Z297</f>
        <v/>
      </c>
      <c r="AB297" s="599">
        <f>(S297-V297)*V297*W297*0.024653*Y297/1000000</f>
        <v/>
      </c>
      <c r="AC297" s="599">
        <f>(S297-V297)*V297*W297*0.024653*Z297/1000000</f>
        <v/>
      </c>
      <c r="AD297" s="599">
        <f>AB297-AC297</f>
        <v/>
      </c>
      <c r="AE297" s="599" t="n"/>
      <c r="AF297" s="599" t="n"/>
      <c r="AG297" s="599" t="n"/>
      <c r="AH297" s="599" t="n"/>
      <c r="AI297" s="118" t="n"/>
    </row>
    <row r="298" hidden="1" s="584">
      <c r="A298" s="594" t="n">
        <v>224</v>
      </c>
      <c r="B298" s="5" t="inlineStr">
        <is>
          <t>Hosur</t>
        </is>
      </c>
      <c r="C298" s="601" t="inlineStr">
        <is>
          <t>Rajsriya Automotive</t>
        </is>
      </c>
      <c r="D298" s="601" t="inlineStr">
        <is>
          <t>Rajsriya</t>
        </is>
      </c>
      <c r="E298" s="601" t="inlineStr">
        <is>
          <t>129695|189481|187884|188415|189239|189240</t>
        </is>
      </c>
      <c r="F298" s="601" t="n">
        <v>1268694</v>
      </c>
      <c r="G298" s="601" t="inlineStr">
        <is>
          <t>TUB-O-N-AUT-AW-PE-19.05X2.300X7.00-ERW 1</t>
        </is>
      </c>
      <c r="H298" s="601" t="inlineStr">
        <is>
          <t>ERW 1</t>
        </is>
      </c>
      <c r="I298" s="601" t="n"/>
      <c r="J298" s="601" t="n"/>
      <c r="K298" s="601" t="inlineStr">
        <is>
          <t>HR</t>
        </is>
      </c>
      <c r="L298" s="601" t="n"/>
      <c r="M298" s="601" t="n"/>
      <c r="N298" s="601" t="n"/>
      <c r="O298" s="601" t="n"/>
      <c r="P298" s="557">
        <f>CONCATENATE(schedule13[[#This Row],[OD]],"-",schedule13[[#This Row],[ID]],"-",schedule13[[#This Row],[TICKNESS]],"-",schedule13[[#This Row],[GRADE]],"-",schedule13[[#This Row],[FC/NFC]])</f>
        <v/>
      </c>
      <c r="Q298" s="557">
        <f>_xlfn.CONCAT(schedule13[[#This Row],[Bucket]],"-",schedule13[[#This Row],[LENGTH]]/1000)</f>
        <v/>
      </c>
      <c r="R298" s="557">
        <f>COUNTIF(buckets[CTL Bucket],schedule13[[#This Row],[CTL Bucket]])</f>
        <v/>
      </c>
      <c r="S298" s="599" t="n">
        <v>19.05</v>
      </c>
      <c r="T298" s="599" t="n">
        <v>19.05</v>
      </c>
      <c r="U298" s="599" t="n">
        <v>0</v>
      </c>
      <c r="V298" s="599" t="n">
        <v>2.3</v>
      </c>
      <c r="W298" s="600" t="n">
        <v>7000</v>
      </c>
      <c r="X298" s="600" t="n"/>
      <c r="Y298" s="601" t="n">
        <v>0</v>
      </c>
      <c r="Z298" s="602" t="n"/>
      <c r="AA298" s="602">
        <f>Y298-Z298</f>
        <v/>
      </c>
      <c r="AB298" s="599">
        <f>(S298-V298)*V298*W298*0.024653*Y298/1000000</f>
        <v/>
      </c>
      <c r="AC298" s="599">
        <f>(S298-V298)*V298*W298*0.024653*Z298/1000000</f>
        <v/>
      </c>
      <c r="AD298" s="599">
        <f>AB298-AC298</f>
        <v/>
      </c>
      <c r="AE298" s="599" t="n"/>
      <c r="AF298" s="599" t="n"/>
      <c r="AG298" s="599" t="n"/>
      <c r="AH298" s="599">
        <f>AB297-AF298</f>
        <v/>
      </c>
      <c r="AI298" s="118">
        <f>(AC298+AF298)/AB297</f>
        <v/>
      </c>
    </row>
    <row r="299" hidden="1" s="584">
      <c r="A299" s="594" t="n">
        <v>226</v>
      </c>
      <c r="B299" s="5" t="inlineStr">
        <is>
          <t>Hosur</t>
        </is>
      </c>
      <c r="C299" s="601" t="inlineStr">
        <is>
          <t>Rajsriya Automotive</t>
        </is>
      </c>
      <c r="D299" s="601" t="inlineStr">
        <is>
          <t>Rajsriya</t>
        </is>
      </c>
      <c r="E299" s="601" t="inlineStr">
        <is>
          <t>129695|189481|187884|188415|189239|189240</t>
        </is>
      </c>
      <c r="F299" s="601" t="n">
        <v>437150</v>
      </c>
      <c r="G299" s="601" t="inlineStr">
        <is>
          <t>PT2-O-N-AUT-AW-PE-19.05X2.300X0.555</t>
        </is>
      </c>
      <c r="H299" s="601" t="inlineStr">
        <is>
          <t>ERW 1</t>
        </is>
      </c>
      <c r="I299" s="601" t="n"/>
      <c r="J299" s="601" t="n"/>
      <c r="K299" s="601" t="inlineStr">
        <is>
          <t>HR</t>
        </is>
      </c>
      <c r="L299" s="601" t="n"/>
      <c r="M299" s="601" t="n"/>
      <c r="N299" s="601" t="n"/>
      <c r="O299" s="601" t="n"/>
      <c r="P299" s="557">
        <f>CONCATENATE(schedule13[[#This Row],[OD]],"-",schedule13[[#This Row],[ID]],"-",schedule13[[#This Row],[TICKNESS]],"-",schedule13[[#This Row],[GRADE]],"-",schedule13[[#This Row],[FC/NFC]])</f>
        <v/>
      </c>
      <c r="Q299" s="557">
        <f>_xlfn.CONCAT(schedule13[[#This Row],[Bucket]],"-",schedule13[[#This Row],[LENGTH]]/1000)</f>
        <v/>
      </c>
      <c r="R299" s="557">
        <f>COUNTIF(buckets[CTL Bucket],schedule13[[#This Row],[CTL Bucket]])</f>
        <v/>
      </c>
      <c r="S299" s="599" t="n">
        <v>19.05</v>
      </c>
      <c r="T299" s="599" t="n">
        <v>19.05</v>
      </c>
      <c r="U299" s="599" t="n">
        <v>0</v>
      </c>
      <c r="V299" s="599" t="n">
        <v>2.3</v>
      </c>
      <c r="W299" s="600" t="n">
        <v>555</v>
      </c>
      <c r="X299" s="600" t="n"/>
      <c r="Y299" s="601" t="n">
        <v>0</v>
      </c>
      <c r="Z299" s="602" t="n"/>
      <c r="AA299" s="602">
        <f>Y299-Z299</f>
        <v/>
      </c>
      <c r="AB299" s="599">
        <f>(S299-V299)*V299*W299*0.024653*Y299/1000000</f>
        <v/>
      </c>
      <c r="AC299" s="599">
        <f>(S299-V299)*V299*W299*0.024653*Z299/1000000</f>
        <v/>
      </c>
      <c r="AD299" s="599">
        <f>AB299-AC299</f>
        <v/>
      </c>
      <c r="AE299" s="599" t="n"/>
      <c r="AF299" s="599" t="n"/>
      <c r="AG299" s="599" t="n"/>
      <c r="AH299" s="599">
        <f>AB298-AF299</f>
        <v/>
      </c>
      <c r="AI299" s="118">
        <f>(AC299+AF299)/AB298</f>
        <v/>
      </c>
    </row>
    <row r="300" hidden="1" s="584">
      <c r="A300" s="594" t="n">
        <v>227</v>
      </c>
      <c r="B300" s="5" t="inlineStr">
        <is>
          <t>Hosur</t>
        </is>
      </c>
      <c r="C300" s="601" t="inlineStr">
        <is>
          <t>Rajsriya Automotive</t>
        </is>
      </c>
      <c r="D300" s="601" t="inlineStr">
        <is>
          <t>Rajsriya</t>
        </is>
      </c>
      <c r="E300" s="601" t="inlineStr">
        <is>
          <t>129695|189481|187884|188415|189239|189240</t>
        </is>
      </c>
      <c r="F300" s="601" t="n">
        <v>1940504</v>
      </c>
      <c r="G300" s="601" t="inlineStr">
        <is>
          <t>TUB-O-O-AUT-AW-PE-22.23X2.300X0.4990</t>
        </is>
      </c>
      <c r="H300" s="601" t="n"/>
      <c r="I300" s="601" t="n"/>
      <c r="J300" s="601" t="n"/>
      <c r="K300" s="601" t="inlineStr">
        <is>
          <t>HR</t>
        </is>
      </c>
      <c r="L300" s="601" t="n"/>
      <c r="M300" s="601" t="n"/>
      <c r="N300" s="601" t="n"/>
      <c r="O300" s="601" t="n"/>
      <c r="P300" s="557">
        <f>CONCATENATE(schedule13[[#This Row],[OD]],"-",schedule13[[#This Row],[ID]],"-",schedule13[[#This Row],[TICKNESS]],"-",schedule13[[#This Row],[GRADE]],"-",schedule13[[#This Row],[FC/NFC]])</f>
        <v/>
      </c>
      <c r="Q300" s="557">
        <f>_xlfn.CONCAT(schedule13[[#This Row],[Bucket]],"-",schedule13[[#This Row],[LENGTH]]/1000)</f>
        <v/>
      </c>
      <c r="R300" s="557">
        <f>COUNTIF(buckets[CTL Bucket],schedule13[[#This Row],[CTL Bucket]])</f>
        <v/>
      </c>
      <c r="S300" s="599" t="n">
        <v>22.23</v>
      </c>
      <c r="T300" s="599" t="n">
        <v>22.23</v>
      </c>
      <c r="U300" s="599" t="n">
        <v>0</v>
      </c>
      <c r="V300" s="599" t="n">
        <v>2.3</v>
      </c>
      <c r="W300" s="600" t="n">
        <v>499</v>
      </c>
      <c r="X300" s="600" t="n"/>
      <c r="Y300" s="601" t="n">
        <v>0</v>
      </c>
      <c r="Z300" s="602" t="n"/>
      <c r="AA300" s="602">
        <f>Y300-Z300</f>
        <v/>
      </c>
      <c r="AB300" s="599">
        <f>(S300-V300)*V300*W300*0.024653*Y300/1000000</f>
        <v/>
      </c>
      <c r="AC300" s="599">
        <f>(S300-V300)*V300*W300*0.024653*Z300/1000000</f>
        <v/>
      </c>
      <c r="AD300" s="599">
        <f>AB300-AC300</f>
        <v/>
      </c>
      <c r="AE300" s="599" t="n"/>
      <c r="AF300" s="599" t="n"/>
      <c r="AG300" s="599" t="n"/>
      <c r="AH300" s="599">
        <f>AB299-AF300</f>
        <v/>
      </c>
      <c r="AI300" s="118">
        <f>(AC300+AF300)/AB299</f>
        <v/>
      </c>
    </row>
    <row r="301" hidden="1" s="584">
      <c r="A301" s="594" t="n">
        <v>228</v>
      </c>
      <c r="B301" s="5" t="inlineStr">
        <is>
          <t>Hosur</t>
        </is>
      </c>
      <c r="C301" s="601" t="inlineStr">
        <is>
          <t>Rajsriya Automotive</t>
        </is>
      </c>
      <c r="D301" s="601" t="inlineStr">
        <is>
          <t>Rajsriya</t>
        </is>
      </c>
      <c r="E301" s="601" t="inlineStr">
        <is>
          <t>129695|189481|187884|188415|189239|189240</t>
        </is>
      </c>
      <c r="F301" s="601" t="n">
        <v>1511515</v>
      </c>
      <c r="G301" s="601" t="inlineStr">
        <is>
          <t>TUB-O-N-AUT-BH-FC-42.70X4.000X0.2080</t>
        </is>
      </c>
      <c r="H301" s="601" t="inlineStr">
        <is>
          <t>ERW 1</t>
        </is>
      </c>
      <c r="I301" s="601" t="inlineStr">
        <is>
          <t>Annealed</t>
        </is>
      </c>
      <c r="J301" s="601" t="n"/>
      <c r="K301" s="601" t="inlineStr">
        <is>
          <t>HR</t>
        </is>
      </c>
      <c r="L301" s="601" t="n"/>
      <c r="M301" s="601" t="n"/>
      <c r="N301" s="601" t="n"/>
      <c r="O301" s="601" t="n"/>
      <c r="P301" s="557">
        <f>CONCATENATE(schedule13[[#This Row],[OD]],"-",schedule13[[#This Row],[ID]],"-",schedule13[[#This Row],[TICKNESS]],"-",schedule13[[#This Row],[GRADE]],"-",schedule13[[#This Row],[FC/NFC]])</f>
        <v/>
      </c>
      <c r="Q301" s="557">
        <f>_xlfn.CONCAT(schedule13[[#This Row],[Bucket]],"-",schedule13[[#This Row],[LENGTH]]/1000)</f>
        <v/>
      </c>
      <c r="R301" s="557">
        <f>COUNTIF(buckets[CTL Bucket],schedule13[[#This Row],[CTL Bucket]])</f>
        <v/>
      </c>
      <c r="S301" s="599" t="n">
        <v>42.7</v>
      </c>
      <c r="T301" s="599" t="n">
        <v>42.7</v>
      </c>
      <c r="U301" s="599" t="n">
        <v>0</v>
      </c>
      <c r="V301" s="599" t="n">
        <v>4</v>
      </c>
      <c r="W301" s="600" t="n">
        <v>208</v>
      </c>
      <c r="X301" s="600" t="n"/>
      <c r="Y301" s="601" t="n">
        <v>0</v>
      </c>
      <c r="Z301" s="602" t="n"/>
      <c r="AA301" s="602">
        <f>Y301-Z301</f>
        <v/>
      </c>
      <c r="AB301" s="599">
        <f>(S301-V301)*V301*W301*0.024653*Y301/1000000</f>
        <v/>
      </c>
      <c r="AC301" s="599">
        <f>(S301-V301)*V301*W301*0.024653*Z301/1000000</f>
        <v/>
      </c>
      <c r="AD301" s="599">
        <f>AB301-AC301</f>
        <v/>
      </c>
      <c r="AE301" s="599" t="n"/>
      <c r="AF301" s="599" t="n">
        <v>0.253932</v>
      </c>
      <c r="AG301" s="599" t="n"/>
      <c r="AH301" s="599">
        <f>AB300-AF301</f>
        <v/>
      </c>
      <c r="AI301" s="118">
        <f>(AC301+AF301)/AB300</f>
        <v/>
      </c>
    </row>
    <row r="302" hidden="1" ht="17.25" customHeight="1" s="584">
      <c r="A302" s="594" t="n">
        <v>229</v>
      </c>
      <c r="B302" s="5" t="inlineStr">
        <is>
          <t>Hosur</t>
        </is>
      </c>
      <c r="C302" s="601" t="inlineStr">
        <is>
          <t>Rajsriya Automotive</t>
        </is>
      </c>
      <c r="D302" s="601" t="inlineStr">
        <is>
          <t>Rajsriya</t>
        </is>
      </c>
      <c r="E302" s="601" t="inlineStr">
        <is>
          <t>129695|189481|187884|188415|189239|189240</t>
        </is>
      </c>
      <c r="F302" s="48" t="n">
        <v>444028</v>
      </c>
      <c r="G302" s="48" t="inlineStr">
        <is>
          <t>PT2-O-N-AUT-AW-PE-31.75X1.200X0.600</t>
        </is>
      </c>
      <c r="H302" s="601" t="n"/>
      <c r="I302" s="601" t="n"/>
      <c r="J302" s="601" t="n"/>
      <c r="K302" s="601" t="inlineStr">
        <is>
          <t>HR</t>
        </is>
      </c>
      <c r="L302" s="601" t="n"/>
      <c r="M302" s="601" t="n"/>
      <c r="N302" s="601" t="n"/>
      <c r="O302" s="601" t="n"/>
      <c r="P302" s="557">
        <f>CONCATENATE(schedule13[[#This Row],[OD]],"-",schedule13[[#This Row],[ID]],"-",schedule13[[#This Row],[TICKNESS]],"-",schedule13[[#This Row],[GRADE]],"-",schedule13[[#This Row],[FC/NFC]])</f>
        <v/>
      </c>
      <c r="Q302" s="557">
        <f>_xlfn.CONCAT(schedule13[[#This Row],[Bucket]],"-",schedule13[[#This Row],[LENGTH]]/1000)</f>
        <v/>
      </c>
      <c r="R302" s="557">
        <f>COUNTIF(buckets[CTL Bucket],schedule13[[#This Row],[CTL Bucket]])</f>
        <v/>
      </c>
      <c r="S302" s="599" t="n">
        <v>31.75</v>
      </c>
      <c r="T302" s="599" t="n">
        <v>31.75</v>
      </c>
      <c r="U302" s="599" t="n">
        <v>0</v>
      </c>
      <c r="V302" s="599" t="n">
        <v>1.2</v>
      </c>
      <c r="W302" s="600" t="n">
        <v>600</v>
      </c>
      <c r="X302" s="600" t="n"/>
      <c r="Y302" s="601" t="n">
        <v>0</v>
      </c>
      <c r="Z302" s="602" t="n"/>
      <c r="AA302" s="602">
        <f>Y302-Z302</f>
        <v/>
      </c>
      <c r="AB302" s="599">
        <f>(S302-V302)*V302*W302*0.024653*Y302/1000000</f>
        <v/>
      </c>
      <c r="AC302" s="599">
        <f>(S302-V302)*V302*W302*0.024653*Z302/1000000</f>
        <v/>
      </c>
      <c r="AD302" s="599">
        <f>AB302-AC302</f>
        <v/>
      </c>
      <c r="AE302" s="599" t="n"/>
      <c r="AF302" s="599" t="n">
        <v>2.238761</v>
      </c>
      <c r="AG302" s="599" t="n"/>
      <c r="AH302" s="599">
        <f>AB301-AF302</f>
        <v/>
      </c>
      <c r="AI302" s="118">
        <f>(AC302+AF302)/AB301</f>
        <v/>
      </c>
      <c r="AJ302" s="83" t="n">
        <v>9518489828</v>
      </c>
    </row>
    <row r="303" hidden="1" s="584">
      <c r="A303" s="594" t="n">
        <v>230</v>
      </c>
      <c r="B303" s="5" t="inlineStr">
        <is>
          <t>Hosur</t>
        </is>
      </c>
      <c r="C303" s="601" t="inlineStr">
        <is>
          <t>Rajsriya Automotive</t>
        </is>
      </c>
      <c r="D303" s="601" t="inlineStr">
        <is>
          <t>Rajsriya</t>
        </is>
      </c>
      <c r="E303" s="601" t="inlineStr">
        <is>
          <t>129695|189481|187884|188415|189239|189240</t>
        </is>
      </c>
      <c r="F303" s="48" t="n">
        <v>3087646</v>
      </c>
      <c r="G303" s="48" t="inlineStr">
        <is>
          <t>PT4-O-N-AUT-AW-FC-41.28X2.600X0.8480</t>
        </is>
      </c>
      <c r="H303" s="601" t="inlineStr">
        <is>
          <t>ERW 1</t>
        </is>
      </c>
      <c r="I303" s="601" t="n"/>
      <c r="J303" s="601" t="inlineStr">
        <is>
          <t>FC</t>
        </is>
      </c>
      <c r="K303" s="601" t="inlineStr">
        <is>
          <t>HR</t>
        </is>
      </c>
      <c r="L303" s="601" t="n"/>
      <c r="M303" s="601" t="n"/>
      <c r="N303" s="601" t="n"/>
      <c r="O303" s="601" t="n"/>
      <c r="P303" s="557">
        <f>CONCATENATE(schedule13[[#This Row],[OD]],"-",schedule13[[#This Row],[ID]],"-",schedule13[[#This Row],[TICKNESS]],"-",schedule13[[#This Row],[GRADE]],"-",schedule13[[#This Row],[FC/NFC]])</f>
        <v/>
      </c>
      <c r="Q303" s="557">
        <f>_xlfn.CONCAT(schedule13[[#This Row],[Bucket]],"-",schedule13[[#This Row],[LENGTH]]/1000)</f>
        <v/>
      </c>
      <c r="R303" s="557">
        <f>COUNTIF(buckets[CTL Bucket],schedule13[[#This Row],[CTL Bucket]])</f>
        <v/>
      </c>
      <c r="S303" s="599" t="n">
        <v>41.28</v>
      </c>
      <c r="T303" s="599" t="n">
        <v>41.28</v>
      </c>
      <c r="U303" s="599" t="n">
        <v>0</v>
      </c>
      <c r="V303" s="599" t="n">
        <v>2.6</v>
      </c>
      <c r="W303" s="600" t="n">
        <v>848</v>
      </c>
      <c r="X303" s="600" t="n"/>
      <c r="Y303" s="601" t="n">
        <v>0</v>
      </c>
      <c r="Z303" s="602" t="n"/>
      <c r="AA303" s="602">
        <f>Y303-Z303</f>
        <v/>
      </c>
      <c r="AB303" s="599">
        <f>(S303-V303)*V303*W303*0.024653*Y303/1000000</f>
        <v/>
      </c>
      <c r="AC303" s="599">
        <f>(S303-V303)*V303*W303*0.024653*Z303/1000000</f>
        <v/>
      </c>
      <c r="AD303" s="599">
        <f>AB303-AC303</f>
        <v/>
      </c>
      <c r="AE303" s="599" t="n"/>
      <c r="AF303" s="599" t="n">
        <v>0.073437</v>
      </c>
      <c r="AG303" s="599" t="n"/>
      <c r="AH303" s="599">
        <f>AB302-AF303</f>
        <v/>
      </c>
      <c r="AI303" s="118">
        <f>(AC303+AF303)/AB302</f>
        <v/>
      </c>
    </row>
    <row r="304" hidden="1" s="584">
      <c r="A304" s="594" t="n">
        <v>231</v>
      </c>
      <c r="B304" s="5" t="inlineStr">
        <is>
          <t>Hosur</t>
        </is>
      </c>
      <c r="C304" s="601" t="inlineStr">
        <is>
          <t>Rajsriya Automotive</t>
        </is>
      </c>
      <c r="D304" s="601" t="inlineStr">
        <is>
          <t>Rajsriya</t>
        </is>
      </c>
      <c r="E304" s="601" t="inlineStr">
        <is>
          <t>129695|189481|187884|188415|189239|189240</t>
        </is>
      </c>
      <c r="F304" s="601" t="n">
        <v>1174856</v>
      </c>
      <c r="G304" s="601" t="inlineStr">
        <is>
          <t>TUB-O-N-AUT-AW-FC-22.20X2.000X0.505</t>
        </is>
      </c>
      <c r="H304" s="601" t="inlineStr">
        <is>
          <t>ERW 1</t>
        </is>
      </c>
      <c r="I304" s="601" t="n"/>
      <c r="J304" s="601" t="n"/>
      <c r="K304" s="601" t="inlineStr">
        <is>
          <t>HR</t>
        </is>
      </c>
      <c r="L304" s="601" t="n"/>
      <c r="M304" s="601" t="n"/>
      <c r="N304" s="601" t="n"/>
      <c r="O304" s="601" t="n"/>
      <c r="P304" s="557">
        <f>CONCATENATE(schedule13[[#This Row],[OD]],"-",schedule13[[#This Row],[ID]],"-",schedule13[[#This Row],[TICKNESS]],"-",schedule13[[#This Row],[GRADE]],"-",schedule13[[#This Row],[FC/NFC]])</f>
        <v/>
      </c>
      <c r="Q304" s="557">
        <f>_xlfn.CONCAT(schedule13[[#This Row],[Bucket]],"-",schedule13[[#This Row],[LENGTH]]/1000)</f>
        <v/>
      </c>
      <c r="R304" s="557">
        <f>COUNTIF(buckets[CTL Bucket],schedule13[[#This Row],[CTL Bucket]])</f>
        <v/>
      </c>
      <c r="S304" s="599" t="n">
        <v>22.23</v>
      </c>
      <c r="T304" s="599" t="n">
        <v>22.23</v>
      </c>
      <c r="U304" s="599" t="n">
        <v>0</v>
      </c>
      <c r="V304" s="599" t="n">
        <v>2</v>
      </c>
      <c r="W304" s="600" t="n">
        <v>505</v>
      </c>
      <c r="X304" s="600" t="n"/>
      <c r="Y304" s="601" t="n">
        <v>0</v>
      </c>
      <c r="Z304" s="602" t="n"/>
      <c r="AA304" s="602">
        <f>Y304-Z304</f>
        <v/>
      </c>
      <c r="AB304" s="599">
        <f>(S304-V304)*V304*W304*0.024653*Y304/1000000</f>
        <v/>
      </c>
      <c r="AC304" s="599">
        <f>(S304-V304)*V304*W304*0.024653*Z304/1000000</f>
        <v/>
      </c>
      <c r="AD304" s="599">
        <f>AB304-AC304</f>
        <v/>
      </c>
      <c r="AE304" s="599" t="n"/>
      <c r="AF304" s="599" t="n">
        <v>0.287097</v>
      </c>
      <c r="AG304" s="599" t="n"/>
      <c r="AH304" s="599">
        <f>AB303-AF304</f>
        <v/>
      </c>
      <c r="AI304" s="118">
        <f>(AC304+AF304)/AB303</f>
        <v/>
      </c>
    </row>
    <row r="305" hidden="1" s="584">
      <c r="A305" s="594" t="n">
        <v>232</v>
      </c>
      <c r="B305" s="5" t="inlineStr">
        <is>
          <t>Hosur</t>
        </is>
      </c>
      <c r="C305" s="601" t="inlineStr">
        <is>
          <t>Rajsriya Automotive</t>
        </is>
      </c>
      <c r="D305" s="601" t="inlineStr">
        <is>
          <t>Rajsriya</t>
        </is>
      </c>
      <c r="E305" s="601" t="inlineStr">
        <is>
          <t>129695|189481|187884|188415|189239|189240</t>
        </is>
      </c>
      <c r="F305" s="601" t="n">
        <v>1140302</v>
      </c>
      <c r="G305" s="601" t="inlineStr">
        <is>
          <t>PT2-O-N-AUT-AW-PE-25.40X2.600X0.360</t>
        </is>
      </c>
      <c r="H305" s="601" t="inlineStr">
        <is>
          <t>ERW 1</t>
        </is>
      </c>
      <c r="I305" s="601" t="n"/>
      <c r="J305" s="601" t="n"/>
      <c r="K305" s="601" t="inlineStr">
        <is>
          <t>HR</t>
        </is>
      </c>
      <c r="L305" s="601" t="n"/>
      <c r="M305" s="601" t="n"/>
      <c r="N305" s="601" t="n"/>
      <c r="O305" s="601" t="n"/>
      <c r="P305" s="557">
        <f>CONCATENATE(schedule13[[#This Row],[OD]],"-",schedule13[[#This Row],[ID]],"-",schedule13[[#This Row],[TICKNESS]],"-",schedule13[[#This Row],[GRADE]],"-",schedule13[[#This Row],[FC/NFC]])</f>
        <v/>
      </c>
      <c r="Q305" s="557">
        <f>_xlfn.CONCAT(schedule13[[#This Row],[Bucket]],"-",schedule13[[#This Row],[LENGTH]]/1000)</f>
        <v/>
      </c>
      <c r="R305" s="557">
        <f>COUNTIF(buckets[CTL Bucket],schedule13[[#This Row],[CTL Bucket]])</f>
        <v/>
      </c>
      <c r="S305" s="599" t="n">
        <v>25.4</v>
      </c>
      <c r="T305" s="599" t="n">
        <v>25.4</v>
      </c>
      <c r="U305" s="599" t="n">
        <v>0</v>
      </c>
      <c r="V305" s="599" t="n">
        <v>2.6</v>
      </c>
      <c r="W305" s="600" t="n">
        <v>360</v>
      </c>
      <c r="X305" s="600" t="n"/>
      <c r="Y305" s="601" t="n">
        <v>0</v>
      </c>
      <c r="Z305" s="602" t="n"/>
      <c r="AA305" s="602">
        <f>Y305-Z305</f>
        <v/>
      </c>
      <c r="AB305" s="599">
        <f>(S305-V305)*V305*W305*0.024653*Y305/1000000</f>
        <v/>
      </c>
      <c r="AC305" s="599">
        <f>(S305-V305)*V305*W305*0.024653*Z305/1000000</f>
        <v/>
      </c>
      <c r="AD305" s="599">
        <f>AB305-AC305</f>
        <v/>
      </c>
      <c r="AE305" s="599" t="n"/>
      <c r="AF305" s="599" t="n">
        <v>0.9035700000000001</v>
      </c>
      <c r="AG305" s="599" t="n"/>
      <c r="AH305" s="599">
        <f>AB304-AF305</f>
        <v/>
      </c>
      <c r="AI305" s="118">
        <f>(AC305+AF305)/AB304</f>
        <v/>
      </c>
    </row>
    <row r="306" hidden="1" s="584">
      <c r="A306" s="594" t="n">
        <v>233</v>
      </c>
      <c r="B306" s="5" t="inlineStr">
        <is>
          <t>Hosur</t>
        </is>
      </c>
      <c r="C306" s="601" t="inlineStr">
        <is>
          <t>Rajsriya Automotive</t>
        </is>
      </c>
      <c r="D306" s="601" t="inlineStr">
        <is>
          <t>Rajsriya</t>
        </is>
      </c>
      <c r="E306" s="601" t="inlineStr">
        <is>
          <t>129695|189481|187884|188415|189239|189240</t>
        </is>
      </c>
      <c r="F306" s="601" t="n">
        <v>1940913</v>
      </c>
      <c r="G306" s="601" t="inlineStr">
        <is>
          <t>TUB-O-O-AUT-AW-FC-57.15X2.500X0.8120</t>
        </is>
      </c>
      <c r="H306" s="601" t="n"/>
      <c r="I306" s="601" t="n"/>
      <c r="J306" s="601" t="n"/>
      <c r="K306" s="601" t="inlineStr">
        <is>
          <t>HR</t>
        </is>
      </c>
      <c r="L306" s="601" t="n"/>
      <c r="M306" s="601" t="n"/>
      <c r="N306" s="601" t="n"/>
      <c r="O306" s="601" t="n"/>
      <c r="P306" s="557">
        <f>CONCATENATE(schedule13[[#This Row],[OD]],"-",schedule13[[#This Row],[ID]],"-",schedule13[[#This Row],[TICKNESS]],"-",schedule13[[#This Row],[GRADE]],"-",schedule13[[#This Row],[FC/NFC]])</f>
        <v/>
      </c>
      <c r="Q306" s="557">
        <f>_xlfn.CONCAT(schedule13[[#This Row],[Bucket]],"-",schedule13[[#This Row],[LENGTH]]/1000)</f>
        <v/>
      </c>
      <c r="R306" s="557">
        <f>COUNTIF(buckets[CTL Bucket],schedule13[[#This Row],[CTL Bucket]])</f>
        <v/>
      </c>
      <c r="S306" s="599" t="n">
        <v>57.15</v>
      </c>
      <c r="T306" s="599" t="n">
        <v>57.15</v>
      </c>
      <c r="U306" s="599" t="n">
        <v>0</v>
      </c>
      <c r="V306" s="599" t="n">
        <v>2.5</v>
      </c>
      <c r="W306" s="600" t="n">
        <v>812</v>
      </c>
      <c r="X306" s="600" t="n"/>
      <c r="Y306" s="601" t="n">
        <v>0</v>
      </c>
      <c r="Z306" s="602" t="n"/>
      <c r="AA306" s="602">
        <f>Y306-Z306</f>
        <v/>
      </c>
      <c r="AB306" s="599">
        <f>(S306-V306)*V306*W306*0.024653*Y306/1000000</f>
        <v/>
      </c>
      <c r="AC306" s="599">
        <f>(S306-V306)*V306*W306*0.024653*Z306/1000000</f>
        <v/>
      </c>
      <c r="AD306" s="599">
        <f>AB306-AC306</f>
        <v/>
      </c>
      <c r="AE306" s="599" t="n"/>
      <c r="AF306" s="599" t="n"/>
      <c r="AG306" s="599" t="n"/>
      <c r="AH306" s="599">
        <f>AB305-AF306</f>
        <v/>
      </c>
      <c r="AI306" s="118">
        <f>(AC306+AF306)/AB305</f>
        <v/>
      </c>
    </row>
    <row r="307" hidden="1" s="584">
      <c r="A307" s="594" t="n">
        <v>234</v>
      </c>
      <c r="B307" s="5" t="inlineStr">
        <is>
          <t>Hosur</t>
        </is>
      </c>
      <c r="C307" s="601" t="inlineStr">
        <is>
          <t>Rajsriya Automotive</t>
        </is>
      </c>
      <c r="D307" s="601" t="inlineStr">
        <is>
          <t>Rajsriya</t>
        </is>
      </c>
      <c r="E307" s="601" t="inlineStr">
        <is>
          <t>129695|189481|187884|188415|189239|189240</t>
        </is>
      </c>
      <c r="F307" s="601" t="n">
        <v>3747395</v>
      </c>
      <c r="G307" s="601" t="inlineStr">
        <is>
          <t>PT2-O-N-AUT-AW-PE-22.20X1.600X0.361</t>
        </is>
      </c>
      <c r="H307" s="601" t="inlineStr">
        <is>
          <t>ERW 1</t>
        </is>
      </c>
      <c r="I307" s="601" t="n"/>
      <c r="J307" s="601" t="n"/>
      <c r="K307" s="601" t="inlineStr">
        <is>
          <t>HR</t>
        </is>
      </c>
      <c r="L307" s="601" t="n"/>
      <c r="M307" s="601" t="n"/>
      <c r="N307" s="601" t="n"/>
      <c r="O307" s="601" t="n"/>
      <c r="P307" s="557">
        <f>CONCATENATE(schedule13[[#This Row],[OD]],"-",schedule13[[#This Row],[ID]],"-",schedule13[[#This Row],[TICKNESS]],"-",schedule13[[#This Row],[GRADE]],"-",schedule13[[#This Row],[FC/NFC]])</f>
        <v/>
      </c>
      <c r="Q307" s="557">
        <f>_xlfn.CONCAT(schedule13[[#This Row],[Bucket]],"-",schedule13[[#This Row],[LENGTH]]/1000)</f>
        <v/>
      </c>
      <c r="R307" s="557">
        <f>COUNTIF(buckets[CTL Bucket],schedule13[[#This Row],[CTL Bucket]])</f>
        <v/>
      </c>
      <c r="S307" s="599" t="n">
        <v>22.23</v>
      </c>
      <c r="T307" s="599" t="n">
        <v>22.23</v>
      </c>
      <c r="U307" s="599" t="n">
        <v>0</v>
      </c>
      <c r="V307" s="599" t="n">
        <v>1.6</v>
      </c>
      <c r="W307" s="600" t="n">
        <v>361</v>
      </c>
      <c r="X307" s="600" t="n"/>
      <c r="Y307" s="601" t="n">
        <v>0</v>
      </c>
      <c r="Z307" s="602" t="n"/>
      <c r="AA307" s="602">
        <f>Y307-Z307</f>
        <v/>
      </c>
      <c r="AB307" s="599">
        <f>(S307-V307)*V307*W307*0.024653*Y307/1000000</f>
        <v/>
      </c>
      <c r="AC307" s="599">
        <f>(S307-V307)*V307*W307*0.024653*Z307/1000000</f>
        <v/>
      </c>
      <c r="AD307" s="599">
        <f>AB307-AC307</f>
        <v/>
      </c>
      <c r="AE307" s="599" t="n"/>
      <c r="AF307" s="599" t="n"/>
      <c r="AG307" s="599" t="n"/>
      <c r="AH307" s="599">
        <f>AB306-AF307</f>
        <v/>
      </c>
      <c r="AI307" s="118">
        <f>(AC307+AF307)/AB306</f>
        <v/>
      </c>
    </row>
    <row r="308" hidden="1" s="584">
      <c r="A308" s="594" t="n">
        <v>236</v>
      </c>
      <c r="B308" s="5" t="inlineStr">
        <is>
          <t>Hosur</t>
        </is>
      </c>
      <c r="C308" s="601" t="inlineStr">
        <is>
          <t>Rajsriya Automotive</t>
        </is>
      </c>
      <c r="D308" s="601" t="inlineStr">
        <is>
          <t>Rajsriya</t>
        </is>
      </c>
      <c r="E308" s="601" t="inlineStr">
        <is>
          <t>129695|189481|187884|188415|189239|189240</t>
        </is>
      </c>
      <c r="F308" s="601" t="n">
        <v>1119129</v>
      </c>
      <c r="G308" s="601" t="inlineStr">
        <is>
          <t>PT2-O-N-AUT-AW-PE-25.40X1.600X0.360</t>
        </is>
      </c>
      <c r="H308" s="601" t="inlineStr">
        <is>
          <t>ERW 1</t>
        </is>
      </c>
      <c r="I308" s="601" t="n"/>
      <c r="J308" s="601" t="n"/>
      <c r="K308" s="601" t="inlineStr">
        <is>
          <t>HR</t>
        </is>
      </c>
      <c r="L308" s="601" t="n"/>
      <c r="M308" s="601" t="n"/>
      <c r="N308" s="601" t="n"/>
      <c r="O308" s="601" t="n"/>
      <c r="P308" s="557">
        <f>CONCATENATE(schedule13[[#This Row],[OD]],"-",schedule13[[#This Row],[ID]],"-",schedule13[[#This Row],[TICKNESS]],"-",schedule13[[#This Row],[GRADE]],"-",schedule13[[#This Row],[FC/NFC]])</f>
        <v/>
      </c>
      <c r="Q308" s="557">
        <f>_xlfn.CONCAT(schedule13[[#This Row],[Bucket]],"-",schedule13[[#This Row],[LENGTH]]/1000)</f>
        <v/>
      </c>
      <c r="R308" s="557">
        <f>COUNTIF(buckets[CTL Bucket],schedule13[[#This Row],[CTL Bucket]])</f>
        <v/>
      </c>
      <c r="S308" s="599" t="n">
        <v>25.4</v>
      </c>
      <c r="T308" s="599" t="n">
        <v>25.4</v>
      </c>
      <c r="U308" s="599" t="n">
        <v>0</v>
      </c>
      <c r="V308" s="599" t="n">
        <v>1.6</v>
      </c>
      <c r="W308" s="600" t="n">
        <v>360</v>
      </c>
      <c r="X308" s="600" t="n"/>
      <c r="Y308" s="601" t="n">
        <v>0</v>
      </c>
      <c r="Z308" s="602" t="n"/>
      <c r="AA308" s="602">
        <f>Y308-Z308</f>
        <v/>
      </c>
      <c r="AB308" s="599">
        <f>(S308-V308)*V308*W308*0.024653*Y308/1000000</f>
        <v/>
      </c>
      <c r="AC308" s="599">
        <f>(S308-V308)*V308*W308*0.024653*Z308/1000000</f>
        <v/>
      </c>
      <c r="AD308" s="599">
        <f>AB308-AC308</f>
        <v/>
      </c>
      <c r="AE308" s="599" t="n"/>
      <c r="AF308" s="599" t="n">
        <v>0.462904</v>
      </c>
      <c r="AG308" s="599" t="n"/>
      <c r="AH308" s="599">
        <f>AB307-AF308</f>
        <v/>
      </c>
      <c r="AI308" s="118">
        <f>(AC308+AF308)/AB307</f>
        <v/>
      </c>
    </row>
    <row r="309" hidden="1" s="584">
      <c r="A309" s="594" t="n">
        <v>237</v>
      </c>
      <c r="B309" s="5" t="inlineStr">
        <is>
          <t xml:space="preserve">Khopoli </t>
        </is>
      </c>
      <c r="C309" s="601" t="inlineStr">
        <is>
          <t>Rajsriya Automotive</t>
        </is>
      </c>
      <c r="D309" s="601" t="inlineStr">
        <is>
          <t>Rajsriya</t>
        </is>
      </c>
      <c r="E309" s="601" t="inlineStr">
        <is>
          <t>129695|189481|187884|188415|189239|189240</t>
        </is>
      </c>
      <c r="F309" s="601" t="n">
        <v>508988</v>
      </c>
      <c r="G309" s="601" t="inlineStr">
        <is>
          <t>PT2-O-N-AUT-AW-PE-19.05X2.300X0.303</t>
        </is>
      </c>
      <c r="H309" s="601" t="inlineStr">
        <is>
          <t>ERW 1</t>
        </is>
      </c>
      <c r="I309" s="601" t="n"/>
      <c r="J309" s="601" t="n"/>
      <c r="K309" s="601" t="inlineStr">
        <is>
          <t>HR</t>
        </is>
      </c>
      <c r="L309" s="601" t="n"/>
      <c r="M309" s="601" t="n"/>
      <c r="N309" s="601" t="n"/>
      <c r="O309" s="601" t="n"/>
      <c r="P309" s="557">
        <f>CONCATENATE(schedule13[[#This Row],[OD]],"-",schedule13[[#This Row],[ID]],"-",schedule13[[#This Row],[TICKNESS]],"-",schedule13[[#This Row],[GRADE]],"-",schedule13[[#This Row],[FC/NFC]])</f>
        <v/>
      </c>
      <c r="Q309" s="557">
        <f>_xlfn.CONCAT(schedule13[[#This Row],[Bucket]],"-",schedule13[[#This Row],[LENGTH]]/1000)</f>
        <v/>
      </c>
      <c r="R309" s="557">
        <f>COUNTIF(buckets[CTL Bucket],schedule13[[#This Row],[CTL Bucket]])</f>
        <v/>
      </c>
      <c r="S309" s="599" t="n">
        <v>19.05</v>
      </c>
      <c r="T309" s="599" t="n">
        <v>19.05</v>
      </c>
      <c r="U309" s="599" t="n">
        <v>0</v>
      </c>
      <c r="V309" s="599" t="n">
        <v>2.3</v>
      </c>
      <c r="W309" s="600" t="n">
        <v>303</v>
      </c>
      <c r="X309" s="600" t="n"/>
      <c r="Y309" s="601" t="n">
        <v>0</v>
      </c>
      <c r="Z309" s="602" t="n"/>
      <c r="AA309" s="602">
        <f>Y309-Z309</f>
        <v/>
      </c>
      <c r="AB309" s="599">
        <f>(S309-V309)*V309*W309*0.024653*Y309/1000000</f>
        <v/>
      </c>
      <c r="AC309" s="599">
        <f>(S309-V309)*V309*W309*0.024653*Z309/1000000</f>
        <v/>
      </c>
      <c r="AD309" s="599">
        <f>AB309-AC309</f>
        <v/>
      </c>
      <c r="AE309" s="599" t="n"/>
      <c r="AF309" s="599" t="n"/>
      <c r="AG309" s="599" t="n"/>
      <c r="AH309" s="599">
        <f>AB308-AF309</f>
        <v/>
      </c>
      <c r="AI309" s="118">
        <f>(AC309+AF309)/AB308</f>
        <v/>
      </c>
    </row>
    <row r="310" hidden="1" s="584">
      <c r="A310" s="594" t="n">
        <v>239</v>
      </c>
      <c r="B310" s="5" t="inlineStr">
        <is>
          <t>Hosur</t>
        </is>
      </c>
      <c r="C310" s="601" t="inlineStr">
        <is>
          <t>Rajsriya Automotive</t>
        </is>
      </c>
      <c r="D310" s="601" t="inlineStr">
        <is>
          <t>Rajsriya</t>
        </is>
      </c>
      <c r="E310" s="601" t="inlineStr">
        <is>
          <t>129695|189481|187884|188415|189239|189240</t>
        </is>
      </c>
      <c r="F310" s="601" t="n">
        <v>1140411</v>
      </c>
      <c r="G310" s="601" t="inlineStr">
        <is>
          <t>PT2-O-N-AUT-AW-PE-22.20X2.000X0.851</t>
        </is>
      </c>
      <c r="H310" s="601" t="inlineStr">
        <is>
          <t>ERW 1</t>
        </is>
      </c>
      <c r="I310" s="601" t="n"/>
      <c r="J310" s="601" t="n"/>
      <c r="K310" s="601" t="inlineStr">
        <is>
          <t>HR</t>
        </is>
      </c>
      <c r="L310" s="601" t="n"/>
      <c r="M310" s="601" t="n"/>
      <c r="N310" s="601" t="n"/>
      <c r="O310" s="601" t="n"/>
      <c r="P310" s="557">
        <f>CONCATENATE(schedule13[[#This Row],[OD]],"-",schedule13[[#This Row],[ID]],"-",schedule13[[#This Row],[TICKNESS]],"-",schedule13[[#This Row],[GRADE]],"-",schedule13[[#This Row],[FC/NFC]])</f>
        <v/>
      </c>
      <c r="Q310" s="557">
        <f>_xlfn.CONCAT(schedule13[[#This Row],[Bucket]],"-",schedule13[[#This Row],[LENGTH]]/1000)</f>
        <v/>
      </c>
      <c r="R310" s="557">
        <f>COUNTIF(buckets[CTL Bucket],schedule13[[#This Row],[CTL Bucket]])</f>
        <v/>
      </c>
      <c r="S310" s="599" t="n">
        <v>22.23</v>
      </c>
      <c r="T310" s="599" t="n">
        <v>22.23</v>
      </c>
      <c r="U310" s="599" t="n">
        <v>0</v>
      </c>
      <c r="V310" s="599" t="n">
        <v>2</v>
      </c>
      <c r="W310" s="600" t="n">
        <v>851</v>
      </c>
      <c r="X310" s="600" t="n"/>
      <c r="Y310" s="601" t="n">
        <v>0</v>
      </c>
      <c r="Z310" s="602" t="n"/>
      <c r="AA310" s="602">
        <f>Y310-Z310</f>
        <v/>
      </c>
      <c r="AB310" s="599">
        <f>(S310-V310)*V310*W310*0.024653*Y310/1000000</f>
        <v/>
      </c>
      <c r="AC310" s="599">
        <f>(S310-V310)*V310*W310*0.024653*Z310/1000000</f>
        <v/>
      </c>
      <c r="AD310" s="599">
        <f>AB310-AC310</f>
        <v/>
      </c>
      <c r="AE310" s="599" t="n"/>
      <c r="AF310" s="599" t="n"/>
      <c r="AG310" s="599" t="n"/>
      <c r="AH310" s="599">
        <f>AB309-AF310</f>
        <v/>
      </c>
      <c r="AI310" s="118">
        <f>(AC310+AF310)/AB309</f>
        <v/>
      </c>
    </row>
    <row r="311" hidden="1" s="584">
      <c r="A311" s="594" t="n">
        <v>240</v>
      </c>
      <c r="B311" s="5" t="inlineStr">
        <is>
          <t>Hosur</t>
        </is>
      </c>
      <c r="C311" s="601" t="inlineStr">
        <is>
          <t>Rajsriya Automotive</t>
        </is>
      </c>
      <c r="D311" s="601" t="inlineStr">
        <is>
          <t>Rajsriya</t>
        </is>
      </c>
      <c r="E311" s="601" t="inlineStr">
        <is>
          <t>129695|189481|187884|188415|189239|189240</t>
        </is>
      </c>
      <c r="F311" s="601" t="n">
        <v>1529261</v>
      </c>
      <c r="G311" s="601" t="inlineStr">
        <is>
          <t>TUB-O-N-AUT-AW-PE-19.05X1.600X0.2890</t>
        </is>
      </c>
      <c r="H311" s="601" t="inlineStr">
        <is>
          <t>ERW 1</t>
        </is>
      </c>
      <c r="I311" s="601" t="n"/>
      <c r="J311" s="601" t="n"/>
      <c r="K311" s="601" t="inlineStr">
        <is>
          <t>HR</t>
        </is>
      </c>
      <c r="L311" s="601" t="n"/>
      <c r="M311" s="601" t="n"/>
      <c r="N311" s="601" t="n"/>
      <c r="O311" s="601" t="n"/>
      <c r="P311" s="557">
        <f>CONCATENATE(schedule13[[#This Row],[OD]],"-",schedule13[[#This Row],[ID]],"-",schedule13[[#This Row],[TICKNESS]],"-",schedule13[[#This Row],[GRADE]],"-",schedule13[[#This Row],[FC/NFC]])</f>
        <v/>
      </c>
      <c r="Q311" s="557">
        <f>_xlfn.CONCAT(schedule13[[#This Row],[Bucket]],"-",schedule13[[#This Row],[LENGTH]]/1000)</f>
        <v/>
      </c>
      <c r="R311" s="557">
        <f>COUNTIF(buckets[CTL Bucket],schedule13[[#This Row],[CTL Bucket]])</f>
        <v/>
      </c>
      <c r="S311" s="599" t="n">
        <v>19.05</v>
      </c>
      <c r="T311" s="599" t="n">
        <v>19.05</v>
      </c>
      <c r="U311" s="599" t="n">
        <v>0</v>
      </c>
      <c r="V311" s="599" t="n">
        <v>1.6</v>
      </c>
      <c r="W311" s="600" t="n">
        <v>289</v>
      </c>
      <c r="X311" s="600" t="n"/>
      <c r="Y311" s="601" t="n">
        <v>0</v>
      </c>
      <c r="Z311" s="602" t="n"/>
      <c r="AA311" s="602">
        <f>Y311-Z311</f>
        <v/>
      </c>
      <c r="AB311" s="599">
        <f>(S311-V311)*V311*W311*0.024653*Y311/1000000</f>
        <v/>
      </c>
      <c r="AC311" s="599">
        <f>(S311-V311)*V311*W311*0.024653*Z311/1000000</f>
        <v/>
      </c>
      <c r="AD311" s="599">
        <f>AB311-AC311</f>
        <v/>
      </c>
      <c r="AE311" s="599" t="n"/>
      <c r="AF311" s="599" t="n">
        <v>0.052077</v>
      </c>
      <c r="AG311" s="599" t="n"/>
      <c r="AH311" s="599">
        <f>AB310-AF311</f>
        <v/>
      </c>
      <c r="AI311" s="118">
        <f>(AC311+AF311)/AB310</f>
        <v/>
      </c>
    </row>
    <row r="312" hidden="1" s="584">
      <c r="A312" s="594" t="n">
        <v>241</v>
      </c>
      <c r="B312" s="5" t="inlineStr">
        <is>
          <t>Hosur</t>
        </is>
      </c>
      <c r="C312" s="601" t="inlineStr">
        <is>
          <t>Rajsriya Automotive</t>
        </is>
      </c>
      <c r="D312" s="601" t="inlineStr">
        <is>
          <t>Rajsriya</t>
        </is>
      </c>
      <c r="E312" s="601" t="inlineStr">
        <is>
          <t>129695|189481|187884|188415|189239|189240</t>
        </is>
      </c>
      <c r="F312" s="601" t="n">
        <v>1361680</v>
      </c>
      <c r="G312" s="601" t="inlineStr">
        <is>
          <t>TUB-O-N-AUT-AW-PE-22.20X2.000X0.8620</t>
        </is>
      </c>
      <c r="H312" s="601" t="inlineStr">
        <is>
          <t>ERW 1</t>
        </is>
      </c>
      <c r="I312" s="601" t="n"/>
      <c r="J312" s="601" t="n"/>
      <c r="K312" s="601" t="inlineStr">
        <is>
          <t>HR</t>
        </is>
      </c>
      <c r="L312" s="601" t="n"/>
      <c r="M312" s="601" t="n"/>
      <c r="N312" s="601" t="n"/>
      <c r="O312" s="601" t="n"/>
      <c r="P312" s="557">
        <f>CONCATENATE(schedule13[[#This Row],[OD]],"-",schedule13[[#This Row],[ID]],"-",schedule13[[#This Row],[TICKNESS]],"-",schedule13[[#This Row],[GRADE]],"-",schedule13[[#This Row],[FC/NFC]])</f>
        <v/>
      </c>
      <c r="Q312" s="557">
        <f>_xlfn.CONCAT(schedule13[[#This Row],[Bucket]],"-",schedule13[[#This Row],[LENGTH]]/1000)</f>
        <v/>
      </c>
      <c r="R312" s="557">
        <f>COUNTIF(buckets[CTL Bucket],schedule13[[#This Row],[CTL Bucket]])</f>
        <v/>
      </c>
      <c r="S312" s="599" t="n">
        <v>22.23</v>
      </c>
      <c r="T312" s="599" t="n">
        <v>22.23</v>
      </c>
      <c r="U312" s="599" t="n">
        <v>0</v>
      </c>
      <c r="V312" s="599" t="n">
        <v>2</v>
      </c>
      <c r="W312" s="600" t="n">
        <v>862</v>
      </c>
      <c r="X312" s="600" t="n"/>
      <c r="Y312" s="601" t="n">
        <v>0</v>
      </c>
      <c r="Z312" s="602" t="n"/>
      <c r="AA312" s="602">
        <f>Y312-Z312</f>
        <v/>
      </c>
      <c r="AB312" s="599">
        <f>(S312-V312)*V312*W312*0.024653*Y312/1000000</f>
        <v/>
      </c>
      <c r="AC312" s="599">
        <f>(S312-V312)*V312*W312*0.024653*Z312/1000000</f>
        <v/>
      </c>
      <c r="AD312" s="599">
        <f>AB312-AC312</f>
        <v/>
      </c>
      <c r="AE312" s="599" t="n"/>
      <c r="AF312" s="599" t="n"/>
      <c r="AG312" s="599" t="n"/>
      <c r="AH312" s="599">
        <f>AB311-AF312</f>
        <v/>
      </c>
      <c r="AI312" s="118">
        <f>(AC312+AF312)/AB311</f>
        <v/>
      </c>
    </row>
    <row r="313" hidden="1" s="584">
      <c r="A313" s="594" t="n">
        <v>401</v>
      </c>
      <c r="B313" s="5" t="inlineStr">
        <is>
          <t>Hosur</t>
        </is>
      </c>
      <c r="C313" s="601" t="inlineStr">
        <is>
          <t>Rajsriya Automotive</t>
        </is>
      </c>
      <c r="D313" s="601" t="inlineStr">
        <is>
          <t>Rajsriya</t>
        </is>
      </c>
      <c r="E313" s="601" t="inlineStr">
        <is>
          <t>129695|189481|187884|188415|189239|189240</t>
        </is>
      </c>
      <c r="F313" s="601" t="n"/>
      <c r="G313" s="601" t="n"/>
      <c r="H313" s="601" t="inlineStr">
        <is>
          <t>ERW 2</t>
        </is>
      </c>
      <c r="I313" s="601" t="n"/>
      <c r="J313" s="601" t="n"/>
      <c r="K313" s="601" t="inlineStr">
        <is>
          <t>HR</t>
        </is>
      </c>
      <c r="L313" s="601" t="n"/>
      <c r="M313" s="601" t="n"/>
      <c r="N313" s="601" t="n"/>
      <c r="O313" s="601" t="n"/>
      <c r="P313" s="557">
        <f>CONCATENATE(schedule13[[#This Row],[OD]],"-",schedule13[[#This Row],[ID]],"-",schedule13[[#This Row],[TICKNESS]],"-",schedule13[[#This Row],[GRADE]],"-",schedule13[[#This Row],[FC/NFC]])</f>
        <v/>
      </c>
      <c r="Q313" s="557">
        <f>_xlfn.CONCAT(schedule13[[#This Row],[Bucket]],"-",schedule13[[#This Row],[LENGTH]]/1000)</f>
        <v/>
      </c>
      <c r="R313" s="557">
        <f>COUNTIF(buckets[CTL Bucket],schedule13[[#This Row],[CTL Bucket]])</f>
        <v/>
      </c>
      <c r="S313" s="599" t="n">
        <v>19.05</v>
      </c>
      <c r="T313" s="599" t="n">
        <v>19.05</v>
      </c>
      <c r="U313" s="599" t="n">
        <v>0</v>
      </c>
      <c r="V313" s="599" t="n">
        <v>2.5</v>
      </c>
      <c r="W313" s="23" t="n">
        <v>319</v>
      </c>
      <c r="X313" s="23" t="n"/>
      <c r="Y313" s="601" t="n">
        <v>0</v>
      </c>
      <c r="Z313" s="601" t="n"/>
      <c r="AA313" s="602">
        <f>Y313-Z313</f>
        <v/>
      </c>
      <c r="AB313" s="599">
        <f>(S313-V313)*V313*W313*0.024653*Y313/1000000</f>
        <v/>
      </c>
      <c r="AC313" s="599">
        <f>(S313-V313)*V313*W313*0.024653*Z313/1000000</f>
        <v/>
      </c>
      <c r="AD313" s="599">
        <f>AB313-AC313</f>
        <v/>
      </c>
      <c r="AE313" s="599" t="n"/>
      <c r="AF313" s="599" t="n">
        <v>2.0945</v>
      </c>
      <c r="AG313" s="599" t="n"/>
      <c r="AH313" s="599">
        <f>AB312-AF313</f>
        <v/>
      </c>
      <c r="AI313" s="118">
        <f>(AC313+AF313)/AB312</f>
        <v/>
      </c>
    </row>
    <row r="314" hidden="1" ht="17.25" customHeight="1" s="584">
      <c r="A314" s="594" t="n">
        <v>402</v>
      </c>
      <c r="B314" s="5" t="inlineStr">
        <is>
          <t>Hosur</t>
        </is>
      </c>
      <c r="C314" s="601" t="inlineStr">
        <is>
          <t>Rajsriya Automotive</t>
        </is>
      </c>
      <c r="D314" s="601" t="inlineStr">
        <is>
          <t>Rajsriya</t>
        </is>
      </c>
      <c r="E314" s="601" t="inlineStr">
        <is>
          <t>129695|189481|187884|188415|189239|189240</t>
        </is>
      </c>
      <c r="F314" s="601" t="n">
        <v>1529260</v>
      </c>
      <c r="G314" s="601" t="inlineStr">
        <is>
          <t>TUB-O-N-AUT-AW-PE-19.05X1.600X0.2990</t>
        </is>
      </c>
      <c r="H314" s="601" t="inlineStr">
        <is>
          <t>ERW 1</t>
        </is>
      </c>
      <c r="I314" s="601" t="n"/>
      <c r="J314" s="601" t="n"/>
      <c r="K314" s="601" t="inlineStr">
        <is>
          <t>HR</t>
        </is>
      </c>
      <c r="L314" s="601" t="n"/>
      <c r="M314" s="601" t="n"/>
      <c r="N314" s="601" t="n"/>
      <c r="O314" s="601" t="n"/>
      <c r="P314" s="557">
        <f>CONCATENATE(schedule13[[#This Row],[OD]],"-",schedule13[[#This Row],[ID]],"-",schedule13[[#This Row],[TICKNESS]],"-",schedule13[[#This Row],[GRADE]],"-",schedule13[[#This Row],[FC/NFC]])</f>
        <v/>
      </c>
      <c r="Q314" s="557">
        <f>_xlfn.CONCAT(schedule13[[#This Row],[Bucket]],"-",schedule13[[#This Row],[LENGTH]]/1000)</f>
        <v/>
      </c>
      <c r="R314" s="557">
        <f>COUNTIF(buckets[CTL Bucket],schedule13[[#This Row],[CTL Bucket]])</f>
        <v/>
      </c>
      <c r="S314" s="599" t="n">
        <v>19.05</v>
      </c>
      <c r="T314" s="599" t="n">
        <v>19.05</v>
      </c>
      <c r="U314" s="599" t="n">
        <v>0</v>
      </c>
      <c r="V314" s="599" t="n">
        <v>1.6</v>
      </c>
      <c r="W314" s="23" t="n">
        <v>299</v>
      </c>
      <c r="X314" s="23" t="n"/>
      <c r="Y314" s="601" t="n">
        <v>0</v>
      </c>
      <c r="Z314" s="601" t="n"/>
      <c r="AA314" s="602">
        <f>Y314-Z314</f>
        <v/>
      </c>
      <c r="AB314" s="599">
        <f>(S314-V314)*V314*W314*0.024653*Y314/1000000</f>
        <v/>
      </c>
      <c r="AC314" s="599">
        <f>(S314-V314)*V314*W314*0.024653*Z314/1000000</f>
        <v/>
      </c>
      <c r="AD314" s="599">
        <f>AB314-AC314</f>
        <v/>
      </c>
      <c r="AE314" s="599" t="n"/>
      <c r="AF314" s="599" t="n"/>
      <c r="AG314" s="599" t="n"/>
      <c r="AH314" s="599" t="n"/>
      <c r="AI314" s="118" t="n"/>
      <c r="AJ314" s="83" t="n">
        <v>9518489911</v>
      </c>
    </row>
    <row r="315" hidden="1" s="584">
      <c r="A315" s="594" t="n">
        <v>403</v>
      </c>
      <c r="B315" s="5" t="inlineStr">
        <is>
          <t xml:space="preserve">Khopoli </t>
        </is>
      </c>
      <c r="C315" s="601" t="inlineStr">
        <is>
          <t>Rajsriya Automotive</t>
        </is>
      </c>
      <c r="D315" s="601" t="inlineStr">
        <is>
          <t>Rajsriya</t>
        </is>
      </c>
      <c r="E315" s="601" t="inlineStr">
        <is>
          <t>129695|189481|187884|188415|189239|189240</t>
        </is>
      </c>
      <c r="F315" s="601" t="n">
        <v>1931824</v>
      </c>
      <c r="G315" s="601" t="inlineStr">
        <is>
          <t>TUB-O-N-AUT-AW-PE-17.30X1.200X6.0000</t>
        </is>
      </c>
      <c r="H315" s="601" t="inlineStr">
        <is>
          <t>CEW</t>
        </is>
      </c>
      <c r="I315" s="601" t="n"/>
      <c r="J315" s="601" t="inlineStr">
        <is>
          <t>CEW</t>
        </is>
      </c>
      <c r="K315" s="601" t="inlineStr">
        <is>
          <t>HR</t>
        </is>
      </c>
      <c r="L315" s="601" t="n"/>
      <c r="M315" s="601" t="n"/>
      <c r="N315" s="601" t="n"/>
      <c r="O315" s="601" t="n"/>
      <c r="P315" s="557">
        <f>CONCATENATE(schedule13[[#This Row],[OD]],"-",schedule13[[#This Row],[ID]],"-",schedule13[[#This Row],[TICKNESS]],"-",schedule13[[#This Row],[GRADE]],"-",schedule13[[#This Row],[FC/NFC]])</f>
        <v/>
      </c>
      <c r="Q315" s="557">
        <f>_xlfn.CONCAT(schedule13[[#This Row],[Bucket]],"-",schedule13[[#This Row],[LENGTH]]/1000)</f>
        <v/>
      </c>
      <c r="R315" s="557">
        <f>COUNTIF(buckets[CTL Bucket],schedule13[[#This Row],[CTL Bucket]])</f>
        <v/>
      </c>
      <c r="S315" s="599" t="n">
        <v>17.3</v>
      </c>
      <c r="T315" s="599" t="n">
        <v>17.3</v>
      </c>
      <c r="U315" s="599" t="n">
        <v>0</v>
      </c>
      <c r="V315" s="599" t="n">
        <v>1.2</v>
      </c>
      <c r="W315" s="23" t="n">
        <v>6000</v>
      </c>
      <c r="X315" s="23" t="n"/>
      <c r="Y315" s="601" t="n">
        <v>0</v>
      </c>
      <c r="Z315" s="601" t="n"/>
      <c r="AA315" s="602">
        <f>Y315-Z315</f>
        <v/>
      </c>
      <c r="AB315" s="599">
        <f>(S315-V315)*V315*W315*0.024653*Y315/1000000</f>
        <v/>
      </c>
      <c r="AC315" s="599">
        <f>(S315-V315)*V315*W315*0.024653*Z315/1000000</f>
        <v/>
      </c>
      <c r="AD315" s="599">
        <f>AB315-AC315</f>
        <v/>
      </c>
      <c r="AE315" s="599" t="n"/>
      <c r="AF315" s="599" t="n"/>
      <c r="AG315" s="599" t="n"/>
      <c r="AH315" s="599">
        <f>AB314-AF315</f>
        <v/>
      </c>
      <c r="AI315" s="118">
        <f>(AC315+AF315)/AB314</f>
        <v/>
      </c>
    </row>
    <row r="316" hidden="1" s="584">
      <c r="A316" s="594" t="n">
        <v>404</v>
      </c>
      <c r="B316" s="5" t="inlineStr">
        <is>
          <t>Hosur</t>
        </is>
      </c>
      <c r="C316" s="601" t="inlineStr">
        <is>
          <t>Rajsriya Automotive</t>
        </is>
      </c>
      <c r="D316" s="601" t="inlineStr">
        <is>
          <t>Rajsriya</t>
        </is>
      </c>
      <c r="E316" s="601" t="inlineStr">
        <is>
          <t>129695|189481|187884|188415|189239|189240</t>
        </is>
      </c>
      <c r="F316" s="9" t="n">
        <v>3727461</v>
      </c>
      <c r="G316" s="9" t="inlineStr">
        <is>
          <t>CUT-O-N-AUT-AW-FC-57.15X2.000X0.4130</t>
        </is>
      </c>
      <c r="H316" s="601" t="inlineStr">
        <is>
          <t>ERW 1</t>
        </is>
      </c>
      <c r="I316" s="601" t="n"/>
      <c r="J316" s="601" t="n"/>
      <c r="K316" s="601" t="inlineStr">
        <is>
          <t>HR</t>
        </is>
      </c>
      <c r="L316" s="601" t="n"/>
      <c r="M316" s="601" t="n"/>
      <c r="N316" s="601" t="n"/>
      <c r="O316" s="601" t="n"/>
      <c r="P316" s="557">
        <f>CONCATENATE(schedule13[[#This Row],[OD]],"-",schedule13[[#This Row],[ID]],"-",schedule13[[#This Row],[TICKNESS]],"-",schedule13[[#This Row],[GRADE]],"-",schedule13[[#This Row],[FC/NFC]])</f>
        <v/>
      </c>
      <c r="Q316" s="557">
        <f>_xlfn.CONCAT(schedule13[[#This Row],[Bucket]],"-",schedule13[[#This Row],[LENGTH]]/1000)</f>
        <v/>
      </c>
      <c r="R316" s="557">
        <f>COUNTIF(buckets[CTL Bucket],schedule13[[#This Row],[CTL Bucket]])</f>
        <v/>
      </c>
      <c r="S316" s="599" t="n">
        <v>57.15</v>
      </c>
      <c r="T316" s="599" t="n">
        <v>57.15</v>
      </c>
      <c r="U316" s="599" t="n">
        <v>0</v>
      </c>
      <c r="V316" s="599" t="n">
        <v>2</v>
      </c>
      <c r="W316" s="23" t="n">
        <v>413</v>
      </c>
      <c r="X316" s="23" t="n"/>
      <c r="Y316" s="601" t="n">
        <v>0</v>
      </c>
      <c r="Z316" s="601" t="n"/>
      <c r="AA316" s="602">
        <f>Y316-Z316</f>
        <v/>
      </c>
      <c r="AB316" s="599">
        <f>(S316-V316)*V316*W316*0.024653*Y316/1000000</f>
        <v/>
      </c>
      <c r="AC316" s="599">
        <f>(S316-V316)*V316*W316*0.024653*Z316/1000000</f>
        <v/>
      </c>
      <c r="AD316" s="599">
        <f>AB316-AC316</f>
        <v/>
      </c>
      <c r="AE316" s="599" t="n"/>
      <c r="AF316" s="599" t="n">
        <v>7.359665999999999</v>
      </c>
      <c r="AG316" s="599" t="n"/>
      <c r="AH316" s="599">
        <f>AB315-AF316</f>
        <v/>
      </c>
      <c r="AI316" s="118">
        <f>(AC316+AF316)/AB315</f>
        <v/>
      </c>
    </row>
    <row r="317" hidden="1" s="584">
      <c r="A317" s="594" t="n">
        <v>406</v>
      </c>
      <c r="B317" s="5" t="inlineStr">
        <is>
          <t xml:space="preserve">Khopoli </t>
        </is>
      </c>
      <c r="C317" s="601" t="inlineStr">
        <is>
          <t>Rajsriya Automotive</t>
        </is>
      </c>
      <c r="D317" s="601" t="inlineStr">
        <is>
          <t>Rajsriya</t>
        </is>
      </c>
      <c r="E317" s="601" t="inlineStr">
        <is>
          <t>129695|189481|187884|188415|189239|189240</t>
        </is>
      </c>
      <c r="F317" s="601" t="n">
        <v>3468207</v>
      </c>
      <c r="G317" s="601" t="inlineStr">
        <is>
          <t>TUB-O-C-AUT-AD-FC-19.00X3.250X5.0000</t>
        </is>
      </c>
      <c r="H317" s="601" t="inlineStr">
        <is>
          <t>CEW</t>
        </is>
      </c>
      <c r="I317" s="601" t="n"/>
      <c r="J317" s="601" t="inlineStr">
        <is>
          <t>CEW</t>
        </is>
      </c>
      <c r="K317" s="601" t="inlineStr">
        <is>
          <t>HR</t>
        </is>
      </c>
      <c r="L317" s="601" t="n"/>
      <c r="M317" s="601" t="n"/>
      <c r="N317" s="601" t="n"/>
      <c r="O317" s="601" t="n"/>
      <c r="P317" s="557">
        <f>CONCATENATE(schedule13[[#This Row],[OD]],"-",schedule13[[#This Row],[ID]],"-",schedule13[[#This Row],[TICKNESS]],"-",schedule13[[#This Row],[GRADE]],"-",schedule13[[#This Row],[FC/NFC]])</f>
        <v/>
      </c>
      <c r="Q317" s="557">
        <f>_xlfn.CONCAT(schedule13[[#This Row],[Bucket]],"-",schedule13[[#This Row],[LENGTH]]/1000)</f>
        <v/>
      </c>
      <c r="R317" s="557">
        <f>COUNTIF(buckets[CTL Bucket],schedule13[[#This Row],[CTL Bucket]])</f>
        <v/>
      </c>
      <c r="S317" s="599" t="n">
        <v>19</v>
      </c>
      <c r="T317" s="599" t="n">
        <v>19</v>
      </c>
      <c r="U317" s="599" t="n">
        <v>12.5</v>
      </c>
      <c r="V317" s="599" t="n">
        <v>3.25</v>
      </c>
      <c r="W317" s="23" t="n">
        <v>5000</v>
      </c>
      <c r="X317" s="23" t="n"/>
      <c r="Y317" s="601" t="n">
        <v>0</v>
      </c>
      <c r="Z317" s="601" t="n"/>
      <c r="AA317" s="602">
        <f>Y317-Z317</f>
        <v/>
      </c>
      <c r="AB317" s="599">
        <f>(S317-V317)*V317*W317*0.024653*Y317/1000000</f>
        <v/>
      </c>
      <c r="AC317" s="599">
        <f>(S317-V317)*V317*W317*0.024653*Z317/1000000</f>
        <v/>
      </c>
      <c r="AD317" s="599">
        <f>AB317-AC317</f>
        <v/>
      </c>
      <c r="AE317" s="599" t="n"/>
      <c r="AF317" s="599" t="n"/>
      <c r="AG317" s="599" t="n"/>
      <c r="AH317" s="599" t="n"/>
      <c r="AI317" s="118" t="n"/>
    </row>
    <row r="318" hidden="1" s="584">
      <c r="A318" s="594" t="n">
        <v>407</v>
      </c>
      <c r="B318" s="5" t="inlineStr">
        <is>
          <t xml:space="preserve">Khopoli </t>
        </is>
      </c>
      <c r="C318" s="601" t="inlineStr">
        <is>
          <t>Rajsriya Automotive</t>
        </is>
      </c>
      <c r="D318" s="601" t="inlineStr">
        <is>
          <t>Rajsriya</t>
        </is>
      </c>
      <c r="E318" s="601" t="inlineStr">
        <is>
          <t>129695|189481|187884|188415|189239|189240</t>
        </is>
      </c>
      <c r="F318" s="601" t="n">
        <v>3594528</v>
      </c>
      <c r="G318" s="601" t="inlineStr">
        <is>
          <t>TUB-O-N-AUT-AW-FC-60.30X2.000X6.0000</t>
        </is>
      </c>
      <c r="H318" s="601" t="inlineStr">
        <is>
          <t>CEW</t>
        </is>
      </c>
      <c r="I318" s="601" t="n"/>
      <c r="J318" s="601" t="inlineStr">
        <is>
          <t>CEW</t>
        </is>
      </c>
      <c r="K318" s="601" t="inlineStr">
        <is>
          <t>HR</t>
        </is>
      </c>
      <c r="L318" s="601" t="n"/>
      <c r="M318" s="601" t="n"/>
      <c r="N318" s="601" t="n"/>
      <c r="O318" s="601" t="n"/>
      <c r="P318" s="557">
        <f>CONCATENATE(schedule13[[#This Row],[OD]],"-",schedule13[[#This Row],[ID]],"-",schedule13[[#This Row],[TICKNESS]],"-",schedule13[[#This Row],[GRADE]],"-",schedule13[[#This Row],[FC/NFC]])</f>
        <v/>
      </c>
      <c r="Q318" s="557">
        <f>_xlfn.CONCAT(schedule13[[#This Row],[Bucket]],"-",schedule13[[#This Row],[LENGTH]]/1000)</f>
        <v/>
      </c>
      <c r="R318" s="557">
        <f>COUNTIF(buckets[CTL Bucket],schedule13[[#This Row],[CTL Bucket]])</f>
        <v/>
      </c>
      <c r="S318" s="599" t="n">
        <v>60.3</v>
      </c>
      <c r="T318" s="599" t="n">
        <v>60.3</v>
      </c>
      <c r="U318" s="599" t="n">
        <v>0</v>
      </c>
      <c r="V318" s="599" t="n">
        <v>2</v>
      </c>
      <c r="W318" s="23" t="n">
        <v>6000</v>
      </c>
      <c r="X318" s="23" t="n"/>
      <c r="Y318" s="601" t="n">
        <v>0</v>
      </c>
      <c r="Z318" s="601" t="n"/>
      <c r="AA318" s="602">
        <f>Y318-Z318</f>
        <v/>
      </c>
      <c r="AB318" s="599">
        <f>(S318-V318)*V318*W318*0.024653*Y318/1000000</f>
        <v/>
      </c>
      <c r="AC318" s="599">
        <f>(S318-V318)*V318*W318*0.024653*Z318/1000000</f>
        <v/>
      </c>
      <c r="AD318" s="599">
        <f>AB318-AC318</f>
        <v/>
      </c>
      <c r="AE318" s="599" t="n"/>
      <c r="AF318" s="599" t="n"/>
      <c r="AG318" s="599" t="n"/>
      <c r="AH318" s="599">
        <f>AB317-AF318</f>
        <v/>
      </c>
      <c r="AI318" s="118">
        <f>(AC318+AF318)/AB317</f>
        <v/>
      </c>
    </row>
    <row r="319" hidden="1" s="584">
      <c r="A319" s="594" t="n">
        <v>408</v>
      </c>
      <c r="B319" s="5" t="inlineStr">
        <is>
          <t xml:space="preserve">Khopoli </t>
        </is>
      </c>
      <c r="C319" s="601" t="inlineStr">
        <is>
          <t>Rajsriya Automotive</t>
        </is>
      </c>
      <c r="D319" s="601" t="inlineStr">
        <is>
          <t>Rajsriya</t>
        </is>
      </c>
      <c r="E319" s="601" t="inlineStr">
        <is>
          <t>129695|189481|187884|188415|189239|189240</t>
        </is>
      </c>
      <c r="F319" s="601" t="n">
        <v>2426233</v>
      </c>
      <c r="G319" s="601" t="inlineStr">
        <is>
          <t>TUB-O-N-AUT-AN-FC-42.70X4.000X5.7300</t>
        </is>
      </c>
      <c r="H319" s="601" t="inlineStr">
        <is>
          <t>CEW</t>
        </is>
      </c>
      <c r="I319" s="601" t="inlineStr">
        <is>
          <t>Annealed</t>
        </is>
      </c>
      <c r="J319" s="601" t="inlineStr">
        <is>
          <t>CEW</t>
        </is>
      </c>
      <c r="K319" s="601" t="inlineStr">
        <is>
          <t>HR</t>
        </is>
      </c>
      <c r="L319" s="601" t="n"/>
      <c r="M319" s="601" t="n"/>
      <c r="N319" s="601" t="n"/>
      <c r="O319" s="601" t="n"/>
      <c r="P319" s="557">
        <f>CONCATENATE(schedule13[[#This Row],[OD]],"-",schedule13[[#This Row],[ID]],"-",schedule13[[#This Row],[TICKNESS]],"-",schedule13[[#This Row],[GRADE]],"-",schedule13[[#This Row],[FC/NFC]])</f>
        <v/>
      </c>
      <c r="Q319" s="557">
        <f>_xlfn.CONCAT(schedule13[[#This Row],[Bucket]],"-",schedule13[[#This Row],[LENGTH]]/1000)</f>
        <v/>
      </c>
      <c r="R319" s="557">
        <f>COUNTIF(buckets[CTL Bucket],schedule13[[#This Row],[CTL Bucket]])</f>
        <v/>
      </c>
      <c r="S319" s="599" t="n">
        <v>42.7</v>
      </c>
      <c r="T319" s="599" t="n">
        <v>42.7</v>
      </c>
      <c r="U319" s="599" t="n">
        <v>0</v>
      </c>
      <c r="V319" s="599" t="n">
        <v>4</v>
      </c>
      <c r="W319" s="23" t="n">
        <v>5739</v>
      </c>
      <c r="X319" s="23" t="n"/>
      <c r="Y319" s="601" t="n">
        <v>0</v>
      </c>
      <c r="Z319" s="601" t="n"/>
      <c r="AA319" s="602">
        <f>Y319-Z319</f>
        <v/>
      </c>
      <c r="AB319" s="599">
        <f>(S319-V319)*V319*W319*0.024653*Y319/1000000</f>
        <v/>
      </c>
      <c r="AC319" s="599">
        <f>(S319-V319)*V319*W319*0.024653*Z319/1000000</f>
        <v/>
      </c>
      <c r="AD319" s="599">
        <f>AB319-AC319</f>
        <v/>
      </c>
      <c r="AE319" s="599" t="n"/>
      <c r="AF319" s="599" t="n">
        <v>19.242229</v>
      </c>
      <c r="AG319" s="599" t="n"/>
      <c r="AH319" s="599">
        <f>AB318-AF319</f>
        <v/>
      </c>
      <c r="AI319" s="118">
        <f>(AC319+AF319)/AB318</f>
        <v/>
      </c>
    </row>
    <row r="320" hidden="1" s="584">
      <c r="A320" s="594" t="n">
        <v>409</v>
      </c>
      <c r="B320" s="5" t="inlineStr">
        <is>
          <t xml:space="preserve">Khopoli </t>
        </is>
      </c>
      <c r="C320" s="601" t="inlineStr">
        <is>
          <t>Rajsriya Automotive</t>
        </is>
      </c>
      <c r="D320" s="601" t="inlineStr">
        <is>
          <t>Rajsriya</t>
        </is>
      </c>
      <c r="E320" s="601" t="inlineStr">
        <is>
          <t>129695|189481|187884|188415|189239|189240</t>
        </is>
      </c>
      <c r="F320" s="601" t="n">
        <v>1941408</v>
      </c>
      <c r="G320" s="601" t="inlineStr">
        <is>
          <t>TUB-O-C-AUT-AD-FC-25.40X2.500X3.7300</t>
        </is>
      </c>
      <c r="H320" s="601" t="inlineStr">
        <is>
          <t>CEW</t>
        </is>
      </c>
      <c r="I320" s="601" t="n"/>
      <c r="J320" s="601" t="inlineStr">
        <is>
          <t>CEW</t>
        </is>
      </c>
      <c r="K320" s="601" t="inlineStr">
        <is>
          <t>HR</t>
        </is>
      </c>
      <c r="L320" s="601" t="n"/>
      <c r="M320" s="601" t="n"/>
      <c r="N320" s="601" t="n"/>
      <c r="O320" s="601" t="n"/>
      <c r="P320" s="557">
        <f>CONCATENATE(schedule13[[#This Row],[OD]],"-",schedule13[[#This Row],[ID]],"-",schedule13[[#This Row],[TICKNESS]],"-",schedule13[[#This Row],[GRADE]],"-",schedule13[[#This Row],[FC/NFC]])</f>
        <v/>
      </c>
      <c r="Q320" s="557">
        <f>_xlfn.CONCAT(schedule13[[#This Row],[Bucket]],"-",schedule13[[#This Row],[LENGTH]]/1000)</f>
        <v/>
      </c>
      <c r="R320" s="557">
        <f>COUNTIF(buckets[CTL Bucket],schedule13[[#This Row],[CTL Bucket]])</f>
        <v/>
      </c>
      <c r="S320" s="599" t="n">
        <v>25.4</v>
      </c>
      <c r="T320" s="599" t="n">
        <v>25.4</v>
      </c>
      <c r="U320" s="599" t="n">
        <v>20.4</v>
      </c>
      <c r="V320" s="599" t="n">
        <v>2.5</v>
      </c>
      <c r="W320" s="23" t="n">
        <v>3730</v>
      </c>
      <c r="X320" s="23" t="n"/>
      <c r="Y320" s="601" t="n">
        <v>0</v>
      </c>
      <c r="Z320" s="601" t="n"/>
      <c r="AA320" s="602">
        <f>Y320-Z320</f>
        <v/>
      </c>
      <c r="AB320" s="599">
        <f>(S320-V320)*V320*W320*0.024653*Y320/1000000</f>
        <v/>
      </c>
      <c r="AC320" s="599">
        <f>(S320-V320)*V320*W320*0.024653*Z320/1000000</f>
        <v/>
      </c>
      <c r="AD320" s="599">
        <f>AB320-AC320</f>
        <v/>
      </c>
      <c r="AE320" s="599" t="n"/>
      <c r="AF320" s="599" t="n">
        <v>4.520126</v>
      </c>
      <c r="AG320" s="599" t="n"/>
      <c r="AH320" s="599">
        <f>AB319-AF320</f>
        <v/>
      </c>
      <c r="AI320" s="118">
        <f>(AC320+AF320)/AB319</f>
        <v/>
      </c>
    </row>
    <row r="321" hidden="1" s="584">
      <c r="A321" s="594" t="n">
        <v>129</v>
      </c>
      <c r="B321" s="5" t="inlineStr">
        <is>
          <t xml:space="preserve">Khopoli </t>
        </is>
      </c>
      <c r="C321" s="601" t="inlineStr">
        <is>
          <t xml:space="preserve">Rajsriya Mysore </t>
        </is>
      </c>
      <c r="D321" s="601" t="inlineStr">
        <is>
          <t>Rajsriya</t>
        </is>
      </c>
      <c r="E321" s="601" t="n">
        <v>930883</v>
      </c>
      <c r="F321" s="601" t="n"/>
      <c r="G321" s="601" t="n"/>
      <c r="H321" s="601" t="inlineStr">
        <is>
          <t>CEW</t>
        </is>
      </c>
      <c r="I321" s="601" t="n"/>
      <c r="J321" s="601" t="inlineStr">
        <is>
          <t>CEW</t>
        </is>
      </c>
      <c r="K321" s="601" t="inlineStr">
        <is>
          <t>HR</t>
        </is>
      </c>
      <c r="L321" s="601" t="n"/>
      <c r="M321" s="601" t="n"/>
      <c r="N321" s="601" t="n"/>
      <c r="O321" s="601" t="n"/>
      <c r="P321" s="557">
        <f>CONCATENATE(schedule13[[#This Row],[OD]],"-",schedule13[[#This Row],[ID]],"-",schedule13[[#This Row],[TICKNESS]],"-",schedule13[[#This Row],[GRADE]],"-",schedule13[[#This Row],[FC/NFC]])</f>
        <v/>
      </c>
      <c r="Q321" s="557">
        <f>schedule13[[#This Row],[Bucket]]</f>
        <v/>
      </c>
      <c r="R321" s="557">
        <f>COUNTIF(buckets[CTL Bucket],schedule13[[#This Row],[CTL Bucket]])</f>
        <v/>
      </c>
      <c r="S321" s="599" t="n">
        <v>12</v>
      </c>
      <c r="T321" s="599" t="n">
        <v>12</v>
      </c>
      <c r="U321" s="599" t="n">
        <v>0</v>
      </c>
      <c r="V321" s="599" t="n">
        <v>1.6</v>
      </c>
      <c r="W321" s="600" t="n">
        <v>1000</v>
      </c>
      <c r="X321" s="22" t="inlineStr">
        <is>
          <t>M</t>
        </is>
      </c>
      <c r="Y321" s="601" t="n">
        <v>0</v>
      </c>
      <c r="Z321" s="601" t="n"/>
      <c r="AA321" s="602">
        <f>Y321-Z321</f>
        <v/>
      </c>
      <c r="AB321" s="599">
        <f>(S321-V321)*V321*W321*0.024653*Y321/1000000</f>
        <v/>
      </c>
      <c r="AC321" s="599">
        <f>(S321-V321)*V321*W321*0.024653*Z321/1000000</f>
        <v/>
      </c>
      <c r="AD321" s="599">
        <f>AB321-AC321</f>
        <v/>
      </c>
      <c r="AE321" s="598">
        <f>schedule13[[#This Row],[CTL Stock]]/schedule13[[#This Row],[SCHEDULE IN MT]]*schedule13[[#This Row],[SCHEDULE]]</f>
        <v/>
      </c>
      <c r="AF321" s="599">
        <f>SUMIFS(stock[MT],stock[Bucket],schedule13[[#This Row],[Bucket]],stock[CTL Bucket],schedule13[[#This Row],[CTL Bucket]])</f>
        <v/>
      </c>
      <c r="AG321" s="599">
        <f>SUMIFS(stock[MT],stock[Bucket],schedule13[[#This Row],[Bucket]])+SUMIFS(wip[Stock(Net Wt)],wip[Bucket],schedule13[[#This Row],[Bucket]])/1000</f>
        <v/>
      </c>
      <c r="AH321" s="599">
        <f>AB320-AF321</f>
        <v/>
      </c>
      <c r="AI321" s="118">
        <f>(AC321+AF321)/AB320</f>
        <v/>
      </c>
    </row>
    <row r="322" hidden="1" s="584">
      <c r="A322" s="594" t="n">
        <v>130</v>
      </c>
      <c r="B322" s="5" t="inlineStr">
        <is>
          <t xml:space="preserve">Khopoli </t>
        </is>
      </c>
      <c r="C322" s="601" t="inlineStr">
        <is>
          <t xml:space="preserve">Rajsriya Mysore </t>
        </is>
      </c>
      <c r="D322" s="601" t="inlineStr">
        <is>
          <t>Rajsriya</t>
        </is>
      </c>
      <c r="E322" s="601" t="n">
        <v>930883</v>
      </c>
      <c r="F322" s="601" t="n">
        <v>1931824</v>
      </c>
      <c r="G322" s="601" t="inlineStr">
        <is>
          <t>TUB-O-N-AUT-AW-PE-17.30X1.200X6.0000</t>
        </is>
      </c>
      <c r="H322" s="601" t="inlineStr">
        <is>
          <t>ERW 1</t>
        </is>
      </c>
      <c r="I322" s="601" t="n"/>
      <c r="J322" s="601" t="n"/>
      <c r="K322" s="601" t="inlineStr">
        <is>
          <t>HR</t>
        </is>
      </c>
      <c r="L322" s="601" t="n"/>
      <c r="M322" s="601" t="n"/>
      <c r="N322" s="601" t="n"/>
      <c r="O322" s="601" t="n"/>
      <c r="P322" s="557">
        <f>CONCATENATE(schedule13[[#This Row],[OD]],"-",schedule13[[#This Row],[ID]],"-",schedule13[[#This Row],[TICKNESS]],"-",schedule13[[#This Row],[GRADE]],"-",schedule13[[#This Row],[FC/NFC]])</f>
        <v/>
      </c>
      <c r="Q322" s="557" t="n"/>
      <c r="R322" s="557" t="n"/>
      <c r="S322" s="599" t="n">
        <v>17.3</v>
      </c>
      <c r="T322" s="599" t="n">
        <v>17.3</v>
      </c>
      <c r="U322" s="599" t="n">
        <v>0</v>
      </c>
      <c r="V322" s="599" t="n">
        <v>1.2</v>
      </c>
      <c r="W322" s="600" t="n">
        <v>6000</v>
      </c>
      <c r="X322" s="600" t="n"/>
      <c r="Y322" s="601" t="n">
        <v>0</v>
      </c>
      <c r="Z322" s="601" t="n"/>
      <c r="AA322" s="602">
        <f>Y322-Z322</f>
        <v/>
      </c>
      <c r="AB322" s="599">
        <f>(S322-V322)*V322*W322*0.024653*Y322/1000000</f>
        <v/>
      </c>
      <c r="AC322" s="599">
        <f>(S322-V322)*V322*W322*0.024653*Z322/1000000</f>
        <v/>
      </c>
      <c r="AD322" s="599">
        <f>AB322-AC322</f>
        <v/>
      </c>
      <c r="AE322" s="599" t="n"/>
      <c r="AF322" s="599" t="n">
        <v>0.973624</v>
      </c>
      <c r="AG322" s="599" t="n"/>
      <c r="AH322" s="599">
        <f>AB321-AF322</f>
        <v/>
      </c>
      <c r="AI322" s="118">
        <f>(AC322+AF322)/AB321</f>
        <v/>
      </c>
    </row>
    <row r="323" hidden="1" s="584">
      <c r="A323" s="594" t="n">
        <v>131</v>
      </c>
      <c r="B323" s="5" t="inlineStr">
        <is>
          <t>Hosur</t>
        </is>
      </c>
      <c r="C323" s="601" t="inlineStr">
        <is>
          <t xml:space="preserve">Rajsriya Mysore </t>
        </is>
      </c>
      <c r="D323" s="601" t="inlineStr">
        <is>
          <t>Rajsriya</t>
        </is>
      </c>
      <c r="E323" s="601" t="n">
        <v>930883</v>
      </c>
      <c r="F323" s="601" t="n">
        <v>1939993</v>
      </c>
      <c r="G323" s="601" t="inlineStr">
        <is>
          <t>TUB-O-O-AUT-AW-PE-12.70X1.600X0.2500</t>
        </is>
      </c>
      <c r="H323" s="601" t="inlineStr">
        <is>
          <t>ERW 1</t>
        </is>
      </c>
      <c r="I323" s="601" t="n"/>
      <c r="J323" s="601" t="n"/>
      <c r="K323" s="601" t="inlineStr">
        <is>
          <t>HR</t>
        </is>
      </c>
      <c r="L323" s="601" t="n"/>
      <c r="M323" s="601" t="n"/>
      <c r="N323" s="601" t="n"/>
      <c r="O323" s="601" t="n"/>
      <c r="P323" s="557">
        <f>CONCATENATE(schedule13[[#This Row],[OD]],"-",schedule13[[#This Row],[ID]],"-",schedule13[[#This Row],[TICKNESS]],"-",schedule13[[#This Row],[GRADE]],"-",schedule13[[#This Row],[FC/NFC]])</f>
        <v/>
      </c>
      <c r="Q323" s="557" t="n"/>
      <c r="R323" s="557" t="n"/>
      <c r="S323" s="599" t="n">
        <v>12.7</v>
      </c>
      <c r="T323" s="599" t="n">
        <v>12.7</v>
      </c>
      <c r="U323" s="599" t="n">
        <v>0</v>
      </c>
      <c r="V323" s="599" t="n">
        <v>1.6</v>
      </c>
      <c r="W323" s="600" t="n">
        <v>250</v>
      </c>
      <c r="X323" s="600" t="n"/>
      <c r="Y323" s="601" t="n">
        <v>10000</v>
      </c>
      <c r="Z323" s="601" t="n"/>
      <c r="AA323" s="602">
        <f>Y323-Z323</f>
        <v/>
      </c>
      <c r="AB323" s="599">
        <f>(S323-V323)*V323*W323*0.024653*Y323/1000000</f>
        <v/>
      </c>
      <c r="AC323" s="599">
        <f>(S323-V323)*V323*W323*0.024653*Z323/1000000</f>
        <v/>
      </c>
      <c r="AD323" s="599">
        <f>AB323-AC323</f>
        <v/>
      </c>
      <c r="AE323" s="599" t="n"/>
      <c r="AF323" s="599" t="n">
        <v>7.359665999999999</v>
      </c>
      <c r="AG323" s="599" t="n"/>
      <c r="AH323" s="599">
        <f>AB322-AF323</f>
        <v/>
      </c>
      <c r="AI323" s="118">
        <f>(AC323+AF323)/AB322</f>
        <v/>
      </c>
    </row>
    <row r="324" hidden="1" s="584">
      <c r="A324" s="594" t="n">
        <v>133</v>
      </c>
      <c r="B324" s="5" t="inlineStr">
        <is>
          <t>Hosur</t>
        </is>
      </c>
      <c r="C324" s="601" t="inlineStr">
        <is>
          <t xml:space="preserve">Rajsriya Mysore </t>
        </is>
      </c>
      <c r="D324" s="601" t="inlineStr">
        <is>
          <t>Rajsriya</t>
        </is>
      </c>
      <c r="E324" s="601" t="n">
        <v>930883</v>
      </c>
      <c r="F324" s="601" t="n">
        <v>1939996</v>
      </c>
      <c r="G324" s="601" t="inlineStr">
        <is>
          <t>TUB-O-O-AUT-AW-PE-12.70X1.600X0.2950</t>
        </is>
      </c>
      <c r="H324" s="601" t="inlineStr">
        <is>
          <t>ERW 1</t>
        </is>
      </c>
      <c r="I324" s="601" t="n"/>
      <c r="J324" s="601" t="n"/>
      <c r="K324" s="601" t="inlineStr">
        <is>
          <t>HR</t>
        </is>
      </c>
      <c r="L324" s="601" t="n"/>
      <c r="M324" s="601" t="n"/>
      <c r="N324" s="601" t="n"/>
      <c r="O324" s="601" t="n"/>
      <c r="P324" s="557">
        <f>CONCATENATE(schedule13[[#This Row],[OD]],"-",schedule13[[#This Row],[ID]],"-",schedule13[[#This Row],[TICKNESS]],"-",schedule13[[#This Row],[GRADE]],"-",schedule13[[#This Row],[FC/NFC]])</f>
        <v/>
      </c>
      <c r="Q324" s="557" t="n"/>
      <c r="R324" s="557" t="n"/>
      <c r="S324" s="599" t="n">
        <v>12.7</v>
      </c>
      <c r="T324" s="599" t="n">
        <v>12.7</v>
      </c>
      <c r="U324" s="599" t="n">
        <v>0</v>
      </c>
      <c r="V324" s="599" t="n">
        <v>1.6</v>
      </c>
      <c r="W324" s="600" t="n">
        <v>295</v>
      </c>
      <c r="X324" s="600" t="n"/>
      <c r="Y324" s="601" t="n">
        <v>10000</v>
      </c>
      <c r="Z324" s="601" t="n"/>
      <c r="AA324" s="602">
        <f>Y324-Z324</f>
        <v/>
      </c>
      <c r="AB324" s="599">
        <f>(S324-V324)*V324*W324*0.024653*Y324/1000000</f>
        <v/>
      </c>
      <c r="AC324" s="599">
        <f>(S324-V324)*V324*W324*0.024653*Z324/1000000</f>
        <v/>
      </c>
      <c r="AD324" s="599">
        <f>AB324-AC324</f>
        <v/>
      </c>
      <c r="AE324" s="599" t="n"/>
      <c r="AF324" s="599" t="n"/>
      <c r="AG324" s="599" t="n"/>
      <c r="AH324" s="599" t="n"/>
      <c r="AI324" s="118" t="n"/>
    </row>
    <row r="325" hidden="1" s="584">
      <c r="A325" s="594" t="n">
        <v>134</v>
      </c>
      <c r="B325" s="5" t="inlineStr">
        <is>
          <t xml:space="preserve">Khopoli </t>
        </is>
      </c>
      <c r="C325" s="601" t="inlineStr">
        <is>
          <t xml:space="preserve">Rajsriya Mysore </t>
        </is>
      </c>
      <c r="D325" s="601" t="inlineStr">
        <is>
          <t>Rajsriya</t>
        </is>
      </c>
      <c r="E325" s="601" t="n">
        <v>930883</v>
      </c>
      <c r="F325" s="601" t="n"/>
      <c r="G325" s="601" t="n"/>
      <c r="H325" s="601" t="inlineStr">
        <is>
          <t>CEW</t>
        </is>
      </c>
      <c r="I325" s="601" t="n"/>
      <c r="J325" s="601" t="n"/>
      <c r="K325" s="601" t="inlineStr">
        <is>
          <t>HR</t>
        </is>
      </c>
      <c r="L325" s="601" t="n"/>
      <c r="M325" s="601" t="n"/>
      <c r="N325" s="601" t="n"/>
      <c r="O325" s="601" t="n"/>
      <c r="P325" s="557">
        <f>CONCATENATE(schedule13[[#This Row],[OD]],"-",schedule13[[#This Row],[ID]],"-",schedule13[[#This Row],[TICKNESS]],"-",schedule13[[#This Row],[GRADE]],"-",schedule13[[#This Row],[FC/NFC]])</f>
        <v/>
      </c>
      <c r="Q325" s="557" t="n"/>
      <c r="R325" s="557" t="n"/>
      <c r="S325" s="599" t="n">
        <v>16.1</v>
      </c>
      <c r="T325" s="599" t="n">
        <v>16.1</v>
      </c>
      <c r="U325" s="599" t="n">
        <v>0</v>
      </c>
      <c r="V325" s="599" t="n">
        <v>2.8</v>
      </c>
      <c r="W325" s="600" t="n">
        <v>4500</v>
      </c>
      <c r="X325" s="600" t="n"/>
      <c r="Y325" s="601" t="n">
        <v>1112</v>
      </c>
      <c r="Z325" s="601" t="n"/>
      <c r="AA325" s="602">
        <f>Y325-Z325</f>
        <v/>
      </c>
      <c r="AB325" s="599">
        <f>(S325-V325)*V325*W325*0.024653*Y325/1000000</f>
        <v/>
      </c>
      <c r="AC325" s="599">
        <f>(S325-V325)*V325*W325*0.024653*Z325/1000000</f>
        <v/>
      </c>
      <c r="AD325" s="599">
        <f>AB325-AC325</f>
        <v/>
      </c>
      <c r="AE325" s="599" t="n"/>
      <c r="AF325" s="599" t="n"/>
      <c r="AG325" s="599" t="n"/>
      <c r="AH325" s="599">
        <f>AB324-AF325</f>
        <v/>
      </c>
      <c r="AI325" s="118">
        <f>(AC325+AF325)/AB324</f>
        <v/>
      </c>
    </row>
    <row r="326" hidden="1" s="584">
      <c r="A326" s="594" t="n">
        <v>135</v>
      </c>
      <c r="B326" s="5" t="inlineStr">
        <is>
          <t>Hosur</t>
        </is>
      </c>
      <c r="C326" s="601" t="inlineStr">
        <is>
          <t xml:space="preserve">Rajsriya Mysore </t>
        </is>
      </c>
      <c r="D326" s="601" t="inlineStr">
        <is>
          <t>Rajsriya</t>
        </is>
      </c>
      <c r="E326" s="601" t="n">
        <v>930883</v>
      </c>
      <c r="F326" s="601" t="n">
        <v>1940090</v>
      </c>
      <c r="G326" s="601" t="inlineStr">
        <is>
          <t>TUB-O-O-AUT-AW-PE-15.88X2.000X0.2910</t>
        </is>
      </c>
      <c r="H326" s="601" t="inlineStr">
        <is>
          <t>ERW 1</t>
        </is>
      </c>
      <c r="I326" s="601" t="n"/>
      <c r="J326" s="601" t="n"/>
      <c r="K326" s="601" t="inlineStr">
        <is>
          <t>HR</t>
        </is>
      </c>
      <c r="L326" s="601" t="n"/>
      <c r="M326" s="601" t="n"/>
      <c r="N326" s="601" t="n"/>
      <c r="O326" s="601" t="n"/>
      <c r="P326" s="557">
        <f>CONCATENATE(schedule13[[#This Row],[OD]],"-",schedule13[[#This Row],[ID]],"-",schedule13[[#This Row],[TICKNESS]],"-",schedule13[[#This Row],[GRADE]],"-",schedule13[[#This Row],[FC/NFC]])</f>
        <v/>
      </c>
      <c r="Q326" s="557" t="n"/>
      <c r="R326" s="557" t="n"/>
      <c r="S326" s="599" t="n">
        <v>15.88</v>
      </c>
      <c r="T326" s="599" t="n">
        <v>15.88</v>
      </c>
      <c r="U326" s="599" t="n">
        <v>0</v>
      </c>
      <c r="V326" s="599" t="n">
        <v>2</v>
      </c>
      <c r="W326" s="600" t="n">
        <v>291</v>
      </c>
      <c r="X326" s="600" t="n"/>
      <c r="Y326" s="601" t="n">
        <v>10000</v>
      </c>
      <c r="Z326" s="601" t="n"/>
      <c r="AA326" s="602">
        <f>Y326-Z326</f>
        <v/>
      </c>
      <c r="AB326" s="599">
        <f>(S326-V326)*V326*W326*0.024653*Y326/1000000</f>
        <v/>
      </c>
      <c r="AC326" s="599">
        <f>(S326-V326)*V326*W326*0.024653*Z326/1000000</f>
        <v/>
      </c>
      <c r="AD326" s="599">
        <f>AB326-AC326</f>
        <v/>
      </c>
      <c r="AE326" s="599" t="n"/>
      <c r="AF326" s="599" t="n"/>
      <c r="AG326" s="599" t="n"/>
      <c r="AH326" s="599" t="n"/>
      <c r="AI326" s="118" t="n"/>
    </row>
    <row r="327" hidden="1" s="584">
      <c r="A327" s="594" t="n">
        <v>139</v>
      </c>
      <c r="B327" s="5" t="inlineStr">
        <is>
          <t>Hosur</t>
        </is>
      </c>
      <c r="C327" s="601" t="inlineStr">
        <is>
          <t xml:space="preserve">Rajsriya Mysore </t>
        </is>
      </c>
      <c r="D327" s="601" t="inlineStr">
        <is>
          <t>Rajsriya</t>
        </is>
      </c>
      <c r="E327" s="601" t="n">
        <v>930883</v>
      </c>
      <c r="F327" s="601" t="n">
        <v>2243845</v>
      </c>
      <c r="G327" s="601" t="inlineStr">
        <is>
          <t>TUB-O-N-AUT-HR-PE-15.88X2.000X0.4420</t>
        </is>
      </c>
      <c r="H327" s="601" t="inlineStr">
        <is>
          <t>ERW 1</t>
        </is>
      </c>
      <c r="I327" s="601" t="n"/>
      <c r="J327" s="601" t="n"/>
      <c r="K327" s="601" t="inlineStr">
        <is>
          <t>HR</t>
        </is>
      </c>
      <c r="L327" s="601" t="n"/>
      <c r="M327" s="601" t="n"/>
      <c r="N327" s="601" t="n"/>
      <c r="O327" s="601" t="n"/>
      <c r="P327" s="557">
        <f>CONCATENATE(schedule13[[#This Row],[OD]],"-",schedule13[[#This Row],[ID]],"-",schedule13[[#This Row],[TICKNESS]],"-",schedule13[[#This Row],[GRADE]],"-",schedule13[[#This Row],[FC/NFC]])</f>
        <v/>
      </c>
      <c r="Q327" s="557" t="n"/>
      <c r="R327" s="557" t="n"/>
      <c r="S327" s="599" t="n">
        <v>15.88</v>
      </c>
      <c r="T327" s="599" t="n">
        <v>15.88</v>
      </c>
      <c r="U327" s="599" t="n">
        <v>0</v>
      </c>
      <c r="V327" s="599" t="n">
        <v>2</v>
      </c>
      <c r="W327" s="600" t="n">
        <v>442</v>
      </c>
      <c r="X327" s="600" t="n"/>
      <c r="Y327" s="601" t="n">
        <v>0</v>
      </c>
      <c r="Z327" s="601" t="n"/>
      <c r="AA327" s="602">
        <f>Y327-Z327</f>
        <v/>
      </c>
      <c r="AB327" s="599">
        <f>(S327-V327)*V327*W327*0.024653*Y327/1000000</f>
        <v/>
      </c>
      <c r="AC327" s="599">
        <f>(S327-V327)*V327*W327*0.024653*Z327/1000000</f>
        <v/>
      </c>
      <c r="AD327" s="599">
        <f>AB327-AC327</f>
        <v/>
      </c>
      <c r="AE327" s="599" t="n"/>
      <c r="AF327" s="599" t="n"/>
      <c r="AG327" s="599" t="n"/>
      <c r="AH327" s="599" t="n"/>
      <c r="AI327" s="118" t="n"/>
    </row>
    <row r="328" hidden="1" s="584">
      <c r="A328" s="594" t="n">
        <v>141</v>
      </c>
      <c r="B328" s="5" t="inlineStr">
        <is>
          <t>Hosur</t>
        </is>
      </c>
      <c r="C328" s="601" t="inlineStr">
        <is>
          <t xml:space="preserve">Rajsriya Mysore </t>
        </is>
      </c>
      <c r="D328" s="601" t="inlineStr">
        <is>
          <t>Rajsriya</t>
        </is>
      </c>
      <c r="E328" s="601" t="n">
        <v>930883</v>
      </c>
      <c r="F328" s="601" t="n">
        <v>3747395</v>
      </c>
      <c r="G328" s="601" t="inlineStr">
        <is>
          <t>PT2-O-N-AUT-AW-PE-22.20X1.600X0.361</t>
        </is>
      </c>
      <c r="H328" s="601" t="inlineStr">
        <is>
          <t>ERW 1</t>
        </is>
      </c>
      <c r="I328" s="601" t="n"/>
      <c r="J328" s="601" t="n"/>
      <c r="K328" s="601" t="inlineStr">
        <is>
          <t>HR</t>
        </is>
      </c>
      <c r="L328" s="601" t="n"/>
      <c r="M328" s="601" t="n"/>
      <c r="N328" s="601" t="n"/>
      <c r="O328" s="601" t="n"/>
      <c r="P328" s="557">
        <f>CONCATENATE(schedule13[[#This Row],[OD]],"-",schedule13[[#This Row],[ID]],"-",schedule13[[#This Row],[TICKNESS]],"-",schedule13[[#This Row],[GRADE]],"-",schedule13[[#This Row],[FC/NFC]])</f>
        <v/>
      </c>
      <c r="Q328" s="557" t="n"/>
      <c r="R328" s="557" t="n"/>
      <c r="S328" s="599" t="n">
        <v>22.23</v>
      </c>
      <c r="T328" s="599" t="n">
        <v>22.23</v>
      </c>
      <c r="U328" s="599" t="n">
        <v>0</v>
      </c>
      <c r="V328" s="599" t="n">
        <v>1.6</v>
      </c>
      <c r="W328" s="600" t="n">
        <v>361</v>
      </c>
      <c r="X328" s="600" t="n"/>
      <c r="Y328" s="601" t="n">
        <v>0</v>
      </c>
      <c r="Z328" s="601" t="n"/>
      <c r="AA328" s="602">
        <f>Y328-Z328</f>
        <v/>
      </c>
      <c r="AB328" s="599">
        <f>(S328-V328)*V328*W328*0.024653*Y328/1000000</f>
        <v/>
      </c>
      <c r="AC328" s="599">
        <f>(S328-V328)*V328*W328*0.024653*Z328/1000000</f>
        <v/>
      </c>
      <c r="AD328" s="599">
        <f>AB328-AC328</f>
        <v/>
      </c>
      <c r="AE328" s="599" t="n"/>
      <c r="AF328" s="599" t="n">
        <v>3.149</v>
      </c>
      <c r="AG328" s="599" t="n"/>
      <c r="AH328" s="599">
        <f>AB327-AF328</f>
        <v/>
      </c>
      <c r="AI328" s="118">
        <f>(AC328+AF328)/AB327</f>
        <v/>
      </c>
    </row>
    <row r="329" hidden="1" s="584">
      <c r="A329" s="594" t="n">
        <v>142</v>
      </c>
      <c r="B329" s="5" t="inlineStr">
        <is>
          <t>Hosur</t>
        </is>
      </c>
      <c r="C329" s="601" t="inlineStr">
        <is>
          <t xml:space="preserve">Rajsriya Mysore </t>
        </is>
      </c>
      <c r="D329" s="601" t="inlineStr">
        <is>
          <t>Rajsriya</t>
        </is>
      </c>
      <c r="E329" s="601" t="n">
        <v>930883</v>
      </c>
      <c r="F329" s="601" t="n">
        <v>1940445</v>
      </c>
      <c r="G329" s="601" t="inlineStr">
        <is>
          <t>TUB-O-O-AUT-AW-PE-22.23X2.000X0.5050</t>
        </is>
      </c>
      <c r="H329" s="601" t="inlineStr">
        <is>
          <t>ERW 1</t>
        </is>
      </c>
      <c r="I329" s="601" t="n"/>
      <c r="J329" s="601" t="n"/>
      <c r="K329" s="601" t="inlineStr">
        <is>
          <t>HR</t>
        </is>
      </c>
      <c r="L329" s="601" t="n"/>
      <c r="M329" s="601" t="n"/>
      <c r="N329" s="601" t="n"/>
      <c r="O329" s="601" t="n"/>
      <c r="P329" s="557">
        <f>CONCATENATE(schedule13[[#This Row],[OD]],"-",schedule13[[#This Row],[ID]],"-",schedule13[[#This Row],[TICKNESS]],"-",schedule13[[#This Row],[GRADE]],"-",schedule13[[#This Row],[FC/NFC]])</f>
        <v/>
      </c>
      <c r="Q329" s="557" t="n"/>
      <c r="R329" s="557" t="n"/>
      <c r="S329" s="599" t="n">
        <v>22.23</v>
      </c>
      <c r="T329" s="599" t="n">
        <v>22.23</v>
      </c>
      <c r="U329" s="599" t="n">
        <v>0</v>
      </c>
      <c r="V329" s="599" t="n">
        <v>2</v>
      </c>
      <c r="W329" s="600" t="n">
        <v>505</v>
      </c>
      <c r="X329" s="600" t="n"/>
      <c r="Y329" s="601" t="n">
        <v>0</v>
      </c>
      <c r="Z329" s="601" t="n"/>
      <c r="AA329" s="602">
        <f>Y329-Z329</f>
        <v/>
      </c>
      <c r="AB329" s="599">
        <f>(S329-V329)*V329*W329*0.024653*Y329/1000000</f>
        <v/>
      </c>
      <c r="AC329" s="599">
        <f>(S329-V329)*V329*W329*0.024653*Z329/1000000</f>
        <v/>
      </c>
      <c r="AD329" s="599">
        <f>AB329-AC329</f>
        <v/>
      </c>
      <c r="AE329" s="599" t="n"/>
      <c r="AF329" s="599" t="n">
        <v>0.104067</v>
      </c>
      <c r="AG329" s="599" t="n"/>
      <c r="AH329" s="599">
        <f>AB328-AF329</f>
        <v/>
      </c>
      <c r="AI329" s="118">
        <f>(AC329+AF329)/AB328</f>
        <v/>
      </c>
    </row>
    <row r="330" hidden="1" s="584">
      <c r="A330" s="594" t="n">
        <v>143</v>
      </c>
      <c r="B330" s="5" t="inlineStr">
        <is>
          <t>Hosur</t>
        </is>
      </c>
      <c r="C330" s="601" t="inlineStr">
        <is>
          <t xml:space="preserve">Rajsriya Mysore </t>
        </is>
      </c>
      <c r="D330" s="601" t="inlineStr">
        <is>
          <t>Rajsriya</t>
        </is>
      </c>
      <c r="E330" s="601" t="n">
        <v>930883</v>
      </c>
      <c r="F330" s="601" t="n">
        <v>1940470</v>
      </c>
      <c r="G330" s="601" t="inlineStr">
        <is>
          <t>TUB-O-O-AUT-AW-PE-22.23X2.000X0.8510</t>
        </is>
      </c>
      <c r="H330" s="601" t="inlineStr">
        <is>
          <t>ERW 1</t>
        </is>
      </c>
      <c r="I330" s="601" t="n"/>
      <c r="J330" s="601" t="n"/>
      <c r="K330" s="601" t="inlineStr">
        <is>
          <t>HR</t>
        </is>
      </c>
      <c r="L330" s="601" t="n"/>
      <c r="M330" s="601" t="n"/>
      <c r="N330" s="601" t="n"/>
      <c r="O330" s="601" t="n"/>
      <c r="P330" s="557">
        <f>CONCATENATE(schedule13[[#This Row],[OD]],"-",schedule13[[#This Row],[ID]],"-",schedule13[[#This Row],[TICKNESS]],"-",schedule13[[#This Row],[GRADE]],"-",schedule13[[#This Row],[FC/NFC]])</f>
        <v/>
      </c>
      <c r="Q330" s="557" t="n"/>
      <c r="R330" s="557" t="n"/>
      <c r="S330" s="599" t="n">
        <v>22.23</v>
      </c>
      <c r="T330" s="599" t="n">
        <v>22.23</v>
      </c>
      <c r="U330" s="599" t="n">
        <v>0</v>
      </c>
      <c r="V330" s="599" t="n">
        <v>2</v>
      </c>
      <c r="W330" s="600" t="n">
        <v>851</v>
      </c>
      <c r="X330" s="600" t="n"/>
      <c r="Y330" s="601" t="n">
        <v>0</v>
      </c>
      <c r="Z330" s="601" t="n"/>
      <c r="AA330" s="602">
        <f>Y330-Z330</f>
        <v/>
      </c>
      <c r="AB330" s="599">
        <f>(S330-V330)*V330*W330*0.024653*Y330/1000000</f>
        <v/>
      </c>
      <c r="AC330" s="599">
        <f>(S330-V330)*V330*W330*0.024653*Z330/1000000</f>
        <v/>
      </c>
      <c r="AD330" s="599">
        <f>AB330-AC330</f>
        <v/>
      </c>
      <c r="AE330" s="599" t="n"/>
      <c r="AF330" s="599" t="n"/>
      <c r="AG330" s="599" t="n"/>
      <c r="AH330" s="599">
        <f>AB329-AF330</f>
        <v/>
      </c>
      <c r="AI330" s="118">
        <f>(AC330+AF330)/AB329</f>
        <v/>
      </c>
    </row>
    <row r="331" hidden="1" s="584">
      <c r="A331" s="594" t="n">
        <v>148</v>
      </c>
      <c r="B331" s="5" t="inlineStr">
        <is>
          <t>Hosur</t>
        </is>
      </c>
      <c r="C331" s="601" t="inlineStr">
        <is>
          <t xml:space="preserve">Rajsriya Mysore </t>
        </is>
      </c>
      <c r="D331" s="601" t="inlineStr">
        <is>
          <t>Rajsriya</t>
        </is>
      </c>
      <c r="E331" s="601" t="n">
        <v>930883</v>
      </c>
      <c r="F331" s="601" t="n">
        <v>3122347</v>
      </c>
      <c r="G331" s="601" t="inlineStr">
        <is>
          <t>TUB-O-N-AUT-AW-PE-19.05X1.600X0.3940(HSST)</t>
        </is>
      </c>
      <c r="H331" s="601" t="inlineStr">
        <is>
          <t>ERW 2 MAHS</t>
        </is>
      </c>
      <c r="I331" s="601" t="n"/>
      <c r="J331" s="601" t="inlineStr">
        <is>
          <t>PE</t>
        </is>
      </c>
      <c r="K331" s="601" t="inlineStr">
        <is>
          <t>CR</t>
        </is>
      </c>
      <c r="L331" s="596" t="inlineStr">
        <is>
          <t>ST52AL</t>
        </is>
      </c>
      <c r="M331" s="601" t="n"/>
      <c r="N331" s="601" t="inlineStr">
        <is>
          <t>AG</t>
        </is>
      </c>
      <c r="O331" s="601" t="n"/>
      <c r="P331" s="557">
        <f>CONCATENATE(schedule13[[#This Row],[OD]],"-",schedule13[[#This Row],[ID]],"-",schedule13[[#This Row],[TICKNESS]],"-",schedule13[[#This Row],[GRADE]],"-",schedule13[[#This Row],[FC/NFC]])</f>
        <v/>
      </c>
      <c r="Q331" s="557">
        <f>_xlfn.CONCAT(schedule13[[#This Row],[Bucket]],"-",schedule13[[#This Row],[LENGTH]]/1000)</f>
        <v/>
      </c>
      <c r="R331" s="557">
        <f>COUNTIF(buckets[CTL Bucket],schedule13[[#This Row],[CTL Bucket]])</f>
        <v/>
      </c>
      <c r="S331" s="599" t="n">
        <v>19.05</v>
      </c>
      <c r="T331" s="599" t="n">
        <v>19.05</v>
      </c>
      <c r="U331" s="599" t="n">
        <v>0</v>
      </c>
      <c r="V331" s="599" t="n">
        <v>1.6</v>
      </c>
      <c r="W331" s="600" t="n">
        <v>394</v>
      </c>
      <c r="X331" s="22" t="inlineStr">
        <is>
          <t>NOS</t>
        </is>
      </c>
      <c r="Y331" s="601" t="n">
        <v>40000</v>
      </c>
      <c r="Z331" s="601" t="n"/>
      <c r="AA331" s="602">
        <f>Y331-Z331</f>
        <v/>
      </c>
      <c r="AB331" s="599">
        <f>(S331-V331)*V331*W331*0.024653*Y331/1000000</f>
        <v/>
      </c>
      <c r="AC331" s="599">
        <f>(S331-V331)*V331*W331*0.024653*Z331/1000000</f>
        <v/>
      </c>
      <c r="AD331" s="599">
        <f>AB331-AC331</f>
        <v/>
      </c>
      <c r="AE331" s="598">
        <f>schedule13[[#This Row],[CTL Stock]]/schedule13[[#This Row],[SCHEDULE IN MT]]*schedule13[[#This Row],[SCHEDULE]]</f>
        <v/>
      </c>
      <c r="AF331" s="599">
        <f>SUMIFS(stock[MT],stock[Bucket],schedule13[[#This Row],[Bucket]],stock[CTL Bucket],schedule13[[#This Row],[CTL Bucket]])</f>
        <v/>
      </c>
      <c r="AG331" s="599">
        <f>SUMIFS(stock[MT],stock[Bucket],schedule13[[#This Row],[Bucket]])+SUMIFS(wip[Stock(Net Wt)],wip[Bucket],schedule13[[#This Row],[Bucket]])/1000</f>
        <v/>
      </c>
      <c r="AH331" s="599">
        <f>AB330-AF331</f>
        <v/>
      </c>
      <c r="AI331" s="118">
        <f>(AC331+AF331)/AB330</f>
        <v/>
      </c>
    </row>
    <row r="332" hidden="1" s="584">
      <c r="A332" s="594" t="n">
        <v>152</v>
      </c>
      <c r="B332" s="5" t="inlineStr">
        <is>
          <t>Hosur</t>
        </is>
      </c>
      <c r="C332" s="601" t="inlineStr">
        <is>
          <t xml:space="preserve">Rajsriya Mysore </t>
        </is>
      </c>
      <c r="D332" s="601" t="inlineStr">
        <is>
          <t>Rajsriya</t>
        </is>
      </c>
      <c r="E332" s="601" t="n">
        <v>930883</v>
      </c>
      <c r="F332" s="601" t="n">
        <v>2403386</v>
      </c>
      <c r="G332" s="601" t="inlineStr">
        <is>
          <t>TUB-O-N-AUT-AW-PE-19.05X2.000X0.3580</t>
        </is>
      </c>
      <c r="H332" s="601" t="inlineStr">
        <is>
          <t>ERW 1</t>
        </is>
      </c>
      <c r="I332" s="601" t="n"/>
      <c r="J332" s="601" t="inlineStr">
        <is>
          <t>PE</t>
        </is>
      </c>
      <c r="K332" s="601" t="inlineStr">
        <is>
          <t>HR</t>
        </is>
      </c>
      <c r="L332" s="601" t="n"/>
      <c r="M332" s="601" t="n"/>
      <c r="N332" s="601" t="n"/>
      <c r="O332" s="601" t="n"/>
      <c r="P332" s="557">
        <f>CONCATENATE(schedule13[[#This Row],[OD]],"-",schedule13[[#This Row],[ID]],"-",schedule13[[#This Row],[TICKNESS]],"-",schedule13[[#This Row],[GRADE]],"-",schedule13[[#This Row],[FC/NFC]])</f>
        <v/>
      </c>
      <c r="Q332" s="557">
        <f>_xlfn.CONCAT(schedule13[[#This Row],[Bucket]],"-",schedule13[[#This Row],[LENGTH]]/1000)</f>
        <v/>
      </c>
      <c r="R332" s="557">
        <f>COUNTIF(buckets[CTL Bucket],schedule13[[#This Row],[CTL Bucket]])</f>
        <v/>
      </c>
      <c r="S332" s="599" t="n">
        <v>19.05</v>
      </c>
      <c r="T332" s="599" t="n">
        <v>19.05</v>
      </c>
      <c r="U332" s="599" t="n">
        <v>0</v>
      </c>
      <c r="V332" s="599" t="n">
        <v>2</v>
      </c>
      <c r="W332" s="27" t="n">
        <v>358</v>
      </c>
      <c r="X332" s="22" t="inlineStr">
        <is>
          <t>NOS</t>
        </is>
      </c>
      <c r="Y332" s="601" t="n">
        <v>5000</v>
      </c>
      <c r="Z332" s="601" t="n"/>
      <c r="AA332" s="602">
        <f>Y332-Z332</f>
        <v/>
      </c>
      <c r="AB332" s="599">
        <f>(S332-V332)*V332*W332*0.024653*Y332/1000000</f>
        <v/>
      </c>
      <c r="AC332" s="599">
        <f>(S332-V332)*V332*W332*0.024653*Z332/1000000</f>
        <v/>
      </c>
      <c r="AD332" s="599">
        <f>AB332-AC332</f>
        <v/>
      </c>
      <c r="AE332" s="598">
        <f>schedule13[[#This Row],[CTL Stock]]/schedule13[[#This Row],[SCHEDULE IN MT]]*schedule13[[#This Row],[SCHEDULE]]</f>
        <v/>
      </c>
      <c r="AF332" s="599">
        <f>SUMIFS(stock[MT],stock[Bucket],schedule13[[#This Row],[Bucket]],stock[CTL Bucket],schedule13[[#This Row],[CTL Bucket]])</f>
        <v/>
      </c>
      <c r="AG332" s="599">
        <f>SUMIFS(stock[MT],stock[Bucket],schedule13[[#This Row],[Bucket]])+SUMIFS(wip[Stock(Net Wt)],wip[Bucket],schedule13[[#This Row],[Bucket]])/1000</f>
        <v/>
      </c>
      <c r="AH332" s="599">
        <f>AB331-AF332</f>
        <v/>
      </c>
      <c r="AI332" s="118">
        <f>(AC332+AF332)/AB331</f>
        <v/>
      </c>
    </row>
    <row r="333" hidden="1" s="584">
      <c r="A333" s="594" t="n">
        <v>153</v>
      </c>
      <c r="B333" s="5" t="inlineStr">
        <is>
          <t>Hosur</t>
        </is>
      </c>
      <c r="C333" s="601" t="inlineStr">
        <is>
          <t xml:space="preserve">Rajsriya Mysore </t>
        </is>
      </c>
      <c r="D333" s="601" t="inlineStr">
        <is>
          <t>Rajsriya</t>
        </is>
      </c>
      <c r="E333" s="601" t="n">
        <v>930883</v>
      </c>
      <c r="F333" s="601" t="n">
        <v>2403383</v>
      </c>
      <c r="G333" s="601" t="inlineStr">
        <is>
          <t>TUB-O-N-AUT-AW-PE-19.05X2.000X0.4750</t>
        </is>
      </c>
      <c r="H333" s="601" t="inlineStr">
        <is>
          <t>ERW 1</t>
        </is>
      </c>
      <c r="I333" s="601" t="n"/>
      <c r="J333" s="601" t="inlineStr">
        <is>
          <t>PE</t>
        </is>
      </c>
      <c r="K333" s="601" t="inlineStr">
        <is>
          <t>HR</t>
        </is>
      </c>
      <c r="L333" s="601" t="n"/>
      <c r="M333" s="601" t="n"/>
      <c r="N333" s="601" t="n"/>
      <c r="O333" s="601" t="n"/>
      <c r="P333" s="557">
        <f>CONCATENATE(schedule13[[#This Row],[OD]],"-",schedule13[[#This Row],[ID]],"-",schedule13[[#This Row],[TICKNESS]],"-",schedule13[[#This Row],[GRADE]],"-",schedule13[[#This Row],[FC/NFC]])</f>
        <v/>
      </c>
      <c r="Q333" s="557">
        <f>_xlfn.CONCAT(schedule13[[#This Row],[Bucket]],"-",schedule13[[#This Row],[LENGTH]]/1000)</f>
        <v/>
      </c>
      <c r="R333" s="557">
        <f>COUNTIF(buckets[CTL Bucket],schedule13[[#This Row],[CTL Bucket]])</f>
        <v/>
      </c>
      <c r="S333" s="599" t="n">
        <v>19.05</v>
      </c>
      <c r="T333" s="599" t="n">
        <v>19.05</v>
      </c>
      <c r="U333" s="599" t="n">
        <v>0</v>
      </c>
      <c r="V333" s="599" t="n">
        <v>2</v>
      </c>
      <c r="W333" s="600" t="n">
        <v>475</v>
      </c>
      <c r="X333" s="22" t="inlineStr">
        <is>
          <t>NOS</t>
        </is>
      </c>
      <c r="Y333" s="601" t="n">
        <v>5000</v>
      </c>
      <c r="Z333" s="601" t="n"/>
      <c r="AA333" s="602">
        <f>Y333-Z333</f>
        <v/>
      </c>
      <c r="AB333" s="599">
        <f>(S333-V333)*V333*W333*0.024653*Y333/1000000</f>
        <v/>
      </c>
      <c r="AC333" s="599">
        <f>(S333-V333)*V333*W333*0.024653*Z333/1000000</f>
        <v/>
      </c>
      <c r="AD333" s="599">
        <f>AB333-AC333</f>
        <v/>
      </c>
      <c r="AE333" s="598">
        <f>schedule13[[#This Row],[CTL Stock]]/schedule13[[#This Row],[SCHEDULE IN MT]]*schedule13[[#This Row],[SCHEDULE]]</f>
        <v/>
      </c>
      <c r="AF333" s="599">
        <f>SUMIFS(stock[MT],stock[Bucket],schedule13[[#This Row],[Bucket]],stock[CTL Bucket],schedule13[[#This Row],[CTL Bucket]])</f>
        <v/>
      </c>
      <c r="AG333" s="599">
        <f>SUMIFS(stock[MT],stock[Bucket],schedule13[[#This Row],[Bucket]])+SUMIFS(wip[Stock(Net Wt)],wip[Bucket],schedule13[[#This Row],[Bucket]])/1000</f>
        <v/>
      </c>
      <c r="AH333" s="599">
        <f>AB332-AF333</f>
        <v/>
      </c>
      <c r="AI333" s="118" t="n"/>
    </row>
    <row r="334" hidden="1" s="584">
      <c r="A334" s="594" t="n">
        <v>158</v>
      </c>
      <c r="B334" s="5" t="inlineStr">
        <is>
          <t>Hosur</t>
        </is>
      </c>
      <c r="C334" s="601" t="inlineStr">
        <is>
          <t xml:space="preserve">Rajsriya Mysore </t>
        </is>
      </c>
      <c r="D334" s="601" t="inlineStr">
        <is>
          <t>Rajsriya</t>
        </is>
      </c>
      <c r="E334" s="601" t="n">
        <v>930883</v>
      </c>
      <c r="F334" s="601" t="n">
        <v>1940472</v>
      </c>
      <c r="G334" s="601" t="inlineStr">
        <is>
          <t>TUB-O-O-AUT-AW-PE-22.23X2.000X0.8620</t>
        </is>
      </c>
      <c r="H334" s="601" t="inlineStr">
        <is>
          <t>ERW 1</t>
        </is>
      </c>
      <c r="I334" s="601" t="n"/>
      <c r="J334" s="601" t="n"/>
      <c r="K334" s="601" t="inlineStr">
        <is>
          <t>HR</t>
        </is>
      </c>
      <c r="L334" s="601" t="n"/>
      <c r="M334" s="601" t="n"/>
      <c r="N334" s="601" t="n"/>
      <c r="O334" s="601" t="n"/>
      <c r="P334" s="557">
        <f>CONCATENATE(schedule13[[#This Row],[OD]],"-",schedule13[[#This Row],[ID]],"-",schedule13[[#This Row],[TICKNESS]],"-",schedule13[[#This Row],[GRADE]],"-",schedule13[[#This Row],[FC/NFC]])</f>
        <v/>
      </c>
      <c r="Q334" s="557" t="n"/>
      <c r="R334" s="557" t="n"/>
      <c r="S334" s="599" t="n">
        <v>22.23</v>
      </c>
      <c r="T334" s="599" t="n">
        <v>22.23</v>
      </c>
      <c r="U334" s="599" t="n">
        <v>0</v>
      </c>
      <c r="V334" s="599" t="n">
        <v>2</v>
      </c>
      <c r="W334" s="600" t="n">
        <v>862</v>
      </c>
      <c r="X334" s="600" t="n"/>
      <c r="Y334" s="601" t="n">
        <v>0</v>
      </c>
      <c r="Z334" s="601" t="n"/>
      <c r="AA334" s="602">
        <f>Y334-Z334</f>
        <v/>
      </c>
      <c r="AB334" s="599">
        <f>(S334-V334)*V334*W334*0.024653*Y334/1000000</f>
        <v/>
      </c>
      <c r="AC334" s="599">
        <f>(S334-V334)*V334*W334*0.024653*Z334/1000000</f>
        <v/>
      </c>
      <c r="AD334" s="599">
        <f>AB334-AC334</f>
        <v/>
      </c>
      <c r="AE334" s="599" t="n"/>
      <c r="AF334" s="599" t="n"/>
      <c r="AG334" s="599" t="n"/>
      <c r="AH334" s="599">
        <f>AB333-AF334</f>
        <v/>
      </c>
      <c r="AI334" s="118">
        <f>(AC334+AF334)/AB333</f>
        <v/>
      </c>
    </row>
    <row r="335" hidden="1" s="584">
      <c r="A335" s="594" t="n">
        <v>159</v>
      </c>
      <c r="B335" s="5" t="inlineStr">
        <is>
          <t>Hosur</t>
        </is>
      </c>
      <c r="C335" s="601" t="inlineStr">
        <is>
          <t xml:space="preserve">Rajsriya Mysore </t>
        </is>
      </c>
      <c r="D335" s="601" t="inlineStr">
        <is>
          <t>Rajsriya</t>
        </is>
      </c>
      <c r="E335" s="601" t="n">
        <v>930883</v>
      </c>
      <c r="F335" s="601" t="n">
        <v>1940562</v>
      </c>
      <c r="G335" s="601" t="inlineStr">
        <is>
          <t>TUB-O-O-AUT-AW-FC-25.40X1.600X0.3600</t>
        </is>
      </c>
      <c r="H335" s="601" t="inlineStr">
        <is>
          <t>ERW 1</t>
        </is>
      </c>
      <c r="I335" s="601" t="n"/>
      <c r="J335" s="601" t="n"/>
      <c r="K335" s="601" t="inlineStr">
        <is>
          <t>HR</t>
        </is>
      </c>
      <c r="L335" s="601" t="n"/>
      <c r="M335" s="601" t="n"/>
      <c r="N335" s="601" t="n"/>
      <c r="O335" s="601" t="n"/>
      <c r="P335" s="557">
        <f>CONCATENATE(schedule13[[#This Row],[OD]],"-",schedule13[[#This Row],[ID]],"-",schedule13[[#This Row],[TICKNESS]],"-",schedule13[[#This Row],[GRADE]],"-",schedule13[[#This Row],[FC/NFC]])</f>
        <v/>
      </c>
      <c r="Q335" s="557" t="n"/>
      <c r="R335" s="557" t="n"/>
      <c r="S335" s="599" t="n">
        <v>25.4</v>
      </c>
      <c r="T335" s="599" t="n">
        <v>25.4</v>
      </c>
      <c r="U335" s="599" t="n">
        <v>0</v>
      </c>
      <c r="V335" s="599" t="n">
        <v>1.6</v>
      </c>
      <c r="W335" s="600" t="n">
        <v>360</v>
      </c>
      <c r="X335" s="600" t="n"/>
      <c r="Y335" s="601" t="n">
        <v>0</v>
      </c>
      <c r="Z335" s="601" t="n"/>
      <c r="AA335" s="602">
        <f>Y335-Z335</f>
        <v/>
      </c>
      <c r="AB335" s="599">
        <f>(S335-V335)*V335*W335*0.024653*Y335/1000000</f>
        <v/>
      </c>
      <c r="AC335" s="599">
        <f>(S335-V335)*V335*W335*0.024653*Z335/1000000</f>
        <v/>
      </c>
      <c r="AD335" s="599">
        <f>AB335-AC335</f>
        <v/>
      </c>
      <c r="AE335" s="599" t="n"/>
      <c r="AF335" s="599" t="n">
        <v>0.344021</v>
      </c>
      <c r="AG335" s="599" t="n"/>
      <c r="AH335" s="599">
        <f>AB334-AF335</f>
        <v/>
      </c>
      <c r="AI335" s="118">
        <f>(AC335+AF335)/AB334</f>
        <v/>
      </c>
    </row>
    <row r="336" hidden="1" s="584">
      <c r="A336" s="594" t="n">
        <v>161</v>
      </c>
      <c r="B336" s="5" t="inlineStr">
        <is>
          <t>Hosur</t>
        </is>
      </c>
      <c r="C336" s="601" t="inlineStr">
        <is>
          <t xml:space="preserve">Rajsriya Mysore </t>
        </is>
      </c>
      <c r="D336" s="601" t="inlineStr">
        <is>
          <t>Rajsriya</t>
        </is>
      </c>
      <c r="E336" s="601" t="n">
        <v>930883</v>
      </c>
      <c r="F336" s="601" t="n">
        <v>2410998</v>
      </c>
      <c r="G336" s="601" t="inlineStr">
        <is>
          <t>TUB-O-C-AUT-AD-FC-18.20X2.950X04-05</t>
        </is>
      </c>
      <c r="H336" s="601" t="inlineStr">
        <is>
          <t>CEW</t>
        </is>
      </c>
      <c r="I336" s="601" t="n"/>
      <c r="J336" s="601" t="n"/>
      <c r="K336" s="601" t="inlineStr">
        <is>
          <t>HR</t>
        </is>
      </c>
      <c r="L336" s="601" t="n"/>
      <c r="M336" s="601" t="n"/>
      <c r="N336" s="601" t="n"/>
      <c r="O336" s="601" t="n"/>
      <c r="P336" s="557">
        <f>CONCATENATE(schedule13[[#This Row],[OD]],"-",schedule13[[#This Row],[ID]],"-",schedule13[[#This Row],[TICKNESS]],"-",schedule13[[#This Row],[GRADE]],"-",schedule13[[#This Row],[FC/NFC]])</f>
        <v/>
      </c>
      <c r="Q336" s="557" t="n"/>
      <c r="R336" s="557" t="n"/>
      <c r="S336" s="599" t="n">
        <v>18.2</v>
      </c>
      <c r="T336" s="599" t="n">
        <v>18.2</v>
      </c>
      <c r="U336" s="599" t="n">
        <v>12.3</v>
      </c>
      <c r="V336" s="599" t="n">
        <v>2.95</v>
      </c>
      <c r="W336" s="600" t="n">
        <v>4500</v>
      </c>
      <c r="X336" s="600" t="n"/>
      <c r="Y336" s="601" t="n">
        <v>0</v>
      </c>
      <c r="Z336" s="601" t="n"/>
      <c r="AA336" s="602">
        <f>Y336-Z336</f>
        <v/>
      </c>
      <c r="AB336" s="599">
        <f>(S336-V336)*V336*W336*0.024653*Y336/1000000</f>
        <v/>
      </c>
      <c r="AC336" s="599">
        <f>(S336-V336)*V336*W336*0.024653*Z336/1000000</f>
        <v/>
      </c>
      <c r="AD336" s="599">
        <f>AB336-AC336</f>
        <v/>
      </c>
      <c r="AE336" s="599" t="n"/>
      <c r="AF336" s="599" t="n"/>
      <c r="AG336" s="599" t="n"/>
      <c r="AH336" s="599">
        <f>AB335-AF336</f>
        <v/>
      </c>
      <c r="AI336" s="118">
        <f>(AC336+AF336)/AB335</f>
        <v/>
      </c>
    </row>
    <row r="337" hidden="1" s="584">
      <c r="A337" s="594" t="n">
        <v>163</v>
      </c>
      <c r="B337" s="5" t="inlineStr">
        <is>
          <t>Hosur</t>
        </is>
      </c>
      <c r="C337" s="601" t="inlineStr">
        <is>
          <t xml:space="preserve">Rajsriya Mysore </t>
        </is>
      </c>
      <c r="D337" s="601" t="inlineStr">
        <is>
          <t>Rajsriya</t>
        </is>
      </c>
      <c r="E337" s="601" t="n">
        <v>930883</v>
      </c>
      <c r="F337" s="601" t="n">
        <v>1940603</v>
      </c>
      <c r="G337" s="601" t="inlineStr">
        <is>
          <t>TUB-O-O-AUT-AW-FC-25.40X2.600X0.3600</t>
        </is>
      </c>
      <c r="H337" s="601" t="inlineStr">
        <is>
          <t>ERW 1</t>
        </is>
      </c>
      <c r="I337" s="601" t="n"/>
      <c r="J337" s="601" t="n"/>
      <c r="K337" s="601" t="inlineStr">
        <is>
          <t>HR</t>
        </is>
      </c>
      <c r="L337" s="601" t="n"/>
      <c r="M337" s="601" t="n"/>
      <c r="N337" s="601" t="n"/>
      <c r="O337" s="601" t="n"/>
      <c r="P337" s="557">
        <f>CONCATENATE(schedule13[[#This Row],[OD]],"-",schedule13[[#This Row],[ID]],"-",schedule13[[#This Row],[TICKNESS]],"-",schedule13[[#This Row],[GRADE]],"-",schedule13[[#This Row],[FC/NFC]])</f>
        <v/>
      </c>
      <c r="Q337" s="557" t="n"/>
      <c r="R337" s="557" t="n"/>
      <c r="S337" s="599" t="n">
        <v>25.4</v>
      </c>
      <c r="T337" s="599" t="n">
        <v>25.4</v>
      </c>
      <c r="U337" s="599" t="n">
        <v>0</v>
      </c>
      <c r="V337" s="599" t="n">
        <v>2.6</v>
      </c>
      <c r="W337" s="600" t="n">
        <v>360</v>
      </c>
      <c r="X337" s="600" t="n"/>
      <c r="Y337" s="601" t="n">
        <v>0</v>
      </c>
      <c r="Z337" s="601" t="n"/>
      <c r="AA337" s="602">
        <f>Y337-Z337</f>
        <v/>
      </c>
      <c r="AB337" s="599">
        <f>(S337-V337)*V337*W337*0.024653*Y337/1000000</f>
        <v/>
      </c>
      <c r="AC337" s="599">
        <f>(S337-V337)*V337*W337*0.024653*Z337/1000000</f>
        <v/>
      </c>
      <c r="AD337" s="599">
        <f>AB337-AC337</f>
        <v/>
      </c>
      <c r="AE337" s="599" t="n"/>
      <c r="AF337" s="599" t="n">
        <v>3.057</v>
      </c>
      <c r="AG337" s="599" t="n"/>
      <c r="AH337" s="599">
        <f>AB336-AF337</f>
        <v/>
      </c>
      <c r="AI337" s="118">
        <f>(AC337+AF337)/AB336</f>
        <v/>
      </c>
    </row>
    <row r="338" hidden="1" s="584">
      <c r="A338" s="594" t="n">
        <v>168</v>
      </c>
      <c r="B338" s="5" t="inlineStr">
        <is>
          <t xml:space="preserve">Khopoli </t>
        </is>
      </c>
      <c r="C338" s="601" t="inlineStr">
        <is>
          <t xml:space="preserve">Rajsriya Mysore </t>
        </is>
      </c>
      <c r="D338" s="601" t="inlineStr">
        <is>
          <t>Rajsriya</t>
        </is>
      </c>
      <c r="E338" s="601" t="n">
        <v>930883</v>
      </c>
      <c r="F338" s="601" t="n">
        <v>2410997</v>
      </c>
      <c r="G338" s="601" t="inlineStr">
        <is>
          <t>TUB-O-C-AUT-AD-FC-25.40X3.200X04-05</t>
        </is>
      </c>
      <c r="H338" s="601" t="inlineStr">
        <is>
          <t>CEW</t>
        </is>
      </c>
      <c r="I338" s="601" t="n"/>
      <c r="J338" s="601" t="n"/>
      <c r="K338" s="601" t="inlineStr">
        <is>
          <t>HR</t>
        </is>
      </c>
      <c r="L338" s="601" t="n"/>
      <c r="M338" s="601" t="n"/>
      <c r="N338" s="601" t="n"/>
      <c r="O338" s="601" t="n"/>
      <c r="P338" s="557">
        <f>CONCATENATE(schedule13[[#This Row],[OD]],"-",schedule13[[#This Row],[ID]],"-",schedule13[[#This Row],[TICKNESS]],"-",schedule13[[#This Row],[GRADE]],"-",schedule13[[#This Row],[FC/NFC]])</f>
        <v/>
      </c>
      <c r="Q338" s="557" t="n"/>
      <c r="R338" s="557" t="n"/>
      <c r="S338" s="599" t="n">
        <v>25.4</v>
      </c>
      <c r="T338" s="599" t="n">
        <v>25.4</v>
      </c>
      <c r="U338" s="599" t="n">
        <v>19</v>
      </c>
      <c r="V338" s="599" t="n">
        <v>3.2</v>
      </c>
      <c r="W338" s="600" t="n">
        <v>4500</v>
      </c>
      <c r="X338" s="600" t="n"/>
      <c r="Y338" s="601" t="n">
        <v>0</v>
      </c>
      <c r="Z338" s="601" t="n"/>
      <c r="AA338" s="602">
        <f>Y338-Z338</f>
        <v/>
      </c>
      <c r="AB338" s="599">
        <f>(S338-V338)*V338*W338*0.024653*Y338/1000000</f>
        <v/>
      </c>
      <c r="AC338" s="599">
        <f>(S338-V338)*V338*W338*0.024653*Z338/1000000</f>
        <v/>
      </c>
      <c r="AD338" s="599">
        <f>AB338-AC338</f>
        <v/>
      </c>
      <c r="AE338" s="599" t="n"/>
      <c r="AF338" s="599" t="n">
        <v>4.3706</v>
      </c>
      <c r="AG338" s="599" t="n"/>
      <c r="AH338" s="599">
        <f>AB337-AF338</f>
        <v/>
      </c>
      <c r="AI338" s="118">
        <f>(AC338+AF338)/AB337</f>
        <v/>
      </c>
    </row>
    <row r="339" hidden="1" s="584">
      <c r="A339" s="594" t="n">
        <v>170</v>
      </c>
      <c r="B339" s="5" t="inlineStr">
        <is>
          <t xml:space="preserve">Khopoli </t>
        </is>
      </c>
      <c r="C339" s="601" t="inlineStr">
        <is>
          <t xml:space="preserve">Rajsriya Mysore </t>
        </is>
      </c>
      <c r="D339" s="601" t="inlineStr">
        <is>
          <t>Rajsriya</t>
        </is>
      </c>
      <c r="E339" s="601" t="n">
        <v>930883</v>
      </c>
      <c r="F339" s="601" t="n">
        <v>2422135</v>
      </c>
      <c r="G339" s="601" t="inlineStr">
        <is>
          <t>TUB-O-N-AUT-AN-FC-42.70X4.000X0.2080</t>
        </is>
      </c>
      <c r="H339" s="601" t="inlineStr">
        <is>
          <t>CEW</t>
        </is>
      </c>
      <c r="I339" s="601" t="inlineStr">
        <is>
          <t>Annealed</t>
        </is>
      </c>
      <c r="J339" s="601" t="n"/>
      <c r="K339" s="601" t="inlineStr">
        <is>
          <t>HR</t>
        </is>
      </c>
      <c r="L339" s="601" t="n"/>
      <c r="M339" s="601" t="n"/>
      <c r="N339" s="601" t="n"/>
      <c r="O339" s="601" t="n"/>
      <c r="P339" s="557">
        <f>CONCATENATE(schedule13[[#This Row],[OD]],"-",schedule13[[#This Row],[ID]],"-",schedule13[[#This Row],[TICKNESS]],"-",schedule13[[#This Row],[GRADE]],"-",schedule13[[#This Row],[FC/NFC]])</f>
        <v/>
      </c>
      <c r="Q339" s="557" t="n"/>
      <c r="R339" s="557" t="n"/>
      <c r="S339" s="599" t="n">
        <v>42.7</v>
      </c>
      <c r="T339" s="599" t="n">
        <v>42.7</v>
      </c>
      <c r="U339" s="599" t="n">
        <v>0</v>
      </c>
      <c r="V339" s="599" t="n">
        <v>4</v>
      </c>
      <c r="W339" s="600" t="n">
        <v>208</v>
      </c>
      <c r="X339" s="600" t="n"/>
      <c r="Y339" s="601" t="n">
        <v>0</v>
      </c>
      <c r="Z339" s="601" t="n"/>
      <c r="AA339" s="602">
        <f>Y339-Z339</f>
        <v/>
      </c>
      <c r="AB339" s="599">
        <f>(S339-V339)*V339*W339*0.024653*Y339/1000000</f>
        <v/>
      </c>
      <c r="AC339" s="599">
        <f>(S339-V339)*V339*W339*0.024653*Z339/1000000</f>
        <v/>
      </c>
      <c r="AD339" s="599">
        <f>AB339-AC339</f>
        <v/>
      </c>
      <c r="AE339" s="599" t="n"/>
      <c r="AF339" s="599" t="n">
        <v>6.365</v>
      </c>
      <c r="AG339" s="599" t="n"/>
      <c r="AH339" s="599">
        <f>AB338-AF339</f>
        <v/>
      </c>
      <c r="AI339" s="118">
        <f>(AC339+AF339)/AB338</f>
        <v/>
      </c>
    </row>
    <row r="340" hidden="1" s="584">
      <c r="A340" s="594" t="n">
        <v>173</v>
      </c>
      <c r="B340" s="5" t="inlineStr">
        <is>
          <t>Hosur</t>
        </is>
      </c>
      <c r="C340" s="601" t="inlineStr">
        <is>
          <t xml:space="preserve">Rajsriya Mysore </t>
        </is>
      </c>
      <c r="D340" s="601" t="inlineStr">
        <is>
          <t>Rajsriya</t>
        </is>
      </c>
      <c r="E340" s="601" t="n">
        <v>930883</v>
      </c>
      <c r="F340" s="601" t="n">
        <v>3122348</v>
      </c>
      <c r="G340" s="601" t="inlineStr">
        <is>
          <t>TUB-O-N-AUT-AW-PE-19.05X2.000X0.2385(Angle Cut)</t>
        </is>
      </c>
      <c r="H340" s="601" t="inlineStr">
        <is>
          <t>ERW 1</t>
        </is>
      </c>
      <c r="I340" s="601" t="n"/>
      <c r="J340" s="601" t="n"/>
      <c r="K340" s="601" t="inlineStr">
        <is>
          <t>HR</t>
        </is>
      </c>
      <c r="L340" s="601" t="n"/>
      <c r="M340" s="601" t="n"/>
      <c r="N340" s="601" t="n"/>
      <c r="O340" s="601" t="n"/>
      <c r="P340" s="557">
        <f>CONCATENATE(schedule13[[#This Row],[OD]],"-",schedule13[[#This Row],[ID]],"-",schedule13[[#This Row],[TICKNESS]],"-",schedule13[[#This Row],[GRADE]],"-",schedule13[[#This Row],[FC/NFC]])</f>
        <v/>
      </c>
      <c r="Q340" s="557" t="n"/>
      <c r="R340" s="557" t="n"/>
      <c r="S340" s="599" t="n">
        <v>19.05</v>
      </c>
      <c r="T340" s="599" t="n">
        <v>19.05</v>
      </c>
      <c r="U340" s="599" t="n">
        <v>0</v>
      </c>
      <c r="V340" s="599" t="n">
        <v>2</v>
      </c>
      <c r="W340" s="600" t="n">
        <v>238.5</v>
      </c>
      <c r="X340" s="600" t="n"/>
      <c r="Y340" s="601" t="n">
        <v>0</v>
      </c>
      <c r="Z340" s="601" t="n"/>
      <c r="AA340" s="602">
        <f>Y340-Z340</f>
        <v/>
      </c>
      <c r="AB340" s="599">
        <f>(S340-V340)*V340*W340*0.024653*Y340/1000000</f>
        <v/>
      </c>
      <c r="AC340" s="599">
        <f>(S340-V340)*V340*W340*0.024653*Z340/1000000</f>
        <v/>
      </c>
      <c r="AD340" s="599">
        <f>AB340-AC340</f>
        <v/>
      </c>
      <c r="AE340" s="599" t="n"/>
      <c r="AF340" s="599" t="n">
        <v>0.462904</v>
      </c>
      <c r="AG340" s="599" t="n"/>
      <c r="AH340" s="599">
        <f>AB339-AF340</f>
        <v/>
      </c>
      <c r="AI340" s="118">
        <f>(AC340+AF340)/AB339</f>
        <v/>
      </c>
    </row>
    <row r="341" hidden="1" s="584">
      <c r="A341" s="594" t="n">
        <v>174</v>
      </c>
      <c r="B341" s="5" t="inlineStr">
        <is>
          <t>Hosur</t>
        </is>
      </c>
      <c r="C341" s="601" t="inlineStr">
        <is>
          <t xml:space="preserve">Rajsriya Mysore </t>
        </is>
      </c>
      <c r="D341" s="601" t="inlineStr">
        <is>
          <t>Rajsriya</t>
        </is>
      </c>
      <c r="E341" s="601" t="n">
        <v>930883</v>
      </c>
      <c r="F341" s="601" t="n">
        <v>3186831</v>
      </c>
      <c r="G341" s="601" t="inlineStr">
        <is>
          <t>TUB-O-N-AUT-AW-FC-41.28X2.600X0.8480</t>
        </is>
      </c>
      <c r="H341" s="601" t="inlineStr">
        <is>
          <t>ERW 1</t>
        </is>
      </c>
      <c r="I341" s="601" t="n"/>
      <c r="J341" s="601" t="inlineStr">
        <is>
          <t>FC</t>
        </is>
      </c>
      <c r="K341" s="601" t="inlineStr">
        <is>
          <t>HR</t>
        </is>
      </c>
      <c r="L341" s="601" t="n"/>
      <c r="M341" s="601" t="n"/>
      <c r="N341" s="601" t="n"/>
      <c r="O341" s="601" t="n"/>
      <c r="P341" s="557">
        <f>CONCATENATE(schedule13[[#This Row],[OD]],"-",schedule13[[#This Row],[ID]],"-",schedule13[[#This Row],[TICKNESS]],"-",schedule13[[#This Row],[GRADE]],"-",schedule13[[#This Row],[FC/NFC]])</f>
        <v/>
      </c>
      <c r="Q341" s="557" t="n"/>
      <c r="R341" s="557" t="n"/>
      <c r="S341" s="599" t="n">
        <v>41.28</v>
      </c>
      <c r="T341" s="599" t="n">
        <v>41.28</v>
      </c>
      <c r="U341" s="599" t="n">
        <v>0</v>
      </c>
      <c r="V341" s="599" t="n">
        <v>2.6</v>
      </c>
      <c r="W341" s="600" t="n">
        <v>848</v>
      </c>
      <c r="X341" s="600" t="n"/>
      <c r="Y341" s="601" t="n">
        <v>0</v>
      </c>
      <c r="Z341" s="601" t="n"/>
      <c r="AA341" s="602">
        <f>Y341-Z341</f>
        <v/>
      </c>
      <c r="AB341" s="599">
        <f>(S341-V341)*V341*W341*0.024653*Y341/1000000</f>
        <v/>
      </c>
      <c r="AC341" s="599">
        <f>(S341-V341)*V341*W341*0.024653*Z341/1000000</f>
        <v/>
      </c>
      <c r="AD341" s="599">
        <f>AB341-AC341</f>
        <v/>
      </c>
      <c r="AE341" s="599" t="n"/>
      <c r="AF341" s="599" t="n"/>
      <c r="AG341" s="599" t="n"/>
      <c r="AH341" s="599">
        <f>AB340-AF341</f>
        <v/>
      </c>
      <c r="AI341" s="118">
        <f>(AC341+AF341)/AB340</f>
        <v/>
      </c>
    </row>
    <row r="342" hidden="1" s="584">
      <c r="A342" s="594" t="n">
        <v>187</v>
      </c>
      <c r="B342" s="5" t="inlineStr">
        <is>
          <t>Hosur</t>
        </is>
      </c>
      <c r="C342" s="601" t="inlineStr">
        <is>
          <t xml:space="preserve">Rajsriya Mysore </t>
        </is>
      </c>
      <c r="D342" s="601" t="inlineStr">
        <is>
          <t>Rajsriya</t>
        </is>
      </c>
      <c r="E342" s="601" t="n">
        <v>930883</v>
      </c>
      <c r="F342" s="601" t="n">
        <v>1940510</v>
      </c>
      <c r="G342" s="601" t="inlineStr">
        <is>
          <t>TUB-O-O-AUT-AW-PE-22.23X2.300X6.0000</t>
        </is>
      </c>
      <c r="H342" s="601" t="inlineStr">
        <is>
          <t>ERW 1</t>
        </is>
      </c>
      <c r="I342" s="601" t="n"/>
      <c r="J342" s="601" t="n"/>
      <c r="K342" s="601" t="inlineStr">
        <is>
          <t>HR</t>
        </is>
      </c>
      <c r="L342" s="601" t="n"/>
      <c r="M342" s="601" t="n"/>
      <c r="N342" s="601" t="n"/>
      <c r="O342" s="601" t="n"/>
      <c r="P342" s="557">
        <f>CONCATENATE(schedule13[[#This Row],[OD]],"-",schedule13[[#This Row],[ID]],"-",schedule13[[#This Row],[TICKNESS]],"-",schedule13[[#This Row],[GRADE]],"-",schedule13[[#This Row],[FC/NFC]])</f>
        <v/>
      </c>
      <c r="Q342" s="557" t="n"/>
      <c r="R342" s="557" t="n"/>
      <c r="S342" s="599" t="n">
        <v>22.23</v>
      </c>
      <c r="T342" s="599" t="n">
        <v>22.23</v>
      </c>
      <c r="U342" s="599" t="n">
        <v>0</v>
      </c>
      <c r="V342" s="599" t="n">
        <v>2.3</v>
      </c>
      <c r="W342" s="27" t="n">
        <v>6000</v>
      </c>
      <c r="X342" s="27" t="n"/>
      <c r="Y342" s="601" t="n">
        <v>834</v>
      </c>
      <c r="Z342" s="601" t="n"/>
      <c r="AA342" s="602">
        <f>Y342-Z342</f>
        <v/>
      </c>
      <c r="AB342" s="599">
        <f>(S342-V342)*V342*W342*0.024653*Y342/1000000</f>
        <v/>
      </c>
      <c r="AC342" s="599">
        <f>(S342-V342)*V342*W342*0.024653*Z342/1000000</f>
        <v/>
      </c>
      <c r="AD342" s="599">
        <f>AB342-AC342</f>
        <v/>
      </c>
      <c r="AE342" s="599" t="n"/>
      <c r="AF342" s="599" t="n"/>
      <c r="AG342" s="599" t="n"/>
      <c r="AH342" s="599">
        <f>AB341-AF342</f>
        <v/>
      </c>
      <c r="AI342" s="118">
        <f>(AC342+AF342)/AB341</f>
        <v/>
      </c>
    </row>
    <row r="343" hidden="1" s="584">
      <c r="A343" s="594" t="n">
        <v>194</v>
      </c>
      <c r="B343" s="5" t="inlineStr">
        <is>
          <t>Hosur</t>
        </is>
      </c>
      <c r="C343" s="601" t="inlineStr">
        <is>
          <t xml:space="preserve">Rajsriya Mysore </t>
        </is>
      </c>
      <c r="D343" s="601" t="inlineStr">
        <is>
          <t>Rajsriya</t>
        </is>
      </c>
      <c r="E343" s="601" t="n">
        <v>930883</v>
      </c>
      <c r="F343" s="601" t="n">
        <v>1941840</v>
      </c>
      <c r="G343" s="601" t="inlineStr">
        <is>
          <t>TUB-E-O-AUT-AW-FC-31.75X2.500X6.0000</t>
        </is>
      </c>
      <c r="H343" s="601" t="inlineStr">
        <is>
          <t>ERW 1</t>
        </is>
      </c>
      <c r="I343" s="601" t="n"/>
      <c r="J343" s="601" t="inlineStr">
        <is>
          <t>FC</t>
        </is>
      </c>
      <c r="K343" s="601" t="inlineStr">
        <is>
          <t>HR</t>
        </is>
      </c>
      <c r="L343" s="601" t="n"/>
      <c r="M343" s="601" t="n"/>
      <c r="N343" s="601" t="n"/>
      <c r="O343" s="601" t="n"/>
      <c r="P343" s="557">
        <f>CONCATENATE(schedule13[[#This Row],[OD]],"-",schedule13[[#This Row],[ID]],"-",schedule13[[#This Row],[TICKNESS]],"-",schedule13[[#This Row],[GRADE]],"-",schedule13[[#This Row],[FC/NFC]])</f>
        <v/>
      </c>
      <c r="Q343" s="557">
        <f>schedule13[[#This Row],[Bucket]]</f>
        <v/>
      </c>
      <c r="R343" s="557">
        <f>COUNTIF(buckets[CTL Bucket],schedule13[[#This Row],[CTL Bucket]])</f>
        <v/>
      </c>
      <c r="S343" s="599" t="n">
        <v>31.75</v>
      </c>
      <c r="T343" s="599" t="n">
        <v>31.75</v>
      </c>
      <c r="U343" s="599" t="n">
        <v>0</v>
      </c>
      <c r="V343" s="599" t="n">
        <v>2.5</v>
      </c>
      <c r="W343" s="600" t="n">
        <v>1000</v>
      </c>
      <c r="X343" s="22" t="inlineStr">
        <is>
          <t>M</t>
        </is>
      </c>
      <c r="Y343" s="601" t="n">
        <v>0</v>
      </c>
      <c r="Z343" s="601" t="n"/>
      <c r="AA343" s="602">
        <f>Y343-Z343</f>
        <v/>
      </c>
      <c r="AB343" s="599">
        <f>(S343-V343)*V343*W343*0.024653*Y343/1000000</f>
        <v/>
      </c>
      <c r="AC343" s="599">
        <f>(S343-V343)*V343*W343*0.024653*Z343/1000000</f>
        <v/>
      </c>
      <c r="AD343" s="599">
        <f>AB343-AC343</f>
        <v/>
      </c>
      <c r="AE343" s="598">
        <f>schedule13[[#This Row],[CTL Stock]]/schedule13[[#This Row],[SCHEDULE IN MT]]*schedule13[[#This Row],[SCHEDULE]]</f>
        <v/>
      </c>
      <c r="AF343" s="599">
        <f>SUMIFS(stock[MT],stock[Bucket],schedule13[[#This Row],[Bucket]],stock[CTL Bucket],schedule13[[#This Row],[CTL Bucket]])</f>
        <v/>
      </c>
      <c r="AG343" s="599">
        <f>SUMIFS(stock[MT],stock[Bucket],schedule13[[#This Row],[Bucket]])+SUMIFS(wip[Stock(Net Wt)],wip[Bucket],schedule13[[#This Row],[Bucket]])/1000</f>
        <v/>
      </c>
      <c r="AH343" s="599">
        <f>AB342-AF343</f>
        <v/>
      </c>
      <c r="AI343" s="118">
        <f>(AC343+AF343)/AB342</f>
        <v/>
      </c>
    </row>
    <row r="344" hidden="1" s="584">
      <c r="A344" s="594" t="n">
        <v>199</v>
      </c>
      <c r="B344" s="5" t="inlineStr">
        <is>
          <t>Hosur</t>
        </is>
      </c>
      <c r="C344" s="601" t="inlineStr">
        <is>
          <t xml:space="preserve">Rajsriya Mysore </t>
        </is>
      </c>
      <c r="D344" s="601" t="inlineStr">
        <is>
          <t>Rajsriya</t>
        </is>
      </c>
      <c r="E344" s="601" t="n">
        <v>930883</v>
      </c>
      <c r="F344" s="601" t="n">
        <v>1940830</v>
      </c>
      <c r="G344" s="601" t="inlineStr">
        <is>
          <t>TUB-R-AW-RHS-40.00X30.00X1.600X0.8600</t>
        </is>
      </c>
      <c r="H344" s="601" t="inlineStr">
        <is>
          <t>ERW 1</t>
        </is>
      </c>
      <c r="I344" s="601" t="n"/>
      <c r="J344" s="601" t="inlineStr">
        <is>
          <t>FC</t>
        </is>
      </c>
      <c r="K344" s="601" t="inlineStr">
        <is>
          <t>CR</t>
        </is>
      </c>
      <c r="L344" s="596" t="inlineStr">
        <is>
          <t>GR1</t>
        </is>
      </c>
      <c r="M344" s="601" t="n"/>
      <c r="N344" s="601" t="n"/>
      <c r="O344" s="601" t="n"/>
      <c r="P344" s="557">
        <f>CONCATENATE(schedule13[[#This Row],[OD]],"-",schedule13[[#This Row],[ID]],"-",schedule13[[#This Row],[TICKNESS]],"-",schedule13[[#This Row],[GRADE]],"-",schedule13[[#This Row],[FC/NFC]])</f>
        <v/>
      </c>
      <c r="Q344" s="557">
        <f>_xlfn.CONCAT(schedule13[[#This Row],[Bucket]],"-",schedule13[[#This Row],[LENGTH]]/1000)</f>
        <v/>
      </c>
      <c r="R344" s="557">
        <f>COUNTIF(buckets[CTL Bucket],schedule13[[#This Row],[CTL Bucket]])</f>
        <v/>
      </c>
      <c r="S344" s="599" t="n">
        <v>44.45</v>
      </c>
      <c r="T344" s="599" t="n">
        <v>40</v>
      </c>
      <c r="U344" s="6" t="n">
        <v>30</v>
      </c>
      <c r="V344" s="599" t="n">
        <v>1.6</v>
      </c>
      <c r="W344" s="600" t="n">
        <v>860</v>
      </c>
      <c r="X344" s="22" t="inlineStr">
        <is>
          <t>NOS</t>
        </is>
      </c>
      <c r="Y344" s="601" t="n">
        <v>3000</v>
      </c>
      <c r="Z344" s="601" t="n"/>
      <c r="AA344" s="602">
        <f>Y344-Z344</f>
        <v/>
      </c>
      <c r="AB344" s="599">
        <f>(S344-V344)*V344*W344*0.024653*Y344/1000000</f>
        <v/>
      </c>
      <c r="AC344" s="599">
        <f>(S344-V344)*V344*W344*0.024653*Z344/1000000</f>
        <v/>
      </c>
      <c r="AD344" s="599">
        <f>AB344-AC344</f>
        <v/>
      </c>
      <c r="AE344" s="598">
        <f>schedule13[[#This Row],[CTL Stock]]/schedule13[[#This Row],[SCHEDULE IN MT]]*schedule13[[#This Row],[SCHEDULE]]</f>
        <v/>
      </c>
      <c r="AF344" s="599">
        <f>SUMIFS(stock[MT],stock[Bucket],schedule13[[#This Row],[Bucket]],stock[CTL Bucket],schedule13[[#This Row],[CTL Bucket]])</f>
        <v/>
      </c>
      <c r="AG344" s="599">
        <f>SUMIFS(stock[MT],stock[Bucket],schedule13[[#This Row],[Bucket]])+SUMIFS(wip[Stock(Net Wt)],wip[Bucket],schedule13[[#This Row],[Bucket]])/1000</f>
        <v/>
      </c>
      <c r="AH344" s="599">
        <f>AB343-AF344</f>
        <v/>
      </c>
      <c r="AI344" s="118">
        <f>(AC344+AF344)/AB343</f>
        <v/>
      </c>
    </row>
    <row r="345" hidden="1" s="584">
      <c r="A345" s="594" t="n">
        <v>202</v>
      </c>
      <c r="B345" s="5" t="inlineStr">
        <is>
          <t xml:space="preserve">Khopoli </t>
        </is>
      </c>
      <c r="C345" s="601" t="inlineStr">
        <is>
          <t xml:space="preserve">Rajsriya Mysore </t>
        </is>
      </c>
      <c r="D345" s="601" t="inlineStr">
        <is>
          <t>Rajsriya</t>
        </is>
      </c>
      <c r="E345" s="601" t="n">
        <v>930883</v>
      </c>
      <c r="F345" s="601" t="n">
        <v>234926</v>
      </c>
      <c r="G345" s="601" t="inlineStr">
        <is>
          <t>TUB-O-C-AUT-AD-PE-21.70X3.500X5.000</t>
        </is>
      </c>
      <c r="H345" s="601" t="inlineStr">
        <is>
          <t>CEW</t>
        </is>
      </c>
      <c r="I345" s="601" t="n"/>
      <c r="J345" s="601" t="n"/>
      <c r="K345" s="601" t="inlineStr">
        <is>
          <t>HR</t>
        </is>
      </c>
      <c r="L345" s="601" t="n"/>
      <c r="M345" s="601" t="n"/>
      <c r="N345" s="601" t="n"/>
      <c r="O345" s="601" t="n"/>
      <c r="P345" s="557">
        <f>CONCATENATE(schedule13[[#This Row],[OD]],"-",schedule13[[#This Row],[ID]],"-",schedule13[[#This Row],[TICKNESS]],"-",schedule13[[#This Row],[GRADE]],"-",schedule13[[#This Row],[FC/NFC]])</f>
        <v/>
      </c>
      <c r="Q345" s="557" t="n"/>
      <c r="R345" s="557" t="n"/>
      <c r="S345" s="599" t="n">
        <v>21.75</v>
      </c>
      <c r="T345" s="599" t="n">
        <v>21.75</v>
      </c>
      <c r="U345" s="599" t="n">
        <v>0</v>
      </c>
      <c r="V345" s="599" t="n">
        <v>3.5</v>
      </c>
      <c r="W345" s="23" t="n">
        <v>5000</v>
      </c>
      <c r="X345" s="23" t="n"/>
      <c r="Y345" s="601" t="n">
        <v>0</v>
      </c>
      <c r="Z345" s="601" t="n"/>
      <c r="AA345" s="602">
        <f>Y345-Z345</f>
        <v/>
      </c>
      <c r="AB345" s="599">
        <f>(S345-V345)*V345*W345*0.024653*Y345/1000000</f>
        <v/>
      </c>
      <c r="AC345" s="599">
        <f>(S345-V345)*V345*W345*0.024653*Z345/1000000</f>
        <v/>
      </c>
      <c r="AD345" s="599">
        <f>AB345-AC345</f>
        <v/>
      </c>
      <c r="AE345" s="599" t="n"/>
      <c r="AF345" s="599" t="n">
        <v>0.313718</v>
      </c>
      <c r="AG345" s="599" t="n"/>
      <c r="AH345" s="599">
        <f>AB344-AF345</f>
        <v/>
      </c>
      <c r="AI345" s="118">
        <f>(AC345+AF345)/AB344</f>
        <v/>
      </c>
    </row>
    <row r="346" hidden="1" s="584">
      <c r="A346" s="594" t="n">
        <v>207</v>
      </c>
      <c r="B346" s="5" t="inlineStr">
        <is>
          <t>Hosur</t>
        </is>
      </c>
      <c r="C346" s="601" t="inlineStr">
        <is>
          <t xml:space="preserve">Rajsriya Mysore </t>
        </is>
      </c>
      <c r="D346" s="601" t="inlineStr">
        <is>
          <t>Rajsriya</t>
        </is>
      </c>
      <c r="E346" s="601" t="n">
        <v>930883</v>
      </c>
      <c r="F346" s="601" t="n">
        <v>1940837</v>
      </c>
      <c r="G346" s="601" t="inlineStr">
        <is>
          <t>TUB-R-AW-RHS-40.00X30.00X2.000X0.8700</t>
        </is>
      </c>
      <c r="H346" s="601" t="inlineStr">
        <is>
          <t>ERW 1</t>
        </is>
      </c>
      <c r="I346" s="601" t="n"/>
      <c r="J346" s="601" t="inlineStr">
        <is>
          <t>FC</t>
        </is>
      </c>
      <c r="K346" s="601" t="inlineStr">
        <is>
          <t>HR</t>
        </is>
      </c>
      <c r="L346" s="601" t="n"/>
      <c r="M346" s="601" t="n"/>
      <c r="N346" s="601" t="n"/>
      <c r="O346" s="601" t="n"/>
      <c r="P346" s="557">
        <f>CONCATENATE(schedule13[[#This Row],[OD]],"-",schedule13[[#This Row],[ID]],"-",schedule13[[#This Row],[TICKNESS]],"-",schedule13[[#This Row],[GRADE]],"-",schedule13[[#This Row],[FC/NFC]])</f>
        <v/>
      </c>
      <c r="Q346" s="557">
        <f>_xlfn.CONCAT(schedule13[[#This Row],[Bucket]],"-",schedule13[[#This Row],[LENGTH]]/1000)</f>
        <v/>
      </c>
      <c r="R346" s="557">
        <f>COUNTIF(buckets[CTL Bucket],schedule13[[#This Row],[CTL Bucket]])</f>
        <v/>
      </c>
      <c r="S346" s="599" t="n">
        <v>44.45</v>
      </c>
      <c r="T346" s="599" t="n">
        <v>40</v>
      </c>
      <c r="U346" s="6" t="n">
        <v>30</v>
      </c>
      <c r="V346" s="599" t="n">
        <v>2</v>
      </c>
      <c r="W346" s="600" t="n">
        <v>870</v>
      </c>
      <c r="X346" s="22" t="inlineStr">
        <is>
          <t>NOS</t>
        </is>
      </c>
      <c r="Y346" s="601" t="n">
        <v>5000</v>
      </c>
      <c r="Z346" s="601" t="n"/>
      <c r="AA346" s="602">
        <f>Y346-Z346</f>
        <v/>
      </c>
      <c r="AB346" s="599">
        <f>(S346-V346)*V346*W346*0.024653*Y346/1000000</f>
        <v/>
      </c>
      <c r="AC346" s="599">
        <f>(S346-V346)*V346*W346*0.024653*Z346/1000000</f>
        <v/>
      </c>
      <c r="AD346" s="599">
        <f>AB346-AC346</f>
        <v/>
      </c>
      <c r="AE346" s="598">
        <f>schedule13[[#This Row],[CTL Stock]]/schedule13[[#This Row],[SCHEDULE IN MT]]*schedule13[[#This Row],[SCHEDULE]]</f>
        <v/>
      </c>
      <c r="AF346" s="599">
        <f>SUMIFS(stock[MT],stock[Bucket],schedule13[[#This Row],[Bucket]],stock[CTL Bucket],schedule13[[#This Row],[CTL Bucket]])</f>
        <v/>
      </c>
      <c r="AG346" s="599">
        <f>SUMIFS(stock[MT],stock[Bucket],schedule13[[#This Row],[Bucket]])+SUMIFS(wip[Stock(Net Wt)],wip[Bucket],schedule13[[#This Row],[Bucket]])/1000</f>
        <v/>
      </c>
      <c r="AH346" s="599">
        <f>AB345-AF346</f>
        <v/>
      </c>
      <c r="AI346" s="118">
        <f>(AC346+AF346)/AB345</f>
        <v/>
      </c>
    </row>
    <row r="347" hidden="1" s="584">
      <c r="A347" s="594" t="n">
        <v>219</v>
      </c>
      <c r="B347" s="5" t="inlineStr">
        <is>
          <t xml:space="preserve">Khopoli </t>
        </is>
      </c>
      <c r="C347" s="601" t="inlineStr">
        <is>
          <t xml:space="preserve">Rajsriya Mysore </t>
        </is>
      </c>
      <c r="D347" s="601" t="inlineStr">
        <is>
          <t>Rajsriya</t>
        </is>
      </c>
      <c r="E347" s="601" t="n">
        <v>930883</v>
      </c>
      <c r="F347" s="601" t="n">
        <v>1938358</v>
      </c>
      <c r="G347" s="601" t="inlineStr">
        <is>
          <t>TUB-O-N-AUT-AN-FC-42.70X4.000X0.2540</t>
        </is>
      </c>
      <c r="H347" s="601" t="inlineStr">
        <is>
          <t>ERW 1</t>
        </is>
      </c>
      <c r="I347" s="601" t="inlineStr">
        <is>
          <t>Annealed</t>
        </is>
      </c>
      <c r="J347" s="601" t="inlineStr">
        <is>
          <t>FC</t>
        </is>
      </c>
      <c r="K347" s="601" t="inlineStr">
        <is>
          <t>HR</t>
        </is>
      </c>
      <c r="L347" s="601" t="n"/>
      <c r="M347" s="601" t="inlineStr">
        <is>
          <t>Chamferring</t>
        </is>
      </c>
      <c r="N347" s="601" t="n"/>
      <c r="O347" s="601" t="n"/>
      <c r="P347" s="557">
        <f>CONCATENATE(schedule13[[#This Row],[OD]],"-",schedule13[[#This Row],[ID]],"-",schedule13[[#This Row],[TICKNESS]],"-",schedule13[[#This Row],[GRADE]],"-",schedule13[[#This Row],[FC/NFC]])</f>
        <v/>
      </c>
      <c r="Q347" s="557">
        <f>_xlfn.CONCAT(schedule13[[#This Row],[Bucket]],"-",schedule13[[#This Row],[LENGTH]]/1000)</f>
        <v/>
      </c>
      <c r="R347" s="557">
        <f>COUNTIF(buckets[CTL Bucket],schedule13[[#This Row],[CTL Bucket]])</f>
        <v/>
      </c>
      <c r="S347" s="599" t="n">
        <v>42.7</v>
      </c>
      <c r="T347" s="599" t="n">
        <v>42.7</v>
      </c>
      <c r="U347" s="599" t="n">
        <v>0</v>
      </c>
      <c r="V347" s="599" t="n">
        <v>4</v>
      </c>
      <c r="W347" s="23" t="n">
        <v>254</v>
      </c>
      <c r="X347" s="22" t="inlineStr">
        <is>
          <t>NOS</t>
        </is>
      </c>
      <c r="Y347" s="601" t="n">
        <v>5000</v>
      </c>
      <c r="Z347" s="601" t="n"/>
      <c r="AA347" s="602">
        <f>Y347-Z347</f>
        <v/>
      </c>
      <c r="AB347" s="599">
        <f>(S347-V347)*V347*W347*0.024653*Y347/1000000</f>
        <v/>
      </c>
      <c r="AC347" s="599">
        <f>(S347-V347)*V347*W347*0.024653*Z347/1000000</f>
        <v/>
      </c>
      <c r="AD347" s="599">
        <f>AB347-AC347</f>
        <v/>
      </c>
      <c r="AE347" s="598">
        <f>schedule13[[#This Row],[CTL Stock]]/schedule13[[#This Row],[SCHEDULE IN MT]]*schedule13[[#This Row],[SCHEDULE]]</f>
        <v/>
      </c>
      <c r="AF347" s="599">
        <f>SUMIFS(stock[MT],stock[Bucket],schedule13[[#This Row],[Bucket]],stock[CTL Bucket],schedule13[[#This Row],[CTL Bucket]])</f>
        <v/>
      </c>
      <c r="AG347" s="599">
        <f>SUMIFS(stock[MT],stock[Bucket],schedule13[[#This Row],[Bucket]])+SUMIFS(wip[Stock(Net Wt)],wip[Bucket],schedule13[[#This Row],[Bucket]])/1000</f>
        <v/>
      </c>
      <c r="AH347" s="599">
        <f>AB346-AF347</f>
        <v/>
      </c>
      <c r="AI347" s="118">
        <f>(AC347+AF347)/AB346</f>
        <v/>
      </c>
    </row>
    <row r="348" hidden="1" s="584">
      <c r="A348" s="594" t="n">
        <v>238</v>
      </c>
      <c r="B348" s="5" t="inlineStr">
        <is>
          <t>Hosur</t>
        </is>
      </c>
      <c r="C348" s="601" t="inlineStr">
        <is>
          <t xml:space="preserve">Rajsriya Mysore </t>
        </is>
      </c>
      <c r="D348" s="601" t="inlineStr">
        <is>
          <t>Rajsriya</t>
        </is>
      </c>
      <c r="E348" s="601" t="n">
        <v>930883</v>
      </c>
      <c r="F348" s="601" t="n">
        <v>1940911</v>
      </c>
      <c r="G348" s="601" t="inlineStr">
        <is>
          <t>TUB-O-O-AUT-AW-AG-57.15X2.500X0.7720</t>
        </is>
      </c>
      <c r="H348" s="601" t="inlineStr">
        <is>
          <t>ERW 1</t>
        </is>
      </c>
      <c r="I348" s="601" t="n"/>
      <c r="J348" s="601" t="inlineStr">
        <is>
          <t>FC</t>
        </is>
      </c>
      <c r="K348" s="601" t="inlineStr">
        <is>
          <t>HR</t>
        </is>
      </c>
      <c r="L348" s="601" t="n"/>
      <c r="M348" s="601" t="n"/>
      <c r="N348" s="601" t="inlineStr">
        <is>
          <t>AG</t>
        </is>
      </c>
      <c r="O348" s="601" t="n"/>
      <c r="P348" s="557">
        <f>CONCATENATE(schedule13[[#This Row],[OD]],"-",schedule13[[#This Row],[ID]],"-",schedule13[[#This Row],[TICKNESS]],"-",schedule13[[#This Row],[GRADE]],"-",schedule13[[#This Row],[FC/NFC]])</f>
        <v/>
      </c>
      <c r="Q348" s="557">
        <f>_xlfn.CONCAT(schedule13[[#This Row],[Bucket]],"-",schedule13[[#This Row],[LENGTH]]/1000)</f>
        <v/>
      </c>
      <c r="R348" s="557">
        <f>COUNTIF(buckets[CTL Bucket],schedule13[[#This Row],[CTL Bucket]])</f>
        <v/>
      </c>
      <c r="S348" s="599" t="n">
        <v>57.15</v>
      </c>
      <c r="T348" s="599" t="n">
        <v>57.15</v>
      </c>
      <c r="U348" s="599" t="n">
        <v>0</v>
      </c>
      <c r="V348" s="599" t="n">
        <v>2.5</v>
      </c>
      <c r="W348" s="23" t="n">
        <v>772</v>
      </c>
      <c r="X348" s="22" t="inlineStr">
        <is>
          <t>NOS</t>
        </is>
      </c>
      <c r="Y348" s="601" t="n">
        <v>3000</v>
      </c>
      <c r="Z348" s="601" t="n"/>
      <c r="AA348" s="602">
        <f>Y348-Z348</f>
        <v/>
      </c>
      <c r="AB348" s="599">
        <f>(S348-V348)*V348*W348*0.024653*Y348/1000000</f>
        <v/>
      </c>
      <c r="AC348" s="599">
        <f>(S348-V348)*V348*W348*0.024653*Z348/1000000</f>
        <v/>
      </c>
      <c r="AD348" s="599">
        <f>AB348-AC348</f>
        <v/>
      </c>
      <c r="AE348" s="598">
        <f>schedule13[[#This Row],[CTL Stock]]/schedule13[[#This Row],[SCHEDULE IN MT]]*schedule13[[#This Row],[SCHEDULE]]</f>
        <v/>
      </c>
      <c r="AF348" s="599">
        <f>SUMIFS(stock[MT],stock[Bucket],schedule13[[#This Row],[Bucket]],stock[CTL Bucket],schedule13[[#This Row],[CTL Bucket]])</f>
        <v/>
      </c>
      <c r="AG348" s="599">
        <f>SUMIFS(stock[MT],stock[Bucket],schedule13[[#This Row],[Bucket]])+SUMIFS(wip[Stock(Net Wt)],wip[Bucket],schedule13[[#This Row],[Bucket]])/1000</f>
        <v/>
      </c>
      <c r="AH348" s="599">
        <f>AB347-AF348</f>
        <v/>
      </c>
      <c r="AI348" s="118">
        <f>(AC348+AF348)/AB347</f>
        <v/>
      </c>
    </row>
    <row r="349" hidden="1" s="584">
      <c r="A349" s="594" t="n">
        <v>405</v>
      </c>
      <c r="B349" s="5" t="inlineStr">
        <is>
          <t xml:space="preserve">Khopoli </t>
        </is>
      </c>
      <c r="C349" s="601" t="inlineStr">
        <is>
          <t xml:space="preserve">Rajsriya Mysore </t>
        </is>
      </c>
      <c r="D349" s="601" t="inlineStr">
        <is>
          <t>Rajsriya</t>
        </is>
      </c>
      <c r="E349" s="601" t="n">
        <v>930883</v>
      </c>
      <c r="F349" s="9" t="n">
        <v>2363145</v>
      </c>
      <c r="G349" s="9" t="inlineStr">
        <is>
          <t>TUB-O-C-AUT-AN-FC-14.00X2.450X5.0000</t>
        </is>
      </c>
      <c r="H349" s="601" t="inlineStr">
        <is>
          <t>CEW</t>
        </is>
      </c>
      <c r="I349" s="601" t="n"/>
      <c r="J349" s="601" t="n"/>
      <c r="K349" s="601" t="inlineStr">
        <is>
          <t>HR</t>
        </is>
      </c>
      <c r="L349" s="601" t="n"/>
      <c r="M349" s="601" t="n"/>
      <c r="N349" s="601" t="n"/>
      <c r="O349" s="601" t="n"/>
      <c r="P349" s="557">
        <f>CONCATENATE(schedule13[[#This Row],[OD]],"-",schedule13[[#This Row],[ID]],"-",schedule13[[#This Row],[TICKNESS]],"-",schedule13[[#This Row],[GRADE]],"-",schedule13[[#This Row],[FC/NFC]])</f>
        <v/>
      </c>
      <c r="Q349" s="557" t="n"/>
      <c r="R349" s="557" t="n"/>
      <c r="S349" s="599" t="n">
        <v>14</v>
      </c>
      <c r="T349" s="599" t="n">
        <v>14</v>
      </c>
      <c r="U349" s="599" t="n">
        <v>0</v>
      </c>
      <c r="V349" s="599" t="n">
        <v>2.45</v>
      </c>
      <c r="W349" s="23" t="n">
        <v>5000</v>
      </c>
      <c r="X349" s="23" t="n"/>
      <c r="Y349" s="601" t="n">
        <v>0</v>
      </c>
      <c r="Z349" s="601" t="n"/>
      <c r="AA349" s="602">
        <f>Y349-Z349</f>
        <v/>
      </c>
      <c r="AB349" s="599">
        <f>(S349-V349)*V349*W349*0.024653*Y349/1000000</f>
        <v/>
      </c>
      <c r="AC349" s="599">
        <f>(S349-V349)*V349*W349*0.024653*Z349/1000000</f>
        <v/>
      </c>
      <c r="AD349" s="599">
        <f>AB349-AC349</f>
        <v/>
      </c>
      <c r="AE349" s="599" t="n"/>
      <c r="AF349" s="599" t="n"/>
      <c r="AG349" s="599" t="n"/>
      <c r="AH349" s="599" t="n"/>
      <c r="AI349" s="118" t="n"/>
    </row>
    <row r="350" hidden="1" s="584">
      <c r="A350" s="594" t="n">
        <v>147</v>
      </c>
      <c r="B350" s="5" t="inlineStr">
        <is>
          <t xml:space="preserve">Khopoli </t>
        </is>
      </c>
      <c r="C350" s="601" t="inlineStr">
        <is>
          <t>Rajsriya Unit 1</t>
        </is>
      </c>
      <c r="D350" s="601" t="inlineStr">
        <is>
          <t>Rajsriya</t>
        </is>
      </c>
      <c r="E350" s="601" t="inlineStr">
        <is>
          <t>129695|189481|187884|188415|189239|189240</t>
        </is>
      </c>
      <c r="F350" s="601" t="n">
        <v>1938191</v>
      </c>
      <c r="G350" s="601" t="inlineStr">
        <is>
          <t>TUB-I-C-AUT-AD-FC-12.50X3.250X0.5880</t>
        </is>
      </c>
      <c r="H350" s="601" t="inlineStr">
        <is>
          <t>CEW</t>
        </is>
      </c>
      <c r="I350" s="601" t="n"/>
      <c r="J350" s="601" t="inlineStr">
        <is>
          <t>CEW</t>
        </is>
      </c>
      <c r="K350" s="601" t="inlineStr">
        <is>
          <t>HR</t>
        </is>
      </c>
      <c r="L350" s="601" t="n"/>
      <c r="M350" s="601" t="n"/>
      <c r="N350" s="601" t="n"/>
      <c r="O350" s="601" t="n"/>
      <c r="P350" s="557">
        <f>CONCATENATE(schedule13[[#This Row],[OD]],"-",schedule13[[#This Row],[ID]],"-",schedule13[[#This Row],[TICKNESS]],"-",schedule13[[#This Row],[GRADE]],"-",schedule13[[#This Row],[FC/NFC]])</f>
        <v/>
      </c>
      <c r="Q350" s="557">
        <f>_xlfn.CONCAT(schedule13[[#This Row],[Bucket]],"-",schedule13[[#This Row],[LENGTH]]/1000)</f>
        <v/>
      </c>
      <c r="R350" s="557">
        <f>COUNTIF(buckets[CTL Bucket],schedule13[[#This Row],[CTL Bucket]])</f>
        <v/>
      </c>
      <c r="S350" s="599" t="n">
        <v>19.05</v>
      </c>
      <c r="T350" s="599" t="n">
        <v>19</v>
      </c>
      <c r="U350" s="599" t="n">
        <v>12.5</v>
      </c>
      <c r="V350" s="599" t="n">
        <v>3.25</v>
      </c>
      <c r="W350" s="600" t="n">
        <v>588</v>
      </c>
      <c r="X350" s="22" t="inlineStr">
        <is>
          <t>NOS</t>
        </is>
      </c>
      <c r="Y350" s="601" t="n">
        <v>10000</v>
      </c>
      <c r="Z350" s="601" t="n"/>
      <c r="AA350" s="602">
        <f>Y350-Z350</f>
        <v/>
      </c>
      <c r="AB350" s="599">
        <f>(S350-V350)*V350*W350*0.024653*Y350/1000000</f>
        <v/>
      </c>
      <c r="AC350" s="599">
        <f>(S350-V350)*V350*W350*0.024653*Z350/1000000</f>
        <v/>
      </c>
      <c r="AD350" s="599">
        <f>AB350-AC350</f>
        <v/>
      </c>
      <c r="AE350" s="598">
        <f>schedule13[[#This Row],[CTL Stock]]/schedule13[[#This Row],[SCHEDULE IN MT]]*schedule13[[#This Row],[SCHEDULE]]</f>
        <v/>
      </c>
      <c r="AF350" s="599">
        <f>SUMIFS(stock[MT],stock[Bucket],schedule13[[#This Row],[Bucket]],stock[CTL Bucket],schedule13[[#This Row],[CTL Bucket]])</f>
        <v/>
      </c>
      <c r="AG350" s="599">
        <f>SUMIFS(stock[MT],stock[Bucket],schedule13[[#This Row],[Bucket]])+SUMIFS(wip[Stock(Net Wt)],wip[Bucket],schedule13[[#This Row],[Bucket]])/1000</f>
        <v/>
      </c>
      <c r="AH350" s="599">
        <f>AB349-AF350</f>
        <v/>
      </c>
      <c r="AI350" s="118">
        <f>(AC350+AF350)/AB349</f>
        <v/>
      </c>
    </row>
    <row r="351" hidden="1" s="584">
      <c r="A351" s="594" t="n">
        <v>166</v>
      </c>
      <c r="B351" s="5" t="inlineStr">
        <is>
          <t>Hosur</t>
        </is>
      </c>
      <c r="C351" s="601" t="inlineStr">
        <is>
          <t>Rajsriya Unit 1</t>
        </is>
      </c>
      <c r="D351" s="601" t="inlineStr">
        <is>
          <t>Rajsriya</t>
        </is>
      </c>
      <c r="E351" s="601" t="inlineStr">
        <is>
          <t>129695|189481|187884|188415|189239|189240</t>
        </is>
      </c>
      <c r="F351" s="601" t="n">
        <v>3535743</v>
      </c>
      <c r="G351" s="601" t="inlineStr">
        <is>
          <t>TUB-O-N-AUT-AW-PE-19.05X2.300X0.6000</t>
        </is>
      </c>
      <c r="H351" s="601" t="inlineStr">
        <is>
          <t>ERW 1</t>
        </is>
      </c>
      <c r="I351" s="601" t="n"/>
      <c r="J351" s="601" t="inlineStr">
        <is>
          <t>PE</t>
        </is>
      </c>
      <c r="K351" s="601" t="inlineStr">
        <is>
          <t>HR</t>
        </is>
      </c>
      <c r="L351" s="601" t="n"/>
      <c r="M351" s="601" t="n"/>
      <c r="N351" s="601" t="n"/>
      <c r="O351" s="601" t="n"/>
      <c r="P351" s="557">
        <f>CONCATENATE(schedule13[[#This Row],[OD]],"-",schedule13[[#This Row],[ID]],"-",schedule13[[#This Row],[TICKNESS]],"-",schedule13[[#This Row],[GRADE]],"-",schedule13[[#This Row],[FC/NFC]])</f>
        <v/>
      </c>
      <c r="Q351" s="557">
        <f>_xlfn.CONCAT(schedule13[[#This Row],[Bucket]],"-",schedule13[[#This Row],[LENGTH]]/1000)</f>
        <v/>
      </c>
      <c r="R351" s="557">
        <f>COUNTIF(buckets[CTL Bucket],schedule13[[#This Row],[CTL Bucket]])</f>
        <v/>
      </c>
      <c r="S351" s="599" t="n">
        <v>19.05</v>
      </c>
      <c r="T351" s="599" t="n">
        <v>19.05</v>
      </c>
      <c r="U351" s="599" t="n">
        <v>0</v>
      </c>
      <c r="V351" s="599" t="n">
        <v>2.3</v>
      </c>
      <c r="W351" s="600" t="n">
        <v>600</v>
      </c>
      <c r="X351" s="22" t="inlineStr">
        <is>
          <t>NOS</t>
        </is>
      </c>
      <c r="Y351" s="601" t="n">
        <v>4000</v>
      </c>
      <c r="Z351" s="601" t="n"/>
      <c r="AA351" s="602">
        <f>Y351-Z351</f>
        <v/>
      </c>
      <c r="AB351" s="599">
        <f>(S351-V351)*V351*W351*0.024653*Y351/1000000</f>
        <v/>
      </c>
      <c r="AC351" s="599">
        <f>(S351-V351)*V351*W351*0.024653*Z351/1000000</f>
        <v/>
      </c>
      <c r="AD351" s="599">
        <f>AB351-AC351</f>
        <v/>
      </c>
      <c r="AE351" s="598">
        <f>schedule13[[#This Row],[CTL Stock]]/schedule13[[#This Row],[SCHEDULE IN MT]]*schedule13[[#This Row],[SCHEDULE]]</f>
        <v/>
      </c>
      <c r="AF351" s="599">
        <f>SUMIFS(stock[MT],stock[Bucket],schedule13[[#This Row],[Bucket]],stock[CTL Bucket],schedule13[[#This Row],[CTL Bucket]])</f>
        <v/>
      </c>
      <c r="AG351" s="599">
        <f>SUMIFS(stock[MT],stock[Bucket],schedule13[[#This Row],[Bucket]])+SUMIFS(wip[Stock(Net Wt)],wip[Bucket],schedule13[[#This Row],[Bucket]])/1000</f>
        <v/>
      </c>
      <c r="AH351" s="599" t="n"/>
      <c r="AI351" s="118" t="n"/>
    </row>
    <row r="352" hidden="1" s="584">
      <c r="A352" s="594" t="n">
        <v>186</v>
      </c>
      <c r="B352" s="5" t="inlineStr">
        <is>
          <t xml:space="preserve">Khopoli </t>
        </is>
      </c>
      <c r="C352" s="601" t="inlineStr">
        <is>
          <t>Rajsriya Unit 1</t>
        </is>
      </c>
      <c r="D352" s="601" t="inlineStr">
        <is>
          <t>Rajsriya</t>
        </is>
      </c>
      <c r="E352" s="601" t="inlineStr">
        <is>
          <t>129695|189481|187884|188415|189239|189240</t>
        </is>
      </c>
      <c r="F352" s="601" t="n">
        <v>1939544</v>
      </c>
      <c r="G352" s="601" t="inlineStr">
        <is>
          <t>TUB-O-C-CEW-AD-FC-25.40X2.500X0.2170</t>
        </is>
      </c>
      <c r="H352" s="601" t="inlineStr">
        <is>
          <t>CEW</t>
        </is>
      </c>
      <c r="I352" s="601" t="n"/>
      <c r="J352" s="601" t="inlineStr">
        <is>
          <t>CEW</t>
        </is>
      </c>
      <c r="K352" s="601" t="inlineStr">
        <is>
          <t>HR</t>
        </is>
      </c>
      <c r="L352" s="601" t="n"/>
      <c r="M352" s="601" t="n"/>
      <c r="N352" s="601" t="n"/>
      <c r="O352" s="601" t="n"/>
      <c r="P352" s="557">
        <f>CONCATENATE(schedule13[[#This Row],[OD]],"-",schedule13[[#This Row],[ID]],"-",schedule13[[#This Row],[TICKNESS]],"-",schedule13[[#This Row],[GRADE]],"-",schedule13[[#This Row],[FC/NFC]])</f>
        <v/>
      </c>
      <c r="Q352" s="557">
        <f>_xlfn.CONCAT(schedule13[[#This Row],[Bucket]],"-",schedule13[[#This Row],[LENGTH]]/1000)</f>
        <v/>
      </c>
      <c r="R352" s="557">
        <f>COUNTIF(buckets[CTL Bucket],schedule13[[#This Row],[CTL Bucket]])</f>
        <v/>
      </c>
      <c r="S352" s="599" t="n">
        <v>25.4</v>
      </c>
      <c r="T352" s="599" t="n">
        <v>25.4</v>
      </c>
      <c r="U352" s="599" t="n">
        <v>0</v>
      </c>
      <c r="V352" s="599" t="n">
        <v>2.5</v>
      </c>
      <c r="W352" s="600" t="n">
        <v>217</v>
      </c>
      <c r="X352" s="22" t="inlineStr">
        <is>
          <t>NOS</t>
        </is>
      </c>
      <c r="Y352" s="601" t="n">
        <v>10000</v>
      </c>
      <c r="Z352" s="601" t="n"/>
      <c r="AA352" s="602">
        <f>Y352-Z352</f>
        <v/>
      </c>
      <c r="AB352" s="599">
        <f>(S352-V352)*V352*W352*0.024653*Y352/1000000</f>
        <v/>
      </c>
      <c r="AC352" s="599">
        <f>(S352-V352)*V352*W352*0.024653*Z352/1000000</f>
        <v/>
      </c>
      <c r="AD352" s="599">
        <f>AB352-AC352</f>
        <v/>
      </c>
      <c r="AE352" s="598">
        <f>schedule13[[#This Row],[CTL Stock]]/schedule13[[#This Row],[SCHEDULE IN MT]]*schedule13[[#This Row],[SCHEDULE]]</f>
        <v/>
      </c>
      <c r="AF352" s="599">
        <f>SUMIFS(stock[MT],stock[Bucket],schedule13[[#This Row],[Bucket]],stock[CTL Bucket],schedule13[[#This Row],[CTL Bucket]])</f>
        <v/>
      </c>
      <c r="AG352" s="599">
        <f>SUMIFS(stock[MT],stock[Bucket],schedule13[[#This Row],[Bucket]])+SUMIFS(wip[Stock(Net Wt)],wip[Bucket],schedule13[[#This Row],[Bucket]])/1000</f>
        <v/>
      </c>
      <c r="AH352" s="599">
        <f>AB351-AF352</f>
        <v/>
      </c>
      <c r="AI352" s="118">
        <f>(AC352+AF352)/AB351</f>
        <v/>
      </c>
    </row>
    <row r="353" hidden="1" s="584">
      <c r="A353" s="594" t="n">
        <v>188</v>
      </c>
      <c r="B353" s="5" t="inlineStr">
        <is>
          <t xml:space="preserve">Khopoli </t>
        </is>
      </c>
      <c r="C353" s="601" t="inlineStr">
        <is>
          <t>Rajsriya Unit 1</t>
        </is>
      </c>
      <c r="D353" s="601" t="inlineStr">
        <is>
          <t>Rajsriya</t>
        </is>
      </c>
      <c r="E353" s="601" t="inlineStr">
        <is>
          <t>129695|189481|187884|188415|189239|189240</t>
        </is>
      </c>
      <c r="F353" s="601" t="n">
        <v>403040</v>
      </c>
      <c r="G353" s="601" t="inlineStr">
        <is>
          <t>PT3-I-C-AUT-AD-CH-25.50X2.320X0.465</t>
        </is>
      </c>
      <c r="H353" s="601" t="inlineStr">
        <is>
          <t>CEW</t>
        </is>
      </c>
      <c r="I353" s="601" t="n"/>
      <c r="J353" s="601" t="inlineStr">
        <is>
          <t>CEW</t>
        </is>
      </c>
      <c r="K353" s="601" t="inlineStr">
        <is>
          <t>HR</t>
        </is>
      </c>
      <c r="L353" s="601" t="n"/>
      <c r="M353" s="601" t="inlineStr">
        <is>
          <t>Chamferring</t>
        </is>
      </c>
      <c r="N353" s="601" t="n"/>
      <c r="O353" s="601" t="n"/>
      <c r="P353" s="557">
        <f>CONCATENATE(schedule13[[#This Row],[OD]],"-",schedule13[[#This Row],[ID]],"-",schedule13[[#This Row],[TICKNESS]],"-",schedule13[[#This Row],[GRADE]],"-",schedule13[[#This Row],[FC/NFC]])</f>
        <v/>
      </c>
      <c r="Q353" s="557">
        <f>_xlfn.CONCAT(schedule13[[#This Row],[Bucket]],"-",schedule13[[#This Row],[LENGTH]]/1000)</f>
        <v/>
      </c>
      <c r="R353" s="557">
        <f>COUNTIF(buckets[CTL Bucket],schedule13[[#This Row],[CTL Bucket]])</f>
        <v/>
      </c>
      <c r="S353" s="599" t="n">
        <v>30.15</v>
      </c>
      <c r="T353" s="599" t="n">
        <v>30</v>
      </c>
      <c r="U353" s="599" t="n">
        <v>25.5</v>
      </c>
      <c r="V353" s="599" t="n">
        <v>2.25</v>
      </c>
      <c r="W353" s="600" t="n">
        <v>465</v>
      </c>
      <c r="X353" s="22" t="inlineStr">
        <is>
          <t>NOS</t>
        </is>
      </c>
      <c r="Y353" s="601" t="n">
        <v>5000</v>
      </c>
      <c r="Z353" s="601" t="n"/>
      <c r="AA353" s="602">
        <f>Y353-Z353</f>
        <v/>
      </c>
      <c r="AB353" s="599">
        <f>(S353-V353)*V353*W353*0.024653*Y353/1000000</f>
        <v/>
      </c>
      <c r="AC353" s="599">
        <f>(S353-V353)*V353*W353*0.024653*Z353/1000000</f>
        <v/>
      </c>
      <c r="AD353" s="599">
        <f>AB353-AC353</f>
        <v/>
      </c>
      <c r="AE353" s="598">
        <f>schedule13[[#This Row],[CTL Stock]]/schedule13[[#This Row],[SCHEDULE IN MT]]*schedule13[[#This Row],[SCHEDULE]]</f>
        <v/>
      </c>
      <c r="AF353" s="599">
        <f>SUMIFS(stock[MT],stock[Bucket],schedule13[[#This Row],[Bucket]],stock[CTL Bucket],schedule13[[#This Row],[CTL Bucket]])</f>
        <v/>
      </c>
      <c r="AG353" s="599">
        <f>SUMIFS(stock[MT],stock[Bucket],schedule13[[#This Row],[Bucket]])+SUMIFS(wip[Stock(Net Wt)],wip[Bucket],schedule13[[#This Row],[Bucket]])/1000</f>
        <v/>
      </c>
      <c r="AH353" s="599">
        <f>AB352-AF353</f>
        <v/>
      </c>
      <c r="AI353" s="118">
        <f>(AC353+AF353)/AB352</f>
        <v/>
      </c>
    </row>
    <row r="354" hidden="1" s="584">
      <c r="A354" s="594" t="n">
        <v>189</v>
      </c>
      <c r="B354" s="5" t="inlineStr">
        <is>
          <t xml:space="preserve">Khopoli </t>
        </is>
      </c>
      <c r="C354" s="601" t="inlineStr">
        <is>
          <t>Rajsriya Unit 1</t>
        </is>
      </c>
      <c r="D354" s="601" t="inlineStr">
        <is>
          <t>Rajsriya</t>
        </is>
      </c>
      <c r="E354" s="601" t="inlineStr">
        <is>
          <t>129695|189481|187884|188415|189239|189240</t>
        </is>
      </c>
      <c r="F354" s="601" t="n">
        <v>2359755</v>
      </c>
      <c r="G354" s="601" t="inlineStr">
        <is>
          <t>TUB-O-C-AUT-AD-FC-30.00X2.250X0.4850</t>
        </is>
      </c>
      <c r="H354" s="601" t="inlineStr">
        <is>
          <t>CEW</t>
        </is>
      </c>
      <c r="I354" s="601" t="n"/>
      <c r="J354" s="601" t="inlineStr">
        <is>
          <t>CEW</t>
        </is>
      </c>
      <c r="K354" s="601" t="inlineStr">
        <is>
          <t>HR</t>
        </is>
      </c>
      <c r="L354" s="601" t="n"/>
      <c r="M354" s="601" t="inlineStr">
        <is>
          <t>Chamferring</t>
        </is>
      </c>
      <c r="N354" s="601" t="n"/>
      <c r="O354" s="601" t="n"/>
      <c r="P354" s="557">
        <f>CONCATENATE(schedule13[[#This Row],[OD]],"-",schedule13[[#This Row],[ID]],"-",schedule13[[#This Row],[TICKNESS]],"-",schedule13[[#This Row],[GRADE]],"-",schedule13[[#This Row],[FC/NFC]])</f>
        <v/>
      </c>
      <c r="Q354" s="557">
        <f>_xlfn.CONCAT(schedule13[[#This Row],[Bucket]],"-",schedule13[[#This Row],[LENGTH]]/1000)</f>
        <v/>
      </c>
      <c r="R354" s="557">
        <f>COUNTIF(buckets[CTL Bucket],schedule13[[#This Row],[CTL Bucket]])</f>
        <v/>
      </c>
      <c r="S354" s="599" t="n">
        <v>30.15</v>
      </c>
      <c r="T354" s="599" t="n">
        <v>30</v>
      </c>
      <c r="U354" s="599" t="n">
        <v>25.5</v>
      </c>
      <c r="V354" s="599" t="n">
        <v>2.25</v>
      </c>
      <c r="W354" s="600" t="n">
        <v>485</v>
      </c>
      <c r="X354" s="22" t="inlineStr">
        <is>
          <t>NOS</t>
        </is>
      </c>
      <c r="Y354" s="601" t="n">
        <v>15000</v>
      </c>
      <c r="Z354" s="601" t="n"/>
      <c r="AA354" s="602">
        <f>Y354-Z354</f>
        <v/>
      </c>
      <c r="AB354" s="599">
        <f>(S354-V354)*V354*W354*0.024653*Y354/1000000</f>
        <v/>
      </c>
      <c r="AC354" s="599">
        <f>(S354-V354)*V354*W354*0.024653*Z354/1000000</f>
        <v/>
      </c>
      <c r="AD354" s="599">
        <f>AB354-AC354</f>
        <v/>
      </c>
      <c r="AE354" s="598">
        <f>schedule13[[#This Row],[CTL Stock]]/schedule13[[#This Row],[SCHEDULE IN MT]]*schedule13[[#This Row],[SCHEDULE]]</f>
        <v/>
      </c>
      <c r="AF354" s="599">
        <f>SUMIFS(stock[MT],stock[Bucket],schedule13[[#This Row],[Bucket]],stock[CTL Bucket],schedule13[[#This Row],[CTL Bucket]])</f>
        <v/>
      </c>
      <c r="AG354" s="599">
        <f>SUMIFS(stock[MT],stock[Bucket],schedule13[[#This Row],[Bucket]])+SUMIFS(wip[Stock(Net Wt)],wip[Bucket],schedule13[[#This Row],[Bucket]])/1000</f>
        <v/>
      </c>
      <c r="AH354" s="599">
        <f>AB353-AF354</f>
        <v/>
      </c>
      <c r="AI354" s="118">
        <f>(AC354+AF354)/AB353</f>
        <v/>
      </c>
    </row>
    <row r="355" hidden="1" s="584">
      <c r="A355" s="594" t="n">
        <v>197</v>
      </c>
      <c r="B355" s="5" t="inlineStr">
        <is>
          <t xml:space="preserve">Khopoli </t>
        </is>
      </c>
      <c r="C355" s="601" t="inlineStr">
        <is>
          <t>Rajsriya Unit 1</t>
        </is>
      </c>
      <c r="D355" s="601" t="inlineStr">
        <is>
          <t>Rajsriya</t>
        </is>
      </c>
      <c r="E355" s="601" t="inlineStr">
        <is>
          <t>129695|189481|187884|188415|189239|189240</t>
        </is>
      </c>
      <c r="F355" s="601" t="n">
        <v>1938125</v>
      </c>
      <c r="G355" s="601" t="inlineStr">
        <is>
          <t>TUB-I-C-AUT-AN-FC-39.00X34.00X0.2720</t>
        </is>
      </c>
      <c r="H355" s="601" t="inlineStr">
        <is>
          <t>CEW</t>
        </is>
      </c>
      <c r="I355" s="601" t="n"/>
      <c r="J355" s="601" t="inlineStr">
        <is>
          <t>CEW</t>
        </is>
      </c>
      <c r="K355" s="601" t="inlineStr">
        <is>
          <t>HR</t>
        </is>
      </c>
      <c r="L355" s="601" t="n"/>
      <c r="M355" s="601" t="inlineStr">
        <is>
          <t>Chamferring</t>
        </is>
      </c>
      <c r="N355" s="601" t="n"/>
      <c r="O355" s="601" t="n"/>
      <c r="P355" s="557">
        <f>CONCATENATE(schedule13[[#This Row],[OD]],"-",schedule13[[#This Row],[ID]],"-",schedule13[[#This Row],[TICKNESS]],"-",schedule13[[#This Row],[GRADE]],"-",schedule13[[#This Row],[FC/NFC]])</f>
        <v/>
      </c>
      <c r="Q355" s="557">
        <f>_xlfn.CONCAT(schedule13[[#This Row],[Bucket]],"-",schedule13[[#This Row],[LENGTH]]/1000)</f>
        <v/>
      </c>
      <c r="R355" s="557">
        <f>COUNTIF(buckets[CTL Bucket],schedule13[[#This Row],[CTL Bucket]])</f>
        <v/>
      </c>
      <c r="S355" s="599" t="n">
        <v>39</v>
      </c>
      <c r="T355" s="599" t="n">
        <v>39</v>
      </c>
      <c r="U355" s="599" t="n">
        <v>34</v>
      </c>
      <c r="V355" s="599" t="n">
        <v>2.5</v>
      </c>
      <c r="W355" s="600" t="n">
        <v>272</v>
      </c>
      <c r="X355" s="22" t="inlineStr">
        <is>
          <t>NOS</t>
        </is>
      </c>
      <c r="Y355" s="601" t="n">
        <v>15000</v>
      </c>
      <c r="Z355" s="601" t="n"/>
      <c r="AA355" s="602">
        <f>Y355-Z355</f>
        <v/>
      </c>
      <c r="AB355" s="599">
        <f>(S355-V355)*V355*W355*0.024653*Y355/1000000</f>
        <v/>
      </c>
      <c r="AC355" s="599">
        <f>(S355-V355)*V355*W355*0.024653*Z355/1000000</f>
        <v/>
      </c>
      <c r="AD355" s="599">
        <f>AB355-AC355</f>
        <v/>
      </c>
      <c r="AE355" s="598">
        <f>schedule13[[#This Row],[CTL Stock]]/schedule13[[#This Row],[SCHEDULE IN MT]]*schedule13[[#This Row],[SCHEDULE]]</f>
        <v/>
      </c>
      <c r="AF355" s="599">
        <f>SUMIFS(stock[MT],stock[Bucket],schedule13[[#This Row],[Bucket]],stock[CTL Bucket],schedule13[[#This Row],[CTL Bucket]])</f>
        <v/>
      </c>
      <c r="AG355" s="599">
        <f>SUMIFS(stock[MT],stock[Bucket],schedule13[[#This Row],[Bucket]])+SUMIFS(wip[Stock(Net Wt)],wip[Bucket],schedule13[[#This Row],[Bucket]])/1000</f>
        <v/>
      </c>
      <c r="AH355" s="599">
        <f>AB354-AF355</f>
        <v/>
      </c>
      <c r="AI355" s="118">
        <f>(AC355+AF355)/AB354</f>
        <v/>
      </c>
    </row>
    <row r="356" hidden="1" s="584">
      <c r="A356" s="594" t="n">
        <v>137</v>
      </c>
      <c r="B356" s="5" t="inlineStr">
        <is>
          <t>Hosur</t>
        </is>
      </c>
      <c r="C356" s="601" t="inlineStr">
        <is>
          <t>Rajsriya Unit 2</t>
        </is>
      </c>
      <c r="D356" s="601" t="inlineStr">
        <is>
          <t>Rajsriya</t>
        </is>
      </c>
      <c r="E356" s="601" t="inlineStr">
        <is>
          <t>129695|189481|187884|188415|189239|189240</t>
        </is>
      </c>
      <c r="F356" s="601" t="n">
        <v>1940003</v>
      </c>
      <c r="G356" s="601" t="inlineStr">
        <is>
          <t>TUB-O-O-AUT-AW-PE-12.70X1.600X0.3930</t>
        </is>
      </c>
      <c r="H356" s="601" t="inlineStr">
        <is>
          <t>ERW 1</t>
        </is>
      </c>
      <c r="I356" s="601" t="n"/>
      <c r="J356" s="601" t="inlineStr">
        <is>
          <t>PE</t>
        </is>
      </c>
      <c r="K356" s="601" t="inlineStr">
        <is>
          <t>CR</t>
        </is>
      </c>
      <c r="L356" s="601" t="inlineStr">
        <is>
          <t>WG</t>
        </is>
      </c>
      <c r="M356" s="601" t="n"/>
      <c r="N356" s="601" t="n"/>
      <c r="O356" s="601" t="n"/>
      <c r="P356" s="557">
        <f>CONCATENATE(schedule13[[#This Row],[OD]],"-",schedule13[[#This Row],[ID]],"-",schedule13[[#This Row],[TICKNESS]],"-",schedule13[[#This Row],[GRADE]],"-",schedule13[[#This Row],[FC/NFC]])</f>
        <v/>
      </c>
      <c r="Q356" s="557">
        <f>_xlfn.CONCAT(schedule13[[#This Row],[Bucket]],"-",schedule13[[#This Row],[LENGTH]]/1000)</f>
        <v/>
      </c>
      <c r="R356" s="557">
        <f>COUNTIF(buckets[CTL Bucket],schedule13[[#This Row],[CTL Bucket]])</f>
        <v/>
      </c>
      <c r="S356" s="599" t="n">
        <v>12.7</v>
      </c>
      <c r="T356" s="599" t="n">
        <v>12.7</v>
      </c>
      <c r="U356" s="599" t="n">
        <v>0</v>
      </c>
      <c r="V356" s="599" t="n">
        <v>1.6</v>
      </c>
      <c r="W356" s="23" t="n">
        <v>393</v>
      </c>
      <c r="X356" s="22" t="inlineStr">
        <is>
          <t>NOS</t>
        </is>
      </c>
      <c r="Y356" s="601" t="n">
        <v>5000</v>
      </c>
      <c r="Z356" s="601" t="n"/>
      <c r="AA356" s="602">
        <f>Y356-Z356</f>
        <v/>
      </c>
      <c r="AB356" s="599">
        <f>(S356-V356)*V356*W356*0.024653*Y356/1000000</f>
        <v/>
      </c>
      <c r="AC356" s="599">
        <f>(S356-V356)*V356*W356*0.024653*Z356/1000000</f>
        <v/>
      </c>
      <c r="AD356" s="599">
        <f>AB356-AC356</f>
        <v/>
      </c>
      <c r="AE356" s="598">
        <f>schedule13[[#This Row],[CTL Stock]]/schedule13[[#This Row],[SCHEDULE IN MT]]*schedule13[[#This Row],[SCHEDULE]]</f>
        <v/>
      </c>
      <c r="AF356" s="599">
        <f>SUMIFS(stock[MT],stock[Bucket],schedule13[[#This Row],[Bucket]],stock[CTL Bucket],schedule13[[#This Row],[CTL Bucket]])</f>
        <v/>
      </c>
      <c r="AG356" s="599">
        <f>SUMIFS(stock[MT],stock[Bucket],schedule13[[#This Row],[Bucket]])+SUMIFS(wip[Stock(Net Wt)],wip[Bucket],schedule13[[#This Row],[Bucket]])/1000</f>
        <v/>
      </c>
      <c r="AH356" s="599">
        <f>AB355-AF356</f>
        <v/>
      </c>
      <c r="AI356" s="118">
        <f>(AC356+AF356)/AB355</f>
        <v/>
      </c>
    </row>
    <row r="357" hidden="1" s="584">
      <c r="A357" s="594" t="n">
        <v>140</v>
      </c>
      <c r="B357" s="5" t="inlineStr">
        <is>
          <t>Hosur</t>
        </is>
      </c>
      <c r="C357" s="601" t="inlineStr">
        <is>
          <t>Rajsriya Unit 2</t>
        </is>
      </c>
      <c r="D357" s="601" t="inlineStr">
        <is>
          <t>Rajsriya</t>
        </is>
      </c>
      <c r="E357" s="601" t="inlineStr">
        <is>
          <t>129695|189481|187884|188415|189239|189240</t>
        </is>
      </c>
      <c r="F357" s="9" t="n">
        <v>2387804</v>
      </c>
      <c r="G357" s="9" t="inlineStr">
        <is>
          <t>TUB-O-N-AUT-AW-PE-15.88X1.600X0.4420</t>
        </is>
      </c>
      <c r="H357" s="601" t="inlineStr">
        <is>
          <t>ERW 1</t>
        </is>
      </c>
      <c r="I357" s="601" t="n"/>
      <c r="J357" s="601" t="inlineStr">
        <is>
          <t>PE</t>
        </is>
      </c>
      <c r="K357" s="601" t="inlineStr">
        <is>
          <t>CR</t>
        </is>
      </c>
      <c r="L357" s="596" t="inlineStr">
        <is>
          <t>HROP</t>
        </is>
      </c>
      <c r="M357" s="601" t="n"/>
      <c r="N357" s="601" t="n"/>
      <c r="O357" s="601" t="n"/>
      <c r="P357" s="557">
        <f>CONCATENATE(schedule13[[#This Row],[OD]],"-",schedule13[[#This Row],[ID]],"-",schedule13[[#This Row],[TICKNESS]],"-",schedule13[[#This Row],[GRADE]],"-",schedule13[[#This Row],[FC/NFC]])</f>
        <v/>
      </c>
      <c r="Q357" s="557">
        <f>_xlfn.CONCAT(schedule13[[#This Row],[Bucket]],"-",schedule13[[#This Row],[LENGTH]]/1000)</f>
        <v/>
      </c>
      <c r="R357" s="557">
        <f>COUNTIF(buckets[CTL Bucket],schedule13[[#This Row],[CTL Bucket]])</f>
        <v/>
      </c>
      <c r="S357" s="599" t="n">
        <v>15.88</v>
      </c>
      <c r="T357" s="599" t="n">
        <v>15.88</v>
      </c>
      <c r="U357" s="599" t="n">
        <v>0</v>
      </c>
      <c r="V357" s="599" t="n">
        <v>1.6</v>
      </c>
      <c r="W357" s="27" t="n">
        <v>442</v>
      </c>
      <c r="X357" s="22" t="inlineStr">
        <is>
          <t>NOS</t>
        </is>
      </c>
      <c r="Y357" s="601" t="n">
        <v>5000</v>
      </c>
      <c r="Z357" s="601" t="n"/>
      <c r="AA357" s="602">
        <f>Y357-Z357</f>
        <v/>
      </c>
      <c r="AB357" s="599">
        <f>(S357-V357)*V357*W357*0.024653*Y357/1000000</f>
        <v/>
      </c>
      <c r="AC357" s="599">
        <f>(S357-V357)*V357*W357*0.024653*Z357/1000000</f>
        <v/>
      </c>
      <c r="AD357" s="599">
        <f>AB357-AC357</f>
        <v/>
      </c>
      <c r="AE357" s="598">
        <f>schedule13[[#This Row],[CTL Stock]]/schedule13[[#This Row],[SCHEDULE IN MT]]*schedule13[[#This Row],[SCHEDULE]]</f>
        <v/>
      </c>
      <c r="AF357" s="599">
        <f>SUMIFS(stock[MT],stock[Bucket],schedule13[[#This Row],[Bucket]],stock[CTL Bucket],schedule13[[#This Row],[CTL Bucket]])</f>
        <v/>
      </c>
      <c r="AG357" s="599">
        <f>SUMIFS(stock[MT],stock[Bucket],schedule13[[#This Row],[Bucket]])+SUMIFS(wip[Stock(Net Wt)],wip[Bucket],schedule13[[#This Row],[Bucket]])/1000</f>
        <v/>
      </c>
      <c r="AH357" s="599">
        <f>AB356-AF357</f>
        <v/>
      </c>
      <c r="AI357" s="118">
        <f>(AC357+AF357)/AB356</f>
        <v/>
      </c>
    </row>
    <row r="358" hidden="1" s="584">
      <c r="A358" s="594" t="n">
        <v>157</v>
      </c>
      <c r="B358" s="5" t="inlineStr">
        <is>
          <t>Hosur</t>
        </is>
      </c>
      <c r="C358" s="601" t="inlineStr">
        <is>
          <t>Rajsriya Unit 2</t>
        </is>
      </c>
      <c r="D358" s="601" t="inlineStr">
        <is>
          <t>Rajsriya</t>
        </is>
      </c>
      <c r="E358" s="601" t="inlineStr">
        <is>
          <t>129695|189481|187884|188415|189239|189240</t>
        </is>
      </c>
      <c r="F358" s="601" t="n">
        <v>1940302</v>
      </c>
      <c r="G358" s="601" t="inlineStr">
        <is>
          <t>TUB-O-O-AUT-AW-PE-19.05X2.300X0.1950</t>
        </is>
      </c>
      <c r="H358" s="601" t="inlineStr">
        <is>
          <t>ERW 1</t>
        </is>
      </c>
      <c r="I358" s="601" t="n"/>
      <c r="J358" s="601" t="inlineStr">
        <is>
          <t>PE</t>
        </is>
      </c>
      <c r="K358" s="601" t="inlineStr">
        <is>
          <t>HR</t>
        </is>
      </c>
      <c r="L358" s="601" t="n"/>
      <c r="M358" s="601" t="n"/>
      <c r="N358" s="601" t="n"/>
      <c r="O358" s="601" t="n"/>
      <c r="P358" s="557">
        <f>CONCATENATE(schedule13[[#This Row],[OD]],"-",schedule13[[#This Row],[ID]],"-",schedule13[[#This Row],[TICKNESS]],"-",schedule13[[#This Row],[GRADE]],"-",schedule13[[#This Row],[FC/NFC]])</f>
        <v/>
      </c>
      <c r="Q358" s="557">
        <f>_xlfn.CONCAT(schedule13[[#This Row],[Bucket]],"-",schedule13[[#This Row],[LENGTH]]/1000)</f>
        <v/>
      </c>
      <c r="R358" s="557">
        <f>COUNTIF(buckets[CTL Bucket],schedule13[[#This Row],[CTL Bucket]])</f>
        <v/>
      </c>
      <c r="S358" s="599" t="n">
        <v>19.05</v>
      </c>
      <c r="T358" s="599" t="n">
        <v>19.05</v>
      </c>
      <c r="U358" s="599" t="n">
        <v>0</v>
      </c>
      <c r="V358" s="599" t="n">
        <v>2.3</v>
      </c>
      <c r="W358" s="23" t="n">
        <v>195</v>
      </c>
      <c r="X358" s="22" t="inlineStr">
        <is>
          <t>NOS</t>
        </is>
      </c>
      <c r="Y358" s="601" t="n">
        <v>30000</v>
      </c>
      <c r="Z358" s="601" t="n"/>
      <c r="AA358" s="602">
        <f>Y358-Z358</f>
        <v/>
      </c>
      <c r="AB358" s="599">
        <f>(S358-V358)*V358*W358*0.024653*Y358/1000000</f>
        <v/>
      </c>
      <c r="AC358" s="599">
        <f>(S358-V358)*V358*W358*0.024653*Z358/1000000</f>
        <v/>
      </c>
      <c r="AD358" s="599">
        <f>AB358-AC358</f>
        <v/>
      </c>
      <c r="AE358" s="598">
        <f>schedule13[[#This Row],[CTL Stock]]/schedule13[[#This Row],[SCHEDULE IN MT]]*schedule13[[#This Row],[SCHEDULE]]</f>
        <v/>
      </c>
      <c r="AF358" s="599">
        <f>SUMIFS(stock[MT],stock[Bucket],schedule13[[#This Row],[Bucket]],stock[CTL Bucket],schedule13[[#This Row],[CTL Bucket]])</f>
        <v/>
      </c>
      <c r="AG358" s="599">
        <f>SUMIFS(stock[MT],stock[Bucket],schedule13[[#This Row],[Bucket]])+SUMIFS(wip[Stock(Net Wt)],wip[Bucket],schedule13[[#This Row],[Bucket]])/1000</f>
        <v/>
      </c>
      <c r="AH358" s="599">
        <f>AB357-AF358</f>
        <v/>
      </c>
      <c r="AI358" s="118">
        <f>(AC358+AF358)/AB357</f>
        <v/>
      </c>
    </row>
    <row r="359" hidden="1" s="584">
      <c r="A359" s="594" t="n">
        <v>164</v>
      </c>
      <c r="B359" s="5" t="inlineStr">
        <is>
          <t>Hosur</t>
        </is>
      </c>
      <c r="C359" s="601" t="inlineStr">
        <is>
          <t>Rajsriya Unit 2</t>
        </is>
      </c>
      <c r="D359" s="601" t="inlineStr">
        <is>
          <t>Rajsriya</t>
        </is>
      </c>
      <c r="E359" s="601" t="inlineStr">
        <is>
          <t>129695|189481|187884|188415|189239|189240</t>
        </is>
      </c>
      <c r="F359" s="601" t="n">
        <v>1940325</v>
      </c>
      <c r="G359" s="601" t="inlineStr">
        <is>
          <t>TUB-O-O-AUT-AW-PE-19.05X2.300X0.5700</t>
        </is>
      </c>
      <c r="H359" s="601" t="inlineStr">
        <is>
          <t>ERW 1</t>
        </is>
      </c>
      <c r="I359" s="601" t="n"/>
      <c r="J359" s="601" t="inlineStr">
        <is>
          <t>PE</t>
        </is>
      </c>
      <c r="K359" s="601" t="inlineStr">
        <is>
          <t>HR</t>
        </is>
      </c>
      <c r="L359" s="601" t="n"/>
      <c r="M359" s="601" t="n"/>
      <c r="N359" s="601" t="n"/>
      <c r="O359" s="601" t="n"/>
      <c r="P359" s="557">
        <f>CONCATENATE(schedule13[[#This Row],[OD]],"-",schedule13[[#This Row],[ID]],"-",schedule13[[#This Row],[TICKNESS]],"-",schedule13[[#This Row],[GRADE]],"-",schedule13[[#This Row],[FC/NFC]])</f>
        <v/>
      </c>
      <c r="Q359" s="557">
        <f>_xlfn.CONCAT(schedule13[[#This Row],[Bucket]],"-",schedule13[[#This Row],[LENGTH]]/1000)</f>
        <v/>
      </c>
      <c r="R359" s="557">
        <f>COUNTIF(buckets[CTL Bucket],schedule13[[#This Row],[CTL Bucket]])</f>
        <v/>
      </c>
      <c r="S359" s="599" t="n">
        <v>19.05</v>
      </c>
      <c r="T359" s="599" t="n">
        <v>19.05</v>
      </c>
      <c r="U359" s="599" t="n">
        <v>0</v>
      </c>
      <c r="V359" s="599" t="n">
        <v>2.3</v>
      </c>
      <c r="W359" s="23" t="n">
        <v>570</v>
      </c>
      <c r="X359" s="22" t="inlineStr">
        <is>
          <t>NOS</t>
        </is>
      </c>
      <c r="Y359" s="601" t="n">
        <v>5000</v>
      </c>
      <c r="Z359" s="601" t="n"/>
      <c r="AA359" s="602">
        <f>Y359-Z359</f>
        <v/>
      </c>
      <c r="AB359" s="599">
        <f>(S359-V359)*V359*W359*0.024653*Y359/1000000</f>
        <v/>
      </c>
      <c r="AC359" s="599">
        <f>(S359-V359)*V359*W359*0.024653*Z359/1000000</f>
        <v/>
      </c>
      <c r="AD359" s="599">
        <f>AB359-AC359</f>
        <v/>
      </c>
      <c r="AE359" s="598">
        <f>schedule13[[#This Row],[CTL Stock]]/schedule13[[#This Row],[SCHEDULE IN MT]]*schedule13[[#This Row],[SCHEDULE]]</f>
        <v/>
      </c>
      <c r="AF359" s="599">
        <f>SUMIFS(stock[MT],stock[Bucket],schedule13[[#This Row],[Bucket]],stock[CTL Bucket],schedule13[[#This Row],[CTL Bucket]])</f>
        <v/>
      </c>
      <c r="AG359" s="599">
        <f>SUMIFS(stock[MT],stock[Bucket],schedule13[[#This Row],[Bucket]])+SUMIFS(wip[Stock(Net Wt)],wip[Bucket],schedule13[[#This Row],[Bucket]])/1000</f>
        <v/>
      </c>
      <c r="AH359" s="599">
        <f>AB358-AF359</f>
        <v/>
      </c>
      <c r="AI359" s="118">
        <f>(AC359+AF359)/AB358</f>
        <v/>
      </c>
    </row>
    <row r="360" hidden="1" s="584">
      <c r="A360" s="594" t="n">
        <v>165</v>
      </c>
      <c r="B360" s="5" t="inlineStr">
        <is>
          <t>Hosur</t>
        </is>
      </c>
      <c r="C360" s="601" t="inlineStr">
        <is>
          <t>Rajsriya Unit 2</t>
        </is>
      </c>
      <c r="D360" s="601" t="inlineStr">
        <is>
          <t>Rajsriya</t>
        </is>
      </c>
      <c r="E360" s="601" t="inlineStr">
        <is>
          <t>129695|189481|187884|188415|189239|189240</t>
        </is>
      </c>
      <c r="F360" s="601" t="n">
        <v>1940327</v>
      </c>
      <c r="G360" s="601" t="inlineStr">
        <is>
          <t>TUB-O-O-AUT-AW-PE-19.05X2.300X0.5850</t>
        </is>
      </c>
      <c r="H360" s="601" t="inlineStr">
        <is>
          <t>ERW 1</t>
        </is>
      </c>
      <c r="I360" s="601" t="n"/>
      <c r="J360" s="601" t="inlineStr">
        <is>
          <t>PE</t>
        </is>
      </c>
      <c r="K360" s="601" t="inlineStr">
        <is>
          <t>HR</t>
        </is>
      </c>
      <c r="L360" s="601" t="n"/>
      <c r="M360" s="601" t="n"/>
      <c r="N360" s="601" t="n"/>
      <c r="O360" s="601" t="n"/>
      <c r="P360" s="557">
        <f>CONCATENATE(schedule13[[#This Row],[OD]],"-",schedule13[[#This Row],[ID]],"-",schedule13[[#This Row],[TICKNESS]],"-",schedule13[[#This Row],[GRADE]],"-",schedule13[[#This Row],[FC/NFC]])</f>
        <v/>
      </c>
      <c r="Q360" s="557">
        <f>_xlfn.CONCAT(schedule13[[#This Row],[Bucket]],"-",schedule13[[#This Row],[LENGTH]]/1000)</f>
        <v/>
      </c>
      <c r="R360" s="557">
        <f>COUNTIF(buckets[CTL Bucket],schedule13[[#This Row],[CTL Bucket]])</f>
        <v/>
      </c>
      <c r="S360" s="599" t="n">
        <v>19.05</v>
      </c>
      <c r="T360" s="599" t="n">
        <v>19.05</v>
      </c>
      <c r="U360" s="599" t="n">
        <v>0</v>
      </c>
      <c r="V360" s="599" t="n">
        <v>2.3</v>
      </c>
      <c r="W360" s="23" t="n">
        <v>585</v>
      </c>
      <c r="X360" s="22" t="inlineStr">
        <is>
          <t>NOS</t>
        </is>
      </c>
      <c r="Y360" s="601" t="n">
        <v>5000</v>
      </c>
      <c r="Z360" s="601" t="n"/>
      <c r="AA360" s="602">
        <f>Y360-Z360</f>
        <v/>
      </c>
      <c r="AB360" s="599">
        <f>(S360-V360)*V360*W360*0.024653*Y360/1000000</f>
        <v/>
      </c>
      <c r="AC360" s="599">
        <f>(S360-V360)*V360*W360*0.024653*Z360/1000000</f>
        <v/>
      </c>
      <c r="AD360" s="599">
        <f>AB360-AC360</f>
        <v/>
      </c>
      <c r="AE360" s="598">
        <f>schedule13[[#This Row],[CTL Stock]]/schedule13[[#This Row],[SCHEDULE IN MT]]*schedule13[[#This Row],[SCHEDULE]]</f>
        <v/>
      </c>
      <c r="AF360" s="599">
        <f>SUMIFS(stock[MT],stock[Bucket],schedule13[[#This Row],[Bucket]],stock[CTL Bucket],schedule13[[#This Row],[CTL Bucket]])</f>
        <v/>
      </c>
      <c r="AG360" s="599">
        <f>SUMIFS(stock[MT],stock[Bucket],schedule13[[#This Row],[Bucket]])+SUMIFS(wip[Stock(Net Wt)],wip[Bucket],schedule13[[#This Row],[Bucket]])/1000</f>
        <v/>
      </c>
      <c r="AH360" s="599">
        <f>AB359-AF360</f>
        <v/>
      </c>
      <c r="AI360" s="118">
        <f>(AC360+AF360)/AB359</f>
        <v/>
      </c>
    </row>
    <row r="361" hidden="1" s="584">
      <c r="A361" s="594" t="n">
        <v>171</v>
      </c>
      <c r="B361" s="5" t="inlineStr">
        <is>
          <t>Hosur</t>
        </is>
      </c>
      <c r="C361" s="601" t="inlineStr">
        <is>
          <t>Rajsriya Unit 2</t>
        </is>
      </c>
      <c r="D361" s="601" t="inlineStr">
        <is>
          <t>Rajsriya</t>
        </is>
      </c>
      <c r="E361" s="601" t="inlineStr">
        <is>
          <t>129695|189481|187884|188415|189239|189240</t>
        </is>
      </c>
      <c r="F361" s="601" t="n">
        <v>1940399</v>
      </c>
      <c r="G361" s="601" t="inlineStr">
        <is>
          <t>TUB-O-O-AUT-AW-PE-22.23X1.600X0.4010</t>
        </is>
      </c>
      <c r="H361" s="601" t="inlineStr">
        <is>
          <t>ERW 1</t>
        </is>
      </c>
      <c r="I361" s="601" t="n"/>
      <c r="J361" s="601" t="inlineStr">
        <is>
          <t>PE</t>
        </is>
      </c>
      <c r="K361" s="601" t="inlineStr">
        <is>
          <t>CR</t>
        </is>
      </c>
      <c r="L361" s="601" t="inlineStr">
        <is>
          <t>WG</t>
        </is>
      </c>
      <c r="M361" s="601" t="n"/>
      <c r="N361" s="601" t="n"/>
      <c r="O361" s="601" t="n"/>
      <c r="P361" s="557">
        <f>CONCATENATE(schedule13[[#This Row],[OD]],"-",schedule13[[#This Row],[ID]],"-",schedule13[[#This Row],[TICKNESS]],"-",schedule13[[#This Row],[GRADE]],"-",schedule13[[#This Row],[FC/NFC]])</f>
        <v/>
      </c>
      <c r="Q361" s="557">
        <f>_xlfn.CONCAT(schedule13[[#This Row],[Bucket]],"-",schedule13[[#This Row],[LENGTH]]/1000)</f>
        <v/>
      </c>
      <c r="R361" s="557">
        <f>COUNTIF(buckets[CTL Bucket],schedule13[[#This Row],[CTL Bucket]])</f>
        <v/>
      </c>
      <c r="S361" s="599" t="n">
        <v>22.23</v>
      </c>
      <c r="T361" s="599" t="n">
        <v>22.23</v>
      </c>
      <c r="U361" s="599" t="n">
        <v>0</v>
      </c>
      <c r="V361" s="599" t="n">
        <v>1.6</v>
      </c>
      <c r="W361" s="600" t="n">
        <v>401</v>
      </c>
      <c r="X361" s="22" t="inlineStr">
        <is>
          <t>NOS</t>
        </is>
      </c>
      <c r="Y361" s="601" t="n">
        <v>5000</v>
      </c>
      <c r="Z361" s="601" t="n"/>
      <c r="AA361" s="602">
        <f>Y361-Z361</f>
        <v/>
      </c>
      <c r="AB361" s="599">
        <f>(S361-V361)*V361*W361*0.024653*Y361/1000000</f>
        <v/>
      </c>
      <c r="AC361" s="599">
        <f>(S361-V361)*V361*W361*0.024653*Z361/1000000</f>
        <v/>
      </c>
      <c r="AD361" s="599">
        <f>AB361-AC361</f>
        <v/>
      </c>
      <c r="AE361" s="598">
        <f>schedule13[[#This Row],[CTL Stock]]/schedule13[[#This Row],[SCHEDULE IN MT]]*schedule13[[#This Row],[SCHEDULE]]</f>
        <v/>
      </c>
      <c r="AF361" s="599">
        <f>SUMIFS(stock[MT],stock[Bucket],schedule13[[#This Row],[Bucket]],stock[CTL Bucket],schedule13[[#This Row],[CTL Bucket]])</f>
        <v/>
      </c>
      <c r="AG361" s="599">
        <f>SUMIFS(stock[MT],stock[Bucket],schedule13[[#This Row],[Bucket]])+SUMIFS(wip[Stock(Net Wt)],wip[Bucket],schedule13[[#This Row],[Bucket]])/1000</f>
        <v/>
      </c>
      <c r="AH361" s="599">
        <f>AB360-AF361</f>
        <v/>
      </c>
      <c r="AI361" s="118">
        <f>(AC361+AF361)/AB360</f>
        <v/>
      </c>
    </row>
    <row r="362" hidden="1" s="584">
      <c r="A362" s="594" t="n">
        <v>172</v>
      </c>
      <c r="B362" s="5" t="inlineStr">
        <is>
          <t>Hosur</t>
        </is>
      </c>
      <c r="C362" s="601" t="inlineStr">
        <is>
          <t>Rajsriya Unit 2</t>
        </is>
      </c>
      <c r="D362" s="601" t="inlineStr">
        <is>
          <t>Rajsriya</t>
        </is>
      </c>
      <c r="E362" s="601" t="inlineStr">
        <is>
          <t>129695|189481|187884|188415|189239|189240</t>
        </is>
      </c>
      <c r="F362" s="601" t="n">
        <v>3556680</v>
      </c>
      <c r="G362" s="601" t="inlineStr">
        <is>
          <t>TUB-O-N-AUT-AW-PE-22.20X1.600X0.6400</t>
        </is>
      </c>
      <c r="H362" s="601" t="inlineStr">
        <is>
          <t>ERW 1</t>
        </is>
      </c>
      <c r="I362" s="601" t="n"/>
      <c r="J362" s="601" t="inlineStr">
        <is>
          <t>PE</t>
        </is>
      </c>
      <c r="K362" s="601" t="inlineStr">
        <is>
          <t>CR</t>
        </is>
      </c>
      <c r="L362" s="596" t="inlineStr">
        <is>
          <t>GR1</t>
        </is>
      </c>
      <c r="M362" s="601" t="n"/>
      <c r="N362" s="601" t="n"/>
      <c r="O362" s="601" t="n"/>
      <c r="P362" s="557">
        <f>CONCATENATE(schedule13[[#This Row],[OD]],"-",schedule13[[#This Row],[ID]],"-",schedule13[[#This Row],[TICKNESS]],"-",schedule13[[#This Row],[GRADE]],"-",schedule13[[#This Row],[FC/NFC]])</f>
        <v/>
      </c>
      <c r="Q362" s="557">
        <f>_xlfn.CONCAT(schedule13[[#This Row],[Bucket]],"-",schedule13[[#This Row],[LENGTH]]/1000)</f>
        <v/>
      </c>
      <c r="R362" s="557">
        <f>COUNTIF(buckets[CTL Bucket],schedule13[[#This Row],[CTL Bucket]])</f>
        <v/>
      </c>
      <c r="S362" s="599" t="n">
        <v>22.23</v>
      </c>
      <c r="T362" s="599" t="n">
        <v>22.23</v>
      </c>
      <c r="U362" s="599" t="n">
        <v>0</v>
      </c>
      <c r="V362" s="599" t="n">
        <v>1.6</v>
      </c>
      <c r="W362" s="23" t="n">
        <v>640</v>
      </c>
      <c r="X362" s="22" t="inlineStr">
        <is>
          <t>NOS</t>
        </is>
      </c>
      <c r="Y362" s="601" t="n">
        <v>10000</v>
      </c>
      <c r="Z362" s="601" t="n"/>
      <c r="AA362" s="602">
        <f>Y362-Z362</f>
        <v/>
      </c>
      <c r="AB362" s="599">
        <f>(S362-V362)*V362*W362*0.024653*Y362/1000000</f>
        <v/>
      </c>
      <c r="AC362" s="599">
        <f>(S362-V362)*V362*W362*0.024653*Z362/1000000</f>
        <v/>
      </c>
      <c r="AD362" s="599">
        <f>AB362-AC362</f>
        <v/>
      </c>
      <c r="AE362" s="598">
        <f>schedule13[[#This Row],[CTL Stock]]/schedule13[[#This Row],[SCHEDULE IN MT]]*schedule13[[#This Row],[SCHEDULE]]</f>
        <v/>
      </c>
      <c r="AF362" s="599">
        <f>SUMIFS(stock[MT],stock[Bucket],schedule13[[#This Row],[Bucket]],stock[CTL Bucket],schedule13[[#This Row],[CTL Bucket]])</f>
        <v/>
      </c>
      <c r="AG362" s="599">
        <f>SUMIFS(stock[MT],stock[Bucket],schedule13[[#This Row],[Bucket]])+SUMIFS(wip[Stock(Net Wt)],wip[Bucket],schedule13[[#This Row],[Bucket]])/1000</f>
        <v/>
      </c>
      <c r="AH362" s="599">
        <f>AB361-AF362</f>
        <v/>
      </c>
      <c r="AI362" s="118">
        <f>(AC362+AF362)/AB361</f>
        <v/>
      </c>
    </row>
    <row r="363" hidden="1" s="584">
      <c r="A363" s="594" t="n">
        <v>176</v>
      </c>
      <c r="B363" s="5" t="inlineStr">
        <is>
          <t>Hosur</t>
        </is>
      </c>
      <c r="C363" s="601" t="inlineStr">
        <is>
          <t>Rajsriya Unit 2</t>
        </is>
      </c>
      <c r="D363" s="601" t="inlineStr">
        <is>
          <t>Rajsriya</t>
        </is>
      </c>
      <c r="E363" s="601" t="inlineStr">
        <is>
          <t>129695|189481|187884|188415|189239|189240</t>
        </is>
      </c>
      <c r="F363" s="601" t="n">
        <v>3509824</v>
      </c>
      <c r="G363" s="601" t="inlineStr">
        <is>
          <t>CUT-O-N-AUT-AW-PE-22.20X1.600X1.2100</t>
        </is>
      </c>
      <c r="H363" s="601" t="inlineStr">
        <is>
          <t>ERW 1</t>
        </is>
      </c>
      <c r="I363" s="601" t="n"/>
      <c r="J363" s="601" t="inlineStr">
        <is>
          <t>PE</t>
        </is>
      </c>
      <c r="K363" s="601" t="inlineStr">
        <is>
          <t>CR</t>
        </is>
      </c>
      <c r="L363" s="596" t="inlineStr"/>
      <c r="M363" s="601" t="n"/>
      <c r="N363" s="601" t="n"/>
      <c r="O363" s="601" t="n"/>
      <c r="P363" s="557">
        <f>CONCATENATE(schedule13[[#This Row],[OD]],"-",schedule13[[#This Row],[ID]],"-",schedule13[[#This Row],[TICKNESS]],"-",schedule13[[#This Row],[GRADE]],"-",schedule13[[#This Row],[FC/NFC]])</f>
        <v/>
      </c>
      <c r="Q363" s="557">
        <f>_xlfn.CONCAT(schedule13[[#This Row],[Bucket]],"-",schedule13[[#This Row],[LENGTH]]/1000)</f>
        <v/>
      </c>
      <c r="R363" s="557">
        <f>COUNTIF(buckets[CTL Bucket],schedule13[[#This Row],[CTL Bucket]])</f>
        <v/>
      </c>
      <c r="S363" s="599" t="n">
        <v>22.23</v>
      </c>
      <c r="T363" s="599" t="n">
        <v>22.23</v>
      </c>
      <c r="U363" s="599" t="n">
        <v>0</v>
      </c>
      <c r="V363" s="599" t="n">
        <v>1.6</v>
      </c>
      <c r="W363" s="23" t="n">
        <v>1210</v>
      </c>
      <c r="X363" s="22" t="inlineStr">
        <is>
          <t>NOS</t>
        </is>
      </c>
      <c r="Y363" s="601" t="n">
        <v>5000</v>
      </c>
      <c r="Z363" s="601" t="n"/>
      <c r="AA363" s="602">
        <f>Y363-Z363</f>
        <v/>
      </c>
      <c r="AB363" s="599">
        <f>(S363-V363)*V363*W363*0.024653*Y363/1000000</f>
        <v/>
      </c>
      <c r="AC363" s="599">
        <f>(S363-V363)*V363*W363*0.024653*Z363/1000000</f>
        <v/>
      </c>
      <c r="AD363" s="599">
        <f>AB363-AC363</f>
        <v/>
      </c>
      <c r="AE363" s="598">
        <f>schedule13[[#This Row],[CTL Stock]]/schedule13[[#This Row],[SCHEDULE IN MT]]*schedule13[[#This Row],[SCHEDULE]]</f>
        <v/>
      </c>
      <c r="AF363" s="599">
        <f>SUMIFS(stock[MT],stock[Bucket],schedule13[[#This Row],[Bucket]],stock[CTL Bucket],schedule13[[#This Row],[CTL Bucket]])</f>
        <v/>
      </c>
      <c r="AG363" s="599">
        <f>SUMIFS(stock[MT],stock[Bucket],schedule13[[#This Row],[Bucket]])+SUMIFS(wip[Stock(Net Wt)],wip[Bucket],schedule13[[#This Row],[Bucket]])/1000</f>
        <v/>
      </c>
      <c r="AH363" s="599">
        <f>AB362-AF363</f>
        <v/>
      </c>
      <c r="AI363" s="118">
        <f>(AC363+AF363)/AB362</f>
        <v/>
      </c>
    </row>
    <row r="364" hidden="1" s="584">
      <c r="A364" s="594" t="n">
        <v>178</v>
      </c>
      <c r="B364" s="5" t="inlineStr">
        <is>
          <t>Hosur</t>
        </is>
      </c>
      <c r="C364" s="601" t="inlineStr">
        <is>
          <t>Rajsriya Unit 2</t>
        </is>
      </c>
      <c r="D364" s="601" t="inlineStr">
        <is>
          <t>Rajsriya</t>
        </is>
      </c>
      <c r="E364" s="601" t="inlineStr">
        <is>
          <t>129695|189481|187884|188415|189239|189240</t>
        </is>
      </c>
      <c r="F364" s="601" t="n">
        <v>2420106</v>
      </c>
      <c r="G364" s="601" t="inlineStr">
        <is>
          <t>TUB-O-N-AUT-AW-PE-22.23X2.000X1.3250</t>
        </is>
      </c>
      <c r="H364" s="601" t="inlineStr">
        <is>
          <t>ERW 1</t>
        </is>
      </c>
      <c r="I364" s="601" t="n"/>
      <c r="J364" s="601" t="inlineStr">
        <is>
          <t>PE</t>
        </is>
      </c>
      <c r="K364" s="601" t="inlineStr">
        <is>
          <t>HR</t>
        </is>
      </c>
      <c r="L364" s="601" t="n"/>
      <c r="M364" s="601" t="n"/>
      <c r="N364" s="601" t="n"/>
      <c r="O364" s="601" t="n"/>
      <c r="P364" s="557">
        <f>CONCATENATE(schedule13[[#This Row],[OD]],"-",schedule13[[#This Row],[ID]],"-",schedule13[[#This Row],[TICKNESS]],"-",schedule13[[#This Row],[GRADE]],"-",schedule13[[#This Row],[FC/NFC]])</f>
        <v/>
      </c>
      <c r="Q364" s="557">
        <f>_xlfn.CONCAT(schedule13[[#This Row],[Bucket]],"-",schedule13[[#This Row],[LENGTH]]/1000)</f>
        <v/>
      </c>
      <c r="R364" s="557">
        <f>COUNTIF(buckets[CTL Bucket],schedule13[[#This Row],[CTL Bucket]])</f>
        <v/>
      </c>
      <c r="S364" s="599" t="n">
        <v>22.23</v>
      </c>
      <c r="T364" s="599" t="n">
        <v>22.23</v>
      </c>
      <c r="U364" s="599" t="n">
        <v>0</v>
      </c>
      <c r="V364" s="599" t="n">
        <v>2</v>
      </c>
      <c r="W364" s="23" t="n">
        <v>1325</v>
      </c>
      <c r="X364" s="22" t="inlineStr">
        <is>
          <t>NOS</t>
        </is>
      </c>
      <c r="Y364" s="601" t="n">
        <v>5000</v>
      </c>
      <c r="Z364" s="601" t="n"/>
      <c r="AA364" s="602">
        <f>Y364-Z364</f>
        <v/>
      </c>
      <c r="AB364" s="599">
        <f>(S364-V364)*V364*W364*0.024653*Y364/1000000</f>
        <v/>
      </c>
      <c r="AC364" s="599">
        <f>(S364-V364)*V364*W364*0.024653*Z364/1000000</f>
        <v/>
      </c>
      <c r="AD364" s="599">
        <f>AB364-AC364</f>
        <v/>
      </c>
      <c r="AE364" s="598">
        <f>schedule13[[#This Row],[CTL Stock]]/schedule13[[#This Row],[SCHEDULE IN MT]]*schedule13[[#This Row],[SCHEDULE]]</f>
        <v/>
      </c>
      <c r="AF364" s="599">
        <f>SUMIFS(stock[MT],stock[Bucket],schedule13[[#This Row],[Bucket]],stock[CTL Bucket],schedule13[[#This Row],[CTL Bucket]])</f>
        <v/>
      </c>
      <c r="AG364" s="599">
        <f>SUMIFS(stock[MT],stock[Bucket],schedule13[[#This Row],[Bucket]])+SUMIFS(wip[Stock(Net Wt)],wip[Bucket],schedule13[[#This Row],[Bucket]])/1000</f>
        <v/>
      </c>
      <c r="AH364" s="599">
        <f>AB363-AF364</f>
        <v/>
      </c>
      <c r="AI364" s="118">
        <f>(AC364+AF364)/AB363</f>
        <v/>
      </c>
    </row>
    <row r="365" hidden="1" s="584">
      <c r="A365" s="594" t="n">
        <v>179</v>
      </c>
      <c r="B365" s="5" t="inlineStr">
        <is>
          <t>Hosur</t>
        </is>
      </c>
      <c r="C365" s="601" t="inlineStr">
        <is>
          <t>Rajsriya Unit 2</t>
        </is>
      </c>
      <c r="D365" s="601" t="inlineStr">
        <is>
          <t>Rajsriya</t>
        </is>
      </c>
      <c r="E365" s="601" t="inlineStr">
        <is>
          <t>129695|189481|187884|188415|189239|189240</t>
        </is>
      </c>
      <c r="F365" s="601" t="n">
        <v>3087645</v>
      </c>
      <c r="G365" s="601" t="inlineStr">
        <is>
          <t>PT2-O-N-AUT-AW-PE-22.20X2.300X0.4250</t>
        </is>
      </c>
      <c r="H365" s="601" t="inlineStr">
        <is>
          <t>ERW 1</t>
        </is>
      </c>
      <c r="I365" s="601" t="n"/>
      <c r="J365" s="601" t="inlineStr">
        <is>
          <t>PE</t>
        </is>
      </c>
      <c r="K365" s="601" t="inlineStr">
        <is>
          <t>HR</t>
        </is>
      </c>
      <c r="L365" s="601" t="n"/>
      <c r="M365" s="601" t="n"/>
      <c r="N365" s="601" t="n"/>
      <c r="O365" s="601" t="n"/>
      <c r="P365" s="557">
        <f>CONCATENATE(schedule13[[#This Row],[OD]],"-",schedule13[[#This Row],[ID]],"-",schedule13[[#This Row],[TICKNESS]],"-",schedule13[[#This Row],[GRADE]],"-",schedule13[[#This Row],[FC/NFC]])</f>
        <v/>
      </c>
      <c r="Q365" s="557">
        <f>_xlfn.CONCAT(schedule13[[#This Row],[Bucket]],"-",schedule13[[#This Row],[LENGTH]]/1000)</f>
        <v/>
      </c>
      <c r="R365" s="557">
        <f>COUNTIF(buckets[CTL Bucket],schedule13[[#This Row],[CTL Bucket]])</f>
        <v/>
      </c>
      <c r="S365" s="599" t="n">
        <v>22.23</v>
      </c>
      <c r="T365" s="599" t="n">
        <v>22.23</v>
      </c>
      <c r="U365" s="599" t="n">
        <v>0</v>
      </c>
      <c r="V365" s="599" t="n">
        <v>2.3</v>
      </c>
      <c r="W365" s="23" t="n">
        <v>425</v>
      </c>
      <c r="X365" s="22" t="inlineStr">
        <is>
          <t>NOS</t>
        </is>
      </c>
      <c r="Y365" s="601" t="n">
        <v>5000</v>
      </c>
      <c r="Z365" s="601" t="n"/>
      <c r="AA365" s="602">
        <f>Y365-Z365</f>
        <v/>
      </c>
      <c r="AB365" s="599">
        <f>(S365-V365)*V365*W365*0.024653*Y365/1000000</f>
        <v/>
      </c>
      <c r="AC365" s="599">
        <f>(S365-V365)*V365*W365*0.024653*Z365/1000000</f>
        <v/>
      </c>
      <c r="AD365" s="599">
        <f>AB365-AC365</f>
        <v/>
      </c>
      <c r="AE365" s="598">
        <f>schedule13[[#This Row],[CTL Stock]]/schedule13[[#This Row],[SCHEDULE IN MT]]*schedule13[[#This Row],[SCHEDULE]]</f>
        <v/>
      </c>
      <c r="AF365" s="599">
        <f>SUMIFS(stock[MT],stock[Bucket],schedule13[[#This Row],[Bucket]],stock[CTL Bucket],schedule13[[#This Row],[CTL Bucket]])</f>
        <v/>
      </c>
      <c r="AG365" s="599">
        <f>SUMIFS(stock[MT],stock[Bucket],schedule13[[#This Row],[Bucket]])+SUMIFS(wip[Stock(Net Wt)],wip[Bucket],schedule13[[#This Row],[Bucket]])/1000</f>
        <v/>
      </c>
      <c r="AH365" s="599">
        <f>AB364-AF365</f>
        <v/>
      </c>
      <c r="AI365" s="118">
        <f>(AC365+AF365)/AB364</f>
        <v/>
      </c>
    </row>
    <row r="366" hidden="1" s="584">
      <c r="A366" s="594" t="n">
        <v>183</v>
      </c>
      <c r="B366" s="5" t="inlineStr">
        <is>
          <t>Hosur</t>
        </is>
      </c>
      <c r="C366" s="601" t="inlineStr">
        <is>
          <t>Rajsriya Unit 2</t>
        </is>
      </c>
      <c r="D366" s="601" t="inlineStr">
        <is>
          <t>Rajsriya</t>
        </is>
      </c>
      <c r="E366" s="601" t="inlineStr">
        <is>
          <t>129695|189481|187884|188415|189239|189240</t>
        </is>
      </c>
      <c r="F366" s="601" t="n">
        <v>1940266</v>
      </c>
      <c r="G366" s="601" t="inlineStr">
        <is>
          <t>TUB-O-O-AUT-AW-PE-19.05X2.000X0.2130</t>
        </is>
      </c>
      <c r="H366" s="601" t="inlineStr">
        <is>
          <t>ERW 1</t>
        </is>
      </c>
      <c r="I366" s="601" t="n"/>
      <c r="J366" s="601" t="n"/>
      <c r="K366" s="601" t="inlineStr">
        <is>
          <t>HR</t>
        </is>
      </c>
      <c r="L366" s="601" t="n"/>
      <c r="M366" s="601" t="n"/>
      <c r="N366" s="601" t="n"/>
      <c r="O366" s="601" t="n"/>
      <c r="P366" s="557">
        <f>CONCATENATE(schedule13[[#This Row],[OD]],"-",schedule13[[#This Row],[ID]],"-",schedule13[[#This Row],[TICKNESS]],"-",schedule13[[#This Row],[GRADE]],"-",schedule13[[#This Row],[FC/NFC]])</f>
        <v/>
      </c>
      <c r="Q366" s="557">
        <f>_xlfn.CONCAT(schedule13[[#This Row],[Bucket]],"-",schedule13[[#This Row],[LENGTH]]/1000)</f>
        <v/>
      </c>
      <c r="R366" s="557">
        <f>COUNTIF(buckets[CTL Bucket],schedule13[[#This Row],[CTL Bucket]])</f>
        <v/>
      </c>
      <c r="S366" s="599" t="n">
        <v>19.05</v>
      </c>
      <c r="T366" s="599" t="n">
        <v>19.05</v>
      </c>
      <c r="U366" s="599" t="n">
        <v>0</v>
      </c>
      <c r="V366" s="599" t="n">
        <v>2</v>
      </c>
      <c r="W366" s="23" t="n">
        <v>213</v>
      </c>
      <c r="X366" s="23" t="n"/>
      <c r="Y366" s="601" t="n">
        <v>5000</v>
      </c>
      <c r="Z366" s="601" t="n"/>
      <c r="AA366" s="602">
        <f>Y366-Z366</f>
        <v/>
      </c>
      <c r="AB366" s="599">
        <f>(S366-V366)*V366*W366*0.024653*Y366/1000000</f>
        <v/>
      </c>
      <c r="AC366" s="599">
        <f>(S366-V366)*V366*W366*0.024653*Z366/1000000</f>
        <v/>
      </c>
      <c r="AD366" s="599">
        <f>AB366-AC366</f>
        <v/>
      </c>
      <c r="AE366" s="599" t="n"/>
      <c r="AF366" s="599" t="n">
        <v>0.619879</v>
      </c>
      <c r="AG366" s="599" t="n"/>
      <c r="AH366" s="599">
        <f>AB365-AF366</f>
        <v/>
      </c>
      <c r="AI366" s="118">
        <f>(AC366+AF366)/AB365</f>
        <v/>
      </c>
    </row>
    <row r="367" hidden="1" s="584">
      <c r="A367" s="594" t="n">
        <v>184</v>
      </c>
      <c r="B367" s="5" t="inlineStr">
        <is>
          <t>Hosur</t>
        </is>
      </c>
      <c r="C367" s="601" t="inlineStr">
        <is>
          <t>Rajsriya Unit 2</t>
        </is>
      </c>
      <c r="D367" s="601" t="inlineStr">
        <is>
          <t>Rajsriya</t>
        </is>
      </c>
      <c r="E367" s="601" t="inlineStr">
        <is>
          <t>129695|189481|187884|188415|189239|189240</t>
        </is>
      </c>
      <c r="F367" s="601" t="n">
        <v>1940272</v>
      </c>
      <c r="G367" s="601" t="inlineStr">
        <is>
          <t>TUB-O-O-AUT-AW-PE-19.05X2.000X0.2590</t>
        </is>
      </c>
      <c r="H367" s="601" t="inlineStr">
        <is>
          <t>ERW 1</t>
        </is>
      </c>
      <c r="I367" s="601" t="n"/>
      <c r="J367" s="601" t="n"/>
      <c r="K367" s="601" t="inlineStr">
        <is>
          <t>HR</t>
        </is>
      </c>
      <c r="L367" s="601" t="n"/>
      <c r="M367" s="601" t="n"/>
      <c r="N367" s="601" t="n"/>
      <c r="O367" s="601" t="n"/>
      <c r="P367" s="557">
        <f>CONCATENATE(schedule13[[#This Row],[OD]],"-",schedule13[[#This Row],[ID]],"-",schedule13[[#This Row],[TICKNESS]],"-",schedule13[[#This Row],[GRADE]],"-",schedule13[[#This Row],[FC/NFC]])</f>
        <v/>
      </c>
      <c r="Q367" s="557">
        <f>_xlfn.CONCAT(schedule13[[#This Row],[Bucket]],"-",schedule13[[#This Row],[LENGTH]]/1000)</f>
        <v/>
      </c>
      <c r="R367" s="557">
        <f>COUNTIF(buckets[CTL Bucket],schedule13[[#This Row],[CTL Bucket]])</f>
        <v/>
      </c>
      <c r="S367" s="599" t="n">
        <v>19.05</v>
      </c>
      <c r="T367" s="599" t="n">
        <v>19.05</v>
      </c>
      <c r="U367" s="599" t="n">
        <v>0</v>
      </c>
      <c r="V367" s="599" t="n">
        <v>2</v>
      </c>
      <c r="W367" s="23" t="n">
        <v>259</v>
      </c>
      <c r="X367" s="23" t="n"/>
      <c r="Y367" s="601" t="n">
        <v>5000</v>
      </c>
      <c r="Z367" s="601" t="n"/>
      <c r="AA367" s="602">
        <f>Y367-Z367</f>
        <v/>
      </c>
      <c r="AB367" s="599">
        <f>(S367-V367)*V367*W367*0.024653*Y367/1000000</f>
        <v/>
      </c>
      <c r="AC367" s="599">
        <f>(S367-V367)*V367*W367*0.024653*Z367/1000000</f>
        <v/>
      </c>
      <c r="AD367" s="599">
        <f>AB367-AC367</f>
        <v/>
      </c>
      <c r="AE367" s="599" t="n"/>
      <c r="AF367" s="599" t="n"/>
      <c r="AG367" s="599" t="n"/>
      <c r="AH367" s="599">
        <f>AB366-AF367</f>
        <v/>
      </c>
      <c r="AI367" s="118">
        <f>(AC367+AF367)/AB366</f>
        <v/>
      </c>
    </row>
    <row r="368" hidden="1" s="584">
      <c r="A368" s="594" t="n">
        <v>185</v>
      </c>
      <c r="B368" s="5" t="inlineStr">
        <is>
          <t>Hosur</t>
        </is>
      </c>
      <c r="C368" s="601" t="inlineStr">
        <is>
          <t>Rajsriya Unit 2</t>
        </is>
      </c>
      <c r="D368" s="601" t="inlineStr">
        <is>
          <t>Rajsriya</t>
        </is>
      </c>
      <c r="E368" s="601" t="inlineStr">
        <is>
          <t>129695|189481|187884|188415|189239|189240</t>
        </is>
      </c>
      <c r="F368" s="601" t="n">
        <v>1940269</v>
      </c>
      <c r="G368" s="601" t="inlineStr">
        <is>
          <t>TUB-O-O-AUT-AW-PE-19.05X2.000X0.240</t>
        </is>
      </c>
      <c r="H368" s="601" t="inlineStr">
        <is>
          <t>ERW 1</t>
        </is>
      </c>
      <c r="I368" s="601" t="n"/>
      <c r="J368" s="601" t="n"/>
      <c r="K368" s="601" t="inlineStr">
        <is>
          <t>HR</t>
        </is>
      </c>
      <c r="L368" s="601" t="n"/>
      <c r="M368" s="601" t="n"/>
      <c r="N368" s="601" t="n"/>
      <c r="O368" s="601" t="n"/>
      <c r="P368" s="557">
        <f>CONCATENATE(schedule13[[#This Row],[OD]],"-",schedule13[[#This Row],[ID]],"-",schedule13[[#This Row],[TICKNESS]],"-",schedule13[[#This Row],[GRADE]],"-",schedule13[[#This Row],[FC/NFC]])</f>
        <v/>
      </c>
      <c r="Q368" s="557">
        <f>_xlfn.CONCAT(schedule13[[#This Row],[Bucket]],"-",schedule13[[#This Row],[LENGTH]]/1000)</f>
        <v/>
      </c>
      <c r="R368" s="557">
        <f>COUNTIF(buckets[CTL Bucket],schedule13[[#This Row],[CTL Bucket]])</f>
        <v/>
      </c>
      <c r="S368" s="599" t="n">
        <v>19.05</v>
      </c>
      <c r="T368" s="599" t="n">
        <v>19.05</v>
      </c>
      <c r="U368" s="599" t="n">
        <v>0</v>
      </c>
      <c r="V368" s="599" t="n">
        <v>2</v>
      </c>
      <c r="W368" s="23" t="n">
        <v>240</v>
      </c>
      <c r="X368" s="23" t="n"/>
      <c r="Y368" s="601" t="n">
        <v>5000</v>
      </c>
      <c r="Z368" s="601" t="n"/>
      <c r="AA368" s="602">
        <f>Y368-Z368</f>
        <v/>
      </c>
      <c r="AB368" s="599">
        <f>(S368-V368)*V368*W368*0.024653*Y368/1000000</f>
        <v/>
      </c>
      <c r="AC368" s="599">
        <f>(S368-V368)*V368*W368*0.024653*Z368/1000000</f>
        <v/>
      </c>
      <c r="AD368" s="599">
        <f>AB368-AC368</f>
        <v/>
      </c>
      <c r="AE368" s="599" t="n"/>
      <c r="AF368" s="599" t="n"/>
      <c r="AG368" s="599" t="n"/>
      <c r="AH368" s="599">
        <f>AB367-AF368</f>
        <v/>
      </c>
      <c r="AI368" s="118">
        <f>(AC368+AF368)/AB367</f>
        <v/>
      </c>
    </row>
    <row r="369" hidden="1" s="584">
      <c r="A369" s="594" t="n">
        <v>193</v>
      </c>
      <c r="B369" s="5" t="inlineStr">
        <is>
          <t>Hosur</t>
        </is>
      </c>
      <c r="C369" s="601" t="inlineStr">
        <is>
          <t>Rajsriya Unit 2</t>
        </is>
      </c>
      <c r="D369" s="601" t="inlineStr">
        <is>
          <t>Rajsriya</t>
        </is>
      </c>
      <c r="E369" s="601" t="inlineStr">
        <is>
          <t>129695|189481|187884|188415|189239|189240</t>
        </is>
      </c>
      <c r="F369" s="601" t="n">
        <v>3171772</v>
      </c>
      <c r="G369" s="601" t="inlineStr">
        <is>
          <t>TUB-O-N-AUT-AW-PE-31.75X1.200X6.0000</t>
        </is>
      </c>
      <c r="H369" s="601" t="inlineStr">
        <is>
          <t>ERW 1</t>
        </is>
      </c>
      <c r="I369" s="601" t="n"/>
      <c r="J369" s="601" t="inlineStr">
        <is>
          <t>PE</t>
        </is>
      </c>
      <c r="K369" s="601" t="inlineStr">
        <is>
          <t>CR</t>
        </is>
      </c>
      <c r="L369" s="601" t="n"/>
      <c r="M369" s="601" t="n"/>
      <c r="N369" s="601" t="n"/>
      <c r="O369" s="601" t="n"/>
      <c r="P369" s="557">
        <f>CONCATENATE(schedule13[[#This Row],[OD]],"-",schedule13[[#This Row],[ID]],"-",schedule13[[#This Row],[TICKNESS]],"-",schedule13[[#This Row],[GRADE]],"-",schedule13[[#This Row],[FC/NFC]])</f>
        <v/>
      </c>
      <c r="Q369" s="557">
        <f>CONCATENATE(schedule13[[#This Row],[OD]],"-",schedule13[[#This Row],[ID]],"-",schedule13[[#This Row],[TICKNESS]],"-",schedule13[[#This Row],[GRADE]],"-",schedule13[[#This Row],[FC/NFC]])</f>
        <v/>
      </c>
      <c r="R369" s="557">
        <f>COUNTIF(buckets[CTL Bucket],schedule13[[#This Row],[CTL Bucket]])</f>
        <v/>
      </c>
      <c r="S369" s="599" t="n">
        <v>31.75</v>
      </c>
      <c r="T369" s="599" t="n">
        <v>31.75</v>
      </c>
      <c r="U369" s="599" t="n">
        <v>0</v>
      </c>
      <c r="V369" s="599" t="n">
        <v>1.2</v>
      </c>
      <c r="W369" s="600" t="n">
        <v>1000</v>
      </c>
      <c r="X369" s="22" t="inlineStr">
        <is>
          <t>M</t>
        </is>
      </c>
      <c r="Y369" s="601" t="n">
        <v>2000</v>
      </c>
      <c r="Z369" s="601" t="n"/>
      <c r="AA369" s="602">
        <f>Y369-Z369</f>
        <v/>
      </c>
      <c r="AB369" s="599">
        <f>(S369-V369)*V369*W369*0.024653*Y369/1000000</f>
        <v/>
      </c>
      <c r="AC369" s="599">
        <f>(S369-V369)*V369*W369*0.024653*Z369/1000000</f>
        <v/>
      </c>
      <c r="AD369" s="599">
        <f>AB369-AC369</f>
        <v/>
      </c>
      <c r="AE369" s="598">
        <f>schedule13[[#This Row],[CTL Stock]]/schedule13[[#This Row],[SCHEDULE IN MT]]*schedule13[[#This Row],[SCHEDULE]]</f>
        <v/>
      </c>
      <c r="AF369" s="599">
        <f>SUMIFS(stock[MT],stock[Bucket],schedule13[[#This Row],[Bucket]],stock[CTL Bucket],schedule13[[#This Row],[CTL Bucket]])</f>
        <v/>
      </c>
      <c r="AG369" s="599">
        <f>SUMIFS(stock[MT],stock[Bucket],schedule13[[#This Row],[Bucket]])+SUMIFS(wip[Stock(Net Wt)],wip[Bucket],schedule13[[#This Row],[Bucket]])/1000</f>
        <v/>
      </c>
      <c r="AH369" s="599">
        <f>AB368-AF369</f>
        <v/>
      </c>
      <c r="AI369" s="118">
        <f>(AC369+AF369)/AB368</f>
        <v/>
      </c>
    </row>
    <row r="370" hidden="1" s="584">
      <c r="A370" s="594" t="n">
        <v>167</v>
      </c>
      <c r="B370" s="5" t="inlineStr">
        <is>
          <t>Hosur</t>
        </is>
      </c>
      <c r="C370" s="601" t="inlineStr">
        <is>
          <t>Rajsriya Unit 4</t>
        </is>
      </c>
      <c r="D370" s="601" t="inlineStr">
        <is>
          <t>Rajsriya</t>
        </is>
      </c>
      <c r="E370" s="601" t="inlineStr">
        <is>
          <t>129695|189481|187884|188415|189239|189240</t>
        </is>
      </c>
      <c r="F370" s="601" t="inlineStr">
        <is>
          <t>NO MATERIAL CODE</t>
        </is>
      </c>
      <c r="G370" s="601" t="n"/>
      <c r="H370" s="601" t="inlineStr">
        <is>
          <t>ERW 1</t>
        </is>
      </c>
      <c r="I370" s="601" t="n"/>
      <c r="J370" s="601" t="inlineStr">
        <is>
          <t>PE</t>
        </is>
      </c>
      <c r="K370" s="601" t="inlineStr">
        <is>
          <t>CR</t>
        </is>
      </c>
      <c r="L370" s="601" t="n"/>
      <c r="M370" s="601" t="n"/>
      <c r="N370" s="601" t="n"/>
      <c r="O370" s="601" t="n"/>
      <c r="P370" s="557">
        <f>CONCATENATE(schedule13[[#This Row],[OD]],"-",schedule13[[#This Row],[ID]],"-",schedule13[[#This Row],[TICKNESS]],"-",schedule13[[#This Row],[GRADE]],"-",schedule13[[#This Row],[FC/NFC]])</f>
        <v/>
      </c>
      <c r="Q370" s="557">
        <f>_xlfn.CONCAT(schedule13[[#This Row],[Bucket]],"-",schedule13[[#This Row],[LENGTH]]/1000)</f>
        <v/>
      </c>
      <c r="R370" s="557">
        <f>COUNTIF(buckets[CTL Bucket],schedule13[[#This Row],[CTL Bucket]])</f>
        <v/>
      </c>
      <c r="S370" s="599" t="n">
        <v>22.23</v>
      </c>
      <c r="T370" s="599" t="n">
        <v>22.23</v>
      </c>
      <c r="U370" s="599" t="n">
        <v>0</v>
      </c>
      <c r="V370" s="599" t="n">
        <v>1.2</v>
      </c>
      <c r="W370" s="600" t="n">
        <v>297</v>
      </c>
      <c r="X370" s="22" t="inlineStr">
        <is>
          <t>NOS</t>
        </is>
      </c>
      <c r="Y370" s="601" t="n">
        <v>2000</v>
      </c>
      <c r="Z370" s="601" t="n"/>
      <c r="AA370" s="602">
        <f>Y370-Z370</f>
        <v/>
      </c>
      <c r="AB370" s="599">
        <f>(S370-V370)*V370*W370*0.024653*Y370/1000000</f>
        <v/>
      </c>
      <c r="AC370" s="599">
        <f>(S370-V370)*V370*W370*0.024653*Z370/1000000</f>
        <v/>
      </c>
      <c r="AD370" s="599">
        <f>AB370-AC370</f>
        <v/>
      </c>
      <c r="AE370" s="598">
        <f>schedule13[[#This Row],[CTL Stock]]/schedule13[[#This Row],[SCHEDULE IN MT]]*schedule13[[#This Row],[SCHEDULE]]</f>
        <v/>
      </c>
      <c r="AF370" s="599">
        <f>SUMIFS(stock[MT],stock[Bucket],schedule13[[#This Row],[Bucket]],stock[CTL Bucket],schedule13[[#This Row],[CTL Bucket]])</f>
        <v/>
      </c>
      <c r="AG370" s="599">
        <f>SUMIFS(stock[MT],stock[Bucket],schedule13[[#This Row],[Bucket]])+SUMIFS(wip[Stock(Net Wt)],wip[Bucket],schedule13[[#This Row],[Bucket]])/1000</f>
        <v/>
      </c>
      <c r="AH370" s="599">
        <f>AB369-AF370</f>
        <v/>
      </c>
      <c r="AI370" s="118">
        <f>(AC370+AF370)/AB369</f>
        <v/>
      </c>
    </row>
    <row r="371" hidden="1" s="584">
      <c r="A371" s="594" t="n">
        <v>169</v>
      </c>
      <c r="B371" s="5" t="inlineStr">
        <is>
          <t>Hosur</t>
        </is>
      </c>
      <c r="C371" s="601" t="inlineStr">
        <is>
          <t>Rajsriya Unit 4</t>
        </is>
      </c>
      <c r="D371" s="601" t="inlineStr">
        <is>
          <t>Rajsriya</t>
        </is>
      </c>
      <c r="E371" s="601" t="inlineStr">
        <is>
          <t>129695|189481|187884|188415|189239|189240</t>
        </is>
      </c>
      <c r="F371" s="601" t="n">
        <v>3507568</v>
      </c>
      <c r="G371" s="601" t="inlineStr">
        <is>
          <t>TUB-O-N-AUT-AW-PE-22.20X1.200X0.6810</t>
        </is>
      </c>
      <c r="H371" s="601" t="inlineStr">
        <is>
          <t>ERW 1</t>
        </is>
      </c>
      <c r="I371" s="601" t="n"/>
      <c r="J371" s="601" t="inlineStr">
        <is>
          <t>PE</t>
        </is>
      </c>
      <c r="K371" s="601" t="inlineStr">
        <is>
          <t>CR</t>
        </is>
      </c>
      <c r="L371" s="601" t="n"/>
      <c r="M371" s="601" t="n"/>
      <c r="N371" s="601" t="n"/>
      <c r="O371" s="601" t="n"/>
      <c r="P371" s="557">
        <f>CONCATENATE(schedule13[[#This Row],[OD]],"-",schedule13[[#This Row],[ID]],"-",schedule13[[#This Row],[TICKNESS]],"-",schedule13[[#This Row],[GRADE]],"-",schedule13[[#This Row],[FC/NFC]])</f>
        <v/>
      </c>
      <c r="Q371" s="557">
        <f>_xlfn.CONCAT(schedule13[[#This Row],[Bucket]],"-",schedule13[[#This Row],[LENGTH]]/1000)</f>
        <v/>
      </c>
      <c r="R371" s="557">
        <f>COUNTIF(buckets[CTL Bucket],schedule13[[#This Row],[CTL Bucket]])</f>
        <v/>
      </c>
      <c r="S371" s="599" t="n">
        <v>22.23</v>
      </c>
      <c r="T371" s="599" t="n">
        <v>22.23</v>
      </c>
      <c r="U371" s="599" t="n">
        <v>0</v>
      </c>
      <c r="V371" s="599" t="n">
        <v>1.2</v>
      </c>
      <c r="W371" s="23" t="n">
        <v>681</v>
      </c>
      <c r="X371" s="22" t="inlineStr">
        <is>
          <t>NOS</t>
        </is>
      </c>
      <c r="Y371" s="601" t="n">
        <v>2000</v>
      </c>
      <c r="Z371" s="601" t="n"/>
      <c r="AA371" s="602">
        <f>Y371-Z371</f>
        <v/>
      </c>
      <c r="AB371" s="599">
        <f>(S371-V371)*V371*W371*0.024653*Y371/1000000</f>
        <v/>
      </c>
      <c r="AC371" s="599">
        <f>(S371-V371)*V371*W371*0.024653*Z371/1000000</f>
        <v/>
      </c>
      <c r="AD371" s="599">
        <f>AB371-AC371</f>
        <v/>
      </c>
      <c r="AE371" s="598">
        <f>schedule13[[#This Row],[CTL Stock]]/schedule13[[#This Row],[SCHEDULE IN MT]]*schedule13[[#This Row],[SCHEDULE]]</f>
        <v/>
      </c>
      <c r="AF371" s="599">
        <f>SUMIFS(stock[MT],stock[Bucket],schedule13[[#This Row],[Bucket]],stock[CTL Bucket],schedule13[[#This Row],[CTL Bucket]])</f>
        <v/>
      </c>
      <c r="AG371" s="599">
        <f>SUMIFS(stock[MT],stock[Bucket],schedule13[[#This Row],[Bucket]])+SUMIFS(wip[Stock(Net Wt)],wip[Bucket],schedule13[[#This Row],[Bucket]])/1000</f>
        <v/>
      </c>
      <c r="AH371" s="599">
        <f>AB370-AF371</f>
        <v/>
      </c>
      <c r="AI371" s="118">
        <f>(AC371+AF371)/AB370</f>
        <v/>
      </c>
    </row>
    <row r="372" hidden="1" s="584">
      <c r="A372" s="594" t="n">
        <v>191</v>
      </c>
      <c r="B372" s="5" t="inlineStr">
        <is>
          <t>Hosur</t>
        </is>
      </c>
      <c r="C372" s="601" t="inlineStr">
        <is>
          <t>Rajsriya Unit 4</t>
        </is>
      </c>
      <c r="D372" s="601" t="inlineStr">
        <is>
          <t>Rajsriya</t>
        </is>
      </c>
      <c r="E372" s="601" t="inlineStr">
        <is>
          <t>129695|189481|187884|188415|189239|189240</t>
        </is>
      </c>
      <c r="F372" s="601" t="n"/>
      <c r="G372" s="601" t="n"/>
      <c r="H372" s="601" t="inlineStr">
        <is>
          <t>ERW 1</t>
        </is>
      </c>
      <c r="I372" s="601" t="n"/>
      <c r="J372" s="601" t="inlineStr">
        <is>
          <t>PE</t>
        </is>
      </c>
      <c r="K372" s="601" t="inlineStr">
        <is>
          <t>CR</t>
        </is>
      </c>
      <c r="L372" s="601" t="n"/>
      <c r="M372" s="601" t="n"/>
      <c r="N372" s="601" t="n"/>
      <c r="O372" s="601" t="n"/>
      <c r="P372" s="557">
        <f>CONCATENATE(schedule13[[#This Row],[OD]],"-",schedule13[[#This Row],[ID]],"-",schedule13[[#This Row],[TICKNESS]],"-",schedule13[[#This Row],[GRADE]],"-",schedule13[[#This Row],[FC/NFC]])</f>
        <v/>
      </c>
      <c r="Q372" s="557">
        <f>_xlfn.CONCAT(schedule13[[#This Row],[Bucket]],"-",schedule13[[#This Row],[LENGTH]]/1000)</f>
        <v/>
      </c>
      <c r="R372" s="557">
        <f>COUNTIF(buckets[CTL Bucket],schedule13[[#This Row],[CTL Bucket]])</f>
        <v/>
      </c>
      <c r="S372" s="599" t="n">
        <v>31.75</v>
      </c>
      <c r="T372" s="599" t="n">
        <v>31.75</v>
      </c>
      <c r="U372" s="599" t="n">
        <v>0</v>
      </c>
      <c r="V372" s="599" t="n">
        <v>1.2</v>
      </c>
      <c r="W372" s="600" t="n">
        <v>598</v>
      </c>
      <c r="X372" s="22" t="inlineStr">
        <is>
          <t>NOS</t>
        </is>
      </c>
      <c r="Y372" s="601" t="n">
        <v>2000</v>
      </c>
      <c r="Z372" s="601" t="n"/>
      <c r="AA372" s="602">
        <f>Y372-Z372</f>
        <v/>
      </c>
      <c r="AB372" s="599">
        <f>(S372-V372)*V372*W372*0.024653*Y372/1000000</f>
        <v/>
      </c>
      <c r="AC372" s="599">
        <f>(S372-V372)*V372*W372*0.024653*Z372/1000000</f>
        <v/>
      </c>
      <c r="AD372" s="599">
        <f>AB372-AC372</f>
        <v/>
      </c>
      <c r="AE372" s="598">
        <f>schedule13[[#This Row],[CTL Stock]]/schedule13[[#This Row],[SCHEDULE IN MT]]*schedule13[[#This Row],[SCHEDULE]]</f>
        <v/>
      </c>
      <c r="AF372" s="599">
        <f>SUMIFS(stock[MT],stock[Bucket],schedule13[[#This Row],[Bucket]],stock[CTL Bucket],schedule13[[#This Row],[CTL Bucket]])</f>
        <v/>
      </c>
      <c r="AG372" s="599">
        <f>SUMIFS(stock[MT],stock[Bucket],schedule13[[#This Row],[Bucket]])+SUMIFS(wip[Stock(Net Wt)],wip[Bucket],schedule13[[#This Row],[Bucket]])/1000</f>
        <v/>
      </c>
      <c r="AH372" s="599">
        <f>AB371-AF372</f>
        <v/>
      </c>
      <c r="AI372" s="118">
        <f>(AC372+AF372)/AB371</f>
        <v/>
      </c>
    </row>
    <row r="373" hidden="1" s="584">
      <c r="A373" s="594" t="n">
        <v>132</v>
      </c>
      <c r="B373" s="5" t="inlineStr">
        <is>
          <t>Hosur</t>
        </is>
      </c>
      <c r="C373" s="601" t="inlineStr">
        <is>
          <t>Rajsriya Unit 5</t>
        </is>
      </c>
      <c r="D373" s="601" t="inlineStr">
        <is>
          <t>Rajsriya</t>
        </is>
      </c>
      <c r="E373" s="601" t="inlineStr">
        <is>
          <t>129695|189481|187884|188415|189239|189240</t>
        </is>
      </c>
      <c r="F373" s="601" t="n">
        <v>3223304</v>
      </c>
      <c r="G373" s="601" t="inlineStr">
        <is>
          <t>TUB-O-N-AUT-AW-PE-12.70X1.600X0.2550</t>
        </is>
      </c>
      <c r="H373" s="601" t="inlineStr">
        <is>
          <t>ERW 1</t>
        </is>
      </c>
      <c r="I373" s="601" t="n"/>
      <c r="J373" s="601" t="inlineStr">
        <is>
          <t>PE</t>
        </is>
      </c>
      <c r="K373" s="601" t="inlineStr">
        <is>
          <t>CR</t>
        </is>
      </c>
      <c r="L373" s="596" t="inlineStr">
        <is>
          <t>HROP</t>
        </is>
      </c>
      <c r="M373" s="601" t="n"/>
      <c r="N373" s="601" t="n"/>
      <c r="O373" s="601" t="n"/>
      <c r="P373" s="557">
        <f>CONCATENATE(schedule13[[#This Row],[OD]],"-",schedule13[[#This Row],[ID]],"-",schedule13[[#This Row],[TICKNESS]],"-",schedule13[[#This Row],[GRADE]],"-",schedule13[[#This Row],[FC/NFC]])</f>
        <v/>
      </c>
      <c r="Q373" s="557">
        <f>_xlfn.CONCAT(schedule13[[#This Row],[Bucket]],"-",schedule13[[#This Row],[LENGTH]]/1000)</f>
        <v/>
      </c>
      <c r="R373" s="557">
        <f>COUNTIF(buckets[CTL Bucket],schedule13[[#This Row],[CTL Bucket]])</f>
        <v/>
      </c>
      <c r="S373" s="599" t="n">
        <v>12.7</v>
      </c>
      <c r="T373" s="599" t="n">
        <v>12.7</v>
      </c>
      <c r="U373" s="599" t="n">
        <v>0</v>
      </c>
      <c r="V373" s="599" t="n">
        <v>1.6</v>
      </c>
      <c r="W373" s="23" t="n">
        <v>255</v>
      </c>
      <c r="X373" s="22" t="inlineStr">
        <is>
          <t>NOS</t>
        </is>
      </c>
      <c r="Y373" s="601" t="n">
        <v>10000</v>
      </c>
      <c r="Z373" s="601" t="n"/>
      <c r="AA373" s="602">
        <f>Y373-Z373</f>
        <v/>
      </c>
      <c r="AB373" s="599">
        <f>(S373-V373)*V373*W373*0.024653*Y373/1000000</f>
        <v/>
      </c>
      <c r="AC373" s="599">
        <f>(S373-V373)*V373*W373*0.024653*Z373/1000000</f>
        <v/>
      </c>
      <c r="AD373" s="599">
        <f>AB373-AC373</f>
        <v/>
      </c>
      <c r="AE373" s="598">
        <f>schedule13[[#This Row],[CTL Stock]]/schedule13[[#This Row],[SCHEDULE IN MT]]*schedule13[[#This Row],[SCHEDULE]]</f>
        <v/>
      </c>
      <c r="AF373" s="599">
        <f>SUMIFS(stock[MT],stock[Bucket],schedule13[[#This Row],[Bucket]],stock[CTL Bucket],schedule13[[#This Row],[CTL Bucket]])</f>
        <v/>
      </c>
      <c r="AG373" s="599">
        <f>SUMIFS(stock[MT],stock[Bucket],schedule13[[#This Row],[Bucket]])+SUMIFS(wip[Stock(Net Wt)],wip[Bucket],schedule13[[#This Row],[Bucket]])/1000</f>
        <v/>
      </c>
      <c r="AH373" s="599">
        <f>AB372-AF373</f>
        <v/>
      </c>
      <c r="AI373" s="118">
        <f>(AC373+AF373)/AB372</f>
        <v/>
      </c>
    </row>
    <row r="374" hidden="1" s="584">
      <c r="A374" s="594" t="n">
        <v>144</v>
      </c>
      <c r="B374" s="5" t="inlineStr">
        <is>
          <t xml:space="preserve">Khopoli </t>
        </is>
      </c>
      <c r="C374" s="601" t="inlineStr">
        <is>
          <t>Rajsriya Unit 5</t>
        </is>
      </c>
      <c r="D374" s="601" t="inlineStr">
        <is>
          <t>Rajsriya</t>
        </is>
      </c>
      <c r="E374" s="601" t="inlineStr">
        <is>
          <t>129695|189481|187884|188415|189239|189240</t>
        </is>
      </c>
      <c r="F374" s="601" t="n"/>
      <c r="G374" s="601" t="n"/>
      <c r="H374" s="601" t="inlineStr">
        <is>
          <t>CEW</t>
        </is>
      </c>
      <c r="I374" s="601" t="n"/>
      <c r="J374" s="601" t="inlineStr">
        <is>
          <t>CEW</t>
        </is>
      </c>
      <c r="K374" s="601" t="inlineStr">
        <is>
          <t>HR</t>
        </is>
      </c>
      <c r="L374" s="601" t="n"/>
      <c r="M374" s="601" t="n"/>
      <c r="N374" s="601" t="n"/>
      <c r="O374" s="601" t="n"/>
      <c r="P374" s="557">
        <f>CONCATENATE(schedule13[[#This Row],[OD]],"-",schedule13[[#This Row],[ID]],"-",schedule13[[#This Row],[TICKNESS]],"-",schedule13[[#This Row],[GRADE]],"-",schedule13[[#This Row],[FC/NFC]])</f>
        <v/>
      </c>
      <c r="Q374" s="557">
        <f>_xlfn.CONCAT(schedule13[[#This Row],[Bucket]],"-",schedule13[[#This Row],[LENGTH]]/1000)</f>
        <v/>
      </c>
      <c r="R374" s="557">
        <f>COUNTIF(buckets[CTL Bucket],schedule13[[#This Row],[CTL Bucket]])</f>
        <v/>
      </c>
      <c r="S374" s="599" t="n">
        <v>21.7</v>
      </c>
      <c r="T374" s="6" t="n">
        <v>21.7</v>
      </c>
      <c r="U374" s="6" t="n">
        <v>16.2</v>
      </c>
      <c r="V374" s="6" t="n">
        <v>2.75</v>
      </c>
      <c r="W374" s="600" t="n">
        <v>4500</v>
      </c>
      <c r="X374" s="600" t="n"/>
      <c r="Y374" s="601" t="n">
        <v>0</v>
      </c>
      <c r="Z374" s="601" t="n"/>
      <c r="AA374" s="602">
        <f>Y374-Z374</f>
        <v/>
      </c>
      <c r="AB374" s="599">
        <f>(S374-V374)*V374*W374*0.024653*Y374/1000000</f>
        <v/>
      </c>
      <c r="AC374" s="599">
        <f>(S374-V374)*V374*W374*0.024653*Z374/1000000</f>
        <v/>
      </c>
      <c r="AD374" s="599">
        <f>AB374-AC374</f>
        <v/>
      </c>
      <c r="AE374" s="599" t="n"/>
      <c r="AF374" s="599" t="n"/>
      <c r="AG374" s="599" t="n"/>
      <c r="AH374" s="599">
        <f>AB373-AF374</f>
        <v/>
      </c>
      <c r="AI374" s="118">
        <f>(AC374+AF374)/AB373</f>
        <v/>
      </c>
    </row>
    <row r="375" hidden="1" s="584">
      <c r="A375" s="594" t="n">
        <v>145</v>
      </c>
      <c r="B375" s="5" t="inlineStr">
        <is>
          <t xml:space="preserve">Khopoli </t>
        </is>
      </c>
      <c r="C375" s="601" t="inlineStr">
        <is>
          <t>Rajsriya Unit 5</t>
        </is>
      </c>
      <c r="D375" s="601" t="inlineStr">
        <is>
          <t>Rajsriya</t>
        </is>
      </c>
      <c r="E375" s="601" t="inlineStr">
        <is>
          <t>129695|189481|187884|188415|189239|189240</t>
        </is>
      </c>
      <c r="F375" s="601" t="n">
        <v>2410996</v>
      </c>
      <c r="G375" s="601" t="inlineStr">
        <is>
          <t>TUB-O-C-AUT-AD-FC-16.10X2.700X04-05</t>
        </is>
      </c>
      <c r="H375" s="601" t="inlineStr">
        <is>
          <t>CEW</t>
        </is>
      </c>
      <c r="I375" s="601" t="n"/>
      <c r="J375" s="601" t="inlineStr">
        <is>
          <t>CEW</t>
        </is>
      </c>
      <c r="K375" s="601" t="inlineStr">
        <is>
          <t>HR</t>
        </is>
      </c>
      <c r="L375" s="601" t="n"/>
      <c r="M375" s="601" t="n"/>
      <c r="N375" s="601" t="n"/>
      <c r="O375" s="601" t="n"/>
      <c r="P375" s="557">
        <f>CONCATENATE(schedule13[[#This Row],[OD]],"-",schedule13[[#This Row],[ID]],"-",schedule13[[#This Row],[TICKNESS]],"-",schedule13[[#This Row],[GRADE]],"-",schedule13[[#This Row],[FC/NFC]])</f>
        <v/>
      </c>
      <c r="Q375" s="557">
        <f>CONCATENATE(schedule13[[#This Row],[OD]],"-",schedule13[[#This Row],[ID]],"-",schedule13[[#This Row],[TICKNESS]],"-",schedule13[[#This Row],[GRADE]],"-",schedule13[[#This Row],[FC/NFC]])</f>
        <v/>
      </c>
      <c r="R375" s="557">
        <f>COUNTIF(buckets[CTL Bucket],schedule13[[#This Row],[CTL Bucket]])</f>
        <v/>
      </c>
      <c r="S375" s="599" t="n">
        <v>16.1</v>
      </c>
      <c r="T375" s="599" t="n">
        <v>16.1</v>
      </c>
      <c r="U375" s="599" t="n">
        <v>10.4</v>
      </c>
      <c r="V375" s="599" t="n">
        <v>2.7</v>
      </c>
      <c r="W375" s="600" t="n">
        <v>1000</v>
      </c>
      <c r="X375" s="22" t="inlineStr">
        <is>
          <t>M</t>
        </is>
      </c>
      <c r="Y375" s="601" t="n">
        <v>4000</v>
      </c>
      <c r="Z375" s="601" t="n"/>
      <c r="AA375" s="602">
        <f>Y375-Z375</f>
        <v/>
      </c>
      <c r="AB375" s="599">
        <f>(S375-V375)*V375*W375*0.024653*Y375/1000000</f>
        <v/>
      </c>
      <c r="AC375" s="599">
        <f>(S375-V375)*V375*W375*0.024653*Z375/1000000</f>
        <v/>
      </c>
      <c r="AD375" s="599">
        <f>AB375-AC375</f>
        <v/>
      </c>
      <c r="AE375" s="598">
        <f>schedule13[[#This Row],[CTL Stock]]/schedule13[[#This Row],[SCHEDULE IN MT]]*schedule13[[#This Row],[SCHEDULE]]</f>
        <v/>
      </c>
      <c r="AF375" s="599">
        <f>SUMIFS(stock[MT],stock[Bucket],schedule13[[#This Row],[Bucket]],stock[CTL Bucket],schedule13[[#This Row],[CTL Bucket]])</f>
        <v/>
      </c>
      <c r="AG375" s="599">
        <f>SUMIFS(stock[MT],stock[Bucket],schedule13[[#This Row],[Bucket]])+SUMIFS(wip[Stock(Net Wt)],wip[Bucket],schedule13[[#This Row],[Bucket]])/1000</f>
        <v/>
      </c>
      <c r="AH375" s="599">
        <f>AB374-AF375</f>
        <v/>
      </c>
      <c r="AI375" s="118">
        <f>(AC375+AF375)/AB374</f>
        <v/>
      </c>
    </row>
    <row r="376" hidden="1" s="584">
      <c r="A376" s="594" t="n">
        <v>155</v>
      </c>
      <c r="B376" s="5" t="inlineStr">
        <is>
          <t>Hosur</t>
        </is>
      </c>
      <c r="C376" s="601" t="inlineStr">
        <is>
          <t>Rajsriya Unit 5</t>
        </is>
      </c>
      <c r="D376" s="601" t="inlineStr">
        <is>
          <t>Rajsriya</t>
        </is>
      </c>
      <c r="E376" s="601" t="inlineStr">
        <is>
          <t>129695|189481|187884|188415|189239|189240</t>
        </is>
      </c>
      <c r="F376" s="601" t="n">
        <v>2403383</v>
      </c>
      <c r="G376" s="601" t="inlineStr">
        <is>
          <t>TUB-O-N-AUT-AW-PE-19.05X2.000X0.4750</t>
        </is>
      </c>
      <c r="H376" s="601" t="inlineStr">
        <is>
          <t>ERW 1</t>
        </is>
      </c>
      <c r="I376" s="601" t="n"/>
      <c r="J376" s="601" t="inlineStr">
        <is>
          <t>PE</t>
        </is>
      </c>
      <c r="K376" s="601" t="inlineStr">
        <is>
          <t>HR</t>
        </is>
      </c>
      <c r="L376" s="601" t="n"/>
      <c r="M376" s="601" t="n"/>
      <c r="N376" s="601" t="n"/>
      <c r="O376" s="601" t="n"/>
      <c r="P376" s="557">
        <f>CONCATENATE(schedule13[[#This Row],[OD]],"-",schedule13[[#This Row],[ID]],"-",schedule13[[#This Row],[TICKNESS]],"-",schedule13[[#This Row],[GRADE]],"-",schedule13[[#This Row],[FC/NFC]])</f>
        <v/>
      </c>
      <c r="Q376" s="557">
        <f>_xlfn.CONCAT(schedule13[[#This Row],[Bucket]],"-",schedule13[[#This Row],[LENGTH]]/1000)</f>
        <v/>
      </c>
      <c r="R376" s="557">
        <f>COUNTIF(buckets[CTL Bucket],schedule13[[#This Row],[CTL Bucket]])</f>
        <v/>
      </c>
      <c r="S376" s="599" t="n">
        <v>19.05</v>
      </c>
      <c r="T376" s="599" t="n">
        <v>19.05</v>
      </c>
      <c r="U376" s="599" t="n">
        <v>0</v>
      </c>
      <c r="V376" s="599" t="n">
        <v>2</v>
      </c>
      <c r="W376" s="27" t="n">
        <v>475</v>
      </c>
      <c r="X376" s="22" t="inlineStr">
        <is>
          <t>NOS</t>
        </is>
      </c>
      <c r="Y376" s="601" t="n">
        <v>7000</v>
      </c>
      <c r="Z376" s="601" t="n"/>
      <c r="AA376" s="602">
        <f>Y376-Z376</f>
        <v/>
      </c>
      <c r="AB376" s="599">
        <f>(S376-V376)*V376*W376*0.024653*Y376/1000000</f>
        <v/>
      </c>
      <c r="AC376" s="599">
        <f>(S376-V376)*V376*W376*0.024653*Z376/1000000</f>
        <v/>
      </c>
      <c r="AD376" s="599">
        <f>AB376-AC376</f>
        <v/>
      </c>
      <c r="AE376" s="598">
        <f>schedule13[[#This Row],[CTL Stock]]/schedule13[[#This Row],[SCHEDULE IN MT]]*schedule13[[#This Row],[SCHEDULE]]</f>
        <v/>
      </c>
      <c r="AF376" s="599">
        <f>SUMIFS(stock[MT],stock[Bucket],schedule13[[#This Row],[Bucket]],stock[CTL Bucket],schedule13[[#This Row],[CTL Bucket]])</f>
        <v/>
      </c>
      <c r="AG376" s="599">
        <f>SUMIFS(stock[MT],stock[Bucket],schedule13[[#This Row],[Bucket]])+SUMIFS(wip[Stock(Net Wt)],wip[Bucket],schedule13[[#This Row],[Bucket]])/1000</f>
        <v/>
      </c>
      <c r="AH376" s="599">
        <f>AB375-AF376</f>
        <v/>
      </c>
      <c r="AI376" s="118">
        <f>(AC376+AF376)/AB375</f>
        <v/>
      </c>
    </row>
    <row r="377" hidden="1" s="584">
      <c r="A377" s="594" t="n">
        <v>162</v>
      </c>
      <c r="B377" s="5" t="inlineStr">
        <is>
          <t>Hosur</t>
        </is>
      </c>
      <c r="C377" s="601" t="inlineStr">
        <is>
          <t>Rajsriya Unit 5</t>
        </is>
      </c>
      <c r="D377" s="601" t="inlineStr">
        <is>
          <t>Rajsriya</t>
        </is>
      </c>
      <c r="E377" s="601" t="inlineStr">
        <is>
          <t>129695|189481|187884|188415|189239|189240</t>
        </is>
      </c>
      <c r="F377" s="601" t="n">
        <v>1940324</v>
      </c>
      <c r="G377" s="601" t="inlineStr">
        <is>
          <t>TUB-O-O-AUT-AW-PE-19.05X2.300X0.5540</t>
        </is>
      </c>
      <c r="H377" s="601" t="inlineStr">
        <is>
          <t>ERW 1</t>
        </is>
      </c>
      <c r="I377" s="601" t="n"/>
      <c r="J377" s="601" t="inlineStr">
        <is>
          <t>PE</t>
        </is>
      </c>
      <c r="K377" s="601" t="inlineStr">
        <is>
          <t>HR</t>
        </is>
      </c>
      <c r="L377" s="601" t="n"/>
      <c r="M377" s="601" t="n"/>
      <c r="N377" s="601" t="n"/>
      <c r="O377" s="601" t="n"/>
      <c r="P377" s="557">
        <f>CONCATENATE(schedule13[[#This Row],[OD]],"-",schedule13[[#This Row],[ID]],"-",schedule13[[#This Row],[TICKNESS]],"-",schedule13[[#This Row],[GRADE]],"-",schedule13[[#This Row],[FC/NFC]])</f>
        <v/>
      </c>
      <c r="Q377" s="557">
        <f>_xlfn.CONCAT(schedule13[[#This Row],[Bucket]],"-",schedule13[[#This Row],[LENGTH]]/1000)</f>
        <v/>
      </c>
      <c r="R377" s="557">
        <f>COUNTIF(buckets[CTL Bucket],schedule13[[#This Row],[CTL Bucket]])</f>
        <v/>
      </c>
      <c r="S377" s="599" t="n">
        <v>19.05</v>
      </c>
      <c r="T377" s="599" t="n">
        <v>19.05</v>
      </c>
      <c r="U377" s="599" t="n">
        <v>0</v>
      </c>
      <c r="V377" s="599" t="n">
        <v>2.3</v>
      </c>
      <c r="W377" s="27" t="n">
        <v>554</v>
      </c>
      <c r="X377" s="22" t="inlineStr">
        <is>
          <t>NOS</t>
        </is>
      </c>
      <c r="Y377" s="601" t="n">
        <v>2000</v>
      </c>
      <c r="Z377" s="601" t="n"/>
      <c r="AA377" s="602">
        <f>Y377-Z377</f>
        <v/>
      </c>
      <c r="AB377" s="599">
        <f>(S377-V377)*V377*W377*0.024653*Y377/1000000</f>
        <v/>
      </c>
      <c r="AC377" s="599">
        <f>(S377-V377)*V377*W377*0.024653*Z377/1000000</f>
        <v/>
      </c>
      <c r="AD377" s="599">
        <f>AB377-AC377</f>
        <v/>
      </c>
      <c r="AE377" s="598">
        <f>schedule13[[#This Row],[CTL Stock]]/schedule13[[#This Row],[SCHEDULE IN MT]]*schedule13[[#This Row],[SCHEDULE]]</f>
        <v/>
      </c>
      <c r="AF377" s="599">
        <f>SUMIFS(stock[MT],stock[Bucket],schedule13[[#This Row],[Bucket]],stock[CTL Bucket],schedule13[[#This Row],[CTL Bucket]])</f>
        <v/>
      </c>
      <c r="AG377" s="599">
        <f>SUMIFS(stock[MT],stock[Bucket],schedule13[[#This Row],[Bucket]])+SUMIFS(wip[Stock(Net Wt)],wip[Bucket],schedule13[[#This Row],[Bucket]])/1000</f>
        <v/>
      </c>
      <c r="AH377" s="599">
        <f>AB376-AF377</f>
        <v/>
      </c>
      <c r="AI377" s="118">
        <f>(AC377+AF377)/AB376</f>
        <v/>
      </c>
    </row>
    <row r="378" hidden="1" s="584">
      <c r="A378" s="594" t="n">
        <v>175</v>
      </c>
      <c r="B378" s="5" t="inlineStr">
        <is>
          <t>Hosur</t>
        </is>
      </c>
      <c r="C378" s="601" t="inlineStr">
        <is>
          <t>Rajsriya Unit 5</t>
        </is>
      </c>
      <c r="D378" s="601" t="inlineStr">
        <is>
          <t>Rajsriya</t>
        </is>
      </c>
      <c r="E378" s="601" t="inlineStr">
        <is>
          <t>129695|189481|187884|188415|189239|189240</t>
        </is>
      </c>
      <c r="F378" s="601" t="n">
        <v>1940420</v>
      </c>
      <c r="G378" s="601" t="inlineStr">
        <is>
          <t>TUB-O-O-AUT-AW-PE-22.23X1.600X1.1750</t>
        </is>
      </c>
      <c r="H378" s="601" t="inlineStr">
        <is>
          <t>ERW 1</t>
        </is>
      </c>
      <c r="I378" s="601" t="n"/>
      <c r="J378" s="601" t="inlineStr">
        <is>
          <t>PE</t>
        </is>
      </c>
      <c r="K378" s="601" t="inlineStr">
        <is>
          <t>CR</t>
        </is>
      </c>
      <c r="L378" s="596" t="inlineStr">
        <is>
          <t>GR1</t>
        </is>
      </c>
      <c r="M378" s="601" t="n"/>
      <c r="N378" s="601" t="n"/>
      <c r="O378" s="601" t="n"/>
      <c r="P378" s="557">
        <f>CONCATENATE(schedule13[[#This Row],[OD]],"-",schedule13[[#This Row],[ID]],"-",schedule13[[#This Row],[TICKNESS]],"-",schedule13[[#This Row],[GRADE]],"-",schedule13[[#This Row],[FC/NFC]])</f>
        <v/>
      </c>
      <c r="Q378" s="557">
        <f>_xlfn.CONCAT(schedule13[[#This Row],[Bucket]],"-",schedule13[[#This Row],[LENGTH]]/1000)</f>
        <v/>
      </c>
      <c r="R378" s="557">
        <f>COUNTIF(buckets[CTL Bucket],schedule13[[#This Row],[CTL Bucket]])</f>
        <v/>
      </c>
      <c r="S378" s="599" t="n">
        <v>22.23</v>
      </c>
      <c r="T378" s="599" t="n">
        <v>22.23</v>
      </c>
      <c r="U378" s="599" t="n">
        <v>0</v>
      </c>
      <c r="V378" s="599" t="n">
        <v>1.6</v>
      </c>
      <c r="W378" s="27" t="n">
        <v>1175</v>
      </c>
      <c r="X378" s="22" t="inlineStr">
        <is>
          <t>NOS</t>
        </is>
      </c>
      <c r="Y378" s="601" t="n">
        <v>8000</v>
      </c>
      <c r="Z378" s="601" t="n"/>
      <c r="AA378" s="602">
        <f>Y378-Z378</f>
        <v/>
      </c>
      <c r="AB378" s="599">
        <f>(S378-V378)*V378*W378*0.024653*Y378/1000000</f>
        <v/>
      </c>
      <c r="AC378" s="599">
        <f>(S378-V378)*V378*W378*0.024653*Z378/1000000</f>
        <v/>
      </c>
      <c r="AD378" s="599">
        <f>AB378-AC378</f>
        <v/>
      </c>
      <c r="AE378" s="598">
        <f>schedule13[[#This Row],[CTL Stock]]/schedule13[[#This Row],[SCHEDULE IN MT]]*schedule13[[#This Row],[SCHEDULE]]</f>
        <v/>
      </c>
      <c r="AF378" s="599">
        <f>SUMIFS(stock[MT],stock[Bucket],schedule13[[#This Row],[Bucket]],stock[CTL Bucket],schedule13[[#This Row],[CTL Bucket]])</f>
        <v/>
      </c>
      <c r="AG378" s="599">
        <f>SUMIFS(stock[MT],stock[Bucket],schedule13[[#This Row],[Bucket]])+SUMIFS(wip[Stock(Net Wt)],wip[Bucket],schedule13[[#This Row],[Bucket]])/1000</f>
        <v/>
      </c>
      <c r="AH378" s="599">
        <f>AB377-AF378</f>
        <v/>
      </c>
      <c r="AI378" s="118">
        <f>(AC378+AF378)/AB377</f>
        <v/>
      </c>
    </row>
    <row r="379" hidden="1" s="584">
      <c r="A379" s="594" t="n">
        <v>177</v>
      </c>
      <c r="B379" s="5" t="inlineStr">
        <is>
          <t>Hosur</t>
        </is>
      </c>
      <c r="C379" s="601" t="inlineStr">
        <is>
          <t>Rajsriya Unit 5</t>
        </is>
      </c>
      <c r="D379" s="601" t="inlineStr">
        <is>
          <t>Rajsriya</t>
        </is>
      </c>
      <c r="E379" s="601" t="inlineStr">
        <is>
          <t>129695|189481|187884|188415|189239|189240</t>
        </is>
      </c>
      <c r="F379" s="601" t="n">
        <v>1905990</v>
      </c>
      <c r="G379" s="601" t="inlineStr">
        <is>
          <t>TUB-O-N-AUT-AW-PE-22.23X2.000X0.2360</t>
        </is>
      </c>
      <c r="H379" s="601" t="inlineStr">
        <is>
          <t>ERW 1</t>
        </is>
      </c>
      <c r="I379" s="601" t="n"/>
      <c r="J379" s="601" t="inlineStr">
        <is>
          <t>PE</t>
        </is>
      </c>
      <c r="K379" s="601" t="inlineStr">
        <is>
          <t>HR</t>
        </is>
      </c>
      <c r="L379" s="601" t="n"/>
      <c r="M379" s="601" t="n"/>
      <c r="N379" s="601" t="n"/>
      <c r="O379" s="601" t="n"/>
      <c r="P379" s="557">
        <f>CONCATENATE(schedule13[[#This Row],[OD]],"-",schedule13[[#This Row],[ID]],"-",schedule13[[#This Row],[TICKNESS]],"-",schedule13[[#This Row],[GRADE]],"-",schedule13[[#This Row],[FC/NFC]])</f>
        <v/>
      </c>
      <c r="Q379" s="557">
        <f>_xlfn.CONCAT(schedule13[[#This Row],[Bucket]],"-",schedule13[[#This Row],[LENGTH]]/1000)</f>
        <v/>
      </c>
      <c r="R379" s="557">
        <f>COUNTIF(buckets[CTL Bucket],schedule13[[#This Row],[CTL Bucket]])</f>
        <v/>
      </c>
      <c r="S379" s="599" t="n">
        <v>22.23</v>
      </c>
      <c r="T379" s="599" t="n">
        <v>22.23</v>
      </c>
      <c r="U379" s="599" t="n">
        <v>0</v>
      </c>
      <c r="V379" s="599" t="n">
        <v>2</v>
      </c>
      <c r="W379" s="600" t="n">
        <v>236</v>
      </c>
      <c r="X379" s="22" t="inlineStr">
        <is>
          <t>NOS</t>
        </is>
      </c>
      <c r="Y379" s="601" t="n">
        <v>0</v>
      </c>
      <c r="Z379" s="601" t="n"/>
      <c r="AA379" s="602">
        <f>Y379-Z379</f>
        <v/>
      </c>
      <c r="AB379" s="599">
        <f>(S379-V379)*V379*W379*0.024653*Y379/1000000</f>
        <v/>
      </c>
      <c r="AC379" s="599">
        <f>(S379-V379)*V379*W379*0.024653*Z379/1000000</f>
        <v/>
      </c>
      <c r="AD379" s="599">
        <f>AB379-AC379</f>
        <v/>
      </c>
      <c r="AE379" s="598">
        <f>schedule13[[#This Row],[CTL Stock]]/schedule13[[#This Row],[SCHEDULE IN MT]]*schedule13[[#This Row],[SCHEDULE]]</f>
        <v/>
      </c>
      <c r="AF379" s="599">
        <f>SUMIFS(stock[MT],stock[Bucket],schedule13[[#This Row],[Bucket]],stock[CTL Bucket],schedule13[[#This Row],[CTL Bucket]])</f>
        <v/>
      </c>
      <c r="AG379" s="599">
        <f>SUMIFS(stock[MT],stock[Bucket],schedule13[[#This Row],[Bucket]])+SUMIFS(wip[Stock(Net Wt)],wip[Bucket],schedule13[[#This Row],[Bucket]])/1000</f>
        <v/>
      </c>
      <c r="AH379" s="599" t="n"/>
      <c r="AI379" s="118" t="n"/>
    </row>
    <row r="380" hidden="1" s="584">
      <c r="A380" s="594" t="n">
        <v>182</v>
      </c>
      <c r="B380" s="5" t="inlineStr">
        <is>
          <t>Hosur</t>
        </is>
      </c>
      <c r="C380" s="601" t="inlineStr">
        <is>
          <t>Rajsriya Unit 5</t>
        </is>
      </c>
      <c r="D380" s="601" t="inlineStr">
        <is>
          <t>Rajsriya</t>
        </is>
      </c>
      <c r="E380" s="601" t="inlineStr">
        <is>
          <t>129695|189481|187884|188415|189239|189240</t>
        </is>
      </c>
      <c r="F380" s="601" t="n">
        <v>1940510</v>
      </c>
      <c r="G380" s="601" t="inlineStr">
        <is>
          <t>TUB-O-O-AUT-AW-PE-22.23X2.300X6.0000</t>
        </is>
      </c>
      <c r="H380" s="601" t="inlineStr">
        <is>
          <t>ERW 1</t>
        </is>
      </c>
      <c r="I380" s="601" t="n"/>
      <c r="J380" s="601" t="inlineStr">
        <is>
          <t>PE</t>
        </is>
      </c>
      <c r="K380" s="601" t="inlineStr">
        <is>
          <t>HR</t>
        </is>
      </c>
      <c r="L380" s="601" t="n"/>
      <c r="M380" s="601" t="n"/>
      <c r="N380" s="601" t="n"/>
      <c r="O380" s="601" t="n"/>
      <c r="P380" s="557">
        <f>CONCATENATE(schedule13[[#This Row],[OD]],"-",schedule13[[#This Row],[ID]],"-",schedule13[[#This Row],[TICKNESS]],"-",schedule13[[#This Row],[GRADE]],"-",schedule13[[#This Row],[FC/NFC]])</f>
        <v/>
      </c>
      <c r="Q380" s="557" t="inlineStr">
        <is>
          <t>22.23-0-2.3-ERW 1-PE</t>
        </is>
      </c>
      <c r="R380" s="557">
        <f>COUNTIF(buckets[CTL Bucket],schedule13[[#This Row],[CTL Bucket]])</f>
        <v/>
      </c>
      <c r="S380" s="599" t="n">
        <v>22.23</v>
      </c>
      <c r="T380" s="599" t="n">
        <v>22.23</v>
      </c>
      <c r="U380" s="599" t="n">
        <v>0</v>
      </c>
      <c r="V380" s="599" t="n">
        <v>2.3</v>
      </c>
      <c r="W380" s="600" t="n">
        <v>1000</v>
      </c>
      <c r="X380" s="22" t="inlineStr">
        <is>
          <t>M</t>
        </is>
      </c>
      <c r="Y380" s="601" t="n">
        <v>3000</v>
      </c>
      <c r="Z380" s="601" t="n"/>
      <c r="AA380" s="602">
        <f>Y380-Z380</f>
        <v/>
      </c>
      <c r="AB380" s="599">
        <f>(S380-V380)*V380*W380*0.024653*Y380/1000000</f>
        <v/>
      </c>
      <c r="AC380" s="599">
        <f>(S380-V380)*V380*W380*0.024653*Z380/1000000</f>
        <v/>
      </c>
      <c r="AD380" s="599">
        <f>AB380-AC380</f>
        <v/>
      </c>
      <c r="AE380" s="598">
        <f>schedule13[[#This Row],[CTL Stock]]/schedule13[[#This Row],[SCHEDULE IN MT]]*schedule13[[#This Row],[SCHEDULE]]</f>
        <v/>
      </c>
      <c r="AF380" s="599">
        <f>SUMIFS(stock[MT],stock[Bucket],schedule13[[#This Row],[Bucket]],stock[CTL Bucket],schedule13[[#This Row],[CTL Bucket]])</f>
        <v/>
      </c>
      <c r="AG380" s="599">
        <f>SUMIFS(stock[MT],stock[Bucket],schedule13[[#This Row],[Bucket]])+SUMIFS(wip[Stock(Net Wt)],wip[Bucket],schedule13[[#This Row],[Bucket]])/1000</f>
        <v/>
      </c>
      <c r="AH380" s="599">
        <f>AB379-AF380</f>
        <v/>
      </c>
      <c r="AI380" s="118">
        <f>(AC380+AF380)/AB379</f>
        <v/>
      </c>
    </row>
    <row r="381" hidden="1" s="584">
      <c r="A381" s="594" t="n">
        <v>196</v>
      </c>
      <c r="B381" s="5" t="inlineStr">
        <is>
          <t>Hosur</t>
        </is>
      </c>
      <c r="C381" s="601" t="inlineStr">
        <is>
          <t>Rajsriya Unit 5</t>
        </is>
      </c>
      <c r="D381" s="601" t="inlineStr">
        <is>
          <t>Rajsriya</t>
        </is>
      </c>
      <c r="E381" s="601" t="inlineStr">
        <is>
          <t>129695|189481|187884|188415|189239|189240</t>
        </is>
      </c>
      <c r="F381" s="601" t="n">
        <v>1940686</v>
      </c>
      <c r="G381" s="601" t="inlineStr">
        <is>
          <t>TUB-O-O-AUT-AW-FC-31.75X2.500X6.0000</t>
        </is>
      </c>
      <c r="H381" s="601" t="inlineStr">
        <is>
          <t>ERW 1</t>
        </is>
      </c>
      <c r="I381" s="601" t="n"/>
      <c r="J381" s="601" t="inlineStr">
        <is>
          <t>FC</t>
        </is>
      </c>
      <c r="K381" s="601" t="inlineStr">
        <is>
          <t>HR</t>
        </is>
      </c>
      <c r="L381" s="601" t="n"/>
      <c r="M381" s="601" t="n"/>
      <c r="N381" s="601" t="n"/>
      <c r="O381" s="601" t="n"/>
      <c r="P381" s="557">
        <f>CONCATENATE(schedule13[[#This Row],[OD]],"-",schedule13[[#This Row],[ID]],"-",schedule13[[#This Row],[TICKNESS]],"-",schedule13[[#This Row],[GRADE]],"-",schedule13[[#This Row],[FC/NFC]])</f>
        <v/>
      </c>
      <c r="Q381" s="557">
        <f>CONCATENATE(schedule13[[#This Row],[OD]],"-",schedule13[[#This Row],[ID]],"-",schedule13[[#This Row],[TICKNESS]],"-",schedule13[[#This Row],[GRADE]],"-",schedule13[[#This Row],[FC/NFC]])</f>
        <v/>
      </c>
      <c r="R381" s="557">
        <f>COUNTIF(buckets[CTL Bucket],schedule13[[#This Row],[CTL Bucket]])</f>
        <v/>
      </c>
      <c r="S381" s="599" t="n">
        <v>31.75</v>
      </c>
      <c r="T381" s="599" t="n">
        <v>31.75</v>
      </c>
      <c r="U381" s="599" t="n">
        <v>0</v>
      </c>
      <c r="V381" s="599" t="n">
        <v>2.5</v>
      </c>
      <c r="W381" s="600" t="n">
        <v>1000</v>
      </c>
      <c r="X381" s="22" t="inlineStr">
        <is>
          <t>M</t>
        </is>
      </c>
      <c r="Y381" s="601" t="n">
        <v>7000</v>
      </c>
      <c r="Z381" s="601" t="n"/>
      <c r="AA381" s="602">
        <f>Y381-Z381</f>
        <v/>
      </c>
      <c r="AB381" s="599">
        <f>(S381-V381)*V381*W381*0.024653*Y381/1000000</f>
        <v/>
      </c>
      <c r="AC381" s="599">
        <f>(S381-V381)*V381*W381*0.024653*Z381/1000000</f>
        <v/>
      </c>
      <c r="AD381" s="599">
        <f>AB381-AC381</f>
        <v/>
      </c>
      <c r="AE381" s="598">
        <f>schedule13[[#This Row],[CTL Stock]]/schedule13[[#This Row],[SCHEDULE IN MT]]*schedule13[[#This Row],[SCHEDULE]]</f>
        <v/>
      </c>
      <c r="AF381" s="599">
        <f>SUMIFS(stock[MT],stock[Bucket],schedule13[[#This Row],[Bucket]],stock[CTL Bucket],schedule13[[#This Row],[CTL Bucket]])</f>
        <v/>
      </c>
      <c r="AG381" s="599">
        <f>SUMIFS(stock[MT],stock[Bucket],schedule13[[#This Row],[Bucket]])+SUMIFS(wip[Stock(Net Wt)],wip[Bucket],schedule13[[#This Row],[Bucket]])/1000</f>
        <v/>
      </c>
      <c r="AH381" s="599">
        <f>AB380-AF381</f>
        <v/>
      </c>
      <c r="AI381" s="118">
        <f>(AC381+AF381)/AB380</f>
        <v/>
      </c>
    </row>
    <row r="382" hidden="1" s="584">
      <c r="A382" s="594" t="n">
        <v>212</v>
      </c>
      <c r="B382" s="5" t="inlineStr">
        <is>
          <t xml:space="preserve">Khopoli </t>
        </is>
      </c>
      <c r="C382" s="601" t="inlineStr">
        <is>
          <t>Rajsriya Unit 5</t>
        </is>
      </c>
      <c r="D382" s="601" t="inlineStr">
        <is>
          <t>Rajsriya</t>
        </is>
      </c>
      <c r="E382" s="601" t="inlineStr">
        <is>
          <t>129695|189481|187884|188415|189239|189240</t>
        </is>
      </c>
      <c r="F382" s="601" t="n">
        <v>2410998</v>
      </c>
      <c r="G382" s="601" t="inlineStr">
        <is>
          <t>TUB-O-C-AUT-AD-FC-18.20X2.950X04-05</t>
        </is>
      </c>
      <c r="H382" s="601" t="inlineStr">
        <is>
          <t>CEW</t>
        </is>
      </c>
      <c r="I382" s="601" t="n"/>
      <c r="J382" s="601" t="inlineStr">
        <is>
          <t>CEW</t>
        </is>
      </c>
      <c r="K382" s="601" t="inlineStr">
        <is>
          <t>HR</t>
        </is>
      </c>
      <c r="L382" s="601" t="n"/>
      <c r="M382" s="601" t="n"/>
      <c r="N382" s="601" t="n"/>
      <c r="O382" s="601" t="n"/>
      <c r="P382" s="557">
        <f>CONCATENATE(schedule13[[#This Row],[OD]],"-",schedule13[[#This Row],[ID]],"-",schedule13[[#This Row],[TICKNESS]],"-",schedule13[[#This Row],[GRADE]],"-",schedule13[[#This Row],[FC/NFC]])</f>
        <v/>
      </c>
      <c r="Q382" s="557">
        <f>_xlfn.CONCAT(schedule13[[#This Row],[Bucket]],"-",schedule13[[#This Row],[LENGTH]]/1000)</f>
        <v/>
      </c>
      <c r="R382" s="557">
        <f>COUNTIF(buckets[CTL Bucket],schedule13[[#This Row],[CTL Bucket]])</f>
        <v/>
      </c>
      <c r="S382" s="599" t="n">
        <v>18.2</v>
      </c>
      <c r="T382" s="599" t="n">
        <v>18.2</v>
      </c>
      <c r="U382" s="599" t="n">
        <v>12.3</v>
      </c>
      <c r="V382" s="599" t="n">
        <v>2.95</v>
      </c>
      <c r="W382" s="600" t="n">
        <v>4500</v>
      </c>
      <c r="X382" s="600" t="n"/>
      <c r="Y382" s="601" t="n">
        <v>0</v>
      </c>
      <c r="Z382" s="602" t="n"/>
      <c r="AA382" s="602">
        <f>Y382-Z382</f>
        <v/>
      </c>
      <c r="AB382" s="599">
        <f>(S382-V382)*V382*W382*0.024653*Y382/1000000</f>
        <v/>
      </c>
      <c r="AC382" s="599">
        <f>(S382-V382)*V382*W382*0.024653*Z382/1000000</f>
        <v/>
      </c>
      <c r="AD382" s="599">
        <f>AB382-AC382</f>
        <v/>
      </c>
      <c r="AE382" s="599" t="n"/>
      <c r="AF382" s="599" t="n"/>
      <c r="AG382" s="599" t="n"/>
      <c r="AH382" s="599">
        <f>AB381-AF382</f>
        <v/>
      </c>
      <c r="AI382" s="118">
        <f>(AC382+AF382)/AB381</f>
        <v/>
      </c>
    </row>
    <row r="383" hidden="1" s="584">
      <c r="A383" s="594" t="n">
        <v>151</v>
      </c>
      <c r="B383" s="5" t="inlineStr">
        <is>
          <t>Hosur</t>
        </is>
      </c>
      <c r="C383" s="601" t="inlineStr">
        <is>
          <t>Rajsriya Unit 8</t>
        </is>
      </c>
      <c r="D383" s="601" t="inlineStr">
        <is>
          <t>Rajsriya</t>
        </is>
      </c>
      <c r="E383" s="601" t="inlineStr">
        <is>
          <t>129695|189481|187884|188415|189239|189240</t>
        </is>
      </c>
      <c r="F383" s="601" t="n">
        <v>2425969</v>
      </c>
      <c r="G383" s="601" t="inlineStr">
        <is>
          <t>TUB-O-N-AUT-AW-FC-19.05X1.600X0.7750</t>
        </is>
      </c>
      <c r="H383" s="601" t="inlineStr">
        <is>
          <t>ERW 2 MAHS</t>
        </is>
      </c>
      <c r="I383" s="601" t="n"/>
      <c r="J383" s="601" t="inlineStr">
        <is>
          <t>PE</t>
        </is>
      </c>
      <c r="K383" s="601" t="inlineStr">
        <is>
          <t>HR</t>
        </is>
      </c>
      <c r="L383" s="596" t="inlineStr">
        <is>
          <t>ST52AL</t>
        </is>
      </c>
      <c r="M383" s="601" t="n"/>
      <c r="N383" s="601" t="inlineStr">
        <is>
          <t>AG</t>
        </is>
      </c>
      <c r="O383" s="601" t="n"/>
      <c r="P383" s="557">
        <f>CONCATENATE(schedule13[[#This Row],[OD]],"-",schedule13[[#This Row],[ID]],"-",schedule13[[#This Row],[TICKNESS]],"-",schedule13[[#This Row],[GRADE]],"-",schedule13[[#This Row],[FC/NFC]])</f>
        <v/>
      </c>
      <c r="Q383" s="557">
        <f>_xlfn.CONCAT(schedule13[[#This Row],[Bucket]],"-",schedule13[[#This Row],[LENGTH]]/1000)</f>
        <v/>
      </c>
      <c r="R383" s="557">
        <f>COUNTIF(buckets[CTL Bucket],schedule13[[#This Row],[CTL Bucket]])</f>
        <v/>
      </c>
      <c r="S383" s="599" t="n">
        <v>19.05</v>
      </c>
      <c r="T383" s="599" t="n">
        <v>19.05</v>
      </c>
      <c r="U383" s="599" t="n">
        <v>0</v>
      </c>
      <c r="V383" s="599" t="n">
        <v>1.6</v>
      </c>
      <c r="W383" s="600" t="n">
        <v>775</v>
      </c>
      <c r="X383" s="22" t="inlineStr">
        <is>
          <t>NOS</t>
        </is>
      </c>
      <c r="Y383" s="601" t="n">
        <v>10000</v>
      </c>
      <c r="Z383" s="601" t="n"/>
      <c r="AA383" s="602">
        <f>Y383-Z383</f>
        <v/>
      </c>
      <c r="AB383" s="599">
        <f>(S383-V383)*V383*W383*0.024653*Y383/1000000</f>
        <v/>
      </c>
      <c r="AC383" s="599">
        <f>(S383-V383)*V383*W383*0.024653*Z383/1000000</f>
        <v/>
      </c>
      <c r="AD383" s="599">
        <f>AB383-AC383</f>
        <v/>
      </c>
      <c r="AE383" s="598">
        <f>schedule13[[#This Row],[CTL Stock]]/schedule13[[#This Row],[SCHEDULE IN MT]]*schedule13[[#This Row],[SCHEDULE]]</f>
        <v/>
      </c>
      <c r="AF383" s="599">
        <f>SUMIFS(stock[MT],stock[Bucket],schedule13[[#This Row],[Bucket]],stock[CTL Bucket],schedule13[[#This Row],[CTL Bucket]])</f>
        <v/>
      </c>
      <c r="AG383" s="599">
        <f>SUMIFS(stock[MT],stock[Bucket],schedule13[[#This Row],[Bucket]])+SUMIFS(wip[Stock(Net Wt)],wip[Bucket],schedule13[[#This Row],[Bucket]])/1000</f>
        <v/>
      </c>
      <c r="AH383" s="599">
        <f>AB382-AF383</f>
        <v/>
      </c>
      <c r="AI383" s="118">
        <f>(AC383+AF383)/AB382</f>
        <v/>
      </c>
    </row>
    <row r="384" hidden="1" s="584">
      <c r="A384" s="594" t="n">
        <v>198</v>
      </c>
      <c r="B384" s="5" t="inlineStr">
        <is>
          <t>Hosur</t>
        </is>
      </c>
      <c r="C384" s="601" t="inlineStr">
        <is>
          <t>Rajsriya Unit 8</t>
        </is>
      </c>
      <c r="D384" s="601" t="inlineStr">
        <is>
          <t>Rajsriya</t>
        </is>
      </c>
      <c r="E384" s="601" t="inlineStr">
        <is>
          <t>129695|189481|187884|188415|189239|189240</t>
        </is>
      </c>
      <c r="F384" s="601" t="n">
        <v>3712521</v>
      </c>
      <c r="G384" s="601" t="inlineStr">
        <is>
          <t>CUT-R-AW-RHS-40.00X30.00X1.600X0.8350</t>
        </is>
      </c>
      <c r="H384" s="601" t="inlineStr">
        <is>
          <t>ERW 1</t>
        </is>
      </c>
      <c r="I384" s="601" t="n"/>
      <c r="J384" s="601" t="inlineStr">
        <is>
          <t>FC</t>
        </is>
      </c>
      <c r="K384" s="601" t="inlineStr">
        <is>
          <t>CR</t>
        </is>
      </c>
      <c r="L384" s="596" t="inlineStr">
        <is>
          <t>HROP</t>
        </is>
      </c>
      <c r="M384" s="601" t="n"/>
      <c r="N384" s="601" t="n"/>
      <c r="O384" s="601" t="n"/>
      <c r="P384" s="557">
        <f>CONCATENATE(schedule13[[#This Row],[OD]],"-",schedule13[[#This Row],[ID]],"-",schedule13[[#This Row],[TICKNESS]],"-",schedule13[[#This Row],[GRADE]],"-",schedule13[[#This Row],[FC/NFC]])</f>
        <v/>
      </c>
      <c r="Q384" s="557">
        <f>_xlfn.CONCAT(schedule13[[#This Row],[Bucket]],"-",schedule13[[#This Row],[LENGTH]]/1000)</f>
        <v/>
      </c>
      <c r="R384" s="557">
        <f>COUNTIF(buckets[CTL Bucket],schedule13[[#This Row],[CTL Bucket]])</f>
        <v/>
      </c>
      <c r="S384" s="599" t="n">
        <v>44.45</v>
      </c>
      <c r="T384" s="599" t="n">
        <v>40</v>
      </c>
      <c r="U384" s="599" t="n">
        <v>30</v>
      </c>
      <c r="V384" s="599" t="n">
        <v>1.6</v>
      </c>
      <c r="W384" s="600" t="n">
        <v>835</v>
      </c>
      <c r="X384" s="22" t="inlineStr">
        <is>
          <t>NOS</t>
        </is>
      </c>
      <c r="Y384" s="601" t="n">
        <v>15000</v>
      </c>
      <c r="Z384" s="601" t="n"/>
      <c r="AA384" s="602">
        <f>Y384-Z384</f>
        <v/>
      </c>
      <c r="AB384" s="599">
        <f>(S384-V384)*V384*W384*0.024653*Y384/1000000</f>
        <v/>
      </c>
      <c r="AC384" s="599">
        <f>(S384-V384)*V384*W384*0.024653*Z384/1000000</f>
        <v/>
      </c>
      <c r="AD384" s="599">
        <f>AB384-AC384</f>
        <v/>
      </c>
      <c r="AE384" s="598">
        <f>schedule13[[#This Row],[CTL Stock]]/schedule13[[#This Row],[SCHEDULE IN MT]]*schedule13[[#This Row],[SCHEDULE]]</f>
        <v/>
      </c>
      <c r="AF384" s="599">
        <f>SUMIFS(stock[MT],stock[Bucket],schedule13[[#This Row],[Bucket]],stock[CTL Bucket],schedule13[[#This Row],[CTL Bucket]])</f>
        <v/>
      </c>
      <c r="AG384" s="599">
        <f>SUMIFS(stock[MT],stock[Bucket],schedule13[[#This Row],[Bucket]])+SUMIFS(wip[Stock(Net Wt)],wip[Bucket],schedule13[[#This Row],[Bucket]])/1000</f>
        <v/>
      </c>
      <c r="AH384" s="599">
        <f>AB383-AF384</f>
        <v/>
      </c>
      <c r="AI384" s="118">
        <f>(AC384+AF384)/AB383</f>
        <v/>
      </c>
    </row>
    <row r="385" hidden="1" s="584">
      <c r="A385" s="594" t="n">
        <v>200</v>
      </c>
      <c r="B385" s="5" t="inlineStr">
        <is>
          <t>Hosur</t>
        </is>
      </c>
      <c r="C385" s="601" t="inlineStr">
        <is>
          <t>Rajsriya Unit 8</t>
        </is>
      </c>
      <c r="D385" s="601" t="inlineStr">
        <is>
          <t>Rajsriya</t>
        </is>
      </c>
      <c r="E385" s="601" t="inlineStr">
        <is>
          <t>129695|189481|187884|188415|189239|189240</t>
        </is>
      </c>
      <c r="F385" s="601" t="n">
        <v>1940830</v>
      </c>
      <c r="G385" s="601" t="inlineStr">
        <is>
          <t>TUB-R-AW-RHS-40.00X30.00X1.600X0.8600</t>
        </is>
      </c>
      <c r="H385" s="601" t="inlineStr">
        <is>
          <t>ERW 1</t>
        </is>
      </c>
      <c r="I385" s="601" t="n"/>
      <c r="J385" s="601" t="inlineStr">
        <is>
          <t>FC</t>
        </is>
      </c>
      <c r="K385" s="601" t="inlineStr">
        <is>
          <t>CR</t>
        </is>
      </c>
      <c r="L385" s="596" t="inlineStr">
        <is>
          <t>GR1</t>
        </is>
      </c>
      <c r="M385" s="601" t="n"/>
      <c r="N385" s="601" t="n"/>
      <c r="O385" s="601" t="n"/>
      <c r="P385" s="557">
        <f>CONCATENATE(schedule13[[#This Row],[OD]],"-",schedule13[[#This Row],[ID]],"-",schedule13[[#This Row],[TICKNESS]],"-",schedule13[[#This Row],[GRADE]],"-",schedule13[[#This Row],[FC/NFC]])</f>
        <v/>
      </c>
      <c r="Q385" s="557">
        <f>_xlfn.CONCAT(schedule13[[#This Row],[Bucket]],"-",schedule13[[#This Row],[LENGTH]]/1000)</f>
        <v/>
      </c>
      <c r="R385" s="557">
        <f>COUNTIF(buckets[CTL Bucket],schedule13[[#This Row],[CTL Bucket]])</f>
        <v/>
      </c>
      <c r="S385" s="599" t="n">
        <v>44.45</v>
      </c>
      <c r="T385" s="599" t="n">
        <v>40</v>
      </c>
      <c r="U385" s="6" t="n">
        <v>30</v>
      </c>
      <c r="V385" s="599" t="n">
        <v>1.6</v>
      </c>
      <c r="W385" s="600" t="n">
        <v>860</v>
      </c>
      <c r="X385" s="22" t="inlineStr">
        <is>
          <t>NOS</t>
        </is>
      </c>
      <c r="Y385" s="601" t="n">
        <v>5000</v>
      </c>
      <c r="Z385" s="601" t="n"/>
      <c r="AA385" s="602">
        <f>Y385-Z385</f>
        <v/>
      </c>
      <c r="AB385" s="599">
        <f>(S385-V385)*V385*W385*0.024653*Y385/1000000</f>
        <v/>
      </c>
      <c r="AC385" s="599">
        <f>(S385-V385)*V385*W385*0.024653*Z385/1000000</f>
        <v/>
      </c>
      <c r="AD385" s="599">
        <f>AB385-AC385</f>
        <v/>
      </c>
      <c r="AE385" s="598">
        <f>schedule13[[#This Row],[CTL Stock]]/schedule13[[#This Row],[SCHEDULE IN MT]]*schedule13[[#This Row],[SCHEDULE]]</f>
        <v/>
      </c>
      <c r="AF385" s="599">
        <f>SUMIFS(stock[MT],stock[Bucket],schedule13[[#This Row],[Bucket]],stock[CTL Bucket],schedule13[[#This Row],[CTL Bucket]])</f>
        <v/>
      </c>
      <c r="AG385" s="599">
        <f>SUMIFS(stock[MT],stock[Bucket],schedule13[[#This Row],[Bucket]])+SUMIFS(wip[Stock(Net Wt)],wip[Bucket],schedule13[[#This Row],[Bucket]])/1000</f>
        <v/>
      </c>
      <c r="AH385" s="599">
        <f>AB384-AF385</f>
        <v/>
      </c>
      <c r="AI385" s="118">
        <f>(AC385+AF385)/AB384</f>
        <v/>
      </c>
    </row>
    <row r="386" hidden="1" s="584">
      <c r="A386" s="594" t="n">
        <v>203</v>
      </c>
      <c r="B386" s="5" t="inlineStr">
        <is>
          <t>Hosur</t>
        </is>
      </c>
      <c r="C386" s="601" t="inlineStr">
        <is>
          <t>Rajsriya Unit 8</t>
        </is>
      </c>
      <c r="D386" s="601" t="inlineStr">
        <is>
          <t>Rajsriya</t>
        </is>
      </c>
      <c r="E386" s="601" t="inlineStr">
        <is>
          <t>129695|189481|187884|188415|189239|189240</t>
        </is>
      </c>
      <c r="F386" s="601" t="n">
        <v>1940837</v>
      </c>
      <c r="G386" s="601" t="inlineStr">
        <is>
          <t>TUB-R-AW-RHS-40.00X30.00X2.000X0.8700</t>
        </is>
      </c>
      <c r="H386" s="601" t="inlineStr">
        <is>
          <t>ERW 1</t>
        </is>
      </c>
      <c r="I386" s="601" t="n"/>
      <c r="J386" s="601" t="inlineStr">
        <is>
          <t>FC</t>
        </is>
      </c>
      <c r="K386" s="601" t="inlineStr">
        <is>
          <t>HR</t>
        </is>
      </c>
      <c r="L386" s="601" t="n"/>
      <c r="M386" s="601" t="n"/>
      <c r="N386" s="601" t="n"/>
      <c r="O386" s="601" t="n"/>
      <c r="P386" s="557">
        <f>CONCATENATE(schedule13[[#This Row],[OD]],"-",schedule13[[#This Row],[ID]],"-",schedule13[[#This Row],[TICKNESS]],"-",schedule13[[#This Row],[GRADE]],"-",schedule13[[#This Row],[FC/NFC]])</f>
        <v/>
      </c>
      <c r="Q386" s="557">
        <f>_xlfn.CONCAT(schedule13[[#This Row],[Bucket]],"-",schedule13[[#This Row],[LENGTH]]/1000)</f>
        <v/>
      </c>
      <c r="R386" s="557">
        <f>COUNTIF(buckets[CTL Bucket],schedule13[[#This Row],[CTL Bucket]])</f>
        <v/>
      </c>
      <c r="S386" s="599" t="n">
        <v>44.45</v>
      </c>
      <c r="T386" s="599" t="n">
        <v>40</v>
      </c>
      <c r="U386" s="6" t="n">
        <v>30</v>
      </c>
      <c r="V386" s="599" t="n">
        <v>2</v>
      </c>
      <c r="W386" s="600" t="n">
        <v>870</v>
      </c>
      <c r="X386" s="22" t="inlineStr">
        <is>
          <t>NOS</t>
        </is>
      </c>
      <c r="Y386" s="601" t="n">
        <v>0</v>
      </c>
      <c r="Z386" s="601" t="n"/>
      <c r="AA386" s="602">
        <f>Y386-Z386</f>
        <v/>
      </c>
      <c r="AB386" s="599">
        <f>(S386-V386)*V386*W386*0.024653*Y386/1000000</f>
        <v/>
      </c>
      <c r="AC386" s="599">
        <f>(S386-V386)*V386*W386*0.024653*Z386/1000000</f>
        <v/>
      </c>
      <c r="AD386" s="599">
        <f>AB386-AC386</f>
        <v/>
      </c>
      <c r="AE386" s="598">
        <f>schedule13[[#This Row],[CTL Stock]]/schedule13[[#This Row],[SCHEDULE IN MT]]*schedule13[[#This Row],[SCHEDULE]]</f>
        <v/>
      </c>
      <c r="AF386" s="599">
        <f>SUMIFS(stock[MT],stock[Bucket],schedule13[[#This Row],[Bucket]],stock[CTL Bucket],schedule13[[#This Row],[CTL Bucket]])</f>
        <v/>
      </c>
      <c r="AG386" s="599">
        <f>SUMIFS(stock[MT],stock[Bucket],schedule13[[#This Row],[Bucket]])+SUMIFS(wip[Stock(Net Wt)],wip[Bucket],schedule13[[#This Row],[Bucket]])/1000</f>
        <v/>
      </c>
      <c r="AH386" s="599">
        <f>AB385-AF386</f>
        <v/>
      </c>
      <c r="AI386" s="118">
        <f>(AC386+AF386)/AB385</f>
        <v/>
      </c>
    </row>
    <row r="387" hidden="1" s="584">
      <c r="A387" s="594" t="n">
        <v>205</v>
      </c>
      <c r="B387" s="5" t="inlineStr">
        <is>
          <t>Hosur</t>
        </is>
      </c>
      <c r="C387" s="601" t="inlineStr">
        <is>
          <t>Rajsriya Unit 8</t>
        </is>
      </c>
      <c r="D387" s="601" t="inlineStr">
        <is>
          <t>Rajsriya</t>
        </is>
      </c>
      <c r="E387" s="601" t="inlineStr">
        <is>
          <t>129695|189481|187884|188415|189239|189240</t>
        </is>
      </c>
      <c r="F387" s="601" t="n">
        <v>1940090</v>
      </c>
      <c r="G387" s="601" t="inlineStr">
        <is>
          <t>TUB-O-O-AUT-AW-PE-15.88X2.000X0.2910</t>
        </is>
      </c>
      <c r="H387" s="601" t="inlineStr">
        <is>
          <t>ERW 1</t>
        </is>
      </c>
      <c r="I387" s="601" t="n"/>
      <c r="J387" s="601" t="inlineStr">
        <is>
          <t>PE</t>
        </is>
      </c>
      <c r="K387" s="601" t="inlineStr">
        <is>
          <t>HR</t>
        </is>
      </c>
      <c r="L387" s="601" t="n"/>
      <c r="M387" s="601" t="n"/>
      <c r="N387" s="601" t="n"/>
      <c r="O387" s="601" t="n"/>
      <c r="P387" s="557">
        <f>CONCATENATE(schedule13[[#This Row],[OD]],"-",schedule13[[#This Row],[ID]],"-",schedule13[[#This Row],[TICKNESS]],"-",schedule13[[#This Row],[GRADE]],"-",schedule13[[#This Row],[FC/NFC]])</f>
        <v/>
      </c>
      <c r="Q387" s="557">
        <f>_xlfn.CONCAT(schedule13[[#This Row],[Bucket]],"-",schedule13[[#This Row],[LENGTH]]/1000)</f>
        <v/>
      </c>
      <c r="R387" s="557">
        <f>COUNTIF(buckets[CTL Bucket],schedule13[[#This Row],[CTL Bucket]])</f>
        <v/>
      </c>
      <c r="S387" s="599" t="n">
        <v>15.88</v>
      </c>
      <c r="T387" s="599" t="n">
        <v>15.88</v>
      </c>
      <c r="U387" s="599" t="n">
        <v>0</v>
      </c>
      <c r="V387" s="599" t="n">
        <v>2</v>
      </c>
      <c r="W387" s="23" t="n">
        <v>291</v>
      </c>
      <c r="X387" s="23" t="n"/>
      <c r="Y387" s="601" t="n">
        <v>0</v>
      </c>
      <c r="Z387" s="601" t="n"/>
      <c r="AA387" s="602">
        <f>Y387-Z387</f>
        <v/>
      </c>
      <c r="AB387" s="599">
        <f>(S387-V387)*V387*W387*0.024653*Y387/1000000</f>
        <v/>
      </c>
      <c r="AC387" s="599">
        <f>(S387-V387)*V387*W387*0.024653*Z387/1000000</f>
        <v/>
      </c>
      <c r="AD387" s="599">
        <f>AB387-AC387</f>
        <v/>
      </c>
      <c r="AE387" s="599" t="n"/>
      <c r="AF387" s="599" t="n"/>
      <c r="AG387" s="599" t="n"/>
      <c r="AH387" s="599" t="n"/>
      <c r="AI387" s="118" t="n"/>
    </row>
    <row r="388" hidden="1" s="584">
      <c r="A388" s="594" t="n">
        <v>209</v>
      </c>
      <c r="B388" s="5" t="inlineStr">
        <is>
          <t xml:space="preserve">Khopoli </t>
        </is>
      </c>
      <c r="C388" s="601" t="inlineStr">
        <is>
          <t>Rajsriya Unit 8</t>
        </is>
      </c>
      <c r="D388" s="601" t="inlineStr">
        <is>
          <t>Rajsriya</t>
        </is>
      </c>
      <c r="E388" s="601" t="inlineStr">
        <is>
          <t>129695|189481|187884|188415|189239|189240</t>
        </is>
      </c>
      <c r="F388" s="601" t="n">
        <v>3605867</v>
      </c>
      <c r="G388" s="601" t="inlineStr">
        <is>
          <t>TUB-O-N-AUT-AW-FC-41.28X3.200X0.2350</t>
        </is>
      </c>
      <c r="H388" s="601" t="inlineStr">
        <is>
          <t>ERW 1</t>
        </is>
      </c>
      <c r="I388" s="601" t="n"/>
      <c r="J388" s="601" t="inlineStr">
        <is>
          <t>FC</t>
        </is>
      </c>
      <c r="K388" s="601" t="inlineStr">
        <is>
          <t>HR</t>
        </is>
      </c>
      <c r="L388" s="601" t="n"/>
      <c r="M388" s="601" t="inlineStr">
        <is>
          <t>Chamferring</t>
        </is>
      </c>
      <c r="N388" s="601" t="n"/>
      <c r="O388" s="601" t="n"/>
      <c r="P388" s="557">
        <f>CONCATENATE(schedule13[[#This Row],[OD]],"-",schedule13[[#This Row],[ID]],"-",schedule13[[#This Row],[TICKNESS]],"-",schedule13[[#This Row],[GRADE]],"-",schedule13[[#This Row],[FC/NFC]])</f>
        <v/>
      </c>
      <c r="Q388" s="557">
        <f>_xlfn.CONCAT(schedule13[[#This Row],[Bucket]],"-",schedule13[[#This Row],[LENGTH]]/1000)</f>
        <v/>
      </c>
      <c r="R388" s="557">
        <f>COUNTIF(buckets[CTL Bucket],schedule13[[#This Row],[CTL Bucket]])</f>
        <v/>
      </c>
      <c r="S388" s="599" t="n">
        <v>41.28</v>
      </c>
      <c r="T388" s="599" t="n">
        <v>41.28</v>
      </c>
      <c r="U388" s="599" t="n">
        <v>0</v>
      </c>
      <c r="V388" s="599" t="n">
        <v>3.2</v>
      </c>
      <c r="W388" s="600" t="n">
        <v>230</v>
      </c>
      <c r="X388" s="22" t="inlineStr">
        <is>
          <t>NOS</t>
        </is>
      </c>
      <c r="Y388" s="601" t="n">
        <v>3000</v>
      </c>
      <c r="Z388" s="601" t="n"/>
      <c r="AA388" s="602">
        <f>Y388-Z388</f>
        <v/>
      </c>
      <c r="AB388" s="599">
        <f>(S388-V388)*V388*W388*0.024653*Y388/1000000</f>
        <v/>
      </c>
      <c r="AC388" s="599">
        <f>(S388-V388)*V388*W388*0.024653*Z388/1000000</f>
        <v/>
      </c>
      <c r="AD388" s="599">
        <f>AB388-AC388</f>
        <v/>
      </c>
      <c r="AE388" s="598">
        <f>schedule13[[#This Row],[CTL Stock]]/schedule13[[#This Row],[SCHEDULE IN MT]]*schedule13[[#This Row],[SCHEDULE]]</f>
        <v/>
      </c>
      <c r="AF388" s="599">
        <f>SUMIFS(stock[MT],stock[Bucket],schedule13[[#This Row],[Bucket]],stock[CTL Bucket],schedule13[[#This Row],[CTL Bucket]])</f>
        <v/>
      </c>
      <c r="AG388" s="599">
        <f>SUMIFS(stock[MT],stock[Bucket],schedule13[[#This Row],[Bucket]])+SUMIFS(wip[Stock(Net Wt)],wip[Bucket],schedule13[[#This Row],[Bucket]])/1000</f>
        <v/>
      </c>
      <c r="AH388" s="599">
        <f>AB387-AF388</f>
        <v/>
      </c>
      <c r="AI388" s="118">
        <f>(AC388+AF388)/AB387</f>
        <v/>
      </c>
    </row>
    <row r="389" hidden="1" s="584">
      <c r="A389" s="594" t="n">
        <v>218</v>
      </c>
      <c r="B389" s="5" t="inlineStr">
        <is>
          <t xml:space="preserve">Khopoli </t>
        </is>
      </c>
      <c r="C389" s="601" t="inlineStr">
        <is>
          <t>Rajsriya Unit 8</t>
        </is>
      </c>
      <c r="D389" s="601" t="inlineStr">
        <is>
          <t>Rajsriya</t>
        </is>
      </c>
      <c r="E389" s="601" t="inlineStr">
        <is>
          <t>129695|189481|187884|188415|189239|189240</t>
        </is>
      </c>
      <c r="F389" s="601" t="n">
        <v>1938358</v>
      </c>
      <c r="G389" s="601" t="inlineStr">
        <is>
          <t>TUB-O-N-AUT-AN-FC-42.70X4.000X0.2540</t>
        </is>
      </c>
      <c r="H389" s="601" t="inlineStr">
        <is>
          <t>ERW 1</t>
        </is>
      </c>
      <c r="I389" s="601" t="inlineStr">
        <is>
          <t>Annealed</t>
        </is>
      </c>
      <c r="J389" s="601" t="inlineStr">
        <is>
          <t>FC</t>
        </is>
      </c>
      <c r="K389" s="601" t="inlineStr">
        <is>
          <t>HR</t>
        </is>
      </c>
      <c r="L389" s="601" t="n"/>
      <c r="M389" s="601" t="inlineStr">
        <is>
          <t>Chamferring</t>
        </is>
      </c>
      <c r="N389" s="601" t="n"/>
      <c r="O389" s="601" t="n"/>
      <c r="P389" s="557">
        <f>CONCATENATE(schedule13[[#This Row],[OD]],"-",schedule13[[#This Row],[ID]],"-",schedule13[[#This Row],[TICKNESS]],"-",schedule13[[#This Row],[GRADE]],"-",schedule13[[#This Row],[FC/NFC]])</f>
        <v/>
      </c>
      <c r="Q389" s="557">
        <f>_xlfn.CONCAT(schedule13[[#This Row],[Bucket]],"-",schedule13[[#This Row],[LENGTH]]/1000)</f>
        <v/>
      </c>
      <c r="R389" s="557">
        <f>COUNTIF(buckets[CTL Bucket],schedule13[[#This Row],[CTL Bucket]])</f>
        <v/>
      </c>
      <c r="S389" s="599" t="n">
        <v>42.7</v>
      </c>
      <c r="T389" s="599" t="n">
        <v>42.7</v>
      </c>
      <c r="U389" s="599" t="n">
        <v>0</v>
      </c>
      <c r="V389" s="599" t="n">
        <v>4</v>
      </c>
      <c r="W389" s="23" t="n">
        <v>254</v>
      </c>
      <c r="X389" s="22" t="inlineStr">
        <is>
          <t>NOS</t>
        </is>
      </c>
      <c r="Y389" s="601" t="n">
        <v>5000</v>
      </c>
      <c r="Z389" s="601" t="n"/>
      <c r="AA389" s="602">
        <f>Y389-Z389</f>
        <v/>
      </c>
      <c r="AB389" s="599">
        <f>(S389-V389)*V389*W389*0.024653*Y389/1000000</f>
        <v/>
      </c>
      <c r="AC389" s="599">
        <f>(S389-V389)*V389*W389*0.024653*Z389/1000000</f>
        <v/>
      </c>
      <c r="AD389" s="599">
        <f>AB389-AC389</f>
        <v/>
      </c>
      <c r="AE389" s="598">
        <f>schedule13[[#This Row],[CTL Stock]]/schedule13[[#This Row],[SCHEDULE IN MT]]*schedule13[[#This Row],[SCHEDULE]]</f>
        <v/>
      </c>
      <c r="AF389" s="599">
        <f>SUMIFS(stock[MT],stock[Bucket],schedule13[[#This Row],[Bucket]],stock[CTL Bucket],schedule13[[#This Row],[CTL Bucket]])</f>
        <v/>
      </c>
      <c r="AG389" s="599">
        <f>SUMIFS(stock[MT],stock[Bucket],schedule13[[#This Row],[Bucket]])+SUMIFS(wip[Stock(Net Wt)],wip[Bucket],schedule13[[#This Row],[Bucket]])/1000</f>
        <v/>
      </c>
      <c r="AH389" s="599">
        <f>AB388-AF389</f>
        <v/>
      </c>
      <c r="AI389" s="118">
        <f>(AC389+AF389)/AB388</f>
        <v/>
      </c>
    </row>
    <row r="390" hidden="1" s="584">
      <c r="A390" s="594" t="n">
        <v>225</v>
      </c>
      <c r="B390" s="5" t="inlineStr">
        <is>
          <t>Hosur</t>
        </is>
      </c>
      <c r="C390" s="601" t="inlineStr">
        <is>
          <t>Rajsriya Unit 8</t>
        </is>
      </c>
      <c r="D390" s="601" t="inlineStr">
        <is>
          <t>Rajsriya</t>
        </is>
      </c>
      <c r="E390" s="601" t="inlineStr">
        <is>
          <t>129695|189481|187884|188415|189239|189240</t>
        </is>
      </c>
      <c r="F390" s="601" t="n">
        <v>1940911</v>
      </c>
      <c r="G390" s="601" t="inlineStr">
        <is>
          <t>TUB-O-O-AUT-AW-AG-57.15X2.500X0.7720</t>
        </is>
      </c>
      <c r="H390" s="601" t="inlineStr">
        <is>
          <t>ERW 1</t>
        </is>
      </c>
      <c r="I390" s="601" t="n"/>
      <c r="J390" s="601" t="inlineStr">
        <is>
          <t>FC</t>
        </is>
      </c>
      <c r="K390" s="601" t="inlineStr">
        <is>
          <t>HR</t>
        </is>
      </c>
      <c r="L390" s="601" t="n"/>
      <c r="M390" s="601" t="n"/>
      <c r="N390" s="601" t="inlineStr">
        <is>
          <t>AG</t>
        </is>
      </c>
      <c r="O390" s="601" t="n"/>
      <c r="P390" s="557">
        <f>CONCATENATE(schedule13[[#This Row],[OD]],"-",schedule13[[#This Row],[ID]],"-",schedule13[[#This Row],[TICKNESS]],"-",schedule13[[#This Row],[GRADE]],"-",schedule13[[#This Row],[FC/NFC]])</f>
        <v/>
      </c>
      <c r="Q390" s="557">
        <f>_xlfn.CONCAT(schedule13[[#This Row],[Bucket]],"-",schedule13[[#This Row],[LENGTH]]/1000)</f>
        <v/>
      </c>
      <c r="R390" s="557">
        <f>COUNTIF(buckets[CTL Bucket],schedule13[[#This Row],[CTL Bucket]])</f>
        <v/>
      </c>
      <c r="S390" s="599" t="n">
        <v>57.15</v>
      </c>
      <c r="T390" s="599" t="n">
        <v>57.15</v>
      </c>
      <c r="U390" s="599" t="n">
        <v>0</v>
      </c>
      <c r="V390" s="599" t="n">
        <v>2.5</v>
      </c>
      <c r="W390" s="600" t="n">
        <v>772</v>
      </c>
      <c r="X390" s="22" t="inlineStr">
        <is>
          <t>NOS</t>
        </is>
      </c>
      <c r="Y390" s="601" t="n">
        <v>3000</v>
      </c>
      <c r="Z390" s="601" t="n"/>
      <c r="AA390" s="602">
        <f>Y390-Z390</f>
        <v/>
      </c>
      <c r="AB390" s="599">
        <f>(S390-V390)*V390*W390*0.024653*Y390/1000000</f>
        <v/>
      </c>
      <c r="AC390" s="599">
        <f>(S390-V390)*V390*W390*0.024653*Z390/1000000</f>
        <v/>
      </c>
      <c r="AD390" s="599">
        <f>AB390-AC390</f>
        <v/>
      </c>
      <c r="AE390" s="598">
        <f>schedule13[[#This Row],[CTL Stock]]/schedule13[[#This Row],[SCHEDULE IN MT]]*schedule13[[#This Row],[SCHEDULE]]</f>
        <v/>
      </c>
      <c r="AF390" s="599">
        <f>SUMIFS(stock[MT],stock[Bucket],schedule13[[#This Row],[Bucket]],stock[CTL Bucket],schedule13[[#This Row],[CTL Bucket]])</f>
        <v/>
      </c>
      <c r="AG390" s="599">
        <f>SUMIFS(stock[MT],stock[Bucket],schedule13[[#This Row],[Bucket]])+SUMIFS(wip[Stock(Net Wt)],wip[Bucket],schedule13[[#This Row],[Bucket]])/1000</f>
        <v/>
      </c>
      <c r="AH390" s="599">
        <f>AB389-AF390</f>
        <v/>
      </c>
      <c r="AI390" s="118">
        <f>(AC390+AF390)/AB389</f>
        <v/>
      </c>
    </row>
    <row r="391" hidden="1" s="584">
      <c r="A391" s="594" t="n">
        <v>235</v>
      </c>
      <c r="B391" s="5" t="inlineStr">
        <is>
          <t>Hosur</t>
        </is>
      </c>
      <c r="C391" s="601" t="inlineStr">
        <is>
          <t>Rajsriya Unit 8</t>
        </is>
      </c>
      <c r="D391" s="601" t="inlineStr">
        <is>
          <t>Rajsriya</t>
        </is>
      </c>
      <c r="E391" s="601" t="inlineStr">
        <is>
          <t>129695|189481|187884|188415|189239|189240</t>
        </is>
      </c>
      <c r="F391" s="601" t="n">
        <v>3122347</v>
      </c>
      <c r="G391" s="601" t="inlineStr">
        <is>
          <t>TUB-O-N-AUT-AW-PE-19.05X1.600X0.3940</t>
        </is>
      </c>
      <c r="H391" s="601" t="inlineStr">
        <is>
          <t>ERW 2 MAHS</t>
        </is>
      </c>
      <c r="I391" s="601" t="n"/>
      <c r="J391" s="601" t="inlineStr">
        <is>
          <t>PE</t>
        </is>
      </c>
      <c r="K391" s="601" t="inlineStr">
        <is>
          <t>CR</t>
        </is>
      </c>
      <c r="L391" s="596" t="inlineStr">
        <is>
          <t>ST52AL</t>
        </is>
      </c>
      <c r="M391" s="601" t="n"/>
      <c r="N391" s="601" t="inlineStr">
        <is>
          <t>AG</t>
        </is>
      </c>
      <c r="O391" s="601" t="n"/>
      <c r="P391" s="557">
        <f>CONCATENATE(schedule13[[#This Row],[OD]],"-",schedule13[[#This Row],[ID]],"-",schedule13[[#This Row],[TICKNESS]],"-",schedule13[[#This Row],[GRADE]],"-",schedule13[[#This Row],[FC/NFC]])</f>
        <v/>
      </c>
      <c r="Q391" s="557">
        <f>_xlfn.CONCAT(schedule13[[#This Row],[Bucket]],"-",schedule13[[#This Row],[LENGTH]]/1000)</f>
        <v/>
      </c>
      <c r="R391" s="557">
        <f>COUNTIF(buckets[CTL Bucket],schedule13[[#This Row],[CTL Bucket]])</f>
        <v/>
      </c>
      <c r="S391" s="599" t="n">
        <v>19.05</v>
      </c>
      <c r="T391" s="599" t="n">
        <v>19.05</v>
      </c>
      <c r="U391" s="599" t="n">
        <v>0</v>
      </c>
      <c r="V391" s="599" t="n">
        <v>1.6</v>
      </c>
      <c r="W391" s="600" t="n">
        <v>394</v>
      </c>
      <c r="X391" s="22" t="inlineStr">
        <is>
          <t>NOS</t>
        </is>
      </c>
      <c r="Y391" s="601" t="n">
        <v>0</v>
      </c>
      <c r="Z391" s="601" t="n"/>
      <c r="AA391" s="602">
        <f>Y391-Z391</f>
        <v/>
      </c>
      <c r="AB391" s="599">
        <f>(S391-V391)*V391*W391*0.024653*Y391/1000000</f>
        <v/>
      </c>
      <c r="AC391" s="599">
        <f>(S391-V391)*V391*W391*0.024653*Z391/1000000</f>
        <v/>
      </c>
      <c r="AD391" s="599">
        <f>AB391-AC391</f>
        <v/>
      </c>
      <c r="AE391" s="599" t="n"/>
      <c r="AF391" s="599" t="n">
        <v>0.104067</v>
      </c>
      <c r="AG391" s="599" t="n"/>
      <c r="AH391" s="599">
        <f>AB390-AF391</f>
        <v/>
      </c>
      <c r="AI391" s="118">
        <f>(AC391+AF391)/AB390</f>
        <v/>
      </c>
    </row>
    <row r="392" hidden="1" s="584">
      <c r="A392" s="594" t="n">
        <v>242</v>
      </c>
      <c r="B392" s="5" t="inlineStr">
        <is>
          <t xml:space="preserve">Khopoli </t>
        </is>
      </c>
      <c r="C392" s="601" t="inlineStr">
        <is>
          <t>Rajsriya Unit 8</t>
        </is>
      </c>
      <c r="D392" s="601" t="inlineStr">
        <is>
          <t>Rajsriya</t>
        </is>
      </c>
      <c r="E392" s="601" t="inlineStr">
        <is>
          <t>129695|189481|187884|188415|189239|189240</t>
        </is>
      </c>
      <c r="F392" s="601" t="inlineStr">
        <is>
          <t>NO MATERIAL CODE</t>
        </is>
      </c>
      <c r="G392" s="601" t="n"/>
      <c r="H392" s="601" t="inlineStr">
        <is>
          <t>ERW 1</t>
        </is>
      </c>
      <c r="I392" s="601" t="n"/>
      <c r="J392" s="601" t="inlineStr">
        <is>
          <t>FC</t>
        </is>
      </c>
      <c r="K392" s="601" t="inlineStr">
        <is>
          <t>HR</t>
        </is>
      </c>
      <c r="L392" s="601" t="n"/>
      <c r="M392" s="601" t="n"/>
      <c r="N392" s="601" t="inlineStr">
        <is>
          <t>AG</t>
        </is>
      </c>
      <c r="O392" s="601" t="n"/>
      <c r="P392" s="557">
        <f>CONCATENATE(schedule13[[#This Row],[OD]],"-",schedule13[[#This Row],[ID]],"-",schedule13[[#This Row],[TICKNESS]],"-",schedule13[[#This Row],[GRADE]],"-",schedule13[[#This Row],[FC/NFC]])</f>
        <v/>
      </c>
      <c r="Q392" s="557" t="inlineStr">
        <is>
          <t>60.3-0-2-ERW 1-FC-0.493</t>
        </is>
      </c>
      <c r="R392" s="557">
        <f>COUNTIF(buckets[CTL Bucket],schedule13[[#This Row],[CTL Bucket]])</f>
        <v/>
      </c>
      <c r="S392" s="599" t="n">
        <v>60.3</v>
      </c>
      <c r="T392" s="599" t="n">
        <v>60.3</v>
      </c>
      <c r="U392" s="599" t="n">
        <v>0</v>
      </c>
      <c r="V392" s="599" t="n">
        <v>2</v>
      </c>
      <c r="W392" s="600" t="n">
        <v>491</v>
      </c>
      <c r="X392" s="22" t="inlineStr">
        <is>
          <t>NOS</t>
        </is>
      </c>
      <c r="Y392" s="601" t="n">
        <v>3000</v>
      </c>
      <c r="Z392" s="601" t="n"/>
      <c r="AA392" s="602">
        <f>Y392-Z392</f>
        <v/>
      </c>
      <c r="AB392" s="599">
        <f>(S392-V392)*V392*W392*0.024653*Y392/1000000</f>
        <v/>
      </c>
      <c r="AC392" s="599">
        <f>(S392-V392)*V392*W392*0.024653*Z392/1000000</f>
        <v/>
      </c>
      <c r="AD392" s="599">
        <f>AB392-AC392</f>
        <v/>
      </c>
      <c r="AE392" s="598">
        <f>schedule13[[#This Row],[CTL Stock]]/schedule13[[#This Row],[SCHEDULE IN MT]]*schedule13[[#This Row],[SCHEDULE]]</f>
        <v/>
      </c>
      <c r="AF392" s="599">
        <f>SUMIFS(stock[MT],stock[Bucket],schedule13[[#This Row],[Bucket]],stock[CTL Bucket],schedule13[[#This Row],[CTL Bucket]])</f>
        <v/>
      </c>
      <c r="AG392" s="599">
        <f>SUMIFS(stock[MT],stock[Bucket],schedule13[[#This Row],[Bucket]])+SUMIFS(wip[Stock(Net Wt)],wip[Bucket],schedule13[[#This Row],[Bucket]])/1000</f>
        <v/>
      </c>
      <c r="AH392" s="599">
        <f>AB391-AF392</f>
        <v/>
      </c>
      <c r="AI392" s="118">
        <f>(AC392+AF392)/AB391</f>
        <v/>
      </c>
    </row>
    <row r="393" hidden="1" s="584">
      <c r="A393" s="594" t="n">
        <v>289</v>
      </c>
      <c r="B393" s="5" t="inlineStr">
        <is>
          <t xml:space="preserve">Khopoli </t>
        </is>
      </c>
      <c r="C393" s="601" t="inlineStr">
        <is>
          <t>Rajsriya Unit 8</t>
        </is>
      </c>
      <c r="D393" s="601" t="inlineStr">
        <is>
          <t>Rajsriya</t>
        </is>
      </c>
      <c r="E393" s="601" t="inlineStr">
        <is>
          <t>129695|189481|187884|188415|189239|189240</t>
        </is>
      </c>
      <c r="F393" s="601" t="n">
        <v>3545492</v>
      </c>
      <c r="G393" s="601" t="inlineStr">
        <is>
          <t>TUB-O-C-AUT-AD-FC-19.00X3.250X0.1950</t>
        </is>
      </c>
      <c r="H393" s="601" t="inlineStr">
        <is>
          <t>CEW</t>
        </is>
      </c>
      <c r="I393" s="601" t="n"/>
      <c r="J393" s="601" t="inlineStr">
        <is>
          <t>CEW</t>
        </is>
      </c>
      <c r="K393" s="601" t="inlineStr">
        <is>
          <t>HR</t>
        </is>
      </c>
      <c r="L393" s="601" t="n"/>
      <c r="M393" s="601" t="n"/>
      <c r="N393" s="601" t="n"/>
      <c r="O393" s="601" t="n"/>
      <c r="P393" s="557">
        <f>CONCATENATE(schedule13[[#This Row],[OD]],"-",schedule13[[#This Row],[ID]],"-",schedule13[[#This Row],[TICKNESS]],"-",schedule13[[#This Row],[GRADE]],"-",schedule13[[#This Row],[FC/NFC]])</f>
        <v/>
      </c>
      <c r="Q393" s="557">
        <f>_xlfn.CONCAT(schedule13[[#This Row],[Bucket]],"-",schedule13[[#This Row],[LENGTH]]/1000)</f>
        <v/>
      </c>
      <c r="R393" s="557">
        <f>COUNTIF(buckets[CTL Bucket],schedule13[[#This Row],[CTL Bucket]])</f>
        <v/>
      </c>
      <c r="S393" s="599" t="n">
        <v>19</v>
      </c>
      <c r="T393" s="599" t="n">
        <v>19</v>
      </c>
      <c r="U393" s="599" t="n">
        <v>12.5</v>
      </c>
      <c r="V393" s="599" t="n">
        <v>3.25</v>
      </c>
      <c r="W393" s="600" t="n">
        <v>195</v>
      </c>
      <c r="X393" s="600" t="n"/>
      <c r="Y393" s="601" t="n">
        <v>20000</v>
      </c>
      <c r="Z393" s="601" t="n"/>
      <c r="AA393" s="602">
        <f>Y393-Z393</f>
        <v/>
      </c>
      <c r="AB393" s="599">
        <f>(S393-V393)*V393*W393*0.024653*Y393/1000000</f>
        <v/>
      </c>
      <c r="AC393" s="599">
        <f>(S393-V393)*V393*W393*0.024653*Z393/1000000</f>
        <v/>
      </c>
      <c r="AD393" s="599">
        <f>AB393-AC393</f>
        <v/>
      </c>
      <c r="AE393" s="599" t="n"/>
      <c r="AF393" s="599" t="n"/>
      <c r="AG393" s="599" t="n"/>
      <c r="AH393" s="599">
        <f>AB392-AF393</f>
        <v/>
      </c>
      <c r="AI393" s="118">
        <f>(AC393+AF393)/AB392</f>
        <v/>
      </c>
    </row>
    <row r="394" hidden="1" s="584">
      <c r="A394" s="594" t="n">
        <v>500</v>
      </c>
      <c r="B394" s="5" t="inlineStr">
        <is>
          <t>Hosur</t>
        </is>
      </c>
      <c r="C394" s="601" t="inlineStr">
        <is>
          <t>RUCHA</t>
        </is>
      </c>
      <c r="D394" s="601" t="n"/>
      <c r="E394" s="601" t="n">
        <v>188534</v>
      </c>
      <c r="F394" s="601" t="n">
        <v>3732182</v>
      </c>
      <c r="G394" s="601" t="inlineStr">
        <is>
          <t>TUB-O-O-AUT-AW-PE-19.05X2.000X0.8200</t>
        </is>
      </c>
      <c r="H394" s="601" t="inlineStr">
        <is>
          <t>ERW 1</t>
        </is>
      </c>
      <c r="I394" s="601" t="n"/>
      <c r="J394" s="601" t="inlineStr">
        <is>
          <t>PE</t>
        </is>
      </c>
      <c r="K394" s="601" t="inlineStr">
        <is>
          <t>HR</t>
        </is>
      </c>
      <c r="L394" s="601" t="n"/>
      <c r="M394" s="601" t="n"/>
      <c r="N394" s="601" t="n"/>
      <c r="O394" s="601" t="n"/>
      <c r="P394" s="557">
        <f>CONCATENATE(schedule13[[#This Row],[OD]],"-",schedule13[[#This Row],[ID]],"-",schedule13[[#This Row],[TICKNESS]],"-",schedule13[[#This Row],[GRADE]],"-",schedule13[[#This Row],[FC/NFC]])</f>
        <v/>
      </c>
      <c r="Q394" s="557">
        <f>_xlfn.CONCAT(schedule13[[#This Row],[Bucket]],"-",schedule13[[#This Row],[LENGTH]]/1000)</f>
        <v/>
      </c>
      <c r="R394" s="557">
        <f>COUNTIF(buckets[CTL Bucket],schedule13[[#This Row],[CTL Bucket]])</f>
        <v/>
      </c>
      <c r="S394" s="599" t="n">
        <v>19.05</v>
      </c>
      <c r="T394" s="599" t="n">
        <v>19.05</v>
      </c>
      <c r="U394" s="599" t="n">
        <v>0</v>
      </c>
      <c r="V394" s="599" t="n">
        <v>2</v>
      </c>
      <c r="W394" s="600" t="n">
        <v>820</v>
      </c>
      <c r="X394" s="22" t="inlineStr">
        <is>
          <t>NOS</t>
        </is>
      </c>
      <c r="Y394" s="601" t="n">
        <v>14500</v>
      </c>
      <c r="Z394" s="601" t="n"/>
      <c r="AA394" s="602">
        <f>Y394-Z394</f>
        <v/>
      </c>
      <c r="AB394" s="599">
        <f>(S394-V394)*V394*W394*0.024653*Y394/1000000</f>
        <v/>
      </c>
      <c r="AC394" s="599">
        <f>(S394-V394)*V394*W394*0.024653*Z394/1000000</f>
        <v/>
      </c>
      <c r="AD394" s="599">
        <f>AB394-AC394</f>
        <v/>
      </c>
      <c r="AE394" s="599" t="n"/>
      <c r="AF394" s="599" t="n"/>
      <c r="AG394" s="599" t="n"/>
      <c r="AH394" s="599">
        <f>AB393-AF394</f>
        <v/>
      </c>
      <c r="AI394" s="118">
        <f>(AC394+AF394)/AB393</f>
        <v/>
      </c>
    </row>
    <row r="395" hidden="1" s="584">
      <c r="A395" s="594" t="n">
        <v>501</v>
      </c>
      <c r="B395" s="5" t="inlineStr">
        <is>
          <t>Hosur</t>
        </is>
      </c>
      <c r="C395" s="601" t="inlineStr">
        <is>
          <t>RUCHA</t>
        </is>
      </c>
      <c r="D395" s="601" t="n"/>
      <c r="E395" s="601" t="n">
        <v>188534</v>
      </c>
      <c r="F395" s="601" t="n"/>
      <c r="G395" s="601" t="n"/>
      <c r="H395" s="601" t="inlineStr">
        <is>
          <t>ERW 1</t>
        </is>
      </c>
      <c r="I395" s="601" t="n"/>
      <c r="J395" s="601" t="inlineStr">
        <is>
          <t>PE</t>
        </is>
      </c>
      <c r="K395" s="601" t="inlineStr">
        <is>
          <t>HR</t>
        </is>
      </c>
      <c r="L395" s="601" t="n"/>
      <c r="M395" s="601" t="n"/>
      <c r="N395" s="601" t="n"/>
      <c r="O395" s="601" t="n"/>
      <c r="P395" s="557">
        <f>CONCATENATE(schedule13[[#This Row],[OD]],"-",schedule13[[#This Row],[ID]],"-",schedule13[[#This Row],[TICKNESS]],"-",schedule13[[#This Row],[GRADE]],"-",schedule13[[#This Row],[FC/NFC]])</f>
        <v/>
      </c>
      <c r="Q395" s="557">
        <f>_xlfn.CONCAT(schedule13[[#This Row],[Bucket]],"-",schedule13[[#This Row],[LENGTH]]/1000)</f>
        <v/>
      </c>
      <c r="R395" s="557">
        <f>COUNTIF(buckets[CTL Bucket],schedule13[[#This Row],[CTL Bucket]])</f>
        <v/>
      </c>
      <c r="S395" s="599" t="n">
        <v>19.05</v>
      </c>
      <c r="T395" s="599" t="n">
        <v>19.05</v>
      </c>
      <c r="U395" s="599" t="n">
        <v>0</v>
      </c>
      <c r="V395" s="599" t="n">
        <v>2.3</v>
      </c>
      <c r="W395" s="600" t="n">
        <v>250</v>
      </c>
      <c r="X395" s="22" t="inlineStr">
        <is>
          <t>NOS</t>
        </is>
      </c>
      <c r="Y395" s="601" t="n">
        <v>10000</v>
      </c>
      <c r="Z395" s="601" t="n"/>
      <c r="AA395" s="602">
        <f>Y395-Z395</f>
        <v/>
      </c>
      <c r="AB395" s="599">
        <f>(S395-V395)*V395*W395*0.024653*Y395/1000000</f>
        <v/>
      </c>
      <c r="AC395" s="599">
        <f>(S395-V395)*V395*W395*0.024653*Z395/1000000</f>
        <v/>
      </c>
      <c r="AD395" s="599">
        <f>AB395-AC395</f>
        <v/>
      </c>
      <c r="AE395" s="599" t="n"/>
      <c r="AF395" s="599" t="n"/>
      <c r="AG395" s="599" t="n"/>
      <c r="AH395" s="599">
        <f>AB394-AF395</f>
        <v/>
      </c>
      <c r="AI395" s="118">
        <f>(AC395+AF395)/AB394</f>
        <v/>
      </c>
    </row>
    <row r="396" hidden="1" s="584">
      <c r="A396" s="594" t="n">
        <v>502</v>
      </c>
      <c r="B396" s="5" t="inlineStr">
        <is>
          <t>Hosur</t>
        </is>
      </c>
      <c r="C396" s="601" t="inlineStr">
        <is>
          <t>RUCHA</t>
        </is>
      </c>
      <c r="D396" s="601" t="n"/>
      <c r="E396" s="601" t="n">
        <v>188534</v>
      </c>
      <c r="F396" s="601" t="n"/>
      <c r="G396" s="601" t="n"/>
      <c r="H396" s="601" t="inlineStr">
        <is>
          <t>ERW 1</t>
        </is>
      </c>
      <c r="I396" s="601" t="n"/>
      <c r="J396" s="601" t="inlineStr">
        <is>
          <t>PE</t>
        </is>
      </c>
      <c r="K396" s="601" t="inlineStr">
        <is>
          <t>HR</t>
        </is>
      </c>
      <c r="L396" s="601" t="n"/>
      <c r="M396" s="601" t="n"/>
      <c r="N396" s="601" t="n"/>
      <c r="O396" s="601" t="n"/>
      <c r="P396" s="557">
        <f>CONCATENATE(schedule13[[#This Row],[OD]],"-",schedule13[[#This Row],[ID]],"-",schedule13[[#This Row],[TICKNESS]],"-",schedule13[[#This Row],[GRADE]],"-",schedule13[[#This Row],[FC/NFC]])</f>
        <v/>
      </c>
      <c r="Q396" s="601" t="inlineStr">
        <is>
          <t>19.05-0-2.3-ERW 1-PE-0.279</t>
        </is>
      </c>
      <c r="R396" s="557">
        <f>COUNTIF(buckets[CTL Bucket],schedule13[[#This Row],[CTL Bucket]])</f>
        <v/>
      </c>
      <c r="S396" s="599" t="n">
        <v>19.05</v>
      </c>
      <c r="T396" s="599" t="n">
        <v>19.05</v>
      </c>
      <c r="U396" s="599" t="n">
        <v>0</v>
      </c>
      <c r="V396" s="599" t="n">
        <v>2.3</v>
      </c>
      <c r="W396" s="600" t="n">
        <v>278</v>
      </c>
      <c r="X396" s="22" t="inlineStr">
        <is>
          <t>NOS</t>
        </is>
      </c>
      <c r="Y396" s="601" t="n">
        <v>10000</v>
      </c>
      <c r="Z396" s="601" t="n"/>
      <c r="AA396" s="602">
        <f>Y396-Z396</f>
        <v/>
      </c>
      <c r="AB396" s="599">
        <f>(S396-V396)*V396*W396*0.024653*Y396/1000000</f>
        <v/>
      </c>
      <c r="AC396" s="599">
        <f>(S396-V396)*V396*W396*0.024653*Z396/1000000</f>
        <v/>
      </c>
      <c r="AD396" s="599">
        <f>AB396-AC396</f>
        <v/>
      </c>
      <c r="AE396" s="599" t="n"/>
      <c r="AF396" s="599" t="n"/>
      <c r="AG396" s="599" t="n"/>
      <c r="AH396" s="599">
        <f>AB395-AF396</f>
        <v/>
      </c>
      <c r="AI396" s="118">
        <f>(AC396+AF396)/AB395</f>
        <v/>
      </c>
    </row>
    <row r="397" hidden="1" s="584">
      <c r="A397" s="594" t="n">
        <v>503</v>
      </c>
      <c r="B397" s="5" t="inlineStr">
        <is>
          <t>Hosur</t>
        </is>
      </c>
      <c r="C397" s="601" t="inlineStr">
        <is>
          <t>RUCHA</t>
        </is>
      </c>
      <c r="D397" s="601" t="n"/>
      <c r="E397" s="601" t="n">
        <v>188534</v>
      </c>
      <c r="F397" s="601" t="n">
        <v>1940312</v>
      </c>
      <c r="G397" s="601" t="inlineStr">
        <is>
          <t>TUB-O-O-AUT-AW-PE-19.05X2.300X0.2950</t>
        </is>
      </c>
      <c r="H397" s="601" t="inlineStr">
        <is>
          <t>ERW 1</t>
        </is>
      </c>
      <c r="I397" s="601" t="n"/>
      <c r="J397" s="601" t="inlineStr">
        <is>
          <t>PE</t>
        </is>
      </c>
      <c r="K397" s="601" t="inlineStr">
        <is>
          <t>HR</t>
        </is>
      </c>
      <c r="L397" s="601" t="n"/>
      <c r="M397" s="601" t="n"/>
      <c r="N397" s="601" t="n"/>
      <c r="O397" s="601" t="n"/>
      <c r="P397" s="557">
        <f>CONCATENATE(schedule13[[#This Row],[OD]],"-",schedule13[[#This Row],[ID]],"-",schedule13[[#This Row],[TICKNESS]],"-",schedule13[[#This Row],[GRADE]],"-",schedule13[[#This Row],[FC/NFC]])</f>
        <v/>
      </c>
      <c r="Q397" s="557">
        <f>_xlfn.CONCAT(schedule13[[#This Row],[Bucket]],"-",schedule13[[#This Row],[LENGTH]]/1000)</f>
        <v/>
      </c>
      <c r="R397" s="557">
        <f>COUNTIF(buckets[CTL Bucket],schedule13[[#This Row],[CTL Bucket]])</f>
        <v/>
      </c>
      <c r="S397" s="599" t="n">
        <v>19.05</v>
      </c>
      <c r="T397" s="599" t="n">
        <v>19.05</v>
      </c>
      <c r="U397" s="599" t="n">
        <v>0</v>
      </c>
      <c r="V397" s="599" t="n">
        <v>2.3</v>
      </c>
      <c r="W397" s="600" t="n">
        <v>295</v>
      </c>
      <c r="X397" s="22" t="inlineStr">
        <is>
          <t>NOS</t>
        </is>
      </c>
      <c r="Y397" s="601" t="n">
        <v>19580</v>
      </c>
      <c r="Z397" s="601" t="n"/>
      <c r="AA397" s="602">
        <f>Y397-Z397</f>
        <v/>
      </c>
      <c r="AB397" s="599">
        <f>(S397-V397)*V397*W397*0.024653*Y397/1000000</f>
        <v/>
      </c>
      <c r="AC397" s="599">
        <f>(S397-V397)*V397*W397*0.024653*Z397/1000000</f>
        <v/>
      </c>
      <c r="AD397" s="599">
        <f>AB397-AC397</f>
        <v/>
      </c>
      <c r="AE397" s="599" t="n"/>
      <c r="AF397" s="599" t="n">
        <v>3.252</v>
      </c>
      <c r="AG397" s="599" t="n"/>
      <c r="AH397" s="599">
        <f>AB396-AF397</f>
        <v/>
      </c>
      <c r="AI397" s="118">
        <f>(AC397+AF397)/AB396</f>
        <v/>
      </c>
    </row>
    <row r="398" hidden="1" s="584">
      <c r="A398" s="594" t="n">
        <v>504</v>
      </c>
      <c r="B398" s="5" t="inlineStr">
        <is>
          <t>Hosur</t>
        </is>
      </c>
      <c r="C398" s="601" t="inlineStr">
        <is>
          <t>RUCHA</t>
        </is>
      </c>
      <c r="D398" s="601" t="n"/>
      <c r="E398" s="601" t="n">
        <v>188534</v>
      </c>
      <c r="F398" s="601" t="n">
        <v>3732176</v>
      </c>
      <c r="G398" s="601" t="inlineStr">
        <is>
          <t>TUB-O-N-AUT-AW-AG-57.15X2.500X0.2950</t>
        </is>
      </c>
      <c r="H398" s="601" t="n"/>
      <c r="I398" s="601" t="n"/>
      <c r="J398" s="601" t="n"/>
      <c r="K398" s="601" t="inlineStr">
        <is>
          <t>HR</t>
        </is>
      </c>
      <c r="L398" s="601" t="n"/>
      <c r="M398" s="601" t="n"/>
      <c r="N398" s="601" t="n"/>
      <c r="O398" s="601" t="n"/>
      <c r="P398" s="557">
        <f>CONCATENATE(schedule13[[#This Row],[OD]],"-",schedule13[[#This Row],[ID]],"-",schedule13[[#This Row],[TICKNESS]],"-",schedule13[[#This Row],[GRADE]],"-",schedule13[[#This Row],[FC/NFC]])</f>
        <v/>
      </c>
      <c r="Q398" s="557" t="n"/>
      <c r="R398" s="557" t="n"/>
      <c r="S398" s="599" t="n">
        <v>57.15</v>
      </c>
      <c r="T398" s="599" t="n">
        <v>57.15</v>
      </c>
      <c r="U398" s="599" t="n">
        <v>0</v>
      </c>
      <c r="V398" s="599" t="n">
        <v>2.5</v>
      </c>
      <c r="W398" s="600" t="n">
        <v>295</v>
      </c>
      <c r="X398" s="600" t="n"/>
      <c r="Y398" s="601" t="n">
        <v>0</v>
      </c>
      <c r="Z398" s="601" t="n"/>
      <c r="AA398" s="602">
        <f>Y398-Z398</f>
        <v/>
      </c>
      <c r="AB398" s="599">
        <f>(S398-V398)*V398*W398*0.024653*Y398/1000000</f>
        <v/>
      </c>
      <c r="AC398" s="599">
        <f>(S398-V398)*V398*W398*0.024653*Z398/1000000</f>
        <v/>
      </c>
      <c r="AD398" s="599">
        <f>AB398-AC398</f>
        <v/>
      </c>
      <c r="AE398" s="599" t="n"/>
      <c r="AF398" s="599" t="n">
        <v>2.189</v>
      </c>
      <c r="AG398" s="599" t="n"/>
      <c r="AH398" s="599">
        <f>AB397-AF398</f>
        <v/>
      </c>
      <c r="AI398" s="118">
        <f>(AC398+AF398)/AB397</f>
        <v/>
      </c>
    </row>
    <row r="399" hidden="1" s="584">
      <c r="A399" s="594" t="n">
        <v>505</v>
      </c>
      <c r="B399" s="5" t="inlineStr">
        <is>
          <t>Hosur</t>
        </is>
      </c>
      <c r="C399" s="601" t="inlineStr">
        <is>
          <t>RUCHA</t>
        </is>
      </c>
      <c r="D399" s="601" t="n"/>
      <c r="E399" s="601" t="n">
        <v>188534</v>
      </c>
      <c r="F399" s="601" t="n">
        <v>3732180</v>
      </c>
      <c r="G399" s="601" t="inlineStr">
        <is>
          <t>TUB-O-O-AUT-AW-FC-25.40X1.600X0.2080</t>
        </is>
      </c>
      <c r="H399" s="601" t="inlineStr">
        <is>
          <t>ERW 1</t>
        </is>
      </c>
      <c r="I399" s="601" t="n"/>
      <c r="J399" s="601" t="inlineStr">
        <is>
          <t>FC</t>
        </is>
      </c>
      <c r="K399" s="601" t="inlineStr">
        <is>
          <t>CR</t>
        </is>
      </c>
      <c r="L399" s="596" t="inlineStr">
        <is>
          <t>NORMAL</t>
        </is>
      </c>
      <c r="M399" s="601" t="n"/>
      <c r="N399" s="601" t="n"/>
      <c r="O399" s="601" t="n"/>
      <c r="P399" s="557">
        <f>CONCATENATE(schedule13[[#This Row],[OD]],"-",schedule13[[#This Row],[ID]],"-",schedule13[[#This Row],[TICKNESS]],"-",schedule13[[#This Row],[GRADE]],"-",schedule13[[#This Row],[FC/NFC]])</f>
        <v/>
      </c>
      <c r="Q399" s="557">
        <f>_xlfn.CONCAT(schedule13[[#This Row],[Bucket]],"-",schedule13[[#This Row],[LENGTH]]/1000)</f>
        <v/>
      </c>
      <c r="R399" s="557">
        <f>COUNTIF(buckets[CTL Bucket],schedule13[[#This Row],[CTL Bucket]])</f>
        <v/>
      </c>
      <c r="S399" s="599" t="n">
        <v>25.4</v>
      </c>
      <c r="T399" s="599" t="n">
        <v>25.4</v>
      </c>
      <c r="U399" s="599" t="n">
        <v>0</v>
      </c>
      <c r="V399" s="599" t="n">
        <v>1.6</v>
      </c>
      <c r="W399" s="600" t="n">
        <v>208</v>
      </c>
      <c r="X399" s="22" t="inlineStr">
        <is>
          <t>NOS</t>
        </is>
      </c>
      <c r="Y399" s="601" t="n">
        <v>19318</v>
      </c>
      <c r="Z399" s="601" t="n"/>
      <c r="AA399" s="602">
        <f>Y399-Z399</f>
        <v/>
      </c>
      <c r="AB399" s="599">
        <f>(S399-V399)*V399*W399*0.024653*Y399/1000000</f>
        <v/>
      </c>
      <c r="AC399" s="599">
        <f>(S399-V399)*V399*W399*0.024653*Z399/1000000</f>
        <v/>
      </c>
      <c r="AD399" s="599">
        <f>AB399-AC399</f>
        <v/>
      </c>
      <c r="AE399" s="599" t="n"/>
      <c r="AF399" s="599" t="n">
        <v>2.557967</v>
      </c>
      <c r="AG399" s="599" t="n"/>
      <c r="AH399" s="599">
        <f>AB398-AF399</f>
        <v/>
      </c>
      <c r="AI399" s="118">
        <f>(AC399+AF399)/AB398</f>
        <v/>
      </c>
    </row>
    <row r="400" hidden="1" s="584">
      <c r="A400" s="594" t="n">
        <v>506</v>
      </c>
      <c r="B400" s="5" t="inlineStr">
        <is>
          <t>Hosur</t>
        </is>
      </c>
      <c r="C400" s="601" t="inlineStr">
        <is>
          <t>RUCHA</t>
        </is>
      </c>
      <c r="D400" s="601" t="n"/>
      <c r="E400" s="601" t="n">
        <v>188534</v>
      </c>
      <c r="F400" s="9" t="n">
        <v>3841884</v>
      </c>
      <c r="G400" s="601" t="inlineStr">
        <is>
          <t>TUB-O-N-AUT-AW-FC-38.10X1.600X0.8750</t>
        </is>
      </c>
      <c r="H400" s="601" t="inlineStr">
        <is>
          <t>ERW 2 MAHS</t>
        </is>
      </c>
      <c r="I400" s="601" t="n"/>
      <c r="J400" s="601" t="inlineStr">
        <is>
          <t>FC</t>
        </is>
      </c>
      <c r="K400" s="601" t="inlineStr">
        <is>
          <t>CR</t>
        </is>
      </c>
      <c r="L400" s="596" t="inlineStr">
        <is>
          <t>ST52AL</t>
        </is>
      </c>
      <c r="M400" s="601" t="n"/>
      <c r="N400" s="601" t="n"/>
      <c r="O400" s="601" t="n"/>
      <c r="P400" s="557">
        <f>CONCATENATE(schedule13[[#This Row],[OD]],"-",schedule13[[#This Row],[ID]],"-",schedule13[[#This Row],[TICKNESS]],"-",schedule13[[#This Row],[GRADE]],"-",schedule13[[#This Row],[FC/NFC]])</f>
        <v/>
      </c>
      <c r="Q400" s="557">
        <f>_xlfn.CONCAT(schedule13[[#This Row],[Bucket]],"-",schedule13[[#This Row],[LENGTH]]/1000)</f>
        <v/>
      </c>
      <c r="R400" s="557">
        <f>COUNTIF(buckets[CTL Bucket],schedule13[[#This Row],[CTL Bucket]])</f>
        <v/>
      </c>
      <c r="S400" s="599" t="n">
        <v>38.1</v>
      </c>
      <c r="T400" s="599" t="n">
        <v>38.1</v>
      </c>
      <c r="U400" s="599" t="n">
        <v>0</v>
      </c>
      <c r="V400" s="599" t="n">
        <v>1.6</v>
      </c>
      <c r="W400" s="600" t="n">
        <v>875</v>
      </c>
      <c r="X400" s="22" t="inlineStr">
        <is>
          <t>NOS</t>
        </is>
      </c>
      <c r="Y400" s="601" t="n">
        <v>7337</v>
      </c>
      <c r="Z400" s="601" t="n"/>
      <c r="AA400" s="602">
        <f>Y400-Z400</f>
        <v/>
      </c>
      <c r="AB400" s="599">
        <f>(S400-V400)*V400*W400*0.024653*Y400/1000000</f>
        <v/>
      </c>
      <c r="AC400" s="599">
        <f>(S400-V400)*V400*W400*0.024653*Z400/1000000</f>
        <v/>
      </c>
      <c r="AD400" s="599">
        <f>AB400-AC400</f>
        <v/>
      </c>
      <c r="AE400" s="599" t="n"/>
      <c r="AF400" s="599" t="n">
        <v>0.966</v>
      </c>
      <c r="AG400" s="599" t="n"/>
      <c r="AH400" s="599">
        <f>AB399-AF400</f>
        <v/>
      </c>
      <c r="AI400" s="118">
        <f>(AC400+AF400)/AB399</f>
        <v/>
      </c>
    </row>
    <row r="401" hidden="1" s="584">
      <c r="A401" s="594" t="n">
        <v>507</v>
      </c>
      <c r="B401" s="5" t="inlineStr">
        <is>
          <t xml:space="preserve">JSR </t>
        </is>
      </c>
      <c r="C401" s="601" t="inlineStr">
        <is>
          <t>RUCHA</t>
        </is>
      </c>
      <c r="D401" s="601" t="n"/>
      <c r="E401" s="601" t="n">
        <v>188534</v>
      </c>
      <c r="F401" s="601" t="n">
        <v>3767397</v>
      </c>
      <c r="G401" s="601" t="n"/>
      <c r="H401" s="601" t="inlineStr">
        <is>
          <t>ERW 1</t>
        </is>
      </c>
      <c r="I401" s="601" t="n"/>
      <c r="J401" s="601" t="inlineStr">
        <is>
          <t>FC</t>
        </is>
      </c>
      <c r="K401" s="601" t="inlineStr">
        <is>
          <t>HR</t>
        </is>
      </c>
      <c r="L401" s="601" t="n"/>
      <c r="M401" s="601" t="n"/>
      <c r="N401" s="601" t="n"/>
      <c r="O401" s="601" t="n"/>
      <c r="P401" s="557">
        <f>CONCATENATE(schedule13[[#This Row],[OD]],"-",schedule13[[#This Row],[ID]],"-",schedule13[[#This Row],[TICKNESS]],"-",schedule13[[#This Row],[GRADE]],"-",schedule13[[#This Row],[FC/NFC]])</f>
        <v/>
      </c>
      <c r="Q401" s="557" t="inlineStr">
        <is>
          <t>38.1-0-2-ERW 1-FC-0.277</t>
        </is>
      </c>
      <c r="R401" s="557">
        <f>COUNTIF(buckets[CTL Bucket],schedule13[[#This Row],[CTL Bucket]])</f>
        <v/>
      </c>
      <c r="S401" s="599" t="n">
        <v>38.1</v>
      </c>
      <c r="T401" s="599" t="n">
        <v>38.1</v>
      </c>
      <c r="U401" s="599" t="n">
        <v>0</v>
      </c>
      <c r="V401" s="599" t="n">
        <v>2</v>
      </c>
      <c r="W401" s="600" t="n">
        <v>278</v>
      </c>
      <c r="X401" s="22" t="inlineStr">
        <is>
          <t>NOS</t>
        </is>
      </c>
      <c r="Y401" s="601" t="n">
        <v>10000</v>
      </c>
      <c r="Z401" s="601" t="n"/>
      <c r="AA401" s="602">
        <f>Y401-Z401</f>
        <v/>
      </c>
      <c r="AB401" s="599">
        <f>(S401-V401)*V401*W401*0.024653*Y401/1000000</f>
        <v/>
      </c>
      <c r="AC401" s="599">
        <f>(S401-V401)*V401*W401*0.024653*Z401/1000000</f>
        <v/>
      </c>
      <c r="AD401" s="599">
        <f>AB401-AC401</f>
        <v/>
      </c>
      <c r="AE401" s="599" t="n"/>
      <c r="AF401" s="599" t="n"/>
      <c r="AG401" s="599" t="n"/>
      <c r="AH401" s="599">
        <f>AB400-AF401</f>
        <v/>
      </c>
      <c r="AI401" s="118">
        <f>(AC401+AF401)/AB400</f>
        <v/>
      </c>
    </row>
    <row r="402" hidden="1" s="584">
      <c r="A402" s="594" t="n">
        <v>508</v>
      </c>
      <c r="B402" s="5" t="inlineStr">
        <is>
          <t>JSR</t>
        </is>
      </c>
      <c r="C402" s="601" t="inlineStr">
        <is>
          <t>RUCHA</t>
        </is>
      </c>
      <c r="D402" s="601" t="n"/>
      <c r="E402" s="601" t="n">
        <v>188534</v>
      </c>
      <c r="F402" s="601" t="n">
        <v>2436343</v>
      </c>
      <c r="G402" s="86" t="inlineStr">
        <is>
          <t>TUB-O-N-AUT-AW-FC-38.10X2.500X0.8750</t>
        </is>
      </c>
      <c r="H402" s="51" t="inlineStr">
        <is>
          <t>ERW 2 MAHS</t>
        </is>
      </c>
      <c r="I402" s="601" t="n"/>
      <c r="J402" s="601" t="inlineStr">
        <is>
          <t>FC</t>
        </is>
      </c>
      <c r="K402" s="601" t="inlineStr">
        <is>
          <t>HR</t>
        </is>
      </c>
      <c r="L402" s="601" t="n"/>
      <c r="M402" s="601" t="n"/>
      <c r="N402" s="601" t="n"/>
      <c r="O402" s="601" t="n"/>
      <c r="P402" s="557">
        <f>CONCATENATE(schedule13[[#This Row],[OD]],"-",schedule13[[#This Row],[ID]],"-",schedule13[[#This Row],[TICKNESS]],"-",schedule13[[#This Row],[GRADE]],"-",schedule13[[#This Row],[FC/NFC]])</f>
        <v/>
      </c>
      <c r="Q402" s="557">
        <f>_xlfn.CONCAT(schedule13[[#This Row],[Bucket]],"-",schedule13[[#This Row],[LENGTH]]/1000)</f>
        <v/>
      </c>
      <c r="R402" s="557">
        <f>COUNTIF(buckets[CTL Bucket],schedule13[[#This Row],[CTL Bucket]])</f>
        <v/>
      </c>
      <c r="S402" s="599" t="n">
        <v>38.1</v>
      </c>
      <c r="T402" s="599" t="n">
        <v>38.1</v>
      </c>
      <c r="U402" s="599" t="n">
        <v>0</v>
      </c>
      <c r="V402" s="599" t="n">
        <v>2.5</v>
      </c>
      <c r="W402" s="600" t="n">
        <v>875</v>
      </c>
      <c r="X402" s="22" t="inlineStr">
        <is>
          <t>NOS</t>
        </is>
      </c>
      <c r="Y402" s="601" t="n">
        <v>7457</v>
      </c>
      <c r="Z402" s="601" t="n"/>
      <c r="AA402" s="602">
        <f>Y402-Z402</f>
        <v/>
      </c>
      <c r="AB402" s="599">
        <f>(S402-V402)*V402*W402*0.024653*Y402/1000000</f>
        <v/>
      </c>
      <c r="AC402" s="599">
        <f>(S402-V402)*V402*W402*0.024653*Z402/1000000</f>
        <v/>
      </c>
      <c r="AD402" s="599">
        <f>AB402-AC402</f>
        <v/>
      </c>
      <c r="AE402" s="599" t="n"/>
      <c r="AF402" s="599" t="n"/>
      <c r="AG402" s="599" t="n"/>
      <c r="AH402" s="599">
        <f>AB401-AF402</f>
        <v/>
      </c>
      <c r="AI402" s="118">
        <f>(AC402+AF402)/AB401</f>
        <v/>
      </c>
    </row>
    <row r="403" hidden="1" s="584">
      <c r="A403" s="594" t="n">
        <v>509</v>
      </c>
      <c r="B403" s="5" t="inlineStr">
        <is>
          <t>Hosur</t>
        </is>
      </c>
      <c r="C403" s="601" t="inlineStr">
        <is>
          <t>RUCHA</t>
        </is>
      </c>
      <c r="D403" s="601" t="n"/>
      <c r="E403" s="601" t="n">
        <v>188534</v>
      </c>
      <c r="F403" s="601" t="n">
        <v>2427712</v>
      </c>
      <c r="G403" s="601" t="inlineStr">
        <is>
          <t>TUB-O-N-AUT-AW-PE-19.05X2.300X0.2550</t>
        </is>
      </c>
      <c r="H403" s="601" t="inlineStr">
        <is>
          <t>ERW 1</t>
        </is>
      </c>
      <c r="I403" s="601" t="n"/>
      <c r="J403" s="601" t="n"/>
      <c r="K403" s="601" t="inlineStr">
        <is>
          <t>HR</t>
        </is>
      </c>
      <c r="L403" s="601" t="n"/>
      <c r="M403" s="601" t="n"/>
      <c r="N403" s="601" t="n"/>
      <c r="O403" s="601" t="n"/>
      <c r="P403" s="557">
        <f>CONCATENATE(schedule13[[#This Row],[OD]],"-",schedule13[[#This Row],[ID]],"-",schedule13[[#This Row],[TICKNESS]],"-",schedule13[[#This Row],[GRADE]],"-",schedule13[[#This Row],[FC/NFC]])</f>
        <v/>
      </c>
      <c r="Q403" s="557">
        <f>_xlfn.CONCAT(schedule13[[#This Row],[Bucket]],"-",schedule13[[#This Row],[LENGTH]]/1000)</f>
        <v/>
      </c>
      <c r="R403" s="557">
        <f>COUNTIF(buckets[CTL Bucket],schedule13[[#This Row],[CTL Bucket]])</f>
        <v/>
      </c>
      <c r="S403" s="599" t="n">
        <v>19.05</v>
      </c>
      <c r="T403" s="599" t="n">
        <v>19.05</v>
      </c>
      <c r="U403" s="599" t="n">
        <v>0</v>
      </c>
      <c r="V403" s="599" t="n">
        <v>2.3</v>
      </c>
      <c r="W403" s="600" t="n">
        <v>255</v>
      </c>
      <c r="X403" s="22" t="inlineStr">
        <is>
          <t>NOS</t>
        </is>
      </c>
      <c r="Y403" s="601" t="n">
        <v>0</v>
      </c>
      <c r="Z403" s="601" t="n"/>
      <c r="AA403" s="602">
        <f>Y403-Z403</f>
        <v/>
      </c>
      <c r="AB403" s="599">
        <f>(S403-V403)*V403*W403*0.024653*Y403/1000000</f>
        <v/>
      </c>
      <c r="AC403" s="599">
        <f>(S403-V403)*V403*W403*0.024653*Z403/1000000</f>
        <v/>
      </c>
      <c r="AD403" s="599">
        <f>AB403-AC403</f>
        <v/>
      </c>
      <c r="AE403" s="599" t="n"/>
      <c r="AF403" s="599" t="n">
        <v>0.7391990000000001</v>
      </c>
      <c r="AG403" s="599" t="n"/>
      <c r="AH403" s="599">
        <f>AB402-AF403</f>
        <v/>
      </c>
      <c r="AI403" s="118">
        <f>(AC403+AF403)/AB402</f>
        <v/>
      </c>
    </row>
    <row r="404" hidden="1" s="584">
      <c r="A404" s="594" t="n">
        <v>510</v>
      </c>
      <c r="B404" s="5" t="inlineStr">
        <is>
          <t>Hosur</t>
        </is>
      </c>
      <c r="C404" s="601" t="inlineStr">
        <is>
          <t>RUCHA</t>
        </is>
      </c>
      <c r="D404" s="601" t="n"/>
      <c r="E404" s="601" t="n">
        <v>188534</v>
      </c>
      <c r="F404" s="601" t="n">
        <v>1940043</v>
      </c>
      <c r="G404" s="601" t="inlineStr">
        <is>
          <t>TUB-O-O-AUT-AW-PE-15.88X1.200X0.8880</t>
        </is>
      </c>
      <c r="H404" s="601" t="n"/>
      <c r="I404" s="601" t="n"/>
      <c r="J404" s="601" t="n"/>
      <c r="K404" s="601" t="inlineStr">
        <is>
          <t>HR</t>
        </is>
      </c>
      <c r="L404" s="601" t="n"/>
      <c r="M404" s="601" t="n"/>
      <c r="N404" s="601" t="n"/>
      <c r="O404" s="601" t="n"/>
      <c r="P404" s="557">
        <f>CONCATENATE(schedule13[[#This Row],[OD]],"-",schedule13[[#This Row],[ID]],"-",schedule13[[#This Row],[TICKNESS]],"-",schedule13[[#This Row],[GRADE]],"-",schedule13[[#This Row],[FC/NFC]])</f>
        <v/>
      </c>
      <c r="Q404" s="557">
        <f>_xlfn.CONCAT(schedule13[[#This Row],[Bucket]],"-",schedule13[[#This Row],[LENGTH]]/1000)</f>
        <v/>
      </c>
      <c r="R404" s="557">
        <f>COUNTIF(buckets[CTL Bucket],schedule13[[#This Row],[CTL Bucket]])</f>
        <v/>
      </c>
      <c r="S404" s="599" t="n">
        <v>15.88</v>
      </c>
      <c r="T404" s="599" t="n">
        <v>15.88</v>
      </c>
      <c r="U404" s="599" t="n">
        <v>0</v>
      </c>
      <c r="V404" s="599" t="n">
        <v>1.2</v>
      </c>
      <c r="W404" s="600" t="n">
        <v>888</v>
      </c>
      <c r="X404" s="22" t="inlineStr">
        <is>
          <t>NOS</t>
        </is>
      </c>
      <c r="Y404" s="601" t="n">
        <v>0</v>
      </c>
      <c r="Z404" s="601" t="n"/>
      <c r="AA404" s="602">
        <f>Y404-Z404</f>
        <v/>
      </c>
      <c r="AB404" s="599">
        <f>(S404-V404)*V404*W404*0.024653*Y404/1000000</f>
        <v/>
      </c>
      <c r="AC404" s="599">
        <f>(S404-V404)*V404*W404*0.024653*Z404/1000000</f>
        <v/>
      </c>
      <c r="AD404" s="599">
        <f>AB404-AC404</f>
        <v/>
      </c>
      <c r="AE404" s="599" t="n"/>
      <c r="AF404" s="599" t="n"/>
      <c r="AG404" s="599" t="n"/>
      <c r="AH404" s="599">
        <f>AB403-AF404</f>
        <v/>
      </c>
      <c r="AI404" s="118">
        <f>(AC404+AF404)/AB403</f>
        <v/>
      </c>
    </row>
    <row r="405" hidden="1" s="584">
      <c r="A405" s="594" t="n">
        <v>511</v>
      </c>
      <c r="B405" s="5" t="inlineStr">
        <is>
          <t>Hosur</t>
        </is>
      </c>
      <c r="C405" s="601" t="inlineStr">
        <is>
          <t>RUCHA</t>
        </is>
      </c>
      <c r="D405" s="601" t="n"/>
      <c r="E405" s="601" t="n">
        <v>188534</v>
      </c>
      <c r="F405" s="601" t="n">
        <v>2384088</v>
      </c>
      <c r="G405" s="601" t="inlineStr">
        <is>
          <t>TUB-O-N-AUT-AW-PE-19.05X1.600X0.3550</t>
        </is>
      </c>
      <c r="H405" s="601" t="n"/>
      <c r="I405" s="601" t="n"/>
      <c r="J405" s="601" t="n"/>
      <c r="K405" s="601" t="inlineStr">
        <is>
          <t>HR</t>
        </is>
      </c>
      <c r="L405" s="601" t="n"/>
      <c r="M405" s="601" t="n"/>
      <c r="N405" s="601" t="n"/>
      <c r="O405" s="601" t="n"/>
      <c r="P405" s="557">
        <f>CONCATENATE(schedule13[[#This Row],[OD]],"-",schedule13[[#This Row],[ID]],"-",schedule13[[#This Row],[TICKNESS]],"-",schedule13[[#This Row],[GRADE]],"-",schedule13[[#This Row],[FC/NFC]])</f>
        <v/>
      </c>
      <c r="Q405" s="557">
        <f>_xlfn.CONCAT(schedule13[[#This Row],[Bucket]],"-",schedule13[[#This Row],[LENGTH]]/1000)</f>
        <v/>
      </c>
      <c r="R405" s="557">
        <f>COUNTIF(buckets[CTL Bucket],schedule13[[#This Row],[CTL Bucket]])</f>
        <v/>
      </c>
      <c r="S405" s="599" t="n">
        <v>19.05</v>
      </c>
      <c r="T405" s="599" t="n">
        <v>19.05</v>
      </c>
      <c r="U405" s="599" t="n">
        <v>0</v>
      </c>
      <c r="V405" s="599" t="n">
        <v>1.6</v>
      </c>
      <c r="W405" s="600" t="n">
        <v>355</v>
      </c>
      <c r="X405" s="22" t="inlineStr">
        <is>
          <t>NOS</t>
        </is>
      </c>
      <c r="Y405" s="601" t="n">
        <v>0</v>
      </c>
      <c r="Z405" s="601" t="n"/>
      <c r="AA405" s="602">
        <f>Y405-Z405</f>
        <v/>
      </c>
      <c r="AB405" s="599">
        <f>(S405-V405)*V405*W405*0.024653*Y405/1000000</f>
        <v/>
      </c>
      <c r="AC405" s="599">
        <f>(S405-V405)*V405*W405*0.024653*Z405/1000000</f>
        <v/>
      </c>
      <c r="AD405" s="599">
        <f>AB405-AC405</f>
        <v/>
      </c>
      <c r="AE405" s="599" t="n"/>
      <c r="AF405" s="599" t="n">
        <v>4.640448</v>
      </c>
      <c r="AG405" s="599" t="n"/>
      <c r="AH405" s="599">
        <f>AB404-AF405</f>
        <v/>
      </c>
      <c r="AI405" s="118">
        <f>(AC405+AF405)/AB404</f>
        <v/>
      </c>
    </row>
    <row r="406" hidden="1" s="584">
      <c r="A406" s="594" t="n">
        <v>512</v>
      </c>
      <c r="B406" s="5" t="inlineStr">
        <is>
          <t>Hosur</t>
        </is>
      </c>
      <c r="C406" s="601" t="inlineStr">
        <is>
          <t>RUCHA</t>
        </is>
      </c>
      <c r="D406" s="601" t="n"/>
      <c r="E406" s="601" t="n">
        <v>188534</v>
      </c>
      <c r="F406" s="601" t="n">
        <v>3506797</v>
      </c>
      <c r="G406" s="601" t="inlineStr">
        <is>
          <t>CUT-O-N-AUT-AW-PE-15.88X2.000X0.291</t>
        </is>
      </c>
      <c r="H406" s="601" t="n"/>
      <c r="I406" s="601" t="n"/>
      <c r="J406" s="601" t="n"/>
      <c r="K406" s="601" t="inlineStr">
        <is>
          <t>HR</t>
        </is>
      </c>
      <c r="L406" s="601" t="n"/>
      <c r="M406" s="601" t="n"/>
      <c r="N406" s="601" t="n"/>
      <c r="O406" s="601" t="n"/>
      <c r="P406" s="557">
        <f>CONCATENATE(schedule13[[#This Row],[OD]],"-",schedule13[[#This Row],[ID]],"-",schedule13[[#This Row],[TICKNESS]],"-",schedule13[[#This Row],[GRADE]],"-",schedule13[[#This Row],[FC/NFC]])</f>
        <v/>
      </c>
      <c r="Q406" s="557">
        <f>_xlfn.CONCAT(schedule13[[#This Row],[Bucket]],"-",schedule13[[#This Row],[LENGTH]]/1000)</f>
        <v/>
      </c>
      <c r="R406" s="557">
        <f>COUNTIF(buckets[CTL Bucket],schedule13[[#This Row],[CTL Bucket]])</f>
        <v/>
      </c>
      <c r="S406" s="599" t="n">
        <v>15.88</v>
      </c>
      <c r="T406" s="599" t="n">
        <v>15.88</v>
      </c>
      <c r="U406" s="599" t="n">
        <v>0</v>
      </c>
      <c r="V406" s="599" t="n">
        <v>2</v>
      </c>
      <c r="W406" s="600" t="n">
        <v>291</v>
      </c>
      <c r="X406" s="22" t="inlineStr">
        <is>
          <t>NOS</t>
        </is>
      </c>
      <c r="Y406" s="601" t="n">
        <v>0</v>
      </c>
      <c r="Z406" s="601" t="n"/>
      <c r="AA406" s="602">
        <f>Y406-Z406</f>
        <v/>
      </c>
      <c r="AB406" s="599">
        <f>(S406-V406)*V406*W406*0.024653*Y406/1000000</f>
        <v/>
      </c>
      <c r="AC406" s="599">
        <f>(S406-V406)*V406*W406*0.024653*Z406/1000000</f>
        <v/>
      </c>
      <c r="AD406" s="599">
        <f>AB406-AC406</f>
        <v/>
      </c>
      <c r="AE406" s="599" t="n"/>
      <c r="AF406" s="599" t="n"/>
      <c r="AG406" s="599" t="n"/>
      <c r="AH406" s="599">
        <f>AB405-AF406</f>
        <v/>
      </c>
      <c r="AI406" s="118">
        <f>(AC406+AF406)/AB405</f>
        <v/>
      </c>
    </row>
    <row r="407" hidden="1" s="584">
      <c r="A407" s="594" t="n">
        <v>513</v>
      </c>
      <c r="B407" s="5" t="inlineStr">
        <is>
          <t>Hosur</t>
        </is>
      </c>
      <c r="C407" s="601" t="inlineStr">
        <is>
          <t>RUCHA</t>
        </is>
      </c>
      <c r="D407" s="601" t="n"/>
      <c r="E407" s="601" t="n">
        <v>188534</v>
      </c>
      <c r="F407" s="601" t="n">
        <v>2440971</v>
      </c>
      <c r="G407" s="601" t="inlineStr">
        <is>
          <t>TUB-R-AW-AUT-40.00X25.00X1.600X0.3180</t>
        </is>
      </c>
      <c r="H407" s="601" t="inlineStr">
        <is>
          <t>ERW 1</t>
        </is>
      </c>
      <c r="I407" s="601" t="n"/>
      <c r="J407" s="601" t="inlineStr">
        <is>
          <t>FC</t>
        </is>
      </c>
      <c r="K407" s="601" t="inlineStr">
        <is>
          <t>CR</t>
        </is>
      </c>
      <c r="L407" s="596" t="inlineStr">
        <is>
          <t>HROP</t>
        </is>
      </c>
      <c r="M407" s="601" t="n"/>
      <c r="N407" s="601" t="n"/>
      <c r="O407" s="601" t="n"/>
      <c r="P407" s="557">
        <f>CONCATENATE(schedule13[[#This Row],[OD]],"-",schedule13[[#This Row],[ID]],"-",schedule13[[#This Row],[TICKNESS]],"-",schedule13[[#This Row],[GRADE]],"-",schedule13[[#This Row],[FC/NFC]])</f>
        <v/>
      </c>
      <c r="Q407" s="557">
        <f>_xlfn.CONCAT(schedule13[[#This Row],[Bucket]],"-",schedule13[[#This Row],[LENGTH]]/1000)</f>
        <v/>
      </c>
      <c r="R407" s="557">
        <f>COUNTIF(buckets[CTL Bucket],schedule13[[#This Row],[CTL Bucket]])</f>
        <v/>
      </c>
      <c r="S407" s="599" t="n">
        <v>41.28</v>
      </c>
      <c r="T407" s="599" t="n">
        <v>40</v>
      </c>
      <c r="U407" s="599" t="n">
        <v>25</v>
      </c>
      <c r="V407" s="599" t="n">
        <v>1.6</v>
      </c>
      <c r="W407" s="600" t="n">
        <v>318</v>
      </c>
      <c r="X407" s="22" t="inlineStr">
        <is>
          <t>NOS</t>
        </is>
      </c>
      <c r="Y407" s="601" t="n">
        <v>24814</v>
      </c>
      <c r="Z407" s="601" t="n"/>
      <c r="AA407" s="602">
        <f>Y407-Z407</f>
        <v/>
      </c>
      <c r="AB407" s="599">
        <f>(S407-V407)*V407*W407*0.024653*Y407/1000000</f>
        <v/>
      </c>
      <c r="AC407" s="599">
        <f>(S407-V407)*V407*W407*0.024653*Z407/1000000</f>
        <v/>
      </c>
      <c r="AD407" s="599">
        <f>AB407-AC407</f>
        <v/>
      </c>
      <c r="AE407" s="599" t="n"/>
      <c r="AF407" s="599" t="n">
        <v>0.164</v>
      </c>
      <c r="AG407" s="599" t="n"/>
      <c r="AH407" s="599">
        <f>AB406-AF407</f>
        <v/>
      </c>
      <c r="AI407" s="118">
        <f>(AC407+AF407)/AB406</f>
        <v/>
      </c>
    </row>
    <row r="408" hidden="1" s="584">
      <c r="A408" s="594" t="n">
        <v>514</v>
      </c>
      <c r="B408" s="5" t="inlineStr">
        <is>
          <t>Hosur</t>
        </is>
      </c>
      <c r="C408" s="601" t="inlineStr">
        <is>
          <t>RUCHA</t>
        </is>
      </c>
      <c r="D408" s="601" t="n"/>
      <c r="E408" s="601" t="n">
        <v>188534</v>
      </c>
      <c r="F408" s="601" t="n">
        <v>3732181</v>
      </c>
      <c r="G408" s="601" t="inlineStr">
        <is>
          <t>TUB-O-O-AUT-AW-FC-25.40X2.000X0.2830</t>
        </is>
      </c>
      <c r="H408" s="601" t="inlineStr">
        <is>
          <t>ERW 1</t>
        </is>
      </c>
      <c r="I408" s="601" t="n"/>
      <c r="J408" s="601" t="n"/>
      <c r="K408" s="601" t="inlineStr">
        <is>
          <t>HR</t>
        </is>
      </c>
      <c r="L408" s="601" t="n"/>
      <c r="M408" s="601" t="n"/>
      <c r="N408" s="601" t="n"/>
      <c r="O408" s="601" t="n"/>
      <c r="P408" s="557">
        <f>CONCATENATE(schedule13[[#This Row],[OD]],"-",schedule13[[#This Row],[ID]],"-",schedule13[[#This Row],[TICKNESS]],"-",schedule13[[#This Row],[GRADE]],"-",schedule13[[#This Row],[FC/NFC]])</f>
        <v/>
      </c>
      <c r="Q408" s="557">
        <f>_xlfn.CONCAT(schedule13[[#This Row],[Bucket]],"-",schedule13[[#This Row],[LENGTH]]/1000)</f>
        <v/>
      </c>
      <c r="R408" s="557">
        <f>COUNTIF(buckets[CTL Bucket],schedule13[[#This Row],[CTL Bucket]])</f>
        <v/>
      </c>
      <c r="S408" s="599" t="n">
        <v>25.4</v>
      </c>
      <c r="T408" s="599" t="n">
        <v>25.4</v>
      </c>
      <c r="U408" s="599" t="n">
        <v>0</v>
      </c>
      <c r="V408" s="599" t="n">
        <v>2</v>
      </c>
      <c r="W408" s="600" t="n">
        <v>283</v>
      </c>
      <c r="X408" s="22" t="inlineStr">
        <is>
          <t>NOS</t>
        </is>
      </c>
      <c r="Y408" s="601" t="n">
        <v>0</v>
      </c>
      <c r="Z408" s="601" t="n"/>
      <c r="AA408" s="602">
        <f>Y408-Z408</f>
        <v/>
      </c>
      <c r="AB408" s="599">
        <f>(S408-V408)*V408*W408*0.024653*Y408/1000000</f>
        <v/>
      </c>
      <c r="AC408" s="599">
        <f>(S408-V408)*V408*W408*0.024653*Z408/1000000</f>
        <v/>
      </c>
      <c r="AD408" s="599">
        <f>AB408-AC408</f>
        <v/>
      </c>
      <c r="AE408" s="599" t="n"/>
      <c r="AF408" s="599" t="n"/>
      <c r="AG408" s="599" t="n"/>
      <c r="AH408" s="599">
        <f>AB407-AF408</f>
        <v/>
      </c>
      <c r="AI408" s="118">
        <f>(AC408+AF408)/AB407</f>
        <v/>
      </c>
    </row>
    <row r="409" hidden="1" s="584">
      <c r="A409" s="594" t="n">
        <v>515</v>
      </c>
      <c r="B409" s="5" t="inlineStr">
        <is>
          <t>JSR</t>
        </is>
      </c>
      <c r="C409" s="601" t="inlineStr">
        <is>
          <t>RUCHA</t>
        </is>
      </c>
      <c r="D409" s="601" t="n"/>
      <c r="E409" s="601" t="n">
        <v>188534</v>
      </c>
      <c r="F409" s="601" t="n"/>
      <c r="G409" s="601" t="n"/>
      <c r="H409" s="601" t="n"/>
      <c r="I409" s="601" t="n"/>
      <c r="J409" s="601" t="n"/>
      <c r="K409" s="601" t="inlineStr">
        <is>
          <t>HR</t>
        </is>
      </c>
      <c r="L409" s="601" t="n"/>
      <c r="M409" s="601" t="n"/>
      <c r="N409" s="601" t="n"/>
      <c r="O409" s="601" t="n"/>
      <c r="P409" s="557">
        <f>CONCATENATE(schedule13[[#This Row],[OD]],"-",schedule13[[#This Row],[ID]],"-",schedule13[[#This Row],[TICKNESS]],"-",schedule13[[#This Row],[GRADE]],"-",schedule13[[#This Row],[FC/NFC]])</f>
        <v/>
      </c>
      <c r="Q409" s="557">
        <f>_xlfn.CONCAT(schedule13[[#This Row],[Bucket]],"-",schedule13[[#This Row],[LENGTH]]/1000)</f>
        <v/>
      </c>
      <c r="R409" s="557">
        <f>COUNTIF(buckets[CTL Bucket],schedule13[[#This Row],[CTL Bucket]])</f>
        <v/>
      </c>
      <c r="S409" s="599" t="n">
        <v>31.75</v>
      </c>
      <c r="T409" s="599" t="n">
        <v>31.75</v>
      </c>
      <c r="U409" s="599" t="n">
        <v>0</v>
      </c>
      <c r="V409" s="599" t="n">
        <v>2.3</v>
      </c>
      <c r="W409" s="600" t="n">
        <v>193</v>
      </c>
      <c r="X409" s="22" t="inlineStr">
        <is>
          <t>NOS</t>
        </is>
      </c>
      <c r="Y409" s="601" t="n">
        <v>0</v>
      </c>
      <c r="Z409" s="601" t="n"/>
      <c r="AA409" s="602">
        <f>Y409-Z409</f>
        <v/>
      </c>
      <c r="AB409" s="599">
        <f>(S409-V409)*V409*W409*0.024653*Y409/1000000</f>
        <v/>
      </c>
      <c r="AC409" s="599">
        <f>(S409-V409)*V409*W409*0.024653*Z409/1000000</f>
        <v/>
      </c>
      <c r="AD409" s="599">
        <f>AB409-AC409</f>
        <v/>
      </c>
      <c r="AE409" s="599" t="n"/>
      <c r="AF409" s="599" t="n"/>
      <c r="AG409" s="599" t="n"/>
      <c r="AH409" s="599">
        <f>AB408-AF409</f>
        <v/>
      </c>
      <c r="AI409" s="118">
        <f>(AC409+AF409)/AB408</f>
        <v/>
      </c>
    </row>
    <row r="410" hidden="1" s="584">
      <c r="A410" s="594" t="n">
        <v>516</v>
      </c>
      <c r="B410" s="5" t="inlineStr">
        <is>
          <t xml:space="preserve">Khopoli </t>
        </is>
      </c>
      <c r="C410" s="601" t="inlineStr">
        <is>
          <t>RUCHA</t>
        </is>
      </c>
      <c r="D410" s="601" t="n"/>
      <c r="E410" s="601" t="n">
        <v>188534</v>
      </c>
      <c r="F410" s="601" t="n">
        <v>3433148</v>
      </c>
      <c r="G410" s="601" t="inlineStr">
        <is>
          <t>TUB-O-N-AUT-BH-FC-42.70X3.500X0.2470</t>
        </is>
      </c>
      <c r="H410" s="601" t="inlineStr">
        <is>
          <t>ERW 1</t>
        </is>
      </c>
      <c r="I410" s="601" t="inlineStr">
        <is>
          <t>Annealed</t>
        </is>
      </c>
      <c r="J410" s="601" t="inlineStr">
        <is>
          <t>FC</t>
        </is>
      </c>
      <c r="K410" s="601" t="inlineStr">
        <is>
          <t>HR</t>
        </is>
      </c>
      <c r="L410" s="601" t="n"/>
      <c r="M410" s="601" t="inlineStr">
        <is>
          <t>Chamferring</t>
        </is>
      </c>
      <c r="N410" s="601" t="n"/>
      <c r="O410" s="601" t="n"/>
      <c r="P410" s="557">
        <f>CONCATENATE(schedule13[[#This Row],[OD]],"-",schedule13[[#This Row],[ID]],"-",schedule13[[#This Row],[TICKNESS]],"-",schedule13[[#This Row],[GRADE]],"-",schedule13[[#This Row],[FC/NFC]])</f>
        <v/>
      </c>
      <c r="Q410" s="557">
        <f>_xlfn.CONCAT(schedule13[[#This Row],[Bucket]],"-",schedule13[[#This Row],[LENGTH]]/1000)</f>
        <v/>
      </c>
      <c r="R410" s="557">
        <f>COUNTIF(buckets[CTL Bucket],schedule13[[#This Row],[CTL Bucket]])</f>
        <v/>
      </c>
      <c r="S410" s="599" t="n">
        <v>42.7</v>
      </c>
      <c r="T410" s="599" t="n">
        <v>42.7</v>
      </c>
      <c r="U410" s="599" t="n">
        <v>0</v>
      </c>
      <c r="V410" s="599" t="n">
        <v>3.5</v>
      </c>
      <c r="W410" s="600" t="n">
        <v>247</v>
      </c>
      <c r="X410" s="22" t="inlineStr">
        <is>
          <t>NOS</t>
        </is>
      </c>
      <c r="Y410" s="601" t="n">
        <v>12129</v>
      </c>
      <c r="Z410" s="601" t="n"/>
      <c r="AA410" s="602">
        <f>Y410-Z410</f>
        <v/>
      </c>
      <c r="AB410" s="599">
        <f>(S410-V410)*V410*W410*0.024653*Y410/1000000</f>
        <v/>
      </c>
      <c r="AC410" s="599">
        <f>(S410-V410)*V410*W410*0.024653*Z410/1000000</f>
        <v/>
      </c>
      <c r="AD410" s="599">
        <f>AB410-AC410</f>
        <v/>
      </c>
      <c r="AE410" s="599" t="n"/>
      <c r="AF410" s="599" t="n">
        <v>6.090999999999999</v>
      </c>
      <c r="AG410" s="599" t="n"/>
      <c r="AH410" s="599">
        <f>AB409-AF410</f>
        <v/>
      </c>
      <c r="AI410" s="118">
        <f>(AC410+AF410)/AB409</f>
        <v/>
      </c>
    </row>
    <row r="411" hidden="1" s="584">
      <c r="A411" s="594" t="n">
        <v>517</v>
      </c>
      <c r="B411" s="5" t="inlineStr">
        <is>
          <t>Hosur</t>
        </is>
      </c>
      <c r="C411" s="601" t="inlineStr">
        <is>
          <t>RUCHA</t>
        </is>
      </c>
      <c r="D411" s="601" t="n"/>
      <c r="E411" s="601" t="n">
        <v>188534</v>
      </c>
      <c r="F411" s="601" t="n">
        <v>3732177</v>
      </c>
      <c r="G411" s="601" t="inlineStr">
        <is>
          <t>TUB-O-N-AUT-AW-AG-57.15X2.500X0.3260</t>
        </is>
      </c>
      <c r="H411" s="601" t="inlineStr">
        <is>
          <t>ERW 1</t>
        </is>
      </c>
      <c r="I411" s="601" t="n"/>
      <c r="J411" s="601" t="inlineStr">
        <is>
          <t>FC</t>
        </is>
      </c>
      <c r="K411" s="601" t="inlineStr">
        <is>
          <t>HR</t>
        </is>
      </c>
      <c r="L411" s="601" t="n"/>
      <c r="M411" s="601" t="n"/>
      <c r="N411" s="601" t="inlineStr">
        <is>
          <t>AG</t>
        </is>
      </c>
      <c r="O411" s="601" t="n"/>
      <c r="P411" s="557">
        <f>CONCATENATE(schedule13[[#This Row],[OD]],"-",schedule13[[#This Row],[ID]],"-",schedule13[[#This Row],[TICKNESS]],"-",schedule13[[#This Row],[GRADE]],"-",schedule13[[#This Row],[FC/NFC]])</f>
        <v/>
      </c>
      <c r="Q411" s="557">
        <f>_xlfn.CONCAT(schedule13[[#This Row],[Bucket]],"-",schedule13[[#This Row],[LENGTH]]/1000)</f>
        <v/>
      </c>
      <c r="R411" s="557">
        <f>COUNTIF(buckets[CTL Bucket],schedule13[[#This Row],[CTL Bucket]])</f>
        <v/>
      </c>
      <c r="S411" s="599" t="n">
        <v>57.15</v>
      </c>
      <c r="T411" s="599" t="n">
        <v>57.15</v>
      </c>
      <c r="U411" s="599" t="n">
        <v>0</v>
      </c>
      <c r="V411" s="599" t="n">
        <v>2.5</v>
      </c>
      <c r="W411" s="600" t="n">
        <v>326</v>
      </c>
      <c r="X411" s="22" t="inlineStr">
        <is>
          <t>NOS</t>
        </is>
      </c>
      <c r="Y411" s="601" t="n">
        <v>10670</v>
      </c>
      <c r="Z411" s="601" t="n"/>
      <c r="AA411" s="602">
        <f>Y411-Z411</f>
        <v/>
      </c>
      <c r="AB411" s="599">
        <f>(S411-V411)*V411*W411*0.024653*Y411/1000000</f>
        <v/>
      </c>
      <c r="AC411" s="599">
        <f>(S411-V411)*V411*W411*0.024653*Z411/1000000</f>
        <v/>
      </c>
      <c r="AD411" s="599">
        <f>AB411-AC411</f>
        <v/>
      </c>
      <c r="AE411" s="599" t="n"/>
      <c r="AF411" s="599" t="n"/>
      <c r="AG411" s="599" t="n"/>
      <c r="AH411" s="599">
        <f>AB410-AF411</f>
        <v/>
      </c>
      <c r="AI411" s="118">
        <f>(AC411+AF411)/AB410</f>
        <v/>
      </c>
    </row>
    <row r="412" hidden="1" s="584">
      <c r="A412" s="594" t="n">
        <v>518</v>
      </c>
      <c r="B412" s="5" t="inlineStr">
        <is>
          <t>Hosur</t>
        </is>
      </c>
      <c r="C412" s="601" t="inlineStr">
        <is>
          <t>RUCHA</t>
        </is>
      </c>
      <c r="D412" s="601" t="n"/>
      <c r="E412" s="601" t="n">
        <v>188534</v>
      </c>
      <c r="F412" s="601" t="n">
        <v>2440972</v>
      </c>
      <c r="G412" s="601" t="inlineStr">
        <is>
          <t>TUB-O-N-AUT-AW-FC-57.15X2.500X0.3750</t>
        </is>
      </c>
      <c r="H412" s="601" t="inlineStr">
        <is>
          <t>ERW 1</t>
        </is>
      </c>
      <c r="I412" s="601" t="n"/>
      <c r="J412" s="601" t="inlineStr">
        <is>
          <t>FC</t>
        </is>
      </c>
      <c r="K412" s="601" t="inlineStr">
        <is>
          <t>HR</t>
        </is>
      </c>
      <c r="L412" s="601" t="n"/>
      <c r="M412" s="601" t="n"/>
      <c r="N412" s="601" t="n"/>
      <c r="O412" s="601" t="n"/>
      <c r="P412" s="557">
        <f>CONCATENATE(schedule13[[#This Row],[OD]],"-",schedule13[[#This Row],[ID]],"-",schedule13[[#This Row],[TICKNESS]],"-",schedule13[[#This Row],[GRADE]],"-",schedule13[[#This Row],[FC/NFC]])</f>
        <v/>
      </c>
      <c r="Q412" s="557">
        <f>_xlfn.CONCAT(schedule13[[#This Row],[Bucket]],"-",schedule13[[#This Row],[LENGTH]]/1000)</f>
        <v/>
      </c>
      <c r="R412" s="557">
        <f>COUNTIF(buckets[CTL Bucket],schedule13[[#This Row],[CTL Bucket]])</f>
        <v/>
      </c>
      <c r="S412" s="599" t="n">
        <v>57.15</v>
      </c>
      <c r="T412" s="599" t="n">
        <v>57.15</v>
      </c>
      <c r="U412" s="599" t="n">
        <v>0</v>
      </c>
      <c r="V412" s="599" t="n">
        <v>2.5</v>
      </c>
      <c r="W412" s="600" t="n">
        <v>375</v>
      </c>
      <c r="X412" s="22" t="inlineStr">
        <is>
          <t>NOS</t>
        </is>
      </c>
      <c r="Y412" s="601" t="n">
        <v>7247</v>
      </c>
      <c r="Z412" s="601" t="n"/>
      <c r="AA412" s="602">
        <f>Y412-Z412</f>
        <v/>
      </c>
      <c r="AB412" s="599">
        <f>(S412-V412)*V412*W412*0.024653*Y412/1000000</f>
        <v/>
      </c>
      <c r="AC412" s="599">
        <f>(S412-V412)*V412*W412*0.024653*Z412/1000000</f>
        <v/>
      </c>
      <c r="AD412" s="599">
        <f>AB412-AC412</f>
        <v/>
      </c>
      <c r="AE412" s="599" t="n"/>
      <c r="AF412" s="599" t="n">
        <v>1.307523</v>
      </c>
      <c r="AG412" s="599" t="n"/>
      <c r="AH412" s="599">
        <f>AB411-AF412</f>
        <v/>
      </c>
      <c r="AI412" s="118">
        <f>(AC412+AF412)/AB411</f>
        <v/>
      </c>
    </row>
    <row r="413" hidden="1" s="584">
      <c r="A413" s="594" t="n">
        <v>519</v>
      </c>
      <c r="B413" s="5" t="inlineStr">
        <is>
          <t>Hosur</t>
        </is>
      </c>
      <c r="C413" s="601" t="inlineStr">
        <is>
          <t>RUCHA</t>
        </is>
      </c>
      <c r="D413" s="601" t="n"/>
      <c r="E413" s="601" t="n">
        <v>188534</v>
      </c>
      <c r="F413" s="601" t="n">
        <v>3731697</v>
      </c>
      <c r="G413" s="601" t="inlineStr">
        <is>
          <t>CUT-O-N-AUT-AW-AG-57.15X2.500X0.5260</t>
        </is>
      </c>
      <c r="H413" s="601" t="inlineStr">
        <is>
          <t>ERW 1</t>
        </is>
      </c>
      <c r="I413" s="601" t="n"/>
      <c r="J413" s="601" t="inlineStr">
        <is>
          <t>FC</t>
        </is>
      </c>
      <c r="K413" s="601" t="inlineStr">
        <is>
          <t>HR</t>
        </is>
      </c>
      <c r="L413" s="601" t="n"/>
      <c r="M413" s="601" t="n"/>
      <c r="N413" s="601" t="inlineStr">
        <is>
          <t>AG</t>
        </is>
      </c>
      <c r="O413" s="601" t="n"/>
      <c r="P413" s="557">
        <f>CONCATENATE(schedule13[[#This Row],[OD]],"-",schedule13[[#This Row],[ID]],"-",schedule13[[#This Row],[TICKNESS]],"-",schedule13[[#This Row],[GRADE]],"-",schedule13[[#This Row],[FC/NFC]])</f>
        <v/>
      </c>
      <c r="Q413" s="557">
        <f>_xlfn.CONCAT(schedule13[[#This Row],[Bucket]],"-",schedule13[[#This Row],[LENGTH]]/1000)</f>
        <v/>
      </c>
      <c r="R413" s="557">
        <f>COUNTIF(buckets[CTL Bucket],schedule13[[#This Row],[CTL Bucket]])</f>
        <v/>
      </c>
      <c r="S413" s="599" t="n">
        <v>57.15</v>
      </c>
      <c r="T413" s="599" t="n">
        <v>57.15</v>
      </c>
      <c r="U413" s="599" t="n">
        <v>0</v>
      </c>
      <c r="V413" s="599" t="n">
        <v>2.5</v>
      </c>
      <c r="W413" s="600" t="n">
        <v>526</v>
      </c>
      <c r="X413" s="22" t="inlineStr">
        <is>
          <t>NOS</t>
        </is>
      </c>
      <c r="Y413" s="601" t="n">
        <v>7412</v>
      </c>
      <c r="Z413" s="601" t="n"/>
      <c r="AA413" s="602">
        <f>Y413-Z413</f>
        <v/>
      </c>
      <c r="AB413" s="599">
        <f>(S413-V413)*V413*W413*0.024653*Y413/1000000</f>
        <v/>
      </c>
      <c r="AC413" s="599">
        <f>(S413-V413)*V413*W413*0.024653*Z413/1000000</f>
        <v/>
      </c>
      <c r="AD413" s="599">
        <f>AB413-AC413</f>
        <v/>
      </c>
      <c r="AE413" s="599" t="n"/>
      <c r="AF413" s="599" t="n">
        <v>2.544655</v>
      </c>
      <c r="AG413" s="599" t="n"/>
      <c r="AH413" s="599">
        <f>AB412-AF413</f>
        <v/>
      </c>
      <c r="AI413" s="118">
        <f>(AC413+AF413)/AB412</f>
        <v/>
      </c>
    </row>
    <row r="414" hidden="1" s="584">
      <c r="A414" s="594" t="n">
        <v>298</v>
      </c>
      <c r="B414" s="5" t="inlineStr">
        <is>
          <t>Hosur</t>
        </is>
      </c>
      <c r="C414" s="601" t="inlineStr">
        <is>
          <t>Sandhar Automach</t>
        </is>
      </c>
      <c r="D414" s="601" t="n"/>
      <c r="E414" s="601" t="n">
        <v>187702</v>
      </c>
      <c r="F414" s="601" t="n">
        <v>1940478</v>
      </c>
      <c r="G414" s="601" t="inlineStr">
        <is>
          <t>TUB-O-O-AUT-AW-PE-22.23X2.000X0.905</t>
        </is>
      </c>
      <c r="H414" s="601" t="inlineStr">
        <is>
          <t>ERW 2 MAHS</t>
        </is>
      </c>
      <c r="I414" s="601" t="n"/>
      <c r="J414" s="601" t="inlineStr">
        <is>
          <t>PE</t>
        </is>
      </c>
      <c r="K414" s="601" t="inlineStr">
        <is>
          <t>CR</t>
        </is>
      </c>
      <c r="L414" s="601" t="n"/>
      <c r="M414" s="601" t="inlineStr">
        <is>
          <t>Chamferring</t>
        </is>
      </c>
      <c r="N414" s="601" t="n"/>
      <c r="O414" s="601" t="inlineStr">
        <is>
          <t>SC</t>
        </is>
      </c>
      <c r="P414" s="557">
        <f>CONCATENATE(schedule13[[#This Row],[OD]],"-",schedule13[[#This Row],[ID]],"-",schedule13[[#This Row],[TICKNESS]],"-",schedule13[[#This Row],[GRADE]],"-",schedule13[[#This Row],[FC/NFC]])</f>
        <v/>
      </c>
      <c r="Q414" s="557">
        <f>_xlfn.CONCAT(schedule13[[#This Row],[Bucket]],"-",schedule13[[#This Row],[LENGTH]]/1000)</f>
        <v/>
      </c>
      <c r="R414" s="557">
        <f>COUNTIF(buckets[CTL Bucket],schedule13[[#This Row],[CTL Bucket]])</f>
        <v/>
      </c>
      <c r="S414" s="599" t="n">
        <v>22.23</v>
      </c>
      <c r="T414" s="599" t="n">
        <v>22.23</v>
      </c>
      <c r="U414" s="599" t="n">
        <v>0</v>
      </c>
      <c r="V414" s="599" t="n">
        <v>2</v>
      </c>
      <c r="W414" s="600" t="n">
        <v>905</v>
      </c>
      <c r="X414" s="22" t="inlineStr">
        <is>
          <t>NOS</t>
        </is>
      </c>
      <c r="Y414" s="601" t="n">
        <v>25000</v>
      </c>
      <c r="Z414" s="601" t="n"/>
      <c r="AA414" s="602">
        <f>Y414-Z414</f>
        <v/>
      </c>
      <c r="AB414" s="599">
        <f>(S414-V414)*V414*W414*0.024653*Y414/1000000</f>
        <v/>
      </c>
      <c r="AC414" s="599">
        <f>(S414-V414)*V414*W414*0.024653*Z414/1000000</f>
        <v/>
      </c>
      <c r="AD414" s="599">
        <f>AB414-AC414</f>
        <v/>
      </c>
      <c r="AE414" s="599" t="n"/>
      <c r="AF414" s="599" t="n">
        <v>6.406232999999999</v>
      </c>
      <c r="AG414" s="599" t="n"/>
      <c r="AH414" s="599">
        <f>AB413-AF414</f>
        <v/>
      </c>
      <c r="AI414" s="118">
        <f>(AC414+AF414)/AB413</f>
        <v/>
      </c>
    </row>
    <row r="415" hidden="1" s="584">
      <c r="A415" s="594" t="n">
        <v>299</v>
      </c>
      <c r="B415" s="78" t="inlineStr">
        <is>
          <t>Hosur</t>
        </is>
      </c>
      <c r="C415" s="596" t="inlineStr">
        <is>
          <t>Sandhar Automach</t>
        </is>
      </c>
      <c r="D415" s="557" t="n"/>
      <c r="E415" s="596" t="n">
        <v>187702</v>
      </c>
      <c r="F415" s="127" t="n">
        <v>3943202</v>
      </c>
      <c r="G415" s="127" t="inlineStr">
        <is>
          <t>CUT-O-N-AUT-AW-FC-22.23X2.000X0.8400</t>
        </is>
      </c>
      <c r="H415" s="596" t="inlineStr">
        <is>
          <t>ERW 2 MAHS</t>
        </is>
      </c>
      <c r="I415" s="557" t="n"/>
      <c r="J415" s="557" t="inlineStr">
        <is>
          <t>FC</t>
        </is>
      </c>
      <c r="K415" s="557" t="n"/>
      <c r="L415" s="557" t="n"/>
      <c r="M415" s="557" t="n"/>
      <c r="N415" s="557" t="n"/>
      <c r="O415" s="557" t="n"/>
      <c r="P415" s="557">
        <f>CONCATENATE(schedule13[[#This Row],[OD]],"-",schedule13[[#This Row],[ID]],"-",schedule13[[#This Row],[TICKNESS]],"-",schedule13[[#This Row],[GRADE]],"-",schedule13[[#This Row],[FC/NFC]])</f>
        <v/>
      </c>
      <c r="Q415" s="557" t="n"/>
      <c r="R415" s="557" t="n"/>
      <c r="S415" s="79" t="n">
        <v>22.23</v>
      </c>
      <c r="T415" s="79" t="n">
        <v>22.23</v>
      </c>
      <c r="U415" s="79" t="n">
        <v>0</v>
      </c>
      <c r="V415" s="79" t="n">
        <v>2</v>
      </c>
      <c r="W415" s="81" t="n">
        <v>840</v>
      </c>
      <c r="X415" s="81" t="n"/>
      <c r="Y415" s="558" t="n">
        <v>5000</v>
      </c>
      <c r="Z415" s="558" t="n"/>
      <c r="AA415" s="573">
        <f>Y415-Z415</f>
        <v/>
      </c>
      <c r="AB415" s="561">
        <f>(S415-V415)*V415*W415*0.024653*Y415/1000000</f>
        <v/>
      </c>
      <c r="AC415" s="599">
        <f>(S415-V415)*V415*W415*0.024653*Z415/1000000</f>
        <v/>
      </c>
      <c r="AD415" s="599">
        <f>AB415-AC415</f>
        <v/>
      </c>
      <c r="AE415" s="599" t="n"/>
      <c r="AF415" s="599" t="n"/>
      <c r="AG415" s="599" t="n"/>
      <c r="AH415" s="599">
        <f>AB414-AF415</f>
        <v/>
      </c>
      <c r="AI415" s="118">
        <f>(AC415+AF415)/AB414</f>
        <v/>
      </c>
    </row>
    <row r="416" hidden="1" s="584">
      <c r="A416" s="594" t="n">
        <v>300</v>
      </c>
      <c r="B416" s="78" t="inlineStr">
        <is>
          <t>Hosur</t>
        </is>
      </c>
      <c r="C416" s="596" t="inlineStr">
        <is>
          <t>Sandhar Automach</t>
        </is>
      </c>
      <c r="D416" s="557" t="n"/>
      <c r="E416" s="596" t="n">
        <v>187702</v>
      </c>
      <c r="F416" s="127" t="n">
        <v>3943203</v>
      </c>
      <c r="G416" s="127" t="inlineStr">
        <is>
          <t>CUT-O-N-AUT-AW-FC-22.23X2.000X0.8550</t>
        </is>
      </c>
      <c r="H416" s="596" t="inlineStr">
        <is>
          <t>ERW 2 MAHS</t>
        </is>
      </c>
      <c r="I416" s="557" t="n"/>
      <c r="J416" s="557" t="inlineStr">
        <is>
          <t>FC</t>
        </is>
      </c>
      <c r="K416" s="557" t="n"/>
      <c r="L416" s="557" t="n"/>
      <c r="M416" s="557" t="n"/>
      <c r="N416" s="557" t="n"/>
      <c r="O416" s="557" t="n"/>
      <c r="P416" s="557">
        <f>CONCATENATE(schedule13[[#This Row],[OD]],"-",schedule13[[#This Row],[ID]],"-",schedule13[[#This Row],[TICKNESS]],"-",schedule13[[#This Row],[GRADE]],"-",schedule13[[#This Row],[FC/NFC]])</f>
        <v/>
      </c>
      <c r="Q416" s="557" t="n"/>
      <c r="R416" s="557" t="n"/>
      <c r="S416" s="79" t="n">
        <v>22.23</v>
      </c>
      <c r="T416" s="79" t="n">
        <v>22.23</v>
      </c>
      <c r="U416" s="79" t="n">
        <v>0</v>
      </c>
      <c r="V416" s="79" t="n">
        <v>2</v>
      </c>
      <c r="W416" s="81" t="n">
        <v>855</v>
      </c>
      <c r="X416" s="81" t="n"/>
      <c r="Y416" s="558" t="n">
        <v>10000</v>
      </c>
      <c r="Z416" s="558" t="n"/>
      <c r="AA416" s="573">
        <f>Y416-Z416</f>
        <v/>
      </c>
      <c r="AB416" s="561">
        <f>(S416-V416)*V416*W416*0.024653*Y416/1000000</f>
        <v/>
      </c>
      <c r="AC416" s="599">
        <f>(S416-V416)*V416*W416*0.024653*Z416/1000000</f>
        <v/>
      </c>
      <c r="AD416" s="599">
        <f>AB416-AC416</f>
        <v/>
      </c>
      <c r="AE416" s="599" t="n"/>
      <c r="AF416" s="599" t="n"/>
      <c r="AG416" s="599" t="n"/>
      <c r="AH416" s="599" t="n"/>
      <c r="AI416" s="118" t="n"/>
    </row>
    <row r="417" hidden="1" s="584">
      <c r="A417" s="594" t="n">
        <v>301</v>
      </c>
      <c r="B417" s="5" t="inlineStr">
        <is>
          <t>Hosur</t>
        </is>
      </c>
      <c r="C417" s="601" t="inlineStr">
        <is>
          <t>Sandhar Automach</t>
        </is>
      </c>
      <c r="D417" s="601" t="n"/>
      <c r="E417" s="601" t="n">
        <v>187702</v>
      </c>
      <c r="F417" s="601" t="n"/>
      <c r="G417" s="601" t="inlineStr">
        <is>
          <t>TUB-O-O-AUT-AW-PE-22.23X2.00X0.925-MAHS</t>
        </is>
      </c>
      <c r="H417" s="601" t="inlineStr">
        <is>
          <t>ERW 2 MAHS</t>
        </is>
      </c>
      <c r="I417" s="601" t="n"/>
      <c r="J417" s="601" t="inlineStr">
        <is>
          <t>PE</t>
        </is>
      </c>
      <c r="K417" s="601" t="inlineStr">
        <is>
          <t>HR</t>
        </is>
      </c>
      <c r="L417" s="601" t="n"/>
      <c r="M417" s="601" t="n"/>
      <c r="N417" s="601" t="n"/>
      <c r="O417" s="601" t="n"/>
      <c r="P417" s="557">
        <f>CONCATENATE(schedule13[[#This Row],[OD]],"-",schedule13[[#This Row],[ID]],"-",schedule13[[#This Row],[TICKNESS]],"-",schedule13[[#This Row],[GRADE]],"-",schedule13[[#This Row],[FC/NFC]])</f>
        <v/>
      </c>
      <c r="Q417" s="557" t="n"/>
      <c r="R417" s="557" t="n"/>
      <c r="S417" s="599" t="n">
        <v>22.23</v>
      </c>
      <c r="T417" s="599" t="n">
        <v>22.23</v>
      </c>
      <c r="U417" s="599" t="n">
        <v>0</v>
      </c>
      <c r="V417" s="599" t="n">
        <v>2</v>
      </c>
      <c r="W417" s="600" t="n">
        <v>925</v>
      </c>
      <c r="X417" s="600" t="n"/>
      <c r="Y417" s="601" t="n">
        <v>500</v>
      </c>
      <c r="Z417" s="601" t="n"/>
      <c r="AA417" s="602">
        <f>Y417-Z417</f>
        <v/>
      </c>
      <c r="AB417" s="599">
        <f>(S417-V417)*V417*W417*0.024653*Y417/1000000</f>
        <v/>
      </c>
      <c r="AC417" s="599">
        <f>(S417-V417)*V417*W417*0.024653*Z417/1000000</f>
        <v/>
      </c>
      <c r="AD417" s="599">
        <f>AB417-AC417</f>
        <v/>
      </c>
      <c r="AE417" s="599" t="n"/>
      <c r="AF417" s="599" t="n"/>
      <c r="AG417" s="599" t="n"/>
      <c r="AH417" s="599" t="n"/>
      <c r="AI417" s="118" t="n"/>
    </row>
    <row r="418" hidden="1" s="584">
      <c r="A418" s="594" t="n">
        <v>302</v>
      </c>
      <c r="B418" s="5" t="inlineStr">
        <is>
          <t>Hosur</t>
        </is>
      </c>
      <c r="C418" s="601" t="inlineStr">
        <is>
          <t>Sandhar Automach</t>
        </is>
      </c>
      <c r="D418" s="601" t="n"/>
      <c r="E418" s="601" t="n">
        <v>187702</v>
      </c>
      <c r="F418" s="601" t="n">
        <v>1940416</v>
      </c>
      <c r="G418" s="601" t="inlineStr">
        <is>
          <t>TUB-O-O-AUT-AW-PE-22.23X1.600X0.9350</t>
        </is>
      </c>
      <c r="H418" s="601" t="inlineStr">
        <is>
          <t>ERW 2 MAHS</t>
        </is>
      </c>
      <c r="I418" s="601" t="n"/>
      <c r="J418" s="601" t="inlineStr">
        <is>
          <t>PE</t>
        </is>
      </c>
      <c r="K418" s="601" t="inlineStr">
        <is>
          <t>CR</t>
        </is>
      </c>
      <c r="L418" s="596" t="inlineStr">
        <is>
          <t>ST52AL</t>
        </is>
      </c>
      <c r="M418" s="601" t="inlineStr">
        <is>
          <t>Chamferring</t>
        </is>
      </c>
      <c r="N418" s="601" t="n"/>
      <c r="O418" s="601" t="inlineStr">
        <is>
          <t>SC</t>
        </is>
      </c>
      <c r="P418" s="557">
        <f>CONCATENATE(schedule13[[#This Row],[OD]],"-",schedule13[[#This Row],[ID]],"-",schedule13[[#This Row],[TICKNESS]],"-",schedule13[[#This Row],[GRADE]],"-",schedule13[[#This Row],[FC/NFC]])</f>
        <v/>
      </c>
      <c r="Q418" s="557">
        <f>_xlfn.CONCAT(schedule13[[#This Row],[Bucket]],"-",schedule13[[#This Row],[LENGTH]]/1000)</f>
        <v/>
      </c>
      <c r="R418" s="557">
        <f>COUNTIF(buckets[CTL Bucket],schedule13[[#This Row],[CTL Bucket]])</f>
        <v/>
      </c>
      <c r="S418" s="599" t="n">
        <v>22.23</v>
      </c>
      <c r="T418" s="599" t="n">
        <v>22.23</v>
      </c>
      <c r="U418" s="599" t="n">
        <v>0</v>
      </c>
      <c r="V418" s="599" t="n">
        <v>1.6</v>
      </c>
      <c r="W418" s="600" t="n">
        <v>935</v>
      </c>
      <c r="X418" s="22" t="inlineStr">
        <is>
          <t>NOS</t>
        </is>
      </c>
      <c r="Y418" s="601" t="n">
        <v>10000</v>
      </c>
      <c r="Z418" s="601" t="n"/>
      <c r="AA418" s="602">
        <f>Y418-Z418</f>
        <v/>
      </c>
      <c r="AB418" s="599">
        <f>(S418-V418)*V418*W418*0.024653*Y418/1000000</f>
        <v/>
      </c>
      <c r="AC418" s="599">
        <f>(S418-V418)*V418*W418*0.024653*Z418/1000000</f>
        <v/>
      </c>
      <c r="AD418" s="599">
        <f>AB418-AC418</f>
        <v/>
      </c>
      <c r="AE418" s="599" t="n"/>
      <c r="AF418" s="599" t="n"/>
      <c r="AG418" s="599" t="n"/>
      <c r="AH418" s="599">
        <f>AB417-AF418</f>
        <v/>
      </c>
      <c r="AI418" s="118">
        <f>(AC418+AF418)/AB417</f>
        <v/>
      </c>
    </row>
    <row r="419" hidden="1" s="584">
      <c r="A419" s="594" t="n">
        <v>303</v>
      </c>
      <c r="B419" s="5" t="inlineStr">
        <is>
          <t>Hosur</t>
        </is>
      </c>
      <c r="C419" s="601" t="inlineStr">
        <is>
          <t>Sandhar Automach</t>
        </is>
      </c>
      <c r="D419" s="601" t="n"/>
      <c r="E419" s="601" t="n">
        <v>187702</v>
      </c>
      <c r="F419" s="601" t="n">
        <v>1940474</v>
      </c>
      <c r="G419" s="601" t="inlineStr">
        <is>
          <t>TUB-O-O-AUT-AW-PE-22.23X2.00X0.865-MAHS</t>
        </is>
      </c>
      <c r="H419" s="601" t="inlineStr">
        <is>
          <t>ERW 2 MAHS</t>
        </is>
      </c>
      <c r="I419" s="601" t="n"/>
      <c r="J419" s="601" t="n"/>
      <c r="K419" s="601" t="inlineStr">
        <is>
          <t>HR</t>
        </is>
      </c>
      <c r="L419" s="596" t="inlineStr">
        <is>
          <t>ST52AL</t>
        </is>
      </c>
      <c r="M419" s="601" t="n"/>
      <c r="N419" s="601" t="n"/>
      <c r="O419" s="601" t="n"/>
      <c r="P419" s="557">
        <f>CONCATENATE(schedule13[[#This Row],[OD]],"-",schedule13[[#This Row],[ID]],"-",schedule13[[#This Row],[TICKNESS]],"-",schedule13[[#This Row],[GRADE]],"-",schedule13[[#This Row],[FC/NFC]])</f>
        <v/>
      </c>
      <c r="Q419" s="557" t="n"/>
      <c r="R419" s="557" t="n"/>
      <c r="S419" s="599" t="n">
        <v>22.23</v>
      </c>
      <c r="T419" s="599" t="n">
        <v>22.23</v>
      </c>
      <c r="U419" s="599" t="n">
        <v>0</v>
      </c>
      <c r="V419" s="599" t="n">
        <v>2</v>
      </c>
      <c r="W419" s="600" t="n">
        <v>865</v>
      </c>
      <c r="X419" s="600" t="n"/>
      <c r="Y419" s="601" t="n">
        <v>0</v>
      </c>
      <c r="Z419" s="601" t="n"/>
      <c r="AA419" s="602">
        <f>Y419-Z419</f>
        <v/>
      </c>
      <c r="AB419" s="599">
        <f>(S419-V419)*V419*W419*0.024653*Y419/1000000</f>
        <v/>
      </c>
      <c r="AC419" s="599">
        <f>(S419-V419)*V419*W419*0.024653*Z419/1000000</f>
        <v/>
      </c>
      <c r="AD419" s="599">
        <f>AB419-AC419</f>
        <v/>
      </c>
      <c r="AE419" s="599" t="n"/>
      <c r="AF419" s="599" t="n"/>
      <c r="AG419" s="599" t="n"/>
      <c r="AH419" s="599">
        <f>AB418-AF419</f>
        <v/>
      </c>
      <c r="AI419" s="118">
        <f>(AC419+AF419)/AB418</f>
        <v/>
      </c>
    </row>
    <row r="420" hidden="1" s="584">
      <c r="A420" s="594" t="n">
        <v>304</v>
      </c>
      <c r="B420" s="5" t="inlineStr">
        <is>
          <t>Hosur</t>
        </is>
      </c>
      <c r="C420" s="601" t="inlineStr">
        <is>
          <t>Sandhar Automach</t>
        </is>
      </c>
      <c r="D420" s="601" t="n"/>
      <c r="E420" s="601" t="n">
        <v>187702</v>
      </c>
      <c r="F420" s="601" t="n">
        <v>2422186</v>
      </c>
      <c r="G420" s="601" t="inlineStr">
        <is>
          <t>TUB-O-O-AUT-AW-CH-22.23X2.000X0.7750</t>
        </is>
      </c>
      <c r="H420" s="601" t="inlineStr">
        <is>
          <t>ERW 1</t>
        </is>
      </c>
      <c r="I420" s="601" t="n"/>
      <c r="J420" s="601" t="n"/>
      <c r="K420" s="601" t="inlineStr">
        <is>
          <t>HR</t>
        </is>
      </c>
      <c r="L420" s="601" t="n"/>
      <c r="M420" s="601" t="n"/>
      <c r="N420" s="601" t="n"/>
      <c r="O420" s="601" t="n"/>
      <c r="P420" s="557">
        <f>CONCATENATE(schedule13[[#This Row],[OD]],"-",schedule13[[#This Row],[ID]],"-",schedule13[[#This Row],[TICKNESS]],"-",schedule13[[#This Row],[GRADE]],"-",schedule13[[#This Row],[FC/NFC]])</f>
        <v/>
      </c>
      <c r="Q420" s="557" t="n"/>
      <c r="R420" s="557" t="n"/>
      <c r="S420" s="599" t="n">
        <v>22.23</v>
      </c>
      <c r="T420" s="599" t="n">
        <v>22.23</v>
      </c>
      <c r="U420" s="599" t="n">
        <v>0</v>
      </c>
      <c r="V420" s="599" t="n">
        <v>2</v>
      </c>
      <c r="W420" s="600" t="n">
        <v>775</v>
      </c>
      <c r="X420" s="600" t="n"/>
      <c r="Y420" s="601" t="n">
        <v>0</v>
      </c>
      <c r="Z420" s="601" t="n"/>
      <c r="AA420" s="602">
        <f>Y420-Z420</f>
        <v/>
      </c>
      <c r="AB420" s="599">
        <f>(S420-V420)*V420*W420*0.024653*Y420/1000000</f>
        <v/>
      </c>
      <c r="AC420" s="599">
        <f>(S420-V420)*V420*W420*0.024653*Z420/1000000</f>
        <v/>
      </c>
      <c r="AD420" s="599">
        <f>AB420-AC420</f>
        <v/>
      </c>
      <c r="AE420" s="599" t="n"/>
      <c r="AF420" s="599" t="n">
        <v>0.30205</v>
      </c>
      <c r="AG420" s="599" t="n"/>
      <c r="AH420" s="599">
        <f>AB419-AF420</f>
        <v/>
      </c>
      <c r="AI420" s="118">
        <f>(AC420+AF420)/AB419</f>
        <v/>
      </c>
    </row>
    <row r="421" hidden="1" s="584">
      <c r="A421" s="594" t="n">
        <v>367</v>
      </c>
      <c r="B421" s="5" t="inlineStr">
        <is>
          <t>Hosur</t>
        </is>
      </c>
      <c r="C421" s="601" t="inlineStr">
        <is>
          <t>Sandhar Automach</t>
        </is>
      </c>
      <c r="D421" s="601" t="n"/>
      <c r="E421" s="601" t="n">
        <v>187702</v>
      </c>
      <c r="F421" s="601" t="n">
        <v>2386074</v>
      </c>
      <c r="G421" s="601" t="inlineStr">
        <is>
          <t>TUB-O-N-AUT-AW-PE-12.70X1.200X0.6000</t>
        </is>
      </c>
      <c r="H421" s="601" t="inlineStr">
        <is>
          <t>ERW 1</t>
        </is>
      </c>
      <c r="I421" s="601" t="n"/>
      <c r="J421" s="601" t="n"/>
      <c r="K421" s="601" t="inlineStr">
        <is>
          <t>HR</t>
        </is>
      </c>
      <c r="L421" s="601" t="n"/>
      <c r="M421" s="601" t="n"/>
      <c r="N421" s="601" t="n"/>
      <c r="O421" s="601" t="n"/>
      <c r="P421" s="557">
        <f>CONCATENATE(schedule13[[#This Row],[OD]],"-",schedule13[[#This Row],[ID]],"-",schedule13[[#This Row],[TICKNESS]],"-",schedule13[[#This Row],[GRADE]],"-",schedule13[[#This Row],[FC/NFC]])</f>
        <v/>
      </c>
      <c r="Q421" s="557" t="n"/>
      <c r="R421" s="557" t="n"/>
      <c r="S421" s="599" t="n">
        <v>12.7</v>
      </c>
      <c r="T421" s="599" t="n">
        <v>12.7</v>
      </c>
      <c r="U421" s="599" t="n">
        <v>0</v>
      </c>
      <c r="V421" s="599" t="n">
        <v>1.2</v>
      </c>
      <c r="W421" s="23" t="n">
        <v>600</v>
      </c>
      <c r="X421" s="23" t="n"/>
      <c r="Y421" s="601" t="n">
        <v>0</v>
      </c>
      <c r="Z421" s="601" t="n"/>
      <c r="AA421" s="602">
        <f>Y421-Z421</f>
        <v/>
      </c>
      <c r="AB421" s="599">
        <f>(S421-V421)*V421*W421*0.024653*Y421/1000000</f>
        <v/>
      </c>
      <c r="AC421" s="599">
        <f>(S421-V421)*V421*W421*0.024653*Z421/1000000</f>
        <v/>
      </c>
      <c r="AD421" s="599">
        <f>AB421-AC421</f>
        <v/>
      </c>
      <c r="AE421" s="599" t="n"/>
      <c r="AF421" s="599" t="n"/>
      <c r="AG421" s="599" t="n"/>
      <c r="AH421" s="599">
        <f>AB420-AF421</f>
        <v/>
      </c>
      <c r="AI421" s="118">
        <f>(AC421+AF421)/AB420</f>
        <v/>
      </c>
    </row>
    <row r="422" hidden="1" s="584">
      <c r="A422" s="594" t="n">
        <v>368</v>
      </c>
      <c r="B422" s="5" t="inlineStr">
        <is>
          <t>Hosur</t>
        </is>
      </c>
      <c r="C422" s="601" t="inlineStr">
        <is>
          <t>Sandhar Automach</t>
        </is>
      </c>
      <c r="D422" s="601" t="n"/>
      <c r="E422" s="601" t="n">
        <v>187702</v>
      </c>
      <c r="F422" s="601" t="n">
        <v>3697417</v>
      </c>
      <c r="G422" s="601" t="inlineStr">
        <is>
          <t>PT2-O-N-AUT-AW-PE-22.20X2.000X1.3850</t>
        </is>
      </c>
      <c r="H422" s="601" t="inlineStr">
        <is>
          <t>ERW 1</t>
        </is>
      </c>
      <c r="I422" s="601" t="n"/>
      <c r="J422" s="601" t="n"/>
      <c r="K422" s="601" t="inlineStr">
        <is>
          <t>HR</t>
        </is>
      </c>
      <c r="L422" s="601" t="n"/>
      <c r="M422" s="601" t="n"/>
      <c r="N422" s="601" t="n"/>
      <c r="O422" s="601" t="n"/>
      <c r="P422" s="557">
        <f>CONCATENATE(schedule13[[#This Row],[OD]],"-",schedule13[[#This Row],[ID]],"-",schedule13[[#This Row],[TICKNESS]],"-",schedule13[[#This Row],[GRADE]],"-",schedule13[[#This Row],[FC/NFC]])</f>
        <v/>
      </c>
      <c r="Q422" s="557" t="n"/>
      <c r="R422" s="557" t="n"/>
      <c r="S422" s="599" t="n">
        <v>22.23</v>
      </c>
      <c r="T422" s="599" t="n">
        <v>22.23</v>
      </c>
      <c r="U422" s="599" t="n">
        <v>0</v>
      </c>
      <c r="V422" s="599" t="n">
        <v>2</v>
      </c>
      <c r="W422" s="23" t="n">
        <v>1385</v>
      </c>
      <c r="X422" s="23" t="n"/>
      <c r="Y422" s="601" t="n">
        <v>0</v>
      </c>
      <c r="Z422" s="601" t="n"/>
      <c r="AA422" s="602">
        <f>Y422-Z422</f>
        <v/>
      </c>
      <c r="AB422" s="599">
        <f>(S422-V422)*V422*W422*0.024653*Y422/1000000</f>
        <v/>
      </c>
      <c r="AC422" s="599">
        <f>(S422-V422)*V422*W422*0.024653*Z422/1000000</f>
        <v/>
      </c>
      <c r="AD422" s="599">
        <f>AB422-AC422</f>
        <v/>
      </c>
      <c r="AE422" s="599" t="n"/>
      <c r="AF422" s="599" t="n">
        <v>0.58143</v>
      </c>
      <c r="AG422" s="599" t="n"/>
      <c r="AH422" s="599">
        <f>AB421-AF422</f>
        <v/>
      </c>
      <c r="AI422" s="118">
        <f>(AC422+AF422)/AB421</f>
        <v/>
      </c>
    </row>
    <row r="423" hidden="1" s="584">
      <c r="A423" s="594" t="n">
        <v>369</v>
      </c>
      <c r="B423" s="5" t="inlineStr">
        <is>
          <t>Hosur</t>
        </is>
      </c>
      <c r="C423" s="601" t="inlineStr">
        <is>
          <t>Sandhar Automach</t>
        </is>
      </c>
      <c r="D423" s="601" t="n"/>
      <c r="E423" s="601" t="n">
        <v>187702</v>
      </c>
      <c r="F423" s="601" t="n">
        <v>2423535</v>
      </c>
      <c r="G423" s="601" t="inlineStr">
        <is>
          <t>TUB-O-N-AUT-AW-PE-22.23X1.200X1.3280</t>
        </is>
      </c>
      <c r="H423" s="601" t="inlineStr">
        <is>
          <t>ERW 1</t>
        </is>
      </c>
      <c r="I423" s="601" t="n"/>
      <c r="J423" s="601" t="n"/>
      <c r="K423" s="601" t="inlineStr">
        <is>
          <t>HR</t>
        </is>
      </c>
      <c r="L423" s="601" t="n"/>
      <c r="M423" s="601" t="n"/>
      <c r="N423" s="601" t="n"/>
      <c r="O423" s="601" t="n"/>
      <c r="P423" s="557">
        <f>CONCATENATE(schedule13[[#This Row],[OD]],"-",schedule13[[#This Row],[ID]],"-",schedule13[[#This Row],[TICKNESS]],"-",schedule13[[#This Row],[GRADE]],"-",schedule13[[#This Row],[FC/NFC]])</f>
        <v/>
      </c>
      <c r="Q423" s="557" t="n"/>
      <c r="R423" s="557" t="n"/>
      <c r="S423" s="599" t="n">
        <v>22.23</v>
      </c>
      <c r="T423" s="599" t="n">
        <v>22.23</v>
      </c>
      <c r="U423" s="599" t="n">
        <v>0</v>
      </c>
      <c r="V423" s="599" t="n">
        <v>1.2</v>
      </c>
      <c r="W423" s="23" t="n">
        <v>1328</v>
      </c>
      <c r="X423" s="23" t="n"/>
      <c r="Y423" s="601" t="n">
        <v>0</v>
      </c>
      <c r="Z423" s="601" t="n"/>
      <c r="AA423" s="602">
        <f>Y423-Z423</f>
        <v/>
      </c>
      <c r="AB423" s="599">
        <f>(S423-V423)*V423*W423*0.024653*Y423/1000000</f>
        <v/>
      </c>
      <c r="AC423" s="599">
        <f>(S423-V423)*V423*W423*0.024653*Z423/1000000</f>
        <v/>
      </c>
      <c r="AD423" s="599">
        <f>AB423-AC423</f>
        <v/>
      </c>
      <c r="AE423" s="599" t="n"/>
      <c r="AF423" s="599" t="n"/>
      <c r="AG423" s="599" t="n"/>
      <c r="AH423" s="599">
        <f>AB422-AF423</f>
        <v/>
      </c>
      <c r="AI423" s="118">
        <f>(AC423+AF423)/AB422</f>
        <v/>
      </c>
    </row>
    <row r="424" hidden="1" s="584">
      <c r="A424" s="594" t="n">
        <v>481</v>
      </c>
      <c r="B424" s="5" t="inlineStr">
        <is>
          <t xml:space="preserve">Khopoli </t>
        </is>
      </c>
      <c r="C424" s="601" t="inlineStr">
        <is>
          <t xml:space="preserve">Sandhar Engg Mysore </t>
        </is>
      </c>
      <c r="D424" s="601" t="n"/>
      <c r="E424" s="601" t="n">
        <v>941496</v>
      </c>
      <c r="F424" s="601" t="n"/>
      <c r="G424" s="601" t="inlineStr">
        <is>
          <t>TUB-O-N-AUT-AW-FC-48.60X3.500X0.202.5</t>
        </is>
      </c>
      <c r="H424" s="601" t="inlineStr">
        <is>
          <t>ERW 1</t>
        </is>
      </c>
      <c r="I424" s="601" t="n"/>
      <c r="J424" s="601" t="inlineStr">
        <is>
          <t>FC</t>
        </is>
      </c>
      <c r="K424" s="601" t="inlineStr">
        <is>
          <t>HR</t>
        </is>
      </c>
      <c r="L424" s="601" t="n"/>
      <c r="M424" s="601" t="inlineStr">
        <is>
          <t>Chamferring</t>
        </is>
      </c>
      <c r="N424" s="601" t="n"/>
      <c r="O424" s="601" t="n"/>
      <c r="P424" s="557">
        <f>CONCATENATE(schedule13[[#This Row],[OD]],"-",schedule13[[#This Row],[ID]],"-",schedule13[[#This Row],[TICKNESS]],"-",schedule13[[#This Row],[GRADE]],"-",schedule13[[#This Row],[FC/NFC]])</f>
        <v/>
      </c>
      <c r="Q424" s="557">
        <f>_xlfn.CONCAT(schedule13[[#This Row],[Bucket]],"-",schedule13[[#This Row],[LENGTH]]/1000)</f>
        <v/>
      </c>
      <c r="R424" s="557">
        <f>COUNTIF(buckets[CTL Bucket],schedule13[[#This Row],[CTL Bucket]])</f>
        <v/>
      </c>
      <c r="S424" s="599" t="n">
        <v>48.6</v>
      </c>
      <c r="T424" s="599" t="n">
        <v>48.6</v>
      </c>
      <c r="U424" s="599" t="n">
        <v>0</v>
      </c>
      <c r="V424" s="599" t="n">
        <v>3.5</v>
      </c>
      <c r="W424" s="600" t="n">
        <v>202.5</v>
      </c>
      <c r="X424" s="22" t="inlineStr">
        <is>
          <t>NOS</t>
        </is>
      </c>
      <c r="Y424" s="601" t="n">
        <v>7389</v>
      </c>
      <c r="Z424" s="601" t="n"/>
      <c r="AA424" s="602">
        <f>Y424-Z424</f>
        <v/>
      </c>
      <c r="AB424" s="599">
        <f>(S424-V424)*V424*W424*0.024653*Y424/1000000</f>
        <v/>
      </c>
      <c r="AC424" s="599">
        <f>(S424-V424)*V424*W424*0.024653*Z424/1000000</f>
        <v/>
      </c>
      <c r="AD424" s="599">
        <f>AB424-AC424</f>
        <v/>
      </c>
      <c r="AE424" s="599" t="n"/>
      <c r="AF424" s="599" t="n"/>
      <c r="AG424" s="599" t="n"/>
      <c r="AH424" s="599">
        <f>AB423-AF424</f>
        <v/>
      </c>
      <c r="AI424" s="118">
        <f>(AC424+AF424)/AB423</f>
        <v/>
      </c>
    </row>
    <row r="425" hidden="1" s="584">
      <c r="A425" s="594" t="n">
        <v>482</v>
      </c>
      <c r="B425" s="5" t="inlineStr">
        <is>
          <t>Hosur</t>
        </is>
      </c>
      <c r="C425" s="601" t="inlineStr">
        <is>
          <t xml:space="preserve">Sandhar Engg Mysore </t>
        </is>
      </c>
      <c r="D425" s="601" t="n"/>
      <c r="E425" s="601" t="n">
        <v>941496</v>
      </c>
      <c r="F425" s="601" t="n">
        <v>3508742</v>
      </c>
      <c r="G425" s="601" t="inlineStr">
        <is>
          <t>CUT-O-N-AUT-AW-FC-38.10X2.000X0.4100</t>
        </is>
      </c>
      <c r="H425" s="601" t="inlineStr">
        <is>
          <t>ERW 1</t>
        </is>
      </c>
      <c r="I425" s="601" t="n"/>
      <c r="J425" s="601" t="inlineStr">
        <is>
          <t>FC</t>
        </is>
      </c>
      <c r="K425" s="601" t="inlineStr">
        <is>
          <t>HR</t>
        </is>
      </c>
      <c r="L425" s="601" t="n"/>
      <c r="M425" s="601" t="n"/>
      <c r="N425" s="601" t="n"/>
      <c r="O425" s="601" t="n"/>
      <c r="P425" s="557">
        <f>CONCATENATE(schedule13[[#This Row],[OD]],"-",schedule13[[#This Row],[ID]],"-",schedule13[[#This Row],[TICKNESS]],"-",schedule13[[#This Row],[GRADE]],"-",schedule13[[#This Row],[FC/NFC]])</f>
        <v/>
      </c>
      <c r="Q425" s="557" t="n"/>
      <c r="R425" s="557" t="n"/>
      <c r="S425" s="599" t="n">
        <v>38.1</v>
      </c>
      <c r="T425" s="599" t="n">
        <v>38.1</v>
      </c>
      <c r="U425" s="599" t="n">
        <v>0</v>
      </c>
      <c r="V425" s="599" t="n">
        <v>2</v>
      </c>
      <c r="W425" s="600" t="n">
        <v>410</v>
      </c>
      <c r="X425" s="600" t="n"/>
      <c r="Y425" s="601" t="n">
        <v>16779</v>
      </c>
      <c r="Z425" s="601" t="n"/>
      <c r="AA425" s="602">
        <f>Y425-Z425</f>
        <v/>
      </c>
      <c r="AB425" s="599">
        <f>(S425-V425)*V425*W425*0.024653*Y425/1000000</f>
        <v/>
      </c>
      <c r="AC425" s="599">
        <f>(S425-V425)*V425*W425*0.024653*Z425/1000000</f>
        <v/>
      </c>
      <c r="AD425" s="599">
        <f>AB425-AC425</f>
        <v/>
      </c>
      <c r="AE425" s="599" t="n"/>
      <c r="AF425" s="599" t="n"/>
      <c r="AG425" s="599" t="n"/>
      <c r="AH425" s="599">
        <f>AB424-AF425</f>
        <v/>
      </c>
      <c r="AI425" s="118">
        <f>(AC425+AF425)/AB424</f>
        <v/>
      </c>
    </row>
    <row r="426" hidden="1" s="584">
      <c r="A426" s="594" t="n">
        <v>483</v>
      </c>
      <c r="B426" s="5" t="inlineStr">
        <is>
          <t>Hosur</t>
        </is>
      </c>
      <c r="C426" s="601" t="inlineStr">
        <is>
          <t xml:space="preserve">Sandhar Engg Mysore </t>
        </is>
      </c>
      <c r="D426" s="601" t="n"/>
      <c r="E426" s="601" t="n">
        <v>941496</v>
      </c>
      <c r="F426" s="601" t="n"/>
      <c r="G426" s="601" t="n"/>
      <c r="H426" s="601" t="inlineStr">
        <is>
          <t>ERW 1</t>
        </is>
      </c>
      <c r="I426" s="601" t="n"/>
      <c r="J426" s="601" t="inlineStr">
        <is>
          <t>FC</t>
        </is>
      </c>
      <c r="K426" s="601" t="inlineStr">
        <is>
          <t>HR</t>
        </is>
      </c>
      <c r="L426" s="601" t="n"/>
      <c r="M426" s="601" t="n"/>
      <c r="N426" s="601" t="n"/>
      <c r="O426" s="601" t="n"/>
      <c r="P426" s="557">
        <f>CONCATENATE(schedule13[[#This Row],[OD]],"-",schedule13[[#This Row],[ID]],"-",schedule13[[#This Row],[TICKNESS]],"-",schedule13[[#This Row],[GRADE]],"-",schedule13[[#This Row],[FC/NFC]])</f>
        <v/>
      </c>
      <c r="Q426" s="557" t="n"/>
      <c r="R426" s="557" t="n"/>
      <c r="S426" s="599" t="n">
        <v>50.8</v>
      </c>
      <c r="T426" s="599" t="n">
        <v>50.8</v>
      </c>
      <c r="U426" s="599" t="n">
        <v>0</v>
      </c>
      <c r="V426" s="599" t="n">
        <v>1.6</v>
      </c>
      <c r="W426" s="600" t="n">
        <v>753</v>
      </c>
      <c r="X426" s="600" t="n"/>
      <c r="Y426" s="601" t="n">
        <v>0</v>
      </c>
      <c r="Z426" s="601" t="n"/>
      <c r="AA426" s="602">
        <f>Y426-Z426</f>
        <v/>
      </c>
      <c r="AB426" s="599">
        <f>(S426-V426)*V426*W426*0.024653*Y426/1000000</f>
        <v/>
      </c>
      <c r="AC426" s="599">
        <f>(S426-V426)*V426*W426*0.024653*Z426/1000000</f>
        <v/>
      </c>
      <c r="AD426" s="599">
        <f>AB426-AC426</f>
        <v/>
      </c>
      <c r="AE426" s="599" t="n"/>
      <c r="AF426" s="599" t="n">
        <v>2.283753</v>
      </c>
      <c r="AG426" s="599" t="n"/>
      <c r="AH426" s="599">
        <f>AB425-AF426</f>
        <v/>
      </c>
      <c r="AI426" s="118">
        <f>(AC426+AF426)/AB425</f>
        <v/>
      </c>
    </row>
    <row r="427" hidden="1" s="584">
      <c r="A427" s="594" t="n">
        <v>484</v>
      </c>
      <c r="B427" s="5" t="inlineStr">
        <is>
          <t xml:space="preserve">Khopoli </t>
        </is>
      </c>
      <c r="C427" s="596" t="inlineStr">
        <is>
          <t xml:space="preserve">Sandhar Engg Mysore </t>
        </is>
      </c>
      <c r="D427" s="601" t="n"/>
      <c r="E427" s="596" t="n">
        <v>941496</v>
      </c>
      <c r="F427" s="9" t="n">
        <v>3910648</v>
      </c>
      <c r="G427" s="9" t="inlineStr">
        <is>
          <t>HT2-O-N-AUT-AW-FC-41.28X2.600X0.8500</t>
        </is>
      </c>
      <c r="H427" s="596" t="inlineStr">
        <is>
          <t>ERW 1</t>
        </is>
      </c>
      <c r="I427" s="601" t="n"/>
      <c r="J427" s="601" t="inlineStr">
        <is>
          <t>FC</t>
        </is>
      </c>
      <c r="K427" s="601" t="n"/>
      <c r="L427" s="601" t="n"/>
      <c r="M427" s="601" t="n"/>
      <c r="N427" s="601" t="n"/>
      <c r="O427" s="601" t="n"/>
      <c r="P427" s="557">
        <f>CONCATENATE(schedule13[[#This Row],[OD]],"-",schedule13[[#This Row],[ID]],"-",schedule13[[#This Row],[TICKNESS]],"-",schedule13[[#This Row],[GRADE]],"-",schedule13[[#This Row],[FC/NFC]])</f>
        <v/>
      </c>
      <c r="Q427" s="557" t="n"/>
      <c r="R427" s="557" t="n"/>
      <c r="S427" s="79" t="n">
        <v>41.28</v>
      </c>
      <c r="T427" s="79" t="n">
        <v>41.28</v>
      </c>
      <c r="U427" s="79" t="n">
        <v>0</v>
      </c>
      <c r="V427" s="79" t="n">
        <v>2.6</v>
      </c>
      <c r="W427" s="81" t="n">
        <v>850</v>
      </c>
      <c r="X427" s="81" t="n"/>
      <c r="Y427" s="596" t="n">
        <v>14500</v>
      </c>
      <c r="Z427" s="596" t="n"/>
      <c r="AA427" s="82">
        <f>Y427-Z427</f>
        <v/>
      </c>
      <c r="AB427" s="79">
        <f>(S427-V427)*V427*W427*0.024653*Y427/1000000</f>
        <v/>
      </c>
      <c r="AC427" s="599">
        <f>(S427-V427)*V427*W427*0.024653*Z427/1000000</f>
        <v/>
      </c>
      <c r="AD427" s="599">
        <f>AB427-AC427</f>
        <v/>
      </c>
      <c r="AE427" s="599" t="n"/>
      <c r="AF427" s="599" t="n"/>
      <c r="AG427" s="599" t="n"/>
      <c r="AH427" s="599">
        <f>AB426-AF427</f>
        <v/>
      </c>
      <c r="AI427" s="118">
        <f>(AC427+AF427)/AB426</f>
        <v/>
      </c>
    </row>
    <row r="428" hidden="1" s="584">
      <c r="A428" s="594" t="n">
        <v>485</v>
      </c>
      <c r="B428" s="78" t="inlineStr">
        <is>
          <t>Hosur</t>
        </is>
      </c>
      <c r="C428" s="596" t="inlineStr">
        <is>
          <t xml:space="preserve">Sandhar Engg Mysore </t>
        </is>
      </c>
      <c r="D428" s="557" t="n"/>
      <c r="E428" s="596" t="n">
        <v>941496</v>
      </c>
      <c r="F428" s="87" t="n">
        <v>3910649</v>
      </c>
      <c r="G428" s="87" t="inlineStr">
        <is>
          <t>CUT-O-N-AUT-AW-FC-22.23X2.000X0.8630</t>
        </is>
      </c>
      <c r="H428" s="596" t="inlineStr">
        <is>
          <t>ERW 2</t>
        </is>
      </c>
      <c r="I428" s="557" t="n"/>
      <c r="J428" s="557" t="inlineStr">
        <is>
          <t>FC</t>
        </is>
      </c>
      <c r="K428" s="557" t="n"/>
      <c r="L428" s="557" t="n"/>
      <c r="M428" s="557" t="n"/>
      <c r="N428" s="557" t="n"/>
      <c r="O428" s="557" t="n"/>
      <c r="P428" s="557">
        <f>CONCATENATE(schedule13[[#This Row],[OD]],"-",schedule13[[#This Row],[ID]],"-",schedule13[[#This Row],[TICKNESS]],"-",schedule13[[#This Row],[GRADE]],"-",schedule13[[#This Row],[FC/NFC]])</f>
        <v/>
      </c>
      <c r="Q428" s="557" t="n"/>
      <c r="R428" s="557" t="n"/>
      <c r="S428" s="561" t="n">
        <v>22.23</v>
      </c>
      <c r="T428" s="561" t="n">
        <v>22.23</v>
      </c>
      <c r="U428" s="561" t="n">
        <v>0</v>
      </c>
      <c r="V428" s="561" t="n">
        <v>2</v>
      </c>
      <c r="W428" s="81" t="n">
        <v>863</v>
      </c>
      <c r="X428" s="81" t="n"/>
      <c r="Y428" s="558" t="n">
        <v>14500</v>
      </c>
      <c r="Z428" s="558" t="n"/>
      <c r="AA428" s="573">
        <f>Y428-Z428</f>
        <v/>
      </c>
      <c r="AB428" s="561">
        <f>(S428-V428)*V428*W428*0.024653*Y428/1000000</f>
        <v/>
      </c>
      <c r="AC428" s="599">
        <f>(S428-V428)*V428*W428*0.024653*Z428/1000000</f>
        <v/>
      </c>
      <c r="AD428" s="599">
        <f>AB428-AC428</f>
        <v/>
      </c>
      <c r="AE428" s="599" t="n"/>
      <c r="AF428" s="599" t="n"/>
      <c r="AG428" s="599" t="n"/>
      <c r="AH428" s="599" t="n"/>
      <c r="AI428" s="118" t="n"/>
    </row>
    <row r="429" hidden="1" s="584">
      <c r="A429" s="594" t="n">
        <v>486</v>
      </c>
      <c r="B429" s="78" t="inlineStr">
        <is>
          <t>Hosur</t>
        </is>
      </c>
      <c r="C429" s="596" t="inlineStr">
        <is>
          <t xml:space="preserve">Sandhar Engg Mysore </t>
        </is>
      </c>
      <c r="D429" s="557" t="n"/>
      <c r="E429" s="596" t="n">
        <v>941496</v>
      </c>
      <c r="F429" s="87" t="n">
        <v>3910650</v>
      </c>
      <c r="G429" s="87" t="inlineStr">
        <is>
          <t>CUT-O-N-AUT-AS-FC-22.23X2.000X0.8550</t>
        </is>
      </c>
      <c r="H429" s="596" t="inlineStr">
        <is>
          <t>ERW 2</t>
        </is>
      </c>
      <c r="I429" s="557" t="n"/>
      <c r="J429" s="557" t="inlineStr">
        <is>
          <t>FC</t>
        </is>
      </c>
      <c r="K429" s="557" t="n"/>
      <c r="L429" s="557" t="n"/>
      <c r="M429" s="557" t="n"/>
      <c r="N429" s="557" t="n"/>
      <c r="O429" s="557" t="n"/>
      <c r="P429" s="557">
        <f>CONCATENATE(schedule13[[#This Row],[OD]],"-",schedule13[[#This Row],[ID]],"-",schedule13[[#This Row],[TICKNESS]],"-",schedule13[[#This Row],[GRADE]],"-",schedule13[[#This Row],[FC/NFC]])</f>
        <v/>
      </c>
      <c r="Q429" s="557" t="n"/>
      <c r="R429" s="557" t="n"/>
      <c r="S429" s="561" t="n">
        <v>22.23</v>
      </c>
      <c r="T429" s="561" t="n">
        <v>22.23</v>
      </c>
      <c r="U429" s="561" t="n">
        <v>0</v>
      </c>
      <c r="V429" s="561" t="n">
        <v>2</v>
      </c>
      <c r="W429" s="81" t="n">
        <v>855</v>
      </c>
      <c r="X429" s="81" t="n"/>
      <c r="Y429" s="558" t="n">
        <v>13553</v>
      </c>
      <c r="Z429" s="558" t="n"/>
      <c r="AA429" s="573">
        <f>Y429-Z429</f>
        <v/>
      </c>
      <c r="AB429" s="561">
        <f>(S429-V429)*V429*W429*0.024653*Y429/1000000</f>
        <v/>
      </c>
      <c r="AC429" s="599">
        <f>(S429-V429)*V429*W429*0.024653*Z429/1000000</f>
        <v/>
      </c>
      <c r="AD429" s="599">
        <f>AB429-AC429</f>
        <v/>
      </c>
      <c r="AE429" s="599" t="n"/>
      <c r="AF429" s="599" t="n"/>
      <c r="AG429" s="599" t="n"/>
      <c r="AH429" s="599" t="n"/>
      <c r="AI429" s="118" t="n"/>
    </row>
    <row r="430" hidden="1" s="584">
      <c r="A430" s="594" t="n">
        <v>487</v>
      </c>
      <c r="B430" s="5" t="inlineStr">
        <is>
          <t>JSR</t>
        </is>
      </c>
      <c r="C430" s="601" t="inlineStr">
        <is>
          <t xml:space="preserve">Sandhar Engg Mysore </t>
        </is>
      </c>
      <c r="D430" s="601" t="n"/>
      <c r="E430" s="601" t="n">
        <v>941496</v>
      </c>
      <c r="F430" s="9" t="n">
        <v>3901714</v>
      </c>
      <c r="G430" s="9" t="inlineStr">
        <is>
          <t>CUT-N-AUT-AN-FC-42.70X4.000X0.2150</t>
        </is>
      </c>
      <c r="H430" s="601" t="inlineStr">
        <is>
          <t>ERW 1</t>
        </is>
      </c>
      <c r="I430" s="601" t="inlineStr">
        <is>
          <t>Annealed</t>
        </is>
      </c>
      <c r="J430" s="601" t="inlineStr">
        <is>
          <t>FC</t>
        </is>
      </c>
      <c r="K430" s="601" t="inlineStr">
        <is>
          <t>HR</t>
        </is>
      </c>
      <c r="L430" s="601" t="n"/>
      <c r="M430" s="601" t="inlineStr">
        <is>
          <t>Chamferring</t>
        </is>
      </c>
      <c r="N430" s="601" t="n"/>
      <c r="O430" s="601" t="n"/>
      <c r="P430" s="557">
        <f>CONCATENATE(schedule13[[#This Row],[OD]],"-",schedule13[[#This Row],[ID]],"-",schedule13[[#This Row],[TICKNESS]],"-",schedule13[[#This Row],[GRADE]],"-",schedule13[[#This Row],[FC/NFC]])</f>
        <v/>
      </c>
      <c r="Q430" s="557">
        <f>_xlfn.CONCAT(schedule13[[#This Row],[Bucket]],"-",schedule13[[#This Row],[LENGTH]]/1000)</f>
        <v/>
      </c>
      <c r="R430" s="557">
        <f>COUNTIF(buckets[CTL Bucket],schedule13[[#This Row],[CTL Bucket]])</f>
        <v/>
      </c>
      <c r="S430" s="599" t="n">
        <v>42.7</v>
      </c>
      <c r="T430" s="599" t="n">
        <v>42.7</v>
      </c>
      <c r="U430" s="599" t="n">
        <v>0</v>
      </c>
      <c r="V430" s="599" t="n">
        <v>4</v>
      </c>
      <c r="W430" s="600" t="n">
        <v>215</v>
      </c>
      <c r="X430" s="22" t="inlineStr">
        <is>
          <t>NOS</t>
        </is>
      </c>
      <c r="Y430" s="601" t="n">
        <v>27167</v>
      </c>
      <c r="Z430" s="601" t="n"/>
      <c r="AA430" s="602">
        <f>Y430-Z430</f>
        <v/>
      </c>
      <c r="AB430" s="599">
        <f>(S430-V430)*V430*W430*0.024653*Y430/1000000</f>
        <v/>
      </c>
      <c r="AC430" s="599">
        <f>(S430-V430)*V430*W430*0.024653*Z430/1000000</f>
        <v/>
      </c>
      <c r="AD430" s="599">
        <f>AB430-AC430</f>
        <v/>
      </c>
      <c r="AE430" s="599" t="n"/>
      <c r="AF430" s="599" t="n"/>
      <c r="AG430" s="599" t="n"/>
      <c r="AH430" s="599" t="n"/>
      <c r="AI430" s="118" t="n"/>
    </row>
    <row r="431" hidden="1" s="584">
      <c r="A431" s="594" t="n">
        <v>488</v>
      </c>
      <c r="B431" s="5" t="inlineStr">
        <is>
          <t>Hosur</t>
        </is>
      </c>
      <c r="C431" s="601" t="inlineStr">
        <is>
          <t xml:space="preserve">Sandhar Engg Mysore </t>
        </is>
      </c>
      <c r="D431" s="601" t="n"/>
      <c r="E431" s="601" t="n">
        <v>941496</v>
      </c>
      <c r="F431" s="601" t="n">
        <v>3714733</v>
      </c>
      <c r="G431" s="601" t="inlineStr">
        <is>
          <t>TUB-O-N-AUT-AW-PE-22.23X1.600X0.690</t>
        </is>
      </c>
      <c r="H431" s="601" t="inlineStr">
        <is>
          <t>ERW 1</t>
        </is>
      </c>
      <c r="I431" s="601" t="n"/>
      <c r="J431" s="601" t="inlineStr">
        <is>
          <t>PE</t>
        </is>
      </c>
      <c r="K431" s="601" t="inlineStr">
        <is>
          <t>CR</t>
        </is>
      </c>
      <c r="L431" s="596" t="inlineStr">
        <is>
          <t>NORMAL</t>
        </is>
      </c>
      <c r="M431" s="601" t="n"/>
      <c r="N431" s="601" t="n"/>
      <c r="O431" s="601" t="n"/>
      <c r="P431" s="557">
        <f>CONCATENATE(schedule13[[#This Row],[OD]],"-",schedule13[[#This Row],[ID]],"-",schedule13[[#This Row],[TICKNESS]],"-",schedule13[[#This Row],[GRADE]],"-",schedule13[[#This Row],[FC/NFC]])</f>
        <v/>
      </c>
      <c r="Q431" s="557" t="n"/>
      <c r="R431" s="557" t="n"/>
      <c r="S431" s="599" t="n">
        <v>22.23</v>
      </c>
      <c r="T431" s="599" t="n">
        <v>22.23</v>
      </c>
      <c r="U431" s="599" t="n">
        <v>0</v>
      </c>
      <c r="V431" s="599" t="n">
        <v>1.6</v>
      </c>
      <c r="W431" s="600" t="n">
        <v>690</v>
      </c>
      <c r="X431" s="600" t="n"/>
      <c r="Y431" s="601" t="n">
        <v>19645</v>
      </c>
      <c r="Z431" s="601" t="n"/>
      <c r="AA431" s="602">
        <f>Y431-Z431</f>
        <v/>
      </c>
      <c r="AB431" s="599">
        <f>(S431-V431)*V431*W431*0.024653*Y431/1000000</f>
        <v/>
      </c>
      <c r="AC431" s="599">
        <f>(S431-V431)*V431*W431*0.024653*Z431/1000000</f>
        <v/>
      </c>
      <c r="AD431" s="599">
        <f>AB431-AC431</f>
        <v/>
      </c>
      <c r="AE431" s="599" t="n"/>
      <c r="AF431" s="599" t="n"/>
      <c r="AG431" s="599" t="n"/>
      <c r="AH431" s="599" t="n"/>
      <c r="AI431" s="118" t="n"/>
    </row>
    <row r="432" hidden="1" s="584">
      <c r="A432" s="594" t="n">
        <v>489</v>
      </c>
      <c r="B432" s="5" t="inlineStr">
        <is>
          <t>Hosur</t>
        </is>
      </c>
      <c r="C432" s="601" t="inlineStr">
        <is>
          <t xml:space="preserve">Sandhar Engg Mysore </t>
        </is>
      </c>
      <c r="D432" s="601" t="n"/>
      <c r="E432" s="601" t="n">
        <v>941496</v>
      </c>
      <c r="F432" s="18" t="n">
        <v>3801265</v>
      </c>
      <c r="G432" s="601" t="inlineStr">
        <is>
          <t xml:space="preserve">TUB-R-AW-RHS-40.00X25.00X1.600X0.5610 </t>
        </is>
      </c>
      <c r="H432" s="601" t="inlineStr">
        <is>
          <t>ERW 2</t>
        </is>
      </c>
      <c r="I432" s="601" t="n"/>
      <c r="J432" s="601" t="inlineStr">
        <is>
          <t>FC</t>
        </is>
      </c>
      <c r="K432" s="601" t="inlineStr">
        <is>
          <t>CR</t>
        </is>
      </c>
      <c r="L432" s="596" t="inlineStr">
        <is>
          <t>SAE1020</t>
        </is>
      </c>
      <c r="M432" s="601" t="n"/>
      <c r="N432" s="601" t="n"/>
      <c r="O432" s="601" t="n"/>
      <c r="P432" s="557">
        <f>CONCATENATE(schedule13[[#This Row],[OD]],"-",schedule13[[#This Row],[ID]],"-",schedule13[[#This Row],[TICKNESS]],"-",schedule13[[#This Row],[GRADE]],"-",schedule13[[#This Row],[FC/NFC]])</f>
        <v/>
      </c>
      <c r="Q432" s="557" t="n"/>
      <c r="R432" s="557" t="n"/>
      <c r="S432" s="599" t="n">
        <v>41.28</v>
      </c>
      <c r="T432" s="599" t="n">
        <v>40</v>
      </c>
      <c r="U432" s="599" t="n">
        <v>25</v>
      </c>
      <c r="V432" s="599" t="n">
        <v>1.6</v>
      </c>
      <c r="W432" s="600" t="n">
        <v>561</v>
      </c>
      <c r="X432" s="600" t="n"/>
      <c r="Y432" s="601" t="n">
        <v>12500</v>
      </c>
      <c r="Z432" s="601" t="n"/>
      <c r="AA432" s="602">
        <f>Y432-Z432</f>
        <v/>
      </c>
      <c r="AB432" s="599">
        <f>(S432-V432)*V432*W432*0.024653*Y432/1000000</f>
        <v/>
      </c>
      <c r="AC432" s="599">
        <f>(S432-V432)*V432*W432*0.024653*Z432/1000000</f>
        <v/>
      </c>
      <c r="AD432" s="599">
        <f>AB432-AC432</f>
        <v/>
      </c>
      <c r="AE432" s="599" t="n"/>
      <c r="AF432" s="599" t="n">
        <v>0.260776</v>
      </c>
      <c r="AG432" s="599" t="n"/>
      <c r="AH432" s="599">
        <f>AB431-AF432</f>
        <v/>
      </c>
      <c r="AI432" s="118">
        <f>(AC432+AF432)/AB431</f>
        <v/>
      </c>
    </row>
    <row r="433" hidden="1" s="584">
      <c r="A433" s="594" t="n">
        <v>490</v>
      </c>
      <c r="B433" s="5" t="inlineStr">
        <is>
          <t>Hosur</t>
        </is>
      </c>
      <c r="C433" s="601" t="inlineStr">
        <is>
          <t xml:space="preserve">Sandhar Engg Mysore </t>
        </is>
      </c>
      <c r="D433" s="601" t="n"/>
      <c r="E433" s="601" t="n">
        <v>941496</v>
      </c>
      <c r="F433" s="18" t="n">
        <v>3780005</v>
      </c>
      <c r="G433" s="601" t="inlineStr">
        <is>
          <t>TUB-R-AW-RHS-50.00X30.00X1.600X0.6380</t>
        </is>
      </c>
      <c r="H433" s="601" t="inlineStr">
        <is>
          <t>ERW 2</t>
        </is>
      </c>
      <c r="I433" s="601" t="n"/>
      <c r="J433" s="601" t="inlineStr">
        <is>
          <t>FC</t>
        </is>
      </c>
      <c r="K433" s="601" t="inlineStr">
        <is>
          <t>CR</t>
        </is>
      </c>
      <c r="L433" s="596" t="inlineStr">
        <is>
          <t>SAE1020</t>
        </is>
      </c>
      <c r="M433" s="601" t="n"/>
      <c r="N433" s="601" t="n"/>
      <c r="O433" s="601" t="n"/>
      <c r="P433" s="557">
        <f>CONCATENATE(schedule13[[#This Row],[OD]],"-",schedule13[[#This Row],[ID]],"-",schedule13[[#This Row],[TICKNESS]],"-",schedule13[[#This Row],[GRADE]],"-",schedule13[[#This Row],[FC/NFC]])</f>
        <v/>
      </c>
      <c r="Q433" s="557" t="n"/>
      <c r="R433" s="557" t="n"/>
      <c r="S433" s="599" t="n">
        <v>50.8</v>
      </c>
      <c r="T433" s="599" t="n">
        <v>50</v>
      </c>
      <c r="U433" s="599" t="n">
        <v>30</v>
      </c>
      <c r="V433" s="599" t="n">
        <v>1.6</v>
      </c>
      <c r="W433" s="600" t="n">
        <v>638</v>
      </c>
      <c r="X433" s="600" t="n"/>
      <c r="Y433" s="601" t="n">
        <v>1000</v>
      </c>
      <c r="Z433" s="601" t="n"/>
      <c r="AA433" s="602">
        <f>Y433-Z433</f>
        <v/>
      </c>
      <c r="AB433" s="599">
        <f>(S433-V433)*V433*W433*0.024653*Y433/1000000</f>
        <v/>
      </c>
      <c r="AC433" s="599">
        <f>(S433-V433)*V433*W433*0.024653*Z433/1000000</f>
        <v/>
      </c>
      <c r="AD433" s="599">
        <f>AB433-AC433</f>
        <v/>
      </c>
      <c r="AE433" s="599" t="n"/>
      <c r="AF433" s="599" t="n"/>
      <c r="AG433" s="599" t="n"/>
      <c r="AH433" s="599">
        <f>AB432-AF433</f>
        <v/>
      </c>
      <c r="AI433" s="118">
        <f>(AC433+AF433)/AB432</f>
        <v/>
      </c>
    </row>
    <row r="434" hidden="1" s="584">
      <c r="A434" s="594" t="n">
        <v>491</v>
      </c>
      <c r="B434" s="5" t="inlineStr">
        <is>
          <t>Hosur</t>
        </is>
      </c>
      <c r="C434" s="601" t="inlineStr">
        <is>
          <t xml:space="preserve">Sandhar Engg Mysore </t>
        </is>
      </c>
      <c r="D434" s="601" t="n"/>
      <c r="E434" s="601" t="n">
        <v>941496</v>
      </c>
      <c r="F434" s="601" t="n">
        <v>3775636</v>
      </c>
      <c r="G434" s="601" t="inlineStr">
        <is>
          <t>TUB-O-O-AUT-AW-FC-25.40X2.500X0.7830</t>
        </is>
      </c>
      <c r="H434" s="601" t="inlineStr">
        <is>
          <t>ERW 1</t>
        </is>
      </c>
      <c r="I434" s="601" t="n"/>
      <c r="J434" s="601" t="inlineStr">
        <is>
          <t>FC</t>
        </is>
      </c>
      <c r="K434" s="601" t="inlineStr">
        <is>
          <t>HR</t>
        </is>
      </c>
      <c r="L434" s="601" t="n"/>
      <c r="M434" s="601" t="n"/>
      <c r="N434" s="601" t="n"/>
      <c r="O434" s="601" t="n"/>
      <c r="P434" s="557">
        <f>CONCATENATE(schedule13[[#This Row],[OD]],"-",schedule13[[#This Row],[ID]],"-",schedule13[[#This Row],[TICKNESS]],"-",schedule13[[#This Row],[GRADE]],"-",schedule13[[#This Row],[FC/NFC]])</f>
        <v/>
      </c>
      <c r="Q434" s="557" t="n"/>
      <c r="R434" s="557" t="n"/>
      <c r="S434" s="599" t="n">
        <v>25.4</v>
      </c>
      <c r="T434" s="599" t="n">
        <v>25.4</v>
      </c>
      <c r="U434" s="599" t="n">
        <v>0</v>
      </c>
      <c r="V434" s="599" t="n">
        <v>2.5</v>
      </c>
      <c r="W434" s="600" t="n">
        <v>783</v>
      </c>
      <c r="X434" s="600" t="n"/>
      <c r="Y434" s="601" t="n">
        <v>10356</v>
      </c>
      <c r="Z434" s="601" t="n"/>
      <c r="AA434" s="602">
        <f>Y434-Z434</f>
        <v/>
      </c>
      <c r="AB434" s="599">
        <f>(S434-V434)*V434*W434*0.024653*Y434/1000000</f>
        <v/>
      </c>
      <c r="AC434" s="599">
        <f>(S434-V434)*V434*W434*0.024653*Z434/1000000</f>
        <v/>
      </c>
      <c r="AD434" s="599">
        <f>AB434-AC434</f>
        <v/>
      </c>
      <c r="AE434" s="599" t="n"/>
      <c r="AF434" s="599" t="n"/>
      <c r="AG434" s="599" t="n"/>
      <c r="AH434" s="599">
        <f>AB433-AF434</f>
        <v/>
      </c>
      <c r="AI434" s="118">
        <f>(AC434+AF434)/AB433</f>
        <v/>
      </c>
    </row>
    <row r="435" hidden="1" s="584">
      <c r="A435" s="594" t="n">
        <v>492</v>
      </c>
      <c r="B435" s="5" t="inlineStr">
        <is>
          <t>Hosur</t>
        </is>
      </c>
      <c r="C435" s="601" t="inlineStr">
        <is>
          <t xml:space="preserve">Sandhar Engg Mysore </t>
        </is>
      </c>
      <c r="D435" s="601" t="n"/>
      <c r="E435" s="601" t="n">
        <v>941496</v>
      </c>
      <c r="F435" s="18" t="n">
        <v>3780004</v>
      </c>
      <c r="G435" s="601" t="inlineStr">
        <is>
          <t>TUB-R-AW-RHS-50.00X30.00X1.600X0.6070</t>
        </is>
      </c>
      <c r="H435" s="601" t="inlineStr">
        <is>
          <t>ERW 2</t>
        </is>
      </c>
      <c r="I435" s="601" t="n"/>
      <c r="J435" s="601" t="inlineStr">
        <is>
          <t>FC</t>
        </is>
      </c>
      <c r="K435" s="601" t="inlineStr">
        <is>
          <t>CR</t>
        </is>
      </c>
      <c r="L435" s="596" t="inlineStr">
        <is>
          <t>SAE1020</t>
        </is>
      </c>
      <c r="M435" s="601" t="n"/>
      <c r="N435" s="601" t="n"/>
      <c r="O435" s="601" t="n"/>
      <c r="P435" s="557">
        <f>CONCATENATE(schedule13[[#This Row],[OD]],"-",schedule13[[#This Row],[ID]],"-",schedule13[[#This Row],[TICKNESS]],"-",schedule13[[#This Row],[GRADE]],"-",schedule13[[#This Row],[FC/NFC]])</f>
        <v/>
      </c>
      <c r="Q435" s="557" t="n"/>
      <c r="R435" s="557" t="n"/>
      <c r="S435" s="599" t="n">
        <v>50.8</v>
      </c>
      <c r="T435" s="599" t="n">
        <v>50</v>
      </c>
      <c r="U435" s="599" t="n">
        <v>30</v>
      </c>
      <c r="V435" s="599" t="n">
        <v>1.6</v>
      </c>
      <c r="W435" s="600" t="n">
        <v>607</v>
      </c>
      <c r="X435" s="600" t="n"/>
      <c r="Y435" s="601" t="n">
        <v>11830</v>
      </c>
      <c r="Z435" s="601" t="n"/>
      <c r="AA435" s="602">
        <f>Y435-Z435</f>
        <v/>
      </c>
      <c r="AB435" s="599">
        <f>(S435-V435)*V435*W435*0.024653*Y435/1000000</f>
        <v/>
      </c>
      <c r="AC435" s="599">
        <f>(S435-V435)*V435*W435*0.024653*Z435/1000000</f>
        <v/>
      </c>
      <c r="AD435" s="599">
        <f>AB435-AC435</f>
        <v/>
      </c>
      <c r="AE435" s="599" t="n"/>
      <c r="AF435" s="599" t="n"/>
      <c r="AG435" s="599" t="n"/>
      <c r="AH435" s="599">
        <f>AB434-AF435</f>
        <v/>
      </c>
      <c r="AI435" s="118">
        <f>(AC435+AF435)/AB434</f>
        <v/>
      </c>
    </row>
    <row r="436" hidden="1" s="584">
      <c r="A436" s="594" t="n">
        <v>493</v>
      </c>
      <c r="B436" s="5" t="inlineStr">
        <is>
          <t xml:space="preserve">Khopoli </t>
        </is>
      </c>
      <c r="C436" s="601" t="inlineStr">
        <is>
          <t xml:space="preserve">Sandhar Engg Mysore </t>
        </is>
      </c>
      <c r="D436" s="601" t="n"/>
      <c r="E436" s="601" t="n">
        <v>941496</v>
      </c>
      <c r="F436" s="601" t="n"/>
      <c r="G436" s="601" t="n"/>
      <c r="H436" s="601" t="inlineStr">
        <is>
          <t>CEW</t>
        </is>
      </c>
      <c r="I436" s="601" t="n"/>
      <c r="J436" s="601" t="inlineStr">
        <is>
          <t>CEW</t>
        </is>
      </c>
      <c r="K436" s="601" t="inlineStr">
        <is>
          <t>HR</t>
        </is>
      </c>
      <c r="L436" s="601" t="n"/>
      <c r="M436" s="601" t="n"/>
      <c r="N436" s="601" t="n"/>
      <c r="O436" s="601" t="n"/>
      <c r="P436" s="557">
        <f>CONCATENATE(schedule13[[#This Row],[OD]],"-",schedule13[[#This Row],[ID]],"-",schedule13[[#This Row],[TICKNESS]],"-",schedule13[[#This Row],[GRADE]],"-",schedule13[[#This Row],[FC/NFC]])</f>
        <v/>
      </c>
      <c r="Q436" s="557" t="n"/>
      <c r="R436" s="557" t="n"/>
      <c r="S436" s="599" t="n">
        <v>31.75</v>
      </c>
      <c r="T436" s="599" t="n">
        <v>31.75</v>
      </c>
      <c r="U436" s="599" t="n">
        <v>25</v>
      </c>
      <c r="V436" s="599" t="n">
        <v>3.37</v>
      </c>
      <c r="W436" s="23" t="n">
        <v>4500</v>
      </c>
      <c r="X436" s="23" t="n"/>
      <c r="Y436" s="601" t="n">
        <v>137</v>
      </c>
      <c r="Z436" s="601" t="n"/>
      <c r="AA436" s="602">
        <f>Y436-Z436</f>
        <v/>
      </c>
      <c r="AB436" s="599">
        <f>(S436-V436)*V436*W436*0.024653*Y436/1000000</f>
        <v/>
      </c>
      <c r="AC436" s="599">
        <f>(S436-V436)*V436*W436*0.024653*Z436/1000000</f>
        <v/>
      </c>
      <c r="AD436" s="599">
        <f>AB436-AC436</f>
        <v/>
      </c>
      <c r="AE436" s="599" t="n"/>
      <c r="AF436" s="599" t="n">
        <v>3.655</v>
      </c>
      <c r="AG436" s="599" t="n"/>
      <c r="AH436" s="599">
        <f>AB435-AF436</f>
        <v/>
      </c>
      <c r="AI436" s="118">
        <f>(AC436+AF436)/AB435</f>
        <v/>
      </c>
    </row>
    <row r="437" hidden="1" s="584">
      <c r="A437" s="594" t="n">
        <v>494</v>
      </c>
      <c r="B437" s="5" t="inlineStr">
        <is>
          <t xml:space="preserve">Khopoli </t>
        </is>
      </c>
      <c r="C437" s="601" t="inlineStr">
        <is>
          <t xml:space="preserve">Sandhar Engg Mysore </t>
        </is>
      </c>
      <c r="D437" s="601" t="n"/>
      <c r="E437" s="601" t="n">
        <v>941496</v>
      </c>
      <c r="F437" s="601" t="n"/>
      <c r="G437" s="601" t="n"/>
      <c r="H437" s="601" t="inlineStr">
        <is>
          <t>CEW</t>
        </is>
      </c>
      <c r="I437" s="601" t="n"/>
      <c r="J437" s="601" t="inlineStr">
        <is>
          <t>CEW</t>
        </is>
      </c>
      <c r="K437" s="601" t="inlineStr">
        <is>
          <t>HR</t>
        </is>
      </c>
      <c r="L437" s="601" t="n"/>
      <c r="M437" s="601" t="n"/>
      <c r="N437" s="601" t="n"/>
      <c r="O437" s="601" t="n"/>
      <c r="P437" s="557">
        <f>CONCATENATE(schedule13[[#This Row],[OD]],"-",schedule13[[#This Row],[ID]],"-",schedule13[[#This Row],[TICKNESS]],"-",schedule13[[#This Row],[GRADE]],"-",schedule13[[#This Row],[FC/NFC]])</f>
        <v/>
      </c>
      <c r="Q437" s="557" t="n"/>
      <c r="R437" s="557" t="n"/>
      <c r="S437" s="599" t="n">
        <v>21.75</v>
      </c>
      <c r="T437" s="599" t="n">
        <v>21.75</v>
      </c>
      <c r="U437" s="599" t="n">
        <v>0</v>
      </c>
      <c r="V437" s="599" t="n">
        <v>3.5</v>
      </c>
      <c r="W437" s="600" t="n">
        <v>4500</v>
      </c>
      <c r="X437" s="600" t="n"/>
      <c r="Y437" s="601" t="n">
        <v>220</v>
      </c>
      <c r="Z437" s="601" t="n"/>
      <c r="AA437" s="602">
        <f>Y437-Z437</f>
        <v/>
      </c>
      <c r="AB437" s="599">
        <f>(S437-V437)*V437*W437*0.024653*Y437/1000000</f>
        <v/>
      </c>
      <c r="AC437" s="599">
        <f>(S437-V437)*V437*W437*0.024653*Z437/1000000</f>
        <v/>
      </c>
      <c r="AD437" s="599">
        <f>AB437-AC437</f>
        <v/>
      </c>
      <c r="AE437" s="599" t="n"/>
      <c r="AF437" s="599" t="n"/>
      <c r="AG437" s="599" t="n"/>
      <c r="AH437" s="599" t="n"/>
      <c r="AI437" s="118" t="n"/>
    </row>
    <row r="438" hidden="1" s="584">
      <c r="A438" s="594" t="n">
        <v>495</v>
      </c>
      <c r="B438" s="5" t="inlineStr">
        <is>
          <t xml:space="preserve">Khopoli </t>
        </is>
      </c>
      <c r="C438" s="601" t="inlineStr">
        <is>
          <t xml:space="preserve">Sandhar Engg Mysore </t>
        </is>
      </c>
      <c r="D438" s="601" t="n"/>
      <c r="E438" s="601" t="n">
        <v>941496</v>
      </c>
      <c r="F438" s="601" t="n">
        <v>2410997</v>
      </c>
      <c r="G438" s="601" t="n"/>
      <c r="H438" s="601" t="inlineStr">
        <is>
          <t>CEW</t>
        </is>
      </c>
      <c r="I438" s="601" t="n"/>
      <c r="J438" s="601" t="inlineStr">
        <is>
          <t>CEW</t>
        </is>
      </c>
      <c r="K438" s="601" t="inlineStr">
        <is>
          <t>HR</t>
        </is>
      </c>
      <c r="L438" s="601" t="n"/>
      <c r="M438" s="601" t="n"/>
      <c r="N438" s="601" t="n"/>
      <c r="O438" s="601" t="n"/>
      <c r="P438" s="557">
        <f>CONCATENATE(schedule13[[#This Row],[OD]],"-",schedule13[[#This Row],[ID]],"-",schedule13[[#This Row],[TICKNESS]],"-",schedule13[[#This Row],[GRADE]],"-",schedule13[[#This Row],[FC/NFC]])</f>
        <v/>
      </c>
      <c r="Q438" s="557" t="n"/>
      <c r="R438" s="557" t="n"/>
      <c r="S438" s="599" t="n">
        <v>25.4</v>
      </c>
      <c r="T438" s="599" t="n">
        <v>25.4</v>
      </c>
      <c r="U438" s="6" t="n">
        <v>19</v>
      </c>
      <c r="V438" s="599" t="n">
        <v>3.2</v>
      </c>
      <c r="W438" s="600" t="n">
        <v>6000</v>
      </c>
      <c r="X438" s="600" t="n"/>
      <c r="Y438" s="601" t="n">
        <v>71</v>
      </c>
      <c r="Z438" s="601" t="n"/>
      <c r="AA438" s="602">
        <f>Y438-Z438</f>
        <v/>
      </c>
      <c r="AB438" s="599">
        <f>(S438-V438)*V438*W438*0.024653*Y438/1000000</f>
        <v/>
      </c>
      <c r="AC438" s="599">
        <f>(S438-V438)*V438*W438*0.024653*Z438/1000000</f>
        <v/>
      </c>
      <c r="AD438" s="599">
        <f>AB438-AC438</f>
        <v/>
      </c>
      <c r="AE438" s="599" t="n"/>
      <c r="AF438" s="599" t="n"/>
      <c r="AG438" s="599" t="n"/>
      <c r="AH438" s="599" t="n"/>
      <c r="AI438" s="118" t="n"/>
    </row>
    <row r="439" hidden="1" s="584">
      <c r="A439" s="594" t="n">
        <v>496</v>
      </c>
      <c r="B439" s="5" t="inlineStr">
        <is>
          <t xml:space="preserve">Khopoli </t>
        </is>
      </c>
      <c r="C439" s="601" t="inlineStr">
        <is>
          <t xml:space="preserve">Sandhar Engg Mysore </t>
        </is>
      </c>
      <c r="D439" s="601" t="n"/>
      <c r="E439" s="601" t="n">
        <v>941496</v>
      </c>
      <c r="F439" s="601" t="n"/>
      <c r="G439" s="601" t="n"/>
      <c r="H439" s="601" t="inlineStr">
        <is>
          <t>CEW</t>
        </is>
      </c>
      <c r="I439" s="601" t="n"/>
      <c r="J439" s="601" t="inlineStr">
        <is>
          <t>CEW</t>
        </is>
      </c>
      <c r="K439" s="601" t="inlineStr">
        <is>
          <t>HR</t>
        </is>
      </c>
      <c r="L439" s="601" t="n"/>
      <c r="M439" s="601" t="n"/>
      <c r="N439" s="601" t="n"/>
      <c r="O439" s="601" t="n"/>
      <c r="P439" s="557">
        <f>CONCATENATE(schedule13[[#This Row],[OD]],"-",schedule13[[#This Row],[ID]],"-",schedule13[[#This Row],[TICKNESS]],"-",schedule13[[#This Row],[GRADE]],"-",schedule13[[#This Row],[FC/NFC]])</f>
        <v/>
      </c>
      <c r="Q439" s="557" t="inlineStr">
        <is>
          <t>14-0-2.5-CEW-CEW</t>
        </is>
      </c>
      <c r="R439" s="557" t="n"/>
      <c r="S439" s="599" t="n">
        <v>14</v>
      </c>
      <c r="T439" s="599" t="n">
        <v>14</v>
      </c>
      <c r="U439" s="599" t="n">
        <v>0</v>
      </c>
      <c r="V439" s="599" t="n">
        <v>2.45</v>
      </c>
      <c r="W439" s="600" t="n">
        <v>1000</v>
      </c>
      <c r="X439" s="600" t="inlineStr">
        <is>
          <t>M</t>
        </is>
      </c>
      <c r="Y439" s="601" t="n">
        <v>355</v>
      </c>
      <c r="Z439" s="601" t="n"/>
      <c r="AA439" s="602">
        <f>Y439-Z439</f>
        <v/>
      </c>
      <c r="AB439" s="599">
        <f>(S439-V439)*V439*W439*0.024653*Y439/1000000</f>
        <v/>
      </c>
      <c r="AC439" s="599">
        <f>(S439-V439)*V439*W439*0.024653*Z439/1000000</f>
        <v/>
      </c>
      <c r="AD439" s="599">
        <f>AB439-AC439</f>
        <v/>
      </c>
      <c r="AE439" s="599" t="n"/>
      <c r="AF439" s="599" t="n"/>
      <c r="AG439" s="599" t="n"/>
      <c r="AH439" s="599" t="n"/>
      <c r="AI439" s="118" t="n"/>
    </row>
    <row r="440" hidden="1" s="584">
      <c r="A440" s="594" t="n">
        <v>497</v>
      </c>
      <c r="B440" s="5" t="inlineStr">
        <is>
          <t xml:space="preserve">Khopoli </t>
        </is>
      </c>
      <c r="C440" s="601" t="inlineStr">
        <is>
          <t xml:space="preserve">Sandhar Engg Mysore </t>
        </is>
      </c>
      <c r="D440" s="601" t="n"/>
      <c r="E440" s="601" t="n">
        <v>941496</v>
      </c>
      <c r="F440" s="601" t="n"/>
      <c r="G440" s="601" t="n"/>
      <c r="H440" s="601" t="inlineStr">
        <is>
          <t>CEW</t>
        </is>
      </c>
      <c r="I440" s="601" t="n"/>
      <c r="J440" s="601" t="inlineStr">
        <is>
          <t>CEW</t>
        </is>
      </c>
      <c r="K440" s="601" t="inlineStr">
        <is>
          <t>HR</t>
        </is>
      </c>
      <c r="L440" s="601" t="n"/>
      <c r="M440" s="601" t="n"/>
      <c r="N440" s="601" t="n"/>
      <c r="O440" s="601" t="n"/>
      <c r="P440" s="557">
        <f>CONCATENATE(schedule13[[#This Row],[OD]],"-",schedule13[[#This Row],[ID]],"-",schedule13[[#This Row],[TICKNESS]],"-",schedule13[[#This Row],[GRADE]],"-",schedule13[[#This Row],[FC/NFC]])</f>
        <v/>
      </c>
      <c r="Q440" s="557" t="n"/>
      <c r="R440" s="557" t="n"/>
      <c r="S440" s="599" t="n">
        <v>20</v>
      </c>
      <c r="T440" s="599" t="n">
        <v>20</v>
      </c>
      <c r="U440" s="599" t="n">
        <v>12.4</v>
      </c>
      <c r="V440" s="599" t="n">
        <v>3.8</v>
      </c>
      <c r="W440" s="600" t="n">
        <v>4500</v>
      </c>
      <c r="X440" s="600" t="n"/>
      <c r="Y440" s="601" t="n">
        <v>32</v>
      </c>
      <c r="Z440" s="601" t="n"/>
      <c r="AA440" s="602">
        <f>Y440-Z440</f>
        <v/>
      </c>
      <c r="AB440" s="599">
        <f>(S440-V440)*V440*W440*0.024653*Y440/1000000</f>
        <v/>
      </c>
      <c r="AC440" s="599">
        <f>(S440-V440)*V440*W440*0.024653*Z440/1000000</f>
        <v/>
      </c>
      <c r="AD440" s="599">
        <f>AB440-AC440</f>
        <v/>
      </c>
      <c r="AE440" s="599" t="n"/>
      <c r="AF440" s="599" t="n"/>
      <c r="AG440" s="599" t="n"/>
      <c r="AH440" s="599" t="n"/>
      <c r="AI440" s="118" t="n"/>
    </row>
    <row r="441" hidden="1" s="584">
      <c r="A441" s="594" t="n">
        <v>498</v>
      </c>
      <c r="B441" s="5" t="inlineStr">
        <is>
          <t xml:space="preserve">Khopoli </t>
        </is>
      </c>
      <c r="C441" s="601" t="inlineStr">
        <is>
          <t xml:space="preserve">Sandhar Engg Mysore </t>
        </is>
      </c>
      <c r="D441" s="601" t="n"/>
      <c r="E441" s="601" t="n">
        <v>941496</v>
      </c>
      <c r="F441" s="601" t="n"/>
      <c r="G441" s="601" t="n"/>
      <c r="H441" s="601" t="inlineStr">
        <is>
          <t>CEW</t>
        </is>
      </c>
      <c r="I441" s="601" t="n"/>
      <c r="J441" s="601" t="inlineStr">
        <is>
          <t>CEW</t>
        </is>
      </c>
      <c r="K441" s="601" t="inlineStr">
        <is>
          <t>HR</t>
        </is>
      </c>
      <c r="L441" s="601" t="n"/>
      <c r="M441" s="601" t="n"/>
      <c r="N441" s="601" t="n"/>
      <c r="O441" s="601" t="n"/>
      <c r="P441" s="557">
        <f>CONCATENATE(schedule13[[#This Row],[OD]],"-",schedule13[[#This Row],[ID]],"-",schedule13[[#This Row],[TICKNESS]],"-",schedule13[[#This Row],[GRADE]],"-",schedule13[[#This Row],[FC/NFC]])</f>
        <v/>
      </c>
      <c r="Q441" s="557" t="n"/>
      <c r="R441" s="557" t="n"/>
      <c r="S441" s="599" t="n">
        <v>20</v>
      </c>
      <c r="T441" s="599" t="n">
        <v>20</v>
      </c>
      <c r="U441" s="599" t="n">
        <v>12.4</v>
      </c>
      <c r="V441" s="599" t="n">
        <v>4.5</v>
      </c>
      <c r="W441" s="600" t="n">
        <v>4500</v>
      </c>
      <c r="X441" s="600" t="n"/>
      <c r="Y441" s="601" t="n">
        <v>117</v>
      </c>
      <c r="Z441" s="601" t="n"/>
      <c r="AA441" s="602">
        <f>Y441-Z441</f>
        <v/>
      </c>
      <c r="AB441" s="599">
        <f>(S441-V441)*V441*W441*0.024653*Y441/1000000</f>
        <v/>
      </c>
      <c r="AC441" s="599">
        <f>(S441-V441)*V441*W441*0.024653*Z441/1000000</f>
        <v/>
      </c>
      <c r="AD441" s="599">
        <f>AB441-AC441</f>
        <v/>
      </c>
      <c r="AE441" s="599" t="n"/>
      <c r="AF441" s="599" t="n"/>
      <c r="AG441" s="599" t="n"/>
      <c r="AH441" s="599" t="n"/>
      <c r="AI441" s="118" t="n"/>
    </row>
    <row r="442" hidden="1" s="584">
      <c r="A442" s="594" t="n">
        <v>499</v>
      </c>
      <c r="B442" s="5" t="inlineStr">
        <is>
          <t>Hosur</t>
        </is>
      </c>
      <c r="C442" s="601" t="inlineStr">
        <is>
          <t xml:space="preserve">Sandhar Engg Mysore </t>
        </is>
      </c>
      <c r="D442" s="601" t="n"/>
      <c r="E442" s="601" t="n">
        <v>941496</v>
      </c>
      <c r="F442" s="601" t="n">
        <v>2400891</v>
      </c>
      <c r="G442" s="601" t="inlineStr">
        <is>
          <t>TUB-O-N-AUT-AW-PE-25.40X1.600X0.4700</t>
        </is>
      </c>
      <c r="H442" s="601" t="inlineStr">
        <is>
          <t>ERW 1</t>
        </is>
      </c>
      <c r="I442" s="601" t="n"/>
      <c r="J442" s="601" t="inlineStr">
        <is>
          <t>PE</t>
        </is>
      </c>
      <c r="K442" s="601" t="inlineStr">
        <is>
          <t>HR</t>
        </is>
      </c>
      <c r="L442" s="601" t="n"/>
      <c r="M442" s="601" t="n"/>
      <c r="N442" s="601" t="n"/>
      <c r="O442" s="601" t="n"/>
      <c r="P442" s="557">
        <f>CONCATENATE(schedule13[[#This Row],[OD]],"-",schedule13[[#This Row],[ID]],"-",schedule13[[#This Row],[TICKNESS]],"-",schedule13[[#This Row],[GRADE]],"-",schedule13[[#This Row],[FC/NFC]])</f>
        <v/>
      </c>
      <c r="Q442" s="557" t="n"/>
      <c r="R442" s="557" t="n"/>
      <c r="S442" s="599" t="n">
        <v>25.4</v>
      </c>
      <c r="T442" s="599" t="n">
        <v>25.4</v>
      </c>
      <c r="U442" s="599" t="n">
        <v>0</v>
      </c>
      <c r="V442" s="599" t="n">
        <v>2</v>
      </c>
      <c r="W442" s="600" t="n">
        <v>470</v>
      </c>
      <c r="X442" s="600" t="n"/>
      <c r="Y442" s="601" t="n">
        <v>14500</v>
      </c>
      <c r="Z442" s="601" t="n"/>
      <c r="AA442" s="602">
        <f>Y442-Z442</f>
        <v/>
      </c>
      <c r="AB442" s="599">
        <f>(S442-V442)*V442*W442*0.024653*Y442/1000000</f>
        <v/>
      </c>
      <c r="AC442" s="599">
        <f>(S442-V442)*V442*W442*0.024653*Z442/1000000</f>
        <v/>
      </c>
      <c r="AD442" s="599">
        <f>AB442-AC442</f>
        <v/>
      </c>
      <c r="AE442" s="599" t="n"/>
      <c r="AF442" s="599" t="n"/>
      <c r="AG442" s="599" t="n"/>
      <c r="AH442" s="599" t="n"/>
      <c r="AI442" s="118" t="n"/>
    </row>
    <row r="443" hidden="1" s="584">
      <c r="A443" s="594" t="n">
        <v>305</v>
      </c>
      <c r="B443" s="5" t="inlineStr">
        <is>
          <t>Hosur</t>
        </is>
      </c>
      <c r="C443" s="601" t="inlineStr">
        <is>
          <t>SANDHAR ENGINEERING PVT LTD.</t>
        </is>
      </c>
      <c r="D443" s="601" t="n"/>
      <c r="E443" s="601" t="n">
        <v>941496</v>
      </c>
      <c r="F443" s="601" t="n">
        <v>1940821</v>
      </c>
      <c r="G443" s="601" t="inlineStr">
        <is>
          <t>TUB-R-AW-RHS-40.00X25.00X1.600X0.5130</t>
        </is>
      </c>
      <c r="H443" s="601" t="inlineStr">
        <is>
          <t>ERW 1</t>
        </is>
      </c>
      <c r="I443" s="601" t="n"/>
      <c r="J443" s="601" t="n"/>
      <c r="K443" s="601" t="inlineStr">
        <is>
          <t>HR</t>
        </is>
      </c>
      <c r="L443" s="601" t="n"/>
      <c r="M443" s="601" t="n"/>
      <c r="N443" s="601" t="n"/>
      <c r="O443" s="601" t="n"/>
      <c r="P443" s="557">
        <f>CONCATENATE(schedule13[[#This Row],[OD]],"-",schedule13[[#This Row],[ID]],"-",schedule13[[#This Row],[TICKNESS]],"-",schedule13[[#This Row],[GRADE]],"-",schedule13[[#This Row],[FC/NFC]])</f>
        <v/>
      </c>
      <c r="Q443" s="557" t="n"/>
      <c r="R443" s="557" t="n"/>
      <c r="S443" s="599" t="n">
        <v>41.28</v>
      </c>
      <c r="T443" s="599" t="n">
        <v>40</v>
      </c>
      <c r="U443" s="599" t="n">
        <v>25</v>
      </c>
      <c r="V443" s="599" t="n">
        <v>1.6</v>
      </c>
      <c r="W443" s="600" t="n">
        <v>513</v>
      </c>
      <c r="X443" s="600" t="n"/>
      <c r="Y443" s="601" t="n">
        <v>0</v>
      </c>
      <c r="Z443" s="601" t="n"/>
      <c r="AA443" s="602">
        <f>Y443-Z443</f>
        <v/>
      </c>
      <c r="AB443" s="599">
        <f>(S443-V443)*V443*W443*0.024653*Y443/1000000</f>
        <v/>
      </c>
      <c r="AC443" s="599">
        <f>(S443-V443)*V443*W443*0.024653*Z443/1000000</f>
        <v/>
      </c>
      <c r="AD443" s="599">
        <f>AB443-AC443</f>
        <v/>
      </c>
      <c r="AE443" s="599" t="n"/>
      <c r="AF443" s="599" t="n">
        <v>7.57896</v>
      </c>
      <c r="AG443" s="599" t="n"/>
      <c r="AH443" s="599">
        <f>AB442-AF443</f>
        <v/>
      </c>
      <c r="AI443" s="118">
        <f>(AC443+AF443)/AB442</f>
        <v/>
      </c>
    </row>
    <row r="444" hidden="1" s="584">
      <c r="A444" s="594" t="n">
        <v>306</v>
      </c>
      <c r="B444" s="5" t="inlineStr">
        <is>
          <t>Hosur</t>
        </is>
      </c>
      <c r="C444" s="601" t="inlineStr">
        <is>
          <t>SANDHAR ENGINEERING PVT LTD.</t>
        </is>
      </c>
      <c r="D444" s="601" t="n"/>
      <c r="E444" s="601" t="n">
        <v>941496</v>
      </c>
      <c r="F444" s="601" t="n">
        <v>1940822</v>
      </c>
      <c r="G444" s="601" t="inlineStr">
        <is>
          <t>TUB-R-AW-RHS-40.00X25.00X1.600X0.5360</t>
        </is>
      </c>
      <c r="H444" s="601" t="inlineStr">
        <is>
          <t>ERW 1</t>
        </is>
      </c>
      <c r="I444" s="601" t="n"/>
      <c r="J444" s="601" t="n"/>
      <c r="K444" s="601" t="inlineStr">
        <is>
          <t>HR</t>
        </is>
      </c>
      <c r="L444" s="601" t="n"/>
      <c r="M444" s="601" t="n"/>
      <c r="N444" s="601" t="n"/>
      <c r="O444" s="601" t="n"/>
      <c r="P444" s="557">
        <f>CONCATENATE(schedule13[[#This Row],[OD]],"-",schedule13[[#This Row],[ID]],"-",schedule13[[#This Row],[TICKNESS]],"-",schedule13[[#This Row],[GRADE]],"-",schedule13[[#This Row],[FC/NFC]])</f>
        <v/>
      </c>
      <c r="Q444" s="557" t="n"/>
      <c r="R444" s="557" t="n"/>
      <c r="S444" s="599" t="n">
        <v>41.28</v>
      </c>
      <c r="T444" s="599" t="n">
        <v>40</v>
      </c>
      <c r="U444" s="599" t="n">
        <v>25</v>
      </c>
      <c r="V444" s="599" t="n">
        <v>1.6</v>
      </c>
      <c r="W444" s="600" t="n">
        <v>536</v>
      </c>
      <c r="X444" s="600" t="n"/>
      <c r="Y444" s="601" t="n">
        <v>0</v>
      </c>
      <c r="Z444" s="601" t="n"/>
      <c r="AA444" s="602">
        <f>Y444-Z444</f>
        <v/>
      </c>
      <c r="AB444" s="599">
        <f>(S444-V444)*V444*W444*0.024653*Y444/1000000</f>
        <v/>
      </c>
      <c r="AC444" s="599">
        <f>(S444-V444)*V444*W444*0.024653*Z444/1000000</f>
        <v/>
      </c>
      <c r="AD444" s="599">
        <f>AB444-AC444</f>
        <v/>
      </c>
      <c r="AE444" s="599" t="n"/>
      <c r="AF444" s="599" t="n">
        <v>1.01349</v>
      </c>
      <c r="AG444" s="599" t="n"/>
      <c r="AH444" s="599">
        <f>AB443-AF444</f>
        <v/>
      </c>
      <c r="AI444" s="118">
        <f>(AC444+AF444)/AB443</f>
        <v/>
      </c>
    </row>
    <row r="445" hidden="1" s="584">
      <c r="A445" s="594" t="n">
        <v>307</v>
      </c>
      <c r="B445" s="5" t="inlineStr">
        <is>
          <t xml:space="preserve">Khopoli </t>
        </is>
      </c>
      <c r="C445" s="601" t="inlineStr">
        <is>
          <t>SANDHAR ENGINEERING PVT LTD.</t>
        </is>
      </c>
      <c r="D445" s="601" t="n"/>
      <c r="E445" s="601" t="n">
        <v>941496</v>
      </c>
      <c r="F445" s="601" t="n">
        <v>1938119</v>
      </c>
      <c r="G445" s="601" t="inlineStr">
        <is>
          <t>TUB-O-N-AUT-AW-PE-17.30X1.600X0.4000</t>
        </is>
      </c>
      <c r="H445" s="601" t="inlineStr">
        <is>
          <t>ERW 1</t>
        </is>
      </c>
      <c r="I445" s="601" t="n"/>
      <c r="J445" s="601" t="inlineStr">
        <is>
          <t>PE</t>
        </is>
      </c>
      <c r="K445" s="601" t="inlineStr">
        <is>
          <t>HR</t>
        </is>
      </c>
      <c r="L445" s="601" t="n"/>
      <c r="M445" s="601" t="n"/>
      <c r="N445" s="601" t="n"/>
      <c r="O445" s="601" t="n"/>
      <c r="P445" s="557">
        <f>CONCATENATE(schedule13[[#This Row],[OD]],"-",schedule13[[#This Row],[ID]],"-",schedule13[[#This Row],[TICKNESS]],"-",schedule13[[#This Row],[GRADE]],"-",schedule13[[#This Row],[FC/NFC]])</f>
        <v/>
      </c>
      <c r="Q445" s="557" t="n"/>
      <c r="R445" s="557" t="n"/>
      <c r="S445" s="599" t="n">
        <v>17.3</v>
      </c>
      <c r="T445" s="599" t="n">
        <v>17.3</v>
      </c>
      <c r="U445" s="599" t="n">
        <v>0</v>
      </c>
      <c r="V445" s="599" t="n">
        <v>1.6</v>
      </c>
      <c r="W445" s="600" t="n">
        <v>400</v>
      </c>
      <c r="X445" s="600" t="n"/>
      <c r="Y445" s="601" t="n">
        <v>22000</v>
      </c>
      <c r="Z445" s="601" t="n"/>
      <c r="AA445" s="602">
        <f>Y445-Z445</f>
        <v/>
      </c>
      <c r="AB445" s="599">
        <f>(S445-V445)*V445*W445*0.024653*Y445/1000000</f>
        <v/>
      </c>
      <c r="AC445" s="599">
        <f>(S445-V445)*V445*W445*0.024653*Z445/1000000</f>
        <v/>
      </c>
      <c r="AD445" s="599">
        <f>AB445-AC445</f>
        <v/>
      </c>
      <c r="AE445" s="599" t="n"/>
      <c r="AF445" s="599" t="n"/>
      <c r="AG445" s="599" t="n"/>
      <c r="AH445" s="599">
        <f>AB444-AF445</f>
        <v/>
      </c>
      <c r="AI445" s="118">
        <f>(AC445+AF445)/AB444</f>
        <v/>
      </c>
    </row>
    <row r="446" hidden="1" s="584">
      <c r="A446" s="594" t="n">
        <v>308</v>
      </c>
      <c r="B446" s="5" t="inlineStr">
        <is>
          <t>Hosur</t>
        </is>
      </c>
      <c r="C446" s="601" t="inlineStr">
        <is>
          <t>SANDHAR ENGINEERING PVT LTD.</t>
        </is>
      </c>
      <c r="D446" s="601" t="n"/>
      <c r="E446" s="601" t="n">
        <v>941496</v>
      </c>
      <c r="F446" s="601" t="n">
        <v>3718926</v>
      </c>
      <c r="G446" s="601" t="inlineStr">
        <is>
          <t>PT2-O-N-AUT-AW-PE-19.05X2.340X0.4020</t>
        </is>
      </c>
      <c r="H446" s="601" t="inlineStr">
        <is>
          <t>ERW 1</t>
        </is>
      </c>
      <c r="I446" s="601" t="n"/>
      <c r="J446" s="601" t="n"/>
      <c r="K446" s="601" t="inlineStr">
        <is>
          <t>HR</t>
        </is>
      </c>
      <c r="L446" s="601" t="n"/>
      <c r="M446" s="601" t="n"/>
      <c r="N446" s="601" t="n"/>
      <c r="O446" s="601" t="n"/>
      <c r="P446" s="557">
        <f>CONCATENATE(schedule13[[#This Row],[OD]],"-",schedule13[[#This Row],[ID]],"-",schedule13[[#This Row],[TICKNESS]],"-",schedule13[[#This Row],[GRADE]],"-",schedule13[[#This Row],[FC/NFC]])</f>
        <v/>
      </c>
      <c r="Q446" s="557" t="n"/>
      <c r="R446" s="557" t="n"/>
      <c r="S446" s="599" t="n">
        <v>19.05</v>
      </c>
      <c r="T446" s="599" t="n">
        <v>19.05</v>
      </c>
      <c r="U446" s="599" t="n">
        <v>0</v>
      </c>
      <c r="V446" s="599" t="n">
        <v>2.3</v>
      </c>
      <c r="W446" s="600" t="n">
        <v>402</v>
      </c>
      <c r="X446" s="600" t="n"/>
      <c r="Y446" s="601" t="n">
        <v>0</v>
      </c>
      <c r="Z446" s="601" t="n"/>
      <c r="AA446" s="602">
        <f>Y446-Z446</f>
        <v/>
      </c>
      <c r="AB446" s="599">
        <f>(S446-V446)*V446*W446*0.024653*Y446/1000000</f>
        <v/>
      </c>
      <c r="AC446" s="599">
        <f>(S446-V446)*V446*W446*0.024653*Z446/1000000</f>
        <v/>
      </c>
      <c r="AD446" s="599">
        <f>AB446-AC446</f>
        <v/>
      </c>
      <c r="AE446" s="599" t="n"/>
      <c r="AF446" s="599" t="n">
        <v>0.4</v>
      </c>
      <c r="AG446" s="599" t="n"/>
      <c r="AH446" s="599">
        <f>AB445-AF446</f>
        <v/>
      </c>
      <c r="AI446" s="118">
        <f>(AC446+AF446)/AB445</f>
        <v/>
      </c>
    </row>
    <row r="447" hidden="1" s="584">
      <c r="A447" s="594" t="n">
        <v>309</v>
      </c>
      <c r="B447" s="5" t="inlineStr">
        <is>
          <t>Hosur</t>
        </is>
      </c>
      <c r="C447" s="601" t="inlineStr">
        <is>
          <t>SANDHAR ENGINEERING PVT LTD.</t>
        </is>
      </c>
      <c r="D447" s="601" t="n"/>
      <c r="E447" s="601" t="n">
        <v>941496</v>
      </c>
      <c r="F447" s="601" t="n">
        <v>3715133</v>
      </c>
      <c r="G447" s="601" t="inlineStr">
        <is>
          <t>TUB-O-O-AUT-AW-FC-31.75X1.600X0.6580</t>
        </is>
      </c>
      <c r="H447" s="601" t="inlineStr">
        <is>
          <t>ERW 1</t>
        </is>
      </c>
      <c r="I447" s="601" t="n"/>
      <c r="J447" s="601" t="inlineStr">
        <is>
          <t>FC</t>
        </is>
      </c>
      <c r="K447" s="601" t="inlineStr">
        <is>
          <t>HR</t>
        </is>
      </c>
      <c r="L447" s="601" t="n"/>
      <c r="M447" s="601" t="n"/>
      <c r="N447" s="601" t="n"/>
      <c r="O447" s="601" t="n"/>
      <c r="P447" s="557">
        <f>CONCATENATE(schedule13[[#This Row],[OD]],"-",schedule13[[#This Row],[ID]],"-",schedule13[[#This Row],[TICKNESS]],"-",schedule13[[#This Row],[GRADE]],"-",schedule13[[#This Row],[FC/NFC]])</f>
        <v/>
      </c>
      <c r="Q447" s="557" t="n"/>
      <c r="R447" s="557" t="n"/>
      <c r="S447" s="599" t="n">
        <v>31.75</v>
      </c>
      <c r="T447" s="599" t="n">
        <v>31.75</v>
      </c>
      <c r="U447" s="599" t="n">
        <v>0</v>
      </c>
      <c r="V447" s="599" t="n">
        <v>1.6</v>
      </c>
      <c r="W447" s="600" t="n">
        <v>658</v>
      </c>
      <c r="X447" s="600" t="n"/>
      <c r="Y447" s="601" t="n">
        <v>15000</v>
      </c>
      <c r="Z447" s="601" t="n"/>
      <c r="AA447" s="602">
        <f>Y447-Z447</f>
        <v/>
      </c>
      <c r="AB447" s="599">
        <f>(S447-V447)*V447*W447*0.024653*Y447/1000000</f>
        <v/>
      </c>
      <c r="AC447" s="599">
        <f>(S447-V447)*V447*W447*0.024653*Z447/1000000</f>
        <v/>
      </c>
      <c r="AD447" s="599">
        <f>AB447-AC447</f>
        <v/>
      </c>
      <c r="AE447" s="599" t="n"/>
      <c r="AF447" s="599" t="n"/>
      <c r="AG447" s="599" t="n"/>
      <c r="AH447" s="599">
        <f>AB446-AF447</f>
        <v/>
      </c>
      <c r="AI447" s="118">
        <f>(AC447+AF447)/AB446</f>
        <v/>
      </c>
    </row>
    <row r="448" hidden="1" s="584">
      <c r="A448" s="594" t="n">
        <v>310</v>
      </c>
      <c r="B448" s="5" t="inlineStr">
        <is>
          <t>Hosur</t>
        </is>
      </c>
      <c r="C448" s="601" t="inlineStr">
        <is>
          <t>SANDHAR ENGINEERING PVT LTD.</t>
        </is>
      </c>
      <c r="D448" s="601" t="n"/>
      <c r="E448" s="601" t="n">
        <v>941496</v>
      </c>
      <c r="F448" s="601" t="n">
        <v>1940588</v>
      </c>
      <c r="G448" s="601" t="inlineStr">
        <is>
          <t>TUB-O-O-AUT-AW-FC-25.40X2.000X0.3550</t>
        </is>
      </c>
      <c r="H448" s="601" t="inlineStr">
        <is>
          <t>ERW 1</t>
        </is>
      </c>
      <c r="I448" s="601" t="n"/>
      <c r="J448" s="601" t="inlineStr">
        <is>
          <t>FC</t>
        </is>
      </c>
      <c r="K448" s="601" t="inlineStr">
        <is>
          <t>HR</t>
        </is>
      </c>
      <c r="L448" s="601" t="n"/>
      <c r="M448" s="601" t="n"/>
      <c r="N448" s="601" t="n"/>
      <c r="O448" s="601" t="n"/>
      <c r="P448" s="557">
        <f>CONCATENATE(schedule13[[#This Row],[OD]],"-",schedule13[[#This Row],[ID]],"-",schedule13[[#This Row],[TICKNESS]],"-",schedule13[[#This Row],[GRADE]],"-",schedule13[[#This Row],[FC/NFC]])</f>
        <v/>
      </c>
      <c r="Q448" s="557" t="n"/>
      <c r="R448" s="557" t="n"/>
      <c r="S448" s="599" t="n">
        <v>25.4</v>
      </c>
      <c r="T448" s="599" t="n">
        <v>25.4</v>
      </c>
      <c r="U448" s="599" t="n">
        <v>0</v>
      </c>
      <c r="V448" s="599" t="n">
        <v>2</v>
      </c>
      <c r="W448" s="600" t="n">
        <v>355</v>
      </c>
      <c r="X448" s="600" t="n"/>
      <c r="Y448" s="601" t="n">
        <v>20000</v>
      </c>
      <c r="Z448" s="601" t="n"/>
      <c r="AA448" s="602">
        <f>Y448-Z448</f>
        <v/>
      </c>
      <c r="AB448" s="599">
        <f>(S448-V448)*V448*W448*0.024653*Y448/1000000</f>
        <v/>
      </c>
      <c r="AC448" s="599">
        <f>(S448-V448)*V448*W448*0.024653*Z448/1000000</f>
        <v/>
      </c>
      <c r="AD448" s="599">
        <f>AB448-AC448</f>
        <v/>
      </c>
      <c r="AE448" s="599" t="n"/>
      <c r="AF448" s="599" t="n">
        <v>1.464</v>
      </c>
      <c r="AG448" s="599" t="n"/>
      <c r="AH448" s="599">
        <f>AB447-AF448</f>
        <v/>
      </c>
      <c r="AI448" s="118">
        <f>(AC448+AF448)/AB447</f>
        <v/>
      </c>
    </row>
    <row r="449" hidden="1" s="584">
      <c r="A449" s="594" t="n">
        <v>311</v>
      </c>
      <c r="B449" s="5" t="inlineStr">
        <is>
          <t>Hosur</t>
        </is>
      </c>
      <c r="C449" s="601" t="inlineStr">
        <is>
          <t>SANDHAR ENGINEERING PVT LTD.</t>
        </is>
      </c>
      <c r="D449" s="601" t="n"/>
      <c r="E449" s="601" t="n">
        <v>941496</v>
      </c>
      <c r="F449" s="601" t="n">
        <v>1937022</v>
      </c>
      <c r="G449" s="601" t="inlineStr">
        <is>
          <t>TUB-O-N-GEN-AW-PE-19.05X1.200X0.6500</t>
        </is>
      </c>
      <c r="H449" s="601" t="inlineStr">
        <is>
          <t>ERW 1</t>
        </is>
      </c>
      <c r="I449" s="601" t="n"/>
      <c r="J449" s="601" t="inlineStr">
        <is>
          <t>PE</t>
        </is>
      </c>
      <c r="K449" s="601" t="inlineStr">
        <is>
          <t>CR</t>
        </is>
      </c>
      <c r="L449" s="601" t="n"/>
      <c r="M449" s="601" t="n"/>
      <c r="N449" s="601" t="n"/>
      <c r="O449" s="601" t="n"/>
      <c r="P449" s="557">
        <f>CONCATENATE(schedule13[[#This Row],[OD]],"-",schedule13[[#This Row],[ID]],"-",schedule13[[#This Row],[TICKNESS]],"-",schedule13[[#This Row],[GRADE]],"-",schedule13[[#This Row],[FC/NFC]])</f>
        <v/>
      </c>
      <c r="Q449" s="557" t="n"/>
      <c r="R449" s="557" t="n"/>
      <c r="S449" s="599" t="n">
        <v>19.05</v>
      </c>
      <c r="T449" s="599" t="n">
        <v>19.05</v>
      </c>
      <c r="U449" s="599" t="n">
        <v>0</v>
      </c>
      <c r="V449" s="599" t="n">
        <v>1.2</v>
      </c>
      <c r="W449" s="600" t="n">
        <v>650</v>
      </c>
      <c r="X449" s="600" t="n"/>
      <c r="Y449" s="601" t="n">
        <v>10000</v>
      </c>
      <c r="Z449" s="601" t="n"/>
      <c r="AA449" s="602">
        <f>Y449-Z449</f>
        <v/>
      </c>
      <c r="AB449" s="599">
        <f>(S449-V449)*V449*W449*0.024653*Y449/1000000</f>
        <v/>
      </c>
      <c r="AC449" s="599">
        <f>(S449-V449)*V449*W449*0.024653*Z449/1000000</f>
        <v/>
      </c>
      <c r="AD449" s="599">
        <f>AB449-AC449</f>
        <v/>
      </c>
      <c r="AE449" s="599" t="n"/>
      <c r="AF449" s="599" t="n">
        <v>1.25622</v>
      </c>
      <c r="AG449" s="599" t="n"/>
      <c r="AH449" s="599">
        <f>AB448-AF449</f>
        <v/>
      </c>
      <c r="AI449" s="118">
        <f>(AC449+AF449)/AB448</f>
        <v/>
      </c>
    </row>
    <row r="450" hidden="1" s="584">
      <c r="A450" s="594" t="n">
        <v>312</v>
      </c>
      <c r="B450" s="5" t="inlineStr">
        <is>
          <t>Hosur</t>
        </is>
      </c>
      <c r="C450" s="601" t="inlineStr">
        <is>
          <t>SANDHAR ENGINEERING PVT LTD.</t>
        </is>
      </c>
      <c r="D450" s="601" t="n"/>
      <c r="E450" s="601" t="n">
        <v>941496</v>
      </c>
      <c r="F450" s="601" t="n">
        <v>2256593</v>
      </c>
      <c r="G450" s="601" t="inlineStr">
        <is>
          <t>TUB-O-N-AUT-AW-FC-31.75X1.200X0.2100</t>
        </is>
      </c>
      <c r="H450" s="601" t="inlineStr">
        <is>
          <t>ERW 1</t>
        </is>
      </c>
      <c r="I450" s="601" t="n"/>
      <c r="J450" s="601" t="inlineStr">
        <is>
          <t>FC</t>
        </is>
      </c>
      <c r="K450" s="601" t="inlineStr">
        <is>
          <t>CR</t>
        </is>
      </c>
      <c r="L450" s="601" t="n"/>
      <c r="M450" s="601" t="n"/>
      <c r="N450" s="601" t="n"/>
      <c r="O450" s="601" t="n"/>
      <c r="P450" s="557">
        <f>CONCATENATE(schedule13[[#This Row],[OD]],"-",schedule13[[#This Row],[ID]],"-",schedule13[[#This Row],[TICKNESS]],"-",schedule13[[#This Row],[GRADE]],"-",schedule13[[#This Row],[FC/NFC]])</f>
        <v/>
      </c>
      <c r="Q450" s="557" t="n"/>
      <c r="R450" s="557" t="n"/>
      <c r="S450" s="599" t="n">
        <v>31.75</v>
      </c>
      <c r="T450" s="599" t="n">
        <v>31.75</v>
      </c>
      <c r="U450" s="599" t="n">
        <v>0</v>
      </c>
      <c r="V450" s="599" t="n">
        <v>1.2</v>
      </c>
      <c r="W450" s="600" t="n">
        <v>210</v>
      </c>
      <c r="X450" s="600" t="n"/>
      <c r="Y450" s="601" t="n">
        <v>5000</v>
      </c>
      <c r="Z450" s="601" t="n"/>
      <c r="AA450" s="602">
        <f>Y450-Z450</f>
        <v/>
      </c>
      <c r="AB450" s="599">
        <f>(S450-V450)*V450*W450*0.024653*Y450/1000000</f>
        <v/>
      </c>
      <c r="AC450" s="599">
        <f>(S450-V450)*V450*W450*0.024653*Z450/1000000</f>
        <v/>
      </c>
      <c r="AD450" s="599">
        <f>AB450-AC450</f>
        <v/>
      </c>
      <c r="AE450" s="599" t="n"/>
      <c r="AF450" s="599" t="n"/>
      <c r="AG450" s="599" t="n"/>
      <c r="AH450" s="599">
        <f>AB449-AF450</f>
        <v/>
      </c>
      <c r="AI450" s="118">
        <f>(AC450+AF450)/AB449</f>
        <v/>
      </c>
    </row>
    <row r="451" hidden="1" s="584">
      <c r="A451" s="594" t="n">
        <v>313</v>
      </c>
      <c r="B451" s="5" t="inlineStr">
        <is>
          <t>Hosur</t>
        </is>
      </c>
      <c r="C451" s="601" t="inlineStr">
        <is>
          <t>SANDHAR ENGINEERING PVT LTD.</t>
        </is>
      </c>
      <c r="D451" s="601" t="n"/>
      <c r="E451" s="601" t="n">
        <v>941496</v>
      </c>
      <c r="F451" s="601" t="n">
        <v>1940247</v>
      </c>
      <c r="G451" s="601" t="inlineStr">
        <is>
          <t>TUB-O-O-AUT-AW-PE-19.05X1.600X0.5950</t>
        </is>
      </c>
      <c r="H451" s="601" t="inlineStr">
        <is>
          <t>ERW 1</t>
        </is>
      </c>
      <c r="I451" s="601" t="n"/>
      <c r="J451" s="601" t="inlineStr">
        <is>
          <t>PE</t>
        </is>
      </c>
      <c r="K451" s="601" t="inlineStr">
        <is>
          <t>CR</t>
        </is>
      </c>
      <c r="L451" s="596" t="inlineStr">
        <is>
          <t>GR1</t>
        </is>
      </c>
      <c r="M451" s="601" t="n"/>
      <c r="N451" s="601" t="n"/>
      <c r="O451" s="601" t="n"/>
      <c r="P451" s="557">
        <f>CONCATENATE(schedule13[[#This Row],[OD]],"-",schedule13[[#This Row],[ID]],"-",schedule13[[#This Row],[TICKNESS]],"-",schedule13[[#This Row],[GRADE]],"-",schedule13[[#This Row],[FC/NFC]])</f>
        <v/>
      </c>
      <c r="Q451" s="557" t="n"/>
      <c r="R451" s="557" t="n"/>
      <c r="S451" s="599" t="n">
        <v>19.05</v>
      </c>
      <c r="T451" s="599" t="n">
        <v>19.05</v>
      </c>
      <c r="U451" s="599" t="n">
        <v>0</v>
      </c>
      <c r="V451" s="599" t="n">
        <v>1.6</v>
      </c>
      <c r="W451" s="600" t="n">
        <v>595</v>
      </c>
      <c r="X451" s="600" t="n"/>
      <c r="Y451" s="601" t="n">
        <v>7000</v>
      </c>
      <c r="Z451" s="601" t="n"/>
      <c r="AA451" s="602">
        <f>Y451-Z451</f>
        <v/>
      </c>
      <c r="AB451" s="599">
        <f>(S451-V451)*V451*W451*0.024653*Y451/1000000</f>
        <v/>
      </c>
      <c r="AC451" s="599">
        <f>(S451-V451)*V451*W451*0.024653*Z451/1000000</f>
        <v/>
      </c>
      <c r="AD451" s="599">
        <f>AB451-AC451</f>
        <v/>
      </c>
      <c r="AE451" s="599" t="n"/>
      <c r="AF451" s="599" t="n"/>
      <c r="AG451" s="599" t="n"/>
      <c r="AH451" s="599">
        <f>AB450-AF451</f>
        <v/>
      </c>
      <c r="AI451" s="118">
        <f>(AC451+AF451)/AB450</f>
        <v/>
      </c>
    </row>
    <row r="452" hidden="1" s="584">
      <c r="A452" s="594" t="n">
        <v>314</v>
      </c>
      <c r="B452" s="5" t="inlineStr">
        <is>
          <t>Hosur</t>
        </is>
      </c>
      <c r="C452" s="601" t="inlineStr">
        <is>
          <t>SANDHAR ENGINEERING PVT LTD.</t>
        </is>
      </c>
      <c r="D452" s="601" t="n"/>
      <c r="E452" s="601" t="n">
        <v>941496</v>
      </c>
      <c r="F452" s="601" t="n">
        <v>1940614</v>
      </c>
      <c r="G452" s="601" t="inlineStr">
        <is>
          <t>TUB-O-O-AUT-AW-PE-28.58X1.200X0.5950</t>
        </is>
      </c>
      <c r="H452" s="601" t="inlineStr">
        <is>
          <t>ERW 1</t>
        </is>
      </c>
      <c r="I452" s="601" t="n"/>
      <c r="J452" s="601" t="inlineStr">
        <is>
          <t>PE</t>
        </is>
      </c>
      <c r="K452" s="601" t="inlineStr">
        <is>
          <t>CR</t>
        </is>
      </c>
      <c r="L452" s="601" t="n"/>
      <c r="M452" s="601" t="n"/>
      <c r="N452" s="601" t="n"/>
      <c r="O452" s="601" t="n"/>
      <c r="P452" s="557">
        <f>CONCATENATE(schedule13[[#This Row],[OD]],"-",schedule13[[#This Row],[ID]],"-",schedule13[[#This Row],[TICKNESS]],"-",schedule13[[#This Row],[GRADE]],"-",schedule13[[#This Row],[FC/NFC]])</f>
        <v/>
      </c>
      <c r="Q452" s="557" t="n"/>
      <c r="R452" s="557" t="n"/>
      <c r="S452" s="599" t="n">
        <v>28.58</v>
      </c>
      <c r="T452" s="599" t="n">
        <v>28.58</v>
      </c>
      <c r="U452" s="599" t="n">
        <v>0</v>
      </c>
      <c r="V452" s="599" t="n">
        <v>1.2</v>
      </c>
      <c r="W452" s="600" t="n">
        <v>595</v>
      </c>
      <c r="X452" s="600" t="n"/>
      <c r="Y452" s="601" t="n">
        <v>10000</v>
      </c>
      <c r="Z452" s="601" t="n"/>
      <c r="AA452" s="602">
        <f>Y452-Z452</f>
        <v/>
      </c>
      <c r="AB452" s="599">
        <f>(S452-V452)*V452*W452*0.024653*Y452/1000000</f>
        <v/>
      </c>
      <c r="AC452" s="599">
        <f>(S452-V452)*V452*W452*0.024653*Z452/1000000</f>
        <v/>
      </c>
      <c r="AD452" s="599">
        <f>AB452-AC452</f>
        <v/>
      </c>
      <c r="AE452" s="599" t="n"/>
      <c r="AF452" s="599" t="n"/>
      <c r="AG452" s="599" t="n"/>
      <c r="AH452" s="599">
        <f>AB451-AF452</f>
        <v/>
      </c>
      <c r="AI452" s="118">
        <f>(AC452+AF452)/AB451</f>
        <v/>
      </c>
    </row>
    <row r="453" hidden="1" s="584">
      <c r="A453" s="594" t="n">
        <v>315</v>
      </c>
      <c r="B453" s="5" t="inlineStr">
        <is>
          <t xml:space="preserve">Khopoli </t>
        </is>
      </c>
      <c r="C453" s="601" t="inlineStr">
        <is>
          <t>SANDHAR ENGINEERING PVT LTD.</t>
        </is>
      </c>
      <c r="D453" s="601" t="n"/>
      <c r="E453" s="601" t="n">
        <v>941496</v>
      </c>
      <c r="F453" s="601" t="n">
        <v>1938118</v>
      </c>
      <c r="G453" s="601" t="inlineStr">
        <is>
          <t>TUB-O-N-AUT-AW-PE-17.30X1.600X0.3550</t>
        </is>
      </c>
      <c r="H453" s="601" t="inlineStr">
        <is>
          <t>ERW 1</t>
        </is>
      </c>
      <c r="I453" s="601" t="n"/>
      <c r="J453" s="601" t="inlineStr">
        <is>
          <t>PE</t>
        </is>
      </c>
      <c r="K453" s="601" t="inlineStr">
        <is>
          <t>CR</t>
        </is>
      </c>
      <c r="L453" s="601" t="inlineStr">
        <is>
          <t>D</t>
        </is>
      </c>
      <c r="M453" s="601" t="n"/>
      <c r="N453" s="601" t="n"/>
      <c r="O453" s="601" t="n"/>
      <c r="P453" s="557">
        <f>CONCATENATE(schedule13[[#This Row],[OD]],"-",schedule13[[#This Row],[ID]],"-",schedule13[[#This Row],[TICKNESS]],"-",schedule13[[#This Row],[GRADE]],"-",schedule13[[#This Row],[FC/NFC]])</f>
        <v/>
      </c>
      <c r="Q453" s="557" t="n"/>
      <c r="R453" s="557" t="n"/>
      <c r="S453" s="599" t="n">
        <v>17.3</v>
      </c>
      <c r="T453" s="599" t="n">
        <v>17.3</v>
      </c>
      <c r="U453" s="599" t="n">
        <v>0</v>
      </c>
      <c r="V453" s="599" t="n">
        <v>1.6</v>
      </c>
      <c r="W453" s="600" t="n">
        <v>355</v>
      </c>
      <c r="X453" s="600" t="n"/>
      <c r="Y453" s="601" t="n">
        <v>22000</v>
      </c>
      <c r="Z453" s="601" t="n"/>
      <c r="AA453" s="602">
        <f>Y453-Z453</f>
        <v/>
      </c>
      <c r="AB453" s="599">
        <f>(S453-V453)*V453*W453*0.024653*Y453/1000000</f>
        <v/>
      </c>
      <c r="AC453" s="599">
        <f>(S453-V453)*V453*W453*0.024653*Z453/1000000</f>
        <v/>
      </c>
      <c r="AD453" s="599">
        <f>AB453-AC453</f>
        <v/>
      </c>
      <c r="AE453" s="599" t="n"/>
      <c r="AF453" s="599" t="n"/>
      <c r="AG453" s="599" t="n"/>
      <c r="AH453" s="599">
        <f>AB452-AF453</f>
        <v/>
      </c>
      <c r="AI453" s="118">
        <f>(AC453+AF453)/AB452</f>
        <v/>
      </c>
    </row>
    <row r="454" hidden="1" s="584">
      <c r="A454" s="594" t="n">
        <v>316</v>
      </c>
      <c r="B454" s="5" t="inlineStr">
        <is>
          <t>Hosur</t>
        </is>
      </c>
      <c r="C454" s="601" t="inlineStr">
        <is>
          <t>SANDHAR ENGINEERING PVT LTD.</t>
        </is>
      </c>
      <c r="D454" s="601" t="n"/>
      <c r="E454" s="601" t="n">
        <v>941496</v>
      </c>
      <c r="F454" s="9" t="n">
        <v>2320564</v>
      </c>
      <c r="G454" s="9" t="inlineStr">
        <is>
          <t>TUB-O-N-AUT-AW-PE-19.05X2.300X0.4000</t>
        </is>
      </c>
      <c r="H454" s="601" t="inlineStr">
        <is>
          <t>ERW 1</t>
        </is>
      </c>
      <c r="I454" s="601" t="n"/>
      <c r="J454" s="601" t="inlineStr">
        <is>
          <t>PE</t>
        </is>
      </c>
      <c r="K454" s="601" t="inlineStr">
        <is>
          <t>HR</t>
        </is>
      </c>
      <c r="L454" s="601" t="n"/>
      <c r="M454" s="601" t="n"/>
      <c r="N454" s="601" t="n"/>
      <c r="O454" s="601" t="n"/>
      <c r="P454" s="557">
        <f>CONCATENATE(schedule13[[#This Row],[OD]],"-",schedule13[[#This Row],[ID]],"-",schedule13[[#This Row],[TICKNESS]],"-",schedule13[[#This Row],[GRADE]],"-",schedule13[[#This Row],[FC/NFC]])</f>
        <v/>
      </c>
      <c r="Q454" s="557" t="n"/>
      <c r="R454" s="557" t="n"/>
      <c r="S454" s="599" t="n">
        <v>19.05</v>
      </c>
      <c r="T454" s="599" t="n">
        <v>19.05</v>
      </c>
      <c r="U454" s="599" t="n">
        <v>0</v>
      </c>
      <c r="V454" s="599" t="n">
        <v>2.3</v>
      </c>
      <c r="W454" s="600" t="n">
        <v>400</v>
      </c>
      <c r="X454" s="600" t="n"/>
      <c r="Y454" s="601" t="n">
        <v>6000</v>
      </c>
      <c r="Z454" s="601" t="n"/>
      <c r="AA454" s="602">
        <f>Y454-Z454</f>
        <v/>
      </c>
      <c r="AB454" s="599">
        <f>(S454-V454)*V454*W454*0.024653*Y454/1000000</f>
        <v/>
      </c>
      <c r="AC454" s="599">
        <f>(S454-V454)*V454*W454*0.024653*Z454/1000000</f>
        <v/>
      </c>
      <c r="AD454" s="599">
        <f>AB454-AC454</f>
        <v/>
      </c>
      <c r="AE454" s="599" t="n"/>
      <c r="AF454" s="599" t="n">
        <v>0.127</v>
      </c>
      <c r="AG454" s="599" t="n"/>
      <c r="AH454" s="599">
        <f>AB453-AF454</f>
        <v/>
      </c>
      <c r="AI454" s="118">
        <f>(AC454+AF454)/AB453</f>
        <v/>
      </c>
    </row>
    <row r="455" hidden="1" s="584">
      <c r="A455" s="594" t="n">
        <v>317</v>
      </c>
      <c r="B455" s="5" t="inlineStr">
        <is>
          <t xml:space="preserve">Khopoli </t>
        </is>
      </c>
      <c r="C455" s="601" t="inlineStr">
        <is>
          <t>SANDHAR ENGINEERING PVT LTD.</t>
        </is>
      </c>
      <c r="D455" s="601" t="n"/>
      <c r="E455" s="601" t="n">
        <v>945539</v>
      </c>
      <c r="F455" s="601" t="n"/>
      <c r="G455" s="601" t="inlineStr">
        <is>
          <t>TUB-O-N-AUT-AN-FC-42.70X3.500X0.2080</t>
        </is>
      </c>
      <c r="H455" s="601" t="inlineStr">
        <is>
          <t>ERW 1</t>
        </is>
      </c>
      <c r="I455" s="601" t="inlineStr">
        <is>
          <t>Annealed</t>
        </is>
      </c>
      <c r="J455" s="601" t="inlineStr">
        <is>
          <t>FC</t>
        </is>
      </c>
      <c r="K455" s="601" t="inlineStr">
        <is>
          <t>HR</t>
        </is>
      </c>
      <c r="L455" s="601" t="n"/>
      <c r="M455" s="601" t="inlineStr">
        <is>
          <t>Chamferring</t>
        </is>
      </c>
      <c r="N455" s="601" t="n"/>
      <c r="O455" s="601" t="n"/>
      <c r="P455" s="557">
        <f>CONCATENATE(schedule13[[#This Row],[OD]],"-",schedule13[[#This Row],[ID]],"-",schedule13[[#This Row],[TICKNESS]],"-",schedule13[[#This Row],[GRADE]],"-",schedule13[[#This Row],[FC/NFC]])</f>
        <v/>
      </c>
      <c r="Q455" s="557">
        <f>_xlfn.CONCAT(schedule13[[#This Row],[Bucket]],"-",schedule13[[#This Row],[LENGTH]]/1000)</f>
        <v/>
      </c>
      <c r="R455" s="557">
        <f>COUNTIF(buckets[CTL Bucket],schedule13[[#This Row],[CTL Bucket]])</f>
        <v/>
      </c>
      <c r="S455" s="599" t="n">
        <v>42.7</v>
      </c>
      <c r="T455" s="599" t="n">
        <v>42.7</v>
      </c>
      <c r="U455" s="599" t="n">
        <v>0</v>
      </c>
      <c r="V455" s="599" t="n">
        <v>3.5</v>
      </c>
      <c r="W455" s="600" t="n">
        <v>208</v>
      </c>
      <c r="X455" s="22" t="inlineStr">
        <is>
          <t>NOS</t>
        </is>
      </c>
      <c r="Y455" s="601" t="n">
        <v>28000</v>
      </c>
      <c r="Z455" s="601" t="n"/>
      <c r="AA455" s="602">
        <f>Y455-Z455</f>
        <v/>
      </c>
      <c r="AB455" s="599">
        <f>(S455-V455)*V455*W455*0.024653*Y455/1000000</f>
        <v/>
      </c>
      <c r="AC455" s="599">
        <f>(S455-V455)*V455*W455*0.024653*Z455/1000000</f>
        <v/>
      </c>
      <c r="AD455" s="599">
        <f>AB455-AC455</f>
        <v/>
      </c>
      <c r="AE455" s="599" t="n"/>
      <c r="AF455" s="599" t="n"/>
      <c r="AG455" s="599" t="n"/>
      <c r="AH455" s="599">
        <f>AB454-AF455</f>
        <v/>
      </c>
      <c r="AI455" s="118">
        <f>(AC455+AF455)/AB454</f>
        <v/>
      </c>
    </row>
    <row r="456" hidden="1" s="584">
      <c r="A456" s="594" t="n">
        <v>318</v>
      </c>
      <c r="B456" s="5" t="inlineStr">
        <is>
          <t>Hosur</t>
        </is>
      </c>
      <c r="C456" s="601" t="inlineStr">
        <is>
          <t>SANDHAR ENGINEERING PVT LTD.</t>
        </is>
      </c>
      <c r="D456" s="601" t="n"/>
      <c r="E456" s="601" t="n">
        <v>941496</v>
      </c>
      <c r="F456" s="601" t="n">
        <v>2399718</v>
      </c>
      <c r="G456" s="601" t="inlineStr">
        <is>
          <t>TUB-O-N-AUT-AW-FC-40.00X1.200X0.4500</t>
        </is>
      </c>
      <c r="H456" s="601" t="inlineStr">
        <is>
          <t>ERW 1</t>
        </is>
      </c>
      <c r="I456" s="601" t="n"/>
      <c r="J456" s="601" t="n"/>
      <c r="K456" s="601" t="inlineStr">
        <is>
          <t>HR</t>
        </is>
      </c>
      <c r="L456" s="601" t="n"/>
      <c r="M456" s="601" t="n"/>
      <c r="N456" s="601" t="n"/>
      <c r="O456" s="601" t="n"/>
      <c r="P456" s="557">
        <f>CONCATENATE(schedule13[[#This Row],[OD]],"-",schedule13[[#This Row],[ID]],"-",schedule13[[#This Row],[TICKNESS]],"-",schedule13[[#This Row],[GRADE]],"-",schedule13[[#This Row],[FC/NFC]])</f>
        <v/>
      </c>
      <c r="Q456" s="557" t="n"/>
      <c r="R456" s="557" t="n"/>
      <c r="S456" s="599" t="n">
        <v>40</v>
      </c>
      <c r="T456" s="599" t="n">
        <v>40</v>
      </c>
      <c r="U456" s="599" t="n">
        <v>0</v>
      </c>
      <c r="V456" s="599" t="n">
        <v>1.2</v>
      </c>
      <c r="W456" s="600" t="n">
        <v>450</v>
      </c>
      <c r="X456" s="600" t="n"/>
      <c r="Y456" s="601" t="n">
        <v>0</v>
      </c>
      <c r="Z456" s="601" t="n"/>
      <c r="AA456" s="602">
        <f>Y456-Z456</f>
        <v/>
      </c>
      <c r="AB456" s="599">
        <f>(S456-V456)*V456*W456*0.024653*Y456/1000000</f>
        <v/>
      </c>
      <c r="AC456" s="599">
        <f>(S456-V456)*V456*W456*0.024653*Z456/1000000</f>
        <v/>
      </c>
      <c r="AD456" s="599">
        <f>AB456-AC456</f>
        <v/>
      </c>
      <c r="AE456" s="599" t="n"/>
      <c r="AF456" s="599" t="n"/>
      <c r="AG456" s="599" t="n"/>
      <c r="AH456" s="599">
        <f>AB455-AF456</f>
        <v/>
      </c>
      <c r="AI456" s="118">
        <f>(AC456+AF456)/AB455</f>
        <v/>
      </c>
    </row>
    <row r="457" hidden="1" s="584">
      <c r="A457" s="594" t="n">
        <v>319</v>
      </c>
      <c r="B457" s="5" t="inlineStr">
        <is>
          <t xml:space="preserve">Khopoli </t>
        </is>
      </c>
      <c r="C457" s="601" t="inlineStr">
        <is>
          <t>SANDHAR ENGINEERING PVT LTD.</t>
        </is>
      </c>
      <c r="D457" s="601" t="n"/>
      <c r="E457" s="601" t="n">
        <v>941496</v>
      </c>
      <c r="F457" s="601" t="n">
        <v>2412748</v>
      </c>
      <c r="G457" s="601" t="inlineStr">
        <is>
          <t>TUB-O-C-AUT-AD-FC-33.30X2.000X4.3000</t>
        </is>
      </c>
      <c r="H457" s="601" t="inlineStr">
        <is>
          <t>CEW</t>
        </is>
      </c>
      <c r="I457" s="601" t="n"/>
      <c r="J457" s="601" t="inlineStr">
        <is>
          <t>CEW</t>
        </is>
      </c>
      <c r="K457" s="601" t="inlineStr">
        <is>
          <t>HR</t>
        </is>
      </c>
      <c r="L457" s="601" t="n"/>
      <c r="M457" s="601" t="n"/>
      <c r="N457" s="601" t="n"/>
      <c r="O457" s="601" t="n"/>
      <c r="P457" s="557">
        <f>CONCATENATE(schedule13[[#This Row],[OD]],"-",schedule13[[#This Row],[ID]],"-",schedule13[[#This Row],[TICKNESS]],"-",schedule13[[#This Row],[GRADE]],"-",schedule13[[#This Row],[FC/NFC]])</f>
        <v/>
      </c>
      <c r="Q457" s="557" t="n"/>
      <c r="R457" s="557" t="n"/>
      <c r="S457" s="599" t="n">
        <v>33.3</v>
      </c>
      <c r="T457" s="599" t="n">
        <v>33.29999284231513</v>
      </c>
      <c r="U457" s="599" t="n">
        <v>29.3</v>
      </c>
      <c r="V457" s="599" t="n">
        <v>2</v>
      </c>
      <c r="W457" s="600" t="n">
        <v>4500</v>
      </c>
      <c r="X457" s="600" t="n"/>
      <c r="Y457" s="601" t="n">
        <v>112</v>
      </c>
      <c r="Z457" s="601" t="n"/>
      <c r="AA457" s="602">
        <f>Y457-Z457</f>
        <v/>
      </c>
      <c r="AB457" s="599">
        <f>(S457-V457)*V457*W457*0.024653*Y457/1000000</f>
        <v/>
      </c>
      <c r="AC457" s="599">
        <f>(S457-V457)*V457*W457*0.024653*Z457/1000000</f>
        <v/>
      </c>
      <c r="AD457" s="599">
        <f>AB457-AC457</f>
        <v/>
      </c>
      <c r="AE457" s="599" t="n"/>
      <c r="AF457" s="599" t="n"/>
      <c r="AG457" s="599" t="n"/>
      <c r="AH457" s="599">
        <f>AB456-AF457</f>
        <v/>
      </c>
      <c r="AI457" s="118">
        <f>(AC457+AF457)/AB456</f>
        <v/>
      </c>
    </row>
    <row r="458" hidden="1" s="584">
      <c r="A458" s="594" t="n">
        <v>320</v>
      </c>
      <c r="B458" s="5" t="inlineStr">
        <is>
          <t>Hosur</t>
        </is>
      </c>
      <c r="C458" s="601" t="inlineStr">
        <is>
          <t>SANDHAR ENGINEERING PVT LTD.</t>
        </is>
      </c>
      <c r="D458" s="601" t="n"/>
      <c r="E458" s="601" t="n">
        <v>941496</v>
      </c>
      <c r="F458" s="601" t="n">
        <v>2413708</v>
      </c>
      <c r="G458" s="601" t="inlineStr">
        <is>
          <t>TUB-O-N-AUT-AW-PE-22.23X2.000X0.8150</t>
        </is>
      </c>
      <c r="H458" s="601" t="inlineStr">
        <is>
          <t>ERW 1</t>
        </is>
      </c>
      <c r="I458" s="601" t="n"/>
      <c r="J458" s="601" t="inlineStr">
        <is>
          <t>PE</t>
        </is>
      </c>
      <c r="K458" s="601" t="inlineStr">
        <is>
          <t>HR</t>
        </is>
      </c>
      <c r="L458" s="601" t="n"/>
      <c r="M458" s="601" t="n"/>
      <c r="N458" s="601" t="n"/>
      <c r="O458" s="601" t="n"/>
      <c r="P458" s="557">
        <f>CONCATENATE(schedule13[[#This Row],[OD]],"-",schedule13[[#This Row],[ID]],"-",schedule13[[#This Row],[TICKNESS]],"-",schedule13[[#This Row],[GRADE]],"-",schedule13[[#This Row],[FC/NFC]])</f>
        <v/>
      </c>
      <c r="Q458" s="557" t="n"/>
      <c r="R458" s="557" t="n"/>
      <c r="S458" s="599" t="n">
        <v>22.23</v>
      </c>
      <c r="T458" s="599" t="n">
        <v>22.23</v>
      </c>
      <c r="U458" s="599" t="n">
        <v>0</v>
      </c>
      <c r="V458" s="599" t="n">
        <v>2</v>
      </c>
      <c r="W458" s="600" t="n">
        <v>815</v>
      </c>
      <c r="X458" s="600" t="n"/>
      <c r="Y458" s="601" t="n">
        <v>20000</v>
      </c>
      <c r="Z458" s="601" t="n"/>
      <c r="AA458" s="602">
        <f>Y458-Z458</f>
        <v/>
      </c>
      <c r="AB458" s="599">
        <f>(S458-V458)*V458*W458*0.024653*Y458/1000000</f>
        <v/>
      </c>
      <c r="AC458" s="599">
        <f>(S458-V458)*V458*W458*0.024653*Z458/1000000</f>
        <v/>
      </c>
      <c r="AD458" s="599">
        <f>AB458-AC458</f>
        <v/>
      </c>
      <c r="AE458" s="599" t="n"/>
      <c r="AF458" s="599" t="n">
        <v>9.779453999999999</v>
      </c>
      <c r="AG458" s="599" t="n"/>
      <c r="AH458" s="599">
        <f>AB457-AF458</f>
        <v/>
      </c>
      <c r="AI458" s="118">
        <f>(AC458+AF458)/AB457</f>
        <v/>
      </c>
    </row>
    <row r="459" hidden="1" s="584">
      <c r="A459" s="594" t="n">
        <v>321</v>
      </c>
      <c r="B459" s="5" t="inlineStr">
        <is>
          <t>Hosur</t>
        </is>
      </c>
      <c r="C459" s="601" t="inlineStr">
        <is>
          <t>SANDHAR ENGINEERING PVT LTD.</t>
        </is>
      </c>
      <c r="D459" s="601" t="n"/>
      <c r="E459" s="601" t="n">
        <v>941496</v>
      </c>
      <c r="F459" s="601" t="n">
        <v>3553684</v>
      </c>
      <c r="G459" s="601" t="inlineStr">
        <is>
          <t>TUB-O-N-AUT-AW-PE-22.23X1.600X0.2740</t>
        </is>
      </c>
      <c r="H459" s="601" t="inlineStr">
        <is>
          <t>ERW 1</t>
        </is>
      </c>
      <c r="I459" s="601" t="n"/>
      <c r="J459" s="601" t="inlineStr">
        <is>
          <t>PE</t>
        </is>
      </c>
      <c r="K459" s="601" t="inlineStr">
        <is>
          <t>CR</t>
        </is>
      </c>
      <c r="L459" s="596" t="inlineStr">
        <is>
          <t>HROP</t>
        </is>
      </c>
      <c r="M459" s="601" t="n"/>
      <c r="N459" s="601" t="n"/>
      <c r="O459" s="601" t="n"/>
      <c r="P459" s="557">
        <f>CONCATENATE(schedule13[[#This Row],[OD]],"-",schedule13[[#This Row],[ID]],"-",schedule13[[#This Row],[TICKNESS]],"-",schedule13[[#This Row],[GRADE]],"-",schedule13[[#This Row],[FC/NFC]])</f>
        <v/>
      </c>
      <c r="Q459" s="557" t="n"/>
      <c r="R459" s="557" t="n"/>
      <c r="S459" s="599" t="n">
        <v>22.23</v>
      </c>
      <c r="T459" s="599" t="n">
        <v>22.23</v>
      </c>
      <c r="U459" s="599" t="n">
        <v>0</v>
      </c>
      <c r="V459" s="599" t="n">
        <v>1.6</v>
      </c>
      <c r="W459" s="600" t="n">
        <v>274</v>
      </c>
      <c r="X459" s="600" t="n"/>
      <c r="Y459" s="601" t="n">
        <v>15000</v>
      </c>
      <c r="Z459" s="601" t="n"/>
      <c r="AA459" s="602">
        <f>Y459-Z459</f>
        <v/>
      </c>
      <c r="AB459" s="599">
        <f>(S459-V459)*V459*W459*0.024653*Y459/1000000</f>
        <v/>
      </c>
      <c r="AC459" s="599">
        <f>(S459-V459)*V459*W459*0.024653*Z459/1000000</f>
        <v/>
      </c>
      <c r="AD459" s="599">
        <f>AB459-AC459</f>
        <v/>
      </c>
      <c r="AE459" s="599" t="n"/>
      <c r="AF459" s="599" t="n">
        <v>1.147</v>
      </c>
      <c r="AG459" s="599" t="n"/>
      <c r="AH459" s="599">
        <f>AB458-AF459</f>
        <v/>
      </c>
      <c r="AI459" s="118">
        <f>(AC459+AF459)/AB458</f>
        <v/>
      </c>
    </row>
    <row r="460" hidden="1" s="584">
      <c r="A460" s="594" t="n">
        <v>322</v>
      </c>
      <c r="B460" s="5" t="inlineStr">
        <is>
          <t>Hosur</t>
        </is>
      </c>
      <c r="C460" s="601" t="inlineStr">
        <is>
          <t>SANDHAR ENGINEERING PVT LTD.</t>
        </is>
      </c>
      <c r="D460" s="601" t="n"/>
      <c r="E460" s="601" t="n">
        <v>941496</v>
      </c>
      <c r="F460" s="601" t="n">
        <v>3910650</v>
      </c>
      <c r="G460" s="601" t="inlineStr">
        <is>
          <t>HT2-O-N-AUT-AS-FC-22.23X2.000X0.8550</t>
        </is>
      </c>
      <c r="H460" s="601" t="inlineStr">
        <is>
          <t>ERW 2</t>
        </is>
      </c>
      <c r="I460" s="601" t="n"/>
      <c r="J460" s="601" t="inlineStr">
        <is>
          <t>FC</t>
        </is>
      </c>
      <c r="K460" s="601" t="inlineStr">
        <is>
          <t>HR</t>
        </is>
      </c>
      <c r="L460" s="601" t="inlineStr">
        <is>
          <t>SAE1020</t>
        </is>
      </c>
      <c r="M460" s="601" t="n"/>
      <c r="N460" s="601" t="n"/>
      <c r="O460" s="601" t="n"/>
      <c r="P460" s="557">
        <f>CONCATENATE(schedule13[[#This Row],[OD]],"-",schedule13[[#This Row],[ID]],"-",schedule13[[#This Row],[TICKNESS]],"-",schedule13[[#This Row],[GRADE]],"-",schedule13[[#This Row],[FC/NFC]])</f>
        <v/>
      </c>
      <c r="Q460" s="557" t="n"/>
      <c r="R460" s="557" t="n"/>
      <c r="S460" s="599" t="n">
        <v>22.23</v>
      </c>
      <c r="T460" s="599" t="n">
        <v>22.23</v>
      </c>
      <c r="U460" s="599" t="n">
        <v>0</v>
      </c>
      <c r="V460" s="599" t="n">
        <v>2</v>
      </c>
      <c r="W460" s="600" t="n">
        <v>855</v>
      </c>
      <c r="X460" s="600" t="n"/>
      <c r="Y460" s="601" t="n">
        <v>0</v>
      </c>
      <c r="Z460" s="601" t="n"/>
      <c r="AA460" s="602">
        <f>Y460-Z460</f>
        <v/>
      </c>
      <c r="AB460" s="599">
        <f>(S460-V460)*V460*W460*0.024653*Y460/1000000</f>
        <v/>
      </c>
      <c r="AC460" s="599">
        <f>(S460-V460)*V460*W460*0.024653*Z460/1000000</f>
        <v/>
      </c>
      <c r="AD460" s="599">
        <f>AB460-AC460</f>
        <v/>
      </c>
      <c r="AE460" s="599" t="n"/>
      <c r="AF460" s="599" t="n">
        <v>0.496578</v>
      </c>
      <c r="AG460" s="599" t="n"/>
      <c r="AH460" s="599">
        <f>AB459-AF460</f>
        <v/>
      </c>
      <c r="AI460" s="118">
        <f>(AC460+AF460)/AB459</f>
        <v/>
      </c>
    </row>
    <row r="461" hidden="1" s="584">
      <c r="A461" s="594" t="n">
        <v>323</v>
      </c>
      <c r="B461" s="5" t="inlineStr">
        <is>
          <t>Hosur</t>
        </is>
      </c>
      <c r="C461" s="601" t="inlineStr">
        <is>
          <t>SANDHAR ENGINEERING PVT LTD.</t>
        </is>
      </c>
      <c r="D461" s="601" t="n"/>
      <c r="E461" s="601" t="n">
        <v>941496</v>
      </c>
      <c r="F461" s="601" t="n">
        <v>3910649</v>
      </c>
      <c r="G461" s="601" t="inlineStr">
        <is>
          <t>CUT-O-N-AUT-AW-FC-22.23X2.000X0.8630</t>
        </is>
      </c>
      <c r="H461" s="601" t="inlineStr">
        <is>
          <t>ERW 2</t>
        </is>
      </c>
      <c r="I461" s="601" t="n"/>
      <c r="J461" s="601" t="inlineStr">
        <is>
          <t>FC</t>
        </is>
      </c>
      <c r="K461" s="601" t="inlineStr">
        <is>
          <t>HR</t>
        </is>
      </c>
      <c r="L461" s="601" t="inlineStr">
        <is>
          <t>SAE1020</t>
        </is>
      </c>
      <c r="M461" s="601" t="n"/>
      <c r="N461" s="601" t="n"/>
      <c r="O461" s="601" t="n"/>
      <c r="P461" s="557">
        <f>CONCATENATE(schedule13[[#This Row],[OD]],"-",schedule13[[#This Row],[ID]],"-",schedule13[[#This Row],[TICKNESS]],"-",schedule13[[#This Row],[GRADE]],"-",schedule13[[#This Row],[FC/NFC]])</f>
        <v/>
      </c>
      <c r="Q461" s="557" t="n"/>
      <c r="R461" s="557" t="n"/>
      <c r="S461" s="599" t="n">
        <v>22.23</v>
      </c>
      <c r="T461" s="599" t="n">
        <v>22.23</v>
      </c>
      <c r="U461" s="599" t="n">
        <v>0</v>
      </c>
      <c r="V461" s="599" t="n">
        <v>2</v>
      </c>
      <c r="W461" s="600" t="n">
        <v>863</v>
      </c>
      <c r="X461" s="600" t="n"/>
      <c r="Y461" s="601" t="n">
        <v>0</v>
      </c>
      <c r="Z461" s="601" t="n"/>
      <c r="AA461" s="602">
        <f>Y461-Z461</f>
        <v/>
      </c>
      <c r="AB461" s="599">
        <f>(S461-V461)*V461*W461*0.024653*Y461/1000000</f>
        <v/>
      </c>
      <c r="AC461" s="599">
        <f>(S461-V461)*V461*W461*0.024653*Z461/1000000</f>
        <v/>
      </c>
      <c r="AD461" s="599">
        <f>AB461-AC461</f>
        <v/>
      </c>
      <c r="AE461" s="599" t="n"/>
      <c r="AF461" s="599" t="n"/>
      <c r="AG461" s="599" t="n"/>
      <c r="AH461" s="599" t="n"/>
      <c r="AI461" s="118" t="n"/>
    </row>
    <row r="462" hidden="1" s="584">
      <c r="A462" s="594" t="n">
        <v>324</v>
      </c>
      <c r="B462" s="5" t="inlineStr">
        <is>
          <t>Hosur</t>
        </is>
      </c>
      <c r="C462" s="601" t="inlineStr">
        <is>
          <t>SANDHAR ENGINEERING PVT LTD.</t>
        </is>
      </c>
      <c r="D462" s="601" t="n"/>
      <c r="E462" s="601" t="n">
        <v>941496</v>
      </c>
      <c r="F462" s="601" t="n">
        <v>1940437</v>
      </c>
      <c r="G462" s="601" t="inlineStr">
        <is>
          <t>TUB-O-O-AUT-AW-PE-22.23X2.000X0.3940</t>
        </is>
      </c>
      <c r="H462" s="601" t="inlineStr">
        <is>
          <t>ERW 1</t>
        </is>
      </c>
      <c r="I462" s="601" t="n"/>
      <c r="J462" s="601" t="inlineStr">
        <is>
          <t>PE</t>
        </is>
      </c>
      <c r="K462" s="601" t="inlineStr">
        <is>
          <t>HR</t>
        </is>
      </c>
      <c r="L462" s="601" t="n"/>
      <c r="M462" s="601" t="n"/>
      <c r="N462" s="601" t="n"/>
      <c r="O462" s="601" t="n"/>
      <c r="P462" s="557">
        <f>CONCATENATE(schedule13[[#This Row],[OD]],"-",schedule13[[#This Row],[ID]],"-",schedule13[[#This Row],[TICKNESS]],"-",schedule13[[#This Row],[GRADE]],"-",schedule13[[#This Row],[FC/NFC]])</f>
        <v/>
      </c>
      <c r="Q462" s="557" t="n"/>
      <c r="R462" s="557" t="n"/>
      <c r="S462" s="599" t="n">
        <v>22.23</v>
      </c>
      <c r="T462" s="599" t="n">
        <v>22.23</v>
      </c>
      <c r="U462" s="599" t="n">
        <v>0</v>
      </c>
      <c r="V462" s="599" t="n">
        <v>2</v>
      </c>
      <c r="W462" s="600" t="n">
        <v>394</v>
      </c>
      <c r="X462" s="600" t="n"/>
      <c r="Y462" s="601" t="n">
        <v>10000</v>
      </c>
      <c r="Z462" s="601" t="n"/>
      <c r="AA462" s="602">
        <f>Y462-Z462</f>
        <v/>
      </c>
      <c r="AB462" s="599">
        <f>(S462-V462)*V462*W462*0.024653*Y462/1000000</f>
        <v/>
      </c>
      <c r="AC462" s="599">
        <f>(S462-V462)*V462*W462*0.024653*Z462/1000000</f>
        <v/>
      </c>
      <c r="AD462" s="599">
        <f>AB462-AC462</f>
        <v/>
      </c>
      <c r="AE462" s="599" t="n"/>
      <c r="AF462" s="599" t="n"/>
      <c r="AG462" s="599" t="n"/>
      <c r="AH462" s="599" t="n"/>
      <c r="AI462" s="118" t="n"/>
    </row>
    <row r="463" hidden="1" s="584">
      <c r="A463" s="594" t="n">
        <v>325</v>
      </c>
      <c r="B463" s="5" t="inlineStr">
        <is>
          <t>Hosur</t>
        </is>
      </c>
      <c r="C463" s="601" t="inlineStr">
        <is>
          <t>SANDHAR ENGINEERING PVT LTD.</t>
        </is>
      </c>
      <c r="D463" s="601" t="n"/>
      <c r="E463" s="601" t="n">
        <v>941496</v>
      </c>
      <c r="F463" s="601" t="n">
        <v>3507795</v>
      </c>
      <c r="G463" s="601" t="inlineStr">
        <is>
          <t>CUT-O-N-AUT-AW-PE-31.75X1.200X0.6570</t>
        </is>
      </c>
      <c r="H463" s="601" t="inlineStr">
        <is>
          <t>ERW 1</t>
        </is>
      </c>
      <c r="I463" s="601" t="n"/>
      <c r="J463" s="601" t="n"/>
      <c r="K463" s="601" t="inlineStr">
        <is>
          <t>HR</t>
        </is>
      </c>
      <c r="L463" s="601" t="n"/>
      <c r="M463" s="601" t="n"/>
      <c r="N463" s="601" t="n"/>
      <c r="O463" s="601" t="n"/>
      <c r="P463" s="557">
        <f>CONCATENATE(schedule13[[#This Row],[OD]],"-",schedule13[[#This Row],[ID]],"-",schedule13[[#This Row],[TICKNESS]],"-",schedule13[[#This Row],[GRADE]],"-",schedule13[[#This Row],[FC/NFC]])</f>
        <v/>
      </c>
      <c r="Q463" s="557" t="n"/>
      <c r="R463" s="557" t="n"/>
      <c r="S463" s="599" t="n">
        <v>31.75</v>
      </c>
      <c r="T463" s="599" t="n">
        <v>31.75</v>
      </c>
      <c r="U463" s="599" t="n">
        <v>0</v>
      </c>
      <c r="V463" s="599" t="n">
        <v>1.2</v>
      </c>
      <c r="W463" s="600" t="n">
        <v>657</v>
      </c>
      <c r="X463" s="600" t="n"/>
      <c r="Y463" s="601" t="n">
        <v>0</v>
      </c>
      <c r="Z463" s="601" t="n"/>
      <c r="AA463" s="602">
        <f>Y463-Z463</f>
        <v/>
      </c>
      <c r="AB463" s="599">
        <f>(S463-V463)*V463*W463*0.024653*Y463/1000000</f>
        <v/>
      </c>
      <c r="AC463" s="599">
        <f>(S463-V463)*V463*W463*0.024653*Z463/1000000</f>
        <v/>
      </c>
      <c r="AD463" s="599">
        <f>AB463-AC463</f>
        <v/>
      </c>
      <c r="AE463" s="599" t="n"/>
      <c r="AF463" s="599" t="n">
        <v>2.566555</v>
      </c>
      <c r="AG463" s="599" t="n"/>
      <c r="AH463" s="599">
        <f>AB462-AF463</f>
        <v/>
      </c>
      <c r="AI463" s="118">
        <f>(AC463+AF463)/AB462</f>
        <v/>
      </c>
    </row>
    <row r="464" hidden="1" s="584">
      <c r="A464" s="594" t="n">
        <v>326</v>
      </c>
      <c r="B464" s="5" t="inlineStr">
        <is>
          <t>Hosur</t>
        </is>
      </c>
      <c r="C464" s="601" t="inlineStr">
        <is>
          <t>SANDHAR ENGINEERING PVT LTD.</t>
        </is>
      </c>
      <c r="D464" s="601" t="n"/>
      <c r="E464" s="601" t="n">
        <v>941496</v>
      </c>
      <c r="F464" s="601" t="n">
        <v>2325421</v>
      </c>
      <c r="G464" s="601" t="inlineStr">
        <is>
          <t>TUB-O-N-AUT-AW-FC-48.60X1.200X0.3360</t>
        </is>
      </c>
      <c r="H464" s="601" t="inlineStr">
        <is>
          <t>ERW 1</t>
        </is>
      </c>
      <c r="I464" s="601" t="n"/>
      <c r="J464" s="601" t="inlineStr">
        <is>
          <t>FC</t>
        </is>
      </c>
      <c r="K464" s="601" t="inlineStr">
        <is>
          <t>CR</t>
        </is>
      </c>
      <c r="L464" s="601" t="n"/>
      <c r="M464" s="601" t="n"/>
      <c r="N464" s="601" t="n"/>
      <c r="O464" s="601" t="n"/>
      <c r="P464" s="557">
        <f>CONCATENATE(schedule13[[#This Row],[OD]],"-",schedule13[[#This Row],[ID]],"-",schedule13[[#This Row],[TICKNESS]],"-",schedule13[[#This Row],[GRADE]],"-",schedule13[[#This Row],[FC/NFC]])</f>
        <v/>
      </c>
      <c r="Q464" s="557" t="n"/>
      <c r="R464" s="557" t="n"/>
      <c r="S464" s="599" t="n">
        <v>48.6</v>
      </c>
      <c r="T464" s="599" t="n">
        <v>48.6</v>
      </c>
      <c r="U464" s="599" t="n">
        <v>0</v>
      </c>
      <c r="V464" s="599" t="n">
        <v>1.2</v>
      </c>
      <c r="W464" s="600" t="n">
        <v>336</v>
      </c>
      <c r="X464" s="600" t="n"/>
      <c r="Y464" s="601" t="n">
        <v>15000</v>
      </c>
      <c r="Z464" s="601" t="n"/>
      <c r="AA464" s="602">
        <f>Y464-Z464</f>
        <v/>
      </c>
      <c r="AB464" s="599">
        <f>(S464-V464)*V464*W464*0.024653*Y464/1000000</f>
        <v/>
      </c>
      <c r="AC464" s="599">
        <f>(S464-V464)*V464*W464*0.024653*Z464/1000000</f>
        <v/>
      </c>
      <c r="AD464" s="599">
        <f>AB464-AC464</f>
        <v/>
      </c>
      <c r="AE464" s="599" t="n"/>
      <c r="AF464" s="599" t="n"/>
      <c r="AG464" s="599" t="n"/>
      <c r="AH464" s="599">
        <f>AB463-AF464</f>
        <v/>
      </c>
      <c r="AI464" s="118">
        <f>(AC464+AF464)/AB463</f>
        <v/>
      </c>
    </row>
    <row r="465" hidden="1" s="584">
      <c r="A465" s="594" t="n">
        <v>327</v>
      </c>
      <c r="B465" s="5" t="inlineStr">
        <is>
          <t>Hosur</t>
        </is>
      </c>
      <c r="C465" s="601" t="inlineStr">
        <is>
          <t>SANDHAR ENGINEERING PVT LTD.</t>
        </is>
      </c>
      <c r="D465" s="601" t="n"/>
      <c r="E465" s="601" t="n">
        <v>941496</v>
      </c>
      <c r="F465" s="601" t="n">
        <v>1903849</v>
      </c>
      <c r="G465" s="601" t="inlineStr">
        <is>
          <t>TUB-O-N-AUT-AW-FC-38.10X2.000X0.4320</t>
        </is>
      </c>
      <c r="H465" s="601" t="inlineStr">
        <is>
          <t>ERW 1</t>
        </is>
      </c>
      <c r="I465" s="601" t="n"/>
      <c r="J465" s="601" t="inlineStr">
        <is>
          <t>FC</t>
        </is>
      </c>
      <c r="K465" s="601" t="inlineStr">
        <is>
          <t>HR</t>
        </is>
      </c>
      <c r="L465" s="601" t="n"/>
      <c r="M465" s="601" t="n"/>
      <c r="N465" s="601" t="n"/>
      <c r="O465" s="601" t="n"/>
      <c r="P465" s="557">
        <f>CONCATENATE(schedule13[[#This Row],[OD]],"-",schedule13[[#This Row],[ID]],"-",schedule13[[#This Row],[TICKNESS]],"-",schedule13[[#This Row],[GRADE]],"-",schedule13[[#This Row],[FC/NFC]])</f>
        <v/>
      </c>
      <c r="Q465" s="557" t="n"/>
      <c r="R465" s="557" t="n"/>
      <c r="S465" s="599" t="n">
        <v>38.1</v>
      </c>
      <c r="T465" s="599" t="n">
        <v>38.1</v>
      </c>
      <c r="U465" s="599" t="n">
        <v>0</v>
      </c>
      <c r="V465" s="599" t="n">
        <v>2</v>
      </c>
      <c r="W465" s="600" t="n">
        <v>432</v>
      </c>
      <c r="X465" s="600" t="n"/>
      <c r="Y465" s="601" t="n">
        <v>8000</v>
      </c>
      <c r="Z465" s="601" t="n"/>
      <c r="AA465" s="602">
        <f>Y465-Z465</f>
        <v/>
      </c>
      <c r="AB465" s="599">
        <f>(S465-V465)*V465*W465*0.024653*Y465/1000000</f>
        <v/>
      </c>
      <c r="AC465" s="599">
        <f>(S465-V465)*V465*W465*0.024653*Z465/1000000</f>
        <v/>
      </c>
      <c r="AD465" s="599">
        <f>AB465-AC465</f>
        <v/>
      </c>
      <c r="AE465" s="599" t="n"/>
      <c r="AF465" s="599" t="n">
        <v>0.36348</v>
      </c>
      <c r="AG465" s="599" t="n"/>
      <c r="AH465" s="599">
        <f>AB464-AF465</f>
        <v/>
      </c>
      <c r="AI465" s="118">
        <f>(AC465+AF465)/AB464</f>
        <v/>
      </c>
    </row>
    <row r="466" hidden="1" s="584">
      <c r="A466" s="594" t="n">
        <v>328</v>
      </c>
      <c r="B466" s="5" t="inlineStr">
        <is>
          <t>Hosur</t>
        </is>
      </c>
      <c r="C466" s="601" t="inlineStr">
        <is>
          <t>SANDHAR ENGINEERING PVT LTD.</t>
        </is>
      </c>
      <c r="D466" s="601" t="n"/>
      <c r="E466" s="601" t="n">
        <v>941496</v>
      </c>
      <c r="F466" s="601" t="n">
        <v>3667938</v>
      </c>
      <c r="G466" s="601" t="inlineStr">
        <is>
          <t>CUT-O-N-AUT-AW-PE-22.20X1.200X0.6730</t>
        </is>
      </c>
      <c r="H466" s="601" t="inlineStr">
        <is>
          <t>ERW 1</t>
        </is>
      </c>
      <c r="I466" s="601" t="n"/>
      <c r="J466" s="601" t="n"/>
      <c r="K466" s="601" t="inlineStr">
        <is>
          <t>HR</t>
        </is>
      </c>
      <c r="L466" s="601" t="n"/>
      <c r="M466" s="601" t="n"/>
      <c r="N466" s="601" t="n"/>
      <c r="O466" s="601" t="n"/>
      <c r="P466" s="557">
        <f>CONCATENATE(schedule13[[#This Row],[OD]],"-",schedule13[[#This Row],[ID]],"-",schedule13[[#This Row],[TICKNESS]],"-",schedule13[[#This Row],[GRADE]],"-",schedule13[[#This Row],[FC/NFC]])</f>
        <v/>
      </c>
      <c r="Q466" s="557" t="n"/>
      <c r="R466" s="557" t="n"/>
      <c r="S466" s="599" t="n">
        <v>22.23</v>
      </c>
      <c r="T466" s="599" t="n">
        <v>22.23</v>
      </c>
      <c r="U466" s="599" t="n">
        <v>0</v>
      </c>
      <c r="V466" s="599" t="n">
        <v>1.2</v>
      </c>
      <c r="W466" s="600" t="n">
        <v>673</v>
      </c>
      <c r="X466" s="600" t="n"/>
      <c r="Y466" s="601" t="n">
        <v>15000</v>
      </c>
      <c r="Z466" s="601" t="n"/>
      <c r="AA466" s="602">
        <f>Y466-Z466</f>
        <v/>
      </c>
      <c r="AB466" s="599">
        <f>(S466-V466)*V466*W466*0.024653*Y466/1000000</f>
        <v/>
      </c>
      <c r="AC466" s="599">
        <f>(S466-V466)*V466*W466*0.024653*Z466/1000000</f>
        <v/>
      </c>
      <c r="AD466" s="599">
        <f>AB466-AC466</f>
        <v/>
      </c>
      <c r="AE466" s="599" t="n"/>
      <c r="AF466" s="599" t="n">
        <v>0.56996</v>
      </c>
      <c r="AG466" s="599" t="n"/>
      <c r="AH466" s="599">
        <f>AB465-AF466</f>
        <v/>
      </c>
      <c r="AI466" s="118">
        <f>(AC466+AF466)/AB465</f>
        <v/>
      </c>
    </row>
    <row r="467" hidden="1" s="584">
      <c r="A467" s="594" t="n">
        <v>329</v>
      </c>
      <c r="B467" s="5" t="inlineStr">
        <is>
          <t>Hosur</t>
        </is>
      </c>
      <c r="C467" s="601" t="inlineStr">
        <is>
          <t>SANDHAR ENGINEERING PVT LTD.</t>
        </is>
      </c>
      <c r="D467" s="601" t="n"/>
      <c r="E467" s="601" t="n">
        <v>941496</v>
      </c>
      <c r="F467" s="601" t="n">
        <v>3819143</v>
      </c>
      <c r="G467" s="601" t="inlineStr">
        <is>
          <t>CUT-O-N-AUT-AW-PE-31.75X1.200X0.6800</t>
        </is>
      </c>
      <c r="H467" s="601" t="inlineStr">
        <is>
          <t>ERW 1</t>
        </is>
      </c>
      <c r="I467" s="601" t="n"/>
      <c r="J467" s="601" t="inlineStr">
        <is>
          <t>PE</t>
        </is>
      </c>
      <c r="K467" s="601" t="inlineStr">
        <is>
          <t>CR</t>
        </is>
      </c>
      <c r="L467" s="601" t="n"/>
      <c r="M467" s="601" t="n"/>
      <c r="N467" s="601" t="n"/>
      <c r="O467" s="601" t="n"/>
      <c r="P467" s="557">
        <f>CONCATENATE(schedule13[[#This Row],[OD]],"-",schedule13[[#This Row],[ID]],"-",schedule13[[#This Row],[TICKNESS]],"-",schedule13[[#This Row],[GRADE]],"-",schedule13[[#This Row],[FC/NFC]])</f>
        <v/>
      </c>
      <c r="Q467" s="557" t="n"/>
      <c r="R467" s="557" t="n"/>
      <c r="S467" s="599" t="n">
        <v>31.75</v>
      </c>
      <c r="T467" s="599" t="n">
        <v>31.75</v>
      </c>
      <c r="U467" s="599" t="n">
        <v>0</v>
      </c>
      <c r="V467" s="599" t="n">
        <v>1.2</v>
      </c>
      <c r="W467" s="600" t="n">
        <v>680</v>
      </c>
      <c r="X467" s="600" t="n"/>
      <c r="Y467" s="601" t="n">
        <v>10000</v>
      </c>
      <c r="Z467" s="601" t="n"/>
      <c r="AA467" s="602">
        <f>Y467-Z467</f>
        <v/>
      </c>
      <c r="AB467" s="599">
        <f>(S467-V467)*V467*W467*0.024653*Y467/1000000</f>
        <v/>
      </c>
      <c r="AC467" s="599">
        <f>(S467-V467)*V467*W467*0.024653*Z467/1000000</f>
        <v/>
      </c>
      <c r="AD467" s="599">
        <f>AB467-AC467</f>
        <v/>
      </c>
      <c r="AE467" s="599" t="n"/>
      <c r="AF467" s="599" t="n"/>
      <c r="AG467" s="599" t="n"/>
      <c r="AH467" s="599">
        <f>AB466-AF467</f>
        <v/>
      </c>
      <c r="AI467" s="118">
        <f>(AC467+AF467)/AB466</f>
        <v/>
      </c>
    </row>
    <row r="468" hidden="1" s="584">
      <c r="A468" s="594" t="n">
        <v>330</v>
      </c>
      <c r="B468" s="5" t="inlineStr">
        <is>
          <t>Hosur</t>
        </is>
      </c>
      <c r="C468" s="601" t="inlineStr">
        <is>
          <t>SANDHAR ENGINEERING PVT LTD.</t>
        </is>
      </c>
      <c r="D468" s="601" t="n"/>
      <c r="E468" s="601" t="n">
        <v>941496</v>
      </c>
      <c r="F468" s="601" t="n">
        <v>3516769</v>
      </c>
      <c r="G468" s="601" t="inlineStr">
        <is>
          <t>TUB-O-N-AUT-AW-FC-38.10X2.000X0.4940</t>
        </is>
      </c>
      <c r="H468" s="601" t="inlineStr">
        <is>
          <t>ERW 1</t>
        </is>
      </c>
      <c r="I468" s="601" t="n"/>
      <c r="J468" s="601" t="inlineStr">
        <is>
          <t>FC</t>
        </is>
      </c>
      <c r="K468" s="601" t="inlineStr">
        <is>
          <t>HR</t>
        </is>
      </c>
      <c r="L468" s="601" t="n"/>
      <c r="M468" s="601" t="n"/>
      <c r="N468" s="601" t="n"/>
      <c r="O468" s="601" t="n"/>
      <c r="P468" s="557">
        <f>CONCATENATE(schedule13[[#This Row],[OD]],"-",schedule13[[#This Row],[ID]],"-",schedule13[[#This Row],[TICKNESS]],"-",schedule13[[#This Row],[GRADE]],"-",schedule13[[#This Row],[FC/NFC]])</f>
        <v/>
      </c>
      <c r="Q468" s="557" t="n"/>
      <c r="R468" s="557" t="n"/>
      <c r="S468" s="599" t="n">
        <v>38.1</v>
      </c>
      <c r="T468" s="599" t="n">
        <v>38.1</v>
      </c>
      <c r="U468" s="599" t="n">
        <v>0</v>
      </c>
      <c r="V468" s="599" t="n">
        <v>2</v>
      </c>
      <c r="W468" s="600" t="n">
        <v>494</v>
      </c>
      <c r="X468" s="600" t="n"/>
      <c r="Y468" s="601" t="n">
        <v>0</v>
      </c>
      <c r="Z468" s="601" t="n"/>
      <c r="AA468" s="602">
        <f>Y468-Z468</f>
        <v/>
      </c>
      <c r="AB468" s="599">
        <f>(S468-V468)*V468*W468*0.024653*Y468/1000000</f>
        <v/>
      </c>
      <c r="AC468" s="599">
        <f>(S468-V468)*V468*W468*0.024653*Z468/1000000</f>
        <v/>
      </c>
      <c r="AD468" s="599">
        <f>AB468-AC468</f>
        <v/>
      </c>
      <c r="AE468" s="599" t="n"/>
      <c r="AF468" s="599" t="n"/>
      <c r="AG468" s="599" t="n"/>
      <c r="AH468" s="599">
        <f>AB467-AF468</f>
        <v/>
      </c>
      <c r="AI468" s="118">
        <f>(AC468+AF468)/AB467</f>
        <v/>
      </c>
    </row>
    <row r="469" hidden="1" s="584">
      <c r="A469" s="594" t="n">
        <v>331</v>
      </c>
      <c r="B469" s="5" t="inlineStr">
        <is>
          <t>Hosur</t>
        </is>
      </c>
      <c r="C469" s="601" t="inlineStr">
        <is>
          <t>SANDHAR ENGINEERING PVT LTD.</t>
        </is>
      </c>
      <c r="D469" s="601" t="n"/>
      <c r="E469" s="601" t="n">
        <v>941496</v>
      </c>
      <c r="F469" s="601" t="n">
        <v>1940743</v>
      </c>
      <c r="G469" s="601" t="inlineStr">
        <is>
          <t>TUB-O-O-AUT-AW-FC-38.10X2.000X0.8120</t>
        </is>
      </c>
      <c r="H469" s="601" t="inlineStr">
        <is>
          <t>ERW 1</t>
        </is>
      </c>
      <c r="I469" s="601" t="n"/>
      <c r="J469" s="601" t="inlineStr">
        <is>
          <t>FC</t>
        </is>
      </c>
      <c r="K469" s="601" t="inlineStr">
        <is>
          <t>HR</t>
        </is>
      </c>
      <c r="L469" s="601" t="n"/>
      <c r="M469" s="601" t="n"/>
      <c r="N469" s="601" t="n"/>
      <c r="O469" s="601" t="n"/>
      <c r="P469" s="557">
        <f>CONCATENATE(schedule13[[#This Row],[OD]],"-",schedule13[[#This Row],[ID]],"-",schedule13[[#This Row],[TICKNESS]],"-",schedule13[[#This Row],[GRADE]],"-",schedule13[[#This Row],[FC/NFC]])</f>
        <v/>
      </c>
      <c r="Q469" s="557" t="n"/>
      <c r="R469" s="557" t="n"/>
      <c r="S469" s="599" t="n">
        <v>38.1</v>
      </c>
      <c r="T469" s="599" t="n">
        <v>38.1</v>
      </c>
      <c r="U469" s="599" t="n">
        <v>0</v>
      </c>
      <c r="V469" s="599" t="n">
        <v>2</v>
      </c>
      <c r="W469" s="600" t="n">
        <v>812</v>
      </c>
      <c r="X469" s="600" t="n"/>
      <c r="Y469" s="601" t="n">
        <v>8000</v>
      </c>
      <c r="Z469" s="601" t="n"/>
      <c r="AA469" s="602">
        <f>Y469-Z469</f>
        <v/>
      </c>
      <c r="AB469" s="599">
        <f>(S469-V469)*V469*W469*0.024653*Y469/1000000</f>
        <v/>
      </c>
      <c r="AC469" s="599">
        <f>(S469-V469)*V469*W469*0.024653*Z469/1000000</f>
        <v/>
      </c>
      <c r="AD469" s="599">
        <f>AB469-AC469</f>
        <v/>
      </c>
      <c r="AE469" s="599" t="n"/>
      <c r="AF469" s="599" t="n">
        <v>0.696112</v>
      </c>
      <c r="AG469" s="599" t="n"/>
      <c r="AH469" s="599">
        <f>AB468-AF469</f>
        <v/>
      </c>
      <c r="AI469" s="118">
        <f>(AC469+AF469)/AB468</f>
        <v/>
      </c>
    </row>
    <row r="470" hidden="1" s="584">
      <c r="A470" s="594" t="n">
        <v>554</v>
      </c>
      <c r="B470" s="5" t="inlineStr">
        <is>
          <t>Hosur</t>
        </is>
      </c>
      <c r="C470" s="601" t="inlineStr">
        <is>
          <t>SRI BALAJI GEARS V3</t>
        </is>
      </c>
      <c r="D470" s="601" t="n"/>
      <c r="E470" s="601" t="n">
        <v>188595</v>
      </c>
      <c r="F470" s="9" t="n">
        <v>1940801</v>
      </c>
      <c r="G470" s="601" t="inlineStr">
        <is>
          <t>TUB-R-AW-RHS-40.00X20.00X1.210X1.3100</t>
        </is>
      </c>
      <c r="H470" s="601" t="inlineStr">
        <is>
          <t>CRFH</t>
        </is>
      </c>
      <c r="I470" s="601" t="n"/>
      <c r="J470" s="601" t="inlineStr">
        <is>
          <t>PE</t>
        </is>
      </c>
      <c r="K470" s="601" t="n"/>
      <c r="L470" s="601" t="n"/>
      <c r="M470" s="601" t="n"/>
      <c r="N470" s="601" t="n"/>
      <c r="O470" s="601" t="n"/>
      <c r="P470" s="557">
        <f>CONCATENATE(schedule13[[#This Row],[OD]],"-",schedule13[[#This Row],[ID]],"-",schedule13[[#This Row],[TICKNESS]],"-",schedule13[[#This Row],[GRADE]],"-",schedule13[[#This Row],[FC/NFC]])</f>
        <v/>
      </c>
      <c r="Q470" s="557" t="n"/>
      <c r="R470" s="557" t="n"/>
      <c r="S470" s="599" t="n">
        <v>38.1</v>
      </c>
      <c r="T470" s="599" t="n">
        <v>40</v>
      </c>
      <c r="U470" s="599" t="n">
        <v>20</v>
      </c>
      <c r="V470" s="599" t="n">
        <v>1.2</v>
      </c>
      <c r="W470" s="600" t="n">
        <v>1310</v>
      </c>
      <c r="X470" s="600" t="n"/>
      <c r="Y470" s="601" t="n">
        <v>16500</v>
      </c>
      <c r="Z470" s="601" t="n"/>
      <c r="AA470" s="602">
        <f>Y470-Z470</f>
        <v/>
      </c>
      <c r="AB470" s="599">
        <f>(S470-V470)*V470*W470*0.024653*Y470/1000000</f>
        <v/>
      </c>
      <c r="AC470" s="599">
        <f>(S470-V470)*V470*W470*0.024653*Z470/1000000</f>
        <v/>
      </c>
      <c r="AD470" s="599">
        <f>AB470-AC470</f>
        <v/>
      </c>
      <c r="AE470" s="10" t="n"/>
      <c r="AF470" s="10" t="n"/>
      <c r="AG470" s="10" t="n"/>
      <c r="AH470" s="10" t="n"/>
      <c r="AI470" s="121" t="n"/>
    </row>
    <row r="471" hidden="1" s="584">
      <c r="A471" s="594" t="n">
        <v>555</v>
      </c>
      <c r="B471" s="5" t="inlineStr">
        <is>
          <t>Hosur</t>
        </is>
      </c>
      <c r="C471" s="601" t="inlineStr">
        <is>
          <t>SRI BALAJI GEARS V3</t>
        </is>
      </c>
      <c r="D471" s="601" t="n"/>
      <c r="E471" s="601" t="n">
        <v>188595</v>
      </c>
      <c r="F471" s="9" t="n">
        <v>3233554</v>
      </c>
      <c r="G471" s="601" t="inlineStr">
        <is>
          <t>TUB-R-AW-AUT-40.00X20.00X1.210X1.2460</t>
        </is>
      </c>
      <c r="H471" s="601" t="inlineStr">
        <is>
          <t>CRFH</t>
        </is>
      </c>
      <c r="I471" s="601" t="n"/>
      <c r="J471" s="601" t="inlineStr">
        <is>
          <t>PE</t>
        </is>
      </c>
      <c r="K471" s="601" t="n"/>
      <c r="L471" s="601" t="n"/>
      <c r="M471" s="601" t="n"/>
      <c r="N471" s="601" t="n"/>
      <c r="O471" s="601" t="n"/>
      <c r="P471" s="557">
        <f>CONCATENATE(schedule13[[#This Row],[OD]],"-",schedule13[[#This Row],[ID]],"-",schedule13[[#This Row],[TICKNESS]],"-",schedule13[[#This Row],[GRADE]],"-",schedule13[[#This Row],[FC/NFC]])</f>
        <v/>
      </c>
      <c r="Q471" s="557" t="n"/>
      <c r="R471" s="557" t="n"/>
      <c r="S471" s="599" t="n">
        <v>38.1</v>
      </c>
      <c r="T471" s="599" t="n">
        <v>40</v>
      </c>
      <c r="U471" s="599" t="n">
        <v>20</v>
      </c>
      <c r="V471" s="599" t="n">
        <v>1.2</v>
      </c>
      <c r="W471" s="600" t="n">
        <v>1246</v>
      </c>
      <c r="X471" s="600" t="n"/>
      <c r="Y471" s="601" t="n">
        <v>5500</v>
      </c>
      <c r="Z471" s="601" t="n"/>
      <c r="AA471" s="602">
        <f>Y471-Z471</f>
        <v/>
      </c>
      <c r="AB471" s="599">
        <f>(S471-V471)*V471*W471*0.024653*Y471/1000000</f>
        <v/>
      </c>
      <c r="AC471" s="599">
        <f>(S471-V471)*V471*W471*0.024653*Z471/1000000</f>
        <v/>
      </c>
      <c r="AD471" s="599">
        <f>AB471-AC471</f>
        <v/>
      </c>
      <c r="AE471" s="10" t="n"/>
      <c r="AF471" s="10" t="n"/>
      <c r="AG471" s="10" t="n"/>
      <c r="AH471" s="10" t="n"/>
      <c r="AI471" s="121" t="n"/>
    </row>
    <row r="472" hidden="1" s="584">
      <c r="A472" s="594" t="n">
        <v>556</v>
      </c>
      <c r="B472" s="5" t="inlineStr">
        <is>
          <t>Hosur</t>
        </is>
      </c>
      <c r="C472" s="601" t="inlineStr">
        <is>
          <t>SRI BALAJI GEARS V3</t>
        </is>
      </c>
      <c r="D472" s="601" t="n"/>
      <c r="E472" s="601" t="n">
        <v>188595</v>
      </c>
      <c r="F472" s="9" t="n">
        <v>3233555</v>
      </c>
      <c r="G472" s="601" t="inlineStr">
        <is>
          <t>TUB-R-AW-AUT-40.00X20.00X1.210X1.1200</t>
        </is>
      </c>
      <c r="H472" s="601" t="inlineStr">
        <is>
          <t>CRFH</t>
        </is>
      </c>
      <c r="I472" s="601" t="n"/>
      <c r="J472" s="601" t="inlineStr">
        <is>
          <t>PE</t>
        </is>
      </c>
      <c r="K472" s="601" t="n"/>
      <c r="L472" s="601" t="n"/>
      <c r="M472" s="601" t="n"/>
      <c r="N472" s="601" t="n"/>
      <c r="O472" s="601" t="n"/>
      <c r="P472" s="557">
        <f>CONCATENATE(schedule13[[#This Row],[OD]],"-",schedule13[[#This Row],[ID]],"-",schedule13[[#This Row],[TICKNESS]],"-",schedule13[[#This Row],[GRADE]],"-",schedule13[[#This Row],[FC/NFC]])</f>
        <v/>
      </c>
      <c r="Q472" s="557" t="n"/>
      <c r="R472" s="557" t="n"/>
      <c r="S472" s="599" t="n">
        <v>38.1</v>
      </c>
      <c r="T472" s="599" t="n">
        <v>40</v>
      </c>
      <c r="U472" s="599" t="n">
        <v>20</v>
      </c>
      <c r="V472" s="599" t="n">
        <v>1.2</v>
      </c>
      <c r="W472" s="600" t="n">
        <v>1120</v>
      </c>
      <c r="X472" s="600" t="n"/>
      <c r="Y472" s="601" t="n">
        <v>22000</v>
      </c>
      <c r="Z472" s="601" t="n"/>
      <c r="AA472" s="602">
        <f>Y472-Z472</f>
        <v/>
      </c>
      <c r="AB472" s="599">
        <f>(S472-V472)*V472*W472*0.024653*Y472/1000000</f>
        <v/>
      </c>
      <c r="AC472" s="599">
        <f>(S472-V472)*V472*W472*0.024653*Z472/1000000</f>
        <v/>
      </c>
      <c r="AD472" s="599">
        <f>AB472-AC472</f>
        <v/>
      </c>
      <c r="AE472" s="10" t="n"/>
      <c r="AF472" s="10" t="n"/>
      <c r="AG472" s="10" t="n"/>
      <c r="AH472" s="10" t="n"/>
      <c r="AI472" s="121" t="n"/>
    </row>
    <row r="473" hidden="1" s="584">
      <c r="A473" s="594" t="n">
        <v>557</v>
      </c>
      <c r="B473" s="5" t="inlineStr">
        <is>
          <t>Hosur</t>
        </is>
      </c>
      <c r="C473" s="601" t="inlineStr">
        <is>
          <t>SRI BALAJI GEARS V3</t>
        </is>
      </c>
      <c r="D473" s="601" t="n"/>
      <c r="E473" s="601" t="n">
        <v>188595</v>
      </c>
      <c r="F473" s="9" t="n">
        <v>3233556</v>
      </c>
      <c r="G473" s="601" t="inlineStr">
        <is>
          <t>TUB-R-AW-AUT-40.00X20.00X1.210X0.9400</t>
        </is>
      </c>
      <c r="H473" s="601" t="inlineStr">
        <is>
          <t>CRFH</t>
        </is>
      </c>
      <c r="I473" s="601" t="n"/>
      <c r="J473" s="601" t="inlineStr">
        <is>
          <t>PE</t>
        </is>
      </c>
      <c r="K473" s="601" t="n"/>
      <c r="L473" s="601" t="n"/>
      <c r="M473" s="601" t="n"/>
      <c r="N473" s="601" t="n"/>
      <c r="O473" s="601" t="n"/>
      <c r="P473" s="557">
        <f>CONCATENATE(schedule13[[#This Row],[OD]],"-",schedule13[[#This Row],[ID]],"-",schedule13[[#This Row],[TICKNESS]],"-",schedule13[[#This Row],[GRADE]],"-",schedule13[[#This Row],[FC/NFC]])</f>
        <v/>
      </c>
      <c r="Q473" s="557" t="n"/>
      <c r="R473" s="557" t="n"/>
      <c r="S473" s="599" t="n">
        <v>38.1</v>
      </c>
      <c r="T473" s="599" t="n">
        <v>40</v>
      </c>
      <c r="U473" s="599" t="n">
        <v>20</v>
      </c>
      <c r="V473" s="599" t="n">
        <v>1.2</v>
      </c>
      <c r="W473" s="600" t="n">
        <v>940</v>
      </c>
      <c r="X473" s="600" t="n"/>
      <c r="Y473" s="601" t="n">
        <v>22000</v>
      </c>
      <c r="Z473" s="601" t="n"/>
      <c r="AA473" s="602">
        <f>Y473-Z473</f>
        <v/>
      </c>
      <c r="AB473" s="599">
        <f>(S473-V473)*V473*W473*0.024653*Y473/1000000</f>
        <v/>
      </c>
      <c r="AC473" s="599">
        <f>(S473-V473)*V473*W473*0.024653*Z473/1000000</f>
        <v/>
      </c>
      <c r="AD473" s="599">
        <f>AB473-AC473</f>
        <v/>
      </c>
      <c r="AE473" s="10" t="n"/>
      <c r="AF473" s="10" t="n"/>
      <c r="AG473" s="10" t="n"/>
      <c r="AH473" s="10" t="n"/>
      <c r="AI473" s="121" t="n"/>
    </row>
    <row r="474" hidden="1" s="584">
      <c r="A474" s="594" t="n">
        <v>558</v>
      </c>
      <c r="B474" s="5" t="inlineStr">
        <is>
          <t>Hosur</t>
        </is>
      </c>
      <c r="C474" s="601" t="inlineStr">
        <is>
          <t>SRI BALAJI GEARS V3</t>
        </is>
      </c>
      <c r="D474" s="601" t="n"/>
      <c r="E474" s="601" t="n">
        <v>188595</v>
      </c>
      <c r="F474" s="9" t="n">
        <v>3233557</v>
      </c>
      <c r="G474" s="601" t="inlineStr">
        <is>
          <t>TUB-R-AW-AUT-40.00X20.00X1.210X0.8000</t>
        </is>
      </c>
      <c r="H474" s="601" t="inlineStr">
        <is>
          <t>CRFH</t>
        </is>
      </c>
      <c r="I474" s="601" t="n"/>
      <c r="J474" s="601" t="inlineStr">
        <is>
          <t>PE</t>
        </is>
      </c>
      <c r="K474" s="601" t="n"/>
      <c r="L474" s="601" t="n"/>
      <c r="M474" s="601" t="n"/>
      <c r="N474" s="601" t="n"/>
      <c r="O474" s="601" t="n"/>
      <c r="P474" s="557">
        <f>CONCATENATE(schedule13[[#This Row],[OD]],"-",schedule13[[#This Row],[ID]],"-",schedule13[[#This Row],[TICKNESS]],"-",schedule13[[#This Row],[GRADE]],"-",schedule13[[#This Row],[FC/NFC]])</f>
        <v/>
      </c>
      <c r="Q474" s="557" t="n"/>
      <c r="R474" s="557" t="n"/>
      <c r="S474" s="599" t="n">
        <v>38.1</v>
      </c>
      <c r="T474" s="599" t="n">
        <v>40</v>
      </c>
      <c r="U474" s="599" t="n">
        <v>20</v>
      </c>
      <c r="V474" s="599" t="n">
        <v>1.2</v>
      </c>
      <c r="W474" s="600" t="n">
        <v>800</v>
      </c>
      <c r="X474" s="600" t="n"/>
      <c r="Y474" s="601" t="n">
        <v>11000</v>
      </c>
      <c r="Z474" s="601" t="n"/>
      <c r="AA474" s="602">
        <f>Y474-Z474</f>
        <v/>
      </c>
      <c r="AB474" s="599">
        <f>(S474-V474)*V474*W474*0.024653*Y474/1000000</f>
        <v/>
      </c>
      <c r="AC474" s="599">
        <f>(S474-V474)*V474*W474*0.024653*Z474/1000000</f>
        <v/>
      </c>
      <c r="AD474" s="599">
        <f>AB474-AC474</f>
        <v/>
      </c>
      <c r="AE474" s="10" t="n"/>
      <c r="AF474" s="10" t="n"/>
      <c r="AG474" s="10" t="n"/>
      <c r="AH474" s="10" t="n"/>
      <c r="AI474" s="121" t="n"/>
    </row>
    <row r="475" hidden="1" ht="15" customHeight="1" s="584">
      <c r="A475" s="594" t="n">
        <v>559</v>
      </c>
      <c r="B475" s="5" t="inlineStr">
        <is>
          <t>Hosur</t>
        </is>
      </c>
      <c r="C475" s="601" t="inlineStr">
        <is>
          <t>SRI BALAJI GEARS V3</t>
        </is>
      </c>
      <c r="D475" s="601" t="n"/>
      <c r="E475" s="601" t="n">
        <v>188595</v>
      </c>
      <c r="F475" s="9" t="n">
        <v>3584171</v>
      </c>
      <c r="G475" s="601" t="inlineStr">
        <is>
          <t>TUB-R-AW-RHS-40.00X20.00X1.200X0.1300</t>
        </is>
      </c>
      <c r="H475" s="601" t="inlineStr">
        <is>
          <t>CRFH</t>
        </is>
      </c>
      <c r="I475" s="601" t="n"/>
      <c r="J475" s="601" t="inlineStr">
        <is>
          <t>PE</t>
        </is>
      </c>
      <c r="K475" s="601" t="n"/>
      <c r="L475" s="601" t="n"/>
      <c r="M475" s="601" t="n"/>
      <c r="N475" s="601" t="n"/>
      <c r="O475" s="601" t="n"/>
      <c r="P475" s="557">
        <f>CONCATENATE(schedule13[[#This Row],[OD]],"-",schedule13[[#This Row],[ID]],"-",schedule13[[#This Row],[TICKNESS]],"-",schedule13[[#This Row],[GRADE]],"-",schedule13[[#This Row],[FC/NFC]])</f>
        <v/>
      </c>
      <c r="Q475" s="557" t="n"/>
      <c r="R475" s="557" t="n"/>
      <c r="S475" s="599" t="n">
        <v>38.1</v>
      </c>
      <c r="T475" s="599" t="n">
        <v>40</v>
      </c>
      <c r="U475" s="599" t="n">
        <v>20</v>
      </c>
      <c r="V475" s="599" t="n">
        <v>1.2</v>
      </c>
      <c r="W475" s="600" t="n">
        <v>130</v>
      </c>
      <c r="X475" s="600" t="n"/>
      <c r="Y475" s="601" t="n">
        <v>11000</v>
      </c>
      <c r="Z475" s="601" t="n"/>
      <c r="AA475" s="602">
        <f>Y475-Z475</f>
        <v/>
      </c>
      <c r="AB475" s="599">
        <f>(S475-V475)*V475*W475*0.024653*Y475/1000000</f>
        <v/>
      </c>
      <c r="AC475" s="599">
        <f>(S475-V475)*V475*W475*0.024653*Z475/1000000</f>
        <v/>
      </c>
      <c r="AD475" s="599">
        <f>AB475-AC475</f>
        <v/>
      </c>
      <c r="AE475" s="10" t="n"/>
      <c r="AF475" s="10" t="n"/>
      <c r="AG475" s="10" t="n"/>
      <c r="AH475" s="10" t="n"/>
      <c r="AI475" s="121" t="n"/>
    </row>
    <row r="476" hidden="1" s="584">
      <c r="A476" s="594" t="n">
        <v>560</v>
      </c>
      <c r="B476" s="5" t="inlineStr">
        <is>
          <t>Hosur</t>
        </is>
      </c>
      <c r="C476" s="601" t="inlineStr">
        <is>
          <t>SRI BALAJI GEARS V3</t>
        </is>
      </c>
      <c r="D476" s="601" t="n"/>
      <c r="E476" s="601" t="n">
        <v>188595</v>
      </c>
      <c r="F476" s="9" t="n">
        <v>3233559</v>
      </c>
      <c r="G476" s="601" t="inlineStr">
        <is>
          <t>TUB-R-AW-AUT-40.00X20.00X1.210X0.1200</t>
        </is>
      </c>
      <c r="H476" s="601" t="inlineStr">
        <is>
          <t>CRFH</t>
        </is>
      </c>
      <c r="I476" s="601" t="n"/>
      <c r="J476" s="601" t="inlineStr">
        <is>
          <t>PE</t>
        </is>
      </c>
      <c r="K476" s="601" t="n"/>
      <c r="L476" s="601" t="n"/>
      <c r="M476" s="601" t="n"/>
      <c r="N476" s="601" t="n"/>
      <c r="O476" s="601" t="n"/>
      <c r="P476" s="557">
        <f>CONCATENATE(schedule13[[#This Row],[OD]],"-",schedule13[[#This Row],[ID]],"-",schedule13[[#This Row],[TICKNESS]],"-",schedule13[[#This Row],[GRADE]],"-",schedule13[[#This Row],[FC/NFC]])</f>
        <v/>
      </c>
      <c r="Q476" s="557" t="n"/>
      <c r="R476" s="557" t="n"/>
      <c r="S476" s="599" t="n">
        <v>38.1</v>
      </c>
      <c r="T476" s="599" t="n">
        <v>40</v>
      </c>
      <c r="U476" s="599" t="n">
        <v>20</v>
      </c>
      <c r="V476" s="599" t="n">
        <v>1.2</v>
      </c>
      <c r="W476" s="600" t="n">
        <v>120</v>
      </c>
      <c r="X476" s="600" t="n"/>
      <c r="Y476" s="601" t="n">
        <v>11000</v>
      </c>
      <c r="Z476" s="601" t="n"/>
      <c r="AA476" s="602">
        <f>Y476-Z476</f>
        <v/>
      </c>
      <c r="AB476" s="599">
        <f>(S476-V476)*V476*W476*0.024653*Y476/1000000</f>
        <v/>
      </c>
      <c r="AC476" s="599">
        <f>(S476-V476)*V476*W476*0.024653*Z476/1000000</f>
        <v/>
      </c>
      <c r="AD476" s="599">
        <f>AB476-AC476</f>
        <v/>
      </c>
      <c r="AE476" s="10" t="n"/>
      <c r="AF476" s="10" t="n"/>
      <c r="AG476" s="10" t="n"/>
      <c r="AH476" s="10" t="n"/>
      <c r="AI476" s="121" t="n"/>
    </row>
    <row r="477" hidden="1" s="584">
      <c r="A477" s="594" t="n">
        <v>561</v>
      </c>
      <c r="B477" s="5" t="inlineStr">
        <is>
          <t>Hosur</t>
        </is>
      </c>
      <c r="C477" s="601" t="inlineStr">
        <is>
          <t>SRI BALAJI GEARS V3</t>
        </is>
      </c>
      <c r="D477" s="601" t="n"/>
      <c r="E477" s="601" t="n">
        <v>188595</v>
      </c>
      <c r="F477" s="9" t="n">
        <v>3572038</v>
      </c>
      <c r="G477" s="601" t="inlineStr">
        <is>
          <t>TUB-S-AW-AUT-19.00X19.00X1.000X1.2460</t>
        </is>
      </c>
      <c r="H477" s="601" t="inlineStr">
        <is>
          <t>CRFH</t>
        </is>
      </c>
      <c r="I477" s="601" t="n"/>
      <c r="J477" s="601" t="inlineStr">
        <is>
          <t>PE</t>
        </is>
      </c>
      <c r="K477" s="601" t="n"/>
      <c r="L477" s="601" t="n"/>
      <c r="M477" s="601" t="n"/>
      <c r="N477" s="601" t="n"/>
      <c r="O477" s="601" t="n"/>
      <c r="P477" s="557">
        <f>CONCATENATE(schedule13[[#This Row],[OD]],"-",schedule13[[#This Row],[ID]],"-",schedule13[[#This Row],[TICKNESS]],"-",schedule13[[#This Row],[GRADE]],"-",schedule13[[#This Row],[FC/NFC]])</f>
        <v/>
      </c>
      <c r="Q477" s="557" t="n"/>
      <c r="R477" s="557" t="n"/>
      <c r="S477" s="599" t="n">
        <v>23.42</v>
      </c>
      <c r="T477" s="599" t="n">
        <v>19</v>
      </c>
      <c r="U477" s="599" t="n">
        <v>19</v>
      </c>
      <c r="V477" s="599" t="n">
        <v>1</v>
      </c>
      <c r="W477" s="600" t="n">
        <v>1246</v>
      </c>
      <c r="X477" s="600" t="n"/>
      <c r="Y477" s="601" t="n">
        <v>5500</v>
      </c>
      <c r="Z477" s="601" t="n"/>
      <c r="AA477" s="602">
        <f>Y477-Z477</f>
        <v/>
      </c>
      <c r="AB477" s="599">
        <f>(S477-V477)*V477*W477*0.024653*Y477/1000000</f>
        <v/>
      </c>
      <c r="AC477" s="599">
        <f>(S477-V477)*V477*W477*0.024653*Z477/1000000</f>
        <v/>
      </c>
      <c r="AD477" s="599">
        <f>AB477-AC477</f>
        <v/>
      </c>
      <c r="AE477" s="10" t="n"/>
      <c r="AF477" s="10" t="n"/>
      <c r="AG477" s="10" t="n"/>
      <c r="AH477" s="10" t="n"/>
      <c r="AI477" s="121" t="n"/>
    </row>
    <row r="478" hidden="1" s="584">
      <c r="A478" s="594" t="n">
        <v>562</v>
      </c>
      <c r="B478" s="5" t="inlineStr">
        <is>
          <t>Hosur</t>
        </is>
      </c>
      <c r="C478" s="601" t="inlineStr">
        <is>
          <t>SRI BALAJI GEARS V3</t>
        </is>
      </c>
      <c r="D478" s="601" t="n"/>
      <c r="E478" s="601" t="n">
        <v>188595</v>
      </c>
      <c r="F478" s="9" t="n">
        <v>3931837</v>
      </c>
      <c r="G478" s="601" t="inlineStr">
        <is>
          <t>CUT-R-AW-AUT-19.00X19.00X1.000X1.1500</t>
        </is>
      </c>
      <c r="H478" s="601" t="inlineStr">
        <is>
          <t>CRFH</t>
        </is>
      </c>
      <c r="I478" s="601" t="n"/>
      <c r="J478" s="601" t="inlineStr">
        <is>
          <t>PE</t>
        </is>
      </c>
      <c r="K478" s="601" t="n"/>
      <c r="L478" s="601" t="n"/>
      <c r="M478" s="601" t="n"/>
      <c r="N478" s="601" t="n"/>
      <c r="O478" s="601" t="n"/>
      <c r="P478" s="557">
        <f>CONCATENATE(schedule13[[#This Row],[OD]],"-",schedule13[[#This Row],[ID]],"-",schedule13[[#This Row],[TICKNESS]],"-",schedule13[[#This Row],[GRADE]],"-",schedule13[[#This Row],[FC/NFC]])</f>
        <v/>
      </c>
      <c r="Q478" s="557" t="n"/>
      <c r="R478" s="557" t="n"/>
      <c r="S478" s="599" t="n">
        <v>23.42</v>
      </c>
      <c r="T478" s="599" t="n">
        <v>19</v>
      </c>
      <c r="U478" s="599" t="n">
        <v>19</v>
      </c>
      <c r="V478" s="599" t="n">
        <v>1</v>
      </c>
      <c r="W478" s="600" t="n">
        <v>1150</v>
      </c>
      <c r="X478" s="600" t="n"/>
      <c r="Y478" s="601" t="n">
        <v>5500</v>
      </c>
      <c r="Z478" s="601" t="n"/>
      <c r="AA478" s="602">
        <f>Y478-Z478</f>
        <v/>
      </c>
      <c r="AB478" s="599">
        <f>(S478-V478)*V478*W478*0.024653*Y478/1000000</f>
        <v/>
      </c>
      <c r="AC478" s="599">
        <f>(S478-V478)*V478*W478*0.024653*Z478/1000000</f>
        <v/>
      </c>
      <c r="AD478" s="599">
        <f>AB478-AC478</f>
        <v/>
      </c>
      <c r="AE478" s="10" t="n"/>
      <c r="AF478" s="10" t="n"/>
      <c r="AG478" s="10" t="n"/>
      <c r="AH478" s="10" t="n"/>
      <c r="AI478" s="121" t="n"/>
    </row>
    <row r="479" hidden="1" s="584">
      <c r="A479" s="594" t="n">
        <v>563</v>
      </c>
      <c r="B479" s="5" t="inlineStr">
        <is>
          <t>Hosur</t>
        </is>
      </c>
      <c r="C479" s="601" t="inlineStr">
        <is>
          <t>SRI BALAJI GEARS V3</t>
        </is>
      </c>
      <c r="D479" s="601" t="n"/>
      <c r="E479" s="601" t="n">
        <v>188595</v>
      </c>
      <c r="F479" s="9" t="n">
        <v>3230492</v>
      </c>
      <c r="G479" s="601" t="inlineStr">
        <is>
          <t>TUB-S-AW-AUT-19.00X19.00X1.000X0.8800</t>
        </is>
      </c>
      <c r="H479" s="601" t="inlineStr">
        <is>
          <t>CRFH</t>
        </is>
      </c>
      <c r="I479" s="601" t="n"/>
      <c r="J479" s="601" t="inlineStr">
        <is>
          <t>PE</t>
        </is>
      </c>
      <c r="K479" s="601" t="n"/>
      <c r="L479" s="601" t="n"/>
      <c r="M479" s="601" t="n"/>
      <c r="N479" s="601" t="n"/>
      <c r="O479" s="601" t="n"/>
      <c r="P479" s="557">
        <f>CONCATENATE(schedule13[[#This Row],[OD]],"-",schedule13[[#This Row],[ID]],"-",schedule13[[#This Row],[TICKNESS]],"-",schedule13[[#This Row],[GRADE]],"-",schedule13[[#This Row],[FC/NFC]])</f>
        <v/>
      </c>
      <c r="Q479" s="557" t="n"/>
      <c r="R479" s="557" t="n"/>
      <c r="S479" s="599" t="n">
        <v>23.42</v>
      </c>
      <c r="T479" s="599" t="n">
        <v>19</v>
      </c>
      <c r="U479" s="599" t="n">
        <v>19</v>
      </c>
      <c r="V479" s="599" t="n">
        <v>1</v>
      </c>
      <c r="W479" s="600" t="n">
        <v>880</v>
      </c>
      <c r="X479" s="600" t="n"/>
      <c r="Y479" s="601" t="n">
        <v>11000</v>
      </c>
      <c r="Z479" s="601" t="n"/>
      <c r="AA479" s="602">
        <f>Y479-Z479</f>
        <v/>
      </c>
      <c r="AB479" s="599">
        <f>(S479-V479)*V479*W479*0.024653*Y479/1000000</f>
        <v/>
      </c>
      <c r="AC479" s="599">
        <f>(S479-V479)*V479*W479*0.024653*Z479/1000000</f>
        <v/>
      </c>
      <c r="AD479" s="599">
        <f>AB479-AC479</f>
        <v/>
      </c>
      <c r="AE479" s="10" t="n"/>
      <c r="AF479" s="10" t="n"/>
      <c r="AG479" s="10" t="n"/>
      <c r="AH479" s="10" t="n"/>
      <c r="AI479" s="121" t="n"/>
    </row>
    <row r="480" hidden="1" s="584">
      <c r="A480" s="594" t="n">
        <v>564</v>
      </c>
      <c r="B480" s="5" t="inlineStr">
        <is>
          <t>Hosur</t>
        </is>
      </c>
      <c r="C480" s="601" t="inlineStr">
        <is>
          <t>SRI BALAJI GEARS V3</t>
        </is>
      </c>
      <c r="D480" s="601" t="n"/>
      <c r="E480" s="601" t="n">
        <v>188595</v>
      </c>
      <c r="F480" s="9" t="n">
        <v>3233560</v>
      </c>
      <c r="G480" s="601" t="inlineStr">
        <is>
          <t>TUB-S-AW-AUT-19.00X19.00X1.000X0.8750</t>
        </is>
      </c>
      <c r="H480" s="601" t="inlineStr">
        <is>
          <t>CRFH</t>
        </is>
      </c>
      <c r="I480" s="601" t="n"/>
      <c r="J480" s="601" t="inlineStr">
        <is>
          <t>PE</t>
        </is>
      </c>
      <c r="K480" s="601" t="n"/>
      <c r="L480" s="601" t="n"/>
      <c r="M480" s="601" t="n"/>
      <c r="N480" s="601" t="n"/>
      <c r="O480" s="601" t="n"/>
      <c r="P480" s="557">
        <f>CONCATENATE(schedule13[[#This Row],[OD]],"-",schedule13[[#This Row],[ID]],"-",schedule13[[#This Row],[TICKNESS]],"-",schedule13[[#This Row],[GRADE]],"-",schedule13[[#This Row],[FC/NFC]])</f>
        <v/>
      </c>
      <c r="Q480" s="557" t="n"/>
      <c r="R480" s="557" t="n"/>
      <c r="S480" s="599" t="n">
        <v>23.42</v>
      </c>
      <c r="T480" s="599" t="n">
        <v>19</v>
      </c>
      <c r="U480" s="599" t="n">
        <v>19</v>
      </c>
      <c r="V480" s="599" t="n">
        <v>1</v>
      </c>
      <c r="W480" s="600" t="n">
        <v>875</v>
      </c>
      <c r="X480" s="600" t="n"/>
      <c r="Y480" s="601" t="n">
        <v>11000</v>
      </c>
      <c r="Z480" s="601" t="n"/>
      <c r="AA480" s="602">
        <f>Y480-Z480</f>
        <v/>
      </c>
      <c r="AB480" s="599">
        <f>(S480-V480)*V480*W480*0.024653*Y480/1000000</f>
        <v/>
      </c>
      <c r="AC480" s="599">
        <f>(S480-V480)*V480*W480*0.024653*Z480/1000000</f>
        <v/>
      </c>
      <c r="AD480" s="599">
        <f>AB480-AC480</f>
        <v/>
      </c>
      <c r="AE480" s="10" t="n"/>
      <c r="AF480" s="10" t="n"/>
      <c r="AG480" s="10" t="n"/>
      <c r="AH480" s="10" t="n"/>
      <c r="AI480" s="121" t="n"/>
    </row>
    <row r="481" hidden="1" s="584">
      <c r="A481" s="594" t="n">
        <v>565</v>
      </c>
      <c r="B481" s="5" t="inlineStr">
        <is>
          <t>Hosur</t>
        </is>
      </c>
      <c r="C481" s="601" t="inlineStr">
        <is>
          <t>SRI BALAJI GEARS V3</t>
        </is>
      </c>
      <c r="D481" s="601" t="n"/>
      <c r="E481" s="601" t="n">
        <v>188595</v>
      </c>
      <c r="F481" s="9" t="n">
        <v>3230485</v>
      </c>
      <c r="G481" s="601" t="inlineStr">
        <is>
          <t>TUB-S-AW-AUT-19.00X19.00X1.000X0.8400</t>
        </is>
      </c>
      <c r="H481" s="601" t="inlineStr">
        <is>
          <t>CRFH</t>
        </is>
      </c>
      <c r="I481" s="601" t="n"/>
      <c r="J481" s="601" t="inlineStr">
        <is>
          <t>PE</t>
        </is>
      </c>
      <c r="K481" s="601" t="n"/>
      <c r="L481" s="601" t="n"/>
      <c r="M481" s="601" t="n"/>
      <c r="N481" s="601" t="n"/>
      <c r="O481" s="601" t="n"/>
      <c r="P481" s="557">
        <f>CONCATENATE(schedule13[[#This Row],[OD]],"-",schedule13[[#This Row],[ID]],"-",schedule13[[#This Row],[TICKNESS]],"-",schedule13[[#This Row],[GRADE]],"-",schedule13[[#This Row],[FC/NFC]])</f>
        <v/>
      </c>
      <c r="Q481" s="557" t="n"/>
      <c r="R481" s="557" t="n"/>
      <c r="S481" s="599" t="n">
        <v>23.42</v>
      </c>
      <c r="T481" s="599" t="n">
        <v>19</v>
      </c>
      <c r="U481" s="599" t="n">
        <v>19</v>
      </c>
      <c r="V481" s="599" t="n">
        <v>1</v>
      </c>
      <c r="W481" s="600" t="n">
        <v>840</v>
      </c>
      <c r="X481" s="600" t="n"/>
      <c r="Y481" s="601" t="n">
        <v>11000</v>
      </c>
      <c r="Z481" s="601" t="n"/>
      <c r="AA481" s="602">
        <f>Y481-Z481</f>
        <v/>
      </c>
      <c r="AB481" s="599">
        <f>(S481-V481)*V481*W481*0.024653*Y481/1000000</f>
        <v/>
      </c>
      <c r="AC481" s="599">
        <f>(S481-V481)*V481*W481*0.024653*Z481/1000000</f>
        <v/>
      </c>
      <c r="AD481" s="599">
        <f>AB481-AC481</f>
        <v/>
      </c>
      <c r="AE481" s="10" t="n"/>
      <c r="AF481" s="10" t="n"/>
      <c r="AG481" s="10" t="n"/>
      <c r="AH481" s="10" t="n"/>
      <c r="AI481" s="121" t="n"/>
    </row>
    <row r="482" hidden="1" s="584">
      <c r="A482" s="594" t="n">
        <v>566</v>
      </c>
      <c r="B482" s="5" t="inlineStr">
        <is>
          <t>Hosur</t>
        </is>
      </c>
      <c r="C482" s="601" t="inlineStr">
        <is>
          <t>SRI BALAJI GEARS V3</t>
        </is>
      </c>
      <c r="D482" s="601" t="n"/>
      <c r="E482" s="601" t="n">
        <v>188595</v>
      </c>
      <c r="F482" s="9" t="n">
        <v>3931836</v>
      </c>
      <c r="G482" s="601" t="inlineStr">
        <is>
          <t>CUT-R-AW-AUT-19.00X19.00X1.000X0.8000</t>
        </is>
      </c>
      <c r="H482" s="601" t="inlineStr">
        <is>
          <t>CRFH</t>
        </is>
      </c>
      <c r="I482" s="601" t="n"/>
      <c r="J482" s="601" t="inlineStr">
        <is>
          <t>PE</t>
        </is>
      </c>
      <c r="K482" s="601" t="n"/>
      <c r="L482" s="601" t="n"/>
      <c r="M482" s="601" t="n"/>
      <c r="N482" s="601" t="n"/>
      <c r="O482" s="601" t="n"/>
      <c r="P482" s="557">
        <f>CONCATENATE(schedule13[[#This Row],[OD]],"-",schedule13[[#This Row],[ID]],"-",schedule13[[#This Row],[TICKNESS]],"-",schedule13[[#This Row],[GRADE]],"-",schedule13[[#This Row],[FC/NFC]])</f>
        <v/>
      </c>
      <c r="Q482" s="557" t="n"/>
      <c r="R482" s="557" t="n"/>
      <c r="S482" s="599" t="n">
        <v>23.42</v>
      </c>
      <c r="T482" s="599" t="n">
        <v>19</v>
      </c>
      <c r="U482" s="599" t="n">
        <v>19</v>
      </c>
      <c r="V482" s="599" t="n">
        <v>1</v>
      </c>
      <c r="W482" s="600" t="n">
        <v>800</v>
      </c>
      <c r="X482" s="600" t="n"/>
      <c r="Y482" s="601" t="n">
        <v>11000</v>
      </c>
      <c r="Z482" s="601" t="n"/>
      <c r="AA482" s="602">
        <f>Y482-Z482</f>
        <v/>
      </c>
      <c r="AB482" s="599">
        <f>(S482-V482)*V482*W482*0.024653*Y482/1000000</f>
        <v/>
      </c>
      <c r="AC482" s="599">
        <f>(S482-V482)*V482*W482*0.024653*Z482/1000000</f>
        <v/>
      </c>
      <c r="AD482" s="599">
        <f>AB482-AC482</f>
        <v/>
      </c>
      <c r="AE482" s="10" t="n"/>
      <c r="AF482" s="10" t="n"/>
      <c r="AG482" s="10" t="n"/>
      <c r="AH482" s="10" t="n"/>
      <c r="AI482" s="121" t="n"/>
    </row>
    <row r="483" hidden="1" s="584">
      <c r="A483" s="594" t="n">
        <v>567</v>
      </c>
      <c r="B483" s="5" t="inlineStr">
        <is>
          <t>Hosur</t>
        </is>
      </c>
      <c r="C483" s="601" t="inlineStr">
        <is>
          <t>SRI BALAJI GEARS V3</t>
        </is>
      </c>
      <c r="D483" s="601" t="n"/>
      <c r="E483" s="601" t="n">
        <v>188595</v>
      </c>
      <c r="F483" s="9" t="n">
        <v>3230488</v>
      </c>
      <c r="G483" s="601" t="inlineStr">
        <is>
          <t>TUB-S-AW-AUT-19.00X19.00X1.000X0.4700</t>
        </is>
      </c>
      <c r="H483" s="601" t="inlineStr">
        <is>
          <t>CRFH</t>
        </is>
      </c>
      <c r="I483" s="601" t="n"/>
      <c r="J483" s="601" t="inlineStr">
        <is>
          <t>PE</t>
        </is>
      </c>
      <c r="K483" s="601" t="n"/>
      <c r="L483" s="601" t="n"/>
      <c r="M483" s="601" t="n"/>
      <c r="N483" s="601" t="n"/>
      <c r="O483" s="601" t="n"/>
      <c r="P483" s="557">
        <f>CONCATENATE(schedule13[[#This Row],[OD]],"-",schedule13[[#This Row],[ID]],"-",schedule13[[#This Row],[TICKNESS]],"-",schedule13[[#This Row],[GRADE]],"-",schedule13[[#This Row],[FC/NFC]])</f>
        <v/>
      </c>
      <c r="Q483" s="557" t="n"/>
      <c r="R483" s="557" t="n"/>
      <c r="S483" s="599" t="n">
        <v>23.42</v>
      </c>
      <c r="T483" s="599" t="n">
        <v>19</v>
      </c>
      <c r="U483" s="599" t="n">
        <v>19</v>
      </c>
      <c r="V483" s="599" t="n">
        <v>1</v>
      </c>
      <c r="W483" s="600" t="n">
        <v>470</v>
      </c>
      <c r="X483" s="600" t="n"/>
      <c r="Y483" s="601" t="n">
        <v>11000</v>
      </c>
      <c r="Z483" s="601" t="n"/>
      <c r="AA483" s="602">
        <f>Y483-Z483</f>
        <v/>
      </c>
      <c r="AB483" s="599">
        <f>(S483-V483)*V483*W483*0.024653*Y483/1000000</f>
        <v/>
      </c>
      <c r="AC483" s="599">
        <f>(S483-V483)*V483*W483*0.024653*Z483/1000000</f>
        <v/>
      </c>
      <c r="AD483" s="599">
        <f>AB483-AC483</f>
        <v/>
      </c>
      <c r="AE483" s="10" t="n"/>
      <c r="AF483" s="10" t="n"/>
      <c r="AG483" s="10" t="n"/>
      <c r="AH483" s="10" t="n"/>
      <c r="AI483" s="121" t="n"/>
    </row>
    <row r="484" hidden="1" s="584">
      <c r="A484" s="594" t="n">
        <v>568</v>
      </c>
      <c r="B484" s="5" t="inlineStr">
        <is>
          <t>Hosur</t>
        </is>
      </c>
      <c r="C484" s="601" t="inlineStr">
        <is>
          <t>SRI BALAJI GEARS V3</t>
        </is>
      </c>
      <c r="D484" s="601" t="n"/>
      <c r="E484" s="601" t="n">
        <v>188595</v>
      </c>
      <c r="F484" s="9" t="n">
        <v>3230487</v>
      </c>
      <c r="G484" s="601" t="inlineStr">
        <is>
          <t>TUB-S-AW-AUT-19.00X19.00X1.000X0.4000</t>
        </is>
      </c>
      <c r="H484" s="601" t="inlineStr">
        <is>
          <t>CRFH</t>
        </is>
      </c>
      <c r="I484" s="601" t="n"/>
      <c r="J484" s="601" t="inlineStr">
        <is>
          <t>PE</t>
        </is>
      </c>
      <c r="K484" s="601" t="n"/>
      <c r="L484" s="601" t="n"/>
      <c r="M484" s="601" t="n"/>
      <c r="N484" s="601" t="n"/>
      <c r="O484" s="601" t="n"/>
      <c r="P484" s="557">
        <f>CONCATENATE(schedule13[[#This Row],[OD]],"-",schedule13[[#This Row],[ID]],"-",schedule13[[#This Row],[TICKNESS]],"-",schedule13[[#This Row],[GRADE]],"-",schedule13[[#This Row],[FC/NFC]])</f>
        <v/>
      </c>
      <c r="Q484" s="557" t="n"/>
      <c r="R484" s="557" t="n"/>
      <c r="S484" s="599" t="n">
        <v>23.42</v>
      </c>
      <c r="T484" s="599" t="n">
        <v>19</v>
      </c>
      <c r="U484" s="599" t="n">
        <v>19</v>
      </c>
      <c r="V484" s="599" t="n">
        <v>1</v>
      </c>
      <c r="W484" s="600" t="n">
        <v>400</v>
      </c>
      <c r="X484" s="600" t="n"/>
      <c r="Y484" s="601" t="n">
        <v>22000</v>
      </c>
      <c r="Z484" s="601" t="n"/>
      <c r="AA484" s="602">
        <f>Y484-Z484</f>
        <v/>
      </c>
      <c r="AB484" s="599">
        <f>(S484-V484)*V484*W484*0.024653*Y484/1000000</f>
        <v/>
      </c>
      <c r="AC484" s="599">
        <f>(S484-V484)*V484*W484*0.024653*Z484/1000000</f>
        <v/>
      </c>
      <c r="AD484" s="599">
        <f>AB484-AC484</f>
        <v/>
      </c>
      <c r="AE484" s="10" t="n"/>
      <c r="AF484" s="10" t="n"/>
      <c r="AG484" s="10" t="n"/>
      <c r="AH484" s="10" t="n"/>
      <c r="AI484" s="121" t="n"/>
    </row>
    <row r="485" hidden="1" s="584">
      <c r="A485" s="594" t="n">
        <v>569</v>
      </c>
      <c r="B485" s="5" t="inlineStr">
        <is>
          <t>Hosur</t>
        </is>
      </c>
      <c r="C485" s="601" t="inlineStr">
        <is>
          <t>SRI BALAJI GEARS V3</t>
        </is>
      </c>
      <c r="D485" s="601" t="n"/>
      <c r="E485" s="601" t="n">
        <v>188595</v>
      </c>
      <c r="F485" s="9" t="n">
        <v>3230490</v>
      </c>
      <c r="G485" s="601" t="inlineStr">
        <is>
          <t>TUB-S-AW-AUT-19.00X19.00X1.000X0.3550</t>
        </is>
      </c>
      <c r="H485" s="601" t="inlineStr">
        <is>
          <t>CRFH</t>
        </is>
      </c>
      <c r="I485" s="601" t="n"/>
      <c r="J485" s="601" t="inlineStr">
        <is>
          <t>PE</t>
        </is>
      </c>
      <c r="K485" s="601" t="n"/>
      <c r="L485" s="601" t="n"/>
      <c r="M485" s="601" t="n"/>
      <c r="N485" s="601" t="n"/>
      <c r="O485" s="601" t="n"/>
      <c r="P485" s="557">
        <f>CONCATENATE(schedule13[[#This Row],[OD]],"-",schedule13[[#This Row],[ID]],"-",schedule13[[#This Row],[TICKNESS]],"-",schedule13[[#This Row],[GRADE]],"-",schedule13[[#This Row],[FC/NFC]])</f>
        <v/>
      </c>
      <c r="Q485" s="557" t="n"/>
      <c r="R485" s="557" t="n"/>
      <c r="S485" s="599" t="n">
        <v>23.42</v>
      </c>
      <c r="T485" s="599" t="n">
        <v>19</v>
      </c>
      <c r="U485" s="599" t="n">
        <v>19</v>
      </c>
      <c r="V485" s="599" t="n">
        <v>1</v>
      </c>
      <c r="W485" s="600" t="n">
        <v>355</v>
      </c>
      <c r="X485" s="600" t="n"/>
      <c r="Y485" s="601" t="n">
        <v>11000</v>
      </c>
      <c r="Z485" s="601" t="n"/>
      <c r="AA485" s="602">
        <f>Y485-Z485</f>
        <v/>
      </c>
      <c r="AB485" s="599">
        <f>(S485-V485)*V485*W485*0.024653*Y485/1000000</f>
        <v/>
      </c>
      <c r="AC485" s="599">
        <f>(S485-V485)*V485*W485*0.024653*Z485/1000000</f>
        <v/>
      </c>
      <c r="AD485" s="599">
        <f>AB485-AC485</f>
        <v/>
      </c>
      <c r="AE485" s="10" t="n"/>
      <c r="AF485" s="10" t="n"/>
      <c r="AG485" s="10" t="n"/>
      <c r="AH485" s="10" t="n"/>
      <c r="AI485" s="121" t="n"/>
    </row>
    <row r="486" hidden="1" ht="17.25" customHeight="1" s="584">
      <c r="A486" s="594" t="n">
        <v>570</v>
      </c>
      <c r="B486" s="5" t="inlineStr">
        <is>
          <t>Hosur</t>
        </is>
      </c>
      <c r="C486" s="601" t="inlineStr">
        <is>
          <t>SRI BALAJI GEARS V3</t>
        </is>
      </c>
      <c r="D486" s="601" t="n"/>
      <c r="E486" s="601" t="n">
        <v>188595</v>
      </c>
      <c r="F486" s="9" t="n">
        <v>3230486</v>
      </c>
      <c r="G486" s="601" t="inlineStr">
        <is>
          <t>TUB-S-AW-AUT-19.00X19.00X1.000X0.1500</t>
        </is>
      </c>
      <c r="H486" s="601" t="inlineStr">
        <is>
          <t>CRFH</t>
        </is>
      </c>
      <c r="I486" s="601" t="n"/>
      <c r="J486" s="601" t="inlineStr">
        <is>
          <t>PE</t>
        </is>
      </c>
      <c r="K486" s="601" t="n"/>
      <c r="L486" s="601" t="n"/>
      <c r="M486" s="601" t="n"/>
      <c r="N486" s="601" t="n"/>
      <c r="O486" s="601" t="n"/>
      <c r="P486" s="557">
        <f>CONCATENATE(schedule13[[#This Row],[OD]],"-",schedule13[[#This Row],[ID]],"-",schedule13[[#This Row],[TICKNESS]],"-",schedule13[[#This Row],[GRADE]],"-",schedule13[[#This Row],[FC/NFC]])</f>
        <v/>
      </c>
      <c r="Q486" s="557" t="n"/>
      <c r="R486" s="557" t="n"/>
      <c r="S486" s="599" t="n">
        <v>23.42</v>
      </c>
      <c r="T486" s="599" t="n">
        <v>19</v>
      </c>
      <c r="U486" s="599" t="n">
        <v>19</v>
      </c>
      <c r="V486" s="599" t="n">
        <v>1</v>
      </c>
      <c r="W486" s="600" t="n">
        <v>150</v>
      </c>
      <c r="X486" s="600" t="n"/>
      <c r="Y486" s="601" t="n">
        <v>22000</v>
      </c>
      <c r="Z486" s="601" t="n"/>
      <c r="AA486" s="602">
        <f>Y486-Z486</f>
        <v/>
      </c>
      <c r="AB486" s="599">
        <f>(S486-V486)*V486*W486*0.024653*Y486/1000000</f>
        <v/>
      </c>
      <c r="AC486" s="599">
        <f>(S486-V486)*V486*W486*0.024653*Z486/1000000</f>
        <v/>
      </c>
      <c r="AD486" s="599">
        <f>AB486-AC486</f>
        <v/>
      </c>
      <c r="AE486" s="10" t="n"/>
      <c r="AF486" s="10" t="n"/>
      <c r="AG486" s="10" t="n"/>
      <c r="AH486" s="10" t="n"/>
      <c r="AI486" s="121" t="n"/>
      <c r="AJ486" s="83" t="n">
        <v>9518489934</v>
      </c>
    </row>
    <row r="487" hidden="1" s="584">
      <c r="A487" s="594" t="n">
        <v>571</v>
      </c>
      <c r="B487" s="78" t="inlineStr">
        <is>
          <t>Hosur</t>
        </is>
      </c>
      <c r="C487" s="596" t="inlineStr">
        <is>
          <t>SRI BALAJI GEARS V3</t>
        </is>
      </c>
      <c r="D487" s="596" t="n"/>
      <c r="E487" s="596" t="n">
        <v>188595</v>
      </c>
      <c r="F487" s="87" t="n">
        <v>3938687</v>
      </c>
      <c r="G487" s="596" t="inlineStr">
        <is>
          <t>TUB-S-AW-AUT-19.00X19.00X1.000X0.1290</t>
        </is>
      </c>
      <c r="H487" s="596" t="inlineStr">
        <is>
          <t>CRFH</t>
        </is>
      </c>
      <c r="I487" s="596" t="n"/>
      <c r="J487" s="596" t="inlineStr">
        <is>
          <t>PE</t>
        </is>
      </c>
      <c r="K487" s="596" t="n"/>
      <c r="L487" s="596" t="n"/>
      <c r="M487" s="596" t="n"/>
      <c r="N487" s="596" t="n"/>
      <c r="O487" s="596" t="n"/>
      <c r="P487" s="557">
        <f>CONCATENATE(schedule13[[#This Row],[OD]],"-",schedule13[[#This Row],[ID]],"-",schedule13[[#This Row],[TICKNESS]],"-",schedule13[[#This Row],[GRADE]],"-",schedule13[[#This Row],[FC/NFC]])</f>
        <v/>
      </c>
      <c r="Q487" s="557" t="n"/>
      <c r="R487" s="557" t="n"/>
      <c r="S487" s="79" t="n">
        <v>23.42</v>
      </c>
      <c r="T487" s="79" t="n">
        <v>19</v>
      </c>
      <c r="U487" s="79" t="n">
        <v>19</v>
      </c>
      <c r="V487" s="79" t="n">
        <v>1</v>
      </c>
      <c r="W487" s="81" t="n">
        <v>129</v>
      </c>
      <c r="X487" s="81" t="n"/>
      <c r="Y487" s="601" t="n">
        <v>11000</v>
      </c>
      <c r="Z487" s="596" t="n"/>
      <c r="AA487" s="82">
        <f>Y487-Z487</f>
        <v/>
      </c>
      <c r="AB487" s="79">
        <f>(S487-V487)*V487*W487*0.024653*Y487/1000000</f>
        <v/>
      </c>
      <c r="AC487" s="599">
        <f>(S487-V487)*V487*W487*0.024653*Z487/1000000</f>
        <v/>
      </c>
      <c r="AD487" s="599">
        <f>AB487-AC487</f>
        <v/>
      </c>
      <c r="AE487" s="10" t="n"/>
      <c r="AF487" s="10" t="n"/>
      <c r="AG487" s="10" t="n"/>
      <c r="AH487" s="10" t="n"/>
      <c r="AI487" s="121" t="n"/>
    </row>
    <row r="488" hidden="1" s="584">
      <c r="A488" s="594" t="n">
        <v>572</v>
      </c>
      <c r="B488" s="5" t="inlineStr">
        <is>
          <t>Hosur</t>
        </is>
      </c>
      <c r="C488" s="601" t="inlineStr">
        <is>
          <t>SRI BALAJI GEARS V3</t>
        </is>
      </c>
      <c r="D488" s="601" t="n"/>
      <c r="E488" s="601" t="n">
        <v>188595</v>
      </c>
      <c r="F488" s="9" t="n">
        <v>3931835</v>
      </c>
      <c r="G488" s="601" t="inlineStr">
        <is>
          <t>CUT-R-AW-AUT-19.00X19.00X1.000X0.1100</t>
        </is>
      </c>
      <c r="H488" s="601" t="inlineStr">
        <is>
          <t>CRFH</t>
        </is>
      </c>
      <c r="I488" s="601" t="n"/>
      <c r="J488" s="601" t="inlineStr">
        <is>
          <t>PE</t>
        </is>
      </c>
      <c r="K488" s="601" t="n"/>
      <c r="L488" s="601" t="n"/>
      <c r="M488" s="601" t="n"/>
      <c r="N488" s="601" t="n"/>
      <c r="O488" s="601" t="n"/>
      <c r="P488" s="557">
        <f>CONCATENATE(schedule13[[#This Row],[OD]],"-",schedule13[[#This Row],[ID]],"-",schedule13[[#This Row],[TICKNESS]],"-",schedule13[[#This Row],[GRADE]],"-",schedule13[[#This Row],[FC/NFC]])</f>
        <v/>
      </c>
      <c r="Q488" s="557" t="n"/>
      <c r="R488" s="557" t="n"/>
      <c r="S488" s="599" t="n">
        <v>23.42</v>
      </c>
      <c r="T488" s="599" t="n">
        <v>19</v>
      </c>
      <c r="U488" s="599" t="n">
        <v>19</v>
      </c>
      <c r="V488" s="599" t="n">
        <v>1</v>
      </c>
      <c r="W488" s="600" t="n">
        <v>110</v>
      </c>
      <c r="X488" s="600" t="n"/>
      <c r="Y488" s="601" t="n">
        <v>11000</v>
      </c>
      <c r="Z488" s="601" t="n"/>
      <c r="AA488" s="602">
        <f>Y488-Z488</f>
        <v/>
      </c>
      <c r="AB488" s="599">
        <f>(S488-V488)*V488*W488*0.024653*Y488/1000000</f>
        <v/>
      </c>
      <c r="AC488" s="599">
        <f>(S488-V488)*V488*W488*0.024653*Z488/1000000</f>
        <v/>
      </c>
      <c r="AD488" s="599">
        <f>AB488-AC488</f>
        <v/>
      </c>
      <c r="AE488" s="10" t="n"/>
      <c r="AF488" s="10" t="n"/>
      <c r="AG488" s="10" t="n"/>
      <c r="AH488" s="10" t="n"/>
      <c r="AI488" s="121" t="n"/>
    </row>
    <row r="489" hidden="1" customFormat="1" s="80">
      <c r="A489" s="594" t="n">
        <v>573</v>
      </c>
      <c r="B489" s="5" t="inlineStr">
        <is>
          <t>Hosur</t>
        </is>
      </c>
      <c r="C489" s="601" t="inlineStr">
        <is>
          <t>SRI BALAJI GEARS V3</t>
        </is>
      </c>
      <c r="D489" s="601" t="n"/>
      <c r="E489" s="601" t="n">
        <v>188595</v>
      </c>
      <c r="F489" s="9" t="n">
        <v>3931834</v>
      </c>
      <c r="G489" s="601" t="inlineStr">
        <is>
          <t>HT1-R-AW-AUT-19.00X19.00X1.000X0.1000</t>
        </is>
      </c>
      <c r="H489" s="601" t="inlineStr">
        <is>
          <t>CRFH</t>
        </is>
      </c>
      <c r="I489" s="601" t="n"/>
      <c r="J489" s="601" t="inlineStr">
        <is>
          <t>PE</t>
        </is>
      </c>
      <c r="K489" s="601" t="n"/>
      <c r="L489" s="601" t="n"/>
      <c r="M489" s="601" t="n"/>
      <c r="N489" s="601" t="n"/>
      <c r="O489" s="601" t="n"/>
      <c r="P489" s="557">
        <f>CONCATENATE(schedule13[[#This Row],[OD]],"-",schedule13[[#This Row],[ID]],"-",schedule13[[#This Row],[TICKNESS]],"-",schedule13[[#This Row],[GRADE]],"-",schedule13[[#This Row],[FC/NFC]])</f>
        <v/>
      </c>
      <c r="Q489" s="557" t="n"/>
      <c r="R489" s="557" t="n"/>
      <c r="S489" s="599" t="n">
        <v>23.42</v>
      </c>
      <c r="T489" s="599" t="n">
        <v>19</v>
      </c>
      <c r="U489" s="599" t="n">
        <v>19</v>
      </c>
      <c r="V489" s="599" t="n">
        <v>1</v>
      </c>
      <c r="W489" s="600" t="n">
        <v>100</v>
      </c>
      <c r="X489" s="600" t="n"/>
      <c r="Y489" s="601" t="n">
        <v>11000</v>
      </c>
      <c r="Z489" s="601" t="n"/>
      <c r="AA489" s="602">
        <f>Y489-Z489</f>
        <v/>
      </c>
      <c r="AB489" s="599">
        <f>(S489-V489)*V489*W489*0.024653*Y489/1000000</f>
        <v/>
      </c>
      <c r="AC489" s="599">
        <f>(S489-V489)*V489*W489*0.024653*Z489/1000000</f>
        <v/>
      </c>
      <c r="AD489" s="599">
        <f>AB489-AC489</f>
        <v/>
      </c>
      <c r="AE489" s="10" t="n"/>
      <c r="AF489" s="10" t="n"/>
      <c r="AG489" s="10" t="n"/>
      <c r="AH489" s="10" t="n"/>
      <c r="AI489" s="121" t="n"/>
    </row>
    <row r="490" hidden="1" customFormat="1" s="80">
      <c r="A490" s="594" t="n">
        <v>574</v>
      </c>
      <c r="B490" s="5" t="inlineStr">
        <is>
          <t>Hosur</t>
        </is>
      </c>
      <c r="C490" s="601" t="inlineStr">
        <is>
          <t>SRI BALAJI GEARS V3</t>
        </is>
      </c>
      <c r="D490" s="601" t="n"/>
      <c r="E490" s="601" t="n">
        <v>188595</v>
      </c>
      <c r="F490" s="84" t="n">
        <v>3935311</v>
      </c>
      <c r="G490" s="601" t="inlineStr">
        <is>
          <t>CUT-S-AW-AUT-25.00X25.00X1.200X1.2980</t>
        </is>
      </c>
      <c r="H490" s="601" t="inlineStr">
        <is>
          <t>CRFH</t>
        </is>
      </c>
      <c r="I490" s="601" t="n"/>
      <c r="J490" s="601" t="inlineStr">
        <is>
          <t>PE</t>
        </is>
      </c>
      <c r="K490" s="601" t="n"/>
      <c r="L490" s="601" t="n"/>
      <c r="M490" s="601" t="n"/>
      <c r="N490" s="601" t="n"/>
      <c r="O490" s="601" t="n"/>
      <c r="P490" s="557">
        <f>CONCATENATE(schedule13[[#This Row],[OD]],"-",schedule13[[#This Row],[ID]],"-",schedule13[[#This Row],[TICKNESS]],"-",schedule13[[#This Row],[GRADE]],"-",schedule13[[#This Row],[FC/NFC]])</f>
        <v/>
      </c>
      <c r="Q490" s="557" t="n"/>
      <c r="R490" s="557" t="n"/>
      <c r="S490" s="599" t="n">
        <v>31.75</v>
      </c>
      <c r="T490" s="599" t="n">
        <v>25</v>
      </c>
      <c r="U490" s="599" t="n">
        <v>25</v>
      </c>
      <c r="V490" s="599" t="n">
        <v>1.2</v>
      </c>
      <c r="W490" s="600" t="n">
        <v>1298</v>
      </c>
      <c r="X490" s="600" t="n"/>
      <c r="Y490" s="601" t="n">
        <v>5500</v>
      </c>
      <c r="Z490" s="601" t="n"/>
      <c r="AA490" s="602">
        <f>Y490-Z490</f>
        <v/>
      </c>
      <c r="AB490" s="599">
        <f>(S490-V490)*V490*W490*0.024653*Y490/1000000</f>
        <v/>
      </c>
      <c r="AC490" s="599">
        <f>(S490-V490)*V490*W490*0.024653*Z490/1000000</f>
        <v/>
      </c>
      <c r="AD490" s="599">
        <f>AB490-AC490</f>
        <v/>
      </c>
      <c r="AE490" s="10" t="n"/>
      <c r="AF490" s="10" t="n"/>
      <c r="AG490" s="10" t="n"/>
      <c r="AH490" s="10" t="n"/>
      <c r="AI490" s="121" t="n"/>
    </row>
    <row r="491" hidden="1" s="584">
      <c r="A491" s="594" t="n">
        <v>575</v>
      </c>
      <c r="B491" s="5" t="inlineStr">
        <is>
          <t>Hosur</t>
        </is>
      </c>
      <c r="C491" s="601" t="inlineStr">
        <is>
          <t>SRI BALAJI GEARS V3</t>
        </is>
      </c>
      <c r="D491" s="601" t="n"/>
      <c r="E491" s="601" t="n">
        <v>188595</v>
      </c>
      <c r="F491" s="9" t="n">
        <v>3230482</v>
      </c>
      <c r="G491" s="601" t="inlineStr">
        <is>
          <t>TUB-S-AW-AUT-25.00X25.00X1.200X0.7870</t>
        </is>
      </c>
      <c r="H491" s="601" t="inlineStr">
        <is>
          <t>CRFH</t>
        </is>
      </c>
      <c r="I491" s="601" t="n"/>
      <c r="J491" s="601" t="inlineStr">
        <is>
          <t>PE</t>
        </is>
      </c>
      <c r="K491" s="601" t="n"/>
      <c r="L491" s="601" t="n"/>
      <c r="M491" s="601" t="n"/>
      <c r="N491" s="601" t="n"/>
      <c r="O491" s="601" t="n"/>
      <c r="P491" s="557">
        <f>CONCATENATE(schedule13[[#This Row],[OD]],"-",schedule13[[#This Row],[ID]],"-",schedule13[[#This Row],[TICKNESS]],"-",schedule13[[#This Row],[GRADE]],"-",schedule13[[#This Row],[FC/NFC]])</f>
        <v/>
      </c>
      <c r="Q491" s="557" t="n"/>
      <c r="R491" s="557" t="n"/>
      <c r="S491" s="599" t="n">
        <v>31.75</v>
      </c>
      <c r="T491" s="599" t="n">
        <v>25</v>
      </c>
      <c r="U491" s="599" t="n">
        <v>25</v>
      </c>
      <c r="V491" s="599" t="n">
        <v>1.2</v>
      </c>
      <c r="W491" s="600" t="n">
        <v>787</v>
      </c>
      <c r="X491" s="600" t="n"/>
      <c r="Y491" s="601" t="n">
        <v>11000</v>
      </c>
      <c r="Z491" s="601" t="n"/>
      <c r="AA491" s="602">
        <f>Y491-Z491</f>
        <v/>
      </c>
      <c r="AB491" s="599">
        <f>(S491-V491)*V491*W491*0.024653*Y491/1000000</f>
        <v/>
      </c>
      <c r="AC491" s="599">
        <f>(S491-V491)*V491*W491*0.024653*Z491/1000000</f>
        <v/>
      </c>
      <c r="AD491" s="599">
        <f>AB491-AC491</f>
        <v/>
      </c>
      <c r="AE491" s="10" t="n"/>
      <c r="AF491" s="10" t="n"/>
      <c r="AG491" s="10" t="n"/>
      <c r="AH491" s="10" t="n"/>
      <c r="AI491" s="121" t="n"/>
    </row>
    <row r="492" hidden="1" s="584">
      <c r="A492" s="594" t="n">
        <v>576</v>
      </c>
      <c r="B492" s="5" t="inlineStr">
        <is>
          <t>Hosur</t>
        </is>
      </c>
      <c r="C492" s="601" t="inlineStr">
        <is>
          <t>SRI BALAJI GEARS V3</t>
        </is>
      </c>
      <c r="D492" s="601" t="n"/>
      <c r="E492" s="601" t="n">
        <v>188595</v>
      </c>
      <c r="F492" s="9" t="n">
        <v>1940850</v>
      </c>
      <c r="G492" s="601" t="inlineStr">
        <is>
          <t>TUB-S-AW-SHS-40.00X40.00X1.200X0.1400</t>
        </is>
      </c>
      <c r="H492" s="601" t="inlineStr">
        <is>
          <t>CRFH</t>
        </is>
      </c>
      <c r="I492" s="601" t="n"/>
      <c r="J492" s="601" t="inlineStr">
        <is>
          <t>PE</t>
        </is>
      </c>
      <c r="K492" s="601" t="n"/>
      <c r="L492" s="601" t="n"/>
      <c r="M492" s="601" t="n"/>
      <c r="N492" s="601" t="n"/>
      <c r="O492" s="601" t="n"/>
      <c r="P492" s="557">
        <f>CONCATENATE(schedule13[[#This Row],[OD]],"-",schedule13[[#This Row],[ID]],"-",schedule13[[#This Row],[TICKNESS]],"-",schedule13[[#This Row],[GRADE]],"-",schedule13[[#This Row],[FC/NFC]])</f>
        <v/>
      </c>
      <c r="Q492" s="557" t="n"/>
      <c r="R492" s="557" t="n"/>
      <c r="S492" s="599" t="n">
        <v>50.8</v>
      </c>
      <c r="T492" s="599" t="n">
        <v>40</v>
      </c>
      <c r="U492" s="599" t="n">
        <v>40</v>
      </c>
      <c r="V492" s="599" t="n">
        <v>1.2</v>
      </c>
      <c r="W492" s="600" t="n">
        <v>140</v>
      </c>
      <c r="X492" s="600" t="n"/>
      <c r="Y492" s="601" t="n">
        <v>11000</v>
      </c>
      <c r="Z492" s="601" t="n"/>
      <c r="AA492" s="602">
        <f>Y492-Z492</f>
        <v/>
      </c>
      <c r="AB492" s="599">
        <f>(S492-V492)*V492*W492*0.024653*Y492/1000000</f>
        <v/>
      </c>
      <c r="AC492" s="599">
        <f>(S492-V492)*V492*W492*0.024653*Z492/1000000</f>
        <v/>
      </c>
      <c r="AD492" s="599">
        <f>AB492-AC492</f>
        <v/>
      </c>
      <c r="AE492" s="10" t="n"/>
      <c r="AF492" s="10" t="n"/>
      <c r="AG492" s="10" t="n"/>
      <c r="AH492" s="10" t="n"/>
      <c r="AI492" s="121" t="n"/>
    </row>
    <row r="493" hidden="1" s="584">
      <c r="A493" s="594" t="n">
        <v>577</v>
      </c>
      <c r="B493" s="5" t="inlineStr">
        <is>
          <t>Hosur</t>
        </is>
      </c>
      <c r="C493" s="601" t="inlineStr">
        <is>
          <t>SRI BALAJI GEARS V3</t>
        </is>
      </c>
      <c r="D493" s="601" t="n"/>
      <c r="E493" s="601" t="n">
        <v>188595</v>
      </c>
      <c r="F493" s="9" t="n">
        <v>1940849</v>
      </c>
      <c r="G493" s="601" t="inlineStr">
        <is>
          <t>TUB-S-AW-SHS-40.00X40.00X1.200X0.1250</t>
        </is>
      </c>
      <c r="H493" s="601" t="inlineStr">
        <is>
          <t>CRFH</t>
        </is>
      </c>
      <c r="I493" s="601" t="n"/>
      <c r="J493" s="601" t="inlineStr">
        <is>
          <t>PE</t>
        </is>
      </c>
      <c r="K493" s="601" t="n"/>
      <c r="L493" s="601" t="n"/>
      <c r="M493" s="601" t="n"/>
      <c r="N493" s="601" t="n"/>
      <c r="O493" s="601" t="n"/>
      <c r="P493" s="557">
        <f>CONCATENATE(schedule13[[#This Row],[OD]],"-",schedule13[[#This Row],[ID]],"-",schedule13[[#This Row],[TICKNESS]],"-",schedule13[[#This Row],[GRADE]],"-",schedule13[[#This Row],[FC/NFC]])</f>
        <v/>
      </c>
      <c r="Q493" s="557" t="n"/>
      <c r="R493" s="557" t="n"/>
      <c r="S493" s="599" t="n">
        <v>50.8</v>
      </c>
      <c r="T493" s="599" t="n">
        <v>40</v>
      </c>
      <c r="U493" s="599" t="n">
        <v>40</v>
      </c>
      <c r="V493" s="599" t="n">
        <v>1.2</v>
      </c>
      <c r="W493" s="600" t="n">
        <v>125</v>
      </c>
      <c r="X493" s="600" t="n"/>
      <c r="Y493" s="601" t="n">
        <v>11000</v>
      </c>
      <c r="Z493" s="601" t="n"/>
      <c r="AA493" s="602">
        <f>Y493-Z493</f>
        <v/>
      </c>
      <c r="AB493" s="599">
        <f>(S493-V493)*V493*W493*0.024653*Y493/1000000</f>
        <v/>
      </c>
      <c r="AC493" s="599">
        <f>(S493-V493)*V493*W493*0.024653*Z493/1000000</f>
        <v/>
      </c>
      <c r="AD493" s="599">
        <f>AB493-AC493</f>
        <v/>
      </c>
      <c r="AE493" s="10" t="n"/>
      <c r="AF493" s="10" t="n"/>
      <c r="AG493" s="10" t="n"/>
      <c r="AH493" s="10" t="n"/>
      <c r="AI493" s="121" t="n"/>
    </row>
    <row r="494" hidden="1" s="584">
      <c r="A494" s="594" t="n">
        <v>578</v>
      </c>
      <c r="B494" s="5" t="inlineStr">
        <is>
          <t>Hosur</t>
        </is>
      </c>
      <c r="C494" s="601" t="inlineStr">
        <is>
          <t>SRI BALAJI GEARS V3</t>
        </is>
      </c>
      <c r="D494" s="601" t="n"/>
      <c r="E494" s="601" t="n">
        <v>188595</v>
      </c>
      <c r="F494" s="9" t="n">
        <v>3230495</v>
      </c>
      <c r="G494" s="601" t="inlineStr">
        <is>
          <t>TUB-S-AW-AUT-30.00X30.00X1.200X0.2200</t>
        </is>
      </c>
      <c r="H494" s="601" t="inlineStr">
        <is>
          <t>CRFH</t>
        </is>
      </c>
      <c r="I494" s="601" t="n"/>
      <c r="J494" s="601" t="inlineStr">
        <is>
          <t>PE</t>
        </is>
      </c>
      <c r="K494" s="601" t="n"/>
      <c r="L494" s="601" t="n"/>
      <c r="M494" s="601" t="n"/>
      <c r="N494" s="601" t="n"/>
      <c r="O494" s="601" t="n"/>
      <c r="P494" s="557">
        <f>CONCATENATE(schedule13[[#This Row],[OD]],"-",schedule13[[#This Row],[ID]],"-",schedule13[[#This Row],[TICKNESS]],"-",schedule13[[#This Row],[GRADE]],"-",schedule13[[#This Row],[FC/NFC]])</f>
        <v/>
      </c>
      <c r="Q494" s="557" t="n"/>
      <c r="R494" s="557" t="n"/>
      <c r="S494" s="599" t="n">
        <v>38.1</v>
      </c>
      <c r="T494" s="599" t="n">
        <v>30</v>
      </c>
      <c r="U494" s="599" t="n">
        <v>30</v>
      </c>
      <c r="V494" s="599" t="n">
        <v>1.2</v>
      </c>
      <c r="W494" s="600" t="n">
        <v>220</v>
      </c>
      <c r="X494" s="600" t="n"/>
      <c r="Y494" s="601" t="n">
        <v>11000</v>
      </c>
      <c r="Z494" s="601" t="n"/>
      <c r="AA494" s="602">
        <f>Y494-Z494</f>
        <v/>
      </c>
      <c r="AB494" s="599">
        <f>(S494-V494)*V494*W494*0.024653*Y494/1000000</f>
        <v/>
      </c>
      <c r="AC494" s="599">
        <f>(S494-V494)*V494*W494*0.024653*Z494/1000000</f>
        <v/>
      </c>
      <c r="AD494" s="599">
        <f>AB494-AC494</f>
        <v/>
      </c>
      <c r="AE494" s="10" t="n"/>
      <c r="AF494" s="10" t="n"/>
      <c r="AG494" s="10" t="n"/>
      <c r="AH494" s="10" t="n"/>
      <c r="AI494" s="121" t="n"/>
    </row>
    <row r="495" hidden="1" s="584">
      <c r="A495" s="594" t="n">
        <v>579</v>
      </c>
      <c r="B495" s="78" t="inlineStr">
        <is>
          <t>Hosur</t>
        </is>
      </c>
      <c r="C495" s="596" t="inlineStr">
        <is>
          <t>SRI BALAJI GEARS V3</t>
        </is>
      </c>
      <c r="D495" s="596" t="n"/>
      <c r="E495" s="596" t="n">
        <v>188595</v>
      </c>
      <c r="F495" s="87" t="n">
        <v>3929692</v>
      </c>
      <c r="G495" s="596" t="inlineStr">
        <is>
          <t>CUT-O-N-AUT-AW-PE-19.05X1.200X1.2300</t>
        </is>
      </c>
      <c r="H495" s="596" t="inlineStr">
        <is>
          <t>CRFH</t>
        </is>
      </c>
      <c r="I495" s="596" t="n"/>
      <c r="J495" s="596" t="inlineStr">
        <is>
          <t>PE</t>
        </is>
      </c>
      <c r="K495" s="596" t="n"/>
      <c r="L495" s="596" t="n"/>
      <c r="M495" s="596" t="n"/>
      <c r="N495" s="596" t="n"/>
      <c r="O495" s="596" t="n"/>
      <c r="P495" s="557">
        <f>CONCATENATE(schedule13[[#This Row],[OD]],"-",schedule13[[#This Row],[ID]],"-",schedule13[[#This Row],[TICKNESS]],"-",schedule13[[#This Row],[GRADE]],"-",schedule13[[#This Row],[FC/NFC]])</f>
        <v/>
      </c>
      <c r="Q495" s="557" t="n"/>
      <c r="R495" s="557" t="n"/>
      <c r="S495" s="79" t="n">
        <v>19.05</v>
      </c>
      <c r="T495" s="79" t="n">
        <v>19.05</v>
      </c>
      <c r="U495" s="79" t="n">
        <v>0</v>
      </c>
      <c r="V495" s="79" t="n">
        <v>1.2</v>
      </c>
      <c r="W495" s="81" t="n">
        <v>1230</v>
      </c>
      <c r="X495" s="81" t="n"/>
      <c r="Y495" s="601" t="n">
        <v>5500</v>
      </c>
      <c r="Z495" s="596" t="n"/>
      <c r="AA495" s="82">
        <f>Y495-Z495</f>
        <v/>
      </c>
      <c r="AB495" s="79">
        <f>(S495-V495)*V495*W495*0.024653*Y495/1000000</f>
        <v/>
      </c>
      <c r="AC495" s="599">
        <f>(S495-V495)*V495*W495*0.024653*Z495/1000000</f>
        <v/>
      </c>
      <c r="AD495" s="599">
        <f>AB495-AC495</f>
        <v/>
      </c>
      <c r="AE495" s="10" t="n"/>
      <c r="AF495" s="10" t="n"/>
      <c r="AG495" s="10" t="n"/>
      <c r="AH495" s="10" t="n"/>
      <c r="AI495" s="121" t="n"/>
    </row>
    <row r="496" hidden="1" s="584">
      <c r="A496" s="594" t="n">
        <v>580</v>
      </c>
      <c r="B496" s="78" t="inlineStr">
        <is>
          <t>Hosur</t>
        </is>
      </c>
      <c r="C496" s="596" t="inlineStr">
        <is>
          <t>SRI BALAJI GEARS V3</t>
        </is>
      </c>
      <c r="D496" s="596" t="n"/>
      <c r="E496" s="596" t="n">
        <v>188595</v>
      </c>
      <c r="F496" s="87" t="n">
        <v>3929540</v>
      </c>
      <c r="G496" s="596" t="inlineStr">
        <is>
          <t>CUT-O-N-AUT-AW-PE-19.05X1.200X0.6820</t>
        </is>
      </c>
      <c r="H496" s="596" t="inlineStr">
        <is>
          <t>CRFH</t>
        </is>
      </c>
      <c r="I496" s="596" t="n"/>
      <c r="J496" s="596" t="inlineStr">
        <is>
          <t>PE</t>
        </is>
      </c>
      <c r="K496" s="596" t="n"/>
      <c r="L496" s="596" t="n"/>
      <c r="M496" s="596" t="n"/>
      <c r="N496" s="596" t="n"/>
      <c r="O496" s="596" t="n"/>
      <c r="P496" s="557">
        <f>CONCATENATE(schedule13[[#This Row],[OD]],"-",schedule13[[#This Row],[ID]],"-",schedule13[[#This Row],[TICKNESS]],"-",schedule13[[#This Row],[GRADE]],"-",schedule13[[#This Row],[FC/NFC]])</f>
        <v/>
      </c>
      <c r="Q496" s="557" t="n"/>
      <c r="R496" s="557" t="n"/>
      <c r="S496" s="79" t="n">
        <v>19.05</v>
      </c>
      <c r="T496" s="79" t="n">
        <v>19.05</v>
      </c>
      <c r="U496" s="79" t="n">
        <v>0</v>
      </c>
      <c r="V496" s="79" t="n">
        <v>1.2</v>
      </c>
      <c r="W496" s="81" t="n">
        <v>682</v>
      </c>
      <c r="X496" s="81" t="n"/>
      <c r="Y496" s="601" t="n">
        <v>11000</v>
      </c>
      <c r="Z496" s="596" t="n"/>
      <c r="AA496" s="82">
        <f>Y496-Z496</f>
        <v/>
      </c>
      <c r="AB496" s="79">
        <f>(S496-V496)*V496*W496*0.024653*Y496/1000000</f>
        <v/>
      </c>
      <c r="AC496" s="599">
        <f>(S496-V496)*V496*W496*0.024653*Z496/1000000</f>
        <v/>
      </c>
      <c r="AD496" s="599">
        <f>AB496-AC496</f>
        <v/>
      </c>
      <c r="AE496" s="10" t="n"/>
      <c r="AF496" s="10" t="n"/>
      <c r="AG496" s="10" t="n"/>
      <c r="AH496" s="10" t="n"/>
      <c r="AI496" s="121" t="n"/>
    </row>
    <row r="497" hidden="1" ht="15.75" customHeight="1" s="584">
      <c r="A497" s="594" t="n">
        <v>581</v>
      </c>
      <c r="B497" s="78" t="inlineStr">
        <is>
          <t>Hosur</t>
        </is>
      </c>
      <c r="C497" s="596" t="inlineStr">
        <is>
          <t>SRI BALAJI GEARS V3</t>
        </is>
      </c>
      <c r="D497" s="596" t="n"/>
      <c r="E497" s="596" t="n">
        <v>188595</v>
      </c>
      <c r="F497" s="88" t="n">
        <v>3935313</v>
      </c>
      <c r="G497" s="596" t="inlineStr">
        <is>
          <t>CUT-O-N-AUT-AW-PE-19.05X1.200X33.0000</t>
        </is>
      </c>
      <c r="H497" s="596" t="inlineStr">
        <is>
          <t>CRFH</t>
        </is>
      </c>
      <c r="I497" s="596" t="n"/>
      <c r="J497" s="596" t="inlineStr">
        <is>
          <t>PE</t>
        </is>
      </c>
      <c r="K497" s="596" t="n"/>
      <c r="L497" s="596" t="n"/>
      <c r="M497" s="596" t="n"/>
      <c r="N497" s="596" t="n"/>
      <c r="O497" s="596" t="n"/>
      <c r="P497" s="557">
        <f>CONCATENATE(schedule13[[#This Row],[OD]],"-",schedule13[[#This Row],[ID]],"-",schedule13[[#This Row],[TICKNESS]],"-",schedule13[[#This Row],[GRADE]],"-",schedule13[[#This Row],[FC/NFC]])</f>
        <v/>
      </c>
      <c r="Q497" s="557" t="n"/>
      <c r="R497" s="557" t="n"/>
      <c r="S497" s="79" t="n">
        <v>19.05</v>
      </c>
      <c r="T497" s="79" t="n">
        <v>19.05</v>
      </c>
      <c r="U497" s="79" t="n">
        <v>0</v>
      </c>
      <c r="V497" s="79" t="n">
        <v>1.2</v>
      </c>
      <c r="W497" s="81" t="n">
        <v>33000</v>
      </c>
      <c r="X497" s="81" t="n"/>
      <c r="Y497" s="601" t="n">
        <v>5500</v>
      </c>
      <c r="Z497" s="596" t="n"/>
      <c r="AA497" s="82">
        <f>Y497-Z497</f>
        <v/>
      </c>
      <c r="AB497" s="79">
        <f>(S497-V497)*V497*W497*0.024653*Y497/1000000</f>
        <v/>
      </c>
      <c r="AC497" s="599">
        <f>(S497-V497)*V497*W497*0.024653*Z497/1000000</f>
        <v/>
      </c>
      <c r="AD497" s="599">
        <f>AB497-AC497</f>
        <v/>
      </c>
      <c r="AE497" s="10" t="n"/>
      <c r="AF497" s="10" t="n"/>
      <c r="AG497" s="10" t="n"/>
      <c r="AH497" s="10" t="n"/>
      <c r="AI497" s="121" t="n"/>
    </row>
    <row r="498" hidden="1" s="584">
      <c r="A498" s="594" t="n">
        <v>582</v>
      </c>
      <c r="B498" s="78" t="inlineStr">
        <is>
          <t>Hosur</t>
        </is>
      </c>
      <c r="C498" s="596" t="inlineStr">
        <is>
          <t>SRI BALAJI GEARS V3</t>
        </is>
      </c>
      <c r="D498" s="596" t="n"/>
      <c r="E498" s="596" t="n">
        <v>188595</v>
      </c>
      <c r="F498" s="87" t="n">
        <v>3929691</v>
      </c>
      <c r="G498" s="596" t="inlineStr">
        <is>
          <t>CUT-O-N-AUT-AW-PE-19.05X1.200X0.2000</t>
        </is>
      </c>
      <c r="H498" s="596" t="inlineStr">
        <is>
          <t>CRFH</t>
        </is>
      </c>
      <c r="I498" s="596" t="n"/>
      <c r="J498" s="596" t="inlineStr">
        <is>
          <t>PE</t>
        </is>
      </c>
      <c r="K498" s="596" t="n"/>
      <c r="L498" s="596" t="n"/>
      <c r="M498" s="596" t="n"/>
      <c r="N498" s="596" t="n"/>
      <c r="O498" s="596" t="n"/>
      <c r="P498" s="557">
        <f>CONCATENATE(schedule13[[#This Row],[OD]],"-",schedule13[[#This Row],[ID]],"-",schedule13[[#This Row],[TICKNESS]],"-",schedule13[[#This Row],[GRADE]],"-",schedule13[[#This Row],[FC/NFC]])</f>
        <v/>
      </c>
      <c r="Q498" s="557" t="n"/>
      <c r="R498" s="557" t="n"/>
      <c r="S498" s="79" t="n">
        <v>19.05</v>
      </c>
      <c r="T498" s="79" t="n">
        <v>19.05</v>
      </c>
      <c r="U498" s="79" t="n">
        <v>0</v>
      </c>
      <c r="V498" s="79" t="n">
        <v>1.2</v>
      </c>
      <c r="W498" s="81" t="n">
        <v>200</v>
      </c>
      <c r="X498" s="81" t="n"/>
      <c r="Y498" s="601" t="n">
        <v>22000</v>
      </c>
      <c r="Z498" s="596" t="n"/>
      <c r="AA498" s="82">
        <f>Y498-Z498</f>
        <v/>
      </c>
      <c r="AB498" s="79">
        <f>(S498-V498)*V498*W498*0.024653*Y498/1000000</f>
        <v/>
      </c>
      <c r="AC498" s="599">
        <f>(S498-V498)*V498*W498*0.024653*Z498/1000000</f>
        <v/>
      </c>
      <c r="AD498" s="599">
        <f>AB498-AC498</f>
        <v/>
      </c>
      <c r="AE498" s="10" t="n"/>
      <c r="AF498" s="10" t="n"/>
      <c r="AG498" s="10" t="n"/>
      <c r="AH498" s="10" t="n"/>
      <c r="AI498" s="121" t="n"/>
    </row>
    <row r="499" hidden="1" s="584">
      <c r="A499" s="594" t="n">
        <v>583</v>
      </c>
      <c r="B499" s="78" t="inlineStr">
        <is>
          <t>Hosur</t>
        </is>
      </c>
      <c r="C499" s="596" t="inlineStr">
        <is>
          <t>SRI BALAJI GEARS V3</t>
        </is>
      </c>
      <c r="D499" s="596" t="n"/>
      <c r="E499" s="596" t="n">
        <v>188595</v>
      </c>
      <c r="F499" s="122" t="n">
        <v>3935312</v>
      </c>
      <c r="G499" s="596" t="inlineStr">
        <is>
          <t>CUT-O-N-AUT-AW-PE-15.88X1.220X0.1000</t>
        </is>
      </c>
      <c r="H499" s="596" t="inlineStr">
        <is>
          <t>ERW 1</t>
        </is>
      </c>
      <c r="I499" s="596" t="n"/>
      <c r="J499" s="596" t="inlineStr">
        <is>
          <t>PE</t>
        </is>
      </c>
      <c r="K499" s="596" t="n"/>
      <c r="L499" s="596" t="n"/>
      <c r="M499" s="596" t="n"/>
      <c r="N499" s="596" t="n"/>
      <c r="O499" s="596" t="n"/>
      <c r="P499" s="557">
        <f>CONCATENATE(schedule13[[#This Row],[OD]],"-",schedule13[[#This Row],[ID]],"-",schedule13[[#This Row],[TICKNESS]],"-",schedule13[[#This Row],[GRADE]],"-",schedule13[[#This Row],[FC/NFC]])</f>
        <v/>
      </c>
      <c r="Q499" s="557" t="n"/>
      <c r="R499" s="557" t="n"/>
      <c r="S499" s="79" t="n">
        <v>15.88</v>
      </c>
      <c r="T499" s="79" t="n">
        <v>15.88</v>
      </c>
      <c r="U499" s="79" t="n">
        <v>0</v>
      </c>
      <c r="V499" s="79" t="n">
        <v>1.2</v>
      </c>
      <c r="W499" s="81" t="n">
        <v>100</v>
      </c>
      <c r="X499" s="81" t="n"/>
      <c r="Y499" s="601" t="n">
        <v>11000</v>
      </c>
      <c r="Z499" s="596" t="n"/>
      <c r="AA499" s="82">
        <f>Y499-Z499</f>
        <v/>
      </c>
      <c r="AB499" s="79">
        <f>(S499-V499)*V499*W499*0.024653*Y499/1000000</f>
        <v/>
      </c>
      <c r="AC499" s="599">
        <f>(S499-V499)*V499*W499*0.024653*Z499/1000000</f>
        <v/>
      </c>
      <c r="AD499" s="599">
        <f>AB499-AC499</f>
        <v/>
      </c>
      <c r="AE499" s="10" t="n"/>
      <c r="AF499" s="10" t="n"/>
      <c r="AG499" s="10" t="n"/>
      <c r="AH499" s="10" t="n"/>
      <c r="AI499" s="121" t="n"/>
    </row>
    <row r="500" hidden="1" s="584">
      <c r="A500" s="594" t="n">
        <v>520</v>
      </c>
      <c r="B500" s="5" t="inlineStr">
        <is>
          <t>Hosur</t>
        </is>
      </c>
      <c r="C500" s="601" t="inlineStr">
        <is>
          <t>SRI BALAJI GEARS V4</t>
        </is>
      </c>
      <c r="D500" s="601" t="n"/>
      <c r="E500" s="601" t="n">
        <v>188595</v>
      </c>
      <c r="F500" s="9" t="n">
        <v>1940801</v>
      </c>
      <c r="G500" s="601" t="inlineStr">
        <is>
          <t>TUB-R-AW-RHS-40.00X20.00X1.210X1.3100</t>
        </is>
      </c>
      <c r="H500" s="601" t="inlineStr">
        <is>
          <t>CRFH</t>
        </is>
      </c>
      <c r="I500" s="601" t="n"/>
      <c r="J500" s="601" t="inlineStr">
        <is>
          <t>PE</t>
        </is>
      </c>
      <c r="K500" s="601" t="n"/>
      <c r="L500" s="601" t="n"/>
      <c r="M500" s="601" t="n"/>
      <c r="N500" s="601" t="n"/>
      <c r="O500" s="601" t="n"/>
      <c r="P500" s="557">
        <f>CONCATENATE(schedule13[[#This Row],[OD]],"-",schedule13[[#This Row],[ID]],"-",schedule13[[#This Row],[TICKNESS]],"-",schedule13[[#This Row],[GRADE]],"-",schedule13[[#This Row],[FC/NFC]])</f>
        <v/>
      </c>
      <c r="Q500" s="557" t="n"/>
      <c r="R500" s="557" t="n"/>
      <c r="S500" s="599" t="n">
        <v>38.1</v>
      </c>
      <c r="T500" s="599" t="n">
        <v>40</v>
      </c>
      <c r="U500" s="599" t="n">
        <v>20</v>
      </c>
      <c r="V500" s="599" t="n">
        <v>1.2</v>
      </c>
      <c r="W500" s="22" t="n">
        <v>1310</v>
      </c>
      <c r="X500" s="22" t="n"/>
      <c r="Y500" s="601" t="n">
        <v>4500</v>
      </c>
      <c r="Z500" s="598" t="n"/>
      <c r="AA500" s="602">
        <f>Y500-Z500</f>
        <v/>
      </c>
      <c r="AB500" s="599">
        <f>(S500-V500)*V500*W500*0.024653*Y500/1000000</f>
        <v/>
      </c>
      <c r="AC500" s="599">
        <f>(S500-V500)*V500*W500*0.024653*Z500/1000000</f>
        <v/>
      </c>
      <c r="AD500" s="599">
        <f>AB500-AC500</f>
        <v/>
      </c>
      <c r="AE500" s="599" t="n"/>
      <c r="AF500" s="599" t="n"/>
      <c r="AG500" s="599" t="n"/>
      <c r="AH500" s="599">
        <f>AB499-AF500</f>
        <v/>
      </c>
      <c r="AI500" s="118">
        <f>(AC500+AF500)/AB499</f>
        <v/>
      </c>
    </row>
    <row r="501" hidden="1" s="584">
      <c r="A501" s="594" t="n">
        <v>521</v>
      </c>
      <c r="B501" s="5" t="inlineStr">
        <is>
          <t>Hosur</t>
        </is>
      </c>
      <c r="C501" s="601" t="inlineStr">
        <is>
          <t>SRI BALAJI GEARS V4</t>
        </is>
      </c>
      <c r="D501" s="601" t="n"/>
      <c r="E501" s="601" t="n">
        <v>188595</v>
      </c>
      <c r="F501" s="9" t="n">
        <v>3230470</v>
      </c>
      <c r="G501" s="601" t="inlineStr">
        <is>
          <t>TUB-R-AW-AUT-40.00X20.00X1.200X1.2460</t>
        </is>
      </c>
      <c r="H501" s="601" t="inlineStr">
        <is>
          <t>CRFH</t>
        </is>
      </c>
      <c r="I501" s="601" t="n"/>
      <c r="J501" s="601" t="inlineStr">
        <is>
          <t>PE</t>
        </is>
      </c>
      <c r="K501" s="601" t="n"/>
      <c r="L501" s="601" t="n"/>
      <c r="M501" s="601" t="n"/>
      <c r="N501" s="601" t="n"/>
      <c r="O501" s="601" t="n"/>
      <c r="P501" s="557">
        <f>CONCATENATE(schedule13[[#This Row],[OD]],"-",schedule13[[#This Row],[ID]],"-",schedule13[[#This Row],[TICKNESS]],"-",schedule13[[#This Row],[GRADE]],"-",schedule13[[#This Row],[FC/NFC]])</f>
        <v/>
      </c>
      <c r="Q501" s="557" t="n"/>
      <c r="R501" s="557" t="n"/>
      <c r="S501" s="599" t="n">
        <v>38.1</v>
      </c>
      <c r="T501" s="599" t="n">
        <v>40</v>
      </c>
      <c r="U501" s="599" t="n">
        <v>20</v>
      </c>
      <c r="V501" s="599" t="n">
        <v>1.2</v>
      </c>
      <c r="W501" s="22" t="n">
        <v>1246</v>
      </c>
      <c r="X501" s="22" t="n"/>
      <c r="Y501" s="601" t="n">
        <v>1500</v>
      </c>
      <c r="Z501" s="598" t="n"/>
      <c r="AA501" s="602">
        <f>Y501-Z501</f>
        <v/>
      </c>
      <c r="AB501" s="599">
        <f>(S501-V501)*V501*W501*0.024653*Y501/1000000</f>
        <v/>
      </c>
      <c r="AC501" s="599">
        <f>(S501-V501)*V501*W501*0.024653*Z501/1000000</f>
        <v/>
      </c>
      <c r="AD501" s="599">
        <f>AB501-AC501</f>
        <v/>
      </c>
      <c r="AE501" s="10" t="n"/>
      <c r="AF501" s="10" t="n"/>
      <c r="AG501" s="10" t="n"/>
      <c r="AH501" s="10" t="n"/>
      <c r="AI501" s="121" t="n"/>
    </row>
    <row r="502" hidden="1" s="584">
      <c r="A502" s="594" t="n">
        <v>522</v>
      </c>
      <c r="B502" s="5" t="inlineStr">
        <is>
          <t>Hosur</t>
        </is>
      </c>
      <c r="C502" s="601" t="inlineStr">
        <is>
          <t>SRI BALAJI GEARS V4</t>
        </is>
      </c>
      <c r="D502" s="601" t="n"/>
      <c r="E502" s="601" t="n">
        <v>188595</v>
      </c>
      <c r="F502" s="9" t="n">
        <v>3230465</v>
      </c>
      <c r="G502" s="601" t="inlineStr">
        <is>
          <t>TUB-R-AW-AUT-40.00X20.00X1.200X1.1200</t>
        </is>
      </c>
      <c r="H502" s="601" t="inlineStr">
        <is>
          <t>CRFH</t>
        </is>
      </c>
      <c r="I502" s="601" t="n"/>
      <c r="J502" s="601" t="inlineStr">
        <is>
          <t>PE</t>
        </is>
      </c>
      <c r="K502" s="601" t="n"/>
      <c r="L502" s="601" t="n"/>
      <c r="M502" s="601" t="n"/>
      <c r="N502" s="601" t="n"/>
      <c r="O502" s="601" t="n"/>
      <c r="P502" s="557">
        <f>CONCATENATE(schedule13[[#This Row],[OD]],"-",schedule13[[#This Row],[ID]],"-",schedule13[[#This Row],[TICKNESS]],"-",schedule13[[#This Row],[GRADE]],"-",schedule13[[#This Row],[FC/NFC]])</f>
        <v/>
      </c>
      <c r="Q502" s="557" t="n"/>
      <c r="R502" s="557" t="n"/>
      <c r="S502" s="599" t="n">
        <v>38.1</v>
      </c>
      <c r="T502" s="599" t="n">
        <v>40</v>
      </c>
      <c r="U502" s="599" t="n">
        <v>20</v>
      </c>
      <c r="V502" s="599" t="n">
        <v>1.2</v>
      </c>
      <c r="W502" s="22" t="n">
        <v>1120</v>
      </c>
      <c r="X502" s="22" t="n"/>
      <c r="Y502" s="601" t="n">
        <v>6000</v>
      </c>
      <c r="Z502" s="598" t="n"/>
      <c r="AA502" s="602">
        <f>Y502-Z502</f>
        <v/>
      </c>
      <c r="AB502" s="599">
        <f>(S502-V502)*V502*W502*0.024653*Y502/1000000</f>
        <v/>
      </c>
      <c r="AC502" s="599">
        <f>(S502-V502)*V502*W502*0.024653*Z502/1000000</f>
        <v/>
      </c>
      <c r="AD502" s="599">
        <f>AB502-AC502</f>
        <v/>
      </c>
      <c r="AE502" s="10" t="n"/>
      <c r="AF502" s="10" t="n"/>
      <c r="AG502" s="10" t="n"/>
      <c r="AH502" s="10" t="n"/>
      <c r="AI502" s="121" t="n"/>
    </row>
    <row r="503" hidden="1" s="584">
      <c r="A503" s="594" t="n">
        <v>523</v>
      </c>
      <c r="B503" s="5" t="inlineStr">
        <is>
          <t>Hosur</t>
        </is>
      </c>
      <c r="C503" s="601" t="inlineStr">
        <is>
          <t>SRI BALAJI GEARS V4</t>
        </is>
      </c>
      <c r="D503" s="601" t="n"/>
      <c r="E503" s="601" t="n">
        <v>188595</v>
      </c>
      <c r="F503" s="9" t="n">
        <v>3572051</v>
      </c>
      <c r="G503" s="601" t="inlineStr">
        <is>
          <t>TUB-R-AW-AUT-40.00X20.00X1.200X0.8600</t>
        </is>
      </c>
      <c r="H503" s="601" t="inlineStr">
        <is>
          <t>CRFH</t>
        </is>
      </c>
      <c r="I503" s="601" t="n"/>
      <c r="J503" s="601" t="inlineStr">
        <is>
          <t>PE</t>
        </is>
      </c>
      <c r="K503" s="601" t="n"/>
      <c r="L503" s="601" t="n"/>
      <c r="M503" s="601" t="n"/>
      <c r="N503" s="601" t="n"/>
      <c r="O503" s="601" t="n"/>
      <c r="P503" s="557">
        <f>CONCATENATE(schedule13[[#This Row],[OD]],"-",schedule13[[#This Row],[ID]],"-",schedule13[[#This Row],[TICKNESS]],"-",schedule13[[#This Row],[GRADE]],"-",schedule13[[#This Row],[FC/NFC]])</f>
        <v/>
      </c>
      <c r="Q503" s="557" t="n"/>
      <c r="R503" s="557" t="n"/>
      <c r="S503" s="599" t="n">
        <v>38.1</v>
      </c>
      <c r="T503" s="599" t="n">
        <v>40</v>
      </c>
      <c r="U503" s="599" t="n">
        <v>20</v>
      </c>
      <c r="V503" s="599" t="n">
        <v>1.2</v>
      </c>
      <c r="W503" s="22" t="n">
        <v>860</v>
      </c>
      <c r="X503" s="22" t="n"/>
      <c r="Y503" s="601" t="n">
        <v>6000</v>
      </c>
      <c r="Z503" s="598" t="n"/>
      <c r="AA503" s="602">
        <f>Y503-Z503</f>
        <v/>
      </c>
      <c r="AB503" s="599">
        <f>(S503-V503)*V503*W503*0.024653*Y503/1000000</f>
        <v/>
      </c>
      <c r="AC503" s="599">
        <f>(S503-V503)*V503*W503*0.024653*Z503/1000000</f>
        <v/>
      </c>
      <c r="AD503" s="599">
        <f>AB503-AC503</f>
        <v/>
      </c>
      <c r="AE503" s="10" t="n"/>
      <c r="AF503" s="10" t="n"/>
      <c r="AG503" s="10" t="n"/>
      <c r="AH503" s="10" t="n"/>
      <c r="AI503" s="121" t="n"/>
    </row>
    <row r="504" hidden="1" s="584">
      <c r="A504" s="594" t="n">
        <v>524</v>
      </c>
      <c r="B504" s="5" t="inlineStr">
        <is>
          <t>Hosur</t>
        </is>
      </c>
      <c r="C504" s="601" t="inlineStr">
        <is>
          <t>SRI BALAJI GEARS V4</t>
        </is>
      </c>
      <c r="D504" s="601" t="n"/>
      <c r="E504" s="601" t="n">
        <v>188595</v>
      </c>
      <c r="F504" s="9" t="n">
        <v>3572050</v>
      </c>
      <c r="G504" s="601" t="inlineStr">
        <is>
          <t>TUB-R-AW-AUT-40.00X20.00X1.200X0.7100</t>
        </is>
      </c>
      <c r="H504" s="601" t="inlineStr">
        <is>
          <t>CRFH</t>
        </is>
      </c>
      <c r="I504" s="601" t="n"/>
      <c r="J504" s="601" t="inlineStr">
        <is>
          <t>PE</t>
        </is>
      </c>
      <c r="K504" s="601" t="n"/>
      <c r="L504" s="601" t="n"/>
      <c r="M504" s="601" t="n"/>
      <c r="N504" s="601" t="n"/>
      <c r="O504" s="601" t="n"/>
      <c r="P504" s="557">
        <f>CONCATENATE(schedule13[[#This Row],[OD]],"-",schedule13[[#This Row],[ID]],"-",schedule13[[#This Row],[TICKNESS]],"-",schedule13[[#This Row],[GRADE]],"-",schedule13[[#This Row],[FC/NFC]])</f>
        <v/>
      </c>
      <c r="Q504" s="557" t="n"/>
      <c r="R504" s="557" t="n"/>
      <c r="S504" s="599" t="n">
        <v>38.1</v>
      </c>
      <c r="T504" s="599" t="n">
        <v>40</v>
      </c>
      <c r="U504" s="599" t="n">
        <v>20</v>
      </c>
      <c r="V504" s="599" t="n">
        <v>1.2</v>
      </c>
      <c r="W504" s="22" t="n">
        <v>710</v>
      </c>
      <c r="X504" s="22" t="n"/>
      <c r="Y504" s="601" t="n">
        <v>3000</v>
      </c>
      <c r="Z504" s="598" t="n"/>
      <c r="AA504" s="602">
        <f>Y504-Z504</f>
        <v/>
      </c>
      <c r="AB504" s="599">
        <f>(S504-V504)*V504*W504*0.024653*Y504/1000000</f>
        <v/>
      </c>
      <c r="AC504" s="599">
        <f>(S504-V504)*V504*W504*0.024653*Z504/1000000</f>
        <v/>
      </c>
      <c r="AD504" s="599">
        <f>AB504-AC504</f>
        <v/>
      </c>
      <c r="AE504" s="10" t="n"/>
      <c r="AF504" s="10" t="n"/>
      <c r="AG504" s="10" t="n"/>
      <c r="AH504" s="10" t="n"/>
      <c r="AI504" s="121" t="n"/>
    </row>
    <row r="505" hidden="1" s="584">
      <c r="A505" s="594" t="n">
        <v>525</v>
      </c>
      <c r="B505" s="5" t="inlineStr">
        <is>
          <t>Hosur</t>
        </is>
      </c>
      <c r="C505" s="601" t="inlineStr">
        <is>
          <t>SRI BALAJI GEARS V4</t>
        </is>
      </c>
      <c r="D505" s="601" t="n"/>
      <c r="E505" s="601" t="n">
        <v>188595</v>
      </c>
      <c r="F505" s="9" t="n">
        <v>3572048</v>
      </c>
      <c r="G505" s="601" t="inlineStr">
        <is>
          <t>TUB-R-AW-AUT-40.00X20.00X1.200X0.1400</t>
        </is>
      </c>
      <c r="H505" s="601" t="inlineStr">
        <is>
          <t>CRFH</t>
        </is>
      </c>
      <c r="I505" s="601" t="n"/>
      <c r="J505" s="601" t="inlineStr">
        <is>
          <t>PE</t>
        </is>
      </c>
      <c r="K505" s="601" t="n"/>
      <c r="L505" s="601" t="n"/>
      <c r="M505" s="601" t="n"/>
      <c r="N505" s="601" t="n"/>
      <c r="O505" s="601" t="n"/>
      <c r="P505" s="557">
        <f>CONCATENATE(schedule13[[#This Row],[OD]],"-",schedule13[[#This Row],[ID]],"-",schedule13[[#This Row],[TICKNESS]],"-",schedule13[[#This Row],[GRADE]],"-",schedule13[[#This Row],[FC/NFC]])</f>
        <v/>
      </c>
      <c r="Q505" s="557" t="n"/>
      <c r="R505" s="557" t="n"/>
      <c r="S505" s="599" t="n">
        <v>38.1</v>
      </c>
      <c r="T505" s="599" t="n">
        <v>40</v>
      </c>
      <c r="U505" s="599" t="n">
        <v>20</v>
      </c>
      <c r="V505" s="599" t="n">
        <v>1.2</v>
      </c>
      <c r="W505" s="22" t="n">
        <v>140</v>
      </c>
      <c r="X505" s="22" t="n"/>
      <c r="Y505" s="601" t="n">
        <v>3000</v>
      </c>
      <c r="Z505" s="598" t="n"/>
      <c r="AA505" s="602">
        <f>Y505-Z505</f>
        <v/>
      </c>
      <c r="AB505" s="599">
        <f>(S505-V505)*V505*W505*0.024653*Y505/1000000</f>
        <v/>
      </c>
      <c r="AC505" s="599">
        <f>(S505-V505)*V505*W505*0.024653*Z505/1000000</f>
        <v/>
      </c>
      <c r="AD505" s="599">
        <f>AB505-AC505</f>
        <v/>
      </c>
      <c r="AE505" s="10" t="n"/>
      <c r="AF505" s="10" t="n"/>
      <c r="AG505" s="10" t="n"/>
      <c r="AH505" s="10" t="n"/>
      <c r="AI505" s="121" t="n"/>
    </row>
    <row r="506" hidden="1" s="584">
      <c r="A506" s="594" t="n">
        <v>526</v>
      </c>
      <c r="B506" s="5" t="inlineStr">
        <is>
          <t>Hosur</t>
        </is>
      </c>
      <c r="C506" s="601" t="inlineStr">
        <is>
          <t>SRI BALAJI GEARS V4</t>
        </is>
      </c>
      <c r="D506" s="601" t="n"/>
      <c r="E506" s="601" t="n">
        <v>188595</v>
      </c>
      <c r="F506" s="9" t="n">
        <v>3233559</v>
      </c>
      <c r="G506" s="601" t="inlineStr">
        <is>
          <t>TUB-R-AW-AUT-40.00X20.00X1.210X0.1200</t>
        </is>
      </c>
      <c r="H506" s="601" t="inlineStr">
        <is>
          <t>CRFH</t>
        </is>
      </c>
      <c r="I506" s="601" t="n"/>
      <c r="J506" s="601" t="inlineStr">
        <is>
          <t>PE</t>
        </is>
      </c>
      <c r="K506" s="601" t="n"/>
      <c r="L506" s="601" t="n"/>
      <c r="M506" s="601" t="n"/>
      <c r="N506" s="601" t="n"/>
      <c r="O506" s="601" t="n"/>
      <c r="P506" s="557">
        <f>CONCATENATE(schedule13[[#This Row],[OD]],"-",schedule13[[#This Row],[ID]],"-",schedule13[[#This Row],[TICKNESS]],"-",schedule13[[#This Row],[GRADE]],"-",schedule13[[#This Row],[FC/NFC]])</f>
        <v/>
      </c>
      <c r="Q506" s="557" t="n"/>
      <c r="R506" s="557" t="n"/>
      <c r="S506" s="599" t="n">
        <v>38.1</v>
      </c>
      <c r="T506" s="599" t="n">
        <v>40</v>
      </c>
      <c r="U506" s="599" t="n">
        <v>20</v>
      </c>
      <c r="V506" s="599" t="n">
        <v>1.2</v>
      </c>
      <c r="W506" s="22" t="n">
        <v>120</v>
      </c>
      <c r="X506" s="22" t="n"/>
      <c r="Y506" s="601" t="n">
        <v>3000</v>
      </c>
      <c r="Z506" s="598" t="n"/>
      <c r="AA506" s="602">
        <f>Y506-Z506</f>
        <v/>
      </c>
      <c r="AB506" s="599">
        <f>(S506-V506)*V506*W506*0.024653*Y506/1000000</f>
        <v/>
      </c>
      <c r="AC506" s="599">
        <f>(S506-V506)*V506*W506*0.024653*Z506/1000000</f>
        <v/>
      </c>
      <c r="AD506" s="599">
        <f>AB506-AC506</f>
        <v/>
      </c>
      <c r="AE506" s="10" t="n"/>
      <c r="AF506" s="10" t="n"/>
      <c r="AG506" s="10" t="n"/>
      <c r="AH506" s="10" t="n"/>
      <c r="AI506" s="121" t="n"/>
    </row>
    <row r="507" hidden="1" s="584">
      <c r="A507" s="594" t="n">
        <v>527</v>
      </c>
      <c r="B507" s="5" t="inlineStr">
        <is>
          <t>Hosur</t>
        </is>
      </c>
      <c r="C507" s="601" t="inlineStr">
        <is>
          <t>SRI BALAJI GEARS V4</t>
        </is>
      </c>
      <c r="D507" s="601" t="n"/>
      <c r="E507" s="601" t="n">
        <v>188595</v>
      </c>
      <c r="F507" s="9" t="n">
        <v>3572047</v>
      </c>
      <c r="G507" s="601" t="inlineStr">
        <is>
          <t>TUB-R-AW-AUT-40.00X20.00X1.200X0.1100</t>
        </is>
      </c>
      <c r="H507" s="601" t="inlineStr">
        <is>
          <t>CRFH</t>
        </is>
      </c>
      <c r="I507" s="601" t="n"/>
      <c r="J507" s="601" t="inlineStr">
        <is>
          <t>PE</t>
        </is>
      </c>
      <c r="K507" s="601" t="n"/>
      <c r="L507" s="601" t="n"/>
      <c r="M507" s="601" t="n"/>
      <c r="N507" s="601" t="n"/>
      <c r="O507" s="601" t="n"/>
      <c r="P507" s="557">
        <f>CONCATENATE(schedule13[[#This Row],[OD]],"-",schedule13[[#This Row],[ID]],"-",schedule13[[#This Row],[TICKNESS]],"-",schedule13[[#This Row],[GRADE]],"-",schedule13[[#This Row],[FC/NFC]])</f>
        <v/>
      </c>
      <c r="Q507" s="557" t="n"/>
      <c r="R507" s="557" t="n"/>
      <c r="S507" s="599" t="n">
        <v>38.1</v>
      </c>
      <c r="T507" s="599" t="n">
        <v>40</v>
      </c>
      <c r="U507" s="599" t="n">
        <v>20</v>
      </c>
      <c r="V507" s="599" t="n">
        <v>1.2</v>
      </c>
      <c r="W507" s="22" t="n">
        <v>110</v>
      </c>
      <c r="X507" s="22" t="n"/>
      <c r="Y507" s="601" t="n">
        <v>3000</v>
      </c>
      <c r="Z507" s="598" t="n"/>
      <c r="AA507" s="602">
        <f>Y507-Z507</f>
        <v/>
      </c>
      <c r="AB507" s="599">
        <f>(S507-V507)*V507*W507*0.024653*Y507/1000000</f>
        <v/>
      </c>
      <c r="AC507" s="599">
        <f>(S507-V507)*V507*W507*0.024653*Z507/1000000</f>
        <v/>
      </c>
      <c r="AD507" s="599">
        <f>AB507-AC507</f>
        <v/>
      </c>
      <c r="AE507" s="10" t="n"/>
      <c r="AF507" s="10" t="n"/>
      <c r="AG507" s="10" t="n"/>
      <c r="AH507" s="10" t="n"/>
      <c r="AI507" s="121" t="n"/>
    </row>
    <row r="508" hidden="1" s="584">
      <c r="A508" s="594" t="n">
        <v>528</v>
      </c>
      <c r="B508" s="5" t="inlineStr">
        <is>
          <t>Hosur</t>
        </is>
      </c>
      <c r="C508" s="596" t="inlineStr">
        <is>
          <t>SRI BALAJI GEARS V4</t>
        </is>
      </c>
      <c r="D508" s="596" t="n"/>
      <c r="E508" s="596" t="n">
        <v>188595</v>
      </c>
      <c r="F508" s="87" t="n">
        <v>3938688</v>
      </c>
      <c r="G508" s="601" t="inlineStr">
        <is>
          <t>TUB-R-AW-AUT-40.00X20.00X1.200X0.0950</t>
        </is>
      </c>
      <c r="H508" s="601" t="inlineStr">
        <is>
          <t>CRFH</t>
        </is>
      </c>
      <c r="I508" s="596" t="n"/>
      <c r="J508" s="596" t="inlineStr">
        <is>
          <t>PE</t>
        </is>
      </c>
      <c r="K508" s="596" t="n"/>
      <c r="L508" s="596" t="n"/>
      <c r="M508" s="596" t="n"/>
      <c r="N508" s="596" t="n"/>
      <c r="O508" s="596" t="n"/>
      <c r="P508" s="557">
        <f>CONCATENATE(schedule13[[#This Row],[OD]],"-",schedule13[[#This Row],[ID]],"-",schedule13[[#This Row],[TICKNESS]],"-",schedule13[[#This Row],[GRADE]],"-",schedule13[[#This Row],[FC/NFC]])</f>
        <v/>
      </c>
      <c r="Q508" s="557" t="n"/>
      <c r="R508" s="557" t="n"/>
      <c r="S508" s="599" t="n">
        <v>38.1</v>
      </c>
      <c r="T508" s="599" t="n">
        <v>40</v>
      </c>
      <c r="U508" s="599" t="n">
        <v>20</v>
      </c>
      <c r="V508" s="599" t="n">
        <v>1.2</v>
      </c>
      <c r="W508" s="22" t="n">
        <v>95</v>
      </c>
      <c r="X508" s="22" t="n"/>
      <c r="Y508" s="601" t="n">
        <v>3000</v>
      </c>
      <c r="Z508" s="85" t="n"/>
      <c r="AA508" s="82">
        <f>Y508-Z508</f>
        <v/>
      </c>
      <c r="AB508" s="79">
        <f>(S508-V508)*V508*W508*0.024653*Y508/1000000</f>
        <v/>
      </c>
      <c r="AC508" s="599">
        <f>(S508-V508)*V508*W508*0.024653*Z508/1000000</f>
        <v/>
      </c>
      <c r="AD508" s="599">
        <f>AB508-AC508</f>
        <v/>
      </c>
      <c r="AE508" s="10" t="n"/>
      <c r="AF508" s="10" t="n"/>
      <c r="AG508" s="10" t="n"/>
      <c r="AH508" s="10" t="n"/>
      <c r="AI508" s="121" t="n"/>
    </row>
    <row r="509" hidden="1" s="584">
      <c r="A509" s="594" t="n">
        <v>529</v>
      </c>
      <c r="B509" s="5" t="inlineStr">
        <is>
          <t>Hosur</t>
        </is>
      </c>
      <c r="C509" s="601" t="inlineStr">
        <is>
          <t>SRI BALAJI GEARS V4</t>
        </is>
      </c>
      <c r="D509" s="601" t="n"/>
      <c r="E509" s="601" t="n">
        <v>188595</v>
      </c>
      <c r="F509" s="9" t="n">
        <v>3572039</v>
      </c>
      <c r="G509" s="601" t="inlineStr">
        <is>
          <t>TUB-S-AW-AUT-19.00X19.00X1.000X1.3040</t>
        </is>
      </c>
      <c r="H509" s="601" t="inlineStr">
        <is>
          <t>CRFH</t>
        </is>
      </c>
      <c r="I509" s="601" t="n"/>
      <c r="J509" s="601" t="inlineStr">
        <is>
          <t>PE</t>
        </is>
      </c>
      <c r="K509" s="601" t="n"/>
      <c r="L509" s="601" t="n"/>
      <c r="M509" s="601" t="n"/>
      <c r="N509" s="601" t="n"/>
      <c r="O509" s="601" t="n"/>
      <c r="P509" s="557">
        <f>CONCATENATE(schedule13[[#This Row],[OD]],"-",schedule13[[#This Row],[ID]],"-",schedule13[[#This Row],[TICKNESS]],"-",schedule13[[#This Row],[GRADE]],"-",schedule13[[#This Row],[FC/NFC]])</f>
        <v/>
      </c>
      <c r="Q509" s="557" t="n"/>
      <c r="R509" s="557" t="n"/>
      <c r="S509" s="599" t="n">
        <v>23.42</v>
      </c>
      <c r="T509" s="599" t="n">
        <v>19</v>
      </c>
      <c r="U509" s="599" t="n">
        <v>19</v>
      </c>
      <c r="V509" s="599" t="n">
        <v>1</v>
      </c>
      <c r="W509" s="22" t="n">
        <v>1304</v>
      </c>
      <c r="X509" s="22" t="n"/>
      <c r="Y509" s="601" t="n">
        <v>1500</v>
      </c>
      <c r="Z509" s="598" t="n"/>
      <c r="AA509" s="602">
        <f>Y509-Z509</f>
        <v/>
      </c>
      <c r="AB509" s="599">
        <f>(S509-V509)*V509*W509*0.024653*Y509/1000000</f>
        <v/>
      </c>
      <c r="AC509" s="599">
        <f>(S509-V509)*V509*W509*0.024653*Z509/1000000</f>
        <v/>
      </c>
      <c r="AD509" s="599">
        <f>AB509-AC509</f>
        <v/>
      </c>
      <c r="AE509" s="10" t="n"/>
      <c r="AF509" s="10" t="n"/>
      <c r="AG509" s="10" t="n"/>
      <c r="AH509" s="10" t="n"/>
      <c r="AI509" s="121" t="n"/>
    </row>
    <row r="510" hidden="1" s="584">
      <c r="A510" s="594" t="n">
        <v>530</v>
      </c>
      <c r="B510" s="5" t="inlineStr">
        <is>
          <t>Hosur</t>
        </is>
      </c>
      <c r="C510" s="601" t="inlineStr">
        <is>
          <t>SRI BALAJI GEARS V4</t>
        </is>
      </c>
      <c r="D510" s="601" t="n"/>
      <c r="E510" s="601" t="n">
        <v>188595</v>
      </c>
      <c r="F510" s="9" t="n">
        <v>3931837</v>
      </c>
      <c r="G510" s="601" t="inlineStr">
        <is>
          <t>CUT-R-AW-AUT-19.00X19.00X1.000X1.1500</t>
        </is>
      </c>
      <c r="H510" s="601" t="inlineStr">
        <is>
          <t>CRFH</t>
        </is>
      </c>
      <c r="I510" s="601" t="n"/>
      <c r="J510" s="601" t="inlineStr">
        <is>
          <t>PE</t>
        </is>
      </c>
      <c r="K510" s="601" t="n"/>
      <c r="L510" s="601" t="n"/>
      <c r="M510" s="601" t="n"/>
      <c r="N510" s="601" t="n"/>
      <c r="O510" s="601" t="n"/>
      <c r="P510" s="557">
        <f>CONCATENATE(schedule13[[#This Row],[OD]],"-",schedule13[[#This Row],[ID]],"-",schedule13[[#This Row],[TICKNESS]],"-",schedule13[[#This Row],[GRADE]],"-",schedule13[[#This Row],[FC/NFC]])</f>
        <v/>
      </c>
      <c r="Q510" s="557" t="n"/>
      <c r="R510" s="557" t="n"/>
      <c r="S510" s="599" t="n">
        <v>23.42</v>
      </c>
      <c r="T510" s="599" t="n">
        <v>19</v>
      </c>
      <c r="U510" s="599" t="n">
        <v>19</v>
      </c>
      <c r="V510" s="599" t="n">
        <v>1</v>
      </c>
      <c r="W510" s="22" t="n">
        <v>1150</v>
      </c>
      <c r="X510" s="22" t="n"/>
      <c r="Y510" s="601" t="n">
        <v>1500</v>
      </c>
      <c r="Z510" s="598" t="n"/>
      <c r="AA510" s="602">
        <f>Y510-Z510</f>
        <v/>
      </c>
      <c r="AB510" s="599">
        <f>(S510-V510)*V510*W510*0.024653*Y510/1000000</f>
        <v/>
      </c>
      <c r="AC510" s="599">
        <f>(S510-V510)*V510*W510*0.024653*Z510/1000000</f>
        <v/>
      </c>
      <c r="AD510" s="599">
        <f>AB510-AC510</f>
        <v/>
      </c>
      <c r="AE510" s="10" t="n"/>
      <c r="AF510" s="10" t="n"/>
      <c r="AG510" s="10" t="n"/>
      <c r="AH510" s="10" t="n"/>
      <c r="AI510" s="121" t="n"/>
    </row>
    <row r="511" hidden="1" s="584">
      <c r="A511" s="594" t="n">
        <v>531</v>
      </c>
      <c r="B511" s="5" t="inlineStr">
        <is>
          <t>Hosur</t>
        </is>
      </c>
      <c r="C511" s="601" t="inlineStr">
        <is>
          <t>SRI BALAJI GEARS V4</t>
        </is>
      </c>
      <c r="D511" s="601" t="n"/>
      <c r="E511" s="601" t="n">
        <v>188595</v>
      </c>
      <c r="F511" s="9" t="n">
        <v>3572038</v>
      </c>
      <c r="G511" s="601" t="inlineStr">
        <is>
          <t>TUB-S-AW-AUT-19.00X19.00X1.000X1.2460</t>
        </is>
      </c>
      <c r="H511" s="601" t="inlineStr">
        <is>
          <t>CRFH</t>
        </is>
      </c>
      <c r="I511" s="601" t="n"/>
      <c r="J511" s="601" t="inlineStr">
        <is>
          <t>PE</t>
        </is>
      </c>
      <c r="K511" s="601" t="n"/>
      <c r="L511" s="601" t="n"/>
      <c r="M511" s="601" t="n"/>
      <c r="N511" s="601" t="n"/>
      <c r="O511" s="601" t="n"/>
      <c r="P511" s="557">
        <f>CONCATENATE(schedule13[[#This Row],[OD]],"-",schedule13[[#This Row],[ID]],"-",schedule13[[#This Row],[TICKNESS]],"-",schedule13[[#This Row],[GRADE]],"-",schedule13[[#This Row],[FC/NFC]])</f>
        <v/>
      </c>
      <c r="Q511" s="557" t="n"/>
      <c r="R511" s="557" t="n"/>
      <c r="S511" s="599" t="n">
        <v>23.42</v>
      </c>
      <c r="T511" s="599" t="n">
        <v>19</v>
      </c>
      <c r="U511" s="599" t="n">
        <v>19</v>
      </c>
      <c r="V511" s="599" t="n">
        <v>1</v>
      </c>
      <c r="W511" s="22" t="n">
        <v>1246</v>
      </c>
      <c r="X511" s="22" t="n"/>
      <c r="Y511" s="601" t="n">
        <v>1500</v>
      </c>
      <c r="Z511" s="598" t="n"/>
      <c r="AA511" s="602">
        <f>Y511-Z511</f>
        <v/>
      </c>
      <c r="AB511" s="599">
        <f>(S511-V511)*V511*W511*0.024653*Y511/1000000</f>
        <v/>
      </c>
      <c r="AC511" s="599">
        <f>(S511-V511)*V511*W511*0.024653*Z511/1000000</f>
        <v/>
      </c>
      <c r="AD511" s="599">
        <f>AB511-AC511</f>
        <v/>
      </c>
      <c r="AE511" s="10" t="n"/>
      <c r="AF511" s="10" t="n"/>
      <c r="AG511" s="10" t="n"/>
      <c r="AH511" s="10" t="n"/>
      <c r="AI511" s="121" t="n"/>
    </row>
    <row r="512" hidden="1" s="584">
      <c r="A512" s="594" t="n">
        <v>532</v>
      </c>
      <c r="B512" s="5" t="inlineStr">
        <is>
          <t>Hosur</t>
        </is>
      </c>
      <c r="C512" s="596" t="inlineStr">
        <is>
          <t>SRI BALAJI GEARS V4</t>
        </is>
      </c>
      <c r="D512" s="596" t="n"/>
      <c r="E512" s="596" t="n">
        <v>188595</v>
      </c>
      <c r="F512" s="87" t="n">
        <v>3938684</v>
      </c>
      <c r="G512" s="601" t="inlineStr">
        <is>
          <t>TUB-S-AW-AUT-19.00X19.00X1.000X0.9620</t>
        </is>
      </c>
      <c r="H512" s="601" t="inlineStr">
        <is>
          <t>CRFH</t>
        </is>
      </c>
      <c r="I512" s="596" t="n"/>
      <c r="J512" s="596" t="inlineStr">
        <is>
          <t>PE</t>
        </is>
      </c>
      <c r="K512" s="596" t="n"/>
      <c r="L512" s="596" t="n"/>
      <c r="M512" s="596" t="n"/>
      <c r="N512" s="596" t="n"/>
      <c r="O512" s="596" t="n"/>
      <c r="P512" s="557">
        <f>CONCATENATE(schedule13[[#This Row],[OD]],"-",schedule13[[#This Row],[ID]],"-",schedule13[[#This Row],[TICKNESS]],"-",schedule13[[#This Row],[GRADE]],"-",schedule13[[#This Row],[FC/NFC]])</f>
        <v/>
      </c>
      <c r="Q512" s="557" t="n"/>
      <c r="R512" s="557" t="n"/>
      <c r="S512" s="599" t="n">
        <v>23.42</v>
      </c>
      <c r="T512" s="599" t="n">
        <v>19</v>
      </c>
      <c r="U512" s="599" t="n">
        <v>19</v>
      </c>
      <c r="V512" s="599" t="n">
        <v>1</v>
      </c>
      <c r="W512" s="22" t="n">
        <v>962</v>
      </c>
      <c r="X512" s="22" t="n"/>
      <c r="Y512" s="601" t="n">
        <v>3000</v>
      </c>
      <c r="Z512" s="85" t="n"/>
      <c r="AA512" s="82">
        <f>Y512-Z512</f>
        <v/>
      </c>
      <c r="AB512" s="79">
        <f>(S512-V512)*V512*W512*0.024653*Y512/1000000</f>
        <v/>
      </c>
      <c r="AC512" s="599">
        <f>(S512-V512)*V512*W512*0.024653*Z512/1000000</f>
        <v/>
      </c>
      <c r="AD512" s="599">
        <f>AB512-AC512</f>
        <v/>
      </c>
      <c r="AE512" s="10" t="n"/>
      <c r="AF512" s="10" t="n"/>
      <c r="AG512" s="10" t="n"/>
      <c r="AH512" s="10" t="n"/>
      <c r="AI512" s="121" t="n"/>
    </row>
    <row r="513" hidden="1" s="584">
      <c r="A513" s="594" t="n">
        <v>533</v>
      </c>
      <c r="B513" s="5" t="inlineStr">
        <is>
          <t>Hosur</t>
        </is>
      </c>
      <c r="C513" s="601" t="inlineStr">
        <is>
          <t>SRI BALAJI GEARS V4</t>
        </is>
      </c>
      <c r="D513" s="601" t="n"/>
      <c r="E513" s="601" t="n">
        <v>188595</v>
      </c>
      <c r="F513" s="9" t="n">
        <v>3572035</v>
      </c>
      <c r="G513" s="601" t="inlineStr">
        <is>
          <t>TUB-S-AW-AUT-19.00X19.00X1.000X0.8900</t>
        </is>
      </c>
      <c r="H513" s="601" t="inlineStr">
        <is>
          <t>CRFH</t>
        </is>
      </c>
      <c r="I513" s="601" t="n"/>
      <c r="J513" s="601" t="inlineStr">
        <is>
          <t>PE</t>
        </is>
      </c>
      <c r="K513" s="601" t="n"/>
      <c r="L513" s="601" t="n"/>
      <c r="M513" s="601" t="n"/>
      <c r="N513" s="601" t="n"/>
      <c r="O513" s="601" t="n"/>
      <c r="P513" s="557">
        <f>CONCATENATE(schedule13[[#This Row],[OD]],"-",schedule13[[#This Row],[ID]],"-",schedule13[[#This Row],[TICKNESS]],"-",schedule13[[#This Row],[GRADE]],"-",schedule13[[#This Row],[FC/NFC]])</f>
        <v/>
      </c>
      <c r="Q513" s="557" t="n"/>
      <c r="R513" s="557" t="n"/>
      <c r="S513" s="599" t="n">
        <v>23.42</v>
      </c>
      <c r="T513" s="599" t="n">
        <v>19</v>
      </c>
      <c r="U513" s="599" t="n">
        <v>19</v>
      </c>
      <c r="V513" s="599" t="n">
        <v>1</v>
      </c>
      <c r="W513" s="22" t="n">
        <v>890</v>
      </c>
      <c r="X513" s="22" t="n"/>
      <c r="Y513" s="601" t="n">
        <v>1500</v>
      </c>
      <c r="Z513" s="598" t="n"/>
      <c r="AA513" s="602">
        <f>Y513-Z513</f>
        <v/>
      </c>
      <c r="AB513" s="599">
        <f>(S513-V513)*V513*W513*0.024653*Y513/1000000</f>
        <v/>
      </c>
      <c r="AC513" s="599">
        <f>(S513-V513)*V513*W513*0.024653*Z513/1000000</f>
        <v/>
      </c>
      <c r="AD513" s="599">
        <f>AB513-AC513</f>
        <v/>
      </c>
      <c r="AE513" s="10" t="n"/>
      <c r="AF513" s="10" t="n"/>
      <c r="AG513" s="10" t="n"/>
      <c r="AH513" s="10" t="n"/>
      <c r="AI513" s="121" t="n"/>
    </row>
    <row r="514" hidden="1" s="584">
      <c r="A514" s="594" t="n">
        <v>534</v>
      </c>
      <c r="B514" s="5" t="inlineStr">
        <is>
          <t>Hosur</t>
        </is>
      </c>
      <c r="C514" s="601" t="inlineStr">
        <is>
          <t>SRI BALAJI GEARS V4</t>
        </is>
      </c>
      <c r="D514" s="601" t="n"/>
      <c r="E514" s="601" t="n">
        <v>188595</v>
      </c>
      <c r="F514" s="9" t="n">
        <v>3572033</v>
      </c>
      <c r="G514" s="601" t="inlineStr">
        <is>
          <t>TUB-S-AW-AUT-19.00X19.00X1.000X0.7900</t>
        </is>
      </c>
      <c r="H514" s="601" t="inlineStr">
        <is>
          <t>CRFH</t>
        </is>
      </c>
      <c r="I514" s="601" t="n"/>
      <c r="J514" s="601" t="inlineStr">
        <is>
          <t>PE</t>
        </is>
      </c>
      <c r="K514" s="601" t="n"/>
      <c r="L514" s="601" t="n"/>
      <c r="M514" s="601" t="n"/>
      <c r="N514" s="601" t="n"/>
      <c r="O514" s="601" t="n"/>
      <c r="P514" s="557">
        <f>CONCATENATE(schedule13[[#This Row],[OD]],"-",schedule13[[#This Row],[ID]],"-",schedule13[[#This Row],[TICKNESS]],"-",schedule13[[#This Row],[GRADE]],"-",schedule13[[#This Row],[FC/NFC]])</f>
        <v/>
      </c>
      <c r="Q514" s="557" t="n"/>
      <c r="R514" s="557" t="n"/>
      <c r="S514" s="599" t="n">
        <v>23.42</v>
      </c>
      <c r="T514" s="599" t="n">
        <v>19</v>
      </c>
      <c r="U514" s="599" t="n">
        <v>19</v>
      </c>
      <c r="V514" s="599" t="n">
        <v>1</v>
      </c>
      <c r="W514" s="22" t="n">
        <v>790</v>
      </c>
      <c r="X514" s="22" t="n"/>
      <c r="Y514" s="601" t="n">
        <v>3000</v>
      </c>
      <c r="Z514" s="598" t="n"/>
      <c r="AA514" s="602">
        <f>Y514-Z514</f>
        <v/>
      </c>
      <c r="AB514" s="599">
        <f>(S514-V514)*V514*W514*0.024653*Y514/1000000</f>
        <v/>
      </c>
      <c r="AC514" s="599">
        <f>(S514-V514)*V514*W514*0.024653*Z514/1000000</f>
        <v/>
      </c>
      <c r="AD514" s="599">
        <f>AB514-AC514</f>
        <v/>
      </c>
      <c r="AE514" s="10" t="n"/>
      <c r="AF514" s="10" t="n"/>
      <c r="AG514" s="10" t="n"/>
      <c r="AH514" s="10" t="n"/>
      <c r="AI514" s="121" t="n"/>
    </row>
    <row r="515" hidden="1" s="584">
      <c r="A515" s="594" t="n">
        <v>535</v>
      </c>
      <c r="B515" s="5" t="inlineStr">
        <is>
          <t>Hosur</t>
        </is>
      </c>
      <c r="C515" s="601" t="inlineStr">
        <is>
          <t>SRI BALAJI GEARS V4</t>
        </is>
      </c>
      <c r="D515" s="601" t="n"/>
      <c r="E515" s="601" t="n">
        <v>188595</v>
      </c>
      <c r="F515" s="9" t="n">
        <v>3572032</v>
      </c>
      <c r="G515" s="601" t="inlineStr">
        <is>
          <t>TUB-S-AW-AUT-19.00X19.00X1.000X0.7500</t>
        </is>
      </c>
      <c r="H515" s="601" t="inlineStr">
        <is>
          <t>CRFH</t>
        </is>
      </c>
      <c r="I515" s="601" t="n"/>
      <c r="J515" s="601" t="inlineStr">
        <is>
          <t>PE</t>
        </is>
      </c>
      <c r="K515" s="601" t="n"/>
      <c r="L515" s="601" t="n"/>
      <c r="M515" s="601" t="n"/>
      <c r="N515" s="601" t="n"/>
      <c r="O515" s="601" t="n"/>
      <c r="P515" s="557">
        <f>CONCATENATE(schedule13[[#This Row],[OD]],"-",schedule13[[#This Row],[ID]],"-",schedule13[[#This Row],[TICKNESS]],"-",schedule13[[#This Row],[GRADE]],"-",schedule13[[#This Row],[FC/NFC]])</f>
        <v/>
      </c>
      <c r="Q515" s="557" t="n"/>
      <c r="R515" s="557" t="n"/>
      <c r="S515" s="599" t="n">
        <v>23.42</v>
      </c>
      <c r="T515" s="599" t="n">
        <v>19</v>
      </c>
      <c r="U515" s="599" t="n">
        <v>19</v>
      </c>
      <c r="V515" s="599" t="n">
        <v>1</v>
      </c>
      <c r="W515" s="22" t="n">
        <v>750</v>
      </c>
      <c r="X515" s="22" t="n"/>
      <c r="Y515" s="601" t="n">
        <v>3000</v>
      </c>
      <c r="Z515" s="598" t="n"/>
      <c r="AA515" s="602">
        <f>Y515-Z515</f>
        <v/>
      </c>
      <c r="AB515" s="599">
        <f>(S515-V515)*V515*W515*0.024653*Y515/1000000</f>
        <v/>
      </c>
      <c r="AC515" s="599">
        <f>(S515-V515)*V515*W515*0.024653*Z515/1000000</f>
        <v/>
      </c>
      <c r="AD515" s="599">
        <f>AB515-AC515</f>
        <v/>
      </c>
      <c r="AE515" s="10" t="n"/>
      <c r="AF515" s="10" t="n"/>
      <c r="AG515" s="10" t="n"/>
      <c r="AH515" s="10" t="n"/>
      <c r="AI515" s="121" t="n"/>
    </row>
    <row r="516" hidden="1" s="584">
      <c r="A516" s="594" t="n">
        <v>536</v>
      </c>
      <c r="B516" s="5" t="inlineStr">
        <is>
          <t>Hosur</t>
        </is>
      </c>
      <c r="C516" s="601" t="inlineStr">
        <is>
          <t>SRI BALAJI GEARS V4</t>
        </is>
      </c>
      <c r="D516" s="601" t="n"/>
      <c r="E516" s="601" t="n">
        <v>188595</v>
      </c>
      <c r="F516" s="9" t="n">
        <v>3572031</v>
      </c>
      <c r="G516" s="601" t="inlineStr">
        <is>
          <t>TUB-S-AW-AUT-19.00X19.00X1.000X0.7100</t>
        </is>
      </c>
      <c r="H516" s="601" t="inlineStr">
        <is>
          <t>CRFH</t>
        </is>
      </c>
      <c r="I516" s="601" t="n"/>
      <c r="J516" s="601" t="inlineStr">
        <is>
          <t>PE</t>
        </is>
      </c>
      <c r="K516" s="601" t="n"/>
      <c r="L516" s="601" t="n"/>
      <c r="M516" s="601" t="n"/>
      <c r="N516" s="601" t="n"/>
      <c r="O516" s="601" t="n"/>
      <c r="P516" s="557">
        <f>CONCATENATE(schedule13[[#This Row],[OD]],"-",schedule13[[#This Row],[ID]],"-",schedule13[[#This Row],[TICKNESS]],"-",schedule13[[#This Row],[GRADE]],"-",schedule13[[#This Row],[FC/NFC]])</f>
        <v/>
      </c>
      <c r="Q516" s="557" t="n"/>
      <c r="R516" s="557" t="n"/>
      <c r="S516" s="599" t="n">
        <v>23.42</v>
      </c>
      <c r="T516" s="599" t="n">
        <v>19</v>
      </c>
      <c r="U516" s="599" t="n">
        <v>19</v>
      </c>
      <c r="V516" s="599" t="n">
        <v>1</v>
      </c>
      <c r="W516" s="22" t="n">
        <v>710</v>
      </c>
      <c r="X516" s="22" t="n"/>
      <c r="Y516" s="601" t="n">
        <v>3000</v>
      </c>
      <c r="Z516" s="598" t="n"/>
      <c r="AA516" s="602">
        <f>Y516-Z516</f>
        <v/>
      </c>
      <c r="AB516" s="599">
        <f>(S516-V516)*V516*W516*0.024653*Y516/1000000</f>
        <v/>
      </c>
      <c r="AC516" s="599">
        <f>(S516-V516)*V516*W516*0.024653*Z516/1000000</f>
        <v/>
      </c>
      <c r="AD516" s="599">
        <f>AB516-AC516</f>
        <v/>
      </c>
      <c r="AE516" s="10" t="n"/>
      <c r="AF516" s="10" t="n"/>
      <c r="AG516" s="10" t="n"/>
      <c r="AH516" s="10" t="n"/>
      <c r="AI516" s="121" t="n"/>
    </row>
    <row r="517" hidden="1" s="584">
      <c r="A517" s="594" t="n">
        <v>537</v>
      </c>
      <c r="B517" s="5" t="inlineStr">
        <is>
          <t>Hosur</t>
        </is>
      </c>
      <c r="C517" s="601" t="inlineStr">
        <is>
          <t>SRI BALAJI GEARS V4</t>
        </is>
      </c>
      <c r="D517" s="601" t="n"/>
      <c r="E517" s="601" t="n">
        <v>188595</v>
      </c>
      <c r="F517" s="9" t="n">
        <v>3571870</v>
      </c>
      <c r="G517" s="601" t="inlineStr">
        <is>
          <t>TUB-S-AW-AUT-19.00X19.00X1.000X0.5400</t>
        </is>
      </c>
      <c r="H517" s="601" t="inlineStr">
        <is>
          <t>CRFH</t>
        </is>
      </c>
      <c r="I517" s="601" t="n"/>
      <c r="J517" s="601" t="inlineStr">
        <is>
          <t>PE</t>
        </is>
      </c>
      <c r="K517" s="601" t="n"/>
      <c r="L517" s="601" t="n"/>
      <c r="M517" s="601" t="n"/>
      <c r="N517" s="601" t="n"/>
      <c r="O517" s="601" t="n"/>
      <c r="P517" s="557">
        <f>CONCATENATE(schedule13[[#This Row],[OD]],"-",schedule13[[#This Row],[ID]],"-",schedule13[[#This Row],[TICKNESS]],"-",schedule13[[#This Row],[GRADE]],"-",schedule13[[#This Row],[FC/NFC]])</f>
        <v/>
      </c>
      <c r="Q517" s="557" t="n"/>
      <c r="R517" s="557" t="n"/>
      <c r="S517" s="599" t="n">
        <v>23.42</v>
      </c>
      <c r="T517" s="599" t="n">
        <v>19</v>
      </c>
      <c r="U517" s="599" t="n">
        <v>19</v>
      </c>
      <c r="V517" s="599" t="n">
        <v>1</v>
      </c>
      <c r="W517" s="22" t="n">
        <v>540</v>
      </c>
      <c r="X517" s="22" t="n"/>
      <c r="Y517" s="601" t="n">
        <v>3000</v>
      </c>
      <c r="Z517" s="598" t="n"/>
      <c r="AA517" s="602">
        <f>Y517-Z517</f>
        <v/>
      </c>
      <c r="AB517" s="599">
        <f>(S517-V517)*V517*W517*0.024653*Y517/1000000</f>
        <v/>
      </c>
      <c r="AC517" s="599">
        <f>(S517-V517)*V517*W517*0.024653*Z517/1000000</f>
        <v/>
      </c>
      <c r="AD517" s="599">
        <f>AB517-AC517</f>
        <v/>
      </c>
      <c r="AE517" s="10" t="n"/>
      <c r="AF517" s="10" t="n"/>
      <c r="AG517" s="10" t="n"/>
      <c r="AH517" s="10" t="n"/>
      <c r="AI517" s="121" t="n"/>
    </row>
    <row r="518" hidden="1" s="584">
      <c r="A518" s="594" t="n">
        <v>538</v>
      </c>
      <c r="B518" s="5" t="inlineStr">
        <is>
          <t>Hosur</t>
        </is>
      </c>
      <c r="C518" s="601" t="inlineStr">
        <is>
          <t>SRI BALAJI GEARS V4</t>
        </is>
      </c>
      <c r="D518" s="601" t="n"/>
      <c r="E518" s="601" t="n">
        <v>188595</v>
      </c>
      <c r="F518" s="9" t="n">
        <v>3571869</v>
      </c>
      <c r="G518" s="601" t="inlineStr">
        <is>
          <t>TUB-S-AW-AUT-19.00X19.00X1.000X0.4860</t>
        </is>
      </c>
      <c r="H518" s="601" t="inlineStr">
        <is>
          <t>CRFH</t>
        </is>
      </c>
      <c r="I518" s="601" t="n"/>
      <c r="J518" s="601" t="inlineStr">
        <is>
          <t>PE</t>
        </is>
      </c>
      <c r="K518" s="601" t="n"/>
      <c r="L518" s="601" t="n"/>
      <c r="M518" s="601" t="n"/>
      <c r="N518" s="601" t="n"/>
      <c r="O518" s="601" t="n"/>
      <c r="P518" s="557">
        <f>CONCATENATE(schedule13[[#This Row],[OD]],"-",schedule13[[#This Row],[ID]],"-",schedule13[[#This Row],[TICKNESS]],"-",schedule13[[#This Row],[GRADE]],"-",schedule13[[#This Row],[FC/NFC]])</f>
        <v/>
      </c>
      <c r="Q518" s="557" t="n"/>
      <c r="R518" s="557" t="n"/>
      <c r="S518" s="599" t="n">
        <v>23.42</v>
      </c>
      <c r="T518" s="599" t="n">
        <v>19</v>
      </c>
      <c r="U518" s="599" t="n">
        <v>19</v>
      </c>
      <c r="V518" s="599" t="n">
        <v>1</v>
      </c>
      <c r="W518" s="22" t="n">
        <v>486</v>
      </c>
      <c r="X518" s="22" t="n"/>
      <c r="Y518" s="601" t="n">
        <v>1500</v>
      </c>
      <c r="Z518" s="598" t="n"/>
      <c r="AA518" s="602">
        <f>Y518-Z518</f>
        <v/>
      </c>
      <c r="AB518" s="599">
        <f>(S518-V518)*V518*W518*0.024653*Y518/1000000</f>
        <v/>
      </c>
      <c r="AC518" s="599">
        <f>(S518-V518)*V518*W518*0.024653*Z518/1000000</f>
        <v/>
      </c>
      <c r="AD518" s="599">
        <f>AB518-AC518</f>
        <v/>
      </c>
      <c r="AE518" s="10" t="n"/>
      <c r="AF518" s="10" t="n"/>
      <c r="AG518" s="10" t="n"/>
      <c r="AH518" s="10" t="n"/>
      <c r="AI518" s="121" t="n"/>
    </row>
    <row r="519" hidden="1" s="584">
      <c r="A519" s="594" t="n">
        <v>539</v>
      </c>
      <c r="B519" s="5" t="inlineStr">
        <is>
          <t>Hosur</t>
        </is>
      </c>
      <c r="C519" s="601" t="inlineStr">
        <is>
          <t>SRI BALAJI GEARS V4</t>
        </is>
      </c>
      <c r="D519" s="601" t="n"/>
      <c r="E519" s="601" t="n">
        <v>188595</v>
      </c>
      <c r="F519" s="9" t="n">
        <v>3571868</v>
      </c>
      <c r="G519" s="601" t="inlineStr">
        <is>
          <t>TUB-S-AW-AUT-19.00X19.00X1.000X0.3920</t>
        </is>
      </c>
      <c r="H519" s="601" t="inlineStr">
        <is>
          <t>CRFH</t>
        </is>
      </c>
      <c r="I519" s="601" t="n"/>
      <c r="J519" s="601" t="inlineStr">
        <is>
          <t>PE</t>
        </is>
      </c>
      <c r="K519" s="601" t="n"/>
      <c r="L519" s="601" t="n"/>
      <c r="M519" s="601" t="n"/>
      <c r="N519" s="601" t="n"/>
      <c r="O519" s="601" t="n"/>
      <c r="P519" s="557">
        <f>CONCATENATE(schedule13[[#This Row],[OD]],"-",schedule13[[#This Row],[ID]],"-",schedule13[[#This Row],[TICKNESS]],"-",schedule13[[#This Row],[GRADE]],"-",schedule13[[#This Row],[FC/NFC]])</f>
        <v/>
      </c>
      <c r="Q519" s="557" t="n"/>
      <c r="R519" s="557" t="n"/>
      <c r="S519" s="599" t="n">
        <v>23.42</v>
      </c>
      <c r="T519" s="599" t="n">
        <v>19</v>
      </c>
      <c r="U519" s="599" t="n">
        <v>19</v>
      </c>
      <c r="V519" s="599" t="n">
        <v>1</v>
      </c>
      <c r="W519" s="22" t="n">
        <v>392</v>
      </c>
      <c r="X519" s="22" t="n"/>
      <c r="Y519" s="601" t="n">
        <v>3000</v>
      </c>
      <c r="Z519" s="598" t="n"/>
      <c r="AA519" s="602">
        <f>Y519-Z519</f>
        <v/>
      </c>
      <c r="AB519" s="599">
        <f>(S519-V519)*V519*W519*0.024653*Y519/1000000</f>
        <v/>
      </c>
      <c r="AC519" s="599">
        <f>(S519-V519)*V519*W519*0.024653*Z519/1000000</f>
        <v/>
      </c>
      <c r="AD519" s="599">
        <f>AB519-AC519</f>
        <v/>
      </c>
      <c r="AE519" s="10" t="n"/>
      <c r="AF519" s="10" t="n"/>
      <c r="AG519" s="10" t="n"/>
      <c r="AH519" s="10" t="n"/>
      <c r="AI519" s="121" t="n"/>
    </row>
    <row r="520" hidden="1" s="584">
      <c r="A520" s="594" t="n">
        <v>540</v>
      </c>
      <c r="B520" s="5" t="inlineStr">
        <is>
          <t>Hosur</t>
        </is>
      </c>
      <c r="C520" s="601" t="inlineStr">
        <is>
          <t>SRI BALAJI GEARS V4</t>
        </is>
      </c>
      <c r="D520" s="601" t="n"/>
      <c r="E520" s="601" t="n">
        <v>188595</v>
      </c>
      <c r="F520" s="9" t="n">
        <v>3571864</v>
      </c>
      <c r="G520" s="601" t="inlineStr">
        <is>
          <t>TUB-S-AW-AUT-19.00X19.00X1.000X0.2900</t>
        </is>
      </c>
      <c r="H520" s="601" t="inlineStr">
        <is>
          <t>CRFH</t>
        </is>
      </c>
      <c r="I520" s="601" t="n"/>
      <c r="J520" s="601" t="inlineStr">
        <is>
          <t>PE</t>
        </is>
      </c>
      <c r="K520" s="601" t="n"/>
      <c r="L520" s="601" t="n"/>
      <c r="M520" s="601" t="n"/>
      <c r="N520" s="601" t="n"/>
      <c r="O520" s="601" t="n"/>
      <c r="P520" s="557">
        <f>CONCATENATE(schedule13[[#This Row],[OD]],"-",schedule13[[#This Row],[ID]],"-",schedule13[[#This Row],[TICKNESS]],"-",schedule13[[#This Row],[GRADE]],"-",schedule13[[#This Row],[FC/NFC]])</f>
        <v/>
      </c>
      <c r="Q520" s="557" t="n"/>
      <c r="R520" s="557" t="n"/>
      <c r="S520" s="599" t="n">
        <v>23.42</v>
      </c>
      <c r="T520" s="599" t="n">
        <v>19</v>
      </c>
      <c r="U520" s="599" t="n">
        <v>19</v>
      </c>
      <c r="V520" s="599" t="n">
        <v>1</v>
      </c>
      <c r="W520" s="22" t="n">
        <v>290</v>
      </c>
      <c r="X520" s="22" t="n"/>
      <c r="Y520" s="601" t="n">
        <v>3000</v>
      </c>
      <c r="Z520" s="598" t="n"/>
      <c r="AA520" s="602">
        <f>Y520-Z520</f>
        <v/>
      </c>
      <c r="AB520" s="599">
        <f>(S520-V520)*V520*W520*0.024653*Y520/1000000</f>
        <v/>
      </c>
      <c r="AC520" s="599">
        <f>(S520-V520)*V520*W520*0.024653*Z520/1000000</f>
        <v/>
      </c>
      <c r="AD520" s="599">
        <f>AB520-AC520</f>
        <v/>
      </c>
      <c r="AE520" s="10" t="n"/>
      <c r="AF520" s="10" t="n"/>
      <c r="AG520" s="10" t="n"/>
      <c r="AH520" s="10" t="n"/>
      <c r="AI520" s="121" t="n"/>
    </row>
    <row r="521" hidden="1" s="584">
      <c r="A521" s="594" t="n">
        <v>541</v>
      </c>
      <c r="B521" s="5" t="inlineStr">
        <is>
          <t>Hosur</t>
        </is>
      </c>
      <c r="C521" s="601" t="inlineStr">
        <is>
          <t>SRI BALAJI GEARS V4</t>
        </is>
      </c>
      <c r="D521" s="601" t="n"/>
      <c r="E521" s="601" t="n">
        <v>188595</v>
      </c>
      <c r="F521" s="9" t="n">
        <v>3230486</v>
      </c>
      <c r="G521" s="601" t="inlineStr">
        <is>
          <t>TUB-S-AW-AUT-19.00X19.00X1.000X0.1500</t>
        </is>
      </c>
      <c r="H521" s="601" t="inlineStr">
        <is>
          <t>CRFH</t>
        </is>
      </c>
      <c r="I521" s="601" t="n"/>
      <c r="J521" s="601" t="inlineStr">
        <is>
          <t>PE</t>
        </is>
      </c>
      <c r="K521" s="601" t="n"/>
      <c r="L521" s="601" t="n"/>
      <c r="M521" s="601" t="n"/>
      <c r="N521" s="601" t="n"/>
      <c r="O521" s="601" t="n"/>
      <c r="P521" s="557">
        <f>CONCATENATE(schedule13[[#This Row],[OD]],"-",schedule13[[#This Row],[ID]],"-",schedule13[[#This Row],[TICKNESS]],"-",schedule13[[#This Row],[GRADE]],"-",schedule13[[#This Row],[FC/NFC]])</f>
        <v/>
      </c>
      <c r="Q521" s="557" t="n"/>
      <c r="R521" s="557" t="n"/>
      <c r="S521" s="599" t="n">
        <v>23.42</v>
      </c>
      <c r="T521" s="599" t="n">
        <v>19</v>
      </c>
      <c r="U521" s="599" t="n">
        <v>19</v>
      </c>
      <c r="V521" s="599" t="n">
        <v>1</v>
      </c>
      <c r="W521" s="22" t="n">
        <v>150</v>
      </c>
      <c r="X521" s="22" t="n"/>
      <c r="Y521" s="601" t="n">
        <v>1500</v>
      </c>
      <c r="Z521" s="598" t="n"/>
      <c r="AA521" s="602">
        <f>Y521-Z521</f>
        <v/>
      </c>
      <c r="AB521" s="599">
        <f>(S521-V521)*V521*W521*0.024653*Y521/1000000</f>
        <v/>
      </c>
      <c r="AC521" s="599">
        <f>(S521-V521)*V521*W521*0.024653*Z521/1000000</f>
        <v/>
      </c>
      <c r="AD521" s="599">
        <f>AB521-AC521</f>
        <v/>
      </c>
      <c r="AE521" s="10" t="n"/>
      <c r="AF521" s="10" t="n"/>
      <c r="AG521" s="10" t="n"/>
      <c r="AH521" s="10" t="n"/>
      <c r="AI521" s="121" t="n"/>
    </row>
    <row r="522" hidden="1" s="584">
      <c r="A522" s="594" t="n">
        <v>542</v>
      </c>
      <c r="B522" s="5" t="inlineStr">
        <is>
          <t>Hosur</t>
        </is>
      </c>
      <c r="C522" s="596" t="inlineStr">
        <is>
          <t>SRI BALAJI GEARS V4</t>
        </is>
      </c>
      <c r="D522" s="596" t="n"/>
      <c r="E522" s="596" t="n">
        <v>188595</v>
      </c>
      <c r="F522" s="87" t="n">
        <v>3938687</v>
      </c>
      <c r="G522" s="601" t="inlineStr">
        <is>
          <t>TUB-S-AW-AUT-19.00X19.00X1.000X0.1290</t>
        </is>
      </c>
      <c r="H522" s="601" t="inlineStr">
        <is>
          <t>CRFH</t>
        </is>
      </c>
      <c r="I522" s="596" t="n"/>
      <c r="J522" s="596" t="inlineStr">
        <is>
          <t>PE</t>
        </is>
      </c>
      <c r="K522" s="596" t="n"/>
      <c r="L522" s="596" t="n"/>
      <c r="M522" s="596" t="n"/>
      <c r="N522" s="596" t="n"/>
      <c r="O522" s="596" t="n"/>
      <c r="P522" s="557">
        <f>CONCATENATE(schedule13[[#This Row],[OD]],"-",schedule13[[#This Row],[ID]],"-",schedule13[[#This Row],[TICKNESS]],"-",schedule13[[#This Row],[GRADE]],"-",schedule13[[#This Row],[FC/NFC]])</f>
        <v/>
      </c>
      <c r="Q522" s="557" t="n"/>
      <c r="R522" s="557" t="n"/>
      <c r="S522" s="599" t="n">
        <v>23.42</v>
      </c>
      <c r="T522" s="599" t="n">
        <v>19</v>
      </c>
      <c r="U522" s="599" t="n">
        <v>19</v>
      </c>
      <c r="V522" s="599" t="n">
        <v>1</v>
      </c>
      <c r="W522" s="22" t="n">
        <v>129</v>
      </c>
      <c r="X522" s="22" t="n"/>
      <c r="Y522" s="601" t="n">
        <v>6000</v>
      </c>
      <c r="Z522" s="85" t="n"/>
      <c r="AA522" s="82">
        <f>Y522-Z522</f>
        <v/>
      </c>
      <c r="AB522" s="79">
        <f>(S522-V522)*V522*W522*0.024653*Y522/1000000</f>
        <v/>
      </c>
      <c r="AC522" s="599">
        <f>(S522-V522)*V522*W522*0.024653*Z522/1000000</f>
        <v/>
      </c>
      <c r="AD522" s="599">
        <f>AB522-AC522</f>
        <v/>
      </c>
      <c r="AE522" s="10" t="n"/>
      <c r="AF522" s="10" t="n"/>
      <c r="AG522" s="10" t="n"/>
      <c r="AH522" s="10" t="n"/>
      <c r="AI522" s="121" t="n"/>
    </row>
    <row r="523" hidden="1" s="584">
      <c r="A523" s="594" t="n">
        <v>543</v>
      </c>
      <c r="B523" s="5" t="inlineStr">
        <is>
          <t>Hosur</t>
        </is>
      </c>
      <c r="C523" s="601" t="inlineStr">
        <is>
          <t>SRI BALAJI GEARS V4</t>
        </is>
      </c>
      <c r="D523" s="601" t="n"/>
      <c r="E523" s="601" t="n">
        <v>188595</v>
      </c>
      <c r="F523" s="9" t="n">
        <v>3931835</v>
      </c>
      <c r="G523" s="601" t="inlineStr">
        <is>
          <t>CUT-R-AW-AUT-19.00X19.00X1.000X0.1100</t>
        </is>
      </c>
      <c r="H523" s="601" t="inlineStr">
        <is>
          <t>CRFH</t>
        </is>
      </c>
      <c r="I523" s="601" t="n"/>
      <c r="J523" s="601" t="inlineStr">
        <is>
          <t>PE</t>
        </is>
      </c>
      <c r="K523" s="601" t="n"/>
      <c r="L523" s="601" t="n"/>
      <c r="M523" s="601" t="n"/>
      <c r="N523" s="601" t="n"/>
      <c r="O523" s="601" t="n"/>
      <c r="P523" s="557">
        <f>CONCATENATE(schedule13[[#This Row],[OD]],"-",schedule13[[#This Row],[ID]],"-",schedule13[[#This Row],[TICKNESS]],"-",schedule13[[#This Row],[GRADE]],"-",schedule13[[#This Row],[FC/NFC]])</f>
        <v/>
      </c>
      <c r="Q523" s="557" t="n"/>
      <c r="R523" s="557" t="n"/>
      <c r="S523" s="599" t="n">
        <v>23.42</v>
      </c>
      <c r="T523" s="599" t="n">
        <v>19</v>
      </c>
      <c r="U523" s="599" t="n">
        <v>19</v>
      </c>
      <c r="V523" s="599" t="n">
        <v>1</v>
      </c>
      <c r="W523" s="22" t="n">
        <v>110</v>
      </c>
      <c r="X523" s="22" t="n"/>
      <c r="Y523" s="601" t="n">
        <v>3000</v>
      </c>
      <c r="Z523" s="598" t="n"/>
      <c r="AA523" s="602">
        <f>Y523-Z523</f>
        <v/>
      </c>
      <c r="AB523" s="599">
        <f>(S523-V523)*V523*W523*0.024653*Y523/1000000</f>
        <v/>
      </c>
      <c r="AC523" s="599">
        <f>(S523-V523)*V523*W523*0.024653*Z523/1000000</f>
        <v/>
      </c>
      <c r="AD523" s="599">
        <f>AB523-AC523</f>
        <v/>
      </c>
      <c r="AE523" s="10" t="n"/>
      <c r="AF523" s="10" t="n"/>
      <c r="AG523" s="10" t="n"/>
      <c r="AH523" s="10" t="n"/>
      <c r="AI523" s="121" t="n"/>
      <c r="AJ523" s="15" t="n">
        <v>9518493649</v>
      </c>
    </row>
    <row r="524" hidden="1" s="584">
      <c r="A524" s="594" t="n">
        <v>544</v>
      </c>
      <c r="B524" s="5" t="inlineStr">
        <is>
          <t>Hosur</t>
        </is>
      </c>
      <c r="C524" s="601" t="inlineStr">
        <is>
          <t>SRI BALAJI GEARS V4</t>
        </is>
      </c>
      <c r="D524" s="601" t="n"/>
      <c r="E524" s="601" t="n">
        <v>188595</v>
      </c>
      <c r="F524" s="9" t="n">
        <v>3931834</v>
      </c>
      <c r="G524" s="601" t="inlineStr">
        <is>
          <t>HT1-R-AW-AUT-19.00X19.00X1.000X0.1000</t>
        </is>
      </c>
      <c r="H524" s="601" t="inlineStr">
        <is>
          <t>CRFH</t>
        </is>
      </c>
      <c r="I524" s="601" t="n"/>
      <c r="J524" s="601" t="inlineStr">
        <is>
          <t>PE</t>
        </is>
      </c>
      <c r="K524" s="601" t="n"/>
      <c r="L524" s="601" t="n"/>
      <c r="M524" s="601" t="n"/>
      <c r="N524" s="601" t="n"/>
      <c r="O524" s="601" t="n"/>
      <c r="P524" s="557">
        <f>CONCATENATE(schedule13[[#This Row],[OD]],"-",schedule13[[#This Row],[ID]],"-",schedule13[[#This Row],[TICKNESS]],"-",schedule13[[#This Row],[GRADE]],"-",schedule13[[#This Row],[FC/NFC]])</f>
        <v/>
      </c>
      <c r="Q524" s="557" t="n"/>
      <c r="R524" s="557" t="n"/>
      <c r="S524" s="599" t="n">
        <v>23.42</v>
      </c>
      <c r="T524" s="599" t="n">
        <v>19</v>
      </c>
      <c r="U524" s="599" t="n">
        <v>19</v>
      </c>
      <c r="V524" s="599" t="n">
        <v>1</v>
      </c>
      <c r="W524" s="22" t="n">
        <v>100</v>
      </c>
      <c r="X524" s="22" t="n"/>
      <c r="Y524" s="601" t="n">
        <v>3000</v>
      </c>
      <c r="Z524" s="598" t="n"/>
      <c r="AA524" s="602">
        <f>Y524-Z524</f>
        <v/>
      </c>
      <c r="AB524" s="599">
        <f>(S524-V524)*V524*W524*0.024653*Y524/1000000</f>
        <v/>
      </c>
      <c r="AC524" s="599">
        <f>(S524-V524)*V524*W524*0.024653*Z524/1000000</f>
        <v/>
      </c>
      <c r="AD524" s="599">
        <f>AB524-AC524</f>
        <v/>
      </c>
      <c r="AE524" s="10" t="n"/>
      <c r="AF524" s="10" t="n"/>
      <c r="AG524" s="10" t="n"/>
      <c r="AH524" s="10" t="n"/>
      <c r="AI524" s="121" t="n"/>
    </row>
    <row r="525" hidden="1" s="584">
      <c r="A525" s="594" t="n">
        <v>545</v>
      </c>
      <c r="B525" s="5" t="inlineStr">
        <is>
          <t>Hosur</t>
        </is>
      </c>
      <c r="C525" s="601" t="inlineStr">
        <is>
          <t>SRI BALAJI GEARS V4</t>
        </is>
      </c>
      <c r="D525" s="601" t="n"/>
      <c r="E525" s="601" t="n">
        <v>188595</v>
      </c>
      <c r="F525" s="9" t="n">
        <v>3572043</v>
      </c>
      <c r="G525" s="601" t="inlineStr">
        <is>
          <t>TUB-S-AW-AUT-25.00X25.00X1.200X0.6420</t>
        </is>
      </c>
      <c r="H525" s="601" t="inlineStr">
        <is>
          <t>CRFH</t>
        </is>
      </c>
      <c r="I525" s="601" t="n"/>
      <c r="J525" s="601" t="inlineStr">
        <is>
          <t>PE</t>
        </is>
      </c>
      <c r="K525" s="601" t="n"/>
      <c r="L525" s="601" t="n"/>
      <c r="M525" s="601" t="n"/>
      <c r="N525" s="601" t="n"/>
      <c r="O525" s="601" t="n"/>
      <c r="P525" s="557">
        <f>CONCATENATE(schedule13[[#This Row],[OD]],"-",schedule13[[#This Row],[ID]],"-",schedule13[[#This Row],[TICKNESS]],"-",schedule13[[#This Row],[GRADE]],"-",schedule13[[#This Row],[FC/NFC]])</f>
        <v/>
      </c>
      <c r="Q525" s="557" t="n"/>
      <c r="R525" s="557" t="n"/>
      <c r="S525" s="599" t="n">
        <v>31.75</v>
      </c>
      <c r="T525" s="599" t="n">
        <v>25</v>
      </c>
      <c r="U525" s="599" t="n">
        <v>25</v>
      </c>
      <c r="V525" s="599" t="n">
        <v>1.2</v>
      </c>
      <c r="W525" s="22" t="n">
        <v>642</v>
      </c>
      <c r="X525" s="22" t="n"/>
      <c r="Y525" s="601" t="n">
        <v>3000</v>
      </c>
      <c r="Z525" s="598" t="n"/>
      <c r="AA525" s="602">
        <f>Y525-Z525</f>
        <v/>
      </c>
      <c r="AB525" s="599">
        <f>(S525-V525)*V525*W525*0.024653*Y525/1000000</f>
        <v/>
      </c>
      <c r="AC525" s="599">
        <f>(S525-V525)*V525*W525*0.024653*Z525/1000000</f>
        <v/>
      </c>
      <c r="AD525" s="599">
        <f>AB525-AC525</f>
        <v/>
      </c>
      <c r="AE525" s="10" t="n"/>
      <c r="AF525" s="10" t="n"/>
      <c r="AG525" s="10" t="n"/>
      <c r="AH525" s="10" t="n"/>
      <c r="AI525" s="121" t="n"/>
    </row>
    <row r="526" hidden="1" s="584">
      <c r="A526" s="594" t="n">
        <v>546</v>
      </c>
      <c r="B526" s="5" t="inlineStr">
        <is>
          <t>Hosur</t>
        </is>
      </c>
      <c r="C526" s="601" t="inlineStr">
        <is>
          <t>SRI BALAJI GEARS V4</t>
        </is>
      </c>
      <c r="D526" s="601" t="n"/>
      <c r="E526" s="601" t="n">
        <v>188595</v>
      </c>
      <c r="F526" s="9" t="n">
        <v>3572055</v>
      </c>
      <c r="G526" s="601" t="inlineStr">
        <is>
          <t>TUB-S-AW-AUT-40.00X40.00X1.200X0.1580</t>
        </is>
      </c>
      <c r="H526" s="601" t="inlineStr">
        <is>
          <t>CRFH</t>
        </is>
      </c>
      <c r="I526" s="601" t="n"/>
      <c r="J526" s="601" t="inlineStr">
        <is>
          <t>PE</t>
        </is>
      </c>
      <c r="K526" s="601" t="n"/>
      <c r="L526" s="601" t="n"/>
      <c r="M526" s="601" t="n"/>
      <c r="N526" s="601" t="n"/>
      <c r="O526" s="601" t="n"/>
      <c r="P526" s="557">
        <f>CONCATENATE(schedule13[[#This Row],[OD]],"-",schedule13[[#This Row],[ID]],"-",schedule13[[#This Row],[TICKNESS]],"-",schedule13[[#This Row],[GRADE]],"-",schedule13[[#This Row],[FC/NFC]])</f>
        <v/>
      </c>
      <c r="Q526" s="557" t="n"/>
      <c r="R526" s="557" t="n"/>
      <c r="S526" s="599" t="n">
        <v>50.8</v>
      </c>
      <c r="T526" s="599" t="n">
        <v>40</v>
      </c>
      <c r="U526" s="599" t="n">
        <v>40</v>
      </c>
      <c r="V526" s="599" t="n">
        <v>1.2</v>
      </c>
      <c r="W526" s="22" t="n">
        <v>158</v>
      </c>
      <c r="X526" s="22" t="n"/>
      <c r="Y526" s="601" t="n">
        <v>6000</v>
      </c>
      <c r="Z526" s="598" t="n"/>
      <c r="AA526" s="602">
        <f>Y526-Z526</f>
        <v/>
      </c>
      <c r="AB526" s="599">
        <f>(S526-V526)*V526*W526*0.024653*Y526/1000000</f>
        <v/>
      </c>
      <c r="AC526" s="599">
        <f>(S526-V526)*V526*W526*0.024653*Z526/1000000</f>
        <v/>
      </c>
      <c r="AD526" s="599">
        <f>AB526-AC526</f>
        <v/>
      </c>
      <c r="AE526" s="10" t="n"/>
      <c r="AF526" s="10" t="n"/>
      <c r="AG526" s="10" t="n"/>
      <c r="AH526" s="10" t="n"/>
      <c r="AI526" s="121" t="n"/>
    </row>
    <row r="527" hidden="1" s="584">
      <c r="A527" s="594" t="n">
        <v>547</v>
      </c>
      <c r="B527" s="5" t="inlineStr">
        <is>
          <t>Hosur</t>
        </is>
      </c>
      <c r="C527" s="596" t="inlineStr">
        <is>
          <t>SRI BALAJI GEARS V4</t>
        </is>
      </c>
      <c r="D527" s="596" t="n"/>
      <c r="E527" s="596" t="n">
        <v>188595</v>
      </c>
      <c r="F527" s="87" t="n">
        <v>3938685</v>
      </c>
      <c r="G527" s="601" t="inlineStr">
        <is>
          <t>TUB-S-AW-AUT-40.00X40.00X1.200X85.0000</t>
        </is>
      </c>
      <c r="H527" s="601" t="inlineStr">
        <is>
          <t>CRFH</t>
        </is>
      </c>
      <c r="I527" s="596" t="n"/>
      <c r="J527" s="596" t="inlineStr">
        <is>
          <t>PE</t>
        </is>
      </c>
      <c r="K527" s="596" t="n"/>
      <c r="L527" s="596" t="n"/>
      <c r="M527" s="596" t="n"/>
      <c r="N527" s="596" t="n"/>
      <c r="O527" s="596" t="n"/>
      <c r="P527" s="557">
        <f>CONCATENATE(schedule13[[#This Row],[OD]],"-",schedule13[[#This Row],[ID]],"-",schedule13[[#This Row],[TICKNESS]],"-",schedule13[[#This Row],[GRADE]],"-",schedule13[[#This Row],[FC/NFC]])</f>
        <v/>
      </c>
      <c r="Q527" s="557" t="n"/>
      <c r="R527" s="557" t="n"/>
      <c r="S527" s="599" t="n">
        <v>50.8</v>
      </c>
      <c r="T527" s="599" t="n">
        <v>40</v>
      </c>
      <c r="U527" s="599" t="n">
        <v>40</v>
      </c>
      <c r="V527" s="599" t="n">
        <v>1.2</v>
      </c>
      <c r="W527" s="22" t="n">
        <v>85</v>
      </c>
      <c r="X527" s="22" t="n"/>
      <c r="Y527" s="601" t="n">
        <v>3000</v>
      </c>
      <c r="Z527" s="85" t="n"/>
      <c r="AA527" s="82">
        <f>Y527-Z527</f>
        <v/>
      </c>
      <c r="AB527" s="79">
        <f>(S527-V527)*V527*W527*0.024653*Y527/1000000</f>
        <v/>
      </c>
      <c r="AC527" s="599">
        <f>(S527-V527)*V527*W527*0.024653*Z527/1000000</f>
        <v/>
      </c>
      <c r="AD527" s="599">
        <f>AB527-AC527</f>
        <v/>
      </c>
      <c r="AE527" s="10" t="n"/>
      <c r="AF527" s="10" t="n"/>
      <c r="AG527" s="10" t="n"/>
      <c r="AH527" s="10" t="n"/>
      <c r="AI527" s="121" t="n"/>
    </row>
    <row r="528" hidden="1" s="584">
      <c r="A528" s="594" t="n">
        <v>548</v>
      </c>
      <c r="B528" s="5" t="inlineStr">
        <is>
          <t>Hosur</t>
        </is>
      </c>
      <c r="C528" s="601" t="inlineStr">
        <is>
          <t>SRI BALAJI GEARS V4</t>
        </is>
      </c>
      <c r="D528" s="601" t="n"/>
      <c r="E528" s="601" t="n">
        <v>188595</v>
      </c>
      <c r="F528" s="9" t="n">
        <v>3572045</v>
      </c>
      <c r="G528" s="601" t="inlineStr">
        <is>
          <t>TUB-S-AW-AUT-30.00X30.00X1.200X0.1400</t>
        </is>
      </c>
      <c r="H528" s="601" t="inlineStr">
        <is>
          <t>CRFH</t>
        </is>
      </c>
      <c r="I528" s="601" t="n"/>
      <c r="J528" s="601" t="inlineStr">
        <is>
          <t>PE</t>
        </is>
      </c>
      <c r="K528" s="601" t="n"/>
      <c r="L528" s="601" t="n"/>
      <c r="M528" s="601" t="n"/>
      <c r="N528" s="601" t="n"/>
      <c r="O528" s="601" t="n"/>
      <c r="P528" s="557">
        <f>CONCATENATE(schedule13[[#This Row],[OD]],"-",schedule13[[#This Row],[ID]],"-",schedule13[[#This Row],[TICKNESS]],"-",schedule13[[#This Row],[GRADE]],"-",schedule13[[#This Row],[FC/NFC]])</f>
        <v/>
      </c>
      <c r="Q528" s="557" t="n"/>
      <c r="R528" s="557" t="n"/>
      <c r="S528" s="599" t="n">
        <v>38.1</v>
      </c>
      <c r="T528" s="599" t="n">
        <v>30</v>
      </c>
      <c r="U528" s="599" t="n">
        <v>30</v>
      </c>
      <c r="V528" s="599" t="n">
        <v>1.2</v>
      </c>
      <c r="W528" s="22" t="n">
        <v>140</v>
      </c>
      <c r="X528" s="22" t="n"/>
      <c r="Y528" s="601" t="n">
        <v>3000</v>
      </c>
      <c r="Z528" s="598" t="n"/>
      <c r="AA528" s="602">
        <f>Y528-Z528</f>
        <v/>
      </c>
      <c r="AB528" s="599">
        <f>(S528-V528)*V528*W528*0.024653*Y528/1000000</f>
        <v/>
      </c>
      <c r="AC528" s="599">
        <f>(S528-V528)*V528*W528*0.024653*Z528/1000000</f>
        <v/>
      </c>
      <c r="AD528" s="599">
        <f>AB528-AC528</f>
        <v/>
      </c>
      <c r="AE528" s="10" t="n"/>
      <c r="AF528" s="10" t="n"/>
      <c r="AG528" s="10" t="n"/>
      <c r="AH528" s="10" t="n"/>
      <c r="AI528" s="121" t="n"/>
    </row>
    <row r="529" hidden="1" s="584">
      <c r="A529" s="594" t="n">
        <v>549</v>
      </c>
      <c r="B529" s="5" t="inlineStr">
        <is>
          <t>Hosur</t>
        </is>
      </c>
      <c r="C529" s="601" t="inlineStr">
        <is>
          <t>SRI BALAJI GEARS V4</t>
        </is>
      </c>
      <c r="D529" s="601" t="n"/>
      <c r="E529" s="601" t="n">
        <v>188595</v>
      </c>
      <c r="F529" s="9" t="n">
        <v>3929692</v>
      </c>
      <c r="G529" s="601" t="inlineStr">
        <is>
          <t>CUT-O-N-AUT-AW-PE-19.05X1.200X1.2300</t>
        </is>
      </c>
      <c r="H529" s="601" t="inlineStr">
        <is>
          <t>CRFH</t>
        </is>
      </c>
      <c r="I529" s="601" t="n"/>
      <c r="J529" s="601" t="inlineStr">
        <is>
          <t>PE</t>
        </is>
      </c>
      <c r="K529" s="601" t="n"/>
      <c r="L529" s="601" t="n"/>
      <c r="M529" s="601" t="n"/>
      <c r="N529" s="601" t="n"/>
      <c r="O529" s="601" t="n"/>
      <c r="P529" s="557">
        <f>CONCATENATE(schedule13[[#This Row],[OD]],"-",schedule13[[#This Row],[ID]],"-",schedule13[[#This Row],[TICKNESS]],"-",schedule13[[#This Row],[GRADE]],"-",schedule13[[#This Row],[FC/NFC]])</f>
        <v/>
      </c>
      <c r="Q529" s="557" t="n"/>
      <c r="R529" s="557" t="n"/>
      <c r="S529" s="599" t="n">
        <v>19.05</v>
      </c>
      <c r="T529" s="599" t="n">
        <v>19.05</v>
      </c>
      <c r="U529" s="599" t="n">
        <v>0</v>
      </c>
      <c r="V529" s="599" t="n">
        <v>1.2</v>
      </c>
      <c r="W529" s="22" t="n">
        <v>1230</v>
      </c>
      <c r="X529" s="22" t="n"/>
      <c r="Y529" s="601" t="n">
        <v>1500</v>
      </c>
      <c r="Z529" s="598" t="n"/>
      <c r="AA529" s="602">
        <f>Y529-Z529</f>
        <v/>
      </c>
      <c r="AB529" s="599">
        <f>(S529-V529)*V529*W529*0.024653*Y529/1000000</f>
        <v/>
      </c>
      <c r="AC529" s="599">
        <f>(S529-V529)*V529*W529*0.024653*Z529/1000000</f>
        <v/>
      </c>
      <c r="AD529" s="599">
        <f>AB529-AC529</f>
        <v/>
      </c>
      <c r="AE529" s="10" t="n"/>
      <c r="AF529" s="10" t="n"/>
      <c r="AG529" s="10" t="n"/>
      <c r="AH529" s="10" t="n"/>
      <c r="AI529" s="121" t="n"/>
    </row>
    <row r="530" hidden="1" s="584">
      <c r="A530" s="594" t="n">
        <v>550</v>
      </c>
      <c r="B530" s="5" t="inlineStr">
        <is>
          <t>Hosur</t>
        </is>
      </c>
      <c r="C530" s="596" t="inlineStr">
        <is>
          <t>SRI BALAJI GEARS V4</t>
        </is>
      </c>
      <c r="D530" s="596" t="n"/>
      <c r="E530" s="596" t="n">
        <v>188595</v>
      </c>
      <c r="F530" s="87" t="n">
        <v>3938683</v>
      </c>
      <c r="G530" s="601" t="inlineStr">
        <is>
          <t>TUB-O-N-AUT-AW-PE-19.05X1.200X0.3770</t>
        </is>
      </c>
      <c r="H530" s="601" t="inlineStr">
        <is>
          <t>CRFH</t>
        </is>
      </c>
      <c r="I530" s="596" t="n"/>
      <c r="J530" s="596" t="inlineStr">
        <is>
          <t>PE</t>
        </is>
      </c>
      <c r="K530" s="596" t="n"/>
      <c r="L530" s="596" t="n"/>
      <c r="M530" s="596" t="n"/>
      <c r="N530" s="596" t="n"/>
      <c r="O530" s="596" t="n"/>
      <c r="P530" s="557">
        <f>CONCATENATE(schedule13[[#This Row],[OD]],"-",schedule13[[#This Row],[ID]],"-",schedule13[[#This Row],[TICKNESS]],"-",schedule13[[#This Row],[GRADE]],"-",schedule13[[#This Row],[FC/NFC]])</f>
        <v/>
      </c>
      <c r="Q530" s="557" t="n"/>
      <c r="R530" s="557" t="n"/>
      <c r="S530" s="599" t="n">
        <v>19.05</v>
      </c>
      <c r="T530" s="599" t="n">
        <v>19.05</v>
      </c>
      <c r="U530" s="599" t="n">
        <v>0</v>
      </c>
      <c r="V530" s="599" t="n">
        <v>1.2</v>
      </c>
      <c r="W530" s="22" t="n">
        <v>377</v>
      </c>
      <c r="X530" s="22" t="n"/>
      <c r="Y530" s="601" t="n">
        <v>1500</v>
      </c>
      <c r="Z530" s="85" t="n"/>
      <c r="AA530" s="82">
        <f>Y530-Z530</f>
        <v/>
      </c>
      <c r="AB530" s="79">
        <f>(S530-V530)*V530*W530*0.024653*Y530/1000000</f>
        <v/>
      </c>
      <c r="AC530" s="599">
        <f>(S530-V530)*V530*W530*0.024653*Z530/1000000</f>
        <v/>
      </c>
      <c r="AD530" s="599">
        <f>AB530-AC530</f>
        <v/>
      </c>
      <c r="AE530" s="10" t="n"/>
      <c r="AF530" s="10" t="n"/>
      <c r="AG530" s="10" t="n"/>
      <c r="AH530" s="10" t="n"/>
      <c r="AI530" s="121" t="n"/>
    </row>
    <row r="531" hidden="1" s="584">
      <c r="A531" s="594" t="n">
        <v>551</v>
      </c>
      <c r="B531" s="5" t="inlineStr">
        <is>
          <t>Hosur</t>
        </is>
      </c>
      <c r="C531" s="596" t="inlineStr">
        <is>
          <t>SRI BALAJI GEARS V4</t>
        </is>
      </c>
      <c r="D531" s="596" t="n"/>
      <c r="E531" s="596" t="n">
        <v>188595</v>
      </c>
      <c r="F531" s="87" t="n">
        <v>3938682</v>
      </c>
      <c r="G531" s="601" t="inlineStr">
        <is>
          <t>TUB-O-N-AUT-AW-PE-19.05X1.200X0.3200</t>
        </is>
      </c>
      <c r="H531" s="601" t="inlineStr">
        <is>
          <t>CRFH</t>
        </is>
      </c>
      <c r="I531" s="596" t="n"/>
      <c r="J531" s="596" t="inlineStr">
        <is>
          <t>PE</t>
        </is>
      </c>
      <c r="K531" s="596" t="n"/>
      <c r="L531" s="596" t="n"/>
      <c r="M531" s="596" t="n"/>
      <c r="N531" s="596" t="n"/>
      <c r="O531" s="596" t="n"/>
      <c r="P531" s="557">
        <f>CONCATENATE(schedule13[[#This Row],[OD]],"-",schedule13[[#This Row],[ID]],"-",schedule13[[#This Row],[TICKNESS]],"-",schedule13[[#This Row],[GRADE]],"-",schedule13[[#This Row],[FC/NFC]])</f>
        <v/>
      </c>
      <c r="Q531" s="557" t="n"/>
      <c r="R531" s="557" t="n"/>
      <c r="S531" s="599" t="n">
        <v>19.05</v>
      </c>
      <c r="T531" s="599" t="n">
        <v>19.05</v>
      </c>
      <c r="U531" s="599" t="n">
        <v>0</v>
      </c>
      <c r="V531" s="599" t="n">
        <v>1.2</v>
      </c>
      <c r="W531" s="22" t="n">
        <v>320</v>
      </c>
      <c r="X531" s="22" t="n"/>
      <c r="Y531" s="601" t="n">
        <v>1500</v>
      </c>
      <c r="Z531" s="85" t="n"/>
      <c r="AA531" s="82">
        <f>Y531-Z531</f>
        <v/>
      </c>
      <c r="AB531" s="79">
        <f>(S531-V531)*V531*W531*0.024653*Y531/1000000</f>
        <v/>
      </c>
      <c r="AC531" s="599">
        <f>(S531-V531)*V531*W531*0.024653*Z531/1000000</f>
        <v/>
      </c>
      <c r="AD531" s="599">
        <f>AB531-AC531</f>
        <v/>
      </c>
      <c r="AE531" s="10" t="n"/>
      <c r="AF531" s="10" t="n"/>
      <c r="AG531" s="10" t="n"/>
      <c r="AH531" s="10" t="n"/>
      <c r="AI531" s="121" t="n"/>
    </row>
    <row r="532" hidden="1" s="584">
      <c r="A532" s="594" t="n">
        <v>552</v>
      </c>
      <c r="B532" s="5" t="inlineStr">
        <is>
          <t>Hosur</t>
        </is>
      </c>
      <c r="C532" s="596" t="inlineStr">
        <is>
          <t>SRI BALAJI GEARS V4</t>
        </is>
      </c>
      <c r="D532" s="596" t="n"/>
      <c r="E532" s="596" t="n">
        <v>188595</v>
      </c>
      <c r="F532" s="87" t="n">
        <v>3938681</v>
      </c>
      <c r="G532" s="601" t="inlineStr">
        <is>
          <t>TUB-O-N-AUT-AW-PE-19.05X1.200X0.2200</t>
        </is>
      </c>
      <c r="H532" s="601" t="inlineStr">
        <is>
          <t>CRFH</t>
        </is>
      </c>
      <c r="I532" s="596" t="n"/>
      <c r="J532" s="596" t="inlineStr">
        <is>
          <t>PE</t>
        </is>
      </c>
      <c r="K532" s="596" t="n"/>
      <c r="L532" s="596" t="n"/>
      <c r="M532" s="596" t="n"/>
      <c r="N532" s="596" t="n"/>
      <c r="O532" s="596" t="n"/>
      <c r="P532" s="557">
        <f>CONCATENATE(schedule13[[#This Row],[OD]],"-",schedule13[[#This Row],[ID]],"-",schedule13[[#This Row],[TICKNESS]],"-",schedule13[[#This Row],[GRADE]],"-",schedule13[[#This Row],[FC/NFC]])</f>
        <v/>
      </c>
      <c r="Q532" s="557" t="n"/>
      <c r="R532" s="557" t="n"/>
      <c r="S532" s="599" t="n">
        <v>19.05</v>
      </c>
      <c r="T532" s="599" t="n">
        <v>19.05</v>
      </c>
      <c r="U532" s="599" t="n">
        <v>0</v>
      </c>
      <c r="V532" s="599" t="n">
        <v>1.2</v>
      </c>
      <c r="W532" s="22" t="n">
        <v>220</v>
      </c>
      <c r="X532" s="22" t="n"/>
      <c r="Y532" s="601" t="n">
        <v>1500</v>
      </c>
      <c r="Z532" s="85" t="n"/>
      <c r="AA532" s="82">
        <f>Y532-Z532</f>
        <v/>
      </c>
      <c r="AB532" s="79">
        <f>(S532-V532)*V532*W532*0.024653*Y532/1000000</f>
        <v/>
      </c>
      <c r="AC532" s="599">
        <f>(S532-V532)*V532*W532*0.024653*Z532/1000000</f>
        <v/>
      </c>
      <c r="AD532" s="599">
        <f>AB532-AC532</f>
        <v/>
      </c>
      <c r="AE532" s="10" t="n"/>
      <c r="AF532" s="10" t="n"/>
      <c r="AG532" s="10" t="n"/>
      <c r="AH532" s="10" t="n"/>
      <c r="AI532" s="121" t="n"/>
    </row>
    <row r="533" hidden="1" s="584">
      <c r="A533" s="594" t="n">
        <v>553</v>
      </c>
      <c r="B533" s="5" t="inlineStr">
        <is>
          <t>Hosur</t>
        </is>
      </c>
      <c r="C533" s="601" t="inlineStr">
        <is>
          <t>SRI BALAJI GEARS V4</t>
        </is>
      </c>
      <c r="D533" s="601" t="n"/>
      <c r="E533" s="601" t="n">
        <v>188595</v>
      </c>
      <c r="F533" s="9" t="n">
        <v>3929691</v>
      </c>
      <c r="G533" s="601" t="inlineStr">
        <is>
          <t>CUT-O-N-AUT-AW-PE-19.05X1.200X0.2000</t>
        </is>
      </c>
      <c r="H533" s="601" t="inlineStr">
        <is>
          <t>CRFH</t>
        </is>
      </c>
      <c r="I533" s="601" t="n"/>
      <c r="J533" s="601" t="inlineStr">
        <is>
          <t>PE</t>
        </is>
      </c>
      <c r="K533" s="601" t="n"/>
      <c r="L533" s="601" t="n"/>
      <c r="M533" s="601" t="n"/>
      <c r="N533" s="601" t="n"/>
      <c r="O533" s="601" t="n"/>
      <c r="P533" s="557">
        <f>CONCATENATE(schedule13[[#This Row],[OD]],"-",schedule13[[#This Row],[ID]],"-",schedule13[[#This Row],[TICKNESS]],"-",schedule13[[#This Row],[GRADE]],"-",schedule13[[#This Row],[FC/NFC]])</f>
        <v/>
      </c>
      <c r="Q533" s="557" t="n"/>
      <c r="R533" s="557" t="n"/>
      <c r="S533" s="599" t="n">
        <v>19.05</v>
      </c>
      <c r="T533" s="599" t="n">
        <v>19.05</v>
      </c>
      <c r="U533" s="599" t="n">
        <v>0</v>
      </c>
      <c r="V533" s="599" t="n">
        <v>1.2</v>
      </c>
      <c r="W533" s="22" t="n">
        <v>200</v>
      </c>
      <c r="X533" s="22" t="n"/>
      <c r="Y533" s="601" t="n">
        <v>6000</v>
      </c>
      <c r="Z533" s="598" t="n"/>
      <c r="AA533" s="602">
        <f>Y533-Z533</f>
        <v/>
      </c>
      <c r="AB533" s="599">
        <f>(S533-V533)*V533*W533*0.024653*Y533/1000000</f>
        <v/>
      </c>
      <c r="AC533" s="599">
        <f>(S533-V533)*V533*W533*0.024653*Z533/1000000</f>
        <v/>
      </c>
      <c r="AD533" s="599">
        <f>AB533-AC533</f>
        <v/>
      </c>
      <c r="AE533" s="10" t="n"/>
      <c r="AF533" s="10" t="n"/>
      <c r="AG533" s="10" t="n"/>
      <c r="AH533" s="10" t="n"/>
      <c r="AI533" s="121" t="n"/>
    </row>
    <row r="534" hidden="1" s="584">
      <c r="A534" s="594" t="n">
        <v>1</v>
      </c>
      <c r="B534" s="5" t="inlineStr">
        <is>
          <t>Hosur</t>
        </is>
      </c>
      <c r="C534" s="601" t="inlineStr">
        <is>
          <t>SRIKAM HITECH</t>
        </is>
      </c>
      <c r="D534" s="601" t="n"/>
      <c r="E534" s="601" t="n">
        <v>944141</v>
      </c>
      <c r="F534" s="601" t="n">
        <v>1940262</v>
      </c>
      <c r="G534" s="601" t="inlineStr">
        <is>
          <t>TUB-O-O-AUT-AW-PE-19.05X2.000X0.1040</t>
        </is>
      </c>
      <c r="H534" s="601" t="inlineStr">
        <is>
          <t>ERW 1</t>
        </is>
      </c>
      <c r="I534" s="601" t="n"/>
      <c r="J534" s="601" t="inlineStr">
        <is>
          <t>PE</t>
        </is>
      </c>
      <c r="K534" s="601" t="inlineStr">
        <is>
          <t>HR</t>
        </is>
      </c>
      <c r="L534" s="601" t="n"/>
      <c r="M534" s="601" t="n"/>
      <c r="N534" s="601" t="n"/>
      <c r="O534" s="601" t="n"/>
      <c r="P534" s="557">
        <f>CONCATENATE(schedule13[[#This Row],[OD]],"-",schedule13[[#This Row],[ID]],"-",schedule13[[#This Row],[TICKNESS]],"-",schedule13[[#This Row],[GRADE]],"-",schedule13[[#This Row],[FC/NFC]])</f>
        <v/>
      </c>
      <c r="Q534" s="557" t="n"/>
      <c r="R534" s="557" t="n"/>
      <c r="S534" s="599" t="n">
        <v>19.05</v>
      </c>
      <c r="T534" s="599" t="n">
        <v>19.05</v>
      </c>
      <c r="U534" s="6" t="n">
        <v>0</v>
      </c>
      <c r="V534" s="599" t="n">
        <v>2</v>
      </c>
      <c r="W534" s="23" t="n">
        <v>104</v>
      </c>
      <c r="X534" s="23" t="n"/>
      <c r="Y534" s="601" t="n">
        <v>45000</v>
      </c>
      <c r="Z534" s="602" t="n"/>
      <c r="AA534" s="602">
        <f>Y534-Z534</f>
        <v/>
      </c>
      <c r="AB534" s="599">
        <f>(S534-V534)*V534*W534*0.024653*Y534/1000000</f>
        <v/>
      </c>
      <c r="AC534" s="599">
        <f>(S534-V534)*V534*W534*0.024653*Z534/1000000</f>
        <v/>
      </c>
      <c r="AD534" s="599">
        <f>AB534-AC534</f>
        <v/>
      </c>
      <c r="AE534" s="599" t="n"/>
      <c r="AF534" s="599" t="n">
        <v>0.883</v>
      </c>
      <c r="AG534" s="599" t="n"/>
      <c r="AH534" s="599">
        <f>AB534-AF534</f>
        <v/>
      </c>
      <c r="AI534" s="118">
        <f>(AC534+AF534)/AB534</f>
        <v/>
      </c>
    </row>
    <row r="535" hidden="1" s="584">
      <c r="A535" s="594" t="n">
        <v>2</v>
      </c>
      <c r="B535" s="5" t="inlineStr">
        <is>
          <t>Hosur</t>
        </is>
      </c>
      <c r="C535" s="601" t="inlineStr">
        <is>
          <t>SRIKAM HITECH</t>
        </is>
      </c>
      <c r="D535" s="601" t="n"/>
      <c r="E535" s="601" t="n">
        <v>944141</v>
      </c>
      <c r="F535" s="601" t="n">
        <v>3217232</v>
      </c>
      <c r="G535" s="601" t="inlineStr">
        <is>
          <t>TUB-O-N-AUT-AW-PE-19.05X1.600X0.2750</t>
        </is>
      </c>
      <c r="H535" s="601" t="inlineStr">
        <is>
          <t>ERW 1</t>
        </is>
      </c>
      <c r="I535" s="601" t="n"/>
      <c r="J535" s="601" t="inlineStr">
        <is>
          <t>PE</t>
        </is>
      </c>
      <c r="K535" s="601" t="inlineStr">
        <is>
          <t>CR</t>
        </is>
      </c>
      <c r="L535" s="49" t="inlineStr">
        <is>
          <t>HROP</t>
        </is>
      </c>
      <c r="M535" s="601" t="n"/>
      <c r="N535" s="601" t="n"/>
      <c r="O535" s="601" t="n"/>
      <c r="P535" s="557">
        <f>CONCATENATE(schedule13[[#This Row],[OD]],"-",schedule13[[#This Row],[ID]],"-",schedule13[[#This Row],[TICKNESS]],"-",schedule13[[#This Row],[GRADE]],"-",schedule13[[#This Row],[FC/NFC]])</f>
        <v/>
      </c>
      <c r="Q535" s="557" t="n"/>
      <c r="R535" s="557" t="n"/>
      <c r="S535" s="599" t="n">
        <v>19.05</v>
      </c>
      <c r="T535" s="599" t="n">
        <v>19.05</v>
      </c>
      <c r="U535" s="6" t="n">
        <v>0</v>
      </c>
      <c r="V535" s="599" t="n">
        <v>1.6</v>
      </c>
      <c r="W535" s="23" t="n">
        <v>275</v>
      </c>
      <c r="X535" s="23" t="n"/>
      <c r="Y535" s="601" t="n">
        <v>20000</v>
      </c>
      <c r="Z535" s="602" t="n"/>
      <c r="AA535" s="602">
        <f>Y535-Z535</f>
        <v/>
      </c>
      <c r="AB535" s="599">
        <f>(S535-V535)*V535*W535*0.024653*Y535/1000000</f>
        <v/>
      </c>
      <c r="AC535" s="599">
        <f>(S535-V535)*V535*W535*0.024653*Z535/1000000</f>
        <v/>
      </c>
      <c r="AD535" s="599">
        <f>AB535-AC535</f>
        <v/>
      </c>
      <c r="AE535" s="599" t="n"/>
      <c r="AF535" s="599" t="n">
        <v>0.482019</v>
      </c>
      <c r="AG535" s="599" t="n"/>
      <c r="AH535" s="599">
        <f>AB535-AF535</f>
        <v/>
      </c>
      <c r="AI535" s="118">
        <f>(AC535+AF535)/AB535</f>
        <v/>
      </c>
    </row>
    <row r="536" hidden="1" s="584">
      <c r="A536" s="594" t="n">
        <v>3</v>
      </c>
      <c r="B536" s="5" t="inlineStr">
        <is>
          <t>Hosur</t>
        </is>
      </c>
      <c r="C536" s="601" t="inlineStr">
        <is>
          <t>SRIKAM HITECH</t>
        </is>
      </c>
      <c r="D536" s="601" t="n"/>
      <c r="E536" s="601" t="n">
        <v>944141</v>
      </c>
      <c r="F536" s="601" t="n">
        <v>2320560</v>
      </c>
      <c r="G536" s="601" t="inlineStr">
        <is>
          <t>TUB-O-N-AUT-AW-PE-22.23X1.600X0.2100</t>
        </is>
      </c>
      <c r="H536" s="601" t="inlineStr">
        <is>
          <t>ERW 1</t>
        </is>
      </c>
      <c r="I536" s="601" t="n"/>
      <c r="J536" s="601" t="inlineStr">
        <is>
          <t>PE</t>
        </is>
      </c>
      <c r="K536" s="601" t="inlineStr">
        <is>
          <t>CR</t>
        </is>
      </c>
      <c r="L536" s="49" t="inlineStr">
        <is>
          <t>HROP</t>
        </is>
      </c>
      <c r="M536" s="601" t="n"/>
      <c r="N536" s="601" t="n"/>
      <c r="O536" s="601" t="n"/>
      <c r="P536" s="557">
        <f>CONCATENATE(schedule13[[#This Row],[OD]],"-",schedule13[[#This Row],[ID]],"-",schedule13[[#This Row],[TICKNESS]],"-",schedule13[[#This Row],[GRADE]],"-",schedule13[[#This Row],[FC/NFC]])</f>
        <v/>
      </c>
      <c r="Q536" s="557" t="n"/>
      <c r="R536" s="557" t="n"/>
      <c r="S536" s="599" t="n">
        <v>22.23</v>
      </c>
      <c r="T536" s="599" t="n">
        <v>22.23</v>
      </c>
      <c r="U536" s="6" t="n">
        <v>0</v>
      </c>
      <c r="V536" s="599" t="n">
        <v>1.6</v>
      </c>
      <c r="W536" s="23" t="n">
        <v>210</v>
      </c>
      <c r="X536" s="23" t="n"/>
      <c r="Y536" s="601" t="n">
        <v>0</v>
      </c>
      <c r="Z536" s="602" t="n"/>
      <c r="AA536" s="602">
        <f>Y536-Z536</f>
        <v/>
      </c>
      <c r="AB536" s="599">
        <f>(S536-V536)*V536*W536*0.024653*Y536/1000000</f>
        <v/>
      </c>
      <c r="AC536" s="599">
        <f>(S536-V536)*V536*W536*0.024653*Z536/1000000</f>
        <v/>
      </c>
      <c r="AD536" s="599">
        <f>AB536-AC536</f>
        <v/>
      </c>
      <c r="AE536" s="599" t="n"/>
      <c r="AF536" s="599" t="n">
        <v>2.009303</v>
      </c>
      <c r="AG536" s="599" t="n"/>
      <c r="AH536" s="599">
        <f>AB536-AF536</f>
        <v/>
      </c>
      <c r="AI536" s="118">
        <f>(AC536+AF536)/AB536</f>
        <v/>
      </c>
    </row>
    <row r="537" hidden="1" s="584">
      <c r="A537" s="594" t="n">
        <v>4</v>
      </c>
      <c r="B537" s="5" t="inlineStr">
        <is>
          <t>Hosur</t>
        </is>
      </c>
      <c r="C537" s="601" t="inlineStr">
        <is>
          <t>SRIKAM HITECH</t>
        </is>
      </c>
      <c r="D537" s="601" t="n"/>
      <c r="E537" s="601" t="n">
        <v>944141</v>
      </c>
      <c r="F537" s="601" t="n">
        <v>3676336</v>
      </c>
      <c r="G537" s="601" t="inlineStr">
        <is>
          <t>TUB-O-N-AUT-AW-PE-12.70X1.600X0.2570</t>
        </is>
      </c>
      <c r="H537" s="601" t="inlineStr">
        <is>
          <t>ERW 1</t>
        </is>
      </c>
      <c r="I537" s="601" t="n"/>
      <c r="J537" s="601" t="inlineStr">
        <is>
          <t>PE</t>
        </is>
      </c>
      <c r="K537" s="601" t="inlineStr">
        <is>
          <t>CR</t>
        </is>
      </c>
      <c r="L537" s="601" t="inlineStr">
        <is>
          <t>WG</t>
        </is>
      </c>
      <c r="M537" s="601" t="n"/>
      <c r="N537" s="601" t="n"/>
      <c r="O537" s="601" t="n"/>
      <c r="P537" s="557">
        <f>CONCATENATE(schedule13[[#This Row],[OD]],"-",schedule13[[#This Row],[ID]],"-",schedule13[[#This Row],[TICKNESS]],"-",schedule13[[#This Row],[GRADE]],"-",schedule13[[#This Row],[FC/NFC]])</f>
        <v/>
      </c>
      <c r="Q537" s="557" t="n"/>
      <c r="R537" s="557" t="n"/>
      <c r="S537" s="599" t="n">
        <v>12.7</v>
      </c>
      <c r="T537" s="599" t="n">
        <v>12.7</v>
      </c>
      <c r="U537" s="6" t="n">
        <v>0</v>
      </c>
      <c r="V537" s="599" t="n">
        <v>1.6</v>
      </c>
      <c r="W537" s="23" t="n">
        <v>257</v>
      </c>
      <c r="X537" s="23" t="n"/>
      <c r="Y537" s="601" t="n">
        <v>0</v>
      </c>
      <c r="Z537" s="602" t="n"/>
      <c r="AA537" s="602">
        <f>Y537-Z537</f>
        <v/>
      </c>
      <c r="AB537" s="599">
        <f>(S537-V537)*V537*W537*0.024653*Y537/1000000</f>
        <v/>
      </c>
      <c r="AC537" s="599">
        <f>(S537-V537)*V537*W537*0.024653*Z537/1000000</f>
        <v/>
      </c>
      <c r="AD537" s="599">
        <f>AB537-AC537</f>
        <v/>
      </c>
      <c r="AE537" s="599" t="n"/>
      <c r="AF537" s="599" t="n">
        <v>0.558936</v>
      </c>
      <c r="AG537" s="599" t="n"/>
      <c r="AH537" s="599">
        <f>AB537-AF537</f>
        <v/>
      </c>
      <c r="AI537" s="118">
        <f>(AC537+AF537)/AB537</f>
        <v/>
      </c>
    </row>
    <row r="538" hidden="1" s="584">
      <c r="A538" s="594" t="n">
        <v>5</v>
      </c>
      <c r="B538" s="5" t="inlineStr">
        <is>
          <t>Hosur</t>
        </is>
      </c>
      <c r="C538" s="601" t="inlineStr">
        <is>
          <t>SRIKAM HITECH</t>
        </is>
      </c>
      <c r="D538" s="601" t="n"/>
      <c r="E538" s="601" t="n">
        <v>944141</v>
      </c>
      <c r="F538" s="9" t="n">
        <v>3850335</v>
      </c>
      <c r="G538" s="9" t="inlineStr">
        <is>
          <t>CUT-O-O-AUT-AW-PE-19.05X2.000X0.9000</t>
        </is>
      </c>
      <c r="H538" s="601" t="inlineStr">
        <is>
          <t>ERW 1</t>
        </is>
      </c>
      <c r="I538" s="601" t="n"/>
      <c r="J538" s="601" t="inlineStr">
        <is>
          <t>PE</t>
        </is>
      </c>
      <c r="K538" s="601" t="n"/>
      <c r="L538" s="601" t="n"/>
      <c r="M538" s="601" t="n"/>
      <c r="N538" s="601" t="n"/>
      <c r="O538" s="601" t="n"/>
      <c r="P538" s="557">
        <f>CONCATENATE(schedule13[[#This Row],[OD]],"-",schedule13[[#This Row],[ID]],"-",schedule13[[#This Row],[TICKNESS]],"-",schedule13[[#This Row],[GRADE]],"-",schedule13[[#This Row],[FC/NFC]])</f>
        <v/>
      </c>
      <c r="Q538" s="557" t="n"/>
      <c r="R538" s="557" t="n"/>
      <c r="S538" s="599" t="n">
        <v>19.05</v>
      </c>
      <c r="T538" s="599" t="n">
        <v>19.05</v>
      </c>
      <c r="U538" s="6" t="n">
        <v>0</v>
      </c>
      <c r="V538" s="599" t="n">
        <v>2</v>
      </c>
      <c r="W538" s="22" t="n">
        <v>900</v>
      </c>
      <c r="X538" s="22" t="n"/>
      <c r="Y538" s="601" t="n">
        <v>0</v>
      </c>
      <c r="Z538" s="598" t="n"/>
      <c r="AA538" s="602">
        <f>Y538-Z538</f>
        <v/>
      </c>
      <c r="AB538" s="599">
        <f>(S538-V538)*V538*W538*0.024653*Y538/1000000</f>
        <v/>
      </c>
      <c r="AC538" s="599">
        <f>(S538-V538)*V538*W538*0.024653*Z538/1000000</f>
        <v/>
      </c>
      <c r="AD538" s="599">
        <f>AB538-AC538</f>
        <v/>
      </c>
      <c r="AE538" s="599" t="n"/>
      <c r="AF538" s="599" t="n"/>
      <c r="AG538" s="599" t="n"/>
      <c r="AH538" s="599" t="n"/>
      <c r="AI538" s="118" t="n"/>
    </row>
    <row r="539">
      <c r="A539" s="594" t="n">
        <v>6</v>
      </c>
      <c r="B539" s="110" t="inlineStr">
        <is>
          <t>Hosur</t>
        </is>
      </c>
      <c r="C539" s="111" t="inlineStr">
        <is>
          <t>SRIKAM HITECH</t>
        </is>
      </c>
      <c r="D539" s="601" t="n"/>
      <c r="E539" s="111" t="n">
        <v>944141</v>
      </c>
      <c r="F539" s="119" t="n">
        <v>1937438</v>
      </c>
      <c r="G539" s="119" t="inlineStr">
        <is>
          <t>TUB-O-N-AUT-AW-PE-19.05X2.030X0.8300</t>
        </is>
      </c>
      <c r="H539" s="111" t="inlineStr">
        <is>
          <t>ERW 1</t>
        </is>
      </c>
      <c r="I539" s="601" t="n"/>
      <c r="J539" s="601" t="n"/>
      <c r="K539" s="601" t="n"/>
      <c r="L539" s="601" t="n"/>
      <c r="M539" s="601" t="n"/>
      <c r="N539" s="601" t="n"/>
      <c r="O539" s="601" t="n"/>
      <c r="P539" s="557">
        <f>CONCATENATE(schedule13[[#This Row],[OD]],"-",schedule13[[#This Row],[ID]],"-",schedule13[[#This Row],[TICKNESS]],"-",schedule13[[#This Row],[GRADE]],"-",schedule13[[#This Row],[FC/NFC]])</f>
        <v/>
      </c>
      <c r="Q539" s="557" t="n"/>
      <c r="R539" s="557" t="n"/>
      <c r="S539" s="112" t="n">
        <v>19.05</v>
      </c>
      <c r="T539" s="112" t="n">
        <v>19.05</v>
      </c>
      <c r="U539" s="113" t="n">
        <v>0</v>
      </c>
      <c r="V539" s="112" t="n">
        <v>2</v>
      </c>
      <c r="W539" s="114" t="n">
        <v>830</v>
      </c>
      <c r="X539" s="22" t="n"/>
      <c r="Y539" s="111" t="n">
        <v>4000</v>
      </c>
      <c r="Z539" s="115" t="n"/>
      <c r="AA539" s="116">
        <f>Y539-Z539</f>
        <v/>
      </c>
      <c r="AB539" s="112">
        <f>(S539-V539)*V539*W539*0.024653*Y539/1000000</f>
        <v/>
      </c>
      <c r="AC539" s="112" t="n"/>
      <c r="AD539" s="112">
        <f>AB539-AC539</f>
        <v/>
      </c>
      <c r="AE539" s="112" t="n"/>
      <c r="AF539" s="112" t="n"/>
      <c r="AG539" s="112" t="n"/>
      <c r="AH539" s="112" t="n"/>
      <c r="AI539" s="120" t="n"/>
    </row>
    <row r="540" hidden="1" s="584">
      <c r="A540" s="594" t="n">
        <v>7</v>
      </c>
      <c r="B540" s="5" t="inlineStr">
        <is>
          <t>Hosur</t>
        </is>
      </c>
      <c r="C540" s="601" t="inlineStr">
        <is>
          <t>SRIKAM HITECH</t>
        </is>
      </c>
      <c r="D540" s="601" t="n"/>
      <c r="E540" s="601" t="n">
        <v>944141</v>
      </c>
      <c r="F540" s="601" t="n">
        <v>3676337</v>
      </c>
      <c r="G540" s="601" t="inlineStr">
        <is>
          <t>TUB-O-N-AUT-AW-PE-12.70X1.600X0.3200</t>
        </is>
      </c>
      <c r="H540" s="601" t="inlineStr">
        <is>
          <t>ERW 1</t>
        </is>
      </c>
      <c r="I540" s="601" t="n"/>
      <c r="J540" s="601" t="inlineStr">
        <is>
          <t>PE</t>
        </is>
      </c>
      <c r="K540" s="601" t="inlineStr">
        <is>
          <t>CR</t>
        </is>
      </c>
      <c r="L540" s="601" t="inlineStr">
        <is>
          <t>WG</t>
        </is>
      </c>
      <c r="M540" s="601" t="n"/>
      <c r="N540" s="601" t="n"/>
      <c r="O540" s="601" t="n"/>
      <c r="P540" s="557">
        <f>CONCATENATE(schedule13[[#This Row],[OD]],"-",schedule13[[#This Row],[ID]],"-",schedule13[[#This Row],[TICKNESS]],"-",schedule13[[#This Row],[GRADE]],"-",schedule13[[#This Row],[FC/NFC]])</f>
        <v/>
      </c>
      <c r="Q540" s="557" t="n"/>
      <c r="R540" s="557" t="n"/>
      <c r="S540" s="599" t="n">
        <v>12.7</v>
      </c>
      <c r="T540" s="599" t="n">
        <v>12.7</v>
      </c>
      <c r="U540" s="6" t="n">
        <v>0</v>
      </c>
      <c r="V540" s="599" t="n">
        <v>1.6</v>
      </c>
      <c r="W540" s="23" t="n">
        <v>320</v>
      </c>
      <c r="X540" s="23" t="n"/>
      <c r="Y540" s="601" t="n">
        <v>0</v>
      </c>
      <c r="Z540" s="602" t="n"/>
      <c r="AA540" s="602">
        <f>Y540-Z540</f>
        <v/>
      </c>
      <c r="AB540" s="599">
        <f>(S540-V540)*V540*W540*0.024653*Y540/1000000</f>
        <v/>
      </c>
      <c r="AC540" s="599">
        <f>(S540-V540)*V540*W540*0.024653*Z540/1000000</f>
        <v/>
      </c>
      <c r="AD540" s="599">
        <f>AB540-AC540</f>
        <v/>
      </c>
      <c r="AE540" s="599" t="n"/>
      <c r="AF540" s="599" t="n"/>
      <c r="AG540" s="599" t="n"/>
      <c r="AH540" s="599">
        <f>AB540-AF540</f>
        <v/>
      </c>
      <c r="AI540" s="118">
        <f>(AC540+AF540)/AB540</f>
        <v/>
      </c>
    </row>
    <row r="541" hidden="1" s="584">
      <c r="A541" s="594" t="n">
        <v>8</v>
      </c>
      <c r="B541" s="5" t="inlineStr">
        <is>
          <t>Hosur</t>
        </is>
      </c>
      <c r="C541" s="601" t="inlineStr">
        <is>
          <t>SRIKAM HITECH</t>
        </is>
      </c>
      <c r="D541" s="601" t="n"/>
      <c r="E541" s="601" t="n">
        <v>944141</v>
      </c>
      <c r="F541" s="601" t="n">
        <v>1940430</v>
      </c>
      <c r="G541" s="601" t="inlineStr">
        <is>
          <t>TUB-O-N-AUT-AW-PE-22.23X2.000X0.2200</t>
        </is>
      </c>
      <c r="H541" s="601" t="inlineStr">
        <is>
          <t>ERW 1</t>
        </is>
      </c>
      <c r="I541" s="601" t="n"/>
      <c r="J541" s="601" t="inlineStr">
        <is>
          <t>PE</t>
        </is>
      </c>
      <c r="K541" s="601" t="inlineStr">
        <is>
          <t>HR</t>
        </is>
      </c>
      <c r="L541" s="601" t="n"/>
      <c r="M541" s="601" t="n"/>
      <c r="N541" s="601" t="n"/>
      <c r="O541" s="601" t="n"/>
      <c r="P541" s="557">
        <f>CONCATENATE(schedule13[[#This Row],[OD]],"-",schedule13[[#This Row],[ID]],"-",schedule13[[#This Row],[TICKNESS]],"-",schedule13[[#This Row],[GRADE]],"-",schedule13[[#This Row],[FC/NFC]])</f>
        <v/>
      </c>
      <c r="Q541" s="557" t="n"/>
      <c r="R541" s="557" t="n"/>
      <c r="S541" s="599" t="n">
        <v>22.23</v>
      </c>
      <c r="T541" s="599" t="n">
        <v>22.23</v>
      </c>
      <c r="U541" s="6" t="n">
        <v>0</v>
      </c>
      <c r="V541" s="599" t="n">
        <v>2</v>
      </c>
      <c r="W541" s="23" t="n">
        <v>220</v>
      </c>
      <c r="X541" s="23" t="n"/>
      <c r="Y541" s="601" t="n">
        <v>10000</v>
      </c>
      <c r="Z541" s="602" t="n"/>
      <c r="AA541" s="602">
        <f>Y541-Z541</f>
        <v/>
      </c>
      <c r="AB541" s="599">
        <f>(S541-V541)*V541*W541*0.024653*Y541/1000000</f>
        <v/>
      </c>
      <c r="AC541" s="599">
        <f>(S541-V541)*V541*W541*0.024653*Z541/1000000</f>
        <v/>
      </c>
      <c r="AD541" s="599">
        <f>AB541-AC541</f>
        <v/>
      </c>
      <c r="AE541" s="599" t="n"/>
      <c r="AF541" s="599" t="n">
        <v>1.891</v>
      </c>
      <c r="AG541" s="599" t="n"/>
      <c r="AH541" s="599">
        <f>AB541-AF541</f>
        <v/>
      </c>
      <c r="AI541" s="118">
        <f>(AC541+AF541)/AB541</f>
        <v/>
      </c>
    </row>
    <row r="542" hidden="1" s="584">
      <c r="A542" s="594" t="n">
        <v>9</v>
      </c>
      <c r="B542" s="5" t="inlineStr">
        <is>
          <t>Hosur</t>
        </is>
      </c>
      <c r="C542" s="601" t="inlineStr">
        <is>
          <t>SRIKAM HITECH</t>
        </is>
      </c>
      <c r="D542" s="601" t="n"/>
      <c r="E542" s="601" t="n">
        <v>944141</v>
      </c>
      <c r="F542" s="601" t="n">
        <v>1940306</v>
      </c>
      <c r="G542" s="601" t="inlineStr">
        <is>
          <t>TUB-O-O-AUT-AW-PE-19.05X2.300X0.2360</t>
        </is>
      </c>
      <c r="H542" s="601" t="inlineStr">
        <is>
          <t>ERW 1</t>
        </is>
      </c>
      <c r="I542" s="601" t="n"/>
      <c r="J542" s="601" t="inlineStr">
        <is>
          <t>PE</t>
        </is>
      </c>
      <c r="K542" s="601" t="inlineStr">
        <is>
          <t>HR</t>
        </is>
      </c>
      <c r="L542" s="601" t="n"/>
      <c r="M542" s="601" t="n"/>
      <c r="N542" s="601" t="n"/>
      <c r="O542" s="601" t="n"/>
      <c r="P542" s="557">
        <f>CONCATENATE(schedule13[[#This Row],[OD]],"-",schedule13[[#This Row],[ID]],"-",schedule13[[#This Row],[TICKNESS]],"-",schedule13[[#This Row],[GRADE]],"-",schedule13[[#This Row],[FC/NFC]])</f>
        <v/>
      </c>
      <c r="Q542" s="557" t="n"/>
      <c r="R542" s="557" t="n"/>
      <c r="S542" s="599" t="n">
        <v>19.05</v>
      </c>
      <c r="T542" s="599" t="n">
        <v>19.05</v>
      </c>
      <c r="U542" s="6" t="n">
        <v>0</v>
      </c>
      <c r="V542" s="599" t="n">
        <v>2.3</v>
      </c>
      <c r="W542" s="23" t="n">
        <v>236</v>
      </c>
      <c r="X542" s="23" t="n"/>
      <c r="Y542" s="601" t="n">
        <v>30000</v>
      </c>
      <c r="Z542" s="602" t="n"/>
      <c r="AA542" s="602">
        <f>Y542-Z542</f>
        <v/>
      </c>
      <c r="AB542" s="599">
        <f>(S542-V542)*V542*W542*0.024653*Y542/1000000</f>
        <v/>
      </c>
      <c r="AC542" s="599">
        <f>(S542-V542)*V542*W542*0.024653*Z542/1000000</f>
        <v/>
      </c>
      <c r="AD542" s="599">
        <f>AB542-AC542</f>
        <v/>
      </c>
      <c r="AE542" s="599" t="n"/>
      <c r="AF542" s="599" t="n"/>
      <c r="AG542" s="599" t="n"/>
      <c r="AH542" s="599">
        <f>AB542-AF542</f>
        <v/>
      </c>
      <c r="AI542" s="118">
        <f>(AC542+AF542)/AB542</f>
        <v/>
      </c>
    </row>
    <row r="543" hidden="1" s="584">
      <c r="A543" s="594" t="n">
        <v>10</v>
      </c>
      <c r="B543" s="5" t="inlineStr">
        <is>
          <t>Hosur</t>
        </is>
      </c>
      <c r="C543" s="601" t="inlineStr">
        <is>
          <t>SRIKAM HITECH</t>
        </is>
      </c>
      <c r="D543" s="601" t="n"/>
      <c r="E543" s="601" t="n">
        <v>944141</v>
      </c>
      <c r="F543" s="9" t="n">
        <v>3838038</v>
      </c>
      <c r="G543" s="9" t="inlineStr">
        <is>
          <t>CUT-O-N-AUT-AW-PE-19.05X1.600X0.2580</t>
        </is>
      </c>
      <c r="H543" s="601" t="inlineStr">
        <is>
          <t>ERW 1</t>
        </is>
      </c>
      <c r="I543" s="601" t="n"/>
      <c r="J543" s="601" t="inlineStr">
        <is>
          <t>PE</t>
        </is>
      </c>
      <c r="K543" s="601" t="inlineStr">
        <is>
          <t>CR</t>
        </is>
      </c>
      <c r="L543" s="49" t="inlineStr">
        <is>
          <t>NORMAL</t>
        </is>
      </c>
      <c r="M543" s="601" t="n"/>
      <c r="N543" s="601" t="n"/>
      <c r="O543" s="601" t="n"/>
      <c r="P543" s="557">
        <f>CONCATENATE(schedule13[[#This Row],[OD]],"-",schedule13[[#This Row],[ID]],"-",schedule13[[#This Row],[TICKNESS]],"-",schedule13[[#This Row],[GRADE]],"-",schedule13[[#This Row],[FC/NFC]])</f>
        <v/>
      </c>
      <c r="Q543" s="557" t="n"/>
      <c r="R543" s="557" t="n"/>
      <c r="S543" s="599" t="n">
        <v>19.05</v>
      </c>
      <c r="T543" s="599" t="n">
        <v>19.05</v>
      </c>
      <c r="U543" s="6" t="n">
        <v>0</v>
      </c>
      <c r="V543" s="599" t="n">
        <v>1.6</v>
      </c>
      <c r="W543" s="23" t="n">
        <v>258</v>
      </c>
      <c r="X543" s="23" t="n"/>
      <c r="Y543" s="601" t="n">
        <v>20000</v>
      </c>
      <c r="Z543" s="602" t="n"/>
      <c r="AA543" s="602">
        <f>Y543-Z543</f>
        <v/>
      </c>
      <c r="AB543" s="599">
        <f>(S543-V543)*V543*W543*0.024653*Y543/1000000</f>
        <v/>
      </c>
      <c r="AC543" s="599">
        <f>(S543-V543)*V543*W543*0.024653*Z543/1000000</f>
        <v/>
      </c>
      <c r="AD543" s="599">
        <f>AB543-AC543</f>
        <v/>
      </c>
      <c r="AE543" s="599" t="n"/>
      <c r="AF543" s="599" t="n"/>
      <c r="AG543" s="599" t="n"/>
      <c r="AH543" s="599">
        <f>AB543-AF543</f>
        <v/>
      </c>
      <c r="AI543" s="118">
        <f>(AC543+AF543)/AB543</f>
        <v/>
      </c>
    </row>
    <row r="544" hidden="1" s="584">
      <c r="A544" s="594" t="n">
        <v>11</v>
      </c>
      <c r="B544" s="5" t="inlineStr">
        <is>
          <t>Hosur</t>
        </is>
      </c>
      <c r="C544" s="601" t="inlineStr">
        <is>
          <t>SRIKAM HITECH</t>
        </is>
      </c>
      <c r="D544" s="601" t="n"/>
      <c r="E544" s="601" t="n">
        <v>944141</v>
      </c>
      <c r="F544" s="9" t="n">
        <v>3850310</v>
      </c>
      <c r="G544" s="601" t="inlineStr">
        <is>
          <t>CUT-O-N-AUT-AW-PE-19.05X1.600X0.2680</t>
        </is>
      </c>
      <c r="H544" s="601" t="inlineStr">
        <is>
          <t>ERW 1</t>
        </is>
      </c>
      <c r="I544" s="601" t="n"/>
      <c r="J544" s="601" t="inlineStr">
        <is>
          <t>PE</t>
        </is>
      </c>
      <c r="K544" s="601" t="inlineStr">
        <is>
          <t>CR</t>
        </is>
      </c>
      <c r="L544" s="601" t="inlineStr">
        <is>
          <t>WG</t>
        </is>
      </c>
      <c r="M544" s="601" t="n"/>
      <c r="N544" s="601" t="n"/>
      <c r="O544" s="601" t="n"/>
      <c r="P544" s="557">
        <f>CONCATENATE(schedule13[[#This Row],[OD]],"-",schedule13[[#This Row],[ID]],"-",schedule13[[#This Row],[TICKNESS]],"-",schedule13[[#This Row],[GRADE]],"-",schedule13[[#This Row],[FC/NFC]])</f>
        <v/>
      </c>
      <c r="Q544" s="557" t="n"/>
      <c r="R544" s="557" t="n"/>
      <c r="S544" s="599" t="n">
        <v>19.05</v>
      </c>
      <c r="T544" s="599" t="n">
        <v>19.05</v>
      </c>
      <c r="U544" s="6" t="n">
        <v>0</v>
      </c>
      <c r="V544" s="599" t="n">
        <v>1.6</v>
      </c>
      <c r="W544" s="23" t="n">
        <v>268</v>
      </c>
      <c r="X544" s="23" t="n"/>
      <c r="Y544" s="601" t="n">
        <v>20000</v>
      </c>
      <c r="Z544" s="602" t="n"/>
      <c r="AA544" s="602">
        <f>Y544-Z544</f>
        <v/>
      </c>
      <c r="AB544" s="599">
        <f>(S544-V544)*V544*W544*0.024653*Y544/1000000</f>
        <v/>
      </c>
      <c r="AC544" s="599">
        <f>(S544-V544)*V544*W544*0.024653*Z544/1000000</f>
        <v/>
      </c>
      <c r="AD544" s="599">
        <f>AB544-AC544</f>
        <v/>
      </c>
      <c r="AE544" s="599" t="n"/>
      <c r="AF544" s="599" t="n"/>
      <c r="AG544" s="599" t="n"/>
      <c r="AH544" s="599" t="n"/>
      <c r="AI544" s="118" t="n"/>
    </row>
    <row r="545" hidden="1" s="584">
      <c r="A545" s="594" t="n">
        <v>12</v>
      </c>
      <c r="B545" s="5" t="inlineStr">
        <is>
          <t>Hosur</t>
        </is>
      </c>
      <c r="C545" s="601" t="inlineStr">
        <is>
          <t>SRIKAM HITECH</t>
        </is>
      </c>
      <c r="D545" s="601" t="n"/>
      <c r="E545" s="601" t="n">
        <v>944141</v>
      </c>
      <c r="F545" s="601" t="n">
        <v>1940307</v>
      </c>
      <c r="G545" s="601" t="inlineStr">
        <is>
          <t>TUB-O-O-AUT-AW-PE-19.05X2.300X0.2520</t>
        </is>
      </c>
      <c r="H545" s="601" t="inlineStr">
        <is>
          <t>ERW 1</t>
        </is>
      </c>
      <c r="I545" s="601" t="n"/>
      <c r="J545" s="601" t="inlineStr">
        <is>
          <t>PE</t>
        </is>
      </c>
      <c r="K545" s="601" t="inlineStr">
        <is>
          <t>HR</t>
        </is>
      </c>
      <c r="L545" s="601" t="n"/>
      <c r="M545" s="601" t="n"/>
      <c r="N545" s="601" t="n"/>
      <c r="O545" s="601" t="n"/>
      <c r="P545" s="557">
        <f>CONCATENATE(schedule13[[#This Row],[OD]],"-",schedule13[[#This Row],[ID]],"-",schedule13[[#This Row],[TICKNESS]],"-",schedule13[[#This Row],[GRADE]],"-",schedule13[[#This Row],[FC/NFC]])</f>
        <v/>
      </c>
      <c r="Q545" s="557" t="n"/>
      <c r="R545" s="557" t="n"/>
      <c r="S545" s="599" t="n">
        <v>19.05</v>
      </c>
      <c r="T545" s="599" t="n">
        <v>19.05</v>
      </c>
      <c r="U545" s="6" t="n">
        <v>0</v>
      </c>
      <c r="V545" s="599" t="n">
        <v>2.3</v>
      </c>
      <c r="W545" s="23" t="n">
        <v>252</v>
      </c>
      <c r="X545" s="23" t="n"/>
      <c r="Y545" s="601" t="n">
        <v>40000</v>
      </c>
      <c r="Z545" s="602" t="n"/>
      <c r="AA545" s="602">
        <f>Y545-Z545</f>
        <v/>
      </c>
      <c r="AB545" s="599">
        <f>(S545-V545)*V545*W545*0.024653*Y545/1000000</f>
        <v/>
      </c>
      <c r="AC545" s="599">
        <f>(S545-V545)*V545*W545*0.024653*Z545/1000000</f>
        <v/>
      </c>
      <c r="AD545" s="599">
        <f>AB545-AC545</f>
        <v/>
      </c>
      <c r="AE545" s="599" t="n"/>
      <c r="AF545" s="599" t="n"/>
      <c r="AG545" s="599" t="n"/>
      <c r="AH545" s="599">
        <f>AB545-AF545</f>
        <v/>
      </c>
      <c r="AI545" s="118">
        <f>(AC545+AF545)/AB545</f>
        <v/>
      </c>
    </row>
    <row r="546" hidden="1" s="584">
      <c r="A546" s="594" t="n">
        <v>13</v>
      </c>
      <c r="B546" s="5" t="inlineStr">
        <is>
          <t>Hosur</t>
        </is>
      </c>
      <c r="C546" s="601" t="inlineStr">
        <is>
          <t>SRIKAM HITECH</t>
        </is>
      </c>
      <c r="D546" s="601" t="n"/>
      <c r="E546" s="601" t="n">
        <v>944141</v>
      </c>
      <c r="F546" s="601" t="n">
        <v>1940309</v>
      </c>
      <c r="G546" s="601" t="inlineStr">
        <is>
          <t>TUB-O-O-AUT-AW-PE-19.05X2.300X0.2650</t>
        </is>
      </c>
      <c r="H546" s="601" t="inlineStr">
        <is>
          <t>ERW 1</t>
        </is>
      </c>
      <c r="I546" s="601" t="n"/>
      <c r="J546" s="601" t="inlineStr">
        <is>
          <t>PE</t>
        </is>
      </c>
      <c r="K546" s="601" t="inlineStr">
        <is>
          <t>HR</t>
        </is>
      </c>
      <c r="L546" s="601" t="n"/>
      <c r="M546" s="601" t="n"/>
      <c r="N546" s="601" t="n"/>
      <c r="O546" s="601" t="n"/>
      <c r="P546" s="557">
        <f>CONCATENATE(schedule13[[#This Row],[OD]],"-",schedule13[[#This Row],[ID]],"-",schedule13[[#This Row],[TICKNESS]],"-",schedule13[[#This Row],[GRADE]],"-",schedule13[[#This Row],[FC/NFC]])</f>
        <v/>
      </c>
      <c r="Q546" s="557" t="n"/>
      <c r="R546" s="557" t="n"/>
      <c r="S546" s="599" t="n">
        <v>19.05</v>
      </c>
      <c r="T546" s="599" t="n">
        <v>19.05</v>
      </c>
      <c r="U546" s="6" t="n">
        <v>0</v>
      </c>
      <c r="V546" s="599" t="n">
        <v>2.3</v>
      </c>
      <c r="W546" s="23" t="n">
        <v>265</v>
      </c>
      <c r="X546" s="23" t="n"/>
      <c r="Y546" s="601" t="n">
        <v>10000</v>
      </c>
      <c r="Z546" s="602" t="n"/>
      <c r="AA546" s="602">
        <f>Y546-Z546</f>
        <v/>
      </c>
      <c r="AB546" s="599">
        <f>(S546-V546)*V546*W546*0.024653*Y546/1000000</f>
        <v/>
      </c>
      <c r="AC546" s="599">
        <f>(S546-V546)*V546*W546*0.024653*Z546/1000000</f>
        <v/>
      </c>
      <c r="AD546" s="599">
        <f>AB546-AC546</f>
        <v/>
      </c>
      <c r="AE546" s="599" t="n"/>
      <c r="AF546" s="599" t="n">
        <v>0.100536</v>
      </c>
      <c r="AG546" s="599" t="n"/>
      <c r="AH546" s="599">
        <f>AB546-AF546</f>
        <v/>
      </c>
      <c r="AI546" s="118">
        <f>(AC546+AF546)/AB546</f>
        <v/>
      </c>
    </row>
    <row r="547" hidden="1" s="584">
      <c r="A547" s="594" t="n">
        <v>14</v>
      </c>
      <c r="B547" s="5" t="inlineStr">
        <is>
          <t>Hosur</t>
        </is>
      </c>
      <c r="C547" s="601" t="inlineStr">
        <is>
          <t>SRIKAM HITECH</t>
        </is>
      </c>
      <c r="D547" s="601" t="n"/>
      <c r="E547" s="601" t="n">
        <v>944141</v>
      </c>
      <c r="F547" s="601" t="n">
        <v>3620427</v>
      </c>
      <c r="G547" s="601" t="inlineStr">
        <is>
          <t>TUB-O-N-AUT-AW-PE-12.70X1.600X0.9500</t>
        </is>
      </c>
      <c r="H547" s="601" t="inlineStr">
        <is>
          <t>ERW 1</t>
        </is>
      </c>
      <c r="I547" s="601" t="n"/>
      <c r="J547" s="601" t="inlineStr">
        <is>
          <t>PE</t>
        </is>
      </c>
      <c r="K547" s="601" t="inlineStr">
        <is>
          <t>CR</t>
        </is>
      </c>
      <c r="L547" s="601" t="inlineStr">
        <is>
          <t>WG</t>
        </is>
      </c>
      <c r="M547" s="601" t="n"/>
      <c r="N547" s="601" t="n"/>
      <c r="O547" s="601" t="n"/>
      <c r="P547" s="557">
        <f>CONCATENATE(schedule13[[#This Row],[OD]],"-",schedule13[[#This Row],[ID]],"-",schedule13[[#This Row],[TICKNESS]],"-",schedule13[[#This Row],[GRADE]],"-",schedule13[[#This Row],[FC/NFC]])</f>
        <v/>
      </c>
      <c r="Q547" s="557" t="n"/>
      <c r="R547" s="557" t="n"/>
      <c r="S547" s="599" t="n">
        <v>12.7</v>
      </c>
      <c r="T547" s="599" t="n">
        <v>12.7</v>
      </c>
      <c r="U547" s="6" t="n">
        <v>0</v>
      </c>
      <c r="V547" s="599" t="n">
        <v>1.6</v>
      </c>
      <c r="W547" s="23" t="n">
        <v>950</v>
      </c>
      <c r="X547" s="23" t="n"/>
      <c r="Y547" s="601" t="n">
        <v>0</v>
      </c>
      <c r="Z547" s="602" t="n"/>
      <c r="AA547" s="602">
        <f>Y547-Z547</f>
        <v/>
      </c>
      <c r="AB547" s="599">
        <f>(S547-V547)*V547*W547*0.024653*Y547/1000000</f>
        <v/>
      </c>
      <c r="AC547" s="599">
        <f>(S547-V547)*V547*W547*0.024653*Z547/1000000</f>
        <v/>
      </c>
      <c r="AD547" s="599">
        <f>AB547-AC547</f>
        <v/>
      </c>
      <c r="AE547" s="599" t="n"/>
      <c r="AF547" s="599" t="n">
        <v>0.772019</v>
      </c>
      <c r="AG547" s="599" t="n"/>
      <c r="AH547" s="599">
        <f>AB547-AF547</f>
        <v/>
      </c>
      <c r="AI547" s="118">
        <f>(AC547+AF547)/AB547</f>
        <v/>
      </c>
    </row>
    <row r="548" hidden="1" s="584">
      <c r="A548" s="594" t="n">
        <v>15</v>
      </c>
      <c r="B548" s="5" t="inlineStr">
        <is>
          <t>Hosur</t>
        </is>
      </c>
      <c r="C548" s="601" t="inlineStr">
        <is>
          <t>SRIKAM HITECH</t>
        </is>
      </c>
      <c r="D548" s="601" t="n"/>
      <c r="E548" s="601" t="n">
        <v>944141</v>
      </c>
      <c r="F548" s="601" t="n">
        <v>3620428</v>
      </c>
      <c r="G548" s="601" t="inlineStr">
        <is>
          <t>TUB-O-N-AUT-AW-PE-15.88X1.600X0.4350</t>
        </is>
      </c>
      <c r="H548" s="601" t="inlineStr">
        <is>
          <t>ERW 1</t>
        </is>
      </c>
      <c r="I548" s="601" t="n"/>
      <c r="J548" s="601" t="inlineStr">
        <is>
          <t>PE</t>
        </is>
      </c>
      <c r="K548" s="601" t="inlineStr">
        <is>
          <t>CR</t>
        </is>
      </c>
      <c r="L548" s="601" t="inlineStr">
        <is>
          <t>WG</t>
        </is>
      </c>
      <c r="M548" s="601" t="n"/>
      <c r="N548" s="601" t="n"/>
      <c r="O548" s="601" t="n"/>
      <c r="P548" s="557">
        <f>CONCATENATE(schedule13[[#This Row],[OD]],"-",schedule13[[#This Row],[ID]],"-",schedule13[[#This Row],[TICKNESS]],"-",schedule13[[#This Row],[GRADE]],"-",schedule13[[#This Row],[FC/NFC]])</f>
        <v/>
      </c>
      <c r="Q548" s="557" t="n"/>
      <c r="R548" s="557" t="n"/>
      <c r="S548" s="599" t="n">
        <v>15.88</v>
      </c>
      <c r="T548" s="599" t="n">
        <v>15.88</v>
      </c>
      <c r="U548" s="6" t="n">
        <v>0</v>
      </c>
      <c r="V548" s="599" t="n">
        <v>1.6</v>
      </c>
      <c r="W548" s="23" t="n">
        <v>435</v>
      </c>
      <c r="X548" s="23" t="n"/>
      <c r="Y548" s="601" t="n">
        <v>10000</v>
      </c>
      <c r="Z548" s="602" t="n"/>
      <c r="AA548" s="602">
        <f>Y548-Z548</f>
        <v/>
      </c>
      <c r="AB548" s="599">
        <f>(S548-V548)*V548*W548*0.024653*Y548/1000000</f>
        <v/>
      </c>
      <c r="AC548" s="599">
        <f>(S548-V548)*V548*W548*0.024653*Z548/1000000</f>
        <v/>
      </c>
      <c r="AD548" s="599">
        <f>AB548-AC548</f>
        <v/>
      </c>
      <c r="AE548" s="599" t="n"/>
      <c r="AF548" s="599" t="n">
        <v>2.657</v>
      </c>
      <c r="AG548" s="599" t="n"/>
      <c r="AH548" s="599">
        <f>AB548-AF548</f>
        <v/>
      </c>
      <c r="AI548" s="118">
        <f>(AC548+AF548)/AB548</f>
        <v/>
      </c>
    </row>
    <row r="549" hidden="1" s="584">
      <c r="A549" s="594" t="n">
        <v>16</v>
      </c>
      <c r="B549" s="5" t="inlineStr">
        <is>
          <t>Hosur</t>
        </is>
      </c>
      <c r="C549" s="601" t="inlineStr">
        <is>
          <t>SRIKAM HITECH</t>
        </is>
      </c>
      <c r="D549" s="601" t="n"/>
      <c r="E549" s="601" t="n">
        <v>944141</v>
      </c>
      <c r="F549" s="601" t="n">
        <v>2420205</v>
      </c>
      <c r="G549" s="601" t="inlineStr">
        <is>
          <t>TUB-O-N-AUT-AW-PE-15.88X2.000X0.1550</t>
        </is>
      </c>
      <c r="H549" s="601" t="inlineStr">
        <is>
          <t>ERW 1</t>
        </is>
      </c>
      <c r="I549" s="601" t="n"/>
      <c r="J549" s="601" t="inlineStr">
        <is>
          <t>PE</t>
        </is>
      </c>
      <c r="K549" s="601" t="inlineStr">
        <is>
          <t>HR</t>
        </is>
      </c>
      <c r="L549" s="601" t="n"/>
      <c r="M549" s="601" t="n"/>
      <c r="N549" s="601" t="n"/>
      <c r="O549" s="601" t="n"/>
      <c r="P549" s="557">
        <f>CONCATENATE(schedule13[[#This Row],[OD]],"-",schedule13[[#This Row],[ID]],"-",schedule13[[#This Row],[TICKNESS]],"-",schedule13[[#This Row],[GRADE]],"-",schedule13[[#This Row],[FC/NFC]])</f>
        <v/>
      </c>
      <c r="Q549" s="557" t="n"/>
      <c r="R549" s="557" t="n"/>
      <c r="S549" s="599" t="n">
        <v>15.88</v>
      </c>
      <c r="T549" s="599" t="n">
        <v>15.88</v>
      </c>
      <c r="U549" s="6" t="n">
        <v>0</v>
      </c>
      <c r="V549" s="599" t="n">
        <v>2</v>
      </c>
      <c r="W549" s="23" t="n">
        <v>155</v>
      </c>
      <c r="X549" s="23" t="n"/>
      <c r="Y549" s="601" t="n">
        <v>20000</v>
      </c>
      <c r="Z549" s="602" t="n"/>
      <c r="AA549" s="602">
        <f>Y549-Z549</f>
        <v/>
      </c>
      <c r="AB549" s="599">
        <f>(S549-V549)*V549*W549*0.024653*Y549/1000000</f>
        <v/>
      </c>
      <c r="AC549" s="599">
        <f>(S549-V549)*V549*W549*0.024653*Z549/1000000</f>
        <v/>
      </c>
      <c r="AD549" s="599">
        <f>AB549-AC549</f>
        <v/>
      </c>
      <c r="AE549" s="599" t="n"/>
      <c r="AF549" s="599" t="n"/>
      <c r="AG549" s="599" t="n"/>
      <c r="AH549" s="599">
        <f>AB549-AF549</f>
        <v/>
      </c>
      <c r="AI549" s="118">
        <f>(AC549+AF549)/AB549</f>
        <v/>
      </c>
    </row>
    <row r="550" hidden="1" s="584">
      <c r="A550" s="594" t="n">
        <v>17</v>
      </c>
      <c r="B550" s="5" t="inlineStr">
        <is>
          <t>Hosur</t>
        </is>
      </c>
      <c r="C550" s="601" t="inlineStr">
        <is>
          <t>SRIKAM HITECH</t>
        </is>
      </c>
      <c r="D550" s="601" t="n"/>
      <c r="E550" s="601" t="n">
        <v>944141</v>
      </c>
      <c r="F550" s="601" t="n">
        <v>3706751</v>
      </c>
      <c r="G550" s="601" t="inlineStr">
        <is>
          <t>CUT-O-N-AUT-AW-PE-15.88X2.000X0.1600</t>
        </is>
      </c>
      <c r="H550" s="601" t="inlineStr">
        <is>
          <t>ERW 1</t>
        </is>
      </c>
      <c r="I550" s="601" t="n"/>
      <c r="J550" s="601" t="inlineStr">
        <is>
          <t>PE</t>
        </is>
      </c>
      <c r="K550" s="601" t="inlineStr">
        <is>
          <t>HR</t>
        </is>
      </c>
      <c r="L550" s="601" t="n"/>
      <c r="M550" s="601" t="n"/>
      <c r="N550" s="601" t="n"/>
      <c r="O550" s="601" t="n"/>
      <c r="P550" s="557">
        <f>CONCATENATE(schedule13[[#This Row],[OD]],"-",schedule13[[#This Row],[ID]],"-",schedule13[[#This Row],[TICKNESS]],"-",schedule13[[#This Row],[GRADE]],"-",schedule13[[#This Row],[FC/NFC]])</f>
        <v/>
      </c>
      <c r="Q550" s="557" t="n"/>
      <c r="R550" s="557" t="n"/>
      <c r="S550" s="599" t="n">
        <v>15.88</v>
      </c>
      <c r="T550" s="599" t="n">
        <v>15.88</v>
      </c>
      <c r="U550" s="6" t="n">
        <v>0</v>
      </c>
      <c r="V550" s="599" t="n">
        <v>2</v>
      </c>
      <c r="W550" s="23" t="n">
        <v>160</v>
      </c>
      <c r="X550" s="23" t="n"/>
      <c r="Y550" s="601" t="n">
        <v>20000</v>
      </c>
      <c r="Z550" s="602" t="n"/>
      <c r="AA550" s="602">
        <f>Y550-Z550</f>
        <v/>
      </c>
      <c r="AB550" s="599">
        <f>(S550-V550)*V550*W550*0.024653*Y550/1000000</f>
        <v/>
      </c>
      <c r="AC550" s="599">
        <f>(S550-V550)*V550*W550*0.024653*Z550/1000000</f>
        <v/>
      </c>
      <c r="AD550" s="599">
        <f>AB550-AC550</f>
        <v/>
      </c>
      <c r="AE550" s="599" t="n"/>
      <c r="AF550" s="599" t="n"/>
      <c r="AG550" s="599" t="n"/>
      <c r="AH550" s="599">
        <f>AB550-AF550</f>
        <v/>
      </c>
      <c r="AI550" s="118">
        <f>(AC550+AF550)/AB550</f>
        <v/>
      </c>
    </row>
    <row r="551" hidden="1" s="584">
      <c r="A551" s="594" t="n">
        <v>18</v>
      </c>
      <c r="B551" s="5" t="inlineStr">
        <is>
          <t>Hosur</t>
        </is>
      </c>
      <c r="C551" s="601" t="inlineStr">
        <is>
          <t>SRIKAM HITECH</t>
        </is>
      </c>
      <c r="D551" s="601" t="n"/>
      <c r="E551" s="601" t="n">
        <v>944141</v>
      </c>
      <c r="F551" s="601" t="inlineStr">
        <is>
          <t>NO MATERIAL CODE</t>
        </is>
      </c>
      <c r="G551" s="601" t="inlineStr">
        <is>
          <t>TUB-O-O-AUT-AW-PE-22.23X2.300X0.4270</t>
        </is>
      </c>
      <c r="H551" s="601" t="inlineStr">
        <is>
          <t>ERW 1</t>
        </is>
      </c>
      <c r="I551" s="601" t="n"/>
      <c r="J551" s="601" t="inlineStr">
        <is>
          <t>PE</t>
        </is>
      </c>
      <c r="K551" s="601" t="inlineStr">
        <is>
          <t>HR</t>
        </is>
      </c>
      <c r="L551" s="601" t="n"/>
      <c r="M551" s="601" t="n"/>
      <c r="N551" s="601" t="n"/>
      <c r="O551" s="601" t="n"/>
      <c r="P551" s="557">
        <f>CONCATENATE(schedule13[[#This Row],[OD]],"-",schedule13[[#This Row],[ID]],"-",schedule13[[#This Row],[TICKNESS]],"-",schedule13[[#This Row],[GRADE]],"-",schedule13[[#This Row],[FC/NFC]])</f>
        <v/>
      </c>
      <c r="Q551" s="557" t="n"/>
      <c r="R551" s="557" t="n"/>
      <c r="S551" s="599" t="n">
        <v>22.23</v>
      </c>
      <c r="T551" s="599" t="n">
        <v>22.23</v>
      </c>
      <c r="U551" s="6" t="n">
        <v>0</v>
      </c>
      <c r="V551" s="599" t="n">
        <v>2.3</v>
      </c>
      <c r="W551" s="23" t="n">
        <v>427</v>
      </c>
      <c r="X551" s="23" t="n"/>
      <c r="Y551" s="601" t="n">
        <v>5000</v>
      </c>
      <c r="Z551" s="602" t="n"/>
      <c r="AA551" s="602">
        <f>Y551-Z551</f>
        <v/>
      </c>
      <c r="AB551" s="599">
        <f>(S551-V551)*V551*W551*0.024653*Y551/1000000</f>
        <v/>
      </c>
      <c r="AC551" s="599">
        <f>(S551-V551)*V551*W551*0.024653*Z551/1000000</f>
        <v/>
      </c>
      <c r="AD551" s="599">
        <f>AB551-AC551</f>
        <v/>
      </c>
      <c r="AE551" s="599" t="n"/>
      <c r="AF551" s="599" t="n"/>
      <c r="AG551" s="599" t="n"/>
      <c r="AH551" s="599">
        <f>AB551-AF551</f>
        <v/>
      </c>
      <c r="AI551" s="118">
        <f>(AC551+AF551)/AB551</f>
        <v/>
      </c>
    </row>
    <row r="552" hidden="1" s="584">
      <c r="A552" s="594" t="n">
        <v>19</v>
      </c>
      <c r="B552" s="5" t="inlineStr">
        <is>
          <t>Hosur</t>
        </is>
      </c>
      <c r="C552" s="601" t="inlineStr">
        <is>
          <t>SRIKAM HITECH</t>
        </is>
      </c>
      <c r="D552" s="601" t="n"/>
      <c r="E552" s="601" t="n">
        <v>944141</v>
      </c>
      <c r="F552" s="601" t="n">
        <v>1940498</v>
      </c>
      <c r="G552" s="601" t="inlineStr">
        <is>
          <t>TUB-O-O-AUT-AW-PE-22.23X2.300X0.2810</t>
        </is>
      </c>
      <c r="H552" s="601" t="inlineStr">
        <is>
          <t>ERW 1</t>
        </is>
      </c>
      <c r="I552" s="601" t="n"/>
      <c r="J552" s="601" t="inlineStr">
        <is>
          <t>PE</t>
        </is>
      </c>
      <c r="K552" s="601" t="inlineStr">
        <is>
          <t>HR</t>
        </is>
      </c>
      <c r="L552" s="601" t="n"/>
      <c r="M552" s="601" t="n"/>
      <c r="N552" s="601" t="n"/>
      <c r="O552" s="601" t="n"/>
      <c r="P552" s="557">
        <f>CONCATENATE(schedule13[[#This Row],[OD]],"-",schedule13[[#This Row],[ID]],"-",schedule13[[#This Row],[TICKNESS]],"-",schedule13[[#This Row],[GRADE]],"-",schedule13[[#This Row],[FC/NFC]])</f>
        <v/>
      </c>
      <c r="Q552" s="557" t="n"/>
      <c r="R552" s="557" t="n"/>
      <c r="S552" s="599" t="n">
        <v>22.23</v>
      </c>
      <c r="T552" s="599" t="n">
        <v>22.23</v>
      </c>
      <c r="U552" s="6" t="n">
        <v>0</v>
      </c>
      <c r="V552" s="599" t="n">
        <v>2.3</v>
      </c>
      <c r="W552" s="23" t="n">
        <v>281</v>
      </c>
      <c r="X552" s="23" t="n"/>
      <c r="Y552" s="601" t="n">
        <v>30000</v>
      </c>
      <c r="Z552" s="602" t="n"/>
      <c r="AA552" s="602">
        <f>Y552-Z552</f>
        <v/>
      </c>
      <c r="AB552" s="599">
        <f>(S552-V552)*V552*W552*0.024653*Y552/1000000</f>
        <v/>
      </c>
      <c r="AC552" s="599">
        <f>(S552-V552)*V552*W552*0.024653*Z552/1000000</f>
        <v/>
      </c>
      <c r="AD552" s="599">
        <f>AB552-AC552</f>
        <v/>
      </c>
      <c r="AE552" s="599" t="n"/>
      <c r="AF552" s="599" t="n">
        <v>8.167</v>
      </c>
      <c r="AG552" s="599" t="n"/>
      <c r="AH552" s="599">
        <f>AB552-AF552</f>
        <v/>
      </c>
      <c r="AI552" s="118">
        <f>(AC552+AF552)/AB552</f>
        <v/>
      </c>
    </row>
    <row r="553" hidden="1" s="584">
      <c r="A553" s="594" t="n">
        <v>20</v>
      </c>
      <c r="B553" s="5" t="inlineStr">
        <is>
          <t>Hosur</t>
        </is>
      </c>
      <c r="C553" s="601" t="inlineStr">
        <is>
          <t>SRIKAM HITECH</t>
        </is>
      </c>
      <c r="D553" s="601" t="n"/>
      <c r="E553" s="601" t="n">
        <v>944141</v>
      </c>
      <c r="F553" s="601" t="n">
        <v>1940584</v>
      </c>
      <c r="G553" s="601" t="inlineStr">
        <is>
          <t>TUB-O-O-AUT-AW-FC-25.40X2.000X0.2810</t>
        </is>
      </c>
      <c r="H553" s="601" t="inlineStr">
        <is>
          <t>ERW 1</t>
        </is>
      </c>
      <c r="I553" s="601" t="n"/>
      <c r="J553" s="601" t="inlineStr">
        <is>
          <t>FC</t>
        </is>
      </c>
      <c r="K553" s="601" t="inlineStr">
        <is>
          <t>HR</t>
        </is>
      </c>
      <c r="L553" s="601" t="n"/>
      <c r="M553" s="601" t="n"/>
      <c r="N553" s="601" t="n"/>
      <c r="O553" s="601" t="n"/>
      <c r="P553" s="557">
        <f>CONCATENATE(schedule13[[#This Row],[OD]],"-",schedule13[[#This Row],[ID]],"-",schedule13[[#This Row],[TICKNESS]],"-",schedule13[[#This Row],[GRADE]],"-",schedule13[[#This Row],[FC/NFC]])</f>
        <v/>
      </c>
      <c r="Q553" s="557" t="n"/>
      <c r="R553" s="557" t="n"/>
      <c r="S553" s="599" t="n">
        <v>25.4</v>
      </c>
      <c r="T553" s="599" t="n">
        <v>25.4</v>
      </c>
      <c r="U553" s="6" t="n">
        <v>0</v>
      </c>
      <c r="V553" s="599" t="n">
        <v>2</v>
      </c>
      <c r="W553" s="23" t="n">
        <v>281</v>
      </c>
      <c r="X553" s="23" t="n"/>
      <c r="Y553" s="601" t="n">
        <v>20000</v>
      </c>
      <c r="Z553" s="602" t="n"/>
      <c r="AA553" s="602">
        <f>Y553-Z553</f>
        <v/>
      </c>
      <c r="AB553" s="599">
        <f>(S553-V553)*V553*W553*0.024653*Y553/1000000</f>
        <v/>
      </c>
      <c r="AC553" s="599">
        <f>(S553-V553)*V553*W553*0.024653*Z553/1000000</f>
        <v/>
      </c>
      <c r="AD553" s="599">
        <f>AB553-AC553</f>
        <v/>
      </c>
      <c r="AE553" s="599" t="n"/>
      <c r="AF553" s="599" t="n">
        <v>5.680435999999999</v>
      </c>
      <c r="AG553" s="599" t="n"/>
      <c r="AH553" s="599">
        <f>AB553-AF553</f>
        <v/>
      </c>
      <c r="AI553" s="118">
        <f>(AC553+AF553)/AB553</f>
        <v/>
      </c>
    </row>
    <row r="554" hidden="1" s="584">
      <c r="A554" s="594" t="n">
        <v>21</v>
      </c>
      <c r="B554" s="5" t="inlineStr">
        <is>
          <t>Hosur</t>
        </is>
      </c>
      <c r="C554" s="601" t="inlineStr">
        <is>
          <t>SRIKAM HITECH</t>
        </is>
      </c>
      <c r="D554" s="601" t="n"/>
      <c r="E554" s="601" t="n">
        <v>944141</v>
      </c>
      <c r="F554" s="601" t="n">
        <v>1940310</v>
      </c>
      <c r="G554" s="601" t="inlineStr">
        <is>
          <t>TUB-O-O-AUT-AW-PE-19.05X2.300X0.2810</t>
        </is>
      </c>
      <c r="H554" s="601" t="inlineStr">
        <is>
          <t>ERW 1</t>
        </is>
      </c>
      <c r="I554" s="601" t="n"/>
      <c r="J554" s="601" t="n"/>
      <c r="K554" s="601" t="inlineStr">
        <is>
          <t>HR</t>
        </is>
      </c>
      <c r="L554" s="601" t="n"/>
      <c r="M554" s="601" t="n"/>
      <c r="N554" s="601" t="n"/>
      <c r="O554" s="601" t="n"/>
      <c r="P554" s="557">
        <f>CONCATENATE(schedule13[[#This Row],[OD]],"-",schedule13[[#This Row],[ID]],"-",schedule13[[#This Row],[TICKNESS]],"-",schedule13[[#This Row],[GRADE]],"-",schedule13[[#This Row],[FC/NFC]])</f>
        <v/>
      </c>
      <c r="Q554" s="557" t="n"/>
      <c r="R554" s="557" t="n"/>
      <c r="S554" s="599" t="n">
        <v>19.05</v>
      </c>
      <c r="T554" s="599" t="n">
        <v>19.05</v>
      </c>
      <c r="U554" s="6" t="n">
        <v>0</v>
      </c>
      <c r="V554" s="599" t="n">
        <v>2.3</v>
      </c>
      <c r="W554" s="23" t="n">
        <v>281</v>
      </c>
      <c r="X554" s="23" t="n"/>
      <c r="Y554" s="601" t="n">
        <v>0</v>
      </c>
      <c r="Z554" s="602" t="n"/>
      <c r="AA554" s="602">
        <f>Y554-Z554</f>
        <v/>
      </c>
      <c r="AB554" s="599">
        <f>(S554-V554)*V554*W554*0.024653*Y554/1000000</f>
        <v/>
      </c>
      <c r="AC554" s="599">
        <f>(S554-V554)*V554*W554*0.024653*Z554/1000000</f>
        <v/>
      </c>
      <c r="AD554" s="599">
        <f>AB554-AC554</f>
        <v/>
      </c>
      <c r="AE554" s="599" t="n"/>
      <c r="AF554" s="599" t="n"/>
      <c r="AG554" s="599" t="n"/>
      <c r="AH554" s="599">
        <f>AB554-AF554</f>
        <v/>
      </c>
      <c r="AI554" s="118">
        <f>(AC554+AF554)/AB554</f>
        <v/>
      </c>
    </row>
    <row r="555" hidden="1" s="584">
      <c r="A555" s="594" t="n">
        <v>22</v>
      </c>
      <c r="B555" s="5" t="inlineStr">
        <is>
          <t>Hosur</t>
        </is>
      </c>
      <c r="C555" s="601" t="inlineStr">
        <is>
          <t>SRIKAM HITECH</t>
        </is>
      </c>
      <c r="D555" s="601" t="n"/>
      <c r="E555" s="601" t="n">
        <v>944141</v>
      </c>
      <c r="F555" s="601" t="n">
        <v>1940390</v>
      </c>
      <c r="G555" s="601" t="inlineStr">
        <is>
          <t>TUB-O-O-AUT-AW-PE-22.23X1.600X0.2830</t>
        </is>
      </c>
      <c r="H555" s="601" t="inlineStr">
        <is>
          <t>ERW 1</t>
        </is>
      </c>
      <c r="I555" s="601" t="n"/>
      <c r="J555" s="601" t="inlineStr">
        <is>
          <t>PE</t>
        </is>
      </c>
      <c r="K555" s="601" t="inlineStr">
        <is>
          <t>CR</t>
        </is>
      </c>
      <c r="L555" s="49" t="inlineStr">
        <is>
          <t>GR1</t>
        </is>
      </c>
      <c r="M555" s="601" t="n"/>
      <c r="N555" s="601" t="n"/>
      <c r="O555" s="601" t="n"/>
      <c r="P555" s="557">
        <f>CONCATENATE(schedule13[[#This Row],[OD]],"-",schedule13[[#This Row],[ID]],"-",schedule13[[#This Row],[TICKNESS]],"-",schedule13[[#This Row],[GRADE]],"-",schedule13[[#This Row],[FC/NFC]])</f>
        <v/>
      </c>
      <c r="Q555" s="557" t="n"/>
      <c r="R555" s="557" t="n"/>
      <c r="S555" s="599" t="n">
        <v>22.23</v>
      </c>
      <c r="T555" s="599" t="n">
        <v>22.23</v>
      </c>
      <c r="U555" s="6" t="n">
        <v>0</v>
      </c>
      <c r="V555" s="599" t="n">
        <v>1.6</v>
      </c>
      <c r="W555" s="23" t="n">
        <v>283</v>
      </c>
      <c r="X555" s="23" t="n"/>
      <c r="Y555" s="601" t="n">
        <v>5000</v>
      </c>
      <c r="Z555" s="602" t="n"/>
      <c r="AA555" s="602">
        <f>Y555-Z555</f>
        <v/>
      </c>
      <c r="AB555" s="599">
        <f>(S555-V555)*V555*W555*0.024653*Y555/1000000</f>
        <v/>
      </c>
      <c r="AC555" s="599">
        <f>(S555-V555)*V555*W555*0.024653*Z555/1000000</f>
        <v/>
      </c>
      <c r="AD555" s="599">
        <f>AB555-AC555</f>
        <v/>
      </c>
      <c r="AE555" s="599" t="n"/>
      <c r="AF555" s="599" t="n">
        <v>1.259484</v>
      </c>
      <c r="AG555" s="599" t="n"/>
      <c r="AH555" s="599">
        <f>AB555-AF555</f>
        <v/>
      </c>
      <c r="AI555" s="118">
        <f>(AC555+AF555)/AB555</f>
        <v/>
      </c>
    </row>
    <row r="556" hidden="1" s="584">
      <c r="A556" s="594" t="n">
        <v>23</v>
      </c>
      <c r="B556" s="5" t="inlineStr">
        <is>
          <t>Hosur</t>
        </is>
      </c>
      <c r="C556" s="601" t="inlineStr">
        <is>
          <t>SRIKAM HITECH</t>
        </is>
      </c>
      <c r="D556" s="601" t="n"/>
      <c r="E556" s="601" t="n">
        <v>944141</v>
      </c>
      <c r="F556" s="601" t="n">
        <v>1940312</v>
      </c>
      <c r="G556" s="601" t="inlineStr">
        <is>
          <t>TUB-O-O-AUT-AW-PE-19.05X2.300X0.2950</t>
        </is>
      </c>
      <c r="H556" s="601" t="inlineStr">
        <is>
          <t>ERW 1</t>
        </is>
      </c>
      <c r="I556" s="601" t="n"/>
      <c r="J556" s="601" t="inlineStr">
        <is>
          <t>PE</t>
        </is>
      </c>
      <c r="K556" s="601" t="inlineStr">
        <is>
          <t>HR</t>
        </is>
      </c>
      <c r="L556" s="601" t="n"/>
      <c r="M556" s="601" t="n"/>
      <c r="N556" s="601" t="n"/>
      <c r="O556" s="601" t="n"/>
      <c r="P556" s="557">
        <f>CONCATENATE(schedule13[[#This Row],[OD]],"-",schedule13[[#This Row],[ID]],"-",schedule13[[#This Row],[TICKNESS]],"-",schedule13[[#This Row],[GRADE]],"-",schedule13[[#This Row],[FC/NFC]])</f>
        <v/>
      </c>
      <c r="Q556" s="557" t="n"/>
      <c r="R556" s="557" t="n"/>
      <c r="S556" s="599" t="n">
        <v>19.05</v>
      </c>
      <c r="T556" s="599" t="n">
        <v>19.05</v>
      </c>
      <c r="U556" s="6" t="n">
        <v>0</v>
      </c>
      <c r="V556" s="599" t="n">
        <v>2.3</v>
      </c>
      <c r="W556" s="23" t="n">
        <v>295</v>
      </c>
      <c r="X556" s="23" t="n"/>
      <c r="Y556" s="601" t="n">
        <v>55000</v>
      </c>
      <c r="Z556" s="602" t="n"/>
      <c r="AA556" s="602">
        <f>Y556-Z556</f>
        <v/>
      </c>
      <c r="AB556" s="599">
        <f>(S556-V556)*V556*W556*0.024653*Y556/1000000</f>
        <v/>
      </c>
      <c r="AC556" s="599">
        <f>(S556-V556)*V556*W556*0.024653*Z556/1000000</f>
        <v/>
      </c>
      <c r="AD556" s="599">
        <f>AB556-AC556</f>
        <v/>
      </c>
      <c r="AE556" s="599" t="n"/>
      <c r="AF556" s="599" t="n">
        <v>0.7391990000000001</v>
      </c>
      <c r="AG556" s="599" t="n"/>
      <c r="AH556" s="599">
        <f>AB556-AF556</f>
        <v/>
      </c>
      <c r="AI556" s="118">
        <f>(AC556+AF556)/AB556</f>
        <v/>
      </c>
    </row>
    <row r="557" hidden="1" s="584">
      <c r="A557" s="594" t="n">
        <v>24</v>
      </c>
      <c r="B557" s="5" t="inlineStr">
        <is>
          <t>Hosur</t>
        </is>
      </c>
      <c r="C557" s="601" t="inlineStr">
        <is>
          <t>SRIKAM HITECH</t>
        </is>
      </c>
      <c r="D557" s="601" t="n"/>
      <c r="E557" s="601" t="n">
        <v>944141</v>
      </c>
      <c r="F557" s="601" t="n">
        <v>1940418</v>
      </c>
      <c r="G557" s="601" t="inlineStr">
        <is>
          <t>TUB-O-O-AUT-AW-PE-22.23X1.600X0.9670</t>
        </is>
      </c>
      <c r="H557" s="601" t="inlineStr">
        <is>
          <t>ERW 1</t>
        </is>
      </c>
      <c r="I557" s="601" t="n"/>
      <c r="J557" s="601" t="inlineStr">
        <is>
          <t>PE</t>
        </is>
      </c>
      <c r="K557" s="601" t="inlineStr">
        <is>
          <t>CR</t>
        </is>
      </c>
      <c r="L557" s="49" t="inlineStr">
        <is>
          <t>GR1</t>
        </is>
      </c>
      <c r="M557" s="601" t="n"/>
      <c r="N557" s="601" t="n"/>
      <c r="O557" s="601" t="n"/>
      <c r="P557" s="557">
        <f>CONCATENATE(schedule13[[#This Row],[OD]],"-",schedule13[[#This Row],[ID]],"-",schedule13[[#This Row],[TICKNESS]],"-",schedule13[[#This Row],[GRADE]],"-",schedule13[[#This Row],[FC/NFC]])</f>
        <v/>
      </c>
      <c r="Q557" s="557" t="n"/>
      <c r="R557" s="557" t="n"/>
      <c r="S557" s="599" t="n">
        <v>22.23</v>
      </c>
      <c r="T557" s="599" t="n">
        <v>22.23</v>
      </c>
      <c r="U557" s="6" t="n">
        <v>0</v>
      </c>
      <c r="V557" s="599" t="n">
        <v>1.6</v>
      </c>
      <c r="W557" s="23" t="n">
        <v>967</v>
      </c>
      <c r="X557" s="23" t="n"/>
      <c r="Y557" s="601" t="n">
        <v>1000</v>
      </c>
      <c r="Z557" s="602" t="n"/>
      <c r="AA557" s="602">
        <f>Y557-Z557</f>
        <v/>
      </c>
      <c r="AB557" s="599">
        <f>(S557-V557)*V557*W557*0.024653*Y557/1000000</f>
        <v/>
      </c>
      <c r="AC557" s="599">
        <f>(S557-V557)*V557*W557*0.024653*Z557/1000000</f>
        <v/>
      </c>
      <c r="AD557" s="599">
        <f>AB557-AC557</f>
        <v/>
      </c>
      <c r="AE557" s="599" t="n"/>
      <c r="AF557" s="599" t="n"/>
      <c r="AG557" s="599" t="n"/>
      <c r="AH557" s="599">
        <f>AB557-AF557</f>
        <v/>
      </c>
      <c r="AI557" s="118">
        <f>(AC557+AF557)/AB557</f>
        <v/>
      </c>
    </row>
    <row r="558" hidden="1" s="584">
      <c r="A558" s="594" t="n">
        <v>25</v>
      </c>
      <c r="B558" s="5" t="inlineStr">
        <is>
          <t>Hosur</t>
        </is>
      </c>
      <c r="C558" s="601" t="inlineStr">
        <is>
          <t>SRIKAM HITECH</t>
        </is>
      </c>
      <c r="D558" s="601" t="n"/>
      <c r="E558" s="601" t="n">
        <v>944141</v>
      </c>
      <c r="F558" s="601" t="n">
        <v>1940325</v>
      </c>
      <c r="G558" s="601" t="inlineStr">
        <is>
          <t>TUB-O-O-AUT-AW-PE-19.05X2.300X0.5700</t>
        </is>
      </c>
      <c r="H558" s="601" t="inlineStr">
        <is>
          <t>ERW 1</t>
        </is>
      </c>
      <c r="I558" s="601" t="n"/>
      <c r="J558" s="601" t="inlineStr">
        <is>
          <t>PE</t>
        </is>
      </c>
      <c r="K558" s="601" t="inlineStr">
        <is>
          <t>HR</t>
        </is>
      </c>
      <c r="L558" s="601" t="n"/>
      <c r="M558" s="601" t="n"/>
      <c r="N558" s="601" t="n"/>
      <c r="O558" s="601" t="n"/>
      <c r="P558" s="557">
        <f>CONCATENATE(schedule13[[#This Row],[OD]],"-",schedule13[[#This Row],[ID]],"-",schedule13[[#This Row],[TICKNESS]],"-",schedule13[[#This Row],[GRADE]],"-",schedule13[[#This Row],[FC/NFC]])</f>
        <v/>
      </c>
      <c r="Q558" s="557" t="n"/>
      <c r="R558" s="557" t="n"/>
      <c r="S558" s="599" t="n">
        <v>19.05</v>
      </c>
      <c r="T558" s="599" t="n">
        <v>19.05</v>
      </c>
      <c r="U558" s="6" t="n">
        <v>0</v>
      </c>
      <c r="V558" s="599" t="n">
        <v>2.3</v>
      </c>
      <c r="W558" s="23" t="n">
        <v>570</v>
      </c>
      <c r="X558" s="23" t="n"/>
      <c r="Y558" s="601" t="n">
        <v>5000</v>
      </c>
      <c r="Z558" s="602" t="n"/>
      <c r="AA558" s="602">
        <f>Y558-Z558</f>
        <v/>
      </c>
      <c r="AB558" s="599">
        <f>(S558-V558)*V558*W558*0.024653*Y558/1000000</f>
        <v/>
      </c>
      <c r="AC558" s="599">
        <f>(S558-V558)*V558*W558*0.024653*Z558/1000000</f>
        <v/>
      </c>
      <c r="AD558" s="599">
        <f>AB558-AC558</f>
        <v/>
      </c>
      <c r="AE558" s="599" t="n"/>
      <c r="AF558" s="599" t="n"/>
      <c r="AG558" s="599" t="n"/>
      <c r="AH558" s="599">
        <f>AB558-AF558</f>
        <v/>
      </c>
      <c r="AI558" s="118">
        <f>(AC558+AF558)/AB558</f>
        <v/>
      </c>
    </row>
    <row r="559" hidden="1" s="584">
      <c r="A559" s="594" t="n">
        <v>26</v>
      </c>
      <c r="B559" s="5" t="inlineStr">
        <is>
          <t>Hosur</t>
        </is>
      </c>
      <c r="C559" s="601" t="inlineStr">
        <is>
          <t>SRIKAM HITECH</t>
        </is>
      </c>
      <c r="D559" s="601" t="n"/>
      <c r="E559" s="601" t="n">
        <v>944141</v>
      </c>
      <c r="F559" s="601" t="n">
        <v>1940449</v>
      </c>
      <c r="G559" s="601" t="inlineStr">
        <is>
          <t>TUB-O-O-AUT-AW-PE-22.23X2.000X0.5740</t>
        </is>
      </c>
      <c r="H559" s="601" t="inlineStr">
        <is>
          <t>ERW 1</t>
        </is>
      </c>
      <c r="I559" s="601" t="n"/>
      <c r="J559" s="601" t="n"/>
      <c r="K559" s="601" t="inlineStr">
        <is>
          <t>HR</t>
        </is>
      </c>
      <c r="L559" s="601" t="n"/>
      <c r="M559" s="601" t="n"/>
      <c r="N559" s="601" t="n"/>
      <c r="O559" s="601" t="n"/>
      <c r="P559" s="557">
        <f>CONCATENATE(schedule13[[#This Row],[OD]],"-",schedule13[[#This Row],[ID]],"-",schedule13[[#This Row],[TICKNESS]],"-",schedule13[[#This Row],[GRADE]],"-",schedule13[[#This Row],[FC/NFC]])</f>
        <v/>
      </c>
      <c r="Q559" s="557" t="n"/>
      <c r="R559" s="557" t="n"/>
      <c r="S559" s="599" t="n">
        <v>22.23</v>
      </c>
      <c r="T559" s="599" t="n">
        <v>22.23</v>
      </c>
      <c r="U559" s="6" t="n">
        <v>0</v>
      </c>
      <c r="V559" s="599" t="n">
        <v>2</v>
      </c>
      <c r="W559" s="23" t="n">
        <v>574</v>
      </c>
      <c r="X559" s="23" t="n"/>
      <c r="Y559" s="601" t="n">
        <v>0</v>
      </c>
      <c r="Z559" s="602" t="n"/>
      <c r="AA559" s="602">
        <f>Y559-Z559</f>
        <v/>
      </c>
      <c r="AB559" s="599">
        <f>(S559-V559)*V559*W559*0.024653*Y559/1000000</f>
        <v/>
      </c>
      <c r="AC559" s="599">
        <f>(S559-V559)*V559*W559*0.024653*Z559/1000000</f>
        <v/>
      </c>
      <c r="AD559" s="599">
        <f>AB559-AC559</f>
        <v/>
      </c>
      <c r="AE559" s="599" t="n"/>
      <c r="AF559" s="599" t="n">
        <v>0.300792</v>
      </c>
      <c r="AG559" s="599" t="n"/>
      <c r="AH559" s="599">
        <f>AB559-AF559</f>
        <v/>
      </c>
      <c r="AI559" s="118">
        <f>(AC559+AF559)/AB559</f>
        <v/>
      </c>
    </row>
    <row r="560" hidden="1" s="584">
      <c r="A560" s="594" t="n">
        <v>27</v>
      </c>
      <c r="B560" s="5" t="inlineStr">
        <is>
          <t>Hosur</t>
        </is>
      </c>
      <c r="C560" s="601" t="inlineStr">
        <is>
          <t>SRIKAM HITECH</t>
        </is>
      </c>
      <c r="D560" s="601" t="n"/>
      <c r="E560" s="601" t="n">
        <v>944141</v>
      </c>
      <c r="F560" s="601" t="n">
        <v>1940329</v>
      </c>
      <c r="G560" s="601" t="inlineStr">
        <is>
          <t>TUB-O-O-AUT-AW-PE-19.05X2.300X0.6100</t>
        </is>
      </c>
      <c r="H560" s="601" t="inlineStr">
        <is>
          <t>ERW 1</t>
        </is>
      </c>
      <c r="I560" s="601" t="n"/>
      <c r="J560" s="601" t="inlineStr">
        <is>
          <t>PE</t>
        </is>
      </c>
      <c r="K560" s="601" t="inlineStr">
        <is>
          <t>HR</t>
        </is>
      </c>
      <c r="L560" s="601" t="n"/>
      <c r="M560" s="601" t="n"/>
      <c r="N560" s="601" t="n"/>
      <c r="O560" s="601" t="n"/>
      <c r="P560" s="557">
        <f>CONCATENATE(schedule13[[#This Row],[OD]],"-",schedule13[[#This Row],[ID]],"-",schedule13[[#This Row],[TICKNESS]],"-",schedule13[[#This Row],[GRADE]],"-",schedule13[[#This Row],[FC/NFC]])</f>
        <v/>
      </c>
      <c r="Q560" s="557" t="n"/>
      <c r="R560" s="557" t="n"/>
      <c r="S560" s="599" t="n">
        <v>19.05</v>
      </c>
      <c r="T560" s="599" t="n">
        <v>19.05</v>
      </c>
      <c r="U560" s="6" t="n">
        <v>0</v>
      </c>
      <c r="V560" s="599" t="n">
        <v>2.3</v>
      </c>
      <c r="W560" s="23" t="n">
        <v>610</v>
      </c>
      <c r="X560" s="23" t="n"/>
      <c r="Y560" s="601" t="n">
        <v>5000</v>
      </c>
      <c r="Z560" s="602" t="n"/>
      <c r="AA560" s="602">
        <f>Y560-Z560</f>
        <v/>
      </c>
      <c r="AB560" s="599">
        <f>(S560-V560)*V560*W560*0.024653*Y560/1000000</f>
        <v/>
      </c>
      <c r="AC560" s="599">
        <f>(S560-V560)*V560*W560*0.024653*Z560/1000000</f>
        <v/>
      </c>
      <c r="AD560" s="599">
        <f>AB560-AC560</f>
        <v/>
      </c>
      <c r="AE560" s="599" t="n"/>
      <c r="AF560" s="599" t="n"/>
      <c r="AG560" s="599" t="n"/>
      <c r="AH560" s="599">
        <f>AB560-AF560</f>
        <v/>
      </c>
      <c r="AI560" s="118">
        <f>(AC560+AF560)/AB560</f>
        <v/>
      </c>
    </row>
    <row r="561" hidden="1" s="584">
      <c r="A561" s="594" t="n">
        <v>28</v>
      </c>
      <c r="B561" s="5" t="inlineStr">
        <is>
          <t>Hosur</t>
        </is>
      </c>
      <c r="C561" s="601" t="inlineStr">
        <is>
          <t>SRIKAM HITECH</t>
        </is>
      </c>
      <c r="D561" s="601" t="n"/>
      <c r="E561" s="601" t="n">
        <v>944141</v>
      </c>
      <c r="F561" s="601" t="n">
        <v>2270133</v>
      </c>
      <c r="G561" s="601" t="inlineStr">
        <is>
          <t>TUB-O-N-AUT-HR-PE-22.23X1.600X0.7000</t>
        </is>
      </c>
      <c r="H561" s="601" t="inlineStr">
        <is>
          <t>ERW 1</t>
        </is>
      </c>
      <c r="I561" s="601" t="n"/>
      <c r="J561" s="601" t="inlineStr">
        <is>
          <t>PE</t>
        </is>
      </c>
      <c r="K561" s="601" t="inlineStr">
        <is>
          <t>CR</t>
        </is>
      </c>
      <c r="L561" s="49" t="inlineStr">
        <is>
          <t>GR1</t>
        </is>
      </c>
      <c r="M561" s="601" t="n"/>
      <c r="N561" s="601" t="n"/>
      <c r="O561" s="601" t="n"/>
      <c r="P561" s="557">
        <f>CONCATENATE(schedule13[[#This Row],[OD]],"-",schedule13[[#This Row],[ID]],"-",schedule13[[#This Row],[TICKNESS]],"-",schedule13[[#This Row],[GRADE]],"-",schedule13[[#This Row],[FC/NFC]])</f>
        <v/>
      </c>
      <c r="Q561" s="557" t="n"/>
      <c r="R561" s="557" t="n"/>
      <c r="S561" s="599" t="n">
        <v>22.23</v>
      </c>
      <c r="T561" s="599" t="n">
        <v>22.23</v>
      </c>
      <c r="U561" s="6" t="n">
        <v>0</v>
      </c>
      <c r="V561" s="599" t="n">
        <v>1.6</v>
      </c>
      <c r="W561" s="23" t="n">
        <v>700</v>
      </c>
      <c r="X561" s="23" t="n"/>
      <c r="Y561" s="601" t="n">
        <v>20000</v>
      </c>
      <c r="Z561" s="602" t="n"/>
      <c r="AA561" s="602">
        <f>Y561-Z561</f>
        <v/>
      </c>
      <c r="AB561" s="599">
        <f>(S561-V561)*V561*W561*0.024653*Y561/1000000</f>
        <v/>
      </c>
      <c r="AC561" s="599">
        <f>(S561-V561)*V561*W561*0.024653*Z561/1000000</f>
        <v/>
      </c>
      <c r="AD561" s="599">
        <f>AB561-AC561</f>
        <v/>
      </c>
      <c r="AE561" s="599" t="n"/>
      <c r="AF561" s="599" t="n">
        <v>0.52</v>
      </c>
      <c r="AG561" s="599" t="n"/>
      <c r="AH561" s="599">
        <f>AB561-AF561</f>
        <v/>
      </c>
      <c r="AI561" s="118">
        <f>(AC561+AF561)/AB561</f>
        <v/>
      </c>
    </row>
    <row r="562" hidden="1" s="584">
      <c r="A562" s="594" t="n">
        <v>29</v>
      </c>
      <c r="B562" s="5" t="inlineStr">
        <is>
          <t>Hosur</t>
        </is>
      </c>
      <c r="C562" s="601" t="inlineStr">
        <is>
          <t>SRIKAM HITECH</t>
        </is>
      </c>
      <c r="D562" s="601" t="n"/>
      <c r="E562" s="601" t="n">
        <v>944141</v>
      </c>
      <c r="F562" s="601" t="n">
        <v>1940287</v>
      </c>
      <c r="G562" s="601" t="inlineStr">
        <is>
          <t>TUB-O-O-AUT-AW-PE-19.05X2.000X0.8150</t>
        </is>
      </c>
      <c r="H562" s="601" t="inlineStr">
        <is>
          <t>ERW 1</t>
        </is>
      </c>
      <c r="I562" s="601" t="n"/>
      <c r="J562" s="601" t="inlineStr">
        <is>
          <t>PE</t>
        </is>
      </c>
      <c r="K562" s="601" t="inlineStr">
        <is>
          <t>HR</t>
        </is>
      </c>
      <c r="L562" s="601" t="n"/>
      <c r="M562" s="601" t="n"/>
      <c r="N562" s="601" t="n"/>
      <c r="O562" s="601" t="n"/>
      <c r="P562" s="557">
        <f>CONCATENATE(schedule13[[#This Row],[OD]],"-",schedule13[[#This Row],[ID]],"-",schedule13[[#This Row],[TICKNESS]],"-",schedule13[[#This Row],[GRADE]],"-",schedule13[[#This Row],[FC/NFC]])</f>
        <v/>
      </c>
      <c r="Q562" s="557" t="n"/>
      <c r="R562" s="557" t="n"/>
      <c r="S562" s="599" t="n">
        <v>19.05</v>
      </c>
      <c r="T562" s="599" t="n">
        <v>19.05</v>
      </c>
      <c r="U562" s="6" t="n">
        <v>0</v>
      </c>
      <c r="V562" s="599" t="n">
        <v>2</v>
      </c>
      <c r="W562" s="23" t="n">
        <v>815</v>
      </c>
      <c r="X562" s="23" t="n"/>
      <c r="Y562" s="601" t="n">
        <v>20000</v>
      </c>
      <c r="Z562" s="602" t="n"/>
      <c r="AA562" s="602">
        <f>Y562-Z562</f>
        <v/>
      </c>
      <c r="AB562" s="599">
        <f>(S562-V562)*V562*W562*0.024653*Y562/1000000</f>
        <v/>
      </c>
      <c r="AC562" s="599">
        <f>(S562-V562)*V562*W562*0.024653*Z562/1000000</f>
        <v/>
      </c>
      <c r="AD562" s="599">
        <f>AB562-AC562</f>
        <v/>
      </c>
      <c r="AE562" s="599" t="n"/>
      <c r="AF562" s="599" t="n">
        <v>3.811</v>
      </c>
      <c r="AG562" s="599" t="n"/>
      <c r="AH562" s="599">
        <f>AB562-AF562</f>
        <v/>
      </c>
      <c r="AI562" s="118">
        <f>(AC562+AF562)/AB562</f>
        <v/>
      </c>
    </row>
    <row r="563" hidden="1" s="584">
      <c r="A563" s="594" t="n">
        <v>30</v>
      </c>
      <c r="B563" s="5" t="inlineStr">
        <is>
          <t>Hosur</t>
        </is>
      </c>
      <c r="C563" s="601" t="inlineStr">
        <is>
          <t>SRIKAM HITECH</t>
        </is>
      </c>
      <c r="D563" s="601" t="n"/>
      <c r="E563" s="601" t="n">
        <v>944141</v>
      </c>
      <c r="F563" s="601" t="n">
        <v>3673011</v>
      </c>
      <c r="G563" s="601" t="inlineStr">
        <is>
          <t>TUB-O-N-AUT-AW-PE-22.23X1.600X1.304</t>
        </is>
      </c>
      <c r="H563" s="601" t="inlineStr">
        <is>
          <t>ERW 1</t>
        </is>
      </c>
      <c r="I563" s="601" t="n"/>
      <c r="J563" s="601" t="inlineStr">
        <is>
          <t>PE</t>
        </is>
      </c>
      <c r="K563" s="601" t="inlineStr">
        <is>
          <t>CR</t>
        </is>
      </c>
      <c r="L563" s="49" t="inlineStr">
        <is>
          <t>HROP</t>
        </is>
      </c>
      <c r="M563" s="601" t="n"/>
      <c r="N563" s="601" t="n"/>
      <c r="O563" s="601" t="n"/>
      <c r="P563" s="557">
        <f>CONCATENATE(schedule13[[#This Row],[OD]],"-",schedule13[[#This Row],[ID]],"-",schedule13[[#This Row],[TICKNESS]],"-",schedule13[[#This Row],[GRADE]],"-",schedule13[[#This Row],[FC/NFC]])</f>
        <v/>
      </c>
      <c r="Q563" s="557" t="n"/>
      <c r="R563" s="557" t="n"/>
      <c r="S563" s="599" t="n">
        <v>22.23</v>
      </c>
      <c r="T563" s="599" t="n">
        <v>22.23</v>
      </c>
      <c r="U563" s="6" t="n">
        <v>0</v>
      </c>
      <c r="V563" s="599" t="n">
        <v>1.6</v>
      </c>
      <c r="W563" s="23" t="n">
        <v>1304</v>
      </c>
      <c r="X563" s="23" t="n"/>
      <c r="Y563" s="601" t="n">
        <v>10000</v>
      </c>
      <c r="Z563" s="602" t="n"/>
      <c r="AA563" s="602">
        <f>Y563-Z563</f>
        <v/>
      </c>
      <c r="AB563" s="599">
        <f>(S563-V563)*V563*W563*0.024653*Y563/1000000</f>
        <v/>
      </c>
      <c r="AC563" s="599">
        <f>(S563-V563)*V563*W563*0.024653*Z563/1000000</f>
        <v/>
      </c>
      <c r="AD563" s="599">
        <f>AB563-AC563</f>
        <v/>
      </c>
      <c r="AE563" s="599" t="n"/>
      <c r="AF563" s="599" t="n"/>
      <c r="AG563" s="599" t="n"/>
      <c r="AH563" s="599">
        <f>AB563-AF563</f>
        <v/>
      </c>
      <c r="AI563" s="118">
        <f>(AC563+AF563)/AB563</f>
        <v/>
      </c>
    </row>
    <row r="564" hidden="1" s="584">
      <c r="A564" s="594" t="n">
        <v>31</v>
      </c>
      <c r="B564" s="5" t="inlineStr">
        <is>
          <t>Hosur</t>
        </is>
      </c>
      <c r="C564" s="601" t="inlineStr">
        <is>
          <t>SRIKAM HITECH</t>
        </is>
      </c>
      <c r="D564" s="601" t="n"/>
      <c r="E564" s="601" t="n">
        <v>944141</v>
      </c>
      <c r="F564" s="601" t="n">
        <v>3673012</v>
      </c>
      <c r="G564" s="601" t="inlineStr">
        <is>
          <t>TUB-O-N-AUT-AW-PE-22.23X1.600X0.9490</t>
        </is>
      </c>
      <c r="H564" s="601" t="inlineStr">
        <is>
          <t>ERW 1</t>
        </is>
      </c>
      <c r="I564" s="601" t="n"/>
      <c r="J564" s="601" t="inlineStr">
        <is>
          <t>PE</t>
        </is>
      </c>
      <c r="K564" s="601" t="inlineStr">
        <is>
          <t>CR</t>
        </is>
      </c>
      <c r="L564" s="49" t="inlineStr">
        <is>
          <t>HROP</t>
        </is>
      </c>
      <c r="M564" s="601" t="n"/>
      <c r="N564" s="601" t="n"/>
      <c r="O564" s="601" t="n"/>
      <c r="P564" s="557">
        <f>CONCATENATE(schedule13[[#This Row],[OD]],"-",schedule13[[#This Row],[ID]],"-",schedule13[[#This Row],[TICKNESS]],"-",schedule13[[#This Row],[GRADE]],"-",schedule13[[#This Row],[FC/NFC]])</f>
        <v/>
      </c>
      <c r="Q564" s="557" t="n"/>
      <c r="R564" s="557" t="n"/>
      <c r="S564" s="599" t="n">
        <v>22.23</v>
      </c>
      <c r="T564" s="599" t="n">
        <v>22.23</v>
      </c>
      <c r="U564" s="6" t="n">
        <v>0</v>
      </c>
      <c r="V564" s="599" t="n">
        <v>1.6</v>
      </c>
      <c r="W564" s="23" t="n">
        <v>949</v>
      </c>
      <c r="X564" s="23" t="n"/>
      <c r="Y564" s="601" t="n">
        <v>4000</v>
      </c>
      <c r="Z564" s="602" t="n"/>
      <c r="AA564" s="602">
        <f>Y564-Z564</f>
        <v/>
      </c>
      <c r="AB564" s="599">
        <f>(S564-V564)*V564*W564*0.024653*Y564/1000000</f>
        <v/>
      </c>
      <c r="AC564" s="599">
        <f>(S564-V564)*V564*W564*0.024653*Z564/1000000</f>
        <v/>
      </c>
      <c r="AD564" s="599">
        <f>AB564-AC564</f>
        <v/>
      </c>
      <c r="AE564" s="599" t="n"/>
      <c r="AF564" s="599" t="n">
        <v>3.682116</v>
      </c>
      <c r="AG564" s="599" t="n"/>
      <c r="AH564" s="599">
        <f>AB564-AF564</f>
        <v/>
      </c>
      <c r="AI564" s="118">
        <f>(AC564+AF564)/AB564</f>
        <v/>
      </c>
    </row>
    <row r="565" hidden="1" s="584">
      <c r="A565" s="594" t="n">
        <v>32</v>
      </c>
      <c r="B565" s="5" t="inlineStr">
        <is>
          <t>Hosur</t>
        </is>
      </c>
      <c r="C565" s="601" t="inlineStr">
        <is>
          <t>SRIKAM HITECH</t>
        </is>
      </c>
      <c r="D565" s="601" t="n"/>
      <c r="E565" s="601" t="n">
        <v>944141</v>
      </c>
      <c r="F565" s="601" t="n">
        <v>1939986</v>
      </c>
      <c r="G565" s="601" t="inlineStr">
        <is>
          <t>TUB-O-O-GEN-AW-PE-12.70X1.200X6.0000</t>
        </is>
      </c>
      <c r="H565" s="601" t="inlineStr">
        <is>
          <t>ERW 1</t>
        </is>
      </c>
      <c r="I565" s="601" t="n"/>
      <c r="J565" s="601" t="inlineStr">
        <is>
          <t>PE</t>
        </is>
      </c>
      <c r="K565" s="601" t="inlineStr">
        <is>
          <t>CR</t>
        </is>
      </c>
      <c r="L565" s="601" t="n"/>
      <c r="M565" s="601" t="n"/>
      <c r="N565" s="601" t="n"/>
      <c r="O565" s="601" t="n"/>
      <c r="P565" s="557">
        <f>CONCATENATE(schedule13[[#This Row],[OD]],"-",schedule13[[#This Row],[ID]],"-",schedule13[[#This Row],[TICKNESS]],"-",schedule13[[#This Row],[GRADE]],"-",schedule13[[#This Row],[FC/NFC]])</f>
        <v/>
      </c>
      <c r="Q565" s="557" t="n"/>
      <c r="R565" s="557" t="n"/>
      <c r="S565" s="599" t="n">
        <v>12.7</v>
      </c>
      <c r="T565" s="599" t="n">
        <v>12.7</v>
      </c>
      <c r="U565" s="6" t="n">
        <v>0</v>
      </c>
      <c r="V565" s="599" t="n">
        <v>1.2</v>
      </c>
      <c r="W565" s="23" t="n">
        <v>6000</v>
      </c>
      <c r="X565" s="23" t="n"/>
      <c r="Y565" s="601" t="n">
        <v>500</v>
      </c>
      <c r="Z565" s="602" t="n"/>
      <c r="AA565" s="602">
        <f>Y565-Z565</f>
        <v/>
      </c>
      <c r="AB565" s="599">
        <f>(S565-V565)*V565*W565*0.024653*Y565/1000000</f>
        <v/>
      </c>
      <c r="AC565" s="599">
        <f>(S565-V565)*V565*W565*0.024653*Z565/1000000</f>
        <v/>
      </c>
      <c r="AD565" s="599">
        <f>AB565-AC565</f>
        <v/>
      </c>
      <c r="AE565" s="599" t="n"/>
      <c r="AF565" s="599" t="n">
        <v>3.619217</v>
      </c>
      <c r="AG565" s="599" t="n"/>
      <c r="AH565" s="599">
        <f>AB565-AF565</f>
        <v/>
      </c>
      <c r="AI565" s="118">
        <f>(AC565+AF565)/AB565</f>
        <v/>
      </c>
    </row>
    <row r="566" hidden="1" s="584">
      <c r="A566" s="594" t="n">
        <v>33</v>
      </c>
      <c r="B566" s="5" t="inlineStr">
        <is>
          <t xml:space="preserve">Khopoli </t>
        </is>
      </c>
      <c r="C566" s="601" t="inlineStr">
        <is>
          <t>SRIKAM HITECH</t>
        </is>
      </c>
      <c r="D566" s="601" t="n"/>
      <c r="E566" s="601" t="n">
        <v>944141</v>
      </c>
      <c r="F566" s="601" t="n">
        <v>2410963</v>
      </c>
      <c r="G566" s="601" t="inlineStr">
        <is>
          <t>TUB-O-C-AUT-AD-FC-14.00X1.950X04-05</t>
        </is>
      </c>
      <c r="H566" s="601" t="inlineStr">
        <is>
          <t>CEW</t>
        </is>
      </c>
      <c r="I566" s="601" t="n"/>
      <c r="J566" s="601" t="inlineStr">
        <is>
          <t>CEW</t>
        </is>
      </c>
      <c r="K566" s="601" t="inlineStr">
        <is>
          <t>HR</t>
        </is>
      </c>
      <c r="L566" s="601" t="n"/>
      <c r="M566" s="601" t="n"/>
      <c r="N566" s="601" t="n"/>
      <c r="O566" s="601" t="n"/>
      <c r="P566" s="557">
        <f>CONCATENATE(schedule13[[#This Row],[OD]],"-",schedule13[[#This Row],[ID]],"-",schedule13[[#This Row],[TICKNESS]],"-",schedule13[[#This Row],[GRADE]],"-",schedule13[[#This Row],[FC/NFC]])</f>
        <v/>
      </c>
      <c r="Q566" s="557" t="n"/>
      <c r="R566" s="557" t="n"/>
      <c r="S566" s="599" t="n">
        <v>14</v>
      </c>
      <c r="T566" s="599" t="n">
        <v>14</v>
      </c>
      <c r="U566" s="599" t="n">
        <v>10.1</v>
      </c>
      <c r="V566" s="599" t="n">
        <v>1.95</v>
      </c>
      <c r="W566" s="23" t="n">
        <v>4500</v>
      </c>
      <c r="X566" s="23" t="n"/>
      <c r="Y566" s="601" t="n">
        <v>667</v>
      </c>
      <c r="Z566" s="602" t="n"/>
      <c r="AA566" s="602">
        <f>Y566-Z566</f>
        <v/>
      </c>
      <c r="AB566" s="599">
        <f>(S566-V566)*V566*W566*0.024653*Y566/1000000</f>
        <v/>
      </c>
      <c r="AC566" s="599">
        <f>(S566-V566)*V566*W566*0.024653*Z566/1000000</f>
        <v/>
      </c>
      <c r="AD566" s="599">
        <f>AB566-AC566</f>
        <v/>
      </c>
      <c r="AE566" s="599" t="n"/>
      <c r="AF566" s="599" t="n">
        <v>1.741128</v>
      </c>
      <c r="AG566" s="599" t="n"/>
      <c r="AH566" s="599">
        <f>AB566-AF566</f>
        <v/>
      </c>
      <c r="AI566" s="118">
        <f>(AC566+AF566)/AB566</f>
        <v/>
      </c>
    </row>
    <row r="567" hidden="1" s="584">
      <c r="A567" s="594" t="n">
        <v>34</v>
      </c>
      <c r="B567" s="5" t="inlineStr">
        <is>
          <t xml:space="preserve">Khopoli </t>
        </is>
      </c>
      <c r="C567" s="601" t="inlineStr">
        <is>
          <t>SRIKAM HITECH</t>
        </is>
      </c>
      <c r="D567" s="601" t="n"/>
      <c r="E567" s="601" t="n">
        <v>944141</v>
      </c>
      <c r="F567" s="601" t="n">
        <v>1938191</v>
      </c>
      <c r="G567" s="601" t="inlineStr">
        <is>
          <t>TUB-I-C-AUT-AD-FC-12.50X3.250X0.5880</t>
        </is>
      </c>
      <c r="H567" s="601" t="inlineStr">
        <is>
          <t>CEW</t>
        </is>
      </c>
      <c r="I567" s="601" t="n"/>
      <c r="J567" s="601" t="inlineStr">
        <is>
          <t>CEW</t>
        </is>
      </c>
      <c r="K567" s="601" t="inlineStr">
        <is>
          <t>HR</t>
        </is>
      </c>
      <c r="L567" s="601" t="n"/>
      <c r="M567" s="601" t="n"/>
      <c r="N567" s="601" t="n"/>
      <c r="O567" s="601" t="n"/>
      <c r="P567" s="557">
        <f>CONCATENATE(schedule13[[#This Row],[OD]],"-",schedule13[[#This Row],[ID]],"-",schedule13[[#This Row],[TICKNESS]],"-",schedule13[[#This Row],[GRADE]],"-",schedule13[[#This Row],[FC/NFC]])</f>
        <v/>
      </c>
      <c r="Q567" s="557" t="n"/>
      <c r="R567" s="557" t="n"/>
      <c r="S567" s="599" t="n">
        <v>19.05</v>
      </c>
      <c r="T567" s="599" t="n">
        <v>19</v>
      </c>
      <c r="U567" s="599" t="n">
        <v>12.5</v>
      </c>
      <c r="V567" s="599" t="n">
        <v>3.25</v>
      </c>
      <c r="W567" s="600" t="n">
        <v>588</v>
      </c>
      <c r="X567" s="600" t="n"/>
      <c r="Y567" s="601" t="n">
        <v>10000</v>
      </c>
      <c r="Z567" s="602" t="n"/>
      <c r="AA567" s="602">
        <f>Y567-Z567</f>
        <v/>
      </c>
      <c r="AB567" s="599">
        <f>(S567-V567)*V567*W567*0.024653*Y567/1000000</f>
        <v/>
      </c>
      <c r="AC567" s="599">
        <f>(S567-V567)*V567*W567*0.024653*Z567/1000000</f>
        <v/>
      </c>
      <c r="AD567" s="599">
        <f>AB567-AC567</f>
        <v/>
      </c>
      <c r="AE567" s="599" t="n"/>
      <c r="AF567" s="599" t="n"/>
      <c r="AG567" s="599" t="n"/>
      <c r="AH567" s="599">
        <f>AB567-AF567</f>
        <v/>
      </c>
      <c r="AI567" s="118">
        <f>(AC567+AF567)/AB567</f>
        <v/>
      </c>
    </row>
    <row r="568" hidden="1" s="584">
      <c r="A568" s="594" t="n">
        <v>35</v>
      </c>
      <c r="B568" s="5" t="inlineStr">
        <is>
          <t>Hosur</t>
        </is>
      </c>
      <c r="C568" s="601" t="inlineStr">
        <is>
          <t>SRIKAM HITECH</t>
        </is>
      </c>
      <c r="D568" s="601" t="n"/>
      <c r="E568" s="601" t="n">
        <v>944141</v>
      </c>
      <c r="F568" s="601" t="n">
        <v>1940014</v>
      </c>
      <c r="G568" s="601" t="inlineStr">
        <is>
          <t>TUB-O-O-GEN-AW-PE-12.70X1.600X6.0000</t>
        </is>
      </c>
      <c r="H568" s="601" t="inlineStr">
        <is>
          <t>ERW 1</t>
        </is>
      </c>
      <c r="I568" s="601" t="n"/>
      <c r="J568" s="601" t="inlineStr">
        <is>
          <t>PE</t>
        </is>
      </c>
      <c r="K568" s="601" t="inlineStr">
        <is>
          <t>CR</t>
        </is>
      </c>
      <c r="L568" s="601" t="inlineStr">
        <is>
          <t>WG</t>
        </is>
      </c>
      <c r="M568" s="601" t="n"/>
      <c r="N568" s="601" t="n"/>
      <c r="O568" s="601" t="n"/>
      <c r="P568" s="557">
        <f>CONCATENATE(schedule13[[#This Row],[OD]],"-",schedule13[[#This Row],[ID]],"-",schedule13[[#This Row],[TICKNESS]],"-",schedule13[[#This Row],[GRADE]],"-",schedule13[[#This Row],[FC/NFC]])</f>
        <v/>
      </c>
      <c r="Q568" s="557" t="n"/>
      <c r="R568" s="557" t="n"/>
      <c r="S568" s="599" t="n">
        <v>12.7</v>
      </c>
      <c r="T568" s="599" t="n">
        <v>12.7</v>
      </c>
      <c r="U568" s="6" t="n">
        <v>0</v>
      </c>
      <c r="V568" s="599" t="n">
        <v>1.6</v>
      </c>
      <c r="W568" s="23" t="n">
        <v>6000</v>
      </c>
      <c r="X568" s="23" t="n"/>
      <c r="Y568" s="601" t="n">
        <v>834</v>
      </c>
      <c r="Z568" s="602" t="n"/>
      <c r="AA568" s="602">
        <f>Y568-Z568</f>
        <v/>
      </c>
      <c r="AB568" s="599">
        <f>(S568-V568)*V568*W568*0.024653*Y568/1000000</f>
        <v/>
      </c>
      <c r="AC568" s="599">
        <f>(S568-V568)*V568*W568*0.024653*Z568/1000000</f>
        <v/>
      </c>
      <c r="AD568" s="599">
        <f>AB568-AC568</f>
        <v/>
      </c>
      <c r="AE568" s="599" t="n"/>
      <c r="AF568" s="599" t="n">
        <v>2.729049</v>
      </c>
      <c r="AG568" s="599" t="n"/>
      <c r="AH568" s="599">
        <f>AB568-AF568</f>
        <v/>
      </c>
      <c r="AI568" s="118">
        <f>(AC568+AF568)/AB568</f>
        <v/>
      </c>
    </row>
    <row r="569" hidden="1" s="584">
      <c r="A569" s="594" t="n">
        <v>36</v>
      </c>
      <c r="B569" s="5" t="inlineStr">
        <is>
          <t>Hosur</t>
        </is>
      </c>
      <c r="C569" s="601" t="inlineStr">
        <is>
          <t>SRIKAM HITECH</t>
        </is>
      </c>
      <c r="D569" s="601" t="n"/>
      <c r="E569" s="601" t="n">
        <v>944141</v>
      </c>
      <c r="F569" s="601" t="n">
        <v>1940078</v>
      </c>
      <c r="G569" s="601" t="inlineStr">
        <is>
          <t>TUB-O-O-GEN-AW-PE-15.88X1.600X6.0000</t>
        </is>
      </c>
      <c r="H569" s="601" t="inlineStr">
        <is>
          <t>ERW 1</t>
        </is>
      </c>
      <c r="I569" s="601" t="n"/>
      <c r="J569" s="601" t="inlineStr">
        <is>
          <t>PE</t>
        </is>
      </c>
      <c r="K569" s="601" t="inlineStr">
        <is>
          <t>CR</t>
        </is>
      </c>
      <c r="L569" s="49" t="inlineStr">
        <is>
          <t>GR1</t>
        </is>
      </c>
      <c r="M569" s="601" t="n"/>
      <c r="N569" s="601" t="n"/>
      <c r="O569" s="601" t="n"/>
      <c r="P569" s="557">
        <f>CONCATENATE(schedule13[[#This Row],[OD]],"-",schedule13[[#This Row],[ID]],"-",schedule13[[#This Row],[TICKNESS]],"-",schedule13[[#This Row],[GRADE]],"-",schedule13[[#This Row],[FC/NFC]])</f>
        <v/>
      </c>
      <c r="Q569" s="557" t="n"/>
      <c r="R569" s="557" t="n"/>
      <c r="S569" s="599" t="n">
        <v>15.88</v>
      </c>
      <c r="T569" s="599" t="n">
        <v>15.88</v>
      </c>
      <c r="U569" s="6" t="n">
        <v>0</v>
      </c>
      <c r="V569" s="599" t="n">
        <v>1.6</v>
      </c>
      <c r="W569" s="23" t="n">
        <v>6000</v>
      </c>
      <c r="X569" s="23" t="n"/>
      <c r="Y569" s="601" t="n">
        <v>1000</v>
      </c>
      <c r="Z569" s="602" t="n"/>
      <c r="AA569" s="602">
        <f>Y569-Z569</f>
        <v/>
      </c>
      <c r="AB569" s="599">
        <f>(S569-V569)*V569*W569*0.024653*Y569/1000000</f>
        <v/>
      </c>
      <c r="AC569" s="599">
        <f>(S569-V569)*V569*W569*0.024653*Z569/1000000</f>
        <v/>
      </c>
      <c r="AD569" s="599">
        <f>AB569-AC569</f>
        <v/>
      </c>
      <c r="AE569" s="599" t="n"/>
      <c r="AF569" s="599" t="n">
        <v>6.63993</v>
      </c>
      <c r="AG569" s="599" t="n"/>
      <c r="AH569" s="599">
        <f>AB569-AF569</f>
        <v/>
      </c>
      <c r="AI569" s="118">
        <f>(AC569+AF569)/AB569</f>
        <v/>
      </c>
    </row>
    <row r="570" hidden="1" s="584">
      <c r="A570" s="594" t="n">
        <v>37</v>
      </c>
      <c r="B570" s="5" t="inlineStr">
        <is>
          <t>Hosur</t>
        </is>
      </c>
      <c r="C570" s="601" t="inlineStr">
        <is>
          <t>SRIKAM HITECH</t>
        </is>
      </c>
      <c r="D570" s="601" t="n"/>
      <c r="E570" s="601" t="n">
        <v>944141</v>
      </c>
      <c r="F570" s="601" t="n">
        <v>1259405</v>
      </c>
      <c r="G570" s="601" t="inlineStr">
        <is>
          <t>TUB-O-N-AUT-AW-PE-19.05X2.300X0.2100</t>
        </is>
      </c>
      <c r="H570" s="601" t="inlineStr">
        <is>
          <t>ERW 1</t>
        </is>
      </c>
      <c r="I570" s="601" t="n"/>
      <c r="J570" s="601" t="inlineStr">
        <is>
          <t>PE</t>
        </is>
      </c>
      <c r="K570" s="601" t="inlineStr">
        <is>
          <t>HR</t>
        </is>
      </c>
      <c r="L570" s="601" t="n"/>
      <c r="M570" s="601" t="n"/>
      <c r="N570" s="601" t="n"/>
      <c r="O570" s="601" t="n"/>
      <c r="P570" s="557">
        <f>CONCATENATE(schedule13[[#This Row],[OD]],"-",schedule13[[#This Row],[ID]],"-",schedule13[[#This Row],[TICKNESS]],"-",schedule13[[#This Row],[GRADE]],"-",schedule13[[#This Row],[FC/NFC]])</f>
        <v/>
      </c>
      <c r="Q570" s="557" t="n"/>
      <c r="R570" s="557" t="n"/>
      <c r="S570" s="599" t="n">
        <v>19.05</v>
      </c>
      <c r="T570" s="599" t="n">
        <v>19.05</v>
      </c>
      <c r="U570" s="6" t="n">
        <v>0</v>
      </c>
      <c r="V570" s="599" t="n">
        <v>2.3</v>
      </c>
      <c r="W570" s="23" t="n">
        <v>210</v>
      </c>
      <c r="X570" s="23" t="n"/>
      <c r="Y570" s="601" t="n">
        <v>2000</v>
      </c>
      <c r="Z570" s="602" t="n"/>
      <c r="AA570" s="602">
        <f>Y570-Z570</f>
        <v/>
      </c>
      <c r="AB570" s="599">
        <f>(S570-V570)*V570*W570*0.024653*Y570/1000000</f>
        <v/>
      </c>
      <c r="AC570" s="599">
        <f>(S570-V570)*V570*W570*0.024653*Z570/1000000</f>
        <v/>
      </c>
      <c r="AD570" s="599">
        <f>AB570-AC570</f>
        <v/>
      </c>
      <c r="AE570" s="599" t="n"/>
      <c r="AF570" s="599" t="n"/>
      <c r="AG570" s="599" t="n"/>
      <c r="AH570" s="599">
        <f>AB570-AF570</f>
        <v/>
      </c>
      <c r="AI570" s="118">
        <f>(AC570+AF570)/AB570</f>
        <v/>
      </c>
    </row>
    <row r="571" hidden="1" s="584">
      <c r="A571" s="594" t="n">
        <v>38</v>
      </c>
      <c r="B571" s="5" t="inlineStr">
        <is>
          <t>Hosur</t>
        </is>
      </c>
      <c r="C571" s="601" t="inlineStr">
        <is>
          <t>SRIKAM HITECH</t>
        </is>
      </c>
      <c r="D571" s="601" t="n"/>
      <c r="E571" s="601" t="n">
        <v>944141</v>
      </c>
      <c r="F571" s="601" t="n">
        <v>3673948</v>
      </c>
      <c r="G571" s="601" t="inlineStr">
        <is>
          <t>CUT-O-N-AUT-AW-PE-22.20X2.300X0.2450</t>
        </is>
      </c>
      <c r="H571" s="601" t="n"/>
      <c r="I571" s="601" t="n"/>
      <c r="J571" s="601" t="n"/>
      <c r="K571" s="601" t="inlineStr">
        <is>
          <t>HR</t>
        </is>
      </c>
      <c r="L571" s="601" t="n"/>
      <c r="M571" s="601" t="n"/>
      <c r="N571" s="601" t="n"/>
      <c r="O571" s="601" t="n"/>
      <c r="P571" s="557">
        <f>CONCATENATE(schedule13[[#This Row],[OD]],"-",schedule13[[#This Row],[ID]],"-",schedule13[[#This Row],[TICKNESS]],"-",schedule13[[#This Row],[GRADE]],"-",schedule13[[#This Row],[FC/NFC]])</f>
        <v/>
      </c>
      <c r="Q571" s="557" t="n"/>
      <c r="R571" s="557" t="n"/>
      <c r="S571" s="599" t="n">
        <v>22.23</v>
      </c>
      <c r="T571" s="599" t="n">
        <v>22.23</v>
      </c>
      <c r="U571" s="6" t="n">
        <v>0</v>
      </c>
      <c r="V571" s="599" t="n">
        <v>2.3</v>
      </c>
      <c r="W571" s="23" t="n">
        <v>245</v>
      </c>
      <c r="X571" s="23" t="n"/>
      <c r="Y571" s="601" t="n">
        <v>0</v>
      </c>
      <c r="Z571" s="602" t="n"/>
      <c r="AA571" s="602">
        <f>Y571-Z571</f>
        <v/>
      </c>
      <c r="AB571" s="599">
        <f>(S571-V571)*V571*W571*0.024653*Y571/1000000</f>
        <v/>
      </c>
      <c r="AC571" s="599">
        <f>(S571-V571)*V571*W571*0.024653*Z571/1000000</f>
        <v/>
      </c>
      <c r="AD571" s="599">
        <f>AB571-AC571</f>
        <v/>
      </c>
      <c r="AE571" s="599" t="n"/>
      <c r="AF571" s="599" t="n"/>
      <c r="AG571" s="599" t="n"/>
      <c r="AH571" s="599">
        <f>AB571-AF571</f>
        <v/>
      </c>
      <c r="AI571" s="118">
        <f>(AC571+AF571)/AB571</f>
        <v/>
      </c>
    </row>
    <row r="572" hidden="1" s="584">
      <c r="A572" s="594" t="n">
        <v>39</v>
      </c>
      <c r="B572" s="5" t="inlineStr">
        <is>
          <t>Hosur</t>
        </is>
      </c>
      <c r="C572" s="601" t="inlineStr">
        <is>
          <t>SRIKAM HITECH</t>
        </is>
      </c>
      <c r="D572" s="601" t="n"/>
      <c r="E572" s="601" t="n">
        <v>944141</v>
      </c>
      <c r="F572" s="601" t="n">
        <v>477006</v>
      </c>
      <c r="G572" s="601" t="inlineStr">
        <is>
          <t>PT2-O-N-AUT-AW-PE-19.05X2.300X0.245</t>
        </is>
      </c>
      <c r="H572" s="601" t="inlineStr">
        <is>
          <t>ERW 1</t>
        </is>
      </c>
      <c r="I572" s="601" t="n"/>
      <c r="J572" s="601" t="n"/>
      <c r="K572" s="601" t="inlineStr">
        <is>
          <t>HR</t>
        </is>
      </c>
      <c r="L572" s="601" t="n"/>
      <c r="M572" s="601" t="n"/>
      <c r="N572" s="601" t="n"/>
      <c r="O572" s="601" t="n"/>
      <c r="P572" s="557">
        <f>CONCATENATE(schedule13[[#This Row],[OD]],"-",schedule13[[#This Row],[ID]],"-",schedule13[[#This Row],[TICKNESS]],"-",schedule13[[#This Row],[GRADE]],"-",schedule13[[#This Row],[FC/NFC]])</f>
        <v/>
      </c>
      <c r="Q572" s="557" t="n"/>
      <c r="R572" s="557" t="n"/>
      <c r="S572" s="599" t="n">
        <v>19.05</v>
      </c>
      <c r="T572" s="599" t="n">
        <v>19.05</v>
      </c>
      <c r="U572" s="6" t="n">
        <v>0</v>
      </c>
      <c r="V572" s="599" t="n">
        <v>2.34</v>
      </c>
      <c r="W572" s="23" t="n">
        <v>245</v>
      </c>
      <c r="X572" s="23" t="n"/>
      <c r="Y572" s="601" t="n">
        <v>0</v>
      </c>
      <c r="Z572" s="602" t="n"/>
      <c r="AA572" s="602">
        <f>Y572-Z572</f>
        <v/>
      </c>
      <c r="AB572" s="599">
        <f>(S572-V572)*V572*W572*0.024653*Y572/1000000</f>
        <v/>
      </c>
      <c r="AC572" s="599">
        <f>(S572-V572)*V572*W572*0.024653*Z572/1000000</f>
        <v/>
      </c>
      <c r="AD572" s="599">
        <f>AB572-AC572</f>
        <v/>
      </c>
      <c r="AE572" s="599" t="n"/>
      <c r="AF572" s="599" t="n"/>
      <c r="AG572" s="599" t="n"/>
      <c r="AH572" s="599">
        <f>AB572-AF572</f>
        <v/>
      </c>
      <c r="AI572" s="118">
        <f>(AC572+AF572)/AB572</f>
        <v/>
      </c>
    </row>
    <row r="573" hidden="1" s="584">
      <c r="A573" s="594" t="n">
        <v>40</v>
      </c>
      <c r="B573" s="5" t="inlineStr">
        <is>
          <t>Hosur</t>
        </is>
      </c>
      <c r="C573" s="601" t="inlineStr">
        <is>
          <t>SRIKAM HITECH</t>
        </is>
      </c>
      <c r="D573" s="601" t="n"/>
      <c r="E573" s="601" t="n">
        <v>944141</v>
      </c>
      <c r="F573" s="601" t="n">
        <v>1932848</v>
      </c>
      <c r="G573" s="601" t="inlineStr">
        <is>
          <t>TUB-O-N-AUT-AW-PE-12.70X1.600X0.2600</t>
        </is>
      </c>
      <c r="H573" s="601" t="inlineStr">
        <is>
          <t>ERW 1</t>
        </is>
      </c>
      <c r="I573" s="601" t="n"/>
      <c r="J573" s="601" t="inlineStr">
        <is>
          <t>PE</t>
        </is>
      </c>
      <c r="K573" s="601" t="inlineStr">
        <is>
          <t>CR</t>
        </is>
      </c>
      <c r="L573" s="49" t="inlineStr">
        <is>
          <t>D</t>
        </is>
      </c>
      <c r="M573" s="601" t="n"/>
      <c r="N573" s="601" t="n"/>
      <c r="O573" s="601" t="n"/>
      <c r="P573" s="557">
        <f>CONCATENATE(schedule13[[#This Row],[OD]],"-",schedule13[[#This Row],[ID]],"-",schedule13[[#This Row],[TICKNESS]],"-",schedule13[[#This Row],[GRADE]],"-",schedule13[[#This Row],[FC/NFC]])</f>
        <v/>
      </c>
      <c r="Q573" s="557" t="n"/>
      <c r="R573" s="557" t="n"/>
      <c r="S573" s="599" t="n">
        <v>12.7</v>
      </c>
      <c r="T573" s="599" t="n">
        <v>12.7</v>
      </c>
      <c r="U573" s="6" t="n">
        <v>0</v>
      </c>
      <c r="V573" s="599" t="n">
        <v>1.6</v>
      </c>
      <c r="W573" s="23" t="n">
        <v>260</v>
      </c>
      <c r="X573" s="23" t="n"/>
      <c r="Y573" s="601" t="n">
        <v>25000</v>
      </c>
      <c r="Z573" s="602" t="n"/>
      <c r="AA573" s="602">
        <f>Y573-Z573</f>
        <v/>
      </c>
      <c r="AB573" s="599">
        <f>(S573-V573)*V573*W573*0.024653*Y573/1000000</f>
        <v/>
      </c>
      <c r="AC573" s="599">
        <f>(S573-V573)*V573*W573*0.024653*Z573/1000000</f>
        <v/>
      </c>
      <c r="AD573" s="599">
        <f>AB573-AC573</f>
        <v/>
      </c>
      <c r="AE573" s="599" t="n"/>
      <c r="AF573" s="599" t="n">
        <v>0.056</v>
      </c>
      <c r="AG573" s="599" t="n"/>
      <c r="AH573" s="599">
        <f>AB573-AF573</f>
        <v/>
      </c>
      <c r="AI573" s="118">
        <f>(AC573+AF573)/AB573</f>
        <v/>
      </c>
    </row>
    <row r="574" hidden="1" s="584">
      <c r="A574" s="594" t="n">
        <v>41</v>
      </c>
      <c r="B574" s="5" t="inlineStr">
        <is>
          <t>Hosur</t>
        </is>
      </c>
      <c r="C574" s="601" t="inlineStr">
        <is>
          <t>SRIKAM HITECH</t>
        </is>
      </c>
      <c r="D574" s="601" t="n"/>
      <c r="E574" s="601" t="n">
        <v>944141</v>
      </c>
      <c r="F574" s="601" t="n">
        <v>1156869</v>
      </c>
      <c r="G574" s="601" t="inlineStr">
        <is>
          <t>TUB-O-N-AUT-AW-PE-19.05X2.000X0.271</t>
        </is>
      </c>
      <c r="H574" s="601" t="n"/>
      <c r="I574" s="601" t="n"/>
      <c r="J574" s="601" t="n"/>
      <c r="K574" s="601" t="inlineStr">
        <is>
          <t>HR</t>
        </is>
      </c>
      <c r="L574" s="601" t="n"/>
      <c r="M574" s="601" t="n"/>
      <c r="N574" s="601" t="n"/>
      <c r="O574" s="601" t="n"/>
      <c r="P574" s="557">
        <f>CONCATENATE(schedule13[[#This Row],[OD]],"-",schedule13[[#This Row],[ID]],"-",schedule13[[#This Row],[TICKNESS]],"-",schedule13[[#This Row],[GRADE]],"-",schedule13[[#This Row],[FC/NFC]])</f>
        <v/>
      </c>
      <c r="Q574" s="557" t="n"/>
      <c r="R574" s="557" t="n"/>
      <c r="S574" s="599" t="n">
        <v>19.05</v>
      </c>
      <c r="T574" s="599" t="n">
        <v>19.05</v>
      </c>
      <c r="U574" s="6" t="n">
        <v>0</v>
      </c>
      <c r="V574" s="599" t="n">
        <v>2</v>
      </c>
      <c r="W574" s="23" t="n">
        <v>271</v>
      </c>
      <c r="X574" s="23" t="n"/>
      <c r="Y574" s="601" t="n">
        <v>0</v>
      </c>
      <c r="Z574" s="602" t="n"/>
      <c r="AA574" s="602">
        <f>Y574-Z574</f>
        <v/>
      </c>
      <c r="AB574" s="599">
        <f>(S574-V574)*V574*W574*0.024653*Y574/1000000</f>
        <v/>
      </c>
      <c r="AC574" s="599">
        <f>(S574-V574)*V574*W574*0.024653*Z574/1000000</f>
        <v/>
      </c>
      <c r="AD574" s="599">
        <f>AB574-AC574</f>
        <v/>
      </c>
      <c r="AE574" s="599" t="n"/>
      <c r="AF574" s="599" t="n"/>
      <c r="AG574" s="599" t="n"/>
      <c r="AH574" s="599">
        <f>AB574-AF574</f>
        <v/>
      </c>
      <c r="AI574" s="118">
        <f>(AC574+AF574)/AB574</f>
        <v/>
      </c>
    </row>
    <row r="575" hidden="1" s="584">
      <c r="A575" s="594" t="n">
        <v>42</v>
      </c>
      <c r="B575" s="5" t="inlineStr">
        <is>
          <t>Hosur</t>
        </is>
      </c>
      <c r="C575" s="601" t="inlineStr">
        <is>
          <t>SRIKAM HITECH</t>
        </is>
      </c>
      <c r="D575" s="601" t="n"/>
      <c r="E575" s="601" t="n">
        <v>944141</v>
      </c>
      <c r="F575" s="601" t="n">
        <v>1939963</v>
      </c>
      <c r="G575" s="601" t="inlineStr">
        <is>
          <t>TUB-O-O-AUT-AW-PE-12.70X1.200X0.2780</t>
        </is>
      </c>
      <c r="H575" s="601" t="inlineStr">
        <is>
          <t>ERW 1</t>
        </is>
      </c>
      <c r="I575" s="601" t="n"/>
      <c r="J575" s="601" t="inlineStr">
        <is>
          <t>PE</t>
        </is>
      </c>
      <c r="K575" s="601" t="inlineStr">
        <is>
          <t>CR</t>
        </is>
      </c>
      <c r="L575" s="601" t="n"/>
      <c r="M575" s="601" t="n"/>
      <c r="N575" s="601" t="n"/>
      <c r="O575" s="601" t="n"/>
      <c r="P575" s="557">
        <f>CONCATENATE(schedule13[[#This Row],[OD]],"-",schedule13[[#This Row],[ID]],"-",schedule13[[#This Row],[TICKNESS]],"-",schedule13[[#This Row],[GRADE]],"-",schedule13[[#This Row],[FC/NFC]])</f>
        <v/>
      </c>
      <c r="Q575" s="557" t="n"/>
      <c r="R575" s="557" t="n"/>
      <c r="S575" s="599" t="n">
        <v>12.7</v>
      </c>
      <c r="T575" s="599" t="n">
        <v>12.7</v>
      </c>
      <c r="U575" s="6" t="n">
        <v>0</v>
      </c>
      <c r="V575" s="599" t="n">
        <v>1.2</v>
      </c>
      <c r="W575" s="23" t="n">
        <v>278</v>
      </c>
      <c r="X575" s="23" t="n"/>
      <c r="Y575" s="601" t="n">
        <v>20000</v>
      </c>
      <c r="Z575" s="602" t="n"/>
      <c r="AA575" s="602">
        <f>Y575-Z575</f>
        <v/>
      </c>
      <c r="AB575" s="599">
        <f>(S575-V575)*V575*W575*0.024653*Y575/1000000</f>
        <v/>
      </c>
      <c r="AC575" s="599">
        <f>(S575-V575)*V575*W575*0.024653*Z575/1000000</f>
        <v/>
      </c>
      <c r="AD575" s="599">
        <f>AB575-AC575</f>
        <v/>
      </c>
      <c r="AE575" s="599" t="n"/>
      <c r="AF575" s="599" t="n">
        <v>1.326</v>
      </c>
      <c r="AG575" s="599" t="n"/>
      <c r="AH575" s="599">
        <f>AB575-AF575</f>
        <v/>
      </c>
      <c r="AI575" s="118">
        <f>(AC575+AF575)/AB575</f>
        <v/>
      </c>
    </row>
    <row r="576" hidden="1" s="584">
      <c r="A576" s="594" t="n">
        <v>43</v>
      </c>
      <c r="B576" s="5" t="inlineStr">
        <is>
          <t>Hosur</t>
        </is>
      </c>
      <c r="C576" s="601" t="inlineStr">
        <is>
          <t>SRIKAM HITECH</t>
        </is>
      </c>
      <c r="D576" s="601" t="n"/>
      <c r="E576" s="601" t="n">
        <v>944141</v>
      </c>
      <c r="F576" s="601" t="n">
        <v>3669081</v>
      </c>
      <c r="G576" s="601" t="inlineStr">
        <is>
          <t>TUB-O-N-AUT-AW-PE-22.20X1.200X1.3000</t>
        </is>
      </c>
      <c r="H576" s="601" t="n"/>
      <c r="I576" s="601" t="n"/>
      <c r="J576" s="601" t="n"/>
      <c r="K576" s="601" t="inlineStr">
        <is>
          <t>HR</t>
        </is>
      </c>
      <c r="L576" s="601" t="n"/>
      <c r="M576" s="601" t="n"/>
      <c r="N576" s="601" t="n"/>
      <c r="O576" s="601" t="n"/>
      <c r="P576" s="557">
        <f>CONCATENATE(schedule13[[#This Row],[OD]],"-",schedule13[[#This Row],[ID]],"-",schedule13[[#This Row],[TICKNESS]],"-",schedule13[[#This Row],[GRADE]],"-",schedule13[[#This Row],[FC/NFC]])</f>
        <v/>
      </c>
      <c r="Q576" s="557" t="n"/>
      <c r="R576" s="557" t="n"/>
      <c r="S576" s="599" t="n">
        <v>22.23</v>
      </c>
      <c r="T576" s="599" t="n">
        <v>22.23</v>
      </c>
      <c r="U576" s="6" t="n">
        <v>0</v>
      </c>
      <c r="V576" s="599" t="n">
        <v>1.2</v>
      </c>
      <c r="W576" s="23" t="n">
        <v>1300</v>
      </c>
      <c r="X576" s="23" t="n"/>
      <c r="Y576" s="601" t="n">
        <v>0</v>
      </c>
      <c r="Z576" s="602" t="n"/>
      <c r="AA576" s="602">
        <f>Y576-Z576</f>
        <v/>
      </c>
      <c r="AB576" s="599">
        <f>(S576-V576)*V576*W576*0.024653*Y576/1000000</f>
        <v/>
      </c>
      <c r="AC576" s="599">
        <f>(S576-V576)*V576*W576*0.024653*Z576/1000000</f>
        <v/>
      </c>
      <c r="AD576" s="599">
        <f>AB576-AC576</f>
        <v/>
      </c>
      <c r="AE576" s="599" t="n"/>
      <c r="AF576" s="599" t="n"/>
      <c r="AG576" s="599" t="n"/>
      <c r="AH576" s="599">
        <f>AB576-AF576</f>
        <v/>
      </c>
      <c r="AI576" s="118">
        <f>(AC576+AF576)/AB576</f>
        <v/>
      </c>
    </row>
    <row r="577" hidden="1" s="584">
      <c r="A577" s="594" t="n">
        <v>44</v>
      </c>
      <c r="B577" s="5" t="inlineStr">
        <is>
          <t>Hosur</t>
        </is>
      </c>
      <c r="C577" s="601" t="inlineStr">
        <is>
          <t>SRIKAM HITECH</t>
        </is>
      </c>
      <c r="D577" s="601" t="n"/>
      <c r="E577" s="601" t="n">
        <v>944141</v>
      </c>
      <c r="F577" s="601" t="n">
        <v>1939994</v>
      </c>
      <c r="G577" s="601" t="inlineStr">
        <is>
          <t>TUB-O-O-AUT-AW-PE-12.70X1.600X0.2800</t>
        </is>
      </c>
      <c r="H577" s="601" t="inlineStr">
        <is>
          <t>ERW 1</t>
        </is>
      </c>
      <c r="I577" s="601" t="n"/>
      <c r="J577" s="601" t="inlineStr">
        <is>
          <t>PE</t>
        </is>
      </c>
      <c r="K577" s="601" t="inlineStr">
        <is>
          <t>CR</t>
        </is>
      </c>
      <c r="L577" s="601" t="inlineStr">
        <is>
          <t>WG</t>
        </is>
      </c>
      <c r="M577" s="601" t="n"/>
      <c r="N577" s="601" t="n"/>
      <c r="O577" s="601" t="n"/>
      <c r="P577" s="557">
        <f>CONCATENATE(schedule13[[#This Row],[OD]],"-",schedule13[[#This Row],[ID]],"-",schedule13[[#This Row],[TICKNESS]],"-",schedule13[[#This Row],[GRADE]],"-",schedule13[[#This Row],[FC/NFC]])</f>
        <v/>
      </c>
      <c r="Q577" s="557" t="n"/>
      <c r="R577" s="557" t="n"/>
      <c r="S577" s="599" t="n">
        <v>12.7</v>
      </c>
      <c r="T577" s="599" t="n">
        <v>12.7</v>
      </c>
      <c r="U577" s="6" t="n">
        <v>0</v>
      </c>
      <c r="V577" s="599" t="n">
        <v>1.6</v>
      </c>
      <c r="W577" s="23" t="n">
        <v>280</v>
      </c>
      <c r="X577" s="23" t="n"/>
      <c r="Y577" s="601" t="n">
        <v>20000</v>
      </c>
      <c r="Z577" s="602" t="n"/>
      <c r="AA577" s="602">
        <f>Y577-Z577</f>
        <v/>
      </c>
      <c r="AB577" s="599">
        <f>(S577-V577)*V577*W577*0.024653*Y577/1000000</f>
        <v/>
      </c>
      <c r="AC577" s="599">
        <f>(S577-V577)*V577*W577*0.024653*Z577/1000000</f>
        <v/>
      </c>
      <c r="AD577" s="599">
        <f>AB577-AC577</f>
        <v/>
      </c>
      <c r="AE577" s="599" t="n"/>
      <c r="AF577" s="599" t="n"/>
      <c r="AG577" s="599" t="n"/>
      <c r="AH577" s="599">
        <f>AB577-AF577</f>
        <v/>
      </c>
      <c r="AI577" s="118">
        <f>(AC577+AF577)/AB577</f>
        <v/>
      </c>
    </row>
    <row r="578" hidden="1" s="584">
      <c r="A578" s="594" t="n">
        <v>45</v>
      </c>
      <c r="B578" s="5" t="inlineStr">
        <is>
          <t>Hosur</t>
        </is>
      </c>
      <c r="C578" s="601" t="inlineStr">
        <is>
          <t>SRIKAM HITECH</t>
        </is>
      </c>
      <c r="D578" s="601" t="n"/>
      <c r="E578" s="601" t="n">
        <v>944141</v>
      </c>
      <c r="F578" s="601" t="n">
        <v>3747393</v>
      </c>
      <c r="G578" s="601" t="inlineStr">
        <is>
          <t>CUT-O-N-AUT-AW-PE-22.23X1.200X1.3080</t>
        </is>
      </c>
      <c r="H578" s="601" t="inlineStr">
        <is>
          <t>ERW 1</t>
        </is>
      </c>
      <c r="I578" s="601" t="n"/>
      <c r="J578" s="601" t="inlineStr">
        <is>
          <t>PE</t>
        </is>
      </c>
      <c r="K578" s="601" t="inlineStr">
        <is>
          <t>CR</t>
        </is>
      </c>
      <c r="L578" s="601" t="n"/>
      <c r="M578" s="601" t="n"/>
      <c r="N578" s="601" t="n"/>
      <c r="O578" s="601" t="n"/>
      <c r="P578" s="557">
        <f>CONCATENATE(schedule13[[#This Row],[OD]],"-",schedule13[[#This Row],[ID]],"-",schedule13[[#This Row],[TICKNESS]],"-",schedule13[[#This Row],[GRADE]],"-",schedule13[[#This Row],[FC/NFC]])</f>
        <v/>
      </c>
      <c r="Q578" s="557" t="n"/>
      <c r="R578" s="557" t="n"/>
      <c r="S578" s="599" t="n">
        <v>22.23</v>
      </c>
      <c r="T578" s="599" t="n">
        <v>22.23</v>
      </c>
      <c r="U578" s="6" t="n">
        <v>0</v>
      </c>
      <c r="V578" s="599" t="n">
        <v>1.2</v>
      </c>
      <c r="W578" s="23" t="n">
        <v>1308</v>
      </c>
      <c r="X578" s="23" t="n"/>
      <c r="Y578" s="601" t="n">
        <v>5000</v>
      </c>
      <c r="Z578" s="602" t="n"/>
      <c r="AA578" s="602">
        <f>Y578-Z578</f>
        <v/>
      </c>
      <c r="AB578" s="599">
        <f>(S578-V578)*V578*W578*0.024653*Y578/1000000</f>
        <v/>
      </c>
      <c r="AC578" s="599">
        <f>(S578-V578)*V578*W578*0.024653*Z578/1000000</f>
        <v/>
      </c>
      <c r="AD578" s="599">
        <f>AB578-AC578</f>
        <v/>
      </c>
      <c r="AE578" s="599" t="n"/>
      <c r="AF578" s="599" t="n"/>
      <c r="AG578" s="599" t="n"/>
      <c r="AH578" s="599">
        <f>AB578-AF578</f>
        <v/>
      </c>
      <c r="AI578" s="118">
        <f>(AC578+AF578)/AB578</f>
        <v/>
      </c>
    </row>
    <row r="579" hidden="1" s="584">
      <c r="A579" s="594" t="n">
        <v>46</v>
      </c>
      <c r="B579" s="5" t="inlineStr">
        <is>
          <t>Hosur</t>
        </is>
      </c>
      <c r="C579" s="601" t="inlineStr">
        <is>
          <t>SRIKAM HITECH</t>
        </is>
      </c>
      <c r="D579" s="601" t="n"/>
      <c r="E579" s="601" t="n">
        <v>944141</v>
      </c>
      <c r="F579" s="601" t="n">
        <v>1902768</v>
      </c>
      <c r="G579" s="601" t="inlineStr">
        <is>
          <t>TUB-O-N-AUT-AW-PE-22.23X2.000X0.3050</t>
        </is>
      </c>
      <c r="H579" s="601" t="inlineStr">
        <is>
          <t>ERW 1</t>
        </is>
      </c>
      <c r="I579" s="601" t="n"/>
      <c r="J579" s="601" t="n"/>
      <c r="K579" s="601" t="inlineStr">
        <is>
          <t>HR</t>
        </is>
      </c>
      <c r="L579" s="601" t="n"/>
      <c r="M579" s="601" t="n"/>
      <c r="N579" s="601" t="n"/>
      <c r="O579" s="601" t="n"/>
      <c r="P579" s="557">
        <f>CONCATENATE(schedule13[[#This Row],[OD]],"-",schedule13[[#This Row],[ID]],"-",schedule13[[#This Row],[TICKNESS]],"-",schedule13[[#This Row],[GRADE]],"-",schedule13[[#This Row],[FC/NFC]])</f>
        <v/>
      </c>
      <c r="Q579" s="557" t="n"/>
      <c r="R579" s="557" t="n"/>
      <c r="S579" s="599" t="n">
        <v>22.23</v>
      </c>
      <c r="T579" s="599" t="n">
        <v>22.23</v>
      </c>
      <c r="U579" s="6" t="n">
        <v>0</v>
      </c>
      <c r="V579" s="599" t="n">
        <v>2</v>
      </c>
      <c r="W579" s="23" t="n">
        <v>305</v>
      </c>
      <c r="X579" s="23" t="n"/>
      <c r="Y579" s="601" t="n">
        <v>0</v>
      </c>
      <c r="Z579" s="602" t="n"/>
      <c r="AA579" s="602">
        <f>Y579-Z579</f>
        <v/>
      </c>
      <c r="AB579" s="599">
        <f>(S579-V579)*V579*W579*0.024653*Y579/1000000</f>
        <v/>
      </c>
      <c r="AC579" s="599">
        <f>(S579-V579)*V579*W579*0.024653*Z579/1000000</f>
        <v/>
      </c>
      <c r="AD579" s="599">
        <f>AB579-AC579</f>
        <v/>
      </c>
      <c r="AE579" s="599" t="n"/>
      <c r="AF579" s="599" t="n"/>
      <c r="AG579" s="599" t="n"/>
      <c r="AH579" s="599">
        <f>AB579-AF579</f>
        <v/>
      </c>
      <c r="AI579" s="118">
        <f>(AC579+AF579)/AB579</f>
        <v/>
      </c>
    </row>
    <row r="580" hidden="1" s="584">
      <c r="A580" s="594" t="n">
        <v>47</v>
      </c>
      <c r="B580" s="5" t="inlineStr">
        <is>
          <t>Hosur</t>
        </is>
      </c>
      <c r="C580" s="601" t="inlineStr">
        <is>
          <t>SRIKAM HITECH</t>
        </is>
      </c>
      <c r="D580" s="601" t="n"/>
      <c r="E580" s="601" t="n">
        <v>944141</v>
      </c>
      <c r="F580" s="601" t="n">
        <v>1936862</v>
      </c>
      <c r="G580" s="601" t="inlineStr">
        <is>
          <t>TUB-O-N-AUT-AW-PE-22.20X2.000X0.8050</t>
        </is>
      </c>
      <c r="H580" s="601" t="inlineStr">
        <is>
          <t>ERW 1</t>
        </is>
      </c>
      <c r="I580" s="601" t="n"/>
      <c r="J580" s="601" t="n"/>
      <c r="K580" s="601" t="inlineStr">
        <is>
          <t>HR</t>
        </is>
      </c>
      <c r="L580" s="601" t="n"/>
      <c r="M580" s="601" t="n"/>
      <c r="N580" s="601" t="n"/>
      <c r="O580" s="601" t="n"/>
      <c r="P580" s="557">
        <f>CONCATENATE(schedule13[[#This Row],[OD]],"-",schedule13[[#This Row],[ID]],"-",schedule13[[#This Row],[TICKNESS]],"-",schedule13[[#This Row],[GRADE]],"-",schedule13[[#This Row],[FC/NFC]])</f>
        <v/>
      </c>
      <c r="Q580" s="557" t="n"/>
      <c r="R580" s="557" t="n"/>
      <c r="S580" s="599" t="n">
        <v>22.23</v>
      </c>
      <c r="T580" s="599" t="n">
        <v>22.23</v>
      </c>
      <c r="U580" s="6" t="n">
        <v>0</v>
      </c>
      <c r="V580" s="599" t="n">
        <v>2</v>
      </c>
      <c r="W580" s="23" t="n">
        <v>805</v>
      </c>
      <c r="X580" s="23" t="n"/>
      <c r="Y580" s="601" t="n">
        <v>0</v>
      </c>
      <c r="Z580" s="602" t="n"/>
      <c r="AA580" s="602">
        <f>Y580-Z580</f>
        <v/>
      </c>
      <c r="AB580" s="599">
        <f>(S580-V580)*V580*W580*0.024653*Y580/1000000</f>
        <v/>
      </c>
      <c r="AC580" s="599">
        <f>(S580-V580)*V580*W580*0.024653*Z580/1000000</f>
        <v/>
      </c>
      <c r="AD580" s="599">
        <f>AB580-AC580</f>
        <v/>
      </c>
      <c r="AE580" s="599" t="n"/>
      <c r="AF580" s="599" t="n"/>
      <c r="AG580" s="599" t="n"/>
      <c r="AH580" s="599">
        <f>AB580-AF580</f>
        <v/>
      </c>
      <c r="AI580" s="118">
        <f>(AC580+AF580)/AB580</f>
        <v/>
      </c>
    </row>
    <row r="581" hidden="1" s="584">
      <c r="A581" s="594" t="n">
        <v>48</v>
      </c>
      <c r="B581" s="5" t="inlineStr">
        <is>
          <t>Hosur</t>
        </is>
      </c>
      <c r="C581" s="601" t="inlineStr">
        <is>
          <t>SRIKAM HITECH</t>
        </is>
      </c>
      <c r="D581" s="601" t="n"/>
      <c r="E581" s="601" t="n">
        <v>944141</v>
      </c>
      <c r="F581" s="601" t="n">
        <v>1940043</v>
      </c>
      <c r="G581" s="601" t="inlineStr">
        <is>
          <t>TUB-O-O-AUT-AW-PE-15.88X1.200X0.8880</t>
        </is>
      </c>
      <c r="H581" s="601" t="inlineStr">
        <is>
          <t>ERW 1</t>
        </is>
      </c>
      <c r="I581" s="601" t="n"/>
      <c r="J581" s="601" t="inlineStr">
        <is>
          <t>PE</t>
        </is>
      </c>
      <c r="K581" s="601" t="inlineStr">
        <is>
          <t>CR</t>
        </is>
      </c>
      <c r="L581" s="601" t="n"/>
      <c r="M581" s="601" t="n"/>
      <c r="N581" s="601" t="n"/>
      <c r="O581" s="601" t="n"/>
      <c r="P581" s="557">
        <f>CONCATENATE(schedule13[[#This Row],[OD]],"-",schedule13[[#This Row],[ID]],"-",schedule13[[#This Row],[TICKNESS]],"-",schedule13[[#This Row],[GRADE]],"-",schedule13[[#This Row],[FC/NFC]])</f>
        <v/>
      </c>
      <c r="Q581" s="557" t="n"/>
      <c r="R581" s="557" t="n"/>
      <c r="S581" s="599" t="n">
        <v>15.88</v>
      </c>
      <c r="T581" s="599" t="n">
        <v>15.88</v>
      </c>
      <c r="U581" s="6" t="n">
        <v>0</v>
      </c>
      <c r="V581" s="599" t="n">
        <v>1.2</v>
      </c>
      <c r="W581" s="23" t="n">
        <v>888</v>
      </c>
      <c r="X581" s="23" t="n"/>
      <c r="Y581" s="601" t="n">
        <v>15000</v>
      </c>
      <c r="Z581" s="602" t="n"/>
      <c r="AA581" s="602">
        <f>Y581-Z581</f>
        <v/>
      </c>
      <c r="AB581" s="599">
        <f>(S581-V581)*V581*W581*0.024653*Y581/1000000</f>
        <v/>
      </c>
      <c r="AC581" s="599">
        <f>(S581-V581)*V581*W581*0.024653*Z581/1000000</f>
        <v/>
      </c>
      <c r="AD581" s="599">
        <f>AB581-AC581</f>
        <v/>
      </c>
      <c r="AE581" s="599" t="n"/>
      <c r="AF581" s="599" t="n">
        <v>4.640448</v>
      </c>
      <c r="AG581" s="599" t="n"/>
      <c r="AH581" s="599">
        <f>AB581-AF581</f>
        <v/>
      </c>
      <c r="AI581" s="118">
        <f>(AC581+AF581)/AB581</f>
        <v/>
      </c>
    </row>
    <row r="582" hidden="1" s="584">
      <c r="A582" s="594" t="n">
        <v>49</v>
      </c>
      <c r="B582" s="5" t="inlineStr">
        <is>
          <t>Hosur</t>
        </is>
      </c>
      <c r="C582" s="601" t="inlineStr">
        <is>
          <t>SRIKAM HITECH</t>
        </is>
      </c>
      <c r="D582" s="601" t="n"/>
      <c r="E582" s="601" t="n">
        <v>944141</v>
      </c>
      <c r="F582" s="601" t="n">
        <v>451367</v>
      </c>
      <c r="G582" s="601" t="inlineStr">
        <is>
          <t>PT2-O-N-AUT-AW-PE-19.05X2.000X0.925</t>
        </is>
      </c>
      <c r="H582" s="601" t="n"/>
      <c r="I582" s="601" t="n"/>
      <c r="J582" s="601" t="n"/>
      <c r="K582" s="601" t="inlineStr">
        <is>
          <t>HR</t>
        </is>
      </c>
      <c r="L582" s="601" t="n"/>
      <c r="M582" s="601" t="n"/>
      <c r="N582" s="601" t="n"/>
      <c r="O582" s="601" t="n"/>
      <c r="P582" s="557">
        <f>CONCATENATE(schedule13[[#This Row],[OD]],"-",schedule13[[#This Row],[ID]],"-",schedule13[[#This Row],[TICKNESS]],"-",schedule13[[#This Row],[GRADE]],"-",schedule13[[#This Row],[FC/NFC]])</f>
        <v/>
      </c>
      <c r="Q582" s="557" t="n"/>
      <c r="R582" s="557" t="n"/>
      <c r="S582" s="599" t="n">
        <v>19.05</v>
      </c>
      <c r="T582" s="599" t="n">
        <v>19.05</v>
      </c>
      <c r="U582" s="6" t="n">
        <v>0</v>
      </c>
      <c r="V582" s="599" t="n">
        <v>2</v>
      </c>
      <c r="W582" s="23" t="n">
        <v>925</v>
      </c>
      <c r="X582" s="23" t="n"/>
      <c r="Y582" s="601" t="n">
        <v>0</v>
      </c>
      <c r="Z582" s="602" t="n"/>
      <c r="AA582" s="602">
        <f>Y582-Z582</f>
        <v/>
      </c>
      <c r="AB582" s="599">
        <f>(S582-V582)*V582*W582*0.024653*Y582/1000000</f>
        <v/>
      </c>
      <c r="AC582" s="599">
        <f>(S582-V582)*V582*W582*0.024653*Z582/1000000</f>
        <v/>
      </c>
      <c r="AD582" s="599">
        <f>AB582-AC582</f>
        <v/>
      </c>
      <c r="AE582" s="599" t="n"/>
      <c r="AF582" s="599" t="n"/>
      <c r="AG582" s="599" t="n"/>
      <c r="AH582" s="599">
        <f>AB582-AF582</f>
        <v/>
      </c>
      <c r="AI582" s="118">
        <f>(AC582+AF582)/AB582</f>
        <v/>
      </c>
    </row>
    <row r="583" hidden="1" s="584">
      <c r="A583" s="594" t="n">
        <v>50</v>
      </c>
      <c r="B583" s="5" t="inlineStr">
        <is>
          <t>Hosur</t>
        </is>
      </c>
      <c r="C583" s="601" t="inlineStr">
        <is>
          <t>SRIKAM HITECH</t>
        </is>
      </c>
      <c r="D583" s="601" t="n"/>
      <c r="E583" s="601" t="n">
        <v>944141</v>
      </c>
      <c r="F583" s="9" t="n">
        <v>3499307</v>
      </c>
      <c r="G583" s="9" t="inlineStr">
        <is>
          <t>TUB-O-N-AUT-AW-PE-19.05X2.00X6.000-ERW 1</t>
        </is>
      </c>
      <c r="H583" s="601" t="n"/>
      <c r="I583" s="601" t="n"/>
      <c r="J583" s="601" t="n"/>
      <c r="K583" s="601" t="inlineStr">
        <is>
          <t>HR</t>
        </is>
      </c>
      <c r="L583" s="601" t="n"/>
      <c r="M583" s="601" t="n"/>
      <c r="N583" s="601" t="n"/>
      <c r="O583" s="601" t="n"/>
      <c r="P583" s="557">
        <f>CONCATENATE(schedule13[[#This Row],[OD]],"-",schedule13[[#This Row],[ID]],"-",schedule13[[#This Row],[TICKNESS]],"-",schedule13[[#This Row],[GRADE]],"-",schedule13[[#This Row],[FC/NFC]])</f>
        <v/>
      </c>
      <c r="Q583" s="557" t="n"/>
      <c r="R583" s="557" t="n"/>
      <c r="S583" s="599" t="n">
        <v>19.05</v>
      </c>
      <c r="T583" s="599" t="n">
        <v>19.05</v>
      </c>
      <c r="U583" s="6" t="n">
        <v>0</v>
      </c>
      <c r="V583" s="599" t="n">
        <v>2</v>
      </c>
      <c r="W583" s="23" t="n">
        <v>6000</v>
      </c>
      <c r="X583" s="23" t="n"/>
      <c r="Y583" s="601" t="n">
        <v>0</v>
      </c>
      <c r="Z583" s="602" t="n"/>
      <c r="AA583" s="602">
        <f>Y583-Z583</f>
        <v/>
      </c>
      <c r="AB583" s="599">
        <f>(S583-V583)*V583*W583*0.024653*Y583/1000000</f>
        <v/>
      </c>
      <c r="AC583" s="599">
        <f>(S583-V583)*V583*W583*0.024653*Z583/1000000</f>
        <v/>
      </c>
      <c r="AD583" s="599">
        <f>AB583-AC583</f>
        <v/>
      </c>
      <c r="AE583" s="599" t="n"/>
      <c r="AF583" s="599" t="n"/>
      <c r="AG583" s="599" t="n"/>
      <c r="AH583" s="599">
        <f>AB583-AF583</f>
        <v/>
      </c>
      <c r="AI583" s="118">
        <f>(AC583+AF583)/AB583</f>
        <v/>
      </c>
    </row>
    <row r="584" hidden="1" s="584">
      <c r="A584" s="594" t="n">
        <v>51</v>
      </c>
      <c r="B584" s="5" t="inlineStr">
        <is>
          <t>Hosur</t>
        </is>
      </c>
      <c r="C584" s="601" t="inlineStr">
        <is>
          <t>SRIKAM HITECH</t>
        </is>
      </c>
      <c r="D584" s="601" t="n"/>
      <c r="E584" s="601" t="n">
        <v>944141</v>
      </c>
      <c r="F584" s="601" t="n">
        <v>1385283</v>
      </c>
      <c r="G584" s="601" t="inlineStr">
        <is>
          <t>TUB-O-N-AUT-AW-PE-22.20X1.600X1.3370</t>
        </is>
      </c>
      <c r="H584" s="601" t="inlineStr">
        <is>
          <t>ERW 1</t>
        </is>
      </c>
      <c r="I584" s="601" t="n"/>
      <c r="J584" s="601" t="inlineStr">
        <is>
          <t>PE</t>
        </is>
      </c>
      <c r="K584" s="601" t="inlineStr">
        <is>
          <t>HR</t>
        </is>
      </c>
      <c r="L584" s="601" t="n"/>
      <c r="M584" s="601" t="n"/>
      <c r="N584" s="601" t="n"/>
      <c r="O584" s="601" t="n"/>
      <c r="P584" s="557">
        <f>CONCATENATE(schedule13[[#This Row],[OD]],"-",schedule13[[#This Row],[ID]],"-",schedule13[[#This Row],[TICKNESS]],"-",schedule13[[#This Row],[GRADE]],"-",schedule13[[#This Row],[FC/NFC]])</f>
        <v/>
      </c>
      <c r="Q584" s="557" t="n"/>
      <c r="R584" s="557" t="n"/>
      <c r="S584" s="599" t="n">
        <v>22.23</v>
      </c>
      <c r="T584" s="599" t="n">
        <v>22.23</v>
      </c>
      <c r="U584" s="6" t="n">
        <v>0</v>
      </c>
      <c r="V584" s="599" t="n">
        <v>1.6</v>
      </c>
      <c r="W584" s="23" t="n">
        <v>1337</v>
      </c>
      <c r="X584" s="23" t="n"/>
      <c r="Y584" s="601" t="n">
        <v>3000</v>
      </c>
      <c r="Z584" s="602" t="n"/>
      <c r="AA584" s="602">
        <f>Y584-Z584</f>
        <v/>
      </c>
      <c r="AB584" s="599">
        <f>(S584-V584)*V584*W584*0.024653*Y584/1000000</f>
        <v/>
      </c>
      <c r="AC584" s="599">
        <f>(S584-V584)*V584*W584*0.024653*Z584/1000000</f>
        <v/>
      </c>
      <c r="AD584" s="599">
        <f>AB584-AC584</f>
        <v/>
      </c>
      <c r="AE584" s="599" t="n"/>
      <c r="AF584" s="599" t="n"/>
      <c r="AG584" s="599" t="n"/>
      <c r="AH584" s="599">
        <f>AB584-AF584</f>
        <v/>
      </c>
      <c r="AI584" s="118">
        <f>(AC584+AF584)/AB584</f>
        <v/>
      </c>
    </row>
    <row r="585" hidden="1" s="584">
      <c r="A585" s="594" t="n">
        <v>52</v>
      </c>
      <c r="B585" s="5" t="inlineStr">
        <is>
          <t>Hosur</t>
        </is>
      </c>
      <c r="C585" s="601" t="inlineStr">
        <is>
          <t>SRIKAM HITECH</t>
        </is>
      </c>
      <c r="D585" s="601" t="n"/>
      <c r="E585" s="601" t="n">
        <v>944141</v>
      </c>
      <c r="F585" s="601" t="n">
        <v>3180928</v>
      </c>
      <c r="G585" s="601" t="inlineStr">
        <is>
          <t>TUB-O-N-AUT-AW-PE-22.20X1.200X0.6300</t>
        </is>
      </c>
      <c r="H585" s="601" t="inlineStr">
        <is>
          <t>ERW 1</t>
        </is>
      </c>
      <c r="I585" s="601" t="n"/>
      <c r="J585" s="601" t="n"/>
      <c r="K585" s="601" t="inlineStr">
        <is>
          <t>HR</t>
        </is>
      </c>
      <c r="L585" s="601" t="n"/>
      <c r="M585" s="601" t="n"/>
      <c r="N585" s="601" t="n"/>
      <c r="O585" s="601" t="n"/>
      <c r="P585" s="557">
        <f>CONCATENATE(schedule13[[#This Row],[OD]],"-",schedule13[[#This Row],[ID]],"-",schedule13[[#This Row],[TICKNESS]],"-",schedule13[[#This Row],[GRADE]],"-",schedule13[[#This Row],[FC/NFC]])</f>
        <v/>
      </c>
      <c r="Q585" s="557" t="n"/>
      <c r="R585" s="557" t="n"/>
      <c r="S585" s="599" t="n">
        <v>22.23</v>
      </c>
      <c r="T585" s="599" t="n">
        <v>22.23</v>
      </c>
      <c r="U585" s="6" t="n">
        <v>0</v>
      </c>
      <c r="V585" s="599" t="n">
        <v>1.2</v>
      </c>
      <c r="W585" s="23" t="n">
        <v>630</v>
      </c>
      <c r="X585" s="23" t="n"/>
      <c r="Y585" s="601" t="n">
        <v>0</v>
      </c>
      <c r="Z585" s="602" t="n"/>
      <c r="AA585" s="602">
        <f>Y585-Z585</f>
        <v/>
      </c>
      <c r="AB585" s="599">
        <f>(S585-V585)*V585*W585*0.024653*Y585/1000000</f>
        <v/>
      </c>
      <c r="AC585" s="599">
        <f>(S585-V585)*V585*W585*0.024653*Z585/1000000</f>
        <v/>
      </c>
      <c r="AD585" s="599">
        <f>AB585-AC585</f>
        <v/>
      </c>
      <c r="AE585" s="599" t="n"/>
      <c r="AF585" s="599" t="n"/>
      <c r="AG585" s="599" t="n"/>
      <c r="AH585" s="599">
        <f>AB585-AF585</f>
        <v/>
      </c>
      <c r="AI585" s="118">
        <f>(AC585+AF585)/AB585</f>
        <v/>
      </c>
    </row>
    <row r="586" hidden="1" s="584">
      <c r="A586" s="594" t="n">
        <v>53</v>
      </c>
      <c r="B586" s="5" t="inlineStr">
        <is>
          <t xml:space="preserve">Khopoli </t>
        </is>
      </c>
      <c r="C586" s="601" t="inlineStr">
        <is>
          <t>SRIKAM HITECH</t>
        </is>
      </c>
      <c r="D586" s="601" t="n"/>
      <c r="E586" s="601" t="n">
        <v>944141</v>
      </c>
      <c r="F586" s="601" t="n">
        <v>1938163</v>
      </c>
      <c r="G586" s="601" t="inlineStr">
        <is>
          <t>TUB-O-N-AUT-AW-PE-17.30X1.600X0.6400</t>
        </is>
      </c>
      <c r="H586" s="601" t="inlineStr">
        <is>
          <t>ERW 1</t>
        </is>
      </c>
      <c r="I586" s="601" t="n"/>
      <c r="J586" s="601" t="inlineStr">
        <is>
          <t>PE</t>
        </is>
      </c>
      <c r="K586" s="601" t="inlineStr">
        <is>
          <t>CR</t>
        </is>
      </c>
      <c r="L586" s="601" t="inlineStr">
        <is>
          <t>D</t>
        </is>
      </c>
      <c r="M586" s="601" t="n"/>
      <c r="N586" s="601" t="n"/>
      <c r="O586" s="601" t="n"/>
      <c r="P586" s="557">
        <f>CONCATENATE(schedule13[[#This Row],[OD]],"-",schedule13[[#This Row],[ID]],"-",schedule13[[#This Row],[TICKNESS]],"-",schedule13[[#This Row],[GRADE]],"-",schedule13[[#This Row],[FC/NFC]])</f>
        <v/>
      </c>
      <c r="Q586" s="557" t="n"/>
      <c r="R586" s="557" t="n"/>
      <c r="S586" s="599" t="n">
        <v>17.3</v>
      </c>
      <c r="T586" s="599" t="n">
        <v>17.3</v>
      </c>
      <c r="U586" s="6" t="n">
        <v>0</v>
      </c>
      <c r="V586" s="599" t="n">
        <v>1.6</v>
      </c>
      <c r="W586" s="25" t="n">
        <v>640</v>
      </c>
      <c r="X586" s="25" t="n"/>
      <c r="Y586" s="601" t="n">
        <v>5000</v>
      </c>
      <c r="Z586" s="602" t="n"/>
      <c r="AA586" s="602">
        <f>Y586-Z586</f>
        <v/>
      </c>
      <c r="AB586" s="599">
        <f>(S586-V586)*V586*W586*0.024653*Y586/1000000</f>
        <v/>
      </c>
      <c r="AC586" s="599">
        <f>(S586-V586)*V586*W586*0.024653*Z586/1000000</f>
        <v/>
      </c>
      <c r="AD586" s="599">
        <f>AB586-AC586</f>
        <v/>
      </c>
      <c r="AE586" s="599" t="n"/>
      <c r="AF586" s="599" t="n"/>
      <c r="AG586" s="599" t="n"/>
      <c r="AH586" s="599">
        <f>AB586-AF586</f>
        <v/>
      </c>
      <c r="AI586" s="118">
        <f>(AC586+AF586)/AB586</f>
        <v/>
      </c>
    </row>
    <row r="587" hidden="1" s="584">
      <c r="A587" s="594" t="n">
        <v>54</v>
      </c>
      <c r="B587" s="5" t="inlineStr">
        <is>
          <t>Hosur</t>
        </is>
      </c>
      <c r="C587" s="601" t="inlineStr">
        <is>
          <t>SRIKAM HITECH</t>
        </is>
      </c>
      <c r="D587" s="601" t="n"/>
      <c r="E587" s="601" t="n">
        <v>944141</v>
      </c>
      <c r="F587" s="601" t="n">
        <v>1637759</v>
      </c>
      <c r="G587" s="601" t="inlineStr">
        <is>
          <t>TUB-O-N-AUT-AW-PE-19.05X2.000X0.4520</t>
        </is>
      </c>
      <c r="H587" s="601" t="n"/>
      <c r="I587" s="601" t="n"/>
      <c r="J587" s="601" t="n"/>
      <c r="K587" s="601" t="inlineStr">
        <is>
          <t>HR</t>
        </is>
      </c>
      <c r="L587" s="601" t="n"/>
      <c r="M587" s="601" t="n"/>
      <c r="N587" s="601" t="n"/>
      <c r="O587" s="601" t="n"/>
      <c r="P587" s="557">
        <f>CONCATENATE(schedule13[[#This Row],[OD]],"-",schedule13[[#This Row],[ID]],"-",schedule13[[#This Row],[TICKNESS]],"-",schedule13[[#This Row],[GRADE]],"-",schedule13[[#This Row],[FC/NFC]])</f>
        <v/>
      </c>
      <c r="Q587" s="557" t="n"/>
      <c r="R587" s="557" t="n"/>
      <c r="S587" s="599" t="n">
        <v>19.05</v>
      </c>
      <c r="T587" s="599" t="n">
        <v>19.05</v>
      </c>
      <c r="U587" s="6" t="n">
        <v>0</v>
      </c>
      <c r="V587" s="599" t="n">
        <v>2</v>
      </c>
      <c r="W587" s="23" t="n">
        <v>452</v>
      </c>
      <c r="X587" s="23" t="n"/>
      <c r="Y587" s="601" t="n">
        <v>0</v>
      </c>
      <c r="Z587" s="602" t="n"/>
      <c r="AA587" s="602">
        <f>Y587-Z587</f>
        <v/>
      </c>
      <c r="AB587" s="599">
        <f>(S587-V587)*V587*W587*0.024653*Y587/1000000</f>
        <v/>
      </c>
      <c r="AC587" s="599">
        <f>(S587-V587)*V587*W587*0.024653*Z587/1000000</f>
        <v/>
      </c>
      <c r="AD587" s="599">
        <f>AB587-AC587</f>
        <v/>
      </c>
      <c r="AE587" s="599" t="n"/>
      <c r="AF587" s="599" t="n"/>
      <c r="AG587" s="599" t="n"/>
      <c r="AH587" s="599">
        <f>AB587-AF587</f>
        <v/>
      </c>
      <c r="AI587" s="118">
        <f>(AC587+AF587)/AB587</f>
        <v/>
      </c>
    </row>
    <row r="588" hidden="1" s="584">
      <c r="A588" s="594" t="n">
        <v>55</v>
      </c>
      <c r="B588" s="5" t="inlineStr">
        <is>
          <t>Hosur</t>
        </is>
      </c>
      <c r="C588" s="601" t="inlineStr">
        <is>
          <t>SRIKAM HITECH</t>
        </is>
      </c>
      <c r="D588" s="601" t="n"/>
      <c r="E588" s="601" t="n">
        <v>944141</v>
      </c>
      <c r="F588" s="601" t="n">
        <v>1940621</v>
      </c>
      <c r="G588" s="9" t="inlineStr">
        <is>
          <t>TUB-O-O-GEN-AW-PE-28.58X1.600X6.0000</t>
        </is>
      </c>
      <c r="H588" s="601" t="inlineStr">
        <is>
          <t>ERW 1</t>
        </is>
      </c>
      <c r="I588" s="601" t="n"/>
      <c r="J588" s="601" t="inlineStr">
        <is>
          <t>PE</t>
        </is>
      </c>
      <c r="K588" s="601" t="inlineStr">
        <is>
          <t>CR</t>
        </is>
      </c>
      <c r="L588" s="49" t="inlineStr">
        <is>
          <t>GR1</t>
        </is>
      </c>
      <c r="M588" s="601" t="n"/>
      <c r="N588" s="601" t="n"/>
      <c r="O588" s="601" t="n"/>
      <c r="P588" s="557">
        <f>CONCATENATE(schedule13[[#This Row],[OD]],"-",schedule13[[#This Row],[ID]],"-",schedule13[[#This Row],[TICKNESS]],"-",schedule13[[#This Row],[GRADE]],"-",schedule13[[#This Row],[FC/NFC]])</f>
        <v/>
      </c>
      <c r="Q588" s="557" t="n"/>
      <c r="R588" s="557" t="n"/>
      <c r="S588" s="599" t="n">
        <v>28.58</v>
      </c>
      <c r="T588" s="599" t="n">
        <v>28.58</v>
      </c>
      <c r="U588" s="6" t="n">
        <v>0</v>
      </c>
      <c r="V588" s="599" t="n">
        <v>1.6</v>
      </c>
      <c r="W588" s="23" t="n">
        <v>6000</v>
      </c>
      <c r="X588" s="23" t="n"/>
      <c r="Y588" s="601" t="n">
        <v>0</v>
      </c>
      <c r="Z588" s="602" t="n"/>
      <c r="AA588" s="602">
        <f>Y588-Z588</f>
        <v/>
      </c>
      <c r="AB588" s="599">
        <f>(S588-V588)*V588*W588*0.024653*Y588/1000000</f>
        <v/>
      </c>
      <c r="AC588" s="599">
        <f>(S588-V588)*V588*W588*0.024653*Z588/1000000</f>
        <v/>
      </c>
      <c r="AD588" s="599">
        <f>AB588-AC588</f>
        <v/>
      </c>
      <c r="AE588" s="599" t="n"/>
      <c r="AF588" s="599" t="n"/>
      <c r="AG588" s="599" t="n"/>
      <c r="AH588" s="599">
        <f>AB588-AF588</f>
        <v/>
      </c>
      <c r="AI588" s="118">
        <f>(AC588+AF588)/AB588</f>
        <v/>
      </c>
      <c r="AL588" s="15" t="n">
        <v>639</v>
      </c>
      <c r="AM588" s="15" t="n">
        <v>2</v>
      </c>
      <c r="AN588" s="15">
        <f>AL588*AM588</f>
        <v/>
      </c>
    </row>
    <row r="589" hidden="1" s="584">
      <c r="A589" s="594" t="n">
        <v>56</v>
      </c>
      <c r="B589" s="5" t="inlineStr">
        <is>
          <t xml:space="preserve">Khopoli </t>
        </is>
      </c>
      <c r="C589" s="601" t="inlineStr">
        <is>
          <t>SRIKAM HITECH</t>
        </is>
      </c>
      <c r="D589" s="601" t="n"/>
      <c r="E589" s="601" t="n">
        <v>944141</v>
      </c>
      <c r="F589" s="601" t="n">
        <v>2410999</v>
      </c>
      <c r="G589" s="601" t="inlineStr">
        <is>
          <t>TUB-O-C-AUT-AD-FC-21.70X2.750X04-05</t>
        </is>
      </c>
      <c r="H589" s="601" t="inlineStr">
        <is>
          <t>CEW</t>
        </is>
      </c>
      <c r="I589" s="601" t="n"/>
      <c r="J589" s="601" t="inlineStr">
        <is>
          <t>CEW</t>
        </is>
      </c>
      <c r="K589" s="601" t="inlineStr">
        <is>
          <t>HR</t>
        </is>
      </c>
      <c r="L589" s="601" t="n"/>
      <c r="M589" s="601" t="n"/>
      <c r="N589" s="601" t="n"/>
      <c r="O589" s="601" t="n"/>
      <c r="P589" s="557">
        <f>CONCATENATE(schedule13[[#This Row],[OD]],"-",schedule13[[#This Row],[ID]],"-",schedule13[[#This Row],[TICKNESS]],"-",schedule13[[#This Row],[GRADE]],"-",schedule13[[#This Row],[FC/NFC]])</f>
        <v/>
      </c>
      <c r="Q589" s="557" t="n"/>
      <c r="R589" s="557" t="n"/>
      <c r="S589" s="599" t="n">
        <v>21.7</v>
      </c>
      <c r="T589" s="6" t="n">
        <v>21.7</v>
      </c>
      <c r="U589" s="6" t="n">
        <v>16.2</v>
      </c>
      <c r="V589" s="6" t="n">
        <v>2.75</v>
      </c>
      <c r="W589" s="23" t="n">
        <v>4500</v>
      </c>
      <c r="X589" s="23" t="n"/>
      <c r="Y589" s="601" t="n">
        <v>667</v>
      </c>
      <c r="Z589" s="602" t="n"/>
      <c r="AA589" s="602">
        <f>Y589-Z589</f>
        <v/>
      </c>
      <c r="AB589" s="599">
        <f>(S589-V589)*V589*W589*0.024653*Y589/1000000</f>
        <v/>
      </c>
      <c r="AC589" s="599">
        <f>(S589-V589)*V589*W589*0.024653*Z589/1000000</f>
        <v/>
      </c>
      <c r="AD589" s="599">
        <f>AB589-AC589</f>
        <v/>
      </c>
      <c r="AE589" s="599" t="n"/>
      <c r="AF589" s="599" t="n">
        <v>6.099192</v>
      </c>
      <c r="AG589" s="599" t="n"/>
      <c r="AH589" s="599">
        <f>AB589-AF589</f>
        <v/>
      </c>
      <c r="AI589" s="118">
        <f>(AC589+AF589)/AB589</f>
        <v/>
      </c>
      <c r="AL589" s="15" t="n">
        <v>607</v>
      </c>
      <c r="AM589" s="15" t="n">
        <v>7</v>
      </c>
      <c r="AN589" s="15">
        <f>AL589*AM589</f>
        <v/>
      </c>
    </row>
    <row r="590" hidden="1" s="584">
      <c r="A590" s="594" t="n">
        <v>380</v>
      </c>
      <c r="B590" s="5" t="inlineStr">
        <is>
          <t xml:space="preserve">Khopoli </t>
        </is>
      </c>
      <c r="C590" s="601" t="inlineStr">
        <is>
          <t>SRIKAM HITECH</t>
        </is>
      </c>
      <c r="D590" s="601" t="n"/>
      <c r="E590" s="601" t="n">
        <v>944141</v>
      </c>
      <c r="F590" s="601" t="n">
        <v>2419066</v>
      </c>
      <c r="G590" s="601" t="inlineStr">
        <is>
          <t>TUB-O-C-AUT-AD-FC-19.00X3.250X4.8000</t>
        </is>
      </c>
      <c r="H590" s="601" t="inlineStr">
        <is>
          <t>CEW</t>
        </is>
      </c>
      <c r="I590" s="601" t="n"/>
      <c r="J590" s="601" t="n"/>
      <c r="K590" s="601" t="inlineStr">
        <is>
          <t>HR</t>
        </is>
      </c>
      <c r="L590" s="601" t="n"/>
      <c r="M590" s="601" t="n"/>
      <c r="N590" s="601" t="n"/>
      <c r="O590" s="601" t="n"/>
      <c r="P590" s="557">
        <f>CONCATENATE(schedule13[[#This Row],[OD]],"-",schedule13[[#This Row],[ID]],"-",schedule13[[#This Row],[TICKNESS]],"-",schedule13[[#This Row],[GRADE]],"-",schedule13[[#This Row],[FC/NFC]])</f>
        <v/>
      </c>
      <c r="Q590" s="557" t="n"/>
      <c r="R590" s="557" t="n"/>
      <c r="S590" s="599" t="n">
        <v>19</v>
      </c>
      <c r="T590" s="599" t="n">
        <v>19</v>
      </c>
      <c r="U590" s="599" t="n">
        <v>12.5</v>
      </c>
      <c r="V590" s="599" t="n">
        <v>3.25</v>
      </c>
      <c r="W590" s="23" t="n">
        <v>4800</v>
      </c>
      <c r="X590" s="23" t="n"/>
      <c r="Y590" s="601" t="n">
        <v>0</v>
      </c>
      <c r="Z590" s="602" t="n"/>
      <c r="AA590" s="602">
        <f>Y590-Z590</f>
        <v/>
      </c>
      <c r="AB590" s="599">
        <f>(S590-V590)*V590*W590*0.024653*Y590/1000000</f>
        <v/>
      </c>
      <c r="AC590" s="599">
        <f>(S590-V590)*V590*W590*0.024653*Z590/1000000</f>
        <v/>
      </c>
      <c r="AD590" s="599">
        <f>AB590-AC590</f>
        <v/>
      </c>
      <c r="AE590" s="599" t="n"/>
      <c r="AF590" s="599" t="n"/>
      <c r="AG590" s="599" t="n"/>
      <c r="AH590" s="599">
        <f>AB589-AF590</f>
        <v/>
      </c>
      <c r="AI590" s="118">
        <f>(AC590+AF590)/AB589</f>
        <v/>
      </c>
      <c r="AN590" s="15">
        <f>SUM(AN588:AN589)</f>
        <v/>
      </c>
    </row>
    <row r="591" hidden="1" s="584">
      <c r="A591" s="125" t="n">
        <v>366</v>
      </c>
      <c r="B591" s="126" t="inlineStr">
        <is>
          <t>Hosur</t>
        </is>
      </c>
      <c r="C591" s="100" t="inlineStr">
        <is>
          <t>TVS MOTOR COMPANY LIMITED</t>
        </is>
      </c>
      <c r="D591" s="100" t="n"/>
      <c r="E591" s="100" t="n"/>
      <c r="F591" s="100" t="n">
        <v>1941860</v>
      </c>
      <c r="G591" s="100" t="inlineStr">
        <is>
          <t>TUB-R-AW-RHS-40.00X30.00X1.600X0.4000</t>
        </is>
      </c>
      <c r="H591" s="100" t="inlineStr">
        <is>
          <t>ERW 1</t>
        </is>
      </c>
      <c r="I591" s="100" t="n"/>
      <c r="J591" s="100" t="inlineStr">
        <is>
          <t>FC</t>
        </is>
      </c>
      <c r="K591" s="100" t="inlineStr">
        <is>
          <t>CR</t>
        </is>
      </c>
      <c r="L591" s="128" t="inlineStr">
        <is>
          <t>GR1</t>
        </is>
      </c>
      <c r="M591" s="100" t="n"/>
      <c r="N591" s="100" t="n"/>
      <c r="O591" s="100" t="n"/>
      <c r="P591" s="565">
        <f>CONCATENATE(schedule13[[#This Row],[OD]],"-",schedule13[[#This Row],[ID]],"-",schedule13[[#This Row],[TICKNESS]],"-",schedule13[[#This Row],[GRADE]],"-",schedule13[[#This Row],[FC/NFC]])</f>
        <v/>
      </c>
      <c r="Q591" s="565" t="n"/>
      <c r="R591" s="565" t="n"/>
      <c r="S591" s="129" t="n">
        <v>44.45</v>
      </c>
      <c r="T591" s="129" t="n">
        <v>40</v>
      </c>
      <c r="U591" s="129" t="n">
        <v>30</v>
      </c>
      <c r="V591" s="129" t="n">
        <v>1.6</v>
      </c>
      <c r="W591" s="130" t="n">
        <v>400</v>
      </c>
      <c r="X591" s="130" t="n"/>
      <c r="Y591" s="601" t="n">
        <v>0</v>
      </c>
      <c r="Z591" s="100" t="n"/>
      <c r="AA591" s="131">
        <f>Y591-Z591</f>
        <v/>
      </c>
      <c r="AB591" s="129">
        <f>(S591-V591)*V591*W591*0.024653*Y591/1000000</f>
        <v/>
      </c>
      <c r="AC591" s="129">
        <f>(S591-V591)*V591*W591*0.024653*Z591/1000000</f>
        <v/>
      </c>
      <c r="AD591" s="129">
        <f>AB591-AC591</f>
        <v/>
      </c>
      <c r="AE591" s="129" t="n"/>
      <c r="AF591" s="129" t="n"/>
      <c r="AG591" s="129" t="n"/>
      <c r="AH591" s="129">
        <f>#REF!-AF591</f>
        <v/>
      </c>
      <c r="AI591" s="132">
        <f>(AC591+AF591)/#REF!</f>
        <v/>
      </c>
    </row>
    <row r="592">
      <c r="A592" s="5" t="n"/>
      <c r="Y592" s="10" t="n"/>
    </row>
    <row r="593">
      <c r="A593" s="5" t="n"/>
      <c r="Y593" s="10" t="n"/>
    </row>
    <row r="594">
      <c r="A594" s="5" t="n"/>
      <c r="Y594" s="10" t="n"/>
    </row>
    <row r="595">
      <c r="A595" s="5" t="n"/>
      <c r="Y595" s="10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</sheetData>
  <conditionalFormatting sqref="F3">
    <cfRule type="duplicateValues" priority="15" dxfId="0"/>
  </conditionalFormatting>
  <conditionalFormatting sqref="F82">
    <cfRule type="duplicateValues" priority="31" dxfId="0"/>
    <cfRule type="duplicateValues" priority="32" dxfId="0"/>
  </conditionalFormatting>
  <conditionalFormatting sqref="F88">
    <cfRule type="duplicateValues" priority="7" dxfId="0"/>
    <cfRule type="duplicateValues" priority="8" dxfId="0"/>
  </conditionalFormatting>
  <conditionalFormatting sqref="F100">
    <cfRule type="duplicateValues" priority="5" dxfId="0"/>
    <cfRule type="duplicateValues" priority="6" dxfId="0"/>
  </conditionalFormatting>
  <conditionalFormatting sqref="F121">
    <cfRule type="duplicateValues" priority="33" dxfId="0"/>
    <cfRule type="duplicateValues" priority="34" dxfId="0"/>
  </conditionalFormatting>
  <conditionalFormatting sqref="F128">
    <cfRule type="duplicateValues" priority="17" dxfId="0"/>
    <cfRule type="duplicateValues" priority="18" dxfId="0"/>
  </conditionalFormatting>
  <conditionalFormatting sqref="F164">
    <cfRule type="duplicateValues" priority="29" dxfId="0"/>
    <cfRule type="duplicateValues" priority="30" dxfId="0"/>
  </conditionalFormatting>
  <conditionalFormatting sqref="F207">
    <cfRule type="duplicateValues" priority="22" dxfId="0"/>
    <cfRule type="duplicateValues" priority="23" dxfId="0"/>
  </conditionalFormatting>
  <conditionalFormatting sqref="F292">
    <cfRule type="duplicateValues" priority="11" dxfId="0"/>
    <cfRule type="duplicateValues" priority="12" dxfId="0"/>
  </conditionalFormatting>
  <conditionalFormatting sqref="F295">
    <cfRule type="duplicateValues" priority="28" dxfId="0"/>
  </conditionalFormatting>
  <conditionalFormatting sqref="F301:F304">
    <cfRule type="duplicateValues" priority="38" dxfId="0" stopIfTrue="1"/>
  </conditionalFormatting>
  <conditionalFormatting sqref="F339">
    <cfRule type="duplicateValues" priority="13" dxfId="0"/>
    <cfRule type="duplicateValues" priority="14" dxfId="0"/>
  </conditionalFormatting>
  <conditionalFormatting sqref="F385:F388">
    <cfRule type="duplicateValues" priority="36" dxfId="0"/>
  </conditionalFormatting>
  <conditionalFormatting sqref="F4:F81 F83:F87 F89:F99 F101:F120 F122:F127 F129:F163 F165:F206 F208:F291 F293:F338 F340:F349 F351:F384 F389:F475">
    <cfRule type="duplicateValues" priority="39" dxfId="0"/>
  </conditionalFormatting>
  <conditionalFormatting sqref="F480">
    <cfRule type="duplicateValues" priority="3" dxfId="0"/>
    <cfRule type="duplicateValues" priority="4" dxfId="0"/>
  </conditionalFormatting>
  <conditionalFormatting sqref="F492">
    <cfRule type="duplicateValues" priority="21" dxfId="0"/>
  </conditionalFormatting>
  <conditionalFormatting sqref="F493">
    <cfRule type="duplicateValues" priority="20" dxfId="0"/>
  </conditionalFormatting>
  <conditionalFormatting sqref="F494">
    <cfRule type="duplicateValues" priority="27" dxfId="0"/>
  </conditionalFormatting>
  <conditionalFormatting sqref="F495">
    <cfRule type="duplicateValues" priority="40" dxfId="0"/>
  </conditionalFormatting>
  <conditionalFormatting sqref="F496:F497 F499:F501">
    <cfRule type="duplicateValues" priority="26" dxfId="0"/>
  </conditionalFormatting>
  <conditionalFormatting sqref="F498">
    <cfRule type="duplicateValues" priority="9" dxfId="0"/>
    <cfRule type="duplicateValues" priority="10" dxfId="0"/>
  </conditionalFormatting>
  <conditionalFormatting sqref="F2 F4:F81 F83:F87 F89:F99 F101:F120 F122:F127 F129:F163 F165:F206 F208:F291 F293:F338 F340:F349 F351:F479 F481:F489 F491 F502:F520 F523:F583 F585:F589 F591:F1048576">
    <cfRule type="duplicateValues" priority="35" dxfId="0"/>
  </conditionalFormatting>
  <conditionalFormatting sqref="F521">
    <cfRule type="duplicateValues" priority="24" dxfId="0"/>
    <cfRule type="duplicateValues" priority="25" dxfId="0"/>
  </conditionalFormatting>
  <conditionalFormatting sqref="F522">
    <cfRule type="duplicateValues" priority="19" dxfId="0"/>
  </conditionalFormatting>
  <conditionalFormatting sqref="F350 N350">
    <cfRule type="duplicateValues" priority="1" dxfId="0"/>
  </conditionalFormatting>
  <conditionalFormatting sqref="N350">
    <cfRule type="duplicateValues" priority="2" dxfId="0"/>
  </conditionalFormatting>
  <conditionalFormatting sqref="AI2 AI4:AI1048576">
    <cfRule type="iconSet" priority="37">
      <iconSet>
        <cfvo type="percent" val="0"/>
        <cfvo type="num" val="0.2"/>
        <cfvo type="num" val="0.6"/>
      </iconSet>
    </cfRule>
  </conditionalFormatting>
  <conditionalFormatting sqref="AI3">
    <cfRule type="iconSet" priority="16">
      <iconSet>
        <cfvo type="percent" val="0"/>
        <cfvo type="num" val="0.2"/>
        <cfvo type="num" val="0.6"/>
      </iconSet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 codeName="Sheet44">
    <tabColor rgb="FF7030A0"/>
    <outlinePr summaryBelow="1" summaryRight="1"/>
    <pageSetUpPr/>
  </sheetPr>
  <dimension ref="A1:Z58"/>
  <sheetViews>
    <sheetView topLeftCell="J1" workbookViewId="0">
      <pane ySplit="3" topLeftCell="A4" activePane="bottomLeft" state="frozen"/>
      <selection pane="bottomLeft" activeCell="S12" sqref="S12"/>
    </sheetView>
  </sheetViews>
  <sheetFormatPr baseColWidth="8" defaultRowHeight="15"/>
  <cols>
    <col width="22.42578125" bestFit="1" customWidth="1" style="584" min="7" max="7"/>
    <col width="15" bestFit="1" customWidth="1" style="584" min="8" max="8"/>
    <col width="15" customWidth="1" style="584" min="9" max="9"/>
    <col width="11.5703125" bestFit="1" customWidth="1" style="584" min="10" max="11"/>
    <col width="14.140625" bestFit="1" customWidth="1" style="584" min="12" max="13"/>
    <col width="25.85546875" bestFit="1" customWidth="1" style="584" min="17" max="17"/>
    <col width="17.42578125" bestFit="1" customWidth="1" style="584" min="18" max="18"/>
    <col width="17.42578125" customWidth="1" style="584" min="19" max="19"/>
    <col width="10.140625" bestFit="1" customWidth="1" style="584" min="20" max="20"/>
    <col width="13.140625" bestFit="1" customWidth="1" style="584" min="24" max="26"/>
  </cols>
  <sheetData>
    <row r="1">
      <c r="G1" t="inlineStr">
        <is>
          <t>Customer</t>
        </is>
      </c>
      <c r="H1" t="inlineStr">
        <is>
          <t>nmpl</t>
        </is>
      </c>
      <c r="Q1" t="inlineStr">
        <is>
          <t>Customer</t>
        </is>
      </c>
      <c r="R1" t="n">
        <v>4318</v>
      </c>
    </row>
    <row r="2">
      <c r="A2" t="inlineStr">
        <is>
          <t>Header of Sales Forecast TVS</t>
        </is>
      </c>
    </row>
    <row r="3">
      <c r="A3">
        <f t="array" ref="A3:A47">TRANSPOSE(_xlfn.UNIQUE(salesforecast[#Headers]))</f>
        <v/>
      </c>
      <c r="G3" s="133" t="inlineStr">
        <is>
          <t>Bucket2</t>
        </is>
      </c>
      <c r="H3" s="133" t="inlineStr">
        <is>
          <t>NMPL Schedule</t>
        </is>
      </c>
      <c r="I3" s="133" t="inlineStr">
        <is>
          <t>NMPL Sales</t>
        </is>
      </c>
      <c r="J3" s="133" t="inlineStr">
        <is>
          <t>4318 Stock</t>
        </is>
      </c>
      <c r="K3" s="133" t="inlineStr">
        <is>
          <t>Stock LL</t>
        </is>
      </c>
      <c r="L3" s="133" t="inlineStr">
        <is>
          <t>WIP</t>
        </is>
      </c>
      <c r="M3" s="133" t="inlineStr">
        <is>
          <t>Stock Khopoli</t>
        </is>
      </c>
      <c r="Q3" s="133" t="inlineStr">
        <is>
          <t>Bucket2</t>
        </is>
      </c>
      <c r="R3" s="133" t="inlineStr">
        <is>
          <t>4318 Requirement</t>
        </is>
      </c>
      <c r="S3" s="133" t="inlineStr">
        <is>
          <t>Sales</t>
        </is>
      </c>
      <c r="T3" s="133" t="inlineStr">
        <is>
          <t>4318 Stock</t>
        </is>
      </c>
      <c r="U3" s="133" t="inlineStr">
        <is>
          <t>4731 Stock</t>
        </is>
      </c>
      <c r="V3" s="133" t="inlineStr">
        <is>
          <t>8406 Stock</t>
        </is>
      </c>
      <c r="W3" s="133" t="inlineStr">
        <is>
          <t>Stock Khopoli</t>
        </is>
      </c>
      <c r="X3" s="133" t="inlineStr">
        <is>
          <t>Stock LL</t>
        </is>
      </c>
      <c r="Y3" s="133" t="inlineStr">
        <is>
          <t>WIP</t>
        </is>
      </c>
      <c r="Z3" s="133" t="inlineStr">
        <is>
          <t>Balance to be transferred</t>
        </is>
      </c>
    </row>
    <row r="4">
      <c r="A4" t="inlineStr">
        <is>
          <t>OD</t>
        </is>
      </c>
      <c r="G4" s="15">
        <f t="array" ref="G4">_xlfn.CHOOSECOLS(_xlfn._xlws.FILTER(salesforecast[#Data],ISNUMBER(SEARCH(H1,salesforecast[Customer]))),_xlfn.XMATCH(G3:M3,salesforecast[#Headers]))</f>
        <v/>
      </c>
      <c r="H4" s="109" t="n"/>
      <c r="I4" s="109" t="n"/>
      <c r="J4" s="109" t="n"/>
      <c r="K4" s="109" t="n"/>
      <c r="L4" s="109" t="n"/>
      <c r="M4" s="109" t="n"/>
      <c r="Q4" s="15">
        <f t="array" ref="Q4">_xlfn.CHOOSECOLS(_xlfn._xlws.FILTER(salesforecast[#Data],#REF!&gt;0),_xlfn.XMATCH(Q3:Y3,salesforecast[#Headers]))</f>
        <v/>
      </c>
      <c r="R4" s="109" t="n"/>
      <c r="S4" s="109" t="n"/>
      <c r="T4" s="109" t="n"/>
      <c r="U4" s="109" t="n"/>
      <c r="V4" s="109" t="n"/>
      <c r="W4" s="109" t="n"/>
      <c r="X4" s="109" t="n"/>
      <c r="Y4" s="109" t="n"/>
      <c r="Z4" s="109">
        <f>IF(R4-S4-T4&lt;0,0,R4-S4-T4)</f>
        <v/>
      </c>
    </row>
    <row r="5">
      <c r="A5" t="inlineStr">
        <is>
          <t>ID</t>
        </is>
      </c>
      <c r="G5" s="15" t="n"/>
      <c r="H5" s="109" t="n"/>
      <c r="I5" s="109" t="n"/>
      <c r="J5" s="109" t="n"/>
      <c r="K5" s="109" t="n"/>
      <c r="L5" s="109" t="n"/>
      <c r="M5" s="109" t="n"/>
      <c r="Q5" s="15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>
        <f>IF(R5-S5-T5&lt;0,0,R5-S5-T5)</f>
        <v/>
      </c>
    </row>
    <row r="6">
      <c r="A6" t="inlineStr">
        <is>
          <t>TICKNESS</t>
        </is>
      </c>
      <c r="G6" s="15" t="n"/>
      <c r="H6" s="109" t="n"/>
      <c r="I6" s="109" t="n"/>
      <c r="J6" s="109" t="n"/>
      <c r="K6" s="109" t="n"/>
      <c r="L6" s="109" t="n"/>
      <c r="M6" s="109" t="n"/>
      <c r="Q6" s="15" t="n"/>
      <c r="R6" s="134" t="n"/>
      <c r="S6" s="134" t="n"/>
      <c r="T6" s="134" t="n"/>
      <c r="U6" s="134" t="n"/>
      <c r="V6" s="134" t="n"/>
      <c r="W6" s="134" t="n"/>
      <c r="X6" s="134" t="n"/>
      <c r="Y6" s="134" t="n"/>
      <c r="Z6" s="134">
        <f>IF(R6-S6-T6&lt;0,0,R6-S6-T6)</f>
        <v/>
      </c>
    </row>
    <row r="7">
      <c r="A7" t="inlineStr">
        <is>
          <t>GRADE</t>
        </is>
      </c>
      <c r="G7" s="15" t="n"/>
      <c r="H7" s="109" t="n"/>
      <c r="I7" s="109" t="n"/>
      <c r="J7" s="109" t="n"/>
      <c r="K7" s="109" t="n"/>
      <c r="L7" s="109" t="n"/>
      <c r="M7" s="109" t="n"/>
      <c r="Q7" s="15" t="n"/>
      <c r="R7" s="134" t="n"/>
      <c r="S7" s="134" t="n"/>
      <c r="T7" s="134" t="n"/>
      <c r="U7" s="134" t="n"/>
      <c r="V7" s="134" t="n"/>
      <c r="W7" s="134" t="n"/>
      <c r="X7" s="134" t="n"/>
      <c r="Y7" s="134" t="n"/>
      <c r="Z7" s="134">
        <f>IF(R7-S7-T7&lt;0,0,R7-S7-T7)</f>
        <v/>
      </c>
    </row>
    <row r="8">
      <c r="A8" t="inlineStr">
        <is>
          <t>FC/NFC</t>
        </is>
      </c>
      <c r="G8" s="15" t="n"/>
      <c r="H8" s="109" t="n"/>
      <c r="I8" s="109" t="n"/>
      <c r="J8" s="109" t="n"/>
      <c r="K8" s="109" t="n"/>
      <c r="L8" s="109" t="n"/>
      <c r="M8" s="109" t="n"/>
      <c r="Q8" s="15" t="n"/>
      <c r="R8" s="134" t="n"/>
      <c r="S8" s="134" t="n"/>
      <c r="T8" s="134" t="n"/>
      <c r="U8" s="134" t="n"/>
      <c r="V8" s="134" t="n"/>
      <c r="W8" s="134" t="n"/>
      <c r="X8" s="134" t="n"/>
      <c r="Y8" s="134" t="n"/>
      <c r="Z8" s="134">
        <f>IF(R8-S8-T8&lt;0,0,R8-S8-T8)</f>
        <v/>
      </c>
    </row>
    <row r="9">
      <c r="A9" t="inlineStr">
        <is>
          <t>HR/CR</t>
        </is>
      </c>
      <c r="G9" s="15" t="n"/>
      <c r="H9" s="109" t="n"/>
      <c r="I9" s="109" t="n"/>
      <c r="J9" s="109" t="n"/>
      <c r="K9" s="109" t="n"/>
      <c r="L9" s="109" t="n"/>
      <c r="M9" s="109" t="n"/>
      <c r="Q9" s="15" t="n"/>
      <c r="R9" s="134" t="n"/>
      <c r="S9" s="134" t="n"/>
      <c r="T9" s="134" t="n"/>
      <c r="U9" s="134" t="n"/>
      <c r="V9" s="134" t="n"/>
      <c r="W9" s="134" t="n"/>
      <c r="X9" s="134" t="n"/>
      <c r="Y9" s="134" t="n"/>
      <c r="Z9" s="134">
        <f>IF(R9-S9-T9&lt;0,0,R9-S9-T9)</f>
        <v/>
      </c>
    </row>
    <row r="10">
      <c r="A10" t="inlineStr">
        <is>
          <t>Bucket</t>
        </is>
      </c>
      <c r="G10" s="15" t="n"/>
      <c r="H10" s="109" t="n"/>
      <c r="I10" s="109" t="n"/>
      <c r="J10" s="109" t="n"/>
      <c r="K10" s="109" t="n"/>
      <c r="L10" s="109" t="n"/>
      <c r="M10" s="109" t="n"/>
      <c r="Q10" s="15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>
        <f>IF(R10-S10-T10&lt;0,0,R10-S10-T10)</f>
        <v/>
      </c>
    </row>
    <row r="11">
      <c r="A11" t="inlineStr">
        <is>
          <t>July Schedule</t>
        </is>
      </c>
      <c r="G11" s="15" t="n"/>
      <c r="H11" s="109" t="n"/>
      <c r="I11" s="109" t="n"/>
      <c r="J11" s="109" t="n"/>
      <c r="K11" s="109" t="n"/>
      <c r="L11" s="109" t="n"/>
      <c r="M11" s="109" t="n"/>
      <c r="Q11" s="15" t="n"/>
      <c r="R11" s="134" t="n"/>
      <c r="S11" s="134" t="n"/>
      <c r="T11" s="134" t="n"/>
      <c r="U11" s="134" t="n"/>
      <c r="V11" s="134" t="n"/>
      <c r="W11" s="134" t="n"/>
      <c r="X11" s="134" t="n"/>
      <c r="Y11" s="134" t="n"/>
      <c r="Z11" s="134">
        <f>IF(R11-S11-T11&lt;0,0,R11-S11-T11)</f>
        <v/>
      </c>
    </row>
    <row r="12">
      <c r="A12" t="inlineStr">
        <is>
          <t>LL Material Code</t>
        </is>
      </c>
      <c r="G12" s="15" t="n"/>
      <c r="H12" s="109" t="n"/>
      <c r="I12" s="109" t="n"/>
      <c r="J12" s="109" t="n"/>
      <c r="K12" s="109" t="n"/>
      <c r="L12" s="109" t="n"/>
      <c r="M12" s="109" t="n"/>
      <c r="Q12" s="15" t="n"/>
      <c r="R12" s="134" t="n"/>
      <c r="S12" s="134" t="n"/>
      <c r="T12" s="134" t="n"/>
      <c r="U12" s="134" t="n"/>
      <c r="V12" s="134" t="n"/>
      <c r="W12" s="134" t="n"/>
      <c r="X12" s="134" t="n"/>
      <c r="Y12" s="134" t="n"/>
      <c r="Z12" s="134">
        <f>IF(R12-S12-T12&lt;0,0,R12-S12-T12)</f>
        <v/>
      </c>
    </row>
    <row r="13">
      <c r="A13" t="inlineStr">
        <is>
          <t>count error</t>
        </is>
      </c>
      <c r="G13" s="15" t="n"/>
      <c r="H13" s="109" t="n"/>
      <c r="I13" s="109" t="n"/>
      <c r="J13" s="109" t="n"/>
      <c r="K13" s="109" t="n"/>
      <c r="L13" s="109" t="n"/>
      <c r="M13" s="109" t="n"/>
      <c r="Q13" s="15" t="n"/>
      <c r="R13" s="134" t="n"/>
      <c r="S13" s="134" t="n"/>
      <c r="T13" s="134" t="n"/>
      <c r="U13" s="134" t="n"/>
      <c r="V13" s="134" t="n"/>
      <c r="W13" s="134" t="n"/>
      <c r="X13" s="134" t="n"/>
      <c r="Y13" s="134" t="n"/>
      <c r="Z13" s="134">
        <f>IF(R13-S13-T13&lt;0,0,R13-S13-T13)</f>
        <v/>
      </c>
    </row>
    <row r="14">
      <c r="A14" t="inlineStr">
        <is>
          <t>Correct Code</t>
        </is>
      </c>
      <c r="G14" s="15" t="n"/>
      <c r="H14" s="109" t="n"/>
      <c r="I14" s="109" t="n"/>
      <c r="J14" s="109" t="n"/>
      <c r="K14" s="109" t="n"/>
      <c r="L14" s="109" t="n"/>
      <c r="M14" s="109" t="n"/>
      <c r="Q14" s="15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>
        <f>IF(R14-S14-T14&lt;0,0,R14-S14-T14)</f>
        <v/>
      </c>
    </row>
    <row r="15">
      <c r="A15" t="inlineStr">
        <is>
          <t>Column2</t>
        </is>
      </c>
      <c r="G15" s="15" t="n"/>
      <c r="H15" s="109" t="n"/>
      <c r="I15" s="109" t="n"/>
      <c r="J15" s="109" t="n"/>
      <c r="K15" s="109" t="n"/>
      <c r="L15" s="109" t="n"/>
      <c r="M15" s="109" t="n"/>
      <c r="Q15" s="15" t="n"/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>
        <f>IF(R15-S15-T15&lt;0,0,R15-S15-T15)</f>
        <v/>
      </c>
    </row>
    <row r="16">
      <c r="A16" t="inlineStr">
        <is>
          <t>Material Description</t>
        </is>
      </c>
      <c r="G16" s="15" t="n"/>
      <c r="H16" s="109" t="n"/>
      <c r="I16" s="109" t="n"/>
      <c r="J16" s="109" t="n"/>
      <c r="K16" s="109" t="n"/>
      <c r="L16" s="109" t="n"/>
      <c r="M16" s="109" t="n"/>
      <c r="Q16" s="15" t="n"/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>
        <f>IF(R16-S16-T16&lt;0,0,R16-S16-T16)</f>
        <v/>
      </c>
    </row>
    <row r="17">
      <c r="A17" t="inlineStr">
        <is>
          <t>HR/CR Check</t>
        </is>
      </c>
      <c r="G17" s="15" t="n"/>
      <c r="H17" s="109" t="n"/>
      <c r="I17" s="109" t="n"/>
      <c r="J17" s="109" t="n"/>
      <c r="K17" s="109" t="n"/>
      <c r="L17" s="109" t="n"/>
      <c r="M17" s="109" t="n"/>
      <c r="Q17" s="15" t="n"/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>
        <f>IF(R17-S17-T17&lt;0,0,R17-S17-T17)</f>
        <v/>
      </c>
    </row>
    <row r="18">
      <c r="A18" t="inlineStr">
        <is>
          <t>Plant</t>
        </is>
      </c>
      <c r="G18" s="15" t="n"/>
      <c r="H18" s="109" t="n"/>
      <c r="I18" s="109" t="n"/>
      <c r="J18" s="109" t="n"/>
      <c r="K18" s="109" t="n"/>
      <c r="L18" s="109" t="n"/>
      <c r="M18" s="109" t="n"/>
      <c r="Q18" s="15" t="n"/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>
        <f>IF(R18-S18-T18&lt;0,0,R18-S18-T18)</f>
        <v/>
      </c>
    </row>
    <row r="19">
      <c r="A19" t="inlineStr">
        <is>
          <t>FY25 Min</t>
        </is>
      </c>
      <c r="G19" s="15" t="n"/>
      <c r="H19" s="109" t="n"/>
      <c r="I19" s="109" t="n"/>
      <c r="J19" s="109" t="n"/>
      <c r="K19" s="109" t="n"/>
      <c r="L19" s="109" t="n"/>
      <c r="M19" s="109" t="n"/>
      <c r="Q19" s="15" t="n"/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>
        <f>IF(R19-S19-T19&lt;0,0,R19-S19-T19)</f>
        <v/>
      </c>
    </row>
    <row r="20">
      <c r="A20" t="inlineStr">
        <is>
          <t>FY25 Max</t>
        </is>
      </c>
      <c r="G20" s="15" t="n"/>
      <c r="H20" s="109" t="n"/>
      <c r="I20" s="109" t="n"/>
      <c r="J20" s="109" t="n"/>
      <c r="K20" s="109" t="n"/>
      <c r="L20" s="109" t="n"/>
      <c r="M20" s="109" t="n"/>
      <c r="Q20" s="15" t="n"/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>
        <f>IF(R20-S20-T20&lt;0,0,R20-S20-T20)</f>
        <v/>
      </c>
    </row>
    <row r="21">
      <c r="A21" t="inlineStr">
        <is>
          <t>FY25 Average</t>
        </is>
      </c>
      <c r="G21" s="15" t="n"/>
      <c r="H21" s="109" t="n"/>
      <c r="I21" s="109" t="n"/>
      <c r="J21" s="109" t="n"/>
      <c r="K21" s="109" t="n"/>
      <c r="L21" s="109" t="n"/>
      <c r="M21" s="109" t="n"/>
      <c r="Q21" s="15" t="n"/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>
        <f>IF(R21-S21-T21&lt;0,0,R21-S21-T21)</f>
        <v/>
      </c>
    </row>
    <row r="22">
      <c r="A22" t="inlineStr">
        <is>
          <t>Forecast</t>
        </is>
      </c>
      <c r="G22" s="15" t="n"/>
      <c r="H22" s="109" t="n"/>
      <c r="I22" s="109" t="n"/>
      <c r="J22" s="109" t="n"/>
      <c r="K22" s="109" t="n"/>
      <c r="L22" s="109" t="n"/>
      <c r="M22" s="109" t="n"/>
      <c r="Q22" s="15" t="n"/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>
        <f>IF(R22-S22-T22&lt;0,0,R22-S22-T22)</f>
        <v/>
      </c>
    </row>
    <row r="23">
      <c r="A23" t="inlineStr">
        <is>
          <t>Difference</t>
        </is>
      </c>
      <c r="G23" s="15" t="n"/>
      <c r="H23" s="109" t="n"/>
      <c r="I23" s="109" t="n"/>
      <c r="J23" s="109" t="n"/>
      <c r="K23" s="109" t="n"/>
      <c r="L23" s="109" t="n"/>
      <c r="M23" s="109" t="n"/>
      <c r="Q23" s="15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>
        <f>IF(R23-S23-T23&lt;0,0,R23-S23-T23)</f>
        <v/>
      </c>
    </row>
    <row r="24">
      <c r="A24" t="inlineStr">
        <is>
          <t>Plant2</t>
        </is>
      </c>
      <c r="G24" s="15" t="n"/>
      <c r="H24" s="109" t="n"/>
      <c r="I24" s="109" t="n"/>
      <c r="J24" s="109" t="n"/>
      <c r="K24" s="109" t="n"/>
      <c r="L24" s="109" t="n"/>
      <c r="M24" s="109" t="n"/>
      <c r="Q24" s="15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>
        <f>IF(R24-S24-T24&lt;0,0,R24-S24-T24)</f>
        <v/>
      </c>
    </row>
    <row r="25">
      <c r="A25" t="inlineStr">
        <is>
          <t>Customer</t>
        </is>
      </c>
      <c r="G25" s="15" t="n"/>
      <c r="H25" s="109" t="n"/>
      <c r="I25" s="109" t="n"/>
      <c r="J25" s="109" t="n"/>
      <c r="K25" s="109" t="n"/>
      <c r="L25" s="109" t="n"/>
      <c r="M25" s="109" t="n"/>
      <c r="Q25" s="15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>
        <f>IF(R25-S25-T25&lt;0,0,R25-S25-T25)</f>
        <v/>
      </c>
    </row>
    <row r="26">
      <c r="A26" t="inlineStr">
        <is>
          <t>CTL Size</t>
        </is>
      </c>
      <c r="G26" s="15" t="n"/>
      <c r="H26" s="109" t="n"/>
      <c r="I26" s="109" t="n"/>
      <c r="J26" s="109" t="n"/>
      <c r="K26" s="109" t="n"/>
      <c r="L26" s="109" t="n"/>
      <c r="M26" s="109" t="n"/>
      <c r="Q26" s="15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>
        <f>IF(R26-S26-T26&lt;0,0,R26-S26-T26)</f>
        <v/>
      </c>
    </row>
    <row r="27">
      <c r="A27" t="inlineStr">
        <is>
          <t>CTL Codes</t>
        </is>
      </c>
      <c r="G27" s="15" t="n"/>
      <c r="H27" s="109" t="n"/>
      <c r="I27" s="109" t="n"/>
      <c r="J27" s="109" t="n"/>
      <c r="K27" s="109" t="n"/>
      <c r="L27" s="109" t="n"/>
      <c r="M27" s="109" t="n"/>
      <c r="Q27" s="15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>
        <f>IF(R27-S27-T27&lt;0,0,R27-S27-T27)</f>
        <v/>
      </c>
    </row>
    <row r="28">
      <c r="A28" t="inlineStr">
        <is>
          <t>Bucket2</t>
        </is>
      </c>
      <c r="G28" s="15" t="n"/>
      <c r="H28" s="109" t="n"/>
      <c r="I28" s="109" t="n"/>
      <c r="J28" s="109" t="n"/>
      <c r="K28" s="109" t="n"/>
      <c r="L28" s="109" t="n"/>
      <c r="M28" s="109" t="n"/>
      <c r="Q28" s="15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>
        <f>IF(R28-S28-T28&lt;0,0,R28-S28-T28)</f>
        <v/>
      </c>
    </row>
    <row r="29">
      <c r="A29" t="inlineStr">
        <is>
          <t>Schedule</t>
        </is>
      </c>
      <c r="G29" s="15" t="n"/>
      <c r="H29" s="109" t="n"/>
      <c r="I29" s="109" t="n"/>
      <c r="J29" s="109" t="n"/>
      <c r="K29" s="109" t="n"/>
      <c r="L29" s="109" t="n"/>
      <c r="M29" s="109" t="n"/>
      <c r="Q29" s="15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>
        <f>IF(R29-S29-T29&lt;0,0,R29-S29-T29)</f>
        <v/>
      </c>
    </row>
    <row r="30">
      <c r="A30" t="inlineStr">
        <is>
          <t>Sales</t>
        </is>
      </c>
      <c r="G30" s="15" t="n"/>
      <c r="H30" s="109" t="n"/>
      <c r="I30" s="109" t="n"/>
      <c r="J30" s="109" t="n"/>
      <c r="K30" s="109" t="n"/>
      <c r="L30" s="109" t="n"/>
      <c r="M30" s="109" t="n"/>
      <c r="Q30" s="15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>
        <f>IF(R30-S30-T30&lt;0,0,R30-S30-T30)</f>
        <v/>
      </c>
    </row>
    <row r="31">
      <c r="A31" t="inlineStr">
        <is>
          <t>Stock CTL</t>
        </is>
      </c>
      <c r="G31" s="15" t="n"/>
      <c r="H31" s="109" t="n"/>
      <c r="I31" s="109" t="n"/>
      <c r="J31" s="109" t="n"/>
      <c r="K31" s="109" t="n"/>
      <c r="L31" s="109" t="n"/>
      <c r="M31" s="109" t="n"/>
      <c r="Q31" s="15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>
        <f>IF(R31-S31-T31&lt;0,0,R31-S31-T31)</f>
        <v/>
      </c>
    </row>
    <row r="32">
      <c r="A32" t="inlineStr">
        <is>
          <t>Stock LL</t>
        </is>
      </c>
      <c r="G32" s="15" t="n"/>
      <c r="H32" s="109" t="n"/>
      <c r="I32" s="109" t="n"/>
      <c r="J32" s="109" t="n"/>
      <c r="K32" s="109" t="n"/>
      <c r="L32" s="109" t="n"/>
      <c r="M32" s="109" t="n"/>
      <c r="Q32" s="15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>
        <f>IF(R32-S32-T32&lt;0,0,R32-S32-T32)</f>
        <v/>
      </c>
    </row>
    <row r="33">
      <c r="A33" t="inlineStr">
        <is>
          <t>Stock LL Check</t>
        </is>
      </c>
      <c r="G33" s="15" t="n"/>
      <c r="H33" s="109" t="n"/>
      <c r="I33" s="109" t="n"/>
      <c r="J33" s="109" t="n"/>
      <c r="K33" s="109" t="n"/>
      <c r="L33" s="109" t="n"/>
      <c r="M33" s="109" t="n"/>
      <c r="Q33" s="15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>
        <f>IF(R33-S33-T33&lt;0,0,R33-S33-T33)</f>
        <v/>
      </c>
    </row>
    <row r="34">
      <c r="A34" t="inlineStr">
        <is>
          <t>WIP</t>
        </is>
      </c>
      <c r="G34" s="15" t="n"/>
      <c r="H34" s="109" t="n"/>
      <c r="I34" s="109" t="n"/>
      <c r="J34" s="109" t="n"/>
      <c r="K34" s="109" t="n"/>
      <c r="L34" s="109" t="n"/>
      <c r="M34" s="109" t="n"/>
      <c r="Q34" s="15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>
        <f>IF(R34-S34-T34&lt;0,0,R34-S34-T34)</f>
        <v/>
      </c>
    </row>
    <row r="35">
      <c r="A35" t="inlineStr">
        <is>
          <t>WIP Check</t>
        </is>
      </c>
      <c r="G35" s="15" t="n"/>
      <c r="H35" s="109" t="n"/>
      <c r="I35" s="109" t="n"/>
      <c r="J35" s="109" t="n"/>
      <c r="K35" s="109" t="n"/>
      <c r="L35" s="109" t="n"/>
      <c r="M35" s="109" t="n"/>
      <c r="Q35" s="15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>
        <f>IF(R35-S35-T35&lt;0,0,R35-S35-T35)</f>
        <v/>
      </c>
    </row>
    <row r="36">
      <c r="A36" t="inlineStr">
        <is>
          <t>Khopoli Stock LL</t>
        </is>
      </c>
      <c r="G36" s="15" t="n"/>
      <c r="H36" s="109" t="n"/>
      <c r="I36" s="109" t="n"/>
      <c r="J36" s="109" t="n"/>
      <c r="K36" s="109" t="n"/>
      <c r="L36" s="109" t="n"/>
      <c r="M36" s="109" t="n"/>
      <c r="Q36" s="15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>
        <f>IF(R36-S36-T36&lt;0,0,R36-S36-T36)</f>
        <v/>
      </c>
    </row>
    <row r="37">
      <c r="A37" t="inlineStr">
        <is>
          <t>Coverage Days</t>
        </is>
      </c>
      <c r="G37" s="15" t="n"/>
      <c r="H37" s="109" t="n"/>
      <c r="I37" s="109" t="n"/>
      <c r="J37" s="109" t="n"/>
      <c r="K37" s="109" t="n"/>
      <c r="L37" s="109" t="n"/>
      <c r="M37" s="109" t="n"/>
      <c r="Q37" s="15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>
        <f>IF(R37-S37-T37&lt;0,0,R37-S37-T37)</f>
        <v/>
      </c>
    </row>
    <row r="38">
      <c r="A38" t="inlineStr">
        <is>
          <t>Coverage without WIP</t>
        </is>
      </c>
      <c r="G38" s="15" t="n"/>
      <c r="H38" s="109" t="n"/>
      <c r="I38" s="109" t="n"/>
      <c r="J38" s="109" t="n"/>
      <c r="K38" s="109" t="n"/>
      <c r="L38" s="109" t="n"/>
      <c r="M38" s="109" t="n"/>
      <c r="Q38" s="15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>
        <f>IF(R38-S38-T38&lt;0,0,R38-S38-T38)</f>
        <v/>
      </c>
    </row>
    <row r="39">
      <c r="A39" t="inlineStr">
        <is>
          <t>0789 LL Stock</t>
        </is>
      </c>
      <c r="Q39" s="15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>
        <f>IF(R39-S39-T39&lt;0,0,R39-S39-T39)</f>
        <v/>
      </c>
    </row>
    <row r="40">
      <c r="A40" t="inlineStr">
        <is>
          <t>Scehdule - Sales</t>
        </is>
      </c>
      <c r="Q40" s="15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>
        <f>IF(R40-S40-T40&lt;0,0,R40-S40-T40)</f>
        <v/>
      </c>
    </row>
    <row r="41">
      <c r="A41" t="inlineStr">
        <is>
          <t>Stock Khopoli</t>
        </is>
      </c>
      <c r="Q41" s="15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>
        <f>IF(R41-S41-T41&lt;0,0,R41-S41-T41)</f>
        <v/>
      </c>
    </row>
    <row r="42">
      <c r="A42" t="inlineStr">
        <is>
          <t>Rajsriya Schedule</t>
        </is>
      </c>
      <c r="Q42" s="15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>
        <f>IF(R42-S42-T42&lt;0,0,R42-S42-T42)</f>
        <v/>
      </c>
    </row>
    <row r="43">
      <c r="A43" t="inlineStr">
        <is>
          <t>Rajsriya Sales</t>
        </is>
      </c>
      <c r="Q43" s="15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>
        <f>IF(R43-S43-T43&lt;0,0,R43-S43-T43)</f>
        <v/>
      </c>
    </row>
    <row r="44">
      <c r="A44" t="inlineStr">
        <is>
          <t>4318 Stock</t>
        </is>
      </c>
      <c r="Q44" s="15" t="n"/>
      <c r="R44" s="134" t="n"/>
      <c r="S44" s="134" t="n"/>
      <c r="T44" s="134" t="n"/>
      <c r="U44" s="134" t="n"/>
      <c r="V44" s="134" t="n"/>
      <c r="W44" s="134" t="n"/>
      <c r="X44" s="134" t="n"/>
      <c r="Y44" s="134" t="n"/>
      <c r="Z44" s="134">
        <f>IF(R44-S44-T44&lt;0,0,R44-S44-T44)</f>
        <v/>
      </c>
    </row>
    <row r="45">
      <c r="A45" t="inlineStr">
        <is>
          <t>4731 Stock CTL</t>
        </is>
      </c>
      <c r="Q45" s="15" t="n"/>
      <c r="R45" s="134" t="n"/>
      <c r="S45" s="134" t="n"/>
      <c r="T45" s="134" t="n"/>
      <c r="U45" s="134" t="n"/>
      <c r="V45" s="134" t="n"/>
      <c r="W45" s="134" t="n"/>
      <c r="X45" s="134" t="n"/>
      <c r="Y45" s="134" t="n"/>
      <c r="Z45" s="134">
        <f>IF(R45-S45-T45&lt;0,0,R45-S45-T45)</f>
        <v/>
      </c>
    </row>
    <row r="46">
      <c r="A46" t="inlineStr">
        <is>
          <t>4731 StockLL</t>
        </is>
      </c>
      <c r="Q46" s="15" t="n"/>
      <c r="R46" s="134" t="n"/>
      <c r="S46" s="134" t="n"/>
      <c r="T46" s="134" t="n"/>
      <c r="U46" s="134" t="n"/>
      <c r="V46" s="134" t="n"/>
      <c r="W46" s="134" t="n"/>
      <c r="X46" s="134" t="n"/>
      <c r="Y46" s="134" t="n"/>
      <c r="Z46" s="134">
        <f>IF(R46-S46-T46&lt;0,0,R46-S46-T46)</f>
        <v/>
      </c>
    </row>
    <row r="47">
      <c r="A47" t="inlineStr">
        <is>
          <t>8406 Stock</t>
        </is>
      </c>
      <c r="Q47" s="15" t="n"/>
      <c r="R47" s="134" t="n"/>
      <c r="S47" s="134" t="n"/>
      <c r="T47" s="134" t="n"/>
      <c r="U47" s="134" t="n"/>
      <c r="V47" s="134" t="n"/>
      <c r="W47" s="134" t="n"/>
      <c r="X47" s="134" t="n"/>
      <c r="Y47" s="134" t="n"/>
      <c r="Z47" s="134">
        <f>IF(R47-S47-T47&lt;0,0,R47-S47-T47)</f>
        <v/>
      </c>
    </row>
    <row r="48">
      <c r="Q48" s="15" t="n"/>
      <c r="R48" s="134" t="n"/>
      <c r="S48" s="134" t="n"/>
      <c r="T48" s="134" t="n"/>
      <c r="U48" s="134" t="n"/>
      <c r="V48" s="134" t="n"/>
      <c r="W48" s="134" t="n"/>
      <c r="X48" s="134" t="n"/>
      <c r="Y48" s="134" t="n"/>
      <c r="Z48" s="134">
        <f>IF(R48-S48-T48&lt;0,0,R48-S48-T48)</f>
        <v/>
      </c>
    </row>
    <row r="49">
      <c r="Q49" s="15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>
        <f>IF(R49-S49-T49&lt;0,0,R49-S49-T49)</f>
        <v/>
      </c>
    </row>
    <row r="50">
      <c r="Q50" s="15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>
        <f>IF(R50-S50-T50&lt;0,0,R50-S50-T50)</f>
        <v/>
      </c>
    </row>
    <row r="51">
      <c r="Q51" s="15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>
        <f>IF(R51-S51-T51&lt;0,0,R51-S51-T51)</f>
        <v/>
      </c>
    </row>
    <row r="52">
      <c r="Q52" s="15" t="n"/>
      <c r="R52" s="134" t="n"/>
      <c r="S52" s="134" t="n"/>
      <c r="T52" s="134" t="n"/>
      <c r="U52" s="134" t="n"/>
      <c r="V52" s="134" t="n"/>
      <c r="W52" s="134" t="n"/>
      <c r="X52" s="134" t="n"/>
      <c r="Y52" s="134" t="n"/>
      <c r="Z52" s="134">
        <f>IF(R52-S52-T52&lt;0,0,R52-S52-T52)</f>
        <v/>
      </c>
    </row>
    <row r="53">
      <c r="Q53" s="15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>
        <f>IF(R53-S53-T53&lt;0,0,R53-S53-T53)</f>
        <v/>
      </c>
    </row>
    <row r="54">
      <c r="Q54" s="15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>
        <f>IF(R54-S54-T54&lt;0,0,R54-S54-T54)</f>
        <v/>
      </c>
    </row>
    <row r="55">
      <c r="Q55" s="15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>
        <f>IF(R55-S55-T55&lt;0,0,R55-S55-T55)</f>
        <v/>
      </c>
    </row>
    <row r="56">
      <c r="Q56" s="15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>
        <f>IF(R56-S56-T56&lt;0,0,R56-S56-T56)</f>
        <v/>
      </c>
    </row>
    <row r="57">
      <c r="Q57" s="15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>
        <f>IF(R57-S57-T57&lt;0,0,R57-S57-T57)</f>
        <v/>
      </c>
    </row>
    <row r="58">
      <c r="Q58" s="15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>
        <f>IF(R58-S58-T58&lt;0,0,R58-S58-T58)</f>
        <v/>
      </c>
    </row>
  </sheetData>
  <dataValidations count="2">
    <dataValidation sqref="H3:M3 R3:Y3" showDropDown="0" showInputMessage="1" showErrorMessage="1" allowBlank="1" type="list">
      <formula1>_xlfn.ANCHORARRAY($A$3)</formula1>
    </dataValidation>
    <dataValidation sqref="G3 Q3" showDropDown="0" showInputMessage="1" showErrorMessage="1" allowBlank="1" type="list">
      <formula1>_xlfn.ANCHORARRAY(A3)</formula1>
    </dataValidation>
  </dataValidation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 codeName="Sheet45">
    <outlinePr summaryBelow="1" summaryRight="1"/>
    <pageSetUpPr/>
  </sheetPr>
  <dimension ref="A1:D34"/>
  <sheetViews>
    <sheetView workbookViewId="0">
      <selection activeCell="B4" sqref="B4"/>
    </sheetView>
  </sheetViews>
  <sheetFormatPr baseColWidth="8" defaultRowHeight="15"/>
  <cols>
    <col width="22.42578125" bestFit="1" customWidth="1" style="584" min="1" max="1"/>
    <col width="14.85546875" bestFit="1" customWidth="1" style="584" min="2" max="2"/>
    <col width="11.140625" bestFit="1" customWidth="1" style="584" min="3" max="3"/>
    <col width="16.85546875" bestFit="1" customWidth="1" style="584" min="4" max="4"/>
  </cols>
  <sheetData>
    <row r="1">
      <c r="A1" s="89" t="inlineStr">
        <is>
          <t>Bucket</t>
        </is>
      </c>
      <c r="B1" s="89" t="inlineStr">
        <is>
          <t>NMPL Schedule</t>
        </is>
      </c>
      <c r="C1" s="89" t="inlineStr">
        <is>
          <t>NMPL Sales</t>
        </is>
      </c>
      <c r="D1" s="89" t="inlineStr">
        <is>
          <t>Stock Long Length</t>
        </is>
      </c>
    </row>
    <row r="2">
      <c r="A2" s="15" t="inlineStr">
        <is>
          <t>12.7-0-1.6-ERW 1-PE</t>
        </is>
      </c>
      <c r="B2" s="72" t="n">
        <v>1.269728112</v>
      </c>
      <c r="C2" s="72" t="n">
        <v>0.310976</v>
      </c>
      <c r="D2" s="72" t="n">
        <v>4.417280000000001</v>
      </c>
    </row>
    <row r="3">
      <c r="A3" s="15" t="inlineStr">
        <is>
          <t>15.88-0-1-ERW 1-PE</t>
        </is>
      </c>
      <c r="B3" s="72" t="n">
        <v>17.57220872928001</v>
      </c>
      <c r="C3" s="72" t="n">
        <v>0.408</v>
      </c>
      <c r="D3" s="72" t="n">
        <v>3.278</v>
      </c>
    </row>
    <row r="4">
      <c r="A4" s="15" t="inlineStr">
        <is>
          <t>17.3-0-1.2-ERW 1-PE</t>
        </is>
      </c>
      <c r="B4" s="72" t="n">
        <v>2.14333182</v>
      </c>
      <c r="C4" s="72" t="n">
        <v>0.284</v>
      </c>
      <c r="D4" s="72" t="n">
        <v>31.31291999999999</v>
      </c>
    </row>
    <row r="5">
      <c r="A5" s="15" t="inlineStr">
        <is>
          <t>18.2-0-1-ERW 1-PE</t>
        </is>
      </c>
      <c r="B5" s="72" t="n">
        <v>3.01062436</v>
      </c>
      <c r="C5" s="72" t="n">
        <v>0.7538</v>
      </c>
      <c r="D5" s="72" t="n">
        <v>13.471126</v>
      </c>
    </row>
    <row r="6">
      <c r="A6" s="15" t="inlineStr">
        <is>
          <t>19.05-0-1-ERW 1-PE</t>
        </is>
      </c>
      <c r="B6" s="72" t="n">
        <v>2.9235622905</v>
      </c>
      <c r="C6" s="72" t="n">
        <v>0.3479</v>
      </c>
      <c r="D6" s="72" t="n">
        <v>10.071</v>
      </c>
    </row>
    <row r="7">
      <c r="A7" s="15" t="inlineStr">
        <is>
          <t>19.05-0-1.2-ERW 1-PE</t>
        </is>
      </c>
      <c r="B7" s="72" t="n">
        <v>3.93542125515</v>
      </c>
      <c r="C7" s="72" t="n">
        <v>2.423</v>
      </c>
      <c r="D7" s="72" t="n">
        <v>26.135</v>
      </c>
    </row>
    <row r="8">
      <c r="A8" s="15" t="inlineStr">
        <is>
          <t>19.05-0-2.3-ERW 1-PE</t>
        </is>
      </c>
      <c r="B8" s="72" t="n">
        <v>2.9936335124</v>
      </c>
      <c r="C8" s="72" t="n">
        <v>0</v>
      </c>
      <c r="D8" s="72" t="n">
        <v>17.030237</v>
      </c>
    </row>
    <row r="9">
      <c r="A9" s="15" t="inlineStr">
        <is>
          <t>20-12.4-3.8-CEW-CEW</t>
        </is>
      </c>
      <c r="B9" s="72" t="n">
        <v>18.95834239056</v>
      </c>
      <c r="C9" s="72" t="n">
        <v>6.096058999999999</v>
      </c>
      <c r="D9" s="72" t="n">
        <v>21.868313</v>
      </c>
    </row>
    <row r="10">
      <c r="A10" s="15" t="inlineStr">
        <is>
          <t>20-12.4-4.5-CEW-CEW</t>
        </is>
      </c>
      <c r="B10" s="72" t="n">
        <v>6.01944535305</v>
      </c>
      <c r="C10" s="72" t="n">
        <v>0</v>
      </c>
      <c r="D10" s="72" t="n">
        <v>16.020093</v>
      </c>
    </row>
    <row r="11">
      <c r="A11" s="15" t="inlineStr">
        <is>
          <t>20-17.16-1.42-CEW-CEW</t>
        </is>
      </c>
      <c r="B11" s="72" t="n">
        <v>0.7102749007536</v>
      </c>
      <c r="C11" s="72" t="n">
        <v>0</v>
      </c>
      <c r="D11" s="72" t="n">
        <v>1.80924</v>
      </c>
    </row>
    <row r="12">
      <c r="A12" s="15" t="inlineStr">
        <is>
          <t>21.75-0-3.5-CEW-CEW</t>
        </is>
      </c>
      <c r="B12" s="72" t="n">
        <v>0.7936540290000001</v>
      </c>
      <c r="C12" s="72" t="n">
        <v>0</v>
      </c>
      <c r="D12" s="72" t="n">
        <v>4.529</v>
      </c>
    </row>
    <row r="13">
      <c r="A13" s="15" t="inlineStr">
        <is>
          <t>22.23-0-1.2-ERW 1-PE</t>
        </is>
      </c>
      <c r="B13" s="72" t="n">
        <v>0.34840014048</v>
      </c>
      <c r="C13" s="72" t="n">
        <v>0.6786</v>
      </c>
      <c r="D13" s="72" t="n">
        <v>31.870632</v>
      </c>
    </row>
    <row r="14">
      <c r="A14" s="15" t="inlineStr">
        <is>
          <t>22.23-0-1.6-ERW 1-PE</t>
        </is>
      </c>
      <c r="B14" s="72" t="n">
        <v>22.19899699072</v>
      </c>
      <c r="C14" s="72" t="n">
        <v>4.971869</v>
      </c>
      <c r="D14" s="72" t="n">
        <v>126.711981</v>
      </c>
    </row>
    <row r="15">
      <c r="A15" s="15" t="inlineStr">
        <is>
          <t>22.23-0-2-ERW 1-PE</t>
        </is>
      </c>
      <c r="B15" s="72" t="n">
        <v>18.43705766392</v>
      </c>
      <c r="C15" s="72" t="n">
        <v>4.20311</v>
      </c>
      <c r="D15" s="72" t="n">
        <v>45.41717999999999</v>
      </c>
    </row>
    <row r="16">
      <c r="A16" s="15" t="inlineStr">
        <is>
          <t>25.4-0-1.2-ERW 1-PE</t>
        </is>
      </c>
      <c r="B16" s="72" t="n">
        <v>5.4445953276</v>
      </c>
      <c r="C16" s="72" t="n">
        <v>0.790088</v>
      </c>
      <c r="D16" s="72" t="n">
        <v>0.275</v>
      </c>
    </row>
    <row r="17">
      <c r="A17" s="15" t="inlineStr">
        <is>
          <t>25.4-0-2-ERW 1-PE</t>
        </is>
      </c>
      <c r="B17" s="72" t="n">
        <v>3.8027942784</v>
      </c>
      <c r="C17" s="72" t="n">
        <v>0</v>
      </c>
      <c r="D17" s="72" t="n">
        <v>0</v>
      </c>
    </row>
    <row r="18">
      <c r="A18" s="15" t="inlineStr">
        <is>
          <t>25.4-19-3.2-CEW-CEW</t>
        </is>
      </c>
      <c r="B18" s="72" t="n">
        <v>8.763750996480001</v>
      </c>
      <c r="C18" s="72" t="n">
        <v>0</v>
      </c>
      <c r="D18" s="72" t="n">
        <v>33.09881500000001</v>
      </c>
    </row>
    <row r="19">
      <c r="A19" s="15" t="inlineStr">
        <is>
          <t>28.58-0-1.6-ERW 1-PE</t>
        </is>
      </c>
      <c r="B19" s="72" t="n">
        <v>0.089926649488</v>
      </c>
      <c r="C19" s="72" t="n">
        <v>0</v>
      </c>
      <c r="D19" s="72" t="n">
        <v>0</v>
      </c>
    </row>
    <row r="20">
      <c r="A20" s="15" t="inlineStr">
        <is>
          <t>31.75-0-1.2-ERW 1-PE</t>
        </is>
      </c>
      <c r="B20" s="72" t="n">
        <v>4.5414893745</v>
      </c>
      <c r="C20" s="72" t="n">
        <v>8.195379000000001</v>
      </c>
      <c r="D20" s="72" t="n">
        <v>10.765817</v>
      </c>
    </row>
    <row r="21">
      <c r="A21" s="15" t="inlineStr">
        <is>
          <t>37.95-32-2.95-CEW-CEW</t>
        </is>
      </c>
      <c r="B21" s="72" t="n">
        <v>2.392696915</v>
      </c>
      <c r="C21" s="72" t="n">
        <v>0</v>
      </c>
      <c r="D21" s="72" t="n">
        <v>0</v>
      </c>
    </row>
    <row r="22">
      <c r="A22" s="15" t="inlineStr">
        <is>
          <t>38.1-0-1.6-ERW 1-FC</t>
        </is>
      </c>
      <c r="B22" s="72" t="n">
        <v>5.381010310000001</v>
      </c>
      <c r="C22" s="72" t="n">
        <v>3.097479</v>
      </c>
      <c r="D22" s="72" t="n">
        <v>4.432514</v>
      </c>
    </row>
    <row r="23">
      <c r="A23" s="15" t="inlineStr">
        <is>
          <t>38.1-0-2-ERW 1-FC</t>
        </is>
      </c>
      <c r="B23" s="72" t="n">
        <v>20.1525554052</v>
      </c>
      <c r="C23" s="72" t="n">
        <v>4.263294</v>
      </c>
      <c r="D23" s="72" t="n">
        <v>48.79442</v>
      </c>
    </row>
    <row r="24">
      <c r="A24" s="15" t="inlineStr">
        <is>
          <t>38.1-0-2-ERW 1-PE</t>
        </is>
      </c>
      <c r="B24" s="72" t="n">
        <v>4.335949917600001</v>
      </c>
      <c r="C24" s="72" t="n">
        <v>18.748024</v>
      </c>
      <c r="D24" s="72" t="n">
        <v>0.515</v>
      </c>
    </row>
    <row r="25">
      <c r="A25" s="15" t="inlineStr">
        <is>
          <t>42.7-0-3.5-ERW 1-FC</t>
        </is>
      </c>
      <c r="B25" s="72" t="n">
        <v>21.30906708</v>
      </c>
      <c r="C25" s="72" t="n">
        <v>10.584557</v>
      </c>
      <c r="D25" s="72" t="n">
        <v>43.47385000000001</v>
      </c>
    </row>
    <row r="26">
      <c r="A26" s="15" t="inlineStr">
        <is>
          <t>48.6-0-3.5-ERW 1-FC</t>
        </is>
      </c>
      <c r="B26" s="72" t="n">
        <v>7.627293058</v>
      </c>
      <c r="C26" s="72" t="n">
        <v>0.534092</v>
      </c>
      <c r="D26" s="72" t="n">
        <v>51.42018400000001</v>
      </c>
    </row>
    <row r="27">
      <c r="A27" s="15" t="inlineStr">
        <is>
          <t>50-50-1.6-ERW 2-PE</t>
        </is>
      </c>
      <c r="B27" s="72" t="n">
        <v>5.659610904639999</v>
      </c>
      <c r="C27" s="72" t="n">
        <v>1.30657</v>
      </c>
      <c r="D27" s="72" t="n">
        <v>16.184</v>
      </c>
    </row>
    <row r="28">
      <c r="A28" s="15" t="inlineStr">
        <is>
          <t>50-30-2-ERW 1-FC</t>
        </is>
      </c>
      <c r="B28" s="72" t="n">
        <v>7.904146248</v>
      </c>
      <c r="C28" s="72" t="n">
        <v>8.790001</v>
      </c>
      <c r="D28" s="72" t="n">
        <v>19.989</v>
      </c>
    </row>
    <row r="29">
      <c r="A29" s="15" t="inlineStr">
        <is>
          <t>50.8-0-1.6-ERW 1-FC</t>
        </is>
      </c>
      <c r="B29" s="72" t="n">
        <v>4.4829804096</v>
      </c>
      <c r="C29" s="72" t="n">
        <v>1.565116</v>
      </c>
      <c r="D29" s="72" t="n">
        <v>23.613</v>
      </c>
    </row>
    <row r="30">
      <c r="A30" s="15" t="inlineStr">
        <is>
          <t>54-0-3-ERW 2-FC</t>
        </is>
      </c>
      <c r="B30" s="72" t="n">
        <v>8.599952520000002</v>
      </c>
      <c r="C30" s="72" t="n">
        <v>4.763251</v>
      </c>
      <c r="D30" s="72" t="n">
        <v>58.449952</v>
      </c>
    </row>
    <row r="31">
      <c r="A31" s="15" t="inlineStr">
        <is>
          <t>57.15-0-2.3-ERW 2-FC</t>
        </is>
      </c>
      <c r="B31" s="72" t="n">
        <v>63.679281427125</v>
      </c>
      <c r="C31" s="72" t="n">
        <v>41.508895</v>
      </c>
      <c r="D31" s="72" t="n">
        <v>79.23327999999999</v>
      </c>
    </row>
    <row r="32">
      <c r="A32" s="15" t="inlineStr">
        <is>
          <t>63.5-0-4-ERW 1-FC</t>
        </is>
      </c>
      <c r="B32" s="72" t="n">
        <v>11.770032484</v>
      </c>
      <c r="C32" s="72" t="n">
        <v>6.897928000000001</v>
      </c>
      <c r="D32" s="72" t="n">
        <v>42.628486</v>
      </c>
    </row>
    <row r="33">
      <c r="A33" s="15" t="inlineStr">
        <is>
          <t>70-0-3.2-ERW 2-FC</t>
        </is>
      </c>
      <c r="B33" s="72" t="n">
        <v>5.1644287744</v>
      </c>
      <c r="C33" s="72" t="n">
        <v>2.656466</v>
      </c>
      <c r="D33" s="72" t="n">
        <v>45.70148999999999</v>
      </c>
    </row>
    <row r="34">
      <c r="B34" s="43">
        <f>SUM(B2:B33)</f>
        <v/>
      </c>
      <c r="C34" s="43">
        <f>SUM(C2:C33)</f>
        <v/>
      </c>
      <c r="D34" s="43" t="n"/>
    </row>
  </sheetData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 codeName="Sheet46">
    <outlinePr summaryBelow="1" summaryRight="1"/>
    <pageSetUpPr/>
  </sheetPr>
  <dimension ref="A1:T82"/>
  <sheetViews>
    <sheetView workbookViewId="0">
      <selection activeCell="B55" sqref="B55:I82"/>
    </sheetView>
  </sheetViews>
  <sheetFormatPr baseColWidth="8" defaultRowHeight="15"/>
  <cols>
    <col width="11.140625" bestFit="1" customWidth="1" style="584" min="1" max="1"/>
    <col width="6" bestFit="1" customWidth="1" style="584" min="2" max="2"/>
    <col width="5" bestFit="1" customWidth="1" style="584" min="3" max="3"/>
    <col width="9.28515625" bestFit="1" customWidth="1" style="584" min="4" max="4"/>
    <col width="12.140625" bestFit="1" customWidth="1" style="584" min="5" max="5"/>
    <col width="7.5703125" bestFit="1" customWidth="1" style="584" min="6" max="6"/>
    <col width="5.5703125" bestFit="1" customWidth="1" style="584" min="7" max="7"/>
    <col width="5.5703125" bestFit="1" customWidth="1" style="584" min="9" max="9"/>
    <col width="7.85546875" bestFit="1" customWidth="1" style="584" min="11" max="11"/>
    <col width="6" bestFit="1" customWidth="1" style="584" min="12" max="12"/>
    <col width="14" bestFit="1" customWidth="1" style="584" min="13" max="13"/>
  </cols>
  <sheetData>
    <row r="1">
      <c r="A1" s="71" t="inlineStr">
        <is>
          <t>ACTUAL OD</t>
        </is>
      </c>
      <c r="B1" s="71" t="inlineStr">
        <is>
          <t>OD</t>
        </is>
      </c>
      <c r="C1" s="71" t="inlineStr">
        <is>
          <t>ID</t>
        </is>
      </c>
      <c r="D1" s="71" t="inlineStr">
        <is>
          <t>TICKNESS</t>
        </is>
      </c>
      <c r="E1" s="71" t="inlineStr">
        <is>
          <t>GRADE</t>
        </is>
      </c>
      <c r="F1" s="71" t="inlineStr">
        <is>
          <t>FC/NFC</t>
        </is>
      </c>
      <c r="G1" s="71" t="inlineStr">
        <is>
          <t>Plant</t>
        </is>
      </c>
      <c r="H1" s="71" t="inlineStr">
        <is>
          <t>Schedule</t>
        </is>
      </c>
      <c r="I1" s="71" t="inlineStr">
        <is>
          <t>Sales</t>
        </is>
      </c>
      <c r="J1" s="71" t="inlineStr">
        <is>
          <t>Stock CTL</t>
        </is>
      </c>
      <c r="K1" s="71" t="inlineStr">
        <is>
          <t>Stock LL</t>
        </is>
      </c>
      <c r="L1" s="71" t="inlineStr">
        <is>
          <t>WIP</t>
        </is>
      </c>
      <c r="M1" s="71" t="inlineStr">
        <is>
          <t>Coverage Days</t>
        </is>
      </c>
    </row>
    <row r="2">
      <c r="A2" s="15" t="n">
        <v>14</v>
      </c>
      <c r="B2" s="15" t="n">
        <v>14</v>
      </c>
      <c r="C2" s="15" t="n">
        <v>10.1</v>
      </c>
      <c r="D2" s="15" t="n">
        <v>1.95</v>
      </c>
      <c r="E2" s="15" t="inlineStr">
        <is>
          <t>CEW</t>
        </is>
      </c>
      <c r="F2" s="15" t="inlineStr">
        <is>
          <t>CEW</t>
        </is>
      </c>
      <c r="G2" s="61" t="inlineStr">
        <is>
          <t>0788</t>
        </is>
      </c>
      <c r="H2" s="72" t="n">
        <v>1</v>
      </c>
      <c r="I2" s="72" t="n">
        <v>0</v>
      </c>
      <c r="J2" s="72" t="n">
        <v>0</v>
      </c>
      <c r="K2" s="72" t="n">
        <v>0</v>
      </c>
      <c r="L2" s="72" t="n">
        <v>0</v>
      </c>
      <c r="M2" s="72" t="n">
        <v>0</v>
      </c>
    </row>
    <row r="3">
      <c r="A3" s="15" t="n">
        <v>15.88</v>
      </c>
      <c r="B3" s="15" t="n">
        <v>15.88</v>
      </c>
      <c r="C3" s="15" t="n">
        <v>0</v>
      </c>
      <c r="D3" s="15" t="n">
        <v>1</v>
      </c>
      <c r="E3" s="15" t="inlineStr">
        <is>
          <t>ERW 1</t>
        </is>
      </c>
      <c r="F3" s="15" t="inlineStr">
        <is>
          <t>PE</t>
        </is>
      </c>
      <c r="G3" s="61" t="inlineStr">
        <is>
          <t>0789</t>
        </is>
      </c>
      <c r="H3" s="72" t="n">
        <v>2.2340351376</v>
      </c>
      <c r="I3" s="72" t="n">
        <v>2.294513</v>
      </c>
      <c r="J3" s="72" t="n">
        <v>0.25711</v>
      </c>
      <c r="K3" s="72" t="n">
        <v>0</v>
      </c>
      <c r="L3" s="15" t="n">
        <v>0</v>
      </c>
      <c r="M3" s="72" t="n">
        <v>0</v>
      </c>
    </row>
    <row r="4">
      <c r="A4" s="15" t="n">
        <v>22.23</v>
      </c>
      <c r="B4" s="15" t="n">
        <v>22.23</v>
      </c>
      <c r="C4" s="15" t="n">
        <v>0</v>
      </c>
      <c r="D4" s="15" t="n">
        <v>2</v>
      </c>
      <c r="E4" s="15" t="inlineStr">
        <is>
          <t>ERW 2</t>
        </is>
      </c>
      <c r="F4" s="15" t="inlineStr">
        <is>
          <t>FC</t>
        </is>
      </c>
      <c r="G4" s="61" t="inlineStr">
        <is>
          <t>0789</t>
        </is>
      </c>
      <c r="H4" s="72" t="n">
        <v>5</v>
      </c>
      <c r="I4" s="72" t="n">
        <v>4.927675</v>
      </c>
      <c r="J4" s="72" t="n">
        <v>0</v>
      </c>
      <c r="K4" s="72" t="n">
        <v>0</v>
      </c>
      <c r="L4" s="72" t="n">
        <v>0</v>
      </c>
      <c r="M4" s="72" t="n">
        <v>0</v>
      </c>
    </row>
    <row r="5">
      <c r="A5" s="15" t="n">
        <v>25.4</v>
      </c>
      <c r="B5" s="15" t="n">
        <v>25.4</v>
      </c>
      <c r="C5" s="15" t="n">
        <v>0</v>
      </c>
      <c r="D5" s="15" t="n">
        <v>1.2</v>
      </c>
      <c r="E5" s="15" t="inlineStr">
        <is>
          <t>ERW 1</t>
        </is>
      </c>
      <c r="F5" s="15" t="inlineStr">
        <is>
          <t>PE</t>
        </is>
      </c>
      <c r="G5" s="61" t="inlineStr">
        <is>
          <t>0789</t>
        </is>
      </c>
      <c r="H5" s="72" t="n">
        <v>1.81</v>
      </c>
      <c r="I5" s="72" t="n">
        <v>2.737625</v>
      </c>
      <c r="J5" s="72" t="n">
        <v>0.45732</v>
      </c>
      <c r="K5" s="72" t="n">
        <v>0</v>
      </c>
      <c r="L5" s="72" t="n">
        <v>0</v>
      </c>
      <c r="M5" s="72" t="n">
        <v>0</v>
      </c>
    </row>
    <row r="6">
      <c r="A6" s="15" t="n">
        <v>25.4</v>
      </c>
      <c r="B6" s="15" t="n">
        <v>25.4</v>
      </c>
      <c r="C6" s="15" t="n">
        <v>0</v>
      </c>
      <c r="D6" s="15" t="n">
        <v>2</v>
      </c>
      <c r="E6" s="15" t="inlineStr">
        <is>
          <t>ERW 1</t>
        </is>
      </c>
      <c r="F6" s="15" t="inlineStr">
        <is>
          <t>PE</t>
        </is>
      </c>
      <c r="G6" s="61" t="inlineStr">
        <is>
          <t>0789</t>
        </is>
      </c>
      <c r="H6" s="72" t="n">
        <v>10.5811366284</v>
      </c>
      <c r="I6" s="72" t="n">
        <v>0</v>
      </c>
      <c r="J6" s="72" t="n">
        <v>0</v>
      </c>
      <c r="K6" s="72" t="n">
        <v>1.633278</v>
      </c>
      <c r="L6" s="72" t="n">
        <v>0</v>
      </c>
      <c r="M6" s="72" t="n">
        <v>4.630725575217259</v>
      </c>
    </row>
    <row r="7">
      <c r="A7" s="15" t="n">
        <v>28.58</v>
      </c>
      <c r="B7" s="15" t="n">
        <v>28.58</v>
      </c>
      <c r="C7" s="15" t="n">
        <v>0</v>
      </c>
      <c r="D7" s="15" t="n">
        <v>1.2</v>
      </c>
      <c r="E7" s="15" t="inlineStr">
        <is>
          <t>ERW 1</t>
        </is>
      </c>
      <c r="F7" s="15" t="inlineStr">
        <is>
          <t>PE</t>
        </is>
      </c>
      <c r="G7" s="61" t="inlineStr">
        <is>
          <t>0789</t>
        </is>
      </c>
      <c r="H7" s="72" t="n">
        <v>2.409746929799999</v>
      </c>
      <c r="I7" s="72" t="n">
        <v>3.809728</v>
      </c>
      <c r="J7" s="72" t="n">
        <v>3.292623</v>
      </c>
      <c r="K7" s="72" t="n">
        <v>0</v>
      </c>
      <c r="L7" s="72" t="n">
        <v>0.899</v>
      </c>
      <c r="M7" s="72" t="n">
        <v>11.1920466279994</v>
      </c>
    </row>
    <row r="8">
      <c r="A8" s="15" t="n">
        <v>28.58</v>
      </c>
      <c r="B8" s="15" t="n">
        <v>28.58</v>
      </c>
      <c r="C8" s="15" t="n">
        <v>0</v>
      </c>
      <c r="D8" s="15" t="n">
        <v>1.6</v>
      </c>
      <c r="E8" s="15" t="inlineStr">
        <is>
          <t>ERW 1</t>
        </is>
      </c>
      <c r="F8" s="15" t="inlineStr">
        <is>
          <t>PE</t>
        </is>
      </c>
      <c r="G8" s="61" t="inlineStr">
        <is>
          <t>0789</t>
        </is>
      </c>
      <c r="H8" s="72" t="n">
        <v>0.089926649488</v>
      </c>
      <c r="I8" s="72" t="n">
        <v>0</v>
      </c>
      <c r="J8" s="72" t="n">
        <v>0</v>
      </c>
      <c r="K8" s="72" t="n">
        <v>0</v>
      </c>
      <c r="L8" s="72" t="n">
        <v>0</v>
      </c>
      <c r="M8" s="72" t="n">
        <v>0</v>
      </c>
    </row>
    <row r="9">
      <c r="A9" s="15" t="n">
        <v>29.28</v>
      </c>
      <c r="B9" s="15" t="n">
        <v>29.28</v>
      </c>
      <c r="C9" s="15" t="n">
        <v>0</v>
      </c>
      <c r="D9" s="15" t="n">
        <v>3.4</v>
      </c>
      <c r="E9" s="15" t="inlineStr">
        <is>
          <t>CEW</t>
        </is>
      </c>
      <c r="F9" s="15" t="inlineStr">
        <is>
          <t>CEW</t>
        </is>
      </c>
      <c r="G9" s="61" t="inlineStr">
        <is>
          <t>0788</t>
        </is>
      </c>
      <c r="H9" s="72" t="n">
        <v>5</v>
      </c>
      <c r="I9" s="72" t="n">
        <v>0</v>
      </c>
      <c r="J9" s="72" t="n">
        <v>0</v>
      </c>
      <c r="K9" s="72" t="n">
        <v>0</v>
      </c>
      <c r="L9" s="72" t="n">
        <v>0</v>
      </c>
      <c r="M9" s="72" t="n">
        <v>0</v>
      </c>
    </row>
    <row r="10">
      <c r="A10" s="15" t="n">
        <v>31.75</v>
      </c>
      <c r="B10" s="15" t="n">
        <v>31.75</v>
      </c>
      <c r="C10" s="15" t="n">
        <v>0</v>
      </c>
      <c r="D10" s="15" t="n">
        <v>2.5</v>
      </c>
      <c r="E10" s="15" t="inlineStr">
        <is>
          <t>ERW 1</t>
        </is>
      </c>
      <c r="F10" s="15" t="inlineStr">
        <is>
          <t>FC</t>
        </is>
      </c>
      <c r="G10" s="61" t="inlineStr">
        <is>
          <t>0789</t>
        </is>
      </c>
      <c r="H10" s="72" t="n">
        <v>12.62285987625</v>
      </c>
      <c r="I10" s="72" t="n">
        <v>10.141773</v>
      </c>
      <c r="J10" s="72" t="n">
        <v>0</v>
      </c>
      <c r="K10" s="72" t="n">
        <v>3.579707</v>
      </c>
      <c r="L10" s="72" t="n">
        <v>0</v>
      </c>
      <c r="M10" s="72" t="n">
        <v>8.507676632143982</v>
      </c>
    </row>
    <row r="11">
      <c r="A11" s="15" t="n">
        <v>33.3</v>
      </c>
      <c r="B11" s="15" t="n">
        <v>33.3</v>
      </c>
      <c r="C11" s="15" t="n">
        <v>29.3</v>
      </c>
      <c r="D11" s="15" t="n">
        <v>2</v>
      </c>
      <c r="E11" s="15" t="inlineStr">
        <is>
          <t>CEW</t>
        </is>
      </c>
      <c r="F11" s="15" t="inlineStr">
        <is>
          <t>CEW</t>
        </is>
      </c>
      <c r="G11" s="61" t="inlineStr">
        <is>
          <t>0788</t>
        </is>
      </c>
      <c r="H11" s="72" t="n">
        <v>1.5486792723</v>
      </c>
      <c r="I11" s="72" t="n">
        <v>0</v>
      </c>
      <c r="J11" s="72" t="n">
        <v>0</v>
      </c>
      <c r="K11" s="72" t="n">
        <v>0</v>
      </c>
      <c r="L11" s="72" t="n">
        <v>0</v>
      </c>
      <c r="M11" s="72" t="n">
        <v>0</v>
      </c>
    </row>
    <row r="12">
      <c r="A12" s="15" t="n">
        <v>34.93</v>
      </c>
      <c r="B12" s="15" t="n">
        <v>34.93</v>
      </c>
      <c r="C12" s="15" t="n">
        <v>0</v>
      </c>
      <c r="D12" s="15" t="n">
        <v>1.2</v>
      </c>
      <c r="E12" s="15" t="inlineStr">
        <is>
          <t>ERW 1</t>
        </is>
      </c>
      <c r="F12" s="15" t="inlineStr">
        <is>
          <t>FC</t>
        </is>
      </c>
      <c r="G12" s="61" t="inlineStr">
        <is>
          <t>0789</t>
        </is>
      </c>
      <c r="H12" s="72" t="n">
        <v>1.16749014876</v>
      </c>
      <c r="I12" s="72" t="n">
        <v>0</v>
      </c>
      <c r="J12" s="72" t="n">
        <v>0</v>
      </c>
      <c r="K12" s="72" t="n">
        <v>0</v>
      </c>
      <c r="L12" s="72" t="n">
        <v>0</v>
      </c>
      <c r="M12" s="72" t="n">
        <v>0</v>
      </c>
    </row>
    <row r="13">
      <c r="A13" s="15" t="n">
        <v>38.1</v>
      </c>
      <c r="B13" s="15" t="n">
        <v>38.1</v>
      </c>
      <c r="C13" s="15" t="n">
        <v>0</v>
      </c>
      <c r="D13" s="15" t="n">
        <v>1.6</v>
      </c>
      <c r="E13" s="15" t="inlineStr">
        <is>
          <t>ERW 2 MAHS</t>
        </is>
      </c>
      <c r="F13" s="15" t="inlineStr">
        <is>
          <t>FC</t>
        </is>
      </c>
      <c r="G13" s="61" t="inlineStr">
        <is>
          <t>0789</t>
        </is>
      </c>
      <c r="H13" s="72" t="n">
        <v>16</v>
      </c>
      <c r="I13" s="72" t="n">
        <v>8.570590000000003</v>
      </c>
      <c r="J13" s="72" t="n">
        <v>0.08739</v>
      </c>
      <c r="K13" s="72" t="n">
        <v>0</v>
      </c>
      <c r="L13" s="72" t="n">
        <v>7.008</v>
      </c>
      <c r="M13" s="72" t="n">
        <v>13.14</v>
      </c>
    </row>
    <row r="14">
      <c r="A14" s="15" t="n">
        <v>38.1</v>
      </c>
      <c r="B14" s="15" t="n">
        <v>38.1</v>
      </c>
      <c r="C14" s="15" t="n">
        <v>0</v>
      </c>
      <c r="D14" s="15" t="n">
        <v>2</v>
      </c>
      <c r="E14" s="15" t="inlineStr">
        <is>
          <t>ERW 1</t>
        </is>
      </c>
      <c r="F14" s="15" t="inlineStr">
        <is>
          <t>PE</t>
        </is>
      </c>
      <c r="G14" s="61" t="inlineStr">
        <is>
          <t>0789</t>
        </is>
      </c>
      <c r="H14" s="72" t="n">
        <v>3.613291598</v>
      </c>
      <c r="I14" s="72" t="n">
        <v>10.262</v>
      </c>
      <c r="J14" s="72" t="n">
        <v>0.585357</v>
      </c>
      <c r="K14" s="72" t="n">
        <v>0</v>
      </c>
      <c r="L14" s="72" t="n">
        <v>0.515</v>
      </c>
      <c r="M14" s="72" t="n">
        <v>4.275879646290313</v>
      </c>
    </row>
    <row r="15">
      <c r="A15" s="15" t="n">
        <v>38.1</v>
      </c>
      <c r="B15" s="15" t="n">
        <v>38.1</v>
      </c>
      <c r="C15" s="15" t="n">
        <v>0</v>
      </c>
      <c r="D15" s="15" t="n">
        <v>2.5</v>
      </c>
      <c r="E15" s="15" t="inlineStr">
        <is>
          <t>ERW 2 MAHS</t>
        </is>
      </c>
      <c r="F15" s="15" t="inlineStr">
        <is>
          <t>FC</t>
        </is>
      </c>
      <c r="G15" s="61" t="inlineStr">
        <is>
          <t>056</t>
        </is>
      </c>
      <c r="H15" s="72" t="n">
        <v>25</v>
      </c>
      <c r="I15" s="72" t="n">
        <v>13.8825</v>
      </c>
      <c r="J15" s="72" t="n">
        <v>0.099136</v>
      </c>
      <c r="K15" s="72" t="n">
        <v>10.609976</v>
      </c>
      <c r="L15" s="72" t="n">
        <v>0</v>
      </c>
      <c r="M15" s="62" t="n">
        <v>12.7319712</v>
      </c>
    </row>
    <row r="16">
      <c r="A16" s="15" t="n">
        <v>41.28</v>
      </c>
      <c r="B16" s="15" t="n">
        <v>40</v>
      </c>
      <c r="C16" s="15" t="n">
        <v>25</v>
      </c>
      <c r="D16" s="15" t="n">
        <v>1.6</v>
      </c>
      <c r="E16" s="15" t="inlineStr">
        <is>
          <t>CRFH</t>
        </is>
      </c>
      <c r="F16" s="15" t="inlineStr">
        <is>
          <t>FC</t>
        </is>
      </c>
      <c r="G16" s="61" t="inlineStr">
        <is>
          <t>0789</t>
        </is>
      </c>
      <c r="H16" s="72" t="n">
        <v>21</v>
      </c>
      <c r="I16" s="72" t="n">
        <v>0</v>
      </c>
      <c r="J16" s="72" t="n">
        <v>0</v>
      </c>
      <c r="K16" s="72" t="n">
        <v>0</v>
      </c>
      <c r="L16" s="72" t="n">
        <v>0</v>
      </c>
      <c r="M16" s="72" t="n">
        <v>0</v>
      </c>
    </row>
    <row r="17">
      <c r="A17" s="15" t="n">
        <v>44.45</v>
      </c>
      <c r="B17" s="15" t="n">
        <v>40</v>
      </c>
      <c r="C17" s="15" t="n">
        <v>30</v>
      </c>
      <c r="D17" s="15" t="n">
        <v>2</v>
      </c>
      <c r="E17" s="15" t="inlineStr">
        <is>
          <t>ERW 1</t>
        </is>
      </c>
      <c r="F17" s="15" t="inlineStr">
        <is>
          <t>FC</t>
        </is>
      </c>
      <c r="G17" s="61" t="inlineStr">
        <is>
          <t>0789</t>
        </is>
      </c>
      <c r="H17" s="72" t="n">
        <v>24.0113514384</v>
      </c>
      <c r="I17" s="72" t="n">
        <v>17.13126</v>
      </c>
      <c r="J17" s="72" t="n">
        <v>3.604691</v>
      </c>
      <c r="K17" s="72" t="n">
        <v>1.3002</v>
      </c>
      <c r="L17" s="15" t="n">
        <v>5.319</v>
      </c>
      <c r="M17" s="72" t="n">
        <v>8.27008844168715</v>
      </c>
    </row>
    <row r="18">
      <c r="A18" s="15" t="n">
        <v>57.15</v>
      </c>
      <c r="B18" s="15" t="n">
        <v>57.15</v>
      </c>
      <c r="C18" s="15" t="n">
        <v>0</v>
      </c>
      <c r="D18" s="15" t="n">
        <v>2.5</v>
      </c>
      <c r="E18" s="15" t="inlineStr">
        <is>
          <t>ERW 1</t>
        </is>
      </c>
      <c r="F18" s="15" t="inlineStr">
        <is>
          <t>FC</t>
        </is>
      </c>
      <c r="G18" s="61" t="inlineStr">
        <is>
          <t>0789</t>
        </is>
      </c>
      <c r="H18" s="72" t="n">
        <v>51</v>
      </c>
      <c r="I18" s="72" t="n">
        <v>3.545801</v>
      </c>
      <c r="J18" s="72" t="n">
        <v>6.826098000000001</v>
      </c>
      <c r="K18" s="72" t="n">
        <v>0</v>
      </c>
      <c r="L18" s="72" t="n">
        <v>17.646</v>
      </c>
      <c r="M18" s="72" t="n">
        <v>10.38</v>
      </c>
    </row>
    <row r="19">
      <c r="A19" s="15" t="n">
        <v>60.3</v>
      </c>
      <c r="B19" s="15" t="n">
        <v>60.3</v>
      </c>
      <c r="C19" s="15" t="n">
        <v>0</v>
      </c>
      <c r="D19" s="15" t="n">
        <v>2</v>
      </c>
      <c r="E19" s="15" t="inlineStr">
        <is>
          <t>ERW 1</t>
        </is>
      </c>
      <c r="F19" s="15" t="inlineStr">
        <is>
          <t>FC</t>
        </is>
      </c>
      <c r="G19" s="61" t="inlineStr">
        <is>
          <t>0788</t>
        </is>
      </c>
      <c r="H19" s="72" t="n">
        <v>14</v>
      </c>
      <c r="I19" s="72" t="n">
        <v>0</v>
      </c>
      <c r="J19" s="72" t="n">
        <v>0</v>
      </c>
      <c r="K19" s="72" t="n">
        <v>1.696063</v>
      </c>
      <c r="L19" s="72" t="n">
        <v>0</v>
      </c>
      <c r="M19" s="72" t="n">
        <v>3.634420714285714</v>
      </c>
    </row>
    <row r="22">
      <c r="A22" s="73" t="inlineStr">
        <is>
          <t>ACTUAL OD</t>
        </is>
      </c>
      <c r="B22" s="73" t="inlineStr">
        <is>
          <t>OD</t>
        </is>
      </c>
      <c r="C22" s="73" t="inlineStr">
        <is>
          <t>ID</t>
        </is>
      </c>
      <c r="D22" s="73" t="inlineStr">
        <is>
          <t>TICKNESS</t>
        </is>
      </c>
      <c r="E22" s="73" t="inlineStr">
        <is>
          <t>GRADE</t>
        </is>
      </c>
      <c r="F22" s="73" t="inlineStr">
        <is>
          <t>FC/NFC</t>
        </is>
      </c>
      <c r="G22" s="71" t="inlineStr">
        <is>
          <t>Plant</t>
        </is>
      </c>
      <c r="H22" s="73" t="inlineStr">
        <is>
          <t>Schedule</t>
        </is>
      </c>
      <c r="I22" s="73" t="inlineStr">
        <is>
          <t>Sales</t>
        </is>
      </c>
      <c r="J22" s="73" t="inlineStr">
        <is>
          <t>Stock CTL</t>
        </is>
      </c>
      <c r="K22" s="73" t="inlineStr">
        <is>
          <t>Stock LL</t>
        </is>
      </c>
      <c r="L22" s="73" t="inlineStr">
        <is>
          <t>WIP</t>
        </is>
      </c>
      <c r="M22" s="73" t="inlineStr">
        <is>
          <t>Coverage Days</t>
        </is>
      </c>
    </row>
    <row r="23">
      <c r="A23" s="15" t="n">
        <v>14</v>
      </c>
      <c r="B23" s="15" t="n">
        <v>14</v>
      </c>
      <c r="C23" s="15" t="n">
        <v>0</v>
      </c>
      <c r="D23" s="15" t="n">
        <v>1.6</v>
      </c>
      <c r="E23" s="15" t="inlineStr">
        <is>
          <t>CEW</t>
        </is>
      </c>
      <c r="F23" s="15" t="inlineStr">
        <is>
          <t>CEW</t>
        </is>
      </c>
      <c r="G23" s="61" t="inlineStr">
        <is>
          <t>0788</t>
        </is>
      </c>
      <c r="H23" s="72" t="n">
        <v>1.15113337632</v>
      </c>
      <c r="I23" s="72" t="n">
        <v>0.978755</v>
      </c>
      <c r="J23" s="72" t="n">
        <v>0</v>
      </c>
      <c r="K23" s="72" t="n">
        <v>0.9277850000000001</v>
      </c>
      <c r="L23" s="72" t="n">
        <v>0</v>
      </c>
      <c r="M23" s="62" t="n">
        <v>24.17925721950628</v>
      </c>
    </row>
    <row r="24">
      <c r="A24" s="15" t="n">
        <v>14</v>
      </c>
      <c r="B24" s="15" t="n">
        <v>14</v>
      </c>
      <c r="C24" s="15" t="n">
        <v>10.1</v>
      </c>
      <c r="D24" s="15" t="n">
        <v>1.95</v>
      </c>
      <c r="E24" s="15" t="inlineStr">
        <is>
          <t>CEW</t>
        </is>
      </c>
      <c r="F24" s="15" t="inlineStr">
        <is>
          <t>CEW</t>
        </is>
      </c>
      <c r="G24" s="61" t="inlineStr">
        <is>
          <t>0788</t>
        </is>
      </c>
      <c r="H24" s="72" t="n">
        <v>1</v>
      </c>
      <c r="I24" s="72" t="n">
        <v>0</v>
      </c>
      <c r="J24" s="72" t="n">
        <v>0</v>
      </c>
      <c r="K24" s="72" t="n">
        <v>0</v>
      </c>
      <c r="L24" s="72" t="n">
        <v>0</v>
      </c>
      <c r="M24" s="62" t="n">
        <v>0</v>
      </c>
    </row>
    <row r="25">
      <c r="A25" s="15" t="n">
        <v>19</v>
      </c>
      <c r="B25" s="15" t="n">
        <v>19</v>
      </c>
      <c r="C25" s="15" t="n">
        <v>12.5</v>
      </c>
      <c r="D25" s="15" t="n">
        <v>3.25</v>
      </c>
      <c r="E25" s="15" t="inlineStr">
        <is>
          <t>CEW</t>
        </is>
      </c>
      <c r="F25" s="15" t="inlineStr">
        <is>
          <t>CEW</t>
        </is>
      </c>
      <c r="G25" s="61" t="inlineStr">
        <is>
          <t>0788</t>
        </is>
      </c>
      <c r="H25" s="72" t="n">
        <v>20</v>
      </c>
      <c r="I25" s="72" t="n">
        <v>7.430000000000001</v>
      </c>
      <c r="J25" s="72" t="n">
        <v>0.598785</v>
      </c>
      <c r="K25" s="72" t="n">
        <v>19.497122</v>
      </c>
      <c r="L25" s="72" t="n">
        <v>0</v>
      </c>
      <c r="M25" s="62" t="n">
        <v>29.245683</v>
      </c>
    </row>
    <row r="26">
      <c r="A26" s="15" t="n">
        <v>25.4</v>
      </c>
      <c r="B26" s="15" t="n">
        <v>25.4</v>
      </c>
      <c r="C26" s="15" t="n">
        <v>19</v>
      </c>
      <c r="D26" s="15" t="n">
        <v>3.2</v>
      </c>
      <c r="E26" s="15" t="inlineStr">
        <is>
          <t>CEW</t>
        </is>
      </c>
      <c r="F26" s="15" t="inlineStr">
        <is>
          <t>CEW</t>
        </is>
      </c>
      <c r="G26" s="61" t="inlineStr">
        <is>
          <t>0788</t>
        </is>
      </c>
      <c r="H26" s="72" t="n">
        <v>19</v>
      </c>
      <c r="I26" s="72" t="n">
        <v>0</v>
      </c>
      <c r="J26" s="72" t="n">
        <v>0</v>
      </c>
      <c r="K26" s="72" t="n">
        <v>17.934815</v>
      </c>
      <c r="L26" s="72" t="n">
        <v>0</v>
      </c>
      <c r="M26" s="62" t="n">
        <v>28.31812894736843</v>
      </c>
    </row>
    <row r="27">
      <c r="A27" s="15" t="n">
        <v>28.6</v>
      </c>
      <c r="B27" s="15" t="n">
        <v>28.6</v>
      </c>
      <c r="C27" s="15" t="n">
        <v>0</v>
      </c>
      <c r="D27" s="15" t="n">
        <v>2.65</v>
      </c>
      <c r="E27" s="15" t="inlineStr">
        <is>
          <t>CEW</t>
        </is>
      </c>
      <c r="F27" s="15" t="inlineStr">
        <is>
          <t>CEW</t>
        </is>
      </c>
      <c r="G27" s="61" t="inlineStr">
        <is>
          <t>0788</t>
        </is>
      </c>
      <c r="H27" s="72" t="n">
        <v>17</v>
      </c>
      <c r="I27" s="72" t="n">
        <v>10.212549</v>
      </c>
      <c r="J27" s="72" t="n">
        <v>1.387391</v>
      </c>
      <c r="K27" s="72" t="n">
        <v>10.660521</v>
      </c>
      <c r="L27" s="72" t="n">
        <v>0</v>
      </c>
      <c r="M27" s="62" t="n">
        <v>18.81268411764707</v>
      </c>
    </row>
    <row r="28">
      <c r="A28" s="15" t="n">
        <v>29.28</v>
      </c>
      <c r="B28" s="15" t="n">
        <v>29.28</v>
      </c>
      <c r="C28" s="15" t="n">
        <v>0</v>
      </c>
      <c r="D28" s="15" t="n">
        <v>3.4</v>
      </c>
      <c r="E28" s="15" t="inlineStr">
        <is>
          <t>CEW</t>
        </is>
      </c>
      <c r="F28" s="15" t="inlineStr">
        <is>
          <t>CEW</t>
        </is>
      </c>
      <c r="G28" s="61" t="inlineStr">
        <is>
          <t>0788</t>
        </is>
      </c>
      <c r="H28" s="72" t="n">
        <v>5</v>
      </c>
      <c r="I28" s="72" t="n">
        <v>0</v>
      </c>
      <c r="J28" s="72" t="n">
        <v>0</v>
      </c>
      <c r="K28" s="72" t="n">
        <v>0</v>
      </c>
      <c r="L28" s="72" t="n">
        <v>0</v>
      </c>
      <c r="M28" s="62" t="n">
        <v>0</v>
      </c>
    </row>
    <row r="29">
      <c r="A29" s="15" t="n">
        <v>30.15</v>
      </c>
      <c r="B29" s="15" t="n">
        <v>30</v>
      </c>
      <c r="C29" s="15" t="n">
        <v>25.5</v>
      </c>
      <c r="D29" s="15" t="n">
        <v>2.25</v>
      </c>
      <c r="E29" s="15" t="inlineStr">
        <is>
          <t>CEW</t>
        </is>
      </c>
      <c r="F29" s="15" t="inlineStr">
        <is>
          <t>CEW</t>
        </is>
      </c>
      <c r="G29" s="61" t="inlineStr">
        <is>
          <t>0788</t>
        </is>
      </c>
      <c r="H29" s="72" t="n">
        <v>45</v>
      </c>
      <c r="I29" s="72" t="n">
        <v>20.893071</v>
      </c>
      <c r="J29" s="72" t="n">
        <v>0.56548</v>
      </c>
      <c r="K29" s="72" t="n">
        <v>43.27342599999999</v>
      </c>
      <c r="L29" s="72" t="n">
        <v>0</v>
      </c>
      <c r="M29" s="62" t="n">
        <v>28.84895066666666</v>
      </c>
    </row>
    <row r="30">
      <c r="A30" s="15" t="n">
        <v>33.3</v>
      </c>
      <c r="B30" s="15" t="n">
        <v>33.3</v>
      </c>
      <c r="C30" s="15" t="n">
        <v>29.3</v>
      </c>
      <c r="D30" s="15" t="n">
        <v>2</v>
      </c>
      <c r="E30" s="15" t="inlineStr">
        <is>
          <t>CEW</t>
        </is>
      </c>
      <c r="F30" s="15" t="inlineStr">
        <is>
          <t>CEW</t>
        </is>
      </c>
      <c r="G30" s="61" t="inlineStr">
        <is>
          <t>0788</t>
        </is>
      </c>
      <c r="H30" s="72" t="n">
        <v>1.5486792723</v>
      </c>
      <c r="I30" s="72" t="n">
        <v>0</v>
      </c>
      <c r="J30" s="72" t="n">
        <v>0</v>
      </c>
      <c r="K30" s="72" t="n">
        <v>0</v>
      </c>
      <c r="L30" s="72" t="n">
        <v>0</v>
      </c>
      <c r="M30" s="62" t="n">
        <v>0</v>
      </c>
    </row>
    <row r="31">
      <c r="A31" s="15" t="n">
        <v>37.95</v>
      </c>
      <c r="B31" s="15" t="n">
        <v>37.95</v>
      </c>
      <c r="C31" s="15" t="n">
        <v>32</v>
      </c>
      <c r="D31" s="15" t="n">
        <v>2.95</v>
      </c>
      <c r="E31" s="15" t="inlineStr">
        <is>
          <t>CEW</t>
        </is>
      </c>
      <c r="F31" s="15" t="inlineStr">
        <is>
          <t>CEW</t>
        </is>
      </c>
      <c r="G31" s="61" t="inlineStr">
        <is>
          <t>0788</t>
        </is>
      </c>
      <c r="H31" s="72" t="n">
        <v>2.392696915</v>
      </c>
      <c r="I31" s="72" t="n">
        <v>2.031585</v>
      </c>
      <c r="J31" s="72" t="n">
        <v>0.271898</v>
      </c>
      <c r="K31" s="72" t="n">
        <v>0</v>
      </c>
      <c r="L31" s="72" t="n">
        <v>0</v>
      </c>
      <c r="M31" s="62" t="n">
        <v>0</v>
      </c>
    </row>
    <row r="32">
      <c r="A32" s="15" t="n">
        <v>38.1</v>
      </c>
      <c r="B32" s="15" t="n">
        <v>38.1</v>
      </c>
      <c r="C32" s="15" t="n">
        <v>0</v>
      </c>
      <c r="D32" s="15" t="n">
        <v>2.5</v>
      </c>
      <c r="E32" s="15" t="inlineStr">
        <is>
          <t>ERW 2 MAHS</t>
        </is>
      </c>
      <c r="F32" s="15" t="inlineStr">
        <is>
          <t>FC</t>
        </is>
      </c>
      <c r="G32" s="61" t="inlineStr">
        <is>
          <t>056</t>
        </is>
      </c>
      <c r="H32" s="72" t="n">
        <v>25</v>
      </c>
      <c r="I32" s="72" t="n">
        <v>16.10874</v>
      </c>
      <c r="J32" s="72" t="n">
        <v>0.099136</v>
      </c>
      <c r="K32" s="72" t="n">
        <v>4.524576</v>
      </c>
      <c r="L32" s="72" t="n">
        <v>0</v>
      </c>
      <c r="M32" s="62" t="n">
        <v>5.429491199999999</v>
      </c>
    </row>
    <row r="33">
      <c r="A33" s="15" t="n">
        <v>57.15</v>
      </c>
      <c r="B33" s="15" t="n">
        <v>57.15</v>
      </c>
      <c r="C33" s="15" t="n">
        <v>0</v>
      </c>
      <c r="D33" s="15" t="n">
        <v>2.3</v>
      </c>
      <c r="E33" s="15" t="inlineStr">
        <is>
          <t>ERW 2</t>
        </is>
      </c>
      <c r="F33" s="15" t="inlineStr">
        <is>
          <t>FC</t>
        </is>
      </c>
      <c r="G33" s="61" t="inlineStr">
        <is>
          <t>056</t>
        </is>
      </c>
      <c r="H33" s="72" t="n">
        <v>55.188710570175</v>
      </c>
      <c r="I33" s="72" t="n">
        <v>34.183795</v>
      </c>
      <c r="J33" s="72" t="n">
        <v>3.947416</v>
      </c>
      <c r="K33" s="72" t="n">
        <v>39.7824</v>
      </c>
      <c r="L33" s="72" t="n">
        <v>0</v>
      </c>
      <c r="M33" s="62" t="n">
        <v>21.62529234094798</v>
      </c>
    </row>
    <row r="34">
      <c r="A34" s="15" t="n">
        <v>60.3</v>
      </c>
      <c r="B34" s="15" t="n">
        <v>60.3</v>
      </c>
      <c r="C34" s="15" t="n">
        <v>0</v>
      </c>
      <c r="D34" s="15" t="n">
        <v>2</v>
      </c>
      <c r="E34" s="15" t="inlineStr">
        <is>
          <t>ERW 1</t>
        </is>
      </c>
      <c r="F34" s="15" t="inlineStr">
        <is>
          <t>FC</t>
        </is>
      </c>
      <c r="G34" s="61" t="inlineStr">
        <is>
          <t>0788</t>
        </is>
      </c>
      <c r="H34" s="72" t="n">
        <v>14</v>
      </c>
      <c r="I34" s="72" t="n">
        <v>0</v>
      </c>
      <c r="J34" s="72" t="n">
        <v>0</v>
      </c>
      <c r="K34" s="72" t="n">
        <v>1.696063</v>
      </c>
      <c r="L34" s="72" t="n">
        <v>0</v>
      </c>
      <c r="M34" s="62" t="n">
        <v>3.634420714285714</v>
      </c>
    </row>
    <row r="35">
      <c r="A35" s="15" t="n">
        <v>42.7</v>
      </c>
      <c r="B35" s="15" t="n">
        <v>42.7</v>
      </c>
      <c r="C35" s="15" t="n">
        <v>0</v>
      </c>
      <c r="D35" s="15" t="n">
        <v>4</v>
      </c>
      <c r="E35" s="15" t="inlineStr">
        <is>
          <t>ERW 1</t>
        </is>
      </c>
      <c r="F35" s="15" t="inlineStr">
        <is>
          <t>FC</t>
        </is>
      </c>
      <c r="G35" s="61" t="inlineStr">
        <is>
          <t>0788</t>
        </is>
      </c>
      <c r="H35" s="72" t="n">
        <v>44</v>
      </c>
      <c r="I35" s="72" t="n">
        <v>18.651902</v>
      </c>
      <c r="J35" s="72" t="n">
        <v>2.399768</v>
      </c>
      <c r="K35" s="72" t="n">
        <v>25.44058500000001</v>
      </c>
      <c r="L35" s="72" t="n">
        <v>0</v>
      </c>
      <c r="M35" s="62" t="n">
        <v>17.34585340909091</v>
      </c>
    </row>
    <row r="36">
      <c r="A36" s="15" t="n">
        <v>15.88</v>
      </c>
      <c r="B36" s="15" t="n">
        <v>15.88</v>
      </c>
      <c r="C36" s="15" t="n">
        <v>0</v>
      </c>
      <c r="D36" s="15" t="n">
        <v>1</v>
      </c>
      <c r="E36" s="15" t="inlineStr">
        <is>
          <t>ERW 1</t>
        </is>
      </c>
      <c r="F36" s="15" t="inlineStr">
        <is>
          <t>PE</t>
        </is>
      </c>
      <c r="G36" s="15" t="inlineStr">
        <is>
          <t>0789</t>
        </is>
      </c>
      <c r="H36" s="72" t="n">
        <v>2.2340351376</v>
      </c>
      <c r="I36" s="72" t="n">
        <v>2.294513</v>
      </c>
      <c r="J36" s="72" t="n">
        <v>0.25711</v>
      </c>
      <c r="K36" s="72" t="n">
        <v>0</v>
      </c>
      <c r="L36" s="72" t="n">
        <v>0</v>
      </c>
      <c r="M36" s="62" t="n">
        <v>0</v>
      </c>
    </row>
    <row r="37">
      <c r="A37" s="15" t="n">
        <v>22.23</v>
      </c>
      <c r="B37" s="15" t="n">
        <v>22.23</v>
      </c>
      <c r="C37" s="15" t="n">
        <v>0</v>
      </c>
      <c r="D37" s="15" t="n">
        <v>1.6</v>
      </c>
      <c r="E37" s="15" t="inlineStr">
        <is>
          <t>ERW 1</t>
        </is>
      </c>
      <c r="F37" s="15" t="inlineStr">
        <is>
          <t>PE</t>
        </is>
      </c>
      <c r="G37" s="15" t="inlineStr">
        <is>
          <t>0789</t>
        </is>
      </c>
      <c r="H37" s="72" t="n">
        <v>106.4578045448299</v>
      </c>
      <c r="I37" s="72" t="n">
        <v>89.82975599999999</v>
      </c>
      <c r="J37" s="72" t="n">
        <v>18.515904</v>
      </c>
      <c r="K37" s="72" t="n">
        <v>23.99616299999999</v>
      </c>
      <c r="L37" s="72" t="n">
        <v>26.002</v>
      </c>
      <c r="M37" s="62" t="n">
        <v>14.08957188637462</v>
      </c>
    </row>
    <row r="38">
      <c r="A38" s="15" t="n">
        <v>22.23</v>
      </c>
      <c r="B38" s="15" t="n">
        <v>22.23</v>
      </c>
      <c r="C38" s="15" t="n">
        <v>0</v>
      </c>
      <c r="D38" s="15" t="n">
        <v>2</v>
      </c>
      <c r="E38" s="15" t="inlineStr">
        <is>
          <t>ERW 2</t>
        </is>
      </c>
      <c r="F38" s="15" t="inlineStr">
        <is>
          <t>FC</t>
        </is>
      </c>
      <c r="G38" s="15" t="inlineStr">
        <is>
          <t>0789</t>
        </is>
      </c>
      <c r="H38" s="72" t="n">
        <v>5</v>
      </c>
      <c r="I38" s="72" t="n">
        <v>4.927675</v>
      </c>
      <c r="J38" s="72" t="n">
        <v>0</v>
      </c>
      <c r="K38" s="72" t="n">
        <v>0</v>
      </c>
      <c r="L38" s="72" t="n">
        <v>0</v>
      </c>
      <c r="M38" s="62" t="n">
        <v>0</v>
      </c>
    </row>
    <row r="39">
      <c r="A39" s="15" t="n">
        <v>22.23</v>
      </c>
      <c r="B39" s="15" t="n">
        <v>22.23</v>
      </c>
      <c r="C39" s="15" t="n">
        <v>0</v>
      </c>
      <c r="D39" s="15" t="n">
        <v>2</v>
      </c>
      <c r="E39" s="15" t="inlineStr">
        <is>
          <t>ERW 2 MAHS</t>
        </is>
      </c>
      <c r="F39" s="15" t="inlineStr">
        <is>
          <t>PE</t>
        </is>
      </c>
      <c r="G39" s="15" t="inlineStr">
        <is>
          <t>0789</t>
        </is>
      </c>
      <c r="H39" s="72" t="n">
        <v>13.5405246585</v>
      </c>
      <c r="I39" s="72" t="n">
        <v>13.228752</v>
      </c>
      <c r="J39" s="72" t="n">
        <v>6.3462</v>
      </c>
      <c r="K39" s="72" t="n">
        <v>0</v>
      </c>
      <c r="L39" s="72" t="n">
        <v>0.53</v>
      </c>
      <c r="M39" s="62" t="n">
        <v>1.174252874316716</v>
      </c>
    </row>
    <row r="40">
      <c r="A40" s="15" t="n">
        <v>22.23</v>
      </c>
      <c r="B40" s="15" t="n">
        <v>22.23</v>
      </c>
      <c r="C40" s="15" t="n">
        <v>0</v>
      </c>
      <c r="D40" s="15" t="n">
        <v>2.3</v>
      </c>
      <c r="E40" s="15" t="inlineStr">
        <is>
          <t>ERW 1</t>
        </is>
      </c>
      <c r="F40" s="15" t="inlineStr">
        <is>
          <t>PE</t>
        </is>
      </c>
      <c r="G40" s="15" t="inlineStr">
        <is>
          <t>0789</t>
        </is>
      </c>
      <c r="H40" s="72" t="n">
        <v>17.73078052323</v>
      </c>
      <c r="I40" s="72" t="n">
        <v>19.467228</v>
      </c>
      <c r="J40" s="72" t="n">
        <v>8.054297000000002</v>
      </c>
      <c r="K40" s="72" t="n">
        <v>6.805563000000001</v>
      </c>
      <c r="L40" s="72" t="n">
        <v>0</v>
      </c>
      <c r="M40" s="62" t="n">
        <v>11.51482811106429</v>
      </c>
    </row>
    <row r="41">
      <c r="A41" s="15" t="n">
        <v>25.4</v>
      </c>
      <c r="B41" s="15" t="n">
        <v>25.4</v>
      </c>
      <c r="C41" s="15" t="n">
        <v>0</v>
      </c>
      <c r="D41" s="15" t="n">
        <v>1.2</v>
      </c>
      <c r="E41" s="15" t="inlineStr">
        <is>
          <t>ERW 1</t>
        </is>
      </c>
      <c r="F41" s="15" t="inlineStr">
        <is>
          <t>PE</t>
        </is>
      </c>
      <c r="G41" s="15" t="inlineStr">
        <is>
          <t>0789</t>
        </is>
      </c>
      <c r="H41" s="72" t="n">
        <v>1.81</v>
      </c>
      <c r="I41" s="72" t="n">
        <v>2.737625</v>
      </c>
      <c r="J41" s="72" t="n">
        <v>0.45732</v>
      </c>
      <c r="K41" s="72" t="n">
        <v>0</v>
      </c>
      <c r="L41" s="72" t="n">
        <v>0</v>
      </c>
      <c r="M41" s="62" t="n">
        <v>0</v>
      </c>
    </row>
    <row r="42">
      <c r="A42" s="15" t="n">
        <v>25.4</v>
      </c>
      <c r="B42" s="15" t="n">
        <v>25.4</v>
      </c>
      <c r="C42" s="15" t="n">
        <v>0</v>
      </c>
      <c r="D42" s="15" t="n">
        <v>1.6</v>
      </c>
      <c r="E42" s="15" t="inlineStr">
        <is>
          <t>ERW 1</t>
        </is>
      </c>
      <c r="F42" s="15" t="inlineStr">
        <is>
          <t>PE</t>
        </is>
      </c>
      <c r="G42" s="15" t="inlineStr">
        <is>
          <t>0789</t>
        </is>
      </c>
      <c r="H42" s="72" t="n">
        <v>9.7258254464</v>
      </c>
      <c r="I42" s="72" t="n">
        <v>4.885038000000001</v>
      </c>
      <c r="J42" s="72" t="n">
        <v>0.064898</v>
      </c>
      <c r="K42" s="72" t="n">
        <v>4.644559999999999</v>
      </c>
      <c r="L42" s="72" t="n">
        <v>0.116</v>
      </c>
      <c r="M42" s="62" t="n">
        <v>14.68428574901716</v>
      </c>
    </row>
    <row r="43">
      <c r="A43" s="15" t="n">
        <v>25.4</v>
      </c>
      <c r="B43" s="15" t="n">
        <v>25.4</v>
      </c>
      <c r="C43" s="15" t="n">
        <v>0</v>
      </c>
      <c r="D43" s="15" t="n">
        <v>2</v>
      </c>
      <c r="E43" s="15" t="inlineStr">
        <is>
          <t>ERW 1</t>
        </is>
      </c>
      <c r="F43" s="15" t="inlineStr">
        <is>
          <t>PE</t>
        </is>
      </c>
      <c r="G43" s="15" t="inlineStr">
        <is>
          <t>0789</t>
        </is>
      </c>
      <c r="H43" s="72" t="n">
        <v>10.5811366284</v>
      </c>
      <c r="I43" s="72" t="n">
        <v>0</v>
      </c>
      <c r="J43" s="72" t="n">
        <v>0</v>
      </c>
      <c r="K43" s="72" t="n">
        <v>1.633278</v>
      </c>
      <c r="L43" s="72" t="n">
        <v>0</v>
      </c>
      <c r="M43" s="62" t="n">
        <v>4.630725575217259</v>
      </c>
    </row>
    <row r="44">
      <c r="A44" s="15" t="n">
        <v>28.58</v>
      </c>
      <c r="B44" s="15" t="n">
        <v>28.58</v>
      </c>
      <c r="C44" s="15" t="n">
        <v>0</v>
      </c>
      <c r="D44" s="15" t="n">
        <v>1.2</v>
      </c>
      <c r="E44" s="15" t="inlineStr">
        <is>
          <t>ERW 1</t>
        </is>
      </c>
      <c r="F44" s="15" t="inlineStr">
        <is>
          <t>PE</t>
        </is>
      </c>
      <c r="G44" s="15" t="inlineStr">
        <is>
          <t>0789</t>
        </is>
      </c>
      <c r="H44" s="72" t="n">
        <v>2.409746929799999</v>
      </c>
      <c r="I44" s="72" t="n">
        <v>5.341042000000001</v>
      </c>
      <c r="J44" s="72" t="n">
        <v>1.761239</v>
      </c>
      <c r="K44" s="72" t="n">
        <v>0</v>
      </c>
      <c r="L44" s="72" t="n">
        <v>0</v>
      </c>
      <c r="M44" s="62" t="n">
        <v>0</v>
      </c>
      <c r="Q44" s="10" t="n"/>
      <c r="R44" s="10" t="n"/>
      <c r="S44" s="10" t="n"/>
      <c r="T44" s="10" t="n"/>
    </row>
    <row r="45">
      <c r="A45" s="15" t="n">
        <v>28.58</v>
      </c>
      <c r="B45" s="15" t="n">
        <v>28.58</v>
      </c>
      <c r="C45" s="15" t="n">
        <v>0</v>
      </c>
      <c r="D45" s="15" t="n">
        <v>1.6</v>
      </c>
      <c r="E45" s="15" t="inlineStr">
        <is>
          <t>ERW 1</t>
        </is>
      </c>
      <c r="F45" s="15" t="inlineStr">
        <is>
          <t>PE</t>
        </is>
      </c>
      <c r="G45" s="15" t="inlineStr">
        <is>
          <t>0789</t>
        </is>
      </c>
      <c r="H45" s="72" t="n">
        <v>0.089926649488</v>
      </c>
      <c r="I45" s="72" t="n">
        <v>0</v>
      </c>
      <c r="J45" s="72" t="n">
        <v>0</v>
      </c>
      <c r="K45" s="72" t="n">
        <v>0</v>
      </c>
      <c r="L45" s="72" t="n">
        <v>0</v>
      </c>
      <c r="M45" s="62" t="n">
        <v>0</v>
      </c>
      <c r="Q45" s="10" t="n">
        <v>41.28</v>
      </c>
      <c r="R45" s="10" t="n">
        <v>3.2</v>
      </c>
      <c r="S45" s="10" t="n">
        <v>230</v>
      </c>
      <c r="T45" s="10" t="n">
        <v>500</v>
      </c>
    </row>
    <row r="46">
      <c r="A46" s="15" t="n">
        <v>31.75</v>
      </c>
      <c r="B46" s="15" t="n">
        <v>31.75</v>
      </c>
      <c r="C46" s="15" t="n">
        <v>0</v>
      </c>
      <c r="D46" s="15" t="n">
        <v>2.5</v>
      </c>
      <c r="E46" s="15" t="inlineStr">
        <is>
          <t>ERW 1</t>
        </is>
      </c>
      <c r="F46" s="15" t="inlineStr">
        <is>
          <t>FC</t>
        </is>
      </c>
      <c r="G46" s="15" t="inlineStr">
        <is>
          <t>0789</t>
        </is>
      </c>
      <c r="H46" s="72" t="n">
        <v>12.62285987625</v>
      </c>
      <c r="I46" s="72" t="n">
        <v>10.141773</v>
      </c>
      <c r="J46" s="72" t="n">
        <v>0</v>
      </c>
      <c r="K46" s="72" t="n">
        <v>3.579707</v>
      </c>
      <c r="L46" s="72" t="n">
        <v>0</v>
      </c>
      <c r="M46" s="62" t="n">
        <v>8.507676632143982</v>
      </c>
    </row>
    <row r="47">
      <c r="A47" s="15" t="n">
        <v>34.93</v>
      </c>
      <c r="B47" s="15" t="n">
        <v>34.93</v>
      </c>
      <c r="C47" s="15" t="n">
        <v>0</v>
      </c>
      <c r="D47" s="15" t="n">
        <v>1.2</v>
      </c>
      <c r="E47" s="15" t="inlineStr">
        <is>
          <t>ERW 1</t>
        </is>
      </c>
      <c r="F47" s="15" t="inlineStr">
        <is>
          <t>FC</t>
        </is>
      </c>
      <c r="G47" s="15" t="inlineStr">
        <is>
          <t>0789</t>
        </is>
      </c>
      <c r="H47" s="72" t="n">
        <v>1.16749014876</v>
      </c>
      <c r="I47" s="72" t="n">
        <v>0</v>
      </c>
      <c r="J47" s="72" t="n">
        <v>0</v>
      </c>
      <c r="K47" s="72" t="n">
        <v>0</v>
      </c>
      <c r="L47" s="72" t="n">
        <v>0</v>
      </c>
      <c r="M47" s="62" t="n">
        <v>0</v>
      </c>
    </row>
    <row r="48">
      <c r="A48" s="15" t="n">
        <v>38.1</v>
      </c>
      <c r="B48" s="15" t="n">
        <v>38.1</v>
      </c>
      <c r="C48" s="15" t="n">
        <v>0</v>
      </c>
      <c r="D48" s="15" t="n">
        <v>1.6</v>
      </c>
      <c r="E48" s="15" t="inlineStr">
        <is>
          <t>ERW 2 MAHS</t>
        </is>
      </c>
      <c r="F48" s="15" t="inlineStr">
        <is>
          <t>FC</t>
        </is>
      </c>
      <c r="G48" s="15" t="inlineStr">
        <is>
          <t>0789</t>
        </is>
      </c>
      <c r="H48" s="72" t="n">
        <v>16</v>
      </c>
      <c r="I48" s="72" t="n">
        <v>8.570590000000003</v>
      </c>
      <c r="J48" s="72" t="n">
        <v>0.08739</v>
      </c>
      <c r="K48" s="72" t="n">
        <v>0</v>
      </c>
      <c r="L48" s="72" t="n">
        <v>7.008</v>
      </c>
      <c r="M48" s="62" t="n">
        <v>13.14</v>
      </c>
    </row>
    <row r="49">
      <c r="A49" s="15" t="n">
        <v>38.1</v>
      </c>
      <c r="B49" s="15" t="n">
        <v>38.1</v>
      </c>
      <c r="C49" s="15" t="n">
        <v>0</v>
      </c>
      <c r="D49" s="15" t="n">
        <v>2</v>
      </c>
      <c r="E49" s="15" t="inlineStr">
        <is>
          <t>ERW 1</t>
        </is>
      </c>
      <c r="F49" s="15" t="inlineStr">
        <is>
          <t>PE</t>
        </is>
      </c>
      <c r="G49" s="15" t="inlineStr">
        <is>
          <t>0789</t>
        </is>
      </c>
      <c r="H49" s="72" t="n">
        <v>3.613291598</v>
      </c>
      <c r="I49" s="72" t="n">
        <v>10.262</v>
      </c>
      <c r="J49" s="72" t="n">
        <v>0.585357</v>
      </c>
      <c r="K49" s="72" t="n">
        <v>0</v>
      </c>
      <c r="L49" s="72" t="n">
        <v>0.515</v>
      </c>
      <c r="M49" s="62" t="n">
        <v>4.275879646290313</v>
      </c>
    </row>
    <row r="50">
      <c r="A50" s="15" t="n">
        <v>41.28</v>
      </c>
      <c r="B50" s="15" t="n">
        <v>40</v>
      </c>
      <c r="C50" s="15" t="n">
        <v>25</v>
      </c>
      <c r="D50" s="15" t="n">
        <v>1.6</v>
      </c>
      <c r="E50" s="15" t="inlineStr">
        <is>
          <t>CRFH</t>
        </is>
      </c>
      <c r="F50" s="15" t="inlineStr">
        <is>
          <t>FC</t>
        </is>
      </c>
      <c r="G50" s="15" t="inlineStr">
        <is>
          <t>0789</t>
        </is>
      </c>
      <c r="H50" s="72" t="n">
        <v>21</v>
      </c>
      <c r="I50" s="72" t="n">
        <v>0</v>
      </c>
      <c r="J50" s="72" t="n">
        <v>0</v>
      </c>
      <c r="K50" s="72" t="n">
        <v>0</v>
      </c>
      <c r="L50" s="72" t="n">
        <v>0</v>
      </c>
      <c r="M50" s="62" t="n">
        <v>0</v>
      </c>
    </row>
    <row r="51">
      <c r="A51" s="15" t="n">
        <v>44.45</v>
      </c>
      <c r="B51" s="15" t="n">
        <v>40</v>
      </c>
      <c r="C51" s="15" t="n">
        <v>30</v>
      </c>
      <c r="D51" s="15" t="n">
        <v>2</v>
      </c>
      <c r="E51" s="15" t="inlineStr">
        <is>
          <t>ERW 1</t>
        </is>
      </c>
      <c r="F51" s="15" t="inlineStr">
        <is>
          <t>FC</t>
        </is>
      </c>
      <c r="G51" s="15" t="inlineStr">
        <is>
          <t>0789</t>
        </is>
      </c>
      <c r="H51" s="72" t="n">
        <v>24.0113514384</v>
      </c>
      <c r="I51" s="72" t="n">
        <v>17.13126</v>
      </c>
      <c r="J51" s="72" t="n">
        <v>0.561951</v>
      </c>
      <c r="K51" s="72" t="n">
        <v>1.3002</v>
      </c>
      <c r="L51" s="72" t="n">
        <v>5.319</v>
      </c>
      <c r="M51" s="62" t="n">
        <v>8.27008844168715</v>
      </c>
    </row>
    <row r="52">
      <c r="A52" s="15" t="n">
        <v>57.15</v>
      </c>
      <c r="B52" s="15" t="n">
        <v>57.15</v>
      </c>
      <c r="C52" s="15" t="n">
        <v>0</v>
      </c>
      <c r="D52" s="15" t="n">
        <v>2.5</v>
      </c>
      <c r="E52" s="15" t="inlineStr">
        <is>
          <t>ERW 1</t>
        </is>
      </c>
      <c r="F52" s="15" t="inlineStr">
        <is>
          <t>FC</t>
        </is>
      </c>
      <c r="G52" s="15" t="inlineStr">
        <is>
          <t>0789</t>
        </is>
      </c>
      <c r="H52" s="72" t="n">
        <v>51</v>
      </c>
      <c r="I52" s="72" t="n">
        <v>3.545801</v>
      </c>
      <c r="J52" s="72" t="n">
        <v>6.826098000000001</v>
      </c>
      <c r="K52" s="72" t="n">
        <v>0</v>
      </c>
      <c r="L52" s="72" t="n">
        <v>11.629</v>
      </c>
      <c r="M52" s="62" t="n">
        <v>6.840588235294117</v>
      </c>
    </row>
    <row r="55">
      <c r="B55" s="89" t="inlineStr">
        <is>
          <t>OD</t>
        </is>
      </c>
      <c r="C55" s="89" t="inlineStr">
        <is>
          <t>ID</t>
        </is>
      </c>
      <c r="D55" s="89" t="inlineStr">
        <is>
          <t>Thickness</t>
        </is>
      </c>
      <c r="E55" s="89" t="inlineStr">
        <is>
          <t>Grade</t>
        </is>
      </c>
      <c r="F55" s="89" t="inlineStr">
        <is>
          <t>Order</t>
        </is>
      </c>
      <c r="G55" s="89" t="inlineStr">
        <is>
          <t>wip</t>
        </is>
      </c>
      <c r="H55" s="89" t="inlineStr">
        <is>
          <t>fg</t>
        </is>
      </c>
      <c r="I55" s="89" t="inlineStr">
        <is>
          <t>btr</t>
        </is>
      </c>
    </row>
    <row r="56">
      <c r="B56" s="15" t="n">
        <v>49</v>
      </c>
      <c r="C56" s="15" t="n">
        <v>38</v>
      </c>
      <c r="D56" s="15" t="n">
        <v>2</v>
      </c>
      <c r="E56" s="15" t="inlineStr">
        <is>
          <t>ERW 1</t>
        </is>
      </c>
      <c r="F56" s="15" t="n">
        <v>15</v>
      </c>
      <c r="G56" s="15" t="n">
        <v>0</v>
      </c>
      <c r="H56" s="15" t="n">
        <v>0</v>
      </c>
      <c r="I56" s="15">
        <f>F56-G56</f>
        <v/>
      </c>
    </row>
    <row r="57">
      <c r="B57" s="15" t="n">
        <v>40</v>
      </c>
      <c r="C57" s="15" t="n">
        <v>25</v>
      </c>
      <c r="D57" s="15" t="n">
        <v>1.6</v>
      </c>
      <c r="E57" s="15" t="inlineStr">
        <is>
          <t>ERW 1</t>
        </is>
      </c>
      <c r="F57" s="15" t="n">
        <v>143</v>
      </c>
      <c r="G57" s="15" t="n">
        <v>15</v>
      </c>
      <c r="H57" s="15" t="n"/>
      <c r="I57" s="15">
        <f>F57-G57</f>
        <v/>
      </c>
    </row>
    <row r="58">
      <c r="B58" s="15" t="n">
        <v>40</v>
      </c>
      <c r="C58" s="15" t="n">
        <v>25</v>
      </c>
      <c r="D58" s="15" t="n">
        <v>1.6</v>
      </c>
      <c r="E58" s="15" t="inlineStr">
        <is>
          <t>C20</t>
        </is>
      </c>
      <c r="F58" s="15" t="n">
        <v>8</v>
      </c>
      <c r="G58" s="15" t="n">
        <v>0</v>
      </c>
      <c r="H58" s="15" t="n"/>
      <c r="I58" s="15">
        <f>F58-G58</f>
        <v/>
      </c>
    </row>
    <row r="59">
      <c r="B59" s="15" t="n">
        <v>40</v>
      </c>
      <c r="C59" s="15" t="n">
        <v>30</v>
      </c>
      <c r="D59" s="15" t="n">
        <v>1.6</v>
      </c>
      <c r="E59" s="15" t="inlineStr">
        <is>
          <t>ERW 1</t>
        </is>
      </c>
      <c r="F59" s="15" t="n">
        <v>85</v>
      </c>
      <c r="G59" s="15" t="n">
        <v>0</v>
      </c>
      <c r="H59" s="15" t="n"/>
      <c r="I59" s="15">
        <f>F59-G59</f>
        <v/>
      </c>
    </row>
    <row r="60">
      <c r="B60" s="15" t="n">
        <v>40</v>
      </c>
      <c r="C60" s="15" t="n">
        <v>30</v>
      </c>
      <c r="D60" s="15" t="n">
        <v>2</v>
      </c>
      <c r="E60" s="15" t="inlineStr">
        <is>
          <t>ERW 2</t>
        </is>
      </c>
      <c r="F60" s="15" t="n">
        <v>30</v>
      </c>
      <c r="G60" s="15" t="n">
        <v>0</v>
      </c>
      <c r="H60" s="15" t="n"/>
      <c r="I60" s="15">
        <f>F60-G60</f>
        <v/>
      </c>
    </row>
    <row r="61">
      <c r="B61" s="15" t="n">
        <v>50</v>
      </c>
      <c r="C61" s="15" t="n">
        <v>30</v>
      </c>
      <c r="D61" s="15" t="n">
        <v>1.6</v>
      </c>
      <c r="E61" s="15" t="inlineStr">
        <is>
          <t>ERW 1</t>
        </is>
      </c>
      <c r="F61" s="15" t="n">
        <v>77</v>
      </c>
      <c r="G61" s="15" t="n">
        <v>12</v>
      </c>
      <c r="H61" s="15" t="n"/>
      <c r="I61" s="15">
        <f>F61-G61</f>
        <v/>
      </c>
    </row>
    <row r="62">
      <c r="B62" s="15" t="n">
        <v>50</v>
      </c>
      <c r="C62" s="15" t="n">
        <v>30</v>
      </c>
      <c r="D62" s="15" t="n">
        <v>1.6</v>
      </c>
      <c r="E62" s="15" t="inlineStr">
        <is>
          <t>C20</t>
        </is>
      </c>
      <c r="F62" s="15" t="n">
        <v>37</v>
      </c>
      <c r="G62" s="15" t="n">
        <v>37</v>
      </c>
      <c r="H62" s="15" t="n"/>
      <c r="I62" s="15">
        <f>F62-G62</f>
        <v/>
      </c>
    </row>
    <row r="63">
      <c r="B63" s="15" t="n">
        <v>50</v>
      </c>
      <c r="C63" s="15" t="n">
        <v>30</v>
      </c>
      <c r="D63" s="15" t="n">
        <v>2</v>
      </c>
      <c r="E63" s="15" t="inlineStr">
        <is>
          <t>ERW 1</t>
        </is>
      </c>
      <c r="F63" s="15" t="n">
        <v>17</v>
      </c>
      <c r="G63" s="15" t="n">
        <v>0</v>
      </c>
      <c r="H63" s="15" t="n"/>
      <c r="I63" s="15">
        <f>F63-G63</f>
        <v/>
      </c>
    </row>
    <row r="64">
      <c r="B64" s="15" t="n">
        <v>59</v>
      </c>
      <c r="C64" s="15" t="n">
        <v>30</v>
      </c>
      <c r="D64" s="15" t="n">
        <v>1.6</v>
      </c>
      <c r="E64" s="15" t="inlineStr">
        <is>
          <t>ERW 1</t>
        </is>
      </c>
      <c r="F64" s="15" t="n">
        <v>113</v>
      </c>
      <c r="G64" s="15" t="n">
        <v>0</v>
      </c>
      <c r="H64" s="15" t="n"/>
      <c r="I64" s="15">
        <f>F64-G64</f>
        <v/>
      </c>
    </row>
    <row r="65">
      <c r="B65" s="15" t="n">
        <v>48.6</v>
      </c>
      <c r="C65" s="15" t="n"/>
      <c r="D65" s="15" t="n">
        <v>3.5</v>
      </c>
      <c r="E65" s="15" t="inlineStr">
        <is>
          <t>ERW 1</t>
        </is>
      </c>
      <c r="F65" s="15" t="n">
        <v>53</v>
      </c>
      <c r="G65" s="15" t="n"/>
      <c r="H65" s="15" t="n">
        <v>26</v>
      </c>
      <c r="I65" s="15">
        <f>F65-G65</f>
        <v/>
      </c>
    </row>
    <row r="66">
      <c r="B66" s="15" t="n">
        <v>48.6</v>
      </c>
      <c r="C66" s="15" t="n"/>
      <c r="D66" s="15" t="n">
        <v>2</v>
      </c>
      <c r="E66" s="15" t="inlineStr">
        <is>
          <t>ERW 1</t>
        </is>
      </c>
      <c r="F66" s="15" t="n">
        <v>7</v>
      </c>
      <c r="G66" s="15" t="n">
        <v>7</v>
      </c>
      <c r="H66" s="15" t="n"/>
      <c r="I66" s="15">
        <f>F66-G66</f>
        <v/>
      </c>
    </row>
    <row r="67">
      <c r="B67" s="15" t="n">
        <v>48.6</v>
      </c>
      <c r="C67" s="15" t="n"/>
      <c r="D67" s="15" t="n">
        <v>1.2</v>
      </c>
      <c r="E67" s="15" t="inlineStr">
        <is>
          <t>ERW 1</t>
        </is>
      </c>
      <c r="F67" s="15" t="n">
        <v>15</v>
      </c>
      <c r="G67" s="15" t="n">
        <v>7.5</v>
      </c>
      <c r="H67" s="15" t="n"/>
      <c r="I67" s="15">
        <f>F67-G67</f>
        <v/>
      </c>
    </row>
    <row r="68">
      <c r="B68" s="15" t="n">
        <v>40</v>
      </c>
      <c r="C68" s="15" t="n">
        <v>20</v>
      </c>
      <c r="D68" s="15" t="n">
        <v>1.6</v>
      </c>
      <c r="E68" s="15" t="inlineStr">
        <is>
          <t>ERW 1</t>
        </is>
      </c>
      <c r="F68" s="15" t="n">
        <v>70</v>
      </c>
      <c r="G68" s="15" t="n">
        <v>47</v>
      </c>
      <c r="H68" s="15" t="n"/>
      <c r="I68" s="15">
        <f>F68-G68</f>
        <v/>
      </c>
    </row>
    <row r="69">
      <c r="B69" s="15" t="n">
        <v>41.28</v>
      </c>
      <c r="C69" s="15" t="n"/>
      <c r="D69" s="15" t="n">
        <v>2.6</v>
      </c>
      <c r="E69" s="15" t="inlineStr">
        <is>
          <t>ERW 1</t>
        </is>
      </c>
      <c r="F69" s="15" t="n">
        <v>6.2</v>
      </c>
      <c r="G69" s="15" t="n"/>
      <c r="H69" s="15" t="n"/>
      <c r="I69" s="15">
        <f>F69-G69</f>
        <v/>
      </c>
    </row>
    <row r="70">
      <c r="B70" s="15" t="n">
        <v>41.28</v>
      </c>
      <c r="C70" s="15" t="n"/>
      <c r="D70" s="15" t="n">
        <v>3.15</v>
      </c>
      <c r="E70" s="15" t="inlineStr">
        <is>
          <t>ERW 1</t>
        </is>
      </c>
      <c r="F70" s="15" t="n">
        <v>9</v>
      </c>
      <c r="G70" s="15" t="n">
        <v>16</v>
      </c>
      <c r="H70" s="15" t="n"/>
      <c r="I70" s="15">
        <f>F70-G70</f>
        <v/>
      </c>
    </row>
    <row r="71">
      <c r="B71" s="15" t="n">
        <v>38.1</v>
      </c>
      <c r="C71" s="15" t="n"/>
      <c r="D71" s="15" t="n">
        <v>1.6</v>
      </c>
      <c r="E71" s="15" t="inlineStr">
        <is>
          <t>ST52AL</t>
        </is>
      </c>
      <c r="F71" s="15" t="n">
        <v>15</v>
      </c>
      <c r="G71" s="15" t="n">
        <v>1.7</v>
      </c>
      <c r="H71" s="15" t="n"/>
      <c r="I71" s="15">
        <f>F71-G71</f>
        <v/>
      </c>
    </row>
    <row r="72">
      <c r="B72" s="15" t="n">
        <v>38.1</v>
      </c>
      <c r="C72" s="15" t="n"/>
      <c r="D72" s="15" t="n">
        <v>2</v>
      </c>
      <c r="E72" s="15" t="inlineStr">
        <is>
          <t>ERW 1</t>
        </is>
      </c>
      <c r="F72" s="15" t="n">
        <v>71</v>
      </c>
      <c r="G72" s="15" t="n">
        <v>12</v>
      </c>
      <c r="H72" s="15" t="n"/>
      <c r="I72" s="15">
        <f>F72-G72</f>
        <v/>
      </c>
    </row>
    <row r="73">
      <c r="B73" s="15" t="n">
        <v>34.93</v>
      </c>
      <c r="C73" s="15" t="n"/>
      <c r="D73" s="15" t="n">
        <v>1.2</v>
      </c>
      <c r="E73" s="15" t="inlineStr">
        <is>
          <t>ERW 1</t>
        </is>
      </c>
      <c r="F73" s="15" t="n">
        <v>60</v>
      </c>
      <c r="G73" s="15" t="n">
        <v>17</v>
      </c>
      <c r="H73" s="15" t="n"/>
      <c r="I73" s="15">
        <f>F73-G73</f>
        <v/>
      </c>
    </row>
    <row r="74">
      <c r="B74" s="15" t="n">
        <v>48</v>
      </c>
      <c r="C74" s="15" t="n"/>
      <c r="D74" s="15" t="n">
        <v>1.2</v>
      </c>
      <c r="E74" s="15" t="inlineStr">
        <is>
          <t>ERW 1</t>
        </is>
      </c>
      <c r="F74" s="15" t="n">
        <v>71</v>
      </c>
      <c r="G74" s="15" t="n">
        <v>47</v>
      </c>
      <c r="H74" s="15" t="n"/>
      <c r="I74" s="15">
        <f>F74-G74</f>
        <v/>
      </c>
    </row>
    <row r="75">
      <c r="B75" s="15" t="n">
        <v>25.4</v>
      </c>
      <c r="C75" s="15" t="n"/>
      <c r="D75" s="15" t="n">
        <v>2</v>
      </c>
      <c r="E75" s="15" t="inlineStr">
        <is>
          <t>ERW 1</t>
        </is>
      </c>
      <c r="F75" s="15" t="n">
        <v>63</v>
      </c>
      <c r="G75" s="15" t="n">
        <v>16</v>
      </c>
      <c r="H75" s="15" t="n"/>
      <c r="I75" s="15">
        <f>F75-G75</f>
        <v/>
      </c>
    </row>
    <row r="76">
      <c r="B76" s="15" t="n">
        <v>25.4</v>
      </c>
      <c r="C76" s="15" t="n"/>
      <c r="D76" s="15" t="n">
        <v>2.3</v>
      </c>
      <c r="E76" s="15" t="inlineStr">
        <is>
          <t>ERW 1</t>
        </is>
      </c>
      <c r="F76" s="15" t="n">
        <v>5</v>
      </c>
      <c r="G76" s="15" t="n"/>
      <c r="H76" s="15" t="n"/>
      <c r="I76" s="15">
        <f>F76-G76</f>
        <v/>
      </c>
    </row>
    <row r="77">
      <c r="B77" s="15" t="n">
        <v>25.4</v>
      </c>
      <c r="C77" s="15" t="n"/>
      <c r="D77" s="15" t="n">
        <v>2.5</v>
      </c>
      <c r="E77" s="15" t="inlineStr">
        <is>
          <t>ERW 1</t>
        </is>
      </c>
      <c r="F77" s="15" t="n">
        <v>42</v>
      </c>
      <c r="G77" s="15" t="n">
        <v>6</v>
      </c>
      <c r="H77" s="15" t="n"/>
      <c r="I77" s="15">
        <f>F77-G77</f>
        <v/>
      </c>
    </row>
    <row r="78">
      <c r="B78" s="15" t="n">
        <v>31.75</v>
      </c>
      <c r="C78" s="15" t="n"/>
      <c r="D78" s="15" t="n">
        <v>2</v>
      </c>
      <c r="E78" s="15" t="inlineStr">
        <is>
          <t>ERW 1</t>
        </is>
      </c>
      <c r="F78" s="15" t="n">
        <v>42</v>
      </c>
      <c r="G78" s="15" t="n">
        <v>6</v>
      </c>
      <c r="H78" s="15" t="n"/>
      <c r="I78" s="15">
        <f>F78-G78</f>
        <v/>
      </c>
    </row>
    <row r="79">
      <c r="B79" s="15" t="n">
        <v>31.75</v>
      </c>
      <c r="C79" s="15" t="n"/>
      <c r="D79" s="15" t="n">
        <v>2.5</v>
      </c>
      <c r="E79" s="15" t="inlineStr">
        <is>
          <t>ERW 1</t>
        </is>
      </c>
      <c r="F79" s="15" t="n">
        <v>5</v>
      </c>
      <c r="G79" s="15" t="n"/>
      <c r="H79" s="15" t="n"/>
      <c r="I79" s="15">
        <f>F79-G79</f>
        <v/>
      </c>
    </row>
    <row r="80">
      <c r="B80" s="15" t="n">
        <v>12.7</v>
      </c>
      <c r="C80" s="15" t="n"/>
      <c r="D80" s="15" t="n">
        <v>1.2</v>
      </c>
      <c r="E80" s="15" t="inlineStr">
        <is>
          <t>ERW 1</t>
        </is>
      </c>
      <c r="F80" s="15" t="n">
        <v>10</v>
      </c>
      <c r="G80" s="15" t="n">
        <v>12</v>
      </c>
      <c r="H80" s="15" t="n"/>
      <c r="I80" s="15">
        <f>F80-G80</f>
        <v/>
      </c>
    </row>
    <row r="81">
      <c r="B81" s="15" t="n">
        <v>12.7</v>
      </c>
      <c r="C81" s="15" t="n"/>
      <c r="D81" s="15" t="n">
        <v>1.6</v>
      </c>
      <c r="E81" s="15" t="inlineStr">
        <is>
          <t>ERW 1</t>
        </is>
      </c>
      <c r="F81" s="15" t="n">
        <v>48</v>
      </c>
      <c r="G81" s="15" t="n">
        <v>7</v>
      </c>
      <c r="H81" s="15" t="n"/>
      <c r="I81" s="15">
        <f>F81-G81</f>
        <v/>
      </c>
    </row>
    <row r="82">
      <c r="B82" s="15" t="n">
        <v>15.88</v>
      </c>
      <c r="C82" s="15" t="n"/>
      <c r="D82" s="15" t="n">
        <v>1</v>
      </c>
      <c r="E82" s="15" t="inlineStr">
        <is>
          <t>ERW 1</t>
        </is>
      </c>
      <c r="F82" s="15" t="n">
        <v>32</v>
      </c>
      <c r="G82" s="15" t="n">
        <v>6</v>
      </c>
      <c r="H82" s="15" t="n"/>
      <c r="I82" s="15">
        <f>F82-G82</f>
        <v/>
      </c>
    </row>
  </sheetData>
  <pageMargins left="0.7" right="0.7" top="0.75" bottom="0.75" header="0.3" footer="0.3"/>
  <pageSetup orientation="portrait" horizontalDpi="120" verticalDpi="72"/>
  <legacyDrawing xmlns:r="http://schemas.openxmlformats.org/officeDocument/2006/relationships" r:id="anysvml"/>
</worksheet>
</file>

<file path=xl/worksheets/sheet56.xml><?xml version="1.0" encoding="utf-8"?>
<worksheet xmlns="http://schemas.openxmlformats.org/spreadsheetml/2006/main">
  <sheetPr codeName="Sheet1">
    <outlinePr summaryBelow="1" summaryRight="1"/>
    <pageSetUpPr/>
  </sheetPr>
  <dimension ref="A1:H6"/>
  <sheetViews>
    <sheetView workbookViewId="0">
      <selection activeCell="H4" sqref="H4:H5"/>
    </sheetView>
  </sheetViews>
  <sheetFormatPr baseColWidth="8" defaultColWidth="6.5703125" defaultRowHeight="15"/>
  <cols>
    <col width="9" customWidth="1" style="584" min="1" max="2"/>
    <col width="7.28515625" customWidth="1" style="584" min="3" max="3"/>
    <col width="11.5703125" bestFit="1" customWidth="1" style="584" min="4" max="4"/>
    <col width="12.140625" bestFit="1" customWidth="1" style="584" min="5" max="5"/>
    <col width="9.85546875" bestFit="1" customWidth="1" style="584" min="6" max="6"/>
    <col width="8.85546875" bestFit="1" customWidth="1" style="584" min="7" max="7"/>
    <col width="22.7109375" bestFit="1" customWidth="1" style="584" min="8" max="8"/>
    <col width="15" bestFit="1" customWidth="1" style="584" min="9" max="9"/>
    <col width="23.7109375" bestFit="1" customWidth="1" style="584" min="10" max="10"/>
    <col width="21.85546875" bestFit="1" customWidth="1" style="584" min="11" max="11"/>
    <col width="12.140625" bestFit="1" customWidth="1" style="584" min="12" max="12"/>
    <col width="10.140625" bestFit="1" customWidth="1" style="584" min="13" max="13"/>
    <col width="12" bestFit="1" customWidth="1" style="584" min="14" max="14"/>
    <col width="7.7109375" bestFit="1" customWidth="1" style="584" min="15" max="15"/>
    <col width="15.5703125" bestFit="1" customWidth="1" style="584" min="16" max="16"/>
    <col width="13.7109375" bestFit="1" customWidth="1" style="584" min="17" max="21"/>
    <col width="7.28515625" bestFit="1" customWidth="1" style="584" min="22" max="22"/>
    <col width="17.85546875" bestFit="1" customWidth="1" style="584" min="23" max="23"/>
    <col width="20.5703125" bestFit="1" customWidth="1" style="584" min="24" max="24"/>
    <col width="31.28515625" bestFit="1" customWidth="1" style="584" min="25" max="25"/>
    <col width="14.85546875" bestFit="1" customWidth="1" style="584" min="26" max="26"/>
    <col width="29.7109375" bestFit="1" customWidth="1" style="584" min="27" max="27"/>
  </cols>
  <sheetData>
    <row r="1">
      <c r="A1" s="42" t="inlineStr">
        <is>
          <t>SCHEDULE</t>
        </is>
      </c>
      <c r="B1" t="inlineStr">
        <is>
          <t>(Multiple Items)</t>
        </is>
      </c>
    </row>
    <row r="3">
      <c r="A3" s="42" t="inlineStr">
        <is>
          <t>ACTUAL OD</t>
        </is>
      </c>
      <c r="B3" s="42" t="inlineStr">
        <is>
          <t>OD</t>
        </is>
      </c>
      <c r="C3" s="42" t="inlineStr">
        <is>
          <t>ID</t>
        </is>
      </c>
      <c r="D3" s="42" t="inlineStr">
        <is>
          <t>TICKNESS</t>
        </is>
      </c>
      <c r="E3" s="42" t="inlineStr">
        <is>
          <t>GRADE</t>
        </is>
      </c>
      <c r="F3" s="42" t="inlineStr">
        <is>
          <t>FC/NFC</t>
        </is>
      </c>
      <c r="G3" s="42" t="inlineStr">
        <is>
          <t>HR/CR</t>
        </is>
      </c>
      <c r="H3" t="inlineStr">
        <is>
          <t>Sum of SCHEDULE IN MT</t>
        </is>
      </c>
    </row>
    <row r="4">
      <c r="A4" s="43" t="n">
        <v>19.05</v>
      </c>
      <c r="B4" s="43" t="n">
        <v>19.05</v>
      </c>
      <c r="C4" t="n">
        <v>0</v>
      </c>
      <c r="D4" s="43" t="n">
        <v>2.3</v>
      </c>
      <c r="E4" t="inlineStr">
        <is>
          <t>ERW 1</t>
        </is>
      </c>
      <c r="F4" t="inlineStr">
        <is>
          <t>PE</t>
        </is>
      </c>
      <c r="G4" t="inlineStr">
        <is>
          <t>HR</t>
        </is>
      </c>
      <c r="H4" s="43" t="n">
        <v>44.68640503305001</v>
      </c>
    </row>
    <row r="5">
      <c r="A5" s="43" t="n">
        <v>22.23</v>
      </c>
      <c r="B5" s="43" t="n">
        <v>22.23</v>
      </c>
      <c r="C5" t="n">
        <v>0</v>
      </c>
      <c r="D5" s="43" t="n">
        <v>2.3</v>
      </c>
      <c r="E5" t="inlineStr">
        <is>
          <t>ERW 1</t>
        </is>
      </c>
      <c r="F5" t="inlineStr">
        <is>
          <t>PE</t>
        </is>
      </c>
      <c r="G5" t="inlineStr">
        <is>
          <t>HR</t>
        </is>
      </c>
      <c r="H5" s="43" t="n">
        <v>17.72790366759</v>
      </c>
    </row>
    <row r="6">
      <c r="A6" s="43" t="n">
        <v>57.15</v>
      </c>
      <c r="B6" s="43" t="n">
        <v>57.15</v>
      </c>
      <c r="C6" t="n">
        <v>0</v>
      </c>
      <c r="D6" s="43" t="n">
        <v>2.3</v>
      </c>
      <c r="E6" s="45" t="inlineStr">
        <is>
          <t>ERW 2</t>
        </is>
      </c>
      <c r="F6" t="inlineStr">
        <is>
          <t>FC</t>
        </is>
      </c>
      <c r="G6" t="inlineStr">
        <is>
          <t>CR</t>
        </is>
      </c>
      <c r="H6" s="43" t="n">
        <v>63.668949332625</v>
      </c>
    </row>
  </sheetData>
  <pageMargins left="0.7" right="0.7" top="0.75" bottom="0.75" header="0.3" footer="0.3"/>
  <pageSetup orientation="portrait" horizontalDpi="120" verticalDpi="72"/>
</worksheet>
</file>

<file path=xl/worksheets/sheet57.xml><?xml version="1.0" encoding="utf-8"?>
<worksheet xmlns="http://schemas.openxmlformats.org/spreadsheetml/2006/main">
  <sheetPr codeName="Sheet47">
    <outlinePr summaryBelow="1" summaryRight="1"/>
    <pageSetUpPr/>
  </sheetPr>
  <dimension ref="A1:E290"/>
  <sheetViews>
    <sheetView workbookViewId="0">
      <selection activeCell="D94" sqref="D94"/>
    </sheetView>
  </sheetViews>
  <sheetFormatPr baseColWidth="8" defaultRowHeight="15"/>
  <cols>
    <col width="28" bestFit="1" customWidth="1" style="584" min="4" max="4"/>
  </cols>
  <sheetData>
    <row r="1">
      <c r="A1" t="inlineStr">
        <is>
          <t>19.05-0-2-ERW 1-PE</t>
        </is>
      </c>
      <c r="B1" t="inlineStr">
        <is>
          <t>12.7-0-1.2-ERW 1-PE</t>
        </is>
      </c>
      <c r="D1" t="inlineStr">
        <is>
          <t>schedule unique</t>
        </is>
      </c>
      <c r="E1" t="inlineStr">
        <is>
          <t>sales forcast unique</t>
        </is>
      </c>
    </row>
    <row r="2">
      <c r="A2" t="inlineStr">
        <is>
          <t>19.05-0-1.6-ERW 1-PE</t>
        </is>
      </c>
      <c r="B2" t="inlineStr">
        <is>
          <t>12.7-0-1.6-ERW 1-PE</t>
        </is>
      </c>
      <c r="D2">
        <f t="array" ref="D2:D94">_xlfn.UNIQUE(A1:A290)</f>
        <v/>
      </c>
      <c r="E2">
        <f t="array" ref="E2:E108">_xlfn.UNIQUE(B1:B107)</f>
        <v/>
      </c>
    </row>
    <row r="3">
      <c r="A3" t="inlineStr">
        <is>
          <t>22.23-0-1.6-ERW 1-PE</t>
        </is>
      </c>
      <c r="B3" t="inlineStr">
        <is>
          <t>14-0-1.6-CEW-CEW</t>
        </is>
      </c>
      <c r="D3" t="inlineStr">
        <is>
          <t>19.05-0-1.6-ERW 1-PE</t>
        </is>
      </c>
      <c r="E3" t="inlineStr">
        <is>
          <t>12.7-0-1.6-ERW 1-PE</t>
        </is>
      </c>
    </row>
    <row r="4">
      <c r="A4" t="inlineStr">
        <is>
          <t>12.7-0-1.6-ERW 1-PE</t>
        </is>
      </c>
      <c r="B4" t="inlineStr">
        <is>
          <t>14-0-1.95-CEW-CEW</t>
        </is>
      </c>
      <c r="D4" t="inlineStr">
        <is>
          <t>22.23-0-1.6-ERW 1-PE</t>
        </is>
      </c>
      <c r="E4" t="inlineStr">
        <is>
          <t>14-0-1.6-CEW-CEW</t>
        </is>
      </c>
    </row>
    <row r="5">
      <c r="A5" t="inlineStr">
        <is>
          <t>12.7-0-1.6-ERW 1-PE</t>
        </is>
      </c>
      <c r="B5" t="inlineStr">
        <is>
          <t>14-0-2.5-CEW-CEW</t>
        </is>
      </c>
      <c r="D5" t="inlineStr">
        <is>
          <t>12.7-0-1.6-ERW 1-PE</t>
        </is>
      </c>
      <c r="E5" t="inlineStr">
        <is>
          <t>14-0-1.95-CEW-CEW</t>
        </is>
      </c>
    </row>
    <row r="6">
      <c r="A6" t="inlineStr">
        <is>
          <t>22.23-0-2-ERW 1-PE</t>
        </is>
      </c>
      <c r="B6" t="inlineStr">
        <is>
          <t>15.88-0-1-ERW 1-PE</t>
        </is>
      </c>
      <c r="D6" t="inlineStr">
        <is>
          <t>22.23-0-2-ERW 1-PE</t>
        </is>
      </c>
      <c r="E6" t="inlineStr">
        <is>
          <t>14-0-2.5-CEW-CEW</t>
        </is>
      </c>
    </row>
    <row r="7">
      <c r="A7" t="inlineStr">
        <is>
          <t>19.05-0-2.3-ERW 1-PE</t>
        </is>
      </c>
      <c r="B7" t="inlineStr">
        <is>
          <t>15.88-0-1.2-ERW 1-PE</t>
        </is>
      </c>
      <c r="D7" t="inlineStr">
        <is>
          <t>19.05-0-2.3-ERW 1-PE</t>
        </is>
      </c>
      <c r="E7" t="inlineStr">
        <is>
          <t>15.88-0-1-ERW 1-PE</t>
        </is>
      </c>
    </row>
    <row r="8">
      <c r="A8" t="inlineStr">
        <is>
          <t>19.05-0-1.6-ERW 1-PE</t>
        </is>
      </c>
      <c r="B8" t="inlineStr">
        <is>
          <t>15.88-0-1.6-ERW 1-PE</t>
        </is>
      </c>
      <c r="D8" t="inlineStr">
        <is>
          <t>15.88-0-1.6-ERW 1-PE</t>
        </is>
      </c>
      <c r="E8" t="inlineStr">
        <is>
          <t>15.88-0-1.2-ERW 1-PE</t>
        </is>
      </c>
    </row>
    <row r="9">
      <c r="A9" t="inlineStr">
        <is>
          <t>19.05-0-1.6-ERW 1-PE</t>
        </is>
      </c>
      <c r="B9" t="inlineStr">
        <is>
          <t>15.88-0-2-ERW 1-PE</t>
        </is>
      </c>
      <c r="D9" t="inlineStr">
        <is>
          <t>15.88-0-2-ERW 1-PE</t>
        </is>
      </c>
      <c r="E9" t="inlineStr">
        <is>
          <t>15.88-0-1.6-ERW 1-PE</t>
        </is>
      </c>
    </row>
    <row r="10">
      <c r="A10" t="inlineStr">
        <is>
          <t>19.05-0-2.3-ERW 1-PE</t>
        </is>
      </c>
      <c r="B10" t="inlineStr">
        <is>
          <t>16.1-0-2.8-CEW-CEW</t>
        </is>
      </c>
      <c r="D10" t="inlineStr">
        <is>
          <t>22.23-0-2.3-ERW 1-PE</t>
        </is>
      </c>
      <c r="E10" t="inlineStr">
        <is>
          <t>15.88-0-2-ERW 1-PE</t>
        </is>
      </c>
    </row>
    <row r="11">
      <c r="A11" t="inlineStr">
        <is>
          <t>19.05-0-2.3-ERW 1-PE</t>
        </is>
      </c>
      <c r="B11" t="inlineStr">
        <is>
          <t>16.1-10.4-2.7-CEW-CEW</t>
        </is>
      </c>
      <c r="D11" t="inlineStr">
        <is>
          <t>25.4-0-2-ERW 1-FC</t>
        </is>
      </c>
      <c r="E11" t="inlineStr">
        <is>
          <t>16.1-0-2.8-CEW-CEW</t>
        </is>
      </c>
    </row>
    <row r="12">
      <c r="A12" t="inlineStr">
        <is>
          <t>12.7-0-1.6-ERW 1-PE</t>
        </is>
      </c>
      <c r="B12" t="inlineStr">
        <is>
          <t>16.1-10.7-2.95-CEW-CEW</t>
        </is>
      </c>
      <c r="D12" t="inlineStr">
        <is>
          <t>12.7-0-1.2-ERW 1-PE</t>
        </is>
      </c>
      <c r="E12" t="inlineStr">
        <is>
          <t>16.1-10.4-2.7-CEW-CEW</t>
        </is>
      </c>
    </row>
    <row r="13">
      <c r="A13" t="inlineStr">
        <is>
          <t>15.88-0-1.6-ERW 1-PE</t>
        </is>
      </c>
      <c r="B13" t="inlineStr">
        <is>
          <t>17.3-0-1.2-ERW 1-PE</t>
        </is>
      </c>
      <c r="D13" t="inlineStr">
        <is>
          <t>19-12.5-3.25-CEW-CEW</t>
        </is>
      </c>
      <c r="E13" t="inlineStr">
        <is>
          <t>16.1-10.7-2.95-CEW-CEW</t>
        </is>
      </c>
    </row>
    <row r="14">
      <c r="A14" t="inlineStr">
        <is>
          <t>15.88-0-2-ERW 1-PE</t>
        </is>
      </c>
      <c r="B14" t="inlineStr">
        <is>
          <t>17.3-0-1.6-ERW 1-PE</t>
        </is>
      </c>
      <c r="D14" t="inlineStr">
        <is>
          <t>22.23-0-1.2-ERW 1-PE</t>
        </is>
      </c>
      <c r="E14" t="inlineStr">
        <is>
          <t>17.3-0-1.2-ERW 1-PE</t>
        </is>
      </c>
    </row>
    <row r="15">
      <c r="A15" t="inlineStr">
        <is>
          <t>15.88-0-2-ERW 1-PE</t>
        </is>
      </c>
      <c r="B15" t="inlineStr">
        <is>
          <t>18-10.8-3.6-CEW-CEW</t>
        </is>
      </c>
      <c r="D15" t="inlineStr">
        <is>
          <t>15.88-0-1.2-ERW 1-PE</t>
        </is>
      </c>
      <c r="E15" t="inlineStr">
        <is>
          <t>17.3-0-1.6-ERW 1-PE</t>
        </is>
      </c>
    </row>
    <row r="16">
      <c r="A16" t="inlineStr">
        <is>
          <t>22.23-0-2.3-ERW 1-PE</t>
        </is>
      </c>
      <c r="B16" t="inlineStr">
        <is>
          <t>18.2-0-1-ERW 1-PE</t>
        </is>
      </c>
      <c r="D16" t="inlineStr">
        <is>
          <t>17.3-0-1.6-ERW 1-PE</t>
        </is>
      </c>
      <c r="E16" t="inlineStr">
        <is>
          <t>18-10.8-3.6-CEW-CEW</t>
        </is>
      </c>
    </row>
    <row r="17">
      <c r="A17" t="inlineStr">
        <is>
          <t>22.23-0-2.3-ERW 1-PE</t>
        </is>
      </c>
      <c r="B17" t="inlineStr">
        <is>
          <t>18.2-12.3-2.95-CEW-CEW</t>
        </is>
      </c>
      <c r="D17" t="inlineStr">
        <is>
          <t>28.58-0-1.6-ERW 1-PE</t>
        </is>
      </c>
      <c r="E17" t="inlineStr">
        <is>
          <t>18.2-0-1-ERW 1-PE</t>
        </is>
      </c>
    </row>
    <row r="18">
      <c r="A18" t="inlineStr">
        <is>
          <t>25.4-0-2-ERW 1-FC</t>
        </is>
      </c>
      <c r="B18" t="inlineStr">
        <is>
          <t>19-12.5-3.25-CEW-CEW</t>
        </is>
      </c>
      <c r="D18" t="inlineStr">
        <is>
          <t>21.7-16.2-2.75-CEW-CEW</t>
        </is>
      </c>
      <c r="E18" t="inlineStr">
        <is>
          <t>18.2-12.3-2.95-CEW-CEW</t>
        </is>
      </c>
    </row>
    <row r="19">
      <c r="A19" t="inlineStr">
        <is>
          <t>22.23-0-1.6-ERW 1-PE</t>
        </is>
      </c>
      <c r="B19" t="inlineStr">
        <is>
          <t>19.05-0-1-ERW 1-PE</t>
        </is>
      </c>
      <c r="D19" t="inlineStr">
        <is>
          <t>57.15-0-2.3-ERW 2-FC</t>
        </is>
      </c>
      <c r="E19" t="inlineStr">
        <is>
          <t>19-12.5-3.25-CEW-CEW</t>
        </is>
      </c>
    </row>
    <row r="20">
      <c r="A20" t="inlineStr">
        <is>
          <t>19.05-0-2.3-ERW 1-PE</t>
        </is>
      </c>
      <c r="B20" t="inlineStr">
        <is>
          <t>19.05-0-1.2-ERW 1-PE</t>
        </is>
      </c>
      <c r="D20" t="inlineStr">
        <is>
          <t>38.1-0-1.6-ERW 1-FC</t>
        </is>
      </c>
      <c r="E20" t="inlineStr">
        <is>
          <t>19.05-0-1-ERW 1-PE</t>
        </is>
      </c>
    </row>
    <row r="21">
      <c r="A21" t="inlineStr">
        <is>
          <t>22.23-0-1.6-ERW 1-PE</t>
        </is>
      </c>
      <c r="B21" t="inlineStr">
        <is>
          <t>19.05-0-1.6-ERW 1-PE</t>
        </is>
      </c>
      <c r="D21" t="inlineStr">
        <is>
          <t>38.1-0-2-ERW 1-FC</t>
        </is>
      </c>
      <c r="E21" t="inlineStr">
        <is>
          <t>19.05-0-1.2-ERW 1-PE</t>
        </is>
      </c>
    </row>
    <row r="22">
      <c r="A22" t="inlineStr">
        <is>
          <t>19.05-0-2.3-ERW 1-PE</t>
        </is>
      </c>
      <c r="B22" t="inlineStr">
        <is>
          <t>19.05-0-1.6-ERW 2 MAHS-PE</t>
        </is>
      </c>
      <c r="D22" t="inlineStr">
        <is>
          <t>38.1-0-2-ERW 1-PE</t>
        </is>
      </c>
      <c r="E22" t="inlineStr">
        <is>
          <t>19.05-0-1.6-ERW 1-PE</t>
        </is>
      </c>
    </row>
    <row r="23">
      <c r="A23" t="inlineStr">
        <is>
          <t>19.05-0-2.3-ERW 1-PE</t>
        </is>
      </c>
      <c r="B23" t="inlineStr">
        <is>
          <t>19.05-0-2-ERW 1-PE</t>
        </is>
      </c>
      <c r="D23" t="inlineStr">
        <is>
          <t>50.8-0-1.6-ERW 1-FC</t>
        </is>
      </c>
      <c r="E23" t="inlineStr">
        <is>
          <t>19.05-0-1.6-ERW 2 MAHS-PE</t>
        </is>
      </c>
    </row>
    <row r="24">
      <c r="A24" t="inlineStr">
        <is>
          <t>22.23-0-1.6-ERW 1-PE</t>
        </is>
      </c>
      <c r="B24" t="inlineStr">
        <is>
          <t>19.05-0-2.3-ERW 1-PE</t>
        </is>
      </c>
      <c r="D24" t="inlineStr">
        <is>
          <t>18.2-0-1-ERW 1-PE</t>
        </is>
      </c>
      <c r="E24" t="inlineStr">
        <is>
          <t>19.05-0-2-ERW 1-PE</t>
        </is>
      </c>
    </row>
    <row r="25">
      <c r="A25" t="inlineStr">
        <is>
          <t>19.05-0-2-ERW 1-PE</t>
        </is>
      </c>
      <c r="B25" t="inlineStr">
        <is>
          <t>20-12.4-3.8-CEW-CEW</t>
        </is>
      </c>
      <c r="D25" t="inlineStr">
        <is>
          <t>48.6-0-3.5-ERW 1-FC</t>
        </is>
      </c>
      <c r="E25" t="inlineStr">
        <is>
          <t>19.05-0-2.3-ERW 1-PE</t>
        </is>
      </c>
    </row>
    <row r="26">
      <c r="A26" t="inlineStr">
        <is>
          <t>22.23-0-1.6-ERW 1-PE</t>
        </is>
      </c>
      <c r="B26" t="inlineStr">
        <is>
          <t>20-12.4-4.5-CEW-CEW</t>
        </is>
      </c>
      <c r="D26" t="inlineStr">
        <is>
          <t>20-12.4-3.8-CEW-CEW</t>
        </is>
      </c>
      <c r="E26" t="inlineStr">
        <is>
          <t>20-12.4-3.8-CEW-CEW</t>
        </is>
      </c>
    </row>
    <row r="27">
      <c r="A27" t="inlineStr">
        <is>
          <t>22.23-0-1.6-ERW 1-PE</t>
        </is>
      </c>
      <c r="B27" t="inlineStr">
        <is>
          <t>20-17.16-1.42-CEW-CEW</t>
        </is>
      </c>
      <c r="D27" t="inlineStr">
        <is>
          <t>20-12.4-4.5-CEW-CEW</t>
        </is>
      </c>
      <c r="E27" t="inlineStr">
        <is>
          <t>20-12.4-4.5-CEW-CEW</t>
        </is>
      </c>
    </row>
    <row r="28">
      <c r="A28" t="inlineStr">
        <is>
          <t>12.7-0-1.2-ERW 1-PE</t>
        </is>
      </c>
      <c r="B28" t="inlineStr">
        <is>
          <t>21.7-16.2-2.75-CEW-CEW</t>
        </is>
      </c>
      <c r="D28" t="inlineStr">
        <is>
          <t>25.4-0-2-ERW 1-PE</t>
        </is>
      </c>
      <c r="E28" t="inlineStr">
        <is>
          <t>20-17.16-1.42-CEW-CEW</t>
        </is>
      </c>
    </row>
    <row r="29">
      <c r="A29" t="inlineStr">
        <is>
          <t>19-12.5-3.25-CEW-CEW</t>
        </is>
      </c>
      <c r="B29" t="inlineStr">
        <is>
          <t>21.75-0-3.5-CEW-CEW</t>
        </is>
      </c>
      <c r="D29" t="inlineStr">
        <is>
          <t>17.3-0-1.2-ERW 1-PE</t>
        </is>
      </c>
      <c r="E29" t="inlineStr">
        <is>
          <t>21.7-16.2-2.75-CEW-CEW</t>
        </is>
      </c>
    </row>
    <row r="30">
      <c r="A30" t="inlineStr">
        <is>
          <t>12.7-0-1.6-ERW 1-PE</t>
        </is>
      </c>
      <c r="B30" t="inlineStr">
        <is>
          <t>22.23-0-1.2-ERW 1-PE</t>
        </is>
      </c>
      <c r="D30" t="inlineStr">
        <is>
          <t>25.4-19-3.2-CEW-CEW</t>
        </is>
      </c>
      <c r="E30" t="inlineStr">
        <is>
          <t>21.75-0-3.5-CEW-CEW</t>
        </is>
      </c>
    </row>
    <row r="31">
      <c r="A31" t="inlineStr">
        <is>
          <t>15.88-0-1.6-ERW 1-PE</t>
        </is>
      </c>
      <c r="B31" t="inlineStr">
        <is>
          <t>22.23-0-1.6-ERW 1-PE</t>
        </is>
      </c>
      <c r="D31" t="inlineStr">
        <is>
          <t>20-17.16-1.42-CEW-CEW</t>
        </is>
      </c>
      <c r="E31" t="inlineStr">
        <is>
          <t>22.23-0-1.2-ERW 1-PE</t>
        </is>
      </c>
    </row>
    <row r="32">
      <c r="A32" t="inlineStr">
        <is>
          <t>19.05-0-2.3-ERW 1-PE</t>
        </is>
      </c>
      <c r="B32" t="inlineStr">
        <is>
          <t>22.23-0-1.6-ERW 2 MAHS-PE</t>
        </is>
      </c>
      <c r="D32" t="inlineStr">
        <is>
          <t>19.05-0-1-ERW 1-PE</t>
        </is>
      </c>
      <c r="E32" t="inlineStr">
        <is>
          <t>22.23-0-1.6-ERW 1-PE</t>
        </is>
      </c>
    </row>
    <row r="33">
      <c r="A33" t="inlineStr">
        <is>
          <t>12.7-0-1.6-ERW 1-PE</t>
        </is>
      </c>
      <c r="B33" t="inlineStr">
        <is>
          <t>22.23-0-2-ERW 1-FC</t>
        </is>
      </c>
      <c r="D33" t="inlineStr">
        <is>
          <t>37.95-32-2.95-CEW-CEW</t>
        </is>
      </c>
      <c r="E33" t="inlineStr">
        <is>
          <t>22.23-0-1.6-ERW 2 MAHS-PE</t>
        </is>
      </c>
    </row>
    <row r="34">
      <c r="A34" t="inlineStr">
        <is>
          <t>12.7-0-1.2-ERW 1-PE</t>
        </is>
      </c>
      <c r="B34" t="inlineStr">
        <is>
          <t>22.23-0-2-ERW 1-PE</t>
        </is>
      </c>
      <c r="D34" t="inlineStr">
        <is>
          <t>15.88-0-1-ERW 1-PE</t>
        </is>
      </c>
      <c r="E34" t="inlineStr">
        <is>
          <t>22.23-0-2-ERW 1-FC</t>
        </is>
      </c>
    </row>
    <row r="35">
      <c r="A35" t="inlineStr">
        <is>
          <t>12.7-0-1.6-ERW 1-PE</t>
        </is>
      </c>
      <c r="B35" t="inlineStr">
        <is>
          <t>22.23-0-2-ERW 2 MAHS-PE</t>
        </is>
      </c>
      <c r="D35" t="inlineStr">
        <is>
          <t>50-30-2-ERW 1-FC</t>
        </is>
      </c>
      <c r="E35" t="inlineStr">
        <is>
          <t>22.23-0-2-ERW 1-PE</t>
        </is>
      </c>
    </row>
    <row r="36">
      <c r="A36" t="inlineStr">
        <is>
          <t>22.23-0-1.2-ERW 1-PE</t>
        </is>
      </c>
      <c r="B36" t="inlineStr">
        <is>
          <t>22.23-0-2.3-ERW 1-PE</t>
        </is>
      </c>
      <c r="D36" t="inlineStr">
        <is>
          <t>31.75-0-1.2-ERW 1-PE</t>
        </is>
      </c>
      <c r="E36" t="inlineStr">
        <is>
          <t>22.23-0-2-ERW 2 MAHS-PE</t>
        </is>
      </c>
    </row>
    <row r="37">
      <c r="A37" t="inlineStr">
        <is>
          <t>15.88-0-1.2-ERW 1-PE</t>
        </is>
      </c>
      <c r="B37" t="inlineStr">
        <is>
          <t>19-19-1-CRFH-PE</t>
        </is>
      </c>
      <c r="D37" t="inlineStr">
        <is>
          <t>25.4-0-1.2-ERW 1-PE</t>
        </is>
      </c>
      <c r="E37" t="inlineStr">
        <is>
          <t>22.23-0-2.3-ERW 1-PE</t>
        </is>
      </c>
    </row>
    <row r="38">
      <c r="A38" t="inlineStr">
        <is>
          <t>17.3-0-1.6-ERW 1-PE</t>
        </is>
      </c>
      <c r="B38" t="inlineStr">
        <is>
          <t>19-19-1.2-CRFH-PE</t>
        </is>
      </c>
      <c r="D38" t="inlineStr">
        <is>
          <t>19.05-0-1.2-ERW 1-PE</t>
        </is>
      </c>
      <c r="E38" t="inlineStr">
        <is>
          <t>19-19-1-CRFH-PE</t>
        </is>
      </c>
    </row>
    <row r="39">
      <c r="A39" t="inlineStr">
        <is>
          <t>28.58-0-1.6-ERW 1-PE</t>
        </is>
      </c>
      <c r="B39" t="inlineStr">
        <is>
          <t>25.4-0-1.2-ERW 1-PE</t>
        </is>
      </c>
      <c r="D39" t="inlineStr">
        <is>
          <t>54-0-3-ERW 2-FC</t>
        </is>
      </c>
      <c r="E39" t="inlineStr">
        <is>
          <t>19-19-1.2-CRFH-PE</t>
        </is>
      </c>
    </row>
    <row r="40">
      <c r="A40" t="inlineStr">
        <is>
          <t>21.7-16.2-2.75-CEW-CEW</t>
        </is>
      </c>
      <c r="B40" t="inlineStr">
        <is>
          <t>25.4-0-1.4-ERW 2-PE</t>
        </is>
      </c>
      <c r="D40" t="inlineStr">
        <is>
          <t>63.5-0-4-ERW 1-FC</t>
        </is>
      </c>
      <c r="E40" t="inlineStr">
        <is>
          <t>25.4-0-1.2-ERW 1-PE</t>
        </is>
      </c>
    </row>
    <row r="41">
      <c r="A41" t="inlineStr">
        <is>
          <t>22.23-0-2-ERW 1-PE</t>
        </is>
      </c>
      <c r="B41" t="inlineStr">
        <is>
          <t>25.4-0-1.6-ERW 1-FC</t>
        </is>
      </c>
      <c r="D41" t="inlineStr">
        <is>
          <t>50-50-1.6-ERW 2-PE</t>
        </is>
      </c>
      <c r="E41" t="inlineStr">
        <is>
          <t>25.4-0-1.4-ERW 2-PE</t>
        </is>
      </c>
    </row>
    <row r="42">
      <c r="A42" t="inlineStr">
        <is>
          <t>22.23-0-2-ERW 1-PE</t>
        </is>
      </c>
      <c r="B42" t="inlineStr">
        <is>
          <t>25.4-0-1.6-ERW 1-PE</t>
        </is>
      </c>
      <c r="D42" t="inlineStr">
        <is>
          <t>70-0-3.2-ERW 2-FC</t>
        </is>
      </c>
      <c r="E42" t="inlineStr">
        <is>
          <t>25.4-0-1.6-ERW 1-FC</t>
        </is>
      </c>
    </row>
    <row r="43">
      <c r="A43" t="inlineStr">
        <is>
          <t>22.23-0-1.6-ERW 1-PE</t>
        </is>
      </c>
      <c r="B43" t="inlineStr">
        <is>
          <t>25.4-0-2-ERW 1-FC</t>
        </is>
      </c>
      <c r="D43" t="inlineStr">
        <is>
          <t>42.7-0-3.5-ERW 1-FC</t>
        </is>
      </c>
      <c r="E43" t="inlineStr">
        <is>
          <t>25.4-0-1.6-ERW 1-PE</t>
        </is>
      </c>
    </row>
    <row r="44">
      <c r="A44" t="inlineStr">
        <is>
          <t>22.23-0-1.6-ERW 1-PE</t>
        </is>
      </c>
      <c r="B44" t="inlineStr">
        <is>
          <t>25.4-0-2-ERW 1-PE</t>
        </is>
      </c>
      <c r="D44" t="inlineStr">
        <is>
          <t>30-25.5-2.25-CEW-CEW</t>
        </is>
      </c>
      <c r="E44" t="inlineStr">
        <is>
          <t>25.4-0-2-ERW 1-FC</t>
        </is>
      </c>
    </row>
    <row r="45">
      <c r="A45" t="inlineStr">
        <is>
          <t>57.15-0-2.3-ERW 2-FC</t>
        </is>
      </c>
      <c r="B45" t="inlineStr">
        <is>
          <t>25.4-0-2.5-CEW-CEW</t>
        </is>
      </c>
      <c r="D45" t="inlineStr">
        <is>
          <t>31.75-0-2.5-ERW 1-FC</t>
        </is>
      </c>
      <c r="E45" t="inlineStr">
        <is>
          <t>25.4-0-2-ERW 1-PE</t>
        </is>
      </c>
    </row>
    <row r="46">
      <c r="A46" t="inlineStr">
        <is>
          <t>38.1-0-1.6-ERW 1-FC</t>
        </is>
      </c>
      <c r="B46" t="inlineStr">
        <is>
          <t>25.4-18.4-3.5-CEW-CEW</t>
        </is>
      </c>
      <c r="D46" t="inlineStr">
        <is>
          <t>25.4-0-2.5-CEW-CEW</t>
        </is>
      </c>
      <c r="E46" t="inlineStr">
        <is>
          <t>25.4-0-2.5-CEW-CEW</t>
        </is>
      </c>
    </row>
    <row r="47">
      <c r="A47" t="inlineStr">
        <is>
          <t>38.1-0-2-ERW 1-FC</t>
        </is>
      </c>
      <c r="B47" t="inlineStr">
        <is>
          <t>25.4-19-3.2-CEW-CEW</t>
        </is>
      </c>
      <c r="D47" t="inlineStr">
        <is>
          <t>40-30-1.6-ERW 1-FC</t>
        </is>
      </c>
      <c r="E47" t="inlineStr">
        <is>
          <t>25.4-18.4-3.5-CEW-CEW</t>
        </is>
      </c>
    </row>
    <row r="48">
      <c r="A48" t="inlineStr">
        <is>
          <t>38.1-0-2-ERW 1-PE</t>
        </is>
      </c>
      <c r="B48" t="inlineStr">
        <is>
          <t>25.4-0-2.5-ERW 1-FC</t>
        </is>
      </c>
      <c r="D48" t="inlineStr">
        <is>
          <t>60.3-0-2-ERW 1-FC</t>
        </is>
      </c>
      <c r="E48" t="inlineStr">
        <is>
          <t>25.4-19-3.2-CEW-CEW</t>
        </is>
      </c>
    </row>
    <row r="49">
      <c r="A49" t="inlineStr">
        <is>
          <t>50.8-0-1.6-ERW 1-FC</t>
        </is>
      </c>
      <c r="B49" t="inlineStr">
        <is>
          <t>28.58-0-1.2-ERW 1-PE</t>
        </is>
      </c>
      <c r="D49" t="inlineStr">
        <is>
          <t>40-30-2-ERW 1-FC</t>
        </is>
      </c>
      <c r="E49" t="inlineStr">
        <is>
          <t>25.4-0-2.5-ERW 1-FC</t>
        </is>
      </c>
    </row>
    <row r="50">
      <c r="A50" t="inlineStr">
        <is>
          <t>22.23-0-1.6-ERW 1-PE</t>
        </is>
      </c>
      <c r="B50" t="inlineStr">
        <is>
          <t>28.58-0-1.6-ERW 1-FC</t>
        </is>
      </c>
      <c r="D50" t="inlineStr">
        <is>
          <t>57.15-0-2.5-ERW 1-FC</t>
        </is>
      </c>
      <c r="E50" t="inlineStr">
        <is>
          <t>28.58-0-1.2-ERW 1-PE</t>
        </is>
      </c>
    </row>
    <row r="51">
      <c r="A51" t="inlineStr">
        <is>
          <t>22.23-0-1.6-ERW 1-PE</t>
        </is>
      </c>
      <c r="B51" t="inlineStr">
        <is>
          <t>28.58-0-1.6-ERW 1-PE</t>
        </is>
      </c>
      <c r="D51" t="inlineStr">
        <is>
          <t>16.1-10.4-2.7-CEW-CEW</t>
        </is>
      </c>
      <c r="E51" t="inlineStr">
        <is>
          <t>28.58-0-1.6-ERW 1-FC</t>
        </is>
      </c>
    </row>
    <row r="52">
      <c r="A52" t="inlineStr">
        <is>
          <t>18.2-0-1-ERW 1-PE</t>
        </is>
      </c>
      <c r="B52" t="inlineStr">
        <is>
          <t>28.58-0-2-ERW 1-FC</t>
        </is>
      </c>
      <c r="D52" t="inlineStr">
        <is>
          <t>42.7-0-4-ERW 1-FC</t>
        </is>
      </c>
      <c r="E52" t="inlineStr">
        <is>
          <t>28.58-0-1.6-ERW 1-PE</t>
        </is>
      </c>
    </row>
    <row r="53">
      <c r="A53" t="inlineStr">
        <is>
          <t>18.2-0-1-ERW 1-PE</t>
        </is>
      </c>
      <c r="B53" t="inlineStr">
        <is>
          <t>28.58-0-3.2-ERW 1-FC</t>
        </is>
      </c>
      <c r="D53" t="inlineStr">
        <is>
          <t>19.05-0-1.6-ERW 2 MAHS-PE</t>
        </is>
      </c>
      <c r="E53" t="inlineStr">
        <is>
          <t>28.58-0-2-ERW 1-FC</t>
        </is>
      </c>
    </row>
    <row r="54">
      <c r="A54" t="inlineStr">
        <is>
          <t>48.6-0-3.5-ERW 1-FC</t>
        </is>
      </c>
      <c r="B54" t="inlineStr">
        <is>
          <t>28.6-0-2.65-CEW-CEW</t>
        </is>
      </c>
      <c r="D54" t="inlineStr">
        <is>
          <t>18.2-12.3-2.95-CEW-CEW</t>
        </is>
      </c>
      <c r="E54" t="inlineStr">
        <is>
          <t>28.58-0-3.2-ERW 1-FC</t>
        </is>
      </c>
    </row>
    <row r="55">
      <c r="A55" t="inlineStr">
        <is>
          <t>20-12.4-3.8-CEW-CEW</t>
        </is>
      </c>
      <c r="B55" t="inlineStr">
        <is>
          <t>29.4-20.4-4.5-CEW-CEW</t>
        </is>
      </c>
      <c r="D55" t="inlineStr">
        <is>
          <t>41.28-0-3.2-ERW 1-FC</t>
        </is>
      </c>
      <c r="E55" t="inlineStr">
        <is>
          <t>28.6-0-2.65-CEW-CEW</t>
        </is>
      </c>
    </row>
    <row r="56">
      <c r="A56" t="inlineStr">
        <is>
          <t>20-12.4-4.5-CEW-CEW</t>
        </is>
      </c>
      <c r="B56" t="inlineStr">
        <is>
          <t>29.4-20.4-4.5-CEW STKM 13C-CEW</t>
        </is>
      </c>
      <c r="D56" t="inlineStr">
        <is>
          <t>39-34-2.5-CEW-CEW</t>
        </is>
      </c>
      <c r="E56" t="inlineStr">
        <is>
          <t>29.4-20.4-4.5-CEW-CEW</t>
        </is>
      </c>
    </row>
    <row r="57">
      <c r="A57" t="inlineStr">
        <is>
          <t>28.58-0-1.6-ERW 1-PE</t>
        </is>
      </c>
      <c r="B57" t="inlineStr">
        <is>
          <t>30-25.5-2.25-CEW-CEW</t>
        </is>
      </c>
      <c r="D57" t="inlineStr">
        <is>
          <t>50-30-1.6-ERW 1-FC</t>
        </is>
      </c>
      <c r="E57" t="inlineStr">
        <is>
          <t>29.4-20.4-4.5-CEW STKM 13C-CEW</t>
        </is>
      </c>
    </row>
    <row r="58">
      <c r="A58" t="inlineStr">
        <is>
          <t>25.4-0-2-ERW 1-PE</t>
        </is>
      </c>
      <c r="B58" t="inlineStr">
        <is>
          <t>25-25-1.2-CRFH-PE</t>
        </is>
      </c>
      <c r="D58" t="inlineStr">
        <is>
          <t>25.4-0-1.6-ERW 1-PE</t>
        </is>
      </c>
      <c r="E58" t="inlineStr">
        <is>
          <t>30-25.5-2.25-CEW-CEW</t>
        </is>
      </c>
    </row>
    <row r="59">
      <c r="A59" t="inlineStr">
        <is>
          <t>17.3-0-1.2-ERW 1-PE</t>
        </is>
      </c>
      <c r="B59" t="inlineStr">
        <is>
          <t>31.75-0-1.2-ERW 1-FC</t>
        </is>
      </c>
      <c r="D59" t="inlineStr">
        <is>
          <t>29.4-20.4-4.5-CEW STKM 13C-CEW</t>
        </is>
      </c>
      <c r="E59" t="inlineStr">
        <is>
          <t>25-25-1.2-CRFH-PE</t>
        </is>
      </c>
    </row>
    <row r="60">
      <c r="A60" t="inlineStr">
        <is>
          <t>25.4-19-3.2-CEW-CEW</t>
        </is>
      </c>
      <c r="B60" t="inlineStr">
        <is>
          <t>31.75-0-1.2-ERW 1-PE</t>
        </is>
      </c>
      <c r="D60" t="inlineStr">
        <is>
          <t>48.6-0-1.2-ERW 1-FC</t>
        </is>
      </c>
      <c r="E60" t="inlineStr">
        <is>
          <t>31.75-0-1.2-ERW 1-FC</t>
        </is>
      </c>
    </row>
    <row r="61">
      <c r="A61" t="inlineStr">
        <is>
          <t>38.1-0-2-ERW 1-FC</t>
        </is>
      </c>
      <c r="B61" t="inlineStr">
        <is>
          <t>31.75-0-1.6-ERW 1-FC</t>
        </is>
      </c>
      <c r="D61" t="inlineStr">
        <is>
          <t>38.1-0-1.6-ERW 2 MAHS-FC</t>
        </is>
      </c>
      <c r="E61" t="inlineStr">
        <is>
          <t>31.75-0-1.2-ERW 1-PE</t>
        </is>
      </c>
    </row>
    <row r="62">
      <c r="A62" t="inlineStr">
        <is>
          <t>18.2-0-1-ERW 1-PE</t>
        </is>
      </c>
      <c r="B62" t="inlineStr">
        <is>
          <t>31.75-0-2.5-ERW 1-FC</t>
        </is>
      </c>
      <c r="D62" t="inlineStr">
        <is>
          <t>40-25-1.6-ERW 1-FC</t>
        </is>
      </c>
      <c r="E62" t="inlineStr">
        <is>
          <t>31.75-0-1.6-ERW 1-FC</t>
        </is>
      </c>
    </row>
    <row r="63">
      <c r="A63" t="inlineStr">
        <is>
          <t>12.7-0-1.6-ERW 1-PE</t>
        </is>
      </c>
      <c r="B63" t="inlineStr">
        <is>
          <t>31.75-25-3.37-CEW-CEW</t>
        </is>
      </c>
      <c r="D63" t="inlineStr">
        <is>
          <t>25.4-0-1.6-ERW 1-FC</t>
        </is>
      </c>
      <c r="E63" t="inlineStr">
        <is>
          <t>31.75-0-2.5-ERW 1-FC</t>
        </is>
      </c>
    </row>
    <row r="64">
      <c r="A64" t="inlineStr">
        <is>
          <t>22.23-0-1.6-ERW 1-PE</t>
        </is>
      </c>
      <c r="B64" t="inlineStr">
        <is>
          <t>32-0-4.5-CEW-CEW</t>
        </is>
      </c>
      <c r="D64" t="inlineStr">
        <is>
          <t>25.4-18.4-3.5-CEW-CEW</t>
        </is>
      </c>
      <c r="E64" t="inlineStr">
        <is>
          <t>31.75-25-3.37-CEW-CEW</t>
        </is>
      </c>
    </row>
    <row r="65">
      <c r="A65" t="inlineStr">
        <is>
          <t>38.1-0-1.6-ERW 1-FC</t>
        </is>
      </c>
      <c r="B65" t="inlineStr">
        <is>
          <t>33.3-29.3-2-CEW-CEW</t>
        </is>
      </c>
      <c r="D65" t="inlineStr">
        <is>
          <t>22.23-0-2-ERW 2 MAHS-PE</t>
        </is>
      </c>
      <c r="E65" t="inlineStr">
        <is>
          <t>32-0-4.5-CEW-CEW</t>
        </is>
      </c>
    </row>
    <row r="66">
      <c r="A66" t="inlineStr">
        <is>
          <t>19.05-0-2.3-ERW 1-PE</t>
        </is>
      </c>
      <c r="B66" t="inlineStr">
        <is>
          <t>34.93-0-1.2-ERW 1-FC</t>
        </is>
      </c>
      <c r="D66" t="inlineStr">
        <is>
          <t>22.23-0-1.6-ERW 2 MAHS-PE</t>
        </is>
      </c>
      <c r="E66" t="inlineStr">
        <is>
          <t>33.3-29.3-2-CEW-CEW</t>
        </is>
      </c>
    </row>
    <row r="67">
      <c r="A67" t="inlineStr">
        <is>
          <t>25.4-19-3.2-CEW-CEW</t>
        </is>
      </c>
      <c r="B67" t="inlineStr">
        <is>
          <t>34.93-0-1.6-ERW 1-FC</t>
        </is>
      </c>
      <c r="D67" t="inlineStr">
        <is>
          <t>31.75-0-1.2-ERW 1-FC</t>
        </is>
      </c>
      <c r="E67" t="inlineStr">
        <is>
          <t>34.93-0-1.2-ERW 1-FC</t>
        </is>
      </c>
    </row>
    <row r="68">
      <c r="A68" t="inlineStr">
        <is>
          <t>20-17.16-1.42-CEW-CEW</t>
        </is>
      </c>
      <c r="B68" t="inlineStr">
        <is>
          <t>34.93-0-2.6-ERW 1-FC</t>
        </is>
      </c>
      <c r="D68" t="inlineStr">
        <is>
          <t>28.58-0-1.2-ERW 1-PE</t>
        </is>
      </c>
      <c r="E68" t="inlineStr">
        <is>
          <t>34.93-0-1.6-ERW 1-FC</t>
        </is>
      </c>
    </row>
    <row r="69">
      <c r="A69" t="inlineStr">
        <is>
          <t>19.05-0-1-ERW 1-PE</t>
        </is>
      </c>
      <c r="B69" t="inlineStr">
        <is>
          <t>37.6-31.2-3.2-CEW-CEW</t>
        </is>
      </c>
      <c r="D69" t="inlineStr">
        <is>
          <t>33.3-29.3-2-CEW-CEW</t>
        </is>
      </c>
      <c r="E69" t="inlineStr">
        <is>
          <t>34.93-0-2.6-ERW 1-FC</t>
        </is>
      </c>
    </row>
    <row r="70">
      <c r="A70" t="inlineStr">
        <is>
          <t>37.95-32-2.95-CEW-CEW</t>
        </is>
      </c>
      <c r="B70" t="inlineStr">
        <is>
          <t>37.95-32-2.95-CEW-CEW</t>
        </is>
      </c>
      <c r="D70" t="inlineStr">
        <is>
          <t>40-20-1.2-CRFH-PE</t>
        </is>
      </c>
      <c r="E70" t="inlineStr">
        <is>
          <t>37.6-31.2-3.2-CEW-CEW</t>
        </is>
      </c>
    </row>
    <row r="71">
      <c r="A71" t="inlineStr">
        <is>
          <t>15.88-0-1-ERW 1-PE</t>
        </is>
      </c>
      <c r="B71" t="inlineStr">
        <is>
          <t>30-30-1.2-CRFH-PE</t>
        </is>
      </c>
      <c r="D71" t="inlineStr">
        <is>
          <t>28.6-0-2.65-CEW-CEW</t>
        </is>
      </c>
      <c r="E71" t="inlineStr">
        <is>
          <t>37.95-32-2.95-CEW-CEW</t>
        </is>
      </c>
    </row>
    <row r="72">
      <c r="A72" t="inlineStr">
        <is>
          <t>50-30-2-ERW 1-FC</t>
        </is>
      </c>
      <c r="B72" t="inlineStr">
        <is>
          <t>38.1-0-1.6-ERW 1-FC</t>
        </is>
      </c>
      <c r="D72" t="inlineStr">
        <is>
          <t>19-19-1-CRFH-PE</t>
        </is>
      </c>
      <c r="E72" t="inlineStr">
        <is>
          <t>30-30-1.2-CRFH-PE</t>
        </is>
      </c>
    </row>
    <row r="73">
      <c r="A73" t="inlineStr">
        <is>
          <t>21.7-16.2-2.75-CEW-CEW</t>
        </is>
      </c>
      <c r="B73" t="inlineStr">
        <is>
          <t>38.1-0-1.6-ERW 2 MAHS-FC</t>
        </is>
      </c>
      <c r="D73" t="inlineStr">
        <is>
          <t>25-25-1.2-CRFH-PE</t>
        </is>
      </c>
      <c r="E73" t="inlineStr">
        <is>
          <t>38.1-0-1.6-ERW 1-FC</t>
        </is>
      </c>
    </row>
    <row r="74">
      <c r="A74" t="inlineStr">
        <is>
          <t>22.23-0-2-ERW 1-PE</t>
        </is>
      </c>
      <c r="B74" t="inlineStr">
        <is>
          <t>38.1-0-2-ERW 1-FC</t>
        </is>
      </c>
      <c r="D74" t="inlineStr">
        <is>
          <t>30-30-1.2-CRFH-PE</t>
        </is>
      </c>
      <c r="E74" t="inlineStr">
        <is>
          <t>38.1-0-1.6-ERW 2 MAHS-FC</t>
        </is>
      </c>
    </row>
    <row r="75">
      <c r="A75" t="inlineStr">
        <is>
          <t>22.23-0-2-ERW 1-PE</t>
        </is>
      </c>
      <c r="B75" t="inlineStr">
        <is>
          <t>38.1-0-2-ERW 1-PE</t>
        </is>
      </c>
      <c r="D75" t="inlineStr">
        <is>
          <t>40-25-1.6-CRFH-FC</t>
        </is>
      </c>
      <c r="E75" t="inlineStr">
        <is>
          <t>38.1-0-2-ERW 1-FC</t>
        </is>
      </c>
    </row>
    <row r="76">
      <c r="A76" t="inlineStr">
        <is>
          <t>38.1-0-2-ERW 1-FC</t>
        </is>
      </c>
      <c r="B76" t="inlineStr">
        <is>
          <t>38.1-0-2.5-ERW 2 MAHS-FC</t>
        </is>
      </c>
      <c r="D76" t="inlineStr">
        <is>
          <t>40-40-1.2-CRFH-PE</t>
        </is>
      </c>
      <c r="E76" t="inlineStr">
        <is>
          <t>38.1-0-2-ERW 1-PE</t>
        </is>
      </c>
    </row>
    <row r="77">
      <c r="A77" t="inlineStr">
        <is>
          <t>22.23-0-1.6-ERW 1-PE</t>
        </is>
      </c>
      <c r="B77" t="inlineStr">
        <is>
          <t>38.1-0-3.66-ERW 1-FC</t>
        </is>
      </c>
      <c r="D77" t="inlineStr">
        <is>
          <t>34.93-0-1.2-ERW 1-FC</t>
        </is>
      </c>
      <c r="E77" t="inlineStr">
        <is>
          <t>38.1-0-2.5-ERW 2 MAHS-FC</t>
        </is>
      </c>
    </row>
    <row r="78">
      <c r="A78" t="inlineStr">
        <is>
          <t>38.1-0-2-ERW 1-FC</t>
        </is>
      </c>
      <c r="B78" t="inlineStr">
        <is>
          <t>40-20-1.2-CRFH-PE</t>
        </is>
      </c>
      <c r="D78" t="inlineStr">
        <is>
          <t>28.58-0-2-ERW 1-FC</t>
        </is>
      </c>
      <c r="E78" t="inlineStr">
        <is>
          <t>38.1-0-3.66-ERW 1-FC</t>
        </is>
      </c>
    </row>
    <row r="79">
      <c r="A79" t="inlineStr">
        <is>
          <t>31.75-0-1.2-ERW 1-PE</t>
        </is>
      </c>
      <c r="B79" t="inlineStr">
        <is>
          <t>40-20-1.6-ERW 1-FC</t>
        </is>
      </c>
      <c r="D79" t="inlineStr">
        <is>
          <t>28.58-0-1.6-ERW 1-FC</t>
        </is>
      </c>
      <c r="E79" t="inlineStr">
        <is>
          <t>40-20-1.2-CRFH-PE</t>
        </is>
      </c>
    </row>
    <row r="80">
      <c r="A80" t="inlineStr">
        <is>
          <t>25.4-0-1.2-ERW 1-PE</t>
        </is>
      </c>
      <c r="B80" t="inlineStr">
        <is>
          <t>39-34-2.5-CEW-CEW</t>
        </is>
      </c>
      <c r="D80" t="inlineStr">
        <is>
          <t>40-20-1.6-ERW 1-FC</t>
        </is>
      </c>
      <c r="E80" t="inlineStr">
        <is>
          <t>40-20-1.6-ERW 1-FC</t>
        </is>
      </c>
    </row>
    <row r="81">
      <c r="A81" t="inlineStr">
        <is>
          <t>19.05-0-1.2-ERW 1-PE</t>
        </is>
      </c>
      <c r="B81" t="inlineStr">
        <is>
          <t>40-25-1.6-CRFH-FC</t>
        </is>
      </c>
      <c r="D81" t="inlineStr">
        <is>
          <t>40-25-2-ERW 1-FC</t>
        </is>
      </c>
      <c r="E81" t="inlineStr">
        <is>
          <t>39-34-2.5-CEW-CEW</t>
        </is>
      </c>
    </row>
    <row r="82">
      <c r="A82" t="inlineStr">
        <is>
          <t>54-0-3-ERW 2-FC</t>
        </is>
      </c>
      <c r="B82" t="inlineStr">
        <is>
          <t>40-25-1.6-ERW 1-FC</t>
        </is>
      </c>
      <c r="D82" t="inlineStr">
        <is>
          <t>16.1-0-2.8-CEW-CEW</t>
        </is>
      </c>
      <c r="E82" t="inlineStr">
        <is>
          <t>40-25-1.6-CRFH-FC</t>
        </is>
      </c>
    </row>
    <row r="83">
      <c r="A83" t="inlineStr">
        <is>
          <t>63.5-0-4-ERW 1-FC</t>
        </is>
      </c>
      <c r="B83" t="inlineStr">
        <is>
          <t>40-25-1.6-ERW 2-FC</t>
        </is>
      </c>
      <c r="D83" t="inlineStr">
        <is>
          <t>31.75-25-3.37-CEW-CEW</t>
        </is>
      </c>
      <c r="E83" t="inlineStr">
        <is>
          <t>40-25-1.6-ERW 1-FC</t>
        </is>
      </c>
    </row>
    <row r="84">
      <c r="A84" t="inlineStr">
        <is>
          <t>50-50-1.6-ERW 2-PE</t>
        </is>
      </c>
      <c r="B84" t="inlineStr">
        <is>
          <t>40-25-2-ERW 1-FC</t>
        </is>
      </c>
      <c r="D84" t="inlineStr">
        <is>
          <t>14-0-1.6-CEW-CEW</t>
        </is>
      </c>
      <c r="E84" t="inlineStr">
        <is>
          <t>40-25-1.6-ERW 2-FC</t>
        </is>
      </c>
    </row>
    <row r="85">
      <c r="A85" t="inlineStr">
        <is>
          <t>70-0-3.2-ERW 2-FC</t>
        </is>
      </c>
      <c r="B85" t="inlineStr">
        <is>
          <t>41.28-0-2.6-ERW 1-FC</t>
        </is>
      </c>
      <c r="D85" t="inlineStr">
        <is>
          <t>34.93-0-2.6-ERW 1-FC</t>
        </is>
      </c>
      <c r="E85" t="inlineStr">
        <is>
          <t>40-25-2-ERW 1-FC</t>
        </is>
      </c>
    </row>
    <row r="86">
      <c r="A86" t="inlineStr">
        <is>
          <t>22.23-0-1.2-ERW 1-PE</t>
        </is>
      </c>
      <c r="B86" t="inlineStr">
        <is>
          <t>41.28-0-3.2-ERW 1-FC</t>
        </is>
      </c>
      <c r="D86" t="inlineStr">
        <is>
          <t>34.93-0-1.6-ERW 1-FC</t>
        </is>
      </c>
      <c r="E86" t="inlineStr">
        <is>
          <t>41.28-0-2.6-ERW 1-FC</t>
        </is>
      </c>
    </row>
    <row r="87">
      <c r="A87" t="inlineStr">
        <is>
          <t>15.88-0-1-ERW 1-PE</t>
        </is>
      </c>
      <c r="B87" t="inlineStr">
        <is>
          <t>42.7-0-3.5-ERW 1-FC</t>
        </is>
      </c>
      <c r="D87" t="inlineStr">
        <is>
          <t>57.15-0-2-ERW 1-FC</t>
        </is>
      </c>
      <c r="E87" t="inlineStr">
        <is>
          <t>41.28-0-3.2-ERW 1-FC</t>
        </is>
      </c>
    </row>
    <row r="88">
      <c r="A88" t="inlineStr">
        <is>
          <t>42.7-0-3.5-ERW 1-FC</t>
        </is>
      </c>
      <c r="B88" t="inlineStr">
        <is>
          <t>42.7-0-4-ERW 1-FC</t>
        </is>
      </c>
      <c r="D88" t="inlineStr">
        <is>
          <t>37.6-31.2-3.2-CEW-CEW</t>
        </is>
      </c>
      <c r="E88" t="inlineStr">
        <is>
          <t>42.7-0-3.5-ERW 1-FC</t>
        </is>
      </c>
    </row>
    <row r="89">
      <c r="A89" t="inlineStr">
        <is>
          <t>30-25.5-2.25-CEW-CEW</t>
        </is>
      </c>
      <c r="B89" t="inlineStr">
        <is>
          <t>40-30-1.6-ERW 1-FC</t>
        </is>
      </c>
      <c r="D89" t="inlineStr">
        <is>
          <t>22.23-0-2-ERW 1-FC</t>
        </is>
      </c>
      <c r="E89" t="inlineStr">
        <is>
          <t>42.7-0-4-ERW 1-FC</t>
        </is>
      </c>
    </row>
    <row r="90">
      <c r="A90" t="inlineStr">
        <is>
          <t>19.05-0-2.3-ERW 1-PE</t>
        </is>
      </c>
      <c r="B90" t="inlineStr">
        <is>
          <t>40-30-2-ERW 1-FC</t>
        </is>
      </c>
      <c r="D90" t="inlineStr">
        <is>
          <t>40-25-1.6-ERW 2-FC</t>
        </is>
      </c>
      <c r="E90" t="inlineStr">
        <is>
          <t>40-30-1.6-ERW 1-FC</t>
        </is>
      </c>
    </row>
    <row r="91">
      <c r="A91" t="inlineStr">
        <is>
          <t>31.75-0-2.5-ERW 1-FC</t>
        </is>
      </c>
      <c r="B91" t="inlineStr">
        <is>
          <t>48.6-0-1.2-ERW 1-FC</t>
        </is>
      </c>
      <c r="D91" t="inlineStr">
        <is>
          <t>50-30-1.6-ERW 2-FC</t>
        </is>
      </c>
      <c r="E91" t="inlineStr">
        <is>
          <t>40-30-2-ERW 1-FC</t>
        </is>
      </c>
    </row>
    <row r="92">
      <c r="A92" t="inlineStr">
        <is>
          <t>21.7-16.2-2.75-CEW-CEW</t>
        </is>
      </c>
      <c r="B92" t="inlineStr">
        <is>
          <t>48.6-0-3.5-ERW 1-FC</t>
        </is>
      </c>
      <c r="D92" t="inlineStr">
        <is>
          <t>25.4-0-2.5-ERW 1-FC</t>
        </is>
      </c>
      <c r="E92" t="inlineStr">
        <is>
          <t>48.6-0-1.2-ERW 1-FC</t>
        </is>
      </c>
    </row>
    <row r="93">
      <c r="A93" t="inlineStr">
        <is>
          <t>22.23-0-2-ERW 1-PE</t>
        </is>
      </c>
      <c r="B93" t="inlineStr">
        <is>
          <t>50-50-1.6-ERW 2-PE</t>
        </is>
      </c>
      <c r="D93" t="inlineStr">
        <is>
          <t>21.75-0-3.5-CEW-CEW</t>
        </is>
      </c>
      <c r="E93" t="inlineStr">
        <is>
          <t>48.6-0-3.5-ERW 1-FC</t>
        </is>
      </c>
    </row>
    <row r="94">
      <c r="A94" t="inlineStr">
        <is>
          <t>31.75-0-1.2-ERW 1-PE</t>
        </is>
      </c>
      <c r="B94" t="inlineStr">
        <is>
          <t>40-40-1.2-CRFH-PE</t>
        </is>
      </c>
      <c r="D94" t="inlineStr">
        <is>
          <t>14-0-2.5-CEW-CEW</t>
        </is>
      </c>
      <c r="E94" t="inlineStr">
        <is>
          <t>50-50-1.6-ERW 2-PE</t>
        </is>
      </c>
    </row>
    <row r="95">
      <c r="A95" t="inlineStr">
        <is>
          <t>25.4-0-2.5-CEW-CEW</t>
        </is>
      </c>
      <c r="B95" t="inlineStr">
        <is>
          <t>50-30-1.6-ERW 1-FC</t>
        </is>
      </c>
      <c r="E95" t="inlineStr">
        <is>
          <t>40-40-1.2-CRFH-PE</t>
        </is>
      </c>
    </row>
    <row r="96">
      <c r="A96" t="inlineStr">
        <is>
          <t>22.23-0-1.6-ERW 1-PE</t>
        </is>
      </c>
      <c r="B96" t="inlineStr">
        <is>
          <t>50-30-1.6-ERW 2-FC</t>
        </is>
      </c>
      <c r="E96" t="inlineStr">
        <is>
          <t>50-30-1.6-ERW 1-FC</t>
        </is>
      </c>
    </row>
    <row r="97">
      <c r="A97" t="inlineStr">
        <is>
          <t>22.23-0-1.2-ERW 1-PE</t>
        </is>
      </c>
      <c r="B97" t="inlineStr">
        <is>
          <t>50-30-2-ERW 1-FC</t>
        </is>
      </c>
      <c r="E97" t="inlineStr">
        <is>
          <t>50-30-1.6-ERW 2-FC</t>
        </is>
      </c>
    </row>
    <row r="98">
      <c r="A98" t="inlineStr">
        <is>
          <t>40-30-1.6-ERW 1-FC</t>
        </is>
      </c>
      <c r="B98" t="inlineStr">
        <is>
          <t>50.8-0-1.4-ERW 2-FC</t>
        </is>
      </c>
      <c r="E98" t="inlineStr">
        <is>
          <t>50-30-2-ERW 1-FC</t>
        </is>
      </c>
    </row>
    <row r="99">
      <c r="A99" t="inlineStr">
        <is>
          <t>60.3-0-2-ERW 1-FC</t>
        </is>
      </c>
      <c r="B99" t="inlineStr">
        <is>
          <t>50.8-0-1.6-ERW 1-FC</t>
        </is>
      </c>
      <c r="E99" t="inlineStr">
        <is>
          <t>50.8-0-1.4-ERW 2-FC</t>
        </is>
      </c>
    </row>
    <row r="100">
      <c r="A100" t="inlineStr">
        <is>
          <t>19.05-0-2-ERW 1-PE</t>
        </is>
      </c>
      <c r="B100" t="inlineStr">
        <is>
          <t>54-0-3-ERW 2-FC</t>
        </is>
      </c>
      <c r="E100" t="inlineStr">
        <is>
          <t>50.8-0-1.6-ERW 1-FC</t>
        </is>
      </c>
    </row>
    <row r="101">
      <c r="A101" t="inlineStr">
        <is>
          <t>40-30-1.6-ERW 1-FC</t>
        </is>
      </c>
      <c r="B101" t="inlineStr">
        <is>
          <t>57.15-0-2-ERW 1-FC</t>
        </is>
      </c>
      <c r="E101" t="inlineStr">
        <is>
          <t>54-0-3-ERW 2-FC</t>
        </is>
      </c>
    </row>
    <row r="102">
      <c r="A102" t="inlineStr">
        <is>
          <t>40-30-2-ERW 1-FC</t>
        </is>
      </c>
      <c r="B102" t="inlineStr">
        <is>
          <t>57.15-0-2.3-ERW 2-FC</t>
        </is>
      </c>
      <c r="E102" t="inlineStr">
        <is>
          <t>57.15-0-2-ERW 1-FC</t>
        </is>
      </c>
    </row>
    <row r="103">
      <c r="A103" t="inlineStr">
        <is>
          <t>57.15-0-2.5-ERW 1-FC</t>
        </is>
      </c>
      <c r="B103" t="inlineStr">
        <is>
          <t>57.15-0-2.5-ERW 1-FC</t>
        </is>
      </c>
      <c r="E103" t="inlineStr">
        <is>
          <t>57.15-0-2.3-ERW 2-FC</t>
        </is>
      </c>
    </row>
    <row r="104">
      <c r="A104" t="inlineStr">
        <is>
          <t>30-25.5-2.25-CEW-CEW</t>
        </is>
      </c>
      <c r="B104" t="inlineStr">
        <is>
          <t>60.3-0-2-ERW 1-FC</t>
        </is>
      </c>
      <c r="E104" t="inlineStr">
        <is>
          <t>57.15-0-2.5-ERW 1-FC</t>
        </is>
      </c>
    </row>
    <row r="105">
      <c r="A105" t="inlineStr">
        <is>
          <t>16.1-10.4-2.7-CEW-CEW</t>
        </is>
      </c>
      <c r="B105" t="inlineStr">
        <is>
          <t>63.5-0-4-ERW 1-FC</t>
        </is>
      </c>
      <c r="E105" t="inlineStr">
        <is>
          <t>60.3-0-2-ERW 1-FC</t>
        </is>
      </c>
    </row>
    <row r="106">
      <c r="A106" t="inlineStr">
        <is>
          <t>42.7-0-4-ERW 1-FC</t>
        </is>
      </c>
      <c r="B106" t="inlineStr">
        <is>
          <t>70-0-3.2-ERW 2-FC</t>
        </is>
      </c>
      <c r="E106" t="inlineStr">
        <is>
          <t>63.5-0-4-ERW 1-FC</t>
        </is>
      </c>
    </row>
    <row r="107">
      <c r="A107" t="inlineStr">
        <is>
          <t>19.05-0-1.6-ERW 2 MAHS-PE</t>
        </is>
      </c>
      <c r="B107" t="inlineStr">
        <is>
          <t>59-30-1.6-ERW 1-FIN CUT</t>
        </is>
      </c>
      <c r="E107" t="inlineStr">
        <is>
          <t>70-0-3.2-ERW 2-FC</t>
        </is>
      </c>
    </row>
    <row r="108">
      <c r="A108" t="inlineStr">
        <is>
          <t>22.23-0-2-ERW 1-PE</t>
        </is>
      </c>
      <c r="E108" t="inlineStr">
        <is>
          <t>59-30-1.6-ERW 1-FIN CUT</t>
        </is>
      </c>
    </row>
    <row r="109">
      <c r="A109" t="inlineStr">
        <is>
          <t>22.23-0-2.3-ERW 1-PE</t>
        </is>
      </c>
    </row>
    <row r="110">
      <c r="A110" t="inlineStr">
        <is>
          <t>12.7-0-1.6-ERW 1-PE</t>
        </is>
      </c>
    </row>
    <row r="111">
      <c r="A111" t="inlineStr">
        <is>
          <t>22.23-0-1.6-ERW 1-PE</t>
        </is>
      </c>
    </row>
    <row r="112">
      <c r="A112" t="inlineStr">
        <is>
          <t>22.23-0-1.6-ERW 1-PE</t>
        </is>
      </c>
    </row>
    <row r="113">
      <c r="A113" t="inlineStr">
        <is>
          <t>12.7-0-1.6-ERW 1-PE</t>
        </is>
      </c>
    </row>
    <row r="114">
      <c r="A114" t="inlineStr">
        <is>
          <t>22.23-0-1.6-ERW 1-PE</t>
        </is>
      </c>
    </row>
    <row r="115">
      <c r="A115" t="inlineStr">
        <is>
          <t>22.23-0-2.3-ERW 1-PE</t>
        </is>
      </c>
    </row>
    <row r="116">
      <c r="A116" t="inlineStr">
        <is>
          <t>19.05-0-2-ERW 1-PE</t>
        </is>
      </c>
    </row>
    <row r="117">
      <c r="A117" t="inlineStr">
        <is>
          <t>15.88-0-1.6-ERW 1-PE</t>
        </is>
      </c>
    </row>
    <row r="118">
      <c r="A118" t="inlineStr">
        <is>
          <t>19.05-0-2-ERW 1-PE</t>
        </is>
      </c>
    </row>
    <row r="119">
      <c r="A119" t="inlineStr">
        <is>
          <t>19.05-0-2.3-ERW 1-PE</t>
        </is>
      </c>
    </row>
    <row r="120">
      <c r="A120" t="inlineStr">
        <is>
          <t>42.7-0-4-ERW 1-FC</t>
        </is>
      </c>
    </row>
    <row r="121">
      <c r="A121" t="inlineStr">
        <is>
          <t>22.23-0-1.2-ERW 1-PE</t>
        </is>
      </c>
    </row>
    <row r="122">
      <c r="A122" t="inlineStr">
        <is>
          <t>19.05-0-2.3-ERW 1-PE</t>
        </is>
      </c>
    </row>
    <row r="123">
      <c r="A123" t="inlineStr">
        <is>
          <t>19.05-0-2.3-ERW 1-PE</t>
        </is>
      </c>
    </row>
    <row r="124">
      <c r="A124" t="inlineStr">
        <is>
          <t>19.05-0-2.3-ERW 1-PE</t>
        </is>
      </c>
    </row>
    <row r="125">
      <c r="A125" t="inlineStr">
        <is>
          <t>57.15-0-2.5-ERW 1-FC</t>
        </is>
      </c>
    </row>
    <row r="126">
      <c r="A126" t="inlineStr">
        <is>
          <t>15.88-0-2-ERW 1-PE</t>
        </is>
      </c>
    </row>
    <row r="127">
      <c r="A127" t="inlineStr">
        <is>
          <t>40-30-1.6-ERW 1-FC</t>
        </is>
      </c>
    </row>
    <row r="128">
      <c r="A128" t="inlineStr">
        <is>
          <t>40-30-2-ERW 1-FC</t>
        </is>
      </c>
    </row>
    <row r="129">
      <c r="A129" t="inlineStr">
        <is>
          <t>18.2-12.3-2.95-CEW-CEW</t>
        </is>
      </c>
    </row>
    <row r="130">
      <c r="A130" t="inlineStr">
        <is>
          <t>31.75-0-1.2-ERW 1-PE</t>
        </is>
      </c>
    </row>
    <row r="131">
      <c r="A131" t="inlineStr">
        <is>
          <t>31.75-0-2.5-ERW 1-FC</t>
        </is>
      </c>
    </row>
    <row r="132">
      <c r="A132" t="inlineStr">
        <is>
          <t>41.28-0-3.2-ERW 1-FC</t>
        </is>
      </c>
    </row>
    <row r="133">
      <c r="A133" t="inlineStr">
        <is>
          <t>19.05-0-1.6-ERW 2 MAHS-PE</t>
        </is>
      </c>
    </row>
    <row r="134">
      <c r="A134" t="inlineStr">
        <is>
          <t>19-12.5-3.25-CEW-CEW</t>
        </is>
      </c>
    </row>
    <row r="135">
      <c r="A135" t="inlineStr">
        <is>
          <t>39-34-2.5-CEW-CEW</t>
        </is>
      </c>
    </row>
    <row r="136">
      <c r="A136" t="inlineStr">
        <is>
          <t>12.7-0-1.6-ERW 1-PE</t>
        </is>
      </c>
    </row>
    <row r="137">
      <c r="A137" t="inlineStr">
        <is>
          <t>19.05-0-1.2-ERW 1-PE</t>
        </is>
      </c>
    </row>
    <row r="138">
      <c r="A138" t="inlineStr">
        <is>
          <t>19.05-0-1.2-ERW 1-PE</t>
        </is>
      </c>
    </row>
    <row r="139">
      <c r="A139" t="inlineStr">
        <is>
          <t>15.88-0-1.2-ERW 1-PE</t>
        </is>
      </c>
    </row>
    <row r="140">
      <c r="A140" t="inlineStr">
        <is>
          <t>19.05-0-1-ERW 1-PE</t>
        </is>
      </c>
    </row>
    <row r="141">
      <c r="A141" t="inlineStr">
        <is>
          <t>19.05-0-1.2-ERW 1-PE</t>
        </is>
      </c>
    </row>
    <row r="142">
      <c r="A142" t="inlineStr">
        <is>
          <t>19.05-0-1.2-ERW 1-PE</t>
        </is>
      </c>
    </row>
    <row r="143">
      <c r="A143" t="inlineStr">
        <is>
          <t>19.05-0-1.2-ERW 1-PE</t>
        </is>
      </c>
    </row>
    <row r="144">
      <c r="A144" t="inlineStr">
        <is>
          <t>19.05-0-1.2-ERW 1-PE</t>
        </is>
      </c>
    </row>
    <row r="145">
      <c r="A145" t="inlineStr">
        <is>
          <t>50-30-1.6-ERW 1-FC</t>
        </is>
      </c>
    </row>
    <row r="146">
      <c r="A146" t="inlineStr">
        <is>
          <t>19.05-0-1.2-ERW 1-PE</t>
        </is>
      </c>
    </row>
    <row r="147">
      <c r="A147" t="inlineStr">
        <is>
          <t>25.4-0-1.6-ERW 1-PE</t>
        </is>
      </c>
    </row>
    <row r="148">
      <c r="A148" t="inlineStr">
        <is>
          <t>29.4-20.4-4.5-CEW STKM 13C-CEW</t>
        </is>
      </c>
    </row>
    <row r="149">
      <c r="A149" t="inlineStr">
        <is>
          <t>29.4-20.4-4.5-CEW STKM 13C-CEW</t>
        </is>
      </c>
    </row>
    <row r="150">
      <c r="A150" t="inlineStr">
        <is>
          <t>29.4-20.4-4.5-CEW STKM 13C-CEW</t>
        </is>
      </c>
    </row>
    <row r="151">
      <c r="A151" t="inlineStr">
        <is>
          <t>48.6-0-1.2-ERW 1-FC</t>
        </is>
      </c>
    </row>
    <row r="152">
      <c r="A152" t="inlineStr">
        <is>
          <t>19.05-0-1.6-ERW 1-PE</t>
        </is>
      </c>
    </row>
    <row r="153">
      <c r="A153" t="inlineStr">
        <is>
          <t>22.23-0-1.6-ERW 1-PE</t>
        </is>
      </c>
    </row>
    <row r="154">
      <c r="A154" t="inlineStr">
        <is>
          <t>42.7-0-4-ERW 1-FC</t>
        </is>
      </c>
    </row>
    <row r="155">
      <c r="A155" t="inlineStr">
        <is>
          <t>42.7-0-3.5-ERW 1-FC</t>
        </is>
      </c>
    </row>
    <row r="156">
      <c r="A156" t="inlineStr">
        <is>
          <t>22.23-0-1.6-ERW 1-PE</t>
        </is>
      </c>
    </row>
    <row r="157">
      <c r="A157" t="inlineStr">
        <is>
          <t>38.1-0-1.6-ERW 1-FC</t>
        </is>
      </c>
    </row>
    <row r="158">
      <c r="A158" t="inlineStr">
        <is>
          <t>40-30-1.6-ERW 1-FC</t>
        </is>
      </c>
    </row>
    <row r="159">
      <c r="A159" t="inlineStr">
        <is>
          <t>40-30-1.6-ERW 1-FC</t>
        </is>
      </c>
    </row>
    <row r="160">
      <c r="A160" t="inlineStr">
        <is>
          <t>41.28-0-3.2-ERW 1-FC</t>
        </is>
      </c>
    </row>
    <row r="161">
      <c r="A161" t="inlineStr">
        <is>
          <t>38.1-0-1.6-ERW 2 MAHS-FC</t>
        </is>
      </c>
    </row>
    <row r="162">
      <c r="A162" t="inlineStr">
        <is>
          <t>38.1-0-1.6-ERW 2 MAHS-FC</t>
        </is>
      </c>
    </row>
    <row r="163">
      <c r="A163" t="inlineStr">
        <is>
          <t>60.3-0-2-ERW 1-FC</t>
        </is>
      </c>
    </row>
    <row r="164">
      <c r="A164" t="inlineStr">
        <is>
          <t>57.15-0-2.5-ERW 1-FC</t>
        </is>
      </c>
    </row>
    <row r="165">
      <c r="A165" t="inlineStr">
        <is>
          <t>57.15-0-2.5-ERW 1-FC</t>
        </is>
      </c>
    </row>
    <row r="166">
      <c r="A166" t="inlineStr">
        <is>
          <t>40-25-1.6-ERW 1-FC</t>
        </is>
      </c>
    </row>
    <row r="167">
      <c r="A167" t="inlineStr">
        <is>
          <t>19-12.5-3.25-CEW-CEW</t>
        </is>
      </c>
    </row>
    <row r="168">
      <c r="A168" t="inlineStr">
        <is>
          <t>19-12.5-3.25-CEW-CEW</t>
        </is>
      </c>
    </row>
    <row r="169">
      <c r="A169" t="inlineStr">
        <is>
          <t>19-12.5-3.25-CEW-CEW</t>
        </is>
      </c>
    </row>
    <row r="170">
      <c r="A170" t="inlineStr">
        <is>
          <t>25.4-0-1.6-ERW 1-FC</t>
        </is>
      </c>
    </row>
    <row r="171">
      <c r="A171" t="inlineStr">
        <is>
          <t>29.4-20.4-4.5-CEW STKM 13C-CEW</t>
        </is>
      </c>
    </row>
    <row r="172">
      <c r="A172" t="inlineStr">
        <is>
          <t>25.4-18.4-3.5-CEW-CEW</t>
        </is>
      </c>
    </row>
    <row r="173">
      <c r="A173" t="inlineStr">
        <is>
          <t>25.4-18.4-3.5-CEW-CEW</t>
        </is>
      </c>
    </row>
    <row r="174">
      <c r="A174" t="inlineStr">
        <is>
          <t>22.23-0-2-ERW 2 MAHS-PE</t>
        </is>
      </c>
    </row>
    <row r="175">
      <c r="A175" t="inlineStr">
        <is>
          <t>22.23-0-1.6-ERW 2 MAHS-PE</t>
        </is>
      </c>
    </row>
    <row r="176">
      <c r="A176" t="inlineStr">
        <is>
          <t>25.4-0-2-ERW 1-FC</t>
        </is>
      </c>
    </row>
    <row r="177">
      <c r="A177" t="inlineStr">
        <is>
          <t>19.05-0-1.2-ERW 1-PE</t>
        </is>
      </c>
    </row>
    <row r="178">
      <c r="A178" t="inlineStr">
        <is>
          <t>31.75-0-1.2-ERW 1-FC</t>
        </is>
      </c>
    </row>
    <row r="179">
      <c r="A179" t="inlineStr">
        <is>
          <t>19.05-0-1.6-ERW 1-PE</t>
        </is>
      </c>
    </row>
    <row r="180">
      <c r="A180" t="inlineStr">
        <is>
          <t>28.58-0-1.2-ERW 1-PE</t>
        </is>
      </c>
    </row>
    <row r="181">
      <c r="A181" t="inlineStr">
        <is>
          <t>17.3-0-1.6-ERW 1-PE</t>
        </is>
      </c>
    </row>
    <row r="182">
      <c r="A182" t="inlineStr">
        <is>
          <t>19.05-0-2.3-ERW 1-PE</t>
        </is>
      </c>
    </row>
    <row r="183">
      <c r="A183" t="inlineStr">
        <is>
          <t>42.7-0-3.5-ERW 1-FC</t>
        </is>
      </c>
    </row>
    <row r="184">
      <c r="A184" t="inlineStr">
        <is>
          <t>33.3-29.3-2-CEW-CEW</t>
        </is>
      </c>
    </row>
    <row r="185">
      <c r="A185" t="inlineStr">
        <is>
          <t>22.23-0-2-ERW 1-PE</t>
        </is>
      </c>
    </row>
    <row r="186">
      <c r="A186" t="inlineStr">
        <is>
          <t>22.23-0-1.6-ERW 1-PE</t>
        </is>
      </c>
    </row>
    <row r="187">
      <c r="A187" t="inlineStr">
        <is>
          <t>48.6-0-1.2-ERW 1-FC</t>
        </is>
      </c>
    </row>
    <row r="188">
      <c r="A188" t="inlineStr">
        <is>
          <t>38.1-0-2-ERW 1-FC</t>
        </is>
      </c>
    </row>
    <row r="189">
      <c r="A189" t="inlineStr">
        <is>
          <t>31.75-0-1.2-ERW 1-PE</t>
        </is>
      </c>
    </row>
    <row r="190">
      <c r="A190" t="inlineStr">
        <is>
          <t>38.1-0-2-ERW 1-FC</t>
        </is>
      </c>
    </row>
    <row r="191">
      <c r="A191" t="inlineStr">
        <is>
          <t>38.1-0-2-ERW 1-FC</t>
        </is>
      </c>
    </row>
    <row r="192">
      <c r="A192" t="inlineStr">
        <is>
          <t>40-20-1.2-CRFH-PE</t>
        </is>
      </c>
    </row>
    <row r="193">
      <c r="A193" t="inlineStr">
        <is>
          <t>40-20-1.2-CRFH-PE</t>
        </is>
      </c>
    </row>
    <row r="194">
      <c r="A194" t="inlineStr">
        <is>
          <t>40-20-1.2-CRFH-PE</t>
        </is>
      </c>
    </row>
    <row r="195">
      <c r="A195" t="inlineStr">
        <is>
          <t>40-20-1.2-CRFH-PE</t>
        </is>
      </c>
    </row>
    <row r="196">
      <c r="A196" t="inlineStr">
        <is>
          <t>28.6-0-2.65-CEW-CEW</t>
        </is>
      </c>
    </row>
    <row r="197">
      <c r="A197" t="inlineStr">
        <is>
          <t>40-20-1.2-CRFH-PE</t>
        </is>
      </c>
    </row>
    <row r="198">
      <c r="A198" t="inlineStr">
        <is>
          <t>40-20-1.2-CRFH-PE</t>
        </is>
      </c>
    </row>
    <row r="199">
      <c r="A199" t="inlineStr">
        <is>
          <t>19-19-1-CRFH-PE</t>
        </is>
      </c>
    </row>
    <row r="200">
      <c r="A200" t="inlineStr">
        <is>
          <t>19-19-1-CRFH-PE</t>
        </is>
      </c>
    </row>
    <row r="201">
      <c r="A201" t="inlineStr">
        <is>
          <t>19-19-1-CRFH-PE</t>
        </is>
      </c>
    </row>
    <row r="202">
      <c r="A202" t="inlineStr">
        <is>
          <t>19-19-1-CRFH-PE</t>
        </is>
      </c>
    </row>
    <row r="203">
      <c r="A203" t="inlineStr">
        <is>
          <t>19-19-1-CRFH-PE</t>
        </is>
      </c>
    </row>
    <row r="204">
      <c r="A204" t="inlineStr">
        <is>
          <t>19-19-1-CRFH-PE</t>
        </is>
      </c>
    </row>
    <row r="205">
      <c r="A205" t="inlineStr">
        <is>
          <t>19-19-1-CRFH-PE</t>
        </is>
      </c>
    </row>
    <row r="206">
      <c r="A206" t="inlineStr">
        <is>
          <t>19-19-1-CRFH-PE</t>
        </is>
      </c>
    </row>
    <row r="207">
      <c r="A207" t="inlineStr">
        <is>
          <t>19-19-1-CRFH-PE</t>
        </is>
      </c>
    </row>
    <row r="208">
      <c r="A208" t="inlineStr">
        <is>
          <t>25-25-1.2-CRFH-PE</t>
        </is>
      </c>
    </row>
    <row r="209">
      <c r="A209" t="inlineStr">
        <is>
          <t>25-25-1.2-CRFH-PE</t>
        </is>
      </c>
    </row>
    <row r="210">
      <c r="A210" t="inlineStr">
        <is>
          <t>25-25-1.2-CRFH-PE</t>
        </is>
      </c>
    </row>
    <row r="211">
      <c r="A211" t="inlineStr">
        <is>
          <t>30-30-1.2-CRFH-PE</t>
        </is>
      </c>
    </row>
    <row r="212">
      <c r="A212" t="inlineStr">
        <is>
          <t>39-34-2.5-CEW-CEW</t>
        </is>
      </c>
    </row>
    <row r="213">
      <c r="A213" t="inlineStr">
        <is>
          <t>30-25.5-2.25-CEW-CEW</t>
        </is>
      </c>
    </row>
    <row r="214">
      <c r="A214" t="inlineStr">
        <is>
          <t>25.4-0-2.5-CEW-CEW</t>
        </is>
      </c>
    </row>
    <row r="215">
      <c r="A215" t="inlineStr">
        <is>
          <t>40-25-1.6-CRFH-FC</t>
        </is>
      </c>
    </row>
    <row r="216">
      <c r="A216" t="inlineStr">
        <is>
          <t>40-20-1.2-CRFH-PE</t>
        </is>
      </c>
    </row>
    <row r="217">
      <c r="A217" t="inlineStr">
        <is>
          <t>40-40-1.2-CRFH-PE</t>
        </is>
      </c>
    </row>
    <row r="218">
      <c r="A218" t="inlineStr">
        <is>
          <t>40-25-1.6-CRFH-FC</t>
        </is>
      </c>
    </row>
    <row r="219">
      <c r="A219" t="inlineStr">
        <is>
          <t>40-25-1.6-CRFH-FC</t>
        </is>
      </c>
    </row>
    <row r="220">
      <c r="A220" t="inlineStr">
        <is>
          <t>19-19-1-CRFH-PE</t>
        </is>
      </c>
    </row>
    <row r="221">
      <c r="A221" t="inlineStr">
        <is>
          <t>40-30-1.6-ERW 1-FC</t>
        </is>
      </c>
    </row>
    <row r="222">
      <c r="A222" t="inlineStr">
        <is>
          <t>22.23-0-1.6-ERW 1-PE</t>
        </is>
      </c>
    </row>
    <row r="223">
      <c r="A223" t="inlineStr">
        <is>
          <t>22.23-0-1.6-ERW 1-PE</t>
        </is>
      </c>
    </row>
    <row r="224">
      <c r="A224" t="inlineStr">
        <is>
          <t>19.05-0-2-ERW 1-PE</t>
        </is>
      </c>
    </row>
    <row r="225">
      <c r="A225" t="inlineStr">
        <is>
          <t>34.93-0-1.2-ERW 1-FC</t>
        </is>
      </c>
    </row>
    <row r="226">
      <c r="A226" t="inlineStr">
        <is>
          <t>40-30-2-ERW 1-FC</t>
        </is>
      </c>
    </row>
    <row r="227">
      <c r="A227" t="inlineStr">
        <is>
          <t>29.4-20.4-4.5-CEW STKM 13C-CEW</t>
        </is>
      </c>
    </row>
    <row r="228">
      <c r="A228" t="inlineStr">
        <is>
          <t>25.4-0-2-ERW 1-FC</t>
        </is>
      </c>
    </row>
    <row r="229">
      <c r="A229" t="inlineStr">
        <is>
          <t>12.7-0-1.2-ERW 1-PE</t>
        </is>
      </c>
    </row>
    <row r="230">
      <c r="A230" t="inlineStr">
        <is>
          <t>28.58-0-2-ERW 1-FC</t>
        </is>
      </c>
    </row>
    <row r="231">
      <c r="A231" t="inlineStr">
        <is>
          <t>28.58-0-1.6-ERW 1-FC</t>
        </is>
      </c>
    </row>
    <row r="232">
      <c r="A232" t="inlineStr">
        <is>
          <t>40-20-1.6-ERW 1-FC</t>
        </is>
      </c>
    </row>
    <row r="233">
      <c r="A233" t="inlineStr">
        <is>
          <t>40-25-1.6-ERW 1-FC</t>
        </is>
      </c>
    </row>
    <row r="234">
      <c r="A234" t="inlineStr">
        <is>
          <t>28.58-0-1.6-ERW 1-FC</t>
        </is>
      </c>
    </row>
    <row r="235">
      <c r="A235" t="inlineStr">
        <is>
          <t>40-25-1.6-ERW 1-FC</t>
        </is>
      </c>
    </row>
    <row r="236">
      <c r="A236" t="inlineStr">
        <is>
          <t>40-25-1.6-ERW 1-FC</t>
        </is>
      </c>
    </row>
    <row r="237">
      <c r="A237" t="inlineStr">
        <is>
          <t>40-25-1.6-ERW 1-FC</t>
        </is>
      </c>
    </row>
    <row r="238">
      <c r="A238" t="inlineStr">
        <is>
          <t>40-25-2-ERW 1-FC</t>
        </is>
      </c>
    </row>
    <row r="239">
      <c r="A239" t="inlineStr">
        <is>
          <t>19.05-0-2.3-ERW 1-PE</t>
        </is>
      </c>
    </row>
    <row r="240">
      <c r="A240" t="inlineStr">
        <is>
          <t>50-30-1.6-ERW 1-FC</t>
        </is>
      </c>
    </row>
    <row r="241">
      <c r="A241" t="inlineStr">
        <is>
          <t>40-30-2-ERW 1-FC</t>
        </is>
      </c>
    </row>
    <row r="242">
      <c r="A242" t="inlineStr">
        <is>
          <t>19.05-0-2.3-ERW 1-PE</t>
        </is>
      </c>
    </row>
    <row r="243">
      <c r="A243" t="inlineStr">
        <is>
          <t>16.1-0-2.8-CEW-CEW</t>
        </is>
      </c>
    </row>
    <row r="244">
      <c r="A244" t="inlineStr">
        <is>
          <t>19.05-0-2.3-ERW 1-PE</t>
        </is>
      </c>
    </row>
    <row r="245">
      <c r="A245" t="inlineStr">
        <is>
          <t>12.7-0-1.2-ERW 1-PE</t>
        </is>
      </c>
    </row>
    <row r="246">
      <c r="A246" t="inlineStr">
        <is>
          <t>19.05-0-2-ERW 1-PE</t>
        </is>
      </c>
    </row>
    <row r="247">
      <c r="A247" t="inlineStr">
        <is>
          <t>19.05-0-2-ERW 1-PE</t>
        </is>
      </c>
    </row>
    <row r="248">
      <c r="A248" t="inlineStr">
        <is>
          <t>12.7-0-1.6-ERW 1-PE</t>
        </is>
      </c>
    </row>
    <row r="249">
      <c r="A249" t="inlineStr">
        <is>
          <t>15.88-0-1.6-ERW 1-PE</t>
        </is>
      </c>
    </row>
    <row r="250">
      <c r="A250" t="inlineStr">
        <is>
          <t>31.75-25-3.37-CEW-CEW</t>
        </is>
      </c>
    </row>
    <row r="251">
      <c r="A251" t="inlineStr">
        <is>
          <t>22.23-0-1.2-ERW 1-PE</t>
        </is>
      </c>
    </row>
    <row r="252">
      <c r="A252" t="inlineStr">
        <is>
          <t>17.3-0-1.6-ERW 1-PE</t>
        </is>
      </c>
    </row>
    <row r="253">
      <c r="A253" t="inlineStr">
        <is>
          <t>17.3-0-1.6-ERW 1-PE</t>
        </is>
      </c>
    </row>
    <row r="254">
      <c r="A254" t="inlineStr">
        <is>
          <t>28.6-0-2.65-CEW-CEW</t>
        </is>
      </c>
    </row>
    <row r="255">
      <c r="A255" t="inlineStr">
        <is>
          <t>22.23-0-1.6-ERW 1-PE</t>
        </is>
      </c>
    </row>
    <row r="256">
      <c r="A256" t="inlineStr">
        <is>
          <t>28.6-0-2.65-CEW-CEW</t>
        </is>
      </c>
    </row>
    <row r="257">
      <c r="A257" t="inlineStr">
        <is>
          <t>14-0-1.6-CEW-CEW</t>
        </is>
      </c>
    </row>
    <row r="258">
      <c r="A258" t="inlineStr">
        <is>
          <t>42.7-0-4-ERW 1-FC</t>
        </is>
      </c>
    </row>
    <row r="259">
      <c r="A259" t="inlineStr">
        <is>
          <t>50-30-1.6-ERW 1-FC</t>
        </is>
      </c>
    </row>
    <row r="260">
      <c r="A260" t="inlineStr">
        <is>
          <t>34.93-0-2.6-ERW 1-FC</t>
        </is>
      </c>
    </row>
    <row r="261">
      <c r="A261" t="inlineStr">
        <is>
          <t>34.93-0-1.6-ERW 1-FC</t>
        </is>
      </c>
    </row>
    <row r="262">
      <c r="A262" t="inlineStr">
        <is>
          <t>57.15-0-2-ERW 1-FC</t>
        </is>
      </c>
    </row>
    <row r="263">
      <c r="A263" t="inlineStr">
        <is>
          <t>15.88-0-2-ERW 1-PE</t>
        </is>
      </c>
    </row>
    <row r="264">
      <c r="A264" t="inlineStr">
        <is>
          <t>37.6-31.2-3.2-CEW-CEW</t>
        </is>
      </c>
    </row>
    <row r="265">
      <c r="A265" t="inlineStr">
        <is>
          <t>22.23-0-2-ERW 1-FC</t>
        </is>
      </c>
    </row>
    <row r="266">
      <c r="A266" t="inlineStr">
        <is>
          <t>48.6-0-3.5-ERW 1-FC</t>
        </is>
      </c>
    </row>
    <row r="267">
      <c r="A267" t="inlineStr">
        <is>
          <t>38.1-0-2-ERW 1-FC</t>
        </is>
      </c>
    </row>
    <row r="268">
      <c r="A268" t="inlineStr">
        <is>
          <t>42.7-0-4-ERW 1-FC</t>
        </is>
      </c>
    </row>
    <row r="269">
      <c r="A269" t="inlineStr">
        <is>
          <t>22.23-0-1.6-ERW 1-PE</t>
        </is>
      </c>
    </row>
    <row r="270">
      <c r="A270" t="inlineStr">
        <is>
          <t>40-25-1.6-ERW 2-FC</t>
        </is>
      </c>
    </row>
    <row r="271">
      <c r="A271" t="inlineStr">
        <is>
          <t>50-30-1.6-ERW 2-FC</t>
        </is>
      </c>
    </row>
    <row r="272">
      <c r="A272" t="inlineStr">
        <is>
          <t>25.4-0-2.5-ERW 1-FC</t>
        </is>
      </c>
    </row>
    <row r="273">
      <c r="A273" t="inlineStr">
        <is>
          <t>50-30-1.6-ERW 2-FC</t>
        </is>
      </c>
    </row>
    <row r="274">
      <c r="A274" t="inlineStr">
        <is>
          <t>31.75-25-3.37-CEW-CEW</t>
        </is>
      </c>
    </row>
    <row r="275">
      <c r="A275" t="inlineStr">
        <is>
          <t>21.75-0-3.5-CEW-CEW</t>
        </is>
      </c>
    </row>
    <row r="276">
      <c r="A276" t="inlineStr">
        <is>
          <t>25.4-19-3.2-CEW-CEW</t>
        </is>
      </c>
    </row>
    <row r="277">
      <c r="A277" t="inlineStr">
        <is>
          <t>14-0-2.5-CEW-CEW</t>
        </is>
      </c>
    </row>
    <row r="278">
      <c r="A278" t="inlineStr">
        <is>
          <t>20-12.4-3.8-CEW-CEW</t>
        </is>
      </c>
    </row>
    <row r="279">
      <c r="A279" t="inlineStr">
        <is>
          <t>20-12.4-4.5-CEW-CEW</t>
        </is>
      </c>
    </row>
    <row r="280">
      <c r="A280" t="inlineStr">
        <is>
          <t>25.4-0-2-ERW 1-PE</t>
        </is>
      </c>
    </row>
    <row r="281">
      <c r="A281" t="inlineStr">
        <is>
          <t>57.15-0-2.5-ERW 1-FC</t>
        </is>
      </c>
    </row>
    <row r="282">
      <c r="A282" t="inlineStr">
        <is>
          <t>40-25-1.6-ERW 1-FC</t>
        </is>
      </c>
    </row>
    <row r="283">
      <c r="A283" t="inlineStr">
        <is>
          <t>38.1-0-1.6-ERW 2 MAHS-FC</t>
        </is>
      </c>
    </row>
    <row r="284">
      <c r="A284" t="inlineStr">
        <is>
          <t>25.4-0-1.6-ERW 1-FC</t>
        </is>
      </c>
    </row>
    <row r="285">
      <c r="A285" t="inlineStr">
        <is>
          <t>57.15-0-2.5-ERW 1-FC</t>
        </is>
      </c>
    </row>
    <row r="286">
      <c r="A286" t="inlineStr">
        <is>
          <t>42.7-0-3.5-ERW 1-FC</t>
        </is>
      </c>
    </row>
    <row r="287">
      <c r="A287" t="inlineStr">
        <is>
          <t>57.15-0-2.5-ERW 1-FC</t>
        </is>
      </c>
    </row>
    <row r="288">
      <c r="A288" t="inlineStr">
        <is>
          <t>19.05-0-2.3-ERW 1-PE</t>
        </is>
      </c>
    </row>
    <row r="289">
      <c r="A289" t="inlineStr">
        <is>
          <t>19.05-0-2-ERW 1-PE</t>
        </is>
      </c>
    </row>
    <row r="290">
      <c r="A290" t="inlineStr">
        <is>
          <t>38.1-0-1.6-ERW 2 MAHS-FC</t>
        </is>
      </c>
    </row>
  </sheetData>
  <conditionalFormatting sqref="D1:E1048576">
    <cfRule type="duplicateValues" priority="1" dxfId="0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>
  <sheetPr codeName="Sheet43">
    <outlinePr summaryBelow="1" summaryRight="1"/>
    <pageSetUpPr/>
  </sheetPr>
  <dimension ref="A1:I22"/>
  <sheetViews>
    <sheetView workbookViewId="0">
      <selection activeCell="I12" sqref="I12"/>
    </sheetView>
  </sheetViews>
  <sheetFormatPr baseColWidth="8" defaultRowHeight="15"/>
  <cols>
    <col width="40" bestFit="1" customWidth="1" style="584" min="1" max="1"/>
    <col width="12" bestFit="1" customWidth="1" style="584" min="2" max="2"/>
    <col width="25.85546875" bestFit="1" customWidth="1" style="584" min="3" max="3"/>
    <col width="12.140625" bestFit="1" customWidth="1" style="584" min="4" max="4"/>
    <col width="12.140625" bestFit="1" customWidth="1" style="584" min="8" max="8"/>
  </cols>
  <sheetData>
    <row r="1">
      <c r="A1" s="73" t="inlineStr">
        <is>
          <t>Megh Steel</t>
        </is>
      </c>
      <c r="B1" s="73" t="n"/>
      <c r="C1" s="73" t="inlineStr">
        <is>
          <t>Bucket2</t>
        </is>
      </c>
      <c r="D1" s="73" t="n"/>
      <c r="E1" s="73" t="inlineStr">
        <is>
          <t>Schedule</t>
        </is>
      </c>
    </row>
    <row r="2">
      <c r="A2" s="15" t="inlineStr">
        <is>
          <t>Rucha</t>
        </is>
      </c>
      <c r="B2" s="15" t="n">
        <v>849</v>
      </c>
      <c r="C2" s="15" t="inlineStr">
        <is>
          <t>22.23-0-2-ERW 2-FC</t>
        </is>
      </c>
      <c r="D2" s="15" t="inlineStr">
        <is>
          <t>ERW 2</t>
        </is>
      </c>
      <c r="E2" s="62" t="n">
        <v>50</v>
      </c>
    </row>
    <row r="3">
      <c r="A3" s="15" t="inlineStr">
        <is>
          <t>Metalman|RUCHA</t>
        </is>
      </c>
      <c r="B3" s="15" t="inlineStr">
        <is>
          <t>878|875</t>
        </is>
      </c>
      <c r="C3" s="15" t="inlineStr">
        <is>
          <t>38.1-0-1.6-ERW 2 MAHS-FC</t>
        </is>
      </c>
      <c r="D3" s="15" t="inlineStr">
        <is>
          <t>ERW 2 MAHS</t>
        </is>
      </c>
      <c r="E3" s="62" t="n">
        <v>40</v>
      </c>
    </row>
    <row r="4">
      <c r="A4" s="15" t="inlineStr">
        <is>
          <t>Metalman|RUCHA</t>
        </is>
      </c>
      <c r="B4" s="15" t="inlineStr">
        <is>
          <t>878|875</t>
        </is>
      </c>
      <c r="C4" s="15" t="inlineStr">
        <is>
          <t>38.1-0-2.5-ERW 2 MAHS-FC</t>
        </is>
      </c>
      <c r="D4" s="15" t="inlineStr">
        <is>
          <t>ERW 2 MAHS</t>
        </is>
      </c>
      <c r="E4" s="62" t="n">
        <v>50</v>
      </c>
    </row>
    <row r="5">
      <c r="E5" s="135">
        <f>SUM(E2:E4)</f>
        <v/>
      </c>
    </row>
    <row r="8">
      <c r="A8" s="73" t="inlineStr">
        <is>
          <t>TVSM Direct</t>
        </is>
      </c>
      <c r="B8" s="73" t="inlineStr">
        <is>
          <t>CTL Size</t>
        </is>
      </c>
      <c r="C8" s="73" t="inlineStr">
        <is>
          <t>Bucket2</t>
        </is>
      </c>
      <c r="D8" s="73" t="n"/>
      <c r="E8" s="73" t="inlineStr">
        <is>
          <t>Schedule</t>
        </is>
      </c>
    </row>
    <row r="9">
      <c r="A9" s="15" t="inlineStr">
        <is>
          <t>Rajsriya Mysore |Rajsriya Unit 8</t>
        </is>
      </c>
      <c r="B9" s="15" t="inlineStr">
        <is>
          <t>394|775</t>
        </is>
      </c>
      <c r="C9" s="15" t="inlineStr">
        <is>
          <t>19.05-0-1.6-ERW 2 MAHS-PE</t>
        </is>
      </c>
      <c r="D9" s="15" t="inlineStr">
        <is>
          <t>ERW 2 MAHS</t>
        </is>
      </c>
      <c r="E9" s="62" t="n">
        <v>16.1822094776</v>
      </c>
    </row>
    <row r="10">
      <c r="A10" s="15" t="inlineStr">
        <is>
          <t>Sandhar Automach</t>
        </is>
      </c>
      <c r="B10" s="15" t="inlineStr">
        <is>
          <t>935</t>
        </is>
      </c>
      <c r="C10" s="15" t="inlineStr">
        <is>
          <t>22.23-0-1.6-ERW 2 MAHS-PE</t>
        </is>
      </c>
      <c r="D10" s="15" t="inlineStr">
        <is>
          <t>ERW 2 MAHS</t>
        </is>
      </c>
      <c r="E10" s="62" t="n">
        <v>7.608527194400001</v>
      </c>
    </row>
    <row r="11">
      <c r="A11" s="15" t="inlineStr">
        <is>
          <t>Sandhar Engg Mysore |SANDHAR ENGINEERING PVT LTD.</t>
        </is>
      </c>
      <c r="B11" s="15" t="inlineStr">
        <is>
          <t>855|863</t>
        </is>
      </c>
      <c r="C11" s="15" t="inlineStr">
        <is>
          <t>22.23-0-2-ERW 2-FC</t>
        </is>
      </c>
      <c r="D11" s="15" t="inlineStr">
        <is>
          <t>ERW 2</t>
        </is>
      </c>
      <c r="E11" s="62" t="n">
        <v>24.0401068183997</v>
      </c>
    </row>
    <row r="12">
      <c r="A12" s="15" t="inlineStr">
        <is>
          <t>KNITVEL NEEDLES P LTD|Sandhar Automach</t>
        </is>
      </c>
      <c r="B12" s="15" t="inlineStr">
        <is>
          <t>812|905|925</t>
        </is>
      </c>
      <c r="C12" s="15" t="inlineStr">
        <is>
          <t>22.23-0-2-ERW 2 MAHS-PE</t>
        </is>
      </c>
      <c r="D12" s="15" t="inlineStr">
        <is>
          <t>ERW 2 MAHS</t>
        </is>
      </c>
      <c r="E12" s="62" t="n">
        <v>23.02886652325001</v>
      </c>
      <c r="H12" s="15" t="inlineStr">
        <is>
          <t>ERW 2</t>
        </is>
      </c>
      <c r="I12" s="109">
        <f>SUMIFS($E$2:$E$22,$D$2:$D$22,H12)</f>
        <v/>
      </c>
    </row>
    <row r="13">
      <c r="A13" s="15" t="inlineStr">
        <is>
          <t>Sandhar Automach</t>
        </is>
      </c>
      <c r="B13" s="15" t="inlineStr">
        <is>
          <t>840|855</t>
        </is>
      </c>
      <c r="C13" s="15" t="inlineStr">
        <is>
          <t>22.23-0-2-ERW 2 MAHS-FC</t>
        </is>
      </c>
      <c r="D13" s="15" t="inlineStr">
        <is>
          <t>ERW 2 MAHS</t>
        </is>
      </c>
      <c r="E13" s="62" t="n">
        <v>12.717619845</v>
      </c>
      <c r="H13" s="15" t="inlineStr">
        <is>
          <t>ERW 2 MAHS</t>
        </is>
      </c>
      <c r="I13" s="109">
        <f>SUMIFS($E$2:$E$22,$D$2:$D$22,H13)</f>
        <v/>
      </c>
    </row>
    <row r="14">
      <c r="A14" s="15" t="inlineStr">
        <is>
          <t>Metalman|RUCHA</t>
        </is>
      </c>
      <c r="B14" s="15" t="inlineStr">
        <is>
          <t>875|878|930</t>
        </is>
      </c>
      <c r="C14" s="15" t="inlineStr">
        <is>
          <t>38.1-0-1.6-ERW 2 MAHS-FC</t>
        </is>
      </c>
      <c r="D14" s="15" t="inlineStr">
        <is>
          <t>ERW 2 MAHS</t>
        </is>
      </c>
      <c r="E14" s="62" t="n">
        <v>16.8274450507</v>
      </c>
      <c r="I14" s="108">
        <f>SUM(I12:I13)</f>
        <v/>
      </c>
    </row>
    <row r="15">
      <c r="A15" s="15" t="inlineStr">
        <is>
          <t>Metalman|RUCHA</t>
        </is>
      </c>
      <c r="B15" s="15" t="inlineStr">
        <is>
          <t>875|878</t>
        </is>
      </c>
      <c r="C15" s="15" t="inlineStr">
        <is>
          <t>38.1-0-2.5-ERW 2 MAHS-FC</t>
        </is>
      </c>
      <c r="D15" s="15" t="inlineStr">
        <is>
          <t>ERW 2 MAHS</t>
        </is>
      </c>
      <c r="E15" s="62" t="n">
        <v>25.874947516375</v>
      </c>
    </row>
    <row r="16">
      <c r="A16" s="15" t="inlineStr">
        <is>
          <t xml:space="preserve">Sandhar Engg Mysore </t>
        </is>
      </c>
      <c r="B16" s="15" t="inlineStr">
        <is>
          <t>561</t>
        </is>
      </c>
      <c r="C16" s="15" t="inlineStr">
        <is>
          <t>40-25-1.6-ERW 2-FC</t>
        </is>
      </c>
      <c r="D16" s="15" t="inlineStr">
        <is>
          <t>ERW 2</t>
        </is>
      </c>
      <c r="E16" s="62" t="n">
        <v>10.9757522688</v>
      </c>
    </row>
    <row r="17">
      <c r="A17" s="15" t="inlineStr">
        <is>
          <t>NMPL 1</t>
        </is>
      </c>
      <c r="B17" s="15" t="inlineStr">
        <is>
          <t>847</t>
        </is>
      </c>
      <c r="C17" s="15" t="inlineStr">
        <is>
          <t>50-50-1.6-ERW 2-PE</t>
        </is>
      </c>
      <c r="D17" s="15" t="inlineStr">
        <is>
          <t>ERW 2</t>
        </is>
      </c>
      <c r="E17" s="62" t="n">
        <v>8.270910820480001</v>
      </c>
    </row>
    <row r="18">
      <c r="A18" s="15" t="inlineStr">
        <is>
          <t xml:space="preserve">Sandhar Engg Mysore </t>
        </is>
      </c>
      <c r="B18" s="15" t="inlineStr">
        <is>
          <t>607|638</t>
        </is>
      </c>
      <c r="C18" s="15" t="inlineStr">
        <is>
          <t>50-30-1.6-ERW 2-FC</t>
        </is>
      </c>
      <c r="D18" s="15" t="inlineStr">
        <is>
          <t>ERW 2</t>
        </is>
      </c>
      <c r="E18" s="62" t="n">
        <v>15.1738407170496</v>
      </c>
    </row>
    <row r="19">
      <c r="A19" s="15" t="inlineStr">
        <is>
          <t>NEEL METAL PRODUCTS LIMITED|NMPL 1</t>
        </is>
      </c>
      <c r="B19" s="15" t="inlineStr">
        <is>
          <t>1140|5750</t>
        </is>
      </c>
      <c r="C19" s="15" t="inlineStr">
        <is>
          <t>54-0-3-ERW 2-FC</t>
        </is>
      </c>
      <c r="D19" s="15" t="inlineStr">
        <is>
          <t>ERW 2</t>
        </is>
      </c>
      <c r="E19" s="62" t="n">
        <v>17.19711432</v>
      </c>
    </row>
    <row r="20">
      <c r="A20" s="15" t="inlineStr">
        <is>
          <t>NMPL (HUB)</t>
        </is>
      </c>
      <c r="B20" s="15" t="inlineStr">
        <is>
          <t>1365</t>
        </is>
      </c>
      <c r="C20" s="15" t="inlineStr">
        <is>
          <t>57.15-0-2.3-ERW 2-FC</t>
        </is>
      </c>
      <c r="D20" s="15" t="inlineStr">
        <is>
          <t>ERW 2</t>
        </is>
      </c>
      <c r="E20" s="62" t="n">
        <v>63.668949332625</v>
      </c>
    </row>
    <row r="21">
      <c r="A21" s="15" t="inlineStr">
        <is>
          <t>NEEL METAL PRODUCTS LIMITED|NMPL 1</t>
        </is>
      </c>
      <c r="B21" s="15" t="inlineStr">
        <is>
          <t>490|6455</t>
        </is>
      </c>
      <c r="C21" s="15" t="inlineStr">
        <is>
          <t>70-0-3.2-ERW 2-FC</t>
        </is>
      </c>
      <c r="D21" s="15" t="inlineStr">
        <is>
          <t>ERW 2</t>
        </is>
      </c>
      <c r="E21" s="62" t="n">
        <v>10.3271816704</v>
      </c>
    </row>
    <row r="22">
      <c r="E22" s="135">
        <f>SUM(E9:E21)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PRAKASH</dc:creator>
  <dcterms:created xsi:type="dcterms:W3CDTF">2023-12-04T07:34:46Z</dcterms:created>
  <dcterms:modified xsi:type="dcterms:W3CDTF">2026-08-04T17:43:22Z</dcterms:modified>
  <cp:lastModifiedBy>Apoorv Gupta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f50afb6-ab6e-4e8b-96b5-6e00ab52e29e_Enabled" fmtid="{D5CDD505-2E9C-101B-9397-08002B2CF9AE}" pid="2">
    <vt:lpwstr>true</vt:lpwstr>
  </property>
  <property name="MSIP_Label_2f50afb6-ab6e-4e8b-96b5-6e00ab52e29e_SetDate" fmtid="{D5CDD505-2E9C-101B-9397-08002B2CF9AE}" pid="3">
    <vt:lpwstr>2023-12-04T09:26:55Z</vt:lpwstr>
  </property>
  <property name="MSIP_Label_2f50afb6-ab6e-4e8b-96b5-6e00ab52e29e_Method" fmtid="{D5CDD505-2E9C-101B-9397-08002B2CF9AE}" pid="4">
    <vt:lpwstr>Standard</vt:lpwstr>
  </property>
  <property name="MSIP_Label_2f50afb6-ab6e-4e8b-96b5-6e00ab52e29e_Name" fmtid="{D5CDD505-2E9C-101B-9397-08002B2CF9AE}" pid="5">
    <vt:lpwstr>2f50afb6-ab6e-4e8b-96b5-6e00ab52e29e</vt:lpwstr>
  </property>
  <property name="MSIP_Label_2f50afb6-ab6e-4e8b-96b5-6e00ab52e29e_SiteId" fmtid="{D5CDD505-2E9C-101B-9397-08002B2CF9AE}" pid="6">
    <vt:lpwstr>f35425af-4755-4e0c-b1bb-b3cb9f1c6afd</vt:lpwstr>
  </property>
  <property name="MSIP_Label_2f50afb6-ab6e-4e8b-96b5-6e00ab52e29e_ActionId" fmtid="{D5CDD505-2E9C-101B-9397-08002B2CF9AE}" pid="7">
    <vt:lpwstr>1f08a4e6-86e0-427e-a304-00eec36f6c80</vt:lpwstr>
  </property>
  <property name="MSIP_Label_2f50afb6-ab6e-4e8b-96b5-6e00ab52e29e_ContentBits" fmtid="{D5CDD505-2E9C-101B-9397-08002B2CF9AE}" pid="8">
    <vt:lpwstr>0</vt:lpwstr>
  </property>
  <property name="ContentTypeId" fmtid="{D5CDD505-2E9C-101B-9397-08002B2CF9AE}" pid="9">
    <vt:lpwstr>0x0101001BF8FB3756F55449A52CE735CA9391F8</vt:lpwstr>
  </property>
</Properties>
</file>